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nati_phase1_data_revised.csv" sheetId="1" r:id="rId4"/>
    <sheet state="visible" name="cas_hmw" sheetId="2" r:id="rId5"/>
    <sheet state="visible" name="cas_hmw(Time and co-ordinates d" sheetId="3" r:id="rId6"/>
    <sheet state="visible" name="cas_hmw ( Time difference)" sheetId="4" r:id="rId7"/>
  </sheets>
  <definedNames/>
  <calcPr/>
</workbook>
</file>

<file path=xl/sharedStrings.xml><?xml version="1.0" encoding="utf-8"?>
<sst xmlns="http://schemas.openxmlformats.org/spreadsheetml/2006/main" count="22361" uniqueCount="13">
  <si>
    <t>Alert</t>
  </si>
  <si>
    <t>Date</t>
  </si>
  <si>
    <t>Time</t>
  </si>
  <si>
    <t>Lat</t>
  </si>
  <si>
    <t>Long</t>
  </si>
  <si>
    <t>Vehicle</t>
  </si>
  <si>
    <t>Speed</t>
  </si>
  <si>
    <t>cas_ldw</t>
  </si>
  <si>
    <t>cas_hmw</t>
  </si>
  <si>
    <t>cas_fcw</t>
  </si>
  <si>
    <t>cas_pcw</t>
  </si>
  <si>
    <t>Lat1</t>
  </si>
  <si>
    <t>Long1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</si>
</sst>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" numFmtId="21" xfId="0" applyFont="1" applyNumberFormat="1"/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2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2">
        <v>44713.0</v>
      </c>
      <c r="C2" s="3">
        <v>0.2338773148148148</v>
      </c>
      <c r="D2" s="1">
        <v>12.892586</v>
      </c>
      <c r="E2" s="1">
        <v>80.085794</v>
      </c>
      <c r="F2" s="1">
        <v>2846.0</v>
      </c>
      <c r="G2" s="1">
        <v>58.0</v>
      </c>
    </row>
    <row r="3">
      <c r="A3" s="1" t="s">
        <v>7</v>
      </c>
      <c r="B3" s="2">
        <v>44713.0</v>
      </c>
      <c r="C3" s="3">
        <v>0.23407407407407407</v>
      </c>
      <c r="D3" s="1">
        <v>12.894932</v>
      </c>
      <c r="E3" s="1">
        <v>80.087564</v>
      </c>
      <c r="F3" s="1">
        <v>2846.0</v>
      </c>
      <c r="G3" s="1">
        <v>57.0</v>
      </c>
    </row>
    <row r="4">
      <c r="A4" s="1" t="s">
        <v>7</v>
      </c>
      <c r="B4" s="2">
        <v>44713.0</v>
      </c>
      <c r="C4" s="3">
        <v>0.23438657407407407</v>
      </c>
      <c r="D4" s="1">
        <v>12.898267</v>
      </c>
      <c r="E4" s="1">
        <v>80.090062</v>
      </c>
      <c r="F4" s="1">
        <v>2846.0</v>
      </c>
      <c r="G4" s="1">
        <v>49.0</v>
      </c>
    </row>
    <row r="5">
      <c r="A5" s="1" t="s">
        <v>7</v>
      </c>
      <c r="B5" s="2">
        <v>44713.0</v>
      </c>
      <c r="C5" s="3">
        <v>0.2348148148148148</v>
      </c>
      <c r="D5" s="1">
        <v>12.901594</v>
      </c>
      <c r="E5" s="1">
        <v>80.092538</v>
      </c>
      <c r="F5" s="1">
        <v>2846.0</v>
      </c>
      <c r="G5" s="1">
        <v>58.0</v>
      </c>
    </row>
    <row r="6">
      <c r="A6" s="1" t="s">
        <v>7</v>
      </c>
      <c r="B6" s="2">
        <v>44713.0</v>
      </c>
      <c r="C6" s="3">
        <v>0.2349652777777778</v>
      </c>
      <c r="D6" s="1">
        <v>12.903877</v>
      </c>
      <c r="E6" s="1">
        <v>80.094272</v>
      </c>
      <c r="F6" s="1">
        <v>2846.0</v>
      </c>
      <c r="G6" s="1">
        <v>54.0</v>
      </c>
    </row>
    <row r="7">
      <c r="A7" s="1" t="s">
        <v>7</v>
      </c>
      <c r="B7" s="2">
        <v>44713.0</v>
      </c>
      <c r="C7" s="3">
        <v>0.23519675925925926</v>
      </c>
      <c r="D7" s="1">
        <v>12.906194</v>
      </c>
      <c r="E7" s="1">
        <v>80.095953</v>
      </c>
      <c r="F7" s="1">
        <v>2846.0</v>
      </c>
      <c r="G7" s="1">
        <v>58.0</v>
      </c>
    </row>
    <row r="8">
      <c r="A8" s="1" t="s">
        <v>7</v>
      </c>
      <c r="B8" s="2">
        <v>44713.0</v>
      </c>
      <c r="C8" s="3">
        <v>0.23635416666666667</v>
      </c>
      <c r="D8" s="1">
        <v>12.915664</v>
      </c>
      <c r="E8" s="1">
        <v>80.103135</v>
      </c>
      <c r="F8" s="1">
        <v>2846.0</v>
      </c>
      <c r="G8" s="1">
        <v>62.0</v>
      </c>
    </row>
    <row r="9">
      <c r="A9" s="1" t="s">
        <v>7</v>
      </c>
      <c r="B9" s="2">
        <v>44713.0</v>
      </c>
      <c r="C9" s="3">
        <v>0.23700231481481482</v>
      </c>
      <c r="D9" s="1">
        <v>12.918451</v>
      </c>
      <c r="E9" s="1">
        <v>80.109058</v>
      </c>
      <c r="F9" s="1">
        <v>2846.0</v>
      </c>
      <c r="G9" s="1">
        <v>51.0</v>
      </c>
    </row>
    <row r="10">
      <c r="A10" s="1" t="s">
        <v>7</v>
      </c>
      <c r="B10" s="2">
        <v>44713.0</v>
      </c>
      <c r="C10" s="3">
        <v>0.2370949074074074</v>
      </c>
      <c r="D10" s="1">
        <v>12.919239</v>
      </c>
      <c r="E10" s="1">
        <v>80.110028</v>
      </c>
      <c r="F10" s="1">
        <v>2846.0</v>
      </c>
      <c r="G10" s="1">
        <v>47.0</v>
      </c>
    </row>
    <row r="11">
      <c r="A11" s="1" t="s">
        <v>7</v>
      </c>
      <c r="B11" s="2">
        <v>44713.0</v>
      </c>
      <c r="C11" s="3">
        <v>0.23747685185185186</v>
      </c>
      <c r="D11" s="1">
        <v>12.923053</v>
      </c>
      <c r="E11" s="1">
        <v>80.114106</v>
      </c>
      <c r="F11" s="1">
        <v>2846.0</v>
      </c>
      <c r="G11" s="1">
        <v>57.0</v>
      </c>
    </row>
    <row r="12">
      <c r="A12" s="1" t="s">
        <v>8</v>
      </c>
      <c r="B12" s="2">
        <v>44713.0</v>
      </c>
      <c r="C12" s="3">
        <v>0.23822916666666666</v>
      </c>
      <c r="D12" s="1">
        <v>12.92877</v>
      </c>
      <c r="E12" s="1">
        <v>80.119872</v>
      </c>
      <c r="F12" s="1">
        <v>2846.0</v>
      </c>
      <c r="G12" s="1">
        <v>42.0</v>
      </c>
    </row>
    <row r="13">
      <c r="A13" s="1" t="s">
        <v>8</v>
      </c>
      <c r="B13" s="2">
        <v>44713.0</v>
      </c>
      <c r="C13" s="3">
        <v>0.23895833333333333</v>
      </c>
      <c r="D13" s="1">
        <v>12.932561</v>
      </c>
      <c r="E13" s="1">
        <v>80.123647</v>
      </c>
      <c r="F13" s="1">
        <v>2846.0</v>
      </c>
      <c r="G13" s="1">
        <v>38.0</v>
      </c>
    </row>
    <row r="14">
      <c r="A14" s="1" t="s">
        <v>8</v>
      </c>
      <c r="B14" s="2">
        <v>44713.0</v>
      </c>
      <c r="C14" s="3">
        <v>0.2397337962962963</v>
      </c>
      <c r="D14" s="1">
        <v>12.936615</v>
      </c>
      <c r="E14" s="1">
        <v>80.127451</v>
      </c>
      <c r="F14" s="1">
        <v>2846.0</v>
      </c>
      <c r="G14" s="1">
        <v>27.0</v>
      </c>
    </row>
    <row r="15">
      <c r="A15" s="1" t="s">
        <v>7</v>
      </c>
      <c r="B15" s="2">
        <v>44713.0</v>
      </c>
      <c r="C15" s="3">
        <v>0.2532175925925926</v>
      </c>
      <c r="D15" s="1">
        <v>12.957073</v>
      </c>
      <c r="E15" s="1">
        <v>80.14356</v>
      </c>
      <c r="F15" s="1">
        <v>2846.0</v>
      </c>
      <c r="G15" s="1">
        <v>39.0</v>
      </c>
    </row>
    <row r="16">
      <c r="A16" s="1" t="s">
        <v>7</v>
      </c>
      <c r="B16" s="2">
        <v>44713.0</v>
      </c>
      <c r="C16" s="3">
        <v>0.253587962962963</v>
      </c>
      <c r="D16" s="1">
        <v>12.87899</v>
      </c>
      <c r="E16" s="1">
        <v>80.080324</v>
      </c>
      <c r="F16" s="1">
        <v>805.0</v>
      </c>
      <c r="G16" s="1">
        <v>13.0</v>
      </c>
    </row>
    <row r="17">
      <c r="A17" s="1" t="s">
        <v>7</v>
      </c>
      <c r="B17" s="2">
        <v>44713.0</v>
      </c>
      <c r="C17" s="3">
        <v>0.2546412037037037</v>
      </c>
      <c r="D17" s="1">
        <v>12.873922</v>
      </c>
      <c r="E17" s="1">
        <v>80.078184</v>
      </c>
      <c r="F17" s="1">
        <v>805.0</v>
      </c>
      <c r="G17" s="1">
        <v>59.0</v>
      </c>
    </row>
    <row r="18">
      <c r="A18" s="1" t="s">
        <v>7</v>
      </c>
      <c r="B18" s="2">
        <v>44713.0</v>
      </c>
      <c r="C18" s="3">
        <v>0.255</v>
      </c>
      <c r="D18" s="1">
        <v>12.86711</v>
      </c>
      <c r="E18" s="1">
        <v>80.075508</v>
      </c>
      <c r="F18" s="1">
        <v>805.0</v>
      </c>
      <c r="G18" s="1">
        <v>58.0</v>
      </c>
    </row>
    <row r="19">
      <c r="A19" s="1" t="s">
        <v>7</v>
      </c>
      <c r="B19" s="2">
        <v>44713.0</v>
      </c>
      <c r="C19" s="3">
        <v>0.2554398148148148</v>
      </c>
      <c r="D19" s="1">
        <v>12.855921</v>
      </c>
      <c r="E19" s="1">
        <v>80.069229</v>
      </c>
      <c r="F19" s="1">
        <v>805.0</v>
      </c>
      <c r="G19" s="1">
        <v>58.0</v>
      </c>
    </row>
    <row r="20">
      <c r="A20" s="1" t="s">
        <v>7</v>
      </c>
      <c r="B20" s="2">
        <v>44713.0</v>
      </c>
      <c r="C20" s="3">
        <v>0.2557523148148148</v>
      </c>
      <c r="D20" s="1">
        <v>12.852359</v>
      </c>
      <c r="E20" s="1">
        <v>80.066607</v>
      </c>
      <c r="F20" s="1">
        <v>805.0</v>
      </c>
      <c r="G20" s="1">
        <v>58.0</v>
      </c>
    </row>
    <row r="21">
      <c r="A21" s="1" t="s">
        <v>7</v>
      </c>
      <c r="B21" s="2">
        <v>44713.0</v>
      </c>
      <c r="C21" s="3">
        <v>0.2559722222222222</v>
      </c>
      <c r="D21" s="1">
        <v>12.849964</v>
      </c>
      <c r="E21" s="1">
        <v>80.064909</v>
      </c>
      <c r="F21" s="1">
        <v>805.0</v>
      </c>
      <c r="G21" s="1">
        <v>58.0</v>
      </c>
    </row>
    <row r="22">
      <c r="A22" s="1" t="s">
        <v>7</v>
      </c>
      <c r="B22" s="2">
        <v>44713.0</v>
      </c>
      <c r="C22" s="3">
        <v>0.25645833333333334</v>
      </c>
      <c r="D22" s="1">
        <v>12.845798</v>
      </c>
      <c r="E22" s="1">
        <v>80.061731</v>
      </c>
      <c r="F22" s="1">
        <v>805.0</v>
      </c>
      <c r="G22" s="1">
        <v>45.0</v>
      </c>
    </row>
    <row r="23">
      <c r="A23" s="1" t="s">
        <v>7</v>
      </c>
      <c r="B23" s="2">
        <v>44713.0</v>
      </c>
      <c r="C23" s="3">
        <v>0.25689814814814815</v>
      </c>
      <c r="D23" s="1">
        <v>12.980898</v>
      </c>
      <c r="E23" s="1">
        <v>80.165679</v>
      </c>
      <c r="F23" s="1">
        <v>2846.0</v>
      </c>
      <c r="G23" s="1">
        <v>53.0</v>
      </c>
    </row>
    <row r="24">
      <c r="A24" s="1" t="s">
        <v>7</v>
      </c>
      <c r="B24" s="2">
        <v>44713.0</v>
      </c>
      <c r="C24" s="3">
        <v>0.25703703703703706</v>
      </c>
      <c r="D24" s="1">
        <v>12.980898</v>
      </c>
      <c r="E24" s="1">
        <v>80.165679</v>
      </c>
      <c r="F24" s="1">
        <v>2846.0</v>
      </c>
      <c r="G24" s="1">
        <v>53.0</v>
      </c>
    </row>
    <row r="25">
      <c r="A25" s="1" t="s">
        <v>7</v>
      </c>
      <c r="B25" s="2">
        <v>44713.0</v>
      </c>
      <c r="C25" s="3">
        <v>0.2571412037037037</v>
      </c>
      <c r="D25" s="1">
        <v>12.841731</v>
      </c>
      <c r="E25" s="1">
        <v>80.057609</v>
      </c>
      <c r="F25" s="1">
        <v>805.0</v>
      </c>
      <c r="G25" s="1">
        <v>58.0</v>
      </c>
    </row>
    <row r="26">
      <c r="A26" s="1" t="s">
        <v>7</v>
      </c>
      <c r="B26" s="2">
        <v>44713.0</v>
      </c>
      <c r="C26" s="3">
        <v>0.2581481481481481</v>
      </c>
      <c r="D26" s="1">
        <v>12.831583</v>
      </c>
      <c r="E26" s="1">
        <v>80.046907</v>
      </c>
      <c r="F26" s="1">
        <v>805.0</v>
      </c>
      <c r="G26" s="1">
        <v>58.0</v>
      </c>
    </row>
    <row r="27">
      <c r="A27" s="1" t="s">
        <v>7</v>
      </c>
      <c r="B27" s="2">
        <v>44713.0</v>
      </c>
      <c r="C27" s="3">
        <v>0.2590162037037037</v>
      </c>
      <c r="D27" s="1">
        <v>12.822942</v>
      </c>
      <c r="E27" s="1">
        <v>80.038928</v>
      </c>
      <c r="F27" s="1">
        <v>805.0</v>
      </c>
      <c r="G27" s="1">
        <v>58.0</v>
      </c>
    </row>
    <row r="28">
      <c r="A28" s="1" t="s">
        <v>7</v>
      </c>
      <c r="B28" s="2">
        <v>44713.0</v>
      </c>
      <c r="C28" s="3">
        <v>0.2591203703703704</v>
      </c>
      <c r="D28" s="1">
        <v>12.992264</v>
      </c>
      <c r="E28" s="1">
        <v>80.182428</v>
      </c>
      <c r="F28" s="1">
        <v>2846.0</v>
      </c>
      <c r="G28" s="1">
        <v>54.0</v>
      </c>
    </row>
    <row r="29">
      <c r="A29" s="1" t="s">
        <v>7</v>
      </c>
      <c r="B29" s="2">
        <v>44713.0</v>
      </c>
      <c r="C29" s="3">
        <v>0.2592939814814815</v>
      </c>
      <c r="D29" s="1">
        <v>12.820537</v>
      </c>
      <c r="E29" s="1">
        <v>80.037237</v>
      </c>
      <c r="F29" s="1">
        <v>805.0</v>
      </c>
      <c r="G29" s="1">
        <v>57.0</v>
      </c>
    </row>
    <row r="30">
      <c r="A30" s="1" t="s">
        <v>7</v>
      </c>
      <c r="B30" s="2">
        <v>44713.0</v>
      </c>
      <c r="C30" s="3">
        <v>0.2597685185185185</v>
      </c>
      <c r="D30" s="1">
        <v>12.818145</v>
      </c>
      <c r="E30" s="1">
        <v>80.035529</v>
      </c>
      <c r="F30" s="1">
        <v>805.0</v>
      </c>
      <c r="G30" s="1">
        <v>57.0</v>
      </c>
    </row>
    <row r="31">
      <c r="A31" s="1" t="s">
        <v>8</v>
      </c>
      <c r="B31" s="2">
        <v>44713.0</v>
      </c>
      <c r="C31" s="3">
        <v>0.26033564814814814</v>
      </c>
      <c r="D31" s="1">
        <v>12.815835</v>
      </c>
      <c r="E31" s="1">
        <v>80.033858</v>
      </c>
      <c r="F31" s="1">
        <v>805.0</v>
      </c>
      <c r="G31" s="1">
        <v>45.0</v>
      </c>
    </row>
    <row r="32">
      <c r="A32" s="1" t="s">
        <v>7</v>
      </c>
      <c r="B32" s="2">
        <v>44713.0</v>
      </c>
      <c r="C32" s="3">
        <v>0.2604976851851852</v>
      </c>
      <c r="D32" s="1">
        <v>12.814768</v>
      </c>
      <c r="E32" s="1">
        <v>80.033094</v>
      </c>
      <c r="F32" s="1">
        <v>805.0</v>
      </c>
      <c r="G32" s="1">
        <v>61.0</v>
      </c>
    </row>
    <row r="33">
      <c r="A33" s="1" t="s">
        <v>8</v>
      </c>
      <c r="B33" s="2">
        <v>44713.0</v>
      </c>
      <c r="C33" s="3">
        <v>0.26082175925925927</v>
      </c>
      <c r="D33" s="1">
        <v>12.803876</v>
      </c>
      <c r="E33" s="1">
        <v>80.026072</v>
      </c>
      <c r="F33" s="1">
        <v>805.0</v>
      </c>
      <c r="G33" s="1">
        <v>58.0</v>
      </c>
    </row>
    <row r="34">
      <c r="A34" s="1" t="s">
        <v>8</v>
      </c>
      <c r="B34" s="2">
        <v>44713.0</v>
      </c>
      <c r="C34" s="3">
        <v>0.2608564814814815</v>
      </c>
      <c r="D34" s="1">
        <v>12.803876</v>
      </c>
      <c r="E34" s="1">
        <v>80.026072</v>
      </c>
      <c r="F34" s="1">
        <v>805.0</v>
      </c>
      <c r="G34" s="1">
        <v>58.0</v>
      </c>
    </row>
    <row r="35">
      <c r="A35" s="1" t="s">
        <v>7</v>
      </c>
      <c r="B35" s="2">
        <v>44713.0</v>
      </c>
      <c r="C35" s="3">
        <v>0.26108796296296294</v>
      </c>
      <c r="D35" s="1">
        <v>12.801438</v>
      </c>
      <c r="E35" s="1">
        <v>80.02447</v>
      </c>
      <c r="F35" s="1">
        <v>805.0</v>
      </c>
      <c r="G35" s="1">
        <v>58.0</v>
      </c>
    </row>
    <row r="36">
      <c r="A36" s="1" t="s">
        <v>7</v>
      </c>
      <c r="B36" s="2">
        <v>44713.0</v>
      </c>
      <c r="C36" s="3">
        <v>0.2612037037037037</v>
      </c>
      <c r="D36" s="1">
        <v>12.800221</v>
      </c>
      <c r="E36" s="1">
        <v>80.023653</v>
      </c>
      <c r="F36" s="1">
        <v>805.0</v>
      </c>
      <c r="G36" s="1">
        <v>56.0</v>
      </c>
    </row>
    <row r="37">
      <c r="A37" s="1" t="s">
        <v>7</v>
      </c>
      <c r="B37" s="2">
        <v>44713.0</v>
      </c>
      <c r="C37" s="3">
        <v>0.261412037037037</v>
      </c>
      <c r="D37" s="1">
        <v>12.797784</v>
      </c>
      <c r="E37" s="1">
        <v>80.022085</v>
      </c>
      <c r="F37" s="1">
        <v>805.0</v>
      </c>
      <c r="G37" s="1">
        <v>58.0</v>
      </c>
    </row>
    <row r="38">
      <c r="A38" s="1" t="s">
        <v>8</v>
      </c>
      <c r="B38" s="2">
        <v>44713.0</v>
      </c>
      <c r="C38" s="3">
        <v>0.26153935185185184</v>
      </c>
      <c r="D38" s="1">
        <v>12.796555</v>
      </c>
      <c r="E38" s="1">
        <v>80.021272</v>
      </c>
      <c r="F38" s="1">
        <v>805.0</v>
      </c>
      <c r="G38" s="1">
        <v>58.0</v>
      </c>
    </row>
    <row r="39">
      <c r="A39" s="1" t="s">
        <v>8</v>
      </c>
      <c r="B39" s="2">
        <v>44713.0</v>
      </c>
      <c r="C39" s="3">
        <v>0.2616435185185185</v>
      </c>
      <c r="D39" s="1">
        <v>12.795046</v>
      </c>
      <c r="E39" s="1">
        <v>80.020296</v>
      </c>
      <c r="F39" s="1">
        <v>805.0</v>
      </c>
      <c r="G39" s="1">
        <v>0.0</v>
      </c>
    </row>
    <row r="40">
      <c r="A40" s="1" t="s">
        <v>7</v>
      </c>
      <c r="B40" s="2">
        <v>44713.0</v>
      </c>
      <c r="C40" s="3">
        <v>0.26180555555555557</v>
      </c>
      <c r="D40" s="1">
        <v>12.793592</v>
      </c>
      <c r="E40" s="1">
        <v>80.019323</v>
      </c>
      <c r="F40" s="1">
        <v>805.0</v>
      </c>
      <c r="G40" s="1">
        <v>59.0</v>
      </c>
    </row>
    <row r="41">
      <c r="A41" s="1" t="s">
        <v>7</v>
      </c>
      <c r="B41" s="2">
        <v>44713.0</v>
      </c>
      <c r="C41" s="3">
        <v>0.26211805555555556</v>
      </c>
      <c r="D41" s="1">
        <v>12.790001</v>
      </c>
      <c r="E41" s="1">
        <v>80.017028</v>
      </c>
      <c r="F41" s="1">
        <v>805.0</v>
      </c>
      <c r="G41" s="1">
        <v>57.0</v>
      </c>
    </row>
    <row r="42">
      <c r="A42" s="1" t="s">
        <v>7</v>
      </c>
      <c r="B42" s="2">
        <v>44713.0</v>
      </c>
      <c r="C42" s="3">
        <v>0.2629282407407407</v>
      </c>
      <c r="D42" s="1">
        <v>12.781964</v>
      </c>
      <c r="E42" s="1">
        <v>80.012667</v>
      </c>
      <c r="F42" s="1">
        <v>805.0</v>
      </c>
      <c r="G42" s="1">
        <v>58.0</v>
      </c>
    </row>
    <row r="43">
      <c r="A43" s="1" t="s">
        <v>8</v>
      </c>
      <c r="B43" s="2">
        <v>44713.0</v>
      </c>
      <c r="C43" s="3">
        <v>0.2631365740740741</v>
      </c>
      <c r="D43" s="1">
        <v>12.779812</v>
      </c>
      <c r="E43" s="1">
        <v>80.01172</v>
      </c>
      <c r="F43" s="1">
        <v>805.0</v>
      </c>
      <c r="G43" s="1">
        <v>58.0</v>
      </c>
    </row>
    <row r="44">
      <c r="A44" s="1" t="s">
        <v>8</v>
      </c>
      <c r="B44" s="2">
        <v>44713.0</v>
      </c>
      <c r="C44" s="3">
        <v>0.2633101851851852</v>
      </c>
      <c r="D44" s="1">
        <v>12.777725</v>
      </c>
      <c r="E44" s="1">
        <v>80.010838</v>
      </c>
      <c r="F44" s="1">
        <v>805.0</v>
      </c>
      <c r="G44" s="1">
        <v>48.0</v>
      </c>
    </row>
    <row r="45">
      <c r="A45" s="1" t="s">
        <v>7</v>
      </c>
      <c r="B45" s="2">
        <v>44713.0</v>
      </c>
      <c r="C45" s="3">
        <v>0.2634606481481481</v>
      </c>
      <c r="D45" s="1">
        <v>13.010352</v>
      </c>
      <c r="E45" s="1">
        <v>80.215922</v>
      </c>
      <c r="F45" s="1">
        <v>2846.0</v>
      </c>
      <c r="G45" s="1">
        <v>50.0</v>
      </c>
    </row>
    <row r="46">
      <c r="A46" s="1" t="s">
        <v>7</v>
      </c>
      <c r="B46" s="2">
        <v>44713.0</v>
      </c>
      <c r="C46" s="3">
        <v>0.26368055555555553</v>
      </c>
      <c r="D46" s="1">
        <v>13.010352</v>
      </c>
      <c r="E46" s="1">
        <v>80.215922</v>
      </c>
      <c r="F46" s="1">
        <v>2846.0</v>
      </c>
      <c r="G46" s="1">
        <v>50.0</v>
      </c>
    </row>
    <row r="47">
      <c r="A47" s="1" t="s">
        <v>7</v>
      </c>
      <c r="B47" s="2">
        <v>44713.0</v>
      </c>
      <c r="C47" s="3">
        <v>0.2640162037037037</v>
      </c>
      <c r="D47" s="1">
        <v>12.770133</v>
      </c>
      <c r="E47" s="1">
        <v>80.007326</v>
      </c>
      <c r="F47" s="1">
        <v>805.0</v>
      </c>
      <c r="G47" s="1">
        <v>46.0</v>
      </c>
    </row>
    <row r="48">
      <c r="A48" s="1" t="s">
        <v>8</v>
      </c>
      <c r="B48" s="2">
        <v>44713.0</v>
      </c>
      <c r="C48" s="3">
        <v>0.2642476851851852</v>
      </c>
      <c r="D48" s="1">
        <v>13.012897</v>
      </c>
      <c r="E48" s="1">
        <v>80.221989</v>
      </c>
      <c r="F48" s="1">
        <v>2846.0</v>
      </c>
      <c r="G48" s="1">
        <v>49.0</v>
      </c>
    </row>
    <row r="49">
      <c r="A49" s="1" t="s">
        <v>7</v>
      </c>
      <c r="B49" s="2">
        <v>44713.0</v>
      </c>
      <c r="C49" s="3">
        <v>0.264375</v>
      </c>
      <c r="D49" s="1">
        <v>12.766036</v>
      </c>
      <c r="E49" s="1">
        <v>80.005408</v>
      </c>
      <c r="F49" s="1">
        <v>805.0</v>
      </c>
      <c r="G49" s="1">
        <v>58.0</v>
      </c>
    </row>
    <row r="50">
      <c r="A50" s="1" t="s">
        <v>7</v>
      </c>
      <c r="B50" s="2">
        <v>44713.0</v>
      </c>
      <c r="C50" s="3">
        <v>0.26461805555555556</v>
      </c>
      <c r="D50" s="1">
        <v>12.763868</v>
      </c>
      <c r="E50" s="1">
        <v>80.004497</v>
      </c>
      <c r="F50" s="1">
        <v>805.0</v>
      </c>
      <c r="G50" s="1">
        <v>58.0</v>
      </c>
    </row>
    <row r="51">
      <c r="A51" s="1" t="s">
        <v>8</v>
      </c>
      <c r="B51" s="2">
        <v>44713.0</v>
      </c>
      <c r="C51" s="3">
        <v>0.26513888888888887</v>
      </c>
      <c r="D51" s="1">
        <v>12.757137</v>
      </c>
      <c r="E51" s="1">
        <v>80.002432</v>
      </c>
      <c r="F51" s="1">
        <v>805.0</v>
      </c>
      <c r="G51" s="1">
        <v>58.0</v>
      </c>
    </row>
    <row r="52">
      <c r="A52" s="1" t="s">
        <v>7</v>
      </c>
      <c r="B52" s="2">
        <v>44713.0</v>
      </c>
      <c r="C52" s="3">
        <v>0.2655092592592593</v>
      </c>
      <c r="D52" s="1">
        <v>12.753059</v>
      </c>
      <c r="E52" s="1">
        <v>80.000121</v>
      </c>
      <c r="F52" s="1">
        <v>805.0</v>
      </c>
      <c r="G52" s="1">
        <v>57.0</v>
      </c>
    </row>
    <row r="53">
      <c r="A53" s="1" t="s">
        <v>7</v>
      </c>
      <c r="B53" s="2">
        <v>44713.0</v>
      </c>
      <c r="C53" s="3">
        <v>0.2657407407407407</v>
      </c>
      <c r="D53" s="1">
        <v>12.751096</v>
      </c>
      <c r="E53" s="1">
        <v>79.998814</v>
      </c>
      <c r="F53" s="1">
        <v>805.0</v>
      </c>
      <c r="G53" s="1">
        <v>58.0</v>
      </c>
    </row>
    <row r="54">
      <c r="A54" s="1" t="s">
        <v>7</v>
      </c>
      <c r="B54" s="2">
        <v>44713.0</v>
      </c>
      <c r="C54" s="3">
        <v>0.2659606481481481</v>
      </c>
      <c r="D54" s="1">
        <v>12.749247</v>
      </c>
      <c r="E54" s="1">
        <v>79.997342</v>
      </c>
      <c r="F54" s="1">
        <v>805.0</v>
      </c>
      <c r="G54" s="1">
        <v>58.0</v>
      </c>
    </row>
    <row r="55">
      <c r="A55" s="1" t="s">
        <v>7</v>
      </c>
      <c r="B55" s="2">
        <v>44713.0</v>
      </c>
      <c r="C55" s="3">
        <v>0.2662037037037037</v>
      </c>
      <c r="D55" s="1">
        <v>12.74555</v>
      </c>
      <c r="E55" s="1">
        <v>79.994405</v>
      </c>
      <c r="F55" s="1">
        <v>805.0</v>
      </c>
      <c r="G55" s="1">
        <v>58.0</v>
      </c>
    </row>
    <row r="56">
      <c r="A56" s="1" t="s">
        <v>7</v>
      </c>
      <c r="B56" s="2">
        <v>44713.0</v>
      </c>
      <c r="C56" s="3">
        <v>0.2662731481481482</v>
      </c>
      <c r="D56" s="1">
        <v>12.74555</v>
      </c>
      <c r="E56" s="1">
        <v>79.994405</v>
      </c>
      <c r="F56" s="1">
        <v>805.0</v>
      </c>
      <c r="G56" s="1">
        <v>58.0</v>
      </c>
    </row>
    <row r="57">
      <c r="A57" s="1" t="s">
        <v>7</v>
      </c>
      <c r="B57" s="2">
        <v>44713.0</v>
      </c>
      <c r="C57" s="3">
        <v>0.2665740740740741</v>
      </c>
      <c r="D57" s="1">
        <v>12.741998</v>
      </c>
      <c r="E57" s="1">
        <v>79.991535</v>
      </c>
      <c r="F57" s="1">
        <v>805.0</v>
      </c>
      <c r="G57" s="1">
        <v>58.0</v>
      </c>
    </row>
    <row r="58">
      <c r="A58" s="1" t="s">
        <v>7</v>
      </c>
      <c r="B58" s="2">
        <v>44713.0</v>
      </c>
      <c r="C58" s="3">
        <v>0.2673263888888889</v>
      </c>
      <c r="D58" s="1">
        <v>13.024305</v>
      </c>
      <c r="E58" s="1">
        <v>80.228471</v>
      </c>
      <c r="F58" s="1">
        <v>2846.0</v>
      </c>
      <c r="G58" s="1">
        <v>0.0</v>
      </c>
    </row>
    <row r="59">
      <c r="A59" s="1" t="s">
        <v>9</v>
      </c>
      <c r="B59" s="2">
        <v>44713.0</v>
      </c>
      <c r="C59" s="3">
        <v>0.2684259259259259</v>
      </c>
      <c r="D59" s="1">
        <v>12.724588</v>
      </c>
      <c r="E59" s="1">
        <v>79.982251</v>
      </c>
      <c r="F59" s="1">
        <v>805.0</v>
      </c>
      <c r="G59" s="1">
        <v>33.0</v>
      </c>
    </row>
    <row r="60">
      <c r="A60" s="1" t="s">
        <v>7</v>
      </c>
      <c r="B60" s="2">
        <v>44713.0</v>
      </c>
      <c r="C60" s="3">
        <v>0.2687615740740741</v>
      </c>
      <c r="D60" s="1">
        <v>12.722392</v>
      </c>
      <c r="E60" s="1">
        <v>79.981537</v>
      </c>
      <c r="F60" s="1">
        <v>805.0</v>
      </c>
      <c r="G60" s="1">
        <v>45.0</v>
      </c>
    </row>
    <row r="61">
      <c r="A61" s="1" t="s">
        <v>8</v>
      </c>
      <c r="B61" s="2">
        <v>44713.0</v>
      </c>
      <c r="C61" s="3">
        <v>0.2689236111111111</v>
      </c>
      <c r="D61" s="1">
        <v>13.031173</v>
      </c>
      <c r="E61" s="1">
        <v>80.239814</v>
      </c>
      <c r="F61" s="1">
        <v>2846.0</v>
      </c>
      <c r="G61" s="1">
        <v>28.0</v>
      </c>
    </row>
    <row r="62">
      <c r="A62" s="1" t="s">
        <v>7</v>
      </c>
      <c r="B62" s="2">
        <v>44713.0</v>
      </c>
      <c r="C62" s="3">
        <v>0.26966435185185184</v>
      </c>
      <c r="D62" s="1">
        <v>12.711256</v>
      </c>
      <c r="E62" s="1">
        <v>79.978734</v>
      </c>
      <c r="F62" s="1">
        <v>805.0</v>
      </c>
      <c r="G62" s="1">
        <v>58.0</v>
      </c>
    </row>
    <row r="63">
      <c r="A63" s="1" t="s">
        <v>7</v>
      </c>
      <c r="B63" s="2">
        <v>44713.0</v>
      </c>
      <c r="C63" s="3">
        <v>0.2700694444444444</v>
      </c>
      <c r="D63" s="1">
        <v>12.709089</v>
      </c>
      <c r="E63" s="1">
        <v>79.977492</v>
      </c>
      <c r="F63" s="1">
        <v>805.0</v>
      </c>
      <c r="G63" s="1">
        <v>58.0</v>
      </c>
    </row>
    <row r="64">
      <c r="A64" s="1" t="s">
        <v>8</v>
      </c>
      <c r="B64" s="2">
        <v>44713.0</v>
      </c>
      <c r="C64" s="3">
        <v>0.27016203703703706</v>
      </c>
      <c r="D64" s="1">
        <v>12.709089</v>
      </c>
      <c r="E64" s="1">
        <v>79.977492</v>
      </c>
      <c r="F64" s="1">
        <v>805.0</v>
      </c>
      <c r="G64" s="1">
        <v>58.0</v>
      </c>
    </row>
    <row r="65">
      <c r="A65" s="1" t="s">
        <v>7</v>
      </c>
      <c r="B65" s="2">
        <v>44713.0</v>
      </c>
      <c r="C65" s="3">
        <v>0.2705208333333333</v>
      </c>
      <c r="D65" s="1">
        <v>12.705469</v>
      </c>
      <c r="E65" s="1">
        <v>79.97456</v>
      </c>
      <c r="F65" s="1">
        <v>805.0</v>
      </c>
      <c r="G65" s="1">
        <v>58.0</v>
      </c>
    </row>
    <row r="66">
      <c r="A66" s="1" t="s">
        <v>7</v>
      </c>
      <c r="B66" s="2">
        <v>44713.0</v>
      </c>
      <c r="C66" s="3">
        <v>0.2707523148148148</v>
      </c>
      <c r="D66" s="1">
        <v>12.701326</v>
      </c>
      <c r="E66" s="1">
        <v>79.969416</v>
      </c>
      <c r="F66" s="1">
        <v>805.0</v>
      </c>
      <c r="G66" s="1">
        <v>58.0</v>
      </c>
    </row>
    <row r="67">
      <c r="A67" s="1" t="s">
        <v>8</v>
      </c>
      <c r="B67" s="2">
        <v>44713.0</v>
      </c>
      <c r="C67" s="3">
        <v>0.2709490740740741</v>
      </c>
      <c r="D67" s="1">
        <v>13.039036</v>
      </c>
      <c r="E67" s="1">
        <v>80.246748</v>
      </c>
      <c r="F67" s="1">
        <v>2846.0</v>
      </c>
      <c r="G67" s="1">
        <v>17.0</v>
      </c>
    </row>
    <row r="68">
      <c r="A68" s="1" t="s">
        <v>8</v>
      </c>
      <c r="B68" s="2">
        <v>44713.0</v>
      </c>
      <c r="C68" s="3">
        <v>0.2710763888888889</v>
      </c>
      <c r="D68" s="1">
        <v>12.697469</v>
      </c>
      <c r="E68" s="1">
        <v>79.9672</v>
      </c>
      <c r="F68" s="1">
        <v>805.0</v>
      </c>
      <c r="G68" s="1">
        <v>60.0</v>
      </c>
    </row>
    <row r="69">
      <c r="A69" s="1" t="s">
        <v>8</v>
      </c>
      <c r="B69" s="2">
        <v>44713.0</v>
      </c>
      <c r="C69" s="3">
        <v>0.27109953703703704</v>
      </c>
      <c r="D69" s="1">
        <v>12.697469</v>
      </c>
      <c r="E69" s="1">
        <v>79.9672</v>
      </c>
      <c r="F69" s="1">
        <v>805.0</v>
      </c>
      <c r="G69" s="1">
        <v>60.0</v>
      </c>
    </row>
    <row r="70">
      <c r="A70" s="1" t="s">
        <v>7</v>
      </c>
      <c r="B70" s="2">
        <v>44713.0</v>
      </c>
      <c r="C70" s="3">
        <v>0.2713425925925926</v>
      </c>
      <c r="D70" s="1">
        <v>12.693691</v>
      </c>
      <c r="E70" s="1">
        <v>79.965188</v>
      </c>
      <c r="F70" s="1">
        <v>805.0</v>
      </c>
      <c r="G70" s="1">
        <v>57.0</v>
      </c>
    </row>
    <row r="71">
      <c r="A71" s="1" t="s">
        <v>8</v>
      </c>
      <c r="B71" s="2">
        <v>44713.0</v>
      </c>
      <c r="C71" s="3">
        <v>0.27140046296296294</v>
      </c>
      <c r="D71" s="1">
        <v>13.042432</v>
      </c>
      <c r="E71" s="1">
        <v>80.247439</v>
      </c>
      <c r="F71" s="1">
        <v>2846.0</v>
      </c>
      <c r="G71" s="1">
        <v>37.0</v>
      </c>
    </row>
    <row r="72">
      <c r="A72" s="1" t="s">
        <v>8</v>
      </c>
      <c r="B72" s="2">
        <v>44713.0</v>
      </c>
      <c r="C72" s="3">
        <v>0.27221064814814816</v>
      </c>
      <c r="D72" s="1">
        <v>12.685681</v>
      </c>
      <c r="E72" s="1">
        <v>79.959317</v>
      </c>
      <c r="F72" s="1">
        <v>805.0</v>
      </c>
      <c r="G72" s="1">
        <v>23.0</v>
      </c>
    </row>
    <row r="73">
      <c r="A73" s="1" t="s">
        <v>8</v>
      </c>
      <c r="B73" s="2">
        <v>44713.0</v>
      </c>
      <c r="C73" s="3">
        <v>0.272349537037037</v>
      </c>
      <c r="D73" s="1">
        <v>12.684891</v>
      </c>
      <c r="E73" s="1">
        <v>79.959075</v>
      </c>
      <c r="F73" s="1">
        <v>805.0</v>
      </c>
      <c r="G73" s="1">
        <v>21.0</v>
      </c>
    </row>
    <row r="74">
      <c r="A74" s="1" t="s">
        <v>8</v>
      </c>
      <c r="B74" s="2">
        <v>44713.0</v>
      </c>
      <c r="C74" s="3">
        <v>0.2724421296296296</v>
      </c>
      <c r="D74" s="1">
        <v>12.684891</v>
      </c>
      <c r="E74" s="1">
        <v>79.959075</v>
      </c>
      <c r="F74" s="1">
        <v>805.0</v>
      </c>
      <c r="G74" s="1">
        <v>21.0</v>
      </c>
    </row>
    <row r="75">
      <c r="A75" s="1" t="s">
        <v>8</v>
      </c>
      <c r="B75" s="2">
        <v>44713.0</v>
      </c>
      <c r="C75" s="3">
        <v>0.2724652777777778</v>
      </c>
      <c r="D75" s="1">
        <v>13.053062</v>
      </c>
      <c r="E75" s="1">
        <v>80.251879</v>
      </c>
      <c r="F75" s="1">
        <v>2846.0</v>
      </c>
      <c r="G75" s="1">
        <v>56.0</v>
      </c>
    </row>
    <row r="76">
      <c r="A76" s="1" t="s">
        <v>7</v>
      </c>
      <c r="B76" s="2">
        <v>44713.0</v>
      </c>
      <c r="C76" s="3">
        <v>0.27292824074074074</v>
      </c>
      <c r="D76" s="1">
        <v>12.682063</v>
      </c>
      <c r="E76" s="1">
        <v>79.958519</v>
      </c>
      <c r="F76" s="1">
        <v>805.0</v>
      </c>
      <c r="G76" s="1">
        <v>57.0</v>
      </c>
    </row>
    <row r="77">
      <c r="A77" s="1" t="s">
        <v>7</v>
      </c>
      <c r="B77" s="2">
        <v>44713.0</v>
      </c>
      <c r="C77" s="3">
        <v>0.2732523148148148</v>
      </c>
      <c r="D77" s="1">
        <v>12.677238</v>
      </c>
      <c r="E77" s="1">
        <v>79.958585</v>
      </c>
      <c r="F77" s="1">
        <v>805.0</v>
      </c>
      <c r="G77" s="1">
        <v>58.0</v>
      </c>
    </row>
    <row r="78">
      <c r="A78" s="1" t="s">
        <v>7</v>
      </c>
      <c r="B78" s="2">
        <v>44713.0</v>
      </c>
      <c r="C78" s="3">
        <v>0.2734837962962963</v>
      </c>
      <c r="D78" s="1">
        <v>12.672678</v>
      </c>
      <c r="E78" s="1">
        <v>79.958665</v>
      </c>
      <c r="F78" s="1">
        <v>805.0</v>
      </c>
      <c r="G78" s="1">
        <v>58.0</v>
      </c>
    </row>
    <row r="79">
      <c r="A79" s="1" t="s">
        <v>10</v>
      </c>
      <c r="B79" s="2">
        <v>44713.0</v>
      </c>
      <c r="C79" s="3">
        <v>0.2736689814814815</v>
      </c>
      <c r="D79" s="1">
        <v>13.060628</v>
      </c>
      <c r="E79" s="1">
        <v>80.25437</v>
      </c>
      <c r="F79" s="1">
        <v>2846.0</v>
      </c>
      <c r="G79" s="1">
        <v>42.0</v>
      </c>
    </row>
    <row r="80">
      <c r="A80" s="1" t="s">
        <v>9</v>
      </c>
      <c r="B80" s="2">
        <v>44713.0</v>
      </c>
      <c r="C80" s="3">
        <v>0.27371527777777777</v>
      </c>
      <c r="D80" s="1">
        <v>13.061608</v>
      </c>
      <c r="E80" s="1">
        <v>80.254414</v>
      </c>
      <c r="F80" s="1">
        <v>2846.0</v>
      </c>
      <c r="G80" s="1">
        <v>26.0</v>
      </c>
    </row>
    <row r="81">
      <c r="A81" s="1" t="s">
        <v>9</v>
      </c>
      <c r="B81" s="2">
        <v>44713.0</v>
      </c>
      <c r="C81" s="3">
        <v>0.2737384259259259</v>
      </c>
      <c r="D81" s="1">
        <v>13.061608</v>
      </c>
      <c r="E81" s="1">
        <v>80.254414</v>
      </c>
      <c r="F81" s="1">
        <v>2846.0</v>
      </c>
      <c r="G81" s="1">
        <v>26.0</v>
      </c>
    </row>
    <row r="82">
      <c r="A82" s="1" t="s">
        <v>7</v>
      </c>
      <c r="B82" s="2">
        <v>44713.0</v>
      </c>
      <c r="C82" s="3">
        <v>0.27391203703703704</v>
      </c>
      <c r="D82" s="1">
        <v>12.668296</v>
      </c>
      <c r="E82" s="1">
        <v>79.958761</v>
      </c>
      <c r="F82" s="1">
        <v>805.0</v>
      </c>
      <c r="G82" s="1">
        <v>58.0</v>
      </c>
    </row>
    <row r="83">
      <c r="A83" s="1" t="s">
        <v>7</v>
      </c>
      <c r="B83" s="2">
        <v>44713.0</v>
      </c>
      <c r="C83" s="3">
        <v>0.2740162037037037</v>
      </c>
      <c r="D83" s="1">
        <v>12.668296</v>
      </c>
      <c r="E83" s="1">
        <v>79.958761</v>
      </c>
      <c r="F83" s="1">
        <v>805.0</v>
      </c>
      <c r="G83" s="1">
        <v>58.0</v>
      </c>
    </row>
    <row r="84">
      <c r="A84" s="1" t="s">
        <v>7</v>
      </c>
      <c r="B84" s="2">
        <v>44713.0</v>
      </c>
      <c r="C84" s="3">
        <v>0.2742361111111111</v>
      </c>
      <c r="D84" s="1">
        <v>12.664172</v>
      </c>
      <c r="E84" s="1">
        <v>79.960529</v>
      </c>
      <c r="F84" s="1">
        <v>805.0</v>
      </c>
      <c r="G84" s="1">
        <v>57.0</v>
      </c>
    </row>
    <row r="85">
      <c r="A85" s="1" t="s">
        <v>7</v>
      </c>
      <c r="B85" s="2">
        <v>44713.0</v>
      </c>
      <c r="C85" s="3">
        <v>0.2744212962962963</v>
      </c>
      <c r="D85" s="1">
        <v>12.661947</v>
      </c>
      <c r="E85" s="1">
        <v>79.961164</v>
      </c>
      <c r="F85" s="1">
        <v>805.0</v>
      </c>
      <c r="G85" s="1">
        <v>57.0</v>
      </c>
    </row>
    <row r="86">
      <c r="A86" s="1" t="s">
        <v>7</v>
      </c>
      <c r="B86" s="2">
        <v>44713.0</v>
      </c>
      <c r="C86" s="3">
        <v>0.27480324074074075</v>
      </c>
      <c r="D86" s="1">
        <v>12.658153</v>
      </c>
      <c r="E86" s="1">
        <v>79.95926</v>
      </c>
      <c r="F86" s="1">
        <v>805.0</v>
      </c>
      <c r="G86" s="1">
        <v>59.0</v>
      </c>
    </row>
    <row r="87">
      <c r="A87" s="1" t="s">
        <v>8</v>
      </c>
      <c r="B87" s="2">
        <v>44713.0</v>
      </c>
      <c r="C87" s="3">
        <v>0.27532407407407405</v>
      </c>
      <c r="D87" s="1">
        <v>12.655738</v>
      </c>
      <c r="E87" s="1">
        <v>79.952993</v>
      </c>
      <c r="F87" s="1">
        <v>805.0</v>
      </c>
      <c r="G87" s="1">
        <v>58.0</v>
      </c>
    </row>
    <row r="88">
      <c r="A88" s="1" t="s">
        <v>7</v>
      </c>
      <c r="B88" s="2">
        <v>44713.0</v>
      </c>
      <c r="C88" s="3">
        <v>0.27556712962962965</v>
      </c>
      <c r="D88" s="1">
        <v>12.656157</v>
      </c>
      <c r="E88" s="1">
        <v>79.950818</v>
      </c>
      <c r="F88" s="1">
        <v>805.0</v>
      </c>
      <c r="G88" s="1">
        <v>58.0</v>
      </c>
    </row>
    <row r="89">
      <c r="A89" s="1" t="s">
        <v>7</v>
      </c>
      <c r="B89" s="2">
        <v>44713.0</v>
      </c>
      <c r="C89" s="3">
        <v>0.2759375</v>
      </c>
      <c r="D89" s="1">
        <v>12.657324</v>
      </c>
      <c r="E89" s="1">
        <v>79.946719</v>
      </c>
      <c r="F89" s="1">
        <v>805.0</v>
      </c>
      <c r="G89" s="1">
        <v>44.0</v>
      </c>
    </row>
    <row r="90">
      <c r="A90" s="1" t="s">
        <v>7</v>
      </c>
      <c r="B90" s="2">
        <v>44713.0</v>
      </c>
      <c r="C90" s="3">
        <v>0.2760300925925926</v>
      </c>
      <c r="D90" s="1">
        <v>12.657324</v>
      </c>
      <c r="E90" s="1">
        <v>79.946719</v>
      </c>
      <c r="F90" s="1">
        <v>805.0</v>
      </c>
      <c r="G90" s="1">
        <v>44.0</v>
      </c>
    </row>
    <row r="91">
      <c r="A91" s="1" t="s">
        <v>7</v>
      </c>
      <c r="B91" s="2">
        <v>44713.0</v>
      </c>
      <c r="C91" s="3">
        <v>0.2762847222222222</v>
      </c>
      <c r="D91" s="1">
        <v>12.656077</v>
      </c>
      <c r="E91" s="1">
        <v>79.941901</v>
      </c>
      <c r="F91" s="1">
        <v>805.0</v>
      </c>
      <c r="G91" s="1">
        <v>58.0</v>
      </c>
    </row>
    <row r="92">
      <c r="A92" s="1" t="s">
        <v>7</v>
      </c>
      <c r="B92" s="2">
        <v>44713.0</v>
      </c>
      <c r="C92" s="3">
        <v>0.2765740740740741</v>
      </c>
      <c r="D92" s="1">
        <v>12.653916</v>
      </c>
      <c r="E92" s="1">
        <v>79.942239</v>
      </c>
      <c r="F92" s="1">
        <v>805.0</v>
      </c>
      <c r="G92" s="1">
        <v>58.0</v>
      </c>
    </row>
    <row r="93">
      <c r="A93" s="1" t="s">
        <v>7</v>
      </c>
      <c r="B93" s="2">
        <v>44713.0</v>
      </c>
      <c r="C93" s="3">
        <v>0.2766898148148148</v>
      </c>
      <c r="D93" s="1">
        <v>12.651766</v>
      </c>
      <c r="E93" s="1">
        <v>79.941969</v>
      </c>
      <c r="F93" s="1">
        <v>805.0</v>
      </c>
      <c r="G93" s="1">
        <v>57.0</v>
      </c>
    </row>
    <row r="94">
      <c r="A94" s="1" t="s">
        <v>8</v>
      </c>
      <c r="B94" s="2">
        <v>44713.0</v>
      </c>
      <c r="C94" s="3">
        <v>0.2787384259259259</v>
      </c>
      <c r="D94" s="1">
        <v>12.630791</v>
      </c>
      <c r="E94" s="1">
        <v>79.931575</v>
      </c>
      <c r="F94" s="1">
        <v>805.0</v>
      </c>
      <c r="G94" s="1">
        <v>58.0</v>
      </c>
    </row>
    <row r="95">
      <c r="A95" s="1" t="s">
        <v>9</v>
      </c>
      <c r="B95" s="2">
        <v>44713.0</v>
      </c>
      <c r="C95" s="3">
        <v>0.2788773148148148</v>
      </c>
      <c r="D95" s="1">
        <v>12.630791</v>
      </c>
      <c r="E95" s="1">
        <v>79.931575</v>
      </c>
      <c r="F95" s="1">
        <v>805.0</v>
      </c>
      <c r="G95" s="1">
        <v>58.0</v>
      </c>
    </row>
    <row r="96">
      <c r="A96" s="1" t="s">
        <v>7</v>
      </c>
      <c r="B96" s="2">
        <v>44713.0</v>
      </c>
      <c r="C96" s="3">
        <v>0.2791666666666667</v>
      </c>
      <c r="D96" s="1">
        <v>12.628494</v>
      </c>
      <c r="E96" s="1">
        <v>79.930584</v>
      </c>
      <c r="F96" s="1">
        <v>805.0</v>
      </c>
      <c r="G96" s="1">
        <v>58.0</v>
      </c>
    </row>
    <row r="97">
      <c r="A97" s="1" t="s">
        <v>7</v>
      </c>
      <c r="B97" s="2">
        <v>44713.0</v>
      </c>
      <c r="C97" s="3">
        <v>0.279837962962963</v>
      </c>
      <c r="D97" s="1">
        <v>12.624184</v>
      </c>
      <c r="E97" s="1">
        <v>79.928729</v>
      </c>
      <c r="F97" s="1">
        <v>805.0</v>
      </c>
      <c r="G97" s="1">
        <v>57.0</v>
      </c>
    </row>
    <row r="98">
      <c r="A98" s="1" t="s">
        <v>7</v>
      </c>
      <c r="B98" s="2">
        <v>44713.0</v>
      </c>
      <c r="C98" s="3">
        <v>0.28</v>
      </c>
      <c r="D98" s="1">
        <v>12.624184</v>
      </c>
      <c r="E98" s="1">
        <v>79.928729</v>
      </c>
      <c r="F98" s="1">
        <v>805.0</v>
      </c>
      <c r="G98" s="1">
        <v>57.0</v>
      </c>
    </row>
    <row r="99">
      <c r="A99" s="1" t="s">
        <v>7</v>
      </c>
      <c r="B99" s="2">
        <v>44713.0</v>
      </c>
      <c r="C99" s="3">
        <v>0.2800578703703704</v>
      </c>
      <c r="D99" s="1">
        <v>12.622224</v>
      </c>
      <c r="E99" s="1">
        <v>79.927889</v>
      </c>
      <c r="F99" s="1">
        <v>805.0</v>
      </c>
      <c r="G99" s="1">
        <v>51.0</v>
      </c>
    </row>
    <row r="100">
      <c r="A100" s="1" t="s">
        <v>7</v>
      </c>
      <c r="B100" s="2">
        <v>44713.0</v>
      </c>
      <c r="C100" s="3">
        <v>0.2801273148148148</v>
      </c>
      <c r="D100" s="1">
        <v>12.620168</v>
      </c>
      <c r="E100" s="1">
        <v>79.927159</v>
      </c>
      <c r="F100" s="1">
        <v>805.0</v>
      </c>
      <c r="G100" s="1">
        <v>62.0</v>
      </c>
    </row>
    <row r="101">
      <c r="A101" s="1" t="s">
        <v>7</v>
      </c>
      <c r="B101" s="2">
        <v>44713.0</v>
      </c>
      <c r="C101" s="3">
        <v>0.2803125</v>
      </c>
      <c r="D101" s="1">
        <v>12.615635</v>
      </c>
      <c r="E101" s="1">
        <v>79.925932</v>
      </c>
      <c r="F101" s="1">
        <v>805.0</v>
      </c>
      <c r="G101" s="1">
        <v>58.0</v>
      </c>
    </row>
    <row r="102">
      <c r="A102" s="1" t="s">
        <v>7</v>
      </c>
      <c r="B102" s="2">
        <v>44713.0</v>
      </c>
      <c r="C102" s="3">
        <v>0.28046296296296297</v>
      </c>
      <c r="D102" s="1">
        <v>12.613563</v>
      </c>
      <c r="E102" s="1">
        <v>79.924807</v>
      </c>
      <c r="F102" s="1">
        <v>805.0</v>
      </c>
      <c r="G102" s="1">
        <v>58.0</v>
      </c>
    </row>
    <row r="103">
      <c r="A103" s="1" t="s">
        <v>7</v>
      </c>
      <c r="B103" s="2">
        <v>44713.0</v>
      </c>
      <c r="C103" s="3">
        <v>0.28074074074074074</v>
      </c>
      <c r="D103" s="1">
        <v>12.611517</v>
      </c>
      <c r="E103" s="1">
        <v>79.923634</v>
      </c>
      <c r="F103" s="1">
        <v>805.0</v>
      </c>
      <c r="G103" s="1">
        <v>58.0</v>
      </c>
    </row>
    <row r="104">
      <c r="A104" s="1" t="s">
        <v>7</v>
      </c>
      <c r="B104" s="2">
        <v>44713.0</v>
      </c>
      <c r="C104" s="3">
        <v>0.2812152777777778</v>
      </c>
      <c r="D104" s="1">
        <v>12.605253</v>
      </c>
      <c r="E104" s="1">
        <v>79.920768</v>
      </c>
      <c r="F104" s="1">
        <v>805.0</v>
      </c>
      <c r="G104" s="1">
        <v>58.0</v>
      </c>
    </row>
    <row r="105">
      <c r="A105" s="1" t="s">
        <v>7</v>
      </c>
      <c r="B105" s="2">
        <v>44713.0</v>
      </c>
      <c r="C105" s="3">
        <v>0.28162037037037035</v>
      </c>
      <c r="D105" s="1">
        <v>12.600634</v>
      </c>
      <c r="E105" s="1">
        <v>79.920036</v>
      </c>
      <c r="F105" s="1">
        <v>805.0</v>
      </c>
      <c r="G105" s="1">
        <v>58.0</v>
      </c>
    </row>
    <row r="106">
      <c r="A106" s="1" t="s">
        <v>7</v>
      </c>
      <c r="B106" s="2">
        <v>44713.0</v>
      </c>
      <c r="C106" s="3">
        <v>0.2821180555555556</v>
      </c>
      <c r="D106" s="1">
        <v>12.593493</v>
      </c>
      <c r="E106" s="1">
        <v>79.919307</v>
      </c>
      <c r="F106" s="1">
        <v>805.0</v>
      </c>
      <c r="G106" s="1">
        <v>58.0</v>
      </c>
    </row>
    <row r="107">
      <c r="A107" s="1" t="s">
        <v>8</v>
      </c>
      <c r="B107" s="2">
        <v>44713.0</v>
      </c>
      <c r="C107" s="3">
        <v>0.2824189814814815</v>
      </c>
      <c r="D107" s="1">
        <v>12.586458</v>
      </c>
      <c r="E107" s="1">
        <v>79.919519</v>
      </c>
      <c r="F107" s="1">
        <v>805.0</v>
      </c>
      <c r="G107" s="1">
        <v>58.0</v>
      </c>
    </row>
    <row r="108">
      <c r="A108" s="1" t="s">
        <v>7</v>
      </c>
      <c r="B108" s="2">
        <v>44713.0</v>
      </c>
      <c r="C108" s="3">
        <v>0.2833101851851852</v>
      </c>
      <c r="D108" s="1">
        <v>12.573016</v>
      </c>
      <c r="E108" s="1">
        <v>79.916544</v>
      </c>
      <c r="F108" s="1">
        <v>805.0</v>
      </c>
      <c r="G108" s="1">
        <v>58.0</v>
      </c>
    </row>
    <row r="109">
      <c r="A109" s="1" t="s">
        <v>7</v>
      </c>
      <c r="B109" s="2">
        <v>44713.0</v>
      </c>
      <c r="C109" s="3">
        <v>0.2839467592592593</v>
      </c>
      <c r="D109" s="1">
        <v>12.566076</v>
      </c>
      <c r="E109" s="1">
        <v>79.914688</v>
      </c>
      <c r="F109" s="1">
        <v>805.0</v>
      </c>
      <c r="G109" s="1">
        <v>57.0</v>
      </c>
    </row>
    <row r="110">
      <c r="A110" s="1" t="s">
        <v>7</v>
      </c>
      <c r="B110" s="2">
        <v>44713.0</v>
      </c>
      <c r="C110" s="3">
        <v>0.28465277777777775</v>
      </c>
      <c r="D110" s="1">
        <v>12.558008</v>
      </c>
      <c r="E110" s="1">
        <v>79.910184</v>
      </c>
      <c r="F110" s="1">
        <v>805.0</v>
      </c>
      <c r="G110" s="1">
        <v>51.0</v>
      </c>
    </row>
    <row r="111">
      <c r="A111" s="1" t="s">
        <v>7</v>
      </c>
      <c r="B111" s="2">
        <v>44713.0</v>
      </c>
      <c r="C111" s="3">
        <v>0.28480324074074076</v>
      </c>
      <c r="D111" s="1">
        <v>12.558008</v>
      </c>
      <c r="E111" s="1">
        <v>79.910184</v>
      </c>
      <c r="F111" s="1">
        <v>805.0</v>
      </c>
      <c r="G111" s="1">
        <v>51.0</v>
      </c>
    </row>
    <row r="112">
      <c r="A112" s="1" t="s">
        <v>7</v>
      </c>
      <c r="B112" s="2">
        <v>44713.0</v>
      </c>
      <c r="C112" s="3">
        <v>0.2850462962962963</v>
      </c>
      <c r="D112" s="1">
        <v>12.556565</v>
      </c>
      <c r="E112" s="1">
        <v>79.909357</v>
      </c>
      <c r="F112" s="1">
        <v>805.0</v>
      </c>
      <c r="G112" s="1">
        <v>38.0</v>
      </c>
    </row>
    <row r="113">
      <c r="A113" s="1" t="s">
        <v>7</v>
      </c>
      <c r="B113" s="2">
        <v>44713.0</v>
      </c>
      <c r="C113" s="3">
        <v>0.28530092592592593</v>
      </c>
      <c r="D113" s="1">
        <v>12.554666</v>
      </c>
      <c r="E113" s="1">
        <v>79.908276</v>
      </c>
      <c r="F113" s="1">
        <v>805.0</v>
      </c>
      <c r="G113" s="1">
        <v>61.0</v>
      </c>
    </row>
    <row r="114">
      <c r="A114" s="1" t="s">
        <v>7</v>
      </c>
      <c r="B114" s="2">
        <v>44713.0</v>
      </c>
      <c r="C114" s="3">
        <v>0.28605324074074073</v>
      </c>
      <c r="D114" s="1">
        <v>12.543341</v>
      </c>
      <c r="E114" s="1">
        <v>79.904965</v>
      </c>
      <c r="F114" s="1">
        <v>805.0</v>
      </c>
      <c r="G114" s="1">
        <v>58.0</v>
      </c>
    </row>
    <row r="115">
      <c r="A115" s="1" t="s">
        <v>7</v>
      </c>
      <c r="B115" s="2">
        <v>44713.0</v>
      </c>
      <c r="C115" s="3">
        <v>0.28627314814814814</v>
      </c>
      <c r="D115" s="1">
        <v>12.541036</v>
      </c>
      <c r="E115" s="1">
        <v>79.904535</v>
      </c>
      <c r="F115" s="1">
        <v>805.0</v>
      </c>
      <c r="G115" s="1">
        <v>58.0</v>
      </c>
    </row>
    <row r="116">
      <c r="A116" s="1" t="s">
        <v>7</v>
      </c>
      <c r="B116" s="2">
        <v>44713.0</v>
      </c>
      <c r="C116" s="3">
        <v>0.2863425925925926</v>
      </c>
      <c r="D116" s="1">
        <v>12.538751</v>
      </c>
      <c r="E116" s="1">
        <v>79.904113</v>
      </c>
      <c r="F116" s="1">
        <v>805.0</v>
      </c>
      <c r="G116" s="1">
        <v>53.0</v>
      </c>
    </row>
    <row r="117">
      <c r="A117" s="1" t="s">
        <v>7</v>
      </c>
      <c r="B117" s="2">
        <v>44713.0</v>
      </c>
      <c r="C117" s="3">
        <v>0.2864236111111111</v>
      </c>
      <c r="D117" s="1">
        <v>12.538751</v>
      </c>
      <c r="E117" s="1">
        <v>79.904113</v>
      </c>
      <c r="F117" s="1">
        <v>805.0</v>
      </c>
      <c r="G117" s="1">
        <v>53.0</v>
      </c>
    </row>
    <row r="118">
      <c r="A118" s="1" t="s">
        <v>7</v>
      </c>
      <c r="B118" s="2">
        <v>44713.0</v>
      </c>
      <c r="C118" s="3">
        <v>0.2867824074074074</v>
      </c>
      <c r="D118" s="1">
        <v>12.534756</v>
      </c>
      <c r="E118" s="1">
        <v>79.901778</v>
      </c>
      <c r="F118" s="1">
        <v>805.0</v>
      </c>
      <c r="G118" s="1">
        <v>58.0</v>
      </c>
    </row>
    <row r="119">
      <c r="A119" s="1" t="s">
        <v>7</v>
      </c>
      <c r="B119" s="2">
        <v>44713.0</v>
      </c>
      <c r="C119" s="3">
        <v>0.28706018518518517</v>
      </c>
      <c r="D119" s="1">
        <v>12.530507</v>
      </c>
      <c r="E119" s="1">
        <v>79.899774</v>
      </c>
      <c r="F119" s="1">
        <v>805.0</v>
      </c>
      <c r="G119" s="1">
        <v>58.0</v>
      </c>
    </row>
    <row r="120">
      <c r="A120" s="1" t="s">
        <v>7</v>
      </c>
      <c r="B120" s="2">
        <v>44713.0</v>
      </c>
      <c r="C120" s="3">
        <v>0.2874421296296296</v>
      </c>
      <c r="D120" s="1">
        <v>12.526309</v>
      </c>
      <c r="E120" s="1">
        <v>79.897648</v>
      </c>
      <c r="F120" s="1">
        <v>805.0</v>
      </c>
      <c r="G120" s="1">
        <v>58.0</v>
      </c>
    </row>
    <row r="121">
      <c r="A121" s="1" t="s">
        <v>7</v>
      </c>
      <c r="B121" s="2">
        <v>44713.0</v>
      </c>
      <c r="C121" s="3">
        <v>0.2878587962962963</v>
      </c>
      <c r="D121" s="1">
        <v>12.524034</v>
      </c>
      <c r="E121" s="1">
        <v>79.896632</v>
      </c>
      <c r="F121" s="1">
        <v>805.0</v>
      </c>
      <c r="G121" s="1">
        <v>58.0</v>
      </c>
    </row>
    <row r="122">
      <c r="A122" s="1" t="s">
        <v>7</v>
      </c>
      <c r="B122" s="2">
        <v>44713.0</v>
      </c>
      <c r="C122" s="3">
        <v>0.2886226851851852</v>
      </c>
      <c r="D122" s="1">
        <v>12.517021</v>
      </c>
      <c r="E122" s="1">
        <v>79.890442</v>
      </c>
      <c r="F122" s="1">
        <v>805.0</v>
      </c>
      <c r="G122" s="1">
        <v>58.0</v>
      </c>
    </row>
    <row r="123">
      <c r="A123" s="1" t="s">
        <v>8</v>
      </c>
      <c r="B123" s="2">
        <v>44713.0</v>
      </c>
      <c r="C123" s="3">
        <v>0.29627314814814815</v>
      </c>
      <c r="D123" s="1">
        <v>12.509666</v>
      </c>
      <c r="E123" s="1">
        <v>79.884816</v>
      </c>
      <c r="F123" s="1">
        <v>805.0</v>
      </c>
      <c r="G123" s="1">
        <v>17.0</v>
      </c>
    </row>
    <row r="124">
      <c r="A124" s="1" t="s">
        <v>8</v>
      </c>
      <c r="B124" s="2">
        <v>44713.0</v>
      </c>
      <c r="C124" s="3">
        <v>0.29636574074074074</v>
      </c>
      <c r="D124" s="1">
        <v>12.509666</v>
      </c>
      <c r="E124" s="1">
        <v>79.884816</v>
      </c>
      <c r="F124" s="1">
        <v>805.0</v>
      </c>
      <c r="G124" s="1">
        <v>17.0</v>
      </c>
    </row>
    <row r="125">
      <c r="A125" s="1" t="s">
        <v>7</v>
      </c>
      <c r="B125" s="2">
        <v>44713.0</v>
      </c>
      <c r="C125" s="3">
        <v>0.2975925925925926</v>
      </c>
      <c r="D125" s="1">
        <v>12.516883</v>
      </c>
      <c r="E125" s="1">
        <v>79.887983</v>
      </c>
      <c r="F125" s="1">
        <v>805.0</v>
      </c>
      <c r="G125" s="1">
        <v>0.0</v>
      </c>
    </row>
    <row r="126">
      <c r="A126" s="1" t="s">
        <v>7</v>
      </c>
      <c r="B126" s="2">
        <v>44713.0</v>
      </c>
      <c r="C126" s="3">
        <v>0.2981712962962963</v>
      </c>
      <c r="D126" s="1">
        <v>12.518274</v>
      </c>
      <c r="E126" s="1">
        <v>79.89167</v>
      </c>
      <c r="F126" s="1">
        <v>805.0</v>
      </c>
      <c r="G126" s="1">
        <v>37.0</v>
      </c>
    </row>
    <row r="127">
      <c r="A127" s="1" t="s">
        <v>7</v>
      </c>
      <c r="B127" s="2">
        <v>44713.0</v>
      </c>
      <c r="C127" s="3">
        <v>0.29834490740740743</v>
      </c>
      <c r="D127" s="1">
        <v>12.519849</v>
      </c>
      <c r="E127" s="1">
        <v>79.893262</v>
      </c>
      <c r="F127" s="1">
        <v>805.0</v>
      </c>
      <c r="G127" s="1">
        <v>58.0</v>
      </c>
    </row>
    <row r="128">
      <c r="A128" s="1" t="s">
        <v>7</v>
      </c>
      <c r="B128" s="2">
        <v>44713.0</v>
      </c>
      <c r="C128" s="3">
        <v>0.2985185185185185</v>
      </c>
      <c r="D128" s="1">
        <v>12.519849</v>
      </c>
      <c r="E128" s="1">
        <v>79.893262</v>
      </c>
      <c r="F128" s="1">
        <v>805.0</v>
      </c>
      <c r="G128" s="1">
        <v>58.0</v>
      </c>
    </row>
    <row r="129">
      <c r="A129" s="1" t="s">
        <v>7</v>
      </c>
      <c r="B129" s="2">
        <v>44713.0</v>
      </c>
      <c r="C129" s="3">
        <v>0.2992361111111111</v>
      </c>
      <c r="D129" s="1">
        <v>12.525591</v>
      </c>
      <c r="E129" s="1">
        <v>79.897179</v>
      </c>
      <c r="F129" s="1">
        <v>805.0</v>
      </c>
      <c r="G129" s="1">
        <v>58.0</v>
      </c>
    </row>
    <row r="130">
      <c r="A130" s="1" t="s">
        <v>7</v>
      </c>
      <c r="B130" s="2">
        <v>44713.0</v>
      </c>
      <c r="C130" s="3">
        <v>0.2994675925925926</v>
      </c>
      <c r="D130" s="1">
        <v>12.531729</v>
      </c>
      <c r="E130" s="1">
        <v>79.90024</v>
      </c>
      <c r="F130" s="1">
        <v>805.0</v>
      </c>
      <c r="G130" s="1">
        <v>34.0</v>
      </c>
    </row>
    <row r="131">
      <c r="A131" s="1" t="s">
        <v>7</v>
      </c>
      <c r="B131" s="2">
        <v>44713.0</v>
      </c>
      <c r="C131" s="3">
        <v>0.2995949074074074</v>
      </c>
      <c r="D131" s="1">
        <v>12.533717</v>
      </c>
      <c r="E131" s="1">
        <v>79.901075</v>
      </c>
      <c r="F131" s="1">
        <v>805.0</v>
      </c>
      <c r="G131" s="1">
        <v>60.0</v>
      </c>
    </row>
    <row r="132">
      <c r="A132" s="1" t="s">
        <v>7</v>
      </c>
      <c r="B132" s="2">
        <v>44713.0</v>
      </c>
      <c r="C132" s="3">
        <v>0.2998263888888889</v>
      </c>
      <c r="D132" s="1">
        <v>12.535888</v>
      </c>
      <c r="E132" s="1">
        <v>79.902284</v>
      </c>
      <c r="F132" s="1">
        <v>805.0</v>
      </c>
      <c r="G132" s="1">
        <v>56.0</v>
      </c>
    </row>
    <row r="133">
      <c r="A133" s="1" t="s">
        <v>7</v>
      </c>
      <c r="B133" s="2">
        <v>44713.0</v>
      </c>
      <c r="C133" s="3">
        <v>0.29994212962962963</v>
      </c>
      <c r="D133" s="1">
        <v>12.535888</v>
      </c>
      <c r="E133" s="1">
        <v>79.902284</v>
      </c>
      <c r="F133" s="1">
        <v>805.0</v>
      </c>
      <c r="G133" s="1">
        <v>56.0</v>
      </c>
    </row>
    <row r="134">
      <c r="A134" s="1" t="s">
        <v>8</v>
      </c>
      <c r="B134" s="2">
        <v>44713.0</v>
      </c>
      <c r="C134" s="3">
        <v>0.30010416666666667</v>
      </c>
      <c r="D134" s="1">
        <v>13.071684</v>
      </c>
      <c r="E134" s="1">
        <v>80.259156</v>
      </c>
      <c r="F134" s="1">
        <v>2846.0</v>
      </c>
      <c r="G134" s="1">
        <v>23.0</v>
      </c>
    </row>
    <row r="135">
      <c r="A135" s="1" t="s">
        <v>7</v>
      </c>
      <c r="B135" s="2">
        <v>44713.0</v>
      </c>
      <c r="C135" s="3">
        <v>0.30061342592592594</v>
      </c>
      <c r="D135" s="1">
        <v>12.543551</v>
      </c>
      <c r="E135" s="1">
        <v>79.904835</v>
      </c>
      <c r="F135" s="1">
        <v>805.0</v>
      </c>
      <c r="G135" s="1">
        <v>0.0</v>
      </c>
    </row>
    <row r="136">
      <c r="A136" s="1" t="s">
        <v>8</v>
      </c>
      <c r="B136" s="2">
        <v>44713.0</v>
      </c>
      <c r="C136" s="3">
        <v>0.30074074074074075</v>
      </c>
      <c r="D136" s="1">
        <v>13.073034</v>
      </c>
      <c r="E136" s="1">
        <v>80.261821</v>
      </c>
      <c r="F136" s="1">
        <v>2846.0</v>
      </c>
      <c r="G136" s="1">
        <v>20.0</v>
      </c>
    </row>
    <row r="137">
      <c r="A137" s="1" t="s">
        <v>7</v>
      </c>
      <c r="B137" s="2">
        <v>44713.0</v>
      </c>
      <c r="C137" s="3">
        <v>0.30086805555555557</v>
      </c>
      <c r="D137" s="1">
        <v>12.544251</v>
      </c>
      <c r="E137" s="1">
        <v>79.904965</v>
      </c>
      <c r="F137" s="1">
        <v>805.0</v>
      </c>
      <c r="G137" s="1">
        <v>34.0</v>
      </c>
    </row>
    <row r="138">
      <c r="A138" s="1" t="s">
        <v>7</v>
      </c>
      <c r="B138" s="2">
        <v>44713.0</v>
      </c>
      <c r="C138" s="3">
        <v>0.30096064814814816</v>
      </c>
      <c r="D138" s="1">
        <v>12.546179</v>
      </c>
      <c r="E138" s="1">
        <v>79.905313</v>
      </c>
      <c r="F138" s="1">
        <v>805.0</v>
      </c>
      <c r="G138" s="1">
        <v>60.0</v>
      </c>
    </row>
    <row r="139">
      <c r="A139" s="1" t="s">
        <v>7</v>
      </c>
      <c r="B139" s="2">
        <v>44713.0</v>
      </c>
      <c r="C139" s="3">
        <v>0.30202546296296295</v>
      </c>
      <c r="D139" s="1">
        <v>12.554801</v>
      </c>
      <c r="E139" s="1">
        <v>79.908159</v>
      </c>
      <c r="F139" s="1">
        <v>805.0</v>
      </c>
      <c r="G139" s="1">
        <v>58.0</v>
      </c>
    </row>
    <row r="140">
      <c r="A140" s="1" t="s">
        <v>7</v>
      </c>
      <c r="B140" s="2">
        <v>44713.0</v>
      </c>
      <c r="C140" s="3">
        <v>0.30246527777777776</v>
      </c>
      <c r="D140" s="1">
        <v>12.559018</v>
      </c>
      <c r="E140" s="1">
        <v>79.910573</v>
      </c>
      <c r="F140" s="1">
        <v>805.0</v>
      </c>
      <c r="G140" s="1">
        <v>58.0</v>
      </c>
    </row>
    <row r="141">
      <c r="A141" s="1" t="s">
        <v>8</v>
      </c>
      <c r="B141" s="2">
        <v>44713.0</v>
      </c>
      <c r="C141" s="3">
        <v>0.3025462962962963</v>
      </c>
      <c r="D141" s="1">
        <v>13.068967</v>
      </c>
      <c r="E141" s="1">
        <v>80.267456</v>
      </c>
      <c r="F141" s="1">
        <v>2846.0</v>
      </c>
      <c r="G141" s="1">
        <v>28.0</v>
      </c>
    </row>
    <row r="142">
      <c r="A142" s="1" t="s">
        <v>7</v>
      </c>
      <c r="B142" s="2">
        <v>44713.0</v>
      </c>
      <c r="C142" s="3">
        <v>0.3029513888888889</v>
      </c>
      <c r="D142" s="1">
        <v>12.563206</v>
      </c>
      <c r="E142" s="1">
        <v>79.91303</v>
      </c>
      <c r="F142" s="1">
        <v>805.0</v>
      </c>
      <c r="G142" s="1">
        <v>58.0</v>
      </c>
    </row>
    <row r="143">
      <c r="A143" s="1" t="s">
        <v>7</v>
      </c>
      <c r="B143" s="2">
        <v>44713.0</v>
      </c>
      <c r="C143" s="3">
        <v>0.3032638888888889</v>
      </c>
      <c r="D143" s="1">
        <v>12.569897</v>
      </c>
      <c r="E143" s="1">
        <v>79.915546</v>
      </c>
      <c r="F143" s="1">
        <v>805.0</v>
      </c>
      <c r="G143" s="1">
        <v>58.0</v>
      </c>
    </row>
    <row r="144">
      <c r="A144" s="1" t="s">
        <v>8</v>
      </c>
      <c r="B144" s="2">
        <v>44713.0</v>
      </c>
      <c r="C144" s="3">
        <v>0.3033101851851852</v>
      </c>
      <c r="D144" s="1">
        <v>12.572158</v>
      </c>
      <c r="E144" s="1">
        <v>79.916154</v>
      </c>
      <c r="F144" s="1">
        <v>805.0</v>
      </c>
      <c r="G144" s="1">
        <v>58.0</v>
      </c>
    </row>
    <row r="145">
      <c r="A145" s="1" t="s">
        <v>7</v>
      </c>
      <c r="B145" s="2">
        <v>44713.0</v>
      </c>
      <c r="C145" s="3">
        <v>0.3034722222222222</v>
      </c>
      <c r="D145" s="1">
        <v>12.574589</v>
      </c>
      <c r="E145" s="1">
        <v>79.916705</v>
      </c>
      <c r="F145" s="1">
        <v>805.0</v>
      </c>
      <c r="G145" s="1">
        <v>58.0</v>
      </c>
    </row>
    <row r="146">
      <c r="A146" s="1" t="s">
        <v>10</v>
      </c>
      <c r="B146" s="2">
        <v>44713.0</v>
      </c>
      <c r="C146" s="3">
        <v>0.3035300925925926</v>
      </c>
      <c r="D146" s="1">
        <v>13.066903</v>
      </c>
      <c r="E146" s="1">
        <v>80.273656</v>
      </c>
      <c r="F146" s="1">
        <v>2846.0</v>
      </c>
      <c r="G146" s="1">
        <v>18.0</v>
      </c>
    </row>
    <row r="147">
      <c r="A147" s="1" t="s">
        <v>7</v>
      </c>
      <c r="B147" s="2">
        <v>44713.0</v>
      </c>
      <c r="C147" s="3">
        <v>0.303587962962963</v>
      </c>
      <c r="D147" s="1">
        <v>12.576887</v>
      </c>
      <c r="E147" s="1">
        <v>79.917167</v>
      </c>
      <c r="F147" s="1">
        <v>805.0</v>
      </c>
      <c r="G147" s="1">
        <v>57.0</v>
      </c>
    </row>
    <row r="148">
      <c r="A148" s="1" t="s">
        <v>7</v>
      </c>
      <c r="B148" s="2">
        <v>44713.0</v>
      </c>
      <c r="C148" s="3">
        <v>0.3045949074074074</v>
      </c>
      <c r="D148" s="1">
        <v>12.588822</v>
      </c>
      <c r="E148" s="1">
        <v>79.919274</v>
      </c>
      <c r="F148" s="1">
        <v>805.0</v>
      </c>
      <c r="G148" s="1">
        <v>57.0</v>
      </c>
    </row>
    <row r="149">
      <c r="A149" s="1" t="s">
        <v>10</v>
      </c>
      <c r="B149" s="2">
        <v>44713.0</v>
      </c>
      <c r="C149" s="3">
        <v>0.3046064814814815</v>
      </c>
      <c r="D149" s="1">
        <v>13.062345</v>
      </c>
      <c r="E149" s="1">
        <v>80.274259</v>
      </c>
      <c r="F149" s="1">
        <v>2846.0</v>
      </c>
      <c r="G149" s="1">
        <v>23.0</v>
      </c>
    </row>
    <row r="150">
      <c r="A150" s="1" t="s">
        <v>7</v>
      </c>
      <c r="B150" s="2">
        <v>44713.0</v>
      </c>
      <c r="C150" s="3">
        <v>0.3050462962962963</v>
      </c>
      <c r="D150" s="1">
        <v>12.593799</v>
      </c>
      <c r="E150" s="1">
        <v>79.919159</v>
      </c>
      <c r="F150" s="1">
        <v>805.0</v>
      </c>
      <c r="G150" s="1">
        <v>58.0</v>
      </c>
    </row>
    <row r="151">
      <c r="A151" s="1" t="s">
        <v>7</v>
      </c>
      <c r="B151" s="2">
        <v>44713.0</v>
      </c>
      <c r="C151" s="3">
        <v>0.30517361111111113</v>
      </c>
      <c r="D151" s="1">
        <v>12.593799</v>
      </c>
      <c r="E151" s="1">
        <v>79.919159</v>
      </c>
      <c r="F151" s="1">
        <v>805.0</v>
      </c>
      <c r="G151" s="1">
        <v>58.0</v>
      </c>
    </row>
    <row r="152">
      <c r="A152" s="1" t="s">
        <v>10</v>
      </c>
      <c r="B152" s="2">
        <v>44713.0</v>
      </c>
      <c r="C152" s="3">
        <v>0.3055439814814815</v>
      </c>
      <c r="D152" s="1">
        <v>13.061044</v>
      </c>
      <c r="E152" s="1">
        <v>80.274416</v>
      </c>
      <c r="F152" s="1">
        <v>2846.0</v>
      </c>
      <c r="G152" s="1">
        <v>9.0</v>
      </c>
    </row>
    <row r="153">
      <c r="A153" s="1" t="s">
        <v>7</v>
      </c>
      <c r="B153" s="2">
        <v>44713.0</v>
      </c>
      <c r="C153" s="3">
        <v>0.3059027777777778</v>
      </c>
      <c r="D153" s="1">
        <v>12.605689</v>
      </c>
      <c r="E153" s="1">
        <v>79.920737</v>
      </c>
      <c r="F153" s="1">
        <v>805.0</v>
      </c>
      <c r="G153" s="1">
        <v>58.0</v>
      </c>
    </row>
    <row r="154">
      <c r="A154" s="1" t="s">
        <v>7</v>
      </c>
      <c r="B154" s="2">
        <v>44713.0</v>
      </c>
      <c r="C154" s="3">
        <v>0.30614583333333334</v>
      </c>
      <c r="D154" s="1">
        <v>12.60793</v>
      </c>
      <c r="E154" s="1">
        <v>79.921399</v>
      </c>
      <c r="F154" s="1">
        <v>805.0</v>
      </c>
      <c r="G154" s="1">
        <v>58.0</v>
      </c>
    </row>
    <row r="155">
      <c r="A155" s="1" t="s">
        <v>7</v>
      </c>
      <c r="B155" s="2">
        <v>44713.0</v>
      </c>
      <c r="C155" s="3">
        <v>0.30635416666666665</v>
      </c>
      <c r="D155" s="1">
        <v>12.60793</v>
      </c>
      <c r="E155" s="1">
        <v>79.921399</v>
      </c>
      <c r="F155" s="1">
        <v>805.0</v>
      </c>
      <c r="G155" s="1">
        <v>58.0</v>
      </c>
    </row>
    <row r="156">
      <c r="A156" s="1" t="s">
        <v>7</v>
      </c>
      <c r="B156" s="2">
        <v>44713.0</v>
      </c>
      <c r="C156" s="3">
        <v>0.3065625</v>
      </c>
      <c r="D156" s="1">
        <v>12.610107</v>
      </c>
      <c r="E156" s="1">
        <v>79.922633</v>
      </c>
      <c r="F156" s="1">
        <v>805.0</v>
      </c>
      <c r="G156" s="1">
        <v>58.0</v>
      </c>
    </row>
    <row r="157">
      <c r="A157" s="1" t="s">
        <v>7</v>
      </c>
      <c r="B157" s="2">
        <v>44713.0</v>
      </c>
      <c r="C157" s="3">
        <v>0.30668981481481483</v>
      </c>
      <c r="D157" s="1">
        <v>12.614301</v>
      </c>
      <c r="E157" s="1">
        <v>79.925073</v>
      </c>
      <c r="F157" s="1">
        <v>805.0</v>
      </c>
      <c r="G157" s="1">
        <v>58.0</v>
      </c>
    </row>
    <row r="158">
      <c r="A158" s="1" t="s">
        <v>10</v>
      </c>
      <c r="B158" s="2">
        <v>44713.0</v>
      </c>
      <c r="C158" s="3">
        <v>0.30671296296296297</v>
      </c>
      <c r="D158" s="1">
        <v>13.056923</v>
      </c>
      <c r="E158" s="1">
        <v>80.273946</v>
      </c>
      <c r="F158" s="1">
        <v>2846.0</v>
      </c>
      <c r="G158" s="1">
        <v>25.0</v>
      </c>
    </row>
    <row r="159">
      <c r="A159" s="1" t="s">
        <v>7</v>
      </c>
      <c r="B159" s="2">
        <v>44713.0</v>
      </c>
      <c r="C159" s="3">
        <v>0.3067361111111111</v>
      </c>
      <c r="D159" s="1">
        <v>12.614301</v>
      </c>
      <c r="E159" s="1">
        <v>79.925073</v>
      </c>
      <c r="F159" s="1">
        <v>805.0</v>
      </c>
      <c r="G159" s="1">
        <v>58.0</v>
      </c>
    </row>
    <row r="160">
      <c r="A160" s="1" t="s">
        <v>7</v>
      </c>
      <c r="B160" s="2">
        <v>44713.0</v>
      </c>
      <c r="C160" s="3">
        <v>0.30689814814814814</v>
      </c>
      <c r="D160" s="1">
        <v>12.616414</v>
      </c>
      <c r="E160" s="1">
        <v>79.926094</v>
      </c>
      <c r="F160" s="1">
        <v>805.0</v>
      </c>
      <c r="G160" s="1">
        <v>57.0</v>
      </c>
    </row>
    <row r="161">
      <c r="A161" s="1" t="s">
        <v>7</v>
      </c>
      <c r="B161" s="2">
        <v>44713.0</v>
      </c>
      <c r="C161" s="3">
        <v>0.30701388888888886</v>
      </c>
      <c r="D161" s="1">
        <v>12.618631</v>
      </c>
      <c r="E161" s="1">
        <v>79.926673</v>
      </c>
      <c r="F161" s="1">
        <v>805.0</v>
      </c>
      <c r="G161" s="1">
        <v>57.0</v>
      </c>
    </row>
    <row r="162">
      <c r="A162" s="1" t="s">
        <v>7</v>
      </c>
      <c r="B162" s="2">
        <v>44713.0</v>
      </c>
      <c r="C162" s="3">
        <v>0.30722222222222223</v>
      </c>
      <c r="D162" s="1">
        <v>12.621043</v>
      </c>
      <c r="E162" s="1">
        <v>79.927266</v>
      </c>
      <c r="F162" s="1">
        <v>805.0</v>
      </c>
      <c r="G162" s="1">
        <v>58.0</v>
      </c>
    </row>
    <row r="163">
      <c r="A163" s="1" t="s">
        <v>7</v>
      </c>
      <c r="B163" s="2">
        <v>44713.0</v>
      </c>
      <c r="C163" s="3">
        <v>0.3075462962962963</v>
      </c>
      <c r="D163" s="1">
        <v>12.625384</v>
      </c>
      <c r="E163" s="1">
        <v>79.929079</v>
      </c>
      <c r="F163" s="1">
        <v>805.0</v>
      </c>
      <c r="G163" s="1">
        <v>58.0</v>
      </c>
    </row>
    <row r="164">
      <c r="A164" s="1" t="s">
        <v>7</v>
      </c>
      <c r="B164" s="2">
        <v>44713.0</v>
      </c>
      <c r="C164" s="3">
        <v>0.30767361111111113</v>
      </c>
      <c r="D164" s="1">
        <v>12.625384</v>
      </c>
      <c r="E164" s="1">
        <v>79.929079</v>
      </c>
      <c r="F164" s="1">
        <v>805.0</v>
      </c>
      <c r="G164" s="1">
        <v>58.0</v>
      </c>
    </row>
    <row r="165">
      <c r="A165" s="1" t="s">
        <v>10</v>
      </c>
      <c r="B165" s="2">
        <v>44713.0</v>
      </c>
      <c r="C165" s="3">
        <v>0.3078356481481481</v>
      </c>
      <c r="D165" s="1">
        <v>12.627557</v>
      </c>
      <c r="E165" s="1">
        <v>79.930026</v>
      </c>
      <c r="F165" s="1">
        <v>805.0</v>
      </c>
      <c r="G165" s="1">
        <v>54.0</v>
      </c>
    </row>
    <row r="166">
      <c r="A166" s="1" t="s">
        <v>7</v>
      </c>
      <c r="B166" s="2">
        <v>44713.0</v>
      </c>
      <c r="C166" s="3">
        <v>0.3083564814814815</v>
      </c>
      <c r="D166" s="1">
        <v>12.631252</v>
      </c>
      <c r="E166" s="1">
        <v>79.93158</v>
      </c>
      <c r="F166" s="1">
        <v>805.0</v>
      </c>
      <c r="G166" s="1">
        <v>47.0</v>
      </c>
    </row>
    <row r="167">
      <c r="A167" s="1" t="s">
        <v>7</v>
      </c>
      <c r="B167" s="2">
        <v>44713.0</v>
      </c>
      <c r="C167" s="3">
        <v>0.308587962962963</v>
      </c>
      <c r="D167" s="1">
        <v>12.633258</v>
      </c>
      <c r="E167" s="1">
        <v>79.932462</v>
      </c>
      <c r="F167" s="1">
        <v>805.0</v>
      </c>
      <c r="G167" s="1">
        <v>59.0</v>
      </c>
    </row>
    <row r="168">
      <c r="A168" s="1" t="s">
        <v>7</v>
      </c>
      <c r="B168" s="2">
        <v>44713.0</v>
      </c>
      <c r="C168" s="3">
        <v>0.3087152777777778</v>
      </c>
      <c r="D168" s="1">
        <v>12.635534</v>
      </c>
      <c r="E168" s="1">
        <v>79.933484</v>
      </c>
      <c r="F168" s="1">
        <v>805.0</v>
      </c>
      <c r="G168" s="1">
        <v>58.0</v>
      </c>
    </row>
    <row r="169">
      <c r="A169" s="1" t="s">
        <v>7</v>
      </c>
      <c r="B169" s="2">
        <v>44713.0</v>
      </c>
      <c r="C169" s="3">
        <v>0.30909722222222225</v>
      </c>
      <c r="D169" s="1">
        <v>12.637539</v>
      </c>
      <c r="E169" s="1">
        <v>79.934687</v>
      </c>
      <c r="F169" s="1">
        <v>805.0</v>
      </c>
      <c r="G169" s="1">
        <v>58.0</v>
      </c>
    </row>
    <row r="170">
      <c r="A170" s="1" t="s">
        <v>8</v>
      </c>
      <c r="B170" s="2">
        <v>44713.0</v>
      </c>
      <c r="C170" s="3">
        <v>0.3093402777777778</v>
      </c>
      <c r="D170" s="1">
        <v>12.641655</v>
      </c>
      <c r="E170" s="1">
        <v>79.937271</v>
      </c>
      <c r="F170" s="1">
        <v>805.0</v>
      </c>
      <c r="G170" s="1">
        <v>58.0</v>
      </c>
    </row>
    <row r="171">
      <c r="A171" s="1" t="s">
        <v>8</v>
      </c>
      <c r="B171" s="2">
        <v>44713.0</v>
      </c>
      <c r="C171" s="3">
        <v>0.31047453703703703</v>
      </c>
      <c r="D171" s="1">
        <v>12.653916</v>
      </c>
      <c r="E171" s="1">
        <v>79.940029</v>
      </c>
      <c r="F171" s="1">
        <v>805.0</v>
      </c>
      <c r="G171" s="1">
        <v>55.0</v>
      </c>
    </row>
    <row r="172">
      <c r="A172" s="1" t="s">
        <v>8</v>
      </c>
      <c r="B172" s="2">
        <v>44713.0</v>
      </c>
      <c r="C172" s="3">
        <v>0.3115277777777778</v>
      </c>
      <c r="D172" s="1">
        <v>12.657813</v>
      </c>
      <c r="E172" s="1">
        <v>79.941476</v>
      </c>
      <c r="F172" s="1">
        <v>805.0</v>
      </c>
      <c r="G172" s="1">
        <v>56.0</v>
      </c>
    </row>
    <row r="173">
      <c r="A173" s="1" t="s">
        <v>7</v>
      </c>
      <c r="B173" s="2">
        <v>44713.0</v>
      </c>
      <c r="C173" s="3">
        <v>0.31188657407407405</v>
      </c>
      <c r="D173" s="1">
        <v>12.656141</v>
      </c>
      <c r="E173" s="1">
        <v>79.951721</v>
      </c>
      <c r="F173" s="1">
        <v>805.0</v>
      </c>
      <c r="G173" s="1">
        <v>37.0</v>
      </c>
    </row>
    <row r="174">
      <c r="A174" s="1" t="s">
        <v>8</v>
      </c>
      <c r="B174" s="2">
        <v>44713.0</v>
      </c>
      <c r="C174" s="3">
        <v>0.31190972222222224</v>
      </c>
      <c r="D174" s="1">
        <v>13.05436</v>
      </c>
      <c r="E174" s="1">
        <v>80.258608</v>
      </c>
      <c r="F174" s="1">
        <v>2846.0</v>
      </c>
      <c r="G174" s="1">
        <v>42.0</v>
      </c>
    </row>
    <row r="175">
      <c r="A175" s="1" t="s">
        <v>8</v>
      </c>
      <c r="B175" s="2">
        <v>44713.0</v>
      </c>
      <c r="C175" s="3">
        <v>0.3120949074074074</v>
      </c>
      <c r="D175" s="1">
        <v>13.054712</v>
      </c>
      <c r="E175" s="1">
        <v>80.254456</v>
      </c>
      <c r="F175" s="1">
        <v>2846.0</v>
      </c>
      <c r="G175" s="1">
        <v>21.0</v>
      </c>
    </row>
    <row r="176">
      <c r="A176" s="1" t="s">
        <v>8</v>
      </c>
      <c r="B176" s="2">
        <v>44713.0</v>
      </c>
      <c r="C176" s="3">
        <v>0.3121875</v>
      </c>
      <c r="D176" s="1">
        <v>13.053204</v>
      </c>
      <c r="E176" s="1">
        <v>80.252145</v>
      </c>
      <c r="F176" s="1">
        <v>2846.0</v>
      </c>
      <c r="G176" s="1">
        <v>46.0</v>
      </c>
    </row>
    <row r="177">
      <c r="A177" s="1" t="s">
        <v>10</v>
      </c>
      <c r="B177" s="2">
        <v>44713.0</v>
      </c>
      <c r="C177" s="3">
        <v>0.3127199074074074</v>
      </c>
      <c r="D177" s="1">
        <v>13.049029</v>
      </c>
      <c r="E177" s="1">
        <v>80.249786</v>
      </c>
      <c r="F177" s="1">
        <v>2846.0</v>
      </c>
      <c r="G177" s="1">
        <v>39.0</v>
      </c>
    </row>
    <row r="178">
      <c r="A178" s="1" t="s">
        <v>7</v>
      </c>
      <c r="B178" s="2">
        <v>44713.0</v>
      </c>
      <c r="C178" s="3">
        <v>0.3141087962962963</v>
      </c>
      <c r="D178" s="1">
        <v>12.66477</v>
      </c>
      <c r="E178" s="1">
        <v>79.968914</v>
      </c>
      <c r="F178" s="1">
        <v>805.0</v>
      </c>
      <c r="G178" s="1">
        <v>46.0</v>
      </c>
    </row>
    <row r="179">
      <c r="A179" s="1" t="s">
        <v>7</v>
      </c>
      <c r="B179" s="2">
        <v>44713.0</v>
      </c>
      <c r="C179" s="3">
        <v>0.31427083333333333</v>
      </c>
      <c r="D179" s="1">
        <v>12.666115</v>
      </c>
      <c r="E179" s="1">
        <v>79.970296</v>
      </c>
      <c r="F179" s="1">
        <v>805.0</v>
      </c>
      <c r="G179" s="1">
        <v>53.0</v>
      </c>
    </row>
    <row r="180">
      <c r="A180" s="1" t="s">
        <v>8</v>
      </c>
      <c r="B180" s="2">
        <v>44713.0</v>
      </c>
      <c r="C180" s="3">
        <v>0.31440972222222224</v>
      </c>
      <c r="D180" s="1">
        <v>13.040589</v>
      </c>
      <c r="E180" s="1">
        <v>80.24727</v>
      </c>
      <c r="F180" s="1">
        <v>2846.0</v>
      </c>
      <c r="G180" s="1">
        <v>34.0</v>
      </c>
    </row>
    <row r="181">
      <c r="A181" s="1" t="s">
        <v>8</v>
      </c>
      <c r="B181" s="2">
        <v>44713.0</v>
      </c>
      <c r="C181" s="3">
        <v>0.31450231481481483</v>
      </c>
      <c r="D181" s="1">
        <v>13.03978</v>
      </c>
      <c r="E181" s="1">
        <v>80.247116</v>
      </c>
      <c r="F181" s="1">
        <v>2846.0</v>
      </c>
      <c r="G181" s="1">
        <v>29.0</v>
      </c>
    </row>
    <row r="182">
      <c r="A182" s="1" t="s">
        <v>7</v>
      </c>
      <c r="B182" s="2">
        <v>44713.0</v>
      </c>
      <c r="C182" s="3">
        <v>0.31453703703703706</v>
      </c>
      <c r="D182" s="1">
        <v>12.667518</v>
      </c>
      <c r="E182" s="1">
        <v>79.972042</v>
      </c>
      <c r="F182" s="1">
        <v>805.0</v>
      </c>
      <c r="G182" s="1">
        <v>54.0</v>
      </c>
    </row>
    <row r="183">
      <c r="A183" s="1" t="s">
        <v>8</v>
      </c>
      <c r="B183" s="2">
        <v>44713.0</v>
      </c>
      <c r="C183" s="3">
        <v>0.3145601851851852</v>
      </c>
      <c r="D183" s="1">
        <v>13.03978</v>
      </c>
      <c r="E183" s="1">
        <v>80.247116</v>
      </c>
      <c r="F183" s="1">
        <v>2846.0</v>
      </c>
      <c r="G183" s="1">
        <v>29.0</v>
      </c>
    </row>
    <row r="184">
      <c r="A184" s="1" t="s">
        <v>7</v>
      </c>
      <c r="B184" s="2">
        <v>44713.0</v>
      </c>
      <c r="C184" s="3">
        <v>0.3148148148148148</v>
      </c>
      <c r="D184" s="1">
        <v>13.036987</v>
      </c>
      <c r="E184" s="1">
        <v>80.246466</v>
      </c>
      <c r="F184" s="1">
        <v>2846.0</v>
      </c>
      <c r="G184" s="1">
        <v>54.0</v>
      </c>
    </row>
    <row r="185">
      <c r="A185" s="1" t="s">
        <v>8</v>
      </c>
      <c r="B185" s="2">
        <v>44713.0</v>
      </c>
      <c r="C185" s="3">
        <v>0.3151967592592593</v>
      </c>
      <c r="D185" s="1">
        <v>13.034943</v>
      </c>
      <c r="E185" s="1">
        <v>80.245836</v>
      </c>
      <c r="F185" s="1">
        <v>2846.0</v>
      </c>
      <c r="G185" s="1">
        <v>18.0</v>
      </c>
    </row>
    <row r="186">
      <c r="A186" s="1" t="s">
        <v>8</v>
      </c>
      <c r="B186" s="2">
        <v>44713.0</v>
      </c>
      <c r="C186" s="3">
        <v>0.31733796296296296</v>
      </c>
      <c r="D186" s="1">
        <v>13.026211</v>
      </c>
      <c r="E186" s="1">
        <v>80.232366</v>
      </c>
      <c r="F186" s="1">
        <v>2846.0</v>
      </c>
      <c r="G186" s="1">
        <v>18.0</v>
      </c>
    </row>
    <row r="187">
      <c r="A187" s="1" t="s">
        <v>8</v>
      </c>
      <c r="B187" s="2">
        <v>44713.0</v>
      </c>
      <c r="C187" s="3">
        <v>0.31810185185185186</v>
      </c>
      <c r="D187" s="1">
        <v>13.02456</v>
      </c>
      <c r="E187" s="1">
        <v>80.22893</v>
      </c>
      <c r="F187" s="1">
        <v>2846.0</v>
      </c>
      <c r="G187" s="1">
        <v>24.0</v>
      </c>
    </row>
    <row r="188">
      <c r="A188" s="1" t="s">
        <v>8</v>
      </c>
      <c r="B188" s="2">
        <v>44713.0</v>
      </c>
      <c r="C188" s="3">
        <v>0.3184837962962963</v>
      </c>
      <c r="D188" s="1">
        <v>13.023507</v>
      </c>
      <c r="E188" s="1">
        <v>80.227613</v>
      </c>
      <c r="F188" s="1">
        <v>2846.0</v>
      </c>
      <c r="G188" s="1">
        <v>36.0</v>
      </c>
    </row>
    <row r="189">
      <c r="A189" s="1" t="s">
        <v>8</v>
      </c>
      <c r="B189" s="2">
        <v>44713.0</v>
      </c>
      <c r="C189" s="3">
        <v>0.3185763888888889</v>
      </c>
      <c r="D189" s="1">
        <v>13.022054</v>
      </c>
      <c r="E189" s="1">
        <v>80.226318</v>
      </c>
      <c r="F189" s="1">
        <v>2846.0</v>
      </c>
      <c r="G189" s="1">
        <v>37.0</v>
      </c>
    </row>
    <row r="190">
      <c r="A190" s="1" t="s">
        <v>8</v>
      </c>
      <c r="B190" s="2">
        <v>44713.0</v>
      </c>
      <c r="C190" s="3">
        <v>0.3186921296296296</v>
      </c>
      <c r="D190" s="1">
        <v>13.021284</v>
      </c>
      <c r="E190" s="1">
        <v>80.225772</v>
      </c>
      <c r="F190" s="1">
        <v>2846.0</v>
      </c>
      <c r="G190" s="1">
        <v>34.0</v>
      </c>
    </row>
    <row r="191">
      <c r="A191" s="1" t="s">
        <v>8</v>
      </c>
      <c r="B191" s="2">
        <v>44713.0</v>
      </c>
      <c r="C191" s="3">
        <v>0.3208564814814815</v>
      </c>
      <c r="D191" s="1">
        <v>13.012879</v>
      </c>
      <c r="E191" s="1">
        <v>80.226848</v>
      </c>
      <c r="F191" s="1">
        <v>2846.0</v>
      </c>
      <c r="G191" s="1">
        <v>44.0</v>
      </c>
    </row>
    <row r="192">
      <c r="A192" s="1" t="s">
        <v>8</v>
      </c>
      <c r="B192" s="2">
        <v>44713.0</v>
      </c>
      <c r="C192" s="3">
        <v>0.3211921296296296</v>
      </c>
      <c r="D192" s="1">
        <v>13.009793</v>
      </c>
      <c r="E192" s="1">
        <v>80.226996</v>
      </c>
      <c r="F192" s="1">
        <v>2846.0</v>
      </c>
      <c r="G192" s="1">
        <v>39.0</v>
      </c>
    </row>
    <row r="193">
      <c r="A193" s="1" t="s">
        <v>8</v>
      </c>
      <c r="B193" s="2">
        <v>44713.0</v>
      </c>
      <c r="C193" s="3">
        <v>0.3219328703703704</v>
      </c>
      <c r="D193" s="1">
        <v>13.011305</v>
      </c>
      <c r="E193" s="1">
        <v>80.223556</v>
      </c>
      <c r="F193" s="1">
        <v>2846.0</v>
      </c>
      <c r="G193" s="1">
        <v>10.0</v>
      </c>
    </row>
    <row r="194">
      <c r="A194" s="1" t="s">
        <v>8</v>
      </c>
      <c r="B194" s="2">
        <v>44713.0</v>
      </c>
      <c r="C194" s="3">
        <v>0.32212962962962965</v>
      </c>
      <c r="D194" s="1">
        <v>13.011501</v>
      </c>
      <c r="E194" s="1">
        <v>80.223093</v>
      </c>
      <c r="F194" s="1">
        <v>2846.0</v>
      </c>
      <c r="G194" s="1">
        <v>29.0</v>
      </c>
    </row>
    <row r="195">
      <c r="A195" s="1" t="s">
        <v>10</v>
      </c>
      <c r="B195" s="2">
        <v>44713.0</v>
      </c>
      <c r="C195" s="3">
        <v>0.3227199074074074</v>
      </c>
      <c r="D195" s="1">
        <v>12.696756</v>
      </c>
      <c r="E195" s="1">
        <v>79.976834</v>
      </c>
      <c r="F195" s="1">
        <v>805.0</v>
      </c>
      <c r="G195" s="1">
        <v>18.0</v>
      </c>
    </row>
    <row r="196">
      <c r="A196" s="1" t="s">
        <v>10</v>
      </c>
      <c r="B196" s="2">
        <v>44713.0</v>
      </c>
      <c r="C196" s="3">
        <v>0.32296296296296295</v>
      </c>
      <c r="D196" s="1">
        <v>12.697349</v>
      </c>
      <c r="E196" s="1">
        <v>79.976465</v>
      </c>
      <c r="F196" s="1">
        <v>805.0</v>
      </c>
      <c r="G196" s="1">
        <v>27.0</v>
      </c>
    </row>
    <row r="197">
      <c r="A197" s="1" t="s">
        <v>8</v>
      </c>
      <c r="B197" s="2">
        <v>44713.0</v>
      </c>
      <c r="C197" s="3">
        <v>0.32349537037037035</v>
      </c>
      <c r="D197" s="1">
        <v>12.697702</v>
      </c>
      <c r="E197" s="1">
        <v>79.976182</v>
      </c>
      <c r="F197" s="1">
        <v>805.0</v>
      </c>
      <c r="G197" s="1">
        <v>17.0</v>
      </c>
    </row>
    <row r="198">
      <c r="A198" s="1" t="s">
        <v>8</v>
      </c>
      <c r="B198" s="2">
        <v>44713.0</v>
      </c>
      <c r="C198" s="3">
        <v>0.3235300925925926</v>
      </c>
      <c r="D198" s="1">
        <v>13.010958</v>
      </c>
      <c r="E198" s="1">
        <v>80.217332</v>
      </c>
      <c r="F198" s="1">
        <v>2846.0</v>
      </c>
      <c r="G198" s="1">
        <v>52.0</v>
      </c>
    </row>
    <row r="199">
      <c r="A199" s="1" t="s">
        <v>7</v>
      </c>
      <c r="B199" s="2">
        <v>44713.0</v>
      </c>
      <c r="C199" s="3">
        <v>0.3245138888888889</v>
      </c>
      <c r="D199" s="1">
        <v>12.697172</v>
      </c>
      <c r="E199" s="1">
        <v>79.972959</v>
      </c>
      <c r="F199" s="1">
        <v>805.0</v>
      </c>
      <c r="G199" s="1">
        <v>0.0</v>
      </c>
    </row>
    <row r="200">
      <c r="A200" s="1" t="s">
        <v>8</v>
      </c>
      <c r="B200" s="2">
        <v>44713.0</v>
      </c>
      <c r="C200" s="3">
        <v>0.3245486111111111</v>
      </c>
      <c r="D200" s="1">
        <v>13.010101</v>
      </c>
      <c r="E200" s="1">
        <v>80.214912</v>
      </c>
      <c r="F200" s="1">
        <v>2846.0</v>
      </c>
      <c r="G200" s="1">
        <v>51.0</v>
      </c>
    </row>
    <row r="201">
      <c r="A201" s="1" t="s">
        <v>8</v>
      </c>
      <c r="B201" s="2">
        <v>44713.0</v>
      </c>
      <c r="C201" s="3">
        <v>0.32461805555555556</v>
      </c>
      <c r="D201" s="1">
        <v>13.009668</v>
      </c>
      <c r="E201" s="1">
        <v>80.2136</v>
      </c>
      <c r="F201" s="1">
        <v>2846.0</v>
      </c>
      <c r="G201" s="1">
        <v>55.0</v>
      </c>
    </row>
    <row r="202">
      <c r="A202" s="1" t="s">
        <v>8</v>
      </c>
      <c r="B202" s="2">
        <v>44713.0</v>
      </c>
      <c r="C202" s="3">
        <v>0.3246759259259259</v>
      </c>
      <c r="D202" s="1">
        <v>13.009668</v>
      </c>
      <c r="E202" s="1">
        <v>80.2136</v>
      </c>
      <c r="F202" s="1">
        <v>2846.0</v>
      </c>
      <c r="G202" s="1">
        <v>55.0</v>
      </c>
    </row>
    <row r="203">
      <c r="A203" s="1" t="s">
        <v>7</v>
      </c>
      <c r="B203" s="2">
        <v>44713.0</v>
      </c>
      <c r="C203" s="3">
        <v>0.3249768518518519</v>
      </c>
      <c r="D203" s="1">
        <v>12.697174</v>
      </c>
      <c r="E203" s="1">
        <v>79.97278</v>
      </c>
      <c r="F203" s="1">
        <v>805.0</v>
      </c>
      <c r="G203" s="1">
        <v>15.0</v>
      </c>
    </row>
    <row r="204">
      <c r="A204" s="1" t="s">
        <v>7</v>
      </c>
      <c r="B204" s="2">
        <v>44713.0</v>
      </c>
      <c r="C204" s="3">
        <v>0.3251273148148148</v>
      </c>
      <c r="D204" s="1">
        <v>12.697246</v>
      </c>
      <c r="E204" s="1">
        <v>79.972323</v>
      </c>
      <c r="F204" s="1">
        <v>805.0</v>
      </c>
      <c r="G204" s="1">
        <v>24.0</v>
      </c>
    </row>
    <row r="205">
      <c r="A205" s="1" t="s">
        <v>8</v>
      </c>
      <c r="B205" s="2">
        <v>44713.0</v>
      </c>
      <c r="C205" s="3">
        <v>0.3256134259259259</v>
      </c>
      <c r="D205" s="1">
        <v>13.008908</v>
      </c>
      <c r="E205" s="1">
        <v>80.211645</v>
      </c>
      <c r="F205" s="1">
        <v>2846.0</v>
      </c>
      <c r="G205" s="1">
        <v>28.0</v>
      </c>
    </row>
    <row r="206">
      <c r="A206" s="1" t="s">
        <v>8</v>
      </c>
      <c r="B206" s="2">
        <v>44713.0</v>
      </c>
      <c r="C206" s="3">
        <v>0.32578703703703704</v>
      </c>
      <c r="D206" s="1">
        <v>12.697522</v>
      </c>
      <c r="E206" s="1">
        <v>79.971618</v>
      </c>
      <c r="F206" s="1">
        <v>805.0</v>
      </c>
      <c r="G206" s="1">
        <v>0.0</v>
      </c>
    </row>
    <row r="207">
      <c r="A207" s="1" t="s">
        <v>7</v>
      </c>
      <c r="B207" s="2">
        <v>44713.0</v>
      </c>
      <c r="C207" s="3">
        <v>0.3262962962962963</v>
      </c>
      <c r="D207" s="1">
        <v>12.703252</v>
      </c>
      <c r="E207" s="1">
        <v>79.971392</v>
      </c>
      <c r="F207" s="1">
        <v>805.0</v>
      </c>
      <c r="G207" s="1">
        <v>58.0</v>
      </c>
    </row>
    <row r="208">
      <c r="A208" s="1" t="s">
        <v>7</v>
      </c>
      <c r="B208" s="2">
        <v>44713.0</v>
      </c>
      <c r="C208" s="3">
        <v>0.32657407407407407</v>
      </c>
      <c r="D208" s="1">
        <v>12.703252</v>
      </c>
      <c r="E208" s="1">
        <v>79.971392</v>
      </c>
      <c r="F208" s="1">
        <v>805.0</v>
      </c>
      <c r="G208" s="1">
        <v>58.0</v>
      </c>
    </row>
    <row r="209">
      <c r="A209" s="1" t="s">
        <v>8</v>
      </c>
      <c r="B209" s="2">
        <v>44713.0</v>
      </c>
      <c r="C209" s="3">
        <v>0.32711805555555556</v>
      </c>
      <c r="D209" s="1">
        <v>13.003073</v>
      </c>
      <c r="E209" s="1">
        <v>80.200804</v>
      </c>
      <c r="F209" s="1">
        <v>2846.0</v>
      </c>
      <c r="G209" s="1">
        <v>42.0</v>
      </c>
    </row>
    <row r="210">
      <c r="A210" s="1" t="s">
        <v>8</v>
      </c>
      <c r="B210" s="2">
        <v>44713.0</v>
      </c>
      <c r="C210" s="3">
        <v>0.32722222222222225</v>
      </c>
      <c r="D210" s="1">
        <v>13.000922</v>
      </c>
      <c r="E210" s="1">
        <v>80.195361</v>
      </c>
      <c r="F210" s="1">
        <v>2846.0</v>
      </c>
      <c r="G210" s="1">
        <v>34.0</v>
      </c>
    </row>
    <row r="211">
      <c r="A211" s="1" t="s">
        <v>7</v>
      </c>
      <c r="B211" s="2">
        <v>44713.0</v>
      </c>
      <c r="C211" s="3">
        <v>0.3273611111111111</v>
      </c>
      <c r="D211" s="1">
        <v>12.706974</v>
      </c>
      <c r="E211" s="1">
        <v>79.975984</v>
      </c>
      <c r="F211" s="1">
        <v>805.0</v>
      </c>
      <c r="G211" s="1">
        <v>58.0</v>
      </c>
    </row>
    <row r="212">
      <c r="A212" s="1" t="s">
        <v>8</v>
      </c>
      <c r="B212" s="2">
        <v>44713.0</v>
      </c>
      <c r="C212" s="3">
        <v>0.3275810185185185</v>
      </c>
      <c r="D212" s="1">
        <v>12.71422</v>
      </c>
      <c r="E212" s="1">
        <v>79.98012</v>
      </c>
      <c r="F212" s="1">
        <v>805.0</v>
      </c>
      <c r="G212" s="1">
        <v>46.0</v>
      </c>
    </row>
    <row r="213">
      <c r="A213" s="1" t="s">
        <v>7</v>
      </c>
      <c r="B213" s="2">
        <v>44713.0</v>
      </c>
      <c r="C213" s="3">
        <v>0.3285300925925926</v>
      </c>
      <c r="D213" s="1">
        <v>12.729431</v>
      </c>
      <c r="E213" s="1">
        <v>79.98269</v>
      </c>
      <c r="F213" s="1">
        <v>805.0</v>
      </c>
      <c r="G213" s="1">
        <v>53.0</v>
      </c>
    </row>
    <row r="214">
      <c r="A214" s="1" t="s">
        <v>8</v>
      </c>
      <c r="B214" s="2">
        <v>44713.0</v>
      </c>
      <c r="C214" s="3">
        <v>0.3286574074074074</v>
      </c>
      <c r="D214" s="1">
        <v>12.989675</v>
      </c>
      <c r="E214" s="1">
        <v>80.179192</v>
      </c>
      <c r="F214" s="1">
        <v>2846.0</v>
      </c>
      <c r="G214" s="1">
        <v>0.0</v>
      </c>
    </row>
    <row r="215">
      <c r="A215" s="1" t="s">
        <v>7</v>
      </c>
      <c r="B215" s="2">
        <v>44713.0</v>
      </c>
      <c r="C215" s="3">
        <v>0.32895833333333335</v>
      </c>
      <c r="D215" s="1">
        <v>12.729431</v>
      </c>
      <c r="E215" s="1">
        <v>79.98269</v>
      </c>
      <c r="F215" s="1">
        <v>805.0</v>
      </c>
      <c r="G215" s="1">
        <v>53.0</v>
      </c>
    </row>
    <row r="216">
      <c r="A216" s="1" t="s">
        <v>8</v>
      </c>
      <c r="B216" s="2">
        <v>44713.0</v>
      </c>
      <c r="C216" s="3">
        <v>0.3290740740740741</v>
      </c>
      <c r="D216" s="1">
        <v>12.729431</v>
      </c>
      <c r="E216" s="1">
        <v>79.98269</v>
      </c>
      <c r="F216" s="1">
        <v>805.0</v>
      </c>
      <c r="G216" s="1">
        <v>53.0</v>
      </c>
    </row>
    <row r="217">
      <c r="A217" s="1" t="s">
        <v>7</v>
      </c>
      <c r="B217" s="2">
        <v>44713.0</v>
      </c>
      <c r="C217" s="3">
        <v>0.3294097222222222</v>
      </c>
      <c r="D217" s="1">
        <v>12.98962</v>
      </c>
      <c r="E217" s="1">
        <v>80.17912</v>
      </c>
      <c r="F217" s="1">
        <v>2846.0</v>
      </c>
      <c r="G217" s="1">
        <v>15.0</v>
      </c>
    </row>
    <row r="218">
      <c r="A218" s="1" t="s">
        <v>8</v>
      </c>
      <c r="B218" s="2">
        <v>44713.0</v>
      </c>
      <c r="C218" s="3">
        <v>0.32947916666666666</v>
      </c>
      <c r="D218" s="1">
        <v>12.986855</v>
      </c>
      <c r="E218" s="1">
        <v>80.175451</v>
      </c>
      <c r="F218" s="1">
        <v>2846.0</v>
      </c>
      <c r="G218" s="1">
        <v>50.0</v>
      </c>
    </row>
    <row r="219">
      <c r="A219" s="1" t="s">
        <v>7</v>
      </c>
      <c r="B219" s="2">
        <v>44713.0</v>
      </c>
      <c r="C219" s="3">
        <v>0.32961805555555557</v>
      </c>
      <c r="D219" s="1">
        <v>12.986855</v>
      </c>
      <c r="E219" s="1">
        <v>80.175451</v>
      </c>
      <c r="F219" s="1">
        <v>2846.0</v>
      </c>
      <c r="G219" s="1">
        <v>50.0</v>
      </c>
    </row>
    <row r="220">
      <c r="A220" s="1" t="s">
        <v>7</v>
      </c>
      <c r="B220" s="2">
        <v>44713.0</v>
      </c>
      <c r="C220" s="3">
        <v>0.3299537037037037</v>
      </c>
      <c r="D220" s="1">
        <v>12.986572</v>
      </c>
      <c r="E220" s="1">
        <v>80.175039</v>
      </c>
      <c r="F220" s="1">
        <v>2846.0</v>
      </c>
      <c r="G220" s="1">
        <v>0.0</v>
      </c>
    </row>
    <row r="221">
      <c r="A221" s="1" t="s">
        <v>7</v>
      </c>
      <c r="B221" s="2">
        <v>44713.0</v>
      </c>
      <c r="C221" s="3">
        <v>0.3299537037037037</v>
      </c>
      <c r="D221" s="1">
        <v>12.734727</v>
      </c>
      <c r="E221" s="1">
        <v>79.985256</v>
      </c>
      <c r="F221" s="1">
        <v>805.0</v>
      </c>
      <c r="G221" s="1">
        <v>47.0</v>
      </c>
    </row>
    <row r="222">
      <c r="A222" s="1" t="s">
        <v>8</v>
      </c>
      <c r="B222" s="2">
        <v>44713.0</v>
      </c>
      <c r="C222" s="3">
        <v>0.33001157407407405</v>
      </c>
      <c r="D222" s="1">
        <v>12.986581</v>
      </c>
      <c r="E222" s="1">
        <v>80.175037</v>
      </c>
      <c r="F222" s="1">
        <v>2846.0</v>
      </c>
      <c r="G222" s="1">
        <v>0.0</v>
      </c>
    </row>
    <row r="223">
      <c r="A223" s="1" t="s">
        <v>7</v>
      </c>
      <c r="B223" s="2">
        <v>44713.0</v>
      </c>
      <c r="C223" s="3">
        <v>0.33011574074074074</v>
      </c>
      <c r="D223" s="1">
        <v>12.734727</v>
      </c>
      <c r="E223" s="1">
        <v>79.985256</v>
      </c>
      <c r="F223" s="1">
        <v>805.0</v>
      </c>
      <c r="G223" s="1">
        <v>47.0</v>
      </c>
    </row>
    <row r="224">
      <c r="A224" s="1" t="s">
        <v>7</v>
      </c>
      <c r="B224" s="2">
        <v>44713.0</v>
      </c>
      <c r="C224" s="3">
        <v>0.33019675925925923</v>
      </c>
      <c r="D224" s="1">
        <v>12.734727</v>
      </c>
      <c r="E224" s="1">
        <v>79.985256</v>
      </c>
      <c r="F224" s="1">
        <v>805.0</v>
      </c>
      <c r="G224" s="1">
        <v>47.0</v>
      </c>
    </row>
    <row r="225">
      <c r="A225" s="1" t="s">
        <v>7</v>
      </c>
      <c r="B225" s="2">
        <v>44713.0</v>
      </c>
      <c r="C225" s="3">
        <v>0.33069444444444446</v>
      </c>
      <c r="D225" s="1">
        <v>12.985944</v>
      </c>
      <c r="E225" s="1">
        <v>80.174062</v>
      </c>
      <c r="F225" s="1">
        <v>2846.0</v>
      </c>
      <c r="G225" s="1">
        <v>45.0</v>
      </c>
    </row>
    <row r="226">
      <c r="A226" s="1" t="s">
        <v>7</v>
      </c>
      <c r="B226" s="2">
        <v>44713.0</v>
      </c>
      <c r="C226" s="3">
        <v>0.3312615740740741</v>
      </c>
      <c r="D226" s="1">
        <v>12.985944</v>
      </c>
      <c r="E226" s="1">
        <v>80.174062</v>
      </c>
      <c r="F226" s="1">
        <v>2846.0</v>
      </c>
      <c r="G226" s="1">
        <v>45.0</v>
      </c>
    </row>
    <row r="227">
      <c r="A227" s="1" t="s">
        <v>8</v>
      </c>
      <c r="B227" s="2">
        <v>44713.0</v>
      </c>
      <c r="C227" s="3">
        <v>0.3315046296296296</v>
      </c>
      <c r="D227" s="1">
        <v>12.985184</v>
      </c>
      <c r="E227" s="1">
        <v>80.172958</v>
      </c>
      <c r="F227" s="1">
        <v>2846.0</v>
      </c>
      <c r="G227" s="1">
        <v>56.0</v>
      </c>
    </row>
    <row r="228">
      <c r="A228" s="1" t="s">
        <v>7</v>
      </c>
      <c r="B228" s="2">
        <v>44713.0</v>
      </c>
      <c r="C228" s="3">
        <v>0.3319675925925926</v>
      </c>
      <c r="D228" s="1">
        <v>12.744173</v>
      </c>
      <c r="E228" s="1">
        <v>79.993056</v>
      </c>
      <c r="F228" s="1">
        <v>805.0</v>
      </c>
      <c r="G228" s="1">
        <v>44.0</v>
      </c>
    </row>
    <row r="229">
      <c r="A229" s="1" t="s">
        <v>7</v>
      </c>
      <c r="B229" s="2">
        <v>44713.0</v>
      </c>
      <c r="C229" s="3">
        <v>0.33231481481481484</v>
      </c>
      <c r="D229" s="1">
        <v>12.745215</v>
      </c>
      <c r="E229" s="1">
        <v>79.993895</v>
      </c>
      <c r="F229" s="1">
        <v>805.0</v>
      </c>
      <c r="G229" s="1">
        <v>57.0</v>
      </c>
    </row>
    <row r="230">
      <c r="A230" s="1" t="s">
        <v>8</v>
      </c>
      <c r="B230" s="2">
        <v>44713.0</v>
      </c>
      <c r="C230" s="3">
        <v>0.33295138888888887</v>
      </c>
      <c r="D230" s="1">
        <v>12.980644</v>
      </c>
      <c r="E230" s="1">
        <v>80.165306</v>
      </c>
      <c r="F230" s="1">
        <v>2846.0</v>
      </c>
      <c r="G230" s="1">
        <v>58.0</v>
      </c>
    </row>
    <row r="231">
      <c r="A231" s="1" t="s">
        <v>7</v>
      </c>
      <c r="B231" s="2">
        <v>44713.0</v>
      </c>
      <c r="C231" s="3">
        <v>0.3334722222222222</v>
      </c>
      <c r="D231" s="1">
        <v>12.748661</v>
      </c>
      <c r="E231" s="1">
        <v>79.996718</v>
      </c>
      <c r="F231" s="1">
        <v>805.0</v>
      </c>
      <c r="G231" s="1">
        <v>58.0</v>
      </c>
    </row>
    <row r="232">
      <c r="A232" s="1" t="s">
        <v>8</v>
      </c>
      <c r="B232" s="2">
        <v>44713.0</v>
      </c>
      <c r="C232" s="3">
        <v>0.33375</v>
      </c>
      <c r="D232" s="1">
        <v>12.972456</v>
      </c>
      <c r="E232" s="1">
        <v>80.151849</v>
      </c>
      <c r="F232" s="1">
        <v>2846.0</v>
      </c>
      <c r="G232" s="1">
        <v>24.0</v>
      </c>
    </row>
    <row r="233">
      <c r="A233" s="1" t="s">
        <v>8</v>
      </c>
      <c r="B233" s="2">
        <v>44713.0</v>
      </c>
      <c r="C233" s="3">
        <v>0.3337731481481481</v>
      </c>
      <c r="D233" s="1">
        <v>12.972404</v>
      </c>
      <c r="E233" s="1">
        <v>80.151786</v>
      </c>
      <c r="F233" s="1">
        <v>2846.0</v>
      </c>
      <c r="G233" s="1">
        <v>0.0</v>
      </c>
    </row>
    <row r="234">
      <c r="A234" s="1" t="s">
        <v>8</v>
      </c>
      <c r="B234" s="2">
        <v>44713.0</v>
      </c>
      <c r="C234" s="3">
        <v>0.3344560185185185</v>
      </c>
      <c r="D234" s="1">
        <v>12.966983</v>
      </c>
      <c r="E234" s="1">
        <v>80.148989</v>
      </c>
      <c r="F234" s="1">
        <v>2846.0</v>
      </c>
      <c r="G234" s="1">
        <v>12.0</v>
      </c>
    </row>
    <row r="235">
      <c r="A235" s="1" t="s">
        <v>8</v>
      </c>
      <c r="B235" s="2">
        <v>44713.0</v>
      </c>
      <c r="C235" s="3">
        <v>0.3347685185185185</v>
      </c>
      <c r="D235" s="1">
        <v>12.96606</v>
      </c>
      <c r="E235" s="1">
        <v>80.148542</v>
      </c>
      <c r="F235" s="1">
        <v>2846.0</v>
      </c>
      <c r="G235" s="1">
        <v>29.0</v>
      </c>
    </row>
    <row r="236">
      <c r="A236" s="1" t="s">
        <v>7</v>
      </c>
      <c r="B236" s="2">
        <v>44713.0</v>
      </c>
      <c r="C236" s="3">
        <v>0.335</v>
      </c>
      <c r="D236" s="1">
        <v>12.780423</v>
      </c>
      <c r="E236" s="1">
        <v>80.011834</v>
      </c>
      <c r="F236" s="1">
        <v>805.0</v>
      </c>
      <c r="G236" s="1">
        <v>58.0</v>
      </c>
    </row>
    <row r="237">
      <c r="A237" s="1" t="s">
        <v>7</v>
      </c>
      <c r="B237" s="2">
        <v>44713.0</v>
      </c>
      <c r="C237" s="3">
        <v>0.3362731481481481</v>
      </c>
      <c r="D237" s="1">
        <v>12.955655</v>
      </c>
      <c r="E237" s="1">
        <v>80.142948</v>
      </c>
      <c r="F237" s="1">
        <v>2846.0</v>
      </c>
      <c r="G237" s="1">
        <v>28.0</v>
      </c>
    </row>
    <row r="238">
      <c r="A238" s="1" t="s">
        <v>7</v>
      </c>
      <c r="B238" s="2">
        <v>44713.0</v>
      </c>
      <c r="C238" s="3">
        <v>0.33630787037037035</v>
      </c>
      <c r="D238" s="1">
        <v>12.793861</v>
      </c>
      <c r="E238" s="1">
        <v>80.019282</v>
      </c>
      <c r="F238" s="1">
        <v>805.0</v>
      </c>
      <c r="G238" s="1">
        <v>54.0</v>
      </c>
    </row>
    <row r="239">
      <c r="A239" s="1" t="s">
        <v>8</v>
      </c>
      <c r="B239" s="2">
        <v>44713.0</v>
      </c>
      <c r="C239" s="3">
        <v>0.3363425925925926</v>
      </c>
      <c r="D239" s="1">
        <v>12.795164</v>
      </c>
      <c r="E239" s="1">
        <v>80.020115</v>
      </c>
      <c r="F239" s="1">
        <v>805.0</v>
      </c>
      <c r="G239" s="1">
        <v>54.0</v>
      </c>
    </row>
    <row r="240">
      <c r="A240" s="1" t="s">
        <v>7</v>
      </c>
      <c r="B240" s="2">
        <v>44713.0</v>
      </c>
      <c r="C240" s="3">
        <v>0.3363541666666667</v>
      </c>
      <c r="D240" s="1">
        <v>12.954831</v>
      </c>
      <c r="E240" s="1">
        <v>80.142517</v>
      </c>
      <c r="F240" s="1">
        <v>2846.0</v>
      </c>
      <c r="G240" s="1">
        <v>41.0</v>
      </c>
    </row>
    <row r="241">
      <c r="A241" s="1" t="s">
        <v>8</v>
      </c>
      <c r="B241" s="2">
        <v>44713.0</v>
      </c>
      <c r="C241" s="3">
        <v>0.3365625</v>
      </c>
      <c r="D241" s="1">
        <v>12.953242</v>
      </c>
      <c r="E241" s="1">
        <v>80.141675</v>
      </c>
      <c r="F241" s="1">
        <v>2846.0</v>
      </c>
      <c r="G241" s="1">
        <v>21.0</v>
      </c>
    </row>
    <row r="242">
      <c r="A242" s="1" t="s">
        <v>7</v>
      </c>
      <c r="B242" s="2">
        <v>44713.0</v>
      </c>
      <c r="C242" s="3">
        <v>0.33666666666666667</v>
      </c>
      <c r="D242" s="1">
        <v>12.796396</v>
      </c>
      <c r="E242" s="1">
        <v>80.020924</v>
      </c>
      <c r="F242" s="1">
        <v>805.0</v>
      </c>
      <c r="G242" s="1">
        <v>60.0</v>
      </c>
    </row>
    <row r="243">
      <c r="A243" s="1" t="s">
        <v>8</v>
      </c>
      <c r="B243" s="2">
        <v>44713.0</v>
      </c>
      <c r="C243" s="3">
        <v>0.3366898148148148</v>
      </c>
      <c r="D243" s="1">
        <v>12.953242</v>
      </c>
      <c r="E243" s="1">
        <v>80.141675</v>
      </c>
      <c r="F243" s="1">
        <v>2846.0</v>
      </c>
      <c r="G243" s="1">
        <v>21.0</v>
      </c>
    </row>
    <row r="244">
      <c r="A244" s="1" t="s">
        <v>8</v>
      </c>
      <c r="B244" s="2">
        <v>44713.0</v>
      </c>
      <c r="C244" s="3">
        <v>0.3370601851851852</v>
      </c>
      <c r="D244" s="1">
        <v>12.951464</v>
      </c>
      <c r="E244" s="1">
        <v>80.140379</v>
      </c>
      <c r="F244" s="1">
        <v>2846.0</v>
      </c>
      <c r="G244" s="1">
        <v>30.0</v>
      </c>
    </row>
    <row r="245">
      <c r="A245" s="1" t="s">
        <v>7</v>
      </c>
      <c r="B245" s="2">
        <v>44713.0</v>
      </c>
      <c r="C245" s="3">
        <v>0.33743055555555557</v>
      </c>
      <c r="D245" s="1">
        <v>12.947855</v>
      </c>
      <c r="E245" s="1">
        <v>80.137546</v>
      </c>
      <c r="F245" s="1">
        <v>2846.0</v>
      </c>
      <c r="G245" s="1">
        <v>52.0</v>
      </c>
    </row>
    <row r="246">
      <c r="A246" s="1" t="s">
        <v>7</v>
      </c>
      <c r="B246" s="2">
        <v>44713.0</v>
      </c>
      <c r="C246" s="3">
        <v>0.3374421296296296</v>
      </c>
      <c r="D246" s="1">
        <v>12.807471</v>
      </c>
      <c r="E246" s="1">
        <v>80.028184</v>
      </c>
      <c r="F246" s="1">
        <v>805.0</v>
      </c>
      <c r="G246" s="1">
        <v>58.0</v>
      </c>
    </row>
    <row r="247">
      <c r="A247" s="1" t="s">
        <v>8</v>
      </c>
      <c r="B247" s="2">
        <v>44713.0</v>
      </c>
      <c r="C247" s="3">
        <v>0.3374537037037037</v>
      </c>
      <c r="D247" s="1">
        <v>12.947855</v>
      </c>
      <c r="E247" s="1">
        <v>80.137546</v>
      </c>
      <c r="F247" s="1">
        <v>2846.0</v>
      </c>
      <c r="G247" s="1">
        <v>52.0</v>
      </c>
    </row>
    <row r="248">
      <c r="A248" s="1" t="s">
        <v>7</v>
      </c>
      <c r="B248" s="2">
        <v>44713.0</v>
      </c>
      <c r="C248" s="3">
        <v>0.33828703703703705</v>
      </c>
      <c r="D248" s="1">
        <v>12.8219</v>
      </c>
      <c r="E248" s="1">
        <v>80.037912</v>
      </c>
      <c r="F248" s="1">
        <v>805.0</v>
      </c>
      <c r="G248" s="1">
        <v>42.0</v>
      </c>
    </row>
    <row r="249">
      <c r="A249" s="1" t="s">
        <v>7</v>
      </c>
      <c r="B249" s="2">
        <v>44713.0</v>
      </c>
      <c r="C249" s="3">
        <v>0.3384259259259259</v>
      </c>
      <c r="D249" s="1">
        <v>12.824217</v>
      </c>
      <c r="E249" s="1">
        <v>80.039564</v>
      </c>
      <c r="F249" s="1">
        <v>805.0</v>
      </c>
      <c r="G249" s="1">
        <v>57.0</v>
      </c>
    </row>
    <row r="250">
      <c r="A250" s="1" t="s">
        <v>7</v>
      </c>
      <c r="B250" s="2">
        <v>44713.0</v>
      </c>
      <c r="C250" s="3">
        <v>0.3386689814814815</v>
      </c>
      <c r="D250" s="1">
        <v>12.826686</v>
      </c>
      <c r="E250" s="1">
        <v>80.041408</v>
      </c>
      <c r="F250" s="1">
        <v>805.0</v>
      </c>
      <c r="G250" s="1">
        <v>58.0</v>
      </c>
    </row>
    <row r="251">
      <c r="A251" s="1" t="s">
        <v>8</v>
      </c>
      <c r="B251" s="2">
        <v>44713.0</v>
      </c>
      <c r="C251" s="3">
        <v>0.3387847222222222</v>
      </c>
      <c r="D251" s="1">
        <v>12.93565</v>
      </c>
      <c r="E251" s="1">
        <v>80.126782</v>
      </c>
      <c r="F251" s="1">
        <v>2846.0</v>
      </c>
      <c r="G251" s="1">
        <v>27.0</v>
      </c>
    </row>
    <row r="252">
      <c r="A252" s="1" t="s">
        <v>8</v>
      </c>
      <c r="B252" s="2">
        <v>44713.0</v>
      </c>
      <c r="C252" s="3">
        <v>0.33894675925925927</v>
      </c>
      <c r="D252" s="1">
        <v>12.934934</v>
      </c>
      <c r="E252" s="1">
        <v>80.126131</v>
      </c>
      <c r="F252" s="1">
        <v>2846.0</v>
      </c>
      <c r="G252" s="1">
        <v>44.0</v>
      </c>
    </row>
    <row r="253">
      <c r="A253" s="1" t="s">
        <v>8</v>
      </c>
      <c r="B253" s="2">
        <v>44713.0</v>
      </c>
      <c r="C253" s="3">
        <v>0.33902777777777776</v>
      </c>
      <c r="D253" s="1">
        <v>12.934045</v>
      </c>
      <c r="E253" s="1">
        <v>80.125261</v>
      </c>
      <c r="F253" s="1">
        <v>2846.0</v>
      </c>
      <c r="G253" s="1">
        <v>52.0</v>
      </c>
    </row>
    <row r="254">
      <c r="A254" s="1" t="s">
        <v>8</v>
      </c>
      <c r="B254" s="2">
        <v>44713.0</v>
      </c>
      <c r="C254" s="3">
        <v>0.339525462962963</v>
      </c>
      <c r="D254" s="1">
        <v>12.930063</v>
      </c>
      <c r="E254" s="1">
        <v>80.121326</v>
      </c>
      <c r="F254" s="1">
        <v>2846.0</v>
      </c>
      <c r="G254" s="1">
        <v>54.0</v>
      </c>
    </row>
    <row r="255">
      <c r="A255" s="1" t="s">
        <v>8</v>
      </c>
      <c r="B255" s="2">
        <v>44713.0</v>
      </c>
      <c r="C255" s="3">
        <v>0.33993055555555557</v>
      </c>
      <c r="D255" s="1">
        <v>12.836011</v>
      </c>
      <c r="E255" s="1">
        <v>80.051273</v>
      </c>
      <c r="F255" s="1">
        <v>805.0</v>
      </c>
      <c r="G255" s="1">
        <v>58.0</v>
      </c>
    </row>
    <row r="256">
      <c r="A256" s="1" t="s">
        <v>7</v>
      </c>
      <c r="B256" s="2">
        <v>44713.0</v>
      </c>
      <c r="C256" s="3">
        <v>0.34021990740740743</v>
      </c>
      <c r="D256" s="1">
        <v>12.837029</v>
      </c>
      <c r="E256" s="1">
        <v>80.052345</v>
      </c>
      <c r="F256" s="1">
        <v>805.0</v>
      </c>
      <c r="G256" s="1">
        <v>57.0</v>
      </c>
    </row>
    <row r="257">
      <c r="A257" s="1" t="s">
        <v>8</v>
      </c>
      <c r="B257" s="2">
        <v>44713.0</v>
      </c>
      <c r="C257" s="3">
        <v>0.3411226851851852</v>
      </c>
      <c r="D257" s="1">
        <v>12.926884</v>
      </c>
      <c r="E257" s="1">
        <v>80.118105</v>
      </c>
      <c r="F257" s="1">
        <v>2846.0</v>
      </c>
      <c r="G257" s="1">
        <v>12.0</v>
      </c>
    </row>
    <row r="258">
      <c r="A258" s="1" t="s">
        <v>7</v>
      </c>
      <c r="B258" s="2">
        <v>44713.0</v>
      </c>
      <c r="C258" s="3">
        <v>0.3412847222222222</v>
      </c>
      <c r="D258" s="1">
        <v>12.926884</v>
      </c>
      <c r="E258" s="1">
        <v>80.118105</v>
      </c>
      <c r="F258" s="1">
        <v>2846.0</v>
      </c>
      <c r="G258" s="1">
        <v>12.0</v>
      </c>
    </row>
    <row r="259">
      <c r="A259" s="1" t="s">
        <v>10</v>
      </c>
      <c r="B259" s="2">
        <v>44713.0</v>
      </c>
      <c r="C259" s="3">
        <v>0.34162037037037035</v>
      </c>
      <c r="D259" s="1">
        <v>12.841825</v>
      </c>
      <c r="E259" s="1">
        <v>80.057242</v>
      </c>
      <c r="F259" s="1">
        <v>805.0</v>
      </c>
      <c r="G259" s="1">
        <v>36.0</v>
      </c>
    </row>
    <row r="260">
      <c r="A260" s="1" t="s">
        <v>7</v>
      </c>
      <c r="B260" s="2">
        <v>44713.0</v>
      </c>
      <c r="C260" s="3">
        <v>0.34193287037037035</v>
      </c>
      <c r="D260" s="1">
        <v>12.926447</v>
      </c>
      <c r="E260" s="1">
        <v>80.117631</v>
      </c>
      <c r="F260" s="1">
        <v>2846.0</v>
      </c>
      <c r="G260" s="1">
        <v>23.0</v>
      </c>
    </row>
    <row r="261">
      <c r="A261" s="1" t="s">
        <v>7</v>
      </c>
      <c r="B261" s="2">
        <v>44713.0</v>
      </c>
      <c r="C261" s="3">
        <v>0.3421064814814815</v>
      </c>
      <c r="D261" s="1">
        <v>12.925127</v>
      </c>
      <c r="E261" s="1">
        <v>80.116272</v>
      </c>
      <c r="F261" s="1">
        <v>2846.0</v>
      </c>
      <c r="G261" s="1">
        <v>38.0</v>
      </c>
    </row>
    <row r="262">
      <c r="A262" s="1" t="s">
        <v>8</v>
      </c>
      <c r="B262" s="2">
        <v>44713.0</v>
      </c>
      <c r="C262" s="3">
        <v>0.3425694444444444</v>
      </c>
      <c r="D262" s="1">
        <v>12.920216</v>
      </c>
      <c r="E262" s="1">
        <v>80.111283</v>
      </c>
      <c r="F262" s="1">
        <v>2846.0</v>
      </c>
      <c r="G262" s="1">
        <v>58.0</v>
      </c>
    </row>
    <row r="263">
      <c r="A263" s="1" t="s">
        <v>8</v>
      </c>
      <c r="B263" s="2">
        <v>44713.0</v>
      </c>
      <c r="C263" s="3">
        <v>0.3427546296296296</v>
      </c>
      <c r="D263" s="1">
        <v>12.917444</v>
      </c>
      <c r="E263" s="1">
        <v>80.10787</v>
      </c>
      <c r="F263" s="1">
        <v>2846.0</v>
      </c>
      <c r="G263" s="1">
        <v>54.0</v>
      </c>
    </row>
    <row r="264">
      <c r="A264" s="1" t="s">
        <v>8</v>
      </c>
      <c r="B264" s="2">
        <v>44713.0</v>
      </c>
      <c r="C264" s="3">
        <v>0.3430902777777778</v>
      </c>
      <c r="D264" s="1">
        <v>12.910552</v>
      </c>
      <c r="E264" s="1">
        <v>80.101074</v>
      </c>
      <c r="F264" s="1">
        <v>2846.0</v>
      </c>
      <c r="G264" s="1">
        <v>52.0</v>
      </c>
    </row>
    <row r="265">
      <c r="A265" s="1" t="s">
        <v>8</v>
      </c>
      <c r="B265" s="2">
        <v>44713.0</v>
      </c>
      <c r="C265" s="3">
        <v>0.343125</v>
      </c>
      <c r="D265" s="1">
        <v>12.910552</v>
      </c>
      <c r="E265" s="1">
        <v>80.101074</v>
      </c>
      <c r="F265" s="1">
        <v>2846.0</v>
      </c>
      <c r="G265" s="1">
        <v>52.0</v>
      </c>
    </row>
    <row r="266">
      <c r="A266" s="1" t="s">
        <v>7</v>
      </c>
      <c r="B266" s="2">
        <v>44713.0</v>
      </c>
      <c r="C266" s="3">
        <v>0.3436458333333333</v>
      </c>
      <c r="D266" s="1">
        <v>12.856616</v>
      </c>
      <c r="E266" s="1">
        <v>80.069507</v>
      </c>
      <c r="F266" s="1">
        <v>805.0</v>
      </c>
      <c r="G266" s="1">
        <v>56.0</v>
      </c>
    </row>
    <row r="267">
      <c r="A267" s="1" t="s">
        <v>10</v>
      </c>
      <c r="B267" s="2">
        <v>44713.0</v>
      </c>
      <c r="C267" s="3">
        <v>0.3453935185185185</v>
      </c>
      <c r="D267" s="1">
        <v>12.906203</v>
      </c>
      <c r="E267" s="1">
        <v>80.096338</v>
      </c>
      <c r="F267" s="1">
        <v>2846.0</v>
      </c>
      <c r="G267" s="1">
        <v>0.0</v>
      </c>
    </row>
    <row r="268">
      <c r="A268" s="1" t="s">
        <v>8</v>
      </c>
      <c r="B268" s="2">
        <v>44713.0</v>
      </c>
      <c r="C268" s="3">
        <v>0.34575231481481483</v>
      </c>
      <c r="D268" s="1">
        <v>12.90601</v>
      </c>
      <c r="E268" s="1">
        <v>80.096193</v>
      </c>
      <c r="F268" s="1">
        <v>2846.0</v>
      </c>
      <c r="G268" s="1">
        <v>16.0</v>
      </c>
    </row>
    <row r="269">
      <c r="A269" s="1" t="s">
        <v>8</v>
      </c>
      <c r="B269" s="2">
        <v>44713.0</v>
      </c>
      <c r="C269" s="3">
        <v>0.3459027777777778</v>
      </c>
      <c r="D269" s="1">
        <v>12.905251</v>
      </c>
      <c r="E269" s="1">
        <v>80.095648</v>
      </c>
      <c r="F269" s="1">
        <v>2846.0</v>
      </c>
      <c r="G269" s="1">
        <v>19.0</v>
      </c>
    </row>
    <row r="270">
      <c r="A270" s="1" t="s">
        <v>8</v>
      </c>
      <c r="B270" s="2">
        <v>44713.0</v>
      </c>
      <c r="C270" s="3">
        <v>0.34597222222222224</v>
      </c>
      <c r="D270" s="1">
        <v>12.865479</v>
      </c>
      <c r="E270" s="1">
        <v>80.074644</v>
      </c>
      <c r="F270" s="1">
        <v>805.0</v>
      </c>
      <c r="G270" s="1">
        <v>39.0</v>
      </c>
    </row>
    <row r="271">
      <c r="A271" s="1" t="s">
        <v>7</v>
      </c>
      <c r="B271" s="2">
        <v>44713.0</v>
      </c>
      <c r="C271" s="3">
        <v>0.3462615740740741</v>
      </c>
      <c r="D271" s="1">
        <v>12.904063</v>
      </c>
      <c r="E271" s="1">
        <v>80.094763</v>
      </c>
      <c r="F271" s="1">
        <v>2846.0</v>
      </c>
      <c r="G271" s="1">
        <v>34.0</v>
      </c>
    </row>
    <row r="272">
      <c r="A272" s="1" t="s">
        <v>7</v>
      </c>
      <c r="B272" s="2">
        <v>44713.0</v>
      </c>
      <c r="C272" s="3">
        <v>0.3463657407407407</v>
      </c>
      <c r="D272" s="1">
        <v>12.866991</v>
      </c>
      <c r="E272" s="1">
        <v>80.075232</v>
      </c>
      <c r="F272" s="1">
        <v>805.0</v>
      </c>
      <c r="G272" s="1">
        <v>40.0</v>
      </c>
    </row>
    <row r="273">
      <c r="A273" s="1" t="s">
        <v>7</v>
      </c>
      <c r="B273" s="2">
        <v>44713.0</v>
      </c>
      <c r="C273" s="3">
        <v>0.3466782407407407</v>
      </c>
      <c r="D273" s="1">
        <v>12.869731</v>
      </c>
      <c r="E273" s="1">
        <v>80.076324</v>
      </c>
      <c r="F273" s="1">
        <v>805.0</v>
      </c>
      <c r="G273" s="1">
        <v>33.0</v>
      </c>
    </row>
    <row r="274">
      <c r="A274" s="1" t="s">
        <v>8</v>
      </c>
      <c r="B274" s="2">
        <v>44713.0</v>
      </c>
      <c r="C274" s="3">
        <v>0.34671296296296295</v>
      </c>
      <c r="D274" s="1">
        <v>12.869731</v>
      </c>
      <c r="E274" s="1">
        <v>80.076324</v>
      </c>
      <c r="F274" s="1">
        <v>805.0</v>
      </c>
      <c r="G274" s="1">
        <v>33.0</v>
      </c>
    </row>
    <row r="275">
      <c r="A275" s="1" t="s">
        <v>8</v>
      </c>
      <c r="B275" s="2">
        <v>44713.0</v>
      </c>
      <c r="C275" s="3">
        <v>0.34680555555555553</v>
      </c>
      <c r="D275" s="1">
        <v>12.900835</v>
      </c>
      <c r="E275" s="1">
        <v>80.092213</v>
      </c>
      <c r="F275" s="1">
        <v>2846.0</v>
      </c>
      <c r="G275" s="1">
        <v>49.0</v>
      </c>
    </row>
    <row r="276">
      <c r="A276" s="1" t="s">
        <v>7</v>
      </c>
      <c r="B276" s="2">
        <v>44713.0</v>
      </c>
      <c r="C276" s="3">
        <v>0.34707175925925926</v>
      </c>
      <c r="D276" s="1">
        <v>12.899776</v>
      </c>
      <c r="E276" s="1">
        <v>80.091433</v>
      </c>
      <c r="F276" s="1">
        <v>2846.0</v>
      </c>
      <c r="G276" s="1">
        <v>53.0</v>
      </c>
    </row>
    <row r="277">
      <c r="A277" s="1" t="s">
        <v>7</v>
      </c>
      <c r="B277" s="2">
        <v>44713.0</v>
      </c>
      <c r="C277" s="3">
        <v>0.3477662037037037</v>
      </c>
      <c r="D277" s="1">
        <v>13.006265</v>
      </c>
      <c r="E277" s="1">
        <v>80.127376</v>
      </c>
      <c r="F277" s="1">
        <v>1995.0</v>
      </c>
      <c r="G277" s="1">
        <v>58.0</v>
      </c>
    </row>
    <row r="278">
      <c r="A278" s="1" t="s">
        <v>8</v>
      </c>
      <c r="B278" s="2">
        <v>44713.0</v>
      </c>
      <c r="C278" s="3">
        <v>0.3477662037037037</v>
      </c>
      <c r="D278" s="1">
        <v>12.886148</v>
      </c>
      <c r="E278" s="1">
        <v>80.083047</v>
      </c>
      <c r="F278" s="1">
        <v>2846.0</v>
      </c>
      <c r="G278" s="1">
        <v>61.0</v>
      </c>
    </row>
    <row r="279">
      <c r="A279" s="1" t="s">
        <v>8</v>
      </c>
      <c r="B279" s="2">
        <v>44713.0</v>
      </c>
      <c r="C279" s="3">
        <v>0.34825231481481483</v>
      </c>
      <c r="D279" s="1">
        <v>12.999845</v>
      </c>
      <c r="E279" s="1">
        <v>80.12545</v>
      </c>
      <c r="F279" s="1">
        <v>1995.0</v>
      </c>
      <c r="G279" s="1">
        <v>58.0</v>
      </c>
    </row>
    <row r="280">
      <c r="A280" s="1" t="s">
        <v>8</v>
      </c>
      <c r="B280" s="2">
        <v>44713.0</v>
      </c>
      <c r="C280" s="3">
        <v>0.35006944444444443</v>
      </c>
      <c r="D280" s="1">
        <v>12.984884</v>
      </c>
      <c r="E280" s="1">
        <v>80.120986</v>
      </c>
      <c r="F280" s="1">
        <v>1995.0</v>
      </c>
      <c r="G280" s="1">
        <v>58.0</v>
      </c>
    </row>
    <row r="281">
      <c r="A281" s="1" t="s">
        <v>7</v>
      </c>
      <c r="B281" s="2">
        <v>44713.0</v>
      </c>
      <c r="C281" s="3">
        <v>0.35097222222222224</v>
      </c>
      <c r="D281" s="1">
        <v>12.980213</v>
      </c>
      <c r="E281" s="1">
        <v>80.120703</v>
      </c>
      <c r="F281" s="1">
        <v>1995.0</v>
      </c>
      <c r="G281" s="1">
        <v>58.0</v>
      </c>
    </row>
    <row r="282">
      <c r="A282" s="1" t="s">
        <v>7</v>
      </c>
      <c r="B282" s="2">
        <v>44713.0</v>
      </c>
      <c r="C282" s="3">
        <v>0.3512268518518519</v>
      </c>
      <c r="D282" s="1">
        <v>12.975876</v>
      </c>
      <c r="E282" s="1">
        <v>80.11964</v>
      </c>
      <c r="F282" s="1">
        <v>1995.0</v>
      </c>
      <c r="G282" s="1">
        <v>55.0</v>
      </c>
    </row>
    <row r="283">
      <c r="A283" s="1" t="s">
        <v>8</v>
      </c>
      <c r="B283" s="2">
        <v>44713.0</v>
      </c>
      <c r="C283" s="3">
        <v>0.41965277777777776</v>
      </c>
      <c r="D283" s="1">
        <v>12.877598</v>
      </c>
      <c r="E283" s="1">
        <v>80.084304</v>
      </c>
      <c r="F283" s="1">
        <v>5339.0</v>
      </c>
      <c r="G283" s="1">
        <v>20.0</v>
      </c>
    </row>
    <row r="284">
      <c r="A284" s="1" t="s">
        <v>7</v>
      </c>
      <c r="B284" s="2">
        <v>44713.0</v>
      </c>
      <c r="C284" s="3">
        <v>0.4204513888888889</v>
      </c>
      <c r="D284" s="1">
        <v>12.878192</v>
      </c>
      <c r="E284" s="1">
        <v>80.082679</v>
      </c>
      <c r="F284" s="1">
        <v>5339.0</v>
      </c>
      <c r="G284" s="1">
        <v>45.0</v>
      </c>
    </row>
    <row r="285">
      <c r="A285" s="1" t="s">
        <v>7</v>
      </c>
      <c r="B285" s="2">
        <v>44713.0</v>
      </c>
      <c r="C285" s="3">
        <v>0.420474537037037</v>
      </c>
      <c r="D285" s="1">
        <v>12.878192</v>
      </c>
      <c r="E285" s="1">
        <v>80.082679</v>
      </c>
      <c r="F285" s="1">
        <v>5339.0</v>
      </c>
      <c r="G285" s="1">
        <v>45.0</v>
      </c>
    </row>
    <row r="286">
      <c r="A286" s="1" t="s">
        <v>7</v>
      </c>
      <c r="B286" s="2">
        <v>44713.0</v>
      </c>
      <c r="C286" s="3">
        <v>0.4205324074074074</v>
      </c>
      <c r="D286" s="1">
        <v>12.878592</v>
      </c>
      <c r="E286" s="1">
        <v>80.081554</v>
      </c>
      <c r="F286" s="1">
        <v>5339.0</v>
      </c>
      <c r="G286" s="1">
        <v>44.0</v>
      </c>
    </row>
    <row r="287">
      <c r="A287" s="1" t="s">
        <v>8</v>
      </c>
      <c r="B287" s="2">
        <v>44713.0</v>
      </c>
      <c r="C287" s="3">
        <v>0.42148148148148146</v>
      </c>
      <c r="D287" s="1">
        <v>12.864632</v>
      </c>
      <c r="E287" s="1">
        <v>80.074536</v>
      </c>
      <c r="F287" s="1">
        <v>5339.0</v>
      </c>
      <c r="G287" s="1">
        <v>43.0</v>
      </c>
    </row>
    <row r="288">
      <c r="A288" s="1" t="s">
        <v>7</v>
      </c>
      <c r="B288" s="2">
        <v>44713.0</v>
      </c>
      <c r="C288" s="3">
        <v>0.48417824074074073</v>
      </c>
      <c r="D288" s="1">
        <v>12.883423</v>
      </c>
      <c r="E288" s="1">
        <v>80.081633</v>
      </c>
      <c r="F288" s="1">
        <v>2846.0</v>
      </c>
      <c r="G288" s="1">
        <v>39.0</v>
      </c>
    </row>
    <row r="289">
      <c r="A289" s="1" t="s">
        <v>7</v>
      </c>
      <c r="B289" s="2">
        <v>44713.0</v>
      </c>
      <c r="C289" s="3">
        <v>0.48586805555555557</v>
      </c>
      <c r="D289" s="1">
        <v>12.888186</v>
      </c>
      <c r="E289" s="1">
        <v>80.072965</v>
      </c>
      <c r="F289" s="1">
        <v>2846.0</v>
      </c>
      <c r="G289" s="1">
        <v>51.0</v>
      </c>
    </row>
    <row r="290">
      <c r="A290" s="1" t="s">
        <v>7</v>
      </c>
      <c r="B290" s="2">
        <v>44713.0</v>
      </c>
      <c r="C290" s="3">
        <v>0.4864236111111111</v>
      </c>
      <c r="D290" s="1">
        <v>12.899835</v>
      </c>
      <c r="E290" s="1">
        <v>80.070503</v>
      </c>
      <c r="F290" s="1">
        <v>2846.0</v>
      </c>
      <c r="G290" s="1">
        <v>47.0</v>
      </c>
    </row>
    <row r="291">
      <c r="A291" s="1" t="s">
        <v>7</v>
      </c>
      <c r="B291" s="2">
        <v>44713.0</v>
      </c>
      <c r="C291" s="3">
        <v>0.48662037037037037</v>
      </c>
      <c r="D291" s="1">
        <v>12.903626</v>
      </c>
      <c r="E291" s="1">
        <v>80.071327</v>
      </c>
      <c r="F291" s="1">
        <v>2846.0</v>
      </c>
      <c r="G291" s="1">
        <v>51.0</v>
      </c>
    </row>
    <row r="292">
      <c r="A292" s="1" t="s">
        <v>7</v>
      </c>
      <c r="B292" s="2">
        <v>44713.0</v>
      </c>
      <c r="C292" s="3">
        <v>0.4872916666666667</v>
      </c>
      <c r="D292" s="1">
        <v>12.916262</v>
      </c>
      <c r="E292" s="1">
        <v>80.075306</v>
      </c>
      <c r="F292" s="1">
        <v>2846.0</v>
      </c>
      <c r="G292" s="1">
        <v>56.0</v>
      </c>
    </row>
    <row r="293">
      <c r="A293" s="1" t="s">
        <v>7</v>
      </c>
      <c r="B293" s="2">
        <v>44713.0</v>
      </c>
      <c r="C293" s="3">
        <v>0.4875231481481481</v>
      </c>
      <c r="D293" s="1">
        <v>12.91892</v>
      </c>
      <c r="E293" s="1">
        <v>80.076137</v>
      </c>
      <c r="F293" s="1">
        <v>2846.0</v>
      </c>
      <c r="G293" s="1">
        <v>53.0</v>
      </c>
    </row>
    <row r="294">
      <c r="A294" s="1" t="s">
        <v>7</v>
      </c>
      <c r="B294" s="2">
        <v>44713.0</v>
      </c>
      <c r="C294" s="3">
        <v>0.48770833333333335</v>
      </c>
      <c r="D294" s="1">
        <v>12.921342</v>
      </c>
      <c r="E294" s="1">
        <v>80.076843</v>
      </c>
      <c r="F294" s="1">
        <v>2846.0</v>
      </c>
      <c r="G294" s="1">
        <v>53.0</v>
      </c>
    </row>
    <row r="295">
      <c r="A295" s="1" t="s">
        <v>7</v>
      </c>
      <c r="B295" s="2">
        <v>44713.0</v>
      </c>
      <c r="C295" s="3">
        <v>0.4879513888888889</v>
      </c>
      <c r="D295" s="1">
        <v>12.924206</v>
      </c>
      <c r="E295" s="1">
        <v>80.077729</v>
      </c>
      <c r="F295" s="1">
        <v>2846.0</v>
      </c>
      <c r="G295" s="1">
        <v>58.0</v>
      </c>
    </row>
    <row r="296">
      <c r="A296" s="1" t="s">
        <v>7</v>
      </c>
      <c r="B296" s="2">
        <v>44713.0</v>
      </c>
      <c r="C296" s="3">
        <v>0.4894791666666667</v>
      </c>
      <c r="D296" s="1">
        <v>12.93394</v>
      </c>
      <c r="E296" s="1">
        <v>80.081321</v>
      </c>
      <c r="F296" s="1">
        <v>2846.0</v>
      </c>
      <c r="G296" s="1">
        <v>52.0</v>
      </c>
    </row>
    <row r="297">
      <c r="A297" s="1" t="s">
        <v>7</v>
      </c>
      <c r="B297" s="2">
        <v>44713.0</v>
      </c>
      <c r="C297" s="3">
        <v>0.49030092592592595</v>
      </c>
      <c r="D297" s="1">
        <v>12.943832</v>
      </c>
      <c r="E297" s="1">
        <v>80.084967</v>
      </c>
      <c r="F297" s="1">
        <v>2846.0</v>
      </c>
      <c r="G297" s="1">
        <v>61.0</v>
      </c>
    </row>
    <row r="298">
      <c r="A298" s="1" t="s">
        <v>7</v>
      </c>
      <c r="B298" s="2">
        <v>44713.0</v>
      </c>
      <c r="C298" s="3">
        <v>0.4907523148148148</v>
      </c>
      <c r="D298" s="1">
        <v>12.947817</v>
      </c>
      <c r="E298" s="1">
        <v>80.086464</v>
      </c>
      <c r="F298" s="1">
        <v>2846.0</v>
      </c>
      <c r="G298" s="1">
        <v>52.0</v>
      </c>
    </row>
    <row r="299">
      <c r="A299" s="1" t="s">
        <v>7</v>
      </c>
      <c r="B299" s="2">
        <v>44713.0</v>
      </c>
      <c r="C299" s="3">
        <v>0.49096064814814816</v>
      </c>
      <c r="D299" s="1">
        <v>12.950664</v>
      </c>
      <c r="E299" s="1">
        <v>80.087538</v>
      </c>
      <c r="F299" s="1">
        <v>2846.0</v>
      </c>
      <c r="G299" s="1">
        <v>55.0</v>
      </c>
    </row>
    <row r="300">
      <c r="A300" s="1" t="s">
        <v>7</v>
      </c>
      <c r="B300" s="2">
        <v>44713.0</v>
      </c>
      <c r="C300" s="3">
        <v>0.4914351851851852</v>
      </c>
      <c r="D300" s="1">
        <v>12.955171</v>
      </c>
      <c r="E300" s="1">
        <v>80.089269</v>
      </c>
      <c r="F300" s="1">
        <v>2846.0</v>
      </c>
      <c r="G300" s="1">
        <v>0.0</v>
      </c>
    </row>
    <row r="301">
      <c r="A301" s="1" t="s">
        <v>10</v>
      </c>
      <c r="B301" s="2">
        <v>44713.0</v>
      </c>
      <c r="C301" s="3">
        <v>0.493275462962963</v>
      </c>
      <c r="D301" s="1">
        <v>12.966529</v>
      </c>
      <c r="E301" s="1">
        <v>80.090406</v>
      </c>
      <c r="F301" s="1">
        <v>2846.0</v>
      </c>
      <c r="G301" s="1">
        <v>10.0</v>
      </c>
    </row>
    <row r="302">
      <c r="A302" s="1" t="s">
        <v>7</v>
      </c>
      <c r="B302" s="2">
        <v>44713.0</v>
      </c>
      <c r="C302" s="3">
        <v>0.5008217592592593</v>
      </c>
      <c r="D302" s="1">
        <v>12.853269</v>
      </c>
      <c r="E302" s="1">
        <v>80.066929</v>
      </c>
      <c r="F302" s="1">
        <v>5339.0</v>
      </c>
      <c r="G302" s="1">
        <v>3.0</v>
      </c>
    </row>
    <row r="303">
      <c r="A303" s="1" t="s">
        <v>8</v>
      </c>
      <c r="B303" s="2">
        <v>44713.0</v>
      </c>
      <c r="C303" s="3">
        <v>0.5014467592592593</v>
      </c>
      <c r="D303" s="1">
        <v>12.854437</v>
      </c>
      <c r="E303" s="1">
        <v>80.0679</v>
      </c>
      <c r="F303" s="1">
        <v>5339.0</v>
      </c>
      <c r="G303" s="1">
        <v>39.0</v>
      </c>
    </row>
    <row r="304">
      <c r="A304" s="1" t="s">
        <v>7</v>
      </c>
      <c r="B304" s="2">
        <v>44713.0</v>
      </c>
      <c r="C304" s="3">
        <v>0.5035648148148149</v>
      </c>
      <c r="D304" s="1">
        <v>12.866663</v>
      </c>
      <c r="E304" s="1">
        <v>80.07517</v>
      </c>
      <c r="F304" s="1">
        <v>5339.0</v>
      </c>
      <c r="G304" s="1">
        <v>0.0</v>
      </c>
    </row>
    <row r="305">
      <c r="A305" s="1" t="s">
        <v>7</v>
      </c>
      <c r="B305" s="2">
        <v>44713.0</v>
      </c>
      <c r="C305" s="3">
        <v>0.5075347222222222</v>
      </c>
      <c r="D305" s="1">
        <v>12.884343</v>
      </c>
      <c r="E305" s="1">
        <v>80.082014</v>
      </c>
      <c r="F305" s="1">
        <v>5339.0</v>
      </c>
      <c r="G305" s="1">
        <v>0.0</v>
      </c>
    </row>
    <row r="306">
      <c r="A306" s="1" t="s">
        <v>10</v>
      </c>
      <c r="B306" s="2">
        <v>44713.0</v>
      </c>
      <c r="C306" s="3">
        <v>0.5114351851851852</v>
      </c>
      <c r="D306" s="1">
        <v>12.878925</v>
      </c>
      <c r="E306" s="1">
        <v>80.080781</v>
      </c>
      <c r="F306" s="1">
        <v>5339.0</v>
      </c>
      <c r="G306" s="1">
        <v>14.0</v>
      </c>
    </row>
    <row r="307">
      <c r="A307" s="1" t="s">
        <v>10</v>
      </c>
      <c r="B307" s="2">
        <v>44713.0</v>
      </c>
      <c r="C307" s="3">
        <v>0.6886342592592593</v>
      </c>
      <c r="D307" s="1">
        <v>12.875752</v>
      </c>
      <c r="E307" s="1">
        <v>80.083842</v>
      </c>
      <c r="F307" s="1">
        <v>805.0</v>
      </c>
      <c r="G307" s="1">
        <v>3.0</v>
      </c>
    </row>
    <row r="308">
      <c r="A308" s="1" t="s">
        <v>8</v>
      </c>
      <c r="B308" s="2">
        <v>44713.0</v>
      </c>
      <c r="C308" s="3">
        <v>0.6894212962962963</v>
      </c>
      <c r="D308" s="1">
        <v>12.878074</v>
      </c>
      <c r="E308" s="1">
        <v>80.083032</v>
      </c>
      <c r="F308" s="1">
        <v>805.0</v>
      </c>
      <c r="G308" s="1">
        <v>49.0</v>
      </c>
    </row>
    <row r="309">
      <c r="A309" s="1" t="s">
        <v>7</v>
      </c>
      <c r="B309" s="2">
        <v>44713.0</v>
      </c>
      <c r="C309" s="3">
        <v>0.6917592592592593</v>
      </c>
      <c r="D309" s="1">
        <v>12.878899</v>
      </c>
      <c r="E309" s="1">
        <v>80.080271</v>
      </c>
      <c r="F309" s="1">
        <v>805.0</v>
      </c>
      <c r="G309" s="1">
        <v>19.0</v>
      </c>
    </row>
    <row r="310">
      <c r="A310" s="1" t="s">
        <v>7</v>
      </c>
      <c r="B310" s="2">
        <v>44713.0</v>
      </c>
      <c r="C310" s="3">
        <v>0.6919907407407407</v>
      </c>
      <c r="D310" s="1">
        <v>12.875727</v>
      </c>
      <c r="E310" s="1">
        <v>80.078974</v>
      </c>
      <c r="F310" s="1">
        <v>805.0</v>
      </c>
      <c r="G310" s="1">
        <v>61.0</v>
      </c>
    </row>
    <row r="311">
      <c r="A311" s="1" t="s">
        <v>7</v>
      </c>
      <c r="B311" s="2">
        <v>44713.0</v>
      </c>
      <c r="C311" s="3">
        <v>0.6922800925925926</v>
      </c>
      <c r="D311" s="1">
        <v>12.873168</v>
      </c>
      <c r="E311" s="1">
        <v>80.077852</v>
      </c>
      <c r="F311" s="1">
        <v>805.0</v>
      </c>
      <c r="G311" s="1">
        <v>56.0</v>
      </c>
    </row>
    <row r="312">
      <c r="A312" s="1" t="s">
        <v>7</v>
      </c>
      <c r="B312" s="2">
        <v>44713.0</v>
      </c>
      <c r="C312" s="3">
        <v>0.6935648148148148</v>
      </c>
      <c r="D312" s="1">
        <v>12.864328</v>
      </c>
      <c r="E312" s="1">
        <v>80.07445</v>
      </c>
      <c r="F312" s="1">
        <v>805.0</v>
      </c>
      <c r="G312" s="1">
        <v>54.0</v>
      </c>
    </row>
    <row r="313">
      <c r="A313" s="1" t="s">
        <v>8</v>
      </c>
      <c r="B313" s="2">
        <v>44713.0</v>
      </c>
      <c r="C313" s="3">
        <v>0.6946064814814815</v>
      </c>
      <c r="D313" s="1">
        <v>12.859471</v>
      </c>
      <c r="E313" s="1">
        <v>80.07196</v>
      </c>
      <c r="F313" s="1">
        <v>805.0</v>
      </c>
      <c r="G313" s="1">
        <v>35.0</v>
      </c>
    </row>
    <row r="314">
      <c r="A314" s="1" t="s">
        <v>8</v>
      </c>
      <c r="B314" s="2">
        <v>44713.0</v>
      </c>
      <c r="C314" s="3">
        <v>0.6946527777777778</v>
      </c>
      <c r="D314" s="1">
        <v>12.859471</v>
      </c>
      <c r="E314" s="1">
        <v>80.07196</v>
      </c>
      <c r="F314" s="1">
        <v>805.0</v>
      </c>
      <c r="G314" s="1">
        <v>35.0</v>
      </c>
    </row>
    <row r="315">
      <c r="A315" s="1" t="s">
        <v>7</v>
      </c>
      <c r="B315" s="2">
        <v>44713.0</v>
      </c>
      <c r="C315" s="3">
        <v>0.6948148148148148</v>
      </c>
      <c r="D315" s="1">
        <v>12.858672</v>
      </c>
      <c r="E315" s="1">
        <v>80.071359</v>
      </c>
      <c r="F315" s="1">
        <v>805.0</v>
      </c>
      <c r="G315" s="1">
        <v>45.0</v>
      </c>
    </row>
    <row r="316">
      <c r="A316" s="1" t="s">
        <v>8</v>
      </c>
      <c r="B316" s="2">
        <v>44713.0</v>
      </c>
      <c r="C316" s="3">
        <v>0.6949768518518519</v>
      </c>
      <c r="D316" s="1">
        <v>12.856501</v>
      </c>
      <c r="E316" s="1">
        <v>80.069621</v>
      </c>
      <c r="F316" s="1">
        <v>805.0</v>
      </c>
      <c r="G316" s="1">
        <v>56.0</v>
      </c>
    </row>
    <row r="317">
      <c r="A317" s="1" t="s">
        <v>7</v>
      </c>
      <c r="B317" s="2">
        <v>44713.0</v>
      </c>
      <c r="C317" s="3">
        <v>0.6952430555555555</v>
      </c>
      <c r="D317" s="1">
        <v>12.855349</v>
      </c>
      <c r="E317" s="1">
        <v>80.068764</v>
      </c>
      <c r="F317" s="1">
        <v>805.0</v>
      </c>
      <c r="G317" s="1">
        <v>57.0</v>
      </c>
    </row>
    <row r="318">
      <c r="A318" s="1" t="s">
        <v>7</v>
      </c>
      <c r="B318" s="2">
        <v>44713.0</v>
      </c>
      <c r="C318" s="3">
        <v>0.6953819444444445</v>
      </c>
      <c r="D318" s="1">
        <v>12.854186</v>
      </c>
      <c r="E318" s="1">
        <v>80.067912</v>
      </c>
      <c r="F318" s="1">
        <v>805.0</v>
      </c>
      <c r="G318" s="1">
        <v>59.0</v>
      </c>
    </row>
    <row r="319">
      <c r="A319" s="1" t="s">
        <v>8</v>
      </c>
      <c r="B319" s="2">
        <v>44713.0</v>
      </c>
      <c r="C319" s="3">
        <v>0.695625</v>
      </c>
      <c r="D319" s="1">
        <v>12.850645</v>
      </c>
      <c r="E319" s="1">
        <v>80.06538</v>
      </c>
      <c r="F319" s="1">
        <v>805.0</v>
      </c>
      <c r="G319" s="1">
        <v>47.0</v>
      </c>
    </row>
    <row r="320">
      <c r="A320" s="1" t="s">
        <v>8</v>
      </c>
      <c r="B320" s="2">
        <v>44713.0</v>
      </c>
      <c r="C320" s="3">
        <v>0.6956365740740741</v>
      </c>
      <c r="D320" s="1">
        <v>12.850645</v>
      </c>
      <c r="E320" s="1">
        <v>80.06538</v>
      </c>
      <c r="F320" s="1">
        <v>805.0</v>
      </c>
      <c r="G320" s="1">
        <v>47.0</v>
      </c>
    </row>
    <row r="321">
      <c r="A321" s="1" t="s">
        <v>8</v>
      </c>
      <c r="B321" s="2">
        <v>44713.0</v>
      </c>
      <c r="C321" s="3">
        <v>0.6979398148148148</v>
      </c>
      <c r="D321" s="1">
        <v>12.84065</v>
      </c>
      <c r="E321" s="1">
        <v>80.056479</v>
      </c>
      <c r="F321" s="1">
        <v>805.0</v>
      </c>
      <c r="G321" s="1">
        <v>0.0</v>
      </c>
    </row>
    <row r="322">
      <c r="A322" s="1" t="s">
        <v>7</v>
      </c>
      <c r="B322" s="2">
        <v>44713.0</v>
      </c>
      <c r="C322" s="3">
        <v>0.6980439814814815</v>
      </c>
      <c r="D322" s="1">
        <v>12.840297</v>
      </c>
      <c r="E322" s="1">
        <v>80.056058</v>
      </c>
      <c r="F322" s="1">
        <v>805.0</v>
      </c>
      <c r="G322" s="1">
        <v>32.0</v>
      </c>
    </row>
    <row r="323">
      <c r="A323" s="1" t="s">
        <v>7</v>
      </c>
      <c r="B323" s="2">
        <v>44713.0</v>
      </c>
      <c r="C323" s="3">
        <v>0.6982638888888889</v>
      </c>
      <c r="D323" s="1">
        <v>12.839004</v>
      </c>
      <c r="E323" s="1">
        <v>80.054618</v>
      </c>
      <c r="F323" s="1">
        <v>805.0</v>
      </c>
      <c r="G323" s="1">
        <v>59.0</v>
      </c>
    </row>
    <row r="324">
      <c r="A324" s="1" t="s">
        <v>7</v>
      </c>
      <c r="B324" s="2">
        <v>44713.0</v>
      </c>
      <c r="C324" s="3">
        <v>0.6986342592592593</v>
      </c>
      <c r="D324" s="1">
        <v>12.837355</v>
      </c>
      <c r="E324" s="1">
        <v>80.052884</v>
      </c>
      <c r="F324" s="1">
        <v>805.0</v>
      </c>
      <c r="G324" s="1">
        <v>59.0</v>
      </c>
    </row>
    <row r="325">
      <c r="A325" s="1" t="s">
        <v>8</v>
      </c>
      <c r="B325" s="2">
        <v>44713.0</v>
      </c>
      <c r="C325" s="3">
        <v>0.6989930555555556</v>
      </c>
      <c r="D325" s="1">
        <v>12.832443</v>
      </c>
      <c r="E325" s="1">
        <v>80.047778</v>
      </c>
      <c r="F325" s="1">
        <v>805.0</v>
      </c>
      <c r="G325" s="1">
        <v>57.0</v>
      </c>
    </row>
    <row r="326">
      <c r="A326" s="1" t="s">
        <v>7</v>
      </c>
      <c r="B326" s="2">
        <v>44713.0</v>
      </c>
      <c r="C326" s="3">
        <v>0.6996990740740741</v>
      </c>
      <c r="D326" s="1">
        <v>12.830615</v>
      </c>
      <c r="E326" s="1">
        <v>80.045825</v>
      </c>
      <c r="F326" s="1">
        <v>805.0</v>
      </c>
      <c r="G326" s="1">
        <v>21.0</v>
      </c>
    </row>
    <row r="327">
      <c r="A327" s="1" t="s">
        <v>7</v>
      </c>
      <c r="B327" s="2">
        <v>44713.0</v>
      </c>
      <c r="C327" s="3">
        <v>0.7000115740740741</v>
      </c>
      <c r="D327" s="1">
        <v>12.829548</v>
      </c>
      <c r="E327" s="1">
        <v>80.044676</v>
      </c>
      <c r="F327" s="1">
        <v>805.0</v>
      </c>
      <c r="G327" s="1">
        <v>52.0</v>
      </c>
    </row>
    <row r="328">
      <c r="A328" s="1" t="s">
        <v>7</v>
      </c>
      <c r="B328" s="2">
        <v>44713.0</v>
      </c>
      <c r="C328" s="3">
        <v>0.7001041666666666</v>
      </c>
      <c r="D328" s="1">
        <v>12.827912</v>
      </c>
      <c r="E328" s="1">
        <v>80.043004</v>
      </c>
      <c r="F328" s="1">
        <v>805.0</v>
      </c>
      <c r="G328" s="1">
        <v>56.0</v>
      </c>
    </row>
    <row r="329">
      <c r="A329" s="1" t="s">
        <v>8</v>
      </c>
      <c r="B329" s="2">
        <v>44713.0</v>
      </c>
      <c r="C329" s="3">
        <v>0.7006134259259259</v>
      </c>
      <c r="D329" s="1">
        <v>12.821134</v>
      </c>
      <c r="E329" s="1">
        <v>80.037588</v>
      </c>
      <c r="F329" s="1">
        <v>805.0</v>
      </c>
      <c r="G329" s="1">
        <v>31.0</v>
      </c>
    </row>
    <row r="330">
      <c r="A330" s="1" t="s">
        <v>7</v>
      </c>
      <c r="B330" s="2">
        <v>44713.0</v>
      </c>
      <c r="C330" s="3">
        <v>0.7008333333333333</v>
      </c>
      <c r="D330" s="1">
        <v>12.821134</v>
      </c>
      <c r="E330" s="1">
        <v>80.037588</v>
      </c>
      <c r="F330" s="1">
        <v>805.0</v>
      </c>
      <c r="G330" s="1">
        <v>31.0</v>
      </c>
    </row>
    <row r="331">
      <c r="A331" s="1" t="s">
        <v>7</v>
      </c>
      <c r="B331" s="2">
        <v>44713.0</v>
      </c>
      <c r="C331" s="3">
        <v>0.7009027777777778</v>
      </c>
      <c r="D331" s="1">
        <v>12.819882</v>
      </c>
      <c r="E331" s="1">
        <v>80.036703</v>
      </c>
      <c r="F331" s="1">
        <v>805.0</v>
      </c>
      <c r="G331" s="1">
        <v>49.0</v>
      </c>
    </row>
    <row r="332">
      <c r="A332" s="1" t="s">
        <v>7</v>
      </c>
      <c r="B332" s="2">
        <v>44713.0</v>
      </c>
      <c r="C332" s="3">
        <v>0.7022337962962963</v>
      </c>
      <c r="D332" s="1">
        <v>12.806352</v>
      </c>
      <c r="E332" s="1">
        <v>80.027635</v>
      </c>
      <c r="F332" s="1">
        <v>805.0</v>
      </c>
      <c r="G332" s="1">
        <v>59.0</v>
      </c>
    </row>
    <row r="333">
      <c r="A333" s="1" t="s">
        <v>8</v>
      </c>
      <c r="B333" s="2">
        <v>44713.0</v>
      </c>
      <c r="C333" s="3">
        <v>0.7027314814814815</v>
      </c>
      <c r="D333" s="1">
        <v>12.80241</v>
      </c>
      <c r="E333" s="1">
        <v>80.025049</v>
      </c>
      <c r="F333" s="1">
        <v>805.0</v>
      </c>
      <c r="G333" s="1">
        <v>57.0</v>
      </c>
    </row>
    <row r="334">
      <c r="A334" s="1" t="s">
        <v>8</v>
      </c>
      <c r="B334" s="2">
        <v>44713.0</v>
      </c>
      <c r="C334" s="3">
        <v>0.7032291666666667</v>
      </c>
      <c r="D334" s="1">
        <v>12.798124</v>
      </c>
      <c r="E334" s="1">
        <v>80.022267</v>
      </c>
      <c r="F334" s="1">
        <v>805.0</v>
      </c>
      <c r="G334" s="1">
        <v>50.0</v>
      </c>
    </row>
    <row r="335">
      <c r="A335" s="1" t="s">
        <v>8</v>
      </c>
      <c r="B335" s="2">
        <v>44713.0</v>
      </c>
      <c r="C335" s="3">
        <v>0.7032523148148148</v>
      </c>
      <c r="D335" s="1">
        <v>12.798124</v>
      </c>
      <c r="E335" s="1">
        <v>80.022267</v>
      </c>
      <c r="F335" s="1">
        <v>805.0</v>
      </c>
      <c r="G335" s="1">
        <v>50.0</v>
      </c>
    </row>
    <row r="336">
      <c r="A336" s="1" t="s">
        <v>8</v>
      </c>
      <c r="B336" s="2">
        <v>44713.0</v>
      </c>
      <c r="C336" s="3">
        <v>0.7032523148148148</v>
      </c>
      <c r="D336" s="1">
        <v>12.798124</v>
      </c>
      <c r="E336" s="1">
        <v>80.022267</v>
      </c>
      <c r="F336" s="1">
        <v>805.0</v>
      </c>
      <c r="G336" s="1">
        <v>50.0</v>
      </c>
    </row>
    <row r="337">
      <c r="A337" s="1" t="s">
        <v>7</v>
      </c>
      <c r="B337" s="2">
        <v>44713.0</v>
      </c>
      <c r="C337" s="3">
        <v>0.705775462962963</v>
      </c>
      <c r="D337" s="1">
        <v>12.785177</v>
      </c>
      <c r="E337" s="1">
        <v>80.014144</v>
      </c>
      <c r="F337" s="1">
        <v>805.0</v>
      </c>
      <c r="G337" s="1">
        <v>58.0</v>
      </c>
    </row>
    <row r="338">
      <c r="A338" s="1" t="s">
        <v>7</v>
      </c>
      <c r="B338" s="2">
        <v>44713.0</v>
      </c>
      <c r="C338" s="3">
        <v>0.7065625</v>
      </c>
      <c r="D338" s="1">
        <v>12.778881</v>
      </c>
      <c r="E338" s="1">
        <v>80.011305</v>
      </c>
      <c r="F338" s="1">
        <v>805.0</v>
      </c>
      <c r="G338" s="1">
        <v>58.0</v>
      </c>
    </row>
    <row r="339">
      <c r="A339" s="1" t="s">
        <v>7</v>
      </c>
      <c r="B339" s="2">
        <v>44713.0</v>
      </c>
      <c r="C339" s="3">
        <v>0.7067129629629629</v>
      </c>
      <c r="D339" s="1">
        <v>12.778881</v>
      </c>
      <c r="E339" s="1">
        <v>80.011305</v>
      </c>
      <c r="F339" s="1">
        <v>805.0</v>
      </c>
      <c r="G339" s="1">
        <v>58.0</v>
      </c>
    </row>
    <row r="340">
      <c r="A340" s="1" t="s">
        <v>7</v>
      </c>
      <c r="B340" s="2">
        <v>44713.0</v>
      </c>
      <c r="C340" s="3">
        <v>0.7081828703703704</v>
      </c>
      <c r="D340" s="1">
        <v>12.757106</v>
      </c>
      <c r="E340" s="1">
        <v>80.002442</v>
      </c>
      <c r="F340" s="1">
        <v>805.0</v>
      </c>
      <c r="G340" s="1">
        <v>58.0</v>
      </c>
    </row>
    <row r="341">
      <c r="A341" s="1" t="s">
        <v>7</v>
      </c>
      <c r="B341" s="2">
        <v>44713.0</v>
      </c>
      <c r="C341" s="3">
        <v>0.7091319444444445</v>
      </c>
      <c r="D341" s="1">
        <v>12.749089</v>
      </c>
      <c r="E341" s="1">
        <v>79.997278</v>
      </c>
      <c r="F341" s="1">
        <v>805.0</v>
      </c>
      <c r="G341" s="1">
        <v>57.0</v>
      </c>
    </row>
    <row r="342">
      <c r="A342" s="1" t="s">
        <v>7</v>
      </c>
      <c r="B342" s="2">
        <v>44713.0</v>
      </c>
      <c r="C342" s="3">
        <v>0.7092824074074074</v>
      </c>
      <c r="D342" s="1">
        <v>12.749089</v>
      </c>
      <c r="E342" s="1">
        <v>79.997278</v>
      </c>
      <c r="F342" s="1">
        <v>805.0</v>
      </c>
      <c r="G342" s="1">
        <v>57.0</v>
      </c>
    </row>
    <row r="343">
      <c r="A343" s="1" t="s">
        <v>9</v>
      </c>
      <c r="B343" s="2">
        <v>44713.0</v>
      </c>
      <c r="C343" s="3">
        <v>0.7093518518518519</v>
      </c>
      <c r="D343" s="1">
        <v>12.747127</v>
      </c>
      <c r="E343" s="1">
        <v>79.995694</v>
      </c>
      <c r="F343" s="1">
        <v>805.0</v>
      </c>
      <c r="G343" s="1">
        <v>58.0</v>
      </c>
    </row>
    <row r="344">
      <c r="A344" s="1" t="s">
        <v>7</v>
      </c>
      <c r="B344" s="2">
        <v>44713.0</v>
      </c>
      <c r="C344" s="3">
        <v>0.7109722222222222</v>
      </c>
      <c r="D344" s="1">
        <v>12.742694</v>
      </c>
      <c r="E344" s="1">
        <v>79.992134</v>
      </c>
      <c r="F344" s="1">
        <v>805.0</v>
      </c>
      <c r="G344" s="1">
        <v>17.0</v>
      </c>
    </row>
    <row r="345">
      <c r="A345" s="1" t="s">
        <v>8</v>
      </c>
      <c r="B345" s="2">
        <v>44713.0</v>
      </c>
      <c r="C345" s="3">
        <v>0.7128009259259259</v>
      </c>
      <c r="D345" s="1">
        <v>12.723498</v>
      </c>
      <c r="E345" s="1">
        <v>79.981837</v>
      </c>
      <c r="F345" s="1">
        <v>805.0</v>
      </c>
      <c r="G345" s="1">
        <v>28.0</v>
      </c>
    </row>
    <row r="346">
      <c r="A346" s="1" t="s">
        <v>7</v>
      </c>
      <c r="B346" s="2">
        <v>44713.0</v>
      </c>
      <c r="C346" s="3">
        <v>0.7134490740740741</v>
      </c>
      <c r="D346" s="1">
        <v>12.721416</v>
      </c>
      <c r="E346" s="1">
        <v>79.981373</v>
      </c>
      <c r="F346" s="1">
        <v>805.0</v>
      </c>
      <c r="G346" s="1">
        <v>32.0</v>
      </c>
    </row>
    <row r="347">
      <c r="A347" s="1" t="s">
        <v>7</v>
      </c>
      <c r="B347" s="2">
        <v>44713.0</v>
      </c>
      <c r="C347" s="3">
        <v>0.7138657407407407</v>
      </c>
      <c r="D347" s="1">
        <v>12.71589</v>
      </c>
      <c r="E347" s="1">
        <v>79.980717</v>
      </c>
      <c r="F347" s="1">
        <v>805.0</v>
      </c>
      <c r="G347" s="1">
        <v>58.0</v>
      </c>
    </row>
    <row r="348">
      <c r="A348" s="1" t="s">
        <v>8</v>
      </c>
      <c r="B348" s="2">
        <v>44713.0</v>
      </c>
      <c r="C348" s="3">
        <v>0.7147916666666667</v>
      </c>
      <c r="D348" s="1">
        <v>12.704411</v>
      </c>
      <c r="E348" s="1">
        <v>79.973162</v>
      </c>
      <c r="F348" s="1">
        <v>805.0</v>
      </c>
      <c r="G348" s="1">
        <v>48.0</v>
      </c>
    </row>
    <row r="349">
      <c r="A349" s="1" t="s">
        <v>8</v>
      </c>
      <c r="B349" s="2">
        <v>44713.0</v>
      </c>
      <c r="C349" s="3">
        <v>0.715</v>
      </c>
      <c r="D349" s="1">
        <v>12.703771</v>
      </c>
      <c r="E349" s="1">
        <v>79.972302</v>
      </c>
      <c r="F349" s="1">
        <v>805.0</v>
      </c>
      <c r="G349" s="1">
        <v>40.0</v>
      </c>
    </row>
    <row r="350">
      <c r="A350" s="1" t="s">
        <v>7</v>
      </c>
      <c r="B350" s="2">
        <v>44713.0</v>
      </c>
      <c r="C350" s="3">
        <v>0.7150462962962963</v>
      </c>
      <c r="D350" s="1">
        <v>12.703024</v>
      </c>
      <c r="E350" s="1">
        <v>79.971372</v>
      </c>
      <c r="F350" s="1">
        <v>805.0</v>
      </c>
      <c r="G350" s="1">
        <v>50.0</v>
      </c>
    </row>
    <row r="351">
      <c r="A351" s="1" t="s">
        <v>8</v>
      </c>
      <c r="B351" s="2">
        <v>44713.0</v>
      </c>
      <c r="C351" s="3">
        <v>0.7152199074074074</v>
      </c>
      <c r="D351" s="1">
        <v>12.702188</v>
      </c>
      <c r="E351" s="1">
        <v>79.970316</v>
      </c>
      <c r="F351" s="1">
        <v>805.0</v>
      </c>
      <c r="G351" s="1">
        <v>53.0</v>
      </c>
    </row>
    <row r="352">
      <c r="A352" s="1" t="s">
        <v>8</v>
      </c>
      <c r="B352" s="2">
        <v>44713.0</v>
      </c>
      <c r="C352" s="3">
        <v>0.7152777777777778</v>
      </c>
      <c r="D352" s="1">
        <v>12.702188</v>
      </c>
      <c r="E352" s="1">
        <v>79.970316</v>
      </c>
      <c r="F352" s="1">
        <v>805.0</v>
      </c>
      <c r="G352" s="1">
        <v>53.0</v>
      </c>
    </row>
    <row r="353">
      <c r="A353" s="1" t="s">
        <v>8</v>
      </c>
      <c r="B353" s="2">
        <v>44713.0</v>
      </c>
      <c r="C353" s="3">
        <v>0.7171296296296297</v>
      </c>
      <c r="D353" s="1">
        <v>12.69758</v>
      </c>
      <c r="E353" s="1">
        <v>79.975137</v>
      </c>
      <c r="F353" s="1">
        <v>805.0</v>
      </c>
      <c r="G353" s="1">
        <v>31.0</v>
      </c>
    </row>
    <row r="354">
      <c r="A354" s="1" t="s">
        <v>8</v>
      </c>
      <c r="B354" s="2">
        <v>44713.0</v>
      </c>
      <c r="C354" s="3">
        <v>0.7185069444444444</v>
      </c>
      <c r="D354" s="1">
        <v>12.694532</v>
      </c>
      <c r="E354" s="1">
        <v>79.978446</v>
      </c>
      <c r="F354" s="1">
        <v>805.0</v>
      </c>
      <c r="G354" s="1">
        <v>28.0</v>
      </c>
    </row>
    <row r="355">
      <c r="A355" s="1" t="s">
        <v>10</v>
      </c>
      <c r="B355" s="2">
        <v>44713.0</v>
      </c>
      <c r="C355" s="3">
        <v>0.7188078703703704</v>
      </c>
      <c r="D355" s="1">
        <v>12.693963</v>
      </c>
      <c r="E355" s="1">
        <v>79.979027</v>
      </c>
      <c r="F355" s="1">
        <v>805.0</v>
      </c>
      <c r="G355" s="1">
        <v>0.0</v>
      </c>
    </row>
    <row r="356">
      <c r="A356" s="1" t="s">
        <v>10</v>
      </c>
      <c r="B356" s="2">
        <v>44713.0</v>
      </c>
      <c r="C356" s="3">
        <v>0.719375</v>
      </c>
      <c r="D356" s="1">
        <v>12.691746</v>
      </c>
      <c r="E356" s="1">
        <v>79.980376</v>
      </c>
      <c r="F356" s="1">
        <v>805.0</v>
      </c>
      <c r="G356" s="1">
        <v>24.0</v>
      </c>
    </row>
    <row r="357">
      <c r="A357" s="1" t="s">
        <v>10</v>
      </c>
      <c r="B357" s="2">
        <v>44713.0</v>
      </c>
      <c r="C357" s="3">
        <v>0.7195023148148149</v>
      </c>
      <c r="D357" s="1">
        <v>12.691414</v>
      </c>
      <c r="E357" s="1">
        <v>79.980685</v>
      </c>
      <c r="F357" s="1">
        <v>805.0</v>
      </c>
      <c r="G357" s="1">
        <v>17.0</v>
      </c>
    </row>
    <row r="358">
      <c r="A358" s="1" t="s">
        <v>10</v>
      </c>
      <c r="B358" s="2">
        <v>44713.0</v>
      </c>
      <c r="C358" s="3">
        <v>0.7215393518518518</v>
      </c>
      <c r="D358" s="1">
        <v>12.684107</v>
      </c>
      <c r="E358" s="1">
        <v>79.983364</v>
      </c>
      <c r="F358" s="1">
        <v>805.0</v>
      </c>
      <c r="G358" s="1">
        <v>0.0</v>
      </c>
    </row>
    <row r="359">
      <c r="A359" s="1" t="s">
        <v>8</v>
      </c>
      <c r="B359" s="2">
        <v>44713.0</v>
      </c>
      <c r="C359" s="3">
        <v>0.7223958333333333</v>
      </c>
      <c r="D359" s="1">
        <v>12.681486</v>
      </c>
      <c r="E359" s="1">
        <v>79.981856</v>
      </c>
      <c r="F359" s="1">
        <v>805.0</v>
      </c>
      <c r="G359" s="1">
        <v>37.0</v>
      </c>
    </row>
    <row r="360">
      <c r="A360" s="1" t="s">
        <v>8</v>
      </c>
      <c r="B360" s="2">
        <v>44713.0</v>
      </c>
      <c r="C360" s="3">
        <v>0.7224305555555556</v>
      </c>
      <c r="D360" s="1">
        <v>12.680532</v>
      </c>
      <c r="E360" s="1">
        <v>79.981268</v>
      </c>
      <c r="F360" s="1">
        <v>805.0</v>
      </c>
      <c r="G360" s="1">
        <v>38.0</v>
      </c>
    </row>
    <row r="361">
      <c r="A361" s="1" t="s">
        <v>8</v>
      </c>
      <c r="B361" s="2">
        <v>44713.0</v>
      </c>
      <c r="C361" s="3">
        <v>0.7224421296296296</v>
      </c>
      <c r="D361" s="1">
        <v>12.680532</v>
      </c>
      <c r="E361" s="1">
        <v>79.981268</v>
      </c>
      <c r="F361" s="1">
        <v>805.0</v>
      </c>
      <c r="G361" s="1">
        <v>38.0</v>
      </c>
    </row>
    <row r="362">
      <c r="A362" s="1" t="s">
        <v>10</v>
      </c>
      <c r="B362" s="2">
        <v>44713.0</v>
      </c>
      <c r="C362" s="3">
        <v>0.7232407407407407</v>
      </c>
      <c r="D362" s="1">
        <v>12.678134</v>
      </c>
      <c r="E362" s="1">
        <v>79.979764</v>
      </c>
      <c r="F362" s="1">
        <v>805.0</v>
      </c>
      <c r="G362" s="1">
        <v>12.0</v>
      </c>
    </row>
    <row r="363">
      <c r="A363" s="1" t="s">
        <v>7</v>
      </c>
      <c r="B363" s="2">
        <v>44713.0</v>
      </c>
      <c r="C363" s="3">
        <v>0.7250578703703704</v>
      </c>
      <c r="D363" s="1">
        <v>12.672862</v>
      </c>
      <c r="E363" s="1">
        <v>79.976434</v>
      </c>
      <c r="F363" s="1">
        <v>805.0</v>
      </c>
      <c r="G363" s="1">
        <v>42.0</v>
      </c>
    </row>
    <row r="364">
      <c r="A364" s="1" t="s">
        <v>7</v>
      </c>
      <c r="B364" s="2">
        <v>44713.0</v>
      </c>
      <c r="C364" s="3">
        <v>0.7253240740740741</v>
      </c>
      <c r="D364" s="1">
        <v>12.672862</v>
      </c>
      <c r="E364" s="1">
        <v>79.976434</v>
      </c>
      <c r="F364" s="1">
        <v>805.0</v>
      </c>
      <c r="G364" s="1">
        <v>42.0</v>
      </c>
    </row>
    <row r="365">
      <c r="A365" s="1" t="s">
        <v>7</v>
      </c>
      <c r="B365" s="2">
        <v>44713.0</v>
      </c>
      <c r="C365" s="3">
        <v>0.7257638888888889</v>
      </c>
      <c r="D365" s="1">
        <v>12.66334</v>
      </c>
      <c r="E365" s="1">
        <v>79.968081</v>
      </c>
      <c r="F365" s="1">
        <v>805.0</v>
      </c>
      <c r="G365" s="1">
        <v>57.0</v>
      </c>
    </row>
    <row r="366">
      <c r="A366" s="1" t="s">
        <v>7</v>
      </c>
      <c r="B366" s="2">
        <v>44713.0</v>
      </c>
      <c r="C366" s="3">
        <v>0.7264351851851852</v>
      </c>
      <c r="D366" s="1">
        <v>12.659546</v>
      </c>
      <c r="E366" s="1">
        <v>79.963548</v>
      </c>
      <c r="F366" s="1">
        <v>805.0</v>
      </c>
      <c r="G366" s="1">
        <v>59.0</v>
      </c>
    </row>
    <row r="367">
      <c r="A367" s="1" t="s">
        <v>7</v>
      </c>
      <c r="B367" s="2">
        <v>44713.0</v>
      </c>
      <c r="C367" s="3">
        <v>0.7271527777777778</v>
      </c>
      <c r="D367" s="1">
        <v>12.657156</v>
      </c>
      <c r="E367" s="1">
        <v>79.957148</v>
      </c>
      <c r="F367" s="1">
        <v>805.0</v>
      </c>
      <c r="G367" s="1">
        <v>31.0</v>
      </c>
    </row>
    <row r="368">
      <c r="A368" s="1" t="s">
        <v>7</v>
      </c>
      <c r="B368" s="2">
        <v>44713.0</v>
      </c>
      <c r="C368" s="3">
        <v>0.7274305555555556</v>
      </c>
      <c r="D368" s="1">
        <v>12.656529</v>
      </c>
      <c r="E368" s="1">
        <v>79.955378</v>
      </c>
      <c r="F368" s="1">
        <v>805.0</v>
      </c>
      <c r="G368" s="1">
        <v>57.0</v>
      </c>
    </row>
    <row r="369">
      <c r="A369" s="1" t="s">
        <v>8</v>
      </c>
      <c r="B369" s="2">
        <v>44713.0</v>
      </c>
      <c r="C369" s="3">
        <v>0.7291666666666666</v>
      </c>
      <c r="D369" s="1">
        <v>12.653173</v>
      </c>
      <c r="E369" s="1">
        <v>79.942308</v>
      </c>
      <c r="F369" s="1">
        <v>805.0</v>
      </c>
      <c r="G369" s="1">
        <v>51.0</v>
      </c>
    </row>
    <row r="370">
      <c r="A370" s="1" t="s">
        <v>7</v>
      </c>
      <c r="B370" s="2">
        <v>44713.0</v>
      </c>
      <c r="C370" s="3">
        <v>0.7294791666666667</v>
      </c>
      <c r="D370" s="1">
        <v>12.649416</v>
      </c>
      <c r="E370" s="1">
        <v>79.941202</v>
      </c>
      <c r="F370" s="1">
        <v>805.0</v>
      </c>
      <c r="G370" s="1">
        <v>51.0</v>
      </c>
    </row>
    <row r="371">
      <c r="A371" s="1" t="s">
        <v>8</v>
      </c>
      <c r="B371" s="2">
        <v>44713.0</v>
      </c>
      <c r="C371" s="3">
        <v>0.7297106481481481</v>
      </c>
      <c r="D371" s="1">
        <v>12.647325</v>
      </c>
      <c r="E371" s="1">
        <v>79.940521</v>
      </c>
      <c r="F371" s="1">
        <v>805.0</v>
      </c>
      <c r="G371" s="1">
        <v>50.0</v>
      </c>
    </row>
    <row r="372">
      <c r="A372" s="1" t="s">
        <v>7</v>
      </c>
      <c r="B372" s="2">
        <v>44713.0</v>
      </c>
      <c r="C372" s="3">
        <v>0.7309375</v>
      </c>
      <c r="D372" s="1">
        <v>12.635872</v>
      </c>
      <c r="E372" s="1">
        <v>79.933815</v>
      </c>
      <c r="F372" s="1">
        <v>805.0</v>
      </c>
      <c r="G372" s="1">
        <v>53.0</v>
      </c>
    </row>
    <row r="373">
      <c r="A373" s="1" t="s">
        <v>7</v>
      </c>
      <c r="B373" s="2">
        <v>44713.0</v>
      </c>
      <c r="C373" s="3">
        <v>0.7313541666666666</v>
      </c>
      <c r="D373" s="1">
        <v>12.630513</v>
      </c>
      <c r="E373" s="1">
        <v>79.93147</v>
      </c>
      <c r="F373" s="1">
        <v>805.0</v>
      </c>
      <c r="G373" s="1">
        <v>52.0</v>
      </c>
    </row>
    <row r="374">
      <c r="A374" s="1" t="s">
        <v>7</v>
      </c>
      <c r="B374" s="2">
        <v>44713.0</v>
      </c>
      <c r="C374" s="3">
        <v>0.7315393518518518</v>
      </c>
      <c r="D374" s="1">
        <v>12.628899</v>
      </c>
      <c r="E374" s="1">
        <v>79.930716</v>
      </c>
      <c r="F374" s="1">
        <v>805.0</v>
      </c>
      <c r="G374" s="1">
        <v>51.0</v>
      </c>
    </row>
    <row r="375">
      <c r="A375" s="1" t="s">
        <v>7</v>
      </c>
      <c r="B375" s="2">
        <v>44713.0</v>
      </c>
      <c r="C375" s="3">
        <v>0.7318055555555556</v>
      </c>
      <c r="D375" s="1">
        <v>12.624906</v>
      </c>
      <c r="E375" s="1">
        <v>79.928999</v>
      </c>
      <c r="F375" s="1">
        <v>805.0</v>
      </c>
      <c r="G375" s="1">
        <v>57.0</v>
      </c>
    </row>
    <row r="376">
      <c r="A376" s="1" t="s">
        <v>7</v>
      </c>
      <c r="B376" s="2">
        <v>44713.0</v>
      </c>
      <c r="C376" s="3">
        <v>0.7322569444444444</v>
      </c>
      <c r="D376" s="1">
        <v>12.620676</v>
      </c>
      <c r="E376" s="1">
        <v>79.927323</v>
      </c>
      <c r="F376" s="1">
        <v>805.0</v>
      </c>
      <c r="G376" s="1">
        <v>58.0</v>
      </c>
    </row>
    <row r="377">
      <c r="A377" s="1" t="s">
        <v>8</v>
      </c>
      <c r="B377" s="2">
        <v>44713.0</v>
      </c>
      <c r="C377" s="3">
        <v>0.7323263888888889</v>
      </c>
      <c r="D377" s="1">
        <v>12.618543</v>
      </c>
      <c r="E377" s="1">
        <v>79.926772</v>
      </c>
      <c r="F377" s="1">
        <v>805.0</v>
      </c>
      <c r="G377" s="1">
        <v>58.0</v>
      </c>
    </row>
    <row r="378">
      <c r="A378" s="1" t="s">
        <v>7</v>
      </c>
      <c r="B378" s="2">
        <v>44713.0</v>
      </c>
      <c r="C378" s="3">
        <v>0.7324537037037037</v>
      </c>
      <c r="D378" s="1">
        <v>12.616413</v>
      </c>
      <c r="E378" s="1">
        <v>79.926202</v>
      </c>
      <c r="F378" s="1">
        <v>805.0</v>
      </c>
      <c r="G378" s="1">
        <v>57.0</v>
      </c>
    </row>
    <row r="379">
      <c r="A379" s="1" t="s">
        <v>7</v>
      </c>
      <c r="B379" s="2">
        <v>44713.0</v>
      </c>
      <c r="C379" s="3">
        <v>0.7326967592592593</v>
      </c>
      <c r="D379" s="1">
        <v>12.614432</v>
      </c>
      <c r="E379" s="1">
        <v>79.925271</v>
      </c>
      <c r="F379" s="1">
        <v>805.0</v>
      </c>
      <c r="G379" s="1">
        <v>58.0</v>
      </c>
    </row>
    <row r="380">
      <c r="A380" s="1" t="s">
        <v>8</v>
      </c>
      <c r="B380" s="2">
        <v>44713.0</v>
      </c>
      <c r="C380" s="3">
        <v>0.7327546296296297</v>
      </c>
      <c r="D380" s="1">
        <v>12.614432</v>
      </c>
      <c r="E380" s="1">
        <v>79.925271</v>
      </c>
      <c r="F380" s="1">
        <v>805.0</v>
      </c>
      <c r="G380" s="1">
        <v>58.0</v>
      </c>
    </row>
    <row r="381">
      <c r="A381" s="1" t="s">
        <v>8</v>
      </c>
      <c r="B381" s="2">
        <v>44713.0</v>
      </c>
      <c r="C381" s="3">
        <v>0.7327893518518519</v>
      </c>
      <c r="D381" s="1">
        <v>12.612638</v>
      </c>
      <c r="E381" s="1">
        <v>79.924241</v>
      </c>
      <c r="F381" s="1">
        <v>805.0</v>
      </c>
      <c r="G381" s="1">
        <v>55.0</v>
      </c>
    </row>
    <row r="382">
      <c r="A382" s="1" t="s">
        <v>7</v>
      </c>
      <c r="B382" s="2">
        <v>44713.0</v>
      </c>
      <c r="C382" s="3">
        <v>0.7330555555555556</v>
      </c>
      <c r="D382" s="1">
        <v>12.610842</v>
      </c>
      <c r="E382" s="1">
        <v>79.923215</v>
      </c>
      <c r="F382" s="1">
        <v>805.0</v>
      </c>
      <c r="G382" s="1">
        <v>58.0</v>
      </c>
    </row>
    <row r="383">
      <c r="A383" s="1" t="s">
        <v>7</v>
      </c>
      <c r="B383" s="2">
        <v>44713.0</v>
      </c>
      <c r="C383" s="3">
        <v>0.7331712962962963</v>
      </c>
      <c r="D383" s="1">
        <v>12.609115</v>
      </c>
      <c r="E383" s="1">
        <v>79.922207</v>
      </c>
      <c r="F383" s="1">
        <v>805.0</v>
      </c>
      <c r="G383" s="1">
        <v>48.0</v>
      </c>
    </row>
    <row r="384">
      <c r="A384" s="1" t="s">
        <v>7</v>
      </c>
      <c r="B384" s="2">
        <v>44713.0</v>
      </c>
      <c r="C384" s="3">
        <v>0.7334143518518519</v>
      </c>
      <c r="D384" s="1">
        <v>12.607986</v>
      </c>
      <c r="E384" s="1">
        <v>79.92155</v>
      </c>
      <c r="F384" s="1">
        <v>805.0</v>
      </c>
      <c r="G384" s="1">
        <v>43.0</v>
      </c>
    </row>
    <row r="385">
      <c r="A385" s="1" t="s">
        <v>7</v>
      </c>
      <c r="B385" s="2">
        <v>44713.0</v>
      </c>
      <c r="C385" s="3">
        <v>0.7336342592592593</v>
      </c>
      <c r="D385" s="1">
        <v>12.60606</v>
      </c>
      <c r="E385" s="1">
        <v>79.920885</v>
      </c>
      <c r="F385" s="1">
        <v>805.0</v>
      </c>
      <c r="G385" s="1">
        <v>57.0</v>
      </c>
    </row>
    <row r="386">
      <c r="A386" s="1" t="s">
        <v>7</v>
      </c>
      <c r="B386" s="2">
        <v>44713.0</v>
      </c>
      <c r="C386" s="3">
        <v>0.7339583333333334</v>
      </c>
      <c r="D386" s="1">
        <v>12.60171</v>
      </c>
      <c r="E386" s="1">
        <v>79.920147</v>
      </c>
      <c r="F386" s="1">
        <v>805.0</v>
      </c>
      <c r="G386" s="1">
        <v>58.0</v>
      </c>
    </row>
    <row r="387">
      <c r="A387" s="1" t="s">
        <v>7</v>
      </c>
      <c r="B387" s="2">
        <v>44713.0</v>
      </c>
      <c r="C387" s="3">
        <v>0.7340509259259259</v>
      </c>
      <c r="D387" s="1">
        <v>12.599377</v>
      </c>
      <c r="E387" s="1">
        <v>79.919906</v>
      </c>
      <c r="F387" s="1">
        <v>805.0</v>
      </c>
      <c r="G387" s="1">
        <v>58.0</v>
      </c>
    </row>
    <row r="388">
      <c r="A388" s="1" t="s">
        <v>7</v>
      </c>
      <c r="B388" s="2">
        <v>44713.0</v>
      </c>
      <c r="C388" s="3">
        <v>0.7347800925925926</v>
      </c>
      <c r="D388" s="1">
        <v>12.59004</v>
      </c>
      <c r="E388" s="1">
        <v>79.919344</v>
      </c>
      <c r="F388" s="1">
        <v>805.0</v>
      </c>
      <c r="G388" s="1">
        <v>58.0</v>
      </c>
    </row>
    <row r="389">
      <c r="A389" s="1" t="s">
        <v>7</v>
      </c>
      <c r="B389" s="2">
        <v>44713.0</v>
      </c>
      <c r="C389" s="3">
        <v>0.7349074074074075</v>
      </c>
      <c r="D389" s="1">
        <v>12.59004</v>
      </c>
      <c r="E389" s="1">
        <v>79.919344</v>
      </c>
      <c r="F389" s="1">
        <v>805.0</v>
      </c>
      <c r="G389" s="1">
        <v>58.0</v>
      </c>
    </row>
    <row r="390">
      <c r="A390" s="1" t="s">
        <v>8</v>
      </c>
      <c r="B390" s="2">
        <v>44713.0</v>
      </c>
      <c r="C390" s="3">
        <v>0.735625</v>
      </c>
      <c r="D390" s="1">
        <v>12.580941</v>
      </c>
      <c r="E390" s="1">
        <v>79.918765</v>
      </c>
      <c r="F390" s="1">
        <v>805.0</v>
      </c>
      <c r="G390" s="1">
        <v>58.0</v>
      </c>
    </row>
    <row r="391">
      <c r="A391" s="1" t="s">
        <v>8</v>
      </c>
      <c r="B391" s="2">
        <v>44713.0</v>
      </c>
      <c r="C391" s="3">
        <v>0.7357060185185185</v>
      </c>
      <c r="D391" s="1">
        <v>12.578793</v>
      </c>
      <c r="E391" s="1">
        <v>79.917837</v>
      </c>
      <c r="F391" s="1">
        <v>805.0</v>
      </c>
      <c r="G391" s="1">
        <v>58.0</v>
      </c>
    </row>
    <row r="392">
      <c r="A392" s="1" t="s">
        <v>7</v>
      </c>
      <c r="B392" s="2">
        <v>44713.0</v>
      </c>
      <c r="C392" s="3">
        <v>0.7358564814814815</v>
      </c>
      <c r="D392" s="1">
        <v>12.578793</v>
      </c>
      <c r="E392" s="1">
        <v>79.917837</v>
      </c>
      <c r="F392" s="1">
        <v>805.0</v>
      </c>
      <c r="G392" s="1">
        <v>58.0</v>
      </c>
    </row>
    <row r="393">
      <c r="A393" s="1" t="s">
        <v>8</v>
      </c>
      <c r="B393" s="2">
        <v>44713.0</v>
      </c>
      <c r="C393" s="3">
        <v>0.7359143518518518</v>
      </c>
      <c r="D393" s="1">
        <v>12.576391</v>
      </c>
      <c r="E393" s="1">
        <v>79.917196</v>
      </c>
      <c r="F393" s="1">
        <v>805.0</v>
      </c>
      <c r="G393" s="1">
        <v>57.0</v>
      </c>
    </row>
    <row r="394">
      <c r="A394" s="1" t="s">
        <v>8</v>
      </c>
      <c r="B394" s="2">
        <v>44713.0</v>
      </c>
      <c r="C394" s="3">
        <v>0.7359953703703703</v>
      </c>
      <c r="D394" s="1">
        <v>12.576391</v>
      </c>
      <c r="E394" s="1">
        <v>79.917196</v>
      </c>
      <c r="F394" s="1">
        <v>805.0</v>
      </c>
      <c r="G394" s="1">
        <v>57.0</v>
      </c>
    </row>
    <row r="395">
      <c r="A395" s="1" t="s">
        <v>8</v>
      </c>
      <c r="B395" s="2">
        <v>44713.0</v>
      </c>
      <c r="C395" s="3">
        <v>0.7363194444444444</v>
      </c>
      <c r="D395" s="1">
        <v>12.571883</v>
      </c>
      <c r="E395" s="1">
        <v>79.916218</v>
      </c>
      <c r="F395" s="1">
        <v>805.0</v>
      </c>
      <c r="G395" s="1">
        <v>55.0</v>
      </c>
    </row>
    <row r="396">
      <c r="A396" s="1" t="s">
        <v>7</v>
      </c>
      <c r="B396" s="2">
        <v>44713.0</v>
      </c>
      <c r="C396" s="3">
        <v>0.7382060185185185</v>
      </c>
      <c r="D396" s="1">
        <v>12.551896</v>
      </c>
      <c r="E396" s="1">
        <v>79.907017</v>
      </c>
      <c r="F396" s="1">
        <v>805.0</v>
      </c>
      <c r="G396" s="1">
        <v>58.0</v>
      </c>
    </row>
    <row r="397">
      <c r="A397" s="1" t="s">
        <v>7</v>
      </c>
      <c r="B397" s="2">
        <v>44713.0</v>
      </c>
      <c r="C397" s="3">
        <v>0.7385185185185185</v>
      </c>
      <c r="D397" s="1">
        <v>12.549708</v>
      </c>
      <c r="E397" s="1">
        <v>79.906166</v>
      </c>
      <c r="F397" s="1">
        <v>805.0</v>
      </c>
      <c r="G397" s="1">
        <v>58.0</v>
      </c>
    </row>
    <row r="398">
      <c r="A398" s="1" t="s">
        <v>7</v>
      </c>
      <c r="B398" s="2">
        <v>44713.0</v>
      </c>
      <c r="C398" s="3">
        <v>0.7387847222222222</v>
      </c>
      <c r="D398" s="1">
        <v>12.544951</v>
      </c>
      <c r="E398" s="1">
        <v>79.905251</v>
      </c>
      <c r="F398" s="1">
        <v>805.0</v>
      </c>
      <c r="G398" s="1">
        <v>58.0</v>
      </c>
    </row>
    <row r="399">
      <c r="A399" s="1" t="s">
        <v>7</v>
      </c>
      <c r="B399" s="2">
        <v>44713.0</v>
      </c>
      <c r="C399" s="3">
        <v>0.7389236111111112</v>
      </c>
      <c r="D399" s="1">
        <v>12.542846</v>
      </c>
      <c r="E399" s="1">
        <v>79.904844</v>
      </c>
      <c r="F399" s="1">
        <v>805.0</v>
      </c>
      <c r="G399" s="1">
        <v>51.0</v>
      </c>
    </row>
    <row r="400">
      <c r="A400" s="1" t="s">
        <v>7</v>
      </c>
      <c r="B400" s="2">
        <v>44713.0</v>
      </c>
      <c r="C400" s="3">
        <v>0.7400578703703704</v>
      </c>
      <c r="D400" s="1">
        <v>12.531385</v>
      </c>
      <c r="E400" s="1">
        <v>79.900272</v>
      </c>
      <c r="F400" s="1">
        <v>805.0</v>
      </c>
      <c r="G400" s="1">
        <v>0.0</v>
      </c>
    </row>
    <row r="401">
      <c r="A401" s="1" t="s">
        <v>7</v>
      </c>
      <c r="B401" s="2">
        <v>44713.0</v>
      </c>
      <c r="C401" s="3">
        <v>0.7403009259259259</v>
      </c>
      <c r="D401" s="1">
        <v>12.531385</v>
      </c>
      <c r="E401" s="1">
        <v>79.900272</v>
      </c>
      <c r="F401" s="1">
        <v>805.0</v>
      </c>
      <c r="G401" s="1">
        <v>0.0</v>
      </c>
    </row>
    <row r="402">
      <c r="A402" s="1" t="s">
        <v>9</v>
      </c>
      <c r="B402" s="2">
        <v>44713.0</v>
      </c>
      <c r="C402" s="3">
        <v>0.7406481481481482</v>
      </c>
      <c r="D402" s="1">
        <v>12.528537</v>
      </c>
      <c r="E402" s="1">
        <v>79.898806</v>
      </c>
      <c r="F402" s="1">
        <v>805.0</v>
      </c>
      <c r="G402" s="1">
        <v>59.0</v>
      </c>
    </row>
    <row r="403">
      <c r="A403" s="1" t="s">
        <v>7</v>
      </c>
      <c r="B403" s="2">
        <v>44713.0</v>
      </c>
      <c r="C403" s="3">
        <v>0.7406944444444444</v>
      </c>
      <c r="D403" s="1">
        <v>12.528537</v>
      </c>
      <c r="E403" s="1">
        <v>79.898806</v>
      </c>
      <c r="F403" s="1">
        <v>805.0</v>
      </c>
      <c r="G403" s="1">
        <v>59.0</v>
      </c>
    </row>
    <row r="404">
      <c r="A404" s="1" t="s">
        <v>8</v>
      </c>
      <c r="B404" s="2">
        <v>44713.0</v>
      </c>
      <c r="C404" s="3">
        <v>0.7422800925925926</v>
      </c>
      <c r="D404" s="1">
        <v>12.514417</v>
      </c>
      <c r="E404" s="1">
        <v>79.888285</v>
      </c>
      <c r="F404" s="1">
        <v>805.0</v>
      </c>
      <c r="G404" s="1">
        <v>17.0</v>
      </c>
    </row>
    <row r="405">
      <c r="A405" s="1" t="s">
        <v>10</v>
      </c>
      <c r="B405" s="2">
        <v>44713.0</v>
      </c>
      <c r="C405" s="3">
        <v>0.7435648148148148</v>
      </c>
      <c r="D405" s="1">
        <v>12.510567</v>
      </c>
      <c r="E405" s="1">
        <v>79.88506</v>
      </c>
      <c r="F405" s="1">
        <v>805.0</v>
      </c>
      <c r="G405" s="1">
        <v>0.0</v>
      </c>
    </row>
    <row r="406">
      <c r="A406" s="1" t="s">
        <v>7</v>
      </c>
      <c r="B406" s="2">
        <v>44713.0</v>
      </c>
      <c r="C406" s="3">
        <v>0.7451041666666667</v>
      </c>
      <c r="D406" s="1">
        <v>12.506524</v>
      </c>
      <c r="E406" s="1">
        <v>79.880657</v>
      </c>
      <c r="F406" s="1">
        <v>805.0</v>
      </c>
      <c r="G406" s="1">
        <v>0.0</v>
      </c>
    </row>
    <row r="407">
      <c r="A407" s="1" t="s">
        <v>7</v>
      </c>
      <c r="B407" s="2">
        <v>44713.0</v>
      </c>
      <c r="C407" s="3">
        <v>0.7451967592592592</v>
      </c>
      <c r="D407" s="1">
        <v>12.506056</v>
      </c>
      <c r="E407" s="1">
        <v>79.88016</v>
      </c>
      <c r="F407" s="1">
        <v>805.0</v>
      </c>
      <c r="G407" s="1">
        <v>30.0</v>
      </c>
    </row>
    <row r="408">
      <c r="A408" s="1" t="s">
        <v>8</v>
      </c>
      <c r="B408" s="2">
        <v>44713.0</v>
      </c>
      <c r="C408" s="3">
        <v>0.7454050925925926</v>
      </c>
      <c r="D408" s="1">
        <v>12.504652</v>
      </c>
      <c r="E408" s="1">
        <v>79.879036</v>
      </c>
      <c r="F408" s="1">
        <v>805.0</v>
      </c>
      <c r="G408" s="1">
        <v>52.0</v>
      </c>
    </row>
    <row r="409">
      <c r="A409" s="1" t="s">
        <v>7</v>
      </c>
      <c r="B409" s="2">
        <v>44713.0</v>
      </c>
      <c r="C409" s="3">
        <v>0.7462384259259259</v>
      </c>
      <c r="D409" s="1">
        <v>12.497942</v>
      </c>
      <c r="E409" s="1">
        <v>79.873611</v>
      </c>
      <c r="F409" s="1">
        <v>805.0</v>
      </c>
      <c r="G409" s="1">
        <v>56.0</v>
      </c>
    </row>
    <row r="410">
      <c r="A410" s="1" t="s">
        <v>7</v>
      </c>
      <c r="B410" s="2">
        <v>44713.0</v>
      </c>
      <c r="C410" s="3">
        <v>0.7465740740740741</v>
      </c>
      <c r="D410" s="1">
        <v>12.496295</v>
      </c>
      <c r="E410" s="1">
        <v>79.872113</v>
      </c>
      <c r="F410" s="1">
        <v>805.0</v>
      </c>
      <c r="G410" s="1">
        <v>12.0</v>
      </c>
    </row>
    <row r="411">
      <c r="A411" s="1" t="s">
        <v>7</v>
      </c>
      <c r="B411" s="2">
        <v>44713.0</v>
      </c>
      <c r="C411" s="3">
        <v>0.7470023148148148</v>
      </c>
      <c r="D411" s="1">
        <v>12.498964</v>
      </c>
      <c r="E411" s="1">
        <v>79.874267</v>
      </c>
      <c r="F411" s="1">
        <v>805.0</v>
      </c>
      <c r="G411" s="1">
        <v>48.0</v>
      </c>
    </row>
    <row r="412">
      <c r="A412" s="1" t="s">
        <v>7</v>
      </c>
      <c r="B412" s="2">
        <v>44713.0</v>
      </c>
      <c r="C412" s="3">
        <v>0.7472106481481482</v>
      </c>
      <c r="D412" s="1">
        <v>12.500551</v>
      </c>
      <c r="E412" s="1">
        <v>79.875565</v>
      </c>
      <c r="F412" s="1">
        <v>805.0</v>
      </c>
      <c r="G412" s="1">
        <v>56.0</v>
      </c>
    </row>
    <row r="413">
      <c r="A413" s="1" t="s">
        <v>7</v>
      </c>
      <c r="B413" s="2">
        <v>44713.0</v>
      </c>
      <c r="C413" s="3">
        <v>0.7474074074074074</v>
      </c>
      <c r="D413" s="1">
        <v>12.50405</v>
      </c>
      <c r="E413" s="1">
        <v>79.87834</v>
      </c>
      <c r="F413" s="1">
        <v>805.0</v>
      </c>
      <c r="G413" s="1">
        <v>59.0</v>
      </c>
    </row>
    <row r="414">
      <c r="A414" s="1" t="s">
        <v>7</v>
      </c>
      <c r="B414" s="2">
        <v>44713.0</v>
      </c>
      <c r="C414" s="3">
        <v>0.7475810185185185</v>
      </c>
      <c r="D414" s="1">
        <v>12.50405</v>
      </c>
      <c r="E414" s="1">
        <v>79.87834</v>
      </c>
      <c r="F414" s="1">
        <v>805.0</v>
      </c>
      <c r="G414" s="1">
        <v>59.0</v>
      </c>
    </row>
    <row r="415">
      <c r="A415" s="1" t="s">
        <v>7</v>
      </c>
      <c r="B415" s="2">
        <v>44713.0</v>
      </c>
      <c r="C415" s="3">
        <v>0.7489351851851852</v>
      </c>
      <c r="D415" s="1">
        <v>12.515652</v>
      </c>
      <c r="E415" s="1">
        <v>79.88697</v>
      </c>
      <c r="F415" s="1">
        <v>805.0</v>
      </c>
      <c r="G415" s="1">
        <v>0.0</v>
      </c>
    </row>
    <row r="416">
      <c r="A416" s="1" t="s">
        <v>7</v>
      </c>
      <c r="B416" s="2">
        <v>44713.0</v>
      </c>
      <c r="C416" s="3">
        <v>0.7492361111111111</v>
      </c>
      <c r="D416" s="1">
        <v>12.515652</v>
      </c>
      <c r="E416" s="1">
        <v>79.88697</v>
      </c>
      <c r="F416" s="1">
        <v>805.0</v>
      </c>
      <c r="G416" s="1">
        <v>0.0</v>
      </c>
    </row>
    <row r="417">
      <c r="A417" s="1" t="s">
        <v>7</v>
      </c>
      <c r="B417" s="2">
        <v>44713.0</v>
      </c>
      <c r="C417" s="3">
        <v>0.7502199074074074</v>
      </c>
      <c r="D417" s="1">
        <v>12.522698</v>
      </c>
      <c r="E417" s="1">
        <v>79.895862</v>
      </c>
      <c r="F417" s="1">
        <v>805.0</v>
      </c>
      <c r="G417" s="1">
        <v>58.0</v>
      </c>
    </row>
    <row r="418">
      <c r="A418" s="1" t="s">
        <v>7</v>
      </c>
      <c r="B418" s="2">
        <v>44713.0</v>
      </c>
      <c r="C418" s="3">
        <v>0.750636574074074</v>
      </c>
      <c r="D418" s="1">
        <v>12.52697</v>
      </c>
      <c r="E418" s="1">
        <v>79.897829</v>
      </c>
      <c r="F418" s="1">
        <v>805.0</v>
      </c>
      <c r="G418" s="1">
        <v>57.0</v>
      </c>
    </row>
    <row r="419">
      <c r="A419" s="1" t="s">
        <v>7</v>
      </c>
      <c r="B419" s="2">
        <v>44713.0</v>
      </c>
      <c r="C419" s="3">
        <v>0.7507870370370371</v>
      </c>
      <c r="D419" s="1">
        <v>12.529063</v>
      </c>
      <c r="E419" s="1">
        <v>79.898895</v>
      </c>
      <c r="F419" s="1">
        <v>805.0</v>
      </c>
      <c r="G419" s="1">
        <v>58.0</v>
      </c>
    </row>
    <row r="420">
      <c r="A420" s="1" t="s">
        <v>7</v>
      </c>
      <c r="B420" s="2">
        <v>44713.0</v>
      </c>
      <c r="C420" s="3">
        <v>0.7508564814814814</v>
      </c>
      <c r="D420" s="1">
        <v>12.529063</v>
      </c>
      <c r="E420" s="1">
        <v>79.898895</v>
      </c>
      <c r="F420" s="1">
        <v>805.0</v>
      </c>
      <c r="G420" s="1">
        <v>58.0</v>
      </c>
    </row>
    <row r="421">
      <c r="A421" s="1" t="s">
        <v>7</v>
      </c>
      <c r="B421" s="2">
        <v>44713.0</v>
      </c>
      <c r="C421" s="3">
        <v>0.7511342592592593</v>
      </c>
      <c r="D421" s="1">
        <v>12.533313</v>
      </c>
      <c r="E421" s="1">
        <v>79.90091</v>
      </c>
      <c r="F421" s="1">
        <v>805.0</v>
      </c>
      <c r="G421" s="1">
        <v>58.0</v>
      </c>
    </row>
    <row r="422">
      <c r="A422" s="1" t="s">
        <v>7</v>
      </c>
      <c r="B422" s="2">
        <v>44713.0</v>
      </c>
      <c r="C422" s="3">
        <v>0.7514120370370371</v>
      </c>
      <c r="D422" s="1">
        <v>12.535407</v>
      </c>
      <c r="E422" s="1">
        <v>79.901978</v>
      </c>
      <c r="F422" s="1">
        <v>805.0</v>
      </c>
      <c r="G422" s="1">
        <v>58.0</v>
      </c>
    </row>
    <row r="423">
      <c r="A423" s="1" t="s">
        <v>7</v>
      </c>
      <c r="B423" s="2">
        <v>44713.0</v>
      </c>
      <c r="C423" s="3">
        <v>0.7516435185185185</v>
      </c>
      <c r="D423" s="1">
        <v>12.537418</v>
      </c>
      <c r="E423" s="1">
        <v>79.903213</v>
      </c>
      <c r="F423" s="1">
        <v>805.0</v>
      </c>
      <c r="G423" s="1">
        <v>58.0</v>
      </c>
    </row>
    <row r="424">
      <c r="A424" s="1" t="s">
        <v>8</v>
      </c>
      <c r="B424" s="2">
        <v>44713.0</v>
      </c>
      <c r="C424" s="3">
        <v>0.7521412037037037</v>
      </c>
      <c r="D424" s="1">
        <v>12.543968</v>
      </c>
      <c r="E424" s="1">
        <v>79.904934</v>
      </c>
      <c r="F424" s="1">
        <v>805.0</v>
      </c>
      <c r="G424" s="1">
        <v>59.0</v>
      </c>
    </row>
    <row r="425">
      <c r="A425" s="1" t="s">
        <v>7</v>
      </c>
      <c r="B425" s="2">
        <v>44713.0</v>
      </c>
      <c r="C425" s="3">
        <v>0.7522916666666667</v>
      </c>
      <c r="D425" s="1">
        <v>12.546264</v>
      </c>
      <c r="E425" s="1">
        <v>79.90535</v>
      </c>
      <c r="F425" s="1">
        <v>805.0</v>
      </c>
      <c r="G425" s="1">
        <v>56.0</v>
      </c>
    </row>
    <row r="426">
      <c r="A426" s="1" t="s">
        <v>7</v>
      </c>
      <c r="B426" s="2">
        <v>44713.0</v>
      </c>
      <c r="C426" s="3">
        <v>0.7526273148148148</v>
      </c>
      <c r="D426" s="1">
        <v>12.549946</v>
      </c>
      <c r="E426" s="1">
        <v>79.906083</v>
      </c>
      <c r="F426" s="1">
        <v>805.0</v>
      </c>
      <c r="G426" s="1">
        <v>33.0</v>
      </c>
    </row>
    <row r="427">
      <c r="A427" s="1" t="s">
        <v>7</v>
      </c>
      <c r="B427" s="2">
        <v>44713.0</v>
      </c>
      <c r="C427" s="3">
        <v>0.7527546296296296</v>
      </c>
      <c r="D427" s="1">
        <v>12.549946</v>
      </c>
      <c r="E427" s="1">
        <v>79.906083</v>
      </c>
      <c r="F427" s="1">
        <v>805.0</v>
      </c>
      <c r="G427" s="1">
        <v>33.0</v>
      </c>
    </row>
    <row r="428">
      <c r="A428" s="1" t="s">
        <v>7</v>
      </c>
      <c r="B428" s="2">
        <v>44713.0</v>
      </c>
      <c r="C428" s="3">
        <v>0.752824074074074</v>
      </c>
      <c r="D428" s="1">
        <v>12.551812</v>
      </c>
      <c r="E428" s="1">
        <v>79.906812</v>
      </c>
      <c r="F428" s="1">
        <v>805.0</v>
      </c>
      <c r="G428" s="1">
        <v>60.0</v>
      </c>
    </row>
    <row r="429">
      <c r="A429" s="1" t="s">
        <v>7</v>
      </c>
      <c r="B429" s="2">
        <v>44713.0</v>
      </c>
      <c r="C429" s="3">
        <v>0.7536805555555556</v>
      </c>
      <c r="D429" s="1">
        <v>12.560147</v>
      </c>
      <c r="E429" s="1">
        <v>79.911236</v>
      </c>
      <c r="F429" s="1">
        <v>805.0</v>
      </c>
      <c r="G429" s="1">
        <v>58.0</v>
      </c>
    </row>
    <row r="430">
      <c r="A430" s="1" t="s">
        <v>8</v>
      </c>
      <c r="B430" s="2">
        <v>44713.0</v>
      </c>
      <c r="C430" s="3">
        <v>0.7540509259259259</v>
      </c>
      <c r="D430" s="1">
        <v>12.56422</v>
      </c>
      <c r="E430" s="1">
        <v>79.913604</v>
      </c>
      <c r="F430" s="1">
        <v>805.0</v>
      </c>
      <c r="G430" s="1">
        <v>58.0</v>
      </c>
    </row>
    <row r="431">
      <c r="A431" s="1" t="s">
        <v>7</v>
      </c>
      <c r="B431" s="2">
        <v>44713.0</v>
      </c>
      <c r="C431" s="3">
        <v>0.7543171296296296</v>
      </c>
      <c r="D431" s="1">
        <v>12.568625</v>
      </c>
      <c r="E431" s="1">
        <v>79.915205</v>
      </c>
      <c r="F431" s="1">
        <v>805.0</v>
      </c>
      <c r="G431" s="1">
        <v>57.0</v>
      </c>
    </row>
    <row r="432">
      <c r="A432" s="1" t="s">
        <v>7</v>
      </c>
      <c r="B432" s="2">
        <v>44713.0</v>
      </c>
      <c r="C432" s="3">
        <v>0.7546875</v>
      </c>
      <c r="D432" s="1">
        <v>12.572873</v>
      </c>
      <c r="E432" s="1">
        <v>79.916322</v>
      </c>
      <c r="F432" s="1">
        <v>805.0</v>
      </c>
      <c r="G432" s="1">
        <v>59.0</v>
      </c>
    </row>
    <row r="433">
      <c r="A433" s="1" t="s">
        <v>7</v>
      </c>
      <c r="B433" s="2">
        <v>44713.0</v>
      </c>
      <c r="C433" s="3">
        <v>0.7548726851851851</v>
      </c>
      <c r="D433" s="1">
        <v>12.575176</v>
      </c>
      <c r="E433" s="1">
        <v>79.916787</v>
      </c>
      <c r="F433" s="1">
        <v>805.0</v>
      </c>
      <c r="G433" s="1">
        <v>58.0</v>
      </c>
    </row>
    <row r="434">
      <c r="A434" s="1" t="s">
        <v>7</v>
      </c>
      <c r="B434" s="2">
        <v>44713.0</v>
      </c>
      <c r="C434" s="3">
        <v>0.7552662037037037</v>
      </c>
      <c r="D434" s="1">
        <v>12.579797</v>
      </c>
      <c r="E434" s="1">
        <v>79.918132</v>
      </c>
      <c r="F434" s="1">
        <v>805.0</v>
      </c>
      <c r="G434" s="1">
        <v>58.0</v>
      </c>
    </row>
    <row r="435">
      <c r="A435" s="1" t="s">
        <v>8</v>
      </c>
      <c r="B435" s="2">
        <v>44713.0</v>
      </c>
      <c r="C435" s="3">
        <v>0.7555092592592593</v>
      </c>
      <c r="D435" s="1">
        <v>12.582019</v>
      </c>
      <c r="E435" s="1">
        <v>79.91889</v>
      </c>
      <c r="F435" s="1">
        <v>805.0</v>
      </c>
      <c r="G435" s="1">
        <v>57.0</v>
      </c>
    </row>
    <row r="436">
      <c r="A436" s="1" t="s">
        <v>7</v>
      </c>
      <c r="B436" s="2">
        <v>44713.0</v>
      </c>
      <c r="C436" s="3">
        <v>0.7557175925925926</v>
      </c>
      <c r="D436" s="1">
        <v>12.584327</v>
      </c>
      <c r="E436" s="1">
        <v>79.919228</v>
      </c>
      <c r="F436" s="1">
        <v>805.0</v>
      </c>
      <c r="G436" s="1">
        <v>58.0</v>
      </c>
    </row>
    <row r="437">
      <c r="A437" s="1" t="s">
        <v>7</v>
      </c>
      <c r="B437" s="2">
        <v>44713.0</v>
      </c>
      <c r="C437" s="3">
        <v>0.7560300925925926</v>
      </c>
      <c r="D437" s="1">
        <v>12.588697</v>
      </c>
      <c r="E437" s="1">
        <v>79.91925</v>
      </c>
      <c r="F437" s="1">
        <v>805.0</v>
      </c>
      <c r="G437" s="1">
        <v>54.0</v>
      </c>
    </row>
    <row r="438">
      <c r="A438" s="1" t="s">
        <v>7</v>
      </c>
      <c r="B438" s="2">
        <v>44713.0</v>
      </c>
      <c r="C438" s="3">
        <v>0.7566435185185185</v>
      </c>
      <c r="D438" s="1">
        <v>12.595677</v>
      </c>
      <c r="E438" s="1">
        <v>79.919358</v>
      </c>
      <c r="F438" s="1">
        <v>805.0</v>
      </c>
      <c r="G438" s="1">
        <v>57.0</v>
      </c>
    </row>
    <row r="439">
      <c r="A439" s="1" t="s">
        <v>8</v>
      </c>
      <c r="B439" s="2">
        <v>44713.0</v>
      </c>
      <c r="C439" s="3">
        <v>0.7568402777777777</v>
      </c>
      <c r="D439" s="1">
        <v>12.598005</v>
      </c>
      <c r="E439" s="1">
        <v>79.919608</v>
      </c>
      <c r="F439" s="1">
        <v>805.0</v>
      </c>
      <c r="G439" s="1">
        <v>58.0</v>
      </c>
    </row>
    <row r="440">
      <c r="A440" s="1" t="s">
        <v>7</v>
      </c>
      <c r="B440" s="2">
        <v>44713.0</v>
      </c>
      <c r="C440" s="3">
        <v>0.7570717592592593</v>
      </c>
      <c r="D440" s="1">
        <v>12.60034</v>
      </c>
      <c r="E440" s="1">
        <v>79.919846</v>
      </c>
      <c r="F440" s="1">
        <v>805.0</v>
      </c>
      <c r="G440" s="1">
        <v>58.0</v>
      </c>
    </row>
    <row r="441">
      <c r="A441" s="1" t="s">
        <v>7</v>
      </c>
      <c r="B441" s="2">
        <v>44713.0</v>
      </c>
      <c r="C441" s="3">
        <v>0.7575347222222222</v>
      </c>
      <c r="D441" s="1">
        <v>12.607156</v>
      </c>
      <c r="E441" s="1">
        <v>79.921083</v>
      </c>
      <c r="F441" s="1">
        <v>805.0</v>
      </c>
      <c r="G441" s="1">
        <v>55.0</v>
      </c>
    </row>
    <row r="442">
      <c r="A442" s="1" t="s">
        <v>7</v>
      </c>
      <c r="B442" s="2">
        <v>44713.0</v>
      </c>
      <c r="C442" s="3">
        <v>0.7576851851851852</v>
      </c>
      <c r="D442" s="1">
        <v>12.609255</v>
      </c>
      <c r="E442" s="1">
        <v>79.922144</v>
      </c>
      <c r="F442" s="1">
        <v>805.0</v>
      </c>
      <c r="G442" s="1">
        <v>58.0</v>
      </c>
    </row>
    <row r="443">
      <c r="A443" s="1" t="s">
        <v>7</v>
      </c>
      <c r="B443" s="2">
        <v>44713.0</v>
      </c>
      <c r="C443" s="3">
        <v>0.7578356481481482</v>
      </c>
      <c r="D443" s="1">
        <v>12.611295</v>
      </c>
      <c r="E443" s="1">
        <v>79.92331</v>
      </c>
      <c r="F443" s="1">
        <v>805.0</v>
      </c>
      <c r="G443" s="1">
        <v>58.0</v>
      </c>
    </row>
    <row r="444">
      <c r="A444" s="1" t="s">
        <v>7</v>
      </c>
      <c r="B444" s="2">
        <v>44713.0</v>
      </c>
      <c r="C444" s="3">
        <v>0.7579513888888889</v>
      </c>
      <c r="D444" s="1">
        <v>12.611295</v>
      </c>
      <c r="E444" s="1">
        <v>79.92331</v>
      </c>
      <c r="F444" s="1">
        <v>805.0</v>
      </c>
      <c r="G444" s="1">
        <v>58.0</v>
      </c>
    </row>
    <row r="445">
      <c r="A445" s="1" t="s">
        <v>7</v>
      </c>
      <c r="B445" s="2">
        <v>44713.0</v>
      </c>
      <c r="C445" s="3">
        <v>0.7580208333333334</v>
      </c>
      <c r="D445" s="1">
        <v>12.613343</v>
      </c>
      <c r="E445" s="1">
        <v>79.924468</v>
      </c>
      <c r="F445" s="1">
        <v>805.0</v>
      </c>
      <c r="G445" s="1">
        <v>58.0</v>
      </c>
    </row>
    <row r="446">
      <c r="A446" s="1" t="s">
        <v>7</v>
      </c>
      <c r="B446" s="2">
        <v>44713.0</v>
      </c>
      <c r="C446" s="3">
        <v>0.7582638888888888</v>
      </c>
      <c r="D446" s="1">
        <v>12.615383</v>
      </c>
      <c r="E446" s="1">
        <v>79.925636</v>
      </c>
      <c r="F446" s="1">
        <v>805.0</v>
      </c>
      <c r="G446" s="1">
        <v>58.0</v>
      </c>
    </row>
    <row r="447">
      <c r="A447" s="1" t="s">
        <v>8</v>
      </c>
      <c r="B447" s="2">
        <v>44713.0</v>
      </c>
      <c r="C447" s="3">
        <v>0.7591666666666667</v>
      </c>
      <c r="D447" s="1">
        <v>12.626989</v>
      </c>
      <c r="E447" s="1">
        <v>79.929758</v>
      </c>
      <c r="F447" s="1">
        <v>805.0</v>
      </c>
      <c r="G447" s="1">
        <v>58.0</v>
      </c>
    </row>
    <row r="448">
      <c r="A448" s="1" t="s">
        <v>7</v>
      </c>
      <c r="B448" s="2">
        <v>44713.0</v>
      </c>
      <c r="C448" s="3">
        <v>0.7594560185185185</v>
      </c>
      <c r="D448" s="1">
        <v>12.629141</v>
      </c>
      <c r="E448" s="1">
        <v>79.930685</v>
      </c>
      <c r="F448" s="1">
        <v>805.0</v>
      </c>
      <c r="G448" s="1">
        <v>58.0</v>
      </c>
    </row>
    <row r="449">
      <c r="A449" s="1" t="s">
        <v>7</v>
      </c>
      <c r="B449" s="2">
        <v>44713.0</v>
      </c>
      <c r="C449" s="3">
        <v>0.7596296296296297</v>
      </c>
      <c r="D449" s="1">
        <v>12.631086</v>
      </c>
      <c r="E449" s="1">
        <v>79.931525</v>
      </c>
      <c r="F449" s="1">
        <v>805.0</v>
      </c>
      <c r="G449" s="1">
        <v>47.0</v>
      </c>
    </row>
    <row r="450">
      <c r="A450" s="1" t="s">
        <v>7</v>
      </c>
      <c r="B450" s="2">
        <v>44713.0</v>
      </c>
      <c r="C450" s="3">
        <v>0.7598958333333333</v>
      </c>
      <c r="D450" s="1">
        <v>12.632849</v>
      </c>
      <c r="E450" s="1">
        <v>79.93228</v>
      </c>
      <c r="F450" s="1">
        <v>805.0</v>
      </c>
      <c r="G450" s="1">
        <v>53.0</v>
      </c>
    </row>
    <row r="451">
      <c r="A451" s="1" t="s">
        <v>7</v>
      </c>
      <c r="B451" s="2">
        <v>44713.0</v>
      </c>
      <c r="C451" s="3">
        <v>0.7601736111111111</v>
      </c>
      <c r="D451" s="1">
        <v>12.637028</v>
      </c>
      <c r="E451" s="1">
        <v>79.934337</v>
      </c>
      <c r="F451" s="1">
        <v>805.0</v>
      </c>
      <c r="G451" s="1">
        <v>58.0</v>
      </c>
    </row>
    <row r="452">
      <c r="A452" s="1" t="s">
        <v>7</v>
      </c>
      <c r="B452" s="2">
        <v>44713.0</v>
      </c>
      <c r="C452" s="3">
        <v>0.7605324074074075</v>
      </c>
      <c r="D452" s="1">
        <v>12.641011</v>
      </c>
      <c r="E452" s="1">
        <v>79.936865</v>
      </c>
      <c r="F452" s="1">
        <v>805.0</v>
      </c>
      <c r="G452" s="1">
        <v>58.0</v>
      </c>
    </row>
    <row r="453">
      <c r="A453" s="1" t="s">
        <v>7</v>
      </c>
      <c r="B453" s="2">
        <v>44713.0</v>
      </c>
      <c r="C453" s="3">
        <v>0.7610069444444445</v>
      </c>
      <c r="D453" s="1">
        <v>12.647011</v>
      </c>
      <c r="E453" s="1">
        <v>79.940294</v>
      </c>
      <c r="F453" s="1">
        <v>805.0</v>
      </c>
      <c r="G453" s="1">
        <v>57.0</v>
      </c>
    </row>
    <row r="454">
      <c r="A454" s="1" t="s">
        <v>7</v>
      </c>
      <c r="B454" s="2">
        <v>44713.0</v>
      </c>
      <c r="C454" s="3">
        <v>0.7612268518518519</v>
      </c>
      <c r="D454" s="1">
        <v>12.649167</v>
      </c>
      <c r="E454" s="1">
        <v>79.940538</v>
      </c>
      <c r="F454" s="1">
        <v>805.0</v>
      </c>
      <c r="G454" s="1">
        <v>58.0</v>
      </c>
    </row>
    <row r="455">
      <c r="A455" s="1" t="s">
        <v>7</v>
      </c>
      <c r="B455" s="2">
        <v>44713.0</v>
      </c>
      <c r="C455" s="3">
        <v>0.7614120370370371</v>
      </c>
      <c r="D455" s="1">
        <v>12.651547</v>
      </c>
      <c r="E455" s="1">
        <v>79.940279</v>
      </c>
      <c r="F455" s="1">
        <v>805.0</v>
      </c>
      <c r="G455" s="1">
        <v>47.0</v>
      </c>
    </row>
    <row r="456">
      <c r="A456" s="1" t="s">
        <v>8</v>
      </c>
      <c r="B456" s="2">
        <v>44713.0</v>
      </c>
      <c r="C456" s="3">
        <v>0.7616550925925926</v>
      </c>
      <c r="D456" s="1">
        <v>12.653768</v>
      </c>
      <c r="E456" s="1">
        <v>79.94006</v>
      </c>
      <c r="F456" s="1">
        <v>805.0</v>
      </c>
      <c r="G456" s="1">
        <v>57.0</v>
      </c>
    </row>
    <row r="457">
      <c r="A457" s="1" t="s">
        <v>8</v>
      </c>
      <c r="B457" s="2">
        <v>44713.0</v>
      </c>
      <c r="C457" s="3">
        <v>0.761724537037037</v>
      </c>
      <c r="D457" s="1">
        <v>12.653768</v>
      </c>
      <c r="E457" s="1">
        <v>79.94006</v>
      </c>
      <c r="F457" s="1">
        <v>805.0</v>
      </c>
      <c r="G457" s="1">
        <v>57.0</v>
      </c>
    </row>
    <row r="458">
      <c r="A458" s="1" t="s">
        <v>8</v>
      </c>
      <c r="B458" s="2">
        <v>44713.0</v>
      </c>
      <c r="C458" s="3">
        <v>0.7617939814814815</v>
      </c>
      <c r="D458" s="1">
        <v>12.65608</v>
      </c>
      <c r="E458" s="1">
        <v>79.940253</v>
      </c>
      <c r="F458" s="1">
        <v>805.0</v>
      </c>
      <c r="G458" s="1">
        <v>57.0</v>
      </c>
    </row>
    <row r="459">
      <c r="A459" s="1" t="s">
        <v>7</v>
      </c>
      <c r="B459" s="2">
        <v>44713.0</v>
      </c>
      <c r="C459" s="3">
        <v>0.7620254629629629</v>
      </c>
      <c r="D459" s="1">
        <v>12.657881</v>
      </c>
      <c r="E459" s="1">
        <v>79.941578</v>
      </c>
      <c r="F459" s="1">
        <v>805.0</v>
      </c>
      <c r="G459" s="1">
        <v>58.0</v>
      </c>
    </row>
    <row r="460">
      <c r="A460" s="1" t="s">
        <v>7</v>
      </c>
      <c r="B460" s="2">
        <v>44713.0</v>
      </c>
      <c r="C460" s="3">
        <v>0.7628472222222222</v>
      </c>
      <c r="D460" s="1">
        <v>12.656468</v>
      </c>
      <c r="E460" s="1">
        <v>79.950532</v>
      </c>
      <c r="F460" s="1">
        <v>805.0</v>
      </c>
      <c r="G460" s="1">
        <v>58.0</v>
      </c>
    </row>
    <row r="461">
      <c r="A461" s="1" t="s">
        <v>7</v>
      </c>
      <c r="B461" s="2">
        <v>44713.0</v>
      </c>
      <c r="C461" s="3">
        <v>0.7633796296296296</v>
      </c>
      <c r="D461" s="1">
        <v>12.657406</v>
      </c>
      <c r="E461" s="1">
        <v>79.957377</v>
      </c>
      <c r="F461" s="1">
        <v>805.0</v>
      </c>
      <c r="G461" s="1">
        <v>58.0</v>
      </c>
    </row>
    <row r="462">
      <c r="A462" s="1" t="s">
        <v>7</v>
      </c>
      <c r="B462" s="2">
        <v>44713.0</v>
      </c>
      <c r="C462" s="3">
        <v>0.7636689814814814</v>
      </c>
      <c r="D462" s="1">
        <v>12.660449</v>
      </c>
      <c r="E462" s="1">
        <v>79.960777</v>
      </c>
      <c r="F462" s="1">
        <v>805.0</v>
      </c>
      <c r="G462" s="1">
        <v>57.0</v>
      </c>
    </row>
    <row r="463">
      <c r="A463" s="1" t="s">
        <v>7</v>
      </c>
      <c r="B463" s="2">
        <v>44713.0</v>
      </c>
      <c r="C463" s="3">
        <v>0.7639930555555555</v>
      </c>
      <c r="D463" s="1">
        <v>12.660449</v>
      </c>
      <c r="E463" s="1">
        <v>79.960777</v>
      </c>
      <c r="F463" s="1">
        <v>805.0</v>
      </c>
      <c r="G463" s="1">
        <v>57.0</v>
      </c>
    </row>
    <row r="464">
      <c r="A464" s="1" t="s">
        <v>7</v>
      </c>
      <c r="B464" s="2">
        <v>44713.0</v>
      </c>
      <c r="C464" s="3">
        <v>0.7644212962962963</v>
      </c>
      <c r="D464" s="1">
        <v>12.669458</v>
      </c>
      <c r="E464" s="1">
        <v>79.958543</v>
      </c>
      <c r="F464" s="1">
        <v>805.0</v>
      </c>
      <c r="G464" s="1">
        <v>57.0</v>
      </c>
    </row>
    <row r="465">
      <c r="A465" s="1" t="s">
        <v>7</v>
      </c>
      <c r="B465" s="2">
        <v>44713.0</v>
      </c>
      <c r="C465" s="3">
        <v>0.765150462962963</v>
      </c>
      <c r="D465" s="1">
        <v>12.678825</v>
      </c>
      <c r="E465" s="1">
        <v>79.958401</v>
      </c>
      <c r="F465" s="1">
        <v>805.0</v>
      </c>
      <c r="G465" s="1">
        <v>58.0</v>
      </c>
    </row>
    <row r="466">
      <c r="A466" s="1" t="s">
        <v>7</v>
      </c>
      <c r="B466" s="2">
        <v>44713.0</v>
      </c>
      <c r="C466" s="3">
        <v>0.7655092592592593</v>
      </c>
      <c r="D466" s="1">
        <v>12.683502</v>
      </c>
      <c r="E466" s="1">
        <v>79.958512</v>
      </c>
      <c r="F466" s="1">
        <v>805.0</v>
      </c>
      <c r="G466" s="1">
        <v>58.0</v>
      </c>
    </row>
    <row r="467">
      <c r="A467" s="1" t="s">
        <v>7</v>
      </c>
      <c r="B467" s="2">
        <v>44713.0</v>
      </c>
      <c r="C467" s="3">
        <v>0.7655671296296296</v>
      </c>
      <c r="D467" s="1">
        <v>12.683502</v>
      </c>
      <c r="E467" s="1">
        <v>79.958512</v>
      </c>
      <c r="F467" s="1">
        <v>805.0</v>
      </c>
      <c r="G467" s="1">
        <v>58.0</v>
      </c>
    </row>
    <row r="468">
      <c r="A468" s="1" t="s">
        <v>7</v>
      </c>
      <c r="B468" s="2">
        <v>44713.0</v>
      </c>
      <c r="C468" s="3">
        <v>0.7658796296296296</v>
      </c>
      <c r="D468" s="1">
        <v>12.688036</v>
      </c>
      <c r="E468" s="1">
        <v>79.959839</v>
      </c>
      <c r="F468" s="1">
        <v>805.0</v>
      </c>
      <c r="G468" s="1">
        <v>58.0</v>
      </c>
    </row>
    <row r="469">
      <c r="A469" s="1" t="s">
        <v>7</v>
      </c>
      <c r="B469" s="2">
        <v>44713.0</v>
      </c>
      <c r="C469" s="3">
        <v>0.7661921296296297</v>
      </c>
      <c r="D469" s="1">
        <v>12.690009</v>
      </c>
      <c r="E469" s="1">
        <v>79.961286</v>
      </c>
      <c r="F469" s="1">
        <v>805.0</v>
      </c>
      <c r="G469" s="1">
        <v>56.0</v>
      </c>
    </row>
    <row r="470">
      <c r="A470" s="1" t="s">
        <v>7</v>
      </c>
      <c r="B470" s="2">
        <v>44713.0</v>
      </c>
      <c r="C470" s="3">
        <v>0.7664004629629629</v>
      </c>
      <c r="D470" s="1">
        <v>12.692793</v>
      </c>
      <c r="E470" s="1">
        <v>79.964498</v>
      </c>
      <c r="F470" s="1">
        <v>805.0</v>
      </c>
      <c r="G470" s="1">
        <v>58.0</v>
      </c>
    </row>
    <row r="471">
      <c r="A471" s="1" t="s">
        <v>7</v>
      </c>
      <c r="B471" s="2">
        <v>44713.0</v>
      </c>
      <c r="C471" s="3">
        <v>0.7666435185185185</v>
      </c>
      <c r="D471" s="1">
        <v>12.694849</v>
      </c>
      <c r="E471" s="1">
        <v>79.965652</v>
      </c>
      <c r="F471" s="1">
        <v>805.0</v>
      </c>
      <c r="G471" s="1">
        <v>58.0</v>
      </c>
    </row>
    <row r="472">
      <c r="A472" s="1" t="s">
        <v>7</v>
      </c>
      <c r="B472" s="2">
        <v>44713.0</v>
      </c>
      <c r="C472" s="3">
        <v>0.7669212962962964</v>
      </c>
      <c r="D472" s="1">
        <v>12.696921</v>
      </c>
      <c r="E472" s="1">
        <v>79.966763</v>
      </c>
      <c r="F472" s="1">
        <v>805.0</v>
      </c>
      <c r="G472" s="1">
        <v>58.0</v>
      </c>
    </row>
    <row r="473">
      <c r="A473" s="1" t="s">
        <v>7</v>
      </c>
      <c r="B473" s="2">
        <v>44713.0</v>
      </c>
      <c r="C473" s="3">
        <v>0.7671990740740741</v>
      </c>
      <c r="D473" s="1">
        <v>12.698959</v>
      </c>
      <c r="E473" s="1">
        <v>79.967922</v>
      </c>
      <c r="F473" s="1">
        <v>805.0</v>
      </c>
      <c r="G473" s="1">
        <v>58.0</v>
      </c>
    </row>
    <row r="474">
      <c r="A474" s="1" t="s">
        <v>7</v>
      </c>
      <c r="B474" s="2">
        <v>44713.0</v>
      </c>
      <c r="C474" s="3">
        <v>0.7673148148148148</v>
      </c>
      <c r="D474" s="1">
        <v>12.70102</v>
      </c>
      <c r="E474" s="1">
        <v>79.969081</v>
      </c>
      <c r="F474" s="1">
        <v>805.0</v>
      </c>
      <c r="G474" s="1">
        <v>59.0</v>
      </c>
    </row>
    <row r="475">
      <c r="A475" s="1" t="s">
        <v>7</v>
      </c>
      <c r="B475" s="2">
        <v>44713.0</v>
      </c>
      <c r="C475" s="3">
        <v>0.7675694444444444</v>
      </c>
      <c r="D475" s="1">
        <v>12.704158</v>
      </c>
      <c r="E475" s="1">
        <v>79.97259</v>
      </c>
      <c r="F475" s="1">
        <v>805.0</v>
      </c>
      <c r="G475" s="1">
        <v>58.0</v>
      </c>
    </row>
    <row r="476">
      <c r="A476" s="1" t="s">
        <v>8</v>
      </c>
      <c r="B476" s="2">
        <v>44713.0</v>
      </c>
      <c r="C476" s="3">
        <v>0.7676388888888889</v>
      </c>
      <c r="D476" s="1">
        <v>12.704158</v>
      </c>
      <c r="E476" s="1">
        <v>79.97259</v>
      </c>
      <c r="F476" s="1">
        <v>805.0</v>
      </c>
      <c r="G476" s="1">
        <v>58.0</v>
      </c>
    </row>
    <row r="477">
      <c r="A477" s="1" t="s">
        <v>7</v>
      </c>
      <c r="B477" s="2">
        <v>44713.0</v>
      </c>
      <c r="C477" s="3">
        <v>0.7681828703703704</v>
      </c>
      <c r="D477" s="1">
        <v>12.709228</v>
      </c>
      <c r="E477" s="1">
        <v>79.977404</v>
      </c>
      <c r="F477" s="1">
        <v>805.0</v>
      </c>
      <c r="G477" s="1">
        <v>51.0</v>
      </c>
    </row>
    <row r="478">
      <c r="A478" s="1" t="s">
        <v>7</v>
      </c>
      <c r="B478" s="2">
        <v>44713.0</v>
      </c>
      <c r="C478" s="3">
        <v>0.7685185185185185</v>
      </c>
      <c r="D478" s="1">
        <v>12.710926</v>
      </c>
      <c r="E478" s="1">
        <v>79.978411</v>
      </c>
      <c r="F478" s="1">
        <v>805.0</v>
      </c>
      <c r="G478" s="1">
        <v>55.0</v>
      </c>
    </row>
    <row r="479">
      <c r="A479" s="1" t="s">
        <v>10</v>
      </c>
      <c r="B479" s="2">
        <v>44713.0</v>
      </c>
      <c r="C479" s="3">
        <v>0.7692013888888889</v>
      </c>
      <c r="D479" s="1">
        <v>12.719549</v>
      </c>
      <c r="E479" s="1">
        <v>79.981001</v>
      </c>
      <c r="F479" s="1">
        <v>805.0</v>
      </c>
      <c r="G479" s="1">
        <v>56.0</v>
      </c>
    </row>
    <row r="480">
      <c r="A480" s="1" t="s">
        <v>7</v>
      </c>
      <c r="B480" s="2">
        <v>44713.0</v>
      </c>
      <c r="C480" s="3">
        <v>0.7693981481481481</v>
      </c>
      <c r="D480" s="1">
        <v>12.723749</v>
      </c>
      <c r="E480" s="1">
        <v>79.981623</v>
      </c>
      <c r="F480" s="1">
        <v>805.0</v>
      </c>
      <c r="G480" s="1">
        <v>32.0</v>
      </c>
    </row>
    <row r="481">
      <c r="A481" s="1" t="s">
        <v>7</v>
      </c>
      <c r="B481" s="2">
        <v>44713.0</v>
      </c>
      <c r="C481" s="3">
        <v>0.7695486111111111</v>
      </c>
      <c r="D481" s="1">
        <v>12.723749</v>
      </c>
      <c r="E481" s="1">
        <v>79.981623</v>
      </c>
      <c r="F481" s="1">
        <v>805.0</v>
      </c>
      <c r="G481" s="1">
        <v>32.0</v>
      </c>
    </row>
    <row r="482">
      <c r="A482" s="1" t="s">
        <v>7</v>
      </c>
      <c r="B482" s="2">
        <v>44713.0</v>
      </c>
      <c r="C482" s="3">
        <v>0.7698148148148148</v>
      </c>
      <c r="D482" s="1">
        <v>12.725527</v>
      </c>
      <c r="E482" s="1">
        <v>79.9822</v>
      </c>
      <c r="F482" s="1">
        <v>805.0</v>
      </c>
      <c r="G482" s="1">
        <v>41.0</v>
      </c>
    </row>
    <row r="483">
      <c r="A483" s="1" t="s">
        <v>7</v>
      </c>
      <c r="B483" s="2">
        <v>44713.0</v>
      </c>
      <c r="C483" s="3">
        <v>0.7702199074074074</v>
      </c>
      <c r="D483" s="1">
        <v>12.725527</v>
      </c>
      <c r="E483" s="1">
        <v>79.9822</v>
      </c>
      <c r="F483" s="1">
        <v>805.0</v>
      </c>
      <c r="G483" s="1">
        <v>41.0</v>
      </c>
    </row>
    <row r="484">
      <c r="A484" s="1" t="s">
        <v>7</v>
      </c>
      <c r="B484" s="2">
        <v>44713.0</v>
      </c>
      <c r="C484" s="3">
        <v>0.7703472222222222</v>
      </c>
      <c r="D484" s="1">
        <v>12.732196</v>
      </c>
      <c r="E484" s="1">
        <v>79.98292</v>
      </c>
      <c r="F484" s="1">
        <v>805.0</v>
      </c>
      <c r="G484" s="1">
        <v>59.0</v>
      </c>
    </row>
    <row r="485">
      <c r="A485" s="1" t="s">
        <v>7</v>
      </c>
      <c r="B485" s="2">
        <v>44713.0</v>
      </c>
      <c r="C485" s="3">
        <v>0.7709606481481481</v>
      </c>
      <c r="D485" s="1">
        <v>12.737269</v>
      </c>
      <c r="E485" s="1">
        <v>79.987678</v>
      </c>
      <c r="F485" s="1">
        <v>805.0</v>
      </c>
      <c r="G485" s="1">
        <v>51.0</v>
      </c>
    </row>
    <row r="486">
      <c r="A486" s="1" t="s">
        <v>7</v>
      </c>
      <c r="B486" s="2">
        <v>44713.0</v>
      </c>
      <c r="C486" s="3">
        <v>0.7714467592592592</v>
      </c>
      <c r="D486" s="1">
        <v>12.742837</v>
      </c>
      <c r="E486" s="1">
        <v>79.991965</v>
      </c>
      <c r="F486" s="1">
        <v>805.0</v>
      </c>
      <c r="G486" s="1">
        <v>58.0</v>
      </c>
    </row>
    <row r="487">
      <c r="A487" s="1" t="s">
        <v>7</v>
      </c>
      <c r="B487" s="2">
        <v>44713.0</v>
      </c>
      <c r="C487" s="3">
        <v>0.7720601851851852</v>
      </c>
      <c r="D487" s="1">
        <v>12.746492</v>
      </c>
      <c r="E487" s="1">
        <v>79.994958</v>
      </c>
      <c r="F487" s="1">
        <v>805.0</v>
      </c>
      <c r="G487" s="1">
        <v>58.0</v>
      </c>
    </row>
    <row r="488">
      <c r="A488" s="1" t="s">
        <v>7</v>
      </c>
      <c r="B488" s="2">
        <v>44713.0</v>
      </c>
      <c r="C488" s="3">
        <v>0.7724421296296297</v>
      </c>
      <c r="D488" s="1">
        <v>12.752227</v>
      </c>
      <c r="E488" s="1">
        <v>79.999359</v>
      </c>
      <c r="F488" s="1">
        <v>805.0</v>
      </c>
      <c r="G488" s="1">
        <v>58.0</v>
      </c>
    </row>
    <row r="489">
      <c r="A489" s="1" t="s">
        <v>8</v>
      </c>
      <c r="B489" s="2">
        <v>44713.0</v>
      </c>
      <c r="C489" s="3">
        <v>0.7734606481481482</v>
      </c>
      <c r="D489" s="1">
        <v>12.76198</v>
      </c>
      <c r="E489" s="1">
        <v>80.003668</v>
      </c>
      <c r="F489" s="1">
        <v>805.0</v>
      </c>
      <c r="G489" s="1">
        <v>34.0</v>
      </c>
    </row>
    <row r="490">
      <c r="A490" s="1" t="s">
        <v>8</v>
      </c>
      <c r="B490" s="2">
        <v>44713.0</v>
      </c>
      <c r="C490" s="3">
        <v>0.7736921296296296</v>
      </c>
      <c r="D490" s="1">
        <v>12.762815</v>
      </c>
      <c r="E490" s="1">
        <v>80.00389</v>
      </c>
      <c r="F490" s="1">
        <v>805.0</v>
      </c>
      <c r="G490" s="1">
        <v>19.0</v>
      </c>
    </row>
    <row r="491">
      <c r="A491" s="1" t="s">
        <v>8</v>
      </c>
      <c r="B491" s="2">
        <v>44713.0</v>
      </c>
      <c r="C491" s="3">
        <v>0.7738310185185185</v>
      </c>
      <c r="D491" s="1">
        <v>12.762815</v>
      </c>
      <c r="E491" s="1">
        <v>80.00389</v>
      </c>
      <c r="F491" s="1">
        <v>805.0</v>
      </c>
      <c r="G491" s="1">
        <v>19.0</v>
      </c>
    </row>
    <row r="492">
      <c r="A492" s="1" t="s">
        <v>8</v>
      </c>
      <c r="B492" s="2">
        <v>44713.0</v>
      </c>
      <c r="C492" s="3">
        <v>0.7738888888888888</v>
      </c>
      <c r="D492" s="1">
        <v>12.763836</v>
      </c>
      <c r="E492" s="1">
        <v>80.00433</v>
      </c>
      <c r="F492" s="1">
        <v>805.0</v>
      </c>
      <c r="G492" s="1">
        <v>39.0</v>
      </c>
    </row>
    <row r="493">
      <c r="A493" s="1" t="s">
        <v>7</v>
      </c>
      <c r="B493" s="2">
        <v>44713.0</v>
      </c>
      <c r="C493" s="3">
        <v>0.7755324074074074</v>
      </c>
      <c r="D493" s="1">
        <v>12.773842</v>
      </c>
      <c r="E493" s="1">
        <v>80.008898</v>
      </c>
      <c r="F493" s="1">
        <v>805.0</v>
      </c>
      <c r="G493" s="1">
        <v>56.0</v>
      </c>
    </row>
    <row r="494">
      <c r="A494" s="1" t="s">
        <v>7</v>
      </c>
      <c r="B494" s="2">
        <v>44713.0</v>
      </c>
      <c r="C494" s="3">
        <v>0.7758217592592592</v>
      </c>
      <c r="D494" s="1">
        <v>12.778254</v>
      </c>
      <c r="E494" s="1">
        <v>80.010902</v>
      </c>
      <c r="F494" s="1">
        <v>805.0</v>
      </c>
      <c r="G494" s="1">
        <v>58.0</v>
      </c>
    </row>
    <row r="495">
      <c r="A495" s="1" t="s">
        <v>8</v>
      </c>
      <c r="B495" s="2">
        <v>44713.0</v>
      </c>
      <c r="C495" s="3">
        <v>0.7762152777777778</v>
      </c>
      <c r="D495" s="1">
        <v>12.782543</v>
      </c>
      <c r="E495" s="1">
        <v>80.012796</v>
      </c>
      <c r="F495" s="1">
        <v>805.0</v>
      </c>
      <c r="G495" s="1">
        <v>56.0</v>
      </c>
    </row>
    <row r="496">
      <c r="A496" s="1" t="s">
        <v>8</v>
      </c>
      <c r="B496" s="2">
        <v>44713.0</v>
      </c>
      <c r="C496" s="3">
        <v>0.7763078703703704</v>
      </c>
      <c r="D496" s="1">
        <v>12.784551</v>
      </c>
      <c r="E496" s="1">
        <v>80.013691</v>
      </c>
      <c r="F496" s="1">
        <v>805.0</v>
      </c>
      <c r="G496" s="1">
        <v>51.0</v>
      </c>
    </row>
    <row r="497">
      <c r="A497" s="1" t="s">
        <v>8</v>
      </c>
      <c r="B497" s="2">
        <v>44713.0</v>
      </c>
      <c r="C497" s="3">
        <v>0.7767708333333333</v>
      </c>
      <c r="D497" s="1">
        <v>12.787064</v>
      </c>
      <c r="E497" s="1">
        <v>80.015089</v>
      </c>
      <c r="F497" s="1">
        <v>805.0</v>
      </c>
      <c r="G497" s="1">
        <v>33.0</v>
      </c>
    </row>
    <row r="498">
      <c r="A498" s="1" t="s">
        <v>8</v>
      </c>
      <c r="B498" s="2">
        <v>44713.0</v>
      </c>
      <c r="C498" s="3">
        <v>0.7770717592592593</v>
      </c>
      <c r="D498" s="1">
        <v>12.789516</v>
      </c>
      <c r="E498" s="1">
        <v>80.016524</v>
      </c>
      <c r="F498" s="1">
        <v>805.0</v>
      </c>
      <c r="G498" s="1">
        <v>34.0</v>
      </c>
    </row>
    <row r="499">
      <c r="A499" s="1" t="s">
        <v>8</v>
      </c>
      <c r="B499" s="2">
        <v>44713.0</v>
      </c>
      <c r="C499" s="3">
        <v>0.7784027777777778</v>
      </c>
      <c r="D499" s="1">
        <v>12.79803</v>
      </c>
      <c r="E499" s="1">
        <v>80.022045</v>
      </c>
      <c r="F499" s="1">
        <v>805.0</v>
      </c>
      <c r="G499" s="1">
        <v>61.0</v>
      </c>
    </row>
    <row r="500">
      <c r="A500" s="1" t="s">
        <v>7</v>
      </c>
      <c r="B500" s="2">
        <v>44713.0</v>
      </c>
      <c r="C500" s="3">
        <v>0.7785300925925925</v>
      </c>
      <c r="D500" s="1">
        <v>12.800014</v>
      </c>
      <c r="E500" s="1">
        <v>80.023349</v>
      </c>
      <c r="F500" s="1">
        <v>805.0</v>
      </c>
      <c r="G500" s="1">
        <v>58.0</v>
      </c>
    </row>
    <row r="501">
      <c r="A501" s="1" t="s">
        <v>7</v>
      </c>
      <c r="B501" s="2">
        <v>44713.0</v>
      </c>
      <c r="C501" s="3">
        <v>0.7789583333333333</v>
      </c>
      <c r="D501" s="1">
        <v>12.803943</v>
      </c>
      <c r="E501" s="1">
        <v>80.025893</v>
      </c>
      <c r="F501" s="1">
        <v>805.0</v>
      </c>
      <c r="G501" s="1">
        <v>58.0</v>
      </c>
    </row>
    <row r="502">
      <c r="A502" s="1" t="s">
        <v>7</v>
      </c>
      <c r="B502" s="2">
        <v>44713.0</v>
      </c>
      <c r="C502" s="3">
        <v>0.7793287037037037</v>
      </c>
      <c r="D502" s="1">
        <v>12.807871</v>
      </c>
      <c r="E502" s="1">
        <v>80.028447</v>
      </c>
      <c r="F502" s="1">
        <v>805.0</v>
      </c>
      <c r="G502" s="1">
        <v>52.0</v>
      </c>
    </row>
    <row r="503">
      <c r="A503" s="1" t="s">
        <v>7</v>
      </c>
      <c r="B503" s="2">
        <v>44713.0</v>
      </c>
      <c r="C503" s="3">
        <v>0.7805671296296296</v>
      </c>
      <c r="D503" s="1">
        <v>12.821463</v>
      </c>
      <c r="E503" s="1">
        <v>80.037655</v>
      </c>
      <c r="F503" s="1">
        <v>805.0</v>
      </c>
      <c r="G503" s="1">
        <v>58.0</v>
      </c>
    </row>
    <row r="504">
      <c r="A504" s="1" t="s">
        <v>7</v>
      </c>
      <c r="B504" s="2">
        <v>44713.0</v>
      </c>
      <c r="C504" s="3">
        <v>0.7817013888888888</v>
      </c>
      <c r="D504" s="1">
        <v>12.830368</v>
      </c>
      <c r="E504" s="1">
        <v>80.045337</v>
      </c>
      <c r="F504" s="1">
        <v>805.0</v>
      </c>
      <c r="G504" s="1">
        <v>26.0</v>
      </c>
    </row>
    <row r="505">
      <c r="A505" s="1" t="s">
        <v>8</v>
      </c>
      <c r="B505" s="2">
        <v>44713.0</v>
      </c>
      <c r="C505" s="3">
        <v>0.781875</v>
      </c>
      <c r="D505" s="1">
        <v>12.83092</v>
      </c>
      <c r="E505" s="1">
        <v>80.04594</v>
      </c>
      <c r="F505" s="1">
        <v>805.0</v>
      </c>
      <c r="G505" s="1">
        <v>13.0</v>
      </c>
    </row>
    <row r="506">
      <c r="A506" s="1" t="s">
        <v>8</v>
      </c>
      <c r="B506" s="2">
        <v>44713.0</v>
      </c>
      <c r="C506" s="3">
        <v>0.7819560185185185</v>
      </c>
      <c r="D506" s="1">
        <v>12.83092</v>
      </c>
      <c r="E506" s="1">
        <v>80.04594</v>
      </c>
      <c r="F506" s="1">
        <v>805.0</v>
      </c>
      <c r="G506" s="1">
        <v>13.0</v>
      </c>
    </row>
    <row r="507">
      <c r="A507" s="1" t="s">
        <v>8</v>
      </c>
      <c r="B507" s="2">
        <v>44713.0</v>
      </c>
      <c r="C507" s="3">
        <v>0.7834722222222222</v>
      </c>
      <c r="D507" s="1">
        <v>12.840076</v>
      </c>
      <c r="E507" s="1">
        <v>80.055555</v>
      </c>
      <c r="F507" s="1">
        <v>805.0</v>
      </c>
      <c r="G507" s="1">
        <v>26.0</v>
      </c>
    </row>
    <row r="508">
      <c r="A508" s="1" t="s">
        <v>8</v>
      </c>
      <c r="B508" s="2">
        <v>44713.0</v>
      </c>
      <c r="C508" s="3">
        <v>0.7846296296296297</v>
      </c>
      <c r="D508" s="1">
        <v>12.843754</v>
      </c>
      <c r="E508" s="1">
        <v>80.059473</v>
      </c>
      <c r="F508" s="1">
        <v>805.0</v>
      </c>
      <c r="G508" s="1">
        <v>0.0</v>
      </c>
    </row>
    <row r="509">
      <c r="A509" s="1" t="s">
        <v>7</v>
      </c>
      <c r="B509" s="2">
        <v>44713.0</v>
      </c>
      <c r="C509" s="3">
        <v>0.7869444444444444</v>
      </c>
      <c r="D509" s="1">
        <v>12.853495</v>
      </c>
      <c r="E509" s="1">
        <v>80.067191</v>
      </c>
      <c r="F509" s="1">
        <v>805.0</v>
      </c>
      <c r="G509" s="1">
        <v>41.0</v>
      </c>
    </row>
    <row r="510">
      <c r="A510" s="1" t="s">
        <v>8</v>
      </c>
      <c r="B510" s="2">
        <v>44713.0</v>
      </c>
      <c r="C510" s="3">
        <v>0.7874884259259259</v>
      </c>
      <c r="D510" s="1">
        <v>12.857884</v>
      </c>
      <c r="E510" s="1">
        <v>80.070514</v>
      </c>
      <c r="F510" s="1">
        <v>805.0</v>
      </c>
      <c r="G510" s="1">
        <v>54.0</v>
      </c>
    </row>
    <row r="511">
      <c r="A511" s="1" t="s">
        <v>8</v>
      </c>
      <c r="B511" s="2">
        <v>44713.0</v>
      </c>
      <c r="C511" s="3">
        <v>0.7875</v>
      </c>
      <c r="D511" s="1">
        <v>12.857884</v>
      </c>
      <c r="E511" s="1">
        <v>80.070514</v>
      </c>
      <c r="F511" s="1">
        <v>805.0</v>
      </c>
      <c r="G511" s="1">
        <v>54.0</v>
      </c>
    </row>
    <row r="512">
      <c r="A512" s="1" t="s">
        <v>8</v>
      </c>
      <c r="B512" s="2">
        <v>44713.0</v>
      </c>
      <c r="C512" s="3">
        <v>0.7879513888888889</v>
      </c>
      <c r="D512" s="1">
        <v>12.860663</v>
      </c>
      <c r="E512" s="1">
        <v>80.072513</v>
      </c>
      <c r="F512" s="1">
        <v>805.0</v>
      </c>
      <c r="G512" s="1">
        <v>33.0</v>
      </c>
    </row>
    <row r="513">
      <c r="A513" s="1" t="s">
        <v>8</v>
      </c>
      <c r="B513" s="2">
        <v>44713.0</v>
      </c>
      <c r="C513" s="3">
        <v>0.7887268518518519</v>
      </c>
      <c r="D513" s="1">
        <v>12.86669</v>
      </c>
      <c r="E513" s="1">
        <v>80.075127</v>
      </c>
      <c r="F513" s="1">
        <v>805.0</v>
      </c>
      <c r="G513" s="1">
        <v>44.0</v>
      </c>
    </row>
    <row r="514">
      <c r="A514" s="1" t="s">
        <v>8</v>
      </c>
      <c r="B514" s="2">
        <v>44713.0</v>
      </c>
      <c r="C514" s="3">
        <v>0.789074074074074</v>
      </c>
      <c r="D514" s="1">
        <v>12.870037</v>
      </c>
      <c r="E514" s="1">
        <v>80.076465</v>
      </c>
      <c r="F514" s="1">
        <v>805.0</v>
      </c>
      <c r="G514" s="1">
        <v>39.0</v>
      </c>
    </row>
    <row r="515">
      <c r="A515" s="1" t="s">
        <v>8</v>
      </c>
      <c r="B515" s="2">
        <v>44713.0</v>
      </c>
      <c r="C515" s="3">
        <v>0.7893634259259259</v>
      </c>
      <c r="D515" s="1">
        <v>12.873356</v>
      </c>
      <c r="E515" s="1">
        <v>80.077758</v>
      </c>
      <c r="F515" s="1">
        <v>805.0</v>
      </c>
      <c r="G515" s="1">
        <v>40.0</v>
      </c>
    </row>
    <row r="516">
      <c r="A516" s="1" t="s">
        <v>7</v>
      </c>
      <c r="B516" s="2">
        <v>44714.0</v>
      </c>
      <c r="C516" s="3">
        <v>0.24065972222222223</v>
      </c>
      <c r="D516" s="1">
        <v>12.892903</v>
      </c>
      <c r="E516" s="1">
        <v>80.086001</v>
      </c>
      <c r="F516" s="1">
        <v>2846.0</v>
      </c>
      <c r="G516" s="1">
        <v>49.0</v>
      </c>
    </row>
    <row r="517">
      <c r="A517" s="1" t="s">
        <v>7</v>
      </c>
      <c r="B517" s="2">
        <v>44714.0</v>
      </c>
      <c r="C517" s="3">
        <v>0.24391203703703704</v>
      </c>
      <c r="D517" s="1">
        <v>12.916717</v>
      </c>
      <c r="E517" s="1">
        <v>80.106507</v>
      </c>
      <c r="F517" s="1">
        <v>2846.0</v>
      </c>
      <c r="G517" s="1">
        <v>51.0</v>
      </c>
    </row>
    <row r="518">
      <c r="A518" s="1" t="s">
        <v>7</v>
      </c>
      <c r="B518" s="2">
        <v>44714.0</v>
      </c>
      <c r="C518" s="3">
        <v>0.24439814814814814</v>
      </c>
      <c r="D518" s="1">
        <v>12.920005</v>
      </c>
      <c r="E518" s="1">
        <v>80.11101</v>
      </c>
      <c r="F518" s="1">
        <v>2846.0</v>
      </c>
      <c r="G518" s="1">
        <v>57.0</v>
      </c>
    </row>
    <row r="519">
      <c r="A519" s="1" t="s">
        <v>7</v>
      </c>
      <c r="B519" s="2">
        <v>44714.0</v>
      </c>
      <c r="C519" s="3">
        <v>0.24475694444444446</v>
      </c>
      <c r="D519" s="1">
        <v>12.922984</v>
      </c>
      <c r="E519" s="1">
        <v>80.11407</v>
      </c>
      <c r="F519" s="1">
        <v>2846.0</v>
      </c>
      <c r="G519" s="1">
        <v>55.0</v>
      </c>
    </row>
    <row r="520">
      <c r="A520" s="1" t="s">
        <v>9</v>
      </c>
      <c r="B520" s="2">
        <v>44714.0</v>
      </c>
      <c r="C520" s="3">
        <v>0.24503472222222222</v>
      </c>
      <c r="D520" s="1">
        <v>12.92584</v>
      </c>
      <c r="E520" s="1">
        <v>80.116953</v>
      </c>
      <c r="F520" s="1">
        <v>2846.0</v>
      </c>
      <c r="G520" s="1">
        <v>0.0</v>
      </c>
    </row>
    <row r="521">
      <c r="A521" s="1" t="s">
        <v>8</v>
      </c>
      <c r="B521" s="2">
        <v>44714.0</v>
      </c>
      <c r="C521" s="3">
        <v>0.24681712962962962</v>
      </c>
      <c r="D521" s="1">
        <v>12.927967</v>
      </c>
      <c r="E521" s="1">
        <v>80.119092</v>
      </c>
      <c r="F521" s="1">
        <v>2846.0</v>
      </c>
      <c r="G521" s="1">
        <v>26.0</v>
      </c>
    </row>
    <row r="522">
      <c r="A522" s="1" t="s">
        <v>8</v>
      </c>
      <c r="B522" s="2">
        <v>44714.0</v>
      </c>
      <c r="C522" s="3">
        <v>0.24725694444444443</v>
      </c>
      <c r="D522" s="1">
        <v>12.929972</v>
      </c>
      <c r="E522" s="1">
        <v>80.121041</v>
      </c>
      <c r="F522" s="1">
        <v>2846.0</v>
      </c>
      <c r="G522" s="1">
        <v>15.0</v>
      </c>
    </row>
    <row r="523">
      <c r="A523" s="1" t="s">
        <v>8</v>
      </c>
      <c r="B523" s="2">
        <v>44714.0</v>
      </c>
      <c r="C523" s="3">
        <v>0.24731481481481482</v>
      </c>
      <c r="D523" s="1">
        <v>12.929972</v>
      </c>
      <c r="E523" s="1">
        <v>80.121041</v>
      </c>
      <c r="F523" s="1">
        <v>2846.0</v>
      </c>
      <c r="G523" s="1">
        <v>15.0</v>
      </c>
    </row>
    <row r="524">
      <c r="A524" s="1" t="s">
        <v>7</v>
      </c>
      <c r="B524" s="2">
        <v>44714.0</v>
      </c>
      <c r="C524" s="3">
        <v>0.24913194444444445</v>
      </c>
      <c r="D524" s="1">
        <v>12.941115</v>
      </c>
      <c r="E524" s="1">
        <v>80.131635</v>
      </c>
      <c r="F524" s="1">
        <v>2846.0</v>
      </c>
      <c r="G524" s="1">
        <v>57.0</v>
      </c>
    </row>
    <row r="525">
      <c r="A525" s="1" t="s">
        <v>7</v>
      </c>
      <c r="B525" s="2">
        <v>44714.0</v>
      </c>
      <c r="C525" s="3">
        <v>0.24986111111111112</v>
      </c>
      <c r="D525" s="1">
        <v>12.944165</v>
      </c>
      <c r="E525" s="1">
        <v>80.134611</v>
      </c>
      <c r="F525" s="1">
        <v>2846.0</v>
      </c>
      <c r="G525" s="1">
        <v>53.0</v>
      </c>
    </row>
    <row r="526">
      <c r="A526" s="1" t="s">
        <v>7</v>
      </c>
      <c r="B526" s="2">
        <v>44714.0</v>
      </c>
      <c r="C526" s="3">
        <v>0.2502662037037037</v>
      </c>
      <c r="D526" s="1">
        <v>12.948817</v>
      </c>
      <c r="E526" s="1">
        <v>80.138128</v>
      </c>
      <c r="F526" s="1">
        <v>2846.0</v>
      </c>
      <c r="G526" s="1">
        <v>54.0</v>
      </c>
    </row>
    <row r="527">
      <c r="A527" s="1" t="s">
        <v>7</v>
      </c>
      <c r="B527" s="2">
        <v>44714.0</v>
      </c>
      <c r="C527" s="3">
        <v>0.2503356481481481</v>
      </c>
      <c r="D527" s="1">
        <v>12.87842</v>
      </c>
      <c r="E527" s="1">
        <v>80.080009</v>
      </c>
      <c r="F527" s="1">
        <v>805.0</v>
      </c>
      <c r="G527" s="1">
        <v>33.0</v>
      </c>
    </row>
    <row r="528">
      <c r="A528" s="1" t="s">
        <v>7</v>
      </c>
      <c r="B528" s="2">
        <v>44714.0</v>
      </c>
      <c r="C528" s="3">
        <v>0.25060185185185185</v>
      </c>
      <c r="D528" s="1">
        <v>12.87588</v>
      </c>
      <c r="E528" s="1">
        <v>80.079034</v>
      </c>
      <c r="F528" s="1">
        <v>805.0</v>
      </c>
      <c r="G528" s="1">
        <v>57.0</v>
      </c>
    </row>
    <row r="529">
      <c r="A529" s="1" t="s">
        <v>7</v>
      </c>
      <c r="B529" s="2">
        <v>44714.0</v>
      </c>
      <c r="C529" s="3">
        <v>0.250625</v>
      </c>
      <c r="D529" s="1">
        <v>12.87588</v>
      </c>
      <c r="E529" s="1">
        <v>80.079034</v>
      </c>
      <c r="F529" s="1">
        <v>805.0</v>
      </c>
      <c r="G529" s="1">
        <v>57.0</v>
      </c>
    </row>
    <row r="530">
      <c r="A530" s="1" t="s">
        <v>7</v>
      </c>
      <c r="B530" s="2">
        <v>44714.0</v>
      </c>
      <c r="C530" s="3">
        <v>0.25072916666666667</v>
      </c>
      <c r="D530" s="1">
        <v>12.874532</v>
      </c>
      <c r="E530" s="1">
        <v>80.078458</v>
      </c>
      <c r="F530" s="1">
        <v>805.0</v>
      </c>
      <c r="G530" s="1">
        <v>58.0</v>
      </c>
    </row>
    <row r="531">
      <c r="A531" s="1" t="s">
        <v>7</v>
      </c>
      <c r="B531" s="2">
        <v>44714.0</v>
      </c>
      <c r="C531" s="3">
        <v>0.25135416666666666</v>
      </c>
      <c r="D531" s="1">
        <v>12.867732</v>
      </c>
      <c r="E531" s="1">
        <v>80.075765</v>
      </c>
      <c r="F531" s="1">
        <v>805.0</v>
      </c>
      <c r="G531" s="1">
        <v>57.0</v>
      </c>
    </row>
    <row r="532">
      <c r="A532" s="1" t="s">
        <v>7</v>
      </c>
      <c r="B532" s="2">
        <v>44714.0</v>
      </c>
      <c r="C532" s="3">
        <v>0.2516203703703704</v>
      </c>
      <c r="D532" s="1">
        <v>12.86362</v>
      </c>
      <c r="E532" s="1">
        <v>80.074196</v>
      </c>
      <c r="F532" s="1">
        <v>805.0</v>
      </c>
      <c r="G532" s="1">
        <v>58.0</v>
      </c>
    </row>
    <row r="533">
      <c r="A533" s="1" t="s">
        <v>7</v>
      </c>
      <c r="B533" s="2">
        <v>44714.0</v>
      </c>
      <c r="C533" s="3">
        <v>0.2519212962962963</v>
      </c>
      <c r="D533" s="1">
        <v>12.859743</v>
      </c>
      <c r="E533" s="1">
        <v>80.072131</v>
      </c>
      <c r="F533" s="1">
        <v>805.0</v>
      </c>
      <c r="G533" s="1">
        <v>57.0</v>
      </c>
    </row>
    <row r="534">
      <c r="A534" s="1" t="s">
        <v>7</v>
      </c>
      <c r="B534" s="2">
        <v>44714.0</v>
      </c>
      <c r="C534" s="3">
        <v>0.2525925925925926</v>
      </c>
      <c r="D534" s="1">
        <v>12.853861</v>
      </c>
      <c r="E534" s="1">
        <v>80.067682</v>
      </c>
      <c r="F534" s="1">
        <v>805.0</v>
      </c>
      <c r="G534" s="1">
        <v>57.0</v>
      </c>
    </row>
    <row r="535">
      <c r="A535" s="1" t="s">
        <v>7</v>
      </c>
      <c r="B535" s="2">
        <v>44714.0</v>
      </c>
      <c r="C535" s="3">
        <v>0.25306712962962963</v>
      </c>
      <c r="D535" s="1">
        <v>12.849229</v>
      </c>
      <c r="E535" s="1">
        <v>80.064394</v>
      </c>
      <c r="F535" s="1">
        <v>805.0</v>
      </c>
      <c r="G535" s="1">
        <v>43.0</v>
      </c>
    </row>
    <row r="536">
      <c r="A536" s="1" t="s">
        <v>8</v>
      </c>
      <c r="B536" s="2">
        <v>44714.0</v>
      </c>
      <c r="C536" s="3">
        <v>0.25328703703703703</v>
      </c>
      <c r="D536" s="1">
        <v>12.847218</v>
      </c>
      <c r="E536" s="1">
        <v>80.062866</v>
      </c>
      <c r="F536" s="1">
        <v>805.0</v>
      </c>
      <c r="G536" s="1">
        <v>48.0</v>
      </c>
    </row>
    <row r="537">
      <c r="A537" s="1" t="s">
        <v>7</v>
      </c>
      <c r="B537" s="2">
        <v>44714.0</v>
      </c>
      <c r="C537" s="3">
        <v>0.2539351851851852</v>
      </c>
      <c r="D537" s="1">
        <v>12.841271</v>
      </c>
      <c r="E537" s="1">
        <v>80.057079</v>
      </c>
      <c r="F537" s="1">
        <v>805.0</v>
      </c>
      <c r="G537" s="1">
        <v>58.0</v>
      </c>
    </row>
    <row r="538">
      <c r="A538" s="1" t="s">
        <v>7</v>
      </c>
      <c r="B538" s="2">
        <v>44714.0</v>
      </c>
      <c r="C538" s="3">
        <v>0.2541550925925926</v>
      </c>
      <c r="D538" s="1">
        <v>12.973143</v>
      </c>
      <c r="E538" s="1">
        <v>80.152834</v>
      </c>
      <c r="F538" s="1">
        <v>2846.0</v>
      </c>
      <c r="G538" s="1">
        <v>52.0</v>
      </c>
    </row>
    <row r="539">
      <c r="A539" s="1" t="s">
        <v>7</v>
      </c>
      <c r="B539" s="2">
        <v>44714.0</v>
      </c>
      <c r="C539" s="3">
        <v>0.2550925925925926</v>
      </c>
      <c r="D539" s="1">
        <v>12.97936</v>
      </c>
      <c r="E539" s="1">
        <v>80.161887</v>
      </c>
      <c r="F539" s="1">
        <v>2846.0</v>
      </c>
      <c r="G539" s="1">
        <v>53.0</v>
      </c>
    </row>
    <row r="540">
      <c r="A540" s="1" t="s">
        <v>7</v>
      </c>
      <c r="B540" s="2">
        <v>44714.0</v>
      </c>
      <c r="C540" s="3">
        <v>0.2551736111111111</v>
      </c>
      <c r="D540" s="1">
        <v>12.830064</v>
      </c>
      <c r="E540" s="1">
        <v>80.04529</v>
      </c>
      <c r="F540" s="1">
        <v>805.0</v>
      </c>
      <c r="G540" s="1">
        <v>57.0</v>
      </c>
    </row>
    <row r="541">
      <c r="A541" s="1" t="s">
        <v>7</v>
      </c>
      <c r="B541" s="2">
        <v>44714.0</v>
      </c>
      <c r="C541" s="3">
        <v>0.25700231481481484</v>
      </c>
      <c r="D541" s="1">
        <v>12.813812</v>
      </c>
      <c r="E541" s="1">
        <v>80.032471</v>
      </c>
      <c r="F541" s="1">
        <v>805.0</v>
      </c>
      <c r="G541" s="1">
        <v>54.0</v>
      </c>
    </row>
    <row r="542">
      <c r="A542" s="1" t="s">
        <v>7</v>
      </c>
      <c r="B542" s="2">
        <v>44714.0</v>
      </c>
      <c r="C542" s="3">
        <v>0.2579513888888889</v>
      </c>
      <c r="D542" s="1">
        <v>12.993002</v>
      </c>
      <c r="E542" s="1">
        <v>80.183599</v>
      </c>
      <c r="F542" s="1">
        <v>2846.0</v>
      </c>
      <c r="G542" s="1">
        <v>56.0</v>
      </c>
    </row>
    <row r="543">
      <c r="A543" s="1" t="s">
        <v>8</v>
      </c>
      <c r="B543" s="2">
        <v>44714.0</v>
      </c>
      <c r="C543" s="3">
        <v>0.2604861111111111</v>
      </c>
      <c r="D543" s="1">
        <v>12.774434</v>
      </c>
      <c r="E543" s="1">
        <v>80.009326</v>
      </c>
      <c r="F543" s="1">
        <v>805.0</v>
      </c>
      <c r="G543" s="1">
        <v>58.0</v>
      </c>
    </row>
    <row r="544">
      <c r="A544" s="1" t="s">
        <v>8</v>
      </c>
      <c r="B544" s="2">
        <v>44714.0</v>
      </c>
      <c r="C544" s="3">
        <v>0.26163194444444443</v>
      </c>
      <c r="D544" s="1">
        <v>12.762931</v>
      </c>
      <c r="E544" s="1">
        <v>80.004107</v>
      </c>
      <c r="F544" s="1">
        <v>805.0</v>
      </c>
      <c r="G544" s="1">
        <v>26.0</v>
      </c>
    </row>
    <row r="545">
      <c r="A545" s="1" t="s">
        <v>8</v>
      </c>
      <c r="B545" s="2">
        <v>44714.0</v>
      </c>
      <c r="C545" s="3">
        <v>0.2616550925925926</v>
      </c>
      <c r="D545" s="1">
        <v>12.762931</v>
      </c>
      <c r="E545" s="1">
        <v>80.004107</v>
      </c>
      <c r="F545" s="1">
        <v>805.0</v>
      </c>
      <c r="G545" s="1">
        <v>26.0</v>
      </c>
    </row>
    <row r="546">
      <c r="A546" s="1" t="s">
        <v>8</v>
      </c>
      <c r="B546" s="2">
        <v>44714.0</v>
      </c>
      <c r="C546" s="3">
        <v>0.26166666666666666</v>
      </c>
      <c r="D546" s="1">
        <v>12.762931</v>
      </c>
      <c r="E546" s="1">
        <v>80.004107</v>
      </c>
      <c r="F546" s="1">
        <v>805.0</v>
      </c>
      <c r="G546" s="1">
        <v>26.0</v>
      </c>
    </row>
    <row r="547">
      <c r="A547" s="1" t="s">
        <v>7</v>
      </c>
      <c r="B547" s="2">
        <v>44714.0</v>
      </c>
      <c r="C547" s="3">
        <v>0.2618287037037037</v>
      </c>
      <c r="D547" s="1">
        <v>12.761565</v>
      </c>
      <c r="E547" s="1">
        <v>80.003746</v>
      </c>
      <c r="F547" s="1">
        <v>805.0</v>
      </c>
      <c r="G547" s="1">
        <v>39.0</v>
      </c>
    </row>
    <row r="548">
      <c r="A548" s="1" t="s">
        <v>7</v>
      </c>
      <c r="B548" s="2">
        <v>44714.0</v>
      </c>
      <c r="C548" s="3">
        <v>0.26239583333333333</v>
      </c>
      <c r="D548" s="1">
        <v>12.756254</v>
      </c>
      <c r="E548" s="1">
        <v>80.002126</v>
      </c>
      <c r="F548" s="1">
        <v>805.0</v>
      </c>
      <c r="G548" s="1">
        <v>57.0</v>
      </c>
    </row>
    <row r="549">
      <c r="A549" s="1" t="s">
        <v>8</v>
      </c>
      <c r="B549" s="2">
        <v>44714.0</v>
      </c>
      <c r="C549" s="3">
        <v>0.2629282407407407</v>
      </c>
      <c r="D549" s="1">
        <v>13.008977</v>
      </c>
      <c r="E549" s="1">
        <v>80.211592</v>
      </c>
      <c r="F549" s="1">
        <v>2846.0</v>
      </c>
      <c r="G549" s="1">
        <v>32.0</v>
      </c>
    </row>
    <row r="550">
      <c r="A550" s="1" t="s">
        <v>7</v>
      </c>
      <c r="B550" s="2">
        <v>44714.0</v>
      </c>
      <c r="C550" s="3">
        <v>0.2632407407407407</v>
      </c>
      <c r="D550" s="1">
        <v>12.746809</v>
      </c>
      <c r="E550" s="1">
        <v>79.995388</v>
      </c>
      <c r="F550" s="1">
        <v>805.0</v>
      </c>
      <c r="G550" s="1">
        <v>58.0</v>
      </c>
    </row>
    <row r="551">
      <c r="A551" s="1" t="s">
        <v>7</v>
      </c>
      <c r="B551" s="2">
        <v>44714.0</v>
      </c>
      <c r="C551" s="3">
        <v>0.26362268518518517</v>
      </c>
      <c r="D551" s="1">
        <v>13.011692</v>
      </c>
      <c r="E551" s="1">
        <v>80.219054</v>
      </c>
      <c r="F551" s="1">
        <v>2846.0</v>
      </c>
      <c r="G551" s="1">
        <v>46.0</v>
      </c>
    </row>
    <row r="552">
      <c r="A552" s="1" t="s">
        <v>7</v>
      </c>
      <c r="B552" s="2">
        <v>44714.0</v>
      </c>
      <c r="C552" s="3">
        <v>0.26391203703703703</v>
      </c>
      <c r="D552" s="1">
        <v>12.746809</v>
      </c>
      <c r="E552" s="1">
        <v>79.995388</v>
      </c>
      <c r="F552" s="1">
        <v>805.0</v>
      </c>
      <c r="G552" s="1">
        <v>58.0</v>
      </c>
    </row>
    <row r="553">
      <c r="A553" s="1" t="s">
        <v>7</v>
      </c>
      <c r="B553" s="2">
        <v>44714.0</v>
      </c>
      <c r="C553" s="3">
        <v>0.2649074074074074</v>
      </c>
      <c r="D553" s="1">
        <v>12.730229</v>
      </c>
      <c r="E553" s="1">
        <v>79.982978</v>
      </c>
      <c r="F553" s="1">
        <v>805.0</v>
      </c>
      <c r="G553" s="1">
        <v>58.0</v>
      </c>
    </row>
    <row r="554">
      <c r="A554" s="1" t="s">
        <v>7</v>
      </c>
      <c r="B554" s="2">
        <v>44714.0</v>
      </c>
      <c r="C554" s="3">
        <v>0.2653125</v>
      </c>
      <c r="D554" s="1">
        <v>13.023262</v>
      </c>
      <c r="E554" s="1">
        <v>80.227293</v>
      </c>
      <c r="F554" s="1">
        <v>2846.0</v>
      </c>
      <c r="G554" s="1">
        <v>53.0</v>
      </c>
    </row>
    <row r="555">
      <c r="A555" s="1" t="s">
        <v>8</v>
      </c>
      <c r="B555" s="2">
        <v>44714.0</v>
      </c>
      <c r="C555" s="3">
        <v>0.26631944444444444</v>
      </c>
      <c r="D555" s="1">
        <v>13.027952</v>
      </c>
      <c r="E555" s="1">
        <v>80.235308</v>
      </c>
      <c r="F555" s="1">
        <v>2846.0</v>
      </c>
      <c r="G555" s="1">
        <v>50.0</v>
      </c>
    </row>
    <row r="556">
      <c r="A556" s="1" t="s">
        <v>7</v>
      </c>
      <c r="B556" s="2">
        <v>44714.0</v>
      </c>
      <c r="C556" s="3">
        <v>0.2663773148148148</v>
      </c>
      <c r="D556" s="1">
        <v>12.718814</v>
      </c>
      <c r="E556" s="1">
        <v>79.981091</v>
      </c>
      <c r="F556" s="1">
        <v>805.0</v>
      </c>
      <c r="G556" s="1">
        <v>58.0</v>
      </c>
    </row>
    <row r="557">
      <c r="A557" s="1" t="s">
        <v>8</v>
      </c>
      <c r="B557" s="2">
        <v>44714.0</v>
      </c>
      <c r="C557" s="3">
        <v>0.2669560185185185</v>
      </c>
      <c r="D557" s="1">
        <v>12.71036</v>
      </c>
      <c r="E557" s="1">
        <v>79.978174</v>
      </c>
      <c r="F557" s="1">
        <v>805.0</v>
      </c>
      <c r="G557" s="1">
        <v>28.0</v>
      </c>
    </row>
    <row r="558">
      <c r="A558" s="1" t="s">
        <v>8</v>
      </c>
      <c r="B558" s="2">
        <v>44714.0</v>
      </c>
      <c r="C558" s="3">
        <v>0.26699074074074075</v>
      </c>
      <c r="D558" s="1">
        <v>13.031689</v>
      </c>
      <c r="E558" s="1">
        <v>80.240882</v>
      </c>
      <c r="F558" s="1">
        <v>2846.0</v>
      </c>
      <c r="G558" s="1">
        <v>39.0</v>
      </c>
    </row>
    <row r="559">
      <c r="A559" s="1" t="s">
        <v>7</v>
      </c>
      <c r="B559" s="2">
        <v>44714.0</v>
      </c>
      <c r="C559" s="3">
        <v>0.2671296296296296</v>
      </c>
      <c r="D559" s="1">
        <v>12.709583</v>
      </c>
      <c r="E559" s="1">
        <v>79.977722</v>
      </c>
      <c r="F559" s="1">
        <v>805.0</v>
      </c>
      <c r="G559" s="1">
        <v>31.0</v>
      </c>
    </row>
    <row r="560">
      <c r="A560" s="1" t="s">
        <v>8</v>
      </c>
      <c r="B560" s="2">
        <v>44714.0</v>
      </c>
      <c r="C560" s="3">
        <v>0.2671527777777778</v>
      </c>
      <c r="D560" s="1">
        <v>13.03251</v>
      </c>
      <c r="E560" s="1">
        <v>80.24244</v>
      </c>
      <c r="F560" s="1">
        <v>2846.0</v>
      </c>
      <c r="G560" s="1">
        <v>31.0</v>
      </c>
    </row>
    <row r="561">
      <c r="A561" s="1" t="s">
        <v>8</v>
      </c>
      <c r="B561" s="2">
        <v>44714.0</v>
      </c>
      <c r="C561" s="3">
        <v>0.26716435185185183</v>
      </c>
      <c r="D561" s="1">
        <v>13.03251</v>
      </c>
      <c r="E561" s="1">
        <v>80.24244</v>
      </c>
      <c r="F561" s="1">
        <v>2846.0</v>
      </c>
      <c r="G561" s="1">
        <v>31.0</v>
      </c>
    </row>
    <row r="562">
      <c r="A562" s="1" t="s">
        <v>7</v>
      </c>
      <c r="B562" s="2">
        <v>44714.0</v>
      </c>
      <c r="C562" s="3">
        <v>0.26739583333333333</v>
      </c>
      <c r="D562" s="1">
        <v>12.708217</v>
      </c>
      <c r="E562" s="1">
        <v>79.976931</v>
      </c>
      <c r="F562" s="1">
        <v>805.0</v>
      </c>
      <c r="G562" s="1">
        <v>52.0</v>
      </c>
    </row>
    <row r="563">
      <c r="A563" s="1" t="s">
        <v>8</v>
      </c>
      <c r="B563" s="2">
        <v>44714.0</v>
      </c>
      <c r="C563" s="3">
        <v>0.2674768518518518</v>
      </c>
      <c r="D563" s="1">
        <v>12.708217</v>
      </c>
      <c r="E563" s="1">
        <v>79.976931</v>
      </c>
      <c r="F563" s="1">
        <v>805.0</v>
      </c>
      <c r="G563" s="1">
        <v>52.0</v>
      </c>
    </row>
    <row r="564">
      <c r="A564" s="1" t="s">
        <v>8</v>
      </c>
      <c r="B564" s="2">
        <v>44714.0</v>
      </c>
      <c r="C564" s="3">
        <v>0.2675462962962963</v>
      </c>
      <c r="D564" s="1">
        <v>13.033906</v>
      </c>
      <c r="E564" s="1">
        <v>80.244356</v>
      </c>
      <c r="F564" s="1">
        <v>2846.0</v>
      </c>
      <c r="G564" s="1">
        <v>38.0</v>
      </c>
    </row>
    <row r="565">
      <c r="A565" s="1" t="s">
        <v>7</v>
      </c>
      <c r="B565" s="2">
        <v>44714.0</v>
      </c>
      <c r="C565" s="3">
        <v>0.26787037037037037</v>
      </c>
      <c r="D565" s="1">
        <v>12.704892</v>
      </c>
      <c r="E565" s="1">
        <v>79.973724</v>
      </c>
      <c r="F565" s="1">
        <v>805.0</v>
      </c>
      <c r="G565" s="1">
        <v>51.0</v>
      </c>
    </row>
    <row r="566">
      <c r="A566" s="1" t="s">
        <v>8</v>
      </c>
      <c r="B566" s="2">
        <v>44714.0</v>
      </c>
      <c r="C566" s="3">
        <v>0.26875</v>
      </c>
      <c r="D566" s="1">
        <v>13.039808</v>
      </c>
      <c r="E566" s="1">
        <v>80.246977</v>
      </c>
      <c r="F566" s="1">
        <v>2846.0</v>
      </c>
      <c r="G566" s="1">
        <v>36.0</v>
      </c>
    </row>
    <row r="567">
      <c r="A567" s="1" t="s">
        <v>8</v>
      </c>
      <c r="B567" s="2">
        <v>44714.0</v>
      </c>
      <c r="C567" s="3">
        <v>0.2690625</v>
      </c>
      <c r="D567" s="1">
        <v>12.691985</v>
      </c>
      <c r="E567" s="1">
        <v>79.964027</v>
      </c>
      <c r="F567" s="1">
        <v>805.0</v>
      </c>
      <c r="G567" s="1">
        <v>58.0</v>
      </c>
    </row>
    <row r="568">
      <c r="A568" s="1" t="s">
        <v>8</v>
      </c>
      <c r="B568" s="2">
        <v>44714.0</v>
      </c>
      <c r="C568" s="3">
        <v>0.26915509259259257</v>
      </c>
      <c r="D568" s="1">
        <v>13.043725</v>
      </c>
      <c r="E568" s="1">
        <v>80.247717</v>
      </c>
      <c r="F568" s="1">
        <v>2846.0</v>
      </c>
      <c r="G568" s="1">
        <v>42.0</v>
      </c>
    </row>
    <row r="569">
      <c r="A569" s="1" t="s">
        <v>7</v>
      </c>
      <c r="B569" s="2">
        <v>44714.0</v>
      </c>
      <c r="C569" s="3">
        <v>0.26916666666666667</v>
      </c>
      <c r="D569" s="1">
        <v>12.691985</v>
      </c>
      <c r="E569" s="1">
        <v>79.964027</v>
      </c>
      <c r="F569" s="1">
        <v>805.0</v>
      </c>
      <c r="G569" s="1">
        <v>58.0</v>
      </c>
    </row>
    <row r="570">
      <c r="A570" s="1" t="s">
        <v>7</v>
      </c>
      <c r="B570" s="2">
        <v>44714.0</v>
      </c>
      <c r="C570" s="3">
        <v>0.26925925925925925</v>
      </c>
      <c r="D570" s="1">
        <v>12.690817</v>
      </c>
      <c r="E570" s="1">
        <v>79.962652</v>
      </c>
      <c r="F570" s="1">
        <v>805.0</v>
      </c>
      <c r="G570" s="1">
        <v>37.0</v>
      </c>
    </row>
    <row r="571">
      <c r="A571" s="1" t="s">
        <v>8</v>
      </c>
      <c r="B571" s="2">
        <v>44714.0</v>
      </c>
      <c r="C571" s="3">
        <v>0.26961805555555557</v>
      </c>
      <c r="D571" s="1">
        <v>13.047013</v>
      </c>
      <c r="E571" s="1">
        <v>80.248342</v>
      </c>
      <c r="F571" s="1">
        <v>2846.0</v>
      </c>
      <c r="G571" s="1">
        <v>41.0</v>
      </c>
    </row>
    <row r="572">
      <c r="A572" s="1" t="s">
        <v>7</v>
      </c>
      <c r="B572" s="2">
        <v>44714.0</v>
      </c>
      <c r="C572" s="3">
        <v>0.2697685185185185</v>
      </c>
      <c r="D572" s="1">
        <v>12.685894</v>
      </c>
      <c r="E572" s="1">
        <v>79.959386</v>
      </c>
      <c r="F572" s="1">
        <v>805.0</v>
      </c>
      <c r="G572" s="1">
        <v>57.0</v>
      </c>
    </row>
    <row r="573">
      <c r="A573" s="1" t="s">
        <v>8</v>
      </c>
      <c r="B573" s="2">
        <v>44714.0</v>
      </c>
      <c r="C573" s="3">
        <v>0.269837962962963</v>
      </c>
      <c r="D573" s="1">
        <v>13.048501</v>
      </c>
      <c r="E573" s="1">
        <v>80.24952</v>
      </c>
      <c r="F573" s="1">
        <v>2846.0</v>
      </c>
      <c r="G573" s="1">
        <v>26.0</v>
      </c>
    </row>
    <row r="574">
      <c r="A574" s="1" t="s">
        <v>7</v>
      </c>
      <c r="B574" s="2">
        <v>44714.0</v>
      </c>
      <c r="C574" s="3">
        <v>0.27003472222222225</v>
      </c>
      <c r="D574" s="1">
        <v>12.68349</v>
      </c>
      <c r="E574" s="1">
        <v>79.9587</v>
      </c>
      <c r="F574" s="1">
        <v>805.0</v>
      </c>
      <c r="G574" s="1">
        <v>58.0</v>
      </c>
    </row>
    <row r="575">
      <c r="A575" s="1" t="s">
        <v>8</v>
      </c>
      <c r="B575" s="2">
        <v>44714.0</v>
      </c>
      <c r="C575" s="3">
        <v>0.2704861111111111</v>
      </c>
      <c r="D575" s="1">
        <v>13.052857</v>
      </c>
      <c r="E575" s="1">
        <v>80.25164</v>
      </c>
      <c r="F575" s="1">
        <v>2846.0</v>
      </c>
      <c r="G575" s="1">
        <v>48.0</v>
      </c>
    </row>
    <row r="576">
      <c r="A576" s="1" t="s">
        <v>7</v>
      </c>
      <c r="B576" s="2">
        <v>44714.0</v>
      </c>
      <c r="C576" s="3">
        <v>0.2705902777777778</v>
      </c>
      <c r="D576" s="1">
        <v>12.678518</v>
      </c>
      <c r="E576" s="1">
        <v>79.958593</v>
      </c>
      <c r="F576" s="1">
        <v>805.0</v>
      </c>
      <c r="G576" s="1">
        <v>58.0</v>
      </c>
    </row>
    <row r="577">
      <c r="A577" s="1" t="s">
        <v>7</v>
      </c>
      <c r="B577" s="2">
        <v>44714.0</v>
      </c>
      <c r="C577" s="3">
        <v>0.2711689814814815</v>
      </c>
      <c r="D577" s="1">
        <v>12.678518</v>
      </c>
      <c r="E577" s="1">
        <v>79.958593</v>
      </c>
      <c r="F577" s="1">
        <v>805.0</v>
      </c>
      <c r="G577" s="1">
        <v>58.0</v>
      </c>
    </row>
    <row r="578">
      <c r="A578" s="1" t="s">
        <v>7</v>
      </c>
      <c r="B578" s="2">
        <v>44714.0</v>
      </c>
      <c r="C578" s="3">
        <v>0.2717939814814815</v>
      </c>
      <c r="D578" s="1">
        <v>12.660604</v>
      </c>
      <c r="E578" s="1">
        <v>79.960994</v>
      </c>
      <c r="F578" s="1">
        <v>805.0</v>
      </c>
      <c r="G578" s="1">
        <v>58.0</v>
      </c>
    </row>
    <row r="579">
      <c r="A579" s="1" t="s">
        <v>8</v>
      </c>
      <c r="B579" s="2">
        <v>44714.0</v>
      </c>
      <c r="C579" s="3">
        <v>0.2719212962962963</v>
      </c>
      <c r="D579" s="1">
        <v>12.660604</v>
      </c>
      <c r="E579" s="1">
        <v>79.960994</v>
      </c>
      <c r="F579" s="1">
        <v>805.0</v>
      </c>
      <c r="G579" s="1">
        <v>58.0</v>
      </c>
    </row>
    <row r="580">
      <c r="A580" s="1" t="s">
        <v>8</v>
      </c>
      <c r="B580" s="2">
        <v>44714.0</v>
      </c>
      <c r="C580" s="3">
        <v>0.27229166666666665</v>
      </c>
      <c r="D580" s="1">
        <v>12.657403</v>
      </c>
      <c r="E580" s="1">
        <v>79.957753</v>
      </c>
      <c r="F580" s="1">
        <v>805.0</v>
      </c>
      <c r="G580" s="1">
        <v>57.0</v>
      </c>
    </row>
    <row r="581">
      <c r="A581" s="1" t="s">
        <v>7</v>
      </c>
      <c r="B581" s="2">
        <v>44714.0</v>
      </c>
      <c r="C581" s="3">
        <v>0.2735532407407407</v>
      </c>
      <c r="D581" s="1">
        <v>12.658007</v>
      </c>
      <c r="E581" s="1">
        <v>79.944005</v>
      </c>
      <c r="F581" s="1">
        <v>805.0</v>
      </c>
      <c r="G581" s="1">
        <v>52.0</v>
      </c>
    </row>
    <row r="582">
      <c r="A582" s="1" t="s">
        <v>7</v>
      </c>
      <c r="B582" s="2">
        <v>44714.0</v>
      </c>
      <c r="C582" s="3">
        <v>0.274525462962963</v>
      </c>
      <c r="D582" s="1">
        <v>12.650696</v>
      </c>
      <c r="E582" s="1">
        <v>79.941638</v>
      </c>
      <c r="F582" s="1">
        <v>805.0</v>
      </c>
      <c r="G582" s="1">
        <v>57.0</v>
      </c>
    </row>
    <row r="583">
      <c r="A583" s="1" t="s">
        <v>8</v>
      </c>
      <c r="B583" s="2">
        <v>44714.0</v>
      </c>
      <c r="C583" s="3">
        <v>0.27493055555555557</v>
      </c>
      <c r="D583" s="1">
        <v>12.642998</v>
      </c>
      <c r="E583" s="1">
        <v>79.938229</v>
      </c>
      <c r="F583" s="1">
        <v>805.0</v>
      </c>
      <c r="G583" s="1">
        <v>53.0</v>
      </c>
    </row>
    <row r="584">
      <c r="A584" s="1" t="s">
        <v>8</v>
      </c>
      <c r="B584" s="2">
        <v>44714.0</v>
      </c>
      <c r="C584" s="3">
        <v>0.27547453703703706</v>
      </c>
      <c r="D584" s="1">
        <v>12.63742</v>
      </c>
      <c r="E584" s="1">
        <v>79.934799</v>
      </c>
      <c r="F584" s="1">
        <v>805.0</v>
      </c>
      <c r="G584" s="1">
        <v>44.0</v>
      </c>
    </row>
    <row r="585">
      <c r="A585" s="1" t="s">
        <v>7</v>
      </c>
      <c r="B585" s="2">
        <v>44714.0</v>
      </c>
      <c r="C585" s="3">
        <v>0.27576388888888886</v>
      </c>
      <c r="D585" s="1">
        <v>12.635745</v>
      </c>
      <c r="E585" s="1">
        <v>79.933771</v>
      </c>
      <c r="F585" s="1">
        <v>805.0</v>
      </c>
      <c r="G585" s="1">
        <v>48.0</v>
      </c>
    </row>
    <row r="586">
      <c r="A586" s="1" t="s">
        <v>7</v>
      </c>
      <c r="B586" s="2">
        <v>44714.0</v>
      </c>
      <c r="C586" s="3">
        <v>0.2765972222222222</v>
      </c>
      <c r="D586" s="1">
        <v>12.626137</v>
      </c>
      <c r="E586" s="1">
        <v>79.929543</v>
      </c>
      <c r="F586" s="1">
        <v>805.0</v>
      </c>
      <c r="G586" s="1">
        <v>58.0</v>
      </c>
    </row>
    <row r="587">
      <c r="A587" s="1" t="s">
        <v>7</v>
      </c>
      <c r="B587" s="2">
        <v>44714.0</v>
      </c>
      <c r="C587" s="3">
        <v>0.27695601851851853</v>
      </c>
      <c r="D587" s="1">
        <v>12.621809</v>
      </c>
      <c r="E587" s="1">
        <v>79.927708</v>
      </c>
      <c r="F587" s="1">
        <v>805.0</v>
      </c>
      <c r="G587" s="1">
        <v>58.0</v>
      </c>
    </row>
    <row r="588">
      <c r="A588" s="1" t="s">
        <v>7</v>
      </c>
      <c r="B588" s="2">
        <v>44714.0</v>
      </c>
      <c r="C588" s="3">
        <v>0.27729166666666666</v>
      </c>
      <c r="D588" s="1">
        <v>12.619418</v>
      </c>
      <c r="E588" s="1">
        <v>79.927</v>
      </c>
      <c r="F588" s="1">
        <v>805.0</v>
      </c>
      <c r="G588" s="1">
        <v>58.0</v>
      </c>
    </row>
    <row r="589">
      <c r="A589" s="1" t="s">
        <v>7</v>
      </c>
      <c r="B589" s="2">
        <v>44714.0</v>
      </c>
      <c r="C589" s="3">
        <v>0.27769675925925924</v>
      </c>
      <c r="D589" s="1">
        <v>12.612904</v>
      </c>
      <c r="E589" s="1">
        <v>79.924432</v>
      </c>
      <c r="F589" s="1">
        <v>805.0</v>
      </c>
      <c r="G589" s="1">
        <v>58.0</v>
      </c>
    </row>
    <row r="590">
      <c r="A590" s="1" t="s">
        <v>7</v>
      </c>
      <c r="B590" s="2">
        <v>44714.0</v>
      </c>
      <c r="C590" s="3">
        <v>0.2778125</v>
      </c>
      <c r="D590" s="1">
        <v>12.612904</v>
      </c>
      <c r="E590" s="1">
        <v>79.924432</v>
      </c>
      <c r="F590" s="1">
        <v>805.0</v>
      </c>
      <c r="G590" s="1">
        <v>58.0</v>
      </c>
    </row>
    <row r="591">
      <c r="A591" s="1" t="s">
        <v>7</v>
      </c>
      <c r="B591" s="2">
        <v>44714.0</v>
      </c>
      <c r="C591" s="3">
        <v>0.278125</v>
      </c>
      <c r="D591" s="1">
        <v>12.608817</v>
      </c>
      <c r="E591" s="1">
        <v>79.922088</v>
      </c>
      <c r="F591" s="1">
        <v>805.0</v>
      </c>
      <c r="G591" s="1">
        <v>58.0</v>
      </c>
    </row>
    <row r="592">
      <c r="A592" s="1" t="s">
        <v>7</v>
      </c>
      <c r="B592" s="2">
        <v>44714.0</v>
      </c>
      <c r="C592" s="3">
        <v>0.28</v>
      </c>
      <c r="D592" s="1">
        <v>12.585734</v>
      </c>
      <c r="E592" s="1">
        <v>79.919495</v>
      </c>
      <c r="F592" s="1">
        <v>805.0</v>
      </c>
      <c r="G592" s="1">
        <v>57.0</v>
      </c>
    </row>
    <row r="593">
      <c r="A593" s="1" t="s">
        <v>8</v>
      </c>
      <c r="B593" s="2">
        <v>44714.0</v>
      </c>
      <c r="C593" s="3">
        <v>0.2800925925925926</v>
      </c>
      <c r="D593" s="1">
        <v>12.585734</v>
      </c>
      <c r="E593" s="1">
        <v>79.919495</v>
      </c>
      <c r="F593" s="1">
        <v>805.0</v>
      </c>
      <c r="G593" s="1">
        <v>57.0</v>
      </c>
    </row>
    <row r="594">
      <c r="A594" s="1" t="s">
        <v>7</v>
      </c>
      <c r="B594" s="2">
        <v>44714.0</v>
      </c>
      <c r="C594" s="3">
        <v>0.2807060185185185</v>
      </c>
      <c r="D594" s="1">
        <v>12.576676</v>
      </c>
      <c r="E594" s="1">
        <v>79.917265</v>
      </c>
      <c r="F594" s="1">
        <v>805.0</v>
      </c>
      <c r="G594" s="1">
        <v>58.0</v>
      </c>
    </row>
    <row r="595">
      <c r="A595" s="1" t="s">
        <v>7</v>
      </c>
      <c r="B595" s="2">
        <v>44714.0</v>
      </c>
      <c r="C595" s="3">
        <v>0.2813425925925926</v>
      </c>
      <c r="D595" s="1">
        <v>12.569817</v>
      </c>
      <c r="E595" s="1">
        <v>79.915704</v>
      </c>
      <c r="F595" s="1">
        <v>805.0</v>
      </c>
      <c r="G595" s="1">
        <v>58.0</v>
      </c>
    </row>
    <row r="596">
      <c r="A596" s="1" t="s">
        <v>7</v>
      </c>
      <c r="B596" s="2">
        <v>44714.0</v>
      </c>
      <c r="C596" s="3">
        <v>0.28186342592592595</v>
      </c>
      <c r="D596" s="1">
        <v>12.563267</v>
      </c>
      <c r="E596" s="1">
        <v>79.913238</v>
      </c>
      <c r="F596" s="1">
        <v>805.0</v>
      </c>
      <c r="G596" s="1">
        <v>58.0</v>
      </c>
    </row>
    <row r="597">
      <c r="A597" s="1" t="s">
        <v>7</v>
      </c>
      <c r="B597" s="2">
        <v>44714.0</v>
      </c>
      <c r="C597" s="3">
        <v>0.2829050925925926</v>
      </c>
      <c r="D597" s="1">
        <v>12.550723</v>
      </c>
      <c r="E597" s="1">
        <v>79.906502</v>
      </c>
      <c r="F597" s="1">
        <v>805.0</v>
      </c>
      <c r="G597" s="1">
        <v>58.0</v>
      </c>
    </row>
    <row r="598">
      <c r="A598" s="1" t="s">
        <v>7</v>
      </c>
      <c r="B598" s="2">
        <v>44714.0</v>
      </c>
      <c r="C598" s="3">
        <v>0.28336805555555555</v>
      </c>
      <c r="D598" s="1">
        <v>12.546164</v>
      </c>
      <c r="E598" s="1">
        <v>79.905481</v>
      </c>
      <c r="F598" s="1">
        <v>805.0</v>
      </c>
      <c r="G598" s="1">
        <v>58.0</v>
      </c>
    </row>
    <row r="599">
      <c r="A599" s="1" t="s">
        <v>7</v>
      </c>
      <c r="B599" s="2">
        <v>44714.0</v>
      </c>
      <c r="C599" s="3">
        <v>0.28344907407407405</v>
      </c>
      <c r="D599" s="1">
        <v>12.546164</v>
      </c>
      <c r="E599" s="1">
        <v>79.905481</v>
      </c>
      <c r="F599" s="1">
        <v>805.0</v>
      </c>
      <c r="G599" s="1">
        <v>58.0</v>
      </c>
    </row>
    <row r="600">
      <c r="A600" s="1" t="s">
        <v>7</v>
      </c>
      <c r="B600" s="2">
        <v>44714.0</v>
      </c>
      <c r="C600" s="3">
        <v>0.28380787037037036</v>
      </c>
      <c r="D600" s="1">
        <v>12.541548</v>
      </c>
      <c r="E600" s="1">
        <v>79.904638</v>
      </c>
      <c r="F600" s="1">
        <v>805.0</v>
      </c>
      <c r="G600" s="1">
        <v>58.0</v>
      </c>
    </row>
    <row r="601">
      <c r="A601" s="1" t="s">
        <v>7</v>
      </c>
      <c r="B601" s="2">
        <v>44714.0</v>
      </c>
      <c r="C601" s="3">
        <v>0.2878125</v>
      </c>
      <c r="D601" s="1">
        <v>12.532444</v>
      </c>
      <c r="E601" s="1">
        <v>79.900818</v>
      </c>
      <c r="F601" s="1">
        <v>805.0</v>
      </c>
      <c r="G601" s="1">
        <v>0.0</v>
      </c>
    </row>
    <row r="602">
      <c r="A602" s="1" t="s">
        <v>7</v>
      </c>
      <c r="B602" s="2">
        <v>44714.0</v>
      </c>
      <c r="C602" s="3">
        <v>0.28792824074074075</v>
      </c>
      <c r="D602" s="1">
        <v>12.532444</v>
      </c>
      <c r="E602" s="1">
        <v>79.900818</v>
      </c>
      <c r="F602" s="1">
        <v>805.0</v>
      </c>
      <c r="G602" s="1">
        <v>0.0</v>
      </c>
    </row>
    <row r="603">
      <c r="A603" s="1" t="s">
        <v>7</v>
      </c>
      <c r="B603" s="2">
        <v>44714.0</v>
      </c>
      <c r="C603" s="3">
        <v>0.2879976851851852</v>
      </c>
      <c r="D603" s="1">
        <v>12.532444</v>
      </c>
      <c r="E603" s="1">
        <v>79.900818</v>
      </c>
      <c r="F603" s="1">
        <v>805.0</v>
      </c>
      <c r="G603" s="1">
        <v>0.0</v>
      </c>
    </row>
    <row r="604">
      <c r="A604" s="1" t="s">
        <v>7</v>
      </c>
      <c r="B604" s="2">
        <v>44714.0</v>
      </c>
      <c r="C604" s="3">
        <v>0.2883912037037037</v>
      </c>
      <c r="D604" s="1">
        <v>12.530178</v>
      </c>
      <c r="E604" s="1">
        <v>79.899642</v>
      </c>
      <c r="F604" s="1">
        <v>805.0</v>
      </c>
      <c r="G604" s="1">
        <v>61.0</v>
      </c>
    </row>
    <row r="605">
      <c r="A605" s="1" t="s">
        <v>7</v>
      </c>
      <c r="B605" s="2">
        <v>44714.0</v>
      </c>
      <c r="C605" s="3">
        <v>0.28859953703703706</v>
      </c>
      <c r="D605" s="1">
        <v>12.528071</v>
      </c>
      <c r="E605" s="1">
        <v>79.898567</v>
      </c>
      <c r="F605" s="1">
        <v>805.0</v>
      </c>
      <c r="G605" s="1">
        <v>58.0</v>
      </c>
    </row>
    <row r="606">
      <c r="A606" s="1" t="s">
        <v>7</v>
      </c>
      <c r="B606" s="2">
        <v>44714.0</v>
      </c>
      <c r="C606" s="3">
        <v>0.2893981481481481</v>
      </c>
      <c r="D606" s="1">
        <v>12.520095</v>
      </c>
      <c r="E606" s="1">
        <v>79.893728</v>
      </c>
      <c r="F606" s="1">
        <v>805.0</v>
      </c>
      <c r="G606" s="1">
        <v>58.0</v>
      </c>
    </row>
    <row r="607">
      <c r="A607" s="1" t="s">
        <v>10</v>
      </c>
      <c r="B607" s="2">
        <v>44714.0</v>
      </c>
      <c r="C607" s="3">
        <v>0.2912152777777778</v>
      </c>
      <c r="D607" s="1">
        <v>12.506566</v>
      </c>
      <c r="E607" s="1">
        <v>79.880659</v>
      </c>
      <c r="F607" s="1">
        <v>805.0</v>
      </c>
      <c r="G607" s="1">
        <v>0.0</v>
      </c>
    </row>
    <row r="608">
      <c r="A608" s="1" t="s">
        <v>7</v>
      </c>
      <c r="B608" s="2">
        <v>44714.0</v>
      </c>
      <c r="C608" s="3">
        <v>0.29572916666666665</v>
      </c>
      <c r="D608" s="1">
        <v>12.517885</v>
      </c>
      <c r="E608" s="1">
        <v>79.887785</v>
      </c>
      <c r="F608" s="1">
        <v>805.0</v>
      </c>
      <c r="G608" s="1">
        <v>57.0</v>
      </c>
    </row>
    <row r="609">
      <c r="A609" s="1" t="s">
        <v>8</v>
      </c>
      <c r="B609" s="2">
        <v>44714.0</v>
      </c>
      <c r="C609" s="3">
        <v>0.2962152777777778</v>
      </c>
      <c r="D609" s="1">
        <v>12.519879</v>
      </c>
      <c r="E609" s="1">
        <v>79.893293</v>
      </c>
      <c r="F609" s="1">
        <v>805.0</v>
      </c>
      <c r="G609" s="1">
        <v>59.0</v>
      </c>
    </row>
    <row r="610">
      <c r="A610" s="1" t="s">
        <v>8</v>
      </c>
      <c r="B610" s="2">
        <v>44714.0</v>
      </c>
      <c r="C610" s="3">
        <v>0.29715277777777777</v>
      </c>
      <c r="D610" s="1">
        <v>13.066447</v>
      </c>
      <c r="E610" s="1">
        <v>80.245731</v>
      </c>
      <c r="F610" s="1">
        <v>2846.0</v>
      </c>
      <c r="G610" s="1">
        <v>33.0</v>
      </c>
    </row>
    <row r="611">
      <c r="A611" s="1" t="s">
        <v>7</v>
      </c>
      <c r="B611" s="2">
        <v>44714.0</v>
      </c>
      <c r="C611" s="3">
        <v>0.2971990740740741</v>
      </c>
      <c r="D611" s="1">
        <v>12.523486</v>
      </c>
      <c r="E611" s="1">
        <v>79.89625</v>
      </c>
      <c r="F611" s="1">
        <v>805.0</v>
      </c>
      <c r="G611" s="1">
        <v>54.0</v>
      </c>
    </row>
    <row r="612">
      <c r="A612" s="1" t="s">
        <v>7</v>
      </c>
      <c r="B612" s="2">
        <v>44714.0</v>
      </c>
      <c r="C612" s="3">
        <v>0.2973263888888889</v>
      </c>
      <c r="D612" s="1">
        <v>12.530983</v>
      </c>
      <c r="E612" s="1">
        <v>79.899836</v>
      </c>
      <c r="F612" s="1">
        <v>805.0</v>
      </c>
      <c r="G612" s="1">
        <v>0.0</v>
      </c>
    </row>
    <row r="613">
      <c r="A613" s="1" t="s">
        <v>7</v>
      </c>
      <c r="B613" s="2">
        <v>44714.0</v>
      </c>
      <c r="C613" s="3">
        <v>0.2974189814814815</v>
      </c>
      <c r="D613" s="1">
        <v>12.530983</v>
      </c>
      <c r="E613" s="1">
        <v>79.899836</v>
      </c>
      <c r="F613" s="1">
        <v>805.0</v>
      </c>
      <c r="G613" s="1">
        <v>0.0</v>
      </c>
    </row>
    <row r="614">
      <c r="A614" s="1" t="s">
        <v>7</v>
      </c>
      <c r="B614" s="2">
        <v>44714.0</v>
      </c>
      <c r="C614" s="3">
        <v>0.2989583333333333</v>
      </c>
      <c r="D614" s="1">
        <v>12.543545</v>
      </c>
      <c r="E614" s="1">
        <v>79.904815</v>
      </c>
      <c r="F614" s="1">
        <v>805.0</v>
      </c>
      <c r="G614" s="1">
        <v>5.0</v>
      </c>
    </row>
    <row r="615">
      <c r="A615" s="1" t="s">
        <v>7</v>
      </c>
      <c r="B615" s="2">
        <v>44714.0</v>
      </c>
      <c r="C615" s="3">
        <v>0.29922453703703705</v>
      </c>
      <c r="D615" s="1">
        <v>12.54532</v>
      </c>
      <c r="E615" s="1">
        <v>79.905158</v>
      </c>
      <c r="F615" s="1">
        <v>805.0</v>
      </c>
      <c r="G615" s="1">
        <v>36.0</v>
      </c>
    </row>
    <row r="616">
      <c r="A616" s="1" t="s">
        <v>7</v>
      </c>
      <c r="B616" s="2">
        <v>44714.0</v>
      </c>
      <c r="C616" s="3">
        <v>0.2995717592592593</v>
      </c>
      <c r="D616" s="1">
        <v>12.549448</v>
      </c>
      <c r="E616" s="1">
        <v>79.905954</v>
      </c>
      <c r="F616" s="1">
        <v>805.0</v>
      </c>
      <c r="G616" s="1">
        <v>58.0</v>
      </c>
    </row>
    <row r="617">
      <c r="A617" s="1" t="s">
        <v>8</v>
      </c>
      <c r="B617" s="2">
        <v>44714.0</v>
      </c>
      <c r="C617" s="3">
        <v>0.2996990740740741</v>
      </c>
      <c r="D617" s="1">
        <v>13.070818</v>
      </c>
      <c r="E617" s="1">
        <v>80.25826</v>
      </c>
      <c r="F617" s="1">
        <v>2846.0</v>
      </c>
      <c r="G617" s="1">
        <v>38.0</v>
      </c>
    </row>
    <row r="618">
      <c r="A618" s="1" t="s">
        <v>7</v>
      </c>
      <c r="B618" s="2">
        <v>44714.0</v>
      </c>
      <c r="C618" s="3">
        <v>0.2999074074074074</v>
      </c>
      <c r="D618" s="1">
        <v>12.553927</v>
      </c>
      <c r="E618" s="1">
        <v>79.907749</v>
      </c>
      <c r="F618" s="1">
        <v>805.0</v>
      </c>
      <c r="G618" s="1">
        <v>58.0</v>
      </c>
    </row>
    <row r="619">
      <c r="A619" s="1" t="s">
        <v>7</v>
      </c>
      <c r="B619" s="2">
        <v>44714.0</v>
      </c>
      <c r="C619" s="3">
        <v>0.3002662037037037</v>
      </c>
      <c r="D619" s="1">
        <v>12.553927</v>
      </c>
      <c r="E619" s="1">
        <v>79.907749</v>
      </c>
      <c r="F619" s="1">
        <v>805.0</v>
      </c>
      <c r="G619" s="1">
        <v>58.0</v>
      </c>
    </row>
    <row r="620">
      <c r="A620" s="1" t="s">
        <v>7</v>
      </c>
      <c r="B620" s="2">
        <v>44714.0</v>
      </c>
      <c r="C620" s="3">
        <v>0.300474537037037</v>
      </c>
      <c r="D620" s="1">
        <v>12.56008</v>
      </c>
      <c r="E620" s="1">
        <v>79.911203</v>
      </c>
      <c r="F620" s="1">
        <v>805.0</v>
      </c>
      <c r="G620" s="1">
        <v>58.0</v>
      </c>
    </row>
    <row r="621">
      <c r="A621" s="1" t="s">
        <v>7</v>
      </c>
      <c r="B621" s="2">
        <v>44714.0</v>
      </c>
      <c r="C621" s="3">
        <v>0.3008449074074074</v>
      </c>
      <c r="D621" s="1">
        <v>12.564144</v>
      </c>
      <c r="E621" s="1">
        <v>79.913563</v>
      </c>
      <c r="F621" s="1">
        <v>805.0</v>
      </c>
      <c r="G621" s="1">
        <v>57.0</v>
      </c>
    </row>
    <row r="622">
      <c r="A622" s="1" t="s">
        <v>7</v>
      </c>
      <c r="B622" s="2">
        <v>44714.0</v>
      </c>
      <c r="C622" s="3">
        <v>0.3010069444444444</v>
      </c>
      <c r="D622" s="1">
        <v>12.566264</v>
      </c>
      <c r="E622" s="1">
        <v>79.91456</v>
      </c>
      <c r="F622" s="1">
        <v>805.0</v>
      </c>
      <c r="G622" s="1">
        <v>58.0</v>
      </c>
    </row>
    <row r="623">
      <c r="A623" s="1" t="s">
        <v>7</v>
      </c>
      <c r="B623" s="2">
        <v>44714.0</v>
      </c>
      <c r="C623" s="3">
        <v>0.30127314814814815</v>
      </c>
      <c r="D623" s="1">
        <v>12.568524</v>
      </c>
      <c r="E623" s="1">
        <v>79.915203</v>
      </c>
      <c r="F623" s="1">
        <v>805.0</v>
      </c>
      <c r="G623" s="1">
        <v>57.0</v>
      </c>
    </row>
    <row r="624">
      <c r="A624" s="1" t="s">
        <v>10</v>
      </c>
      <c r="B624" s="2">
        <v>44714.0</v>
      </c>
      <c r="C624" s="3">
        <v>0.3013425925925926</v>
      </c>
      <c r="D624" s="1">
        <v>13.071636</v>
      </c>
      <c r="E624" s="1">
        <v>80.264641</v>
      </c>
      <c r="F624" s="1">
        <v>2846.0</v>
      </c>
      <c r="G624" s="1">
        <v>29.0</v>
      </c>
    </row>
    <row r="625">
      <c r="A625" s="1" t="s">
        <v>7</v>
      </c>
      <c r="B625" s="2">
        <v>44714.0</v>
      </c>
      <c r="C625" s="3">
        <v>0.3014699074074074</v>
      </c>
      <c r="D625" s="1">
        <v>12.570798</v>
      </c>
      <c r="E625" s="1">
        <v>79.915786</v>
      </c>
      <c r="F625" s="1">
        <v>805.0</v>
      </c>
      <c r="G625" s="1">
        <v>58.0</v>
      </c>
    </row>
    <row r="626">
      <c r="A626" s="1" t="s">
        <v>7</v>
      </c>
      <c r="B626" s="2">
        <v>44714.0</v>
      </c>
      <c r="C626" s="3">
        <v>0.3015277777777778</v>
      </c>
      <c r="D626" s="1">
        <v>12.570798</v>
      </c>
      <c r="E626" s="1">
        <v>79.915786</v>
      </c>
      <c r="F626" s="1">
        <v>805.0</v>
      </c>
      <c r="G626" s="1">
        <v>58.0</v>
      </c>
    </row>
    <row r="627">
      <c r="A627" s="1" t="s">
        <v>7</v>
      </c>
      <c r="B627" s="2">
        <v>44714.0</v>
      </c>
      <c r="C627" s="3">
        <v>0.30179398148148145</v>
      </c>
      <c r="D627" s="1">
        <v>12.575369</v>
      </c>
      <c r="E627" s="1">
        <v>79.916828</v>
      </c>
      <c r="F627" s="1">
        <v>805.0</v>
      </c>
      <c r="G627" s="1">
        <v>58.0</v>
      </c>
    </row>
    <row r="628">
      <c r="A628" s="1" t="s">
        <v>10</v>
      </c>
      <c r="B628" s="2">
        <v>44714.0</v>
      </c>
      <c r="C628" s="3">
        <v>0.30193287037037037</v>
      </c>
      <c r="D628" s="1">
        <v>13.070698</v>
      </c>
      <c r="E628" s="1">
        <v>80.265576</v>
      </c>
      <c r="F628" s="1">
        <v>2846.0</v>
      </c>
      <c r="G628" s="1">
        <v>19.0</v>
      </c>
    </row>
    <row r="629">
      <c r="A629" s="1" t="s">
        <v>7</v>
      </c>
      <c r="B629" s="2">
        <v>44714.0</v>
      </c>
      <c r="C629" s="3">
        <v>0.3020486111111111</v>
      </c>
      <c r="D629" s="1">
        <v>12.577672</v>
      </c>
      <c r="E629" s="1">
        <v>79.917277</v>
      </c>
      <c r="F629" s="1">
        <v>805.0</v>
      </c>
      <c r="G629" s="1">
        <v>58.0</v>
      </c>
    </row>
    <row r="630">
      <c r="A630" s="1" t="s">
        <v>7</v>
      </c>
      <c r="B630" s="2">
        <v>44714.0</v>
      </c>
      <c r="C630" s="3">
        <v>0.3022800925925926</v>
      </c>
      <c r="D630" s="1">
        <v>12.579977</v>
      </c>
      <c r="E630" s="1">
        <v>79.918208</v>
      </c>
      <c r="F630" s="1">
        <v>805.0</v>
      </c>
      <c r="G630" s="1">
        <v>58.0</v>
      </c>
    </row>
    <row r="631">
      <c r="A631" s="1" t="s">
        <v>7</v>
      </c>
      <c r="B631" s="2">
        <v>44714.0</v>
      </c>
      <c r="C631" s="3">
        <v>0.3027546296296296</v>
      </c>
      <c r="D631" s="1">
        <v>12.586863</v>
      </c>
      <c r="E631" s="1">
        <v>79.919349</v>
      </c>
      <c r="F631" s="1">
        <v>805.0</v>
      </c>
      <c r="G631" s="1">
        <v>58.0</v>
      </c>
    </row>
    <row r="632">
      <c r="A632" s="1" t="s">
        <v>7</v>
      </c>
      <c r="B632" s="2">
        <v>44714.0</v>
      </c>
      <c r="C632" s="3">
        <v>0.303599537037037</v>
      </c>
      <c r="D632" s="1">
        <v>12.598522</v>
      </c>
      <c r="E632" s="1">
        <v>79.919676</v>
      </c>
      <c r="F632" s="1">
        <v>805.0</v>
      </c>
      <c r="G632" s="1">
        <v>58.0</v>
      </c>
    </row>
    <row r="633">
      <c r="A633" s="1" t="s">
        <v>8</v>
      </c>
      <c r="B633" s="2">
        <v>44714.0</v>
      </c>
      <c r="C633" s="3">
        <v>0.30368055555555556</v>
      </c>
      <c r="D633" s="1">
        <v>12.598522</v>
      </c>
      <c r="E633" s="1">
        <v>79.919676</v>
      </c>
      <c r="F633" s="1">
        <v>805.0</v>
      </c>
      <c r="G633" s="1">
        <v>58.0</v>
      </c>
    </row>
    <row r="634">
      <c r="A634" s="1" t="s">
        <v>7</v>
      </c>
      <c r="B634" s="2">
        <v>44714.0</v>
      </c>
      <c r="C634" s="3">
        <v>0.30376157407407406</v>
      </c>
      <c r="D634" s="1">
        <v>12.598522</v>
      </c>
      <c r="E634" s="1">
        <v>79.919676</v>
      </c>
      <c r="F634" s="1">
        <v>805.0</v>
      </c>
      <c r="G634" s="1">
        <v>58.0</v>
      </c>
    </row>
    <row r="635">
      <c r="A635" s="1" t="s">
        <v>7</v>
      </c>
      <c r="B635" s="2">
        <v>44714.0</v>
      </c>
      <c r="C635" s="3">
        <v>0.30399305555555556</v>
      </c>
      <c r="D635" s="1">
        <v>12.603181</v>
      </c>
      <c r="E635" s="1">
        <v>79.92018</v>
      </c>
      <c r="F635" s="1">
        <v>805.0</v>
      </c>
      <c r="G635" s="1">
        <v>58.0</v>
      </c>
    </row>
    <row r="636">
      <c r="A636" s="1" t="s">
        <v>7</v>
      </c>
      <c r="B636" s="2">
        <v>44714.0</v>
      </c>
      <c r="C636" s="3">
        <v>0.3043402777777778</v>
      </c>
      <c r="D636" s="1">
        <v>12.607875</v>
      </c>
      <c r="E636" s="1">
        <v>79.92134</v>
      </c>
      <c r="F636" s="1">
        <v>805.0</v>
      </c>
      <c r="G636" s="1">
        <v>58.0</v>
      </c>
    </row>
    <row r="637">
      <c r="A637" s="1" t="s">
        <v>7</v>
      </c>
      <c r="B637" s="2">
        <v>44714.0</v>
      </c>
      <c r="C637" s="3">
        <v>0.30451388888888886</v>
      </c>
      <c r="D637" s="1">
        <v>12.607875</v>
      </c>
      <c r="E637" s="1">
        <v>79.92134</v>
      </c>
      <c r="F637" s="1">
        <v>805.0</v>
      </c>
      <c r="G637" s="1">
        <v>58.0</v>
      </c>
    </row>
    <row r="638">
      <c r="A638" s="1" t="s">
        <v>10</v>
      </c>
      <c r="B638" s="2">
        <v>44714.0</v>
      </c>
      <c r="C638" s="3">
        <v>0.3045601851851852</v>
      </c>
      <c r="D638" s="1">
        <v>13.062696</v>
      </c>
      <c r="E638" s="1">
        <v>80.274187</v>
      </c>
      <c r="F638" s="1">
        <v>2846.0</v>
      </c>
      <c r="G638" s="1">
        <v>27.0</v>
      </c>
    </row>
    <row r="639">
      <c r="A639" s="1" t="s">
        <v>7</v>
      </c>
      <c r="B639" s="2">
        <v>44714.0</v>
      </c>
      <c r="C639" s="3">
        <v>0.3047916666666667</v>
      </c>
      <c r="D639" s="1">
        <v>12.611958</v>
      </c>
      <c r="E639" s="1">
        <v>79.923702</v>
      </c>
      <c r="F639" s="1">
        <v>805.0</v>
      </c>
      <c r="G639" s="1">
        <v>58.0</v>
      </c>
    </row>
    <row r="640">
      <c r="A640" s="1" t="s">
        <v>7</v>
      </c>
      <c r="B640" s="2">
        <v>44714.0</v>
      </c>
      <c r="C640" s="3">
        <v>0.30488425925925927</v>
      </c>
      <c r="D640" s="1">
        <v>12.611958</v>
      </c>
      <c r="E640" s="1">
        <v>79.923702</v>
      </c>
      <c r="F640" s="1">
        <v>805.0</v>
      </c>
      <c r="G640" s="1">
        <v>58.0</v>
      </c>
    </row>
    <row r="641">
      <c r="A641" s="1" t="s">
        <v>7</v>
      </c>
      <c r="B641" s="2">
        <v>44714.0</v>
      </c>
      <c r="C641" s="3">
        <v>0.3050347222222222</v>
      </c>
      <c r="D641" s="1">
        <v>12.613992</v>
      </c>
      <c r="E641" s="1">
        <v>79.92488</v>
      </c>
      <c r="F641" s="1">
        <v>805.0</v>
      </c>
      <c r="G641" s="1">
        <v>57.0</v>
      </c>
    </row>
    <row r="642">
      <c r="A642" s="1" t="s">
        <v>7</v>
      </c>
      <c r="B642" s="2">
        <v>44714.0</v>
      </c>
      <c r="C642" s="3">
        <v>0.30542824074074076</v>
      </c>
      <c r="D642" s="1">
        <v>12.618322</v>
      </c>
      <c r="E642" s="1">
        <v>79.926599</v>
      </c>
      <c r="F642" s="1">
        <v>805.0</v>
      </c>
      <c r="G642" s="1">
        <v>58.0</v>
      </c>
    </row>
    <row r="643">
      <c r="A643" s="1" t="s">
        <v>7</v>
      </c>
      <c r="B643" s="2">
        <v>44714.0</v>
      </c>
      <c r="C643" s="3">
        <v>0.30666666666666664</v>
      </c>
      <c r="D643" s="1">
        <v>12.630245</v>
      </c>
      <c r="E643" s="1">
        <v>79.931108</v>
      </c>
      <c r="F643" s="1">
        <v>805.0</v>
      </c>
      <c r="G643" s="1">
        <v>0.0</v>
      </c>
    </row>
    <row r="644">
      <c r="A644" s="1" t="s">
        <v>8</v>
      </c>
      <c r="B644" s="2">
        <v>44714.0</v>
      </c>
      <c r="C644" s="3">
        <v>0.30675925925925923</v>
      </c>
      <c r="D644" s="1">
        <v>12.630748</v>
      </c>
      <c r="E644" s="1">
        <v>79.93135</v>
      </c>
      <c r="F644" s="1">
        <v>805.0</v>
      </c>
      <c r="G644" s="1">
        <v>34.0</v>
      </c>
    </row>
    <row r="645">
      <c r="A645" s="1" t="s">
        <v>7</v>
      </c>
      <c r="B645" s="2">
        <v>44714.0</v>
      </c>
      <c r="C645" s="3">
        <v>0.3073032407407407</v>
      </c>
      <c r="D645" s="1">
        <v>12.634803</v>
      </c>
      <c r="E645" s="1">
        <v>79.933143</v>
      </c>
      <c r="F645" s="1">
        <v>805.0</v>
      </c>
      <c r="G645" s="1">
        <v>52.0</v>
      </c>
    </row>
    <row r="646">
      <c r="A646" s="1" t="s">
        <v>7</v>
      </c>
      <c r="B646" s="2">
        <v>44714.0</v>
      </c>
      <c r="C646" s="3">
        <v>0.3076157407407407</v>
      </c>
      <c r="D646" s="1">
        <v>12.638681</v>
      </c>
      <c r="E646" s="1">
        <v>79.935422</v>
      </c>
      <c r="F646" s="1">
        <v>805.0</v>
      </c>
      <c r="G646" s="1">
        <v>59.0</v>
      </c>
    </row>
    <row r="647">
      <c r="A647" s="1" t="s">
        <v>7</v>
      </c>
      <c r="B647" s="2">
        <v>44714.0</v>
      </c>
      <c r="C647" s="3">
        <v>0.30791666666666667</v>
      </c>
      <c r="D647" s="1">
        <v>12.642706</v>
      </c>
      <c r="E647" s="1">
        <v>79.937874</v>
      </c>
      <c r="F647" s="1">
        <v>805.0</v>
      </c>
      <c r="G647" s="1">
        <v>58.0</v>
      </c>
    </row>
    <row r="648">
      <c r="A648" s="1" t="s">
        <v>7</v>
      </c>
      <c r="B648" s="2">
        <v>44714.0</v>
      </c>
      <c r="C648" s="3">
        <v>0.3083564814814815</v>
      </c>
      <c r="D648" s="1">
        <v>12.646783</v>
      </c>
      <c r="E648" s="1">
        <v>79.940209</v>
      </c>
      <c r="F648" s="1">
        <v>805.0</v>
      </c>
      <c r="G648" s="1">
        <v>57.0</v>
      </c>
    </row>
    <row r="649">
      <c r="A649" s="1" t="s">
        <v>7</v>
      </c>
      <c r="B649" s="2">
        <v>44714.0</v>
      </c>
      <c r="C649" s="3">
        <v>0.30885416666666665</v>
      </c>
      <c r="D649" s="1">
        <v>12.653874</v>
      </c>
      <c r="E649" s="1">
        <v>79.940048</v>
      </c>
      <c r="F649" s="1">
        <v>805.0</v>
      </c>
      <c r="G649" s="1">
        <v>57.0</v>
      </c>
    </row>
    <row r="650">
      <c r="A650" s="1" t="s">
        <v>10</v>
      </c>
      <c r="B650" s="2">
        <v>44714.0</v>
      </c>
      <c r="C650" s="3">
        <v>0.30899305555555556</v>
      </c>
      <c r="D650" s="1">
        <v>13.053971</v>
      </c>
      <c r="E650" s="1">
        <v>80.273805</v>
      </c>
      <c r="F650" s="1">
        <v>2846.0</v>
      </c>
      <c r="G650" s="1">
        <v>8.0</v>
      </c>
    </row>
    <row r="651">
      <c r="A651" s="1" t="s">
        <v>10</v>
      </c>
      <c r="B651" s="2">
        <v>44714.0</v>
      </c>
      <c r="C651" s="3">
        <v>0.3094791666666667</v>
      </c>
      <c r="D651" s="1">
        <v>13.052988</v>
      </c>
      <c r="E651" s="1">
        <v>80.272508</v>
      </c>
      <c r="F651" s="1">
        <v>2846.0</v>
      </c>
      <c r="G651" s="1">
        <v>8.0</v>
      </c>
    </row>
    <row r="652">
      <c r="A652" s="1" t="s">
        <v>7</v>
      </c>
      <c r="B652" s="2">
        <v>44714.0</v>
      </c>
      <c r="C652" s="3">
        <v>0.3098263888888889</v>
      </c>
      <c r="D652" s="1">
        <v>12.657044</v>
      </c>
      <c r="E652" s="1">
        <v>79.948606</v>
      </c>
      <c r="F652" s="1">
        <v>805.0</v>
      </c>
      <c r="G652" s="1">
        <v>57.0</v>
      </c>
    </row>
    <row r="653">
      <c r="A653" s="1" t="s">
        <v>10</v>
      </c>
      <c r="B653" s="2">
        <v>44714.0</v>
      </c>
      <c r="C653" s="3">
        <v>0.3100462962962963</v>
      </c>
      <c r="D653" s="1">
        <v>13.053218</v>
      </c>
      <c r="E653" s="1">
        <v>80.270639</v>
      </c>
      <c r="F653" s="1">
        <v>2846.0</v>
      </c>
      <c r="G653" s="1">
        <v>23.0</v>
      </c>
    </row>
    <row r="654">
      <c r="A654" s="1" t="s">
        <v>10</v>
      </c>
      <c r="B654" s="2">
        <v>44714.0</v>
      </c>
      <c r="C654" s="3">
        <v>0.31016203703703704</v>
      </c>
      <c r="D654" s="1">
        <v>13.053255</v>
      </c>
      <c r="E654" s="1">
        <v>80.269981</v>
      </c>
      <c r="F654" s="1">
        <v>2846.0</v>
      </c>
      <c r="G654" s="1">
        <v>27.0</v>
      </c>
    </row>
    <row r="655">
      <c r="A655" s="1" t="s">
        <v>10</v>
      </c>
      <c r="B655" s="2">
        <v>44714.0</v>
      </c>
      <c r="C655" s="3">
        <v>0.3102199074074074</v>
      </c>
      <c r="D655" s="1">
        <v>13.053325</v>
      </c>
      <c r="E655" s="1">
        <v>80.269389</v>
      </c>
      <c r="F655" s="1">
        <v>2846.0</v>
      </c>
      <c r="G655" s="1">
        <v>22.0</v>
      </c>
    </row>
    <row r="656">
      <c r="A656" s="1" t="s">
        <v>10</v>
      </c>
      <c r="B656" s="2">
        <v>44714.0</v>
      </c>
      <c r="C656" s="3">
        <v>0.31060185185185185</v>
      </c>
      <c r="D656" s="1">
        <v>13.053386</v>
      </c>
      <c r="E656" s="1">
        <v>80.268825</v>
      </c>
      <c r="F656" s="1">
        <v>2846.0</v>
      </c>
      <c r="G656" s="1">
        <v>5.0</v>
      </c>
    </row>
    <row r="657">
      <c r="A657" s="1" t="s">
        <v>7</v>
      </c>
      <c r="B657" s="2">
        <v>44714.0</v>
      </c>
      <c r="C657" s="3">
        <v>0.3121990740740741</v>
      </c>
      <c r="D657" s="1">
        <v>12.663621</v>
      </c>
      <c r="E657" s="1">
        <v>79.968193</v>
      </c>
      <c r="F657" s="1">
        <v>805.0</v>
      </c>
      <c r="G657" s="1">
        <v>50.0</v>
      </c>
    </row>
    <row r="658">
      <c r="A658" s="1" t="s">
        <v>8</v>
      </c>
      <c r="B658" s="2">
        <v>44714.0</v>
      </c>
      <c r="C658" s="3">
        <v>0.3127083333333333</v>
      </c>
      <c r="D658" s="1">
        <v>12.669737</v>
      </c>
      <c r="E658" s="1">
        <v>79.974801</v>
      </c>
      <c r="F658" s="1">
        <v>805.0</v>
      </c>
      <c r="G658" s="1">
        <v>52.0</v>
      </c>
    </row>
    <row r="659">
      <c r="A659" s="1" t="s">
        <v>8</v>
      </c>
      <c r="B659" s="2">
        <v>44714.0</v>
      </c>
      <c r="C659" s="3">
        <v>0.31320601851851854</v>
      </c>
      <c r="D659" s="1">
        <v>12.671467</v>
      </c>
      <c r="E659" s="1">
        <v>79.976023</v>
      </c>
      <c r="F659" s="1">
        <v>805.0</v>
      </c>
      <c r="G659" s="1">
        <v>35.0</v>
      </c>
    </row>
    <row r="660">
      <c r="A660" s="1" t="s">
        <v>8</v>
      </c>
      <c r="B660" s="2">
        <v>44714.0</v>
      </c>
      <c r="C660" s="3">
        <v>0.3137037037037037</v>
      </c>
      <c r="D660" s="1">
        <v>13.047175</v>
      </c>
      <c r="E660" s="1">
        <v>80.248611</v>
      </c>
      <c r="F660" s="1">
        <v>2846.0</v>
      </c>
      <c r="G660" s="1">
        <v>43.0</v>
      </c>
    </row>
    <row r="661">
      <c r="A661" s="1" t="s">
        <v>8</v>
      </c>
      <c r="B661" s="2">
        <v>44714.0</v>
      </c>
      <c r="C661" s="3">
        <v>0.3137962962962963</v>
      </c>
      <c r="D661" s="1">
        <v>12.674845</v>
      </c>
      <c r="E661" s="1">
        <v>79.977236</v>
      </c>
      <c r="F661" s="1">
        <v>805.0</v>
      </c>
      <c r="G661" s="1">
        <v>33.0</v>
      </c>
    </row>
    <row r="662">
      <c r="A662" s="1" t="s">
        <v>8</v>
      </c>
      <c r="B662" s="2">
        <v>44714.0</v>
      </c>
      <c r="C662" s="3">
        <v>0.31438657407407405</v>
      </c>
      <c r="D662" s="1">
        <v>13.045476</v>
      </c>
      <c r="E662" s="1">
        <v>80.248232</v>
      </c>
      <c r="F662" s="1">
        <v>2846.0</v>
      </c>
      <c r="G662" s="1">
        <v>24.0</v>
      </c>
    </row>
    <row r="663">
      <c r="A663" s="1" t="s">
        <v>8</v>
      </c>
      <c r="B663" s="2">
        <v>44714.0</v>
      </c>
      <c r="C663" s="3">
        <v>0.31460648148148146</v>
      </c>
      <c r="D663" s="1">
        <v>13.043787</v>
      </c>
      <c r="E663" s="1">
        <v>80.247896</v>
      </c>
      <c r="F663" s="1">
        <v>2846.0</v>
      </c>
      <c r="G663" s="1">
        <v>39.0</v>
      </c>
    </row>
    <row r="664">
      <c r="A664" s="1" t="s">
        <v>8</v>
      </c>
      <c r="B664" s="2">
        <v>44714.0</v>
      </c>
      <c r="C664" s="3">
        <v>0.3148148148148148</v>
      </c>
      <c r="D664" s="1">
        <v>13.041753</v>
      </c>
      <c r="E664" s="1">
        <v>80.247491</v>
      </c>
      <c r="F664" s="1">
        <v>2846.0</v>
      </c>
      <c r="G664" s="1">
        <v>39.0</v>
      </c>
    </row>
    <row r="665">
      <c r="A665" s="1" t="s">
        <v>8</v>
      </c>
      <c r="B665" s="2">
        <v>44714.0</v>
      </c>
      <c r="C665" s="3">
        <v>0.3157523148148148</v>
      </c>
      <c r="D665" s="1">
        <v>13.038555</v>
      </c>
      <c r="E665" s="1">
        <v>80.246894</v>
      </c>
      <c r="F665" s="1">
        <v>2846.0</v>
      </c>
      <c r="G665" s="1">
        <v>27.0</v>
      </c>
    </row>
    <row r="666">
      <c r="A666" s="1" t="s">
        <v>8</v>
      </c>
      <c r="B666" s="2">
        <v>44714.0</v>
      </c>
      <c r="C666" s="3">
        <v>0.31733796296296296</v>
      </c>
      <c r="D666" s="1">
        <v>13.033777</v>
      </c>
      <c r="E666" s="1">
        <v>80.244326</v>
      </c>
      <c r="F666" s="1">
        <v>2846.0</v>
      </c>
      <c r="G666" s="1">
        <v>42.0</v>
      </c>
    </row>
    <row r="667">
      <c r="A667" s="1" t="s">
        <v>8</v>
      </c>
      <c r="B667" s="2">
        <v>44714.0</v>
      </c>
      <c r="C667" s="3">
        <v>0.3185648148148148</v>
      </c>
      <c r="D667" s="1">
        <v>13.030104</v>
      </c>
      <c r="E667" s="1">
        <v>80.238219</v>
      </c>
      <c r="F667" s="1">
        <v>2846.0</v>
      </c>
      <c r="G667" s="1">
        <v>35.0</v>
      </c>
    </row>
    <row r="668">
      <c r="A668" s="1" t="s">
        <v>8</v>
      </c>
      <c r="B668" s="2">
        <v>44714.0</v>
      </c>
      <c r="C668" s="3">
        <v>0.3189236111111111</v>
      </c>
      <c r="D668" s="1">
        <v>13.027927</v>
      </c>
      <c r="E668" s="1">
        <v>80.235419</v>
      </c>
      <c r="F668" s="1">
        <v>2846.0</v>
      </c>
      <c r="G668" s="1">
        <v>56.0</v>
      </c>
    </row>
    <row r="669">
      <c r="A669" s="1" t="s">
        <v>10</v>
      </c>
      <c r="B669" s="2">
        <v>44714.0</v>
      </c>
      <c r="C669" s="3">
        <v>0.32127314814814817</v>
      </c>
      <c r="D669" s="1">
        <v>12.697172</v>
      </c>
      <c r="E669" s="1">
        <v>79.97275</v>
      </c>
      <c r="F669" s="1">
        <v>805.0</v>
      </c>
      <c r="G669" s="1">
        <v>11.0</v>
      </c>
    </row>
    <row r="670">
      <c r="A670" s="1" t="s">
        <v>8</v>
      </c>
      <c r="B670" s="2">
        <v>44714.0</v>
      </c>
      <c r="C670" s="3">
        <v>0.32166666666666666</v>
      </c>
      <c r="D670" s="1">
        <v>13.014956</v>
      </c>
      <c r="E670" s="1">
        <v>80.226016</v>
      </c>
      <c r="F670" s="1">
        <v>2846.0</v>
      </c>
      <c r="G670" s="1">
        <v>31.0</v>
      </c>
    </row>
    <row r="671">
      <c r="A671" s="1" t="s">
        <v>7</v>
      </c>
      <c r="B671" s="2">
        <v>44714.0</v>
      </c>
      <c r="C671" s="3">
        <v>0.3223726851851852</v>
      </c>
      <c r="D671" s="1">
        <v>12.699966</v>
      </c>
      <c r="E671" s="1">
        <v>79.968362</v>
      </c>
      <c r="F671" s="1">
        <v>805.0</v>
      </c>
      <c r="G671" s="1">
        <v>7.0</v>
      </c>
    </row>
    <row r="672">
      <c r="A672" s="1" t="s">
        <v>8</v>
      </c>
      <c r="B672" s="2">
        <v>44714.0</v>
      </c>
      <c r="C672" s="3">
        <v>0.3227314814814815</v>
      </c>
      <c r="D672" s="1">
        <v>12.702588</v>
      </c>
      <c r="E672" s="1">
        <v>79.970568</v>
      </c>
      <c r="F672" s="1">
        <v>805.0</v>
      </c>
      <c r="G672" s="1">
        <v>56.0</v>
      </c>
    </row>
    <row r="673">
      <c r="A673" s="1" t="s">
        <v>8</v>
      </c>
      <c r="B673" s="2">
        <v>44714.0</v>
      </c>
      <c r="C673" s="3">
        <v>0.3229166666666667</v>
      </c>
      <c r="D673" s="1">
        <v>12.703888</v>
      </c>
      <c r="E673" s="1">
        <v>79.97229</v>
      </c>
      <c r="F673" s="1">
        <v>805.0</v>
      </c>
      <c r="G673" s="1">
        <v>56.0</v>
      </c>
    </row>
    <row r="674">
      <c r="A674" s="1" t="s">
        <v>7</v>
      </c>
      <c r="B674" s="2">
        <v>44714.0</v>
      </c>
      <c r="C674" s="3">
        <v>0.32319444444444445</v>
      </c>
      <c r="D674" s="1">
        <v>12.70517</v>
      </c>
      <c r="E674" s="1">
        <v>79.973909</v>
      </c>
      <c r="F674" s="1">
        <v>805.0</v>
      </c>
      <c r="G674" s="1">
        <v>50.0</v>
      </c>
    </row>
    <row r="675">
      <c r="A675" s="1" t="s">
        <v>8</v>
      </c>
      <c r="B675" s="2">
        <v>44714.0</v>
      </c>
      <c r="C675" s="3">
        <v>0.3235300925925926</v>
      </c>
      <c r="D675" s="1">
        <v>13.01157</v>
      </c>
      <c r="E675" s="1">
        <v>80.222912</v>
      </c>
      <c r="F675" s="1">
        <v>2846.0</v>
      </c>
      <c r="G675" s="1">
        <v>26.0</v>
      </c>
    </row>
    <row r="676">
      <c r="A676" s="1" t="s">
        <v>7</v>
      </c>
      <c r="B676" s="2">
        <v>44714.0</v>
      </c>
      <c r="C676" s="3">
        <v>0.32359953703703703</v>
      </c>
      <c r="D676" s="1">
        <v>12.707849</v>
      </c>
      <c r="E676" s="1">
        <v>79.976629</v>
      </c>
      <c r="F676" s="1">
        <v>805.0</v>
      </c>
      <c r="G676" s="1">
        <v>44.0</v>
      </c>
    </row>
    <row r="677">
      <c r="A677" s="1" t="s">
        <v>8</v>
      </c>
      <c r="B677" s="2">
        <v>44714.0</v>
      </c>
      <c r="C677" s="3">
        <v>0.32375</v>
      </c>
      <c r="D677" s="1">
        <v>13.012153</v>
      </c>
      <c r="E677" s="1">
        <v>80.221208</v>
      </c>
      <c r="F677" s="1">
        <v>2846.0</v>
      </c>
      <c r="G677" s="1">
        <v>26.0</v>
      </c>
    </row>
    <row r="678">
      <c r="A678" s="1" t="s">
        <v>7</v>
      </c>
      <c r="B678" s="2">
        <v>44714.0</v>
      </c>
      <c r="C678" s="3">
        <v>0.32405092592592594</v>
      </c>
      <c r="D678" s="1">
        <v>12.71111</v>
      </c>
      <c r="E678" s="1">
        <v>79.978529</v>
      </c>
      <c r="F678" s="1">
        <v>805.0</v>
      </c>
      <c r="G678" s="1">
        <v>46.0</v>
      </c>
    </row>
    <row r="679">
      <c r="A679" s="1" t="s">
        <v>7</v>
      </c>
      <c r="B679" s="2">
        <v>44714.0</v>
      </c>
      <c r="C679" s="3">
        <v>0.3242013888888889</v>
      </c>
      <c r="D679" s="1">
        <v>12.715425</v>
      </c>
      <c r="E679" s="1">
        <v>79.980435</v>
      </c>
      <c r="F679" s="1">
        <v>805.0</v>
      </c>
      <c r="G679" s="1">
        <v>58.0</v>
      </c>
    </row>
    <row r="680">
      <c r="A680" s="1" t="s">
        <v>7</v>
      </c>
      <c r="B680" s="2">
        <v>44714.0</v>
      </c>
      <c r="C680" s="3">
        <v>0.3242824074074074</v>
      </c>
      <c r="D680" s="1">
        <v>12.715425</v>
      </c>
      <c r="E680" s="1">
        <v>79.980435</v>
      </c>
      <c r="F680" s="1">
        <v>805.0</v>
      </c>
      <c r="G680" s="1">
        <v>58.0</v>
      </c>
    </row>
    <row r="681">
      <c r="A681" s="1" t="s">
        <v>7</v>
      </c>
      <c r="B681" s="2">
        <v>44714.0</v>
      </c>
      <c r="C681" s="3">
        <v>0.32439814814814816</v>
      </c>
      <c r="D681" s="1">
        <v>12.715425</v>
      </c>
      <c r="E681" s="1">
        <v>79.980435</v>
      </c>
      <c r="F681" s="1">
        <v>805.0</v>
      </c>
      <c r="G681" s="1">
        <v>58.0</v>
      </c>
    </row>
    <row r="682">
      <c r="A682" s="1" t="s">
        <v>7</v>
      </c>
      <c r="B682" s="2">
        <v>44714.0</v>
      </c>
      <c r="C682" s="3">
        <v>0.3249652777777778</v>
      </c>
      <c r="D682" s="1">
        <v>13.00837</v>
      </c>
      <c r="E682" s="1">
        <v>80.210195</v>
      </c>
      <c r="F682" s="1">
        <v>2846.0</v>
      </c>
      <c r="G682" s="1">
        <v>51.0</v>
      </c>
    </row>
    <row r="683">
      <c r="A683" s="1" t="s">
        <v>7</v>
      </c>
      <c r="B683" s="2">
        <v>44714.0</v>
      </c>
      <c r="C683" s="3">
        <v>0.32516203703703705</v>
      </c>
      <c r="D683" s="1">
        <v>12.724312</v>
      </c>
      <c r="E683" s="1">
        <v>79.981746</v>
      </c>
      <c r="F683" s="1">
        <v>805.0</v>
      </c>
      <c r="G683" s="1">
        <v>12.0</v>
      </c>
    </row>
    <row r="684">
      <c r="A684" s="1" t="s">
        <v>7</v>
      </c>
      <c r="B684" s="2">
        <v>44714.0</v>
      </c>
      <c r="C684" s="3">
        <v>0.3256365740740741</v>
      </c>
      <c r="D684" s="1">
        <v>12.72564</v>
      </c>
      <c r="E684" s="1">
        <v>79.982232</v>
      </c>
      <c r="F684" s="1">
        <v>805.0</v>
      </c>
      <c r="G684" s="1">
        <v>47.0</v>
      </c>
    </row>
    <row r="685">
      <c r="A685" s="1" t="s">
        <v>10</v>
      </c>
      <c r="B685" s="2">
        <v>44714.0</v>
      </c>
      <c r="C685" s="3">
        <v>0.32569444444444445</v>
      </c>
      <c r="D685" s="1">
        <v>13.00614</v>
      </c>
      <c r="E685" s="1">
        <v>80.203131</v>
      </c>
      <c r="F685" s="1">
        <v>2846.0</v>
      </c>
      <c r="G685" s="1">
        <v>28.0</v>
      </c>
    </row>
    <row r="686">
      <c r="A686" s="1" t="s">
        <v>8</v>
      </c>
      <c r="B686" s="2">
        <v>44714.0</v>
      </c>
      <c r="C686" s="3">
        <v>0.3260648148148148</v>
      </c>
      <c r="D686" s="1">
        <v>13.004304</v>
      </c>
      <c r="E686" s="1">
        <v>80.201143</v>
      </c>
      <c r="F686" s="1">
        <v>2846.0</v>
      </c>
      <c r="G686" s="1">
        <v>43.0</v>
      </c>
    </row>
    <row r="687">
      <c r="A687" s="1" t="s">
        <v>7</v>
      </c>
      <c r="B687" s="2">
        <v>44714.0</v>
      </c>
      <c r="C687" s="3">
        <v>0.32608796296296294</v>
      </c>
      <c r="D687" s="1">
        <v>12.73279</v>
      </c>
      <c r="E687" s="1">
        <v>79.983126</v>
      </c>
      <c r="F687" s="1">
        <v>805.0</v>
      </c>
      <c r="G687" s="1">
        <v>58.0</v>
      </c>
    </row>
    <row r="688">
      <c r="A688" s="1" t="s">
        <v>8</v>
      </c>
      <c r="B688" s="2">
        <v>44714.0</v>
      </c>
      <c r="C688" s="3">
        <v>0.3264930555555556</v>
      </c>
      <c r="D688" s="1">
        <v>13.001893</v>
      </c>
      <c r="E688" s="1">
        <v>80.199991</v>
      </c>
      <c r="F688" s="1">
        <v>2846.0</v>
      </c>
      <c r="G688" s="1">
        <v>37.0</v>
      </c>
    </row>
    <row r="689">
      <c r="A689" s="1" t="s">
        <v>8</v>
      </c>
      <c r="B689" s="2">
        <v>44714.0</v>
      </c>
      <c r="C689" s="3">
        <v>0.32719907407407406</v>
      </c>
      <c r="D689" s="1">
        <v>13.000761</v>
      </c>
      <c r="E689" s="1">
        <v>80.195175</v>
      </c>
      <c r="F689" s="1">
        <v>2846.0</v>
      </c>
      <c r="G689" s="1">
        <v>40.0</v>
      </c>
    </row>
    <row r="690">
      <c r="A690" s="1" t="s">
        <v>8</v>
      </c>
      <c r="B690" s="2">
        <v>44714.0</v>
      </c>
      <c r="C690" s="3">
        <v>0.3278240740740741</v>
      </c>
      <c r="D690" s="1">
        <v>12.997672</v>
      </c>
      <c r="E690" s="1">
        <v>80.191256</v>
      </c>
      <c r="F690" s="1">
        <v>2846.0</v>
      </c>
      <c r="G690" s="1">
        <v>53.0</v>
      </c>
    </row>
    <row r="691">
      <c r="A691" s="1" t="s">
        <v>7</v>
      </c>
      <c r="B691" s="2">
        <v>44714.0</v>
      </c>
      <c r="C691" s="3">
        <v>0.3284259259259259</v>
      </c>
      <c r="D691" s="1">
        <v>12.754782</v>
      </c>
      <c r="E691" s="1">
        <v>80.000998</v>
      </c>
      <c r="F691" s="1">
        <v>805.0</v>
      </c>
      <c r="G691" s="1">
        <v>32.0</v>
      </c>
    </row>
    <row r="692">
      <c r="A692" s="1" t="s">
        <v>7</v>
      </c>
      <c r="B692" s="2">
        <v>44714.0</v>
      </c>
      <c r="C692" s="3">
        <v>0.32859953703703704</v>
      </c>
      <c r="D692" s="1">
        <v>12.755707</v>
      </c>
      <c r="E692" s="1">
        <v>80.001587</v>
      </c>
      <c r="F692" s="1">
        <v>805.0</v>
      </c>
      <c r="G692" s="1">
        <v>39.0</v>
      </c>
    </row>
    <row r="693">
      <c r="A693" s="1" t="s">
        <v>8</v>
      </c>
      <c r="B693" s="2">
        <v>44714.0</v>
      </c>
      <c r="C693" s="3">
        <v>0.3290046296296296</v>
      </c>
      <c r="D693" s="1">
        <v>12.99265</v>
      </c>
      <c r="E693" s="1">
        <v>80.183102</v>
      </c>
      <c r="F693" s="1">
        <v>2846.0</v>
      </c>
      <c r="G693" s="1">
        <v>45.0</v>
      </c>
    </row>
    <row r="694">
      <c r="A694" s="1" t="s">
        <v>8</v>
      </c>
      <c r="B694" s="2">
        <v>44714.0</v>
      </c>
      <c r="C694" s="3">
        <v>0.3295138888888889</v>
      </c>
      <c r="D694" s="1">
        <v>12.988661</v>
      </c>
      <c r="E694" s="1">
        <v>80.177906</v>
      </c>
      <c r="F694" s="1">
        <v>2846.0</v>
      </c>
      <c r="G694" s="1">
        <v>41.0</v>
      </c>
    </row>
    <row r="695">
      <c r="A695" s="1" t="s">
        <v>9</v>
      </c>
      <c r="B695" s="2">
        <v>44714.0</v>
      </c>
      <c r="C695" s="3">
        <v>0.3303125</v>
      </c>
      <c r="D695" s="1">
        <v>12.985476</v>
      </c>
      <c r="E695" s="1">
        <v>80.173366</v>
      </c>
      <c r="F695" s="1">
        <v>2846.0</v>
      </c>
      <c r="G695" s="1">
        <v>41.0</v>
      </c>
    </row>
    <row r="696">
      <c r="A696" s="1" t="s">
        <v>8</v>
      </c>
      <c r="B696" s="2">
        <v>44714.0</v>
      </c>
      <c r="C696" s="3">
        <v>0.3308101851851852</v>
      </c>
      <c r="D696" s="1">
        <v>12.982844</v>
      </c>
      <c r="E696" s="1">
        <v>80.16913</v>
      </c>
      <c r="F696" s="1">
        <v>2846.0</v>
      </c>
      <c r="G696" s="1">
        <v>46.0</v>
      </c>
    </row>
    <row r="697">
      <c r="A697" s="1" t="s">
        <v>8</v>
      </c>
      <c r="B697" s="2">
        <v>44714.0</v>
      </c>
      <c r="C697" s="3">
        <v>0.33086805555555554</v>
      </c>
      <c r="D697" s="1">
        <v>12.982844</v>
      </c>
      <c r="E697" s="1">
        <v>80.16913</v>
      </c>
      <c r="F697" s="1">
        <v>2846.0</v>
      </c>
      <c r="G697" s="1">
        <v>46.0</v>
      </c>
    </row>
    <row r="698">
      <c r="A698" s="1" t="s">
        <v>8</v>
      </c>
      <c r="B698" s="2">
        <v>44714.0</v>
      </c>
      <c r="C698" s="3">
        <v>0.33199074074074075</v>
      </c>
      <c r="D698" s="1">
        <v>12.764601</v>
      </c>
      <c r="E698" s="1">
        <v>80.004642</v>
      </c>
      <c r="F698" s="1">
        <v>805.0</v>
      </c>
      <c r="G698" s="1">
        <v>40.0</v>
      </c>
    </row>
    <row r="699">
      <c r="A699" s="1" t="s">
        <v>8</v>
      </c>
      <c r="B699" s="2">
        <v>44714.0</v>
      </c>
      <c r="C699" s="3">
        <v>0.33211805555555557</v>
      </c>
      <c r="D699" s="1">
        <v>12.979899</v>
      </c>
      <c r="E699" s="1">
        <v>80.163054</v>
      </c>
      <c r="F699" s="1">
        <v>2846.0</v>
      </c>
      <c r="G699" s="1">
        <v>18.0</v>
      </c>
    </row>
    <row r="700">
      <c r="A700" s="1" t="s">
        <v>7</v>
      </c>
      <c r="B700" s="2">
        <v>44714.0</v>
      </c>
      <c r="C700" s="3">
        <v>0.33269675925925923</v>
      </c>
      <c r="D700" s="1">
        <v>12.975878</v>
      </c>
      <c r="E700" s="1">
        <v>80.156882</v>
      </c>
      <c r="F700" s="1">
        <v>2846.0</v>
      </c>
      <c r="G700" s="1">
        <v>54.0</v>
      </c>
    </row>
    <row r="701">
      <c r="A701" s="1" t="s">
        <v>7</v>
      </c>
      <c r="B701" s="2">
        <v>44714.0</v>
      </c>
      <c r="C701" s="3">
        <v>0.3332175925925926</v>
      </c>
      <c r="D701" s="1">
        <v>12.775688</v>
      </c>
      <c r="E701" s="1">
        <v>80.009706</v>
      </c>
      <c r="F701" s="1">
        <v>805.0</v>
      </c>
      <c r="G701" s="1">
        <v>58.0</v>
      </c>
    </row>
    <row r="702">
      <c r="A702" s="1" t="s">
        <v>7</v>
      </c>
      <c r="B702" s="2">
        <v>44714.0</v>
      </c>
      <c r="C702" s="3">
        <v>0.33327546296296295</v>
      </c>
      <c r="D702" s="1">
        <v>12.775688</v>
      </c>
      <c r="E702" s="1">
        <v>80.009706</v>
      </c>
      <c r="F702" s="1">
        <v>805.0</v>
      </c>
      <c r="G702" s="1">
        <v>58.0</v>
      </c>
    </row>
    <row r="703">
      <c r="A703" s="1" t="s">
        <v>8</v>
      </c>
      <c r="B703" s="2">
        <v>44714.0</v>
      </c>
      <c r="C703" s="3">
        <v>0.33417824074074076</v>
      </c>
      <c r="D703" s="1">
        <v>12.967817</v>
      </c>
      <c r="E703" s="1">
        <v>80.149427</v>
      </c>
      <c r="F703" s="1">
        <v>2846.0</v>
      </c>
      <c r="G703" s="1">
        <v>31.0</v>
      </c>
    </row>
    <row r="704">
      <c r="A704" s="1" t="s">
        <v>7</v>
      </c>
      <c r="B704" s="2">
        <v>44714.0</v>
      </c>
      <c r="C704" s="3">
        <v>0.3355208333333333</v>
      </c>
      <c r="D704" s="1">
        <v>12.801033</v>
      </c>
      <c r="E704" s="1">
        <v>80.023972</v>
      </c>
      <c r="F704" s="1">
        <v>805.0</v>
      </c>
      <c r="G704" s="1">
        <v>59.0</v>
      </c>
    </row>
    <row r="705">
      <c r="A705" s="1" t="s">
        <v>7</v>
      </c>
      <c r="B705" s="2">
        <v>44714.0</v>
      </c>
      <c r="C705" s="3">
        <v>0.33568287037037037</v>
      </c>
      <c r="D705" s="1">
        <v>12.802261</v>
      </c>
      <c r="E705" s="1">
        <v>80.024778</v>
      </c>
      <c r="F705" s="1">
        <v>805.0</v>
      </c>
      <c r="G705" s="1">
        <v>58.0</v>
      </c>
    </row>
    <row r="706">
      <c r="A706" s="1" t="s">
        <v>7</v>
      </c>
      <c r="B706" s="2">
        <v>44714.0</v>
      </c>
      <c r="C706" s="3">
        <v>0.3359027777777778</v>
      </c>
      <c r="D706" s="1">
        <v>12.804707</v>
      </c>
      <c r="E706" s="1">
        <v>80.026385</v>
      </c>
      <c r="F706" s="1">
        <v>805.0</v>
      </c>
      <c r="G706" s="1">
        <v>57.0</v>
      </c>
    </row>
    <row r="707">
      <c r="A707" s="1" t="s">
        <v>8</v>
      </c>
      <c r="B707" s="2">
        <v>44714.0</v>
      </c>
      <c r="C707" s="3">
        <v>0.3359259259259259</v>
      </c>
      <c r="D707" s="1">
        <v>12.960573</v>
      </c>
      <c r="E707" s="1">
        <v>80.145556</v>
      </c>
      <c r="F707" s="1">
        <v>2846.0</v>
      </c>
      <c r="G707" s="1">
        <v>35.0</v>
      </c>
    </row>
    <row r="708">
      <c r="A708" s="1" t="s">
        <v>7</v>
      </c>
      <c r="B708" s="2">
        <v>44714.0</v>
      </c>
      <c r="C708" s="3">
        <v>0.3361226851851852</v>
      </c>
      <c r="D708" s="1">
        <v>12.807169</v>
      </c>
      <c r="E708" s="1">
        <v>80.027999</v>
      </c>
      <c r="F708" s="1">
        <v>805.0</v>
      </c>
      <c r="G708" s="1">
        <v>58.0</v>
      </c>
    </row>
    <row r="709">
      <c r="A709" s="1" t="s">
        <v>7</v>
      </c>
      <c r="B709" s="2">
        <v>44714.0</v>
      </c>
      <c r="C709" s="3">
        <v>0.33642361111111113</v>
      </c>
      <c r="D709" s="1">
        <v>12.809436</v>
      </c>
      <c r="E709" s="1">
        <v>80.029449</v>
      </c>
      <c r="F709" s="1">
        <v>805.0</v>
      </c>
      <c r="G709" s="1">
        <v>51.0</v>
      </c>
    </row>
    <row r="710">
      <c r="A710" s="1" t="s">
        <v>9</v>
      </c>
      <c r="B710" s="2">
        <v>44714.0</v>
      </c>
      <c r="C710" s="3">
        <v>0.3368055555555556</v>
      </c>
      <c r="D710" s="1">
        <v>12.814323</v>
      </c>
      <c r="E710" s="1">
        <v>80.032604</v>
      </c>
      <c r="F710" s="1">
        <v>805.0</v>
      </c>
      <c r="G710" s="1">
        <v>58.0</v>
      </c>
    </row>
    <row r="711">
      <c r="A711" s="1" t="s">
        <v>7</v>
      </c>
      <c r="B711" s="2">
        <v>44714.0</v>
      </c>
      <c r="C711" s="3">
        <v>0.3370949074074074</v>
      </c>
      <c r="D711" s="1">
        <v>12.81587</v>
      </c>
      <c r="E711" s="1">
        <v>80.03365</v>
      </c>
      <c r="F711" s="1">
        <v>805.0</v>
      </c>
      <c r="G711" s="1">
        <v>45.0</v>
      </c>
    </row>
    <row r="712">
      <c r="A712" s="1" t="s">
        <v>8</v>
      </c>
      <c r="B712" s="2">
        <v>44714.0</v>
      </c>
      <c r="C712" s="3">
        <v>0.3371180555555556</v>
      </c>
      <c r="D712" s="1">
        <v>12.955536</v>
      </c>
      <c r="E712" s="1">
        <v>80.142927</v>
      </c>
      <c r="F712" s="1">
        <v>2846.0</v>
      </c>
      <c r="G712" s="1">
        <v>22.0</v>
      </c>
    </row>
    <row r="713">
      <c r="A713" s="1" t="s">
        <v>8</v>
      </c>
      <c r="B713" s="2">
        <v>44714.0</v>
      </c>
      <c r="C713" s="3">
        <v>0.3372337962962963</v>
      </c>
      <c r="D713" s="1">
        <v>12.954872</v>
      </c>
      <c r="E713" s="1">
        <v>80.14255</v>
      </c>
      <c r="F713" s="1">
        <v>2846.0</v>
      </c>
      <c r="G713" s="1">
        <v>30.0</v>
      </c>
    </row>
    <row r="714">
      <c r="A714" s="1" t="s">
        <v>8</v>
      </c>
      <c r="B714" s="2">
        <v>44714.0</v>
      </c>
      <c r="C714" s="3">
        <v>0.3372800925925926</v>
      </c>
      <c r="D714" s="1">
        <v>12.954189</v>
      </c>
      <c r="E714" s="1">
        <v>80.142173</v>
      </c>
      <c r="F714" s="1">
        <v>2846.0</v>
      </c>
      <c r="G714" s="1">
        <v>31.0</v>
      </c>
    </row>
    <row r="715">
      <c r="A715" s="1" t="s">
        <v>8</v>
      </c>
      <c r="B715" s="2">
        <v>44714.0</v>
      </c>
      <c r="C715" s="3">
        <v>0.33730324074074075</v>
      </c>
      <c r="D715" s="1">
        <v>12.954189</v>
      </c>
      <c r="E715" s="1">
        <v>80.142173</v>
      </c>
      <c r="F715" s="1">
        <v>2846.0</v>
      </c>
      <c r="G715" s="1">
        <v>31.0</v>
      </c>
    </row>
    <row r="716">
      <c r="A716" s="1" t="s">
        <v>8</v>
      </c>
      <c r="B716" s="2">
        <v>44714.0</v>
      </c>
      <c r="C716" s="3">
        <v>0.33765046296296297</v>
      </c>
      <c r="D716" s="1">
        <v>12.952595</v>
      </c>
      <c r="E716" s="1">
        <v>80.14122</v>
      </c>
      <c r="F716" s="1">
        <v>2846.0</v>
      </c>
      <c r="G716" s="1">
        <v>28.0</v>
      </c>
    </row>
    <row r="717">
      <c r="A717" s="1" t="s">
        <v>8</v>
      </c>
      <c r="B717" s="2">
        <v>44714.0</v>
      </c>
      <c r="C717" s="3">
        <v>0.33797453703703706</v>
      </c>
      <c r="D717" s="1">
        <v>12.821798</v>
      </c>
      <c r="E717" s="1">
        <v>80.037833</v>
      </c>
      <c r="F717" s="1">
        <v>805.0</v>
      </c>
      <c r="G717" s="1">
        <v>37.0</v>
      </c>
    </row>
    <row r="718">
      <c r="A718" s="1" t="s">
        <v>7</v>
      </c>
      <c r="B718" s="2">
        <v>44714.0</v>
      </c>
      <c r="C718" s="3">
        <v>0.33815972222222224</v>
      </c>
      <c r="D718" s="1">
        <v>12.82317</v>
      </c>
      <c r="E718" s="1">
        <v>80.038836</v>
      </c>
      <c r="F718" s="1">
        <v>805.0</v>
      </c>
      <c r="G718" s="1">
        <v>49.0</v>
      </c>
    </row>
    <row r="719">
      <c r="A719" s="1" t="s">
        <v>7</v>
      </c>
      <c r="B719" s="2">
        <v>44714.0</v>
      </c>
      <c r="C719" s="3">
        <v>0.3383217592592593</v>
      </c>
      <c r="D719" s="1">
        <v>12.947685</v>
      </c>
      <c r="E719" s="1">
        <v>80.137453</v>
      </c>
      <c r="F719" s="1">
        <v>2846.0</v>
      </c>
      <c r="G719" s="1">
        <v>52.0</v>
      </c>
    </row>
    <row r="720">
      <c r="A720" s="1" t="s">
        <v>7</v>
      </c>
      <c r="B720" s="2">
        <v>44714.0</v>
      </c>
      <c r="C720" s="3">
        <v>0.33859953703703705</v>
      </c>
      <c r="D720" s="1">
        <v>12.827931</v>
      </c>
      <c r="E720" s="1">
        <v>80.042737</v>
      </c>
      <c r="F720" s="1">
        <v>805.0</v>
      </c>
      <c r="G720" s="1">
        <v>57.0</v>
      </c>
    </row>
    <row r="721">
      <c r="A721" s="1" t="s">
        <v>8</v>
      </c>
      <c r="B721" s="2">
        <v>44714.0</v>
      </c>
      <c r="C721" s="3">
        <v>0.33870370370370373</v>
      </c>
      <c r="D721" s="1">
        <v>12.944338</v>
      </c>
      <c r="E721" s="1">
        <v>80.134846</v>
      </c>
      <c r="F721" s="1">
        <v>2846.0</v>
      </c>
      <c r="G721" s="1">
        <v>51.0</v>
      </c>
    </row>
    <row r="722">
      <c r="A722" s="1" t="s">
        <v>8</v>
      </c>
      <c r="B722" s="2">
        <v>44714.0</v>
      </c>
      <c r="C722" s="3">
        <v>0.3388773148148148</v>
      </c>
      <c r="D722" s="1">
        <v>12.943392</v>
      </c>
      <c r="E722" s="1">
        <v>80.134063</v>
      </c>
      <c r="F722" s="1">
        <v>2846.0</v>
      </c>
      <c r="G722" s="1">
        <v>41.0</v>
      </c>
    </row>
    <row r="723">
      <c r="A723" s="1" t="s">
        <v>7</v>
      </c>
      <c r="B723" s="2">
        <v>44714.0</v>
      </c>
      <c r="C723" s="3">
        <v>0.3389699074074074</v>
      </c>
      <c r="D723" s="1">
        <v>12.83128</v>
      </c>
      <c r="E723" s="1">
        <v>80.046283</v>
      </c>
      <c r="F723" s="1">
        <v>805.0</v>
      </c>
      <c r="G723" s="1">
        <v>58.0</v>
      </c>
    </row>
    <row r="724">
      <c r="A724" s="1" t="s">
        <v>8</v>
      </c>
      <c r="B724" s="2">
        <v>44714.0</v>
      </c>
      <c r="C724" s="3">
        <v>0.33925925925925926</v>
      </c>
      <c r="D724" s="1">
        <v>12.940865</v>
      </c>
      <c r="E724" s="1">
        <v>80.131439</v>
      </c>
      <c r="F724" s="1">
        <v>2846.0</v>
      </c>
      <c r="G724" s="1">
        <v>38.0</v>
      </c>
    </row>
    <row r="725">
      <c r="A725" s="1" t="s">
        <v>7</v>
      </c>
      <c r="B725" s="2">
        <v>44714.0</v>
      </c>
      <c r="C725" s="3">
        <v>0.3396527777777778</v>
      </c>
      <c r="D725" s="1">
        <v>12.837513</v>
      </c>
      <c r="E725" s="1">
        <v>80.052791</v>
      </c>
      <c r="F725" s="1">
        <v>805.0</v>
      </c>
      <c r="G725" s="1">
        <v>58.0</v>
      </c>
    </row>
    <row r="726">
      <c r="A726" s="1" t="s">
        <v>7</v>
      </c>
      <c r="B726" s="2">
        <v>44714.0</v>
      </c>
      <c r="C726" s="3">
        <v>0.3398263888888889</v>
      </c>
      <c r="D726" s="1">
        <v>12.838426</v>
      </c>
      <c r="E726" s="1">
        <v>80.053748</v>
      </c>
      <c r="F726" s="1">
        <v>805.0</v>
      </c>
      <c r="G726" s="1">
        <v>58.0</v>
      </c>
    </row>
    <row r="727">
      <c r="A727" s="1" t="s">
        <v>8</v>
      </c>
      <c r="B727" s="2">
        <v>44714.0</v>
      </c>
      <c r="C727" s="3">
        <v>0.34033564814814815</v>
      </c>
      <c r="D727" s="1">
        <v>12.8417</v>
      </c>
      <c r="E727" s="1">
        <v>80.057166</v>
      </c>
      <c r="F727" s="1">
        <v>805.0</v>
      </c>
      <c r="G727" s="1">
        <v>46.0</v>
      </c>
    </row>
    <row r="728">
      <c r="A728" s="1" t="s">
        <v>8</v>
      </c>
      <c r="B728" s="2">
        <v>44714.0</v>
      </c>
      <c r="C728" s="3">
        <v>0.34055555555555556</v>
      </c>
      <c r="D728" s="1">
        <v>12.843477</v>
      </c>
      <c r="E728" s="1">
        <v>80.059036</v>
      </c>
      <c r="F728" s="1">
        <v>805.0</v>
      </c>
      <c r="G728" s="1">
        <v>36.0</v>
      </c>
    </row>
    <row r="729">
      <c r="A729" s="1" t="s">
        <v>8</v>
      </c>
      <c r="B729" s="2">
        <v>44714.0</v>
      </c>
      <c r="C729" s="3">
        <v>0.3410300925925926</v>
      </c>
      <c r="D729" s="1">
        <v>12.931454</v>
      </c>
      <c r="E729" s="1">
        <v>80.122749</v>
      </c>
      <c r="F729" s="1">
        <v>2846.0</v>
      </c>
      <c r="G729" s="1">
        <v>29.0</v>
      </c>
    </row>
    <row r="730">
      <c r="A730" s="1" t="s">
        <v>8</v>
      </c>
      <c r="B730" s="2">
        <v>44714.0</v>
      </c>
      <c r="C730" s="3">
        <v>0.34142361111111114</v>
      </c>
      <c r="D730" s="1">
        <v>12.929155</v>
      </c>
      <c r="E730" s="1">
        <v>80.120344</v>
      </c>
      <c r="F730" s="1">
        <v>2846.0</v>
      </c>
      <c r="G730" s="1">
        <v>53.0</v>
      </c>
    </row>
    <row r="731">
      <c r="A731" s="1" t="s">
        <v>7</v>
      </c>
      <c r="B731" s="2">
        <v>44714.0</v>
      </c>
      <c r="C731" s="3">
        <v>0.3421064814814815</v>
      </c>
      <c r="D731" s="1">
        <v>12.924546</v>
      </c>
      <c r="E731" s="1">
        <v>80.115707</v>
      </c>
      <c r="F731" s="1">
        <v>2846.0</v>
      </c>
      <c r="G731" s="1">
        <v>55.0</v>
      </c>
    </row>
    <row r="732">
      <c r="A732" s="1" t="s">
        <v>7</v>
      </c>
      <c r="B732" s="2">
        <v>44714.0</v>
      </c>
      <c r="C732" s="3">
        <v>0.3423148148148148</v>
      </c>
      <c r="D732" s="1">
        <v>12.922518</v>
      </c>
      <c r="E732" s="1">
        <v>80.113681</v>
      </c>
      <c r="F732" s="1">
        <v>2846.0</v>
      </c>
      <c r="G732" s="1">
        <v>58.0</v>
      </c>
    </row>
    <row r="733">
      <c r="A733" s="1" t="s">
        <v>8</v>
      </c>
      <c r="B733" s="2">
        <v>44714.0</v>
      </c>
      <c r="C733" s="3">
        <v>0.3423726851851852</v>
      </c>
      <c r="D733" s="1">
        <v>12.921514</v>
      </c>
      <c r="E733" s="1">
        <v>80.11269</v>
      </c>
      <c r="F733" s="1">
        <v>2846.0</v>
      </c>
      <c r="G733" s="1">
        <v>48.0</v>
      </c>
    </row>
    <row r="734">
      <c r="A734" s="1" t="s">
        <v>8</v>
      </c>
      <c r="B734" s="2">
        <v>44714.0</v>
      </c>
      <c r="C734" s="3">
        <v>0.3425</v>
      </c>
      <c r="D734" s="1">
        <v>12.84756</v>
      </c>
      <c r="E734" s="1">
        <v>80.062869</v>
      </c>
      <c r="F734" s="1">
        <v>805.0</v>
      </c>
      <c r="G734" s="1">
        <v>42.0</v>
      </c>
    </row>
    <row r="735">
      <c r="A735" s="1" t="s">
        <v>7</v>
      </c>
      <c r="B735" s="2">
        <v>44714.0</v>
      </c>
      <c r="C735" s="3">
        <v>0.34260416666666665</v>
      </c>
      <c r="D735" s="1">
        <v>12.849103</v>
      </c>
      <c r="E735" s="1">
        <v>80.064011</v>
      </c>
      <c r="F735" s="1">
        <v>805.0</v>
      </c>
      <c r="G735" s="1">
        <v>48.0</v>
      </c>
    </row>
    <row r="736">
      <c r="A736" s="1" t="s">
        <v>8</v>
      </c>
      <c r="B736" s="2">
        <v>44714.0</v>
      </c>
      <c r="C736" s="3">
        <v>0.3426736111111111</v>
      </c>
      <c r="D736" s="1">
        <v>12.849103</v>
      </c>
      <c r="E736" s="1">
        <v>80.064011</v>
      </c>
      <c r="F736" s="1">
        <v>805.0</v>
      </c>
      <c r="G736" s="1">
        <v>48.0</v>
      </c>
    </row>
    <row r="737">
      <c r="A737" s="1" t="s">
        <v>7</v>
      </c>
      <c r="B737" s="2">
        <v>44714.0</v>
      </c>
      <c r="C737" s="3">
        <v>0.3427777777777778</v>
      </c>
      <c r="D737" s="1">
        <v>12.850972</v>
      </c>
      <c r="E737" s="1">
        <v>80.065352</v>
      </c>
      <c r="F737" s="1">
        <v>805.0</v>
      </c>
      <c r="G737" s="1">
        <v>58.0</v>
      </c>
    </row>
    <row r="738">
      <c r="A738" s="1" t="s">
        <v>7</v>
      </c>
      <c r="B738" s="2">
        <v>44714.0</v>
      </c>
      <c r="C738" s="3">
        <v>0.34283564814814815</v>
      </c>
      <c r="D738" s="1">
        <v>12.850972</v>
      </c>
      <c r="E738" s="1">
        <v>80.065352</v>
      </c>
      <c r="F738" s="1">
        <v>805.0</v>
      </c>
      <c r="G738" s="1">
        <v>58.0</v>
      </c>
    </row>
    <row r="739">
      <c r="A739" s="1" t="s">
        <v>7</v>
      </c>
      <c r="B739" s="2">
        <v>44714.0</v>
      </c>
      <c r="C739" s="3">
        <v>0.3428703703703704</v>
      </c>
      <c r="D739" s="1">
        <v>12.918378</v>
      </c>
      <c r="E739" s="1">
        <v>80.109039</v>
      </c>
      <c r="F739" s="1">
        <v>2846.0</v>
      </c>
      <c r="G739" s="1">
        <v>58.0</v>
      </c>
    </row>
    <row r="740">
      <c r="A740" s="1" t="s">
        <v>7</v>
      </c>
      <c r="B740" s="2">
        <v>44714.0</v>
      </c>
      <c r="C740" s="3">
        <v>0.34313657407407405</v>
      </c>
      <c r="D740" s="1">
        <v>12.85287</v>
      </c>
      <c r="E740" s="1">
        <v>80.066714</v>
      </c>
      <c r="F740" s="1">
        <v>805.0</v>
      </c>
      <c r="G740" s="1">
        <v>59.0</v>
      </c>
    </row>
    <row r="741">
      <c r="A741" s="1" t="s">
        <v>8</v>
      </c>
      <c r="B741" s="2">
        <v>44714.0</v>
      </c>
      <c r="C741" s="3">
        <v>0.34319444444444447</v>
      </c>
      <c r="D741" s="1">
        <v>12.854708</v>
      </c>
      <c r="E741" s="1">
        <v>80.068078</v>
      </c>
      <c r="F741" s="1">
        <v>805.0</v>
      </c>
      <c r="G741" s="1">
        <v>55.0</v>
      </c>
    </row>
    <row r="742">
      <c r="A742" s="1" t="s">
        <v>7</v>
      </c>
      <c r="B742" s="2">
        <v>44714.0</v>
      </c>
      <c r="C742" s="3">
        <v>0.34327546296296296</v>
      </c>
      <c r="D742" s="1">
        <v>12.854708</v>
      </c>
      <c r="E742" s="1">
        <v>80.068078</v>
      </c>
      <c r="F742" s="1">
        <v>805.0</v>
      </c>
      <c r="G742" s="1">
        <v>55.0</v>
      </c>
    </row>
    <row r="743">
      <c r="A743" s="1" t="s">
        <v>8</v>
      </c>
      <c r="B743" s="2">
        <v>44714.0</v>
      </c>
      <c r="C743" s="3">
        <v>0.3434143518518519</v>
      </c>
      <c r="D743" s="1">
        <v>12.856638</v>
      </c>
      <c r="E743" s="1">
        <v>80.069524</v>
      </c>
      <c r="F743" s="1">
        <v>805.0</v>
      </c>
      <c r="G743" s="1">
        <v>53.0</v>
      </c>
    </row>
    <row r="744">
      <c r="A744" s="1" t="s">
        <v>8</v>
      </c>
      <c r="B744" s="2">
        <v>44714.0</v>
      </c>
      <c r="C744" s="3">
        <v>0.3436226851851852</v>
      </c>
      <c r="D744" s="1">
        <v>12.859229</v>
      </c>
      <c r="E744" s="1">
        <v>80.07153</v>
      </c>
      <c r="F744" s="1">
        <v>805.0</v>
      </c>
      <c r="G744" s="1">
        <v>37.0</v>
      </c>
    </row>
    <row r="745">
      <c r="A745" s="1" t="s">
        <v>7</v>
      </c>
      <c r="B745" s="2">
        <v>44714.0</v>
      </c>
      <c r="C745" s="3">
        <v>0.3440856481481481</v>
      </c>
      <c r="D745" s="1">
        <v>12.913738</v>
      </c>
      <c r="E745" s="1">
        <v>80.101773</v>
      </c>
      <c r="F745" s="1">
        <v>2846.0</v>
      </c>
      <c r="G745" s="1">
        <v>49.0</v>
      </c>
    </row>
    <row r="746">
      <c r="A746" s="1" t="s">
        <v>8</v>
      </c>
      <c r="B746" s="2">
        <v>44714.0</v>
      </c>
      <c r="C746" s="3">
        <v>0.34414351851851854</v>
      </c>
      <c r="D746" s="1">
        <v>12.912523</v>
      </c>
      <c r="E746" s="1">
        <v>80.101516</v>
      </c>
      <c r="F746" s="1">
        <v>2846.0</v>
      </c>
      <c r="G746" s="1">
        <v>51.0</v>
      </c>
    </row>
    <row r="747">
      <c r="A747" s="1" t="s">
        <v>10</v>
      </c>
      <c r="B747" s="2">
        <v>44714.0</v>
      </c>
      <c r="C747" s="3">
        <v>0.34475694444444444</v>
      </c>
      <c r="D747" s="1">
        <v>12.862611</v>
      </c>
      <c r="E747" s="1">
        <v>80.073519</v>
      </c>
      <c r="F747" s="1">
        <v>805.0</v>
      </c>
      <c r="G747" s="1">
        <v>20.0</v>
      </c>
    </row>
    <row r="748">
      <c r="A748" s="1" t="s">
        <v>8</v>
      </c>
      <c r="B748" s="2">
        <v>44714.0</v>
      </c>
      <c r="C748" s="3">
        <v>0.34608796296296296</v>
      </c>
      <c r="D748" s="1">
        <v>12.901998</v>
      </c>
      <c r="E748" s="1">
        <v>80.093002</v>
      </c>
      <c r="F748" s="1">
        <v>2846.0</v>
      </c>
      <c r="G748" s="1">
        <v>41.0</v>
      </c>
    </row>
    <row r="749">
      <c r="A749" s="1" t="s">
        <v>8</v>
      </c>
      <c r="B749" s="2">
        <v>44714.0</v>
      </c>
      <c r="C749" s="3">
        <v>0.3461226851851852</v>
      </c>
      <c r="D749" s="1">
        <v>12.87246</v>
      </c>
      <c r="E749" s="1">
        <v>80.077362</v>
      </c>
      <c r="F749" s="1">
        <v>805.0</v>
      </c>
      <c r="G749" s="1">
        <v>46.0</v>
      </c>
    </row>
    <row r="750">
      <c r="A750" s="1" t="s">
        <v>8</v>
      </c>
      <c r="B750" s="2">
        <v>44714.0</v>
      </c>
      <c r="C750" s="3">
        <v>0.34641203703703705</v>
      </c>
      <c r="D750" s="1">
        <v>12.898856</v>
      </c>
      <c r="E750" s="1">
        <v>80.090648</v>
      </c>
      <c r="F750" s="1">
        <v>2846.0</v>
      </c>
      <c r="G750" s="1">
        <v>50.0</v>
      </c>
    </row>
    <row r="751">
      <c r="A751" s="1" t="s">
        <v>8</v>
      </c>
      <c r="B751" s="2">
        <v>44714.0</v>
      </c>
      <c r="C751" s="3">
        <v>0.3465972222222222</v>
      </c>
      <c r="D751" s="1">
        <v>12.875736</v>
      </c>
      <c r="E751" s="1">
        <v>80.078644</v>
      </c>
      <c r="F751" s="1">
        <v>805.0</v>
      </c>
      <c r="G751" s="1">
        <v>44.0</v>
      </c>
    </row>
    <row r="752">
      <c r="A752" s="1" t="s">
        <v>7</v>
      </c>
      <c r="B752" s="2">
        <v>44714.0</v>
      </c>
      <c r="C752" s="3">
        <v>0.34716435185185185</v>
      </c>
      <c r="D752" s="1">
        <v>12.89563</v>
      </c>
      <c r="E752" s="1">
        <v>80.088222</v>
      </c>
      <c r="F752" s="1">
        <v>2846.0</v>
      </c>
      <c r="G752" s="1">
        <v>44.0</v>
      </c>
    </row>
    <row r="753">
      <c r="A753" s="1" t="s">
        <v>7</v>
      </c>
      <c r="B753" s="2">
        <v>44714.0</v>
      </c>
      <c r="C753" s="3">
        <v>0.34721064814814817</v>
      </c>
      <c r="D753" s="1">
        <v>12.89563</v>
      </c>
      <c r="E753" s="1">
        <v>80.088222</v>
      </c>
      <c r="F753" s="1">
        <v>2846.0</v>
      </c>
      <c r="G753" s="1">
        <v>44.0</v>
      </c>
    </row>
    <row r="754">
      <c r="A754" s="1" t="s">
        <v>8</v>
      </c>
      <c r="B754" s="2">
        <v>44714.0</v>
      </c>
      <c r="C754" s="3">
        <v>0.34756944444444443</v>
      </c>
      <c r="D754" s="1">
        <v>12.891148</v>
      </c>
      <c r="E754" s="1">
        <v>80.085098</v>
      </c>
      <c r="F754" s="1">
        <v>2846.0</v>
      </c>
      <c r="G754" s="1">
        <v>56.0</v>
      </c>
    </row>
    <row r="755">
      <c r="A755" s="1" t="s">
        <v>8</v>
      </c>
      <c r="B755" s="2">
        <v>44714.0</v>
      </c>
      <c r="C755" s="3">
        <v>0.3478587962962963</v>
      </c>
      <c r="D755" s="1">
        <v>12.888983</v>
      </c>
      <c r="E755" s="1">
        <v>80.084178</v>
      </c>
      <c r="F755" s="1">
        <v>2846.0</v>
      </c>
      <c r="G755" s="1">
        <v>50.0</v>
      </c>
    </row>
    <row r="756">
      <c r="A756" s="1" t="s">
        <v>7</v>
      </c>
      <c r="B756" s="2">
        <v>44714.0</v>
      </c>
      <c r="C756" s="3">
        <v>0.3481134259259259</v>
      </c>
      <c r="D756" s="1">
        <v>12.886405</v>
      </c>
      <c r="E756" s="1">
        <v>80.083164</v>
      </c>
      <c r="F756" s="1">
        <v>2846.0</v>
      </c>
      <c r="G756" s="1">
        <v>58.0</v>
      </c>
    </row>
    <row r="757">
      <c r="A757" s="1" t="s">
        <v>7</v>
      </c>
      <c r="B757" s="2">
        <v>44714.0</v>
      </c>
      <c r="C757" s="3">
        <v>0.34815972222222225</v>
      </c>
      <c r="D757" s="1">
        <v>12.885058</v>
      </c>
      <c r="E757" s="1">
        <v>80.0826</v>
      </c>
      <c r="F757" s="1">
        <v>2846.0</v>
      </c>
      <c r="G757" s="1">
        <v>58.0</v>
      </c>
    </row>
    <row r="758">
      <c r="A758" s="1" t="s">
        <v>8</v>
      </c>
      <c r="B758" s="2">
        <v>44714.0</v>
      </c>
      <c r="C758" s="3">
        <v>0.34835648148148146</v>
      </c>
      <c r="D758" s="1">
        <v>12.878204</v>
      </c>
      <c r="E758" s="1">
        <v>80.082948</v>
      </c>
      <c r="F758" s="1">
        <v>805.0</v>
      </c>
      <c r="G758" s="1">
        <v>40.0</v>
      </c>
    </row>
    <row r="759">
      <c r="A759" s="1" t="s">
        <v>8</v>
      </c>
      <c r="B759" s="2">
        <v>44714.0</v>
      </c>
      <c r="C759" s="3">
        <v>0.34847222222222224</v>
      </c>
      <c r="D759" s="1">
        <v>12.878204</v>
      </c>
      <c r="E759" s="1">
        <v>80.082948</v>
      </c>
      <c r="F759" s="1">
        <v>805.0</v>
      </c>
      <c r="G759" s="1">
        <v>40.0</v>
      </c>
    </row>
    <row r="760">
      <c r="A760" s="1" t="s">
        <v>8</v>
      </c>
      <c r="B760" s="2">
        <v>44714.0</v>
      </c>
      <c r="C760" s="3">
        <v>0.3912962962962963</v>
      </c>
      <c r="D760" s="1">
        <v>12.879598</v>
      </c>
      <c r="E760" s="1">
        <v>80.080102</v>
      </c>
      <c r="F760" s="1">
        <v>5339.0</v>
      </c>
      <c r="G760" s="1">
        <v>26.0</v>
      </c>
    </row>
    <row r="761">
      <c r="A761" s="1" t="s">
        <v>8</v>
      </c>
      <c r="B761" s="2">
        <v>44714.0</v>
      </c>
      <c r="C761" s="3">
        <v>0.39130787037037035</v>
      </c>
      <c r="D761" s="1">
        <v>12.879598</v>
      </c>
      <c r="E761" s="1">
        <v>80.080102</v>
      </c>
      <c r="F761" s="1">
        <v>5339.0</v>
      </c>
      <c r="G761" s="1">
        <v>26.0</v>
      </c>
    </row>
    <row r="762">
      <c r="A762" s="1" t="s">
        <v>8</v>
      </c>
      <c r="B762" s="2">
        <v>44714.0</v>
      </c>
      <c r="C762" s="3">
        <v>0.39130787037037035</v>
      </c>
      <c r="D762" s="1">
        <v>12.879598</v>
      </c>
      <c r="E762" s="1">
        <v>80.080102</v>
      </c>
      <c r="F762" s="1">
        <v>5339.0</v>
      </c>
      <c r="G762" s="1">
        <v>26.0</v>
      </c>
    </row>
    <row r="763">
      <c r="A763" s="1" t="s">
        <v>8</v>
      </c>
      <c r="B763" s="2">
        <v>44714.0</v>
      </c>
      <c r="C763" s="3">
        <v>0.3913425925925926</v>
      </c>
      <c r="D763" s="1">
        <v>12.879598</v>
      </c>
      <c r="E763" s="1">
        <v>80.080102</v>
      </c>
      <c r="F763" s="1">
        <v>5339.0</v>
      </c>
      <c r="G763" s="1">
        <v>26.0</v>
      </c>
    </row>
    <row r="764">
      <c r="A764" s="1" t="s">
        <v>8</v>
      </c>
      <c r="B764" s="2">
        <v>44714.0</v>
      </c>
      <c r="C764" s="3">
        <v>0.39140046296296294</v>
      </c>
      <c r="D764" s="1">
        <v>12.879598</v>
      </c>
      <c r="E764" s="1">
        <v>80.080102</v>
      </c>
      <c r="F764" s="1">
        <v>5339.0</v>
      </c>
      <c r="G764" s="1">
        <v>26.0</v>
      </c>
    </row>
    <row r="765">
      <c r="A765" s="1" t="s">
        <v>8</v>
      </c>
      <c r="B765" s="2">
        <v>44714.0</v>
      </c>
      <c r="C765" s="3">
        <v>0.39141203703703703</v>
      </c>
      <c r="D765" s="1">
        <v>12.880265</v>
      </c>
      <c r="E765" s="1">
        <v>80.080372</v>
      </c>
      <c r="F765" s="1">
        <v>5339.0</v>
      </c>
      <c r="G765" s="1">
        <v>24.0</v>
      </c>
    </row>
    <row r="766">
      <c r="A766" s="1" t="s">
        <v>7</v>
      </c>
      <c r="B766" s="2">
        <v>44714.0</v>
      </c>
      <c r="C766" s="3">
        <v>0.39233796296296297</v>
      </c>
      <c r="D766" s="1">
        <v>12.880265</v>
      </c>
      <c r="E766" s="1">
        <v>80.080372</v>
      </c>
      <c r="F766" s="1">
        <v>5339.0</v>
      </c>
      <c r="G766" s="1">
        <v>24.0</v>
      </c>
    </row>
    <row r="767">
      <c r="A767" s="1" t="s">
        <v>7</v>
      </c>
      <c r="B767" s="2">
        <v>44714.0</v>
      </c>
      <c r="C767" s="3">
        <v>0.39263888888888887</v>
      </c>
      <c r="D767" s="1">
        <v>12.88645</v>
      </c>
      <c r="E767" s="1">
        <v>80.077169</v>
      </c>
      <c r="F767" s="1">
        <v>5339.0</v>
      </c>
      <c r="G767" s="1">
        <v>60.0</v>
      </c>
    </row>
    <row r="768">
      <c r="A768" s="1" t="s">
        <v>7</v>
      </c>
      <c r="B768" s="2">
        <v>44714.0</v>
      </c>
      <c r="C768" s="3">
        <v>0.3979861111111111</v>
      </c>
      <c r="D768" s="1">
        <v>12.92985</v>
      </c>
      <c r="E768" s="1">
        <v>80.079781</v>
      </c>
      <c r="F768" s="1">
        <v>5339.0</v>
      </c>
      <c r="G768" s="1">
        <v>0.0</v>
      </c>
    </row>
    <row r="769">
      <c r="A769" s="1" t="s">
        <v>7</v>
      </c>
      <c r="B769" s="2">
        <v>44714.0</v>
      </c>
      <c r="C769" s="3">
        <v>0.39824074074074073</v>
      </c>
      <c r="D769" s="1">
        <v>12.92985</v>
      </c>
      <c r="E769" s="1">
        <v>80.079781</v>
      </c>
      <c r="F769" s="1">
        <v>5339.0</v>
      </c>
      <c r="G769" s="1">
        <v>0.0</v>
      </c>
    </row>
    <row r="770">
      <c r="A770" s="1" t="s">
        <v>7</v>
      </c>
      <c r="B770" s="2">
        <v>44714.0</v>
      </c>
      <c r="C770" s="3">
        <v>0.39836805555555554</v>
      </c>
      <c r="D770" s="1">
        <v>12.929932</v>
      </c>
      <c r="E770" s="1">
        <v>80.079814</v>
      </c>
      <c r="F770" s="1">
        <v>5339.0</v>
      </c>
      <c r="G770" s="1">
        <v>9.0</v>
      </c>
    </row>
    <row r="771">
      <c r="A771" s="1" t="s">
        <v>7</v>
      </c>
      <c r="B771" s="2">
        <v>44714.0</v>
      </c>
      <c r="C771" s="3">
        <v>0.3988773148148148</v>
      </c>
      <c r="D771" s="1">
        <v>12.930152</v>
      </c>
      <c r="E771" s="1">
        <v>80.079898</v>
      </c>
      <c r="F771" s="1">
        <v>5339.0</v>
      </c>
      <c r="G771" s="1">
        <v>0.0</v>
      </c>
    </row>
    <row r="772">
      <c r="A772" s="1" t="s">
        <v>7</v>
      </c>
      <c r="B772" s="2">
        <v>44714.0</v>
      </c>
      <c r="C772" s="3">
        <v>0.402349537037037</v>
      </c>
      <c r="D772" s="1">
        <v>12.965329</v>
      </c>
      <c r="E772" s="1">
        <v>80.089936</v>
      </c>
      <c r="F772" s="1">
        <v>5339.0</v>
      </c>
      <c r="G772" s="1">
        <v>50.0</v>
      </c>
    </row>
    <row r="773">
      <c r="A773" s="1" t="s">
        <v>7</v>
      </c>
      <c r="B773" s="2">
        <v>44714.0</v>
      </c>
      <c r="C773" s="3">
        <v>0.4030902777777778</v>
      </c>
      <c r="D773" s="1">
        <v>12.983649</v>
      </c>
      <c r="E773" s="1">
        <v>80.089364</v>
      </c>
      <c r="F773" s="1">
        <v>5339.0</v>
      </c>
      <c r="G773" s="1">
        <v>49.0</v>
      </c>
    </row>
    <row r="774">
      <c r="A774" s="1" t="s">
        <v>7</v>
      </c>
      <c r="B774" s="2">
        <v>44714.0</v>
      </c>
      <c r="C774" s="3">
        <v>0.40315972222222224</v>
      </c>
      <c r="D774" s="1">
        <v>12.983649</v>
      </c>
      <c r="E774" s="1">
        <v>80.089364</v>
      </c>
      <c r="F774" s="1">
        <v>5339.0</v>
      </c>
      <c r="G774" s="1">
        <v>49.0</v>
      </c>
    </row>
    <row r="775">
      <c r="A775" s="1" t="s">
        <v>7</v>
      </c>
      <c r="B775" s="2">
        <v>44714.0</v>
      </c>
      <c r="C775" s="3">
        <v>0.4043287037037037</v>
      </c>
      <c r="D775" s="1">
        <v>12.999005</v>
      </c>
      <c r="E775" s="1">
        <v>80.087864</v>
      </c>
      <c r="F775" s="1">
        <v>5339.0</v>
      </c>
      <c r="G775" s="1">
        <v>57.0</v>
      </c>
    </row>
    <row r="776">
      <c r="A776" s="1" t="s">
        <v>7</v>
      </c>
      <c r="B776" s="2">
        <v>44714.0</v>
      </c>
      <c r="C776" s="3">
        <v>0.4044675925925926</v>
      </c>
      <c r="D776" s="1">
        <v>13.001169</v>
      </c>
      <c r="E776" s="1">
        <v>80.088691</v>
      </c>
      <c r="F776" s="1">
        <v>5339.0</v>
      </c>
      <c r="G776" s="1">
        <v>56.0</v>
      </c>
    </row>
    <row r="777">
      <c r="A777" s="1" t="s">
        <v>7</v>
      </c>
      <c r="B777" s="2">
        <v>44714.0</v>
      </c>
      <c r="C777" s="3">
        <v>0.4054861111111111</v>
      </c>
      <c r="D777" s="1">
        <v>13.011027</v>
      </c>
      <c r="E777" s="1">
        <v>80.092423</v>
      </c>
      <c r="F777" s="1">
        <v>5339.0</v>
      </c>
      <c r="G777" s="1">
        <v>56.0</v>
      </c>
    </row>
    <row r="778">
      <c r="A778" s="1" t="s">
        <v>7</v>
      </c>
      <c r="B778" s="2">
        <v>44714.0</v>
      </c>
      <c r="C778" s="3">
        <v>0.4058912037037037</v>
      </c>
      <c r="D778" s="1">
        <v>13.013194</v>
      </c>
      <c r="E778" s="1">
        <v>80.093343</v>
      </c>
      <c r="F778" s="1">
        <v>5339.0</v>
      </c>
      <c r="G778" s="1">
        <v>58.0</v>
      </c>
    </row>
    <row r="779">
      <c r="A779" s="1" t="s">
        <v>8</v>
      </c>
      <c r="B779" s="2">
        <v>44714.0</v>
      </c>
      <c r="C779" s="3">
        <v>0.40899305555555554</v>
      </c>
      <c r="D779" s="1">
        <v>13.040612</v>
      </c>
      <c r="E779" s="1">
        <v>80.086286</v>
      </c>
      <c r="F779" s="1">
        <v>5339.0</v>
      </c>
      <c r="G779" s="1">
        <v>43.0</v>
      </c>
    </row>
    <row r="780">
      <c r="A780" s="1" t="s">
        <v>8</v>
      </c>
      <c r="B780" s="2">
        <v>44714.0</v>
      </c>
      <c r="C780" s="3">
        <v>0.40966435185185185</v>
      </c>
      <c r="D780" s="1">
        <v>13.043992</v>
      </c>
      <c r="E780" s="1">
        <v>80.085355</v>
      </c>
      <c r="F780" s="1">
        <v>5339.0</v>
      </c>
      <c r="G780" s="1">
        <v>51.0</v>
      </c>
    </row>
    <row r="781">
      <c r="A781" s="1" t="s">
        <v>8</v>
      </c>
      <c r="B781" s="2">
        <v>44714.0</v>
      </c>
      <c r="C781" s="3">
        <v>0.40967592592592594</v>
      </c>
      <c r="D781" s="1">
        <v>13.043992</v>
      </c>
      <c r="E781" s="1">
        <v>80.085355</v>
      </c>
      <c r="F781" s="1">
        <v>5339.0</v>
      </c>
      <c r="G781" s="1">
        <v>51.0</v>
      </c>
    </row>
    <row r="782">
      <c r="A782" s="1" t="s">
        <v>10</v>
      </c>
      <c r="B782" s="2">
        <v>44714.0</v>
      </c>
      <c r="C782" s="3">
        <v>0.41171296296296295</v>
      </c>
      <c r="D782" s="1">
        <v>13.050717</v>
      </c>
      <c r="E782" s="1">
        <v>80.088955</v>
      </c>
      <c r="F782" s="1">
        <v>5339.0</v>
      </c>
      <c r="G782" s="1">
        <v>40.0</v>
      </c>
    </row>
    <row r="783">
      <c r="A783" s="1" t="s">
        <v>8</v>
      </c>
      <c r="B783" s="2">
        <v>44714.0</v>
      </c>
      <c r="C783" s="3">
        <v>0.6886689814814815</v>
      </c>
      <c r="D783" s="1">
        <v>12.877757</v>
      </c>
      <c r="E783" s="1">
        <v>80.083942</v>
      </c>
      <c r="F783" s="1">
        <v>805.0</v>
      </c>
      <c r="G783" s="1">
        <v>34.0</v>
      </c>
    </row>
    <row r="784">
      <c r="A784" s="1" t="s">
        <v>8</v>
      </c>
      <c r="B784" s="2">
        <v>44714.0</v>
      </c>
      <c r="C784" s="3">
        <v>0.6886689814814815</v>
      </c>
      <c r="D784" s="1">
        <v>12.878155</v>
      </c>
      <c r="E784" s="1">
        <v>80.082797</v>
      </c>
      <c r="F784" s="1">
        <v>805.0</v>
      </c>
      <c r="G784" s="1">
        <v>57.0</v>
      </c>
    </row>
    <row r="785">
      <c r="A785" s="1" t="s">
        <v>7</v>
      </c>
      <c r="B785" s="2">
        <v>44714.0</v>
      </c>
      <c r="C785" s="3">
        <v>0.6892592592592592</v>
      </c>
      <c r="D785" s="1">
        <v>12.878177</v>
      </c>
      <c r="E785" s="1">
        <v>80.0799</v>
      </c>
      <c r="F785" s="1">
        <v>805.0</v>
      </c>
      <c r="G785" s="1">
        <v>43.0</v>
      </c>
    </row>
    <row r="786">
      <c r="A786" s="1" t="s">
        <v>7</v>
      </c>
      <c r="B786" s="2">
        <v>44714.0</v>
      </c>
      <c r="C786" s="3">
        <v>0.6893518518518519</v>
      </c>
      <c r="D786" s="1">
        <v>12.87691</v>
      </c>
      <c r="E786" s="1">
        <v>80.079424</v>
      </c>
      <c r="F786" s="1">
        <v>805.0</v>
      </c>
      <c r="G786" s="1">
        <v>60.0</v>
      </c>
    </row>
    <row r="787">
      <c r="A787" s="1" t="s">
        <v>7</v>
      </c>
      <c r="B787" s="2">
        <v>44714.0</v>
      </c>
      <c r="C787" s="3">
        <v>0.6895023148148148</v>
      </c>
      <c r="D787" s="1">
        <v>12.875504</v>
      </c>
      <c r="E787" s="1">
        <v>80.078878</v>
      </c>
      <c r="F787" s="1">
        <v>805.0</v>
      </c>
      <c r="G787" s="1">
        <v>56.0</v>
      </c>
    </row>
    <row r="788">
      <c r="A788" s="1" t="s">
        <v>7</v>
      </c>
      <c r="B788" s="2">
        <v>44714.0</v>
      </c>
      <c r="C788" s="3">
        <v>0.6895833333333333</v>
      </c>
      <c r="D788" s="1">
        <v>12.875504</v>
      </c>
      <c r="E788" s="1">
        <v>80.078878</v>
      </c>
      <c r="F788" s="1">
        <v>805.0</v>
      </c>
      <c r="G788" s="1">
        <v>56.0</v>
      </c>
    </row>
    <row r="789">
      <c r="A789" s="1" t="s">
        <v>10</v>
      </c>
      <c r="B789" s="2">
        <v>44714.0</v>
      </c>
      <c r="C789" s="3">
        <v>0.6904282407407407</v>
      </c>
      <c r="D789" s="1">
        <v>12.878987</v>
      </c>
      <c r="E789" s="1">
        <v>80.080402</v>
      </c>
      <c r="F789" s="1">
        <v>2846.0</v>
      </c>
      <c r="G789" s="1">
        <v>3.0</v>
      </c>
    </row>
    <row r="790">
      <c r="A790" s="1" t="s">
        <v>8</v>
      </c>
      <c r="B790" s="2">
        <v>44714.0</v>
      </c>
      <c r="C790" s="3">
        <v>0.6905902777777778</v>
      </c>
      <c r="D790" s="1">
        <v>12.879365</v>
      </c>
      <c r="E790" s="1">
        <v>80.079999</v>
      </c>
      <c r="F790" s="1">
        <v>2846.0</v>
      </c>
      <c r="G790" s="1">
        <v>14.0</v>
      </c>
    </row>
    <row r="791">
      <c r="A791" s="1" t="s">
        <v>8</v>
      </c>
      <c r="B791" s="2">
        <v>44714.0</v>
      </c>
      <c r="C791" s="3">
        <v>0.6906018518518519</v>
      </c>
      <c r="D791" s="1">
        <v>12.879365</v>
      </c>
      <c r="E791" s="1">
        <v>80.079999</v>
      </c>
      <c r="F791" s="1">
        <v>2846.0</v>
      </c>
      <c r="G791" s="1">
        <v>14.0</v>
      </c>
    </row>
    <row r="792">
      <c r="A792" s="1" t="s">
        <v>8</v>
      </c>
      <c r="B792" s="2">
        <v>44714.0</v>
      </c>
      <c r="C792" s="3">
        <v>0.6907060185185185</v>
      </c>
      <c r="D792" s="1">
        <v>12.866327</v>
      </c>
      <c r="E792" s="1">
        <v>80.075213</v>
      </c>
      <c r="F792" s="1">
        <v>805.0</v>
      </c>
      <c r="G792" s="1">
        <v>22.0</v>
      </c>
    </row>
    <row r="793">
      <c r="A793" s="1" t="s">
        <v>8</v>
      </c>
      <c r="B793" s="2">
        <v>44714.0</v>
      </c>
      <c r="C793" s="3">
        <v>0.6912962962962963</v>
      </c>
      <c r="D793" s="1">
        <v>12.864778</v>
      </c>
      <c r="E793" s="1">
        <v>80.074633</v>
      </c>
      <c r="F793" s="1">
        <v>805.0</v>
      </c>
      <c r="G793" s="1">
        <v>39.0</v>
      </c>
    </row>
    <row r="794">
      <c r="A794" s="1" t="s">
        <v>8</v>
      </c>
      <c r="B794" s="2">
        <v>44714.0</v>
      </c>
      <c r="C794" s="3">
        <v>0.6917592592592593</v>
      </c>
      <c r="D794" s="1">
        <v>12.862839</v>
      </c>
      <c r="E794" s="1">
        <v>80.07389</v>
      </c>
      <c r="F794" s="1">
        <v>805.0</v>
      </c>
      <c r="G794" s="1">
        <v>40.0</v>
      </c>
    </row>
    <row r="795">
      <c r="A795" s="1" t="s">
        <v>8</v>
      </c>
      <c r="B795" s="2">
        <v>44714.0</v>
      </c>
      <c r="C795" s="3">
        <v>0.6917592592592593</v>
      </c>
      <c r="D795" s="1">
        <v>12.862839</v>
      </c>
      <c r="E795" s="1">
        <v>80.07389</v>
      </c>
      <c r="F795" s="1">
        <v>805.0</v>
      </c>
      <c r="G795" s="1">
        <v>40.0</v>
      </c>
    </row>
    <row r="796">
      <c r="A796" s="1" t="s">
        <v>8</v>
      </c>
      <c r="B796" s="2">
        <v>44714.0</v>
      </c>
      <c r="C796" s="3">
        <v>0.6918287037037038</v>
      </c>
      <c r="D796" s="1">
        <v>12.861844</v>
      </c>
      <c r="E796" s="1">
        <v>80.07345</v>
      </c>
      <c r="F796" s="1">
        <v>805.0</v>
      </c>
      <c r="G796" s="1">
        <v>46.0</v>
      </c>
    </row>
    <row r="797">
      <c r="A797" s="1" t="s">
        <v>8</v>
      </c>
      <c r="B797" s="2">
        <v>44714.0</v>
      </c>
      <c r="C797" s="3">
        <v>0.6918865740740741</v>
      </c>
      <c r="D797" s="1">
        <v>12.861844</v>
      </c>
      <c r="E797" s="1">
        <v>80.07345</v>
      </c>
      <c r="F797" s="1">
        <v>805.0</v>
      </c>
      <c r="G797" s="1">
        <v>46.0</v>
      </c>
    </row>
    <row r="798">
      <c r="A798" s="1" t="s">
        <v>8</v>
      </c>
      <c r="B798" s="2">
        <v>44714.0</v>
      </c>
      <c r="C798" s="3">
        <v>0.6919212962962963</v>
      </c>
      <c r="D798" s="1">
        <v>12.860419</v>
      </c>
      <c r="E798" s="1">
        <v>80.072637</v>
      </c>
      <c r="F798" s="1">
        <v>805.0</v>
      </c>
      <c r="G798" s="1">
        <v>8.0</v>
      </c>
    </row>
    <row r="799">
      <c r="A799" s="1" t="s">
        <v>8</v>
      </c>
      <c r="B799" s="2">
        <v>44714.0</v>
      </c>
      <c r="C799" s="3">
        <v>0.692037037037037</v>
      </c>
      <c r="D799" s="1">
        <v>12.860256</v>
      </c>
      <c r="E799" s="1">
        <v>80.072542</v>
      </c>
      <c r="F799" s="1">
        <v>805.0</v>
      </c>
      <c r="G799" s="1">
        <v>0.0</v>
      </c>
    </row>
    <row r="800">
      <c r="A800" s="1" t="s">
        <v>8</v>
      </c>
      <c r="B800" s="2">
        <v>44714.0</v>
      </c>
      <c r="C800" s="3">
        <v>0.6920717592592592</v>
      </c>
      <c r="D800" s="1">
        <v>12.860256</v>
      </c>
      <c r="E800" s="1">
        <v>80.072542</v>
      </c>
      <c r="F800" s="1">
        <v>805.0</v>
      </c>
      <c r="G800" s="1">
        <v>0.0</v>
      </c>
    </row>
    <row r="801">
      <c r="A801" s="1" t="s">
        <v>7</v>
      </c>
      <c r="B801" s="2">
        <v>44714.0</v>
      </c>
      <c r="C801" s="3">
        <v>0.6922222222222222</v>
      </c>
      <c r="D801" s="1">
        <v>12.886937</v>
      </c>
      <c r="E801" s="1">
        <v>80.083183</v>
      </c>
      <c r="F801" s="1">
        <v>2846.0</v>
      </c>
      <c r="G801" s="1">
        <v>57.0</v>
      </c>
    </row>
    <row r="802">
      <c r="A802" s="1" t="s">
        <v>8</v>
      </c>
      <c r="B802" s="2">
        <v>44714.0</v>
      </c>
      <c r="C802" s="3">
        <v>0.6922337962962963</v>
      </c>
      <c r="D802" s="1">
        <v>12.8597</v>
      </c>
      <c r="E802" s="1">
        <v>80.07213</v>
      </c>
      <c r="F802" s="1">
        <v>805.0</v>
      </c>
      <c r="G802" s="1">
        <v>24.0</v>
      </c>
    </row>
    <row r="803">
      <c r="A803" s="1" t="s">
        <v>8</v>
      </c>
      <c r="B803" s="2">
        <v>44714.0</v>
      </c>
      <c r="C803" s="3">
        <v>0.692349537037037</v>
      </c>
      <c r="D803" s="1">
        <v>12.858147</v>
      </c>
      <c r="E803" s="1">
        <v>80.070966</v>
      </c>
      <c r="F803" s="1">
        <v>805.0</v>
      </c>
      <c r="G803" s="1">
        <v>43.0</v>
      </c>
    </row>
    <row r="804">
      <c r="A804" s="1" t="s">
        <v>7</v>
      </c>
      <c r="B804" s="2">
        <v>44714.0</v>
      </c>
      <c r="C804" s="3">
        <v>0.6923726851851851</v>
      </c>
      <c r="D804" s="1">
        <v>12.889601</v>
      </c>
      <c r="E804" s="1">
        <v>80.084285</v>
      </c>
      <c r="F804" s="1">
        <v>2846.0</v>
      </c>
      <c r="G804" s="1">
        <v>57.0</v>
      </c>
    </row>
    <row r="805">
      <c r="A805" s="1" t="s">
        <v>8</v>
      </c>
      <c r="B805" s="2">
        <v>44714.0</v>
      </c>
      <c r="C805" s="3">
        <v>0.6924074074074074</v>
      </c>
      <c r="D805" s="1">
        <v>12.856496</v>
      </c>
      <c r="E805" s="1">
        <v>80.069688</v>
      </c>
      <c r="F805" s="1">
        <v>805.0</v>
      </c>
      <c r="G805" s="1">
        <v>40.0</v>
      </c>
    </row>
    <row r="806">
      <c r="A806" s="1" t="s">
        <v>8</v>
      </c>
      <c r="B806" s="2">
        <v>44714.0</v>
      </c>
      <c r="C806" s="3">
        <v>0.6924768518518518</v>
      </c>
      <c r="D806" s="1">
        <v>12.894458</v>
      </c>
      <c r="E806" s="1">
        <v>80.087172</v>
      </c>
      <c r="F806" s="1">
        <v>2846.0</v>
      </c>
      <c r="G806" s="1">
        <v>57.0</v>
      </c>
    </row>
    <row r="807">
      <c r="A807" s="1" t="s">
        <v>7</v>
      </c>
      <c r="B807" s="2">
        <v>44714.0</v>
      </c>
      <c r="C807" s="3">
        <v>0.6925347222222222</v>
      </c>
      <c r="D807" s="1">
        <v>12.85557</v>
      </c>
      <c r="E807" s="1">
        <v>80.06898</v>
      </c>
      <c r="F807" s="1">
        <v>805.0</v>
      </c>
      <c r="G807" s="1">
        <v>49.0</v>
      </c>
    </row>
    <row r="808">
      <c r="A808" s="1" t="s">
        <v>7</v>
      </c>
      <c r="B808" s="2">
        <v>44714.0</v>
      </c>
      <c r="C808" s="3">
        <v>0.6927777777777778</v>
      </c>
      <c r="D808" s="1">
        <v>12.853427</v>
      </c>
      <c r="E808" s="1">
        <v>80.067363</v>
      </c>
      <c r="F808" s="1">
        <v>805.0</v>
      </c>
      <c r="G808" s="1">
        <v>60.0</v>
      </c>
    </row>
    <row r="809">
      <c r="A809" s="1" t="s">
        <v>8</v>
      </c>
      <c r="B809" s="2">
        <v>44714.0</v>
      </c>
      <c r="C809" s="3">
        <v>0.6928587962962963</v>
      </c>
      <c r="D809" s="1">
        <v>12.852223</v>
      </c>
      <c r="E809" s="1">
        <v>80.066504</v>
      </c>
      <c r="F809" s="1">
        <v>805.0</v>
      </c>
      <c r="G809" s="1">
        <v>58.0</v>
      </c>
    </row>
    <row r="810">
      <c r="A810" s="1" t="s">
        <v>7</v>
      </c>
      <c r="B810" s="2">
        <v>44714.0</v>
      </c>
      <c r="C810" s="3">
        <v>0.695150462962963</v>
      </c>
      <c r="D810" s="1">
        <v>12.842923</v>
      </c>
      <c r="E810" s="1">
        <v>80.058849</v>
      </c>
      <c r="F810" s="1">
        <v>805.0</v>
      </c>
      <c r="G810" s="1">
        <v>41.0</v>
      </c>
    </row>
    <row r="811">
      <c r="A811" s="1" t="s">
        <v>8</v>
      </c>
      <c r="B811" s="2">
        <v>44714.0</v>
      </c>
      <c r="C811" s="3">
        <v>0.6954050925925926</v>
      </c>
      <c r="D811" s="1">
        <v>12.841198</v>
      </c>
      <c r="E811" s="1">
        <v>80.057023</v>
      </c>
      <c r="F811" s="1">
        <v>805.0</v>
      </c>
      <c r="G811" s="1">
        <v>53.0</v>
      </c>
    </row>
    <row r="812">
      <c r="A812" s="1" t="s">
        <v>8</v>
      </c>
      <c r="B812" s="2">
        <v>44714.0</v>
      </c>
      <c r="C812" s="3">
        <v>0.6955787037037037</v>
      </c>
      <c r="D812" s="1">
        <v>12.840329</v>
      </c>
      <c r="E812" s="1">
        <v>80.056045</v>
      </c>
      <c r="F812" s="1">
        <v>805.0</v>
      </c>
      <c r="G812" s="1">
        <v>48.0</v>
      </c>
    </row>
    <row r="813">
      <c r="A813" s="1" t="s">
        <v>7</v>
      </c>
      <c r="B813" s="2">
        <v>44714.0</v>
      </c>
      <c r="C813" s="3">
        <v>0.6960532407407407</v>
      </c>
      <c r="D813" s="1">
        <v>12.838133</v>
      </c>
      <c r="E813" s="1">
        <v>80.053741</v>
      </c>
      <c r="F813" s="1">
        <v>805.0</v>
      </c>
      <c r="G813" s="1">
        <v>38.0</v>
      </c>
    </row>
    <row r="814">
      <c r="A814" s="1" t="s">
        <v>7</v>
      </c>
      <c r="B814" s="2">
        <v>44714.0</v>
      </c>
      <c r="C814" s="3">
        <v>0.6962152777777778</v>
      </c>
      <c r="D814" s="1">
        <v>12.838133</v>
      </c>
      <c r="E814" s="1">
        <v>80.053741</v>
      </c>
      <c r="F814" s="1">
        <v>805.0</v>
      </c>
      <c r="G814" s="1">
        <v>38.0</v>
      </c>
    </row>
    <row r="815">
      <c r="A815" s="1" t="s">
        <v>8</v>
      </c>
      <c r="B815" s="2">
        <v>44714.0</v>
      </c>
      <c r="C815" s="3">
        <v>0.6967013888888889</v>
      </c>
      <c r="D815" s="1">
        <v>12.835469</v>
      </c>
      <c r="E815" s="1">
        <v>80.050982</v>
      </c>
      <c r="F815" s="1">
        <v>805.0</v>
      </c>
      <c r="G815" s="1">
        <v>57.0</v>
      </c>
    </row>
    <row r="816">
      <c r="A816" s="1" t="s">
        <v>7</v>
      </c>
      <c r="B816" s="2">
        <v>44714.0</v>
      </c>
      <c r="C816" s="3">
        <v>0.6970023148148148</v>
      </c>
      <c r="D816" s="1">
        <v>12.834464</v>
      </c>
      <c r="E816" s="1">
        <v>80.049905</v>
      </c>
      <c r="F816" s="1">
        <v>805.0</v>
      </c>
      <c r="G816" s="1">
        <v>57.0</v>
      </c>
    </row>
    <row r="817">
      <c r="A817" s="1" t="s">
        <v>8</v>
      </c>
      <c r="B817" s="2">
        <v>44714.0</v>
      </c>
      <c r="C817" s="3">
        <v>0.6976967592592592</v>
      </c>
      <c r="D817" s="1">
        <v>12.83244</v>
      </c>
      <c r="E817" s="1">
        <v>80.047759</v>
      </c>
      <c r="F817" s="1">
        <v>805.0</v>
      </c>
      <c r="G817" s="1">
        <v>58.0</v>
      </c>
    </row>
    <row r="818">
      <c r="A818" s="1" t="s">
        <v>8</v>
      </c>
      <c r="B818" s="2">
        <v>44714.0</v>
      </c>
      <c r="C818" s="3">
        <v>0.6976967592592592</v>
      </c>
      <c r="D818" s="1">
        <v>12.83244</v>
      </c>
      <c r="E818" s="1">
        <v>80.047759</v>
      </c>
      <c r="F818" s="1">
        <v>805.0</v>
      </c>
      <c r="G818" s="1">
        <v>58.0</v>
      </c>
    </row>
    <row r="819">
      <c r="A819" s="1" t="s">
        <v>8</v>
      </c>
      <c r="B819" s="2">
        <v>44714.0</v>
      </c>
      <c r="C819" s="3">
        <v>0.6980787037037037</v>
      </c>
      <c r="D819" s="1">
        <v>12.829417</v>
      </c>
      <c r="E819" s="1">
        <v>80.044537</v>
      </c>
      <c r="F819" s="1">
        <v>805.0</v>
      </c>
      <c r="G819" s="1">
        <v>58.0</v>
      </c>
    </row>
    <row r="820">
      <c r="A820" s="1" t="s">
        <v>8</v>
      </c>
      <c r="B820" s="2">
        <v>44714.0</v>
      </c>
      <c r="C820" s="3">
        <v>0.6982175925925926</v>
      </c>
      <c r="D820" s="1">
        <v>12.828406</v>
      </c>
      <c r="E820" s="1">
        <v>80.043498</v>
      </c>
      <c r="F820" s="1">
        <v>805.0</v>
      </c>
      <c r="G820" s="1">
        <v>54.0</v>
      </c>
    </row>
    <row r="821">
      <c r="A821" s="1" t="s">
        <v>7</v>
      </c>
      <c r="B821" s="2">
        <v>44714.0</v>
      </c>
      <c r="C821" s="3">
        <v>0.6994560185185185</v>
      </c>
      <c r="D821" s="1">
        <v>12.816018</v>
      </c>
      <c r="E821" s="1">
        <v>80.033948</v>
      </c>
      <c r="F821" s="1">
        <v>805.0</v>
      </c>
      <c r="G821" s="1">
        <v>29.0</v>
      </c>
    </row>
    <row r="822">
      <c r="A822" s="1" t="s">
        <v>8</v>
      </c>
      <c r="B822" s="2">
        <v>44714.0</v>
      </c>
      <c r="C822" s="3">
        <v>0.6995486111111111</v>
      </c>
      <c r="D822" s="1">
        <v>12.926247</v>
      </c>
      <c r="E822" s="1">
        <v>80.117359</v>
      </c>
      <c r="F822" s="1">
        <v>2846.0</v>
      </c>
      <c r="G822" s="1">
        <v>4.0</v>
      </c>
    </row>
    <row r="823">
      <c r="A823" s="1" t="s">
        <v>8</v>
      </c>
      <c r="B823" s="2">
        <v>44714.0</v>
      </c>
      <c r="C823" s="3">
        <v>0.6996064814814815</v>
      </c>
      <c r="D823" s="1">
        <v>12.926336</v>
      </c>
      <c r="E823" s="1">
        <v>80.117448</v>
      </c>
      <c r="F823" s="1">
        <v>2846.0</v>
      </c>
      <c r="G823" s="1">
        <v>12.0</v>
      </c>
    </row>
    <row r="824">
      <c r="A824" s="1" t="s">
        <v>8</v>
      </c>
      <c r="B824" s="2">
        <v>44714.0</v>
      </c>
      <c r="C824" s="3">
        <v>0.7004166666666667</v>
      </c>
      <c r="D824" s="1">
        <v>12.799092</v>
      </c>
      <c r="E824" s="1">
        <v>80.022863</v>
      </c>
      <c r="F824" s="1">
        <v>805.0</v>
      </c>
      <c r="G824" s="1">
        <v>30.0</v>
      </c>
    </row>
    <row r="825">
      <c r="A825" s="1" t="s">
        <v>8</v>
      </c>
      <c r="B825" s="2">
        <v>44714.0</v>
      </c>
      <c r="C825" s="3">
        <v>0.7008449074074075</v>
      </c>
      <c r="D825" s="1">
        <v>12.794756</v>
      </c>
      <c r="E825" s="1">
        <v>80.020023</v>
      </c>
      <c r="F825" s="1">
        <v>805.0</v>
      </c>
      <c r="G825" s="1">
        <v>58.0</v>
      </c>
    </row>
    <row r="826">
      <c r="A826" s="1" t="s">
        <v>7</v>
      </c>
      <c r="B826" s="2">
        <v>44714.0</v>
      </c>
      <c r="C826" s="3">
        <v>0.7009375</v>
      </c>
      <c r="D826" s="1">
        <v>12.793549</v>
      </c>
      <c r="E826" s="1">
        <v>80.019208</v>
      </c>
      <c r="F826" s="1">
        <v>805.0</v>
      </c>
      <c r="G826" s="1">
        <v>61.0</v>
      </c>
    </row>
    <row r="827">
      <c r="A827" s="1" t="s">
        <v>7</v>
      </c>
      <c r="B827" s="2">
        <v>44714.0</v>
      </c>
      <c r="C827" s="3">
        <v>0.7018055555555556</v>
      </c>
      <c r="D827" s="1">
        <v>12.787266</v>
      </c>
      <c r="E827" s="1">
        <v>80.015373</v>
      </c>
      <c r="F827" s="1">
        <v>805.0</v>
      </c>
      <c r="G827" s="1">
        <v>58.0</v>
      </c>
    </row>
    <row r="828">
      <c r="A828" s="1" t="s">
        <v>7</v>
      </c>
      <c r="B828" s="2">
        <v>44714.0</v>
      </c>
      <c r="C828" s="3">
        <v>0.7021064814814815</v>
      </c>
      <c r="D828" s="1">
        <v>12.938591</v>
      </c>
      <c r="E828" s="1">
        <v>80.129181</v>
      </c>
      <c r="F828" s="1">
        <v>2846.0</v>
      </c>
      <c r="G828" s="1">
        <v>48.0</v>
      </c>
    </row>
    <row r="829">
      <c r="A829" s="1" t="s">
        <v>7</v>
      </c>
      <c r="B829" s="2">
        <v>44714.0</v>
      </c>
      <c r="C829" s="3">
        <v>0.7023379629629629</v>
      </c>
      <c r="D829" s="1">
        <v>12.783856</v>
      </c>
      <c r="E829" s="1">
        <v>80.013509</v>
      </c>
      <c r="F829" s="1">
        <v>805.0</v>
      </c>
      <c r="G829" s="1">
        <v>57.0</v>
      </c>
    </row>
    <row r="830">
      <c r="A830" s="1" t="s">
        <v>7</v>
      </c>
      <c r="B830" s="2">
        <v>44714.0</v>
      </c>
      <c r="C830" s="3">
        <v>0.7026157407407407</v>
      </c>
      <c r="D830" s="1">
        <v>12.944278</v>
      </c>
      <c r="E830" s="1">
        <v>80.134721</v>
      </c>
      <c r="F830" s="1">
        <v>2846.0</v>
      </c>
      <c r="G830" s="1">
        <v>49.0</v>
      </c>
    </row>
    <row r="831">
      <c r="A831" s="1" t="s">
        <v>7</v>
      </c>
      <c r="B831" s="2">
        <v>44714.0</v>
      </c>
      <c r="C831" s="3">
        <v>0.7027430555555556</v>
      </c>
      <c r="D831" s="1">
        <v>12.944278</v>
      </c>
      <c r="E831" s="1">
        <v>80.134721</v>
      </c>
      <c r="F831" s="1">
        <v>2846.0</v>
      </c>
      <c r="G831" s="1">
        <v>49.0</v>
      </c>
    </row>
    <row r="832">
      <c r="A832" s="1" t="s">
        <v>8</v>
      </c>
      <c r="B832" s="2">
        <v>44714.0</v>
      </c>
      <c r="C832" s="3">
        <v>0.7027893518518519</v>
      </c>
      <c r="D832" s="1">
        <v>12.945341</v>
      </c>
      <c r="E832" s="1">
        <v>80.13554</v>
      </c>
      <c r="F832" s="1">
        <v>2846.0</v>
      </c>
      <c r="G832" s="1">
        <v>56.0</v>
      </c>
    </row>
    <row r="833">
      <c r="A833" s="1" t="s">
        <v>7</v>
      </c>
      <c r="B833" s="2">
        <v>44714.0</v>
      </c>
      <c r="C833" s="3">
        <v>0.7030092592592593</v>
      </c>
      <c r="D833" s="1">
        <v>12.945341</v>
      </c>
      <c r="E833" s="1">
        <v>80.13554</v>
      </c>
      <c r="F833" s="1">
        <v>2846.0</v>
      </c>
      <c r="G833" s="1">
        <v>56.0</v>
      </c>
    </row>
    <row r="834">
      <c r="A834" s="1" t="s">
        <v>8</v>
      </c>
      <c r="B834" s="2">
        <v>44714.0</v>
      </c>
      <c r="C834" s="3">
        <v>0.7031018518518518</v>
      </c>
      <c r="D834" s="1">
        <v>12.773309</v>
      </c>
      <c r="E834" s="1">
        <v>80.008812</v>
      </c>
      <c r="F834" s="1">
        <v>805.0</v>
      </c>
      <c r="G834" s="1">
        <v>50.0</v>
      </c>
    </row>
    <row r="835">
      <c r="A835" s="1" t="s">
        <v>8</v>
      </c>
      <c r="B835" s="2">
        <v>44714.0</v>
      </c>
      <c r="C835" s="3">
        <v>0.7032175925925926</v>
      </c>
      <c r="D835" s="1">
        <v>12.77088</v>
      </c>
      <c r="E835" s="1">
        <v>80.007704</v>
      </c>
      <c r="F835" s="1">
        <v>805.0</v>
      </c>
      <c r="G835" s="1">
        <v>36.0</v>
      </c>
    </row>
    <row r="836">
      <c r="A836" s="1" t="s">
        <v>7</v>
      </c>
      <c r="B836" s="2">
        <v>44714.0</v>
      </c>
      <c r="C836" s="3">
        <v>0.7034143518518519</v>
      </c>
      <c r="D836" s="1">
        <v>12.768212</v>
      </c>
      <c r="E836" s="1">
        <v>80.00638</v>
      </c>
      <c r="F836" s="1">
        <v>805.0</v>
      </c>
      <c r="G836" s="1">
        <v>56.0</v>
      </c>
    </row>
    <row r="837">
      <c r="A837" s="1" t="s">
        <v>8</v>
      </c>
      <c r="B837" s="2">
        <v>44714.0</v>
      </c>
      <c r="C837" s="3">
        <v>0.7040972222222223</v>
      </c>
      <c r="D837" s="1">
        <v>12.95187</v>
      </c>
      <c r="E837" s="1">
        <v>80.140538</v>
      </c>
      <c r="F837" s="1">
        <v>2846.0</v>
      </c>
      <c r="G837" s="1">
        <v>50.0</v>
      </c>
    </row>
    <row r="838">
      <c r="A838" s="1" t="s">
        <v>8</v>
      </c>
      <c r="B838" s="2">
        <v>44714.0</v>
      </c>
      <c r="C838" s="3">
        <v>0.7051620370370371</v>
      </c>
      <c r="D838" s="1">
        <v>12.756846</v>
      </c>
      <c r="E838" s="1">
        <v>80.002348</v>
      </c>
      <c r="F838" s="1">
        <v>805.0</v>
      </c>
      <c r="G838" s="1">
        <v>57.0</v>
      </c>
    </row>
    <row r="839">
      <c r="A839" s="1" t="s">
        <v>8</v>
      </c>
      <c r="B839" s="2">
        <v>44714.0</v>
      </c>
      <c r="C839" s="3">
        <v>0.7053356481481482</v>
      </c>
      <c r="D839" s="1">
        <v>12.957264</v>
      </c>
      <c r="E839" s="1">
        <v>80.143684</v>
      </c>
      <c r="F839" s="1">
        <v>2846.0</v>
      </c>
      <c r="G839" s="1">
        <v>18.0</v>
      </c>
    </row>
    <row r="840">
      <c r="A840" s="1" t="s">
        <v>7</v>
      </c>
      <c r="B840" s="2">
        <v>44714.0</v>
      </c>
      <c r="C840" s="3">
        <v>0.7055902777777778</v>
      </c>
      <c r="D840" s="1">
        <v>12.753626</v>
      </c>
      <c r="E840" s="1">
        <v>80.000456</v>
      </c>
      <c r="F840" s="1">
        <v>805.0</v>
      </c>
      <c r="G840" s="1">
        <v>54.0</v>
      </c>
    </row>
    <row r="841">
      <c r="A841" s="1" t="s">
        <v>8</v>
      </c>
      <c r="B841" s="2">
        <v>44714.0</v>
      </c>
      <c r="C841" s="3">
        <v>0.7069328703703703</v>
      </c>
      <c r="D841" s="1">
        <v>12.965357</v>
      </c>
      <c r="E841" s="1">
        <v>80.148042</v>
      </c>
      <c r="F841" s="1">
        <v>2846.0</v>
      </c>
      <c r="G841" s="1">
        <v>30.0</v>
      </c>
    </row>
    <row r="842">
      <c r="A842" s="1" t="s">
        <v>8</v>
      </c>
      <c r="B842" s="2">
        <v>44714.0</v>
      </c>
      <c r="C842" s="3">
        <v>0.7071064814814815</v>
      </c>
      <c r="D842" s="1">
        <v>12.965357</v>
      </c>
      <c r="E842" s="1">
        <v>80.148042</v>
      </c>
      <c r="F842" s="1">
        <v>2846.0</v>
      </c>
      <c r="G842" s="1">
        <v>30.0</v>
      </c>
    </row>
    <row r="843">
      <c r="A843" s="1" t="s">
        <v>8</v>
      </c>
      <c r="B843" s="2">
        <v>44714.0</v>
      </c>
      <c r="C843" s="3">
        <v>0.7073611111111111</v>
      </c>
      <c r="D843" s="1">
        <v>12.743122</v>
      </c>
      <c r="E843" s="1">
        <v>79.992531</v>
      </c>
      <c r="F843" s="1">
        <v>805.0</v>
      </c>
      <c r="G843" s="1">
        <v>0.0</v>
      </c>
    </row>
    <row r="844">
      <c r="A844" s="1" t="s">
        <v>7</v>
      </c>
      <c r="B844" s="2">
        <v>44714.0</v>
      </c>
      <c r="C844" s="3">
        <v>0.7073726851851851</v>
      </c>
      <c r="D844" s="1">
        <v>12.965357</v>
      </c>
      <c r="E844" s="1">
        <v>80.148042</v>
      </c>
      <c r="F844" s="1">
        <v>2846.0</v>
      </c>
      <c r="G844" s="1">
        <v>30.0</v>
      </c>
    </row>
    <row r="845">
      <c r="A845" s="1" t="s">
        <v>8</v>
      </c>
      <c r="B845" s="2">
        <v>44714.0</v>
      </c>
      <c r="C845" s="3">
        <v>0.7074421296296296</v>
      </c>
      <c r="D845" s="1">
        <v>12.966102</v>
      </c>
      <c r="E845" s="1">
        <v>80.148442</v>
      </c>
      <c r="F845" s="1">
        <v>2846.0</v>
      </c>
      <c r="G845" s="1">
        <v>33.0</v>
      </c>
    </row>
    <row r="846">
      <c r="A846" s="1" t="s">
        <v>8</v>
      </c>
      <c r="B846" s="2">
        <v>44714.0</v>
      </c>
      <c r="C846" s="3">
        <v>0.7075231481481481</v>
      </c>
      <c r="D846" s="1">
        <v>12.966102</v>
      </c>
      <c r="E846" s="1">
        <v>80.148442</v>
      </c>
      <c r="F846" s="1">
        <v>2846.0</v>
      </c>
      <c r="G846" s="1">
        <v>33.0</v>
      </c>
    </row>
    <row r="847">
      <c r="A847" s="1" t="s">
        <v>8</v>
      </c>
      <c r="B847" s="2">
        <v>44714.0</v>
      </c>
      <c r="C847" s="3">
        <v>0.7079050925925926</v>
      </c>
      <c r="D847" s="1">
        <v>12.743122</v>
      </c>
      <c r="E847" s="1">
        <v>79.992531</v>
      </c>
      <c r="F847" s="1">
        <v>805.0</v>
      </c>
      <c r="G847" s="1">
        <v>0.0</v>
      </c>
    </row>
    <row r="848">
      <c r="A848" s="1" t="s">
        <v>8</v>
      </c>
      <c r="B848" s="2">
        <v>44714.0</v>
      </c>
      <c r="C848" s="3">
        <v>0.7083101851851852</v>
      </c>
      <c r="D848" s="1">
        <v>12.975643</v>
      </c>
      <c r="E848" s="1">
        <v>80.156426</v>
      </c>
      <c r="F848" s="1">
        <v>2846.0</v>
      </c>
      <c r="G848" s="1">
        <v>40.0</v>
      </c>
    </row>
    <row r="849">
      <c r="A849" s="1" t="s">
        <v>8</v>
      </c>
      <c r="B849" s="2">
        <v>44714.0</v>
      </c>
      <c r="C849" s="3">
        <v>0.7087037037037037</v>
      </c>
      <c r="D849" s="1">
        <v>12.977543</v>
      </c>
      <c r="E849" s="1">
        <v>80.159315</v>
      </c>
      <c r="F849" s="1">
        <v>2846.0</v>
      </c>
      <c r="G849" s="1">
        <v>0.0</v>
      </c>
    </row>
    <row r="850">
      <c r="A850" s="1" t="s">
        <v>7</v>
      </c>
      <c r="B850" s="2">
        <v>44714.0</v>
      </c>
      <c r="C850" s="3">
        <v>0.709375</v>
      </c>
      <c r="D850" s="1">
        <v>12.981002</v>
      </c>
      <c r="E850" s="1">
        <v>80.165851</v>
      </c>
      <c r="F850" s="1">
        <v>2846.0</v>
      </c>
      <c r="G850" s="1">
        <v>57.0</v>
      </c>
    </row>
    <row r="851">
      <c r="A851" s="1" t="s">
        <v>7</v>
      </c>
      <c r="B851" s="2">
        <v>44714.0</v>
      </c>
      <c r="C851" s="3">
        <v>0.7096990740740741</v>
      </c>
      <c r="D851" s="1">
        <v>12.980053</v>
      </c>
      <c r="E851" s="1">
        <v>80.163117</v>
      </c>
      <c r="F851" s="1">
        <v>2846.0</v>
      </c>
      <c r="G851" s="1">
        <v>53.0</v>
      </c>
    </row>
    <row r="852">
      <c r="A852" s="1" t="s">
        <v>8</v>
      </c>
      <c r="B852" s="2">
        <v>44714.0</v>
      </c>
      <c r="C852" s="3">
        <v>0.7098958333333333</v>
      </c>
      <c r="D852" s="1">
        <v>12.722149</v>
      </c>
      <c r="E852" s="1">
        <v>79.981501</v>
      </c>
      <c r="F852" s="1">
        <v>805.0</v>
      </c>
      <c r="G852" s="1">
        <v>38.0</v>
      </c>
    </row>
    <row r="853">
      <c r="A853" s="1" t="s">
        <v>7</v>
      </c>
      <c r="B853" s="2">
        <v>44714.0</v>
      </c>
      <c r="C853" s="3">
        <v>0.7107060185185186</v>
      </c>
      <c r="D853" s="1">
        <v>12.717762</v>
      </c>
      <c r="E853" s="1">
        <v>79.980964</v>
      </c>
      <c r="F853" s="1">
        <v>805.0</v>
      </c>
      <c r="G853" s="1">
        <v>57.0</v>
      </c>
    </row>
    <row r="854">
      <c r="A854" s="1" t="s">
        <v>8</v>
      </c>
      <c r="B854" s="2">
        <v>44714.0</v>
      </c>
      <c r="C854" s="3">
        <v>0.7110416666666667</v>
      </c>
      <c r="D854" s="1">
        <v>12.709195</v>
      </c>
      <c r="E854" s="1">
        <v>79.977532</v>
      </c>
      <c r="F854" s="1">
        <v>805.0</v>
      </c>
      <c r="G854" s="1">
        <v>49.0</v>
      </c>
    </row>
    <row r="855">
      <c r="A855" s="1" t="s">
        <v>8</v>
      </c>
      <c r="B855" s="2">
        <v>44714.0</v>
      </c>
      <c r="C855" s="3">
        <v>0.7118055555555556</v>
      </c>
      <c r="D855" s="1">
        <v>12.702714</v>
      </c>
      <c r="E855" s="1">
        <v>79.970937</v>
      </c>
      <c r="F855" s="1">
        <v>805.0</v>
      </c>
      <c r="G855" s="1">
        <v>58.0</v>
      </c>
    </row>
    <row r="856">
      <c r="A856" s="1" t="s">
        <v>8</v>
      </c>
      <c r="B856" s="2">
        <v>44714.0</v>
      </c>
      <c r="C856" s="3">
        <v>0.7123958333333333</v>
      </c>
      <c r="D856" s="1">
        <v>12.991624</v>
      </c>
      <c r="E856" s="1">
        <v>80.181502</v>
      </c>
      <c r="F856" s="1">
        <v>2846.0</v>
      </c>
      <c r="G856" s="1">
        <v>46.0</v>
      </c>
    </row>
    <row r="857">
      <c r="A857" s="1" t="s">
        <v>10</v>
      </c>
      <c r="B857" s="2">
        <v>44714.0</v>
      </c>
      <c r="C857" s="3">
        <v>0.7131018518518518</v>
      </c>
      <c r="D857" s="1">
        <v>12.697386</v>
      </c>
      <c r="E857" s="1">
        <v>79.972095</v>
      </c>
      <c r="F857" s="1">
        <v>805.0</v>
      </c>
      <c r="G857" s="1">
        <v>20.0</v>
      </c>
    </row>
    <row r="858">
      <c r="A858" s="1" t="s">
        <v>8</v>
      </c>
      <c r="B858" s="2">
        <v>44714.0</v>
      </c>
      <c r="C858" s="3">
        <v>0.7146759259259259</v>
      </c>
      <c r="D858" s="1">
        <v>12.99811</v>
      </c>
      <c r="E858" s="1">
        <v>80.19169</v>
      </c>
      <c r="F858" s="1">
        <v>2846.0</v>
      </c>
      <c r="G858" s="1">
        <v>36.0</v>
      </c>
    </row>
    <row r="859">
      <c r="A859" s="1" t="s">
        <v>8</v>
      </c>
      <c r="B859" s="2">
        <v>44714.0</v>
      </c>
      <c r="C859" s="3">
        <v>0.7158101851851851</v>
      </c>
      <c r="D859" s="1">
        <v>12.693917</v>
      </c>
      <c r="E859" s="1">
        <v>79.979085</v>
      </c>
      <c r="F859" s="1">
        <v>805.0</v>
      </c>
      <c r="G859" s="1">
        <v>15.0</v>
      </c>
    </row>
    <row r="860">
      <c r="A860" s="1" t="s">
        <v>8</v>
      </c>
      <c r="B860" s="2">
        <v>44714.0</v>
      </c>
      <c r="C860" s="3">
        <v>0.7158333333333333</v>
      </c>
      <c r="D860" s="1">
        <v>12.692939</v>
      </c>
      <c r="E860" s="1">
        <v>79.979533</v>
      </c>
      <c r="F860" s="1">
        <v>805.0</v>
      </c>
      <c r="G860" s="1">
        <v>26.0</v>
      </c>
    </row>
    <row r="861">
      <c r="A861" s="1" t="s">
        <v>8</v>
      </c>
      <c r="B861" s="2">
        <v>44714.0</v>
      </c>
      <c r="C861" s="3">
        <v>0.7158333333333333</v>
      </c>
      <c r="D861" s="1">
        <v>12.692939</v>
      </c>
      <c r="E861" s="1">
        <v>79.979533</v>
      </c>
      <c r="F861" s="1">
        <v>805.0</v>
      </c>
      <c r="G861" s="1">
        <v>26.0</v>
      </c>
    </row>
    <row r="862">
      <c r="A862" s="1" t="s">
        <v>8</v>
      </c>
      <c r="B862" s="2">
        <v>44714.0</v>
      </c>
      <c r="C862" s="3">
        <v>0.715925925925926</v>
      </c>
      <c r="D862" s="1">
        <v>12.692939</v>
      </c>
      <c r="E862" s="1">
        <v>79.979533</v>
      </c>
      <c r="F862" s="1">
        <v>805.0</v>
      </c>
      <c r="G862" s="1">
        <v>26.0</v>
      </c>
    </row>
    <row r="863">
      <c r="A863" s="1" t="s">
        <v>8</v>
      </c>
      <c r="B863" s="2">
        <v>44714.0</v>
      </c>
      <c r="C863" s="3">
        <v>0.7161574074074074</v>
      </c>
      <c r="D863" s="1">
        <v>13.001967</v>
      </c>
      <c r="E863" s="1">
        <v>80.19856</v>
      </c>
      <c r="F863" s="1">
        <v>2846.0</v>
      </c>
      <c r="G863" s="1">
        <v>50.0</v>
      </c>
    </row>
    <row r="864">
      <c r="A864" s="1" t="s">
        <v>9</v>
      </c>
      <c r="B864" s="2">
        <v>44714.0</v>
      </c>
      <c r="C864" s="3">
        <v>0.7162615740740741</v>
      </c>
      <c r="D864" s="1">
        <v>13.001901</v>
      </c>
      <c r="E864" s="1">
        <v>80.199746</v>
      </c>
      <c r="F864" s="1">
        <v>2846.0</v>
      </c>
      <c r="G864" s="1">
        <v>39.0</v>
      </c>
    </row>
    <row r="865">
      <c r="A865" s="1" t="s">
        <v>8</v>
      </c>
      <c r="B865" s="2">
        <v>44714.0</v>
      </c>
      <c r="C865" s="3">
        <v>0.7164930555555555</v>
      </c>
      <c r="D865" s="1">
        <v>12.690267</v>
      </c>
      <c r="E865" s="1">
        <v>79.98174</v>
      </c>
      <c r="F865" s="1">
        <v>805.0</v>
      </c>
      <c r="G865" s="1">
        <v>31.0</v>
      </c>
    </row>
    <row r="866">
      <c r="A866" s="1" t="s">
        <v>8</v>
      </c>
      <c r="B866" s="2">
        <v>44714.0</v>
      </c>
      <c r="C866" s="3">
        <v>0.7166550925925926</v>
      </c>
      <c r="D866" s="1">
        <v>13.003804</v>
      </c>
      <c r="E866" s="1">
        <v>80.200898</v>
      </c>
      <c r="F866" s="1">
        <v>2846.0</v>
      </c>
      <c r="G866" s="1">
        <v>35.0</v>
      </c>
    </row>
    <row r="867">
      <c r="A867" s="1" t="s">
        <v>8</v>
      </c>
      <c r="B867" s="2">
        <v>44714.0</v>
      </c>
      <c r="C867" s="3">
        <v>0.7167476851851852</v>
      </c>
      <c r="D867" s="1">
        <v>13.003804</v>
      </c>
      <c r="E867" s="1">
        <v>80.200898</v>
      </c>
      <c r="F867" s="1">
        <v>2846.0</v>
      </c>
      <c r="G867" s="1">
        <v>35.0</v>
      </c>
    </row>
    <row r="868">
      <c r="A868" s="1" t="s">
        <v>8</v>
      </c>
      <c r="B868" s="2">
        <v>44714.0</v>
      </c>
      <c r="C868" s="3">
        <v>0.7167592592592592</v>
      </c>
      <c r="D868" s="1">
        <v>13.003804</v>
      </c>
      <c r="E868" s="1">
        <v>80.200898</v>
      </c>
      <c r="F868" s="1">
        <v>2846.0</v>
      </c>
      <c r="G868" s="1">
        <v>35.0</v>
      </c>
    </row>
    <row r="869">
      <c r="A869" s="1" t="s">
        <v>9</v>
      </c>
      <c r="B869" s="2">
        <v>44714.0</v>
      </c>
      <c r="C869" s="3">
        <v>0.7170717592592593</v>
      </c>
      <c r="D869" s="1">
        <v>13.005876</v>
      </c>
      <c r="E869" s="1">
        <v>80.202256</v>
      </c>
      <c r="F869" s="1">
        <v>2846.0</v>
      </c>
      <c r="G869" s="1">
        <v>43.0</v>
      </c>
    </row>
    <row r="870">
      <c r="A870" s="1" t="s">
        <v>10</v>
      </c>
      <c r="B870" s="2">
        <v>44714.0</v>
      </c>
      <c r="C870" s="3">
        <v>0.7171064814814815</v>
      </c>
      <c r="D870" s="1">
        <v>12.687592</v>
      </c>
      <c r="E870" s="1">
        <v>79.982998</v>
      </c>
      <c r="F870" s="1">
        <v>805.0</v>
      </c>
      <c r="G870" s="1">
        <v>0.0</v>
      </c>
    </row>
    <row r="871">
      <c r="A871" s="1" t="s">
        <v>8</v>
      </c>
      <c r="B871" s="2">
        <v>44714.0</v>
      </c>
      <c r="C871" s="3">
        <v>0.7183101851851852</v>
      </c>
      <c r="D871" s="1">
        <v>13.007645</v>
      </c>
      <c r="E871" s="1">
        <v>80.204986</v>
      </c>
      <c r="F871" s="1">
        <v>2846.0</v>
      </c>
      <c r="G871" s="1">
        <v>59.0</v>
      </c>
    </row>
    <row r="872">
      <c r="A872" s="1" t="s">
        <v>9</v>
      </c>
      <c r="B872" s="2">
        <v>44714.0</v>
      </c>
      <c r="C872" s="3">
        <v>0.718587962962963</v>
      </c>
      <c r="D872" s="1">
        <v>13.007645</v>
      </c>
      <c r="E872" s="1">
        <v>80.204986</v>
      </c>
      <c r="F872" s="1">
        <v>2846.0</v>
      </c>
      <c r="G872" s="1">
        <v>59.0</v>
      </c>
    </row>
    <row r="873">
      <c r="A873" s="1" t="s">
        <v>8</v>
      </c>
      <c r="B873" s="2">
        <v>44714.0</v>
      </c>
      <c r="C873" s="3">
        <v>0.7189930555555556</v>
      </c>
      <c r="D873" s="1">
        <v>13.010572</v>
      </c>
      <c r="E873" s="1">
        <v>80.216359</v>
      </c>
      <c r="F873" s="1">
        <v>2846.0</v>
      </c>
      <c r="G873" s="1">
        <v>43.0</v>
      </c>
    </row>
    <row r="874">
      <c r="A874" s="1" t="s">
        <v>8</v>
      </c>
      <c r="B874" s="2">
        <v>44714.0</v>
      </c>
      <c r="C874" s="3">
        <v>0.7190625</v>
      </c>
      <c r="D874" s="1">
        <v>13.010572</v>
      </c>
      <c r="E874" s="1">
        <v>80.216359</v>
      </c>
      <c r="F874" s="1">
        <v>2846.0</v>
      </c>
      <c r="G874" s="1">
        <v>43.0</v>
      </c>
    </row>
    <row r="875">
      <c r="A875" s="1" t="s">
        <v>8</v>
      </c>
      <c r="B875" s="2">
        <v>44714.0</v>
      </c>
      <c r="C875" s="3">
        <v>0.719212962962963</v>
      </c>
      <c r="D875" s="1">
        <v>13.011329</v>
      </c>
      <c r="E875" s="1">
        <v>80.21811</v>
      </c>
      <c r="F875" s="1">
        <v>2846.0</v>
      </c>
      <c r="G875" s="1">
        <v>41.0</v>
      </c>
    </row>
    <row r="876">
      <c r="A876" s="1" t="s">
        <v>8</v>
      </c>
      <c r="B876" s="2">
        <v>44714.0</v>
      </c>
      <c r="C876" s="3">
        <v>0.7193171296296297</v>
      </c>
      <c r="D876" s="1">
        <v>13.011713</v>
      </c>
      <c r="E876" s="1">
        <v>80.219094</v>
      </c>
      <c r="F876" s="1">
        <v>2846.0</v>
      </c>
      <c r="G876" s="1">
        <v>45.0</v>
      </c>
    </row>
    <row r="877">
      <c r="A877" s="1" t="s">
        <v>8</v>
      </c>
      <c r="B877" s="2">
        <v>44714.0</v>
      </c>
      <c r="C877" s="3">
        <v>0.72125</v>
      </c>
      <c r="D877" s="1">
        <v>13.018036</v>
      </c>
      <c r="E877" s="1">
        <v>80.224705</v>
      </c>
      <c r="F877" s="1">
        <v>2846.0</v>
      </c>
      <c r="G877" s="1">
        <v>32.0</v>
      </c>
    </row>
    <row r="878">
      <c r="A878" s="1" t="s">
        <v>8</v>
      </c>
      <c r="B878" s="2">
        <v>44714.0</v>
      </c>
      <c r="C878" s="3">
        <v>0.7215625</v>
      </c>
      <c r="D878" s="1">
        <v>12.674114</v>
      </c>
      <c r="E878" s="1">
        <v>79.976813</v>
      </c>
      <c r="F878" s="1">
        <v>805.0</v>
      </c>
      <c r="G878" s="1">
        <v>24.0</v>
      </c>
    </row>
    <row r="879">
      <c r="A879" s="1" t="s">
        <v>8</v>
      </c>
      <c r="B879" s="2">
        <v>44714.0</v>
      </c>
      <c r="C879" s="3">
        <v>0.721574074074074</v>
      </c>
      <c r="D879" s="1">
        <v>12.674114</v>
      </c>
      <c r="E879" s="1">
        <v>79.976813</v>
      </c>
      <c r="F879" s="1">
        <v>805.0</v>
      </c>
      <c r="G879" s="1">
        <v>24.0</v>
      </c>
    </row>
    <row r="880">
      <c r="A880" s="1" t="s">
        <v>8</v>
      </c>
      <c r="B880" s="2">
        <v>44714.0</v>
      </c>
      <c r="C880" s="3">
        <v>0.7219444444444445</v>
      </c>
      <c r="D880" s="1">
        <v>13.021846</v>
      </c>
      <c r="E880" s="1">
        <v>80.226027</v>
      </c>
      <c r="F880" s="1">
        <v>2846.0</v>
      </c>
      <c r="G880" s="1">
        <v>0.0</v>
      </c>
    </row>
    <row r="881">
      <c r="A881" s="1" t="s">
        <v>8</v>
      </c>
      <c r="B881" s="2">
        <v>44714.0</v>
      </c>
      <c r="C881" s="3">
        <v>0.7219675925925926</v>
      </c>
      <c r="D881" s="1">
        <v>13.021846</v>
      </c>
      <c r="E881" s="1">
        <v>80.226027</v>
      </c>
      <c r="F881" s="1">
        <v>2846.0</v>
      </c>
      <c r="G881" s="1">
        <v>0.0</v>
      </c>
    </row>
    <row r="882">
      <c r="A882" s="1" t="s">
        <v>8</v>
      </c>
      <c r="B882" s="2">
        <v>44714.0</v>
      </c>
      <c r="C882" s="3">
        <v>0.7220833333333333</v>
      </c>
      <c r="D882" s="1">
        <v>13.022584</v>
      </c>
      <c r="E882" s="1">
        <v>80.226644</v>
      </c>
      <c r="F882" s="1">
        <v>2846.0</v>
      </c>
      <c r="G882" s="1">
        <v>27.0</v>
      </c>
    </row>
    <row r="883">
      <c r="A883" s="1" t="s">
        <v>7</v>
      </c>
      <c r="B883" s="2">
        <v>44714.0</v>
      </c>
      <c r="C883" s="3">
        <v>0.7221875</v>
      </c>
      <c r="D883" s="1">
        <v>12.670089</v>
      </c>
      <c r="E883" s="1">
        <v>79.975392</v>
      </c>
      <c r="F883" s="1">
        <v>805.0</v>
      </c>
      <c r="G883" s="1">
        <v>32.0</v>
      </c>
    </row>
    <row r="884">
      <c r="A884" s="1" t="s">
        <v>8</v>
      </c>
      <c r="B884" s="2">
        <v>44714.0</v>
      </c>
      <c r="C884" s="3">
        <v>0.7222337962962962</v>
      </c>
      <c r="D884" s="1">
        <v>12.670089</v>
      </c>
      <c r="E884" s="1">
        <v>79.975392</v>
      </c>
      <c r="F884" s="1">
        <v>805.0</v>
      </c>
      <c r="G884" s="1">
        <v>32.0</v>
      </c>
    </row>
    <row r="885">
      <c r="A885" s="1" t="s">
        <v>7</v>
      </c>
      <c r="B885" s="2">
        <v>44714.0</v>
      </c>
      <c r="C885" s="3">
        <v>0.7223726851851852</v>
      </c>
      <c r="D885" s="1">
        <v>12.668798</v>
      </c>
      <c r="E885" s="1">
        <v>79.973817</v>
      </c>
      <c r="F885" s="1">
        <v>805.0</v>
      </c>
      <c r="G885" s="1">
        <v>57.0</v>
      </c>
    </row>
    <row r="886">
      <c r="A886" s="1" t="s">
        <v>8</v>
      </c>
      <c r="B886" s="2">
        <v>44714.0</v>
      </c>
      <c r="C886" s="3">
        <v>0.7224421296296296</v>
      </c>
      <c r="D886" s="1">
        <v>13.024941</v>
      </c>
      <c r="E886" s="1">
        <v>80.229302</v>
      </c>
      <c r="F886" s="1">
        <v>2846.0</v>
      </c>
      <c r="G886" s="1">
        <v>38.0</v>
      </c>
    </row>
    <row r="887">
      <c r="A887" s="1" t="s">
        <v>7</v>
      </c>
      <c r="B887" s="2">
        <v>44714.0</v>
      </c>
      <c r="C887" s="3">
        <v>0.7227083333333333</v>
      </c>
      <c r="D887" s="1">
        <v>12.665927</v>
      </c>
      <c r="E887" s="1">
        <v>79.970208</v>
      </c>
      <c r="F887" s="1">
        <v>805.0</v>
      </c>
      <c r="G887" s="1">
        <v>58.0</v>
      </c>
    </row>
    <row r="888">
      <c r="A888" s="1" t="s">
        <v>7</v>
      </c>
      <c r="B888" s="2">
        <v>44714.0</v>
      </c>
      <c r="C888" s="3">
        <v>0.7236574074074074</v>
      </c>
      <c r="D888" s="1">
        <v>12.660677</v>
      </c>
      <c r="E888" s="1">
        <v>79.966031</v>
      </c>
      <c r="F888" s="1">
        <v>805.0</v>
      </c>
      <c r="G888" s="1">
        <v>50.0</v>
      </c>
    </row>
    <row r="889">
      <c r="A889" s="1" t="s">
        <v>8</v>
      </c>
      <c r="B889" s="2">
        <v>44714.0</v>
      </c>
      <c r="C889" s="3">
        <v>0.7241087962962963</v>
      </c>
      <c r="D889" s="1">
        <v>13.027232</v>
      </c>
      <c r="E889" s="1">
        <v>80.23399</v>
      </c>
      <c r="F889" s="1">
        <v>2846.0</v>
      </c>
      <c r="G889" s="1">
        <v>46.0</v>
      </c>
    </row>
    <row r="890">
      <c r="A890" s="1" t="s">
        <v>8</v>
      </c>
      <c r="B890" s="2">
        <v>44714.0</v>
      </c>
      <c r="C890" s="3">
        <v>0.7244212962962963</v>
      </c>
      <c r="D890" s="1">
        <v>13.029163</v>
      </c>
      <c r="E890" s="1">
        <v>80.236695</v>
      </c>
      <c r="F890" s="1">
        <v>2846.0</v>
      </c>
      <c r="G890" s="1">
        <v>44.0</v>
      </c>
    </row>
    <row r="891">
      <c r="A891" s="1" t="s">
        <v>8</v>
      </c>
      <c r="B891" s="2">
        <v>44714.0</v>
      </c>
      <c r="C891" s="3">
        <v>0.7244328703703704</v>
      </c>
      <c r="D891" s="1">
        <v>13.029163</v>
      </c>
      <c r="E891" s="1">
        <v>80.236695</v>
      </c>
      <c r="F891" s="1">
        <v>2846.0</v>
      </c>
      <c r="G891" s="1">
        <v>44.0</v>
      </c>
    </row>
    <row r="892">
      <c r="A892" s="1" t="s">
        <v>7</v>
      </c>
      <c r="B892" s="2">
        <v>44714.0</v>
      </c>
      <c r="C892" s="3">
        <v>0.7244907407407407</v>
      </c>
      <c r="D892" s="1">
        <v>12.656638</v>
      </c>
      <c r="E892" s="1">
        <v>79.955704</v>
      </c>
      <c r="F892" s="1">
        <v>805.0</v>
      </c>
      <c r="G892" s="1">
        <v>62.0</v>
      </c>
    </row>
    <row r="893">
      <c r="A893" s="1" t="s">
        <v>8</v>
      </c>
      <c r="B893" s="2">
        <v>44714.0</v>
      </c>
      <c r="C893" s="3">
        <v>0.725</v>
      </c>
      <c r="D893" s="1">
        <v>13.029163</v>
      </c>
      <c r="E893" s="1">
        <v>80.236695</v>
      </c>
      <c r="F893" s="1">
        <v>2846.0</v>
      </c>
      <c r="G893" s="1">
        <v>44.0</v>
      </c>
    </row>
    <row r="894">
      <c r="A894" s="1" t="s">
        <v>8</v>
      </c>
      <c r="B894" s="2">
        <v>44714.0</v>
      </c>
      <c r="C894" s="3">
        <v>0.7253587962962963</v>
      </c>
      <c r="D894" s="1">
        <v>13.029163</v>
      </c>
      <c r="E894" s="1">
        <v>80.236695</v>
      </c>
      <c r="F894" s="1">
        <v>2846.0</v>
      </c>
      <c r="G894" s="1">
        <v>44.0</v>
      </c>
    </row>
    <row r="895">
      <c r="A895" s="1" t="s">
        <v>8</v>
      </c>
      <c r="B895" s="2">
        <v>44714.0</v>
      </c>
      <c r="C895" s="3">
        <v>0.7261342592592592</v>
      </c>
      <c r="D895" s="1">
        <v>12.657907</v>
      </c>
      <c r="E895" s="1">
        <v>79.943618</v>
      </c>
      <c r="F895" s="1">
        <v>805.0</v>
      </c>
      <c r="G895" s="1">
        <v>39.0</v>
      </c>
    </row>
    <row r="896">
      <c r="A896" s="1" t="s">
        <v>7</v>
      </c>
      <c r="B896" s="2">
        <v>44714.0</v>
      </c>
      <c r="C896" s="3">
        <v>0.726400462962963</v>
      </c>
      <c r="D896" s="1">
        <v>12.657907</v>
      </c>
      <c r="E896" s="1">
        <v>79.943618</v>
      </c>
      <c r="F896" s="1">
        <v>805.0</v>
      </c>
      <c r="G896" s="1">
        <v>39.0</v>
      </c>
    </row>
    <row r="897">
      <c r="A897" s="1" t="s">
        <v>7</v>
      </c>
      <c r="B897" s="2">
        <v>44714.0</v>
      </c>
      <c r="C897" s="3">
        <v>0.7272569444444444</v>
      </c>
      <c r="D897" s="1">
        <v>12.646346</v>
      </c>
      <c r="E897" s="1">
        <v>79.940184</v>
      </c>
      <c r="F897" s="1">
        <v>805.0</v>
      </c>
      <c r="G897" s="1">
        <v>57.0</v>
      </c>
    </row>
    <row r="898">
      <c r="A898" s="1" t="s">
        <v>7</v>
      </c>
      <c r="B898" s="2">
        <v>44714.0</v>
      </c>
      <c r="C898" s="3">
        <v>0.728287037037037</v>
      </c>
      <c r="D898" s="1">
        <v>12.636422</v>
      </c>
      <c r="E898" s="1">
        <v>79.934156</v>
      </c>
      <c r="F898" s="1">
        <v>805.0</v>
      </c>
      <c r="G898" s="1">
        <v>57.0</v>
      </c>
    </row>
    <row r="899">
      <c r="A899" s="1" t="s">
        <v>7</v>
      </c>
      <c r="B899" s="2">
        <v>44714.0</v>
      </c>
      <c r="C899" s="3">
        <v>0.7284837962962963</v>
      </c>
      <c r="D899" s="1">
        <v>12.632787</v>
      </c>
      <c r="E899" s="1">
        <v>79.93242</v>
      </c>
      <c r="F899" s="1">
        <v>805.0</v>
      </c>
      <c r="G899" s="1">
        <v>53.0</v>
      </c>
    </row>
    <row r="900">
      <c r="A900" s="1" t="s">
        <v>7</v>
      </c>
      <c r="B900" s="2">
        <v>44714.0</v>
      </c>
      <c r="C900" s="3">
        <v>0.7287152777777778</v>
      </c>
      <c r="D900" s="1">
        <v>12.630634</v>
      </c>
      <c r="E900" s="1">
        <v>79.931496</v>
      </c>
      <c r="F900" s="1">
        <v>805.0</v>
      </c>
      <c r="G900" s="1">
        <v>58.0</v>
      </c>
    </row>
    <row r="901">
      <c r="A901" s="1" t="s">
        <v>7</v>
      </c>
      <c r="B901" s="2">
        <v>44714.0</v>
      </c>
      <c r="C901" s="3">
        <v>0.7291666666666666</v>
      </c>
      <c r="D901" s="1">
        <v>12.626459</v>
      </c>
      <c r="E901" s="1">
        <v>79.929673</v>
      </c>
      <c r="F901" s="1">
        <v>805.0</v>
      </c>
      <c r="G901" s="1">
        <v>58.0</v>
      </c>
    </row>
    <row r="902">
      <c r="A902" s="1" t="s">
        <v>7</v>
      </c>
      <c r="B902" s="2">
        <v>44714.0</v>
      </c>
      <c r="C902" s="3">
        <v>0.7296643518518519</v>
      </c>
      <c r="D902" s="1">
        <v>12.619892</v>
      </c>
      <c r="E902" s="1">
        <v>79.927131</v>
      </c>
      <c r="F902" s="1">
        <v>805.0</v>
      </c>
      <c r="G902" s="1">
        <v>58.0</v>
      </c>
    </row>
    <row r="903">
      <c r="A903" s="1" t="s">
        <v>7</v>
      </c>
      <c r="B903" s="2">
        <v>44714.0</v>
      </c>
      <c r="C903" s="3">
        <v>0.7298032407407408</v>
      </c>
      <c r="D903" s="1">
        <v>12.617611</v>
      </c>
      <c r="E903" s="1">
        <v>79.926576</v>
      </c>
      <c r="F903" s="1">
        <v>805.0</v>
      </c>
      <c r="G903" s="1">
        <v>58.0</v>
      </c>
    </row>
    <row r="904">
      <c r="A904" s="1" t="s">
        <v>8</v>
      </c>
      <c r="B904" s="2">
        <v>44714.0</v>
      </c>
      <c r="C904" s="3">
        <v>0.7298958333333333</v>
      </c>
      <c r="D904" s="1">
        <v>13.039127</v>
      </c>
      <c r="E904" s="1">
        <v>80.246799</v>
      </c>
      <c r="F904" s="1">
        <v>2846.0</v>
      </c>
      <c r="G904" s="1">
        <v>18.0</v>
      </c>
    </row>
    <row r="905">
      <c r="A905" s="1" t="s">
        <v>7</v>
      </c>
      <c r="B905" s="2">
        <v>44714.0</v>
      </c>
      <c r="C905" s="3">
        <v>0.7299074074074074</v>
      </c>
      <c r="D905" s="1">
        <v>12.617611</v>
      </c>
      <c r="E905" s="1">
        <v>79.926576</v>
      </c>
      <c r="F905" s="1">
        <v>805.0</v>
      </c>
      <c r="G905" s="1">
        <v>58.0</v>
      </c>
    </row>
    <row r="906">
      <c r="A906" s="1" t="s">
        <v>7</v>
      </c>
      <c r="B906" s="2">
        <v>44714.0</v>
      </c>
      <c r="C906" s="3">
        <v>0.7301273148148149</v>
      </c>
      <c r="D906" s="1">
        <v>12.613476</v>
      </c>
      <c r="E906" s="1">
        <v>79.924711</v>
      </c>
      <c r="F906" s="1">
        <v>805.0</v>
      </c>
      <c r="G906" s="1">
        <v>58.0</v>
      </c>
    </row>
    <row r="907">
      <c r="A907" s="1" t="s">
        <v>8</v>
      </c>
      <c r="B907" s="2">
        <v>44714.0</v>
      </c>
      <c r="C907" s="3">
        <v>0.7301736111111111</v>
      </c>
      <c r="D907" s="1">
        <v>13.041584</v>
      </c>
      <c r="E907" s="1">
        <v>80.247299</v>
      </c>
      <c r="F907" s="1">
        <v>2846.0</v>
      </c>
      <c r="G907" s="1">
        <v>39.0</v>
      </c>
    </row>
    <row r="908">
      <c r="A908" s="1" t="s">
        <v>8</v>
      </c>
      <c r="B908" s="2">
        <v>44714.0</v>
      </c>
      <c r="C908" s="3">
        <v>0.7302083333333333</v>
      </c>
      <c r="D908" s="1">
        <v>13.041584</v>
      </c>
      <c r="E908" s="1">
        <v>80.247299</v>
      </c>
      <c r="F908" s="1">
        <v>2846.0</v>
      </c>
      <c r="G908" s="1">
        <v>39.0</v>
      </c>
    </row>
    <row r="909">
      <c r="A909" s="1" t="s">
        <v>8</v>
      </c>
      <c r="B909" s="2">
        <v>44714.0</v>
      </c>
      <c r="C909" s="3">
        <v>0.7302083333333333</v>
      </c>
      <c r="D909" s="1">
        <v>13.041584</v>
      </c>
      <c r="E909" s="1">
        <v>80.247299</v>
      </c>
      <c r="F909" s="1">
        <v>2846.0</v>
      </c>
      <c r="G909" s="1">
        <v>39.0</v>
      </c>
    </row>
    <row r="910">
      <c r="A910" s="1" t="s">
        <v>7</v>
      </c>
      <c r="B910" s="2">
        <v>44714.0</v>
      </c>
      <c r="C910" s="3">
        <v>0.7302546296296296</v>
      </c>
      <c r="D910" s="1">
        <v>12.613476</v>
      </c>
      <c r="E910" s="1">
        <v>79.924711</v>
      </c>
      <c r="F910" s="1">
        <v>805.0</v>
      </c>
      <c r="G910" s="1">
        <v>58.0</v>
      </c>
    </row>
    <row r="911">
      <c r="A911" s="1" t="s">
        <v>8</v>
      </c>
      <c r="B911" s="2">
        <v>44714.0</v>
      </c>
      <c r="C911" s="3">
        <v>0.730474537037037</v>
      </c>
      <c r="D911" s="1">
        <v>13.043317</v>
      </c>
      <c r="E911" s="1">
        <v>80.247668</v>
      </c>
      <c r="F911" s="1">
        <v>2846.0</v>
      </c>
      <c r="G911" s="1">
        <v>40.0</v>
      </c>
    </row>
    <row r="912">
      <c r="A912" s="1" t="s">
        <v>8</v>
      </c>
      <c r="B912" s="2">
        <v>44714.0</v>
      </c>
      <c r="C912" s="3">
        <v>0.7306597222222222</v>
      </c>
      <c r="D912" s="1">
        <v>13.045072</v>
      </c>
      <c r="E912" s="1">
        <v>80.247997</v>
      </c>
      <c r="F912" s="1">
        <v>2846.0</v>
      </c>
      <c r="G912" s="1">
        <v>21.0</v>
      </c>
    </row>
    <row r="913">
      <c r="A913" s="1" t="s">
        <v>7</v>
      </c>
      <c r="B913" s="2">
        <v>44714.0</v>
      </c>
      <c r="C913" s="3">
        <v>0.7307175925925926</v>
      </c>
      <c r="D913" s="1">
        <v>12.607458</v>
      </c>
      <c r="E913" s="1">
        <v>79.92131</v>
      </c>
      <c r="F913" s="1">
        <v>805.0</v>
      </c>
      <c r="G913" s="1">
        <v>58.0</v>
      </c>
    </row>
    <row r="914">
      <c r="A914" s="1" t="s">
        <v>7</v>
      </c>
      <c r="B914" s="2">
        <v>44714.0</v>
      </c>
      <c r="C914" s="3">
        <v>0.7309722222222222</v>
      </c>
      <c r="D914" s="1">
        <v>12.605194</v>
      </c>
      <c r="E914" s="1">
        <v>79.920712</v>
      </c>
      <c r="F914" s="1">
        <v>805.0</v>
      </c>
      <c r="G914" s="1">
        <v>58.0</v>
      </c>
    </row>
    <row r="915">
      <c r="A915" s="1" t="s">
        <v>8</v>
      </c>
      <c r="B915" s="2">
        <v>44714.0</v>
      </c>
      <c r="C915" s="3">
        <v>0.7310416666666667</v>
      </c>
      <c r="D915" s="1">
        <v>13.04727</v>
      </c>
      <c r="E915" s="1">
        <v>80.248475</v>
      </c>
      <c r="F915" s="1">
        <v>2846.0</v>
      </c>
      <c r="G915" s="1">
        <v>33.0</v>
      </c>
    </row>
    <row r="916">
      <c r="A916" s="1" t="s">
        <v>7</v>
      </c>
      <c r="B916" s="2">
        <v>44714.0</v>
      </c>
      <c r="C916" s="3">
        <v>0.731099537037037</v>
      </c>
      <c r="D916" s="1">
        <v>12.603022</v>
      </c>
      <c r="E916" s="1">
        <v>79.920293</v>
      </c>
      <c r="F916" s="1">
        <v>805.0</v>
      </c>
      <c r="G916" s="1">
        <v>58.0</v>
      </c>
    </row>
    <row r="917">
      <c r="A917" s="1" t="s">
        <v>7</v>
      </c>
      <c r="B917" s="2">
        <v>44714.0</v>
      </c>
      <c r="C917" s="3">
        <v>0.7313657407407408</v>
      </c>
      <c r="D917" s="1">
        <v>12.60069</v>
      </c>
      <c r="E917" s="1">
        <v>79.920052</v>
      </c>
      <c r="F917" s="1">
        <v>805.0</v>
      </c>
      <c r="G917" s="1">
        <v>58.0</v>
      </c>
    </row>
    <row r="918">
      <c r="A918" s="1" t="s">
        <v>7</v>
      </c>
      <c r="B918" s="2">
        <v>44714.0</v>
      </c>
      <c r="C918" s="3">
        <v>0.7316203703703704</v>
      </c>
      <c r="D918" s="1">
        <v>12.596021</v>
      </c>
      <c r="E918" s="1">
        <v>79.919558</v>
      </c>
      <c r="F918" s="1">
        <v>805.0</v>
      </c>
      <c r="G918" s="1">
        <v>58.0</v>
      </c>
    </row>
    <row r="919">
      <c r="A919" s="1" t="s">
        <v>8</v>
      </c>
      <c r="B919" s="2">
        <v>44714.0</v>
      </c>
      <c r="C919" s="3">
        <v>0.7318171296296296</v>
      </c>
      <c r="D919" s="1">
        <v>13.051143</v>
      </c>
      <c r="E919" s="1">
        <v>80.250028</v>
      </c>
      <c r="F919" s="1">
        <v>2846.0</v>
      </c>
      <c r="G919" s="1">
        <v>30.0</v>
      </c>
    </row>
    <row r="920">
      <c r="A920" s="1" t="s">
        <v>7</v>
      </c>
      <c r="B920" s="2">
        <v>44714.0</v>
      </c>
      <c r="C920" s="3">
        <v>0.7319791666666666</v>
      </c>
      <c r="D920" s="1">
        <v>12.591492</v>
      </c>
      <c r="E920" s="1">
        <v>79.919311</v>
      </c>
      <c r="F920" s="1">
        <v>805.0</v>
      </c>
      <c r="G920" s="1">
        <v>57.0</v>
      </c>
    </row>
    <row r="921">
      <c r="A921" s="1" t="s">
        <v>7</v>
      </c>
      <c r="B921" s="2">
        <v>44714.0</v>
      </c>
      <c r="C921" s="3">
        <v>0.7323958333333334</v>
      </c>
      <c r="D921" s="1">
        <v>12.586814</v>
      </c>
      <c r="E921" s="1">
        <v>79.919491</v>
      </c>
      <c r="F921" s="1">
        <v>805.0</v>
      </c>
      <c r="G921" s="1">
        <v>58.0</v>
      </c>
    </row>
    <row r="922">
      <c r="A922" s="1" t="s">
        <v>7</v>
      </c>
      <c r="B922" s="2">
        <v>44714.0</v>
      </c>
      <c r="C922" s="3">
        <v>0.7325694444444445</v>
      </c>
      <c r="D922" s="1">
        <v>12.584462</v>
      </c>
      <c r="E922" s="1">
        <v>79.919411</v>
      </c>
      <c r="F922" s="1">
        <v>805.0</v>
      </c>
      <c r="G922" s="1">
        <v>58.0</v>
      </c>
    </row>
    <row r="923">
      <c r="A923" s="1" t="s">
        <v>8</v>
      </c>
      <c r="B923" s="2">
        <v>44714.0</v>
      </c>
      <c r="C923" s="3">
        <v>0.7325925925925926</v>
      </c>
      <c r="D923" s="1">
        <v>13.054977</v>
      </c>
      <c r="E923" s="1">
        <v>80.254496</v>
      </c>
      <c r="F923" s="1">
        <v>2846.0</v>
      </c>
      <c r="G923" s="1">
        <v>23.0</v>
      </c>
    </row>
    <row r="924">
      <c r="A924" s="1" t="s">
        <v>8</v>
      </c>
      <c r="B924" s="2">
        <v>44714.0</v>
      </c>
      <c r="C924" s="3">
        <v>0.7326273148148148</v>
      </c>
      <c r="D924" s="1">
        <v>13.054977</v>
      </c>
      <c r="E924" s="1">
        <v>80.254496</v>
      </c>
      <c r="F924" s="1">
        <v>2846.0</v>
      </c>
      <c r="G924" s="1">
        <v>23.0</v>
      </c>
    </row>
    <row r="925">
      <c r="A925" s="1" t="s">
        <v>7</v>
      </c>
      <c r="B925" s="2">
        <v>44714.0</v>
      </c>
      <c r="C925" s="3">
        <v>0.7329050925925926</v>
      </c>
      <c r="D925" s="1">
        <v>12.580058</v>
      </c>
      <c r="E925" s="1">
        <v>79.9184</v>
      </c>
      <c r="F925" s="1">
        <v>805.0</v>
      </c>
      <c r="G925" s="1">
        <v>58.0</v>
      </c>
    </row>
    <row r="926">
      <c r="A926" s="1" t="s">
        <v>10</v>
      </c>
      <c r="B926" s="2">
        <v>44714.0</v>
      </c>
      <c r="C926" s="3">
        <v>0.7333101851851852</v>
      </c>
      <c r="D926" s="1">
        <v>13.057133</v>
      </c>
      <c r="E926" s="1">
        <v>80.257141</v>
      </c>
      <c r="F926" s="1">
        <v>2846.0</v>
      </c>
      <c r="G926" s="1">
        <v>27.0</v>
      </c>
    </row>
    <row r="927">
      <c r="A927" s="1" t="s">
        <v>7</v>
      </c>
      <c r="B927" s="2">
        <v>44714.0</v>
      </c>
      <c r="C927" s="3">
        <v>0.7334837962962963</v>
      </c>
      <c r="D927" s="1">
        <v>12.573439</v>
      </c>
      <c r="E927" s="1">
        <v>79.916622</v>
      </c>
      <c r="F927" s="1">
        <v>805.0</v>
      </c>
      <c r="G927" s="1">
        <v>58.0</v>
      </c>
    </row>
    <row r="928">
      <c r="A928" s="1" t="s">
        <v>7</v>
      </c>
      <c r="B928" s="2">
        <v>44714.0</v>
      </c>
      <c r="C928" s="3">
        <v>0.7337847222222222</v>
      </c>
      <c r="D928" s="1">
        <v>12.56904</v>
      </c>
      <c r="E928" s="1">
        <v>79.915474</v>
      </c>
      <c r="F928" s="1">
        <v>805.0</v>
      </c>
      <c r="G928" s="1">
        <v>57.0</v>
      </c>
    </row>
    <row r="929">
      <c r="A929" s="1" t="s">
        <v>7</v>
      </c>
      <c r="B929" s="2">
        <v>44714.0</v>
      </c>
      <c r="C929" s="3">
        <v>0.7340625</v>
      </c>
      <c r="D929" s="1">
        <v>12.56691</v>
      </c>
      <c r="E929" s="1">
        <v>79.9149</v>
      </c>
      <c r="F929" s="1">
        <v>805.0</v>
      </c>
      <c r="G929" s="1">
        <v>58.0</v>
      </c>
    </row>
    <row r="930">
      <c r="A930" s="1" t="s">
        <v>8</v>
      </c>
      <c r="B930" s="2">
        <v>44714.0</v>
      </c>
      <c r="C930" s="3">
        <v>0.7341087962962963</v>
      </c>
      <c r="D930" s="1">
        <v>13.056418</v>
      </c>
      <c r="E930" s="1">
        <v>80.256653</v>
      </c>
      <c r="F930" s="1">
        <v>2846.0</v>
      </c>
      <c r="G930" s="1">
        <v>26.0</v>
      </c>
    </row>
    <row r="931">
      <c r="A931" s="1" t="s">
        <v>8</v>
      </c>
      <c r="B931" s="2">
        <v>44714.0</v>
      </c>
      <c r="C931" s="3">
        <v>0.7341319444444444</v>
      </c>
      <c r="D931" s="1">
        <v>13.056418</v>
      </c>
      <c r="E931" s="1">
        <v>80.256653</v>
      </c>
      <c r="F931" s="1">
        <v>2846.0</v>
      </c>
      <c r="G931" s="1">
        <v>26.0</v>
      </c>
    </row>
    <row r="932">
      <c r="A932" s="1" t="s">
        <v>8</v>
      </c>
      <c r="B932" s="2">
        <v>44714.0</v>
      </c>
      <c r="C932" s="3">
        <v>0.7341435185185186</v>
      </c>
      <c r="D932" s="1">
        <v>13.056418</v>
      </c>
      <c r="E932" s="1">
        <v>80.256653</v>
      </c>
      <c r="F932" s="1">
        <v>2846.0</v>
      </c>
      <c r="G932" s="1">
        <v>26.0</v>
      </c>
    </row>
    <row r="933">
      <c r="A933" s="1" t="s">
        <v>8</v>
      </c>
      <c r="B933" s="2">
        <v>44714.0</v>
      </c>
      <c r="C933" s="3">
        <v>0.7341666666666666</v>
      </c>
      <c r="D933" s="1">
        <v>13.056418</v>
      </c>
      <c r="E933" s="1">
        <v>80.256653</v>
      </c>
      <c r="F933" s="1">
        <v>2846.0</v>
      </c>
      <c r="G933" s="1">
        <v>26.0</v>
      </c>
    </row>
    <row r="934">
      <c r="A934" s="1" t="s">
        <v>8</v>
      </c>
      <c r="B934" s="2">
        <v>44714.0</v>
      </c>
      <c r="C934" s="3">
        <v>0.7342824074074074</v>
      </c>
      <c r="D934" s="1">
        <v>13.056042</v>
      </c>
      <c r="E934" s="1">
        <v>80.256074</v>
      </c>
      <c r="F934" s="1">
        <v>2846.0</v>
      </c>
      <c r="G934" s="1">
        <v>27.0</v>
      </c>
    </row>
    <row r="935">
      <c r="A935" s="1" t="s">
        <v>8</v>
      </c>
      <c r="B935" s="2">
        <v>44714.0</v>
      </c>
      <c r="C935" s="3">
        <v>0.734375</v>
      </c>
      <c r="D935" s="1">
        <v>13.055561</v>
      </c>
      <c r="E935" s="1">
        <v>80.255502</v>
      </c>
      <c r="F935" s="1">
        <v>2846.0</v>
      </c>
      <c r="G935" s="1">
        <v>31.0</v>
      </c>
    </row>
    <row r="936">
      <c r="A936" s="1" t="s">
        <v>8</v>
      </c>
      <c r="B936" s="2">
        <v>44714.0</v>
      </c>
      <c r="C936" s="3">
        <v>0.734386574074074</v>
      </c>
      <c r="D936" s="1">
        <v>13.055561</v>
      </c>
      <c r="E936" s="1">
        <v>80.255502</v>
      </c>
      <c r="F936" s="1">
        <v>2846.0</v>
      </c>
      <c r="G936" s="1">
        <v>31.0</v>
      </c>
    </row>
    <row r="937">
      <c r="A937" s="1" t="s">
        <v>7</v>
      </c>
      <c r="B937" s="2">
        <v>44714.0</v>
      </c>
      <c r="C937" s="3">
        <v>0.7344212962962963</v>
      </c>
      <c r="D937" s="1">
        <v>12.562818</v>
      </c>
      <c r="E937" s="1">
        <v>79.912978</v>
      </c>
      <c r="F937" s="1">
        <v>805.0</v>
      </c>
      <c r="G937" s="1">
        <v>58.0</v>
      </c>
    </row>
    <row r="938">
      <c r="A938" s="1" t="s">
        <v>7</v>
      </c>
      <c r="B938" s="2">
        <v>44714.0</v>
      </c>
      <c r="C938" s="3">
        <v>0.7348263888888888</v>
      </c>
      <c r="D938" s="1">
        <v>12.556842</v>
      </c>
      <c r="E938" s="1">
        <v>79.909488</v>
      </c>
      <c r="F938" s="1">
        <v>805.0</v>
      </c>
      <c r="G938" s="1">
        <v>58.0</v>
      </c>
    </row>
    <row r="939">
      <c r="A939" s="1" t="s">
        <v>8</v>
      </c>
      <c r="B939" s="2">
        <v>44714.0</v>
      </c>
      <c r="C939" s="3">
        <v>0.7349305555555555</v>
      </c>
      <c r="D939" s="1">
        <v>13.054365</v>
      </c>
      <c r="E939" s="1">
        <v>80.258714</v>
      </c>
      <c r="F939" s="1">
        <v>2846.0</v>
      </c>
      <c r="G939" s="1">
        <v>54.0</v>
      </c>
    </row>
    <row r="940">
      <c r="A940" s="1" t="s">
        <v>8</v>
      </c>
      <c r="B940" s="2">
        <v>44714.0</v>
      </c>
      <c r="C940" s="3">
        <v>0.7350925925925926</v>
      </c>
      <c r="D940" s="1">
        <v>13.054269</v>
      </c>
      <c r="E940" s="1">
        <v>80.259855</v>
      </c>
      <c r="F940" s="1">
        <v>2846.0</v>
      </c>
      <c r="G940" s="1">
        <v>37.0</v>
      </c>
    </row>
    <row r="941">
      <c r="A941" s="1" t="s">
        <v>7</v>
      </c>
      <c r="B941" s="2">
        <v>44714.0</v>
      </c>
      <c r="C941" s="3">
        <v>0.7351041666666667</v>
      </c>
      <c r="D941" s="1">
        <v>12.554928</v>
      </c>
      <c r="E941" s="1">
        <v>79.908398</v>
      </c>
      <c r="F941" s="1">
        <v>805.0</v>
      </c>
      <c r="G941" s="1">
        <v>58.0</v>
      </c>
    </row>
    <row r="942">
      <c r="A942" s="1" t="s">
        <v>8</v>
      </c>
      <c r="B942" s="2">
        <v>44714.0</v>
      </c>
      <c r="C942" s="3">
        <v>0.7351041666666667</v>
      </c>
      <c r="D942" s="1">
        <v>13.054269</v>
      </c>
      <c r="E942" s="1">
        <v>80.259855</v>
      </c>
      <c r="F942" s="1">
        <v>2846.0</v>
      </c>
      <c r="G942" s="1">
        <v>37.0</v>
      </c>
    </row>
    <row r="943">
      <c r="A943" s="1" t="s">
        <v>7</v>
      </c>
      <c r="B943" s="2">
        <v>44714.0</v>
      </c>
      <c r="C943" s="3">
        <v>0.7352430555555556</v>
      </c>
      <c r="D943" s="1">
        <v>12.552788</v>
      </c>
      <c r="E943" s="1">
        <v>79.907412</v>
      </c>
      <c r="F943" s="1">
        <v>805.0</v>
      </c>
      <c r="G943" s="1">
        <v>58.0</v>
      </c>
    </row>
    <row r="944">
      <c r="A944" s="1" t="s">
        <v>7</v>
      </c>
      <c r="B944" s="2">
        <v>44714.0</v>
      </c>
      <c r="C944" s="3">
        <v>0.7353356481481481</v>
      </c>
      <c r="D944" s="1">
        <v>12.552788</v>
      </c>
      <c r="E944" s="1">
        <v>79.907412</v>
      </c>
      <c r="F944" s="1">
        <v>805.0</v>
      </c>
      <c r="G944" s="1">
        <v>58.0</v>
      </c>
    </row>
    <row r="945">
      <c r="A945" s="1" t="s">
        <v>8</v>
      </c>
      <c r="B945" s="2">
        <v>44714.0</v>
      </c>
      <c r="C945" s="3">
        <v>0.7358912037037038</v>
      </c>
      <c r="D945" s="1">
        <v>13.053837</v>
      </c>
      <c r="E945" s="1">
        <v>80.264543</v>
      </c>
      <c r="F945" s="1">
        <v>2846.0</v>
      </c>
      <c r="G945" s="1">
        <v>33.0</v>
      </c>
    </row>
    <row r="946">
      <c r="A946" s="1" t="s">
        <v>7</v>
      </c>
      <c r="B946" s="2">
        <v>44714.0</v>
      </c>
      <c r="C946" s="3">
        <v>0.7359143518518518</v>
      </c>
      <c r="D946" s="1">
        <v>12.54606</v>
      </c>
      <c r="E946" s="1">
        <v>79.905448</v>
      </c>
      <c r="F946" s="1">
        <v>805.0</v>
      </c>
      <c r="G946" s="1">
        <v>58.0</v>
      </c>
    </row>
    <row r="947">
      <c r="A947" s="1" t="s">
        <v>8</v>
      </c>
      <c r="B947" s="2">
        <v>44714.0</v>
      </c>
      <c r="C947" s="3">
        <v>0.7359606481481481</v>
      </c>
      <c r="D947" s="1">
        <v>13.053748</v>
      </c>
      <c r="E947" s="1">
        <v>80.265506</v>
      </c>
      <c r="F947" s="1">
        <v>2846.0</v>
      </c>
      <c r="G947" s="1">
        <v>38.0</v>
      </c>
    </row>
    <row r="948">
      <c r="A948" s="1" t="s">
        <v>10</v>
      </c>
      <c r="B948" s="2">
        <v>44714.0</v>
      </c>
      <c r="C948" s="3">
        <v>0.7362847222222222</v>
      </c>
      <c r="D948" s="1">
        <v>13.053571</v>
      </c>
      <c r="E948" s="1">
        <v>80.267445</v>
      </c>
      <c r="F948" s="1">
        <v>2846.0</v>
      </c>
      <c r="G948" s="1">
        <v>19.0</v>
      </c>
    </row>
    <row r="949">
      <c r="A949" s="1" t="s">
        <v>7</v>
      </c>
      <c r="B949" s="2">
        <v>44714.0</v>
      </c>
      <c r="C949" s="3">
        <v>0.7364467592592593</v>
      </c>
      <c r="D949" s="1">
        <v>12.540089</v>
      </c>
      <c r="E949" s="1">
        <v>79.90435</v>
      </c>
      <c r="F949" s="1">
        <v>805.0</v>
      </c>
      <c r="G949" s="1">
        <v>57.0</v>
      </c>
    </row>
    <row r="950">
      <c r="A950" s="1" t="s">
        <v>10</v>
      </c>
      <c r="B950" s="2">
        <v>44714.0</v>
      </c>
      <c r="C950" s="3">
        <v>0.7365393518518518</v>
      </c>
      <c r="D950" s="1">
        <v>13.053512</v>
      </c>
      <c r="E950" s="1">
        <v>80.26825</v>
      </c>
      <c r="F950" s="1">
        <v>2846.0</v>
      </c>
      <c r="G950" s="1">
        <v>13.0</v>
      </c>
    </row>
    <row r="951">
      <c r="A951" s="1" t="s">
        <v>10</v>
      </c>
      <c r="B951" s="2">
        <v>44714.0</v>
      </c>
      <c r="C951" s="3">
        <v>0.7366550925925925</v>
      </c>
      <c r="D951" s="1">
        <v>13.053479</v>
      </c>
      <c r="E951" s="1">
        <v>80.268598</v>
      </c>
      <c r="F951" s="1">
        <v>2846.0</v>
      </c>
      <c r="G951" s="1">
        <v>13.0</v>
      </c>
    </row>
    <row r="952">
      <c r="A952" s="1" t="s">
        <v>10</v>
      </c>
      <c r="B952" s="2">
        <v>44714.0</v>
      </c>
      <c r="C952" s="3">
        <v>0.7371296296296296</v>
      </c>
      <c r="D952" s="1">
        <v>13.053445</v>
      </c>
      <c r="E952" s="1">
        <v>80.269357</v>
      </c>
      <c r="F952" s="1">
        <v>2846.0</v>
      </c>
      <c r="G952" s="1">
        <v>17.0</v>
      </c>
    </row>
    <row r="953">
      <c r="A953" s="1" t="s">
        <v>7</v>
      </c>
      <c r="B953" s="2">
        <v>44714.0</v>
      </c>
      <c r="C953" s="3">
        <v>0.7371412037037037</v>
      </c>
      <c r="D953" s="1">
        <v>12.531918</v>
      </c>
      <c r="E953" s="1">
        <v>79.90054</v>
      </c>
      <c r="F953" s="1">
        <v>805.0</v>
      </c>
      <c r="G953" s="1">
        <v>45.0</v>
      </c>
    </row>
    <row r="954">
      <c r="A954" s="1" t="s">
        <v>7</v>
      </c>
      <c r="B954" s="2">
        <v>44714.0</v>
      </c>
      <c r="C954" s="3">
        <v>0.7376273148148148</v>
      </c>
      <c r="D954" s="1">
        <v>12.529554</v>
      </c>
      <c r="E954" s="1">
        <v>79.899312</v>
      </c>
      <c r="F954" s="1">
        <v>805.0</v>
      </c>
      <c r="G954" s="1">
        <v>56.0</v>
      </c>
    </row>
    <row r="955">
      <c r="A955" s="1" t="s">
        <v>8</v>
      </c>
      <c r="B955" s="2">
        <v>44714.0</v>
      </c>
      <c r="C955" s="3">
        <v>0.7376967592592593</v>
      </c>
      <c r="D955" s="1">
        <v>12.529554</v>
      </c>
      <c r="E955" s="1">
        <v>79.899312</v>
      </c>
      <c r="F955" s="1">
        <v>805.0</v>
      </c>
      <c r="G955" s="1">
        <v>56.0</v>
      </c>
    </row>
    <row r="956">
      <c r="A956" s="1" t="s">
        <v>10</v>
      </c>
      <c r="B956" s="2">
        <v>44714.0</v>
      </c>
      <c r="C956" s="3">
        <v>0.7377199074074074</v>
      </c>
      <c r="D956" s="1">
        <v>13.053376</v>
      </c>
      <c r="E956" s="1">
        <v>80.270655</v>
      </c>
      <c r="F956" s="1">
        <v>2846.0</v>
      </c>
      <c r="G956" s="1">
        <v>8.0</v>
      </c>
    </row>
    <row r="957">
      <c r="A957" s="1" t="s">
        <v>10</v>
      </c>
      <c r="B957" s="2">
        <v>44714.0</v>
      </c>
      <c r="C957" s="3">
        <v>0.7377777777777778</v>
      </c>
      <c r="D957" s="1">
        <v>13.053376</v>
      </c>
      <c r="E957" s="1">
        <v>80.270655</v>
      </c>
      <c r="F957" s="1">
        <v>2846.0</v>
      </c>
      <c r="G957" s="1">
        <v>8.0</v>
      </c>
    </row>
    <row r="958">
      <c r="A958" s="1" t="s">
        <v>8</v>
      </c>
      <c r="B958" s="2">
        <v>44714.0</v>
      </c>
      <c r="C958" s="3">
        <v>0.7379976851851852</v>
      </c>
      <c r="D958" s="1">
        <v>12.525153</v>
      </c>
      <c r="E958" s="1">
        <v>79.897149</v>
      </c>
      <c r="F958" s="1">
        <v>805.0</v>
      </c>
      <c r="G958" s="1">
        <v>58.0</v>
      </c>
    </row>
    <row r="959">
      <c r="A959" s="1" t="s">
        <v>7</v>
      </c>
      <c r="B959" s="2">
        <v>44714.0</v>
      </c>
      <c r="C959" s="3">
        <v>0.7383333333333333</v>
      </c>
      <c r="D959" s="1">
        <v>12.523417</v>
      </c>
      <c r="E959" s="1">
        <v>79.896342</v>
      </c>
      <c r="F959" s="1">
        <v>805.0</v>
      </c>
      <c r="G959" s="1">
        <v>35.0</v>
      </c>
    </row>
    <row r="960">
      <c r="A960" s="1" t="s">
        <v>10</v>
      </c>
      <c r="B960" s="2">
        <v>44714.0</v>
      </c>
      <c r="C960" s="3">
        <v>0.7401967592592592</v>
      </c>
      <c r="D960" s="1">
        <v>13.052881</v>
      </c>
      <c r="E960" s="1">
        <v>80.273546</v>
      </c>
      <c r="F960" s="1">
        <v>2846.0</v>
      </c>
      <c r="G960" s="1">
        <v>3.0</v>
      </c>
    </row>
    <row r="961">
      <c r="A961" s="1" t="s">
        <v>10</v>
      </c>
      <c r="B961" s="2">
        <v>44714.0</v>
      </c>
      <c r="C961" s="3">
        <v>0.7405671296296297</v>
      </c>
      <c r="D961" s="1">
        <v>13.055397</v>
      </c>
      <c r="E961" s="1">
        <v>80.273794</v>
      </c>
      <c r="F961" s="1">
        <v>2846.0</v>
      </c>
      <c r="G961" s="1">
        <v>11.0</v>
      </c>
    </row>
    <row r="962">
      <c r="A962" s="1" t="s">
        <v>10</v>
      </c>
      <c r="B962" s="2">
        <v>44714.0</v>
      </c>
      <c r="C962" s="3">
        <v>0.7406712962962962</v>
      </c>
      <c r="D962" s="1">
        <v>13.055851</v>
      </c>
      <c r="E962" s="1">
        <v>80.273808</v>
      </c>
      <c r="F962" s="1">
        <v>2846.0</v>
      </c>
      <c r="G962" s="1">
        <v>28.0</v>
      </c>
    </row>
    <row r="963">
      <c r="A963" s="1" t="s">
        <v>10</v>
      </c>
      <c r="B963" s="2">
        <v>44714.0</v>
      </c>
      <c r="C963" s="3">
        <v>0.7407638888888889</v>
      </c>
      <c r="D963" s="1">
        <v>13.055851</v>
      </c>
      <c r="E963" s="1">
        <v>80.273808</v>
      </c>
      <c r="F963" s="1">
        <v>2846.0</v>
      </c>
      <c r="G963" s="1">
        <v>28.0</v>
      </c>
    </row>
    <row r="964">
      <c r="A964" s="1" t="s">
        <v>10</v>
      </c>
      <c r="B964" s="2">
        <v>44714.0</v>
      </c>
      <c r="C964" s="3">
        <v>0.7408101851851852</v>
      </c>
      <c r="D964" s="1">
        <v>13.056522</v>
      </c>
      <c r="E964" s="1">
        <v>80.273849</v>
      </c>
      <c r="F964" s="1">
        <v>2846.0</v>
      </c>
      <c r="G964" s="1">
        <v>24.0</v>
      </c>
    </row>
    <row r="965">
      <c r="A965" s="1" t="s">
        <v>10</v>
      </c>
      <c r="B965" s="2">
        <v>44714.0</v>
      </c>
      <c r="C965" s="3">
        <v>0.7409259259259259</v>
      </c>
      <c r="D965" s="1">
        <v>12.510297</v>
      </c>
      <c r="E965" s="1">
        <v>79.884995</v>
      </c>
      <c r="F965" s="1">
        <v>805.0</v>
      </c>
      <c r="G965" s="1">
        <v>12.0</v>
      </c>
    </row>
    <row r="966">
      <c r="A966" s="1" t="s">
        <v>10</v>
      </c>
      <c r="B966" s="2">
        <v>44714.0</v>
      </c>
      <c r="C966" s="3">
        <v>0.7412152777777777</v>
      </c>
      <c r="D966" s="1">
        <v>13.057915</v>
      </c>
      <c r="E966" s="1">
        <v>80.274011</v>
      </c>
      <c r="F966" s="1">
        <v>2846.0</v>
      </c>
      <c r="G966" s="1">
        <v>9.0</v>
      </c>
    </row>
    <row r="967">
      <c r="A967" s="1" t="s">
        <v>7</v>
      </c>
      <c r="B967" s="2">
        <v>44714.0</v>
      </c>
      <c r="C967" s="3">
        <v>0.742650462962963</v>
      </c>
      <c r="D967" s="1">
        <v>12.504265</v>
      </c>
      <c r="E967" s="1">
        <v>79.878723</v>
      </c>
      <c r="F967" s="1">
        <v>805.0</v>
      </c>
      <c r="G967" s="1">
        <v>56.0</v>
      </c>
    </row>
    <row r="968">
      <c r="A968" s="1" t="s">
        <v>10</v>
      </c>
      <c r="B968" s="2">
        <v>44714.0</v>
      </c>
      <c r="C968" s="3">
        <v>0.7428472222222222</v>
      </c>
      <c r="D968" s="1">
        <v>13.062065</v>
      </c>
      <c r="E968" s="1">
        <v>80.274238</v>
      </c>
      <c r="F968" s="1">
        <v>2846.0</v>
      </c>
      <c r="G968" s="1">
        <v>24.0</v>
      </c>
    </row>
    <row r="969">
      <c r="A969" s="1" t="s">
        <v>10</v>
      </c>
      <c r="B969" s="2">
        <v>44714.0</v>
      </c>
      <c r="C969" s="3">
        <v>0.7429745370370371</v>
      </c>
      <c r="D969" s="1">
        <v>13.062486</v>
      </c>
      <c r="E969" s="1">
        <v>80.274196</v>
      </c>
      <c r="F969" s="1">
        <v>2846.0</v>
      </c>
      <c r="G969" s="1">
        <v>16.0</v>
      </c>
    </row>
    <row r="970">
      <c r="A970" s="1" t="s">
        <v>10</v>
      </c>
      <c r="B970" s="2">
        <v>44714.0</v>
      </c>
      <c r="C970" s="3">
        <v>0.7433912037037037</v>
      </c>
      <c r="D970" s="1">
        <v>13.064313</v>
      </c>
      <c r="E970" s="1">
        <v>80.273936</v>
      </c>
      <c r="F970" s="1">
        <v>2846.0</v>
      </c>
      <c r="G970" s="1">
        <v>5.0</v>
      </c>
    </row>
    <row r="971">
      <c r="A971" s="1" t="s">
        <v>8</v>
      </c>
      <c r="B971" s="2">
        <v>44714.0</v>
      </c>
      <c r="C971" s="3">
        <v>0.7442129629629629</v>
      </c>
      <c r="D971" s="1">
        <v>13.066352</v>
      </c>
      <c r="E971" s="1">
        <v>80.273718</v>
      </c>
      <c r="F971" s="1">
        <v>2846.0</v>
      </c>
      <c r="G971" s="1">
        <v>15.0</v>
      </c>
    </row>
    <row r="972">
      <c r="A972" s="1" t="s">
        <v>7</v>
      </c>
      <c r="B972" s="2">
        <v>44714.0</v>
      </c>
      <c r="C972" s="3">
        <v>0.7452777777777778</v>
      </c>
      <c r="D972" s="1">
        <v>12.499335</v>
      </c>
      <c r="E972" s="1">
        <v>79.874574</v>
      </c>
      <c r="F972" s="1">
        <v>805.0</v>
      </c>
      <c r="G972" s="1">
        <v>16.0</v>
      </c>
    </row>
    <row r="973">
      <c r="A973" s="1" t="s">
        <v>10</v>
      </c>
      <c r="B973" s="2">
        <v>44714.0</v>
      </c>
      <c r="C973" s="3">
        <v>0.7462384259259259</v>
      </c>
      <c r="D973" s="1">
        <v>13.068837</v>
      </c>
      <c r="E973" s="1">
        <v>80.267663</v>
      </c>
      <c r="F973" s="1">
        <v>2846.0</v>
      </c>
      <c r="G973" s="1">
        <v>17.0</v>
      </c>
    </row>
    <row r="974">
      <c r="A974" s="1" t="s">
        <v>7</v>
      </c>
      <c r="B974" s="2">
        <v>44714.0</v>
      </c>
      <c r="C974" s="3">
        <v>0.7462615740740741</v>
      </c>
      <c r="D974" s="1">
        <v>12.507089</v>
      </c>
      <c r="E974" s="1">
        <v>79.880731</v>
      </c>
      <c r="F974" s="1">
        <v>805.0</v>
      </c>
      <c r="G974" s="1">
        <v>53.0</v>
      </c>
    </row>
    <row r="975">
      <c r="A975" s="1" t="s">
        <v>7</v>
      </c>
      <c r="B975" s="2">
        <v>44714.0</v>
      </c>
      <c r="C975" s="3">
        <v>0.7464467592592593</v>
      </c>
      <c r="D975" s="1">
        <v>12.508745</v>
      </c>
      <c r="E975" s="1">
        <v>79.881964</v>
      </c>
      <c r="F975" s="1">
        <v>805.0</v>
      </c>
      <c r="G975" s="1">
        <v>51.0</v>
      </c>
    </row>
    <row r="976">
      <c r="A976" s="1" t="s">
        <v>7</v>
      </c>
      <c r="B976" s="2">
        <v>44714.0</v>
      </c>
      <c r="C976" s="3">
        <v>0.7467013888888889</v>
      </c>
      <c r="D976" s="1">
        <v>12.510556</v>
      </c>
      <c r="E976" s="1">
        <v>79.88283</v>
      </c>
      <c r="F976" s="1">
        <v>805.0</v>
      </c>
      <c r="G976" s="1">
        <v>52.0</v>
      </c>
    </row>
    <row r="977">
      <c r="A977" s="1" t="s">
        <v>7</v>
      </c>
      <c r="B977" s="2">
        <v>44714.0</v>
      </c>
      <c r="C977" s="3">
        <v>0.7473611111111111</v>
      </c>
      <c r="D977" s="1">
        <v>12.515706</v>
      </c>
      <c r="E977" s="1">
        <v>79.887199</v>
      </c>
      <c r="F977" s="1">
        <v>805.0</v>
      </c>
      <c r="G977" s="1">
        <v>58.0</v>
      </c>
    </row>
    <row r="978">
      <c r="A978" s="1" t="s">
        <v>10</v>
      </c>
      <c r="B978" s="2">
        <v>44714.0</v>
      </c>
      <c r="C978" s="3">
        <v>0.7477893518518518</v>
      </c>
      <c r="D978" s="1">
        <v>13.070954</v>
      </c>
      <c r="E978" s="1">
        <v>80.265193</v>
      </c>
      <c r="F978" s="1">
        <v>2846.0</v>
      </c>
      <c r="G978" s="1">
        <v>0.0</v>
      </c>
    </row>
    <row r="979">
      <c r="A979" s="1" t="s">
        <v>9</v>
      </c>
      <c r="B979" s="2">
        <v>44714.0</v>
      </c>
      <c r="C979" s="3">
        <v>0.7478703703703704</v>
      </c>
      <c r="D979" s="1">
        <v>12.521421</v>
      </c>
      <c r="E979" s="1">
        <v>79.894773</v>
      </c>
      <c r="F979" s="1">
        <v>805.0</v>
      </c>
      <c r="G979" s="1">
        <v>58.0</v>
      </c>
    </row>
    <row r="980">
      <c r="A980" s="1" t="s">
        <v>8</v>
      </c>
      <c r="B980" s="2">
        <v>44714.0</v>
      </c>
      <c r="C980" s="3">
        <v>0.7479745370370371</v>
      </c>
      <c r="D980" s="1">
        <v>13.071461</v>
      </c>
      <c r="E980" s="1">
        <v>80.26471</v>
      </c>
      <c r="F980" s="1">
        <v>2846.0</v>
      </c>
      <c r="G980" s="1">
        <v>19.0</v>
      </c>
    </row>
    <row r="981">
      <c r="A981" s="1" t="s">
        <v>8</v>
      </c>
      <c r="B981" s="2">
        <v>44714.0</v>
      </c>
      <c r="C981" s="3">
        <v>0.7479861111111111</v>
      </c>
      <c r="D981" s="1">
        <v>13.071461</v>
      </c>
      <c r="E981" s="1">
        <v>80.26471</v>
      </c>
      <c r="F981" s="1">
        <v>2846.0</v>
      </c>
      <c r="G981" s="1">
        <v>19.0</v>
      </c>
    </row>
    <row r="982">
      <c r="A982" s="1" t="s">
        <v>8</v>
      </c>
      <c r="B982" s="2">
        <v>44714.0</v>
      </c>
      <c r="C982" s="3">
        <v>0.7480092592592592</v>
      </c>
      <c r="D982" s="1">
        <v>12.521421</v>
      </c>
      <c r="E982" s="1">
        <v>79.894773</v>
      </c>
      <c r="F982" s="1">
        <v>805.0</v>
      </c>
      <c r="G982" s="1">
        <v>58.0</v>
      </c>
    </row>
    <row r="983">
      <c r="A983" s="1" t="s">
        <v>7</v>
      </c>
      <c r="B983" s="2">
        <v>44714.0</v>
      </c>
      <c r="C983" s="3">
        <v>0.7481018518518519</v>
      </c>
      <c r="D983" s="1">
        <v>12.523308</v>
      </c>
      <c r="E983" s="1">
        <v>79.896155</v>
      </c>
      <c r="F983" s="1">
        <v>805.0</v>
      </c>
      <c r="G983" s="1">
        <v>58.0</v>
      </c>
    </row>
    <row r="984">
      <c r="A984" s="1" t="s">
        <v>7</v>
      </c>
      <c r="B984" s="2">
        <v>44714.0</v>
      </c>
      <c r="C984" s="3">
        <v>0.7484722222222222</v>
      </c>
      <c r="D984" s="1">
        <v>12.523308</v>
      </c>
      <c r="E984" s="1">
        <v>79.896155</v>
      </c>
      <c r="F984" s="1">
        <v>805.0</v>
      </c>
      <c r="G984" s="1">
        <v>58.0</v>
      </c>
    </row>
    <row r="985">
      <c r="A985" s="1" t="s">
        <v>7</v>
      </c>
      <c r="B985" s="2">
        <v>44714.0</v>
      </c>
      <c r="C985" s="3">
        <v>0.7491087962962963</v>
      </c>
      <c r="D985" s="1">
        <v>12.533792</v>
      </c>
      <c r="E985" s="1">
        <v>79.901108</v>
      </c>
      <c r="F985" s="1">
        <v>805.0</v>
      </c>
      <c r="G985" s="1">
        <v>58.0</v>
      </c>
    </row>
    <row r="986">
      <c r="A986" s="1" t="s">
        <v>8</v>
      </c>
      <c r="B986" s="2">
        <v>44714.0</v>
      </c>
      <c r="C986" s="3">
        <v>0.7492361111111111</v>
      </c>
      <c r="D986" s="1">
        <v>13.072862</v>
      </c>
      <c r="E986" s="1">
        <v>80.262068</v>
      </c>
      <c r="F986" s="1">
        <v>2846.0</v>
      </c>
      <c r="G986" s="1">
        <v>25.0</v>
      </c>
    </row>
    <row r="987">
      <c r="A987" s="1" t="s">
        <v>7</v>
      </c>
      <c r="B987" s="2">
        <v>44714.0</v>
      </c>
      <c r="C987" s="3">
        <v>0.7498263888888889</v>
      </c>
      <c r="D987" s="1">
        <v>12.542445</v>
      </c>
      <c r="E987" s="1">
        <v>79.90464</v>
      </c>
      <c r="F987" s="1">
        <v>805.0</v>
      </c>
      <c r="G987" s="1">
        <v>49.0</v>
      </c>
    </row>
    <row r="988">
      <c r="A988" s="1" t="s">
        <v>7</v>
      </c>
      <c r="B988" s="2">
        <v>44714.0</v>
      </c>
      <c r="C988" s="3">
        <v>0.7503703703703704</v>
      </c>
      <c r="D988" s="1">
        <v>12.545942</v>
      </c>
      <c r="E988" s="1">
        <v>79.905294</v>
      </c>
      <c r="F988" s="1">
        <v>805.0</v>
      </c>
      <c r="G988" s="1">
        <v>61.0</v>
      </c>
    </row>
    <row r="989">
      <c r="A989" s="1" t="s">
        <v>7</v>
      </c>
      <c r="B989" s="2">
        <v>44714.0</v>
      </c>
      <c r="C989" s="3">
        <v>0.7507986111111111</v>
      </c>
      <c r="D989" s="1">
        <v>12.550568</v>
      </c>
      <c r="E989" s="1">
        <v>79.906244</v>
      </c>
      <c r="F989" s="1">
        <v>805.0</v>
      </c>
      <c r="G989" s="1">
        <v>58.0</v>
      </c>
    </row>
    <row r="990">
      <c r="A990" s="1" t="s">
        <v>7</v>
      </c>
      <c r="B990" s="2">
        <v>44714.0</v>
      </c>
      <c r="C990" s="3">
        <v>0.7512037037037037</v>
      </c>
      <c r="D990" s="1">
        <v>12.554834</v>
      </c>
      <c r="E990" s="1">
        <v>79.908204</v>
      </c>
      <c r="F990" s="1">
        <v>805.0</v>
      </c>
      <c r="G990" s="1">
        <v>58.0</v>
      </c>
    </row>
    <row r="991">
      <c r="A991" s="1" t="s">
        <v>7</v>
      </c>
      <c r="B991" s="2">
        <v>44714.0</v>
      </c>
      <c r="C991" s="3">
        <v>0.7522685185185185</v>
      </c>
      <c r="D991" s="1">
        <v>12.567423</v>
      </c>
      <c r="E991" s="1">
        <v>79.914883</v>
      </c>
      <c r="F991" s="1">
        <v>805.0</v>
      </c>
      <c r="G991" s="1">
        <v>58.0</v>
      </c>
    </row>
    <row r="992">
      <c r="A992" s="1" t="s">
        <v>7</v>
      </c>
      <c r="B992" s="2">
        <v>44714.0</v>
      </c>
      <c r="C992" s="3">
        <v>0.7525694444444444</v>
      </c>
      <c r="D992" s="1">
        <v>12.571962</v>
      </c>
      <c r="E992" s="1">
        <v>79.916102</v>
      </c>
      <c r="F992" s="1">
        <v>805.0</v>
      </c>
      <c r="G992" s="1">
        <v>58.0</v>
      </c>
    </row>
    <row r="993">
      <c r="A993" s="1" t="s">
        <v>7</v>
      </c>
      <c r="B993" s="2">
        <v>44714.0</v>
      </c>
      <c r="C993" s="3">
        <v>0.7529050925925926</v>
      </c>
      <c r="D993" s="1">
        <v>12.576538</v>
      </c>
      <c r="E993" s="1">
        <v>79.917056</v>
      </c>
      <c r="F993" s="1">
        <v>805.0</v>
      </c>
      <c r="G993" s="1">
        <v>56.0</v>
      </c>
    </row>
    <row r="994">
      <c r="A994" s="1" t="s">
        <v>7</v>
      </c>
      <c r="B994" s="2">
        <v>44714.0</v>
      </c>
      <c r="C994" s="3">
        <v>0.7532523148148148</v>
      </c>
      <c r="D994" s="1">
        <v>12.580807</v>
      </c>
      <c r="E994" s="1">
        <v>79.91856</v>
      </c>
      <c r="F994" s="1">
        <v>805.0</v>
      </c>
      <c r="G994" s="1">
        <v>58.0</v>
      </c>
    </row>
    <row r="995">
      <c r="A995" s="1" t="s">
        <v>7</v>
      </c>
      <c r="B995" s="2">
        <v>44714.0</v>
      </c>
      <c r="C995" s="3">
        <v>0.7536689814814815</v>
      </c>
      <c r="D995" s="1">
        <v>12.585417</v>
      </c>
      <c r="E995" s="1">
        <v>79.919302</v>
      </c>
      <c r="F995" s="1">
        <v>805.0</v>
      </c>
      <c r="G995" s="1">
        <v>58.0</v>
      </c>
    </row>
    <row r="996">
      <c r="A996" s="1" t="s">
        <v>7</v>
      </c>
      <c r="B996" s="2">
        <v>44714.0</v>
      </c>
      <c r="C996" s="3">
        <v>0.7539236111111111</v>
      </c>
      <c r="D996" s="1">
        <v>12.587758</v>
      </c>
      <c r="E996" s="1">
        <v>79.919311</v>
      </c>
      <c r="F996" s="1">
        <v>805.0</v>
      </c>
      <c r="G996" s="1">
        <v>58.0</v>
      </c>
    </row>
    <row r="997">
      <c r="A997" s="1" t="s">
        <v>7</v>
      </c>
      <c r="B997" s="2">
        <v>44714.0</v>
      </c>
      <c r="C997" s="3">
        <v>0.7542245370370371</v>
      </c>
      <c r="D997" s="1">
        <v>12.59244</v>
      </c>
      <c r="E997" s="1">
        <v>79.919118</v>
      </c>
      <c r="F997" s="1">
        <v>805.0</v>
      </c>
      <c r="G997" s="1">
        <v>58.0</v>
      </c>
    </row>
    <row r="998">
      <c r="A998" s="1" t="s">
        <v>7</v>
      </c>
      <c r="B998" s="2">
        <v>44714.0</v>
      </c>
      <c r="C998" s="3">
        <v>0.754375</v>
      </c>
      <c r="D998" s="1">
        <v>12.59493</v>
      </c>
      <c r="E998" s="1">
        <v>79.919272</v>
      </c>
      <c r="F998" s="1">
        <v>805.0</v>
      </c>
      <c r="G998" s="1">
        <v>58.0</v>
      </c>
    </row>
    <row r="999">
      <c r="A999" s="1" t="s">
        <v>7</v>
      </c>
      <c r="B999" s="2">
        <v>44714.0</v>
      </c>
      <c r="C999" s="3">
        <v>0.7548148148148148</v>
      </c>
      <c r="D999" s="1">
        <v>12.599589</v>
      </c>
      <c r="E999" s="1">
        <v>79.919782</v>
      </c>
      <c r="F999" s="1">
        <v>805.0</v>
      </c>
      <c r="G999" s="1">
        <v>58.0</v>
      </c>
    </row>
    <row r="1000">
      <c r="A1000" s="1" t="s">
        <v>7</v>
      </c>
      <c r="B1000" s="2">
        <v>44714.0</v>
      </c>
      <c r="C1000" s="3">
        <v>0.7555439814814815</v>
      </c>
      <c r="D1000" s="1">
        <v>12.608604</v>
      </c>
      <c r="E1000" s="1">
        <v>79.921778</v>
      </c>
      <c r="F1000" s="1">
        <v>805.0</v>
      </c>
      <c r="G1000" s="1">
        <v>58.0</v>
      </c>
    </row>
    <row r="1001">
      <c r="A1001" s="1" t="s">
        <v>7</v>
      </c>
      <c r="B1001" s="2">
        <v>44714.0</v>
      </c>
      <c r="C1001" s="3">
        <v>0.7556597222222222</v>
      </c>
      <c r="D1001" s="1">
        <v>12.61065</v>
      </c>
      <c r="E1001" s="1">
        <v>79.922952</v>
      </c>
      <c r="F1001" s="1">
        <v>805.0</v>
      </c>
      <c r="G1001" s="1">
        <v>58.0</v>
      </c>
    </row>
    <row r="1002">
      <c r="A1002" s="1" t="s">
        <v>7</v>
      </c>
      <c r="B1002" s="2">
        <v>44714.0</v>
      </c>
      <c r="C1002" s="3">
        <v>0.7557175925925926</v>
      </c>
      <c r="D1002" s="1">
        <v>12.61065</v>
      </c>
      <c r="E1002" s="1">
        <v>79.922952</v>
      </c>
      <c r="F1002" s="1">
        <v>805.0</v>
      </c>
      <c r="G1002" s="1">
        <v>58.0</v>
      </c>
    </row>
    <row r="1003">
      <c r="A1003" s="1" t="s">
        <v>7</v>
      </c>
      <c r="B1003" s="2">
        <v>44714.0</v>
      </c>
      <c r="C1003" s="3">
        <v>0.7559722222222223</v>
      </c>
      <c r="D1003" s="1">
        <v>12.612506</v>
      </c>
      <c r="E1003" s="1">
        <v>79.924023</v>
      </c>
      <c r="F1003" s="1">
        <v>805.0</v>
      </c>
      <c r="G1003" s="1">
        <v>49.0</v>
      </c>
    </row>
    <row r="1004">
      <c r="A1004" s="1" t="s">
        <v>7</v>
      </c>
      <c r="B1004" s="2">
        <v>44714.0</v>
      </c>
      <c r="C1004" s="3">
        <v>0.7563078703703704</v>
      </c>
      <c r="D1004" s="1">
        <v>12.612506</v>
      </c>
      <c r="E1004" s="1">
        <v>79.924023</v>
      </c>
      <c r="F1004" s="1">
        <v>805.0</v>
      </c>
      <c r="G1004" s="1">
        <v>49.0</v>
      </c>
    </row>
    <row r="1005">
      <c r="A1005" s="1" t="s">
        <v>7</v>
      </c>
      <c r="B1005" s="2">
        <v>44714.0</v>
      </c>
      <c r="C1005" s="3">
        <v>0.7566435185185185</v>
      </c>
      <c r="D1005" s="1">
        <v>12.616582</v>
      </c>
      <c r="E1005" s="1">
        <v>79.926114</v>
      </c>
      <c r="F1005" s="1">
        <v>805.0</v>
      </c>
      <c r="G1005" s="1">
        <v>57.0</v>
      </c>
    </row>
    <row r="1006">
      <c r="A1006" s="1" t="s">
        <v>7</v>
      </c>
      <c r="B1006" s="2">
        <v>44714.0</v>
      </c>
      <c r="C1006" s="3">
        <v>0.7581828703703704</v>
      </c>
      <c r="D1006" s="1">
        <v>12.631478</v>
      </c>
      <c r="E1006" s="1">
        <v>79.931674</v>
      </c>
      <c r="F1006" s="1">
        <v>805.0</v>
      </c>
      <c r="G1006" s="1">
        <v>38.0</v>
      </c>
    </row>
    <row r="1007">
      <c r="A1007" s="1" t="s">
        <v>7</v>
      </c>
      <c r="B1007" s="2">
        <v>44714.0</v>
      </c>
      <c r="C1007" s="3">
        <v>0.7582986111111111</v>
      </c>
      <c r="D1007" s="1">
        <v>12.632726</v>
      </c>
      <c r="E1007" s="1">
        <v>79.932216</v>
      </c>
      <c r="F1007" s="1">
        <v>805.0</v>
      </c>
      <c r="G1007" s="1">
        <v>30.0</v>
      </c>
    </row>
    <row r="1008">
      <c r="A1008" s="1" t="s">
        <v>7</v>
      </c>
      <c r="B1008" s="2">
        <v>44714.0</v>
      </c>
      <c r="C1008" s="3">
        <v>0.7590277777777777</v>
      </c>
      <c r="D1008" s="1">
        <v>12.641497</v>
      </c>
      <c r="E1008" s="1">
        <v>79.93717</v>
      </c>
      <c r="F1008" s="1">
        <v>805.0</v>
      </c>
      <c r="G1008" s="1">
        <v>59.0</v>
      </c>
    </row>
    <row r="1009">
      <c r="A1009" s="1" t="s">
        <v>8</v>
      </c>
      <c r="B1009" s="2">
        <v>44714.0</v>
      </c>
      <c r="C1009" s="3">
        <v>0.7591203703703704</v>
      </c>
      <c r="D1009" s="1">
        <v>12.641497</v>
      </c>
      <c r="E1009" s="1">
        <v>79.93717</v>
      </c>
      <c r="F1009" s="1">
        <v>805.0</v>
      </c>
      <c r="G1009" s="1">
        <v>59.0</v>
      </c>
    </row>
    <row r="1010">
      <c r="A1010" s="1" t="s">
        <v>7</v>
      </c>
      <c r="B1010" s="2">
        <v>44714.0</v>
      </c>
      <c r="C1010" s="3">
        <v>0.7596527777777777</v>
      </c>
      <c r="D1010" s="1">
        <v>12.647701</v>
      </c>
      <c r="E1010" s="1">
        <v>79.94048</v>
      </c>
      <c r="F1010" s="1">
        <v>805.0</v>
      </c>
      <c r="G1010" s="1">
        <v>57.0</v>
      </c>
    </row>
    <row r="1011">
      <c r="A1011" s="1" t="s">
        <v>7</v>
      </c>
      <c r="B1011" s="2">
        <v>44714.0</v>
      </c>
      <c r="C1011" s="3">
        <v>0.7600925925925925</v>
      </c>
      <c r="D1011" s="1">
        <v>12.652014</v>
      </c>
      <c r="E1011" s="1">
        <v>79.940229</v>
      </c>
      <c r="F1011" s="1">
        <v>805.0</v>
      </c>
      <c r="G1011" s="1">
        <v>58.0</v>
      </c>
    </row>
    <row r="1012">
      <c r="A1012" s="1" t="s">
        <v>8</v>
      </c>
      <c r="B1012" s="2">
        <v>44714.0</v>
      </c>
      <c r="C1012" s="3">
        <v>0.7602314814814815</v>
      </c>
      <c r="D1012" s="1">
        <v>12.65435</v>
      </c>
      <c r="E1012" s="1">
        <v>79.939981</v>
      </c>
      <c r="F1012" s="1">
        <v>805.0</v>
      </c>
      <c r="G1012" s="1">
        <v>58.0</v>
      </c>
    </row>
    <row r="1013">
      <c r="A1013" s="1" t="s">
        <v>8</v>
      </c>
      <c r="B1013" s="2">
        <v>44714.0</v>
      </c>
      <c r="C1013" s="3">
        <v>0.7603472222222222</v>
      </c>
      <c r="D1013" s="1">
        <v>12.656629</v>
      </c>
      <c r="E1013" s="1">
        <v>79.940467</v>
      </c>
      <c r="F1013" s="1">
        <v>805.0</v>
      </c>
      <c r="G1013" s="1">
        <v>58.0</v>
      </c>
    </row>
    <row r="1014">
      <c r="A1014" s="1" t="s">
        <v>8</v>
      </c>
      <c r="B1014" s="2">
        <v>44714.0</v>
      </c>
      <c r="C1014" s="3">
        <v>0.7606597222222222</v>
      </c>
      <c r="D1014" s="1">
        <v>12.658153</v>
      </c>
      <c r="E1014" s="1">
        <v>79.942124</v>
      </c>
      <c r="F1014" s="1">
        <v>805.0</v>
      </c>
      <c r="G1014" s="1">
        <v>51.0</v>
      </c>
    </row>
    <row r="1015">
      <c r="A1015" s="1" t="s">
        <v>7</v>
      </c>
      <c r="B1015" s="2">
        <v>44714.0</v>
      </c>
      <c r="C1015" s="3">
        <v>0.7613310185185185</v>
      </c>
      <c r="D1015" s="1">
        <v>12.65694</v>
      </c>
      <c r="E1015" s="1">
        <v>79.948838</v>
      </c>
      <c r="F1015" s="1">
        <v>805.0</v>
      </c>
      <c r="G1015" s="1">
        <v>41.0</v>
      </c>
    </row>
    <row r="1016">
      <c r="A1016" s="1" t="s">
        <v>7</v>
      </c>
      <c r="B1016" s="2">
        <v>44714.0</v>
      </c>
      <c r="C1016" s="3">
        <v>0.7616666666666667</v>
      </c>
      <c r="D1016" s="1">
        <v>12.655912</v>
      </c>
      <c r="E1016" s="1">
        <v>79.952811</v>
      </c>
      <c r="F1016" s="1">
        <v>805.0</v>
      </c>
      <c r="G1016" s="1">
        <v>54.0</v>
      </c>
    </row>
    <row r="1017">
      <c r="A1017" s="1" t="s">
        <v>7</v>
      </c>
      <c r="B1017" s="2">
        <v>44714.0</v>
      </c>
      <c r="C1017" s="3">
        <v>0.7618171296296297</v>
      </c>
      <c r="D1017" s="1">
        <v>12.656531</v>
      </c>
      <c r="E1017" s="1">
        <v>79.955064</v>
      </c>
      <c r="F1017" s="1">
        <v>805.0</v>
      </c>
      <c r="G1017" s="1">
        <v>58.0</v>
      </c>
    </row>
    <row r="1018">
      <c r="A1018" s="1" t="s">
        <v>7</v>
      </c>
      <c r="B1018" s="2">
        <v>44714.0</v>
      </c>
      <c r="C1018" s="3">
        <v>0.7620717592592593</v>
      </c>
      <c r="D1018" s="1">
        <v>12.657341</v>
      </c>
      <c r="E1018" s="1">
        <v>79.95732</v>
      </c>
      <c r="F1018" s="1">
        <v>805.0</v>
      </c>
      <c r="G1018" s="1">
        <v>58.0</v>
      </c>
    </row>
    <row r="1019">
      <c r="A1019" s="1" t="s">
        <v>7</v>
      </c>
      <c r="B1019" s="2">
        <v>44714.0</v>
      </c>
      <c r="C1019" s="3">
        <v>0.7623958333333334</v>
      </c>
      <c r="D1019" s="1">
        <v>12.658419</v>
      </c>
      <c r="E1019" s="1">
        <v>79.959416</v>
      </c>
      <c r="F1019" s="1">
        <v>805.0</v>
      </c>
      <c r="G1019" s="1">
        <v>58.0</v>
      </c>
    </row>
    <row r="1020">
      <c r="A1020" s="1" t="s">
        <v>7</v>
      </c>
      <c r="B1020" s="2">
        <v>44714.0</v>
      </c>
      <c r="C1020" s="3">
        <v>0.7625578703703704</v>
      </c>
      <c r="D1020" s="1">
        <v>12.662672</v>
      </c>
      <c r="E1020" s="1">
        <v>79.960934</v>
      </c>
      <c r="F1020" s="1">
        <v>805.0</v>
      </c>
      <c r="G1020" s="1">
        <v>58.0</v>
      </c>
    </row>
    <row r="1021">
      <c r="A1021" s="1" t="s">
        <v>7</v>
      </c>
      <c r="B1021" s="2">
        <v>44714.0</v>
      </c>
      <c r="C1021" s="3">
        <v>0.7627314814814815</v>
      </c>
      <c r="D1021" s="1">
        <v>12.662672</v>
      </c>
      <c r="E1021" s="1">
        <v>79.960934</v>
      </c>
      <c r="F1021" s="1">
        <v>805.0</v>
      </c>
      <c r="G1021" s="1">
        <v>58.0</v>
      </c>
    </row>
    <row r="1022">
      <c r="A1022" s="1" t="s">
        <v>7</v>
      </c>
      <c r="B1022" s="2">
        <v>44714.0</v>
      </c>
      <c r="C1022" s="3">
        <v>0.7630555555555556</v>
      </c>
      <c r="D1022" s="1">
        <v>12.667042</v>
      </c>
      <c r="E1022" s="1">
        <v>79.958845</v>
      </c>
      <c r="F1022" s="1">
        <v>805.0</v>
      </c>
      <c r="G1022" s="1">
        <v>58.0</v>
      </c>
    </row>
    <row r="1023">
      <c r="A1023" s="1" t="s">
        <v>7</v>
      </c>
      <c r="B1023" s="2">
        <v>44714.0</v>
      </c>
      <c r="C1023" s="3">
        <v>0.7632175925925926</v>
      </c>
      <c r="D1023" s="1">
        <v>12.669364</v>
      </c>
      <c r="E1023" s="1">
        <v>79.958557</v>
      </c>
      <c r="F1023" s="1">
        <v>805.0</v>
      </c>
      <c r="G1023" s="1">
        <v>58.0</v>
      </c>
    </row>
    <row r="1024">
      <c r="A1024" s="1" t="s">
        <v>7</v>
      </c>
      <c r="B1024" s="2">
        <v>44714.0</v>
      </c>
      <c r="C1024" s="3">
        <v>0.7634027777777778</v>
      </c>
      <c r="D1024" s="1">
        <v>12.671716</v>
      </c>
      <c r="E1024" s="1">
        <v>79.95852</v>
      </c>
      <c r="F1024" s="1">
        <v>805.0</v>
      </c>
      <c r="G1024" s="1">
        <v>58.0</v>
      </c>
    </row>
    <row r="1025">
      <c r="A1025" s="1" t="s">
        <v>7</v>
      </c>
      <c r="B1025" s="2">
        <v>44714.0</v>
      </c>
      <c r="C1025" s="3">
        <v>0.7642013888888889</v>
      </c>
      <c r="D1025" s="1">
        <v>12.681088</v>
      </c>
      <c r="E1025" s="1">
        <v>79.958371</v>
      </c>
      <c r="F1025" s="1">
        <v>805.0</v>
      </c>
      <c r="G1025" s="1">
        <v>58.0</v>
      </c>
    </row>
    <row r="1026">
      <c r="A1026" s="1" t="s">
        <v>7</v>
      </c>
      <c r="B1026" s="2">
        <v>44714.0</v>
      </c>
      <c r="C1026" s="3">
        <v>0.7643981481481481</v>
      </c>
      <c r="D1026" s="1">
        <v>12.681088</v>
      </c>
      <c r="E1026" s="1">
        <v>79.958371</v>
      </c>
      <c r="F1026" s="1">
        <v>805.0</v>
      </c>
      <c r="G1026" s="1">
        <v>58.0</v>
      </c>
    </row>
    <row r="1027">
      <c r="A1027" s="1" t="s">
        <v>7</v>
      </c>
      <c r="B1027" s="2">
        <v>44714.0</v>
      </c>
      <c r="C1027" s="3">
        <v>0.7644097222222223</v>
      </c>
      <c r="D1027" s="1">
        <v>12.681088</v>
      </c>
      <c r="E1027" s="1">
        <v>79.958371</v>
      </c>
      <c r="F1027" s="1">
        <v>805.0</v>
      </c>
      <c r="G1027" s="1">
        <v>58.0</v>
      </c>
    </row>
    <row r="1028">
      <c r="A1028" s="1" t="s">
        <v>7</v>
      </c>
      <c r="B1028" s="2">
        <v>44714.0</v>
      </c>
      <c r="C1028" s="3">
        <v>0.7645833333333333</v>
      </c>
      <c r="D1028" s="1">
        <v>12.685365</v>
      </c>
      <c r="E1028" s="1">
        <v>79.959057</v>
      </c>
      <c r="F1028" s="1">
        <v>805.0</v>
      </c>
      <c r="G1028" s="1">
        <v>60.0</v>
      </c>
    </row>
    <row r="1029">
      <c r="A1029" s="1" t="s">
        <v>7</v>
      </c>
      <c r="B1029" s="2">
        <v>44714.0</v>
      </c>
      <c r="C1029" s="3">
        <v>0.7646296296296297</v>
      </c>
      <c r="D1029" s="1">
        <v>12.687689</v>
      </c>
      <c r="E1029" s="1">
        <v>79.95974</v>
      </c>
      <c r="F1029" s="1">
        <v>805.0</v>
      </c>
      <c r="G1029" s="1">
        <v>60.0</v>
      </c>
    </row>
    <row r="1030">
      <c r="A1030" s="1" t="s">
        <v>7</v>
      </c>
      <c r="B1030" s="2">
        <v>44714.0</v>
      </c>
      <c r="C1030" s="3">
        <v>0.7647106481481482</v>
      </c>
      <c r="D1030" s="1">
        <v>12.687689</v>
      </c>
      <c r="E1030" s="1">
        <v>79.95974</v>
      </c>
      <c r="F1030" s="1">
        <v>805.0</v>
      </c>
      <c r="G1030" s="1">
        <v>60.0</v>
      </c>
    </row>
    <row r="1031">
      <c r="A1031" s="1" t="s">
        <v>7</v>
      </c>
      <c r="B1031" s="2">
        <v>44714.0</v>
      </c>
      <c r="C1031" s="3">
        <v>0.765011574074074</v>
      </c>
      <c r="D1031" s="1">
        <v>12.69104</v>
      </c>
      <c r="E1031" s="1">
        <v>79.962791</v>
      </c>
      <c r="F1031" s="1">
        <v>805.0</v>
      </c>
      <c r="G1031" s="1">
        <v>59.0</v>
      </c>
    </row>
    <row r="1032">
      <c r="A1032" s="1" t="s">
        <v>7</v>
      </c>
      <c r="B1032" s="2">
        <v>44714.0</v>
      </c>
      <c r="C1032" s="3">
        <v>0.7654282407407408</v>
      </c>
      <c r="D1032" s="1">
        <v>12.694771</v>
      </c>
      <c r="E1032" s="1">
        <v>79.965577</v>
      </c>
      <c r="F1032" s="1">
        <v>805.0</v>
      </c>
      <c r="G1032" s="1">
        <v>58.0</v>
      </c>
    </row>
    <row r="1033">
      <c r="A1033" s="1" t="s">
        <v>7</v>
      </c>
      <c r="B1033" s="2">
        <v>44714.0</v>
      </c>
      <c r="C1033" s="3">
        <v>0.7655787037037037</v>
      </c>
      <c r="D1033" s="1">
        <v>12.696827</v>
      </c>
      <c r="E1033" s="1">
        <v>79.966722</v>
      </c>
      <c r="F1033" s="1">
        <v>805.0</v>
      </c>
      <c r="G1033" s="1">
        <v>58.0</v>
      </c>
    </row>
    <row r="1034">
      <c r="A1034" s="1" t="s">
        <v>8</v>
      </c>
      <c r="B1034" s="2">
        <v>44714.0</v>
      </c>
      <c r="C1034" s="3">
        <v>0.7659375</v>
      </c>
      <c r="D1034" s="1">
        <v>12.700938</v>
      </c>
      <c r="E1034" s="1">
        <v>79.969027</v>
      </c>
      <c r="F1034" s="1">
        <v>805.0</v>
      </c>
      <c r="G1034" s="1">
        <v>59.0</v>
      </c>
    </row>
    <row r="1035">
      <c r="A1035" s="1" t="s">
        <v>7</v>
      </c>
      <c r="B1035" s="2">
        <v>44714.0</v>
      </c>
      <c r="C1035" s="3">
        <v>0.7661574074074075</v>
      </c>
      <c r="D1035" s="1">
        <v>12.702646</v>
      </c>
      <c r="E1035" s="1">
        <v>79.970636</v>
      </c>
      <c r="F1035" s="1">
        <v>805.0</v>
      </c>
      <c r="G1035" s="1">
        <v>57.0</v>
      </c>
    </row>
    <row r="1036">
      <c r="A1036" s="1" t="s">
        <v>7</v>
      </c>
      <c r="B1036" s="2">
        <v>44714.0</v>
      </c>
      <c r="C1036" s="3">
        <v>0.7668634259259259</v>
      </c>
      <c r="D1036" s="1">
        <v>12.706536</v>
      </c>
      <c r="E1036" s="1">
        <v>79.975638</v>
      </c>
      <c r="F1036" s="1">
        <v>805.0</v>
      </c>
      <c r="G1036" s="1">
        <v>59.0</v>
      </c>
    </row>
    <row r="1037">
      <c r="A1037" s="1" t="s">
        <v>7</v>
      </c>
      <c r="B1037" s="2">
        <v>44714.0</v>
      </c>
      <c r="C1037" s="3">
        <v>0.7670138888888889</v>
      </c>
      <c r="D1037" s="1">
        <v>12.709905</v>
      </c>
      <c r="E1037" s="1">
        <v>79.977813</v>
      </c>
      <c r="F1037" s="1">
        <v>805.0</v>
      </c>
      <c r="G1037" s="1">
        <v>43.0</v>
      </c>
    </row>
    <row r="1038">
      <c r="A1038" s="1" t="s">
        <v>7</v>
      </c>
      <c r="B1038" s="2">
        <v>44714.0</v>
      </c>
      <c r="C1038" s="3">
        <v>0.7674421296296297</v>
      </c>
      <c r="D1038" s="1">
        <v>12.711852</v>
      </c>
      <c r="E1038" s="1">
        <v>79.979027</v>
      </c>
      <c r="F1038" s="1">
        <v>805.0</v>
      </c>
      <c r="G1038" s="1">
        <v>57.0</v>
      </c>
    </row>
    <row r="1039">
      <c r="A1039" s="1" t="s">
        <v>7</v>
      </c>
      <c r="B1039" s="2">
        <v>44714.0</v>
      </c>
      <c r="C1039" s="3">
        <v>0.7675578703703704</v>
      </c>
      <c r="D1039" s="1">
        <v>12.713962</v>
      </c>
      <c r="E1039" s="1">
        <v>79.980012</v>
      </c>
      <c r="F1039" s="1">
        <v>805.0</v>
      </c>
      <c r="G1039" s="1">
        <v>58.0</v>
      </c>
    </row>
    <row r="1040">
      <c r="A1040" s="1" t="s">
        <v>7</v>
      </c>
      <c r="B1040" s="2">
        <v>44714.0</v>
      </c>
      <c r="C1040" s="3">
        <v>0.7687615740740741</v>
      </c>
      <c r="D1040" s="1">
        <v>12.724052</v>
      </c>
      <c r="E1040" s="1">
        <v>79.981696</v>
      </c>
      <c r="F1040" s="1">
        <v>805.0</v>
      </c>
      <c r="G1040" s="1">
        <v>0.0</v>
      </c>
    </row>
    <row r="1041">
      <c r="A1041" s="1" t="s">
        <v>7</v>
      </c>
      <c r="B1041" s="2">
        <v>44714.0</v>
      </c>
      <c r="C1041" s="3">
        <v>0.7689467592592593</v>
      </c>
      <c r="D1041" s="1">
        <v>12.724143</v>
      </c>
      <c r="E1041" s="1">
        <v>79.981699</v>
      </c>
      <c r="F1041" s="1">
        <v>805.0</v>
      </c>
      <c r="G1041" s="1">
        <v>0.0</v>
      </c>
    </row>
    <row r="1042">
      <c r="A1042" s="1" t="s">
        <v>7</v>
      </c>
      <c r="B1042" s="2">
        <v>44714.0</v>
      </c>
      <c r="C1042" s="3">
        <v>0.7691550925925926</v>
      </c>
      <c r="D1042" s="1">
        <v>12.725366</v>
      </c>
      <c r="E1042" s="1">
        <v>79.982123</v>
      </c>
      <c r="F1042" s="1">
        <v>805.0</v>
      </c>
      <c r="G1042" s="1">
        <v>51.0</v>
      </c>
    </row>
    <row r="1043">
      <c r="A1043" s="1" t="s">
        <v>7</v>
      </c>
      <c r="B1043" s="2">
        <v>44714.0</v>
      </c>
      <c r="C1043" s="3">
        <v>0.7693402777777778</v>
      </c>
      <c r="D1043" s="1">
        <v>12.727573</v>
      </c>
      <c r="E1043" s="1">
        <v>79.982541</v>
      </c>
      <c r="F1043" s="1">
        <v>805.0</v>
      </c>
      <c r="G1043" s="1">
        <v>61.0</v>
      </c>
    </row>
    <row r="1044">
      <c r="A1044" s="1" t="s">
        <v>7</v>
      </c>
      <c r="B1044" s="2">
        <v>44714.0</v>
      </c>
      <c r="C1044" s="3">
        <v>0.7693981481481481</v>
      </c>
      <c r="D1044" s="1">
        <v>12.727573</v>
      </c>
      <c r="E1044" s="1">
        <v>79.982541</v>
      </c>
      <c r="F1044" s="1">
        <v>805.0</v>
      </c>
      <c r="G1044" s="1">
        <v>61.0</v>
      </c>
    </row>
    <row r="1045">
      <c r="A1045" s="1" t="s">
        <v>7</v>
      </c>
      <c r="B1045" s="2">
        <v>44714.0</v>
      </c>
      <c r="C1045" s="3">
        <v>0.7695486111111111</v>
      </c>
      <c r="D1045" s="1">
        <v>12.729934</v>
      </c>
      <c r="E1045" s="1">
        <v>79.982712</v>
      </c>
      <c r="F1045" s="1">
        <v>805.0</v>
      </c>
      <c r="G1045" s="1">
        <v>57.0</v>
      </c>
    </row>
    <row r="1046">
      <c r="A1046" s="1" t="s">
        <v>7</v>
      </c>
      <c r="B1046" s="2">
        <v>44714.0</v>
      </c>
      <c r="C1046" s="3">
        <v>0.7709375</v>
      </c>
      <c r="D1046" s="1">
        <v>12.743044</v>
      </c>
      <c r="E1046" s="1">
        <v>79.992205</v>
      </c>
      <c r="F1046" s="1">
        <v>805.0</v>
      </c>
      <c r="G1046" s="1">
        <v>26.0</v>
      </c>
    </row>
    <row r="1047">
      <c r="A1047" s="1" t="s">
        <v>7</v>
      </c>
      <c r="B1047" s="2">
        <v>44714.0</v>
      </c>
      <c r="C1047" s="3">
        <v>0.7710300925925926</v>
      </c>
      <c r="D1047" s="1">
        <v>12.743044</v>
      </c>
      <c r="E1047" s="1">
        <v>79.992205</v>
      </c>
      <c r="F1047" s="1">
        <v>805.0</v>
      </c>
      <c r="G1047" s="1">
        <v>26.0</v>
      </c>
    </row>
    <row r="1048">
      <c r="A1048" s="1" t="s">
        <v>8</v>
      </c>
      <c r="B1048" s="2">
        <v>44714.0</v>
      </c>
      <c r="C1048" s="3">
        <v>0.7723958333333333</v>
      </c>
      <c r="D1048" s="1">
        <v>12.755971</v>
      </c>
      <c r="E1048" s="1">
        <v>80.001791</v>
      </c>
      <c r="F1048" s="1">
        <v>805.0</v>
      </c>
      <c r="G1048" s="1">
        <v>58.0</v>
      </c>
    </row>
    <row r="1049">
      <c r="A1049" s="1" t="s">
        <v>8</v>
      </c>
      <c r="B1049" s="2">
        <v>44714.0</v>
      </c>
      <c r="C1049" s="3">
        <v>0.772800925925926</v>
      </c>
      <c r="D1049" s="1">
        <v>12.761987</v>
      </c>
      <c r="E1049" s="1">
        <v>80.00368</v>
      </c>
      <c r="F1049" s="1">
        <v>805.0</v>
      </c>
      <c r="G1049" s="1">
        <v>44.0</v>
      </c>
    </row>
    <row r="1050">
      <c r="A1050" s="1" t="s">
        <v>7</v>
      </c>
      <c r="B1050" s="2">
        <v>44714.0</v>
      </c>
      <c r="C1050" s="3">
        <v>0.7734375</v>
      </c>
      <c r="D1050" s="1">
        <v>12.763581</v>
      </c>
      <c r="E1050" s="1">
        <v>80.004197</v>
      </c>
      <c r="F1050" s="1">
        <v>805.0</v>
      </c>
      <c r="G1050" s="1">
        <v>48.0</v>
      </c>
    </row>
    <row r="1051">
      <c r="A1051" s="1" t="s">
        <v>8</v>
      </c>
      <c r="B1051" s="2">
        <v>44714.0</v>
      </c>
      <c r="C1051" s="3">
        <v>0.7738657407407408</v>
      </c>
      <c r="D1051" s="1">
        <v>12.770934</v>
      </c>
      <c r="E1051" s="1">
        <v>80.007564</v>
      </c>
      <c r="F1051" s="1">
        <v>805.0</v>
      </c>
      <c r="G1051" s="1">
        <v>46.0</v>
      </c>
    </row>
    <row r="1052">
      <c r="A1052" s="1" t="s">
        <v>8</v>
      </c>
      <c r="B1052" s="2">
        <v>44714.0</v>
      </c>
      <c r="C1052" s="3">
        <v>0.7770949074074074</v>
      </c>
      <c r="D1052" s="1">
        <v>12.803412</v>
      </c>
      <c r="E1052" s="1">
        <v>80.025596</v>
      </c>
      <c r="F1052" s="1">
        <v>805.0</v>
      </c>
      <c r="G1052" s="1">
        <v>53.0</v>
      </c>
    </row>
    <row r="1053">
      <c r="A1053" s="1" t="s">
        <v>7</v>
      </c>
      <c r="B1053" s="2">
        <v>44714.0</v>
      </c>
      <c r="C1053" s="3">
        <v>0.7773842592592592</v>
      </c>
      <c r="D1053" s="1">
        <v>12.803412</v>
      </c>
      <c r="E1053" s="1">
        <v>80.025596</v>
      </c>
      <c r="F1053" s="1">
        <v>805.0</v>
      </c>
      <c r="G1053" s="1">
        <v>53.0</v>
      </c>
    </row>
    <row r="1054">
      <c r="A1054" s="1" t="s">
        <v>8</v>
      </c>
      <c r="B1054" s="2">
        <v>44714.0</v>
      </c>
      <c r="C1054" s="3">
        <v>0.7774189814814815</v>
      </c>
      <c r="D1054" s="1">
        <v>12.803412</v>
      </c>
      <c r="E1054" s="1">
        <v>80.025596</v>
      </c>
      <c r="F1054" s="1">
        <v>805.0</v>
      </c>
      <c r="G1054" s="1">
        <v>53.0</v>
      </c>
    </row>
    <row r="1055">
      <c r="A1055" s="1" t="s">
        <v>7</v>
      </c>
      <c r="B1055" s="2">
        <v>44714.0</v>
      </c>
      <c r="C1055" s="3">
        <v>0.7782060185185186</v>
      </c>
      <c r="D1055" s="1">
        <v>12.810414</v>
      </c>
      <c r="E1055" s="1">
        <v>80.030107</v>
      </c>
      <c r="F1055" s="1">
        <v>805.0</v>
      </c>
      <c r="G1055" s="1">
        <v>58.0</v>
      </c>
    </row>
    <row r="1056">
      <c r="A1056" s="1" t="s">
        <v>7</v>
      </c>
      <c r="B1056" s="2">
        <v>44714.0</v>
      </c>
      <c r="C1056" s="3">
        <v>0.7783564814814815</v>
      </c>
      <c r="D1056" s="1">
        <v>12.812388</v>
      </c>
      <c r="E1056" s="1">
        <v>80.031419</v>
      </c>
      <c r="F1056" s="1">
        <v>805.0</v>
      </c>
      <c r="G1056" s="1">
        <v>58.0</v>
      </c>
    </row>
    <row r="1057">
      <c r="A1057" s="1" t="s">
        <v>8</v>
      </c>
      <c r="B1057" s="2">
        <v>44714.0</v>
      </c>
      <c r="C1057" s="3">
        <v>0.7785532407407407</v>
      </c>
      <c r="D1057" s="1">
        <v>12.815758</v>
      </c>
      <c r="E1057" s="1">
        <v>80.033637</v>
      </c>
      <c r="F1057" s="1">
        <v>805.0</v>
      </c>
      <c r="G1057" s="1">
        <v>58.0</v>
      </c>
    </row>
    <row r="1058">
      <c r="A1058" s="1" t="s">
        <v>7</v>
      </c>
      <c r="B1058" s="2">
        <v>44714.0</v>
      </c>
      <c r="C1058" s="3">
        <v>0.7787268518518519</v>
      </c>
      <c r="D1058" s="1">
        <v>12.815758</v>
      </c>
      <c r="E1058" s="1">
        <v>80.033637</v>
      </c>
      <c r="F1058" s="1">
        <v>805.0</v>
      </c>
      <c r="G1058" s="1">
        <v>58.0</v>
      </c>
    </row>
    <row r="1059">
      <c r="A1059" s="1" t="s">
        <v>8</v>
      </c>
      <c r="B1059" s="2">
        <v>44714.0</v>
      </c>
      <c r="C1059" s="3">
        <v>0.7795949074074074</v>
      </c>
      <c r="D1059" s="1">
        <v>12.826451</v>
      </c>
      <c r="E1059" s="1">
        <v>80.041281</v>
      </c>
      <c r="F1059" s="1">
        <v>805.0</v>
      </c>
      <c r="G1059" s="1">
        <v>49.0</v>
      </c>
    </row>
    <row r="1060">
      <c r="A1060" s="1" t="s">
        <v>8</v>
      </c>
      <c r="B1060" s="2">
        <v>44714.0</v>
      </c>
      <c r="C1060" s="3">
        <v>0.7796527777777778</v>
      </c>
      <c r="D1060" s="1">
        <v>12.826451</v>
      </c>
      <c r="E1060" s="1">
        <v>80.041281</v>
      </c>
      <c r="F1060" s="1">
        <v>805.0</v>
      </c>
      <c r="G1060" s="1">
        <v>49.0</v>
      </c>
    </row>
    <row r="1061">
      <c r="A1061" s="1" t="s">
        <v>8</v>
      </c>
      <c r="B1061" s="2">
        <v>44714.0</v>
      </c>
      <c r="C1061" s="3">
        <v>0.7796875</v>
      </c>
      <c r="D1061" s="1">
        <v>12.827656</v>
      </c>
      <c r="E1061" s="1">
        <v>80.042522</v>
      </c>
      <c r="F1061" s="1">
        <v>805.0</v>
      </c>
      <c r="G1061" s="1">
        <v>45.0</v>
      </c>
    </row>
    <row r="1062">
      <c r="A1062" s="1" t="s">
        <v>8</v>
      </c>
      <c r="B1062" s="2">
        <v>44714.0</v>
      </c>
      <c r="C1062" s="3">
        <v>0.7796990740740741</v>
      </c>
      <c r="D1062" s="1">
        <v>12.827656</v>
      </c>
      <c r="E1062" s="1">
        <v>80.042522</v>
      </c>
      <c r="F1062" s="1">
        <v>805.0</v>
      </c>
      <c r="G1062" s="1">
        <v>45.0</v>
      </c>
    </row>
    <row r="1063">
      <c r="A1063" s="1" t="s">
        <v>8</v>
      </c>
      <c r="B1063" s="2">
        <v>44714.0</v>
      </c>
      <c r="C1063" s="3">
        <v>0.7797106481481482</v>
      </c>
      <c r="D1063" s="1">
        <v>12.827656</v>
      </c>
      <c r="E1063" s="1">
        <v>80.042522</v>
      </c>
      <c r="F1063" s="1">
        <v>805.0</v>
      </c>
      <c r="G1063" s="1">
        <v>45.0</v>
      </c>
    </row>
    <row r="1064">
      <c r="A1064" s="1" t="s">
        <v>8</v>
      </c>
      <c r="B1064" s="2">
        <v>44714.0</v>
      </c>
      <c r="C1064" s="3">
        <v>0.7797222222222222</v>
      </c>
      <c r="D1064" s="1">
        <v>12.827656</v>
      </c>
      <c r="E1064" s="1">
        <v>80.042522</v>
      </c>
      <c r="F1064" s="1">
        <v>805.0</v>
      </c>
      <c r="G1064" s="1">
        <v>45.0</v>
      </c>
    </row>
    <row r="1065">
      <c r="A1065" s="1" t="s">
        <v>8</v>
      </c>
      <c r="B1065" s="2">
        <v>44714.0</v>
      </c>
      <c r="C1065" s="3">
        <v>0.7801041666666667</v>
      </c>
      <c r="D1065" s="1">
        <v>12.830275</v>
      </c>
      <c r="E1065" s="1">
        <v>80.045267</v>
      </c>
      <c r="F1065" s="1">
        <v>805.0</v>
      </c>
      <c r="G1065" s="1">
        <v>32.0</v>
      </c>
    </row>
    <row r="1066">
      <c r="A1066" s="1" t="s">
        <v>8</v>
      </c>
      <c r="B1066" s="2">
        <v>44714.0</v>
      </c>
      <c r="C1066" s="3">
        <v>0.7814814814814814</v>
      </c>
      <c r="D1066" s="1">
        <v>12.838585</v>
      </c>
      <c r="E1066" s="1">
        <v>80.054021</v>
      </c>
      <c r="F1066" s="1">
        <v>805.0</v>
      </c>
      <c r="G1066" s="1">
        <v>48.0</v>
      </c>
    </row>
    <row r="1067">
      <c r="A1067" s="1" t="s">
        <v>9</v>
      </c>
      <c r="B1067" s="2">
        <v>44714.0</v>
      </c>
      <c r="C1067" s="3">
        <v>0.7817824074074075</v>
      </c>
      <c r="D1067" s="1">
        <v>12.840146</v>
      </c>
      <c r="E1067" s="1">
        <v>80.055643</v>
      </c>
      <c r="F1067" s="1">
        <v>805.0</v>
      </c>
      <c r="G1067" s="1">
        <v>20.0</v>
      </c>
    </row>
    <row r="1068">
      <c r="A1068" s="1" t="s">
        <v>8</v>
      </c>
      <c r="B1068" s="2">
        <v>44714.0</v>
      </c>
      <c r="C1068" s="3">
        <v>0.784699074074074</v>
      </c>
      <c r="D1068" s="1">
        <v>12.845681</v>
      </c>
      <c r="E1068" s="1">
        <v>80.061438</v>
      </c>
      <c r="F1068" s="1">
        <v>805.0</v>
      </c>
      <c r="G1068" s="1">
        <v>8.0</v>
      </c>
    </row>
    <row r="1069">
      <c r="A1069" s="1" t="s">
        <v>8</v>
      </c>
      <c r="B1069" s="2">
        <v>44714.0</v>
      </c>
      <c r="C1069" s="3">
        <v>0.7849768518518518</v>
      </c>
      <c r="D1069" s="1">
        <v>12.846636</v>
      </c>
      <c r="E1069" s="1">
        <v>80.062283</v>
      </c>
      <c r="F1069" s="1">
        <v>805.0</v>
      </c>
      <c r="G1069" s="1">
        <v>30.0</v>
      </c>
    </row>
    <row r="1070">
      <c r="A1070" s="1" t="s">
        <v>8</v>
      </c>
      <c r="B1070" s="2">
        <v>44714.0</v>
      </c>
      <c r="C1070" s="3">
        <v>0.7852662037037037</v>
      </c>
      <c r="D1070" s="1">
        <v>12.849183</v>
      </c>
      <c r="E1070" s="1">
        <v>80.064076</v>
      </c>
      <c r="F1070" s="1">
        <v>805.0</v>
      </c>
      <c r="G1070" s="1">
        <v>46.0</v>
      </c>
    </row>
    <row r="1071">
      <c r="A1071" s="1" t="s">
        <v>8</v>
      </c>
      <c r="B1071" s="2">
        <v>44714.0</v>
      </c>
      <c r="C1071" s="3">
        <v>0.7853356481481482</v>
      </c>
      <c r="D1071" s="1">
        <v>12.849183</v>
      </c>
      <c r="E1071" s="1">
        <v>80.064076</v>
      </c>
      <c r="F1071" s="1">
        <v>805.0</v>
      </c>
      <c r="G1071" s="1">
        <v>46.0</v>
      </c>
    </row>
    <row r="1072">
      <c r="A1072" s="1" t="s">
        <v>7</v>
      </c>
      <c r="B1072" s="2">
        <v>44714.0</v>
      </c>
      <c r="C1072" s="3">
        <v>0.7859259259259259</v>
      </c>
      <c r="D1072" s="1">
        <v>12.853509</v>
      </c>
      <c r="E1072" s="1">
        <v>80.067208</v>
      </c>
      <c r="F1072" s="1">
        <v>805.0</v>
      </c>
      <c r="G1072" s="1">
        <v>41.0</v>
      </c>
    </row>
    <row r="1073">
      <c r="A1073" s="1" t="s">
        <v>8</v>
      </c>
      <c r="B1073" s="2">
        <v>44714.0</v>
      </c>
      <c r="C1073" s="3">
        <v>0.786087962962963</v>
      </c>
      <c r="D1073" s="1">
        <v>12.854953</v>
      </c>
      <c r="E1073" s="1">
        <v>80.068296</v>
      </c>
      <c r="F1073" s="1">
        <v>805.0</v>
      </c>
      <c r="G1073" s="1">
        <v>47.0</v>
      </c>
    </row>
    <row r="1074">
      <c r="A1074" s="1" t="s">
        <v>8</v>
      </c>
      <c r="B1074" s="2">
        <v>44714.0</v>
      </c>
      <c r="C1074" s="3">
        <v>0.7865740740740741</v>
      </c>
      <c r="D1074" s="1">
        <v>12.860018</v>
      </c>
      <c r="E1074" s="1">
        <v>80.072133</v>
      </c>
      <c r="F1074" s="1">
        <v>805.0</v>
      </c>
      <c r="G1074" s="1">
        <v>47.0</v>
      </c>
    </row>
    <row r="1075">
      <c r="A1075" s="1" t="s">
        <v>10</v>
      </c>
      <c r="B1075" s="2">
        <v>44714.0</v>
      </c>
      <c r="C1075" s="3">
        <v>0.7868981481481482</v>
      </c>
      <c r="D1075" s="1">
        <v>12.861713</v>
      </c>
      <c r="E1075" s="1">
        <v>80.073219</v>
      </c>
      <c r="F1075" s="1">
        <v>805.0</v>
      </c>
      <c r="G1075" s="1">
        <v>47.0</v>
      </c>
    </row>
    <row r="1076">
      <c r="A1076" s="1" t="s">
        <v>8</v>
      </c>
      <c r="B1076" s="2">
        <v>44714.0</v>
      </c>
      <c r="C1076" s="3">
        <v>0.7875578703703704</v>
      </c>
      <c r="D1076" s="1">
        <v>12.866537</v>
      </c>
      <c r="E1076" s="1">
        <v>80.075133</v>
      </c>
      <c r="F1076" s="1">
        <v>805.0</v>
      </c>
      <c r="G1076" s="1">
        <v>9.0</v>
      </c>
    </row>
    <row r="1077">
      <c r="A1077" s="1" t="s">
        <v>7</v>
      </c>
      <c r="B1077" s="2">
        <v>44714.0</v>
      </c>
      <c r="C1077" s="3">
        <v>0.7877199074074074</v>
      </c>
      <c r="D1077" s="1">
        <v>12.86711</v>
      </c>
      <c r="E1077" s="1">
        <v>80.075374</v>
      </c>
      <c r="F1077" s="1">
        <v>805.0</v>
      </c>
      <c r="G1077" s="1">
        <v>21.0</v>
      </c>
    </row>
    <row r="1078">
      <c r="A1078" s="1" t="s">
        <v>7</v>
      </c>
      <c r="B1078" s="2">
        <v>44715.0</v>
      </c>
      <c r="C1078" s="3">
        <v>0.24958333333333332</v>
      </c>
      <c r="D1078" s="1">
        <v>12.87812</v>
      </c>
      <c r="E1078" s="1">
        <v>80.07992</v>
      </c>
      <c r="F1078" s="1">
        <v>805.0</v>
      </c>
      <c r="G1078" s="1">
        <v>41.0</v>
      </c>
    </row>
    <row r="1079">
      <c r="A1079" s="1" t="s">
        <v>7</v>
      </c>
      <c r="B1079" s="2">
        <v>44715.0</v>
      </c>
      <c r="C1079" s="3">
        <v>0.24972222222222223</v>
      </c>
      <c r="D1079" s="1">
        <v>12.876864</v>
      </c>
      <c r="E1079" s="1">
        <v>80.079401</v>
      </c>
      <c r="F1079" s="1">
        <v>805.0</v>
      </c>
      <c r="G1079" s="1">
        <v>61.0</v>
      </c>
    </row>
    <row r="1080">
      <c r="A1080" s="1" t="s">
        <v>7</v>
      </c>
      <c r="B1080" s="2">
        <v>44715.0</v>
      </c>
      <c r="C1080" s="3">
        <v>0.2498263888888889</v>
      </c>
      <c r="D1080" s="1">
        <v>12.875462</v>
      </c>
      <c r="E1080" s="1">
        <v>80.078864</v>
      </c>
      <c r="F1080" s="1">
        <v>805.0</v>
      </c>
      <c r="G1080" s="1">
        <v>57.0</v>
      </c>
    </row>
    <row r="1081">
      <c r="A1081" s="1" t="s">
        <v>7</v>
      </c>
      <c r="B1081" s="2">
        <v>44715.0</v>
      </c>
      <c r="C1081" s="3">
        <v>0.24986111111111112</v>
      </c>
      <c r="D1081" s="1">
        <v>12.875462</v>
      </c>
      <c r="E1081" s="1">
        <v>80.078864</v>
      </c>
      <c r="F1081" s="1">
        <v>805.0</v>
      </c>
      <c r="G1081" s="1">
        <v>57.0</v>
      </c>
    </row>
    <row r="1082">
      <c r="A1082" s="1" t="s">
        <v>7</v>
      </c>
      <c r="B1082" s="2">
        <v>44715.0</v>
      </c>
      <c r="C1082" s="3">
        <v>0.24991898148148148</v>
      </c>
      <c r="D1082" s="1">
        <v>12.875462</v>
      </c>
      <c r="E1082" s="1">
        <v>80.078864</v>
      </c>
      <c r="F1082" s="1">
        <v>805.0</v>
      </c>
      <c r="G1082" s="1">
        <v>57.0</v>
      </c>
    </row>
    <row r="1083">
      <c r="A1083" s="1" t="s">
        <v>7</v>
      </c>
      <c r="B1083" s="2">
        <v>44715.0</v>
      </c>
      <c r="C1083" s="3">
        <v>0.25016203703703704</v>
      </c>
      <c r="D1083" s="1">
        <v>12.87412</v>
      </c>
      <c r="E1083" s="1">
        <v>80.078271</v>
      </c>
      <c r="F1083" s="1">
        <v>805.0</v>
      </c>
      <c r="G1083" s="1">
        <v>57.0</v>
      </c>
    </row>
    <row r="1084">
      <c r="A1084" s="1" t="s">
        <v>7</v>
      </c>
      <c r="B1084" s="2">
        <v>44715.0</v>
      </c>
      <c r="C1084" s="3">
        <v>0.2513425925925926</v>
      </c>
      <c r="D1084" s="1">
        <v>12.862945</v>
      </c>
      <c r="E1084" s="1">
        <v>80.073904</v>
      </c>
      <c r="F1084" s="1">
        <v>805.0</v>
      </c>
      <c r="G1084" s="1">
        <v>55.0</v>
      </c>
    </row>
    <row r="1085">
      <c r="A1085" s="1" t="s">
        <v>8</v>
      </c>
      <c r="B1085" s="2">
        <v>44715.0</v>
      </c>
      <c r="C1085" s="3">
        <v>0.25159722222222225</v>
      </c>
      <c r="D1085" s="1">
        <v>12.8604</v>
      </c>
      <c r="E1085" s="1">
        <v>80.072555</v>
      </c>
      <c r="F1085" s="1">
        <v>805.0</v>
      </c>
      <c r="G1085" s="1">
        <v>49.0</v>
      </c>
    </row>
    <row r="1086">
      <c r="A1086" s="1" t="s">
        <v>7</v>
      </c>
      <c r="B1086" s="2">
        <v>44715.0</v>
      </c>
      <c r="C1086" s="3">
        <v>0.2526388888888889</v>
      </c>
      <c r="D1086" s="1">
        <v>12.850453</v>
      </c>
      <c r="E1086" s="1">
        <v>80.065264</v>
      </c>
      <c r="F1086" s="1">
        <v>805.0</v>
      </c>
      <c r="G1086" s="1">
        <v>59.0</v>
      </c>
    </row>
    <row r="1087">
      <c r="A1087" s="1" t="s">
        <v>7</v>
      </c>
      <c r="B1087" s="2">
        <v>44715.0</v>
      </c>
      <c r="C1087" s="3">
        <v>0.25288194444444445</v>
      </c>
      <c r="D1087" s="1">
        <v>12.848079</v>
      </c>
      <c r="E1087" s="1">
        <v>80.06353</v>
      </c>
      <c r="F1087" s="1">
        <v>805.0</v>
      </c>
      <c r="G1087" s="1">
        <v>58.0</v>
      </c>
    </row>
    <row r="1088">
      <c r="A1088" s="1" t="s">
        <v>7</v>
      </c>
      <c r="B1088" s="2">
        <v>44715.0</v>
      </c>
      <c r="C1088" s="3">
        <v>0.2529282407407407</v>
      </c>
      <c r="D1088" s="1">
        <v>12.848079</v>
      </c>
      <c r="E1088" s="1">
        <v>80.06353</v>
      </c>
      <c r="F1088" s="1">
        <v>805.0</v>
      </c>
      <c r="G1088" s="1">
        <v>58.0</v>
      </c>
    </row>
    <row r="1089">
      <c r="A1089" s="1" t="s">
        <v>7</v>
      </c>
      <c r="B1089" s="2">
        <v>44715.0</v>
      </c>
      <c r="C1089" s="3">
        <v>0.2539236111111111</v>
      </c>
      <c r="D1089" s="1">
        <v>12.842821</v>
      </c>
      <c r="E1089" s="1">
        <v>80.058666</v>
      </c>
      <c r="F1089" s="1">
        <v>805.0</v>
      </c>
      <c r="G1089" s="1">
        <v>55.0</v>
      </c>
    </row>
    <row r="1090">
      <c r="A1090" s="1" t="s">
        <v>7</v>
      </c>
      <c r="B1090" s="2">
        <v>44715.0</v>
      </c>
      <c r="C1090" s="3">
        <v>0.25439814814814815</v>
      </c>
      <c r="D1090" s="1">
        <v>12.83874</v>
      </c>
      <c r="E1090" s="1">
        <v>80.054339</v>
      </c>
      <c r="F1090" s="1">
        <v>805.0</v>
      </c>
      <c r="G1090" s="1">
        <v>58.0</v>
      </c>
    </row>
    <row r="1091">
      <c r="A1091" s="1" t="s">
        <v>7</v>
      </c>
      <c r="B1091" s="2">
        <v>44715.0</v>
      </c>
      <c r="C1091" s="3">
        <v>0.2550115740740741</v>
      </c>
      <c r="D1091" s="1">
        <v>12.833078</v>
      </c>
      <c r="E1091" s="1">
        <v>80.048509</v>
      </c>
      <c r="F1091" s="1">
        <v>805.0</v>
      </c>
      <c r="G1091" s="1">
        <v>58.0</v>
      </c>
    </row>
    <row r="1092">
      <c r="A1092" s="1" t="s">
        <v>7</v>
      </c>
      <c r="B1092" s="2">
        <v>44715.0</v>
      </c>
      <c r="C1092" s="3">
        <v>0.2550810185185185</v>
      </c>
      <c r="D1092" s="1">
        <v>12.832077</v>
      </c>
      <c r="E1092" s="1">
        <v>80.047428</v>
      </c>
      <c r="F1092" s="1">
        <v>805.0</v>
      </c>
      <c r="G1092" s="1">
        <v>58.0</v>
      </c>
    </row>
    <row r="1093">
      <c r="A1093" s="1" t="s">
        <v>7</v>
      </c>
      <c r="B1093" s="2">
        <v>44715.0</v>
      </c>
      <c r="C1093" s="3">
        <v>0.2553587962962963</v>
      </c>
      <c r="D1093" s="1">
        <v>12.83102</v>
      </c>
      <c r="E1093" s="1">
        <v>80.046284</v>
      </c>
      <c r="F1093" s="1">
        <v>805.0</v>
      </c>
      <c r="G1093" s="1">
        <v>40.0</v>
      </c>
    </row>
    <row r="1094">
      <c r="A1094" s="1" t="s">
        <v>7</v>
      </c>
      <c r="B1094" s="2">
        <v>44715.0</v>
      </c>
      <c r="C1094" s="3">
        <v>0.2563078703703704</v>
      </c>
      <c r="D1094" s="1">
        <v>12.822595</v>
      </c>
      <c r="E1094" s="1">
        <v>80.038647</v>
      </c>
      <c r="F1094" s="1">
        <v>805.0</v>
      </c>
      <c r="G1094" s="1">
        <v>58.0</v>
      </c>
    </row>
    <row r="1095">
      <c r="A1095" s="1" t="s">
        <v>7</v>
      </c>
      <c r="B1095" s="2">
        <v>44715.0</v>
      </c>
      <c r="C1095" s="3">
        <v>0.25685185185185183</v>
      </c>
      <c r="D1095" s="1">
        <v>12.815525</v>
      </c>
      <c r="E1095" s="1">
        <v>80.033604</v>
      </c>
      <c r="F1095" s="1">
        <v>805.0</v>
      </c>
      <c r="G1095" s="1">
        <v>48.0</v>
      </c>
    </row>
    <row r="1096">
      <c r="A1096" s="1" t="s">
        <v>7</v>
      </c>
      <c r="B1096" s="2">
        <v>44715.0</v>
      </c>
      <c r="C1096" s="3">
        <v>0.2579282407407407</v>
      </c>
      <c r="D1096" s="1">
        <v>12.805905</v>
      </c>
      <c r="E1096" s="1">
        <v>80.027339</v>
      </c>
      <c r="F1096" s="1">
        <v>805.0</v>
      </c>
      <c r="G1096" s="1">
        <v>58.0</v>
      </c>
    </row>
    <row r="1097">
      <c r="A1097" s="1" t="s">
        <v>8</v>
      </c>
      <c r="B1097" s="2">
        <v>44715.0</v>
      </c>
      <c r="C1097" s="3">
        <v>0.25836805555555553</v>
      </c>
      <c r="D1097" s="1">
        <v>12.799926</v>
      </c>
      <c r="E1097" s="1">
        <v>80.023418</v>
      </c>
      <c r="F1097" s="1">
        <v>805.0</v>
      </c>
      <c r="G1097" s="1">
        <v>50.0</v>
      </c>
    </row>
    <row r="1098">
      <c r="A1098" s="1" t="s">
        <v>8</v>
      </c>
      <c r="B1098" s="2">
        <v>44715.0</v>
      </c>
      <c r="C1098" s="3">
        <v>0.25881944444444444</v>
      </c>
      <c r="D1098" s="1">
        <v>12.796286</v>
      </c>
      <c r="E1098" s="1">
        <v>80.021048</v>
      </c>
      <c r="F1098" s="1">
        <v>805.0</v>
      </c>
      <c r="G1098" s="1">
        <v>57.0</v>
      </c>
    </row>
    <row r="1099">
      <c r="A1099" s="1" t="s">
        <v>8</v>
      </c>
      <c r="B1099" s="2">
        <v>44715.0</v>
      </c>
      <c r="C1099" s="3">
        <v>0.25885416666666666</v>
      </c>
      <c r="D1099" s="1">
        <v>12.796286</v>
      </c>
      <c r="E1099" s="1">
        <v>80.021048</v>
      </c>
      <c r="F1099" s="1">
        <v>805.0</v>
      </c>
      <c r="G1099" s="1">
        <v>57.0</v>
      </c>
    </row>
    <row r="1100">
      <c r="A1100" s="1" t="s">
        <v>8</v>
      </c>
      <c r="B1100" s="2">
        <v>44715.0</v>
      </c>
      <c r="C1100" s="3">
        <v>0.25903935185185184</v>
      </c>
      <c r="D1100" s="1">
        <v>12.794345</v>
      </c>
      <c r="E1100" s="1">
        <v>80.01979</v>
      </c>
      <c r="F1100" s="1">
        <v>805.0</v>
      </c>
      <c r="G1100" s="1">
        <v>52.0</v>
      </c>
    </row>
    <row r="1101">
      <c r="A1101" s="1" t="s">
        <v>8</v>
      </c>
      <c r="B1101" s="2">
        <v>44715.0</v>
      </c>
      <c r="C1101" s="3">
        <v>0.25960648148148147</v>
      </c>
      <c r="D1101" s="1">
        <v>12.788716</v>
      </c>
      <c r="E1101" s="1">
        <v>80.016282</v>
      </c>
      <c r="F1101" s="1">
        <v>805.0</v>
      </c>
      <c r="G1101" s="1">
        <v>53.0</v>
      </c>
    </row>
    <row r="1102">
      <c r="A1102" s="1" t="s">
        <v>8</v>
      </c>
      <c r="B1102" s="2">
        <v>44715.0</v>
      </c>
      <c r="C1102" s="3">
        <v>0.25994212962962965</v>
      </c>
      <c r="D1102" s="1">
        <v>12.784816</v>
      </c>
      <c r="E1102" s="1">
        <v>80.013942</v>
      </c>
      <c r="F1102" s="1">
        <v>805.0</v>
      </c>
      <c r="G1102" s="1">
        <v>59.0</v>
      </c>
    </row>
    <row r="1103">
      <c r="A1103" s="1" t="s">
        <v>7</v>
      </c>
      <c r="B1103" s="2">
        <v>44715.0</v>
      </c>
      <c r="C1103" s="3">
        <v>0.26013888888888886</v>
      </c>
      <c r="D1103" s="1">
        <v>12.782698</v>
      </c>
      <c r="E1103" s="1">
        <v>80.012958</v>
      </c>
      <c r="F1103" s="1">
        <v>805.0</v>
      </c>
      <c r="G1103" s="1">
        <v>57.0</v>
      </c>
    </row>
    <row r="1104">
      <c r="A1104" s="1" t="s">
        <v>8</v>
      </c>
      <c r="B1104" s="2">
        <v>44715.0</v>
      </c>
      <c r="C1104" s="3">
        <v>0.26101851851851854</v>
      </c>
      <c r="D1104" s="1">
        <v>12.772068</v>
      </c>
      <c r="E1104" s="1">
        <v>80.008289</v>
      </c>
      <c r="F1104" s="1">
        <v>805.0</v>
      </c>
      <c r="G1104" s="1">
        <v>58.0</v>
      </c>
    </row>
    <row r="1105">
      <c r="A1105" s="1" t="s">
        <v>7</v>
      </c>
      <c r="B1105" s="2">
        <v>44715.0</v>
      </c>
      <c r="C1105" s="3">
        <v>0.26109953703703703</v>
      </c>
      <c r="D1105" s="1">
        <v>12.769906</v>
      </c>
      <c r="E1105" s="1">
        <v>80.007255</v>
      </c>
      <c r="F1105" s="1">
        <v>805.0</v>
      </c>
      <c r="G1105" s="1">
        <v>56.0</v>
      </c>
    </row>
    <row r="1106">
      <c r="A1106" s="1" t="s">
        <v>8</v>
      </c>
      <c r="B1106" s="2">
        <v>44715.0</v>
      </c>
      <c r="C1106" s="3">
        <v>0.26122685185185185</v>
      </c>
      <c r="D1106" s="1">
        <v>12.769906</v>
      </c>
      <c r="E1106" s="1">
        <v>80.007255</v>
      </c>
      <c r="F1106" s="1">
        <v>805.0</v>
      </c>
      <c r="G1106" s="1">
        <v>56.0</v>
      </c>
    </row>
    <row r="1107">
      <c r="A1107" s="1" t="s">
        <v>7</v>
      </c>
      <c r="B1107" s="2">
        <v>44715.0</v>
      </c>
      <c r="C1107" s="3">
        <v>0.26143518518518516</v>
      </c>
      <c r="D1107" s="1">
        <v>12.767794</v>
      </c>
      <c r="E1107" s="1">
        <v>80.006207</v>
      </c>
      <c r="F1107" s="1">
        <v>805.0</v>
      </c>
      <c r="G1107" s="1">
        <v>56.0</v>
      </c>
    </row>
    <row r="1108">
      <c r="A1108" s="1" t="s">
        <v>7</v>
      </c>
      <c r="B1108" s="2">
        <v>44715.0</v>
      </c>
      <c r="C1108" s="3">
        <v>0.26177083333333334</v>
      </c>
      <c r="D1108" s="1">
        <v>12.763541</v>
      </c>
      <c r="E1108" s="1">
        <v>80.004365</v>
      </c>
      <c r="F1108" s="1">
        <v>805.0</v>
      </c>
      <c r="G1108" s="1">
        <v>53.0</v>
      </c>
    </row>
    <row r="1109">
      <c r="A1109" s="1" t="s">
        <v>7</v>
      </c>
      <c r="B1109" s="2">
        <v>44715.0</v>
      </c>
      <c r="C1109" s="3">
        <v>0.2619328703703704</v>
      </c>
      <c r="D1109" s="1">
        <v>12.761914</v>
      </c>
      <c r="E1109" s="1">
        <v>80.003804</v>
      </c>
      <c r="F1109" s="1">
        <v>805.0</v>
      </c>
      <c r="G1109" s="1">
        <v>54.0</v>
      </c>
    </row>
    <row r="1110">
      <c r="A1110" s="1" t="s">
        <v>7</v>
      </c>
      <c r="B1110" s="2">
        <v>44715.0</v>
      </c>
      <c r="C1110" s="3">
        <v>0.2621412037037037</v>
      </c>
      <c r="D1110" s="1">
        <v>12.759659</v>
      </c>
      <c r="E1110" s="1">
        <v>80.003227</v>
      </c>
      <c r="F1110" s="1">
        <v>805.0</v>
      </c>
      <c r="G1110" s="1">
        <v>62.0</v>
      </c>
    </row>
    <row r="1111">
      <c r="A1111" s="1" t="s">
        <v>7</v>
      </c>
      <c r="B1111" s="2">
        <v>44715.0</v>
      </c>
      <c r="C1111" s="3">
        <v>0.26243055555555556</v>
      </c>
      <c r="D1111" s="1">
        <v>12.755412</v>
      </c>
      <c r="E1111" s="1">
        <v>80.001631</v>
      </c>
      <c r="F1111" s="1">
        <v>805.0</v>
      </c>
      <c r="G1111" s="1">
        <v>58.0</v>
      </c>
    </row>
    <row r="1112">
      <c r="A1112" s="1" t="s">
        <v>7</v>
      </c>
      <c r="B1112" s="2">
        <v>44715.0</v>
      </c>
      <c r="C1112" s="3">
        <v>0.26273148148148145</v>
      </c>
      <c r="D1112" s="1">
        <v>12.753434</v>
      </c>
      <c r="E1112" s="1">
        <v>80.000365</v>
      </c>
      <c r="F1112" s="1">
        <v>805.0</v>
      </c>
      <c r="G1112" s="1">
        <v>58.0</v>
      </c>
    </row>
    <row r="1113">
      <c r="A1113" s="1" t="s">
        <v>7</v>
      </c>
      <c r="B1113" s="2">
        <v>44715.0</v>
      </c>
      <c r="C1113" s="3">
        <v>0.2628240740740741</v>
      </c>
      <c r="D1113" s="1">
        <v>12.751476</v>
      </c>
      <c r="E1113" s="1">
        <v>79.999055</v>
      </c>
      <c r="F1113" s="1">
        <v>805.0</v>
      </c>
      <c r="G1113" s="1">
        <v>58.0</v>
      </c>
    </row>
    <row r="1114">
      <c r="A1114" s="1" t="s">
        <v>7</v>
      </c>
      <c r="B1114" s="2">
        <v>44715.0</v>
      </c>
      <c r="C1114" s="3">
        <v>0.26305555555555554</v>
      </c>
      <c r="D1114" s="1">
        <v>12.749606</v>
      </c>
      <c r="E1114" s="1">
        <v>79.997639</v>
      </c>
      <c r="F1114" s="1">
        <v>805.0</v>
      </c>
      <c r="G1114" s="1">
        <v>58.0</v>
      </c>
    </row>
    <row r="1115">
      <c r="A1115" s="1" t="s">
        <v>7</v>
      </c>
      <c r="B1115" s="2">
        <v>44715.0</v>
      </c>
      <c r="C1115" s="3">
        <v>0.2641087962962963</v>
      </c>
      <c r="D1115" s="1">
        <v>12.738573</v>
      </c>
      <c r="E1115" s="1">
        <v>79.988806</v>
      </c>
      <c r="F1115" s="1">
        <v>805.0</v>
      </c>
      <c r="G1115" s="1">
        <v>57.0</v>
      </c>
    </row>
    <row r="1116">
      <c r="A1116" s="1" t="s">
        <v>7</v>
      </c>
      <c r="B1116" s="2">
        <v>44715.0</v>
      </c>
      <c r="C1116" s="3">
        <v>0.2669675925925926</v>
      </c>
      <c r="D1116" s="1">
        <v>12.721284</v>
      </c>
      <c r="E1116" s="1">
        <v>79.981337</v>
      </c>
      <c r="F1116" s="1">
        <v>805.0</v>
      </c>
      <c r="G1116" s="1">
        <v>52.0</v>
      </c>
    </row>
    <row r="1117">
      <c r="A1117" s="1" t="s">
        <v>7</v>
      </c>
      <c r="B1117" s="2">
        <v>44715.0</v>
      </c>
      <c r="C1117" s="3">
        <v>0.2684722222222222</v>
      </c>
      <c r="D1117" s="1">
        <v>12.7043</v>
      </c>
      <c r="E1117" s="1">
        <v>79.972943</v>
      </c>
      <c r="F1117" s="1">
        <v>805.0</v>
      </c>
      <c r="G1117" s="1">
        <v>58.0</v>
      </c>
    </row>
    <row r="1118">
      <c r="A1118" s="1" t="s">
        <v>7</v>
      </c>
      <c r="B1118" s="2">
        <v>44715.0</v>
      </c>
      <c r="C1118" s="3">
        <v>0.26885416666666667</v>
      </c>
      <c r="D1118" s="1">
        <v>12.701601</v>
      </c>
      <c r="E1118" s="1">
        <v>79.969589</v>
      </c>
      <c r="F1118" s="1">
        <v>805.0</v>
      </c>
      <c r="G1118" s="1">
        <v>58.0</v>
      </c>
    </row>
    <row r="1119">
      <c r="A1119" s="1" t="s">
        <v>7</v>
      </c>
      <c r="B1119" s="2">
        <v>44715.0</v>
      </c>
      <c r="C1119" s="3">
        <v>0.26966435185185184</v>
      </c>
      <c r="D1119" s="1">
        <v>12.692592</v>
      </c>
      <c r="E1119" s="1">
        <v>79.964527</v>
      </c>
      <c r="F1119" s="1">
        <v>805.0</v>
      </c>
      <c r="G1119" s="1">
        <v>58.0</v>
      </c>
    </row>
    <row r="1120">
      <c r="A1120" s="1" t="s">
        <v>7</v>
      </c>
      <c r="B1120" s="2">
        <v>44715.0</v>
      </c>
      <c r="C1120" s="3">
        <v>0.2698263888888889</v>
      </c>
      <c r="D1120" s="1">
        <v>12.690585</v>
      </c>
      <c r="E1120" s="1">
        <v>79.962375</v>
      </c>
      <c r="F1120" s="1">
        <v>805.0</v>
      </c>
      <c r="G1120" s="1">
        <v>58.0</v>
      </c>
    </row>
    <row r="1121">
      <c r="A1121" s="1" t="s">
        <v>7</v>
      </c>
      <c r="B1121" s="2">
        <v>44715.0</v>
      </c>
      <c r="C1121" s="3">
        <v>0.2699652777777778</v>
      </c>
      <c r="D1121" s="1">
        <v>12.689707</v>
      </c>
      <c r="E1121" s="1">
        <v>79.961181</v>
      </c>
      <c r="F1121" s="1">
        <v>805.0</v>
      </c>
      <c r="G1121" s="1">
        <v>58.0</v>
      </c>
    </row>
    <row r="1122">
      <c r="A1122" s="1" t="s">
        <v>7</v>
      </c>
      <c r="B1122" s="2">
        <v>44715.0</v>
      </c>
      <c r="C1122" s="3">
        <v>0.27003472222222225</v>
      </c>
      <c r="D1122" s="1">
        <v>12.688578</v>
      </c>
      <c r="E1122" s="1">
        <v>79.960259</v>
      </c>
      <c r="F1122" s="1">
        <v>805.0</v>
      </c>
      <c r="G1122" s="1">
        <v>58.0</v>
      </c>
    </row>
    <row r="1123">
      <c r="A1123" s="1" t="s">
        <v>7</v>
      </c>
      <c r="B1123" s="2">
        <v>44715.0</v>
      </c>
      <c r="C1123" s="3">
        <v>0.27024305555555556</v>
      </c>
      <c r="D1123" s="1">
        <v>12.688578</v>
      </c>
      <c r="E1123" s="1">
        <v>79.960259</v>
      </c>
      <c r="F1123" s="1">
        <v>805.0</v>
      </c>
      <c r="G1123" s="1">
        <v>58.0</v>
      </c>
    </row>
    <row r="1124">
      <c r="A1124" s="1" t="s">
        <v>7</v>
      </c>
      <c r="B1124" s="2">
        <v>44715.0</v>
      </c>
      <c r="C1124" s="3">
        <v>0.27046296296296296</v>
      </c>
      <c r="D1124" s="1">
        <v>12.688578</v>
      </c>
      <c r="E1124" s="1">
        <v>79.960259</v>
      </c>
      <c r="F1124" s="1">
        <v>805.0</v>
      </c>
      <c r="G1124" s="1">
        <v>58.0</v>
      </c>
    </row>
    <row r="1125">
      <c r="A1125" s="1" t="s">
        <v>7</v>
      </c>
      <c r="B1125" s="2">
        <v>44715.0</v>
      </c>
      <c r="C1125" s="3">
        <v>0.27111111111111114</v>
      </c>
      <c r="D1125" s="1">
        <v>12.675632</v>
      </c>
      <c r="E1125" s="1">
        <v>79.958641</v>
      </c>
      <c r="F1125" s="1">
        <v>805.0</v>
      </c>
      <c r="G1125" s="1">
        <v>57.0</v>
      </c>
    </row>
    <row r="1126">
      <c r="A1126" s="1" t="s">
        <v>7</v>
      </c>
      <c r="B1126" s="2">
        <v>44715.0</v>
      </c>
      <c r="C1126" s="3">
        <v>0.2716550925925926</v>
      </c>
      <c r="D1126" s="1">
        <v>12.672702</v>
      </c>
      <c r="E1126" s="1">
        <v>79.958651</v>
      </c>
      <c r="F1126" s="1">
        <v>805.0</v>
      </c>
      <c r="G1126" s="1">
        <v>58.0</v>
      </c>
    </row>
    <row r="1127">
      <c r="A1127" s="1" t="s">
        <v>7</v>
      </c>
      <c r="B1127" s="2">
        <v>44715.0</v>
      </c>
      <c r="C1127" s="3">
        <v>0.2720949074074074</v>
      </c>
      <c r="D1127" s="1">
        <v>12.665579</v>
      </c>
      <c r="E1127" s="1">
        <v>79.959749</v>
      </c>
      <c r="F1127" s="1">
        <v>805.0</v>
      </c>
      <c r="G1127" s="1">
        <v>58.0</v>
      </c>
    </row>
    <row r="1128">
      <c r="A1128" s="1" t="s">
        <v>7</v>
      </c>
      <c r="B1128" s="2">
        <v>44715.0</v>
      </c>
      <c r="C1128" s="3">
        <v>0.2725810185185185</v>
      </c>
      <c r="D1128" s="1">
        <v>12.657905</v>
      </c>
      <c r="E1128" s="1">
        <v>79.958873</v>
      </c>
      <c r="F1128" s="1">
        <v>805.0</v>
      </c>
      <c r="G1128" s="1">
        <v>60.0</v>
      </c>
    </row>
    <row r="1129">
      <c r="A1129" s="1" t="s">
        <v>7</v>
      </c>
      <c r="B1129" s="2">
        <v>44715.0</v>
      </c>
      <c r="C1129" s="3">
        <v>0.2726736111111111</v>
      </c>
      <c r="D1129" s="1">
        <v>12.657905</v>
      </c>
      <c r="E1129" s="1">
        <v>79.958873</v>
      </c>
      <c r="F1129" s="1">
        <v>805.0</v>
      </c>
      <c r="G1129" s="1">
        <v>60.0</v>
      </c>
    </row>
    <row r="1130">
      <c r="A1130" s="1" t="s">
        <v>7</v>
      </c>
      <c r="B1130" s="2">
        <v>44715.0</v>
      </c>
      <c r="C1130" s="3">
        <v>0.2731134259259259</v>
      </c>
      <c r="D1130" s="1">
        <v>12.655781</v>
      </c>
      <c r="E1130" s="1">
        <v>79.95326</v>
      </c>
      <c r="F1130" s="1">
        <v>805.0</v>
      </c>
      <c r="G1130" s="1">
        <v>58.0</v>
      </c>
    </row>
    <row r="1131">
      <c r="A1131" s="1" t="s">
        <v>8</v>
      </c>
      <c r="B1131" s="2">
        <v>44715.0</v>
      </c>
      <c r="C1131" s="3">
        <v>0.2743287037037037</v>
      </c>
      <c r="D1131" s="1">
        <v>12.65713</v>
      </c>
      <c r="E1131" s="1">
        <v>79.942347</v>
      </c>
      <c r="F1131" s="1">
        <v>805.0</v>
      </c>
      <c r="G1131" s="1">
        <v>55.0</v>
      </c>
    </row>
    <row r="1132">
      <c r="A1132" s="1" t="s">
        <v>8</v>
      </c>
      <c r="B1132" s="2">
        <v>44715.0</v>
      </c>
      <c r="C1132" s="3">
        <v>0.2747222222222222</v>
      </c>
      <c r="D1132" s="1">
        <v>12.651228</v>
      </c>
      <c r="E1132" s="1">
        <v>79.941788</v>
      </c>
      <c r="F1132" s="1">
        <v>805.0</v>
      </c>
      <c r="G1132" s="1">
        <v>49.0</v>
      </c>
    </row>
    <row r="1133">
      <c r="A1133" s="1" t="s">
        <v>7</v>
      </c>
      <c r="B1133" s="2">
        <v>44715.0</v>
      </c>
      <c r="C1133" s="3">
        <v>0.2750810185185185</v>
      </c>
      <c r="D1133" s="1">
        <v>12.647334</v>
      </c>
      <c r="E1133" s="1">
        <v>79.940597</v>
      </c>
      <c r="F1133" s="1">
        <v>805.0</v>
      </c>
      <c r="G1133" s="1">
        <v>57.0</v>
      </c>
    </row>
    <row r="1134">
      <c r="A1134" s="1" t="s">
        <v>7</v>
      </c>
      <c r="B1134" s="2">
        <v>44715.0</v>
      </c>
      <c r="C1134" s="3">
        <v>0.27541666666666664</v>
      </c>
      <c r="D1134" s="1">
        <v>12.644718</v>
      </c>
      <c r="E1134" s="1">
        <v>79.939272</v>
      </c>
      <c r="F1134" s="1">
        <v>805.0</v>
      </c>
      <c r="G1134" s="1">
        <v>58.0</v>
      </c>
    </row>
    <row r="1135">
      <c r="A1135" s="1" t="s">
        <v>7</v>
      </c>
      <c r="B1135" s="2">
        <v>44715.0</v>
      </c>
      <c r="C1135" s="3">
        <v>0.2765162037037037</v>
      </c>
      <c r="D1135" s="1">
        <v>12.631942</v>
      </c>
      <c r="E1135" s="1">
        <v>79.932055</v>
      </c>
      <c r="F1135" s="1">
        <v>805.0</v>
      </c>
      <c r="G1135" s="1">
        <v>57.0</v>
      </c>
    </row>
    <row r="1136">
      <c r="A1136" s="1" t="s">
        <v>7</v>
      </c>
      <c r="B1136" s="2">
        <v>44715.0</v>
      </c>
      <c r="C1136" s="3">
        <v>0.2773611111111111</v>
      </c>
      <c r="D1136" s="1">
        <v>12.630315</v>
      </c>
      <c r="E1136" s="1">
        <v>79.931367</v>
      </c>
      <c r="F1136" s="1">
        <v>805.0</v>
      </c>
      <c r="G1136" s="1">
        <v>58.0</v>
      </c>
    </row>
    <row r="1137">
      <c r="A1137" s="1" t="s">
        <v>7</v>
      </c>
      <c r="B1137" s="2">
        <v>44715.0</v>
      </c>
      <c r="C1137" s="3">
        <v>0.2776736111111111</v>
      </c>
      <c r="D1137" s="1">
        <v>12.617999</v>
      </c>
      <c r="E1137" s="1">
        <v>79.926647</v>
      </c>
      <c r="F1137" s="1">
        <v>805.0</v>
      </c>
      <c r="G1137" s="1">
        <v>58.0</v>
      </c>
    </row>
    <row r="1138">
      <c r="A1138" s="1" t="s">
        <v>7</v>
      </c>
      <c r="B1138" s="2">
        <v>44715.0</v>
      </c>
      <c r="C1138" s="3">
        <v>0.2783333333333333</v>
      </c>
      <c r="D1138" s="1">
        <v>12.610359</v>
      </c>
      <c r="E1138" s="1">
        <v>79.922965</v>
      </c>
      <c r="F1138" s="1">
        <v>805.0</v>
      </c>
      <c r="G1138" s="1">
        <v>58.0</v>
      </c>
    </row>
    <row r="1139">
      <c r="A1139" s="1" t="s">
        <v>7</v>
      </c>
      <c r="B1139" s="2">
        <v>44715.0</v>
      </c>
      <c r="C1139" s="3">
        <v>0.27849537037037037</v>
      </c>
      <c r="D1139" s="1">
        <v>12.60909</v>
      </c>
      <c r="E1139" s="1">
        <v>79.922228</v>
      </c>
      <c r="F1139" s="1">
        <v>805.0</v>
      </c>
      <c r="G1139" s="1">
        <v>58.0</v>
      </c>
    </row>
    <row r="1140">
      <c r="A1140" s="1" t="s">
        <v>7</v>
      </c>
      <c r="B1140" s="2">
        <v>44715.0</v>
      </c>
      <c r="C1140" s="3">
        <v>0.27859953703703705</v>
      </c>
      <c r="D1140" s="1">
        <v>12.607</v>
      </c>
      <c r="E1140" s="1">
        <v>79.921174</v>
      </c>
      <c r="F1140" s="1">
        <v>805.0</v>
      </c>
      <c r="G1140" s="1">
        <v>58.0</v>
      </c>
    </row>
    <row r="1141">
      <c r="A1141" s="1" t="s">
        <v>7</v>
      </c>
      <c r="B1141" s="2">
        <v>44715.0</v>
      </c>
      <c r="C1141" s="3">
        <v>0.2787384259259259</v>
      </c>
      <c r="D1141" s="1">
        <v>12.604858</v>
      </c>
      <c r="E1141" s="1">
        <v>79.920662</v>
      </c>
      <c r="F1141" s="1">
        <v>805.0</v>
      </c>
      <c r="G1141" s="1">
        <v>58.0</v>
      </c>
    </row>
    <row r="1142">
      <c r="A1142" s="1" t="s">
        <v>7</v>
      </c>
      <c r="B1142" s="2">
        <v>44715.0</v>
      </c>
      <c r="C1142" s="3">
        <v>0.27899305555555554</v>
      </c>
      <c r="D1142" s="1">
        <v>12.601969</v>
      </c>
      <c r="E1142" s="1">
        <v>79.920209</v>
      </c>
      <c r="F1142" s="1">
        <v>805.0</v>
      </c>
      <c r="G1142" s="1">
        <v>58.0</v>
      </c>
    </row>
    <row r="1143">
      <c r="A1143" s="1" t="s">
        <v>7</v>
      </c>
      <c r="B1143" s="2">
        <v>44715.0</v>
      </c>
      <c r="C1143" s="3">
        <v>0.2791666666666667</v>
      </c>
      <c r="D1143" s="1">
        <v>12.600514</v>
      </c>
      <c r="E1143" s="1">
        <v>79.920034</v>
      </c>
      <c r="F1143" s="1">
        <v>805.0</v>
      </c>
      <c r="G1143" s="1">
        <v>58.0</v>
      </c>
    </row>
    <row r="1144">
      <c r="A1144" s="1" t="s">
        <v>7</v>
      </c>
      <c r="B1144" s="2">
        <v>44715.0</v>
      </c>
      <c r="C1144" s="3">
        <v>0.27965277777777775</v>
      </c>
      <c r="D1144" s="1">
        <v>12.59327</v>
      </c>
      <c r="E1144" s="1">
        <v>79.919288</v>
      </c>
      <c r="F1144" s="1">
        <v>805.0</v>
      </c>
      <c r="G1144" s="1">
        <v>58.0</v>
      </c>
    </row>
    <row r="1145">
      <c r="A1145" s="1" t="s">
        <v>7</v>
      </c>
      <c r="B1145" s="2">
        <v>44715.0</v>
      </c>
      <c r="C1145" s="3">
        <v>0.2800925925925926</v>
      </c>
      <c r="D1145" s="1">
        <v>12.588869</v>
      </c>
      <c r="E1145" s="1">
        <v>79.919434</v>
      </c>
      <c r="F1145" s="1">
        <v>805.0</v>
      </c>
      <c r="G1145" s="1">
        <v>57.0</v>
      </c>
    </row>
    <row r="1146">
      <c r="A1146" s="1" t="s">
        <v>7</v>
      </c>
      <c r="B1146" s="2">
        <v>44715.0</v>
      </c>
      <c r="C1146" s="3">
        <v>0.28020833333333334</v>
      </c>
      <c r="D1146" s="1">
        <v>12.587409</v>
      </c>
      <c r="E1146" s="1">
        <v>79.919486</v>
      </c>
      <c r="F1146" s="1">
        <v>805.0</v>
      </c>
      <c r="G1146" s="1">
        <v>57.0</v>
      </c>
    </row>
    <row r="1147">
      <c r="A1147" s="1" t="s">
        <v>7</v>
      </c>
      <c r="B1147" s="2">
        <v>44715.0</v>
      </c>
      <c r="C1147" s="3">
        <v>0.2804050925925926</v>
      </c>
      <c r="D1147" s="1">
        <v>12.584493</v>
      </c>
      <c r="E1147" s="1">
        <v>79.919423</v>
      </c>
      <c r="F1147" s="1">
        <v>805.0</v>
      </c>
      <c r="G1147" s="1">
        <v>58.0</v>
      </c>
    </row>
    <row r="1148">
      <c r="A1148" s="1" t="s">
        <v>7</v>
      </c>
      <c r="B1148" s="2">
        <v>44715.0</v>
      </c>
      <c r="C1148" s="3">
        <v>0.2806018518518518</v>
      </c>
      <c r="D1148" s="1">
        <v>12.581598</v>
      </c>
      <c r="E1148" s="1">
        <v>79.918944</v>
      </c>
      <c r="F1148" s="1">
        <v>805.0</v>
      </c>
      <c r="G1148" s="1">
        <v>58.0</v>
      </c>
    </row>
    <row r="1149">
      <c r="A1149" s="1" t="s">
        <v>7</v>
      </c>
      <c r="B1149" s="2">
        <v>44715.0</v>
      </c>
      <c r="C1149" s="3">
        <v>0.2808101851851852</v>
      </c>
      <c r="D1149" s="1">
        <v>12.579002</v>
      </c>
      <c r="E1149" s="1">
        <v>79.917935</v>
      </c>
      <c r="F1149" s="1">
        <v>805.0</v>
      </c>
      <c r="G1149" s="1">
        <v>0.0</v>
      </c>
    </row>
    <row r="1150">
      <c r="A1150" s="1" t="s">
        <v>7</v>
      </c>
      <c r="B1150" s="2">
        <v>44715.0</v>
      </c>
      <c r="C1150" s="3">
        <v>0.28144675925925927</v>
      </c>
      <c r="D1150" s="1">
        <v>12.571737</v>
      </c>
      <c r="E1150" s="1">
        <v>79.916228</v>
      </c>
      <c r="F1150" s="1">
        <v>805.0</v>
      </c>
      <c r="G1150" s="1">
        <v>58.0</v>
      </c>
    </row>
    <row r="1151">
      <c r="A1151" s="1" t="s">
        <v>8</v>
      </c>
      <c r="B1151" s="2">
        <v>44715.0</v>
      </c>
      <c r="C1151" s="3">
        <v>0.2833333333333333</v>
      </c>
      <c r="D1151" s="1">
        <v>12.564748</v>
      </c>
      <c r="E1151" s="1">
        <v>79.914099</v>
      </c>
      <c r="F1151" s="1">
        <v>805.0</v>
      </c>
      <c r="G1151" s="1">
        <v>58.0</v>
      </c>
    </row>
    <row r="1152">
      <c r="A1152" s="1" t="s">
        <v>8</v>
      </c>
      <c r="B1152" s="2">
        <v>44715.0</v>
      </c>
      <c r="C1152" s="3">
        <v>0.28357638888888886</v>
      </c>
      <c r="D1152" s="1">
        <v>12.563475</v>
      </c>
      <c r="E1152" s="1">
        <v>79.913351</v>
      </c>
      <c r="F1152" s="1">
        <v>805.0</v>
      </c>
      <c r="G1152" s="1">
        <v>58.0</v>
      </c>
    </row>
    <row r="1153">
      <c r="A1153" s="1" t="s">
        <v>7</v>
      </c>
      <c r="B1153" s="2">
        <v>44715.0</v>
      </c>
      <c r="C1153" s="3">
        <v>0.2838888888888889</v>
      </c>
      <c r="D1153" s="1">
        <v>12.563475</v>
      </c>
      <c r="E1153" s="1">
        <v>79.913351</v>
      </c>
      <c r="F1153" s="1">
        <v>805.0</v>
      </c>
      <c r="G1153" s="1">
        <v>58.0</v>
      </c>
    </row>
    <row r="1154">
      <c r="A1154" s="1" t="s">
        <v>7</v>
      </c>
      <c r="B1154" s="2">
        <v>44715.0</v>
      </c>
      <c r="C1154" s="3">
        <v>0.28400462962962963</v>
      </c>
      <c r="D1154" s="1">
        <v>12.543479</v>
      </c>
      <c r="E1154" s="1">
        <v>79.904959</v>
      </c>
      <c r="F1154" s="1">
        <v>805.0</v>
      </c>
      <c r="G1154" s="1">
        <v>55.0</v>
      </c>
    </row>
    <row r="1155">
      <c r="A1155" s="1" t="s">
        <v>7</v>
      </c>
      <c r="B1155" s="2">
        <v>44715.0</v>
      </c>
      <c r="C1155" s="3">
        <v>0.2843287037037037</v>
      </c>
      <c r="D1155" s="1">
        <v>12.53867</v>
      </c>
      <c r="E1155" s="1">
        <v>79.90407</v>
      </c>
      <c r="F1155" s="1">
        <v>805.0</v>
      </c>
      <c r="G1155" s="1">
        <v>58.0</v>
      </c>
    </row>
    <row r="1156">
      <c r="A1156" s="1" t="s">
        <v>7</v>
      </c>
      <c r="B1156" s="2">
        <v>44715.0</v>
      </c>
      <c r="C1156" s="3">
        <v>0.2881828703703704</v>
      </c>
      <c r="D1156" s="1">
        <v>12.532506</v>
      </c>
      <c r="E1156" s="1">
        <v>79.900835</v>
      </c>
      <c r="F1156" s="1">
        <v>805.0</v>
      </c>
      <c r="G1156" s="1">
        <v>21.0</v>
      </c>
    </row>
    <row r="1157">
      <c r="A1157" s="1" t="s">
        <v>7</v>
      </c>
      <c r="B1157" s="2">
        <v>44715.0</v>
      </c>
      <c r="C1157" s="3">
        <v>0.28855324074074074</v>
      </c>
      <c r="D1157" s="1">
        <v>12.528902</v>
      </c>
      <c r="E1157" s="1">
        <v>79.899002</v>
      </c>
      <c r="F1157" s="1">
        <v>805.0</v>
      </c>
      <c r="G1157" s="1">
        <v>58.0</v>
      </c>
    </row>
    <row r="1158">
      <c r="A1158" s="1" t="s">
        <v>8</v>
      </c>
      <c r="B1158" s="2">
        <v>44715.0</v>
      </c>
      <c r="C1158" s="3">
        <v>0.2889814814814815</v>
      </c>
      <c r="D1158" s="1">
        <v>12.522681</v>
      </c>
      <c r="E1158" s="1">
        <v>79.896026</v>
      </c>
      <c r="F1158" s="1">
        <v>805.0</v>
      </c>
      <c r="G1158" s="1">
        <v>57.0</v>
      </c>
    </row>
    <row r="1159">
      <c r="A1159" s="1" t="s">
        <v>7</v>
      </c>
      <c r="B1159" s="2">
        <v>44715.0</v>
      </c>
      <c r="C1159" s="3">
        <v>0.28966435185185185</v>
      </c>
      <c r="D1159" s="1">
        <v>12.517755</v>
      </c>
      <c r="E1159" s="1">
        <v>79.89143</v>
      </c>
      <c r="F1159" s="1">
        <v>805.0</v>
      </c>
      <c r="G1159" s="1">
        <v>58.0</v>
      </c>
    </row>
    <row r="1160">
      <c r="A1160" s="1" t="s">
        <v>7</v>
      </c>
      <c r="B1160" s="2">
        <v>44715.0</v>
      </c>
      <c r="C1160" s="3">
        <v>0.28984953703703703</v>
      </c>
      <c r="D1160" s="1">
        <v>12.516534</v>
      </c>
      <c r="E1160" s="1">
        <v>79.889411</v>
      </c>
      <c r="F1160" s="1">
        <v>805.0</v>
      </c>
      <c r="G1160" s="1">
        <v>58.0</v>
      </c>
    </row>
    <row r="1161">
      <c r="A1161" s="1" t="s">
        <v>7</v>
      </c>
      <c r="B1161" s="2">
        <v>44715.0</v>
      </c>
      <c r="C1161" s="3">
        <v>0.2902199074074074</v>
      </c>
      <c r="D1161" s="1">
        <v>12.51445</v>
      </c>
      <c r="E1161" s="1">
        <v>79.885163</v>
      </c>
      <c r="F1161" s="1">
        <v>805.0</v>
      </c>
      <c r="G1161" s="1">
        <v>57.0</v>
      </c>
    </row>
    <row r="1162">
      <c r="A1162" s="1" t="s">
        <v>10</v>
      </c>
      <c r="B1162" s="2">
        <v>44715.0</v>
      </c>
      <c r="C1162" s="3">
        <v>0.2929976851851852</v>
      </c>
      <c r="D1162" s="1">
        <v>12.509762</v>
      </c>
      <c r="E1162" s="1">
        <v>79.884793</v>
      </c>
      <c r="F1162" s="1">
        <v>805.0</v>
      </c>
      <c r="G1162" s="1">
        <v>9.0</v>
      </c>
    </row>
    <row r="1163">
      <c r="A1163" s="1" t="s">
        <v>7</v>
      </c>
      <c r="B1163" s="2">
        <v>44715.0</v>
      </c>
      <c r="C1163" s="3">
        <v>0.29672453703703705</v>
      </c>
      <c r="D1163" s="1">
        <v>12.518998</v>
      </c>
      <c r="E1163" s="1">
        <v>79.892444</v>
      </c>
      <c r="F1163" s="1">
        <v>805.0</v>
      </c>
      <c r="G1163" s="1">
        <v>0.0</v>
      </c>
    </row>
    <row r="1164">
      <c r="A1164" s="1" t="s">
        <v>7</v>
      </c>
      <c r="B1164" s="2">
        <v>44715.0</v>
      </c>
      <c r="C1164" s="3">
        <v>0.29703703703703704</v>
      </c>
      <c r="D1164" s="1">
        <v>12.521758</v>
      </c>
      <c r="E1164" s="1">
        <v>79.895131</v>
      </c>
      <c r="F1164" s="1">
        <v>805.0</v>
      </c>
      <c r="G1164" s="1">
        <v>58.0</v>
      </c>
    </row>
    <row r="1165">
      <c r="A1165" s="1" t="s">
        <v>7</v>
      </c>
      <c r="B1165" s="2">
        <v>44715.0</v>
      </c>
      <c r="C1165" s="3">
        <v>0.2973263888888889</v>
      </c>
      <c r="D1165" s="1">
        <v>12.523738</v>
      </c>
      <c r="E1165" s="1">
        <v>79.896349</v>
      </c>
      <c r="F1165" s="1">
        <v>805.0</v>
      </c>
      <c r="G1165" s="1">
        <v>58.0</v>
      </c>
    </row>
    <row r="1166">
      <c r="A1166" s="1" t="s">
        <v>7</v>
      </c>
      <c r="B1166" s="2">
        <v>44715.0</v>
      </c>
      <c r="C1166" s="3">
        <v>0.29739583333333336</v>
      </c>
      <c r="D1166" s="1">
        <v>12.523738</v>
      </c>
      <c r="E1166" s="1">
        <v>79.896349</v>
      </c>
      <c r="F1166" s="1">
        <v>805.0</v>
      </c>
      <c r="G1166" s="1">
        <v>58.0</v>
      </c>
    </row>
    <row r="1167">
      <c r="A1167" s="1" t="s">
        <v>7</v>
      </c>
      <c r="B1167" s="2">
        <v>44715.0</v>
      </c>
      <c r="C1167" s="3">
        <v>0.2979976851851852</v>
      </c>
      <c r="D1167" s="1">
        <v>12.530969</v>
      </c>
      <c r="E1167" s="1">
        <v>79.899839</v>
      </c>
      <c r="F1167" s="1">
        <v>805.0</v>
      </c>
      <c r="G1167" s="1">
        <v>0.0</v>
      </c>
    </row>
    <row r="1168">
      <c r="A1168" s="1" t="s">
        <v>7</v>
      </c>
      <c r="B1168" s="2">
        <v>44715.0</v>
      </c>
      <c r="C1168" s="3">
        <v>0.29811342592592593</v>
      </c>
      <c r="D1168" s="1">
        <v>12.530969</v>
      </c>
      <c r="E1168" s="1">
        <v>79.899839</v>
      </c>
      <c r="F1168" s="1">
        <v>805.0</v>
      </c>
      <c r="G1168" s="1">
        <v>0.0</v>
      </c>
    </row>
    <row r="1169">
      <c r="A1169" s="1" t="s">
        <v>7</v>
      </c>
      <c r="B1169" s="2">
        <v>44715.0</v>
      </c>
      <c r="C1169" s="3">
        <v>0.2982986111111111</v>
      </c>
      <c r="D1169" s="1">
        <v>12.531999</v>
      </c>
      <c r="E1169" s="1">
        <v>79.900384</v>
      </c>
      <c r="F1169" s="1">
        <v>805.0</v>
      </c>
      <c r="G1169" s="1">
        <v>49.0</v>
      </c>
    </row>
    <row r="1170">
      <c r="A1170" s="1" t="s">
        <v>7</v>
      </c>
      <c r="B1170" s="2">
        <v>44715.0</v>
      </c>
      <c r="C1170" s="3">
        <v>0.29943287037037036</v>
      </c>
      <c r="D1170" s="1">
        <v>12.543519</v>
      </c>
      <c r="E1170" s="1">
        <v>79.904826</v>
      </c>
      <c r="F1170" s="1">
        <v>805.0</v>
      </c>
      <c r="G1170" s="1">
        <v>0.0</v>
      </c>
    </row>
    <row r="1171">
      <c r="A1171" s="1" t="s">
        <v>7</v>
      </c>
      <c r="B1171" s="2">
        <v>44715.0</v>
      </c>
      <c r="C1171" s="3">
        <v>0.2995486111111111</v>
      </c>
      <c r="D1171" s="1">
        <v>12.544733</v>
      </c>
      <c r="E1171" s="1">
        <v>79.905044</v>
      </c>
      <c r="F1171" s="1">
        <v>805.0</v>
      </c>
      <c r="G1171" s="1">
        <v>47.0</v>
      </c>
    </row>
    <row r="1172">
      <c r="A1172" s="1" t="s">
        <v>8</v>
      </c>
      <c r="B1172" s="2">
        <v>44715.0</v>
      </c>
      <c r="C1172" s="3">
        <v>0.3001736111111111</v>
      </c>
      <c r="D1172" s="1">
        <v>12.551489</v>
      </c>
      <c r="E1172" s="1">
        <v>79.906663</v>
      </c>
      <c r="F1172" s="1">
        <v>805.0</v>
      </c>
      <c r="G1172" s="1">
        <v>58.0</v>
      </c>
    </row>
    <row r="1173">
      <c r="A1173" s="1" t="s">
        <v>8</v>
      </c>
      <c r="B1173" s="2">
        <v>44715.0</v>
      </c>
      <c r="C1173" s="3">
        <v>0.3003472222222222</v>
      </c>
      <c r="D1173" s="1">
        <v>12.55375</v>
      </c>
      <c r="E1173" s="1">
        <v>79.90772</v>
      </c>
      <c r="F1173" s="1">
        <v>805.0</v>
      </c>
      <c r="G1173" s="1">
        <v>58.0</v>
      </c>
    </row>
    <row r="1174">
      <c r="A1174" s="1" t="s">
        <v>8</v>
      </c>
      <c r="B1174" s="2">
        <v>44715.0</v>
      </c>
      <c r="C1174" s="3">
        <v>0.30115740740740743</v>
      </c>
      <c r="D1174" s="1">
        <v>13.072147</v>
      </c>
      <c r="E1174" s="1">
        <v>80.259668</v>
      </c>
      <c r="F1174" s="1">
        <v>2846.0</v>
      </c>
      <c r="G1174" s="1">
        <v>33.0</v>
      </c>
    </row>
    <row r="1175">
      <c r="A1175" s="1" t="s">
        <v>8</v>
      </c>
      <c r="B1175" s="2">
        <v>44715.0</v>
      </c>
      <c r="C1175" s="3">
        <v>0.30116898148148147</v>
      </c>
      <c r="D1175" s="1">
        <v>13.072147</v>
      </c>
      <c r="E1175" s="1">
        <v>80.259668</v>
      </c>
      <c r="F1175" s="1">
        <v>2846.0</v>
      </c>
      <c r="G1175" s="1">
        <v>33.0</v>
      </c>
    </row>
    <row r="1176">
      <c r="A1176" s="1" t="s">
        <v>10</v>
      </c>
      <c r="B1176" s="2">
        <v>44715.0</v>
      </c>
      <c r="C1176" s="3">
        <v>0.30128472222222225</v>
      </c>
      <c r="D1176" s="1">
        <v>13.072682</v>
      </c>
      <c r="E1176" s="1">
        <v>80.260275</v>
      </c>
      <c r="F1176" s="1">
        <v>2846.0</v>
      </c>
      <c r="G1176" s="1">
        <v>29.0</v>
      </c>
    </row>
    <row r="1177">
      <c r="A1177" s="1" t="s">
        <v>7</v>
      </c>
      <c r="B1177" s="2">
        <v>44715.0</v>
      </c>
      <c r="C1177" s="3">
        <v>0.30135416666666665</v>
      </c>
      <c r="D1177" s="1">
        <v>12.563562</v>
      </c>
      <c r="E1177" s="1">
        <v>79.913227</v>
      </c>
      <c r="F1177" s="1">
        <v>805.0</v>
      </c>
      <c r="G1177" s="1">
        <v>57.0</v>
      </c>
    </row>
    <row r="1178">
      <c r="A1178" s="1" t="s">
        <v>7</v>
      </c>
      <c r="B1178" s="2">
        <v>44715.0</v>
      </c>
      <c r="C1178" s="3">
        <v>0.3020833333333333</v>
      </c>
      <c r="D1178" s="1">
        <v>12.572691</v>
      </c>
      <c r="E1178" s="1">
        <v>79.916289</v>
      </c>
      <c r="F1178" s="1">
        <v>805.0</v>
      </c>
      <c r="G1178" s="1">
        <v>58.0</v>
      </c>
    </row>
    <row r="1179">
      <c r="A1179" s="1" t="s">
        <v>7</v>
      </c>
      <c r="B1179" s="2">
        <v>44715.0</v>
      </c>
      <c r="C1179" s="3">
        <v>0.3023148148148148</v>
      </c>
      <c r="D1179" s="1">
        <v>12.575089</v>
      </c>
      <c r="E1179" s="1">
        <v>79.916789</v>
      </c>
      <c r="F1179" s="1">
        <v>805.0</v>
      </c>
      <c r="G1179" s="1">
        <v>56.0</v>
      </c>
    </row>
    <row r="1180">
      <c r="A1180" s="1" t="s">
        <v>7</v>
      </c>
      <c r="B1180" s="2">
        <v>44715.0</v>
      </c>
      <c r="C1180" s="3">
        <v>0.3025115740740741</v>
      </c>
      <c r="D1180" s="1">
        <v>12.57754</v>
      </c>
      <c r="E1180" s="1">
        <v>79.917262</v>
      </c>
      <c r="F1180" s="1">
        <v>805.0</v>
      </c>
      <c r="G1180" s="1">
        <v>58.0</v>
      </c>
    </row>
    <row r="1181">
      <c r="A1181" s="1" t="s">
        <v>7</v>
      </c>
      <c r="B1181" s="2">
        <v>44715.0</v>
      </c>
      <c r="C1181" s="3">
        <v>0.30268518518518517</v>
      </c>
      <c r="D1181" s="1">
        <v>12.579728</v>
      </c>
      <c r="E1181" s="1">
        <v>79.918101</v>
      </c>
      <c r="F1181" s="1">
        <v>805.0</v>
      </c>
      <c r="G1181" s="1">
        <v>58.0</v>
      </c>
    </row>
    <row r="1182">
      <c r="A1182" s="1" t="s">
        <v>7</v>
      </c>
      <c r="B1182" s="2">
        <v>44715.0</v>
      </c>
      <c r="C1182" s="3">
        <v>0.3034027777777778</v>
      </c>
      <c r="D1182" s="1">
        <v>12.590679</v>
      </c>
      <c r="E1182" s="1">
        <v>79.9192</v>
      </c>
      <c r="F1182" s="1">
        <v>805.0</v>
      </c>
      <c r="G1182" s="1">
        <v>58.0</v>
      </c>
    </row>
    <row r="1183">
      <c r="A1183" s="1" t="s">
        <v>7</v>
      </c>
      <c r="B1183" s="2">
        <v>44715.0</v>
      </c>
      <c r="C1183" s="3">
        <v>0.3034722222222222</v>
      </c>
      <c r="D1183" s="1">
        <v>12.590679</v>
      </c>
      <c r="E1183" s="1">
        <v>79.9192</v>
      </c>
      <c r="F1183" s="1">
        <v>805.0</v>
      </c>
      <c r="G1183" s="1">
        <v>58.0</v>
      </c>
    </row>
    <row r="1184">
      <c r="A1184" s="1" t="s">
        <v>7</v>
      </c>
      <c r="B1184" s="2">
        <v>44715.0</v>
      </c>
      <c r="C1184" s="3">
        <v>0.30439814814814814</v>
      </c>
      <c r="D1184" s="1">
        <v>12.602324</v>
      </c>
      <c r="E1184" s="1">
        <v>79.920074</v>
      </c>
      <c r="F1184" s="1">
        <v>805.0</v>
      </c>
      <c r="G1184" s="1">
        <v>58.0</v>
      </c>
    </row>
    <row r="1185">
      <c r="A1185" s="1" t="s">
        <v>8</v>
      </c>
      <c r="B1185" s="2">
        <v>44715.0</v>
      </c>
      <c r="C1185" s="3">
        <v>0.3044560185185185</v>
      </c>
      <c r="D1185" s="1">
        <v>12.603771</v>
      </c>
      <c r="E1185" s="1">
        <v>79.920275</v>
      </c>
      <c r="F1185" s="1">
        <v>805.0</v>
      </c>
      <c r="G1185" s="1">
        <v>58.0</v>
      </c>
    </row>
    <row r="1186">
      <c r="A1186" s="1" t="s">
        <v>7</v>
      </c>
      <c r="B1186" s="2">
        <v>44715.0</v>
      </c>
      <c r="C1186" s="3">
        <v>0.30471064814814813</v>
      </c>
      <c r="D1186" s="1">
        <v>12.606038</v>
      </c>
      <c r="E1186" s="1">
        <v>79.920784</v>
      </c>
      <c r="F1186" s="1">
        <v>805.0</v>
      </c>
      <c r="G1186" s="1">
        <v>47.0</v>
      </c>
    </row>
    <row r="1187">
      <c r="A1187" s="1" t="s">
        <v>10</v>
      </c>
      <c r="B1187" s="2">
        <v>44715.0</v>
      </c>
      <c r="C1187" s="3">
        <v>0.3052314814814815</v>
      </c>
      <c r="D1187" s="1">
        <v>13.063512</v>
      </c>
      <c r="E1187" s="1">
        <v>80.274067</v>
      </c>
      <c r="F1187" s="1">
        <v>2846.0</v>
      </c>
      <c r="G1187" s="1">
        <v>13.0</v>
      </c>
    </row>
    <row r="1188">
      <c r="A1188" s="1" t="s">
        <v>7</v>
      </c>
      <c r="B1188" s="2">
        <v>44715.0</v>
      </c>
      <c r="C1188" s="3">
        <v>0.305625</v>
      </c>
      <c r="D1188" s="1">
        <v>12.616384</v>
      </c>
      <c r="E1188" s="1">
        <v>79.926059</v>
      </c>
      <c r="F1188" s="1">
        <v>805.0</v>
      </c>
      <c r="G1188" s="1">
        <v>58.0</v>
      </c>
    </row>
    <row r="1189">
      <c r="A1189" s="1" t="s">
        <v>7</v>
      </c>
      <c r="B1189" s="2">
        <v>44715.0</v>
      </c>
      <c r="C1189" s="3">
        <v>0.3062962962962963</v>
      </c>
      <c r="D1189" s="1">
        <v>12.622024</v>
      </c>
      <c r="E1189" s="1">
        <v>79.927623</v>
      </c>
      <c r="F1189" s="1">
        <v>805.0</v>
      </c>
      <c r="G1189" s="1">
        <v>57.0</v>
      </c>
    </row>
    <row r="1190">
      <c r="A1190" s="1" t="s">
        <v>7</v>
      </c>
      <c r="B1190" s="2">
        <v>44715.0</v>
      </c>
      <c r="C1190" s="3">
        <v>0.30649305555555556</v>
      </c>
      <c r="D1190" s="1">
        <v>12.626054</v>
      </c>
      <c r="E1190" s="1">
        <v>79.929388</v>
      </c>
      <c r="F1190" s="1">
        <v>805.0</v>
      </c>
      <c r="G1190" s="1">
        <v>58.0</v>
      </c>
    </row>
    <row r="1191">
      <c r="A1191" s="1" t="s">
        <v>7</v>
      </c>
      <c r="B1191" s="2">
        <v>44715.0</v>
      </c>
      <c r="C1191" s="3">
        <v>0.3081597222222222</v>
      </c>
      <c r="D1191" s="1">
        <v>12.633237</v>
      </c>
      <c r="E1191" s="1">
        <v>79.932455</v>
      </c>
      <c r="F1191" s="1">
        <v>805.0</v>
      </c>
      <c r="G1191" s="1">
        <v>56.0</v>
      </c>
    </row>
    <row r="1192">
      <c r="A1192" s="1" t="s">
        <v>8</v>
      </c>
      <c r="B1192" s="2">
        <v>44715.0</v>
      </c>
      <c r="C1192" s="3">
        <v>0.3083449074074074</v>
      </c>
      <c r="D1192" s="1">
        <v>12.633237</v>
      </c>
      <c r="E1192" s="1">
        <v>79.932455</v>
      </c>
      <c r="F1192" s="1">
        <v>805.0</v>
      </c>
      <c r="G1192" s="1">
        <v>56.0</v>
      </c>
    </row>
    <row r="1193">
      <c r="A1193" s="1" t="s">
        <v>7</v>
      </c>
      <c r="B1193" s="2">
        <v>44715.0</v>
      </c>
      <c r="C1193" s="3">
        <v>0.3085185185185185</v>
      </c>
      <c r="D1193" s="1">
        <v>12.633237</v>
      </c>
      <c r="E1193" s="1">
        <v>79.932455</v>
      </c>
      <c r="F1193" s="1">
        <v>805.0</v>
      </c>
      <c r="G1193" s="1">
        <v>56.0</v>
      </c>
    </row>
    <row r="1194">
      <c r="A1194" s="1" t="s">
        <v>7</v>
      </c>
      <c r="B1194" s="2">
        <v>44715.0</v>
      </c>
      <c r="C1194" s="3">
        <v>0.30908564814814815</v>
      </c>
      <c r="D1194" s="1">
        <v>12.652357</v>
      </c>
      <c r="E1194" s="1">
        <v>79.940208</v>
      </c>
      <c r="F1194" s="1">
        <v>805.0</v>
      </c>
      <c r="G1194" s="1">
        <v>58.0</v>
      </c>
    </row>
    <row r="1195">
      <c r="A1195" s="1" t="s">
        <v>7</v>
      </c>
      <c r="B1195" s="2">
        <v>44715.0</v>
      </c>
      <c r="C1195" s="3">
        <v>0.3093518518518519</v>
      </c>
      <c r="D1195" s="1">
        <v>12.656685</v>
      </c>
      <c r="E1195" s="1">
        <v>79.940467</v>
      </c>
      <c r="F1195" s="1">
        <v>805.0</v>
      </c>
      <c r="G1195" s="1">
        <v>59.0</v>
      </c>
    </row>
    <row r="1196">
      <c r="A1196" s="1" t="s">
        <v>10</v>
      </c>
      <c r="B1196" s="2">
        <v>44715.0</v>
      </c>
      <c r="C1196" s="3">
        <v>0.30953703703703705</v>
      </c>
      <c r="D1196" s="1">
        <v>13.05305</v>
      </c>
      <c r="E1196" s="1">
        <v>80.271983</v>
      </c>
      <c r="F1196" s="1">
        <v>2846.0</v>
      </c>
      <c r="G1196" s="1">
        <v>10.0</v>
      </c>
    </row>
    <row r="1197">
      <c r="A1197" s="1" t="s">
        <v>7</v>
      </c>
      <c r="B1197" s="2">
        <v>44715.0</v>
      </c>
      <c r="C1197" s="3">
        <v>0.3095601851851852</v>
      </c>
      <c r="D1197" s="1">
        <v>12.657804</v>
      </c>
      <c r="E1197" s="1">
        <v>79.941397</v>
      </c>
      <c r="F1197" s="1">
        <v>805.0</v>
      </c>
      <c r="G1197" s="1">
        <v>56.0</v>
      </c>
    </row>
    <row r="1198">
      <c r="A1198" s="1" t="s">
        <v>8</v>
      </c>
      <c r="B1198" s="2">
        <v>44715.0</v>
      </c>
      <c r="C1198" s="3">
        <v>0.3095949074074074</v>
      </c>
      <c r="D1198" s="1">
        <v>12.658376</v>
      </c>
      <c r="E1198" s="1">
        <v>79.942765</v>
      </c>
      <c r="F1198" s="1">
        <v>805.0</v>
      </c>
      <c r="G1198" s="1">
        <v>58.0</v>
      </c>
    </row>
    <row r="1199">
      <c r="A1199" s="1" t="s">
        <v>8</v>
      </c>
      <c r="B1199" s="2">
        <v>44715.0</v>
      </c>
      <c r="C1199" s="3">
        <v>0.3096875</v>
      </c>
      <c r="D1199" s="1">
        <v>12.658376</v>
      </c>
      <c r="E1199" s="1">
        <v>79.942765</v>
      </c>
      <c r="F1199" s="1">
        <v>805.0</v>
      </c>
      <c r="G1199" s="1">
        <v>58.0</v>
      </c>
    </row>
    <row r="1200">
      <c r="A1200" s="1" t="s">
        <v>8</v>
      </c>
      <c r="B1200" s="2">
        <v>44715.0</v>
      </c>
      <c r="C1200" s="3">
        <v>0.3096990740740741</v>
      </c>
      <c r="D1200" s="1">
        <v>12.658308</v>
      </c>
      <c r="E1200" s="1">
        <v>79.944253</v>
      </c>
      <c r="F1200" s="1">
        <v>805.0</v>
      </c>
      <c r="G1200" s="1">
        <v>58.0</v>
      </c>
    </row>
    <row r="1201">
      <c r="A1201" s="1" t="s">
        <v>8</v>
      </c>
      <c r="B1201" s="2">
        <v>44715.0</v>
      </c>
      <c r="C1201" s="3">
        <v>0.3096990740740741</v>
      </c>
      <c r="D1201" s="1">
        <v>12.658308</v>
      </c>
      <c r="E1201" s="1">
        <v>79.944253</v>
      </c>
      <c r="F1201" s="1">
        <v>805.0</v>
      </c>
      <c r="G1201" s="1">
        <v>58.0</v>
      </c>
    </row>
    <row r="1202">
      <c r="A1202" s="1" t="s">
        <v>7</v>
      </c>
      <c r="B1202" s="2">
        <v>44715.0</v>
      </c>
      <c r="C1202" s="3">
        <v>0.31049768518518517</v>
      </c>
      <c r="D1202" s="1">
        <v>12.656412</v>
      </c>
      <c r="E1202" s="1">
        <v>79.950683</v>
      </c>
      <c r="F1202" s="1">
        <v>805.0</v>
      </c>
      <c r="G1202" s="1">
        <v>53.0</v>
      </c>
    </row>
    <row r="1203">
      <c r="A1203" s="1" t="s">
        <v>7</v>
      </c>
      <c r="B1203" s="2">
        <v>44715.0</v>
      </c>
      <c r="C1203" s="3">
        <v>0.31181712962962965</v>
      </c>
      <c r="D1203" s="1">
        <v>12.659577</v>
      </c>
      <c r="E1203" s="1">
        <v>79.963467</v>
      </c>
      <c r="F1203" s="1">
        <v>805.0</v>
      </c>
      <c r="G1203" s="1">
        <v>50.0</v>
      </c>
    </row>
    <row r="1204">
      <c r="A1204" s="1" t="s">
        <v>7</v>
      </c>
      <c r="B1204" s="2">
        <v>44715.0</v>
      </c>
      <c r="C1204" s="3">
        <v>0.3119328703703704</v>
      </c>
      <c r="D1204" s="1">
        <v>12.66008</v>
      </c>
      <c r="E1204" s="1">
        <v>79.964679</v>
      </c>
      <c r="F1204" s="1">
        <v>805.0</v>
      </c>
      <c r="G1204" s="1">
        <v>52.0</v>
      </c>
    </row>
    <row r="1205">
      <c r="A1205" s="1" t="s">
        <v>7</v>
      </c>
      <c r="B1205" s="2">
        <v>44715.0</v>
      </c>
      <c r="C1205" s="3">
        <v>0.31202546296296296</v>
      </c>
      <c r="D1205" s="1">
        <v>12.660719</v>
      </c>
      <c r="E1205" s="1">
        <v>79.965948</v>
      </c>
      <c r="F1205" s="1">
        <v>805.0</v>
      </c>
      <c r="G1205" s="1">
        <v>57.0</v>
      </c>
    </row>
    <row r="1206">
      <c r="A1206" s="1" t="s">
        <v>8</v>
      </c>
      <c r="B1206" s="2">
        <v>44715.0</v>
      </c>
      <c r="C1206" s="3">
        <v>0.3122800925925926</v>
      </c>
      <c r="D1206" s="1">
        <v>13.053281</v>
      </c>
      <c r="E1206" s="1">
        <v>80.252279</v>
      </c>
      <c r="F1206" s="1">
        <v>2846.0</v>
      </c>
      <c r="G1206" s="1">
        <v>47.0</v>
      </c>
    </row>
    <row r="1207">
      <c r="A1207" s="1" t="s">
        <v>7</v>
      </c>
      <c r="B1207" s="2">
        <v>44715.0</v>
      </c>
      <c r="C1207" s="3">
        <v>0.31244212962962964</v>
      </c>
      <c r="D1207" s="1">
        <v>12.66182</v>
      </c>
      <c r="E1207" s="1">
        <v>79.967081</v>
      </c>
      <c r="F1207" s="1">
        <v>805.0</v>
      </c>
      <c r="G1207" s="1">
        <v>29.0</v>
      </c>
    </row>
    <row r="1208">
      <c r="A1208" s="1" t="s">
        <v>7</v>
      </c>
      <c r="B1208" s="2">
        <v>44715.0</v>
      </c>
      <c r="C1208" s="3">
        <v>0.31302083333333336</v>
      </c>
      <c r="D1208" s="1">
        <v>12.667441</v>
      </c>
      <c r="E1208" s="1">
        <v>79.971948</v>
      </c>
      <c r="F1208" s="1">
        <v>805.0</v>
      </c>
      <c r="G1208" s="1">
        <v>58.0</v>
      </c>
    </row>
    <row r="1209">
      <c r="A1209" s="1" t="s">
        <v>7</v>
      </c>
      <c r="B1209" s="2">
        <v>44715.0</v>
      </c>
      <c r="C1209" s="3">
        <v>0.3131365740740741</v>
      </c>
      <c r="D1209" s="1">
        <v>13.048185</v>
      </c>
      <c r="E1209" s="1">
        <v>80.249483</v>
      </c>
      <c r="F1209" s="1">
        <v>2846.0</v>
      </c>
      <c r="G1209" s="1">
        <v>34.0</v>
      </c>
    </row>
    <row r="1210">
      <c r="A1210" s="1" t="s">
        <v>7</v>
      </c>
      <c r="B1210" s="2">
        <v>44715.0</v>
      </c>
      <c r="C1210" s="3">
        <v>0.31319444444444444</v>
      </c>
      <c r="D1210" s="1">
        <v>13.047371</v>
      </c>
      <c r="E1210" s="1">
        <v>80.248749</v>
      </c>
      <c r="F1210" s="1">
        <v>2846.0</v>
      </c>
      <c r="G1210" s="1">
        <v>50.0</v>
      </c>
    </row>
    <row r="1211">
      <c r="A1211" s="1" t="s">
        <v>8</v>
      </c>
      <c r="B1211" s="2">
        <v>44715.0</v>
      </c>
      <c r="C1211" s="3">
        <v>0.31355324074074076</v>
      </c>
      <c r="D1211" s="1">
        <v>13.047371</v>
      </c>
      <c r="E1211" s="1">
        <v>80.248749</v>
      </c>
      <c r="F1211" s="1">
        <v>2846.0</v>
      </c>
      <c r="G1211" s="1">
        <v>50.0</v>
      </c>
    </row>
    <row r="1212">
      <c r="A1212" s="1" t="s">
        <v>8</v>
      </c>
      <c r="B1212" s="2">
        <v>44715.0</v>
      </c>
      <c r="C1212" s="3">
        <v>0.3148958333333333</v>
      </c>
      <c r="D1212" s="1">
        <v>13.039199</v>
      </c>
      <c r="E1212" s="1">
        <v>80.247002</v>
      </c>
      <c r="F1212" s="1">
        <v>2846.0</v>
      </c>
      <c r="G1212" s="1">
        <v>17.0</v>
      </c>
    </row>
    <row r="1213">
      <c r="A1213" s="1" t="s">
        <v>8</v>
      </c>
      <c r="B1213" s="2">
        <v>44715.0</v>
      </c>
      <c r="C1213" s="3">
        <v>0.31493055555555555</v>
      </c>
      <c r="D1213" s="1">
        <v>13.038678</v>
      </c>
      <c r="E1213" s="1">
        <v>80.246897</v>
      </c>
      <c r="F1213" s="1">
        <v>2846.0</v>
      </c>
      <c r="G1213" s="1">
        <v>25.0</v>
      </c>
    </row>
    <row r="1214">
      <c r="A1214" s="1" t="s">
        <v>8</v>
      </c>
      <c r="B1214" s="2">
        <v>44715.0</v>
      </c>
      <c r="C1214" s="3">
        <v>0.3156365740740741</v>
      </c>
      <c r="D1214" s="1">
        <v>13.034289</v>
      </c>
      <c r="E1214" s="1">
        <v>80.245002</v>
      </c>
      <c r="F1214" s="1">
        <v>2846.0</v>
      </c>
      <c r="G1214" s="1">
        <v>36.0</v>
      </c>
    </row>
    <row r="1215">
      <c r="A1215" s="1" t="s">
        <v>8</v>
      </c>
      <c r="B1215" s="2">
        <v>44715.0</v>
      </c>
      <c r="C1215" s="3">
        <v>0.31591435185185185</v>
      </c>
      <c r="D1215" s="1">
        <v>13.033226</v>
      </c>
      <c r="E1215" s="1">
        <v>80.2437</v>
      </c>
      <c r="F1215" s="1">
        <v>2846.0</v>
      </c>
      <c r="G1215" s="1">
        <v>26.0</v>
      </c>
    </row>
    <row r="1216">
      <c r="A1216" s="1" t="s">
        <v>8</v>
      </c>
      <c r="B1216" s="2">
        <v>44715.0</v>
      </c>
      <c r="C1216" s="3">
        <v>0.31603009259259257</v>
      </c>
      <c r="D1216" s="1">
        <v>13.03275</v>
      </c>
      <c r="E1216" s="1">
        <v>80.243089</v>
      </c>
      <c r="F1216" s="1">
        <v>2846.0</v>
      </c>
      <c r="G1216" s="1">
        <v>32.0</v>
      </c>
    </row>
    <row r="1217">
      <c r="A1217" s="1" t="s">
        <v>7</v>
      </c>
      <c r="B1217" s="2">
        <v>44715.0</v>
      </c>
      <c r="C1217" s="3">
        <v>0.3161111111111111</v>
      </c>
      <c r="D1217" s="1">
        <v>13.032252</v>
      </c>
      <c r="E1217" s="1">
        <v>80.242223</v>
      </c>
      <c r="F1217" s="1">
        <v>2846.0</v>
      </c>
      <c r="G1217" s="1">
        <v>47.0</v>
      </c>
    </row>
    <row r="1218">
      <c r="A1218" s="1" t="s">
        <v>8</v>
      </c>
      <c r="B1218" s="2">
        <v>44715.0</v>
      </c>
      <c r="C1218" s="3">
        <v>0.31614583333333335</v>
      </c>
      <c r="D1218" s="1">
        <v>13.032252</v>
      </c>
      <c r="E1218" s="1">
        <v>80.242223</v>
      </c>
      <c r="F1218" s="1">
        <v>2846.0</v>
      </c>
      <c r="G1218" s="1">
        <v>47.0</v>
      </c>
    </row>
    <row r="1219">
      <c r="A1219" s="1" t="s">
        <v>10</v>
      </c>
      <c r="B1219" s="2">
        <v>44715.0</v>
      </c>
      <c r="C1219" s="3">
        <v>0.31697916666666665</v>
      </c>
      <c r="D1219" s="1">
        <v>12.685824</v>
      </c>
      <c r="E1219" s="1">
        <v>79.983477</v>
      </c>
      <c r="F1219" s="1">
        <v>805.0</v>
      </c>
      <c r="G1219" s="1">
        <v>37.0</v>
      </c>
    </row>
    <row r="1220">
      <c r="A1220" s="1" t="s">
        <v>8</v>
      </c>
      <c r="B1220" s="2">
        <v>44715.0</v>
      </c>
      <c r="C1220" s="3">
        <v>0.3171527777777778</v>
      </c>
      <c r="D1220" s="1">
        <v>12.687115</v>
      </c>
      <c r="E1220" s="1">
        <v>79.983044</v>
      </c>
      <c r="F1220" s="1">
        <v>805.0</v>
      </c>
      <c r="G1220" s="1">
        <v>19.0</v>
      </c>
    </row>
    <row r="1221">
      <c r="A1221" s="1" t="s">
        <v>8</v>
      </c>
      <c r="B1221" s="2">
        <v>44715.0</v>
      </c>
      <c r="C1221" s="3">
        <v>0.3171527777777778</v>
      </c>
      <c r="D1221" s="1">
        <v>12.687115</v>
      </c>
      <c r="E1221" s="1">
        <v>79.983044</v>
      </c>
      <c r="F1221" s="1">
        <v>805.0</v>
      </c>
      <c r="G1221" s="1">
        <v>19.0</v>
      </c>
    </row>
    <row r="1222">
      <c r="A1222" s="1" t="s">
        <v>8</v>
      </c>
      <c r="B1222" s="2">
        <v>44715.0</v>
      </c>
      <c r="C1222" s="3">
        <v>0.3171759259259259</v>
      </c>
      <c r="D1222" s="1">
        <v>12.687115</v>
      </c>
      <c r="E1222" s="1">
        <v>79.983044</v>
      </c>
      <c r="F1222" s="1">
        <v>805.0</v>
      </c>
      <c r="G1222" s="1">
        <v>19.0</v>
      </c>
    </row>
    <row r="1223">
      <c r="A1223" s="1" t="s">
        <v>8</v>
      </c>
      <c r="B1223" s="2">
        <v>44715.0</v>
      </c>
      <c r="C1223" s="3">
        <v>0.31754629629629627</v>
      </c>
      <c r="D1223" s="1">
        <v>12.689366</v>
      </c>
      <c r="E1223" s="1">
        <v>79.982401</v>
      </c>
      <c r="F1223" s="1">
        <v>805.0</v>
      </c>
      <c r="G1223" s="1">
        <v>29.0</v>
      </c>
    </row>
    <row r="1224">
      <c r="A1224" s="1" t="s">
        <v>10</v>
      </c>
      <c r="B1224" s="2">
        <v>44715.0</v>
      </c>
      <c r="C1224" s="3">
        <v>0.31832175925925926</v>
      </c>
      <c r="D1224" s="1">
        <v>12.690588</v>
      </c>
      <c r="E1224" s="1">
        <v>79.980614</v>
      </c>
      <c r="F1224" s="1">
        <v>805.0</v>
      </c>
      <c r="G1224" s="1">
        <v>14.0</v>
      </c>
    </row>
    <row r="1225">
      <c r="A1225" s="1" t="s">
        <v>8</v>
      </c>
      <c r="B1225" s="2">
        <v>44715.0</v>
      </c>
      <c r="C1225" s="3">
        <v>0.32100694444444444</v>
      </c>
      <c r="D1225" s="1">
        <v>12.694423</v>
      </c>
      <c r="E1225" s="1">
        <v>79.978464</v>
      </c>
      <c r="F1225" s="1">
        <v>805.0</v>
      </c>
      <c r="G1225" s="1">
        <v>0.0</v>
      </c>
    </row>
    <row r="1226">
      <c r="A1226" s="1" t="s">
        <v>8</v>
      </c>
      <c r="B1226" s="2">
        <v>44715.0</v>
      </c>
      <c r="C1226" s="3">
        <v>0.32113425925925926</v>
      </c>
      <c r="D1226" s="1">
        <v>12.694692</v>
      </c>
      <c r="E1226" s="1">
        <v>79.97826</v>
      </c>
      <c r="F1226" s="1">
        <v>805.0</v>
      </c>
      <c r="G1226" s="1">
        <v>29.0</v>
      </c>
    </row>
    <row r="1227">
      <c r="A1227" s="1" t="s">
        <v>7</v>
      </c>
      <c r="B1227" s="2">
        <v>44715.0</v>
      </c>
      <c r="C1227" s="3">
        <v>0.3211805555555556</v>
      </c>
      <c r="D1227" s="1">
        <v>13.011597</v>
      </c>
      <c r="E1227" s="1">
        <v>80.227305</v>
      </c>
      <c r="F1227" s="1">
        <v>2846.0</v>
      </c>
      <c r="G1227" s="1">
        <v>48.0</v>
      </c>
    </row>
    <row r="1228">
      <c r="A1228" s="1" t="s">
        <v>9</v>
      </c>
      <c r="B1228" s="2">
        <v>44715.0</v>
      </c>
      <c r="C1228" s="3">
        <v>0.32144675925925925</v>
      </c>
      <c r="D1228" s="1">
        <v>13.009495</v>
      </c>
      <c r="E1228" s="1">
        <v>80.227822</v>
      </c>
      <c r="F1228" s="1">
        <v>2846.0</v>
      </c>
      <c r="G1228" s="1">
        <v>31.0</v>
      </c>
    </row>
    <row r="1229">
      <c r="A1229" s="1" t="s">
        <v>8</v>
      </c>
      <c r="B1229" s="2">
        <v>44715.0</v>
      </c>
      <c r="C1229" s="3">
        <v>0.3227777777777778</v>
      </c>
      <c r="D1229" s="1">
        <v>12.697231</v>
      </c>
      <c r="E1229" s="1">
        <v>79.972331</v>
      </c>
      <c r="F1229" s="1">
        <v>805.0</v>
      </c>
      <c r="G1229" s="1">
        <v>23.0</v>
      </c>
    </row>
    <row r="1230">
      <c r="A1230" s="1" t="s">
        <v>8</v>
      </c>
      <c r="B1230" s="2">
        <v>44715.0</v>
      </c>
      <c r="C1230" s="3">
        <v>0.32283564814814814</v>
      </c>
      <c r="D1230" s="1">
        <v>12.697538</v>
      </c>
      <c r="E1230" s="1">
        <v>79.971612</v>
      </c>
      <c r="F1230" s="1">
        <v>805.0</v>
      </c>
      <c r="G1230" s="1">
        <v>30.0</v>
      </c>
    </row>
    <row r="1231">
      <c r="A1231" s="1" t="s">
        <v>8</v>
      </c>
      <c r="B1231" s="2">
        <v>44715.0</v>
      </c>
      <c r="C1231" s="3">
        <v>0.32284722222222223</v>
      </c>
      <c r="D1231" s="1">
        <v>12.697538</v>
      </c>
      <c r="E1231" s="1">
        <v>79.971612</v>
      </c>
      <c r="F1231" s="1">
        <v>805.0</v>
      </c>
      <c r="G1231" s="1">
        <v>30.0</v>
      </c>
    </row>
    <row r="1232">
      <c r="A1232" s="1" t="s">
        <v>8</v>
      </c>
      <c r="B1232" s="2">
        <v>44715.0</v>
      </c>
      <c r="C1232" s="3">
        <v>0.32288194444444446</v>
      </c>
      <c r="D1232" s="1">
        <v>13.010104</v>
      </c>
      <c r="E1232" s="1">
        <v>80.214982</v>
      </c>
      <c r="F1232" s="1">
        <v>2846.0</v>
      </c>
      <c r="G1232" s="1">
        <v>36.0</v>
      </c>
    </row>
    <row r="1233">
      <c r="A1233" s="1" t="s">
        <v>8</v>
      </c>
      <c r="B1233" s="2">
        <v>44715.0</v>
      </c>
      <c r="C1233" s="3">
        <v>0.3230324074074074</v>
      </c>
      <c r="D1233" s="1">
        <v>13.00984</v>
      </c>
      <c r="E1233" s="1">
        <v>80.214081</v>
      </c>
      <c r="F1233" s="1">
        <v>2846.0</v>
      </c>
      <c r="G1233" s="1">
        <v>38.0</v>
      </c>
    </row>
    <row r="1234">
      <c r="A1234" s="1" t="s">
        <v>8</v>
      </c>
      <c r="B1234" s="2">
        <v>44715.0</v>
      </c>
      <c r="C1234" s="3">
        <v>0.32319444444444445</v>
      </c>
      <c r="D1234" s="1">
        <v>13.009448</v>
      </c>
      <c r="E1234" s="1">
        <v>80.21307</v>
      </c>
      <c r="F1234" s="1">
        <v>2846.0</v>
      </c>
      <c r="G1234" s="1">
        <v>42.0</v>
      </c>
    </row>
    <row r="1235">
      <c r="A1235" s="1" t="s">
        <v>8</v>
      </c>
      <c r="B1235" s="2">
        <v>44715.0</v>
      </c>
      <c r="C1235" s="3">
        <v>0.3235300925925926</v>
      </c>
      <c r="D1235" s="1">
        <v>13.008316</v>
      </c>
      <c r="E1235" s="1">
        <v>80.210109</v>
      </c>
      <c r="F1235" s="1">
        <v>2846.0</v>
      </c>
      <c r="G1235" s="1">
        <v>55.0</v>
      </c>
    </row>
    <row r="1236">
      <c r="A1236" s="1" t="s">
        <v>10</v>
      </c>
      <c r="B1236" s="2">
        <v>44715.0</v>
      </c>
      <c r="C1236" s="3">
        <v>0.3235648148148148</v>
      </c>
      <c r="D1236" s="1">
        <v>12.699661</v>
      </c>
      <c r="E1236" s="1">
        <v>79.968404</v>
      </c>
      <c r="F1236" s="1">
        <v>805.0</v>
      </c>
      <c r="G1236" s="1">
        <v>19.0</v>
      </c>
    </row>
    <row r="1237">
      <c r="A1237" s="1" t="s">
        <v>8</v>
      </c>
      <c r="B1237" s="2">
        <v>44715.0</v>
      </c>
      <c r="C1237" s="3">
        <v>0.32377314814814817</v>
      </c>
      <c r="D1237" s="1">
        <v>13.007776</v>
      </c>
      <c r="E1237" s="1">
        <v>80.207418</v>
      </c>
      <c r="F1237" s="1">
        <v>2846.0</v>
      </c>
      <c r="G1237" s="1">
        <v>51.0</v>
      </c>
    </row>
    <row r="1238">
      <c r="A1238" s="1" t="s">
        <v>7</v>
      </c>
      <c r="B1238" s="2">
        <v>44715.0</v>
      </c>
      <c r="C1238" s="3">
        <v>0.3241550925925926</v>
      </c>
      <c r="D1238" s="1">
        <v>12.70147</v>
      </c>
      <c r="E1238" s="1">
        <v>79.969269</v>
      </c>
      <c r="F1238" s="1">
        <v>805.0</v>
      </c>
      <c r="G1238" s="1">
        <v>44.0</v>
      </c>
    </row>
    <row r="1239">
      <c r="A1239" s="1" t="s">
        <v>7</v>
      </c>
      <c r="B1239" s="2">
        <v>44715.0</v>
      </c>
      <c r="C1239" s="3">
        <v>0.32438657407407406</v>
      </c>
      <c r="D1239" s="1">
        <v>12.703134</v>
      </c>
      <c r="E1239" s="1">
        <v>79.971218</v>
      </c>
      <c r="F1239" s="1">
        <v>805.0</v>
      </c>
      <c r="G1239" s="1">
        <v>53.0</v>
      </c>
    </row>
    <row r="1240">
      <c r="A1240" s="1" t="s">
        <v>8</v>
      </c>
      <c r="B1240" s="2">
        <v>44715.0</v>
      </c>
      <c r="C1240" s="3">
        <v>0.3244212962962963</v>
      </c>
      <c r="D1240" s="1">
        <v>13.00493</v>
      </c>
      <c r="E1240" s="1">
        <v>80.201447</v>
      </c>
      <c r="F1240" s="1">
        <v>2846.0</v>
      </c>
      <c r="G1240" s="1">
        <v>29.0</v>
      </c>
    </row>
    <row r="1241">
      <c r="A1241" s="1" t="s">
        <v>8</v>
      </c>
      <c r="B1241" s="2">
        <v>44715.0</v>
      </c>
      <c r="C1241" s="3">
        <v>0.3247453703703704</v>
      </c>
      <c r="D1241" s="1">
        <v>13.002489</v>
      </c>
      <c r="E1241" s="1">
        <v>80.200604</v>
      </c>
      <c r="F1241" s="1">
        <v>2846.0</v>
      </c>
      <c r="G1241" s="1">
        <v>37.0</v>
      </c>
    </row>
    <row r="1242">
      <c r="A1242" s="1" t="s">
        <v>7</v>
      </c>
      <c r="B1242" s="2">
        <v>44715.0</v>
      </c>
      <c r="C1242" s="3">
        <v>0.32488425925925923</v>
      </c>
      <c r="D1242" s="1">
        <v>12.707859</v>
      </c>
      <c r="E1242" s="1">
        <v>79.976588</v>
      </c>
      <c r="F1242" s="1">
        <v>805.0</v>
      </c>
      <c r="G1242" s="1">
        <v>58.0</v>
      </c>
    </row>
    <row r="1243">
      <c r="A1243" s="1" t="s">
        <v>8</v>
      </c>
      <c r="B1243" s="2">
        <v>44715.0</v>
      </c>
      <c r="C1243" s="3">
        <v>0.32491898148148146</v>
      </c>
      <c r="D1243" s="1">
        <v>13.00178</v>
      </c>
      <c r="E1243" s="1">
        <v>80.199821</v>
      </c>
      <c r="F1243" s="1">
        <v>2846.0</v>
      </c>
      <c r="G1243" s="1">
        <v>45.0</v>
      </c>
    </row>
    <row r="1244">
      <c r="A1244" s="1" t="s">
        <v>7</v>
      </c>
      <c r="B1244" s="2">
        <v>44715.0</v>
      </c>
      <c r="C1244" s="3">
        <v>0.32493055555555556</v>
      </c>
      <c r="D1244" s="1">
        <v>12.707859</v>
      </c>
      <c r="E1244" s="1">
        <v>79.976588</v>
      </c>
      <c r="F1244" s="1">
        <v>805.0</v>
      </c>
      <c r="G1244" s="1">
        <v>58.0</v>
      </c>
    </row>
    <row r="1245">
      <c r="A1245" s="1" t="s">
        <v>7</v>
      </c>
      <c r="B1245" s="2">
        <v>44715.0</v>
      </c>
      <c r="C1245" s="3">
        <v>0.32557870370370373</v>
      </c>
      <c r="D1245" s="1">
        <v>12.714623</v>
      </c>
      <c r="E1245" s="1">
        <v>79.980225</v>
      </c>
      <c r="F1245" s="1">
        <v>805.0</v>
      </c>
      <c r="G1245" s="1">
        <v>57.0</v>
      </c>
    </row>
    <row r="1246">
      <c r="A1246" s="1" t="s">
        <v>7</v>
      </c>
      <c r="B1246" s="2">
        <v>44715.0</v>
      </c>
      <c r="C1246" s="3">
        <v>0.3261921296296296</v>
      </c>
      <c r="D1246" s="1">
        <v>12.718943</v>
      </c>
      <c r="E1246" s="1">
        <v>79.980942</v>
      </c>
      <c r="F1246" s="1">
        <v>805.0</v>
      </c>
      <c r="G1246" s="1">
        <v>58.0</v>
      </c>
    </row>
    <row r="1247">
      <c r="A1247" s="1" t="s">
        <v>8</v>
      </c>
      <c r="B1247" s="2">
        <v>44715.0</v>
      </c>
      <c r="C1247" s="3">
        <v>0.3262615740740741</v>
      </c>
      <c r="D1247" s="1">
        <v>12.999956</v>
      </c>
      <c r="E1247" s="1">
        <v>80.194167</v>
      </c>
      <c r="F1247" s="1">
        <v>2846.0</v>
      </c>
      <c r="G1247" s="1">
        <v>52.0</v>
      </c>
    </row>
    <row r="1248">
      <c r="A1248" s="1" t="s">
        <v>7</v>
      </c>
      <c r="B1248" s="2">
        <v>44715.0</v>
      </c>
      <c r="C1248" s="3">
        <v>0.32731481481481484</v>
      </c>
      <c r="D1248" s="1">
        <v>12.728886</v>
      </c>
      <c r="E1248" s="1">
        <v>79.982654</v>
      </c>
      <c r="F1248" s="1">
        <v>805.0</v>
      </c>
      <c r="G1248" s="1">
        <v>50.0</v>
      </c>
    </row>
    <row r="1249">
      <c r="A1249" s="1" t="s">
        <v>7</v>
      </c>
      <c r="B1249" s="2">
        <v>44715.0</v>
      </c>
      <c r="C1249" s="3">
        <v>0.3275462962962963</v>
      </c>
      <c r="D1249" s="1">
        <v>12.730167</v>
      </c>
      <c r="E1249" s="1">
        <v>79.982759</v>
      </c>
      <c r="F1249" s="1">
        <v>805.0</v>
      </c>
      <c r="G1249" s="1">
        <v>52.0</v>
      </c>
    </row>
    <row r="1250">
      <c r="A1250" s="1" t="s">
        <v>9</v>
      </c>
      <c r="B1250" s="2">
        <v>44715.0</v>
      </c>
      <c r="C1250" s="3">
        <v>0.3278125</v>
      </c>
      <c r="D1250" s="1">
        <v>12.994164</v>
      </c>
      <c r="E1250" s="1">
        <v>80.185875</v>
      </c>
      <c r="F1250" s="1">
        <v>2846.0</v>
      </c>
      <c r="G1250" s="1">
        <v>11.0</v>
      </c>
    </row>
    <row r="1251">
      <c r="A1251" s="1" t="s">
        <v>7</v>
      </c>
      <c r="B1251" s="2">
        <v>44715.0</v>
      </c>
      <c r="C1251" s="3">
        <v>0.32784722222222223</v>
      </c>
      <c r="D1251" s="1">
        <v>12.733732</v>
      </c>
      <c r="E1251" s="1">
        <v>79.983978</v>
      </c>
      <c r="F1251" s="1">
        <v>805.0</v>
      </c>
      <c r="G1251" s="1">
        <v>50.0</v>
      </c>
    </row>
    <row r="1252">
      <c r="A1252" s="1" t="s">
        <v>7</v>
      </c>
      <c r="B1252" s="2">
        <v>44715.0</v>
      </c>
      <c r="C1252" s="3">
        <v>0.3282175925925926</v>
      </c>
      <c r="D1252" s="1">
        <v>12.736567</v>
      </c>
      <c r="E1252" s="1">
        <v>79.987201</v>
      </c>
      <c r="F1252" s="1">
        <v>805.0</v>
      </c>
      <c r="G1252" s="1">
        <v>58.0</v>
      </c>
    </row>
    <row r="1253">
      <c r="A1253" s="1" t="s">
        <v>7</v>
      </c>
      <c r="B1253" s="2">
        <v>44715.0</v>
      </c>
      <c r="C1253" s="3">
        <v>0.32837962962962963</v>
      </c>
      <c r="D1253" s="1">
        <v>12.99129</v>
      </c>
      <c r="E1253" s="1">
        <v>80.181223</v>
      </c>
      <c r="F1253" s="1">
        <v>2846.0</v>
      </c>
      <c r="G1253" s="1">
        <v>52.0</v>
      </c>
    </row>
    <row r="1254">
      <c r="A1254" s="1" t="s">
        <v>7</v>
      </c>
      <c r="B1254" s="2">
        <v>44715.0</v>
      </c>
      <c r="C1254" s="3">
        <v>0.32858796296296294</v>
      </c>
      <c r="D1254" s="1">
        <v>12.737783</v>
      </c>
      <c r="E1254" s="1">
        <v>79.988035</v>
      </c>
      <c r="F1254" s="1">
        <v>805.0</v>
      </c>
      <c r="G1254" s="1">
        <v>58.0</v>
      </c>
    </row>
    <row r="1255">
      <c r="A1255" s="1" t="s">
        <v>8</v>
      </c>
      <c r="B1255" s="2">
        <v>44715.0</v>
      </c>
      <c r="C1255" s="3">
        <v>0.3295138888888889</v>
      </c>
      <c r="D1255" s="1">
        <v>12.989046</v>
      </c>
      <c r="E1255" s="1">
        <v>80.17839</v>
      </c>
      <c r="F1255" s="1">
        <v>2846.0</v>
      </c>
      <c r="G1255" s="1">
        <v>46.0</v>
      </c>
    </row>
    <row r="1256">
      <c r="A1256" s="1" t="s">
        <v>7</v>
      </c>
      <c r="B1256" s="2">
        <v>44715.0</v>
      </c>
      <c r="C1256" s="3">
        <v>0.3297337962962963</v>
      </c>
      <c r="D1256" s="1">
        <v>12.744125</v>
      </c>
      <c r="E1256" s="1">
        <v>79.992991</v>
      </c>
      <c r="F1256" s="1">
        <v>805.0</v>
      </c>
      <c r="G1256" s="1">
        <v>36.0</v>
      </c>
    </row>
    <row r="1257">
      <c r="A1257" s="1" t="s">
        <v>8</v>
      </c>
      <c r="B1257" s="2">
        <v>44715.0</v>
      </c>
      <c r="C1257" s="3">
        <v>0.32989583333333333</v>
      </c>
      <c r="D1257" s="1">
        <v>12.98686</v>
      </c>
      <c r="E1257" s="1">
        <v>80.175367</v>
      </c>
      <c r="F1257" s="1">
        <v>2846.0</v>
      </c>
      <c r="G1257" s="1">
        <v>46.0</v>
      </c>
    </row>
    <row r="1258">
      <c r="A1258" s="1" t="s">
        <v>7</v>
      </c>
      <c r="B1258" s="2">
        <v>44715.0</v>
      </c>
      <c r="C1258" s="3">
        <v>0.33003472222222224</v>
      </c>
      <c r="D1258" s="1">
        <v>12.747201</v>
      </c>
      <c r="E1258" s="1">
        <v>79.995493</v>
      </c>
      <c r="F1258" s="1">
        <v>805.0</v>
      </c>
      <c r="G1258" s="1">
        <v>57.0</v>
      </c>
    </row>
    <row r="1259">
      <c r="A1259" s="1" t="s">
        <v>8</v>
      </c>
      <c r="B1259" s="2">
        <v>44715.0</v>
      </c>
      <c r="C1259" s="3">
        <v>0.33010416666666664</v>
      </c>
      <c r="D1259" s="1">
        <v>12.986173</v>
      </c>
      <c r="E1259" s="1">
        <v>80.174378</v>
      </c>
      <c r="F1259" s="1">
        <v>2846.0</v>
      </c>
      <c r="G1259" s="1">
        <v>46.0</v>
      </c>
    </row>
    <row r="1260">
      <c r="A1260" s="1" t="s">
        <v>8</v>
      </c>
      <c r="B1260" s="2">
        <v>44715.0</v>
      </c>
      <c r="C1260" s="3">
        <v>0.33012731481481483</v>
      </c>
      <c r="D1260" s="1">
        <v>12.986173</v>
      </c>
      <c r="E1260" s="1">
        <v>80.174378</v>
      </c>
      <c r="F1260" s="1">
        <v>2846.0</v>
      </c>
      <c r="G1260" s="1">
        <v>46.0</v>
      </c>
    </row>
    <row r="1261">
      <c r="A1261" s="1" t="s">
        <v>8</v>
      </c>
      <c r="B1261" s="2">
        <v>44715.0</v>
      </c>
      <c r="C1261" s="3">
        <v>0.33034722222222224</v>
      </c>
      <c r="D1261" s="1">
        <v>12.984023</v>
      </c>
      <c r="E1261" s="1">
        <v>80.171146</v>
      </c>
      <c r="F1261" s="1">
        <v>2846.0</v>
      </c>
      <c r="G1261" s="1">
        <v>50.0</v>
      </c>
    </row>
    <row r="1262">
      <c r="A1262" s="1" t="s">
        <v>7</v>
      </c>
      <c r="B1262" s="2">
        <v>44715.0</v>
      </c>
      <c r="C1262" s="3">
        <v>0.33037037037037037</v>
      </c>
      <c r="D1262" s="1">
        <v>12.748342</v>
      </c>
      <c r="E1262" s="1">
        <v>79.996428</v>
      </c>
      <c r="F1262" s="1">
        <v>805.0</v>
      </c>
      <c r="G1262" s="1">
        <v>58.0</v>
      </c>
    </row>
    <row r="1263">
      <c r="A1263" s="1" t="s">
        <v>8</v>
      </c>
      <c r="B1263" s="2">
        <v>44715.0</v>
      </c>
      <c r="C1263" s="3">
        <v>0.33038194444444446</v>
      </c>
      <c r="D1263" s="1">
        <v>12.984023</v>
      </c>
      <c r="E1263" s="1">
        <v>80.171146</v>
      </c>
      <c r="F1263" s="1">
        <v>2846.0</v>
      </c>
      <c r="G1263" s="1">
        <v>50.0</v>
      </c>
    </row>
    <row r="1264">
      <c r="A1264" s="1" t="s">
        <v>8</v>
      </c>
      <c r="B1264" s="2">
        <v>44715.0</v>
      </c>
      <c r="C1264" s="3">
        <v>0.3304861111111111</v>
      </c>
      <c r="D1264" s="1">
        <v>12.983366</v>
      </c>
      <c r="E1264" s="1">
        <v>80.170017</v>
      </c>
      <c r="F1264" s="1">
        <v>2846.0</v>
      </c>
      <c r="G1264" s="1">
        <v>52.0</v>
      </c>
    </row>
    <row r="1265">
      <c r="A1265" s="1" t="s">
        <v>8</v>
      </c>
      <c r="B1265" s="2">
        <v>44715.0</v>
      </c>
      <c r="C1265" s="3">
        <v>0.33067129629629627</v>
      </c>
      <c r="D1265" s="1">
        <v>12.981957</v>
      </c>
      <c r="E1265" s="1">
        <v>80.167627</v>
      </c>
      <c r="F1265" s="1">
        <v>2846.0</v>
      </c>
      <c r="G1265" s="1">
        <v>58.0</v>
      </c>
    </row>
    <row r="1266">
      <c r="A1266" s="1" t="s">
        <v>8</v>
      </c>
      <c r="B1266" s="2">
        <v>44715.0</v>
      </c>
      <c r="C1266" s="3">
        <v>0.3307638888888889</v>
      </c>
      <c r="D1266" s="1">
        <v>12.981957</v>
      </c>
      <c r="E1266" s="1">
        <v>80.167627</v>
      </c>
      <c r="F1266" s="1">
        <v>2846.0</v>
      </c>
      <c r="G1266" s="1">
        <v>58.0</v>
      </c>
    </row>
    <row r="1267">
      <c r="A1267" s="1" t="s">
        <v>8</v>
      </c>
      <c r="B1267" s="2">
        <v>44715.0</v>
      </c>
      <c r="C1267" s="3">
        <v>0.3309722222222222</v>
      </c>
      <c r="D1267" s="1">
        <v>12.749494</v>
      </c>
      <c r="E1267" s="1">
        <v>79.997352</v>
      </c>
      <c r="F1267" s="1">
        <v>805.0</v>
      </c>
      <c r="G1267" s="1">
        <v>58.0</v>
      </c>
    </row>
    <row r="1268">
      <c r="A1268" s="1" t="s">
        <v>8</v>
      </c>
      <c r="B1268" s="2">
        <v>44715.0</v>
      </c>
      <c r="C1268" s="3">
        <v>0.33119212962962963</v>
      </c>
      <c r="D1268" s="1">
        <v>12.755252</v>
      </c>
      <c r="E1268" s="1">
        <v>80.001272</v>
      </c>
      <c r="F1268" s="1">
        <v>805.0</v>
      </c>
      <c r="G1268" s="1">
        <v>46.0</v>
      </c>
    </row>
    <row r="1269">
      <c r="A1269" s="1" t="s">
        <v>8</v>
      </c>
      <c r="B1269" s="2">
        <v>44715.0</v>
      </c>
      <c r="C1269" s="3">
        <v>0.33130787037037035</v>
      </c>
      <c r="D1269" s="1">
        <v>12.980626</v>
      </c>
      <c r="E1269" s="1">
        <v>80.16528</v>
      </c>
      <c r="F1269" s="1">
        <v>2846.0</v>
      </c>
      <c r="G1269" s="1">
        <v>54.0</v>
      </c>
    </row>
    <row r="1270">
      <c r="A1270" s="1" t="s">
        <v>8</v>
      </c>
      <c r="B1270" s="2">
        <v>44715.0</v>
      </c>
      <c r="C1270" s="3">
        <v>0.3315740740740741</v>
      </c>
      <c r="D1270" s="1">
        <v>12.97775</v>
      </c>
      <c r="E1270" s="1">
        <v>80.159701</v>
      </c>
      <c r="F1270" s="1">
        <v>2846.0</v>
      </c>
      <c r="G1270" s="1">
        <v>48.0</v>
      </c>
    </row>
    <row r="1271">
      <c r="A1271" s="1" t="s">
        <v>7</v>
      </c>
      <c r="B1271" s="2">
        <v>44715.0</v>
      </c>
      <c r="C1271" s="3">
        <v>0.3317013888888889</v>
      </c>
      <c r="D1271" s="1">
        <v>12.976389</v>
      </c>
      <c r="E1271" s="1">
        <v>80.157698</v>
      </c>
      <c r="F1271" s="1">
        <v>2846.0</v>
      </c>
      <c r="G1271" s="1">
        <v>50.0</v>
      </c>
    </row>
    <row r="1272">
      <c r="A1272" s="1" t="s">
        <v>8</v>
      </c>
      <c r="B1272" s="2">
        <v>44715.0</v>
      </c>
      <c r="C1272" s="3">
        <v>0.3325462962962963</v>
      </c>
      <c r="D1272" s="1">
        <v>12.973788</v>
      </c>
      <c r="E1272" s="1">
        <v>80.153913</v>
      </c>
      <c r="F1272" s="1">
        <v>2846.0</v>
      </c>
      <c r="G1272" s="1">
        <v>36.0</v>
      </c>
    </row>
    <row r="1273">
      <c r="A1273" s="1" t="s">
        <v>8</v>
      </c>
      <c r="B1273" s="2">
        <v>44715.0</v>
      </c>
      <c r="C1273" s="3">
        <v>0.33339120370370373</v>
      </c>
      <c r="D1273" s="1">
        <v>12.972348</v>
      </c>
      <c r="E1273" s="1">
        <v>80.151788</v>
      </c>
      <c r="F1273" s="1">
        <v>2846.0</v>
      </c>
      <c r="G1273" s="1">
        <v>13.0</v>
      </c>
    </row>
    <row r="1274">
      <c r="A1274" s="1" t="s">
        <v>8</v>
      </c>
      <c r="B1274" s="2">
        <v>44715.0</v>
      </c>
      <c r="C1274" s="3">
        <v>0.33391203703703703</v>
      </c>
      <c r="D1274" s="1">
        <v>12.968973</v>
      </c>
      <c r="E1274" s="1">
        <v>80.149861</v>
      </c>
      <c r="F1274" s="1">
        <v>2846.0</v>
      </c>
      <c r="G1274" s="1">
        <v>37.0</v>
      </c>
    </row>
    <row r="1275">
      <c r="A1275" s="1" t="s">
        <v>8</v>
      </c>
      <c r="B1275" s="2">
        <v>44715.0</v>
      </c>
      <c r="C1275" s="3">
        <v>0.33444444444444443</v>
      </c>
      <c r="D1275" s="1">
        <v>12.785586</v>
      </c>
      <c r="E1275" s="1">
        <v>80.014179</v>
      </c>
      <c r="F1275" s="1">
        <v>805.0</v>
      </c>
      <c r="G1275" s="1">
        <v>38.0</v>
      </c>
    </row>
    <row r="1276">
      <c r="A1276" s="1" t="s">
        <v>8</v>
      </c>
      <c r="B1276" s="2">
        <v>44715.0</v>
      </c>
      <c r="C1276" s="3">
        <v>0.33449074074074076</v>
      </c>
      <c r="D1276" s="1">
        <v>12.966885</v>
      </c>
      <c r="E1276" s="1">
        <v>80.14893</v>
      </c>
      <c r="F1276" s="1">
        <v>2846.0</v>
      </c>
      <c r="G1276" s="1">
        <v>19.0</v>
      </c>
    </row>
    <row r="1277">
      <c r="A1277" s="1" t="s">
        <v>8</v>
      </c>
      <c r="B1277" s="2">
        <v>44715.0</v>
      </c>
      <c r="C1277" s="3">
        <v>0.33466435185185184</v>
      </c>
      <c r="D1277" s="1">
        <v>12.787221</v>
      </c>
      <c r="E1277" s="1">
        <v>80.015168</v>
      </c>
      <c r="F1277" s="1">
        <v>805.0</v>
      </c>
      <c r="G1277" s="1">
        <v>39.0</v>
      </c>
    </row>
    <row r="1278">
      <c r="A1278" s="1" t="s">
        <v>8</v>
      </c>
      <c r="B1278" s="2">
        <v>44715.0</v>
      </c>
      <c r="C1278" s="3">
        <v>0.33493055555555556</v>
      </c>
      <c r="D1278" s="1">
        <v>12.788887</v>
      </c>
      <c r="E1278" s="1">
        <v>80.016149</v>
      </c>
      <c r="F1278" s="1">
        <v>805.0</v>
      </c>
      <c r="G1278" s="1">
        <v>36.0</v>
      </c>
    </row>
    <row r="1279">
      <c r="A1279" s="1" t="s">
        <v>8</v>
      </c>
      <c r="B1279" s="2">
        <v>44715.0</v>
      </c>
      <c r="C1279" s="3">
        <v>0.33497685185185183</v>
      </c>
      <c r="D1279" s="1">
        <v>12.963839</v>
      </c>
      <c r="E1279" s="1">
        <v>80.147349</v>
      </c>
      <c r="F1279" s="1">
        <v>2846.0</v>
      </c>
      <c r="G1279" s="1">
        <v>54.0</v>
      </c>
    </row>
    <row r="1280">
      <c r="A1280" s="1" t="s">
        <v>8</v>
      </c>
      <c r="B1280" s="2">
        <v>44715.0</v>
      </c>
      <c r="C1280" s="3">
        <v>0.33511574074074074</v>
      </c>
      <c r="D1280" s="1">
        <v>12.790838</v>
      </c>
      <c r="E1280" s="1">
        <v>80.01734</v>
      </c>
      <c r="F1280" s="1">
        <v>805.0</v>
      </c>
      <c r="G1280" s="1">
        <v>45.0</v>
      </c>
    </row>
    <row r="1281">
      <c r="A1281" s="1" t="s">
        <v>10</v>
      </c>
      <c r="B1281" s="2">
        <v>44715.0</v>
      </c>
      <c r="C1281" s="3">
        <v>0.3355787037037037</v>
      </c>
      <c r="D1281" s="1">
        <v>12.795126</v>
      </c>
      <c r="E1281" s="1">
        <v>80.020096</v>
      </c>
      <c r="F1281" s="1">
        <v>805.0</v>
      </c>
      <c r="G1281" s="1">
        <v>55.0</v>
      </c>
    </row>
    <row r="1282">
      <c r="A1282" s="1" t="s">
        <v>8</v>
      </c>
      <c r="B1282" s="2">
        <v>44715.0</v>
      </c>
      <c r="C1282" s="3">
        <v>0.33568287037037037</v>
      </c>
      <c r="D1282" s="1">
        <v>12.961513</v>
      </c>
      <c r="E1282" s="1">
        <v>80.146125</v>
      </c>
      <c r="F1282" s="1">
        <v>2846.0</v>
      </c>
      <c r="G1282" s="1">
        <v>0.0</v>
      </c>
    </row>
    <row r="1283">
      <c r="A1283" s="1" t="s">
        <v>8</v>
      </c>
      <c r="B1283" s="2">
        <v>44715.0</v>
      </c>
      <c r="C1283" s="3">
        <v>0.3358101851851852</v>
      </c>
      <c r="D1283" s="1">
        <v>12.961075</v>
      </c>
      <c r="E1283" s="1">
        <v>80.14585</v>
      </c>
      <c r="F1283" s="1">
        <v>2846.0</v>
      </c>
      <c r="G1283" s="1">
        <v>29.0</v>
      </c>
    </row>
    <row r="1284">
      <c r="A1284" s="1" t="s">
        <v>8</v>
      </c>
      <c r="B1284" s="2">
        <v>44715.0</v>
      </c>
      <c r="C1284" s="3">
        <v>0.3359259259259259</v>
      </c>
      <c r="D1284" s="1">
        <v>12.960309</v>
      </c>
      <c r="E1284" s="1">
        <v>80.145419</v>
      </c>
      <c r="F1284" s="1">
        <v>2846.0</v>
      </c>
      <c r="G1284" s="1">
        <v>39.0</v>
      </c>
    </row>
    <row r="1285">
      <c r="A1285" s="1" t="s">
        <v>8</v>
      </c>
      <c r="B1285" s="2">
        <v>44715.0</v>
      </c>
      <c r="C1285" s="3">
        <v>0.3360416666666667</v>
      </c>
      <c r="D1285" s="1">
        <v>12.959322</v>
      </c>
      <c r="E1285" s="1">
        <v>80.144879</v>
      </c>
      <c r="F1285" s="1">
        <v>2846.0</v>
      </c>
      <c r="G1285" s="1">
        <v>44.0</v>
      </c>
    </row>
    <row r="1286">
      <c r="A1286" s="1" t="s">
        <v>8</v>
      </c>
      <c r="B1286" s="2">
        <v>44715.0</v>
      </c>
      <c r="C1286" s="3">
        <v>0.3361574074074074</v>
      </c>
      <c r="D1286" s="1">
        <v>12.95833</v>
      </c>
      <c r="E1286" s="1">
        <v>80.144356</v>
      </c>
      <c r="F1286" s="1">
        <v>2846.0</v>
      </c>
      <c r="G1286" s="1">
        <v>44.0</v>
      </c>
    </row>
    <row r="1287">
      <c r="A1287" s="1" t="s">
        <v>7</v>
      </c>
      <c r="B1287" s="2">
        <v>44715.0</v>
      </c>
      <c r="C1287" s="3">
        <v>0.33622685185185186</v>
      </c>
      <c r="D1287" s="1">
        <v>12.80154</v>
      </c>
      <c r="E1287" s="1">
        <v>80.02431</v>
      </c>
      <c r="F1287" s="1">
        <v>805.0</v>
      </c>
      <c r="G1287" s="1">
        <v>58.0</v>
      </c>
    </row>
    <row r="1288">
      <c r="A1288" s="1" t="s">
        <v>7</v>
      </c>
      <c r="B1288" s="2">
        <v>44715.0</v>
      </c>
      <c r="C1288" s="3">
        <v>0.33667824074074076</v>
      </c>
      <c r="D1288" s="1">
        <v>12.806411</v>
      </c>
      <c r="E1288" s="1">
        <v>80.027493</v>
      </c>
      <c r="F1288" s="1">
        <v>805.0</v>
      </c>
      <c r="G1288" s="1">
        <v>53.0</v>
      </c>
    </row>
    <row r="1289">
      <c r="A1289" s="1" t="s">
        <v>8</v>
      </c>
      <c r="B1289" s="2">
        <v>44715.0</v>
      </c>
      <c r="C1289" s="3">
        <v>0.3367361111111111</v>
      </c>
      <c r="D1289" s="1">
        <v>12.955953</v>
      </c>
      <c r="E1289" s="1">
        <v>80.143162</v>
      </c>
      <c r="F1289" s="1">
        <v>2846.0</v>
      </c>
      <c r="G1289" s="1">
        <v>20.0</v>
      </c>
    </row>
    <row r="1290">
      <c r="A1290" s="1" t="s">
        <v>7</v>
      </c>
      <c r="B1290" s="2">
        <v>44715.0</v>
      </c>
      <c r="C1290" s="3">
        <v>0.3367824074074074</v>
      </c>
      <c r="D1290" s="1">
        <v>12.806411</v>
      </c>
      <c r="E1290" s="1">
        <v>80.027493</v>
      </c>
      <c r="F1290" s="1">
        <v>805.0</v>
      </c>
      <c r="G1290" s="1">
        <v>53.0</v>
      </c>
    </row>
    <row r="1291">
      <c r="A1291" s="1" t="s">
        <v>7</v>
      </c>
      <c r="B1291" s="2">
        <v>44715.0</v>
      </c>
      <c r="C1291" s="3">
        <v>0.3375</v>
      </c>
      <c r="D1291" s="1">
        <v>12.810649</v>
      </c>
      <c r="E1291" s="1">
        <v>80.030225</v>
      </c>
      <c r="F1291" s="1">
        <v>805.0</v>
      </c>
      <c r="G1291" s="1">
        <v>52.0</v>
      </c>
    </row>
    <row r="1292">
      <c r="A1292" s="1" t="s">
        <v>8</v>
      </c>
      <c r="B1292" s="2">
        <v>44715.0</v>
      </c>
      <c r="C1292" s="3">
        <v>0.33760416666666665</v>
      </c>
      <c r="D1292" s="1">
        <v>12.952315</v>
      </c>
      <c r="E1292" s="1">
        <v>80.141002</v>
      </c>
      <c r="F1292" s="1">
        <v>2846.0</v>
      </c>
      <c r="G1292" s="1">
        <v>6.0</v>
      </c>
    </row>
    <row r="1293">
      <c r="A1293" s="1" t="s">
        <v>8</v>
      </c>
      <c r="B1293" s="2">
        <v>44715.0</v>
      </c>
      <c r="C1293" s="3">
        <v>0.33761574074074074</v>
      </c>
      <c r="D1293" s="1">
        <v>12.952093</v>
      </c>
      <c r="E1293" s="1">
        <v>80.140834</v>
      </c>
      <c r="F1293" s="1">
        <v>2846.0</v>
      </c>
      <c r="G1293" s="1">
        <v>17.0</v>
      </c>
    </row>
    <row r="1294">
      <c r="A1294" s="1" t="s">
        <v>8</v>
      </c>
      <c r="B1294" s="2">
        <v>44715.0</v>
      </c>
      <c r="C1294" s="3">
        <v>0.33765046296296297</v>
      </c>
      <c r="D1294" s="1">
        <v>12.952093</v>
      </c>
      <c r="E1294" s="1">
        <v>80.140834</v>
      </c>
      <c r="F1294" s="1">
        <v>2846.0</v>
      </c>
      <c r="G1294" s="1">
        <v>17.0</v>
      </c>
    </row>
    <row r="1295">
      <c r="A1295" s="1" t="s">
        <v>9</v>
      </c>
      <c r="B1295" s="2">
        <v>44715.0</v>
      </c>
      <c r="C1295" s="3">
        <v>0.33773148148148147</v>
      </c>
      <c r="D1295" s="1">
        <v>12.951521</v>
      </c>
      <c r="E1295" s="1">
        <v>80.140408</v>
      </c>
      <c r="F1295" s="1">
        <v>2846.0</v>
      </c>
      <c r="G1295" s="1">
        <v>31.0</v>
      </c>
    </row>
    <row r="1296">
      <c r="A1296" s="1" t="s">
        <v>7</v>
      </c>
      <c r="B1296" s="2">
        <v>44715.0</v>
      </c>
      <c r="C1296" s="3">
        <v>0.33783564814814815</v>
      </c>
      <c r="D1296" s="1">
        <v>12.813029</v>
      </c>
      <c r="E1296" s="1">
        <v>80.031797</v>
      </c>
      <c r="F1296" s="1">
        <v>805.0</v>
      </c>
      <c r="G1296" s="1">
        <v>57.0</v>
      </c>
    </row>
    <row r="1297">
      <c r="A1297" s="1" t="s">
        <v>8</v>
      </c>
      <c r="B1297" s="2">
        <v>44715.0</v>
      </c>
      <c r="C1297" s="3">
        <v>0.3379050925925926</v>
      </c>
      <c r="D1297" s="1">
        <v>12.950861</v>
      </c>
      <c r="E1297" s="1">
        <v>80.139923</v>
      </c>
      <c r="F1297" s="1">
        <v>2846.0</v>
      </c>
      <c r="G1297" s="1">
        <v>25.0</v>
      </c>
    </row>
    <row r="1298">
      <c r="A1298" s="1" t="s">
        <v>7</v>
      </c>
      <c r="B1298" s="2">
        <v>44715.0</v>
      </c>
      <c r="C1298" s="3">
        <v>0.33804398148148146</v>
      </c>
      <c r="D1298" s="1">
        <v>12.815478</v>
      </c>
      <c r="E1298" s="1">
        <v>80.033433</v>
      </c>
      <c r="F1298" s="1">
        <v>805.0</v>
      </c>
      <c r="G1298" s="1">
        <v>58.0</v>
      </c>
    </row>
    <row r="1299">
      <c r="A1299" s="1" t="s">
        <v>7</v>
      </c>
      <c r="B1299" s="2">
        <v>44715.0</v>
      </c>
      <c r="C1299" s="3">
        <v>0.33815972222222224</v>
      </c>
      <c r="D1299" s="1">
        <v>12.816686</v>
      </c>
      <c r="E1299" s="1">
        <v>80.034272</v>
      </c>
      <c r="F1299" s="1">
        <v>805.0</v>
      </c>
      <c r="G1299" s="1">
        <v>58.0</v>
      </c>
    </row>
    <row r="1300">
      <c r="A1300" s="1" t="s">
        <v>7</v>
      </c>
      <c r="B1300" s="2">
        <v>44715.0</v>
      </c>
      <c r="C1300" s="3">
        <v>0.3383217592592593</v>
      </c>
      <c r="D1300" s="1">
        <v>12.819089</v>
      </c>
      <c r="E1300" s="1">
        <v>80.035982</v>
      </c>
      <c r="F1300" s="1">
        <v>805.0</v>
      </c>
      <c r="G1300" s="1">
        <v>58.0</v>
      </c>
    </row>
    <row r="1301">
      <c r="A1301" s="1" t="s">
        <v>8</v>
      </c>
      <c r="B1301" s="2">
        <v>44715.0</v>
      </c>
      <c r="C1301" s="3">
        <v>0.3383912037037037</v>
      </c>
      <c r="D1301" s="1">
        <v>12.946755</v>
      </c>
      <c r="E1301" s="1">
        <v>80.136787</v>
      </c>
      <c r="F1301" s="1">
        <v>2846.0</v>
      </c>
      <c r="G1301" s="1">
        <v>48.0</v>
      </c>
    </row>
    <row r="1302">
      <c r="A1302" s="1" t="s">
        <v>7</v>
      </c>
      <c r="B1302" s="2">
        <v>44715.0</v>
      </c>
      <c r="C1302" s="3">
        <v>0.3384259259259259</v>
      </c>
      <c r="D1302" s="1">
        <v>12.820296</v>
      </c>
      <c r="E1302" s="1">
        <v>80.03683</v>
      </c>
      <c r="F1302" s="1">
        <v>805.0</v>
      </c>
      <c r="G1302" s="1">
        <v>58.0</v>
      </c>
    </row>
    <row r="1303">
      <c r="A1303" s="1" t="s">
        <v>8</v>
      </c>
      <c r="B1303" s="2">
        <v>44715.0</v>
      </c>
      <c r="C1303" s="3">
        <v>0.33847222222222223</v>
      </c>
      <c r="D1303" s="1">
        <v>12.946755</v>
      </c>
      <c r="E1303" s="1">
        <v>80.136787</v>
      </c>
      <c r="F1303" s="1">
        <v>2846.0</v>
      </c>
      <c r="G1303" s="1">
        <v>48.0</v>
      </c>
    </row>
    <row r="1304">
      <c r="A1304" s="1" t="s">
        <v>7</v>
      </c>
      <c r="B1304" s="2">
        <v>44715.0</v>
      </c>
      <c r="C1304" s="3">
        <v>0.33858796296296295</v>
      </c>
      <c r="D1304" s="1">
        <v>12.821506</v>
      </c>
      <c r="E1304" s="1">
        <v>80.037666</v>
      </c>
      <c r="F1304" s="1">
        <v>805.0</v>
      </c>
      <c r="G1304" s="1">
        <v>58.0</v>
      </c>
    </row>
    <row r="1305">
      <c r="A1305" s="1" t="s">
        <v>7</v>
      </c>
      <c r="B1305" s="2">
        <v>44715.0</v>
      </c>
      <c r="C1305" s="3">
        <v>0.3387847222222222</v>
      </c>
      <c r="D1305" s="1">
        <v>12.821506</v>
      </c>
      <c r="E1305" s="1">
        <v>80.037666</v>
      </c>
      <c r="F1305" s="1">
        <v>805.0</v>
      </c>
      <c r="G1305" s="1">
        <v>58.0</v>
      </c>
    </row>
    <row r="1306">
      <c r="A1306" s="1" t="s">
        <v>7</v>
      </c>
      <c r="B1306" s="2">
        <v>44715.0</v>
      </c>
      <c r="C1306" s="3">
        <v>0.33912037037037035</v>
      </c>
      <c r="D1306" s="1">
        <v>12.823755</v>
      </c>
      <c r="E1306" s="1">
        <v>80.039216</v>
      </c>
      <c r="F1306" s="1">
        <v>805.0</v>
      </c>
      <c r="G1306" s="1">
        <v>52.0</v>
      </c>
    </row>
    <row r="1307">
      <c r="A1307" s="1" t="s">
        <v>7</v>
      </c>
      <c r="B1307" s="2">
        <v>44715.0</v>
      </c>
      <c r="C1307" s="3">
        <v>0.33921296296296294</v>
      </c>
      <c r="D1307" s="1">
        <v>12.826103</v>
      </c>
      <c r="E1307" s="1">
        <v>80.040927</v>
      </c>
      <c r="F1307" s="1">
        <v>805.0</v>
      </c>
      <c r="G1307" s="1">
        <v>57.0</v>
      </c>
    </row>
    <row r="1308">
      <c r="A1308" s="1" t="s">
        <v>8</v>
      </c>
      <c r="B1308" s="2">
        <v>44715.0</v>
      </c>
      <c r="C1308" s="3">
        <v>0.33949074074074076</v>
      </c>
      <c r="D1308" s="1">
        <v>12.940061</v>
      </c>
      <c r="E1308" s="1">
        <v>80.130692</v>
      </c>
      <c r="F1308" s="1">
        <v>2846.0</v>
      </c>
      <c r="G1308" s="1">
        <v>53.0</v>
      </c>
    </row>
    <row r="1309">
      <c r="A1309" s="1" t="s">
        <v>7</v>
      </c>
      <c r="B1309" s="2">
        <v>44715.0</v>
      </c>
      <c r="C1309" s="3">
        <v>0.3395023148148148</v>
      </c>
      <c r="D1309" s="1">
        <v>12.830201</v>
      </c>
      <c r="E1309" s="1">
        <v>80.045178</v>
      </c>
      <c r="F1309" s="1">
        <v>805.0</v>
      </c>
      <c r="G1309" s="1">
        <v>58.0</v>
      </c>
    </row>
    <row r="1310">
      <c r="A1310" s="1" t="s">
        <v>8</v>
      </c>
      <c r="B1310" s="2">
        <v>44715.0</v>
      </c>
      <c r="C1310" s="3">
        <v>0.3397337962962963</v>
      </c>
      <c r="D1310" s="1">
        <v>12.832242</v>
      </c>
      <c r="E1310" s="1">
        <v>80.047303</v>
      </c>
      <c r="F1310" s="1">
        <v>805.0</v>
      </c>
      <c r="G1310" s="1">
        <v>56.0</v>
      </c>
    </row>
    <row r="1311">
      <c r="A1311" s="1" t="s">
        <v>8</v>
      </c>
      <c r="B1311" s="2">
        <v>44715.0</v>
      </c>
      <c r="C1311" s="3">
        <v>0.3397453703703704</v>
      </c>
      <c r="D1311" s="1">
        <v>12.938301</v>
      </c>
      <c r="E1311" s="1">
        <v>80.129087</v>
      </c>
      <c r="F1311" s="1">
        <v>2846.0</v>
      </c>
      <c r="G1311" s="1">
        <v>56.0</v>
      </c>
    </row>
    <row r="1312">
      <c r="A1312" s="1" t="s">
        <v>8</v>
      </c>
      <c r="B1312" s="2">
        <v>44715.0</v>
      </c>
      <c r="C1312" s="3">
        <v>0.34025462962962966</v>
      </c>
      <c r="D1312" s="1">
        <v>12.936014</v>
      </c>
      <c r="E1312" s="1">
        <v>80.127174</v>
      </c>
      <c r="F1312" s="1">
        <v>2846.0</v>
      </c>
      <c r="G1312" s="1">
        <v>29.0</v>
      </c>
    </row>
    <row r="1313">
      <c r="A1313" s="1" t="s">
        <v>8</v>
      </c>
      <c r="B1313" s="2">
        <v>44715.0</v>
      </c>
      <c r="C1313" s="3">
        <v>0.3403009259259259</v>
      </c>
      <c r="D1313" s="1">
        <v>12.936014</v>
      </c>
      <c r="E1313" s="1">
        <v>80.127174</v>
      </c>
      <c r="F1313" s="1">
        <v>2846.0</v>
      </c>
      <c r="G1313" s="1">
        <v>29.0</v>
      </c>
    </row>
    <row r="1314">
      <c r="A1314" s="1" t="s">
        <v>7</v>
      </c>
      <c r="B1314" s="2">
        <v>44715.0</v>
      </c>
      <c r="C1314" s="3">
        <v>0.3403819444444444</v>
      </c>
      <c r="D1314" s="1">
        <v>12.836146</v>
      </c>
      <c r="E1314" s="1">
        <v>80.051377</v>
      </c>
      <c r="F1314" s="1">
        <v>805.0</v>
      </c>
      <c r="G1314" s="1">
        <v>51.0</v>
      </c>
    </row>
    <row r="1315">
      <c r="A1315" s="1" t="s">
        <v>8</v>
      </c>
      <c r="B1315" s="2">
        <v>44715.0</v>
      </c>
      <c r="C1315" s="3">
        <v>0.34042824074074074</v>
      </c>
      <c r="D1315" s="1">
        <v>12.837058</v>
      </c>
      <c r="E1315" s="1">
        <v>80.052329</v>
      </c>
      <c r="F1315" s="1">
        <v>805.0</v>
      </c>
      <c r="G1315" s="1">
        <v>51.0</v>
      </c>
    </row>
    <row r="1316">
      <c r="A1316" s="1" t="s">
        <v>8</v>
      </c>
      <c r="B1316" s="2">
        <v>44715.0</v>
      </c>
      <c r="C1316" s="3">
        <v>0.34042824074074074</v>
      </c>
      <c r="D1316" s="1">
        <v>12.936014</v>
      </c>
      <c r="E1316" s="1">
        <v>80.127174</v>
      </c>
      <c r="F1316" s="1">
        <v>2846.0</v>
      </c>
      <c r="G1316" s="1">
        <v>29.0</v>
      </c>
    </row>
    <row r="1317">
      <c r="A1317" s="1" t="s">
        <v>8</v>
      </c>
      <c r="B1317" s="2">
        <v>44715.0</v>
      </c>
      <c r="C1317" s="3">
        <v>0.3404513888888889</v>
      </c>
      <c r="D1317" s="1">
        <v>12.837058</v>
      </c>
      <c r="E1317" s="1">
        <v>80.052329</v>
      </c>
      <c r="F1317" s="1">
        <v>805.0</v>
      </c>
      <c r="G1317" s="1">
        <v>51.0</v>
      </c>
    </row>
    <row r="1318">
      <c r="A1318" s="1" t="s">
        <v>8</v>
      </c>
      <c r="B1318" s="2">
        <v>44715.0</v>
      </c>
      <c r="C1318" s="3">
        <v>0.3408333333333333</v>
      </c>
      <c r="D1318" s="1">
        <v>12.83966</v>
      </c>
      <c r="E1318" s="1">
        <v>80.055097</v>
      </c>
      <c r="F1318" s="1">
        <v>805.0</v>
      </c>
      <c r="G1318" s="1">
        <v>53.0</v>
      </c>
    </row>
    <row r="1319">
      <c r="A1319" s="1" t="s">
        <v>8</v>
      </c>
      <c r="B1319" s="2">
        <v>44715.0</v>
      </c>
      <c r="C1319" s="3">
        <v>0.3408333333333333</v>
      </c>
      <c r="D1319" s="1">
        <v>12.932164</v>
      </c>
      <c r="E1319" s="1">
        <v>80.123495</v>
      </c>
      <c r="F1319" s="1">
        <v>2846.0</v>
      </c>
      <c r="G1319" s="1">
        <v>40.0</v>
      </c>
    </row>
    <row r="1320">
      <c r="A1320" s="1" t="s">
        <v>8</v>
      </c>
      <c r="B1320" s="2">
        <v>44715.0</v>
      </c>
      <c r="C1320" s="3">
        <v>0.3409490740740741</v>
      </c>
      <c r="D1320" s="1">
        <v>12.840626</v>
      </c>
      <c r="E1320" s="1">
        <v>80.056074</v>
      </c>
      <c r="F1320" s="1">
        <v>805.0</v>
      </c>
      <c r="G1320" s="1">
        <v>50.0</v>
      </c>
    </row>
    <row r="1321">
      <c r="A1321" s="1" t="s">
        <v>8</v>
      </c>
      <c r="B1321" s="2">
        <v>44715.0</v>
      </c>
      <c r="C1321" s="3">
        <v>0.34096064814814814</v>
      </c>
      <c r="D1321" s="1">
        <v>12.931475</v>
      </c>
      <c r="E1321" s="1">
        <v>80.122808</v>
      </c>
      <c r="F1321" s="1">
        <v>2846.0</v>
      </c>
      <c r="G1321" s="1">
        <v>36.0</v>
      </c>
    </row>
    <row r="1322">
      <c r="A1322" s="1" t="s">
        <v>8</v>
      </c>
      <c r="B1322" s="2">
        <v>44715.0</v>
      </c>
      <c r="C1322" s="3">
        <v>0.3410185185185185</v>
      </c>
      <c r="D1322" s="1">
        <v>12.931475</v>
      </c>
      <c r="E1322" s="1">
        <v>80.122808</v>
      </c>
      <c r="F1322" s="1">
        <v>2846.0</v>
      </c>
      <c r="G1322" s="1">
        <v>36.0</v>
      </c>
    </row>
    <row r="1323">
      <c r="A1323" s="1" t="s">
        <v>8</v>
      </c>
      <c r="B1323" s="2">
        <v>44715.0</v>
      </c>
      <c r="C1323" s="3">
        <v>0.3410300925925926</v>
      </c>
      <c r="D1323" s="1">
        <v>12.931475</v>
      </c>
      <c r="E1323" s="1">
        <v>80.122808</v>
      </c>
      <c r="F1323" s="1">
        <v>2846.0</v>
      </c>
      <c r="G1323" s="1">
        <v>36.0</v>
      </c>
    </row>
    <row r="1324">
      <c r="A1324" s="1" t="s">
        <v>8</v>
      </c>
      <c r="B1324" s="2">
        <v>44715.0</v>
      </c>
      <c r="C1324" s="3">
        <v>0.3410416666666667</v>
      </c>
      <c r="D1324" s="1">
        <v>12.931475</v>
      </c>
      <c r="E1324" s="1">
        <v>80.122808</v>
      </c>
      <c r="F1324" s="1">
        <v>2846.0</v>
      </c>
      <c r="G1324" s="1">
        <v>36.0</v>
      </c>
    </row>
    <row r="1325">
      <c r="A1325" s="1" t="s">
        <v>8</v>
      </c>
      <c r="B1325" s="2">
        <v>44715.0</v>
      </c>
      <c r="C1325" s="3">
        <v>0.3411458333333333</v>
      </c>
      <c r="D1325" s="1">
        <v>12.842354</v>
      </c>
      <c r="E1325" s="1">
        <v>80.057817</v>
      </c>
      <c r="F1325" s="1">
        <v>805.0</v>
      </c>
      <c r="G1325" s="1">
        <v>47.0</v>
      </c>
    </row>
    <row r="1326">
      <c r="A1326" s="1" t="s">
        <v>8</v>
      </c>
      <c r="B1326" s="2">
        <v>44715.0</v>
      </c>
      <c r="C1326" s="3">
        <v>0.34167824074074077</v>
      </c>
      <c r="D1326" s="1">
        <v>12.927394</v>
      </c>
      <c r="E1326" s="1">
        <v>80.1186</v>
      </c>
      <c r="F1326" s="1">
        <v>2846.0</v>
      </c>
      <c r="G1326" s="1">
        <v>48.0</v>
      </c>
    </row>
    <row r="1327">
      <c r="A1327" s="1" t="s">
        <v>7</v>
      </c>
      <c r="B1327" s="2">
        <v>44715.0</v>
      </c>
      <c r="C1327" s="3">
        <v>0.3428935185185185</v>
      </c>
      <c r="D1327" s="1">
        <v>12.918461</v>
      </c>
      <c r="E1327" s="1">
        <v>80.109146</v>
      </c>
      <c r="F1327" s="1">
        <v>2846.0</v>
      </c>
      <c r="G1327" s="1">
        <v>58.0</v>
      </c>
    </row>
    <row r="1328">
      <c r="A1328" s="1" t="s">
        <v>8</v>
      </c>
      <c r="B1328" s="2">
        <v>44715.0</v>
      </c>
      <c r="C1328" s="3">
        <v>0.34319444444444447</v>
      </c>
      <c r="D1328" s="1">
        <v>12.916299</v>
      </c>
      <c r="E1328" s="1">
        <v>80.10588</v>
      </c>
      <c r="F1328" s="1">
        <v>2846.0</v>
      </c>
      <c r="G1328" s="1">
        <v>51.0</v>
      </c>
    </row>
    <row r="1329">
      <c r="A1329" s="1" t="s">
        <v>8</v>
      </c>
      <c r="B1329" s="2">
        <v>44715.0</v>
      </c>
      <c r="C1329" s="3">
        <v>0.34322916666666664</v>
      </c>
      <c r="D1329" s="1">
        <v>12.850842</v>
      </c>
      <c r="E1329" s="1">
        <v>80.065216</v>
      </c>
      <c r="F1329" s="1">
        <v>805.0</v>
      </c>
      <c r="G1329" s="1">
        <v>45.0</v>
      </c>
    </row>
    <row r="1330">
      <c r="A1330" s="1" t="s">
        <v>8</v>
      </c>
      <c r="B1330" s="2">
        <v>44715.0</v>
      </c>
      <c r="C1330" s="3">
        <v>0.34347222222222223</v>
      </c>
      <c r="D1330" s="1">
        <v>12.915171</v>
      </c>
      <c r="E1330" s="1">
        <v>80.103814</v>
      </c>
      <c r="F1330" s="1">
        <v>2846.0</v>
      </c>
      <c r="G1330" s="1">
        <v>45.0</v>
      </c>
    </row>
    <row r="1331">
      <c r="A1331" s="1" t="s">
        <v>7</v>
      </c>
      <c r="B1331" s="2">
        <v>44715.0</v>
      </c>
      <c r="C1331" s="3">
        <v>0.34390046296296295</v>
      </c>
      <c r="D1331" s="1">
        <v>12.856291</v>
      </c>
      <c r="E1331" s="1">
        <v>80.069276</v>
      </c>
      <c r="F1331" s="1">
        <v>805.0</v>
      </c>
      <c r="G1331" s="1">
        <v>56.0</v>
      </c>
    </row>
    <row r="1332">
      <c r="A1332" s="1" t="s">
        <v>7</v>
      </c>
      <c r="B1332" s="2">
        <v>44715.0</v>
      </c>
      <c r="C1332" s="3">
        <v>0.34402777777777777</v>
      </c>
      <c r="D1332" s="1">
        <v>12.857425</v>
      </c>
      <c r="E1332" s="1">
        <v>80.070142</v>
      </c>
      <c r="F1332" s="1">
        <v>805.0</v>
      </c>
      <c r="G1332" s="1">
        <v>57.0</v>
      </c>
    </row>
    <row r="1333">
      <c r="A1333" s="1" t="s">
        <v>7</v>
      </c>
      <c r="B1333" s="2">
        <v>44715.0</v>
      </c>
      <c r="C1333" s="3">
        <v>0.3461458333333333</v>
      </c>
      <c r="D1333" s="1">
        <v>12.871367</v>
      </c>
      <c r="E1333" s="1">
        <v>80.076999</v>
      </c>
      <c r="F1333" s="1">
        <v>805.0</v>
      </c>
      <c r="G1333" s="1">
        <v>47.0</v>
      </c>
    </row>
    <row r="1334">
      <c r="A1334" s="1" t="s">
        <v>7</v>
      </c>
      <c r="B1334" s="2">
        <v>44715.0</v>
      </c>
      <c r="C1334" s="3">
        <v>0.3463657407407407</v>
      </c>
      <c r="D1334" s="1">
        <v>12.873851</v>
      </c>
      <c r="E1334" s="1">
        <v>80.077929</v>
      </c>
      <c r="F1334" s="1">
        <v>805.0</v>
      </c>
      <c r="G1334" s="1">
        <v>52.0</v>
      </c>
    </row>
    <row r="1335">
      <c r="A1335" s="1" t="s">
        <v>7</v>
      </c>
      <c r="B1335" s="2">
        <v>44715.0</v>
      </c>
      <c r="C1335" s="3">
        <v>0.3465625</v>
      </c>
      <c r="D1335" s="1">
        <v>12.876288</v>
      </c>
      <c r="E1335" s="1">
        <v>80.078871</v>
      </c>
      <c r="F1335" s="1">
        <v>805.0</v>
      </c>
      <c r="G1335" s="1">
        <v>48.0</v>
      </c>
    </row>
    <row r="1336">
      <c r="A1336" s="1" t="s">
        <v>10</v>
      </c>
      <c r="B1336" s="2">
        <v>44715.0</v>
      </c>
      <c r="C1336" s="3">
        <v>0.34850694444444447</v>
      </c>
      <c r="D1336" s="1">
        <v>12.877691</v>
      </c>
      <c r="E1336" s="1">
        <v>80.084396</v>
      </c>
      <c r="F1336" s="1">
        <v>805.0</v>
      </c>
      <c r="G1336" s="1">
        <v>37.0</v>
      </c>
    </row>
    <row r="1337">
      <c r="A1337" s="1" t="s">
        <v>10</v>
      </c>
      <c r="B1337" s="2">
        <v>44715.0</v>
      </c>
      <c r="C1337" s="3">
        <v>0.34921296296296295</v>
      </c>
      <c r="D1337" s="1">
        <v>12.877057</v>
      </c>
      <c r="E1337" s="1">
        <v>80.084545</v>
      </c>
      <c r="F1337" s="1">
        <v>805.0</v>
      </c>
      <c r="G1337" s="1">
        <v>8.0</v>
      </c>
    </row>
    <row r="1338">
      <c r="A1338" s="1" t="s">
        <v>8</v>
      </c>
      <c r="B1338" s="2">
        <v>44715.0</v>
      </c>
      <c r="C1338" s="3">
        <v>0.34979166666666667</v>
      </c>
      <c r="D1338" s="1">
        <v>12.904707</v>
      </c>
      <c r="E1338" s="1">
        <v>80.095208</v>
      </c>
      <c r="F1338" s="1">
        <v>2846.0</v>
      </c>
      <c r="G1338" s="1">
        <v>30.0</v>
      </c>
    </row>
    <row r="1339">
      <c r="A1339" s="1" t="s">
        <v>8</v>
      </c>
      <c r="B1339" s="2">
        <v>44715.0</v>
      </c>
      <c r="C1339" s="3">
        <v>0.3502777777777778</v>
      </c>
      <c r="D1339" s="1">
        <v>12.902094</v>
      </c>
      <c r="E1339" s="1">
        <v>80.093067</v>
      </c>
      <c r="F1339" s="1">
        <v>2846.0</v>
      </c>
      <c r="G1339" s="1">
        <v>49.0</v>
      </c>
    </row>
    <row r="1340">
      <c r="A1340" s="1" t="s">
        <v>8</v>
      </c>
      <c r="B1340" s="2">
        <v>44715.0</v>
      </c>
      <c r="C1340" s="3">
        <v>0.3504050925925926</v>
      </c>
      <c r="D1340" s="1">
        <v>12.902094</v>
      </c>
      <c r="E1340" s="1">
        <v>80.093067</v>
      </c>
      <c r="F1340" s="1">
        <v>2846.0</v>
      </c>
      <c r="G1340" s="1">
        <v>49.0</v>
      </c>
    </row>
    <row r="1341">
      <c r="A1341" s="1" t="s">
        <v>9</v>
      </c>
      <c r="B1341" s="2">
        <v>44715.0</v>
      </c>
      <c r="C1341" s="3">
        <v>0.3504976851851852</v>
      </c>
      <c r="D1341" s="1">
        <v>12.900078</v>
      </c>
      <c r="E1341" s="1">
        <v>80.091588</v>
      </c>
      <c r="F1341" s="1">
        <v>2846.0</v>
      </c>
      <c r="G1341" s="1">
        <v>51.0</v>
      </c>
    </row>
    <row r="1342">
      <c r="A1342" s="1" t="s">
        <v>7</v>
      </c>
      <c r="B1342" s="2">
        <v>44715.0</v>
      </c>
      <c r="C1342" s="3">
        <v>0.3509953703703704</v>
      </c>
      <c r="D1342" s="1">
        <v>12.896266</v>
      </c>
      <c r="E1342" s="1">
        <v>80.088685</v>
      </c>
      <c r="F1342" s="1">
        <v>2846.0</v>
      </c>
      <c r="G1342" s="1">
        <v>42.0</v>
      </c>
    </row>
    <row r="1343">
      <c r="A1343" s="1" t="s">
        <v>7</v>
      </c>
      <c r="B1343" s="2">
        <v>44715.0</v>
      </c>
      <c r="C1343" s="3">
        <v>0.35106481481481483</v>
      </c>
      <c r="D1343" s="1">
        <v>12.895176</v>
      </c>
      <c r="E1343" s="1">
        <v>80.087869</v>
      </c>
      <c r="F1343" s="1">
        <v>2846.0</v>
      </c>
      <c r="G1343" s="1">
        <v>60.0</v>
      </c>
    </row>
    <row r="1344">
      <c r="A1344" s="1" t="s">
        <v>7</v>
      </c>
      <c r="B1344" s="2">
        <v>44715.0</v>
      </c>
      <c r="C1344" s="3">
        <v>0.35158564814814813</v>
      </c>
      <c r="D1344" s="1">
        <v>12.89187</v>
      </c>
      <c r="E1344" s="1">
        <v>80.08548</v>
      </c>
      <c r="F1344" s="1">
        <v>2846.0</v>
      </c>
      <c r="G1344" s="1">
        <v>53.0</v>
      </c>
    </row>
    <row r="1345">
      <c r="A1345" s="1" t="s">
        <v>9</v>
      </c>
      <c r="B1345" s="2">
        <v>44715.0</v>
      </c>
      <c r="C1345" s="3">
        <v>0.35204861111111113</v>
      </c>
      <c r="D1345" s="1">
        <v>12.885319</v>
      </c>
      <c r="E1345" s="1">
        <v>80.082701</v>
      </c>
      <c r="F1345" s="1">
        <v>2846.0</v>
      </c>
      <c r="G1345" s="1">
        <v>49.0</v>
      </c>
    </row>
    <row r="1346">
      <c r="A1346" s="1" t="s">
        <v>8</v>
      </c>
      <c r="B1346" s="2">
        <v>44715.0</v>
      </c>
      <c r="C1346" s="3">
        <v>0.3521875</v>
      </c>
      <c r="D1346" s="1">
        <v>12.884294</v>
      </c>
      <c r="E1346" s="1">
        <v>80.082303</v>
      </c>
      <c r="F1346" s="1">
        <v>2846.0</v>
      </c>
      <c r="G1346" s="1">
        <v>33.0</v>
      </c>
    </row>
    <row r="1347">
      <c r="A1347" s="1" t="s">
        <v>8</v>
      </c>
      <c r="B1347" s="2">
        <v>44715.0</v>
      </c>
      <c r="C1347" s="3">
        <v>0.35229166666666667</v>
      </c>
      <c r="D1347" s="1">
        <v>12.883507</v>
      </c>
      <c r="E1347" s="1">
        <v>80.082089</v>
      </c>
      <c r="F1347" s="1">
        <v>2846.0</v>
      </c>
      <c r="G1347" s="1">
        <v>32.0</v>
      </c>
    </row>
    <row r="1348">
      <c r="A1348" s="1" t="s">
        <v>8</v>
      </c>
      <c r="B1348" s="2">
        <v>44715.0</v>
      </c>
      <c r="C1348" s="3">
        <v>0.35238425925925926</v>
      </c>
      <c r="D1348" s="1">
        <v>12.882693</v>
      </c>
      <c r="E1348" s="1">
        <v>80.081762</v>
      </c>
      <c r="F1348" s="1">
        <v>2846.0</v>
      </c>
      <c r="G1348" s="1">
        <v>36.0</v>
      </c>
    </row>
    <row r="1349">
      <c r="A1349" s="1" t="s">
        <v>8</v>
      </c>
      <c r="B1349" s="2">
        <v>44715.0</v>
      </c>
      <c r="C1349" s="3">
        <v>0.3538541666666667</v>
      </c>
      <c r="D1349" s="1">
        <v>12.878166</v>
      </c>
      <c r="E1349" s="1">
        <v>80.082977</v>
      </c>
      <c r="F1349" s="1">
        <v>2846.0</v>
      </c>
      <c r="G1349" s="1">
        <v>43.0</v>
      </c>
    </row>
    <row r="1350">
      <c r="A1350" s="1" t="s">
        <v>8</v>
      </c>
      <c r="B1350" s="2">
        <v>44715.0</v>
      </c>
      <c r="C1350" s="3">
        <v>0.6993981481481482</v>
      </c>
      <c r="D1350" s="1">
        <v>12.879064</v>
      </c>
      <c r="E1350" s="1">
        <v>80.080317</v>
      </c>
      <c r="F1350" s="1">
        <v>2846.0</v>
      </c>
      <c r="G1350" s="1">
        <v>14.0</v>
      </c>
    </row>
    <row r="1351">
      <c r="A1351" s="1" t="s">
        <v>8</v>
      </c>
      <c r="B1351" s="2">
        <v>44715.0</v>
      </c>
      <c r="C1351" s="3">
        <v>0.7003472222222222</v>
      </c>
      <c r="D1351" s="1">
        <v>12.885913</v>
      </c>
      <c r="E1351" s="1">
        <v>80.082742</v>
      </c>
      <c r="F1351" s="1">
        <v>2846.0</v>
      </c>
      <c r="G1351" s="1">
        <v>38.0</v>
      </c>
    </row>
    <row r="1352">
      <c r="A1352" s="1" t="s">
        <v>8</v>
      </c>
      <c r="B1352" s="2">
        <v>44715.0</v>
      </c>
      <c r="C1352" s="3">
        <v>0.7006365740740741</v>
      </c>
      <c r="D1352" s="1">
        <v>12.88794</v>
      </c>
      <c r="E1352" s="1">
        <v>80.083575</v>
      </c>
      <c r="F1352" s="1">
        <v>2846.0</v>
      </c>
      <c r="G1352" s="1">
        <v>44.0</v>
      </c>
    </row>
    <row r="1353">
      <c r="A1353" s="1" t="s">
        <v>7</v>
      </c>
      <c r="B1353" s="2">
        <v>44715.0</v>
      </c>
      <c r="C1353" s="3">
        <v>0.7008449074074075</v>
      </c>
      <c r="D1353" s="1">
        <v>12.876051</v>
      </c>
      <c r="E1353" s="1">
        <v>80.079072</v>
      </c>
      <c r="F1353" s="1">
        <v>805.0</v>
      </c>
      <c r="G1353" s="1">
        <v>60.0</v>
      </c>
    </row>
    <row r="1354">
      <c r="A1354" s="1" t="s">
        <v>7</v>
      </c>
      <c r="B1354" s="2">
        <v>44715.0</v>
      </c>
      <c r="C1354" s="3">
        <v>0.7009606481481482</v>
      </c>
      <c r="D1354" s="1">
        <v>12.890933</v>
      </c>
      <c r="E1354" s="1">
        <v>80.084886</v>
      </c>
      <c r="F1354" s="1">
        <v>2846.0</v>
      </c>
      <c r="G1354" s="1">
        <v>55.0</v>
      </c>
    </row>
    <row r="1355">
      <c r="A1355" s="1" t="s">
        <v>8</v>
      </c>
      <c r="B1355" s="2">
        <v>44715.0</v>
      </c>
      <c r="C1355" s="3">
        <v>0.702037037037037</v>
      </c>
      <c r="D1355" s="1">
        <v>12.900382</v>
      </c>
      <c r="E1355" s="1">
        <v>80.091666</v>
      </c>
      <c r="F1355" s="1">
        <v>2846.0</v>
      </c>
      <c r="G1355" s="1">
        <v>56.0</v>
      </c>
    </row>
    <row r="1356">
      <c r="A1356" s="1" t="s">
        <v>8</v>
      </c>
      <c r="B1356" s="2">
        <v>44715.0</v>
      </c>
      <c r="C1356" s="3">
        <v>0.7023379629629629</v>
      </c>
      <c r="D1356" s="1">
        <v>12.866683</v>
      </c>
      <c r="E1356" s="1">
        <v>80.075311</v>
      </c>
      <c r="F1356" s="1">
        <v>805.0</v>
      </c>
      <c r="G1356" s="1">
        <v>19.0</v>
      </c>
    </row>
    <row r="1357">
      <c r="A1357" s="1" t="s">
        <v>8</v>
      </c>
      <c r="B1357" s="2">
        <v>44715.0</v>
      </c>
      <c r="C1357" s="3">
        <v>0.7024189814814815</v>
      </c>
      <c r="D1357" s="1">
        <v>12.863585</v>
      </c>
      <c r="E1357" s="1">
        <v>80.074145</v>
      </c>
      <c r="F1357" s="1">
        <v>805.0</v>
      </c>
      <c r="G1357" s="1">
        <v>57.0</v>
      </c>
    </row>
    <row r="1358">
      <c r="A1358" s="1" t="s">
        <v>7</v>
      </c>
      <c r="B1358" s="2">
        <v>44715.0</v>
      </c>
      <c r="C1358" s="3">
        <v>0.7026041666666667</v>
      </c>
      <c r="D1358" s="1">
        <v>12.862276</v>
      </c>
      <c r="E1358" s="1">
        <v>80.073622</v>
      </c>
      <c r="F1358" s="1">
        <v>805.0</v>
      </c>
      <c r="G1358" s="1">
        <v>54.0</v>
      </c>
    </row>
    <row r="1359">
      <c r="A1359" s="1" t="s">
        <v>8</v>
      </c>
      <c r="B1359" s="2">
        <v>44715.0</v>
      </c>
      <c r="C1359" s="3">
        <v>0.7026157407407407</v>
      </c>
      <c r="D1359" s="1">
        <v>12.903897</v>
      </c>
      <c r="E1359" s="1">
        <v>80.094237</v>
      </c>
      <c r="F1359" s="1">
        <v>2846.0</v>
      </c>
      <c r="G1359" s="1">
        <v>24.0</v>
      </c>
    </row>
    <row r="1360">
      <c r="A1360" s="1" t="s">
        <v>8</v>
      </c>
      <c r="B1360" s="2">
        <v>44715.0</v>
      </c>
      <c r="C1360" s="3">
        <v>0.702662037037037</v>
      </c>
      <c r="D1360" s="1">
        <v>12.904454</v>
      </c>
      <c r="E1360" s="1">
        <v>80.094635</v>
      </c>
      <c r="F1360" s="1">
        <v>2846.0</v>
      </c>
      <c r="G1360" s="1">
        <v>29.0</v>
      </c>
    </row>
    <row r="1361">
      <c r="A1361" s="1" t="s">
        <v>8</v>
      </c>
      <c r="B1361" s="2">
        <v>44715.0</v>
      </c>
      <c r="C1361" s="3">
        <v>0.7028935185185186</v>
      </c>
      <c r="D1361" s="1">
        <v>12.905899</v>
      </c>
      <c r="E1361" s="1">
        <v>80.095714</v>
      </c>
      <c r="F1361" s="1">
        <v>2846.0</v>
      </c>
      <c r="G1361" s="1">
        <v>45.0</v>
      </c>
    </row>
    <row r="1362">
      <c r="A1362" s="1" t="s">
        <v>8</v>
      </c>
      <c r="B1362" s="2">
        <v>44715.0</v>
      </c>
      <c r="C1362" s="3">
        <v>0.7029398148148148</v>
      </c>
      <c r="D1362" s="1">
        <v>12.905899</v>
      </c>
      <c r="E1362" s="1">
        <v>80.095714</v>
      </c>
      <c r="F1362" s="1">
        <v>2846.0</v>
      </c>
      <c r="G1362" s="1">
        <v>45.0</v>
      </c>
    </row>
    <row r="1363">
      <c r="A1363" s="1" t="s">
        <v>8</v>
      </c>
      <c r="B1363" s="2">
        <v>44715.0</v>
      </c>
      <c r="C1363" s="3">
        <v>0.7034490740740741</v>
      </c>
      <c r="D1363" s="1">
        <v>12.859059</v>
      </c>
      <c r="E1363" s="1">
        <v>80.071626</v>
      </c>
      <c r="F1363" s="1">
        <v>805.0</v>
      </c>
      <c r="G1363" s="1">
        <v>44.0</v>
      </c>
    </row>
    <row r="1364">
      <c r="A1364" s="1" t="s">
        <v>7</v>
      </c>
      <c r="B1364" s="2">
        <v>44715.0</v>
      </c>
      <c r="C1364" s="3">
        <v>0.7040277777777778</v>
      </c>
      <c r="D1364" s="1">
        <v>12.852058</v>
      </c>
      <c r="E1364" s="1">
        <v>80.066377</v>
      </c>
      <c r="F1364" s="1">
        <v>805.0</v>
      </c>
      <c r="G1364" s="1">
        <v>59.0</v>
      </c>
    </row>
    <row r="1365">
      <c r="A1365" s="1" t="s">
        <v>8</v>
      </c>
      <c r="B1365" s="2">
        <v>44715.0</v>
      </c>
      <c r="C1365" s="3">
        <v>0.7054398148148148</v>
      </c>
      <c r="D1365" s="1">
        <v>12.845208</v>
      </c>
      <c r="E1365" s="1">
        <v>80.061174</v>
      </c>
      <c r="F1365" s="1">
        <v>805.0</v>
      </c>
      <c r="G1365" s="1">
        <v>34.0</v>
      </c>
    </row>
    <row r="1366">
      <c r="A1366" s="1" t="s">
        <v>7</v>
      </c>
      <c r="B1366" s="2">
        <v>44715.0</v>
      </c>
      <c r="C1366" s="3">
        <v>0.7055902777777778</v>
      </c>
      <c r="D1366" s="1">
        <v>12.915838</v>
      </c>
      <c r="E1366" s="1">
        <v>80.104455</v>
      </c>
      <c r="F1366" s="1">
        <v>2846.0</v>
      </c>
      <c r="G1366" s="1">
        <v>60.0</v>
      </c>
    </row>
    <row r="1367">
      <c r="A1367" s="1" t="s">
        <v>8</v>
      </c>
      <c r="B1367" s="2">
        <v>44715.0</v>
      </c>
      <c r="C1367" s="3">
        <v>0.7058449074074075</v>
      </c>
      <c r="D1367" s="1">
        <v>12.91693</v>
      </c>
      <c r="E1367" s="1">
        <v>80.106862</v>
      </c>
      <c r="F1367" s="1">
        <v>2846.0</v>
      </c>
      <c r="G1367" s="1">
        <v>47.0</v>
      </c>
    </row>
    <row r="1368">
      <c r="A1368" s="1" t="s">
        <v>8</v>
      </c>
      <c r="B1368" s="2">
        <v>44715.0</v>
      </c>
      <c r="C1368" s="3">
        <v>0.7062152777777778</v>
      </c>
      <c r="D1368" s="1">
        <v>12.918752</v>
      </c>
      <c r="E1368" s="1">
        <v>80.10939</v>
      </c>
      <c r="F1368" s="1">
        <v>2846.0</v>
      </c>
      <c r="G1368" s="1">
        <v>43.0</v>
      </c>
    </row>
    <row r="1369">
      <c r="A1369" s="1" t="s">
        <v>8</v>
      </c>
      <c r="B1369" s="2">
        <v>44715.0</v>
      </c>
      <c r="C1369" s="3">
        <v>0.7062268518518519</v>
      </c>
      <c r="D1369" s="1">
        <v>12.919306</v>
      </c>
      <c r="E1369" s="1">
        <v>80.110083</v>
      </c>
      <c r="F1369" s="1">
        <v>2846.0</v>
      </c>
      <c r="G1369" s="1">
        <v>29.0</v>
      </c>
    </row>
    <row r="1370">
      <c r="A1370" s="1" t="s">
        <v>8</v>
      </c>
      <c r="B1370" s="2">
        <v>44715.0</v>
      </c>
      <c r="C1370" s="3">
        <v>0.70625</v>
      </c>
      <c r="D1370" s="1">
        <v>12.919306</v>
      </c>
      <c r="E1370" s="1">
        <v>80.110083</v>
      </c>
      <c r="F1370" s="1">
        <v>2846.0</v>
      </c>
      <c r="G1370" s="1">
        <v>29.0</v>
      </c>
    </row>
    <row r="1371">
      <c r="A1371" s="1" t="s">
        <v>7</v>
      </c>
      <c r="B1371" s="2">
        <v>44715.0</v>
      </c>
      <c r="C1371" s="3">
        <v>0.7062847222222223</v>
      </c>
      <c r="D1371" s="1">
        <v>12.843402</v>
      </c>
      <c r="E1371" s="1">
        <v>80.059338</v>
      </c>
      <c r="F1371" s="1">
        <v>805.0</v>
      </c>
      <c r="G1371" s="1">
        <v>32.0</v>
      </c>
    </row>
    <row r="1372">
      <c r="A1372" s="1" t="s">
        <v>8</v>
      </c>
      <c r="B1372" s="2">
        <v>44715.0</v>
      </c>
      <c r="C1372" s="3">
        <v>0.706412037037037</v>
      </c>
      <c r="D1372" s="1">
        <v>12.919784</v>
      </c>
      <c r="E1372" s="1">
        <v>80.110705</v>
      </c>
      <c r="F1372" s="1">
        <v>2846.0</v>
      </c>
      <c r="G1372" s="1">
        <v>36.0</v>
      </c>
    </row>
    <row r="1373">
      <c r="A1373" s="1" t="s">
        <v>7</v>
      </c>
      <c r="B1373" s="2">
        <v>44715.0</v>
      </c>
      <c r="C1373" s="3">
        <v>0.7064699074074074</v>
      </c>
      <c r="D1373" s="1">
        <v>12.84208</v>
      </c>
      <c r="E1373" s="1">
        <v>80.057905</v>
      </c>
      <c r="F1373" s="1">
        <v>805.0</v>
      </c>
      <c r="G1373" s="1">
        <v>61.0</v>
      </c>
    </row>
    <row r="1374">
      <c r="A1374" s="1" t="s">
        <v>8</v>
      </c>
      <c r="B1374" s="2">
        <v>44715.0</v>
      </c>
      <c r="C1374" s="3">
        <v>0.7070486111111111</v>
      </c>
      <c r="D1374" s="1">
        <v>12.840665</v>
      </c>
      <c r="E1374" s="1">
        <v>80.056475</v>
      </c>
      <c r="F1374" s="1">
        <v>805.0</v>
      </c>
      <c r="G1374" s="1">
        <v>0.0</v>
      </c>
    </row>
    <row r="1375">
      <c r="A1375" s="1" t="s">
        <v>8</v>
      </c>
      <c r="B1375" s="2">
        <v>44715.0</v>
      </c>
      <c r="C1375" s="3">
        <v>0.7071527777777777</v>
      </c>
      <c r="D1375" s="1">
        <v>12.839946</v>
      </c>
      <c r="E1375" s="1">
        <v>80.055661</v>
      </c>
      <c r="F1375" s="1">
        <v>805.0</v>
      </c>
      <c r="G1375" s="1">
        <v>46.0</v>
      </c>
    </row>
    <row r="1376">
      <c r="A1376" s="1" t="s">
        <v>7</v>
      </c>
      <c r="B1376" s="2">
        <v>44715.0</v>
      </c>
      <c r="C1376" s="3">
        <v>0.7071875</v>
      </c>
      <c r="D1376" s="1">
        <v>12.839946</v>
      </c>
      <c r="E1376" s="1">
        <v>80.055661</v>
      </c>
      <c r="F1376" s="1">
        <v>805.0</v>
      </c>
      <c r="G1376" s="1">
        <v>46.0</v>
      </c>
    </row>
    <row r="1377">
      <c r="A1377" s="1" t="s">
        <v>8</v>
      </c>
      <c r="B1377" s="2">
        <v>44715.0</v>
      </c>
      <c r="C1377" s="3">
        <v>0.7072800925925926</v>
      </c>
      <c r="D1377" s="1">
        <v>12.924245</v>
      </c>
      <c r="E1377" s="1">
        <v>80.115315</v>
      </c>
      <c r="F1377" s="1">
        <v>2846.0</v>
      </c>
      <c r="G1377" s="1">
        <v>49.0</v>
      </c>
    </row>
    <row r="1378">
      <c r="A1378" s="1" t="s">
        <v>8</v>
      </c>
      <c r="B1378" s="2">
        <v>44715.0</v>
      </c>
      <c r="C1378" s="3">
        <v>0.7073958333333333</v>
      </c>
      <c r="D1378" s="1">
        <v>12.925155</v>
      </c>
      <c r="E1378" s="1">
        <v>80.11623</v>
      </c>
      <c r="F1378" s="1">
        <v>2846.0</v>
      </c>
      <c r="G1378" s="1">
        <v>52.0</v>
      </c>
    </row>
    <row r="1379">
      <c r="A1379" s="1" t="s">
        <v>8</v>
      </c>
      <c r="B1379" s="2">
        <v>44715.0</v>
      </c>
      <c r="C1379" s="3">
        <v>0.7073958333333333</v>
      </c>
      <c r="D1379" s="1">
        <v>12.925155</v>
      </c>
      <c r="E1379" s="1">
        <v>80.11623</v>
      </c>
      <c r="F1379" s="1">
        <v>2846.0</v>
      </c>
      <c r="G1379" s="1">
        <v>52.0</v>
      </c>
    </row>
    <row r="1380">
      <c r="A1380" s="1" t="s">
        <v>7</v>
      </c>
      <c r="B1380" s="2">
        <v>44715.0</v>
      </c>
      <c r="C1380" s="3">
        <v>0.7074074074074074</v>
      </c>
      <c r="D1380" s="1">
        <v>12.83845</v>
      </c>
      <c r="E1380" s="1">
        <v>80.054024</v>
      </c>
      <c r="F1380" s="1">
        <v>805.0</v>
      </c>
      <c r="G1380" s="1">
        <v>61.0</v>
      </c>
    </row>
    <row r="1381">
      <c r="A1381" s="1" t="s">
        <v>8</v>
      </c>
      <c r="B1381" s="2">
        <v>44715.0</v>
      </c>
      <c r="C1381" s="3">
        <v>0.7074189814814815</v>
      </c>
      <c r="D1381" s="1">
        <v>12.925155</v>
      </c>
      <c r="E1381" s="1">
        <v>80.11623</v>
      </c>
      <c r="F1381" s="1">
        <v>2846.0</v>
      </c>
      <c r="G1381" s="1">
        <v>52.0</v>
      </c>
    </row>
    <row r="1382">
      <c r="A1382" s="1" t="s">
        <v>7</v>
      </c>
      <c r="B1382" s="2">
        <v>44715.0</v>
      </c>
      <c r="C1382" s="3">
        <v>0.7075115740740741</v>
      </c>
      <c r="D1382" s="1">
        <v>12.83691</v>
      </c>
      <c r="E1382" s="1">
        <v>80.052436</v>
      </c>
      <c r="F1382" s="1">
        <v>805.0</v>
      </c>
      <c r="G1382" s="1">
        <v>58.0</v>
      </c>
    </row>
    <row r="1383">
      <c r="A1383" s="1" t="s">
        <v>7</v>
      </c>
      <c r="B1383" s="2">
        <v>44715.0</v>
      </c>
      <c r="C1383" s="3">
        <v>0.7085416666666666</v>
      </c>
      <c r="D1383" s="1">
        <v>12.830499</v>
      </c>
      <c r="E1383" s="1">
        <v>80.045706</v>
      </c>
      <c r="F1383" s="1">
        <v>805.0</v>
      </c>
      <c r="G1383" s="1">
        <v>58.0</v>
      </c>
    </row>
    <row r="1384">
      <c r="A1384" s="1" t="s">
        <v>7</v>
      </c>
      <c r="B1384" s="2">
        <v>44715.0</v>
      </c>
      <c r="C1384" s="3">
        <v>0.7088888888888889</v>
      </c>
      <c r="D1384" s="1">
        <v>12.827412</v>
      </c>
      <c r="E1384" s="1">
        <v>80.04243</v>
      </c>
      <c r="F1384" s="1">
        <v>805.0</v>
      </c>
      <c r="G1384" s="1">
        <v>52.0</v>
      </c>
    </row>
    <row r="1385">
      <c r="A1385" s="1" t="s">
        <v>7</v>
      </c>
      <c r="B1385" s="2">
        <v>44715.0</v>
      </c>
      <c r="C1385" s="3">
        <v>0.7090625</v>
      </c>
      <c r="D1385" s="1">
        <v>12.824307</v>
      </c>
      <c r="E1385" s="1">
        <v>80.039886</v>
      </c>
      <c r="F1385" s="1">
        <v>805.0</v>
      </c>
      <c r="G1385" s="1">
        <v>49.0</v>
      </c>
    </row>
    <row r="1386">
      <c r="A1386" s="1" t="s">
        <v>8</v>
      </c>
      <c r="B1386" s="2">
        <v>44715.0</v>
      </c>
      <c r="C1386" s="3">
        <v>0.7096180555555556</v>
      </c>
      <c r="D1386" s="1">
        <v>12.821444</v>
      </c>
      <c r="E1386" s="1">
        <v>80.037815</v>
      </c>
      <c r="F1386" s="1">
        <v>805.0</v>
      </c>
      <c r="G1386" s="1">
        <v>0.0</v>
      </c>
    </row>
    <row r="1387">
      <c r="A1387" s="1" t="s">
        <v>8</v>
      </c>
      <c r="B1387" s="2">
        <v>44715.0</v>
      </c>
      <c r="C1387" s="3">
        <v>0.7099189814814815</v>
      </c>
      <c r="D1387" s="1">
        <v>12.818493</v>
      </c>
      <c r="E1387" s="1">
        <v>80.035768</v>
      </c>
      <c r="F1387" s="1">
        <v>805.0</v>
      </c>
      <c r="G1387" s="1">
        <v>32.0</v>
      </c>
    </row>
    <row r="1388">
      <c r="A1388" s="1" t="s">
        <v>8</v>
      </c>
      <c r="B1388" s="2">
        <v>44715.0</v>
      </c>
      <c r="C1388" s="3">
        <v>0.7100115740740741</v>
      </c>
      <c r="D1388" s="1">
        <v>12.92994</v>
      </c>
      <c r="E1388" s="1">
        <v>80.12102</v>
      </c>
      <c r="F1388" s="1">
        <v>2846.0</v>
      </c>
      <c r="G1388" s="1">
        <v>18.0</v>
      </c>
    </row>
    <row r="1389">
      <c r="A1389" s="1" t="s">
        <v>8</v>
      </c>
      <c r="B1389" s="2">
        <v>44715.0</v>
      </c>
      <c r="C1389" s="3">
        <v>0.7103472222222222</v>
      </c>
      <c r="D1389" s="1">
        <v>12.816042</v>
      </c>
      <c r="E1389" s="1">
        <v>80.034022</v>
      </c>
      <c r="F1389" s="1">
        <v>805.0</v>
      </c>
      <c r="G1389" s="1">
        <v>29.0</v>
      </c>
    </row>
    <row r="1390">
      <c r="A1390" s="1" t="s">
        <v>8</v>
      </c>
      <c r="B1390" s="2">
        <v>44715.0</v>
      </c>
      <c r="C1390" s="3">
        <v>0.7109606481481482</v>
      </c>
      <c r="D1390" s="1">
        <v>12.931463</v>
      </c>
      <c r="E1390" s="1">
        <v>80.122583</v>
      </c>
      <c r="F1390" s="1">
        <v>2846.0</v>
      </c>
      <c r="G1390" s="1">
        <v>10.0</v>
      </c>
    </row>
    <row r="1391">
      <c r="A1391" s="1" t="s">
        <v>8</v>
      </c>
      <c r="B1391" s="2">
        <v>44715.0</v>
      </c>
      <c r="C1391" s="3">
        <v>0.7109722222222222</v>
      </c>
      <c r="D1391" s="1">
        <v>12.931807</v>
      </c>
      <c r="E1391" s="1">
        <v>80.122914</v>
      </c>
      <c r="F1391" s="1">
        <v>2846.0</v>
      </c>
      <c r="G1391" s="1">
        <v>26.0</v>
      </c>
    </row>
    <row r="1392">
      <c r="A1392" s="1" t="s">
        <v>8</v>
      </c>
      <c r="B1392" s="2">
        <v>44715.0</v>
      </c>
      <c r="C1392" s="3">
        <v>0.7111226851851852</v>
      </c>
      <c r="D1392" s="1">
        <v>12.932365</v>
      </c>
      <c r="E1392" s="1">
        <v>80.123471</v>
      </c>
      <c r="F1392" s="1">
        <v>2846.0</v>
      </c>
      <c r="G1392" s="1">
        <v>33.0</v>
      </c>
    </row>
    <row r="1393">
      <c r="A1393" s="1" t="s">
        <v>7</v>
      </c>
      <c r="B1393" s="2">
        <v>44715.0</v>
      </c>
      <c r="C1393" s="3">
        <v>0.7111458333333334</v>
      </c>
      <c r="D1393" s="1">
        <v>12.807758</v>
      </c>
      <c r="E1393" s="1">
        <v>80.02853</v>
      </c>
      <c r="F1393" s="1">
        <v>805.0</v>
      </c>
      <c r="G1393" s="1">
        <v>48.0</v>
      </c>
    </row>
    <row r="1394">
      <c r="A1394" s="1" t="s">
        <v>8</v>
      </c>
      <c r="B1394" s="2">
        <v>44715.0</v>
      </c>
      <c r="C1394" s="3">
        <v>0.7116203703703704</v>
      </c>
      <c r="D1394" s="1">
        <v>12.804093</v>
      </c>
      <c r="E1394" s="1">
        <v>80.026152</v>
      </c>
      <c r="F1394" s="1">
        <v>805.0</v>
      </c>
      <c r="G1394" s="1">
        <v>57.0</v>
      </c>
    </row>
    <row r="1395">
      <c r="A1395" s="1" t="s">
        <v>8</v>
      </c>
      <c r="B1395" s="2">
        <v>44715.0</v>
      </c>
      <c r="C1395" s="3">
        <v>0.7122222222222222</v>
      </c>
      <c r="D1395" s="1">
        <v>12.936744</v>
      </c>
      <c r="E1395" s="1">
        <v>80.127506</v>
      </c>
      <c r="F1395" s="1">
        <v>2846.0</v>
      </c>
      <c r="G1395" s="1">
        <v>29.0</v>
      </c>
    </row>
    <row r="1396">
      <c r="A1396" s="1" t="s">
        <v>8</v>
      </c>
      <c r="B1396" s="2">
        <v>44715.0</v>
      </c>
      <c r="C1396" s="3">
        <v>0.7122569444444444</v>
      </c>
      <c r="D1396" s="1">
        <v>12.799767</v>
      </c>
      <c r="E1396" s="1">
        <v>80.023316</v>
      </c>
      <c r="F1396" s="1">
        <v>805.0</v>
      </c>
      <c r="G1396" s="1">
        <v>19.0</v>
      </c>
    </row>
    <row r="1397">
      <c r="A1397" s="1" t="s">
        <v>8</v>
      </c>
      <c r="B1397" s="2">
        <v>44715.0</v>
      </c>
      <c r="C1397" s="3">
        <v>0.7125231481481481</v>
      </c>
      <c r="D1397" s="1">
        <v>12.798596</v>
      </c>
      <c r="E1397" s="1">
        <v>80.022549</v>
      </c>
      <c r="F1397" s="1">
        <v>805.0</v>
      </c>
      <c r="G1397" s="1">
        <v>51.0</v>
      </c>
    </row>
    <row r="1398">
      <c r="A1398" s="1" t="s">
        <v>8</v>
      </c>
      <c r="B1398" s="2">
        <v>44715.0</v>
      </c>
      <c r="C1398" s="3">
        <v>0.7126273148148148</v>
      </c>
      <c r="D1398" s="1">
        <v>12.940249</v>
      </c>
      <c r="E1398" s="1">
        <v>80.130664</v>
      </c>
      <c r="F1398" s="1">
        <v>2846.0</v>
      </c>
      <c r="G1398" s="1">
        <v>55.0</v>
      </c>
    </row>
    <row r="1399">
      <c r="A1399" s="1" t="s">
        <v>7</v>
      </c>
      <c r="B1399" s="2">
        <v>44715.0</v>
      </c>
      <c r="C1399" s="3">
        <v>0.7126736111111112</v>
      </c>
      <c r="D1399" s="1">
        <v>12.796811</v>
      </c>
      <c r="E1399" s="1">
        <v>80.021366</v>
      </c>
      <c r="F1399" s="1">
        <v>805.0</v>
      </c>
      <c r="G1399" s="1">
        <v>59.0</v>
      </c>
    </row>
    <row r="1400">
      <c r="A1400" s="1" t="s">
        <v>8</v>
      </c>
      <c r="B1400" s="2">
        <v>44715.0</v>
      </c>
      <c r="C1400" s="3">
        <v>0.7128935185185186</v>
      </c>
      <c r="D1400" s="1">
        <v>12.794844</v>
      </c>
      <c r="E1400" s="1">
        <v>80.020118</v>
      </c>
      <c r="F1400" s="1">
        <v>805.0</v>
      </c>
      <c r="G1400" s="1">
        <v>56.0</v>
      </c>
    </row>
    <row r="1401">
      <c r="A1401" s="1" t="s">
        <v>8</v>
      </c>
      <c r="B1401" s="2">
        <v>44715.0</v>
      </c>
      <c r="C1401" s="3">
        <v>0.7130439814814815</v>
      </c>
      <c r="D1401" s="1">
        <v>12.793067</v>
      </c>
      <c r="E1401" s="1">
        <v>80.018909</v>
      </c>
      <c r="F1401" s="1">
        <v>805.0</v>
      </c>
      <c r="G1401" s="1">
        <v>55.0</v>
      </c>
    </row>
    <row r="1402">
      <c r="A1402" s="1" t="s">
        <v>8</v>
      </c>
      <c r="B1402" s="2">
        <v>44715.0</v>
      </c>
      <c r="C1402" s="3">
        <v>0.7134490740740741</v>
      </c>
      <c r="D1402" s="1">
        <v>12.942988</v>
      </c>
      <c r="E1402" s="1">
        <v>80.133496</v>
      </c>
      <c r="F1402" s="1">
        <v>2846.0</v>
      </c>
      <c r="G1402" s="1">
        <v>38.0</v>
      </c>
    </row>
    <row r="1403">
      <c r="A1403" s="1" t="s">
        <v>8</v>
      </c>
      <c r="B1403" s="2">
        <v>44715.0</v>
      </c>
      <c r="C1403" s="3">
        <v>0.713587962962963</v>
      </c>
      <c r="D1403" s="1">
        <v>12.788344</v>
      </c>
      <c r="E1403" s="1">
        <v>80.016008</v>
      </c>
      <c r="F1403" s="1">
        <v>805.0</v>
      </c>
      <c r="G1403" s="1">
        <v>52.0</v>
      </c>
    </row>
    <row r="1404">
      <c r="A1404" s="1" t="s">
        <v>8</v>
      </c>
      <c r="B1404" s="2">
        <v>44715.0</v>
      </c>
      <c r="C1404" s="3">
        <v>0.7136342592592593</v>
      </c>
      <c r="D1404" s="1">
        <v>12.944852</v>
      </c>
      <c r="E1404" s="1">
        <v>80.13516</v>
      </c>
      <c r="F1404" s="1">
        <v>2846.0</v>
      </c>
      <c r="G1404" s="1">
        <v>54.0</v>
      </c>
    </row>
    <row r="1405">
      <c r="A1405" s="1" t="s">
        <v>7</v>
      </c>
      <c r="B1405" s="2">
        <v>44715.0</v>
      </c>
      <c r="C1405" s="3">
        <v>0.7136805555555555</v>
      </c>
      <c r="D1405" s="1">
        <v>12.786747</v>
      </c>
      <c r="E1405" s="1">
        <v>80.01509</v>
      </c>
      <c r="F1405" s="1">
        <v>805.0</v>
      </c>
      <c r="G1405" s="1">
        <v>28.0</v>
      </c>
    </row>
    <row r="1406">
      <c r="A1406" s="1" t="s">
        <v>8</v>
      </c>
      <c r="B1406" s="2">
        <v>44715.0</v>
      </c>
      <c r="C1406" s="3">
        <v>0.7138888888888889</v>
      </c>
      <c r="D1406" s="1">
        <v>12.947135</v>
      </c>
      <c r="E1406" s="1">
        <v>80.136906</v>
      </c>
      <c r="F1406" s="1">
        <v>2846.0</v>
      </c>
      <c r="G1406" s="1">
        <v>55.0</v>
      </c>
    </row>
    <row r="1407">
      <c r="A1407" s="1" t="s">
        <v>8</v>
      </c>
      <c r="B1407" s="2">
        <v>44715.0</v>
      </c>
      <c r="C1407" s="3">
        <v>0.7139814814814814</v>
      </c>
      <c r="D1407" s="1">
        <v>12.785553</v>
      </c>
      <c r="E1407" s="1">
        <v>80.014404</v>
      </c>
      <c r="F1407" s="1">
        <v>805.0</v>
      </c>
      <c r="G1407" s="1">
        <v>51.0</v>
      </c>
    </row>
    <row r="1408">
      <c r="A1408" s="1" t="s">
        <v>7</v>
      </c>
      <c r="B1408" s="2">
        <v>44715.0</v>
      </c>
      <c r="C1408" s="3">
        <v>0.7141203703703703</v>
      </c>
      <c r="D1408" s="1">
        <v>12.948215</v>
      </c>
      <c r="E1408" s="1">
        <v>80.137686</v>
      </c>
      <c r="F1408" s="1">
        <v>2846.0</v>
      </c>
      <c r="G1408" s="1">
        <v>52.0</v>
      </c>
    </row>
    <row r="1409">
      <c r="A1409" s="1" t="s">
        <v>8</v>
      </c>
      <c r="B1409" s="2">
        <v>44715.0</v>
      </c>
      <c r="C1409" s="3">
        <v>0.7147106481481481</v>
      </c>
      <c r="D1409" s="1">
        <v>12.777572</v>
      </c>
      <c r="E1409" s="1">
        <v>80.010708</v>
      </c>
      <c r="F1409" s="1">
        <v>805.0</v>
      </c>
      <c r="G1409" s="1">
        <v>57.0</v>
      </c>
    </row>
    <row r="1410">
      <c r="A1410" s="1" t="s">
        <v>8</v>
      </c>
      <c r="B1410" s="2">
        <v>44715.0</v>
      </c>
      <c r="C1410" s="3">
        <v>0.7150578703703704</v>
      </c>
      <c r="D1410" s="1">
        <v>12.773439</v>
      </c>
      <c r="E1410" s="1">
        <v>80.008867</v>
      </c>
      <c r="F1410" s="1">
        <v>805.0</v>
      </c>
      <c r="G1410" s="1">
        <v>54.0</v>
      </c>
    </row>
    <row r="1411">
      <c r="A1411" s="1" t="s">
        <v>7</v>
      </c>
      <c r="B1411" s="2">
        <v>44715.0</v>
      </c>
      <c r="C1411" s="3">
        <v>0.7152546296296296</v>
      </c>
      <c r="D1411" s="1">
        <v>12.770343</v>
      </c>
      <c r="E1411" s="1">
        <v>80.007433</v>
      </c>
      <c r="F1411" s="1">
        <v>805.0</v>
      </c>
      <c r="G1411" s="1">
        <v>40.0</v>
      </c>
    </row>
    <row r="1412">
      <c r="A1412" s="1" t="s">
        <v>7</v>
      </c>
      <c r="B1412" s="2">
        <v>44715.0</v>
      </c>
      <c r="C1412" s="3">
        <v>0.7153240740740741</v>
      </c>
      <c r="D1412" s="1">
        <v>12.770343</v>
      </c>
      <c r="E1412" s="1">
        <v>80.007433</v>
      </c>
      <c r="F1412" s="1">
        <v>805.0</v>
      </c>
      <c r="G1412" s="1">
        <v>40.0</v>
      </c>
    </row>
    <row r="1413">
      <c r="A1413" s="1" t="s">
        <v>8</v>
      </c>
      <c r="B1413" s="2">
        <v>44715.0</v>
      </c>
      <c r="C1413" s="3">
        <v>0.7153240740740741</v>
      </c>
      <c r="D1413" s="1">
        <v>12.955956</v>
      </c>
      <c r="E1413" s="1">
        <v>80.14297</v>
      </c>
      <c r="F1413" s="1">
        <v>2846.0</v>
      </c>
      <c r="G1413" s="1">
        <v>14.0</v>
      </c>
    </row>
    <row r="1414">
      <c r="A1414" s="1" t="s">
        <v>8</v>
      </c>
      <c r="B1414" s="2">
        <v>44715.0</v>
      </c>
      <c r="C1414" s="3">
        <v>0.7153356481481481</v>
      </c>
      <c r="D1414" s="1">
        <v>12.955956</v>
      </c>
      <c r="E1414" s="1">
        <v>80.14297</v>
      </c>
      <c r="F1414" s="1">
        <v>2846.0</v>
      </c>
      <c r="G1414" s="1">
        <v>14.0</v>
      </c>
    </row>
    <row r="1415">
      <c r="A1415" s="1" t="s">
        <v>8</v>
      </c>
      <c r="B1415" s="2">
        <v>44715.0</v>
      </c>
      <c r="C1415" s="3">
        <v>0.7153472222222222</v>
      </c>
      <c r="D1415" s="1">
        <v>12.955956</v>
      </c>
      <c r="E1415" s="1">
        <v>80.14297</v>
      </c>
      <c r="F1415" s="1">
        <v>2846.0</v>
      </c>
      <c r="G1415" s="1">
        <v>14.0</v>
      </c>
    </row>
    <row r="1416">
      <c r="A1416" s="1" t="s">
        <v>8</v>
      </c>
      <c r="B1416" s="2">
        <v>44715.0</v>
      </c>
      <c r="C1416" s="3">
        <v>0.7155092592592592</v>
      </c>
      <c r="D1416" s="1">
        <v>12.957118</v>
      </c>
      <c r="E1416" s="1">
        <v>80.143588</v>
      </c>
      <c r="F1416" s="1">
        <v>2846.0</v>
      </c>
      <c r="G1416" s="1">
        <v>31.0</v>
      </c>
    </row>
    <row r="1417">
      <c r="A1417" s="1" t="s">
        <v>8</v>
      </c>
      <c r="B1417" s="2">
        <v>44715.0</v>
      </c>
      <c r="C1417" s="3">
        <v>0.7155092592592592</v>
      </c>
      <c r="D1417" s="1">
        <v>12.957118</v>
      </c>
      <c r="E1417" s="1">
        <v>80.143588</v>
      </c>
      <c r="F1417" s="1">
        <v>2846.0</v>
      </c>
      <c r="G1417" s="1">
        <v>31.0</v>
      </c>
    </row>
    <row r="1418">
      <c r="A1418" s="1" t="s">
        <v>7</v>
      </c>
      <c r="B1418" s="2">
        <v>44715.0</v>
      </c>
      <c r="C1418" s="3">
        <v>0.716412037037037</v>
      </c>
      <c r="D1418" s="1">
        <v>12.761233</v>
      </c>
      <c r="E1418" s="1">
        <v>80.003628</v>
      </c>
      <c r="F1418" s="1">
        <v>805.0</v>
      </c>
      <c r="G1418" s="1">
        <v>33.0</v>
      </c>
    </row>
    <row r="1419">
      <c r="A1419" s="1" t="s">
        <v>7</v>
      </c>
      <c r="B1419" s="2">
        <v>44715.0</v>
      </c>
      <c r="C1419" s="3">
        <v>0.7165393518518518</v>
      </c>
      <c r="D1419" s="1">
        <v>12.760414</v>
      </c>
      <c r="E1419" s="1">
        <v>80.003479</v>
      </c>
      <c r="F1419" s="1">
        <v>805.0</v>
      </c>
      <c r="G1419" s="1">
        <v>0.0</v>
      </c>
    </row>
    <row r="1420">
      <c r="A1420" s="1" t="s">
        <v>7</v>
      </c>
      <c r="B1420" s="2">
        <v>44715.0</v>
      </c>
      <c r="C1420" s="3">
        <v>0.7165856481481482</v>
      </c>
      <c r="D1420" s="1">
        <v>12.760414</v>
      </c>
      <c r="E1420" s="1">
        <v>80.003479</v>
      </c>
      <c r="F1420" s="1">
        <v>805.0</v>
      </c>
      <c r="G1420" s="1">
        <v>0.0</v>
      </c>
    </row>
    <row r="1421">
      <c r="A1421" s="1" t="s">
        <v>7</v>
      </c>
      <c r="B1421" s="2">
        <v>44715.0</v>
      </c>
      <c r="C1421" s="3">
        <v>0.7166782407407407</v>
      </c>
      <c r="D1421" s="1">
        <v>12.760414</v>
      </c>
      <c r="E1421" s="1">
        <v>80.003479</v>
      </c>
      <c r="F1421" s="1">
        <v>805.0</v>
      </c>
      <c r="G1421" s="1">
        <v>0.0</v>
      </c>
    </row>
    <row r="1422">
      <c r="A1422" s="1" t="s">
        <v>8</v>
      </c>
      <c r="B1422" s="2">
        <v>44715.0</v>
      </c>
      <c r="C1422" s="3">
        <v>0.7167824074074074</v>
      </c>
      <c r="D1422" s="1">
        <v>12.759996</v>
      </c>
      <c r="E1422" s="1">
        <v>80.003349</v>
      </c>
      <c r="F1422" s="1">
        <v>805.0</v>
      </c>
      <c r="G1422" s="1">
        <v>32.0</v>
      </c>
    </row>
    <row r="1423">
      <c r="A1423" s="1" t="s">
        <v>8</v>
      </c>
      <c r="B1423" s="2">
        <v>44715.0</v>
      </c>
      <c r="C1423" s="3">
        <v>0.7175347222222223</v>
      </c>
      <c r="D1423" s="1">
        <v>12.961166</v>
      </c>
      <c r="E1423" s="1">
        <v>80.145725</v>
      </c>
      <c r="F1423" s="1">
        <v>2846.0</v>
      </c>
      <c r="G1423" s="1">
        <v>19.0</v>
      </c>
    </row>
    <row r="1424">
      <c r="A1424" s="1" t="s">
        <v>7</v>
      </c>
      <c r="B1424" s="2">
        <v>44715.0</v>
      </c>
      <c r="C1424" s="3">
        <v>0.7175925925925926</v>
      </c>
      <c r="D1424" s="1">
        <v>12.750287</v>
      </c>
      <c r="E1424" s="1">
        <v>79.998213</v>
      </c>
      <c r="F1424" s="1">
        <v>805.0</v>
      </c>
      <c r="G1424" s="1">
        <v>58.0</v>
      </c>
    </row>
    <row r="1425">
      <c r="A1425" s="1" t="s">
        <v>8</v>
      </c>
      <c r="B1425" s="2">
        <v>44715.0</v>
      </c>
      <c r="C1425" s="3">
        <v>0.7177662037037037</v>
      </c>
      <c r="D1425" s="1">
        <v>12.962433</v>
      </c>
      <c r="E1425" s="1">
        <v>80.146422</v>
      </c>
      <c r="F1425" s="1">
        <v>2846.0</v>
      </c>
      <c r="G1425" s="1">
        <v>30.0</v>
      </c>
    </row>
    <row r="1426">
      <c r="A1426" s="1" t="s">
        <v>8</v>
      </c>
      <c r="B1426" s="2">
        <v>44715.0</v>
      </c>
      <c r="C1426" s="3">
        <v>0.7179398148148148</v>
      </c>
      <c r="D1426" s="1">
        <v>12.963183</v>
      </c>
      <c r="E1426" s="1">
        <v>80.146832</v>
      </c>
      <c r="F1426" s="1">
        <v>2846.0</v>
      </c>
      <c r="G1426" s="1">
        <v>39.0</v>
      </c>
    </row>
    <row r="1427">
      <c r="A1427" s="1" t="s">
        <v>8</v>
      </c>
      <c r="B1427" s="2">
        <v>44715.0</v>
      </c>
      <c r="C1427" s="3">
        <v>0.7182060185185185</v>
      </c>
      <c r="D1427" s="1">
        <v>12.745013</v>
      </c>
      <c r="E1427" s="1">
        <v>79.993989</v>
      </c>
      <c r="F1427" s="1">
        <v>805.0</v>
      </c>
      <c r="G1427" s="1">
        <v>57.0</v>
      </c>
    </row>
    <row r="1428">
      <c r="A1428" s="1" t="s">
        <v>8</v>
      </c>
      <c r="B1428" s="2">
        <v>44715.0</v>
      </c>
      <c r="C1428" s="3">
        <v>0.7183333333333334</v>
      </c>
      <c r="D1428" s="1">
        <v>12.966332</v>
      </c>
      <c r="E1428" s="1">
        <v>80.148471</v>
      </c>
      <c r="F1428" s="1">
        <v>2846.0</v>
      </c>
      <c r="G1428" s="1">
        <v>38.0</v>
      </c>
    </row>
    <row r="1429">
      <c r="A1429" s="1" t="s">
        <v>8</v>
      </c>
      <c r="B1429" s="2">
        <v>44715.0</v>
      </c>
      <c r="C1429" s="3">
        <v>0.719375</v>
      </c>
      <c r="D1429" s="1">
        <v>12.736401</v>
      </c>
      <c r="E1429" s="1">
        <v>79.987274</v>
      </c>
      <c r="F1429" s="1">
        <v>805.0</v>
      </c>
      <c r="G1429" s="1">
        <v>52.0</v>
      </c>
    </row>
    <row r="1430">
      <c r="A1430" s="1" t="s">
        <v>7</v>
      </c>
      <c r="B1430" s="2">
        <v>44715.0</v>
      </c>
      <c r="C1430" s="3">
        <v>0.7194675925925926</v>
      </c>
      <c r="D1430" s="1">
        <v>12.734732</v>
      </c>
      <c r="E1430" s="1">
        <v>79.98568</v>
      </c>
      <c r="F1430" s="1">
        <v>805.0</v>
      </c>
      <c r="G1430" s="1">
        <v>51.0</v>
      </c>
    </row>
    <row r="1431">
      <c r="A1431" s="1" t="s">
        <v>7</v>
      </c>
      <c r="B1431" s="2">
        <v>44715.0</v>
      </c>
      <c r="C1431" s="3">
        <v>0.7196759259259259</v>
      </c>
      <c r="D1431" s="1">
        <v>12.733598</v>
      </c>
      <c r="E1431" s="1">
        <v>79.984161</v>
      </c>
      <c r="F1431" s="1">
        <v>805.0</v>
      </c>
      <c r="G1431" s="1">
        <v>45.0</v>
      </c>
    </row>
    <row r="1432">
      <c r="A1432" s="1" t="s">
        <v>8</v>
      </c>
      <c r="B1432" s="2">
        <v>44715.0</v>
      </c>
      <c r="C1432" s="3">
        <v>0.7198263888888888</v>
      </c>
      <c r="D1432" s="1">
        <v>12.731992</v>
      </c>
      <c r="E1432" s="1">
        <v>79.983161</v>
      </c>
      <c r="F1432" s="1">
        <v>805.0</v>
      </c>
      <c r="G1432" s="1">
        <v>49.0</v>
      </c>
    </row>
    <row r="1433">
      <c r="A1433" s="1" t="s">
        <v>8</v>
      </c>
      <c r="B1433" s="2">
        <v>44715.0</v>
      </c>
      <c r="C1433" s="3">
        <v>0.7203009259259259</v>
      </c>
      <c r="D1433" s="1">
        <v>12.976769</v>
      </c>
      <c r="E1433" s="1">
        <v>80.157993</v>
      </c>
      <c r="F1433" s="1">
        <v>2846.0</v>
      </c>
      <c r="G1433" s="1">
        <v>36.0</v>
      </c>
    </row>
    <row r="1434">
      <c r="A1434" s="1" t="s">
        <v>7</v>
      </c>
      <c r="B1434" s="2">
        <v>44715.0</v>
      </c>
      <c r="C1434" s="3">
        <v>0.7206018518518519</v>
      </c>
      <c r="D1434" s="1">
        <v>12.978086</v>
      </c>
      <c r="E1434" s="1">
        <v>80.159999</v>
      </c>
      <c r="F1434" s="1">
        <v>2846.0</v>
      </c>
      <c r="G1434" s="1">
        <v>56.0</v>
      </c>
    </row>
    <row r="1435">
      <c r="A1435" s="1" t="s">
        <v>7</v>
      </c>
      <c r="B1435" s="2">
        <v>44715.0</v>
      </c>
      <c r="C1435" s="3">
        <v>0.7207986111111111</v>
      </c>
      <c r="D1435" s="1">
        <v>12.979698</v>
      </c>
      <c r="E1435" s="1">
        <v>80.162294</v>
      </c>
      <c r="F1435" s="1">
        <v>2846.0</v>
      </c>
      <c r="G1435" s="1">
        <v>49.0</v>
      </c>
    </row>
    <row r="1436">
      <c r="A1436" s="1" t="s">
        <v>7</v>
      </c>
      <c r="B1436" s="2">
        <v>44715.0</v>
      </c>
      <c r="C1436" s="3">
        <v>0.7211805555555556</v>
      </c>
      <c r="D1436" s="1">
        <v>12.981915</v>
      </c>
      <c r="E1436" s="1">
        <v>80.167362</v>
      </c>
      <c r="F1436" s="1">
        <v>2846.0</v>
      </c>
      <c r="G1436" s="1">
        <v>57.0</v>
      </c>
    </row>
    <row r="1437">
      <c r="A1437" s="1" t="s">
        <v>8</v>
      </c>
      <c r="B1437" s="2">
        <v>44715.0</v>
      </c>
      <c r="C1437" s="3">
        <v>0.7212731481481481</v>
      </c>
      <c r="D1437" s="1">
        <v>12.982667</v>
      </c>
      <c r="E1437" s="1">
        <v>80.168575</v>
      </c>
      <c r="F1437" s="1">
        <v>2846.0</v>
      </c>
      <c r="G1437" s="1">
        <v>56.0</v>
      </c>
    </row>
    <row r="1438">
      <c r="A1438" s="1" t="s">
        <v>7</v>
      </c>
      <c r="B1438" s="2">
        <v>44715.0</v>
      </c>
      <c r="C1438" s="3">
        <v>0.7215162037037037</v>
      </c>
      <c r="D1438" s="1">
        <v>12.984204</v>
      </c>
      <c r="E1438" s="1">
        <v>80.171221</v>
      </c>
      <c r="F1438" s="1">
        <v>2846.0</v>
      </c>
      <c r="G1438" s="1">
        <v>60.0</v>
      </c>
    </row>
    <row r="1439">
      <c r="A1439" s="1" t="s">
        <v>8</v>
      </c>
      <c r="B1439" s="2">
        <v>44715.0</v>
      </c>
      <c r="C1439" s="3">
        <v>0.7215277777777778</v>
      </c>
      <c r="D1439" s="1">
        <v>12.984204</v>
      </c>
      <c r="E1439" s="1">
        <v>80.171221</v>
      </c>
      <c r="F1439" s="1">
        <v>2846.0</v>
      </c>
      <c r="G1439" s="1">
        <v>60.0</v>
      </c>
    </row>
    <row r="1440">
      <c r="A1440" s="1" t="s">
        <v>10</v>
      </c>
      <c r="B1440" s="2">
        <v>44715.0</v>
      </c>
      <c r="C1440" s="3">
        <v>0.7229050925925926</v>
      </c>
      <c r="D1440" s="1">
        <v>12.72413</v>
      </c>
      <c r="E1440" s="1">
        <v>79.982061</v>
      </c>
      <c r="F1440" s="1">
        <v>805.0</v>
      </c>
      <c r="G1440" s="1">
        <v>0.0</v>
      </c>
    </row>
    <row r="1441">
      <c r="A1441" s="1" t="s">
        <v>8</v>
      </c>
      <c r="B1441" s="2">
        <v>44715.0</v>
      </c>
      <c r="C1441" s="3">
        <v>0.7245254629629629</v>
      </c>
      <c r="D1441" s="1">
        <v>12.99277</v>
      </c>
      <c r="E1441" s="1">
        <v>80.183102</v>
      </c>
      <c r="F1441" s="1">
        <v>2846.0</v>
      </c>
      <c r="G1441" s="1">
        <v>50.0</v>
      </c>
    </row>
    <row r="1442">
      <c r="A1442" s="1" t="s">
        <v>8</v>
      </c>
      <c r="B1442" s="2">
        <v>44715.0</v>
      </c>
      <c r="C1442" s="3">
        <v>0.7261226851851852</v>
      </c>
      <c r="D1442" s="1">
        <v>12.996259</v>
      </c>
      <c r="E1442" s="1">
        <v>80.189402</v>
      </c>
      <c r="F1442" s="1">
        <v>2846.0</v>
      </c>
      <c r="G1442" s="1">
        <v>55.0</v>
      </c>
    </row>
    <row r="1443">
      <c r="A1443" s="1" t="s">
        <v>8</v>
      </c>
      <c r="B1443" s="2">
        <v>44715.0</v>
      </c>
      <c r="C1443" s="3">
        <v>0.7261574074074074</v>
      </c>
      <c r="D1443" s="1">
        <v>12.997162</v>
      </c>
      <c r="E1443" s="1">
        <v>80.190472</v>
      </c>
      <c r="F1443" s="1">
        <v>2846.0</v>
      </c>
      <c r="G1443" s="1">
        <v>53.0</v>
      </c>
    </row>
    <row r="1444">
      <c r="A1444" s="1" t="s">
        <v>8</v>
      </c>
      <c r="B1444" s="2">
        <v>44715.0</v>
      </c>
      <c r="C1444" s="3">
        <v>0.7283333333333334</v>
      </c>
      <c r="D1444" s="1">
        <v>13.00214</v>
      </c>
      <c r="E1444" s="1">
        <v>80.197211</v>
      </c>
      <c r="F1444" s="1">
        <v>2846.0</v>
      </c>
      <c r="G1444" s="1">
        <v>45.0</v>
      </c>
    </row>
    <row r="1445">
      <c r="A1445" s="1" t="s">
        <v>8</v>
      </c>
      <c r="B1445" s="2">
        <v>44715.0</v>
      </c>
      <c r="C1445" s="3">
        <v>0.7287268518518518</v>
      </c>
      <c r="D1445" s="1">
        <v>13.002444</v>
      </c>
      <c r="E1445" s="1">
        <v>80.200517</v>
      </c>
      <c r="F1445" s="1">
        <v>2846.0</v>
      </c>
      <c r="G1445" s="1">
        <v>41.0</v>
      </c>
    </row>
    <row r="1446">
      <c r="A1446" s="1" t="s">
        <v>7</v>
      </c>
      <c r="B1446" s="2">
        <v>44715.0</v>
      </c>
      <c r="C1446" s="3">
        <v>0.728900462962963</v>
      </c>
      <c r="D1446" s="1">
        <v>12.723483</v>
      </c>
      <c r="E1446" s="1">
        <v>79.981927</v>
      </c>
      <c r="F1446" s="1">
        <v>805.0</v>
      </c>
      <c r="G1446" s="1">
        <v>0.0</v>
      </c>
    </row>
    <row r="1447">
      <c r="A1447" s="1" t="s">
        <v>8</v>
      </c>
      <c r="B1447" s="2">
        <v>44715.0</v>
      </c>
      <c r="C1447" s="3">
        <v>0.728912037037037</v>
      </c>
      <c r="D1447" s="1">
        <v>13.004429</v>
      </c>
      <c r="E1447" s="1">
        <v>80.2011</v>
      </c>
      <c r="F1447" s="1">
        <v>2846.0</v>
      </c>
      <c r="G1447" s="1">
        <v>37.0</v>
      </c>
    </row>
    <row r="1448">
      <c r="A1448" s="1" t="s">
        <v>8</v>
      </c>
      <c r="B1448" s="2">
        <v>44715.0</v>
      </c>
      <c r="C1448" s="3">
        <v>0.7289583333333334</v>
      </c>
      <c r="D1448" s="1">
        <v>13.004429</v>
      </c>
      <c r="E1448" s="1">
        <v>80.2011</v>
      </c>
      <c r="F1448" s="1">
        <v>2846.0</v>
      </c>
      <c r="G1448" s="1">
        <v>37.0</v>
      </c>
    </row>
    <row r="1449">
      <c r="A1449" s="1" t="s">
        <v>8</v>
      </c>
      <c r="B1449" s="2">
        <v>44715.0</v>
      </c>
      <c r="C1449" s="3">
        <v>0.729224537037037</v>
      </c>
      <c r="D1449" s="1">
        <v>13.005992</v>
      </c>
      <c r="E1449" s="1">
        <v>80.202417</v>
      </c>
      <c r="F1449" s="1">
        <v>2846.0</v>
      </c>
      <c r="G1449" s="1">
        <v>49.0</v>
      </c>
    </row>
    <row r="1450">
      <c r="A1450" s="1" t="s">
        <v>8</v>
      </c>
      <c r="B1450" s="2">
        <v>44715.0</v>
      </c>
      <c r="C1450" s="3">
        <v>0.729375</v>
      </c>
      <c r="D1450" s="1">
        <v>13.007462</v>
      </c>
      <c r="E1450" s="1">
        <v>80.203635</v>
      </c>
      <c r="F1450" s="1">
        <v>2846.0</v>
      </c>
      <c r="G1450" s="1">
        <v>37.0</v>
      </c>
    </row>
    <row r="1451">
      <c r="A1451" s="1" t="s">
        <v>7</v>
      </c>
      <c r="B1451" s="2">
        <v>44715.0</v>
      </c>
      <c r="C1451" s="3">
        <v>0.7298726851851852</v>
      </c>
      <c r="D1451" s="1">
        <v>12.712794</v>
      </c>
      <c r="E1451" s="1">
        <v>79.97978</v>
      </c>
      <c r="F1451" s="1">
        <v>805.0</v>
      </c>
      <c r="G1451" s="1">
        <v>58.0</v>
      </c>
    </row>
    <row r="1452">
      <c r="A1452" s="1" t="s">
        <v>7</v>
      </c>
      <c r="B1452" s="2">
        <v>44715.0</v>
      </c>
      <c r="C1452" s="3">
        <v>0.7301967592592593</v>
      </c>
      <c r="D1452" s="1">
        <v>12.710868</v>
      </c>
      <c r="E1452" s="1">
        <v>79.978462</v>
      </c>
      <c r="F1452" s="1">
        <v>805.0</v>
      </c>
      <c r="G1452" s="1">
        <v>57.0</v>
      </c>
    </row>
    <row r="1453">
      <c r="A1453" s="1" t="s">
        <v>10</v>
      </c>
      <c r="B1453" s="2">
        <v>44715.0</v>
      </c>
      <c r="C1453" s="3">
        <v>0.7309027777777778</v>
      </c>
      <c r="D1453" s="1">
        <v>12.70421</v>
      </c>
      <c r="E1453" s="1">
        <v>79.972828</v>
      </c>
      <c r="F1453" s="1">
        <v>805.0</v>
      </c>
      <c r="G1453" s="1">
        <v>58.0</v>
      </c>
    </row>
    <row r="1454">
      <c r="A1454" s="1" t="s">
        <v>8</v>
      </c>
      <c r="B1454" s="2">
        <v>44715.0</v>
      </c>
      <c r="C1454" s="3">
        <v>0.7312962962962963</v>
      </c>
      <c r="D1454" s="1">
        <v>13.010238</v>
      </c>
      <c r="E1454" s="1">
        <v>80.21538</v>
      </c>
      <c r="F1454" s="1">
        <v>2846.0</v>
      </c>
      <c r="G1454" s="1">
        <v>33.0</v>
      </c>
    </row>
    <row r="1455">
      <c r="A1455" s="1" t="s">
        <v>8</v>
      </c>
      <c r="B1455" s="2">
        <v>44715.0</v>
      </c>
      <c r="C1455" s="3">
        <v>0.7313194444444444</v>
      </c>
      <c r="D1455" s="1">
        <v>13.010972</v>
      </c>
      <c r="E1455" s="1">
        <v>80.217182</v>
      </c>
      <c r="F1455" s="1">
        <v>2846.0</v>
      </c>
      <c r="G1455" s="1">
        <v>38.0</v>
      </c>
    </row>
    <row r="1456">
      <c r="A1456" s="1" t="s">
        <v>8</v>
      </c>
      <c r="B1456" s="2">
        <v>44715.0</v>
      </c>
      <c r="C1456" s="3">
        <v>0.7315046296296296</v>
      </c>
      <c r="D1456" s="1">
        <v>13.011694</v>
      </c>
      <c r="E1456" s="1">
        <v>80.218997</v>
      </c>
      <c r="F1456" s="1">
        <v>2846.0</v>
      </c>
      <c r="G1456" s="1">
        <v>41.0</v>
      </c>
    </row>
    <row r="1457">
      <c r="A1457" s="1" t="s">
        <v>8</v>
      </c>
      <c r="B1457" s="2">
        <v>44715.0</v>
      </c>
      <c r="C1457" s="3">
        <v>0.7322106481481482</v>
      </c>
      <c r="D1457" s="1">
        <v>13.012633</v>
      </c>
      <c r="E1457" s="1">
        <v>80.221511</v>
      </c>
      <c r="F1457" s="1">
        <v>2846.0</v>
      </c>
      <c r="G1457" s="1">
        <v>24.0</v>
      </c>
    </row>
    <row r="1458">
      <c r="A1458" s="1" t="s">
        <v>8</v>
      </c>
      <c r="B1458" s="2">
        <v>44715.0</v>
      </c>
      <c r="C1458" s="3">
        <v>0.7326157407407408</v>
      </c>
      <c r="D1458" s="1">
        <v>13.014755</v>
      </c>
      <c r="E1458" s="1">
        <v>80.224167</v>
      </c>
      <c r="F1458" s="1">
        <v>2846.0</v>
      </c>
      <c r="G1458" s="1">
        <v>39.0</v>
      </c>
    </row>
    <row r="1459">
      <c r="A1459" s="1" t="s">
        <v>8</v>
      </c>
      <c r="B1459" s="2">
        <v>44715.0</v>
      </c>
      <c r="C1459" s="3">
        <v>0.7327777777777778</v>
      </c>
      <c r="D1459" s="1">
        <v>13.015404</v>
      </c>
      <c r="E1459" s="1">
        <v>80.224979</v>
      </c>
      <c r="F1459" s="1">
        <v>2846.0</v>
      </c>
      <c r="G1459" s="1">
        <v>42.0</v>
      </c>
    </row>
    <row r="1460">
      <c r="A1460" s="1" t="s">
        <v>8</v>
      </c>
      <c r="B1460" s="2">
        <v>44715.0</v>
      </c>
      <c r="C1460" s="3">
        <v>0.7327893518518519</v>
      </c>
      <c r="D1460" s="1">
        <v>12.697356</v>
      </c>
      <c r="E1460" s="1">
        <v>79.972257</v>
      </c>
      <c r="F1460" s="1">
        <v>805.0</v>
      </c>
      <c r="G1460" s="1">
        <v>0.0</v>
      </c>
    </row>
    <row r="1461">
      <c r="A1461" s="1" t="s">
        <v>8</v>
      </c>
      <c r="B1461" s="2">
        <v>44715.0</v>
      </c>
      <c r="C1461" s="3">
        <v>0.7330092592592593</v>
      </c>
      <c r="D1461" s="1">
        <v>13.017376</v>
      </c>
      <c r="E1461" s="1">
        <v>80.225026</v>
      </c>
      <c r="F1461" s="1">
        <v>2846.0</v>
      </c>
      <c r="G1461" s="1">
        <v>45.0</v>
      </c>
    </row>
    <row r="1462">
      <c r="A1462" s="1" t="s">
        <v>8</v>
      </c>
      <c r="B1462" s="2">
        <v>44715.0</v>
      </c>
      <c r="C1462" s="3">
        <v>0.7330671296296296</v>
      </c>
      <c r="D1462" s="1">
        <v>13.017376</v>
      </c>
      <c r="E1462" s="1">
        <v>80.225026</v>
      </c>
      <c r="F1462" s="1">
        <v>2846.0</v>
      </c>
      <c r="G1462" s="1">
        <v>45.0</v>
      </c>
    </row>
    <row r="1463">
      <c r="A1463" s="1" t="s">
        <v>8</v>
      </c>
      <c r="B1463" s="2">
        <v>44715.0</v>
      </c>
      <c r="C1463" s="3">
        <v>0.7331018518518518</v>
      </c>
      <c r="D1463" s="1">
        <v>13.018391</v>
      </c>
      <c r="E1463" s="1">
        <v>80.224606</v>
      </c>
      <c r="F1463" s="1">
        <v>2846.0</v>
      </c>
      <c r="G1463" s="1">
        <v>32.0</v>
      </c>
    </row>
    <row r="1464">
      <c r="A1464" s="1" t="s">
        <v>8</v>
      </c>
      <c r="B1464" s="2">
        <v>44715.0</v>
      </c>
      <c r="C1464" s="3">
        <v>0.733738425925926</v>
      </c>
      <c r="D1464" s="1">
        <v>13.019802</v>
      </c>
      <c r="E1464" s="1">
        <v>80.224494</v>
      </c>
      <c r="F1464" s="1">
        <v>2846.0</v>
      </c>
      <c r="G1464" s="1">
        <v>13.0</v>
      </c>
    </row>
    <row r="1465">
      <c r="A1465" s="1" t="s">
        <v>8</v>
      </c>
      <c r="B1465" s="2">
        <v>44715.0</v>
      </c>
      <c r="C1465" s="3">
        <v>0.73375</v>
      </c>
      <c r="D1465" s="1">
        <v>13.019802</v>
      </c>
      <c r="E1465" s="1">
        <v>80.224494</v>
      </c>
      <c r="F1465" s="1">
        <v>2846.0</v>
      </c>
      <c r="G1465" s="1">
        <v>13.0</v>
      </c>
    </row>
    <row r="1466">
      <c r="A1466" s="1" t="s">
        <v>8</v>
      </c>
      <c r="B1466" s="2">
        <v>44715.0</v>
      </c>
      <c r="C1466" s="3">
        <v>0.7340972222222222</v>
      </c>
      <c r="D1466" s="1">
        <v>13.021258</v>
      </c>
      <c r="E1466" s="1">
        <v>80.225609</v>
      </c>
      <c r="F1466" s="1">
        <v>2846.0</v>
      </c>
      <c r="G1466" s="1">
        <v>11.0</v>
      </c>
    </row>
    <row r="1467">
      <c r="A1467" s="1" t="s">
        <v>8</v>
      </c>
      <c r="B1467" s="2">
        <v>44715.0</v>
      </c>
      <c r="C1467" s="3">
        <v>0.7341550925925926</v>
      </c>
      <c r="D1467" s="1">
        <v>13.021739</v>
      </c>
      <c r="E1467" s="1">
        <v>80.225962</v>
      </c>
      <c r="F1467" s="1">
        <v>2846.0</v>
      </c>
      <c r="G1467" s="1">
        <v>35.0</v>
      </c>
    </row>
    <row r="1468">
      <c r="A1468" s="1" t="s">
        <v>10</v>
      </c>
      <c r="B1468" s="2">
        <v>44715.0</v>
      </c>
      <c r="C1468" s="3">
        <v>0.7348726851851852</v>
      </c>
      <c r="D1468" s="1">
        <v>12.694</v>
      </c>
      <c r="E1468" s="1">
        <v>79.978988</v>
      </c>
      <c r="F1468" s="1">
        <v>805.0</v>
      </c>
      <c r="G1468" s="1">
        <v>0.0</v>
      </c>
    </row>
    <row r="1469">
      <c r="A1469" s="1" t="s">
        <v>9</v>
      </c>
      <c r="B1469" s="2">
        <v>44715.0</v>
      </c>
      <c r="C1469" s="3">
        <v>0.7351388888888889</v>
      </c>
      <c r="D1469" s="1">
        <v>13.024343</v>
      </c>
      <c r="E1469" s="1">
        <v>80.228432</v>
      </c>
      <c r="F1469" s="1">
        <v>2846.0</v>
      </c>
      <c r="G1469" s="1">
        <v>16.0</v>
      </c>
    </row>
    <row r="1470">
      <c r="A1470" s="1" t="s">
        <v>8</v>
      </c>
      <c r="B1470" s="2">
        <v>44715.0</v>
      </c>
      <c r="C1470" s="3">
        <v>0.7353356481481481</v>
      </c>
      <c r="D1470" s="1">
        <v>13.025281</v>
      </c>
      <c r="E1470" s="1">
        <v>80.229679</v>
      </c>
      <c r="F1470" s="1">
        <v>2846.0</v>
      </c>
      <c r="G1470" s="1">
        <v>36.0</v>
      </c>
    </row>
    <row r="1471">
      <c r="A1471" s="1" t="s">
        <v>8</v>
      </c>
      <c r="B1471" s="2">
        <v>44715.0</v>
      </c>
      <c r="C1471" s="3">
        <v>0.7363773148148148</v>
      </c>
      <c r="D1471" s="1">
        <v>12.691049</v>
      </c>
      <c r="E1471" s="1">
        <v>79.981031</v>
      </c>
      <c r="F1471" s="1">
        <v>805.0</v>
      </c>
      <c r="G1471" s="1">
        <v>18.0</v>
      </c>
    </row>
    <row r="1472">
      <c r="A1472" s="1" t="s">
        <v>10</v>
      </c>
      <c r="B1472" s="2">
        <v>44715.0</v>
      </c>
      <c r="C1472" s="3">
        <v>0.7371412037037037</v>
      </c>
      <c r="D1472" s="1">
        <v>12.687424</v>
      </c>
      <c r="E1472" s="1">
        <v>79.982989</v>
      </c>
      <c r="F1472" s="1">
        <v>805.0</v>
      </c>
      <c r="G1472" s="1">
        <v>18.0</v>
      </c>
    </row>
    <row r="1473">
      <c r="A1473" s="1" t="s">
        <v>8</v>
      </c>
      <c r="B1473" s="2">
        <v>44715.0</v>
      </c>
      <c r="C1473" s="3">
        <v>0.7374537037037037</v>
      </c>
      <c r="D1473" s="1">
        <v>13.027531</v>
      </c>
      <c r="E1473" s="1">
        <v>80.234496</v>
      </c>
      <c r="F1473" s="1">
        <v>2846.0</v>
      </c>
      <c r="G1473" s="1">
        <v>43.0</v>
      </c>
    </row>
    <row r="1474">
      <c r="A1474" s="1" t="s">
        <v>8</v>
      </c>
      <c r="B1474" s="2">
        <v>44715.0</v>
      </c>
      <c r="C1474" s="3">
        <v>0.7376041666666666</v>
      </c>
      <c r="D1474" s="1">
        <v>13.028675</v>
      </c>
      <c r="E1474" s="1">
        <v>80.236151</v>
      </c>
      <c r="F1474" s="1">
        <v>2846.0</v>
      </c>
      <c r="G1474" s="1">
        <v>38.0</v>
      </c>
    </row>
    <row r="1475">
      <c r="A1475" s="1" t="s">
        <v>10</v>
      </c>
      <c r="B1475" s="2">
        <v>44715.0</v>
      </c>
      <c r="C1475" s="3">
        <v>0.7376851851851852</v>
      </c>
      <c r="D1475" s="1">
        <v>12.685738</v>
      </c>
      <c r="E1475" s="1">
        <v>79.983471</v>
      </c>
      <c r="F1475" s="1">
        <v>805.0</v>
      </c>
      <c r="G1475" s="1">
        <v>27.0</v>
      </c>
    </row>
    <row r="1476">
      <c r="A1476" s="1" t="s">
        <v>8</v>
      </c>
      <c r="B1476" s="2">
        <v>44715.0</v>
      </c>
      <c r="C1476" s="3">
        <v>0.7395486111111111</v>
      </c>
      <c r="D1476" s="1">
        <v>13.031551</v>
      </c>
      <c r="E1476" s="1">
        <v>80.240594</v>
      </c>
      <c r="F1476" s="1">
        <v>2846.0</v>
      </c>
      <c r="G1476" s="1">
        <v>41.0</v>
      </c>
    </row>
    <row r="1477">
      <c r="A1477" s="1" t="s">
        <v>8</v>
      </c>
      <c r="B1477" s="2">
        <v>44715.0</v>
      </c>
      <c r="C1477" s="3">
        <v>0.7408333333333333</v>
      </c>
      <c r="D1477" s="1">
        <v>13.036955</v>
      </c>
      <c r="E1477" s="1">
        <v>80.246398</v>
      </c>
      <c r="F1477" s="1">
        <v>2846.0</v>
      </c>
      <c r="G1477" s="1">
        <v>40.0</v>
      </c>
    </row>
    <row r="1478">
      <c r="A1478" s="1" t="s">
        <v>7</v>
      </c>
      <c r="B1478" s="2">
        <v>44715.0</v>
      </c>
      <c r="C1478" s="3">
        <v>0.7412152777777777</v>
      </c>
      <c r="D1478" s="1">
        <v>12.671561</v>
      </c>
      <c r="E1478" s="1">
        <v>79.976124</v>
      </c>
      <c r="F1478" s="1">
        <v>805.0</v>
      </c>
      <c r="G1478" s="1">
        <v>47.0</v>
      </c>
    </row>
    <row r="1479">
      <c r="A1479" s="1" t="s">
        <v>8</v>
      </c>
      <c r="B1479" s="2">
        <v>44715.0</v>
      </c>
      <c r="C1479" s="3">
        <v>0.7412847222222222</v>
      </c>
      <c r="D1479" s="1">
        <v>12.671561</v>
      </c>
      <c r="E1479" s="1">
        <v>79.976124</v>
      </c>
      <c r="F1479" s="1">
        <v>805.0</v>
      </c>
      <c r="G1479" s="1">
        <v>47.0</v>
      </c>
    </row>
    <row r="1480">
      <c r="A1480" s="1" t="s">
        <v>7</v>
      </c>
      <c r="B1480" s="2">
        <v>44715.0</v>
      </c>
      <c r="C1480" s="3">
        <v>0.7415277777777778</v>
      </c>
      <c r="D1480" s="1">
        <v>12.670527</v>
      </c>
      <c r="E1480" s="1">
        <v>79.975817</v>
      </c>
      <c r="F1480" s="1">
        <v>805.0</v>
      </c>
      <c r="G1480" s="1">
        <v>11.0</v>
      </c>
    </row>
    <row r="1481">
      <c r="A1481" s="1" t="s">
        <v>8</v>
      </c>
      <c r="B1481" s="2">
        <v>44715.0</v>
      </c>
      <c r="C1481" s="3">
        <v>0.7421296296296296</v>
      </c>
      <c r="D1481" s="1">
        <v>12.66571</v>
      </c>
      <c r="E1481" s="1">
        <v>79.969948</v>
      </c>
      <c r="F1481" s="1">
        <v>805.0</v>
      </c>
      <c r="G1481" s="1">
        <v>17.0</v>
      </c>
    </row>
    <row r="1482">
      <c r="A1482" s="1" t="s">
        <v>8</v>
      </c>
      <c r="B1482" s="2">
        <v>44715.0</v>
      </c>
      <c r="C1482" s="3">
        <v>0.7427893518518518</v>
      </c>
      <c r="D1482" s="1">
        <v>12.663502</v>
      </c>
      <c r="E1482" s="1">
        <v>79.968222</v>
      </c>
      <c r="F1482" s="1">
        <v>805.0</v>
      </c>
      <c r="G1482" s="1">
        <v>43.0</v>
      </c>
    </row>
    <row r="1483">
      <c r="A1483" s="1" t="s">
        <v>8</v>
      </c>
      <c r="B1483" s="2">
        <v>44715.0</v>
      </c>
      <c r="C1483" s="3">
        <v>0.7430439814814814</v>
      </c>
      <c r="D1483" s="1">
        <v>12.662032</v>
      </c>
      <c r="E1483" s="1">
        <v>79.967304</v>
      </c>
      <c r="F1483" s="1">
        <v>805.0</v>
      </c>
      <c r="G1483" s="1">
        <v>30.0</v>
      </c>
    </row>
    <row r="1484">
      <c r="A1484" s="1" t="s">
        <v>7</v>
      </c>
      <c r="B1484" s="2">
        <v>44715.0</v>
      </c>
      <c r="C1484" s="3">
        <v>0.7432060185185185</v>
      </c>
      <c r="D1484" s="1">
        <v>12.661215</v>
      </c>
      <c r="E1484" s="1">
        <v>79.966718</v>
      </c>
      <c r="F1484" s="1">
        <v>805.0</v>
      </c>
      <c r="G1484" s="1">
        <v>35.0</v>
      </c>
    </row>
    <row r="1485">
      <c r="A1485" s="1" t="s">
        <v>8</v>
      </c>
      <c r="B1485" s="2">
        <v>44715.0</v>
      </c>
      <c r="C1485" s="3">
        <v>0.7444328703703704</v>
      </c>
      <c r="D1485" s="1">
        <v>12.656576</v>
      </c>
      <c r="E1485" s="1">
        <v>79.955503</v>
      </c>
      <c r="F1485" s="1">
        <v>805.0</v>
      </c>
      <c r="G1485" s="1">
        <v>62.0</v>
      </c>
    </row>
    <row r="1486">
      <c r="A1486" s="1" t="s">
        <v>7</v>
      </c>
      <c r="B1486" s="2">
        <v>44715.0</v>
      </c>
      <c r="C1486" s="3">
        <v>0.7452893518518519</v>
      </c>
      <c r="D1486" s="1">
        <v>12.656875</v>
      </c>
      <c r="E1486" s="1">
        <v>79.948393</v>
      </c>
      <c r="F1486" s="1">
        <v>805.0</v>
      </c>
      <c r="G1486" s="1">
        <v>27.0</v>
      </c>
    </row>
    <row r="1487">
      <c r="A1487" s="1" t="s">
        <v>7</v>
      </c>
      <c r="B1487" s="2">
        <v>44715.0</v>
      </c>
      <c r="C1487" s="3">
        <v>0.7454166666666666</v>
      </c>
      <c r="D1487" s="1">
        <v>12.657199</v>
      </c>
      <c r="E1487" s="1">
        <v>79.947278</v>
      </c>
      <c r="F1487" s="1">
        <v>805.0</v>
      </c>
      <c r="G1487" s="1">
        <v>29.0</v>
      </c>
    </row>
    <row r="1488">
      <c r="A1488" s="1" t="s">
        <v>8</v>
      </c>
      <c r="B1488" s="2">
        <v>44715.0</v>
      </c>
      <c r="C1488" s="3">
        <v>0.7457754629629629</v>
      </c>
      <c r="D1488" s="1">
        <v>12.657946</v>
      </c>
      <c r="E1488" s="1">
        <v>79.94457</v>
      </c>
      <c r="F1488" s="1">
        <v>805.0</v>
      </c>
      <c r="G1488" s="1">
        <v>43.0</v>
      </c>
    </row>
    <row r="1489">
      <c r="A1489" s="1" t="s">
        <v>7</v>
      </c>
      <c r="B1489" s="2">
        <v>44715.0</v>
      </c>
      <c r="C1489" s="3">
        <v>0.7462384259259259</v>
      </c>
      <c r="D1489" s="1">
        <v>12.653171</v>
      </c>
      <c r="E1489" s="1">
        <v>79.942327</v>
      </c>
      <c r="F1489" s="1">
        <v>805.0</v>
      </c>
      <c r="G1489" s="1">
        <v>42.0</v>
      </c>
    </row>
    <row r="1490">
      <c r="A1490" s="1" t="s">
        <v>8</v>
      </c>
      <c r="B1490" s="2">
        <v>44715.0</v>
      </c>
      <c r="C1490" s="3">
        <v>0.7473611111111111</v>
      </c>
      <c r="D1490" s="1">
        <v>13.04849</v>
      </c>
      <c r="E1490" s="1">
        <v>80.249506</v>
      </c>
      <c r="F1490" s="1">
        <v>2846.0</v>
      </c>
      <c r="G1490" s="1">
        <v>31.0</v>
      </c>
    </row>
    <row r="1491">
      <c r="A1491" s="1" t="s">
        <v>8</v>
      </c>
      <c r="B1491" s="2">
        <v>44715.0</v>
      </c>
      <c r="C1491" s="3">
        <v>0.747650462962963</v>
      </c>
      <c r="D1491" s="1">
        <v>13.050153</v>
      </c>
      <c r="E1491" s="1">
        <v>80.249816</v>
      </c>
      <c r="F1491" s="1">
        <v>2846.0</v>
      </c>
      <c r="G1491" s="1">
        <v>37.0</v>
      </c>
    </row>
    <row r="1492">
      <c r="A1492" s="1" t="s">
        <v>8</v>
      </c>
      <c r="B1492" s="2">
        <v>44715.0</v>
      </c>
      <c r="C1492" s="3">
        <v>0.7477893518518518</v>
      </c>
      <c r="D1492" s="1">
        <v>13.050153</v>
      </c>
      <c r="E1492" s="1">
        <v>80.249816</v>
      </c>
      <c r="F1492" s="1">
        <v>2846.0</v>
      </c>
      <c r="G1492" s="1">
        <v>37.0</v>
      </c>
    </row>
    <row r="1493">
      <c r="A1493" s="1" t="s">
        <v>8</v>
      </c>
      <c r="B1493" s="2">
        <v>44715.0</v>
      </c>
      <c r="C1493" s="3">
        <v>0.7479513888888889</v>
      </c>
      <c r="D1493" s="1">
        <v>13.052511</v>
      </c>
      <c r="E1493" s="1">
        <v>80.251043</v>
      </c>
      <c r="F1493" s="1">
        <v>2846.0</v>
      </c>
      <c r="G1493" s="1">
        <v>31.0</v>
      </c>
    </row>
    <row r="1494">
      <c r="A1494" s="1" t="s">
        <v>7</v>
      </c>
      <c r="B1494" s="2">
        <v>44715.0</v>
      </c>
      <c r="C1494" s="3">
        <v>0.7480555555555556</v>
      </c>
      <c r="D1494" s="1">
        <v>12.634518</v>
      </c>
      <c r="E1494" s="1">
        <v>79.933136</v>
      </c>
      <c r="F1494" s="1">
        <v>805.0</v>
      </c>
      <c r="G1494" s="1">
        <v>58.0</v>
      </c>
    </row>
    <row r="1495">
      <c r="A1495" s="1" t="s">
        <v>7</v>
      </c>
      <c r="B1495" s="2">
        <v>44715.0</v>
      </c>
      <c r="C1495" s="3">
        <v>0.7482060185185185</v>
      </c>
      <c r="D1495" s="1">
        <v>12.63237</v>
      </c>
      <c r="E1495" s="1">
        <v>79.932208</v>
      </c>
      <c r="F1495" s="1">
        <v>805.0</v>
      </c>
      <c r="G1495" s="1">
        <v>57.0</v>
      </c>
    </row>
    <row r="1496">
      <c r="A1496" s="1" t="s">
        <v>7</v>
      </c>
      <c r="B1496" s="2">
        <v>44715.0</v>
      </c>
      <c r="C1496" s="3">
        <v>0.7486342592592593</v>
      </c>
      <c r="D1496" s="1">
        <v>12.62804</v>
      </c>
      <c r="E1496" s="1">
        <v>79.930338</v>
      </c>
      <c r="F1496" s="1">
        <v>805.0</v>
      </c>
      <c r="G1496" s="1">
        <v>58.0</v>
      </c>
    </row>
    <row r="1497">
      <c r="A1497" s="1" t="s">
        <v>8</v>
      </c>
      <c r="B1497" s="2">
        <v>44715.0</v>
      </c>
      <c r="C1497" s="3">
        <v>0.7490277777777777</v>
      </c>
      <c r="D1497" s="1">
        <v>13.055388</v>
      </c>
      <c r="E1497" s="1">
        <v>80.254952</v>
      </c>
      <c r="F1497" s="1">
        <v>2846.0</v>
      </c>
      <c r="G1497" s="1">
        <v>24.0</v>
      </c>
    </row>
    <row r="1498">
      <c r="A1498" s="1" t="s">
        <v>7</v>
      </c>
      <c r="B1498" s="2">
        <v>44715.0</v>
      </c>
      <c r="C1498" s="3">
        <v>0.7490625</v>
      </c>
      <c r="D1498" s="1">
        <v>12.621554</v>
      </c>
      <c r="E1498" s="1">
        <v>79.9276</v>
      </c>
      <c r="F1498" s="1">
        <v>805.0</v>
      </c>
      <c r="G1498" s="1">
        <v>57.0</v>
      </c>
    </row>
    <row r="1499">
      <c r="A1499" s="1" t="s">
        <v>7</v>
      </c>
      <c r="B1499" s="2">
        <v>44715.0</v>
      </c>
      <c r="C1499" s="3">
        <v>0.7492476851851851</v>
      </c>
      <c r="D1499" s="1">
        <v>12.619133</v>
      </c>
      <c r="E1499" s="1">
        <v>79.926948</v>
      </c>
      <c r="F1499" s="1">
        <v>805.0</v>
      </c>
      <c r="G1499" s="1">
        <v>58.0</v>
      </c>
    </row>
    <row r="1500">
      <c r="A1500" s="1" t="s">
        <v>7</v>
      </c>
      <c r="B1500" s="2">
        <v>44715.0</v>
      </c>
      <c r="C1500" s="3">
        <v>0.7498148148148148</v>
      </c>
      <c r="D1500" s="1">
        <v>12.612804</v>
      </c>
      <c r="E1500" s="1">
        <v>79.924316</v>
      </c>
      <c r="F1500" s="1">
        <v>805.0</v>
      </c>
      <c r="G1500" s="1">
        <v>52.0</v>
      </c>
    </row>
    <row r="1501">
      <c r="A1501" s="1" t="s">
        <v>7</v>
      </c>
      <c r="B1501" s="2">
        <v>44715.0</v>
      </c>
      <c r="C1501" s="3">
        <v>0.7498842592592593</v>
      </c>
      <c r="D1501" s="1">
        <v>12.612804</v>
      </c>
      <c r="E1501" s="1">
        <v>79.924316</v>
      </c>
      <c r="F1501" s="1">
        <v>805.0</v>
      </c>
      <c r="G1501" s="1">
        <v>52.0</v>
      </c>
    </row>
    <row r="1502">
      <c r="A1502" s="1" t="s">
        <v>8</v>
      </c>
      <c r="B1502" s="2">
        <v>44715.0</v>
      </c>
      <c r="C1502" s="3">
        <v>0.749988425925926</v>
      </c>
      <c r="D1502" s="1">
        <v>13.058295</v>
      </c>
      <c r="E1502" s="1">
        <v>80.258166</v>
      </c>
      <c r="F1502" s="1">
        <v>2846.0</v>
      </c>
      <c r="G1502" s="1">
        <v>25.0</v>
      </c>
    </row>
    <row r="1503">
      <c r="A1503" s="1" t="s">
        <v>8</v>
      </c>
      <c r="B1503" s="2">
        <v>44715.0</v>
      </c>
      <c r="C1503" s="3">
        <v>0.75</v>
      </c>
      <c r="D1503" s="1">
        <v>13.058295</v>
      </c>
      <c r="E1503" s="1">
        <v>80.258166</v>
      </c>
      <c r="F1503" s="1">
        <v>2846.0</v>
      </c>
      <c r="G1503" s="1">
        <v>25.0</v>
      </c>
    </row>
    <row r="1504">
      <c r="A1504" s="1" t="s">
        <v>8</v>
      </c>
      <c r="B1504" s="2">
        <v>44715.0</v>
      </c>
      <c r="C1504" s="3">
        <v>0.7501273148148148</v>
      </c>
      <c r="D1504" s="1">
        <v>12.610794</v>
      </c>
      <c r="E1504" s="1">
        <v>79.923158</v>
      </c>
      <c r="F1504" s="1">
        <v>805.0</v>
      </c>
      <c r="G1504" s="1">
        <v>59.0</v>
      </c>
    </row>
    <row r="1505">
      <c r="A1505" s="1" t="s">
        <v>7</v>
      </c>
      <c r="B1505" s="2">
        <v>44715.0</v>
      </c>
      <c r="C1505" s="3">
        <v>0.7511458333333333</v>
      </c>
      <c r="D1505" s="1">
        <v>12.598241</v>
      </c>
      <c r="E1505" s="1">
        <v>79.919788</v>
      </c>
      <c r="F1505" s="1">
        <v>805.0</v>
      </c>
      <c r="G1505" s="1">
        <v>55.0</v>
      </c>
    </row>
    <row r="1506">
      <c r="A1506" s="1" t="s">
        <v>7</v>
      </c>
      <c r="B1506" s="2">
        <v>44715.0</v>
      </c>
      <c r="C1506" s="3">
        <v>0.7515162037037038</v>
      </c>
      <c r="D1506" s="1">
        <v>12.59404</v>
      </c>
      <c r="E1506" s="1">
        <v>79.919339</v>
      </c>
      <c r="F1506" s="1">
        <v>805.0</v>
      </c>
      <c r="G1506" s="1">
        <v>58.0</v>
      </c>
    </row>
    <row r="1507">
      <c r="A1507" s="1" t="s">
        <v>7</v>
      </c>
      <c r="B1507" s="2">
        <v>44715.0</v>
      </c>
      <c r="C1507" s="3">
        <v>0.7518518518518519</v>
      </c>
      <c r="D1507" s="1">
        <v>12.589228</v>
      </c>
      <c r="E1507" s="1">
        <v>79.9194</v>
      </c>
      <c r="F1507" s="1">
        <v>805.0</v>
      </c>
      <c r="G1507" s="1">
        <v>58.0</v>
      </c>
    </row>
    <row r="1508">
      <c r="A1508" s="1" t="s">
        <v>7</v>
      </c>
      <c r="B1508" s="2">
        <v>44715.0</v>
      </c>
      <c r="C1508" s="3">
        <v>0.7522106481481482</v>
      </c>
      <c r="D1508" s="1">
        <v>12.584542</v>
      </c>
      <c r="E1508" s="1">
        <v>79.919408</v>
      </c>
      <c r="F1508" s="1">
        <v>805.0</v>
      </c>
      <c r="G1508" s="1">
        <v>58.0</v>
      </c>
    </row>
    <row r="1509">
      <c r="A1509" s="1" t="s">
        <v>7</v>
      </c>
      <c r="B1509" s="2">
        <v>44715.0</v>
      </c>
      <c r="C1509" s="3">
        <v>0.7524537037037037</v>
      </c>
      <c r="D1509" s="1">
        <v>12.582218</v>
      </c>
      <c r="E1509" s="1">
        <v>79.919098</v>
      </c>
      <c r="F1509" s="1">
        <v>805.0</v>
      </c>
      <c r="G1509" s="1">
        <v>58.0</v>
      </c>
    </row>
    <row r="1510">
      <c r="A1510" s="1" t="s">
        <v>7</v>
      </c>
      <c r="B1510" s="2">
        <v>44715.0</v>
      </c>
      <c r="C1510" s="3">
        <v>0.7526157407407408</v>
      </c>
      <c r="D1510" s="1">
        <v>12.579995</v>
      </c>
      <c r="E1510" s="1">
        <v>79.91837</v>
      </c>
      <c r="F1510" s="1">
        <v>805.0</v>
      </c>
      <c r="G1510" s="1">
        <v>58.0</v>
      </c>
    </row>
    <row r="1511">
      <c r="A1511" s="1" t="s">
        <v>8</v>
      </c>
      <c r="B1511" s="2">
        <v>44715.0</v>
      </c>
      <c r="C1511" s="3">
        <v>0.7531828703703703</v>
      </c>
      <c r="D1511" s="1">
        <v>13.062082</v>
      </c>
      <c r="E1511" s="1">
        <v>80.262747</v>
      </c>
      <c r="F1511" s="1">
        <v>2846.0</v>
      </c>
      <c r="G1511" s="1">
        <v>15.0</v>
      </c>
    </row>
    <row r="1512">
      <c r="A1512" s="1" t="s">
        <v>8</v>
      </c>
      <c r="B1512" s="2">
        <v>44715.0</v>
      </c>
      <c r="C1512" s="3">
        <v>0.7531944444444445</v>
      </c>
      <c r="D1512" s="1">
        <v>13.062082</v>
      </c>
      <c r="E1512" s="1">
        <v>80.262747</v>
      </c>
      <c r="F1512" s="1">
        <v>2846.0</v>
      </c>
      <c r="G1512" s="1">
        <v>15.0</v>
      </c>
    </row>
    <row r="1513">
      <c r="A1513" s="1" t="s">
        <v>8</v>
      </c>
      <c r="B1513" s="2">
        <v>44715.0</v>
      </c>
      <c r="C1513" s="3">
        <v>0.7531944444444445</v>
      </c>
      <c r="D1513" s="1">
        <v>13.062082</v>
      </c>
      <c r="E1513" s="1">
        <v>80.262747</v>
      </c>
      <c r="F1513" s="1">
        <v>2846.0</v>
      </c>
      <c r="G1513" s="1">
        <v>15.0</v>
      </c>
    </row>
    <row r="1514">
      <c r="A1514" s="1" t="s">
        <v>7</v>
      </c>
      <c r="B1514" s="2">
        <v>44715.0</v>
      </c>
      <c r="C1514" s="3">
        <v>0.7532523148148148</v>
      </c>
      <c r="D1514" s="1">
        <v>12.573229</v>
      </c>
      <c r="E1514" s="1">
        <v>79.916572</v>
      </c>
      <c r="F1514" s="1">
        <v>805.0</v>
      </c>
      <c r="G1514" s="1">
        <v>58.0</v>
      </c>
    </row>
    <row r="1515">
      <c r="A1515" s="1" t="s">
        <v>7</v>
      </c>
      <c r="B1515" s="2">
        <v>44715.0</v>
      </c>
      <c r="C1515" s="3">
        <v>0.7533796296296297</v>
      </c>
      <c r="D1515" s="1">
        <v>12.570948</v>
      </c>
      <c r="E1515" s="1">
        <v>79.915991</v>
      </c>
      <c r="F1515" s="1">
        <v>805.0</v>
      </c>
      <c r="G1515" s="1">
        <v>58.0</v>
      </c>
    </row>
    <row r="1516">
      <c r="A1516" s="1" t="s">
        <v>7</v>
      </c>
      <c r="B1516" s="2">
        <v>44715.0</v>
      </c>
      <c r="C1516" s="3">
        <v>0.7534143518518519</v>
      </c>
      <c r="D1516" s="1">
        <v>12.570948</v>
      </c>
      <c r="E1516" s="1">
        <v>79.915991</v>
      </c>
      <c r="F1516" s="1">
        <v>805.0</v>
      </c>
      <c r="G1516" s="1">
        <v>58.0</v>
      </c>
    </row>
    <row r="1517">
      <c r="A1517" s="1" t="s">
        <v>8</v>
      </c>
      <c r="B1517" s="2">
        <v>44715.0</v>
      </c>
      <c r="C1517" s="3">
        <v>0.7545023148148148</v>
      </c>
      <c r="D1517" s="1">
        <v>13.067052</v>
      </c>
      <c r="E1517" s="1">
        <v>80.268587</v>
      </c>
      <c r="F1517" s="1">
        <v>2846.0</v>
      </c>
      <c r="G1517" s="1">
        <v>27.0</v>
      </c>
    </row>
    <row r="1518">
      <c r="A1518" s="1" t="s">
        <v>7</v>
      </c>
      <c r="B1518" s="2">
        <v>44715.0</v>
      </c>
      <c r="C1518" s="3">
        <v>0.7545486111111112</v>
      </c>
      <c r="D1518" s="1">
        <v>12.558051</v>
      </c>
      <c r="E1518" s="1">
        <v>79.910177</v>
      </c>
      <c r="F1518" s="1">
        <v>805.0</v>
      </c>
      <c r="G1518" s="1">
        <v>58.0</v>
      </c>
    </row>
    <row r="1519">
      <c r="A1519" s="1" t="s">
        <v>7</v>
      </c>
      <c r="B1519" s="2">
        <v>44715.0</v>
      </c>
      <c r="C1519" s="3">
        <v>0.7546990740740741</v>
      </c>
      <c r="D1519" s="1">
        <v>12.556018</v>
      </c>
      <c r="E1519" s="1">
        <v>79.90899</v>
      </c>
      <c r="F1519" s="1">
        <v>805.0</v>
      </c>
      <c r="G1519" s="1">
        <v>58.0</v>
      </c>
    </row>
    <row r="1520">
      <c r="A1520" s="1" t="s">
        <v>7</v>
      </c>
      <c r="B1520" s="2">
        <v>44715.0</v>
      </c>
      <c r="C1520" s="3">
        <v>0.7550347222222222</v>
      </c>
      <c r="D1520" s="1">
        <v>12.551783</v>
      </c>
      <c r="E1520" s="1">
        <v>79.906956</v>
      </c>
      <c r="F1520" s="1">
        <v>805.0</v>
      </c>
      <c r="G1520" s="1">
        <v>58.0</v>
      </c>
    </row>
    <row r="1521">
      <c r="A1521" s="1" t="s">
        <v>10</v>
      </c>
      <c r="B1521" s="2">
        <v>44715.0</v>
      </c>
      <c r="C1521" s="3">
        <v>0.755150462962963</v>
      </c>
      <c r="D1521" s="1">
        <v>13.068214</v>
      </c>
      <c r="E1521" s="1">
        <v>80.270411</v>
      </c>
      <c r="F1521" s="1">
        <v>2846.0</v>
      </c>
      <c r="G1521" s="1">
        <v>22.0</v>
      </c>
    </row>
    <row r="1522">
      <c r="A1522" s="1" t="s">
        <v>8</v>
      </c>
      <c r="B1522" s="2">
        <v>44715.0</v>
      </c>
      <c r="C1522" s="3">
        <v>0.7553009259259259</v>
      </c>
      <c r="D1522" s="1">
        <v>12.549588</v>
      </c>
      <c r="E1522" s="1">
        <v>79.906133</v>
      </c>
      <c r="F1522" s="1">
        <v>805.0</v>
      </c>
      <c r="G1522" s="1">
        <v>58.0</v>
      </c>
    </row>
    <row r="1523">
      <c r="A1523" s="1" t="s">
        <v>7</v>
      </c>
      <c r="B1523" s="2">
        <v>44715.0</v>
      </c>
      <c r="C1523" s="3">
        <v>0.7554861111111111</v>
      </c>
      <c r="D1523" s="1">
        <v>12.547271</v>
      </c>
      <c r="E1523" s="1">
        <v>79.905691</v>
      </c>
      <c r="F1523" s="1">
        <v>805.0</v>
      </c>
      <c r="G1523" s="1">
        <v>59.0</v>
      </c>
    </row>
    <row r="1524">
      <c r="A1524" s="1" t="s">
        <v>7</v>
      </c>
      <c r="B1524" s="2">
        <v>44715.0</v>
      </c>
      <c r="C1524" s="3">
        <v>0.7556481481481482</v>
      </c>
      <c r="D1524" s="1">
        <v>12.544962</v>
      </c>
      <c r="E1524" s="1">
        <v>79.905237</v>
      </c>
      <c r="F1524" s="1">
        <v>805.0</v>
      </c>
      <c r="G1524" s="1">
        <v>57.0</v>
      </c>
    </row>
    <row r="1525">
      <c r="A1525" s="1" t="s">
        <v>8</v>
      </c>
      <c r="B1525" s="2">
        <v>44715.0</v>
      </c>
      <c r="C1525" s="3">
        <v>0.7556944444444444</v>
      </c>
      <c r="D1525" s="1">
        <v>13.067585</v>
      </c>
      <c r="E1525" s="1">
        <v>80.272744</v>
      </c>
      <c r="F1525" s="1">
        <v>2846.0</v>
      </c>
      <c r="G1525" s="1">
        <v>38.0</v>
      </c>
    </row>
    <row r="1526">
      <c r="A1526" s="1" t="s">
        <v>7</v>
      </c>
      <c r="B1526" s="2">
        <v>44715.0</v>
      </c>
      <c r="C1526" s="3">
        <v>0.7557407407407407</v>
      </c>
      <c r="D1526" s="1">
        <v>12.543532</v>
      </c>
      <c r="E1526" s="1">
        <v>79.904973</v>
      </c>
      <c r="F1526" s="1">
        <v>805.0</v>
      </c>
      <c r="G1526" s="1">
        <v>31.0</v>
      </c>
    </row>
    <row r="1527">
      <c r="A1527" s="1" t="s">
        <v>8</v>
      </c>
      <c r="B1527" s="2">
        <v>44715.0</v>
      </c>
      <c r="C1527" s="3">
        <v>0.7557407407407407</v>
      </c>
      <c r="D1527" s="1">
        <v>13.067585</v>
      </c>
      <c r="E1527" s="1">
        <v>80.272744</v>
      </c>
      <c r="F1527" s="1">
        <v>2846.0</v>
      </c>
      <c r="G1527" s="1">
        <v>38.0</v>
      </c>
    </row>
    <row r="1528">
      <c r="A1528" s="1" t="s">
        <v>7</v>
      </c>
      <c r="B1528" s="2">
        <v>44715.0</v>
      </c>
      <c r="C1528" s="3">
        <v>0.7561689814814815</v>
      </c>
      <c r="D1528" s="1">
        <v>12.539534</v>
      </c>
      <c r="E1528" s="1">
        <v>79.904249</v>
      </c>
      <c r="F1528" s="1">
        <v>805.0</v>
      </c>
      <c r="G1528" s="1">
        <v>57.0</v>
      </c>
    </row>
    <row r="1529">
      <c r="A1529" s="1" t="s">
        <v>10</v>
      </c>
      <c r="B1529" s="2">
        <v>44715.0</v>
      </c>
      <c r="C1529" s="3">
        <v>0.7564930555555556</v>
      </c>
      <c r="D1529" s="1">
        <v>13.066032</v>
      </c>
      <c r="E1529" s="1">
        <v>80.273773</v>
      </c>
      <c r="F1529" s="1">
        <v>2846.0</v>
      </c>
      <c r="G1529" s="1">
        <v>15.0</v>
      </c>
    </row>
    <row r="1530">
      <c r="A1530" s="1" t="s">
        <v>7</v>
      </c>
      <c r="B1530" s="2">
        <v>44715.0</v>
      </c>
      <c r="C1530" s="3">
        <v>0.7566782407407407</v>
      </c>
      <c r="D1530" s="1">
        <v>12.53329</v>
      </c>
      <c r="E1530" s="1">
        <v>79.90106</v>
      </c>
      <c r="F1530" s="1">
        <v>805.0</v>
      </c>
      <c r="G1530" s="1">
        <v>58.0</v>
      </c>
    </row>
    <row r="1531">
      <c r="A1531" s="1" t="s">
        <v>7</v>
      </c>
      <c r="B1531" s="2">
        <v>44715.0</v>
      </c>
      <c r="C1531" s="3">
        <v>0.7569907407407407</v>
      </c>
      <c r="D1531" s="1">
        <v>12.531315</v>
      </c>
      <c r="E1531" s="1">
        <v>79.900226</v>
      </c>
      <c r="F1531" s="1">
        <v>805.0</v>
      </c>
      <c r="G1531" s="1">
        <v>30.0</v>
      </c>
    </row>
    <row r="1532">
      <c r="A1532" s="1" t="s">
        <v>7</v>
      </c>
      <c r="B1532" s="2">
        <v>44715.0</v>
      </c>
      <c r="C1532" s="3">
        <v>0.7571412037037037</v>
      </c>
      <c r="D1532" s="1">
        <v>12.529748</v>
      </c>
      <c r="E1532" s="1">
        <v>79.899411</v>
      </c>
      <c r="F1532" s="1">
        <v>805.0</v>
      </c>
      <c r="G1532" s="1">
        <v>60.0</v>
      </c>
    </row>
    <row r="1533">
      <c r="A1533" s="1" t="s">
        <v>7</v>
      </c>
      <c r="B1533" s="2">
        <v>44715.0</v>
      </c>
      <c r="C1533" s="3">
        <v>0.7574421296296296</v>
      </c>
      <c r="D1533" s="1">
        <v>12.525495</v>
      </c>
      <c r="E1533" s="1">
        <v>79.897268</v>
      </c>
      <c r="F1533" s="1">
        <v>805.0</v>
      </c>
      <c r="G1533" s="1">
        <v>58.0</v>
      </c>
    </row>
    <row r="1534">
      <c r="A1534" s="1" t="s">
        <v>10</v>
      </c>
      <c r="B1534" s="2">
        <v>44715.0</v>
      </c>
      <c r="C1534" s="3">
        <v>0.7581828703703704</v>
      </c>
      <c r="D1534" s="1">
        <v>13.060968</v>
      </c>
      <c r="E1534" s="1">
        <v>80.274348</v>
      </c>
      <c r="F1534" s="1">
        <v>2846.0</v>
      </c>
      <c r="G1534" s="1">
        <v>0.0</v>
      </c>
    </row>
    <row r="1535">
      <c r="A1535" s="1" t="s">
        <v>10</v>
      </c>
      <c r="B1535" s="2">
        <v>44715.0</v>
      </c>
      <c r="C1535" s="3">
        <v>0.7587152777777778</v>
      </c>
      <c r="D1535" s="1">
        <v>13.059198</v>
      </c>
      <c r="E1535" s="1">
        <v>80.274276</v>
      </c>
      <c r="F1535" s="1">
        <v>2846.0</v>
      </c>
      <c r="G1535" s="1">
        <v>0.0</v>
      </c>
    </row>
    <row r="1536">
      <c r="A1536" s="1" t="s">
        <v>10</v>
      </c>
      <c r="B1536" s="2">
        <v>44715.0</v>
      </c>
      <c r="C1536" s="3">
        <v>0.7588541666666667</v>
      </c>
      <c r="D1536" s="1">
        <v>13.058988</v>
      </c>
      <c r="E1536" s="1">
        <v>80.274249</v>
      </c>
      <c r="F1536" s="1">
        <v>2846.0</v>
      </c>
      <c r="G1536" s="1">
        <v>1.0</v>
      </c>
    </row>
    <row r="1537">
      <c r="A1537" s="1" t="s">
        <v>10</v>
      </c>
      <c r="B1537" s="2">
        <v>44715.0</v>
      </c>
      <c r="C1537" s="3">
        <v>0.7590277777777777</v>
      </c>
      <c r="D1537" s="1">
        <v>13.058502</v>
      </c>
      <c r="E1537" s="1">
        <v>80.274151</v>
      </c>
      <c r="F1537" s="1">
        <v>2846.0</v>
      </c>
      <c r="G1537" s="1">
        <v>15.0</v>
      </c>
    </row>
    <row r="1538">
      <c r="A1538" s="1" t="s">
        <v>8</v>
      </c>
      <c r="B1538" s="2">
        <v>44715.0</v>
      </c>
      <c r="C1538" s="3">
        <v>0.7590625</v>
      </c>
      <c r="D1538" s="1">
        <v>12.513882</v>
      </c>
      <c r="E1538" s="1">
        <v>79.887648</v>
      </c>
      <c r="F1538" s="1">
        <v>805.0</v>
      </c>
      <c r="G1538" s="1">
        <v>30.0</v>
      </c>
    </row>
    <row r="1539">
      <c r="A1539" s="1" t="s">
        <v>8</v>
      </c>
      <c r="B1539" s="2">
        <v>44715.0</v>
      </c>
      <c r="C1539" s="3">
        <v>0.7592592592592593</v>
      </c>
      <c r="D1539" s="1">
        <v>12.513272</v>
      </c>
      <c r="E1539" s="1">
        <v>79.887013</v>
      </c>
      <c r="F1539" s="1">
        <v>805.0</v>
      </c>
      <c r="G1539" s="1">
        <v>27.0</v>
      </c>
    </row>
    <row r="1540">
      <c r="A1540" s="1" t="s">
        <v>8</v>
      </c>
      <c r="B1540" s="2">
        <v>44715.0</v>
      </c>
      <c r="C1540" s="3">
        <v>0.7592824074074074</v>
      </c>
      <c r="D1540" s="1">
        <v>12.513272</v>
      </c>
      <c r="E1540" s="1">
        <v>79.887013</v>
      </c>
      <c r="F1540" s="1">
        <v>805.0</v>
      </c>
      <c r="G1540" s="1">
        <v>27.0</v>
      </c>
    </row>
    <row r="1541">
      <c r="A1541" s="1" t="s">
        <v>10</v>
      </c>
      <c r="B1541" s="2">
        <v>44715.0</v>
      </c>
      <c r="C1541" s="3">
        <v>0.7617361111111111</v>
      </c>
      <c r="D1541" s="1">
        <v>13.053038</v>
      </c>
      <c r="E1541" s="1">
        <v>80.272347</v>
      </c>
      <c r="F1541" s="1">
        <v>2846.0</v>
      </c>
      <c r="G1541" s="1">
        <v>10.0</v>
      </c>
    </row>
    <row r="1542">
      <c r="A1542" s="1" t="s">
        <v>10</v>
      </c>
      <c r="B1542" s="2">
        <v>44715.0</v>
      </c>
      <c r="C1542" s="3">
        <v>0.7618634259259259</v>
      </c>
      <c r="D1542" s="1">
        <v>13.053101</v>
      </c>
      <c r="E1542" s="1">
        <v>80.272036</v>
      </c>
      <c r="F1542" s="1">
        <v>2846.0</v>
      </c>
      <c r="G1542" s="1">
        <v>13.0</v>
      </c>
    </row>
    <row r="1543">
      <c r="A1543" s="1" t="s">
        <v>10</v>
      </c>
      <c r="B1543" s="2">
        <v>44715.0</v>
      </c>
      <c r="C1543" s="3">
        <v>0.7620254629629629</v>
      </c>
      <c r="D1543" s="1">
        <v>13.053197</v>
      </c>
      <c r="E1543" s="1">
        <v>80.271434</v>
      </c>
      <c r="F1543" s="1">
        <v>2846.0</v>
      </c>
      <c r="G1543" s="1">
        <v>0.0</v>
      </c>
    </row>
    <row r="1544">
      <c r="A1544" s="1" t="s">
        <v>10</v>
      </c>
      <c r="B1544" s="2">
        <v>44715.0</v>
      </c>
      <c r="C1544" s="3">
        <v>0.7622222222222222</v>
      </c>
      <c r="D1544" s="1">
        <v>13.053235</v>
      </c>
      <c r="E1544" s="1">
        <v>80.271135</v>
      </c>
      <c r="F1544" s="1">
        <v>2846.0</v>
      </c>
      <c r="G1544" s="1">
        <v>19.0</v>
      </c>
    </row>
    <row r="1545">
      <c r="A1545" s="1" t="s">
        <v>10</v>
      </c>
      <c r="B1545" s="2">
        <v>44715.0</v>
      </c>
      <c r="C1545" s="3">
        <v>0.7623263888888889</v>
      </c>
      <c r="D1545" s="1">
        <v>13.053282</v>
      </c>
      <c r="E1545" s="1">
        <v>80.27068</v>
      </c>
      <c r="F1545" s="1">
        <v>2846.0</v>
      </c>
      <c r="G1545" s="1">
        <v>7.0</v>
      </c>
    </row>
    <row r="1546">
      <c r="A1546" s="1" t="s">
        <v>10</v>
      </c>
      <c r="B1546" s="2">
        <v>44715.0</v>
      </c>
      <c r="C1546" s="3">
        <v>0.7635879629629629</v>
      </c>
      <c r="D1546" s="1">
        <v>13.053422</v>
      </c>
      <c r="E1546" s="1">
        <v>80.269115</v>
      </c>
      <c r="F1546" s="1">
        <v>2846.0</v>
      </c>
      <c r="G1546" s="1">
        <v>8.0</v>
      </c>
    </row>
    <row r="1547">
      <c r="A1547" s="1" t="s">
        <v>7</v>
      </c>
      <c r="B1547" s="2">
        <v>44715.0</v>
      </c>
      <c r="C1547" s="3">
        <v>0.7635995370370371</v>
      </c>
      <c r="D1547" s="1">
        <v>12.507569</v>
      </c>
      <c r="E1547" s="1">
        <v>79.881526</v>
      </c>
      <c r="F1547" s="1">
        <v>805.0</v>
      </c>
      <c r="G1547" s="1">
        <v>0.0</v>
      </c>
    </row>
    <row r="1548">
      <c r="A1548" s="1" t="s">
        <v>7</v>
      </c>
      <c r="B1548" s="2">
        <v>44715.0</v>
      </c>
      <c r="C1548" s="3">
        <v>0.763912037037037</v>
      </c>
      <c r="D1548" s="1">
        <v>12.506095</v>
      </c>
      <c r="E1548" s="1">
        <v>79.880198</v>
      </c>
      <c r="F1548" s="1">
        <v>805.0</v>
      </c>
      <c r="G1548" s="1">
        <v>32.0</v>
      </c>
    </row>
    <row r="1549">
      <c r="A1549" s="1" t="s">
        <v>8</v>
      </c>
      <c r="B1549" s="2">
        <v>44715.0</v>
      </c>
      <c r="C1549" s="3">
        <v>0.7642824074074074</v>
      </c>
      <c r="D1549" s="1">
        <v>12.502641</v>
      </c>
      <c r="E1549" s="1">
        <v>79.877419</v>
      </c>
      <c r="F1549" s="1">
        <v>805.0</v>
      </c>
      <c r="G1549" s="1">
        <v>57.0</v>
      </c>
    </row>
    <row r="1550">
      <c r="A1550" s="1" t="s">
        <v>8</v>
      </c>
      <c r="B1550" s="2">
        <v>44715.0</v>
      </c>
      <c r="C1550" s="3">
        <v>0.7647800925925926</v>
      </c>
      <c r="D1550" s="1">
        <v>13.053845</v>
      </c>
      <c r="E1550" s="1">
        <v>80.264155</v>
      </c>
      <c r="F1550" s="1">
        <v>2846.0</v>
      </c>
      <c r="G1550" s="1">
        <v>48.0</v>
      </c>
    </row>
    <row r="1551">
      <c r="A1551" s="1" t="s">
        <v>8</v>
      </c>
      <c r="B1551" s="2">
        <v>44715.0</v>
      </c>
      <c r="C1551" s="3">
        <v>0.7650810185185185</v>
      </c>
      <c r="D1551" s="1">
        <v>13.054123</v>
      </c>
      <c r="E1551" s="1">
        <v>80.261229</v>
      </c>
      <c r="F1551" s="1">
        <v>2846.0</v>
      </c>
      <c r="G1551" s="1">
        <v>21.0</v>
      </c>
    </row>
    <row r="1552">
      <c r="A1552" s="1" t="s">
        <v>8</v>
      </c>
      <c r="B1552" s="2">
        <v>44715.0</v>
      </c>
      <c r="C1552" s="3">
        <v>0.7651041666666667</v>
      </c>
      <c r="D1552" s="1">
        <v>13.054123</v>
      </c>
      <c r="E1552" s="1">
        <v>80.261229</v>
      </c>
      <c r="F1552" s="1">
        <v>2846.0</v>
      </c>
      <c r="G1552" s="1">
        <v>21.0</v>
      </c>
    </row>
    <row r="1553">
      <c r="A1553" s="1" t="s">
        <v>8</v>
      </c>
      <c r="B1553" s="2">
        <v>44715.0</v>
      </c>
      <c r="C1553" s="3">
        <v>0.7651041666666667</v>
      </c>
      <c r="D1553" s="1">
        <v>13.054123</v>
      </c>
      <c r="E1553" s="1">
        <v>80.261229</v>
      </c>
      <c r="F1553" s="1">
        <v>2846.0</v>
      </c>
      <c r="G1553" s="1">
        <v>21.0</v>
      </c>
    </row>
    <row r="1554">
      <c r="A1554" s="1" t="s">
        <v>8</v>
      </c>
      <c r="B1554" s="2">
        <v>44715.0</v>
      </c>
      <c r="C1554" s="3">
        <v>0.7651388888888889</v>
      </c>
      <c r="D1554" s="1">
        <v>13.054188</v>
      </c>
      <c r="E1554" s="1">
        <v>80.260496</v>
      </c>
      <c r="F1554" s="1">
        <v>2846.0</v>
      </c>
      <c r="G1554" s="1">
        <v>27.0</v>
      </c>
    </row>
    <row r="1555">
      <c r="A1555" s="1" t="s">
        <v>8</v>
      </c>
      <c r="B1555" s="2">
        <v>44715.0</v>
      </c>
      <c r="C1555" s="3">
        <v>0.7651388888888889</v>
      </c>
      <c r="D1555" s="1">
        <v>13.054123</v>
      </c>
      <c r="E1555" s="1">
        <v>80.261229</v>
      </c>
      <c r="F1555" s="1">
        <v>2846.0</v>
      </c>
      <c r="G1555" s="1">
        <v>21.0</v>
      </c>
    </row>
    <row r="1556">
      <c r="A1556" s="1" t="s">
        <v>8</v>
      </c>
      <c r="B1556" s="2">
        <v>44715.0</v>
      </c>
      <c r="C1556" s="3">
        <v>0.765162037037037</v>
      </c>
      <c r="D1556" s="1">
        <v>13.054188</v>
      </c>
      <c r="E1556" s="1">
        <v>80.260496</v>
      </c>
      <c r="F1556" s="1">
        <v>2846.0</v>
      </c>
      <c r="G1556" s="1">
        <v>27.0</v>
      </c>
    </row>
    <row r="1557">
      <c r="A1557" s="1" t="s">
        <v>8</v>
      </c>
      <c r="B1557" s="2">
        <v>44715.0</v>
      </c>
      <c r="C1557" s="3">
        <v>0.7651967592592592</v>
      </c>
      <c r="D1557" s="1">
        <v>13.054188</v>
      </c>
      <c r="E1557" s="1">
        <v>80.260496</v>
      </c>
      <c r="F1557" s="1">
        <v>2846.0</v>
      </c>
      <c r="G1557" s="1">
        <v>27.0</v>
      </c>
    </row>
    <row r="1558">
      <c r="A1558" s="1" t="s">
        <v>8</v>
      </c>
      <c r="B1558" s="2">
        <v>44715.0</v>
      </c>
      <c r="C1558" s="3">
        <v>0.7652083333333334</v>
      </c>
      <c r="D1558" s="1">
        <v>13.054188</v>
      </c>
      <c r="E1558" s="1">
        <v>80.260496</v>
      </c>
      <c r="F1558" s="1">
        <v>2846.0</v>
      </c>
      <c r="G1558" s="1">
        <v>27.0</v>
      </c>
    </row>
    <row r="1559">
      <c r="A1559" s="1" t="s">
        <v>8</v>
      </c>
      <c r="B1559" s="2">
        <v>44715.0</v>
      </c>
      <c r="C1559" s="3">
        <v>0.7652199074074074</v>
      </c>
      <c r="D1559" s="1">
        <v>12.49612</v>
      </c>
      <c r="E1559" s="1">
        <v>79.872126</v>
      </c>
      <c r="F1559" s="1">
        <v>805.0</v>
      </c>
      <c r="G1559" s="1">
        <v>0.0</v>
      </c>
    </row>
    <row r="1560">
      <c r="A1560" s="1" t="s">
        <v>7</v>
      </c>
      <c r="B1560" s="2">
        <v>44715.0</v>
      </c>
      <c r="C1560" s="3">
        <v>0.7654166666666666</v>
      </c>
      <c r="D1560" s="1">
        <v>12.49612</v>
      </c>
      <c r="E1560" s="1">
        <v>79.872126</v>
      </c>
      <c r="F1560" s="1">
        <v>805.0</v>
      </c>
      <c r="G1560" s="1">
        <v>0.0</v>
      </c>
    </row>
    <row r="1561">
      <c r="A1561" s="1" t="s">
        <v>8</v>
      </c>
      <c r="B1561" s="2">
        <v>44715.0</v>
      </c>
      <c r="C1561" s="3">
        <v>0.7655208333333333</v>
      </c>
      <c r="D1561" s="1">
        <v>13.054464</v>
      </c>
      <c r="E1561" s="1">
        <v>80.257679</v>
      </c>
      <c r="F1561" s="1">
        <v>2846.0</v>
      </c>
      <c r="G1561" s="1">
        <v>39.0</v>
      </c>
    </row>
    <row r="1562">
      <c r="A1562" s="1" t="s">
        <v>8</v>
      </c>
      <c r="B1562" s="2">
        <v>44715.0</v>
      </c>
      <c r="C1562" s="3">
        <v>0.7655555555555555</v>
      </c>
      <c r="D1562" s="1">
        <v>13.054464</v>
      </c>
      <c r="E1562" s="1">
        <v>80.257679</v>
      </c>
      <c r="F1562" s="1">
        <v>2846.0</v>
      </c>
      <c r="G1562" s="1">
        <v>39.0</v>
      </c>
    </row>
    <row r="1563">
      <c r="A1563" s="1" t="s">
        <v>8</v>
      </c>
      <c r="B1563" s="2">
        <v>44715.0</v>
      </c>
      <c r="C1563" s="3">
        <v>0.765613425925926</v>
      </c>
      <c r="D1563" s="1">
        <v>13.054545</v>
      </c>
      <c r="E1563" s="1">
        <v>80.256635</v>
      </c>
      <c r="F1563" s="1">
        <v>2846.0</v>
      </c>
      <c r="G1563" s="1">
        <v>41.0</v>
      </c>
    </row>
    <row r="1564">
      <c r="A1564" s="1" t="s">
        <v>9</v>
      </c>
      <c r="B1564" s="2">
        <v>44715.0</v>
      </c>
      <c r="C1564" s="3">
        <v>0.7656944444444445</v>
      </c>
      <c r="D1564" s="1">
        <v>13.054545</v>
      </c>
      <c r="E1564" s="1">
        <v>80.256635</v>
      </c>
      <c r="F1564" s="1">
        <v>2846.0</v>
      </c>
      <c r="G1564" s="1">
        <v>41.0</v>
      </c>
    </row>
    <row r="1565">
      <c r="A1565" s="1" t="s">
        <v>7</v>
      </c>
      <c r="B1565" s="2">
        <v>44715.0</v>
      </c>
      <c r="C1565" s="3">
        <v>0.7658449074074074</v>
      </c>
      <c r="D1565" s="1">
        <v>12.498113</v>
      </c>
      <c r="E1565" s="1">
        <v>79.87363</v>
      </c>
      <c r="F1565" s="1">
        <v>805.0</v>
      </c>
      <c r="G1565" s="1">
        <v>61.0</v>
      </c>
    </row>
    <row r="1566">
      <c r="A1566" s="1" t="s">
        <v>7</v>
      </c>
      <c r="B1566" s="2">
        <v>44715.0</v>
      </c>
      <c r="C1566" s="3">
        <v>0.7662962962962963</v>
      </c>
      <c r="D1566" s="1">
        <v>12.501853</v>
      </c>
      <c r="E1566" s="1">
        <v>79.876591</v>
      </c>
      <c r="F1566" s="1">
        <v>805.0</v>
      </c>
      <c r="G1566" s="1">
        <v>58.0</v>
      </c>
    </row>
    <row r="1567">
      <c r="A1567" s="1" t="s">
        <v>8</v>
      </c>
      <c r="B1567" s="2">
        <v>44715.0</v>
      </c>
      <c r="C1567" s="3">
        <v>0.7663541666666667</v>
      </c>
      <c r="D1567" s="1">
        <v>13.053544</v>
      </c>
      <c r="E1567" s="1">
        <v>80.252675</v>
      </c>
      <c r="F1567" s="1">
        <v>2846.0</v>
      </c>
      <c r="G1567" s="1">
        <v>25.0</v>
      </c>
    </row>
    <row r="1568">
      <c r="A1568" s="1" t="s">
        <v>7</v>
      </c>
      <c r="B1568" s="2">
        <v>44715.0</v>
      </c>
      <c r="C1568" s="3">
        <v>0.7663657407407407</v>
      </c>
      <c r="D1568" s="1">
        <v>12.503806</v>
      </c>
      <c r="E1568" s="1">
        <v>79.878157</v>
      </c>
      <c r="F1568" s="1">
        <v>805.0</v>
      </c>
      <c r="G1568" s="1">
        <v>58.0</v>
      </c>
    </row>
    <row r="1569">
      <c r="A1569" s="1" t="s">
        <v>8</v>
      </c>
      <c r="B1569" s="2">
        <v>44715.0</v>
      </c>
      <c r="C1569" s="3">
        <v>0.7664351851851852</v>
      </c>
      <c r="D1569" s="1">
        <v>13.053544</v>
      </c>
      <c r="E1569" s="1">
        <v>80.252675</v>
      </c>
      <c r="F1569" s="1">
        <v>2846.0</v>
      </c>
      <c r="G1569" s="1">
        <v>25.0</v>
      </c>
    </row>
    <row r="1570">
      <c r="A1570" s="1" t="s">
        <v>7</v>
      </c>
      <c r="B1570" s="2">
        <v>44715.0</v>
      </c>
      <c r="C1570" s="3">
        <v>0.7665740740740741</v>
      </c>
      <c r="D1570" s="1">
        <v>12.505653</v>
      </c>
      <c r="E1570" s="1">
        <v>79.879632</v>
      </c>
      <c r="F1570" s="1">
        <v>805.0</v>
      </c>
      <c r="G1570" s="1">
        <v>58.0</v>
      </c>
    </row>
    <row r="1571">
      <c r="A1571" s="1" t="s">
        <v>8</v>
      </c>
      <c r="B1571" s="2">
        <v>44715.0</v>
      </c>
      <c r="C1571" s="3">
        <v>0.7666782407407408</v>
      </c>
      <c r="D1571" s="1">
        <v>13.052375</v>
      </c>
      <c r="E1571" s="1">
        <v>80.251035</v>
      </c>
      <c r="F1571" s="1">
        <v>2846.0</v>
      </c>
      <c r="G1571" s="1">
        <v>29.0</v>
      </c>
    </row>
    <row r="1572">
      <c r="A1572" s="1" t="s">
        <v>7</v>
      </c>
      <c r="B1572" s="2">
        <v>44715.0</v>
      </c>
      <c r="C1572" s="3">
        <v>0.7670949074074074</v>
      </c>
      <c r="D1572" s="1">
        <v>12.51156</v>
      </c>
      <c r="E1572" s="1">
        <v>79.883247</v>
      </c>
      <c r="F1572" s="1">
        <v>805.0</v>
      </c>
      <c r="G1572" s="1">
        <v>57.0</v>
      </c>
    </row>
    <row r="1573">
      <c r="A1573" s="1" t="s">
        <v>8</v>
      </c>
      <c r="B1573" s="2">
        <v>44715.0</v>
      </c>
      <c r="C1573" s="3">
        <v>0.7672337962962963</v>
      </c>
      <c r="D1573" s="1">
        <v>13.049187</v>
      </c>
      <c r="E1573" s="1">
        <v>80.249763</v>
      </c>
      <c r="F1573" s="1">
        <v>2846.0</v>
      </c>
      <c r="G1573" s="1">
        <v>40.0</v>
      </c>
    </row>
    <row r="1574">
      <c r="A1574" s="1" t="s">
        <v>7</v>
      </c>
      <c r="B1574" s="2">
        <v>44715.0</v>
      </c>
      <c r="C1574" s="3">
        <v>0.7684027777777778</v>
      </c>
      <c r="D1574" s="1">
        <v>12.522131</v>
      </c>
      <c r="E1574" s="1">
        <v>79.895457</v>
      </c>
      <c r="F1574" s="1">
        <v>805.0</v>
      </c>
      <c r="G1574" s="1">
        <v>58.0</v>
      </c>
    </row>
    <row r="1575">
      <c r="A1575" s="1" t="s">
        <v>7</v>
      </c>
      <c r="B1575" s="2">
        <v>44715.0</v>
      </c>
      <c r="C1575" s="3">
        <v>0.768900462962963</v>
      </c>
      <c r="D1575" s="1">
        <v>12.526483</v>
      </c>
      <c r="E1575" s="1">
        <v>79.897584</v>
      </c>
      <c r="F1575" s="1">
        <v>805.0</v>
      </c>
      <c r="G1575" s="1">
        <v>58.0</v>
      </c>
    </row>
    <row r="1576">
      <c r="A1576" s="1" t="s">
        <v>7</v>
      </c>
      <c r="B1576" s="2">
        <v>44715.0</v>
      </c>
      <c r="C1576" s="3">
        <v>0.7692476851851852</v>
      </c>
      <c r="D1576" s="1">
        <v>12.530687</v>
      </c>
      <c r="E1576" s="1">
        <v>79.899702</v>
      </c>
      <c r="F1576" s="1">
        <v>805.0</v>
      </c>
      <c r="G1576" s="1">
        <v>58.0</v>
      </c>
    </row>
    <row r="1577">
      <c r="A1577" s="1" t="s">
        <v>7</v>
      </c>
      <c r="B1577" s="2">
        <v>44715.0</v>
      </c>
      <c r="C1577" s="3">
        <v>0.7695138888888889</v>
      </c>
      <c r="D1577" s="1">
        <v>12.534935</v>
      </c>
      <c r="E1577" s="1">
        <v>79.901703</v>
      </c>
      <c r="F1577" s="1">
        <v>805.0</v>
      </c>
      <c r="G1577" s="1">
        <v>58.0</v>
      </c>
    </row>
    <row r="1578">
      <c r="A1578" s="1" t="s">
        <v>7</v>
      </c>
      <c r="B1578" s="2">
        <v>44715.0</v>
      </c>
      <c r="C1578" s="3">
        <v>0.7696412037037037</v>
      </c>
      <c r="D1578" s="1">
        <v>12.534935</v>
      </c>
      <c r="E1578" s="1">
        <v>79.901703</v>
      </c>
      <c r="F1578" s="1">
        <v>805.0</v>
      </c>
      <c r="G1578" s="1">
        <v>58.0</v>
      </c>
    </row>
    <row r="1579">
      <c r="A1579" s="1" t="s">
        <v>7</v>
      </c>
      <c r="B1579" s="2">
        <v>44715.0</v>
      </c>
      <c r="C1579" s="3">
        <v>0.7697337962962963</v>
      </c>
      <c r="D1579" s="1">
        <v>12.536946</v>
      </c>
      <c r="E1579" s="1">
        <v>79.902924</v>
      </c>
      <c r="F1579" s="1">
        <v>805.0</v>
      </c>
      <c r="G1579" s="1">
        <v>58.0</v>
      </c>
    </row>
    <row r="1580">
      <c r="A1580" s="1" t="s">
        <v>8</v>
      </c>
      <c r="B1580" s="2">
        <v>44715.0</v>
      </c>
      <c r="C1580" s="3">
        <v>0.7698495370370371</v>
      </c>
      <c r="D1580" s="1">
        <v>12.536946</v>
      </c>
      <c r="E1580" s="1">
        <v>79.902924</v>
      </c>
      <c r="F1580" s="1">
        <v>805.0</v>
      </c>
      <c r="G1580" s="1">
        <v>58.0</v>
      </c>
    </row>
    <row r="1581">
      <c r="A1581" s="1" t="s">
        <v>8</v>
      </c>
      <c r="B1581" s="2">
        <v>44715.0</v>
      </c>
      <c r="C1581" s="3">
        <v>0.7699074074074074</v>
      </c>
      <c r="D1581" s="1">
        <v>12.539022</v>
      </c>
      <c r="E1581" s="1">
        <v>79.903991</v>
      </c>
      <c r="F1581" s="1">
        <v>805.0</v>
      </c>
      <c r="G1581" s="1">
        <v>57.0</v>
      </c>
    </row>
    <row r="1582">
      <c r="A1582" s="1" t="s">
        <v>7</v>
      </c>
      <c r="B1582" s="2">
        <v>44715.0</v>
      </c>
      <c r="C1582" s="3">
        <v>0.770162037037037</v>
      </c>
      <c r="D1582" s="1">
        <v>12.541317</v>
      </c>
      <c r="E1582" s="1">
        <v>79.90442</v>
      </c>
      <c r="F1582" s="1">
        <v>805.0</v>
      </c>
      <c r="G1582" s="1">
        <v>58.0</v>
      </c>
    </row>
    <row r="1583">
      <c r="A1583" s="1" t="s">
        <v>8</v>
      </c>
      <c r="B1583" s="2">
        <v>44715.0</v>
      </c>
      <c r="C1583" s="3">
        <v>0.7702199074074074</v>
      </c>
      <c r="D1583" s="1">
        <v>12.541317</v>
      </c>
      <c r="E1583" s="1">
        <v>79.90442</v>
      </c>
      <c r="F1583" s="1">
        <v>805.0</v>
      </c>
      <c r="G1583" s="1">
        <v>58.0</v>
      </c>
    </row>
    <row r="1584">
      <c r="A1584" s="1" t="s">
        <v>7</v>
      </c>
      <c r="B1584" s="2">
        <v>44715.0</v>
      </c>
      <c r="C1584" s="3">
        <v>0.7703356481481481</v>
      </c>
      <c r="D1584" s="1">
        <v>12.543486</v>
      </c>
      <c r="E1584" s="1">
        <v>79.904843</v>
      </c>
      <c r="F1584" s="1">
        <v>805.0</v>
      </c>
      <c r="G1584" s="1">
        <v>52.0</v>
      </c>
    </row>
    <row r="1585">
      <c r="A1585" s="1" t="s">
        <v>8</v>
      </c>
      <c r="B1585" s="2">
        <v>44715.0</v>
      </c>
      <c r="C1585" s="3">
        <v>0.7703819444444444</v>
      </c>
      <c r="D1585" s="1">
        <v>13.041674</v>
      </c>
      <c r="E1585" s="1">
        <v>80.247525</v>
      </c>
      <c r="F1585" s="1">
        <v>2846.0</v>
      </c>
      <c r="G1585" s="1">
        <v>36.0</v>
      </c>
    </row>
    <row r="1586">
      <c r="A1586" s="1" t="s">
        <v>7</v>
      </c>
      <c r="B1586" s="2">
        <v>44715.0</v>
      </c>
      <c r="C1586" s="3">
        <v>0.7709259259259259</v>
      </c>
      <c r="D1586" s="1">
        <v>12.549185</v>
      </c>
      <c r="E1586" s="1">
        <v>79.905908</v>
      </c>
      <c r="F1586" s="1">
        <v>805.0</v>
      </c>
      <c r="G1586" s="1">
        <v>61.0</v>
      </c>
    </row>
    <row r="1587">
      <c r="A1587" s="1" t="s">
        <v>8</v>
      </c>
      <c r="B1587" s="2">
        <v>44715.0</v>
      </c>
      <c r="C1587" s="3">
        <v>0.7710185185185185</v>
      </c>
      <c r="D1587" s="1">
        <v>12.551424</v>
      </c>
      <c r="E1587" s="1">
        <v>79.906627</v>
      </c>
      <c r="F1587" s="1">
        <v>805.0</v>
      </c>
      <c r="G1587" s="1">
        <v>57.0</v>
      </c>
    </row>
    <row r="1588">
      <c r="A1588" s="1" t="s">
        <v>7</v>
      </c>
      <c r="B1588" s="2">
        <v>44715.0</v>
      </c>
      <c r="C1588" s="3">
        <v>0.7713194444444444</v>
      </c>
      <c r="D1588" s="1">
        <v>12.553709</v>
      </c>
      <c r="E1588" s="1">
        <v>79.907658</v>
      </c>
      <c r="F1588" s="1">
        <v>805.0</v>
      </c>
      <c r="G1588" s="1">
        <v>58.0</v>
      </c>
    </row>
    <row r="1589">
      <c r="A1589" s="1" t="s">
        <v>8</v>
      </c>
      <c r="B1589" s="2">
        <v>44715.0</v>
      </c>
      <c r="C1589" s="3">
        <v>0.7716319444444445</v>
      </c>
      <c r="D1589" s="1">
        <v>12.557684</v>
      </c>
      <c r="E1589" s="1">
        <v>79.909829</v>
      </c>
      <c r="F1589" s="1">
        <v>805.0</v>
      </c>
      <c r="G1589" s="1">
        <v>57.0</v>
      </c>
    </row>
    <row r="1590">
      <c r="A1590" s="1" t="s">
        <v>7</v>
      </c>
      <c r="B1590" s="2">
        <v>44715.0</v>
      </c>
      <c r="C1590" s="3">
        <v>0.7719675925925926</v>
      </c>
      <c r="D1590" s="1">
        <v>12.559711</v>
      </c>
      <c r="E1590" s="1">
        <v>79.911014</v>
      </c>
      <c r="F1590" s="1">
        <v>805.0</v>
      </c>
      <c r="G1590" s="1">
        <v>57.0</v>
      </c>
    </row>
    <row r="1591">
      <c r="A1591" s="1" t="s">
        <v>7</v>
      </c>
      <c r="B1591" s="2">
        <v>44715.0</v>
      </c>
      <c r="C1591" s="3">
        <v>0.7722916666666667</v>
      </c>
      <c r="D1591" s="1">
        <v>12.56559</v>
      </c>
      <c r="E1591" s="1">
        <v>79.914387</v>
      </c>
      <c r="F1591" s="1">
        <v>805.0</v>
      </c>
      <c r="G1591" s="1">
        <v>59.0</v>
      </c>
    </row>
    <row r="1592">
      <c r="A1592" s="1" t="s">
        <v>10</v>
      </c>
      <c r="B1592" s="2">
        <v>44715.0</v>
      </c>
      <c r="C1592" s="3">
        <v>0.7726041666666666</v>
      </c>
      <c r="D1592" s="1">
        <v>13.039618</v>
      </c>
      <c r="E1592" s="1">
        <v>80.247158</v>
      </c>
      <c r="F1592" s="1">
        <v>2846.0</v>
      </c>
      <c r="G1592" s="1">
        <v>13.0</v>
      </c>
    </row>
    <row r="1593">
      <c r="A1593" s="1" t="s">
        <v>7</v>
      </c>
      <c r="B1593" s="2">
        <v>44715.0</v>
      </c>
      <c r="C1593" s="3">
        <v>0.772824074074074</v>
      </c>
      <c r="D1593" s="1">
        <v>12.570111</v>
      </c>
      <c r="E1593" s="1">
        <v>79.915619</v>
      </c>
      <c r="F1593" s="1">
        <v>805.0</v>
      </c>
      <c r="G1593" s="1">
        <v>57.0</v>
      </c>
    </row>
    <row r="1594">
      <c r="A1594" s="1" t="s">
        <v>8</v>
      </c>
      <c r="B1594" s="2">
        <v>44715.0</v>
      </c>
      <c r="C1594" s="3">
        <v>0.7730092592592592</v>
      </c>
      <c r="D1594" s="1">
        <v>13.038198</v>
      </c>
      <c r="E1594" s="1">
        <v>80.246816</v>
      </c>
      <c r="F1594" s="1">
        <v>2846.0</v>
      </c>
      <c r="G1594" s="1">
        <v>22.0</v>
      </c>
    </row>
    <row r="1595">
      <c r="A1595" s="1" t="s">
        <v>8</v>
      </c>
      <c r="B1595" s="2">
        <v>44715.0</v>
      </c>
      <c r="C1595" s="3">
        <v>0.7730787037037037</v>
      </c>
      <c r="D1595" s="1">
        <v>13.038198</v>
      </c>
      <c r="E1595" s="1">
        <v>80.246816</v>
      </c>
      <c r="F1595" s="1">
        <v>2846.0</v>
      </c>
      <c r="G1595" s="1">
        <v>22.0</v>
      </c>
    </row>
    <row r="1596">
      <c r="A1596" s="1" t="s">
        <v>8</v>
      </c>
      <c r="B1596" s="2">
        <v>44715.0</v>
      </c>
      <c r="C1596" s="3">
        <v>0.7731134259259259</v>
      </c>
      <c r="D1596" s="1">
        <v>13.038198</v>
      </c>
      <c r="E1596" s="1">
        <v>80.246816</v>
      </c>
      <c r="F1596" s="1">
        <v>2846.0</v>
      </c>
      <c r="G1596" s="1">
        <v>22.0</v>
      </c>
    </row>
    <row r="1597">
      <c r="A1597" s="1" t="s">
        <v>7</v>
      </c>
      <c r="B1597" s="2">
        <v>44715.0</v>
      </c>
      <c r="C1597" s="3">
        <v>0.7731481481481481</v>
      </c>
      <c r="D1597" s="1">
        <v>12.57467</v>
      </c>
      <c r="E1597" s="1">
        <v>79.916707</v>
      </c>
      <c r="F1597" s="1">
        <v>805.0</v>
      </c>
      <c r="G1597" s="1">
        <v>61.0</v>
      </c>
    </row>
    <row r="1598">
      <c r="A1598" s="1" t="s">
        <v>8</v>
      </c>
      <c r="B1598" s="2">
        <v>44715.0</v>
      </c>
      <c r="C1598" s="3">
        <v>0.7731828703703704</v>
      </c>
      <c r="D1598" s="1">
        <v>13.03736</v>
      </c>
      <c r="E1598" s="1">
        <v>80.246579</v>
      </c>
      <c r="F1598" s="1">
        <v>2846.0</v>
      </c>
      <c r="G1598" s="1">
        <v>39.0</v>
      </c>
    </row>
    <row r="1599">
      <c r="A1599" s="1" t="s">
        <v>7</v>
      </c>
      <c r="B1599" s="2">
        <v>44715.0</v>
      </c>
      <c r="C1599" s="3">
        <v>0.7737152777777778</v>
      </c>
      <c r="D1599" s="1">
        <v>12.581557</v>
      </c>
      <c r="E1599" s="1">
        <v>79.918798</v>
      </c>
      <c r="F1599" s="1">
        <v>805.0</v>
      </c>
      <c r="G1599" s="1">
        <v>58.0</v>
      </c>
    </row>
    <row r="1600">
      <c r="A1600" s="1" t="s">
        <v>7</v>
      </c>
      <c r="B1600" s="2">
        <v>44715.0</v>
      </c>
      <c r="C1600" s="3">
        <v>0.7743518518518518</v>
      </c>
      <c r="D1600" s="1">
        <v>12.59088</v>
      </c>
      <c r="E1600" s="1">
        <v>79.919185</v>
      </c>
      <c r="F1600" s="1">
        <v>805.0</v>
      </c>
      <c r="G1600" s="1">
        <v>58.0</v>
      </c>
    </row>
    <row r="1601">
      <c r="A1601" s="1" t="s">
        <v>7</v>
      </c>
      <c r="B1601" s="2">
        <v>44715.0</v>
      </c>
      <c r="C1601" s="3">
        <v>0.774537037037037</v>
      </c>
      <c r="D1601" s="1">
        <v>12.593231</v>
      </c>
      <c r="E1601" s="1">
        <v>79.919116</v>
      </c>
      <c r="F1601" s="1">
        <v>805.0</v>
      </c>
      <c r="G1601" s="1">
        <v>58.0</v>
      </c>
    </row>
    <row r="1602">
      <c r="A1602" s="1" t="s">
        <v>7</v>
      </c>
      <c r="B1602" s="2">
        <v>44715.0</v>
      </c>
      <c r="C1602" s="3">
        <v>0.7748495370370371</v>
      </c>
      <c r="D1602" s="1">
        <v>12.595514</v>
      </c>
      <c r="E1602" s="1">
        <v>79.919362</v>
      </c>
      <c r="F1602" s="1">
        <v>805.0</v>
      </c>
      <c r="G1602" s="1">
        <v>56.0</v>
      </c>
    </row>
    <row r="1603">
      <c r="A1603" s="1" t="s">
        <v>10</v>
      </c>
      <c r="B1603" s="2">
        <v>44715.0</v>
      </c>
      <c r="C1603" s="3">
        <v>0.775150462962963</v>
      </c>
      <c r="D1603" s="1">
        <v>13.033984</v>
      </c>
      <c r="E1603" s="1">
        <v>80.244694</v>
      </c>
      <c r="F1603" s="1">
        <v>2846.0</v>
      </c>
      <c r="G1603" s="1">
        <v>13.0</v>
      </c>
    </row>
    <row r="1604">
      <c r="A1604" s="1" t="s">
        <v>7</v>
      </c>
      <c r="B1604" s="2">
        <v>44715.0</v>
      </c>
      <c r="C1604" s="3">
        <v>0.775613425925926</v>
      </c>
      <c r="D1604" s="1">
        <v>12.60468</v>
      </c>
      <c r="E1604" s="1">
        <v>79.920494</v>
      </c>
      <c r="F1604" s="1">
        <v>805.0</v>
      </c>
      <c r="G1604" s="1">
        <v>45.0</v>
      </c>
    </row>
    <row r="1605">
      <c r="A1605" s="1" t="s">
        <v>8</v>
      </c>
      <c r="B1605" s="2">
        <v>44715.0</v>
      </c>
      <c r="C1605" s="3">
        <v>0.7756597222222222</v>
      </c>
      <c r="D1605" s="1">
        <v>13.032337</v>
      </c>
      <c r="E1605" s="1">
        <v>80.242499</v>
      </c>
      <c r="F1605" s="1">
        <v>2846.0</v>
      </c>
      <c r="G1605" s="1">
        <v>48.0</v>
      </c>
    </row>
    <row r="1606">
      <c r="A1606" s="1" t="s">
        <v>8</v>
      </c>
      <c r="B1606" s="2">
        <v>44715.0</v>
      </c>
      <c r="C1606" s="3">
        <v>0.7757175925925925</v>
      </c>
      <c r="D1606" s="1">
        <v>13.031731</v>
      </c>
      <c r="E1606" s="1">
        <v>80.241314</v>
      </c>
      <c r="F1606" s="1">
        <v>2846.0</v>
      </c>
      <c r="G1606" s="1">
        <v>49.0</v>
      </c>
    </row>
    <row r="1607">
      <c r="A1607" s="1" t="s">
        <v>7</v>
      </c>
      <c r="B1607" s="2">
        <v>44715.0</v>
      </c>
      <c r="C1607" s="3">
        <v>0.7762847222222222</v>
      </c>
      <c r="D1607" s="1">
        <v>12.613063</v>
      </c>
      <c r="E1607" s="1">
        <v>79.924351</v>
      </c>
      <c r="F1607" s="1">
        <v>805.0</v>
      </c>
      <c r="G1607" s="1">
        <v>58.0</v>
      </c>
    </row>
    <row r="1608">
      <c r="A1608" s="1" t="s">
        <v>8</v>
      </c>
      <c r="B1608" s="2">
        <v>44715.0</v>
      </c>
      <c r="C1608" s="3">
        <v>0.7764583333333334</v>
      </c>
      <c r="D1608" s="1">
        <v>12.615112</v>
      </c>
      <c r="E1608" s="1">
        <v>79.925513</v>
      </c>
      <c r="F1608" s="1">
        <v>805.0</v>
      </c>
      <c r="G1608" s="1">
        <v>58.0</v>
      </c>
    </row>
    <row r="1609">
      <c r="A1609" s="1" t="s">
        <v>7</v>
      </c>
      <c r="B1609" s="2">
        <v>44715.0</v>
      </c>
      <c r="C1609" s="3">
        <v>0.7765277777777778</v>
      </c>
      <c r="D1609" s="1">
        <v>12.615112</v>
      </c>
      <c r="E1609" s="1">
        <v>79.925513</v>
      </c>
      <c r="F1609" s="1">
        <v>805.0</v>
      </c>
      <c r="G1609" s="1">
        <v>58.0</v>
      </c>
    </row>
    <row r="1610">
      <c r="A1610" s="1" t="s">
        <v>7</v>
      </c>
      <c r="B1610" s="2">
        <v>44715.0</v>
      </c>
      <c r="C1610" s="3">
        <v>0.7773263888888889</v>
      </c>
      <c r="D1610" s="1">
        <v>12.62614</v>
      </c>
      <c r="E1610" s="1">
        <v>79.929401</v>
      </c>
      <c r="F1610" s="1">
        <v>805.0</v>
      </c>
      <c r="G1610" s="1">
        <v>58.0</v>
      </c>
    </row>
    <row r="1611">
      <c r="A1611" s="1" t="s">
        <v>8</v>
      </c>
      <c r="B1611" s="2">
        <v>44715.0</v>
      </c>
      <c r="C1611" s="3">
        <v>0.7780902777777777</v>
      </c>
      <c r="D1611" s="1">
        <v>12.634514</v>
      </c>
      <c r="E1611" s="1">
        <v>79.932967</v>
      </c>
      <c r="F1611" s="1">
        <v>805.0</v>
      </c>
      <c r="G1611" s="1">
        <v>52.0</v>
      </c>
    </row>
    <row r="1612">
      <c r="A1612" s="1" t="s">
        <v>8</v>
      </c>
      <c r="B1612" s="2">
        <v>44715.0</v>
      </c>
      <c r="C1612" s="3">
        <v>0.7781597222222222</v>
      </c>
      <c r="D1612" s="1">
        <v>12.634514</v>
      </c>
      <c r="E1612" s="1">
        <v>79.932967</v>
      </c>
      <c r="F1612" s="1">
        <v>805.0</v>
      </c>
      <c r="G1612" s="1">
        <v>52.0</v>
      </c>
    </row>
    <row r="1613">
      <c r="A1613" s="1" t="s">
        <v>7</v>
      </c>
      <c r="B1613" s="2">
        <v>44715.0</v>
      </c>
      <c r="C1613" s="3">
        <v>0.7782060185185186</v>
      </c>
      <c r="D1613" s="1">
        <v>12.634514</v>
      </c>
      <c r="E1613" s="1">
        <v>79.932967</v>
      </c>
      <c r="F1613" s="1">
        <v>805.0</v>
      </c>
      <c r="G1613" s="1">
        <v>52.0</v>
      </c>
    </row>
    <row r="1614">
      <c r="A1614" s="1" t="s">
        <v>8</v>
      </c>
      <c r="B1614" s="2">
        <v>44715.0</v>
      </c>
      <c r="C1614" s="3">
        <v>0.7782175925925926</v>
      </c>
      <c r="D1614" s="1">
        <v>13.030863</v>
      </c>
      <c r="E1614" s="1">
        <v>80.239523</v>
      </c>
      <c r="F1614" s="1">
        <v>2846.0</v>
      </c>
      <c r="G1614" s="1">
        <v>28.0</v>
      </c>
    </row>
    <row r="1615">
      <c r="A1615" s="1" t="s">
        <v>8</v>
      </c>
      <c r="B1615" s="2">
        <v>44715.0</v>
      </c>
      <c r="C1615" s="3">
        <v>0.7782638888888889</v>
      </c>
      <c r="D1615" s="1">
        <v>13.030863</v>
      </c>
      <c r="E1615" s="1">
        <v>80.239523</v>
      </c>
      <c r="F1615" s="1">
        <v>2846.0</v>
      </c>
      <c r="G1615" s="1">
        <v>28.0</v>
      </c>
    </row>
    <row r="1616">
      <c r="A1616" s="1" t="s">
        <v>8</v>
      </c>
      <c r="B1616" s="2">
        <v>44715.0</v>
      </c>
      <c r="C1616" s="3">
        <v>0.7783101851851851</v>
      </c>
      <c r="D1616" s="1">
        <v>13.030863</v>
      </c>
      <c r="E1616" s="1">
        <v>80.239523</v>
      </c>
      <c r="F1616" s="1">
        <v>2846.0</v>
      </c>
      <c r="G1616" s="1">
        <v>28.0</v>
      </c>
    </row>
    <row r="1617">
      <c r="A1617" s="1" t="s">
        <v>8</v>
      </c>
      <c r="B1617" s="2">
        <v>44715.0</v>
      </c>
      <c r="C1617" s="3">
        <v>0.7783564814814815</v>
      </c>
      <c r="D1617" s="1">
        <v>13.030501</v>
      </c>
      <c r="E1617" s="1">
        <v>80.238868</v>
      </c>
      <c r="F1617" s="1">
        <v>2846.0</v>
      </c>
      <c r="G1617" s="1">
        <v>30.0</v>
      </c>
    </row>
    <row r="1618">
      <c r="A1618" s="1" t="s">
        <v>7</v>
      </c>
      <c r="B1618" s="2">
        <v>44715.0</v>
      </c>
      <c r="C1618" s="3">
        <v>0.7785648148148148</v>
      </c>
      <c r="D1618" s="1">
        <v>12.638535</v>
      </c>
      <c r="E1618" s="1">
        <v>79.935326</v>
      </c>
      <c r="F1618" s="1">
        <v>805.0</v>
      </c>
      <c r="G1618" s="1">
        <v>57.0</v>
      </c>
    </row>
    <row r="1619">
      <c r="A1619" s="1" t="s">
        <v>8</v>
      </c>
      <c r="B1619" s="2">
        <v>44715.0</v>
      </c>
      <c r="C1619" s="3">
        <v>0.7786226851851852</v>
      </c>
      <c r="D1619" s="1">
        <v>13.029513</v>
      </c>
      <c r="E1619" s="1">
        <v>80.237218</v>
      </c>
      <c r="F1619" s="1">
        <v>2846.0</v>
      </c>
      <c r="G1619" s="1">
        <v>45.0</v>
      </c>
    </row>
    <row r="1620">
      <c r="A1620" s="1" t="s">
        <v>9</v>
      </c>
      <c r="B1620" s="2">
        <v>44715.0</v>
      </c>
      <c r="C1620" s="3">
        <v>0.7787962962962963</v>
      </c>
      <c r="D1620" s="1">
        <v>13.027923</v>
      </c>
      <c r="E1620" s="1">
        <v>80.235403</v>
      </c>
      <c r="F1620" s="1">
        <v>2846.0</v>
      </c>
      <c r="G1620" s="1">
        <v>40.0</v>
      </c>
    </row>
    <row r="1621">
      <c r="A1621" s="1" t="s">
        <v>7</v>
      </c>
      <c r="B1621" s="2">
        <v>44715.0</v>
      </c>
      <c r="C1621" s="3">
        <v>0.7788078703703704</v>
      </c>
      <c r="D1621" s="1">
        <v>12.642442</v>
      </c>
      <c r="E1621" s="1">
        <v>79.937699</v>
      </c>
      <c r="F1621" s="1">
        <v>805.0</v>
      </c>
      <c r="G1621" s="1">
        <v>58.0</v>
      </c>
    </row>
    <row r="1622">
      <c r="A1622" s="1" t="s">
        <v>7</v>
      </c>
      <c r="B1622" s="2">
        <v>44715.0</v>
      </c>
      <c r="C1622" s="3">
        <v>0.7794212962962963</v>
      </c>
      <c r="D1622" s="1">
        <v>12.64876</v>
      </c>
      <c r="E1622" s="1">
        <v>79.940594</v>
      </c>
      <c r="F1622" s="1">
        <v>805.0</v>
      </c>
      <c r="G1622" s="1">
        <v>58.0</v>
      </c>
    </row>
    <row r="1623">
      <c r="A1623" s="1" t="s">
        <v>7</v>
      </c>
      <c r="B1623" s="2">
        <v>44715.0</v>
      </c>
      <c r="C1623" s="3">
        <v>0.7795833333333333</v>
      </c>
      <c r="D1623" s="1">
        <v>12.651096</v>
      </c>
      <c r="E1623" s="1">
        <v>79.940355</v>
      </c>
      <c r="F1623" s="1">
        <v>805.0</v>
      </c>
      <c r="G1623" s="1">
        <v>58.0</v>
      </c>
    </row>
    <row r="1624">
      <c r="A1624" s="1" t="s">
        <v>7</v>
      </c>
      <c r="B1624" s="2">
        <v>44715.0</v>
      </c>
      <c r="C1624" s="3">
        <v>0.7796527777777778</v>
      </c>
      <c r="D1624" s="1">
        <v>12.651096</v>
      </c>
      <c r="E1624" s="1">
        <v>79.940355</v>
      </c>
      <c r="F1624" s="1">
        <v>805.0</v>
      </c>
      <c r="G1624" s="1">
        <v>58.0</v>
      </c>
    </row>
    <row r="1625">
      <c r="A1625" s="1" t="s">
        <v>7</v>
      </c>
      <c r="B1625" s="2">
        <v>44715.0</v>
      </c>
      <c r="C1625" s="3">
        <v>0.7798495370370371</v>
      </c>
      <c r="D1625" s="1">
        <v>12.653425</v>
      </c>
      <c r="E1625" s="1">
        <v>79.940111</v>
      </c>
      <c r="F1625" s="1">
        <v>805.0</v>
      </c>
      <c r="G1625" s="1">
        <v>58.0</v>
      </c>
    </row>
    <row r="1626">
      <c r="A1626" s="1" t="s">
        <v>8</v>
      </c>
      <c r="B1626" s="2">
        <v>44715.0</v>
      </c>
      <c r="C1626" s="3">
        <v>0.7798726851851852</v>
      </c>
      <c r="D1626" s="1">
        <v>12.653425</v>
      </c>
      <c r="E1626" s="1">
        <v>79.940111</v>
      </c>
      <c r="F1626" s="1">
        <v>805.0</v>
      </c>
      <c r="G1626" s="1">
        <v>58.0</v>
      </c>
    </row>
    <row r="1627">
      <c r="A1627" s="1" t="s">
        <v>8</v>
      </c>
      <c r="B1627" s="2">
        <v>44715.0</v>
      </c>
      <c r="C1627" s="3">
        <v>0.7801041666666667</v>
      </c>
      <c r="D1627" s="1">
        <v>12.657705</v>
      </c>
      <c r="E1627" s="1">
        <v>79.941398</v>
      </c>
      <c r="F1627" s="1">
        <v>805.0</v>
      </c>
      <c r="G1627" s="1">
        <v>58.0</v>
      </c>
    </row>
    <row r="1628">
      <c r="A1628" s="1" t="s">
        <v>7</v>
      </c>
      <c r="B1628" s="2">
        <v>44715.0</v>
      </c>
      <c r="C1628" s="3">
        <v>0.7809027777777777</v>
      </c>
      <c r="D1628" s="1">
        <v>12.656962</v>
      </c>
      <c r="E1628" s="1">
        <v>79.948802</v>
      </c>
      <c r="F1628" s="1">
        <v>805.0</v>
      </c>
      <c r="G1628" s="1">
        <v>40.0</v>
      </c>
    </row>
    <row r="1629">
      <c r="A1629" s="1" t="s">
        <v>7</v>
      </c>
      <c r="B1629" s="2">
        <v>44715.0</v>
      </c>
      <c r="C1629" s="3">
        <v>0.7814236111111111</v>
      </c>
      <c r="D1629" s="1">
        <v>12.656179</v>
      </c>
      <c r="E1629" s="1">
        <v>79.954067</v>
      </c>
      <c r="F1629" s="1">
        <v>805.0</v>
      </c>
      <c r="G1629" s="1">
        <v>53.0</v>
      </c>
    </row>
    <row r="1630">
      <c r="A1630" s="1" t="s">
        <v>7</v>
      </c>
      <c r="B1630" s="2">
        <v>44715.0</v>
      </c>
      <c r="C1630" s="3">
        <v>0.7816666666666666</v>
      </c>
      <c r="D1630" s="1">
        <v>12.656977</v>
      </c>
      <c r="E1630" s="1">
        <v>79.956187</v>
      </c>
      <c r="F1630" s="1">
        <v>805.0</v>
      </c>
      <c r="G1630" s="1">
        <v>58.0</v>
      </c>
    </row>
    <row r="1631">
      <c r="A1631" s="1" t="s">
        <v>8</v>
      </c>
      <c r="B1631" s="2">
        <v>44715.0</v>
      </c>
      <c r="C1631" s="3">
        <v>0.7816666666666666</v>
      </c>
      <c r="D1631" s="1">
        <v>13.024578</v>
      </c>
      <c r="E1631" s="1">
        <v>80.229131</v>
      </c>
      <c r="F1631" s="1">
        <v>2846.0</v>
      </c>
      <c r="G1631" s="1">
        <v>5.0</v>
      </c>
    </row>
    <row r="1632">
      <c r="A1632" s="1" t="s">
        <v>8</v>
      </c>
      <c r="B1632" s="2">
        <v>44715.0</v>
      </c>
      <c r="C1632" s="3">
        <v>0.7819560185185185</v>
      </c>
      <c r="D1632" s="1">
        <v>13.022548</v>
      </c>
      <c r="E1632" s="1">
        <v>80.22678</v>
      </c>
      <c r="F1632" s="1">
        <v>2846.0</v>
      </c>
      <c r="G1632" s="1">
        <v>55.0</v>
      </c>
    </row>
    <row r="1633">
      <c r="A1633" s="1" t="s">
        <v>7</v>
      </c>
      <c r="B1633" s="2">
        <v>44715.0</v>
      </c>
      <c r="C1633" s="3">
        <v>0.7820138888888889</v>
      </c>
      <c r="D1633" s="1">
        <v>13.022548</v>
      </c>
      <c r="E1633" s="1">
        <v>80.22678</v>
      </c>
      <c r="F1633" s="1">
        <v>2846.0</v>
      </c>
      <c r="G1633" s="1">
        <v>55.0</v>
      </c>
    </row>
    <row r="1634">
      <c r="A1634" s="1" t="s">
        <v>8</v>
      </c>
      <c r="B1634" s="2">
        <v>44715.0</v>
      </c>
      <c r="C1634" s="3">
        <v>0.782349537037037</v>
      </c>
      <c r="D1634" s="1">
        <v>13.019252</v>
      </c>
      <c r="E1634" s="1">
        <v>80.224487</v>
      </c>
      <c r="F1634" s="1">
        <v>2846.0</v>
      </c>
      <c r="G1634" s="1">
        <v>46.0</v>
      </c>
    </row>
    <row r="1635">
      <c r="A1635" s="1" t="s">
        <v>8</v>
      </c>
      <c r="B1635" s="2">
        <v>44715.0</v>
      </c>
      <c r="C1635" s="3">
        <v>0.7825462962962964</v>
      </c>
      <c r="D1635" s="1">
        <v>13.017547</v>
      </c>
      <c r="E1635" s="1">
        <v>80.225026</v>
      </c>
      <c r="F1635" s="1">
        <v>2846.0</v>
      </c>
      <c r="G1635" s="1">
        <v>31.0</v>
      </c>
    </row>
    <row r="1636">
      <c r="A1636" s="1" t="s">
        <v>8</v>
      </c>
      <c r="B1636" s="2">
        <v>44715.0</v>
      </c>
      <c r="C1636" s="3">
        <v>0.7825694444444444</v>
      </c>
      <c r="D1636" s="1">
        <v>13.017547</v>
      </c>
      <c r="E1636" s="1">
        <v>80.225026</v>
      </c>
      <c r="F1636" s="1">
        <v>2846.0</v>
      </c>
      <c r="G1636" s="1">
        <v>31.0</v>
      </c>
    </row>
    <row r="1637">
      <c r="A1637" s="1" t="s">
        <v>8</v>
      </c>
      <c r="B1637" s="2">
        <v>44715.0</v>
      </c>
      <c r="C1637" s="3">
        <v>0.7826388888888889</v>
      </c>
      <c r="D1637" s="1">
        <v>13.016648</v>
      </c>
      <c r="E1637" s="1">
        <v>80.225387</v>
      </c>
      <c r="F1637" s="1">
        <v>2846.0</v>
      </c>
      <c r="G1637" s="1">
        <v>36.0</v>
      </c>
    </row>
    <row r="1638">
      <c r="A1638" s="1" t="s">
        <v>8</v>
      </c>
      <c r="B1638" s="2">
        <v>44715.0</v>
      </c>
      <c r="C1638" s="3">
        <v>0.7827083333333333</v>
      </c>
      <c r="D1638" s="1">
        <v>13.016648</v>
      </c>
      <c r="E1638" s="1">
        <v>80.225387</v>
      </c>
      <c r="F1638" s="1">
        <v>2846.0</v>
      </c>
      <c r="G1638" s="1">
        <v>36.0</v>
      </c>
    </row>
    <row r="1639">
      <c r="A1639" s="1" t="s">
        <v>8</v>
      </c>
      <c r="B1639" s="2">
        <v>44715.0</v>
      </c>
      <c r="C1639" s="3">
        <v>0.7832175925925926</v>
      </c>
      <c r="D1639" s="1">
        <v>13.013958</v>
      </c>
      <c r="E1639" s="1">
        <v>80.226373</v>
      </c>
      <c r="F1639" s="1">
        <v>2846.0</v>
      </c>
      <c r="G1639" s="1">
        <v>29.0</v>
      </c>
    </row>
    <row r="1640">
      <c r="A1640" s="1" t="s">
        <v>8</v>
      </c>
      <c r="B1640" s="2">
        <v>44715.0</v>
      </c>
      <c r="C1640" s="3">
        <v>0.783425925925926</v>
      </c>
      <c r="D1640" s="1">
        <v>13.01313</v>
      </c>
      <c r="E1640" s="1">
        <v>80.226683</v>
      </c>
      <c r="F1640" s="1">
        <v>2846.0</v>
      </c>
      <c r="G1640" s="1">
        <v>34.0</v>
      </c>
    </row>
    <row r="1641">
      <c r="A1641" s="1" t="s">
        <v>8</v>
      </c>
      <c r="B1641" s="2">
        <v>44715.0</v>
      </c>
      <c r="C1641" s="3">
        <v>0.7835763888888889</v>
      </c>
      <c r="D1641" s="1">
        <v>13.01109</v>
      </c>
      <c r="E1641" s="1">
        <v>80.2275</v>
      </c>
      <c r="F1641" s="1">
        <v>2846.0</v>
      </c>
      <c r="G1641" s="1">
        <v>53.0</v>
      </c>
    </row>
    <row r="1642">
      <c r="A1642" s="1" t="s">
        <v>7</v>
      </c>
      <c r="B1642" s="2">
        <v>44715.0</v>
      </c>
      <c r="C1642" s="3">
        <v>0.783912037037037</v>
      </c>
      <c r="D1642" s="1">
        <v>12.681486</v>
      </c>
      <c r="E1642" s="1">
        <v>79.958369</v>
      </c>
      <c r="F1642" s="1">
        <v>805.0</v>
      </c>
      <c r="G1642" s="1">
        <v>55.0</v>
      </c>
    </row>
    <row r="1643">
      <c r="A1643" s="1" t="s">
        <v>7</v>
      </c>
      <c r="B1643" s="2">
        <v>44715.0</v>
      </c>
      <c r="C1643" s="3">
        <v>0.784074074074074</v>
      </c>
      <c r="D1643" s="1">
        <v>12.683811</v>
      </c>
      <c r="E1643" s="1">
        <v>79.958623</v>
      </c>
      <c r="F1643" s="1">
        <v>805.0</v>
      </c>
      <c r="G1643" s="1">
        <v>58.0</v>
      </c>
    </row>
    <row r="1644">
      <c r="A1644" s="1" t="s">
        <v>8</v>
      </c>
      <c r="B1644" s="2">
        <v>44715.0</v>
      </c>
      <c r="C1644" s="3">
        <v>0.7854398148148148</v>
      </c>
      <c r="D1644" s="1">
        <v>13.011433</v>
      </c>
      <c r="E1644" s="1">
        <v>80.223037</v>
      </c>
      <c r="F1644" s="1">
        <v>2846.0</v>
      </c>
      <c r="G1644" s="1">
        <v>29.0</v>
      </c>
    </row>
    <row r="1645">
      <c r="A1645" s="1" t="s">
        <v>9</v>
      </c>
      <c r="B1645" s="2">
        <v>44715.0</v>
      </c>
      <c r="C1645" s="3">
        <v>0.7855092592592593</v>
      </c>
      <c r="D1645" s="1">
        <v>13.011675</v>
      </c>
      <c r="E1645" s="1">
        <v>80.222323</v>
      </c>
      <c r="F1645" s="1">
        <v>2846.0</v>
      </c>
      <c r="G1645" s="1">
        <v>36.0</v>
      </c>
    </row>
    <row r="1646">
      <c r="A1646" s="1" t="s">
        <v>8</v>
      </c>
      <c r="B1646" s="2">
        <v>44715.0</v>
      </c>
      <c r="C1646" s="3">
        <v>0.7858449074074074</v>
      </c>
      <c r="D1646" s="1">
        <v>12.699414</v>
      </c>
      <c r="E1646" s="1">
        <v>79.968186</v>
      </c>
      <c r="F1646" s="1">
        <v>805.0</v>
      </c>
      <c r="G1646" s="1">
        <v>57.0</v>
      </c>
    </row>
    <row r="1647">
      <c r="A1647" s="1" t="s">
        <v>7</v>
      </c>
      <c r="B1647" s="2">
        <v>44715.0</v>
      </c>
      <c r="C1647" s="3">
        <v>0.7860300925925926</v>
      </c>
      <c r="D1647" s="1">
        <v>12.701506</v>
      </c>
      <c r="E1647" s="1">
        <v>79.969432</v>
      </c>
      <c r="F1647" s="1">
        <v>805.0</v>
      </c>
      <c r="G1647" s="1">
        <v>58.0</v>
      </c>
    </row>
    <row r="1648">
      <c r="A1648" s="1" t="s">
        <v>7</v>
      </c>
      <c r="B1648" s="2">
        <v>44715.0</v>
      </c>
      <c r="C1648" s="3">
        <v>0.7871296296296296</v>
      </c>
      <c r="D1648" s="1">
        <v>12.710947</v>
      </c>
      <c r="E1648" s="1">
        <v>79.978416</v>
      </c>
      <c r="F1648" s="1">
        <v>805.0</v>
      </c>
      <c r="G1648" s="1">
        <v>61.0</v>
      </c>
    </row>
    <row r="1649">
      <c r="A1649" s="1" t="s">
        <v>8</v>
      </c>
      <c r="B1649" s="2">
        <v>44715.0</v>
      </c>
      <c r="C1649" s="3">
        <v>0.7871412037037037</v>
      </c>
      <c r="D1649" s="1">
        <v>13.010303</v>
      </c>
      <c r="E1649" s="1">
        <v>80.21594</v>
      </c>
      <c r="F1649" s="1">
        <v>2846.0</v>
      </c>
      <c r="G1649" s="1">
        <v>30.0</v>
      </c>
    </row>
    <row r="1650">
      <c r="A1650" s="1" t="s">
        <v>9</v>
      </c>
      <c r="B1650" s="2">
        <v>44715.0</v>
      </c>
      <c r="C1650" s="3">
        <v>0.7873148148148148</v>
      </c>
      <c r="D1650" s="1">
        <v>13.010114</v>
      </c>
      <c r="E1650" s="1">
        <v>80.21517</v>
      </c>
      <c r="F1650" s="1">
        <v>2846.0</v>
      </c>
      <c r="G1650" s="1">
        <v>31.0</v>
      </c>
    </row>
    <row r="1651">
      <c r="A1651" s="1" t="s">
        <v>8</v>
      </c>
      <c r="B1651" s="2">
        <v>44715.0</v>
      </c>
      <c r="C1651" s="3">
        <v>0.7882291666666666</v>
      </c>
      <c r="D1651" s="1">
        <v>12.723739</v>
      </c>
      <c r="E1651" s="1">
        <v>79.981616</v>
      </c>
      <c r="F1651" s="1">
        <v>805.0</v>
      </c>
      <c r="G1651" s="1">
        <v>23.0</v>
      </c>
    </row>
    <row r="1652">
      <c r="A1652" s="1" t="s">
        <v>9</v>
      </c>
      <c r="B1652" s="2">
        <v>44715.0</v>
      </c>
      <c r="C1652" s="3">
        <v>0.7883680555555556</v>
      </c>
      <c r="D1652" s="1">
        <v>13.00863</v>
      </c>
      <c r="E1652" s="1">
        <v>80.210923</v>
      </c>
      <c r="F1652" s="1">
        <v>2846.0</v>
      </c>
      <c r="G1652" s="1">
        <v>31.0</v>
      </c>
    </row>
    <row r="1653">
      <c r="A1653" s="1" t="s">
        <v>8</v>
      </c>
      <c r="B1653" s="2">
        <v>44715.0</v>
      </c>
      <c r="C1653" s="3">
        <v>0.78875</v>
      </c>
      <c r="D1653" s="1">
        <v>13.007911</v>
      </c>
      <c r="E1653" s="1">
        <v>80.208459</v>
      </c>
      <c r="F1653" s="1">
        <v>2846.0</v>
      </c>
      <c r="G1653" s="1">
        <v>28.0</v>
      </c>
    </row>
    <row r="1654">
      <c r="A1654" s="1" t="s">
        <v>8</v>
      </c>
      <c r="B1654" s="2">
        <v>44715.0</v>
      </c>
      <c r="C1654" s="3">
        <v>0.7888541666666666</v>
      </c>
      <c r="D1654" s="1">
        <v>13.007911</v>
      </c>
      <c r="E1654" s="1">
        <v>80.208459</v>
      </c>
      <c r="F1654" s="1">
        <v>2846.0</v>
      </c>
      <c r="G1654" s="1">
        <v>28.0</v>
      </c>
    </row>
    <row r="1655">
      <c r="A1655" s="1" t="s">
        <v>10</v>
      </c>
      <c r="B1655" s="2">
        <v>44715.0</v>
      </c>
      <c r="C1655" s="3">
        <v>0.788900462962963</v>
      </c>
      <c r="D1655" s="1">
        <v>13.007769</v>
      </c>
      <c r="E1655" s="1">
        <v>80.207632</v>
      </c>
      <c r="F1655" s="1">
        <v>2846.0</v>
      </c>
      <c r="G1655" s="1">
        <v>33.0</v>
      </c>
    </row>
    <row r="1656">
      <c r="A1656" s="1" t="s">
        <v>7</v>
      </c>
      <c r="B1656" s="2">
        <v>44715.0</v>
      </c>
      <c r="C1656" s="3">
        <v>0.7891782407407407</v>
      </c>
      <c r="D1656" s="1">
        <v>12.729222</v>
      </c>
      <c r="E1656" s="1">
        <v>79.982669</v>
      </c>
      <c r="F1656" s="1">
        <v>805.0</v>
      </c>
      <c r="G1656" s="1">
        <v>60.0</v>
      </c>
    </row>
    <row r="1657">
      <c r="A1657" s="1" t="s">
        <v>8</v>
      </c>
      <c r="B1657" s="2">
        <v>44715.0</v>
      </c>
      <c r="C1657" s="3">
        <v>0.7894328703703704</v>
      </c>
      <c r="D1657" s="1">
        <v>13.007477</v>
      </c>
      <c r="E1657" s="1">
        <v>80.205824</v>
      </c>
      <c r="F1657" s="1">
        <v>2846.0</v>
      </c>
      <c r="G1657" s="1">
        <v>11.0</v>
      </c>
    </row>
    <row r="1658">
      <c r="A1658" s="1" t="s">
        <v>7</v>
      </c>
      <c r="B1658" s="2">
        <v>44715.0</v>
      </c>
      <c r="C1658" s="3">
        <v>0.7894791666666666</v>
      </c>
      <c r="D1658" s="1">
        <v>12.733714</v>
      </c>
      <c r="E1658" s="1">
        <v>79.98391</v>
      </c>
      <c r="F1658" s="1">
        <v>805.0</v>
      </c>
      <c r="G1658" s="1">
        <v>59.0</v>
      </c>
    </row>
    <row r="1659">
      <c r="A1659" s="1" t="s">
        <v>7</v>
      </c>
      <c r="B1659" s="2">
        <v>44715.0</v>
      </c>
      <c r="C1659" s="3">
        <v>0.7895486111111111</v>
      </c>
      <c r="D1659" s="1">
        <v>12.733714</v>
      </c>
      <c r="E1659" s="1">
        <v>79.98391</v>
      </c>
      <c r="F1659" s="1">
        <v>805.0</v>
      </c>
      <c r="G1659" s="1">
        <v>59.0</v>
      </c>
    </row>
    <row r="1660">
      <c r="A1660" s="1" t="s">
        <v>7</v>
      </c>
      <c r="B1660" s="2">
        <v>44715.0</v>
      </c>
      <c r="C1660" s="3">
        <v>0.7911342592592593</v>
      </c>
      <c r="D1660" s="1">
        <v>12.742915</v>
      </c>
      <c r="E1660" s="1">
        <v>79.992076</v>
      </c>
      <c r="F1660" s="1">
        <v>805.0</v>
      </c>
      <c r="G1660" s="1">
        <v>28.0</v>
      </c>
    </row>
    <row r="1661">
      <c r="A1661" s="1" t="s">
        <v>7</v>
      </c>
      <c r="B1661" s="2">
        <v>44715.0</v>
      </c>
      <c r="C1661" s="3">
        <v>0.791712962962963</v>
      </c>
      <c r="D1661" s="1">
        <v>12.746322</v>
      </c>
      <c r="E1661" s="1">
        <v>79.994846</v>
      </c>
      <c r="F1661" s="1">
        <v>805.0</v>
      </c>
      <c r="G1661" s="1">
        <v>58.0</v>
      </c>
    </row>
    <row r="1662">
      <c r="A1662" s="1" t="s">
        <v>9</v>
      </c>
      <c r="B1662" s="2">
        <v>44715.0</v>
      </c>
      <c r="C1662" s="3">
        <v>0.7919097222222222</v>
      </c>
      <c r="D1662" s="1">
        <v>13.001689</v>
      </c>
      <c r="E1662" s="1">
        <v>80.199294</v>
      </c>
      <c r="F1662" s="1">
        <v>2846.0</v>
      </c>
      <c r="G1662" s="1">
        <v>36.0</v>
      </c>
    </row>
    <row r="1663">
      <c r="A1663" s="1" t="s">
        <v>9</v>
      </c>
      <c r="B1663" s="2">
        <v>44715.0</v>
      </c>
      <c r="C1663" s="3">
        <v>0.7919444444444445</v>
      </c>
      <c r="D1663" s="1">
        <v>13.001689</v>
      </c>
      <c r="E1663" s="1">
        <v>80.199294</v>
      </c>
      <c r="F1663" s="1">
        <v>2846.0</v>
      </c>
      <c r="G1663" s="1">
        <v>36.0</v>
      </c>
    </row>
    <row r="1664">
      <c r="A1664" s="1" t="s">
        <v>9</v>
      </c>
      <c r="B1664" s="2">
        <v>44715.0</v>
      </c>
      <c r="C1664" s="3">
        <v>0.792037037037037</v>
      </c>
      <c r="D1664" s="1">
        <v>13.001821</v>
      </c>
      <c r="E1664" s="1">
        <v>80.198339</v>
      </c>
      <c r="F1664" s="1">
        <v>2846.0</v>
      </c>
      <c r="G1664" s="1">
        <v>31.0</v>
      </c>
    </row>
    <row r="1665">
      <c r="A1665" s="1" t="s">
        <v>9</v>
      </c>
      <c r="B1665" s="2">
        <v>44715.0</v>
      </c>
      <c r="C1665" s="3">
        <v>0.7921296296296296</v>
      </c>
      <c r="D1665" s="1">
        <v>13.001944</v>
      </c>
      <c r="E1665" s="1">
        <v>80.197522</v>
      </c>
      <c r="F1665" s="1">
        <v>2846.0</v>
      </c>
      <c r="G1665" s="1">
        <v>31.0</v>
      </c>
    </row>
    <row r="1666">
      <c r="A1666" s="1" t="s">
        <v>8</v>
      </c>
      <c r="B1666" s="2">
        <v>44715.0</v>
      </c>
      <c r="C1666" s="3">
        <v>0.7922685185185185</v>
      </c>
      <c r="D1666" s="1">
        <v>12.754015</v>
      </c>
      <c r="E1666" s="1">
        <v>80.00054</v>
      </c>
      <c r="F1666" s="1">
        <v>805.0</v>
      </c>
      <c r="G1666" s="1">
        <v>57.0</v>
      </c>
    </row>
    <row r="1667">
      <c r="A1667" s="1" t="s">
        <v>8</v>
      </c>
      <c r="B1667" s="2">
        <v>44715.0</v>
      </c>
      <c r="C1667" s="3">
        <v>0.7931944444444444</v>
      </c>
      <c r="D1667" s="1">
        <v>13.001072</v>
      </c>
      <c r="E1667" s="1">
        <v>80.195572</v>
      </c>
      <c r="F1667" s="1">
        <v>2846.0</v>
      </c>
      <c r="G1667" s="1">
        <v>40.0</v>
      </c>
    </row>
    <row r="1668">
      <c r="A1668" s="1" t="s">
        <v>8</v>
      </c>
      <c r="B1668" s="2">
        <v>44715.0</v>
      </c>
      <c r="C1668" s="3">
        <v>0.7932870370370371</v>
      </c>
      <c r="D1668" s="1">
        <v>13.000344</v>
      </c>
      <c r="E1668" s="1">
        <v>80.194654</v>
      </c>
      <c r="F1668" s="1">
        <v>2846.0</v>
      </c>
      <c r="G1668" s="1">
        <v>45.0</v>
      </c>
    </row>
    <row r="1669">
      <c r="A1669" s="1" t="s">
        <v>8</v>
      </c>
      <c r="B1669" s="2">
        <v>44715.0</v>
      </c>
      <c r="C1669" s="3">
        <v>0.7947106481481482</v>
      </c>
      <c r="D1669" s="1">
        <v>12.762541</v>
      </c>
      <c r="E1669" s="1">
        <v>80.003841</v>
      </c>
      <c r="F1669" s="1">
        <v>805.0</v>
      </c>
      <c r="G1669" s="1">
        <v>0.0</v>
      </c>
    </row>
    <row r="1670">
      <c r="A1670" s="1" t="s">
        <v>8</v>
      </c>
      <c r="B1670" s="2">
        <v>44715.0</v>
      </c>
      <c r="C1670" s="3">
        <v>0.7947685185185185</v>
      </c>
      <c r="D1670" s="1">
        <v>12.762541</v>
      </c>
      <c r="E1670" s="1">
        <v>80.003841</v>
      </c>
      <c r="F1670" s="1">
        <v>805.0</v>
      </c>
      <c r="G1670" s="1">
        <v>0.0</v>
      </c>
    </row>
    <row r="1671">
      <c r="A1671" s="1" t="s">
        <v>9</v>
      </c>
      <c r="B1671" s="2">
        <v>44715.0</v>
      </c>
      <c r="C1671" s="3">
        <v>0.7979513888888888</v>
      </c>
      <c r="D1671" s="1">
        <v>12.993886</v>
      </c>
      <c r="E1671" s="1">
        <v>80.185348</v>
      </c>
      <c r="F1671" s="1">
        <v>2846.0</v>
      </c>
      <c r="G1671" s="1">
        <v>25.0</v>
      </c>
    </row>
    <row r="1672">
      <c r="A1672" s="1" t="s">
        <v>8</v>
      </c>
      <c r="B1672" s="2">
        <v>44715.0</v>
      </c>
      <c r="C1672" s="3">
        <v>0.7979861111111111</v>
      </c>
      <c r="D1672" s="1">
        <v>12.791454</v>
      </c>
      <c r="E1672" s="1">
        <v>80.017684</v>
      </c>
      <c r="F1672" s="1">
        <v>805.0</v>
      </c>
      <c r="G1672" s="1">
        <v>45.0</v>
      </c>
    </row>
    <row r="1673">
      <c r="A1673" s="1" t="s">
        <v>9</v>
      </c>
      <c r="B1673" s="2">
        <v>44715.0</v>
      </c>
      <c r="C1673" s="3">
        <v>0.7980555555555555</v>
      </c>
      <c r="D1673" s="1">
        <v>12.99349</v>
      </c>
      <c r="E1673" s="1">
        <v>80.184638</v>
      </c>
      <c r="F1673" s="1">
        <v>2846.0</v>
      </c>
      <c r="G1673" s="1">
        <v>30.0</v>
      </c>
    </row>
    <row r="1674">
      <c r="A1674" s="1" t="s">
        <v>8</v>
      </c>
      <c r="B1674" s="2">
        <v>44715.0</v>
      </c>
      <c r="C1674" s="3">
        <v>0.7990046296296296</v>
      </c>
      <c r="D1674" s="1">
        <v>12.991145</v>
      </c>
      <c r="E1674" s="1">
        <v>80.181052</v>
      </c>
      <c r="F1674" s="1">
        <v>2846.0</v>
      </c>
      <c r="G1674" s="1">
        <v>27.0</v>
      </c>
    </row>
    <row r="1675">
      <c r="A1675" s="1" t="s">
        <v>9</v>
      </c>
      <c r="B1675" s="2">
        <v>44715.0</v>
      </c>
      <c r="C1675" s="3">
        <v>0.7991087962962963</v>
      </c>
      <c r="D1675" s="1">
        <v>12.990671</v>
      </c>
      <c r="E1675" s="1">
        <v>80.18044</v>
      </c>
      <c r="F1675" s="1">
        <v>2846.0</v>
      </c>
      <c r="G1675" s="1">
        <v>32.0</v>
      </c>
    </row>
    <row r="1676">
      <c r="A1676" s="1" t="s">
        <v>8</v>
      </c>
      <c r="B1676" s="2">
        <v>44715.0</v>
      </c>
      <c r="C1676" s="3">
        <v>0.7994675925925926</v>
      </c>
      <c r="D1676" s="1">
        <v>12.989584</v>
      </c>
      <c r="E1676" s="1">
        <v>80.179135</v>
      </c>
      <c r="F1676" s="1">
        <v>2846.0</v>
      </c>
      <c r="G1676" s="1">
        <v>12.0</v>
      </c>
    </row>
    <row r="1677">
      <c r="A1677" s="1" t="s">
        <v>9</v>
      </c>
      <c r="B1677" s="2">
        <v>44715.0</v>
      </c>
      <c r="C1677" s="3">
        <v>0.7995138888888889</v>
      </c>
      <c r="D1677" s="1">
        <v>12.98923</v>
      </c>
      <c r="E1677" s="1">
        <v>80.178686</v>
      </c>
      <c r="F1677" s="1">
        <v>2846.0</v>
      </c>
      <c r="G1677" s="1">
        <v>35.0</v>
      </c>
    </row>
    <row r="1678">
      <c r="A1678" s="1" t="s">
        <v>7</v>
      </c>
      <c r="B1678" s="2">
        <v>44715.0</v>
      </c>
      <c r="C1678" s="3">
        <v>0.7996296296296296</v>
      </c>
      <c r="D1678" s="1">
        <v>12.796766</v>
      </c>
      <c r="E1678" s="1">
        <v>80.021136</v>
      </c>
      <c r="F1678" s="1">
        <v>805.0</v>
      </c>
      <c r="G1678" s="1">
        <v>31.0</v>
      </c>
    </row>
    <row r="1679">
      <c r="A1679" s="1" t="s">
        <v>8</v>
      </c>
      <c r="B1679" s="2">
        <v>44715.0</v>
      </c>
      <c r="C1679" s="3">
        <v>0.8005555555555556</v>
      </c>
      <c r="D1679" s="1">
        <v>12.987072</v>
      </c>
      <c r="E1679" s="1">
        <v>80.175739</v>
      </c>
      <c r="F1679" s="1">
        <v>2846.0</v>
      </c>
      <c r="G1679" s="1">
        <v>26.0</v>
      </c>
    </row>
    <row r="1680">
      <c r="A1680" s="1" t="s">
        <v>8</v>
      </c>
      <c r="B1680" s="2">
        <v>44715.0</v>
      </c>
      <c r="C1680" s="3">
        <v>0.8006134259259259</v>
      </c>
      <c r="D1680" s="1">
        <v>12.987072</v>
      </c>
      <c r="E1680" s="1">
        <v>80.175739</v>
      </c>
      <c r="F1680" s="1">
        <v>2846.0</v>
      </c>
      <c r="G1680" s="1">
        <v>26.0</v>
      </c>
    </row>
    <row r="1681">
      <c r="A1681" s="1" t="s">
        <v>8</v>
      </c>
      <c r="B1681" s="2">
        <v>44715.0</v>
      </c>
      <c r="C1681" s="3">
        <v>0.8007986111111111</v>
      </c>
      <c r="D1681" s="1">
        <v>12.986312</v>
      </c>
      <c r="E1681" s="1">
        <v>80.174631</v>
      </c>
      <c r="F1681" s="1">
        <v>2846.0</v>
      </c>
      <c r="G1681" s="1">
        <v>25.0</v>
      </c>
    </row>
    <row r="1682">
      <c r="A1682" s="1" t="s">
        <v>8</v>
      </c>
      <c r="B1682" s="2">
        <v>44715.0</v>
      </c>
      <c r="C1682" s="3">
        <v>0.8010300925925926</v>
      </c>
      <c r="D1682" s="1">
        <v>12.985567</v>
      </c>
      <c r="E1682" s="1">
        <v>80.173556</v>
      </c>
      <c r="F1682" s="1">
        <v>2846.0</v>
      </c>
      <c r="G1682" s="1">
        <v>25.0</v>
      </c>
    </row>
    <row r="1683">
      <c r="A1683" s="1" t="s">
        <v>8</v>
      </c>
      <c r="B1683" s="2">
        <v>44715.0</v>
      </c>
      <c r="C1683" s="3">
        <v>0.8010648148148148</v>
      </c>
      <c r="D1683" s="1">
        <v>12.985567</v>
      </c>
      <c r="E1683" s="1">
        <v>80.173556</v>
      </c>
      <c r="F1683" s="1">
        <v>2846.0</v>
      </c>
      <c r="G1683" s="1">
        <v>25.0</v>
      </c>
    </row>
    <row r="1684">
      <c r="A1684" s="1" t="s">
        <v>8</v>
      </c>
      <c r="B1684" s="2">
        <v>44715.0</v>
      </c>
      <c r="C1684" s="3">
        <v>0.8011342592592593</v>
      </c>
      <c r="D1684" s="1">
        <v>12.985102</v>
      </c>
      <c r="E1684" s="1">
        <v>80.172881</v>
      </c>
      <c r="F1684" s="1">
        <v>2846.0</v>
      </c>
      <c r="G1684" s="1">
        <v>36.0</v>
      </c>
    </row>
    <row r="1685">
      <c r="A1685" s="1" t="s">
        <v>7</v>
      </c>
      <c r="B1685" s="2">
        <v>44715.0</v>
      </c>
      <c r="C1685" s="3">
        <v>0.801400462962963</v>
      </c>
      <c r="D1685" s="1">
        <v>12.8113</v>
      </c>
      <c r="E1685" s="1">
        <v>80.030647</v>
      </c>
      <c r="F1685" s="1">
        <v>805.0</v>
      </c>
      <c r="G1685" s="1">
        <v>58.0</v>
      </c>
    </row>
    <row r="1686">
      <c r="A1686" s="1" t="s">
        <v>8</v>
      </c>
      <c r="B1686" s="2">
        <v>44715.0</v>
      </c>
      <c r="C1686" s="3">
        <v>0.8016898148148148</v>
      </c>
      <c r="D1686" s="1">
        <v>12.98402</v>
      </c>
      <c r="E1686" s="1">
        <v>80.171166</v>
      </c>
      <c r="F1686" s="1">
        <v>2846.0</v>
      </c>
      <c r="G1686" s="1">
        <v>17.0</v>
      </c>
    </row>
    <row r="1687">
      <c r="A1687" s="1" t="s">
        <v>7</v>
      </c>
      <c r="B1687" s="2">
        <v>44715.0</v>
      </c>
      <c r="C1687" s="3">
        <v>0.801724537037037</v>
      </c>
      <c r="D1687" s="1">
        <v>12.819195</v>
      </c>
      <c r="E1687" s="1">
        <v>80.036044</v>
      </c>
      <c r="F1687" s="1">
        <v>805.0</v>
      </c>
      <c r="G1687" s="1">
        <v>59.0</v>
      </c>
    </row>
    <row r="1688">
      <c r="A1688" s="1" t="s">
        <v>8</v>
      </c>
      <c r="B1688" s="2">
        <v>44715.0</v>
      </c>
      <c r="C1688" s="3">
        <v>0.8017824074074074</v>
      </c>
      <c r="D1688" s="1">
        <v>12.983664</v>
      </c>
      <c r="E1688" s="1">
        <v>80.17055</v>
      </c>
      <c r="F1688" s="1">
        <v>2846.0</v>
      </c>
      <c r="G1688" s="1">
        <v>34.0</v>
      </c>
    </row>
    <row r="1689">
      <c r="A1689" s="1" t="s">
        <v>7</v>
      </c>
      <c r="B1689" s="2">
        <v>44715.0</v>
      </c>
      <c r="C1689" s="3">
        <v>0.8019444444444445</v>
      </c>
      <c r="D1689" s="1">
        <v>12.982661</v>
      </c>
      <c r="E1689" s="1">
        <v>80.168759</v>
      </c>
      <c r="F1689" s="1">
        <v>2846.0</v>
      </c>
      <c r="G1689" s="1">
        <v>51.0</v>
      </c>
    </row>
    <row r="1690">
      <c r="A1690" s="1" t="s">
        <v>8</v>
      </c>
      <c r="B1690" s="2">
        <v>44715.0</v>
      </c>
      <c r="C1690" s="3">
        <v>0.8019560185185185</v>
      </c>
      <c r="D1690" s="1">
        <v>12.982661</v>
      </c>
      <c r="E1690" s="1">
        <v>80.168759</v>
      </c>
      <c r="F1690" s="1">
        <v>2846.0</v>
      </c>
      <c r="G1690" s="1">
        <v>51.0</v>
      </c>
    </row>
    <row r="1691">
      <c r="A1691" s="1" t="s">
        <v>8</v>
      </c>
      <c r="B1691" s="2">
        <v>44715.0</v>
      </c>
      <c r="C1691" s="3">
        <v>0.8021064814814814</v>
      </c>
      <c r="D1691" s="1">
        <v>12.981997</v>
      </c>
      <c r="E1691" s="1">
        <v>80.167696</v>
      </c>
      <c r="F1691" s="1">
        <v>2846.0</v>
      </c>
      <c r="G1691" s="1">
        <v>44.0</v>
      </c>
    </row>
    <row r="1692">
      <c r="A1692" s="1" t="s">
        <v>7</v>
      </c>
      <c r="B1692" s="2">
        <v>44715.0</v>
      </c>
      <c r="C1692" s="3">
        <v>0.8021875</v>
      </c>
      <c r="D1692" s="1">
        <v>12.822997</v>
      </c>
      <c r="E1692" s="1">
        <v>80.038735</v>
      </c>
      <c r="F1692" s="1">
        <v>805.0</v>
      </c>
      <c r="G1692" s="1">
        <v>53.0</v>
      </c>
    </row>
    <row r="1693">
      <c r="A1693" s="1" t="s">
        <v>7</v>
      </c>
      <c r="B1693" s="2">
        <v>44715.0</v>
      </c>
      <c r="C1693" s="3">
        <v>0.802337962962963</v>
      </c>
      <c r="D1693" s="1">
        <v>12.824894</v>
      </c>
      <c r="E1693" s="1">
        <v>80.040069</v>
      </c>
      <c r="F1693" s="1">
        <v>805.0</v>
      </c>
      <c r="G1693" s="1">
        <v>58.0</v>
      </c>
    </row>
    <row r="1694">
      <c r="A1694" s="1" t="s">
        <v>8</v>
      </c>
      <c r="B1694" s="2">
        <v>44715.0</v>
      </c>
      <c r="C1694" s="3">
        <v>0.8023726851851852</v>
      </c>
      <c r="D1694" s="1">
        <v>12.980957</v>
      </c>
      <c r="E1694" s="1">
        <v>80.166041</v>
      </c>
      <c r="F1694" s="1">
        <v>2846.0</v>
      </c>
      <c r="G1694" s="1">
        <v>40.0</v>
      </c>
    </row>
    <row r="1695">
      <c r="A1695" s="1" t="s">
        <v>8</v>
      </c>
      <c r="B1695" s="2">
        <v>44715.0</v>
      </c>
      <c r="C1695" s="3">
        <v>0.8032986111111111</v>
      </c>
      <c r="D1695" s="1">
        <v>12.979286</v>
      </c>
      <c r="E1695" s="1">
        <v>80.161961</v>
      </c>
      <c r="F1695" s="1">
        <v>2846.0</v>
      </c>
      <c r="G1695" s="1">
        <v>33.0</v>
      </c>
    </row>
    <row r="1696">
      <c r="A1696" s="1" t="s">
        <v>8</v>
      </c>
      <c r="B1696" s="2">
        <v>44715.0</v>
      </c>
      <c r="C1696" s="3">
        <v>0.8034027777777778</v>
      </c>
      <c r="D1696" s="1">
        <v>12.978695</v>
      </c>
      <c r="E1696" s="1">
        <v>80.161163</v>
      </c>
      <c r="F1696" s="1">
        <v>2846.0</v>
      </c>
      <c r="G1696" s="1">
        <v>43.0</v>
      </c>
    </row>
    <row r="1697">
      <c r="A1697" s="1" t="s">
        <v>8</v>
      </c>
      <c r="B1697" s="2">
        <v>44715.0</v>
      </c>
      <c r="C1697" s="3">
        <v>0.8034953703703703</v>
      </c>
      <c r="D1697" s="1">
        <v>12.831333</v>
      </c>
      <c r="E1697" s="1">
        <v>80.046388</v>
      </c>
      <c r="F1697" s="1">
        <v>805.0</v>
      </c>
      <c r="G1697" s="1">
        <v>46.0</v>
      </c>
    </row>
    <row r="1698">
      <c r="A1698" s="1" t="s">
        <v>8</v>
      </c>
      <c r="B1698" s="2">
        <v>44715.0</v>
      </c>
      <c r="C1698" s="3">
        <v>0.8038888888888889</v>
      </c>
      <c r="D1698" s="1">
        <v>12.834372</v>
      </c>
      <c r="E1698" s="1">
        <v>80.049611</v>
      </c>
      <c r="F1698" s="1">
        <v>805.0</v>
      </c>
      <c r="G1698" s="1">
        <v>45.0</v>
      </c>
    </row>
    <row r="1699">
      <c r="A1699" s="1" t="s">
        <v>10</v>
      </c>
      <c r="B1699" s="2">
        <v>44715.0</v>
      </c>
      <c r="C1699" s="3">
        <v>0.804224537037037</v>
      </c>
      <c r="D1699" s="1">
        <v>12.977384</v>
      </c>
      <c r="E1699" s="1">
        <v>80.159361</v>
      </c>
      <c r="F1699" s="1">
        <v>2846.0</v>
      </c>
      <c r="G1699" s="1">
        <v>0.0</v>
      </c>
    </row>
    <row r="1700">
      <c r="A1700" s="1" t="s">
        <v>8</v>
      </c>
      <c r="B1700" s="2">
        <v>44715.0</v>
      </c>
      <c r="C1700" s="3">
        <v>0.8074074074074075</v>
      </c>
      <c r="D1700" s="1">
        <v>12.848623</v>
      </c>
      <c r="E1700" s="1">
        <v>80.063651</v>
      </c>
      <c r="F1700" s="1">
        <v>805.0</v>
      </c>
      <c r="G1700" s="1">
        <v>47.0</v>
      </c>
    </row>
    <row r="1701">
      <c r="A1701" s="1" t="s">
        <v>7</v>
      </c>
      <c r="B1701" s="2">
        <v>44715.0</v>
      </c>
      <c r="C1701" s="3">
        <v>0.8075462962962963</v>
      </c>
      <c r="D1701" s="1">
        <v>12.850022</v>
      </c>
      <c r="E1701" s="1">
        <v>80.064602</v>
      </c>
      <c r="F1701" s="1">
        <v>805.0</v>
      </c>
      <c r="G1701" s="1">
        <v>0.0</v>
      </c>
    </row>
    <row r="1702">
      <c r="A1702" s="1" t="s">
        <v>7</v>
      </c>
      <c r="B1702" s="2">
        <v>44715.0</v>
      </c>
      <c r="C1702" s="3">
        <v>0.8078009259259259</v>
      </c>
      <c r="D1702" s="1">
        <v>12.850048</v>
      </c>
      <c r="E1702" s="1">
        <v>80.064606</v>
      </c>
      <c r="F1702" s="1">
        <v>805.0</v>
      </c>
      <c r="G1702" s="1">
        <v>0.0</v>
      </c>
    </row>
    <row r="1703">
      <c r="A1703" s="1" t="s">
        <v>7</v>
      </c>
      <c r="B1703" s="2">
        <v>44715.0</v>
      </c>
      <c r="C1703" s="3">
        <v>0.8082754629629629</v>
      </c>
      <c r="D1703" s="1">
        <v>12.853713</v>
      </c>
      <c r="E1703" s="1">
        <v>80.067367</v>
      </c>
      <c r="F1703" s="1">
        <v>805.0</v>
      </c>
      <c r="G1703" s="1">
        <v>58.0</v>
      </c>
    </row>
    <row r="1704">
      <c r="A1704" s="1" t="s">
        <v>7</v>
      </c>
      <c r="B1704" s="2">
        <v>44715.0</v>
      </c>
      <c r="C1704" s="3">
        <v>0.8083796296296296</v>
      </c>
      <c r="D1704" s="1">
        <v>12.853713</v>
      </c>
      <c r="E1704" s="1">
        <v>80.067367</v>
      </c>
      <c r="F1704" s="1">
        <v>805.0</v>
      </c>
      <c r="G1704" s="1">
        <v>58.0</v>
      </c>
    </row>
    <row r="1705">
      <c r="A1705" s="1" t="s">
        <v>8</v>
      </c>
      <c r="B1705" s="2">
        <v>44715.0</v>
      </c>
      <c r="C1705" s="3">
        <v>0.8086689814814815</v>
      </c>
      <c r="D1705" s="1">
        <v>12.97322</v>
      </c>
      <c r="E1705" s="1">
        <v>80.153039</v>
      </c>
      <c r="F1705" s="1">
        <v>2846.0</v>
      </c>
      <c r="G1705" s="1">
        <v>42.0</v>
      </c>
    </row>
    <row r="1706">
      <c r="A1706" s="1" t="s">
        <v>8</v>
      </c>
      <c r="B1706" s="2">
        <v>44715.0</v>
      </c>
      <c r="C1706" s="3">
        <v>0.8087037037037037</v>
      </c>
      <c r="D1706" s="1">
        <v>12.97322</v>
      </c>
      <c r="E1706" s="1">
        <v>80.153039</v>
      </c>
      <c r="F1706" s="1">
        <v>2846.0</v>
      </c>
      <c r="G1706" s="1">
        <v>42.0</v>
      </c>
    </row>
    <row r="1707">
      <c r="A1707" s="1" t="s">
        <v>8</v>
      </c>
      <c r="B1707" s="2">
        <v>44715.0</v>
      </c>
      <c r="C1707" s="3">
        <v>0.8087847222222222</v>
      </c>
      <c r="D1707" s="1">
        <v>12.972555</v>
      </c>
      <c r="E1707" s="1">
        <v>80.152077</v>
      </c>
      <c r="F1707" s="1">
        <v>2846.0</v>
      </c>
      <c r="G1707" s="1">
        <v>40.0</v>
      </c>
    </row>
    <row r="1708">
      <c r="A1708" s="1" t="s">
        <v>8</v>
      </c>
      <c r="B1708" s="2">
        <v>44715.0</v>
      </c>
      <c r="C1708" s="3">
        <v>0.8089120370370371</v>
      </c>
      <c r="D1708" s="1">
        <v>12.972058</v>
      </c>
      <c r="E1708" s="1">
        <v>80.151508</v>
      </c>
      <c r="F1708" s="1">
        <v>2846.0</v>
      </c>
      <c r="G1708" s="1">
        <v>25.0</v>
      </c>
    </row>
    <row r="1709">
      <c r="A1709" s="1" t="s">
        <v>8</v>
      </c>
      <c r="B1709" s="2">
        <v>44715.0</v>
      </c>
      <c r="C1709" s="3">
        <v>0.8089236111111111</v>
      </c>
      <c r="D1709" s="1">
        <v>12.972058</v>
      </c>
      <c r="E1709" s="1">
        <v>80.151508</v>
      </c>
      <c r="F1709" s="1">
        <v>2846.0</v>
      </c>
      <c r="G1709" s="1">
        <v>25.0</v>
      </c>
    </row>
    <row r="1710">
      <c r="A1710" s="1" t="s">
        <v>8</v>
      </c>
      <c r="B1710" s="2">
        <v>44715.0</v>
      </c>
      <c r="C1710" s="3">
        <v>0.8094212962962963</v>
      </c>
      <c r="D1710" s="1">
        <v>12.864252</v>
      </c>
      <c r="E1710" s="1">
        <v>80.074192</v>
      </c>
      <c r="F1710" s="1">
        <v>805.0</v>
      </c>
      <c r="G1710" s="1">
        <v>40.0</v>
      </c>
    </row>
    <row r="1711">
      <c r="A1711" s="1" t="s">
        <v>8</v>
      </c>
      <c r="B1711" s="2">
        <v>44715.0</v>
      </c>
      <c r="C1711" s="3">
        <v>0.809849537037037</v>
      </c>
      <c r="D1711" s="1">
        <v>12.867752</v>
      </c>
      <c r="E1711" s="1">
        <v>80.075591</v>
      </c>
      <c r="F1711" s="1">
        <v>805.0</v>
      </c>
      <c r="G1711" s="1">
        <v>53.0</v>
      </c>
    </row>
    <row r="1712">
      <c r="A1712" s="1" t="s">
        <v>8</v>
      </c>
      <c r="B1712" s="2">
        <v>44715.0</v>
      </c>
      <c r="C1712" s="3">
        <v>0.8147106481481482</v>
      </c>
      <c r="D1712" s="1">
        <v>12.878971</v>
      </c>
      <c r="E1712" s="1">
        <v>80.079879</v>
      </c>
      <c r="F1712" s="1">
        <v>805.0</v>
      </c>
      <c r="G1712" s="1">
        <v>2.0</v>
      </c>
    </row>
    <row r="1713">
      <c r="A1713" s="1" t="s">
        <v>8</v>
      </c>
      <c r="B1713" s="2">
        <v>44715.0</v>
      </c>
      <c r="C1713" s="3">
        <v>0.8162152777777778</v>
      </c>
      <c r="D1713" s="1">
        <v>12.960578</v>
      </c>
      <c r="E1713" s="1">
        <v>80.14561</v>
      </c>
      <c r="F1713" s="1">
        <v>2846.0</v>
      </c>
      <c r="G1713" s="1">
        <v>33.0</v>
      </c>
    </row>
    <row r="1714">
      <c r="A1714" s="1" t="s">
        <v>8</v>
      </c>
      <c r="B1714" s="2">
        <v>44715.0</v>
      </c>
      <c r="C1714" s="3">
        <v>0.8165856481481482</v>
      </c>
      <c r="D1714" s="1">
        <v>12.957893</v>
      </c>
      <c r="E1714" s="1">
        <v>80.144146</v>
      </c>
      <c r="F1714" s="1">
        <v>2846.0</v>
      </c>
      <c r="G1714" s="1">
        <v>40.0</v>
      </c>
    </row>
    <row r="1715">
      <c r="A1715" s="1" t="s">
        <v>8</v>
      </c>
      <c r="B1715" s="2">
        <v>44715.0</v>
      </c>
      <c r="C1715" s="3">
        <v>0.8174537037037037</v>
      </c>
      <c r="D1715" s="1">
        <v>12.95535</v>
      </c>
      <c r="E1715" s="1">
        <v>80.142825</v>
      </c>
      <c r="F1715" s="1">
        <v>2846.0</v>
      </c>
      <c r="G1715" s="1">
        <v>26.0</v>
      </c>
    </row>
    <row r="1716">
      <c r="A1716" s="1" t="s">
        <v>8</v>
      </c>
      <c r="B1716" s="2">
        <v>44715.0</v>
      </c>
      <c r="C1716" s="3">
        <v>0.8183912037037037</v>
      </c>
      <c r="D1716" s="1">
        <v>12.95172</v>
      </c>
      <c r="E1716" s="1">
        <v>80.140576</v>
      </c>
      <c r="F1716" s="1">
        <v>2846.0</v>
      </c>
      <c r="G1716" s="1">
        <v>29.0</v>
      </c>
    </row>
    <row r="1717">
      <c r="A1717" s="1" t="s">
        <v>8</v>
      </c>
      <c r="B1717" s="2">
        <v>44715.0</v>
      </c>
      <c r="C1717" s="3">
        <v>0.8189120370370371</v>
      </c>
      <c r="D1717" s="1">
        <v>12.950698</v>
      </c>
      <c r="E1717" s="1">
        <v>80.139762</v>
      </c>
      <c r="F1717" s="1">
        <v>2846.0</v>
      </c>
      <c r="G1717" s="1">
        <v>5.0</v>
      </c>
    </row>
    <row r="1718">
      <c r="A1718" s="1" t="s">
        <v>8</v>
      </c>
      <c r="B1718" s="2">
        <v>44715.0</v>
      </c>
      <c r="C1718" s="3">
        <v>0.8189351851851852</v>
      </c>
      <c r="D1718" s="1">
        <v>12.950698</v>
      </c>
      <c r="E1718" s="1">
        <v>80.139762</v>
      </c>
      <c r="F1718" s="1">
        <v>2846.0</v>
      </c>
      <c r="G1718" s="1">
        <v>5.0</v>
      </c>
    </row>
    <row r="1719">
      <c r="A1719" s="1" t="s">
        <v>8</v>
      </c>
      <c r="B1719" s="2">
        <v>44715.0</v>
      </c>
      <c r="C1719" s="3">
        <v>0.8190509259259259</v>
      </c>
      <c r="D1719" s="1">
        <v>12.950228</v>
      </c>
      <c r="E1719" s="1">
        <v>80.139424</v>
      </c>
      <c r="F1719" s="1">
        <v>2846.0</v>
      </c>
      <c r="G1719" s="1">
        <v>32.0</v>
      </c>
    </row>
    <row r="1720">
      <c r="A1720" s="1" t="s">
        <v>8</v>
      </c>
      <c r="B1720" s="2">
        <v>44715.0</v>
      </c>
      <c r="C1720" s="3">
        <v>0.8192824074074074</v>
      </c>
      <c r="D1720" s="1">
        <v>12.948691</v>
      </c>
      <c r="E1720" s="1">
        <v>80.13814</v>
      </c>
      <c r="F1720" s="1">
        <v>2846.0</v>
      </c>
      <c r="G1720" s="1">
        <v>48.0</v>
      </c>
    </row>
    <row r="1721">
      <c r="A1721" s="1" t="s">
        <v>8</v>
      </c>
      <c r="B1721" s="2">
        <v>44715.0</v>
      </c>
      <c r="C1721" s="3">
        <v>0.8201273148148148</v>
      </c>
      <c r="D1721" s="1">
        <v>12.94192</v>
      </c>
      <c r="E1721" s="1">
        <v>80.132599</v>
      </c>
      <c r="F1721" s="1">
        <v>2846.0</v>
      </c>
      <c r="G1721" s="1">
        <v>40.0</v>
      </c>
    </row>
    <row r="1722">
      <c r="A1722" s="1" t="s">
        <v>8</v>
      </c>
      <c r="B1722" s="2">
        <v>44715.0</v>
      </c>
      <c r="C1722" s="3">
        <v>0.8202083333333333</v>
      </c>
      <c r="D1722" s="1">
        <v>12.94192</v>
      </c>
      <c r="E1722" s="1">
        <v>80.132599</v>
      </c>
      <c r="F1722" s="1">
        <v>2846.0</v>
      </c>
      <c r="G1722" s="1">
        <v>40.0</v>
      </c>
    </row>
    <row r="1723">
      <c r="A1723" s="1" t="s">
        <v>8</v>
      </c>
      <c r="B1723" s="2">
        <v>44715.0</v>
      </c>
      <c r="C1723" s="3">
        <v>0.8202546296296296</v>
      </c>
      <c r="D1723" s="1">
        <v>12.941253</v>
      </c>
      <c r="E1723" s="1">
        <v>80.131901</v>
      </c>
      <c r="F1723" s="1">
        <v>2846.0</v>
      </c>
      <c r="G1723" s="1">
        <v>35.0</v>
      </c>
    </row>
    <row r="1724">
      <c r="A1724" s="1" t="s">
        <v>8</v>
      </c>
      <c r="B1724" s="2">
        <v>44715.0</v>
      </c>
      <c r="C1724" s="3">
        <v>0.8205208333333334</v>
      </c>
      <c r="D1724" s="1">
        <v>12.940172</v>
      </c>
      <c r="E1724" s="1">
        <v>80.130786</v>
      </c>
      <c r="F1724" s="1">
        <v>2846.0</v>
      </c>
      <c r="G1724" s="1">
        <v>25.0</v>
      </c>
    </row>
    <row r="1725">
      <c r="A1725" s="1" t="s">
        <v>8</v>
      </c>
      <c r="B1725" s="2">
        <v>44715.0</v>
      </c>
      <c r="C1725" s="3">
        <v>0.8205324074074074</v>
      </c>
      <c r="D1725" s="1">
        <v>12.940172</v>
      </c>
      <c r="E1725" s="1">
        <v>80.130786</v>
      </c>
      <c r="F1725" s="1">
        <v>2846.0</v>
      </c>
      <c r="G1725" s="1">
        <v>25.0</v>
      </c>
    </row>
    <row r="1726">
      <c r="A1726" s="1" t="s">
        <v>8</v>
      </c>
      <c r="B1726" s="2">
        <v>44715.0</v>
      </c>
      <c r="C1726" s="3">
        <v>0.8205324074074074</v>
      </c>
      <c r="D1726" s="1">
        <v>12.940172</v>
      </c>
      <c r="E1726" s="1">
        <v>80.130786</v>
      </c>
      <c r="F1726" s="1">
        <v>2846.0</v>
      </c>
      <c r="G1726" s="1">
        <v>25.0</v>
      </c>
    </row>
    <row r="1727">
      <c r="A1727" s="1" t="s">
        <v>8</v>
      </c>
      <c r="B1727" s="2">
        <v>44715.0</v>
      </c>
      <c r="C1727" s="3">
        <v>0.8205555555555556</v>
      </c>
      <c r="D1727" s="1">
        <v>12.940172</v>
      </c>
      <c r="E1727" s="1">
        <v>80.130786</v>
      </c>
      <c r="F1727" s="1">
        <v>2846.0</v>
      </c>
      <c r="G1727" s="1">
        <v>25.0</v>
      </c>
    </row>
    <row r="1728">
      <c r="A1728" s="1" t="s">
        <v>8</v>
      </c>
      <c r="B1728" s="2">
        <v>44715.0</v>
      </c>
      <c r="C1728" s="3">
        <v>0.8205902777777778</v>
      </c>
      <c r="D1728" s="1">
        <v>12.939624</v>
      </c>
      <c r="E1728" s="1">
        <v>80.130255</v>
      </c>
      <c r="F1728" s="1">
        <v>2846.0</v>
      </c>
      <c r="G1728" s="1">
        <v>28.0</v>
      </c>
    </row>
    <row r="1729">
      <c r="A1729" s="1" t="s">
        <v>9</v>
      </c>
      <c r="B1729" s="2">
        <v>44715.0</v>
      </c>
      <c r="C1729" s="3">
        <v>0.8208449074074075</v>
      </c>
      <c r="D1729" s="1">
        <v>12.938366</v>
      </c>
      <c r="E1729" s="1">
        <v>80.129172</v>
      </c>
      <c r="F1729" s="1">
        <v>2846.0</v>
      </c>
      <c r="G1729" s="1">
        <v>41.0</v>
      </c>
    </row>
    <row r="1730">
      <c r="A1730" s="1" t="s">
        <v>8</v>
      </c>
      <c r="B1730" s="2">
        <v>44715.0</v>
      </c>
      <c r="C1730" s="3">
        <v>0.8215509259259259</v>
      </c>
      <c r="D1730" s="1">
        <v>12.934787</v>
      </c>
      <c r="E1730" s="1">
        <v>80.125998</v>
      </c>
      <c r="F1730" s="1">
        <v>2846.0</v>
      </c>
      <c r="G1730" s="1">
        <v>28.0</v>
      </c>
    </row>
    <row r="1731">
      <c r="A1731" s="1" t="s">
        <v>8</v>
      </c>
      <c r="B1731" s="2">
        <v>44715.0</v>
      </c>
      <c r="C1731" s="3">
        <v>0.8217245370370371</v>
      </c>
      <c r="D1731" s="1">
        <v>12.934146</v>
      </c>
      <c r="E1731" s="1">
        <v>80.125409</v>
      </c>
      <c r="F1731" s="1">
        <v>2846.0</v>
      </c>
      <c r="G1731" s="1">
        <v>40.0</v>
      </c>
    </row>
    <row r="1732">
      <c r="A1732" s="1" t="s">
        <v>8</v>
      </c>
      <c r="B1732" s="2">
        <v>44715.0</v>
      </c>
      <c r="C1732" s="3">
        <v>0.8220486111111112</v>
      </c>
      <c r="D1732" s="1">
        <v>12.932066</v>
      </c>
      <c r="E1732" s="1">
        <v>80.123387</v>
      </c>
      <c r="F1732" s="1">
        <v>2846.0</v>
      </c>
      <c r="G1732" s="1">
        <v>20.0</v>
      </c>
    </row>
    <row r="1733">
      <c r="A1733" s="1" t="s">
        <v>8</v>
      </c>
      <c r="B1733" s="2">
        <v>44715.0</v>
      </c>
      <c r="C1733" s="3">
        <v>0.822511574074074</v>
      </c>
      <c r="D1733" s="1">
        <v>12.930333</v>
      </c>
      <c r="E1733" s="1">
        <v>80.121665</v>
      </c>
      <c r="F1733" s="1">
        <v>2846.0</v>
      </c>
      <c r="G1733" s="1">
        <v>27.0</v>
      </c>
    </row>
    <row r="1734">
      <c r="A1734" s="1" t="s">
        <v>8</v>
      </c>
      <c r="B1734" s="2">
        <v>44715.0</v>
      </c>
      <c r="C1734" s="3">
        <v>0.8225231481481482</v>
      </c>
      <c r="D1734" s="1">
        <v>12.930333</v>
      </c>
      <c r="E1734" s="1">
        <v>80.121665</v>
      </c>
      <c r="F1734" s="1">
        <v>2846.0</v>
      </c>
      <c r="G1734" s="1">
        <v>27.0</v>
      </c>
    </row>
    <row r="1735">
      <c r="A1735" s="1" t="s">
        <v>8</v>
      </c>
      <c r="B1735" s="2">
        <v>44715.0</v>
      </c>
      <c r="C1735" s="3">
        <v>0.8225347222222222</v>
      </c>
      <c r="D1735" s="1">
        <v>12.930333</v>
      </c>
      <c r="E1735" s="1">
        <v>80.121665</v>
      </c>
      <c r="F1735" s="1">
        <v>2846.0</v>
      </c>
      <c r="G1735" s="1">
        <v>27.0</v>
      </c>
    </row>
    <row r="1736">
      <c r="A1736" s="1" t="s">
        <v>8</v>
      </c>
      <c r="B1736" s="2">
        <v>44715.0</v>
      </c>
      <c r="C1736" s="3">
        <v>0.8228009259259259</v>
      </c>
      <c r="D1736" s="1">
        <v>12.928595</v>
      </c>
      <c r="E1736" s="1">
        <v>80.11985</v>
      </c>
      <c r="F1736" s="1">
        <v>2846.0</v>
      </c>
      <c r="G1736" s="1">
        <v>37.0</v>
      </c>
    </row>
    <row r="1737">
      <c r="A1737" s="1" t="s">
        <v>9</v>
      </c>
      <c r="B1737" s="2">
        <v>44715.0</v>
      </c>
      <c r="C1737" s="3">
        <v>0.8231712962962963</v>
      </c>
      <c r="D1737" s="1">
        <v>12.927219</v>
      </c>
      <c r="E1737" s="1">
        <v>80.118421</v>
      </c>
      <c r="F1737" s="1">
        <v>2846.0</v>
      </c>
      <c r="G1737" s="1">
        <v>30.0</v>
      </c>
    </row>
    <row r="1738">
      <c r="A1738" s="1" t="s">
        <v>8</v>
      </c>
      <c r="B1738" s="2">
        <v>44715.0</v>
      </c>
      <c r="C1738" s="3">
        <v>0.8234953703703703</v>
      </c>
      <c r="D1738" s="1">
        <v>12.926278</v>
      </c>
      <c r="E1738" s="1">
        <v>80.117505</v>
      </c>
      <c r="F1738" s="1">
        <v>2846.0</v>
      </c>
      <c r="G1738" s="1">
        <v>20.0</v>
      </c>
    </row>
    <row r="1739">
      <c r="A1739" s="1" t="s">
        <v>8</v>
      </c>
      <c r="B1739" s="2">
        <v>44715.0</v>
      </c>
      <c r="C1739" s="3">
        <v>0.8236805555555555</v>
      </c>
      <c r="D1739" s="1">
        <v>12.925025</v>
      </c>
      <c r="E1739" s="1">
        <v>80.116223</v>
      </c>
      <c r="F1739" s="1">
        <v>2846.0</v>
      </c>
      <c r="G1739" s="1">
        <v>35.0</v>
      </c>
    </row>
    <row r="1740">
      <c r="A1740" s="1" t="s">
        <v>7</v>
      </c>
      <c r="B1740" s="2">
        <v>44715.0</v>
      </c>
      <c r="C1740" s="3">
        <v>0.8243055555555555</v>
      </c>
      <c r="D1740" s="1">
        <v>12.922411</v>
      </c>
      <c r="E1740" s="1">
        <v>80.113605</v>
      </c>
      <c r="F1740" s="1">
        <v>2846.0</v>
      </c>
      <c r="G1740" s="1">
        <v>48.0</v>
      </c>
    </row>
    <row r="1741">
      <c r="A1741" s="1" t="s">
        <v>7</v>
      </c>
      <c r="B1741" s="2">
        <v>44715.0</v>
      </c>
      <c r="C1741" s="3">
        <v>0.8243865740740741</v>
      </c>
      <c r="D1741" s="1">
        <v>12.922411</v>
      </c>
      <c r="E1741" s="1">
        <v>80.113605</v>
      </c>
      <c r="F1741" s="1">
        <v>2846.0</v>
      </c>
      <c r="G1741" s="1">
        <v>48.0</v>
      </c>
    </row>
    <row r="1742">
      <c r="A1742" s="1" t="s">
        <v>8</v>
      </c>
      <c r="B1742" s="2">
        <v>44715.0</v>
      </c>
      <c r="C1742" s="3">
        <v>0.8245486111111111</v>
      </c>
      <c r="D1742" s="1">
        <v>12.920446</v>
      </c>
      <c r="E1742" s="1">
        <v>80.111583</v>
      </c>
      <c r="F1742" s="1">
        <v>2846.0</v>
      </c>
      <c r="G1742" s="1">
        <v>58.0</v>
      </c>
    </row>
    <row r="1743">
      <c r="A1743" s="1" t="s">
        <v>7</v>
      </c>
      <c r="B1743" s="2">
        <v>44715.0</v>
      </c>
      <c r="C1743" s="3">
        <v>0.8248611111111112</v>
      </c>
      <c r="D1743" s="1">
        <v>12.917993</v>
      </c>
      <c r="E1743" s="1">
        <v>80.108606</v>
      </c>
      <c r="F1743" s="1">
        <v>2846.0</v>
      </c>
      <c r="G1743" s="1">
        <v>56.0</v>
      </c>
    </row>
    <row r="1744">
      <c r="A1744" s="1" t="s">
        <v>9</v>
      </c>
      <c r="B1744" s="2">
        <v>44715.0</v>
      </c>
      <c r="C1744" s="3">
        <v>0.8253587962962963</v>
      </c>
      <c r="D1744" s="1">
        <v>12.916599</v>
      </c>
      <c r="E1744" s="1">
        <v>80.106432</v>
      </c>
      <c r="F1744" s="1">
        <v>2846.0</v>
      </c>
      <c r="G1744" s="1">
        <v>40.0</v>
      </c>
    </row>
    <row r="1745">
      <c r="A1745" s="1" t="s">
        <v>9</v>
      </c>
      <c r="B1745" s="2">
        <v>44715.0</v>
      </c>
      <c r="C1745" s="3">
        <v>0.8254050925925925</v>
      </c>
      <c r="D1745" s="1">
        <v>12.916599</v>
      </c>
      <c r="E1745" s="1">
        <v>80.106432</v>
      </c>
      <c r="F1745" s="1">
        <v>2846.0</v>
      </c>
      <c r="G1745" s="1">
        <v>40.0</v>
      </c>
    </row>
    <row r="1746">
      <c r="A1746" s="1" t="s">
        <v>8</v>
      </c>
      <c r="B1746" s="2">
        <v>44715.0</v>
      </c>
      <c r="C1746" s="3">
        <v>0.825775462962963</v>
      </c>
      <c r="D1746" s="1">
        <v>12.914626</v>
      </c>
      <c r="E1746" s="1">
        <v>80.102824</v>
      </c>
      <c r="F1746" s="1">
        <v>2846.0</v>
      </c>
      <c r="G1746" s="1">
        <v>54.0</v>
      </c>
    </row>
    <row r="1747">
      <c r="A1747" s="1" t="s">
        <v>8</v>
      </c>
      <c r="B1747" s="2">
        <v>44715.0</v>
      </c>
      <c r="C1747" s="3">
        <v>0.8258333333333333</v>
      </c>
      <c r="D1747" s="1">
        <v>12.913882</v>
      </c>
      <c r="E1747" s="1">
        <v>80.101889</v>
      </c>
      <c r="F1747" s="1">
        <v>2846.0</v>
      </c>
      <c r="G1747" s="1">
        <v>37.0</v>
      </c>
    </row>
    <row r="1748">
      <c r="A1748" s="1" t="s">
        <v>8</v>
      </c>
      <c r="B1748" s="2">
        <v>44715.0</v>
      </c>
      <c r="C1748" s="3">
        <v>0.8259953703703704</v>
      </c>
      <c r="D1748" s="1">
        <v>12.913111</v>
      </c>
      <c r="E1748" s="1">
        <v>80.101566</v>
      </c>
      <c r="F1748" s="1">
        <v>2846.0</v>
      </c>
      <c r="G1748" s="1">
        <v>36.0</v>
      </c>
    </row>
    <row r="1749">
      <c r="A1749" s="1" t="s">
        <v>8</v>
      </c>
      <c r="B1749" s="2">
        <v>44715.0</v>
      </c>
      <c r="C1749" s="3">
        <v>0.8261111111111111</v>
      </c>
      <c r="D1749" s="1">
        <v>12.912094</v>
      </c>
      <c r="E1749" s="1">
        <v>80.10145</v>
      </c>
      <c r="F1749" s="1">
        <v>2846.0</v>
      </c>
      <c r="G1749" s="1">
        <v>41.0</v>
      </c>
    </row>
    <row r="1750">
      <c r="A1750" s="1" t="s">
        <v>10</v>
      </c>
      <c r="B1750" s="2">
        <v>44715.0</v>
      </c>
      <c r="C1750" s="3">
        <v>0.8271990740740741</v>
      </c>
      <c r="D1750" s="1">
        <v>12.909021</v>
      </c>
      <c r="E1750" s="1">
        <v>80.098886</v>
      </c>
      <c r="F1750" s="1">
        <v>2846.0</v>
      </c>
      <c r="G1750" s="1">
        <v>8.0</v>
      </c>
    </row>
    <row r="1751">
      <c r="A1751" s="1" t="s">
        <v>8</v>
      </c>
      <c r="B1751" s="2">
        <v>44715.0</v>
      </c>
      <c r="C1751" s="3">
        <v>0.8293518518518519</v>
      </c>
      <c r="D1751" s="1">
        <v>12.90628</v>
      </c>
      <c r="E1751" s="1">
        <v>80.096374</v>
      </c>
      <c r="F1751" s="1">
        <v>2846.0</v>
      </c>
      <c r="G1751" s="1">
        <v>8.0</v>
      </c>
    </row>
    <row r="1752">
      <c r="A1752" s="1" t="s">
        <v>8</v>
      </c>
      <c r="B1752" s="2">
        <v>44715.0</v>
      </c>
      <c r="C1752" s="3">
        <v>0.8293634259259259</v>
      </c>
      <c r="D1752" s="1">
        <v>12.90628</v>
      </c>
      <c r="E1752" s="1">
        <v>80.096374</v>
      </c>
      <c r="F1752" s="1">
        <v>2846.0</v>
      </c>
      <c r="G1752" s="1">
        <v>8.0</v>
      </c>
    </row>
    <row r="1753">
      <c r="A1753" s="1" t="s">
        <v>8</v>
      </c>
      <c r="B1753" s="2">
        <v>44715.0</v>
      </c>
      <c r="C1753" s="3">
        <v>0.8295949074074074</v>
      </c>
      <c r="D1753" s="1">
        <v>12.905368</v>
      </c>
      <c r="E1753" s="1">
        <v>80.095676</v>
      </c>
      <c r="F1753" s="1">
        <v>2846.0</v>
      </c>
      <c r="G1753" s="1">
        <v>20.0</v>
      </c>
    </row>
    <row r="1754">
      <c r="A1754" s="1" t="s">
        <v>8</v>
      </c>
      <c r="B1754" s="2">
        <v>44715.0</v>
      </c>
      <c r="C1754" s="3">
        <v>0.8296296296296296</v>
      </c>
      <c r="D1754" s="1">
        <v>12.904877</v>
      </c>
      <c r="E1754" s="1">
        <v>80.095338</v>
      </c>
      <c r="F1754" s="1">
        <v>2846.0</v>
      </c>
      <c r="G1754" s="1">
        <v>26.0</v>
      </c>
    </row>
    <row r="1755">
      <c r="A1755" s="1" t="s">
        <v>8</v>
      </c>
      <c r="B1755" s="2">
        <v>44715.0</v>
      </c>
      <c r="C1755" s="3">
        <v>0.8296759259259259</v>
      </c>
      <c r="D1755" s="1">
        <v>12.904877</v>
      </c>
      <c r="E1755" s="1">
        <v>80.095338</v>
      </c>
      <c r="F1755" s="1">
        <v>2846.0</v>
      </c>
      <c r="G1755" s="1">
        <v>26.0</v>
      </c>
    </row>
    <row r="1756">
      <c r="A1756" s="1" t="s">
        <v>8</v>
      </c>
      <c r="B1756" s="2">
        <v>44715.0</v>
      </c>
      <c r="C1756" s="3">
        <v>0.8296875</v>
      </c>
      <c r="D1756" s="1">
        <v>12.904877</v>
      </c>
      <c r="E1756" s="1">
        <v>80.095338</v>
      </c>
      <c r="F1756" s="1">
        <v>2846.0</v>
      </c>
      <c r="G1756" s="1">
        <v>26.0</v>
      </c>
    </row>
    <row r="1757">
      <c r="A1757" s="1" t="s">
        <v>8</v>
      </c>
      <c r="B1757" s="2">
        <v>44715.0</v>
      </c>
      <c r="C1757" s="3">
        <v>0.83</v>
      </c>
      <c r="D1757" s="1">
        <v>12.902846</v>
      </c>
      <c r="E1757" s="1">
        <v>80.093656</v>
      </c>
      <c r="F1757" s="1">
        <v>2846.0</v>
      </c>
      <c r="G1757" s="1">
        <v>37.0</v>
      </c>
    </row>
    <row r="1758">
      <c r="A1758" s="1" t="s">
        <v>8</v>
      </c>
      <c r="B1758" s="2">
        <v>44715.0</v>
      </c>
      <c r="C1758" s="3">
        <v>0.8301273148148148</v>
      </c>
      <c r="D1758" s="1">
        <v>12.902013</v>
      </c>
      <c r="E1758" s="1">
        <v>80.093026</v>
      </c>
      <c r="F1758" s="1">
        <v>2846.0</v>
      </c>
      <c r="G1758" s="1">
        <v>45.0</v>
      </c>
    </row>
    <row r="1759">
      <c r="A1759" s="1" t="s">
        <v>8</v>
      </c>
      <c r="B1759" s="2">
        <v>44715.0</v>
      </c>
      <c r="C1759" s="3">
        <v>0.8302083333333333</v>
      </c>
      <c r="D1759" s="1">
        <v>12.900977</v>
      </c>
      <c r="E1759" s="1">
        <v>80.092259</v>
      </c>
      <c r="F1759" s="1">
        <v>2846.0</v>
      </c>
      <c r="G1759" s="1">
        <v>51.0</v>
      </c>
    </row>
    <row r="1760">
      <c r="A1760" s="1" t="s">
        <v>8</v>
      </c>
      <c r="B1760" s="2">
        <v>44715.0</v>
      </c>
      <c r="C1760" s="3">
        <v>0.8303356481481482</v>
      </c>
      <c r="D1760" s="1">
        <v>12.900026</v>
      </c>
      <c r="E1760" s="1">
        <v>80.091554</v>
      </c>
      <c r="F1760" s="1">
        <v>2846.0</v>
      </c>
      <c r="G1760" s="1">
        <v>44.0</v>
      </c>
    </row>
    <row r="1761">
      <c r="A1761" s="1" t="s">
        <v>9</v>
      </c>
      <c r="B1761" s="2">
        <v>44715.0</v>
      </c>
      <c r="C1761" s="3">
        <v>0.8305439814814815</v>
      </c>
      <c r="D1761" s="1">
        <v>12.898111</v>
      </c>
      <c r="E1761" s="1">
        <v>80.090084</v>
      </c>
      <c r="F1761" s="1">
        <v>2846.0</v>
      </c>
      <c r="G1761" s="1">
        <v>45.0</v>
      </c>
    </row>
    <row r="1762">
      <c r="A1762" s="1" t="s">
        <v>8</v>
      </c>
      <c r="B1762" s="2">
        <v>44715.0</v>
      </c>
      <c r="C1762" s="3">
        <v>0.8309953703703704</v>
      </c>
      <c r="D1762" s="1">
        <v>12.896579</v>
      </c>
      <c r="E1762" s="1">
        <v>80.088948</v>
      </c>
      <c r="F1762" s="1">
        <v>2846.0</v>
      </c>
      <c r="G1762" s="1">
        <v>25.0</v>
      </c>
    </row>
    <row r="1763">
      <c r="A1763" s="1" t="s">
        <v>8</v>
      </c>
      <c r="B1763" s="2">
        <v>44715.0</v>
      </c>
      <c r="C1763" s="3">
        <v>0.8311574074074074</v>
      </c>
      <c r="D1763" s="1">
        <v>12.895961</v>
      </c>
      <c r="E1763" s="1">
        <v>80.088505</v>
      </c>
      <c r="F1763" s="1">
        <v>2846.0</v>
      </c>
      <c r="G1763" s="1">
        <v>31.0</v>
      </c>
    </row>
    <row r="1764">
      <c r="A1764" s="1" t="s">
        <v>8</v>
      </c>
      <c r="B1764" s="2">
        <v>44715.0</v>
      </c>
      <c r="C1764" s="3">
        <v>0.8311921296296296</v>
      </c>
      <c r="D1764" s="1">
        <v>12.895961</v>
      </c>
      <c r="E1764" s="1">
        <v>80.088505</v>
      </c>
      <c r="F1764" s="1">
        <v>2846.0</v>
      </c>
      <c r="G1764" s="1">
        <v>31.0</v>
      </c>
    </row>
    <row r="1765">
      <c r="A1765" s="1" t="s">
        <v>8</v>
      </c>
      <c r="B1765" s="2">
        <v>44715.0</v>
      </c>
      <c r="C1765" s="3">
        <v>0.8315625</v>
      </c>
      <c r="D1765" s="1">
        <v>12.894216</v>
      </c>
      <c r="E1765" s="1">
        <v>80.087173</v>
      </c>
      <c r="F1765" s="1">
        <v>2846.0</v>
      </c>
      <c r="G1765" s="1">
        <v>42.0</v>
      </c>
    </row>
    <row r="1766">
      <c r="A1766" s="1" t="s">
        <v>8</v>
      </c>
      <c r="B1766" s="2">
        <v>44715.0</v>
      </c>
      <c r="C1766" s="3">
        <v>0.8327314814814815</v>
      </c>
      <c r="D1766" s="1">
        <v>12.883928</v>
      </c>
      <c r="E1766" s="1">
        <v>80.082225</v>
      </c>
      <c r="F1766" s="1">
        <v>2846.0</v>
      </c>
      <c r="G1766" s="1">
        <v>35.0</v>
      </c>
    </row>
    <row r="1767">
      <c r="A1767" s="1" t="s">
        <v>9</v>
      </c>
      <c r="B1767" s="2">
        <v>44715.0</v>
      </c>
      <c r="C1767" s="3">
        <v>0.8328819444444444</v>
      </c>
      <c r="D1767" s="1">
        <v>12.883002</v>
      </c>
      <c r="E1767" s="1">
        <v>80.081891</v>
      </c>
      <c r="F1767" s="1">
        <v>2846.0</v>
      </c>
      <c r="G1767" s="1">
        <v>44.0</v>
      </c>
    </row>
    <row r="1768">
      <c r="A1768" s="1" t="s">
        <v>8</v>
      </c>
      <c r="B1768" s="2">
        <v>44715.0</v>
      </c>
      <c r="C1768" s="3">
        <v>0.8330671296296296</v>
      </c>
      <c r="D1768" s="1">
        <v>12.882126</v>
      </c>
      <c r="E1768" s="1">
        <v>80.081533</v>
      </c>
      <c r="F1768" s="1">
        <v>2846.0</v>
      </c>
      <c r="G1768" s="1">
        <v>18.0</v>
      </c>
    </row>
    <row r="1769">
      <c r="A1769" s="1" t="s">
        <v>8</v>
      </c>
      <c r="B1769" s="2">
        <v>44715.0</v>
      </c>
      <c r="C1769" s="3">
        <v>0.833125</v>
      </c>
      <c r="D1769" s="1">
        <v>12.881579</v>
      </c>
      <c r="E1769" s="1">
        <v>80.081317</v>
      </c>
      <c r="F1769" s="1">
        <v>2846.0</v>
      </c>
      <c r="G1769" s="1">
        <v>28.0</v>
      </c>
    </row>
    <row r="1770">
      <c r="A1770" s="1" t="s">
        <v>8</v>
      </c>
      <c r="B1770" s="2">
        <v>44715.0</v>
      </c>
      <c r="C1770" s="3">
        <v>0.833136574074074</v>
      </c>
      <c r="D1770" s="1">
        <v>12.881579</v>
      </c>
      <c r="E1770" s="1">
        <v>80.081317</v>
      </c>
      <c r="F1770" s="1">
        <v>2846.0</v>
      </c>
      <c r="G1770" s="1">
        <v>28.0</v>
      </c>
    </row>
    <row r="1771">
      <c r="A1771" s="1" t="s">
        <v>8</v>
      </c>
      <c r="B1771" s="2">
        <v>44715.0</v>
      </c>
      <c r="C1771" s="3">
        <v>0.8331481481481482</v>
      </c>
      <c r="D1771" s="1">
        <v>12.881579</v>
      </c>
      <c r="E1771" s="1">
        <v>80.081317</v>
      </c>
      <c r="F1771" s="1">
        <v>2846.0</v>
      </c>
      <c r="G1771" s="1">
        <v>28.0</v>
      </c>
    </row>
    <row r="1772">
      <c r="A1772" s="1" t="s">
        <v>10</v>
      </c>
      <c r="B1772" s="2">
        <v>44715.0</v>
      </c>
      <c r="C1772" s="3">
        <v>0.8359027777777778</v>
      </c>
      <c r="D1772" s="1">
        <v>12.876196</v>
      </c>
      <c r="E1772" s="1">
        <v>80.084086</v>
      </c>
      <c r="F1772" s="1">
        <v>2846.0</v>
      </c>
      <c r="G1772" s="1">
        <v>28.0</v>
      </c>
    </row>
    <row r="1773">
      <c r="A1773" s="1" t="s">
        <v>10</v>
      </c>
      <c r="B1773" s="2">
        <v>44716.0</v>
      </c>
      <c r="C1773" s="3">
        <v>0.4606712962962963</v>
      </c>
      <c r="D1773" s="1">
        <v>12.874286</v>
      </c>
      <c r="E1773" s="1">
        <v>80.08428</v>
      </c>
      <c r="F1773" s="1">
        <v>2846.0</v>
      </c>
      <c r="G1773" s="1">
        <v>0.0</v>
      </c>
    </row>
    <row r="1774">
      <c r="A1774" s="1" t="s">
        <v>7</v>
      </c>
      <c r="B1774" s="2">
        <v>44716.0</v>
      </c>
      <c r="C1774" s="3">
        <v>0.49150462962962965</v>
      </c>
      <c r="D1774" s="1">
        <v>13.056</v>
      </c>
      <c r="E1774" s="1">
        <v>80.118032</v>
      </c>
      <c r="F1774" s="1">
        <v>5339.0</v>
      </c>
      <c r="G1774" s="1">
        <v>37.0</v>
      </c>
    </row>
    <row r="1775">
      <c r="A1775" s="1" t="s">
        <v>7</v>
      </c>
      <c r="B1775" s="2">
        <v>44716.0</v>
      </c>
      <c r="C1775" s="3">
        <v>0.49159722222222224</v>
      </c>
      <c r="D1775" s="1">
        <v>13.056</v>
      </c>
      <c r="E1775" s="1">
        <v>80.118032</v>
      </c>
      <c r="F1775" s="1">
        <v>5339.0</v>
      </c>
      <c r="G1775" s="1">
        <v>37.0</v>
      </c>
    </row>
    <row r="1776">
      <c r="A1776" s="1" t="s">
        <v>8</v>
      </c>
      <c r="B1776" s="2">
        <v>44716.0</v>
      </c>
      <c r="C1776" s="3">
        <v>0.4939236111111111</v>
      </c>
      <c r="D1776" s="1">
        <v>13.056</v>
      </c>
      <c r="E1776" s="1">
        <v>80.118032</v>
      </c>
      <c r="F1776" s="1">
        <v>5339.0</v>
      </c>
      <c r="G1776" s="1">
        <v>37.0</v>
      </c>
    </row>
    <row r="1777">
      <c r="A1777" s="1" t="s">
        <v>8</v>
      </c>
      <c r="B1777" s="2">
        <v>44716.0</v>
      </c>
      <c r="C1777" s="3">
        <v>0.49425925925925923</v>
      </c>
      <c r="D1777" s="1">
        <v>13.056</v>
      </c>
      <c r="E1777" s="1">
        <v>80.118032</v>
      </c>
      <c r="F1777" s="1">
        <v>5339.0</v>
      </c>
      <c r="G1777" s="1">
        <v>37.0</v>
      </c>
    </row>
    <row r="1778">
      <c r="A1778" s="1" t="s">
        <v>8</v>
      </c>
      <c r="B1778" s="2">
        <v>44716.0</v>
      </c>
      <c r="C1778" s="3">
        <v>0.4942824074074074</v>
      </c>
      <c r="D1778" s="1">
        <v>13.056</v>
      </c>
      <c r="E1778" s="1">
        <v>80.118032</v>
      </c>
      <c r="F1778" s="1">
        <v>5339.0</v>
      </c>
      <c r="G1778" s="1">
        <v>37.0</v>
      </c>
    </row>
    <row r="1779">
      <c r="A1779" s="1" t="s">
        <v>8</v>
      </c>
      <c r="B1779" s="2">
        <v>44716.0</v>
      </c>
      <c r="C1779" s="3">
        <v>0.49452546296296296</v>
      </c>
      <c r="D1779" s="1">
        <v>13.054751</v>
      </c>
      <c r="E1779" s="1">
        <v>80.123746</v>
      </c>
      <c r="F1779" s="1">
        <v>5339.0</v>
      </c>
      <c r="G1779" s="1">
        <v>4.0</v>
      </c>
    </row>
    <row r="1780">
      <c r="A1780" s="1" t="s">
        <v>8</v>
      </c>
      <c r="B1780" s="2">
        <v>44716.0</v>
      </c>
      <c r="C1780" s="3">
        <v>0.4981365740740741</v>
      </c>
      <c r="D1780" s="1">
        <v>13.056509</v>
      </c>
      <c r="E1780" s="1">
        <v>80.098002</v>
      </c>
      <c r="F1780" s="1">
        <v>5339.0</v>
      </c>
      <c r="G1780" s="1">
        <v>0.0</v>
      </c>
    </row>
    <row r="1781">
      <c r="A1781" s="1" t="s">
        <v>7</v>
      </c>
      <c r="B1781" s="2">
        <v>44716.0</v>
      </c>
      <c r="C1781" s="3">
        <v>0.4987037037037037</v>
      </c>
      <c r="D1781" s="1">
        <v>13.056097</v>
      </c>
      <c r="E1781" s="1">
        <v>80.094849</v>
      </c>
      <c r="F1781" s="1">
        <v>5339.0</v>
      </c>
      <c r="G1781" s="1">
        <v>33.0</v>
      </c>
    </row>
    <row r="1782">
      <c r="A1782" s="1" t="s">
        <v>8</v>
      </c>
      <c r="B1782" s="2">
        <v>44716.0</v>
      </c>
      <c r="C1782" s="3">
        <v>0.5003587962962963</v>
      </c>
      <c r="D1782" s="1">
        <v>13.050419</v>
      </c>
      <c r="E1782" s="1">
        <v>80.088975</v>
      </c>
      <c r="F1782" s="1">
        <v>5339.0</v>
      </c>
      <c r="G1782" s="1">
        <v>41.0</v>
      </c>
    </row>
    <row r="1783">
      <c r="A1783" s="1" t="s">
        <v>8</v>
      </c>
      <c r="B1783" s="2">
        <v>44716.0</v>
      </c>
      <c r="C1783" s="3">
        <v>0.5003819444444444</v>
      </c>
      <c r="D1783" s="1">
        <v>13.049045</v>
      </c>
      <c r="E1783" s="1">
        <v>80.087668</v>
      </c>
      <c r="F1783" s="1">
        <v>5339.0</v>
      </c>
      <c r="G1783" s="1">
        <v>45.0</v>
      </c>
    </row>
    <row r="1784">
      <c r="A1784" s="1" t="s">
        <v>7</v>
      </c>
      <c r="B1784" s="2">
        <v>44716.0</v>
      </c>
      <c r="C1784" s="3">
        <v>0.5005092592592593</v>
      </c>
      <c r="D1784" s="1">
        <v>13.049045</v>
      </c>
      <c r="E1784" s="1">
        <v>80.087668</v>
      </c>
      <c r="F1784" s="1">
        <v>5339.0</v>
      </c>
      <c r="G1784" s="1">
        <v>45.0</v>
      </c>
    </row>
    <row r="1785">
      <c r="A1785" s="1" t="s">
        <v>7</v>
      </c>
      <c r="B1785" s="2">
        <v>44716.0</v>
      </c>
      <c r="C1785" s="3">
        <v>0.5006828703703704</v>
      </c>
      <c r="D1785" s="1">
        <v>13.048769</v>
      </c>
      <c r="E1785" s="1">
        <v>80.085685</v>
      </c>
      <c r="F1785" s="1">
        <v>5339.0</v>
      </c>
      <c r="G1785" s="1">
        <v>46.0</v>
      </c>
    </row>
    <row r="1786">
      <c r="A1786" s="1" t="s">
        <v>7</v>
      </c>
      <c r="B1786" s="2">
        <v>44716.0</v>
      </c>
      <c r="C1786" s="3">
        <v>0.5007986111111111</v>
      </c>
      <c r="D1786" s="1">
        <v>13.048309</v>
      </c>
      <c r="E1786" s="1">
        <v>80.084022</v>
      </c>
      <c r="F1786" s="1">
        <v>5339.0</v>
      </c>
      <c r="G1786" s="1">
        <v>38.0</v>
      </c>
    </row>
    <row r="1787">
      <c r="A1787" s="1" t="s">
        <v>7</v>
      </c>
      <c r="B1787" s="2">
        <v>44716.0</v>
      </c>
      <c r="C1787" s="3">
        <v>0.5014814814814815</v>
      </c>
      <c r="D1787" s="1">
        <v>13.046715</v>
      </c>
      <c r="E1787" s="1">
        <v>80.083368</v>
      </c>
      <c r="F1787" s="1">
        <v>5339.0</v>
      </c>
      <c r="G1787" s="1">
        <v>18.0</v>
      </c>
    </row>
    <row r="1788">
      <c r="A1788" s="1" t="s">
        <v>8</v>
      </c>
      <c r="B1788" s="2">
        <v>44716.0</v>
      </c>
      <c r="C1788" s="3">
        <v>0.5028587962962963</v>
      </c>
      <c r="D1788" s="1">
        <v>13.064102</v>
      </c>
      <c r="E1788" s="1">
        <v>80.07554</v>
      </c>
      <c r="F1788" s="1">
        <v>5339.0</v>
      </c>
      <c r="G1788" s="1">
        <v>36.0</v>
      </c>
    </row>
    <row r="1789">
      <c r="A1789" s="1" t="s">
        <v>7</v>
      </c>
      <c r="B1789" s="2">
        <v>44716.0</v>
      </c>
      <c r="C1789" s="3">
        <v>0.5029861111111111</v>
      </c>
      <c r="D1789" s="1">
        <v>13.064102</v>
      </c>
      <c r="E1789" s="1">
        <v>80.07554</v>
      </c>
      <c r="F1789" s="1">
        <v>5339.0</v>
      </c>
      <c r="G1789" s="1">
        <v>36.0</v>
      </c>
    </row>
    <row r="1790">
      <c r="A1790" s="1" t="s">
        <v>7</v>
      </c>
      <c r="B1790" s="2">
        <v>44716.0</v>
      </c>
      <c r="C1790" s="3">
        <v>0.7240277777777778</v>
      </c>
      <c r="D1790" s="1">
        <v>12.885048</v>
      </c>
      <c r="E1790" s="1">
        <v>80.082165</v>
      </c>
      <c r="F1790" s="1">
        <v>2846.0</v>
      </c>
      <c r="G1790" s="1">
        <v>48.0</v>
      </c>
    </row>
    <row r="1791">
      <c r="A1791" s="1" t="s">
        <v>7</v>
      </c>
      <c r="B1791" s="2">
        <v>44716.0</v>
      </c>
      <c r="C1791" s="3">
        <v>0.7244328703703704</v>
      </c>
      <c r="D1791" s="1">
        <v>12.890092</v>
      </c>
      <c r="E1791" s="1">
        <v>80.084503</v>
      </c>
      <c r="F1791" s="1">
        <v>2846.0</v>
      </c>
      <c r="G1791" s="1">
        <v>57.0</v>
      </c>
    </row>
    <row r="1792">
      <c r="A1792" s="1" t="s">
        <v>7</v>
      </c>
      <c r="B1792" s="2">
        <v>44716.0</v>
      </c>
      <c r="C1792" s="3">
        <v>0.7245138888888889</v>
      </c>
      <c r="D1792" s="1">
        <v>12.890092</v>
      </c>
      <c r="E1792" s="1">
        <v>80.084503</v>
      </c>
      <c r="F1792" s="1">
        <v>2846.0</v>
      </c>
      <c r="G1792" s="1">
        <v>57.0</v>
      </c>
    </row>
    <row r="1793">
      <c r="A1793" s="1" t="s">
        <v>9</v>
      </c>
      <c r="B1793" s="2">
        <v>44716.0</v>
      </c>
      <c r="C1793" s="3">
        <v>0.7246180555555556</v>
      </c>
      <c r="D1793" s="1">
        <v>12.891431</v>
      </c>
      <c r="E1793" s="1">
        <v>80.085089</v>
      </c>
      <c r="F1793" s="1">
        <v>2846.0</v>
      </c>
      <c r="G1793" s="1">
        <v>58.0</v>
      </c>
    </row>
    <row r="1794">
      <c r="A1794" s="1" t="s">
        <v>7</v>
      </c>
      <c r="B1794" s="2">
        <v>44716.0</v>
      </c>
      <c r="C1794" s="3">
        <v>0.7256134259259259</v>
      </c>
      <c r="D1794" s="1">
        <v>12.901851</v>
      </c>
      <c r="E1794" s="1">
        <v>80.092774</v>
      </c>
      <c r="F1794" s="1">
        <v>2846.0</v>
      </c>
      <c r="G1794" s="1">
        <v>55.0</v>
      </c>
    </row>
    <row r="1795">
      <c r="A1795" s="1" t="s">
        <v>8</v>
      </c>
      <c r="B1795" s="2">
        <v>44716.0</v>
      </c>
      <c r="C1795" s="3">
        <v>0.7277314814814815</v>
      </c>
      <c r="D1795" s="1">
        <v>12.909627</v>
      </c>
      <c r="E1795" s="1">
        <v>80.099383</v>
      </c>
      <c r="F1795" s="1">
        <v>2846.0</v>
      </c>
      <c r="G1795" s="1">
        <v>36.0</v>
      </c>
    </row>
    <row r="1796">
      <c r="A1796" s="1" t="s">
        <v>8</v>
      </c>
      <c r="B1796" s="2">
        <v>44716.0</v>
      </c>
      <c r="C1796" s="3">
        <v>0.7287268518518518</v>
      </c>
      <c r="D1796" s="1">
        <v>12.913489</v>
      </c>
      <c r="E1796" s="1">
        <v>80.101499</v>
      </c>
      <c r="F1796" s="1">
        <v>2846.0</v>
      </c>
      <c r="G1796" s="1">
        <v>47.0</v>
      </c>
    </row>
    <row r="1797">
      <c r="A1797" s="1" t="s">
        <v>8</v>
      </c>
      <c r="B1797" s="2">
        <v>44716.0</v>
      </c>
      <c r="C1797" s="3">
        <v>0.7301041666666667</v>
      </c>
      <c r="D1797" s="1">
        <v>12.918168</v>
      </c>
      <c r="E1797" s="1">
        <v>80.108682</v>
      </c>
      <c r="F1797" s="1">
        <v>2846.0</v>
      </c>
      <c r="G1797" s="1">
        <v>47.0</v>
      </c>
    </row>
    <row r="1798">
      <c r="A1798" s="1" t="s">
        <v>8</v>
      </c>
      <c r="B1798" s="2">
        <v>44716.0</v>
      </c>
      <c r="C1798" s="3">
        <v>0.7302662037037037</v>
      </c>
      <c r="D1798" s="1">
        <v>12.918905</v>
      </c>
      <c r="E1798" s="1">
        <v>80.109586</v>
      </c>
      <c r="F1798" s="1">
        <v>2846.0</v>
      </c>
      <c r="G1798" s="1">
        <v>43.0</v>
      </c>
    </row>
    <row r="1799">
      <c r="A1799" s="1" t="s">
        <v>8</v>
      </c>
      <c r="B1799" s="2">
        <v>44716.0</v>
      </c>
      <c r="C1799" s="3">
        <v>0.7303240740740741</v>
      </c>
      <c r="D1799" s="1">
        <v>12.919623</v>
      </c>
      <c r="E1799" s="1">
        <v>80.11044</v>
      </c>
      <c r="F1799" s="1">
        <v>2846.0</v>
      </c>
      <c r="G1799" s="1">
        <v>41.0</v>
      </c>
    </row>
    <row r="1800">
      <c r="A1800" s="1" t="s">
        <v>9</v>
      </c>
      <c r="B1800" s="2">
        <v>44716.0</v>
      </c>
      <c r="C1800" s="3">
        <v>0.7304976851851852</v>
      </c>
      <c r="D1800" s="1">
        <v>12.92032</v>
      </c>
      <c r="E1800" s="1">
        <v>80.11121</v>
      </c>
      <c r="F1800" s="1">
        <v>2846.0</v>
      </c>
      <c r="G1800" s="1">
        <v>42.0</v>
      </c>
    </row>
    <row r="1801">
      <c r="A1801" s="1" t="s">
        <v>8</v>
      </c>
      <c r="B1801" s="2">
        <v>44716.0</v>
      </c>
      <c r="C1801" s="3">
        <v>0.7330208333333333</v>
      </c>
      <c r="D1801" s="1">
        <v>12.923155</v>
      </c>
      <c r="E1801" s="1">
        <v>80.123966</v>
      </c>
      <c r="F1801" s="1">
        <v>2846.0</v>
      </c>
      <c r="G1801" s="1">
        <v>50.0</v>
      </c>
    </row>
    <row r="1802">
      <c r="A1802" s="1" t="s">
        <v>9</v>
      </c>
      <c r="B1802" s="2">
        <v>44716.0</v>
      </c>
      <c r="C1802" s="3">
        <v>0.7356018518518519</v>
      </c>
      <c r="D1802" s="1">
        <v>12.932528</v>
      </c>
      <c r="E1802" s="1">
        <v>80.128199</v>
      </c>
      <c r="F1802" s="1">
        <v>2846.0</v>
      </c>
      <c r="G1802" s="1">
        <v>26.0</v>
      </c>
    </row>
    <row r="1803">
      <c r="A1803" s="1" t="s">
        <v>8</v>
      </c>
      <c r="B1803" s="2">
        <v>44716.0</v>
      </c>
      <c r="C1803" s="3">
        <v>0.7386574074074074</v>
      </c>
      <c r="D1803" s="1">
        <v>12.937601</v>
      </c>
      <c r="E1803" s="1">
        <v>80.136037</v>
      </c>
      <c r="F1803" s="1">
        <v>2846.0</v>
      </c>
      <c r="G1803" s="1">
        <v>25.0</v>
      </c>
    </row>
    <row r="1804">
      <c r="A1804" s="1" t="s">
        <v>10</v>
      </c>
      <c r="B1804" s="2">
        <v>44716.0</v>
      </c>
      <c r="C1804" s="3">
        <v>0.7392013888888889</v>
      </c>
      <c r="D1804" s="1">
        <v>12.942122</v>
      </c>
      <c r="E1804" s="1">
        <v>80.137983</v>
      </c>
      <c r="F1804" s="1">
        <v>2846.0</v>
      </c>
      <c r="G1804" s="1">
        <v>23.0</v>
      </c>
    </row>
    <row r="1805">
      <c r="A1805" s="1" t="s">
        <v>10</v>
      </c>
      <c r="B1805" s="2">
        <v>44716.0</v>
      </c>
      <c r="C1805" s="3">
        <v>0.750474537037037</v>
      </c>
      <c r="D1805" s="1">
        <v>12.949718</v>
      </c>
      <c r="E1805" s="1">
        <v>80.140031</v>
      </c>
      <c r="F1805" s="1">
        <v>2846.0</v>
      </c>
      <c r="G1805" s="1">
        <v>8.0</v>
      </c>
    </row>
    <row r="1806">
      <c r="A1806" s="1" t="s">
        <v>10</v>
      </c>
      <c r="B1806" s="2">
        <v>44716.0</v>
      </c>
      <c r="C1806" s="3">
        <v>0.7563541666666667</v>
      </c>
      <c r="D1806" s="1">
        <v>12.937699</v>
      </c>
      <c r="E1806" s="1">
        <v>80.135</v>
      </c>
      <c r="F1806" s="1">
        <v>2846.0</v>
      </c>
      <c r="G1806" s="1">
        <v>23.0</v>
      </c>
    </row>
    <row r="1807">
      <c r="A1807" s="1" t="s">
        <v>10</v>
      </c>
      <c r="B1807" s="2">
        <v>44716.0</v>
      </c>
      <c r="C1807" s="3">
        <v>0.758125</v>
      </c>
      <c r="D1807" s="1">
        <v>12.933665</v>
      </c>
      <c r="E1807" s="1">
        <v>80.129261</v>
      </c>
      <c r="F1807" s="1">
        <v>2846.0</v>
      </c>
      <c r="G1807" s="1">
        <v>19.0</v>
      </c>
    </row>
    <row r="1808">
      <c r="A1808" s="1" t="s">
        <v>10</v>
      </c>
      <c r="B1808" s="2">
        <v>44716.0</v>
      </c>
      <c r="C1808" s="3">
        <v>0.7598726851851851</v>
      </c>
      <c r="D1808" s="1">
        <v>12.927228</v>
      </c>
      <c r="E1808" s="1">
        <v>80.126711</v>
      </c>
      <c r="F1808" s="1">
        <v>2846.0</v>
      </c>
      <c r="G1808" s="1">
        <v>12.0</v>
      </c>
    </row>
    <row r="1809">
      <c r="A1809" s="1" t="s">
        <v>8</v>
      </c>
      <c r="B1809" s="2">
        <v>44716.0</v>
      </c>
      <c r="C1809" s="3">
        <v>0.7620486111111111</v>
      </c>
      <c r="D1809" s="1">
        <v>12.923347</v>
      </c>
      <c r="E1809" s="1">
        <v>80.118726</v>
      </c>
      <c r="F1809" s="1">
        <v>2846.0</v>
      </c>
      <c r="G1809" s="1">
        <v>41.0</v>
      </c>
    </row>
    <row r="1810">
      <c r="A1810" s="1" t="s">
        <v>8</v>
      </c>
      <c r="B1810" s="2">
        <v>44716.0</v>
      </c>
      <c r="C1810" s="3">
        <v>0.7621527777777778</v>
      </c>
      <c r="D1810" s="1">
        <v>12.923502</v>
      </c>
      <c r="E1810" s="1">
        <v>80.117736</v>
      </c>
      <c r="F1810" s="1">
        <v>2846.0</v>
      </c>
      <c r="G1810" s="1">
        <v>37.0</v>
      </c>
    </row>
    <row r="1811">
      <c r="A1811" s="1" t="s">
        <v>7</v>
      </c>
      <c r="B1811" s="2">
        <v>44716.0</v>
      </c>
      <c r="C1811" s="3">
        <v>0.7631365740740741</v>
      </c>
      <c r="D1811" s="1">
        <v>12.920424</v>
      </c>
      <c r="E1811" s="1">
        <v>80.111644</v>
      </c>
      <c r="F1811" s="1">
        <v>2846.0</v>
      </c>
      <c r="G1811" s="1">
        <v>54.0</v>
      </c>
    </row>
    <row r="1812">
      <c r="A1812" s="1" t="s">
        <v>7</v>
      </c>
      <c r="B1812" s="2">
        <v>44716.0</v>
      </c>
      <c r="C1812" s="3">
        <v>0.764537037037037</v>
      </c>
      <c r="D1812" s="1">
        <v>12.912552</v>
      </c>
      <c r="E1812" s="1">
        <v>80.101547</v>
      </c>
      <c r="F1812" s="1">
        <v>2846.0</v>
      </c>
      <c r="G1812" s="1">
        <v>55.0</v>
      </c>
    </row>
    <row r="1813">
      <c r="A1813" s="1" t="s">
        <v>10</v>
      </c>
      <c r="B1813" s="2">
        <v>44716.0</v>
      </c>
      <c r="C1813" s="3">
        <v>0.7655208333333333</v>
      </c>
      <c r="D1813" s="1">
        <v>12.909143</v>
      </c>
      <c r="E1813" s="1">
        <v>80.09904</v>
      </c>
      <c r="F1813" s="1">
        <v>2846.0</v>
      </c>
      <c r="G1813" s="1">
        <v>8.0</v>
      </c>
    </row>
    <row r="1814">
      <c r="A1814" s="1" t="s">
        <v>7</v>
      </c>
      <c r="B1814" s="2">
        <v>44716.0</v>
      </c>
      <c r="C1814" s="3">
        <v>0.7675347222222222</v>
      </c>
      <c r="D1814" s="1">
        <v>12.900931</v>
      </c>
      <c r="E1814" s="1">
        <v>80.092263</v>
      </c>
      <c r="F1814" s="1">
        <v>2846.0</v>
      </c>
      <c r="G1814" s="1">
        <v>58.0</v>
      </c>
    </row>
    <row r="1815">
      <c r="A1815" s="1" t="s">
        <v>8</v>
      </c>
      <c r="B1815" s="2">
        <v>44716.0</v>
      </c>
      <c r="C1815" s="3">
        <v>0.7676273148148148</v>
      </c>
      <c r="D1815" s="1">
        <v>12.899764</v>
      </c>
      <c r="E1815" s="1">
        <v>80.091373</v>
      </c>
      <c r="F1815" s="1">
        <v>2846.0</v>
      </c>
      <c r="G1815" s="1">
        <v>57.0</v>
      </c>
    </row>
    <row r="1816">
      <c r="A1816" s="1" t="s">
        <v>8</v>
      </c>
      <c r="B1816" s="2">
        <v>44716.0</v>
      </c>
      <c r="C1816" s="3">
        <v>0.7681365740740741</v>
      </c>
      <c r="D1816" s="1">
        <v>12.896707</v>
      </c>
      <c r="E1816" s="1">
        <v>80.089061</v>
      </c>
      <c r="F1816" s="1">
        <v>2846.0</v>
      </c>
      <c r="G1816" s="1">
        <v>26.0</v>
      </c>
    </row>
    <row r="1817">
      <c r="A1817" s="1" t="s">
        <v>8</v>
      </c>
      <c r="B1817" s="2">
        <v>44716.0</v>
      </c>
      <c r="C1817" s="3">
        <v>0.7685069444444445</v>
      </c>
      <c r="D1817" s="1">
        <v>12.89451</v>
      </c>
      <c r="E1817" s="1">
        <v>80.087446</v>
      </c>
      <c r="F1817" s="1">
        <v>2846.0</v>
      </c>
      <c r="G1817" s="1">
        <v>37.0</v>
      </c>
    </row>
    <row r="1818">
      <c r="A1818" s="1" t="s">
        <v>8</v>
      </c>
      <c r="B1818" s="2">
        <v>44716.0</v>
      </c>
      <c r="C1818" s="3">
        <v>0.768912037037037</v>
      </c>
      <c r="D1818" s="1">
        <v>12.89234</v>
      </c>
      <c r="E1818" s="1">
        <v>80.085789</v>
      </c>
      <c r="F1818" s="1">
        <v>2846.0</v>
      </c>
      <c r="G1818" s="1">
        <v>38.0</v>
      </c>
    </row>
    <row r="1819">
      <c r="A1819" s="1" t="s">
        <v>8</v>
      </c>
      <c r="B1819" s="2">
        <v>44716.0</v>
      </c>
      <c r="C1819" s="3">
        <v>0.7690509259259259</v>
      </c>
      <c r="D1819" s="1">
        <v>12.890442</v>
      </c>
      <c r="E1819" s="1">
        <v>80.084827</v>
      </c>
      <c r="F1819" s="1">
        <v>2846.0</v>
      </c>
      <c r="G1819" s="1">
        <v>43.0</v>
      </c>
    </row>
    <row r="1820">
      <c r="A1820" s="1" t="s">
        <v>8</v>
      </c>
      <c r="B1820" s="2">
        <v>44716.0</v>
      </c>
      <c r="C1820" s="3">
        <v>0.7690856481481482</v>
      </c>
      <c r="D1820" s="1">
        <v>12.890442</v>
      </c>
      <c r="E1820" s="1">
        <v>80.084827</v>
      </c>
      <c r="F1820" s="1">
        <v>2846.0</v>
      </c>
      <c r="G1820" s="1">
        <v>43.0</v>
      </c>
    </row>
    <row r="1821">
      <c r="A1821" s="1" t="s">
        <v>8</v>
      </c>
      <c r="B1821" s="2">
        <v>44716.0</v>
      </c>
      <c r="C1821" s="3">
        <v>0.7692245370370371</v>
      </c>
      <c r="D1821" s="1">
        <v>12.88938</v>
      </c>
      <c r="E1821" s="1">
        <v>80.084414</v>
      </c>
      <c r="F1821" s="1">
        <v>2846.0</v>
      </c>
      <c r="G1821" s="1">
        <v>47.0</v>
      </c>
    </row>
    <row r="1822">
      <c r="A1822" s="1" t="s">
        <v>7</v>
      </c>
      <c r="B1822" s="2">
        <v>44718.0</v>
      </c>
      <c r="C1822" s="3">
        <v>0.24935185185185185</v>
      </c>
      <c r="D1822" s="1">
        <v>12.875959</v>
      </c>
      <c r="E1822" s="1">
        <v>80.07906</v>
      </c>
      <c r="F1822" s="1">
        <v>805.0</v>
      </c>
      <c r="G1822" s="1">
        <v>55.0</v>
      </c>
    </row>
    <row r="1823">
      <c r="A1823" s="1" t="s">
        <v>7</v>
      </c>
      <c r="B1823" s="2">
        <v>44718.0</v>
      </c>
      <c r="C1823" s="3">
        <v>0.2495138888888889</v>
      </c>
      <c r="D1823" s="1">
        <v>12.873337</v>
      </c>
      <c r="E1823" s="1">
        <v>80.077978</v>
      </c>
      <c r="F1823" s="1">
        <v>805.0</v>
      </c>
      <c r="G1823" s="1">
        <v>58.0</v>
      </c>
    </row>
    <row r="1824">
      <c r="A1824" s="1" t="s">
        <v>8</v>
      </c>
      <c r="B1824" s="2">
        <v>44718.0</v>
      </c>
      <c r="C1824" s="3">
        <v>0.25221064814814814</v>
      </c>
      <c r="D1824" s="1">
        <v>12.845041</v>
      </c>
      <c r="E1824" s="1">
        <v>80.060984</v>
      </c>
      <c r="F1824" s="1">
        <v>805.0</v>
      </c>
      <c r="G1824" s="1">
        <v>57.0</v>
      </c>
    </row>
    <row r="1825">
      <c r="A1825" s="1" t="s">
        <v>8</v>
      </c>
      <c r="B1825" s="2">
        <v>44718.0</v>
      </c>
      <c r="C1825" s="3">
        <v>0.25256944444444446</v>
      </c>
      <c r="D1825" s="1">
        <v>12.843869</v>
      </c>
      <c r="E1825" s="1">
        <v>80.059744</v>
      </c>
      <c r="F1825" s="1">
        <v>805.0</v>
      </c>
      <c r="G1825" s="1">
        <v>19.0</v>
      </c>
    </row>
    <row r="1826">
      <c r="A1826" s="1" t="s">
        <v>8</v>
      </c>
      <c r="B1826" s="2">
        <v>44718.0</v>
      </c>
      <c r="C1826" s="3">
        <v>0.2525810185185185</v>
      </c>
      <c r="D1826" s="1">
        <v>12.843869</v>
      </c>
      <c r="E1826" s="1">
        <v>80.059744</v>
      </c>
      <c r="F1826" s="1">
        <v>805.0</v>
      </c>
      <c r="G1826" s="1">
        <v>19.0</v>
      </c>
    </row>
    <row r="1827">
      <c r="A1827" s="1" t="s">
        <v>8</v>
      </c>
      <c r="B1827" s="2">
        <v>44718.0</v>
      </c>
      <c r="C1827" s="3">
        <v>0.2526388888888889</v>
      </c>
      <c r="D1827" s="1">
        <v>12.843431</v>
      </c>
      <c r="E1827" s="1">
        <v>80.059307</v>
      </c>
      <c r="F1827" s="1">
        <v>805.0</v>
      </c>
      <c r="G1827" s="1">
        <v>30.0</v>
      </c>
    </row>
    <row r="1828">
      <c r="A1828" s="1" t="s">
        <v>7</v>
      </c>
      <c r="B1828" s="2">
        <v>44718.0</v>
      </c>
      <c r="C1828" s="3">
        <v>0.2530324074074074</v>
      </c>
      <c r="D1828" s="1">
        <v>12.84091</v>
      </c>
      <c r="E1828" s="1">
        <v>80.056673</v>
      </c>
      <c r="F1828" s="1">
        <v>805.0</v>
      </c>
      <c r="G1828" s="1">
        <v>59.0</v>
      </c>
    </row>
    <row r="1829">
      <c r="A1829" s="1" t="s">
        <v>7</v>
      </c>
      <c r="B1829" s="2">
        <v>44718.0</v>
      </c>
      <c r="C1829" s="3">
        <v>0.25428240740740743</v>
      </c>
      <c r="D1829" s="1">
        <v>12.829904</v>
      </c>
      <c r="E1829" s="1">
        <v>80.04511</v>
      </c>
      <c r="F1829" s="1">
        <v>805.0</v>
      </c>
      <c r="G1829" s="1">
        <v>60.0</v>
      </c>
    </row>
    <row r="1830">
      <c r="A1830" s="1" t="s">
        <v>7</v>
      </c>
      <c r="B1830" s="2">
        <v>44718.0</v>
      </c>
      <c r="C1830" s="3">
        <v>0.25431712962962966</v>
      </c>
      <c r="D1830" s="1">
        <v>12.888844</v>
      </c>
      <c r="E1830" s="1">
        <v>80.083895</v>
      </c>
      <c r="F1830" s="1">
        <v>2846.0</v>
      </c>
      <c r="G1830" s="1">
        <v>48.0</v>
      </c>
    </row>
    <row r="1831">
      <c r="A1831" s="1" t="s">
        <v>7</v>
      </c>
      <c r="B1831" s="2">
        <v>44718.0</v>
      </c>
      <c r="C1831" s="3">
        <v>0.2547916666666667</v>
      </c>
      <c r="D1831" s="1">
        <v>12.893774</v>
      </c>
      <c r="E1831" s="1">
        <v>80.086679</v>
      </c>
      <c r="F1831" s="1">
        <v>2846.0</v>
      </c>
      <c r="G1831" s="1">
        <v>59.0</v>
      </c>
    </row>
    <row r="1832">
      <c r="A1832" s="1" t="s">
        <v>7</v>
      </c>
      <c r="B1832" s="2">
        <v>44718.0</v>
      </c>
      <c r="C1832" s="3">
        <v>0.2549884259259259</v>
      </c>
      <c r="D1832" s="1">
        <v>12.823342</v>
      </c>
      <c r="E1832" s="1">
        <v>80.039216</v>
      </c>
      <c r="F1832" s="1">
        <v>805.0</v>
      </c>
      <c r="G1832" s="1">
        <v>58.0</v>
      </c>
    </row>
    <row r="1833">
      <c r="A1833" s="1" t="s">
        <v>7</v>
      </c>
      <c r="B1833" s="2">
        <v>44718.0</v>
      </c>
      <c r="C1833" s="3">
        <v>0.25577546296296294</v>
      </c>
      <c r="D1833" s="1">
        <v>12.90416</v>
      </c>
      <c r="E1833" s="1">
        <v>80.094449</v>
      </c>
      <c r="F1833" s="1">
        <v>2846.0</v>
      </c>
      <c r="G1833" s="1">
        <v>50.0</v>
      </c>
    </row>
    <row r="1834">
      <c r="A1834" s="1" t="s">
        <v>7</v>
      </c>
      <c r="B1834" s="2">
        <v>44718.0</v>
      </c>
      <c r="C1834" s="3">
        <v>0.2559837962962963</v>
      </c>
      <c r="D1834" s="1">
        <v>12.905215</v>
      </c>
      <c r="E1834" s="1">
        <v>80.095234</v>
      </c>
      <c r="F1834" s="1">
        <v>2846.0</v>
      </c>
      <c r="G1834" s="1">
        <v>57.0</v>
      </c>
    </row>
    <row r="1835">
      <c r="A1835" s="1" t="s">
        <v>7</v>
      </c>
      <c r="B1835" s="2">
        <v>44718.0</v>
      </c>
      <c r="C1835" s="3">
        <v>0.25614583333333335</v>
      </c>
      <c r="D1835" s="1">
        <v>12.81315</v>
      </c>
      <c r="E1835" s="1">
        <v>80.032054</v>
      </c>
      <c r="F1835" s="1">
        <v>805.0</v>
      </c>
      <c r="G1835" s="1">
        <v>58.0</v>
      </c>
    </row>
    <row r="1836">
      <c r="A1836" s="1" t="s">
        <v>8</v>
      </c>
      <c r="B1836" s="2">
        <v>44718.0</v>
      </c>
      <c r="C1836" s="3">
        <v>0.2563773148148148</v>
      </c>
      <c r="D1836" s="1">
        <v>12.909245</v>
      </c>
      <c r="E1836" s="1">
        <v>80.098654</v>
      </c>
      <c r="F1836" s="1">
        <v>2846.0</v>
      </c>
      <c r="G1836" s="1">
        <v>36.0</v>
      </c>
    </row>
    <row r="1837">
      <c r="A1837" s="1" t="s">
        <v>7</v>
      </c>
      <c r="B1837" s="2">
        <v>44718.0</v>
      </c>
      <c r="C1837" s="3">
        <v>0.2573726851851852</v>
      </c>
      <c r="D1837" s="1">
        <v>12.915578</v>
      </c>
      <c r="E1837" s="1">
        <v>80.102853</v>
      </c>
      <c r="F1837" s="1">
        <v>2846.0</v>
      </c>
      <c r="G1837" s="1">
        <v>62.0</v>
      </c>
    </row>
    <row r="1838">
      <c r="A1838" s="1" t="s">
        <v>7</v>
      </c>
      <c r="B1838" s="2">
        <v>44718.0</v>
      </c>
      <c r="C1838" s="3">
        <v>0.2575115740740741</v>
      </c>
      <c r="D1838" s="1">
        <v>12.916319</v>
      </c>
      <c r="E1838" s="1">
        <v>80.10566</v>
      </c>
      <c r="F1838" s="1">
        <v>2846.0</v>
      </c>
      <c r="G1838" s="1">
        <v>54.0</v>
      </c>
    </row>
    <row r="1839">
      <c r="A1839" s="1" t="s">
        <v>8</v>
      </c>
      <c r="B1839" s="2">
        <v>44718.0</v>
      </c>
      <c r="C1839" s="3">
        <v>0.2576041666666667</v>
      </c>
      <c r="D1839" s="1">
        <v>12.916319</v>
      </c>
      <c r="E1839" s="1">
        <v>80.10566</v>
      </c>
      <c r="F1839" s="1">
        <v>2846.0</v>
      </c>
      <c r="G1839" s="1">
        <v>54.0</v>
      </c>
    </row>
    <row r="1840">
      <c r="A1840" s="1" t="s">
        <v>7</v>
      </c>
      <c r="B1840" s="2">
        <v>44718.0</v>
      </c>
      <c r="C1840" s="3">
        <v>0.25783564814814813</v>
      </c>
      <c r="D1840" s="1">
        <v>12.917246</v>
      </c>
      <c r="E1840" s="1">
        <v>80.107499</v>
      </c>
      <c r="F1840" s="1">
        <v>2846.0</v>
      </c>
      <c r="G1840" s="1">
        <v>37.0</v>
      </c>
    </row>
    <row r="1841">
      <c r="A1841" s="1" t="s">
        <v>8</v>
      </c>
      <c r="B1841" s="2">
        <v>44718.0</v>
      </c>
      <c r="C1841" s="3">
        <v>0.2579282407407407</v>
      </c>
      <c r="D1841" s="1">
        <v>12.917947</v>
      </c>
      <c r="E1841" s="1">
        <v>80.108424</v>
      </c>
      <c r="F1841" s="1">
        <v>2846.0</v>
      </c>
      <c r="G1841" s="1">
        <v>48.0</v>
      </c>
    </row>
    <row r="1842">
      <c r="A1842" s="1" t="s">
        <v>8</v>
      </c>
      <c r="B1842" s="2">
        <v>44718.0</v>
      </c>
      <c r="C1842" s="3">
        <v>0.2579513888888889</v>
      </c>
      <c r="D1842" s="1">
        <v>12.917947</v>
      </c>
      <c r="E1842" s="1">
        <v>80.108424</v>
      </c>
      <c r="F1842" s="1">
        <v>2846.0</v>
      </c>
      <c r="G1842" s="1">
        <v>48.0</v>
      </c>
    </row>
    <row r="1843">
      <c r="A1843" s="1" t="s">
        <v>7</v>
      </c>
      <c r="B1843" s="2">
        <v>44718.0</v>
      </c>
      <c r="C1843" s="3">
        <v>0.25809027777777777</v>
      </c>
      <c r="D1843" s="1">
        <v>12.919603</v>
      </c>
      <c r="E1843" s="1">
        <v>80.110498</v>
      </c>
      <c r="F1843" s="1">
        <v>2846.0</v>
      </c>
      <c r="G1843" s="1">
        <v>57.0</v>
      </c>
    </row>
    <row r="1844">
      <c r="A1844" s="1" t="s">
        <v>7</v>
      </c>
      <c r="B1844" s="2">
        <v>44718.0</v>
      </c>
      <c r="C1844" s="3">
        <v>0.2581365740740741</v>
      </c>
      <c r="D1844" s="1">
        <v>12.790988</v>
      </c>
      <c r="E1844" s="1">
        <v>80.01761</v>
      </c>
      <c r="F1844" s="1">
        <v>805.0</v>
      </c>
      <c r="G1844" s="1">
        <v>58.0</v>
      </c>
    </row>
    <row r="1845">
      <c r="A1845" s="1" t="s">
        <v>7</v>
      </c>
      <c r="B1845" s="2">
        <v>44718.0</v>
      </c>
      <c r="C1845" s="3">
        <v>0.2584490740740741</v>
      </c>
      <c r="D1845" s="1">
        <v>12.922657</v>
      </c>
      <c r="E1845" s="1">
        <v>80.113695</v>
      </c>
      <c r="F1845" s="1">
        <v>2846.0</v>
      </c>
      <c r="G1845" s="1">
        <v>57.0</v>
      </c>
    </row>
    <row r="1846">
      <c r="A1846" s="1" t="s">
        <v>7</v>
      </c>
      <c r="B1846" s="2">
        <v>44718.0</v>
      </c>
      <c r="C1846" s="3">
        <v>0.25851851851851854</v>
      </c>
      <c r="D1846" s="1">
        <v>12.787182</v>
      </c>
      <c r="E1846" s="1">
        <v>80.015366</v>
      </c>
      <c r="F1846" s="1">
        <v>805.0</v>
      </c>
      <c r="G1846" s="1">
        <v>58.0</v>
      </c>
    </row>
    <row r="1847">
      <c r="A1847" s="1" t="s">
        <v>8</v>
      </c>
      <c r="B1847" s="2">
        <v>44718.0</v>
      </c>
      <c r="C1847" s="3">
        <v>0.2586111111111111</v>
      </c>
      <c r="D1847" s="1">
        <v>12.923704</v>
      </c>
      <c r="E1847" s="1">
        <v>80.114732</v>
      </c>
      <c r="F1847" s="1">
        <v>2846.0</v>
      </c>
      <c r="G1847" s="1">
        <v>57.0</v>
      </c>
    </row>
    <row r="1848">
      <c r="A1848" s="1" t="s">
        <v>7</v>
      </c>
      <c r="B1848" s="2">
        <v>44718.0</v>
      </c>
      <c r="C1848" s="3">
        <v>0.25877314814814817</v>
      </c>
      <c r="D1848" s="1">
        <v>12.783303</v>
      </c>
      <c r="E1848" s="1">
        <v>80.013296</v>
      </c>
      <c r="F1848" s="1">
        <v>805.0</v>
      </c>
      <c r="G1848" s="1">
        <v>58.0</v>
      </c>
    </row>
    <row r="1849">
      <c r="A1849" s="1" t="s">
        <v>7</v>
      </c>
      <c r="B1849" s="2">
        <v>44718.0</v>
      </c>
      <c r="C1849" s="3">
        <v>0.259224537037037</v>
      </c>
      <c r="D1849" s="1">
        <v>12.77793</v>
      </c>
      <c r="E1849" s="1">
        <v>80.01094</v>
      </c>
      <c r="F1849" s="1">
        <v>805.0</v>
      </c>
      <c r="G1849" s="1">
        <v>58.0</v>
      </c>
    </row>
    <row r="1850">
      <c r="A1850" s="1" t="s">
        <v>7</v>
      </c>
      <c r="B1850" s="2">
        <v>44718.0</v>
      </c>
      <c r="C1850" s="3">
        <v>0.26046296296296295</v>
      </c>
      <c r="D1850" s="1">
        <v>12.764588</v>
      </c>
      <c r="E1850" s="1">
        <v>80.004821</v>
      </c>
      <c r="F1850" s="1">
        <v>805.0</v>
      </c>
      <c r="G1850" s="1">
        <v>57.0</v>
      </c>
    </row>
    <row r="1851">
      <c r="A1851" s="1" t="s">
        <v>7</v>
      </c>
      <c r="B1851" s="2">
        <v>44718.0</v>
      </c>
      <c r="C1851" s="3">
        <v>0.26060185185185186</v>
      </c>
      <c r="D1851" s="1">
        <v>12.761849</v>
      </c>
      <c r="E1851" s="1">
        <v>80.003806</v>
      </c>
      <c r="F1851" s="1">
        <v>805.0</v>
      </c>
      <c r="G1851" s="1">
        <v>57.0</v>
      </c>
    </row>
    <row r="1852">
      <c r="A1852" s="1" t="s">
        <v>7</v>
      </c>
      <c r="B1852" s="2">
        <v>44718.0</v>
      </c>
      <c r="C1852" s="3">
        <v>0.2607523148148148</v>
      </c>
      <c r="D1852" s="1">
        <v>12.760601</v>
      </c>
      <c r="E1852" s="1">
        <v>80.003476</v>
      </c>
      <c r="F1852" s="1">
        <v>805.0</v>
      </c>
      <c r="G1852" s="1">
        <v>48.0</v>
      </c>
    </row>
    <row r="1853">
      <c r="A1853" s="1" t="s">
        <v>7</v>
      </c>
      <c r="B1853" s="2">
        <v>44718.0</v>
      </c>
      <c r="C1853" s="3">
        <v>0.2611805555555556</v>
      </c>
      <c r="D1853" s="1">
        <v>12.756408</v>
      </c>
      <c r="E1853" s="1">
        <v>80.002167</v>
      </c>
      <c r="F1853" s="1">
        <v>805.0</v>
      </c>
      <c r="G1853" s="1">
        <v>58.0</v>
      </c>
    </row>
    <row r="1854">
      <c r="A1854" s="1" t="s">
        <v>8</v>
      </c>
      <c r="B1854" s="2">
        <v>44718.0</v>
      </c>
      <c r="C1854" s="3">
        <v>0.2619097222222222</v>
      </c>
      <c r="D1854" s="1">
        <v>12.927793</v>
      </c>
      <c r="E1854" s="1">
        <v>80.118901</v>
      </c>
      <c r="F1854" s="1">
        <v>2846.0</v>
      </c>
      <c r="G1854" s="1">
        <v>26.0</v>
      </c>
    </row>
    <row r="1855">
      <c r="A1855" s="1" t="s">
        <v>7</v>
      </c>
      <c r="B1855" s="2">
        <v>44718.0</v>
      </c>
      <c r="C1855" s="3">
        <v>0.2621412037037037</v>
      </c>
      <c r="D1855" s="1">
        <v>12.745667</v>
      </c>
      <c r="E1855" s="1">
        <v>79.994463</v>
      </c>
      <c r="F1855" s="1">
        <v>805.0</v>
      </c>
      <c r="G1855" s="1">
        <v>58.0</v>
      </c>
    </row>
    <row r="1856">
      <c r="A1856" s="1" t="s">
        <v>7</v>
      </c>
      <c r="B1856" s="2">
        <v>44718.0</v>
      </c>
      <c r="C1856" s="3">
        <v>0.2625810185185185</v>
      </c>
      <c r="D1856" s="1">
        <v>12.743362</v>
      </c>
      <c r="E1856" s="1">
        <v>79.992638</v>
      </c>
      <c r="F1856" s="1">
        <v>805.0</v>
      </c>
      <c r="G1856" s="1">
        <v>58.0</v>
      </c>
    </row>
    <row r="1857">
      <c r="A1857" s="1" t="s">
        <v>8</v>
      </c>
      <c r="B1857" s="2">
        <v>44718.0</v>
      </c>
      <c r="C1857" s="3">
        <v>0.2631365740740741</v>
      </c>
      <c r="D1857" s="1">
        <v>12.93266</v>
      </c>
      <c r="E1857" s="1">
        <v>80.123788</v>
      </c>
      <c r="F1857" s="1">
        <v>2846.0</v>
      </c>
      <c r="G1857" s="1">
        <v>53.0</v>
      </c>
    </row>
    <row r="1858">
      <c r="A1858" s="1" t="s">
        <v>7</v>
      </c>
      <c r="B1858" s="2">
        <v>44718.0</v>
      </c>
      <c r="C1858" s="3">
        <v>0.26489583333333333</v>
      </c>
      <c r="D1858" s="1">
        <v>12.723831</v>
      </c>
      <c r="E1858" s="1">
        <v>79.981944</v>
      </c>
      <c r="F1858" s="1">
        <v>805.0</v>
      </c>
      <c r="G1858" s="1">
        <v>28.0</v>
      </c>
    </row>
    <row r="1859">
      <c r="A1859" s="1" t="s">
        <v>8</v>
      </c>
      <c r="B1859" s="2">
        <v>44718.0</v>
      </c>
      <c r="C1859" s="3">
        <v>0.2653935185185185</v>
      </c>
      <c r="D1859" s="1">
        <v>12.950918</v>
      </c>
      <c r="E1859" s="1">
        <v>80.139802</v>
      </c>
      <c r="F1859" s="1">
        <v>2846.0</v>
      </c>
      <c r="G1859" s="1">
        <v>27.0</v>
      </c>
    </row>
    <row r="1860">
      <c r="A1860" s="1" t="s">
        <v>8</v>
      </c>
      <c r="B1860" s="2">
        <v>44718.0</v>
      </c>
      <c r="C1860" s="3">
        <v>0.2655208333333333</v>
      </c>
      <c r="D1860" s="1">
        <v>12.951616</v>
      </c>
      <c r="E1860" s="1">
        <v>80.140324</v>
      </c>
      <c r="F1860" s="1">
        <v>2846.0</v>
      </c>
      <c r="G1860" s="1">
        <v>39.0</v>
      </c>
    </row>
    <row r="1861">
      <c r="A1861" s="1" t="s">
        <v>8</v>
      </c>
      <c r="B1861" s="2">
        <v>44718.0</v>
      </c>
      <c r="C1861" s="3">
        <v>0.2655902777777778</v>
      </c>
      <c r="D1861" s="1">
        <v>12.951616</v>
      </c>
      <c r="E1861" s="1">
        <v>80.140324</v>
      </c>
      <c r="F1861" s="1">
        <v>2846.0</v>
      </c>
      <c r="G1861" s="1">
        <v>39.0</v>
      </c>
    </row>
    <row r="1862">
      <c r="A1862" s="1" t="s">
        <v>8</v>
      </c>
      <c r="B1862" s="2">
        <v>44718.0</v>
      </c>
      <c r="C1862" s="3">
        <v>0.2656597222222222</v>
      </c>
      <c r="D1862" s="1">
        <v>12.952523</v>
      </c>
      <c r="E1862" s="1">
        <v>80.141</v>
      </c>
      <c r="F1862" s="1">
        <v>2846.0</v>
      </c>
      <c r="G1862" s="1">
        <v>46.0</v>
      </c>
    </row>
    <row r="1863">
      <c r="A1863" s="1" t="s">
        <v>7</v>
      </c>
      <c r="B1863" s="2">
        <v>44718.0</v>
      </c>
      <c r="C1863" s="3">
        <v>0.2657523148148148</v>
      </c>
      <c r="D1863" s="1">
        <v>12.953526</v>
      </c>
      <c r="E1863" s="1">
        <v>80.141648</v>
      </c>
      <c r="F1863" s="1">
        <v>2846.0</v>
      </c>
      <c r="G1863" s="1">
        <v>50.0</v>
      </c>
    </row>
    <row r="1864">
      <c r="A1864" s="1" t="s">
        <v>8</v>
      </c>
      <c r="B1864" s="2">
        <v>44718.0</v>
      </c>
      <c r="C1864" s="3">
        <v>0.26586805555555554</v>
      </c>
      <c r="D1864" s="1">
        <v>12.954767</v>
      </c>
      <c r="E1864" s="1">
        <v>80.142303</v>
      </c>
      <c r="F1864" s="1">
        <v>2846.0</v>
      </c>
      <c r="G1864" s="1">
        <v>57.0</v>
      </c>
    </row>
    <row r="1865">
      <c r="A1865" s="1" t="s">
        <v>8</v>
      </c>
      <c r="B1865" s="2">
        <v>44718.0</v>
      </c>
      <c r="C1865" s="3">
        <v>0.2659375</v>
      </c>
      <c r="D1865" s="1">
        <v>12.954767</v>
      </c>
      <c r="E1865" s="1">
        <v>80.142303</v>
      </c>
      <c r="F1865" s="1">
        <v>2846.0</v>
      </c>
      <c r="G1865" s="1">
        <v>57.0</v>
      </c>
    </row>
    <row r="1866">
      <c r="A1866" s="1" t="s">
        <v>8</v>
      </c>
      <c r="B1866" s="2">
        <v>44718.0</v>
      </c>
      <c r="C1866" s="3">
        <v>0.26600694444444445</v>
      </c>
      <c r="D1866" s="1">
        <v>12.955997</v>
      </c>
      <c r="E1866" s="1">
        <v>80.142978</v>
      </c>
      <c r="F1866" s="1">
        <v>2846.0</v>
      </c>
      <c r="G1866" s="1">
        <v>54.0</v>
      </c>
    </row>
    <row r="1867">
      <c r="A1867" s="1" t="s">
        <v>7</v>
      </c>
      <c r="B1867" s="2">
        <v>44718.0</v>
      </c>
      <c r="C1867" s="3">
        <v>0.2660763888888889</v>
      </c>
      <c r="D1867" s="1">
        <v>12.710457</v>
      </c>
      <c r="E1867" s="1">
        <v>79.978294</v>
      </c>
      <c r="F1867" s="1">
        <v>805.0</v>
      </c>
      <c r="G1867" s="1">
        <v>48.0</v>
      </c>
    </row>
    <row r="1868">
      <c r="A1868" s="1" t="s">
        <v>8</v>
      </c>
      <c r="B1868" s="2">
        <v>44718.0</v>
      </c>
      <c r="C1868" s="3">
        <v>0.2663425925925926</v>
      </c>
      <c r="D1868" s="1">
        <v>12.95824</v>
      </c>
      <c r="E1868" s="1">
        <v>80.144175</v>
      </c>
      <c r="F1868" s="1">
        <v>2846.0</v>
      </c>
      <c r="G1868" s="1">
        <v>46.0</v>
      </c>
    </row>
    <row r="1869">
      <c r="A1869" s="1" t="s">
        <v>8</v>
      </c>
      <c r="B1869" s="2">
        <v>44718.0</v>
      </c>
      <c r="C1869" s="3">
        <v>0.2664236111111111</v>
      </c>
      <c r="D1869" s="1">
        <v>12.959437</v>
      </c>
      <c r="E1869" s="1">
        <v>80.144813</v>
      </c>
      <c r="F1869" s="1">
        <v>2846.0</v>
      </c>
      <c r="G1869" s="1">
        <v>60.0</v>
      </c>
    </row>
    <row r="1870">
      <c r="A1870" s="1" t="s">
        <v>8</v>
      </c>
      <c r="B1870" s="2">
        <v>44718.0</v>
      </c>
      <c r="C1870" s="3">
        <v>0.2667476851851852</v>
      </c>
      <c r="D1870" s="1">
        <v>12.963016</v>
      </c>
      <c r="E1870" s="1">
        <v>80.146756</v>
      </c>
      <c r="F1870" s="1">
        <v>2846.0</v>
      </c>
      <c r="G1870" s="1">
        <v>47.0</v>
      </c>
    </row>
    <row r="1871">
      <c r="A1871" s="1" t="s">
        <v>8</v>
      </c>
      <c r="B1871" s="2">
        <v>44718.0</v>
      </c>
      <c r="C1871" s="3">
        <v>0.2667939814814815</v>
      </c>
      <c r="D1871" s="1">
        <v>12.964084</v>
      </c>
      <c r="E1871" s="1">
        <v>80.14735</v>
      </c>
      <c r="F1871" s="1">
        <v>2846.0</v>
      </c>
      <c r="G1871" s="1">
        <v>43.0</v>
      </c>
    </row>
    <row r="1872">
      <c r="A1872" s="1" t="s">
        <v>8</v>
      </c>
      <c r="B1872" s="2">
        <v>44718.0</v>
      </c>
      <c r="C1872" s="3">
        <v>0.2668402777777778</v>
      </c>
      <c r="D1872" s="1">
        <v>12.964084</v>
      </c>
      <c r="E1872" s="1">
        <v>80.14735</v>
      </c>
      <c r="F1872" s="1">
        <v>2846.0</v>
      </c>
      <c r="G1872" s="1">
        <v>43.0</v>
      </c>
    </row>
    <row r="1873">
      <c r="A1873" s="1" t="s">
        <v>7</v>
      </c>
      <c r="B1873" s="2">
        <v>44718.0</v>
      </c>
      <c r="C1873" s="3">
        <v>0.26697916666666666</v>
      </c>
      <c r="D1873" s="1">
        <v>12.964931</v>
      </c>
      <c r="E1873" s="1">
        <v>80.147826</v>
      </c>
      <c r="F1873" s="1">
        <v>2846.0</v>
      </c>
      <c r="G1873" s="1">
        <v>38.0</v>
      </c>
    </row>
    <row r="1874">
      <c r="A1874" s="1" t="s">
        <v>7</v>
      </c>
      <c r="B1874" s="2">
        <v>44718.0</v>
      </c>
      <c r="C1874" s="3">
        <v>0.26721064814814816</v>
      </c>
      <c r="D1874" s="1">
        <v>12.694617</v>
      </c>
      <c r="E1874" s="1">
        <v>79.965708</v>
      </c>
      <c r="F1874" s="1">
        <v>805.0</v>
      </c>
      <c r="G1874" s="1">
        <v>58.0</v>
      </c>
    </row>
    <row r="1875">
      <c r="A1875" s="1" t="s">
        <v>7</v>
      </c>
      <c r="B1875" s="2">
        <v>44718.0</v>
      </c>
      <c r="C1875" s="3">
        <v>0.267349537037037</v>
      </c>
      <c r="D1875" s="1">
        <v>12.693327</v>
      </c>
      <c r="E1875" s="1">
        <v>79.965008</v>
      </c>
      <c r="F1875" s="1">
        <v>805.0</v>
      </c>
      <c r="G1875" s="1">
        <v>58.0</v>
      </c>
    </row>
    <row r="1876">
      <c r="A1876" s="1" t="s">
        <v>7</v>
      </c>
      <c r="B1876" s="2">
        <v>44718.0</v>
      </c>
      <c r="C1876" s="3">
        <v>0.26741898148148147</v>
      </c>
      <c r="D1876" s="1">
        <v>12.693327</v>
      </c>
      <c r="E1876" s="1">
        <v>79.965008</v>
      </c>
      <c r="F1876" s="1">
        <v>805.0</v>
      </c>
      <c r="G1876" s="1">
        <v>58.0</v>
      </c>
    </row>
    <row r="1877">
      <c r="A1877" s="1" t="s">
        <v>7</v>
      </c>
      <c r="B1877" s="2">
        <v>44718.0</v>
      </c>
      <c r="C1877" s="3">
        <v>0.2687037037037037</v>
      </c>
      <c r="D1877" s="1">
        <v>12.679958</v>
      </c>
      <c r="E1877" s="1">
        <v>79.958578</v>
      </c>
      <c r="F1877" s="1">
        <v>805.0</v>
      </c>
      <c r="G1877" s="1">
        <v>59.0</v>
      </c>
    </row>
    <row r="1878">
      <c r="A1878" s="1" t="s">
        <v>7</v>
      </c>
      <c r="B1878" s="2">
        <v>44718.0</v>
      </c>
      <c r="C1878" s="3">
        <v>0.2691087962962963</v>
      </c>
      <c r="D1878" s="1">
        <v>12.675564</v>
      </c>
      <c r="E1878" s="1">
        <v>79.958654</v>
      </c>
      <c r="F1878" s="1">
        <v>805.0</v>
      </c>
      <c r="G1878" s="1">
        <v>57.0</v>
      </c>
    </row>
    <row r="1879">
      <c r="A1879" s="1" t="s">
        <v>7</v>
      </c>
      <c r="B1879" s="2">
        <v>44718.0</v>
      </c>
      <c r="C1879" s="3">
        <v>0.26966435185185184</v>
      </c>
      <c r="D1879" s="1">
        <v>12.672776</v>
      </c>
      <c r="E1879" s="1">
        <v>79.9587</v>
      </c>
      <c r="F1879" s="1">
        <v>805.0</v>
      </c>
      <c r="G1879" s="1">
        <v>58.0</v>
      </c>
    </row>
    <row r="1880">
      <c r="A1880" s="1" t="s">
        <v>8</v>
      </c>
      <c r="B1880" s="2">
        <v>44718.0</v>
      </c>
      <c r="C1880" s="3">
        <v>0.2698611111111111</v>
      </c>
      <c r="D1880" s="1">
        <v>12.986463</v>
      </c>
      <c r="E1880" s="1">
        <v>80.174635</v>
      </c>
      <c r="F1880" s="1">
        <v>2846.0</v>
      </c>
      <c r="G1880" s="1">
        <v>34.0</v>
      </c>
    </row>
    <row r="1881">
      <c r="A1881" s="1" t="s">
        <v>8</v>
      </c>
      <c r="B1881" s="2">
        <v>44718.0</v>
      </c>
      <c r="C1881" s="3">
        <v>0.26994212962962966</v>
      </c>
      <c r="D1881" s="1">
        <v>12.987019</v>
      </c>
      <c r="E1881" s="1">
        <v>80.17543</v>
      </c>
      <c r="F1881" s="1">
        <v>2846.0</v>
      </c>
      <c r="G1881" s="1">
        <v>33.0</v>
      </c>
    </row>
    <row r="1882">
      <c r="A1882" s="1" t="s">
        <v>7</v>
      </c>
      <c r="B1882" s="2">
        <v>44718.0</v>
      </c>
      <c r="C1882" s="3">
        <v>0.26997685185185183</v>
      </c>
      <c r="D1882" s="1">
        <v>12.672776</v>
      </c>
      <c r="E1882" s="1">
        <v>79.9587</v>
      </c>
      <c r="F1882" s="1">
        <v>805.0</v>
      </c>
      <c r="G1882" s="1">
        <v>58.0</v>
      </c>
    </row>
    <row r="1883">
      <c r="A1883" s="1" t="s">
        <v>8</v>
      </c>
      <c r="B1883" s="2">
        <v>44718.0</v>
      </c>
      <c r="C1883" s="3">
        <v>0.2702777777777778</v>
      </c>
      <c r="D1883" s="1">
        <v>12.988939</v>
      </c>
      <c r="E1883" s="1">
        <v>80.178044</v>
      </c>
      <c r="F1883" s="1">
        <v>2846.0</v>
      </c>
      <c r="G1883" s="1">
        <v>45.0</v>
      </c>
    </row>
    <row r="1884">
      <c r="A1884" s="1" t="s">
        <v>7</v>
      </c>
      <c r="B1884" s="2">
        <v>44718.0</v>
      </c>
      <c r="C1884" s="3">
        <v>0.2704166666666667</v>
      </c>
      <c r="D1884" s="1">
        <v>12.672776</v>
      </c>
      <c r="E1884" s="1">
        <v>79.9587</v>
      </c>
      <c r="F1884" s="1">
        <v>805.0</v>
      </c>
      <c r="G1884" s="1">
        <v>58.0</v>
      </c>
    </row>
    <row r="1885">
      <c r="A1885" s="1" t="s">
        <v>8</v>
      </c>
      <c r="B1885" s="2">
        <v>44718.0</v>
      </c>
      <c r="C1885" s="3">
        <v>0.27042824074074073</v>
      </c>
      <c r="D1885" s="1">
        <v>12.989628</v>
      </c>
      <c r="E1885" s="1">
        <v>80.1789</v>
      </c>
      <c r="F1885" s="1">
        <v>2846.0</v>
      </c>
      <c r="G1885" s="1">
        <v>40.0</v>
      </c>
    </row>
    <row r="1886">
      <c r="A1886" s="1" t="s">
        <v>8</v>
      </c>
      <c r="B1886" s="2">
        <v>44718.0</v>
      </c>
      <c r="C1886" s="3">
        <v>0.2705787037037037</v>
      </c>
      <c r="D1886" s="1">
        <v>12.99031</v>
      </c>
      <c r="E1886" s="1">
        <v>80.179849</v>
      </c>
      <c r="F1886" s="1">
        <v>2846.0</v>
      </c>
      <c r="G1886" s="1">
        <v>45.0</v>
      </c>
    </row>
    <row r="1887">
      <c r="A1887" s="1" t="s">
        <v>7</v>
      </c>
      <c r="B1887" s="2">
        <v>44718.0</v>
      </c>
      <c r="C1887" s="3">
        <v>0.2707986111111111</v>
      </c>
      <c r="D1887" s="1">
        <v>12.991832</v>
      </c>
      <c r="E1887" s="1">
        <v>80.181832</v>
      </c>
      <c r="F1887" s="1">
        <v>2846.0</v>
      </c>
      <c r="G1887" s="1">
        <v>50.0</v>
      </c>
    </row>
    <row r="1888">
      <c r="A1888" s="1" t="s">
        <v>7</v>
      </c>
      <c r="B1888" s="2">
        <v>44718.0</v>
      </c>
      <c r="C1888" s="3">
        <v>0.27099537037037036</v>
      </c>
      <c r="D1888" s="1">
        <v>12.656142</v>
      </c>
      <c r="E1888" s="1">
        <v>79.954349</v>
      </c>
      <c r="F1888" s="1">
        <v>805.0</v>
      </c>
      <c r="G1888" s="1">
        <v>58.0</v>
      </c>
    </row>
    <row r="1889">
      <c r="A1889" s="1" t="s">
        <v>8</v>
      </c>
      <c r="B1889" s="2">
        <v>44718.0</v>
      </c>
      <c r="C1889" s="3">
        <v>0.27164351851851853</v>
      </c>
      <c r="D1889" s="1">
        <v>12.992625</v>
      </c>
      <c r="E1889" s="1">
        <v>80.182947</v>
      </c>
      <c r="F1889" s="1">
        <v>2846.0</v>
      </c>
      <c r="G1889" s="1">
        <v>58.0</v>
      </c>
    </row>
    <row r="1890">
      <c r="A1890" s="1" t="s">
        <v>8</v>
      </c>
      <c r="B1890" s="2">
        <v>44718.0</v>
      </c>
      <c r="C1890" s="3">
        <v>0.27188657407407407</v>
      </c>
      <c r="D1890" s="1">
        <v>12.657336</v>
      </c>
      <c r="E1890" s="1">
        <v>79.946694</v>
      </c>
      <c r="F1890" s="1">
        <v>805.0</v>
      </c>
      <c r="G1890" s="1">
        <v>24.0</v>
      </c>
    </row>
    <row r="1891">
      <c r="A1891" s="1" t="s">
        <v>7</v>
      </c>
      <c r="B1891" s="2">
        <v>44718.0</v>
      </c>
      <c r="C1891" s="3">
        <v>0.2721527777777778</v>
      </c>
      <c r="D1891" s="1">
        <v>12.657666</v>
      </c>
      <c r="E1891" s="1">
        <v>79.945654</v>
      </c>
      <c r="F1891" s="1">
        <v>805.0</v>
      </c>
      <c r="G1891" s="1">
        <v>25.0</v>
      </c>
    </row>
    <row r="1892">
      <c r="A1892" s="1" t="s">
        <v>8</v>
      </c>
      <c r="B1892" s="2">
        <v>44718.0</v>
      </c>
      <c r="C1892" s="3">
        <v>0.2722453703703704</v>
      </c>
      <c r="D1892" s="1">
        <v>12.998379</v>
      </c>
      <c r="E1892" s="1">
        <v>80.191947</v>
      </c>
      <c r="F1892" s="1">
        <v>2846.0</v>
      </c>
      <c r="G1892" s="1">
        <v>52.0</v>
      </c>
    </row>
    <row r="1893">
      <c r="A1893" s="1" t="s">
        <v>9</v>
      </c>
      <c r="B1893" s="2">
        <v>44718.0</v>
      </c>
      <c r="C1893" s="3">
        <v>0.2728587962962963</v>
      </c>
      <c r="D1893" s="1">
        <v>13.001455</v>
      </c>
      <c r="E1893" s="1">
        <v>80.195865</v>
      </c>
      <c r="F1893" s="1">
        <v>2846.0</v>
      </c>
      <c r="G1893" s="1">
        <v>31.0</v>
      </c>
    </row>
    <row r="1894">
      <c r="A1894" s="1" t="s">
        <v>7</v>
      </c>
      <c r="B1894" s="2">
        <v>44718.0</v>
      </c>
      <c r="C1894" s="3">
        <v>0.2732291666666667</v>
      </c>
      <c r="D1894" s="1">
        <v>12.651084</v>
      </c>
      <c r="E1894" s="1">
        <v>79.941763</v>
      </c>
      <c r="F1894" s="1">
        <v>805.0</v>
      </c>
      <c r="G1894" s="1">
        <v>58.0</v>
      </c>
    </row>
    <row r="1895">
      <c r="A1895" s="1" t="s">
        <v>8</v>
      </c>
      <c r="B1895" s="2">
        <v>44718.0</v>
      </c>
      <c r="C1895" s="3">
        <v>0.2733217592592593</v>
      </c>
      <c r="D1895" s="1">
        <v>12.648294</v>
      </c>
      <c r="E1895" s="1">
        <v>79.940873</v>
      </c>
      <c r="F1895" s="1">
        <v>805.0</v>
      </c>
      <c r="G1895" s="1">
        <v>58.0</v>
      </c>
    </row>
    <row r="1896">
      <c r="A1896" s="1" t="s">
        <v>8</v>
      </c>
      <c r="B1896" s="2">
        <v>44718.0</v>
      </c>
      <c r="C1896" s="3">
        <v>0.2738888888888889</v>
      </c>
      <c r="D1896" s="1">
        <v>13.004535</v>
      </c>
      <c r="E1896" s="1">
        <v>80.201101</v>
      </c>
      <c r="F1896" s="1">
        <v>2846.0</v>
      </c>
      <c r="G1896" s="1">
        <v>34.0</v>
      </c>
    </row>
    <row r="1897">
      <c r="A1897" s="1" t="s">
        <v>8</v>
      </c>
      <c r="B1897" s="2">
        <v>44718.0</v>
      </c>
      <c r="C1897" s="3">
        <v>0.27399305555555553</v>
      </c>
      <c r="D1897" s="1">
        <v>13.005434</v>
      </c>
      <c r="E1897" s="1">
        <v>80.2016</v>
      </c>
      <c r="F1897" s="1">
        <v>2846.0</v>
      </c>
      <c r="G1897" s="1">
        <v>49.0</v>
      </c>
    </row>
    <row r="1898">
      <c r="A1898" s="1" t="s">
        <v>8</v>
      </c>
      <c r="B1898" s="2">
        <v>44718.0</v>
      </c>
      <c r="C1898" s="3">
        <v>0.27414351851851854</v>
      </c>
      <c r="D1898" s="1">
        <v>13.006148</v>
      </c>
      <c r="E1898" s="1">
        <v>80.202715</v>
      </c>
      <c r="F1898" s="1">
        <v>2846.0</v>
      </c>
      <c r="G1898" s="1">
        <v>45.0</v>
      </c>
    </row>
    <row r="1899">
      <c r="A1899" s="1" t="s">
        <v>7</v>
      </c>
      <c r="B1899" s="2">
        <v>44718.0</v>
      </c>
      <c r="C1899" s="3">
        <v>0.2744212962962963</v>
      </c>
      <c r="D1899" s="1">
        <v>12.632848</v>
      </c>
      <c r="E1899" s="1">
        <v>79.932457</v>
      </c>
      <c r="F1899" s="1">
        <v>805.0</v>
      </c>
      <c r="G1899" s="1">
        <v>57.0</v>
      </c>
    </row>
    <row r="1900">
      <c r="A1900" s="1" t="s">
        <v>7</v>
      </c>
      <c r="B1900" s="2">
        <v>44718.0</v>
      </c>
      <c r="C1900" s="3">
        <v>0.2749537037037037</v>
      </c>
      <c r="D1900" s="1">
        <v>13.007765</v>
      </c>
      <c r="E1900" s="1">
        <v>80.206432</v>
      </c>
      <c r="F1900" s="1">
        <v>2846.0</v>
      </c>
      <c r="G1900" s="1">
        <v>61.0</v>
      </c>
    </row>
    <row r="1901">
      <c r="A1901" s="1" t="s">
        <v>8</v>
      </c>
      <c r="B1901" s="2">
        <v>44718.0</v>
      </c>
      <c r="C1901" s="3">
        <v>0.2753125</v>
      </c>
      <c r="D1901" s="1">
        <v>13.008455</v>
      </c>
      <c r="E1901" s="1">
        <v>80.210183</v>
      </c>
      <c r="F1901" s="1">
        <v>2846.0</v>
      </c>
      <c r="G1901" s="1">
        <v>49.0</v>
      </c>
    </row>
    <row r="1902">
      <c r="A1902" s="1" t="s">
        <v>8</v>
      </c>
      <c r="B1902" s="2">
        <v>44718.0</v>
      </c>
      <c r="C1902" s="3">
        <v>0.2755787037037037</v>
      </c>
      <c r="D1902" s="1">
        <v>13.009748</v>
      </c>
      <c r="E1902" s="1">
        <v>80.213676</v>
      </c>
      <c r="F1902" s="1">
        <v>2846.0</v>
      </c>
      <c r="G1902" s="1">
        <v>46.0</v>
      </c>
    </row>
    <row r="1903">
      <c r="A1903" s="1" t="s">
        <v>8</v>
      </c>
      <c r="B1903" s="2">
        <v>44718.0</v>
      </c>
      <c r="C1903" s="3">
        <v>0.2755902777777778</v>
      </c>
      <c r="D1903" s="1">
        <v>13.009748</v>
      </c>
      <c r="E1903" s="1">
        <v>80.213676</v>
      </c>
      <c r="F1903" s="1">
        <v>2846.0</v>
      </c>
      <c r="G1903" s="1">
        <v>46.0</v>
      </c>
    </row>
    <row r="1904">
      <c r="A1904" s="1" t="s">
        <v>8</v>
      </c>
      <c r="B1904" s="2">
        <v>44718.0</v>
      </c>
      <c r="C1904" s="3">
        <v>0.2759027777777778</v>
      </c>
      <c r="D1904" s="1">
        <v>13.010385</v>
      </c>
      <c r="E1904" s="1">
        <v>80.215955</v>
      </c>
      <c r="F1904" s="1">
        <v>2846.0</v>
      </c>
      <c r="G1904" s="1">
        <v>29.0</v>
      </c>
    </row>
    <row r="1905">
      <c r="A1905" s="1" t="s">
        <v>8</v>
      </c>
      <c r="B1905" s="2">
        <v>44718.0</v>
      </c>
      <c r="C1905" s="3">
        <v>0.2759375</v>
      </c>
      <c r="D1905" s="1">
        <v>13.010385</v>
      </c>
      <c r="E1905" s="1">
        <v>80.215955</v>
      </c>
      <c r="F1905" s="1">
        <v>2846.0</v>
      </c>
      <c r="G1905" s="1">
        <v>29.0</v>
      </c>
    </row>
    <row r="1906">
      <c r="A1906" s="1" t="s">
        <v>8</v>
      </c>
      <c r="B1906" s="2">
        <v>44718.0</v>
      </c>
      <c r="C1906" s="3">
        <v>0.27596064814814814</v>
      </c>
      <c r="D1906" s="1">
        <v>13.010385</v>
      </c>
      <c r="E1906" s="1">
        <v>80.215955</v>
      </c>
      <c r="F1906" s="1">
        <v>2846.0</v>
      </c>
      <c r="G1906" s="1">
        <v>29.0</v>
      </c>
    </row>
    <row r="1907">
      <c r="A1907" s="1" t="s">
        <v>7</v>
      </c>
      <c r="B1907" s="2">
        <v>44718.0</v>
      </c>
      <c r="C1907" s="3">
        <v>0.2762615740740741</v>
      </c>
      <c r="D1907" s="1">
        <v>13.011735</v>
      </c>
      <c r="E1907" s="1">
        <v>80.219274</v>
      </c>
      <c r="F1907" s="1">
        <v>2846.0</v>
      </c>
      <c r="G1907" s="1">
        <v>63.0</v>
      </c>
    </row>
    <row r="1908">
      <c r="A1908" s="1" t="s">
        <v>7</v>
      </c>
      <c r="B1908" s="2">
        <v>44718.0</v>
      </c>
      <c r="C1908" s="3">
        <v>0.2763888888888889</v>
      </c>
      <c r="D1908" s="1">
        <v>12.608681</v>
      </c>
      <c r="E1908" s="1">
        <v>79.92199</v>
      </c>
      <c r="F1908" s="1">
        <v>805.0</v>
      </c>
      <c r="G1908" s="1">
        <v>58.0</v>
      </c>
    </row>
    <row r="1909">
      <c r="A1909" s="1" t="s">
        <v>7</v>
      </c>
      <c r="B1909" s="2">
        <v>44718.0</v>
      </c>
      <c r="C1909" s="3">
        <v>0.27652777777777776</v>
      </c>
      <c r="D1909" s="1">
        <v>12.607393</v>
      </c>
      <c r="E1909" s="1">
        <v>79.921298</v>
      </c>
      <c r="F1909" s="1">
        <v>805.0</v>
      </c>
      <c r="G1909" s="1">
        <v>57.0</v>
      </c>
    </row>
    <row r="1910">
      <c r="A1910" s="1" t="s">
        <v>7</v>
      </c>
      <c r="B1910" s="2">
        <v>44718.0</v>
      </c>
      <c r="C1910" s="3">
        <v>0.27664351851851854</v>
      </c>
      <c r="D1910" s="1">
        <v>12.605976</v>
      </c>
      <c r="E1910" s="1">
        <v>79.920923</v>
      </c>
      <c r="F1910" s="1">
        <v>805.0</v>
      </c>
      <c r="G1910" s="1">
        <v>58.0</v>
      </c>
    </row>
    <row r="1911">
      <c r="A1911" s="1" t="s">
        <v>7</v>
      </c>
      <c r="B1911" s="2">
        <v>44718.0</v>
      </c>
      <c r="C1911" s="3">
        <v>0.2769097222222222</v>
      </c>
      <c r="D1911" s="1">
        <v>12.6031</v>
      </c>
      <c r="E1911" s="1">
        <v>79.920336</v>
      </c>
      <c r="F1911" s="1">
        <v>805.0</v>
      </c>
      <c r="G1911" s="1">
        <v>58.0</v>
      </c>
    </row>
    <row r="1912">
      <c r="A1912" s="1" t="s">
        <v>7</v>
      </c>
      <c r="B1912" s="2">
        <v>44718.0</v>
      </c>
      <c r="C1912" s="3">
        <v>0.27748842592592593</v>
      </c>
      <c r="D1912" s="1">
        <v>12.595841</v>
      </c>
      <c r="E1912" s="1">
        <v>79.919552</v>
      </c>
      <c r="F1912" s="1">
        <v>805.0</v>
      </c>
      <c r="G1912" s="1">
        <v>58.0</v>
      </c>
    </row>
    <row r="1913">
      <c r="A1913" s="1" t="s">
        <v>7</v>
      </c>
      <c r="B1913" s="2">
        <v>44718.0</v>
      </c>
      <c r="C1913" s="3">
        <v>0.27771990740740743</v>
      </c>
      <c r="D1913" s="1">
        <v>12.592931</v>
      </c>
      <c r="E1913" s="1">
        <v>79.919278</v>
      </c>
      <c r="F1913" s="1">
        <v>805.0</v>
      </c>
      <c r="G1913" s="1">
        <v>58.0</v>
      </c>
    </row>
    <row r="1914">
      <c r="A1914" s="1" t="s">
        <v>7</v>
      </c>
      <c r="B1914" s="2">
        <v>44718.0</v>
      </c>
      <c r="C1914" s="3">
        <v>0.27791666666666665</v>
      </c>
      <c r="D1914" s="1">
        <v>12.589994</v>
      </c>
      <c r="E1914" s="1">
        <v>79.919362</v>
      </c>
      <c r="F1914" s="1">
        <v>805.0</v>
      </c>
      <c r="G1914" s="1">
        <v>58.0</v>
      </c>
    </row>
    <row r="1915">
      <c r="A1915" s="1" t="s">
        <v>7</v>
      </c>
      <c r="B1915" s="2">
        <v>44718.0</v>
      </c>
      <c r="C1915" s="3">
        <v>0.27806712962962965</v>
      </c>
      <c r="D1915" s="1">
        <v>13.023132</v>
      </c>
      <c r="E1915" s="1">
        <v>80.227186</v>
      </c>
      <c r="F1915" s="1">
        <v>2846.0</v>
      </c>
      <c r="G1915" s="1">
        <v>57.0</v>
      </c>
    </row>
    <row r="1916">
      <c r="A1916" s="1" t="s">
        <v>7</v>
      </c>
      <c r="B1916" s="2">
        <v>44718.0</v>
      </c>
      <c r="C1916" s="3">
        <v>0.27815972222222224</v>
      </c>
      <c r="D1916" s="1">
        <v>12.587078</v>
      </c>
      <c r="E1916" s="1">
        <v>79.919515</v>
      </c>
      <c r="F1916" s="1">
        <v>805.0</v>
      </c>
      <c r="G1916" s="1">
        <v>57.0</v>
      </c>
    </row>
    <row r="1917">
      <c r="A1917" s="1" t="s">
        <v>7</v>
      </c>
      <c r="B1917" s="2">
        <v>44718.0</v>
      </c>
      <c r="C1917" s="3">
        <v>0.2788425925925926</v>
      </c>
      <c r="D1917" s="1">
        <v>13.026754</v>
      </c>
      <c r="E1917" s="1">
        <v>80.233189</v>
      </c>
      <c r="F1917" s="1">
        <v>2846.0</v>
      </c>
      <c r="G1917" s="1">
        <v>54.0</v>
      </c>
    </row>
    <row r="1918">
      <c r="A1918" s="1" t="s">
        <v>7</v>
      </c>
      <c r="B1918" s="2">
        <v>44718.0</v>
      </c>
      <c r="C1918" s="3">
        <v>0.2788888888888889</v>
      </c>
      <c r="D1918" s="1">
        <v>12.579895</v>
      </c>
      <c r="E1918" s="1">
        <v>79.918346</v>
      </c>
      <c r="F1918" s="1">
        <v>805.0</v>
      </c>
      <c r="G1918" s="1">
        <v>58.0</v>
      </c>
    </row>
    <row r="1919">
      <c r="A1919" s="1" t="s">
        <v>8</v>
      </c>
      <c r="B1919" s="2">
        <v>44718.0</v>
      </c>
      <c r="C1919" s="3">
        <v>0.2790162037037037</v>
      </c>
      <c r="D1919" s="1">
        <v>13.026754</v>
      </c>
      <c r="E1919" s="1">
        <v>80.233189</v>
      </c>
      <c r="F1919" s="1">
        <v>2846.0</v>
      </c>
      <c r="G1919" s="1">
        <v>54.0</v>
      </c>
    </row>
    <row r="1920">
      <c r="A1920" s="1" t="s">
        <v>7</v>
      </c>
      <c r="B1920" s="2">
        <v>44718.0</v>
      </c>
      <c r="C1920" s="3">
        <v>0.2792013888888889</v>
      </c>
      <c r="D1920" s="1">
        <v>13.026754</v>
      </c>
      <c r="E1920" s="1">
        <v>80.233189</v>
      </c>
      <c r="F1920" s="1">
        <v>2846.0</v>
      </c>
      <c r="G1920" s="1">
        <v>54.0</v>
      </c>
    </row>
    <row r="1921">
      <c r="A1921" s="1" t="s">
        <v>7</v>
      </c>
      <c r="B1921" s="2">
        <v>44718.0</v>
      </c>
      <c r="C1921" s="3">
        <v>0.27922453703703703</v>
      </c>
      <c r="D1921" s="1">
        <v>13.026754</v>
      </c>
      <c r="E1921" s="1">
        <v>80.233189</v>
      </c>
      <c r="F1921" s="1">
        <v>2846.0</v>
      </c>
      <c r="G1921" s="1">
        <v>54.0</v>
      </c>
    </row>
    <row r="1922">
      <c r="A1922" s="1" t="s">
        <v>7</v>
      </c>
      <c r="B1922" s="2">
        <v>44718.0</v>
      </c>
      <c r="C1922" s="3">
        <v>0.27949074074074076</v>
      </c>
      <c r="D1922" s="1">
        <v>12.573998</v>
      </c>
      <c r="E1922" s="1">
        <v>79.916742</v>
      </c>
      <c r="F1922" s="1">
        <v>805.0</v>
      </c>
      <c r="G1922" s="1">
        <v>58.0</v>
      </c>
    </row>
    <row r="1923">
      <c r="A1923" s="1" t="s">
        <v>7</v>
      </c>
      <c r="B1923" s="2">
        <v>44718.0</v>
      </c>
      <c r="C1923" s="3">
        <v>0.2800694444444444</v>
      </c>
      <c r="D1923" s="1">
        <v>12.569442</v>
      </c>
      <c r="E1923" s="1">
        <v>79.915602</v>
      </c>
      <c r="F1923" s="1">
        <v>805.0</v>
      </c>
      <c r="G1923" s="1">
        <v>58.0</v>
      </c>
    </row>
    <row r="1924">
      <c r="A1924" s="1" t="s">
        <v>8</v>
      </c>
      <c r="B1924" s="2">
        <v>44718.0</v>
      </c>
      <c r="C1924" s="3">
        <v>0.28043981481481484</v>
      </c>
      <c r="D1924" s="1">
        <v>13.031015</v>
      </c>
      <c r="E1924" s="1">
        <v>80.23935</v>
      </c>
      <c r="F1924" s="1">
        <v>2846.0</v>
      </c>
      <c r="G1924" s="1">
        <v>0.0</v>
      </c>
    </row>
    <row r="1925">
      <c r="A1925" s="1" t="s">
        <v>8</v>
      </c>
      <c r="B1925" s="2">
        <v>44718.0</v>
      </c>
      <c r="C1925" s="3">
        <v>0.2804976851851852</v>
      </c>
      <c r="D1925" s="1">
        <v>13.031015</v>
      </c>
      <c r="E1925" s="1">
        <v>80.23935</v>
      </c>
      <c r="F1925" s="1">
        <v>2846.0</v>
      </c>
      <c r="G1925" s="1">
        <v>0.0</v>
      </c>
    </row>
    <row r="1926">
      <c r="A1926" s="1" t="s">
        <v>7</v>
      </c>
      <c r="B1926" s="2">
        <v>44718.0</v>
      </c>
      <c r="C1926" s="3">
        <v>0.2805787037037037</v>
      </c>
      <c r="D1926" s="1">
        <v>12.56294</v>
      </c>
      <c r="E1926" s="1">
        <v>79.913043</v>
      </c>
      <c r="F1926" s="1">
        <v>805.0</v>
      </c>
      <c r="G1926" s="1">
        <v>57.0</v>
      </c>
    </row>
    <row r="1927">
      <c r="A1927" s="1" t="s">
        <v>8</v>
      </c>
      <c r="B1927" s="2">
        <v>44718.0</v>
      </c>
      <c r="C1927" s="3">
        <v>0.28065972222222224</v>
      </c>
      <c r="D1927" s="1">
        <v>13.032005</v>
      </c>
      <c r="E1927" s="1">
        <v>80.241496</v>
      </c>
      <c r="F1927" s="1">
        <v>2846.0</v>
      </c>
      <c r="G1927" s="1">
        <v>41.0</v>
      </c>
    </row>
    <row r="1928">
      <c r="A1928" s="1" t="s">
        <v>7</v>
      </c>
      <c r="B1928" s="2">
        <v>44718.0</v>
      </c>
      <c r="C1928" s="3">
        <v>0.28072916666666664</v>
      </c>
      <c r="D1928" s="1">
        <v>12.887603</v>
      </c>
      <c r="E1928" s="1">
        <v>80.08343</v>
      </c>
      <c r="F1928" s="1">
        <v>3143.0</v>
      </c>
      <c r="G1928" s="1">
        <v>60.0</v>
      </c>
    </row>
    <row r="1929">
      <c r="A1929" s="1" t="s">
        <v>8</v>
      </c>
      <c r="B1929" s="2">
        <v>44718.0</v>
      </c>
      <c r="C1929" s="3">
        <v>0.2807986111111111</v>
      </c>
      <c r="D1929" s="1">
        <v>13.033169</v>
      </c>
      <c r="E1929" s="1">
        <v>80.243294</v>
      </c>
      <c r="F1929" s="1">
        <v>2846.0</v>
      </c>
      <c r="G1929" s="1">
        <v>34.0</v>
      </c>
    </row>
    <row r="1930">
      <c r="A1930" s="1" t="s">
        <v>7</v>
      </c>
      <c r="B1930" s="2">
        <v>44718.0</v>
      </c>
      <c r="C1930" s="3">
        <v>0.28108796296296296</v>
      </c>
      <c r="D1930" s="1">
        <v>12.552795</v>
      </c>
      <c r="E1930" s="1">
        <v>79.90742</v>
      </c>
      <c r="F1930" s="1">
        <v>805.0</v>
      </c>
      <c r="G1930" s="1">
        <v>58.0</v>
      </c>
    </row>
    <row r="1931">
      <c r="A1931" s="1" t="s">
        <v>7</v>
      </c>
      <c r="B1931" s="2">
        <v>44718.0</v>
      </c>
      <c r="C1931" s="3">
        <v>0.28119212962962964</v>
      </c>
      <c r="D1931" s="1">
        <v>12.894076</v>
      </c>
      <c r="E1931" s="1">
        <v>80.086845</v>
      </c>
      <c r="F1931" s="1">
        <v>3143.0</v>
      </c>
      <c r="G1931" s="1">
        <v>57.0</v>
      </c>
    </row>
    <row r="1932">
      <c r="A1932" s="1" t="s">
        <v>7</v>
      </c>
      <c r="B1932" s="2">
        <v>44718.0</v>
      </c>
      <c r="C1932" s="3">
        <v>0.2812962962962963</v>
      </c>
      <c r="D1932" s="1">
        <v>12.550643</v>
      </c>
      <c r="E1932" s="1">
        <v>79.906474</v>
      </c>
      <c r="F1932" s="1">
        <v>805.0</v>
      </c>
      <c r="G1932" s="1">
        <v>58.0</v>
      </c>
    </row>
    <row r="1933">
      <c r="A1933" s="1" t="s">
        <v>7</v>
      </c>
      <c r="B1933" s="2">
        <v>44718.0</v>
      </c>
      <c r="C1933" s="3">
        <v>0.28153935185185186</v>
      </c>
      <c r="D1933" s="1">
        <v>12.894076</v>
      </c>
      <c r="E1933" s="1">
        <v>80.086845</v>
      </c>
      <c r="F1933" s="1">
        <v>3143.0</v>
      </c>
      <c r="G1933" s="1">
        <v>57.0</v>
      </c>
    </row>
    <row r="1934">
      <c r="A1934" s="1" t="s">
        <v>8</v>
      </c>
      <c r="B1934" s="2">
        <v>44718.0</v>
      </c>
      <c r="C1934" s="3">
        <v>0.2817013888888889</v>
      </c>
      <c r="D1934" s="1">
        <v>13.039314</v>
      </c>
      <c r="E1934" s="1">
        <v>80.246889</v>
      </c>
      <c r="F1934" s="1">
        <v>2846.0</v>
      </c>
      <c r="G1934" s="1">
        <v>30.0</v>
      </c>
    </row>
    <row r="1935">
      <c r="A1935" s="1" t="s">
        <v>7</v>
      </c>
      <c r="B1935" s="2">
        <v>44718.0</v>
      </c>
      <c r="C1935" s="3">
        <v>0.28186342592592595</v>
      </c>
      <c r="D1935" s="1">
        <v>12.543774</v>
      </c>
      <c r="E1935" s="1">
        <v>79.905038</v>
      </c>
      <c r="F1935" s="1">
        <v>805.0</v>
      </c>
      <c r="G1935" s="1">
        <v>57.0</v>
      </c>
    </row>
    <row r="1936">
      <c r="A1936" s="1" t="s">
        <v>8</v>
      </c>
      <c r="B1936" s="2">
        <v>44718.0</v>
      </c>
      <c r="C1936" s="3">
        <v>0.2820138888888889</v>
      </c>
      <c r="D1936" s="1">
        <v>13.04137</v>
      </c>
      <c r="E1936" s="1">
        <v>80.247242</v>
      </c>
      <c r="F1936" s="1">
        <v>2846.0</v>
      </c>
      <c r="G1936" s="1">
        <v>46.0</v>
      </c>
    </row>
    <row r="1937">
      <c r="A1937" s="1" t="s">
        <v>8</v>
      </c>
      <c r="B1937" s="2">
        <v>44718.0</v>
      </c>
      <c r="C1937" s="3">
        <v>0.28207175925925926</v>
      </c>
      <c r="D1937" s="1">
        <v>13.042543</v>
      </c>
      <c r="E1937" s="1">
        <v>80.247472</v>
      </c>
      <c r="F1937" s="1">
        <v>2846.0</v>
      </c>
      <c r="G1937" s="1">
        <v>48.0</v>
      </c>
    </row>
    <row r="1938">
      <c r="A1938" s="1" t="s">
        <v>7</v>
      </c>
      <c r="B1938" s="2">
        <v>44718.0</v>
      </c>
      <c r="C1938" s="3">
        <v>0.28207175925925926</v>
      </c>
      <c r="D1938" s="1">
        <v>12.541458</v>
      </c>
      <c r="E1938" s="1">
        <v>79.904626</v>
      </c>
      <c r="F1938" s="1">
        <v>805.0</v>
      </c>
      <c r="G1938" s="1">
        <v>58.0</v>
      </c>
    </row>
    <row r="1939">
      <c r="A1939" s="1" t="s">
        <v>7</v>
      </c>
      <c r="B1939" s="2">
        <v>44718.0</v>
      </c>
      <c r="C1939" s="3">
        <v>0.2821064814814815</v>
      </c>
      <c r="D1939" s="1">
        <v>12.903394</v>
      </c>
      <c r="E1939" s="1">
        <v>80.093849</v>
      </c>
      <c r="F1939" s="1">
        <v>3143.0</v>
      </c>
      <c r="G1939" s="1">
        <v>54.0</v>
      </c>
    </row>
    <row r="1940">
      <c r="A1940" s="1" t="s">
        <v>7</v>
      </c>
      <c r="B1940" s="2">
        <v>44718.0</v>
      </c>
      <c r="C1940" s="3">
        <v>0.2821990740740741</v>
      </c>
      <c r="D1940" s="1">
        <v>12.539146</v>
      </c>
      <c r="E1940" s="1">
        <v>79.904196</v>
      </c>
      <c r="F1940" s="1">
        <v>805.0</v>
      </c>
      <c r="G1940" s="1">
        <v>58.0</v>
      </c>
    </row>
    <row r="1941">
      <c r="A1941" s="1" t="s">
        <v>7</v>
      </c>
      <c r="B1941" s="2">
        <v>44718.0</v>
      </c>
      <c r="C1941" s="3">
        <v>0.2823611111111111</v>
      </c>
      <c r="D1941" s="1">
        <v>12.905432</v>
      </c>
      <c r="E1941" s="1">
        <v>80.095366</v>
      </c>
      <c r="F1941" s="1">
        <v>3143.0</v>
      </c>
      <c r="G1941" s="1">
        <v>51.0</v>
      </c>
    </row>
    <row r="1942">
      <c r="A1942" s="1" t="s">
        <v>7</v>
      </c>
      <c r="B1942" s="2">
        <v>44718.0</v>
      </c>
      <c r="C1942" s="3">
        <v>0.28247685185185184</v>
      </c>
      <c r="D1942" s="1">
        <v>12.535045</v>
      </c>
      <c r="E1942" s="1">
        <v>79.90194</v>
      </c>
      <c r="F1942" s="1">
        <v>805.0</v>
      </c>
      <c r="G1942" s="1">
        <v>58.0</v>
      </c>
    </row>
    <row r="1943">
      <c r="A1943" s="1" t="s">
        <v>7</v>
      </c>
      <c r="B1943" s="2">
        <v>44718.0</v>
      </c>
      <c r="C1943" s="3">
        <v>0.28282407407407406</v>
      </c>
      <c r="D1943" s="1">
        <v>12.533065</v>
      </c>
      <c r="E1943" s="1">
        <v>79.90098</v>
      </c>
      <c r="F1943" s="1">
        <v>805.0</v>
      </c>
      <c r="G1943" s="1">
        <v>58.0</v>
      </c>
    </row>
    <row r="1944">
      <c r="A1944" s="1" t="s">
        <v>8</v>
      </c>
      <c r="B1944" s="2">
        <v>44718.0</v>
      </c>
      <c r="C1944" s="3">
        <v>0.2828587962962963</v>
      </c>
      <c r="D1944" s="1">
        <v>12.909323</v>
      </c>
      <c r="E1944" s="1">
        <v>80.098751</v>
      </c>
      <c r="F1944" s="1">
        <v>3143.0</v>
      </c>
      <c r="G1944" s="1">
        <v>31.0</v>
      </c>
    </row>
    <row r="1945">
      <c r="A1945" s="1" t="s">
        <v>8</v>
      </c>
      <c r="B1945" s="2">
        <v>44718.0</v>
      </c>
      <c r="C1945" s="3">
        <v>0.2838541666666667</v>
      </c>
      <c r="D1945" s="1">
        <v>13.05705</v>
      </c>
      <c r="E1945" s="1">
        <v>80.255062</v>
      </c>
      <c r="F1945" s="1">
        <v>2846.0</v>
      </c>
      <c r="G1945" s="1">
        <v>13.0</v>
      </c>
    </row>
    <row r="1946">
      <c r="A1946" s="1" t="s">
        <v>9</v>
      </c>
      <c r="B1946" s="2">
        <v>44718.0</v>
      </c>
      <c r="C1946" s="3">
        <v>0.2842939814814815</v>
      </c>
      <c r="D1946" s="1">
        <v>13.059361</v>
      </c>
      <c r="E1946" s="1">
        <v>80.25419</v>
      </c>
      <c r="F1946" s="1">
        <v>2846.0</v>
      </c>
      <c r="G1946" s="1">
        <v>31.0</v>
      </c>
    </row>
    <row r="1947">
      <c r="A1947" s="1" t="s">
        <v>7</v>
      </c>
      <c r="B1947" s="2">
        <v>44718.0</v>
      </c>
      <c r="C1947" s="3">
        <v>0.28443287037037035</v>
      </c>
      <c r="D1947" s="1">
        <v>13.059481</v>
      </c>
      <c r="E1947" s="1">
        <v>80.254169</v>
      </c>
      <c r="F1947" s="1">
        <v>2846.0</v>
      </c>
      <c r="G1947" s="1">
        <v>0.0</v>
      </c>
    </row>
    <row r="1948">
      <c r="A1948" s="1" t="s">
        <v>8</v>
      </c>
      <c r="B1948" s="2">
        <v>44718.0</v>
      </c>
      <c r="C1948" s="3">
        <v>0.28457175925925926</v>
      </c>
      <c r="D1948" s="1">
        <v>13.059986</v>
      </c>
      <c r="E1948" s="1">
        <v>80.254238</v>
      </c>
      <c r="F1948" s="1">
        <v>2846.0</v>
      </c>
      <c r="G1948" s="1">
        <v>33.0</v>
      </c>
    </row>
    <row r="1949">
      <c r="A1949" s="1" t="s">
        <v>7</v>
      </c>
      <c r="B1949" s="2">
        <v>44718.0</v>
      </c>
      <c r="C1949" s="3">
        <v>0.28478009259259257</v>
      </c>
      <c r="D1949" s="1">
        <v>13.061968</v>
      </c>
      <c r="E1949" s="1">
        <v>80.254379</v>
      </c>
      <c r="F1949" s="1">
        <v>2846.0</v>
      </c>
      <c r="G1949" s="1">
        <v>52.0</v>
      </c>
    </row>
    <row r="1950">
      <c r="A1950" s="1" t="s">
        <v>8</v>
      </c>
      <c r="B1950" s="2">
        <v>44718.0</v>
      </c>
      <c r="C1950" s="3">
        <v>0.28489583333333335</v>
      </c>
      <c r="D1950" s="1">
        <v>13.063175</v>
      </c>
      <c r="E1950" s="1">
        <v>80.254346</v>
      </c>
      <c r="F1950" s="1">
        <v>2846.0</v>
      </c>
      <c r="G1950" s="1">
        <v>45.0</v>
      </c>
    </row>
    <row r="1951">
      <c r="A1951" s="1" t="s">
        <v>8</v>
      </c>
      <c r="B1951" s="2">
        <v>44718.0</v>
      </c>
      <c r="C1951" s="3">
        <v>0.2857175925925926</v>
      </c>
      <c r="D1951" s="1">
        <v>12.924104</v>
      </c>
      <c r="E1951" s="1">
        <v>80.115824</v>
      </c>
      <c r="F1951" s="1">
        <v>3143.0</v>
      </c>
      <c r="G1951" s="1">
        <v>24.0</v>
      </c>
    </row>
    <row r="1952">
      <c r="A1952" s="1" t="s">
        <v>8</v>
      </c>
      <c r="B1952" s="2">
        <v>44718.0</v>
      </c>
      <c r="C1952" s="3">
        <v>0.2878819444444444</v>
      </c>
      <c r="D1952" s="1">
        <v>12.922636</v>
      </c>
      <c r="E1952" s="1">
        <v>80.134914</v>
      </c>
      <c r="F1952" s="1">
        <v>3143.0</v>
      </c>
      <c r="G1952" s="1">
        <v>47.0</v>
      </c>
    </row>
    <row r="1953">
      <c r="A1953" s="1" t="s">
        <v>8</v>
      </c>
      <c r="B1953" s="2">
        <v>44718.0</v>
      </c>
      <c r="C1953" s="3">
        <v>0.2880671296296296</v>
      </c>
      <c r="D1953" s="1">
        <v>12.922551</v>
      </c>
      <c r="E1953" s="1">
        <v>80.136978</v>
      </c>
      <c r="F1953" s="1">
        <v>3143.0</v>
      </c>
      <c r="G1953" s="1">
        <v>34.0</v>
      </c>
    </row>
    <row r="1954">
      <c r="A1954" s="1" t="s">
        <v>8</v>
      </c>
      <c r="B1954" s="2">
        <v>44718.0</v>
      </c>
      <c r="C1954" s="3">
        <v>0.2893287037037037</v>
      </c>
      <c r="D1954" s="1">
        <v>12.922544</v>
      </c>
      <c r="E1954" s="1">
        <v>80.14354</v>
      </c>
      <c r="F1954" s="1">
        <v>3143.0</v>
      </c>
      <c r="G1954" s="1">
        <v>35.0</v>
      </c>
    </row>
    <row r="1955">
      <c r="A1955" s="1" t="s">
        <v>9</v>
      </c>
      <c r="B1955" s="2">
        <v>44718.0</v>
      </c>
      <c r="C1955" s="3">
        <v>0.2916550925925926</v>
      </c>
      <c r="D1955" s="1">
        <v>12.923716</v>
      </c>
      <c r="E1955" s="1">
        <v>80.155849</v>
      </c>
      <c r="F1955" s="1">
        <v>3143.0</v>
      </c>
      <c r="G1955" s="1">
        <v>34.0</v>
      </c>
    </row>
    <row r="1956">
      <c r="A1956" s="1" t="s">
        <v>7</v>
      </c>
      <c r="B1956" s="2">
        <v>44718.0</v>
      </c>
      <c r="C1956" s="3">
        <v>0.2919212962962963</v>
      </c>
      <c r="D1956" s="1">
        <v>12.923041</v>
      </c>
      <c r="E1956" s="1">
        <v>80.161228</v>
      </c>
      <c r="F1956" s="1">
        <v>3143.0</v>
      </c>
      <c r="G1956" s="1">
        <v>56.0</v>
      </c>
    </row>
    <row r="1957">
      <c r="A1957" s="1" t="s">
        <v>8</v>
      </c>
      <c r="B1957" s="2">
        <v>44718.0</v>
      </c>
      <c r="C1957" s="3">
        <v>0.29256944444444444</v>
      </c>
      <c r="D1957" s="1">
        <v>12.921204</v>
      </c>
      <c r="E1957" s="1">
        <v>80.1669</v>
      </c>
      <c r="F1957" s="1">
        <v>3143.0</v>
      </c>
      <c r="G1957" s="1">
        <v>55.0</v>
      </c>
    </row>
    <row r="1958">
      <c r="A1958" s="1" t="s">
        <v>8</v>
      </c>
      <c r="B1958" s="2">
        <v>44718.0</v>
      </c>
      <c r="C1958" s="3">
        <v>0.29305555555555557</v>
      </c>
      <c r="D1958" s="1">
        <v>12.919364</v>
      </c>
      <c r="E1958" s="1">
        <v>80.172949</v>
      </c>
      <c r="F1958" s="1">
        <v>3143.0</v>
      </c>
      <c r="G1958" s="1">
        <v>49.0</v>
      </c>
    </row>
    <row r="1959">
      <c r="A1959" s="1" t="s">
        <v>7</v>
      </c>
      <c r="B1959" s="2">
        <v>44718.0</v>
      </c>
      <c r="C1959" s="3">
        <v>0.29325231481481484</v>
      </c>
      <c r="D1959" s="1">
        <v>12.919063</v>
      </c>
      <c r="E1959" s="1">
        <v>80.174118</v>
      </c>
      <c r="F1959" s="1">
        <v>3143.0</v>
      </c>
      <c r="G1959" s="1">
        <v>42.0</v>
      </c>
    </row>
    <row r="1960">
      <c r="A1960" s="1" t="s">
        <v>7</v>
      </c>
      <c r="B1960" s="2">
        <v>44718.0</v>
      </c>
      <c r="C1960" s="3">
        <v>0.29461805555555554</v>
      </c>
      <c r="D1960" s="1">
        <v>12.917413</v>
      </c>
      <c r="E1960" s="1">
        <v>80.190745</v>
      </c>
      <c r="F1960" s="1">
        <v>3143.0</v>
      </c>
      <c r="G1960" s="1">
        <v>49.0</v>
      </c>
    </row>
    <row r="1961">
      <c r="A1961" s="1" t="s">
        <v>10</v>
      </c>
      <c r="B1961" s="2">
        <v>44718.0</v>
      </c>
      <c r="C1961" s="3">
        <v>0.29530092592592594</v>
      </c>
      <c r="D1961" s="1">
        <v>13.065218</v>
      </c>
      <c r="E1961" s="1">
        <v>80.247813</v>
      </c>
      <c r="F1961" s="1">
        <v>2846.0</v>
      </c>
      <c r="G1961" s="1">
        <v>0.0</v>
      </c>
    </row>
    <row r="1962">
      <c r="A1962" s="1" t="s">
        <v>7</v>
      </c>
      <c r="B1962" s="2">
        <v>44718.0</v>
      </c>
      <c r="C1962" s="3">
        <v>0.29606481481481484</v>
      </c>
      <c r="D1962" s="1">
        <v>12.927487</v>
      </c>
      <c r="E1962" s="1">
        <v>80.198059</v>
      </c>
      <c r="F1962" s="1">
        <v>3143.0</v>
      </c>
      <c r="G1962" s="1">
        <v>42.0</v>
      </c>
    </row>
    <row r="1963">
      <c r="A1963" s="1" t="s">
        <v>8</v>
      </c>
      <c r="B1963" s="2">
        <v>44718.0</v>
      </c>
      <c r="C1963" s="3">
        <v>0.2960763888888889</v>
      </c>
      <c r="D1963" s="1">
        <v>13.06147</v>
      </c>
      <c r="E1963" s="1">
        <v>80.247221</v>
      </c>
      <c r="F1963" s="1">
        <v>2846.0</v>
      </c>
      <c r="G1963" s="1">
        <v>31.0</v>
      </c>
    </row>
    <row r="1964">
      <c r="A1964" s="1" t="s">
        <v>8</v>
      </c>
      <c r="B1964" s="2">
        <v>44718.0</v>
      </c>
      <c r="C1964" s="3">
        <v>0.2961226851851852</v>
      </c>
      <c r="D1964" s="1">
        <v>12.510457</v>
      </c>
      <c r="E1964" s="1">
        <v>79.884977</v>
      </c>
      <c r="F1964" s="1">
        <v>805.0</v>
      </c>
      <c r="G1964" s="1">
        <v>28.0</v>
      </c>
    </row>
    <row r="1965">
      <c r="A1965" s="1" t="s">
        <v>7</v>
      </c>
      <c r="B1965" s="2">
        <v>44718.0</v>
      </c>
      <c r="C1965" s="3">
        <v>0.2963078703703704</v>
      </c>
      <c r="D1965" s="1">
        <v>12.511208</v>
      </c>
      <c r="E1965" s="1">
        <v>79.885221</v>
      </c>
      <c r="F1965" s="1">
        <v>805.0</v>
      </c>
      <c r="G1965" s="1">
        <v>36.0</v>
      </c>
    </row>
    <row r="1966">
      <c r="A1966" s="1" t="s">
        <v>7</v>
      </c>
      <c r="B1966" s="2">
        <v>44718.0</v>
      </c>
      <c r="C1966" s="3">
        <v>0.2971412037037037</v>
      </c>
      <c r="D1966" s="1">
        <v>12.517902</v>
      </c>
      <c r="E1966" s="1">
        <v>79.889995</v>
      </c>
      <c r="F1966" s="1">
        <v>805.0</v>
      </c>
      <c r="G1966" s="1">
        <v>52.0</v>
      </c>
    </row>
    <row r="1967">
      <c r="A1967" s="1" t="s">
        <v>8</v>
      </c>
      <c r="B1967" s="2">
        <v>44718.0</v>
      </c>
      <c r="C1967" s="3">
        <v>0.29737268518518517</v>
      </c>
      <c r="D1967" s="1">
        <v>12.519982</v>
      </c>
      <c r="E1967" s="1">
        <v>79.893398</v>
      </c>
      <c r="F1967" s="1">
        <v>805.0</v>
      </c>
      <c r="G1967" s="1">
        <v>57.0</v>
      </c>
    </row>
    <row r="1968">
      <c r="A1968" s="1" t="s">
        <v>7</v>
      </c>
      <c r="B1968" s="2">
        <v>44718.0</v>
      </c>
      <c r="C1968" s="3">
        <v>0.2975</v>
      </c>
      <c r="D1968" s="1">
        <v>12.521047</v>
      </c>
      <c r="E1968" s="1">
        <v>79.89442</v>
      </c>
      <c r="F1968" s="1">
        <v>805.0</v>
      </c>
      <c r="G1968" s="1">
        <v>58.0</v>
      </c>
    </row>
    <row r="1969">
      <c r="A1969" s="1" t="s">
        <v>7</v>
      </c>
      <c r="B1969" s="2">
        <v>44718.0</v>
      </c>
      <c r="C1969" s="3">
        <v>0.29756944444444444</v>
      </c>
      <c r="D1969" s="1">
        <v>12.522119</v>
      </c>
      <c r="E1969" s="1">
        <v>79.895429</v>
      </c>
      <c r="F1969" s="1">
        <v>805.0</v>
      </c>
      <c r="G1969" s="1">
        <v>58.0</v>
      </c>
    </row>
    <row r="1970">
      <c r="A1970" s="1" t="s">
        <v>8</v>
      </c>
      <c r="B1970" s="2">
        <v>44718.0</v>
      </c>
      <c r="C1970" s="3">
        <v>0.2976388888888889</v>
      </c>
      <c r="D1970" s="1">
        <v>13.06765</v>
      </c>
      <c r="E1970" s="1">
        <v>80.24985</v>
      </c>
      <c r="F1970" s="1">
        <v>2846.0</v>
      </c>
      <c r="G1970" s="1">
        <v>36.0</v>
      </c>
    </row>
    <row r="1971">
      <c r="A1971" s="1" t="s">
        <v>7</v>
      </c>
      <c r="B1971" s="2">
        <v>44718.0</v>
      </c>
      <c r="C1971" s="3">
        <v>0.2979513888888889</v>
      </c>
      <c r="D1971" s="1">
        <v>12.526055</v>
      </c>
      <c r="E1971" s="1">
        <v>79.89738</v>
      </c>
      <c r="F1971" s="1">
        <v>805.0</v>
      </c>
      <c r="G1971" s="1">
        <v>58.0</v>
      </c>
    </row>
    <row r="1972">
      <c r="A1972" s="1" t="s">
        <v>7</v>
      </c>
      <c r="B1972" s="2">
        <v>44718.0</v>
      </c>
      <c r="C1972" s="3">
        <v>0.29819444444444443</v>
      </c>
      <c r="D1972" s="1">
        <v>12.528694</v>
      </c>
      <c r="E1972" s="1">
        <v>79.898691</v>
      </c>
      <c r="F1972" s="1">
        <v>805.0</v>
      </c>
      <c r="G1972" s="1">
        <v>58.0</v>
      </c>
    </row>
    <row r="1973">
      <c r="A1973" s="1" t="s">
        <v>7</v>
      </c>
      <c r="B1973" s="2">
        <v>44718.0</v>
      </c>
      <c r="C1973" s="3">
        <v>0.298599537037037</v>
      </c>
      <c r="D1973" s="1">
        <v>12.533104</v>
      </c>
      <c r="E1973" s="1">
        <v>79.900834</v>
      </c>
      <c r="F1973" s="1">
        <v>805.0</v>
      </c>
      <c r="G1973" s="1">
        <v>57.0</v>
      </c>
    </row>
    <row r="1974">
      <c r="A1974" s="1" t="s">
        <v>7</v>
      </c>
      <c r="B1974" s="2">
        <v>44718.0</v>
      </c>
      <c r="C1974" s="3">
        <v>0.29876157407407405</v>
      </c>
      <c r="D1974" s="1">
        <v>12.534453</v>
      </c>
      <c r="E1974" s="1">
        <v>79.901419</v>
      </c>
      <c r="F1974" s="1">
        <v>805.0</v>
      </c>
      <c r="G1974" s="1">
        <v>58.0</v>
      </c>
    </row>
    <row r="1975">
      <c r="A1975" s="1" t="s">
        <v>7</v>
      </c>
      <c r="B1975" s="2">
        <v>44718.0</v>
      </c>
      <c r="C1975" s="3">
        <v>0.2988310185185185</v>
      </c>
      <c r="D1975" s="1">
        <v>12.535706</v>
      </c>
      <c r="E1975" s="1">
        <v>79.902178</v>
      </c>
      <c r="F1975" s="1">
        <v>805.0</v>
      </c>
      <c r="G1975" s="1">
        <v>57.0</v>
      </c>
    </row>
    <row r="1976">
      <c r="A1976" s="1" t="s">
        <v>7</v>
      </c>
      <c r="B1976" s="2">
        <v>44718.0</v>
      </c>
      <c r="C1976" s="3">
        <v>0.29899305555555555</v>
      </c>
      <c r="D1976" s="1">
        <v>12.536936</v>
      </c>
      <c r="E1976" s="1">
        <v>79.902972</v>
      </c>
      <c r="F1976" s="1">
        <v>805.0</v>
      </c>
      <c r="G1976" s="1">
        <v>58.0</v>
      </c>
    </row>
    <row r="1977">
      <c r="A1977" s="1" t="s">
        <v>7</v>
      </c>
      <c r="B1977" s="2">
        <v>44718.0</v>
      </c>
      <c r="C1977" s="3">
        <v>0.29998842592592595</v>
      </c>
      <c r="D1977" s="1">
        <v>12.543796</v>
      </c>
      <c r="E1977" s="1">
        <v>79.904905</v>
      </c>
      <c r="F1977" s="1">
        <v>805.0</v>
      </c>
      <c r="G1977" s="1">
        <v>31.0</v>
      </c>
    </row>
    <row r="1978">
      <c r="A1978" s="1" t="s">
        <v>7</v>
      </c>
      <c r="B1978" s="2">
        <v>44718.0</v>
      </c>
      <c r="C1978" s="3">
        <v>0.3002662037037037</v>
      </c>
      <c r="D1978" s="1">
        <v>12.546266</v>
      </c>
      <c r="E1978" s="1">
        <v>79.905329</v>
      </c>
      <c r="F1978" s="1">
        <v>805.0</v>
      </c>
      <c r="G1978" s="1">
        <v>59.0</v>
      </c>
    </row>
    <row r="1979">
      <c r="A1979" s="1" t="s">
        <v>8</v>
      </c>
      <c r="B1979" s="2">
        <v>44718.0</v>
      </c>
      <c r="C1979" s="3">
        <v>0.30028935185185185</v>
      </c>
      <c r="D1979" s="1">
        <v>12.955886</v>
      </c>
      <c r="E1979" s="1">
        <v>80.212799</v>
      </c>
      <c r="F1979" s="1">
        <v>3143.0</v>
      </c>
      <c r="G1979" s="1">
        <v>33.0</v>
      </c>
    </row>
    <row r="1980">
      <c r="A1980" s="1" t="s">
        <v>7</v>
      </c>
      <c r="B1980" s="2">
        <v>44718.0</v>
      </c>
      <c r="C1980" s="3">
        <v>0.3003587962962963</v>
      </c>
      <c r="D1980" s="1">
        <v>12.546266</v>
      </c>
      <c r="E1980" s="1">
        <v>79.905329</v>
      </c>
      <c r="F1980" s="1">
        <v>805.0</v>
      </c>
      <c r="G1980" s="1">
        <v>59.0</v>
      </c>
    </row>
    <row r="1981">
      <c r="A1981" s="1" t="s">
        <v>7</v>
      </c>
      <c r="B1981" s="2">
        <v>44718.0</v>
      </c>
      <c r="C1981" s="3">
        <v>0.30049768518518516</v>
      </c>
      <c r="D1981" s="1">
        <v>12.547708</v>
      </c>
      <c r="E1981" s="1">
        <v>79.905613</v>
      </c>
      <c r="F1981" s="1">
        <v>805.0</v>
      </c>
      <c r="G1981" s="1">
        <v>58.0</v>
      </c>
    </row>
    <row r="1982">
      <c r="A1982" s="1" t="s">
        <v>7</v>
      </c>
      <c r="B1982" s="2">
        <v>44718.0</v>
      </c>
      <c r="C1982" s="3">
        <v>0.300625</v>
      </c>
      <c r="D1982" s="1">
        <v>12.549143</v>
      </c>
      <c r="E1982" s="1">
        <v>79.905892</v>
      </c>
      <c r="F1982" s="1">
        <v>805.0</v>
      </c>
      <c r="G1982" s="1">
        <v>58.0</v>
      </c>
    </row>
    <row r="1983">
      <c r="A1983" s="1" t="s">
        <v>7</v>
      </c>
      <c r="B1983" s="2">
        <v>44718.0</v>
      </c>
      <c r="C1983" s="3">
        <v>0.300787037037037</v>
      </c>
      <c r="D1983" s="1">
        <v>12.551911</v>
      </c>
      <c r="E1983" s="1">
        <v>79.906844</v>
      </c>
      <c r="F1983" s="1">
        <v>805.0</v>
      </c>
      <c r="G1983" s="1">
        <v>58.0</v>
      </c>
    </row>
    <row r="1984">
      <c r="A1984" s="1" t="s">
        <v>7</v>
      </c>
      <c r="B1984" s="2">
        <v>44718.0</v>
      </c>
      <c r="C1984" s="3">
        <v>0.3010069444444444</v>
      </c>
      <c r="D1984" s="1">
        <v>12.554588</v>
      </c>
      <c r="E1984" s="1">
        <v>79.908043</v>
      </c>
      <c r="F1984" s="1">
        <v>805.0</v>
      </c>
      <c r="G1984" s="1">
        <v>58.0</v>
      </c>
    </row>
    <row r="1985">
      <c r="A1985" s="1" t="s">
        <v>7</v>
      </c>
      <c r="B1985" s="2">
        <v>44718.0</v>
      </c>
      <c r="C1985" s="3">
        <v>0.30115740740740743</v>
      </c>
      <c r="D1985" s="1">
        <v>12.555887</v>
      </c>
      <c r="E1985" s="1">
        <v>79.908732</v>
      </c>
      <c r="F1985" s="1">
        <v>805.0</v>
      </c>
      <c r="G1985" s="1">
        <v>58.0</v>
      </c>
    </row>
    <row r="1986">
      <c r="A1986" s="1" t="s">
        <v>9</v>
      </c>
      <c r="B1986" s="2">
        <v>44718.0</v>
      </c>
      <c r="C1986" s="3">
        <v>0.30126157407407406</v>
      </c>
      <c r="D1986" s="1">
        <v>13.071168</v>
      </c>
      <c r="E1986" s="1">
        <v>80.265129</v>
      </c>
      <c r="F1986" s="1">
        <v>2846.0</v>
      </c>
      <c r="G1986" s="1">
        <v>6.0</v>
      </c>
    </row>
    <row r="1987">
      <c r="A1987" s="1" t="s">
        <v>7</v>
      </c>
      <c r="B1987" s="2">
        <v>44718.0</v>
      </c>
      <c r="C1987" s="3">
        <v>0.3013425925925926</v>
      </c>
      <c r="D1987" s="1">
        <v>12.559694</v>
      </c>
      <c r="E1987" s="1">
        <v>79.910967</v>
      </c>
      <c r="F1987" s="1">
        <v>805.0</v>
      </c>
      <c r="G1987" s="1">
        <v>58.0</v>
      </c>
    </row>
    <row r="1988">
      <c r="A1988" s="1" t="s">
        <v>7</v>
      </c>
      <c r="B1988" s="2">
        <v>44718.0</v>
      </c>
      <c r="C1988" s="3">
        <v>0.3020601851851852</v>
      </c>
      <c r="D1988" s="1">
        <v>12.566103</v>
      </c>
      <c r="E1988" s="1">
        <v>79.914534</v>
      </c>
      <c r="F1988" s="1">
        <v>805.0</v>
      </c>
      <c r="G1988" s="1">
        <v>58.0</v>
      </c>
    </row>
    <row r="1989">
      <c r="A1989" s="1" t="s">
        <v>7</v>
      </c>
      <c r="B1989" s="2">
        <v>44718.0</v>
      </c>
      <c r="C1989" s="3">
        <v>0.30248842592592595</v>
      </c>
      <c r="D1989" s="1">
        <v>12.573027</v>
      </c>
      <c r="E1989" s="1">
        <v>79.916375</v>
      </c>
      <c r="F1989" s="1">
        <v>805.0</v>
      </c>
      <c r="G1989" s="1">
        <v>57.0</v>
      </c>
    </row>
    <row r="1990">
      <c r="A1990" s="1" t="s">
        <v>7</v>
      </c>
      <c r="B1990" s="2">
        <v>44718.0</v>
      </c>
      <c r="C1990" s="3">
        <v>0.3031597222222222</v>
      </c>
      <c r="D1990" s="1">
        <v>12.581599</v>
      </c>
      <c r="E1990" s="1">
        <v>79.918806</v>
      </c>
      <c r="F1990" s="1">
        <v>805.0</v>
      </c>
      <c r="G1990" s="1">
        <v>58.0</v>
      </c>
    </row>
    <row r="1991">
      <c r="A1991" s="1" t="s">
        <v>7</v>
      </c>
      <c r="B1991" s="2">
        <v>44718.0</v>
      </c>
      <c r="C1991" s="3">
        <v>0.3034953703703704</v>
      </c>
      <c r="D1991" s="1">
        <v>12.584497</v>
      </c>
      <c r="E1991" s="1">
        <v>79.919261</v>
      </c>
      <c r="F1991" s="1">
        <v>805.0</v>
      </c>
      <c r="G1991" s="1">
        <v>57.0</v>
      </c>
    </row>
    <row r="1992">
      <c r="A1992" s="1" t="s">
        <v>7</v>
      </c>
      <c r="B1992" s="2">
        <v>44718.0</v>
      </c>
      <c r="C1992" s="3">
        <v>0.3038425925925926</v>
      </c>
      <c r="D1992" s="1">
        <v>12.587421</v>
      </c>
      <c r="E1992" s="1">
        <v>79.919345</v>
      </c>
      <c r="F1992" s="1">
        <v>805.0</v>
      </c>
      <c r="G1992" s="1">
        <v>58.0</v>
      </c>
    </row>
    <row r="1993">
      <c r="A1993" s="1" t="s">
        <v>7</v>
      </c>
      <c r="B1993" s="2">
        <v>44718.0</v>
      </c>
      <c r="C1993" s="3">
        <v>0.30413194444444447</v>
      </c>
      <c r="D1993" s="1">
        <v>12.590349</v>
      </c>
      <c r="E1993" s="1">
        <v>79.919242</v>
      </c>
      <c r="F1993" s="1">
        <v>805.0</v>
      </c>
      <c r="G1993" s="1">
        <v>58.0</v>
      </c>
    </row>
    <row r="1994">
      <c r="A1994" s="1" t="s">
        <v>7</v>
      </c>
      <c r="B1994" s="2">
        <v>44718.0</v>
      </c>
      <c r="C1994" s="3">
        <v>0.30452546296296296</v>
      </c>
      <c r="D1994" s="1">
        <v>12.594733</v>
      </c>
      <c r="E1994" s="1">
        <v>79.919257</v>
      </c>
      <c r="F1994" s="1">
        <v>805.0</v>
      </c>
      <c r="G1994" s="1">
        <v>58.0</v>
      </c>
    </row>
    <row r="1995">
      <c r="A1995" s="1" t="s">
        <v>8</v>
      </c>
      <c r="B1995" s="2">
        <v>44718.0</v>
      </c>
      <c r="C1995" s="3">
        <v>0.3047800925925926</v>
      </c>
      <c r="D1995" s="1">
        <v>12.597632</v>
      </c>
      <c r="E1995" s="1">
        <v>79.919573</v>
      </c>
      <c r="F1995" s="1">
        <v>805.0</v>
      </c>
      <c r="G1995" s="1">
        <v>58.0</v>
      </c>
    </row>
    <row r="1996">
      <c r="A1996" s="1" t="s">
        <v>7</v>
      </c>
      <c r="B1996" s="2">
        <v>44718.0</v>
      </c>
      <c r="C1996" s="3">
        <v>0.3048263888888889</v>
      </c>
      <c r="D1996" s="1">
        <v>12.597632</v>
      </c>
      <c r="E1996" s="1">
        <v>79.919573</v>
      </c>
      <c r="F1996" s="1">
        <v>805.0</v>
      </c>
      <c r="G1996" s="1">
        <v>58.0</v>
      </c>
    </row>
    <row r="1997">
      <c r="A1997" s="1" t="s">
        <v>8</v>
      </c>
      <c r="B1997" s="2">
        <v>44718.0</v>
      </c>
      <c r="C1997" s="3">
        <v>0.305625</v>
      </c>
      <c r="D1997" s="1">
        <v>12.603373</v>
      </c>
      <c r="E1997" s="1">
        <v>79.920208</v>
      </c>
      <c r="F1997" s="1">
        <v>805.0</v>
      </c>
      <c r="G1997" s="1">
        <v>49.0</v>
      </c>
    </row>
    <row r="1998">
      <c r="A1998" s="1" t="s">
        <v>7</v>
      </c>
      <c r="B1998" s="2">
        <v>44718.0</v>
      </c>
      <c r="C1998" s="3">
        <v>0.30572916666666666</v>
      </c>
      <c r="D1998" s="1">
        <v>12.604514</v>
      </c>
      <c r="E1998" s="1">
        <v>79.920443</v>
      </c>
      <c r="F1998" s="1">
        <v>805.0</v>
      </c>
      <c r="G1998" s="1">
        <v>34.0</v>
      </c>
    </row>
    <row r="1999">
      <c r="A1999" s="1" t="s">
        <v>7</v>
      </c>
      <c r="B1999" s="2">
        <v>44718.0</v>
      </c>
      <c r="C1999" s="3">
        <v>0.30583333333333335</v>
      </c>
      <c r="D1999" s="1">
        <v>12.604514</v>
      </c>
      <c r="E1999" s="1">
        <v>79.920443</v>
      </c>
      <c r="F1999" s="1">
        <v>805.0</v>
      </c>
      <c r="G1999" s="1">
        <v>34.0</v>
      </c>
    </row>
    <row r="2000">
      <c r="A2000" s="1" t="s">
        <v>8</v>
      </c>
      <c r="B2000" s="2">
        <v>44718.0</v>
      </c>
      <c r="C2000" s="3">
        <v>0.3058564814814815</v>
      </c>
      <c r="D2000" s="1">
        <v>12.606698</v>
      </c>
      <c r="E2000" s="1">
        <v>79.920954</v>
      </c>
      <c r="F2000" s="1">
        <v>805.0</v>
      </c>
      <c r="G2000" s="1">
        <v>56.0</v>
      </c>
    </row>
    <row r="2001">
      <c r="A2001" s="1" t="s">
        <v>7</v>
      </c>
      <c r="B2001" s="2">
        <v>44718.0</v>
      </c>
      <c r="C2001" s="3">
        <v>0.30658564814814815</v>
      </c>
      <c r="D2001" s="1">
        <v>12.612877</v>
      </c>
      <c r="E2001" s="1">
        <v>79.924255</v>
      </c>
      <c r="F2001" s="1">
        <v>805.0</v>
      </c>
      <c r="G2001" s="1">
        <v>54.0</v>
      </c>
    </row>
    <row r="2002">
      <c r="A2002" s="1" t="s">
        <v>10</v>
      </c>
      <c r="B2002" s="2">
        <v>44718.0</v>
      </c>
      <c r="C2002" s="3">
        <v>0.30703703703703705</v>
      </c>
      <c r="D2002" s="1">
        <v>13.052873</v>
      </c>
      <c r="E2002" s="1">
        <v>80.273629</v>
      </c>
      <c r="F2002" s="1">
        <v>2846.0</v>
      </c>
      <c r="G2002" s="1">
        <v>13.0</v>
      </c>
    </row>
    <row r="2003">
      <c r="A2003" s="1" t="s">
        <v>10</v>
      </c>
      <c r="B2003" s="2">
        <v>44718.0</v>
      </c>
      <c r="C2003" s="3">
        <v>0.30723379629629627</v>
      </c>
      <c r="D2003" s="1">
        <v>13.05289</v>
      </c>
      <c r="E2003" s="1">
        <v>80.273169</v>
      </c>
      <c r="F2003" s="1">
        <v>2846.0</v>
      </c>
      <c r="G2003" s="1">
        <v>15.0</v>
      </c>
    </row>
    <row r="2004">
      <c r="A2004" s="1" t="s">
        <v>10</v>
      </c>
      <c r="B2004" s="2">
        <v>44718.0</v>
      </c>
      <c r="C2004" s="3">
        <v>0.3072800925925926</v>
      </c>
      <c r="D2004" s="1">
        <v>12.628718</v>
      </c>
      <c r="E2004" s="1">
        <v>79.930495</v>
      </c>
      <c r="F2004" s="1">
        <v>805.0</v>
      </c>
      <c r="G2004" s="1">
        <v>53.0</v>
      </c>
    </row>
    <row r="2005">
      <c r="A2005" s="1" t="s">
        <v>8</v>
      </c>
      <c r="B2005" s="2">
        <v>44718.0</v>
      </c>
      <c r="C2005" s="3">
        <v>0.3075347222222222</v>
      </c>
      <c r="D2005" s="1">
        <v>12.631503</v>
      </c>
      <c r="E2005" s="1">
        <v>79.931685</v>
      </c>
      <c r="F2005" s="1">
        <v>805.0</v>
      </c>
      <c r="G2005" s="1">
        <v>51.0</v>
      </c>
    </row>
    <row r="2006">
      <c r="A2006" s="1" t="s">
        <v>7</v>
      </c>
      <c r="B2006" s="2">
        <v>44718.0</v>
      </c>
      <c r="C2006" s="3">
        <v>0.3077662037037037</v>
      </c>
      <c r="D2006" s="1">
        <v>12.634023</v>
      </c>
      <c r="E2006" s="1">
        <v>79.932785</v>
      </c>
      <c r="F2006" s="1">
        <v>805.0</v>
      </c>
      <c r="G2006" s="1">
        <v>57.0</v>
      </c>
    </row>
    <row r="2007">
      <c r="A2007" s="1" t="s">
        <v>10</v>
      </c>
      <c r="B2007" s="2">
        <v>44718.0</v>
      </c>
      <c r="C2007" s="3">
        <v>0.30777777777777776</v>
      </c>
      <c r="D2007" s="1">
        <v>13.05317</v>
      </c>
      <c r="E2007" s="1">
        <v>80.270664</v>
      </c>
      <c r="F2007" s="1">
        <v>2846.0</v>
      </c>
      <c r="G2007" s="1">
        <v>18.0</v>
      </c>
    </row>
    <row r="2008">
      <c r="A2008" s="1" t="s">
        <v>7</v>
      </c>
      <c r="B2008" s="2">
        <v>44718.0</v>
      </c>
      <c r="C2008" s="3">
        <v>0.30787037037037035</v>
      </c>
      <c r="D2008" s="1">
        <v>12.634023</v>
      </c>
      <c r="E2008" s="1">
        <v>79.932785</v>
      </c>
      <c r="F2008" s="1">
        <v>805.0</v>
      </c>
      <c r="G2008" s="1">
        <v>57.0</v>
      </c>
    </row>
    <row r="2009">
      <c r="A2009" s="1" t="s">
        <v>10</v>
      </c>
      <c r="B2009" s="2">
        <v>44718.0</v>
      </c>
      <c r="C2009" s="3">
        <v>0.3080555555555556</v>
      </c>
      <c r="D2009" s="1">
        <v>13.053288</v>
      </c>
      <c r="E2009" s="1">
        <v>80.269623</v>
      </c>
      <c r="F2009" s="1">
        <v>2846.0</v>
      </c>
      <c r="G2009" s="1">
        <v>18.0</v>
      </c>
    </row>
    <row r="2010">
      <c r="A2010" s="1" t="s">
        <v>8</v>
      </c>
      <c r="B2010" s="2">
        <v>44718.0</v>
      </c>
      <c r="C2010" s="3">
        <v>0.30809027777777775</v>
      </c>
      <c r="D2010" s="1">
        <v>12.972489</v>
      </c>
      <c r="E2010" s="1">
        <v>80.21946</v>
      </c>
      <c r="F2010" s="1">
        <v>3143.0</v>
      </c>
      <c r="G2010" s="1">
        <v>38.0</v>
      </c>
    </row>
    <row r="2011">
      <c r="A2011" s="1" t="s">
        <v>7</v>
      </c>
      <c r="B2011" s="2">
        <v>44718.0</v>
      </c>
      <c r="C2011" s="3">
        <v>0.30811342592592594</v>
      </c>
      <c r="D2011" s="1">
        <v>12.637854</v>
      </c>
      <c r="E2011" s="1">
        <v>79.934873</v>
      </c>
      <c r="F2011" s="1">
        <v>805.0</v>
      </c>
      <c r="G2011" s="1">
        <v>54.0</v>
      </c>
    </row>
    <row r="2012">
      <c r="A2012" s="1" t="s">
        <v>10</v>
      </c>
      <c r="B2012" s="2">
        <v>44718.0</v>
      </c>
      <c r="C2012" s="3">
        <v>0.3083564814814815</v>
      </c>
      <c r="D2012" s="1">
        <v>13.053411</v>
      </c>
      <c r="E2012" s="1">
        <v>80.268849</v>
      </c>
      <c r="F2012" s="1">
        <v>2846.0</v>
      </c>
      <c r="G2012" s="1">
        <v>0.0</v>
      </c>
    </row>
    <row r="2013">
      <c r="A2013" s="1" t="s">
        <v>7</v>
      </c>
      <c r="B2013" s="2">
        <v>44718.0</v>
      </c>
      <c r="C2013" s="3">
        <v>0.30868055555555557</v>
      </c>
      <c r="D2013" s="1">
        <v>12.644101</v>
      </c>
      <c r="E2013" s="1">
        <v>79.938713</v>
      </c>
      <c r="F2013" s="1">
        <v>805.0</v>
      </c>
      <c r="G2013" s="1">
        <v>58.0</v>
      </c>
    </row>
    <row r="2014">
      <c r="A2014" s="1" t="s">
        <v>7</v>
      </c>
      <c r="B2014" s="2">
        <v>44718.0</v>
      </c>
      <c r="C2014" s="3">
        <v>0.30900462962962966</v>
      </c>
      <c r="D2014" s="1">
        <v>12.648056</v>
      </c>
      <c r="E2014" s="1">
        <v>79.940563</v>
      </c>
      <c r="F2014" s="1">
        <v>805.0</v>
      </c>
      <c r="G2014" s="1">
        <v>58.0</v>
      </c>
    </row>
    <row r="2015">
      <c r="A2015" s="1" t="s">
        <v>8</v>
      </c>
      <c r="B2015" s="2">
        <v>44718.0</v>
      </c>
      <c r="C2015" s="3">
        <v>0.3092361111111111</v>
      </c>
      <c r="D2015" s="1">
        <v>12.650973</v>
      </c>
      <c r="E2015" s="1">
        <v>79.940353</v>
      </c>
      <c r="F2015" s="1">
        <v>805.0</v>
      </c>
      <c r="G2015" s="1">
        <v>58.0</v>
      </c>
    </row>
    <row r="2016">
      <c r="A2016" s="1" t="s">
        <v>7</v>
      </c>
      <c r="B2016" s="2">
        <v>44718.0</v>
      </c>
      <c r="C2016" s="3">
        <v>0.3094212962962963</v>
      </c>
      <c r="D2016" s="1">
        <v>12.65243</v>
      </c>
      <c r="E2016" s="1">
        <v>79.940195</v>
      </c>
      <c r="F2016" s="1">
        <v>805.0</v>
      </c>
      <c r="G2016" s="1">
        <v>59.0</v>
      </c>
    </row>
    <row r="2017">
      <c r="A2017" s="1" t="s">
        <v>7</v>
      </c>
      <c r="B2017" s="2">
        <v>44718.0</v>
      </c>
      <c r="C2017" s="3">
        <v>0.3096990740740741</v>
      </c>
      <c r="D2017" s="1">
        <v>12.656724</v>
      </c>
      <c r="E2017" s="1">
        <v>79.940497</v>
      </c>
      <c r="F2017" s="1">
        <v>805.0</v>
      </c>
      <c r="G2017" s="1">
        <v>57.0</v>
      </c>
    </row>
    <row r="2018">
      <c r="A2018" s="1" t="s">
        <v>7</v>
      </c>
      <c r="B2018" s="2">
        <v>44718.0</v>
      </c>
      <c r="C2018" s="3">
        <v>0.3098611111111111</v>
      </c>
      <c r="D2018" s="1">
        <v>12.657798</v>
      </c>
      <c r="E2018" s="1">
        <v>79.941498</v>
      </c>
      <c r="F2018" s="1">
        <v>805.0</v>
      </c>
      <c r="G2018" s="1">
        <v>57.0</v>
      </c>
    </row>
    <row r="2019">
      <c r="A2019" s="1" t="s">
        <v>7</v>
      </c>
      <c r="B2019" s="2">
        <v>44718.0</v>
      </c>
      <c r="C2019" s="3">
        <v>0.31006944444444445</v>
      </c>
      <c r="D2019" s="1">
        <v>12.65829</v>
      </c>
      <c r="E2019" s="1">
        <v>79.944244</v>
      </c>
      <c r="F2019" s="1">
        <v>805.0</v>
      </c>
      <c r="G2019" s="1">
        <v>52.0</v>
      </c>
    </row>
    <row r="2020">
      <c r="A2020" s="1" t="s">
        <v>7</v>
      </c>
      <c r="B2020" s="2">
        <v>44718.0</v>
      </c>
      <c r="C2020" s="3">
        <v>0.3113194444444444</v>
      </c>
      <c r="D2020" s="1">
        <v>12.656942</v>
      </c>
      <c r="E2020" s="1">
        <v>79.956035</v>
      </c>
      <c r="F2020" s="1">
        <v>805.0</v>
      </c>
      <c r="G2020" s="1">
        <v>50.0</v>
      </c>
    </row>
    <row r="2021">
      <c r="A2021" s="1" t="s">
        <v>8</v>
      </c>
      <c r="B2021" s="2">
        <v>44718.0</v>
      </c>
      <c r="C2021" s="3">
        <v>0.3136111111111111</v>
      </c>
      <c r="D2021" s="1">
        <v>12.980324</v>
      </c>
      <c r="E2021" s="1">
        <v>80.228192</v>
      </c>
      <c r="F2021" s="1">
        <v>3143.0</v>
      </c>
      <c r="G2021" s="1">
        <v>5.0</v>
      </c>
    </row>
    <row r="2022">
      <c r="A2022" s="1" t="s">
        <v>7</v>
      </c>
      <c r="B2022" s="2">
        <v>44718.0</v>
      </c>
      <c r="C2022" s="3">
        <v>0.3147337962962963</v>
      </c>
      <c r="D2022" s="1">
        <v>12.667109</v>
      </c>
      <c r="E2022" s="1">
        <v>79.971488</v>
      </c>
      <c r="F2022" s="1">
        <v>805.0</v>
      </c>
      <c r="G2022" s="1">
        <v>39.0</v>
      </c>
    </row>
    <row r="2023">
      <c r="A2023" s="1" t="s">
        <v>9</v>
      </c>
      <c r="B2023" s="2">
        <v>44718.0</v>
      </c>
      <c r="C2023" s="3">
        <v>0.3150925925925926</v>
      </c>
      <c r="D2023" s="1">
        <v>12.669012</v>
      </c>
      <c r="E2023" s="1">
        <v>79.973881</v>
      </c>
      <c r="F2023" s="1">
        <v>805.0</v>
      </c>
      <c r="G2023" s="1">
        <v>39.0</v>
      </c>
    </row>
    <row r="2024">
      <c r="A2024" s="1" t="s">
        <v>8</v>
      </c>
      <c r="B2024" s="2">
        <v>44718.0</v>
      </c>
      <c r="C2024" s="3">
        <v>0.31679398148148147</v>
      </c>
      <c r="D2024" s="1">
        <v>12.679712</v>
      </c>
      <c r="E2024" s="1">
        <v>79.980664</v>
      </c>
      <c r="F2024" s="1">
        <v>805.0</v>
      </c>
      <c r="G2024" s="1">
        <v>18.0</v>
      </c>
    </row>
    <row r="2025">
      <c r="A2025" s="1" t="s">
        <v>8</v>
      </c>
      <c r="B2025" s="2">
        <v>44718.0</v>
      </c>
      <c r="C2025" s="3">
        <v>0.31724537037037037</v>
      </c>
      <c r="D2025" s="1">
        <v>13.035845</v>
      </c>
      <c r="E2025" s="1">
        <v>80.246231</v>
      </c>
      <c r="F2025" s="1">
        <v>2846.0</v>
      </c>
      <c r="G2025" s="1">
        <v>0.0</v>
      </c>
    </row>
    <row r="2026">
      <c r="A2026" s="1" t="s">
        <v>10</v>
      </c>
      <c r="B2026" s="2">
        <v>44718.0</v>
      </c>
      <c r="C2026" s="3">
        <v>0.3172685185185185</v>
      </c>
      <c r="D2026" s="1">
        <v>12.679914</v>
      </c>
      <c r="E2026" s="1">
        <v>79.98081</v>
      </c>
      <c r="F2026" s="1">
        <v>805.0</v>
      </c>
      <c r="G2026" s="1">
        <v>13.0</v>
      </c>
    </row>
    <row r="2027">
      <c r="A2027" s="1" t="s">
        <v>8</v>
      </c>
      <c r="B2027" s="2">
        <v>44718.0</v>
      </c>
      <c r="C2027" s="3">
        <v>0.3179282407407407</v>
      </c>
      <c r="D2027" s="1">
        <v>12.682501</v>
      </c>
      <c r="E2027" s="1">
        <v>79.982361</v>
      </c>
      <c r="F2027" s="1">
        <v>805.0</v>
      </c>
      <c r="G2027" s="1">
        <v>17.0</v>
      </c>
    </row>
    <row r="2028">
      <c r="A2028" s="1" t="s">
        <v>8</v>
      </c>
      <c r="B2028" s="2">
        <v>44718.0</v>
      </c>
      <c r="C2028" s="3">
        <v>0.3179282407407407</v>
      </c>
      <c r="D2028" s="1">
        <v>12.682501</v>
      </c>
      <c r="E2028" s="1">
        <v>79.982361</v>
      </c>
      <c r="F2028" s="1">
        <v>805.0</v>
      </c>
      <c r="G2028" s="1">
        <v>17.0</v>
      </c>
    </row>
    <row r="2029">
      <c r="A2029" s="1" t="s">
        <v>10</v>
      </c>
      <c r="B2029" s="2">
        <v>44718.0</v>
      </c>
      <c r="C2029" s="3">
        <v>0.318125</v>
      </c>
      <c r="D2029" s="1">
        <v>12.683662</v>
      </c>
      <c r="E2029" s="1">
        <v>79.983067</v>
      </c>
      <c r="F2029" s="1">
        <v>805.0</v>
      </c>
      <c r="G2029" s="1">
        <v>0.0</v>
      </c>
    </row>
    <row r="2030">
      <c r="A2030" s="1" t="s">
        <v>8</v>
      </c>
      <c r="B2030" s="2">
        <v>44718.0</v>
      </c>
      <c r="C2030" s="3">
        <v>0.3186805555555556</v>
      </c>
      <c r="D2030" s="1">
        <v>12.687179</v>
      </c>
      <c r="E2030" s="1">
        <v>79.983059</v>
      </c>
      <c r="F2030" s="1">
        <v>805.0</v>
      </c>
      <c r="G2030" s="1">
        <v>23.0</v>
      </c>
    </row>
    <row r="2031">
      <c r="A2031" s="1" t="s">
        <v>8</v>
      </c>
      <c r="B2031" s="2">
        <v>44718.0</v>
      </c>
      <c r="C2031" s="3">
        <v>0.31872685185185184</v>
      </c>
      <c r="D2031" s="1">
        <v>12.687179</v>
      </c>
      <c r="E2031" s="1">
        <v>79.983059</v>
      </c>
      <c r="F2031" s="1">
        <v>805.0</v>
      </c>
      <c r="G2031" s="1">
        <v>23.0</v>
      </c>
    </row>
    <row r="2032">
      <c r="A2032" s="1" t="s">
        <v>8</v>
      </c>
      <c r="B2032" s="2">
        <v>44718.0</v>
      </c>
      <c r="C2032" s="3">
        <v>0.31873842592592594</v>
      </c>
      <c r="D2032" s="1">
        <v>12.687179</v>
      </c>
      <c r="E2032" s="1">
        <v>79.983059</v>
      </c>
      <c r="F2032" s="1">
        <v>805.0</v>
      </c>
      <c r="G2032" s="1">
        <v>23.0</v>
      </c>
    </row>
    <row r="2033">
      <c r="A2033" s="1" t="s">
        <v>8</v>
      </c>
      <c r="B2033" s="2">
        <v>44718.0</v>
      </c>
      <c r="C2033" s="3">
        <v>0.318912037037037</v>
      </c>
      <c r="D2033" s="1">
        <v>13.029608</v>
      </c>
      <c r="E2033" s="1">
        <v>80.23734</v>
      </c>
      <c r="F2033" s="1">
        <v>2846.0</v>
      </c>
      <c r="G2033" s="1">
        <v>39.0</v>
      </c>
    </row>
    <row r="2034">
      <c r="A2034" s="1" t="s">
        <v>8</v>
      </c>
      <c r="B2034" s="2">
        <v>44718.0</v>
      </c>
      <c r="C2034" s="3">
        <v>0.31938657407407406</v>
      </c>
      <c r="D2034" s="1">
        <v>13.027187</v>
      </c>
      <c r="E2034" s="1">
        <v>80.234138</v>
      </c>
      <c r="F2034" s="1">
        <v>2846.0</v>
      </c>
      <c r="G2034" s="1">
        <v>38.0</v>
      </c>
    </row>
    <row r="2035">
      <c r="A2035" s="1" t="s">
        <v>9</v>
      </c>
      <c r="B2035" s="2">
        <v>44718.0</v>
      </c>
      <c r="C2035" s="3">
        <v>0.3195949074074074</v>
      </c>
      <c r="D2035" s="1">
        <v>13.026364</v>
      </c>
      <c r="E2035" s="1">
        <v>80.232718</v>
      </c>
      <c r="F2035" s="1">
        <v>2846.0</v>
      </c>
      <c r="G2035" s="1">
        <v>33.0</v>
      </c>
    </row>
    <row r="2036">
      <c r="A2036" s="1" t="s">
        <v>10</v>
      </c>
      <c r="B2036" s="2">
        <v>44718.0</v>
      </c>
      <c r="C2036" s="3">
        <v>0.3199884259259259</v>
      </c>
      <c r="D2036" s="1">
        <v>12.692714</v>
      </c>
      <c r="E2036" s="1">
        <v>79.979629</v>
      </c>
      <c r="F2036" s="1">
        <v>805.0</v>
      </c>
      <c r="G2036" s="1">
        <v>43.0</v>
      </c>
    </row>
    <row r="2037">
      <c r="A2037" s="1" t="s">
        <v>8</v>
      </c>
      <c r="B2037" s="2">
        <v>44718.0</v>
      </c>
      <c r="C2037" s="3">
        <v>0.32060185185185186</v>
      </c>
      <c r="D2037" s="1">
        <v>12.964784</v>
      </c>
      <c r="E2037" s="1">
        <v>80.209702</v>
      </c>
      <c r="F2037" s="1">
        <v>3143.0</v>
      </c>
      <c r="G2037" s="1">
        <v>30.0</v>
      </c>
    </row>
    <row r="2038">
      <c r="A2038" s="1" t="s">
        <v>8</v>
      </c>
      <c r="B2038" s="2">
        <v>44718.0</v>
      </c>
      <c r="C2038" s="3">
        <v>0.3206712962962963</v>
      </c>
      <c r="D2038" s="1">
        <v>12.694815</v>
      </c>
      <c r="E2038" s="1">
        <v>79.978195</v>
      </c>
      <c r="F2038" s="1">
        <v>805.0</v>
      </c>
      <c r="G2038" s="1">
        <v>28.0</v>
      </c>
    </row>
    <row r="2039">
      <c r="A2039" s="1" t="s">
        <v>8</v>
      </c>
      <c r="B2039" s="2">
        <v>44718.0</v>
      </c>
      <c r="C2039" s="3">
        <v>0.32068287037037035</v>
      </c>
      <c r="D2039" s="1">
        <v>12.695502</v>
      </c>
      <c r="E2039" s="1">
        <v>79.977849</v>
      </c>
      <c r="F2039" s="1">
        <v>805.0</v>
      </c>
      <c r="G2039" s="1">
        <v>26.0</v>
      </c>
    </row>
    <row r="2040">
      <c r="A2040" s="1" t="s">
        <v>8</v>
      </c>
      <c r="B2040" s="2">
        <v>44718.0</v>
      </c>
      <c r="C2040" s="3">
        <v>0.32081018518518517</v>
      </c>
      <c r="D2040" s="1">
        <v>12.965036</v>
      </c>
      <c r="E2040" s="1">
        <v>80.208085</v>
      </c>
      <c r="F2040" s="1">
        <v>3143.0</v>
      </c>
      <c r="G2040" s="1">
        <v>33.0</v>
      </c>
    </row>
    <row r="2041">
      <c r="A2041" s="1" t="s">
        <v>8</v>
      </c>
      <c r="B2041" s="2">
        <v>44718.0</v>
      </c>
      <c r="C2041" s="3">
        <v>0.32090277777777776</v>
      </c>
      <c r="D2041" s="1">
        <v>13.024139</v>
      </c>
      <c r="E2041" s="1">
        <v>80.228424</v>
      </c>
      <c r="F2041" s="1">
        <v>2846.0</v>
      </c>
      <c r="G2041" s="1">
        <v>32.0</v>
      </c>
    </row>
    <row r="2042">
      <c r="A2042" s="1" t="s">
        <v>8</v>
      </c>
      <c r="B2042" s="2">
        <v>44718.0</v>
      </c>
      <c r="C2042" s="3">
        <v>0.3211111111111111</v>
      </c>
      <c r="D2042" s="1">
        <v>13.022824</v>
      </c>
      <c r="E2042" s="1">
        <v>80.227068</v>
      </c>
      <c r="F2042" s="1">
        <v>2846.0</v>
      </c>
      <c r="G2042" s="1">
        <v>40.0</v>
      </c>
    </row>
    <row r="2043">
      <c r="A2043" s="1" t="s">
        <v>10</v>
      </c>
      <c r="B2043" s="2">
        <v>44718.0</v>
      </c>
      <c r="C2043" s="3">
        <v>0.3214930555555556</v>
      </c>
      <c r="D2043" s="1">
        <v>13.020449</v>
      </c>
      <c r="E2043" s="1">
        <v>80.225198</v>
      </c>
      <c r="F2043" s="1">
        <v>2846.0</v>
      </c>
      <c r="G2043" s="1">
        <v>36.0</v>
      </c>
    </row>
    <row r="2044">
      <c r="A2044" s="1" t="s">
        <v>9</v>
      </c>
      <c r="B2044" s="2">
        <v>44718.0</v>
      </c>
      <c r="C2044" s="3">
        <v>0.3215972222222222</v>
      </c>
      <c r="D2044" s="1">
        <v>12.697106</v>
      </c>
      <c r="E2044" s="1">
        <v>79.976642</v>
      </c>
      <c r="F2044" s="1">
        <v>805.0</v>
      </c>
      <c r="G2044" s="1">
        <v>28.0</v>
      </c>
    </row>
    <row r="2045">
      <c r="A2045" s="1" t="s">
        <v>8</v>
      </c>
      <c r="B2045" s="2">
        <v>44718.0</v>
      </c>
      <c r="C2045" s="3">
        <v>0.3223611111111111</v>
      </c>
      <c r="D2045" s="1">
        <v>12.697837</v>
      </c>
      <c r="E2045" s="1">
        <v>79.971026</v>
      </c>
      <c r="F2045" s="1">
        <v>805.0</v>
      </c>
      <c r="G2045" s="1">
        <v>29.0</v>
      </c>
    </row>
    <row r="2046">
      <c r="A2046" s="1" t="s">
        <v>8</v>
      </c>
      <c r="B2046" s="2">
        <v>44718.0</v>
      </c>
      <c r="C2046" s="3">
        <v>0.3232407407407407</v>
      </c>
      <c r="D2046" s="1">
        <v>13.011411</v>
      </c>
      <c r="E2046" s="1">
        <v>80.227392</v>
      </c>
      <c r="F2046" s="1">
        <v>2846.0</v>
      </c>
      <c r="G2046" s="1">
        <v>46.0</v>
      </c>
    </row>
    <row r="2047">
      <c r="A2047" s="1" t="s">
        <v>8</v>
      </c>
      <c r="B2047" s="2">
        <v>44718.0</v>
      </c>
      <c r="C2047" s="3">
        <v>0.3239930555555556</v>
      </c>
      <c r="D2047" s="1">
        <v>13.011131</v>
      </c>
      <c r="E2047" s="1">
        <v>80.223906</v>
      </c>
      <c r="F2047" s="1">
        <v>2846.0</v>
      </c>
      <c r="G2047" s="1">
        <v>29.0</v>
      </c>
    </row>
    <row r="2048">
      <c r="A2048" s="1" t="s">
        <v>7</v>
      </c>
      <c r="B2048" s="2">
        <v>44718.0</v>
      </c>
      <c r="C2048" s="3">
        <v>0.3243287037037037</v>
      </c>
      <c r="D2048" s="1">
        <v>12.706014</v>
      </c>
      <c r="E2048" s="1">
        <v>79.974974</v>
      </c>
      <c r="F2048" s="1">
        <v>805.0</v>
      </c>
      <c r="G2048" s="1">
        <v>52.0</v>
      </c>
    </row>
    <row r="2049">
      <c r="A2049" s="1" t="s">
        <v>7</v>
      </c>
      <c r="B2049" s="2">
        <v>44718.0</v>
      </c>
      <c r="C2049" s="3">
        <v>0.3244560185185185</v>
      </c>
      <c r="D2049" s="1">
        <v>12.706958</v>
      </c>
      <c r="E2049" s="1">
        <v>79.975964</v>
      </c>
      <c r="F2049" s="1">
        <v>805.0</v>
      </c>
      <c r="G2049" s="1">
        <v>54.0</v>
      </c>
    </row>
    <row r="2050">
      <c r="A2050" s="1" t="s">
        <v>8</v>
      </c>
      <c r="B2050" s="2">
        <v>44718.0</v>
      </c>
      <c r="C2050" s="3">
        <v>0.3248726851851852</v>
      </c>
      <c r="D2050" s="1">
        <v>13.010696</v>
      </c>
      <c r="E2050" s="1">
        <v>80.216778</v>
      </c>
      <c r="F2050" s="1">
        <v>2846.0</v>
      </c>
      <c r="G2050" s="1">
        <v>36.0</v>
      </c>
    </row>
    <row r="2051">
      <c r="A2051" s="1" t="s">
        <v>7</v>
      </c>
      <c r="B2051" s="2">
        <v>44718.0</v>
      </c>
      <c r="C2051" s="3">
        <v>0.3249884259259259</v>
      </c>
      <c r="D2051" s="1">
        <v>12.711866</v>
      </c>
      <c r="E2051" s="1">
        <v>79.979001</v>
      </c>
      <c r="F2051" s="1">
        <v>805.0</v>
      </c>
      <c r="G2051" s="1">
        <v>50.0</v>
      </c>
    </row>
    <row r="2052">
      <c r="A2052" s="1" t="s">
        <v>7</v>
      </c>
      <c r="B2052" s="2">
        <v>44718.0</v>
      </c>
      <c r="C2052" s="3">
        <v>0.3251041666666667</v>
      </c>
      <c r="D2052" s="1">
        <v>12.713039</v>
      </c>
      <c r="E2052" s="1">
        <v>79.979739</v>
      </c>
      <c r="F2052" s="1">
        <v>805.0</v>
      </c>
      <c r="G2052" s="1">
        <v>58.0</v>
      </c>
    </row>
    <row r="2053">
      <c r="A2053" s="1" t="s">
        <v>7</v>
      </c>
      <c r="B2053" s="2">
        <v>44718.0</v>
      </c>
      <c r="C2053" s="3">
        <v>0.3252199074074074</v>
      </c>
      <c r="D2053" s="1">
        <v>12.713039</v>
      </c>
      <c r="E2053" s="1">
        <v>79.979739</v>
      </c>
      <c r="F2053" s="1">
        <v>805.0</v>
      </c>
      <c r="G2053" s="1">
        <v>58.0</v>
      </c>
    </row>
    <row r="2054">
      <c r="A2054" s="1" t="s">
        <v>10</v>
      </c>
      <c r="B2054" s="2">
        <v>44718.0</v>
      </c>
      <c r="C2054" s="3">
        <v>0.3253009259259259</v>
      </c>
      <c r="D2054" s="1">
        <v>12.965344</v>
      </c>
      <c r="E2054" s="1">
        <v>80.1915</v>
      </c>
      <c r="F2054" s="1">
        <v>3143.0</v>
      </c>
      <c r="G2054" s="1">
        <v>14.0</v>
      </c>
    </row>
    <row r="2055">
      <c r="A2055" s="1" t="s">
        <v>8</v>
      </c>
      <c r="B2055" s="2">
        <v>44718.0</v>
      </c>
      <c r="C2055" s="3">
        <v>0.32535879629629627</v>
      </c>
      <c r="D2055" s="1">
        <v>13.009711</v>
      </c>
      <c r="E2055" s="1">
        <v>80.213718</v>
      </c>
      <c r="F2055" s="1">
        <v>2846.0</v>
      </c>
      <c r="G2055" s="1">
        <v>48.0</v>
      </c>
    </row>
    <row r="2056">
      <c r="A2056" s="1" t="s">
        <v>7</v>
      </c>
      <c r="B2056" s="2">
        <v>44718.0</v>
      </c>
      <c r="C2056" s="3">
        <v>0.3254398148148148</v>
      </c>
      <c r="D2056" s="1">
        <v>12.714444</v>
      </c>
      <c r="E2056" s="1">
        <v>79.980153</v>
      </c>
      <c r="F2056" s="1">
        <v>805.0</v>
      </c>
      <c r="G2056" s="1">
        <v>58.0</v>
      </c>
    </row>
    <row r="2057">
      <c r="A2057" s="1" t="s">
        <v>8</v>
      </c>
      <c r="B2057" s="2">
        <v>44718.0</v>
      </c>
      <c r="C2057" s="3">
        <v>0.3257638888888889</v>
      </c>
      <c r="D2057" s="1">
        <v>13.008256</v>
      </c>
      <c r="E2057" s="1">
        <v>80.209776</v>
      </c>
      <c r="F2057" s="1">
        <v>2846.0</v>
      </c>
      <c r="G2057" s="1">
        <v>44.0</v>
      </c>
    </row>
    <row r="2058">
      <c r="A2058" s="1" t="s">
        <v>8</v>
      </c>
      <c r="B2058" s="2">
        <v>44718.0</v>
      </c>
      <c r="C2058" s="3">
        <v>0.3259606481481481</v>
      </c>
      <c r="D2058" s="1">
        <v>12.714444</v>
      </c>
      <c r="E2058" s="1">
        <v>79.980153</v>
      </c>
      <c r="F2058" s="1">
        <v>805.0</v>
      </c>
      <c r="G2058" s="1">
        <v>58.0</v>
      </c>
    </row>
    <row r="2059">
      <c r="A2059" s="1" t="s">
        <v>8</v>
      </c>
      <c r="B2059" s="2">
        <v>44718.0</v>
      </c>
      <c r="C2059" s="3">
        <v>0.3259606481481481</v>
      </c>
      <c r="D2059" s="1">
        <v>13.008025</v>
      </c>
      <c r="E2059" s="1">
        <v>80.208683</v>
      </c>
      <c r="F2059" s="1">
        <v>2846.0</v>
      </c>
      <c r="G2059" s="1">
        <v>43.0</v>
      </c>
    </row>
    <row r="2060">
      <c r="A2060" s="1" t="s">
        <v>8</v>
      </c>
      <c r="B2060" s="2">
        <v>44718.0</v>
      </c>
      <c r="C2060" s="3">
        <v>0.32680555555555557</v>
      </c>
      <c r="D2060" s="1">
        <v>13.007393</v>
      </c>
      <c r="E2060" s="1">
        <v>80.205487</v>
      </c>
      <c r="F2060" s="1">
        <v>2846.0</v>
      </c>
      <c r="G2060" s="1">
        <v>41.0</v>
      </c>
    </row>
    <row r="2061">
      <c r="A2061" s="1" t="s">
        <v>8</v>
      </c>
      <c r="B2061" s="2">
        <v>44718.0</v>
      </c>
      <c r="C2061" s="3">
        <v>0.3269560185185185</v>
      </c>
      <c r="D2061" s="1">
        <v>13.007393</v>
      </c>
      <c r="E2061" s="1">
        <v>80.205487</v>
      </c>
      <c r="F2061" s="1">
        <v>2846.0</v>
      </c>
      <c r="G2061" s="1">
        <v>41.0</v>
      </c>
    </row>
    <row r="2062">
      <c r="A2062" s="1" t="s">
        <v>8</v>
      </c>
      <c r="B2062" s="2">
        <v>44718.0</v>
      </c>
      <c r="C2062" s="3">
        <v>0.3269675925925926</v>
      </c>
      <c r="D2062" s="1">
        <v>13.007393</v>
      </c>
      <c r="E2062" s="1">
        <v>80.205487</v>
      </c>
      <c r="F2062" s="1">
        <v>2846.0</v>
      </c>
      <c r="G2062" s="1">
        <v>41.0</v>
      </c>
    </row>
    <row r="2063">
      <c r="A2063" s="1" t="s">
        <v>8</v>
      </c>
      <c r="B2063" s="2">
        <v>44718.0</v>
      </c>
      <c r="C2063" s="3">
        <v>0.32699074074074075</v>
      </c>
      <c r="D2063" s="1">
        <v>12.72414</v>
      </c>
      <c r="E2063" s="1">
        <v>79.98172</v>
      </c>
      <c r="F2063" s="1">
        <v>805.0</v>
      </c>
      <c r="G2063" s="1">
        <v>0.0</v>
      </c>
    </row>
    <row r="2064">
      <c r="A2064" s="1" t="s">
        <v>8</v>
      </c>
      <c r="B2064" s="2">
        <v>44718.0</v>
      </c>
      <c r="C2064" s="3">
        <v>0.3270023148148148</v>
      </c>
      <c r="D2064" s="1">
        <v>13.007393</v>
      </c>
      <c r="E2064" s="1">
        <v>80.205487</v>
      </c>
      <c r="F2064" s="1">
        <v>2846.0</v>
      </c>
      <c r="G2064" s="1">
        <v>41.0</v>
      </c>
    </row>
    <row r="2065">
      <c r="A2065" s="1" t="s">
        <v>8</v>
      </c>
      <c r="B2065" s="2">
        <v>44718.0</v>
      </c>
      <c r="C2065" s="3">
        <v>0.3270486111111111</v>
      </c>
      <c r="D2065" s="1">
        <v>13.00545</v>
      </c>
      <c r="E2065" s="1">
        <v>80.201908</v>
      </c>
      <c r="F2065" s="1">
        <v>2846.0</v>
      </c>
      <c r="G2065" s="1">
        <v>41.0</v>
      </c>
    </row>
    <row r="2066">
      <c r="A2066" s="1" t="s">
        <v>8</v>
      </c>
      <c r="B2066" s="2">
        <v>44718.0</v>
      </c>
      <c r="C2066" s="3">
        <v>0.32719907407407406</v>
      </c>
      <c r="D2066" s="1">
        <v>13.00545</v>
      </c>
      <c r="E2066" s="1">
        <v>80.201908</v>
      </c>
      <c r="F2066" s="1">
        <v>2846.0</v>
      </c>
      <c r="G2066" s="1">
        <v>41.0</v>
      </c>
    </row>
    <row r="2067">
      <c r="A2067" s="1" t="s">
        <v>8</v>
      </c>
      <c r="B2067" s="2">
        <v>44718.0</v>
      </c>
      <c r="C2067" s="3">
        <v>0.3272685185185185</v>
      </c>
      <c r="D2067" s="1">
        <v>12.726396</v>
      </c>
      <c r="E2067" s="1">
        <v>79.98234</v>
      </c>
      <c r="F2067" s="1">
        <v>805.0</v>
      </c>
      <c r="G2067" s="1">
        <v>30.0</v>
      </c>
    </row>
    <row r="2068">
      <c r="A2068" s="1" t="s">
        <v>8</v>
      </c>
      <c r="B2068" s="2">
        <v>44718.0</v>
      </c>
      <c r="C2068" s="3">
        <v>0.32729166666666665</v>
      </c>
      <c r="D2068" s="1">
        <v>13.002738</v>
      </c>
      <c r="E2068" s="1">
        <v>80.200704</v>
      </c>
      <c r="F2068" s="1">
        <v>2846.0</v>
      </c>
      <c r="G2068" s="1">
        <v>24.0</v>
      </c>
    </row>
    <row r="2069">
      <c r="A2069" s="1" t="s">
        <v>8</v>
      </c>
      <c r="B2069" s="2">
        <v>44718.0</v>
      </c>
      <c r="C2069" s="3">
        <v>0.3277662037037037</v>
      </c>
      <c r="D2069" s="1">
        <v>12.733121</v>
      </c>
      <c r="E2069" s="1">
        <v>79.983348</v>
      </c>
      <c r="F2069" s="1">
        <v>805.0</v>
      </c>
      <c r="G2069" s="1">
        <v>46.0</v>
      </c>
    </row>
    <row r="2070">
      <c r="A2070" s="1" t="s">
        <v>8</v>
      </c>
      <c r="B2070" s="2">
        <v>44718.0</v>
      </c>
      <c r="C2070" s="3">
        <v>0.3279861111111111</v>
      </c>
      <c r="D2070" s="1">
        <v>12.734417</v>
      </c>
      <c r="E2070" s="1">
        <v>79.984857</v>
      </c>
      <c r="F2070" s="1">
        <v>805.0</v>
      </c>
      <c r="G2070" s="1">
        <v>45.0</v>
      </c>
    </row>
    <row r="2071">
      <c r="A2071" s="1" t="s">
        <v>9</v>
      </c>
      <c r="B2071" s="2">
        <v>44718.0</v>
      </c>
      <c r="C2071" s="3">
        <v>0.3281365740740741</v>
      </c>
      <c r="D2071" s="1">
        <v>12.735173</v>
      </c>
      <c r="E2071" s="1">
        <v>79.985851</v>
      </c>
      <c r="F2071" s="1">
        <v>805.0</v>
      </c>
      <c r="G2071" s="1">
        <v>53.0</v>
      </c>
    </row>
    <row r="2072">
      <c r="A2072" s="1" t="s">
        <v>10</v>
      </c>
      <c r="B2072" s="2">
        <v>44718.0</v>
      </c>
      <c r="C2072" s="3">
        <v>0.3281712962962963</v>
      </c>
      <c r="D2072" s="1">
        <v>12.957879</v>
      </c>
      <c r="E2072" s="1">
        <v>80.187071</v>
      </c>
      <c r="F2072" s="1">
        <v>3143.0</v>
      </c>
      <c r="G2072" s="1">
        <v>27.0</v>
      </c>
    </row>
    <row r="2073">
      <c r="A2073" s="1" t="s">
        <v>7</v>
      </c>
      <c r="B2073" s="2">
        <v>44718.0</v>
      </c>
      <c r="C2073" s="3">
        <v>0.3283333333333333</v>
      </c>
      <c r="D2073" s="1">
        <v>12.736135</v>
      </c>
      <c r="E2073" s="1">
        <v>79.986857</v>
      </c>
      <c r="F2073" s="1">
        <v>805.0</v>
      </c>
      <c r="G2073" s="1">
        <v>52.0</v>
      </c>
    </row>
    <row r="2074">
      <c r="A2074" s="1" t="s">
        <v>7</v>
      </c>
      <c r="B2074" s="2">
        <v>44718.0</v>
      </c>
      <c r="C2074" s="3">
        <v>0.3287037037037037</v>
      </c>
      <c r="D2074" s="1">
        <v>12.740845</v>
      </c>
      <c r="E2074" s="1">
        <v>79.990328</v>
      </c>
      <c r="F2074" s="1">
        <v>805.0</v>
      </c>
      <c r="G2074" s="1">
        <v>58.0</v>
      </c>
    </row>
    <row r="2075">
      <c r="A2075" s="1" t="s">
        <v>8</v>
      </c>
      <c r="B2075" s="2">
        <v>44718.0</v>
      </c>
      <c r="C2075" s="3">
        <v>0.3292013888888889</v>
      </c>
      <c r="D2075" s="1">
        <v>13.000443</v>
      </c>
      <c r="E2075" s="1">
        <v>80.194749</v>
      </c>
      <c r="F2075" s="1">
        <v>2846.0</v>
      </c>
      <c r="G2075" s="1">
        <v>46.0</v>
      </c>
    </row>
    <row r="2076">
      <c r="A2076" s="1" t="s">
        <v>8</v>
      </c>
      <c r="B2076" s="2">
        <v>44718.0</v>
      </c>
      <c r="C2076" s="3">
        <v>0.32944444444444443</v>
      </c>
      <c r="D2076" s="1">
        <v>12.994171</v>
      </c>
      <c r="E2076" s="1">
        <v>80.185869</v>
      </c>
      <c r="F2076" s="1">
        <v>2846.0</v>
      </c>
      <c r="G2076" s="1">
        <v>49.0</v>
      </c>
    </row>
    <row r="2077">
      <c r="A2077" s="1" t="s">
        <v>8</v>
      </c>
      <c r="B2077" s="2">
        <v>44718.0</v>
      </c>
      <c r="C2077" s="3">
        <v>0.33023148148148146</v>
      </c>
      <c r="D2077" s="1">
        <v>12.990728</v>
      </c>
      <c r="E2077" s="1">
        <v>80.18049</v>
      </c>
      <c r="F2077" s="1">
        <v>2846.0</v>
      </c>
      <c r="G2077" s="1">
        <v>57.0</v>
      </c>
    </row>
    <row r="2078">
      <c r="A2078" s="1" t="s">
        <v>7</v>
      </c>
      <c r="B2078" s="2">
        <v>44718.0</v>
      </c>
      <c r="C2078" s="3">
        <v>0.33047453703703705</v>
      </c>
      <c r="D2078" s="1">
        <v>12.754772</v>
      </c>
      <c r="E2078" s="1">
        <v>80.000888</v>
      </c>
      <c r="F2078" s="1">
        <v>805.0</v>
      </c>
      <c r="G2078" s="1">
        <v>57.0</v>
      </c>
    </row>
    <row r="2079">
      <c r="A2079" s="1" t="s">
        <v>10</v>
      </c>
      <c r="B2079" s="2">
        <v>44718.0</v>
      </c>
      <c r="C2079" s="3">
        <v>0.33121527777777776</v>
      </c>
      <c r="D2079" s="1">
        <v>12.76085</v>
      </c>
      <c r="E2079" s="1">
        <v>80.003378</v>
      </c>
      <c r="F2079" s="1">
        <v>805.0</v>
      </c>
      <c r="G2079" s="1">
        <v>18.0</v>
      </c>
    </row>
    <row r="2080">
      <c r="A2080" s="1" t="s">
        <v>8</v>
      </c>
      <c r="B2080" s="2">
        <v>44718.0</v>
      </c>
      <c r="C2080" s="3">
        <v>0.3314236111111111</v>
      </c>
      <c r="D2080" s="1">
        <v>12.761401</v>
      </c>
      <c r="E2080" s="1">
        <v>80.003538</v>
      </c>
      <c r="F2080" s="1">
        <v>805.0</v>
      </c>
      <c r="G2080" s="1">
        <v>29.0</v>
      </c>
    </row>
    <row r="2081">
      <c r="A2081" s="1" t="s">
        <v>7</v>
      </c>
      <c r="B2081" s="2">
        <v>44718.0</v>
      </c>
      <c r="C2081" s="3">
        <v>0.3314699074074074</v>
      </c>
      <c r="D2081" s="1">
        <v>12.984842</v>
      </c>
      <c r="E2081" s="1">
        <v>80.172462</v>
      </c>
      <c r="F2081" s="1">
        <v>2846.0</v>
      </c>
      <c r="G2081" s="1">
        <v>51.0</v>
      </c>
    </row>
    <row r="2082">
      <c r="A2082" s="1" t="s">
        <v>7</v>
      </c>
      <c r="B2082" s="2">
        <v>44718.0</v>
      </c>
      <c r="C2082" s="3">
        <v>0.33164351851851853</v>
      </c>
      <c r="D2082" s="1">
        <v>12.983415</v>
      </c>
      <c r="E2082" s="1">
        <v>80.170079</v>
      </c>
      <c r="F2082" s="1">
        <v>2846.0</v>
      </c>
      <c r="G2082" s="1">
        <v>55.0</v>
      </c>
    </row>
    <row r="2083">
      <c r="A2083" s="1" t="s">
        <v>7</v>
      </c>
      <c r="B2083" s="2">
        <v>44718.0</v>
      </c>
      <c r="C2083" s="3">
        <v>0.3318055555555556</v>
      </c>
      <c r="D2083" s="1">
        <v>12.982652</v>
      </c>
      <c r="E2083" s="1">
        <v>80.168826</v>
      </c>
      <c r="F2083" s="1">
        <v>2846.0</v>
      </c>
      <c r="G2083" s="1">
        <v>57.0</v>
      </c>
    </row>
    <row r="2084">
      <c r="A2084" s="1" t="s">
        <v>9</v>
      </c>
      <c r="B2084" s="2">
        <v>44718.0</v>
      </c>
      <c r="C2084" s="3">
        <v>0.33208333333333334</v>
      </c>
      <c r="D2084" s="1">
        <v>12.944451</v>
      </c>
      <c r="E2084" s="1">
        <v>80.183072</v>
      </c>
      <c r="F2084" s="1">
        <v>3143.0</v>
      </c>
      <c r="G2084" s="1">
        <v>32.0</v>
      </c>
    </row>
    <row r="2085">
      <c r="A2085" s="1" t="s">
        <v>8</v>
      </c>
      <c r="B2085" s="2">
        <v>44718.0</v>
      </c>
      <c r="C2085" s="3">
        <v>0.33211805555555557</v>
      </c>
      <c r="D2085" s="1">
        <v>12.764111</v>
      </c>
      <c r="E2085" s="1">
        <v>80.004414</v>
      </c>
      <c r="F2085" s="1">
        <v>805.0</v>
      </c>
      <c r="G2085" s="1">
        <v>38.0</v>
      </c>
    </row>
    <row r="2086">
      <c r="A2086" s="1" t="s">
        <v>7</v>
      </c>
      <c r="B2086" s="2">
        <v>44718.0</v>
      </c>
      <c r="C2086" s="3">
        <v>0.3322800925925926</v>
      </c>
      <c r="D2086" s="1">
        <v>12.980102</v>
      </c>
      <c r="E2086" s="1">
        <v>80.163734</v>
      </c>
      <c r="F2086" s="1">
        <v>2846.0</v>
      </c>
      <c r="G2086" s="1">
        <v>53.0</v>
      </c>
    </row>
    <row r="2087">
      <c r="A2087" s="1" t="s">
        <v>7</v>
      </c>
      <c r="B2087" s="2">
        <v>44718.0</v>
      </c>
      <c r="C2087" s="3">
        <v>0.3325925925925926</v>
      </c>
      <c r="D2087" s="1">
        <v>12.76815</v>
      </c>
      <c r="E2087" s="1">
        <v>80.006188</v>
      </c>
      <c r="F2087" s="1">
        <v>805.0</v>
      </c>
      <c r="G2087" s="1">
        <v>47.0</v>
      </c>
    </row>
    <row r="2088">
      <c r="A2088" s="1" t="s">
        <v>8</v>
      </c>
      <c r="B2088" s="2">
        <v>44718.0</v>
      </c>
      <c r="C2088" s="3">
        <v>0.33283564814814814</v>
      </c>
      <c r="D2088" s="1">
        <v>12.976351</v>
      </c>
      <c r="E2088" s="1">
        <v>80.157585</v>
      </c>
      <c r="F2088" s="1">
        <v>2846.0</v>
      </c>
      <c r="G2088" s="1">
        <v>57.0</v>
      </c>
    </row>
    <row r="2089">
      <c r="A2089" s="1" t="s">
        <v>10</v>
      </c>
      <c r="B2089" s="2">
        <v>44718.0</v>
      </c>
      <c r="C2089" s="3">
        <v>0.33310185185185187</v>
      </c>
      <c r="D2089" s="1">
        <v>12.940021</v>
      </c>
      <c r="E2089" s="1">
        <v>80.182755</v>
      </c>
      <c r="F2089" s="1">
        <v>3143.0</v>
      </c>
      <c r="G2089" s="1">
        <v>24.0</v>
      </c>
    </row>
    <row r="2090">
      <c r="A2090" s="1" t="s">
        <v>8</v>
      </c>
      <c r="B2090" s="2">
        <v>44718.0</v>
      </c>
      <c r="C2090" s="3">
        <v>0.3332175925925926</v>
      </c>
      <c r="D2090" s="1">
        <v>12.97497</v>
      </c>
      <c r="E2090" s="1">
        <v>80.155604</v>
      </c>
      <c r="F2090" s="1">
        <v>2846.0</v>
      </c>
      <c r="G2090" s="1">
        <v>28.0</v>
      </c>
    </row>
    <row r="2091">
      <c r="A2091" s="1" t="s">
        <v>8</v>
      </c>
      <c r="B2091" s="2">
        <v>44718.0</v>
      </c>
      <c r="C2091" s="3">
        <v>0.33339120370370373</v>
      </c>
      <c r="D2091" s="1">
        <v>12.974291</v>
      </c>
      <c r="E2091" s="1">
        <v>80.154656</v>
      </c>
      <c r="F2091" s="1">
        <v>2846.0</v>
      </c>
      <c r="G2091" s="1">
        <v>32.0</v>
      </c>
    </row>
    <row r="2092">
      <c r="A2092" s="1" t="s">
        <v>7</v>
      </c>
      <c r="B2092" s="2">
        <v>44718.0</v>
      </c>
      <c r="C2092" s="3">
        <v>0.33346064814814813</v>
      </c>
      <c r="D2092" s="1">
        <v>12.775479</v>
      </c>
      <c r="E2092" s="1">
        <v>80.009624</v>
      </c>
      <c r="F2092" s="1">
        <v>805.0</v>
      </c>
      <c r="G2092" s="1">
        <v>56.0</v>
      </c>
    </row>
    <row r="2093">
      <c r="A2093" s="1" t="s">
        <v>8</v>
      </c>
      <c r="B2093" s="2">
        <v>44718.0</v>
      </c>
      <c r="C2093" s="3">
        <v>0.3335300925925926</v>
      </c>
      <c r="D2093" s="1">
        <v>12.974291</v>
      </c>
      <c r="E2093" s="1">
        <v>80.154656</v>
      </c>
      <c r="F2093" s="1">
        <v>2846.0</v>
      </c>
      <c r="G2093" s="1">
        <v>32.0</v>
      </c>
    </row>
    <row r="2094">
      <c r="A2094" s="1" t="s">
        <v>7</v>
      </c>
      <c r="B2094" s="2">
        <v>44718.0</v>
      </c>
      <c r="C2094" s="3">
        <v>0.33372685185185186</v>
      </c>
      <c r="D2094" s="1">
        <v>12.776652</v>
      </c>
      <c r="E2094" s="1">
        <v>80.010145</v>
      </c>
      <c r="F2094" s="1">
        <v>805.0</v>
      </c>
      <c r="G2094" s="1">
        <v>49.0</v>
      </c>
    </row>
    <row r="2095">
      <c r="A2095" s="1" t="s">
        <v>10</v>
      </c>
      <c r="B2095" s="2">
        <v>44718.0</v>
      </c>
      <c r="C2095" s="3">
        <v>0.33399305555555553</v>
      </c>
      <c r="D2095" s="1">
        <v>12.937566</v>
      </c>
      <c r="E2095" s="1">
        <v>80.182297</v>
      </c>
      <c r="F2095" s="1">
        <v>3143.0</v>
      </c>
      <c r="G2095" s="1">
        <v>19.0</v>
      </c>
    </row>
    <row r="2096">
      <c r="A2096" s="1" t="s">
        <v>10</v>
      </c>
      <c r="B2096" s="2">
        <v>44718.0</v>
      </c>
      <c r="C2096" s="3">
        <v>0.33402777777777776</v>
      </c>
      <c r="D2096" s="1">
        <v>12.937566</v>
      </c>
      <c r="E2096" s="1">
        <v>80.182297</v>
      </c>
      <c r="F2096" s="1">
        <v>3143.0</v>
      </c>
      <c r="G2096" s="1">
        <v>19.0</v>
      </c>
    </row>
    <row r="2097">
      <c r="A2097" s="1" t="s">
        <v>8</v>
      </c>
      <c r="B2097" s="2">
        <v>44718.0</v>
      </c>
      <c r="C2097" s="3">
        <v>0.33438657407407407</v>
      </c>
      <c r="D2097" s="1">
        <v>12.971773</v>
      </c>
      <c r="E2097" s="1">
        <v>80.151236</v>
      </c>
      <c r="F2097" s="1">
        <v>2846.0</v>
      </c>
      <c r="G2097" s="1">
        <v>20.0</v>
      </c>
    </row>
    <row r="2098">
      <c r="A2098" s="1" t="s">
        <v>8</v>
      </c>
      <c r="B2098" s="2">
        <v>44718.0</v>
      </c>
      <c r="C2098" s="3">
        <v>0.3352893518518518</v>
      </c>
      <c r="D2098" s="1">
        <v>12.969391</v>
      </c>
      <c r="E2098" s="1">
        <v>80.150063</v>
      </c>
      <c r="F2098" s="1">
        <v>2846.0</v>
      </c>
      <c r="G2098" s="1">
        <v>41.0</v>
      </c>
    </row>
    <row r="2099">
      <c r="A2099" s="1" t="s">
        <v>8</v>
      </c>
      <c r="B2099" s="2">
        <v>44718.0</v>
      </c>
      <c r="C2099" s="3">
        <v>0.3353009259259259</v>
      </c>
      <c r="D2099" s="1">
        <v>12.968382</v>
      </c>
      <c r="E2099" s="1">
        <v>80.149587</v>
      </c>
      <c r="F2099" s="1">
        <v>2846.0</v>
      </c>
      <c r="G2099" s="1">
        <v>45.0</v>
      </c>
    </row>
    <row r="2100">
      <c r="A2100" s="1" t="s">
        <v>8</v>
      </c>
      <c r="B2100" s="2">
        <v>44718.0</v>
      </c>
      <c r="C2100" s="3">
        <v>0.33532407407407405</v>
      </c>
      <c r="D2100" s="1">
        <v>12.966516</v>
      </c>
      <c r="E2100" s="1">
        <v>80.148761</v>
      </c>
      <c r="F2100" s="1">
        <v>2846.0</v>
      </c>
      <c r="G2100" s="1">
        <v>40.0</v>
      </c>
    </row>
    <row r="2101">
      <c r="A2101" s="1" t="s">
        <v>7</v>
      </c>
      <c r="B2101" s="2">
        <v>44718.0</v>
      </c>
      <c r="C2101" s="3">
        <v>0.33565972222222223</v>
      </c>
      <c r="D2101" s="1">
        <v>12.79221</v>
      </c>
      <c r="E2101" s="1">
        <v>80.018209</v>
      </c>
      <c r="F2101" s="1">
        <v>805.0</v>
      </c>
      <c r="G2101" s="1">
        <v>51.0</v>
      </c>
    </row>
    <row r="2102">
      <c r="A2102" s="1" t="s">
        <v>8</v>
      </c>
      <c r="B2102" s="2">
        <v>44718.0</v>
      </c>
      <c r="C2102" s="3">
        <v>0.3357060185185185</v>
      </c>
      <c r="D2102" s="1">
        <v>12.961659</v>
      </c>
      <c r="E2102" s="1">
        <v>80.146195</v>
      </c>
      <c r="F2102" s="1">
        <v>2846.0</v>
      </c>
      <c r="G2102" s="1">
        <v>20.0</v>
      </c>
    </row>
    <row r="2103">
      <c r="A2103" s="1" t="s">
        <v>7</v>
      </c>
      <c r="B2103" s="2">
        <v>44718.0</v>
      </c>
      <c r="C2103" s="3">
        <v>0.33586805555555554</v>
      </c>
      <c r="D2103" s="1">
        <v>12.793331</v>
      </c>
      <c r="E2103" s="1">
        <v>80.018943</v>
      </c>
      <c r="F2103" s="1">
        <v>805.0</v>
      </c>
      <c r="G2103" s="1">
        <v>53.0</v>
      </c>
    </row>
    <row r="2104">
      <c r="A2104" s="1" t="s">
        <v>8</v>
      </c>
      <c r="B2104" s="2">
        <v>44718.0</v>
      </c>
      <c r="C2104" s="3">
        <v>0.3360532407407407</v>
      </c>
      <c r="D2104" s="1">
        <v>12.795998</v>
      </c>
      <c r="E2104" s="1">
        <v>80.020609</v>
      </c>
      <c r="F2104" s="1">
        <v>805.0</v>
      </c>
      <c r="G2104" s="1">
        <v>30.0</v>
      </c>
    </row>
    <row r="2105">
      <c r="A2105" s="1" t="s">
        <v>8</v>
      </c>
      <c r="B2105" s="2">
        <v>44718.0</v>
      </c>
      <c r="C2105" s="3">
        <v>0.3361458333333333</v>
      </c>
      <c r="D2105" s="1">
        <v>12.958405</v>
      </c>
      <c r="E2105" s="1">
        <v>80.144383</v>
      </c>
      <c r="F2105" s="1">
        <v>2846.0</v>
      </c>
      <c r="G2105" s="1">
        <v>46.0</v>
      </c>
    </row>
    <row r="2106">
      <c r="A2106" s="1" t="s">
        <v>7</v>
      </c>
      <c r="B2106" s="2">
        <v>44718.0</v>
      </c>
      <c r="C2106" s="3">
        <v>0.3362037037037037</v>
      </c>
      <c r="D2106" s="1">
        <v>12.796802</v>
      </c>
      <c r="E2106" s="1">
        <v>80.021129</v>
      </c>
      <c r="F2106" s="1">
        <v>805.0</v>
      </c>
      <c r="G2106" s="1">
        <v>41.0</v>
      </c>
    </row>
    <row r="2107">
      <c r="A2107" s="1" t="s">
        <v>8</v>
      </c>
      <c r="B2107" s="2">
        <v>44718.0</v>
      </c>
      <c r="C2107" s="3">
        <v>0.3366550925925926</v>
      </c>
      <c r="D2107" s="1">
        <v>12.800078</v>
      </c>
      <c r="E2107" s="1">
        <v>80.023336</v>
      </c>
      <c r="F2107" s="1">
        <v>805.0</v>
      </c>
      <c r="G2107" s="1">
        <v>58.0</v>
      </c>
    </row>
    <row r="2108">
      <c r="A2108" s="1" t="s">
        <v>7</v>
      </c>
      <c r="B2108" s="2">
        <v>44718.0</v>
      </c>
      <c r="C2108" s="3">
        <v>0.3370949074074074</v>
      </c>
      <c r="D2108" s="1">
        <v>12.802527</v>
      </c>
      <c r="E2108" s="1">
        <v>80.024966</v>
      </c>
      <c r="F2108" s="1">
        <v>805.0</v>
      </c>
      <c r="G2108" s="1">
        <v>58.0</v>
      </c>
    </row>
    <row r="2109">
      <c r="A2109" s="1" t="s">
        <v>7</v>
      </c>
      <c r="B2109" s="2">
        <v>44718.0</v>
      </c>
      <c r="C2109" s="3">
        <v>0.33717592592592593</v>
      </c>
      <c r="D2109" s="1">
        <v>12.802527</v>
      </c>
      <c r="E2109" s="1">
        <v>80.024966</v>
      </c>
      <c r="F2109" s="1">
        <v>805.0</v>
      </c>
      <c r="G2109" s="1">
        <v>58.0</v>
      </c>
    </row>
    <row r="2110">
      <c r="A2110" s="1" t="s">
        <v>7</v>
      </c>
      <c r="B2110" s="2">
        <v>44718.0</v>
      </c>
      <c r="C2110" s="3">
        <v>0.3375</v>
      </c>
      <c r="D2110" s="1">
        <v>12.807419</v>
      </c>
      <c r="E2110" s="1">
        <v>80.028159</v>
      </c>
      <c r="F2110" s="1">
        <v>805.0</v>
      </c>
      <c r="G2110" s="1">
        <v>53.0</v>
      </c>
    </row>
    <row r="2111">
      <c r="A2111" s="1" t="s">
        <v>7</v>
      </c>
      <c r="B2111" s="2">
        <v>44718.0</v>
      </c>
      <c r="C2111" s="3">
        <v>0.33814814814814814</v>
      </c>
      <c r="D2111" s="1">
        <v>12.823448</v>
      </c>
      <c r="E2111" s="1">
        <v>80.03906</v>
      </c>
      <c r="F2111" s="1">
        <v>805.0</v>
      </c>
      <c r="G2111" s="1">
        <v>58.0</v>
      </c>
    </row>
    <row r="2112">
      <c r="A2112" s="1" t="s">
        <v>8</v>
      </c>
      <c r="B2112" s="2">
        <v>44718.0</v>
      </c>
      <c r="C2112" s="3">
        <v>0.33849537037037036</v>
      </c>
      <c r="D2112" s="1">
        <v>12.919687</v>
      </c>
      <c r="E2112" s="1">
        <v>80.181914</v>
      </c>
      <c r="F2112" s="1">
        <v>3143.0</v>
      </c>
      <c r="G2112" s="1">
        <v>42.0</v>
      </c>
    </row>
    <row r="2113">
      <c r="A2113" s="1" t="s">
        <v>8</v>
      </c>
      <c r="B2113" s="2">
        <v>44718.0</v>
      </c>
      <c r="C2113" s="3">
        <v>0.3385763888888889</v>
      </c>
      <c r="D2113" s="1">
        <v>12.82697</v>
      </c>
      <c r="E2113" s="1">
        <v>80.041716</v>
      </c>
      <c r="F2113" s="1">
        <v>805.0</v>
      </c>
      <c r="G2113" s="1">
        <v>58.0</v>
      </c>
    </row>
    <row r="2114">
      <c r="A2114" s="1" t="s">
        <v>7</v>
      </c>
      <c r="B2114" s="2">
        <v>44718.0</v>
      </c>
      <c r="C2114" s="3">
        <v>0.33881944444444445</v>
      </c>
      <c r="D2114" s="1">
        <v>12.829</v>
      </c>
      <c r="E2114" s="1">
        <v>80.043877</v>
      </c>
      <c r="F2114" s="1">
        <v>805.0</v>
      </c>
      <c r="G2114" s="1">
        <v>58.0</v>
      </c>
    </row>
    <row r="2115">
      <c r="A2115" s="1" t="s">
        <v>8</v>
      </c>
      <c r="B2115" s="2">
        <v>44718.0</v>
      </c>
      <c r="C2115" s="3">
        <v>0.3391087962962963</v>
      </c>
      <c r="D2115" s="1">
        <v>12.918364</v>
      </c>
      <c r="E2115" s="1">
        <v>80.17666</v>
      </c>
      <c r="F2115" s="1">
        <v>3143.0</v>
      </c>
      <c r="G2115" s="1">
        <v>49.0</v>
      </c>
    </row>
    <row r="2116">
      <c r="A2116" s="1" t="s">
        <v>8</v>
      </c>
      <c r="B2116" s="2">
        <v>44718.0</v>
      </c>
      <c r="C2116" s="3">
        <v>0.33916666666666667</v>
      </c>
      <c r="D2116" s="1">
        <v>12.945053</v>
      </c>
      <c r="E2116" s="1">
        <v>80.135439</v>
      </c>
      <c r="F2116" s="1">
        <v>2846.0</v>
      </c>
      <c r="G2116" s="1">
        <v>48.0</v>
      </c>
    </row>
    <row r="2117">
      <c r="A2117" s="1" t="s">
        <v>8</v>
      </c>
      <c r="B2117" s="2">
        <v>44718.0</v>
      </c>
      <c r="C2117" s="3">
        <v>0.33956018518518516</v>
      </c>
      <c r="D2117" s="1">
        <v>12.919326</v>
      </c>
      <c r="E2117" s="1">
        <v>80.172789</v>
      </c>
      <c r="F2117" s="1">
        <v>3143.0</v>
      </c>
      <c r="G2117" s="1">
        <v>53.0</v>
      </c>
    </row>
    <row r="2118">
      <c r="A2118" s="1" t="s">
        <v>8</v>
      </c>
      <c r="B2118" s="2">
        <v>44718.0</v>
      </c>
      <c r="C2118" s="3">
        <v>0.33966435185185184</v>
      </c>
      <c r="D2118" s="1">
        <v>12.834463</v>
      </c>
      <c r="E2118" s="1">
        <v>80.049679</v>
      </c>
      <c r="F2118" s="1">
        <v>805.0</v>
      </c>
      <c r="G2118" s="1">
        <v>25.0</v>
      </c>
    </row>
    <row r="2119">
      <c r="A2119" s="1" t="s">
        <v>8</v>
      </c>
      <c r="B2119" s="2">
        <v>44718.0</v>
      </c>
      <c r="C2119" s="3">
        <v>0.3398263888888889</v>
      </c>
      <c r="D2119" s="1">
        <v>12.919656</v>
      </c>
      <c r="E2119" s="1">
        <v>80.171456</v>
      </c>
      <c r="F2119" s="1">
        <v>3143.0</v>
      </c>
      <c r="G2119" s="1">
        <v>41.0</v>
      </c>
    </row>
    <row r="2120">
      <c r="A2120" s="1" t="s">
        <v>8</v>
      </c>
      <c r="B2120" s="2">
        <v>44718.0</v>
      </c>
      <c r="C2120" s="3">
        <v>0.3398726851851852</v>
      </c>
      <c r="D2120" s="1">
        <v>12.942698</v>
      </c>
      <c r="E2120" s="1">
        <v>80.133381</v>
      </c>
      <c r="F2120" s="1">
        <v>2846.0</v>
      </c>
      <c r="G2120" s="1">
        <v>0.0</v>
      </c>
    </row>
    <row r="2121">
      <c r="A2121" s="1" t="s">
        <v>7</v>
      </c>
      <c r="B2121" s="2">
        <v>44718.0</v>
      </c>
      <c r="C2121" s="3">
        <v>0.34</v>
      </c>
      <c r="D2121" s="1">
        <v>12.835854</v>
      </c>
      <c r="E2121" s="1">
        <v>80.051101</v>
      </c>
      <c r="F2121" s="1">
        <v>805.0</v>
      </c>
      <c r="G2121" s="1">
        <v>46.0</v>
      </c>
    </row>
    <row r="2122">
      <c r="A2122" s="1" t="s">
        <v>8</v>
      </c>
      <c r="B2122" s="2">
        <v>44718.0</v>
      </c>
      <c r="C2122" s="3">
        <v>0.34010416666666665</v>
      </c>
      <c r="D2122" s="1">
        <v>12.835854</v>
      </c>
      <c r="E2122" s="1">
        <v>80.051101</v>
      </c>
      <c r="F2122" s="1">
        <v>805.0</v>
      </c>
      <c r="G2122" s="1">
        <v>46.0</v>
      </c>
    </row>
    <row r="2123">
      <c r="A2123" s="1" t="s">
        <v>8</v>
      </c>
      <c r="B2123" s="2">
        <v>44718.0</v>
      </c>
      <c r="C2123" s="3">
        <v>0.34012731481481484</v>
      </c>
      <c r="D2123" s="1">
        <v>12.920258</v>
      </c>
      <c r="E2123" s="1">
        <v>80.16944</v>
      </c>
      <c r="F2123" s="1">
        <v>3143.0</v>
      </c>
      <c r="G2123" s="1">
        <v>40.0</v>
      </c>
    </row>
    <row r="2124">
      <c r="A2124" s="1" t="s">
        <v>8</v>
      </c>
      <c r="B2124" s="2">
        <v>44718.0</v>
      </c>
      <c r="C2124" s="3">
        <v>0.340150462962963</v>
      </c>
      <c r="D2124" s="1">
        <v>12.920258</v>
      </c>
      <c r="E2124" s="1">
        <v>80.16944</v>
      </c>
      <c r="F2124" s="1">
        <v>3143.0</v>
      </c>
      <c r="G2124" s="1">
        <v>40.0</v>
      </c>
    </row>
    <row r="2125">
      <c r="A2125" s="1" t="s">
        <v>8</v>
      </c>
      <c r="B2125" s="2">
        <v>44718.0</v>
      </c>
      <c r="C2125" s="3">
        <v>0.340150462962963</v>
      </c>
      <c r="D2125" s="1">
        <v>12.94258</v>
      </c>
      <c r="E2125" s="1">
        <v>80.13327</v>
      </c>
      <c r="F2125" s="1">
        <v>2846.0</v>
      </c>
      <c r="G2125" s="1">
        <v>10.0</v>
      </c>
    </row>
    <row r="2126">
      <c r="A2126" s="1" t="s">
        <v>8</v>
      </c>
      <c r="B2126" s="2">
        <v>44718.0</v>
      </c>
      <c r="C2126" s="3">
        <v>0.3403587962962963</v>
      </c>
      <c r="D2126" s="1">
        <v>12.942425</v>
      </c>
      <c r="E2126" s="1">
        <v>80.133112</v>
      </c>
      <c r="F2126" s="1">
        <v>2846.0</v>
      </c>
      <c r="G2126" s="1">
        <v>16.0</v>
      </c>
    </row>
    <row r="2127">
      <c r="A2127" s="1" t="s">
        <v>8</v>
      </c>
      <c r="B2127" s="2">
        <v>44718.0</v>
      </c>
      <c r="C2127" s="3">
        <v>0.34042824074074074</v>
      </c>
      <c r="D2127" s="1">
        <v>12.942425</v>
      </c>
      <c r="E2127" s="1">
        <v>80.133112</v>
      </c>
      <c r="F2127" s="1">
        <v>2846.0</v>
      </c>
      <c r="G2127" s="1">
        <v>16.0</v>
      </c>
    </row>
    <row r="2128">
      <c r="A2128" s="1" t="s">
        <v>8</v>
      </c>
      <c r="B2128" s="2">
        <v>44718.0</v>
      </c>
      <c r="C2128" s="3">
        <v>0.34055555555555556</v>
      </c>
      <c r="D2128" s="1">
        <v>12.838804</v>
      </c>
      <c r="E2128" s="1">
        <v>80.054142</v>
      </c>
      <c r="F2128" s="1">
        <v>805.0</v>
      </c>
      <c r="G2128" s="1">
        <v>58.0</v>
      </c>
    </row>
    <row r="2129">
      <c r="A2129" s="1" t="s">
        <v>8</v>
      </c>
      <c r="B2129" s="2">
        <v>44718.0</v>
      </c>
      <c r="C2129" s="3">
        <v>0.3409027777777778</v>
      </c>
      <c r="D2129" s="1">
        <v>12.939653</v>
      </c>
      <c r="E2129" s="1">
        <v>80.130268</v>
      </c>
      <c r="F2129" s="1">
        <v>2846.0</v>
      </c>
      <c r="G2129" s="1">
        <v>42.0</v>
      </c>
    </row>
    <row r="2130">
      <c r="A2130" s="1" t="s">
        <v>8</v>
      </c>
      <c r="B2130" s="2">
        <v>44718.0</v>
      </c>
      <c r="C2130" s="3">
        <v>0.34097222222222223</v>
      </c>
      <c r="D2130" s="1">
        <v>12.938857</v>
      </c>
      <c r="E2130" s="1">
        <v>80.129551</v>
      </c>
      <c r="F2130" s="1">
        <v>2846.0</v>
      </c>
      <c r="G2130" s="1">
        <v>44.0</v>
      </c>
    </row>
    <row r="2131">
      <c r="A2131" s="1" t="s">
        <v>8</v>
      </c>
      <c r="B2131" s="2">
        <v>44718.0</v>
      </c>
      <c r="C2131" s="3">
        <v>0.3410416666666667</v>
      </c>
      <c r="D2131" s="1">
        <v>12.93734</v>
      </c>
      <c r="E2131" s="1">
        <v>80.128242</v>
      </c>
      <c r="F2131" s="1">
        <v>2846.0</v>
      </c>
      <c r="G2131" s="1">
        <v>14.0</v>
      </c>
    </row>
    <row r="2132">
      <c r="A2132" s="1" t="s">
        <v>8</v>
      </c>
      <c r="B2132" s="2">
        <v>44718.0</v>
      </c>
      <c r="C2132" s="3">
        <v>0.34125</v>
      </c>
      <c r="D2132" s="1">
        <v>12.9232</v>
      </c>
      <c r="E2132" s="1">
        <v>80.160065</v>
      </c>
      <c r="F2132" s="1">
        <v>3143.0</v>
      </c>
      <c r="G2132" s="1">
        <v>32.0</v>
      </c>
    </row>
    <row r="2133">
      <c r="A2133" s="1" t="s">
        <v>8</v>
      </c>
      <c r="B2133" s="2">
        <v>44718.0</v>
      </c>
      <c r="C2133" s="3">
        <v>0.34149305555555554</v>
      </c>
      <c r="D2133" s="1">
        <v>12.844723</v>
      </c>
      <c r="E2133" s="1">
        <v>80.060398</v>
      </c>
      <c r="F2133" s="1">
        <v>805.0</v>
      </c>
      <c r="G2133" s="1">
        <v>17.0</v>
      </c>
    </row>
    <row r="2134">
      <c r="A2134" s="1" t="s">
        <v>8</v>
      </c>
      <c r="B2134" s="2">
        <v>44718.0</v>
      </c>
      <c r="C2134" s="3">
        <v>0.34153935185185186</v>
      </c>
      <c r="D2134" s="1">
        <v>12.845166</v>
      </c>
      <c r="E2134" s="1">
        <v>80.06078</v>
      </c>
      <c r="F2134" s="1">
        <v>805.0</v>
      </c>
      <c r="G2134" s="1">
        <v>26.0</v>
      </c>
    </row>
    <row r="2135">
      <c r="A2135" s="1" t="s">
        <v>7</v>
      </c>
      <c r="B2135" s="2">
        <v>44718.0</v>
      </c>
      <c r="C2135" s="3">
        <v>0.3418981481481482</v>
      </c>
      <c r="D2135" s="1">
        <v>12.930144</v>
      </c>
      <c r="E2135" s="1">
        <v>80.121418</v>
      </c>
      <c r="F2135" s="1">
        <v>2846.0</v>
      </c>
      <c r="G2135" s="1">
        <v>51.0</v>
      </c>
    </row>
    <row r="2136">
      <c r="A2136" s="1" t="s">
        <v>8</v>
      </c>
      <c r="B2136" s="2">
        <v>44718.0</v>
      </c>
      <c r="C2136" s="3">
        <v>0.34215277777777775</v>
      </c>
      <c r="D2136" s="1">
        <v>12.846441</v>
      </c>
      <c r="E2136" s="1">
        <v>80.061947</v>
      </c>
      <c r="F2136" s="1">
        <v>805.0</v>
      </c>
      <c r="G2136" s="1">
        <v>26.0</v>
      </c>
    </row>
    <row r="2137">
      <c r="A2137" s="1" t="s">
        <v>8</v>
      </c>
      <c r="B2137" s="2">
        <v>44718.0</v>
      </c>
      <c r="C2137" s="3">
        <v>0.3422453703703704</v>
      </c>
      <c r="D2137" s="1">
        <v>12.927287</v>
      </c>
      <c r="E2137" s="1">
        <v>80.118497</v>
      </c>
      <c r="F2137" s="1">
        <v>2846.0</v>
      </c>
      <c r="G2137" s="1">
        <v>43.0</v>
      </c>
    </row>
    <row r="2138">
      <c r="A2138" s="1" t="s">
        <v>8</v>
      </c>
      <c r="B2138" s="2">
        <v>44718.0</v>
      </c>
      <c r="C2138" s="3">
        <v>0.3422453703703704</v>
      </c>
      <c r="D2138" s="1">
        <v>12.847064</v>
      </c>
      <c r="E2138" s="1">
        <v>80.06247</v>
      </c>
      <c r="F2138" s="1">
        <v>805.0</v>
      </c>
      <c r="G2138" s="1">
        <v>33.0</v>
      </c>
    </row>
    <row r="2139">
      <c r="A2139" s="1" t="s">
        <v>8</v>
      </c>
      <c r="B2139" s="2">
        <v>44718.0</v>
      </c>
      <c r="C2139" s="3">
        <v>0.3424537037037037</v>
      </c>
      <c r="D2139" s="1">
        <v>12.848692</v>
      </c>
      <c r="E2139" s="1">
        <v>80.063671</v>
      </c>
      <c r="F2139" s="1">
        <v>805.0</v>
      </c>
      <c r="G2139" s="1">
        <v>48.0</v>
      </c>
    </row>
    <row r="2140">
      <c r="A2140" s="1" t="s">
        <v>8</v>
      </c>
      <c r="B2140" s="2">
        <v>44718.0</v>
      </c>
      <c r="C2140" s="3">
        <v>0.34251157407407407</v>
      </c>
      <c r="D2140" s="1">
        <v>12.848692</v>
      </c>
      <c r="E2140" s="1">
        <v>80.063671</v>
      </c>
      <c r="F2140" s="1">
        <v>805.0</v>
      </c>
      <c r="G2140" s="1">
        <v>48.0</v>
      </c>
    </row>
    <row r="2141">
      <c r="A2141" s="1" t="s">
        <v>8</v>
      </c>
      <c r="B2141" s="2">
        <v>44718.0</v>
      </c>
      <c r="C2141" s="3">
        <v>0.342662037037037</v>
      </c>
      <c r="D2141" s="1">
        <v>12.922673</v>
      </c>
      <c r="E2141" s="1">
        <v>80.151684</v>
      </c>
      <c r="F2141" s="1">
        <v>3143.0</v>
      </c>
      <c r="G2141" s="1">
        <v>28.0</v>
      </c>
    </row>
    <row r="2142">
      <c r="A2142" s="1" t="s">
        <v>8</v>
      </c>
      <c r="B2142" s="2">
        <v>44718.0</v>
      </c>
      <c r="C2142" s="3">
        <v>0.34278935185185183</v>
      </c>
      <c r="D2142" s="1">
        <v>12.922655</v>
      </c>
      <c r="E2142" s="1">
        <v>80.150748</v>
      </c>
      <c r="F2142" s="1">
        <v>3143.0</v>
      </c>
      <c r="G2142" s="1">
        <v>43.0</v>
      </c>
    </row>
    <row r="2143">
      <c r="A2143" s="1" t="s">
        <v>8</v>
      </c>
      <c r="B2143" s="2">
        <v>44718.0</v>
      </c>
      <c r="C2143" s="3">
        <v>0.34336805555555555</v>
      </c>
      <c r="D2143" s="1">
        <v>12.851592</v>
      </c>
      <c r="E2143" s="1">
        <v>80.065775</v>
      </c>
      <c r="F2143" s="1">
        <v>805.0</v>
      </c>
      <c r="G2143" s="1">
        <v>16.0</v>
      </c>
    </row>
    <row r="2144">
      <c r="A2144" s="1" t="s">
        <v>7</v>
      </c>
      <c r="B2144" s="2">
        <v>44718.0</v>
      </c>
      <c r="C2144" s="3">
        <v>0.3435648148148148</v>
      </c>
      <c r="D2144" s="1">
        <v>12.852082</v>
      </c>
      <c r="E2144" s="1">
        <v>80.066167</v>
      </c>
      <c r="F2144" s="1">
        <v>805.0</v>
      </c>
      <c r="G2144" s="1">
        <v>32.0</v>
      </c>
    </row>
    <row r="2145">
      <c r="A2145" s="1" t="s">
        <v>8</v>
      </c>
      <c r="B2145" s="2">
        <v>44718.0</v>
      </c>
      <c r="C2145" s="3">
        <v>0.3437847222222222</v>
      </c>
      <c r="D2145" s="1">
        <v>12.853999</v>
      </c>
      <c r="E2145" s="1">
        <v>80.067574</v>
      </c>
      <c r="F2145" s="1">
        <v>805.0</v>
      </c>
      <c r="G2145" s="1">
        <v>49.0</v>
      </c>
    </row>
    <row r="2146">
      <c r="A2146" s="1" t="s">
        <v>8</v>
      </c>
      <c r="B2146" s="2">
        <v>44718.0</v>
      </c>
      <c r="C2146" s="3">
        <v>0.34392361111111114</v>
      </c>
      <c r="D2146" s="1">
        <v>12.853999</v>
      </c>
      <c r="E2146" s="1">
        <v>80.067574</v>
      </c>
      <c r="F2146" s="1">
        <v>805.0</v>
      </c>
      <c r="G2146" s="1">
        <v>49.0</v>
      </c>
    </row>
    <row r="2147">
      <c r="A2147" s="1" t="s">
        <v>8</v>
      </c>
      <c r="B2147" s="2">
        <v>44718.0</v>
      </c>
      <c r="C2147" s="3">
        <v>0.3444212962962963</v>
      </c>
      <c r="D2147" s="1">
        <v>12.859125</v>
      </c>
      <c r="E2147" s="1">
        <v>80.071468</v>
      </c>
      <c r="F2147" s="1">
        <v>805.0</v>
      </c>
      <c r="G2147" s="1">
        <v>34.0</v>
      </c>
    </row>
    <row r="2148">
      <c r="A2148" s="1" t="s">
        <v>7</v>
      </c>
      <c r="B2148" s="2">
        <v>44718.0</v>
      </c>
      <c r="C2148" s="3">
        <v>0.3444212962962963</v>
      </c>
      <c r="D2148" s="1">
        <v>12.925575</v>
      </c>
      <c r="E2148" s="1">
        <v>80.116775</v>
      </c>
      <c r="F2148" s="1">
        <v>2846.0</v>
      </c>
      <c r="G2148" s="1">
        <v>37.0</v>
      </c>
    </row>
    <row r="2149">
      <c r="A2149" s="1" t="s">
        <v>7</v>
      </c>
      <c r="B2149" s="2">
        <v>44718.0</v>
      </c>
      <c r="C2149" s="3">
        <v>0.34465277777777775</v>
      </c>
      <c r="D2149" s="1">
        <v>12.924782</v>
      </c>
      <c r="E2149" s="1">
        <v>80.115989</v>
      </c>
      <c r="F2149" s="1">
        <v>2846.0</v>
      </c>
      <c r="G2149" s="1">
        <v>49.0</v>
      </c>
    </row>
    <row r="2150">
      <c r="A2150" s="1" t="s">
        <v>7</v>
      </c>
      <c r="B2150" s="2">
        <v>44718.0</v>
      </c>
      <c r="C2150" s="3">
        <v>0.34534722222222225</v>
      </c>
      <c r="D2150" s="1">
        <v>12.866446</v>
      </c>
      <c r="E2150" s="1">
        <v>80.075049</v>
      </c>
      <c r="F2150" s="1">
        <v>805.0</v>
      </c>
      <c r="G2150" s="1">
        <v>54.0</v>
      </c>
    </row>
    <row r="2151">
      <c r="A2151" s="1" t="s">
        <v>7</v>
      </c>
      <c r="B2151" s="2">
        <v>44718.0</v>
      </c>
      <c r="C2151" s="3">
        <v>0.3457175925925926</v>
      </c>
      <c r="D2151" s="1">
        <v>12.869836</v>
      </c>
      <c r="E2151" s="1">
        <v>80.076396</v>
      </c>
      <c r="F2151" s="1">
        <v>805.0</v>
      </c>
      <c r="G2151" s="1">
        <v>41.0</v>
      </c>
    </row>
    <row r="2152">
      <c r="A2152" s="1" t="s">
        <v>8</v>
      </c>
      <c r="B2152" s="2">
        <v>44718.0</v>
      </c>
      <c r="C2152" s="3">
        <v>0.34576388888888887</v>
      </c>
      <c r="D2152" s="1">
        <v>12.922506</v>
      </c>
      <c r="E2152" s="1">
        <v>80.136795</v>
      </c>
      <c r="F2152" s="1">
        <v>3143.0</v>
      </c>
      <c r="G2152" s="1">
        <v>21.0</v>
      </c>
    </row>
    <row r="2153">
      <c r="A2153" s="1" t="s">
        <v>8</v>
      </c>
      <c r="B2153" s="2">
        <v>44718.0</v>
      </c>
      <c r="C2153" s="3">
        <v>0.34577546296296297</v>
      </c>
      <c r="D2153" s="1">
        <v>12.922506</v>
      </c>
      <c r="E2153" s="1">
        <v>80.136795</v>
      </c>
      <c r="F2153" s="1">
        <v>3143.0</v>
      </c>
      <c r="G2153" s="1">
        <v>21.0</v>
      </c>
    </row>
    <row r="2154">
      <c r="A2154" s="1" t="s">
        <v>8</v>
      </c>
      <c r="B2154" s="2">
        <v>44718.0</v>
      </c>
      <c r="C2154" s="3">
        <v>0.3458912037037037</v>
      </c>
      <c r="D2154" s="1">
        <v>12.871002</v>
      </c>
      <c r="E2154" s="1">
        <v>80.07683</v>
      </c>
      <c r="F2154" s="1">
        <v>805.0</v>
      </c>
      <c r="G2154" s="1">
        <v>52.0</v>
      </c>
    </row>
    <row r="2155">
      <c r="A2155" s="1" t="s">
        <v>8</v>
      </c>
      <c r="B2155" s="2">
        <v>44718.0</v>
      </c>
      <c r="C2155" s="3">
        <v>0.3459259259259259</v>
      </c>
      <c r="D2155" s="1">
        <v>12.872167</v>
      </c>
      <c r="E2155" s="1">
        <v>80.077283</v>
      </c>
      <c r="F2155" s="1">
        <v>805.0</v>
      </c>
      <c r="G2155" s="1">
        <v>45.0</v>
      </c>
    </row>
    <row r="2156">
      <c r="A2156" s="1" t="s">
        <v>8</v>
      </c>
      <c r="B2156" s="2">
        <v>44718.0</v>
      </c>
      <c r="C2156" s="3">
        <v>0.34597222222222224</v>
      </c>
      <c r="D2156" s="1">
        <v>12.872167</v>
      </c>
      <c r="E2156" s="1">
        <v>80.077283</v>
      </c>
      <c r="F2156" s="1">
        <v>805.0</v>
      </c>
      <c r="G2156" s="1">
        <v>45.0</v>
      </c>
    </row>
    <row r="2157">
      <c r="A2157" s="1" t="s">
        <v>8</v>
      </c>
      <c r="B2157" s="2">
        <v>44718.0</v>
      </c>
      <c r="C2157" s="3">
        <v>0.3476388888888889</v>
      </c>
      <c r="D2157" s="1">
        <v>12.878252</v>
      </c>
      <c r="E2157" s="1">
        <v>80.082801</v>
      </c>
      <c r="F2157" s="1">
        <v>805.0</v>
      </c>
      <c r="G2157" s="1">
        <v>37.0</v>
      </c>
    </row>
    <row r="2158">
      <c r="A2158" s="1" t="s">
        <v>10</v>
      </c>
      <c r="B2158" s="2">
        <v>44718.0</v>
      </c>
      <c r="C2158" s="3">
        <v>0.34806712962962966</v>
      </c>
      <c r="D2158" s="1">
        <v>12.877452</v>
      </c>
      <c r="E2158" s="1">
        <v>80.084734</v>
      </c>
      <c r="F2158" s="1">
        <v>805.0</v>
      </c>
      <c r="G2158" s="1">
        <v>12.0</v>
      </c>
    </row>
    <row r="2159">
      <c r="A2159" s="1" t="s">
        <v>8</v>
      </c>
      <c r="B2159" s="2">
        <v>44718.0</v>
      </c>
      <c r="C2159" s="3">
        <v>0.3482060185185185</v>
      </c>
      <c r="D2159" s="1">
        <v>12.922868</v>
      </c>
      <c r="E2159" s="1">
        <v>80.127332</v>
      </c>
      <c r="F2159" s="1">
        <v>3143.0</v>
      </c>
      <c r="G2159" s="1">
        <v>9.0</v>
      </c>
    </row>
    <row r="2160">
      <c r="A2160" s="1" t="s">
        <v>8</v>
      </c>
      <c r="B2160" s="2">
        <v>44718.0</v>
      </c>
      <c r="C2160" s="3">
        <v>0.34827546296296297</v>
      </c>
      <c r="D2160" s="1">
        <v>12.922889</v>
      </c>
      <c r="E2160" s="1">
        <v>80.126882</v>
      </c>
      <c r="F2160" s="1">
        <v>3143.0</v>
      </c>
      <c r="G2160" s="1">
        <v>24.0</v>
      </c>
    </row>
    <row r="2161">
      <c r="A2161" s="1" t="s">
        <v>8</v>
      </c>
      <c r="B2161" s="2">
        <v>44718.0</v>
      </c>
      <c r="C2161" s="3">
        <v>0.34844907407407405</v>
      </c>
      <c r="D2161" s="1">
        <v>12.913708</v>
      </c>
      <c r="E2161" s="1">
        <v>80.101766</v>
      </c>
      <c r="F2161" s="1">
        <v>2846.0</v>
      </c>
      <c r="G2161" s="1">
        <v>23.0</v>
      </c>
    </row>
    <row r="2162">
      <c r="A2162" s="1" t="s">
        <v>8</v>
      </c>
      <c r="B2162" s="2">
        <v>44718.0</v>
      </c>
      <c r="C2162" s="3">
        <v>0.3485300925925926</v>
      </c>
      <c r="D2162" s="1">
        <v>12.912003</v>
      </c>
      <c r="E2162" s="1">
        <v>80.101445</v>
      </c>
      <c r="F2162" s="1">
        <v>2846.0</v>
      </c>
      <c r="G2162" s="1">
        <v>36.0</v>
      </c>
    </row>
    <row r="2163">
      <c r="A2163" s="1" t="s">
        <v>10</v>
      </c>
      <c r="B2163" s="2">
        <v>44718.0</v>
      </c>
      <c r="C2163" s="3">
        <v>0.34858796296296296</v>
      </c>
      <c r="D2163" s="1">
        <v>12.875828</v>
      </c>
      <c r="E2163" s="1">
        <v>80.083844</v>
      </c>
      <c r="F2163" s="1">
        <v>805.0</v>
      </c>
      <c r="G2163" s="1">
        <v>17.0</v>
      </c>
    </row>
    <row r="2164">
      <c r="A2164" s="1" t="s">
        <v>8</v>
      </c>
      <c r="B2164" s="2">
        <v>44718.0</v>
      </c>
      <c r="C2164" s="3">
        <v>0.3486574074074074</v>
      </c>
      <c r="D2164" s="1">
        <v>12.923094</v>
      </c>
      <c r="E2164" s="1">
        <v>80.123052</v>
      </c>
      <c r="F2164" s="1">
        <v>3143.0</v>
      </c>
      <c r="G2164" s="1">
        <v>52.0</v>
      </c>
    </row>
    <row r="2165">
      <c r="A2165" s="1" t="s">
        <v>9</v>
      </c>
      <c r="B2165" s="2">
        <v>44718.0</v>
      </c>
      <c r="C2165" s="3">
        <v>0.3488541666666667</v>
      </c>
      <c r="D2165" s="1">
        <v>12.923264</v>
      </c>
      <c r="E2165" s="1">
        <v>80.120488</v>
      </c>
      <c r="F2165" s="1">
        <v>3143.0</v>
      </c>
      <c r="G2165" s="1">
        <v>34.0</v>
      </c>
    </row>
    <row r="2166">
      <c r="A2166" s="1" t="s">
        <v>7</v>
      </c>
      <c r="B2166" s="2">
        <v>44718.0</v>
      </c>
      <c r="C2166" s="3">
        <v>0.3515509259259259</v>
      </c>
      <c r="D2166" s="1">
        <v>12.90171</v>
      </c>
      <c r="E2166" s="1">
        <v>80.09282</v>
      </c>
      <c r="F2166" s="1">
        <v>2846.0</v>
      </c>
      <c r="G2166" s="1">
        <v>39.0</v>
      </c>
    </row>
    <row r="2167">
      <c r="A2167" s="1" t="s">
        <v>8</v>
      </c>
      <c r="B2167" s="2">
        <v>44718.0</v>
      </c>
      <c r="C2167" s="3">
        <v>0.35283564814814816</v>
      </c>
      <c r="D2167" s="1">
        <v>12.892278</v>
      </c>
      <c r="E2167" s="1">
        <v>80.085732</v>
      </c>
      <c r="F2167" s="1">
        <v>2846.0</v>
      </c>
      <c r="G2167" s="1">
        <v>43.0</v>
      </c>
    </row>
    <row r="2168">
      <c r="A2168" s="1" t="s">
        <v>7</v>
      </c>
      <c r="B2168" s="2">
        <v>44718.0</v>
      </c>
      <c r="C2168" s="3">
        <v>0.352974537037037</v>
      </c>
      <c r="D2168" s="1">
        <v>12.891275</v>
      </c>
      <c r="E2168" s="1">
        <v>80.085162</v>
      </c>
      <c r="F2168" s="1">
        <v>2846.0</v>
      </c>
      <c r="G2168" s="1">
        <v>47.0</v>
      </c>
    </row>
    <row r="2169">
      <c r="A2169" s="1" t="s">
        <v>8</v>
      </c>
      <c r="B2169" s="2">
        <v>44718.0</v>
      </c>
      <c r="C2169" s="3">
        <v>0.35305555555555557</v>
      </c>
      <c r="D2169" s="1">
        <v>12.890135</v>
      </c>
      <c r="E2169" s="1">
        <v>80.084662</v>
      </c>
      <c r="F2169" s="1">
        <v>2846.0</v>
      </c>
      <c r="G2169" s="1">
        <v>51.0</v>
      </c>
    </row>
    <row r="2170">
      <c r="A2170" s="1" t="s">
        <v>7</v>
      </c>
      <c r="B2170" s="2">
        <v>44718.0</v>
      </c>
      <c r="C2170" s="3">
        <v>0.35356481481481483</v>
      </c>
      <c r="D2170" s="1">
        <v>12.922209</v>
      </c>
      <c r="E2170" s="1">
        <v>80.113593</v>
      </c>
      <c r="F2170" s="1">
        <v>3143.0</v>
      </c>
      <c r="G2170" s="1">
        <v>32.0</v>
      </c>
    </row>
    <row r="2171">
      <c r="A2171" s="1" t="s">
        <v>7</v>
      </c>
      <c r="B2171" s="2">
        <v>44718.0</v>
      </c>
      <c r="C2171" s="3">
        <v>0.35359953703703706</v>
      </c>
      <c r="D2171" s="1">
        <v>12.922209</v>
      </c>
      <c r="E2171" s="1">
        <v>80.113593</v>
      </c>
      <c r="F2171" s="1">
        <v>3143.0</v>
      </c>
      <c r="G2171" s="1">
        <v>32.0</v>
      </c>
    </row>
    <row r="2172">
      <c r="A2172" s="1" t="s">
        <v>7</v>
      </c>
      <c r="B2172" s="2">
        <v>44718.0</v>
      </c>
      <c r="C2172" s="3">
        <v>0.3549074074074074</v>
      </c>
      <c r="D2172" s="1">
        <v>12.913978</v>
      </c>
      <c r="E2172" s="1">
        <v>80.102003</v>
      </c>
      <c r="F2172" s="1">
        <v>3143.0</v>
      </c>
      <c r="G2172" s="1">
        <v>57.0</v>
      </c>
    </row>
    <row r="2173">
      <c r="A2173" s="1" t="s">
        <v>8</v>
      </c>
      <c r="B2173" s="2">
        <v>44718.0</v>
      </c>
      <c r="C2173" s="3">
        <v>0.3562037037037037</v>
      </c>
      <c r="D2173" s="1">
        <v>12.909003</v>
      </c>
      <c r="E2173" s="1">
        <v>80.098753</v>
      </c>
      <c r="F2173" s="1">
        <v>3143.0</v>
      </c>
      <c r="G2173" s="1">
        <v>11.0</v>
      </c>
    </row>
    <row r="2174">
      <c r="A2174" s="1" t="s">
        <v>8</v>
      </c>
      <c r="B2174" s="2">
        <v>44718.0</v>
      </c>
      <c r="C2174" s="3">
        <v>0.3577199074074074</v>
      </c>
      <c r="D2174" s="1">
        <v>12.90691</v>
      </c>
      <c r="E2174" s="1">
        <v>80.096865</v>
      </c>
      <c r="F2174" s="1">
        <v>3143.0</v>
      </c>
      <c r="G2174" s="1">
        <v>12.0</v>
      </c>
    </row>
    <row r="2175">
      <c r="A2175" s="1" t="s">
        <v>8</v>
      </c>
      <c r="B2175" s="2">
        <v>44718.0</v>
      </c>
      <c r="C2175" s="3">
        <v>0.35810185185185184</v>
      </c>
      <c r="D2175" s="1">
        <v>12.90525</v>
      </c>
      <c r="E2175" s="1">
        <v>80.095608</v>
      </c>
      <c r="F2175" s="1">
        <v>3143.0</v>
      </c>
      <c r="G2175" s="1">
        <v>13.0</v>
      </c>
    </row>
    <row r="2176">
      <c r="A2176" s="1" t="s">
        <v>8</v>
      </c>
      <c r="B2176" s="2">
        <v>44718.0</v>
      </c>
      <c r="C2176" s="3">
        <v>0.3581712962962963</v>
      </c>
      <c r="D2176" s="1">
        <v>12.903212</v>
      </c>
      <c r="E2176" s="1">
        <v>80.09397</v>
      </c>
      <c r="F2176" s="1">
        <v>3143.0</v>
      </c>
      <c r="G2176" s="1">
        <v>41.0</v>
      </c>
    </row>
    <row r="2177">
      <c r="A2177" s="1" t="s">
        <v>8</v>
      </c>
      <c r="B2177" s="2">
        <v>44718.0</v>
      </c>
      <c r="C2177" s="3">
        <v>0.3600347222222222</v>
      </c>
      <c r="D2177" s="1">
        <v>12.894792</v>
      </c>
      <c r="E2177" s="1">
        <v>80.087621</v>
      </c>
      <c r="F2177" s="1">
        <v>3143.0</v>
      </c>
      <c r="G2177" s="1">
        <v>39.0</v>
      </c>
    </row>
    <row r="2178">
      <c r="A2178" s="1" t="s">
        <v>8</v>
      </c>
      <c r="B2178" s="2">
        <v>44718.0</v>
      </c>
      <c r="C2178" s="3">
        <v>0.3654861111111111</v>
      </c>
      <c r="D2178" s="1">
        <v>12.879055</v>
      </c>
      <c r="E2178" s="1">
        <v>80.08045</v>
      </c>
      <c r="F2178" s="1">
        <v>3143.0</v>
      </c>
      <c r="G2178" s="1">
        <v>9.0</v>
      </c>
    </row>
    <row r="2179">
      <c r="A2179" s="1" t="s">
        <v>10</v>
      </c>
      <c r="B2179" s="2">
        <v>44718.0</v>
      </c>
      <c r="C2179" s="3">
        <v>0.5509027777777777</v>
      </c>
      <c r="D2179" s="1">
        <v>12.875707</v>
      </c>
      <c r="E2179" s="1">
        <v>80.083001</v>
      </c>
      <c r="F2179" s="1">
        <v>805.0</v>
      </c>
      <c r="G2179" s="1">
        <v>6.0</v>
      </c>
    </row>
    <row r="2180">
      <c r="A2180" s="1" t="s">
        <v>10</v>
      </c>
      <c r="B2180" s="2">
        <v>44718.0</v>
      </c>
      <c r="C2180" s="3">
        <v>0.5514930555555555</v>
      </c>
      <c r="D2180" s="1">
        <v>12.876118</v>
      </c>
      <c r="E2180" s="1">
        <v>80.083334</v>
      </c>
      <c r="F2180" s="1">
        <v>805.0</v>
      </c>
      <c r="G2180" s="1">
        <v>10.0</v>
      </c>
    </row>
    <row r="2181">
      <c r="A2181" s="1" t="s">
        <v>10</v>
      </c>
      <c r="B2181" s="2">
        <v>44718.0</v>
      </c>
      <c r="C2181" s="3">
        <v>0.5519444444444445</v>
      </c>
      <c r="D2181" s="1">
        <v>12.875548</v>
      </c>
      <c r="E2181" s="1">
        <v>80.084468</v>
      </c>
      <c r="F2181" s="1">
        <v>805.0</v>
      </c>
      <c r="G2181" s="1">
        <v>20.0</v>
      </c>
    </row>
    <row r="2182">
      <c r="A2182" s="1" t="s">
        <v>10</v>
      </c>
      <c r="B2182" s="2">
        <v>44718.0</v>
      </c>
      <c r="C2182" s="3">
        <v>0.5541087962962963</v>
      </c>
      <c r="D2182" s="1">
        <v>12.8754</v>
      </c>
      <c r="E2182" s="1">
        <v>80.084691</v>
      </c>
      <c r="F2182" s="1">
        <v>2846.0</v>
      </c>
      <c r="G2182" s="1">
        <v>6.0</v>
      </c>
    </row>
    <row r="2183">
      <c r="A2183" s="1" t="s">
        <v>10</v>
      </c>
      <c r="B2183" s="2">
        <v>44718.0</v>
      </c>
      <c r="C2183" s="3">
        <v>0.6557523148148148</v>
      </c>
      <c r="D2183" s="1">
        <v>12.873944</v>
      </c>
      <c r="E2183" s="1">
        <v>80.084847</v>
      </c>
      <c r="F2183" s="1">
        <v>2846.0</v>
      </c>
      <c r="G2183" s="1">
        <v>0.0</v>
      </c>
    </row>
    <row r="2184">
      <c r="A2184" s="1" t="s">
        <v>10</v>
      </c>
      <c r="B2184" s="2">
        <v>44718.0</v>
      </c>
      <c r="C2184" s="3">
        <v>0.6560763888888889</v>
      </c>
      <c r="D2184" s="1">
        <v>12.874656</v>
      </c>
      <c r="E2184" s="1">
        <v>80.084418</v>
      </c>
      <c r="F2184" s="1">
        <v>2846.0</v>
      </c>
      <c r="G2184" s="1">
        <v>12.0</v>
      </c>
    </row>
    <row r="2185">
      <c r="A2185" s="1" t="s">
        <v>10</v>
      </c>
      <c r="B2185" s="2">
        <v>44718.0</v>
      </c>
      <c r="C2185" s="3">
        <v>0.6561805555555555</v>
      </c>
      <c r="D2185" s="1">
        <v>12.874989</v>
      </c>
      <c r="E2185" s="1">
        <v>80.084622</v>
      </c>
      <c r="F2185" s="1">
        <v>2846.0</v>
      </c>
      <c r="G2185" s="1">
        <v>14.0</v>
      </c>
    </row>
    <row r="2186">
      <c r="A2186" s="1" t="s">
        <v>7</v>
      </c>
      <c r="B2186" s="2">
        <v>44718.0</v>
      </c>
      <c r="C2186" s="3">
        <v>0.6916319444444444</v>
      </c>
      <c r="D2186" s="1">
        <v>12.878609</v>
      </c>
      <c r="E2186" s="1">
        <v>80.081398</v>
      </c>
      <c r="F2186" s="1">
        <v>805.0</v>
      </c>
      <c r="G2186" s="1">
        <v>0.0</v>
      </c>
    </row>
    <row r="2187">
      <c r="A2187" s="1" t="s">
        <v>7</v>
      </c>
      <c r="B2187" s="2">
        <v>44718.0</v>
      </c>
      <c r="C2187" s="3">
        <v>0.6916435185185185</v>
      </c>
      <c r="D2187" s="1">
        <v>12.878609</v>
      </c>
      <c r="E2187" s="1">
        <v>80.081398</v>
      </c>
      <c r="F2187" s="1">
        <v>805.0</v>
      </c>
      <c r="G2187" s="1">
        <v>0.0</v>
      </c>
    </row>
    <row r="2188">
      <c r="A2188" s="1" t="s">
        <v>7</v>
      </c>
      <c r="B2188" s="2">
        <v>44718.0</v>
      </c>
      <c r="C2188" s="3">
        <v>0.691875</v>
      </c>
      <c r="D2188" s="1">
        <v>12.878609</v>
      </c>
      <c r="E2188" s="1">
        <v>80.081398</v>
      </c>
      <c r="F2188" s="1">
        <v>805.0</v>
      </c>
      <c r="G2188" s="1">
        <v>0.0</v>
      </c>
    </row>
    <row r="2189">
      <c r="A2189" s="1" t="s">
        <v>8</v>
      </c>
      <c r="B2189" s="2">
        <v>44718.0</v>
      </c>
      <c r="C2189" s="3">
        <v>0.692488425925926</v>
      </c>
      <c r="D2189" s="1">
        <v>12.878779</v>
      </c>
      <c r="E2189" s="1">
        <v>80.080981</v>
      </c>
      <c r="F2189" s="1">
        <v>805.0</v>
      </c>
      <c r="G2189" s="1">
        <v>11.0</v>
      </c>
    </row>
    <row r="2190">
      <c r="A2190" s="1" t="s">
        <v>8</v>
      </c>
      <c r="B2190" s="2">
        <v>44718.0</v>
      </c>
      <c r="C2190" s="3">
        <v>0.692511574074074</v>
      </c>
      <c r="D2190" s="1">
        <v>12.878779</v>
      </c>
      <c r="E2190" s="1">
        <v>80.080981</v>
      </c>
      <c r="F2190" s="1">
        <v>805.0</v>
      </c>
      <c r="G2190" s="1">
        <v>11.0</v>
      </c>
    </row>
    <row r="2191">
      <c r="A2191" s="1" t="s">
        <v>8</v>
      </c>
      <c r="B2191" s="2">
        <v>44718.0</v>
      </c>
      <c r="C2191" s="3">
        <v>0.6928703703703704</v>
      </c>
      <c r="D2191" s="1">
        <v>12.878922</v>
      </c>
      <c r="E2191" s="1">
        <v>80.080516</v>
      </c>
      <c r="F2191" s="1">
        <v>805.0</v>
      </c>
      <c r="G2191" s="1">
        <v>9.0</v>
      </c>
    </row>
    <row r="2192">
      <c r="A2192" s="1" t="s">
        <v>7</v>
      </c>
      <c r="B2192" s="2">
        <v>44718.0</v>
      </c>
      <c r="C2192" s="3">
        <v>0.6929282407407408</v>
      </c>
      <c r="D2192" s="1">
        <v>12.879514</v>
      </c>
      <c r="E2192" s="1">
        <v>80.080063</v>
      </c>
      <c r="F2192" s="1">
        <v>2846.0</v>
      </c>
      <c r="G2192" s="1">
        <v>24.0</v>
      </c>
    </row>
    <row r="2193">
      <c r="A2193" s="1" t="s">
        <v>8</v>
      </c>
      <c r="B2193" s="2">
        <v>44718.0</v>
      </c>
      <c r="C2193" s="3">
        <v>0.692974537037037</v>
      </c>
      <c r="D2193" s="1">
        <v>12.87828</v>
      </c>
      <c r="E2193" s="1">
        <v>80.079948</v>
      </c>
      <c r="F2193" s="1">
        <v>805.0</v>
      </c>
      <c r="G2193" s="1">
        <v>36.0</v>
      </c>
    </row>
    <row r="2194">
      <c r="A2194" s="1" t="s">
        <v>7</v>
      </c>
      <c r="B2194" s="2">
        <v>44718.0</v>
      </c>
      <c r="C2194" s="3">
        <v>0.6932638888888889</v>
      </c>
      <c r="D2194" s="1">
        <v>12.8804</v>
      </c>
      <c r="E2194" s="1">
        <v>80.080419</v>
      </c>
      <c r="F2194" s="1">
        <v>2846.0</v>
      </c>
      <c r="G2194" s="1">
        <v>9.0</v>
      </c>
    </row>
    <row r="2195">
      <c r="A2195" s="1" t="s">
        <v>8</v>
      </c>
      <c r="B2195" s="2">
        <v>44718.0</v>
      </c>
      <c r="C2195" s="3">
        <v>0.6939004629629629</v>
      </c>
      <c r="D2195" s="1">
        <v>12.872143</v>
      </c>
      <c r="E2195" s="1">
        <v>80.077491</v>
      </c>
      <c r="F2195" s="1">
        <v>805.0</v>
      </c>
      <c r="G2195" s="1">
        <v>58.0</v>
      </c>
    </row>
    <row r="2196">
      <c r="A2196" s="1" t="s">
        <v>7</v>
      </c>
      <c r="B2196" s="2">
        <v>44718.0</v>
      </c>
      <c r="C2196" s="3">
        <v>0.6939930555555556</v>
      </c>
      <c r="D2196" s="1">
        <v>12.881187</v>
      </c>
      <c r="E2196" s="1">
        <v>80.080613</v>
      </c>
      <c r="F2196" s="1">
        <v>2846.0</v>
      </c>
      <c r="G2196" s="1">
        <v>0.0</v>
      </c>
    </row>
    <row r="2197">
      <c r="A2197" s="1" t="s">
        <v>8</v>
      </c>
      <c r="B2197" s="2">
        <v>44718.0</v>
      </c>
      <c r="C2197" s="3">
        <v>0.6940509259259259</v>
      </c>
      <c r="D2197" s="1">
        <v>12.881299</v>
      </c>
      <c r="E2197" s="1">
        <v>80.080624</v>
      </c>
      <c r="F2197" s="1">
        <v>2846.0</v>
      </c>
      <c r="G2197" s="1">
        <v>11.0</v>
      </c>
    </row>
    <row r="2198">
      <c r="A2198" s="1" t="s">
        <v>8</v>
      </c>
      <c r="B2198" s="2">
        <v>44718.0</v>
      </c>
      <c r="C2198" s="3">
        <v>0.6941087962962963</v>
      </c>
      <c r="D2198" s="1">
        <v>12.872143</v>
      </c>
      <c r="E2198" s="1">
        <v>80.077491</v>
      </c>
      <c r="F2198" s="1">
        <v>805.0</v>
      </c>
      <c r="G2198" s="1">
        <v>58.0</v>
      </c>
    </row>
    <row r="2199">
      <c r="A2199" s="1" t="s">
        <v>8</v>
      </c>
      <c r="B2199" s="2">
        <v>44718.0</v>
      </c>
      <c r="C2199" s="3">
        <v>0.6946643518518518</v>
      </c>
      <c r="D2199" s="1">
        <v>12.866214</v>
      </c>
      <c r="E2199" s="1">
        <v>80.075084</v>
      </c>
      <c r="F2199" s="1">
        <v>805.0</v>
      </c>
      <c r="G2199" s="1">
        <v>28.0</v>
      </c>
    </row>
    <row r="2200">
      <c r="A2200" s="1" t="s">
        <v>8</v>
      </c>
      <c r="B2200" s="2">
        <v>44718.0</v>
      </c>
      <c r="C2200" s="3">
        <v>0.6950925925925926</v>
      </c>
      <c r="D2200" s="1">
        <v>12.864715</v>
      </c>
      <c r="E2200" s="1">
        <v>80.074529</v>
      </c>
      <c r="F2200" s="1">
        <v>805.0</v>
      </c>
      <c r="G2200" s="1">
        <v>46.0</v>
      </c>
    </row>
    <row r="2201">
      <c r="A2201" s="1" t="s">
        <v>8</v>
      </c>
      <c r="B2201" s="2">
        <v>44718.0</v>
      </c>
      <c r="C2201" s="3">
        <v>0.6951041666666666</v>
      </c>
      <c r="D2201" s="1">
        <v>12.864715</v>
      </c>
      <c r="E2201" s="1">
        <v>80.074529</v>
      </c>
      <c r="F2201" s="1">
        <v>805.0</v>
      </c>
      <c r="G2201" s="1">
        <v>46.0</v>
      </c>
    </row>
    <row r="2202">
      <c r="A2202" s="1" t="s">
        <v>8</v>
      </c>
      <c r="B2202" s="2">
        <v>44718.0</v>
      </c>
      <c r="C2202" s="3">
        <v>0.6951041666666666</v>
      </c>
      <c r="D2202" s="1">
        <v>12.864715</v>
      </c>
      <c r="E2202" s="1">
        <v>80.074529</v>
      </c>
      <c r="F2202" s="1">
        <v>805.0</v>
      </c>
      <c r="G2202" s="1">
        <v>46.0</v>
      </c>
    </row>
    <row r="2203">
      <c r="A2203" s="1" t="s">
        <v>8</v>
      </c>
      <c r="B2203" s="2">
        <v>44718.0</v>
      </c>
      <c r="C2203" s="3">
        <v>0.6951273148148148</v>
      </c>
      <c r="D2203" s="1">
        <v>12.864715</v>
      </c>
      <c r="E2203" s="1">
        <v>80.074529</v>
      </c>
      <c r="F2203" s="1">
        <v>805.0</v>
      </c>
      <c r="G2203" s="1">
        <v>46.0</v>
      </c>
    </row>
    <row r="2204">
      <c r="A2204" s="1" t="s">
        <v>8</v>
      </c>
      <c r="B2204" s="2">
        <v>44718.0</v>
      </c>
      <c r="C2204" s="3">
        <v>0.6951388888888889</v>
      </c>
      <c r="D2204" s="1">
        <v>12.864715</v>
      </c>
      <c r="E2204" s="1">
        <v>80.074529</v>
      </c>
      <c r="F2204" s="1">
        <v>805.0</v>
      </c>
      <c r="G2204" s="1">
        <v>46.0</v>
      </c>
    </row>
    <row r="2205">
      <c r="A2205" s="1" t="s">
        <v>8</v>
      </c>
      <c r="B2205" s="2">
        <v>44718.0</v>
      </c>
      <c r="C2205" s="3">
        <v>0.695162037037037</v>
      </c>
      <c r="D2205" s="1">
        <v>12.864715</v>
      </c>
      <c r="E2205" s="1">
        <v>80.074529</v>
      </c>
      <c r="F2205" s="1">
        <v>805.0</v>
      </c>
      <c r="G2205" s="1">
        <v>46.0</v>
      </c>
    </row>
    <row r="2206">
      <c r="A2206" s="1" t="s">
        <v>8</v>
      </c>
      <c r="B2206" s="2">
        <v>44718.0</v>
      </c>
      <c r="C2206" s="3">
        <v>0.6960069444444444</v>
      </c>
      <c r="D2206" s="1">
        <v>12.853231</v>
      </c>
      <c r="E2206" s="1">
        <v>80.067241</v>
      </c>
      <c r="F2206" s="1">
        <v>805.0</v>
      </c>
      <c r="G2206" s="1">
        <v>47.0</v>
      </c>
    </row>
    <row r="2207">
      <c r="A2207" s="1" t="s">
        <v>8</v>
      </c>
      <c r="B2207" s="2">
        <v>44718.0</v>
      </c>
      <c r="C2207" s="3">
        <v>0.6965972222222222</v>
      </c>
      <c r="D2207" s="1">
        <v>12.911098</v>
      </c>
      <c r="E2207" s="1">
        <v>80.101092</v>
      </c>
      <c r="F2207" s="1">
        <v>2846.0</v>
      </c>
      <c r="G2207" s="1">
        <v>8.0</v>
      </c>
    </row>
    <row r="2208">
      <c r="A2208" s="1" t="s">
        <v>8</v>
      </c>
      <c r="B2208" s="2">
        <v>44718.0</v>
      </c>
      <c r="C2208" s="3">
        <v>0.6967592592592593</v>
      </c>
      <c r="D2208" s="1">
        <v>12.844502</v>
      </c>
      <c r="E2208" s="1">
        <v>80.060472</v>
      </c>
      <c r="F2208" s="1">
        <v>805.0</v>
      </c>
      <c r="G2208" s="1">
        <v>34.0</v>
      </c>
    </row>
    <row r="2209">
      <c r="A2209" s="1" t="s">
        <v>8</v>
      </c>
      <c r="B2209" s="2">
        <v>44718.0</v>
      </c>
      <c r="C2209" s="3">
        <v>0.6975347222222222</v>
      </c>
      <c r="D2209" s="1">
        <v>12.917232</v>
      </c>
      <c r="E2209" s="1">
        <v>80.107489</v>
      </c>
      <c r="F2209" s="1">
        <v>2846.0</v>
      </c>
      <c r="G2209" s="1">
        <v>29.0</v>
      </c>
    </row>
    <row r="2210">
      <c r="A2210" s="1" t="s">
        <v>7</v>
      </c>
      <c r="B2210" s="2">
        <v>44718.0</v>
      </c>
      <c r="C2210" s="3">
        <v>0.6980208333333333</v>
      </c>
      <c r="D2210" s="1">
        <v>12.920523</v>
      </c>
      <c r="E2210" s="1">
        <v>80.111528</v>
      </c>
      <c r="F2210" s="1">
        <v>2846.0</v>
      </c>
      <c r="G2210" s="1">
        <v>51.0</v>
      </c>
    </row>
    <row r="2211">
      <c r="A2211" s="1" t="s">
        <v>8</v>
      </c>
      <c r="B2211" s="2">
        <v>44718.0</v>
      </c>
      <c r="C2211" s="3">
        <v>0.6982291666666667</v>
      </c>
      <c r="D2211" s="1">
        <v>12.838392</v>
      </c>
      <c r="E2211" s="1">
        <v>80.053974</v>
      </c>
      <c r="F2211" s="1">
        <v>805.0</v>
      </c>
      <c r="G2211" s="1">
        <v>56.0</v>
      </c>
    </row>
    <row r="2212">
      <c r="A2212" s="1" t="s">
        <v>7</v>
      </c>
      <c r="B2212" s="2">
        <v>44718.0</v>
      </c>
      <c r="C2212" s="3">
        <v>0.698275462962963</v>
      </c>
      <c r="D2212" s="1">
        <v>12.83676</v>
      </c>
      <c r="E2212" s="1">
        <v>80.052281</v>
      </c>
      <c r="F2212" s="1">
        <v>805.0</v>
      </c>
      <c r="G2212" s="1">
        <v>57.0</v>
      </c>
    </row>
    <row r="2213">
      <c r="A2213" s="1" t="s">
        <v>7</v>
      </c>
      <c r="B2213" s="2">
        <v>44718.0</v>
      </c>
      <c r="C2213" s="3">
        <v>0.6984375</v>
      </c>
      <c r="D2213" s="1">
        <v>12.83676</v>
      </c>
      <c r="E2213" s="1">
        <v>80.052281</v>
      </c>
      <c r="F2213" s="1">
        <v>805.0</v>
      </c>
      <c r="G2213" s="1">
        <v>57.0</v>
      </c>
    </row>
    <row r="2214">
      <c r="A2214" s="1" t="s">
        <v>7</v>
      </c>
      <c r="B2214" s="2">
        <v>44718.0</v>
      </c>
      <c r="C2214" s="3">
        <v>0.6986111111111111</v>
      </c>
      <c r="D2214" s="1">
        <v>12.835121</v>
      </c>
      <c r="E2214" s="1">
        <v>80.05057</v>
      </c>
      <c r="F2214" s="1">
        <v>805.0</v>
      </c>
      <c r="G2214" s="1">
        <v>58.0</v>
      </c>
    </row>
    <row r="2215">
      <c r="A2215" s="1" t="s">
        <v>7</v>
      </c>
      <c r="B2215" s="2">
        <v>44718.0</v>
      </c>
      <c r="C2215" s="3">
        <v>0.6988078703703704</v>
      </c>
      <c r="D2215" s="1">
        <v>12.833476</v>
      </c>
      <c r="E2215" s="1">
        <v>80.048863</v>
      </c>
      <c r="F2215" s="1">
        <v>805.0</v>
      </c>
      <c r="G2215" s="1">
        <v>58.0</v>
      </c>
    </row>
    <row r="2216">
      <c r="A2216" s="1" t="s">
        <v>7</v>
      </c>
      <c r="B2216" s="2">
        <v>44718.0</v>
      </c>
      <c r="C2216" s="3">
        <v>0.6989004629629629</v>
      </c>
      <c r="D2216" s="1">
        <v>12.831857</v>
      </c>
      <c r="E2216" s="1">
        <v>80.047158</v>
      </c>
      <c r="F2216" s="1">
        <v>805.0</v>
      </c>
      <c r="G2216" s="1">
        <v>58.0</v>
      </c>
    </row>
    <row r="2217">
      <c r="A2217" s="1" t="s">
        <v>8</v>
      </c>
      <c r="B2217" s="2">
        <v>44718.0</v>
      </c>
      <c r="C2217" s="3">
        <v>0.6989930555555556</v>
      </c>
      <c r="D2217" s="1">
        <v>12.831857</v>
      </c>
      <c r="E2217" s="1">
        <v>80.047158</v>
      </c>
      <c r="F2217" s="1">
        <v>805.0</v>
      </c>
      <c r="G2217" s="1">
        <v>58.0</v>
      </c>
    </row>
    <row r="2218">
      <c r="A2218" s="1" t="s">
        <v>7</v>
      </c>
      <c r="B2218" s="2">
        <v>44718.0</v>
      </c>
      <c r="C2218" s="3">
        <v>0.6995949074074074</v>
      </c>
      <c r="D2218" s="1">
        <v>12.828684</v>
      </c>
      <c r="E2218" s="1">
        <v>80.043864</v>
      </c>
      <c r="F2218" s="1">
        <v>805.0</v>
      </c>
      <c r="G2218" s="1">
        <v>53.0</v>
      </c>
    </row>
    <row r="2219">
      <c r="A2219" s="1" t="s">
        <v>7</v>
      </c>
      <c r="B2219" s="2">
        <v>44718.0</v>
      </c>
      <c r="C2219" s="3">
        <v>0.6996643518518518</v>
      </c>
      <c r="D2219" s="1">
        <v>12.82704</v>
      </c>
      <c r="E2219" s="1">
        <v>80.042056</v>
      </c>
      <c r="F2219" s="1">
        <v>805.0</v>
      </c>
      <c r="G2219" s="1">
        <v>58.0</v>
      </c>
    </row>
    <row r="2220">
      <c r="A2220" s="1" t="s">
        <v>8</v>
      </c>
      <c r="B2220" s="2">
        <v>44718.0</v>
      </c>
      <c r="C2220" s="3">
        <v>0.6998148148148148</v>
      </c>
      <c r="D2220" s="1">
        <v>12.825688</v>
      </c>
      <c r="E2220" s="1">
        <v>80.040862</v>
      </c>
      <c r="F2220" s="1">
        <v>805.0</v>
      </c>
      <c r="G2220" s="1">
        <v>23.0</v>
      </c>
    </row>
    <row r="2221">
      <c r="A2221" s="1" t="s">
        <v>8</v>
      </c>
      <c r="B2221" s="2">
        <v>44718.0</v>
      </c>
      <c r="C2221" s="3">
        <v>0.700300925925926</v>
      </c>
      <c r="D2221" s="1">
        <v>12.824356</v>
      </c>
      <c r="E2221" s="1">
        <v>80.039901</v>
      </c>
      <c r="F2221" s="1">
        <v>805.0</v>
      </c>
      <c r="G2221" s="1">
        <v>57.0</v>
      </c>
    </row>
    <row r="2222">
      <c r="A2222" s="1" t="s">
        <v>8</v>
      </c>
      <c r="B2222" s="2">
        <v>44718.0</v>
      </c>
      <c r="C2222" s="3">
        <v>0.7003125</v>
      </c>
      <c r="D2222" s="1">
        <v>12.824356</v>
      </c>
      <c r="E2222" s="1">
        <v>80.039901</v>
      </c>
      <c r="F2222" s="1">
        <v>805.0</v>
      </c>
      <c r="G2222" s="1">
        <v>57.0</v>
      </c>
    </row>
    <row r="2223">
      <c r="A2223" s="1" t="s">
        <v>8</v>
      </c>
      <c r="B2223" s="2">
        <v>44718.0</v>
      </c>
      <c r="C2223" s="3">
        <v>0.7006597222222222</v>
      </c>
      <c r="D2223" s="1">
        <v>12.928402</v>
      </c>
      <c r="E2223" s="1">
        <v>80.119464</v>
      </c>
      <c r="F2223" s="1">
        <v>2846.0</v>
      </c>
      <c r="G2223" s="1">
        <v>23.0</v>
      </c>
    </row>
    <row r="2224">
      <c r="A2224" s="1" t="s">
        <v>8</v>
      </c>
      <c r="B2224" s="2">
        <v>44718.0</v>
      </c>
      <c r="C2224" s="3">
        <v>0.7006944444444444</v>
      </c>
      <c r="D2224" s="1">
        <v>12.928402</v>
      </c>
      <c r="E2224" s="1">
        <v>80.119464</v>
      </c>
      <c r="F2224" s="1">
        <v>2846.0</v>
      </c>
      <c r="G2224" s="1">
        <v>23.0</v>
      </c>
    </row>
    <row r="2225">
      <c r="A2225" s="1" t="s">
        <v>8</v>
      </c>
      <c r="B2225" s="2">
        <v>44718.0</v>
      </c>
      <c r="C2225" s="3">
        <v>0.7013078703703703</v>
      </c>
      <c r="D2225" s="1">
        <v>12.929737</v>
      </c>
      <c r="E2225" s="1">
        <v>80.120772</v>
      </c>
      <c r="F2225" s="1">
        <v>2846.0</v>
      </c>
      <c r="G2225" s="1">
        <v>13.0</v>
      </c>
    </row>
    <row r="2226">
      <c r="A2226" s="1" t="s">
        <v>8</v>
      </c>
      <c r="B2226" s="2">
        <v>44718.0</v>
      </c>
      <c r="C2226" s="3">
        <v>0.7016782407407407</v>
      </c>
      <c r="D2226" s="1">
        <v>12.817911</v>
      </c>
      <c r="E2226" s="1">
        <v>80.035336</v>
      </c>
      <c r="F2226" s="1">
        <v>805.0</v>
      </c>
      <c r="G2226" s="1">
        <v>34.0</v>
      </c>
    </row>
    <row r="2227">
      <c r="A2227" s="1" t="s">
        <v>8</v>
      </c>
      <c r="B2227" s="2">
        <v>44718.0</v>
      </c>
      <c r="C2227" s="3">
        <v>0.7017476851851852</v>
      </c>
      <c r="D2227" s="1">
        <v>12.930137</v>
      </c>
      <c r="E2227" s="1">
        <v>80.121175</v>
      </c>
      <c r="F2227" s="1">
        <v>2846.0</v>
      </c>
      <c r="G2227" s="1">
        <v>22.0</v>
      </c>
    </row>
    <row r="2228">
      <c r="A2228" s="1" t="s">
        <v>8</v>
      </c>
      <c r="B2228" s="2">
        <v>44718.0</v>
      </c>
      <c r="C2228" s="3">
        <v>0.702025462962963</v>
      </c>
      <c r="D2228" s="1">
        <v>12.933964</v>
      </c>
      <c r="E2228" s="1">
        <v>80.124986</v>
      </c>
      <c r="F2228" s="1">
        <v>2846.0</v>
      </c>
      <c r="G2228" s="1">
        <v>43.0</v>
      </c>
    </row>
    <row r="2229">
      <c r="A2229" s="1" t="s">
        <v>8</v>
      </c>
      <c r="B2229" s="2">
        <v>44718.0</v>
      </c>
      <c r="C2229" s="3">
        <v>0.7021875</v>
      </c>
      <c r="D2229" s="1">
        <v>12.933964</v>
      </c>
      <c r="E2229" s="1">
        <v>80.124986</v>
      </c>
      <c r="F2229" s="1">
        <v>2846.0</v>
      </c>
      <c r="G2229" s="1">
        <v>43.0</v>
      </c>
    </row>
    <row r="2230">
      <c r="A2230" s="1" t="s">
        <v>8</v>
      </c>
      <c r="B2230" s="2">
        <v>44718.0</v>
      </c>
      <c r="C2230" s="3">
        <v>0.7023726851851851</v>
      </c>
      <c r="D2230" s="1">
        <v>12.813594</v>
      </c>
      <c r="E2230" s="1">
        <v>80.032286</v>
      </c>
      <c r="F2230" s="1">
        <v>805.0</v>
      </c>
      <c r="G2230" s="1">
        <v>58.0</v>
      </c>
    </row>
    <row r="2231">
      <c r="A2231" s="1" t="s">
        <v>8</v>
      </c>
      <c r="B2231" s="2">
        <v>44718.0</v>
      </c>
      <c r="C2231" s="3">
        <v>0.7028240740740741</v>
      </c>
      <c r="D2231" s="1">
        <v>12.937578</v>
      </c>
      <c r="E2231" s="1">
        <v>80.128259</v>
      </c>
      <c r="F2231" s="1">
        <v>2846.0</v>
      </c>
      <c r="G2231" s="1">
        <v>39.0</v>
      </c>
    </row>
    <row r="2232">
      <c r="A2232" s="1" t="s">
        <v>8</v>
      </c>
      <c r="B2232" s="2">
        <v>44718.0</v>
      </c>
      <c r="C2232" s="3">
        <v>0.7028472222222222</v>
      </c>
      <c r="D2232" s="1">
        <v>12.937578</v>
      </c>
      <c r="E2232" s="1">
        <v>80.128259</v>
      </c>
      <c r="F2232" s="1">
        <v>2846.0</v>
      </c>
      <c r="G2232" s="1">
        <v>39.0</v>
      </c>
    </row>
    <row r="2233">
      <c r="A2233" s="1" t="s">
        <v>8</v>
      </c>
      <c r="B2233" s="2">
        <v>44718.0</v>
      </c>
      <c r="C2233" s="3">
        <v>0.7043634259259259</v>
      </c>
      <c r="D2233" s="1">
        <v>12.946762</v>
      </c>
      <c r="E2233" s="1">
        <v>80.136633</v>
      </c>
      <c r="F2233" s="1">
        <v>2846.0</v>
      </c>
      <c r="G2233" s="1">
        <v>46.0</v>
      </c>
    </row>
    <row r="2234">
      <c r="A2234" s="1" t="s">
        <v>8</v>
      </c>
      <c r="B2234" s="2">
        <v>44718.0</v>
      </c>
      <c r="C2234" s="3">
        <v>0.7044212962962964</v>
      </c>
      <c r="D2234" s="1">
        <v>12.795946</v>
      </c>
      <c r="E2234" s="1">
        <v>80.020812</v>
      </c>
      <c r="F2234" s="1">
        <v>805.0</v>
      </c>
      <c r="G2234" s="1">
        <v>0.0</v>
      </c>
    </row>
    <row r="2235">
      <c r="A2235" s="1" t="s">
        <v>8</v>
      </c>
      <c r="B2235" s="2">
        <v>44718.0</v>
      </c>
      <c r="C2235" s="3">
        <v>0.7045138888888889</v>
      </c>
      <c r="D2235" s="1">
        <v>12.795946</v>
      </c>
      <c r="E2235" s="1">
        <v>80.020812</v>
      </c>
      <c r="F2235" s="1">
        <v>805.0</v>
      </c>
      <c r="G2235" s="1">
        <v>0.0</v>
      </c>
    </row>
    <row r="2236">
      <c r="A2236" s="1" t="s">
        <v>9</v>
      </c>
      <c r="B2236" s="2">
        <v>44718.0</v>
      </c>
      <c r="C2236" s="3">
        <v>0.7045601851851852</v>
      </c>
      <c r="D2236" s="1">
        <v>12.795946</v>
      </c>
      <c r="E2236" s="1">
        <v>80.020812</v>
      </c>
      <c r="F2236" s="1">
        <v>805.0</v>
      </c>
      <c r="G2236" s="1">
        <v>0.0</v>
      </c>
    </row>
    <row r="2237">
      <c r="A2237" s="1" t="s">
        <v>8</v>
      </c>
      <c r="B2237" s="2">
        <v>44718.0</v>
      </c>
      <c r="C2237" s="3">
        <v>0.7047106481481481</v>
      </c>
      <c r="D2237" s="1">
        <v>12.795946</v>
      </c>
      <c r="E2237" s="1">
        <v>80.020812</v>
      </c>
      <c r="F2237" s="1">
        <v>805.0</v>
      </c>
      <c r="G2237" s="1">
        <v>0.0</v>
      </c>
    </row>
    <row r="2238">
      <c r="A2238" s="1" t="s">
        <v>8</v>
      </c>
      <c r="B2238" s="2">
        <v>44718.0</v>
      </c>
      <c r="C2238" s="3">
        <v>0.7047337962962963</v>
      </c>
      <c r="D2238" s="1">
        <v>12.795946</v>
      </c>
      <c r="E2238" s="1">
        <v>80.020812</v>
      </c>
      <c r="F2238" s="1">
        <v>805.0</v>
      </c>
      <c r="G2238" s="1">
        <v>0.0</v>
      </c>
    </row>
    <row r="2239">
      <c r="A2239" s="1" t="s">
        <v>8</v>
      </c>
      <c r="B2239" s="2">
        <v>44718.0</v>
      </c>
      <c r="C2239" s="3">
        <v>0.704849537037037</v>
      </c>
      <c r="D2239" s="1">
        <v>12.795946</v>
      </c>
      <c r="E2239" s="1">
        <v>80.020812</v>
      </c>
      <c r="F2239" s="1">
        <v>805.0</v>
      </c>
      <c r="G2239" s="1">
        <v>0.0</v>
      </c>
    </row>
    <row r="2240">
      <c r="A2240" s="1" t="s">
        <v>8</v>
      </c>
      <c r="B2240" s="2">
        <v>44718.0</v>
      </c>
      <c r="C2240" s="3">
        <v>0.7055439814814815</v>
      </c>
      <c r="D2240" s="1">
        <v>12.793327</v>
      </c>
      <c r="E2240" s="1">
        <v>80.01908</v>
      </c>
      <c r="F2240" s="1">
        <v>805.0</v>
      </c>
      <c r="G2240" s="1">
        <v>60.0</v>
      </c>
    </row>
    <row r="2241">
      <c r="A2241" s="1" t="s">
        <v>8</v>
      </c>
      <c r="B2241" s="2">
        <v>44718.0</v>
      </c>
      <c r="C2241" s="3">
        <v>0.7056828703703704</v>
      </c>
      <c r="D2241" s="1">
        <v>12.950952</v>
      </c>
      <c r="E2241" s="1">
        <v>80.139808</v>
      </c>
      <c r="F2241" s="1">
        <v>2846.0</v>
      </c>
      <c r="G2241" s="1">
        <v>24.0</v>
      </c>
    </row>
    <row r="2242">
      <c r="A2242" s="1" t="s">
        <v>8</v>
      </c>
      <c r="B2242" s="2">
        <v>44718.0</v>
      </c>
      <c r="C2242" s="3">
        <v>0.7057407407407408</v>
      </c>
      <c r="D2242" s="1">
        <v>12.951901</v>
      </c>
      <c r="E2242" s="1">
        <v>80.140527</v>
      </c>
      <c r="F2242" s="1">
        <v>2846.0</v>
      </c>
      <c r="G2242" s="1">
        <v>30.0</v>
      </c>
    </row>
    <row r="2243">
      <c r="A2243" s="1" t="s">
        <v>8</v>
      </c>
      <c r="B2243" s="2">
        <v>44718.0</v>
      </c>
      <c r="C2243" s="3">
        <v>0.7059375</v>
      </c>
      <c r="D2243" s="1">
        <v>12.78533</v>
      </c>
      <c r="E2243" s="1">
        <v>80.014242</v>
      </c>
      <c r="F2243" s="1">
        <v>805.0</v>
      </c>
      <c r="G2243" s="1">
        <v>56.0</v>
      </c>
    </row>
    <row r="2244">
      <c r="A2244" s="1" t="s">
        <v>8</v>
      </c>
      <c r="B2244" s="2">
        <v>44718.0</v>
      </c>
      <c r="C2244" s="3">
        <v>0.706099537037037</v>
      </c>
      <c r="D2244" s="1">
        <v>12.783367</v>
      </c>
      <c r="E2244" s="1">
        <v>80.01329</v>
      </c>
      <c r="F2244" s="1">
        <v>805.0</v>
      </c>
      <c r="G2244" s="1">
        <v>57.0</v>
      </c>
    </row>
    <row r="2245">
      <c r="A2245" s="1" t="s">
        <v>8</v>
      </c>
      <c r="B2245" s="2">
        <v>44718.0</v>
      </c>
      <c r="C2245" s="3">
        <v>0.7066782407407407</v>
      </c>
      <c r="D2245" s="1">
        <v>12.777161</v>
      </c>
      <c r="E2245" s="1">
        <v>80.010542</v>
      </c>
      <c r="F2245" s="1">
        <v>805.0</v>
      </c>
      <c r="G2245" s="1">
        <v>55.0</v>
      </c>
    </row>
    <row r="2246">
      <c r="A2246" s="1" t="s">
        <v>9</v>
      </c>
      <c r="B2246" s="2">
        <v>44718.0</v>
      </c>
      <c r="C2246" s="3">
        <v>0.7067245370370371</v>
      </c>
      <c r="D2246" s="1">
        <v>12.777161</v>
      </c>
      <c r="E2246" s="1">
        <v>80.010542</v>
      </c>
      <c r="F2246" s="1">
        <v>805.0</v>
      </c>
      <c r="G2246" s="1">
        <v>55.0</v>
      </c>
    </row>
    <row r="2247">
      <c r="A2247" s="1" t="s">
        <v>8</v>
      </c>
      <c r="B2247" s="2">
        <v>44718.0</v>
      </c>
      <c r="C2247" s="3">
        <v>0.7075694444444445</v>
      </c>
      <c r="D2247" s="1">
        <v>12.960846</v>
      </c>
      <c r="E2247" s="1">
        <v>80.145549</v>
      </c>
      <c r="F2247" s="1">
        <v>2846.0</v>
      </c>
      <c r="G2247" s="1">
        <v>0.0</v>
      </c>
    </row>
    <row r="2248">
      <c r="A2248" s="1" t="s">
        <v>8</v>
      </c>
      <c r="B2248" s="2">
        <v>44718.0</v>
      </c>
      <c r="C2248" s="3">
        <v>0.7076967592592592</v>
      </c>
      <c r="D2248" s="1">
        <v>12.960846</v>
      </c>
      <c r="E2248" s="1">
        <v>80.145549</v>
      </c>
      <c r="F2248" s="1">
        <v>2846.0</v>
      </c>
      <c r="G2248" s="1">
        <v>0.0</v>
      </c>
    </row>
    <row r="2249">
      <c r="A2249" s="1" t="s">
        <v>8</v>
      </c>
      <c r="B2249" s="2">
        <v>44718.0</v>
      </c>
      <c r="C2249" s="3">
        <v>0.7078472222222222</v>
      </c>
      <c r="D2249" s="1">
        <v>12.960893</v>
      </c>
      <c r="E2249" s="1">
        <v>80.145572</v>
      </c>
      <c r="F2249" s="1">
        <v>2846.0</v>
      </c>
      <c r="G2249" s="1">
        <v>8.0</v>
      </c>
    </row>
    <row r="2250">
      <c r="A2250" s="1" t="s">
        <v>7</v>
      </c>
      <c r="B2250" s="2">
        <v>44718.0</v>
      </c>
      <c r="C2250" s="3">
        <v>0.7085416666666666</v>
      </c>
      <c r="D2250" s="1">
        <v>12.761923</v>
      </c>
      <c r="E2250" s="1">
        <v>80.00383</v>
      </c>
      <c r="F2250" s="1">
        <v>805.0</v>
      </c>
      <c r="G2250" s="1">
        <v>0.0</v>
      </c>
    </row>
    <row r="2251">
      <c r="A2251" s="1" t="s">
        <v>9</v>
      </c>
      <c r="B2251" s="2">
        <v>44718.0</v>
      </c>
      <c r="C2251" s="3">
        <v>0.708599537037037</v>
      </c>
      <c r="D2251" s="1">
        <v>12.761923</v>
      </c>
      <c r="E2251" s="1">
        <v>80.00383</v>
      </c>
      <c r="F2251" s="1">
        <v>805.0</v>
      </c>
      <c r="G2251" s="1">
        <v>0.0</v>
      </c>
    </row>
    <row r="2252">
      <c r="A2252" s="1" t="s">
        <v>7</v>
      </c>
      <c r="B2252" s="2">
        <v>44718.0</v>
      </c>
      <c r="C2252" s="3">
        <v>0.7089930555555556</v>
      </c>
      <c r="D2252" s="1">
        <v>12.761412</v>
      </c>
      <c r="E2252" s="1">
        <v>80.003688</v>
      </c>
      <c r="F2252" s="1">
        <v>805.0</v>
      </c>
      <c r="G2252" s="1">
        <v>29.0</v>
      </c>
    </row>
    <row r="2253">
      <c r="A2253" s="1" t="s">
        <v>8</v>
      </c>
      <c r="B2253" s="2">
        <v>44718.0</v>
      </c>
      <c r="C2253" s="3">
        <v>0.7090509259259259</v>
      </c>
      <c r="D2253" s="1">
        <v>12.969961</v>
      </c>
      <c r="E2253" s="1">
        <v>80.150328</v>
      </c>
      <c r="F2253" s="1">
        <v>2846.0</v>
      </c>
      <c r="G2253" s="1">
        <v>57.0</v>
      </c>
    </row>
    <row r="2254">
      <c r="A2254" s="1" t="s">
        <v>7</v>
      </c>
      <c r="B2254" s="2">
        <v>44718.0</v>
      </c>
      <c r="C2254" s="3">
        <v>0.7093402777777778</v>
      </c>
      <c r="D2254" s="1">
        <v>12.759974</v>
      </c>
      <c r="E2254" s="1">
        <v>80.003318</v>
      </c>
      <c r="F2254" s="1">
        <v>805.0</v>
      </c>
      <c r="G2254" s="1">
        <v>21.0</v>
      </c>
    </row>
    <row r="2255">
      <c r="A2255" s="1" t="s">
        <v>7</v>
      </c>
      <c r="B2255" s="2">
        <v>44718.0</v>
      </c>
      <c r="C2255" s="3">
        <v>0.7096643518518518</v>
      </c>
      <c r="D2255" s="1">
        <v>12.759974</v>
      </c>
      <c r="E2255" s="1">
        <v>80.003318</v>
      </c>
      <c r="F2255" s="1">
        <v>805.0</v>
      </c>
      <c r="G2255" s="1">
        <v>21.0</v>
      </c>
    </row>
    <row r="2256">
      <c r="A2256" s="1" t="s">
        <v>7</v>
      </c>
      <c r="B2256" s="2">
        <v>44718.0</v>
      </c>
      <c r="C2256" s="3">
        <v>0.7097222222222223</v>
      </c>
      <c r="D2256" s="1">
        <v>12.759974</v>
      </c>
      <c r="E2256" s="1">
        <v>80.003318</v>
      </c>
      <c r="F2256" s="1">
        <v>805.0</v>
      </c>
      <c r="G2256" s="1">
        <v>21.0</v>
      </c>
    </row>
    <row r="2257">
      <c r="A2257" s="1" t="s">
        <v>7</v>
      </c>
      <c r="B2257" s="2">
        <v>44718.0</v>
      </c>
      <c r="C2257" s="3">
        <v>0.7098611111111112</v>
      </c>
      <c r="D2257" s="1">
        <v>12.758241</v>
      </c>
      <c r="E2257" s="1">
        <v>80.002807</v>
      </c>
      <c r="F2257" s="1">
        <v>805.0</v>
      </c>
      <c r="G2257" s="1">
        <v>55.0</v>
      </c>
    </row>
    <row r="2258">
      <c r="A2258" s="1" t="s">
        <v>8</v>
      </c>
      <c r="B2258" s="2">
        <v>44718.0</v>
      </c>
      <c r="C2258" s="3">
        <v>0.7108217592592593</v>
      </c>
      <c r="D2258" s="1">
        <v>12.979551</v>
      </c>
      <c r="E2258" s="1">
        <v>80.162135</v>
      </c>
      <c r="F2258" s="1">
        <v>2846.0</v>
      </c>
      <c r="G2258" s="1">
        <v>53.0</v>
      </c>
    </row>
    <row r="2259">
      <c r="A2259" s="1" t="s">
        <v>7</v>
      </c>
      <c r="B2259" s="2">
        <v>44718.0</v>
      </c>
      <c r="C2259" s="3">
        <v>0.7108564814814815</v>
      </c>
      <c r="D2259" s="1">
        <v>12.752317</v>
      </c>
      <c r="E2259" s="1">
        <v>79.999592</v>
      </c>
      <c r="F2259" s="1">
        <v>805.0</v>
      </c>
      <c r="G2259" s="1">
        <v>57.0</v>
      </c>
    </row>
    <row r="2260">
      <c r="A2260" s="1" t="s">
        <v>7</v>
      </c>
      <c r="B2260" s="2">
        <v>44718.0</v>
      </c>
      <c r="C2260" s="3">
        <v>0.7111458333333334</v>
      </c>
      <c r="D2260" s="1">
        <v>12.750375</v>
      </c>
      <c r="E2260" s="1">
        <v>79.998265</v>
      </c>
      <c r="F2260" s="1">
        <v>805.0</v>
      </c>
      <c r="G2260" s="1">
        <v>57.0</v>
      </c>
    </row>
    <row r="2261">
      <c r="A2261" s="1" t="s">
        <v>10</v>
      </c>
      <c r="B2261" s="2">
        <v>44718.0</v>
      </c>
      <c r="C2261" s="3">
        <v>0.7125231481481481</v>
      </c>
      <c r="D2261" s="1">
        <v>12.738418</v>
      </c>
      <c r="E2261" s="1">
        <v>79.988674</v>
      </c>
      <c r="F2261" s="1">
        <v>805.0</v>
      </c>
      <c r="G2261" s="1">
        <v>58.0</v>
      </c>
    </row>
    <row r="2262">
      <c r="A2262" s="1" t="s">
        <v>8</v>
      </c>
      <c r="B2262" s="2">
        <v>44718.0</v>
      </c>
      <c r="C2262" s="3">
        <v>0.714375</v>
      </c>
      <c r="D2262" s="1">
        <v>12.722981</v>
      </c>
      <c r="E2262" s="1">
        <v>79.981654</v>
      </c>
      <c r="F2262" s="1">
        <v>805.0</v>
      </c>
      <c r="G2262" s="1">
        <v>44.0</v>
      </c>
    </row>
    <row r="2263">
      <c r="A2263" s="1" t="s">
        <v>8</v>
      </c>
      <c r="B2263" s="2">
        <v>44718.0</v>
      </c>
      <c r="C2263" s="3">
        <v>0.7149768518518519</v>
      </c>
      <c r="D2263" s="1">
        <v>12.719026</v>
      </c>
      <c r="E2263" s="1">
        <v>79.981084</v>
      </c>
      <c r="F2263" s="1">
        <v>805.0</v>
      </c>
      <c r="G2263" s="1">
        <v>25.0</v>
      </c>
    </row>
    <row r="2264">
      <c r="A2264" s="1" t="s">
        <v>8</v>
      </c>
      <c r="B2264" s="2">
        <v>44718.0</v>
      </c>
      <c r="C2264" s="3">
        <v>0.7150694444444444</v>
      </c>
      <c r="D2264" s="1">
        <v>12.716531</v>
      </c>
      <c r="E2264" s="1">
        <v>79.980811</v>
      </c>
      <c r="F2264" s="1">
        <v>805.0</v>
      </c>
      <c r="G2264" s="1">
        <v>41.0</v>
      </c>
    </row>
    <row r="2265">
      <c r="A2265" s="1" t="s">
        <v>7</v>
      </c>
      <c r="B2265" s="2">
        <v>44718.0</v>
      </c>
      <c r="C2265" s="3">
        <v>0.7152777777777778</v>
      </c>
      <c r="D2265" s="1">
        <v>12.714666</v>
      </c>
      <c r="E2265" s="1">
        <v>79.980356</v>
      </c>
      <c r="F2265" s="1">
        <v>805.0</v>
      </c>
      <c r="G2265" s="1">
        <v>60.0</v>
      </c>
    </row>
    <row r="2266">
      <c r="A2266" s="1" t="s">
        <v>7</v>
      </c>
      <c r="B2266" s="2">
        <v>44718.0</v>
      </c>
      <c r="C2266" s="3">
        <v>0.7154050925925926</v>
      </c>
      <c r="D2266" s="1">
        <v>12.712488</v>
      </c>
      <c r="E2266" s="1">
        <v>79.979675</v>
      </c>
      <c r="F2266" s="1">
        <v>805.0</v>
      </c>
      <c r="G2266" s="1">
        <v>55.0</v>
      </c>
    </row>
    <row r="2267">
      <c r="A2267" s="1" t="s">
        <v>8</v>
      </c>
      <c r="B2267" s="2">
        <v>44718.0</v>
      </c>
      <c r="C2267" s="3">
        <v>0.7155208333333334</v>
      </c>
      <c r="D2267" s="1">
        <v>12.996098</v>
      </c>
      <c r="E2267" s="1">
        <v>80.189292</v>
      </c>
      <c r="F2267" s="1">
        <v>2846.0</v>
      </c>
      <c r="G2267" s="1">
        <v>5.0</v>
      </c>
    </row>
    <row r="2268">
      <c r="A2268" s="1" t="s">
        <v>8</v>
      </c>
      <c r="B2268" s="2">
        <v>44718.0</v>
      </c>
      <c r="C2268" s="3">
        <v>0.7156481481481481</v>
      </c>
      <c r="D2268" s="1">
        <v>12.996642</v>
      </c>
      <c r="E2268" s="1">
        <v>80.189902</v>
      </c>
      <c r="F2268" s="1">
        <v>2846.0</v>
      </c>
      <c r="G2268" s="1">
        <v>34.0</v>
      </c>
    </row>
    <row r="2269">
      <c r="A2269" s="1" t="s">
        <v>8</v>
      </c>
      <c r="B2269" s="2">
        <v>44718.0</v>
      </c>
      <c r="C2269" s="3">
        <v>0.7164930555555555</v>
      </c>
      <c r="D2269" s="1">
        <v>12.999805</v>
      </c>
      <c r="E2269" s="1">
        <v>80.193776</v>
      </c>
      <c r="F2269" s="1">
        <v>2846.0</v>
      </c>
      <c r="G2269" s="1">
        <v>41.0</v>
      </c>
    </row>
    <row r="2270">
      <c r="A2270" s="1" t="s">
        <v>8</v>
      </c>
      <c r="B2270" s="2">
        <v>44718.0</v>
      </c>
      <c r="C2270" s="3">
        <v>0.7165046296296296</v>
      </c>
      <c r="D2270" s="1">
        <v>12.999805</v>
      </c>
      <c r="E2270" s="1">
        <v>80.193776</v>
      </c>
      <c r="F2270" s="1">
        <v>2846.0</v>
      </c>
      <c r="G2270" s="1">
        <v>41.0</v>
      </c>
    </row>
    <row r="2271">
      <c r="A2271" s="1" t="s">
        <v>8</v>
      </c>
      <c r="B2271" s="2">
        <v>44718.0</v>
      </c>
      <c r="C2271" s="3">
        <v>0.7166087962962963</v>
      </c>
      <c r="D2271" s="1">
        <v>12.999805</v>
      </c>
      <c r="E2271" s="1">
        <v>80.193776</v>
      </c>
      <c r="F2271" s="1">
        <v>2846.0</v>
      </c>
      <c r="G2271" s="1">
        <v>41.0</v>
      </c>
    </row>
    <row r="2272">
      <c r="A2272" s="1" t="s">
        <v>8</v>
      </c>
      <c r="B2272" s="2">
        <v>44718.0</v>
      </c>
      <c r="C2272" s="3">
        <v>0.7166666666666667</v>
      </c>
      <c r="D2272" s="1">
        <v>13.00114</v>
      </c>
      <c r="E2272" s="1">
        <v>80.195399</v>
      </c>
      <c r="F2272" s="1">
        <v>2846.0</v>
      </c>
      <c r="G2272" s="1">
        <v>10.0</v>
      </c>
    </row>
    <row r="2273">
      <c r="A2273" s="1" t="s">
        <v>10</v>
      </c>
      <c r="B2273" s="2">
        <v>44718.0</v>
      </c>
      <c r="C2273" s="3">
        <v>0.7166782407407407</v>
      </c>
      <c r="D2273" s="1">
        <v>12.702341</v>
      </c>
      <c r="E2273" s="1">
        <v>79.970464</v>
      </c>
      <c r="F2273" s="1">
        <v>805.0</v>
      </c>
      <c r="G2273" s="1">
        <v>58.0</v>
      </c>
    </row>
    <row r="2274">
      <c r="A2274" s="1" t="s">
        <v>10</v>
      </c>
      <c r="B2274" s="2">
        <v>44718.0</v>
      </c>
      <c r="C2274" s="3">
        <v>0.7167939814814814</v>
      </c>
      <c r="D2274" s="1">
        <v>12.700526</v>
      </c>
      <c r="E2274" s="1">
        <v>79.969038</v>
      </c>
      <c r="F2274" s="1">
        <v>805.0</v>
      </c>
      <c r="G2274" s="1">
        <v>49.0</v>
      </c>
    </row>
    <row r="2275">
      <c r="A2275" s="1" t="s">
        <v>8</v>
      </c>
      <c r="B2275" s="2">
        <v>44718.0</v>
      </c>
      <c r="C2275" s="3">
        <v>0.7169212962962963</v>
      </c>
      <c r="D2275" s="1">
        <v>13.001525</v>
      </c>
      <c r="E2275" s="1">
        <v>80.195907</v>
      </c>
      <c r="F2275" s="1">
        <v>2846.0</v>
      </c>
      <c r="G2275" s="1">
        <v>23.0</v>
      </c>
    </row>
    <row r="2276">
      <c r="A2276" s="1" t="s">
        <v>7</v>
      </c>
      <c r="B2276" s="2">
        <v>44718.0</v>
      </c>
      <c r="C2276" s="3">
        <v>0.7175462962962963</v>
      </c>
      <c r="D2276" s="1">
        <v>13.001907</v>
      </c>
      <c r="E2276" s="1">
        <v>80.198659</v>
      </c>
      <c r="F2276" s="1">
        <v>2846.0</v>
      </c>
      <c r="G2276" s="1">
        <v>43.0</v>
      </c>
    </row>
    <row r="2277">
      <c r="A2277" s="1" t="s">
        <v>8</v>
      </c>
      <c r="B2277" s="2">
        <v>44718.0</v>
      </c>
      <c r="C2277" s="3">
        <v>0.7175694444444445</v>
      </c>
      <c r="D2277" s="1">
        <v>13.001907</v>
      </c>
      <c r="E2277" s="1">
        <v>80.198659</v>
      </c>
      <c r="F2277" s="1">
        <v>2846.0</v>
      </c>
      <c r="G2277" s="1">
        <v>43.0</v>
      </c>
    </row>
    <row r="2278">
      <c r="A2278" s="1" t="s">
        <v>8</v>
      </c>
      <c r="B2278" s="2">
        <v>44718.0</v>
      </c>
      <c r="C2278" s="3">
        <v>0.718125</v>
      </c>
      <c r="D2278" s="1">
        <v>12.697315</v>
      </c>
      <c r="E2278" s="1">
        <v>79.972203</v>
      </c>
      <c r="F2278" s="1">
        <v>805.0</v>
      </c>
      <c r="G2278" s="1">
        <v>19.0</v>
      </c>
    </row>
    <row r="2279">
      <c r="A2279" s="1" t="s">
        <v>8</v>
      </c>
      <c r="B2279" s="2">
        <v>44718.0</v>
      </c>
      <c r="C2279" s="3">
        <v>0.718125</v>
      </c>
      <c r="D2279" s="1">
        <v>12.697315</v>
      </c>
      <c r="E2279" s="1">
        <v>79.972203</v>
      </c>
      <c r="F2279" s="1">
        <v>805.0</v>
      </c>
      <c r="G2279" s="1">
        <v>19.0</v>
      </c>
    </row>
    <row r="2280">
      <c r="A2280" s="1" t="s">
        <v>8</v>
      </c>
      <c r="B2280" s="2">
        <v>44718.0</v>
      </c>
      <c r="C2280" s="3">
        <v>0.7182175925925925</v>
      </c>
      <c r="D2280" s="1">
        <v>12.697315</v>
      </c>
      <c r="E2280" s="1">
        <v>79.972203</v>
      </c>
      <c r="F2280" s="1">
        <v>805.0</v>
      </c>
      <c r="G2280" s="1">
        <v>19.0</v>
      </c>
    </row>
    <row r="2281">
      <c r="A2281" s="1" t="s">
        <v>8</v>
      </c>
      <c r="B2281" s="2">
        <v>44718.0</v>
      </c>
      <c r="C2281" s="3">
        <v>0.7190162037037037</v>
      </c>
      <c r="D2281" s="1">
        <v>13.008185</v>
      </c>
      <c r="E2281" s="1">
        <v>80.209271</v>
      </c>
      <c r="F2281" s="1">
        <v>2846.0</v>
      </c>
      <c r="G2281" s="1">
        <v>32.0</v>
      </c>
    </row>
    <row r="2282">
      <c r="A2282" s="1" t="s">
        <v>8</v>
      </c>
      <c r="B2282" s="2">
        <v>44718.0</v>
      </c>
      <c r="C2282" s="3">
        <v>0.7191319444444444</v>
      </c>
      <c r="D2282" s="1">
        <v>13.008185</v>
      </c>
      <c r="E2282" s="1">
        <v>80.209271</v>
      </c>
      <c r="F2282" s="1">
        <v>2846.0</v>
      </c>
      <c r="G2282" s="1">
        <v>32.0</v>
      </c>
    </row>
    <row r="2283">
      <c r="A2283" s="1" t="s">
        <v>8</v>
      </c>
      <c r="B2283" s="2">
        <v>44718.0</v>
      </c>
      <c r="C2283" s="3">
        <v>0.7192939814814815</v>
      </c>
      <c r="D2283" s="1">
        <v>12.697423</v>
      </c>
      <c r="E2283" s="1">
        <v>79.97648</v>
      </c>
      <c r="F2283" s="1">
        <v>805.0</v>
      </c>
      <c r="G2283" s="1">
        <v>16.0</v>
      </c>
    </row>
    <row r="2284">
      <c r="A2284" s="1" t="s">
        <v>8</v>
      </c>
      <c r="B2284" s="2">
        <v>44718.0</v>
      </c>
      <c r="C2284" s="3">
        <v>0.7193055555555555</v>
      </c>
      <c r="D2284" s="1">
        <v>13.008727</v>
      </c>
      <c r="E2284" s="1">
        <v>80.210897</v>
      </c>
      <c r="F2284" s="1">
        <v>2846.0</v>
      </c>
      <c r="G2284" s="1">
        <v>44.0</v>
      </c>
    </row>
    <row r="2285">
      <c r="A2285" s="1" t="s">
        <v>8</v>
      </c>
      <c r="B2285" s="2">
        <v>44718.0</v>
      </c>
      <c r="C2285" s="3">
        <v>0.7193171296296297</v>
      </c>
      <c r="D2285" s="1">
        <v>12.697423</v>
      </c>
      <c r="E2285" s="1">
        <v>79.97648</v>
      </c>
      <c r="F2285" s="1">
        <v>805.0</v>
      </c>
      <c r="G2285" s="1">
        <v>16.0</v>
      </c>
    </row>
    <row r="2286">
      <c r="A2286" s="1" t="s">
        <v>8</v>
      </c>
      <c r="B2286" s="2">
        <v>44718.0</v>
      </c>
      <c r="C2286" s="3">
        <v>0.719375</v>
      </c>
      <c r="D2286" s="1">
        <v>13.009336</v>
      </c>
      <c r="E2286" s="1">
        <v>80.212542</v>
      </c>
      <c r="F2286" s="1">
        <v>2846.0</v>
      </c>
      <c r="G2286" s="1">
        <v>45.0</v>
      </c>
    </row>
    <row r="2287">
      <c r="A2287" s="1" t="s">
        <v>8</v>
      </c>
      <c r="B2287" s="2">
        <v>44718.0</v>
      </c>
      <c r="C2287" s="3">
        <v>0.7195370370370371</v>
      </c>
      <c r="D2287" s="1">
        <v>13.009336</v>
      </c>
      <c r="E2287" s="1">
        <v>80.212542</v>
      </c>
      <c r="F2287" s="1">
        <v>2846.0</v>
      </c>
      <c r="G2287" s="1">
        <v>45.0</v>
      </c>
    </row>
    <row r="2288">
      <c r="A2288" s="1" t="s">
        <v>7</v>
      </c>
      <c r="B2288" s="2">
        <v>44718.0</v>
      </c>
      <c r="C2288" s="3">
        <v>0.7197453703703703</v>
      </c>
      <c r="D2288" s="1">
        <v>13.010212</v>
      </c>
      <c r="E2288" s="1">
        <v>80.215329</v>
      </c>
      <c r="F2288" s="1">
        <v>2846.0</v>
      </c>
      <c r="G2288" s="1">
        <v>35.0</v>
      </c>
    </row>
    <row r="2289">
      <c r="A2289" s="1" t="s">
        <v>9</v>
      </c>
      <c r="B2289" s="2">
        <v>44718.0</v>
      </c>
      <c r="C2289" s="3">
        <v>0.7201967592592593</v>
      </c>
      <c r="D2289" s="1">
        <v>12.693969</v>
      </c>
      <c r="E2289" s="1">
        <v>79.978977</v>
      </c>
      <c r="F2289" s="1">
        <v>805.0</v>
      </c>
      <c r="G2289" s="1">
        <v>0.0</v>
      </c>
    </row>
    <row r="2290">
      <c r="A2290" s="1" t="s">
        <v>8</v>
      </c>
      <c r="B2290" s="2">
        <v>44718.0</v>
      </c>
      <c r="C2290" s="3">
        <v>0.7249189814814815</v>
      </c>
      <c r="D2290" s="1">
        <v>13.025763</v>
      </c>
      <c r="E2290" s="1">
        <v>80.230478</v>
      </c>
      <c r="F2290" s="1">
        <v>2846.0</v>
      </c>
      <c r="G2290" s="1">
        <v>0.0</v>
      </c>
    </row>
    <row r="2291">
      <c r="A2291" s="1" t="s">
        <v>8</v>
      </c>
      <c r="B2291" s="2">
        <v>44718.0</v>
      </c>
      <c r="C2291" s="3">
        <v>0.7253125</v>
      </c>
      <c r="D2291" s="1">
        <v>13.026215</v>
      </c>
      <c r="E2291" s="1">
        <v>80.23199</v>
      </c>
      <c r="F2291" s="1">
        <v>2846.0</v>
      </c>
      <c r="G2291" s="1">
        <v>35.0</v>
      </c>
    </row>
    <row r="2292">
      <c r="A2292" s="1" t="s">
        <v>8</v>
      </c>
      <c r="B2292" s="2">
        <v>44718.0</v>
      </c>
      <c r="C2292" s="3">
        <v>0.7255787037037037</v>
      </c>
      <c r="D2292" s="1">
        <v>12.68296</v>
      </c>
      <c r="E2292" s="1">
        <v>79.982962</v>
      </c>
      <c r="F2292" s="1">
        <v>805.0</v>
      </c>
      <c r="G2292" s="1">
        <v>10.0</v>
      </c>
    </row>
    <row r="2293">
      <c r="A2293" s="1" t="s">
        <v>8</v>
      </c>
      <c r="B2293" s="2">
        <v>44718.0</v>
      </c>
      <c r="C2293" s="3">
        <v>0.726712962962963</v>
      </c>
      <c r="D2293" s="1">
        <v>12.679746</v>
      </c>
      <c r="E2293" s="1">
        <v>79.980869</v>
      </c>
      <c r="F2293" s="1">
        <v>805.0</v>
      </c>
      <c r="G2293" s="1">
        <v>0.0</v>
      </c>
    </row>
    <row r="2294">
      <c r="A2294" s="1" t="s">
        <v>8</v>
      </c>
      <c r="B2294" s="2">
        <v>44718.0</v>
      </c>
      <c r="C2294" s="3">
        <v>0.7268055555555556</v>
      </c>
      <c r="D2294" s="1">
        <v>12.679746</v>
      </c>
      <c r="E2294" s="1">
        <v>79.980869</v>
      </c>
      <c r="F2294" s="1">
        <v>805.0</v>
      </c>
      <c r="G2294" s="1">
        <v>0.0</v>
      </c>
    </row>
    <row r="2295">
      <c r="A2295" s="1" t="s">
        <v>8</v>
      </c>
      <c r="B2295" s="2">
        <v>44718.0</v>
      </c>
      <c r="C2295" s="3">
        <v>0.7268171296296296</v>
      </c>
      <c r="D2295" s="1">
        <v>12.679746</v>
      </c>
      <c r="E2295" s="1">
        <v>79.980869</v>
      </c>
      <c r="F2295" s="1">
        <v>805.0</v>
      </c>
      <c r="G2295" s="1">
        <v>0.0</v>
      </c>
    </row>
    <row r="2296">
      <c r="A2296" s="1" t="s">
        <v>8</v>
      </c>
      <c r="B2296" s="2">
        <v>44718.0</v>
      </c>
      <c r="C2296" s="3">
        <v>0.7268171296296296</v>
      </c>
      <c r="D2296" s="1">
        <v>12.679746</v>
      </c>
      <c r="E2296" s="1">
        <v>79.980869</v>
      </c>
      <c r="F2296" s="1">
        <v>805.0</v>
      </c>
      <c r="G2296" s="1">
        <v>0.0</v>
      </c>
    </row>
    <row r="2297">
      <c r="A2297" s="1" t="s">
        <v>8</v>
      </c>
      <c r="B2297" s="2">
        <v>44718.0</v>
      </c>
      <c r="C2297" s="3">
        <v>0.7281365740740741</v>
      </c>
      <c r="D2297" s="1">
        <v>13.032996</v>
      </c>
      <c r="E2297" s="1">
        <v>80.243147</v>
      </c>
      <c r="F2297" s="1">
        <v>2846.0</v>
      </c>
      <c r="G2297" s="1">
        <v>7.0</v>
      </c>
    </row>
    <row r="2298">
      <c r="A2298" s="1" t="s">
        <v>8</v>
      </c>
      <c r="B2298" s="2">
        <v>44718.0</v>
      </c>
      <c r="C2298" s="3">
        <v>0.7282638888888889</v>
      </c>
      <c r="D2298" s="1">
        <v>12.675319</v>
      </c>
      <c r="E2298" s="1">
        <v>79.97774</v>
      </c>
      <c r="F2298" s="1">
        <v>805.0</v>
      </c>
      <c r="G2298" s="1">
        <v>0.0</v>
      </c>
    </row>
    <row r="2299">
      <c r="A2299" s="1" t="s">
        <v>7</v>
      </c>
      <c r="B2299" s="2">
        <v>44718.0</v>
      </c>
      <c r="C2299" s="3">
        <v>0.7294212962962963</v>
      </c>
      <c r="D2299" s="1">
        <v>12.668915</v>
      </c>
      <c r="E2299" s="1">
        <v>79.973937</v>
      </c>
      <c r="F2299" s="1">
        <v>805.0</v>
      </c>
      <c r="G2299" s="1">
        <v>62.0</v>
      </c>
    </row>
    <row r="2300">
      <c r="A2300" s="1" t="s">
        <v>7</v>
      </c>
      <c r="B2300" s="2">
        <v>44718.0</v>
      </c>
      <c r="C2300" s="3">
        <v>0.7303009259259259</v>
      </c>
      <c r="D2300" s="1">
        <v>12.661364</v>
      </c>
      <c r="E2300" s="1">
        <v>79.966856</v>
      </c>
      <c r="F2300" s="1">
        <v>805.0</v>
      </c>
      <c r="G2300" s="1">
        <v>31.0</v>
      </c>
    </row>
    <row r="2301">
      <c r="A2301" s="1" t="s">
        <v>7</v>
      </c>
      <c r="B2301" s="2">
        <v>44718.0</v>
      </c>
      <c r="C2301" s="3">
        <v>0.7303703703703703</v>
      </c>
      <c r="D2301" s="1">
        <v>12.661364</v>
      </c>
      <c r="E2301" s="1">
        <v>79.966856</v>
      </c>
      <c r="F2301" s="1">
        <v>805.0</v>
      </c>
      <c r="G2301" s="1">
        <v>31.0</v>
      </c>
    </row>
    <row r="2302">
      <c r="A2302" s="1" t="s">
        <v>7</v>
      </c>
      <c r="B2302" s="2">
        <v>44718.0</v>
      </c>
      <c r="C2302" s="3">
        <v>0.7309606481481481</v>
      </c>
      <c r="D2302" s="1">
        <v>12.658509</v>
      </c>
      <c r="E2302" s="1">
        <v>79.960816</v>
      </c>
      <c r="F2302" s="1">
        <v>805.0</v>
      </c>
      <c r="G2302" s="1">
        <v>58.0</v>
      </c>
    </row>
    <row r="2303">
      <c r="A2303" s="1" t="s">
        <v>7</v>
      </c>
      <c r="B2303" s="2">
        <v>44718.0</v>
      </c>
      <c r="C2303" s="3">
        <v>0.73125</v>
      </c>
      <c r="D2303" s="1">
        <v>12.657383</v>
      </c>
      <c r="E2303" s="1">
        <v>79.95784</v>
      </c>
      <c r="F2303" s="1">
        <v>805.0</v>
      </c>
      <c r="G2303" s="1">
        <v>0.0</v>
      </c>
    </row>
    <row r="2304">
      <c r="A2304" s="1" t="s">
        <v>8</v>
      </c>
      <c r="B2304" s="2">
        <v>44718.0</v>
      </c>
      <c r="C2304" s="3">
        <v>0.7318634259259259</v>
      </c>
      <c r="D2304" s="1">
        <v>12.655971</v>
      </c>
      <c r="E2304" s="1">
        <v>79.95377</v>
      </c>
      <c r="F2304" s="1">
        <v>805.0</v>
      </c>
      <c r="G2304" s="1">
        <v>58.0</v>
      </c>
    </row>
    <row r="2305">
      <c r="A2305" s="1" t="s">
        <v>8</v>
      </c>
      <c r="B2305" s="2">
        <v>44718.0</v>
      </c>
      <c r="C2305" s="3">
        <v>0.7318981481481481</v>
      </c>
      <c r="D2305" s="1">
        <v>12.655971</v>
      </c>
      <c r="E2305" s="1">
        <v>79.95377</v>
      </c>
      <c r="F2305" s="1">
        <v>805.0</v>
      </c>
      <c r="G2305" s="1">
        <v>58.0</v>
      </c>
    </row>
    <row r="2306">
      <c r="A2306" s="1" t="s">
        <v>7</v>
      </c>
      <c r="B2306" s="2">
        <v>44718.0</v>
      </c>
      <c r="C2306" s="3">
        <v>0.7326273148148148</v>
      </c>
      <c r="D2306" s="1">
        <v>12.656547</v>
      </c>
      <c r="E2306" s="1">
        <v>79.94943</v>
      </c>
      <c r="F2306" s="1">
        <v>805.0</v>
      </c>
      <c r="G2306" s="1">
        <v>46.0</v>
      </c>
    </row>
    <row r="2307">
      <c r="A2307" s="1" t="s">
        <v>8</v>
      </c>
      <c r="B2307" s="2">
        <v>44718.0</v>
      </c>
      <c r="C2307" s="3">
        <v>0.7326273148148148</v>
      </c>
      <c r="D2307" s="1">
        <v>13.043596</v>
      </c>
      <c r="E2307" s="1">
        <v>80.247678</v>
      </c>
      <c r="F2307" s="1">
        <v>2846.0</v>
      </c>
      <c r="G2307" s="1">
        <v>20.0</v>
      </c>
    </row>
    <row r="2308">
      <c r="A2308" s="1" t="s">
        <v>8</v>
      </c>
      <c r="B2308" s="2">
        <v>44718.0</v>
      </c>
      <c r="C2308" s="3">
        <v>0.7330671296296296</v>
      </c>
      <c r="D2308" s="1">
        <v>12.657724</v>
      </c>
      <c r="E2308" s="1">
        <v>79.945376</v>
      </c>
      <c r="F2308" s="1">
        <v>805.0</v>
      </c>
      <c r="G2308" s="1">
        <v>39.0</v>
      </c>
    </row>
    <row r="2309">
      <c r="A2309" s="1" t="s">
        <v>8</v>
      </c>
      <c r="B2309" s="2">
        <v>44718.0</v>
      </c>
      <c r="C2309" s="3">
        <v>0.7331944444444445</v>
      </c>
      <c r="D2309" s="1">
        <v>12.655985</v>
      </c>
      <c r="E2309" s="1">
        <v>79.941914</v>
      </c>
      <c r="F2309" s="1">
        <v>805.0</v>
      </c>
      <c r="G2309" s="1">
        <v>58.0</v>
      </c>
    </row>
    <row r="2310">
      <c r="A2310" s="1" t="s">
        <v>8</v>
      </c>
      <c r="B2310" s="2">
        <v>44718.0</v>
      </c>
      <c r="C2310" s="3">
        <v>0.7333680555555555</v>
      </c>
      <c r="D2310" s="1">
        <v>12.653673</v>
      </c>
      <c r="E2310" s="1">
        <v>79.94231</v>
      </c>
      <c r="F2310" s="1">
        <v>805.0</v>
      </c>
      <c r="G2310" s="1">
        <v>58.0</v>
      </c>
    </row>
    <row r="2311">
      <c r="A2311" s="1" t="s">
        <v>7</v>
      </c>
      <c r="B2311" s="2">
        <v>44718.0</v>
      </c>
      <c r="C2311" s="3">
        <v>0.7334259259259259</v>
      </c>
      <c r="D2311" s="1">
        <v>12.653673</v>
      </c>
      <c r="E2311" s="1">
        <v>79.94231</v>
      </c>
      <c r="F2311" s="1">
        <v>805.0</v>
      </c>
      <c r="G2311" s="1">
        <v>58.0</v>
      </c>
    </row>
    <row r="2312">
      <c r="A2312" s="1" t="s">
        <v>7</v>
      </c>
      <c r="B2312" s="2">
        <v>44718.0</v>
      </c>
      <c r="C2312" s="3">
        <v>0.7334837962962963</v>
      </c>
      <c r="D2312" s="1">
        <v>12.651391</v>
      </c>
      <c r="E2312" s="1">
        <v>79.941856</v>
      </c>
      <c r="F2312" s="1">
        <v>805.0</v>
      </c>
      <c r="G2312" s="1">
        <v>58.0</v>
      </c>
    </row>
    <row r="2313">
      <c r="A2313" s="1" t="s">
        <v>8</v>
      </c>
      <c r="B2313" s="2">
        <v>44718.0</v>
      </c>
      <c r="C2313" s="3">
        <v>0.7336342592592593</v>
      </c>
      <c r="D2313" s="1">
        <v>13.045256</v>
      </c>
      <c r="E2313" s="1">
        <v>80.247964</v>
      </c>
      <c r="F2313" s="1">
        <v>2846.0</v>
      </c>
      <c r="G2313" s="1">
        <v>9.0</v>
      </c>
    </row>
    <row r="2314">
      <c r="A2314" s="1" t="s">
        <v>7</v>
      </c>
      <c r="B2314" s="2">
        <v>44718.0</v>
      </c>
      <c r="C2314" s="3">
        <v>0.7346296296296296</v>
      </c>
      <c r="D2314" s="1">
        <v>12.637849</v>
      </c>
      <c r="E2314" s="1">
        <v>79.93509</v>
      </c>
      <c r="F2314" s="1">
        <v>805.0</v>
      </c>
      <c r="G2314" s="1">
        <v>58.0</v>
      </c>
    </row>
    <row r="2315">
      <c r="A2315" s="1" t="s">
        <v>8</v>
      </c>
      <c r="B2315" s="2">
        <v>44718.0</v>
      </c>
      <c r="C2315" s="3">
        <v>0.7351620370370371</v>
      </c>
      <c r="D2315" s="1">
        <v>12.631542</v>
      </c>
      <c r="E2315" s="1">
        <v>79.931883</v>
      </c>
      <c r="F2315" s="1">
        <v>805.0</v>
      </c>
      <c r="G2315" s="1">
        <v>58.0</v>
      </c>
    </row>
    <row r="2316">
      <c r="A2316" s="1" t="s">
        <v>7</v>
      </c>
      <c r="B2316" s="2">
        <v>44718.0</v>
      </c>
      <c r="C2316" s="3">
        <v>0.736099537037037</v>
      </c>
      <c r="D2316" s="1">
        <v>12.621946</v>
      </c>
      <c r="E2316" s="1">
        <v>79.927759</v>
      </c>
      <c r="F2316" s="1">
        <v>805.0</v>
      </c>
      <c r="G2316" s="1">
        <v>58.0</v>
      </c>
    </row>
    <row r="2317">
      <c r="A2317" s="1" t="s">
        <v>7</v>
      </c>
      <c r="B2317" s="2">
        <v>44718.0</v>
      </c>
      <c r="C2317" s="3">
        <v>0.7361921296296297</v>
      </c>
      <c r="D2317" s="1">
        <v>12.621946</v>
      </c>
      <c r="E2317" s="1">
        <v>79.927759</v>
      </c>
      <c r="F2317" s="1">
        <v>805.0</v>
      </c>
      <c r="G2317" s="1">
        <v>58.0</v>
      </c>
    </row>
    <row r="2318">
      <c r="A2318" s="1" t="s">
        <v>10</v>
      </c>
      <c r="B2318" s="2">
        <v>44718.0</v>
      </c>
      <c r="C2318" s="3">
        <v>0.7361921296296297</v>
      </c>
      <c r="D2318" s="1">
        <v>13.057434</v>
      </c>
      <c r="E2318" s="1">
        <v>80.257713</v>
      </c>
      <c r="F2318" s="1">
        <v>2846.0</v>
      </c>
      <c r="G2318" s="1">
        <v>5.0</v>
      </c>
    </row>
    <row r="2319">
      <c r="A2319" s="1" t="s">
        <v>8</v>
      </c>
      <c r="B2319" s="2">
        <v>44718.0</v>
      </c>
      <c r="C2319" s="3">
        <v>0.7363888888888889</v>
      </c>
      <c r="D2319" s="1">
        <v>13.057105</v>
      </c>
      <c r="E2319" s="1">
        <v>80.25774</v>
      </c>
      <c r="F2319" s="1">
        <v>2846.0</v>
      </c>
      <c r="G2319" s="1">
        <v>7.0</v>
      </c>
    </row>
    <row r="2320">
      <c r="A2320" s="1" t="s">
        <v>7</v>
      </c>
      <c r="B2320" s="2">
        <v>44718.0</v>
      </c>
      <c r="C2320" s="3">
        <v>0.7364236111111111</v>
      </c>
      <c r="D2320" s="1">
        <v>12.619562</v>
      </c>
      <c r="E2320" s="1">
        <v>79.927061</v>
      </c>
      <c r="F2320" s="1">
        <v>805.0</v>
      </c>
      <c r="G2320" s="1">
        <v>58.0</v>
      </c>
    </row>
    <row r="2321">
      <c r="A2321" s="1" t="s">
        <v>7</v>
      </c>
      <c r="B2321" s="2">
        <v>44718.0</v>
      </c>
      <c r="C2321" s="3">
        <v>0.736550925925926</v>
      </c>
      <c r="D2321" s="1">
        <v>12.617282</v>
      </c>
      <c r="E2321" s="1">
        <v>79.926494</v>
      </c>
      <c r="F2321" s="1">
        <v>805.0</v>
      </c>
      <c r="G2321" s="1">
        <v>58.0</v>
      </c>
    </row>
    <row r="2322">
      <c r="A2322" s="1" t="s">
        <v>7</v>
      </c>
      <c r="B2322" s="2">
        <v>44718.0</v>
      </c>
      <c r="C2322" s="3">
        <v>0.7367361111111111</v>
      </c>
      <c r="D2322" s="1">
        <v>12.615085</v>
      </c>
      <c r="E2322" s="1">
        <v>79.92566</v>
      </c>
      <c r="F2322" s="1">
        <v>805.0</v>
      </c>
      <c r="G2322" s="1">
        <v>58.0</v>
      </c>
    </row>
    <row r="2323">
      <c r="A2323" s="1" t="s">
        <v>7</v>
      </c>
      <c r="B2323" s="2">
        <v>44718.0</v>
      </c>
      <c r="C2323" s="3">
        <v>0.7373263888888889</v>
      </c>
      <c r="D2323" s="1">
        <v>12.608969</v>
      </c>
      <c r="E2323" s="1">
        <v>79.922161</v>
      </c>
      <c r="F2323" s="1">
        <v>805.0</v>
      </c>
      <c r="G2323" s="1">
        <v>58.0</v>
      </c>
    </row>
    <row r="2324">
      <c r="A2324" s="1" t="s">
        <v>8</v>
      </c>
      <c r="B2324" s="2">
        <v>44718.0</v>
      </c>
      <c r="C2324" s="3">
        <v>0.7374074074074074</v>
      </c>
      <c r="D2324" s="1">
        <v>13.054441</v>
      </c>
      <c r="E2324" s="1">
        <v>80.25853</v>
      </c>
      <c r="F2324" s="1">
        <v>2846.0</v>
      </c>
      <c r="G2324" s="1">
        <v>12.0</v>
      </c>
    </row>
    <row r="2325">
      <c r="A2325" s="1" t="s">
        <v>8</v>
      </c>
      <c r="B2325" s="2">
        <v>44718.0</v>
      </c>
      <c r="C2325" s="3">
        <v>0.7374421296296296</v>
      </c>
      <c r="D2325" s="1">
        <v>13.054384</v>
      </c>
      <c r="E2325" s="1">
        <v>80.259538</v>
      </c>
      <c r="F2325" s="1">
        <v>2846.0</v>
      </c>
      <c r="G2325" s="1">
        <v>21.0</v>
      </c>
    </row>
    <row r="2326">
      <c r="A2326" s="1" t="s">
        <v>8</v>
      </c>
      <c r="B2326" s="2">
        <v>44718.0</v>
      </c>
      <c r="C2326" s="3">
        <v>0.7374421296296296</v>
      </c>
      <c r="D2326" s="1">
        <v>13.054384</v>
      </c>
      <c r="E2326" s="1">
        <v>80.259538</v>
      </c>
      <c r="F2326" s="1">
        <v>2846.0</v>
      </c>
      <c r="G2326" s="1">
        <v>21.0</v>
      </c>
    </row>
    <row r="2327">
      <c r="A2327" s="1" t="s">
        <v>7</v>
      </c>
      <c r="B2327" s="2">
        <v>44718.0</v>
      </c>
      <c r="C2327" s="3">
        <v>0.7376273148148148</v>
      </c>
      <c r="D2327" s="1">
        <v>12.604646</v>
      </c>
      <c r="E2327" s="1">
        <v>79.920602</v>
      </c>
      <c r="F2327" s="1">
        <v>805.0</v>
      </c>
      <c r="G2327" s="1">
        <v>57.0</v>
      </c>
    </row>
    <row r="2328">
      <c r="A2328" s="1" t="s">
        <v>8</v>
      </c>
      <c r="B2328" s="2">
        <v>44718.0</v>
      </c>
      <c r="C2328" s="3">
        <v>0.737824074074074</v>
      </c>
      <c r="D2328" s="1">
        <v>13.054135</v>
      </c>
      <c r="E2328" s="1">
        <v>80.261461</v>
      </c>
      <c r="F2328" s="1">
        <v>2846.0</v>
      </c>
      <c r="G2328" s="1">
        <v>20.0</v>
      </c>
    </row>
    <row r="2329">
      <c r="A2329" s="1" t="s">
        <v>7</v>
      </c>
      <c r="B2329" s="2">
        <v>44718.0</v>
      </c>
      <c r="C2329" s="3">
        <v>0.7378356481481482</v>
      </c>
      <c r="D2329" s="1">
        <v>12.602316</v>
      </c>
      <c r="E2329" s="1">
        <v>79.920231</v>
      </c>
      <c r="F2329" s="1">
        <v>805.0</v>
      </c>
      <c r="G2329" s="1">
        <v>58.0</v>
      </c>
    </row>
    <row r="2330">
      <c r="A2330" s="1" t="s">
        <v>7</v>
      </c>
      <c r="B2330" s="2">
        <v>44718.0</v>
      </c>
      <c r="C2330" s="3">
        <v>0.7379861111111111</v>
      </c>
      <c r="D2330" s="1">
        <v>12.599979</v>
      </c>
      <c r="E2330" s="1">
        <v>79.919975</v>
      </c>
      <c r="F2330" s="1">
        <v>805.0</v>
      </c>
      <c r="G2330" s="1">
        <v>58.0</v>
      </c>
    </row>
    <row r="2331">
      <c r="A2331" s="1" t="s">
        <v>7</v>
      </c>
      <c r="B2331" s="2">
        <v>44718.0</v>
      </c>
      <c r="C2331" s="3">
        <v>0.7383333333333333</v>
      </c>
      <c r="D2331" s="1">
        <v>12.59531</v>
      </c>
      <c r="E2331" s="1">
        <v>79.919451</v>
      </c>
      <c r="F2331" s="1">
        <v>805.0</v>
      </c>
      <c r="G2331" s="1">
        <v>58.0</v>
      </c>
    </row>
    <row r="2332">
      <c r="A2332" s="1" t="s">
        <v>10</v>
      </c>
      <c r="B2332" s="2">
        <v>44718.0</v>
      </c>
      <c r="C2332" s="3">
        <v>0.7384375</v>
      </c>
      <c r="D2332" s="1">
        <v>13.053828</v>
      </c>
      <c r="E2332" s="1">
        <v>80.264857</v>
      </c>
      <c r="F2332" s="1">
        <v>2846.0</v>
      </c>
      <c r="G2332" s="1">
        <v>35.0</v>
      </c>
    </row>
    <row r="2333">
      <c r="A2333" s="1" t="s">
        <v>7</v>
      </c>
      <c r="B2333" s="2">
        <v>44718.0</v>
      </c>
      <c r="C2333" s="3">
        <v>0.7384606481481482</v>
      </c>
      <c r="D2333" s="1">
        <v>12.59531</v>
      </c>
      <c r="E2333" s="1">
        <v>79.919451</v>
      </c>
      <c r="F2333" s="1">
        <v>805.0</v>
      </c>
      <c r="G2333" s="1">
        <v>58.0</v>
      </c>
    </row>
    <row r="2334">
      <c r="A2334" s="1" t="s">
        <v>7</v>
      </c>
      <c r="B2334" s="2">
        <v>44718.0</v>
      </c>
      <c r="C2334" s="3">
        <v>0.7385416666666667</v>
      </c>
      <c r="D2334" s="1">
        <v>12.59531</v>
      </c>
      <c r="E2334" s="1">
        <v>79.919451</v>
      </c>
      <c r="F2334" s="1">
        <v>805.0</v>
      </c>
      <c r="G2334" s="1">
        <v>58.0</v>
      </c>
    </row>
    <row r="2335">
      <c r="A2335" s="1" t="s">
        <v>7</v>
      </c>
      <c r="B2335" s="2">
        <v>44718.0</v>
      </c>
      <c r="C2335" s="3">
        <v>0.7388194444444445</v>
      </c>
      <c r="D2335" s="1">
        <v>12.592984</v>
      </c>
      <c r="E2335" s="1">
        <v>79.919228</v>
      </c>
      <c r="F2335" s="1">
        <v>805.0</v>
      </c>
      <c r="G2335" s="1">
        <v>58.0</v>
      </c>
    </row>
    <row r="2336">
      <c r="A2336" s="1" t="s">
        <v>10</v>
      </c>
      <c r="B2336" s="2">
        <v>44718.0</v>
      </c>
      <c r="C2336" s="3">
        <v>0.7388773148148148</v>
      </c>
      <c r="D2336" s="1">
        <v>13.053698</v>
      </c>
      <c r="E2336" s="1">
        <v>80.266259</v>
      </c>
      <c r="F2336" s="1">
        <v>2846.0</v>
      </c>
      <c r="G2336" s="1">
        <v>33.0</v>
      </c>
    </row>
    <row r="2337">
      <c r="A2337" s="1" t="s">
        <v>10</v>
      </c>
      <c r="B2337" s="2">
        <v>44718.0</v>
      </c>
      <c r="C2337" s="3">
        <v>0.7389930555555555</v>
      </c>
      <c r="D2337" s="1">
        <v>13.053698</v>
      </c>
      <c r="E2337" s="1">
        <v>80.266259</v>
      </c>
      <c r="F2337" s="1">
        <v>2846.0</v>
      </c>
      <c r="G2337" s="1">
        <v>33.0</v>
      </c>
    </row>
    <row r="2338">
      <c r="A2338" s="1" t="s">
        <v>7</v>
      </c>
      <c r="B2338" s="2">
        <v>44718.0</v>
      </c>
      <c r="C2338" s="3">
        <v>0.7395601851851852</v>
      </c>
      <c r="D2338" s="1">
        <v>12.588161</v>
      </c>
      <c r="E2338" s="1">
        <v>79.919448</v>
      </c>
      <c r="F2338" s="1">
        <v>805.0</v>
      </c>
      <c r="G2338" s="1">
        <v>58.0</v>
      </c>
    </row>
    <row r="2339">
      <c r="A2339" s="1" t="s">
        <v>7</v>
      </c>
      <c r="B2339" s="2">
        <v>44718.0</v>
      </c>
      <c r="C2339" s="3">
        <v>0.7397337962962963</v>
      </c>
      <c r="D2339" s="1">
        <v>12.585813</v>
      </c>
      <c r="E2339" s="1">
        <v>79.919449</v>
      </c>
      <c r="F2339" s="1">
        <v>805.0</v>
      </c>
      <c r="G2339" s="1">
        <v>58.0</v>
      </c>
    </row>
    <row r="2340">
      <c r="A2340" s="1" t="s">
        <v>7</v>
      </c>
      <c r="B2340" s="2">
        <v>44718.0</v>
      </c>
      <c r="C2340" s="3">
        <v>0.7399652777777778</v>
      </c>
      <c r="D2340" s="1">
        <v>12.579009</v>
      </c>
      <c r="E2340" s="1">
        <v>79.917922</v>
      </c>
      <c r="F2340" s="1">
        <v>805.0</v>
      </c>
      <c r="G2340" s="1">
        <v>58.0</v>
      </c>
    </row>
    <row r="2341">
      <c r="A2341" s="1" t="s">
        <v>10</v>
      </c>
      <c r="B2341" s="2">
        <v>44718.0</v>
      </c>
      <c r="C2341" s="3">
        <v>0.7400925925925926</v>
      </c>
      <c r="D2341" s="1">
        <v>13.053354</v>
      </c>
      <c r="E2341" s="1">
        <v>80.270354</v>
      </c>
      <c r="F2341" s="1">
        <v>2846.0</v>
      </c>
      <c r="G2341" s="1">
        <v>15.0</v>
      </c>
    </row>
    <row r="2342">
      <c r="A2342" s="1" t="s">
        <v>7</v>
      </c>
      <c r="B2342" s="2">
        <v>44718.0</v>
      </c>
      <c r="C2342" s="3">
        <v>0.7403240740740741</v>
      </c>
      <c r="D2342" s="1">
        <v>12.574463</v>
      </c>
      <c r="E2342" s="1">
        <v>79.916815</v>
      </c>
      <c r="F2342" s="1">
        <v>805.0</v>
      </c>
      <c r="G2342" s="1">
        <v>58.0</v>
      </c>
    </row>
    <row r="2343">
      <c r="A2343" s="1" t="s">
        <v>7</v>
      </c>
      <c r="B2343" s="2">
        <v>44718.0</v>
      </c>
      <c r="C2343" s="3">
        <v>0.7409259259259259</v>
      </c>
      <c r="D2343" s="1">
        <v>12.563294</v>
      </c>
      <c r="E2343" s="1">
        <v>79.913252</v>
      </c>
      <c r="F2343" s="1">
        <v>805.0</v>
      </c>
      <c r="G2343" s="1">
        <v>58.0</v>
      </c>
    </row>
    <row r="2344">
      <c r="A2344" s="1" t="s">
        <v>8</v>
      </c>
      <c r="B2344" s="2">
        <v>44718.0</v>
      </c>
      <c r="C2344" s="3">
        <v>0.7410300925925926</v>
      </c>
      <c r="D2344" s="1">
        <v>12.563294</v>
      </c>
      <c r="E2344" s="1">
        <v>79.913252</v>
      </c>
      <c r="F2344" s="1">
        <v>805.0</v>
      </c>
      <c r="G2344" s="1">
        <v>58.0</v>
      </c>
    </row>
    <row r="2345">
      <c r="A2345" s="1" t="s">
        <v>10</v>
      </c>
      <c r="B2345" s="2">
        <v>44718.0</v>
      </c>
      <c r="C2345" s="3">
        <v>0.7410763888888889</v>
      </c>
      <c r="D2345" s="1">
        <v>13.053119</v>
      </c>
      <c r="E2345" s="1">
        <v>80.272172</v>
      </c>
      <c r="F2345" s="1">
        <v>2846.0</v>
      </c>
      <c r="G2345" s="1">
        <v>5.0</v>
      </c>
    </row>
    <row r="2346">
      <c r="A2346" s="1" t="s">
        <v>7</v>
      </c>
      <c r="B2346" s="2">
        <v>44718.0</v>
      </c>
      <c r="C2346" s="3">
        <v>0.7416666666666667</v>
      </c>
      <c r="D2346" s="1">
        <v>12.555165</v>
      </c>
      <c r="E2346" s="1">
        <v>79.908514</v>
      </c>
      <c r="F2346" s="1">
        <v>805.0</v>
      </c>
      <c r="G2346" s="1">
        <v>58.0</v>
      </c>
    </row>
    <row r="2347">
      <c r="A2347" s="1" t="s">
        <v>7</v>
      </c>
      <c r="B2347" s="2">
        <v>44718.0</v>
      </c>
      <c r="C2347" s="3">
        <v>0.7417939814814815</v>
      </c>
      <c r="D2347" s="1">
        <v>12.555165</v>
      </c>
      <c r="E2347" s="1">
        <v>79.908514</v>
      </c>
      <c r="F2347" s="1">
        <v>805.0</v>
      </c>
      <c r="G2347" s="1">
        <v>58.0</v>
      </c>
    </row>
    <row r="2348">
      <c r="A2348" s="1" t="s">
        <v>7</v>
      </c>
      <c r="B2348" s="2">
        <v>44718.0</v>
      </c>
      <c r="C2348" s="3">
        <v>0.742037037037037</v>
      </c>
      <c r="D2348" s="1">
        <v>12.55088</v>
      </c>
      <c r="E2348" s="1">
        <v>79.906567</v>
      </c>
      <c r="F2348" s="1">
        <v>805.0</v>
      </c>
      <c r="G2348" s="1">
        <v>58.0</v>
      </c>
    </row>
    <row r="2349">
      <c r="A2349" s="1" t="s">
        <v>10</v>
      </c>
      <c r="B2349" s="2">
        <v>44718.0</v>
      </c>
      <c r="C2349" s="3">
        <v>0.7422569444444445</v>
      </c>
      <c r="D2349" s="1">
        <v>13.055147</v>
      </c>
      <c r="E2349" s="1">
        <v>80.273756</v>
      </c>
      <c r="F2349" s="1">
        <v>2846.0</v>
      </c>
      <c r="G2349" s="1">
        <v>2.0</v>
      </c>
    </row>
    <row r="2350">
      <c r="A2350" s="1" t="s">
        <v>10</v>
      </c>
      <c r="B2350" s="2">
        <v>44718.0</v>
      </c>
      <c r="C2350" s="3">
        <v>0.742349537037037</v>
      </c>
      <c r="D2350" s="1">
        <v>13.056124</v>
      </c>
      <c r="E2350" s="1">
        <v>80.273803</v>
      </c>
      <c r="F2350" s="1">
        <v>2846.0</v>
      </c>
      <c r="G2350" s="1">
        <v>0.0</v>
      </c>
    </row>
    <row r="2351">
      <c r="A2351" s="1" t="s">
        <v>10</v>
      </c>
      <c r="B2351" s="2">
        <v>44718.0</v>
      </c>
      <c r="C2351" s="3">
        <v>0.7424537037037037</v>
      </c>
      <c r="D2351" s="1">
        <v>12.546286</v>
      </c>
      <c r="E2351" s="1">
        <v>79.9055</v>
      </c>
      <c r="F2351" s="1">
        <v>805.0</v>
      </c>
      <c r="G2351" s="1">
        <v>57.0</v>
      </c>
    </row>
    <row r="2352">
      <c r="A2352" s="1" t="s">
        <v>10</v>
      </c>
      <c r="B2352" s="2">
        <v>44718.0</v>
      </c>
      <c r="C2352" s="3">
        <v>0.7424884259259259</v>
      </c>
      <c r="D2352" s="1">
        <v>13.056124</v>
      </c>
      <c r="E2352" s="1">
        <v>80.273803</v>
      </c>
      <c r="F2352" s="1">
        <v>2846.0</v>
      </c>
      <c r="G2352" s="1">
        <v>0.0</v>
      </c>
    </row>
    <row r="2353">
      <c r="A2353" s="1" t="s">
        <v>10</v>
      </c>
      <c r="B2353" s="2">
        <v>44718.0</v>
      </c>
      <c r="C2353" s="3">
        <v>0.7426851851851852</v>
      </c>
      <c r="D2353" s="1">
        <v>13.056207</v>
      </c>
      <c r="E2353" s="1">
        <v>80.273796</v>
      </c>
      <c r="F2353" s="1">
        <v>2846.0</v>
      </c>
      <c r="G2353" s="1">
        <v>3.0</v>
      </c>
    </row>
    <row r="2354">
      <c r="A2354" s="1" t="s">
        <v>10</v>
      </c>
      <c r="B2354" s="2">
        <v>44718.0</v>
      </c>
      <c r="C2354" s="3">
        <v>0.7427777777777778</v>
      </c>
      <c r="D2354" s="1">
        <v>13.056207</v>
      </c>
      <c r="E2354" s="1">
        <v>80.273796</v>
      </c>
      <c r="F2354" s="1">
        <v>2846.0</v>
      </c>
      <c r="G2354" s="1">
        <v>3.0</v>
      </c>
    </row>
    <row r="2355">
      <c r="A2355" s="1" t="s">
        <v>7</v>
      </c>
      <c r="B2355" s="2">
        <v>44718.0</v>
      </c>
      <c r="C2355" s="3">
        <v>0.742800925925926</v>
      </c>
      <c r="D2355" s="1">
        <v>12.544478</v>
      </c>
      <c r="E2355" s="1">
        <v>79.905174</v>
      </c>
      <c r="F2355" s="1">
        <v>805.0</v>
      </c>
      <c r="G2355" s="1">
        <v>15.0</v>
      </c>
    </row>
    <row r="2356">
      <c r="A2356" s="1" t="s">
        <v>10</v>
      </c>
      <c r="B2356" s="2">
        <v>44718.0</v>
      </c>
      <c r="C2356" s="3">
        <v>0.7428703703703704</v>
      </c>
      <c r="D2356" s="1">
        <v>13.056475</v>
      </c>
      <c r="E2356" s="1">
        <v>80.273835</v>
      </c>
      <c r="F2356" s="1">
        <v>2846.0</v>
      </c>
      <c r="G2356" s="1">
        <v>4.0</v>
      </c>
    </row>
    <row r="2357">
      <c r="A2357" s="1" t="s">
        <v>7</v>
      </c>
      <c r="B2357" s="2">
        <v>44718.0</v>
      </c>
      <c r="C2357" s="3">
        <v>0.7429745370370371</v>
      </c>
      <c r="D2357" s="1">
        <v>12.544478</v>
      </c>
      <c r="E2357" s="1">
        <v>79.905174</v>
      </c>
      <c r="F2357" s="1">
        <v>805.0</v>
      </c>
      <c r="G2357" s="1">
        <v>15.0</v>
      </c>
    </row>
    <row r="2358">
      <c r="A2358" s="1" t="s">
        <v>8</v>
      </c>
      <c r="B2358" s="2">
        <v>44718.0</v>
      </c>
      <c r="C2358" s="3">
        <v>0.7434259259259259</v>
      </c>
      <c r="D2358" s="1">
        <v>12.541</v>
      </c>
      <c r="E2358" s="1">
        <v>79.904526</v>
      </c>
      <c r="F2358" s="1">
        <v>805.0</v>
      </c>
      <c r="G2358" s="1">
        <v>62.0</v>
      </c>
    </row>
    <row r="2359">
      <c r="A2359" s="1" t="s">
        <v>10</v>
      </c>
      <c r="B2359" s="2">
        <v>44718.0</v>
      </c>
      <c r="C2359" s="3">
        <v>0.7435416666666667</v>
      </c>
      <c r="D2359" s="1">
        <v>13.059285</v>
      </c>
      <c r="E2359" s="1">
        <v>80.274176</v>
      </c>
      <c r="F2359" s="1">
        <v>2846.0</v>
      </c>
      <c r="G2359" s="1">
        <v>7.0</v>
      </c>
    </row>
    <row r="2360">
      <c r="A2360" s="1" t="s">
        <v>7</v>
      </c>
      <c r="B2360" s="2">
        <v>44718.0</v>
      </c>
      <c r="C2360" s="3">
        <v>0.7435648148148148</v>
      </c>
      <c r="D2360" s="1">
        <v>12.541</v>
      </c>
      <c r="E2360" s="1">
        <v>79.904526</v>
      </c>
      <c r="F2360" s="1">
        <v>805.0</v>
      </c>
      <c r="G2360" s="1">
        <v>62.0</v>
      </c>
    </row>
    <row r="2361">
      <c r="A2361" s="1" t="s">
        <v>7</v>
      </c>
      <c r="B2361" s="2">
        <v>44718.0</v>
      </c>
      <c r="C2361" s="3">
        <v>0.7438078703703703</v>
      </c>
      <c r="D2361" s="1">
        <v>12.538675</v>
      </c>
      <c r="E2361" s="1">
        <v>79.904056</v>
      </c>
      <c r="F2361" s="1">
        <v>805.0</v>
      </c>
      <c r="G2361" s="1">
        <v>58.0</v>
      </c>
    </row>
    <row r="2362">
      <c r="A2362" s="1" t="s">
        <v>10</v>
      </c>
      <c r="B2362" s="2">
        <v>44718.0</v>
      </c>
      <c r="C2362" s="3">
        <v>0.744375</v>
      </c>
      <c r="D2362" s="1">
        <v>13.062161</v>
      </c>
      <c r="E2362" s="1">
        <v>80.274226</v>
      </c>
      <c r="F2362" s="1">
        <v>2846.0</v>
      </c>
      <c r="G2362" s="1">
        <v>20.0</v>
      </c>
    </row>
    <row r="2363">
      <c r="A2363" s="1" t="s">
        <v>7</v>
      </c>
      <c r="B2363" s="2">
        <v>44718.0</v>
      </c>
      <c r="C2363" s="3">
        <v>0.7444444444444445</v>
      </c>
      <c r="D2363" s="1">
        <v>12.530739</v>
      </c>
      <c r="E2363" s="1">
        <v>79.899918</v>
      </c>
      <c r="F2363" s="1">
        <v>805.0</v>
      </c>
      <c r="G2363" s="1">
        <v>57.0</v>
      </c>
    </row>
    <row r="2364">
      <c r="A2364" s="1" t="s">
        <v>7</v>
      </c>
      <c r="B2364" s="2">
        <v>44718.0</v>
      </c>
      <c r="C2364" s="3">
        <v>0.7445717592592592</v>
      </c>
      <c r="D2364" s="1">
        <v>12.530739</v>
      </c>
      <c r="E2364" s="1">
        <v>79.899918</v>
      </c>
      <c r="F2364" s="1">
        <v>805.0</v>
      </c>
      <c r="G2364" s="1">
        <v>57.0</v>
      </c>
    </row>
    <row r="2365">
      <c r="A2365" s="1" t="s">
        <v>10</v>
      </c>
      <c r="B2365" s="2">
        <v>44718.0</v>
      </c>
      <c r="C2365" s="3">
        <v>0.7447685185185186</v>
      </c>
      <c r="D2365" s="1">
        <v>13.062754</v>
      </c>
      <c r="E2365" s="1">
        <v>80.274141</v>
      </c>
      <c r="F2365" s="1">
        <v>2846.0</v>
      </c>
      <c r="G2365" s="1">
        <v>22.0</v>
      </c>
    </row>
    <row r="2366">
      <c r="A2366" s="1" t="s">
        <v>7</v>
      </c>
      <c r="B2366" s="2">
        <v>44718.0</v>
      </c>
      <c r="C2366" s="3">
        <v>0.7447916666666666</v>
      </c>
      <c r="D2366" s="1">
        <v>12.528643</v>
      </c>
      <c r="E2366" s="1">
        <v>79.898855</v>
      </c>
      <c r="F2366" s="1">
        <v>805.0</v>
      </c>
      <c r="G2366" s="1">
        <v>58.0</v>
      </c>
    </row>
    <row r="2367">
      <c r="A2367" s="1" t="s">
        <v>8</v>
      </c>
      <c r="B2367" s="2">
        <v>44718.0</v>
      </c>
      <c r="C2367" s="3">
        <v>0.7458564814814815</v>
      </c>
      <c r="D2367" s="1">
        <v>12.520457</v>
      </c>
      <c r="E2367" s="1">
        <v>79.894062</v>
      </c>
      <c r="F2367" s="1">
        <v>805.0</v>
      </c>
      <c r="G2367" s="1">
        <v>58.0</v>
      </c>
    </row>
    <row r="2368">
      <c r="A2368" s="1" t="s">
        <v>10</v>
      </c>
      <c r="B2368" s="2">
        <v>44718.0</v>
      </c>
      <c r="C2368" s="3">
        <v>0.7477314814814815</v>
      </c>
      <c r="D2368" s="1">
        <v>13.066447</v>
      </c>
      <c r="E2368" s="1">
        <v>80.268488</v>
      </c>
      <c r="F2368" s="1">
        <v>2846.0</v>
      </c>
      <c r="G2368" s="1">
        <v>0.0</v>
      </c>
    </row>
    <row r="2369">
      <c r="A2369" s="1" t="s">
        <v>8</v>
      </c>
      <c r="B2369" s="2">
        <v>44718.0</v>
      </c>
      <c r="C2369" s="3">
        <v>0.7477893518518518</v>
      </c>
      <c r="D2369" s="1">
        <v>12.510488</v>
      </c>
      <c r="E2369" s="1">
        <v>79.885025</v>
      </c>
      <c r="F2369" s="1">
        <v>805.0</v>
      </c>
      <c r="G2369" s="1">
        <v>11.0</v>
      </c>
    </row>
    <row r="2370">
      <c r="A2370" s="1" t="s">
        <v>10</v>
      </c>
      <c r="B2370" s="2">
        <v>44718.0</v>
      </c>
      <c r="C2370" s="3">
        <v>0.747800925925926</v>
      </c>
      <c r="D2370" s="1">
        <v>13.066447</v>
      </c>
      <c r="E2370" s="1">
        <v>80.268488</v>
      </c>
      <c r="F2370" s="1">
        <v>2846.0</v>
      </c>
      <c r="G2370" s="1">
        <v>0.0</v>
      </c>
    </row>
    <row r="2371">
      <c r="A2371" s="1" t="s">
        <v>8</v>
      </c>
      <c r="B2371" s="2">
        <v>44718.0</v>
      </c>
      <c r="C2371" s="3">
        <v>0.7478125</v>
      </c>
      <c r="D2371" s="1">
        <v>12.510488</v>
      </c>
      <c r="E2371" s="1">
        <v>79.885025</v>
      </c>
      <c r="F2371" s="1">
        <v>805.0</v>
      </c>
      <c r="G2371" s="1">
        <v>11.0</v>
      </c>
    </row>
    <row r="2372">
      <c r="A2372" s="1" t="s">
        <v>8</v>
      </c>
      <c r="B2372" s="2">
        <v>44718.0</v>
      </c>
      <c r="C2372" s="3">
        <v>0.7478356481481482</v>
      </c>
      <c r="D2372" s="1">
        <v>12.510488</v>
      </c>
      <c r="E2372" s="1">
        <v>79.885025</v>
      </c>
      <c r="F2372" s="1">
        <v>805.0</v>
      </c>
      <c r="G2372" s="1">
        <v>11.0</v>
      </c>
    </row>
    <row r="2373">
      <c r="A2373" s="1" t="s">
        <v>10</v>
      </c>
      <c r="B2373" s="2">
        <v>44718.0</v>
      </c>
      <c r="C2373" s="3">
        <v>0.7479513888888889</v>
      </c>
      <c r="D2373" s="1">
        <v>13.066486</v>
      </c>
      <c r="E2373" s="1">
        <v>80.268485</v>
      </c>
      <c r="F2373" s="1">
        <v>2846.0</v>
      </c>
      <c r="G2373" s="1">
        <v>2.0</v>
      </c>
    </row>
    <row r="2374">
      <c r="A2374" s="1" t="s">
        <v>7</v>
      </c>
      <c r="B2374" s="2">
        <v>44718.0</v>
      </c>
      <c r="C2374" s="3">
        <v>0.7487962962962963</v>
      </c>
      <c r="D2374" s="1">
        <v>12.508817</v>
      </c>
      <c r="E2374" s="1">
        <v>79.88354</v>
      </c>
      <c r="F2374" s="1">
        <v>805.0</v>
      </c>
      <c r="G2374" s="1">
        <v>0.0</v>
      </c>
    </row>
    <row r="2375">
      <c r="A2375" s="1" t="s">
        <v>7</v>
      </c>
      <c r="B2375" s="2">
        <v>44718.0</v>
      </c>
      <c r="C2375" s="3">
        <v>0.7491203703703704</v>
      </c>
      <c r="D2375" s="1">
        <v>12.508817</v>
      </c>
      <c r="E2375" s="1">
        <v>79.88354</v>
      </c>
      <c r="F2375" s="1">
        <v>805.0</v>
      </c>
      <c r="G2375" s="1">
        <v>0.0</v>
      </c>
    </row>
    <row r="2376">
      <c r="A2376" s="1" t="s">
        <v>7</v>
      </c>
      <c r="B2376" s="2">
        <v>44718.0</v>
      </c>
      <c r="C2376" s="3">
        <v>0.7499537037037037</v>
      </c>
      <c r="D2376" s="1">
        <v>12.502134</v>
      </c>
      <c r="E2376" s="1">
        <v>79.876992</v>
      </c>
      <c r="F2376" s="1">
        <v>805.0</v>
      </c>
      <c r="G2376" s="1">
        <v>59.0</v>
      </c>
    </row>
    <row r="2377">
      <c r="A2377" s="1" t="s">
        <v>7</v>
      </c>
      <c r="B2377" s="2">
        <v>44718.0</v>
      </c>
      <c r="C2377" s="3">
        <v>0.7500810185185185</v>
      </c>
      <c r="D2377" s="1">
        <v>12.498346</v>
      </c>
      <c r="E2377" s="1">
        <v>79.873934</v>
      </c>
      <c r="F2377" s="1">
        <v>805.0</v>
      </c>
      <c r="G2377" s="1">
        <v>58.0</v>
      </c>
    </row>
    <row r="2378">
      <c r="A2378" s="1" t="s">
        <v>7</v>
      </c>
      <c r="B2378" s="2">
        <v>44718.0</v>
      </c>
      <c r="C2378" s="3">
        <v>0.7501388888888889</v>
      </c>
      <c r="D2378" s="1">
        <v>12.496607</v>
      </c>
      <c r="E2378" s="1">
        <v>79.872587</v>
      </c>
      <c r="F2378" s="1">
        <v>805.0</v>
      </c>
      <c r="G2378" s="1">
        <v>44.0</v>
      </c>
    </row>
    <row r="2379">
      <c r="A2379" s="1" t="s">
        <v>7</v>
      </c>
      <c r="B2379" s="2">
        <v>44718.0</v>
      </c>
      <c r="C2379" s="3">
        <v>0.7509722222222223</v>
      </c>
      <c r="D2379" s="1">
        <v>12.504567</v>
      </c>
      <c r="E2379" s="1">
        <v>79.878743</v>
      </c>
      <c r="F2379" s="1">
        <v>805.0</v>
      </c>
      <c r="G2379" s="1">
        <v>58.0</v>
      </c>
    </row>
    <row r="2380">
      <c r="A2380" s="1" t="s">
        <v>8</v>
      </c>
      <c r="B2380" s="2">
        <v>44718.0</v>
      </c>
      <c r="C2380" s="3">
        <v>0.7514351851851852</v>
      </c>
      <c r="D2380" s="1">
        <v>13.070382</v>
      </c>
      <c r="E2380" s="1">
        <v>80.257879</v>
      </c>
      <c r="F2380" s="1">
        <v>2846.0</v>
      </c>
      <c r="G2380" s="1">
        <v>31.0</v>
      </c>
    </row>
    <row r="2381">
      <c r="A2381" s="1" t="s">
        <v>7</v>
      </c>
      <c r="B2381" s="2">
        <v>44718.0</v>
      </c>
      <c r="C2381" s="3">
        <v>0.7514930555555556</v>
      </c>
      <c r="D2381" s="1">
        <v>12.508271</v>
      </c>
      <c r="E2381" s="1">
        <v>79.881642</v>
      </c>
      <c r="F2381" s="1">
        <v>805.0</v>
      </c>
      <c r="G2381" s="1">
        <v>58.0</v>
      </c>
    </row>
    <row r="2382">
      <c r="A2382" s="1" t="s">
        <v>7</v>
      </c>
      <c r="B2382" s="2">
        <v>44718.0</v>
      </c>
      <c r="C2382" s="3">
        <v>0.7516087962962963</v>
      </c>
      <c r="D2382" s="1">
        <v>12.510361</v>
      </c>
      <c r="E2382" s="1">
        <v>79.882718</v>
      </c>
      <c r="F2382" s="1">
        <v>805.0</v>
      </c>
      <c r="G2382" s="1">
        <v>58.0</v>
      </c>
    </row>
    <row r="2383">
      <c r="A2383" s="1" t="s">
        <v>7</v>
      </c>
      <c r="B2383" s="2">
        <v>44718.0</v>
      </c>
      <c r="C2383" s="3">
        <v>0.7521296296296296</v>
      </c>
      <c r="D2383" s="1">
        <v>12.514574</v>
      </c>
      <c r="E2383" s="1">
        <v>79.885039</v>
      </c>
      <c r="F2383" s="1">
        <v>805.0</v>
      </c>
      <c r="G2383" s="1">
        <v>59.0</v>
      </c>
    </row>
    <row r="2384">
      <c r="A2384" s="1" t="s">
        <v>7</v>
      </c>
      <c r="B2384" s="2">
        <v>44718.0</v>
      </c>
      <c r="C2384" s="3">
        <v>0.7524305555555556</v>
      </c>
      <c r="D2384" s="1">
        <v>12.515689</v>
      </c>
      <c r="E2384" s="1">
        <v>79.887146</v>
      </c>
      <c r="F2384" s="1">
        <v>805.0</v>
      </c>
      <c r="G2384" s="1">
        <v>58.0</v>
      </c>
    </row>
    <row r="2385">
      <c r="A2385" s="1" t="s">
        <v>7</v>
      </c>
      <c r="B2385" s="2">
        <v>44718.0</v>
      </c>
      <c r="C2385" s="3">
        <v>0.7525578703703704</v>
      </c>
      <c r="D2385" s="1">
        <v>12.51668</v>
      </c>
      <c r="E2385" s="1">
        <v>79.889315</v>
      </c>
      <c r="F2385" s="1">
        <v>805.0</v>
      </c>
      <c r="G2385" s="1">
        <v>58.0</v>
      </c>
    </row>
    <row r="2386">
      <c r="A2386" s="1" t="s">
        <v>8</v>
      </c>
      <c r="B2386" s="2">
        <v>44718.0</v>
      </c>
      <c r="C2386" s="3">
        <v>0.7530671296296296</v>
      </c>
      <c r="D2386" s="1">
        <v>13.067282</v>
      </c>
      <c r="E2386" s="1">
        <v>80.254806</v>
      </c>
      <c r="F2386" s="1">
        <v>2846.0</v>
      </c>
      <c r="G2386" s="1">
        <v>9.0</v>
      </c>
    </row>
    <row r="2387">
      <c r="A2387" s="1" t="s">
        <v>7</v>
      </c>
      <c r="B2387" s="2">
        <v>44718.0</v>
      </c>
      <c r="C2387" s="3">
        <v>0.7532291666666666</v>
      </c>
      <c r="D2387" s="1">
        <v>12.519582</v>
      </c>
      <c r="E2387" s="1">
        <v>79.892992</v>
      </c>
      <c r="F2387" s="1">
        <v>805.0</v>
      </c>
      <c r="G2387" s="1">
        <v>58.0</v>
      </c>
    </row>
    <row r="2388">
      <c r="A2388" s="1" t="s">
        <v>8</v>
      </c>
      <c r="B2388" s="2">
        <v>44718.0</v>
      </c>
      <c r="C2388" s="3">
        <v>0.7534259259259259</v>
      </c>
      <c r="D2388" s="1">
        <v>13.067173</v>
      </c>
      <c r="E2388" s="1">
        <v>80.254645</v>
      </c>
      <c r="F2388" s="1">
        <v>2846.0</v>
      </c>
      <c r="G2388" s="1">
        <v>2.0</v>
      </c>
    </row>
    <row r="2389">
      <c r="A2389" s="1" t="s">
        <v>7</v>
      </c>
      <c r="B2389" s="2">
        <v>44718.0</v>
      </c>
      <c r="C2389" s="3">
        <v>0.75375</v>
      </c>
      <c r="D2389" s="1">
        <v>12.525252</v>
      </c>
      <c r="E2389" s="1">
        <v>79.897026</v>
      </c>
      <c r="F2389" s="1">
        <v>805.0</v>
      </c>
      <c r="G2389" s="1">
        <v>56.0</v>
      </c>
    </row>
    <row r="2390">
      <c r="A2390" s="1" t="s">
        <v>7</v>
      </c>
      <c r="B2390" s="2">
        <v>44718.0</v>
      </c>
      <c r="C2390" s="3">
        <v>0.7541203703703704</v>
      </c>
      <c r="D2390" s="1">
        <v>12.527383</v>
      </c>
      <c r="E2390" s="1">
        <v>79.898046</v>
      </c>
      <c r="F2390" s="1">
        <v>805.0</v>
      </c>
      <c r="G2390" s="1">
        <v>57.0</v>
      </c>
    </row>
    <row r="2391">
      <c r="A2391" s="1" t="s">
        <v>8</v>
      </c>
      <c r="B2391" s="2">
        <v>44718.0</v>
      </c>
      <c r="C2391" s="3">
        <v>0.754537037037037</v>
      </c>
      <c r="D2391" s="1">
        <v>12.529491</v>
      </c>
      <c r="E2391" s="1">
        <v>79.899082</v>
      </c>
      <c r="F2391" s="1">
        <v>805.0</v>
      </c>
      <c r="G2391" s="1">
        <v>58.0</v>
      </c>
    </row>
    <row r="2392">
      <c r="A2392" s="1" t="s">
        <v>8</v>
      </c>
      <c r="B2392" s="2">
        <v>44718.0</v>
      </c>
      <c r="C2392" s="3">
        <v>0.7545486111111112</v>
      </c>
      <c r="D2392" s="1">
        <v>12.529491</v>
      </c>
      <c r="E2392" s="1">
        <v>79.899082</v>
      </c>
      <c r="F2392" s="1">
        <v>805.0</v>
      </c>
      <c r="G2392" s="1">
        <v>58.0</v>
      </c>
    </row>
    <row r="2393">
      <c r="A2393" s="1" t="s">
        <v>10</v>
      </c>
      <c r="B2393" s="2">
        <v>44718.0</v>
      </c>
      <c r="C2393" s="3">
        <v>0.7545833333333334</v>
      </c>
      <c r="D2393" s="1">
        <v>13.067799</v>
      </c>
      <c r="E2393" s="1">
        <v>80.252297</v>
      </c>
      <c r="F2393" s="1">
        <v>2846.0</v>
      </c>
      <c r="G2393" s="1">
        <v>33.0</v>
      </c>
    </row>
    <row r="2394">
      <c r="A2394" s="1" t="s">
        <v>7</v>
      </c>
      <c r="B2394" s="2">
        <v>44718.0</v>
      </c>
      <c r="C2394" s="3">
        <v>0.7549189814814815</v>
      </c>
      <c r="D2394" s="1">
        <v>12.531583</v>
      </c>
      <c r="E2394" s="1">
        <v>79.900156</v>
      </c>
      <c r="F2394" s="1">
        <v>805.0</v>
      </c>
      <c r="G2394" s="1">
        <v>57.0</v>
      </c>
    </row>
    <row r="2395">
      <c r="A2395" s="1" t="s">
        <v>7</v>
      </c>
      <c r="B2395" s="2">
        <v>44718.0</v>
      </c>
      <c r="C2395" s="3">
        <v>0.7553125</v>
      </c>
      <c r="D2395" s="1">
        <v>12.533668</v>
      </c>
      <c r="E2395" s="1">
        <v>79.901029</v>
      </c>
      <c r="F2395" s="1">
        <v>805.0</v>
      </c>
      <c r="G2395" s="1">
        <v>46.0</v>
      </c>
    </row>
    <row r="2396">
      <c r="A2396" s="1" t="s">
        <v>7</v>
      </c>
      <c r="B2396" s="2">
        <v>44718.0</v>
      </c>
      <c r="C2396" s="3">
        <v>0.7555555555555555</v>
      </c>
      <c r="D2396" s="1">
        <v>12.535568</v>
      </c>
      <c r="E2396" s="1">
        <v>79.902069</v>
      </c>
      <c r="F2396" s="1">
        <v>805.0</v>
      </c>
      <c r="G2396" s="1">
        <v>59.0</v>
      </c>
    </row>
    <row r="2397">
      <c r="A2397" s="1" t="s">
        <v>7</v>
      </c>
      <c r="B2397" s="2">
        <v>44718.0</v>
      </c>
      <c r="C2397" s="3">
        <v>0.7559490740740741</v>
      </c>
      <c r="D2397" s="1">
        <v>12.537696</v>
      </c>
      <c r="E2397" s="1">
        <v>79.903399</v>
      </c>
      <c r="F2397" s="1">
        <v>805.0</v>
      </c>
      <c r="G2397" s="1">
        <v>58.0</v>
      </c>
    </row>
    <row r="2398">
      <c r="A2398" s="1" t="s">
        <v>7</v>
      </c>
      <c r="B2398" s="2">
        <v>44718.0</v>
      </c>
      <c r="C2398" s="3">
        <v>0.7560763888888888</v>
      </c>
      <c r="D2398" s="1">
        <v>12.537696</v>
      </c>
      <c r="E2398" s="1">
        <v>79.903399</v>
      </c>
      <c r="F2398" s="1">
        <v>805.0</v>
      </c>
      <c r="G2398" s="1">
        <v>58.0</v>
      </c>
    </row>
    <row r="2399">
      <c r="A2399" s="1" t="s">
        <v>7</v>
      </c>
      <c r="B2399" s="2">
        <v>44718.0</v>
      </c>
      <c r="C2399" s="3">
        <v>0.7564120370370371</v>
      </c>
      <c r="D2399" s="1">
        <v>12.539896</v>
      </c>
      <c r="E2399" s="1">
        <v>79.904151</v>
      </c>
      <c r="F2399" s="1">
        <v>805.0</v>
      </c>
      <c r="G2399" s="1">
        <v>58.0</v>
      </c>
    </row>
    <row r="2400">
      <c r="A2400" s="1" t="s">
        <v>7</v>
      </c>
      <c r="B2400" s="2">
        <v>44718.0</v>
      </c>
      <c r="C2400" s="3">
        <v>0.7567361111111112</v>
      </c>
      <c r="D2400" s="1">
        <v>12.542185</v>
      </c>
      <c r="E2400" s="1">
        <v>79.904581</v>
      </c>
      <c r="F2400" s="1">
        <v>805.0</v>
      </c>
      <c r="G2400" s="1">
        <v>51.0</v>
      </c>
    </row>
    <row r="2401">
      <c r="A2401" s="1" t="s">
        <v>7</v>
      </c>
      <c r="B2401" s="2">
        <v>44718.0</v>
      </c>
      <c r="C2401" s="3">
        <v>0.7571412037037037</v>
      </c>
      <c r="D2401" s="1">
        <v>12.545478</v>
      </c>
      <c r="E2401" s="1">
        <v>79.905217</v>
      </c>
      <c r="F2401" s="1">
        <v>805.0</v>
      </c>
      <c r="G2401" s="1">
        <v>48.0</v>
      </c>
    </row>
    <row r="2402">
      <c r="A2402" s="1" t="s">
        <v>7</v>
      </c>
      <c r="B2402" s="2">
        <v>44718.0</v>
      </c>
      <c r="C2402" s="3">
        <v>0.7577314814814815</v>
      </c>
      <c r="D2402" s="1">
        <v>12.562558</v>
      </c>
      <c r="E2402" s="1">
        <v>79.912637</v>
      </c>
      <c r="F2402" s="1">
        <v>805.0</v>
      </c>
      <c r="G2402" s="1">
        <v>58.0</v>
      </c>
    </row>
    <row r="2403">
      <c r="A2403" s="1" t="s">
        <v>7</v>
      </c>
      <c r="B2403" s="2">
        <v>44718.0</v>
      </c>
      <c r="C2403" s="3">
        <v>0.7579166666666667</v>
      </c>
      <c r="D2403" s="1">
        <v>12.569035</v>
      </c>
      <c r="E2403" s="1">
        <v>79.915305</v>
      </c>
      <c r="F2403" s="1">
        <v>805.0</v>
      </c>
      <c r="G2403" s="1">
        <v>58.0</v>
      </c>
    </row>
    <row r="2404">
      <c r="A2404" s="1" t="s">
        <v>7</v>
      </c>
      <c r="B2404" s="2">
        <v>44718.0</v>
      </c>
      <c r="C2404" s="3">
        <v>0.7584375</v>
      </c>
      <c r="D2404" s="1">
        <v>12.585042</v>
      </c>
      <c r="E2404" s="1">
        <v>79.91928</v>
      </c>
      <c r="F2404" s="1">
        <v>805.0</v>
      </c>
      <c r="G2404" s="1">
        <v>58.0</v>
      </c>
    </row>
    <row r="2405">
      <c r="A2405" s="1" t="s">
        <v>7</v>
      </c>
      <c r="B2405" s="2">
        <v>44718.0</v>
      </c>
      <c r="C2405" s="3">
        <v>0.7585185185185185</v>
      </c>
      <c r="D2405" s="1">
        <v>12.585042</v>
      </c>
      <c r="E2405" s="1">
        <v>79.91928</v>
      </c>
      <c r="F2405" s="1">
        <v>805.0</v>
      </c>
      <c r="G2405" s="1">
        <v>58.0</v>
      </c>
    </row>
    <row r="2406">
      <c r="A2406" s="1" t="s">
        <v>7</v>
      </c>
      <c r="B2406" s="2">
        <v>44718.0</v>
      </c>
      <c r="C2406" s="3">
        <v>0.7590046296296297</v>
      </c>
      <c r="D2406" s="1">
        <v>12.592068</v>
      </c>
      <c r="E2406" s="1">
        <v>79.919122</v>
      </c>
      <c r="F2406" s="1">
        <v>805.0</v>
      </c>
      <c r="G2406" s="1">
        <v>57.0</v>
      </c>
    </row>
    <row r="2407">
      <c r="A2407" s="1" t="s">
        <v>7</v>
      </c>
      <c r="B2407" s="2">
        <v>44718.0</v>
      </c>
      <c r="C2407" s="3">
        <v>0.7591087962962964</v>
      </c>
      <c r="D2407" s="1">
        <v>12.592068</v>
      </c>
      <c r="E2407" s="1">
        <v>79.919122</v>
      </c>
      <c r="F2407" s="1">
        <v>805.0</v>
      </c>
      <c r="G2407" s="1">
        <v>57.0</v>
      </c>
    </row>
    <row r="2408">
      <c r="A2408" s="1" t="s">
        <v>7</v>
      </c>
      <c r="B2408" s="2">
        <v>44718.0</v>
      </c>
      <c r="C2408" s="3">
        <v>0.759375</v>
      </c>
      <c r="D2408" s="1">
        <v>12.59675</v>
      </c>
      <c r="E2408" s="1">
        <v>79.919476</v>
      </c>
      <c r="F2408" s="1">
        <v>805.0</v>
      </c>
      <c r="G2408" s="1">
        <v>58.0</v>
      </c>
    </row>
    <row r="2409">
      <c r="A2409" s="1" t="s">
        <v>7</v>
      </c>
      <c r="B2409" s="2">
        <v>44718.0</v>
      </c>
      <c r="C2409" s="3">
        <v>0.7602546296296296</v>
      </c>
      <c r="D2409" s="1">
        <v>12.605629</v>
      </c>
      <c r="E2409" s="1">
        <v>79.920707</v>
      </c>
      <c r="F2409" s="1">
        <v>805.0</v>
      </c>
      <c r="G2409" s="1">
        <v>42.0</v>
      </c>
    </row>
    <row r="2410">
      <c r="A2410" s="1" t="s">
        <v>7</v>
      </c>
      <c r="B2410" s="2">
        <v>44718.0</v>
      </c>
      <c r="C2410" s="3">
        <v>0.7605092592592593</v>
      </c>
      <c r="D2410" s="1">
        <v>12.609847</v>
      </c>
      <c r="E2410" s="1">
        <v>79.922524</v>
      </c>
      <c r="F2410" s="1">
        <v>805.0</v>
      </c>
      <c r="G2410" s="1">
        <v>58.0</v>
      </c>
    </row>
    <row r="2411">
      <c r="A2411" s="1" t="s">
        <v>7</v>
      </c>
      <c r="B2411" s="2">
        <v>44718.0</v>
      </c>
      <c r="C2411" s="3">
        <v>0.7608101851851852</v>
      </c>
      <c r="D2411" s="1">
        <v>12.611903</v>
      </c>
      <c r="E2411" s="1">
        <v>79.923676</v>
      </c>
      <c r="F2411" s="1">
        <v>805.0</v>
      </c>
      <c r="G2411" s="1">
        <v>58.0</v>
      </c>
    </row>
    <row r="2412">
      <c r="A2412" s="1" t="s">
        <v>7</v>
      </c>
      <c r="B2412" s="2">
        <v>44718.0</v>
      </c>
      <c r="C2412" s="3">
        <v>0.76125</v>
      </c>
      <c r="D2412" s="1">
        <v>12.618283</v>
      </c>
      <c r="E2412" s="1">
        <v>79.926575</v>
      </c>
      <c r="F2412" s="1">
        <v>805.0</v>
      </c>
      <c r="G2412" s="1">
        <v>58.0</v>
      </c>
    </row>
    <row r="2413">
      <c r="A2413" s="1" t="s">
        <v>7</v>
      </c>
      <c r="B2413" s="2">
        <v>44718.0</v>
      </c>
      <c r="C2413" s="3">
        <v>0.7615162037037037</v>
      </c>
      <c r="D2413" s="1">
        <v>12.620561</v>
      </c>
      <c r="E2413" s="1">
        <v>79.927127</v>
      </c>
      <c r="F2413" s="1">
        <v>805.0</v>
      </c>
      <c r="G2413" s="1">
        <v>58.0</v>
      </c>
    </row>
    <row r="2414">
      <c r="A2414" s="1" t="s">
        <v>8</v>
      </c>
      <c r="B2414" s="2">
        <v>44718.0</v>
      </c>
      <c r="C2414" s="3">
        <v>0.7620254629629629</v>
      </c>
      <c r="D2414" s="1">
        <v>12.627079</v>
      </c>
      <c r="E2414" s="1">
        <v>79.9298</v>
      </c>
      <c r="F2414" s="1">
        <v>805.0</v>
      </c>
      <c r="G2414" s="1">
        <v>58.0</v>
      </c>
    </row>
    <row r="2415">
      <c r="A2415" s="1" t="s">
        <v>8</v>
      </c>
      <c r="B2415" s="2">
        <v>44718.0</v>
      </c>
      <c r="C2415" s="3">
        <v>0.7621064814814815</v>
      </c>
      <c r="D2415" s="1">
        <v>12.627079</v>
      </c>
      <c r="E2415" s="1">
        <v>79.9298</v>
      </c>
      <c r="F2415" s="1">
        <v>805.0</v>
      </c>
      <c r="G2415" s="1">
        <v>58.0</v>
      </c>
    </row>
    <row r="2416">
      <c r="A2416" s="1" t="s">
        <v>7</v>
      </c>
      <c r="B2416" s="2">
        <v>44718.0</v>
      </c>
      <c r="C2416" s="3">
        <v>0.7625</v>
      </c>
      <c r="D2416" s="1">
        <v>12.630399</v>
      </c>
      <c r="E2416" s="1">
        <v>79.931218</v>
      </c>
      <c r="F2416" s="1">
        <v>805.0</v>
      </c>
      <c r="G2416" s="1">
        <v>35.0</v>
      </c>
    </row>
    <row r="2417">
      <c r="A2417" s="1" t="s">
        <v>7</v>
      </c>
      <c r="B2417" s="2">
        <v>44718.0</v>
      </c>
      <c r="C2417" s="3">
        <v>0.7627314814814815</v>
      </c>
      <c r="D2417" s="1">
        <v>12.632388</v>
      </c>
      <c r="E2417" s="1">
        <v>79.93209</v>
      </c>
      <c r="F2417" s="1">
        <v>805.0</v>
      </c>
      <c r="G2417" s="1">
        <v>60.0</v>
      </c>
    </row>
    <row r="2418">
      <c r="A2418" s="1" t="s">
        <v>7</v>
      </c>
      <c r="B2418" s="2">
        <v>44718.0</v>
      </c>
      <c r="C2418" s="3">
        <v>0.763287037037037</v>
      </c>
      <c r="D2418" s="1">
        <v>12.638621</v>
      </c>
      <c r="E2418" s="1">
        <v>79.93539</v>
      </c>
      <c r="F2418" s="1">
        <v>805.0</v>
      </c>
      <c r="G2418" s="1">
        <v>58.0</v>
      </c>
    </row>
    <row r="2419">
      <c r="A2419" s="1" t="s">
        <v>7</v>
      </c>
      <c r="B2419" s="2">
        <v>44718.0</v>
      </c>
      <c r="C2419" s="3">
        <v>0.7633217592592593</v>
      </c>
      <c r="D2419" s="1">
        <v>12.638621</v>
      </c>
      <c r="E2419" s="1">
        <v>79.93539</v>
      </c>
      <c r="F2419" s="1">
        <v>805.0</v>
      </c>
      <c r="G2419" s="1">
        <v>58.0</v>
      </c>
    </row>
    <row r="2420">
      <c r="A2420" s="1" t="s">
        <v>7</v>
      </c>
      <c r="B2420" s="2">
        <v>44718.0</v>
      </c>
      <c r="C2420" s="3">
        <v>0.7635648148148149</v>
      </c>
      <c r="D2420" s="1">
        <v>12.640637</v>
      </c>
      <c r="E2420" s="1">
        <v>79.93663</v>
      </c>
      <c r="F2420" s="1">
        <v>805.0</v>
      </c>
      <c r="G2420" s="1">
        <v>58.0</v>
      </c>
    </row>
    <row r="2421">
      <c r="A2421" s="1" t="s">
        <v>8</v>
      </c>
      <c r="B2421" s="2">
        <v>44718.0</v>
      </c>
      <c r="C2421" s="3">
        <v>0.7641435185185185</v>
      </c>
      <c r="D2421" s="1">
        <v>12.646733</v>
      </c>
      <c r="E2421" s="1">
        <v>79.940202</v>
      </c>
      <c r="F2421" s="1">
        <v>805.0</v>
      </c>
      <c r="G2421" s="1">
        <v>58.0</v>
      </c>
    </row>
    <row r="2422">
      <c r="A2422" s="1" t="s">
        <v>8</v>
      </c>
      <c r="B2422" s="2">
        <v>44718.0</v>
      </c>
      <c r="C2422" s="3">
        <v>0.7641435185185185</v>
      </c>
      <c r="D2422" s="1">
        <v>12.646733</v>
      </c>
      <c r="E2422" s="1">
        <v>79.940202</v>
      </c>
      <c r="F2422" s="1">
        <v>805.0</v>
      </c>
      <c r="G2422" s="1">
        <v>58.0</v>
      </c>
    </row>
    <row r="2423">
      <c r="A2423" s="1" t="s">
        <v>8</v>
      </c>
      <c r="B2423" s="2">
        <v>44718.0</v>
      </c>
      <c r="C2423" s="3">
        <v>0.7641550925925926</v>
      </c>
      <c r="D2423" s="1">
        <v>12.646733</v>
      </c>
      <c r="E2423" s="1">
        <v>79.940202</v>
      </c>
      <c r="F2423" s="1">
        <v>805.0</v>
      </c>
      <c r="G2423" s="1">
        <v>58.0</v>
      </c>
    </row>
    <row r="2424">
      <c r="A2424" s="1" t="s">
        <v>8</v>
      </c>
      <c r="B2424" s="2">
        <v>44718.0</v>
      </c>
      <c r="C2424" s="3">
        <v>0.7642129629629629</v>
      </c>
      <c r="D2424" s="1">
        <v>12.648976</v>
      </c>
      <c r="E2424" s="1">
        <v>79.940576</v>
      </c>
      <c r="F2424" s="1">
        <v>805.0</v>
      </c>
      <c r="G2424" s="1">
        <v>55.0</v>
      </c>
    </row>
    <row r="2425">
      <c r="A2425" s="1" t="s">
        <v>7</v>
      </c>
      <c r="B2425" s="2">
        <v>44718.0</v>
      </c>
      <c r="C2425" s="3">
        <v>0.764525462962963</v>
      </c>
      <c r="D2425" s="1">
        <v>12.650689</v>
      </c>
      <c r="E2425" s="1">
        <v>79.940375</v>
      </c>
      <c r="F2425" s="1">
        <v>805.0</v>
      </c>
      <c r="G2425" s="1">
        <v>14.0</v>
      </c>
    </row>
    <row r="2426">
      <c r="A2426" s="1" t="s">
        <v>7</v>
      </c>
      <c r="B2426" s="2">
        <v>44718.0</v>
      </c>
      <c r="C2426" s="3">
        <v>0.7649421296296296</v>
      </c>
      <c r="D2426" s="1">
        <v>12.65435</v>
      </c>
      <c r="E2426" s="1">
        <v>79.939977</v>
      </c>
      <c r="F2426" s="1">
        <v>805.0</v>
      </c>
      <c r="G2426" s="1">
        <v>49.0</v>
      </c>
    </row>
    <row r="2427">
      <c r="A2427" s="1" t="s">
        <v>7</v>
      </c>
      <c r="B2427" s="2">
        <v>44718.0</v>
      </c>
      <c r="C2427" s="3">
        <v>0.765011574074074</v>
      </c>
      <c r="D2427" s="1">
        <v>12.65435</v>
      </c>
      <c r="E2427" s="1">
        <v>79.939977</v>
      </c>
      <c r="F2427" s="1">
        <v>805.0</v>
      </c>
      <c r="G2427" s="1">
        <v>49.0</v>
      </c>
    </row>
    <row r="2428">
      <c r="A2428" s="1" t="s">
        <v>7</v>
      </c>
      <c r="B2428" s="2">
        <v>44718.0</v>
      </c>
      <c r="C2428" s="3">
        <v>0.7659837962962963</v>
      </c>
      <c r="D2428" s="1">
        <v>12.657114</v>
      </c>
      <c r="E2428" s="1">
        <v>79.948238</v>
      </c>
      <c r="F2428" s="1">
        <v>805.0</v>
      </c>
      <c r="G2428" s="1">
        <v>55.0</v>
      </c>
    </row>
    <row r="2429">
      <c r="A2429" s="1" t="s">
        <v>8</v>
      </c>
      <c r="B2429" s="2">
        <v>44718.0</v>
      </c>
      <c r="C2429" s="3">
        <v>0.7663888888888889</v>
      </c>
      <c r="D2429" s="1">
        <v>12.655977</v>
      </c>
      <c r="E2429" s="1">
        <v>79.952237</v>
      </c>
      <c r="F2429" s="1">
        <v>805.0</v>
      </c>
      <c r="G2429" s="1">
        <v>58.0</v>
      </c>
    </row>
    <row r="2430">
      <c r="A2430" s="1" t="s">
        <v>8</v>
      </c>
      <c r="B2430" s="2">
        <v>44718.0</v>
      </c>
      <c r="C2430" s="3">
        <v>0.7665046296296296</v>
      </c>
      <c r="D2430" s="1">
        <v>12.65636</v>
      </c>
      <c r="E2430" s="1">
        <v>79.954552</v>
      </c>
      <c r="F2430" s="1">
        <v>805.0</v>
      </c>
      <c r="G2430" s="1">
        <v>58.0</v>
      </c>
    </row>
    <row r="2431">
      <c r="A2431" s="1" t="s">
        <v>8</v>
      </c>
      <c r="B2431" s="2">
        <v>44718.0</v>
      </c>
      <c r="C2431" s="3">
        <v>0.766712962962963</v>
      </c>
      <c r="D2431" s="1">
        <v>12.6572</v>
      </c>
      <c r="E2431" s="1">
        <v>79.956772</v>
      </c>
      <c r="F2431" s="1">
        <v>805.0</v>
      </c>
      <c r="G2431" s="1">
        <v>58.0</v>
      </c>
    </row>
    <row r="2432">
      <c r="A2432" s="1" t="s">
        <v>7</v>
      </c>
      <c r="B2432" s="2">
        <v>44718.0</v>
      </c>
      <c r="C2432" s="3">
        <v>0.7678472222222222</v>
      </c>
      <c r="D2432" s="1">
        <v>12.6572</v>
      </c>
      <c r="E2432" s="1">
        <v>79.956772</v>
      </c>
      <c r="F2432" s="1">
        <v>805.0</v>
      </c>
      <c r="G2432" s="1">
        <v>58.0</v>
      </c>
    </row>
    <row r="2433">
      <c r="A2433" s="1" t="s">
        <v>7</v>
      </c>
      <c r="B2433" s="2">
        <v>44718.0</v>
      </c>
      <c r="C2433" s="3">
        <v>0.7682523148148148</v>
      </c>
      <c r="D2433" s="1">
        <v>12.673312</v>
      </c>
      <c r="E2433" s="1">
        <v>79.958501</v>
      </c>
      <c r="F2433" s="1">
        <v>805.0</v>
      </c>
      <c r="G2433" s="1">
        <v>58.0</v>
      </c>
    </row>
    <row r="2434">
      <c r="A2434" s="1" t="s">
        <v>7</v>
      </c>
      <c r="B2434" s="2">
        <v>44718.0</v>
      </c>
      <c r="C2434" s="3">
        <v>0.7684027777777778</v>
      </c>
      <c r="D2434" s="1">
        <v>12.675646</v>
      </c>
      <c r="E2434" s="1">
        <v>79.958457</v>
      </c>
      <c r="F2434" s="1">
        <v>805.0</v>
      </c>
      <c r="G2434" s="1">
        <v>58.0</v>
      </c>
    </row>
    <row r="2435">
      <c r="A2435" s="1" t="s">
        <v>7</v>
      </c>
      <c r="B2435" s="2">
        <v>44718.0</v>
      </c>
      <c r="C2435" s="3">
        <v>0.7688310185185185</v>
      </c>
      <c r="D2435" s="1">
        <v>12.680314</v>
      </c>
      <c r="E2435" s="1">
        <v>79.958387</v>
      </c>
      <c r="F2435" s="1">
        <v>805.0</v>
      </c>
      <c r="G2435" s="1">
        <v>56.0</v>
      </c>
    </row>
    <row r="2436">
      <c r="A2436" s="1" t="s">
        <v>7</v>
      </c>
      <c r="B2436" s="2">
        <v>44718.0</v>
      </c>
      <c r="C2436" s="3">
        <v>0.7689583333333333</v>
      </c>
      <c r="D2436" s="1">
        <v>12.682647</v>
      </c>
      <c r="E2436" s="1">
        <v>79.958423</v>
      </c>
      <c r="F2436" s="1">
        <v>805.0</v>
      </c>
      <c r="G2436" s="1">
        <v>58.0</v>
      </c>
    </row>
    <row r="2437">
      <c r="A2437" s="1" t="s">
        <v>7</v>
      </c>
      <c r="B2437" s="2">
        <v>44718.0</v>
      </c>
      <c r="C2437" s="3">
        <v>0.7694791666666667</v>
      </c>
      <c r="D2437" s="1">
        <v>12.689361</v>
      </c>
      <c r="E2437" s="1">
        <v>79.960581</v>
      </c>
      <c r="F2437" s="1">
        <v>805.0</v>
      </c>
      <c r="G2437" s="1">
        <v>57.0</v>
      </c>
    </row>
    <row r="2438">
      <c r="A2438" s="1" t="s">
        <v>7</v>
      </c>
      <c r="B2438" s="2">
        <v>44718.0</v>
      </c>
      <c r="C2438" s="3">
        <v>0.7696875</v>
      </c>
      <c r="D2438" s="1">
        <v>12.690915</v>
      </c>
      <c r="E2438" s="1">
        <v>79.962552</v>
      </c>
      <c r="F2438" s="1">
        <v>805.0</v>
      </c>
      <c r="G2438" s="1">
        <v>58.0</v>
      </c>
    </row>
    <row r="2439">
      <c r="A2439" s="1" t="s">
        <v>7</v>
      </c>
      <c r="B2439" s="2">
        <v>44718.0</v>
      </c>
      <c r="C2439" s="3">
        <v>0.7698726851851851</v>
      </c>
      <c r="D2439" s="1">
        <v>12.692503</v>
      </c>
      <c r="E2439" s="1">
        <v>79.964286</v>
      </c>
      <c r="F2439" s="1">
        <v>805.0</v>
      </c>
      <c r="G2439" s="1">
        <v>58.0</v>
      </c>
    </row>
    <row r="2440">
      <c r="A2440" s="1" t="s">
        <v>7</v>
      </c>
      <c r="B2440" s="2">
        <v>44718.0</v>
      </c>
      <c r="C2440" s="3">
        <v>0.770150462962963</v>
      </c>
      <c r="D2440" s="1">
        <v>12.696615</v>
      </c>
      <c r="E2440" s="1">
        <v>79.966591</v>
      </c>
      <c r="F2440" s="1">
        <v>805.0</v>
      </c>
      <c r="G2440" s="1">
        <v>58.0</v>
      </c>
    </row>
    <row r="2441">
      <c r="A2441" s="1" t="s">
        <v>7</v>
      </c>
      <c r="B2441" s="2">
        <v>44718.0</v>
      </c>
      <c r="C2441" s="3">
        <v>0.7703356481481481</v>
      </c>
      <c r="D2441" s="1">
        <v>12.696615</v>
      </c>
      <c r="E2441" s="1">
        <v>79.966591</v>
      </c>
      <c r="F2441" s="1">
        <v>805.0</v>
      </c>
      <c r="G2441" s="1">
        <v>58.0</v>
      </c>
    </row>
    <row r="2442">
      <c r="A2442" s="1" t="s">
        <v>10</v>
      </c>
      <c r="B2442" s="2">
        <v>44718.0</v>
      </c>
      <c r="C2442" s="3">
        <v>0.7710532407407408</v>
      </c>
      <c r="D2442" s="1">
        <v>12.70393</v>
      </c>
      <c r="E2442" s="1">
        <v>79.972279</v>
      </c>
      <c r="F2442" s="1">
        <v>805.0</v>
      </c>
      <c r="G2442" s="1">
        <v>58.0</v>
      </c>
    </row>
    <row r="2443">
      <c r="A2443" s="1" t="s">
        <v>7</v>
      </c>
      <c r="B2443" s="2">
        <v>44718.0</v>
      </c>
      <c r="C2443" s="3">
        <v>0.7713773148148149</v>
      </c>
      <c r="D2443" s="1">
        <v>12.705364</v>
      </c>
      <c r="E2443" s="1">
        <v>79.97417</v>
      </c>
      <c r="F2443" s="1">
        <v>805.0</v>
      </c>
      <c r="G2443" s="1">
        <v>58.0</v>
      </c>
    </row>
    <row r="2444">
      <c r="A2444" s="1" t="s">
        <v>9</v>
      </c>
      <c r="B2444" s="2">
        <v>44718.0</v>
      </c>
      <c r="C2444" s="3">
        <v>0.771712962962963</v>
      </c>
      <c r="D2444" s="1">
        <v>12.710426</v>
      </c>
      <c r="E2444" s="1">
        <v>79.97812</v>
      </c>
      <c r="F2444" s="1">
        <v>805.0</v>
      </c>
      <c r="G2444" s="1">
        <v>49.0</v>
      </c>
    </row>
    <row r="2445">
      <c r="A2445" s="1" t="s">
        <v>7</v>
      </c>
      <c r="B2445" s="2">
        <v>44718.0</v>
      </c>
      <c r="C2445" s="3">
        <v>0.7719907407407407</v>
      </c>
      <c r="D2445" s="1">
        <v>12.710426</v>
      </c>
      <c r="E2445" s="1">
        <v>79.97812</v>
      </c>
      <c r="F2445" s="1">
        <v>805.0</v>
      </c>
      <c r="G2445" s="1">
        <v>49.0</v>
      </c>
    </row>
    <row r="2446">
      <c r="A2446" s="1" t="s">
        <v>8</v>
      </c>
      <c r="B2446" s="2">
        <v>44718.0</v>
      </c>
      <c r="C2446" s="3">
        <v>0.7736458333333334</v>
      </c>
      <c r="D2446" s="1">
        <v>12.724134</v>
      </c>
      <c r="E2446" s="1">
        <v>79.981709</v>
      </c>
      <c r="F2446" s="1">
        <v>805.0</v>
      </c>
      <c r="G2446" s="1">
        <v>0.0</v>
      </c>
    </row>
    <row r="2447">
      <c r="A2447" s="1" t="s">
        <v>8</v>
      </c>
      <c r="B2447" s="2">
        <v>44718.0</v>
      </c>
      <c r="C2447" s="3">
        <v>0.7738310185185185</v>
      </c>
      <c r="D2447" s="1">
        <v>12.724188</v>
      </c>
      <c r="E2447" s="1">
        <v>79.981721</v>
      </c>
      <c r="F2447" s="1">
        <v>805.0</v>
      </c>
      <c r="G2447" s="1">
        <v>0.0</v>
      </c>
    </row>
    <row r="2448">
      <c r="A2448" s="1" t="s">
        <v>8</v>
      </c>
      <c r="B2448" s="2">
        <v>44718.0</v>
      </c>
      <c r="C2448" s="3">
        <v>0.774050925925926</v>
      </c>
      <c r="D2448" s="1">
        <v>12.724188</v>
      </c>
      <c r="E2448" s="1">
        <v>79.981721</v>
      </c>
      <c r="F2448" s="1">
        <v>805.0</v>
      </c>
      <c r="G2448" s="1">
        <v>0.0</v>
      </c>
    </row>
    <row r="2449">
      <c r="A2449" s="1" t="s">
        <v>8</v>
      </c>
      <c r="B2449" s="2">
        <v>44718.0</v>
      </c>
      <c r="C2449" s="3">
        <v>0.7740972222222222</v>
      </c>
      <c r="D2449" s="1">
        <v>12.724188</v>
      </c>
      <c r="E2449" s="1">
        <v>79.981721</v>
      </c>
      <c r="F2449" s="1">
        <v>805.0</v>
      </c>
      <c r="G2449" s="1">
        <v>0.0</v>
      </c>
    </row>
    <row r="2450">
      <c r="A2450" s="1" t="s">
        <v>7</v>
      </c>
      <c r="B2450" s="2">
        <v>44718.0</v>
      </c>
      <c r="C2450" s="3">
        <v>0.775625</v>
      </c>
      <c r="D2450" s="1">
        <v>12.742641</v>
      </c>
      <c r="E2450" s="1">
        <v>79.991829</v>
      </c>
      <c r="F2450" s="1">
        <v>805.0</v>
      </c>
      <c r="G2450" s="1">
        <v>13.0</v>
      </c>
    </row>
    <row r="2451">
      <c r="A2451" s="1" t="s">
        <v>8</v>
      </c>
      <c r="B2451" s="2">
        <v>44718.0</v>
      </c>
      <c r="C2451" s="3">
        <v>0.7756597222222222</v>
      </c>
      <c r="D2451" s="1">
        <v>12.74268</v>
      </c>
      <c r="E2451" s="1">
        <v>79.991855</v>
      </c>
      <c r="F2451" s="1">
        <v>805.0</v>
      </c>
      <c r="G2451" s="1">
        <v>0.0</v>
      </c>
    </row>
    <row r="2452">
      <c r="A2452" s="1" t="s">
        <v>7</v>
      </c>
      <c r="B2452" s="2">
        <v>44718.0</v>
      </c>
      <c r="C2452" s="3">
        <v>0.7761111111111111</v>
      </c>
      <c r="D2452" s="1">
        <v>12.743962</v>
      </c>
      <c r="E2452" s="1">
        <v>79.992897</v>
      </c>
      <c r="F2452" s="1">
        <v>805.0</v>
      </c>
      <c r="G2452" s="1">
        <v>54.0</v>
      </c>
    </row>
    <row r="2453">
      <c r="A2453" s="1" t="s">
        <v>7</v>
      </c>
      <c r="B2453" s="2">
        <v>44718.0</v>
      </c>
      <c r="C2453" s="3">
        <v>0.7768171296296297</v>
      </c>
      <c r="D2453" s="1">
        <v>12.743962</v>
      </c>
      <c r="E2453" s="1">
        <v>79.992897</v>
      </c>
      <c r="F2453" s="1">
        <v>805.0</v>
      </c>
      <c r="G2453" s="1">
        <v>54.0</v>
      </c>
    </row>
    <row r="2454">
      <c r="A2454" s="1" t="s">
        <v>8</v>
      </c>
      <c r="B2454" s="2">
        <v>44718.0</v>
      </c>
      <c r="C2454" s="3">
        <v>0.7778819444444445</v>
      </c>
      <c r="D2454" s="1">
        <v>12.760715</v>
      </c>
      <c r="E2454" s="1">
        <v>80.003385</v>
      </c>
      <c r="F2454" s="1">
        <v>805.0</v>
      </c>
      <c r="G2454" s="1">
        <v>22.0</v>
      </c>
    </row>
    <row r="2455">
      <c r="A2455" s="1" t="s">
        <v>8</v>
      </c>
      <c r="B2455" s="2">
        <v>44718.0</v>
      </c>
      <c r="C2455" s="3">
        <v>0.7779050925925926</v>
      </c>
      <c r="D2455" s="1">
        <v>12.760715</v>
      </c>
      <c r="E2455" s="1">
        <v>80.003385</v>
      </c>
      <c r="F2455" s="1">
        <v>805.0</v>
      </c>
      <c r="G2455" s="1">
        <v>22.0</v>
      </c>
    </row>
    <row r="2456">
      <c r="A2456" s="1" t="s">
        <v>8</v>
      </c>
      <c r="B2456" s="2">
        <v>44718.0</v>
      </c>
      <c r="C2456" s="3">
        <v>0.7784606481481482</v>
      </c>
      <c r="D2456" s="1">
        <v>12.763474</v>
      </c>
      <c r="E2456" s="1">
        <v>80.004202</v>
      </c>
      <c r="F2456" s="1">
        <v>805.0</v>
      </c>
      <c r="G2456" s="1">
        <v>26.0</v>
      </c>
    </row>
    <row r="2457">
      <c r="A2457" s="1" t="s">
        <v>7</v>
      </c>
      <c r="B2457" s="2">
        <v>44718.0</v>
      </c>
      <c r="C2457" s="3">
        <v>0.778587962962963</v>
      </c>
      <c r="D2457" s="1">
        <v>12.763474</v>
      </c>
      <c r="E2457" s="1">
        <v>80.004202</v>
      </c>
      <c r="F2457" s="1">
        <v>805.0</v>
      </c>
      <c r="G2457" s="1">
        <v>26.0</v>
      </c>
    </row>
    <row r="2458">
      <c r="A2458" s="1" t="s">
        <v>8</v>
      </c>
      <c r="B2458" s="2">
        <v>44718.0</v>
      </c>
      <c r="C2458" s="3">
        <v>0.7786226851851852</v>
      </c>
      <c r="D2458" s="1">
        <v>12.764769</v>
      </c>
      <c r="E2458" s="1">
        <v>80.004731</v>
      </c>
      <c r="F2458" s="1">
        <v>805.0</v>
      </c>
      <c r="G2458" s="1">
        <v>36.0</v>
      </c>
    </row>
    <row r="2459">
      <c r="A2459" s="1" t="s">
        <v>8</v>
      </c>
      <c r="B2459" s="2">
        <v>44718.0</v>
      </c>
      <c r="C2459" s="3">
        <v>0.7796296296296297</v>
      </c>
      <c r="D2459" s="1">
        <v>12.774946</v>
      </c>
      <c r="E2459" s="1">
        <v>80.00944</v>
      </c>
      <c r="F2459" s="1">
        <v>805.0</v>
      </c>
      <c r="G2459" s="1">
        <v>58.0</v>
      </c>
    </row>
    <row r="2460">
      <c r="A2460" s="1" t="s">
        <v>8</v>
      </c>
      <c r="B2460" s="2">
        <v>44718.0</v>
      </c>
      <c r="C2460" s="3">
        <v>0.7798726851851852</v>
      </c>
      <c r="D2460" s="1">
        <v>12.777058</v>
      </c>
      <c r="E2460" s="1">
        <v>80.01038</v>
      </c>
      <c r="F2460" s="1">
        <v>805.0</v>
      </c>
      <c r="G2460" s="1">
        <v>48.0</v>
      </c>
    </row>
    <row r="2461">
      <c r="A2461" s="1" t="s">
        <v>8</v>
      </c>
      <c r="B2461" s="2">
        <v>44718.0</v>
      </c>
      <c r="C2461" s="3">
        <v>0.7799537037037036</v>
      </c>
      <c r="D2461" s="1">
        <v>12.777058</v>
      </c>
      <c r="E2461" s="1">
        <v>80.01038</v>
      </c>
      <c r="F2461" s="1">
        <v>805.0</v>
      </c>
      <c r="G2461" s="1">
        <v>48.0</v>
      </c>
    </row>
    <row r="2462">
      <c r="A2462" s="1" t="s">
        <v>8</v>
      </c>
      <c r="B2462" s="2">
        <v>44718.0</v>
      </c>
      <c r="C2462" s="3">
        <v>0.7802430555555555</v>
      </c>
      <c r="D2462" s="1">
        <v>12.780092</v>
      </c>
      <c r="E2462" s="1">
        <v>80.011699</v>
      </c>
      <c r="F2462" s="1">
        <v>805.0</v>
      </c>
      <c r="G2462" s="1">
        <v>53.0</v>
      </c>
    </row>
    <row r="2463">
      <c r="A2463" s="1" t="s">
        <v>8</v>
      </c>
      <c r="B2463" s="2">
        <v>44718.0</v>
      </c>
      <c r="C2463" s="3">
        <v>0.7811111111111111</v>
      </c>
      <c r="D2463" s="1">
        <v>12.787503</v>
      </c>
      <c r="E2463" s="1">
        <v>80.01541</v>
      </c>
      <c r="F2463" s="1">
        <v>805.0</v>
      </c>
      <c r="G2463" s="1">
        <v>55.0</v>
      </c>
    </row>
    <row r="2464">
      <c r="A2464" s="1" t="s">
        <v>8</v>
      </c>
      <c r="B2464" s="2">
        <v>44718.0</v>
      </c>
      <c r="C2464" s="3">
        <v>0.7811689814814815</v>
      </c>
      <c r="D2464" s="1">
        <v>12.787503</v>
      </c>
      <c r="E2464" s="1">
        <v>80.01541</v>
      </c>
      <c r="F2464" s="1">
        <v>805.0</v>
      </c>
      <c r="G2464" s="1">
        <v>55.0</v>
      </c>
    </row>
    <row r="2465">
      <c r="A2465" s="1" t="s">
        <v>8</v>
      </c>
      <c r="B2465" s="2">
        <v>44718.0</v>
      </c>
      <c r="C2465" s="3">
        <v>0.7812268518518518</v>
      </c>
      <c r="D2465" s="1">
        <v>12.787503</v>
      </c>
      <c r="E2465" s="1">
        <v>80.01541</v>
      </c>
      <c r="F2465" s="1">
        <v>805.0</v>
      </c>
      <c r="G2465" s="1">
        <v>55.0</v>
      </c>
    </row>
    <row r="2466">
      <c r="A2466" s="1" t="s">
        <v>8</v>
      </c>
      <c r="B2466" s="2">
        <v>44718.0</v>
      </c>
      <c r="C2466" s="3">
        <v>0.781400462962963</v>
      </c>
      <c r="D2466" s="1">
        <v>12.78941</v>
      </c>
      <c r="E2466" s="1">
        <v>80.016519</v>
      </c>
      <c r="F2466" s="1">
        <v>805.0</v>
      </c>
      <c r="G2466" s="1">
        <v>45.0</v>
      </c>
    </row>
    <row r="2467">
      <c r="A2467" s="1" t="s">
        <v>7</v>
      </c>
      <c r="B2467" s="2">
        <v>44718.0</v>
      </c>
      <c r="C2467" s="3">
        <v>0.7819212962962963</v>
      </c>
      <c r="D2467" s="1">
        <v>12.793716</v>
      </c>
      <c r="E2467" s="1">
        <v>80.019158</v>
      </c>
      <c r="F2467" s="1">
        <v>805.0</v>
      </c>
      <c r="G2467" s="1">
        <v>50.0</v>
      </c>
    </row>
    <row r="2468">
      <c r="A2468" s="1" t="s">
        <v>7</v>
      </c>
      <c r="B2468" s="2">
        <v>44718.0</v>
      </c>
      <c r="C2468" s="3">
        <v>0.7825925925925926</v>
      </c>
      <c r="D2468" s="1">
        <v>12.798997</v>
      </c>
      <c r="E2468" s="1">
        <v>80.022621</v>
      </c>
      <c r="F2468" s="1">
        <v>805.0</v>
      </c>
      <c r="G2468" s="1">
        <v>59.0</v>
      </c>
    </row>
    <row r="2469">
      <c r="A2469" s="1" t="s">
        <v>7</v>
      </c>
      <c r="B2469" s="2">
        <v>44718.0</v>
      </c>
      <c r="C2469" s="3">
        <v>0.783125</v>
      </c>
      <c r="D2469" s="1">
        <v>12.802928</v>
      </c>
      <c r="E2469" s="1">
        <v>80.025263</v>
      </c>
      <c r="F2469" s="1">
        <v>805.0</v>
      </c>
      <c r="G2469" s="1">
        <v>56.0</v>
      </c>
    </row>
    <row r="2470">
      <c r="A2470" s="1" t="s">
        <v>7</v>
      </c>
      <c r="B2470" s="2">
        <v>44718.0</v>
      </c>
      <c r="C2470" s="3">
        <v>0.7837847222222222</v>
      </c>
      <c r="D2470" s="1">
        <v>12.809964</v>
      </c>
      <c r="E2470" s="1">
        <v>80.029803</v>
      </c>
      <c r="F2470" s="1">
        <v>805.0</v>
      </c>
      <c r="G2470" s="1">
        <v>61.0</v>
      </c>
    </row>
    <row r="2471">
      <c r="A2471" s="1" t="s">
        <v>7</v>
      </c>
      <c r="B2471" s="2">
        <v>44718.0</v>
      </c>
      <c r="C2471" s="3">
        <v>0.7842592592592592</v>
      </c>
      <c r="D2471" s="1">
        <v>12.813962</v>
      </c>
      <c r="E2471" s="1">
        <v>80.032408</v>
      </c>
      <c r="F2471" s="1">
        <v>805.0</v>
      </c>
      <c r="G2471" s="1">
        <v>58.0</v>
      </c>
    </row>
    <row r="2472">
      <c r="A2472" s="1" t="s">
        <v>7</v>
      </c>
      <c r="B2472" s="2">
        <v>44718.0</v>
      </c>
      <c r="C2472" s="3">
        <v>0.7846759259259259</v>
      </c>
      <c r="D2472" s="1">
        <v>12.817802</v>
      </c>
      <c r="E2472" s="1">
        <v>80.035126</v>
      </c>
      <c r="F2472" s="1">
        <v>805.0</v>
      </c>
      <c r="G2472" s="1">
        <v>54.0</v>
      </c>
    </row>
    <row r="2473">
      <c r="A2473" s="1" t="s">
        <v>7</v>
      </c>
      <c r="B2473" s="2">
        <v>44718.0</v>
      </c>
      <c r="C2473" s="3">
        <v>0.7851967592592592</v>
      </c>
      <c r="D2473" s="1">
        <v>12.823969</v>
      </c>
      <c r="E2473" s="1">
        <v>80.039451</v>
      </c>
      <c r="F2473" s="1">
        <v>805.0</v>
      </c>
      <c r="G2473" s="1">
        <v>58.0</v>
      </c>
    </row>
    <row r="2474">
      <c r="A2474" s="1" t="s">
        <v>8</v>
      </c>
      <c r="B2474" s="2">
        <v>44718.0</v>
      </c>
      <c r="C2474" s="3">
        <v>0.7856018518518518</v>
      </c>
      <c r="D2474" s="1">
        <v>12.8276</v>
      </c>
      <c r="E2474" s="1">
        <v>80.042438</v>
      </c>
      <c r="F2474" s="1">
        <v>805.0</v>
      </c>
      <c r="G2474" s="1">
        <v>59.0</v>
      </c>
    </row>
    <row r="2475">
      <c r="A2475" s="1" t="s">
        <v>8</v>
      </c>
      <c r="B2475" s="2">
        <v>44718.0</v>
      </c>
      <c r="C2475" s="3">
        <v>0.78625</v>
      </c>
      <c r="D2475" s="1">
        <v>12.833985</v>
      </c>
      <c r="E2475" s="1">
        <v>80.049209</v>
      </c>
      <c r="F2475" s="1">
        <v>805.0</v>
      </c>
      <c r="G2475" s="1">
        <v>49.0</v>
      </c>
    </row>
    <row r="2476">
      <c r="A2476" s="1" t="s">
        <v>8</v>
      </c>
      <c r="B2476" s="2">
        <v>44718.0</v>
      </c>
      <c r="C2476" s="3">
        <v>0.7863194444444445</v>
      </c>
      <c r="D2476" s="1">
        <v>12.835135</v>
      </c>
      <c r="E2476" s="1">
        <v>80.050422</v>
      </c>
      <c r="F2476" s="1">
        <v>805.0</v>
      </c>
      <c r="G2476" s="1">
        <v>48.0</v>
      </c>
    </row>
    <row r="2477">
      <c r="A2477" s="1" t="s">
        <v>8</v>
      </c>
      <c r="B2477" s="2">
        <v>44718.0</v>
      </c>
      <c r="C2477" s="3">
        <v>0.7864467592592592</v>
      </c>
      <c r="D2477" s="1">
        <v>12.835135</v>
      </c>
      <c r="E2477" s="1">
        <v>80.050422</v>
      </c>
      <c r="F2477" s="1">
        <v>805.0</v>
      </c>
      <c r="G2477" s="1">
        <v>48.0</v>
      </c>
    </row>
    <row r="2478">
      <c r="A2478" s="1" t="s">
        <v>8</v>
      </c>
      <c r="B2478" s="2">
        <v>44718.0</v>
      </c>
      <c r="C2478" s="3">
        <v>0.7892939814814814</v>
      </c>
      <c r="D2478" s="1">
        <v>12.843751</v>
      </c>
      <c r="E2478" s="1">
        <v>80.059367</v>
      </c>
      <c r="F2478" s="1">
        <v>805.0</v>
      </c>
      <c r="G2478" s="1">
        <v>0.0</v>
      </c>
    </row>
    <row r="2479">
      <c r="A2479" s="1" t="s">
        <v>7</v>
      </c>
      <c r="B2479" s="2">
        <v>44718.0</v>
      </c>
      <c r="C2479" s="3">
        <v>0.790625</v>
      </c>
      <c r="D2479" s="1">
        <v>12.846198</v>
      </c>
      <c r="E2479" s="1">
        <v>80.061805</v>
      </c>
      <c r="F2479" s="1">
        <v>805.0</v>
      </c>
      <c r="G2479" s="1">
        <v>0.0</v>
      </c>
    </row>
    <row r="2480">
      <c r="A2480" s="1" t="s">
        <v>8</v>
      </c>
      <c r="B2480" s="2">
        <v>44718.0</v>
      </c>
      <c r="C2480" s="3">
        <v>0.7908449074074074</v>
      </c>
      <c r="D2480" s="1">
        <v>12.84766</v>
      </c>
      <c r="E2480" s="1">
        <v>80.063003</v>
      </c>
      <c r="F2480" s="1">
        <v>805.0</v>
      </c>
      <c r="G2480" s="1">
        <v>0.0</v>
      </c>
    </row>
    <row r="2481">
      <c r="A2481" s="1" t="s">
        <v>7</v>
      </c>
      <c r="B2481" s="2">
        <v>44718.0</v>
      </c>
      <c r="C2481" s="3">
        <v>0.7913773148148148</v>
      </c>
      <c r="D2481" s="1">
        <v>12.850919</v>
      </c>
      <c r="E2481" s="1">
        <v>80.065374</v>
      </c>
      <c r="F2481" s="1">
        <v>805.0</v>
      </c>
      <c r="G2481" s="1">
        <v>44.0</v>
      </c>
    </row>
    <row r="2482">
      <c r="A2482" s="1" t="s">
        <v>8</v>
      </c>
      <c r="B2482" s="2">
        <v>44718.0</v>
      </c>
      <c r="C2482" s="3">
        <v>0.7916435185185186</v>
      </c>
      <c r="D2482" s="1">
        <v>12.85202</v>
      </c>
      <c r="E2482" s="1">
        <v>80.066149</v>
      </c>
      <c r="F2482" s="1">
        <v>805.0</v>
      </c>
      <c r="G2482" s="1">
        <v>29.0</v>
      </c>
    </row>
    <row r="2483">
      <c r="A2483" s="1" t="s">
        <v>7</v>
      </c>
      <c r="B2483" s="2">
        <v>44718.0</v>
      </c>
      <c r="C2483" s="3">
        <v>0.7921412037037037</v>
      </c>
      <c r="D2483" s="1">
        <v>12.856345</v>
      </c>
      <c r="E2483" s="1">
        <v>80.069369</v>
      </c>
      <c r="F2483" s="1">
        <v>805.0</v>
      </c>
      <c r="G2483" s="1">
        <v>59.0</v>
      </c>
    </row>
    <row r="2484">
      <c r="A2484" s="1" t="s">
        <v>9</v>
      </c>
      <c r="B2484" s="2">
        <v>44718.0</v>
      </c>
      <c r="C2484" s="3">
        <v>0.7923032407407408</v>
      </c>
      <c r="D2484" s="1">
        <v>12.856345</v>
      </c>
      <c r="E2484" s="1">
        <v>80.069369</v>
      </c>
      <c r="F2484" s="1">
        <v>805.0</v>
      </c>
      <c r="G2484" s="1">
        <v>59.0</v>
      </c>
    </row>
    <row r="2485">
      <c r="A2485" s="1" t="s">
        <v>7</v>
      </c>
      <c r="B2485" s="2">
        <v>44718.0</v>
      </c>
      <c r="C2485" s="3">
        <v>0.792337962962963</v>
      </c>
      <c r="D2485" s="1">
        <v>12.856345</v>
      </c>
      <c r="E2485" s="1">
        <v>80.069369</v>
      </c>
      <c r="F2485" s="1">
        <v>805.0</v>
      </c>
      <c r="G2485" s="1">
        <v>59.0</v>
      </c>
    </row>
    <row r="2486">
      <c r="A2486" s="1" t="s">
        <v>8</v>
      </c>
      <c r="B2486" s="2">
        <v>44718.0</v>
      </c>
      <c r="C2486" s="3">
        <v>0.7934606481481481</v>
      </c>
      <c r="D2486" s="1">
        <v>12.861328</v>
      </c>
      <c r="E2486" s="1">
        <v>80.072978</v>
      </c>
      <c r="F2486" s="1">
        <v>805.0</v>
      </c>
      <c r="G2486" s="1">
        <v>50.0</v>
      </c>
    </row>
    <row r="2487">
      <c r="A2487" s="1" t="s">
        <v>8</v>
      </c>
      <c r="B2487" s="2">
        <v>44718.0</v>
      </c>
      <c r="C2487" s="3">
        <v>0.7935069444444445</v>
      </c>
      <c r="D2487" s="1">
        <v>12.861328</v>
      </c>
      <c r="E2487" s="1">
        <v>80.072978</v>
      </c>
      <c r="F2487" s="1">
        <v>805.0</v>
      </c>
      <c r="G2487" s="1">
        <v>50.0</v>
      </c>
    </row>
    <row r="2488">
      <c r="A2488" s="1" t="s">
        <v>8</v>
      </c>
      <c r="B2488" s="2">
        <v>44718.0</v>
      </c>
      <c r="C2488" s="3">
        <v>0.7935648148148148</v>
      </c>
      <c r="D2488" s="1">
        <v>12.861328</v>
      </c>
      <c r="E2488" s="1">
        <v>80.072978</v>
      </c>
      <c r="F2488" s="1">
        <v>805.0</v>
      </c>
      <c r="G2488" s="1">
        <v>50.0</v>
      </c>
    </row>
    <row r="2489">
      <c r="A2489" s="1" t="s">
        <v>8</v>
      </c>
      <c r="B2489" s="2">
        <v>44719.0</v>
      </c>
      <c r="C2489" s="3">
        <v>0.24810185185185185</v>
      </c>
      <c r="D2489" s="1">
        <v>12.87884</v>
      </c>
      <c r="E2489" s="1">
        <v>80.080917</v>
      </c>
      <c r="F2489" s="1">
        <v>805.0</v>
      </c>
      <c r="G2489" s="1">
        <v>37.0</v>
      </c>
    </row>
    <row r="2490">
      <c r="A2490" s="1" t="s">
        <v>7</v>
      </c>
      <c r="B2490" s="2">
        <v>44719.0</v>
      </c>
      <c r="C2490" s="3">
        <v>0.24864583333333334</v>
      </c>
      <c r="D2490" s="1">
        <v>12.875903</v>
      </c>
      <c r="E2490" s="1">
        <v>80.079043</v>
      </c>
      <c r="F2490" s="1">
        <v>805.0</v>
      </c>
      <c r="G2490" s="1">
        <v>57.0</v>
      </c>
    </row>
    <row r="2491">
      <c r="A2491" s="1" t="s">
        <v>7</v>
      </c>
      <c r="B2491" s="2">
        <v>44719.0</v>
      </c>
      <c r="C2491" s="3">
        <v>0.24871527777777777</v>
      </c>
      <c r="D2491" s="1">
        <v>12.874559</v>
      </c>
      <c r="E2491" s="1">
        <v>80.078479</v>
      </c>
      <c r="F2491" s="1">
        <v>805.0</v>
      </c>
      <c r="G2491" s="1">
        <v>59.0</v>
      </c>
    </row>
    <row r="2492">
      <c r="A2492" s="1" t="s">
        <v>7</v>
      </c>
      <c r="B2492" s="2">
        <v>44719.0</v>
      </c>
      <c r="C2492" s="3">
        <v>0.24913194444444445</v>
      </c>
      <c r="D2492" s="1">
        <v>12.870488</v>
      </c>
      <c r="E2492" s="1">
        <v>80.076841</v>
      </c>
      <c r="F2492" s="1">
        <v>805.0</v>
      </c>
      <c r="G2492" s="1">
        <v>58.0</v>
      </c>
    </row>
    <row r="2493">
      <c r="A2493" s="1" t="s">
        <v>7</v>
      </c>
      <c r="B2493" s="2">
        <v>44719.0</v>
      </c>
      <c r="C2493" s="3">
        <v>0.24996527777777777</v>
      </c>
      <c r="D2493" s="1">
        <v>12.860991</v>
      </c>
      <c r="E2493" s="1">
        <v>80.072961</v>
      </c>
      <c r="F2493" s="1">
        <v>805.0</v>
      </c>
      <c r="G2493" s="1">
        <v>58.0</v>
      </c>
    </row>
    <row r="2494">
      <c r="A2494" s="1" t="s">
        <v>7</v>
      </c>
      <c r="B2494" s="2">
        <v>44719.0</v>
      </c>
      <c r="C2494" s="3">
        <v>0.2503472222222222</v>
      </c>
      <c r="D2494" s="1">
        <v>12.856283</v>
      </c>
      <c r="E2494" s="1">
        <v>80.069482</v>
      </c>
      <c r="F2494" s="1">
        <v>805.0</v>
      </c>
      <c r="G2494" s="1">
        <v>58.0</v>
      </c>
    </row>
    <row r="2495">
      <c r="A2495" s="1" t="s">
        <v>7</v>
      </c>
      <c r="B2495" s="2">
        <v>44719.0</v>
      </c>
      <c r="C2495" s="3">
        <v>0.25078703703703703</v>
      </c>
      <c r="D2495" s="1">
        <v>12.852732</v>
      </c>
      <c r="E2495" s="1">
        <v>80.066839</v>
      </c>
      <c r="F2495" s="1">
        <v>805.0</v>
      </c>
      <c r="G2495" s="1">
        <v>57.0</v>
      </c>
    </row>
    <row r="2496">
      <c r="A2496" s="1" t="s">
        <v>8</v>
      </c>
      <c r="B2496" s="2">
        <v>44719.0</v>
      </c>
      <c r="C2496" s="3">
        <v>0.25114583333333335</v>
      </c>
      <c r="D2496" s="1">
        <v>12.848216</v>
      </c>
      <c r="E2496" s="1">
        <v>80.063558</v>
      </c>
      <c r="F2496" s="1">
        <v>805.0</v>
      </c>
      <c r="G2496" s="1">
        <v>51.0</v>
      </c>
    </row>
    <row r="2497">
      <c r="A2497" s="1" t="s">
        <v>7</v>
      </c>
      <c r="B2497" s="2">
        <v>44719.0</v>
      </c>
      <c r="C2497" s="3">
        <v>0.2514814814814815</v>
      </c>
      <c r="D2497" s="1">
        <v>12.846136</v>
      </c>
      <c r="E2497" s="1">
        <v>80.062005</v>
      </c>
      <c r="F2497" s="1">
        <v>805.0</v>
      </c>
      <c r="G2497" s="1">
        <v>56.0</v>
      </c>
    </row>
    <row r="2498">
      <c r="A2498" s="1" t="s">
        <v>7</v>
      </c>
      <c r="B2498" s="2">
        <v>44719.0</v>
      </c>
      <c r="C2498" s="3">
        <v>0.2517476851851852</v>
      </c>
      <c r="D2498" s="1">
        <v>12.842965</v>
      </c>
      <c r="E2498" s="1">
        <v>80.058889</v>
      </c>
      <c r="F2498" s="1">
        <v>805.0</v>
      </c>
      <c r="G2498" s="1">
        <v>58.0</v>
      </c>
    </row>
    <row r="2499">
      <c r="A2499" s="1" t="s">
        <v>8</v>
      </c>
      <c r="B2499" s="2">
        <v>44719.0</v>
      </c>
      <c r="C2499" s="3">
        <v>0.25200231481481483</v>
      </c>
      <c r="D2499" s="1">
        <v>12.841349</v>
      </c>
      <c r="E2499" s="1">
        <v>80.057114</v>
      </c>
      <c r="F2499" s="1">
        <v>805.0</v>
      </c>
      <c r="G2499" s="1">
        <v>49.0</v>
      </c>
    </row>
    <row r="2500">
      <c r="A2500" s="1" t="s">
        <v>7</v>
      </c>
      <c r="B2500" s="2">
        <v>44719.0</v>
      </c>
      <c r="C2500" s="3">
        <v>0.2520601851851852</v>
      </c>
      <c r="D2500" s="1">
        <v>12.841349</v>
      </c>
      <c r="E2500" s="1">
        <v>80.057114</v>
      </c>
      <c r="F2500" s="1">
        <v>805.0</v>
      </c>
      <c r="G2500" s="1">
        <v>49.0</v>
      </c>
    </row>
    <row r="2501">
      <c r="A2501" s="1" t="s">
        <v>7</v>
      </c>
      <c r="B2501" s="2">
        <v>44719.0</v>
      </c>
      <c r="C2501" s="3">
        <v>0.25221064814814814</v>
      </c>
      <c r="D2501" s="1">
        <v>12.839423</v>
      </c>
      <c r="E2501" s="1">
        <v>80.055102</v>
      </c>
      <c r="F2501" s="1">
        <v>805.0</v>
      </c>
      <c r="G2501" s="1">
        <v>57.0</v>
      </c>
    </row>
    <row r="2502">
      <c r="A2502" s="1" t="s">
        <v>7</v>
      </c>
      <c r="B2502" s="2">
        <v>44719.0</v>
      </c>
      <c r="C2502" s="3">
        <v>0.2526388888888889</v>
      </c>
      <c r="D2502" s="1">
        <v>12.83541</v>
      </c>
      <c r="E2502" s="1">
        <v>80.050797</v>
      </c>
      <c r="F2502" s="1">
        <v>805.0</v>
      </c>
      <c r="G2502" s="1">
        <v>58.0</v>
      </c>
    </row>
    <row r="2503">
      <c r="A2503" s="1" t="s">
        <v>7</v>
      </c>
      <c r="B2503" s="2">
        <v>44719.0</v>
      </c>
      <c r="C2503" s="3">
        <v>0.25376157407407407</v>
      </c>
      <c r="D2503" s="1">
        <v>12.827242</v>
      </c>
      <c r="E2503" s="1">
        <v>80.042277</v>
      </c>
      <c r="F2503" s="1">
        <v>805.0</v>
      </c>
      <c r="G2503" s="1">
        <v>58.0</v>
      </c>
    </row>
    <row r="2504">
      <c r="A2504" s="1" t="s">
        <v>7</v>
      </c>
      <c r="B2504" s="2">
        <v>44719.0</v>
      </c>
      <c r="C2504" s="3">
        <v>0.2540625</v>
      </c>
      <c r="D2504" s="1">
        <v>12.823797</v>
      </c>
      <c r="E2504" s="1">
        <v>80.039504</v>
      </c>
      <c r="F2504" s="1">
        <v>805.0</v>
      </c>
      <c r="G2504" s="1">
        <v>58.0</v>
      </c>
    </row>
    <row r="2505">
      <c r="A2505" s="1" t="s">
        <v>7</v>
      </c>
      <c r="B2505" s="2">
        <v>44719.0</v>
      </c>
      <c r="C2505" s="3">
        <v>0.2541550925925926</v>
      </c>
      <c r="D2505" s="1">
        <v>12.822589</v>
      </c>
      <c r="E2505" s="1">
        <v>80.03866</v>
      </c>
      <c r="F2505" s="1">
        <v>805.0</v>
      </c>
      <c r="G2505" s="1">
        <v>58.0</v>
      </c>
    </row>
    <row r="2506">
      <c r="A2506" s="1" t="s">
        <v>7</v>
      </c>
      <c r="B2506" s="2">
        <v>44719.0</v>
      </c>
      <c r="C2506" s="3">
        <v>0.25425925925925924</v>
      </c>
      <c r="D2506" s="1">
        <v>12.820914</v>
      </c>
      <c r="E2506" s="1">
        <v>80.037475</v>
      </c>
      <c r="F2506" s="1">
        <v>805.0</v>
      </c>
      <c r="G2506" s="1">
        <v>58.0</v>
      </c>
    </row>
    <row r="2507">
      <c r="A2507" s="1" t="s">
        <v>7</v>
      </c>
      <c r="B2507" s="2">
        <v>44719.0</v>
      </c>
      <c r="C2507" s="3">
        <v>0.2556597222222222</v>
      </c>
      <c r="D2507" s="1">
        <v>12.805816</v>
      </c>
      <c r="E2507" s="1">
        <v>80.027291</v>
      </c>
      <c r="F2507" s="1">
        <v>805.0</v>
      </c>
      <c r="G2507" s="1">
        <v>57.0</v>
      </c>
    </row>
    <row r="2508">
      <c r="A2508" s="1" t="s">
        <v>8</v>
      </c>
      <c r="B2508" s="2">
        <v>44719.0</v>
      </c>
      <c r="C2508" s="3">
        <v>0.25592592592592595</v>
      </c>
      <c r="D2508" s="1">
        <v>12.803837</v>
      </c>
      <c r="E2508" s="1">
        <v>80.026002</v>
      </c>
      <c r="F2508" s="1">
        <v>805.0</v>
      </c>
      <c r="G2508" s="1">
        <v>58.0</v>
      </c>
    </row>
    <row r="2509">
      <c r="A2509" s="1" t="s">
        <v>7</v>
      </c>
      <c r="B2509" s="2">
        <v>44719.0</v>
      </c>
      <c r="C2509" s="3">
        <v>0.25649305555555557</v>
      </c>
      <c r="D2509" s="1">
        <v>12.799034</v>
      </c>
      <c r="E2509" s="1">
        <v>80.02281</v>
      </c>
      <c r="F2509" s="1">
        <v>805.0</v>
      </c>
      <c r="G2509" s="1">
        <v>41.0</v>
      </c>
    </row>
    <row r="2510">
      <c r="A2510" s="1" t="s">
        <v>7</v>
      </c>
      <c r="B2510" s="2">
        <v>44719.0</v>
      </c>
      <c r="C2510" s="3">
        <v>0.2569212962962963</v>
      </c>
      <c r="D2510" s="1">
        <v>12.795239</v>
      </c>
      <c r="E2510" s="1">
        <v>80.020348</v>
      </c>
      <c r="F2510" s="1">
        <v>805.0</v>
      </c>
      <c r="G2510" s="1">
        <v>57.0</v>
      </c>
    </row>
    <row r="2511">
      <c r="A2511" s="1" t="s">
        <v>8</v>
      </c>
      <c r="B2511" s="2">
        <v>44719.0</v>
      </c>
      <c r="C2511" s="3">
        <v>0.2578125</v>
      </c>
      <c r="D2511" s="1">
        <v>12.786192</v>
      </c>
      <c r="E2511" s="1">
        <v>80.014734</v>
      </c>
      <c r="F2511" s="1">
        <v>805.0</v>
      </c>
      <c r="G2511" s="1">
        <v>32.0</v>
      </c>
    </row>
    <row r="2512">
      <c r="A2512" s="1" t="s">
        <v>7</v>
      </c>
      <c r="B2512" s="2">
        <v>44719.0</v>
      </c>
      <c r="C2512" s="3">
        <v>0.25806712962962963</v>
      </c>
      <c r="D2512" s="1">
        <v>12.782248</v>
      </c>
      <c r="E2512" s="1">
        <v>80.01278</v>
      </c>
      <c r="F2512" s="1">
        <v>805.0</v>
      </c>
      <c r="G2512" s="1">
        <v>58.0</v>
      </c>
    </row>
    <row r="2513">
      <c r="A2513" s="1" t="s">
        <v>7</v>
      </c>
      <c r="B2513" s="2">
        <v>44719.0</v>
      </c>
      <c r="C2513" s="3">
        <v>0.2582638888888889</v>
      </c>
      <c r="D2513" s="1">
        <v>12.780231</v>
      </c>
      <c r="E2513" s="1">
        <v>80.011928</v>
      </c>
      <c r="F2513" s="1">
        <v>805.0</v>
      </c>
      <c r="G2513" s="1">
        <v>58.0</v>
      </c>
    </row>
    <row r="2514">
      <c r="A2514" s="1" t="s">
        <v>7</v>
      </c>
      <c r="B2514" s="2">
        <v>44719.0</v>
      </c>
      <c r="C2514" s="3">
        <v>0.25927083333333334</v>
      </c>
      <c r="D2514" s="1">
        <v>12.769727</v>
      </c>
      <c r="E2514" s="1">
        <v>80.00714</v>
      </c>
      <c r="F2514" s="1">
        <v>805.0</v>
      </c>
      <c r="G2514" s="1">
        <v>52.0</v>
      </c>
    </row>
    <row r="2515">
      <c r="A2515" s="1" t="s">
        <v>7</v>
      </c>
      <c r="B2515" s="2">
        <v>44719.0</v>
      </c>
      <c r="C2515" s="3">
        <v>0.25950231481481484</v>
      </c>
      <c r="D2515" s="1">
        <v>12.767944</v>
      </c>
      <c r="E2515" s="1">
        <v>80.006222</v>
      </c>
      <c r="F2515" s="1">
        <v>805.0</v>
      </c>
      <c r="G2515" s="1">
        <v>59.0</v>
      </c>
    </row>
    <row r="2516">
      <c r="A2516" s="1" t="s">
        <v>7</v>
      </c>
      <c r="B2516" s="2">
        <v>44719.0</v>
      </c>
      <c r="C2516" s="3">
        <v>0.2596875</v>
      </c>
      <c r="D2516" s="1">
        <v>12.765771</v>
      </c>
      <c r="E2516" s="1">
        <v>80.005256</v>
      </c>
      <c r="F2516" s="1">
        <v>805.0</v>
      </c>
      <c r="G2516" s="1">
        <v>58.0</v>
      </c>
    </row>
    <row r="2517">
      <c r="A2517" s="1" t="s">
        <v>7</v>
      </c>
      <c r="B2517" s="2">
        <v>44719.0</v>
      </c>
      <c r="C2517" s="3">
        <v>0.26013888888888886</v>
      </c>
      <c r="D2517" s="1">
        <v>12.759478</v>
      </c>
      <c r="E2517" s="1">
        <v>80.003158</v>
      </c>
      <c r="F2517" s="1">
        <v>805.0</v>
      </c>
      <c r="G2517" s="1">
        <v>58.0</v>
      </c>
    </row>
    <row r="2518">
      <c r="A2518" s="1" t="s">
        <v>7</v>
      </c>
      <c r="B2518" s="2">
        <v>44719.0</v>
      </c>
      <c r="C2518" s="3">
        <v>0.2604976851851852</v>
      </c>
      <c r="D2518" s="1">
        <v>12.755263</v>
      </c>
      <c r="E2518" s="1">
        <v>80.00149</v>
      </c>
      <c r="F2518" s="1">
        <v>805.0</v>
      </c>
      <c r="G2518" s="1">
        <v>58.0</v>
      </c>
    </row>
    <row r="2519">
      <c r="A2519" s="1" t="s">
        <v>7</v>
      </c>
      <c r="B2519" s="2">
        <v>44719.0</v>
      </c>
      <c r="C2519" s="3">
        <v>0.2606134259259259</v>
      </c>
      <c r="D2519" s="1">
        <v>12.753413</v>
      </c>
      <c r="E2519" s="1">
        <v>80.000292</v>
      </c>
      <c r="F2519" s="1">
        <v>805.0</v>
      </c>
      <c r="G2519" s="1">
        <v>56.0</v>
      </c>
    </row>
    <row r="2520">
      <c r="A2520" s="1" t="s">
        <v>7</v>
      </c>
      <c r="B2520" s="2">
        <v>44719.0</v>
      </c>
      <c r="C2520" s="3">
        <v>0.2609375</v>
      </c>
      <c r="D2520" s="1">
        <v>12.749667</v>
      </c>
      <c r="E2520" s="1">
        <v>79.997694</v>
      </c>
      <c r="F2520" s="1">
        <v>805.0</v>
      </c>
      <c r="G2520" s="1">
        <v>58.0</v>
      </c>
    </row>
    <row r="2521">
      <c r="A2521" s="1" t="s">
        <v>7</v>
      </c>
      <c r="B2521" s="2">
        <v>44719.0</v>
      </c>
      <c r="C2521" s="3">
        <v>0.26130787037037034</v>
      </c>
      <c r="D2521" s="1">
        <v>12.747943</v>
      </c>
      <c r="E2521" s="1">
        <v>79.996314</v>
      </c>
      <c r="F2521" s="1">
        <v>805.0</v>
      </c>
      <c r="G2521" s="1">
        <v>58.0</v>
      </c>
    </row>
    <row r="2522">
      <c r="A2522" s="1" t="s">
        <v>7</v>
      </c>
      <c r="B2522" s="2">
        <v>44719.0</v>
      </c>
      <c r="C2522" s="3">
        <v>0.26155092592592594</v>
      </c>
      <c r="D2522" s="1">
        <v>12.74451</v>
      </c>
      <c r="E2522" s="1">
        <v>79.99353</v>
      </c>
      <c r="F2522" s="1">
        <v>805.0</v>
      </c>
      <c r="G2522" s="1">
        <v>58.0</v>
      </c>
    </row>
    <row r="2523">
      <c r="A2523" s="1" t="s">
        <v>7</v>
      </c>
      <c r="B2523" s="2">
        <v>44719.0</v>
      </c>
      <c r="C2523" s="3">
        <v>0.2620138888888889</v>
      </c>
      <c r="D2523" s="1">
        <v>12.741064</v>
      </c>
      <c r="E2523" s="1">
        <v>79.990768</v>
      </c>
      <c r="F2523" s="1">
        <v>805.0</v>
      </c>
      <c r="G2523" s="1">
        <v>58.0</v>
      </c>
    </row>
    <row r="2524">
      <c r="A2524" s="1" t="s">
        <v>7</v>
      </c>
      <c r="B2524" s="2">
        <v>44719.0</v>
      </c>
      <c r="C2524" s="3">
        <v>0.2644212962962963</v>
      </c>
      <c r="D2524" s="1">
        <v>12.724154</v>
      </c>
      <c r="E2524" s="1">
        <v>79.982088</v>
      </c>
      <c r="F2524" s="1">
        <v>805.0</v>
      </c>
      <c r="G2524" s="1">
        <v>0.0</v>
      </c>
    </row>
    <row r="2525">
      <c r="A2525" s="1" t="s">
        <v>7</v>
      </c>
      <c r="B2525" s="2">
        <v>44719.0</v>
      </c>
      <c r="C2525" s="3">
        <v>0.26449074074074075</v>
      </c>
      <c r="D2525" s="1">
        <v>12.723668</v>
      </c>
      <c r="E2525" s="1">
        <v>79.981873</v>
      </c>
      <c r="F2525" s="1">
        <v>805.0</v>
      </c>
      <c r="G2525" s="1">
        <v>0.0</v>
      </c>
    </row>
    <row r="2526">
      <c r="A2526" s="1" t="s">
        <v>7</v>
      </c>
      <c r="B2526" s="2">
        <v>44719.0</v>
      </c>
      <c r="C2526" s="3">
        <v>0.2645486111111111</v>
      </c>
      <c r="D2526" s="1">
        <v>12.723373</v>
      </c>
      <c r="E2526" s="1">
        <v>79.981772</v>
      </c>
      <c r="F2526" s="1">
        <v>805.0</v>
      </c>
      <c r="G2526" s="1">
        <v>42.0</v>
      </c>
    </row>
    <row r="2527">
      <c r="A2527" s="1" t="s">
        <v>7</v>
      </c>
      <c r="B2527" s="2">
        <v>44719.0</v>
      </c>
      <c r="C2527" s="3">
        <v>0.26512731481481483</v>
      </c>
      <c r="D2527" s="1">
        <v>12.718938</v>
      </c>
      <c r="E2527" s="1">
        <v>79.981086</v>
      </c>
      <c r="F2527" s="1">
        <v>805.0</v>
      </c>
      <c r="G2527" s="1">
        <v>57.0</v>
      </c>
    </row>
    <row r="2528">
      <c r="A2528" s="1" t="s">
        <v>7</v>
      </c>
      <c r="B2528" s="2">
        <v>44719.0</v>
      </c>
      <c r="C2528" s="3">
        <v>0.2656365740740741</v>
      </c>
      <c r="D2528" s="1">
        <v>12.710324</v>
      </c>
      <c r="E2528" s="1">
        <v>79.978188</v>
      </c>
      <c r="F2528" s="1">
        <v>805.0</v>
      </c>
      <c r="G2528" s="1">
        <v>57.0</v>
      </c>
    </row>
    <row r="2529">
      <c r="A2529" s="1" t="s">
        <v>7</v>
      </c>
      <c r="B2529" s="2">
        <v>44719.0</v>
      </c>
      <c r="C2529" s="3">
        <v>0.26577546296296295</v>
      </c>
      <c r="D2529" s="1">
        <v>12.710324</v>
      </c>
      <c r="E2529" s="1">
        <v>79.978188</v>
      </c>
      <c r="F2529" s="1">
        <v>805.0</v>
      </c>
      <c r="G2529" s="1">
        <v>57.0</v>
      </c>
    </row>
    <row r="2530">
      <c r="A2530" s="1" t="s">
        <v>7</v>
      </c>
      <c r="B2530" s="2">
        <v>44719.0</v>
      </c>
      <c r="C2530" s="3">
        <v>0.26599537037037035</v>
      </c>
      <c r="D2530" s="1">
        <v>12.706604</v>
      </c>
      <c r="E2530" s="1">
        <v>79.975832</v>
      </c>
      <c r="F2530" s="1">
        <v>805.0</v>
      </c>
      <c r="G2530" s="1">
        <v>58.0</v>
      </c>
    </row>
    <row r="2531">
      <c r="A2531" s="1" t="s">
        <v>7</v>
      </c>
      <c r="B2531" s="2">
        <v>44719.0</v>
      </c>
      <c r="C2531" s="3">
        <v>0.2662731481481482</v>
      </c>
      <c r="D2531" s="1">
        <v>12.705194</v>
      </c>
      <c r="E2531" s="1">
        <v>79.97413</v>
      </c>
      <c r="F2531" s="1">
        <v>805.0</v>
      </c>
      <c r="G2531" s="1">
        <v>57.0</v>
      </c>
    </row>
    <row r="2532">
      <c r="A2532" s="1" t="s">
        <v>7</v>
      </c>
      <c r="B2532" s="2">
        <v>44719.0</v>
      </c>
      <c r="C2532" s="3">
        <v>0.2671064814814815</v>
      </c>
      <c r="D2532" s="1">
        <v>12.696982</v>
      </c>
      <c r="E2532" s="1">
        <v>79.966942</v>
      </c>
      <c r="F2532" s="1">
        <v>805.0</v>
      </c>
      <c r="G2532" s="1">
        <v>57.0</v>
      </c>
    </row>
    <row r="2533">
      <c r="A2533" s="1" t="s">
        <v>7</v>
      </c>
      <c r="B2533" s="2">
        <v>44719.0</v>
      </c>
      <c r="C2533" s="3">
        <v>0.26721064814814816</v>
      </c>
      <c r="D2533" s="1">
        <v>12.695044</v>
      </c>
      <c r="E2533" s="1">
        <v>79.965904</v>
      </c>
      <c r="F2533" s="1">
        <v>805.0</v>
      </c>
      <c r="G2533" s="1">
        <v>58.0</v>
      </c>
    </row>
    <row r="2534">
      <c r="A2534" s="1" t="s">
        <v>7</v>
      </c>
      <c r="B2534" s="2">
        <v>44719.0</v>
      </c>
      <c r="C2534" s="3">
        <v>0.2673611111111111</v>
      </c>
      <c r="D2534" s="1">
        <v>12.693109</v>
      </c>
      <c r="E2534" s="1">
        <v>79.96485</v>
      </c>
      <c r="F2534" s="1">
        <v>805.0</v>
      </c>
      <c r="G2534" s="1">
        <v>58.0</v>
      </c>
    </row>
    <row r="2535">
      <c r="A2535" s="1" t="s">
        <v>7</v>
      </c>
      <c r="B2535" s="2">
        <v>44719.0</v>
      </c>
      <c r="C2535" s="3">
        <v>0.2674652777777778</v>
      </c>
      <c r="D2535" s="1">
        <v>12.693109</v>
      </c>
      <c r="E2535" s="1">
        <v>79.96485</v>
      </c>
      <c r="F2535" s="1">
        <v>805.0</v>
      </c>
      <c r="G2535" s="1">
        <v>58.0</v>
      </c>
    </row>
    <row r="2536">
      <c r="A2536" s="1" t="s">
        <v>7</v>
      </c>
      <c r="B2536" s="2">
        <v>44719.0</v>
      </c>
      <c r="C2536" s="3">
        <v>0.26787037037037037</v>
      </c>
      <c r="D2536" s="1">
        <v>12.69008</v>
      </c>
      <c r="E2536" s="1">
        <v>79.961633</v>
      </c>
      <c r="F2536" s="1">
        <v>805.0</v>
      </c>
      <c r="G2536" s="1">
        <v>58.0</v>
      </c>
    </row>
    <row r="2537">
      <c r="A2537" s="1" t="s">
        <v>7</v>
      </c>
      <c r="B2537" s="2">
        <v>44719.0</v>
      </c>
      <c r="C2537" s="3">
        <v>0.2694675925925926</v>
      </c>
      <c r="D2537" s="1">
        <v>12.671812</v>
      </c>
      <c r="E2537" s="1">
        <v>79.958683</v>
      </c>
      <c r="F2537" s="1">
        <v>805.0</v>
      </c>
      <c r="G2537" s="1">
        <v>56.0</v>
      </c>
    </row>
    <row r="2538">
      <c r="A2538" s="1" t="s">
        <v>7</v>
      </c>
      <c r="B2538" s="2">
        <v>44719.0</v>
      </c>
      <c r="C2538" s="3">
        <v>0.26988425925925924</v>
      </c>
      <c r="D2538" s="1">
        <v>12.665072</v>
      </c>
      <c r="E2538" s="1">
        <v>79.960026</v>
      </c>
      <c r="F2538" s="1">
        <v>805.0</v>
      </c>
      <c r="G2538" s="1">
        <v>58.0</v>
      </c>
    </row>
    <row r="2539">
      <c r="A2539" s="1" t="s">
        <v>7</v>
      </c>
      <c r="B2539" s="2">
        <v>44719.0</v>
      </c>
      <c r="C2539" s="3">
        <v>0.27003472222222225</v>
      </c>
      <c r="D2539" s="1">
        <v>12.662956</v>
      </c>
      <c r="E2539" s="1">
        <v>79.961025</v>
      </c>
      <c r="F2539" s="1">
        <v>805.0</v>
      </c>
      <c r="G2539" s="1">
        <v>58.0</v>
      </c>
    </row>
    <row r="2540">
      <c r="A2540" s="1" t="s">
        <v>7</v>
      </c>
      <c r="B2540" s="2">
        <v>44719.0</v>
      </c>
      <c r="C2540" s="3">
        <v>0.27025462962962965</v>
      </c>
      <c r="D2540" s="1">
        <v>12.660636</v>
      </c>
      <c r="E2540" s="1">
        <v>79.96099</v>
      </c>
      <c r="F2540" s="1">
        <v>805.0</v>
      </c>
      <c r="G2540" s="1">
        <v>58.0</v>
      </c>
    </row>
    <row r="2541">
      <c r="A2541" s="1" t="s">
        <v>7</v>
      </c>
      <c r="B2541" s="2">
        <v>44719.0</v>
      </c>
      <c r="C2541" s="3">
        <v>0.27047453703703705</v>
      </c>
      <c r="D2541" s="1">
        <v>12.660636</v>
      </c>
      <c r="E2541" s="1">
        <v>79.96099</v>
      </c>
      <c r="F2541" s="1">
        <v>805.0</v>
      </c>
      <c r="G2541" s="1">
        <v>58.0</v>
      </c>
    </row>
    <row r="2542">
      <c r="A2542" s="1" t="s">
        <v>8</v>
      </c>
      <c r="B2542" s="2">
        <v>44719.0</v>
      </c>
      <c r="C2542" s="3">
        <v>0.2724537037037037</v>
      </c>
      <c r="D2542" s="1">
        <v>12.656705</v>
      </c>
      <c r="E2542" s="1">
        <v>79.942103</v>
      </c>
      <c r="F2542" s="1">
        <v>805.0</v>
      </c>
      <c r="G2542" s="1">
        <v>42.0</v>
      </c>
    </row>
    <row r="2543">
      <c r="A2543" s="1" t="s">
        <v>7</v>
      </c>
      <c r="B2543" s="2">
        <v>44719.0</v>
      </c>
      <c r="C2543" s="3">
        <v>0.2728587962962963</v>
      </c>
      <c r="D2543" s="1">
        <v>12.653267</v>
      </c>
      <c r="E2543" s="1">
        <v>79.942359</v>
      </c>
      <c r="F2543" s="1">
        <v>805.0</v>
      </c>
      <c r="G2543" s="1">
        <v>43.0</v>
      </c>
    </row>
    <row r="2544">
      <c r="A2544" s="1" t="s">
        <v>7</v>
      </c>
      <c r="B2544" s="2">
        <v>44719.0</v>
      </c>
      <c r="C2544" s="3">
        <v>0.2730092592592593</v>
      </c>
      <c r="D2544" s="1">
        <v>12.651646</v>
      </c>
      <c r="E2544" s="1">
        <v>79.941951</v>
      </c>
      <c r="F2544" s="1">
        <v>805.0</v>
      </c>
      <c r="G2544" s="1">
        <v>36.0</v>
      </c>
    </row>
    <row r="2545">
      <c r="A2545" s="1" t="s">
        <v>7</v>
      </c>
      <c r="B2545" s="2">
        <v>44719.0</v>
      </c>
      <c r="C2545" s="3">
        <v>0.2743171296296296</v>
      </c>
      <c r="D2545" s="1">
        <v>12.637947</v>
      </c>
      <c r="E2545" s="1">
        <v>79.935118</v>
      </c>
      <c r="F2545" s="1">
        <v>805.0</v>
      </c>
      <c r="G2545" s="1">
        <v>58.0</v>
      </c>
    </row>
    <row r="2546">
      <c r="A2546" s="1" t="s">
        <v>7</v>
      </c>
      <c r="B2546" s="2">
        <v>44719.0</v>
      </c>
      <c r="C2546" s="3">
        <v>0.274849537037037</v>
      </c>
      <c r="D2546" s="1">
        <v>12.63386</v>
      </c>
      <c r="E2546" s="1">
        <v>79.932877</v>
      </c>
      <c r="F2546" s="1">
        <v>805.0</v>
      </c>
      <c r="G2546" s="1">
        <v>58.0</v>
      </c>
    </row>
    <row r="2547">
      <c r="A2547" s="1" t="s">
        <v>7</v>
      </c>
      <c r="B2547" s="2">
        <v>44719.0</v>
      </c>
      <c r="C2547" s="3">
        <v>0.2754861111111111</v>
      </c>
      <c r="D2547" s="1">
        <v>12.625207</v>
      </c>
      <c r="E2547" s="1">
        <v>79.929178</v>
      </c>
      <c r="F2547" s="1">
        <v>805.0</v>
      </c>
      <c r="G2547" s="1">
        <v>58.0</v>
      </c>
    </row>
    <row r="2548">
      <c r="A2548" s="1" t="s">
        <v>7</v>
      </c>
      <c r="B2548" s="2">
        <v>44719.0</v>
      </c>
      <c r="C2548" s="3">
        <v>0.27563657407407405</v>
      </c>
      <c r="D2548" s="1">
        <v>12.62305</v>
      </c>
      <c r="E2548" s="1">
        <v>79.92824</v>
      </c>
      <c r="F2548" s="1">
        <v>805.0</v>
      </c>
      <c r="G2548" s="1">
        <v>58.0</v>
      </c>
    </row>
    <row r="2549">
      <c r="A2549" s="1" t="s">
        <v>7</v>
      </c>
      <c r="B2549" s="2">
        <v>44719.0</v>
      </c>
      <c r="C2549" s="3">
        <v>0.27587962962962964</v>
      </c>
      <c r="D2549" s="1">
        <v>12.620875</v>
      </c>
      <c r="E2549" s="1">
        <v>79.927377</v>
      </c>
      <c r="F2549" s="1">
        <v>805.0</v>
      </c>
      <c r="G2549" s="1">
        <v>57.0</v>
      </c>
    </row>
    <row r="2550">
      <c r="A2550" s="1" t="s">
        <v>7</v>
      </c>
      <c r="B2550" s="2">
        <v>44719.0</v>
      </c>
      <c r="C2550" s="3">
        <v>0.27631944444444445</v>
      </c>
      <c r="D2550" s="1">
        <v>12.614218</v>
      </c>
      <c r="E2550" s="1">
        <v>79.925185</v>
      </c>
      <c r="F2550" s="1">
        <v>805.0</v>
      </c>
      <c r="G2550" s="1">
        <v>58.0</v>
      </c>
    </row>
    <row r="2551">
      <c r="A2551" s="1" t="s">
        <v>7</v>
      </c>
      <c r="B2551" s="2">
        <v>44719.0</v>
      </c>
      <c r="C2551" s="3">
        <v>0.27652777777777776</v>
      </c>
      <c r="D2551" s="1">
        <v>12.612055</v>
      </c>
      <c r="E2551" s="1">
        <v>79.92394</v>
      </c>
      <c r="F2551" s="1">
        <v>805.0</v>
      </c>
      <c r="G2551" s="1">
        <v>58.0</v>
      </c>
    </row>
    <row r="2552">
      <c r="A2552" s="1" t="s">
        <v>7</v>
      </c>
      <c r="B2552" s="2">
        <v>44719.0</v>
      </c>
      <c r="C2552" s="3">
        <v>0.27664351851851854</v>
      </c>
      <c r="D2552" s="1">
        <v>12.612055</v>
      </c>
      <c r="E2552" s="1">
        <v>79.92394</v>
      </c>
      <c r="F2552" s="1">
        <v>805.0</v>
      </c>
      <c r="G2552" s="1">
        <v>58.0</v>
      </c>
    </row>
    <row r="2553">
      <c r="A2553" s="1" t="s">
        <v>7</v>
      </c>
      <c r="B2553" s="2">
        <v>44719.0</v>
      </c>
      <c r="C2553" s="3">
        <v>0.2771064814814815</v>
      </c>
      <c r="D2553" s="1">
        <v>12.605751</v>
      </c>
      <c r="E2553" s="1">
        <v>79.920859</v>
      </c>
      <c r="F2553" s="1">
        <v>805.0</v>
      </c>
      <c r="G2553" s="1">
        <v>58.0</v>
      </c>
    </row>
    <row r="2554">
      <c r="A2554" s="1" t="s">
        <v>7</v>
      </c>
      <c r="B2554" s="2">
        <v>44719.0</v>
      </c>
      <c r="C2554" s="3">
        <v>0.277662037037037</v>
      </c>
      <c r="D2554" s="1">
        <v>12.598791</v>
      </c>
      <c r="E2554" s="1">
        <v>79.919873</v>
      </c>
      <c r="F2554" s="1">
        <v>805.0</v>
      </c>
      <c r="G2554" s="1">
        <v>57.0</v>
      </c>
    </row>
    <row r="2555">
      <c r="A2555" s="1" t="s">
        <v>7</v>
      </c>
      <c r="B2555" s="2">
        <v>44719.0</v>
      </c>
      <c r="C2555" s="3">
        <v>0.2780324074074074</v>
      </c>
      <c r="D2555" s="1">
        <v>12.594138</v>
      </c>
      <c r="E2555" s="1">
        <v>79.919381</v>
      </c>
      <c r="F2555" s="1">
        <v>805.0</v>
      </c>
      <c r="G2555" s="1">
        <v>58.0</v>
      </c>
    </row>
    <row r="2556">
      <c r="A2556" s="1" t="s">
        <v>7</v>
      </c>
      <c r="B2556" s="2">
        <v>44719.0</v>
      </c>
      <c r="C2556" s="3">
        <v>0.27872685185185186</v>
      </c>
      <c r="D2556" s="1">
        <v>12.584805</v>
      </c>
      <c r="E2556" s="1">
        <v>79.919449</v>
      </c>
      <c r="F2556" s="1">
        <v>805.0</v>
      </c>
      <c r="G2556" s="1">
        <v>58.0</v>
      </c>
    </row>
    <row r="2557">
      <c r="A2557" s="1" t="s">
        <v>7</v>
      </c>
      <c r="B2557" s="2">
        <v>44719.0</v>
      </c>
      <c r="C2557" s="3">
        <v>0.27927083333333336</v>
      </c>
      <c r="D2557" s="1">
        <v>12.577937</v>
      </c>
      <c r="E2557" s="1">
        <v>79.917525</v>
      </c>
      <c r="F2557" s="1">
        <v>805.0</v>
      </c>
      <c r="G2557" s="1">
        <v>58.0</v>
      </c>
    </row>
    <row r="2558">
      <c r="A2558" s="1" t="s">
        <v>7</v>
      </c>
      <c r="B2558" s="2">
        <v>44719.0</v>
      </c>
      <c r="C2558" s="3">
        <v>0.27965277777777775</v>
      </c>
      <c r="D2558" s="1">
        <v>12.573205</v>
      </c>
      <c r="E2558" s="1">
        <v>79.91658</v>
      </c>
      <c r="F2558" s="1">
        <v>805.0</v>
      </c>
      <c r="G2558" s="1">
        <v>58.0</v>
      </c>
    </row>
    <row r="2559">
      <c r="A2559" s="1" t="s">
        <v>7</v>
      </c>
      <c r="B2559" s="2">
        <v>44719.0</v>
      </c>
      <c r="C2559" s="3">
        <v>0.2806828703703704</v>
      </c>
      <c r="D2559" s="1">
        <v>12.562112</v>
      </c>
      <c r="E2559" s="1">
        <v>79.912559</v>
      </c>
      <c r="F2559" s="1">
        <v>805.0</v>
      </c>
      <c r="G2559" s="1">
        <v>58.0</v>
      </c>
    </row>
    <row r="2560">
      <c r="A2560" s="1" t="s">
        <v>7</v>
      </c>
      <c r="B2560" s="2">
        <v>44719.0</v>
      </c>
      <c r="C2560" s="3">
        <v>0.2812615740740741</v>
      </c>
      <c r="D2560" s="1">
        <v>12.556148</v>
      </c>
      <c r="E2560" s="1">
        <v>79.909066</v>
      </c>
      <c r="F2560" s="1">
        <v>805.0</v>
      </c>
      <c r="G2560" s="1">
        <v>58.0</v>
      </c>
    </row>
    <row r="2561">
      <c r="A2561" s="1" t="s">
        <v>7</v>
      </c>
      <c r="B2561" s="2">
        <v>44719.0</v>
      </c>
      <c r="C2561" s="3">
        <v>0.2816666666666667</v>
      </c>
      <c r="D2561" s="1">
        <v>12.551919</v>
      </c>
      <c r="E2561" s="1">
        <v>79.907031</v>
      </c>
      <c r="F2561" s="1">
        <v>805.0</v>
      </c>
      <c r="G2561" s="1">
        <v>58.0</v>
      </c>
    </row>
    <row r="2562">
      <c r="A2562" s="1" t="s">
        <v>7</v>
      </c>
      <c r="B2562" s="2">
        <v>44719.0</v>
      </c>
      <c r="C2562" s="3">
        <v>0.28216435185185185</v>
      </c>
      <c r="D2562" s="1">
        <v>12.54513</v>
      </c>
      <c r="E2562" s="1">
        <v>79.905298</v>
      </c>
      <c r="F2562" s="1">
        <v>805.0</v>
      </c>
      <c r="G2562" s="1">
        <v>58.0</v>
      </c>
    </row>
    <row r="2563">
      <c r="A2563" s="1" t="s">
        <v>7</v>
      </c>
      <c r="B2563" s="2">
        <v>44719.0</v>
      </c>
      <c r="C2563" s="3">
        <v>0.2825</v>
      </c>
      <c r="D2563" s="1">
        <v>12.540506</v>
      </c>
      <c r="E2563" s="1">
        <v>79.90446</v>
      </c>
      <c r="F2563" s="1">
        <v>805.0</v>
      </c>
      <c r="G2563" s="1">
        <v>57.0</v>
      </c>
    </row>
    <row r="2564">
      <c r="A2564" s="1" t="s">
        <v>10</v>
      </c>
      <c r="B2564" s="2">
        <v>44719.0</v>
      </c>
      <c r="C2564" s="3">
        <v>0.28269675925925924</v>
      </c>
      <c r="D2564" s="1">
        <v>12.538237</v>
      </c>
      <c r="E2564" s="1">
        <v>79.903923</v>
      </c>
      <c r="F2564" s="1">
        <v>805.0</v>
      </c>
      <c r="G2564" s="1">
        <v>58.0</v>
      </c>
    </row>
    <row r="2565">
      <c r="A2565" s="1" t="s">
        <v>7</v>
      </c>
      <c r="B2565" s="2">
        <v>44719.0</v>
      </c>
      <c r="C2565" s="3">
        <v>0.28717592592592595</v>
      </c>
      <c r="D2565" s="1">
        <v>12.532594</v>
      </c>
      <c r="E2565" s="1">
        <v>79.900887</v>
      </c>
      <c r="F2565" s="1">
        <v>805.0</v>
      </c>
      <c r="G2565" s="1">
        <v>0.0</v>
      </c>
    </row>
    <row r="2566">
      <c r="A2566" s="1" t="s">
        <v>7</v>
      </c>
      <c r="B2566" s="2">
        <v>44719.0</v>
      </c>
      <c r="C2566" s="3">
        <v>0.28780092592592593</v>
      </c>
      <c r="D2566" s="1">
        <v>12.530718</v>
      </c>
      <c r="E2566" s="1">
        <v>79.899948</v>
      </c>
      <c r="F2566" s="1">
        <v>805.0</v>
      </c>
      <c r="G2566" s="1">
        <v>62.0</v>
      </c>
    </row>
    <row r="2567">
      <c r="A2567" s="1" t="s">
        <v>7</v>
      </c>
      <c r="B2567" s="2">
        <v>44719.0</v>
      </c>
      <c r="C2567" s="3">
        <v>0.2879398148148148</v>
      </c>
      <c r="D2567" s="1">
        <v>12.5286</v>
      </c>
      <c r="E2567" s="1">
        <v>79.898859</v>
      </c>
      <c r="F2567" s="1">
        <v>805.0</v>
      </c>
      <c r="G2567" s="1">
        <v>58.0</v>
      </c>
    </row>
    <row r="2568">
      <c r="A2568" s="1" t="s">
        <v>7</v>
      </c>
      <c r="B2568" s="2">
        <v>44719.0</v>
      </c>
      <c r="C2568" s="3">
        <v>0.28827546296296297</v>
      </c>
      <c r="D2568" s="1">
        <v>12.524354</v>
      </c>
      <c r="E2568" s="1">
        <v>79.896819</v>
      </c>
      <c r="F2568" s="1">
        <v>805.0</v>
      </c>
      <c r="G2568" s="1">
        <v>58.0</v>
      </c>
    </row>
    <row r="2569">
      <c r="A2569" s="1" t="s">
        <v>7</v>
      </c>
      <c r="B2569" s="2">
        <v>44719.0</v>
      </c>
      <c r="C2569" s="3">
        <v>0.2891782407407407</v>
      </c>
      <c r="D2569" s="1">
        <v>12.517133</v>
      </c>
      <c r="E2569" s="1">
        <v>79.890635</v>
      </c>
      <c r="F2569" s="1">
        <v>805.0</v>
      </c>
      <c r="G2569" s="1">
        <v>58.0</v>
      </c>
    </row>
    <row r="2570">
      <c r="A2570" s="1" t="s">
        <v>7</v>
      </c>
      <c r="B2570" s="2">
        <v>44719.0</v>
      </c>
      <c r="C2570" s="3">
        <v>0.2894212962962963</v>
      </c>
      <c r="D2570" s="1">
        <v>12.516104</v>
      </c>
      <c r="E2570" s="1">
        <v>79.888508</v>
      </c>
      <c r="F2570" s="1">
        <v>805.0</v>
      </c>
      <c r="G2570" s="1">
        <v>58.0</v>
      </c>
    </row>
    <row r="2571">
      <c r="A2571" s="1" t="s">
        <v>8</v>
      </c>
      <c r="B2571" s="2">
        <v>44719.0</v>
      </c>
      <c r="C2571" s="3">
        <v>0.29041666666666666</v>
      </c>
      <c r="D2571" s="1">
        <v>12.506543</v>
      </c>
      <c r="E2571" s="1">
        <v>79.880626</v>
      </c>
      <c r="F2571" s="1">
        <v>805.0</v>
      </c>
      <c r="G2571" s="1">
        <v>4.0</v>
      </c>
    </row>
    <row r="2572">
      <c r="A2572" s="1" t="s">
        <v>8</v>
      </c>
      <c r="B2572" s="2">
        <v>44719.0</v>
      </c>
      <c r="C2572" s="3">
        <v>0.2930324074074074</v>
      </c>
      <c r="D2572" s="1">
        <v>13.061799</v>
      </c>
      <c r="E2572" s="1">
        <v>80.246379</v>
      </c>
      <c r="F2572" s="1">
        <v>2846.0</v>
      </c>
      <c r="G2572" s="1">
        <v>25.0</v>
      </c>
    </row>
    <row r="2573">
      <c r="A2573" s="1" t="s">
        <v>7</v>
      </c>
      <c r="B2573" s="2">
        <v>44719.0</v>
      </c>
      <c r="C2573" s="3">
        <v>0.29475694444444445</v>
      </c>
      <c r="D2573" s="1">
        <v>12.516827</v>
      </c>
      <c r="E2573" s="1">
        <v>79.888006</v>
      </c>
      <c r="F2573" s="1">
        <v>805.0</v>
      </c>
      <c r="G2573" s="1">
        <v>48.0</v>
      </c>
    </row>
    <row r="2574">
      <c r="A2574" s="1" t="s">
        <v>7</v>
      </c>
      <c r="B2574" s="2">
        <v>44719.0</v>
      </c>
      <c r="C2574" s="3">
        <v>0.29489583333333336</v>
      </c>
      <c r="D2574" s="1">
        <v>12.518571</v>
      </c>
      <c r="E2574" s="1">
        <v>79.88847</v>
      </c>
      <c r="F2574" s="1">
        <v>805.0</v>
      </c>
      <c r="G2574" s="1">
        <v>55.0</v>
      </c>
    </row>
    <row r="2575">
      <c r="A2575" s="1" t="s">
        <v>7</v>
      </c>
      <c r="B2575" s="2">
        <v>44719.0</v>
      </c>
      <c r="C2575" s="3">
        <v>0.2952314814814815</v>
      </c>
      <c r="D2575" s="1">
        <v>12.517777</v>
      </c>
      <c r="E2575" s="1">
        <v>79.890264</v>
      </c>
      <c r="F2575" s="1">
        <v>805.0</v>
      </c>
      <c r="G2575" s="1">
        <v>54.0</v>
      </c>
    </row>
    <row r="2576">
      <c r="A2576" s="1" t="s">
        <v>7</v>
      </c>
      <c r="B2576" s="2">
        <v>44719.0</v>
      </c>
      <c r="C2576" s="3">
        <v>0.2954861111111111</v>
      </c>
      <c r="D2576" s="1">
        <v>12.518813</v>
      </c>
      <c r="E2576" s="1">
        <v>79.892253</v>
      </c>
      <c r="F2576" s="1">
        <v>805.0</v>
      </c>
      <c r="G2576" s="1">
        <v>58.0</v>
      </c>
    </row>
    <row r="2577">
      <c r="A2577" s="1" t="s">
        <v>7</v>
      </c>
      <c r="B2577" s="2">
        <v>44719.0</v>
      </c>
      <c r="C2577" s="3">
        <v>0.295787037037037</v>
      </c>
      <c r="D2577" s="1">
        <v>12.522082</v>
      </c>
      <c r="E2577" s="1">
        <v>79.895429</v>
      </c>
      <c r="F2577" s="1">
        <v>805.0</v>
      </c>
      <c r="G2577" s="1">
        <v>56.0</v>
      </c>
    </row>
    <row r="2578">
      <c r="A2578" s="1" t="s">
        <v>7</v>
      </c>
      <c r="B2578" s="2">
        <v>44719.0</v>
      </c>
      <c r="C2578" s="3">
        <v>0.2964236111111111</v>
      </c>
      <c r="D2578" s="1">
        <v>12.53035</v>
      </c>
      <c r="E2578" s="1">
        <v>79.899546</v>
      </c>
      <c r="F2578" s="1">
        <v>805.0</v>
      </c>
      <c r="G2578" s="1">
        <v>48.0</v>
      </c>
    </row>
    <row r="2579">
      <c r="A2579" s="1" t="s">
        <v>7</v>
      </c>
      <c r="B2579" s="2">
        <v>44719.0</v>
      </c>
      <c r="C2579" s="3">
        <v>0.29658564814814814</v>
      </c>
      <c r="D2579" s="1">
        <v>12.532047</v>
      </c>
      <c r="E2579" s="1">
        <v>79.900406</v>
      </c>
      <c r="F2579" s="1">
        <v>805.0</v>
      </c>
      <c r="G2579" s="1">
        <v>53.0</v>
      </c>
    </row>
    <row r="2580">
      <c r="A2580" s="1" t="s">
        <v>10</v>
      </c>
      <c r="B2580" s="2">
        <v>44719.0</v>
      </c>
      <c r="C2580" s="3">
        <v>0.29715277777777777</v>
      </c>
      <c r="D2580" s="1">
        <v>12.537824</v>
      </c>
      <c r="E2580" s="1">
        <v>79.903523</v>
      </c>
      <c r="F2580" s="1">
        <v>805.0</v>
      </c>
      <c r="G2580" s="1">
        <v>52.0</v>
      </c>
    </row>
    <row r="2581">
      <c r="A2581" s="1" t="s">
        <v>7</v>
      </c>
      <c r="B2581" s="2">
        <v>44719.0</v>
      </c>
      <c r="C2581" s="3">
        <v>0.29875</v>
      </c>
      <c r="D2581" s="1">
        <v>12.551988</v>
      </c>
      <c r="E2581" s="1">
        <v>79.906892</v>
      </c>
      <c r="F2581" s="1">
        <v>805.0</v>
      </c>
      <c r="G2581" s="1">
        <v>57.0</v>
      </c>
    </row>
    <row r="2582">
      <c r="A2582" s="1" t="s">
        <v>7</v>
      </c>
      <c r="B2582" s="2">
        <v>44719.0</v>
      </c>
      <c r="C2582" s="3">
        <v>0.29943287037037036</v>
      </c>
      <c r="D2582" s="1">
        <v>12.557888</v>
      </c>
      <c r="E2582" s="1">
        <v>79.909927</v>
      </c>
      <c r="F2582" s="1">
        <v>805.0</v>
      </c>
      <c r="G2582" s="1">
        <v>53.0</v>
      </c>
    </row>
    <row r="2583">
      <c r="A2583" s="1" t="s">
        <v>7</v>
      </c>
      <c r="B2583" s="2">
        <v>44719.0</v>
      </c>
      <c r="C2583" s="3">
        <v>0.30006944444444444</v>
      </c>
      <c r="D2583" s="1">
        <v>12.565763</v>
      </c>
      <c r="E2583" s="1">
        <v>79.914417</v>
      </c>
      <c r="F2583" s="1">
        <v>805.0</v>
      </c>
      <c r="G2583" s="1">
        <v>54.0</v>
      </c>
    </row>
    <row r="2584">
      <c r="A2584" s="1" t="s">
        <v>10</v>
      </c>
      <c r="B2584" s="2">
        <v>44719.0</v>
      </c>
      <c r="C2584" s="3">
        <v>0.30030092592592594</v>
      </c>
      <c r="D2584" s="1">
        <v>13.072338</v>
      </c>
      <c r="E2584" s="1">
        <v>80.263621</v>
      </c>
      <c r="F2584" s="1">
        <v>2846.0</v>
      </c>
      <c r="G2584" s="1">
        <v>27.0</v>
      </c>
    </row>
    <row r="2585">
      <c r="A2585" s="1" t="s">
        <v>7</v>
      </c>
      <c r="B2585" s="2">
        <v>44719.0</v>
      </c>
      <c r="C2585" s="3">
        <v>0.30052083333333335</v>
      </c>
      <c r="D2585" s="1">
        <v>12.571978</v>
      </c>
      <c r="E2585" s="1">
        <v>79.916108</v>
      </c>
      <c r="F2585" s="1">
        <v>805.0</v>
      </c>
      <c r="G2585" s="1">
        <v>49.0</v>
      </c>
    </row>
    <row r="2586">
      <c r="A2586" s="1" t="s">
        <v>7</v>
      </c>
      <c r="B2586" s="2">
        <v>44719.0</v>
      </c>
      <c r="C2586" s="3">
        <v>0.30074074074074075</v>
      </c>
      <c r="D2586" s="1">
        <v>12.57389</v>
      </c>
      <c r="E2586" s="1">
        <v>79.916551</v>
      </c>
      <c r="F2586" s="1">
        <v>805.0</v>
      </c>
      <c r="G2586" s="1">
        <v>50.0</v>
      </c>
    </row>
    <row r="2587">
      <c r="A2587" s="1" t="s">
        <v>7</v>
      </c>
      <c r="B2587" s="2">
        <v>44719.0</v>
      </c>
      <c r="C2587" s="3">
        <v>0.30116898148148147</v>
      </c>
      <c r="D2587" s="1">
        <v>12.578122</v>
      </c>
      <c r="E2587" s="1">
        <v>79.917398</v>
      </c>
      <c r="F2587" s="1">
        <v>805.0</v>
      </c>
      <c r="G2587" s="1">
        <v>53.0</v>
      </c>
    </row>
    <row r="2588">
      <c r="A2588" s="1" t="s">
        <v>7</v>
      </c>
      <c r="B2588" s="2">
        <v>44719.0</v>
      </c>
      <c r="C2588" s="3">
        <v>0.30211805555555554</v>
      </c>
      <c r="D2588" s="1">
        <v>12.588146</v>
      </c>
      <c r="E2588" s="1">
        <v>79.919302</v>
      </c>
      <c r="F2588" s="1">
        <v>805.0</v>
      </c>
      <c r="G2588" s="1">
        <v>49.0</v>
      </c>
    </row>
    <row r="2589">
      <c r="A2589" s="1" t="s">
        <v>10</v>
      </c>
      <c r="B2589" s="2">
        <v>44719.0</v>
      </c>
      <c r="C2589" s="3">
        <v>0.30310185185185184</v>
      </c>
      <c r="D2589" s="1">
        <v>13.066896</v>
      </c>
      <c r="E2589" s="1">
        <v>80.273646</v>
      </c>
      <c r="F2589" s="1">
        <v>2846.0</v>
      </c>
      <c r="G2589" s="1">
        <v>24.0</v>
      </c>
    </row>
    <row r="2590">
      <c r="A2590" s="1" t="s">
        <v>7</v>
      </c>
      <c r="B2590" s="2">
        <v>44719.0</v>
      </c>
      <c r="C2590" s="3">
        <v>0.3036111111111111</v>
      </c>
      <c r="D2590" s="1">
        <v>12.60436</v>
      </c>
      <c r="E2590" s="1">
        <v>79.920408</v>
      </c>
      <c r="F2590" s="1">
        <v>805.0</v>
      </c>
      <c r="G2590" s="1">
        <v>45.0</v>
      </c>
    </row>
    <row r="2591">
      <c r="A2591" s="1" t="s">
        <v>7</v>
      </c>
      <c r="B2591" s="2">
        <v>44719.0</v>
      </c>
      <c r="C2591" s="3">
        <v>0.30475694444444446</v>
      </c>
      <c r="D2591" s="1">
        <v>12.611672</v>
      </c>
      <c r="E2591" s="1">
        <v>79.923549</v>
      </c>
      <c r="F2591" s="1">
        <v>805.0</v>
      </c>
      <c r="G2591" s="1">
        <v>51.0</v>
      </c>
    </row>
    <row r="2592">
      <c r="A2592" s="1" t="s">
        <v>7</v>
      </c>
      <c r="B2592" s="2">
        <v>44719.0</v>
      </c>
      <c r="C2592" s="3">
        <v>0.3048032407407407</v>
      </c>
      <c r="D2592" s="1">
        <v>12.617336</v>
      </c>
      <c r="E2592" s="1">
        <v>79.926356</v>
      </c>
      <c r="F2592" s="1">
        <v>805.0</v>
      </c>
      <c r="G2592" s="1">
        <v>51.0</v>
      </c>
    </row>
    <row r="2593">
      <c r="A2593" s="1" t="s">
        <v>10</v>
      </c>
      <c r="B2593" s="2">
        <v>44719.0</v>
      </c>
      <c r="C2593" s="3">
        <v>0.3048726851851852</v>
      </c>
      <c r="D2593" s="1">
        <v>13.060376</v>
      </c>
      <c r="E2593" s="1">
        <v>80.274307</v>
      </c>
      <c r="F2593" s="1">
        <v>2846.0</v>
      </c>
      <c r="G2593" s="1">
        <v>23.0</v>
      </c>
    </row>
    <row r="2594">
      <c r="A2594" s="1" t="s">
        <v>7</v>
      </c>
      <c r="B2594" s="2">
        <v>44719.0</v>
      </c>
      <c r="C2594" s="3">
        <v>0.3052546296296296</v>
      </c>
      <c r="D2594" s="1">
        <v>12.621459</v>
      </c>
      <c r="E2594" s="1">
        <v>79.927396</v>
      </c>
      <c r="F2594" s="1">
        <v>805.0</v>
      </c>
      <c r="G2594" s="1">
        <v>56.0</v>
      </c>
    </row>
    <row r="2595">
      <c r="A2595" s="1" t="s">
        <v>10</v>
      </c>
      <c r="B2595" s="2">
        <v>44719.0</v>
      </c>
      <c r="C2595" s="3">
        <v>0.3054861111111111</v>
      </c>
      <c r="D2595" s="1">
        <v>13.058254</v>
      </c>
      <c r="E2595" s="1">
        <v>80.274102</v>
      </c>
      <c r="F2595" s="1">
        <v>2846.0</v>
      </c>
      <c r="G2595" s="1">
        <v>24.0</v>
      </c>
    </row>
    <row r="2596">
      <c r="A2596" s="1" t="s">
        <v>10</v>
      </c>
      <c r="B2596" s="2">
        <v>44719.0</v>
      </c>
      <c r="C2596" s="3">
        <v>0.3056365740740741</v>
      </c>
      <c r="D2596" s="1">
        <v>12.625618</v>
      </c>
      <c r="E2596" s="1">
        <v>79.929174</v>
      </c>
      <c r="F2596" s="1">
        <v>805.0</v>
      </c>
      <c r="G2596" s="1">
        <v>51.0</v>
      </c>
    </row>
    <row r="2597">
      <c r="A2597" s="1" t="s">
        <v>10</v>
      </c>
      <c r="B2597" s="2">
        <v>44719.0</v>
      </c>
      <c r="C2597" s="3">
        <v>0.3056828703703704</v>
      </c>
      <c r="D2597" s="1">
        <v>13.057252</v>
      </c>
      <c r="E2597" s="1">
        <v>80.273949</v>
      </c>
      <c r="F2597" s="1">
        <v>2846.0</v>
      </c>
      <c r="G2597" s="1">
        <v>17.0</v>
      </c>
    </row>
    <row r="2598">
      <c r="A2598" s="1" t="s">
        <v>10</v>
      </c>
      <c r="B2598" s="2">
        <v>44719.0</v>
      </c>
      <c r="C2598" s="3">
        <v>0.3066203703703704</v>
      </c>
      <c r="D2598" s="1">
        <v>13.055058</v>
      </c>
      <c r="E2598" s="1">
        <v>80.273786</v>
      </c>
      <c r="F2598" s="1">
        <v>2846.0</v>
      </c>
      <c r="G2598" s="1">
        <v>20.0</v>
      </c>
    </row>
    <row r="2599">
      <c r="A2599" s="1" t="s">
        <v>7</v>
      </c>
      <c r="B2599" s="2">
        <v>44719.0</v>
      </c>
      <c r="C2599" s="3">
        <v>0.30689814814814814</v>
      </c>
      <c r="D2599" s="1">
        <v>12.634004</v>
      </c>
      <c r="E2599" s="1">
        <v>79.932784</v>
      </c>
      <c r="F2599" s="1">
        <v>805.0</v>
      </c>
      <c r="G2599" s="1">
        <v>48.0</v>
      </c>
    </row>
    <row r="2600">
      <c r="A2600" s="1" t="s">
        <v>10</v>
      </c>
      <c r="B2600" s="2">
        <v>44719.0</v>
      </c>
      <c r="C2600" s="3">
        <v>0.3071759259259259</v>
      </c>
      <c r="D2600" s="1">
        <v>13.052928</v>
      </c>
      <c r="E2600" s="1">
        <v>80.273358</v>
      </c>
      <c r="F2600" s="1">
        <v>2846.0</v>
      </c>
      <c r="G2600" s="1">
        <v>20.0</v>
      </c>
    </row>
    <row r="2601">
      <c r="A2601" s="1" t="s">
        <v>10</v>
      </c>
      <c r="B2601" s="2">
        <v>44719.0</v>
      </c>
      <c r="C2601" s="3">
        <v>0.3073032407407407</v>
      </c>
      <c r="D2601" s="1">
        <v>13.052992</v>
      </c>
      <c r="E2601" s="1">
        <v>80.272732</v>
      </c>
      <c r="F2601" s="1">
        <v>2846.0</v>
      </c>
      <c r="G2601" s="1">
        <v>16.0</v>
      </c>
    </row>
    <row r="2602">
      <c r="A2602" s="1" t="s">
        <v>8</v>
      </c>
      <c r="B2602" s="2">
        <v>44719.0</v>
      </c>
      <c r="C2602" s="3">
        <v>0.3076157407407407</v>
      </c>
      <c r="D2602" s="1">
        <v>12.639561</v>
      </c>
      <c r="E2602" s="1">
        <v>79.936013</v>
      </c>
      <c r="F2602" s="1">
        <v>805.0</v>
      </c>
      <c r="G2602" s="1">
        <v>55.0</v>
      </c>
    </row>
    <row r="2603">
      <c r="A2603" s="1" t="s">
        <v>10</v>
      </c>
      <c r="B2603" s="2">
        <v>44719.0</v>
      </c>
      <c r="C2603" s="3">
        <v>0.30766203703703704</v>
      </c>
      <c r="D2603" s="1">
        <v>13.053108</v>
      </c>
      <c r="E2603" s="1">
        <v>80.271839</v>
      </c>
      <c r="F2603" s="1">
        <v>2846.0</v>
      </c>
      <c r="G2603" s="1">
        <v>11.0</v>
      </c>
    </row>
    <row r="2604">
      <c r="A2604" s="1" t="s">
        <v>10</v>
      </c>
      <c r="B2604" s="2">
        <v>44719.0</v>
      </c>
      <c r="C2604" s="3">
        <v>0.30774305555555553</v>
      </c>
      <c r="D2604" s="1">
        <v>13.053131</v>
      </c>
      <c r="E2604" s="1">
        <v>80.271488</v>
      </c>
      <c r="F2604" s="1">
        <v>2846.0</v>
      </c>
      <c r="G2604" s="1">
        <v>21.0</v>
      </c>
    </row>
    <row r="2605">
      <c r="A2605" s="1" t="s">
        <v>10</v>
      </c>
      <c r="B2605" s="2">
        <v>44719.0</v>
      </c>
      <c r="C2605" s="3">
        <v>0.30780092592592595</v>
      </c>
      <c r="D2605" s="1">
        <v>13.053131</v>
      </c>
      <c r="E2605" s="1">
        <v>80.271488</v>
      </c>
      <c r="F2605" s="1">
        <v>2846.0</v>
      </c>
      <c r="G2605" s="1">
        <v>21.0</v>
      </c>
    </row>
    <row r="2606">
      <c r="A2606" s="1" t="s">
        <v>7</v>
      </c>
      <c r="B2606" s="2">
        <v>44719.0</v>
      </c>
      <c r="C2606" s="3">
        <v>0.30789351851851854</v>
      </c>
      <c r="D2606" s="1">
        <v>12.643364</v>
      </c>
      <c r="E2606" s="1">
        <v>79.938268</v>
      </c>
      <c r="F2606" s="1">
        <v>805.0</v>
      </c>
      <c r="G2606" s="1">
        <v>50.0</v>
      </c>
    </row>
    <row r="2607">
      <c r="A2607" s="1" t="s">
        <v>10</v>
      </c>
      <c r="B2607" s="2">
        <v>44719.0</v>
      </c>
      <c r="C2607" s="3">
        <v>0.3081712962962963</v>
      </c>
      <c r="D2607" s="1">
        <v>13.053284</v>
      </c>
      <c r="E2607" s="1">
        <v>80.269671</v>
      </c>
      <c r="F2607" s="1">
        <v>2846.0</v>
      </c>
      <c r="G2607" s="1">
        <v>16.0</v>
      </c>
    </row>
    <row r="2608">
      <c r="A2608" s="1" t="s">
        <v>7</v>
      </c>
      <c r="B2608" s="2">
        <v>44719.0</v>
      </c>
      <c r="C2608" s="3">
        <v>0.3087847222222222</v>
      </c>
      <c r="D2608" s="1">
        <v>12.650785</v>
      </c>
      <c r="E2608" s="1">
        <v>79.940382</v>
      </c>
      <c r="F2608" s="1">
        <v>805.0</v>
      </c>
      <c r="G2608" s="1">
        <v>53.0</v>
      </c>
    </row>
    <row r="2609">
      <c r="A2609" s="1" t="s">
        <v>7</v>
      </c>
      <c r="B2609" s="2">
        <v>44719.0</v>
      </c>
      <c r="C2609" s="3">
        <v>0.30886574074074075</v>
      </c>
      <c r="D2609" s="1">
        <v>12.652949</v>
      </c>
      <c r="E2609" s="1">
        <v>79.940129</v>
      </c>
      <c r="F2609" s="1">
        <v>805.0</v>
      </c>
      <c r="G2609" s="1">
        <v>54.0</v>
      </c>
    </row>
    <row r="2610">
      <c r="A2610" s="1" t="s">
        <v>10</v>
      </c>
      <c r="B2610" s="2">
        <v>44719.0</v>
      </c>
      <c r="C2610" s="3">
        <v>0.30921296296296297</v>
      </c>
      <c r="D2610" s="1">
        <v>13.053569</v>
      </c>
      <c r="E2610" s="1">
        <v>80.26731</v>
      </c>
      <c r="F2610" s="1">
        <v>2846.0</v>
      </c>
      <c r="G2610" s="1">
        <v>15.0</v>
      </c>
    </row>
    <row r="2611">
      <c r="A2611" s="1" t="s">
        <v>7</v>
      </c>
      <c r="B2611" s="2">
        <v>44719.0</v>
      </c>
      <c r="C2611" s="3">
        <v>0.3099884259259259</v>
      </c>
      <c r="D2611" s="1">
        <v>12.6572</v>
      </c>
      <c r="E2611" s="1">
        <v>79.94809</v>
      </c>
      <c r="F2611" s="1">
        <v>805.0</v>
      </c>
      <c r="G2611" s="1">
        <v>50.0</v>
      </c>
    </row>
    <row r="2612">
      <c r="A2612" s="1" t="s">
        <v>9</v>
      </c>
      <c r="B2612" s="2">
        <v>44719.0</v>
      </c>
      <c r="C2612" s="3">
        <v>0.31046296296296294</v>
      </c>
      <c r="D2612" s="1">
        <v>12.65658</v>
      </c>
      <c r="E2612" s="1">
        <v>79.950223</v>
      </c>
      <c r="F2612" s="1">
        <v>805.0</v>
      </c>
      <c r="G2612" s="1">
        <v>52.0</v>
      </c>
    </row>
    <row r="2613">
      <c r="A2613" s="1" t="s">
        <v>8</v>
      </c>
      <c r="B2613" s="2">
        <v>44719.0</v>
      </c>
      <c r="C2613" s="3">
        <v>0.3118634259259259</v>
      </c>
      <c r="D2613" s="1">
        <v>13.054654</v>
      </c>
      <c r="E2613" s="1">
        <v>80.254301</v>
      </c>
      <c r="F2613" s="1">
        <v>2846.0</v>
      </c>
      <c r="G2613" s="1">
        <v>24.0</v>
      </c>
    </row>
    <row r="2614">
      <c r="A2614" s="1" t="s">
        <v>9</v>
      </c>
      <c r="B2614" s="2">
        <v>44719.0</v>
      </c>
      <c r="C2614" s="3">
        <v>0.3120486111111111</v>
      </c>
      <c r="D2614" s="1">
        <v>12.659658</v>
      </c>
      <c r="E2614" s="1">
        <v>79.96366</v>
      </c>
      <c r="F2614" s="1">
        <v>805.0</v>
      </c>
      <c r="G2614" s="1">
        <v>32.0</v>
      </c>
    </row>
    <row r="2615">
      <c r="A2615" s="1" t="s">
        <v>8</v>
      </c>
      <c r="B2615" s="2">
        <v>44719.0</v>
      </c>
      <c r="C2615" s="3">
        <v>0.31577546296296294</v>
      </c>
      <c r="D2615" s="1">
        <v>13.042306</v>
      </c>
      <c r="E2615" s="1">
        <v>80.24757</v>
      </c>
      <c r="F2615" s="1">
        <v>2846.0</v>
      </c>
      <c r="G2615" s="1">
        <v>29.0</v>
      </c>
    </row>
    <row r="2616">
      <c r="A2616" s="1" t="s">
        <v>8</v>
      </c>
      <c r="B2616" s="2">
        <v>44719.0</v>
      </c>
      <c r="C2616" s="3">
        <v>0.3161111111111111</v>
      </c>
      <c r="D2616" s="1">
        <v>13.040741</v>
      </c>
      <c r="E2616" s="1">
        <v>80.247276</v>
      </c>
      <c r="F2616" s="1">
        <v>2846.0</v>
      </c>
      <c r="G2616" s="1">
        <v>35.0</v>
      </c>
    </row>
    <row r="2617">
      <c r="A2617" s="1" t="s">
        <v>8</v>
      </c>
      <c r="B2617" s="2">
        <v>44719.0</v>
      </c>
      <c r="C2617" s="3">
        <v>0.31679398148148147</v>
      </c>
      <c r="D2617" s="1">
        <v>12.683641</v>
      </c>
      <c r="E2617" s="1">
        <v>79.983086</v>
      </c>
      <c r="F2617" s="1">
        <v>805.0</v>
      </c>
      <c r="G2617" s="1">
        <v>0.0</v>
      </c>
    </row>
    <row r="2618">
      <c r="A2618" s="1" t="s">
        <v>8</v>
      </c>
      <c r="B2618" s="2">
        <v>44719.0</v>
      </c>
      <c r="C2618" s="3">
        <v>0.3168402777777778</v>
      </c>
      <c r="D2618" s="1">
        <v>12.683641</v>
      </c>
      <c r="E2618" s="1">
        <v>79.983086</v>
      </c>
      <c r="F2618" s="1">
        <v>805.0</v>
      </c>
      <c r="G2618" s="1">
        <v>0.0</v>
      </c>
    </row>
    <row r="2619">
      <c r="A2619" s="1" t="s">
        <v>8</v>
      </c>
      <c r="B2619" s="2">
        <v>44719.0</v>
      </c>
      <c r="C2619" s="3">
        <v>0.31685185185185183</v>
      </c>
      <c r="D2619" s="1">
        <v>12.683656</v>
      </c>
      <c r="E2619" s="1">
        <v>79.98312</v>
      </c>
      <c r="F2619" s="1">
        <v>805.0</v>
      </c>
      <c r="G2619" s="1">
        <v>4.0</v>
      </c>
    </row>
    <row r="2620">
      <c r="A2620" s="1" t="s">
        <v>8</v>
      </c>
      <c r="B2620" s="2">
        <v>44719.0</v>
      </c>
      <c r="C2620" s="3">
        <v>0.3171412037037037</v>
      </c>
      <c r="D2620" s="1">
        <v>13.035623</v>
      </c>
      <c r="E2620" s="1">
        <v>80.246159</v>
      </c>
      <c r="F2620" s="1">
        <v>2846.0</v>
      </c>
      <c r="G2620" s="1">
        <v>21.0</v>
      </c>
    </row>
    <row r="2621">
      <c r="A2621" s="1" t="s">
        <v>8</v>
      </c>
      <c r="B2621" s="2">
        <v>44719.0</v>
      </c>
      <c r="C2621" s="3">
        <v>0.3172800925925926</v>
      </c>
      <c r="D2621" s="1">
        <v>13.035102</v>
      </c>
      <c r="E2621" s="1">
        <v>80.246008</v>
      </c>
      <c r="F2621" s="1">
        <v>2846.0</v>
      </c>
      <c r="G2621" s="1">
        <v>23.0</v>
      </c>
    </row>
    <row r="2622">
      <c r="A2622" s="1" t="s">
        <v>8</v>
      </c>
      <c r="B2622" s="2">
        <v>44719.0</v>
      </c>
      <c r="C2622" s="3">
        <v>0.3173148148148148</v>
      </c>
      <c r="D2622" s="1">
        <v>13.033982</v>
      </c>
      <c r="E2622" s="1">
        <v>80.244685</v>
      </c>
      <c r="F2622" s="1">
        <v>2846.0</v>
      </c>
      <c r="G2622" s="1">
        <v>33.0</v>
      </c>
    </row>
    <row r="2623">
      <c r="A2623" s="1" t="s">
        <v>8</v>
      </c>
      <c r="B2623" s="2">
        <v>44719.0</v>
      </c>
      <c r="C2623" s="3">
        <v>0.3173611111111111</v>
      </c>
      <c r="D2623" s="1">
        <v>12.686598</v>
      </c>
      <c r="E2623" s="1">
        <v>79.983211</v>
      </c>
      <c r="F2623" s="1">
        <v>805.0</v>
      </c>
      <c r="G2623" s="1">
        <v>11.0</v>
      </c>
    </row>
    <row r="2624">
      <c r="A2624" s="1" t="s">
        <v>8</v>
      </c>
      <c r="B2624" s="2">
        <v>44719.0</v>
      </c>
      <c r="C2624" s="3">
        <v>0.3173611111111111</v>
      </c>
      <c r="D2624" s="1">
        <v>12.68699</v>
      </c>
      <c r="E2624" s="1">
        <v>79.983088</v>
      </c>
      <c r="F2624" s="1">
        <v>805.0</v>
      </c>
      <c r="G2624" s="1">
        <v>20.0</v>
      </c>
    </row>
    <row r="2625">
      <c r="A2625" s="1" t="s">
        <v>8</v>
      </c>
      <c r="B2625" s="2">
        <v>44719.0</v>
      </c>
      <c r="C2625" s="3">
        <v>0.3173726851851852</v>
      </c>
      <c r="D2625" s="1">
        <v>13.033495</v>
      </c>
      <c r="E2625" s="1">
        <v>80.244013</v>
      </c>
      <c r="F2625" s="1">
        <v>2846.0</v>
      </c>
      <c r="G2625" s="1">
        <v>31.0</v>
      </c>
    </row>
    <row r="2626">
      <c r="A2626" s="1" t="s">
        <v>8</v>
      </c>
      <c r="B2626" s="2">
        <v>44719.0</v>
      </c>
      <c r="C2626" s="3">
        <v>0.3173842592592593</v>
      </c>
      <c r="D2626" s="1">
        <v>12.68699</v>
      </c>
      <c r="E2626" s="1">
        <v>79.983088</v>
      </c>
      <c r="F2626" s="1">
        <v>805.0</v>
      </c>
      <c r="G2626" s="1">
        <v>20.0</v>
      </c>
    </row>
    <row r="2627">
      <c r="A2627" s="1" t="s">
        <v>8</v>
      </c>
      <c r="B2627" s="2">
        <v>44719.0</v>
      </c>
      <c r="C2627" s="3">
        <v>0.3174537037037037</v>
      </c>
      <c r="D2627" s="1">
        <v>12.687557</v>
      </c>
      <c r="E2627" s="1">
        <v>79.983011</v>
      </c>
      <c r="F2627" s="1">
        <v>805.0</v>
      </c>
      <c r="G2627" s="1">
        <v>0.0</v>
      </c>
    </row>
    <row r="2628">
      <c r="A2628" s="1" t="s">
        <v>8</v>
      </c>
      <c r="B2628" s="2">
        <v>44719.0</v>
      </c>
      <c r="C2628" s="3">
        <v>0.3174884259259259</v>
      </c>
      <c r="D2628" s="1">
        <v>12.687557</v>
      </c>
      <c r="E2628" s="1">
        <v>79.983011</v>
      </c>
      <c r="F2628" s="1">
        <v>805.0</v>
      </c>
      <c r="G2628" s="1">
        <v>0.0</v>
      </c>
    </row>
    <row r="2629">
      <c r="A2629" s="1" t="s">
        <v>8</v>
      </c>
      <c r="B2629" s="2">
        <v>44719.0</v>
      </c>
      <c r="C2629" s="3">
        <v>0.31776620370370373</v>
      </c>
      <c r="D2629" s="1">
        <v>12.689776</v>
      </c>
      <c r="E2629" s="1">
        <v>79.982197</v>
      </c>
      <c r="F2629" s="1">
        <v>805.0</v>
      </c>
      <c r="G2629" s="1">
        <v>25.0</v>
      </c>
    </row>
    <row r="2630">
      <c r="A2630" s="1" t="s">
        <v>9</v>
      </c>
      <c r="B2630" s="2">
        <v>44719.0</v>
      </c>
      <c r="C2630" s="3">
        <v>0.31776620370370373</v>
      </c>
      <c r="D2630" s="1">
        <v>12.689776</v>
      </c>
      <c r="E2630" s="1">
        <v>79.982197</v>
      </c>
      <c r="F2630" s="1">
        <v>805.0</v>
      </c>
      <c r="G2630" s="1">
        <v>25.0</v>
      </c>
    </row>
    <row r="2631">
      <c r="A2631" s="1" t="s">
        <v>8</v>
      </c>
      <c r="B2631" s="2">
        <v>44719.0</v>
      </c>
      <c r="C2631" s="3">
        <v>0.31925925925925924</v>
      </c>
      <c r="D2631" s="1">
        <v>12.691995</v>
      </c>
      <c r="E2631" s="1">
        <v>79.980145</v>
      </c>
      <c r="F2631" s="1">
        <v>805.0</v>
      </c>
      <c r="G2631" s="1">
        <v>34.0</v>
      </c>
    </row>
    <row r="2632">
      <c r="A2632" s="1" t="s">
        <v>8</v>
      </c>
      <c r="B2632" s="2">
        <v>44719.0</v>
      </c>
      <c r="C2632" s="3">
        <v>0.31939814814814815</v>
      </c>
      <c r="D2632" s="1">
        <v>12.693576</v>
      </c>
      <c r="E2632" s="1">
        <v>79.979334</v>
      </c>
      <c r="F2632" s="1">
        <v>805.0</v>
      </c>
      <c r="G2632" s="1">
        <v>31.0</v>
      </c>
    </row>
    <row r="2633">
      <c r="A2633" s="1" t="s">
        <v>9</v>
      </c>
      <c r="B2633" s="2">
        <v>44719.0</v>
      </c>
      <c r="C2633" s="3">
        <v>0.32033564814814813</v>
      </c>
      <c r="D2633" s="1">
        <v>12.696681</v>
      </c>
      <c r="E2633" s="1">
        <v>79.976915</v>
      </c>
      <c r="F2633" s="1">
        <v>805.0</v>
      </c>
      <c r="G2633" s="1">
        <v>0.0</v>
      </c>
    </row>
    <row r="2634">
      <c r="A2634" s="1" t="s">
        <v>8</v>
      </c>
      <c r="B2634" s="2">
        <v>44719.0</v>
      </c>
      <c r="C2634" s="3">
        <v>0.3207523148148148</v>
      </c>
      <c r="D2634" s="1">
        <v>12.697639</v>
      </c>
      <c r="E2634" s="1">
        <v>79.976341</v>
      </c>
      <c r="F2634" s="1">
        <v>805.0</v>
      </c>
      <c r="G2634" s="1">
        <v>18.0</v>
      </c>
    </row>
    <row r="2635">
      <c r="A2635" s="1" t="s">
        <v>8</v>
      </c>
      <c r="B2635" s="2">
        <v>44719.0</v>
      </c>
      <c r="C2635" s="3">
        <v>0.3212615740740741</v>
      </c>
      <c r="D2635" s="1">
        <v>12.697477</v>
      </c>
      <c r="E2635" s="1">
        <v>79.971771</v>
      </c>
      <c r="F2635" s="1">
        <v>805.0</v>
      </c>
      <c r="G2635" s="1">
        <v>42.0</v>
      </c>
    </row>
    <row r="2636">
      <c r="A2636" s="1" t="s">
        <v>7</v>
      </c>
      <c r="B2636" s="2">
        <v>44719.0</v>
      </c>
      <c r="C2636" s="3">
        <v>0.3225925925925926</v>
      </c>
      <c r="D2636" s="1">
        <v>12.700048</v>
      </c>
      <c r="E2636" s="1">
        <v>79.968417</v>
      </c>
      <c r="F2636" s="1">
        <v>805.0</v>
      </c>
      <c r="G2636" s="1">
        <v>20.0</v>
      </c>
    </row>
    <row r="2637">
      <c r="A2637" s="1" t="s">
        <v>7</v>
      </c>
      <c r="B2637" s="2">
        <v>44719.0</v>
      </c>
      <c r="C2637" s="3">
        <v>0.32314814814814813</v>
      </c>
      <c r="D2637" s="1">
        <v>12.70609</v>
      </c>
      <c r="E2637" s="1">
        <v>79.975097</v>
      </c>
      <c r="F2637" s="1">
        <v>805.0</v>
      </c>
      <c r="G2637" s="1">
        <v>58.0</v>
      </c>
    </row>
    <row r="2638">
      <c r="A2638" s="1" t="s">
        <v>8</v>
      </c>
      <c r="B2638" s="2">
        <v>44719.0</v>
      </c>
      <c r="C2638" s="3">
        <v>0.3233449074074074</v>
      </c>
      <c r="D2638" s="1">
        <v>13.0144</v>
      </c>
      <c r="E2638" s="1">
        <v>80.226204</v>
      </c>
      <c r="F2638" s="1">
        <v>2846.0</v>
      </c>
      <c r="G2638" s="1">
        <v>29.0</v>
      </c>
    </row>
    <row r="2639">
      <c r="A2639" s="1" t="s">
        <v>7</v>
      </c>
      <c r="B2639" s="2">
        <v>44719.0</v>
      </c>
      <c r="C2639" s="3">
        <v>0.3240162037037037</v>
      </c>
      <c r="D2639" s="1">
        <v>12.715117</v>
      </c>
      <c r="E2639" s="1">
        <v>79.980372</v>
      </c>
      <c r="F2639" s="1">
        <v>805.0</v>
      </c>
      <c r="G2639" s="1">
        <v>58.0</v>
      </c>
    </row>
    <row r="2640">
      <c r="A2640" s="1" t="s">
        <v>8</v>
      </c>
      <c r="B2640" s="2">
        <v>44719.0</v>
      </c>
      <c r="C2640" s="3">
        <v>0.324537037037037</v>
      </c>
      <c r="D2640" s="1">
        <v>13.011131</v>
      </c>
      <c r="E2640" s="1">
        <v>80.223975</v>
      </c>
      <c r="F2640" s="1">
        <v>2846.0</v>
      </c>
      <c r="G2640" s="1">
        <v>38.0</v>
      </c>
    </row>
    <row r="2641">
      <c r="A2641" s="1" t="s">
        <v>8</v>
      </c>
      <c r="B2641" s="2">
        <v>44719.0</v>
      </c>
      <c r="C2641" s="3">
        <v>0.32460648148148147</v>
      </c>
      <c r="D2641" s="1">
        <v>13.011489</v>
      </c>
      <c r="E2641" s="1">
        <v>80.2231</v>
      </c>
      <c r="F2641" s="1">
        <v>2846.0</v>
      </c>
      <c r="G2641" s="1">
        <v>36.0</v>
      </c>
    </row>
    <row r="2642">
      <c r="A2642" s="1" t="s">
        <v>8</v>
      </c>
      <c r="B2642" s="2">
        <v>44719.0</v>
      </c>
      <c r="C2642" s="3">
        <v>0.3250925925925926</v>
      </c>
      <c r="D2642" s="1">
        <v>13.011663</v>
      </c>
      <c r="E2642" s="1">
        <v>80.219355</v>
      </c>
      <c r="F2642" s="1">
        <v>2846.0</v>
      </c>
      <c r="G2642" s="1">
        <v>37.0</v>
      </c>
    </row>
    <row r="2643">
      <c r="A2643" s="1" t="s">
        <v>9</v>
      </c>
      <c r="B2643" s="2">
        <v>44719.0</v>
      </c>
      <c r="C2643" s="3">
        <v>0.3253125</v>
      </c>
      <c r="D2643" s="1">
        <v>13.011064</v>
      </c>
      <c r="E2643" s="1">
        <v>80.217641</v>
      </c>
      <c r="F2643" s="1">
        <v>2846.0</v>
      </c>
      <c r="G2643" s="1">
        <v>33.0</v>
      </c>
    </row>
    <row r="2644">
      <c r="A2644" s="1" t="s">
        <v>8</v>
      </c>
      <c r="B2644" s="2">
        <v>44719.0</v>
      </c>
      <c r="C2644" s="3">
        <v>0.32547453703703705</v>
      </c>
      <c r="D2644" s="1">
        <v>13.010736</v>
      </c>
      <c r="E2644" s="1">
        <v>80.216872</v>
      </c>
      <c r="F2644" s="1">
        <v>2846.0</v>
      </c>
      <c r="G2644" s="1">
        <v>30.0</v>
      </c>
    </row>
    <row r="2645">
      <c r="A2645" s="1" t="s">
        <v>8</v>
      </c>
      <c r="B2645" s="2">
        <v>44719.0</v>
      </c>
      <c r="C2645" s="3">
        <v>0.3254861111111111</v>
      </c>
      <c r="D2645" s="1">
        <v>13.010736</v>
      </c>
      <c r="E2645" s="1">
        <v>80.216872</v>
      </c>
      <c r="F2645" s="1">
        <v>2846.0</v>
      </c>
      <c r="G2645" s="1">
        <v>30.0</v>
      </c>
    </row>
    <row r="2646">
      <c r="A2646" s="1" t="s">
        <v>8</v>
      </c>
      <c r="B2646" s="2">
        <v>44719.0</v>
      </c>
      <c r="C2646" s="3">
        <v>0.3254976851851852</v>
      </c>
      <c r="D2646" s="1">
        <v>13.010736</v>
      </c>
      <c r="E2646" s="1">
        <v>80.216872</v>
      </c>
      <c r="F2646" s="1">
        <v>2846.0</v>
      </c>
      <c r="G2646" s="1">
        <v>30.0</v>
      </c>
    </row>
    <row r="2647">
      <c r="A2647" s="1" t="s">
        <v>8</v>
      </c>
      <c r="B2647" s="2">
        <v>44719.0</v>
      </c>
      <c r="C2647" s="3">
        <v>0.3257291666666667</v>
      </c>
      <c r="D2647" s="1">
        <v>13.010152</v>
      </c>
      <c r="E2647" s="1">
        <v>80.215529</v>
      </c>
      <c r="F2647" s="1">
        <v>2846.0</v>
      </c>
      <c r="G2647" s="1">
        <v>24.0</v>
      </c>
    </row>
    <row r="2648">
      <c r="A2648" s="1" t="s">
        <v>7</v>
      </c>
      <c r="B2648" s="2">
        <v>44719.0</v>
      </c>
      <c r="C2648" s="3">
        <v>0.3258101851851852</v>
      </c>
      <c r="D2648" s="1">
        <v>13.010152</v>
      </c>
      <c r="E2648" s="1">
        <v>80.215529</v>
      </c>
      <c r="F2648" s="1">
        <v>2846.0</v>
      </c>
      <c r="G2648" s="1">
        <v>24.0</v>
      </c>
    </row>
    <row r="2649">
      <c r="A2649" s="1" t="s">
        <v>7</v>
      </c>
      <c r="B2649" s="2">
        <v>44719.0</v>
      </c>
      <c r="C2649" s="3">
        <v>0.3266087962962963</v>
      </c>
      <c r="D2649" s="1">
        <v>13.007966</v>
      </c>
      <c r="E2649" s="1">
        <v>80.208432</v>
      </c>
      <c r="F2649" s="1">
        <v>2846.0</v>
      </c>
      <c r="G2649" s="1">
        <v>47.0</v>
      </c>
    </row>
    <row r="2650">
      <c r="A2650" s="1" t="s">
        <v>8</v>
      </c>
      <c r="B2650" s="2">
        <v>44719.0</v>
      </c>
      <c r="C2650" s="3">
        <v>0.3269560185185185</v>
      </c>
      <c r="D2650" s="1">
        <v>12.732572</v>
      </c>
      <c r="E2650" s="1">
        <v>79.983033</v>
      </c>
      <c r="F2650" s="1">
        <v>805.0</v>
      </c>
      <c r="G2650" s="1">
        <v>43.0</v>
      </c>
    </row>
    <row r="2651">
      <c r="A2651" s="1" t="s">
        <v>8</v>
      </c>
      <c r="B2651" s="2">
        <v>44719.0</v>
      </c>
      <c r="C2651" s="3">
        <v>0.32707175925925924</v>
      </c>
      <c r="D2651" s="1">
        <v>12.733324</v>
      </c>
      <c r="E2651" s="1">
        <v>79.983496</v>
      </c>
      <c r="F2651" s="1">
        <v>805.0</v>
      </c>
      <c r="G2651" s="1">
        <v>34.0</v>
      </c>
    </row>
    <row r="2652">
      <c r="A2652" s="1" t="s">
        <v>8</v>
      </c>
      <c r="B2652" s="2">
        <v>44719.0</v>
      </c>
      <c r="C2652" s="3">
        <v>0.32730324074074074</v>
      </c>
      <c r="D2652" s="1">
        <v>12.734303</v>
      </c>
      <c r="E2652" s="1">
        <v>79.984714</v>
      </c>
      <c r="F2652" s="1">
        <v>805.0</v>
      </c>
      <c r="G2652" s="1">
        <v>33.0</v>
      </c>
    </row>
    <row r="2653">
      <c r="A2653" s="1" t="s">
        <v>8</v>
      </c>
      <c r="B2653" s="2">
        <v>44719.0</v>
      </c>
      <c r="C2653" s="3">
        <v>0.32731481481481484</v>
      </c>
      <c r="D2653" s="1">
        <v>13.005267</v>
      </c>
      <c r="E2653" s="1">
        <v>80.201735</v>
      </c>
      <c r="F2653" s="1">
        <v>2846.0</v>
      </c>
      <c r="G2653" s="1">
        <v>47.0</v>
      </c>
    </row>
    <row r="2654">
      <c r="A2654" s="1" t="s">
        <v>8</v>
      </c>
      <c r="B2654" s="2">
        <v>44719.0</v>
      </c>
      <c r="C2654" s="3">
        <v>0.32739583333333333</v>
      </c>
      <c r="D2654" s="1">
        <v>12.734872</v>
      </c>
      <c r="E2654" s="1">
        <v>79.985464</v>
      </c>
      <c r="F2654" s="1">
        <v>805.0</v>
      </c>
      <c r="G2654" s="1">
        <v>41.0</v>
      </c>
    </row>
    <row r="2655">
      <c r="A2655" s="1" t="s">
        <v>8</v>
      </c>
      <c r="B2655" s="2">
        <v>44719.0</v>
      </c>
      <c r="C2655" s="3">
        <v>0.3275</v>
      </c>
      <c r="D2655" s="1">
        <v>12.735635</v>
      </c>
      <c r="E2655" s="1">
        <v>79.986404</v>
      </c>
      <c r="F2655" s="1">
        <v>805.0</v>
      </c>
      <c r="G2655" s="1">
        <v>50.0</v>
      </c>
    </row>
    <row r="2656">
      <c r="A2656" s="1" t="s">
        <v>8</v>
      </c>
      <c r="B2656" s="2">
        <v>44719.0</v>
      </c>
      <c r="C2656" s="3">
        <v>0.3275</v>
      </c>
      <c r="D2656" s="1">
        <v>13.003608</v>
      </c>
      <c r="E2656" s="1">
        <v>80.200979</v>
      </c>
      <c r="F2656" s="1">
        <v>2846.0</v>
      </c>
      <c r="G2656" s="1">
        <v>30.0</v>
      </c>
    </row>
    <row r="2657">
      <c r="A2657" s="1" t="s">
        <v>7</v>
      </c>
      <c r="B2657" s="2">
        <v>44719.0</v>
      </c>
      <c r="C2657" s="3">
        <v>0.32756944444444447</v>
      </c>
      <c r="D2657" s="1">
        <v>12.735635</v>
      </c>
      <c r="E2657" s="1">
        <v>79.986404</v>
      </c>
      <c r="F2657" s="1">
        <v>805.0</v>
      </c>
      <c r="G2657" s="1">
        <v>50.0</v>
      </c>
    </row>
    <row r="2658">
      <c r="A2658" s="1" t="s">
        <v>8</v>
      </c>
      <c r="B2658" s="2">
        <v>44719.0</v>
      </c>
      <c r="C2658" s="3">
        <v>0.32763888888888887</v>
      </c>
      <c r="D2658" s="1">
        <v>13.002844</v>
      </c>
      <c r="E2658" s="1">
        <v>80.200721</v>
      </c>
      <c r="F2658" s="1">
        <v>2846.0</v>
      </c>
      <c r="G2658" s="1">
        <v>33.0</v>
      </c>
    </row>
    <row r="2659">
      <c r="A2659" s="1" t="s">
        <v>7</v>
      </c>
      <c r="B2659" s="2">
        <v>44719.0</v>
      </c>
      <c r="C2659" s="3">
        <v>0.32773148148148146</v>
      </c>
      <c r="D2659" s="1">
        <v>12.736726</v>
      </c>
      <c r="E2659" s="1">
        <v>79.987318</v>
      </c>
      <c r="F2659" s="1">
        <v>805.0</v>
      </c>
      <c r="G2659" s="1">
        <v>61.0</v>
      </c>
    </row>
    <row r="2660">
      <c r="A2660" s="1" t="s">
        <v>8</v>
      </c>
      <c r="B2660" s="2">
        <v>44719.0</v>
      </c>
      <c r="C2660" s="3">
        <v>0.3279166666666667</v>
      </c>
      <c r="D2660" s="1">
        <v>13.001702</v>
      </c>
      <c r="E2660" s="1">
        <v>80.199401</v>
      </c>
      <c r="F2660" s="1">
        <v>2846.0</v>
      </c>
      <c r="G2660" s="1">
        <v>42.0</v>
      </c>
    </row>
    <row r="2661">
      <c r="A2661" s="1" t="s">
        <v>8</v>
      </c>
      <c r="B2661" s="2">
        <v>44719.0</v>
      </c>
      <c r="C2661" s="3">
        <v>0.3284490740740741</v>
      </c>
      <c r="D2661" s="1">
        <v>13.000235</v>
      </c>
      <c r="E2661" s="1">
        <v>80.194524</v>
      </c>
      <c r="F2661" s="1">
        <v>2846.0</v>
      </c>
      <c r="G2661" s="1">
        <v>43.0</v>
      </c>
    </row>
    <row r="2662">
      <c r="A2662" s="1" t="s">
        <v>8</v>
      </c>
      <c r="B2662" s="2">
        <v>44719.0</v>
      </c>
      <c r="C2662" s="3">
        <v>0.3292476851851852</v>
      </c>
      <c r="D2662" s="1">
        <v>12.743713</v>
      </c>
      <c r="E2662" s="1">
        <v>79.992608</v>
      </c>
      <c r="F2662" s="1">
        <v>805.0</v>
      </c>
      <c r="G2662" s="1">
        <v>31.0</v>
      </c>
    </row>
    <row r="2663">
      <c r="A2663" s="1" t="s">
        <v>7</v>
      </c>
      <c r="B2663" s="2">
        <v>44719.0</v>
      </c>
      <c r="C2663" s="3">
        <v>0.32938657407407407</v>
      </c>
      <c r="D2663" s="1">
        <v>12.745461</v>
      </c>
      <c r="E2663" s="1">
        <v>79.99405</v>
      </c>
      <c r="F2663" s="1">
        <v>805.0</v>
      </c>
      <c r="G2663" s="1">
        <v>54.0</v>
      </c>
    </row>
    <row r="2664">
      <c r="A2664" s="1" t="s">
        <v>8</v>
      </c>
      <c r="B2664" s="2">
        <v>44719.0</v>
      </c>
      <c r="C2664" s="3">
        <v>0.329525462962963</v>
      </c>
      <c r="D2664" s="1">
        <v>12.995333</v>
      </c>
      <c r="E2664" s="1">
        <v>80.188183</v>
      </c>
      <c r="F2664" s="1">
        <v>2846.0</v>
      </c>
      <c r="G2664" s="1">
        <v>33.0</v>
      </c>
    </row>
    <row r="2665">
      <c r="A2665" s="1" t="s">
        <v>8</v>
      </c>
      <c r="B2665" s="2">
        <v>44719.0</v>
      </c>
      <c r="C2665" s="3">
        <v>0.32991898148148147</v>
      </c>
      <c r="D2665" s="1">
        <v>12.750003</v>
      </c>
      <c r="E2665" s="1">
        <v>79.997779</v>
      </c>
      <c r="F2665" s="1">
        <v>805.0</v>
      </c>
      <c r="G2665" s="1">
        <v>58.0</v>
      </c>
    </row>
    <row r="2666">
      <c r="A2666" s="1" t="s">
        <v>8</v>
      </c>
      <c r="B2666" s="2">
        <v>44719.0</v>
      </c>
      <c r="C2666" s="3">
        <v>0.3300578703703704</v>
      </c>
      <c r="D2666" s="1">
        <v>12.994054</v>
      </c>
      <c r="E2666" s="1">
        <v>80.185685</v>
      </c>
      <c r="F2666" s="1">
        <v>2846.0</v>
      </c>
      <c r="G2666" s="1">
        <v>22.0</v>
      </c>
    </row>
    <row r="2667">
      <c r="A2667" s="1" t="s">
        <v>8</v>
      </c>
      <c r="B2667" s="2">
        <v>44719.0</v>
      </c>
      <c r="C2667" s="3">
        <v>0.33006944444444447</v>
      </c>
      <c r="D2667" s="1">
        <v>12.994054</v>
      </c>
      <c r="E2667" s="1">
        <v>80.185685</v>
      </c>
      <c r="F2667" s="1">
        <v>2846.0</v>
      </c>
      <c r="G2667" s="1">
        <v>22.0</v>
      </c>
    </row>
    <row r="2668">
      <c r="A2668" s="1" t="s">
        <v>7</v>
      </c>
      <c r="B2668" s="2">
        <v>44719.0</v>
      </c>
      <c r="C2668" s="3">
        <v>0.33019675925925923</v>
      </c>
      <c r="D2668" s="1">
        <v>12.751154</v>
      </c>
      <c r="E2668" s="1">
        <v>79.998676</v>
      </c>
      <c r="F2668" s="1">
        <v>805.0</v>
      </c>
      <c r="G2668" s="1">
        <v>57.0</v>
      </c>
    </row>
    <row r="2669">
      <c r="A2669" s="1" t="s">
        <v>8</v>
      </c>
      <c r="B2669" s="2">
        <v>44719.0</v>
      </c>
      <c r="C2669" s="3">
        <v>0.3302083333333333</v>
      </c>
      <c r="D2669" s="1">
        <v>12.993707</v>
      </c>
      <c r="E2669" s="1">
        <v>80.185032</v>
      </c>
      <c r="F2669" s="1">
        <v>2846.0</v>
      </c>
      <c r="G2669" s="1">
        <v>34.0</v>
      </c>
    </row>
    <row r="2670">
      <c r="A2670" s="1" t="s">
        <v>8</v>
      </c>
      <c r="B2670" s="2">
        <v>44719.0</v>
      </c>
      <c r="C2670" s="3">
        <v>0.3315740740740741</v>
      </c>
      <c r="D2670" s="1">
        <v>12.992198</v>
      </c>
      <c r="E2670" s="1">
        <v>80.182455</v>
      </c>
      <c r="F2670" s="1">
        <v>2846.0</v>
      </c>
      <c r="G2670" s="1">
        <v>37.0</v>
      </c>
    </row>
    <row r="2671">
      <c r="A2671" s="1" t="s">
        <v>9</v>
      </c>
      <c r="B2671" s="2">
        <v>44719.0</v>
      </c>
      <c r="C2671" s="3">
        <v>0.33244212962962966</v>
      </c>
      <c r="D2671" s="1">
        <v>12.992198</v>
      </c>
      <c r="E2671" s="1">
        <v>80.182455</v>
      </c>
      <c r="F2671" s="1">
        <v>2846.0</v>
      </c>
      <c r="G2671" s="1">
        <v>37.0</v>
      </c>
    </row>
    <row r="2672">
      <c r="A2672" s="1" t="s">
        <v>8</v>
      </c>
      <c r="B2672" s="2">
        <v>44719.0</v>
      </c>
      <c r="C2672" s="3">
        <v>0.33260416666666665</v>
      </c>
      <c r="D2672" s="1">
        <v>12.992198</v>
      </c>
      <c r="E2672" s="1">
        <v>80.182455</v>
      </c>
      <c r="F2672" s="1">
        <v>2846.0</v>
      </c>
      <c r="G2672" s="1">
        <v>37.0</v>
      </c>
    </row>
    <row r="2673">
      <c r="A2673" s="1" t="s">
        <v>8</v>
      </c>
      <c r="B2673" s="2">
        <v>44719.0</v>
      </c>
      <c r="C2673" s="3">
        <v>0.33269675925925923</v>
      </c>
      <c r="D2673" s="1">
        <v>12.992198</v>
      </c>
      <c r="E2673" s="1">
        <v>80.182455</v>
      </c>
      <c r="F2673" s="1">
        <v>2846.0</v>
      </c>
      <c r="G2673" s="1">
        <v>37.0</v>
      </c>
    </row>
    <row r="2674">
      <c r="A2674" s="1" t="s">
        <v>8</v>
      </c>
      <c r="B2674" s="2">
        <v>44719.0</v>
      </c>
      <c r="C2674" s="3">
        <v>0.3328587962962963</v>
      </c>
      <c r="D2674" s="1">
        <v>12.992198</v>
      </c>
      <c r="E2674" s="1">
        <v>80.182455</v>
      </c>
      <c r="F2674" s="1">
        <v>2846.0</v>
      </c>
      <c r="G2674" s="1">
        <v>37.0</v>
      </c>
    </row>
    <row r="2675">
      <c r="A2675" s="1" t="s">
        <v>8</v>
      </c>
      <c r="B2675" s="2">
        <v>44719.0</v>
      </c>
      <c r="C2675" s="3">
        <v>0.33292824074074073</v>
      </c>
      <c r="D2675" s="1">
        <v>12.76528</v>
      </c>
      <c r="E2675" s="1">
        <v>80.004933</v>
      </c>
      <c r="F2675" s="1">
        <v>805.0</v>
      </c>
      <c r="G2675" s="1">
        <v>18.0</v>
      </c>
    </row>
    <row r="2676">
      <c r="A2676" s="1" t="s">
        <v>8</v>
      </c>
      <c r="B2676" s="2">
        <v>44719.0</v>
      </c>
      <c r="C2676" s="3">
        <v>0.33297453703703705</v>
      </c>
      <c r="D2676" s="1">
        <v>12.765879</v>
      </c>
      <c r="E2676" s="1">
        <v>80.005167</v>
      </c>
      <c r="F2676" s="1">
        <v>805.0</v>
      </c>
      <c r="G2676" s="1">
        <v>28.0</v>
      </c>
    </row>
    <row r="2677">
      <c r="A2677" s="1" t="s">
        <v>8</v>
      </c>
      <c r="B2677" s="2">
        <v>44719.0</v>
      </c>
      <c r="C2677" s="3">
        <v>0.3330324074074074</v>
      </c>
      <c r="D2677" s="1">
        <v>12.765879</v>
      </c>
      <c r="E2677" s="1">
        <v>80.005167</v>
      </c>
      <c r="F2677" s="1">
        <v>805.0</v>
      </c>
      <c r="G2677" s="1">
        <v>28.0</v>
      </c>
    </row>
    <row r="2678">
      <c r="A2678" s="1" t="s">
        <v>8</v>
      </c>
      <c r="B2678" s="2">
        <v>44719.0</v>
      </c>
      <c r="C2678" s="3">
        <v>0.33305555555555555</v>
      </c>
      <c r="D2678" s="1">
        <v>12.992198</v>
      </c>
      <c r="E2678" s="1">
        <v>80.182455</v>
      </c>
      <c r="F2678" s="1">
        <v>2846.0</v>
      </c>
      <c r="G2678" s="1">
        <v>37.0</v>
      </c>
    </row>
    <row r="2679">
      <c r="A2679" s="1" t="s">
        <v>8</v>
      </c>
      <c r="B2679" s="2">
        <v>44719.0</v>
      </c>
      <c r="C2679" s="3">
        <v>0.3331134259259259</v>
      </c>
      <c r="D2679" s="1">
        <v>12.992198</v>
      </c>
      <c r="E2679" s="1">
        <v>80.182455</v>
      </c>
      <c r="F2679" s="1">
        <v>2846.0</v>
      </c>
      <c r="G2679" s="1">
        <v>37.0</v>
      </c>
    </row>
    <row r="2680">
      <c r="A2680" s="1" t="s">
        <v>8</v>
      </c>
      <c r="B2680" s="2">
        <v>44719.0</v>
      </c>
      <c r="C2680" s="3">
        <v>0.3331365740740741</v>
      </c>
      <c r="D2680" s="1">
        <v>12.992198</v>
      </c>
      <c r="E2680" s="1">
        <v>80.182455</v>
      </c>
      <c r="F2680" s="1">
        <v>2846.0</v>
      </c>
      <c r="G2680" s="1">
        <v>37.0</v>
      </c>
    </row>
    <row r="2681">
      <c r="A2681" s="1" t="s">
        <v>8</v>
      </c>
      <c r="B2681" s="2">
        <v>44719.0</v>
      </c>
      <c r="C2681" s="3">
        <v>0.33317129629629627</v>
      </c>
      <c r="D2681" s="1">
        <v>12.992198</v>
      </c>
      <c r="E2681" s="1">
        <v>80.182455</v>
      </c>
      <c r="F2681" s="1">
        <v>2846.0</v>
      </c>
      <c r="G2681" s="1">
        <v>37.0</v>
      </c>
    </row>
    <row r="2682">
      <c r="A2682" s="1" t="s">
        <v>8</v>
      </c>
      <c r="B2682" s="2">
        <v>44719.0</v>
      </c>
      <c r="C2682" s="3">
        <v>0.3333449074074074</v>
      </c>
      <c r="D2682" s="1">
        <v>12.992198</v>
      </c>
      <c r="E2682" s="1">
        <v>80.182455</v>
      </c>
      <c r="F2682" s="1">
        <v>2846.0</v>
      </c>
      <c r="G2682" s="1">
        <v>37.0</v>
      </c>
    </row>
    <row r="2683">
      <c r="A2683" s="1" t="s">
        <v>8</v>
      </c>
      <c r="B2683" s="2">
        <v>44719.0</v>
      </c>
      <c r="C2683" s="3">
        <v>0.33339120370370373</v>
      </c>
      <c r="D2683" s="1">
        <v>12.767648</v>
      </c>
      <c r="E2683" s="1">
        <v>80.005983</v>
      </c>
      <c r="F2683" s="1">
        <v>805.0</v>
      </c>
      <c r="G2683" s="1">
        <v>41.0</v>
      </c>
    </row>
    <row r="2684">
      <c r="A2684" s="1" t="s">
        <v>8</v>
      </c>
      <c r="B2684" s="2">
        <v>44719.0</v>
      </c>
      <c r="C2684" s="3">
        <v>0.33359953703703704</v>
      </c>
      <c r="D2684" s="1">
        <v>12.992198</v>
      </c>
      <c r="E2684" s="1">
        <v>80.182455</v>
      </c>
      <c r="F2684" s="1">
        <v>2846.0</v>
      </c>
      <c r="G2684" s="1">
        <v>37.0</v>
      </c>
    </row>
    <row r="2685">
      <c r="A2685" s="1" t="s">
        <v>7</v>
      </c>
      <c r="B2685" s="2">
        <v>44719.0</v>
      </c>
      <c r="C2685" s="3">
        <v>0.33372685185185186</v>
      </c>
      <c r="D2685" s="1">
        <v>12.772589</v>
      </c>
      <c r="E2685" s="1">
        <v>80.008328</v>
      </c>
      <c r="F2685" s="1">
        <v>805.0</v>
      </c>
      <c r="G2685" s="1">
        <v>57.0</v>
      </c>
    </row>
    <row r="2686">
      <c r="A2686" s="1" t="s">
        <v>8</v>
      </c>
      <c r="B2686" s="2">
        <v>44719.0</v>
      </c>
      <c r="C2686" s="3">
        <v>0.33380787037037035</v>
      </c>
      <c r="D2686" s="1">
        <v>12.992198</v>
      </c>
      <c r="E2686" s="1">
        <v>80.182455</v>
      </c>
      <c r="F2686" s="1">
        <v>2846.0</v>
      </c>
      <c r="G2686" s="1">
        <v>37.0</v>
      </c>
    </row>
    <row r="2687">
      <c r="A2687" s="1" t="s">
        <v>7</v>
      </c>
      <c r="B2687" s="2">
        <v>44719.0</v>
      </c>
      <c r="C2687" s="3">
        <v>0.33424768518518516</v>
      </c>
      <c r="D2687" s="1">
        <v>12.992198</v>
      </c>
      <c r="E2687" s="1">
        <v>80.182455</v>
      </c>
      <c r="F2687" s="1">
        <v>2846.0</v>
      </c>
      <c r="G2687" s="1">
        <v>37.0</v>
      </c>
    </row>
    <row r="2688">
      <c r="A2688" s="1" t="s">
        <v>7</v>
      </c>
      <c r="B2688" s="2">
        <v>44719.0</v>
      </c>
      <c r="C2688" s="3">
        <v>0.33457175925925925</v>
      </c>
      <c r="D2688" s="1">
        <v>12.7801</v>
      </c>
      <c r="E2688" s="1">
        <v>80.011673</v>
      </c>
      <c r="F2688" s="1">
        <v>805.0</v>
      </c>
      <c r="G2688" s="1">
        <v>54.0</v>
      </c>
    </row>
    <row r="2689">
      <c r="A2689" s="1" t="s">
        <v>8</v>
      </c>
      <c r="B2689" s="2">
        <v>44719.0</v>
      </c>
      <c r="C2689" s="3">
        <v>0.33547453703703706</v>
      </c>
      <c r="D2689" s="1">
        <v>12.992198</v>
      </c>
      <c r="E2689" s="1">
        <v>80.182455</v>
      </c>
      <c r="F2689" s="1">
        <v>2846.0</v>
      </c>
      <c r="G2689" s="1">
        <v>37.0</v>
      </c>
    </row>
    <row r="2690">
      <c r="A2690" s="1" t="s">
        <v>8</v>
      </c>
      <c r="B2690" s="2">
        <v>44719.0</v>
      </c>
      <c r="C2690" s="3">
        <v>0.335625</v>
      </c>
      <c r="D2690" s="1">
        <v>12.791577</v>
      </c>
      <c r="E2690" s="1">
        <v>80.017826</v>
      </c>
      <c r="F2690" s="1">
        <v>805.0</v>
      </c>
      <c r="G2690" s="1">
        <v>50.0</v>
      </c>
    </row>
    <row r="2691">
      <c r="A2691" s="1" t="s">
        <v>8</v>
      </c>
      <c r="B2691" s="2">
        <v>44719.0</v>
      </c>
      <c r="C2691" s="3">
        <v>0.3358217592592593</v>
      </c>
      <c r="D2691" s="1">
        <v>12.792631</v>
      </c>
      <c r="E2691" s="1">
        <v>80.018491</v>
      </c>
      <c r="F2691" s="1">
        <v>805.0</v>
      </c>
      <c r="G2691" s="1">
        <v>50.0</v>
      </c>
    </row>
    <row r="2692">
      <c r="A2692" s="1" t="s">
        <v>7</v>
      </c>
      <c r="B2692" s="2">
        <v>44719.0</v>
      </c>
      <c r="C2692" s="3">
        <v>0.33644675925925926</v>
      </c>
      <c r="D2692" s="1">
        <v>12.796464</v>
      </c>
      <c r="E2692" s="1">
        <v>80.020955</v>
      </c>
      <c r="F2692" s="1">
        <v>805.0</v>
      </c>
      <c r="G2692" s="1">
        <v>47.0</v>
      </c>
    </row>
    <row r="2693">
      <c r="A2693" s="1" t="s">
        <v>7</v>
      </c>
      <c r="B2693" s="2">
        <v>44719.0</v>
      </c>
      <c r="C2693" s="3">
        <v>0.33666666666666667</v>
      </c>
      <c r="D2693" s="1">
        <v>12.79887</v>
      </c>
      <c r="E2693" s="1">
        <v>80.022533</v>
      </c>
      <c r="F2693" s="1">
        <v>805.0</v>
      </c>
      <c r="G2693" s="1">
        <v>58.0</v>
      </c>
    </row>
    <row r="2694">
      <c r="A2694" s="1" t="s">
        <v>8</v>
      </c>
      <c r="B2694" s="2">
        <v>44719.0</v>
      </c>
      <c r="C2694" s="3">
        <v>0.337025462962963</v>
      </c>
      <c r="D2694" s="1">
        <v>12.801323</v>
      </c>
      <c r="E2694" s="1">
        <v>80.024156</v>
      </c>
      <c r="F2694" s="1">
        <v>805.0</v>
      </c>
      <c r="G2694" s="1">
        <v>58.0</v>
      </c>
    </row>
    <row r="2695">
      <c r="A2695" s="1" t="s">
        <v>7</v>
      </c>
      <c r="B2695" s="2">
        <v>44719.0</v>
      </c>
      <c r="C2695" s="3">
        <v>0.3371875</v>
      </c>
      <c r="D2695" s="1">
        <v>12.992198</v>
      </c>
      <c r="E2695" s="1">
        <v>80.182455</v>
      </c>
      <c r="F2695" s="1">
        <v>2846.0</v>
      </c>
      <c r="G2695" s="1">
        <v>37.0</v>
      </c>
    </row>
    <row r="2696">
      <c r="A2696" s="1" t="s">
        <v>7</v>
      </c>
      <c r="B2696" s="2">
        <v>44719.0</v>
      </c>
      <c r="C2696" s="3">
        <v>0.33719907407407407</v>
      </c>
      <c r="D2696" s="1">
        <v>12.803785</v>
      </c>
      <c r="E2696" s="1">
        <v>80.025752</v>
      </c>
      <c r="F2696" s="1">
        <v>805.0</v>
      </c>
      <c r="G2696" s="1">
        <v>57.0</v>
      </c>
    </row>
    <row r="2697">
      <c r="A2697" s="1" t="s">
        <v>9</v>
      </c>
      <c r="B2697" s="2">
        <v>44719.0</v>
      </c>
      <c r="C2697" s="3">
        <v>0.3373611111111111</v>
      </c>
      <c r="D2697" s="1">
        <v>12.992198</v>
      </c>
      <c r="E2697" s="1">
        <v>80.182455</v>
      </c>
      <c r="F2697" s="1">
        <v>2846.0</v>
      </c>
      <c r="G2697" s="1">
        <v>37.0</v>
      </c>
    </row>
    <row r="2698">
      <c r="A2698" s="1" t="s">
        <v>7</v>
      </c>
      <c r="B2698" s="2">
        <v>44719.0</v>
      </c>
      <c r="C2698" s="3">
        <v>0.33748842592592593</v>
      </c>
      <c r="D2698" s="1">
        <v>12.806168</v>
      </c>
      <c r="E2698" s="1">
        <v>80.027351</v>
      </c>
      <c r="F2698" s="1">
        <v>805.0</v>
      </c>
      <c r="G2698" s="1">
        <v>52.0</v>
      </c>
    </row>
    <row r="2699">
      <c r="A2699" s="1" t="s">
        <v>8</v>
      </c>
      <c r="B2699" s="2">
        <v>44719.0</v>
      </c>
      <c r="C2699" s="3">
        <v>0.33762731481481484</v>
      </c>
      <c r="D2699" s="1">
        <v>12.807283</v>
      </c>
      <c r="E2699" s="1">
        <v>80.028054</v>
      </c>
      <c r="F2699" s="1">
        <v>805.0</v>
      </c>
      <c r="G2699" s="1">
        <v>52.0</v>
      </c>
    </row>
    <row r="2700">
      <c r="A2700" s="1" t="s">
        <v>7</v>
      </c>
      <c r="B2700" s="2">
        <v>44719.0</v>
      </c>
      <c r="C2700" s="3">
        <v>0.3377777777777778</v>
      </c>
      <c r="D2700" s="1">
        <v>12.808379</v>
      </c>
      <c r="E2700" s="1">
        <v>80.028727</v>
      </c>
      <c r="F2700" s="1">
        <v>805.0</v>
      </c>
      <c r="G2700" s="1">
        <v>52.0</v>
      </c>
    </row>
    <row r="2701">
      <c r="A2701" s="1" t="s">
        <v>9</v>
      </c>
      <c r="B2701" s="2">
        <v>44719.0</v>
      </c>
      <c r="C2701" s="3">
        <v>0.33848379629629627</v>
      </c>
      <c r="D2701" s="1">
        <v>12.955225</v>
      </c>
      <c r="E2701" s="1">
        <v>80.142704</v>
      </c>
      <c r="F2701" s="1">
        <v>2846.0</v>
      </c>
      <c r="G2701" s="1">
        <v>32.0</v>
      </c>
    </row>
    <row r="2702">
      <c r="A2702" s="1" t="s">
        <v>9</v>
      </c>
      <c r="B2702" s="2">
        <v>44719.0</v>
      </c>
      <c r="C2702" s="3">
        <v>0.3385763888888889</v>
      </c>
      <c r="D2702" s="1">
        <v>12.954478</v>
      </c>
      <c r="E2702" s="1">
        <v>80.142307</v>
      </c>
      <c r="F2702" s="1">
        <v>2846.0</v>
      </c>
      <c r="G2702" s="1">
        <v>31.0</v>
      </c>
    </row>
    <row r="2703">
      <c r="A2703" s="1" t="s">
        <v>7</v>
      </c>
      <c r="B2703" s="2">
        <v>44719.0</v>
      </c>
      <c r="C2703" s="3">
        <v>0.3390625</v>
      </c>
      <c r="D2703" s="1">
        <v>12.821905</v>
      </c>
      <c r="E2703" s="1">
        <v>80.03794</v>
      </c>
      <c r="F2703" s="1">
        <v>805.0</v>
      </c>
      <c r="G2703" s="1">
        <v>43.0</v>
      </c>
    </row>
    <row r="2704">
      <c r="A2704" s="1" t="s">
        <v>7</v>
      </c>
      <c r="B2704" s="2">
        <v>44719.0</v>
      </c>
      <c r="C2704" s="3">
        <v>0.33924768518518517</v>
      </c>
      <c r="D2704" s="1">
        <v>12.825392</v>
      </c>
      <c r="E2704" s="1">
        <v>80.040404</v>
      </c>
      <c r="F2704" s="1">
        <v>805.0</v>
      </c>
      <c r="G2704" s="1">
        <v>58.0</v>
      </c>
    </row>
    <row r="2705">
      <c r="A2705" s="1" t="s">
        <v>7</v>
      </c>
      <c r="B2705" s="2">
        <v>44719.0</v>
      </c>
      <c r="C2705" s="3">
        <v>0.33945601851851853</v>
      </c>
      <c r="D2705" s="1">
        <v>12.950445</v>
      </c>
      <c r="E2705" s="1">
        <v>80.139663</v>
      </c>
      <c r="F2705" s="1">
        <v>2846.0</v>
      </c>
      <c r="G2705" s="1">
        <v>21.0</v>
      </c>
    </row>
    <row r="2706">
      <c r="A2706" s="1" t="s">
        <v>7</v>
      </c>
      <c r="B2706" s="2">
        <v>44719.0</v>
      </c>
      <c r="C2706" s="3">
        <v>0.34001157407407406</v>
      </c>
      <c r="D2706" s="1">
        <v>12.829629</v>
      </c>
      <c r="E2706" s="1">
        <v>80.04452</v>
      </c>
      <c r="F2706" s="1">
        <v>805.0</v>
      </c>
      <c r="G2706" s="1">
        <v>57.0</v>
      </c>
    </row>
    <row r="2707">
      <c r="A2707" s="1" t="s">
        <v>8</v>
      </c>
      <c r="B2707" s="2">
        <v>44719.0</v>
      </c>
      <c r="C2707" s="3">
        <v>0.3404513888888889</v>
      </c>
      <c r="D2707" s="1">
        <v>12.944074</v>
      </c>
      <c r="E2707" s="1">
        <v>80.134691</v>
      </c>
      <c r="F2707" s="1">
        <v>2846.0</v>
      </c>
      <c r="G2707" s="1">
        <v>20.0</v>
      </c>
    </row>
    <row r="2708">
      <c r="A2708" s="1" t="s">
        <v>7</v>
      </c>
      <c r="B2708" s="2">
        <v>44719.0</v>
      </c>
      <c r="C2708" s="3">
        <v>0.3404976851851852</v>
      </c>
      <c r="D2708" s="1">
        <v>12.832677</v>
      </c>
      <c r="E2708" s="1">
        <v>80.047739</v>
      </c>
      <c r="F2708" s="1">
        <v>805.0</v>
      </c>
      <c r="G2708" s="1">
        <v>58.0</v>
      </c>
    </row>
    <row r="2709">
      <c r="A2709" s="1" t="s">
        <v>8</v>
      </c>
      <c r="B2709" s="2">
        <v>44719.0</v>
      </c>
      <c r="C2709" s="3">
        <v>0.34068287037037037</v>
      </c>
      <c r="D2709" s="1">
        <v>12.834706</v>
      </c>
      <c r="E2709" s="1">
        <v>80.049893</v>
      </c>
      <c r="F2709" s="1">
        <v>805.0</v>
      </c>
      <c r="G2709" s="1">
        <v>58.0</v>
      </c>
    </row>
    <row r="2710">
      <c r="A2710" s="1" t="s">
        <v>8</v>
      </c>
      <c r="B2710" s="2">
        <v>44719.0</v>
      </c>
      <c r="C2710" s="3">
        <v>0.34078703703703705</v>
      </c>
      <c r="D2710" s="1">
        <v>12.942912</v>
      </c>
      <c r="E2710" s="1">
        <v>80.133632</v>
      </c>
      <c r="F2710" s="1">
        <v>2846.0</v>
      </c>
      <c r="G2710" s="1">
        <v>38.0</v>
      </c>
    </row>
    <row r="2711">
      <c r="A2711" s="1" t="s">
        <v>8</v>
      </c>
      <c r="B2711" s="2">
        <v>44719.0</v>
      </c>
      <c r="C2711" s="3">
        <v>0.3407986111111111</v>
      </c>
      <c r="D2711" s="1">
        <v>12.835742</v>
      </c>
      <c r="E2711" s="1">
        <v>80.050946</v>
      </c>
      <c r="F2711" s="1">
        <v>805.0</v>
      </c>
      <c r="G2711" s="1">
        <v>57.0</v>
      </c>
    </row>
    <row r="2712">
      <c r="A2712" s="1" t="s">
        <v>8</v>
      </c>
      <c r="B2712" s="2">
        <v>44719.0</v>
      </c>
      <c r="C2712" s="3">
        <v>0.3408912037037037</v>
      </c>
      <c r="D2712" s="1">
        <v>12.83677</v>
      </c>
      <c r="E2712" s="1">
        <v>80.052</v>
      </c>
      <c r="F2712" s="1">
        <v>805.0</v>
      </c>
      <c r="G2712" s="1">
        <v>57.0</v>
      </c>
    </row>
    <row r="2713">
      <c r="A2713" s="1" t="s">
        <v>8</v>
      </c>
      <c r="B2713" s="2">
        <v>44719.0</v>
      </c>
      <c r="C2713" s="3">
        <v>0.3413310185185185</v>
      </c>
      <c r="D2713" s="1">
        <v>12.838793</v>
      </c>
      <c r="E2713" s="1">
        <v>80.05414</v>
      </c>
      <c r="F2713" s="1">
        <v>805.0</v>
      </c>
      <c r="G2713" s="1">
        <v>58.0</v>
      </c>
    </row>
    <row r="2714">
      <c r="A2714" s="1" t="s">
        <v>7</v>
      </c>
      <c r="B2714" s="2">
        <v>44719.0</v>
      </c>
      <c r="C2714" s="3">
        <v>0.34197916666666667</v>
      </c>
      <c r="D2714" s="1">
        <v>12.934171</v>
      </c>
      <c r="E2714" s="1">
        <v>80.125402</v>
      </c>
      <c r="F2714" s="1">
        <v>2846.0</v>
      </c>
      <c r="G2714" s="1">
        <v>62.0</v>
      </c>
    </row>
    <row r="2715">
      <c r="A2715" s="1" t="s">
        <v>8</v>
      </c>
      <c r="B2715" s="2">
        <v>44719.0</v>
      </c>
      <c r="C2715" s="3">
        <v>0.34305555555555556</v>
      </c>
      <c r="D2715" s="1">
        <v>12.930576</v>
      </c>
      <c r="E2715" s="1">
        <v>80.121848</v>
      </c>
      <c r="F2715" s="1">
        <v>2846.0</v>
      </c>
      <c r="G2715" s="1">
        <v>42.0</v>
      </c>
    </row>
    <row r="2716">
      <c r="A2716" s="1" t="s">
        <v>8</v>
      </c>
      <c r="B2716" s="2">
        <v>44719.0</v>
      </c>
      <c r="C2716" s="3">
        <v>0.34313657407407405</v>
      </c>
      <c r="D2716" s="1">
        <v>12.849271</v>
      </c>
      <c r="E2716" s="1">
        <v>80.064053</v>
      </c>
      <c r="F2716" s="1">
        <v>805.0</v>
      </c>
      <c r="G2716" s="1">
        <v>51.0</v>
      </c>
    </row>
    <row r="2717">
      <c r="A2717" s="1" t="s">
        <v>8</v>
      </c>
      <c r="B2717" s="2">
        <v>44719.0</v>
      </c>
      <c r="C2717" s="3">
        <v>0.3436111111111111</v>
      </c>
      <c r="D2717" s="1">
        <v>12.850286</v>
      </c>
      <c r="E2717" s="1">
        <v>80.064709</v>
      </c>
      <c r="F2717" s="1">
        <v>805.0</v>
      </c>
      <c r="G2717" s="1">
        <v>21.0</v>
      </c>
    </row>
    <row r="2718">
      <c r="A2718" s="1" t="s">
        <v>7</v>
      </c>
      <c r="B2718" s="2">
        <v>44719.0</v>
      </c>
      <c r="C2718" s="3">
        <v>0.34369212962962964</v>
      </c>
      <c r="D2718" s="1">
        <v>12.925604</v>
      </c>
      <c r="E2718" s="1">
        <v>80.116792</v>
      </c>
      <c r="F2718" s="1">
        <v>2846.0</v>
      </c>
      <c r="G2718" s="1">
        <v>47.0</v>
      </c>
    </row>
    <row r="2719">
      <c r="A2719" s="1" t="s">
        <v>8</v>
      </c>
      <c r="B2719" s="2">
        <v>44719.0</v>
      </c>
      <c r="C2719" s="3">
        <v>0.3438425925925926</v>
      </c>
      <c r="D2719" s="1">
        <v>12.923805</v>
      </c>
      <c r="E2719" s="1">
        <v>80.114987</v>
      </c>
      <c r="F2719" s="1">
        <v>2846.0</v>
      </c>
      <c r="G2719" s="1">
        <v>46.0</v>
      </c>
    </row>
    <row r="2720">
      <c r="A2720" s="1" t="s">
        <v>8</v>
      </c>
      <c r="B2720" s="2">
        <v>44719.0</v>
      </c>
      <c r="C2720" s="3">
        <v>0.34402777777777777</v>
      </c>
      <c r="D2720" s="1">
        <v>12.923151</v>
      </c>
      <c r="E2720" s="1">
        <v>80.114343</v>
      </c>
      <c r="F2720" s="1">
        <v>2846.0</v>
      </c>
      <c r="G2720" s="1">
        <v>34.0</v>
      </c>
    </row>
    <row r="2721">
      <c r="A2721" s="1" t="s">
        <v>7</v>
      </c>
      <c r="B2721" s="2">
        <v>44719.0</v>
      </c>
      <c r="C2721" s="3">
        <v>0.3440625</v>
      </c>
      <c r="D2721" s="1">
        <v>12.853619</v>
      </c>
      <c r="E2721" s="1">
        <v>80.067308</v>
      </c>
      <c r="F2721" s="1">
        <v>805.0</v>
      </c>
      <c r="G2721" s="1">
        <v>59.0</v>
      </c>
    </row>
    <row r="2722">
      <c r="A2722" s="1" t="s">
        <v>8</v>
      </c>
      <c r="B2722" s="2">
        <v>44719.0</v>
      </c>
      <c r="C2722" s="3">
        <v>0.34425925925925926</v>
      </c>
      <c r="D2722" s="1">
        <v>12.92152</v>
      </c>
      <c r="E2722" s="1">
        <v>80.112679</v>
      </c>
      <c r="F2722" s="1">
        <v>2846.0</v>
      </c>
      <c r="G2722" s="1">
        <v>51.0</v>
      </c>
    </row>
    <row r="2723">
      <c r="A2723" s="1" t="s">
        <v>7</v>
      </c>
      <c r="B2723" s="2">
        <v>44719.0</v>
      </c>
      <c r="C2723" s="3">
        <v>0.3443981481481482</v>
      </c>
      <c r="D2723" s="1">
        <v>12.857131</v>
      </c>
      <c r="E2723" s="1">
        <v>80.069903</v>
      </c>
      <c r="F2723" s="1">
        <v>805.0</v>
      </c>
      <c r="G2723" s="1">
        <v>55.0</v>
      </c>
    </row>
    <row r="2724">
      <c r="A2724" s="1" t="s">
        <v>7</v>
      </c>
      <c r="B2724" s="2">
        <v>44719.0</v>
      </c>
      <c r="C2724" s="3">
        <v>0.34449074074074076</v>
      </c>
      <c r="D2724" s="1">
        <v>12.857131</v>
      </c>
      <c r="E2724" s="1">
        <v>80.069903</v>
      </c>
      <c r="F2724" s="1">
        <v>805.0</v>
      </c>
      <c r="G2724" s="1">
        <v>55.0</v>
      </c>
    </row>
    <row r="2725">
      <c r="A2725" s="1" t="s">
        <v>8</v>
      </c>
      <c r="B2725" s="2">
        <v>44719.0</v>
      </c>
      <c r="C2725" s="3">
        <v>0.34556712962962965</v>
      </c>
      <c r="D2725" s="1">
        <v>12.9164</v>
      </c>
      <c r="E2725" s="1">
        <v>80.106071</v>
      </c>
      <c r="F2725" s="1">
        <v>2846.0</v>
      </c>
      <c r="G2725" s="1">
        <v>41.0</v>
      </c>
    </row>
    <row r="2726">
      <c r="A2726" s="1" t="s">
        <v>8</v>
      </c>
      <c r="B2726" s="2">
        <v>44719.0</v>
      </c>
      <c r="C2726" s="3">
        <v>0.34564814814814815</v>
      </c>
      <c r="D2726" s="1">
        <v>12.9164</v>
      </c>
      <c r="E2726" s="1">
        <v>80.106071</v>
      </c>
      <c r="F2726" s="1">
        <v>2846.0</v>
      </c>
      <c r="G2726" s="1">
        <v>41.0</v>
      </c>
    </row>
    <row r="2727">
      <c r="A2727" s="1" t="s">
        <v>8</v>
      </c>
      <c r="B2727" s="2">
        <v>44719.0</v>
      </c>
      <c r="C2727" s="3">
        <v>0.3461226851851852</v>
      </c>
      <c r="D2727" s="1">
        <v>12.862834</v>
      </c>
      <c r="E2727" s="1">
        <v>80.073645</v>
      </c>
      <c r="F2727" s="1">
        <v>805.0</v>
      </c>
      <c r="G2727" s="1">
        <v>0.0</v>
      </c>
    </row>
    <row r="2728">
      <c r="A2728" s="1" t="s">
        <v>8</v>
      </c>
      <c r="B2728" s="2">
        <v>44719.0</v>
      </c>
      <c r="C2728" s="3">
        <v>0.3462384259259259</v>
      </c>
      <c r="D2728" s="1">
        <v>12.865375</v>
      </c>
      <c r="E2728" s="1">
        <v>80.07464</v>
      </c>
      <c r="F2728" s="1">
        <v>805.0</v>
      </c>
      <c r="G2728" s="1">
        <v>57.0</v>
      </c>
    </row>
    <row r="2729">
      <c r="A2729" s="1" t="s">
        <v>9</v>
      </c>
      <c r="B2729" s="2">
        <v>44719.0</v>
      </c>
      <c r="C2729" s="3">
        <v>0.3464583333333333</v>
      </c>
      <c r="D2729" s="1">
        <v>12.911179</v>
      </c>
      <c r="E2729" s="1">
        <v>80.101344</v>
      </c>
      <c r="F2729" s="1">
        <v>2846.0</v>
      </c>
      <c r="G2729" s="1">
        <v>36.0</v>
      </c>
    </row>
    <row r="2730">
      <c r="A2730" s="1" t="s">
        <v>7</v>
      </c>
      <c r="B2730" s="2">
        <v>44719.0</v>
      </c>
      <c r="C2730" s="3">
        <v>0.3466550925925926</v>
      </c>
      <c r="D2730" s="1">
        <v>12.866565</v>
      </c>
      <c r="E2730" s="1">
        <v>80.075072</v>
      </c>
      <c r="F2730" s="1">
        <v>805.0</v>
      </c>
      <c r="G2730" s="1">
        <v>39.0</v>
      </c>
    </row>
    <row r="2731">
      <c r="A2731" s="1" t="s">
        <v>8</v>
      </c>
      <c r="B2731" s="2">
        <v>44719.0</v>
      </c>
      <c r="C2731" s="3">
        <v>0.34672453703703704</v>
      </c>
      <c r="D2731" s="1">
        <v>12.871855</v>
      </c>
      <c r="E2731" s="1">
        <v>80.07719</v>
      </c>
      <c r="F2731" s="1">
        <v>805.0</v>
      </c>
      <c r="G2731" s="1">
        <v>54.0</v>
      </c>
    </row>
    <row r="2732">
      <c r="A2732" s="1" t="s">
        <v>7</v>
      </c>
      <c r="B2732" s="2">
        <v>44719.0</v>
      </c>
      <c r="C2732" s="3">
        <v>0.34694444444444444</v>
      </c>
      <c r="D2732" s="1">
        <v>12.874476</v>
      </c>
      <c r="E2732" s="1">
        <v>80.07817</v>
      </c>
      <c r="F2732" s="1">
        <v>805.0</v>
      </c>
      <c r="G2732" s="1">
        <v>52.0</v>
      </c>
    </row>
    <row r="2733">
      <c r="A2733" s="1" t="s">
        <v>8</v>
      </c>
      <c r="B2733" s="2">
        <v>44719.0</v>
      </c>
      <c r="C2733" s="3">
        <v>0.3478819444444444</v>
      </c>
      <c r="D2733" s="1">
        <v>12.903953</v>
      </c>
      <c r="E2733" s="1">
        <v>80.094638</v>
      </c>
      <c r="F2733" s="1">
        <v>2846.0</v>
      </c>
      <c r="G2733" s="1">
        <v>39.0</v>
      </c>
    </row>
    <row r="2734">
      <c r="A2734" s="1" t="s">
        <v>8</v>
      </c>
      <c r="B2734" s="2">
        <v>44719.0</v>
      </c>
      <c r="C2734" s="3">
        <v>0.3479513888888889</v>
      </c>
      <c r="D2734" s="1">
        <v>12.903953</v>
      </c>
      <c r="E2734" s="1">
        <v>80.094638</v>
      </c>
      <c r="F2734" s="1">
        <v>2846.0</v>
      </c>
      <c r="G2734" s="1">
        <v>39.0</v>
      </c>
    </row>
    <row r="2735">
      <c r="A2735" s="1" t="s">
        <v>8</v>
      </c>
      <c r="B2735" s="2">
        <v>44719.0</v>
      </c>
      <c r="C2735" s="3">
        <v>0.3483449074074074</v>
      </c>
      <c r="D2735" s="1">
        <v>12.900529</v>
      </c>
      <c r="E2735" s="1">
        <v>80.091904</v>
      </c>
      <c r="F2735" s="1">
        <v>2846.0</v>
      </c>
      <c r="G2735" s="1">
        <v>52.0</v>
      </c>
    </row>
    <row r="2736">
      <c r="A2736" s="1" t="s">
        <v>8</v>
      </c>
      <c r="B2736" s="2">
        <v>44719.0</v>
      </c>
      <c r="C2736" s="3">
        <v>0.3484143518518519</v>
      </c>
      <c r="D2736" s="1">
        <v>12.878108</v>
      </c>
      <c r="E2736" s="1">
        <v>80.083198</v>
      </c>
      <c r="F2736" s="1">
        <v>805.0</v>
      </c>
      <c r="G2736" s="1">
        <v>50.0</v>
      </c>
    </row>
    <row r="2737">
      <c r="A2737" s="1" t="s">
        <v>8</v>
      </c>
      <c r="B2737" s="2">
        <v>44719.0</v>
      </c>
      <c r="C2737" s="3">
        <v>0.3484375</v>
      </c>
      <c r="D2737" s="1">
        <v>12.877738</v>
      </c>
      <c r="E2737" s="1">
        <v>80.08421</v>
      </c>
      <c r="F2737" s="1">
        <v>805.0</v>
      </c>
      <c r="G2737" s="1">
        <v>31.0</v>
      </c>
    </row>
    <row r="2738">
      <c r="A2738" s="1" t="s">
        <v>7</v>
      </c>
      <c r="B2738" s="2">
        <v>44719.0</v>
      </c>
      <c r="C2738" s="3">
        <v>0.3496064814814815</v>
      </c>
      <c r="D2738" s="1">
        <v>12.890042</v>
      </c>
      <c r="E2738" s="1">
        <v>80.084604</v>
      </c>
      <c r="F2738" s="1">
        <v>2846.0</v>
      </c>
      <c r="G2738" s="1">
        <v>56.0</v>
      </c>
    </row>
    <row r="2739">
      <c r="A2739" s="1" t="s">
        <v>7</v>
      </c>
      <c r="B2739" s="2">
        <v>44719.0</v>
      </c>
      <c r="C2739" s="3">
        <v>0.34967592592592595</v>
      </c>
      <c r="D2739" s="1">
        <v>12.890042</v>
      </c>
      <c r="E2739" s="1">
        <v>80.084604</v>
      </c>
      <c r="F2739" s="1">
        <v>2846.0</v>
      </c>
      <c r="G2739" s="1">
        <v>56.0</v>
      </c>
    </row>
    <row r="2740">
      <c r="A2740" s="1" t="s">
        <v>8</v>
      </c>
      <c r="B2740" s="2">
        <v>44719.0</v>
      </c>
      <c r="C2740" s="3">
        <v>0.35461805555555553</v>
      </c>
      <c r="D2740" s="1">
        <v>12.878652</v>
      </c>
      <c r="E2740" s="1">
        <v>80.0817</v>
      </c>
      <c r="F2740" s="1">
        <v>2846.0</v>
      </c>
      <c r="G2740" s="1">
        <v>29.0</v>
      </c>
    </row>
    <row r="2741">
      <c r="A2741" s="1" t="s">
        <v>8</v>
      </c>
      <c r="B2741" s="2">
        <v>44719.0</v>
      </c>
      <c r="C2741" s="3">
        <v>0.35479166666666667</v>
      </c>
      <c r="D2741" s="1">
        <v>12.878652</v>
      </c>
      <c r="E2741" s="1">
        <v>80.0817</v>
      </c>
      <c r="F2741" s="1">
        <v>2846.0</v>
      </c>
      <c r="G2741" s="1">
        <v>29.0</v>
      </c>
    </row>
    <row r="2742">
      <c r="A2742" s="1" t="s">
        <v>8</v>
      </c>
      <c r="B2742" s="2">
        <v>44719.0</v>
      </c>
      <c r="C2742" s="3">
        <v>0.6911342592592593</v>
      </c>
      <c r="D2742" s="1">
        <v>12.880356</v>
      </c>
      <c r="E2742" s="1">
        <v>80.080455</v>
      </c>
      <c r="F2742" s="1">
        <v>805.0</v>
      </c>
      <c r="G2742" s="1">
        <v>32.0</v>
      </c>
    </row>
    <row r="2743">
      <c r="A2743" s="1" t="s">
        <v>8</v>
      </c>
      <c r="B2743" s="2">
        <v>44719.0</v>
      </c>
      <c r="C2743" s="3">
        <v>0.6912384259259259</v>
      </c>
      <c r="D2743" s="1">
        <v>12.881085</v>
      </c>
      <c r="E2743" s="1">
        <v>80.080617</v>
      </c>
      <c r="F2743" s="1">
        <v>805.0</v>
      </c>
      <c r="G2743" s="1">
        <v>24.0</v>
      </c>
    </row>
    <row r="2744">
      <c r="A2744" s="1" t="s">
        <v>8</v>
      </c>
      <c r="B2744" s="2">
        <v>44719.0</v>
      </c>
      <c r="C2744" s="3">
        <v>0.69125</v>
      </c>
      <c r="D2744" s="1">
        <v>12.881085</v>
      </c>
      <c r="E2744" s="1">
        <v>80.080617</v>
      </c>
      <c r="F2744" s="1">
        <v>805.0</v>
      </c>
      <c r="G2744" s="1">
        <v>24.0</v>
      </c>
    </row>
    <row r="2745">
      <c r="A2745" s="1" t="s">
        <v>7</v>
      </c>
      <c r="B2745" s="2">
        <v>44719.0</v>
      </c>
      <c r="C2745" s="3">
        <v>0.6917592592592593</v>
      </c>
      <c r="D2745" s="1">
        <v>12.885139</v>
      </c>
      <c r="E2745" s="1">
        <v>80.082264</v>
      </c>
      <c r="F2745" s="1">
        <v>805.0</v>
      </c>
      <c r="G2745" s="1">
        <v>56.0</v>
      </c>
    </row>
    <row r="2746">
      <c r="A2746" s="1" t="s">
        <v>7</v>
      </c>
      <c r="B2746" s="2">
        <v>44719.0</v>
      </c>
      <c r="C2746" s="3">
        <v>0.6921527777777777</v>
      </c>
      <c r="D2746" s="1">
        <v>12.889059</v>
      </c>
      <c r="E2746" s="1">
        <v>80.084047</v>
      </c>
      <c r="F2746" s="1">
        <v>805.0</v>
      </c>
      <c r="G2746" s="1">
        <v>57.0</v>
      </c>
    </row>
    <row r="2747">
      <c r="A2747" s="1" t="s">
        <v>7</v>
      </c>
      <c r="B2747" s="2">
        <v>44719.0</v>
      </c>
      <c r="C2747" s="3">
        <v>0.6926273148148148</v>
      </c>
      <c r="D2747" s="1">
        <v>12.884903</v>
      </c>
      <c r="E2747" s="1">
        <v>80.082021</v>
      </c>
      <c r="F2747" s="1">
        <v>2846.0</v>
      </c>
      <c r="G2747" s="1">
        <v>45.0</v>
      </c>
    </row>
    <row r="2748">
      <c r="A2748" s="1" t="s">
        <v>8</v>
      </c>
      <c r="B2748" s="2">
        <v>44719.0</v>
      </c>
      <c r="C2748" s="3">
        <v>0.6927314814814814</v>
      </c>
      <c r="D2748" s="1">
        <v>12.895275</v>
      </c>
      <c r="E2748" s="1">
        <v>80.087818</v>
      </c>
      <c r="F2748" s="1">
        <v>805.0</v>
      </c>
      <c r="G2748" s="1">
        <v>58.0</v>
      </c>
    </row>
    <row r="2749">
      <c r="A2749" s="1" t="s">
        <v>8</v>
      </c>
      <c r="B2749" s="2">
        <v>44719.0</v>
      </c>
      <c r="C2749" s="3">
        <v>0.6928587962962963</v>
      </c>
      <c r="D2749" s="1">
        <v>12.887024</v>
      </c>
      <c r="E2749" s="1">
        <v>80.083209</v>
      </c>
      <c r="F2749" s="1">
        <v>2846.0</v>
      </c>
      <c r="G2749" s="1">
        <v>57.0</v>
      </c>
    </row>
    <row r="2750">
      <c r="A2750" s="1" t="s">
        <v>8</v>
      </c>
      <c r="B2750" s="2">
        <v>44719.0</v>
      </c>
      <c r="C2750" s="3">
        <v>0.6929166666666666</v>
      </c>
      <c r="D2750" s="1">
        <v>12.895275</v>
      </c>
      <c r="E2750" s="1">
        <v>80.087818</v>
      </c>
      <c r="F2750" s="1">
        <v>805.0</v>
      </c>
      <c r="G2750" s="1">
        <v>58.0</v>
      </c>
    </row>
    <row r="2751">
      <c r="A2751" s="1" t="s">
        <v>7</v>
      </c>
      <c r="B2751" s="2">
        <v>44719.0</v>
      </c>
      <c r="C2751" s="3">
        <v>0.6930555555555555</v>
      </c>
      <c r="D2751" s="1">
        <v>12.888342</v>
      </c>
      <c r="E2751" s="1">
        <v>80.083777</v>
      </c>
      <c r="F2751" s="1">
        <v>2846.0</v>
      </c>
      <c r="G2751" s="1">
        <v>58.0</v>
      </c>
    </row>
    <row r="2752">
      <c r="A2752" s="1" t="s">
        <v>7</v>
      </c>
      <c r="B2752" s="2">
        <v>44719.0</v>
      </c>
      <c r="C2752" s="3">
        <v>0.6932986111111111</v>
      </c>
      <c r="D2752" s="1">
        <v>12.893182</v>
      </c>
      <c r="E2752" s="1">
        <v>80.086206</v>
      </c>
      <c r="F2752" s="1">
        <v>2846.0</v>
      </c>
      <c r="G2752" s="1">
        <v>60.0</v>
      </c>
    </row>
    <row r="2753">
      <c r="A2753" s="1" t="s">
        <v>7</v>
      </c>
      <c r="B2753" s="2">
        <v>44719.0</v>
      </c>
      <c r="C2753" s="3">
        <v>0.6937152777777778</v>
      </c>
      <c r="D2753" s="1">
        <v>12.89787</v>
      </c>
      <c r="E2753" s="1">
        <v>80.089764</v>
      </c>
      <c r="F2753" s="1">
        <v>2846.0</v>
      </c>
      <c r="G2753" s="1">
        <v>57.0</v>
      </c>
    </row>
    <row r="2754">
      <c r="A2754" s="1" t="s">
        <v>8</v>
      </c>
      <c r="B2754" s="2">
        <v>44719.0</v>
      </c>
      <c r="C2754" s="3">
        <v>0.6939120370370371</v>
      </c>
      <c r="D2754" s="1">
        <v>12.906487</v>
      </c>
      <c r="E2754" s="1">
        <v>80.096168</v>
      </c>
      <c r="F2754" s="1">
        <v>805.0</v>
      </c>
      <c r="G2754" s="1">
        <v>38.0</v>
      </c>
    </row>
    <row r="2755">
      <c r="A2755" s="1" t="s">
        <v>8</v>
      </c>
      <c r="B2755" s="2">
        <v>44719.0</v>
      </c>
      <c r="C2755" s="3">
        <v>0.6940625</v>
      </c>
      <c r="D2755" s="1">
        <v>12.907264</v>
      </c>
      <c r="E2755" s="1">
        <v>80.096759</v>
      </c>
      <c r="F2755" s="1">
        <v>805.0</v>
      </c>
      <c r="G2755" s="1">
        <v>41.0</v>
      </c>
    </row>
    <row r="2756">
      <c r="A2756" s="1" t="s">
        <v>8</v>
      </c>
      <c r="B2756" s="2">
        <v>44719.0</v>
      </c>
      <c r="C2756" s="3">
        <v>0.6942708333333333</v>
      </c>
      <c r="D2756" s="1">
        <v>12.903175</v>
      </c>
      <c r="E2756" s="1">
        <v>80.093826</v>
      </c>
      <c r="F2756" s="1">
        <v>2846.0</v>
      </c>
      <c r="G2756" s="1">
        <v>36.0</v>
      </c>
    </row>
    <row r="2757">
      <c r="A2757" s="1" t="s">
        <v>8</v>
      </c>
      <c r="B2757" s="2">
        <v>44719.0</v>
      </c>
      <c r="C2757" s="3">
        <v>0.695462962962963</v>
      </c>
      <c r="D2757" s="1">
        <v>12.911629</v>
      </c>
      <c r="E2757" s="1">
        <v>80.10128</v>
      </c>
      <c r="F2757" s="1">
        <v>805.0</v>
      </c>
      <c r="G2757" s="1">
        <v>8.0</v>
      </c>
    </row>
    <row r="2758">
      <c r="A2758" s="1" t="s">
        <v>8</v>
      </c>
      <c r="B2758" s="2">
        <v>44719.0</v>
      </c>
      <c r="C2758" s="3">
        <v>0.6956712962962963</v>
      </c>
      <c r="D2758" s="1">
        <v>12.91308</v>
      </c>
      <c r="E2758" s="1">
        <v>80.101458</v>
      </c>
      <c r="F2758" s="1">
        <v>805.0</v>
      </c>
      <c r="G2758" s="1">
        <v>42.0</v>
      </c>
    </row>
    <row r="2759">
      <c r="A2759" s="1" t="s">
        <v>8</v>
      </c>
      <c r="B2759" s="2">
        <v>44719.0</v>
      </c>
      <c r="C2759" s="3">
        <v>0.6960763888888889</v>
      </c>
      <c r="D2759" s="1">
        <v>12.915974</v>
      </c>
      <c r="E2759" s="1">
        <v>80.105078</v>
      </c>
      <c r="F2759" s="1">
        <v>805.0</v>
      </c>
      <c r="G2759" s="1">
        <v>54.0</v>
      </c>
    </row>
    <row r="2760">
      <c r="A2760" s="1" t="s">
        <v>8</v>
      </c>
      <c r="B2760" s="2">
        <v>44719.0</v>
      </c>
      <c r="C2760" s="3">
        <v>0.6966898148148148</v>
      </c>
      <c r="D2760" s="1">
        <v>12.918338</v>
      </c>
      <c r="E2760" s="1">
        <v>80.108927</v>
      </c>
      <c r="F2760" s="1">
        <v>805.0</v>
      </c>
      <c r="G2760" s="1">
        <v>55.0</v>
      </c>
    </row>
    <row r="2761">
      <c r="A2761" s="1" t="s">
        <v>8</v>
      </c>
      <c r="B2761" s="2">
        <v>44719.0</v>
      </c>
      <c r="C2761" s="3">
        <v>0.6967592592592593</v>
      </c>
      <c r="D2761" s="1">
        <v>12.918338</v>
      </c>
      <c r="E2761" s="1">
        <v>80.108927</v>
      </c>
      <c r="F2761" s="1">
        <v>805.0</v>
      </c>
      <c r="G2761" s="1">
        <v>55.0</v>
      </c>
    </row>
    <row r="2762">
      <c r="A2762" s="1" t="s">
        <v>7</v>
      </c>
      <c r="B2762" s="2">
        <v>44719.0</v>
      </c>
      <c r="C2762" s="3">
        <v>0.6968518518518518</v>
      </c>
      <c r="D2762" s="1">
        <v>12.91915</v>
      </c>
      <c r="E2762" s="1">
        <v>80.109932</v>
      </c>
      <c r="F2762" s="1">
        <v>805.0</v>
      </c>
      <c r="G2762" s="1">
        <v>50.0</v>
      </c>
    </row>
    <row r="2763">
      <c r="A2763" s="1" t="s">
        <v>8</v>
      </c>
      <c r="B2763" s="2">
        <v>44719.0</v>
      </c>
      <c r="C2763" s="3">
        <v>0.6970023148148148</v>
      </c>
      <c r="D2763" s="1">
        <v>12.921005</v>
      </c>
      <c r="E2763" s="1">
        <v>80.112036</v>
      </c>
      <c r="F2763" s="1">
        <v>805.0</v>
      </c>
      <c r="G2763" s="1">
        <v>51.0</v>
      </c>
    </row>
    <row r="2764">
      <c r="A2764" s="1" t="s">
        <v>8</v>
      </c>
      <c r="B2764" s="2">
        <v>44719.0</v>
      </c>
      <c r="C2764" s="3">
        <v>0.697037037037037</v>
      </c>
      <c r="D2764" s="1">
        <v>12.921005</v>
      </c>
      <c r="E2764" s="1">
        <v>80.112036</v>
      </c>
      <c r="F2764" s="1">
        <v>805.0</v>
      </c>
      <c r="G2764" s="1">
        <v>51.0</v>
      </c>
    </row>
    <row r="2765">
      <c r="A2765" s="1" t="s">
        <v>7</v>
      </c>
      <c r="B2765" s="2">
        <v>44719.0</v>
      </c>
      <c r="C2765" s="3">
        <v>0.6972685185185186</v>
      </c>
      <c r="D2765" s="1">
        <v>12.922745</v>
      </c>
      <c r="E2765" s="1">
        <v>80.113778</v>
      </c>
      <c r="F2765" s="1">
        <v>805.0</v>
      </c>
      <c r="G2765" s="1">
        <v>55.0</v>
      </c>
    </row>
    <row r="2766">
      <c r="A2766" s="1" t="s">
        <v>8</v>
      </c>
      <c r="B2766" s="2">
        <v>44719.0</v>
      </c>
      <c r="C2766" s="3">
        <v>0.6976273148148148</v>
      </c>
      <c r="D2766" s="1">
        <v>12.925756</v>
      </c>
      <c r="E2766" s="1">
        <v>80.116852</v>
      </c>
      <c r="F2766" s="1">
        <v>805.0</v>
      </c>
      <c r="G2766" s="1">
        <v>45.0</v>
      </c>
    </row>
    <row r="2767">
      <c r="A2767" s="1" t="s">
        <v>8</v>
      </c>
      <c r="B2767" s="2">
        <v>44719.0</v>
      </c>
      <c r="C2767" s="3">
        <v>0.6982175925925926</v>
      </c>
      <c r="D2767" s="1">
        <v>12.927537</v>
      </c>
      <c r="E2767" s="1">
        <v>80.118639</v>
      </c>
      <c r="F2767" s="1">
        <v>805.0</v>
      </c>
      <c r="G2767" s="1">
        <v>32.0</v>
      </c>
    </row>
    <row r="2768">
      <c r="A2768" s="1" t="s">
        <v>8</v>
      </c>
      <c r="B2768" s="2">
        <v>44719.0</v>
      </c>
      <c r="C2768" s="3">
        <v>0.6996875</v>
      </c>
      <c r="D2768" s="1">
        <v>12.921658</v>
      </c>
      <c r="E2768" s="1">
        <v>80.112529</v>
      </c>
      <c r="F2768" s="1">
        <v>2846.0</v>
      </c>
      <c r="G2768" s="1">
        <v>44.0</v>
      </c>
    </row>
    <row r="2769">
      <c r="A2769" s="1" t="s">
        <v>8</v>
      </c>
      <c r="B2769" s="2">
        <v>44719.0</v>
      </c>
      <c r="C2769" s="3">
        <v>0.6997916666666667</v>
      </c>
      <c r="D2769" s="1">
        <v>12.922452</v>
      </c>
      <c r="E2769" s="1">
        <v>80.113325</v>
      </c>
      <c r="F2769" s="1">
        <v>2846.0</v>
      </c>
      <c r="G2769" s="1">
        <v>43.0</v>
      </c>
    </row>
    <row r="2770">
      <c r="A2770" s="1" t="s">
        <v>8</v>
      </c>
      <c r="B2770" s="2">
        <v>44719.0</v>
      </c>
      <c r="C2770" s="3">
        <v>0.7</v>
      </c>
      <c r="D2770" s="1">
        <v>12.932101</v>
      </c>
      <c r="E2770" s="1">
        <v>80.123198</v>
      </c>
      <c r="F2770" s="1">
        <v>805.0</v>
      </c>
      <c r="G2770" s="1">
        <v>36.0</v>
      </c>
    </row>
    <row r="2771">
      <c r="A2771" s="1" t="s">
        <v>8</v>
      </c>
      <c r="B2771" s="2">
        <v>44719.0</v>
      </c>
      <c r="C2771" s="3">
        <v>0.7007175925925926</v>
      </c>
      <c r="D2771" s="1">
        <v>12.938944</v>
      </c>
      <c r="E2771" s="1">
        <v>80.129461</v>
      </c>
      <c r="F2771" s="1">
        <v>805.0</v>
      </c>
      <c r="G2771" s="1">
        <v>54.0</v>
      </c>
    </row>
    <row r="2772">
      <c r="A2772" s="1" t="s">
        <v>8</v>
      </c>
      <c r="B2772" s="2">
        <v>44719.0</v>
      </c>
      <c r="C2772" s="3">
        <v>0.7008333333333333</v>
      </c>
      <c r="D2772" s="1">
        <v>12.92371</v>
      </c>
      <c r="E2772" s="1">
        <v>80.1174</v>
      </c>
      <c r="F2772" s="1">
        <v>2846.0</v>
      </c>
      <c r="G2772" s="1">
        <v>35.0</v>
      </c>
    </row>
    <row r="2773">
      <c r="A2773" s="1" t="s">
        <v>8</v>
      </c>
      <c r="B2773" s="2">
        <v>44719.0</v>
      </c>
      <c r="C2773" s="3">
        <v>0.7011689814814814</v>
      </c>
      <c r="D2773" s="1">
        <v>12.94255</v>
      </c>
      <c r="E2773" s="1">
        <v>80.133075</v>
      </c>
      <c r="F2773" s="1">
        <v>805.0</v>
      </c>
      <c r="G2773" s="1">
        <v>39.0</v>
      </c>
    </row>
    <row r="2774">
      <c r="A2774" s="1" t="s">
        <v>8</v>
      </c>
      <c r="B2774" s="2">
        <v>44719.0</v>
      </c>
      <c r="C2774" s="3">
        <v>0.7013888888888888</v>
      </c>
      <c r="D2774" s="1">
        <v>12.943211</v>
      </c>
      <c r="E2774" s="1">
        <v>80.133762</v>
      </c>
      <c r="F2774" s="1">
        <v>805.0</v>
      </c>
      <c r="G2774" s="1">
        <v>37.0</v>
      </c>
    </row>
    <row r="2775">
      <c r="A2775" s="1" t="s">
        <v>8</v>
      </c>
      <c r="B2775" s="2">
        <v>44719.0</v>
      </c>
      <c r="C2775" s="3">
        <v>0.7016666666666667</v>
      </c>
      <c r="D2775" s="1">
        <v>12.945634</v>
      </c>
      <c r="E2775" s="1">
        <v>80.135744</v>
      </c>
      <c r="F2775" s="1">
        <v>805.0</v>
      </c>
      <c r="G2775" s="1">
        <v>49.0</v>
      </c>
    </row>
    <row r="2776">
      <c r="A2776" s="1" t="s">
        <v>8</v>
      </c>
      <c r="B2776" s="2">
        <v>44719.0</v>
      </c>
      <c r="C2776" s="3">
        <v>0.7021990740740741</v>
      </c>
      <c r="D2776" s="1">
        <v>12.923061</v>
      </c>
      <c r="E2776" s="1">
        <v>80.125512</v>
      </c>
      <c r="F2776" s="1">
        <v>2846.0</v>
      </c>
      <c r="G2776" s="1">
        <v>19.0</v>
      </c>
    </row>
    <row r="2777">
      <c r="A2777" s="1" t="s">
        <v>8</v>
      </c>
      <c r="B2777" s="2">
        <v>44719.0</v>
      </c>
      <c r="C2777" s="3">
        <v>0.7028587962962963</v>
      </c>
      <c r="D2777" s="1">
        <v>12.953774</v>
      </c>
      <c r="E2777" s="1">
        <v>80.141796</v>
      </c>
      <c r="F2777" s="1">
        <v>805.0</v>
      </c>
      <c r="G2777" s="1">
        <v>48.0</v>
      </c>
    </row>
    <row r="2778">
      <c r="A2778" s="1" t="s">
        <v>8</v>
      </c>
      <c r="B2778" s="2">
        <v>44719.0</v>
      </c>
      <c r="C2778" s="3">
        <v>0.7033564814814814</v>
      </c>
      <c r="D2778" s="1">
        <v>12.922828</v>
      </c>
      <c r="E2778" s="1">
        <v>80.130521</v>
      </c>
      <c r="F2778" s="1">
        <v>2846.0</v>
      </c>
      <c r="G2778" s="1">
        <v>29.0</v>
      </c>
    </row>
    <row r="2779">
      <c r="A2779" s="1" t="s">
        <v>8</v>
      </c>
      <c r="B2779" s="2">
        <v>44719.0</v>
      </c>
      <c r="C2779" s="3">
        <v>0.7043055555555555</v>
      </c>
      <c r="D2779" s="1">
        <v>12.922646</v>
      </c>
      <c r="E2779" s="1">
        <v>80.135086</v>
      </c>
      <c r="F2779" s="1">
        <v>2846.0</v>
      </c>
      <c r="G2779" s="1">
        <v>11.0</v>
      </c>
    </row>
    <row r="2780">
      <c r="A2780" s="1" t="s">
        <v>8</v>
      </c>
      <c r="B2780" s="2">
        <v>44719.0</v>
      </c>
      <c r="C2780" s="3">
        <v>0.7043518518518519</v>
      </c>
      <c r="D2780" s="1">
        <v>12.922613</v>
      </c>
      <c r="E2780" s="1">
        <v>80.135628</v>
      </c>
      <c r="F2780" s="1">
        <v>2846.0</v>
      </c>
      <c r="G2780" s="1">
        <v>27.0</v>
      </c>
    </row>
    <row r="2781">
      <c r="A2781" s="1" t="s">
        <v>8</v>
      </c>
      <c r="B2781" s="2">
        <v>44719.0</v>
      </c>
      <c r="C2781" s="3">
        <v>0.704375</v>
      </c>
      <c r="D2781" s="1">
        <v>12.922613</v>
      </c>
      <c r="E2781" s="1">
        <v>80.135628</v>
      </c>
      <c r="F2781" s="1">
        <v>2846.0</v>
      </c>
      <c r="G2781" s="1">
        <v>27.0</v>
      </c>
    </row>
    <row r="2782">
      <c r="A2782" s="1" t="s">
        <v>8</v>
      </c>
      <c r="B2782" s="2">
        <v>44719.0</v>
      </c>
      <c r="C2782" s="3">
        <v>0.7044444444444444</v>
      </c>
      <c r="D2782" s="1">
        <v>12.922613</v>
      </c>
      <c r="E2782" s="1">
        <v>80.135628</v>
      </c>
      <c r="F2782" s="1">
        <v>2846.0</v>
      </c>
      <c r="G2782" s="1">
        <v>27.0</v>
      </c>
    </row>
    <row r="2783">
      <c r="A2783" s="1" t="s">
        <v>8</v>
      </c>
      <c r="B2783" s="2">
        <v>44719.0</v>
      </c>
      <c r="C2783" s="3">
        <v>0.7044560185185185</v>
      </c>
      <c r="D2783" s="1">
        <v>12.922613</v>
      </c>
      <c r="E2783" s="1">
        <v>80.135628</v>
      </c>
      <c r="F2783" s="1">
        <v>2846.0</v>
      </c>
      <c r="G2783" s="1">
        <v>27.0</v>
      </c>
    </row>
    <row r="2784">
      <c r="A2784" s="1" t="s">
        <v>8</v>
      </c>
      <c r="B2784" s="2">
        <v>44719.0</v>
      </c>
      <c r="C2784" s="3">
        <v>0.7045254629629629</v>
      </c>
      <c r="D2784" s="1">
        <v>12.922613</v>
      </c>
      <c r="E2784" s="1">
        <v>80.135628</v>
      </c>
      <c r="F2784" s="1">
        <v>2846.0</v>
      </c>
      <c r="G2784" s="1">
        <v>27.0</v>
      </c>
    </row>
    <row r="2785">
      <c r="A2785" s="1" t="s">
        <v>8</v>
      </c>
      <c r="B2785" s="2">
        <v>44719.0</v>
      </c>
      <c r="C2785" s="3">
        <v>0.7045370370370371</v>
      </c>
      <c r="D2785" s="1">
        <v>12.922561</v>
      </c>
      <c r="E2785" s="1">
        <v>80.136435</v>
      </c>
      <c r="F2785" s="1">
        <v>2846.0</v>
      </c>
      <c r="G2785" s="1">
        <v>31.0</v>
      </c>
    </row>
    <row r="2786">
      <c r="A2786" s="1" t="s">
        <v>8</v>
      </c>
      <c r="B2786" s="2">
        <v>44719.0</v>
      </c>
      <c r="C2786" s="3">
        <v>0.7045601851851852</v>
      </c>
      <c r="D2786" s="1">
        <v>12.922561</v>
      </c>
      <c r="E2786" s="1">
        <v>80.136435</v>
      </c>
      <c r="F2786" s="1">
        <v>2846.0</v>
      </c>
      <c r="G2786" s="1">
        <v>31.0</v>
      </c>
    </row>
    <row r="2787">
      <c r="A2787" s="1" t="s">
        <v>8</v>
      </c>
      <c r="B2787" s="2">
        <v>44719.0</v>
      </c>
      <c r="C2787" s="3">
        <v>0.7049652777777777</v>
      </c>
      <c r="D2787" s="1">
        <v>12.96452</v>
      </c>
      <c r="E2787" s="1">
        <v>80.147589</v>
      </c>
      <c r="F2787" s="1">
        <v>805.0</v>
      </c>
      <c r="G2787" s="1">
        <v>44.0</v>
      </c>
    </row>
    <row r="2788">
      <c r="A2788" s="1" t="s">
        <v>8</v>
      </c>
      <c r="B2788" s="2">
        <v>44719.0</v>
      </c>
      <c r="C2788" s="3">
        <v>0.7052430555555556</v>
      </c>
      <c r="D2788" s="1">
        <v>12.92246</v>
      </c>
      <c r="E2788" s="1">
        <v>80.138513</v>
      </c>
      <c r="F2788" s="1">
        <v>2846.0</v>
      </c>
      <c r="G2788" s="1">
        <v>24.0</v>
      </c>
    </row>
    <row r="2789">
      <c r="A2789" s="1" t="s">
        <v>7</v>
      </c>
      <c r="B2789" s="2">
        <v>44719.0</v>
      </c>
      <c r="C2789" s="3">
        <v>0.7053935185185185</v>
      </c>
      <c r="D2789" s="1">
        <v>12.966513</v>
      </c>
      <c r="E2789" s="1">
        <v>80.148691</v>
      </c>
      <c r="F2789" s="1">
        <v>805.0</v>
      </c>
      <c r="G2789" s="1">
        <v>47.0</v>
      </c>
    </row>
    <row r="2790">
      <c r="A2790" s="1" t="s">
        <v>7</v>
      </c>
      <c r="B2790" s="2">
        <v>44719.0</v>
      </c>
      <c r="C2790" s="3">
        <v>0.7055208333333334</v>
      </c>
      <c r="D2790" s="1">
        <v>12.966513</v>
      </c>
      <c r="E2790" s="1">
        <v>80.148691</v>
      </c>
      <c r="F2790" s="1">
        <v>805.0</v>
      </c>
      <c r="G2790" s="1">
        <v>47.0</v>
      </c>
    </row>
    <row r="2791">
      <c r="A2791" s="1" t="s">
        <v>7</v>
      </c>
      <c r="B2791" s="2">
        <v>44719.0</v>
      </c>
      <c r="C2791" s="3">
        <v>0.7057638888888889</v>
      </c>
      <c r="D2791" s="1">
        <v>12.972698</v>
      </c>
      <c r="E2791" s="1">
        <v>80.152118</v>
      </c>
      <c r="F2791" s="1">
        <v>805.0</v>
      </c>
      <c r="G2791" s="1">
        <v>57.0</v>
      </c>
    </row>
    <row r="2792">
      <c r="A2792" s="1" t="s">
        <v>8</v>
      </c>
      <c r="B2792" s="2">
        <v>44719.0</v>
      </c>
      <c r="C2792" s="3">
        <v>0.7060416666666667</v>
      </c>
      <c r="D2792" s="1">
        <v>12.972698</v>
      </c>
      <c r="E2792" s="1">
        <v>80.152118</v>
      </c>
      <c r="F2792" s="1">
        <v>805.0</v>
      </c>
      <c r="G2792" s="1">
        <v>57.0</v>
      </c>
    </row>
    <row r="2793">
      <c r="A2793" s="1" t="s">
        <v>8</v>
      </c>
      <c r="B2793" s="2">
        <v>44719.0</v>
      </c>
      <c r="C2793" s="3">
        <v>0.7062268518518519</v>
      </c>
      <c r="D2793" s="1">
        <v>12.975965</v>
      </c>
      <c r="E2793" s="1">
        <v>80.156838</v>
      </c>
      <c r="F2793" s="1">
        <v>805.0</v>
      </c>
      <c r="G2793" s="1">
        <v>55.0</v>
      </c>
    </row>
    <row r="2794">
      <c r="A2794" s="1" t="s">
        <v>8</v>
      </c>
      <c r="B2794" s="2">
        <v>44719.0</v>
      </c>
      <c r="C2794" s="3">
        <v>0.7063773148148148</v>
      </c>
      <c r="D2794" s="1">
        <v>12.922567</v>
      </c>
      <c r="E2794" s="1">
        <v>80.143893</v>
      </c>
      <c r="F2794" s="1">
        <v>2846.0</v>
      </c>
      <c r="G2794" s="1">
        <v>31.0</v>
      </c>
    </row>
    <row r="2795">
      <c r="A2795" s="1" t="s">
        <v>8</v>
      </c>
      <c r="B2795" s="2">
        <v>44719.0</v>
      </c>
      <c r="C2795" s="3">
        <v>0.706412037037037</v>
      </c>
      <c r="D2795" s="1">
        <v>12.922567</v>
      </c>
      <c r="E2795" s="1">
        <v>80.143893</v>
      </c>
      <c r="F2795" s="1">
        <v>2846.0</v>
      </c>
      <c r="G2795" s="1">
        <v>31.0</v>
      </c>
    </row>
    <row r="2796">
      <c r="A2796" s="1" t="s">
        <v>8</v>
      </c>
      <c r="B2796" s="2">
        <v>44719.0</v>
      </c>
      <c r="C2796" s="3">
        <v>0.7070717592592592</v>
      </c>
      <c r="D2796" s="1">
        <v>12.981052</v>
      </c>
      <c r="E2796" s="1">
        <v>80.165866</v>
      </c>
      <c r="F2796" s="1">
        <v>805.0</v>
      </c>
      <c r="G2796" s="1">
        <v>50.0</v>
      </c>
    </row>
    <row r="2797">
      <c r="A2797" s="1" t="s">
        <v>7</v>
      </c>
      <c r="B2797" s="2">
        <v>44719.0</v>
      </c>
      <c r="C2797" s="3">
        <v>0.7071412037037037</v>
      </c>
      <c r="D2797" s="1">
        <v>12.92269</v>
      </c>
      <c r="E2797" s="1">
        <v>80.149136</v>
      </c>
      <c r="F2797" s="1">
        <v>2846.0</v>
      </c>
      <c r="G2797" s="1">
        <v>41.0</v>
      </c>
    </row>
    <row r="2798">
      <c r="A2798" s="1" t="s">
        <v>8</v>
      </c>
      <c r="B2798" s="2">
        <v>44719.0</v>
      </c>
      <c r="C2798" s="3">
        <v>0.7071875</v>
      </c>
      <c r="D2798" s="1">
        <v>12.981052</v>
      </c>
      <c r="E2798" s="1">
        <v>80.165866</v>
      </c>
      <c r="F2798" s="1">
        <v>805.0</v>
      </c>
      <c r="G2798" s="1">
        <v>50.0</v>
      </c>
    </row>
    <row r="2799">
      <c r="A2799" s="1" t="s">
        <v>8</v>
      </c>
      <c r="B2799" s="2">
        <v>44719.0</v>
      </c>
      <c r="C2799" s="3">
        <v>0.7072916666666667</v>
      </c>
      <c r="D2799" s="1">
        <v>12.981052</v>
      </c>
      <c r="E2799" s="1">
        <v>80.165866</v>
      </c>
      <c r="F2799" s="1">
        <v>805.0</v>
      </c>
      <c r="G2799" s="1">
        <v>50.0</v>
      </c>
    </row>
    <row r="2800">
      <c r="A2800" s="1" t="s">
        <v>8</v>
      </c>
      <c r="B2800" s="2">
        <v>44719.0</v>
      </c>
      <c r="C2800" s="3">
        <v>0.7076041666666667</v>
      </c>
      <c r="D2800" s="1">
        <v>12.983869</v>
      </c>
      <c r="E2800" s="1">
        <v>80.170645</v>
      </c>
      <c r="F2800" s="1">
        <v>805.0</v>
      </c>
      <c r="G2800" s="1">
        <v>57.0</v>
      </c>
    </row>
    <row r="2801">
      <c r="A2801" s="1" t="s">
        <v>8</v>
      </c>
      <c r="B2801" s="2">
        <v>44719.0</v>
      </c>
      <c r="C2801" s="3">
        <v>0.7076851851851852</v>
      </c>
      <c r="D2801" s="1">
        <v>12.984598</v>
      </c>
      <c r="E2801" s="1">
        <v>80.171835</v>
      </c>
      <c r="F2801" s="1">
        <v>805.0</v>
      </c>
      <c r="G2801" s="1">
        <v>43.0</v>
      </c>
    </row>
    <row r="2802">
      <c r="A2802" s="1" t="s">
        <v>8</v>
      </c>
      <c r="B2802" s="2">
        <v>44719.0</v>
      </c>
      <c r="C2802" s="3">
        <v>0.7085185185185185</v>
      </c>
      <c r="D2802" s="1">
        <v>12.986796</v>
      </c>
      <c r="E2802" s="1">
        <v>80.175076</v>
      </c>
      <c r="F2802" s="1">
        <v>805.0</v>
      </c>
      <c r="G2802" s="1">
        <v>21.0</v>
      </c>
    </row>
    <row r="2803">
      <c r="A2803" s="1" t="s">
        <v>8</v>
      </c>
      <c r="B2803" s="2">
        <v>44719.0</v>
      </c>
      <c r="C2803" s="3">
        <v>0.708599537037037</v>
      </c>
      <c r="D2803" s="1">
        <v>12.987168</v>
      </c>
      <c r="E2803" s="1">
        <v>80.175592</v>
      </c>
      <c r="F2803" s="1">
        <v>805.0</v>
      </c>
      <c r="G2803" s="1">
        <v>29.0</v>
      </c>
    </row>
    <row r="2804">
      <c r="A2804" s="1" t="s">
        <v>8</v>
      </c>
      <c r="B2804" s="2">
        <v>44719.0</v>
      </c>
      <c r="C2804" s="3">
        <v>0.708599537037037</v>
      </c>
      <c r="D2804" s="1">
        <v>12.987168</v>
      </c>
      <c r="E2804" s="1">
        <v>80.175592</v>
      </c>
      <c r="F2804" s="1">
        <v>805.0</v>
      </c>
      <c r="G2804" s="1">
        <v>29.0</v>
      </c>
    </row>
    <row r="2805">
      <c r="A2805" s="1" t="s">
        <v>8</v>
      </c>
      <c r="B2805" s="2">
        <v>44719.0</v>
      </c>
      <c r="C2805" s="3">
        <v>0.7086111111111111</v>
      </c>
      <c r="D2805" s="1">
        <v>12.987168</v>
      </c>
      <c r="E2805" s="1">
        <v>80.175592</v>
      </c>
      <c r="F2805" s="1">
        <v>805.0</v>
      </c>
      <c r="G2805" s="1">
        <v>29.0</v>
      </c>
    </row>
    <row r="2806">
      <c r="A2806" s="1" t="s">
        <v>7</v>
      </c>
      <c r="B2806" s="2">
        <v>44719.0</v>
      </c>
      <c r="C2806" s="3">
        <v>0.7088310185185185</v>
      </c>
      <c r="D2806" s="1">
        <v>12.923528</v>
      </c>
      <c r="E2806" s="1">
        <v>80.158415</v>
      </c>
      <c r="F2806" s="1">
        <v>2846.0</v>
      </c>
      <c r="G2806" s="1">
        <v>57.0</v>
      </c>
    </row>
    <row r="2807">
      <c r="A2807" s="1" t="s">
        <v>8</v>
      </c>
      <c r="B2807" s="2">
        <v>44719.0</v>
      </c>
      <c r="C2807" s="3">
        <v>0.7090277777777778</v>
      </c>
      <c r="D2807" s="1">
        <v>12.987671</v>
      </c>
      <c r="E2807" s="1">
        <v>80.176282</v>
      </c>
      <c r="F2807" s="1">
        <v>805.0</v>
      </c>
      <c r="G2807" s="1">
        <v>6.0</v>
      </c>
    </row>
    <row r="2808">
      <c r="A2808" s="1" t="s">
        <v>8</v>
      </c>
      <c r="B2808" s="2">
        <v>44719.0</v>
      </c>
      <c r="C2808" s="3">
        <v>0.7094907407407407</v>
      </c>
      <c r="D2808" s="1">
        <v>12.989428</v>
      </c>
      <c r="E2808" s="1">
        <v>80.178603</v>
      </c>
      <c r="F2808" s="1">
        <v>805.0</v>
      </c>
      <c r="G2808" s="1">
        <v>25.0</v>
      </c>
    </row>
    <row r="2809">
      <c r="A2809" s="1" t="s">
        <v>8</v>
      </c>
      <c r="B2809" s="2">
        <v>44719.0</v>
      </c>
      <c r="C2809" s="3">
        <v>0.7095023148148148</v>
      </c>
      <c r="D2809" s="1">
        <v>12.921624</v>
      </c>
      <c r="E2809" s="1">
        <v>80.165548</v>
      </c>
      <c r="F2809" s="1">
        <v>2846.0</v>
      </c>
      <c r="G2809" s="1">
        <v>45.0</v>
      </c>
    </row>
    <row r="2810">
      <c r="A2810" s="1" t="s">
        <v>8</v>
      </c>
      <c r="B2810" s="2">
        <v>44719.0</v>
      </c>
      <c r="C2810" s="3">
        <v>0.7095601851851852</v>
      </c>
      <c r="D2810" s="1">
        <v>12.921624</v>
      </c>
      <c r="E2810" s="1">
        <v>80.165548</v>
      </c>
      <c r="F2810" s="1">
        <v>2846.0</v>
      </c>
      <c r="G2810" s="1">
        <v>45.0</v>
      </c>
    </row>
    <row r="2811">
      <c r="A2811" s="1" t="s">
        <v>8</v>
      </c>
      <c r="B2811" s="2">
        <v>44719.0</v>
      </c>
      <c r="C2811" s="3">
        <v>0.7098611111111112</v>
      </c>
      <c r="D2811" s="1">
        <v>12.992137</v>
      </c>
      <c r="E2811" s="1">
        <v>80.182118</v>
      </c>
      <c r="F2811" s="1">
        <v>805.0</v>
      </c>
      <c r="G2811" s="1">
        <v>43.0</v>
      </c>
    </row>
    <row r="2812">
      <c r="A2812" s="1" t="s">
        <v>8</v>
      </c>
      <c r="B2812" s="2">
        <v>44719.0</v>
      </c>
      <c r="C2812" s="3">
        <v>0.7099421296296297</v>
      </c>
      <c r="D2812" s="1">
        <v>12.992137</v>
      </c>
      <c r="E2812" s="1">
        <v>80.182118</v>
      </c>
      <c r="F2812" s="1">
        <v>805.0</v>
      </c>
      <c r="G2812" s="1">
        <v>43.0</v>
      </c>
    </row>
    <row r="2813">
      <c r="A2813" s="1" t="s">
        <v>7</v>
      </c>
      <c r="B2813" s="2">
        <v>44719.0</v>
      </c>
      <c r="C2813" s="3">
        <v>0.7104282407407407</v>
      </c>
      <c r="D2813" s="1">
        <v>12.919134</v>
      </c>
      <c r="E2813" s="1">
        <v>80.173724</v>
      </c>
      <c r="F2813" s="1">
        <v>2846.0</v>
      </c>
      <c r="G2813" s="1">
        <v>47.0</v>
      </c>
    </row>
    <row r="2814">
      <c r="A2814" s="1" t="s">
        <v>7</v>
      </c>
      <c r="B2814" s="2">
        <v>44719.0</v>
      </c>
      <c r="C2814" s="3">
        <v>0.7106597222222222</v>
      </c>
      <c r="D2814" s="1">
        <v>12.918825</v>
      </c>
      <c r="E2814" s="1">
        <v>80.174962</v>
      </c>
      <c r="F2814" s="1">
        <v>2846.0</v>
      </c>
      <c r="G2814" s="1">
        <v>53.0</v>
      </c>
    </row>
    <row r="2815">
      <c r="A2815" s="1" t="s">
        <v>8</v>
      </c>
      <c r="B2815" s="2">
        <v>44719.0</v>
      </c>
      <c r="C2815" s="3">
        <v>0.7117824074074074</v>
      </c>
      <c r="D2815" s="1">
        <v>12.992797</v>
      </c>
      <c r="E2815" s="1">
        <v>80.183105</v>
      </c>
      <c r="F2815" s="1">
        <v>805.0</v>
      </c>
      <c r="G2815" s="1">
        <v>45.0</v>
      </c>
    </row>
    <row r="2816">
      <c r="A2816" s="1" t="s">
        <v>8</v>
      </c>
      <c r="B2816" s="2">
        <v>44719.0</v>
      </c>
      <c r="C2816" s="3">
        <v>0.7122569444444444</v>
      </c>
      <c r="D2816" s="1">
        <v>12.992797</v>
      </c>
      <c r="E2816" s="1">
        <v>80.183105</v>
      </c>
      <c r="F2816" s="1">
        <v>805.0</v>
      </c>
      <c r="G2816" s="1">
        <v>45.0</v>
      </c>
    </row>
    <row r="2817">
      <c r="A2817" s="1" t="s">
        <v>8</v>
      </c>
      <c r="B2817" s="2">
        <v>44719.0</v>
      </c>
      <c r="C2817" s="3">
        <v>0.7130787037037037</v>
      </c>
      <c r="D2817" s="1">
        <v>13.000885</v>
      </c>
      <c r="E2817" s="1">
        <v>80.19507</v>
      </c>
      <c r="F2817" s="1">
        <v>805.0</v>
      </c>
      <c r="G2817" s="1">
        <v>19.0</v>
      </c>
    </row>
    <row r="2818">
      <c r="A2818" s="1" t="s">
        <v>8</v>
      </c>
      <c r="B2818" s="2">
        <v>44719.0</v>
      </c>
      <c r="C2818" s="3">
        <v>0.713125</v>
      </c>
      <c r="D2818" s="1">
        <v>13.001241</v>
      </c>
      <c r="E2818" s="1">
        <v>80.195531</v>
      </c>
      <c r="F2818" s="1">
        <v>805.0</v>
      </c>
      <c r="G2818" s="1">
        <v>9.0</v>
      </c>
    </row>
    <row r="2819">
      <c r="A2819" s="1" t="s">
        <v>8</v>
      </c>
      <c r="B2819" s="2">
        <v>44719.0</v>
      </c>
      <c r="C2819" s="3">
        <v>0.713287037037037</v>
      </c>
      <c r="D2819" s="1">
        <v>13.001241</v>
      </c>
      <c r="E2819" s="1">
        <v>80.195531</v>
      </c>
      <c r="F2819" s="1">
        <v>805.0</v>
      </c>
      <c r="G2819" s="1">
        <v>9.0</v>
      </c>
    </row>
    <row r="2820">
      <c r="A2820" s="1" t="s">
        <v>8</v>
      </c>
      <c r="B2820" s="2">
        <v>44719.0</v>
      </c>
      <c r="C2820" s="3">
        <v>0.7133217592592592</v>
      </c>
      <c r="D2820" s="1">
        <v>13.002058</v>
      </c>
      <c r="E2820" s="1">
        <v>80.19789</v>
      </c>
      <c r="F2820" s="1">
        <v>805.0</v>
      </c>
      <c r="G2820" s="1">
        <v>47.0</v>
      </c>
    </row>
    <row r="2821">
      <c r="A2821" s="1" t="s">
        <v>8</v>
      </c>
      <c r="B2821" s="2">
        <v>44719.0</v>
      </c>
      <c r="C2821" s="3">
        <v>0.7134143518518519</v>
      </c>
      <c r="D2821" s="1">
        <v>13.001862</v>
      </c>
      <c r="E2821" s="1">
        <v>80.199532</v>
      </c>
      <c r="F2821" s="1">
        <v>805.0</v>
      </c>
      <c r="G2821" s="1">
        <v>40.0</v>
      </c>
    </row>
    <row r="2822">
      <c r="A2822" s="1" t="s">
        <v>8</v>
      </c>
      <c r="B2822" s="2">
        <v>44719.0</v>
      </c>
      <c r="C2822" s="3">
        <v>0.7135648148148148</v>
      </c>
      <c r="D2822" s="1">
        <v>13.002841</v>
      </c>
      <c r="E2822" s="1">
        <v>80.20063</v>
      </c>
      <c r="F2822" s="1">
        <v>805.0</v>
      </c>
      <c r="G2822" s="1">
        <v>38.0</v>
      </c>
    </row>
    <row r="2823">
      <c r="A2823" s="1" t="s">
        <v>8</v>
      </c>
      <c r="B2823" s="2">
        <v>44719.0</v>
      </c>
      <c r="C2823" s="3">
        <v>0.7136342592592593</v>
      </c>
      <c r="D2823" s="1">
        <v>13.003827</v>
      </c>
      <c r="E2823" s="1">
        <v>80.200896</v>
      </c>
      <c r="F2823" s="1">
        <v>805.0</v>
      </c>
      <c r="G2823" s="1">
        <v>37.0</v>
      </c>
    </row>
    <row r="2824">
      <c r="A2824" s="1" t="s">
        <v>8</v>
      </c>
      <c r="B2824" s="2">
        <v>44719.0</v>
      </c>
      <c r="C2824" s="3">
        <v>0.7138310185185185</v>
      </c>
      <c r="D2824" s="1">
        <v>13.004648</v>
      </c>
      <c r="E2824" s="1">
        <v>80.20116</v>
      </c>
      <c r="F2824" s="1">
        <v>805.0</v>
      </c>
      <c r="G2824" s="1">
        <v>35.0</v>
      </c>
    </row>
    <row r="2825">
      <c r="A2825" s="1" t="s">
        <v>8</v>
      </c>
      <c r="B2825" s="2">
        <v>44719.0</v>
      </c>
      <c r="C2825" s="3">
        <v>0.7141666666666666</v>
      </c>
      <c r="D2825" s="1">
        <v>13.006299</v>
      </c>
      <c r="E2825" s="1">
        <v>80.202945</v>
      </c>
      <c r="F2825" s="1">
        <v>805.0</v>
      </c>
      <c r="G2825" s="1">
        <v>43.0</v>
      </c>
    </row>
    <row r="2826">
      <c r="A2826" s="1" t="s">
        <v>10</v>
      </c>
      <c r="B2826" s="2">
        <v>44719.0</v>
      </c>
      <c r="C2826" s="3">
        <v>0.7150462962962963</v>
      </c>
      <c r="D2826" s="1">
        <v>12.933074</v>
      </c>
      <c r="E2826" s="1">
        <v>80.181794</v>
      </c>
      <c r="F2826" s="1">
        <v>2846.0</v>
      </c>
      <c r="G2826" s="1">
        <v>14.0</v>
      </c>
    </row>
    <row r="2827">
      <c r="A2827" s="1" t="s">
        <v>7</v>
      </c>
      <c r="B2827" s="2">
        <v>44719.0</v>
      </c>
      <c r="C2827" s="3">
        <v>0.7156481481481481</v>
      </c>
      <c r="D2827" s="1">
        <v>13.009147</v>
      </c>
      <c r="E2827" s="1">
        <v>80.212139</v>
      </c>
      <c r="F2827" s="1">
        <v>805.0</v>
      </c>
      <c r="G2827" s="1">
        <v>40.0</v>
      </c>
    </row>
    <row r="2828">
      <c r="A2828" s="1" t="s">
        <v>8</v>
      </c>
      <c r="B2828" s="2">
        <v>44719.0</v>
      </c>
      <c r="C2828" s="3">
        <v>0.715787037037037</v>
      </c>
      <c r="D2828" s="1">
        <v>13.009638</v>
      </c>
      <c r="E2828" s="1">
        <v>80.21341</v>
      </c>
      <c r="F2828" s="1">
        <v>805.0</v>
      </c>
      <c r="G2828" s="1">
        <v>50.0</v>
      </c>
    </row>
    <row r="2829">
      <c r="A2829" s="1" t="s">
        <v>8</v>
      </c>
      <c r="B2829" s="2">
        <v>44719.0</v>
      </c>
      <c r="C2829" s="3">
        <v>0.7158333333333333</v>
      </c>
      <c r="D2829" s="1">
        <v>13.009638</v>
      </c>
      <c r="E2829" s="1">
        <v>80.21341</v>
      </c>
      <c r="F2829" s="1">
        <v>805.0</v>
      </c>
      <c r="G2829" s="1">
        <v>50.0</v>
      </c>
    </row>
    <row r="2830">
      <c r="A2830" s="1" t="s">
        <v>8</v>
      </c>
      <c r="B2830" s="2">
        <v>44719.0</v>
      </c>
      <c r="C2830" s="3">
        <v>0.7158564814814815</v>
      </c>
      <c r="D2830" s="1">
        <v>13.010131</v>
      </c>
      <c r="E2830" s="1">
        <v>80.214712</v>
      </c>
      <c r="F2830" s="1">
        <v>805.0</v>
      </c>
      <c r="G2830" s="1">
        <v>43.0</v>
      </c>
    </row>
    <row r="2831">
      <c r="A2831" s="1" t="s">
        <v>8</v>
      </c>
      <c r="B2831" s="2">
        <v>44719.0</v>
      </c>
      <c r="C2831" s="3">
        <v>0.716087962962963</v>
      </c>
      <c r="D2831" s="1">
        <v>13.010623</v>
      </c>
      <c r="E2831" s="1">
        <v>80.216483</v>
      </c>
      <c r="F2831" s="1">
        <v>805.0</v>
      </c>
      <c r="G2831" s="1">
        <v>44.0</v>
      </c>
    </row>
    <row r="2832">
      <c r="A2832" s="1" t="s">
        <v>8</v>
      </c>
      <c r="B2832" s="2">
        <v>44719.0</v>
      </c>
      <c r="C2832" s="3">
        <v>0.7161458333333334</v>
      </c>
      <c r="D2832" s="1">
        <v>13.010623</v>
      </c>
      <c r="E2832" s="1">
        <v>80.216483</v>
      </c>
      <c r="F2832" s="1">
        <v>805.0</v>
      </c>
      <c r="G2832" s="1">
        <v>44.0</v>
      </c>
    </row>
    <row r="2833">
      <c r="A2833" s="1" t="s">
        <v>8</v>
      </c>
      <c r="B2833" s="2">
        <v>44719.0</v>
      </c>
      <c r="C2833" s="3">
        <v>0.7167129629629629</v>
      </c>
      <c r="D2833" s="1">
        <v>13.011554</v>
      </c>
      <c r="E2833" s="1">
        <v>80.218631</v>
      </c>
      <c r="F2833" s="1">
        <v>805.0</v>
      </c>
      <c r="G2833" s="1">
        <v>0.0</v>
      </c>
    </row>
    <row r="2834">
      <c r="A2834" s="1" t="s">
        <v>8</v>
      </c>
      <c r="B2834" s="2">
        <v>44719.0</v>
      </c>
      <c r="C2834" s="3">
        <v>0.7167476851851852</v>
      </c>
      <c r="D2834" s="1">
        <v>13.012948</v>
      </c>
      <c r="E2834" s="1">
        <v>80.221991</v>
      </c>
      <c r="F2834" s="1">
        <v>805.0</v>
      </c>
      <c r="G2834" s="1">
        <v>46.0</v>
      </c>
    </row>
    <row r="2835">
      <c r="A2835" s="1" t="s">
        <v>8</v>
      </c>
      <c r="B2835" s="2">
        <v>44719.0</v>
      </c>
      <c r="C2835" s="3">
        <v>0.7169328703703703</v>
      </c>
      <c r="D2835" s="1">
        <v>13.012948</v>
      </c>
      <c r="E2835" s="1">
        <v>80.221991</v>
      </c>
      <c r="F2835" s="1">
        <v>805.0</v>
      </c>
      <c r="G2835" s="1">
        <v>46.0</v>
      </c>
    </row>
    <row r="2836">
      <c r="A2836" s="1" t="s">
        <v>8</v>
      </c>
      <c r="B2836" s="2">
        <v>44719.0</v>
      </c>
      <c r="C2836" s="3">
        <v>0.7183680555555556</v>
      </c>
      <c r="D2836" s="1">
        <v>13.02002</v>
      </c>
      <c r="E2836" s="1">
        <v>80.224675</v>
      </c>
      <c r="F2836" s="1">
        <v>805.0</v>
      </c>
      <c r="G2836" s="1">
        <v>22.0</v>
      </c>
    </row>
    <row r="2837">
      <c r="A2837" s="1" t="s">
        <v>8</v>
      </c>
      <c r="B2837" s="2">
        <v>44719.0</v>
      </c>
      <c r="C2837" s="3">
        <v>0.7185300925925926</v>
      </c>
      <c r="D2837" s="1">
        <v>13.020846</v>
      </c>
      <c r="E2837" s="1">
        <v>80.225305</v>
      </c>
      <c r="F2837" s="1">
        <v>805.0</v>
      </c>
      <c r="G2837" s="1">
        <v>32.0</v>
      </c>
    </row>
    <row r="2838">
      <c r="A2838" s="1" t="s">
        <v>8</v>
      </c>
      <c r="B2838" s="2">
        <v>44719.0</v>
      </c>
      <c r="C2838" s="3">
        <v>0.7187152777777778</v>
      </c>
      <c r="D2838" s="1">
        <v>13.02165</v>
      </c>
      <c r="E2838" s="1">
        <v>80.225876</v>
      </c>
      <c r="F2838" s="1">
        <v>805.0</v>
      </c>
      <c r="G2838" s="1">
        <v>38.0</v>
      </c>
    </row>
    <row r="2839">
      <c r="A2839" s="1" t="s">
        <v>8</v>
      </c>
      <c r="B2839" s="2">
        <v>44719.0</v>
      </c>
      <c r="C2839" s="3">
        <v>0.7187962962962963</v>
      </c>
      <c r="D2839" s="1">
        <v>13.02289</v>
      </c>
      <c r="E2839" s="1">
        <v>80.226932</v>
      </c>
      <c r="F2839" s="1">
        <v>805.0</v>
      </c>
      <c r="G2839" s="1">
        <v>46.0</v>
      </c>
    </row>
    <row r="2840">
      <c r="A2840" s="1" t="s">
        <v>8</v>
      </c>
      <c r="B2840" s="2">
        <v>44719.0</v>
      </c>
      <c r="C2840" s="3">
        <v>0.7188657407407407</v>
      </c>
      <c r="D2840" s="1">
        <v>13.02289</v>
      </c>
      <c r="E2840" s="1">
        <v>80.226932</v>
      </c>
      <c r="F2840" s="1">
        <v>805.0</v>
      </c>
      <c r="G2840" s="1">
        <v>46.0</v>
      </c>
    </row>
    <row r="2841">
      <c r="A2841" s="1" t="s">
        <v>10</v>
      </c>
      <c r="B2841" s="2">
        <v>44719.0</v>
      </c>
      <c r="C2841" s="3">
        <v>0.7197800925925926</v>
      </c>
      <c r="D2841" s="1">
        <v>12.9512</v>
      </c>
      <c r="E2841" s="1">
        <v>80.185876</v>
      </c>
      <c r="F2841" s="1">
        <v>2846.0</v>
      </c>
      <c r="G2841" s="1">
        <v>9.0</v>
      </c>
    </row>
    <row r="2842">
      <c r="A2842" s="1" t="s">
        <v>8</v>
      </c>
      <c r="B2842" s="2">
        <v>44719.0</v>
      </c>
      <c r="C2842" s="3">
        <v>0.7204976851851852</v>
      </c>
      <c r="D2842" s="1">
        <v>13.025699</v>
      </c>
      <c r="E2842" s="1">
        <v>80.230298</v>
      </c>
      <c r="F2842" s="1">
        <v>805.0</v>
      </c>
      <c r="G2842" s="1">
        <v>17.0</v>
      </c>
    </row>
    <row r="2843">
      <c r="A2843" s="1" t="s">
        <v>10</v>
      </c>
      <c r="B2843" s="2">
        <v>44719.0</v>
      </c>
      <c r="C2843" s="3">
        <v>0.7206365740740741</v>
      </c>
      <c r="D2843" s="1">
        <v>12.955127</v>
      </c>
      <c r="E2843" s="1">
        <v>80.186705</v>
      </c>
      <c r="F2843" s="1">
        <v>2846.0</v>
      </c>
      <c r="G2843" s="1">
        <v>16.0</v>
      </c>
    </row>
    <row r="2844">
      <c r="A2844" s="1" t="s">
        <v>8</v>
      </c>
      <c r="B2844" s="2">
        <v>44719.0</v>
      </c>
      <c r="C2844" s="3">
        <v>0.7206597222222222</v>
      </c>
      <c r="D2844" s="1">
        <v>13.025699</v>
      </c>
      <c r="E2844" s="1">
        <v>80.230298</v>
      </c>
      <c r="F2844" s="1">
        <v>805.0</v>
      </c>
      <c r="G2844" s="1">
        <v>17.0</v>
      </c>
    </row>
    <row r="2845">
      <c r="A2845" s="1" t="s">
        <v>8</v>
      </c>
      <c r="B2845" s="2">
        <v>44719.0</v>
      </c>
      <c r="C2845" s="3">
        <v>0.720925925925926</v>
      </c>
      <c r="D2845" s="1">
        <v>13.025699</v>
      </c>
      <c r="E2845" s="1">
        <v>80.230298</v>
      </c>
      <c r="F2845" s="1">
        <v>805.0</v>
      </c>
      <c r="G2845" s="1">
        <v>17.0</v>
      </c>
    </row>
    <row r="2846">
      <c r="A2846" s="1" t="s">
        <v>8</v>
      </c>
      <c r="B2846" s="2">
        <v>44719.0</v>
      </c>
      <c r="C2846" s="3">
        <v>0.7210069444444445</v>
      </c>
      <c r="D2846" s="1">
        <v>13.025699</v>
      </c>
      <c r="E2846" s="1">
        <v>80.230298</v>
      </c>
      <c r="F2846" s="1">
        <v>805.0</v>
      </c>
      <c r="G2846" s="1">
        <v>17.0</v>
      </c>
    </row>
    <row r="2847">
      <c r="A2847" s="1" t="s">
        <v>8</v>
      </c>
      <c r="B2847" s="2">
        <v>44719.0</v>
      </c>
      <c r="C2847" s="3">
        <v>0.7210185185185185</v>
      </c>
      <c r="D2847" s="1">
        <v>13.025699</v>
      </c>
      <c r="E2847" s="1">
        <v>80.230298</v>
      </c>
      <c r="F2847" s="1">
        <v>805.0</v>
      </c>
      <c r="G2847" s="1">
        <v>17.0</v>
      </c>
    </row>
    <row r="2848">
      <c r="A2848" s="1" t="s">
        <v>8</v>
      </c>
      <c r="B2848" s="2">
        <v>44719.0</v>
      </c>
      <c r="C2848" s="3">
        <v>0.7210416666666667</v>
      </c>
      <c r="D2848" s="1">
        <v>13.025699</v>
      </c>
      <c r="E2848" s="1">
        <v>80.230298</v>
      </c>
      <c r="F2848" s="1">
        <v>805.0</v>
      </c>
      <c r="G2848" s="1">
        <v>17.0</v>
      </c>
    </row>
    <row r="2849">
      <c r="A2849" s="1" t="s">
        <v>8</v>
      </c>
      <c r="B2849" s="2">
        <v>44719.0</v>
      </c>
      <c r="C2849" s="3">
        <v>0.7210763888888889</v>
      </c>
      <c r="D2849" s="1">
        <v>13.025699</v>
      </c>
      <c r="E2849" s="1">
        <v>80.230298</v>
      </c>
      <c r="F2849" s="1">
        <v>805.0</v>
      </c>
      <c r="G2849" s="1">
        <v>17.0</v>
      </c>
    </row>
    <row r="2850">
      <c r="A2850" s="1" t="s">
        <v>8</v>
      </c>
      <c r="B2850" s="2">
        <v>44719.0</v>
      </c>
      <c r="C2850" s="3">
        <v>0.721087962962963</v>
      </c>
      <c r="D2850" s="1">
        <v>13.025699</v>
      </c>
      <c r="E2850" s="1">
        <v>80.230298</v>
      </c>
      <c r="F2850" s="1">
        <v>805.0</v>
      </c>
      <c r="G2850" s="1">
        <v>17.0</v>
      </c>
    </row>
    <row r="2851">
      <c r="A2851" s="1" t="s">
        <v>8</v>
      </c>
      <c r="B2851" s="2">
        <v>44719.0</v>
      </c>
      <c r="C2851" s="3">
        <v>0.721099537037037</v>
      </c>
      <c r="D2851" s="1">
        <v>13.025699</v>
      </c>
      <c r="E2851" s="1">
        <v>80.230298</v>
      </c>
      <c r="F2851" s="1">
        <v>805.0</v>
      </c>
      <c r="G2851" s="1">
        <v>17.0</v>
      </c>
    </row>
    <row r="2852">
      <c r="A2852" s="1" t="s">
        <v>8</v>
      </c>
      <c r="B2852" s="2">
        <v>44719.0</v>
      </c>
      <c r="C2852" s="3">
        <v>0.7212384259259259</v>
      </c>
      <c r="D2852" s="1">
        <v>13.025699</v>
      </c>
      <c r="E2852" s="1">
        <v>80.230298</v>
      </c>
      <c r="F2852" s="1">
        <v>805.0</v>
      </c>
      <c r="G2852" s="1">
        <v>17.0</v>
      </c>
    </row>
    <row r="2853">
      <c r="A2853" s="1" t="s">
        <v>8</v>
      </c>
      <c r="B2853" s="2">
        <v>44719.0</v>
      </c>
      <c r="C2853" s="3">
        <v>0.7221064814814815</v>
      </c>
      <c r="D2853" s="1">
        <v>13.031354</v>
      </c>
      <c r="E2853" s="1">
        <v>80.240127</v>
      </c>
      <c r="F2853" s="1">
        <v>805.0</v>
      </c>
      <c r="G2853" s="1">
        <v>13.0</v>
      </c>
    </row>
    <row r="2854">
      <c r="A2854" s="1" t="s">
        <v>8</v>
      </c>
      <c r="B2854" s="2">
        <v>44719.0</v>
      </c>
      <c r="C2854" s="3">
        <v>0.7227314814814815</v>
      </c>
      <c r="D2854" s="1">
        <v>13.033187</v>
      </c>
      <c r="E2854" s="1">
        <v>80.243371</v>
      </c>
      <c r="F2854" s="1">
        <v>805.0</v>
      </c>
      <c r="G2854" s="1">
        <v>4.0</v>
      </c>
    </row>
    <row r="2855">
      <c r="A2855" s="1" t="s">
        <v>9</v>
      </c>
      <c r="B2855" s="2">
        <v>44719.0</v>
      </c>
      <c r="C2855" s="3">
        <v>0.7228240740740741</v>
      </c>
      <c r="D2855" s="1">
        <v>13.033378</v>
      </c>
      <c r="E2855" s="1">
        <v>80.243633</v>
      </c>
      <c r="F2855" s="1">
        <v>805.0</v>
      </c>
      <c r="G2855" s="1">
        <v>20.0</v>
      </c>
    </row>
    <row r="2856">
      <c r="A2856" s="1" t="s">
        <v>10</v>
      </c>
      <c r="B2856" s="2">
        <v>44719.0</v>
      </c>
      <c r="C2856" s="3">
        <v>0.7232986111111112</v>
      </c>
      <c r="D2856" s="1">
        <v>12.96096</v>
      </c>
      <c r="E2856" s="1">
        <v>80.187209</v>
      </c>
      <c r="F2856" s="1">
        <v>2846.0</v>
      </c>
      <c r="G2856" s="1">
        <v>0.0</v>
      </c>
    </row>
    <row r="2857">
      <c r="A2857" s="1" t="s">
        <v>8</v>
      </c>
      <c r="B2857" s="2">
        <v>44719.0</v>
      </c>
      <c r="C2857" s="3">
        <v>0.7235532407407408</v>
      </c>
      <c r="D2857" s="1">
        <v>13.037061</v>
      </c>
      <c r="E2857" s="1">
        <v>80.246337</v>
      </c>
      <c r="F2857" s="1">
        <v>805.0</v>
      </c>
      <c r="G2857" s="1">
        <v>44.0</v>
      </c>
    </row>
    <row r="2858">
      <c r="A2858" s="1" t="s">
        <v>8</v>
      </c>
      <c r="B2858" s="2">
        <v>44719.0</v>
      </c>
      <c r="C2858" s="3">
        <v>0.7235532407407408</v>
      </c>
      <c r="D2858" s="1">
        <v>13.037061</v>
      </c>
      <c r="E2858" s="1">
        <v>80.246337</v>
      </c>
      <c r="F2858" s="1">
        <v>805.0</v>
      </c>
      <c r="G2858" s="1">
        <v>44.0</v>
      </c>
    </row>
    <row r="2859">
      <c r="A2859" s="1" t="s">
        <v>10</v>
      </c>
      <c r="B2859" s="2">
        <v>44719.0</v>
      </c>
      <c r="C2859" s="3">
        <v>0.7256944444444444</v>
      </c>
      <c r="D2859" s="1">
        <v>12.965042</v>
      </c>
      <c r="E2859" s="1">
        <v>80.193199</v>
      </c>
      <c r="F2859" s="1">
        <v>2846.0</v>
      </c>
      <c r="G2859" s="1">
        <v>11.0</v>
      </c>
    </row>
    <row r="2860">
      <c r="A2860" s="1" t="s">
        <v>10</v>
      </c>
      <c r="B2860" s="2">
        <v>44719.0</v>
      </c>
      <c r="C2860" s="3">
        <v>0.7264930555555555</v>
      </c>
      <c r="D2860" s="1">
        <v>12.964651</v>
      </c>
      <c r="E2860" s="1">
        <v>80.19601</v>
      </c>
      <c r="F2860" s="1">
        <v>2846.0</v>
      </c>
      <c r="G2860" s="1">
        <v>10.0</v>
      </c>
    </row>
    <row r="2861">
      <c r="A2861" s="1" t="s">
        <v>8</v>
      </c>
      <c r="B2861" s="2">
        <v>44719.0</v>
      </c>
      <c r="C2861" s="3">
        <v>0.7269907407407408</v>
      </c>
      <c r="D2861" s="1">
        <v>13.046659</v>
      </c>
      <c r="E2861" s="1">
        <v>80.248243</v>
      </c>
      <c r="F2861" s="1">
        <v>805.0</v>
      </c>
      <c r="G2861" s="1">
        <v>35.0</v>
      </c>
    </row>
    <row r="2862">
      <c r="A2862" s="1" t="s">
        <v>10</v>
      </c>
      <c r="B2862" s="2">
        <v>44719.0</v>
      </c>
      <c r="C2862" s="3">
        <v>0.7270717592592593</v>
      </c>
      <c r="D2862" s="1">
        <v>12.96479</v>
      </c>
      <c r="E2862" s="1">
        <v>80.197326</v>
      </c>
      <c r="F2862" s="1">
        <v>2846.0</v>
      </c>
      <c r="G2862" s="1">
        <v>30.0</v>
      </c>
    </row>
    <row r="2863">
      <c r="A2863" s="1" t="s">
        <v>8</v>
      </c>
      <c r="B2863" s="2">
        <v>44719.0</v>
      </c>
      <c r="C2863" s="3">
        <v>0.7271296296296297</v>
      </c>
      <c r="D2863" s="1">
        <v>13.047267</v>
      </c>
      <c r="E2863" s="1">
        <v>80.248423</v>
      </c>
      <c r="F2863" s="1">
        <v>805.0</v>
      </c>
      <c r="G2863" s="1">
        <v>24.0</v>
      </c>
    </row>
    <row r="2864">
      <c r="A2864" s="1" t="s">
        <v>8</v>
      </c>
      <c r="B2864" s="2">
        <v>44719.0</v>
      </c>
      <c r="C2864" s="3">
        <v>0.7271412037037037</v>
      </c>
      <c r="D2864" s="1">
        <v>13.04786</v>
      </c>
      <c r="E2864" s="1">
        <v>80.248901</v>
      </c>
      <c r="F2864" s="1">
        <v>805.0</v>
      </c>
      <c r="G2864" s="1">
        <v>30.0</v>
      </c>
    </row>
    <row r="2865">
      <c r="A2865" s="1" t="s">
        <v>10</v>
      </c>
      <c r="B2865" s="2">
        <v>44719.0</v>
      </c>
      <c r="C2865" s="3">
        <v>0.7272800925925926</v>
      </c>
      <c r="D2865" s="1">
        <v>13.04786</v>
      </c>
      <c r="E2865" s="1">
        <v>80.248901</v>
      </c>
      <c r="F2865" s="1">
        <v>805.0</v>
      </c>
      <c r="G2865" s="1">
        <v>30.0</v>
      </c>
    </row>
    <row r="2866">
      <c r="A2866" s="1" t="s">
        <v>8</v>
      </c>
      <c r="B2866" s="2">
        <v>44719.0</v>
      </c>
      <c r="C2866" s="3">
        <v>0.7278472222222222</v>
      </c>
      <c r="D2866" s="1">
        <v>13.049039</v>
      </c>
      <c r="E2866" s="1">
        <v>80.249575</v>
      </c>
      <c r="F2866" s="1">
        <v>805.0</v>
      </c>
      <c r="G2866" s="1">
        <v>0.0</v>
      </c>
    </row>
    <row r="2867">
      <c r="A2867" s="1" t="s">
        <v>8</v>
      </c>
      <c r="B2867" s="2">
        <v>44719.0</v>
      </c>
      <c r="C2867" s="3">
        <v>0.7280671296296296</v>
      </c>
      <c r="D2867" s="1">
        <v>13.052639</v>
      </c>
      <c r="E2867" s="1">
        <v>80.251336</v>
      </c>
      <c r="F2867" s="1">
        <v>805.0</v>
      </c>
      <c r="G2867" s="1">
        <v>33.0</v>
      </c>
    </row>
    <row r="2868">
      <c r="A2868" s="1" t="s">
        <v>10</v>
      </c>
      <c r="B2868" s="2">
        <v>44719.0</v>
      </c>
      <c r="C2868" s="3">
        <v>0.7281365740740741</v>
      </c>
      <c r="D2868" s="1">
        <v>12.965335</v>
      </c>
      <c r="E2868" s="1">
        <v>80.201343</v>
      </c>
      <c r="F2868" s="1">
        <v>2846.0</v>
      </c>
      <c r="G2868" s="1">
        <v>24.0</v>
      </c>
    </row>
    <row r="2869">
      <c r="A2869" s="1" t="s">
        <v>8</v>
      </c>
      <c r="B2869" s="2">
        <v>44719.0</v>
      </c>
      <c r="C2869" s="3">
        <v>0.7288888888888889</v>
      </c>
      <c r="D2869" s="1">
        <v>13.055292</v>
      </c>
      <c r="E2869" s="1">
        <v>80.254886</v>
      </c>
      <c r="F2869" s="1">
        <v>805.0</v>
      </c>
      <c r="G2869" s="1">
        <v>17.0</v>
      </c>
    </row>
    <row r="2870">
      <c r="A2870" s="1" t="s">
        <v>8</v>
      </c>
      <c r="B2870" s="2">
        <v>44719.0</v>
      </c>
      <c r="C2870" s="3">
        <v>0.7300578703703704</v>
      </c>
      <c r="D2870" s="1">
        <v>13.055821</v>
      </c>
      <c r="E2870" s="1">
        <v>80.257635</v>
      </c>
      <c r="F2870" s="1">
        <v>805.0</v>
      </c>
      <c r="G2870" s="1">
        <v>20.0</v>
      </c>
    </row>
    <row r="2871">
      <c r="A2871" s="1" t="s">
        <v>8</v>
      </c>
      <c r="B2871" s="2">
        <v>44719.0</v>
      </c>
      <c r="C2871" s="3">
        <v>0.7300578703703704</v>
      </c>
      <c r="D2871" s="1">
        <v>13.055821</v>
      </c>
      <c r="E2871" s="1">
        <v>80.257635</v>
      </c>
      <c r="F2871" s="1">
        <v>805.0</v>
      </c>
      <c r="G2871" s="1">
        <v>20.0</v>
      </c>
    </row>
    <row r="2872">
      <c r="A2872" s="1" t="s">
        <v>8</v>
      </c>
      <c r="B2872" s="2">
        <v>44719.0</v>
      </c>
      <c r="C2872" s="3">
        <v>0.7301273148148149</v>
      </c>
      <c r="D2872" s="1">
        <v>13.055821</v>
      </c>
      <c r="E2872" s="1">
        <v>80.257635</v>
      </c>
      <c r="F2872" s="1">
        <v>805.0</v>
      </c>
      <c r="G2872" s="1">
        <v>20.0</v>
      </c>
    </row>
    <row r="2873">
      <c r="A2873" s="1" t="s">
        <v>8</v>
      </c>
      <c r="B2873" s="2">
        <v>44719.0</v>
      </c>
      <c r="C2873" s="3">
        <v>0.7335879629629629</v>
      </c>
      <c r="D2873" s="1">
        <v>12.976836</v>
      </c>
      <c r="E2873" s="1">
        <v>80.222511</v>
      </c>
      <c r="F2873" s="1">
        <v>2846.0</v>
      </c>
      <c r="G2873" s="1">
        <v>35.0</v>
      </c>
    </row>
    <row r="2874">
      <c r="A2874" s="1" t="s">
        <v>10</v>
      </c>
      <c r="B2874" s="2">
        <v>44719.0</v>
      </c>
      <c r="C2874" s="3">
        <v>0.7339930555555556</v>
      </c>
      <c r="D2874" s="1">
        <v>12.978324</v>
      </c>
      <c r="E2874" s="1">
        <v>80.224858</v>
      </c>
      <c r="F2874" s="1">
        <v>2846.0</v>
      </c>
      <c r="G2874" s="1">
        <v>26.0</v>
      </c>
    </row>
    <row r="2875">
      <c r="A2875" s="1" t="s">
        <v>10</v>
      </c>
      <c r="B2875" s="2">
        <v>44719.0</v>
      </c>
      <c r="C2875" s="3">
        <v>0.7345486111111111</v>
      </c>
      <c r="D2875" s="1">
        <v>13.053352</v>
      </c>
      <c r="E2875" s="1">
        <v>80.270089</v>
      </c>
      <c r="F2875" s="1">
        <v>805.0</v>
      </c>
      <c r="G2875" s="1">
        <v>18.0</v>
      </c>
    </row>
    <row r="2876">
      <c r="A2876" s="1" t="s">
        <v>10</v>
      </c>
      <c r="B2876" s="2">
        <v>44719.0</v>
      </c>
      <c r="C2876" s="3">
        <v>0.7347106481481481</v>
      </c>
      <c r="D2876" s="1">
        <v>13.053336</v>
      </c>
      <c r="E2876" s="1">
        <v>80.270394</v>
      </c>
      <c r="F2876" s="1">
        <v>805.0</v>
      </c>
      <c r="G2876" s="1">
        <v>3.0</v>
      </c>
    </row>
    <row r="2877">
      <c r="A2877" s="1" t="s">
        <v>10</v>
      </c>
      <c r="B2877" s="2">
        <v>44719.0</v>
      </c>
      <c r="C2877" s="3">
        <v>0.7355555555555555</v>
      </c>
      <c r="D2877" s="1">
        <v>13.053199</v>
      </c>
      <c r="E2877" s="1">
        <v>80.271764</v>
      </c>
      <c r="F2877" s="1">
        <v>805.0</v>
      </c>
      <c r="G2877" s="1">
        <v>0.0</v>
      </c>
    </row>
    <row r="2878">
      <c r="A2878" s="1" t="s">
        <v>10</v>
      </c>
      <c r="B2878" s="2">
        <v>44719.0</v>
      </c>
      <c r="C2878" s="3">
        <v>0.7360532407407407</v>
      </c>
      <c r="D2878" s="1">
        <v>13.05299</v>
      </c>
      <c r="E2878" s="1">
        <v>80.272767</v>
      </c>
      <c r="F2878" s="1">
        <v>805.0</v>
      </c>
      <c r="G2878" s="1">
        <v>2.0</v>
      </c>
    </row>
    <row r="2879">
      <c r="A2879" s="1" t="s">
        <v>10</v>
      </c>
      <c r="B2879" s="2">
        <v>44719.0</v>
      </c>
      <c r="C2879" s="3">
        <v>0.7371064814814815</v>
      </c>
      <c r="D2879" s="1">
        <v>13.05499</v>
      </c>
      <c r="E2879" s="1">
        <v>80.273664</v>
      </c>
      <c r="F2879" s="1">
        <v>805.0</v>
      </c>
      <c r="G2879" s="1">
        <v>11.0</v>
      </c>
    </row>
    <row r="2880">
      <c r="A2880" s="1" t="s">
        <v>8</v>
      </c>
      <c r="B2880" s="2">
        <v>44719.0</v>
      </c>
      <c r="C2880" s="3">
        <v>0.7373148148148149</v>
      </c>
      <c r="D2880" s="1">
        <v>12.976948</v>
      </c>
      <c r="E2880" s="1">
        <v>80.223017</v>
      </c>
      <c r="F2880" s="1">
        <v>2846.0</v>
      </c>
      <c r="G2880" s="1">
        <v>34.0</v>
      </c>
    </row>
    <row r="2881">
      <c r="A2881" s="1" t="s">
        <v>8</v>
      </c>
      <c r="B2881" s="2">
        <v>44719.0</v>
      </c>
      <c r="C2881" s="3">
        <v>0.7382986111111111</v>
      </c>
      <c r="D2881" s="1">
        <v>12.973744</v>
      </c>
      <c r="E2881" s="1">
        <v>80.220136</v>
      </c>
      <c r="F2881" s="1">
        <v>2846.0</v>
      </c>
      <c r="G2881" s="1">
        <v>32.0</v>
      </c>
    </row>
    <row r="2882">
      <c r="A2882" s="1" t="s">
        <v>10</v>
      </c>
      <c r="B2882" s="2">
        <v>44719.0</v>
      </c>
      <c r="C2882" s="3">
        <v>0.7384375</v>
      </c>
      <c r="D2882" s="1">
        <v>13.05929</v>
      </c>
      <c r="E2882" s="1">
        <v>80.274164</v>
      </c>
      <c r="F2882" s="1">
        <v>805.0</v>
      </c>
      <c r="G2882" s="1">
        <v>11.0</v>
      </c>
    </row>
    <row r="2883">
      <c r="A2883" s="1" t="s">
        <v>8</v>
      </c>
      <c r="B2883" s="2">
        <v>44719.0</v>
      </c>
      <c r="C2883" s="3">
        <v>0.7386226851851851</v>
      </c>
      <c r="D2883" s="1">
        <v>12.971763</v>
      </c>
      <c r="E2883" s="1">
        <v>80.219294</v>
      </c>
      <c r="F2883" s="1">
        <v>2846.0</v>
      </c>
      <c r="G2883" s="1">
        <v>20.0</v>
      </c>
    </row>
    <row r="2884">
      <c r="A2884" s="1" t="s">
        <v>8</v>
      </c>
      <c r="B2884" s="2">
        <v>44719.0</v>
      </c>
      <c r="C2884" s="3">
        <v>0.7387731481481481</v>
      </c>
      <c r="D2884" s="1">
        <v>12.971095</v>
      </c>
      <c r="E2884" s="1">
        <v>80.218974</v>
      </c>
      <c r="F2884" s="1">
        <v>2846.0</v>
      </c>
      <c r="G2884" s="1">
        <v>34.0</v>
      </c>
    </row>
    <row r="2885">
      <c r="A2885" s="1" t="s">
        <v>8</v>
      </c>
      <c r="B2885" s="2">
        <v>44719.0</v>
      </c>
      <c r="C2885" s="3">
        <v>0.7391203703703704</v>
      </c>
      <c r="D2885" s="1">
        <v>12.967959</v>
      </c>
      <c r="E2885" s="1">
        <v>80.217703</v>
      </c>
      <c r="F2885" s="1">
        <v>2846.0</v>
      </c>
      <c r="G2885" s="1">
        <v>39.0</v>
      </c>
    </row>
    <row r="2886">
      <c r="A2886" s="1" t="s">
        <v>10</v>
      </c>
      <c r="B2886" s="2">
        <v>44719.0</v>
      </c>
      <c r="C2886" s="3">
        <v>0.7394212962962963</v>
      </c>
      <c r="D2886" s="1">
        <v>13.062399</v>
      </c>
      <c r="E2886" s="1">
        <v>80.274156</v>
      </c>
      <c r="F2886" s="1">
        <v>805.0</v>
      </c>
      <c r="G2886" s="1">
        <v>10.0</v>
      </c>
    </row>
    <row r="2887">
      <c r="A2887" s="1" t="s">
        <v>8</v>
      </c>
      <c r="B2887" s="2">
        <v>44719.0</v>
      </c>
      <c r="C2887" s="3">
        <v>0.7397106481481481</v>
      </c>
      <c r="D2887" s="1">
        <v>12.963839</v>
      </c>
      <c r="E2887" s="1">
        <v>80.2161</v>
      </c>
      <c r="F2887" s="1">
        <v>2846.0</v>
      </c>
      <c r="G2887" s="1">
        <v>15.0</v>
      </c>
    </row>
    <row r="2888">
      <c r="A2888" s="1" t="s">
        <v>10</v>
      </c>
      <c r="B2888" s="2">
        <v>44719.0</v>
      </c>
      <c r="C2888" s="3">
        <v>0.7405902777777778</v>
      </c>
      <c r="D2888" s="1">
        <v>13.064877</v>
      </c>
      <c r="E2888" s="1">
        <v>80.273784</v>
      </c>
      <c r="F2888" s="1">
        <v>805.0</v>
      </c>
      <c r="G2888" s="1">
        <v>7.0</v>
      </c>
    </row>
    <row r="2889">
      <c r="A2889" s="1" t="s">
        <v>8</v>
      </c>
      <c r="B2889" s="2">
        <v>44719.0</v>
      </c>
      <c r="C2889" s="3">
        <v>0.742199074074074</v>
      </c>
      <c r="D2889" s="1">
        <v>12.952591</v>
      </c>
      <c r="E2889" s="1">
        <v>80.211598</v>
      </c>
      <c r="F2889" s="1">
        <v>2846.0</v>
      </c>
      <c r="G2889" s="1">
        <v>36.0</v>
      </c>
    </row>
    <row r="2890">
      <c r="A2890" s="1" t="s">
        <v>8</v>
      </c>
      <c r="B2890" s="2">
        <v>44719.0</v>
      </c>
      <c r="C2890" s="3">
        <v>0.7428819444444444</v>
      </c>
      <c r="D2890" s="1">
        <v>13.066656</v>
      </c>
      <c r="E2890" s="1">
        <v>80.268432</v>
      </c>
      <c r="F2890" s="1">
        <v>805.0</v>
      </c>
      <c r="G2890" s="1">
        <v>10.0</v>
      </c>
    </row>
    <row r="2891">
      <c r="A2891" s="1" t="s">
        <v>8</v>
      </c>
      <c r="B2891" s="2">
        <v>44719.0</v>
      </c>
      <c r="C2891" s="3">
        <v>0.7429513888888889</v>
      </c>
      <c r="D2891" s="1">
        <v>13.066656</v>
      </c>
      <c r="E2891" s="1">
        <v>80.268432</v>
      </c>
      <c r="F2891" s="1">
        <v>805.0</v>
      </c>
      <c r="G2891" s="1">
        <v>10.0</v>
      </c>
    </row>
    <row r="2892">
      <c r="A2892" s="1" t="s">
        <v>10</v>
      </c>
      <c r="B2892" s="2">
        <v>44719.0</v>
      </c>
      <c r="C2892" s="3">
        <v>0.7435763888888889</v>
      </c>
      <c r="D2892" s="1">
        <v>13.068374</v>
      </c>
      <c r="E2892" s="1">
        <v>80.269071</v>
      </c>
      <c r="F2892" s="1">
        <v>805.0</v>
      </c>
      <c r="G2892" s="1">
        <v>19.0</v>
      </c>
    </row>
    <row r="2893">
      <c r="A2893" s="1" t="s">
        <v>10</v>
      </c>
      <c r="B2893" s="2">
        <v>44719.0</v>
      </c>
      <c r="C2893" s="3">
        <v>0.7437731481481481</v>
      </c>
      <c r="D2893" s="1">
        <v>13.068502</v>
      </c>
      <c r="E2893" s="1">
        <v>80.268533</v>
      </c>
      <c r="F2893" s="1">
        <v>805.0</v>
      </c>
      <c r="G2893" s="1">
        <v>14.0</v>
      </c>
    </row>
    <row r="2894">
      <c r="A2894" s="1" t="s">
        <v>7</v>
      </c>
      <c r="B2894" s="2">
        <v>44719.0</v>
      </c>
      <c r="C2894" s="3">
        <v>0.7464351851851851</v>
      </c>
      <c r="D2894" s="1">
        <v>12.948664</v>
      </c>
      <c r="E2894" s="1">
        <v>80.203462</v>
      </c>
      <c r="F2894" s="1">
        <v>2846.0</v>
      </c>
      <c r="G2894" s="1">
        <v>56.0</v>
      </c>
    </row>
    <row r="2895">
      <c r="A2895" s="1" t="s">
        <v>8</v>
      </c>
      <c r="B2895" s="2">
        <v>44719.0</v>
      </c>
      <c r="C2895" s="3">
        <v>0.7468287037037037</v>
      </c>
      <c r="D2895" s="1">
        <v>12.948532</v>
      </c>
      <c r="E2895" s="1">
        <v>80.199353</v>
      </c>
      <c r="F2895" s="1">
        <v>2846.0</v>
      </c>
      <c r="G2895" s="1">
        <v>39.0</v>
      </c>
    </row>
    <row r="2896">
      <c r="A2896" s="1" t="s">
        <v>8</v>
      </c>
      <c r="B2896" s="2">
        <v>44719.0</v>
      </c>
      <c r="C2896" s="3">
        <v>0.7468402777777777</v>
      </c>
      <c r="D2896" s="1">
        <v>12.948532</v>
      </c>
      <c r="E2896" s="1">
        <v>80.199353</v>
      </c>
      <c r="F2896" s="1">
        <v>2846.0</v>
      </c>
      <c r="G2896" s="1">
        <v>39.0</v>
      </c>
    </row>
    <row r="2897">
      <c r="A2897" s="1" t="s">
        <v>8</v>
      </c>
      <c r="B2897" s="2">
        <v>44719.0</v>
      </c>
      <c r="C2897" s="3">
        <v>0.7471180555555555</v>
      </c>
      <c r="D2897" s="1">
        <v>12.948473</v>
      </c>
      <c r="E2897" s="1">
        <v>80.197616</v>
      </c>
      <c r="F2897" s="1">
        <v>2846.0</v>
      </c>
      <c r="G2897" s="1">
        <v>40.0</v>
      </c>
    </row>
    <row r="2898">
      <c r="A2898" s="1" t="s">
        <v>8</v>
      </c>
      <c r="B2898" s="2">
        <v>44719.0</v>
      </c>
      <c r="C2898" s="3">
        <v>0.7471875</v>
      </c>
      <c r="D2898" s="1">
        <v>12.948498</v>
      </c>
      <c r="E2898" s="1">
        <v>80.19653</v>
      </c>
      <c r="F2898" s="1">
        <v>2846.0</v>
      </c>
      <c r="G2898" s="1">
        <v>43.0</v>
      </c>
    </row>
    <row r="2899">
      <c r="A2899" s="1" t="s">
        <v>8</v>
      </c>
      <c r="B2899" s="2">
        <v>44719.0</v>
      </c>
      <c r="C2899" s="3">
        <v>0.7494907407407407</v>
      </c>
      <c r="D2899" s="1">
        <v>13.067776</v>
      </c>
      <c r="E2899" s="1">
        <v>80.248857</v>
      </c>
      <c r="F2899" s="1">
        <v>805.0</v>
      </c>
      <c r="G2899" s="1">
        <v>31.0</v>
      </c>
    </row>
    <row r="2900">
      <c r="A2900" s="1" t="s">
        <v>8</v>
      </c>
      <c r="B2900" s="2">
        <v>44719.0</v>
      </c>
      <c r="C2900" s="3">
        <v>0.7534606481481482</v>
      </c>
      <c r="D2900" s="1">
        <v>12.949896</v>
      </c>
      <c r="E2900" s="1">
        <v>80.179797</v>
      </c>
      <c r="F2900" s="1">
        <v>2846.0</v>
      </c>
      <c r="G2900" s="1">
        <v>33.0</v>
      </c>
    </row>
    <row r="2901">
      <c r="A2901" s="1" t="s">
        <v>8</v>
      </c>
      <c r="B2901" s="2">
        <v>44719.0</v>
      </c>
      <c r="C2901" s="3">
        <v>0.7536574074074074</v>
      </c>
      <c r="D2901" s="1">
        <v>12.950263</v>
      </c>
      <c r="E2901" s="1">
        <v>80.178324</v>
      </c>
      <c r="F2901" s="1">
        <v>2846.0</v>
      </c>
      <c r="G2901" s="1">
        <v>40.0</v>
      </c>
    </row>
    <row r="2902">
      <c r="A2902" s="1" t="s">
        <v>8</v>
      </c>
      <c r="B2902" s="2">
        <v>44719.0</v>
      </c>
      <c r="C2902" s="3">
        <v>0.7544097222222222</v>
      </c>
      <c r="D2902" s="1">
        <v>12.951552</v>
      </c>
      <c r="E2902" s="1">
        <v>80.172751</v>
      </c>
      <c r="F2902" s="1">
        <v>2846.0</v>
      </c>
      <c r="G2902" s="1">
        <v>41.0</v>
      </c>
    </row>
    <row r="2903">
      <c r="A2903" s="1" t="s">
        <v>8</v>
      </c>
      <c r="B2903" s="2">
        <v>44719.0</v>
      </c>
      <c r="C2903" s="3">
        <v>0.7546412037037037</v>
      </c>
      <c r="D2903" s="1">
        <v>12.951862</v>
      </c>
      <c r="E2903" s="1">
        <v>80.170944</v>
      </c>
      <c r="F2903" s="1">
        <v>2846.0</v>
      </c>
      <c r="G2903" s="1">
        <v>38.0</v>
      </c>
    </row>
    <row r="2904">
      <c r="A2904" s="1" t="s">
        <v>7</v>
      </c>
      <c r="B2904" s="2">
        <v>44719.0</v>
      </c>
      <c r="C2904" s="3">
        <v>0.7549074074074074</v>
      </c>
      <c r="D2904" s="1">
        <v>12.952528</v>
      </c>
      <c r="E2904" s="1">
        <v>80.167595</v>
      </c>
      <c r="F2904" s="1">
        <v>2846.0</v>
      </c>
      <c r="G2904" s="1">
        <v>48.0</v>
      </c>
    </row>
    <row r="2905">
      <c r="A2905" s="1" t="s">
        <v>8</v>
      </c>
      <c r="B2905" s="2">
        <v>44719.0</v>
      </c>
      <c r="C2905" s="3">
        <v>0.7552546296296296</v>
      </c>
      <c r="D2905" s="1">
        <v>12.953453</v>
      </c>
      <c r="E2905" s="1">
        <v>80.163667</v>
      </c>
      <c r="F2905" s="1">
        <v>2846.0</v>
      </c>
      <c r="G2905" s="1">
        <v>27.0</v>
      </c>
    </row>
    <row r="2906">
      <c r="A2906" s="1" t="s">
        <v>8</v>
      </c>
      <c r="B2906" s="2">
        <v>44719.0</v>
      </c>
      <c r="C2906" s="3">
        <v>0.7555324074074075</v>
      </c>
      <c r="D2906" s="1">
        <v>12.953728</v>
      </c>
      <c r="E2906" s="1">
        <v>80.162298</v>
      </c>
      <c r="F2906" s="1">
        <v>2846.0</v>
      </c>
      <c r="G2906" s="1">
        <v>42.0</v>
      </c>
    </row>
    <row r="2907">
      <c r="A2907" s="1" t="s">
        <v>8</v>
      </c>
      <c r="B2907" s="2">
        <v>44719.0</v>
      </c>
      <c r="C2907" s="3">
        <v>0.7565393518518518</v>
      </c>
      <c r="D2907" s="1">
        <v>12.95501</v>
      </c>
      <c r="E2907" s="1">
        <v>80.156201</v>
      </c>
      <c r="F2907" s="1">
        <v>2846.0</v>
      </c>
      <c r="G2907" s="1">
        <v>50.0</v>
      </c>
    </row>
    <row r="2908">
      <c r="A2908" s="1" t="s">
        <v>8</v>
      </c>
      <c r="B2908" s="2">
        <v>44719.0</v>
      </c>
      <c r="C2908" s="3">
        <v>0.7568402777777777</v>
      </c>
      <c r="D2908" s="1">
        <v>12.956224</v>
      </c>
      <c r="E2908" s="1">
        <v>80.152264</v>
      </c>
      <c r="F2908" s="1">
        <v>2846.0</v>
      </c>
      <c r="G2908" s="1">
        <v>52.0</v>
      </c>
    </row>
    <row r="2909">
      <c r="A2909" s="1" t="s">
        <v>8</v>
      </c>
      <c r="B2909" s="2">
        <v>44719.0</v>
      </c>
      <c r="C2909" s="3">
        <v>0.7573263888888889</v>
      </c>
      <c r="D2909" s="1">
        <v>12.959162</v>
      </c>
      <c r="E2909" s="1">
        <v>80.149808</v>
      </c>
      <c r="F2909" s="1">
        <v>2846.0</v>
      </c>
      <c r="G2909" s="1">
        <v>42.0</v>
      </c>
    </row>
    <row r="2910">
      <c r="A2910" s="1" t="s">
        <v>8</v>
      </c>
      <c r="B2910" s="2">
        <v>44719.0</v>
      </c>
      <c r="C2910" s="3">
        <v>0.7601736111111111</v>
      </c>
      <c r="D2910" s="1">
        <v>12.952558</v>
      </c>
      <c r="E2910" s="1">
        <v>80.141159</v>
      </c>
      <c r="F2910" s="1">
        <v>2846.0</v>
      </c>
      <c r="G2910" s="1">
        <v>22.0</v>
      </c>
    </row>
    <row r="2911">
      <c r="A2911" s="1" t="s">
        <v>8</v>
      </c>
      <c r="B2911" s="2">
        <v>44719.0</v>
      </c>
      <c r="C2911" s="3">
        <v>0.7602314814814815</v>
      </c>
      <c r="D2911" s="1">
        <v>12.952558</v>
      </c>
      <c r="E2911" s="1">
        <v>80.141159</v>
      </c>
      <c r="F2911" s="1">
        <v>2846.0</v>
      </c>
      <c r="G2911" s="1">
        <v>22.0</v>
      </c>
    </row>
    <row r="2912">
      <c r="A2912" s="1" t="s">
        <v>8</v>
      </c>
      <c r="B2912" s="2">
        <v>44719.0</v>
      </c>
      <c r="C2912" s="3">
        <v>0.7603009259259259</v>
      </c>
      <c r="D2912" s="1">
        <v>12.951835</v>
      </c>
      <c r="E2912" s="1">
        <v>80.1406</v>
      </c>
      <c r="F2912" s="1">
        <v>2846.0</v>
      </c>
      <c r="G2912" s="1">
        <v>28.0</v>
      </c>
    </row>
    <row r="2913">
      <c r="A2913" s="1" t="s">
        <v>8</v>
      </c>
      <c r="B2913" s="2">
        <v>44719.0</v>
      </c>
      <c r="C2913" s="3">
        <v>0.7606597222222222</v>
      </c>
      <c r="D2913" s="1">
        <v>12.94977</v>
      </c>
      <c r="E2913" s="1">
        <v>80.139089</v>
      </c>
      <c r="F2913" s="1">
        <v>2846.0</v>
      </c>
      <c r="G2913" s="1">
        <v>32.0</v>
      </c>
    </row>
    <row r="2914">
      <c r="A2914" s="1" t="s">
        <v>8</v>
      </c>
      <c r="B2914" s="2">
        <v>44719.0</v>
      </c>
      <c r="C2914" s="3">
        <v>0.7612268518518519</v>
      </c>
      <c r="D2914" s="1">
        <v>12.94526</v>
      </c>
      <c r="E2914" s="1">
        <v>80.135588</v>
      </c>
      <c r="F2914" s="1">
        <v>2846.0</v>
      </c>
      <c r="G2914" s="1">
        <v>53.0</v>
      </c>
    </row>
    <row r="2915">
      <c r="A2915" s="1" t="s">
        <v>8</v>
      </c>
      <c r="B2915" s="2">
        <v>44719.0</v>
      </c>
      <c r="C2915" s="3">
        <v>0.7623958333333334</v>
      </c>
      <c r="D2915" s="1">
        <v>12.940637</v>
      </c>
      <c r="E2915" s="1">
        <v>80.131249</v>
      </c>
      <c r="F2915" s="1">
        <v>2846.0</v>
      </c>
      <c r="G2915" s="1">
        <v>50.0</v>
      </c>
    </row>
    <row r="2916">
      <c r="A2916" s="1" t="s">
        <v>8</v>
      </c>
      <c r="B2916" s="2">
        <v>44719.0</v>
      </c>
      <c r="C2916" s="3">
        <v>0.7631597222222222</v>
      </c>
      <c r="D2916" s="1">
        <v>12.936251</v>
      </c>
      <c r="E2916" s="1">
        <v>80.127341</v>
      </c>
      <c r="F2916" s="1">
        <v>2846.0</v>
      </c>
      <c r="G2916" s="1">
        <v>0.0</v>
      </c>
    </row>
    <row r="2917">
      <c r="A2917" s="1" t="s">
        <v>8</v>
      </c>
      <c r="B2917" s="2">
        <v>44719.0</v>
      </c>
      <c r="C2917" s="3">
        <v>0.7635185185185185</v>
      </c>
      <c r="D2917" s="1">
        <v>12.935707</v>
      </c>
      <c r="E2917" s="1">
        <v>80.126806</v>
      </c>
      <c r="F2917" s="1">
        <v>2846.0</v>
      </c>
      <c r="G2917" s="1">
        <v>27.0</v>
      </c>
    </row>
    <row r="2918">
      <c r="A2918" s="1" t="s">
        <v>8</v>
      </c>
      <c r="B2918" s="2">
        <v>44719.0</v>
      </c>
      <c r="C2918" s="3">
        <v>0.7656481481481482</v>
      </c>
      <c r="D2918" s="1">
        <v>12.924554</v>
      </c>
      <c r="E2918" s="1">
        <v>80.115758</v>
      </c>
      <c r="F2918" s="1">
        <v>2846.0</v>
      </c>
      <c r="G2918" s="1">
        <v>45.0</v>
      </c>
    </row>
    <row r="2919">
      <c r="A2919" s="1" t="s">
        <v>8</v>
      </c>
      <c r="B2919" s="2">
        <v>44719.0</v>
      </c>
      <c r="C2919" s="3">
        <v>0.7657638888888889</v>
      </c>
      <c r="D2919" s="1">
        <v>12.923312</v>
      </c>
      <c r="E2919" s="1">
        <v>80.114505</v>
      </c>
      <c r="F2919" s="1">
        <v>2846.0</v>
      </c>
      <c r="G2919" s="1">
        <v>21.0</v>
      </c>
    </row>
    <row r="2920">
      <c r="A2920" s="1" t="s">
        <v>8</v>
      </c>
      <c r="B2920" s="2">
        <v>44719.0</v>
      </c>
      <c r="C2920" s="3">
        <v>0.7658796296296296</v>
      </c>
      <c r="D2920" s="1">
        <v>12.92284</v>
      </c>
      <c r="E2920" s="1">
        <v>80.114028</v>
      </c>
      <c r="F2920" s="1">
        <v>2846.0</v>
      </c>
      <c r="G2920" s="1">
        <v>31.0</v>
      </c>
    </row>
    <row r="2921">
      <c r="A2921" s="1" t="s">
        <v>8</v>
      </c>
      <c r="B2921" s="2">
        <v>44719.0</v>
      </c>
      <c r="C2921" s="3">
        <v>0.7714814814814814</v>
      </c>
      <c r="D2921" s="1">
        <v>12.896252</v>
      </c>
      <c r="E2921" s="1">
        <v>80.0887</v>
      </c>
      <c r="F2921" s="1">
        <v>2846.0</v>
      </c>
      <c r="G2921" s="1">
        <v>32.0</v>
      </c>
    </row>
    <row r="2922">
      <c r="A2922" s="1" t="s">
        <v>7</v>
      </c>
      <c r="B2922" s="2">
        <v>44719.0</v>
      </c>
      <c r="C2922" s="3">
        <v>0.7720833333333333</v>
      </c>
      <c r="D2922" s="1">
        <v>12.892431</v>
      </c>
      <c r="E2922" s="1">
        <v>80.08583</v>
      </c>
      <c r="F2922" s="1">
        <v>2846.0</v>
      </c>
      <c r="G2922" s="1">
        <v>37.0</v>
      </c>
    </row>
    <row r="2923">
      <c r="A2923" s="1" t="s">
        <v>8</v>
      </c>
      <c r="B2923" s="2">
        <v>44719.0</v>
      </c>
      <c r="C2923" s="3">
        <v>0.774074074074074</v>
      </c>
      <c r="D2923" s="1">
        <v>12.879018</v>
      </c>
      <c r="E2923" s="1">
        <v>80.080502</v>
      </c>
      <c r="F2923" s="1">
        <v>2846.0</v>
      </c>
      <c r="G2923" s="1">
        <v>8.0</v>
      </c>
    </row>
    <row r="2924">
      <c r="A2924" s="1" t="s">
        <v>7</v>
      </c>
      <c r="B2924" s="2">
        <v>44720.0</v>
      </c>
      <c r="C2924" s="3">
        <v>0.2634375</v>
      </c>
      <c r="D2924" s="1">
        <v>12.890093</v>
      </c>
      <c r="E2924" s="1">
        <v>80.084503</v>
      </c>
      <c r="F2924" s="1">
        <v>3143.0</v>
      </c>
      <c r="G2924" s="1">
        <v>53.0</v>
      </c>
    </row>
    <row r="2925">
      <c r="A2925" s="1" t="s">
        <v>7</v>
      </c>
      <c r="B2925" s="2">
        <v>44720.0</v>
      </c>
      <c r="C2925" s="3">
        <v>0.26359953703703703</v>
      </c>
      <c r="D2925" s="1">
        <v>12.892507</v>
      </c>
      <c r="E2925" s="1">
        <v>80.085754</v>
      </c>
      <c r="F2925" s="1">
        <v>3143.0</v>
      </c>
      <c r="G2925" s="1">
        <v>52.0</v>
      </c>
    </row>
    <row r="2926">
      <c r="A2926" s="1" t="s">
        <v>8</v>
      </c>
      <c r="B2926" s="2">
        <v>44720.0</v>
      </c>
      <c r="C2926" s="3">
        <v>0.26460648148148147</v>
      </c>
      <c r="D2926" s="1">
        <v>12.90139</v>
      </c>
      <c r="E2926" s="1">
        <v>80.092358</v>
      </c>
      <c r="F2926" s="1">
        <v>3143.0</v>
      </c>
      <c r="G2926" s="1">
        <v>54.0</v>
      </c>
    </row>
    <row r="2927">
      <c r="A2927" s="1" t="s">
        <v>8</v>
      </c>
      <c r="B2927" s="2">
        <v>44720.0</v>
      </c>
      <c r="C2927" s="3">
        <v>0.26483796296296297</v>
      </c>
      <c r="D2927" s="1">
        <v>12.903219</v>
      </c>
      <c r="E2927" s="1">
        <v>80.093749</v>
      </c>
      <c r="F2927" s="1">
        <v>3143.0</v>
      </c>
      <c r="G2927" s="1">
        <v>44.0</v>
      </c>
    </row>
    <row r="2928">
      <c r="A2928" s="1" t="s">
        <v>8</v>
      </c>
      <c r="B2928" s="2">
        <v>44720.0</v>
      </c>
      <c r="C2928" s="3">
        <v>0.2660763888888889</v>
      </c>
      <c r="D2928" s="1">
        <v>12.91118</v>
      </c>
      <c r="E2928" s="1">
        <v>80.101158</v>
      </c>
      <c r="F2928" s="1">
        <v>3143.0</v>
      </c>
      <c r="G2928" s="1">
        <v>39.0</v>
      </c>
    </row>
    <row r="2929">
      <c r="A2929" s="1" t="s">
        <v>7</v>
      </c>
      <c r="B2929" s="2">
        <v>44720.0</v>
      </c>
      <c r="C2929" s="3">
        <v>0.26618055555555553</v>
      </c>
      <c r="D2929" s="1">
        <v>12.91287</v>
      </c>
      <c r="E2929" s="1">
        <v>80.10144</v>
      </c>
      <c r="F2929" s="1">
        <v>3143.0</v>
      </c>
      <c r="G2929" s="1">
        <v>44.0</v>
      </c>
    </row>
    <row r="2930">
      <c r="A2930" s="1" t="s">
        <v>7</v>
      </c>
      <c r="B2930" s="2">
        <v>44720.0</v>
      </c>
      <c r="C2930" s="3">
        <v>0.2662962962962963</v>
      </c>
      <c r="D2930" s="1">
        <v>12.91287</v>
      </c>
      <c r="E2930" s="1">
        <v>80.10144</v>
      </c>
      <c r="F2930" s="1">
        <v>3143.0</v>
      </c>
      <c r="G2930" s="1">
        <v>44.0</v>
      </c>
    </row>
    <row r="2931">
      <c r="A2931" s="1" t="s">
        <v>7</v>
      </c>
      <c r="B2931" s="2">
        <v>44720.0</v>
      </c>
      <c r="C2931" s="3">
        <v>0.26795138888888886</v>
      </c>
      <c r="D2931" s="1">
        <v>12.933344</v>
      </c>
      <c r="E2931" s="1">
        <v>80.099412</v>
      </c>
      <c r="F2931" s="1">
        <v>3143.0</v>
      </c>
      <c r="G2931" s="1">
        <v>58.0</v>
      </c>
    </row>
    <row r="2932">
      <c r="A2932" s="1" t="s">
        <v>7</v>
      </c>
      <c r="B2932" s="2">
        <v>44720.0</v>
      </c>
      <c r="C2932" s="3">
        <v>0.2720949074074074</v>
      </c>
      <c r="D2932" s="1">
        <v>12.977315</v>
      </c>
      <c r="E2932" s="1">
        <v>80.11989</v>
      </c>
      <c r="F2932" s="1">
        <v>3143.0</v>
      </c>
      <c r="G2932" s="1">
        <v>58.0</v>
      </c>
    </row>
    <row r="2933">
      <c r="A2933" s="1" t="s">
        <v>7</v>
      </c>
      <c r="B2933" s="2">
        <v>44720.0</v>
      </c>
      <c r="C2933" s="3">
        <v>0.27446759259259257</v>
      </c>
      <c r="D2933" s="1">
        <v>13.003865</v>
      </c>
      <c r="E2933" s="1">
        <v>80.127132</v>
      </c>
      <c r="F2933" s="1">
        <v>3143.0</v>
      </c>
      <c r="G2933" s="1">
        <v>58.0</v>
      </c>
    </row>
    <row r="2934">
      <c r="A2934" s="1" t="s">
        <v>7</v>
      </c>
      <c r="B2934" s="2">
        <v>44720.0</v>
      </c>
      <c r="C2934" s="3">
        <v>0.2764583333333333</v>
      </c>
      <c r="D2934" s="1">
        <v>12.88204</v>
      </c>
      <c r="E2934" s="1">
        <v>80.080968</v>
      </c>
      <c r="F2934" s="1">
        <v>2846.0</v>
      </c>
      <c r="G2934" s="1">
        <v>42.0</v>
      </c>
    </row>
    <row r="2935">
      <c r="A2935" s="1" t="s">
        <v>7</v>
      </c>
      <c r="B2935" s="2">
        <v>44720.0</v>
      </c>
      <c r="C2935" s="3">
        <v>0.27717592592592594</v>
      </c>
      <c r="D2935" s="1">
        <v>12.88961</v>
      </c>
      <c r="E2935" s="1">
        <v>80.084311</v>
      </c>
      <c r="F2935" s="1">
        <v>2846.0</v>
      </c>
      <c r="G2935" s="1">
        <v>57.0</v>
      </c>
    </row>
    <row r="2936">
      <c r="A2936" s="1" t="s">
        <v>7</v>
      </c>
      <c r="B2936" s="2">
        <v>44720.0</v>
      </c>
      <c r="C2936" s="3">
        <v>0.2772453703703704</v>
      </c>
      <c r="D2936" s="1">
        <v>13.02782</v>
      </c>
      <c r="E2936" s="1">
        <v>80.145334</v>
      </c>
      <c r="F2936" s="1">
        <v>3143.0</v>
      </c>
      <c r="G2936" s="1">
        <v>58.0</v>
      </c>
    </row>
    <row r="2937">
      <c r="A2937" s="1" t="s">
        <v>7</v>
      </c>
      <c r="B2937" s="2">
        <v>44720.0</v>
      </c>
      <c r="C2937" s="3">
        <v>0.2774537037037037</v>
      </c>
      <c r="D2937" s="1">
        <v>12.893442</v>
      </c>
      <c r="E2937" s="1">
        <v>80.086435</v>
      </c>
      <c r="F2937" s="1">
        <v>2846.0</v>
      </c>
      <c r="G2937" s="1">
        <v>54.0</v>
      </c>
    </row>
    <row r="2938">
      <c r="A2938" s="1" t="s">
        <v>8</v>
      </c>
      <c r="B2938" s="2">
        <v>44720.0</v>
      </c>
      <c r="C2938" s="3">
        <v>0.2774537037037037</v>
      </c>
      <c r="D2938" s="1">
        <v>12.893442</v>
      </c>
      <c r="E2938" s="1">
        <v>80.086435</v>
      </c>
      <c r="F2938" s="1">
        <v>2846.0</v>
      </c>
      <c r="G2938" s="1">
        <v>54.0</v>
      </c>
    </row>
    <row r="2939">
      <c r="A2939" s="1" t="s">
        <v>7</v>
      </c>
      <c r="B2939" s="2">
        <v>44720.0</v>
      </c>
      <c r="C2939" s="3">
        <v>0.2778125</v>
      </c>
      <c r="D2939" s="1">
        <v>13.035381</v>
      </c>
      <c r="E2939" s="1">
        <v>80.149073</v>
      </c>
      <c r="F2939" s="1">
        <v>3143.0</v>
      </c>
      <c r="G2939" s="1">
        <v>53.0</v>
      </c>
    </row>
    <row r="2940">
      <c r="A2940" s="1" t="s">
        <v>8</v>
      </c>
      <c r="B2940" s="2">
        <v>44720.0</v>
      </c>
      <c r="C2940" s="3">
        <v>0.2783333333333333</v>
      </c>
      <c r="D2940" s="1">
        <v>12.901451</v>
      </c>
      <c r="E2940" s="1">
        <v>80.092473</v>
      </c>
      <c r="F2940" s="1">
        <v>2846.0</v>
      </c>
      <c r="G2940" s="1">
        <v>59.0</v>
      </c>
    </row>
    <row r="2941">
      <c r="A2941" s="1" t="s">
        <v>8</v>
      </c>
      <c r="B2941" s="2">
        <v>44720.0</v>
      </c>
      <c r="C2941" s="3">
        <v>0.27936342592592595</v>
      </c>
      <c r="D2941" s="1">
        <v>12.909152</v>
      </c>
      <c r="E2941" s="1">
        <v>80.098565</v>
      </c>
      <c r="F2941" s="1">
        <v>2846.0</v>
      </c>
      <c r="G2941" s="1">
        <v>11.0</v>
      </c>
    </row>
    <row r="2942">
      <c r="A2942" s="1" t="s">
        <v>7</v>
      </c>
      <c r="B2942" s="2">
        <v>44720.0</v>
      </c>
      <c r="C2942" s="3">
        <v>0.28010416666666665</v>
      </c>
      <c r="D2942" s="1">
        <v>13.053846</v>
      </c>
      <c r="E2942" s="1">
        <v>80.154995</v>
      </c>
      <c r="F2942" s="1">
        <v>3143.0</v>
      </c>
      <c r="G2942" s="1">
        <v>58.0</v>
      </c>
    </row>
    <row r="2943">
      <c r="A2943" s="1" t="s">
        <v>7</v>
      </c>
      <c r="B2943" s="2">
        <v>44720.0</v>
      </c>
      <c r="C2943" s="3">
        <v>0.2803587962962963</v>
      </c>
      <c r="D2943" s="1">
        <v>12.915704</v>
      </c>
      <c r="E2943" s="1">
        <v>80.103903</v>
      </c>
      <c r="F2943" s="1">
        <v>2846.0</v>
      </c>
      <c r="G2943" s="1">
        <v>57.0</v>
      </c>
    </row>
    <row r="2944">
      <c r="A2944" s="1" t="s">
        <v>8</v>
      </c>
      <c r="B2944" s="2">
        <v>44720.0</v>
      </c>
      <c r="C2944" s="3">
        <v>0.2804050925925926</v>
      </c>
      <c r="D2944" s="1">
        <v>13.05636</v>
      </c>
      <c r="E2944" s="1">
        <v>80.158655</v>
      </c>
      <c r="F2944" s="1">
        <v>3143.0</v>
      </c>
      <c r="G2944" s="1">
        <v>58.0</v>
      </c>
    </row>
    <row r="2945">
      <c r="A2945" s="1" t="s">
        <v>7</v>
      </c>
      <c r="B2945" s="2">
        <v>44720.0</v>
      </c>
      <c r="C2945" s="3">
        <v>0.28109953703703705</v>
      </c>
      <c r="D2945" s="1">
        <v>12.917188</v>
      </c>
      <c r="E2945" s="1">
        <v>80.107414</v>
      </c>
      <c r="F2945" s="1">
        <v>2846.0</v>
      </c>
      <c r="G2945" s="1">
        <v>0.0</v>
      </c>
    </row>
    <row r="2946">
      <c r="A2946" s="1" t="s">
        <v>7</v>
      </c>
      <c r="B2946" s="2">
        <v>44720.0</v>
      </c>
      <c r="C2946" s="3">
        <v>0.2813541666666667</v>
      </c>
      <c r="D2946" s="1">
        <v>12.919466</v>
      </c>
      <c r="E2946" s="1">
        <v>80.110338</v>
      </c>
      <c r="F2946" s="1">
        <v>2846.0</v>
      </c>
      <c r="G2946" s="1">
        <v>0.0</v>
      </c>
    </row>
    <row r="2947">
      <c r="A2947" s="1" t="s">
        <v>8</v>
      </c>
      <c r="B2947" s="2">
        <v>44720.0</v>
      </c>
      <c r="C2947" s="3">
        <v>0.2821412037037037</v>
      </c>
      <c r="D2947" s="1">
        <v>13.063163</v>
      </c>
      <c r="E2947" s="1">
        <v>80.166942</v>
      </c>
      <c r="F2947" s="1">
        <v>3143.0</v>
      </c>
      <c r="G2947" s="1">
        <v>45.0</v>
      </c>
    </row>
    <row r="2948">
      <c r="A2948" s="1" t="s">
        <v>8</v>
      </c>
      <c r="B2948" s="2">
        <v>44720.0</v>
      </c>
      <c r="C2948" s="3">
        <v>0.2828125</v>
      </c>
      <c r="D2948" s="1">
        <v>12.928438</v>
      </c>
      <c r="E2948" s="1">
        <v>80.119583</v>
      </c>
      <c r="F2948" s="1">
        <v>2846.0</v>
      </c>
      <c r="G2948" s="1">
        <v>38.0</v>
      </c>
    </row>
    <row r="2949">
      <c r="A2949" s="1" t="s">
        <v>8</v>
      </c>
      <c r="B2949" s="2">
        <v>44720.0</v>
      </c>
      <c r="C2949" s="3">
        <v>0.28327546296296297</v>
      </c>
      <c r="D2949" s="1">
        <v>12.930095</v>
      </c>
      <c r="E2949" s="1">
        <v>80.121162</v>
      </c>
      <c r="F2949" s="1">
        <v>2846.0</v>
      </c>
      <c r="G2949" s="1">
        <v>24.0</v>
      </c>
    </row>
    <row r="2950">
      <c r="A2950" s="1" t="s">
        <v>8</v>
      </c>
      <c r="B2950" s="2">
        <v>44720.0</v>
      </c>
      <c r="C2950" s="3">
        <v>0.28332175925925923</v>
      </c>
      <c r="D2950" s="1">
        <v>12.930095</v>
      </c>
      <c r="E2950" s="1">
        <v>80.121162</v>
      </c>
      <c r="F2950" s="1">
        <v>2846.0</v>
      </c>
      <c r="G2950" s="1">
        <v>24.0</v>
      </c>
    </row>
    <row r="2951">
      <c r="A2951" s="1" t="s">
        <v>8</v>
      </c>
      <c r="B2951" s="2">
        <v>44720.0</v>
      </c>
      <c r="C2951" s="3">
        <v>0.2835185185185185</v>
      </c>
      <c r="D2951" s="1">
        <v>12.9313</v>
      </c>
      <c r="E2951" s="1">
        <v>80.122433</v>
      </c>
      <c r="F2951" s="1">
        <v>2846.0</v>
      </c>
      <c r="G2951" s="1">
        <v>34.0</v>
      </c>
    </row>
    <row r="2952">
      <c r="A2952" s="1" t="s">
        <v>8</v>
      </c>
      <c r="B2952" s="2">
        <v>44720.0</v>
      </c>
      <c r="C2952" s="3">
        <v>0.28369212962962964</v>
      </c>
      <c r="D2952" s="1">
        <v>12.931879</v>
      </c>
      <c r="E2952" s="1">
        <v>80.122992</v>
      </c>
      <c r="F2952" s="1">
        <v>2846.0</v>
      </c>
      <c r="G2952" s="1">
        <v>37.0</v>
      </c>
    </row>
    <row r="2953">
      <c r="A2953" s="1" t="s">
        <v>9</v>
      </c>
      <c r="B2953" s="2">
        <v>44720.0</v>
      </c>
      <c r="C2953" s="3">
        <v>0.2842013888888889</v>
      </c>
      <c r="D2953" s="1">
        <v>12.936458</v>
      </c>
      <c r="E2953" s="1">
        <v>80.127308</v>
      </c>
      <c r="F2953" s="1">
        <v>2846.0</v>
      </c>
      <c r="G2953" s="1">
        <v>30.0</v>
      </c>
    </row>
    <row r="2954">
      <c r="A2954" s="1" t="s">
        <v>8</v>
      </c>
      <c r="B2954" s="2">
        <v>44720.0</v>
      </c>
      <c r="C2954" s="3">
        <v>0.284375</v>
      </c>
      <c r="D2954" s="1">
        <v>13.070246</v>
      </c>
      <c r="E2954" s="1">
        <v>80.182138</v>
      </c>
      <c r="F2954" s="1">
        <v>3143.0</v>
      </c>
      <c r="G2954" s="1">
        <v>0.0</v>
      </c>
    </row>
    <row r="2955">
      <c r="A2955" s="1" t="s">
        <v>8</v>
      </c>
      <c r="B2955" s="2">
        <v>44720.0</v>
      </c>
      <c r="C2955" s="3">
        <v>0.28453703703703703</v>
      </c>
      <c r="D2955" s="1">
        <v>13.070286</v>
      </c>
      <c r="E2955" s="1">
        <v>80.182209</v>
      </c>
      <c r="F2955" s="1">
        <v>3143.0</v>
      </c>
      <c r="G2955" s="1">
        <v>11.0</v>
      </c>
    </row>
    <row r="2956">
      <c r="A2956" s="1" t="s">
        <v>7</v>
      </c>
      <c r="B2956" s="2">
        <v>44720.0</v>
      </c>
      <c r="C2956" s="3">
        <v>0.2845486111111111</v>
      </c>
      <c r="D2956" s="1">
        <v>12.937703</v>
      </c>
      <c r="E2956" s="1">
        <v>80.128431</v>
      </c>
      <c r="F2956" s="1">
        <v>2846.0</v>
      </c>
      <c r="G2956" s="1">
        <v>45.0</v>
      </c>
    </row>
    <row r="2957">
      <c r="A2957" s="1" t="s">
        <v>8</v>
      </c>
      <c r="B2957" s="2">
        <v>44720.0</v>
      </c>
      <c r="C2957" s="3">
        <v>0.28471064814814817</v>
      </c>
      <c r="D2957" s="1">
        <v>12.939856</v>
      </c>
      <c r="E2957" s="1">
        <v>80.130303</v>
      </c>
      <c r="F2957" s="1">
        <v>2846.0</v>
      </c>
      <c r="G2957" s="1">
        <v>59.0</v>
      </c>
    </row>
    <row r="2958">
      <c r="A2958" s="1" t="s">
        <v>8</v>
      </c>
      <c r="B2958" s="2">
        <v>44720.0</v>
      </c>
      <c r="C2958" s="3">
        <v>0.2848263888888889</v>
      </c>
      <c r="D2958" s="1">
        <v>12.940891</v>
      </c>
      <c r="E2958" s="1">
        <v>80.131381</v>
      </c>
      <c r="F2958" s="1">
        <v>2846.0</v>
      </c>
      <c r="G2958" s="1">
        <v>58.0</v>
      </c>
    </row>
    <row r="2959">
      <c r="A2959" s="1" t="s">
        <v>7</v>
      </c>
      <c r="B2959" s="2">
        <v>44720.0</v>
      </c>
      <c r="C2959" s="3">
        <v>0.2853935185185185</v>
      </c>
      <c r="D2959" s="1">
        <v>12.946128</v>
      </c>
      <c r="E2959" s="1">
        <v>80.136198</v>
      </c>
      <c r="F2959" s="1">
        <v>2846.0</v>
      </c>
      <c r="G2959" s="1">
        <v>57.0</v>
      </c>
    </row>
    <row r="2960">
      <c r="A2960" s="1" t="s">
        <v>7</v>
      </c>
      <c r="B2960" s="2">
        <v>44720.0</v>
      </c>
      <c r="C2960" s="3">
        <v>0.2856828703703704</v>
      </c>
      <c r="D2960" s="1">
        <v>12.948493</v>
      </c>
      <c r="E2960" s="1">
        <v>80.137916</v>
      </c>
      <c r="F2960" s="1">
        <v>2846.0</v>
      </c>
      <c r="G2960" s="1">
        <v>58.0</v>
      </c>
    </row>
    <row r="2961">
      <c r="A2961" s="1" t="s">
        <v>8</v>
      </c>
      <c r="B2961" s="2">
        <v>44720.0</v>
      </c>
      <c r="C2961" s="3">
        <v>0.2863541666666667</v>
      </c>
      <c r="D2961" s="1">
        <v>12.952561</v>
      </c>
      <c r="E2961" s="1">
        <v>80.141101</v>
      </c>
      <c r="F2961" s="1">
        <v>2846.0</v>
      </c>
      <c r="G2961" s="1">
        <v>40.0</v>
      </c>
    </row>
    <row r="2962">
      <c r="A2962" s="1" t="s">
        <v>7</v>
      </c>
      <c r="B2962" s="2">
        <v>44720.0</v>
      </c>
      <c r="C2962" s="3">
        <v>0.28877314814814814</v>
      </c>
      <c r="D2962" s="1">
        <v>12.958579</v>
      </c>
      <c r="E2962" s="1">
        <v>80.150384</v>
      </c>
      <c r="F2962" s="1">
        <v>2846.0</v>
      </c>
      <c r="G2962" s="1">
        <v>50.0</v>
      </c>
    </row>
    <row r="2963">
      <c r="A2963" s="1" t="s">
        <v>7</v>
      </c>
      <c r="B2963" s="2">
        <v>44720.0</v>
      </c>
      <c r="C2963" s="3">
        <v>0.2893634259259259</v>
      </c>
      <c r="D2963" s="1">
        <v>12.954641</v>
      </c>
      <c r="E2963" s="1">
        <v>80.15832</v>
      </c>
      <c r="F2963" s="1">
        <v>2846.0</v>
      </c>
      <c r="G2963" s="1">
        <v>58.0</v>
      </c>
    </row>
    <row r="2964">
      <c r="A2964" s="1" t="s">
        <v>10</v>
      </c>
      <c r="B2964" s="2">
        <v>44720.0</v>
      </c>
      <c r="C2964" s="3">
        <v>0.2898611111111111</v>
      </c>
      <c r="D2964" s="1">
        <v>12.953443</v>
      </c>
      <c r="E2964" s="1">
        <v>80.164217</v>
      </c>
      <c r="F2964" s="1">
        <v>2846.0</v>
      </c>
      <c r="G2964" s="1">
        <v>0.0</v>
      </c>
    </row>
    <row r="2965">
      <c r="A2965" s="1" t="s">
        <v>10</v>
      </c>
      <c r="B2965" s="2">
        <v>44720.0</v>
      </c>
      <c r="C2965" s="3">
        <v>0.2911458333333333</v>
      </c>
      <c r="D2965" s="1">
        <v>13.075144</v>
      </c>
      <c r="E2965" s="1">
        <v>80.216922</v>
      </c>
      <c r="F2965" s="1">
        <v>3143.0</v>
      </c>
      <c r="G2965" s="1">
        <v>23.0</v>
      </c>
    </row>
    <row r="2966">
      <c r="A2966" s="1" t="s">
        <v>7</v>
      </c>
      <c r="B2966" s="2">
        <v>44720.0</v>
      </c>
      <c r="C2966" s="3">
        <v>0.29162037037037036</v>
      </c>
      <c r="D2966" s="1">
        <v>12.950149</v>
      </c>
      <c r="E2966" s="1">
        <v>80.179196</v>
      </c>
      <c r="F2966" s="1">
        <v>2846.0</v>
      </c>
      <c r="G2966" s="1">
        <v>57.0</v>
      </c>
    </row>
    <row r="2967">
      <c r="A2967" s="1" t="s">
        <v>7</v>
      </c>
      <c r="B2967" s="2">
        <v>44720.0</v>
      </c>
      <c r="C2967" s="3">
        <v>0.29314814814814816</v>
      </c>
      <c r="D2967" s="1">
        <v>12.948549</v>
      </c>
      <c r="E2967" s="1">
        <v>80.197496</v>
      </c>
      <c r="F2967" s="1">
        <v>2846.0</v>
      </c>
      <c r="G2967" s="1">
        <v>57.0</v>
      </c>
    </row>
    <row r="2968">
      <c r="A2968" s="1" t="s">
        <v>8</v>
      </c>
      <c r="B2968" s="2">
        <v>44720.0</v>
      </c>
      <c r="C2968" s="3">
        <v>0.2935300925925926</v>
      </c>
      <c r="D2968" s="1">
        <v>13.08788</v>
      </c>
      <c r="E2968" s="1">
        <v>80.21805</v>
      </c>
      <c r="F2968" s="1">
        <v>3143.0</v>
      </c>
      <c r="G2968" s="1">
        <v>42.0</v>
      </c>
    </row>
    <row r="2969">
      <c r="A2969" s="1" t="s">
        <v>7</v>
      </c>
      <c r="B2969" s="2">
        <v>44720.0</v>
      </c>
      <c r="C2969" s="3">
        <v>0.2938773148148148</v>
      </c>
      <c r="D2969" s="1">
        <v>12.948764</v>
      </c>
      <c r="E2969" s="1">
        <v>80.205242</v>
      </c>
      <c r="F2969" s="1">
        <v>2846.0</v>
      </c>
      <c r="G2969" s="1">
        <v>58.0</v>
      </c>
    </row>
    <row r="2970">
      <c r="A2970" s="1" t="s">
        <v>8</v>
      </c>
      <c r="B2970" s="2">
        <v>44720.0</v>
      </c>
      <c r="C2970" s="3">
        <v>0.2954861111111111</v>
      </c>
      <c r="D2970" s="1">
        <v>12.957114</v>
      </c>
      <c r="E2970" s="1">
        <v>80.213342</v>
      </c>
      <c r="F2970" s="1">
        <v>2846.0</v>
      </c>
      <c r="G2970" s="1">
        <v>54.0</v>
      </c>
    </row>
    <row r="2971">
      <c r="A2971" s="1" t="s">
        <v>8</v>
      </c>
      <c r="B2971" s="2">
        <v>44720.0</v>
      </c>
      <c r="C2971" s="3">
        <v>0.29574074074074075</v>
      </c>
      <c r="D2971" s="1">
        <v>12.959339</v>
      </c>
      <c r="E2971" s="1">
        <v>80.214232</v>
      </c>
      <c r="F2971" s="1">
        <v>2846.0</v>
      </c>
      <c r="G2971" s="1">
        <v>47.0</v>
      </c>
    </row>
    <row r="2972">
      <c r="A2972" s="1" t="s">
        <v>8</v>
      </c>
      <c r="B2972" s="2">
        <v>44720.0</v>
      </c>
      <c r="C2972" s="3">
        <v>0.29641203703703706</v>
      </c>
      <c r="D2972" s="1">
        <v>13.067987</v>
      </c>
      <c r="E2972" s="1">
        <v>80.246846</v>
      </c>
      <c r="F2972" s="1">
        <v>805.0</v>
      </c>
      <c r="G2972" s="1">
        <v>35.0</v>
      </c>
    </row>
    <row r="2973">
      <c r="A2973" s="1" t="s">
        <v>8</v>
      </c>
      <c r="B2973" s="2">
        <v>44720.0</v>
      </c>
      <c r="C2973" s="3">
        <v>0.29768518518518516</v>
      </c>
      <c r="D2973" s="1">
        <v>12.972535</v>
      </c>
      <c r="E2973" s="1">
        <v>80.219495</v>
      </c>
      <c r="F2973" s="1">
        <v>2846.0</v>
      </c>
      <c r="G2973" s="1">
        <v>51.0</v>
      </c>
    </row>
    <row r="2974">
      <c r="A2974" s="1" t="s">
        <v>10</v>
      </c>
      <c r="B2974" s="2">
        <v>44720.0</v>
      </c>
      <c r="C2974" s="3">
        <v>0.2989351851851852</v>
      </c>
      <c r="D2974" s="1">
        <v>12.979208</v>
      </c>
      <c r="E2974" s="1">
        <v>80.226503</v>
      </c>
      <c r="F2974" s="1">
        <v>2846.0</v>
      </c>
      <c r="G2974" s="1">
        <v>40.0</v>
      </c>
    </row>
    <row r="2975">
      <c r="A2975" s="1" t="s">
        <v>10</v>
      </c>
      <c r="B2975" s="2">
        <v>44720.0</v>
      </c>
      <c r="C2975" s="3">
        <v>0.2999189814814815</v>
      </c>
      <c r="D2975" s="1">
        <v>13.07332</v>
      </c>
      <c r="E2975" s="1">
        <v>80.261115</v>
      </c>
      <c r="F2975" s="1">
        <v>805.0</v>
      </c>
      <c r="G2975" s="1">
        <v>9.0</v>
      </c>
    </row>
    <row r="2976">
      <c r="A2976" s="1" t="s">
        <v>8</v>
      </c>
      <c r="B2976" s="2">
        <v>44720.0</v>
      </c>
      <c r="C2976" s="3">
        <v>0.30190972222222223</v>
      </c>
      <c r="D2976" s="1">
        <v>13.07072</v>
      </c>
      <c r="E2976" s="1">
        <v>80.26559</v>
      </c>
      <c r="F2976" s="1">
        <v>805.0</v>
      </c>
      <c r="G2976" s="1">
        <v>34.0</v>
      </c>
    </row>
    <row r="2977">
      <c r="A2977" s="1" t="s">
        <v>8</v>
      </c>
      <c r="B2977" s="2">
        <v>44720.0</v>
      </c>
      <c r="C2977" s="3">
        <v>0.30243055555555554</v>
      </c>
      <c r="D2977" s="1">
        <v>13.068611</v>
      </c>
      <c r="E2977" s="1">
        <v>80.26841</v>
      </c>
      <c r="F2977" s="1">
        <v>805.0</v>
      </c>
      <c r="G2977" s="1">
        <v>31.0</v>
      </c>
    </row>
    <row r="2978">
      <c r="A2978" s="1" t="s">
        <v>8</v>
      </c>
      <c r="B2978" s="2">
        <v>44720.0</v>
      </c>
      <c r="C2978" s="3">
        <v>0.30246527777777776</v>
      </c>
      <c r="D2978" s="1">
        <v>13.068611</v>
      </c>
      <c r="E2978" s="1">
        <v>80.26841</v>
      </c>
      <c r="F2978" s="1">
        <v>805.0</v>
      </c>
      <c r="G2978" s="1">
        <v>31.0</v>
      </c>
    </row>
    <row r="2979">
      <c r="A2979" s="1" t="s">
        <v>8</v>
      </c>
      <c r="B2979" s="2">
        <v>44720.0</v>
      </c>
      <c r="C2979" s="3">
        <v>0.30265046296296294</v>
      </c>
      <c r="D2979" s="1">
        <v>13.06821</v>
      </c>
      <c r="E2979" s="1">
        <v>80.270081</v>
      </c>
      <c r="F2979" s="1">
        <v>805.0</v>
      </c>
      <c r="G2979" s="1">
        <v>32.0</v>
      </c>
    </row>
    <row r="2980">
      <c r="A2980" s="1" t="s">
        <v>10</v>
      </c>
      <c r="B2980" s="2">
        <v>44720.0</v>
      </c>
      <c r="C2980" s="3">
        <v>0.30752314814814813</v>
      </c>
      <c r="D2980" s="1">
        <v>13.052942</v>
      </c>
      <c r="E2980" s="1">
        <v>80.273016</v>
      </c>
      <c r="F2980" s="1">
        <v>805.0</v>
      </c>
      <c r="G2980" s="1">
        <v>22.0</v>
      </c>
    </row>
    <row r="2981">
      <c r="A2981" s="1" t="s">
        <v>10</v>
      </c>
      <c r="B2981" s="2">
        <v>44720.0</v>
      </c>
      <c r="C2981" s="3">
        <v>0.30758101851851855</v>
      </c>
      <c r="D2981" s="1">
        <v>13.052942</v>
      </c>
      <c r="E2981" s="1">
        <v>80.273016</v>
      </c>
      <c r="F2981" s="1">
        <v>805.0</v>
      </c>
      <c r="G2981" s="1">
        <v>22.0</v>
      </c>
    </row>
    <row r="2982">
      <c r="A2982" s="1" t="s">
        <v>10</v>
      </c>
      <c r="B2982" s="2">
        <v>44720.0</v>
      </c>
      <c r="C2982" s="3">
        <v>0.3083564814814815</v>
      </c>
      <c r="D2982" s="1">
        <v>13.053338</v>
      </c>
      <c r="E2982" s="1">
        <v>80.269662</v>
      </c>
      <c r="F2982" s="1">
        <v>805.0</v>
      </c>
      <c r="G2982" s="1">
        <v>21.0</v>
      </c>
    </row>
    <row r="2983">
      <c r="A2983" s="1" t="s">
        <v>10</v>
      </c>
      <c r="B2983" s="2">
        <v>44720.0</v>
      </c>
      <c r="C2983" s="3">
        <v>0.30922453703703706</v>
      </c>
      <c r="D2983" s="1">
        <v>13.053545</v>
      </c>
      <c r="E2983" s="1">
        <v>80.267333</v>
      </c>
      <c r="F2983" s="1">
        <v>805.0</v>
      </c>
      <c r="G2983" s="1">
        <v>17.0</v>
      </c>
    </row>
    <row r="2984">
      <c r="A2984" s="1" t="s">
        <v>7</v>
      </c>
      <c r="B2984" s="2">
        <v>44720.0</v>
      </c>
      <c r="C2984" s="3">
        <v>0.3101851851851852</v>
      </c>
      <c r="D2984" s="1">
        <v>13.053725</v>
      </c>
      <c r="E2984" s="1">
        <v>80.265282</v>
      </c>
      <c r="F2984" s="1">
        <v>805.0</v>
      </c>
      <c r="G2984" s="1">
        <v>47.0</v>
      </c>
    </row>
    <row r="2985">
      <c r="A2985" s="1" t="s">
        <v>7</v>
      </c>
      <c r="B2985" s="2">
        <v>44720.0</v>
      </c>
      <c r="C2985" s="3">
        <v>0.31096064814814817</v>
      </c>
      <c r="D2985" s="1">
        <v>13.054139</v>
      </c>
      <c r="E2985" s="1">
        <v>80.260591</v>
      </c>
      <c r="F2985" s="1">
        <v>805.0</v>
      </c>
      <c r="G2985" s="1">
        <v>28.0</v>
      </c>
    </row>
    <row r="2986">
      <c r="A2986" s="1" t="s">
        <v>8</v>
      </c>
      <c r="B2986" s="2">
        <v>44720.0</v>
      </c>
      <c r="C2986" s="3">
        <v>0.3147337962962963</v>
      </c>
      <c r="D2986" s="1">
        <v>13.041096</v>
      </c>
      <c r="E2986" s="1">
        <v>80.247397</v>
      </c>
      <c r="F2986" s="1">
        <v>805.0</v>
      </c>
      <c r="G2986" s="1">
        <v>33.0</v>
      </c>
    </row>
    <row r="2987">
      <c r="A2987" s="1" t="s">
        <v>8</v>
      </c>
      <c r="B2987" s="2">
        <v>44720.0</v>
      </c>
      <c r="C2987" s="3">
        <v>0.3151157407407407</v>
      </c>
      <c r="D2987" s="1">
        <v>13.038484</v>
      </c>
      <c r="E2987" s="1">
        <v>80.246872</v>
      </c>
      <c r="F2987" s="1">
        <v>805.0</v>
      </c>
      <c r="G2987" s="1">
        <v>34.0</v>
      </c>
    </row>
    <row r="2988">
      <c r="A2988" s="1" t="s">
        <v>8</v>
      </c>
      <c r="B2988" s="2">
        <v>44720.0</v>
      </c>
      <c r="C2988" s="3">
        <v>0.3183912037037037</v>
      </c>
      <c r="D2988" s="1">
        <v>13.030474</v>
      </c>
      <c r="E2988" s="1">
        <v>80.23888</v>
      </c>
      <c r="F2988" s="1">
        <v>805.0</v>
      </c>
      <c r="G2988" s="1">
        <v>38.0</v>
      </c>
    </row>
    <row r="2989">
      <c r="A2989" s="1" t="s">
        <v>8</v>
      </c>
      <c r="B2989" s="2">
        <v>44720.0</v>
      </c>
      <c r="C2989" s="3">
        <v>0.3184375</v>
      </c>
      <c r="D2989" s="1">
        <v>13.030474</v>
      </c>
      <c r="E2989" s="1">
        <v>80.23888</v>
      </c>
      <c r="F2989" s="1">
        <v>805.0</v>
      </c>
      <c r="G2989" s="1">
        <v>38.0</v>
      </c>
    </row>
    <row r="2990">
      <c r="A2990" s="1" t="s">
        <v>8</v>
      </c>
      <c r="B2990" s="2">
        <v>44720.0</v>
      </c>
      <c r="C2990" s="3">
        <v>0.31894675925925925</v>
      </c>
      <c r="D2990" s="1">
        <v>13.027155</v>
      </c>
      <c r="E2990" s="1">
        <v>80.23412</v>
      </c>
      <c r="F2990" s="1">
        <v>805.0</v>
      </c>
      <c r="G2990" s="1">
        <v>46.0</v>
      </c>
    </row>
    <row r="2991">
      <c r="A2991" s="1" t="s">
        <v>8</v>
      </c>
      <c r="B2991" s="2">
        <v>44720.0</v>
      </c>
      <c r="C2991" s="3">
        <v>0.3193287037037037</v>
      </c>
      <c r="D2991" s="1">
        <v>13.087765</v>
      </c>
      <c r="E2991" s="1">
        <v>80.223434</v>
      </c>
      <c r="F2991" s="1">
        <v>3143.0</v>
      </c>
      <c r="G2991" s="1">
        <v>35.0</v>
      </c>
    </row>
    <row r="2992">
      <c r="A2992" s="1" t="s">
        <v>8</v>
      </c>
      <c r="B2992" s="2">
        <v>44720.0</v>
      </c>
      <c r="C2992" s="3">
        <v>0.3197453703703704</v>
      </c>
      <c r="D2992" s="1">
        <v>13.025866</v>
      </c>
      <c r="E2992" s="1">
        <v>80.2311</v>
      </c>
      <c r="F2992" s="1">
        <v>805.0</v>
      </c>
      <c r="G2992" s="1">
        <v>9.0</v>
      </c>
    </row>
    <row r="2993">
      <c r="A2993" s="1" t="s">
        <v>8</v>
      </c>
      <c r="B2993" s="2">
        <v>44720.0</v>
      </c>
      <c r="C2993" s="3">
        <v>0.3197685185185185</v>
      </c>
      <c r="D2993" s="1">
        <v>13.025657</v>
      </c>
      <c r="E2993" s="1">
        <v>80.230515</v>
      </c>
      <c r="F2993" s="1">
        <v>805.0</v>
      </c>
      <c r="G2993" s="1">
        <v>34.0</v>
      </c>
    </row>
    <row r="2994">
      <c r="A2994" s="1" t="s">
        <v>8</v>
      </c>
      <c r="B2994" s="2">
        <v>44720.0</v>
      </c>
      <c r="C2994" s="3">
        <v>0.3199768518518519</v>
      </c>
      <c r="D2994" s="1">
        <v>13.024271</v>
      </c>
      <c r="E2994" s="1">
        <v>80.228672</v>
      </c>
      <c r="F2994" s="1">
        <v>805.0</v>
      </c>
      <c r="G2994" s="1">
        <v>27.0</v>
      </c>
    </row>
    <row r="2995">
      <c r="A2995" s="1" t="s">
        <v>8</v>
      </c>
      <c r="B2995" s="2">
        <v>44720.0</v>
      </c>
      <c r="C2995" s="3">
        <v>0.3201273148148148</v>
      </c>
      <c r="D2995" s="1">
        <v>13.023722</v>
      </c>
      <c r="E2995" s="1">
        <v>80.227985</v>
      </c>
      <c r="F2995" s="1">
        <v>805.0</v>
      </c>
      <c r="G2995" s="1">
        <v>39.0</v>
      </c>
    </row>
    <row r="2996">
      <c r="A2996" s="1" t="s">
        <v>8</v>
      </c>
      <c r="B2996" s="2">
        <v>44720.0</v>
      </c>
      <c r="C2996" s="3">
        <v>0.32038194444444446</v>
      </c>
      <c r="D2996" s="1">
        <v>13.022034</v>
      </c>
      <c r="E2996" s="1">
        <v>80.226385</v>
      </c>
      <c r="F2996" s="1">
        <v>805.0</v>
      </c>
      <c r="G2996" s="1">
        <v>50.0</v>
      </c>
    </row>
    <row r="2997">
      <c r="A2997" s="1" t="s">
        <v>8</v>
      </c>
      <c r="B2997" s="2">
        <v>44720.0</v>
      </c>
      <c r="C2997" s="3">
        <v>0.3211805555555556</v>
      </c>
      <c r="D2997" s="1">
        <v>13.016696</v>
      </c>
      <c r="E2997" s="1">
        <v>80.225376</v>
      </c>
      <c r="F2997" s="1">
        <v>805.0</v>
      </c>
      <c r="G2997" s="1">
        <v>36.0</v>
      </c>
    </row>
    <row r="2998">
      <c r="A2998" s="1" t="s">
        <v>8</v>
      </c>
      <c r="B2998" s="2">
        <v>44720.0</v>
      </c>
      <c r="C2998" s="3">
        <v>0.32167824074074075</v>
      </c>
      <c r="D2998" s="1">
        <v>13.014906</v>
      </c>
      <c r="E2998" s="1">
        <v>80.226042</v>
      </c>
      <c r="F2998" s="1">
        <v>805.0</v>
      </c>
      <c r="G2998" s="1">
        <v>16.0</v>
      </c>
    </row>
    <row r="2999">
      <c r="A2999" s="1" t="s">
        <v>8</v>
      </c>
      <c r="B2999" s="2">
        <v>44720.0</v>
      </c>
      <c r="C2999" s="3">
        <v>0.3221643518518518</v>
      </c>
      <c r="D2999" s="1">
        <v>13.011391</v>
      </c>
      <c r="E2999" s="1">
        <v>80.227349</v>
      </c>
      <c r="F2999" s="1">
        <v>805.0</v>
      </c>
      <c r="G2999" s="1">
        <v>48.0</v>
      </c>
    </row>
    <row r="3000">
      <c r="A3000" s="1" t="s">
        <v>8</v>
      </c>
      <c r="B3000" s="2">
        <v>44720.0</v>
      </c>
      <c r="C3000" s="3">
        <v>0.32255787037037037</v>
      </c>
      <c r="D3000" s="1">
        <v>13.010205</v>
      </c>
      <c r="E3000" s="1">
        <v>80.226194</v>
      </c>
      <c r="F3000" s="1">
        <v>805.0</v>
      </c>
      <c r="G3000" s="1">
        <v>45.0</v>
      </c>
    </row>
    <row r="3001">
      <c r="A3001" s="1" t="s">
        <v>10</v>
      </c>
      <c r="B3001" s="2">
        <v>44720.0</v>
      </c>
      <c r="C3001" s="3">
        <v>0.32297453703703705</v>
      </c>
      <c r="D3001" s="1">
        <v>12.964781</v>
      </c>
      <c r="E3001" s="1">
        <v>80.196276</v>
      </c>
      <c r="F3001" s="1">
        <v>2846.0</v>
      </c>
      <c r="G3001" s="1">
        <v>8.0</v>
      </c>
    </row>
    <row r="3002">
      <c r="A3002" s="1" t="s">
        <v>8</v>
      </c>
      <c r="B3002" s="2">
        <v>44720.0</v>
      </c>
      <c r="C3002" s="3">
        <v>0.3233333333333333</v>
      </c>
      <c r="D3002" s="1">
        <v>13.011614</v>
      </c>
      <c r="E3002" s="1">
        <v>80.222855</v>
      </c>
      <c r="F3002" s="1">
        <v>805.0</v>
      </c>
      <c r="G3002" s="1">
        <v>25.0</v>
      </c>
    </row>
    <row r="3003">
      <c r="A3003" s="1" t="s">
        <v>8</v>
      </c>
      <c r="B3003" s="2">
        <v>44720.0</v>
      </c>
      <c r="C3003" s="3">
        <v>0.3234722222222222</v>
      </c>
      <c r="D3003" s="1">
        <v>13.01186</v>
      </c>
      <c r="E3003" s="1">
        <v>80.222102</v>
      </c>
      <c r="F3003" s="1">
        <v>805.0</v>
      </c>
      <c r="G3003" s="1">
        <v>34.0</v>
      </c>
    </row>
    <row r="3004">
      <c r="A3004" s="1" t="s">
        <v>8</v>
      </c>
      <c r="B3004" s="2">
        <v>44720.0</v>
      </c>
      <c r="C3004" s="3">
        <v>0.32351851851851854</v>
      </c>
      <c r="D3004" s="1">
        <v>13.01186</v>
      </c>
      <c r="E3004" s="1">
        <v>80.222102</v>
      </c>
      <c r="F3004" s="1">
        <v>805.0</v>
      </c>
      <c r="G3004" s="1">
        <v>34.0</v>
      </c>
    </row>
    <row r="3005">
      <c r="A3005" s="1" t="s">
        <v>8</v>
      </c>
      <c r="B3005" s="2">
        <v>44720.0</v>
      </c>
      <c r="C3005" s="3">
        <v>0.3236574074074074</v>
      </c>
      <c r="D3005" s="1">
        <v>13.012116</v>
      </c>
      <c r="E3005" s="1">
        <v>80.221252</v>
      </c>
      <c r="F3005" s="1">
        <v>805.0</v>
      </c>
      <c r="G3005" s="1">
        <v>27.0</v>
      </c>
    </row>
    <row r="3006">
      <c r="A3006" s="1" t="s">
        <v>8</v>
      </c>
      <c r="B3006" s="2">
        <v>44720.0</v>
      </c>
      <c r="C3006" s="3">
        <v>0.32381944444444444</v>
      </c>
      <c r="D3006" s="1">
        <v>13.011566</v>
      </c>
      <c r="E3006" s="1">
        <v>80.219104</v>
      </c>
      <c r="F3006" s="1">
        <v>805.0</v>
      </c>
      <c r="G3006" s="1">
        <v>57.0</v>
      </c>
    </row>
    <row r="3007">
      <c r="A3007" s="1" t="s">
        <v>8</v>
      </c>
      <c r="B3007" s="2">
        <v>44720.0</v>
      </c>
      <c r="C3007" s="3">
        <v>0.32383101851851853</v>
      </c>
      <c r="D3007" s="1">
        <v>13.011566</v>
      </c>
      <c r="E3007" s="1">
        <v>80.219104</v>
      </c>
      <c r="F3007" s="1">
        <v>805.0</v>
      </c>
      <c r="G3007" s="1">
        <v>57.0</v>
      </c>
    </row>
    <row r="3008">
      <c r="A3008" s="1" t="s">
        <v>8</v>
      </c>
      <c r="B3008" s="2">
        <v>44720.0</v>
      </c>
      <c r="C3008" s="3">
        <v>0.323912037037037</v>
      </c>
      <c r="D3008" s="1">
        <v>13.01111</v>
      </c>
      <c r="E3008" s="1">
        <v>80.217764</v>
      </c>
      <c r="F3008" s="1">
        <v>805.0</v>
      </c>
      <c r="G3008" s="1">
        <v>52.0</v>
      </c>
    </row>
    <row r="3009">
      <c r="A3009" s="1" t="s">
        <v>7</v>
      </c>
      <c r="B3009" s="2">
        <v>44720.0</v>
      </c>
      <c r="C3009" s="3">
        <v>0.32417824074074075</v>
      </c>
      <c r="D3009" s="1">
        <v>13.010182</v>
      </c>
      <c r="E3009" s="1">
        <v>80.215449</v>
      </c>
      <c r="F3009" s="1">
        <v>805.0</v>
      </c>
      <c r="G3009" s="1">
        <v>52.0</v>
      </c>
    </row>
    <row r="3010">
      <c r="A3010" s="1" t="s">
        <v>7</v>
      </c>
      <c r="B3010" s="2">
        <v>44720.0</v>
      </c>
      <c r="C3010" s="3">
        <v>0.32430555555555557</v>
      </c>
      <c r="D3010" s="1">
        <v>13.009876</v>
      </c>
      <c r="E3010" s="1">
        <v>80.214098</v>
      </c>
      <c r="F3010" s="1">
        <v>805.0</v>
      </c>
      <c r="G3010" s="1">
        <v>53.0</v>
      </c>
    </row>
    <row r="3011">
      <c r="A3011" s="1" t="s">
        <v>8</v>
      </c>
      <c r="B3011" s="2">
        <v>44720.0</v>
      </c>
      <c r="C3011" s="3">
        <v>0.3249884259259259</v>
      </c>
      <c r="D3011" s="1">
        <v>13.007904</v>
      </c>
      <c r="E3011" s="1">
        <v>80.208005</v>
      </c>
      <c r="F3011" s="1">
        <v>805.0</v>
      </c>
      <c r="G3011" s="1">
        <v>36.0</v>
      </c>
    </row>
    <row r="3012">
      <c r="A3012" s="1" t="s">
        <v>7</v>
      </c>
      <c r="B3012" s="2">
        <v>44720.0</v>
      </c>
      <c r="C3012" s="3">
        <v>0.3258333333333333</v>
      </c>
      <c r="D3012" s="1">
        <v>13.084988</v>
      </c>
      <c r="E3012" s="1">
        <v>80.207573</v>
      </c>
      <c r="F3012" s="1">
        <v>3143.0</v>
      </c>
      <c r="G3012" s="1">
        <v>55.0</v>
      </c>
    </row>
    <row r="3013">
      <c r="A3013" s="1" t="s">
        <v>8</v>
      </c>
      <c r="B3013" s="2">
        <v>44720.0</v>
      </c>
      <c r="C3013" s="3">
        <v>0.32599537037037035</v>
      </c>
      <c r="D3013" s="1">
        <v>13.002992</v>
      </c>
      <c r="E3013" s="1">
        <v>80.200829</v>
      </c>
      <c r="F3013" s="1">
        <v>805.0</v>
      </c>
      <c r="G3013" s="1">
        <v>39.0</v>
      </c>
    </row>
    <row r="3014">
      <c r="A3014" s="1" t="s">
        <v>8</v>
      </c>
      <c r="B3014" s="2">
        <v>44720.0</v>
      </c>
      <c r="C3014" s="3">
        <v>0.32605324074074077</v>
      </c>
      <c r="D3014" s="1">
        <v>13.002992</v>
      </c>
      <c r="E3014" s="1">
        <v>80.200829</v>
      </c>
      <c r="F3014" s="1">
        <v>805.0</v>
      </c>
      <c r="G3014" s="1">
        <v>39.0</v>
      </c>
    </row>
    <row r="3015">
      <c r="A3015" s="1" t="s">
        <v>7</v>
      </c>
      <c r="B3015" s="2">
        <v>44720.0</v>
      </c>
      <c r="C3015" s="3">
        <v>0.32612268518518517</v>
      </c>
      <c r="D3015" s="1">
        <v>13.085142</v>
      </c>
      <c r="E3015" s="1">
        <v>80.203837</v>
      </c>
      <c r="F3015" s="1">
        <v>3143.0</v>
      </c>
      <c r="G3015" s="1">
        <v>56.0</v>
      </c>
    </row>
    <row r="3016">
      <c r="A3016" s="1" t="s">
        <v>7</v>
      </c>
      <c r="B3016" s="2">
        <v>44720.0</v>
      </c>
      <c r="C3016" s="3">
        <v>0.32623842592592595</v>
      </c>
      <c r="D3016" s="1">
        <v>13.085142</v>
      </c>
      <c r="E3016" s="1">
        <v>80.203837</v>
      </c>
      <c r="F3016" s="1">
        <v>3143.0</v>
      </c>
      <c r="G3016" s="1">
        <v>56.0</v>
      </c>
    </row>
    <row r="3017">
      <c r="A3017" s="1" t="s">
        <v>7</v>
      </c>
      <c r="B3017" s="2">
        <v>44720.0</v>
      </c>
      <c r="C3017" s="3">
        <v>0.3262847222222222</v>
      </c>
      <c r="D3017" s="1">
        <v>13.00216</v>
      </c>
      <c r="E3017" s="1">
        <v>80.200481</v>
      </c>
      <c r="F3017" s="1">
        <v>805.0</v>
      </c>
      <c r="G3017" s="1">
        <v>37.0</v>
      </c>
    </row>
    <row r="3018">
      <c r="A3018" s="1" t="s">
        <v>7</v>
      </c>
      <c r="B3018" s="2">
        <v>44720.0</v>
      </c>
      <c r="C3018" s="3">
        <v>0.32635416666666667</v>
      </c>
      <c r="D3018" s="1">
        <v>13.00175</v>
      </c>
      <c r="E3018" s="1">
        <v>80.199368</v>
      </c>
      <c r="F3018" s="1">
        <v>805.0</v>
      </c>
      <c r="G3018" s="1">
        <v>52.0</v>
      </c>
    </row>
    <row r="3019">
      <c r="A3019" s="1" t="s">
        <v>7</v>
      </c>
      <c r="B3019" s="2">
        <v>44720.0</v>
      </c>
      <c r="C3019" s="3">
        <v>0.3264930555555556</v>
      </c>
      <c r="D3019" s="1">
        <v>13.001716</v>
      </c>
      <c r="E3019" s="1">
        <v>80.196474</v>
      </c>
      <c r="F3019" s="1">
        <v>805.0</v>
      </c>
      <c r="G3019" s="1">
        <v>49.0</v>
      </c>
    </row>
    <row r="3020">
      <c r="A3020" s="1" t="s">
        <v>8</v>
      </c>
      <c r="B3020" s="2">
        <v>44720.0</v>
      </c>
      <c r="C3020" s="3">
        <v>0.32685185185185184</v>
      </c>
      <c r="D3020" s="1">
        <v>12.999154</v>
      </c>
      <c r="E3020" s="1">
        <v>80.19317</v>
      </c>
      <c r="F3020" s="1">
        <v>805.0</v>
      </c>
      <c r="G3020" s="1">
        <v>47.0</v>
      </c>
    </row>
    <row r="3021">
      <c r="A3021" s="1" t="s">
        <v>7</v>
      </c>
      <c r="B3021" s="2">
        <v>44720.0</v>
      </c>
      <c r="C3021" s="3">
        <v>0.32716435185185183</v>
      </c>
      <c r="D3021" s="1">
        <v>12.997759</v>
      </c>
      <c r="E3021" s="1">
        <v>80.191436</v>
      </c>
      <c r="F3021" s="1">
        <v>805.0</v>
      </c>
      <c r="G3021" s="1">
        <v>48.0</v>
      </c>
    </row>
    <row r="3022">
      <c r="A3022" s="1" t="s">
        <v>10</v>
      </c>
      <c r="B3022" s="2">
        <v>44720.0</v>
      </c>
      <c r="C3022" s="3">
        <v>0.3273263888888889</v>
      </c>
      <c r="D3022" s="1">
        <v>12.956679</v>
      </c>
      <c r="E3022" s="1">
        <v>80.187098</v>
      </c>
      <c r="F3022" s="1">
        <v>2846.0</v>
      </c>
      <c r="G3022" s="1">
        <v>25.0</v>
      </c>
    </row>
    <row r="3023">
      <c r="A3023" s="1" t="s">
        <v>8</v>
      </c>
      <c r="B3023" s="2">
        <v>44720.0</v>
      </c>
      <c r="C3023" s="3">
        <v>0.3277893518518519</v>
      </c>
      <c r="D3023" s="1">
        <v>12.995932</v>
      </c>
      <c r="E3023" s="1">
        <v>80.189432</v>
      </c>
      <c r="F3023" s="1">
        <v>805.0</v>
      </c>
      <c r="G3023" s="1">
        <v>16.0</v>
      </c>
    </row>
    <row r="3024">
      <c r="A3024" s="1" t="s">
        <v>8</v>
      </c>
      <c r="B3024" s="2">
        <v>44720.0</v>
      </c>
      <c r="C3024" s="3">
        <v>0.32792824074074073</v>
      </c>
      <c r="D3024" s="1">
        <v>12.99561</v>
      </c>
      <c r="E3024" s="1">
        <v>80.188826</v>
      </c>
      <c r="F3024" s="1">
        <v>805.0</v>
      </c>
      <c r="G3024" s="1">
        <v>34.0</v>
      </c>
    </row>
    <row r="3025">
      <c r="A3025" s="1" t="s">
        <v>7</v>
      </c>
      <c r="B3025" s="2">
        <v>44720.0</v>
      </c>
      <c r="C3025" s="3">
        <v>0.32850694444444445</v>
      </c>
      <c r="D3025" s="1">
        <v>13.087276</v>
      </c>
      <c r="E3025" s="1">
        <v>80.194908</v>
      </c>
      <c r="F3025" s="1">
        <v>3143.0</v>
      </c>
      <c r="G3025" s="1">
        <v>49.0</v>
      </c>
    </row>
    <row r="3026">
      <c r="A3026" s="1" t="s">
        <v>8</v>
      </c>
      <c r="B3026" s="2">
        <v>44720.0</v>
      </c>
      <c r="C3026" s="3">
        <v>0.32872685185185185</v>
      </c>
      <c r="D3026" s="1">
        <v>13.087369</v>
      </c>
      <c r="E3026" s="1">
        <v>80.192472</v>
      </c>
      <c r="F3026" s="1">
        <v>3143.0</v>
      </c>
      <c r="G3026" s="1">
        <v>39.0</v>
      </c>
    </row>
    <row r="3027">
      <c r="A3027" s="1" t="s">
        <v>8</v>
      </c>
      <c r="B3027" s="2">
        <v>44720.0</v>
      </c>
      <c r="C3027" s="3">
        <v>0.32873842592592595</v>
      </c>
      <c r="D3027" s="1">
        <v>13.087369</v>
      </c>
      <c r="E3027" s="1">
        <v>80.192472</v>
      </c>
      <c r="F3027" s="1">
        <v>3143.0</v>
      </c>
      <c r="G3027" s="1">
        <v>39.0</v>
      </c>
    </row>
    <row r="3028">
      <c r="A3028" s="1" t="s">
        <v>8</v>
      </c>
      <c r="B3028" s="2">
        <v>44720.0</v>
      </c>
      <c r="C3028" s="3">
        <v>0.3288773148148148</v>
      </c>
      <c r="D3028" s="1">
        <v>12.993966</v>
      </c>
      <c r="E3028" s="1">
        <v>80.185576</v>
      </c>
      <c r="F3028" s="1">
        <v>805.0</v>
      </c>
      <c r="G3028" s="1">
        <v>22.0</v>
      </c>
    </row>
    <row r="3029">
      <c r="A3029" s="1" t="s">
        <v>10</v>
      </c>
      <c r="B3029" s="2">
        <v>44720.0</v>
      </c>
      <c r="C3029" s="3">
        <v>0.32913194444444444</v>
      </c>
      <c r="D3029" s="1">
        <v>12.948754</v>
      </c>
      <c r="E3029" s="1">
        <v>80.185208</v>
      </c>
      <c r="F3029" s="1">
        <v>2846.0</v>
      </c>
      <c r="G3029" s="1">
        <v>17.0</v>
      </c>
    </row>
    <row r="3030">
      <c r="A3030" s="1" t="s">
        <v>10</v>
      </c>
      <c r="B3030" s="2">
        <v>44720.0</v>
      </c>
      <c r="C3030" s="3">
        <v>0.329224537037037</v>
      </c>
      <c r="D3030" s="1">
        <v>12.948182</v>
      </c>
      <c r="E3030" s="1">
        <v>80.18506</v>
      </c>
      <c r="F3030" s="1">
        <v>2846.0</v>
      </c>
      <c r="G3030" s="1">
        <v>28.0</v>
      </c>
    </row>
    <row r="3031">
      <c r="A3031" s="1" t="s">
        <v>8</v>
      </c>
      <c r="B3031" s="2">
        <v>44720.0</v>
      </c>
      <c r="C3031" s="3">
        <v>0.32935185185185184</v>
      </c>
      <c r="D3031" s="1">
        <v>12.990352</v>
      </c>
      <c r="E3031" s="1">
        <v>80.180119</v>
      </c>
      <c r="F3031" s="1">
        <v>805.0</v>
      </c>
      <c r="G3031" s="1">
        <v>57.0</v>
      </c>
    </row>
    <row r="3032">
      <c r="A3032" s="1" t="s">
        <v>8</v>
      </c>
      <c r="B3032" s="2">
        <v>44720.0</v>
      </c>
      <c r="C3032" s="3">
        <v>0.3294097222222222</v>
      </c>
      <c r="D3032" s="1">
        <v>12.990352</v>
      </c>
      <c r="E3032" s="1">
        <v>80.180119</v>
      </c>
      <c r="F3032" s="1">
        <v>805.0</v>
      </c>
      <c r="G3032" s="1">
        <v>57.0</v>
      </c>
    </row>
    <row r="3033">
      <c r="A3033" s="1" t="s">
        <v>8</v>
      </c>
      <c r="B3033" s="2">
        <v>44720.0</v>
      </c>
      <c r="C3033" s="3">
        <v>0.33015046296296297</v>
      </c>
      <c r="D3033" s="1">
        <v>12.98939</v>
      </c>
      <c r="E3033" s="1">
        <v>80.178934</v>
      </c>
      <c r="F3033" s="1">
        <v>805.0</v>
      </c>
      <c r="G3033" s="1">
        <v>20.0</v>
      </c>
    </row>
    <row r="3034">
      <c r="A3034" s="1" t="s">
        <v>8</v>
      </c>
      <c r="B3034" s="2">
        <v>44720.0</v>
      </c>
      <c r="C3034" s="3">
        <v>0.3303587962962963</v>
      </c>
      <c r="D3034" s="1">
        <v>12.988891</v>
      </c>
      <c r="E3034" s="1">
        <v>80.178308</v>
      </c>
      <c r="F3034" s="1">
        <v>805.0</v>
      </c>
      <c r="G3034" s="1">
        <v>39.0</v>
      </c>
    </row>
    <row r="3035">
      <c r="A3035" s="1" t="s">
        <v>8</v>
      </c>
      <c r="B3035" s="2">
        <v>44720.0</v>
      </c>
      <c r="C3035" s="3">
        <v>0.3305439814814815</v>
      </c>
      <c r="D3035" s="1">
        <v>12.987537</v>
      </c>
      <c r="E3035" s="1">
        <v>80.176375</v>
      </c>
      <c r="F3035" s="1">
        <v>805.0</v>
      </c>
      <c r="G3035" s="1">
        <v>49.0</v>
      </c>
    </row>
    <row r="3036">
      <c r="A3036" s="1" t="s">
        <v>7</v>
      </c>
      <c r="B3036" s="2">
        <v>44720.0</v>
      </c>
      <c r="C3036" s="3">
        <v>0.33099537037037036</v>
      </c>
      <c r="D3036" s="1">
        <v>12.983551</v>
      </c>
      <c r="E3036" s="1">
        <v>80.170327</v>
      </c>
      <c r="F3036" s="1">
        <v>805.0</v>
      </c>
      <c r="G3036" s="1">
        <v>58.0</v>
      </c>
    </row>
    <row r="3037">
      <c r="A3037" s="1" t="s">
        <v>8</v>
      </c>
      <c r="B3037" s="2">
        <v>44720.0</v>
      </c>
      <c r="C3037" s="3">
        <v>0.33100694444444445</v>
      </c>
      <c r="D3037" s="1">
        <v>12.983551</v>
      </c>
      <c r="E3037" s="1">
        <v>80.170327</v>
      </c>
      <c r="F3037" s="1">
        <v>805.0</v>
      </c>
      <c r="G3037" s="1">
        <v>58.0</v>
      </c>
    </row>
    <row r="3038">
      <c r="A3038" s="1" t="s">
        <v>7</v>
      </c>
      <c r="B3038" s="2">
        <v>44720.0</v>
      </c>
      <c r="C3038" s="3">
        <v>0.3311226851851852</v>
      </c>
      <c r="D3038" s="1">
        <v>12.983551</v>
      </c>
      <c r="E3038" s="1">
        <v>80.170327</v>
      </c>
      <c r="F3038" s="1">
        <v>805.0</v>
      </c>
      <c r="G3038" s="1">
        <v>58.0</v>
      </c>
    </row>
    <row r="3039">
      <c r="A3039" s="1" t="s">
        <v>7</v>
      </c>
      <c r="B3039" s="2">
        <v>44720.0</v>
      </c>
      <c r="C3039" s="3">
        <v>0.3312037037037037</v>
      </c>
      <c r="D3039" s="1">
        <v>12.982806</v>
      </c>
      <c r="E3039" s="1">
        <v>80.169084</v>
      </c>
      <c r="F3039" s="1">
        <v>805.0</v>
      </c>
      <c r="G3039" s="1">
        <v>57.0</v>
      </c>
    </row>
    <row r="3040">
      <c r="A3040" s="1" t="s">
        <v>7</v>
      </c>
      <c r="B3040" s="2">
        <v>44720.0</v>
      </c>
      <c r="C3040" s="3">
        <v>0.33131944444444444</v>
      </c>
      <c r="D3040" s="1">
        <v>12.981266</v>
      </c>
      <c r="E3040" s="1">
        <v>80.166562</v>
      </c>
      <c r="F3040" s="1">
        <v>805.0</v>
      </c>
      <c r="G3040" s="1">
        <v>57.0</v>
      </c>
    </row>
    <row r="3041">
      <c r="A3041" s="1" t="s">
        <v>8</v>
      </c>
      <c r="B3041" s="2">
        <v>44720.0</v>
      </c>
      <c r="C3041" s="3">
        <v>0.3318402777777778</v>
      </c>
      <c r="D3041" s="1">
        <v>12.979763</v>
      </c>
      <c r="E3041" s="1">
        <v>80.162731</v>
      </c>
      <c r="F3041" s="1">
        <v>805.0</v>
      </c>
      <c r="G3041" s="1">
        <v>31.0</v>
      </c>
    </row>
    <row r="3042">
      <c r="A3042" s="1" t="s">
        <v>8</v>
      </c>
      <c r="B3042" s="2">
        <v>44720.0</v>
      </c>
      <c r="C3042" s="3">
        <v>0.3320138888888889</v>
      </c>
      <c r="D3042" s="1">
        <v>12.979186</v>
      </c>
      <c r="E3042" s="1">
        <v>80.161788</v>
      </c>
      <c r="F3042" s="1">
        <v>805.0</v>
      </c>
      <c r="G3042" s="1">
        <v>50.0</v>
      </c>
    </row>
    <row r="3043">
      <c r="A3043" s="1" t="s">
        <v>7</v>
      </c>
      <c r="B3043" s="2">
        <v>44720.0</v>
      </c>
      <c r="C3043" s="3">
        <v>0.3321875</v>
      </c>
      <c r="D3043" s="1">
        <v>12.977561</v>
      </c>
      <c r="E3043" s="1">
        <v>80.159461</v>
      </c>
      <c r="F3043" s="1">
        <v>805.0</v>
      </c>
      <c r="G3043" s="1">
        <v>57.0</v>
      </c>
    </row>
    <row r="3044">
      <c r="A3044" s="1" t="s">
        <v>8</v>
      </c>
      <c r="B3044" s="2">
        <v>44720.0</v>
      </c>
      <c r="C3044" s="3">
        <v>0.3322800925925926</v>
      </c>
      <c r="D3044" s="1">
        <v>12.976741</v>
      </c>
      <c r="E3044" s="1">
        <v>80.15823</v>
      </c>
      <c r="F3044" s="1">
        <v>805.0</v>
      </c>
      <c r="G3044" s="1">
        <v>57.0</v>
      </c>
    </row>
    <row r="3045">
      <c r="A3045" s="1" t="s">
        <v>8</v>
      </c>
      <c r="B3045" s="2">
        <v>44720.0</v>
      </c>
      <c r="C3045" s="3">
        <v>0.33229166666666665</v>
      </c>
      <c r="D3045" s="1">
        <v>12.976741</v>
      </c>
      <c r="E3045" s="1">
        <v>80.15823</v>
      </c>
      <c r="F3045" s="1">
        <v>805.0</v>
      </c>
      <c r="G3045" s="1">
        <v>57.0</v>
      </c>
    </row>
    <row r="3046">
      <c r="A3046" s="1" t="s">
        <v>10</v>
      </c>
      <c r="B3046" s="2">
        <v>44720.0</v>
      </c>
      <c r="C3046" s="3">
        <v>0.3323611111111111</v>
      </c>
      <c r="D3046" s="1">
        <v>12.940891</v>
      </c>
      <c r="E3046" s="1">
        <v>80.182849</v>
      </c>
      <c r="F3046" s="1">
        <v>2846.0</v>
      </c>
      <c r="G3046" s="1">
        <v>19.0</v>
      </c>
    </row>
    <row r="3047">
      <c r="A3047" s="1" t="s">
        <v>10</v>
      </c>
      <c r="B3047" s="2">
        <v>44720.0</v>
      </c>
      <c r="C3047" s="3">
        <v>0.33247685185185183</v>
      </c>
      <c r="D3047" s="1">
        <v>13.08839</v>
      </c>
      <c r="E3047" s="1">
        <v>80.174349</v>
      </c>
      <c r="F3047" s="1">
        <v>3143.0</v>
      </c>
      <c r="G3047" s="1">
        <v>16.0</v>
      </c>
    </row>
    <row r="3048">
      <c r="A3048" s="1" t="s">
        <v>8</v>
      </c>
      <c r="B3048" s="2">
        <v>44720.0</v>
      </c>
      <c r="C3048" s="3">
        <v>0.33247685185185183</v>
      </c>
      <c r="D3048" s="1">
        <v>12.975228</v>
      </c>
      <c r="E3048" s="1">
        <v>80.155947</v>
      </c>
      <c r="F3048" s="1">
        <v>805.0</v>
      </c>
      <c r="G3048" s="1">
        <v>51.0</v>
      </c>
    </row>
    <row r="3049">
      <c r="A3049" s="1" t="s">
        <v>8</v>
      </c>
      <c r="B3049" s="2">
        <v>44720.0</v>
      </c>
      <c r="C3049" s="3">
        <v>0.3325462962962963</v>
      </c>
      <c r="D3049" s="1">
        <v>12.975228</v>
      </c>
      <c r="E3049" s="1">
        <v>80.155947</v>
      </c>
      <c r="F3049" s="1">
        <v>805.0</v>
      </c>
      <c r="G3049" s="1">
        <v>51.0</v>
      </c>
    </row>
    <row r="3050">
      <c r="A3050" s="1" t="s">
        <v>8</v>
      </c>
      <c r="B3050" s="2">
        <v>44720.0</v>
      </c>
      <c r="C3050" s="3">
        <v>0.3334375</v>
      </c>
      <c r="D3050" s="1">
        <v>12.969722</v>
      </c>
      <c r="E3050" s="1">
        <v>80.150282</v>
      </c>
      <c r="F3050" s="1">
        <v>805.0</v>
      </c>
      <c r="G3050" s="1">
        <v>43.0</v>
      </c>
    </row>
    <row r="3051">
      <c r="A3051" s="1" t="s">
        <v>10</v>
      </c>
      <c r="B3051" s="2">
        <v>44720.0</v>
      </c>
      <c r="C3051" s="3">
        <v>0.33422453703703703</v>
      </c>
      <c r="D3051" s="1">
        <v>12.966758</v>
      </c>
      <c r="E3051" s="1">
        <v>80.148967</v>
      </c>
      <c r="F3051" s="1">
        <v>805.0</v>
      </c>
      <c r="G3051" s="1">
        <v>13.0</v>
      </c>
    </row>
    <row r="3052">
      <c r="A3052" s="1" t="s">
        <v>8</v>
      </c>
      <c r="B3052" s="2">
        <v>44720.0</v>
      </c>
      <c r="C3052" s="3">
        <v>0.3345023148148148</v>
      </c>
      <c r="D3052" s="1">
        <v>12.966012</v>
      </c>
      <c r="E3052" s="1">
        <v>80.148576</v>
      </c>
      <c r="F3052" s="1">
        <v>805.0</v>
      </c>
      <c r="G3052" s="1">
        <v>32.0</v>
      </c>
    </row>
    <row r="3053">
      <c r="A3053" s="1" t="s">
        <v>8</v>
      </c>
      <c r="B3053" s="2">
        <v>44720.0</v>
      </c>
      <c r="C3053" s="3">
        <v>0.3348726851851852</v>
      </c>
      <c r="D3053" s="1">
        <v>13.089062</v>
      </c>
      <c r="E3053" s="1">
        <v>80.162826</v>
      </c>
      <c r="F3053" s="1">
        <v>3143.0</v>
      </c>
      <c r="G3053" s="1">
        <v>33.0</v>
      </c>
    </row>
    <row r="3054">
      <c r="A3054" s="1" t="s">
        <v>8</v>
      </c>
      <c r="B3054" s="2">
        <v>44720.0</v>
      </c>
      <c r="C3054" s="3">
        <v>0.33503472222222225</v>
      </c>
      <c r="D3054" s="1">
        <v>12.960581</v>
      </c>
      <c r="E3054" s="1">
        <v>80.145617</v>
      </c>
      <c r="F3054" s="1">
        <v>805.0</v>
      </c>
      <c r="G3054" s="1">
        <v>56.0</v>
      </c>
    </row>
    <row r="3055">
      <c r="A3055" s="1" t="s">
        <v>8</v>
      </c>
      <c r="B3055" s="2">
        <v>44720.0</v>
      </c>
      <c r="C3055" s="3">
        <v>0.3352662037037037</v>
      </c>
      <c r="D3055" s="1">
        <v>12.958559</v>
      </c>
      <c r="E3055" s="1">
        <v>80.144515</v>
      </c>
      <c r="F3055" s="1">
        <v>805.0</v>
      </c>
      <c r="G3055" s="1">
        <v>42.0</v>
      </c>
    </row>
    <row r="3056">
      <c r="A3056" s="1" t="s">
        <v>8</v>
      </c>
      <c r="B3056" s="2">
        <v>44720.0</v>
      </c>
      <c r="C3056" s="3">
        <v>0.3354050925925926</v>
      </c>
      <c r="D3056" s="1">
        <v>12.9578</v>
      </c>
      <c r="E3056" s="1">
        <v>80.14414</v>
      </c>
      <c r="F3056" s="1">
        <v>805.0</v>
      </c>
      <c r="G3056" s="1">
        <v>28.0</v>
      </c>
    </row>
    <row r="3057">
      <c r="A3057" s="1" t="s">
        <v>8</v>
      </c>
      <c r="B3057" s="2">
        <v>44720.0</v>
      </c>
      <c r="C3057" s="3">
        <v>0.335625</v>
      </c>
      <c r="D3057" s="1">
        <v>12.956291</v>
      </c>
      <c r="E3057" s="1">
        <v>80.143327</v>
      </c>
      <c r="F3057" s="1">
        <v>805.0</v>
      </c>
      <c r="G3057" s="1">
        <v>37.0</v>
      </c>
    </row>
    <row r="3058">
      <c r="A3058" s="1" t="s">
        <v>8</v>
      </c>
      <c r="B3058" s="2">
        <v>44720.0</v>
      </c>
      <c r="C3058" s="3">
        <v>0.3368287037037037</v>
      </c>
      <c r="D3058" s="1">
        <v>12.952473</v>
      </c>
      <c r="E3058" s="1">
        <v>80.141106</v>
      </c>
      <c r="F3058" s="1">
        <v>805.0</v>
      </c>
      <c r="G3058" s="1">
        <v>22.0</v>
      </c>
    </row>
    <row r="3059">
      <c r="A3059" s="1" t="s">
        <v>8</v>
      </c>
      <c r="B3059" s="2">
        <v>44720.0</v>
      </c>
      <c r="C3059" s="3">
        <v>0.3375925925925926</v>
      </c>
      <c r="D3059" s="1">
        <v>12.950582</v>
      </c>
      <c r="E3059" s="1">
        <v>80.139727</v>
      </c>
      <c r="F3059" s="1">
        <v>805.0</v>
      </c>
      <c r="G3059" s="1">
        <v>18.0</v>
      </c>
    </row>
    <row r="3060">
      <c r="A3060" s="1" t="s">
        <v>8</v>
      </c>
      <c r="B3060" s="2">
        <v>44720.0</v>
      </c>
      <c r="C3060" s="3">
        <v>0.33793981481481483</v>
      </c>
      <c r="D3060" s="1">
        <v>12.948386</v>
      </c>
      <c r="E3060" s="1">
        <v>80.137925</v>
      </c>
      <c r="F3060" s="1">
        <v>805.0</v>
      </c>
      <c r="G3060" s="1">
        <v>46.0</v>
      </c>
    </row>
    <row r="3061">
      <c r="A3061" s="1" t="s">
        <v>8</v>
      </c>
      <c r="B3061" s="2">
        <v>44720.0</v>
      </c>
      <c r="C3061" s="3">
        <v>0.33837962962962964</v>
      </c>
      <c r="D3061" s="1">
        <v>12.944272</v>
      </c>
      <c r="E3061" s="1">
        <v>80.134853</v>
      </c>
      <c r="F3061" s="1">
        <v>805.0</v>
      </c>
      <c r="G3061" s="1">
        <v>48.0</v>
      </c>
    </row>
    <row r="3062">
      <c r="A3062" s="1" t="s">
        <v>8</v>
      </c>
      <c r="B3062" s="2">
        <v>44720.0</v>
      </c>
      <c r="C3062" s="3">
        <v>0.3398726851851852</v>
      </c>
      <c r="D3062" s="1">
        <v>13.082946</v>
      </c>
      <c r="E3062" s="1">
        <v>80.161586</v>
      </c>
      <c r="F3062" s="1">
        <v>3143.0</v>
      </c>
      <c r="G3062" s="1">
        <v>32.0</v>
      </c>
    </row>
    <row r="3063">
      <c r="A3063" s="1" t="s">
        <v>8</v>
      </c>
      <c r="B3063" s="2">
        <v>44720.0</v>
      </c>
      <c r="C3063" s="3">
        <v>0.33998842592592593</v>
      </c>
      <c r="D3063" s="1">
        <v>13.082012</v>
      </c>
      <c r="E3063" s="1">
        <v>80.161532</v>
      </c>
      <c r="F3063" s="1">
        <v>3143.0</v>
      </c>
      <c r="G3063" s="1">
        <v>36.0</v>
      </c>
    </row>
    <row r="3064">
      <c r="A3064" s="1" t="s">
        <v>8</v>
      </c>
      <c r="B3064" s="2">
        <v>44720.0</v>
      </c>
      <c r="C3064" s="3">
        <v>0.34011574074074075</v>
      </c>
      <c r="D3064" s="1">
        <v>13.081044</v>
      </c>
      <c r="E3064" s="1">
        <v>80.161462</v>
      </c>
      <c r="F3064" s="1">
        <v>3143.0</v>
      </c>
      <c r="G3064" s="1">
        <v>40.0</v>
      </c>
    </row>
    <row r="3065">
      <c r="A3065" s="1" t="s">
        <v>8</v>
      </c>
      <c r="B3065" s="2">
        <v>44720.0</v>
      </c>
      <c r="C3065" s="3">
        <v>0.34041666666666665</v>
      </c>
      <c r="D3065" s="1">
        <v>12.920986</v>
      </c>
      <c r="E3065" s="1">
        <v>80.167295</v>
      </c>
      <c r="F3065" s="1">
        <v>2846.0</v>
      </c>
      <c r="G3065" s="1">
        <v>31.0</v>
      </c>
    </row>
    <row r="3066">
      <c r="A3066" s="1" t="s">
        <v>7</v>
      </c>
      <c r="B3066" s="2">
        <v>44720.0</v>
      </c>
      <c r="C3066" s="3">
        <v>0.3424189814814815</v>
      </c>
      <c r="D3066" s="1">
        <v>12.923196</v>
      </c>
      <c r="E3066" s="1">
        <v>80.114429</v>
      </c>
      <c r="F3066" s="1">
        <v>805.0</v>
      </c>
      <c r="G3066" s="1">
        <v>54.0</v>
      </c>
    </row>
    <row r="3067">
      <c r="A3067" s="1" t="s">
        <v>7</v>
      </c>
      <c r="B3067" s="2">
        <v>44720.0</v>
      </c>
      <c r="C3067" s="3">
        <v>0.34252314814814816</v>
      </c>
      <c r="D3067" s="1">
        <v>12.920152</v>
      </c>
      <c r="E3067" s="1">
        <v>80.111325</v>
      </c>
      <c r="F3067" s="1">
        <v>805.0</v>
      </c>
      <c r="G3067" s="1">
        <v>58.0</v>
      </c>
    </row>
    <row r="3068">
      <c r="A3068" s="1" t="s">
        <v>7</v>
      </c>
      <c r="B3068" s="2">
        <v>44720.0</v>
      </c>
      <c r="C3068" s="3">
        <v>0.3429050925925926</v>
      </c>
      <c r="D3068" s="1">
        <v>13.073444</v>
      </c>
      <c r="E3068" s="1">
        <v>80.161135</v>
      </c>
      <c r="F3068" s="1">
        <v>3143.0</v>
      </c>
      <c r="G3068" s="1">
        <v>43.0</v>
      </c>
    </row>
    <row r="3069">
      <c r="A3069" s="1" t="s">
        <v>8</v>
      </c>
      <c r="B3069" s="2">
        <v>44720.0</v>
      </c>
      <c r="C3069" s="3">
        <v>0.34292824074074074</v>
      </c>
      <c r="D3069" s="1">
        <v>12.922609</v>
      </c>
      <c r="E3069" s="1">
        <v>80.149611</v>
      </c>
      <c r="F3069" s="1">
        <v>2846.0</v>
      </c>
      <c r="G3069" s="1">
        <v>32.0</v>
      </c>
    </row>
    <row r="3070">
      <c r="A3070" s="1" t="s">
        <v>7</v>
      </c>
      <c r="B3070" s="2">
        <v>44720.0</v>
      </c>
      <c r="C3070" s="3">
        <v>0.3429976851851852</v>
      </c>
      <c r="D3070" s="1">
        <v>13.072182</v>
      </c>
      <c r="E3070" s="1">
        <v>80.161122</v>
      </c>
      <c r="F3070" s="1">
        <v>3143.0</v>
      </c>
      <c r="G3070" s="1">
        <v>57.0</v>
      </c>
    </row>
    <row r="3071">
      <c r="A3071" s="1" t="s">
        <v>8</v>
      </c>
      <c r="B3071" s="2">
        <v>44720.0</v>
      </c>
      <c r="C3071" s="3">
        <v>0.3433333333333333</v>
      </c>
      <c r="D3071" s="1">
        <v>12.920152</v>
      </c>
      <c r="E3071" s="1">
        <v>80.111325</v>
      </c>
      <c r="F3071" s="1">
        <v>805.0</v>
      </c>
      <c r="G3071" s="1">
        <v>58.0</v>
      </c>
    </row>
    <row r="3072">
      <c r="A3072" s="1" t="s">
        <v>8</v>
      </c>
      <c r="B3072" s="2">
        <v>44720.0</v>
      </c>
      <c r="C3072" s="3">
        <v>0.3437847222222222</v>
      </c>
      <c r="D3072" s="1">
        <v>12.920152</v>
      </c>
      <c r="E3072" s="1">
        <v>80.111325</v>
      </c>
      <c r="F3072" s="1">
        <v>805.0</v>
      </c>
      <c r="G3072" s="1">
        <v>58.0</v>
      </c>
    </row>
    <row r="3073">
      <c r="A3073" s="1" t="s">
        <v>8</v>
      </c>
      <c r="B3073" s="2">
        <v>44720.0</v>
      </c>
      <c r="C3073" s="3">
        <v>0.34391203703703704</v>
      </c>
      <c r="D3073" s="1">
        <v>12.909416</v>
      </c>
      <c r="E3073" s="1">
        <v>80.099408</v>
      </c>
      <c r="F3073" s="1">
        <v>805.0</v>
      </c>
      <c r="G3073" s="1">
        <v>44.0</v>
      </c>
    </row>
    <row r="3074">
      <c r="A3074" s="1" t="s">
        <v>8</v>
      </c>
      <c r="B3074" s="2">
        <v>44720.0</v>
      </c>
      <c r="C3074" s="3">
        <v>0.3441550925925926</v>
      </c>
      <c r="D3074" s="1">
        <v>12.908546</v>
      </c>
      <c r="E3074" s="1">
        <v>80.098211</v>
      </c>
      <c r="F3074" s="1">
        <v>805.0</v>
      </c>
      <c r="G3074" s="1">
        <v>29.0</v>
      </c>
    </row>
    <row r="3075">
      <c r="A3075" s="1" t="s">
        <v>8</v>
      </c>
      <c r="B3075" s="2">
        <v>44720.0</v>
      </c>
      <c r="C3075" s="3">
        <v>0.3451273148148148</v>
      </c>
      <c r="D3075" s="1">
        <v>13.053</v>
      </c>
      <c r="E3075" s="1">
        <v>80.153774</v>
      </c>
      <c r="F3075" s="1">
        <v>3143.0</v>
      </c>
      <c r="G3075" s="1">
        <v>59.0</v>
      </c>
    </row>
    <row r="3076">
      <c r="A3076" s="1" t="s">
        <v>8</v>
      </c>
      <c r="B3076" s="2">
        <v>44720.0</v>
      </c>
      <c r="C3076" s="3">
        <v>0.3452777777777778</v>
      </c>
      <c r="D3076" s="1">
        <v>12.903814</v>
      </c>
      <c r="E3076" s="1">
        <v>80.094476</v>
      </c>
      <c r="F3076" s="1">
        <v>805.0</v>
      </c>
      <c r="G3076" s="1">
        <v>42.0</v>
      </c>
    </row>
    <row r="3077">
      <c r="A3077" s="1" t="s">
        <v>8</v>
      </c>
      <c r="B3077" s="2">
        <v>44720.0</v>
      </c>
      <c r="C3077" s="3">
        <v>0.3454050925925926</v>
      </c>
      <c r="D3077" s="1">
        <v>12.903056</v>
      </c>
      <c r="E3077" s="1">
        <v>80.093837</v>
      </c>
      <c r="F3077" s="1">
        <v>805.0</v>
      </c>
      <c r="G3077" s="1">
        <v>37.0</v>
      </c>
    </row>
    <row r="3078">
      <c r="A3078" s="1" t="s">
        <v>9</v>
      </c>
      <c r="B3078" s="2">
        <v>44720.0</v>
      </c>
      <c r="C3078" s="3">
        <v>0.34541666666666665</v>
      </c>
      <c r="D3078" s="1">
        <v>13.049052</v>
      </c>
      <c r="E3078" s="1">
        <v>80.149902</v>
      </c>
      <c r="F3078" s="1">
        <v>3143.0</v>
      </c>
      <c r="G3078" s="1">
        <v>58.0</v>
      </c>
    </row>
    <row r="3079">
      <c r="A3079" s="1" t="s">
        <v>7</v>
      </c>
      <c r="B3079" s="2">
        <v>44720.0</v>
      </c>
      <c r="C3079" s="3">
        <v>0.34546296296296297</v>
      </c>
      <c r="D3079" s="1">
        <v>13.011778</v>
      </c>
      <c r="E3079" s="1">
        <v>80.127567</v>
      </c>
      <c r="F3079" s="1">
        <v>1995.0</v>
      </c>
      <c r="G3079" s="1">
        <v>55.0</v>
      </c>
    </row>
    <row r="3080">
      <c r="A3080" s="1" t="s">
        <v>8</v>
      </c>
      <c r="B3080" s="2">
        <v>44720.0</v>
      </c>
      <c r="C3080" s="3">
        <v>0.3463425925925926</v>
      </c>
      <c r="D3080" s="1">
        <v>12.896673</v>
      </c>
      <c r="E3080" s="1">
        <v>80.088979</v>
      </c>
      <c r="F3080" s="1">
        <v>805.0</v>
      </c>
      <c r="G3080" s="1">
        <v>25.0</v>
      </c>
    </row>
    <row r="3081">
      <c r="A3081" s="1" t="s">
        <v>8</v>
      </c>
      <c r="B3081" s="2">
        <v>44720.0</v>
      </c>
      <c r="C3081" s="3">
        <v>0.3466087962962963</v>
      </c>
      <c r="D3081" s="1">
        <v>12.895014</v>
      </c>
      <c r="E3081" s="1">
        <v>80.08776</v>
      </c>
      <c r="F3081" s="1">
        <v>805.0</v>
      </c>
      <c r="G3081" s="1">
        <v>52.0</v>
      </c>
    </row>
    <row r="3082">
      <c r="A3082" s="1" t="s">
        <v>8</v>
      </c>
      <c r="B3082" s="2">
        <v>44720.0</v>
      </c>
      <c r="C3082" s="3">
        <v>0.3467824074074074</v>
      </c>
      <c r="D3082" s="1">
        <v>12.892882</v>
      </c>
      <c r="E3082" s="1">
        <v>80.086169</v>
      </c>
      <c r="F3082" s="1">
        <v>805.0</v>
      </c>
      <c r="G3082" s="1">
        <v>48.0</v>
      </c>
    </row>
    <row r="3083">
      <c r="A3083" s="1" t="s">
        <v>7</v>
      </c>
      <c r="B3083" s="2">
        <v>44720.0</v>
      </c>
      <c r="C3083" s="3">
        <v>0.34694444444444444</v>
      </c>
      <c r="D3083" s="1">
        <v>12.892122</v>
      </c>
      <c r="E3083" s="1">
        <v>80.085605</v>
      </c>
      <c r="F3083" s="1">
        <v>805.0</v>
      </c>
      <c r="G3083" s="1">
        <v>39.0</v>
      </c>
    </row>
    <row r="3084">
      <c r="A3084" s="1" t="s">
        <v>10</v>
      </c>
      <c r="B3084" s="2">
        <v>44720.0</v>
      </c>
      <c r="C3084" s="3">
        <v>0.3475925925925926</v>
      </c>
      <c r="D3084" s="1">
        <v>12.922605</v>
      </c>
      <c r="E3084" s="1">
        <v>80.133882</v>
      </c>
      <c r="F3084" s="1">
        <v>2846.0</v>
      </c>
      <c r="G3084" s="1">
        <v>29.0</v>
      </c>
    </row>
    <row r="3085">
      <c r="A3085" s="1" t="s">
        <v>8</v>
      </c>
      <c r="B3085" s="2">
        <v>44720.0</v>
      </c>
      <c r="C3085" s="3">
        <v>0.347662037037037</v>
      </c>
      <c r="D3085" s="1">
        <v>12.884213</v>
      </c>
      <c r="E3085" s="1">
        <v>80.082292</v>
      </c>
      <c r="F3085" s="1">
        <v>805.0</v>
      </c>
      <c r="G3085" s="1">
        <v>56.0</v>
      </c>
    </row>
    <row r="3086">
      <c r="A3086" s="1" t="s">
        <v>8</v>
      </c>
      <c r="B3086" s="2">
        <v>44720.0</v>
      </c>
      <c r="C3086" s="3">
        <v>0.34804398148148147</v>
      </c>
      <c r="D3086" s="1">
        <v>12.922682</v>
      </c>
      <c r="E3086" s="1">
        <v>80.132393</v>
      </c>
      <c r="F3086" s="1">
        <v>2846.0</v>
      </c>
      <c r="G3086" s="1">
        <v>27.0</v>
      </c>
    </row>
    <row r="3087">
      <c r="A3087" s="1" t="s">
        <v>8</v>
      </c>
      <c r="B3087" s="2">
        <v>44720.0</v>
      </c>
      <c r="C3087" s="3">
        <v>0.34966435185185185</v>
      </c>
      <c r="D3087" s="1">
        <v>12.923258</v>
      </c>
      <c r="E3087" s="1">
        <v>80.120687</v>
      </c>
      <c r="F3087" s="1">
        <v>2846.0</v>
      </c>
      <c r="G3087" s="1">
        <v>33.0</v>
      </c>
    </row>
    <row r="3088">
      <c r="A3088" s="1" t="s">
        <v>8</v>
      </c>
      <c r="B3088" s="2">
        <v>44720.0</v>
      </c>
      <c r="C3088" s="3">
        <v>0.34984953703703703</v>
      </c>
      <c r="D3088" s="1">
        <v>12.923408</v>
      </c>
      <c r="E3088" s="1">
        <v>80.118882</v>
      </c>
      <c r="F3088" s="1">
        <v>2846.0</v>
      </c>
      <c r="G3088" s="1">
        <v>42.0</v>
      </c>
    </row>
    <row r="3089">
      <c r="A3089" s="1" t="s">
        <v>7</v>
      </c>
      <c r="B3089" s="2">
        <v>44720.0</v>
      </c>
      <c r="C3089" s="3">
        <v>0.35052083333333334</v>
      </c>
      <c r="D3089" s="1">
        <v>12.951457</v>
      </c>
      <c r="E3089" s="1">
        <v>80.114937</v>
      </c>
      <c r="F3089" s="1">
        <v>1995.0</v>
      </c>
      <c r="G3089" s="1">
        <v>58.0</v>
      </c>
    </row>
    <row r="3090">
      <c r="A3090" s="1" t="s">
        <v>7</v>
      </c>
      <c r="B3090" s="2">
        <v>44720.0</v>
      </c>
      <c r="C3090" s="3">
        <v>0.3508449074074074</v>
      </c>
      <c r="D3090" s="1">
        <v>12.950195</v>
      </c>
      <c r="E3090" s="1">
        <v>80.11067</v>
      </c>
      <c r="F3090" s="1">
        <v>1995.0</v>
      </c>
      <c r="G3090" s="1">
        <v>57.0</v>
      </c>
    </row>
    <row r="3091">
      <c r="A3091" s="1" t="s">
        <v>7</v>
      </c>
      <c r="B3091" s="2">
        <v>44720.0</v>
      </c>
      <c r="C3091" s="3">
        <v>0.3511111111111111</v>
      </c>
      <c r="D3091" s="1">
        <v>12.921512</v>
      </c>
      <c r="E3091" s="1">
        <v>80.112888</v>
      </c>
      <c r="F3091" s="1">
        <v>2846.0</v>
      </c>
      <c r="G3091" s="1">
        <v>49.0</v>
      </c>
    </row>
    <row r="3092">
      <c r="A3092" s="1" t="s">
        <v>7</v>
      </c>
      <c r="B3092" s="2">
        <v>44720.0</v>
      </c>
      <c r="C3092" s="3">
        <v>0.3512962962962963</v>
      </c>
      <c r="D3092" s="1">
        <v>12.946238</v>
      </c>
      <c r="E3092" s="1">
        <v>80.106785</v>
      </c>
      <c r="F3092" s="1">
        <v>1995.0</v>
      </c>
      <c r="G3092" s="1">
        <v>0.0</v>
      </c>
    </row>
    <row r="3093">
      <c r="A3093" s="1" t="s">
        <v>7</v>
      </c>
      <c r="B3093" s="2">
        <v>44720.0</v>
      </c>
      <c r="C3093" s="3">
        <v>0.3514351851851852</v>
      </c>
      <c r="D3093" s="1">
        <v>13.001077</v>
      </c>
      <c r="E3093" s="1">
        <v>80.126274</v>
      </c>
      <c r="F3093" s="1">
        <v>3143.0</v>
      </c>
      <c r="G3093" s="1">
        <v>58.0</v>
      </c>
    </row>
    <row r="3094">
      <c r="A3094" s="1" t="s">
        <v>8</v>
      </c>
      <c r="B3094" s="2">
        <v>44720.0</v>
      </c>
      <c r="C3094" s="3">
        <v>0.35225694444444444</v>
      </c>
      <c r="D3094" s="1">
        <v>12.914408</v>
      </c>
      <c r="E3094" s="1">
        <v>80.10261</v>
      </c>
      <c r="F3094" s="1">
        <v>2846.0</v>
      </c>
      <c r="G3094" s="1">
        <v>49.0</v>
      </c>
    </row>
    <row r="3095">
      <c r="A3095" s="1" t="s">
        <v>8</v>
      </c>
      <c r="B3095" s="2">
        <v>44720.0</v>
      </c>
      <c r="C3095" s="3">
        <v>0.35237268518518516</v>
      </c>
      <c r="D3095" s="1">
        <v>12.913737</v>
      </c>
      <c r="E3095" s="1">
        <v>80.101823</v>
      </c>
      <c r="F3095" s="1">
        <v>2846.0</v>
      </c>
      <c r="G3095" s="1">
        <v>32.0</v>
      </c>
    </row>
    <row r="3096">
      <c r="A3096" s="1" t="s">
        <v>8</v>
      </c>
      <c r="B3096" s="2">
        <v>44720.0</v>
      </c>
      <c r="C3096" s="3">
        <v>0.3525462962962963</v>
      </c>
      <c r="D3096" s="1">
        <v>12.912224</v>
      </c>
      <c r="E3096" s="1">
        <v>80.101512</v>
      </c>
      <c r="F3096" s="1">
        <v>2846.0</v>
      </c>
      <c r="G3096" s="1">
        <v>25.0</v>
      </c>
    </row>
    <row r="3097">
      <c r="A3097" s="1" t="s">
        <v>8</v>
      </c>
      <c r="B3097" s="2">
        <v>44720.0</v>
      </c>
      <c r="C3097" s="3">
        <v>0.3525462962962963</v>
      </c>
      <c r="D3097" s="1">
        <v>12.912224</v>
      </c>
      <c r="E3097" s="1">
        <v>80.101512</v>
      </c>
      <c r="F3097" s="1">
        <v>2846.0</v>
      </c>
      <c r="G3097" s="1">
        <v>25.0</v>
      </c>
    </row>
    <row r="3098">
      <c r="A3098" s="1" t="s">
        <v>8</v>
      </c>
      <c r="B3098" s="2">
        <v>44720.0</v>
      </c>
      <c r="C3098" s="3">
        <v>0.352962962962963</v>
      </c>
      <c r="D3098" s="1">
        <v>12.909679</v>
      </c>
      <c r="E3098" s="1">
        <v>80.100035</v>
      </c>
      <c r="F3098" s="1">
        <v>2846.0</v>
      </c>
      <c r="G3098" s="1">
        <v>56.0</v>
      </c>
    </row>
    <row r="3099">
      <c r="A3099" s="1" t="s">
        <v>7</v>
      </c>
      <c r="B3099" s="2">
        <v>44720.0</v>
      </c>
      <c r="C3099" s="3">
        <v>0.3545949074074074</v>
      </c>
      <c r="D3099" s="1">
        <v>12.899237</v>
      </c>
      <c r="E3099" s="1">
        <v>80.09092</v>
      </c>
      <c r="F3099" s="1">
        <v>2846.0</v>
      </c>
      <c r="G3099" s="1">
        <v>52.0</v>
      </c>
    </row>
    <row r="3100">
      <c r="A3100" s="1" t="s">
        <v>7</v>
      </c>
      <c r="B3100" s="2">
        <v>44720.0</v>
      </c>
      <c r="C3100" s="3">
        <v>0.3546064814814815</v>
      </c>
      <c r="D3100" s="1">
        <v>12.963141</v>
      </c>
      <c r="E3100" s="1">
        <v>80.119207</v>
      </c>
      <c r="F3100" s="1">
        <v>3143.0</v>
      </c>
      <c r="G3100" s="1">
        <v>57.0</v>
      </c>
    </row>
    <row r="3101">
      <c r="A3101" s="1" t="s">
        <v>7</v>
      </c>
      <c r="B3101" s="2">
        <v>44720.0</v>
      </c>
      <c r="C3101" s="3">
        <v>0.35542824074074075</v>
      </c>
      <c r="D3101" s="1">
        <v>12.89324</v>
      </c>
      <c r="E3101" s="1">
        <v>80.086401</v>
      </c>
      <c r="F3101" s="1">
        <v>2846.0</v>
      </c>
      <c r="G3101" s="1">
        <v>49.0</v>
      </c>
    </row>
    <row r="3102">
      <c r="A3102" s="1" t="s">
        <v>7</v>
      </c>
      <c r="B3102" s="2">
        <v>44720.0</v>
      </c>
      <c r="C3102" s="3">
        <v>0.3555324074074074</v>
      </c>
      <c r="D3102" s="1">
        <v>12.952216</v>
      </c>
      <c r="E3102" s="1">
        <v>80.117058</v>
      </c>
      <c r="F3102" s="1">
        <v>3143.0</v>
      </c>
      <c r="G3102" s="1">
        <v>58.0</v>
      </c>
    </row>
    <row r="3103">
      <c r="A3103" s="1" t="s">
        <v>7</v>
      </c>
      <c r="B3103" s="2">
        <v>44720.0</v>
      </c>
      <c r="C3103" s="3">
        <v>0.3556828703703704</v>
      </c>
      <c r="D3103" s="1">
        <v>12.891208</v>
      </c>
      <c r="E3103" s="1">
        <v>80.085149</v>
      </c>
      <c r="F3103" s="1">
        <v>2846.0</v>
      </c>
      <c r="G3103" s="1">
        <v>49.0</v>
      </c>
    </row>
    <row r="3104">
      <c r="A3104" s="1" t="s">
        <v>8</v>
      </c>
      <c r="B3104" s="2">
        <v>44720.0</v>
      </c>
      <c r="C3104" s="3">
        <v>0.35572916666666665</v>
      </c>
      <c r="D3104" s="1">
        <v>12.891208</v>
      </c>
      <c r="E3104" s="1">
        <v>80.085149</v>
      </c>
      <c r="F3104" s="1">
        <v>2846.0</v>
      </c>
      <c r="G3104" s="1">
        <v>49.0</v>
      </c>
    </row>
    <row r="3105">
      <c r="A3105" s="1" t="s">
        <v>8</v>
      </c>
      <c r="B3105" s="2">
        <v>44720.0</v>
      </c>
      <c r="C3105" s="3">
        <v>0.35583333333333333</v>
      </c>
      <c r="D3105" s="1">
        <v>12.889964</v>
      </c>
      <c r="E3105" s="1">
        <v>80.084605</v>
      </c>
      <c r="F3105" s="1">
        <v>2846.0</v>
      </c>
      <c r="G3105" s="1">
        <v>55.0</v>
      </c>
    </row>
    <row r="3106">
      <c r="A3106" s="1" t="s">
        <v>7</v>
      </c>
      <c r="B3106" s="2">
        <v>44720.0</v>
      </c>
      <c r="C3106" s="3">
        <v>0.3560069444444444</v>
      </c>
      <c r="D3106" s="1">
        <v>12.887638</v>
      </c>
      <c r="E3106" s="1">
        <v>80.083661</v>
      </c>
      <c r="F3106" s="1">
        <v>2846.0</v>
      </c>
      <c r="G3106" s="1">
        <v>55.0</v>
      </c>
    </row>
    <row r="3107">
      <c r="A3107" s="1" t="s">
        <v>8</v>
      </c>
      <c r="B3107" s="2">
        <v>44720.0</v>
      </c>
      <c r="C3107" s="3">
        <v>0.35605324074074074</v>
      </c>
      <c r="D3107" s="1">
        <v>12.887638</v>
      </c>
      <c r="E3107" s="1">
        <v>80.083661</v>
      </c>
      <c r="F3107" s="1">
        <v>2846.0</v>
      </c>
      <c r="G3107" s="1">
        <v>55.0</v>
      </c>
    </row>
    <row r="3108">
      <c r="A3108" s="1" t="s">
        <v>8</v>
      </c>
      <c r="B3108" s="2">
        <v>44720.0</v>
      </c>
      <c r="C3108" s="3">
        <v>0.35609953703703706</v>
      </c>
      <c r="D3108" s="1">
        <v>12.886312</v>
      </c>
      <c r="E3108" s="1">
        <v>80.083108</v>
      </c>
      <c r="F3108" s="1">
        <v>2846.0</v>
      </c>
      <c r="G3108" s="1">
        <v>54.0</v>
      </c>
    </row>
    <row r="3109">
      <c r="A3109" s="1" t="s">
        <v>8</v>
      </c>
      <c r="B3109" s="2">
        <v>44720.0</v>
      </c>
      <c r="C3109" s="3">
        <v>0.3564236111111111</v>
      </c>
      <c r="D3109" s="1">
        <v>12.884308</v>
      </c>
      <c r="E3109" s="1">
        <v>80.082296</v>
      </c>
      <c r="F3109" s="1">
        <v>2846.0</v>
      </c>
      <c r="G3109" s="1">
        <v>37.0</v>
      </c>
    </row>
    <row r="3110">
      <c r="A3110" s="1" t="s">
        <v>8</v>
      </c>
      <c r="B3110" s="2">
        <v>44720.0</v>
      </c>
      <c r="C3110" s="3">
        <v>0.3566782407407407</v>
      </c>
      <c r="D3110" s="1">
        <v>12.881622</v>
      </c>
      <c r="E3110" s="1">
        <v>80.081282</v>
      </c>
      <c r="F3110" s="1">
        <v>2846.0</v>
      </c>
      <c r="G3110" s="1">
        <v>31.0</v>
      </c>
    </row>
    <row r="3111">
      <c r="A3111" s="1" t="s">
        <v>7</v>
      </c>
      <c r="B3111" s="2">
        <v>44720.0</v>
      </c>
      <c r="C3111" s="3">
        <v>0.35747685185185185</v>
      </c>
      <c r="D3111" s="1">
        <v>12.935513</v>
      </c>
      <c r="E3111" s="1">
        <v>80.099351</v>
      </c>
      <c r="F3111" s="1">
        <v>3143.0</v>
      </c>
      <c r="G3111" s="1">
        <v>58.0</v>
      </c>
    </row>
    <row r="3112">
      <c r="A3112" s="1" t="s">
        <v>7</v>
      </c>
      <c r="B3112" s="2">
        <v>44720.0</v>
      </c>
      <c r="C3112" s="3">
        <v>0.3583101851851852</v>
      </c>
      <c r="D3112" s="1">
        <v>12.926353</v>
      </c>
      <c r="E3112" s="1">
        <v>80.100217</v>
      </c>
      <c r="F3112" s="1">
        <v>3143.0</v>
      </c>
      <c r="G3112" s="1">
        <v>58.0</v>
      </c>
    </row>
    <row r="3113">
      <c r="A3113" s="1" t="s">
        <v>7</v>
      </c>
      <c r="B3113" s="2">
        <v>44720.0</v>
      </c>
      <c r="C3113" s="3">
        <v>0.35846064814814815</v>
      </c>
      <c r="D3113" s="1">
        <v>12.924034</v>
      </c>
      <c r="E3113" s="1">
        <v>80.100512</v>
      </c>
      <c r="F3113" s="1">
        <v>3143.0</v>
      </c>
      <c r="G3113" s="1">
        <v>58.0</v>
      </c>
    </row>
    <row r="3114">
      <c r="A3114" s="1" t="s">
        <v>7</v>
      </c>
      <c r="B3114" s="2">
        <v>44720.0</v>
      </c>
      <c r="C3114" s="3">
        <v>0.35885416666666664</v>
      </c>
      <c r="D3114" s="1">
        <v>12.919687</v>
      </c>
      <c r="E3114" s="1">
        <v>80.101075</v>
      </c>
      <c r="F3114" s="1">
        <v>3143.0</v>
      </c>
      <c r="G3114" s="1">
        <v>58.0</v>
      </c>
    </row>
    <row r="3115">
      <c r="A3115" s="1" t="s">
        <v>7</v>
      </c>
      <c r="B3115" s="2">
        <v>44720.0</v>
      </c>
      <c r="C3115" s="3">
        <v>0.35921296296296296</v>
      </c>
      <c r="D3115" s="1">
        <v>12.915837</v>
      </c>
      <c r="E3115" s="1">
        <v>80.102631</v>
      </c>
      <c r="F3115" s="1">
        <v>3143.0</v>
      </c>
      <c r="G3115" s="1">
        <v>37.0</v>
      </c>
    </row>
    <row r="3116">
      <c r="A3116" s="1" t="s">
        <v>8</v>
      </c>
      <c r="B3116" s="2">
        <v>44720.0</v>
      </c>
      <c r="C3116" s="3">
        <v>0.3599074074074074</v>
      </c>
      <c r="D3116" s="1">
        <v>12.909223</v>
      </c>
      <c r="E3116" s="1">
        <v>80.099086</v>
      </c>
      <c r="F3116" s="1">
        <v>3143.0</v>
      </c>
      <c r="G3116" s="1">
        <v>43.0</v>
      </c>
    </row>
    <row r="3117">
      <c r="A3117" s="1" t="s">
        <v>8</v>
      </c>
      <c r="B3117" s="2">
        <v>44720.0</v>
      </c>
      <c r="C3117" s="3">
        <v>0.3619675925925926</v>
      </c>
      <c r="D3117" s="1">
        <v>12.90275</v>
      </c>
      <c r="E3117" s="1">
        <v>80.093576</v>
      </c>
      <c r="F3117" s="1">
        <v>3143.0</v>
      </c>
      <c r="G3117" s="1">
        <v>54.0</v>
      </c>
    </row>
    <row r="3118">
      <c r="A3118" s="1" t="s">
        <v>7</v>
      </c>
      <c r="B3118" s="2">
        <v>44720.0</v>
      </c>
      <c r="C3118" s="3">
        <v>0.36226851851851855</v>
      </c>
      <c r="D3118" s="1">
        <v>12.901052</v>
      </c>
      <c r="E3118" s="1">
        <v>80.092291</v>
      </c>
      <c r="F3118" s="1">
        <v>3143.0</v>
      </c>
      <c r="G3118" s="1">
        <v>47.0</v>
      </c>
    </row>
    <row r="3119">
      <c r="A3119" s="1" t="s">
        <v>8</v>
      </c>
      <c r="B3119" s="2">
        <v>44720.0</v>
      </c>
      <c r="C3119" s="3">
        <v>0.36236111111111113</v>
      </c>
      <c r="D3119" s="1">
        <v>12.899107</v>
      </c>
      <c r="E3119" s="1">
        <v>80.090828</v>
      </c>
      <c r="F3119" s="1">
        <v>3143.0</v>
      </c>
      <c r="G3119" s="1">
        <v>56.0</v>
      </c>
    </row>
    <row r="3120">
      <c r="A3120" s="1" t="s">
        <v>8</v>
      </c>
      <c r="B3120" s="2">
        <v>44720.0</v>
      </c>
      <c r="C3120" s="3">
        <v>0.3628587962962963</v>
      </c>
      <c r="D3120" s="1">
        <v>12.894437</v>
      </c>
      <c r="E3120" s="1">
        <v>80.087335</v>
      </c>
      <c r="F3120" s="1">
        <v>3143.0</v>
      </c>
      <c r="G3120" s="1">
        <v>48.0</v>
      </c>
    </row>
    <row r="3121">
      <c r="A3121" s="1" t="s">
        <v>7</v>
      </c>
      <c r="B3121" s="2">
        <v>44720.0</v>
      </c>
      <c r="C3121" s="3">
        <v>0.3631712962962963</v>
      </c>
      <c r="D3121" s="1">
        <v>12.892614</v>
      </c>
      <c r="E3121" s="1">
        <v>80.085992</v>
      </c>
      <c r="F3121" s="1">
        <v>3143.0</v>
      </c>
      <c r="G3121" s="1">
        <v>58.0</v>
      </c>
    </row>
    <row r="3122">
      <c r="A3122" s="1" t="s">
        <v>8</v>
      </c>
      <c r="B3122" s="2">
        <v>44720.0</v>
      </c>
      <c r="C3122" s="3">
        <v>0.36530092592592595</v>
      </c>
      <c r="D3122" s="1">
        <v>12.878363</v>
      </c>
      <c r="E3122" s="1">
        <v>80.082524</v>
      </c>
      <c r="F3122" s="1">
        <v>3143.0</v>
      </c>
      <c r="G3122" s="1">
        <v>39.0</v>
      </c>
    </row>
    <row r="3123">
      <c r="A3123" s="1" t="s">
        <v>7</v>
      </c>
      <c r="B3123" s="2">
        <v>44720.0</v>
      </c>
      <c r="C3123" s="3">
        <v>0.4186111111111111</v>
      </c>
      <c r="D3123" s="1">
        <v>12.888774</v>
      </c>
      <c r="E3123" s="1">
        <v>80.072241</v>
      </c>
      <c r="F3123" s="1">
        <v>3143.0</v>
      </c>
      <c r="G3123" s="1">
        <v>53.0</v>
      </c>
    </row>
    <row r="3124">
      <c r="A3124" s="1" t="s">
        <v>7</v>
      </c>
      <c r="B3124" s="2">
        <v>44720.0</v>
      </c>
      <c r="C3124" s="3">
        <v>0.4192592592592593</v>
      </c>
      <c r="D3124" s="1">
        <v>12.896608</v>
      </c>
      <c r="E3124" s="1">
        <v>80.070374</v>
      </c>
      <c r="F3124" s="1">
        <v>3143.0</v>
      </c>
      <c r="G3124" s="1">
        <v>56.0</v>
      </c>
    </row>
    <row r="3125">
      <c r="A3125" s="1" t="s">
        <v>7</v>
      </c>
      <c r="B3125" s="2">
        <v>44720.0</v>
      </c>
      <c r="C3125" s="3">
        <v>0.4197222222222222</v>
      </c>
      <c r="D3125" s="1">
        <v>12.902295</v>
      </c>
      <c r="E3125" s="1">
        <v>80.070948</v>
      </c>
      <c r="F3125" s="1">
        <v>3143.0</v>
      </c>
      <c r="G3125" s="1">
        <v>52.0</v>
      </c>
    </row>
    <row r="3126">
      <c r="A3126" s="1" t="s">
        <v>7</v>
      </c>
      <c r="B3126" s="2">
        <v>44720.0</v>
      </c>
      <c r="C3126" s="3">
        <v>0.41996527777777776</v>
      </c>
      <c r="D3126" s="1">
        <v>12.904787</v>
      </c>
      <c r="E3126" s="1">
        <v>80.07153</v>
      </c>
      <c r="F3126" s="1">
        <v>3143.0</v>
      </c>
      <c r="G3126" s="1">
        <v>54.0</v>
      </c>
    </row>
    <row r="3127">
      <c r="A3127" s="1" t="s">
        <v>8</v>
      </c>
      <c r="B3127" s="2">
        <v>44720.0</v>
      </c>
      <c r="C3127" s="3">
        <v>0.43140046296296297</v>
      </c>
      <c r="D3127" s="1">
        <v>13.008359</v>
      </c>
      <c r="E3127" s="1">
        <v>80.091465</v>
      </c>
      <c r="F3127" s="1">
        <v>3143.0</v>
      </c>
      <c r="G3127" s="1">
        <v>47.0</v>
      </c>
    </row>
    <row r="3128">
      <c r="A3128" s="1" t="s">
        <v>7</v>
      </c>
      <c r="B3128" s="2">
        <v>44720.0</v>
      </c>
      <c r="C3128" s="3">
        <v>0.5082175925925926</v>
      </c>
      <c r="D3128" s="1">
        <v>13.048773</v>
      </c>
      <c r="E3128" s="1">
        <v>80.085651</v>
      </c>
      <c r="F3128" s="1">
        <v>3143.0</v>
      </c>
      <c r="G3128" s="1">
        <v>54.0</v>
      </c>
    </row>
    <row r="3129">
      <c r="A3129" s="1" t="s">
        <v>8</v>
      </c>
      <c r="B3129" s="2">
        <v>44720.0</v>
      </c>
      <c r="C3129" s="3">
        <v>0.5082523148148148</v>
      </c>
      <c r="D3129" s="1">
        <v>13.048773</v>
      </c>
      <c r="E3129" s="1">
        <v>80.085651</v>
      </c>
      <c r="F3129" s="1">
        <v>3143.0</v>
      </c>
      <c r="G3129" s="1">
        <v>54.0</v>
      </c>
    </row>
    <row r="3130">
      <c r="A3130" s="1" t="s">
        <v>7</v>
      </c>
      <c r="B3130" s="2">
        <v>44720.0</v>
      </c>
      <c r="C3130" s="3">
        <v>0.5097222222222222</v>
      </c>
      <c r="D3130" s="1">
        <v>13.05122</v>
      </c>
      <c r="E3130" s="1">
        <v>80.082627</v>
      </c>
      <c r="F3130" s="1">
        <v>3143.0</v>
      </c>
      <c r="G3130" s="1">
        <v>0.0</v>
      </c>
    </row>
    <row r="3131">
      <c r="A3131" s="1" t="s">
        <v>7</v>
      </c>
      <c r="B3131" s="2">
        <v>44720.0</v>
      </c>
      <c r="C3131" s="3">
        <v>0.5127546296296296</v>
      </c>
      <c r="D3131" s="1">
        <v>13.063462</v>
      </c>
      <c r="E3131" s="1">
        <v>80.075991</v>
      </c>
      <c r="F3131" s="1">
        <v>3143.0</v>
      </c>
      <c r="G3131" s="1">
        <v>36.0</v>
      </c>
    </row>
    <row r="3132">
      <c r="A3132" s="1" t="s">
        <v>7</v>
      </c>
      <c r="B3132" s="2">
        <v>44720.0</v>
      </c>
      <c r="C3132" s="3">
        <v>0.5131597222222222</v>
      </c>
      <c r="D3132" s="1">
        <v>13.059914</v>
      </c>
      <c r="E3132" s="1">
        <v>80.078192</v>
      </c>
      <c r="F3132" s="1">
        <v>3143.0</v>
      </c>
      <c r="G3132" s="1">
        <v>44.0</v>
      </c>
    </row>
    <row r="3133">
      <c r="A3133" s="1" t="s">
        <v>8</v>
      </c>
      <c r="B3133" s="2">
        <v>44720.0</v>
      </c>
      <c r="C3133" s="3">
        <v>0.6893055555555555</v>
      </c>
      <c r="D3133" s="1">
        <v>12.879755</v>
      </c>
      <c r="E3133" s="1">
        <v>80.080174</v>
      </c>
      <c r="F3133" s="1">
        <v>805.0</v>
      </c>
      <c r="G3133" s="1">
        <v>32.0</v>
      </c>
    </row>
    <row r="3134">
      <c r="A3134" s="1" t="s">
        <v>8</v>
      </c>
      <c r="B3134" s="2">
        <v>44720.0</v>
      </c>
      <c r="C3134" s="3">
        <v>0.689675925925926</v>
      </c>
      <c r="D3134" s="1">
        <v>12.882261</v>
      </c>
      <c r="E3134" s="1">
        <v>80.081053</v>
      </c>
      <c r="F3134" s="1">
        <v>805.0</v>
      </c>
      <c r="G3134" s="1">
        <v>52.0</v>
      </c>
    </row>
    <row r="3135">
      <c r="A3135" s="1" t="s">
        <v>7</v>
      </c>
      <c r="B3135" s="2">
        <v>44720.0</v>
      </c>
      <c r="C3135" s="3">
        <v>0.6900462962962963</v>
      </c>
      <c r="D3135" s="1">
        <v>12.886797</v>
      </c>
      <c r="E3135" s="1">
        <v>80.083177</v>
      </c>
      <c r="F3135" s="1">
        <v>805.0</v>
      </c>
      <c r="G3135" s="1">
        <v>56.0</v>
      </c>
    </row>
    <row r="3136">
      <c r="A3136" s="1" t="s">
        <v>8</v>
      </c>
      <c r="B3136" s="2">
        <v>44720.0</v>
      </c>
      <c r="C3136" s="3">
        <v>0.6902083333333333</v>
      </c>
      <c r="D3136" s="1">
        <v>12.888165</v>
      </c>
      <c r="E3136" s="1">
        <v>80.083786</v>
      </c>
      <c r="F3136" s="1">
        <v>805.0</v>
      </c>
      <c r="G3136" s="1">
        <v>56.0</v>
      </c>
    </row>
    <row r="3137">
      <c r="A3137" s="1" t="s">
        <v>8</v>
      </c>
      <c r="B3137" s="2">
        <v>44720.0</v>
      </c>
      <c r="C3137" s="3">
        <v>0.6904513888888889</v>
      </c>
      <c r="D3137" s="1">
        <v>12.890583</v>
      </c>
      <c r="E3137" s="1">
        <v>80.084714</v>
      </c>
      <c r="F3137" s="1">
        <v>805.0</v>
      </c>
      <c r="G3137" s="1">
        <v>53.0</v>
      </c>
    </row>
    <row r="3138">
      <c r="A3138" s="1" t="s">
        <v>7</v>
      </c>
      <c r="B3138" s="2">
        <v>44720.0</v>
      </c>
      <c r="C3138" s="3">
        <v>0.6904976851851852</v>
      </c>
      <c r="D3138" s="1">
        <v>12.877697</v>
      </c>
      <c r="E3138" s="1">
        <v>80.084156</v>
      </c>
      <c r="F3138" s="1">
        <v>2846.0</v>
      </c>
      <c r="G3138" s="1">
        <v>26.0</v>
      </c>
    </row>
    <row r="3139">
      <c r="A3139" s="1" t="s">
        <v>7</v>
      </c>
      <c r="B3139" s="2">
        <v>44720.0</v>
      </c>
      <c r="C3139" s="3">
        <v>0.6906597222222223</v>
      </c>
      <c r="D3139" s="1">
        <v>12.877697</v>
      </c>
      <c r="E3139" s="1">
        <v>80.084156</v>
      </c>
      <c r="F3139" s="1">
        <v>2846.0</v>
      </c>
      <c r="G3139" s="1">
        <v>26.0</v>
      </c>
    </row>
    <row r="3140">
      <c r="A3140" s="1" t="s">
        <v>7</v>
      </c>
      <c r="B3140" s="2">
        <v>44720.0</v>
      </c>
      <c r="C3140" s="3">
        <v>0.6906712962962963</v>
      </c>
      <c r="D3140" s="1">
        <v>12.892846</v>
      </c>
      <c r="E3140" s="1">
        <v>80.085926</v>
      </c>
      <c r="F3140" s="1">
        <v>805.0</v>
      </c>
      <c r="G3140" s="1">
        <v>39.0</v>
      </c>
    </row>
    <row r="3141">
      <c r="A3141" s="1" t="s">
        <v>7</v>
      </c>
      <c r="B3141" s="2">
        <v>44720.0</v>
      </c>
      <c r="C3141" s="3">
        <v>0.6909027777777778</v>
      </c>
      <c r="D3141" s="1">
        <v>12.877697</v>
      </c>
      <c r="E3141" s="1">
        <v>80.084156</v>
      </c>
      <c r="F3141" s="1">
        <v>2846.0</v>
      </c>
      <c r="G3141" s="1">
        <v>26.0</v>
      </c>
    </row>
    <row r="3142">
      <c r="A3142" s="1" t="s">
        <v>8</v>
      </c>
      <c r="B3142" s="2">
        <v>44720.0</v>
      </c>
      <c r="C3142" s="3">
        <v>0.6909143518518519</v>
      </c>
      <c r="D3142" s="1">
        <v>12.894948</v>
      </c>
      <c r="E3142" s="1">
        <v>80.087554</v>
      </c>
      <c r="F3142" s="1">
        <v>805.0</v>
      </c>
      <c r="G3142" s="1">
        <v>50.0</v>
      </c>
    </row>
    <row r="3143">
      <c r="A3143" s="1" t="s">
        <v>7</v>
      </c>
      <c r="B3143" s="2">
        <v>44720.0</v>
      </c>
      <c r="C3143" s="3">
        <v>0.6912152777777778</v>
      </c>
      <c r="D3143" s="1">
        <v>12.877697</v>
      </c>
      <c r="E3143" s="1">
        <v>80.084156</v>
      </c>
      <c r="F3143" s="1">
        <v>2846.0</v>
      </c>
      <c r="G3143" s="1">
        <v>26.0</v>
      </c>
    </row>
    <row r="3144">
      <c r="A3144" s="1" t="s">
        <v>8</v>
      </c>
      <c r="B3144" s="2">
        <v>44720.0</v>
      </c>
      <c r="C3144" s="3">
        <v>0.6916319444444444</v>
      </c>
      <c r="D3144" s="1">
        <v>12.901358</v>
      </c>
      <c r="E3144" s="1">
        <v>80.092411</v>
      </c>
      <c r="F3144" s="1">
        <v>805.0</v>
      </c>
      <c r="G3144" s="1">
        <v>50.0</v>
      </c>
    </row>
    <row r="3145">
      <c r="A3145" s="1" t="s">
        <v>8</v>
      </c>
      <c r="B3145" s="2">
        <v>44720.0</v>
      </c>
      <c r="C3145" s="3">
        <v>0.6924421296296296</v>
      </c>
      <c r="D3145" s="1">
        <v>12.905903</v>
      </c>
      <c r="E3145" s="1">
        <v>80.095986</v>
      </c>
      <c r="F3145" s="1">
        <v>805.0</v>
      </c>
      <c r="G3145" s="1">
        <v>33.0</v>
      </c>
    </row>
    <row r="3146">
      <c r="A3146" s="1" t="s">
        <v>8</v>
      </c>
      <c r="B3146" s="2">
        <v>44720.0</v>
      </c>
      <c r="C3146" s="3">
        <v>0.693587962962963</v>
      </c>
      <c r="D3146" s="1">
        <v>12.909711</v>
      </c>
      <c r="E3146" s="1">
        <v>80.09948</v>
      </c>
      <c r="F3146" s="1">
        <v>2846.0</v>
      </c>
      <c r="G3146" s="1">
        <v>36.0</v>
      </c>
    </row>
    <row r="3147">
      <c r="A3147" s="1" t="s">
        <v>8</v>
      </c>
      <c r="B3147" s="2">
        <v>44720.0</v>
      </c>
      <c r="C3147" s="3">
        <v>0.6941087962962963</v>
      </c>
      <c r="D3147" s="1">
        <v>12.909737</v>
      </c>
      <c r="E3147" s="1">
        <v>80.099661</v>
      </c>
      <c r="F3147" s="1">
        <v>805.0</v>
      </c>
      <c r="G3147" s="1">
        <v>44.0</v>
      </c>
    </row>
    <row r="3148">
      <c r="A3148" s="1" t="s">
        <v>8</v>
      </c>
      <c r="B3148" s="2">
        <v>44720.0</v>
      </c>
      <c r="C3148" s="3">
        <v>0.6942361111111112</v>
      </c>
      <c r="D3148" s="1">
        <v>12.910292</v>
      </c>
      <c r="E3148" s="1">
        <v>80.100554</v>
      </c>
      <c r="F3148" s="1">
        <v>805.0</v>
      </c>
      <c r="G3148" s="1">
        <v>38.0</v>
      </c>
    </row>
    <row r="3149">
      <c r="A3149" s="1" t="s">
        <v>8</v>
      </c>
      <c r="B3149" s="2">
        <v>44720.0</v>
      </c>
      <c r="C3149" s="3">
        <v>0.6942708333333333</v>
      </c>
      <c r="D3149" s="1">
        <v>12.914749</v>
      </c>
      <c r="E3149" s="1">
        <v>80.101887</v>
      </c>
      <c r="F3149" s="1">
        <v>2846.0</v>
      </c>
      <c r="G3149" s="1">
        <v>51.0</v>
      </c>
    </row>
    <row r="3150">
      <c r="A3150" s="1" t="s">
        <v>7</v>
      </c>
      <c r="B3150" s="2">
        <v>44720.0</v>
      </c>
      <c r="C3150" s="3">
        <v>0.6944791666666666</v>
      </c>
      <c r="D3150" s="1">
        <v>12.915775</v>
      </c>
      <c r="E3150" s="1">
        <v>80.104018</v>
      </c>
      <c r="F3150" s="1">
        <v>2846.0</v>
      </c>
      <c r="G3150" s="1">
        <v>50.0</v>
      </c>
    </row>
    <row r="3151">
      <c r="A3151" s="1" t="s">
        <v>8</v>
      </c>
      <c r="B3151" s="2">
        <v>44720.0</v>
      </c>
      <c r="C3151" s="3">
        <v>0.6950925925925926</v>
      </c>
      <c r="D3151" s="1">
        <v>12.918566</v>
      </c>
      <c r="E3151" s="1">
        <v>80.109137</v>
      </c>
      <c r="F3151" s="1">
        <v>2846.0</v>
      </c>
      <c r="G3151" s="1">
        <v>39.0</v>
      </c>
    </row>
    <row r="3152">
      <c r="A3152" s="1" t="s">
        <v>7</v>
      </c>
      <c r="B3152" s="2">
        <v>44720.0</v>
      </c>
      <c r="C3152" s="3">
        <v>0.6951388888888889</v>
      </c>
      <c r="D3152" s="1">
        <v>12.915829</v>
      </c>
      <c r="E3152" s="1">
        <v>80.104744</v>
      </c>
      <c r="F3152" s="1">
        <v>805.0</v>
      </c>
      <c r="G3152" s="1">
        <v>58.0</v>
      </c>
    </row>
    <row r="3153">
      <c r="A3153" s="1" t="s">
        <v>8</v>
      </c>
      <c r="B3153" s="2">
        <v>44720.0</v>
      </c>
      <c r="C3153" s="3">
        <v>0.6951388888888889</v>
      </c>
      <c r="D3153" s="1">
        <v>12.919162</v>
      </c>
      <c r="E3153" s="1">
        <v>80.109865</v>
      </c>
      <c r="F3153" s="1">
        <v>2846.0</v>
      </c>
      <c r="G3153" s="1">
        <v>32.0</v>
      </c>
    </row>
    <row r="3154">
      <c r="A3154" s="1" t="s">
        <v>8</v>
      </c>
      <c r="B3154" s="2">
        <v>44720.0</v>
      </c>
      <c r="C3154" s="3">
        <v>0.695150462962963</v>
      </c>
      <c r="D3154" s="1">
        <v>12.919162</v>
      </c>
      <c r="E3154" s="1">
        <v>80.109865</v>
      </c>
      <c r="F3154" s="1">
        <v>2846.0</v>
      </c>
      <c r="G3154" s="1">
        <v>32.0</v>
      </c>
    </row>
    <row r="3155">
      <c r="A3155" s="1" t="s">
        <v>8</v>
      </c>
      <c r="B3155" s="2">
        <v>44720.0</v>
      </c>
      <c r="C3155" s="3">
        <v>0.6957291666666666</v>
      </c>
      <c r="D3155" s="1">
        <v>12.921683</v>
      </c>
      <c r="E3155" s="1">
        <v>80.112558</v>
      </c>
      <c r="F3155" s="1">
        <v>2846.0</v>
      </c>
      <c r="G3155" s="1">
        <v>25.0</v>
      </c>
    </row>
    <row r="3156">
      <c r="A3156" s="1" t="s">
        <v>8</v>
      </c>
      <c r="B3156" s="2">
        <v>44720.0</v>
      </c>
      <c r="C3156" s="3">
        <v>0.6958564814814815</v>
      </c>
      <c r="D3156" s="1">
        <v>12.922197</v>
      </c>
      <c r="E3156" s="1">
        <v>80.113086</v>
      </c>
      <c r="F3156" s="1">
        <v>2846.0</v>
      </c>
      <c r="G3156" s="1">
        <v>32.0</v>
      </c>
    </row>
    <row r="3157">
      <c r="A3157" s="1" t="s">
        <v>8</v>
      </c>
      <c r="B3157" s="2">
        <v>44720.0</v>
      </c>
      <c r="C3157" s="3">
        <v>0.6959027777777778</v>
      </c>
      <c r="D3157" s="1">
        <v>12.917835</v>
      </c>
      <c r="E3157" s="1">
        <v>80.108307</v>
      </c>
      <c r="F3157" s="1">
        <v>805.0</v>
      </c>
      <c r="G3157" s="1">
        <v>37.0</v>
      </c>
    </row>
    <row r="3158">
      <c r="A3158" s="1" t="s">
        <v>10</v>
      </c>
      <c r="B3158" s="2">
        <v>44720.0</v>
      </c>
      <c r="C3158" s="3">
        <v>0.6964583333333333</v>
      </c>
      <c r="D3158" s="1">
        <v>12.924116</v>
      </c>
      <c r="E3158" s="1">
        <v>80.115007</v>
      </c>
      <c r="F3158" s="1">
        <v>2846.0</v>
      </c>
      <c r="G3158" s="1">
        <v>10.0</v>
      </c>
    </row>
    <row r="3159">
      <c r="A3159" s="1" t="s">
        <v>8</v>
      </c>
      <c r="B3159" s="2">
        <v>44720.0</v>
      </c>
      <c r="C3159" s="3">
        <v>0.6970833333333334</v>
      </c>
      <c r="D3159" s="1">
        <v>12.923657</v>
      </c>
      <c r="E3159" s="1">
        <v>80.117588</v>
      </c>
      <c r="F3159" s="1">
        <v>2846.0</v>
      </c>
      <c r="G3159" s="1">
        <v>39.0</v>
      </c>
    </row>
    <row r="3160">
      <c r="A3160" s="1" t="s">
        <v>8</v>
      </c>
      <c r="B3160" s="2">
        <v>44720.0</v>
      </c>
      <c r="C3160" s="3">
        <v>0.6973148148148148</v>
      </c>
      <c r="D3160" s="1">
        <v>12.925432</v>
      </c>
      <c r="E3160" s="1">
        <v>80.11653</v>
      </c>
      <c r="F3160" s="1">
        <v>805.0</v>
      </c>
      <c r="G3160" s="1">
        <v>58.0</v>
      </c>
    </row>
    <row r="3161">
      <c r="A3161" s="1" t="s">
        <v>8</v>
      </c>
      <c r="B3161" s="2">
        <v>44720.0</v>
      </c>
      <c r="C3161" s="3">
        <v>0.6974074074074074</v>
      </c>
      <c r="D3161" s="1">
        <v>12.9264</v>
      </c>
      <c r="E3161" s="1">
        <v>80.117525</v>
      </c>
      <c r="F3161" s="1">
        <v>805.0</v>
      </c>
      <c r="G3161" s="1">
        <v>45.0</v>
      </c>
    </row>
    <row r="3162">
      <c r="A3162" s="1" t="s">
        <v>8</v>
      </c>
      <c r="B3162" s="2">
        <v>44720.0</v>
      </c>
      <c r="C3162" s="3">
        <v>0.6978587962962963</v>
      </c>
      <c r="D3162" s="1">
        <v>12.928238</v>
      </c>
      <c r="E3162" s="1">
        <v>80.119353</v>
      </c>
      <c r="F3162" s="1">
        <v>805.0</v>
      </c>
      <c r="G3162" s="1">
        <v>52.0</v>
      </c>
    </row>
    <row r="3163">
      <c r="A3163" s="1" t="s">
        <v>8</v>
      </c>
      <c r="B3163" s="2">
        <v>44720.0</v>
      </c>
      <c r="C3163" s="3">
        <v>0.6980555555555555</v>
      </c>
      <c r="D3163" s="1">
        <v>12.923037</v>
      </c>
      <c r="E3163" s="1">
        <v>80.125806</v>
      </c>
      <c r="F3163" s="1">
        <v>2846.0</v>
      </c>
      <c r="G3163" s="1">
        <v>38.0</v>
      </c>
    </row>
    <row r="3164">
      <c r="A3164" s="1" t="s">
        <v>8</v>
      </c>
      <c r="B3164" s="2">
        <v>44720.0</v>
      </c>
      <c r="C3164" s="3">
        <v>0.6980902777777778</v>
      </c>
      <c r="D3164" s="1">
        <v>12.923037</v>
      </c>
      <c r="E3164" s="1">
        <v>80.125806</v>
      </c>
      <c r="F3164" s="1">
        <v>2846.0</v>
      </c>
      <c r="G3164" s="1">
        <v>38.0</v>
      </c>
    </row>
    <row r="3165">
      <c r="A3165" s="1" t="s">
        <v>8</v>
      </c>
      <c r="B3165" s="2">
        <v>44720.0</v>
      </c>
      <c r="C3165" s="3">
        <v>0.6986574074074074</v>
      </c>
      <c r="D3165" s="1">
        <v>12.930779</v>
      </c>
      <c r="E3165" s="1">
        <v>80.12189</v>
      </c>
      <c r="F3165" s="1">
        <v>805.0</v>
      </c>
      <c r="G3165" s="1">
        <v>45.0</v>
      </c>
    </row>
    <row r="3166">
      <c r="A3166" s="1" t="s">
        <v>8</v>
      </c>
      <c r="B3166" s="2">
        <v>44720.0</v>
      </c>
      <c r="C3166" s="3">
        <v>0.6988773148148149</v>
      </c>
      <c r="D3166" s="1">
        <v>12.932247</v>
      </c>
      <c r="E3166" s="1">
        <v>80.123355</v>
      </c>
      <c r="F3166" s="1">
        <v>805.0</v>
      </c>
      <c r="G3166" s="1">
        <v>35.0</v>
      </c>
    </row>
    <row r="3167">
      <c r="A3167" s="1" t="s">
        <v>10</v>
      </c>
      <c r="B3167" s="2">
        <v>44720.0</v>
      </c>
      <c r="C3167" s="3">
        <v>0.6991435185185185</v>
      </c>
      <c r="D3167" s="1">
        <v>12.922786</v>
      </c>
      <c r="E3167" s="1">
        <v>80.129838</v>
      </c>
      <c r="F3167" s="1">
        <v>2846.0</v>
      </c>
      <c r="G3167" s="1">
        <v>25.0</v>
      </c>
    </row>
    <row r="3168">
      <c r="A3168" s="1" t="s">
        <v>8</v>
      </c>
      <c r="B3168" s="2">
        <v>44720.0</v>
      </c>
      <c r="C3168" s="3">
        <v>0.699212962962963</v>
      </c>
      <c r="D3168" s="1">
        <v>12.934392</v>
      </c>
      <c r="E3168" s="1">
        <v>80.12546</v>
      </c>
      <c r="F3168" s="1">
        <v>805.0</v>
      </c>
      <c r="G3168" s="1">
        <v>33.0</v>
      </c>
    </row>
    <row r="3169">
      <c r="A3169" s="1" t="s">
        <v>8</v>
      </c>
      <c r="B3169" s="2">
        <v>44720.0</v>
      </c>
      <c r="C3169" s="3">
        <v>0.7000462962962963</v>
      </c>
      <c r="D3169" s="1">
        <v>12.935964</v>
      </c>
      <c r="E3169" s="1">
        <v>80.12682</v>
      </c>
      <c r="F3169" s="1">
        <v>805.0</v>
      </c>
      <c r="G3169" s="1">
        <v>18.0</v>
      </c>
    </row>
    <row r="3170">
      <c r="A3170" s="1" t="s">
        <v>8</v>
      </c>
      <c r="B3170" s="2">
        <v>44720.0</v>
      </c>
      <c r="C3170" s="3">
        <v>0.7004050925925925</v>
      </c>
      <c r="D3170" s="1">
        <v>12.937945</v>
      </c>
      <c r="E3170" s="1">
        <v>80.128621</v>
      </c>
      <c r="F3170" s="1">
        <v>805.0</v>
      </c>
      <c r="G3170" s="1">
        <v>51.0</v>
      </c>
    </row>
    <row r="3171">
      <c r="A3171" s="1" t="s">
        <v>7</v>
      </c>
      <c r="B3171" s="2">
        <v>44720.0</v>
      </c>
      <c r="C3171" s="3">
        <v>0.7007986111111111</v>
      </c>
      <c r="D3171" s="1">
        <v>12.941071</v>
      </c>
      <c r="E3171" s="1">
        <v>80.131567</v>
      </c>
      <c r="F3171" s="1">
        <v>805.0</v>
      </c>
      <c r="G3171" s="1">
        <v>57.0</v>
      </c>
    </row>
    <row r="3172">
      <c r="A3172" s="1" t="s">
        <v>8</v>
      </c>
      <c r="B3172" s="2">
        <v>44720.0</v>
      </c>
      <c r="C3172" s="3">
        <v>0.7011111111111111</v>
      </c>
      <c r="D3172" s="1">
        <v>12.94384</v>
      </c>
      <c r="E3172" s="1">
        <v>80.134389</v>
      </c>
      <c r="F3172" s="1">
        <v>805.0</v>
      </c>
      <c r="G3172" s="1">
        <v>50.0</v>
      </c>
    </row>
    <row r="3173">
      <c r="A3173" s="1" t="s">
        <v>8</v>
      </c>
      <c r="B3173" s="2">
        <v>44720.0</v>
      </c>
      <c r="C3173" s="3">
        <v>0.7011805555555556</v>
      </c>
      <c r="D3173" s="1">
        <v>12.944871</v>
      </c>
      <c r="E3173" s="1">
        <v>80.135193</v>
      </c>
      <c r="F3173" s="1">
        <v>805.0</v>
      </c>
      <c r="G3173" s="1">
        <v>55.0</v>
      </c>
    </row>
    <row r="3174">
      <c r="A3174" s="1" t="s">
        <v>8</v>
      </c>
      <c r="B3174" s="2">
        <v>44720.0</v>
      </c>
      <c r="C3174" s="3">
        <v>0.7014467592592593</v>
      </c>
      <c r="D3174" s="1">
        <v>12.946767</v>
      </c>
      <c r="E3174" s="1">
        <v>80.13665</v>
      </c>
      <c r="F3174" s="1">
        <v>805.0</v>
      </c>
      <c r="G3174" s="1">
        <v>48.0</v>
      </c>
    </row>
    <row r="3175">
      <c r="A3175" s="1" t="s">
        <v>8</v>
      </c>
      <c r="B3175" s="2">
        <v>44720.0</v>
      </c>
      <c r="C3175" s="3">
        <v>0.7026157407407407</v>
      </c>
      <c r="D3175" s="1">
        <v>12.952916</v>
      </c>
      <c r="E3175" s="1">
        <v>80.141329</v>
      </c>
      <c r="F3175" s="1">
        <v>805.0</v>
      </c>
      <c r="G3175" s="1">
        <v>62.0</v>
      </c>
    </row>
    <row r="3176">
      <c r="A3176" s="1" t="s">
        <v>8</v>
      </c>
      <c r="B3176" s="2">
        <v>44720.0</v>
      </c>
      <c r="C3176" s="3">
        <v>0.7028472222222222</v>
      </c>
      <c r="D3176" s="1">
        <v>12.955454</v>
      </c>
      <c r="E3176" s="1">
        <v>80.14265</v>
      </c>
      <c r="F3176" s="1">
        <v>805.0</v>
      </c>
      <c r="G3176" s="1">
        <v>52.0</v>
      </c>
    </row>
    <row r="3177">
      <c r="A3177" s="1" t="s">
        <v>8</v>
      </c>
      <c r="B3177" s="2">
        <v>44720.0</v>
      </c>
      <c r="C3177" s="3">
        <v>0.7028587962962963</v>
      </c>
      <c r="D3177" s="1">
        <v>12.955454</v>
      </c>
      <c r="E3177" s="1">
        <v>80.14265</v>
      </c>
      <c r="F3177" s="1">
        <v>805.0</v>
      </c>
      <c r="G3177" s="1">
        <v>52.0</v>
      </c>
    </row>
    <row r="3178">
      <c r="A3178" s="1" t="s">
        <v>8</v>
      </c>
      <c r="B3178" s="2">
        <v>44720.0</v>
      </c>
      <c r="C3178" s="3">
        <v>0.7030671296296296</v>
      </c>
      <c r="D3178" s="1">
        <v>12.957094</v>
      </c>
      <c r="E3178" s="1">
        <v>80.143567</v>
      </c>
      <c r="F3178" s="1">
        <v>805.0</v>
      </c>
      <c r="G3178" s="1">
        <v>43.0</v>
      </c>
    </row>
    <row r="3179">
      <c r="A3179" s="1" t="s">
        <v>8</v>
      </c>
      <c r="B3179" s="2">
        <v>44720.0</v>
      </c>
      <c r="C3179" s="3">
        <v>0.7035648148148148</v>
      </c>
      <c r="D3179" s="1">
        <v>12.923576</v>
      </c>
      <c r="E3179" s="1">
        <v>80.157696</v>
      </c>
      <c r="F3179" s="1">
        <v>2846.0</v>
      </c>
      <c r="G3179" s="1">
        <v>43.0</v>
      </c>
    </row>
    <row r="3180">
      <c r="A3180" s="1" t="s">
        <v>8</v>
      </c>
      <c r="B3180" s="2">
        <v>44720.0</v>
      </c>
      <c r="C3180" s="3">
        <v>0.7039236111111111</v>
      </c>
      <c r="D3180" s="1">
        <v>12.960493</v>
      </c>
      <c r="E3180" s="1">
        <v>80.145196</v>
      </c>
      <c r="F3180" s="1">
        <v>805.0</v>
      </c>
      <c r="G3180" s="1">
        <v>19.0</v>
      </c>
    </row>
    <row r="3181">
      <c r="A3181" s="1" t="s">
        <v>8</v>
      </c>
      <c r="B3181" s="2">
        <v>44720.0</v>
      </c>
      <c r="C3181" s="3">
        <v>0.7045138888888889</v>
      </c>
      <c r="D3181" s="1">
        <v>12.965297</v>
      </c>
      <c r="E3181" s="1">
        <v>80.148064</v>
      </c>
      <c r="F3181" s="1">
        <v>805.0</v>
      </c>
      <c r="G3181" s="1">
        <v>37.0</v>
      </c>
    </row>
    <row r="3182">
      <c r="A3182" s="1" t="s">
        <v>7</v>
      </c>
      <c r="B3182" s="2">
        <v>44720.0</v>
      </c>
      <c r="C3182" s="3">
        <v>0.7049305555555555</v>
      </c>
      <c r="D3182" s="1">
        <v>12.968265</v>
      </c>
      <c r="E3182" s="1">
        <v>80.149514</v>
      </c>
      <c r="F3182" s="1">
        <v>805.0</v>
      </c>
      <c r="G3182" s="1">
        <v>54.0</v>
      </c>
    </row>
    <row r="3183">
      <c r="A3183" s="1" t="s">
        <v>7</v>
      </c>
      <c r="B3183" s="2">
        <v>44720.0</v>
      </c>
      <c r="C3183" s="3">
        <v>0.7052546296296296</v>
      </c>
      <c r="D3183" s="1">
        <v>12.919823</v>
      </c>
      <c r="E3183" s="1">
        <v>80.171199</v>
      </c>
      <c r="F3183" s="1">
        <v>2846.0</v>
      </c>
      <c r="G3183" s="1">
        <v>44.0</v>
      </c>
    </row>
    <row r="3184">
      <c r="A3184" s="1" t="s">
        <v>8</v>
      </c>
      <c r="B3184" s="2">
        <v>44720.0</v>
      </c>
      <c r="C3184" s="3">
        <v>0.7052893518518518</v>
      </c>
      <c r="D3184" s="1">
        <v>12.97192</v>
      </c>
      <c r="E3184" s="1">
        <v>80.151313</v>
      </c>
      <c r="F3184" s="1">
        <v>805.0</v>
      </c>
      <c r="G3184" s="1">
        <v>47.0</v>
      </c>
    </row>
    <row r="3185">
      <c r="A3185" s="1" t="s">
        <v>7</v>
      </c>
      <c r="B3185" s="2">
        <v>44720.0</v>
      </c>
      <c r="C3185" s="3">
        <v>0.7053356481481482</v>
      </c>
      <c r="D3185" s="1">
        <v>12.919488</v>
      </c>
      <c r="E3185" s="1">
        <v>80.172399</v>
      </c>
      <c r="F3185" s="1">
        <v>2846.0</v>
      </c>
      <c r="G3185" s="1">
        <v>51.0</v>
      </c>
    </row>
    <row r="3186">
      <c r="A3186" s="1" t="s">
        <v>7</v>
      </c>
      <c r="B3186" s="2">
        <v>44720.0</v>
      </c>
      <c r="C3186" s="3">
        <v>0.7055671296296296</v>
      </c>
      <c r="D3186" s="1">
        <v>12.918803</v>
      </c>
      <c r="E3186" s="1">
        <v>80.17505</v>
      </c>
      <c r="F3186" s="1">
        <v>2846.0</v>
      </c>
      <c r="G3186" s="1">
        <v>53.0</v>
      </c>
    </row>
    <row r="3187">
      <c r="A3187" s="1" t="s">
        <v>8</v>
      </c>
      <c r="B3187" s="2">
        <v>44720.0</v>
      </c>
      <c r="C3187" s="3">
        <v>0.705775462962963</v>
      </c>
      <c r="D3187" s="1">
        <v>12.974999</v>
      </c>
      <c r="E3187" s="1">
        <v>80.155503</v>
      </c>
      <c r="F3187" s="1">
        <v>805.0</v>
      </c>
      <c r="G3187" s="1">
        <v>51.0</v>
      </c>
    </row>
    <row r="3188">
      <c r="A3188" s="1" t="s">
        <v>8</v>
      </c>
      <c r="B3188" s="2">
        <v>44720.0</v>
      </c>
      <c r="C3188" s="3">
        <v>0.705949074074074</v>
      </c>
      <c r="D3188" s="1">
        <v>12.976434</v>
      </c>
      <c r="E3188" s="1">
        <v>80.157555</v>
      </c>
      <c r="F3188" s="1">
        <v>805.0</v>
      </c>
      <c r="G3188" s="1">
        <v>41.0</v>
      </c>
    </row>
    <row r="3189">
      <c r="A3189" s="1" t="s">
        <v>8</v>
      </c>
      <c r="B3189" s="2">
        <v>44720.0</v>
      </c>
      <c r="C3189" s="3">
        <v>0.7060532407407407</v>
      </c>
      <c r="D3189" s="1">
        <v>12.976434</v>
      </c>
      <c r="E3189" s="1">
        <v>80.157555</v>
      </c>
      <c r="F3189" s="1">
        <v>805.0</v>
      </c>
      <c r="G3189" s="1">
        <v>41.0</v>
      </c>
    </row>
    <row r="3190">
      <c r="A3190" s="1" t="s">
        <v>8</v>
      </c>
      <c r="B3190" s="2">
        <v>44720.0</v>
      </c>
      <c r="C3190" s="3">
        <v>0.7072106481481482</v>
      </c>
      <c r="D3190" s="1">
        <v>12.98426</v>
      </c>
      <c r="E3190" s="1">
        <v>80.171344</v>
      </c>
      <c r="F3190" s="1">
        <v>805.0</v>
      </c>
      <c r="G3190" s="1">
        <v>57.0</v>
      </c>
    </row>
    <row r="3191">
      <c r="A3191" s="1" t="s">
        <v>8</v>
      </c>
      <c r="B3191" s="2">
        <v>44720.0</v>
      </c>
      <c r="C3191" s="3">
        <v>0.7086111111111111</v>
      </c>
      <c r="D3191" s="1">
        <v>12.988205</v>
      </c>
      <c r="E3191" s="1">
        <v>80.17709</v>
      </c>
      <c r="F3191" s="1">
        <v>805.0</v>
      </c>
      <c r="G3191" s="1">
        <v>0.0</v>
      </c>
    </row>
    <row r="3192">
      <c r="A3192" s="1" t="s">
        <v>8</v>
      </c>
      <c r="B3192" s="2">
        <v>44720.0</v>
      </c>
      <c r="C3192" s="3">
        <v>0.7090509259259259</v>
      </c>
      <c r="D3192" s="1">
        <v>12.989396</v>
      </c>
      <c r="E3192" s="1">
        <v>80.178605</v>
      </c>
      <c r="F3192" s="1">
        <v>805.0</v>
      </c>
      <c r="G3192" s="1">
        <v>10.0</v>
      </c>
    </row>
    <row r="3193">
      <c r="A3193" s="1" t="s">
        <v>8</v>
      </c>
      <c r="B3193" s="2">
        <v>44720.0</v>
      </c>
      <c r="C3193" s="3">
        <v>0.7091898148148148</v>
      </c>
      <c r="D3193" s="1">
        <v>12.989396</v>
      </c>
      <c r="E3193" s="1">
        <v>80.178605</v>
      </c>
      <c r="F3193" s="1">
        <v>805.0</v>
      </c>
      <c r="G3193" s="1">
        <v>10.0</v>
      </c>
    </row>
    <row r="3194">
      <c r="A3194" s="1" t="s">
        <v>8</v>
      </c>
      <c r="B3194" s="2">
        <v>44720.0</v>
      </c>
      <c r="C3194" s="3">
        <v>0.709224537037037</v>
      </c>
      <c r="D3194" s="1">
        <v>12.990052</v>
      </c>
      <c r="E3194" s="1">
        <v>80.179468</v>
      </c>
      <c r="F3194" s="1">
        <v>805.0</v>
      </c>
      <c r="G3194" s="1">
        <v>35.0</v>
      </c>
    </row>
    <row r="3195">
      <c r="A3195" s="1" t="s">
        <v>8</v>
      </c>
      <c r="B3195" s="2">
        <v>44720.0</v>
      </c>
      <c r="C3195" s="3">
        <v>0.7092476851851852</v>
      </c>
      <c r="D3195" s="1">
        <v>12.990052</v>
      </c>
      <c r="E3195" s="1">
        <v>80.179468</v>
      </c>
      <c r="F3195" s="1">
        <v>805.0</v>
      </c>
      <c r="G3195" s="1">
        <v>35.0</v>
      </c>
    </row>
    <row r="3196">
      <c r="A3196" s="1" t="s">
        <v>8</v>
      </c>
      <c r="B3196" s="2">
        <v>44720.0</v>
      </c>
      <c r="C3196" s="3">
        <v>0.7102662037037037</v>
      </c>
      <c r="D3196" s="1">
        <v>12.994288</v>
      </c>
      <c r="E3196" s="1">
        <v>80.185945</v>
      </c>
      <c r="F3196" s="1">
        <v>805.0</v>
      </c>
      <c r="G3196" s="1">
        <v>43.0</v>
      </c>
    </row>
    <row r="3197">
      <c r="A3197" s="1" t="s">
        <v>8</v>
      </c>
      <c r="B3197" s="2">
        <v>44720.0</v>
      </c>
      <c r="C3197" s="3">
        <v>0.7102893518518518</v>
      </c>
      <c r="D3197" s="1">
        <v>12.994288</v>
      </c>
      <c r="E3197" s="1">
        <v>80.185945</v>
      </c>
      <c r="F3197" s="1">
        <v>805.0</v>
      </c>
      <c r="G3197" s="1">
        <v>43.0</v>
      </c>
    </row>
    <row r="3198">
      <c r="A3198" s="1" t="s">
        <v>8</v>
      </c>
      <c r="B3198" s="2">
        <v>44720.0</v>
      </c>
      <c r="C3198" s="3">
        <v>0.710462962962963</v>
      </c>
      <c r="D3198" s="1">
        <v>12.995257</v>
      </c>
      <c r="E3198" s="1">
        <v>80.18786</v>
      </c>
      <c r="F3198" s="1">
        <v>805.0</v>
      </c>
      <c r="G3198" s="1">
        <v>46.0</v>
      </c>
    </row>
    <row r="3199">
      <c r="A3199" s="1" t="s">
        <v>8</v>
      </c>
      <c r="B3199" s="2">
        <v>44720.0</v>
      </c>
      <c r="C3199" s="3">
        <v>0.710462962962963</v>
      </c>
      <c r="D3199" s="1">
        <v>12.995257</v>
      </c>
      <c r="E3199" s="1">
        <v>80.18786</v>
      </c>
      <c r="F3199" s="1">
        <v>805.0</v>
      </c>
      <c r="G3199" s="1">
        <v>46.0</v>
      </c>
    </row>
    <row r="3200">
      <c r="A3200" s="1" t="s">
        <v>8</v>
      </c>
      <c r="B3200" s="2">
        <v>44720.0</v>
      </c>
      <c r="C3200" s="3">
        <v>0.7106134259259259</v>
      </c>
      <c r="D3200" s="1">
        <v>12.995869</v>
      </c>
      <c r="E3200" s="1">
        <v>80.189005</v>
      </c>
      <c r="F3200" s="1">
        <v>805.0</v>
      </c>
      <c r="G3200" s="1">
        <v>27.0</v>
      </c>
    </row>
    <row r="3201">
      <c r="A3201" s="1" t="s">
        <v>8</v>
      </c>
      <c r="B3201" s="2">
        <v>44720.0</v>
      </c>
      <c r="C3201" s="3">
        <v>0.7108101851851852</v>
      </c>
      <c r="D3201" s="1">
        <v>12.996659</v>
      </c>
      <c r="E3201" s="1">
        <v>80.189937</v>
      </c>
      <c r="F3201" s="1">
        <v>805.0</v>
      </c>
      <c r="G3201" s="1">
        <v>38.0</v>
      </c>
    </row>
    <row r="3202">
      <c r="A3202" s="1" t="s">
        <v>8</v>
      </c>
      <c r="B3202" s="2">
        <v>44720.0</v>
      </c>
      <c r="C3202" s="3">
        <v>0.7110648148148148</v>
      </c>
      <c r="D3202" s="1">
        <v>12.998608</v>
      </c>
      <c r="E3202" s="1">
        <v>80.192339</v>
      </c>
      <c r="F3202" s="1">
        <v>805.0</v>
      </c>
      <c r="G3202" s="1">
        <v>34.0</v>
      </c>
    </row>
    <row r="3203">
      <c r="A3203" s="1" t="s">
        <v>8</v>
      </c>
      <c r="B3203" s="2">
        <v>44720.0</v>
      </c>
      <c r="C3203" s="3">
        <v>0.7119675925925926</v>
      </c>
      <c r="D3203" s="1">
        <v>13.001364</v>
      </c>
      <c r="E3203" s="1">
        <v>80.195714</v>
      </c>
      <c r="F3203" s="1">
        <v>805.0</v>
      </c>
      <c r="G3203" s="1">
        <v>21.0</v>
      </c>
    </row>
    <row r="3204">
      <c r="A3204" s="1" t="s">
        <v>8</v>
      </c>
      <c r="B3204" s="2">
        <v>44720.0</v>
      </c>
      <c r="C3204" s="3">
        <v>0.7123032407407407</v>
      </c>
      <c r="D3204" s="1">
        <v>13.001919</v>
      </c>
      <c r="E3204" s="1">
        <v>80.198551</v>
      </c>
      <c r="F3204" s="1">
        <v>805.0</v>
      </c>
      <c r="G3204" s="1">
        <v>43.0</v>
      </c>
    </row>
    <row r="3205">
      <c r="A3205" s="1" t="s">
        <v>8</v>
      </c>
      <c r="B3205" s="2">
        <v>44720.0</v>
      </c>
      <c r="C3205" s="3">
        <v>0.7125231481481481</v>
      </c>
      <c r="D3205" s="1">
        <v>13.002082</v>
      </c>
      <c r="E3205" s="1">
        <v>80.200181</v>
      </c>
      <c r="F3205" s="1">
        <v>805.0</v>
      </c>
      <c r="G3205" s="1">
        <v>39.0</v>
      </c>
    </row>
    <row r="3206">
      <c r="A3206" s="1" t="s">
        <v>8</v>
      </c>
      <c r="B3206" s="2">
        <v>44720.0</v>
      </c>
      <c r="C3206" s="3">
        <v>0.7126851851851852</v>
      </c>
      <c r="D3206" s="1">
        <v>13.003524</v>
      </c>
      <c r="E3206" s="1">
        <v>80.200857</v>
      </c>
      <c r="F3206" s="1">
        <v>805.0</v>
      </c>
      <c r="G3206" s="1">
        <v>35.0</v>
      </c>
    </row>
    <row r="3207">
      <c r="A3207" s="1" t="s">
        <v>9</v>
      </c>
      <c r="B3207" s="2">
        <v>44720.0</v>
      </c>
      <c r="C3207" s="3">
        <v>0.7128587962962963</v>
      </c>
      <c r="D3207" s="1">
        <v>13.005113</v>
      </c>
      <c r="E3207" s="1">
        <v>80.201431</v>
      </c>
      <c r="F3207" s="1">
        <v>805.0</v>
      </c>
      <c r="G3207" s="1">
        <v>44.0</v>
      </c>
    </row>
    <row r="3208">
      <c r="A3208" s="1" t="s">
        <v>8</v>
      </c>
      <c r="B3208" s="2">
        <v>44720.0</v>
      </c>
      <c r="C3208" s="3">
        <v>0.7136111111111111</v>
      </c>
      <c r="D3208" s="1">
        <v>13.007616</v>
      </c>
      <c r="E3208" s="1">
        <v>80.203857</v>
      </c>
      <c r="F3208" s="1">
        <v>805.0</v>
      </c>
      <c r="G3208" s="1">
        <v>51.0</v>
      </c>
    </row>
    <row r="3209">
      <c r="A3209" s="1" t="s">
        <v>8</v>
      </c>
      <c r="B3209" s="2">
        <v>44720.0</v>
      </c>
      <c r="C3209" s="3">
        <v>0.7142361111111111</v>
      </c>
      <c r="D3209" s="1">
        <v>13.008378</v>
      </c>
      <c r="E3209" s="1">
        <v>80.21003</v>
      </c>
      <c r="F3209" s="1">
        <v>805.0</v>
      </c>
      <c r="G3209" s="1">
        <v>51.0</v>
      </c>
    </row>
    <row r="3210">
      <c r="A3210" s="1" t="s">
        <v>8</v>
      </c>
      <c r="B3210" s="2">
        <v>44720.0</v>
      </c>
      <c r="C3210" s="3">
        <v>0.714386574074074</v>
      </c>
      <c r="D3210" s="1">
        <v>13.008997</v>
      </c>
      <c r="E3210" s="1">
        <v>80.211765</v>
      </c>
      <c r="F3210" s="1">
        <v>805.0</v>
      </c>
      <c r="G3210" s="1">
        <v>43.0</v>
      </c>
    </row>
    <row r="3211">
      <c r="A3211" s="1" t="s">
        <v>8</v>
      </c>
      <c r="B3211" s="2">
        <v>44720.0</v>
      </c>
      <c r="C3211" s="3">
        <v>0.714849537037037</v>
      </c>
      <c r="D3211" s="1">
        <v>13.010291</v>
      </c>
      <c r="E3211" s="1">
        <v>80.215708</v>
      </c>
      <c r="F3211" s="1">
        <v>805.0</v>
      </c>
      <c r="G3211" s="1">
        <v>34.0</v>
      </c>
    </row>
    <row r="3212">
      <c r="A3212" s="1" t="s">
        <v>8</v>
      </c>
      <c r="B3212" s="2">
        <v>44720.0</v>
      </c>
      <c r="C3212" s="3">
        <v>0.715300925925926</v>
      </c>
      <c r="D3212" s="1">
        <v>13.011593</v>
      </c>
      <c r="E3212" s="1">
        <v>80.218706</v>
      </c>
      <c r="F3212" s="1">
        <v>805.0</v>
      </c>
      <c r="G3212" s="1">
        <v>45.0</v>
      </c>
    </row>
    <row r="3213">
      <c r="A3213" s="1" t="s">
        <v>8</v>
      </c>
      <c r="B3213" s="2">
        <v>44720.0</v>
      </c>
      <c r="C3213" s="3">
        <v>0.7155671296296297</v>
      </c>
      <c r="D3213" s="1">
        <v>13.012769</v>
      </c>
      <c r="E3213" s="1">
        <v>80.221751</v>
      </c>
      <c r="F3213" s="1">
        <v>805.0</v>
      </c>
      <c r="G3213" s="1">
        <v>31.0</v>
      </c>
    </row>
    <row r="3214">
      <c r="A3214" s="1" t="s">
        <v>8</v>
      </c>
      <c r="B3214" s="2">
        <v>44720.0</v>
      </c>
      <c r="C3214" s="3">
        <v>0.7156828703703704</v>
      </c>
      <c r="D3214" s="1">
        <v>13.012769</v>
      </c>
      <c r="E3214" s="1">
        <v>80.221751</v>
      </c>
      <c r="F3214" s="1">
        <v>805.0</v>
      </c>
      <c r="G3214" s="1">
        <v>31.0</v>
      </c>
    </row>
    <row r="3215">
      <c r="A3215" s="1" t="s">
        <v>8</v>
      </c>
      <c r="B3215" s="2">
        <v>44720.0</v>
      </c>
      <c r="C3215" s="3">
        <v>0.7157060185185186</v>
      </c>
      <c r="D3215" s="1">
        <v>13.012769</v>
      </c>
      <c r="E3215" s="1">
        <v>80.221751</v>
      </c>
      <c r="F3215" s="1">
        <v>805.0</v>
      </c>
      <c r="G3215" s="1">
        <v>31.0</v>
      </c>
    </row>
    <row r="3216">
      <c r="A3216" s="1" t="s">
        <v>8</v>
      </c>
      <c r="B3216" s="2">
        <v>44720.0</v>
      </c>
      <c r="C3216" s="3">
        <v>0.7174537037037036</v>
      </c>
      <c r="D3216" s="1">
        <v>13.019751</v>
      </c>
      <c r="E3216" s="1">
        <v>80.224471</v>
      </c>
      <c r="F3216" s="1">
        <v>805.0</v>
      </c>
      <c r="G3216" s="1">
        <v>11.0</v>
      </c>
    </row>
    <row r="3217">
      <c r="A3217" s="1" t="s">
        <v>8</v>
      </c>
      <c r="B3217" s="2">
        <v>44720.0</v>
      </c>
      <c r="C3217" s="3">
        <v>0.7179050925925926</v>
      </c>
      <c r="D3217" s="1">
        <v>13.022382</v>
      </c>
      <c r="E3217" s="1">
        <v>80.226518</v>
      </c>
      <c r="F3217" s="1">
        <v>805.0</v>
      </c>
      <c r="G3217" s="1">
        <v>40.0</v>
      </c>
    </row>
    <row r="3218">
      <c r="A3218" s="1" t="s">
        <v>8</v>
      </c>
      <c r="B3218" s="2">
        <v>44720.0</v>
      </c>
      <c r="C3218" s="3">
        <v>0.718113425925926</v>
      </c>
      <c r="D3218" s="1">
        <v>13.023598</v>
      </c>
      <c r="E3218" s="1">
        <v>80.227603</v>
      </c>
      <c r="F3218" s="1">
        <v>805.0</v>
      </c>
      <c r="G3218" s="1">
        <v>40.0</v>
      </c>
    </row>
    <row r="3219">
      <c r="A3219" s="1" t="s">
        <v>8</v>
      </c>
      <c r="B3219" s="2">
        <v>44720.0</v>
      </c>
      <c r="C3219" s="3">
        <v>0.718125</v>
      </c>
      <c r="D3219" s="1">
        <v>13.023598</v>
      </c>
      <c r="E3219" s="1">
        <v>80.227603</v>
      </c>
      <c r="F3219" s="1">
        <v>805.0</v>
      </c>
      <c r="G3219" s="1">
        <v>40.0</v>
      </c>
    </row>
    <row r="3220">
      <c r="A3220" s="1" t="s">
        <v>8</v>
      </c>
      <c r="B3220" s="2">
        <v>44720.0</v>
      </c>
      <c r="C3220" s="3">
        <v>0.7181828703703703</v>
      </c>
      <c r="D3220" s="1">
        <v>13.024412</v>
      </c>
      <c r="E3220" s="1">
        <v>80.228564</v>
      </c>
      <c r="F3220" s="1">
        <v>805.0</v>
      </c>
      <c r="G3220" s="1">
        <v>28.0</v>
      </c>
    </row>
    <row r="3221">
      <c r="A3221" s="1" t="s">
        <v>8</v>
      </c>
      <c r="B3221" s="2">
        <v>44720.0</v>
      </c>
      <c r="C3221" s="3">
        <v>0.7182060185185185</v>
      </c>
      <c r="D3221" s="1">
        <v>13.024412</v>
      </c>
      <c r="E3221" s="1">
        <v>80.228564</v>
      </c>
      <c r="F3221" s="1">
        <v>805.0</v>
      </c>
      <c r="G3221" s="1">
        <v>28.0</v>
      </c>
    </row>
    <row r="3222">
      <c r="A3222" s="1" t="s">
        <v>8</v>
      </c>
      <c r="B3222" s="2">
        <v>44720.0</v>
      </c>
      <c r="C3222" s="3">
        <v>0.7182060185185185</v>
      </c>
      <c r="D3222" s="1">
        <v>13.024412</v>
      </c>
      <c r="E3222" s="1">
        <v>80.228564</v>
      </c>
      <c r="F3222" s="1">
        <v>805.0</v>
      </c>
      <c r="G3222" s="1">
        <v>28.0</v>
      </c>
    </row>
    <row r="3223">
      <c r="A3223" s="1" t="s">
        <v>10</v>
      </c>
      <c r="B3223" s="2">
        <v>44720.0</v>
      </c>
      <c r="C3223" s="3">
        <v>0.7189699074074074</v>
      </c>
      <c r="D3223" s="1">
        <v>12.963434</v>
      </c>
      <c r="E3223" s="1">
        <v>80.187627</v>
      </c>
      <c r="F3223" s="1">
        <v>2846.0</v>
      </c>
      <c r="G3223" s="1">
        <v>10.0</v>
      </c>
    </row>
    <row r="3224">
      <c r="A3224" s="1" t="s">
        <v>10</v>
      </c>
      <c r="B3224" s="2">
        <v>44720.0</v>
      </c>
      <c r="C3224" s="3">
        <v>0.7193171296296297</v>
      </c>
      <c r="D3224" s="1">
        <v>12.964133</v>
      </c>
      <c r="E3224" s="1">
        <v>80.187838</v>
      </c>
      <c r="F3224" s="1">
        <v>2846.0</v>
      </c>
      <c r="G3224" s="1">
        <v>14.0</v>
      </c>
    </row>
    <row r="3225">
      <c r="A3225" s="1" t="s">
        <v>8</v>
      </c>
      <c r="B3225" s="2">
        <v>44720.0</v>
      </c>
      <c r="C3225" s="3">
        <v>0.7204166666666667</v>
      </c>
      <c r="D3225" s="1">
        <v>13.026423</v>
      </c>
      <c r="E3225" s="1">
        <v>80.232548</v>
      </c>
      <c r="F3225" s="1">
        <v>805.0</v>
      </c>
      <c r="G3225" s="1">
        <v>26.0</v>
      </c>
    </row>
    <row r="3226">
      <c r="A3226" s="1" t="s">
        <v>8</v>
      </c>
      <c r="B3226" s="2">
        <v>44720.0</v>
      </c>
      <c r="C3226" s="3">
        <v>0.7207291666666666</v>
      </c>
      <c r="D3226" s="1">
        <v>13.02683</v>
      </c>
      <c r="E3226" s="1">
        <v>80.233357</v>
      </c>
      <c r="F3226" s="1">
        <v>805.0</v>
      </c>
      <c r="G3226" s="1">
        <v>20.0</v>
      </c>
    </row>
    <row r="3227">
      <c r="A3227" s="1" t="s">
        <v>8</v>
      </c>
      <c r="B3227" s="2">
        <v>44720.0</v>
      </c>
      <c r="C3227" s="3">
        <v>0.7208796296296296</v>
      </c>
      <c r="D3227" s="1">
        <v>13.028032</v>
      </c>
      <c r="E3227" s="1">
        <v>80.235416</v>
      </c>
      <c r="F3227" s="1">
        <v>805.0</v>
      </c>
      <c r="G3227" s="1">
        <v>37.0</v>
      </c>
    </row>
    <row r="3228">
      <c r="A3228" s="1" t="s">
        <v>8</v>
      </c>
      <c r="B3228" s="2">
        <v>44720.0</v>
      </c>
      <c r="C3228" s="3">
        <v>0.7229166666666667</v>
      </c>
      <c r="D3228" s="1">
        <v>13.031178</v>
      </c>
      <c r="E3228" s="1">
        <v>80.239709</v>
      </c>
      <c r="F3228" s="1">
        <v>805.0</v>
      </c>
      <c r="G3228" s="1">
        <v>32.0</v>
      </c>
    </row>
    <row r="3229">
      <c r="A3229" s="1" t="s">
        <v>8</v>
      </c>
      <c r="B3229" s="2">
        <v>44720.0</v>
      </c>
      <c r="C3229" s="3">
        <v>0.7236226851851851</v>
      </c>
      <c r="D3229" s="1">
        <v>13.033009</v>
      </c>
      <c r="E3229" s="1">
        <v>80.243139</v>
      </c>
      <c r="F3229" s="1">
        <v>805.0</v>
      </c>
      <c r="G3229" s="1">
        <v>12.0</v>
      </c>
    </row>
    <row r="3230">
      <c r="A3230" s="1" t="s">
        <v>10</v>
      </c>
      <c r="B3230" s="2">
        <v>44720.0</v>
      </c>
      <c r="C3230" s="3">
        <v>0.7236921296296296</v>
      </c>
      <c r="D3230" s="1">
        <v>12.965859</v>
      </c>
      <c r="E3230" s="1">
        <v>80.201948</v>
      </c>
      <c r="F3230" s="1">
        <v>2846.0</v>
      </c>
      <c r="G3230" s="1">
        <v>22.0</v>
      </c>
    </row>
    <row r="3231">
      <c r="A3231" s="1" t="s">
        <v>8</v>
      </c>
      <c r="B3231" s="2">
        <v>44720.0</v>
      </c>
      <c r="C3231" s="3">
        <v>0.7245601851851852</v>
      </c>
      <c r="D3231" s="1">
        <v>13.035435</v>
      </c>
      <c r="E3231" s="1">
        <v>80.245901</v>
      </c>
      <c r="F3231" s="1">
        <v>805.0</v>
      </c>
      <c r="G3231" s="1">
        <v>0.0</v>
      </c>
    </row>
    <row r="3232">
      <c r="A3232" s="1" t="s">
        <v>8</v>
      </c>
      <c r="B3232" s="2">
        <v>44720.0</v>
      </c>
      <c r="C3232" s="3">
        <v>0.7292824074074075</v>
      </c>
      <c r="D3232" s="1">
        <v>12.977188</v>
      </c>
      <c r="E3232" s="1">
        <v>80.223141</v>
      </c>
      <c r="F3232" s="1">
        <v>2846.0</v>
      </c>
      <c r="G3232" s="1">
        <v>30.0</v>
      </c>
    </row>
    <row r="3233">
      <c r="A3233" s="1" t="s">
        <v>8</v>
      </c>
      <c r="B3233" s="2">
        <v>44720.0</v>
      </c>
      <c r="C3233" s="3">
        <v>0.7293055555555555</v>
      </c>
      <c r="D3233" s="1">
        <v>12.977188</v>
      </c>
      <c r="E3233" s="1">
        <v>80.223141</v>
      </c>
      <c r="F3233" s="1">
        <v>2846.0</v>
      </c>
      <c r="G3233" s="1">
        <v>30.0</v>
      </c>
    </row>
    <row r="3234">
      <c r="A3234" s="1" t="s">
        <v>8</v>
      </c>
      <c r="B3234" s="2">
        <v>44720.0</v>
      </c>
      <c r="C3234" s="3">
        <v>0.7294791666666667</v>
      </c>
      <c r="D3234" s="1">
        <v>13.042309</v>
      </c>
      <c r="E3234" s="1">
        <v>80.247426</v>
      </c>
      <c r="F3234" s="1">
        <v>805.0</v>
      </c>
      <c r="G3234" s="1">
        <v>20.0</v>
      </c>
    </row>
    <row r="3235">
      <c r="A3235" s="1" t="s">
        <v>8</v>
      </c>
      <c r="B3235" s="2">
        <v>44720.0</v>
      </c>
      <c r="C3235" s="3">
        <v>0.7297916666666666</v>
      </c>
      <c r="D3235" s="1">
        <v>13.043905</v>
      </c>
      <c r="E3235" s="1">
        <v>80.24775</v>
      </c>
      <c r="F3235" s="1">
        <v>805.0</v>
      </c>
      <c r="G3235" s="1">
        <v>38.0</v>
      </c>
    </row>
    <row r="3236">
      <c r="A3236" s="1" t="s">
        <v>8</v>
      </c>
      <c r="B3236" s="2">
        <v>44720.0</v>
      </c>
      <c r="C3236" s="3">
        <v>0.7308101851851851</v>
      </c>
      <c r="D3236" s="1">
        <v>13.04977</v>
      </c>
      <c r="E3236" s="1">
        <v>80.249749</v>
      </c>
      <c r="F3236" s="1">
        <v>805.0</v>
      </c>
      <c r="G3236" s="1">
        <v>30.0</v>
      </c>
    </row>
    <row r="3237">
      <c r="A3237" s="1" t="s">
        <v>8</v>
      </c>
      <c r="B3237" s="2">
        <v>44720.0</v>
      </c>
      <c r="C3237" s="3">
        <v>0.7315277777777778</v>
      </c>
      <c r="D3237" s="1">
        <v>13.053959</v>
      </c>
      <c r="E3237" s="1">
        <v>80.253033</v>
      </c>
      <c r="F3237" s="1">
        <v>805.0</v>
      </c>
      <c r="G3237" s="1">
        <v>0.0</v>
      </c>
    </row>
    <row r="3238">
      <c r="A3238" s="1" t="s">
        <v>8</v>
      </c>
      <c r="B3238" s="2">
        <v>44720.0</v>
      </c>
      <c r="C3238" s="3">
        <v>0.7315277777777778</v>
      </c>
      <c r="D3238" s="1">
        <v>13.053959</v>
      </c>
      <c r="E3238" s="1">
        <v>80.253033</v>
      </c>
      <c r="F3238" s="1">
        <v>805.0</v>
      </c>
      <c r="G3238" s="1">
        <v>0.0</v>
      </c>
    </row>
    <row r="3239">
      <c r="A3239" s="1" t="s">
        <v>8</v>
      </c>
      <c r="B3239" s="2">
        <v>44720.0</v>
      </c>
      <c r="C3239" s="3">
        <v>0.7315393518518518</v>
      </c>
      <c r="D3239" s="1">
        <v>13.053959</v>
      </c>
      <c r="E3239" s="1">
        <v>80.253033</v>
      </c>
      <c r="F3239" s="1">
        <v>805.0</v>
      </c>
      <c r="G3239" s="1">
        <v>0.0</v>
      </c>
    </row>
    <row r="3240">
      <c r="A3240" s="1" t="s">
        <v>10</v>
      </c>
      <c r="B3240" s="2">
        <v>44720.0</v>
      </c>
      <c r="C3240" s="3">
        <v>0.7327199074074074</v>
      </c>
      <c r="D3240" s="1">
        <v>13.057644</v>
      </c>
      <c r="E3240" s="1">
        <v>80.257645</v>
      </c>
      <c r="F3240" s="1">
        <v>805.0</v>
      </c>
      <c r="G3240" s="1">
        <v>10.0</v>
      </c>
    </row>
    <row r="3241">
      <c r="A3241" s="1" t="s">
        <v>10</v>
      </c>
      <c r="B3241" s="2">
        <v>44720.0</v>
      </c>
      <c r="C3241" s="3">
        <v>0.7328472222222222</v>
      </c>
      <c r="D3241" s="1">
        <v>13.057644</v>
      </c>
      <c r="E3241" s="1">
        <v>80.257645</v>
      </c>
      <c r="F3241" s="1">
        <v>805.0</v>
      </c>
      <c r="G3241" s="1">
        <v>10.0</v>
      </c>
    </row>
    <row r="3242">
      <c r="A3242" s="1" t="s">
        <v>10</v>
      </c>
      <c r="B3242" s="2">
        <v>44720.0</v>
      </c>
      <c r="C3242" s="3">
        <v>0.7333680555555555</v>
      </c>
      <c r="D3242" s="1">
        <v>13.056107</v>
      </c>
      <c r="E3242" s="1">
        <v>80.257758</v>
      </c>
      <c r="F3242" s="1">
        <v>805.0</v>
      </c>
      <c r="G3242" s="1">
        <v>24.0</v>
      </c>
    </row>
    <row r="3243">
      <c r="A3243" s="1" t="s">
        <v>8</v>
      </c>
      <c r="B3243" s="2">
        <v>44720.0</v>
      </c>
      <c r="C3243" s="3">
        <v>0.7340046296296296</v>
      </c>
      <c r="D3243" s="1">
        <v>13.054493</v>
      </c>
      <c r="E3243" s="1">
        <v>80.257955</v>
      </c>
      <c r="F3243" s="1">
        <v>805.0</v>
      </c>
      <c r="G3243" s="1">
        <v>12.0</v>
      </c>
    </row>
    <row r="3244">
      <c r="A3244" s="1" t="s">
        <v>8</v>
      </c>
      <c r="B3244" s="2">
        <v>44720.0</v>
      </c>
      <c r="C3244" s="3">
        <v>0.7341087962962963</v>
      </c>
      <c r="D3244" s="1">
        <v>13.054493</v>
      </c>
      <c r="E3244" s="1">
        <v>80.257955</v>
      </c>
      <c r="F3244" s="1">
        <v>805.0</v>
      </c>
      <c r="G3244" s="1">
        <v>12.0</v>
      </c>
    </row>
    <row r="3245">
      <c r="A3245" s="1" t="s">
        <v>8</v>
      </c>
      <c r="B3245" s="2">
        <v>44720.0</v>
      </c>
      <c r="C3245" s="3">
        <v>0.7341203703703704</v>
      </c>
      <c r="D3245" s="1">
        <v>13.054208</v>
      </c>
      <c r="E3245" s="1">
        <v>80.260916</v>
      </c>
      <c r="F3245" s="1">
        <v>805.0</v>
      </c>
      <c r="G3245" s="1">
        <v>32.0</v>
      </c>
    </row>
    <row r="3246">
      <c r="A3246" s="1" t="s">
        <v>8</v>
      </c>
      <c r="B3246" s="2">
        <v>44720.0</v>
      </c>
      <c r="C3246" s="3">
        <v>0.7341203703703704</v>
      </c>
      <c r="D3246" s="1">
        <v>13.054208</v>
      </c>
      <c r="E3246" s="1">
        <v>80.260916</v>
      </c>
      <c r="F3246" s="1">
        <v>805.0</v>
      </c>
      <c r="G3246" s="1">
        <v>32.0</v>
      </c>
    </row>
    <row r="3247">
      <c r="A3247" s="1" t="s">
        <v>8</v>
      </c>
      <c r="B3247" s="2">
        <v>44720.0</v>
      </c>
      <c r="C3247" s="3">
        <v>0.7341435185185186</v>
      </c>
      <c r="D3247" s="1">
        <v>13.054208</v>
      </c>
      <c r="E3247" s="1">
        <v>80.260916</v>
      </c>
      <c r="F3247" s="1">
        <v>805.0</v>
      </c>
      <c r="G3247" s="1">
        <v>32.0</v>
      </c>
    </row>
    <row r="3248">
      <c r="A3248" s="1" t="s">
        <v>8</v>
      </c>
      <c r="B3248" s="2">
        <v>44720.0</v>
      </c>
      <c r="C3248" s="3">
        <v>0.7341666666666666</v>
      </c>
      <c r="D3248" s="1">
        <v>13.054208</v>
      </c>
      <c r="E3248" s="1">
        <v>80.260916</v>
      </c>
      <c r="F3248" s="1">
        <v>805.0</v>
      </c>
      <c r="G3248" s="1">
        <v>32.0</v>
      </c>
    </row>
    <row r="3249">
      <c r="A3249" s="1" t="s">
        <v>8</v>
      </c>
      <c r="B3249" s="2">
        <v>44720.0</v>
      </c>
      <c r="C3249" s="3">
        <v>0.7341898148148148</v>
      </c>
      <c r="D3249" s="1">
        <v>13.054208</v>
      </c>
      <c r="E3249" s="1">
        <v>80.260916</v>
      </c>
      <c r="F3249" s="1">
        <v>805.0</v>
      </c>
      <c r="G3249" s="1">
        <v>32.0</v>
      </c>
    </row>
    <row r="3250">
      <c r="A3250" s="1" t="s">
        <v>8</v>
      </c>
      <c r="B3250" s="2">
        <v>44720.0</v>
      </c>
      <c r="C3250" s="3">
        <v>0.734224537037037</v>
      </c>
      <c r="D3250" s="1">
        <v>12.978007</v>
      </c>
      <c r="E3250" s="1">
        <v>80.224776</v>
      </c>
      <c r="F3250" s="1">
        <v>2846.0</v>
      </c>
      <c r="G3250" s="1">
        <v>20.0</v>
      </c>
    </row>
    <row r="3251">
      <c r="A3251" s="1" t="s">
        <v>8</v>
      </c>
      <c r="B3251" s="2">
        <v>44720.0</v>
      </c>
      <c r="C3251" s="3">
        <v>0.7344444444444445</v>
      </c>
      <c r="D3251" s="1">
        <v>12.977431</v>
      </c>
      <c r="E3251" s="1">
        <v>80.223767</v>
      </c>
      <c r="F3251" s="1">
        <v>2846.0</v>
      </c>
      <c r="G3251" s="1">
        <v>31.0</v>
      </c>
    </row>
    <row r="3252">
      <c r="A3252" s="1" t="s">
        <v>10</v>
      </c>
      <c r="B3252" s="2">
        <v>44720.0</v>
      </c>
      <c r="C3252" s="3">
        <v>0.7346643518518519</v>
      </c>
      <c r="D3252" s="1">
        <v>12.97663</v>
      </c>
      <c r="E3252" s="1">
        <v>80.222429</v>
      </c>
      <c r="F3252" s="1">
        <v>2846.0</v>
      </c>
      <c r="G3252" s="1">
        <v>37.0</v>
      </c>
    </row>
    <row r="3253">
      <c r="A3253" s="1" t="s">
        <v>8</v>
      </c>
      <c r="B3253" s="2">
        <v>44720.0</v>
      </c>
      <c r="C3253" s="3">
        <v>0.7357523148148148</v>
      </c>
      <c r="D3253" s="1">
        <v>12.971725</v>
      </c>
      <c r="E3253" s="1">
        <v>80.219381</v>
      </c>
      <c r="F3253" s="1">
        <v>2846.0</v>
      </c>
      <c r="G3253" s="1">
        <v>25.0</v>
      </c>
    </row>
    <row r="3254">
      <c r="A3254" s="1" t="s">
        <v>8</v>
      </c>
      <c r="B3254" s="2">
        <v>44720.0</v>
      </c>
      <c r="C3254" s="3">
        <v>0.7357638888888889</v>
      </c>
      <c r="D3254" s="1">
        <v>12.971725</v>
      </c>
      <c r="E3254" s="1">
        <v>80.219381</v>
      </c>
      <c r="F3254" s="1">
        <v>2846.0</v>
      </c>
      <c r="G3254" s="1">
        <v>25.0</v>
      </c>
    </row>
    <row r="3255">
      <c r="A3255" s="1" t="s">
        <v>10</v>
      </c>
      <c r="B3255" s="2">
        <v>44720.0</v>
      </c>
      <c r="C3255" s="3">
        <v>0.7360532407407407</v>
      </c>
      <c r="D3255" s="1">
        <v>13.053446</v>
      </c>
      <c r="E3255" s="1">
        <v>80.268929</v>
      </c>
      <c r="F3255" s="1">
        <v>805.0</v>
      </c>
      <c r="G3255" s="1">
        <v>0.0</v>
      </c>
    </row>
    <row r="3256">
      <c r="A3256" s="1" t="s">
        <v>10</v>
      </c>
      <c r="B3256" s="2">
        <v>44720.0</v>
      </c>
      <c r="C3256" s="3">
        <v>0.7364467592592593</v>
      </c>
      <c r="D3256" s="1">
        <v>13.053412</v>
      </c>
      <c r="E3256" s="1">
        <v>80.269407</v>
      </c>
      <c r="F3256" s="1">
        <v>805.0</v>
      </c>
      <c r="G3256" s="1">
        <v>13.0</v>
      </c>
    </row>
    <row r="3257">
      <c r="A3257" s="1" t="s">
        <v>8</v>
      </c>
      <c r="B3257" s="2">
        <v>44720.0</v>
      </c>
      <c r="C3257" s="3">
        <v>0.7364467592592593</v>
      </c>
      <c r="D3257" s="1">
        <v>12.96641</v>
      </c>
      <c r="E3257" s="1">
        <v>80.217239</v>
      </c>
      <c r="F3257" s="1">
        <v>2846.0</v>
      </c>
      <c r="G3257" s="1">
        <v>44.0</v>
      </c>
    </row>
    <row r="3258">
      <c r="A3258" s="1" t="s">
        <v>10</v>
      </c>
      <c r="B3258" s="2">
        <v>44720.0</v>
      </c>
      <c r="C3258" s="3">
        <v>0.7390046296296297</v>
      </c>
      <c r="D3258" s="1">
        <v>13.057457</v>
      </c>
      <c r="E3258" s="1">
        <v>80.273957</v>
      </c>
      <c r="F3258" s="1">
        <v>805.0</v>
      </c>
      <c r="G3258" s="1">
        <v>18.0</v>
      </c>
    </row>
    <row r="3259">
      <c r="A3259" s="1" t="s">
        <v>8</v>
      </c>
      <c r="B3259" s="2">
        <v>44720.0</v>
      </c>
      <c r="C3259" s="3">
        <v>0.7390509259259259</v>
      </c>
      <c r="D3259" s="1">
        <v>12.956622</v>
      </c>
      <c r="E3259" s="1">
        <v>80.213284</v>
      </c>
      <c r="F3259" s="1">
        <v>2846.0</v>
      </c>
      <c r="G3259" s="1">
        <v>33.0</v>
      </c>
    </row>
    <row r="3260">
      <c r="A3260" s="1" t="s">
        <v>8</v>
      </c>
      <c r="B3260" s="2">
        <v>44720.0</v>
      </c>
      <c r="C3260" s="3">
        <v>0.7391087962962963</v>
      </c>
      <c r="D3260" s="1">
        <v>12.956622</v>
      </c>
      <c r="E3260" s="1">
        <v>80.213284</v>
      </c>
      <c r="F3260" s="1">
        <v>2846.0</v>
      </c>
      <c r="G3260" s="1">
        <v>33.0</v>
      </c>
    </row>
    <row r="3261">
      <c r="A3261" s="1" t="s">
        <v>10</v>
      </c>
      <c r="B3261" s="2">
        <v>44720.0</v>
      </c>
      <c r="C3261" s="3">
        <v>0.7404166666666666</v>
      </c>
      <c r="D3261" s="1">
        <v>13.06132</v>
      </c>
      <c r="E3261" s="1">
        <v>80.274339</v>
      </c>
      <c r="F3261" s="1">
        <v>805.0</v>
      </c>
      <c r="G3261" s="1">
        <v>28.0</v>
      </c>
    </row>
    <row r="3262">
      <c r="A3262" s="1" t="s">
        <v>10</v>
      </c>
      <c r="B3262" s="2">
        <v>44720.0</v>
      </c>
      <c r="C3262" s="3">
        <v>0.7411805555555555</v>
      </c>
      <c r="D3262" s="1">
        <v>13.064368</v>
      </c>
      <c r="E3262" s="1">
        <v>80.273996</v>
      </c>
      <c r="F3262" s="1">
        <v>805.0</v>
      </c>
      <c r="G3262" s="1">
        <v>12.0</v>
      </c>
    </row>
    <row r="3263">
      <c r="A3263" s="1" t="s">
        <v>8</v>
      </c>
      <c r="B3263" s="2">
        <v>44720.0</v>
      </c>
      <c r="C3263" s="3">
        <v>0.7431365740740741</v>
      </c>
      <c r="D3263" s="1">
        <v>13.066442</v>
      </c>
      <c r="E3263" s="1">
        <v>80.268538</v>
      </c>
      <c r="F3263" s="1">
        <v>805.0</v>
      </c>
      <c r="G3263" s="1">
        <v>0.0</v>
      </c>
    </row>
    <row r="3264">
      <c r="A3264" s="1" t="s">
        <v>8</v>
      </c>
      <c r="B3264" s="2">
        <v>44720.0</v>
      </c>
      <c r="C3264" s="3">
        <v>0.7431481481481481</v>
      </c>
      <c r="D3264" s="1">
        <v>13.066442</v>
      </c>
      <c r="E3264" s="1">
        <v>80.268538</v>
      </c>
      <c r="F3264" s="1">
        <v>805.0</v>
      </c>
      <c r="G3264" s="1">
        <v>0.0</v>
      </c>
    </row>
    <row r="3265">
      <c r="A3265" s="1" t="s">
        <v>10</v>
      </c>
      <c r="B3265" s="2">
        <v>44720.0</v>
      </c>
      <c r="C3265" s="3">
        <v>0.7444097222222222</v>
      </c>
      <c r="D3265" s="1">
        <v>13.068613</v>
      </c>
      <c r="E3265" s="1">
        <v>80.268182</v>
      </c>
      <c r="F3265" s="1">
        <v>805.0</v>
      </c>
      <c r="G3265" s="1">
        <v>15.0</v>
      </c>
    </row>
    <row r="3266">
      <c r="A3266" s="1" t="s">
        <v>8</v>
      </c>
      <c r="B3266" s="2">
        <v>44720.0</v>
      </c>
      <c r="C3266" s="3">
        <v>0.7449074074074075</v>
      </c>
      <c r="D3266" s="1">
        <v>12.948654</v>
      </c>
      <c r="E3266" s="1">
        <v>80.190324</v>
      </c>
      <c r="F3266" s="1">
        <v>2846.0</v>
      </c>
      <c r="G3266" s="1">
        <v>22.0</v>
      </c>
    </row>
    <row r="3267">
      <c r="A3267" s="1" t="s">
        <v>8</v>
      </c>
      <c r="B3267" s="2">
        <v>44720.0</v>
      </c>
      <c r="C3267" s="3">
        <v>0.7449421296296296</v>
      </c>
      <c r="D3267" s="1">
        <v>12.948654</v>
      </c>
      <c r="E3267" s="1">
        <v>80.190324</v>
      </c>
      <c r="F3267" s="1">
        <v>2846.0</v>
      </c>
      <c r="G3267" s="1">
        <v>22.0</v>
      </c>
    </row>
    <row r="3268">
      <c r="A3268" s="1" t="s">
        <v>7</v>
      </c>
      <c r="B3268" s="2">
        <v>44720.0</v>
      </c>
      <c r="C3268" s="3">
        <v>0.7455324074074074</v>
      </c>
      <c r="D3268" s="1">
        <v>12.949127</v>
      </c>
      <c r="E3268" s="1">
        <v>80.183871</v>
      </c>
      <c r="F3268" s="1">
        <v>2846.0</v>
      </c>
      <c r="G3268" s="1">
        <v>49.0</v>
      </c>
    </row>
    <row r="3269">
      <c r="A3269" s="1" t="s">
        <v>8</v>
      </c>
      <c r="B3269" s="2">
        <v>44720.0</v>
      </c>
      <c r="C3269" s="3">
        <v>0.7468865740740741</v>
      </c>
      <c r="D3269" s="1">
        <v>12.95119</v>
      </c>
      <c r="E3269" s="1">
        <v>80.17453</v>
      </c>
      <c r="F3269" s="1">
        <v>2846.0</v>
      </c>
      <c r="G3269" s="1">
        <v>0.0</v>
      </c>
    </row>
    <row r="3270">
      <c r="A3270" s="1" t="s">
        <v>8</v>
      </c>
      <c r="B3270" s="2">
        <v>44720.0</v>
      </c>
      <c r="C3270" s="3">
        <v>0.749988425925926</v>
      </c>
      <c r="D3270" s="1">
        <v>13.067398</v>
      </c>
      <c r="E3270" s="1">
        <v>80.250995</v>
      </c>
      <c r="F3270" s="1">
        <v>805.0</v>
      </c>
      <c r="G3270" s="1">
        <v>21.0</v>
      </c>
    </row>
    <row r="3271">
      <c r="A3271" s="1" t="s">
        <v>8</v>
      </c>
      <c r="B3271" s="2">
        <v>44720.0</v>
      </c>
      <c r="C3271" s="3">
        <v>0.749988425925926</v>
      </c>
      <c r="D3271" s="1">
        <v>13.067239</v>
      </c>
      <c r="E3271" s="1">
        <v>80.251894</v>
      </c>
      <c r="F3271" s="1">
        <v>805.0</v>
      </c>
      <c r="G3271" s="1">
        <v>13.0</v>
      </c>
    </row>
    <row r="3272">
      <c r="A3272" s="1" t="s">
        <v>8</v>
      </c>
      <c r="B3272" s="2">
        <v>44720.0</v>
      </c>
      <c r="C3272" s="3">
        <v>0.7880439814814815</v>
      </c>
      <c r="D3272" s="1">
        <v>12.953439</v>
      </c>
      <c r="E3272" s="1">
        <v>80.163838</v>
      </c>
      <c r="F3272" s="1">
        <v>2846.0</v>
      </c>
      <c r="G3272" s="1">
        <v>4.0</v>
      </c>
    </row>
    <row r="3273">
      <c r="A3273" s="1" t="s">
        <v>8</v>
      </c>
      <c r="B3273" s="2">
        <v>44720.0</v>
      </c>
      <c r="C3273" s="3">
        <v>0.7881597222222222</v>
      </c>
      <c r="D3273" s="1">
        <v>12.953476</v>
      </c>
      <c r="E3273" s="1">
        <v>80.163696</v>
      </c>
      <c r="F3273" s="1">
        <v>2846.0</v>
      </c>
      <c r="G3273" s="1">
        <v>6.0</v>
      </c>
    </row>
    <row r="3274">
      <c r="A3274" s="1" t="s">
        <v>8</v>
      </c>
      <c r="B3274" s="2">
        <v>44720.0</v>
      </c>
      <c r="C3274" s="3">
        <v>0.7898148148148149</v>
      </c>
      <c r="D3274" s="1">
        <v>12.95718</v>
      </c>
      <c r="E3274" s="1">
        <v>80.151396</v>
      </c>
      <c r="F3274" s="1">
        <v>2846.0</v>
      </c>
      <c r="G3274" s="1">
        <v>51.0</v>
      </c>
    </row>
    <row r="3275">
      <c r="A3275" s="1" t="s">
        <v>8</v>
      </c>
      <c r="B3275" s="2">
        <v>44720.0</v>
      </c>
      <c r="C3275" s="3">
        <v>0.7934953703703703</v>
      </c>
      <c r="D3275" s="1">
        <v>12.954441</v>
      </c>
      <c r="E3275" s="1">
        <v>80.142312</v>
      </c>
      <c r="F3275" s="1">
        <v>2846.0</v>
      </c>
      <c r="G3275" s="1">
        <v>22.0</v>
      </c>
    </row>
    <row r="3276">
      <c r="A3276" s="1" t="s">
        <v>8</v>
      </c>
      <c r="B3276" s="2">
        <v>44720.0</v>
      </c>
      <c r="C3276" s="3">
        <v>0.7936226851851852</v>
      </c>
      <c r="D3276" s="1">
        <v>12.953933</v>
      </c>
      <c r="E3276" s="1">
        <v>80.142023</v>
      </c>
      <c r="F3276" s="1">
        <v>2846.0</v>
      </c>
      <c r="G3276" s="1">
        <v>26.0</v>
      </c>
    </row>
    <row r="3277">
      <c r="A3277" s="1" t="s">
        <v>8</v>
      </c>
      <c r="B3277" s="2">
        <v>44720.0</v>
      </c>
      <c r="C3277" s="3">
        <v>0.7940393518518518</v>
      </c>
      <c r="D3277" s="1">
        <v>12.95228</v>
      </c>
      <c r="E3277" s="1">
        <v>80.140969</v>
      </c>
      <c r="F3277" s="1">
        <v>2846.0</v>
      </c>
      <c r="G3277" s="1">
        <v>14.0</v>
      </c>
    </row>
    <row r="3278">
      <c r="A3278" s="1" t="s">
        <v>8</v>
      </c>
      <c r="B3278" s="2">
        <v>44720.0</v>
      </c>
      <c r="C3278" s="3">
        <v>0.794212962962963</v>
      </c>
      <c r="D3278" s="1">
        <v>12.951226</v>
      </c>
      <c r="E3278" s="1">
        <v>80.140151</v>
      </c>
      <c r="F3278" s="1">
        <v>2846.0</v>
      </c>
      <c r="G3278" s="1">
        <v>33.0</v>
      </c>
    </row>
    <row r="3279">
      <c r="A3279" s="1" t="s">
        <v>8</v>
      </c>
      <c r="B3279" s="2">
        <v>44720.0</v>
      </c>
      <c r="C3279" s="3">
        <v>0.7944560185185185</v>
      </c>
      <c r="D3279" s="1">
        <v>12.951226</v>
      </c>
      <c r="E3279" s="1">
        <v>80.140151</v>
      </c>
      <c r="F3279" s="1">
        <v>2846.0</v>
      </c>
      <c r="G3279" s="1">
        <v>33.0</v>
      </c>
    </row>
    <row r="3280">
      <c r="A3280" s="1" t="s">
        <v>8</v>
      </c>
      <c r="B3280" s="2">
        <v>44720.0</v>
      </c>
      <c r="C3280" s="3">
        <v>0.7947916666666667</v>
      </c>
      <c r="D3280" s="1">
        <v>12.950686</v>
      </c>
      <c r="E3280" s="1">
        <v>80.139766</v>
      </c>
      <c r="F3280" s="1">
        <v>2846.0</v>
      </c>
      <c r="G3280" s="1">
        <v>0.0</v>
      </c>
    </row>
    <row r="3281">
      <c r="A3281" s="1" t="s">
        <v>8</v>
      </c>
      <c r="B3281" s="2">
        <v>44720.0</v>
      </c>
      <c r="C3281" s="3">
        <v>0.795162037037037</v>
      </c>
      <c r="D3281" s="1">
        <v>12.95055</v>
      </c>
      <c r="E3281" s="1">
        <v>80.139687</v>
      </c>
      <c r="F3281" s="1">
        <v>2846.0</v>
      </c>
      <c r="G3281" s="1">
        <v>11.0</v>
      </c>
    </row>
    <row r="3282">
      <c r="A3282" s="1" t="s">
        <v>8</v>
      </c>
      <c r="B3282" s="2">
        <v>44720.0</v>
      </c>
      <c r="C3282" s="3">
        <v>0.7953009259259259</v>
      </c>
      <c r="D3282" s="1">
        <v>12.95013</v>
      </c>
      <c r="E3282" s="1">
        <v>80.139358</v>
      </c>
      <c r="F3282" s="1">
        <v>2846.0</v>
      </c>
      <c r="G3282" s="1">
        <v>28.0</v>
      </c>
    </row>
    <row r="3283">
      <c r="A3283" s="1" t="s">
        <v>9</v>
      </c>
      <c r="B3283" s="2">
        <v>44720.0</v>
      </c>
      <c r="C3283" s="3">
        <v>0.7954398148148148</v>
      </c>
      <c r="D3283" s="1">
        <v>12.949344</v>
      </c>
      <c r="E3283" s="1">
        <v>80.138701</v>
      </c>
      <c r="F3283" s="1">
        <v>2846.0</v>
      </c>
      <c r="G3283" s="1">
        <v>39.0</v>
      </c>
    </row>
    <row r="3284">
      <c r="A3284" s="1" t="s">
        <v>8</v>
      </c>
      <c r="B3284" s="2">
        <v>44720.0</v>
      </c>
      <c r="C3284" s="3">
        <v>0.7955902777777778</v>
      </c>
      <c r="D3284" s="1">
        <v>12.948044</v>
      </c>
      <c r="E3284" s="1">
        <v>80.137678</v>
      </c>
      <c r="F3284" s="1">
        <v>2846.0</v>
      </c>
      <c r="G3284" s="1">
        <v>39.0</v>
      </c>
    </row>
    <row r="3285">
      <c r="A3285" s="1" t="s">
        <v>8</v>
      </c>
      <c r="B3285" s="2">
        <v>44720.0</v>
      </c>
      <c r="C3285" s="3">
        <v>0.7965277777777777</v>
      </c>
      <c r="D3285" s="1">
        <v>12.944251</v>
      </c>
      <c r="E3285" s="1">
        <v>80.134818</v>
      </c>
      <c r="F3285" s="1">
        <v>2846.0</v>
      </c>
      <c r="G3285" s="1">
        <v>42.0</v>
      </c>
    </row>
    <row r="3286">
      <c r="A3286" s="1" t="s">
        <v>8</v>
      </c>
      <c r="B3286" s="2">
        <v>44720.0</v>
      </c>
      <c r="C3286" s="3">
        <v>0.7971296296296296</v>
      </c>
      <c r="D3286" s="1">
        <v>12.941136</v>
      </c>
      <c r="E3286" s="1">
        <v>80.131739</v>
      </c>
      <c r="F3286" s="1">
        <v>2846.0</v>
      </c>
      <c r="G3286" s="1">
        <v>39.0</v>
      </c>
    </row>
    <row r="3287">
      <c r="A3287" s="1" t="s">
        <v>8</v>
      </c>
      <c r="B3287" s="2">
        <v>44720.0</v>
      </c>
      <c r="C3287" s="3">
        <v>0.7992013888888889</v>
      </c>
      <c r="D3287" s="1">
        <v>12.930967</v>
      </c>
      <c r="E3287" s="1">
        <v>80.122176</v>
      </c>
      <c r="F3287" s="1">
        <v>2846.0</v>
      </c>
      <c r="G3287" s="1">
        <v>34.0</v>
      </c>
    </row>
    <row r="3288">
      <c r="A3288" s="1" t="s">
        <v>8</v>
      </c>
      <c r="B3288" s="2">
        <v>44720.0</v>
      </c>
      <c r="C3288" s="3">
        <v>0.7998726851851852</v>
      </c>
      <c r="D3288" s="1">
        <v>12.927688</v>
      </c>
      <c r="E3288" s="1">
        <v>80.118876</v>
      </c>
      <c r="F3288" s="1">
        <v>2846.0</v>
      </c>
      <c r="G3288" s="1">
        <v>19.0</v>
      </c>
    </row>
    <row r="3289">
      <c r="A3289" s="1" t="s">
        <v>9</v>
      </c>
      <c r="B3289" s="2">
        <v>44720.0</v>
      </c>
      <c r="C3289" s="3">
        <v>0.8041319444444445</v>
      </c>
      <c r="D3289" s="1">
        <v>12.906221</v>
      </c>
      <c r="E3289" s="1">
        <v>80.096359</v>
      </c>
      <c r="F3289" s="1">
        <v>2846.0</v>
      </c>
      <c r="G3289" s="1">
        <v>17.0</v>
      </c>
    </row>
    <row r="3290">
      <c r="A3290" s="1" t="s">
        <v>8</v>
      </c>
      <c r="B3290" s="2">
        <v>44720.0</v>
      </c>
      <c r="C3290" s="3">
        <v>0.8056712962962963</v>
      </c>
      <c r="D3290" s="1">
        <v>12.901999</v>
      </c>
      <c r="E3290" s="1">
        <v>80.09302</v>
      </c>
      <c r="F3290" s="1">
        <v>2846.0</v>
      </c>
      <c r="G3290" s="1">
        <v>46.0</v>
      </c>
    </row>
    <row r="3291">
      <c r="A3291" s="1" t="s">
        <v>8</v>
      </c>
      <c r="B3291" s="2">
        <v>44721.0</v>
      </c>
      <c r="C3291" s="3">
        <v>0.27555555555555555</v>
      </c>
      <c r="D3291" s="1">
        <v>12.875655</v>
      </c>
      <c r="E3291" s="1">
        <v>80.082853</v>
      </c>
      <c r="F3291" s="1">
        <v>2846.0</v>
      </c>
      <c r="G3291" s="1">
        <v>0.0</v>
      </c>
    </row>
    <row r="3292">
      <c r="A3292" s="1" t="s">
        <v>7</v>
      </c>
      <c r="B3292" s="2">
        <v>44721.0</v>
      </c>
      <c r="C3292" s="3">
        <v>0.2759490740740741</v>
      </c>
      <c r="D3292" s="1">
        <v>12.875655</v>
      </c>
      <c r="E3292" s="1">
        <v>80.082853</v>
      </c>
      <c r="F3292" s="1">
        <v>2846.0</v>
      </c>
      <c r="G3292" s="1">
        <v>0.0</v>
      </c>
    </row>
    <row r="3293">
      <c r="A3293" s="1" t="s">
        <v>7</v>
      </c>
      <c r="B3293" s="2">
        <v>44721.0</v>
      </c>
      <c r="C3293" s="3">
        <v>0.27642361111111113</v>
      </c>
      <c r="D3293" s="1">
        <v>12.875655</v>
      </c>
      <c r="E3293" s="1">
        <v>80.082853</v>
      </c>
      <c r="F3293" s="1">
        <v>2846.0</v>
      </c>
      <c r="G3293" s="1">
        <v>0.0</v>
      </c>
    </row>
    <row r="3294">
      <c r="A3294" s="1" t="s">
        <v>7</v>
      </c>
      <c r="B3294" s="2">
        <v>44721.0</v>
      </c>
      <c r="C3294" s="3">
        <v>0.2767013888888889</v>
      </c>
      <c r="D3294" s="1">
        <v>12.875664</v>
      </c>
      <c r="E3294" s="1">
        <v>80.082834</v>
      </c>
      <c r="F3294" s="1">
        <v>2846.0</v>
      </c>
      <c r="G3294" s="1">
        <v>0.0</v>
      </c>
    </row>
    <row r="3295">
      <c r="A3295" s="1" t="s">
        <v>8</v>
      </c>
      <c r="B3295" s="2">
        <v>44721.0</v>
      </c>
      <c r="C3295" s="3">
        <v>0.27694444444444444</v>
      </c>
      <c r="D3295" s="1">
        <v>12.875664</v>
      </c>
      <c r="E3295" s="1">
        <v>80.082834</v>
      </c>
      <c r="F3295" s="1">
        <v>2846.0</v>
      </c>
      <c r="G3295" s="1">
        <v>0.0</v>
      </c>
    </row>
    <row r="3296">
      <c r="A3296" s="1" t="s">
        <v>8</v>
      </c>
      <c r="B3296" s="2">
        <v>44721.0</v>
      </c>
      <c r="C3296" s="3">
        <v>0.27697916666666667</v>
      </c>
      <c r="D3296" s="1">
        <v>12.875664</v>
      </c>
      <c r="E3296" s="1">
        <v>80.082834</v>
      </c>
      <c r="F3296" s="1">
        <v>2846.0</v>
      </c>
      <c r="G3296" s="1">
        <v>0.0</v>
      </c>
    </row>
    <row r="3297">
      <c r="A3297" s="1" t="s">
        <v>8</v>
      </c>
      <c r="B3297" s="2">
        <v>44721.0</v>
      </c>
      <c r="C3297" s="3">
        <v>0.2771064814814815</v>
      </c>
      <c r="D3297" s="1">
        <v>12.875664</v>
      </c>
      <c r="E3297" s="1">
        <v>80.082834</v>
      </c>
      <c r="F3297" s="1">
        <v>2846.0</v>
      </c>
      <c r="G3297" s="1">
        <v>0.0</v>
      </c>
    </row>
    <row r="3298">
      <c r="A3298" s="1" t="s">
        <v>8</v>
      </c>
      <c r="B3298" s="2">
        <v>44721.0</v>
      </c>
      <c r="C3298" s="3">
        <v>0.2778009259259259</v>
      </c>
      <c r="D3298" s="1">
        <v>12.875664</v>
      </c>
      <c r="E3298" s="1">
        <v>80.082834</v>
      </c>
      <c r="F3298" s="1">
        <v>2846.0</v>
      </c>
      <c r="G3298" s="1">
        <v>0.0</v>
      </c>
    </row>
    <row r="3299">
      <c r="A3299" s="1" t="s">
        <v>8</v>
      </c>
      <c r="B3299" s="2">
        <v>44721.0</v>
      </c>
      <c r="C3299" s="3">
        <v>0.27828703703703705</v>
      </c>
      <c r="D3299" s="1">
        <v>12.87566</v>
      </c>
      <c r="E3299" s="1">
        <v>80.08283</v>
      </c>
      <c r="F3299" s="1">
        <v>2846.0</v>
      </c>
      <c r="G3299" s="1">
        <v>0.0</v>
      </c>
    </row>
    <row r="3300">
      <c r="A3300" s="1" t="s">
        <v>8</v>
      </c>
      <c r="B3300" s="2">
        <v>44721.0</v>
      </c>
      <c r="C3300" s="3">
        <v>0.2783101851851852</v>
      </c>
      <c r="D3300" s="1">
        <v>12.87566</v>
      </c>
      <c r="E3300" s="1">
        <v>80.08283</v>
      </c>
      <c r="F3300" s="1">
        <v>2846.0</v>
      </c>
      <c r="G3300" s="1">
        <v>0.0</v>
      </c>
    </row>
    <row r="3301">
      <c r="A3301" s="1" t="s">
        <v>8</v>
      </c>
      <c r="B3301" s="2">
        <v>44721.0</v>
      </c>
      <c r="C3301" s="3">
        <v>0.2790162037037037</v>
      </c>
      <c r="D3301" s="1">
        <v>12.87566</v>
      </c>
      <c r="E3301" s="1">
        <v>80.08283</v>
      </c>
      <c r="F3301" s="1">
        <v>2846.0</v>
      </c>
      <c r="G3301" s="1">
        <v>0.0</v>
      </c>
    </row>
    <row r="3302">
      <c r="A3302" s="1" t="s">
        <v>7</v>
      </c>
      <c r="B3302" s="2">
        <v>44721.0</v>
      </c>
      <c r="C3302" s="3">
        <v>0.28023148148148147</v>
      </c>
      <c r="D3302" s="1">
        <v>12.87566</v>
      </c>
      <c r="E3302" s="1">
        <v>80.082836</v>
      </c>
      <c r="F3302" s="1">
        <v>2846.0</v>
      </c>
      <c r="G3302" s="1">
        <v>0.0</v>
      </c>
    </row>
    <row r="3303">
      <c r="A3303" s="1" t="s">
        <v>8</v>
      </c>
      <c r="B3303" s="2">
        <v>44721.0</v>
      </c>
      <c r="C3303" s="3">
        <v>0.28422453703703704</v>
      </c>
      <c r="D3303" s="1">
        <v>12.875646</v>
      </c>
      <c r="E3303" s="1">
        <v>80.082874</v>
      </c>
      <c r="F3303" s="1">
        <v>2846.0</v>
      </c>
      <c r="G3303" s="1">
        <v>0.0</v>
      </c>
    </row>
    <row r="3304">
      <c r="A3304" s="1" t="s">
        <v>8</v>
      </c>
      <c r="B3304" s="2">
        <v>44721.0</v>
      </c>
      <c r="C3304" s="3">
        <v>0.28422453703703704</v>
      </c>
      <c r="D3304" s="1">
        <v>12.875646</v>
      </c>
      <c r="E3304" s="1">
        <v>80.082874</v>
      </c>
      <c r="F3304" s="1">
        <v>2846.0</v>
      </c>
      <c r="G3304" s="1">
        <v>0.0</v>
      </c>
    </row>
    <row r="3305">
      <c r="A3305" s="1" t="s">
        <v>8</v>
      </c>
      <c r="B3305" s="2">
        <v>44721.0</v>
      </c>
      <c r="C3305" s="3">
        <v>0.2842476851851852</v>
      </c>
      <c r="D3305" s="1">
        <v>12.875646</v>
      </c>
      <c r="E3305" s="1">
        <v>80.082874</v>
      </c>
      <c r="F3305" s="1">
        <v>2846.0</v>
      </c>
      <c r="G3305" s="1">
        <v>0.0</v>
      </c>
    </row>
    <row r="3306">
      <c r="A3306" s="1" t="s">
        <v>8</v>
      </c>
      <c r="B3306" s="2">
        <v>44721.0</v>
      </c>
      <c r="C3306" s="3">
        <v>0.28425925925925927</v>
      </c>
      <c r="D3306" s="1">
        <v>12.875646</v>
      </c>
      <c r="E3306" s="1">
        <v>80.082874</v>
      </c>
      <c r="F3306" s="1">
        <v>2846.0</v>
      </c>
      <c r="G3306" s="1">
        <v>0.0</v>
      </c>
    </row>
    <row r="3307">
      <c r="A3307" s="1" t="s">
        <v>8</v>
      </c>
      <c r="B3307" s="2">
        <v>44721.0</v>
      </c>
      <c r="C3307" s="3">
        <v>0.28560185185185183</v>
      </c>
      <c r="D3307" s="1">
        <v>12.875637</v>
      </c>
      <c r="E3307" s="1">
        <v>80.082887</v>
      </c>
      <c r="F3307" s="1">
        <v>2846.0</v>
      </c>
      <c r="G3307" s="1">
        <v>0.0</v>
      </c>
    </row>
    <row r="3308">
      <c r="A3308" s="1" t="s">
        <v>7</v>
      </c>
      <c r="B3308" s="2">
        <v>44721.0</v>
      </c>
      <c r="C3308" s="3">
        <v>0.28708333333333336</v>
      </c>
      <c r="D3308" s="1">
        <v>12.87563</v>
      </c>
      <c r="E3308" s="1">
        <v>80.082896</v>
      </c>
      <c r="F3308" s="1">
        <v>2846.0</v>
      </c>
      <c r="G3308" s="1">
        <v>0.0</v>
      </c>
    </row>
    <row r="3309">
      <c r="A3309" s="1" t="s">
        <v>7</v>
      </c>
      <c r="B3309" s="2">
        <v>44721.0</v>
      </c>
      <c r="C3309" s="3">
        <v>0.2872222222222222</v>
      </c>
      <c r="D3309" s="1">
        <v>12.87563</v>
      </c>
      <c r="E3309" s="1">
        <v>80.082896</v>
      </c>
      <c r="F3309" s="1">
        <v>2846.0</v>
      </c>
      <c r="G3309" s="1">
        <v>0.0</v>
      </c>
    </row>
    <row r="3310">
      <c r="A3310" s="1" t="s">
        <v>8</v>
      </c>
      <c r="B3310" s="2">
        <v>44721.0</v>
      </c>
      <c r="C3310" s="3">
        <v>0.287662037037037</v>
      </c>
      <c r="D3310" s="1">
        <v>12.875628</v>
      </c>
      <c r="E3310" s="1">
        <v>80.082894</v>
      </c>
      <c r="F3310" s="1">
        <v>2846.0</v>
      </c>
      <c r="G3310" s="1">
        <v>0.0</v>
      </c>
    </row>
    <row r="3311">
      <c r="A3311" s="1" t="s">
        <v>8</v>
      </c>
      <c r="B3311" s="2">
        <v>44721.0</v>
      </c>
      <c r="C3311" s="3">
        <v>0.2876851851851852</v>
      </c>
      <c r="D3311" s="1">
        <v>12.875628</v>
      </c>
      <c r="E3311" s="1">
        <v>80.082894</v>
      </c>
      <c r="F3311" s="1">
        <v>2846.0</v>
      </c>
      <c r="G3311" s="1">
        <v>0.0</v>
      </c>
    </row>
    <row r="3312">
      <c r="A3312" s="1" t="s">
        <v>8</v>
      </c>
      <c r="B3312" s="2">
        <v>44721.0</v>
      </c>
      <c r="C3312" s="3">
        <v>0.2914583333333333</v>
      </c>
      <c r="D3312" s="1">
        <v>12.875621</v>
      </c>
      <c r="E3312" s="1">
        <v>80.082901</v>
      </c>
      <c r="F3312" s="1">
        <v>2846.0</v>
      </c>
      <c r="G3312" s="1">
        <v>0.0</v>
      </c>
    </row>
    <row r="3313">
      <c r="A3313" s="1" t="s">
        <v>10</v>
      </c>
      <c r="B3313" s="2">
        <v>44721.0</v>
      </c>
      <c r="C3313" s="3">
        <v>0.29195601851851855</v>
      </c>
      <c r="D3313" s="1">
        <v>12.875621</v>
      </c>
      <c r="E3313" s="1">
        <v>80.082901</v>
      </c>
      <c r="F3313" s="1">
        <v>2846.0</v>
      </c>
      <c r="G3313" s="1">
        <v>0.0</v>
      </c>
    </row>
    <row r="3314">
      <c r="A3314" s="1" t="s">
        <v>7</v>
      </c>
      <c r="B3314" s="2">
        <v>44721.0</v>
      </c>
      <c r="C3314" s="3">
        <v>0.29237268518518517</v>
      </c>
      <c r="D3314" s="1">
        <v>12.875621</v>
      </c>
      <c r="E3314" s="1">
        <v>80.082901</v>
      </c>
      <c r="F3314" s="1">
        <v>2846.0</v>
      </c>
      <c r="G3314" s="1">
        <v>0.0</v>
      </c>
    </row>
    <row r="3315">
      <c r="A3315" s="1" t="s">
        <v>8</v>
      </c>
      <c r="B3315" s="2">
        <v>44721.0</v>
      </c>
      <c r="C3315" s="3">
        <v>0.29239583333333335</v>
      </c>
      <c r="D3315" s="1">
        <v>12.875621</v>
      </c>
      <c r="E3315" s="1">
        <v>80.082901</v>
      </c>
      <c r="F3315" s="1">
        <v>2846.0</v>
      </c>
      <c r="G3315" s="1">
        <v>0.0</v>
      </c>
    </row>
    <row r="3316">
      <c r="A3316" s="1" t="s">
        <v>7</v>
      </c>
      <c r="B3316" s="2">
        <v>44721.0</v>
      </c>
      <c r="C3316" s="3">
        <v>0.29282407407407407</v>
      </c>
      <c r="D3316" s="1">
        <v>12.875621</v>
      </c>
      <c r="E3316" s="1">
        <v>80.082901</v>
      </c>
      <c r="F3316" s="1">
        <v>2846.0</v>
      </c>
      <c r="G3316" s="1">
        <v>0.0</v>
      </c>
    </row>
    <row r="3317">
      <c r="A3317" s="1" t="s">
        <v>8</v>
      </c>
      <c r="B3317" s="2">
        <v>44721.0</v>
      </c>
      <c r="C3317" s="3">
        <v>0.292962962962963</v>
      </c>
      <c r="D3317" s="1">
        <v>12.875621</v>
      </c>
      <c r="E3317" s="1">
        <v>80.082901</v>
      </c>
      <c r="F3317" s="1">
        <v>2846.0</v>
      </c>
      <c r="G3317" s="1">
        <v>0.0</v>
      </c>
    </row>
    <row r="3318">
      <c r="A3318" s="1" t="s">
        <v>7</v>
      </c>
      <c r="B3318" s="2">
        <v>44721.0</v>
      </c>
      <c r="C3318" s="3">
        <v>0.2937037037037037</v>
      </c>
      <c r="D3318" s="1">
        <v>12.875621</v>
      </c>
      <c r="E3318" s="1">
        <v>80.082901</v>
      </c>
      <c r="F3318" s="1">
        <v>2846.0</v>
      </c>
      <c r="G3318" s="1">
        <v>0.0</v>
      </c>
    </row>
    <row r="3319">
      <c r="A3319" s="1" t="s">
        <v>7</v>
      </c>
      <c r="B3319" s="2">
        <v>44721.0</v>
      </c>
      <c r="C3319" s="3">
        <v>0.29375</v>
      </c>
      <c r="D3319" s="1">
        <v>12.875621</v>
      </c>
      <c r="E3319" s="1">
        <v>80.082901</v>
      </c>
      <c r="F3319" s="1">
        <v>2846.0</v>
      </c>
      <c r="G3319" s="1">
        <v>0.0</v>
      </c>
    </row>
    <row r="3320">
      <c r="A3320" s="1" t="s">
        <v>7</v>
      </c>
      <c r="B3320" s="2">
        <v>44721.0</v>
      </c>
      <c r="C3320" s="3">
        <v>0.2940625</v>
      </c>
      <c r="D3320" s="1">
        <v>12.875621</v>
      </c>
      <c r="E3320" s="1">
        <v>80.082901</v>
      </c>
      <c r="F3320" s="1">
        <v>2846.0</v>
      </c>
      <c r="G3320" s="1">
        <v>0.0</v>
      </c>
    </row>
    <row r="3321">
      <c r="A3321" s="1" t="s">
        <v>7</v>
      </c>
      <c r="B3321" s="2">
        <v>44721.0</v>
      </c>
      <c r="C3321" s="3">
        <v>0.2941898148148148</v>
      </c>
      <c r="D3321" s="1">
        <v>12.875621</v>
      </c>
      <c r="E3321" s="1">
        <v>80.082901</v>
      </c>
      <c r="F3321" s="1">
        <v>2846.0</v>
      </c>
      <c r="G3321" s="1">
        <v>0.0</v>
      </c>
    </row>
    <row r="3322">
      <c r="A3322" s="1" t="s">
        <v>7</v>
      </c>
      <c r="B3322" s="2">
        <v>44721.0</v>
      </c>
      <c r="C3322" s="3">
        <v>0.2951388888888889</v>
      </c>
      <c r="D3322" s="1">
        <v>12.875621</v>
      </c>
      <c r="E3322" s="1">
        <v>80.082901</v>
      </c>
      <c r="F3322" s="1">
        <v>2846.0</v>
      </c>
      <c r="G3322" s="1">
        <v>0.0</v>
      </c>
    </row>
    <row r="3323">
      <c r="A3323" s="1" t="s">
        <v>7</v>
      </c>
      <c r="B3323" s="2">
        <v>44721.0</v>
      </c>
      <c r="C3323" s="3">
        <v>0.295462962962963</v>
      </c>
      <c r="D3323" s="1">
        <v>12.875621</v>
      </c>
      <c r="E3323" s="1">
        <v>80.082901</v>
      </c>
      <c r="F3323" s="1">
        <v>2846.0</v>
      </c>
      <c r="G3323" s="1">
        <v>0.0</v>
      </c>
    </row>
    <row r="3324">
      <c r="A3324" s="1" t="s">
        <v>8</v>
      </c>
      <c r="B3324" s="2">
        <v>44721.0</v>
      </c>
      <c r="C3324" s="3">
        <v>0.2975347222222222</v>
      </c>
      <c r="D3324" s="1">
        <v>13.063695</v>
      </c>
      <c r="E3324" s="1">
        <v>80.250872</v>
      </c>
      <c r="F3324" s="1">
        <v>805.0</v>
      </c>
      <c r="G3324" s="1">
        <v>0.0</v>
      </c>
    </row>
    <row r="3325">
      <c r="A3325" s="1" t="s">
        <v>8</v>
      </c>
      <c r="B3325" s="2">
        <v>44721.0</v>
      </c>
      <c r="C3325" s="3">
        <v>0.29766203703703703</v>
      </c>
      <c r="D3325" s="1">
        <v>13.063695</v>
      </c>
      <c r="E3325" s="1">
        <v>80.250872</v>
      </c>
      <c r="F3325" s="1">
        <v>805.0</v>
      </c>
      <c r="G3325" s="1">
        <v>0.0</v>
      </c>
    </row>
    <row r="3326">
      <c r="A3326" s="1" t="s">
        <v>8</v>
      </c>
      <c r="B3326" s="2">
        <v>44721.0</v>
      </c>
      <c r="C3326" s="3">
        <v>0.2977546296296296</v>
      </c>
      <c r="D3326" s="1">
        <v>13.063698</v>
      </c>
      <c r="E3326" s="1">
        <v>80.25087</v>
      </c>
      <c r="F3326" s="1">
        <v>805.0</v>
      </c>
      <c r="G3326" s="1">
        <v>0.0</v>
      </c>
    </row>
    <row r="3327">
      <c r="A3327" s="1" t="s">
        <v>8</v>
      </c>
      <c r="B3327" s="2">
        <v>44721.0</v>
      </c>
      <c r="C3327" s="3">
        <v>0.29811342592592593</v>
      </c>
      <c r="D3327" s="1">
        <v>12.875621</v>
      </c>
      <c r="E3327" s="1">
        <v>80.082901</v>
      </c>
      <c r="F3327" s="1">
        <v>2846.0</v>
      </c>
      <c r="G3327" s="1">
        <v>0.0</v>
      </c>
    </row>
    <row r="3328">
      <c r="A3328" s="1" t="s">
        <v>9</v>
      </c>
      <c r="B3328" s="2">
        <v>44721.0</v>
      </c>
      <c r="C3328" s="3">
        <v>0.29965277777777777</v>
      </c>
      <c r="D3328" s="1">
        <v>13.063709</v>
      </c>
      <c r="E3328" s="1">
        <v>80.250865</v>
      </c>
      <c r="F3328" s="1">
        <v>805.0</v>
      </c>
      <c r="G3328" s="1">
        <v>0.0</v>
      </c>
    </row>
    <row r="3329">
      <c r="A3329" s="1" t="s">
        <v>8</v>
      </c>
      <c r="B3329" s="2">
        <v>44721.0</v>
      </c>
      <c r="C3329" s="3">
        <v>0.29993055555555553</v>
      </c>
      <c r="D3329" s="1">
        <v>13.063709</v>
      </c>
      <c r="E3329" s="1">
        <v>80.250865</v>
      </c>
      <c r="F3329" s="1">
        <v>805.0</v>
      </c>
      <c r="G3329" s="1">
        <v>0.0</v>
      </c>
    </row>
    <row r="3330">
      <c r="A3330" s="1" t="s">
        <v>10</v>
      </c>
      <c r="B3330" s="2">
        <v>44721.0</v>
      </c>
      <c r="C3330" s="3">
        <v>0.30215277777777777</v>
      </c>
      <c r="D3330" s="1">
        <v>13.06374</v>
      </c>
      <c r="E3330" s="1">
        <v>80.250854</v>
      </c>
      <c r="F3330" s="1">
        <v>805.0</v>
      </c>
      <c r="G3330" s="1">
        <v>0.0</v>
      </c>
    </row>
    <row r="3331">
      <c r="A3331" s="1" t="s">
        <v>9</v>
      </c>
      <c r="B3331" s="2">
        <v>44721.0</v>
      </c>
      <c r="C3331" s="3">
        <v>0.30244212962962963</v>
      </c>
      <c r="D3331" s="1">
        <v>13.06374</v>
      </c>
      <c r="E3331" s="1">
        <v>80.250854</v>
      </c>
      <c r="F3331" s="1">
        <v>805.0</v>
      </c>
      <c r="G3331" s="1">
        <v>0.0</v>
      </c>
    </row>
    <row r="3332">
      <c r="A3332" s="1" t="s">
        <v>8</v>
      </c>
      <c r="B3332" s="2">
        <v>44721.0</v>
      </c>
      <c r="C3332" s="3">
        <v>0.3030787037037037</v>
      </c>
      <c r="D3332" s="1">
        <v>13.06374</v>
      </c>
      <c r="E3332" s="1">
        <v>80.250854</v>
      </c>
      <c r="F3332" s="1">
        <v>805.0</v>
      </c>
      <c r="G3332" s="1">
        <v>0.0</v>
      </c>
    </row>
    <row r="3333">
      <c r="A3333" s="1" t="s">
        <v>7</v>
      </c>
      <c r="B3333" s="2">
        <v>44721.0</v>
      </c>
      <c r="C3333" s="3">
        <v>0.30324074074074076</v>
      </c>
      <c r="D3333" s="1">
        <v>13.06374</v>
      </c>
      <c r="E3333" s="1">
        <v>80.250854</v>
      </c>
      <c r="F3333" s="1">
        <v>805.0</v>
      </c>
      <c r="G3333" s="1">
        <v>0.0</v>
      </c>
    </row>
    <row r="3334">
      <c r="A3334" s="1" t="s">
        <v>8</v>
      </c>
      <c r="B3334" s="2">
        <v>44721.0</v>
      </c>
      <c r="C3334" s="3">
        <v>0.30368055555555556</v>
      </c>
      <c r="D3334" s="1">
        <v>13.063773</v>
      </c>
      <c r="E3334" s="1">
        <v>80.250792</v>
      </c>
      <c r="F3334" s="1">
        <v>805.0</v>
      </c>
      <c r="G3334" s="1">
        <v>0.0</v>
      </c>
    </row>
    <row r="3335">
      <c r="A3335" s="1" t="s">
        <v>8</v>
      </c>
      <c r="B3335" s="2">
        <v>44721.0</v>
      </c>
      <c r="C3335" s="3">
        <v>0.30399305555555556</v>
      </c>
      <c r="D3335" s="1">
        <v>13.063773</v>
      </c>
      <c r="E3335" s="1">
        <v>80.250792</v>
      </c>
      <c r="F3335" s="1">
        <v>805.0</v>
      </c>
      <c r="G3335" s="1">
        <v>0.0</v>
      </c>
    </row>
    <row r="3336">
      <c r="A3336" s="1" t="s">
        <v>10</v>
      </c>
      <c r="B3336" s="2">
        <v>44721.0</v>
      </c>
      <c r="C3336" s="3">
        <v>0.30408564814814815</v>
      </c>
      <c r="D3336" s="1">
        <v>13.063773</v>
      </c>
      <c r="E3336" s="1">
        <v>80.250792</v>
      </c>
      <c r="F3336" s="1">
        <v>805.0</v>
      </c>
      <c r="G3336" s="1">
        <v>0.0</v>
      </c>
    </row>
    <row r="3337">
      <c r="A3337" s="1" t="s">
        <v>10</v>
      </c>
      <c r="B3337" s="2">
        <v>44721.0</v>
      </c>
      <c r="C3337" s="3">
        <v>0.30506944444444445</v>
      </c>
      <c r="D3337" s="1">
        <v>13.063791</v>
      </c>
      <c r="E3337" s="1">
        <v>80.250802</v>
      </c>
      <c r="F3337" s="1">
        <v>805.0</v>
      </c>
      <c r="G3337" s="1">
        <v>0.0</v>
      </c>
    </row>
    <row r="3338">
      <c r="A3338" s="1" t="s">
        <v>10</v>
      </c>
      <c r="B3338" s="2">
        <v>44721.0</v>
      </c>
      <c r="C3338" s="3">
        <v>0.3056712962962963</v>
      </c>
      <c r="D3338" s="1">
        <v>13.063791</v>
      </c>
      <c r="E3338" s="1">
        <v>80.250802</v>
      </c>
      <c r="F3338" s="1">
        <v>805.0</v>
      </c>
      <c r="G3338" s="1">
        <v>0.0</v>
      </c>
    </row>
    <row r="3339">
      <c r="A3339" s="1" t="s">
        <v>8</v>
      </c>
      <c r="B3339" s="2">
        <v>44721.0</v>
      </c>
      <c r="C3339" s="3">
        <v>0.30625</v>
      </c>
      <c r="D3339" s="1">
        <v>13.063791</v>
      </c>
      <c r="E3339" s="1">
        <v>80.250802</v>
      </c>
      <c r="F3339" s="1">
        <v>805.0</v>
      </c>
      <c r="G3339" s="1">
        <v>0.0</v>
      </c>
    </row>
    <row r="3340">
      <c r="A3340" s="1" t="s">
        <v>10</v>
      </c>
      <c r="B3340" s="2">
        <v>44721.0</v>
      </c>
      <c r="C3340" s="3">
        <v>0.3066203703703704</v>
      </c>
      <c r="D3340" s="1">
        <v>13.0638</v>
      </c>
      <c r="E3340" s="1">
        <v>80.250779</v>
      </c>
      <c r="F3340" s="1">
        <v>805.0</v>
      </c>
      <c r="G3340" s="1">
        <v>0.0</v>
      </c>
    </row>
    <row r="3341">
      <c r="A3341" s="1" t="s">
        <v>10</v>
      </c>
      <c r="B3341" s="2">
        <v>44721.0</v>
      </c>
      <c r="C3341" s="3">
        <v>0.30831018518518516</v>
      </c>
      <c r="D3341" s="1">
        <v>13.063816</v>
      </c>
      <c r="E3341" s="1">
        <v>80.250776</v>
      </c>
      <c r="F3341" s="1">
        <v>805.0</v>
      </c>
      <c r="G3341" s="1">
        <v>0.0</v>
      </c>
    </row>
    <row r="3342">
      <c r="A3342" s="1" t="s">
        <v>10</v>
      </c>
      <c r="B3342" s="2">
        <v>44721.0</v>
      </c>
      <c r="C3342" s="3">
        <v>0.30868055555555557</v>
      </c>
      <c r="D3342" s="1">
        <v>13.063816</v>
      </c>
      <c r="E3342" s="1">
        <v>80.250776</v>
      </c>
      <c r="F3342" s="1">
        <v>805.0</v>
      </c>
      <c r="G3342" s="1">
        <v>0.0</v>
      </c>
    </row>
    <row r="3343">
      <c r="A3343" s="1" t="s">
        <v>10</v>
      </c>
      <c r="B3343" s="2">
        <v>44721.0</v>
      </c>
      <c r="C3343" s="3">
        <v>0.30876157407407406</v>
      </c>
      <c r="D3343" s="1">
        <v>13.063816</v>
      </c>
      <c r="E3343" s="1">
        <v>80.250776</v>
      </c>
      <c r="F3343" s="1">
        <v>805.0</v>
      </c>
      <c r="G3343" s="1">
        <v>0.0</v>
      </c>
    </row>
    <row r="3344">
      <c r="A3344" s="1" t="s">
        <v>10</v>
      </c>
      <c r="B3344" s="2">
        <v>44721.0</v>
      </c>
      <c r="C3344" s="3">
        <v>0.3106597222222222</v>
      </c>
      <c r="D3344" s="1">
        <v>12.875642</v>
      </c>
      <c r="E3344" s="1">
        <v>80.082863</v>
      </c>
      <c r="F3344" s="1">
        <v>2846.0</v>
      </c>
      <c r="G3344" s="1">
        <v>0.0</v>
      </c>
    </row>
    <row r="3345">
      <c r="A3345" s="1" t="s">
        <v>8</v>
      </c>
      <c r="B3345" s="2">
        <v>44721.0</v>
      </c>
      <c r="C3345" s="3">
        <v>0.31225694444444446</v>
      </c>
      <c r="D3345" s="1">
        <v>13.063729</v>
      </c>
      <c r="E3345" s="1">
        <v>80.250795</v>
      </c>
      <c r="F3345" s="1">
        <v>805.0</v>
      </c>
      <c r="G3345" s="1">
        <v>0.0</v>
      </c>
    </row>
    <row r="3346">
      <c r="A3346" s="1" t="s">
        <v>9</v>
      </c>
      <c r="B3346" s="2">
        <v>44721.0</v>
      </c>
      <c r="C3346" s="3">
        <v>0.3124537037037037</v>
      </c>
      <c r="D3346" s="1">
        <v>13.063729</v>
      </c>
      <c r="E3346" s="1">
        <v>80.250795</v>
      </c>
      <c r="F3346" s="1">
        <v>805.0</v>
      </c>
      <c r="G3346" s="1">
        <v>0.0</v>
      </c>
    </row>
    <row r="3347">
      <c r="A3347" s="1" t="s">
        <v>8</v>
      </c>
      <c r="B3347" s="2">
        <v>44721.0</v>
      </c>
      <c r="C3347" s="3">
        <v>0.31318287037037035</v>
      </c>
      <c r="D3347" s="1">
        <v>13.063706</v>
      </c>
      <c r="E3347" s="1">
        <v>80.250794</v>
      </c>
      <c r="F3347" s="1">
        <v>805.0</v>
      </c>
      <c r="G3347" s="1">
        <v>0.0</v>
      </c>
    </row>
    <row r="3348">
      <c r="A3348" s="1" t="s">
        <v>8</v>
      </c>
      <c r="B3348" s="2">
        <v>44721.0</v>
      </c>
      <c r="C3348" s="3">
        <v>0.31427083333333333</v>
      </c>
      <c r="D3348" s="1">
        <v>13.063705</v>
      </c>
      <c r="E3348" s="1">
        <v>80.250766</v>
      </c>
      <c r="F3348" s="1">
        <v>805.0</v>
      </c>
      <c r="G3348" s="1">
        <v>0.0</v>
      </c>
    </row>
    <row r="3349">
      <c r="A3349" s="1" t="s">
        <v>8</v>
      </c>
      <c r="B3349" s="2">
        <v>44721.0</v>
      </c>
      <c r="C3349" s="3">
        <v>0.3143518518518518</v>
      </c>
      <c r="D3349" s="1">
        <v>13.063705</v>
      </c>
      <c r="E3349" s="1">
        <v>80.250766</v>
      </c>
      <c r="F3349" s="1">
        <v>805.0</v>
      </c>
      <c r="G3349" s="1">
        <v>0.0</v>
      </c>
    </row>
    <row r="3350">
      <c r="A3350" s="1" t="s">
        <v>10</v>
      </c>
      <c r="B3350" s="2">
        <v>44721.0</v>
      </c>
      <c r="C3350" s="3">
        <v>0.31438657407407405</v>
      </c>
      <c r="D3350" s="1">
        <v>13.169852</v>
      </c>
      <c r="E3350" s="1">
        <v>80.239483</v>
      </c>
      <c r="F3350" s="1">
        <v>1995.0</v>
      </c>
      <c r="G3350" s="1">
        <v>0.0</v>
      </c>
    </row>
    <row r="3351">
      <c r="A3351" s="1" t="s">
        <v>8</v>
      </c>
      <c r="B3351" s="2">
        <v>44721.0</v>
      </c>
      <c r="C3351" s="3">
        <v>0.31533564814814813</v>
      </c>
      <c r="D3351" s="1">
        <v>13.063705</v>
      </c>
      <c r="E3351" s="1">
        <v>80.250766</v>
      </c>
      <c r="F3351" s="1">
        <v>805.0</v>
      </c>
      <c r="G3351" s="1">
        <v>0.0</v>
      </c>
    </row>
    <row r="3352">
      <c r="A3352" s="1" t="s">
        <v>8</v>
      </c>
      <c r="B3352" s="2">
        <v>44721.0</v>
      </c>
      <c r="C3352" s="3">
        <v>0.31550925925925927</v>
      </c>
      <c r="D3352" s="1">
        <v>13.063705</v>
      </c>
      <c r="E3352" s="1">
        <v>80.250766</v>
      </c>
      <c r="F3352" s="1">
        <v>805.0</v>
      </c>
      <c r="G3352" s="1">
        <v>0.0</v>
      </c>
    </row>
    <row r="3353">
      <c r="A3353" s="1" t="s">
        <v>8</v>
      </c>
      <c r="B3353" s="2">
        <v>44721.0</v>
      </c>
      <c r="C3353" s="3">
        <v>0.31550925925925927</v>
      </c>
      <c r="D3353" s="1">
        <v>13.063705</v>
      </c>
      <c r="E3353" s="1">
        <v>80.250766</v>
      </c>
      <c r="F3353" s="1">
        <v>805.0</v>
      </c>
      <c r="G3353" s="1">
        <v>0.0</v>
      </c>
    </row>
    <row r="3354">
      <c r="A3354" s="1" t="s">
        <v>8</v>
      </c>
      <c r="B3354" s="2">
        <v>44721.0</v>
      </c>
      <c r="C3354" s="3">
        <v>0.3155208333333333</v>
      </c>
      <c r="D3354" s="1">
        <v>13.063706</v>
      </c>
      <c r="E3354" s="1">
        <v>80.250788</v>
      </c>
      <c r="F3354" s="1">
        <v>805.0</v>
      </c>
      <c r="G3354" s="1">
        <v>0.0</v>
      </c>
    </row>
    <row r="3355">
      <c r="A3355" s="1" t="s">
        <v>8</v>
      </c>
      <c r="B3355" s="2">
        <v>44721.0</v>
      </c>
      <c r="C3355" s="3">
        <v>0.3159722222222222</v>
      </c>
      <c r="D3355" s="1">
        <v>13.169839</v>
      </c>
      <c r="E3355" s="1">
        <v>80.239495</v>
      </c>
      <c r="F3355" s="1">
        <v>1995.0</v>
      </c>
      <c r="G3355" s="1">
        <v>0.0</v>
      </c>
    </row>
    <row r="3356">
      <c r="A3356" s="1" t="s">
        <v>8</v>
      </c>
      <c r="B3356" s="2">
        <v>44721.0</v>
      </c>
      <c r="C3356" s="3">
        <v>0.31603009259259257</v>
      </c>
      <c r="D3356" s="1">
        <v>13.169839</v>
      </c>
      <c r="E3356" s="1">
        <v>80.239495</v>
      </c>
      <c r="F3356" s="1">
        <v>1995.0</v>
      </c>
      <c r="G3356" s="1">
        <v>0.0</v>
      </c>
    </row>
    <row r="3357">
      <c r="A3357" s="1" t="s">
        <v>8</v>
      </c>
      <c r="B3357" s="2">
        <v>44721.0</v>
      </c>
      <c r="C3357" s="3">
        <v>0.31614583333333335</v>
      </c>
      <c r="D3357" s="1">
        <v>13.169839</v>
      </c>
      <c r="E3357" s="1">
        <v>80.239495</v>
      </c>
      <c r="F3357" s="1">
        <v>1995.0</v>
      </c>
      <c r="G3357" s="1">
        <v>0.0</v>
      </c>
    </row>
    <row r="3358">
      <c r="A3358" s="1" t="s">
        <v>8</v>
      </c>
      <c r="B3358" s="2">
        <v>44721.0</v>
      </c>
      <c r="C3358" s="3">
        <v>0.31685185185185183</v>
      </c>
      <c r="D3358" s="1">
        <v>13.063706</v>
      </c>
      <c r="E3358" s="1">
        <v>80.250788</v>
      </c>
      <c r="F3358" s="1">
        <v>805.0</v>
      </c>
      <c r="G3358" s="1">
        <v>0.0</v>
      </c>
    </row>
    <row r="3359">
      <c r="A3359" s="1" t="s">
        <v>8</v>
      </c>
      <c r="B3359" s="2">
        <v>44721.0</v>
      </c>
      <c r="C3359" s="3">
        <v>0.31796296296296295</v>
      </c>
      <c r="D3359" s="1">
        <v>13.169839</v>
      </c>
      <c r="E3359" s="1">
        <v>80.239495</v>
      </c>
      <c r="F3359" s="1">
        <v>1995.0</v>
      </c>
      <c r="G3359" s="1">
        <v>0.0</v>
      </c>
    </row>
    <row r="3360">
      <c r="A3360" s="1" t="s">
        <v>8</v>
      </c>
      <c r="B3360" s="2">
        <v>44721.0</v>
      </c>
      <c r="C3360" s="3">
        <v>0.3183564814814815</v>
      </c>
      <c r="D3360" s="1">
        <v>13.06373</v>
      </c>
      <c r="E3360" s="1">
        <v>80.250824</v>
      </c>
      <c r="F3360" s="1">
        <v>805.0</v>
      </c>
      <c r="G3360" s="1">
        <v>0.0</v>
      </c>
    </row>
    <row r="3361">
      <c r="A3361" s="1" t="s">
        <v>8</v>
      </c>
      <c r="B3361" s="2">
        <v>44721.0</v>
      </c>
      <c r="C3361" s="3">
        <v>0.3191435185185185</v>
      </c>
      <c r="D3361" s="1">
        <v>13.169853</v>
      </c>
      <c r="E3361" s="1">
        <v>80.239518</v>
      </c>
      <c r="F3361" s="1">
        <v>1995.0</v>
      </c>
      <c r="G3361" s="1">
        <v>0.0</v>
      </c>
    </row>
    <row r="3362">
      <c r="A3362" s="1" t="s">
        <v>8</v>
      </c>
      <c r="B3362" s="2">
        <v>44721.0</v>
      </c>
      <c r="C3362" s="3">
        <v>0.3193634259259259</v>
      </c>
      <c r="D3362" s="1">
        <v>13.169853</v>
      </c>
      <c r="E3362" s="1">
        <v>80.239518</v>
      </c>
      <c r="F3362" s="1">
        <v>1995.0</v>
      </c>
      <c r="G3362" s="1">
        <v>0.0</v>
      </c>
    </row>
    <row r="3363">
      <c r="A3363" s="1" t="s">
        <v>8</v>
      </c>
      <c r="B3363" s="2">
        <v>44721.0</v>
      </c>
      <c r="C3363" s="3">
        <v>0.3200115740740741</v>
      </c>
      <c r="D3363" s="1">
        <v>12.875633</v>
      </c>
      <c r="E3363" s="1">
        <v>80.082884</v>
      </c>
      <c r="F3363" s="1">
        <v>2846.0</v>
      </c>
      <c r="G3363" s="1">
        <v>0.0</v>
      </c>
    </row>
    <row r="3364">
      <c r="A3364" s="1" t="s">
        <v>8</v>
      </c>
      <c r="B3364" s="2">
        <v>44721.0</v>
      </c>
      <c r="C3364" s="3">
        <v>0.32002314814814814</v>
      </c>
      <c r="D3364" s="1">
        <v>12.875633</v>
      </c>
      <c r="E3364" s="1">
        <v>80.082884</v>
      </c>
      <c r="F3364" s="1">
        <v>2846.0</v>
      </c>
      <c r="G3364" s="1">
        <v>0.0</v>
      </c>
    </row>
    <row r="3365">
      <c r="A3365" s="1" t="s">
        <v>8</v>
      </c>
      <c r="B3365" s="2">
        <v>44721.0</v>
      </c>
      <c r="C3365" s="3">
        <v>0.32003472222222223</v>
      </c>
      <c r="D3365" s="1">
        <v>12.875633</v>
      </c>
      <c r="E3365" s="1">
        <v>80.082884</v>
      </c>
      <c r="F3365" s="1">
        <v>2846.0</v>
      </c>
      <c r="G3365" s="1">
        <v>0.0</v>
      </c>
    </row>
    <row r="3366">
      <c r="A3366" s="1" t="s">
        <v>9</v>
      </c>
      <c r="B3366" s="2">
        <v>44721.0</v>
      </c>
      <c r="C3366" s="3">
        <v>0.3202199074074074</v>
      </c>
      <c r="D3366" s="1">
        <v>13.169853</v>
      </c>
      <c r="E3366" s="1">
        <v>80.239518</v>
      </c>
      <c r="F3366" s="1">
        <v>1995.0</v>
      </c>
      <c r="G3366" s="1">
        <v>0.0</v>
      </c>
    </row>
    <row r="3367">
      <c r="A3367" s="1" t="s">
        <v>7</v>
      </c>
      <c r="B3367" s="2">
        <v>44721.0</v>
      </c>
      <c r="C3367" s="3">
        <v>0.3211574074074074</v>
      </c>
      <c r="D3367" s="1">
        <v>13.169865</v>
      </c>
      <c r="E3367" s="1">
        <v>80.239507</v>
      </c>
      <c r="F3367" s="1">
        <v>1995.0</v>
      </c>
      <c r="G3367" s="1">
        <v>0.0</v>
      </c>
    </row>
    <row r="3368">
      <c r="A3368" s="1" t="s">
        <v>8</v>
      </c>
      <c r="B3368" s="2">
        <v>44721.0</v>
      </c>
      <c r="C3368" s="3">
        <v>0.3213078703703704</v>
      </c>
      <c r="D3368" s="1">
        <v>13.063776</v>
      </c>
      <c r="E3368" s="1">
        <v>80.250754</v>
      </c>
      <c r="F3368" s="1">
        <v>805.0</v>
      </c>
      <c r="G3368" s="1">
        <v>0.0</v>
      </c>
    </row>
    <row r="3369">
      <c r="A3369" s="1" t="s">
        <v>8</v>
      </c>
      <c r="B3369" s="2">
        <v>44721.0</v>
      </c>
      <c r="C3369" s="3">
        <v>0.3214814814814815</v>
      </c>
      <c r="D3369" s="1">
        <v>13.063776</v>
      </c>
      <c r="E3369" s="1">
        <v>80.250754</v>
      </c>
      <c r="F3369" s="1">
        <v>805.0</v>
      </c>
      <c r="G3369" s="1">
        <v>0.0</v>
      </c>
    </row>
    <row r="3370">
      <c r="A3370" s="1" t="s">
        <v>10</v>
      </c>
      <c r="B3370" s="2">
        <v>44721.0</v>
      </c>
      <c r="C3370" s="3">
        <v>0.3218402777777778</v>
      </c>
      <c r="D3370" s="1">
        <v>13.063776</v>
      </c>
      <c r="E3370" s="1">
        <v>80.250729</v>
      </c>
      <c r="F3370" s="1">
        <v>805.0</v>
      </c>
      <c r="G3370" s="1">
        <v>0.0</v>
      </c>
    </row>
    <row r="3371">
      <c r="A3371" s="1" t="s">
        <v>8</v>
      </c>
      <c r="B3371" s="2">
        <v>44721.0</v>
      </c>
      <c r="C3371" s="3">
        <v>0.3222337962962963</v>
      </c>
      <c r="D3371" s="1">
        <v>12.87562</v>
      </c>
      <c r="E3371" s="1">
        <v>80.082888</v>
      </c>
      <c r="F3371" s="1">
        <v>2846.0</v>
      </c>
      <c r="G3371" s="1">
        <v>0.0</v>
      </c>
    </row>
    <row r="3372">
      <c r="A3372" s="1" t="s">
        <v>8</v>
      </c>
      <c r="B3372" s="2">
        <v>44721.0</v>
      </c>
      <c r="C3372" s="3">
        <v>0.3223726851851852</v>
      </c>
      <c r="D3372" s="1">
        <v>12.87562</v>
      </c>
      <c r="E3372" s="1">
        <v>80.082888</v>
      </c>
      <c r="F3372" s="1">
        <v>2846.0</v>
      </c>
      <c r="G3372" s="1">
        <v>0.0</v>
      </c>
    </row>
    <row r="3373">
      <c r="A3373" s="1" t="s">
        <v>8</v>
      </c>
      <c r="B3373" s="2">
        <v>44721.0</v>
      </c>
      <c r="C3373" s="3">
        <v>0.3223958333333333</v>
      </c>
      <c r="D3373" s="1">
        <v>12.87562</v>
      </c>
      <c r="E3373" s="1">
        <v>80.082888</v>
      </c>
      <c r="F3373" s="1">
        <v>2846.0</v>
      </c>
      <c r="G3373" s="1">
        <v>0.0</v>
      </c>
    </row>
    <row r="3374">
      <c r="A3374" s="1" t="s">
        <v>8</v>
      </c>
      <c r="B3374" s="2">
        <v>44721.0</v>
      </c>
      <c r="C3374" s="3">
        <v>0.32285879629629627</v>
      </c>
      <c r="D3374" s="1">
        <v>13.063776</v>
      </c>
      <c r="E3374" s="1">
        <v>80.250729</v>
      </c>
      <c r="F3374" s="1">
        <v>805.0</v>
      </c>
      <c r="G3374" s="1">
        <v>0.0</v>
      </c>
    </row>
    <row r="3375">
      <c r="A3375" s="1" t="s">
        <v>8</v>
      </c>
      <c r="B3375" s="2">
        <v>44721.0</v>
      </c>
      <c r="C3375" s="3">
        <v>0.32329861111111113</v>
      </c>
      <c r="D3375" s="1">
        <v>13.063796</v>
      </c>
      <c r="E3375" s="1">
        <v>80.250747</v>
      </c>
      <c r="F3375" s="1">
        <v>805.0</v>
      </c>
      <c r="G3375" s="1">
        <v>0.0</v>
      </c>
    </row>
    <row r="3376">
      <c r="A3376" s="1" t="s">
        <v>8</v>
      </c>
      <c r="B3376" s="2">
        <v>44721.0</v>
      </c>
      <c r="C3376" s="3">
        <v>0.32362268518518517</v>
      </c>
      <c r="D3376" s="1">
        <v>13.063796</v>
      </c>
      <c r="E3376" s="1">
        <v>80.250747</v>
      </c>
      <c r="F3376" s="1">
        <v>805.0</v>
      </c>
      <c r="G3376" s="1">
        <v>0.0</v>
      </c>
    </row>
    <row r="3377">
      <c r="A3377" s="1" t="s">
        <v>8</v>
      </c>
      <c r="B3377" s="2">
        <v>44721.0</v>
      </c>
      <c r="C3377" s="3">
        <v>0.3236574074074074</v>
      </c>
      <c r="D3377" s="1">
        <v>13.063796</v>
      </c>
      <c r="E3377" s="1">
        <v>80.250747</v>
      </c>
      <c r="F3377" s="1">
        <v>805.0</v>
      </c>
      <c r="G3377" s="1">
        <v>0.0</v>
      </c>
    </row>
    <row r="3378">
      <c r="A3378" s="1" t="s">
        <v>8</v>
      </c>
      <c r="B3378" s="2">
        <v>44721.0</v>
      </c>
      <c r="C3378" s="3">
        <v>0.3236921296296296</v>
      </c>
      <c r="D3378" s="1">
        <v>13.063796</v>
      </c>
      <c r="E3378" s="1">
        <v>80.250747</v>
      </c>
      <c r="F3378" s="1">
        <v>805.0</v>
      </c>
      <c r="G3378" s="1">
        <v>0.0</v>
      </c>
    </row>
    <row r="3379">
      <c r="A3379" s="1" t="s">
        <v>10</v>
      </c>
      <c r="B3379" s="2">
        <v>44721.0</v>
      </c>
      <c r="C3379" s="3">
        <v>0.3237615740740741</v>
      </c>
      <c r="D3379" s="1">
        <v>12.875617</v>
      </c>
      <c r="E3379" s="1">
        <v>80.08289</v>
      </c>
      <c r="F3379" s="1">
        <v>2846.0</v>
      </c>
      <c r="G3379" s="1">
        <v>0.0</v>
      </c>
    </row>
    <row r="3380">
      <c r="A3380" s="1" t="s">
        <v>8</v>
      </c>
      <c r="B3380" s="2">
        <v>44721.0</v>
      </c>
      <c r="C3380" s="3">
        <v>0.32439814814814816</v>
      </c>
      <c r="D3380" s="1">
        <v>13.063796</v>
      </c>
      <c r="E3380" s="1">
        <v>80.250747</v>
      </c>
      <c r="F3380" s="1">
        <v>805.0</v>
      </c>
      <c r="G3380" s="1">
        <v>0.0</v>
      </c>
    </row>
    <row r="3381">
      <c r="A3381" s="1" t="s">
        <v>7</v>
      </c>
      <c r="B3381" s="2">
        <v>44721.0</v>
      </c>
      <c r="C3381" s="3">
        <v>0.32493055555555556</v>
      </c>
      <c r="D3381" s="1">
        <v>13.063793</v>
      </c>
      <c r="E3381" s="1">
        <v>80.250768</v>
      </c>
      <c r="F3381" s="1">
        <v>805.0</v>
      </c>
      <c r="G3381" s="1">
        <v>0.0</v>
      </c>
    </row>
    <row r="3382">
      <c r="A3382" s="1" t="s">
        <v>7</v>
      </c>
      <c r="B3382" s="2">
        <v>44721.0</v>
      </c>
      <c r="C3382" s="3">
        <v>0.32511574074074073</v>
      </c>
      <c r="D3382" s="1">
        <v>13.063793</v>
      </c>
      <c r="E3382" s="1">
        <v>80.250768</v>
      </c>
      <c r="F3382" s="1">
        <v>805.0</v>
      </c>
      <c r="G3382" s="1">
        <v>0.0</v>
      </c>
    </row>
    <row r="3383">
      <c r="A3383" s="1" t="s">
        <v>7</v>
      </c>
      <c r="B3383" s="2">
        <v>44721.0</v>
      </c>
      <c r="C3383" s="3">
        <v>0.3252083333333333</v>
      </c>
      <c r="D3383" s="1">
        <v>13.063793</v>
      </c>
      <c r="E3383" s="1">
        <v>80.250768</v>
      </c>
      <c r="F3383" s="1">
        <v>805.0</v>
      </c>
      <c r="G3383" s="1">
        <v>0.0</v>
      </c>
    </row>
    <row r="3384">
      <c r="A3384" s="1" t="s">
        <v>7</v>
      </c>
      <c r="B3384" s="2">
        <v>44721.0</v>
      </c>
      <c r="C3384" s="3">
        <v>0.32733796296296297</v>
      </c>
      <c r="D3384" s="1">
        <v>13.063785</v>
      </c>
      <c r="E3384" s="1">
        <v>80.250798</v>
      </c>
      <c r="F3384" s="1">
        <v>805.0</v>
      </c>
      <c r="G3384" s="1">
        <v>0.0</v>
      </c>
    </row>
    <row r="3385">
      <c r="A3385" s="1" t="s">
        <v>8</v>
      </c>
      <c r="B3385" s="2">
        <v>44721.0</v>
      </c>
      <c r="C3385" s="3">
        <v>0.3273726851851852</v>
      </c>
      <c r="D3385" s="1">
        <v>13.063785</v>
      </c>
      <c r="E3385" s="1">
        <v>80.250798</v>
      </c>
      <c r="F3385" s="1">
        <v>805.0</v>
      </c>
      <c r="G3385" s="1">
        <v>0.0</v>
      </c>
    </row>
    <row r="3386">
      <c r="A3386" s="1" t="s">
        <v>7</v>
      </c>
      <c r="B3386" s="2">
        <v>44721.0</v>
      </c>
      <c r="C3386" s="3">
        <v>0.32756944444444447</v>
      </c>
      <c r="D3386" s="1">
        <v>13.063785</v>
      </c>
      <c r="E3386" s="1">
        <v>80.250798</v>
      </c>
      <c r="F3386" s="1">
        <v>805.0</v>
      </c>
      <c r="G3386" s="1">
        <v>0.0</v>
      </c>
    </row>
    <row r="3387">
      <c r="A3387" s="1" t="s">
        <v>8</v>
      </c>
      <c r="B3387" s="2">
        <v>44721.0</v>
      </c>
      <c r="C3387" s="3">
        <v>0.32788194444444446</v>
      </c>
      <c r="D3387" s="1">
        <v>13.063749</v>
      </c>
      <c r="E3387" s="1">
        <v>80.250823</v>
      </c>
      <c r="F3387" s="1">
        <v>805.0</v>
      </c>
      <c r="G3387" s="1">
        <v>0.0</v>
      </c>
    </row>
    <row r="3388">
      <c r="A3388" s="1" t="s">
        <v>8</v>
      </c>
      <c r="B3388" s="2">
        <v>44721.0</v>
      </c>
      <c r="C3388" s="3">
        <v>0.328125</v>
      </c>
      <c r="D3388" s="1">
        <v>13.063749</v>
      </c>
      <c r="E3388" s="1">
        <v>80.250823</v>
      </c>
      <c r="F3388" s="1">
        <v>805.0</v>
      </c>
      <c r="G3388" s="1">
        <v>0.0</v>
      </c>
    </row>
    <row r="3389">
      <c r="A3389" s="1" t="s">
        <v>10</v>
      </c>
      <c r="B3389" s="2">
        <v>44721.0</v>
      </c>
      <c r="C3389" s="3">
        <v>0.32863425925925926</v>
      </c>
      <c r="D3389" s="1">
        <v>12.875578</v>
      </c>
      <c r="E3389" s="1">
        <v>80.082951</v>
      </c>
      <c r="F3389" s="1">
        <v>2846.0</v>
      </c>
      <c r="G3389" s="1">
        <v>0.0</v>
      </c>
    </row>
    <row r="3390">
      <c r="A3390" s="1" t="s">
        <v>8</v>
      </c>
      <c r="B3390" s="2">
        <v>44721.0</v>
      </c>
      <c r="C3390" s="3">
        <v>0.3287962962962963</v>
      </c>
      <c r="D3390" s="1">
        <v>13.063749</v>
      </c>
      <c r="E3390" s="1">
        <v>80.250823</v>
      </c>
      <c r="F3390" s="1">
        <v>805.0</v>
      </c>
      <c r="G3390" s="1">
        <v>0.0</v>
      </c>
    </row>
    <row r="3391">
      <c r="A3391" s="1" t="s">
        <v>8</v>
      </c>
      <c r="B3391" s="2">
        <v>44721.0</v>
      </c>
      <c r="C3391" s="3">
        <v>0.329537037037037</v>
      </c>
      <c r="D3391" s="1">
        <v>13.063779</v>
      </c>
      <c r="E3391" s="1">
        <v>80.250857</v>
      </c>
      <c r="F3391" s="1">
        <v>805.0</v>
      </c>
      <c r="G3391" s="1">
        <v>0.0</v>
      </c>
    </row>
    <row r="3392">
      <c r="A3392" s="1" t="s">
        <v>8</v>
      </c>
      <c r="B3392" s="2">
        <v>44721.0</v>
      </c>
      <c r="C3392" s="3">
        <v>0.3295486111111111</v>
      </c>
      <c r="D3392" s="1">
        <v>13.063779</v>
      </c>
      <c r="E3392" s="1">
        <v>80.250857</v>
      </c>
      <c r="F3392" s="1">
        <v>805.0</v>
      </c>
      <c r="G3392" s="1">
        <v>0.0</v>
      </c>
    </row>
    <row r="3393">
      <c r="A3393" s="1" t="s">
        <v>8</v>
      </c>
      <c r="B3393" s="2">
        <v>44721.0</v>
      </c>
      <c r="C3393" s="3">
        <v>0.3295486111111111</v>
      </c>
      <c r="D3393" s="1">
        <v>13.063779</v>
      </c>
      <c r="E3393" s="1">
        <v>80.250857</v>
      </c>
      <c r="F3393" s="1">
        <v>805.0</v>
      </c>
      <c r="G3393" s="1">
        <v>0.0</v>
      </c>
    </row>
    <row r="3394">
      <c r="A3394" s="1" t="s">
        <v>8</v>
      </c>
      <c r="B3394" s="2">
        <v>44721.0</v>
      </c>
      <c r="C3394" s="3">
        <v>0.32972222222222225</v>
      </c>
      <c r="D3394" s="1">
        <v>13.063779</v>
      </c>
      <c r="E3394" s="1">
        <v>80.250857</v>
      </c>
      <c r="F3394" s="1">
        <v>805.0</v>
      </c>
      <c r="G3394" s="1">
        <v>0.0</v>
      </c>
    </row>
    <row r="3395">
      <c r="A3395" s="1" t="s">
        <v>8</v>
      </c>
      <c r="B3395" s="2">
        <v>44721.0</v>
      </c>
      <c r="C3395" s="3">
        <v>0.3305902777777778</v>
      </c>
      <c r="D3395" s="1">
        <v>13.063779</v>
      </c>
      <c r="E3395" s="1">
        <v>80.250857</v>
      </c>
      <c r="F3395" s="1">
        <v>805.0</v>
      </c>
      <c r="G3395" s="1">
        <v>0.0</v>
      </c>
    </row>
    <row r="3396">
      <c r="A3396" s="1" t="s">
        <v>7</v>
      </c>
      <c r="B3396" s="2">
        <v>44721.0</v>
      </c>
      <c r="C3396" s="3">
        <v>0.3310648148148148</v>
      </c>
      <c r="D3396" s="1">
        <v>13.063779</v>
      </c>
      <c r="E3396" s="1">
        <v>80.250857</v>
      </c>
      <c r="F3396" s="1">
        <v>805.0</v>
      </c>
      <c r="G3396" s="1">
        <v>0.0</v>
      </c>
    </row>
    <row r="3397">
      <c r="A3397" s="1" t="s">
        <v>7</v>
      </c>
      <c r="B3397" s="2">
        <v>44721.0</v>
      </c>
      <c r="C3397" s="3">
        <v>0.33133101851851854</v>
      </c>
      <c r="D3397" s="1">
        <v>13.063779</v>
      </c>
      <c r="E3397" s="1">
        <v>80.250857</v>
      </c>
      <c r="F3397" s="1">
        <v>805.0</v>
      </c>
      <c r="G3397" s="1">
        <v>0.0</v>
      </c>
    </row>
    <row r="3398">
      <c r="A3398" s="1" t="s">
        <v>8</v>
      </c>
      <c r="B3398" s="2">
        <v>44721.0</v>
      </c>
      <c r="C3398" s="3">
        <v>0.33155092592592594</v>
      </c>
      <c r="D3398" s="1">
        <v>13.063771</v>
      </c>
      <c r="E3398" s="1">
        <v>80.250819</v>
      </c>
      <c r="F3398" s="1">
        <v>805.0</v>
      </c>
      <c r="G3398" s="1">
        <v>0.0</v>
      </c>
    </row>
    <row r="3399">
      <c r="A3399" s="1" t="s">
        <v>8</v>
      </c>
      <c r="B3399" s="2">
        <v>44721.0</v>
      </c>
      <c r="C3399" s="3">
        <v>0.33177083333333335</v>
      </c>
      <c r="D3399" s="1">
        <v>13.063771</v>
      </c>
      <c r="E3399" s="1">
        <v>80.250819</v>
      </c>
      <c r="F3399" s="1">
        <v>805.0</v>
      </c>
      <c r="G3399" s="1">
        <v>0.0</v>
      </c>
    </row>
    <row r="3400">
      <c r="A3400" s="1" t="s">
        <v>8</v>
      </c>
      <c r="B3400" s="2">
        <v>44721.0</v>
      </c>
      <c r="C3400" s="3">
        <v>0.3318171296296296</v>
      </c>
      <c r="D3400" s="1">
        <v>13.063771</v>
      </c>
      <c r="E3400" s="1">
        <v>80.250819</v>
      </c>
      <c r="F3400" s="1">
        <v>805.0</v>
      </c>
      <c r="G3400" s="1">
        <v>0.0</v>
      </c>
    </row>
    <row r="3401">
      <c r="A3401" s="1" t="s">
        <v>7</v>
      </c>
      <c r="B3401" s="2">
        <v>44721.0</v>
      </c>
      <c r="C3401" s="3">
        <v>0.332349537037037</v>
      </c>
      <c r="D3401" s="1">
        <v>13.063771</v>
      </c>
      <c r="E3401" s="1">
        <v>80.250819</v>
      </c>
      <c r="F3401" s="1">
        <v>805.0</v>
      </c>
      <c r="G3401" s="1">
        <v>0.0</v>
      </c>
    </row>
    <row r="3402">
      <c r="A3402" s="1" t="s">
        <v>7</v>
      </c>
      <c r="B3402" s="2">
        <v>44721.0</v>
      </c>
      <c r="C3402" s="3">
        <v>0.3332986111111111</v>
      </c>
      <c r="D3402" s="1">
        <v>13.063771</v>
      </c>
      <c r="E3402" s="1">
        <v>80.250819</v>
      </c>
      <c r="F3402" s="1">
        <v>805.0</v>
      </c>
      <c r="G3402" s="1">
        <v>0.0</v>
      </c>
    </row>
    <row r="3403">
      <c r="A3403" s="1" t="s">
        <v>8</v>
      </c>
      <c r="B3403" s="2">
        <v>44721.0</v>
      </c>
      <c r="C3403" s="3">
        <v>0.3352199074074074</v>
      </c>
      <c r="D3403" s="1">
        <v>12.875591</v>
      </c>
      <c r="E3403" s="1">
        <v>80.082913</v>
      </c>
      <c r="F3403" s="1">
        <v>2846.0</v>
      </c>
      <c r="G3403" s="1">
        <v>0.0</v>
      </c>
    </row>
    <row r="3404">
      <c r="A3404" s="1" t="s">
        <v>8</v>
      </c>
      <c r="B3404" s="2">
        <v>44721.0</v>
      </c>
      <c r="C3404" s="3">
        <v>0.3369328703703704</v>
      </c>
      <c r="D3404" s="1">
        <v>13.063778</v>
      </c>
      <c r="E3404" s="1">
        <v>80.250737</v>
      </c>
      <c r="F3404" s="1">
        <v>805.0</v>
      </c>
      <c r="G3404" s="1">
        <v>0.0</v>
      </c>
    </row>
    <row r="3405">
      <c r="A3405" s="1" t="s">
        <v>8</v>
      </c>
      <c r="B3405" s="2">
        <v>44721.0</v>
      </c>
      <c r="C3405" s="3">
        <v>0.33805555555555555</v>
      </c>
      <c r="D3405" s="1">
        <v>13.06373</v>
      </c>
      <c r="E3405" s="1">
        <v>80.250828</v>
      </c>
      <c r="F3405" s="1">
        <v>805.0</v>
      </c>
      <c r="G3405" s="1">
        <v>0.0</v>
      </c>
    </row>
    <row r="3406">
      <c r="A3406" s="1" t="s">
        <v>8</v>
      </c>
      <c r="B3406" s="2">
        <v>44721.0</v>
      </c>
      <c r="C3406" s="3">
        <v>0.33850694444444446</v>
      </c>
      <c r="D3406" s="1">
        <v>12.87563</v>
      </c>
      <c r="E3406" s="1">
        <v>80.082909</v>
      </c>
      <c r="F3406" s="1">
        <v>2846.0</v>
      </c>
      <c r="G3406" s="1">
        <v>0.0</v>
      </c>
    </row>
    <row r="3407">
      <c r="A3407" s="1" t="s">
        <v>8</v>
      </c>
      <c r="B3407" s="2">
        <v>44721.0</v>
      </c>
      <c r="C3407" s="3">
        <v>0.33850694444444446</v>
      </c>
      <c r="D3407" s="1">
        <v>12.87563</v>
      </c>
      <c r="E3407" s="1">
        <v>80.082909</v>
      </c>
      <c r="F3407" s="1">
        <v>2846.0</v>
      </c>
      <c r="G3407" s="1">
        <v>0.0</v>
      </c>
    </row>
    <row r="3408">
      <c r="A3408" s="1" t="s">
        <v>8</v>
      </c>
      <c r="B3408" s="2">
        <v>44721.0</v>
      </c>
      <c r="C3408" s="3">
        <v>0.33850694444444446</v>
      </c>
      <c r="D3408" s="1">
        <v>12.87563</v>
      </c>
      <c r="E3408" s="1">
        <v>80.082909</v>
      </c>
      <c r="F3408" s="1">
        <v>2846.0</v>
      </c>
      <c r="G3408" s="1">
        <v>0.0</v>
      </c>
    </row>
    <row r="3409">
      <c r="A3409" s="1" t="s">
        <v>8</v>
      </c>
      <c r="B3409" s="2">
        <v>44721.0</v>
      </c>
      <c r="C3409" s="3">
        <v>0.3385185185185185</v>
      </c>
      <c r="D3409" s="1">
        <v>12.87563</v>
      </c>
      <c r="E3409" s="1">
        <v>80.082909</v>
      </c>
      <c r="F3409" s="1">
        <v>2846.0</v>
      </c>
      <c r="G3409" s="1">
        <v>0.0</v>
      </c>
    </row>
    <row r="3410">
      <c r="A3410" s="1" t="s">
        <v>8</v>
      </c>
      <c r="B3410" s="2">
        <v>44721.0</v>
      </c>
      <c r="C3410" s="3">
        <v>0.3385648148148148</v>
      </c>
      <c r="D3410" s="1">
        <v>12.87563</v>
      </c>
      <c r="E3410" s="1">
        <v>80.082909</v>
      </c>
      <c r="F3410" s="1">
        <v>2846.0</v>
      </c>
      <c r="G3410" s="1">
        <v>0.0</v>
      </c>
    </row>
    <row r="3411">
      <c r="A3411" s="1" t="s">
        <v>8</v>
      </c>
      <c r="B3411" s="2">
        <v>44721.0</v>
      </c>
      <c r="C3411" s="3">
        <v>0.3385763888888889</v>
      </c>
      <c r="D3411" s="1">
        <v>13.063821</v>
      </c>
      <c r="E3411" s="1">
        <v>80.250806</v>
      </c>
      <c r="F3411" s="1">
        <v>805.0</v>
      </c>
      <c r="G3411" s="1">
        <v>0.0</v>
      </c>
    </row>
    <row r="3412">
      <c r="A3412" s="1" t="s">
        <v>8</v>
      </c>
      <c r="B3412" s="2">
        <v>44721.0</v>
      </c>
      <c r="C3412" s="3">
        <v>0.33859953703703705</v>
      </c>
      <c r="D3412" s="1">
        <v>12.87563</v>
      </c>
      <c r="E3412" s="1">
        <v>80.082909</v>
      </c>
      <c r="F3412" s="1">
        <v>2846.0</v>
      </c>
      <c r="G3412" s="1">
        <v>0.0</v>
      </c>
    </row>
    <row r="3413">
      <c r="A3413" s="1" t="s">
        <v>9</v>
      </c>
      <c r="B3413" s="2">
        <v>44721.0</v>
      </c>
      <c r="C3413" s="3">
        <v>0.33868055555555554</v>
      </c>
      <c r="D3413" s="1">
        <v>12.87563</v>
      </c>
      <c r="E3413" s="1">
        <v>80.082909</v>
      </c>
      <c r="F3413" s="1">
        <v>2846.0</v>
      </c>
      <c r="G3413" s="1">
        <v>0.0</v>
      </c>
    </row>
    <row r="3414">
      <c r="A3414" s="1" t="s">
        <v>8</v>
      </c>
      <c r="B3414" s="2">
        <v>44721.0</v>
      </c>
      <c r="C3414" s="3">
        <v>0.3393287037037037</v>
      </c>
      <c r="D3414" s="1">
        <v>13.063811</v>
      </c>
      <c r="E3414" s="1">
        <v>80.250766</v>
      </c>
      <c r="F3414" s="1">
        <v>805.0</v>
      </c>
      <c r="G3414" s="1">
        <v>0.0</v>
      </c>
    </row>
    <row r="3415">
      <c r="A3415" s="1" t="s">
        <v>8</v>
      </c>
      <c r="B3415" s="2">
        <v>44721.0</v>
      </c>
      <c r="C3415" s="3">
        <v>0.3396875</v>
      </c>
      <c r="D3415" s="1">
        <v>12.875636</v>
      </c>
      <c r="E3415" s="1">
        <v>80.0828</v>
      </c>
      <c r="F3415" s="1">
        <v>2846.0</v>
      </c>
      <c r="G3415" s="1">
        <v>0.0</v>
      </c>
    </row>
    <row r="3416">
      <c r="A3416" s="1" t="s">
        <v>8</v>
      </c>
      <c r="B3416" s="2">
        <v>44721.0</v>
      </c>
      <c r="C3416" s="3">
        <v>0.33980324074074075</v>
      </c>
      <c r="D3416" s="1">
        <v>13.063784</v>
      </c>
      <c r="E3416" s="1">
        <v>80.250803</v>
      </c>
      <c r="F3416" s="1">
        <v>805.0</v>
      </c>
      <c r="G3416" s="1">
        <v>0.0</v>
      </c>
    </row>
    <row r="3417">
      <c r="A3417" s="1" t="s">
        <v>8</v>
      </c>
      <c r="B3417" s="2">
        <v>44721.0</v>
      </c>
      <c r="C3417" s="3">
        <v>0.3400347222222222</v>
      </c>
      <c r="D3417" s="1">
        <v>13.063793</v>
      </c>
      <c r="E3417" s="1">
        <v>80.250814</v>
      </c>
      <c r="F3417" s="1">
        <v>805.0</v>
      </c>
      <c r="G3417" s="1">
        <v>0.0</v>
      </c>
    </row>
    <row r="3418">
      <c r="A3418" s="1" t="s">
        <v>8</v>
      </c>
      <c r="B3418" s="2">
        <v>44721.0</v>
      </c>
      <c r="C3418" s="3">
        <v>0.3401851851851852</v>
      </c>
      <c r="D3418" s="1">
        <v>13.063793</v>
      </c>
      <c r="E3418" s="1">
        <v>80.250814</v>
      </c>
      <c r="F3418" s="1">
        <v>805.0</v>
      </c>
      <c r="G3418" s="1">
        <v>0.0</v>
      </c>
    </row>
    <row r="3419">
      <c r="A3419" s="1" t="s">
        <v>8</v>
      </c>
      <c r="B3419" s="2">
        <v>44721.0</v>
      </c>
      <c r="C3419" s="3">
        <v>0.34019675925925924</v>
      </c>
      <c r="D3419" s="1">
        <v>12.87563</v>
      </c>
      <c r="E3419" s="1">
        <v>80.082791</v>
      </c>
      <c r="F3419" s="1">
        <v>2846.0</v>
      </c>
      <c r="G3419" s="1">
        <v>0.0</v>
      </c>
    </row>
    <row r="3420">
      <c r="A3420" s="1" t="s">
        <v>8</v>
      </c>
      <c r="B3420" s="2">
        <v>44721.0</v>
      </c>
      <c r="C3420" s="3">
        <v>0.34025462962962966</v>
      </c>
      <c r="D3420" s="1">
        <v>13.063793</v>
      </c>
      <c r="E3420" s="1">
        <v>80.250808</v>
      </c>
      <c r="F3420" s="1">
        <v>805.0</v>
      </c>
      <c r="G3420" s="1">
        <v>0.0</v>
      </c>
    </row>
    <row r="3421">
      <c r="A3421" s="1" t="s">
        <v>8</v>
      </c>
      <c r="B3421" s="2">
        <v>44721.0</v>
      </c>
      <c r="C3421" s="3">
        <v>0.34042824074074074</v>
      </c>
      <c r="D3421" s="1">
        <v>13.063744</v>
      </c>
      <c r="E3421" s="1">
        <v>80.250857</v>
      </c>
      <c r="F3421" s="1">
        <v>805.0</v>
      </c>
      <c r="G3421" s="1">
        <v>0.0</v>
      </c>
    </row>
    <row r="3422">
      <c r="A3422" s="1" t="s">
        <v>8</v>
      </c>
      <c r="B3422" s="2">
        <v>44721.0</v>
      </c>
      <c r="C3422" s="3">
        <v>0.3406712962962963</v>
      </c>
      <c r="D3422" s="1">
        <v>13.063737</v>
      </c>
      <c r="E3422" s="1">
        <v>80.250852</v>
      </c>
      <c r="F3422" s="1">
        <v>805.0</v>
      </c>
      <c r="G3422" s="1">
        <v>0.0</v>
      </c>
    </row>
    <row r="3423">
      <c r="A3423" s="1" t="s">
        <v>8</v>
      </c>
      <c r="B3423" s="2">
        <v>44721.0</v>
      </c>
      <c r="C3423" s="3">
        <v>0.3412847222222222</v>
      </c>
      <c r="D3423" s="1">
        <v>13.063729</v>
      </c>
      <c r="E3423" s="1">
        <v>80.250851</v>
      </c>
      <c r="F3423" s="1">
        <v>805.0</v>
      </c>
      <c r="G3423" s="1">
        <v>0.0</v>
      </c>
    </row>
    <row r="3424">
      <c r="A3424" s="1" t="s">
        <v>8</v>
      </c>
      <c r="B3424" s="2">
        <v>44721.0</v>
      </c>
      <c r="C3424" s="3">
        <v>0.3414351851851852</v>
      </c>
      <c r="D3424" s="1">
        <v>13.063727</v>
      </c>
      <c r="E3424" s="1">
        <v>80.25082</v>
      </c>
      <c r="F3424" s="1">
        <v>805.0</v>
      </c>
      <c r="G3424" s="1">
        <v>0.0</v>
      </c>
    </row>
    <row r="3425">
      <c r="A3425" s="1" t="s">
        <v>8</v>
      </c>
      <c r="B3425" s="2">
        <v>44721.0</v>
      </c>
      <c r="C3425" s="3">
        <v>0.34216435185185184</v>
      </c>
      <c r="D3425" s="1">
        <v>13.063784</v>
      </c>
      <c r="E3425" s="1">
        <v>80.250802</v>
      </c>
      <c r="F3425" s="1">
        <v>805.0</v>
      </c>
      <c r="G3425" s="1">
        <v>0.0</v>
      </c>
    </row>
    <row r="3426">
      <c r="A3426" s="1" t="s">
        <v>8</v>
      </c>
      <c r="B3426" s="2">
        <v>44721.0</v>
      </c>
      <c r="C3426" s="3">
        <v>0.34243055555555557</v>
      </c>
      <c r="D3426" s="1">
        <v>12.875633</v>
      </c>
      <c r="E3426" s="1">
        <v>80.082917</v>
      </c>
      <c r="F3426" s="1">
        <v>2846.0</v>
      </c>
      <c r="G3426" s="1">
        <v>0.0</v>
      </c>
    </row>
    <row r="3427">
      <c r="A3427" s="1" t="s">
        <v>7</v>
      </c>
      <c r="B3427" s="2">
        <v>44721.0</v>
      </c>
      <c r="C3427" s="3">
        <v>0.3424537037037037</v>
      </c>
      <c r="D3427" s="1">
        <v>13.06381</v>
      </c>
      <c r="E3427" s="1">
        <v>80.250816</v>
      </c>
      <c r="F3427" s="1">
        <v>805.0</v>
      </c>
      <c r="G3427" s="1">
        <v>0.0</v>
      </c>
    </row>
    <row r="3428">
      <c r="A3428" s="1" t="s">
        <v>8</v>
      </c>
      <c r="B3428" s="2">
        <v>44721.0</v>
      </c>
      <c r="C3428" s="3">
        <v>0.3425925925925926</v>
      </c>
      <c r="D3428" s="1">
        <v>12.875633</v>
      </c>
      <c r="E3428" s="1">
        <v>80.082917</v>
      </c>
      <c r="F3428" s="1">
        <v>2846.0</v>
      </c>
      <c r="G3428" s="1">
        <v>0.0</v>
      </c>
    </row>
    <row r="3429">
      <c r="A3429" s="1" t="s">
        <v>8</v>
      </c>
      <c r="B3429" s="2">
        <v>44721.0</v>
      </c>
      <c r="C3429" s="3">
        <v>0.34328703703703706</v>
      </c>
      <c r="D3429" s="1">
        <v>13.063827</v>
      </c>
      <c r="E3429" s="1">
        <v>80.250869</v>
      </c>
      <c r="F3429" s="1">
        <v>805.0</v>
      </c>
      <c r="G3429" s="1">
        <v>0.0</v>
      </c>
    </row>
    <row r="3430">
      <c r="A3430" s="1" t="s">
        <v>8</v>
      </c>
      <c r="B3430" s="2">
        <v>44721.0</v>
      </c>
      <c r="C3430" s="3">
        <v>0.3436111111111111</v>
      </c>
      <c r="D3430" s="1">
        <v>12.876007</v>
      </c>
      <c r="E3430" s="1">
        <v>80.083446</v>
      </c>
      <c r="F3430" s="1">
        <v>2846.0</v>
      </c>
      <c r="G3430" s="1">
        <v>9.0</v>
      </c>
    </row>
    <row r="3431">
      <c r="A3431" s="1" t="s">
        <v>7</v>
      </c>
      <c r="B3431" s="2">
        <v>44721.0</v>
      </c>
      <c r="C3431" s="3">
        <v>0.34414351851851854</v>
      </c>
      <c r="D3431" s="1">
        <v>13.063784</v>
      </c>
      <c r="E3431" s="1">
        <v>80.250819</v>
      </c>
      <c r="F3431" s="1">
        <v>805.0</v>
      </c>
      <c r="G3431" s="1">
        <v>0.0</v>
      </c>
    </row>
    <row r="3432">
      <c r="A3432" s="1" t="s">
        <v>7</v>
      </c>
      <c r="B3432" s="2">
        <v>44721.0</v>
      </c>
      <c r="C3432" s="3">
        <v>0.34466435185185185</v>
      </c>
      <c r="D3432" s="1">
        <v>13.063787</v>
      </c>
      <c r="E3432" s="1">
        <v>80.25084</v>
      </c>
      <c r="F3432" s="1">
        <v>805.0</v>
      </c>
      <c r="G3432" s="1">
        <v>0.0</v>
      </c>
    </row>
    <row r="3433">
      <c r="A3433" s="1" t="s">
        <v>7</v>
      </c>
      <c r="B3433" s="2">
        <v>44721.0</v>
      </c>
      <c r="C3433" s="3">
        <v>0.3447222222222222</v>
      </c>
      <c r="D3433" s="1">
        <v>13.063796</v>
      </c>
      <c r="E3433" s="1">
        <v>80.250859</v>
      </c>
      <c r="F3433" s="1">
        <v>805.0</v>
      </c>
      <c r="G3433" s="1">
        <v>0.0</v>
      </c>
    </row>
    <row r="3434">
      <c r="A3434" s="1" t="s">
        <v>7</v>
      </c>
      <c r="B3434" s="2">
        <v>44721.0</v>
      </c>
      <c r="C3434" s="3">
        <v>0.34497685185185184</v>
      </c>
      <c r="D3434" s="1">
        <v>13.063825</v>
      </c>
      <c r="E3434" s="1">
        <v>80.250817</v>
      </c>
      <c r="F3434" s="1">
        <v>805.0</v>
      </c>
      <c r="G3434" s="1">
        <v>0.0</v>
      </c>
    </row>
    <row r="3435">
      <c r="A3435" s="1" t="s">
        <v>7</v>
      </c>
      <c r="B3435" s="2">
        <v>44721.0</v>
      </c>
      <c r="C3435" s="3">
        <v>0.3454050925925926</v>
      </c>
      <c r="D3435" s="1">
        <v>13.063816</v>
      </c>
      <c r="E3435" s="1">
        <v>80.25078</v>
      </c>
      <c r="F3435" s="1">
        <v>805.0</v>
      </c>
      <c r="G3435" s="1">
        <v>0.0</v>
      </c>
    </row>
    <row r="3436">
      <c r="A3436" s="1" t="s">
        <v>8</v>
      </c>
      <c r="B3436" s="2">
        <v>44721.0</v>
      </c>
      <c r="C3436" s="3">
        <v>0.34546296296296297</v>
      </c>
      <c r="D3436" s="1">
        <v>12.908782</v>
      </c>
      <c r="E3436" s="1">
        <v>80.098056</v>
      </c>
      <c r="F3436" s="1">
        <v>2846.0</v>
      </c>
      <c r="G3436" s="1">
        <v>33.0</v>
      </c>
    </row>
    <row r="3437">
      <c r="A3437" s="1" t="s">
        <v>8</v>
      </c>
      <c r="B3437" s="2">
        <v>44721.0</v>
      </c>
      <c r="C3437" s="3">
        <v>0.345474537037037</v>
      </c>
      <c r="D3437" s="1">
        <v>13.063816</v>
      </c>
      <c r="E3437" s="1">
        <v>80.25078</v>
      </c>
      <c r="F3437" s="1">
        <v>805.0</v>
      </c>
      <c r="G3437" s="1">
        <v>0.0</v>
      </c>
    </row>
    <row r="3438">
      <c r="A3438" s="1" t="s">
        <v>8</v>
      </c>
      <c r="B3438" s="2">
        <v>44721.0</v>
      </c>
      <c r="C3438" s="3">
        <v>0.345474537037037</v>
      </c>
      <c r="D3438" s="1">
        <v>12.908782</v>
      </c>
      <c r="E3438" s="1">
        <v>80.098056</v>
      </c>
      <c r="F3438" s="1">
        <v>2846.0</v>
      </c>
      <c r="G3438" s="1">
        <v>33.0</v>
      </c>
    </row>
    <row r="3439">
      <c r="A3439" s="1" t="s">
        <v>8</v>
      </c>
      <c r="B3439" s="2">
        <v>44721.0</v>
      </c>
      <c r="C3439" s="3">
        <v>0.3454861111111111</v>
      </c>
      <c r="D3439" s="1">
        <v>12.908782</v>
      </c>
      <c r="E3439" s="1">
        <v>80.098056</v>
      </c>
      <c r="F3439" s="1">
        <v>2846.0</v>
      </c>
      <c r="G3439" s="1">
        <v>33.0</v>
      </c>
    </row>
    <row r="3440">
      <c r="A3440" s="1" t="s">
        <v>8</v>
      </c>
      <c r="B3440" s="2">
        <v>44721.0</v>
      </c>
      <c r="C3440" s="3">
        <v>0.34572916666666664</v>
      </c>
      <c r="D3440" s="1">
        <v>12.912168</v>
      </c>
      <c r="E3440" s="1">
        <v>80.101401</v>
      </c>
      <c r="F3440" s="1">
        <v>2846.0</v>
      </c>
      <c r="G3440" s="1">
        <v>19.0</v>
      </c>
    </row>
    <row r="3441">
      <c r="A3441" s="1" t="s">
        <v>8</v>
      </c>
      <c r="B3441" s="2">
        <v>44721.0</v>
      </c>
      <c r="C3441" s="3">
        <v>0.3459027777777778</v>
      </c>
      <c r="D3441" s="1">
        <v>13.063839</v>
      </c>
      <c r="E3441" s="1">
        <v>80.250825</v>
      </c>
      <c r="F3441" s="1">
        <v>805.0</v>
      </c>
      <c r="G3441" s="1">
        <v>0.0</v>
      </c>
    </row>
    <row r="3442">
      <c r="A3442" s="1" t="s">
        <v>8</v>
      </c>
      <c r="B3442" s="2">
        <v>44721.0</v>
      </c>
      <c r="C3442" s="3">
        <v>0.3461574074074074</v>
      </c>
      <c r="D3442" s="1">
        <v>13.063874</v>
      </c>
      <c r="E3442" s="1">
        <v>80.250813</v>
      </c>
      <c r="F3442" s="1">
        <v>805.0</v>
      </c>
      <c r="G3442" s="1">
        <v>0.0</v>
      </c>
    </row>
    <row r="3443">
      <c r="A3443" s="1" t="s">
        <v>8</v>
      </c>
      <c r="B3443" s="2">
        <v>44721.0</v>
      </c>
      <c r="C3443" s="3">
        <v>0.3466550925925926</v>
      </c>
      <c r="D3443" s="1">
        <v>12.925726</v>
      </c>
      <c r="E3443" s="1">
        <v>80.116707</v>
      </c>
      <c r="F3443" s="1">
        <v>2846.0</v>
      </c>
      <c r="G3443" s="1">
        <v>0.0</v>
      </c>
    </row>
    <row r="3444">
      <c r="A3444" s="1" t="s">
        <v>8</v>
      </c>
      <c r="B3444" s="2">
        <v>44721.0</v>
      </c>
      <c r="C3444" s="3">
        <v>0.3482175925925926</v>
      </c>
      <c r="D3444" s="1">
        <v>13.063805</v>
      </c>
      <c r="E3444" s="1">
        <v>80.250856</v>
      </c>
      <c r="F3444" s="1">
        <v>805.0</v>
      </c>
      <c r="G3444" s="1">
        <v>0.0</v>
      </c>
    </row>
    <row r="3445">
      <c r="A3445" s="1" t="s">
        <v>8</v>
      </c>
      <c r="B3445" s="2">
        <v>44721.0</v>
      </c>
      <c r="C3445" s="3">
        <v>0.34961805555555553</v>
      </c>
      <c r="D3445" s="1">
        <v>13.063791</v>
      </c>
      <c r="E3445" s="1">
        <v>80.250866</v>
      </c>
      <c r="F3445" s="1">
        <v>805.0</v>
      </c>
      <c r="G3445" s="1">
        <v>0.0</v>
      </c>
    </row>
    <row r="3446">
      <c r="A3446" s="1" t="s">
        <v>8</v>
      </c>
      <c r="B3446" s="2">
        <v>44721.0</v>
      </c>
      <c r="C3446" s="3">
        <v>0.3501388888888889</v>
      </c>
      <c r="D3446" s="1">
        <v>13.063776</v>
      </c>
      <c r="E3446" s="1">
        <v>80.250856</v>
      </c>
      <c r="F3446" s="1">
        <v>805.0</v>
      </c>
      <c r="G3446" s="1">
        <v>0.0</v>
      </c>
    </row>
    <row r="3447">
      <c r="A3447" s="1" t="s">
        <v>8</v>
      </c>
      <c r="B3447" s="2">
        <v>44721.0</v>
      </c>
      <c r="C3447" s="3">
        <v>0.3502314814814815</v>
      </c>
      <c r="D3447" s="1">
        <v>12.948585</v>
      </c>
      <c r="E3447" s="1">
        <v>80.197613</v>
      </c>
      <c r="F3447" s="1">
        <v>2846.0</v>
      </c>
      <c r="G3447" s="1">
        <v>55.0</v>
      </c>
    </row>
    <row r="3448">
      <c r="A3448" s="1" t="s">
        <v>8</v>
      </c>
      <c r="B3448" s="2">
        <v>44721.0</v>
      </c>
      <c r="C3448" s="3">
        <v>0.3504861111111111</v>
      </c>
      <c r="D3448" s="1">
        <v>12.94862</v>
      </c>
      <c r="E3448" s="1">
        <v>80.200128</v>
      </c>
      <c r="F3448" s="1">
        <v>2846.0</v>
      </c>
      <c r="G3448" s="1">
        <v>39.0</v>
      </c>
    </row>
    <row r="3449">
      <c r="A3449" s="1" t="s">
        <v>7</v>
      </c>
      <c r="B3449" s="2">
        <v>44721.0</v>
      </c>
      <c r="C3449" s="3">
        <v>0.3505787037037037</v>
      </c>
      <c r="D3449" s="1">
        <v>13.063822</v>
      </c>
      <c r="E3449" s="1">
        <v>80.250823</v>
      </c>
      <c r="F3449" s="1">
        <v>805.0</v>
      </c>
      <c r="G3449" s="1">
        <v>0.0</v>
      </c>
    </row>
    <row r="3450">
      <c r="A3450" s="1" t="s">
        <v>7</v>
      </c>
      <c r="B3450" s="2">
        <v>44721.0</v>
      </c>
      <c r="C3450" s="3">
        <v>0.3507638888888889</v>
      </c>
      <c r="D3450" s="1">
        <v>13.063751</v>
      </c>
      <c r="E3450" s="1">
        <v>80.250637</v>
      </c>
      <c r="F3450" s="1">
        <v>805.0</v>
      </c>
      <c r="G3450" s="1">
        <v>4.0</v>
      </c>
    </row>
    <row r="3451">
      <c r="A3451" s="1" t="s">
        <v>7</v>
      </c>
      <c r="B3451" s="2">
        <v>44721.0</v>
      </c>
      <c r="C3451" s="3">
        <v>0.3514467592592593</v>
      </c>
      <c r="D3451" s="1">
        <v>12.961484</v>
      </c>
      <c r="E3451" s="1">
        <v>80.215125</v>
      </c>
      <c r="F3451" s="1">
        <v>2846.0</v>
      </c>
      <c r="G3451" s="1">
        <v>45.0</v>
      </c>
    </row>
    <row r="3452">
      <c r="A3452" s="1" t="s">
        <v>8</v>
      </c>
      <c r="B3452" s="2">
        <v>44721.0</v>
      </c>
      <c r="C3452" s="3">
        <v>0.35149305555555554</v>
      </c>
      <c r="D3452" s="1">
        <v>12.964017</v>
      </c>
      <c r="E3452" s="1">
        <v>80.216141</v>
      </c>
      <c r="F3452" s="1">
        <v>2846.0</v>
      </c>
      <c r="G3452" s="1">
        <v>36.0</v>
      </c>
    </row>
    <row r="3453">
      <c r="A3453" s="1" t="s">
        <v>8</v>
      </c>
      <c r="B3453" s="2">
        <v>44721.0</v>
      </c>
      <c r="C3453" s="3">
        <v>0.35171296296296295</v>
      </c>
      <c r="D3453" s="1">
        <v>12.970798</v>
      </c>
      <c r="E3453" s="1">
        <v>80.218874</v>
      </c>
      <c r="F3453" s="1">
        <v>2846.0</v>
      </c>
      <c r="G3453" s="1">
        <v>51.0</v>
      </c>
    </row>
    <row r="3454">
      <c r="A3454" s="1" t="s">
        <v>8</v>
      </c>
      <c r="B3454" s="2">
        <v>44721.0</v>
      </c>
      <c r="C3454" s="3">
        <v>0.3529976851851852</v>
      </c>
      <c r="D3454" s="1">
        <v>12.979753</v>
      </c>
      <c r="E3454" s="1">
        <v>80.22725</v>
      </c>
      <c r="F3454" s="1">
        <v>2846.0</v>
      </c>
      <c r="G3454" s="1">
        <v>0.0</v>
      </c>
    </row>
    <row r="3455">
      <c r="A3455" s="1" t="s">
        <v>8</v>
      </c>
      <c r="B3455" s="2">
        <v>44721.0</v>
      </c>
      <c r="C3455" s="3">
        <v>0.3531712962962963</v>
      </c>
      <c r="D3455" s="1">
        <v>12.979753</v>
      </c>
      <c r="E3455" s="1">
        <v>80.22725</v>
      </c>
      <c r="F3455" s="1">
        <v>2846.0</v>
      </c>
      <c r="G3455" s="1">
        <v>0.0</v>
      </c>
    </row>
    <row r="3456">
      <c r="A3456" s="1" t="s">
        <v>8</v>
      </c>
      <c r="B3456" s="2">
        <v>44721.0</v>
      </c>
      <c r="C3456" s="3">
        <v>0.3532986111111111</v>
      </c>
      <c r="D3456" s="1">
        <v>12.979753</v>
      </c>
      <c r="E3456" s="1">
        <v>80.22725</v>
      </c>
      <c r="F3456" s="1">
        <v>2846.0</v>
      </c>
      <c r="G3456" s="1">
        <v>0.0</v>
      </c>
    </row>
    <row r="3457">
      <c r="A3457" s="1" t="s">
        <v>8</v>
      </c>
      <c r="B3457" s="2">
        <v>44721.0</v>
      </c>
      <c r="C3457" s="3">
        <v>0.3540740740740741</v>
      </c>
      <c r="D3457" s="1">
        <v>12.979753</v>
      </c>
      <c r="E3457" s="1">
        <v>80.22725</v>
      </c>
      <c r="F3457" s="1">
        <v>2846.0</v>
      </c>
      <c r="G3457" s="1">
        <v>0.0</v>
      </c>
    </row>
    <row r="3458">
      <c r="A3458" s="1" t="s">
        <v>8</v>
      </c>
      <c r="B3458" s="2">
        <v>44721.0</v>
      </c>
      <c r="C3458" s="3">
        <v>0.35409722222222223</v>
      </c>
      <c r="D3458" s="1">
        <v>12.979753</v>
      </c>
      <c r="E3458" s="1">
        <v>80.22725</v>
      </c>
      <c r="F3458" s="1">
        <v>2846.0</v>
      </c>
      <c r="G3458" s="1">
        <v>0.0</v>
      </c>
    </row>
    <row r="3459">
      <c r="A3459" s="1" t="s">
        <v>8</v>
      </c>
      <c r="B3459" s="2">
        <v>44721.0</v>
      </c>
      <c r="C3459" s="3">
        <v>0.35410879629629627</v>
      </c>
      <c r="D3459" s="1">
        <v>12.979753</v>
      </c>
      <c r="E3459" s="1">
        <v>80.22725</v>
      </c>
      <c r="F3459" s="1">
        <v>2846.0</v>
      </c>
      <c r="G3459" s="1">
        <v>0.0</v>
      </c>
    </row>
    <row r="3460">
      <c r="A3460" s="1" t="s">
        <v>8</v>
      </c>
      <c r="B3460" s="2">
        <v>44721.0</v>
      </c>
      <c r="C3460" s="3">
        <v>0.35410879629629627</v>
      </c>
      <c r="D3460" s="1">
        <v>12.979753</v>
      </c>
      <c r="E3460" s="1">
        <v>80.22725</v>
      </c>
      <c r="F3460" s="1">
        <v>2846.0</v>
      </c>
      <c r="G3460" s="1">
        <v>0.0</v>
      </c>
    </row>
    <row r="3461">
      <c r="A3461" s="1" t="s">
        <v>8</v>
      </c>
      <c r="B3461" s="2">
        <v>44721.0</v>
      </c>
      <c r="C3461" s="3">
        <v>0.3542361111111111</v>
      </c>
      <c r="D3461" s="1">
        <v>13.052977</v>
      </c>
      <c r="E3461" s="1">
        <v>80.272676</v>
      </c>
      <c r="F3461" s="1">
        <v>805.0</v>
      </c>
      <c r="G3461" s="1">
        <v>32.0</v>
      </c>
    </row>
    <row r="3462">
      <c r="A3462" s="1" t="s">
        <v>8</v>
      </c>
      <c r="B3462" s="2">
        <v>44721.0</v>
      </c>
      <c r="C3462" s="3">
        <v>0.35431712962962963</v>
      </c>
      <c r="D3462" s="1">
        <v>13.053108</v>
      </c>
      <c r="E3462" s="1">
        <v>80.271899</v>
      </c>
      <c r="F3462" s="1">
        <v>805.0</v>
      </c>
      <c r="G3462" s="1">
        <v>0.0</v>
      </c>
    </row>
    <row r="3463">
      <c r="A3463" s="1" t="s">
        <v>8</v>
      </c>
      <c r="B3463" s="2">
        <v>44721.0</v>
      </c>
      <c r="C3463" s="3">
        <v>0.3555671296296296</v>
      </c>
      <c r="D3463" s="1">
        <v>12.979071</v>
      </c>
      <c r="E3463" s="1">
        <v>80.226517</v>
      </c>
      <c r="F3463" s="1">
        <v>2846.0</v>
      </c>
      <c r="G3463" s="1">
        <v>0.0</v>
      </c>
    </row>
    <row r="3464">
      <c r="A3464" s="1" t="s">
        <v>8</v>
      </c>
      <c r="B3464" s="2">
        <v>44721.0</v>
      </c>
      <c r="C3464" s="3">
        <v>0.35587962962962966</v>
      </c>
      <c r="D3464" s="1">
        <v>12.979071</v>
      </c>
      <c r="E3464" s="1">
        <v>80.226517</v>
      </c>
      <c r="F3464" s="1">
        <v>2846.0</v>
      </c>
      <c r="G3464" s="1">
        <v>0.0</v>
      </c>
    </row>
    <row r="3465">
      <c r="A3465" s="1" t="s">
        <v>8</v>
      </c>
      <c r="B3465" s="2">
        <v>44721.0</v>
      </c>
      <c r="C3465" s="3">
        <v>0.3566898148148148</v>
      </c>
      <c r="D3465" s="1">
        <v>12.978978</v>
      </c>
      <c r="E3465" s="1">
        <v>80.226526</v>
      </c>
      <c r="F3465" s="1">
        <v>2846.0</v>
      </c>
      <c r="G3465" s="1">
        <v>0.0</v>
      </c>
    </row>
    <row r="3466">
      <c r="A3466" s="1" t="s">
        <v>8</v>
      </c>
      <c r="B3466" s="2">
        <v>44721.0</v>
      </c>
      <c r="C3466" s="3">
        <v>0.35671296296296295</v>
      </c>
      <c r="D3466" s="1">
        <v>12.978978</v>
      </c>
      <c r="E3466" s="1">
        <v>80.226526</v>
      </c>
      <c r="F3466" s="1">
        <v>2846.0</v>
      </c>
      <c r="G3466" s="1">
        <v>0.0</v>
      </c>
    </row>
    <row r="3467">
      <c r="A3467" s="1" t="s">
        <v>7</v>
      </c>
      <c r="B3467" s="2">
        <v>44721.0</v>
      </c>
      <c r="C3467" s="3">
        <v>0.3570601851851852</v>
      </c>
      <c r="D3467" s="1">
        <v>12.978978</v>
      </c>
      <c r="E3467" s="1">
        <v>80.226526</v>
      </c>
      <c r="F3467" s="1">
        <v>2846.0</v>
      </c>
      <c r="G3467" s="1">
        <v>0.0</v>
      </c>
    </row>
    <row r="3468">
      <c r="A3468" s="1" t="s">
        <v>8</v>
      </c>
      <c r="B3468" s="2">
        <v>44721.0</v>
      </c>
      <c r="C3468" s="3">
        <v>0.35715277777777776</v>
      </c>
      <c r="D3468" s="1">
        <v>12.978236</v>
      </c>
      <c r="E3468" s="1">
        <v>80.225102</v>
      </c>
      <c r="F3468" s="1">
        <v>2846.0</v>
      </c>
      <c r="G3468" s="1">
        <v>26.0</v>
      </c>
    </row>
    <row r="3469">
      <c r="A3469" s="1" t="s">
        <v>9</v>
      </c>
      <c r="B3469" s="2">
        <v>44721.0</v>
      </c>
      <c r="C3469" s="3">
        <v>0.357962962962963</v>
      </c>
      <c r="D3469" s="1">
        <v>12.963634</v>
      </c>
      <c r="E3469" s="1">
        <v>80.215561</v>
      </c>
      <c r="F3469" s="1">
        <v>2846.0</v>
      </c>
      <c r="G3469" s="1">
        <v>11.0</v>
      </c>
    </row>
    <row r="3470">
      <c r="A3470" s="1" t="s">
        <v>8</v>
      </c>
      <c r="B3470" s="2">
        <v>44721.0</v>
      </c>
      <c r="C3470" s="3">
        <v>0.3596759259259259</v>
      </c>
      <c r="D3470" s="1">
        <v>12.952919</v>
      </c>
      <c r="E3470" s="1">
        <v>80.186552</v>
      </c>
      <c r="F3470" s="1">
        <v>2846.0</v>
      </c>
      <c r="G3470" s="1">
        <v>29.0</v>
      </c>
    </row>
    <row r="3471">
      <c r="A3471" s="1" t="s">
        <v>8</v>
      </c>
      <c r="B3471" s="2">
        <v>44721.0</v>
      </c>
      <c r="C3471" s="3">
        <v>0.35996527777777776</v>
      </c>
      <c r="D3471" s="1">
        <v>12.94201</v>
      </c>
      <c r="E3471" s="1">
        <v>80.18292</v>
      </c>
      <c r="F3471" s="1">
        <v>2846.0</v>
      </c>
      <c r="G3471" s="1">
        <v>24.0</v>
      </c>
    </row>
    <row r="3472">
      <c r="A3472" s="1" t="s">
        <v>10</v>
      </c>
      <c r="B3472" s="2">
        <v>44721.0</v>
      </c>
      <c r="C3472" s="3">
        <v>0.36192129629629627</v>
      </c>
      <c r="D3472" s="1">
        <v>12.922535</v>
      </c>
      <c r="E3472" s="1">
        <v>80.147754</v>
      </c>
      <c r="F3472" s="1">
        <v>2846.0</v>
      </c>
      <c r="G3472" s="1">
        <v>0.0</v>
      </c>
    </row>
    <row r="3473">
      <c r="A3473" s="1" t="s">
        <v>7</v>
      </c>
      <c r="B3473" s="2">
        <v>44721.0</v>
      </c>
      <c r="C3473" s="3">
        <v>0.5310532407407408</v>
      </c>
      <c r="D3473" s="1">
        <v>13.020354</v>
      </c>
      <c r="E3473" s="1">
        <v>80.094078</v>
      </c>
      <c r="F3473" s="1">
        <v>3143.0</v>
      </c>
      <c r="G3473" s="1">
        <v>54.0</v>
      </c>
    </row>
    <row r="3474">
      <c r="A3474" s="1" t="s">
        <v>8</v>
      </c>
      <c r="B3474" s="2">
        <v>44721.0</v>
      </c>
      <c r="C3474" s="3">
        <v>0.5312962962962963</v>
      </c>
      <c r="D3474" s="1">
        <v>13.016506</v>
      </c>
      <c r="E3474" s="1">
        <v>80.095002</v>
      </c>
      <c r="F3474" s="1">
        <v>3143.0</v>
      </c>
      <c r="G3474" s="1">
        <v>51.0</v>
      </c>
    </row>
    <row r="3475">
      <c r="A3475" s="1" t="s">
        <v>7</v>
      </c>
      <c r="B3475" s="2">
        <v>44721.0</v>
      </c>
      <c r="C3475" s="3">
        <v>0.5317361111111111</v>
      </c>
      <c r="D3475" s="1">
        <v>13.01267</v>
      </c>
      <c r="E3475" s="1">
        <v>80.093555</v>
      </c>
      <c r="F3475" s="1">
        <v>3143.0</v>
      </c>
      <c r="G3475" s="1">
        <v>52.0</v>
      </c>
    </row>
    <row r="3476">
      <c r="A3476" s="1" t="s">
        <v>8</v>
      </c>
      <c r="B3476" s="2">
        <v>44721.0</v>
      </c>
      <c r="C3476" s="3">
        <v>0.5319097222222222</v>
      </c>
      <c r="D3476" s="1">
        <v>13.010128</v>
      </c>
      <c r="E3476" s="1">
        <v>80.092576</v>
      </c>
      <c r="F3476" s="1">
        <v>3143.0</v>
      </c>
      <c r="G3476" s="1">
        <v>55.0</v>
      </c>
    </row>
    <row r="3477">
      <c r="A3477" s="1" t="s">
        <v>8</v>
      </c>
      <c r="B3477" s="2">
        <v>44721.0</v>
      </c>
      <c r="C3477" s="3">
        <v>0.5322685185185185</v>
      </c>
      <c r="D3477" s="1">
        <v>13.006368</v>
      </c>
      <c r="E3477" s="1">
        <v>80.091096</v>
      </c>
      <c r="F3477" s="1">
        <v>3143.0</v>
      </c>
      <c r="G3477" s="1">
        <v>56.0</v>
      </c>
    </row>
    <row r="3478">
      <c r="A3478" s="1" t="s">
        <v>7</v>
      </c>
      <c r="B3478" s="2">
        <v>44721.0</v>
      </c>
      <c r="C3478" s="3">
        <v>0.5326967592592593</v>
      </c>
      <c r="D3478" s="1">
        <v>13.000894</v>
      </c>
      <c r="E3478" s="1">
        <v>80.088958</v>
      </c>
      <c r="F3478" s="1">
        <v>3143.0</v>
      </c>
      <c r="G3478" s="1">
        <v>54.0</v>
      </c>
    </row>
    <row r="3479">
      <c r="A3479" s="1" t="s">
        <v>7</v>
      </c>
      <c r="B3479" s="2">
        <v>44721.0</v>
      </c>
      <c r="C3479" s="3">
        <v>0.5329398148148148</v>
      </c>
      <c r="D3479" s="1">
        <v>12.998192</v>
      </c>
      <c r="E3479" s="1">
        <v>80.087929</v>
      </c>
      <c r="F3479" s="1">
        <v>3143.0</v>
      </c>
      <c r="G3479" s="1">
        <v>58.0</v>
      </c>
    </row>
    <row r="3480">
      <c r="A3480" s="1" t="s">
        <v>7</v>
      </c>
      <c r="B3480" s="2">
        <v>44721.0</v>
      </c>
      <c r="C3480" s="3">
        <v>0.5330555555555555</v>
      </c>
      <c r="D3480" s="1">
        <v>12.996856</v>
      </c>
      <c r="E3480" s="1">
        <v>80.087661</v>
      </c>
      <c r="F3480" s="1">
        <v>3143.0</v>
      </c>
      <c r="G3480" s="1">
        <v>52.0</v>
      </c>
    </row>
    <row r="3481">
      <c r="A3481" s="1" t="s">
        <v>7</v>
      </c>
      <c r="B3481" s="2">
        <v>44721.0</v>
      </c>
      <c r="C3481" s="3">
        <v>0.5332175925925926</v>
      </c>
      <c r="D3481" s="1">
        <v>12.995528</v>
      </c>
      <c r="E3481" s="1">
        <v>80.087661</v>
      </c>
      <c r="F3481" s="1">
        <v>3143.0</v>
      </c>
      <c r="G3481" s="1">
        <v>54.0</v>
      </c>
    </row>
    <row r="3482">
      <c r="A3482" s="1" t="s">
        <v>7</v>
      </c>
      <c r="B3482" s="2">
        <v>44721.0</v>
      </c>
      <c r="C3482" s="3">
        <v>0.534375</v>
      </c>
      <c r="D3482" s="1">
        <v>12.981286</v>
      </c>
      <c r="E3482" s="1">
        <v>80.089876</v>
      </c>
      <c r="F3482" s="1">
        <v>3143.0</v>
      </c>
      <c r="G3482" s="1">
        <v>58.0</v>
      </c>
    </row>
    <row r="3483">
      <c r="A3483" s="1" t="s">
        <v>7</v>
      </c>
      <c r="B3483" s="2">
        <v>44721.0</v>
      </c>
      <c r="C3483" s="3">
        <v>0.5346643518518519</v>
      </c>
      <c r="D3483" s="1">
        <v>12.976922</v>
      </c>
      <c r="E3483" s="1">
        <v>80.089995</v>
      </c>
      <c r="F3483" s="1">
        <v>3143.0</v>
      </c>
      <c r="G3483" s="1">
        <v>57.0</v>
      </c>
    </row>
    <row r="3484">
      <c r="A3484" s="1" t="s">
        <v>7</v>
      </c>
      <c r="B3484" s="2">
        <v>44721.0</v>
      </c>
      <c r="C3484" s="3">
        <v>0.5350810185185185</v>
      </c>
      <c r="D3484" s="1">
        <v>12.972518</v>
      </c>
      <c r="E3484" s="1">
        <v>80.090064</v>
      </c>
      <c r="F3484" s="1">
        <v>3143.0</v>
      </c>
      <c r="G3484" s="1">
        <v>59.0</v>
      </c>
    </row>
    <row r="3485">
      <c r="A3485" s="1" t="s">
        <v>7</v>
      </c>
      <c r="B3485" s="2">
        <v>44721.0</v>
      </c>
      <c r="C3485" s="3">
        <v>0.535775462962963</v>
      </c>
      <c r="D3485" s="1">
        <v>12.963767</v>
      </c>
      <c r="E3485" s="1">
        <v>80.090349</v>
      </c>
      <c r="F3485" s="1">
        <v>3143.0</v>
      </c>
      <c r="G3485" s="1">
        <v>57.0</v>
      </c>
    </row>
    <row r="3486">
      <c r="A3486" s="1" t="s">
        <v>7</v>
      </c>
      <c r="B3486" s="2">
        <v>44721.0</v>
      </c>
      <c r="C3486" s="3">
        <v>0.5362152777777778</v>
      </c>
      <c r="D3486" s="1">
        <v>12.957918</v>
      </c>
      <c r="E3486" s="1">
        <v>80.090512</v>
      </c>
      <c r="F3486" s="1">
        <v>3143.0</v>
      </c>
      <c r="G3486" s="1">
        <v>57.0</v>
      </c>
    </row>
    <row r="3487">
      <c r="A3487" s="1" t="s">
        <v>7</v>
      </c>
      <c r="B3487" s="2">
        <v>44721.0</v>
      </c>
      <c r="C3487" s="3">
        <v>0.5367708333333333</v>
      </c>
      <c r="D3487" s="1">
        <v>12.951011</v>
      </c>
      <c r="E3487" s="1">
        <v>80.088035</v>
      </c>
      <c r="F3487" s="1">
        <v>3143.0</v>
      </c>
      <c r="G3487" s="1">
        <v>58.0</v>
      </c>
    </row>
    <row r="3488">
      <c r="A3488" s="1" t="s">
        <v>8</v>
      </c>
      <c r="B3488" s="2">
        <v>44721.0</v>
      </c>
      <c r="C3488" s="3">
        <v>0.5408912037037037</v>
      </c>
      <c r="D3488" s="1">
        <v>12.913187</v>
      </c>
      <c r="E3488" s="1">
        <v>80.074649</v>
      </c>
      <c r="F3488" s="1">
        <v>3143.0</v>
      </c>
      <c r="G3488" s="1">
        <v>52.0</v>
      </c>
    </row>
    <row r="3489">
      <c r="A3489" s="1" t="s">
        <v>7</v>
      </c>
      <c r="B3489" s="2">
        <v>44721.0</v>
      </c>
      <c r="C3489" s="3">
        <v>0.5410300925925926</v>
      </c>
      <c r="D3489" s="1">
        <v>12.911922</v>
      </c>
      <c r="E3489" s="1">
        <v>80.074244</v>
      </c>
      <c r="F3489" s="1">
        <v>3143.0</v>
      </c>
      <c r="G3489" s="1">
        <v>53.0</v>
      </c>
    </row>
    <row r="3490">
      <c r="A3490" s="1" t="s">
        <v>7</v>
      </c>
      <c r="B3490" s="2">
        <v>44721.0</v>
      </c>
      <c r="C3490" s="3">
        <v>0.5410879629629629</v>
      </c>
      <c r="D3490" s="1">
        <v>12.91063</v>
      </c>
      <c r="E3490" s="1">
        <v>80.073797</v>
      </c>
      <c r="F3490" s="1">
        <v>3143.0</v>
      </c>
      <c r="G3490" s="1">
        <v>57.0</v>
      </c>
    </row>
    <row r="3491">
      <c r="A3491" s="1" t="s">
        <v>7</v>
      </c>
      <c r="B3491" s="2">
        <v>44721.0</v>
      </c>
      <c r="C3491" s="3">
        <v>0.5419907407407407</v>
      </c>
      <c r="D3491" s="1">
        <v>12.901526</v>
      </c>
      <c r="E3491" s="1">
        <v>80.071151</v>
      </c>
      <c r="F3491" s="1">
        <v>3143.0</v>
      </c>
      <c r="G3491" s="1">
        <v>47.0</v>
      </c>
    </row>
    <row r="3492">
      <c r="A3492" s="1" t="s">
        <v>7</v>
      </c>
      <c r="B3492" s="2">
        <v>44721.0</v>
      </c>
      <c r="C3492" s="3">
        <v>0.5423032407407408</v>
      </c>
      <c r="D3492" s="1">
        <v>12.897365</v>
      </c>
      <c r="E3492" s="1">
        <v>80.07067</v>
      </c>
      <c r="F3492" s="1">
        <v>3143.0</v>
      </c>
      <c r="G3492" s="1">
        <v>56.0</v>
      </c>
    </row>
    <row r="3493">
      <c r="A3493" s="1" t="s">
        <v>7</v>
      </c>
      <c r="B3493" s="2">
        <v>44721.0</v>
      </c>
      <c r="C3493" s="3">
        <v>0.5424189814814815</v>
      </c>
      <c r="D3493" s="1">
        <v>12.895955</v>
      </c>
      <c r="E3493" s="1">
        <v>80.07072</v>
      </c>
      <c r="F3493" s="1">
        <v>3143.0</v>
      </c>
      <c r="G3493" s="1">
        <v>53.0</v>
      </c>
    </row>
    <row r="3494">
      <c r="A3494" s="1" t="s">
        <v>8</v>
      </c>
      <c r="B3494" s="2">
        <v>44721.0</v>
      </c>
      <c r="C3494" s="3">
        <v>0.5424884259259259</v>
      </c>
      <c r="D3494" s="1">
        <v>12.894631</v>
      </c>
      <c r="E3494" s="1">
        <v>80.070739</v>
      </c>
      <c r="F3494" s="1">
        <v>3143.0</v>
      </c>
      <c r="G3494" s="1">
        <v>52.0</v>
      </c>
    </row>
    <row r="3495">
      <c r="A3495" s="1" t="s">
        <v>7</v>
      </c>
      <c r="B3495" s="2">
        <v>44721.0</v>
      </c>
      <c r="C3495" s="3">
        <v>0.543125</v>
      </c>
      <c r="D3495" s="1">
        <v>12.888818</v>
      </c>
      <c r="E3495" s="1">
        <v>80.072656</v>
      </c>
      <c r="F3495" s="1">
        <v>3143.0</v>
      </c>
      <c r="G3495" s="1">
        <v>52.0</v>
      </c>
    </row>
    <row r="3496">
      <c r="A3496" s="1" t="s">
        <v>7</v>
      </c>
      <c r="B3496" s="2">
        <v>44721.0</v>
      </c>
      <c r="C3496" s="3">
        <v>0.5436921296296297</v>
      </c>
      <c r="D3496" s="1">
        <v>12.886314</v>
      </c>
      <c r="E3496" s="1">
        <v>80.078869</v>
      </c>
      <c r="F3496" s="1">
        <v>3143.0</v>
      </c>
      <c r="G3496" s="1">
        <v>49.0</v>
      </c>
    </row>
    <row r="3497">
      <c r="A3497" s="1" t="s">
        <v>8</v>
      </c>
      <c r="B3497" s="2">
        <v>44721.0</v>
      </c>
      <c r="C3497" s="3">
        <v>0.5438541666666666</v>
      </c>
      <c r="D3497" s="1">
        <v>12.885509</v>
      </c>
      <c r="E3497" s="1">
        <v>80.081139</v>
      </c>
      <c r="F3497" s="1">
        <v>3143.0</v>
      </c>
      <c r="G3497" s="1">
        <v>34.0</v>
      </c>
    </row>
    <row r="3498">
      <c r="A3498" s="1" t="s">
        <v>8</v>
      </c>
      <c r="B3498" s="2">
        <v>44721.0</v>
      </c>
      <c r="C3498" s="3">
        <v>0.5444097222222222</v>
      </c>
      <c r="D3498" s="1">
        <v>12.882409</v>
      </c>
      <c r="E3498" s="1">
        <v>80.081574</v>
      </c>
      <c r="F3498" s="1">
        <v>3143.0</v>
      </c>
      <c r="G3498" s="1">
        <v>47.0</v>
      </c>
    </row>
    <row r="3499">
      <c r="A3499" s="1" t="s">
        <v>8</v>
      </c>
      <c r="B3499" s="2">
        <v>44721.0</v>
      </c>
      <c r="C3499" s="3">
        <v>0.6895949074074074</v>
      </c>
      <c r="D3499" s="1">
        <v>12.878298</v>
      </c>
      <c r="E3499" s="1">
        <v>80.082481</v>
      </c>
      <c r="F3499" s="1">
        <v>805.0</v>
      </c>
      <c r="G3499" s="1">
        <v>47.0</v>
      </c>
    </row>
    <row r="3500">
      <c r="A3500" s="1" t="s">
        <v>8</v>
      </c>
      <c r="B3500" s="2">
        <v>44721.0</v>
      </c>
      <c r="C3500" s="3">
        <v>0.6919675925925926</v>
      </c>
      <c r="D3500" s="1">
        <v>12.881284</v>
      </c>
      <c r="E3500" s="1">
        <v>80.080627</v>
      </c>
      <c r="F3500" s="1">
        <v>805.0</v>
      </c>
      <c r="G3500" s="1">
        <v>13.0</v>
      </c>
    </row>
    <row r="3501">
      <c r="A3501" s="1" t="s">
        <v>8</v>
      </c>
      <c r="B3501" s="2">
        <v>44721.0</v>
      </c>
      <c r="C3501" s="3">
        <v>0.6927199074074074</v>
      </c>
      <c r="D3501" s="1">
        <v>12.888848</v>
      </c>
      <c r="E3501" s="1">
        <v>80.08399</v>
      </c>
      <c r="F3501" s="1">
        <v>805.0</v>
      </c>
      <c r="G3501" s="1">
        <v>50.0</v>
      </c>
    </row>
    <row r="3502">
      <c r="A3502" s="1" t="s">
        <v>8</v>
      </c>
      <c r="B3502" s="2">
        <v>44721.0</v>
      </c>
      <c r="C3502" s="3">
        <v>0.6930092592592593</v>
      </c>
      <c r="D3502" s="1">
        <v>12.89097</v>
      </c>
      <c r="E3502" s="1">
        <v>80.084912</v>
      </c>
      <c r="F3502" s="1">
        <v>805.0</v>
      </c>
      <c r="G3502" s="1">
        <v>43.0</v>
      </c>
    </row>
    <row r="3503">
      <c r="A3503" s="1" t="s">
        <v>8</v>
      </c>
      <c r="B3503" s="2">
        <v>44721.0</v>
      </c>
      <c r="C3503" s="3">
        <v>0.6930787037037037</v>
      </c>
      <c r="D3503" s="1">
        <v>12.891962</v>
      </c>
      <c r="E3503" s="1">
        <v>80.085402</v>
      </c>
      <c r="F3503" s="1">
        <v>805.0</v>
      </c>
      <c r="G3503" s="1">
        <v>45.0</v>
      </c>
    </row>
    <row r="3504">
      <c r="A3504" s="1" t="s">
        <v>8</v>
      </c>
      <c r="B3504" s="2">
        <v>44721.0</v>
      </c>
      <c r="C3504" s="3">
        <v>0.6932754629629629</v>
      </c>
      <c r="D3504" s="1">
        <v>12.884941</v>
      </c>
      <c r="E3504" s="1">
        <v>80.082103</v>
      </c>
      <c r="F3504" s="1">
        <v>2846.0</v>
      </c>
      <c r="G3504" s="1">
        <v>28.0</v>
      </c>
    </row>
    <row r="3505">
      <c r="A3505" s="1" t="s">
        <v>8</v>
      </c>
      <c r="B3505" s="2">
        <v>44721.0</v>
      </c>
      <c r="C3505" s="3">
        <v>0.6933333333333334</v>
      </c>
      <c r="D3505" s="1">
        <v>12.893744</v>
      </c>
      <c r="E3505" s="1">
        <v>80.086675</v>
      </c>
      <c r="F3505" s="1">
        <v>805.0</v>
      </c>
      <c r="G3505" s="1">
        <v>46.0</v>
      </c>
    </row>
    <row r="3506">
      <c r="A3506" s="1" t="s">
        <v>8</v>
      </c>
      <c r="B3506" s="2">
        <v>44721.0</v>
      </c>
      <c r="C3506" s="3">
        <v>0.6934259259259259</v>
      </c>
      <c r="D3506" s="1">
        <v>12.894811</v>
      </c>
      <c r="E3506" s="1">
        <v>80.087446</v>
      </c>
      <c r="F3506" s="1">
        <v>805.0</v>
      </c>
      <c r="G3506" s="1">
        <v>53.0</v>
      </c>
    </row>
    <row r="3507">
      <c r="A3507" s="1" t="s">
        <v>8</v>
      </c>
      <c r="B3507" s="2">
        <v>44721.0</v>
      </c>
      <c r="C3507" s="3">
        <v>0.6935763888888888</v>
      </c>
      <c r="D3507" s="1">
        <v>12.895665</v>
      </c>
      <c r="E3507" s="1">
        <v>80.088098</v>
      </c>
      <c r="F3507" s="1">
        <v>805.0</v>
      </c>
      <c r="G3507" s="1">
        <v>34.0</v>
      </c>
    </row>
    <row r="3508">
      <c r="A3508" s="1" t="s">
        <v>7</v>
      </c>
      <c r="B3508" s="2">
        <v>44721.0</v>
      </c>
      <c r="C3508" s="3">
        <v>0.6937731481481482</v>
      </c>
      <c r="D3508" s="1">
        <v>12.890036</v>
      </c>
      <c r="E3508" s="1">
        <v>80.084496</v>
      </c>
      <c r="F3508" s="1">
        <v>2846.0</v>
      </c>
      <c r="G3508" s="1">
        <v>58.0</v>
      </c>
    </row>
    <row r="3509">
      <c r="A3509" s="1" t="s">
        <v>8</v>
      </c>
      <c r="B3509" s="2">
        <v>44721.0</v>
      </c>
      <c r="C3509" s="3">
        <v>0.6941203703703703</v>
      </c>
      <c r="D3509" s="1">
        <v>12.893781</v>
      </c>
      <c r="E3509" s="1">
        <v>80.086715</v>
      </c>
      <c r="F3509" s="1">
        <v>2846.0</v>
      </c>
      <c r="G3509" s="1">
        <v>55.0</v>
      </c>
    </row>
    <row r="3510">
      <c r="A3510" s="1" t="s">
        <v>8</v>
      </c>
      <c r="B3510" s="2">
        <v>44721.0</v>
      </c>
      <c r="C3510" s="3">
        <v>0.6947916666666667</v>
      </c>
      <c r="D3510" s="1">
        <v>12.900333</v>
      </c>
      <c r="E3510" s="1">
        <v>80.09161</v>
      </c>
      <c r="F3510" s="1">
        <v>2846.0</v>
      </c>
      <c r="G3510" s="1">
        <v>58.0</v>
      </c>
    </row>
    <row r="3511">
      <c r="A3511" s="1" t="s">
        <v>8</v>
      </c>
      <c r="B3511" s="2">
        <v>44721.0</v>
      </c>
      <c r="C3511" s="3">
        <v>0.6956944444444444</v>
      </c>
      <c r="D3511" s="1">
        <v>12.905145</v>
      </c>
      <c r="E3511" s="1">
        <v>80.095184</v>
      </c>
      <c r="F3511" s="1">
        <v>2846.0</v>
      </c>
      <c r="G3511" s="1">
        <v>35.0</v>
      </c>
    </row>
    <row r="3512">
      <c r="A3512" s="1" t="s">
        <v>10</v>
      </c>
      <c r="B3512" s="2">
        <v>44721.0</v>
      </c>
      <c r="C3512" s="3">
        <v>0.6978472222222222</v>
      </c>
      <c r="D3512" s="1">
        <v>12.908931</v>
      </c>
      <c r="E3512" s="1">
        <v>80.09823</v>
      </c>
      <c r="F3512" s="1">
        <v>2846.0</v>
      </c>
      <c r="G3512" s="1">
        <v>12.0</v>
      </c>
    </row>
    <row r="3513">
      <c r="A3513" s="1" t="s">
        <v>7</v>
      </c>
      <c r="B3513" s="2">
        <v>44721.0</v>
      </c>
      <c r="C3513" s="3">
        <v>0.6981712962962963</v>
      </c>
      <c r="D3513" s="1">
        <v>12.915729</v>
      </c>
      <c r="E3513" s="1">
        <v>80.1041</v>
      </c>
      <c r="F3513" s="1">
        <v>805.0</v>
      </c>
      <c r="G3513" s="1">
        <v>54.0</v>
      </c>
    </row>
    <row r="3514">
      <c r="A3514" s="1" t="s">
        <v>8</v>
      </c>
      <c r="B3514" s="2">
        <v>44721.0</v>
      </c>
      <c r="C3514" s="3">
        <v>0.6982291666666667</v>
      </c>
      <c r="D3514" s="1">
        <v>12.909705</v>
      </c>
      <c r="E3514" s="1">
        <v>80.099476</v>
      </c>
      <c r="F3514" s="1">
        <v>2846.0</v>
      </c>
      <c r="G3514" s="1">
        <v>33.0</v>
      </c>
    </row>
    <row r="3515">
      <c r="A3515" s="1" t="s">
        <v>8</v>
      </c>
      <c r="B3515" s="2">
        <v>44721.0</v>
      </c>
      <c r="C3515" s="3">
        <v>0.6993287037037037</v>
      </c>
      <c r="D3515" s="1">
        <v>12.919168</v>
      </c>
      <c r="E3515" s="1">
        <v>80.109893</v>
      </c>
      <c r="F3515" s="1">
        <v>805.0</v>
      </c>
      <c r="G3515" s="1">
        <v>42.0</v>
      </c>
    </row>
    <row r="3516">
      <c r="A3516" s="1" t="s">
        <v>8</v>
      </c>
      <c r="B3516" s="2">
        <v>44721.0</v>
      </c>
      <c r="C3516" s="3">
        <v>0.6993981481481482</v>
      </c>
      <c r="D3516" s="1">
        <v>12.919168</v>
      </c>
      <c r="E3516" s="1">
        <v>80.109893</v>
      </c>
      <c r="F3516" s="1">
        <v>805.0</v>
      </c>
      <c r="G3516" s="1">
        <v>42.0</v>
      </c>
    </row>
    <row r="3517">
      <c r="A3517" s="1" t="s">
        <v>7</v>
      </c>
      <c r="B3517" s="2">
        <v>44721.0</v>
      </c>
      <c r="C3517" s="3">
        <v>0.6994560185185185</v>
      </c>
      <c r="D3517" s="1">
        <v>12.920178</v>
      </c>
      <c r="E3517" s="1">
        <v>80.111148</v>
      </c>
      <c r="F3517" s="1">
        <v>805.0</v>
      </c>
      <c r="G3517" s="1">
        <v>51.0</v>
      </c>
    </row>
    <row r="3518">
      <c r="A3518" s="1" t="s">
        <v>8</v>
      </c>
      <c r="B3518" s="2">
        <v>44721.0</v>
      </c>
      <c r="C3518" s="3">
        <v>0.6994907407407407</v>
      </c>
      <c r="D3518" s="1">
        <v>12.920178</v>
      </c>
      <c r="E3518" s="1">
        <v>80.111148</v>
      </c>
      <c r="F3518" s="1">
        <v>805.0</v>
      </c>
      <c r="G3518" s="1">
        <v>51.0</v>
      </c>
    </row>
    <row r="3519">
      <c r="A3519" s="1" t="s">
        <v>7</v>
      </c>
      <c r="B3519" s="2">
        <v>44721.0</v>
      </c>
      <c r="C3519" s="3">
        <v>0.6996412037037038</v>
      </c>
      <c r="D3519" s="1">
        <v>12.921629</v>
      </c>
      <c r="E3519" s="1">
        <v>80.112692</v>
      </c>
      <c r="F3519" s="1">
        <v>805.0</v>
      </c>
      <c r="G3519" s="1">
        <v>55.0</v>
      </c>
    </row>
    <row r="3520">
      <c r="A3520" s="1" t="s">
        <v>8</v>
      </c>
      <c r="B3520" s="2">
        <v>44721.0</v>
      </c>
      <c r="C3520" s="3">
        <v>0.699837962962963</v>
      </c>
      <c r="D3520" s="1">
        <v>12.916956</v>
      </c>
      <c r="E3520" s="1">
        <v>80.106986</v>
      </c>
      <c r="F3520" s="1">
        <v>2846.0</v>
      </c>
      <c r="G3520" s="1">
        <v>23.0</v>
      </c>
    </row>
    <row r="3521">
      <c r="A3521" s="1" t="s">
        <v>8</v>
      </c>
      <c r="B3521" s="2">
        <v>44721.0</v>
      </c>
      <c r="C3521" s="3">
        <v>0.699837962962963</v>
      </c>
      <c r="D3521" s="1">
        <v>12.916956</v>
      </c>
      <c r="E3521" s="1">
        <v>80.106986</v>
      </c>
      <c r="F3521" s="1">
        <v>2846.0</v>
      </c>
      <c r="G3521" s="1">
        <v>23.0</v>
      </c>
    </row>
    <row r="3522">
      <c r="A3522" s="1" t="s">
        <v>8</v>
      </c>
      <c r="B3522" s="2">
        <v>44721.0</v>
      </c>
      <c r="C3522" s="3">
        <v>0.7002199074074074</v>
      </c>
      <c r="D3522" s="1">
        <v>12.923782</v>
      </c>
      <c r="E3522" s="1">
        <v>80.114799</v>
      </c>
      <c r="F3522" s="1">
        <v>805.0</v>
      </c>
      <c r="G3522" s="1">
        <v>31.0</v>
      </c>
    </row>
    <row r="3523">
      <c r="A3523" s="1" t="s">
        <v>8</v>
      </c>
      <c r="B3523" s="2">
        <v>44721.0</v>
      </c>
      <c r="C3523" s="3">
        <v>0.7002777777777778</v>
      </c>
      <c r="D3523" s="1">
        <v>12.923782</v>
      </c>
      <c r="E3523" s="1">
        <v>80.114799</v>
      </c>
      <c r="F3523" s="1">
        <v>805.0</v>
      </c>
      <c r="G3523" s="1">
        <v>31.0</v>
      </c>
    </row>
    <row r="3524">
      <c r="A3524" s="1" t="s">
        <v>8</v>
      </c>
      <c r="B3524" s="2">
        <v>44721.0</v>
      </c>
      <c r="C3524" s="3">
        <v>0.703738425925926</v>
      </c>
      <c r="D3524" s="1">
        <v>12.931436</v>
      </c>
      <c r="E3524" s="1">
        <v>80.122516</v>
      </c>
      <c r="F3524" s="1">
        <v>805.0</v>
      </c>
      <c r="G3524" s="1">
        <v>16.0</v>
      </c>
    </row>
    <row r="3525">
      <c r="A3525" s="1" t="s">
        <v>9</v>
      </c>
      <c r="B3525" s="2">
        <v>44721.0</v>
      </c>
      <c r="C3525" s="3">
        <v>0.7038541666666667</v>
      </c>
      <c r="D3525" s="1">
        <v>12.923314</v>
      </c>
      <c r="E3525" s="1">
        <v>80.120134</v>
      </c>
      <c r="F3525" s="1">
        <v>2846.0</v>
      </c>
      <c r="G3525" s="1">
        <v>15.0</v>
      </c>
    </row>
    <row r="3526">
      <c r="A3526" s="1" t="s">
        <v>9</v>
      </c>
      <c r="B3526" s="2">
        <v>44721.0</v>
      </c>
      <c r="C3526" s="3">
        <v>0.7038888888888889</v>
      </c>
      <c r="D3526" s="1">
        <v>12.923258</v>
      </c>
      <c r="E3526" s="1">
        <v>80.120867</v>
      </c>
      <c r="F3526" s="1">
        <v>2846.0</v>
      </c>
      <c r="G3526" s="1">
        <v>23.0</v>
      </c>
    </row>
    <row r="3527">
      <c r="A3527" s="1" t="s">
        <v>8</v>
      </c>
      <c r="B3527" s="2">
        <v>44721.0</v>
      </c>
      <c r="C3527" s="3">
        <v>0.7041550925925926</v>
      </c>
      <c r="D3527" s="1">
        <v>12.932812</v>
      </c>
      <c r="E3527" s="1">
        <v>80.123881</v>
      </c>
      <c r="F3527" s="1">
        <v>805.0</v>
      </c>
      <c r="G3527" s="1">
        <v>40.0</v>
      </c>
    </row>
    <row r="3528">
      <c r="A3528" s="1" t="s">
        <v>8</v>
      </c>
      <c r="B3528" s="2">
        <v>44721.0</v>
      </c>
      <c r="C3528" s="3">
        <v>0.7042592592592593</v>
      </c>
      <c r="D3528" s="1">
        <v>12.923111</v>
      </c>
      <c r="E3528" s="1">
        <v>80.123753</v>
      </c>
      <c r="F3528" s="1">
        <v>2846.0</v>
      </c>
      <c r="G3528" s="1">
        <v>33.0</v>
      </c>
    </row>
    <row r="3529">
      <c r="A3529" s="1" t="s">
        <v>8</v>
      </c>
      <c r="B3529" s="2">
        <v>44721.0</v>
      </c>
      <c r="C3529" s="3">
        <v>0.7042592592592593</v>
      </c>
      <c r="D3529" s="1">
        <v>12.923111</v>
      </c>
      <c r="E3529" s="1">
        <v>80.123753</v>
      </c>
      <c r="F3529" s="1">
        <v>2846.0</v>
      </c>
      <c r="G3529" s="1">
        <v>33.0</v>
      </c>
    </row>
    <row r="3530">
      <c r="A3530" s="1" t="s">
        <v>8</v>
      </c>
      <c r="B3530" s="2">
        <v>44721.0</v>
      </c>
      <c r="C3530" s="3">
        <v>0.7043055555555555</v>
      </c>
      <c r="D3530" s="1">
        <v>12.923111</v>
      </c>
      <c r="E3530" s="1">
        <v>80.123753</v>
      </c>
      <c r="F3530" s="1">
        <v>2846.0</v>
      </c>
      <c r="G3530" s="1">
        <v>33.0</v>
      </c>
    </row>
    <row r="3531">
      <c r="A3531" s="1" t="s">
        <v>8</v>
      </c>
      <c r="B3531" s="2">
        <v>44721.0</v>
      </c>
      <c r="C3531" s="3">
        <v>0.7043055555555555</v>
      </c>
      <c r="D3531" s="1">
        <v>12.923111</v>
      </c>
      <c r="E3531" s="1">
        <v>80.123753</v>
      </c>
      <c r="F3531" s="1">
        <v>2846.0</v>
      </c>
      <c r="G3531" s="1">
        <v>33.0</v>
      </c>
    </row>
    <row r="3532">
      <c r="A3532" s="1" t="s">
        <v>8</v>
      </c>
      <c r="B3532" s="2">
        <v>44721.0</v>
      </c>
      <c r="C3532" s="3">
        <v>0.7043055555555555</v>
      </c>
      <c r="D3532" s="1">
        <v>12.923111</v>
      </c>
      <c r="E3532" s="1">
        <v>80.123753</v>
      </c>
      <c r="F3532" s="1">
        <v>2846.0</v>
      </c>
      <c r="G3532" s="1">
        <v>33.0</v>
      </c>
    </row>
    <row r="3533">
      <c r="A3533" s="1" t="s">
        <v>8</v>
      </c>
      <c r="B3533" s="2">
        <v>44721.0</v>
      </c>
      <c r="C3533" s="3">
        <v>0.7043055555555555</v>
      </c>
      <c r="D3533" s="1">
        <v>12.923111</v>
      </c>
      <c r="E3533" s="1">
        <v>80.123753</v>
      </c>
      <c r="F3533" s="1">
        <v>2846.0</v>
      </c>
      <c r="G3533" s="1">
        <v>33.0</v>
      </c>
    </row>
    <row r="3534">
      <c r="A3534" s="1" t="s">
        <v>8</v>
      </c>
      <c r="B3534" s="2">
        <v>44721.0</v>
      </c>
      <c r="C3534" s="3">
        <v>0.7043518518518519</v>
      </c>
      <c r="D3534" s="1">
        <v>12.93417</v>
      </c>
      <c r="E3534" s="1">
        <v>80.125232</v>
      </c>
      <c r="F3534" s="1">
        <v>805.0</v>
      </c>
      <c r="G3534" s="1">
        <v>52.0</v>
      </c>
    </row>
    <row r="3535">
      <c r="A3535" s="1" t="s">
        <v>8</v>
      </c>
      <c r="B3535" s="2">
        <v>44721.0</v>
      </c>
      <c r="C3535" s="3">
        <v>0.7044097222222222</v>
      </c>
      <c r="D3535" s="1">
        <v>12.935582</v>
      </c>
      <c r="E3535" s="1">
        <v>80.126503</v>
      </c>
      <c r="F3535" s="1">
        <v>805.0</v>
      </c>
      <c r="G3535" s="1">
        <v>46.0</v>
      </c>
    </row>
    <row r="3536">
      <c r="A3536" s="1" t="s">
        <v>8</v>
      </c>
      <c r="B3536" s="2">
        <v>44721.0</v>
      </c>
      <c r="C3536" s="3">
        <v>0.7045138888888889</v>
      </c>
      <c r="D3536" s="1">
        <v>12.935582</v>
      </c>
      <c r="E3536" s="1">
        <v>80.126503</v>
      </c>
      <c r="F3536" s="1">
        <v>805.0</v>
      </c>
      <c r="G3536" s="1">
        <v>46.0</v>
      </c>
    </row>
    <row r="3537">
      <c r="A3537" s="1" t="s">
        <v>8</v>
      </c>
      <c r="B3537" s="2">
        <v>44721.0</v>
      </c>
      <c r="C3537" s="3">
        <v>0.7045717592592593</v>
      </c>
      <c r="D3537" s="1">
        <v>12.935582</v>
      </c>
      <c r="E3537" s="1">
        <v>80.126503</v>
      </c>
      <c r="F3537" s="1">
        <v>805.0</v>
      </c>
      <c r="G3537" s="1">
        <v>46.0</v>
      </c>
    </row>
    <row r="3538">
      <c r="A3538" s="1" t="s">
        <v>7</v>
      </c>
      <c r="B3538" s="2">
        <v>44721.0</v>
      </c>
      <c r="C3538" s="3">
        <v>0.7055902777777778</v>
      </c>
      <c r="D3538" s="1">
        <v>12.942537</v>
      </c>
      <c r="E3538" s="1">
        <v>80.13295</v>
      </c>
      <c r="F3538" s="1">
        <v>805.0</v>
      </c>
      <c r="G3538" s="1">
        <v>14.0</v>
      </c>
    </row>
    <row r="3539">
      <c r="A3539" s="1" t="s">
        <v>7</v>
      </c>
      <c r="B3539" s="2">
        <v>44721.0</v>
      </c>
      <c r="C3539" s="3">
        <v>0.7057175925925926</v>
      </c>
      <c r="D3539" s="1">
        <v>12.943181</v>
      </c>
      <c r="E3539" s="1">
        <v>80.133698</v>
      </c>
      <c r="F3539" s="1">
        <v>805.0</v>
      </c>
      <c r="G3539" s="1">
        <v>40.0</v>
      </c>
    </row>
    <row r="3540">
      <c r="A3540" s="1" t="s">
        <v>7</v>
      </c>
      <c r="B3540" s="2">
        <v>44721.0</v>
      </c>
      <c r="C3540" s="3">
        <v>0.7059606481481482</v>
      </c>
      <c r="D3540" s="1">
        <v>12.94468</v>
      </c>
      <c r="E3540" s="1">
        <v>80.135019</v>
      </c>
      <c r="F3540" s="1">
        <v>805.0</v>
      </c>
      <c r="G3540" s="1">
        <v>61.0</v>
      </c>
    </row>
    <row r="3541">
      <c r="A3541" s="1" t="s">
        <v>8</v>
      </c>
      <c r="B3541" s="2">
        <v>44721.0</v>
      </c>
      <c r="C3541" s="3">
        <v>0.7065277777777778</v>
      </c>
      <c r="D3541" s="1">
        <v>12.950342</v>
      </c>
      <c r="E3541" s="1">
        <v>80.139354</v>
      </c>
      <c r="F3541" s="1">
        <v>805.0</v>
      </c>
      <c r="G3541" s="1">
        <v>0.0</v>
      </c>
    </row>
    <row r="3542">
      <c r="A3542" s="1" t="s">
        <v>7</v>
      </c>
      <c r="B3542" s="2">
        <v>44721.0</v>
      </c>
      <c r="C3542" s="3">
        <v>0.7068171296296296</v>
      </c>
      <c r="D3542" s="1">
        <v>12.950705</v>
      </c>
      <c r="E3542" s="1">
        <v>80.139634</v>
      </c>
      <c r="F3542" s="1">
        <v>805.0</v>
      </c>
      <c r="G3542" s="1">
        <v>29.0</v>
      </c>
    </row>
    <row r="3543">
      <c r="A3543" s="1" t="s">
        <v>8</v>
      </c>
      <c r="B3543" s="2">
        <v>44721.0</v>
      </c>
      <c r="C3543" s="3">
        <v>0.7068634259259259</v>
      </c>
      <c r="D3543" s="1">
        <v>12.922772</v>
      </c>
      <c r="E3543" s="1">
        <v>80.131376</v>
      </c>
      <c r="F3543" s="1">
        <v>2846.0</v>
      </c>
      <c r="G3543" s="1">
        <v>29.0</v>
      </c>
    </row>
    <row r="3544">
      <c r="A3544" s="1" t="s">
        <v>8</v>
      </c>
      <c r="B3544" s="2">
        <v>44721.0</v>
      </c>
      <c r="C3544" s="3">
        <v>0.7079861111111111</v>
      </c>
      <c r="D3544" s="1">
        <v>12.956093</v>
      </c>
      <c r="E3544" s="1">
        <v>80.142911</v>
      </c>
      <c r="F3544" s="1">
        <v>805.0</v>
      </c>
      <c r="G3544" s="1">
        <v>0.0</v>
      </c>
    </row>
    <row r="3545">
      <c r="A3545" s="1" t="s">
        <v>8</v>
      </c>
      <c r="B3545" s="2">
        <v>44721.0</v>
      </c>
      <c r="C3545" s="3">
        <v>0.708587962962963</v>
      </c>
      <c r="D3545" s="1">
        <v>12.922412</v>
      </c>
      <c r="E3545" s="1">
        <v>80.138814</v>
      </c>
      <c r="F3545" s="1">
        <v>2846.0</v>
      </c>
      <c r="G3545" s="1">
        <v>29.0</v>
      </c>
    </row>
    <row r="3546">
      <c r="A3546" s="1" t="s">
        <v>8</v>
      </c>
      <c r="B3546" s="2">
        <v>44721.0</v>
      </c>
      <c r="C3546" s="3">
        <v>0.708587962962963</v>
      </c>
      <c r="D3546" s="1">
        <v>12.958808</v>
      </c>
      <c r="E3546" s="1">
        <v>80.144324</v>
      </c>
      <c r="F3546" s="1">
        <v>805.0</v>
      </c>
      <c r="G3546" s="1">
        <v>45.0</v>
      </c>
    </row>
    <row r="3547">
      <c r="A3547" s="1" t="s">
        <v>8</v>
      </c>
      <c r="B3547" s="2">
        <v>44721.0</v>
      </c>
      <c r="C3547" s="3">
        <v>0.7088194444444444</v>
      </c>
      <c r="D3547" s="1">
        <v>12.92242</v>
      </c>
      <c r="E3547" s="1">
        <v>80.140074</v>
      </c>
      <c r="F3547" s="1">
        <v>2846.0</v>
      </c>
      <c r="G3547" s="1">
        <v>22.0</v>
      </c>
    </row>
    <row r="3548">
      <c r="A3548" s="1" t="s">
        <v>8</v>
      </c>
      <c r="B3548" s="2">
        <v>44721.0</v>
      </c>
      <c r="C3548" s="3">
        <v>0.7088194444444444</v>
      </c>
      <c r="D3548" s="1">
        <v>12.92242</v>
      </c>
      <c r="E3548" s="1">
        <v>80.140074</v>
      </c>
      <c r="F3548" s="1">
        <v>2846.0</v>
      </c>
      <c r="G3548" s="1">
        <v>22.0</v>
      </c>
    </row>
    <row r="3549">
      <c r="A3549" s="1" t="s">
        <v>8</v>
      </c>
      <c r="B3549" s="2">
        <v>44721.0</v>
      </c>
      <c r="C3549" s="3">
        <v>0.7089930555555556</v>
      </c>
      <c r="D3549" s="1">
        <v>12.9609</v>
      </c>
      <c r="E3549" s="1">
        <v>80.145439</v>
      </c>
      <c r="F3549" s="1">
        <v>805.0</v>
      </c>
      <c r="G3549" s="1">
        <v>33.0</v>
      </c>
    </row>
    <row r="3550">
      <c r="A3550" s="1" t="s">
        <v>7</v>
      </c>
      <c r="B3550" s="2">
        <v>44721.0</v>
      </c>
      <c r="C3550" s="3">
        <v>0.709224537037037</v>
      </c>
      <c r="D3550" s="1">
        <v>12.962483</v>
      </c>
      <c r="E3550" s="1">
        <v>80.146292</v>
      </c>
      <c r="F3550" s="1">
        <v>805.0</v>
      </c>
      <c r="G3550" s="1">
        <v>41.0</v>
      </c>
    </row>
    <row r="3551">
      <c r="A3551" s="1" t="s">
        <v>7</v>
      </c>
      <c r="B3551" s="2">
        <v>44721.0</v>
      </c>
      <c r="C3551" s="3">
        <v>0.709375</v>
      </c>
      <c r="D3551" s="1">
        <v>12.962483</v>
      </c>
      <c r="E3551" s="1">
        <v>80.146292</v>
      </c>
      <c r="F3551" s="1">
        <v>805.0</v>
      </c>
      <c r="G3551" s="1">
        <v>41.0</v>
      </c>
    </row>
    <row r="3552">
      <c r="A3552" s="1" t="s">
        <v>8</v>
      </c>
      <c r="B3552" s="2">
        <v>44721.0</v>
      </c>
      <c r="C3552" s="3">
        <v>0.7100115740740741</v>
      </c>
      <c r="D3552" s="1">
        <v>12.971619</v>
      </c>
      <c r="E3552" s="1">
        <v>80.151081</v>
      </c>
      <c r="F3552" s="1">
        <v>805.0</v>
      </c>
      <c r="G3552" s="1">
        <v>58.0</v>
      </c>
    </row>
    <row r="3553">
      <c r="A3553" s="1" t="s">
        <v>10</v>
      </c>
      <c r="B3553" s="2">
        <v>44721.0</v>
      </c>
      <c r="C3553" s="3">
        <v>0.7101736111111111</v>
      </c>
      <c r="D3553" s="1">
        <v>12.922693</v>
      </c>
      <c r="E3553" s="1">
        <v>80.147729</v>
      </c>
      <c r="F3553" s="1">
        <v>2846.0</v>
      </c>
      <c r="G3553" s="1">
        <v>3.0</v>
      </c>
    </row>
    <row r="3554">
      <c r="A3554" s="1" t="s">
        <v>8</v>
      </c>
      <c r="B3554" s="2">
        <v>44721.0</v>
      </c>
      <c r="C3554" s="3">
        <v>0.7102430555555556</v>
      </c>
      <c r="D3554" s="1">
        <v>12.973179</v>
      </c>
      <c r="E3554" s="1">
        <v>80.152819</v>
      </c>
      <c r="F3554" s="1">
        <v>805.0</v>
      </c>
      <c r="G3554" s="1">
        <v>58.0</v>
      </c>
    </row>
    <row r="3555">
      <c r="A3555" s="1" t="s">
        <v>10</v>
      </c>
      <c r="B3555" s="2">
        <v>44721.0</v>
      </c>
      <c r="C3555" s="3">
        <v>0.7102662037037037</v>
      </c>
      <c r="D3555" s="1">
        <v>12.92266</v>
      </c>
      <c r="E3555" s="1">
        <v>80.14852</v>
      </c>
      <c r="F3555" s="1">
        <v>2846.0</v>
      </c>
      <c r="G3555" s="1">
        <v>33.0</v>
      </c>
    </row>
    <row r="3556">
      <c r="A3556" s="1" t="s">
        <v>8</v>
      </c>
      <c r="B3556" s="2">
        <v>44721.0</v>
      </c>
      <c r="C3556" s="3">
        <v>0.7104282407407407</v>
      </c>
      <c r="D3556" s="1">
        <v>12.922708</v>
      </c>
      <c r="E3556" s="1">
        <v>80.15024</v>
      </c>
      <c r="F3556" s="1">
        <v>2846.0</v>
      </c>
      <c r="G3556" s="1">
        <v>48.0</v>
      </c>
    </row>
    <row r="3557">
      <c r="A3557" s="1" t="s">
        <v>8</v>
      </c>
      <c r="B3557" s="2">
        <v>44721.0</v>
      </c>
      <c r="C3557" s="3">
        <v>0.7104398148148148</v>
      </c>
      <c r="D3557" s="1">
        <v>12.922708</v>
      </c>
      <c r="E3557" s="1">
        <v>80.15024</v>
      </c>
      <c r="F3557" s="1">
        <v>2846.0</v>
      </c>
      <c r="G3557" s="1">
        <v>48.0</v>
      </c>
    </row>
    <row r="3558">
      <c r="A3558" s="1" t="s">
        <v>8</v>
      </c>
      <c r="B3558" s="2">
        <v>44721.0</v>
      </c>
      <c r="C3558" s="3">
        <v>0.710462962962963</v>
      </c>
      <c r="D3558" s="1">
        <v>12.922708</v>
      </c>
      <c r="E3558" s="1">
        <v>80.15024</v>
      </c>
      <c r="F3558" s="1">
        <v>2846.0</v>
      </c>
      <c r="G3558" s="1">
        <v>48.0</v>
      </c>
    </row>
    <row r="3559">
      <c r="A3559" s="1" t="s">
        <v>8</v>
      </c>
      <c r="B3559" s="2">
        <v>44721.0</v>
      </c>
      <c r="C3559" s="3">
        <v>0.7105324074074074</v>
      </c>
      <c r="D3559" s="1">
        <v>12.974522</v>
      </c>
      <c r="E3559" s="1">
        <v>80.154829</v>
      </c>
      <c r="F3559" s="1">
        <v>805.0</v>
      </c>
      <c r="G3559" s="1">
        <v>60.0</v>
      </c>
    </row>
    <row r="3560">
      <c r="A3560" s="1" t="s">
        <v>8</v>
      </c>
      <c r="B3560" s="2">
        <v>44721.0</v>
      </c>
      <c r="C3560" s="3">
        <v>0.7105902777777777</v>
      </c>
      <c r="D3560" s="1">
        <v>12.975898</v>
      </c>
      <c r="E3560" s="1">
        <v>80.156779</v>
      </c>
      <c r="F3560" s="1">
        <v>805.0</v>
      </c>
      <c r="G3560" s="1">
        <v>58.0</v>
      </c>
    </row>
    <row r="3561">
      <c r="A3561" s="1" t="s">
        <v>8</v>
      </c>
      <c r="B3561" s="2">
        <v>44721.0</v>
      </c>
      <c r="C3561" s="3">
        <v>0.710625</v>
      </c>
      <c r="D3561" s="1">
        <v>12.975898</v>
      </c>
      <c r="E3561" s="1">
        <v>80.156779</v>
      </c>
      <c r="F3561" s="1">
        <v>805.0</v>
      </c>
      <c r="G3561" s="1">
        <v>58.0</v>
      </c>
    </row>
    <row r="3562">
      <c r="A3562" s="1" t="s">
        <v>8</v>
      </c>
      <c r="B3562" s="2">
        <v>44721.0</v>
      </c>
      <c r="C3562" s="3">
        <v>0.7107175925925926</v>
      </c>
      <c r="D3562" s="1">
        <v>12.975898</v>
      </c>
      <c r="E3562" s="1">
        <v>80.156779</v>
      </c>
      <c r="F3562" s="1">
        <v>805.0</v>
      </c>
      <c r="G3562" s="1">
        <v>58.0</v>
      </c>
    </row>
    <row r="3563">
      <c r="A3563" s="1" t="s">
        <v>8</v>
      </c>
      <c r="B3563" s="2">
        <v>44721.0</v>
      </c>
      <c r="C3563" s="3">
        <v>0.7107523148148148</v>
      </c>
      <c r="D3563" s="1">
        <v>12.975898</v>
      </c>
      <c r="E3563" s="1">
        <v>80.156779</v>
      </c>
      <c r="F3563" s="1">
        <v>805.0</v>
      </c>
      <c r="G3563" s="1">
        <v>58.0</v>
      </c>
    </row>
    <row r="3564">
      <c r="A3564" s="1" t="s">
        <v>7</v>
      </c>
      <c r="B3564" s="2">
        <v>44721.0</v>
      </c>
      <c r="C3564" s="3">
        <v>0.710949074074074</v>
      </c>
      <c r="D3564" s="1">
        <v>12.977103</v>
      </c>
      <c r="E3564" s="1">
        <v>80.158617</v>
      </c>
      <c r="F3564" s="1">
        <v>805.0</v>
      </c>
      <c r="G3564" s="1">
        <v>52.0</v>
      </c>
    </row>
    <row r="3565">
      <c r="A3565" s="1" t="s">
        <v>8</v>
      </c>
      <c r="B3565" s="2">
        <v>44721.0</v>
      </c>
      <c r="C3565" s="3">
        <v>0.711087962962963</v>
      </c>
      <c r="D3565" s="1">
        <v>12.923059</v>
      </c>
      <c r="E3565" s="1">
        <v>80.15329</v>
      </c>
      <c r="F3565" s="1">
        <v>2846.0</v>
      </c>
      <c r="G3565" s="1">
        <v>37.0</v>
      </c>
    </row>
    <row r="3566">
      <c r="A3566" s="1" t="s">
        <v>8</v>
      </c>
      <c r="B3566" s="2">
        <v>44721.0</v>
      </c>
      <c r="C3566" s="3">
        <v>0.7112731481481481</v>
      </c>
      <c r="D3566" s="1">
        <v>12.923373</v>
      </c>
      <c r="E3566" s="1">
        <v>80.154532</v>
      </c>
      <c r="F3566" s="1">
        <v>2846.0</v>
      </c>
      <c r="G3566" s="1">
        <v>7.0</v>
      </c>
    </row>
    <row r="3567">
      <c r="A3567" s="1" t="s">
        <v>7</v>
      </c>
      <c r="B3567" s="2">
        <v>44721.0</v>
      </c>
      <c r="C3567" s="3">
        <v>0.7113773148148148</v>
      </c>
      <c r="D3567" s="1">
        <v>12.980453</v>
      </c>
      <c r="E3567" s="1">
        <v>80.16463</v>
      </c>
      <c r="F3567" s="1">
        <v>805.0</v>
      </c>
      <c r="G3567" s="1">
        <v>57.0</v>
      </c>
    </row>
    <row r="3568">
      <c r="A3568" s="1" t="s">
        <v>8</v>
      </c>
      <c r="B3568" s="2">
        <v>44721.0</v>
      </c>
      <c r="C3568" s="3">
        <v>0.7117129629629629</v>
      </c>
      <c r="D3568" s="1">
        <v>12.982775</v>
      </c>
      <c r="E3568" s="1">
        <v>80.16877</v>
      </c>
      <c r="F3568" s="1">
        <v>805.0</v>
      </c>
      <c r="G3568" s="1">
        <v>58.0</v>
      </c>
    </row>
    <row r="3569">
      <c r="A3569" s="1" t="s">
        <v>8</v>
      </c>
      <c r="B3569" s="2">
        <v>44721.0</v>
      </c>
      <c r="C3569" s="3">
        <v>0.7118402777777778</v>
      </c>
      <c r="D3569" s="1">
        <v>12.982775</v>
      </c>
      <c r="E3569" s="1">
        <v>80.16877</v>
      </c>
      <c r="F3569" s="1">
        <v>805.0</v>
      </c>
      <c r="G3569" s="1">
        <v>58.0</v>
      </c>
    </row>
    <row r="3570">
      <c r="A3570" s="1" t="s">
        <v>8</v>
      </c>
      <c r="B3570" s="2">
        <v>44721.0</v>
      </c>
      <c r="C3570" s="3">
        <v>0.7124421296296296</v>
      </c>
      <c r="D3570" s="1">
        <v>12.987284</v>
      </c>
      <c r="E3570" s="1">
        <v>80.175804</v>
      </c>
      <c r="F3570" s="1">
        <v>805.0</v>
      </c>
      <c r="G3570" s="1">
        <v>35.0</v>
      </c>
    </row>
    <row r="3571">
      <c r="A3571" s="1" t="s">
        <v>8</v>
      </c>
      <c r="B3571" s="2">
        <v>44721.0</v>
      </c>
      <c r="C3571" s="3">
        <v>0.7126157407407407</v>
      </c>
      <c r="D3571" s="1">
        <v>12.921878</v>
      </c>
      <c r="E3571" s="1">
        <v>80.16462</v>
      </c>
      <c r="F3571" s="1">
        <v>2846.0</v>
      </c>
      <c r="G3571" s="1">
        <v>42.0</v>
      </c>
    </row>
    <row r="3572">
      <c r="A3572" s="1" t="s">
        <v>8</v>
      </c>
      <c r="B3572" s="2">
        <v>44721.0</v>
      </c>
      <c r="C3572" s="3">
        <v>0.7128587962962963</v>
      </c>
      <c r="D3572" s="1">
        <v>12.920921</v>
      </c>
      <c r="E3572" s="1">
        <v>80.16773</v>
      </c>
      <c r="F3572" s="1">
        <v>2846.0</v>
      </c>
      <c r="G3572" s="1">
        <v>19.0</v>
      </c>
    </row>
    <row r="3573">
      <c r="A3573" s="1" t="s">
        <v>8</v>
      </c>
      <c r="B3573" s="2">
        <v>44721.0</v>
      </c>
      <c r="C3573" s="3">
        <v>0.7128819444444444</v>
      </c>
      <c r="D3573" s="1">
        <v>12.920921</v>
      </c>
      <c r="E3573" s="1">
        <v>80.16773</v>
      </c>
      <c r="F3573" s="1">
        <v>2846.0</v>
      </c>
      <c r="G3573" s="1">
        <v>19.0</v>
      </c>
    </row>
    <row r="3574">
      <c r="A3574" s="1" t="s">
        <v>8</v>
      </c>
      <c r="B3574" s="2">
        <v>44721.0</v>
      </c>
      <c r="C3574" s="3">
        <v>0.7128935185185186</v>
      </c>
      <c r="D3574" s="1">
        <v>12.920921</v>
      </c>
      <c r="E3574" s="1">
        <v>80.16773</v>
      </c>
      <c r="F3574" s="1">
        <v>2846.0</v>
      </c>
      <c r="G3574" s="1">
        <v>19.0</v>
      </c>
    </row>
    <row r="3575">
      <c r="A3575" s="1" t="s">
        <v>8</v>
      </c>
      <c r="B3575" s="2">
        <v>44721.0</v>
      </c>
      <c r="C3575" s="3">
        <v>0.7129745370370371</v>
      </c>
      <c r="D3575" s="1">
        <v>12.988168</v>
      </c>
      <c r="E3575" s="1">
        <v>80.177135</v>
      </c>
      <c r="F3575" s="1">
        <v>805.0</v>
      </c>
      <c r="G3575" s="1">
        <v>37.0</v>
      </c>
    </row>
    <row r="3576">
      <c r="A3576" s="1" t="s">
        <v>7</v>
      </c>
      <c r="B3576" s="2">
        <v>44721.0</v>
      </c>
      <c r="C3576" s="3">
        <v>0.7133101851851852</v>
      </c>
      <c r="D3576" s="1">
        <v>12.98953</v>
      </c>
      <c r="E3576" s="1">
        <v>80.178746</v>
      </c>
      <c r="F3576" s="1">
        <v>805.0</v>
      </c>
      <c r="G3576" s="1">
        <v>10.0</v>
      </c>
    </row>
    <row r="3577">
      <c r="A3577" s="1" t="s">
        <v>8</v>
      </c>
      <c r="B3577" s="2">
        <v>44721.0</v>
      </c>
      <c r="C3577" s="3">
        <v>0.7134375</v>
      </c>
      <c r="D3577" s="1">
        <v>12.98953</v>
      </c>
      <c r="E3577" s="1">
        <v>80.178746</v>
      </c>
      <c r="F3577" s="1">
        <v>805.0</v>
      </c>
      <c r="G3577" s="1">
        <v>10.0</v>
      </c>
    </row>
    <row r="3578">
      <c r="A3578" s="1" t="s">
        <v>8</v>
      </c>
      <c r="B3578" s="2">
        <v>44721.0</v>
      </c>
      <c r="C3578" s="3">
        <v>0.7138425925925926</v>
      </c>
      <c r="D3578" s="1">
        <v>12.918967</v>
      </c>
      <c r="E3578" s="1">
        <v>80.174336</v>
      </c>
      <c r="F3578" s="1">
        <v>2846.0</v>
      </c>
      <c r="G3578" s="1">
        <v>46.0</v>
      </c>
    </row>
    <row r="3579">
      <c r="A3579" s="1" t="s">
        <v>8</v>
      </c>
      <c r="B3579" s="2">
        <v>44721.0</v>
      </c>
      <c r="C3579" s="3">
        <v>0.7139583333333334</v>
      </c>
      <c r="D3579" s="1">
        <v>12.993605</v>
      </c>
      <c r="E3579" s="1">
        <v>80.184572</v>
      </c>
      <c r="F3579" s="1">
        <v>805.0</v>
      </c>
      <c r="G3579" s="1">
        <v>18.0</v>
      </c>
    </row>
    <row r="3580">
      <c r="A3580" s="1" t="s">
        <v>8</v>
      </c>
      <c r="B3580" s="2">
        <v>44721.0</v>
      </c>
      <c r="C3580" s="3">
        <v>0.7140277777777778</v>
      </c>
      <c r="D3580" s="1">
        <v>12.918532</v>
      </c>
      <c r="E3580" s="1">
        <v>80.176115</v>
      </c>
      <c r="F3580" s="1">
        <v>2846.0</v>
      </c>
      <c r="G3580" s="1">
        <v>37.0</v>
      </c>
    </row>
    <row r="3581">
      <c r="A3581" s="1" t="s">
        <v>8</v>
      </c>
      <c r="B3581" s="2">
        <v>44721.0</v>
      </c>
      <c r="C3581" s="3">
        <v>0.7140972222222223</v>
      </c>
      <c r="D3581" s="1">
        <v>12.993605</v>
      </c>
      <c r="E3581" s="1">
        <v>80.184572</v>
      </c>
      <c r="F3581" s="1">
        <v>805.0</v>
      </c>
      <c r="G3581" s="1">
        <v>18.0</v>
      </c>
    </row>
    <row r="3582">
      <c r="A3582" s="1" t="s">
        <v>7</v>
      </c>
      <c r="B3582" s="2">
        <v>44721.0</v>
      </c>
      <c r="C3582" s="3">
        <v>0.714224537037037</v>
      </c>
      <c r="D3582" s="1">
        <v>12.993662</v>
      </c>
      <c r="E3582" s="1">
        <v>80.184679</v>
      </c>
      <c r="F3582" s="1">
        <v>805.0</v>
      </c>
      <c r="G3582" s="1">
        <v>0.0</v>
      </c>
    </row>
    <row r="3583">
      <c r="A3583" s="1" t="s">
        <v>8</v>
      </c>
      <c r="B3583" s="2">
        <v>44721.0</v>
      </c>
      <c r="C3583" s="3">
        <v>0.715474537037037</v>
      </c>
      <c r="D3583" s="1">
        <v>12.996276</v>
      </c>
      <c r="E3583" s="1">
        <v>80.189405</v>
      </c>
      <c r="F3583" s="1">
        <v>805.0</v>
      </c>
      <c r="G3583" s="1">
        <v>22.0</v>
      </c>
    </row>
    <row r="3584">
      <c r="A3584" s="1" t="s">
        <v>8</v>
      </c>
      <c r="B3584" s="2">
        <v>44721.0</v>
      </c>
      <c r="C3584" s="3">
        <v>0.7160763888888889</v>
      </c>
      <c r="D3584" s="1">
        <v>12.99992</v>
      </c>
      <c r="E3584" s="1">
        <v>80.193999</v>
      </c>
      <c r="F3584" s="1">
        <v>805.0</v>
      </c>
      <c r="G3584" s="1">
        <v>45.0</v>
      </c>
    </row>
    <row r="3585">
      <c r="A3585" s="1" t="s">
        <v>8</v>
      </c>
      <c r="B3585" s="2">
        <v>44721.0</v>
      </c>
      <c r="C3585" s="3">
        <v>0.7164351851851852</v>
      </c>
      <c r="D3585" s="1">
        <v>13.001103</v>
      </c>
      <c r="E3585" s="1">
        <v>80.195476</v>
      </c>
      <c r="F3585" s="1">
        <v>805.0</v>
      </c>
      <c r="G3585" s="1">
        <v>17.0</v>
      </c>
    </row>
    <row r="3586">
      <c r="A3586" s="1" t="s">
        <v>8</v>
      </c>
      <c r="B3586" s="2">
        <v>44721.0</v>
      </c>
      <c r="C3586" s="3">
        <v>0.7174189814814815</v>
      </c>
      <c r="D3586" s="1">
        <v>13.004821</v>
      </c>
      <c r="E3586" s="1">
        <v>80.201242</v>
      </c>
      <c r="F3586" s="1">
        <v>805.0</v>
      </c>
      <c r="G3586" s="1">
        <v>44.0</v>
      </c>
    </row>
    <row r="3587">
      <c r="A3587" s="1" t="s">
        <v>8</v>
      </c>
      <c r="B3587" s="2">
        <v>44721.0</v>
      </c>
      <c r="C3587" s="3">
        <v>0.7174768518518518</v>
      </c>
      <c r="D3587" s="1">
        <v>13.004821</v>
      </c>
      <c r="E3587" s="1">
        <v>80.201242</v>
      </c>
      <c r="F3587" s="1">
        <v>805.0</v>
      </c>
      <c r="G3587" s="1">
        <v>44.0</v>
      </c>
    </row>
    <row r="3588">
      <c r="A3588" s="1" t="s">
        <v>8</v>
      </c>
      <c r="B3588" s="2">
        <v>44721.0</v>
      </c>
      <c r="C3588" s="3">
        <v>0.717662037037037</v>
      </c>
      <c r="D3588" s="1">
        <v>13.007563</v>
      </c>
      <c r="E3588" s="1">
        <v>80.203667</v>
      </c>
      <c r="F3588" s="1">
        <v>805.0</v>
      </c>
      <c r="G3588" s="1">
        <v>48.0</v>
      </c>
    </row>
    <row r="3589">
      <c r="A3589" s="1" t="s">
        <v>8</v>
      </c>
      <c r="B3589" s="2">
        <v>44721.0</v>
      </c>
      <c r="C3589" s="3">
        <v>0.7180324074074074</v>
      </c>
      <c r="D3589" s="1">
        <v>13.007563</v>
      </c>
      <c r="E3589" s="1">
        <v>80.203667</v>
      </c>
      <c r="F3589" s="1">
        <v>805.0</v>
      </c>
      <c r="G3589" s="1">
        <v>48.0</v>
      </c>
    </row>
    <row r="3590">
      <c r="A3590" s="1" t="s">
        <v>8</v>
      </c>
      <c r="B3590" s="2">
        <v>44721.0</v>
      </c>
      <c r="C3590" s="3">
        <v>0.7182407407407407</v>
      </c>
      <c r="D3590" s="1">
        <v>13.007741</v>
      </c>
      <c r="E3590" s="1">
        <v>80.206284</v>
      </c>
      <c r="F3590" s="1">
        <v>805.0</v>
      </c>
      <c r="G3590" s="1">
        <v>47.0</v>
      </c>
    </row>
    <row r="3591">
      <c r="A3591" s="1" t="s">
        <v>8</v>
      </c>
      <c r="B3591" s="2">
        <v>44721.0</v>
      </c>
      <c r="C3591" s="3">
        <v>0.7183217592592592</v>
      </c>
      <c r="D3591" s="1">
        <v>13.007741</v>
      </c>
      <c r="E3591" s="1">
        <v>80.206284</v>
      </c>
      <c r="F3591" s="1">
        <v>805.0</v>
      </c>
      <c r="G3591" s="1">
        <v>47.0</v>
      </c>
    </row>
    <row r="3592">
      <c r="A3592" s="1" t="s">
        <v>8</v>
      </c>
      <c r="B3592" s="2">
        <v>44721.0</v>
      </c>
      <c r="C3592" s="3">
        <v>0.7185416666666666</v>
      </c>
      <c r="D3592" s="1">
        <v>13.00801</v>
      </c>
      <c r="E3592" s="1">
        <v>80.208167</v>
      </c>
      <c r="F3592" s="1">
        <v>805.0</v>
      </c>
      <c r="G3592" s="1">
        <v>42.0</v>
      </c>
    </row>
    <row r="3593">
      <c r="A3593" s="1" t="s">
        <v>8</v>
      </c>
      <c r="B3593" s="2">
        <v>44721.0</v>
      </c>
      <c r="C3593" s="3">
        <v>0.7188194444444445</v>
      </c>
      <c r="D3593" s="1">
        <v>13.00902</v>
      </c>
      <c r="E3593" s="1">
        <v>80.211725</v>
      </c>
      <c r="F3593" s="1">
        <v>805.0</v>
      </c>
      <c r="G3593" s="1">
        <v>46.0</v>
      </c>
    </row>
    <row r="3594">
      <c r="A3594" s="1" t="s">
        <v>7</v>
      </c>
      <c r="B3594" s="2">
        <v>44721.0</v>
      </c>
      <c r="C3594" s="3">
        <v>0.719212962962963</v>
      </c>
      <c r="D3594" s="1">
        <v>13.010161</v>
      </c>
      <c r="E3594" s="1">
        <v>80.214856</v>
      </c>
      <c r="F3594" s="1">
        <v>805.0</v>
      </c>
      <c r="G3594" s="1">
        <v>27.0</v>
      </c>
    </row>
    <row r="3595">
      <c r="A3595" s="1" t="s">
        <v>8</v>
      </c>
      <c r="B3595" s="2">
        <v>44721.0</v>
      </c>
      <c r="C3595" s="3">
        <v>0.7192939814814815</v>
      </c>
      <c r="D3595" s="1">
        <v>13.010161</v>
      </c>
      <c r="E3595" s="1">
        <v>80.214856</v>
      </c>
      <c r="F3595" s="1">
        <v>805.0</v>
      </c>
      <c r="G3595" s="1">
        <v>27.0</v>
      </c>
    </row>
    <row r="3596">
      <c r="A3596" s="1" t="s">
        <v>8</v>
      </c>
      <c r="B3596" s="2">
        <v>44721.0</v>
      </c>
      <c r="C3596" s="3">
        <v>0.7199537037037037</v>
      </c>
      <c r="D3596" s="1">
        <v>13.012377</v>
      </c>
      <c r="E3596" s="1">
        <v>80.221045</v>
      </c>
      <c r="F3596" s="1">
        <v>805.0</v>
      </c>
      <c r="G3596" s="1">
        <v>31.0</v>
      </c>
    </row>
    <row r="3597">
      <c r="A3597" s="1" t="s">
        <v>10</v>
      </c>
      <c r="B3597" s="2">
        <v>44721.0</v>
      </c>
      <c r="C3597" s="3">
        <v>0.7202893518518518</v>
      </c>
      <c r="D3597" s="1">
        <v>13.013921</v>
      </c>
      <c r="E3597" s="1">
        <v>80.223196</v>
      </c>
      <c r="F3597" s="1">
        <v>805.0</v>
      </c>
      <c r="G3597" s="1">
        <v>40.0</v>
      </c>
    </row>
    <row r="3598">
      <c r="A3598" s="1" t="s">
        <v>10</v>
      </c>
      <c r="B3598" s="2">
        <v>44721.0</v>
      </c>
      <c r="C3598" s="3">
        <v>0.7226041666666667</v>
      </c>
      <c r="D3598" s="1">
        <v>12.939488</v>
      </c>
      <c r="E3598" s="1">
        <v>80.182468</v>
      </c>
      <c r="F3598" s="1">
        <v>2846.0</v>
      </c>
      <c r="G3598" s="1">
        <v>0.0</v>
      </c>
    </row>
    <row r="3599">
      <c r="A3599" s="1" t="s">
        <v>8</v>
      </c>
      <c r="B3599" s="2">
        <v>44721.0</v>
      </c>
      <c r="C3599" s="3">
        <v>0.7228819444444444</v>
      </c>
      <c r="D3599" s="1">
        <v>13.024083</v>
      </c>
      <c r="E3599" s="1">
        <v>80.228119</v>
      </c>
      <c r="F3599" s="1">
        <v>805.0</v>
      </c>
      <c r="G3599" s="1">
        <v>0.0</v>
      </c>
    </row>
    <row r="3600">
      <c r="A3600" s="1" t="s">
        <v>9</v>
      </c>
      <c r="B3600" s="2">
        <v>44721.0</v>
      </c>
      <c r="C3600" s="3">
        <v>0.7236458333333333</v>
      </c>
      <c r="D3600" s="1">
        <v>13.02578</v>
      </c>
      <c r="E3600" s="1">
        <v>80.230525</v>
      </c>
      <c r="F3600" s="1">
        <v>805.0</v>
      </c>
      <c r="G3600" s="1">
        <v>15.0</v>
      </c>
    </row>
    <row r="3601">
      <c r="A3601" s="1" t="s">
        <v>8</v>
      </c>
      <c r="B3601" s="2">
        <v>44721.0</v>
      </c>
      <c r="C3601" s="3">
        <v>0.7240162037037037</v>
      </c>
      <c r="D3601" s="1">
        <v>13.025998</v>
      </c>
      <c r="E3601" s="1">
        <v>80.231045</v>
      </c>
      <c r="F3601" s="1">
        <v>805.0</v>
      </c>
      <c r="G3601" s="1">
        <v>15.0</v>
      </c>
    </row>
    <row r="3602">
      <c r="A3602" s="1" t="s">
        <v>8</v>
      </c>
      <c r="B3602" s="2">
        <v>44721.0</v>
      </c>
      <c r="C3602" s="3">
        <v>0.7241087962962963</v>
      </c>
      <c r="D3602" s="1">
        <v>13.025998</v>
      </c>
      <c r="E3602" s="1">
        <v>80.231045</v>
      </c>
      <c r="F3602" s="1">
        <v>805.0</v>
      </c>
      <c r="G3602" s="1">
        <v>15.0</v>
      </c>
    </row>
    <row r="3603">
      <c r="A3603" s="1" t="s">
        <v>8</v>
      </c>
      <c r="B3603" s="2">
        <v>44721.0</v>
      </c>
      <c r="C3603" s="3">
        <v>0.7248032407407408</v>
      </c>
      <c r="D3603" s="1">
        <v>13.029008</v>
      </c>
      <c r="E3603" s="1">
        <v>80.236498</v>
      </c>
      <c r="F3603" s="1">
        <v>805.0</v>
      </c>
      <c r="G3603" s="1">
        <v>27.0</v>
      </c>
    </row>
    <row r="3604">
      <c r="A3604" s="1" t="s">
        <v>7</v>
      </c>
      <c r="B3604" s="2">
        <v>44721.0</v>
      </c>
      <c r="C3604" s="3">
        <v>0.7271875</v>
      </c>
      <c r="D3604" s="1">
        <v>13.034954</v>
      </c>
      <c r="E3604" s="1">
        <v>80.245667</v>
      </c>
      <c r="F3604" s="1">
        <v>805.0</v>
      </c>
      <c r="G3604" s="1">
        <v>0.0</v>
      </c>
    </row>
    <row r="3605">
      <c r="A3605" s="1" t="s">
        <v>8</v>
      </c>
      <c r="B3605" s="2">
        <v>44721.0</v>
      </c>
      <c r="C3605" s="3">
        <v>0.7296759259259259</v>
      </c>
      <c r="D3605" s="1">
        <v>13.038948</v>
      </c>
      <c r="E3605" s="1">
        <v>80.246765</v>
      </c>
      <c r="F3605" s="1">
        <v>805.0</v>
      </c>
      <c r="G3605" s="1">
        <v>0.0</v>
      </c>
    </row>
    <row r="3606">
      <c r="A3606" s="1" t="s">
        <v>8</v>
      </c>
      <c r="B3606" s="2">
        <v>44721.0</v>
      </c>
      <c r="C3606" s="3">
        <v>0.7304166666666667</v>
      </c>
      <c r="D3606" s="1">
        <v>13.042438</v>
      </c>
      <c r="E3606" s="1">
        <v>80.247402</v>
      </c>
      <c r="F3606" s="1">
        <v>805.0</v>
      </c>
      <c r="G3606" s="1">
        <v>0.0</v>
      </c>
    </row>
    <row r="3607">
      <c r="A3607" s="1" t="s">
        <v>8</v>
      </c>
      <c r="B3607" s="2">
        <v>44721.0</v>
      </c>
      <c r="C3607" s="3">
        <v>0.7306944444444444</v>
      </c>
      <c r="D3607" s="1">
        <v>13.044452</v>
      </c>
      <c r="E3607" s="1">
        <v>80.247856</v>
      </c>
      <c r="F3607" s="1">
        <v>805.0</v>
      </c>
      <c r="G3607" s="1">
        <v>39.0</v>
      </c>
    </row>
    <row r="3608">
      <c r="A3608" s="1" t="s">
        <v>8</v>
      </c>
      <c r="B3608" s="2">
        <v>44721.0</v>
      </c>
      <c r="C3608" s="3">
        <v>0.7307754629629629</v>
      </c>
      <c r="D3608" s="1">
        <v>13.044452</v>
      </c>
      <c r="E3608" s="1">
        <v>80.247856</v>
      </c>
      <c r="F3608" s="1">
        <v>805.0</v>
      </c>
      <c r="G3608" s="1">
        <v>39.0</v>
      </c>
    </row>
    <row r="3609">
      <c r="A3609" s="1" t="s">
        <v>8</v>
      </c>
      <c r="B3609" s="2">
        <v>44721.0</v>
      </c>
      <c r="C3609" s="3">
        <v>0.7313194444444444</v>
      </c>
      <c r="D3609" s="1">
        <v>13.044452</v>
      </c>
      <c r="E3609" s="1">
        <v>80.247856</v>
      </c>
      <c r="F3609" s="1">
        <v>805.0</v>
      </c>
      <c r="G3609" s="1">
        <v>39.0</v>
      </c>
    </row>
    <row r="3610">
      <c r="A3610" s="1" t="s">
        <v>8</v>
      </c>
      <c r="B3610" s="2">
        <v>44721.0</v>
      </c>
      <c r="C3610" s="3">
        <v>0.7314699074074074</v>
      </c>
      <c r="D3610" s="1">
        <v>13.049057</v>
      </c>
      <c r="E3610" s="1">
        <v>80.249619</v>
      </c>
      <c r="F3610" s="1">
        <v>805.0</v>
      </c>
      <c r="G3610" s="1">
        <v>22.0</v>
      </c>
    </row>
    <row r="3611">
      <c r="A3611" s="1" t="s">
        <v>8</v>
      </c>
      <c r="B3611" s="2">
        <v>44721.0</v>
      </c>
      <c r="C3611" s="3">
        <v>0.7314814814814815</v>
      </c>
      <c r="D3611" s="1">
        <v>13.049057</v>
      </c>
      <c r="E3611" s="1">
        <v>80.249619</v>
      </c>
      <c r="F3611" s="1">
        <v>805.0</v>
      </c>
      <c r="G3611" s="1">
        <v>22.0</v>
      </c>
    </row>
    <row r="3612">
      <c r="A3612" s="1" t="s">
        <v>8</v>
      </c>
      <c r="B3612" s="2">
        <v>44721.0</v>
      </c>
      <c r="C3612" s="3">
        <v>0.7315393518518518</v>
      </c>
      <c r="D3612" s="1">
        <v>13.049057</v>
      </c>
      <c r="E3612" s="1">
        <v>80.249619</v>
      </c>
      <c r="F3612" s="1">
        <v>805.0</v>
      </c>
      <c r="G3612" s="1">
        <v>22.0</v>
      </c>
    </row>
    <row r="3613">
      <c r="A3613" s="1" t="s">
        <v>10</v>
      </c>
      <c r="B3613" s="2">
        <v>44721.0</v>
      </c>
      <c r="C3613" s="3">
        <v>0.7317013888888889</v>
      </c>
      <c r="D3613" s="1">
        <v>12.96559</v>
      </c>
      <c r="E3613" s="1">
        <v>80.190533</v>
      </c>
      <c r="F3613" s="1">
        <v>2846.0</v>
      </c>
      <c r="G3613" s="1">
        <v>28.0</v>
      </c>
    </row>
    <row r="3614">
      <c r="A3614" s="1" t="s">
        <v>9</v>
      </c>
      <c r="B3614" s="2">
        <v>44721.0</v>
      </c>
      <c r="C3614" s="3">
        <v>0.7317476851851852</v>
      </c>
      <c r="D3614" s="1">
        <v>13.049399</v>
      </c>
      <c r="E3614" s="1">
        <v>80.249685</v>
      </c>
      <c r="F3614" s="1">
        <v>805.0</v>
      </c>
      <c r="G3614" s="1">
        <v>21.0</v>
      </c>
    </row>
    <row r="3615">
      <c r="A3615" s="1" t="s">
        <v>8</v>
      </c>
      <c r="B3615" s="2">
        <v>44721.0</v>
      </c>
      <c r="C3615" s="3">
        <v>0.7320486111111111</v>
      </c>
      <c r="D3615" s="1">
        <v>13.051864</v>
      </c>
      <c r="E3615" s="1">
        <v>80.250402</v>
      </c>
      <c r="F3615" s="1">
        <v>805.0</v>
      </c>
      <c r="G3615" s="1">
        <v>34.0</v>
      </c>
    </row>
    <row r="3616">
      <c r="A3616" s="1" t="s">
        <v>10</v>
      </c>
      <c r="B3616" s="2">
        <v>44721.0</v>
      </c>
      <c r="C3616" s="3">
        <v>0.7321527777777778</v>
      </c>
      <c r="D3616" s="1">
        <v>12.965274</v>
      </c>
      <c r="E3616" s="1">
        <v>80.19202</v>
      </c>
      <c r="F3616" s="1">
        <v>2846.0</v>
      </c>
      <c r="G3616" s="1">
        <v>22.0</v>
      </c>
    </row>
    <row r="3617">
      <c r="A3617" s="1" t="s">
        <v>8</v>
      </c>
      <c r="B3617" s="2">
        <v>44721.0</v>
      </c>
      <c r="C3617" s="3">
        <v>0.7331597222222223</v>
      </c>
      <c r="D3617" s="1">
        <v>13.054823</v>
      </c>
      <c r="E3617" s="1">
        <v>80.254215</v>
      </c>
      <c r="F3617" s="1">
        <v>805.0</v>
      </c>
      <c r="G3617" s="1">
        <v>7.0</v>
      </c>
    </row>
    <row r="3618">
      <c r="A3618" s="1" t="s">
        <v>10</v>
      </c>
      <c r="B3618" s="2">
        <v>44721.0</v>
      </c>
      <c r="C3618" s="3">
        <v>0.7331597222222223</v>
      </c>
      <c r="D3618" s="1">
        <v>12.964757</v>
      </c>
      <c r="E3618" s="1">
        <v>80.196107</v>
      </c>
      <c r="F3618" s="1">
        <v>2846.0</v>
      </c>
      <c r="G3618" s="1">
        <v>12.0</v>
      </c>
    </row>
    <row r="3619">
      <c r="A3619" s="1" t="s">
        <v>10</v>
      </c>
      <c r="B3619" s="2">
        <v>44721.0</v>
      </c>
      <c r="C3619" s="3">
        <v>0.7335648148148148</v>
      </c>
      <c r="D3619" s="1">
        <v>12.964822</v>
      </c>
      <c r="E3619" s="1">
        <v>80.196675</v>
      </c>
      <c r="F3619" s="1">
        <v>2846.0</v>
      </c>
      <c r="G3619" s="1">
        <v>9.0</v>
      </c>
    </row>
    <row r="3620">
      <c r="A3620" s="1" t="s">
        <v>10</v>
      </c>
      <c r="B3620" s="2">
        <v>44721.0</v>
      </c>
      <c r="C3620" s="3">
        <v>0.7339814814814815</v>
      </c>
      <c r="D3620" s="1">
        <v>13.057633</v>
      </c>
      <c r="E3620" s="1">
        <v>80.25764</v>
      </c>
      <c r="F3620" s="1">
        <v>805.0</v>
      </c>
      <c r="G3620" s="1">
        <v>12.0</v>
      </c>
    </row>
    <row r="3621">
      <c r="A3621" s="1" t="s">
        <v>10</v>
      </c>
      <c r="B3621" s="2">
        <v>44721.0</v>
      </c>
      <c r="C3621" s="3">
        <v>0.7348032407407408</v>
      </c>
      <c r="D3621" s="1">
        <v>13.054531</v>
      </c>
      <c r="E3621" s="1">
        <v>80.257919</v>
      </c>
      <c r="F3621" s="1">
        <v>805.0</v>
      </c>
      <c r="G3621" s="1">
        <v>8.0</v>
      </c>
    </row>
    <row r="3622">
      <c r="A3622" s="1" t="s">
        <v>8</v>
      </c>
      <c r="B3622" s="2">
        <v>44721.0</v>
      </c>
      <c r="C3622" s="3">
        <v>0.7349189814814815</v>
      </c>
      <c r="D3622" s="1">
        <v>13.054531</v>
      </c>
      <c r="E3622" s="1">
        <v>80.257919</v>
      </c>
      <c r="F3622" s="1">
        <v>805.0</v>
      </c>
      <c r="G3622" s="1">
        <v>8.0</v>
      </c>
    </row>
    <row r="3623">
      <c r="A3623" s="1" t="s">
        <v>10</v>
      </c>
      <c r="B3623" s="2">
        <v>44721.0</v>
      </c>
      <c r="C3623" s="3">
        <v>0.7350925925925926</v>
      </c>
      <c r="D3623" s="1">
        <v>12.96581</v>
      </c>
      <c r="E3623" s="1">
        <v>80.20342</v>
      </c>
      <c r="F3623" s="1">
        <v>2846.0</v>
      </c>
      <c r="G3623" s="1">
        <v>25.0</v>
      </c>
    </row>
    <row r="3624">
      <c r="A3624" s="1" t="s">
        <v>8</v>
      </c>
      <c r="B3624" s="2">
        <v>44721.0</v>
      </c>
      <c r="C3624" s="3">
        <v>0.7356828703703704</v>
      </c>
      <c r="D3624" s="1">
        <v>13.054138</v>
      </c>
      <c r="E3624" s="1">
        <v>80.261617</v>
      </c>
      <c r="F3624" s="1">
        <v>805.0</v>
      </c>
      <c r="G3624" s="1">
        <v>19.0</v>
      </c>
    </row>
    <row r="3625">
      <c r="A3625" s="1" t="s">
        <v>10</v>
      </c>
      <c r="B3625" s="2">
        <v>44721.0</v>
      </c>
      <c r="C3625" s="3">
        <v>0.7361574074074074</v>
      </c>
      <c r="D3625" s="1">
        <v>13.05377</v>
      </c>
      <c r="E3625" s="1">
        <v>80.265348</v>
      </c>
      <c r="F3625" s="1">
        <v>805.0</v>
      </c>
      <c r="G3625" s="1">
        <v>43.0</v>
      </c>
    </row>
    <row r="3626">
      <c r="A3626" s="1" t="s">
        <v>8</v>
      </c>
      <c r="B3626" s="2">
        <v>44721.0</v>
      </c>
      <c r="C3626" s="3">
        <v>0.7368518518518519</v>
      </c>
      <c r="D3626" s="1">
        <v>12.964269</v>
      </c>
      <c r="E3626" s="1">
        <v>80.212362</v>
      </c>
      <c r="F3626" s="1">
        <v>2846.0</v>
      </c>
      <c r="G3626" s="1">
        <v>30.0</v>
      </c>
    </row>
    <row r="3627">
      <c r="A3627" s="1" t="s">
        <v>10</v>
      </c>
      <c r="B3627" s="2">
        <v>44721.0</v>
      </c>
      <c r="C3627" s="3">
        <v>0.7383680555555555</v>
      </c>
      <c r="D3627" s="1">
        <v>13.05325</v>
      </c>
      <c r="E3627" s="1">
        <v>80.271495</v>
      </c>
      <c r="F3627" s="1">
        <v>805.0</v>
      </c>
      <c r="G3627" s="1">
        <v>4.0</v>
      </c>
    </row>
    <row r="3628">
      <c r="A3628" s="1" t="s">
        <v>10</v>
      </c>
      <c r="B3628" s="2">
        <v>44721.0</v>
      </c>
      <c r="C3628" s="3">
        <v>0.7384606481481482</v>
      </c>
      <c r="D3628" s="1">
        <v>13.05325</v>
      </c>
      <c r="E3628" s="1">
        <v>80.271495</v>
      </c>
      <c r="F3628" s="1">
        <v>805.0</v>
      </c>
      <c r="G3628" s="1">
        <v>4.0</v>
      </c>
    </row>
    <row r="3629">
      <c r="A3629" s="1" t="s">
        <v>10</v>
      </c>
      <c r="B3629" s="2">
        <v>44721.0</v>
      </c>
      <c r="C3629" s="3">
        <v>0.7386111111111111</v>
      </c>
      <c r="D3629" s="1">
        <v>12.973465</v>
      </c>
      <c r="E3629" s="1">
        <v>80.219829</v>
      </c>
      <c r="F3629" s="1">
        <v>2846.0</v>
      </c>
      <c r="G3629" s="1">
        <v>48.0</v>
      </c>
    </row>
    <row r="3630">
      <c r="A3630" s="1" t="s">
        <v>8</v>
      </c>
      <c r="B3630" s="2">
        <v>44721.0</v>
      </c>
      <c r="C3630" s="3">
        <v>0.7391550925925926</v>
      </c>
      <c r="D3630" s="1">
        <v>12.976067</v>
      </c>
      <c r="E3630" s="1">
        <v>80.221228</v>
      </c>
      <c r="F3630" s="1">
        <v>2846.0</v>
      </c>
      <c r="G3630" s="1">
        <v>14.0</v>
      </c>
    </row>
    <row r="3631">
      <c r="A3631" s="1" t="s">
        <v>8</v>
      </c>
      <c r="B3631" s="2">
        <v>44721.0</v>
      </c>
      <c r="C3631" s="3">
        <v>0.7391550925925926</v>
      </c>
      <c r="D3631" s="1">
        <v>12.976067</v>
      </c>
      <c r="E3631" s="1">
        <v>80.221228</v>
      </c>
      <c r="F3631" s="1">
        <v>2846.0</v>
      </c>
      <c r="G3631" s="1">
        <v>14.0</v>
      </c>
    </row>
    <row r="3632">
      <c r="A3632" s="1" t="s">
        <v>8</v>
      </c>
      <c r="B3632" s="2">
        <v>44721.0</v>
      </c>
      <c r="C3632" s="3">
        <v>0.7392013888888889</v>
      </c>
      <c r="D3632" s="1">
        <v>12.976067</v>
      </c>
      <c r="E3632" s="1">
        <v>80.221228</v>
      </c>
      <c r="F3632" s="1">
        <v>2846.0</v>
      </c>
      <c r="G3632" s="1">
        <v>14.0</v>
      </c>
    </row>
    <row r="3633">
      <c r="A3633" s="1" t="s">
        <v>10</v>
      </c>
      <c r="B3633" s="2">
        <v>44721.0</v>
      </c>
      <c r="C3633" s="3">
        <v>0.7393402777777778</v>
      </c>
      <c r="D3633" s="1">
        <v>13.053065</v>
      </c>
      <c r="E3633" s="1">
        <v>80.27247</v>
      </c>
      <c r="F3633" s="1">
        <v>805.0</v>
      </c>
      <c r="G3633" s="1">
        <v>13.0</v>
      </c>
    </row>
    <row r="3634">
      <c r="A3634" s="1" t="s">
        <v>8</v>
      </c>
      <c r="B3634" s="2">
        <v>44721.0</v>
      </c>
      <c r="C3634" s="3">
        <v>0.7396412037037037</v>
      </c>
      <c r="D3634" s="1">
        <v>12.977764</v>
      </c>
      <c r="E3634" s="1">
        <v>80.224031</v>
      </c>
      <c r="F3634" s="1">
        <v>2846.0</v>
      </c>
      <c r="G3634" s="1">
        <v>28.0</v>
      </c>
    </row>
    <row r="3635">
      <c r="A3635" s="1" t="s">
        <v>8</v>
      </c>
      <c r="B3635" s="2">
        <v>44721.0</v>
      </c>
      <c r="C3635" s="3">
        <v>0.7396759259259259</v>
      </c>
      <c r="D3635" s="1">
        <v>12.977764</v>
      </c>
      <c r="E3635" s="1">
        <v>80.224031</v>
      </c>
      <c r="F3635" s="1">
        <v>2846.0</v>
      </c>
      <c r="G3635" s="1">
        <v>28.0</v>
      </c>
    </row>
    <row r="3636">
      <c r="A3636" s="1" t="s">
        <v>10</v>
      </c>
      <c r="B3636" s="2">
        <v>44721.0</v>
      </c>
      <c r="C3636" s="3">
        <v>0.7399189814814815</v>
      </c>
      <c r="D3636" s="1">
        <v>13.054376</v>
      </c>
      <c r="E3636" s="1">
        <v>80.273763</v>
      </c>
      <c r="F3636" s="1">
        <v>805.0</v>
      </c>
      <c r="G3636" s="1">
        <v>23.0</v>
      </c>
    </row>
    <row r="3637">
      <c r="A3637" s="1" t="s">
        <v>10</v>
      </c>
      <c r="B3637" s="2">
        <v>44721.0</v>
      </c>
      <c r="C3637" s="3">
        <v>0.7406712962962962</v>
      </c>
      <c r="D3637" s="1">
        <v>13.056258</v>
      </c>
      <c r="E3637" s="1">
        <v>80.273847</v>
      </c>
      <c r="F3637" s="1">
        <v>805.0</v>
      </c>
      <c r="G3637" s="1">
        <v>8.0</v>
      </c>
    </row>
    <row r="3638">
      <c r="A3638" s="1" t="s">
        <v>10</v>
      </c>
      <c r="B3638" s="2">
        <v>44721.0</v>
      </c>
      <c r="C3638" s="3">
        <v>0.741087962962963</v>
      </c>
      <c r="D3638" s="1">
        <v>13.056754</v>
      </c>
      <c r="E3638" s="1">
        <v>80.273898</v>
      </c>
      <c r="F3638" s="1">
        <v>805.0</v>
      </c>
      <c r="G3638" s="1">
        <v>14.0</v>
      </c>
    </row>
    <row r="3639">
      <c r="A3639" s="1" t="s">
        <v>10</v>
      </c>
      <c r="B3639" s="2">
        <v>44721.0</v>
      </c>
      <c r="C3639" s="3">
        <v>0.7419444444444444</v>
      </c>
      <c r="D3639" s="1">
        <v>13.059113</v>
      </c>
      <c r="E3639" s="1">
        <v>80.274137</v>
      </c>
      <c r="F3639" s="1">
        <v>805.0</v>
      </c>
      <c r="G3639" s="1">
        <v>19.0</v>
      </c>
    </row>
    <row r="3640">
      <c r="A3640" s="1" t="s">
        <v>8</v>
      </c>
      <c r="B3640" s="2">
        <v>44721.0</v>
      </c>
      <c r="C3640" s="3">
        <v>0.7424421296296296</v>
      </c>
      <c r="D3640" s="1">
        <v>12.975894</v>
      </c>
      <c r="E3640" s="1">
        <v>80.221332</v>
      </c>
      <c r="F3640" s="1">
        <v>2846.0</v>
      </c>
      <c r="G3640" s="1">
        <v>14.0</v>
      </c>
    </row>
    <row r="3641">
      <c r="A3641" s="1" t="s">
        <v>8</v>
      </c>
      <c r="B3641" s="2">
        <v>44721.0</v>
      </c>
      <c r="C3641" s="3">
        <v>0.7432407407407408</v>
      </c>
      <c r="D3641" s="1">
        <v>12.972033</v>
      </c>
      <c r="E3641" s="1">
        <v>80.219506</v>
      </c>
      <c r="F3641" s="1">
        <v>2846.0</v>
      </c>
      <c r="G3641" s="1">
        <v>3.0</v>
      </c>
    </row>
    <row r="3642">
      <c r="A3642" s="1" t="s">
        <v>10</v>
      </c>
      <c r="B3642" s="2">
        <v>44721.0</v>
      </c>
      <c r="C3642" s="3">
        <v>0.7434375</v>
      </c>
      <c r="D3642" s="1">
        <v>13.062228</v>
      </c>
      <c r="E3642" s="1">
        <v>80.274258</v>
      </c>
      <c r="F3642" s="1">
        <v>805.0</v>
      </c>
      <c r="G3642" s="1">
        <v>0.0</v>
      </c>
    </row>
    <row r="3643">
      <c r="A3643" s="1" t="s">
        <v>8</v>
      </c>
      <c r="B3643" s="2">
        <v>44721.0</v>
      </c>
      <c r="C3643" s="3">
        <v>0.7435416666666667</v>
      </c>
      <c r="D3643" s="1">
        <v>12.970617</v>
      </c>
      <c r="E3643" s="1">
        <v>80.218882</v>
      </c>
      <c r="F3643" s="1">
        <v>2846.0</v>
      </c>
      <c r="G3643" s="1">
        <v>37.0</v>
      </c>
    </row>
    <row r="3644">
      <c r="A3644" s="1" t="s">
        <v>10</v>
      </c>
      <c r="B3644" s="2">
        <v>44721.0</v>
      </c>
      <c r="C3644" s="3">
        <v>0.7436226851851852</v>
      </c>
      <c r="D3644" s="1">
        <v>13.062397</v>
      </c>
      <c r="E3644" s="1">
        <v>80.274224</v>
      </c>
      <c r="F3644" s="1">
        <v>805.0</v>
      </c>
      <c r="G3644" s="1">
        <v>6.0</v>
      </c>
    </row>
    <row r="3645">
      <c r="A3645" s="1" t="s">
        <v>8</v>
      </c>
      <c r="B3645" s="2">
        <v>44721.0</v>
      </c>
      <c r="C3645" s="3">
        <v>0.7436458333333333</v>
      </c>
      <c r="D3645" s="1">
        <v>12.970617</v>
      </c>
      <c r="E3645" s="1">
        <v>80.218882</v>
      </c>
      <c r="F3645" s="1">
        <v>2846.0</v>
      </c>
      <c r="G3645" s="1">
        <v>37.0</v>
      </c>
    </row>
    <row r="3646">
      <c r="A3646" s="1" t="s">
        <v>8</v>
      </c>
      <c r="B3646" s="2">
        <v>44721.0</v>
      </c>
      <c r="C3646" s="3">
        <v>0.7445023148148148</v>
      </c>
      <c r="D3646" s="1">
        <v>12.964014</v>
      </c>
      <c r="E3646" s="1">
        <v>80.216318</v>
      </c>
      <c r="F3646" s="1">
        <v>2846.0</v>
      </c>
      <c r="G3646" s="1">
        <v>0.0</v>
      </c>
    </row>
    <row r="3647">
      <c r="A3647" s="1" t="s">
        <v>8</v>
      </c>
      <c r="B3647" s="2">
        <v>44721.0</v>
      </c>
      <c r="C3647" s="3">
        <v>0.7445138888888889</v>
      </c>
      <c r="D3647" s="1">
        <v>12.964014</v>
      </c>
      <c r="E3647" s="1">
        <v>80.216318</v>
      </c>
      <c r="F3647" s="1">
        <v>2846.0</v>
      </c>
      <c r="G3647" s="1">
        <v>0.0</v>
      </c>
    </row>
    <row r="3648">
      <c r="A3648" s="1" t="s">
        <v>8</v>
      </c>
      <c r="B3648" s="2">
        <v>44721.0</v>
      </c>
      <c r="C3648" s="3">
        <v>0.7447453703703704</v>
      </c>
      <c r="D3648" s="1">
        <v>12.963989</v>
      </c>
      <c r="E3648" s="1">
        <v>80.21631</v>
      </c>
      <c r="F3648" s="1">
        <v>2846.0</v>
      </c>
      <c r="G3648" s="1">
        <v>0.0</v>
      </c>
    </row>
    <row r="3649">
      <c r="A3649" s="1" t="s">
        <v>8</v>
      </c>
      <c r="B3649" s="2">
        <v>44721.0</v>
      </c>
      <c r="C3649" s="3">
        <v>0.7448842592592593</v>
      </c>
      <c r="D3649" s="1">
        <v>12.963576</v>
      </c>
      <c r="E3649" s="1">
        <v>80.216133</v>
      </c>
      <c r="F3649" s="1">
        <v>2846.0</v>
      </c>
      <c r="G3649" s="1">
        <v>18.0</v>
      </c>
    </row>
    <row r="3650">
      <c r="A3650" s="1" t="s">
        <v>8</v>
      </c>
      <c r="B3650" s="2">
        <v>44721.0</v>
      </c>
      <c r="C3650" s="3">
        <v>0.7452777777777778</v>
      </c>
      <c r="D3650" s="1">
        <v>12.961114</v>
      </c>
      <c r="E3650" s="1">
        <v>80.215056</v>
      </c>
      <c r="F3650" s="1">
        <v>2846.0</v>
      </c>
      <c r="G3650" s="1">
        <v>42.0</v>
      </c>
    </row>
    <row r="3651">
      <c r="A3651" s="1" t="s">
        <v>8</v>
      </c>
      <c r="B3651" s="2">
        <v>44721.0</v>
      </c>
      <c r="C3651" s="3">
        <v>0.7457060185185185</v>
      </c>
      <c r="D3651" s="1">
        <v>13.068167</v>
      </c>
      <c r="E3651" s="1">
        <v>80.271718</v>
      </c>
      <c r="F3651" s="1">
        <v>805.0</v>
      </c>
      <c r="G3651" s="1">
        <v>5.0</v>
      </c>
    </row>
    <row r="3652">
      <c r="A3652" s="1" t="s">
        <v>10</v>
      </c>
      <c r="B3652" s="2">
        <v>44721.0</v>
      </c>
      <c r="C3652" s="3">
        <v>0.7466435185185185</v>
      </c>
      <c r="D3652" s="1">
        <v>13.066701</v>
      </c>
      <c r="E3652" s="1">
        <v>80.268436</v>
      </c>
      <c r="F3652" s="1">
        <v>805.0</v>
      </c>
      <c r="G3652" s="1">
        <v>8.0</v>
      </c>
    </row>
    <row r="3653">
      <c r="A3653" s="1" t="s">
        <v>10</v>
      </c>
      <c r="B3653" s="2">
        <v>44721.0</v>
      </c>
      <c r="C3653" s="3">
        <v>0.7472337962962963</v>
      </c>
      <c r="D3653" s="1">
        <v>13.068392</v>
      </c>
      <c r="E3653" s="1">
        <v>80.268858</v>
      </c>
      <c r="F3653" s="1">
        <v>805.0</v>
      </c>
      <c r="G3653" s="1">
        <v>27.0</v>
      </c>
    </row>
    <row r="3654">
      <c r="A3654" s="1" t="s">
        <v>10</v>
      </c>
      <c r="B3654" s="2">
        <v>44721.0</v>
      </c>
      <c r="C3654" s="3">
        <v>0.7473263888888889</v>
      </c>
      <c r="D3654" s="1">
        <v>13.068685</v>
      </c>
      <c r="E3654" s="1">
        <v>80.267948</v>
      </c>
      <c r="F3654" s="1">
        <v>805.0</v>
      </c>
      <c r="G3654" s="1">
        <v>22.0</v>
      </c>
    </row>
    <row r="3655">
      <c r="A3655" s="1" t="s">
        <v>10</v>
      </c>
      <c r="B3655" s="2">
        <v>44721.0</v>
      </c>
      <c r="C3655" s="3">
        <v>0.7511111111111111</v>
      </c>
      <c r="D3655" s="1">
        <v>12.948541</v>
      </c>
      <c r="E3655" s="1">
        <v>80.208616</v>
      </c>
      <c r="F3655" s="1">
        <v>2846.0</v>
      </c>
      <c r="G3655" s="1">
        <v>32.0</v>
      </c>
    </row>
    <row r="3656">
      <c r="A3656" s="1" t="s">
        <v>8</v>
      </c>
      <c r="B3656" s="2">
        <v>44721.0</v>
      </c>
      <c r="C3656" s="3">
        <v>0.7512847222222222</v>
      </c>
      <c r="D3656" s="1">
        <v>13.067798</v>
      </c>
      <c r="E3656" s="1">
        <v>80.255246</v>
      </c>
      <c r="F3656" s="1">
        <v>805.0</v>
      </c>
      <c r="G3656" s="1">
        <v>26.0</v>
      </c>
    </row>
    <row r="3657">
      <c r="A3657" s="1" t="s">
        <v>8</v>
      </c>
      <c r="B3657" s="2">
        <v>44721.0</v>
      </c>
      <c r="C3657" s="3">
        <v>0.752349537037037</v>
      </c>
      <c r="D3657" s="1">
        <v>12.948449</v>
      </c>
      <c r="E3657" s="1">
        <v>80.199359</v>
      </c>
      <c r="F3657" s="1">
        <v>2846.0</v>
      </c>
      <c r="G3657" s="1">
        <v>4.0</v>
      </c>
    </row>
    <row r="3658">
      <c r="A3658" s="1" t="s">
        <v>8</v>
      </c>
      <c r="B3658" s="2">
        <v>44721.0</v>
      </c>
      <c r="C3658" s="3">
        <v>0.7523726851851852</v>
      </c>
      <c r="D3658" s="1">
        <v>12.948449</v>
      </c>
      <c r="E3658" s="1">
        <v>80.199359</v>
      </c>
      <c r="F3658" s="1">
        <v>2846.0</v>
      </c>
      <c r="G3658" s="1">
        <v>4.0</v>
      </c>
    </row>
    <row r="3659">
      <c r="A3659" s="1" t="s">
        <v>8</v>
      </c>
      <c r="B3659" s="2">
        <v>44721.0</v>
      </c>
      <c r="C3659" s="3">
        <v>0.7524421296296296</v>
      </c>
      <c r="D3659" s="1">
        <v>12.948449</v>
      </c>
      <c r="E3659" s="1">
        <v>80.199359</v>
      </c>
      <c r="F3659" s="1">
        <v>2846.0</v>
      </c>
      <c r="G3659" s="1">
        <v>4.0</v>
      </c>
    </row>
    <row r="3660">
      <c r="A3660" s="1" t="s">
        <v>8</v>
      </c>
      <c r="B3660" s="2">
        <v>44721.0</v>
      </c>
      <c r="C3660" s="3">
        <v>0.7528472222222222</v>
      </c>
      <c r="D3660" s="1">
        <v>13.067596</v>
      </c>
      <c r="E3660" s="1">
        <v>80.249655</v>
      </c>
      <c r="F3660" s="1">
        <v>805.0</v>
      </c>
      <c r="G3660" s="1">
        <v>19.0</v>
      </c>
    </row>
    <row r="3661">
      <c r="A3661" s="1" t="s">
        <v>8</v>
      </c>
      <c r="B3661" s="2">
        <v>44721.0</v>
      </c>
      <c r="C3661" s="3">
        <v>0.7528703703703704</v>
      </c>
      <c r="D3661" s="1">
        <v>13.067596</v>
      </c>
      <c r="E3661" s="1">
        <v>80.249655</v>
      </c>
      <c r="F3661" s="1">
        <v>805.0</v>
      </c>
      <c r="G3661" s="1">
        <v>19.0</v>
      </c>
    </row>
    <row r="3662">
      <c r="A3662" s="1" t="s">
        <v>10</v>
      </c>
      <c r="B3662" s="2">
        <v>44721.0</v>
      </c>
      <c r="C3662" s="3">
        <v>0.7536226851851852</v>
      </c>
      <c r="D3662" s="1">
        <v>13.06526</v>
      </c>
      <c r="E3662" s="1">
        <v>80.247832</v>
      </c>
      <c r="F3662" s="1">
        <v>805.0</v>
      </c>
      <c r="G3662" s="1">
        <v>28.0</v>
      </c>
    </row>
    <row r="3663">
      <c r="A3663" s="1" t="s">
        <v>8</v>
      </c>
      <c r="B3663" s="2">
        <v>44721.0</v>
      </c>
      <c r="C3663" s="3">
        <v>0.7572685185185185</v>
      </c>
      <c r="D3663" s="1">
        <v>12.948428</v>
      </c>
      <c r="E3663" s="1">
        <v>80.194592</v>
      </c>
      <c r="F3663" s="1">
        <v>2846.0</v>
      </c>
      <c r="G3663" s="1">
        <v>0.0</v>
      </c>
    </row>
    <row r="3664">
      <c r="A3664" s="1" t="s">
        <v>8</v>
      </c>
      <c r="B3664" s="2">
        <v>44721.0</v>
      </c>
      <c r="C3664" s="3">
        <v>0.7573726851851852</v>
      </c>
      <c r="D3664" s="1">
        <v>12.94846</v>
      </c>
      <c r="E3664" s="1">
        <v>80.194146</v>
      </c>
      <c r="F3664" s="1">
        <v>2846.0</v>
      </c>
      <c r="G3664" s="1">
        <v>23.0</v>
      </c>
    </row>
    <row r="3665">
      <c r="A3665" s="1" t="s">
        <v>8</v>
      </c>
      <c r="B3665" s="2">
        <v>44721.0</v>
      </c>
      <c r="C3665" s="3">
        <v>0.7588194444444445</v>
      </c>
      <c r="D3665" s="1">
        <v>12.949615</v>
      </c>
      <c r="E3665" s="1">
        <v>80.181276</v>
      </c>
      <c r="F3665" s="1">
        <v>2846.0</v>
      </c>
      <c r="G3665" s="1">
        <v>19.0</v>
      </c>
    </row>
    <row r="3666">
      <c r="A3666" s="1" t="s">
        <v>8</v>
      </c>
      <c r="B3666" s="2">
        <v>44721.0</v>
      </c>
      <c r="C3666" s="3">
        <v>0.7751041666666667</v>
      </c>
      <c r="D3666" s="1">
        <v>12.953481</v>
      </c>
      <c r="E3666" s="1">
        <v>80.163566</v>
      </c>
      <c r="F3666" s="1">
        <v>2846.0</v>
      </c>
      <c r="G3666" s="1">
        <v>13.0</v>
      </c>
    </row>
    <row r="3667">
      <c r="A3667" s="1" t="s">
        <v>8</v>
      </c>
      <c r="B3667" s="2">
        <v>44721.0</v>
      </c>
      <c r="C3667" s="3">
        <v>0.7770023148148149</v>
      </c>
      <c r="D3667" s="1">
        <v>12.955412</v>
      </c>
      <c r="E3667" s="1">
        <v>80.15431</v>
      </c>
      <c r="F3667" s="1">
        <v>2846.0</v>
      </c>
      <c r="G3667" s="1">
        <v>48.0</v>
      </c>
    </row>
    <row r="3668">
      <c r="A3668" s="1" t="s">
        <v>8</v>
      </c>
      <c r="B3668" s="2">
        <v>44721.0</v>
      </c>
      <c r="C3668" s="3">
        <v>0.7770138888888889</v>
      </c>
      <c r="D3668" s="1">
        <v>12.955412</v>
      </c>
      <c r="E3668" s="1">
        <v>80.15431</v>
      </c>
      <c r="F3668" s="1">
        <v>2846.0</v>
      </c>
      <c r="G3668" s="1">
        <v>48.0</v>
      </c>
    </row>
    <row r="3669">
      <c r="A3669" s="1" t="s">
        <v>8</v>
      </c>
      <c r="B3669" s="2">
        <v>44721.0</v>
      </c>
      <c r="C3669" s="3">
        <v>0.7771180555555556</v>
      </c>
      <c r="D3669" s="1">
        <v>12.955412</v>
      </c>
      <c r="E3669" s="1">
        <v>80.15431</v>
      </c>
      <c r="F3669" s="1">
        <v>2846.0</v>
      </c>
      <c r="G3669" s="1">
        <v>48.0</v>
      </c>
    </row>
    <row r="3670">
      <c r="A3670" s="1" t="s">
        <v>8</v>
      </c>
      <c r="B3670" s="2">
        <v>44721.0</v>
      </c>
      <c r="C3670" s="3">
        <v>0.7781597222222222</v>
      </c>
      <c r="D3670" s="1">
        <v>12.960216</v>
      </c>
      <c r="E3670" s="1">
        <v>80.145793</v>
      </c>
      <c r="F3670" s="1">
        <v>2846.0</v>
      </c>
      <c r="G3670" s="1">
        <v>8.0</v>
      </c>
    </row>
    <row r="3671">
      <c r="A3671" s="1" t="s">
        <v>8</v>
      </c>
      <c r="B3671" s="2">
        <v>44721.0</v>
      </c>
      <c r="C3671" s="3">
        <v>0.7783796296296296</v>
      </c>
      <c r="D3671" s="1">
        <v>12.960215</v>
      </c>
      <c r="E3671" s="1">
        <v>80.14558</v>
      </c>
      <c r="F3671" s="1">
        <v>2846.0</v>
      </c>
      <c r="G3671" s="1">
        <v>0.0</v>
      </c>
    </row>
    <row r="3672">
      <c r="A3672" s="1" t="s">
        <v>8</v>
      </c>
      <c r="B3672" s="2">
        <v>44721.0</v>
      </c>
      <c r="C3672" s="3">
        <v>0.7808101851851852</v>
      </c>
      <c r="D3672" s="1">
        <v>12.95064</v>
      </c>
      <c r="E3672" s="1">
        <v>80.139761</v>
      </c>
      <c r="F3672" s="1">
        <v>2846.0</v>
      </c>
      <c r="G3672" s="1">
        <v>0.0</v>
      </c>
    </row>
    <row r="3673">
      <c r="A3673" s="1" t="s">
        <v>9</v>
      </c>
      <c r="B3673" s="2">
        <v>44721.0</v>
      </c>
      <c r="C3673" s="3">
        <v>0.7815856481481481</v>
      </c>
      <c r="D3673" s="1">
        <v>12.948033</v>
      </c>
      <c r="E3673" s="1">
        <v>80.137677</v>
      </c>
      <c r="F3673" s="1">
        <v>2846.0</v>
      </c>
      <c r="G3673" s="1">
        <v>49.0</v>
      </c>
    </row>
    <row r="3674">
      <c r="A3674" s="1" t="s">
        <v>8</v>
      </c>
      <c r="B3674" s="2">
        <v>44721.0</v>
      </c>
      <c r="C3674" s="3">
        <v>0.7828125</v>
      </c>
      <c r="D3674" s="1">
        <v>12.941265</v>
      </c>
      <c r="E3674" s="1">
        <v>80.131901</v>
      </c>
      <c r="F3674" s="1">
        <v>2846.0</v>
      </c>
      <c r="G3674" s="1">
        <v>44.0</v>
      </c>
    </row>
    <row r="3675">
      <c r="A3675" s="1" t="s">
        <v>8</v>
      </c>
      <c r="B3675" s="2">
        <v>44721.0</v>
      </c>
      <c r="C3675" s="3">
        <v>0.7833217592592593</v>
      </c>
      <c r="D3675" s="1">
        <v>12.938434</v>
      </c>
      <c r="E3675" s="1">
        <v>80.1292</v>
      </c>
      <c r="F3675" s="1">
        <v>2846.0</v>
      </c>
      <c r="G3675" s="1">
        <v>54.0</v>
      </c>
    </row>
    <row r="3676">
      <c r="A3676" s="1" t="s">
        <v>8</v>
      </c>
      <c r="B3676" s="2">
        <v>44721.0</v>
      </c>
      <c r="C3676" s="3">
        <v>0.7872453703703703</v>
      </c>
      <c r="D3676" s="1">
        <v>12.926233</v>
      </c>
      <c r="E3676" s="1">
        <v>80.117503</v>
      </c>
      <c r="F3676" s="1">
        <v>2846.0</v>
      </c>
      <c r="G3676" s="1">
        <v>12.0</v>
      </c>
    </row>
    <row r="3677">
      <c r="A3677" s="1" t="s">
        <v>8</v>
      </c>
      <c r="B3677" s="2">
        <v>44721.0</v>
      </c>
      <c r="C3677" s="3">
        <v>0.7877199074074074</v>
      </c>
      <c r="D3677" s="1">
        <v>12.923485</v>
      </c>
      <c r="E3677" s="1">
        <v>80.11471</v>
      </c>
      <c r="F3677" s="1">
        <v>2846.0</v>
      </c>
      <c r="G3677" s="1">
        <v>38.0</v>
      </c>
    </row>
    <row r="3678">
      <c r="A3678" s="1" t="s">
        <v>8</v>
      </c>
      <c r="B3678" s="2">
        <v>44721.0</v>
      </c>
      <c r="C3678" s="3">
        <v>0.7887847222222222</v>
      </c>
      <c r="D3678" s="1">
        <v>12.917259</v>
      </c>
      <c r="E3678" s="1">
        <v>80.107689</v>
      </c>
      <c r="F3678" s="1">
        <v>2846.0</v>
      </c>
      <c r="G3678" s="1">
        <v>21.0</v>
      </c>
    </row>
    <row r="3679">
      <c r="A3679" s="1" t="s">
        <v>8</v>
      </c>
      <c r="B3679" s="2">
        <v>44721.0</v>
      </c>
      <c r="C3679" s="3">
        <v>0.7888425925925926</v>
      </c>
      <c r="D3679" s="1">
        <v>12.917259</v>
      </c>
      <c r="E3679" s="1">
        <v>80.107689</v>
      </c>
      <c r="F3679" s="1">
        <v>2846.0</v>
      </c>
      <c r="G3679" s="1">
        <v>21.0</v>
      </c>
    </row>
    <row r="3680">
      <c r="A3680" s="1" t="s">
        <v>8</v>
      </c>
      <c r="B3680" s="2">
        <v>44721.0</v>
      </c>
      <c r="C3680" s="3">
        <v>0.7888657407407408</v>
      </c>
      <c r="D3680" s="1">
        <v>12.917259</v>
      </c>
      <c r="E3680" s="1">
        <v>80.107689</v>
      </c>
      <c r="F3680" s="1">
        <v>2846.0</v>
      </c>
      <c r="G3680" s="1">
        <v>21.0</v>
      </c>
    </row>
    <row r="3681">
      <c r="A3681" s="1" t="s">
        <v>8</v>
      </c>
      <c r="B3681" s="2">
        <v>44721.0</v>
      </c>
      <c r="C3681" s="3">
        <v>0.7892592592592592</v>
      </c>
      <c r="D3681" s="1">
        <v>12.915844</v>
      </c>
      <c r="E3681" s="1">
        <v>80.105127</v>
      </c>
      <c r="F3681" s="1">
        <v>2846.0</v>
      </c>
      <c r="G3681" s="1">
        <v>31.0</v>
      </c>
    </row>
    <row r="3682">
      <c r="A3682" s="1" t="s">
        <v>8</v>
      </c>
      <c r="B3682" s="2">
        <v>44721.0</v>
      </c>
      <c r="C3682" s="3">
        <v>0.7897800925925926</v>
      </c>
      <c r="D3682" s="1">
        <v>12.91435</v>
      </c>
      <c r="E3682" s="1">
        <v>80.102554</v>
      </c>
      <c r="F3682" s="1">
        <v>2846.0</v>
      </c>
      <c r="G3682" s="1">
        <v>32.0</v>
      </c>
    </row>
    <row r="3683">
      <c r="A3683" s="1" t="s">
        <v>8</v>
      </c>
      <c r="B3683" s="2">
        <v>44721.0</v>
      </c>
      <c r="C3683" s="3">
        <v>0.7900462962962963</v>
      </c>
      <c r="D3683" s="1">
        <v>12.912291</v>
      </c>
      <c r="E3683" s="1">
        <v>80.101524</v>
      </c>
      <c r="F3683" s="1">
        <v>2846.0</v>
      </c>
      <c r="G3683" s="1">
        <v>27.0</v>
      </c>
    </row>
    <row r="3684">
      <c r="A3684" s="1" t="s">
        <v>8</v>
      </c>
      <c r="B3684" s="2">
        <v>44721.0</v>
      </c>
      <c r="C3684" s="3">
        <v>0.7901736111111111</v>
      </c>
      <c r="D3684" s="1">
        <v>12.912291</v>
      </c>
      <c r="E3684" s="1">
        <v>80.101524</v>
      </c>
      <c r="F3684" s="1">
        <v>2846.0</v>
      </c>
      <c r="G3684" s="1">
        <v>27.0</v>
      </c>
    </row>
    <row r="3685">
      <c r="A3685" s="1" t="s">
        <v>8</v>
      </c>
      <c r="B3685" s="2">
        <v>44721.0</v>
      </c>
      <c r="C3685" s="3">
        <v>0.7921296296296296</v>
      </c>
      <c r="D3685" s="1">
        <v>12.905097</v>
      </c>
      <c r="E3685" s="1">
        <v>80.095539</v>
      </c>
      <c r="F3685" s="1">
        <v>2846.0</v>
      </c>
      <c r="G3685" s="1">
        <v>17.0</v>
      </c>
    </row>
    <row r="3686">
      <c r="A3686" s="1" t="s">
        <v>8</v>
      </c>
      <c r="B3686" s="2">
        <v>44721.0</v>
      </c>
      <c r="C3686" s="3">
        <v>0.7933101851851851</v>
      </c>
      <c r="D3686" s="1">
        <v>12.898154</v>
      </c>
      <c r="E3686" s="1">
        <v>80.090134</v>
      </c>
      <c r="F3686" s="1">
        <v>2846.0</v>
      </c>
      <c r="G3686" s="1">
        <v>45.0</v>
      </c>
    </row>
    <row r="3687">
      <c r="A3687" s="1" t="s">
        <v>7</v>
      </c>
      <c r="B3687" s="2">
        <v>44721.0</v>
      </c>
      <c r="C3687" s="3">
        <v>0.7939583333333333</v>
      </c>
      <c r="D3687" s="1">
        <v>12.893814</v>
      </c>
      <c r="E3687" s="1">
        <v>80.086926</v>
      </c>
      <c r="F3687" s="1">
        <v>2846.0</v>
      </c>
      <c r="G3687" s="1">
        <v>40.0</v>
      </c>
    </row>
    <row r="3688">
      <c r="A3688" s="1" t="s">
        <v>10</v>
      </c>
      <c r="B3688" s="2">
        <v>44722.0</v>
      </c>
      <c r="C3688" s="3">
        <v>0.279525462962963</v>
      </c>
      <c r="D3688" s="1">
        <v>12.877912</v>
      </c>
      <c r="E3688" s="1">
        <v>80.08357</v>
      </c>
      <c r="F3688" s="1">
        <v>2846.0</v>
      </c>
      <c r="G3688" s="1">
        <v>36.0</v>
      </c>
    </row>
    <row r="3689">
      <c r="A3689" s="1" t="s">
        <v>8</v>
      </c>
      <c r="B3689" s="2">
        <v>44722.0</v>
      </c>
      <c r="C3689" s="3">
        <v>0.28024305555555556</v>
      </c>
      <c r="D3689" s="1">
        <v>12.883629</v>
      </c>
      <c r="E3689" s="1">
        <v>80.081528</v>
      </c>
      <c r="F3689" s="1">
        <v>2846.0</v>
      </c>
      <c r="G3689" s="1">
        <v>47.0</v>
      </c>
    </row>
    <row r="3690">
      <c r="A3690" s="1" t="s">
        <v>7</v>
      </c>
      <c r="B3690" s="2">
        <v>44722.0</v>
      </c>
      <c r="C3690" s="3">
        <v>0.2806828703703704</v>
      </c>
      <c r="D3690" s="1">
        <v>12.883629</v>
      </c>
      <c r="E3690" s="1">
        <v>80.081528</v>
      </c>
      <c r="F3690" s="1">
        <v>2846.0</v>
      </c>
      <c r="G3690" s="1">
        <v>47.0</v>
      </c>
    </row>
    <row r="3691">
      <c r="A3691" s="1" t="s">
        <v>7</v>
      </c>
      <c r="B3691" s="2">
        <v>44722.0</v>
      </c>
      <c r="C3691" s="3">
        <v>0.28119212962962964</v>
      </c>
      <c r="D3691" s="1">
        <v>12.892868</v>
      </c>
      <c r="E3691" s="1">
        <v>80.086003</v>
      </c>
      <c r="F3691" s="1">
        <v>2846.0</v>
      </c>
      <c r="G3691" s="1">
        <v>57.0</v>
      </c>
    </row>
    <row r="3692">
      <c r="A3692" s="1" t="s">
        <v>7</v>
      </c>
      <c r="B3692" s="2">
        <v>44722.0</v>
      </c>
      <c r="C3692" s="3">
        <v>0.28185185185185185</v>
      </c>
      <c r="D3692" s="1">
        <v>12.901075</v>
      </c>
      <c r="E3692" s="1">
        <v>80.092166</v>
      </c>
      <c r="F3692" s="1">
        <v>2846.0</v>
      </c>
      <c r="G3692" s="1">
        <v>58.0</v>
      </c>
    </row>
    <row r="3693">
      <c r="A3693" s="1" t="s">
        <v>7</v>
      </c>
      <c r="B3693" s="2">
        <v>44722.0</v>
      </c>
      <c r="C3693" s="3">
        <v>0.2820023148148148</v>
      </c>
      <c r="D3693" s="1">
        <v>12.901075</v>
      </c>
      <c r="E3693" s="1">
        <v>80.092166</v>
      </c>
      <c r="F3693" s="1">
        <v>2846.0</v>
      </c>
      <c r="G3693" s="1">
        <v>58.0</v>
      </c>
    </row>
    <row r="3694">
      <c r="A3694" s="1" t="s">
        <v>8</v>
      </c>
      <c r="B3694" s="2">
        <v>44722.0</v>
      </c>
      <c r="C3694" s="3">
        <v>0.28238425925925925</v>
      </c>
      <c r="D3694" s="1">
        <v>12.907784</v>
      </c>
      <c r="E3694" s="1">
        <v>80.097186</v>
      </c>
      <c r="F3694" s="1">
        <v>2846.0</v>
      </c>
      <c r="G3694" s="1">
        <v>48.0</v>
      </c>
    </row>
    <row r="3695">
      <c r="A3695" s="1" t="s">
        <v>8</v>
      </c>
      <c r="B3695" s="2">
        <v>44722.0</v>
      </c>
      <c r="C3695" s="3">
        <v>0.2831828703703704</v>
      </c>
      <c r="D3695" s="1">
        <v>12.910024</v>
      </c>
      <c r="E3695" s="1">
        <v>80.100069</v>
      </c>
      <c r="F3695" s="1">
        <v>2846.0</v>
      </c>
      <c r="G3695" s="1">
        <v>47.0</v>
      </c>
    </row>
    <row r="3696">
      <c r="A3696" s="1" t="s">
        <v>7</v>
      </c>
      <c r="B3696" s="2">
        <v>44722.0</v>
      </c>
      <c r="C3696" s="3">
        <v>0.28358796296296296</v>
      </c>
      <c r="D3696" s="1">
        <v>12.910024</v>
      </c>
      <c r="E3696" s="1">
        <v>80.100069</v>
      </c>
      <c r="F3696" s="1">
        <v>2846.0</v>
      </c>
      <c r="G3696" s="1">
        <v>47.0</v>
      </c>
    </row>
    <row r="3697">
      <c r="A3697" s="1" t="s">
        <v>7</v>
      </c>
      <c r="B3697" s="2">
        <v>44722.0</v>
      </c>
      <c r="C3697" s="3">
        <v>0.2842708333333333</v>
      </c>
      <c r="D3697" s="1">
        <v>12.919517</v>
      </c>
      <c r="E3697" s="1">
        <v>80.110374</v>
      </c>
      <c r="F3697" s="1">
        <v>2846.0</v>
      </c>
      <c r="G3697" s="1">
        <v>58.0</v>
      </c>
    </row>
    <row r="3698">
      <c r="A3698" s="1" t="s">
        <v>7</v>
      </c>
      <c r="B3698" s="2">
        <v>44722.0</v>
      </c>
      <c r="C3698" s="3">
        <v>0.28497685185185184</v>
      </c>
      <c r="D3698" s="1">
        <v>12.922509</v>
      </c>
      <c r="E3698" s="1">
        <v>80.113527</v>
      </c>
      <c r="F3698" s="1">
        <v>2846.0</v>
      </c>
      <c r="G3698" s="1">
        <v>50.0</v>
      </c>
    </row>
    <row r="3699">
      <c r="A3699" s="1" t="s">
        <v>8</v>
      </c>
      <c r="B3699" s="2">
        <v>44722.0</v>
      </c>
      <c r="C3699" s="3">
        <v>0.28730324074074076</v>
      </c>
      <c r="D3699" s="1">
        <v>12.927526</v>
      </c>
      <c r="E3699" s="1">
        <v>80.118621</v>
      </c>
      <c r="F3699" s="1">
        <v>2846.0</v>
      </c>
      <c r="G3699" s="1">
        <v>22.0</v>
      </c>
    </row>
    <row r="3700">
      <c r="A3700" s="1" t="s">
        <v>8</v>
      </c>
      <c r="B3700" s="2">
        <v>44722.0</v>
      </c>
      <c r="C3700" s="3">
        <v>0.28782407407407407</v>
      </c>
      <c r="D3700" s="1">
        <v>12.927526</v>
      </c>
      <c r="E3700" s="1">
        <v>80.118621</v>
      </c>
      <c r="F3700" s="1">
        <v>2846.0</v>
      </c>
      <c r="G3700" s="1">
        <v>22.0</v>
      </c>
    </row>
    <row r="3701">
      <c r="A3701" s="1" t="s">
        <v>8</v>
      </c>
      <c r="B3701" s="2">
        <v>44722.0</v>
      </c>
      <c r="C3701" s="3">
        <v>0.28824074074074074</v>
      </c>
      <c r="D3701" s="1">
        <v>12.932821</v>
      </c>
      <c r="E3701" s="1">
        <v>80.123828</v>
      </c>
      <c r="F3701" s="1">
        <v>2846.0</v>
      </c>
      <c r="G3701" s="1">
        <v>41.0</v>
      </c>
    </row>
    <row r="3702">
      <c r="A3702" s="1" t="s">
        <v>7</v>
      </c>
      <c r="B3702" s="2">
        <v>44722.0</v>
      </c>
      <c r="C3702" s="3">
        <v>0.2889467592592593</v>
      </c>
      <c r="D3702" s="1">
        <v>12.936208</v>
      </c>
      <c r="E3702" s="1">
        <v>80.127017</v>
      </c>
      <c r="F3702" s="1">
        <v>2846.0</v>
      </c>
      <c r="G3702" s="1">
        <v>25.0</v>
      </c>
    </row>
    <row r="3703">
      <c r="A3703" s="1" t="s">
        <v>8</v>
      </c>
      <c r="B3703" s="2">
        <v>44722.0</v>
      </c>
      <c r="C3703" s="3">
        <v>0.2890509259259259</v>
      </c>
      <c r="D3703" s="1">
        <v>12.936697</v>
      </c>
      <c r="E3703" s="1">
        <v>80.127512</v>
      </c>
      <c r="F3703" s="1">
        <v>2846.0</v>
      </c>
      <c r="G3703" s="1">
        <v>38.0</v>
      </c>
    </row>
    <row r="3704">
      <c r="A3704" s="1" t="s">
        <v>7</v>
      </c>
      <c r="B3704" s="2">
        <v>44722.0</v>
      </c>
      <c r="C3704" s="3">
        <v>0.28922453703703704</v>
      </c>
      <c r="D3704" s="1">
        <v>12.937559</v>
      </c>
      <c r="E3704" s="1">
        <v>80.128254</v>
      </c>
      <c r="F3704" s="1">
        <v>2846.0</v>
      </c>
      <c r="G3704" s="1">
        <v>51.0</v>
      </c>
    </row>
    <row r="3705">
      <c r="A3705" s="1" t="s">
        <v>8</v>
      </c>
      <c r="B3705" s="2">
        <v>44722.0</v>
      </c>
      <c r="C3705" s="3">
        <v>0.2896296296296296</v>
      </c>
      <c r="D3705" s="1">
        <v>12.928824</v>
      </c>
      <c r="E3705" s="1">
        <v>80.119912</v>
      </c>
      <c r="F3705" s="1">
        <v>2846.0</v>
      </c>
      <c r="G3705" s="1">
        <v>39.0</v>
      </c>
    </row>
    <row r="3706">
      <c r="A3706" s="1" t="s">
        <v>7</v>
      </c>
      <c r="B3706" s="2">
        <v>44722.0</v>
      </c>
      <c r="C3706" s="3">
        <v>0.29030092592592593</v>
      </c>
      <c r="D3706" s="1">
        <v>12.938607</v>
      </c>
      <c r="E3706" s="1">
        <v>80.129147</v>
      </c>
      <c r="F3706" s="1">
        <v>2846.0</v>
      </c>
      <c r="G3706" s="1">
        <v>55.0</v>
      </c>
    </row>
    <row r="3707">
      <c r="A3707" s="1" t="s">
        <v>8</v>
      </c>
      <c r="B3707" s="2">
        <v>44722.0</v>
      </c>
      <c r="C3707" s="3">
        <v>0.290462962962963</v>
      </c>
      <c r="D3707" s="1">
        <v>12.938607</v>
      </c>
      <c r="E3707" s="1">
        <v>80.129147</v>
      </c>
      <c r="F3707" s="1">
        <v>2846.0</v>
      </c>
      <c r="G3707" s="1">
        <v>55.0</v>
      </c>
    </row>
    <row r="3708">
      <c r="A3708" s="1" t="s">
        <v>8</v>
      </c>
      <c r="B3708" s="2">
        <v>44722.0</v>
      </c>
      <c r="C3708" s="3">
        <v>0.290462962962963</v>
      </c>
      <c r="D3708" s="1">
        <v>12.93407</v>
      </c>
      <c r="E3708" s="1">
        <v>80.125108</v>
      </c>
      <c r="F3708" s="1">
        <v>2846.0</v>
      </c>
      <c r="G3708" s="1">
        <v>37.0</v>
      </c>
    </row>
    <row r="3709">
      <c r="A3709" s="1" t="s">
        <v>8</v>
      </c>
      <c r="B3709" s="2">
        <v>44722.0</v>
      </c>
      <c r="C3709" s="3">
        <v>0.2904861111111111</v>
      </c>
      <c r="D3709" s="1">
        <v>12.93407</v>
      </c>
      <c r="E3709" s="1">
        <v>80.125108</v>
      </c>
      <c r="F3709" s="1">
        <v>2846.0</v>
      </c>
      <c r="G3709" s="1">
        <v>37.0</v>
      </c>
    </row>
    <row r="3710">
      <c r="A3710" s="1" t="s">
        <v>8</v>
      </c>
      <c r="B3710" s="2">
        <v>44722.0</v>
      </c>
      <c r="C3710" s="3">
        <v>0.2906712962962963</v>
      </c>
      <c r="D3710" s="1">
        <v>12.93407</v>
      </c>
      <c r="E3710" s="1">
        <v>80.125108</v>
      </c>
      <c r="F3710" s="1">
        <v>2846.0</v>
      </c>
      <c r="G3710" s="1">
        <v>37.0</v>
      </c>
    </row>
    <row r="3711">
      <c r="A3711" s="1" t="s">
        <v>8</v>
      </c>
      <c r="B3711" s="2">
        <v>44722.0</v>
      </c>
      <c r="C3711" s="3">
        <v>0.2915509259259259</v>
      </c>
      <c r="D3711" s="1">
        <v>12.936208</v>
      </c>
      <c r="E3711" s="1">
        <v>80.127017</v>
      </c>
      <c r="F3711" s="1">
        <v>2846.0</v>
      </c>
      <c r="G3711" s="1">
        <v>25.0</v>
      </c>
    </row>
    <row r="3712">
      <c r="A3712" s="1" t="s">
        <v>8</v>
      </c>
      <c r="B3712" s="2">
        <v>44722.0</v>
      </c>
      <c r="C3712" s="3">
        <v>0.2915625</v>
      </c>
      <c r="D3712" s="1">
        <v>12.942896</v>
      </c>
      <c r="E3712" s="1">
        <v>80.133398</v>
      </c>
      <c r="F3712" s="1">
        <v>2846.0</v>
      </c>
      <c r="G3712" s="1">
        <v>30.0</v>
      </c>
    </row>
    <row r="3713">
      <c r="A3713" s="1" t="s">
        <v>8</v>
      </c>
      <c r="B3713" s="2">
        <v>44722.0</v>
      </c>
      <c r="C3713" s="3">
        <v>0.29246527777777775</v>
      </c>
      <c r="D3713" s="1">
        <v>12.947607</v>
      </c>
      <c r="E3713" s="1">
        <v>80.137245</v>
      </c>
      <c r="F3713" s="1">
        <v>2846.0</v>
      </c>
      <c r="G3713" s="1">
        <v>44.0</v>
      </c>
    </row>
    <row r="3714">
      <c r="A3714" s="1" t="s">
        <v>7</v>
      </c>
      <c r="B3714" s="2">
        <v>44722.0</v>
      </c>
      <c r="C3714" s="3">
        <v>0.29354166666666665</v>
      </c>
      <c r="D3714" s="1">
        <v>12.955558</v>
      </c>
      <c r="E3714" s="1">
        <v>80.142726</v>
      </c>
      <c r="F3714" s="1">
        <v>2846.0</v>
      </c>
      <c r="G3714" s="1">
        <v>28.0</v>
      </c>
    </row>
    <row r="3715">
      <c r="A3715" s="1" t="s">
        <v>7</v>
      </c>
      <c r="B3715" s="2">
        <v>44722.0</v>
      </c>
      <c r="C3715" s="3">
        <v>0.2940625</v>
      </c>
      <c r="D3715" s="1">
        <v>12.955786</v>
      </c>
      <c r="E3715" s="1">
        <v>80.142851</v>
      </c>
      <c r="F3715" s="1">
        <v>2846.0</v>
      </c>
      <c r="G3715" s="1">
        <v>0.0</v>
      </c>
    </row>
    <row r="3716">
      <c r="A3716" s="1" t="s">
        <v>7</v>
      </c>
      <c r="B3716" s="2">
        <v>44722.0</v>
      </c>
      <c r="C3716" s="3">
        <v>0.29431712962962964</v>
      </c>
      <c r="D3716" s="1">
        <v>12.951907</v>
      </c>
      <c r="E3716" s="1">
        <v>80.140556</v>
      </c>
      <c r="F3716" s="1">
        <v>2846.0</v>
      </c>
      <c r="G3716" s="1">
        <v>36.0</v>
      </c>
    </row>
    <row r="3717">
      <c r="A3717" s="1" t="s">
        <v>7</v>
      </c>
      <c r="B3717" s="2">
        <v>44722.0</v>
      </c>
      <c r="C3717" s="3">
        <v>0.29434027777777777</v>
      </c>
      <c r="D3717" s="1">
        <v>12.951907</v>
      </c>
      <c r="E3717" s="1">
        <v>80.140556</v>
      </c>
      <c r="F3717" s="1">
        <v>2846.0</v>
      </c>
      <c r="G3717" s="1">
        <v>36.0</v>
      </c>
    </row>
    <row r="3718">
      <c r="A3718" s="1" t="s">
        <v>7</v>
      </c>
      <c r="B3718" s="2">
        <v>44722.0</v>
      </c>
      <c r="C3718" s="3">
        <v>0.29640046296296296</v>
      </c>
      <c r="D3718" s="1">
        <v>12.955094</v>
      </c>
      <c r="E3718" s="1">
        <v>80.156162</v>
      </c>
      <c r="F3718" s="1">
        <v>2846.0</v>
      </c>
      <c r="G3718" s="1">
        <v>58.0</v>
      </c>
    </row>
    <row r="3719">
      <c r="A3719" s="1" t="s">
        <v>7</v>
      </c>
      <c r="B3719" s="2">
        <v>44722.0</v>
      </c>
      <c r="C3719" s="3">
        <v>0.2965740740740741</v>
      </c>
      <c r="D3719" s="1">
        <v>12.954812</v>
      </c>
      <c r="E3719" s="1">
        <v>80.157622</v>
      </c>
      <c r="F3719" s="1">
        <v>2846.0</v>
      </c>
      <c r="G3719" s="1">
        <v>58.0</v>
      </c>
    </row>
    <row r="3720">
      <c r="A3720" s="1" t="s">
        <v>7</v>
      </c>
      <c r="B3720" s="2">
        <v>44722.0</v>
      </c>
      <c r="C3720" s="3">
        <v>0.2967592592592593</v>
      </c>
      <c r="D3720" s="1">
        <v>12.954538</v>
      </c>
      <c r="E3720" s="1">
        <v>80.158952</v>
      </c>
      <c r="F3720" s="1">
        <v>2846.0</v>
      </c>
      <c r="G3720" s="1">
        <v>43.0</v>
      </c>
    </row>
    <row r="3721">
      <c r="A3721" s="1" t="s">
        <v>10</v>
      </c>
      <c r="B3721" s="2">
        <v>44722.0</v>
      </c>
      <c r="C3721" s="3">
        <v>0.2970949074074074</v>
      </c>
      <c r="D3721" s="1">
        <v>13.063747</v>
      </c>
      <c r="E3721" s="1">
        <v>80.250832</v>
      </c>
      <c r="F3721" s="1">
        <v>805.0</v>
      </c>
      <c r="G3721" s="1">
        <v>0.0</v>
      </c>
    </row>
    <row r="3722">
      <c r="A3722" s="1" t="s">
        <v>7</v>
      </c>
      <c r="B3722" s="2">
        <v>44722.0</v>
      </c>
      <c r="C3722" s="3">
        <v>0.29765046296296294</v>
      </c>
      <c r="D3722" s="1">
        <v>12.955094</v>
      </c>
      <c r="E3722" s="1">
        <v>80.156162</v>
      </c>
      <c r="F3722" s="1">
        <v>2846.0</v>
      </c>
      <c r="G3722" s="1">
        <v>58.0</v>
      </c>
    </row>
    <row r="3723">
      <c r="A3723" s="1" t="s">
        <v>9</v>
      </c>
      <c r="B3723" s="2">
        <v>44722.0</v>
      </c>
      <c r="C3723" s="3">
        <v>0.2978703703703704</v>
      </c>
      <c r="D3723" s="1">
        <v>13.063756</v>
      </c>
      <c r="E3723" s="1">
        <v>80.250836</v>
      </c>
      <c r="F3723" s="1">
        <v>805.0</v>
      </c>
      <c r="G3723" s="1">
        <v>0.0</v>
      </c>
    </row>
    <row r="3724">
      <c r="A3724" s="1" t="s">
        <v>8</v>
      </c>
      <c r="B3724" s="2">
        <v>44722.0</v>
      </c>
      <c r="C3724" s="3">
        <v>0.29810185185185184</v>
      </c>
      <c r="D3724" s="1">
        <v>13.06376</v>
      </c>
      <c r="E3724" s="1">
        <v>80.250839</v>
      </c>
      <c r="F3724" s="1">
        <v>805.0</v>
      </c>
      <c r="G3724" s="1">
        <v>0.0</v>
      </c>
    </row>
    <row r="3725">
      <c r="A3725" s="1" t="s">
        <v>10</v>
      </c>
      <c r="B3725" s="2">
        <v>44722.0</v>
      </c>
      <c r="C3725" s="3">
        <v>0.29832175925925924</v>
      </c>
      <c r="D3725" s="1">
        <v>13.06376</v>
      </c>
      <c r="E3725" s="1">
        <v>80.250839</v>
      </c>
      <c r="F3725" s="1">
        <v>805.0</v>
      </c>
      <c r="G3725" s="1">
        <v>0.0</v>
      </c>
    </row>
    <row r="3726">
      <c r="A3726" s="1" t="s">
        <v>10</v>
      </c>
      <c r="B3726" s="2">
        <v>44722.0</v>
      </c>
      <c r="C3726" s="3">
        <v>0.3022222222222222</v>
      </c>
      <c r="D3726" s="1">
        <v>13.063186</v>
      </c>
      <c r="E3726" s="1">
        <v>80.247617</v>
      </c>
      <c r="F3726" s="1">
        <v>805.0</v>
      </c>
      <c r="G3726" s="1">
        <v>28.0</v>
      </c>
    </row>
    <row r="3727">
      <c r="A3727" s="1" t="s">
        <v>8</v>
      </c>
      <c r="B3727" s="2">
        <v>44722.0</v>
      </c>
      <c r="C3727" s="3">
        <v>0.3026273148148148</v>
      </c>
      <c r="D3727" s="1">
        <v>13.061549</v>
      </c>
      <c r="E3727" s="1">
        <v>80.247247</v>
      </c>
      <c r="F3727" s="1">
        <v>805.0</v>
      </c>
      <c r="G3727" s="1">
        <v>31.0</v>
      </c>
    </row>
    <row r="3728">
      <c r="A3728" s="1" t="s">
        <v>8</v>
      </c>
      <c r="B3728" s="2">
        <v>44722.0</v>
      </c>
      <c r="C3728" s="3">
        <v>0.3029861111111111</v>
      </c>
      <c r="D3728" s="1">
        <v>12.948771</v>
      </c>
      <c r="E3728" s="1">
        <v>80.204225</v>
      </c>
      <c r="F3728" s="1">
        <v>2846.0</v>
      </c>
      <c r="G3728" s="1">
        <v>59.0</v>
      </c>
    </row>
    <row r="3729">
      <c r="A3729" s="1" t="s">
        <v>10</v>
      </c>
      <c r="B3729" s="2">
        <v>44722.0</v>
      </c>
      <c r="C3729" s="3">
        <v>0.3057986111111111</v>
      </c>
      <c r="D3729" s="1">
        <v>13.068632</v>
      </c>
      <c r="E3729" s="1">
        <v>80.255885</v>
      </c>
      <c r="F3729" s="1">
        <v>805.0</v>
      </c>
      <c r="G3729" s="1">
        <v>33.0</v>
      </c>
    </row>
    <row r="3730">
      <c r="A3730" s="1" t="s">
        <v>10</v>
      </c>
      <c r="B3730" s="2">
        <v>44722.0</v>
      </c>
      <c r="C3730" s="3">
        <v>0.30671296296296297</v>
      </c>
      <c r="D3730" s="1">
        <v>13.070564</v>
      </c>
      <c r="E3730" s="1">
        <v>80.257981</v>
      </c>
      <c r="F3730" s="1">
        <v>805.0</v>
      </c>
      <c r="G3730" s="1">
        <v>28.0</v>
      </c>
    </row>
    <row r="3731">
      <c r="A3731" s="1" t="s">
        <v>10</v>
      </c>
      <c r="B3731" s="2">
        <v>44722.0</v>
      </c>
      <c r="C3731" s="3">
        <v>0.30721064814814814</v>
      </c>
      <c r="D3731" s="1">
        <v>13.068632</v>
      </c>
      <c r="E3731" s="1">
        <v>80.255885</v>
      </c>
      <c r="F3731" s="1">
        <v>805.0</v>
      </c>
      <c r="G3731" s="1">
        <v>33.0</v>
      </c>
    </row>
    <row r="3732">
      <c r="A3732" s="1" t="s">
        <v>10</v>
      </c>
      <c r="B3732" s="2">
        <v>44722.0</v>
      </c>
      <c r="C3732" s="3">
        <v>0.30743055555555554</v>
      </c>
      <c r="D3732" s="1">
        <v>13.07143</v>
      </c>
      <c r="E3732" s="1">
        <v>80.25895</v>
      </c>
      <c r="F3732" s="1">
        <v>805.0</v>
      </c>
      <c r="G3732" s="1">
        <v>18.0</v>
      </c>
    </row>
    <row r="3733">
      <c r="A3733" s="1" t="s">
        <v>10</v>
      </c>
      <c r="B3733" s="2">
        <v>44722.0</v>
      </c>
      <c r="C3733" s="3">
        <v>0.3077199074074074</v>
      </c>
      <c r="D3733" s="1">
        <v>13.069647</v>
      </c>
      <c r="E3733" s="1">
        <v>80.257007</v>
      </c>
      <c r="F3733" s="1">
        <v>805.0</v>
      </c>
      <c r="G3733" s="1">
        <v>26.0</v>
      </c>
    </row>
    <row r="3734">
      <c r="A3734" s="1" t="s">
        <v>10</v>
      </c>
      <c r="B3734" s="2">
        <v>44722.0</v>
      </c>
      <c r="C3734" s="3">
        <v>0.30855324074074075</v>
      </c>
      <c r="D3734" s="1">
        <v>13.070564</v>
      </c>
      <c r="E3734" s="1">
        <v>80.257981</v>
      </c>
      <c r="F3734" s="1">
        <v>805.0</v>
      </c>
      <c r="G3734" s="1">
        <v>28.0</v>
      </c>
    </row>
    <row r="3735">
      <c r="A3735" s="1" t="s">
        <v>10</v>
      </c>
      <c r="B3735" s="2">
        <v>44722.0</v>
      </c>
      <c r="C3735" s="3">
        <v>0.30909722222222225</v>
      </c>
      <c r="D3735" s="1">
        <v>13.07143</v>
      </c>
      <c r="E3735" s="1">
        <v>80.25895</v>
      </c>
      <c r="F3735" s="1">
        <v>805.0</v>
      </c>
      <c r="G3735" s="1">
        <v>18.0</v>
      </c>
    </row>
    <row r="3736">
      <c r="A3736" s="1" t="s">
        <v>10</v>
      </c>
      <c r="B3736" s="2">
        <v>44722.0</v>
      </c>
      <c r="C3736" s="3">
        <v>0.31052083333333336</v>
      </c>
      <c r="D3736" s="1">
        <v>13.071166</v>
      </c>
      <c r="E3736" s="1">
        <v>80.265116</v>
      </c>
      <c r="F3736" s="1">
        <v>805.0</v>
      </c>
      <c r="G3736" s="1">
        <v>0.0</v>
      </c>
    </row>
    <row r="3737">
      <c r="A3737" s="1" t="s">
        <v>7</v>
      </c>
      <c r="B3737" s="2">
        <v>44722.0</v>
      </c>
      <c r="C3737" s="3">
        <v>0.31417824074074074</v>
      </c>
      <c r="D3737" s="1">
        <v>13.06791</v>
      </c>
      <c r="E3737" s="1">
        <v>80.272374</v>
      </c>
      <c r="F3737" s="1">
        <v>805.0</v>
      </c>
      <c r="G3737" s="1">
        <v>36.0</v>
      </c>
    </row>
    <row r="3738">
      <c r="A3738" s="1" t="s">
        <v>9</v>
      </c>
      <c r="B3738" s="2">
        <v>44722.0</v>
      </c>
      <c r="C3738" s="3">
        <v>0.315</v>
      </c>
      <c r="D3738" s="1">
        <v>13.062845</v>
      </c>
      <c r="E3738" s="1">
        <v>80.27419</v>
      </c>
      <c r="F3738" s="1">
        <v>805.0</v>
      </c>
      <c r="G3738" s="1">
        <v>27.0</v>
      </c>
    </row>
    <row r="3739">
      <c r="A3739" s="1" t="s">
        <v>8</v>
      </c>
      <c r="B3739" s="2">
        <v>44722.0</v>
      </c>
      <c r="C3739" s="3">
        <v>0.3155787037037037</v>
      </c>
      <c r="D3739" s="1">
        <v>13.061161</v>
      </c>
      <c r="E3739" s="1">
        <v>80.274346</v>
      </c>
      <c r="F3739" s="1">
        <v>805.0</v>
      </c>
      <c r="G3739" s="1">
        <v>0.0</v>
      </c>
    </row>
    <row r="3740">
      <c r="A3740" s="1" t="s">
        <v>8</v>
      </c>
      <c r="B3740" s="2">
        <v>44722.0</v>
      </c>
      <c r="C3740" s="3">
        <v>0.31559027777777776</v>
      </c>
      <c r="D3740" s="1">
        <v>13.061161</v>
      </c>
      <c r="E3740" s="1">
        <v>80.274346</v>
      </c>
      <c r="F3740" s="1">
        <v>805.0</v>
      </c>
      <c r="G3740" s="1">
        <v>0.0</v>
      </c>
    </row>
    <row r="3741">
      <c r="A3741" s="1" t="s">
        <v>8</v>
      </c>
      <c r="B3741" s="2">
        <v>44722.0</v>
      </c>
      <c r="C3741" s="3">
        <v>0.31560185185185186</v>
      </c>
      <c r="D3741" s="1">
        <v>13.062563</v>
      </c>
      <c r="E3741" s="1">
        <v>80.274207</v>
      </c>
      <c r="F3741" s="1">
        <v>805.0</v>
      </c>
      <c r="G3741" s="1">
        <v>0.0</v>
      </c>
    </row>
    <row r="3742">
      <c r="A3742" s="1" t="s">
        <v>7</v>
      </c>
      <c r="B3742" s="2">
        <v>44722.0</v>
      </c>
      <c r="C3742" s="3">
        <v>0.31578703703703703</v>
      </c>
      <c r="D3742" s="1">
        <v>13.062373</v>
      </c>
      <c r="E3742" s="1">
        <v>80.274238</v>
      </c>
      <c r="F3742" s="1">
        <v>805.0</v>
      </c>
      <c r="G3742" s="1">
        <v>15.0</v>
      </c>
    </row>
    <row r="3743">
      <c r="A3743" s="1" t="s">
        <v>8</v>
      </c>
      <c r="B3743" s="2">
        <v>44722.0</v>
      </c>
      <c r="C3743" s="3">
        <v>0.3178125</v>
      </c>
      <c r="D3743" s="1">
        <v>12.979733</v>
      </c>
      <c r="E3743" s="1">
        <v>80.227179</v>
      </c>
      <c r="F3743" s="1">
        <v>2846.0</v>
      </c>
      <c r="G3743" s="1">
        <v>0.0</v>
      </c>
    </row>
    <row r="3744">
      <c r="A3744" s="1" t="s">
        <v>8</v>
      </c>
      <c r="B3744" s="2">
        <v>44722.0</v>
      </c>
      <c r="C3744" s="3">
        <v>0.318125</v>
      </c>
      <c r="D3744" s="1">
        <v>12.979733</v>
      </c>
      <c r="E3744" s="1">
        <v>80.227179</v>
      </c>
      <c r="F3744" s="1">
        <v>2846.0</v>
      </c>
      <c r="G3744" s="1">
        <v>0.0</v>
      </c>
    </row>
    <row r="3745">
      <c r="A3745" s="1" t="s">
        <v>8</v>
      </c>
      <c r="B3745" s="2">
        <v>44722.0</v>
      </c>
      <c r="C3745" s="3">
        <v>0.31850694444444444</v>
      </c>
      <c r="D3745" s="1">
        <v>13.052898</v>
      </c>
      <c r="E3745" s="1">
        <v>80.273683</v>
      </c>
      <c r="F3745" s="1">
        <v>805.0</v>
      </c>
      <c r="G3745" s="1">
        <v>7.0</v>
      </c>
    </row>
    <row r="3746">
      <c r="A3746" s="1" t="s">
        <v>8</v>
      </c>
      <c r="B3746" s="2">
        <v>44722.0</v>
      </c>
      <c r="C3746" s="3">
        <v>0.3185648148148148</v>
      </c>
      <c r="D3746" s="1">
        <v>13.052898</v>
      </c>
      <c r="E3746" s="1">
        <v>80.273683</v>
      </c>
      <c r="F3746" s="1">
        <v>805.0</v>
      </c>
      <c r="G3746" s="1">
        <v>7.0</v>
      </c>
    </row>
    <row r="3747">
      <c r="A3747" s="1" t="s">
        <v>7</v>
      </c>
      <c r="B3747" s="2">
        <v>44722.0</v>
      </c>
      <c r="C3747" s="3">
        <v>0.3188078703703704</v>
      </c>
      <c r="D3747" s="1">
        <v>12.979733</v>
      </c>
      <c r="E3747" s="1">
        <v>80.227179</v>
      </c>
      <c r="F3747" s="1">
        <v>2846.0</v>
      </c>
      <c r="G3747" s="1">
        <v>0.0</v>
      </c>
    </row>
    <row r="3748">
      <c r="A3748" s="1" t="s">
        <v>8</v>
      </c>
      <c r="B3748" s="2">
        <v>44722.0</v>
      </c>
      <c r="C3748" s="3">
        <v>0.31894675925925925</v>
      </c>
      <c r="D3748" s="1">
        <v>13.053192</v>
      </c>
      <c r="E3748" s="1">
        <v>80.271064</v>
      </c>
      <c r="F3748" s="1">
        <v>805.0</v>
      </c>
      <c r="G3748" s="1">
        <v>11.0</v>
      </c>
    </row>
    <row r="3749">
      <c r="A3749" s="1" t="s">
        <v>8</v>
      </c>
      <c r="B3749" s="2">
        <v>44722.0</v>
      </c>
      <c r="C3749" s="3">
        <v>0.3191435185185185</v>
      </c>
      <c r="D3749" s="1">
        <v>13.053232</v>
      </c>
      <c r="E3749" s="1">
        <v>80.270792</v>
      </c>
      <c r="F3749" s="1">
        <v>805.0</v>
      </c>
      <c r="G3749" s="1">
        <v>0.0</v>
      </c>
    </row>
    <row r="3750">
      <c r="A3750" s="1" t="s">
        <v>8</v>
      </c>
      <c r="B3750" s="2">
        <v>44722.0</v>
      </c>
      <c r="C3750" s="3">
        <v>0.31950231481481484</v>
      </c>
      <c r="D3750" s="1">
        <v>13.053232</v>
      </c>
      <c r="E3750" s="1">
        <v>80.270792</v>
      </c>
      <c r="F3750" s="1">
        <v>805.0</v>
      </c>
      <c r="G3750" s="1">
        <v>0.0</v>
      </c>
    </row>
    <row r="3751">
      <c r="A3751" s="1" t="s">
        <v>8</v>
      </c>
      <c r="B3751" s="2">
        <v>44722.0</v>
      </c>
      <c r="C3751" s="3">
        <v>0.3200925925925926</v>
      </c>
      <c r="D3751" s="1">
        <v>13.05331</v>
      </c>
      <c r="E3751" s="1">
        <v>80.270001</v>
      </c>
      <c r="F3751" s="1">
        <v>805.0</v>
      </c>
      <c r="G3751" s="1">
        <v>26.0</v>
      </c>
    </row>
    <row r="3752">
      <c r="A3752" s="1" t="s">
        <v>8</v>
      </c>
      <c r="B3752" s="2">
        <v>44722.0</v>
      </c>
      <c r="C3752" s="3">
        <v>0.3204282407407407</v>
      </c>
      <c r="D3752" s="1">
        <v>13.053232</v>
      </c>
      <c r="E3752" s="1">
        <v>80.270792</v>
      </c>
      <c r="F3752" s="1">
        <v>805.0</v>
      </c>
      <c r="G3752" s="1">
        <v>0.0</v>
      </c>
    </row>
    <row r="3753">
      <c r="A3753" s="1" t="s">
        <v>8</v>
      </c>
      <c r="B3753" s="2">
        <v>44722.0</v>
      </c>
      <c r="C3753" s="3">
        <v>0.32079861111111113</v>
      </c>
      <c r="D3753" s="1">
        <v>13.05331</v>
      </c>
      <c r="E3753" s="1">
        <v>80.270001</v>
      </c>
      <c r="F3753" s="1">
        <v>805.0</v>
      </c>
      <c r="G3753" s="1">
        <v>26.0</v>
      </c>
    </row>
    <row r="3754">
      <c r="A3754" s="1" t="s">
        <v>8</v>
      </c>
      <c r="B3754" s="2">
        <v>44722.0</v>
      </c>
      <c r="C3754" s="3">
        <v>0.32153935185185184</v>
      </c>
      <c r="D3754" s="1">
        <v>13.053631</v>
      </c>
      <c r="E3754" s="1">
        <v>80.266438</v>
      </c>
      <c r="F3754" s="1">
        <v>805.0</v>
      </c>
      <c r="G3754" s="1">
        <v>27.0</v>
      </c>
    </row>
    <row r="3755">
      <c r="A3755" s="1" t="s">
        <v>8</v>
      </c>
      <c r="B3755" s="2">
        <v>44722.0</v>
      </c>
      <c r="C3755" s="3">
        <v>0.32166666666666666</v>
      </c>
      <c r="D3755" s="1">
        <v>13.053631</v>
      </c>
      <c r="E3755" s="1">
        <v>80.266438</v>
      </c>
      <c r="F3755" s="1">
        <v>805.0</v>
      </c>
      <c r="G3755" s="1">
        <v>27.0</v>
      </c>
    </row>
    <row r="3756">
      <c r="A3756" s="1" t="s">
        <v>8</v>
      </c>
      <c r="B3756" s="2">
        <v>44722.0</v>
      </c>
      <c r="C3756" s="3">
        <v>0.32241898148148146</v>
      </c>
      <c r="D3756" s="1">
        <v>13.054153</v>
      </c>
      <c r="E3756" s="1">
        <v>80.260565</v>
      </c>
      <c r="F3756" s="1">
        <v>805.0</v>
      </c>
      <c r="G3756" s="1">
        <v>35.0</v>
      </c>
    </row>
    <row r="3757">
      <c r="A3757" s="1" t="s">
        <v>8</v>
      </c>
      <c r="B3757" s="2">
        <v>44722.0</v>
      </c>
      <c r="C3757" s="3">
        <v>0.32364583333333335</v>
      </c>
      <c r="D3757" s="1">
        <v>13.051809</v>
      </c>
      <c r="E3757" s="1">
        <v>80.250482</v>
      </c>
      <c r="F3757" s="1">
        <v>805.0</v>
      </c>
      <c r="G3757" s="1">
        <v>47.0</v>
      </c>
    </row>
    <row r="3758">
      <c r="A3758" s="1" t="s">
        <v>8</v>
      </c>
      <c r="B3758" s="2">
        <v>44722.0</v>
      </c>
      <c r="C3758" s="3">
        <v>0.3244444444444444</v>
      </c>
      <c r="D3758" s="1">
        <v>13.044982</v>
      </c>
      <c r="E3758" s="1">
        <v>80.248133</v>
      </c>
      <c r="F3758" s="1">
        <v>805.0</v>
      </c>
      <c r="G3758" s="1">
        <v>46.0</v>
      </c>
    </row>
    <row r="3759">
      <c r="A3759" s="1" t="s">
        <v>8</v>
      </c>
      <c r="B3759" s="2">
        <v>44722.0</v>
      </c>
      <c r="C3759" s="3">
        <v>0.3252777777777778</v>
      </c>
      <c r="D3759" s="1">
        <v>13.051809</v>
      </c>
      <c r="E3759" s="1">
        <v>80.250482</v>
      </c>
      <c r="F3759" s="1">
        <v>805.0</v>
      </c>
      <c r="G3759" s="1">
        <v>47.0</v>
      </c>
    </row>
    <row r="3760">
      <c r="A3760" s="1" t="s">
        <v>7</v>
      </c>
      <c r="B3760" s="2">
        <v>44722.0</v>
      </c>
      <c r="C3760" s="3">
        <v>0.3266087962962963</v>
      </c>
      <c r="D3760" s="1">
        <v>13.041216</v>
      </c>
      <c r="E3760" s="1">
        <v>80.247353</v>
      </c>
      <c r="F3760" s="1">
        <v>805.0</v>
      </c>
      <c r="G3760" s="1">
        <v>43.0</v>
      </c>
    </row>
    <row r="3761">
      <c r="A3761" s="1" t="s">
        <v>8</v>
      </c>
      <c r="B3761" s="2">
        <v>44722.0</v>
      </c>
      <c r="C3761" s="3">
        <v>0.3272453703703704</v>
      </c>
      <c r="D3761" s="1">
        <v>13.041216</v>
      </c>
      <c r="E3761" s="1">
        <v>80.247353</v>
      </c>
      <c r="F3761" s="1">
        <v>805.0</v>
      </c>
      <c r="G3761" s="1">
        <v>43.0</v>
      </c>
    </row>
    <row r="3762">
      <c r="A3762" s="1" t="s">
        <v>7</v>
      </c>
      <c r="B3762" s="2">
        <v>44722.0</v>
      </c>
      <c r="C3762" s="3">
        <v>0.32756944444444447</v>
      </c>
      <c r="D3762" s="1">
        <v>13.040116</v>
      </c>
      <c r="E3762" s="1">
        <v>80.24717</v>
      </c>
      <c r="F3762" s="1">
        <v>805.0</v>
      </c>
      <c r="G3762" s="1">
        <v>39.0</v>
      </c>
    </row>
    <row r="3763">
      <c r="A3763" s="1" t="s">
        <v>7</v>
      </c>
      <c r="B3763" s="2">
        <v>44722.0</v>
      </c>
      <c r="C3763" s="3">
        <v>0.32797453703703705</v>
      </c>
      <c r="D3763" s="1">
        <v>13.039637</v>
      </c>
      <c r="E3763" s="1">
        <v>80.247111</v>
      </c>
      <c r="F3763" s="1">
        <v>805.0</v>
      </c>
      <c r="G3763" s="1">
        <v>0.0</v>
      </c>
    </row>
    <row r="3764">
      <c r="A3764" s="1" t="s">
        <v>8</v>
      </c>
      <c r="B3764" s="2">
        <v>44722.0</v>
      </c>
      <c r="C3764" s="3">
        <v>0.32806712962962964</v>
      </c>
      <c r="D3764" s="1">
        <v>13.039637</v>
      </c>
      <c r="E3764" s="1">
        <v>80.247111</v>
      </c>
      <c r="F3764" s="1">
        <v>805.0</v>
      </c>
      <c r="G3764" s="1">
        <v>0.0</v>
      </c>
    </row>
    <row r="3765">
      <c r="A3765" s="1" t="s">
        <v>8</v>
      </c>
      <c r="B3765" s="2">
        <v>44722.0</v>
      </c>
      <c r="C3765" s="3">
        <v>0.32871527777777776</v>
      </c>
      <c r="D3765" s="1">
        <v>13.035046</v>
      </c>
      <c r="E3765" s="1">
        <v>80.246017</v>
      </c>
      <c r="F3765" s="1">
        <v>805.0</v>
      </c>
      <c r="G3765" s="1">
        <v>19.0</v>
      </c>
    </row>
    <row r="3766">
      <c r="A3766" s="1" t="s">
        <v>8</v>
      </c>
      <c r="B3766" s="2">
        <v>44722.0</v>
      </c>
      <c r="C3766" s="3">
        <v>0.32873842592592595</v>
      </c>
      <c r="D3766" s="1">
        <v>13.035046</v>
      </c>
      <c r="E3766" s="1">
        <v>80.246017</v>
      </c>
      <c r="F3766" s="1">
        <v>805.0</v>
      </c>
      <c r="G3766" s="1">
        <v>19.0</v>
      </c>
    </row>
    <row r="3767">
      <c r="A3767" s="1" t="s">
        <v>8</v>
      </c>
      <c r="B3767" s="2">
        <v>44722.0</v>
      </c>
      <c r="C3767" s="3">
        <v>0.3290625</v>
      </c>
      <c r="D3767" s="1">
        <v>13.035194</v>
      </c>
      <c r="E3767" s="1">
        <v>80.246116</v>
      </c>
      <c r="F3767" s="1">
        <v>805.0</v>
      </c>
      <c r="G3767" s="1">
        <v>5.0</v>
      </c>
    </row>
    <row r="3768">
      <c r="A3768" s="1" t="s">
        <v>8</v>
      </c>
      <c r="B3768" s="2">
        <v>44722.0</v>
      </c>
      <c r="C3768" s="3">
        <v>0.3293402777777778</v>
      </c>
      <c r="D3768" s="1">
        <v>12.980417</v>
      </c>
      <c r="E3768" s="1">
        <v>80.228272</v>
      </c>
      <c r="F3768" s="1">
        <v>2846.0</v>
      </c>
      <c r="G3768" s="1">
        <v>0.0</v>
      </c>
    </row>
    <row r="3769">
      <c r="A3769" s="1" t="s">
        <v>10</v>
      </c>
      <c r="B3769" s="2">
        <v>44722.0</v>
      </c>
      <c r="C3769" s="3">
        <v>0.32936342592592593</v>
      </c>
      <c r="D3769" s="1">
        <v>12.980417</v>
      </c>
      <c r="E3769" s="1">
        <v>80.228272</v>
      </c>
      <c r="F3769" s="1">
        <v>2846.0</v>
      </c>
      <c r="G3769" s="1">
        <v>0.0</v>
      </c>
    </row>
    <row r="3770">
      <c r="A3770" s="1" t="s">
        <v>8</v>
      </c>
      <c r="B3770" s="2">
        <v>44722.0</v>
      </c>
      <c r="C3770" s="3">
        <v>0.3297685185185185</v>
      </c>
      <c r="D3770" s="1">
        <v>13.034365</v>
      </c>
      <c r="E3770" s="1">
        <v>80.245147</v>
      </c>
      <c r="F3770" s="1">
        <v>805.0</v>
      </c>
      <c r="G3770" s="1">
        <v>37.0</v>
      </c>
    </row>
    <row r="3771">
      <c r="A3771" s="1" t="s">
        <v>8</v>
      </c>
      <c r="B3771" s="2">
        <v>44722.0</v>
      </c>
      <c r="C3771" s="3">
        <v>0.3298611111111111</v>
      </c>
      <c r="D3771" s="1">
        <v>13.033583</v>
      </c>
      <c r="E3771" s="1">
        <v>80.244138</v>
      </c>
      <c r="F3771" s="1">
        <v>805.0</v>
      </c>
      <c r="G3771" s="1">
        <v>56.0</v>
      </c>
    </row>
    <row r="3772">
      <c r="A3772" s="1" t="s">
        <v>8</v>
      </c>
      <c r="B3772" s="2">
        <v>44722.0</v>
      </c>
      <c r="C3772" s="3">
        <v>0.3305092592592593</v>
      </c>
      <c r="D3772" s="1">
        <v>13.032253</v>
      </c>
      <c r="E3772" s="1">
        <v>80.242383</v>
      </c>
      <c r="F3772" s="1">
        <v>805.0</v>
      </c>
      <c r="G3772" s="1">
        <v>38.0</v>
      </c>
    </row>
    <row r="3773">
      <c r="A3773" s="1" t="s">
        <v>7</v>
      </c>
      <c r="B3773" s="2">
        <v>44722.0</v>
      </c>
      <c r="C3773" s="3">
        <v>0.33078703703703705</v>
      </c>
      <c r="D3773" s="1">
        <v>13.032061</v>
      </c>
      <c r="E3773" s="1">
        <v>80.242119</v>
      </c>
      <c r="F3773" s="1">
        <v>805.0</v>
      </c>
      <c r="G3773" s="1">
        <v>0.0</v>
      </c>
    </row>
    <row r="3774">
      <c r="A3774" s="1" t="s">
        <v>7</v>
      </c>
      <c r="B3774" s="2">
        <v>44722.0</v>
      </c>
      <c r="C3774" s="3">
        <v>0.3309490740740741</v>
      </c>
      <c r="D3774" s="1">
        <v>13.032061</v>
      </c>
      <c r="E3774" s="1">
        <v>80.242119</v>
      </c>
      <c r="F3774" s="1">
        <v>805.0</v>
      </c>
      <c r="G3774" s="1">
        <v>0.0</v>
      </c>
    </row>
    <row r="3775">
      <c r="A3775" s="1" t="s">
        <v>8</v>
      </c>
      <c r="B3775" s="2">
        <v>44722.0</v>
      </c>
      <c r="C3775" s="3">
        <v>0.3310532407407407</v>
      </c>
      <c r="D3775" s="1">
        <v>13.032061</v>
      </c>
      <c r="E3775" s="1">
        <v>80.242119</v>
      </c>
      <c r="F3775" s="1">
        <v>805.0</v>
      </c>
      <c r="G3775" s="1">
        <v>0.0</v>
      </c>
    </row>
    <row r="3776">
      <c r="A3776" s="1" t="s">
        <v>8</v>
      </c>
      <c r="B3776" s="2">
        <v>44722.0</v>
      </c>
      <c r="C3776" s="3">
        <v>0.3314236111111111</v>
      </c>
      <c r="D3776" s="1">
        <v>13.031929</v>
      </c>
      <c r="E3776" s="1">
        <v>80.241847</v>
      </c>
      <c r="F3776" s="1">
        <v>805.0</v>
      </c>
      <c r="G3776" s="1">
        <v>23.0</v>
      </c>
    </row>
    <row r="3777">
      <c r="A3777" s="1" t="s">
        <v>8</v>
      </c>
      <c r="B3777" s="2">
        <v>44722.0</v>
      </c>
      <c r="C3777" s="3">
        <v>0.3318287037037037</v>
      </c>
      <c r="D3777" s="1">
        <v>13.031929</v>
      </c>
      <c r="E3777" s="1">
        <v>80.241847</v>
      </c>
      <c r="F3777" s="1">
        <v>805.0</v>
      </c>
      <c r="G3777" s="1">
        <v>23.0</v>
      </c>
    </row>
    <row r="3778">
      <c r="A3778" s="1" t="s">
        <v>7</v>
      </c>
      <c r="B3778" s="2">
        <v>44722.0</v>
      </c>
      <c r="C3778" s="3">
        <v>0.3320023148148148</v>
      </c>
      <c r="D3778" s="1">
        <v>13.031164</v>
      </c>
      <c r="E3778" s="1">
        <v>80.240268</v>
      </c>
      <c r="F3778" s="1">
        <v>805.0</v>
      </c>
      <c r="G3778" s="1">
        <v>0.0</v>
      </c>
    </row>
    <row r="3779">
      <c r="A3779" s="1" t="s">
        <v>7</v>
      </c>
      <c r="B3779" s="2">
        <v>44722.0</v>
      </c>
      <c r="C3779" s="3">
        <v>0.3321527777777778</v>
      </c>
      <c r="D3779" s="1">
        <v>13.031557</v>
      </c>
      <c r="E3779" s="1">
        <v>80.24103</v>
      </c>
      <c r="F3779" s="1">
        <v>805.0</v>
      </c>
      <c r="G3779" s="1">
        <v>43.0</v>
      </c>
    </row>
    <row r="3780">
      <c r="A3780" s="1" t="s">
        <v>7</v>
      </c>
      <c r="B3780" s="2">
        <v>44722.0</v>
      </c>
      <c r="C3780" s="3">
        <v>0.33229166666666665</v>
      </c>
      <c r="D3780" s="1">
        <v>13.031179</v>
      </c>
      <c r="E3780" s="1">
        <v>80.240279</v>
      </c>
      <c r="F3780" s="1">
        <v>805.0</v>
      </c>
      <c r="G3780" s="1">
        <v>10.0</v>
      </c>
    </row>
    <row r="3781">
      <c r="A3781" s="1" t="s">
        <v>8</v>
      </c>
      <c r="B3781" s="2">
        <v>44722.0</v>
      </c>
      <c r="C3781" s="3">
        <v>0.33295138888888887</v>
      </c>
      <c r="D3781" s="1">
        <v>13.031164</v>
      </c>
      <c r="E3781" s="1">
        <v>80.240268</v>
      </c>
      <c r="F3781" s="1">
        <v>805.0</v>
      </c>
      <c r="G3781" s="1">
        <v>0.0</v>
      </c>
    </row>
    <row r="3782">
      <c r="A3782" s="1" t="s">
        <v>7</v>
      </c>
      <c r="B3782" s="2">
        <v>44722.0</v>
      </c>
      <c r="C3782" s="3">
        <v>0.33520833333333333</v>
      </c>
      <c r="D3782" s="1">
        <v>13.026653</v>
      </c>
      <c r="E3782" s="1">
        <v>80.233288</v>
      </c>
      <c r="F3782" s="1">
        <v>805.0</v>
      </c>
      <c r="G3782" s="1">
        <v>49.0</v>
      </c>
    </row>
    <row r="3783">
      <c r="A3783" s="1" t="s">
        <v>8</v>
      </c>
      <c r="B3783" s="2">
        <v>44722.0</v>
      </c>
      <c r="C3783" s="3">
        <v>0.3353125</v>
      </c>
      <c r="D3783" s="1">
        <v>13.026653</v>
      </c>
      <c r="E3783" s="1">
        <v>80.233288</v>
      </c>
      <c r="F3783" s="1">
        <v>805.0</v>
      </c>
      <c r="G3783" s="1">
        <v>49.0</v>
      </c>
    </row>
    <row r="3784">
      <c r="A3784" s="1" t="s">
        <v>8</v>
      </c>
      <c r="B3784" s="2">
        <v>44722.0</v>
      </c>
      <c r="C3784" s="3">
        <v>0.33640046296296294</v>
      </c>
      <c r="D3784" s="1">
        <v>13.019709</v>
      </c>
      <c r="E3784" s="1">
        <v>80.2247</v>
      </c>
      <c r="F3784" s="1">
        <v>805.0</v>
      </c>
      <c r="G3784" s="1">
        <v>20.0</v>
      </c>
    </row>
    <row r="3785">
      <c r="A3785" s="1" t="s">
        <v>8</v>
      </c>
      <c r="B3785" s="2">
        <v>44722.0</v>
      </c>
      <c r="C3785" s="3">
        <v>0.3390625</v>
      </c>
      <c r="D3785" s="1">
        <v>12.964806</v>
      </c>
      <c r="E3785" s="1">
        <v>80.19661</v>
      </c>
      <c r="F3785" s="1">
        <v>2846.0</v>
      </c>
      <c r="G3785" s="1">
        <v>25.0</v>
      </c>
    </row>
    <row r="3786">
      <c r="A3786" s="1" t="s">
        <v>8</v>
      </c>
      <c r="B3786" s="2">
        <v>44722.0</v>
      </c>
      <c r="C3786" s="3">
        <v>0.33971064814814816</v>
      </c>
      <c r="D3786" s="1">
        <v>13.011075</v>
      </c>
      <c r="E3786" s="1">
        <v>80.224036</v>
      </c>
      <c r="F3786" s="1">
        <v>805.0</v>
      </c>
      <c r="G3786" s="1">
        <v>27.0</v>
      </c>
    </row>
    <row r="3787">
      <c r="A3787" s="1" t="s">
        <v>8</v>
      </c>
      <c r="B3787" s="2">
        <v>44722.0</v>
      </c>
      <c r="C3787" s="3">
        <v>0.3398611111111111</v>
      </c>
      <c r="D3787" s="1">
        <v>12.9651</v>
      </c>
      <c r="E3787" s="1">
        <v>80.19322</v>
      </c>
      <c r="F3787" s="1">
        <v>2846.0</v>
      </c>
      <c r="G3787" s="1">
        <v>28.0</v>
      </c>
    </row>
    <row r="3788">
      <c r="A3788" s="1" t="s">
        <v>8</v>
      </c>
      <c r="B3788" s="2">
        <v>44722.0</v>
      </c>
      <c r="C3788" s="3">
        <v>0.34001157407407406</v>
      </c>
      <c r="D3788" s="1">
        <v>12.964791</v>
      </c>
      <c r="E3788" s="1">
        <v>80.196205</v>
      </c>
      <c r="F3788" s="1">
        <v>2846.0</v>
      </c>
      <c r="G3788" s="1">
        <v>10.0</v>
      </c>
    </row>
    <row r="3789">
      <c r="A3789" s="1" t="s">
        <v>8</v>
      </c>
      <c r="B3789" s="2">
        <v>44722.0</v>
      </c>
      <c r="C3789" s="3">
        <v>0.3405324074074074</v>
      </c>
      <c r="D3789" s="1">
        <v>12.965617</v>
      </c>
      <c r="E3789" s="1">
        <v>80.190315</v>
      </c>
      <c r="F3789" s="1">
        <v>2846.0</v>
      </c>
      <c r="G3789" s="1">
        <v>19.0</v>
      </c>
    </row>
    <row r="3790">
      <c r="A3790" s="1" t="s">
        <v>7</v>
      </c>
      <c r="B3790" s="2">
        <v>44722.0</v>
      </c>
      <c r="C3790" s="3">
        <v>0.3407523148148148</v>
      </c>
      <c r="D3790" s="1">
        <v>13.01044</v>
      </c>
      <c r="E3790" s="1">
        <v>80.216263</v>
      </c>
      <c r="F3790" s="1">
        <v>805.0</v>
      </c>
      <c r="G3790" s="1">
        <v>35.0</v>
      </c>
    </row>
    <row r="3791">
      <c r="A3791" s="1" t="s">
        <v>8</v>
      </c>
      <c r="B3791" s="2">
        <v>44722.0</v>
      </c>
      <c r="C3791" s="3">
        <v>0.34086805555555555</v>
      </c>
      <c r="D3791" s="1">
        <v>13.010121</v>
      </c>
      <c r="E3791" s="1">
        <v>80.215316</v>
      </c>
      <c r="F3791" s="1">
        <v>805.0</v>
      </c>
      <c r="G3791" s="1">
        <v>45.0</v>
      </c>
    </row>
    <row r="3792">
      <c r="A3792" s="1" t="s">
        <v>8</v>
      </c>
      <c r="B3792" s="2">
        <v>44722.0</v>
      </c>
      <c r="C3792" s="3">
        <v>0.3410185185185185</v>
      </c>
      <c r="D3792" s="1">
        <v>13.011858</v>
      </c>
      <c r="E3792" s="1">
        <v>80.219957</v>
      </c>
      <c r="F3792" s="1">
        <v>805.0</v>
      </c>
      <c r="G3792" s="1">
        <v>37.0</v>
      </c>
    </row>
    <row r="3793">
      <c r="A3793" s="1" t="s">
        <v>8</v>
      </c>
      <c r="B3793" s="2">
        <v>44722.0</v>
      </c>
      <c r="C3793" s="3">
        <v>0.34155092592592595</v>
      </c>
      <c r="D3793" s="1">
        <v>13.009462</v>
      </c>
      <c r="E3793" s="1">
        <v>80.213116</v>
      </c>
      <c r="F3793" s="1">
        <v>805.0</v>
      </c>
      <c r="G3793" s="1">
        <v>46.0</v>
      </c>
    </row>
    <row r="3794">
      <c r="A3794" s="1" t="s">
        <v>8</v>
      </c>
      <c r="B3794" s="2">
        <v>44722.0</v>
      </c>
      <c r="C3794" s="3">
        <v>0.3415972222222222</v>
      </c>
      <c r="D3794" s="1">
        <v>12.965755</v>
      </c>
      <c r="E3794" s="1">
        <v>80.189619</v>
      </c>
      <c r="F3794" s="1">
        <v>2846.0</v>
      </c>
      <c r="G3794" s="1">
        <v>29.0</v>
      </c>
    </row>
    <row r="3795">
      <c r="A3795" s="1" t="s">
        <v>7</v>
      </c>
      <c r="B3795" s="2">
        <v>44722.0</v>
      </c>
      <c r="C3795" s="3">
        <v>0.3423148148148148</v>
      </c>
      <c r="D3795" s="1">
        <v>13.007838</v>
      </c>
      <c r="E3795" s="1">
        <v>80.207959</v>
      </c>
      <c r="F3795" s="1">
        <v>805.0</v>
      </c>
      <c r="G3795" s="1">
        <v>40.0</v>
      </c>
    </row>
    <row r="3796">
      <c r="A3796" s="1" t="s">
        <v>8</v>
      </c>
      <c r="B3796" s="2">
        <v>44722.0</v>
      </c>
      <c r="C3796" s="3">
        <v>0.34282407407407406</v>
      </c>
      <c r="D3796" s="1">
        <v>12.961037</v>
      </c>
      <c r="E3796" s="1">
        <v>80.187247</v>
      </c>
      <c r="F3796" s="1">
        <v>2846.0</v>
      </c>
      <c r="G3796" s="1">
        <v>23.0</v>
      </c>
    </row>
    <row r="3797">
      <c r="A3797" s="1" t="s">
        <v>8</v>
      </c>
      <c r="B3797" s="2">
        <v>44722.0</v>
      </c>
      <c r="C3797" s="3">
        <v>0.3428935185185185</v>
      </c>
      <c r="D3797" s="1">
        <v>13.00399</v>
      </c>
      <c r="E3797" s="1">
        <v>80.201201</v>
      </c>
      <c r="F3797" s="1">
        <v>805.0</v>
      </c>
      <c r="G3797" s="1">
        <v>5.0</v>
      </c>
    </row>
    <row r="3798">
      <c r="A3798" s="1" t="s">
        <v>8</v>
      </c>
      <c r="B3798" s="2">
        <v>44722.0</v>
      </c>
      <c r="C3798" s="3">
        <v>0.3431828703703704</v>
      </c>
      <c r="D3798" s="1">
        <v>13.003499</v>
      </c>
      <c r="E3798" s="1">
        <v>80.201029</v>
      </c>
      <c r="F3798" s="1">
        <v>805.0</v>
      </c>
      <c r="G3798" s="1">
        <v>29.0</v>
      </c>
    </row>
    <row r="3799">
      <c r="A3799" s="1" t="s">
        <v>8</v>
      </c>
      <c r="B3799" s="2">
        <v>44722.0</v>
      </c>
      <c r="C3799" s="3">
        <v>0.34325231481481483</v>
      </c>
      <c r="D3799" s="1">
        <v>13.005402</v>
      </c>
      <c r="E3799" s="1">
        <v>80.201872</v>
      </c>
      <c r="F3799" s="1">
        <v>805.0</v>
      </c>
      <c r="G3799" s="1">
        <v>46.0</v>
      </c>
    </row>
    <row r="3800">
      <c r="A3800" s="1" t="s">
        <v>8</v>
      </c>
      <c r="B3800" s="2">
        <v>44722.0</v>
      </c>
      <c r="C3800" s="3">
        <v>0.34543981481481484</v>
      </c>
      <c r="D3800" s="1">
        <v>12.998823</v>
      </c>
      <c r="E3800" s="1">
        <v>80.19271</v>
      </c>
      <c r="F3800" s="1">
        <v>805.0</v>
      </c>
      <c r="G3800" s="1">
        <v>57.0</v>
      </c>
    </row>
    <row r="3801">
      <c r="A3801" s="1" t="s">
        <v>8</v>
      </c>
      <c r="B3801" s="2">
        <v>44722.0</v>
      </c>
      <c r="C3801" s="3">
        <v>0.347662037037037</v>
      </c>
      <c r="D3801" s="1">
        <v>12.951959</v>
      </c>
      <c r="E3801" s="1">
        <v>80.186257</v>
      </c>
      <c r="F3801" s="1">
        <v>2846.0</v>
      </c>
      <c r="G3801" s="1">
        <v>33.0</v>
      </c>
    </row>
    <row r="3802">
      <c r="A3802" s="1" t="s">
        <v>8</v>
      </c>
      <c r="B3802" s="2">
        <v>44722.0</v>
      </c>
      <c r="C3802" s="3">
        <v>0.3496990740740741</v>
      </c>
      <c r="D3802" s="1">
        <v>12.980964</v>
      </c>
      <c r="E3802" s="1">
        <v>80.165958</v>
      </c>
      <c r="F3802" s="1">
        <v>805.0</v>
      </c>
      <c r="G3802" s="1">
        <v>46.0</v>
      </c>
    </row>
    <row r="3803">
      <c r="A3803" s="1" t="s">
        <v>8</v>
      </c>
      <c r="B3803" s="2">
        <v>44722.0</v>
      </c>
      <c r="C3803" s="3">
        <v>0.3497106481481482</v>
      </c>
      <c r="D3803" s="1">
        <v>12.980964</v>
      </c>
      <c r="E3803" s="1">
        <v>80.165958</v>
      </c>
      <c r="F3803" s="1">
        <v>805.0</v>
      </c>
      <c r="G3803" s="1">
        <v>46.0</v>
      </c>
    </row>
    <row r="3804">
      <c r="A3804" s="1" t="s">
        <v>8</v>
      </c>
      <c r="B3804" s="2">
        <v>44722.0</v>
      </c>
      <c r="C3804" s="3">
        <v>0.3501273148148148</v>
      </c>
      <c r="D3804" s="1">
        <v>12.945427</v>
      </c>
      <c r="E3804" s="1">
        <v>80.183226</v>
      </c>
      <c r="F3804" s="1">
        <v>2846.0</v>
      </c>
      <c r="G3804" s="1">
        <v>0.0</v>
      </c>
    </row>
    <row r="3805">
      <c r="A3805" s="1" t="s">
        <v>8</v>
      </c>
      <c r="B3805" s="2">
        <v>44722.0</v>
      </c>
      <c r="C3805" s="3">
        <v>0.3502199074074074</v>
      </c>
      <c r="D3805" s="1">
        <v>12.945427</v>
      </c>
      <c r="E3805" s="1">
        <v>80.183226</v>
      </c>
      <c r="F3805" s="1">
        <v>2846.0</v>
      </c>
      <c r="G3805" s="1">
        <v>0.0</v>
      </c>
    </row>
    <row r="3806">
      <c r="A3806" s="1" t="s">
        <v>8</v>
      </c>
      <c r="B3806" s="2">
        <v>44722.0</v>
      </c>
      <c r="C3806" s="3">
        <v>0.35032407407407407</v>
      </c>
      <c r="D3806" s="1">
        <v>12.945427</v>
      </c>
      <c r="E3806" s="1">
        <v>80.183226</v>
      </c>
      <c r="F3806" s="1">
        <v>2846.0</v>
      </c>
      <c r="G3806" s="1">
        <v>0.0</v>
      </c>
    </row>
    <row r="3807">
      <c r="A3807" s="1" t="s">
        <v>8</v>
      </c>
      <c r="B3807" s="2">
        <v>44722.0</v>
      </c>
      <c r="C3807" s="3">
        <v>0.3503587962962963</v>
      </c>
      <c r="D3807" s="1">
        <v>12.945427</v>
      </c>
      <c r="E3807" s="1">
        <v>80.183226</v>
      </c>
      <c r="F3807" s="1">
        <v>2846.0</v>
      </c>
      <c r="G3807" s="1">
        <v>0.0</v>
      </c>
    </row>
    <row r="3808">
      <c r="A3808" s="1" t="s">
        <v>8</v>
      </c>
      <c r="B3808" s="2">
        <v>44722.0</v>
      </c>
      <c r="C3808" s="3">
        <v>0.3503703703703704</v>
      </c>
      <c r="D3808" s="1">
        <v>12.945427</v>
      </c>
      <c r="E3808" s="1">
        <v>80.183226</v>
      </c>
      <c r="F3808" s="1">
        <v>2846.0</v>
      </c>
      <c r="G3808" s="1">
        <v>0.0</v>
      </c>
    </row>
    <row r="3809">
      <c r="A3809" s="1" t="s">
        <v>7</v>
      </c>
      <c r="B3809" s="2">
        <v>44722.0</v>
      </c>
      <c r="C3809" s="3">
        <v>0.3512268518518519</v>
      </c>
      <c r="D3809" s="1">
        <v>12.945427</v>
      </c>
      <c r="E3809" s="1">
        <v>80.183226</v>
      </c>
      <c r="F3809" s="1">
        <v>2846.0</v>
      </c>
      <c r="G3809" s="1">
        <v>0.0</v>
      </c>
    </row>
    <row r="3810">
      <c r="A3810" s="1" t="s">
        <v>8</v>
      </c>
      <c r="B3810" s="2">
        <v>44722.0</v>
      </c>
      <c r="C3810" s="3">
        <v>0.3514236111111111</v>
      </c>
      <c r="D3810" s="1">
        <v>12.945335</v>
      </c>
      <c r="E3810" s="1">
        <v>80.183213</v>
      </c>
      <c r="F3810" s="1">
        <v>2846.0</v>
      </c>
      <c r="G3810" s="1">
        <v>4.0</v>
      </c>
    </row>
    <row r="3811">
      <c r="A3811" s="1" t="s">
        <v>8</v>
      </c>
      <c r="B3811" s="2">
        <v>44722.0</v>
      </c>
      <c r="C3811" s="3">
        <v>0.3542592592592593</v>
      </c>
      <c r="D3811" s="1">
        <v>12.936788</v>
      </c>
      <c r="E3811" s="1">
        <v>80.1823</v>
      </c>
      <c r="F3811" s="1">
        <v>2846.0</v>
      </c>
      <c r="G3811" s="1">
        <v>19.0</v>
      </c>
    </row>
    <row r="3812">
      <c r="A3812" s="1" t="s">
        <v>7</v>
      </c>
      <c r="B3812" s="2">
        <v>44722.0</v>
      </c>
      <c r="C3812" s="3">
        <v>0.35430555555555554</v>
      </c>
      <c r="D3812" s="1">
        <v>12.939234</v>
      </c>
      <c r="E3812" s="1">
        <v>80.182558</v>
      </c>
      <c r="F3812" s="1">
        <v>2846.0</v>
      </c>
      <c r="G3812" s="1">
        <v>7.0</v>
      </c>
    </row>
    <row r="3813">
      <c r="A3813" s="1" t="s">
        <v>8</v>
      </c>
      <c r="B3813" s="2">
        <v>44722.0</v>
      </c>
      <c r="C3813" s="3">
        <v>0.35758101851851853</v>
      </c>
      <c r="D3813" s="1">
        <v>12.926964</v>
      </c>
      <c r="E3813" s="1">
        <v>80.182429</v>
      </c>
      <c r="F3813" s="1">
        <v>2846.0</v>
      </c>
      <c r="G3813" s="1">
        <v>18.0</v>
      </c>
    </row>
    <row r="3814">
      <c r="A3814" s="1" t="s">
        <v>8</v>
      </c>
      <c r="B3814" s="2">
        <v>44722.0</v>
      </c>
      <c r="C3814" s="3">
        <v>0.35761574074074076</v>
      </c>
      <c r="D3814" s="1">
        <v>12.926357</v>
      </c>
      <c r="E3814" s="1">
        <v>80.182538</v>
      </c>
      <c r="F3814" s="1">
        <v>2846.0</v>
      </c>
      <c r="G3814" s="1">
        <v>30.0</v>
      </c>
    </row>
    <row r="3815">
      <c r="A3815" s="1" t="s">
        <v>8</v>
      </c>
      <c r="B3815" s="2">
        <v>44722.0</v>
      </c>
      <c r="C3815" s="3">
        <v>0.357974537037037</v>
      </c>
      <c r="D3815" s="1">
        <v>12.924298</v>
      </c>
      <c r="E3815" s="1">
        <v>80.182864</v>
      </c>
      <c r="F3815" s="1">
        <v>2846.0</v>
      </c>
      <c r="G3815" s="1">
        <v>20.0</v>
      </c>
    </row>
    <row r="3816">
      <c r="A3816" s="1" t="s">
        <v>7</v>
      </c>
      <c r="B3816" s="2">
        <v>44722.0</v>
      </c>
      <c r="C3816" s="3">
        <v>0.3592361111111111</v>
      </c>
      <c r="D3816" s="1">
        <v>12.920877</v>
      </c>
      <c r="E3816" s="1">
        <v>80.183887</v>
      </c>
      <c r="F3816" s="1">
        <v>2846.0</v>
      </c>
      <c r="G3816" s="1">
        <v>17.0</v>
      </c>
    </row>
    <row r="3817">
      <c r="A3817" s="1" t="s">
        <v>8</v>
      </c>
      <c r="B3817" s="2">
        <v>44722.0</v>
      </c>
      <c r="C3817" s="3">
        <v>0.35930555555555554</v>
      </c>
      <c r="D3817" s="1">
        <v>12.920877</v>
      </c>
      <c r="E3817" s="1">
        <v>80.183887</v>
      </c>
      <c r="F3817" s="1">
        <v>2846.0</v>
      </c>
      <c r="G3817" s="1">
        <v>17.0</v>
      </c>
    </row>
    <row r="3818">
      <c r="A3818" s="1" t="s">
        <v>7</v>
      </c>
      <c r="B3818" s="2">
        <v>44722.0</v>
      </c>
      <c r="C3818" s="3">
        <v>0.35943287037037036</v>
      </c>
      <c r="D3818" s="1">
        <v>12.92037</v>
      </c>
      <c r="E3818" s="1">
        <v>80.184612</v>
      </c>
      <c r="F3818" s="1">
        <v>2846.0</v>
      </c>
      <c r="G3818" s="1">
        <v>12.0</v>
      </c>
    </row>
    <row r="3819">
      <c r="A3819" s="1" t="s">
        <v>7</v>
      </c>
      <c r="B3819" s="2">
        <v>44722.0</v>
      </c>
      <c r="C3819" s="3">
        <v>0.35965277777777777</v>
      </c>
      <c r="D3819" s="1">
        <v>12.920234</v>
      </c>
      <c r="E3819" s="1">
        <v>80.184143</v>
      </c>
      <c r="F3819" s="1">
        <v>2846.0</v>
      </c>
      <c r="G3819" s="1">
        <v>22.0</v>
      </c>
    </row>
    <row r="3820">
      <c r="A3820" s="1" t="s">
        <v>7</v>
      </c>
      <c r="B3820" s="2">
        <v>44722.0</v>
      </c>
      <c r="C3820" s="3">
        <v>0.3598148148148148</v>
      </c>
      <c r="D3820" s="1">
        <v>12.920536</v>
      </c>
      <c r="E3820" s="1">
        <v>80.184741</v>
      </c>
      <c r="F3820" s="1">
        <v>2846.0</v>
      </c>
      <c r="G3820" s="1">
        <v>8.0</v>
      </c>
    </row>
    <row r="3821">
      <c r="A3821" s="1" t="s">
        <v>8</v>
      </c>
      <c r="B3821" s="2">
        <v>44722.0</v>
      </c>
      <c r="C3821" s="3">
        <v>0.3602199074074074</v>
      </c>
      <c r="D3821" s="1">
        <v>12.918263</v>
      </c>
      <c r="E3821" s="1">
        <v>80.1773</v>
      </c>
      <c r="F3821" s="1">
        <v>2846.0</v>
      </c>
      <c r="G3821" s="1">
        <v>38.0</v>
      </c>
    </row>
    <row r="3822">
      <c r="A3822" s="1" t="s">
        <v>10</v>
      </c>
      <c r="B3822" s="2">
        <v>44722.0</v>
      </c>
      <c r="C3822" s="3">
        <v>0.6342361111111111</v>
      </c>
      <c r="D3822" s="1">
        <v>12.875801</v>
      </c>
      <c r="E3822" s="1">
        <v>80.083757</v>
      </c>
      <c r="F3822" s="1">
        <v>2846.0</v>
      </c>
      <c r="G3822" s="1">
        <v>9.0</v>
      </c>
    </row>
    <row r="3823">
      <c r="A3823" s="1" t="s">
        <v>10</v>
      </c>
      <c r="B3823" s="2">
        <v>44722.0</v>
      </c>
      <c r="C3823" s="3">
        <v>0.6884953703703703</v>
      </c>
      <c r="D3823" s="1">
        <v>12.875814</v>
      </c>
      <c r="E3823" s="1">
        <v>80.083731</v>
      </c>
      <c r="F3823" s="1">
        <v>805.0</v>
      </c>
      <c r="G3823" s="1">
        <v>0.0</v>
      </c>
    </row>
    <row r="3824">
      <c r="A3824" s="1" t="s">
        <v>7</v>
      </c>
      <c r="B3824" s="2">
        <v>44722.0</v>
      </c>
      <c r="C3824" s="3">
        <v>0.6895833333333333</v>
      </c>
      <c r="D3824" s="1">
        <v>12.877772</v>
      </c>
      <c r="E3824" s="1">
        <v>80.083867</v>
      </c>
      <c r="F3824" s="1">
        <v>805.0</v>
      </c>
      <c r="G3824" s="1">
        <v>41.0</v>
      </c>
    </row>
    <row r="3825">
      <c r="A3825" s="1" t="s">
        <v>8</v>
      </c>
      <c r="B3825" s="2">
        <v>44722.0</v>
      </c>
      <c r="C3825" s="3">
        <v>0.692662037037037</v>
      </c>
      <c r="D3825" s="1">
        <v>12.884488</v>
      </c>
      <c r="E3825" s="1">
        <v>80.081891</v>
      </c>
      <c r="F3825" s="1">
        <v>805.0</v>
      </c>
      <c r="G3825" s="1">
        <v>34.0</v>
      </c>
    </row>
    <row r="3826">
      <c r="A3826" s="1" t="s">
        <v>7</v>
      </c>
      <c r="B3826" s="2">
        <v>44722.0</v>
      </c>
      <c r="C3826" s="3">
        <v>0.6929050925925926</v>
      </c>
      <c r="D3826" s="1">
        <v>12.886129</v>
      </c>
      <c r="E3826" s="1">
        <v>80.082875</v>
      </c>
      <c r="F3826" s="1">
        <v>805.0</v>
      </c>
      <c r="G3826" s="1">
        <v>47.0</v>
      </c>
    </row>
    <row r="3827">
      <c r="A3827" s="1" t="s">
        <v>7</v>
      </c>
      <c r="B3827" s="2">
        <v>44722.0</v>
      </c>
      <c r="C3827" s="3">
        <v>0.6931597222222222</v>
      </c>
      <c r="D3827" s="1">
        <v>12.888772</v>
      </c>
      <c r="E3827" s="1">
        <v>80.08396</v>
      </c>
      <c r="F3827" s="1">
        <v>805.0</v>
      </c>
      <c r="G3827" s="1">
        <v>55.0</v>
      </c>
    </row>
    <row r="3828">
      <c r="A3828" s="1" t="s">
        <v>8</v>
      </c>
      <c r="B3828" s="2">
        <v>44722.0</v>
      </c>
      <c r="C3828" s="3">
        <v>0.6933796296296296</v>
      </c>
      <c r="D3828" s="1">
        <v>12.891436</v>
      </c>
      <c r="E3828" s="1">
        <v>80.085118</v>
      </c>
      <c r="F3828" s="1">
        <v>805.0</v>
      </c>
      <c r="G3828" s="1">
        <v>58.0</v>
      </c>
    </row>
    <row r="3829">
      <c r="A3829" s="1" t="s">
        <v>8</v>
      </c>
      <c r="B3829" s="2">
        <v>44722.0</v>
      </c>
      <c r="C3829" s="3">
        <v>0.6936574074074074</v>
      </c>
      <c r="D3829" s="1">
        <v>12.894993</v>
      </c>
      <c r="E3829" s="1">
        <v>80.087588</v>
      </c>
      <c r="F3829" s="1">
        <v>805.0</v>
      </c>
      <c r="G3829" s="1">
        <v>56.0</v>
      </c>
    </row>
    <row r="3830">
      <c r="A3830" s="1" t="s">
        <v>8</v>
      </c>
      <c r="B3830" s="2">
        <v>44722.0</v>
      </c>
      <c r="C3830" s="3">
        <v>0.6937268518518519</v>
      </c>
      <c r="D3830" s="1">
        <v>12.886721</v>
      </c>
      <c r="E3830" s="1">
        <v>80.083084</v>
      </c>
      <c r="F3830" s="1">
        <v>2846.0</v>
      </c>
      <c r="G3830" s="1">
        <v>47.0</v>
      </c>
    </row>
    <row r="3831">
      <c r="A3831" s="1" t="s">
        <v>8</v>
      </c>
      <c r="B3831" s="2">
        <v>44722.0</v>
      </c>
      <c r="C3831" s="3">
        <v>0.6938310185185185</v>
      </c>
      <c r="D3831" s="1">
        <v>12.887834</v>
      </c>
      <c r="E3831" s="1">
        <v>80.08351</v>
      </c>
      <c r="F3831" s="1">
        <v>2846.0</v>
      </c>
      <c r="G3831" s="1">
        <v>50.0</v>
      </c>
    </row>
    <row r="3832">
      <c r="A3832" s="1" t="s">
        <v>8</v>
      </c>
      <c r="B3832" s="2">
        <v>44722.0</v>
      </c>
      <c r="C3832" s="3">
        <v>0.6940509259259259</v>
      </c>
      <c r="D3832" s="1">
        <v>12.889868</v>
      </c>
      <c r="E3832" s="1">
        <v>80.084404</v>
      </c>
      <c r="F3832" s="1">
        <v>2846.0</v>
      </c>
      <c r="G3832" s="1">
        <v>47.0</v>
      </c>
    </row>
    <row r="3833">
      <c r="A3833" s="1" t="s">
        <v>7</v>
      </c>
      <c r="B3833" s="2">
        <v>44722.0</v>
      </c>
      <c r="C3833" s="3">
        <v>0.6942013888888889</v>
      </c>
      <c r="D3833" s="1">
        <v>12.890991</v>
      </c>
      <c r="E3833" s="1">
        <v>80.0849</v>
      </c>
      <c r="F3833" s="1">
        <v>2846.0</v>
      </c>
      <c r="G3833" s="1">
        <v>49.0</v>
      </c>
    </row>
    <row r="3834">
      <c r="A3834" s="1" t="s">
        <v>8</v>
      </c>
      <c r="B3834" s="2">
        <v>44722.0</v>
      </c>
      <c r="C3834" s="3">
        <v>0.6946412037037037</v>
      </c>
      <c r="D3834" s="1">
        <v>12.903788</v>
      </c>
      <c r="E3834" s="1">
        <v>80.09414</v>
      </c>
      <c r="F3834" s="1">
        <v>805.0</v>
      </c>
      <c r="G3834" s="1">
        <v>42.0</v>
      </c>
    </row>
    <row r="3835">
      <c r="A3835" s="1" t="s">
        <v>8</v>
      </c>
      <c r="B3835" s="2">
        <v>44722.0</v>
      </c>
      <c r="C3835" s="3">
        <v>0.6947569444444445</v>
      </c>
      <c r="D3835" s="1">
        <v>12.904609</v>
      </c>
      <c r="E3835" s="1">
        <v>80.094768</v>
      </c>
      <c r="F3835" s="1">
        <v>805.0</v>
      </c>
      <c r="G3835" s="1">
        <v>34.0</v>
      </c>
    </row>
    <row r="3836">
      <c r="A3836" s="1" t="s">
        <v>8</v>
      </c>
      <c r="B3836" s="2">
        <v>44722.0</v>
      </c>
      <c r="C3836" s="3">
        <v>0.6948148148148148</v>
      </c>
      <c r="D3836" s="1">
        <v>12.905464</v>
      </c>
      <c r="E3836" s="1">
        <v>80.095445</v>
      </c>
      <c r="F3836" s="1">
        <v>805.0</v>
      </c>
      <c r="G3836" s="1">
        <v>50.0</v>
      </c>
    </row>
    <row r="3837">
      <c r="A3837" s="1" t="s">
        <v>8</v>
      </c>
      <c r="B3837" s="2">
        <v>44722.0</v>
      </c>
      <c r="C3837" s="3">
        <v>0.6951273148148148</v>
      </c>
      <c r="D3837" s="1">
        <v>12.900317</v>
      </c>
      <c r="E3837" s="1">
        <v>80.091595</v>
      </c>
      <c r="F3837" s="1">
        <v>2846.0</v>
      </c>
      <c r="G3837" s="1">
        <v>52.0</v>
      </c>
    </row>
    <row r="3838">
      <c r="A3838" s="1" t="s">
        <v>8</v>
      </c>
      <c r="B3838" s="2">
        <v>44722.0</v>
      </c>
      <c r="C3838" s="3">
        <v>0.6958564814814815</v>
      </c>
      <c r="D3838" s="1">
        <v>12.909412</v>
      </c>
      <c r="E3838" s="1">
        <v>80.099005</v>
      </c>
      <c r="F3838" s="1">
        <v>805.0</v>
      </c>
      <c r="G3838" s="1">
        <v>35.0</v>
      </c>
    </row>
    <row r="3839">
      <c r="A3839" s="1" t="s">
        <v>8</v>
      </c>
      <c r="B3839" s="2">
        <v>44722.0</v>
      </c>
      <c r="C3839" s="3">
        <v>0.6958912037037037</v>
      </c>
      <c r="D3839" s="1">
        <v>12.909412</v>
      </c>
      <c r="E3839" s="1">
        <v>80.099005</v>
      </c>
      <c r="F3839" s="1">
        <v>805.0</v>
      </c>
      <c r="G3839" s="1">
        <v>35.0</v>
      </c>
    </row>
    <row r="3840">
      <c r="A3840" s="1" t="s">
        <v>8</v>
      </c>
      <c r="B3840" s="2">
        <v>44722.0</v>
      </c>
      <c r="C3840" s="3">
        <v>0.695949074074074</v>
      </c>
      <c r="D3840" s="1">
        <v>12.904704</v>
      </c>
      <c r="E3840" s="1">
        <v>80.09501</v>
      </c>
      <c r="F3840" s="1">
        <v>2846.0</v>
      </c>
      <c r="G3840" s="1">
        <v>27.0</v>
      </c>
    </row>
    <row r="3841">
      <c r="A3841" s="1" t="s">
        <v>8</v>
      </c>
      <c r="B3841" s="2">
        <v>44722.0</v>
      </c>
      <c r="C3841" s="3">
        <v>0.6969907407407407</v>
      </c>
      <c r="D3841" s="1">
        <v>12.911493</v>
      </c>
      <c r="E3841" s="1">
        <v>80.101256</v>
      </c>
      <c r="F3841" s="1">
        <v>805.0</v>
      </c>
      <c r="G3841" s="1">
        <v>12.0</v>
      </c>
    </row>
    <row r="3842">
      <c r="A3842" s="1" t="s">
        <v>8</v>
      </c>
      <c r="B3842" s="2">
        <v>44722.0</v>
      </c>
      <c r="C3842" s="3">
        <v>0.6971064814814815</v>
      </c>
      <c r="D3842" s="1">
        <v>12.911996</v>
      </c>
      <c r="E3842" s="1">
        <v>80.101349</v>
      </c>
      <c r="F3842" s="1">
        <v>805.0</v>
      </c>
      <c r="G3842" s="1">
        <v>29.0</v>
      </c>
    </row>
    <row r="3843">
      <c r="A3843" s="1" t="s">
        <v>8</v>
      </c>
      <c r="B3843" s="2">
        <v>44722.0</v>
      </c>
      <c r="C3843" s="3">
        <v>0.6973611111111111</v>
      </c>
      <c r="D3843" s="1">
        <v>12.915119</v>
      </c>
      <c r="E3843" s="1">
        <v>80.102127</v>
      </c>
      <c r="F3843" s="1">
        <v>805.0</v>
      </c>
      <c r="G3843" s="1">
        <v>56.0</v>
      </c>
    </row>
    <row r="3844">
      <c r="A3844" s="1" t="s">
        <v>7</v>
      </c>
      <c r="B3844" s="2">
        <v>44722.0</v>
      </c>
      <c r="C3844" s="3">
        <v>0.6976041666666667</v>
      </c>
      <c r="D3844" s="1">
        <v>12.915926</v>
      </c>
      <c r="E3844" s="1">
        <v>80.104955</v>
      </c>
      <c r="F3844" s="1">
        <v>805.0</v>
      </c>
      <c r="G3844" s="1">
        <v>58.0</v>
      </c>
    </row>
    <row r="3845">
      <c r="A3845" s="1" t="s">
        <v>7</v>
      </c>
      <c r="B3845" s="2">
        <v>44722.0</v>
      </c>
      <c r="C3845" s="3">
        <v>0.6976851851851852</v>
      </c>
      <c r="D3845" s="1">
        <v>12.915926</v>
      </c>
      <c r="E3845" s="1">
        <v>80.104955</v>
      </c>
      <c r="F3845" s="1">
        <v>805.0</v>
      </c>
      <c r="G3845" s="1">
        <v>58.0</v>
      </c>
    </row>
    <row r="3846">
      <c r="A3846" s="1" t="s">
        <v>8</v>
      </c>
      <c r="B3846" s="2">
        <v>44722.0</v>
      </c>
      <c r="C3846" s="3">
        <v>0.698287037037037</v>
      </c>
      <c r="D3846" s="1">
        <v>12.917202</v>
      </c>
      <c r="E3846" s="1">
        <v>80.107338</v>
      </c>
      <c r="F3846" s="1">
        <v>805.0</v>
      </c>
      <c r="G3846" s="1">
        <v>29.0</v>
      </c>
    </row>
    <row r="3847">
      <c r="A3847" s="1" t="s">
        <v>8</v>
      </c>
      <c r="B3847" s="2">
        <v>44722.0</v>
      </c>
      <c r="C3847" s="3">
        <v>0.6984953703703703</v>
      </c>
      <c r="D3847" s="1">
        <v>12.914655</v>
      </c>
      <c r="E3847" s="1">
        <v>80.101832</v>
      </c>
      <c r="F3847" s="1">
        <v>2846.0</v>
      </c>
      <c r="G3847" s="1">
        <v>49.0</v>
      </c>
    </row>
    <row r="3848">
      <c r="A3848" s="1" t="s">
        <v>7</v>
      </c>
      <c r="B3848" s="2">
        <v>44722.0</v>
      </c>
      <c r="C3848" s="3">
        <v>0.6986226851851852</v>
      </c>
      <c r="D3848" s="1">
        <v>12.917744</v>
      </c>
      <c r="E3848" s="1">
        <v>80.108138</v>
      </c>
      <c r="F3848" s="1">
        <v>805.0</v>
      </c>
      <c r="G3848" s="1">
        <v>47.0</v>
      </c>
    </row>
    <row r="3849">
      <c r="A3849" s="1" t="s">
        <v>7</v>
      </c>
      <c r="B3849" s="2">
        <v>44722.0</v>
      </c>
      <c r="C3849" s="3">
        <v>0.6986921296296297</v>
      </c>
      <c r="D3849" s="1">
        <v>12.915503</v>
      </c>
      <c r="E3849" s="1">
        <v>80.102763</v>
      </c>
      <c r="F3849" s="1">
        <v>2846.0</v>
      </c>
      <c r="G3849" s="1">
        <v>49.0</v>
      </c>
    </row>
    <row r="3850">
      <c r="A3850" s="1" t="s">
        <v>8</v>
      </c>
      <c r="B3850" s="2">
        <v>44722.0</v>
      </c>
      <c r="C3850" s="3">
        <v>0.6988310185185185</v>
      </c>
      <c r="D3850" s="1">
        <v>12.916023</v>
      </c>
      <c r="E3850" s="1">
        <v>80.105311</v>
      </c>
      <c r="F3850" s="1">
        <v>2846.0</v>
      </c>
      <c r="G3850" s="1">
        <v>55.0</v>
      </c>
    </row>
    <row r="3851">
      <c r="A3851" s="1" t="s">
        <v>7</v>
      </c>
      <c r="B3851" s="2">
        <v>44722.0</v>
      </c>
      <c r="C3851" s="3">
        <v>0.6989467592592593</v>
      </c>
      <c r="D3851" s="1">
        <v>12.921494</v>
      </c>
      <c r="E3851" s="1">
        <v>80.112542</v>
      </c>
      <c r="F3851" s="1">
        <v>805.0</v>
      </c>
      <c r="G3851" s="1">
        <v>58.0</v>
      </c>
    </row>
    <row r="3852">
      <c r="A3852" s="1" t="s">
        <v>8</v>
      </c>
      <c r="B3852" s="2">
        <v>44722.0</v>
      </c>
      <c r="C3852" s="3">
        <v>0.6990277777777778</v>
      </c>
      <c r="D3852" s="1">
        <v>12.922529</v>
      </c>
      <c r="E3852" s="1">
        <v>80.113577</v>
      </c>
      <c r="F3852" s="1">
        <v>805.0</v>
      </c>
      <c r="G3852" s="1">
        <v>55.0</v>
      </c>
    </row>
    <row r="3853">
      <c r="A3853" s="1" t="s">
        <v>8</v>
      </c>
      <c r="B3853" s="2">
        <v>44722.0</v>
      </c>
      <c r="C3853" s="3">
        <v>0.6990856481481481</v>
      </c>
      <c r="D3853" s="1">
        <v>12.923318</v>
      </c>
      <c r="E3853" s="1">
        <v>80.114404</v>
      </c>
      <c r="F3853" s="1">
        <v>805.0</v>
      </c>
      <c r="G3853" s="1">
        <v>41.0</v>
      </c>
    </row>
    <row r="3854">
      <c r="A3854" s="1" t="s">
        <v>8</v>
      </c>
      <c r="B3854" s="2">
        <v>44722.0</v>
      </c>
      <c r="C3854" s="3">
        <v>0.6991666666666667</v>
      </c>
      <c r="D3854" s="1">
        <v>12.923318</v>
      </c>
      <c r="E3854" s="1">
        <v>80.114404</v>
      </c>
      <c r="F3854" s="1">
        <v>805.0</v>
      </c>
      <c r="G3854" s="1">
        <v>41.0</v>
      </c>
    </row>
    <row r="3855">
      <c r="A3855" s="1" t="s">
        <v>8</v>
      </c>
      <c r="B3855" s="2">
        <v>44722.0</v>
      </c>
      <c r="C3855" s="3">
        <v>0.6996064814814815</v>
      </c>
      <c r="D3855" s="1">
        <v>12.918096</v>
      </c>
      <c r="E3855" s="1">
        <v>80.108638</v>
      </c>
      <c r="F3855" s="1">
        <v>2846.0</v>
      </c>
      <c r="G3855" s="1">
        <v>47.0</v>
      </c>
    </row>
    <row r="3856">
      <c r="A3856" s="1" t="s">
        <v>8</v>
      </c>
      <c r="B3856" s="2">
        <v>44722.0</v>
      </c>
      <c r="C3856" s="3">
        <v>0.6997106481481481</v>
      </c>
      <c r="D3856" s="1">
        <v>12.927206</v>
      </c>
      <c r="E3856" s="1">
        <v>80.118291</v>
      </c>
      <c r="F3856" s="1">
        <v>805.0</v>
      </c>
      <c r="G3856" s="1">
        <v>40.0</v>
      </c>
    </row>
    <row r="3857">
      <c r="A3857" s="1" t="s">
        <v>8</v>
      </c>
      <c r="B3857" s="2">
        <v>44722.0</v>
      </c>
      <c r="C3857" s="3">
        <v>0.6998148148148148</v>
      </c>
      <c r="D3857" s="1">
        <v>12.927206</v>
      </c>
      <c r="E3857" s="1">
        <v>80.118291</v>
      </c>
      <c r="F3857" s="1">
        <v>805.0</v>
      </c>
      <c r="G3857" s="1">
        <v>40.0</v>
      </c>
    </row>
    <row r="3858">
      <c r="A3858" s="1" t="s">
        <v>8</v>
      </c>
      <c r="B3858" s="2">
        <v>44722.0</v>
      </c>
      <c r="C3858" s="3">
        <v>0.699837962962963</v>
      </c>
      <c r="D3858" s="1">
        <v>12.927988</v>
      </c>
      <c r="E3858" s="1">
        <v>80.119079</v>
      </c>
      <c r="F3858" s="1">
        <v>805.0</v>
      </c>
      <c r="G3858" s="1">
        <v>42.0</v>
      </c>
    </row>
    <row r="3859">
      <c r="A3859" s="1" t="s">
        <v>8</v>
      </c>
      <c r="B3859" s="2">
        <v>44722.0</v>
      </c>
      <c r="C3859" s="3">
        <v>0.6999189814814815</v>
      </c>
      <c r="D3859" s="1">
        <v>12.919775</v>
      </c>
      <c r="E3859" s="1">
        <v>80.110696</v>
      </c>
      <c r="F3859" s="1">
        <v>2846.0</v>
      </c>
      <c r="G3859" s="1">
        <v>50.0</v>
      </c>
    </row>
    <row r="3860">
      <c r="A3860" s="1" t="s">
        <v>8</v>
      </c>
      <c r="B3860" s="2">
        <v>44722.0</v>
      </c>
      <c r="C3860" s="3">
        <v>0.6999537037037037</v>
      </c>
      <c r="D3860" s="1">
        <v>12.920684</v>
      </c>
      <c r="E3860" s="1">
        <v>80.111601</v>
      </c>
      <c r="F3860" s="1">
        <v>2846.0</v>
      </c>
      <c r="G3860" s="1">
        <v>47.0</v>
      </c>
    </row>
    <row r="3861">
      <c r="A3861" s="1" t="s">
        <v>8</v>
      </c>
      <c r="B3861" s="2">
        <v>44722.0</v>
      </c>
      <c r="C3861" s="3">
        <v>0.7001736111111111</v>
      </c>
      <c r="D3861" s="1">
        <v>12.922237</v>
      </c>
      <c r="E3861" s="1">
        <v>80.113148</v>
      </c>
      <c r="F3861" s="1">
        <v>2846.0</v>
      </c>
      <c r="G3861" s="1">
        <v>45.0</v>
      </c>
    </row>
    <row r="3862">
      <c r="A3862" s="1" t="s">
        <v>8</v>
      </c>
      <c r="B3862" s="2">
        <v>44722.0</v>
      </c>
      <c r="C3862" s="3">
        <v>0.700324074074074</v>
      </c>
      <c r="D3862" s="1">
        <v>12.923054</v>
      </c>
      <c r="E3862" s="1">
        <v>80.113957</v>
      </c>
      <c r="F3862" s="1">
        <v>2846.0</v>
      </c>
      <c r="G3862" s="1">
        <v>45.0</v>
      </c>
    </row>
    <row r="3863">
      <c r="A3863" s="1" t="s">
        <v>8</v>
      </c>
      <c r="B3863" s="2">
        <v>44722.0</v>
      </c>
      <c r="C3863" s="3">
        <v>0.7006828703703704</v>
      </c>
      <c r="D3863" s="1">
        <v>12.930864</v>
      </c>
      <c r="E3863" s="1">
        <v>80.121903</v>
      </c>
      <c r="F3863" s="1">
        <v>805.0</v>
      </c>
      <c r="G3863" s="1">
        <v>31.0</v>
      </c>
    </row>
    <row r="3864">
      <c r="A3864" s="1" t="s">
        <v>9</v>
      </c>
      <c r="B3864" s="2">
        <v>44722.0</v>
      </c>
      <c r="C3864" s="3">
        <v>0.7007638888888889</v>
      </c>
      <c r="D3864" s="1">
        <v>12.932701</v>
      </c>
      <c r="E3864" s="1">
        <v>80.123749</v>
      </c>
      <c r="F3864" s="1">
        <v>805.0</v>
      </c>
      <c r="G3864" s="1">
        <v>38.0</v>
      </c>
    </row>
    <row r="3865">
      <c r="A3865" s="1" t="s">
        <v>9</v>
      </c>
      <c r="B3865" s="2">
        <v>44722.0</v>
      </c>
      <c r="C3865" s="3">
        <v>0.7007986111111111</v>
      </c>
      <c r="D3865" s="1">
        <v>12.932701</v>
      </c>
      <c r="E3865" s="1">
        <v>80.123749</v>
      </c>
      <c r="F3865" s="1">
        <v>805.0</v>
      </c>
      <c r="G3865" s="1">
        <v>38.0</v>
      </c>
    </row>
    <row r="3866">
      <c r="A3866" s="1" t="s">
        <v>9</v>
      </c>
      <c r="B3866" s="2">
        <v>44722.0</v>
      </c>
      <c r="C3866" s="3">
        <v>0.700949074074074</v>
      </c>
      <c r="D3866" s="1">
        <v>12.934056</v>
      </c>
      <c r="E3866" s="1">
        <v>80.125036</v>
      </c>
      <c r="F3866" s="1">
        <v>805.0</v>
      </c>
      <c r="G3866" s="1">
        <v>35.0</v>
      </c>
    </row>
    <row r="3867">
      <c r="A3867" s="1" t="s">
        <v>8</v>
      </c>
      <c r="B3867" s="2">
        <v>44722.0</v>
      </c>
      <c r="C3867" s="3">
        <v>0.7013541666666666</v>
      </c>
      <c r="D3867" s="1">
        <v>12.92369</v>
      </c>
      <c r="E3867" s="1">
        <v>80.117355</v>
      </c>
      <c r="F3867" s="1">
        <v>2846.0</v>
      </c>
      <c r="G3867" s="1">
        <v>40.0</v>
      </c>
    </row>
    <row r="3868">
      <c r="A3868" s="1" t="s">
        <v>7</v>
      </c>
      <c r="B3868" s="2">
        <v>44722.0</v>
      </c>
      <c r="C3868" s="3">
        <v>0.7024305555555556</v>
      </c>
      <c r="D3868" s="1">
        <v>12.940207</v>
      </c>
      <c r="E3868" s="1">
        <v>80.130614</v>
      </c>
      <c r="F3868" s="1">
        <v>805.0</v>
      </c>
      <c r="G3868" s="1">
        <v>61.0</v>
      </c>
    </row>
    <row r="3869">
      <c r="A3869" s="1" t="s">
        <v>7</v>
      </c>
      <c r="B3869" s="2">
        <v>44722.0</v>
      </c>
      <c r="C3869" s="3">
        <v>0.7034259259259259</v>
      </c>
      <c r="D3869" s="1">
        <v>12.944321</v>
      </c>
      <c r="E3869" s="1">
        <v>80.134736</v>
      </c>
      <c r="F3869" s="1">
        <v>805.0</v>
      </c>
      <c r="G3869" s="1">
        <v>60.0</v>
      </c>
    </row>
    <row r="3870">
      <c r="A3870" s="1" t="s">
        <v>8</v>
      </c>
      <c r="B3870" s="2">
        <v>44722.0</v>
      </c>
      <c r="C3870" s="3">
        <v>0.7035532407407408</v>
      </c>
      <c r="D3870" s="1">
        <v>12.923031</v>
      </c>
      <c r="E3870" s="1">
        <v>80.125423</v>
      </c>
      <c r="F3870" s="1">
        <v>2846.0</v>
      </c>
      <c r="G3870" s="1">
        <v>3.0</v>
      </c>
    </row>
    <row r="3871">
      <c r="A3871" s="1" t="s">
        <v>8</v>
      </c>
      <c r="B3871" s="2">
        <v>44722.0</v>
      </c>
      <c r="C3871" s="3">
        <v>0.7035648148148148</v>
      </c>
      <c r="D3871" s="1">
        <v>12.922997</v>
      </c>
      <c r="E3871" s="1">
        <v>80.126221</v>
      </c>
      <c r="F3871" s="1">
        <v>2846.0</v>
      </c>
      <c r="G3871" s="1">
        <v>30.0</v>
      </c>
    </row>
    <row r="3872">
      <c r="A3872" s="1" t="s">
        <v>8</v>
      </c>
      <c r="B3872" s="2">
        <v>44722.0</v>
      </c>
      <c r="C3872" s="3">
        <v>0.7035648148148148</v>
      </c>
      <c r="D3872" s="1">
        <v>12.922997</v>
      </c>
      <c r="E3872" s="1">
        <v>80.126221</v>
      </c>
      <c r="F3872" s="1">
        <v>2846.0</v>
      </c>
      <c r="G3872" s="1">
        <v>30.0</v>
      </c>
    </row>
    <row r="3873">
      <c r="A3873" s="1" t="s">
        <v>8</v>
      </c>
      <c r="B3873" s="2">
        <v>44722.0</v>
      </c>
      <c r="C3873" s="3">
        <v>0.703587962962963</v>
      </c>
      <c r="D3873" s="1">
        <v>12.922997</v>
      </c>
      <c r="E3873" s="1">
        <v>80.126221</v>
      </c>
      <c r="F3873" s="1">
        <v>2846.0</v>
      </c>
      <c r="G3873" s="1">
        <v>30.0</v>
      </c>
    </row>
    <row r="3874">
      <c r="A3874" s="1" t="s">
        <v>7</v>
      </c>
      <c r="B3874" s="2">
        <v>44722.0</v>
      </c>
      <c r="C3874" s="3">
        <v>0.7037037037037037</v>
      </c>
      <c r="D3874" s="1">
        <v>12.948096</v>
      </c>
      <c r="E3874" s="1">
        <v>80.137569</v>
      </c>
      <c r="F3874" s="1">
        <v>805.0</v>
      </c>
      <c r="G3874" s="1">
        <v>57.0</v>
      </c>
    </row>
    <row r="3875">
      <c r="A3875" s="1" t="s">
        <v>8</v>
      </c>
      <c r="B3875" s="2">
        <v>44722.0</v>
      </c>
      <c r="C3875" s="3">
        <v>0.7042476851851852</v>
      </c>
      <c r="D3875" s="1">
        <v>12.95097</v>
      </c>
      <c r="E3875" s="1">
        <v>80.139836</v>
      </c>
      <c r="F3875" s="1">
        <v>805.0</v>
      </c>
      <c r="G3875" s="1">
        <v>29.0</v>
      </c>
    </row>
    <row r="3876">
      <c r="A3876" s="1" t="s">
        <v>10</v>
      </c>
      <c r="B3876" s="2">
        <v>44722.0</v>
      </c>
      <c r="C3876" s="3">
        <v>0.7046527777777778</v>
      </c>
      <c r="D3876" s="1">
        <v>12.922851</v>
      </c>
      <c r="E3876" s="1">
        <v>80.129839</v>
      </c>
      <c r="F3876" s="1">
        <v>2846.0</v>
      </c>
      <c r="G3876" s="1">
        <v>17.0</v>
      </c>
    </row>
    <row r="3877">
      <c r="A3877" s="1" t="s">
        <v>8</v>
      </c>
      <c r="B3877" s="2">
        <v>44722.0</v>
      </c>
      <c r="C3877" s="3">
        <v>0.7046759259259259</v>
      </c>
      <c r="D3877" s="1">
        <v>12.953154</v>
      </c>
      <c r="E3877" s="1">
        <v>80.141455</v>
      </c>
      <c r="F3877" s="1">
        <v>805.0</v>
      </c>
      <c r="G3877" s="1">
        <v>36.0</v>
      </c>
    </row>
    <row r="3878">
      <c r="A3878" s="1" t="s">
        <v>10</v>
      </c>
      <c r="B3878" s="2">
        <v>44722.0</v>
      </c>
      <c r="C3878" s="3">
        <v>0.704849537037037</v>
      </c>
      <c r="D3878" s="1">
        <v>12.92277</v>
      </c>
      <c r="E3878" s="1">
        <v>80.131968</v>
      </c>
      <c r="F3878" s="1">
        <v>2846.0</v>
      </c>
      <c r="G3878" s="1">
        <v>35.0</v>
      </c>
    </row>
    <row r="3879">
      <c r="A3879" s="1" t="s">
        <v>8</v>
      </c>
      <c r="B3879" s="2">
        <v>44722.0</v>
      </c>
      <c r="C3879" s="3">
        <v>0.7060300925925926</v>
      </c>
      <c r="D3879" s="1">
        <v>12.957069</v>
      </c>
      <c r="E3879" s="1">
        <v>80.143522</v>
      </c>
      <c r="F3879" s="1">
        <v>805.0</v>
      </c>
      <c r="G3879" s="1">
        <v>42.0</v>
      </c>
    </row>
    <row r="3880">
      <c r="A3880" s="1" t="s">
        <v>8</v>
      </c>
      <c r="B3880" s="2">
        <v>44722.0</v>
      </c>
      <c r="C3880" s="3">
        <v>0.706099537037037</v>
      </c>
      <c r="D3880" s="1">
        <v>12.957069</v>
      </c>
      <c r="E3880" s="1">
        <v>80.143522</v>
      </c>
      <c r="F3880" s="1">
        <v>805.0</v>
      </c>
      <c r="G3880" s="1">
        <v>42.0</v>
      </c>
    </row>
    <row r="3881">
      <c r="A3881" s="1" t="s">
        <v>8</v>
      </c>
      <c r="B3881" s="2">
        <v>44722.0</v>
      </c>
      <c r="C3881" s="3">
        <v>0.7066898148148149</v>
      </c>
      <c r="D3881" s="1">
        <v>12.922396</v>
      </c>
      <c r="E3881" s="1">
        <v>80.139489</v>
      </c>
      <c r="F3881" s="1">
        <v>2846.0</v>
      </c>
      <c r="G3881" s="1">
        <v>30.0</v>
      </c>
    </row>
    <row r="3882">
      <c r="A3882" s="1" t="s">
        <v>8</v>
      </c>
      <c r="B3882" s="2">
        <v>44722.0</v>
      </c>
      <c r="C3882" s="3">
        <v>0.7066898148148149</v>
      </c>
      <c r="D3882" s="1">
        <v>12.922396</v>
      </c>
      <c r="E3882" s="1">
        <v>80.139489</v>
      </c>
      <c r="F3882" s="1">
        <v>2846.0</v>
      </c>
      <c r="G3882" s="1">
        <v>30.0</v>
      </c>
    </row>
    <row r="3883">
      <c r="A3883" s="1" t="s">
        <v>8</v>
      </c>
      <c r="B3883" s="2">
        <v>44722.0</v>
      </c>
      <c r="C3883" s="3">
        <v>0.7067013888888889</v>
      </c>
      <c r="D3883" s="1">
        <v>12.922396</v>
      </c>
      <c r="E3883" s="1">
        <v>80.139489</v>
      </c>
      <c r="F3883" s="1">
        <v>2846.0</v>
      </c>
      <c r="G3883" s="1">
        <v>30.0</v>
      </c>
    </row>
    <row r="3884">
      <c r="A3884" s="1" t="s">
        <v>8</v>
      </c>
      <c r="B3884" s="2">
        <v>44722.0</v>
      </c>
      <c r="C3884" s="3">
        <v>0.7067361111111111</v>
      </c>
      <c r="D3884" s="1">
        <v>12.962277</v>
      </c>
      <c r="E3884" s="1">
        <v>80.146204</v>
      </c>
      <c r="F3884" s="1">
        <v>805.0</v>
      </c>
      <c r="G3884" s="1">
        <v>47.0</v>
      </c>
    </row>
    <row r="3885">
      <c r="A3885" s="1" t="s">
        <v>8</v>
      </c>
      <c r="B3885" s="2">
        <v>44722.0</v>
      </c>
      <c r="C3885" s="3">
        <v>0.7069097222222223</v>
      </c>
      <c r="D3885" s="1">
        <v>12.963776</v>
      </c>
      <c r="E3885" s="1">
        <v>80.14706</v>
      </c>
      <c r="F3885" s="1">
        <v>805.0</v>
      </c>
      <c r="G3885" s="1">
        <v>38.0</v>
      </c>
    </row>
    <row r="3886">
      <c r="A3886" s="1" t="s">
        <v>8</v>
      </c>
      <c r="B3886" s="2">
        <v>44722.0</v>
      </c>
      <c r="C3886" s="3">
        <v>0.7071064814814815</v>
      </c>
      <c r="D3886" s="1">
        <v>12.964926</v>
      </c>
      <c r="E3886" s="1">
        <v>80.147758</v>
      </c>
      <c r="F3886" s="1">
        <v>805.0</v>
      </c>
      <c r="G3886" s="1">
        <v>33.0</v>
      </c>
    </row>
    <row r="3887">
      <c r="A3887" s="1" t="s">
        <v>8</v>
      </c>
      <c r="B3887" s="2">
        <v>44722.0</v>
      </c>
      <c r="C3887" s="3">
        <v>0.7077662037037037</v>
      </c>
      <c r="D3887" s="1">
        <v>12.968153</v>
      </c>
      <c r="E3887" s="1">
        <v>80.149359</v>
      </c>
      <c r="F3887" s="1">
        <v>805.0</v>
      </c>
      <c r="G3887" s="1">
        <v>0.0</v>
      </c>
    </row>
    <row r="3888">
      <c r="A3888" s="1" t="s">
        <v>8</v>
      </c>
      <c r="B3888" s="2">
        <v>44722.0</v>
      </c>
      <c r="C3888" s="3">
        <v>0.7078703703703704</v>
      </c>
      <c r="D3888" s="1">
        <v>12.968981</v>
      </c>
      <c r="E3888" s="1">
        <v>80.149779</v>
      </c>
      <c r="F3888" s="1">
        <v>805.0</v>
      </c>
      <c r="G3888" s="1">
        <v>44.0</v>
      </c>
    </row>
    <row r="3889">
      <c r="A3889" s="1" t="s">
        <v>8</v>
      </c>
      <c r="B3889" s="2">
        <v>44722.0</v>
      </c>
      <c r="C3889" s="3">
        <v>0.707974537037037</v>
      </c>
      <c r="D3889" s="1">
        <v>12.922547</v>
      </c>
      <c r="E3889" s="1">
        <v>80.143201</v>
      </c>
      <c r="F3889" s="1">
        <v>2846.0</v>
      </c>
      <c r="G3889" s="1">
        <v>16.0</v>
      </c>
    </row>
    <row r="3890">
      <c r="A3890" s="1" t="s">
        <v>8</v>
      </c>
      <c r="B3890" s="2">
        <v>44722.0</v>
      </c>
      <c r="C3890" s="3">
        <v>0.7082638888888889</v>
      </c>
      <c r="D3890" s="1">
        <v>12.971835</v>
      </c>
      <c r="E3890" s="1">
        <v>80.151107</v>
      </c>
      <c r="F3890" s="1">
        <v>805.0</v>
      </c>
      <c r="G3890" s="1">
        <v>30.0</v>
      </c>
    </row>
    <row r="3891">
      <c r="A3891" s="1" t="s">
        <v>8</v>
      </c>
      <c r="B3891" s="2">
        <v>44722.0</v>
      </c>
      <c r="C3891" s="3">
        <v>0.70875</v>
      </c>
      <c r="D3891" s="1">
        <v>12.974588</v>
      </c>
      <c r="E3891" s="1">
        <v>80.154777</v>
      </c>
      <c r="F3891" s="1">
        <v>805.0</v>
      </c>
      <c r="G3891" s="1">
        <v>54.0</v>
      </c>
    </row>
    <row r="3892">
      <c r="A3892" s="1" t="s">
        <v>8</v>
      </c>
      <c r="B3892" s="2">
        <v>44722.0</v>
      </c>
      <c r="C3892" s="3">
        <v>0.7088425925925926</v>
      </c>
      <c r="D3892" s="1">
        <v>12.974588</v>
      </c>
      <c r="E3892" s="1">
        <v>80.154777</v>
      </c>
      <c r="F3892" s="1">
        <v>805.0</v>
      </c>
      <c r="G3892" s="1">
        <v>54.0</v>
      </c>
    </row>
    <row r="3893">
      <c r="A3893" s="1" t="s">
        <v>8</v>
      </c>
      <c r="B3893" s="2">
        <v>44722.0</v>
      </c>
      <c r="C3893" s="3">
        <v>0.7091550925925926</v>
      </c>
      <c r="D3893" s="1">
        <v>12.976744</v>
      </c>
      <c r="E3893" s="1">
        <v>80.158043</v>
      </c>
      <c r="F3893" s="1">
        <v>805.0</v>
      </c>
      <c r="G3893" s="1">
        <v>53.0</v>
      </c>
    </row>
    <row r="3894">
      <c r="A3894" s="1" t="s">
        <v>8</v>
      </c>
      <c r="B3894" s="2">
        <v>44722.0</v>
      </c>
      <c r="C3894" s="3">
        <v>0.7096643518518518</v>
      </c>
      <c r="D3894" s="1">
        <v>12.979235</v>
      </c>
      <c r="E3894" s="1">
        <v>80.16165</v>
      </c>
      <c r="F3894" s="1">
        <v>805.0</v>
      </c>
      <c r="G3894" s="1">
        <v>51.0</v>
      </c>
    </row>
    <row r="3895">
      <c r="A3895" s="1" t="s">
        <v>8</v>
      </c>
      <c r="B3895" s="2">
        <v>44722.0</v>
      </c>
      <c r="C3895" s="3">
        <v>0.7097106481481481</v>
      </c>
      <c r="D3895" s="1">
        <v>12.92275</v>
      </c>
      <c r="E3895" s="1">
        <v>80.151348</v>
      </c>
      <c r="F3895" s="1">
        <v>2846.0</v>
      </c>
      <c r="G3895" s="1">
        <v>0.0</v>
      </c>
    </row>
    <row r="3896">
      <c r="A3896" s="1" t="s">
        <v>8</v>
      </c>
      <c r="B3896" s="2">
        <v>44722.0</v>
      </c>
      <c r="C3896" s="3">
        <v>0.7104166666666667</v>
      </c>
      <c r="D3896" s="1">
        <v>12.923394</v>
      </c>
      <c r="E3896" s="1">
        <v>80.15445</v>
      </c>
      <c r="F3896" s="1">
        <v>2846.0</v>
      </c>
      <c r="G3896" s="1">
        <v>4.0</v>
      </c>
    </row>
    <row r="3897">
      <c r="A3897" s="1" t="s">
        <v>8</v>
      </c>
      <c r="B3897" s="2">
        <v>44722.0</v>
      </c>
      <c r="C3897" s="3">
        <v>0.710462962962963</v>
      </c>
      <c r="D3897" s="1">
        <v>12.923481</v>
      </c>
      <c r="E3897" s="1">
        <v>80.154868</v>
      </c>
      <c r="F3897" s="1">
        <v>2846.0</v>
      </c>
      <c r="G3897" s="1">
        <v>22.0</v>
      </c>
    </row>
    <row r="3898">
      <c r="A3898" s="1" t="s">
        <v>8</v>
      </c>
      <c r="B3898" s="2">
        <v>44722.0</v>
      </c>
      <c r="C3898" s="3">
        <v>0.7104976851851852</v>
      </c>
      <c r="D3898" s="1">
        <v>12.923481</v>
      </c>
      <c r="E3898" s="1">
        <v>80.154868</v>
      </c>
      <c r="F3898" s="1">
        <v>2846.0</v>
      </c>
      <c r="G3898" s="1">
        <v>22.0</v>
      </c>
    </row>
    <row r="3899">
      <c r="A3899" s="1" t="s">
        <v>8</v>
      </c>
      <c r="B3899" s="2">
        <v>44722.0</v>
      </c>
      <c r="C3899" s="3">
        <v>0.7108101851851852</v>
      </c>
      <c r="D3899" s="1">
        <v>12.923573</v>
      </c>
      <c r="E3899" s="1">
        <v>80.15795</v>
      </c>
      <c r="F3899" s="1">
        <v>2846.0</v>
      </c>
      <c r="G3899" s="1">
        <v>41.0</v>
      </c>
    </row>
    <row r="3900">
      <c r="A3900" s="1" t="s">
        <v>8</v>
      </c>
      <c r="B3900" s="2">
        <v>44722.0</v>
      </c>
      <c r="C3900" s="3">
        <v>0.7111689814814814</v>
      </c>
      <c r="D3900" s="1">
        <v>12.923119</v>
      </c>
      <c r="E3900" s="1">
        <v>80.160891</v>
      </c>
      <c r="F3900" s="1">
        <v>2846.0</v>
      </c>
      <c r="G3900" s="1">
        <v>38.0</v>
      </c>
    </row>
    <row r="3901">
      <c r="A3901" s="1" t="s">
        <v>8</v>
      </c>
      <c r="B3901" s="2">
        <v>44722.0</v>
      </c>
      <c r="C3901" s="3">
        <v>0.7112847222222223</v>
      </c>
      <c r="D3901" s="1">
        <v>12.923119</v>
      </c>
      <c r="E3901" s="1">
        <v>80.160891</v>
      </c>
      <c r="F3901" s="1">
        <v>2846.0</v>
      </c>
      <c r="G3901" s="1">
        <v>38.0</v>
      </c>
    </row>
    <row r="3902">
      <c r="A3902" s="1" t="s">
        <v>8</v>
      </c>
      <c r="B3902" s="2">
        <v>44722.0</v>
      </c>
      <c r="C3902" s="3">
        <v>0.7115856481481482</v>
      </c>
      <c r="D3902" s="1">
        <v>12.921957</v>
      </c>
      <c r="E3902" s="1">
        <v>80.16447</v>
      </c>
      <c r="F3902" s="1">
        <v>2846.0</v>
      </c>
      <c r="G3902" s="1">
        <v>46.0</v>
      </c>
    </row>
    <row r="3903">
      <c r="A3903" s="1" t="s">
        <v>8</v>
      </c>
      <c r="B3903" s="2">
        <v>44722.0</v>
      </c>
      <c r="C3903" s="3">
        <v>0.7125347222222222</v>
      </c>
      <c r="D3903" s="1">
        <v>12.919711</v>
      </c>
      <c r="E3903" s="1">
        <v>80.171508</v>
      </c>
      <c r="F3903" s="1">
        <v>2846.0</v>
      </c>
      <c r="G3903" s="1">
        <v>35.0</v>
      </c>
    </row>
    <row r="3904">
      <c r="A3904" s="1" t="s">
        <v>7</v>
      </c>
      <c r="B3904" s="2">
        <v>44722.0</v>
      </c>
      <c r="C3904" s="3">
        <v>0.7128819444444444</v>
      </c>
      <c r="D3904" s="1">
        <v>12.99015</v>
      </c>
      <c r="E3904" s="1">
        <v>80.179639</v>
      </c>
      <c r="F3904" s="1">
        <v>805.0</v>
      </c>
      <c r="G3904" s="1">
        <v>49.0</v>
      </c>
    </row>
    <row r="3905">
      <c r="A3905" s="1" t="s">
        <v>8</v>
      </c>
      <c r="B3905" s="2">
        <v>44722.0</v>
      </c>
      <c r="C3905" s="3">
        <v>0.7129513888888889</v>
      </c>
      <c r="D3905" s="1">
        <v>12.99015</v>
      </c>
      <c r="E3905" s="1">
        <v>80.179639</v>
      </c>
      <c r="F3905" s="1">
        <v>805.0</v>
      </c>
      <c r="G3905" s="1">
        <v>49.0</v>
      </c>
    </row>
    <row r="3906">
      <c r="A3906" s="1" t="s">
        <v>8</v>
      </c>
      <c r="B3906" s="2">
        <v>44722.0</v>
      </c>
      <c r="C3906" s="3">
        <v>0.7141087962962963</v>
      </c>
      <c r="D3906" s="1">
        <v>12.993855</v>
      </c>
      <c r="E3906" s="1">
        <v>80.185103</v>
      </c>
      <c r="F3906" s="1">
        <v>805.0</v>
      </c>
      <c r="G3906" s="1">
        <v>21.0</v>
      </c>
    </row>
    <row r="3907">
      <c r="A3907" s="1" t="s">
        <v>8</v>
      </c>
      <c r="B3907" s="2">
        <v>44722.0</v>
      </c>
      <c r="C3907" s="3">
        <v>0.7145023148148149</v>
      </c>
      <c r="D3907" s="1">
        <v>12.996342</v>
      </c>
      <c r="E3907" s="1">
        <v>80.189569</v>
      </c>
      <c r="F3907" s="1">
        <v>805.0</v>
      </c>
      <c r="G3907" s="1">
        <v>31.0</v>
      </c>
    </row>
    <row r="3908">
      <c r="A3908" s="1" t="s">
        <v>8</v>
      </c>
      <c r="B3908" s="2">
        <v>44722.0</v>
      </c>
      <c r="C3908" s="3">
        <v>0.7146064814814815</v>
      </c>
      <c r="D3908" s="1">
        <v>12.996342</v>
      </c>
      <c r="E3908" s="1">
        <v>80.189569</v>
      </c>
      <c r="F3908" s="1">
        <v>805.0</v>
      </c>
      <c r="G3908" s="1">
        <v>31.0</v>
      </c>
    </row>
    <row r="3909">
      <c r="A3909" s="1" t="s">
        <v>8</v>
      </c>
      <c r="B3909" s="2">
        <v>44722.0</v>
      </c>
      <c r="C3909" s="3">
        <v>0.7148032407407408</v>
      </c>
      <c r="D3909" s="1">
        <v>12.997314</v>
      </c>
      <c r="E3909" s="1">
        <v>80.190703</v>
      </c>
      <c r="F3909" s="1">
        <v>805.0</v>
      </c>
      <c r="G3909" s="1">
        <v>43.0</v>
      </c>
    </row>
    <row r="3910">
      <c r="A3910" s="1" t="s">
        <v>8</v>
      </c>
      <c r="B3910" s="2">
        <v>44722.0</v>
      </c>
      <c r="C3910" s="3">
        <v>0.7158912037037037</v>
      </c>
      <c r="D3910" s="1">
        <v>13.001312</v>
      </c>
      <c r="E3910" s="1">
        <v>80.195715</v>
      </c>
      <c r="F3910" s="1">
        <v>805.0</v>
      </c>
      <c r="G3910" s="1">
        <v>13.0</v>
      </c>
    </row>
    <row r="3911">
      <c r="A3911" s="1" t="s">
        <v>8</v>
      </c>
      <c r="B3911" s="2">
        <v>44722.0</v>
      </c>
      <c r="C3911" s="3">
        <v>0.715949074074074</v>
      </c>
      <c r="D3911" s="1">
        <v>13.001312</v>
      </c>
      <c r="E3911" s="1">
        <v>80.195715</v>
      </c>
      <c r="F3911" s="1">
        <v>805.0</v>
      </c>
      <c r="G3911" s="1">
        <v>13.0</v>
      </c>
    </row>
    <row r="3912">
      <c r="A3912" s="1" t="s">
        <v>8</v>
      </c>
      <c r="B3912" s="2">
        <v>44722.0</v>
      </c>
      <c r="C3912" s="3">
        <v>0.7161458333333334</v>
      </c>
      <c r="D3912" s="1">
        <v>13.002003</v>
      </c>
      <c r="E3912" s="1">
        <v>80.197973</v>
      </c>
      <c r="F3912" s="1">
        <v>805.0</v>
      </c>
      <c r="G3912" s="1">
        <v>46.0</v>
      </c>
    </row>
    <row r="3913">
      <c r="A3913" s="1" t="s">
        <v>8</v>
      </c>
      <c r="B3913" s="2">
        <v>44722.0</v>
      </c>
      <c r="C3913" s="3">
        <v>0.716574074074074</v>
      </c>
      <c r="D3913" s="1">
        <v>13.003346</v>
      </c>
      <c r="E3913" s="1">
        <v>80.200801</v>
      </c>
      <c r="F3913" s="1">
        <v>805.0</v>
      </c>
      <c r="G3913" s="1">
        <v>42.0</v>
      </c>
    </row>
    <row r="3914">
      <c r="A3914" s="1" t="s">
        <v>10</v>
      </c>
      <c r="B3914" s="2">
        <v>44722.0</v>
      </c>
      <c r="C3914" s="3">
        <v>0.7166782407407407</v>
      </c>
      <c r="D3914" s="1">
        <v>12.929199</v>
      </c>
      <c r="E3914" s="1">
        <v>80.181847</v>
      </c>
      <c r="F3914" s="1">
        <v>2846.0</v>
      </c>
      <c r="G3914" s="1">
        <v>9.0</v>
      </c>
    </row>
    <row r="3915">
      <c r="A3915" s="1" t="s">
        <v>8</v>
      </c>
      <c r="B3915" s="2">
        <v>44722.0</v>
      </c>
      <c r="C3915" s="3">
        <v>0.7166898148148149</v>
      </c>
      <c r="D3915" s="1">
        <v>13.003346</v>
      </c>
      <c r="E3915" s="1">
        <v>80.200801</v>
      </c>
      <c r="F3915" s="1">
        <v>805.0</v>
      </c>
      <c r="G3915" s="1">
        <v>42.0</v>
      </c>
    </row>
    <row r="3916">
      <c r="A3916" s="1" t="s">
        <v>8</v>
      </c>
      <c r="B3916" s="2">
        <v>44722.0</v>
      </c>
      <c r="C3916" s="3">
        <v>0.7168402777777778</v>
      </c>
      <c r="D3916" s="1">
        <v>13.004436</v>
      </c>
      <c r="E3916" s="1">
        <v>80.201074</v>
      </c>
      <c r="F3916" s="1">
        <v>805.0</v>
      </c>
      <c r="G3916" s="1">
        <v>25.0</v>
      </c>
    </row>
    <row r="3917">
      <c r="A3917" s="1" t="s">
        <v>10</v>
      </c>
      <c r="B3917" s="2">
        <v>44722.0</v>
      </c>
      <c r="C3917" s="3">
        <v>0.7174421296296296</v>
      </c>
      <c r="D3917" s="1">
        <v>12.932042</v>
      </c>
      <c r="E3917" s="1">
        <v>80.181606</v>
      </c>
      <c r="F3917" s="1">
        <v>2846.0</v>
      </c>
      <c r="G3917" s="1">
        <v>17.0</v>
      </c>
    </row>
    <row r="3918">
      <c r="A3918" s="1" t="s">
        <v>8</v>
      </c>
      <c r="B3918" s="2">
        <v>44722.0</v>
      </c>
      <c r="C3918" s="3">
        <v>0.7176041666666667</v>
      </c>
      <c r="D3918" s="1">
        <v>13.007971</v>
      </c>
      <c r="E3918" s="1">
        <v>80.202744</v>
      </c>
      <c r="F3918" s="1">
        <v>805.0</v>
      </c>
      <c r="G3918" s="1">
        <v>41.0</v>
      </c>
    </row>
    <row r="3919">
      <c r="A3919" s="1" t="s">
        <v>8</v>
      </c>
      <c r="B3919" s="2">
        <v>44722.0</v>
      </c>
      <c r="C3919" s="3">
        <v>0.7179398148148148</v>
      </c>
      <c r="D3919" s="1">
        <v>13.007784</v>
      </c>
      <c r="E3919" s="1">
        <v>80.206635</v>
      </c>
      <c r="F3919" s="1">
        <v>805.0</v>
      </c>
      <c r="G3919" s="1">
        <v>47.0</v>
      </c>
    </row>
    <row r="3920">
      <c r="A3920" s="1" t="s">
        <v>8</v>
      </c>
      <c r="B3920" s="2">
        <v>44722.0</v>
      </c>
      <c r="C3920" s="3">
        <v>0.7180092592592593</v>
      </c>
      <c r="D3920" s="1">
        <v>13.008022</v>
      </c>
      <c r="E3920" s="1">
        <v>80.208317</v>
      </c>
      <c r="F3920" s="1">
        <v>805.0</v>
      </c>
      <c r="G3920" s="1">
        <v>39.0</v>
      </c>
    </row>
    <row r="3921">
      <c r="A3921" s="1" t="s">
        <v>8</v>
      </c>
      <c r="B3921" s="2">
        <v>44722.0</v>
      </c>
      <c r="C3921" s="3">
        <v>0.7180787037037037</v>
      </c>
      <c r="D3921" s="1">
        <v>13.008022</v>
      </c>
      <c r="E3921" s="1">
        <v>80.208317</v>
      </c>
      <c r="F3921" s="1">
        <v>805.0</v>
      </c>
      <c r="G3921" s="1">
        <v>39.0</v>
      </c>
    </row>
    <row r="3922">
      <c r="A3922" s="1" t="s">
        <v>8</v>
      </c>
      <c r="B3922" s="2">
        <v>44722.0</v>
      </c>
      <c r="C3922" s="3">
        <v>0.7181018518518518</v>
      </c>
      <c r="D3922" s="1">
        <v>13.008022</v>
      </c>
      <c r="E3922" s="1">
        <v>80.208317</v>
      </c>
      <c r="F3922" s="1">
        <v>805.0</v>
      </c>
      <c r="G3922" s="1">
        <v>39.0</v>
      </c>
    </row>
    <row r="3923">
      <c r="A3923" s="1" t="s">
        <v>10</v>
      </c>
      <c r="B3923" s="2">
        <v>44722.0</v>
      </c>
      <c r="C3923" s="3">
        <v>0.7184953703703704</v>
      </c>
      <c r="D3923" s="1">
        <v>12.937055</v>
      </c>
      <c r="E3923" s="1">
        <v>80.182158</v>
      </c>
      <c r="F3923" s="1">
        <v>2846.0</v>
      </c>
      <c r="G3923" s="1">
        <v>14.0</v>
      </c>
    </row>
    <row r="3924">
      <c r="A3924" s="1" t="s">
        <v>10</v>
      </c>
      <c r="B3924" s="2">
        <v>44722.0</v>
      </c>
      <c r="C3924" s="3">
        <v>0.7190625</v>
      </c>
      <c r="D3924" s="1">
        <v>12.939409</v>
      </c>
      <c r="E3924" s="1">
        <v>80.1824</v>
      </c>
      <c r="F3924" s="1">
        <v>2846.0</v>
      </c>
      <c r="G3924" s="1">
        <v>7.0</v>
      </c>
    </row>
    <row r="3925">
      <c r="A3925" s="1" t="s">
        <v>8</v>
      </c>
      <c r="B3925" s="2">
        <v>44722.0</v>
      </c>
      <c r="C3925" s="3">
        <v>0.7196412037037037</v>
      </c>
      <c r="D3925" s="1">
        <v>13.009683</v>
      </c>
      <c r="E3925" s="1">
        <v>80.21348</v>
      </c>
      <c r="F3925" s="1">
        <v>805.0</v>
      </c>
      <c r="G3925" s="1">
        <v>7.0</v>
      </c>
    </row>
    <row r="3926">
      <c r="A3926" s="1" t="s">
        <v>8</v>
      </c>
      <c r="B3926" s="2">
        <v>44722.0</v>
      </c>
      <c r="C3926" s="3">
        <v>0.7201504629629629</v>
      </c>
      <c r="D3926" s="1">
        <v>13.010114</v>
      </c>
      <c r="E3926" s="1">
        <v>80.214635</v>
      </c>
      <c r="F3926" s="1">
        <v>805.0</v>
      </c>
      <c r="G3926" s="1">
        <v>26.0</v>
      </c>
    </row>
    <row r="3927">
      <c r="A3927" s="1" t="s">
        <v>7</v>
      </c>
      <c r="B3927" s="2">
        <v>44722.0</v>
      </c>
      <c r="C3927" s="3">
        <v>0.7202314814814815</v>
      </c>
      <c r="D3927" s="1">
        <v>13.010325</v>
      </c>
      <c r="E3927" s="1">
        <v>80.215815</v>
      </c>
      <c r="F3927" s="1">
        <v>805.0</v>
      </c>
      <c r="G3927" s="1">
        <v>35.0</v>
      </c>
    </row>
    <row r="3928">
      <c r="A3928" s="1" t="s">
        <v>8</v>
      </c>
      <c r="B3928" s="2">
        <v>44722.0</v>
      </c>
      <c r="C3928" s="3">
        <v>0.7215046296296296</v>
      </c>
      <c r="D3928" s="1">
        <v>13.015014</v>
      </c>
      <c r="E3928" s="1">
        <v>80.224672</v>
      </c>
      <c r="F3928" s="1">
        <v>805.0</v>
      </c>
      <c r="G3928" s="1">
        <v>16.0</v>
      </c>
    </row>
    <row r="3929">
      <c r="A3929" s="1" t="s">
        <v>8</v>
      </c>
      <c r="B3929" s="2">
        <v>44722.0</v>
      </c>
      <c r="C3929" s="3">
        <v>0.7215856481481482</v>
      </c>
      <c r="D3929" s="1">
        <v>13.015014</v>
      </c>
      <c r="E3929" s="1">
        <v>80.224672</v>
      </c>
      <c r="F3929" s="1">
        <v>805.0</v>
      </c>
      <c r="G3929" s="1">
        <v>16.0</v>
      </c>
    </row>
    <row r="3930">
      <c r="A3930" s="1" t="s">
        <v>8</v>
      </c>
      <c r="B3930" s="2">
        <v>44722.0</v>
      </c>
      <c r="C3930" s="3">
        <v>0.7217824074074074</v>
      </c>
      <c r="D3930" s="1">
        <v>13.015462</v>
      </c>
      <c r="E3930" s="1">
        <v>80.225375</v>
      </c>
      <c r="F3930" s="1">
        <v>805.0</v>
      </c>
      <c r="G3930" s="1">
        <v>11.0</v>
      </c>
    </row>
    <row r="3931">
      <c r="A3931" s="1" t="s">
        <v>8</v>
      </c>
      <c r="B3931" s="2">
        <v>44722.0</v>
      </c>
      <c r="C3931" s="3">
        <v>0.721875</v>
      </c>
      <c r="D3931" s="1">
        <v>13.014752</v>
      </c>
      <c r="E3931" s="1">
        <v>80.225988</v>
      </c>
      <c r="F3931" s="1">
        <v>805.0</v>
      </c>
      <c r="G3931" s="1">
        <v>39.0</v>
      </c>
    </row>
    <row r="3932">
      <c r="A3932" s="1" t="s">
        <v>8</v>
      </c>
      <c r="B3932" s="2">
        <v>44722.0</v>
      </c>
      <c r="C3932" s="3">
        <v>0.7220717592592593</v>
      </c>
      <c r="D3932" s="1">
        <v>13.013291</v>
      </c>
      <c r="E3932" s="1">
        <v>80.226595</v>
      </c>
      <c r="F3932" s="1">
        <v>805.0</v>
      </c>
      <c r="G3932" s="1">
        <v>42.0</v>
      </c>
    </row>
    <row r="3933">
      <c r="A3933" s="1" t="s">
        <v>8</v>
      </c>
      <c r="B3933" s="2">
        <v>44722.0</v>
      </c>
      <c r="C3933" s="3">
        <v>0.7222337962962962</v>
      </c>
      <c r="D3933" s="1">
        <v>13.011413</v>
      </c>
      <c r="E3933" s="1">
        <v>80.227382</v>
      </c>
      <c r="F3933" s="1">
        <v>805.0</v>
      </c>
      <c r="G3933" s="1">
        <v>56.0</v>
      </c>
    </row>
    <row r="3934">
      <c r="A3934" s="1" t="s">
        <v>8</v>
      </c>
      <c r="B3934" s="2">
        <v>44722.0</v>
      </c>
      <c r="C3934" s="3">
        <v>0.7223726851851852</v>
      </c>
      <c r="D3934" s="1">
        <v>13.011413</v>
      </c>
      <c r="E3934" s="1">
        <v>80.227382</v>
      </c>
      <c r="F3934" s="1">
        <v>805.0</v>
      </c>
      <c r="G3934" s="1">
        <v>56.0</v>
      </c>
    </row>
    <row r="3935">
      <c r="A3935" s="1" t="s">
        <v>8</v>
      </c>
      <c r="B3935" s="2">
        <v>44722.0</v>
      </c>
      <c r="C3935" s="3">
        <v>0.7225462962962963</v>
      </c>
      <c r="D3935" s="1">
        <v>13.009623</v>
      </c>
      <c r="E3935" s="1">
        <v>80.228117</v>
      </c>
      <c r="F3935" s="1">
        <v>805.0</v>
      </c>
      <c r="G3935" s="1">
        <v>44.0</v>
      </c>
    </row>
    <row r="3936">
      <c r="A3936" s="1" t="s">
        <v>8</v>
      </c>
      <c r="B3936" s="2">
        <v>44722.0</v>
      </c>
      <c r="C3936" s="3">
        <v>0.7234027777777777</v>
      </c>
      <c r="D3936" s="1">
        <v>13.007921</v>
      </c>
      <c r="E3936" s="1">
        <v>80.234943</v>
      </c>
      <c r="F3936" s="1">
        <v>805.0</v>
      </c>
      <c r="G3936" s="1">
        <v>0.0</v>
      </c>
    </row>
    <row r="3937">
      <c r="A3937" s="1" t="s">
        <v>8</v>
      </c>
      <c r="B3937" s="2">
        <v>44722.0</v>
      </c>
      <c r="C3937" s="3">
        <v>0.7234606481481481</v>
      </c>
      <c r="D3937" s="1">
        <v>13.007921</v>
      </c>
      <c r="E3937" s="1">
        <v>80.234943</v>
      </c>
      <c r="F3937" s="1">
        <v>805.0</v>
      </c>
      <c r="G3937" s="1">
        <v>0.0</v>
      </c>
    </row>
    <row r="3938">
      <c r="A3938" s="1" t="s">
        <v>8</v>
      </c>
      <c r="B3938" s="2">
        <v>44722.0</v>
      </c>
      <c r="C3938" s="3">
        <v>0.7235185185185186</v>
      </c>
      <c r="D3938" s="1">
        <v>13.007921</v>
      </c>
      <c r="E3938" s="1">
        <v>80.234943</v>
      </c>
      <c r="F3938" s="1">
        <v>805.0</v>
      </c>
      <c r="G3938" s="1">
        <v>0.0</v>
      </c>
    </row>
    <row r="3939">
      <c r="A3939" s="1" t="s">
        <v>8</v>
      </c>
      <c r="B3939" s="2">
        <v>44722.0</v>
      </c>
      <c r="C3939" s="3">
        <v>0.723587962962963</v>
      </c>
      <c r="D3939" s="1">
        <v>13.007921</v>
      </c>
      <c r="E3939" s="1">
        <v>80.234943</v>
      </c>
      <c r="F3939" s="1">
        <v>805.0</v>
      </c>
      <c r="G3939" s="1">
        <v>0.0</v>
      </c>
    </row>
    <row r="3940">
      <c r="A3940" s="1" t="s">
        <v>10</v>
      </c>
      <c r="B3940" s="2">
        <v>44722.0</v>
      </c>
      <c r="C3940" s="3">
        <v>0.7240740740740741</v>
      </c>
      <c r="D3940" s="1">
        <v>12.956348</v>
      </c>
      <c r="E3940" s="1">
        <v>80.186845</v>
      </c>
      <c r="F3940" s="1">
        <v>2846.0</v>
      </c>
      <c r="G3940" s="1">
        <v>13.0</v>
      </c>
    </row>
    <row r="3941">
      <c r="A3941" s="1" t="s">
        <v>8</v>
      </c>
      <c r="B3941" s="2">
        <v>44722.0</v>
      </c>
      <c r="C3941" s="3">
        <v>0.7247685185185185</v>
      </c>
      <c r="D3941" s="1">
        <v>13.006694</v>
      </c>
      <c r="E3941" s="1">
        <v>80.24345</v>
      </c>
      <c r="F3941" s="1">
        <v>805.0</v>
      </c>
      <c r="G3941" s="1">
        <v>0.0</v>
      </c>
    </row>
    <row r="3942">
      <c r="A3942" s="1" t="s">
        <v>8</v>
      </c>
      <c r="B3942" s="2">
        <v>44722.0</v>
      </c>
      <c r="C3942" s="3">
        <v>0.7247685185185185</v>
      </c>
      <c r="D3942" s="1">
        <v>13.006694</v>
      </c>
      <c r="E3942" s="1">
        <v>80.24345</v>
      </c>
      <c r="F3942" s="1">
        <v>805.0</v>
      </c>
      <c r="G3942" s="1">
        <v>0.0</v>
      </c>
    </row>
    <row r="3943">
      <c r="A3943" s="1" t="s">
        <v>8</v>
      </c>
      <c r="B3943" s="2">
        <v>44722.0</v>
      </c>
      <c r="C3943" s="3">
        <v>0.7255787037037037</v>
      </c>
      <c r="D3943" s="1">
        <v>13.006778</v>
      </c>
      <c r="E3943" s="1">
        <v>80.247646</v>
      </c>
      <c r="F3943" s="1">
        <v>805.0</v>
      </c>
      <c r="G3943" s="1">
        <v>21.0</v>
      </c>
    </row>
    <row r="3944">
      <c r="A3944" s="1" t="s">
        <v>10</v>
      </c>
      <c r="B3944" s="2">
        <v>44722.0</v>
      </c>
      <c r="C3944" s="3">
        <v>0.7258217592592593</v>
      </c>
      <c r="D3944" s="1">
        <v>12.962495</v>
      </c>
      <c r="E3944" s="1">
        <v>80.187451</v>
      </c>
      <c r="F3944" s="1">
        <v>2846.0</v>
      </c>
      <c r="G3944" s="1">
        <v>18.0</v>
      </c>
    </row>
    <row r="3945">
      <c r="A3945" s="1" t="s">
        <v>8</v>
      </c>
      <c r="B3945" s="2">
        <v>44722.0</v>
      </c>
      <c r="C3945" s="3">
        <v>0.7266898148148148</v>
      </c>
      <c r="D3945" s="1">
        <v>13.006898</v>
      </c>
      <c r="E3945" s="1">
        <v>80.251098</v>
      </c>
      <c r="F3945" s="1">
        <v>805.0</v>
      </c>
      <c r="G3945" s="1">
        <v>0.0</v>
      </c>
    </row>
    <row r="3946">
      <c r="A3946" s="1" t="s">
        <v>8</v>
      </c>
      <c r="B3946" s="2">
        <v>44722.0</v>
      </c>
      <c r="C3946" s="3">
        <v>0.7267361111111111</v>
      </c>
      <c r="D3946" s="1">
        <v>13.006898</v>
      </c>
      <c r="E3946" s="1">
        <v>80.251098</v>
      </c>
      <c r="F3946" s="1">
        <v>805.0</v>
      </c>
      <c r="G3946" s="1">
        <v>0.0</v>
      </c>
    </row>
    <row r="3947">
      <c r="A3947" s="1" t="s">
        <v>8</v>
      </c>
      <c r="B3947" s="2">
        <v>44722.0</v>
      </c>
      <c r="C3947" s="3">
        <v>0.7270601851851852</v>
      </c>
      <c r="D3947" s="1">
        <v>13.006814</v>
      </c>
      <c r="E3947" s="1">
        <v>80.251701</v>
      </c>
      <c r="F3947" s="1">
        <v>805.0</v>
      </c>
      <c r="G3947" s="1">
        <v>22.0</v>
      </c>
    </row>
    <row r="3948">
      <c r="A3948" s="1" t="s">
        <v>8</v>
      </c>
      <c r="B3948" s="2">
        <v>44722.0</v>
      </c>
      <c r="C3948" s="3">
        <v>0.7270833333333333</v>
      </c>
      <c r="D3948" s="1">
        <v>13.006814</v>
      </c>
      <c r="E3948" s="1">
        <v>80.251701</v>
      </c>
      <c r="F3948" s="1">
        <v>805.0</v>
      </c>
      <c r="G3948" s="1">
        <v>22.0</v>
      </c>
    </row>
    <row r="3949">
      <c r="A3949" s="1" t="s">
        <v>8</v>
      </c>
      <c r="B3949" s="2">
        <v>44722.0</v>
      </c>
      <c r="C3949" s="3">
        <v>0.7271643518518518</v>
      </c>
      <c r="D3949" s="1">
        <v>13.006814</v>
      </c>
      <c r="E3949" s="1">
        <v>80.251701</v>
      </c>
      <c r="F3949" s="1">
        <v>805.0</v>
      </c>
      <c r="G3949" s="1">
        <v>22.0</v>
      </c>
    </row>
    <row r="3950">
      <c r="A3950" s="1" t="s">
        <v>8</v>
      </c>
      <c r="B3950" s="2">
        <v>44722.0</v>
      </c>
      <c r="C3950" s="3">
        <v>0.7288657407407407</v>
      </c>
      <c r="D3950" s="1">
        <v>13.008583</v>
      </c>
      <c r="E3950" s="1">
        <v>80.258928</v>
      </c>
      <c r="F3950" s="1">
        <v>805.0</v>
      </c>
      <c r="G3950" s="1">
        <v>12.0</v>
      </c>
    </row>
    <row r="3951">
      <c r="A3951" s="1" t="s">
        <v>7</v>
      </c>
      <c r="B3951" s="2">
        <v>44722.0</v>
      </c>
      <c r="C3951" s="3">
        <v>0.7289467592592592</v>
      </c>
      <c r="D3951" s="1">
        <v>13.008903</v>
      </c>
      <c r="E3951" s="1">
        <v>80.258998</v>
      </c>
      <c r="F3951" s="1">
        <v>805.0</v>
      </c>
      <c r="G3951" s="1">
        <v>8.0</v>
      </c>
    </row>
    <row r="3952">
      <c r="A3952" s="1" t="s">
        <v>7</v>
      </c>
      <c r="B3952" s="2">
        <v>44722.0</v>
      </c>
      <c r="C3952" s="3">
        <v>0.7290162037037037</v>
      </c>
      <c r="D3952" s="1">
        <v>13.008903</v>
      </c>
      <c r="E3952" s="1">
        <v>80.258998</v>
      </c>
      <c r="F3952" s="1">
        <v>805.0</v>
      </c>
      <c r="G3952" s="1">
        <v>8.0</v>
      </c>
    </row>
    <row r="3953">
      <c r="A3953" s="1" t="s">
        <v>8</v>
      </c>
      <c r="B3953" s="2">
        <v>44722.0</v>
      </c>
      <c r="C3953" s="3">
        <v>0.729375</v>
      </c>
      <c r="D3953" s="1">
        <v>13.011585</v>
      </c>
      <c r="E3953" s="1">
        <v>80.259062</v>
      </c>
      <c r="F3953" s="1">
        <v>805.0</v>
      </c>
      <c r="G3953" s="1">
        <v>46.0</v>
      </c>
    </row>
    <row r="3954">
      <c r="A3954" s="1" t="s">
        <v>8</v>
      </c>
      <c r="B3954" s="2">
        <v>44722.0</v>
      </c>
      <c r="C3954" s="3">
        <v>0.729386574074074</v>
      </c>
      <c r="D3954" s="1">
        <v>13.011585</v>
      </c>
      <c r="E3954" s="1">
        <v>80.259062</v>
      </c>
      <c r="F3954" s="1">
        <v>805.0</v>
      </c>
      <c r="G3954" s="1">
        <v>46.0</v>
      </c>
    </row>
    <row r="3955">
      <c r="A3955" s="1" t="s">
        <v>8</v>
      </c>
      <c r="B3955" s="2">
        <v>44722.0</v>
      </c>
      <c r="C3955" s="3">
        <v>0.7296990740740741</v>
      </c>
      <c r="D3955" s="1">
        <v>13.015722</v>
      </c>
      <c r="E3955" s="1">
        <v>80.259326</v>
      </c>
      <c r="F3955" s="1">
        <v>805.0</v>
      </c>
      <c r="G3955" s="1">
        <v>33.0</v>
      </c>
    </row>
    <row r="3956">
      <c r="A3956" s="1" t="s">
        <v>8</v>
      </c>
      <c r="B3956" s="2">
        <v>44722.0</v>
      </c>
      <c r="C3956" s="3">
        <v>0.7311111111111112</v>
      </c>
      <c r="D3956" s="1">
        <v>12.965801</v>
      </c>
      <c r="E3956" s="1">
        <v>80.20178</v>
      </c>
      <c r="F3956" s="1">
        <v>2846.0</v>
      </c>
      <c r="G3956" s="1">
        <v>20.0</v>
      </c>
    </row>
    <row r="3957">
      <c r="A3957" s="1" t="s">
        <v>8</v>
      </c>
      <c r="B3957" s="2">
        <v>44722.0</v>
      </c>
      <c r="C3957" s="3">
        <v>0.7313078703703704</v>
      </c>
      <c r="D3957" s="1">
        <v>13.020695</v>
      </c>
      <c r="E3957" s="1">
        <v>80.262792</v>
      </c>
      <c r="F3957" s="1">
        <v>805.0</v>
      </c>
      <c r="G3957" s="1">
        <v>6.0</v>
      </c>
    </row>
    <row r="3958">
      <c r="A3958" s="1" t="s">
        <v>8</v>
      </c>
      <c r="B3958" s="2">
        <v>44722.0</v>
      </c>
      <c r="C3958" s="3">
        <v>0.731574074074074</v>
      </c>
      <c r="D3958" s="1">
        <v>13.022385</v>
      </c>
      <c r="E3958" s="1">
        <v>80.263431</v>
      </c>
      <c r="F3958" s="1">
        <v>805.0</v>
      </c>
      <c r="G3958" s="1">
        <v>14.0</v>
      </c>
    </row>
    <row r="3959">
      <c r="A3959" s="1" t="s">
        <v>8</v>
      </c>
      <c r="B3959" s="2">
        <v>44722.0</v>
      </c>
      <c r="C3959" s="3">
        <v>0.7315856481481482</v>
      </c>
      <c r="D3959" s="1">
        <v>13.022385</v>
      </c>
      <c r="E3959" s="1">
        <v>80.263431</v>
      </c>
      <c r="F3959" s="1">
        <v>805.0</v>
      </c>
      <c r="G3959" s="1">
        <v>14.0</v>
      </c>
    </row>
    <row r="3960">
      <c r="A3960" s="1" t="s">
        <v>8</v>
      </c>
      <c r="B3960" s="2">
        <v>44722.0</v>
      </c>
      <c r="C3960" s="3">
        <v>0.7316087962962963</v>
      </c>
      <c r="D3960" s="1">
        <v>13.022385</v>
      </c>
      <c r="E3960" s="1">
        <v>80.263431</v>
      </c>
      <c r="F3960" s="1">
        <v>805.0</v>
      </c>
      <c r="G3960" s="1">
        <v>14.0</v>
      </c>
    </row>
    <row r="3961">
      <c r="A3961" s="1" t="s">
        <v>8</v>
      </c>
      <c r="B3961" s="2">
        <v>44722.0</v>
      </c>
      <c r="C3961" s="3">
        <v>0.7316319444444445</v>
      </c>
      <c r="D3961" s="1">
        <v>13.022385</v>
      </c>
      <c r="E3961" s="1">
        <v>80.263431</v>
      </c>
      <c r="F3961" s="1">
        <v>805.0</v>
      </c>
      <c r="G3961" s="1">
        <v>14.0</v>
      </c>
    </row>
    <row r="3962">
      <c r="A3962" s="1" t="s">
        <v>8</v>
      </c>
      <c r="B3962" s="2">
        <v>44722.0</v>
      </c>
      <c r="C3962" s="3">
        <v>0.7322569444444444</v>
      </c>
      <c r="D3962" s="1">
        <v>13.025739</v>
      </c>
      <c r="E3962" s="1">
        <v>80.265532</v>
      </c>
      <c r="F3962" s="1">
        <v>805.0</v>
      </c>
      <c r="G3962" s="1">
        <v>29.0</v>
      </c>
    </row>
    <row r="3963">
      <c r="A3963" s="1" t="s">
        <v>8</v>
      </c>
      <c r="B3963" s="2">
        <v>44722.0</v>
      </c>
      <c r="C3963" s="3">
        <v>0.7325578703703703</v>
      </c>
      <c r="D3963" s="1">
        <v>12.965344</v>
      </c>
      <c r="E3963" s="1">
        <v>80.206643</v>
      </c>
      <c r="F3963" s="1">
        <v>2846.0</v>
      </c>
      <c r="G3963" s="1">
        <v>30.0</v>
      </c>
    </row>
    <row r="3964">
      <c r="A3964" s="1" t="s">
        <v>10</v>
      </c>
      <c r="B3964" s="2">
        <v>44722.0</v>
      </c>
      <c r="C3964" s="3">
        <v>0.7330092592592593</v>
      </c>
      <c r="D3964" s="1">
        <v>12.964996</v>
      </c>
      <c r="E3964" s="1">
        <v>80.20895</v>
      </c>
      <c r="F3964" s="1">
        <v>2846.0</v>
      </c>
      <c r="G3964" s="1">
        <v>30.0</v>
      </c>
    </row>
    <row r="3965">
      <c r="A3965" s="1" t="s">
        <v>8</v>
      </c>
      <c r="B3965" s="2">
        <v>44722.0</v>
      </c>
      <c r="C3965" s="3">
        <v>0.7350347222222222</v>
      </c>
      <c r="D3965" s="1">
        <v>12.968472</v>
      </c>
      <c r="E3965" s="1">
        <v>80.217913</v>
      </c>
      <c r="F3965" s="1">
        <v>2846.0</v>
      </c>
      <c r="G3965" s="1">
        <v>56.0</v>
      </c>
    </row>
    <row r="3966">
      <c r="A3966" s="1" t="s">
        <v>8</v>
      </c>
      <c r="B3966" s="2">
        <v>44722.0</v>
      </c>
      <c r="C3966" s="3">
        <v>0.7350810185185185</v>
      </c>
      <c r="D3966" s="1">
        <v>12.968472</v>
      </c>
      <c r="E3966" s="1">
        <v>80.217913</v>
      </c>
      <c r="F3966" s="1">
        <v>2846.0</v>
      </c>
      <c r="G3966" s="1">
        <v>56.0</v>
      </c>
    </row>
    <row r="3967">
      <c r="A3967" s="1" t="s">
        <v>8</v>
      </c>
      <c r="B3967" s="2">
        <v>44722.0</v>
      </c>
      <c r="C3967" s="3">
        <v>0.7357523148148148</v>
      </c>
      <c r="D3967" s="1">
        <v>12.97553</v>
      </c>
      <c r="E3967" s="1">
        <v>80.220644</v>
      </c>
      <c r="F3967" s="1">
        <v>2846.0</v>
      </c>
      <c r="G3967" s="1">
        <v>33.0</v>
      </c>
    </row>
    <row r="3968">
      <c r="A3968" s="1" t="s">
        <v>8</v>
      </c>
      <c r="B3968" s="2">
        <v>44722.0</v>
      </c>
      <c r="C3968" s="3">
        <v>0.7359027777777778</v>
      </c>
      <c r="D3968" s="1">
        <v>12.97553</v>
      </c>
      <c r="E3968" s="1">
        <v>80.220644</v>
      </c>
      <c r="F3968" s="1">
        <v>2846.0</v>
      </c>
      <c r="G3968" s="1">
        <v>33.0</v>
      </c>
    </row>
    <row r="3969">
      <c r="A3969" s="1" t="s">
        <v>8</v>
      </c>
      <c r="B3969" s="2">
        <v>44722.0</v>
      </c>
      <c r="C3969" s="3">
        <v>0.7359027777777778</v>
      </c>
      <c r="D3969" s="1">
        <v>12.97553</v>
      </c>
      <c r="E3969" s="1">
        <v>80.220644</v>
      </c>
      <c r="F3969" s="1">
        <v>2846.0</v>
      </c>
      <c r="G3969" s="1">
        <v>33.0</v>
      </c>
    </row>
    <row r="3970">
      <c r="A3970" s="1" t="s">
        <v>7</v>
      </c>
      <c r="B3970" s="2">
        <v>44722.0</v>
      </c>
      <c r="C3970" s="3">
        <v>0.7380324074074074</v>
      </c>
      <c r="D3970" s="1">
        <v>12.980396</v>
      </c>
      <c r="E3970" s="1">
        <v>80.228372</v>
      </c>
      <c r="F3970" s="1">
        <v>2846.0</v>
      </c>
      <c r="G3970" s="1">
        <v>0.0</v>
      </c>
    </row>
    <row r="3971">
      <c r="A3971" s="1" t="s">
        <v>8</v>
      </c>
      <c r="B3971" s="2">
        <v>44722.0</v>
      </c>
      <c r="C3971" s="3">
        <v>0.7385995370370371</v>
      </c>
      <c r="D3971" s="1">
        <v>12.978853</v>
      </c>
      <c r="E3971" s="1">
        <v>80.225995</v>
      </c>
      <c r="F3971" s="1">
        <v>2846.0</v>
      </c>
      <c r="G3971" s="1">
        <v>49.0</v>
      </c>
    </row>
    <row r="3972">
      <c r="A3972" s="1" t="s">
        <v>8</v>
      </c>
      <c r="B3972" s="2">
        <v>44722.0</v>
      </c>
      <c r="C3972" s="3">
        <v>0.7386342592592593</v>
      </c>
      <c r="D3972" s="1">
        <v>12.978853</v>
      </c>
      <c r="E3972" s="1">
        <v>80.225995</v>
      </c>
      <c r="F3972" s="1">
        <v>2846.0</v>
      </c>
      <c r="G3972" s="1">
        <v>49.0</v>
      </c>
    </row>
    <row r="3973">
      <c r="A3973" s="1" t="s">
        <v>9</v>
      </c>
      <c r="B3973" s="2">
        <v>44722.0</v>
      </c>
      <c r="C3973" s="3">
        <v>0.7389699074074074</v>
      </c>
      <c r="D3973" s="1">
        <v>12.977311</v>
      </c>
      <c r="E3973" s="1">
        <v>80.223507</v>
      </c>
      <c r="F3973" s="1">
        <v>2846.0</v>
      </c>
      <c r="G3973" s="1">
        <v>44.0</v>
      </c>
    </row>
    <row r="3974">
      <c r="A3974" s="1" t="s">
        <v>8</v>
      </c>
      <c r="B3974" s="2">
        <v>44722.0</v>
      </c>
      <c r="C3974" s="3">
        <v>0.7392361111111111</v>
      </c>
      <c r="D3974" s="1">
        <v>13.039902</v>
      </c>
      <c r="E3974" s="1">
        <v>80.267814</v>
      </c>
      <c r="F3974" s="1">
        <v>805.0</v>
      </c>
      <c r="G3974" s="1">
        <v>11.0</v>
      </c>
    </row>
    <row r="3975">
      <c r="A3975" s="1" t="s">
        <v>8</v>
      </c>
      <c r="B3975" s="2">
        <v>44722.0</v>
      </c>
      <c r="C3975" s="3">
        <v>0.7407986111111111</v>
      </c>
      <c r="D3975" s="1">
        <v>12.96334</v>
      </c>
      <c r="E3975" s="1">
        <v>80.215956</v>
      </c>
      <c r="F3975" s="1">
        <v>2846.0</v>
      </c>
      <c r="G3975" s="1">
        <v>32.0</v>
      </c>
    </row>
    <row r="3976">
      <c r="A3976" s="1" t="s">
        <v>8</v>
      </c>
      <c r="B3976" s="2">
        <v>44722.0</v>
      </c>
      <c r="C3976" s="3">
        <v>0.7408796296296296</v>
      </c>
      <c r="D3976" s="1">
        <v>12.96334</v>
      </c>
      <c r="E3976" s="1">
        <v>80.215956</v>
      </c>
      <c r="F3976" s="1">
        <v>2846.0</v>
      </c>
      <c r="G3976" s="1">
        <v>32.0</v>
      </c>
    </row>
    <row r="3977">
      <c r="A3977" s="1" t="s">
        <v>8</v>
      </c>
      <c r="B3977" s="2">
        <v>44722.0</v>
      </c>
      <c r="C3977" s="3">
        <v>0.7409259259259259</v>
      </c>
      <c r="D3977" s="1">
        <v>12.96334</v>
      </c>
      <c r="E3977" s="1">
        <v>80.215956</v>
      </c>
      <c r="F3977" s="1">
        <v>2846.0</v>
      </c>
      <c r="G3977" s="1">
        <v>32.0</v>
      </c>
    </row>
    <row r="3978">
      <c r="A3978" s="1" t="s">
        <v>8</v>
      </c>
      <c r="B3978" s="2">
        <v>44722.0</v>
      </c>
      <c r="C3978" s="3">
        <v>0.7430092592592593</v>
      </c>
      <c r="D3978" s="1">
        <v>13.053961</v>
      </c>
      <c r="E3978" s="1">
        <v>80.263907</v>
      </c>
      <c r="F3978" s="1">
        <v>805.0</v>
      </c>
      <c r="G3978" s="1">
        <v>12.0</v>
      </c>
    </row>
    <row r="3979">
      <c r="A3979" s="1" t="s">
        <v>9</v>
      </c>
      <c r="B3979" s="2">
        <v>44722.0</v>
      </c>
      <c r="C3979" s="3">
        <v>0.7431134259259259</v>
      </c>
      <c r="D3979" s="1">
        <v>13.054856</v>
      </c>
      <c r="E3979" s="1">
        <v>80.264181</v>
      </c>
      <c r="F3979" s="1">
        <v>805.0</v>
      </c>
      <c r="G3979" s="1">
        <v>23.0</v>
      </c>
    </row>
    <row r="3980">
      <c r="A3980" s="1" t="s">
        <v>8</v>
      </c>
      <c r="B3980" s="2">
        <v>44722.0</v>
      </c>
      <c r="C3980" s="3">
        <v>0.7438657407407407</v>
      </c>
      <c r="D3980" s="1">
        <v>13.05835</v>
      </c>
      <c r="E3980" s="1">
        <v>80.265333</v>
      </c>
      <c r="F3980" s="1">
        <v>805.0</v>
      </c>
      <c r="G3980" s="1">
        <v>16.0</v>
      </c>
    </row>
    <row r="3981">
      <c r="A3981" s="1" t="s">
        <v>8</v>
      </c>
      <c r="B3981" s="2">
        <v>44722.0</v>
      </c>
      <c r="C3981" s="3">
        <v>0.7438888888888889</v>
      </c>
      <c r="D3981" s="1">
        <v>13.05835</v>
      </c>
      <c r="E3981" s="1">
        <v>80.265333</v>
      </c>
      <c r="F3981" s="1">
        <v>805.0</v>
      </c>
      <c r="G3981" s="1">
        <v>16.0</v>
      </c>
    </row>
    <row r="3982">
      <c r="A3982" s="1" t="s">
        <v>8</v>
      </c>
      <c r="B3982" s="2">
        <v>44722.0</v>
      </c>
      <c r="C3982" s="3">
        <v>0.7438888888888889</v>
      </c>
      <c r="D3982" s="1">
        <v>12.948992</v>
      </c>
      <c r="E3982" s="1">
        <v>80.21037</v>
      </c>
      <c r="F3982" s="1">
        <v>2846.0</v>
      </c>
      <c r="G3982" s="1">
        <v>11.0</v>
      </c>
    </row>
    <row r="3983">
      <c r="A3983" s="1" t="s">
        <v>8</v>
      </c>
      <c r="B3983" s="2">
        <v>44722.0</v>
      </c>
      <c r="C3983" s="3">
        <v>0.7439351851851852</v>
      </c>
      <c r="D3983" s="1">
        <v>13.05835</v>
      </c>
      <c r="E3983" s="1">
        <v>80.265333</v>
      </c>
      <c r="F3983" s="1">
        <v>805.0</v>
      </c>
      <c r="G3983" s="1">
        <v>16.0</v>
      </c>
    </row>
    <row r="3984">
      <c r="A3984" s="1" t="s">
        <v>8</v>
      </c>
      <c r="B3984" s="2">
        <v>44722.0</v>
      </c>
      <c r="C3984" s="3">
        <v>0.7439351851851852</v>
      </c>
      <c r="D3984" s="1">
        <v>13.05835</v>
      </c>
      <c r="E3984" s="1">
        <v>80.265333</v>
      </c>
      <c r="F3984" s="1">
        <v>805.0</v>
      </c>
      <c r="G3984" s="1">
        <v>16.0</v>
      </c>
    </row>
    <row r="3985">
      <c r="A3985" s="1" t="s">
        <v>8</v>
      </c>
      <c r="B3985" s="2">
        <v>44722.0</v>
      </c>
      <c r="C3985" s="3">
        <v>0.7440162037037037</v>
      </c>
      <c r="D3985" s="1">
        <v>12.948355</v>
      </c>
      <c r="E3985" s="1">
        <v>80.210042</v>
      </c>
      <c r="F3985" s="1">
        <v>2846.0</v>
      </c>
      <c r="G3985" s="1">
        <v>13.0</v>
      </c>
    </row>
    <row r="3986">
      <c r="A3986" s="1" t="s">
        <v>8</v>
      </c>
      <c r="B3986" s="2">
        <v>44722.0</v>
      </c>
      <c r="C3986" s="3">
        <v>0.7447800925925926</v>
      </c>
      <c r="D3986" s="1">
        <v>12.948663</v>
      </c>
      <c r="E3986" s="1">
        <v>80.206094</v>
      </c>
      <c r="F3986" s="1">
        <v>2846.0</v>
      </c>
      <c r="G3986" s="1">
        <v>25.0</v>
      </c>
    </row>
    <row r="3987">
      <c r="A3987" s="1" t="s">
        <v>8</v>
      </c>
      <c r="B3987" s="2">
        <v>44722.0</v>
      </c>
      <c r="C3987" s="3">
        <v>0.7462037037037037</v>
      </c>
      <c r="D3987" s="1">
        <v>12.94849</v>
      </c>
      <c r="E3987" s="1">
        <v>80.199422</v>
      </c>
      <c r="F3987" s="1">
        <v>2846.0</v>
      </c>
      <c r="G3987" s="1">
        <v>0.0</v>
      </c>
    </row>
    <row r="3988">
      <c r="A3988" s="1" t="s">
        <v>8</v>
      </c>
      <c r="B3988" s="2">
        <v>44722.0</v>
      </c>
      <c r="C3988" s="3">
        <v>0.7463888888888889</v>
      </c>
      <c r="D3988" s="1">
        <v>12.94849</v>
      </c>
      <c r="E3988" s="1">
        <v>80.199137</v>
      </c>
      <c r="F3988" s="1">
        <v>2846.0</v>
      </c>
      <c r="G3988" s="1">
        <v>12.0</v>
      </c>
    </row>
    <row r="3989">
      <c r="A3989" s="1" t="s">
        <v>8</v>
      </c>
      <c r="B3989" s="2">
        <v>44722.0</v>
      </c>
      <c r="C3989" s="3">
        <v>0.75125</v>
      </c>
      <c r="D3989" s="1">
        <v>12.948466</v>
      </c>
      <c r="E3989" s="1">
        <v>80.194753</v>
      </c>
      <c r="F3989" s="1">
        <v>2846.0</v>
      </c>
      <c r="G3989" s="1">
        <v>0.0</v>
      </c>
    </row>
    <row r="3990">
      <c r="A3990" s="1" t="s">
        <v>8</v>
      </c>
      <c r="B3990" s="2">
        <v>44722.0</v>
      </c>
      <c r="C3990" s="3">
        <v>0.7514583333333333</v>
      </c>
      <c r="D3990" s="1">
        <v>12.948491</v>
      </c>
      <c r="E3990" s="1">
        <v>80.194227</v>
      </c>
      <c r="F3990" s="1">
        <v>2846.0</v>
      </c>
      <c r="G3990" s="1">
        <v>21.0</v>
      </c>
    </row>
    <row r="3991">
      <c r="A3991" s="1" t="s">
        <v>8</v>
      </c>
      <c r="B3991" s="2">
        <v>44722.0</v>
      </c>
      <c r="C3991" s="3">
        <v>0.7516898148148148</v>
      </c>
      <c r="D3991" s="1">
        <v>12.948617</v>
      </c>
      <c r="E3991" s="1">
        <v>80.190898</v>
      </c>
      <c r="F3991" s="1">
        <v>2846.0</v>
      </c>
      <c r="G3991" s="1">
        <v>45.0</v>
      </c>
    </row>
    <row r="3992">
      <c r="A3992" s="1" t="s">
        <v>8</v>
      </c>
      <c r="B3992" s="2">
        <v>44722.0</v>
      </c>
      <c r="C3992" s="3">
        <v>0.7520023148148148</v>
      </c>
      <c r="D3992" s="1">
        <v>12.948747</v>
      </c>
      <c r="E3992" s="1">
        <v>80.189294</v>
      </c>
      <c r="F3992" s="1">
        <v>2846.0</v>
      </c>
      <c r="G3992" s="1">
        <v>32.0</v>
      </c>
    </row>
    <row r="3993">
      <c r="A3993" s="1" t="s">
        <v>8</v>
      </c>
      <c r="B3993" s="2">
        <v>44722.0</v>
      </c>
      <c r="C3993" s="3">
        <v>0.7525231481481481</v>
      </c>
      <c r="D3993" s="1">
        <v>12.9491</v>
      </c>
      <c r="E3993" s="1">
        <v>80.184123</v>
      </c>
      <c r="F3993" s="1">
        <v>2846.0</v>
      </c>
      <c r="G3993" s="1">
        <v>46.0</v>
      </c>
    </row>
    <row r="3994">
      <c r="A3994" s="1" t="s">
        <v>10</v>
      </c>
      <c r="B3994" s="2">
        <v>44722.0</v>
      </c>
      <c r="C3994" s="3">
        <v>0.7541782407407407</v>
      </c>
      <c r="D3994" s="1">
        <v>13.068731</v>
      </c>
      <c r="E3994" s="1">
        <v>80.267872</v>
      </c>
      <c r="F3994" s="1">
        <v>805.0</v>
      </c>
      <c r="G3994" s="1">
        <v>0.0</v>
      </c>
    </row>
    <row r="3995">
      <c r="A3995" s="1" t="s">
        <v>10</v>
      </c>
      <c r="B3995" s="2">
        <v>44722.0</v>
      </c>
      <c r="C3995" s="3">
        <v>0.7544212962962963</v>
      </c>
      <c r="D3995" s="1">
        <v>13.068799</v>
      </c>
      <c r="E3995" s="1">
        <v>80.267641</v>
      </c>
      <c r="F3995" s="1">
        <v>805.0</v>
      </c>
      <c r="G3995" s="1">
        <v>19.0</v>
      </c>
    </row>
    <row r="3996">
      <c r="A3996" s="1" t="s">
        <v>8</v>
      </c>
      <c r="B3996" s="2">
        <v>44722.0</v>
      </c>
      <c r="C3996" s="3">
        <v>0.765613425925926</v>
      </c>
      <c r="D3996" s="1">
        <v>13.067621</v>
      </c>
      <c r="E3996" s="1">
        <v>80.249498</v>
      </c>
      <c r="F3996" s="1">
        <v>805.0</v>
      </c>
      <c r="G3996" s="1">
        <v>10.0</v>
      </c>
    </row>
    <row r="3997">
      <c r="A3997" s="1" t="s">
        <v>8</v>
      </c>
      <c r="B3997" s="2">
        <v>44722.0</v>
      </c>
      <c r="C3997" s="3">
        <v>0.7656944444444445</v>
      </c>
      <c r="D3997" s="1">
        <v>13.067809</v>
      </c>
      <c r="E3997" s="1">
        <v>80.248438</v>
      </c>
      <c r="F3997" s="1">
        <v>805.0</v>
      </c>
      <c r="G3997" s="1">
        <v>30.0</v>
      </c>
    </row>
    <row r="3998">
      <c r="A3998" s="1" t="s">
        <v>8</v>
      </c>
      <c r="B3998" s="2">
        <v>44722.0</v>
      </c>
      <c r="C3998" s="3">
        <v>0.7657291666666667</v>
      </c>
      <c r="D3998" s="1">
        <v>13.067809</v>
      </c>
      <c r="E3998" s="1">
        <v>80.248438</v>
      </c>
      <c r="F3998" s="1">
        <v>805.0</v>
      </c>
      <c r="G3998" s="1">
        <v>30.0</v>
      </c>
    </row>
    <row r="3999">
      <c r="A3999" s="1" t="s">
        <v>8</v>
      </c>
      <c r="B3999" s="2">
        <v>44722.0</v>
      </c>
      <c r="C3999" s="3">
        <v>0.7853703703703704</v>
      </c>
      <c r="D3999" s="1">
        <v>12.954355</v>
      </c>
      <c r="E3999" s="1">
        <v>80.159344</v>
      </c>
      <c r="F3999" s="1">
        <v>2846.0</v>
      </c>
      <c r="G3999" s="1">
        <v>17.0</v>
      </c>
    </row>
    <row r="4000">
      <c r="A4000" s="1" t="s">
        <v>8</v>
      </c>
      <c r="B4000" s="2">
        <v>44722.0</v>
      </c>
      <c r="C4000" s="3">
        <v>0.7858564814814815</v>
      </c>
      <c r="D4000" s="1">
        <v>12.954839</v>
      </c>
      <c r="E4000" s="1">
        <v>80.157006</v>
      </c>
      <c r="F4000" s="1">
        <v>2846.0</v>
      </c>
      <c r="G4000" s="1">
        <v>47.0</v>
      </c>
    </row>
    <row r="4001">
      <c r="A4001" s="1" t="s">
        <v>8</v>
      </c>
      <c r="B4001" s="2">
        <v>44722.0</v>
      </c>
      <c r="C4001" s="3">
        <v>0.7859722222222222</v>
      </c>
      <c r="D4001" s="1">
        <v>12.955211</v>
      </c>
      <c r="E4001" s="1">
        <v>80.155162</v>
      </c>
      <c r="F4001" s="1">
        <v>2846.0</v>
      </c>
      <c r="G4001" s="1">
        <v>44.0</v>
      </c>
    </row>
    <row r="4002">
      <c r="A4002" s="1" t="s">
        <v>8</v>
      </c>
      <c r="B4002" s="2">
        <v>44722.0</v>
      </c>
      <c r="C4002" s="3">
        <v>0.7867708333333333</v>
      </c>
      <c r="D4002" s="1">
        <v>12.95894</v>
      </c>
      <c r="E4002" s="1">
        <v>80.149999</v>
      </c>
      <c r="F4002" s="1">
        <v>2846.0</v>
      </c>
      <c r="G4002" s="1">
        <v>18.0</v>
      </c>
    </row>
    <row r="4003">
      <c r="A4003" s="1" t="s">
        <v>8</v>
      </c>
      <c r="B4003" s="2">
        <v>44722.0</v>
      </c>
      <c r="C4003" s="3">
        <v>0.7881712962962963</v>
      </c>
      <c r="D4003" s="1">
        <v>12.956466</v>
      </c>
      <c r="E4003" s="1">
        <v>80.143428</v>
      </c>
      <c r="F4003" s="1">
        <v>2846.0</v>
      </c>
      <c r="G4003" s="1">
        <v>0.0</v>
      </c>
    </row>
    <row r="4004">
      <c r="A4004" s="1" t="s">
        <v>8</v>
      </c>
      <c r="B4004" s="2">
        <v>44722.0</v>
      </c>
      <c r="C4004" s="3">
        <v>0.7882986111111111</v>
      </c>
      <c r="D4004" s="1">
        <v>12.956346</v>
      </c>
      <c r="E4004" s="1">
        <v>80.143348</v>
      </c>
      <c r="F4004" s="1">
        <v>2846.0</v>
      </c>
      <c r="G4004" s="1">
        <v>8.0</v>
      </c>
    </row>
    <row r="4005">
      <c r="A4005" s="1" t="s">
        <v>8</v>
      </c>
      <c r="B4005" s="2">
        <v>44722.0</v>
      </c>
      <c r="C4005" s="3">
        <v>0.7892939814814814</v>
      </c>
      <c r="D4005" s="1">
        <v>12.950098</v>
      </c>
      <c r="E4005" s="1">
        <v>80.139372</v>
      </c>
      <c r="F4005" s="1">
        <v>2846.0</v>
      </c>
      <c r="G4005" s="1">
        <v>42.0</v>
      </c>
    </row>
    <row r="4006">
      <c r="A4006" s="1" t="s">
        <v>8</v>
      </c>
      <c r="B4006" s="2">
        <v>44722.0</v>
      </c>
      <c r="C4006" s="3">
        <v>0.7894212962962963</v>
      </c>
      <c r="D4006" s="1">
        <v>12.950098</v>
      </c>
      <c r="E4006" s="1">
        <v>80.139372</v>
      </c>
      <c r="F4006" s="1">
        <v>2846.0</v>
      </c>
      <c r="G4006" s="1">
        <v>42.0</v>
      </c>
    </row>
    <row r="4007">
      <c r="A4007" s="1" t="s">
        <v>8</v>
      </c>
      <c r="B4007" s="2">
        <v>44722.0</v>
      </c>
      <c r="C4007" s="3">
        <v>0.7912268518518518</v>
      </c>
      <c r="D4007" s="1">
        <v>12.942482</v>
      </c>
      <c r="E4007" s="1">
        <v>80.133217</v>
      </c>
      <c r="F4007" s="1">
        <v>2846.0</v>
      </c>
      <c r="G4007" s="1">
        <v>19.0</v>
      </c>
    </row>
    <row r="4008">
      <c r="A4008" s="1" t="s">
        <v>8</v>
      </c>
      <c r="B4008" s="2">
        <v>44722.0</v>
      </c>
      <c r="C4008" s="3">
        <v>0.7916898148148148</v>
      </c>
      <c r="D4008" s="1">
        <v>12.940581</v>
      </c>
      <c r="E4008" s="1">
        <v>80.131223</v>
      </c>
      <c r="F4008" s="1">
        <v>2846.0</v>
      </c>
      <c r="G4008" s="1">
        <v>40.0</v>
      </c>
    </row>
    <row r="4009">
      <c r="A4009" s="1" t="s">
        <v>8</v>
      </c>
      <c r="B4009" s="2">
        <v>44722.0</v>
      </c>
      <c r="C4009" s="3">
        <v>0.7926388888888889</v>
      </c>
      <c r="D4009" s="1">
        <v>12.935598</v>
      </c>
      <c r="E4009" s="1">
        <v>80.126802</v>
      </c>
      <c r="F4009" s="1">
        <v>2846.0</v>
      </c>
      <c r="G4009" s="1">
        <v>26.0</v>
      </c>
    </row>
    <row r="4010">
      <c r="A4010" s="1" t="s">
        <v>8</v>
      </c>
      <c r="B4010" s="2">
        <v>44722.0</v>
      </c>
      <c r="C4010" s="3">
        <v>0.7932638888888889</v>
      </c>
      <c r="D4010" s="1">
        <v>12.932044</v>
      </c>
      <c r="E4010" s="1">
        <v>80.123308</v>
      </c>
      <c r="F4010" s="1">
        <v>2846.0</v>
      </c>
      <c r="G4010" s="1">
        <v>0.0</v>
      </c>
    </row>
    <row r="4011">
      <c r="A4011" s="1" t="s">
        <v>7</v>
      </c>
      <c r="B4011" s="2">
        <v>44722.0</v>
      </c>
      <c r="C4011" s="3">
        <v>0.7958912037037037</v>
      </c>
      <c r="D4011" s="1">
        <v>12.922139</v>
      </c>
      <c r="E4011" s="1">
        <v>80.113357</v>
      </c>
      <c r="F4011" s="1">
        <v>2846.0</v>
      </c>
      <c r="G4011" s="1">
        <v>44.0</v>
      </c>
    </row>
    <row r="4012">
      <c r="A4012" s="1" t="s">
        <v>8</v>
      </c>
      <c r="B4012" s="2">
        <v>44722.0</v>
      </c>
      <c r="C4012" s="3">
        <v>0.7959143518518519</v>
      </c>
      <c r="D4012" s="1">
        <v>12.922139</v>
      </c>
      <c r="E4012" s="1">
        <v>80.113357</v>
      </c>
      <c r="F4012" s="1">
        <v>2846.0</v>
      </c>
      <c r="G4012" s="1">
        <v>44.0</v>
      </c>
    </row>
    <row r="4013">
      <c r="A4013" s="1" t="s">
        <v>8</v>
      </c>
      <c r="B4013" s="2">
        <v>44722.0</v>
      </c>
      <c r="C4013" s="3">
        <v>0.8011921296296296</v>
      </c>
      <c r="D4013" s="1">
        <v>12.905378</v>
      </c>
      <c r="E4013" s="1">
        <v>80.095783</v>
      </c>
      <c r="F4013" s="1">
        <v>2846.0</v>
      </c>
      <c r="G4013" s="1">
        <v>0.0</v>
      </c>
    </row>
    <row r="4014">
      <c r="A4014" s="1" t="s">
        <v>8</v>
      </c>
      <c r="B4014" s="2">
        <v>44722.0</v>
      </c>
      <c r="C4014" s="3">
        <v>0.8046527777777778</v>
      </c>
      <c r="D4014" s="1">
        <v>12.89204</v>
      </c>
      <c r="E4014" s="1">
        <v>80.085615</v>
      </c>
      <c r="F4014" s="1">
        <v>2846.0</v>
      </c>
      <c r="G4014" s="1">
        <v>25.0</v>
      </c>
    </row>
    <row r="4015">
      <c r="A4015" s="1" t="s">
        <v>8</v>
      </c>
      <c r="B4015" s="2">
        <v>44722.0</v>
      </c>
      <c r="C4015" s="3">
        <v>0.8050231481481481</v>
      </c>
      <c r="D4015" s="1">
        <v>12.889666</v>
      </c>
      <c r="E4015" s="1">
        <v>80.084505</v>
      </c>
      <c r="F4015" s="1">
        <v>2846.0</v>
      </c>
      <c r="G4015" s="1">
        <v>40.0</v>
      </c>
    </row>
    <row r="4016">
      <c r="A4016" s="1" t="s">
        <v>8</v>
      </c>
      <c r="B4016" s="2">
        <v>44723.0</v>
      </c>
      <c r="C4016" s="3">
        <v>0.2749189814814815</v>
      </c>
      <c r="D4016" s="1">
        <v>12.884886</v>
      </c>
      <c r="E4016" s="1">
        <v>80.082052</v>
      </c>
      <c r="F4016" s="1">
        <v>2846.0</v>
      </c>
      <c r="G4016" s="1">
        <v>35.0</v>
      </c>
    </row>
    <row r="4017">
      <c r="A4017" s="1" t="s">
        <v>7</v>
      </c>
      <c r="B4017" s="2">
        <v>44723.0</v>
      </c>
      <c r="C4017" s="3">
        <v>0.27538194444444447</v>
      </c>
      <c r="D4017" s="1">
        <v>12.88785</v>
      </c>
      <c r="E4017" s="1">
        <v>80.083545</v>
      </c>
      <c r="F4017" s="1">
        <v>2846.0</v>
      </c>
      <c r="G4017" s="1">
        <v>60.0</v>
      </c>
    </row>
    <row r="4018">
      <c r="A4018" s="1" t="s">
        <v>7</v>
      </c>
      <c r="B4018" s="2">
        <v>44723.0</v>
      </c>
      <c r="C4018" s="3">
        <v>0.27565972222222224</v>
      </c>
      <c r="D4018" s="1">
        <v>12.891845</v>
      </c>
      <c r="E4018" s="1">
        <v>80.085288</v>
      </c>
      <c r="F4018" s="1">
        <v>2846.0</v>
      </c>
      <c r="G4018" s="1">
        <v>57.0</v>
      </c>
    </row>
    <row r="4019">
      <c r="A4019" s="1" t="s">
        <v>7</v>
      </c>
      <c r="B4019" s="2">
        <v>44723.0</v>
      </c>
      <c r="C4019" s="3">
        <v>0.2762847222222222</v>
      </c>
      <c r="D4019" s="1">
        <v>12.897197</v>
      </c>
      <c r="E4019" s="1">
        <v>80.089233</v>
      </c>
      <c r="F4019" s="1">
        <v>2846.0</v>
      </c>
      <c r="G4019" s="1">
        <v>48.0</v>
      </c>
    </row>
    <row r="4020">
      <c r="A4020" s="1" t="s">
        <v>7</v>
      </c>
      <c r="B4020" s="2">
        <v>44723.0</v>
      </c>
      <c r="C4020" s="3">
        <v>0.2763773148148148</v>
      </c>
      <c r="D4020" s="1">
        <v>12.898242</v>
      </c>
      <c r="E4020" s="1">
        <v>80.090001</v>
      </c>
      <c r="F4020" s="1">
        <v>2846.0</v>
      </c>
      <c r="G4020" s="1">
        <v>57.0</v>
      </c>
    </row>
    <row r="4021">
      <c r="A4021" s="1" t="s">
        <v>7</v>
      </c>
      <c r="B4021" s="2">
        <v>44723.0</v>
      </c>
      <c r="C4021" s="3">
        <v>0.27674768518518517</v>
      </c>
      <c r="D4021" s="1">
        <v>12.901765</v>
      </c>
      <c r="E4021" s="1">
        <v>80.092668</v>
      </c>
      <c r="F4021" s="1">
        <v>2846.0</v>
      </c>
      <c r="G4021" s="1">
        <v>58.0</v>
      </c>
    </row>
    <row r="4022">
      <c r="A4022" s="1" t="s">
        <v>7</v>
      </c>
      <c r="B4022" s="2">
        <v>44723.0</v>
      </c>
      <c r="C4022" s="3">
        <v>0.27694444444444444</v>
      </c>
      <c r="D4022" s="1">
        <v>12.902948</v>
      </c>
      <c r="E4022" s="1">
        <v>80.093536</v>
      </c>
      <c r="F4022" s="1">
        <v>2846.0</v>
      </c>
      <c r="G4022" s="1">
        <v>58.0</v>
      </c>
    </row>
    <row r="4023">
      <c r="A4023" s="1" t="s">
        <v>7</v>
      </c>
      <c r="B4023" s="2">
        <v>44723.0</v>
      </c>
      <c r="C4023" s="3">
        <v>0.2770949074074074</v>
      </c>
      <c r="D4023" s="1">
        <v>12.904087</v>
      </c>
      <c r="E4023" s="1">
        <v>80.094389</v>
      </c>
      <c r="F4023" s="1">
        <v>2846.0</v>
      </c>
      <c r="G4023" s="1">
        <v>55.0</v>
      </c>
    </row>
    <row r="4024">
      <c r="A4024" s="1" t="s">
        <v>8</v>
      </c>
      <c r="B4024" s="2">
        <v>44723.0</v>
      </c>
      <c r="C4024" s="3">
        <v>0.2774189814814815</v>
      </c>
      <c r="D4024" s="1">
        <v>12.907442</v>
      </c>
      <c r="E4024" s="1">
        <v>80.096927</v>
      </c>
      <c r="F4024" s="1">
        <v>2846.0</v>
      </c>
      <c r="G4024" s="1">
        <v>49.0</v>
      </c>
    </row>
    <row r="4025">
      <c r="A4025" s="1" t="s">
        <v>8</v>
      </c>
      <c r="B4025" s="2">
        <v>44723.0</v>
      </c>
      <c r="C4025" s="3">
        <v>0.2775347222222222</v>
      </c>
      <c r="D4025" s="1">
        <v>12.909126</v>
      </c>
      <c r="E4025" s="1">
        <v>80.098468</v>
      </c>
      <c r="F4025" s="1">
        <v>2846.0</v>
      </c>
      <c r="G4025" s="1">
        <v>34.0</v>
      </c>
    </row>
    <row r="4026">
      <c r="A4026" s="1" t="s">
        <v>8</v>
      </c>
      <c r="B4026" s="2">
        <v>44723.0</v>
      </c>
      <c r="C4026" s="3">
        <v>0.27792824074074074</v>
      </c>
      <c r="D4026" s="1">
        <v>12.911741</v>
      </c>
      <c r="E4026" s="1">
        <v>80.101325</v>
      </c>
      <c r="F4026" s="1">
        <v>2846.0</v>
      </c>
      <c r="G4026" s="1">
        <v>37.0</v>
      </c>
    </row>
    <row r="4027">
      <c r="A4027" s="1" t="s">
        <v>7</v>
      </c>
      <c r="B4027" s="2">
        <v>44723.0</v>
      </c>
      <c r="C4027" s="3">
        <v>0.27934027777777776</v>
      </c>
      <c r="D4027" s="1">
        <v>12.918233</v>
      </c>
      <c r="E4027" s="1">
        <v>80.108716</v>
      </c>
      <c r="F4027" s="1">
        <v>2846.0</v>
      </c>
      <c r="G4027" s="1">
        <v>55.0</v>
      </c>
    </row>
    <row r="4028">
      <c r="A4028" s="1" t="s">
        <v>8</v>
      </c>
      <c r="B4028" s="2">
        <v>44723.0</v>
      </c>
      <c r="C4028" s="3">
        <v>0.2794097222222222</v>
      </c>
      <c r="D4028" s="1">
        <v>12.918233</v>
      </c>
      <c r="E4028" s="1">
        <v>80.108716</v>
      </c>
      <c r="F4028" s="1">
        <v>2846.0</v>
      </c>
      <c r="G4028" s="1">
        <v>55.0</v>
      </c>
    </row>
    <row r="4029">
      <c r="A4029" s="1" t="s">
        <v>7</v>
      </c>
      <c r="B4029" s="2">
        <v>44723.0</v>
      </c>
      <c r="C4029" s="3">
        <v>0.27966435185185184</v>
      </c>
      <c r="D4029" s="1">
        <v>12.919858</v>
      </c>
      <c r="E4029" s="1">
        <v>80.110814</v>
      </c>
      <c r="F4029" s="1">
        <v>2846.0</v>
      </c>
      <c r="G4029" s="1">
        <v>51.0</v>
      </c>
    </row>
    <row r="4030">
      <c r="A4030" s="1" t="s">
        <v>8</v>
      </c>
      <c r="B4030" s="2">
        <v>44723.0</v>
      </c>
      <c r="C4030" s="3">
        <v>0.2816782407407407</v>
      </c>
      <c r="D4030" s="1">
        <v>12.927938</v>
      </c>
      <c r="E4030" s="1">
        <v>80.119048</v>
      </c>
      <c r="F4030" s="1">
        <v>2846.0</v>
      </c>
      <c r="G4030" s="1">
        <v>30.0</v>
      </c>
    </row>
    <row r="4031">
      <c r="A4031" s="1" t="s">
        <v>8</v>
      </c>
      <c r="B4031" s="2">
        <v>44723.0</v>
      </c>
      <c r="C4031" s="3">
        <v>0.28180555555555553</v>
      </c>
      <c r="D4031" s="1">
        <v>12.928504</v>
      </c>
      <c r="E4031" s="1">
        <v>80.119614</v>
      </c>
      <c r="F4031" s="1">
        <v>2846.0</v>
      </c>
      <c r="G4031" s="1">
        <v>28.0</v>
      </c>
    </row>
    <row r="4032">
      <c r="A4032" s="1" t="s">
        <v>8</v>
      </c>
      <c r="B4032" s="2">
        <v>44723.0</v>
      </c>
      <c r="C4032" s="3">
        <v>0.28278935185185183</v>
      </c>
      <c r="D4032" s="1">
        <v>12.932588</v>
      </c>
      <c r="E4032" s="1">
        <v>80.123686</v>
      </c>
      <c r="F4032" s="1">
        <v>2846.0</v>
      </c>
      <c r="G4032" s="1">
        <v>38.0</v>
      </c>
    </row>
    <row r="4033">
      <c r="A4033" s="1" t="s">
        <v>8</v>
      </c>
      <c r="B4033" s="2">
        <v>44723.0</v>
      </c>
      <c r="C4033" s="3">
        <v>0.28291666666666665</v>
      </c>
      <c r="D4033" s="1">
        <v>12.933322</v>
      </c>
      <c r="E4033" s="1">
        <v>80.1244</v>
      </c>
      <c r="F4033" s="1">
        <v>2846.0</v>
      </c>
      <c r="G4033" s="1">
        <v>41.0</v>
      </c>
    </row>
    <row r="4034">
      <c r="A4034" s="1" t="s">
        <v>8</v>
      </c>
      <c r="B4034" s="2">
        <v>44723.0</v>
      </c>
      <c r="C4034" s="3">
        <v>0.28300925925925924</v>
      </c>
      <c r="D4034" s="1">
        <v>12.933322</v>
      </c>
      <c r="E4034" s="1">
        <v>80.1244</v>
      </c>
      <c r="F4034" s="1">
        <v>2846.0</v>
      </c>
      <c r="G4034" s="1">
        <v>41.0</v>
      </c>
    </row>
    <row r="4035">
      <c r="A4035" s="1" t="s">
        <v>8</v>
      </c>
      <c r="B4035" s="2">
        <v>44723.0</v>
      </c>
      <c r="C4035" s="3">
        <v>0.2830324074074074</v>
      </c>
      <c r="D4035" s="1">
        <v>12.934116</v>
      </c>
      <c r="E4035" s="1">
        <v>80.125186</v>
      </c>
      <c r="F4035" s="1">
        <v>2846.0</v>
      </c>
      <c r="G4035" s="1">
        <v>45.0</v>
      </c>
    </row>
    <row r="4036">
      <c r="A4036" s="1" t="s">
        <v>8</v>
      </c>
      <c r="B4036" s="2">
        <v>44723.0</v>
      </c>
      <c r="C4036" s="3">
        <v>0.2833912037037037</v>
      </c>
      <c r="D4036" s="1">
        <v>12.935724</v>
      </c>
      <c r="E4036" s="1">
        <v>80.126647</v>
      </c>
      <c r="F4036" s="1">
        <v>2846.0</v>
      </c>
      <c r="G4036" s="1">
        <v>44.0</v>
      </c>
    </row>
    <row r="4037">
      <c r="A4037" s="1" t="s">
        <v>7</v>
      </c>
      <c r="B4037" s="2">
        <v>44723.0</v>
      </c>
      <c r="C4037" s="3">
        <v>0.2835416666666667</v>
      </c>
      <c r="D4037" s="1">
        <v>12.936541</v>
      </c>
      <c r="E4037" s="1">
        <v>80.127388</v>
      </c>
      <c r="F4037" s="1">
        <v>2846.0</v>
      </c>
      <c r="G4037" s="1">
        <v>45.0</v>
      </c>
    </row>
    <row r="4038">
      <c r="A4038" s="1" t="s">
        <v>7</v>
      </c>
      <c r="B4038" s="2">
        <v>44723.0</v>
      </c>
      <c r="C4038" s="3">
        <v>0.2842708333333333</v>
      </c>
      <c r="D4038" s="1">
        <v>12.940598</v>
      </c>
      <c r="E4038" s="1">
        <v>80.131085</v>
      </c>
      <c r="F4038" s="1">
        <v>2846.0</v>
      </c>
      <c r="G4038" s="1">
        <v>57.0</v>
      </c>
    </row>
    <row r="4039">
      <c r="A4039" s="1" t="s">
        <v>7</v>
      </c>
      <c r="B4039" s="2">
        <v>44723.0</v>
      </c>
      <c r="C4039" s="3">
        <v>0.2847222222222222</v>
      </c>
      <c r="D4039" s="1">
        <v>12.947611</v>
      </c>
      <c r="E4039" s="1">
        <v>80.137257</v>
      </c>
      <c r="F4039" s="1">
        <v>2846.0</v>
      </c>
      <c r="G4039" s="1">
        <v>56.0</v>
      </c>
    </row>
    <row r="4040">
      <c r="A4040" s="1" t="s">
        <v>7</v>
      </c>
      <c r="B4040" s="2">
        <v>44723.0</v>
      </c>
      <c r="C4040" s="3">
        <v>0.28479166666666667</v>
      </c>
      <c r="D4040" s="1">
        <v>12.948801</v>
      </c>
      <c r="E4040" s="1">
        <v>80.138085</v>
      </c>
      <c r="F4040" s="1">
        <v>2846.0</v>
      </c>
      <c r="G4040" s="1">
        <v>56.0</v>
      </c>
    </row>
    <row r="4041">
      <c r="A4041" s="1" t="s">
        <v>8</v>
      </c>
      <c r="B4041" s="2">
        <v>44723.0</v>
      </c>
      <c r="C4041" s="3">
        <v>0.28533564814814816</v>
      </c>
      <c r="D4041" s="1">
        <v>12.951133</v>
      </c>
      <c r="E4041" s="1">
        <v>80.139944</v>
      </c>
      <c r="F4041" s="1">
        <v>2846.0</v>
      </c>
      <c r="G4041" s="1">
        <v>41.0</v>
      </c>
    </row>
    <row r="4042">
      <c r="A4042" s="1" t="s">
        <v>7</v>
      </c>
      <c r="B4042" s="2">
        <v>44723.0</v>
      </c>
      <c r="C4042" s="3">
        <v>0.2856828703703704</v>
      </c>
      <c r="D4042" s="1">
        <v>12.954473</v>
      </c>
      <c r="E4042" s="1">
        <v>80.142192</v>
      </c>
      <c r="F4042" s="1">
        <v>2846.0</v>
      </c>
      <c r="G4042" s="1">
        <v>57.0</v>
      </c>
    </row>
    <row r="4043">
      <c r="A4043" s="1" t="s">
        <v>7</v>
      </c>
      <c r="B4043" s="2">
        <v>44723.0</v>
      </c>
      <c r="C4043" s="3">
        <v>0.2887037037037037</v>
      </c>
      <c r="D4043" s="1">
        <v>12.95538</v>
      </c>
      <c r="E4043" s="1">
        <v>80.15482</v>
      </c>
      <c r="F4043" s="1">
        <v>2846.0</v>
      </c>
      <c r="G4043" s="1">
        <v>57.0</v>
      </c>
    </row>
    <row r="4044">
      <c r="A4044" s="1" t="s">
        <v>7</v>
      </c>
      <c r="B4044" s="2">
        <v>44723.0</v>
      </c>
      <c r="C4044" s="3">
        <v>0.2892476851851852</v>
      </c>
      <c r="D4044" s="1">
        <v>12.954761</v>
      </c>
      <c r="E4044" s="1">
        <v>80.15773</v>
      </c>
      <c r="F4044" s="1">
        <v>2846.0</v>
      </c>
      <c r="G4044" s="1">
        <v>58.0</v>
      </c>
    </row>
    <row r="4045">
      <c r="A4045" s="1" t="s">
        <v>7</v>
      </c>
      <c r="B4045" s="2">
        <v>44723.0</v>
      </c>
      <c r="C4045" s="3">
        <v>0.2902430555555556</v>
      </c>
      <c r="D4045" s="1">
        <v>12.953107</v>
      </c>
      <c r="E4045" s="1">
        <v>80.165714</v>
      </c>
      <c r="F4045" s="1">
        <v>2846.0</v>
      </c>
      <c r="G4045" s="1">
        <v>38.0</v>
      </c>
    </row>
    <row r="4046">
      <c r="A4046" s="1" t="s">
        <v>7</v>
      </c>
      <c r="B4046" s="2">
        <v>44723.0</v>
      </c>
      <c r="C4046" s="3">
        <v>0.29032407407407407</v>
      </c>
      <c r="D4046" s="1">
        <v>12.952795</v>
      </c>
      <c r="E4046" s="1">
        <v>80.167256</v>
      </c>
      <c r="F4046" s="1">
        <v>2846.0</v>
      </c>
      <c r="G4046" s="1">
        <v>6.0</v>
      </c>
    </row>
    <row r="4047">
      <c r="A4047" s="1" t="s">
        <v>8</v>
      </c>
      <c r="B4047" s="2">
        <v>44723.0</v>
      </c>
      <c r="C4047" s="3">
        <v>0.2907060185185185</v>
      </c>
      <c r="D4047" s="1">
        <v>12.952747</v>
      </c>
      <c r="E4047" s="1">
        <v>80.167387</v>
      </c>
      <c r="F4047" s="1">
        <v>2846.0</v>
      </c>
      <c r="G4047" s="1">
        <v>14.0</v>
      </c>
    </row>
    <row r="4048">
      <c r="A4048" s="1" t="s">
        <v>7</v>
      </c>
      <c r="B4048" s="2">
        <v>44723.0</v>
      </c>
      <c r="C4048" s="3">
        <v>0.2907175925925926</v>
      </c>
      <c r="D4048" s="1">
        <v>12.952576</v>
      </c>
      <c r="E4048" s="1">
        <v>80.167943</v>
      </c>
      <c r="F4048" s="1">
        <v>2846.0</v>
      </c>
      <c r="G4048" s="1">
        <v>31.0</v>
      </c>
    </row>
    <row r="4049">
      <c r="A4049" s="1" t="s">
        <v>7</v>
      </c>
      <c r="B4049" s="2">
        <v>44723.0</v>
      </c>
      <c r="C4049" s="3">
        <v>0.2909027777777778</v>
      </c>
      <c r="D4049" s="1">
        <v>12.95213</v>
      </c>
      <c r="E4049" s="1">
        <v>80.170094</v>
      </c>
      <c r="F4049" s="1">
        <v>2846.0</v>
      </c>
      <c r="G4049" s="1">
        <v>53.0</v>
      </c>
    </row>
    <row r="4050">
      <c r="A4050" s="1" t="s">
        <v>7</v>
      </c>
      <c r="B4050" s="2">
        <v>44723.0</v>
      </c>
      <c r="C4050" s="3">
        <v>0.29113425925925923</v>
      </c>
      <c r="D4050" s="1">
        <v>12.949875</v>
      </c>
      <c r="E4050" s="1">
        <v>80.180841</v>
      </c>
      <c r="F4050" s="1">
        <v>2846.0</v>
      </c>
      <c r="G4050" s="1">
        <v>51.0</v>
      </c>
    </row>
    <row r="4051">
      <c r="A4051" s="1" t="s">
        <v>7</v>
      </c>
      <c r="B4051" s="2">
        <v>44723.0</v>
      </c>
      <c r="C4051" s="3">
        <v>0.29159722222222223</v>
      </c>
      <c r="D4051" s="1">
        <v>12.949116</v>
      </c>
      <c r="E4051" s="1">
        <v>80.187162</v>
      </c>
      <c r="F4051" s="1">
        <v>2846.0</v>
      </c>
      <c r="G4051" s="1">
        <v>54.0</v>
      </c>
    </row>
    <row r="4052">
      <c r="A4052" s="1" t="s">
        <v>7</v>
      </c>
      <c r="B4052" s="2">
        <v>44723.0</v>
      </c>
      <c r="C4052" s="3">
        <v>0.2916550925925926</v>
      </c>
      <c r="D4052" s="1">
        <v>12.949116</v>
      </c>
      <c r="E4052" s="1">
        <v>80.187162</v>
      </c>
      <c r="F4052" s="1">
        <v>2846.0</v>
      </c>
      <c r="G4052" s="1">
        <v>54.0</v>
      </c>
    </row>
    <row r="4053">
      <c r="A4053" s="1" t="s">
        <v>8</v>
      </c>
      <c r="B4053" s="2">
        <v>44723.0</v>
      </c>
      <c r="C4053" s="3">
        <v>0.29259259259259257</v>
      </c>
      <c r="D4053" s="1">
        <v>12.948586</v>
      </c>
      <c r="E4053" s="1">
        <v>80.198817</v>
      </c>
      <c r="F4053" s="1">
        <v>2846.0</v>
      </c>
      <c r="G4053" s="1">
        <v>12.0</v>
      </c>
    </row>
    <row r="4054">
      <c r="A4054" s="1" t="s">
        <v>9</v>
      </c>
      <c r="B4054" s="2">
        <v>44723.0</v>
      </c>
      <c r="C4054" s="3">
        <v>0.29268518518518516</v>
      </c>
      <c r="D4054" s="1">
        <v>12.94862</v>
      </c>
      <c r="E4054" s="1">
        <v>80.199537</v>
      </c>
      <c r="F4054" s="1">
        <v>2846.0</v>
      </c>
      <c r="G4054" s="1">
        <v>31.0</v>
      </c>
    </row>
    <row r="4055">
      <c r="A4055" s="1" t="s">
        <v>8</v>
      </c>
      <c r="B4055" s="2">
        <v>44723.0</v>
      </c>
      <c r="C4055" s="3">
        <v>0.292974537037037</v>
      </c>
      <c r="D4055" s="1">
        <v>12.948652</v>
      </c>
      <c r="E4055" s="1">
        <v>80.201402</v>
      </c>
      <c r="F4055" s="1">
        <v>2846.0</v>
      </c>
      <c r="G4055" s="1">
        <v>30.0</v>
      </c>
    </row>
    <row r="4056">
      <c r="A4056" s="1" t="s">
        <v>8</v>
      </c>
      <c r="B4056" s="2">
        <v>44723.0</v>
      </c>
      <c r="C4056" s="3">
        <v>0.2930902777777778</v>
      </c>
      <c r="D4056" s="1">
        <v>12.948686</v>
      </c>
      <c r="E4056" s="1">
        <v>80.202248</v>
      </c>
      <c r="F4056" s="1">
        <v>2846.0</v>
      </c>
      <c r="G4056" s="1">
        <v>30.0</v>
      </c>
    </row>
    <row r="4057">
      <c r="A4057" s="1" t="s">
        <v>8</v>
      </c>
      <c r="B4057" s="2">
        <v>44723.0</v>
      </c>
      <c r="C4057" s="3">
        <v>0.2935300925925926</v>
      </c>
      <c r="D4057" s="1">
        <v>12.948801</v>
      </c>
      <c r="E4057" s="1">
        <v>80.205566</v>
      </c>
      <c r="F4057" s="1">
        <v>2846.0</v>
      </c>
      <c r="G4057" s="1">
        <v>52.0</v>
      </c>
    </row>
    <row r="4058">
      <c r="A4058" s="1" t="s">
        <v>8</v>
      </c>
      <c r="B4058" s="2">
        <v>44723.0</v>
      </c>
      <c r="C4058" s="3">
        <v>0.2935763888888889</v>
      </c>
      <c r="D4058" s="1">
        <v>12.948801</v>
      </c>
      <c r="E4058" s="1">
        <v>80.205566</v>
      </c>
      <c r="F4058" s="1">
        <v>2846.0</v>
      </c>
      <c r="G4058" s="1">
        <v>52.0</v>
      </c>
    </row>
    <row r="4059">
      <c r="A4059" s="1" t="s">
        <v>8</v>
      </c>
      <c r="B4059" s="2">
        <v>44723.0</v>
      </c>
      <c r="C4059" s="3">
        <v>0.29368055555555556</v>
      </c>
      <c r="D4059" s="1">
        <v>12.948774</v>
      </c>
      <c r="E4059" s="1">
        <v>80.20682</v>
      </c>
      <c r="F4059" s="1">
        <v>2846.0</v>
      </c>
      <c r="G4059" s="1">
        <v>52.0</v>
      </c>
    </row>
    <row r="4060">
      <c r="A4060" s="1" t="s">
        <v>8</v>
      </c>
      <c r="B4060" s="2">
        <v>44723.0</v>
      </c>
      <c r="C4060" s="3">
        <v>0.2946064814814815</v>
      </c>
      <c r="D4060" s="1">
        <v>12.951557</v>
      </c>
      <c r="E4060" s="1">
        <v>80.211087</v>
      </c>
      <c r="F4060" s="1">
        <v>2846.0</v>
      </c>
      <c r="G4060" s="1">
        <v>36.0</v>
      </c>
    </row>
    <row r="4061">
      <c r="A4061" s="1" t="s">
        <v>7</v>
      </c>
      <c r="B4061" s="2">
        <v>44723.0</v>
      </c>
      <c r="C4061" s="3">
        <v>0.2949537037037037</v>
      </c>
      <c r="D4061" s="1">
        <v>12.956728</v>
      </c>
      <c r="E4061" s="1">
        <v>80.213149</v>
      </c>
      <c r="F4061" s="1">
        <v>2846.0</v>
      </c>
      <c r="G4061" s="1">
        <v>51.0</v>
      </c>
    </row>
    <row r="4062">
      <c r="A4062" s="1" t="s">
        <v>8</v>
      </c>
      <c r="B4062" s="2">
        <v>44723.0</v>
      </c>
      <c r="C4062" s="3">
        <v>0.2965509259259259</v>
      </c>
      <c r="D4062" s="1">
        <v>12.969293</v>
      </c>
      <c r="E4062" s="1">
        <v>80.218248</v>
      </c>
      <c r="F4062" s="1">
        <v>2846.0</v>
      </c>
      <c r="G4062" s="1">
        <v>55.0</v>
      </c>
    </row>
    <row r="4063">
      <c r="A4063" s="1" t="s">
        <v>10</v>
      </c>
      <c r="B4063" s="2">
        <v>44723.0</v>
      </c>
      <c r="C4063" s="3">
        <v>0.2967708333333333</v>
      </c>
      <c r="D4063" s="1">
        <v>13.063306</v>
      </c>
      <c r="E4063" s="1">
        <v>80.247665</v>
      </c>
      <c r="F4063" s="1">
        <v>805.0</v>
      </c>
      <c r="G4063" s="1">
        <v>25.0</v>
      </c>
    </row>
    <row r="4064">
      <c r="A4064" s="1" t="s">
        <v>9</v>
      </c>
      <c r="B4064" s="2">
        <v>44723.0</v>
      </c>
      <c r="C4064" s="3">
        <v>0.3008449074074074</v>
      </c>
      <c r="D4064" s="1">
        <v>13.067892</v>
      </c>
      <c r="E4064" s="1">
        <v>80.253342</v>
      </c>
      <c r="F4064" s="1">
        <v>805.0</v>
      </c>
      <c r="G4064" s="1">
        <v>36.0</v>
      </c>
    </row>
    <row r="4065">
      <c r="A4065" s="1" t="s">
        <v>9</v>
      </c>
      <c r="B4065" s="2">
        <v>44723.0</v>
      </c>
      <c r="C4065" s="3">
        <v>0.30115740740740743</v>
      </c>
      <c r="D4065" s="1">
        <v>13.067892</v>
      </c>
      <c r="E4065" s="1">
        <v>80.253342</v>
      </c>
      <c r="F4065" s="1">
        <v>805.0</v>
      </c>
      <c r="G4065" s="1">
        <v>36.0</v>
      </c>
    </row>
    <row r="4066">
      <c r="A4066" s="1" t="s">
        <v>7</v>
      </c>
      <c r="B4066" s="2">
        <v>44723.0</v>
      </c>
      <c r="C4066" s="3">
        <v>0.3020949074074074</v>
      </c>
      <c r="D4066" s="1">
        <v>13.063436</v>
      </c>
      <c r="E4066" s="1">
        <v>80.264562</v>
      </c>
      <c r="F4066" s="1">
        <v>805.0</v>
      </c>
      <c r="G4066" s="1">
        <v>56.0</v>
      </c>
    </row>
    <row r="4067">
      <c r="A4067" s="1" t="s">
        <v>8</v>
      </c>
      <c r="B4067" s="2">
        <v>44723.0</v>
      </c>
      <c r="C4067" s="3">
        <v>0.30258101851851854</v>
      </c>
      <c r="D4067" s="1">
        <v>13.066142</v>
      </c>
      <c r="E4067" s="1">
        <v>80.267983</v>
      </c>
      <c r="F4067" s="1">
        <v>805.0</v>
      </c>
      <c r="G4067" s="1">
        <v>31.0</v>
      </c>
    </row>
    <row r="4068">
      <c r="A4068" s="1" t="s">
        <v>8</v>
      </c>
      <c r="B4068" s="2">
        <v>44723.0</v>
      </c>
      <c r="C4068" s="3">
        <v>0.30365740740740743</v>
      </c>
      <c r="D4068" s="1">
        <v>13.067514</v>
      </c>
      <c r="E4068" s="1">
        <v>80.270698</v>
      </c>
      <c r="F4068" s="1">
        <v>805.0</v>
      </c>
      <c r="G4068" s="1">
        <v>32.0</v>
      </c>
    </row>
    <row r="4069">
      <c r="A4069" s="1" t="s">
        <v>10</v>
      </c>
      <c r="B4069" s="2">
        <v>44723.0</v>
      </c>
      <c r="C4069" s="3">
        <v>0.3073842592592593</v>
      </c>
      <c r="D4069" s="1">
        <v>13.059606</v>
      </c>
      <c r="E4069" s="1">
        <v>80.265636</v>
      </c>
      <c r="F4069" s="1">
        <v>805.0</v>
      </c>
      <c r="G4069" s="1">
        <v>15.0</v>
      </c>
    </row>
    <row r="4070">
      <c r="A4070" s="1" t="s">
        <v>8</v>
      </c>
      <c r="B4070" s="2">
        <v>44723.0</v>
      </c>
      <c r="C4070" s="3">
        <v>0.30810185185185185</v>
      </c>
      <c r="D4070" s="1">
        <v>13.055208</v>
      </c>
      <c r="E4070" s="1">
        <v>80.264416</v>
      </c>
      <c r="F4070" s="1">
        <v>805.0</v>
      </c>
      <c r="G4070" s="1">
        <v>31.0</v>
      </c>
    </row>
    <row r="4071">
      <c r="A4071" s="1" t="s">
        <v>8</v>
      </c>
      <c r="B4071" s="2">
        <v>44723.0</v>
      </c>
      <c r="C4071" s="3">
        <v>0.3081597222222222</v>
      </c>
      <c r="D4071" s="1">
        <v>13.055208</v>
      </c>
      <c r="E4071" s="1">
        <v>80.264416</v>
      </c>
      <c r="F4071" s="1">
        <v>805.0</v>
      </c>
      <c r="G4071" s="1">
        <v>31.0</v>
      </c>
    </row>
    <row r="4072">
      <c r="A4072" s="1" t="s">
        <v>10</v>
      </c>
      <c r="B4072" s="2">
        <v>44723.0</v>
      </c>
      <c r="C4072" s="3">
        <v>0.3098726851851852</v>
      </c>
      <c r="D4072" s="1">
        <v>13.052224</v>
      </c>
      <c r="E4072" s="1">
        <v>80.263844</v>
      </c>
      <c r="F4072" s="1">
        <v>805.0</v>
      </c>
      <c r="G4072" s="1">
        <v>0.0</v>
      </c>
    </row>
    <row r="4073">
      <c r="A4073" s="1" t="s">
        <v>10</v>
      </c>
      <c r="B4073" s="2">
        <v>44723.0</v>
      </c>
      <c r="C4073" s="3">
        <v>0.3115509259259259</v>
      </c>
      <c r="D4073" s="1">
        <v>12.979611</v>
      </c>
      <c r="E4073" s="1">
        <v>80.227026</v>
      </c>
      <c r="F4073" s="1">
        <v>2846.0</v>
      </c>
      <c r="G4073" s="1">
        <v>0.0</v>
      </c>
    </row>
    <row r="4074">
      <c r="A4074" s="1" t="s">
        <v>8</v>
      </c>
      <c r="B4074" s="2">
        <v>44723.0</v>
      </c>
      <c r="C4074" s="3">
        <v>0.3173958333333333</v>
      </c>
      <c r="D4074" s="1">
        <v>12.975191</v>
      </c>
      <c r="E4074" s="1">
        <v>80.22072</v>
      </c>
      <c r="F4074" s="1">
        <v>2846.0</v>
      </c>
      <c r="G4074" s="1">
        <v>36.0</v>
      </c>
    </row>
    <row r="4075">
      <c r="A4075" s="1" t="s">
        <v>8</v>
      </c>
      <c r="B4075" s="2">
        <v>44723.0</v>
      </c>
      <c r="C4075" s="3">
        <v>0.3174074074074074</v>
      </c>
      <c r="D4075" s="1">
        <v>12.975191</v>
      </c>
      <c r="E4075" s="1">
        <v>80.22072</v>
      </c>
      <c r="F4075" s="1">
        <v>2846.0</v>
      </c>
      <c r="G4075" s="1">
        <v>36.0</v>
      </c>
    </row>
    <row r="4076">
      <c r="A4076" s="1" t="s">
        <v>7</v>
      </c>
      <c r="B4076" s="2">
        <v>44723.0</v>
      </c>
      <c r="C4076" s="3">
        <v>0.31783564814814813</v>
      </c>
      <c r="D4076" s="1">
        <v>12.971166</v>
      </c>
      <c r="E4076" s="1">
        <v>80.219105</v>
      </c>
      <c r="F4076" s="1">
        <v>2846.0</v>
      </c>
      <c r="G4076" s="1">
        <v>51.0</v>
      </c>
    </row>
    <row r="4077">
      <c r="A4077" s="1" t="s">
        <v>7</v>
      </c>
      <c r="B4077" s="2">
        <v>44723.0</v>
      </c>
      <c r="C4077" s="3">
        <v>0.3181365740740741</v>
      </c>
      <c r="D4077" s="1">
        <v>12.967604</v>
      </c>
      <c r="E4077" s="1">
        <v>80.21769</v>
      </c>
      <c r="F4077" s="1">
        <v>2846.0</v>
      </c>
      <c r="G4077" s="1">
        <v>52.0</v>
      </c>
    </row>
    <row r="4078">
      <c r="A4078" s="1" t="s">
        <v>10</v>
      </c>
      <c r="B4078" s="2">
        <v>44723.0</v>
      </c>
      <c r="C4078" s="3">
        <v>0.32251157407407405</v>
      </c>
      <c r="D4078" s="1">
        <v>12.964772</v>
      </c>
      <c r="E4078" s="1">
        <v>80.197242</v>
      </c>
      <c r="F4078" s="1">
        <v>2846.0</v>
      </c>
      <c r="G4078" s="1">
        <v>17.0</v>
      </c>
    </row>
    <row r="4079">
      <c r="A4079" s="1" t="s">
        <v>10</v>
      </c>
      <c r="B4079" s="2">
        <v>44723.0</v>
      </c>
      <c r="C4079" s="3">
        <v>0.3230208333333333</v>
      </c>
      <c r="D4079" s="1">
        <v>12.964775</v>
      </c>
      <c r="E4079" s="1">
        <v>80.196337</v>
      </c>
      <c r="F4079" s="1">
        <v>2846.0</v>
      </c>
      <c r="G4079" s="1">
        <v>0.0</v>
      </c>
    </row>
    <row r="4080">
      <c r="A4080" s="1" t="s">
        <v>8</v>
      </c>
      <c r="B4080" s="2">
        <v>44723.0</v>
      </c>
      <c r="C4080" s="3">
        <v>0.3232638888888889</v>
      </c>
      <c r="D4080" s="1">
        <v>13.006406</v>
      </c>
      <c r="E4080" s="1">
        <v>80.256334</v>
      </c>
      <c r="F4080" s="1">
        <v>805.0</v>
      </c>
      <c r="G4080" s="1">
        <v>39.0</v>
      </c>
    </row>
    <row r="4081">
      <c r="A4081" s="1" t="s">
        <v>8</v>
      </c>
      <c r="B4081" s="2">
        <v>44723.0</v>
      </c>
      <c r="C4081" s="3">
        <v>0.3245138888888889</v>
      </c>
      <c r="D4081" s="1">
        <v>13.006742</v>
      </c>
      <c r="E4081" s="1">
        <v>80.250122</v>
      </c>
      <c r="F4081" s="1">
        <v>805.0</v>
      </c>
      <c r="G4081" s="1">
        <v>34.0</v>
      </c>
    </row>
    <row r="4082">
      <c r="A4082" s="1" t="s">
        <v>10</v>
      </c>
      <c r="B4082" s="2">
        <v>44723.0</v>
      </c>
      <c r="C4082" s="3">
        <v>0.3257175925925926</v>
      </c>
      <c r="D4082" s="1">
        <v>12.964292</v>
      </c>
      <c r="E4082" s="1">
        <v>80.187992</v>
      </c>
      <c r="F4082" s="1">
        <v>2846.0</v>
      </c>
      <c r="G4082" s="1">
        <v>26.0</v>
      </c>
    </row>
    <row r="4083">
      <c r="A4083" s="1" t="s">
        <v>7</v>
      </c>
      <c r="B4083" s="2">
        <v>44723.0</v>
      </c>
      <c r="C4083" s="3">
        <v>0.3295601851851852</v>
      </c>
      <c r="D4083" s="1">
        <v>13.009549</v>
      </c>
      <c r="E4083" s="1">
        <v>80.227323</v>
      </c>
      <c r="F4083" s="1">
        <v>805.0</v>
      </c>
      <c r="G4083" s="1">
        <v>57.0</v>
      </c>
    </row>
    <row r="4084">
      <c r="A4084" s="1" t="s">
        <v>7</v>
      </c>
      <c r="B4084" s="2">
        <v>44723.0</v>
      </c>
      <c r="C4084" s="3">
        <v>0.3296527777777778</v>
      </c>
      <c r="D4084" s="1">
        <v>13.010122</v>
      </c>
      <c r="E4084" s="1">
        <v>80.226062</v>
      </c>
      <c r="F4084" s="1">
        <v>805.0</v>
      </c>
      <c r="G4084" s="1">
        <v>50.0</v>
      </c>
    </row>
    <row r="4085">
      <c r="A4085" s="1" t="s">
        <v>8</v>
      </c>
      <c r="B4085" s="2">
        <v>44723.0</v>
      </c>
      <c r="C4085" s="3">
        <v>0.3296875</v>
      </c>
      <c r="D4085" s="1">
        <v>13.010122</v>
      </c>
      <c r="E4085" s="1">
        <v>80.226062</v>
      </c>
      <c r="F4085" s="1">
        <v>805.0</v>
      </c>
      <c r="G4085" s="1">
        <v>50.0</v>
      </c>
    </row>
    <row r="4086">
      <c r="A4086" s="1" t="s">
        <v>8</v>
      </c>
      <c r="B4086" s="2">
        <v>44723.0</v>
      </c>
      <c r="C4086" s="3">
        <v>0.3298263888888889</v>
      </c>
      <c r="D4086" s="1">
        <v>13.010691</v>
      </c>
      <c r="E4086" s="1">
        <v>80.224925</v>
      </c>
      <c r="F4086" s="1">
        <v>805.0</v>
      </c>
      <c r="G4086" s="1">
        <v>44.0</v>
      </c>
    </row>
    <row r="4087">
      <c r="A4087" s="1" t="s">
        <v>8</v>
      </c>
      <c r="B4087" s="2">
        <v>44723.0</v>
      </c>
      <c r="C4087" s="3">
        <v>0.3303587962962963</v>
      </c>
      <c r="D4087" s="1">
        <v>13.012054</v>
      </c>
      <c r="E4087" s="1">
        <v>80.221305</v>
      </c>
      <c r="F4087" s="1">
        <v>805.0</v>
      </c>
      <c r="G4087" s="1">
        <v>13.0</v>
      </c>
    </row>
    <row r="4088">
      <c r="A4088" s="1" t="s">
        <v>8</v>
      </c>
      <c r="B4088" s="2">
        <v>44723.0</v>
      </c>
      <c r="C4088" s="3">
        <v>0.33122685185185186</v>
      </c>
      <c r="D4088" s="1">
        <v>13.011186</v>
      </c>
      <c r="E4088" s="1">
        <v>80.21811</v>
      </c>
      <c r="F4088" s="1">
        <v>805.0</v>
      </c>
      <c r="G4088" s="1">
        <v>43.0</v>
      </c>
    </row>
    <row r="4089">
      <c r="A4089" s="1" t="s">
        <v>8</v>
      </c>
      <c r="B4089" s="2">
        <v>44723.0</v>
      </c>
      <c r="C4089" s="3">
        <v>0.33166666666666667</v>
      </c>
      <c r="D4089" s="1">
        <v>13.01008</v>
      </c>
      <c r="E4089" s="1">
        <v>80.214999</v>
      </c>
      <c r="F4089" s="1">
        <v>805.0</v>
      </c>
      <c r="G4089" s="1">
        <v>49.0</v>
      </c>
    </row>
    <row r="4090">
      <c r="A4090" s="1" t="s">
        <v>7</v>
      </c>
      <c r="B4090" s="2">
        <v>44723.0</v>
      </c>
      <c r="C4090" s="3">
        <v>0.3329050925925926</v>
      </c>
      <c r="D4090" s="1">
        <v>13.007864</v>
      </c>
      <c r="E4090" s="1">
        <v>80.207916</v>
      </c>
      <c r="F4090" s="1">
        <v>805.0</v>
      </c>
      <c r="G4090" s="1">
        <v>43.0</v>
      </c>
    </row>
    <row r="4091">
      <c r="A4091" s="1" t="s">
        <v>7</v>
      </c>
      <c r="B4091" s="2">
        <v>44723.0</v>
      </c>
      <c r="C4091" s="3">
        <v>0.33296296296296296</v>
      </c>
      <c r="D4091" s="1">
        <v>13.007864</v>
      </c>
      <c r="E4091" s="1">
        <v>80.207916</v>
      </c>
      <c r="F4091" s="1">
        <v>805.0</v>
      </c>
      <c r="G4091" s="1">
        <v>43.0</v>
      </c>
    </row>
    <row r="4092">
      <c r="A4092" s="1" t="s">
        <v>8</v>
      </c>
      <c r="B4092" s="2">
        <v>44723.0</v>
      </c>
      <c r="C4092" s="3">
        <v>0.3329976851851852</v>
      </c>
      <c r="D4092" s="1">
        <v>13.007864</v>
      </c>
      <c r="E4092" s="1">
        <v>80.207916</v>
      </c>
      <c r="F4092" s="1">
        <v>805.0</v>
      </c>
      <c r="G4092" s="1">
        <v>43.0</v>
      </c>
    </row>
    <row r="4093">
      <c r="A4093" s="1" t="s">
        <v>8</v>
      </c>
      <c r="B4093" s="2">
        <v>44723.0</v>
      </c>
      <c r="C4093" s="3">
        <v>0.33368055555555554</v>
      </c>
      <c r="D4093" s="1">
        <v>12.999948</v>
      </c>
      <c r="E4093" s="1">
        <v>80.194143</v>
      </c>
      <c r="F4093" s="1">
        <v>805.0</v>
      </c>
      <c r="G4093" s="1">
        <v>56.0</v>
      </c>
    </row>
    <row r="4094">
      <c r="A4094" s="1" t="s">
        <v>10</v>
      </c>
      <c r="B4094" s="2">
        <v>44723.0</v>
      </c>
      <c r="C4094" s="3">
        <v>0.3340046296296296</v>
      </c>
      <c r="D4094" s="1">
        <v>12.93915</v>
      </c>
      <c r="E4094" s="1">
        <v>80.18253</v>
      </c>
      <c r="F4094" s="1">
        <v>2846.0</v>
      </c>
      <c r="G4094" s="1">
        <v>11.0</v>
      </c>
    </row>
    <row r="4095">
      <c r="A4095" s="1" t="s">
        <v>8</v>
      </c>
      <c r="B4095" s="2">
        <v>44723.0</v>
      </c>
      <c r="C4095" s="3">
        <v>0.33435185185185184</v>
      </c>
      <c r="D4095" s="1">
        <v>12.995767</v>
      </c>
      <c r="E4095" s="1">
        <v>80.188994</v>
      </c>
      <c r="F4095" s="1">
        <v>805.0</v>
      </c>
      <c r="G4095" s="1">
        <v>29.0</v>
      </c>
    </row>
    <row r="4096">
      <c r="A4096" s="1" t="s">
        <v>8</v>
      </c>
      <c r="B4096" s="2">
        <v>44723.0</v>
      </c>
      <c r="C4096" s="3">
        <v>0.33436342592592594</v>
      </c>
      <c r="D4096" s="1">
        <v>12.995767</v>
      </c>
      <c r="E4096" s="1">
        <v>80.188994</v>
      </c>
      <c r="F4096" s="1">
        <v>805.0</v>
      </c>
      <c r="G4096" s="1">
        <v>29.0</v>
      </c>
    </row>
    <row r="4097">
      <c r="A4097" s="1" t="s">
        <v>8</v>
      </c>
      <c r="B4097" s="2">
        <v>44723.0</v>
      </c>
      <c r="C4097" s="3">
        <v>0.3344097222222222</v>
      </c>
      <c r="D4097" s="1">
        <v>12.995767</v>
      </c>
      <c r="E4097" s="1">
        <v>80.188994</v>
      </c>
      <c r="F4097" s="1">
        <v>805.0</v>
      </c>
      <c r="G4097" s="1">
        <v>29.0</v>
      </c>
    </row>
    <row r="4098">
      <c r="A4098" s="1" t="s">
        <v>8</v>
      </c>
      <c r="B4098" s="2">
        <v>44723.0</v>
      </c>
      <c r="C4098" s="3">
        <v>0.33444444444444443</v>
      </c>
      <c r="D4098" s="1">
        <v>12.995392</v>
      </c>
      <c r="E4098" s="1">
        <v>80.18836</v>
      </c>
      <c r="F4098" s="1">
        <v>805.0</v>
      </c>
      <c r="G4098" s="1">
        <v>0.0</v>
      </c>
    </row>
    <row r="4099">
      <c r="A4099" s="1" t="s">
        <v>8</v>
      </c>
      <c r="B4099" s="2">
        <v>44723.0</v>
      </c>
      <c r="C4099" s="3">
        <v>0.335</v>
      </c>
      <c r="D4099" s="1">
        <v>12.993727</v>
      </c>
      <c r="E4099" s="1">
        <v>80.185134</v>
      </c>
      <c r="F4099" s="1">
        <v>805.0</v>
      </c>
      <c r="G4099" s="1">
        <v>35.0</v>
      </c>
    </row>
    <row r="4100">
      <c r="A4100" s="1" t="s">
        <v>8</v>
      </c>
      <c r="B4100" s="2">
        <v>44723.0</v>
      </c>
      <c r="C4100" s="3">
        <v>0.33547453703703706</v>
      </c>
      <c r="D4100" s="1">
        <v>12.990954</v>
      </c>
      <c r="E4100" s="1">
        <v>80.180824</v>
      </c>
      <c r="F4100" s="1">
        <v>805.0</v>
      </c>
      <c r="G4100" s="1">
        <v>58.0</v>
      </c>
    </row>
    <row r="4101">
      <c r="A4101" s="1" t="s">
        <v>7</v>
      </c>
      <c r="B4101" s="2">
        <v>44723.0</v>
      </c>
      <c r="C4101" s="3">
        <v>0.3371527777777778</v>
      </c>
      <c r="D4101" s="1">
        <v>12.990113</v>
      </c>
      <c r="E4101" s="1">
        <v>80.179804</v>
      </c>
      <c r="F4101" s="1">
        <v>805.0</v>
      </c>
      <c r="G4101" s="1">
        <v>41.0</v>
      </c>
    </row>
    <row r="4102">
      <c r="A4102" s="1" t="s">
        <v>8</v>
      </c>
      <c r="B4102" s="2">
        <v>44723.0</v>
      </c>
      <c r="C4102" s="3">
        <v>0.3377777777777778</v>
      </c>
      <c r="D4102" s="1">
        <v>12.980013</v>
      </c>
      <c r="E4102" s="1">
        <v>80.163256</v>
      </c>
      <c r="F4102" s="1">
        <v>805.0</v>
      </c>
      <c r="G4102" s="1">
        <v>10.0</v>
      </c>
    </row>
    <row r="4103">
      <c r="A4103" s="1" t="s">
        <v>8</v>
      </c>
      <c r="B4103" s="2">
        <v>44723.0</v>
      </c>
      <c r="C4103" s="3">
        <v>0.33795138888888887</v>
      </c>
      <c r="D4103" s="1">
        <v>12.979361</v>
      </c>
      <c r="E4103" s="1">
        <v>80.161984</v>
      </c>
      <c r="F4103" s="1">
        <v>805.0</v>
      </c>
      <c r="G4103" s="1">
        <v>43.0</v>
      </c>
    </row>
    <row r="4104">
      <c r="A4104" s="1" t="s">
        <v>7</v>
      </c>
      <c r="B4104" s="2">
        <v>44723.0</v>
      </c>
      <c r="C4104" s="3">
        <v>0.3381134259259259</v>
      </c>
      <c r="D4104" s="1">
        <v>12.977821</v>
      </c>
      <c r="E4104" s="1">
        <v>80.159894</v>
      </c>
      <c r="F4104" s="1">
        <v>805.0</v>
      </c>
      <c r="G4104" s="1">
        <v>58.0</v>
      </c>
    </row>
    <row r="4105">
      <c r="A4105" s="1" t="s">
        <v>8</v>
      </c>
      <c r="B4105" s="2">
        <v>44723.0</v>
      </c>
      <c r="C4105" s="3">
        <v>0.33848379629629627</v>
      </c>
      <c r="D4105" s="1">
        <v>12.919424</v>
      </c>
      <c r="E4105" s="1">
        <v>80.180587</v>
      </c>
      <c r="F4105" s="1">
        <v>2846.0</v>
      </c>
      <c r="G4105" s="1">
        <v>33.0</v>
      </c>
    </row>
    <row r="4106">
      <c r="A4106" s="1" t="s">
        <v>8</v>
      </c>
      <c r="B4106" s="2">
        <v>44723.0</v>
      </c>
      <c r="C4106" s="3">
        <v>0.3385532407407407</v>
      </c>
      <c r="D4106" s="1">
        <v>12.975408</v>
      </c>
      <c r="E4106" s="1">
        <v>80.156178</v>
      </c>
      <c r="F4106" s="1">
        <v>805.0</v>
      </c>
      <c r="G4106" s="1">
        <v>56.0</v>
      </c>
    </row>
    <row r="4107">
      <c r="A4107" s="1" t="s">
        <v>7</v>
      </c>
      <c r="B4107" s="2">
        <v>44723.0</v>
      </c>
      <c r="C4107" s="3">
        <v>0.33903935185185186</v>
      </c>
      <c r="D4107" s="1">
        <v>12.918373</v>
      </c>
      <c r="E4107" s="1">
        <v>80.176684</v>
      </c>
      <c r="F4107" s="1">
        <v>2846.0</v>
      </c>
      <c r="G4107" s="1">
        <v>47.0</v>
      </c>
    </row>
    <row r="4108">
      <c r="A4108" s="1" t="s">
        <v>10</v>
      </c>
      <c r="B4108" s="2">
        <v>44723.0</v>
      </c>
      <c r="C4108" s="3">
        <v>0.33903935185185186</v>
      </c>
      <c r="D4108" s="1">
        <v>12.973475</v>
      </c>
      <c r="E4108" s="1">
        <v>80.153402</v>
      </c>
      <c r="F4108" s="1">
        <v>805.0</v>
      </c>
      <c r="G4108" s="1">
        <v>40.0</v>
      </c>
    </row>
    <row r="4109">
      <c r="A4109" s="1" t="s">
        <v>7</v>
      </c>
      <c r="B4109" s="2">
        <v>44723.0</v>
      </c>
      <c r="C4109" s="3">
        <v>0.33947916666666667</v>
      </c>
      <c r="D4109" s="1">
        <v>12.919369</v>
      </c>
      <c r="E4109" s="1">
        <v>80.172647</v>
      </c>
      <c r="F4109" s="1">
        <v>2846.0</v>
      </c>
      <c r="G4109" s="1">
        <v>54.0</v>
      </c>
    </row>
    <row r="4110">
      <c r="A4110" s="1" t="s">
        <v>8</v>
      </c>
      <c r="B4110" s="2">
        <v>44723.0</v>
      </c>
      <c r="C4110" s="3">
        <v>0.340150462962963</v>
      </c>
      <c r="D4110" s="1">
        <v>12.969297</v>
      </c>
      <c r="E4110" s="1">
        <v>80.150142</v>
      </c>
      <c r="F4110" s="1">
        <v>805.0</v>
      </c>
      <c r="G4110" s="1">
        <v>0.0</v>
      </c>
    </row>
    <row r="4111">
      <c r="A4111" s="1" t="s">
        <v>8</v>
      </c>
      <c r="B4111" s="2">
        <v>44723.0</v>
      </c>
      <c r="C4111" s="3">
        <v>0.34130787037037036</v>
      </c>
      <c r="D4111" s="1">
        <v>12.958468</v>
      </c>
      <c r="E4111" s="1">
        <v>80.144394</v>
      </c>
      <c r="F4111" s="1">
        <v>805.0</v>
      </c>
      <c r="G4111" s="1">
        <v>39.0</v>
      </c>
    </row>
    <row r="4112">
      <c r="A4112" s="1" t="s">
        <v>8</v>
      </c>
      <c r="B4112" s="2">
        <v>44723.0</v>
      </c>
      <c r="C4112" s="3">
        <v>0.34225694444444443</v>
      </c>
      <c r="D4112" s="1">
        <v>12.956092</v>
      </c>
      <c r="E4112" s="1">
        <v>80.14321</v>
      </c>
      <c r="F4112" s="1">
        <v>805.0</v>
      </c>
      <c r="G4112" s="1">
        <v>16.0</v>
      </c>
    </row>
    <row r="4113">
      <c r="A4113" s="1" t="s">
        <v>8</v>
      </c>
      <c r="B4113" s="2">
        <v>44723.0</v>
      </c>
      <c r="C4113" s="3">
        <v>0.3423263888888889</v>
      </c>
      <c r="D4113" s="1">
        <v>12.955529</v>
      </c>
      <c r="E4113" s="1">
        <v>80.142919</v>
      </c>
      <c r="F4113" s="1">
        <v>805.0</v>
      </c>
      <c r="G4113" s="1">
        <v>25.0</v>
      </c>
    </row>
    <row r="4114">
      <c r="A4114" s="1" t="s">
        <v>8</v>
      </c>
      <c r="B4114" s="2">
        <v>44723.0</v>
      </c>
      <c r="C4114" s="3">
        <v>0.3423726851851852</v>
      </c>
      <c r="D4114" s="1">
        <v>12.922636</v>
      </c>
      <c r="E4114" s="1">
        <v>80.150442</v>
      </c>
      <c r="F4114" s="1">
        <v>2846.0</v>
      </c>
      <c r="G4114" s="1">
        <v>36.0</v>
      </c>
    </row>
    <row r="4115">
      <c r="A4115" s="1" t="s">
        <v>8</v>
      </c>
      <c r="B4115" s="2">
        <v>44723.0</v>
      </c>
      <c r="C4115" s="3">
        <v>0.34239583333333334</v>
      </c>
      <c r="D4115" s="1">
        <v>12.922636</v>
      </c>
      <c r="E4115" s="1">
        <v>80.150442</v>
      </c>
      <c r="F4115" s="1">
        <v>2846.0</v>
      </c>
      <c r="G4115" s="1">
        <v>36.0</v>
      </c>
    </row>
    <row r="4116">
      <c r="A4116" s="1" t="s">
        <v>8</v>
      </c>
      <c r="B4116" s="2">
        <v>44723.0</v>
      </c>
      <c r="C4116" s="3">
        <v>0.34243055555555557</v>
      </c>
      <c r="D4116" s="1">
        <v>12.954875</v>
      </c>
      <c r="E4116" s="1">
        <v>80.142552</v>
      </c>
      <c r="F4116" s="1">
        <v>805.0</v>
      </c>
      <c r="G4116" s="1">
        <v>28.0</v>
      </c>
    </row>
    <row r="4117">
      <c r="A4117" s="1" t="s">
        <v>8</v>
      </c>
      <c r="B4117" s="2">
        <v>44723.0</v>
      </c>
      <c r="C4117" s="3">
        <v>0.3424421296296296</v>
      </c>
      <c r="D4117" s="1">
        <v>12.954875</v>
      </c>
      <c r="E4117" s="1">
        <v>80.142552</v>
      </c>
      <c r="F4117" s="1">
        <v>805.0</v>
      </c>
      <c r="G4117" s="1">
        <v>28.0</v>
      </c>
    </row>
    <row r="4118">
      <c r="A4118" s="1" t="s">
        <v>8</v>
      </c>
      <c r="B4118" s="2">
        <v>44723.0</v>
      </c>
      <c r="C4118" s="3">
        <v>0.3424537037037037</v>
      </c>
      <c r="D4118" s="1">
        <v>12.954875</v>
      </c>
      <c r="E4118" s="1">
        <v>80.142552</v>
      </c>
      <c r="F4118" s="1">
        <v>805.0</v>
      </c>
      <c r="G4118" s="1">
        <v>28.0</v>
      </c>
    </row>
    <row r="4119">
      <c r="A4119" s="1" t="s">
        <v>8</v>
      </c>
      <c r="B4119" s="2">
        <v>44723.0</v>
      </c>
      <c r="C4119" s="3">
        <v>0.3424652777777778</v>
      </c>
      <c r="D4119" s="1">
        <v>12.92261</v>
      </c>
      <c r="E4119" s="1">
        <v>80.14959</v>
      </c>
      <c r="F4119" s="1">
        <v>2846.0</v>
      </c>
      <c r="G4119" s="1">
        <v>29.0</v>
      </c>
    </row>
    <row r="4120">
      <c r="A4120" s="1" t="s">
        <v>8</v>
      </c>
      <c r="B4120" s="2">
        <v>44723.0</v>
      </c>
      <c r="C4120" s="3">
        <v>0.34247685185185184</v>
      </c>
      <c r="D4120" s="1">
        <v>12.92261</v>
      </c>
      <c r="E4120" s="1">
        <v>80.14959</v>
      </c>
      <c r="F4120" s="1">
        <v>2846.0</v>
      </c>
      <c r="G4120" s="1">
        <v>29.0</v>
      </c>
    </row>
    <row r="4121">
      <c r="A4121" s="1" t="s">
        <v>8</v>
      </c>
      <c r="B4121" s="2">
        <v>44723.0</v>
      </c>
      <c r="C4121" s="3">
        <v>0.34248842592592593</v>
      </c>
      <c r="D4121" s="1">
        <v>12.92261</v>
      </c>
      <c r="E4121" s="1">
        <v>80.14959</v>
      </c>
      <c r="F4121" s="1">
        <v>2846.0</v>
      </c>
      <c r="G4121" s="1">
        <v>29.0</v>
      </c>
    </row>
    <row r="4122">
      <c r="A4122" s="1" t="s">
        <v>8</v>
      </c>
      <c r="B4122" s="2">
        <v>44723.0</v>
      </c>
      <c r="C4122" s="3">
        <v>0.3425694444444444</v>
      </c>
      <c r="D4122" s="1">
        <v>12.922557</v>
      </c>
      <c r="E4122" s="1">
        <v>80.148817</v>
      </c>
      <c r="F4122" s="1">
        <v>2846.0</v>
      </c>
      <c r="G4122" s="1">
        <v>29.0</v>
      </c>
    </row>
    <row r="4123">
      <c r="A4123" s="1" t="s">
        <v>8</v>
      </c>
      <c r="B4123" s="2">
        <v>44723.0</v>
      </c>
      <c r="C4123" s="3">
        <v>0.3425810185185185</v>
      </c>
      <c r="D4123" s="1">
        <v>12.922557</v>
      </c>
      <c r="E4123" s="1">
        <v>80.148817</v>
      </c>
      <c r="F4123" s="1">
        <v>2846.0</v>
      </c>
      <c r="G4123" s="1">
        <v>29.0</v>
      </c>
    </row>
    <row r="4124">
      <c r="A4124" s="1" t="s">
        <v>8</v>
      </c>
      <c r="B4124" s="2">
        <v>44723.0</v>
      </c>
      <c r="C4124" s="3">
        <v>0.3426273148148148</v>
      </c>
      <c r="D4124" s="1">
        <v>12.953466</v>
      </c>
      <c r="E4124" s="1">
        <v>80.141827</v>
      </c>
      <c r="F4124" s="1">
        <v>805.0</v>
      </c>
      <c r="G4124" s="1">
        <v>34.0</v>
      </c>
    </row>
    <row r="4125">
      <c r="A4125" s="1" t="s">
        <v>8</v>
      </c>
      <c r="B4125" s="2">
        <v>44723.0</v>
      </c>
      <c r="C4125" s="3">
        <v>0.34325231481481483</v>
      </c>
      <c r="D4125" s="1">
        <v>12.952107</v>
      </c>
      <c r="E4125" s="1">
        <v>80.140866</v>
      </c>
      <c r="F4125" s="1">
        <v>805.0</v>
      </c>
      <c r="G4125" s="1">
        <v>21.0</v>
      </c>
    </row>
    <row r="4126">
      <c r="A4126" s="1" t="s">
        <v>8</v>
      </c>
      <c r="B4126" s="2">
        <v>44723.0</v>
      </c>
      <c r="C4126" s="3">
        <v>0.34423611111111113</v>
      </c>
      <c r="D4126" s="1">
        <v>12.949572</v>
      </c>
      <c r="E4126" s="1">
        <v>80.13888</v>
      </c>
      <c r="F4126" s="1">
        <v>805.0</v>
      </c>
      <c r="G4126" s="1">
        <v>39.0</v>
      </c>
    </row>
    <row r="4127">
      <c r="A4127" s="1" t="s">
        <v>7</v>
      </c>
      <c r="B4127" s="2">
        <v>44723.0</v>
      </c>
      <c r="C4127" s="3">
        <v>0.34447916666666667</v>
      </c>
      <c r="D4127" s="1">
        <v>12.947467</v>
      </c>
      <c r="E4127" s="1">
        <v>80.137265</v>
      </c>
      <c r="F4127" s="1">
        <v>805.0</v>
      </c>
      <c r="G4127" s="1">
        <v>18.0</v>
      </c>
    </row>
    <row r="4128">
      <c r="A4128" s="1" t="s">
        <v>8</v>
      </c>
      <c r="B4128" s="2">
        <v>44723.0</v>
      </c>
      <c r="C4128" s="3">
        <v>0.34452546296296294</v>
      </c>
      <c r="D4128" s="1">
        <v>12.946201</v>
      </c>
      <c r="E4128" s="1">
        <v>80.136316</v>
      </c>
      <c r="F4128" s="1">
        <v>805.0</v>
      </c>
      <c r="G4128" s="1">
        <v>40.0</v>
      </c>
    </row>
    <row r="4129">
      <c r="A4129" s="1" t="s">
        <v>8</v>
      </c>
      <c r="B4129" s="2">
        <v>44723.0</v>
      </c>
      <c r="C4129" s="3">
        <v>0.3446412037037037</v>
      </c>
      <c r="D4129" s="1">
        <v>12.944332</v>
      </c>
      <c r="E4129" s="1">
        <v>80.134863</v>
      </c>
      <c r="F4129" s="1">
        <v>805.0</v>
      </c>
      <c r="G4129" s="1">
        <v>32.0</v>
      </c>
    </row>
    <row r="4130">
      <c r="A4130" s="1" t="s">
        <v>8</v>
      </c>
      <c r="B4130" s="2">
        <v>44723.0</v>
      </c>
      <c r="C4130" s="3">
        <v>0.34478009259259257</v>
      </c>
      <c r="D4130" s="1">
        <v>12.922368</v>
      </c>
      <c r="E4130" s="1">
        <v>80.139982</v>
      </c>
      <c r="F4130" s="1">
        <v>2846.0</v>
      </c>
      <c r="G4130" s="1">
        <v>30.0</v>
      </c>
    </row>
    <row r="4131">
      <c r="A4131" s="1" t="s">
        <v>8</v>
      </c>
      <c r="B4131" s="2">
        <v>44723.0</v>
      </c>
      <c r="C4131" s="3">
        <v>0.3448148148148148</v>
      </c>
      <c r="D4131" s="1">
        <v>12.922368</v>
      </c>
      <c r="E4131" s="1">
        <v>80.139982</v>
      </c>
      <c r="F4131" s="1">
        <v>2846.0</v>
      </c>
      <c r="G4131" s="1">
        <v>30.0</v>
      </c>
    </row>
    <row r="4132">
      <c r="A4132" s="1" t="s">
        <v>7</v>
      </c>
      <c r="B4132" s="2">
        <v>44723.0</v>
      </c>
      <c r="C4132" s="3">
        <v>0.34521990740740743</v>
      </c>
      <c r="D4132" s="1">
        <v>12.941875</v>
      </c>
      <c r="E4132" s="1">
        <v>80.132578</v>
      </c>
      <c r="F4132" s="1">
        <v>805.0</v>
      </c>
      <c r="G4132" s="1">
        <v>43.0</v>
      </c>
    </row>
    <row r="4133">
      <c r="A4133" s="1" t="s">
        <v>8</v>
      </c>
      <c r="B4133" s="2">
        <v>44723.0</v>
      </c>
      <c r="C4133" s="3">
        <v>0.3453125</v>
      </c>
      <c r="D4133" s="1">
        <v>12.940966</v>
      </c>
      <c r="E4133" s="1">
        <v>80.131615</v>
      </c>
      <c r="F4133" s="1">
        <v>805.0</v>
      </c>
      <c r="G4133" s="1">
        <v>56.0</v>
      </c>
    </row>
    <row r="4134">
      <c r="A4134" s="1" t="s">
        <v>7</v>
      </c>
      <c r="B4134" s="2">
        <v>44723.0</v>
      </c>
      <c r="C4134" s="3">
        <v>0.3456134259259259</v>
      </c>
      <c r="D4134" s="1">
        <v>12.939024</v>
      </c>
      <c r="E4134" s="1">
        <v>80.129713</v>
      </c>
      <c r="F4134" s="1">
        <v>805.0</v>
      </c>
      <c r="G4134" s="1">
        <v>54.0</v>
      </c>
    </row>
    <row r="4135">
      <c r="A4135" s="1" t="s">
        <v>8</v>
      </c>
      <c r="B4135" s="2">
        <v>44723.0</v>
      </c>
      <c r="C4135" s="3">
        <v>0.3456712962962963</v>
      </c>
      <c r="D4135" s="1">
        <v>12.922523</v>
      </c>
      <c r="E4135" s="1">
        <v>80.13622</v>
      </c>
      <c r="F4135" s="1">
        <v>2846.0</v>
      </c>
      <c r="G4135" s="1">
        <v>31.0</v>
      </c>
    </row>
    <row r="4136">
      <c r="A4136" s="1" t="s">
        <v>8</v>
      </c>
      <c r="B4136" s="2">
        <v>44723.0</v>
      </c>
      <c r="C4136" s="3">
        <v>0.3457175925925926</v>
      </c>
      <c r="D4136" s="1">
        <v>12.938021</v>
      </c>
      <c r="E4136" s="1">
        <v>80.128838</v>
      </c>
      <c r="F4136" s="1">
        <v>805.0</v>
      </c>
      <c r="G4136" s="1">
        <v>51.0</v>
      </c>
    </row>
    <row r="4137">
      <c r="A4137" s="1" t="s">
        <v>8</v>
      </c>
      <c r="B4137" s="2">
        <v>44723.0</v>
      </c>
      <c r="C4137" s="3">
        <v>0.3462384259259259</v>
      </c>
      <c r="D4137" s="1">
        <v>12.93502</v>
      </c>
      <c r="E4137" s="1">
        <v>80.126174</v>
      </c>
      <c r="F4137" s="1">
        <v>805.0</v>
      </c>
      <c r="G4137" s="1">
        <v>39.0</v>
      </c>
    </row>
    <row r="4138">
      <c r="A4138" s="1" t="s">
        <v>8</v>
      </c>
      <c r="B4138" s="2">
        <v>44723.0</v>
      </c>
      <c r="C4138" s="3">
        <v>0.3463773148148148</v>
      </c>
      <c r="D4138" s="1">
        <v>12.9342</v>
      </c>
      <c r="E4138" s="1">
        <v>80.125436</v>
      </c>
      <c r="F4138" s="1">
        <v>805.0</v>
      </c>
      <c r="G4138" s="1">
        <v>46.0</v>
      </c>
    </row>
    <row r="4139">
      <c r="A4139" s="1" t="s">
        <v>8</v>
      </c>
      <c r="B4139" s="2">
        <v>44723.0</v>
      </c>
      <c r="C4139" s="3">
        <v>0.34652777777777777</v>
      </c>
      <c r="D4139" s="1">
        <v>12.933208</v>
      </c>
      <c r="E4139" s="1">
        <v>80.124504</v>
      </c>
      <c r="F4139" s="1">
        <v>805.0</v>
      </c>
      <c r="G4139" s="1">
        <v>55.0</v>
      </c>
    </row>
    <row r="4140">
      <c r="A4140" s="1" t="s">
        <v>8</v>
      </c>
      <c r="B4140" s="2">
        <v>44723.0</v>
      </c>
      <c r="C4140" s="3">
        <v>0.34694444444444444</v>
      </c>
      <c r="D4140" s="1">
        <v>12.922757</v>
      </c>
      <c r="E4140" s="1">
        <v>80.130786</v>
      </c>
      <c r="F4140" s="1">
        <v>2846.0</v>
      </c>
      <c r="G4140" s="1">
        <v>33.0</v>
      </c>
    </row>
    <row r="4141">
      <c r="A4141" s="1" t="s">
        <v>8</v>
      </c>
      <c r="B4141" s="2">
        <v>44723.0</v>
      </c>
      <c r="C4141" s="3">
        <v>0.3472337962962963</v>
      </c>
      <c r="D4141" s="1">
        <v>12.922837</v>
      </c>
      <c r="E4141" s="1">
        <v>80.129381</v>
      </c>
      <c r="F4141" s="1">
        <v>2846.0</v>
      </c>
      <c r="G4141" s="1">
        <v>29.0</v>
      </c>
    </row>
    <row r="4142">
      <c r="A4142" s="1" t="s">
        <v>8</v>
      </c>
      <c r="B4142" s="2">
        <v>44723.0</v>
      </c>
      <c r="C4142" s="3">
        <v>0.34738425925925925</v>
      </c>
      <c r="D4142" s="1">
        <v>12.929801</v>
      </c>
      <c r="E4142" s="1">
        <v>80.121037</v>
      </c>
      <c r="F4142" s="1">
        <v>805.0</v>
      </c>
      <c r="G4142" s="1">
        <v>51.0</v>
      </c>
    </row>
    <row r="4143">
      <c r="A4143" s="1" t="s">
        <v>8</v>
      </c>
      <c r="B4143" s="2">
        <v>44723.0</v>
      </c>
      <c r="C4143" s="3">
        <v>0.3486111111111111</v>
      </c>
      <c r="D4143" s="1">
        <v>12.923371</v>
      </c>
      <c r="E4143" s="1">
        <v>80.119097</v>
      </c>
      <c r="F4143" s="1">
        <v>2846.0</v>
      </c>
      <c r="G4143" s="1">
        <v>51.0</v>
      </c>
    </row>
    <row r="4144">
      <c r="A4144" s="1" t="s">
        <v>7</v>
      </c>
      <c r="B4144" s="2">
        <v>44723.0</v>
      </c>
      <c r="C4144" s="3">
        <v>0.34890046296296295</v>
      </c>
      <c r="D4144" s="1">
        <v>12.92723</v>
      </c>
      <c r="E4144" s="1">
        <v>80.118412</v>
      </c>
      <c r="F4144" s="1">
        <v>805.0</v>
      </c>
      <c r="G4144" s="1">
        <v>22.0</v>
      </c>
    </row>
    <row r="4145">
      <c r="A4145" s="1" t="s">
        <v>8</v>
      </c>
      <c r="B4145" s="2">
        <v>44723.0</v>
      </c>
      <c r="C4145" s="3">
        <v>0.34899305555555554</v>
      </c>
      <c r="D4145" s="1">
        <v>12.92723</v>
      </c>
      <c r="E4145" s="1">
        <v>80.118412</v>
      </c>
      <c r="F4145" s="1">
        <v>805.0</v>
      </c>
      <c r="G4145" s="1">
        <v>22.0</v>
      </c>
    </row>
    <row r="4146">
      <c r="A4146" s="1" t="s">
        <v>8</v>
      </c>
      <c r="B4146" s="2">
        <v>44723.0</v>
      </c>
      <c r="C4146" s="3">
        <v>0.3491087962962963</v>
      </c>
      <c r="D4146" s="1">
        <v>12.92723</v>
      </c>
      <c r="E4146" s="1">
        <v>80.118412</v>
      </c>
      <c r="F4146" s="1">
        <v>805.0</v>
      </c>
      <c r="G4146" s="1">
        <v>22.0</v>
      </c>
    </row>
    <row r="4147">
      <c r="A4147" s="1" t="s">
        <v>7</v>
      </c>
      <c r="B4147" s="2">
        <v>44723.0</v>
      </c>
      <c r="C4147" s="3">
        <v>0.3493981481481481</v>
      </c>
      <c r="D4147" s="1">
        <v>12.92723</v>
      </c>
      <c r="E4147" s="1">
        <v>80.118412</v>
      </c>
      <c r="F4147" s="1">
        <v>805.0</v>
      </c>
      <c r="G4147" s="1">
        <v>22.0</v>
      </c>
    </row>
    <row r="4148">
      <c r="A4148" s="1" t="s">
        <v>7</v>
      </c>
      <c r="B4148" s="2">
        <v>44723.0</v>
      </c>
      <c r="C4148" s="3">
        <v>0.3494675925925926</v>
      </c>
      <c r="D4148" s="1">
        <v>12.92723</v>
      </c>
      <c r="E4148" s="1">
        <v>80.118412</v>
      </c>
      <c r="F4148" s="1">
        <v>805.0</v>
      </c>
      <c r="G4148" s="1">
        <v>22.0</v>
      </c>
    </row>
    <row r="4149">
      <c r="A4149" s="1" t="s">
        <v>7</v>
      </c>
      <c r="B4149" s="2">
        <v>44723.0</v>
      </c>
      <c r="C4149" s="3">
        <v>0.34952546296296294</v>
      </c>
      <c r="D4149" s="1">
        <v>12.92723</v>
      </c>
      <c r="E4149" s="1">
        <v>80.118412</v>
      </c>
      <c r="F4149" s="1">
        <v>805.0</v>
      </c>
      <c r="G4149" s="1">
        <v>22.0</v>
      </c>
    </row>
    <row r="4150">
      <c r="A4150" s="1" t="s">
        <v>8</v>
      </c>
      <c r="B4150" s="2">
        <v>44723.0</v>
      </c>
      <c r="C4150" s="3">
        <v>0.34958333333333336</v>
      </c>
      <c r="D4150" s="1">
        <v>12.92723</v>
      </c>
      <c r="E4150" s="1">
        <v>80.118412</v>
      </c>
      <c r="F4150" s="1">
        <v>805.0</v>
      </c>
      <c r="G4150" s="1">
        <v>22.0</v>
      </c>
    </row>
    <row r="4151">
      <c r="A4151" s="1" t="s">
        <v>8</v>
      </c>
      <c r="B4151" s="2">
        <v>44723.0</v>
      </c>
      <c r="C4151" s="3">
        <v>0.3496412037037037</v>
      </c>
      <c r="D4151" s="1">
        <v>12.92723</v>
      </c>
      <c r="E4151" s="1">
        <v>80.118412</v>
      </c>
      <c r="F4151" s="1">
        <v>805.0</v>
      </c>
      <c r="G4151" s="1">
        <v>22.0</v>
      </c>
    </row>
    <row r="4152">
      <c r="A4152" s="1" t="s">
        <v>7</v>
      </c>
      <c r="B4152" s="2">
        <v>44723.0</v>
      </c>
      <c r="C4152" s="3">
        <v>0.3498263888888889</v>
      </c>
      <c r="D4152" s="1">
        <v>12.921203</v>
      </c>
      <c r="E4152" s="1">
        <v>80.112466</v>
      </c>
      <c r="F4152" s="1">
        <v>2846.0</v>
      </c>
      <c r="G4152" s="1">
        <v>44.0</v>
      </c>
    </row>
    <row r="4153">
      <c r="A4153" s="1" t="s">
        <v>8</v>
      </c>
      <c r="B4153" s="2">
        <v>44723.0</v>
      </c>
      <c r="C4153" s="3">
        <v>0.35002314814814817</v>
      </c>
      <c r="D4153" s="1">
        <v>12.92723</v>
      </c>
      <c r="E4153" s="1">
        <v>80.118412</v>
      </c>
      <c r="F4153" s="1">
        <v>805.0</v>
      </c>
      <c r="G4153" s="1">
        <v>22.0</v>
      </c>
    </row>
    <row r="4154">
      <c r="A4154" s="1" t="s">
        <v>8</v>
      </c>
      <c r="B4154" s="2">
        <v>44723.0</v>
      </c>
      <c r="C4154" s="3">
        <v>0.3500578703703704</v>
      </c>
      <c r="D4154" s="1">
        <v>12.919919</v>
      </c>
      <c r="E4154" s="1">
        <v>80.111008</v>
      </c>
      <c r="F4154" s="1">
        <v>2846.0</v>
      </c>
      <c r="G4154" s="1">
        <v>54.0</v>
      </c>
    </row>
    <row r="4155">
      <c r="A4155" s="1" t="s">
        <v>8</v>
      </c>
      <c r="B4155" s="2">
        <v>44723.0</v>
      </c>
      <c r="C4155" s="3">
        <v>0.35052083333333334</v>
      </c>
      <c r="D4155" s="1">
        <v>12.92723</v>
      </c>
      <c r="E4155" s="1">
        <v>80.118412</v>
      </c>
      <c r="F4155" s="1">
        <v>805.0</v>
      </c>
      <c r="G4155" s="1">
        <v>22.0</v>
      </c>
    </row>
    <row r="4156">
      <c r="A4156" s="1" t="s">
        <v>8</v>
      </c>
      <c r="B4156" s="2">
        <v>44723.0</v>
      </c>
      <c r="C4156" s="3">
        <v>0.35082175925925924</v>
      </c>
      <c r="D4156" s="1">
        <v>12.92723</v>
      </c>
      <c r="E4156" s="1">
        <v>80.118412</v>
      </c>
      <c r="F4156" s="1">
        <v>805.0</v>
      </c>
      <c r="G4156" s="1">
        <v>22.0</v>
      </c>
    </row>
    <row r="4157">
      <c r="A4157" s="1" t="s">
        <v>8</v>
      </c>
      <c r="B4157" s="2">
        <v>44723.0</v>
      </c>
      <c r="C4157" s="3">
        <v>0.3509837962962963</v>
      </c>
      <c r="D4157" s="1">
        <v>12.917088</v>
      </c>
      <c r="E4157" s="1">
        <v>80.107312</v>
      </c>
      <c r="F4157" s="1">
        <v>2846.0</v>
      </c>
      <c r="G4157" s="1">
        <v>12.0</v>
      </c>
    </row>
    <row r="4158">
      <c r="A4158" s="1" t="s">
        <v>8</v>
      </c>
      <c r="B4158" s="2">
        <v>44723.0</v>
      </c>
      <c r="C4158" s="3">
        <v>0.35105324074074074</v>
      </c>
      <c r="D4158" s="1">
        <v>12.92723</v>
      </c>
      <c r="E4158" s="1">
        <v>80.118412</v>
      </c>
      <c r="F4158" s="1">
        <v>805.0</v>
      </c>
      <c r="G4158" s="1">
        <v>22.0</v>
      </c>
    </row>
    <row r="4159">
      <c r="A4159" s="1" t="s">
        <v>8</v>
      </c>
      <c r="B4159" s="2">
        <v>44723.0</v>
      </c>
      <c r="C4159" s="3">
        <v>0.3511342592592593</v>
      </c>
      <c r="D4159" s="1">
        <v>12.917088</v>
      </c>
      <c r="E4159" s="1">
        <v>80.107312</v>
      </c>
      <c r="F4159" s="1">
        <v>2846.0</v>
      </c>
      <c r="G4159" s="1">
        <v>12.0</v>
      </c>
    </row>
    <row r="4160">
      <c r="A4160" s="1" t="s">
        <v>8</v>
      </c>
      <c r="B4160" s="2">
        <v>44723.0</v>
      </c>
      <c r="C4160" s="3">
        <v>0.3517476851851852</v>
      </c>
      <c r="D4160" s="1">
        <v>12.908532</v>
      </c>
      <c r="E4160" s="1">
        <v>80.098186</v>
      </c>
      <c r="F4160" s="1">
        <v>805.0</v>
      </c>
      <c r="G4160" s="1">
        <v>28.0</v>
      </c>
    </row>
    <row r="4161">
      <c r="A4161" s="1" t="s">
        <v>8</v>
      </c>
      <c r="B4161" s="2">
        <v>44723.0</v>
      </c>
      <c r="C4161" s="3">
        <v>0.35181712962962963</v>
      </c>
      <c r="D4161" s="1">
        <v>12.908532</v>
      </c>
      <c r="E4161" s="1">
        <v>80.098186</v>
      </c>
      <c r="F4161" s="1">
        <v>805.0</v>
      </c>
      <c r="G4161" s="1">
        <v>28.0</v>
      </c>
    </row>
    <row r="4162">
      <c r="A4162" s="1" t="s">
        <v>8</v>
      </c>
      <c r="B4162" s="2">
        <v>44723.0</v>
      </c>
      <c r="C4162" s="3">
        <v>0.35211805555555553</v>
      </c>
      <c r="D4162" s="1">
        <v>12.907412</v>
      </c>
      <c r="E4162" s="1">
        <v>80.097249</v>
      </c>
      <c r="F4162" s="1">
        <v>805.0</v>
      </c>
      <c r="G4162" s="1">
        <v>24.0</v>
      </c>
    </row>
    <row r="4163">
      <c r="A4163" s="1" t="s">
        <v>8</v>
      </c>
      <c r="B4163" s="2">
        <v>44723.0</v>
      </c>
      <c r="C4163" s="3">
        <v>0.3529398148148148</v>
      </c>
      <c r="D4163" s="1">
        <v>12.910561</v>
      </c>
      <c r="E4163" s="1">
        <v>80.101047</v>
      </c>
      <c r="F4163" s="1">
        <v>2846.0</v>
      </c>
      <c r="G4163" s="1">
        <v>51.0</v>
      </c>
    </row>
    <row r="4164">
      <c r="A4164" s="1" t="s">
        <v>8</v>
      </c>
      <c r="B4164" s="2">
        <v>44723.0</v>
      </c>
      <c r="C4164" s="3">
        <v>0.3530787037037037</v>
      </c>
      <c r="D4164" s="1">
        <v>12.905485</v>
      </c>
      <c r="E4164" s="1">
        <v>80.095758</v>
      </c>
      <c r="F4164" s="1">
        <v>805.0</v>
      </c>
      <c r="G4164" s="1">
        <v>27.0</v>
      </c>
    </row>
    <row r="4165">
      <c r="A4165" s="1" t="s">
        <v>8</v>
      </c>
      <c r="B4165" s="2">
        <v>44723.0</v>
      </c>
      <c r="C4165" s="3">
        <v>0.3539236111111111</v>
      </c>
      <c r="D4165" s="1">
        <v>12.908302</v>
      </c>
      <c r="E4165" s="1">
        <v>80.097912</v>
      </c>
      <c r="F4165" s="1">
        <v>2846.0</v>
      </c>
      <c r="G4165" s="1">
        <v>46.0</v>
      </c>
    </row>
    <row r="4166">
      <c r="A4166" s="1" t="s">
        <v>7</v>
      </c>
      <c r="B4166" s="2">
        <v>44723.0</v>
      </c>
      <c r="C4166" s="3">
        <v>0.35430555555555554</v>
      </c>
      <c r="D4166" s="1">
        <v>12.907141</v>
      </c>
      <c r="E4166" s="1">
        <v>80.09697</v>
      </c>
      <c r="F4166" s="1">
        <v>2846.0</v>
      </c>
      <c r="G4166" s="1">
        <v>28.0</v>
      </c>
    </row>
    <row r="4167">
      <c r="A4167" s="1" t="s">
        <v>7</v>
      </c>
      <c r="B4167" s="2">
        <v>44723.0</v>
      </c>
      <c r="C4167" s="3">
        <v>0.3543634259259259</v>
      </c>
      <c r="D4167" s="1">
        <v>12.906394</v>
      </c>
      <c r="E4167" s="1">
        <v>80.096404</v>
      </c>
      <c r="F4167" s="1">
        <v>2846.0</v>
      </c>
      <c r="G4167" s="1">
        <v>27.0</v>
      </c>
    </row>
    <row r="4168">
      <c r="A4168" s="1" t="s">
        <v>7</v>
      </c>
      <c r="B4168" s="2">
        <v>44723.0</v>
      </c>
      <c r="C4168" s="3">
        <v>0.3544675925925926</v>
      </c>
      <c r="D4168" s="1">
        <v>12.906394</v>
      </c>
      <c r="E4168" s="1">
        <v>80.096404</v>
      </c>
      <c r="F4168" s="1">
        <v>2846.0</v>
      </c>
      <c r="G4168" s="1">
        <v>27.0</v>
      </c>
    </row>
    <row r="4169">
      <c r="A4169" s="1" t="s">
        <v>8</v>
      </c>
      <c r="B4169" s="2">
        <v>44723.0</v>
      </c>
      <c r="C4169" s="3">
        <v>0.3551388888888889</v>
      </c>
      <c r="D4169" s="1">
        <v>12.904997</v>
      </c>
      <c r="E4169" s="1">
        <v>80.095367</v>
      </c>
      <c r="F4169" s="1">
        <v>2846.0</v>
      </c>
      <c r="G4169" s="1">
        <v>15.0</v>
      </c>
    </row>
    <row r="4170">
      <c r="A4170" s="1" t="s">
        <v>10</v>
      </c>
      <c r="B4170" s="2">
        <v>44723.0</v>
      </c>
      <c r="C4170" s="3">
        <v>0.38991898148148146</v>
      </c>
      <c r="D4170" s="1">
        <v>12.876152</v>
      </c>
      <c r="E4170" s="1">
        <v>80.083209</v>
      </c>
      <c r="F4170" s="1">
        <v>805.0</v>
      </c>
      <c r="G4170" s="1">
        <v>0.0</v>
      </c>
    </row>
    <row r="4171">
      <c r="A4171" s="1" t="s">
        <v>10</v>
      </c>
      <c r="B4171" s="2">
        <v>44723.0</v>
      </c>
      <c r="C4171" s="3">
        <v>0.3899768518518518</v>
      </c>
      <c r="D4171" s="1">
        <v>12.875882</v>
      </c>
      <c r="E4171" s="1">
        <v>80.083695</v>
      </c>
      <c r="F4171" s="1">
        <v>805.0</v>
      </c>
      <c r="G4171" s="1">
        <v>23.0</v>
      </c>
    </row>
    <row r="4172">
      <c r="A4172" s="1" t="s">
        <v>10</v>
      </c>
      <c r="B4172" s="2">
        <v>44723.0</v>
      </c>
      <c r="C4172" s="3">
        <v>0.6486111111111111</v>
      </c>
      <c r="D4172" s="1">
        <v>12.875328</v>
      </c>
      <c r="E4172" s="1">
        <v>80.0847</v>
      </c>
      <c r="F4172" s="1">
        <v>2846.0</v>
      </c>
      <c r="G4172" s="1">
        <v>0.0</v>
      </c>
    </row>
    <row r="4173">
      <c r="A4173" s="1" t="s">
        <v>10</v>
      </c>
      <c r="B4173" s="2">
        <v>44723.0</v>
      </c>
      <c r="C4173" s="3">
        <v>0.6582870370370371</v>
      </c>
      <c r="D4173" s="1">
        <v>12.873921</v>
      </c>
      <c r="E4173" s="1">
        <v>80.084804</v>
      </c>
      <c r="F4173" s="1">
        <v>805.0</v>
      </c>
      <c r="G4173" s="1">
        <v>4.0</v>
      </c>
    </row>
    <row r="4174">
      <c r="A4174" s="1" t="s">
        <v>10</v>
      </c>
      <c r="B4174" s="2">
        <v>44723.0</v>
      </c>
      <c r="C4174" s="3">
        <v>0.6584722222222222</v>
      </c>
      <c r="D4174" s="1">
        <v>12.874403</v>
      </c>
      <c r="E4174" s="1">
        <v>80.084298</v>
      </c>
      <c r="F4174" s="1">
        <v>805.0</v>
      </c>
      <c r="G4174" s="1">
        <v>6.0</v>
      </c>
    </row>
    <row r="4175">
      <c r="A4175" s="1" t="s">
        <v>10</v>
      </c>
      <c r="B4175" s="2">
        <v>44723.0</v>
      </c>
      <c r="C4175" s="3">
        <v>0.6585763888888889</v>
      </c>
      <c r="D4175" s="1">
        <v>12.874615</v>
      </c>
      <c r="E4175" s="1">
        <v>80.084408</v>
      </c>
      <c r="F4175" s="1">
        <v>805.0</v>
      </c>
      <c r="G4175" s="1">
        <v>18.0</v>
      </c>
    </row>
    <row r="4176">
      <c r="A4176" s="1" t="s">
        <v>10</v>
      </c>
      <c r="B4176" s="2">
        <v>44723.0</v>
      </c>
      <c r="C4176" s="3">
        <v>0.6586805555555556</v>
      </c>
      <c r="D4176" s="1">
        <v>12.875004</v>
      </c>
      <c r="E4176" s="1">
        <v>80.084621</v>
      </c>
      <c r="F4176" s="1">
        <v>805.0</v>
      </c>
      <c r="G4176" s="1">
        <v>15.0</v>
      </c>
    </row>
    <row r="4177">
      <c r="A4177" s="1" t="s">
        <v>10</v>
      </c>
      <c r="B4177" s="2">
        <v>44723.0</v>
      </c>
      <c r="C4177" s="3">
        <v>0.6587384259259259</v>
      </c>
      <c r="D4177" s="1">
        <v>12.875004</v>
      </c>
      <c r="E4177" s="1">
        <v>80.084621</v>
      </c>
      <c r="F4177" s="1">
        <v>805.0</v>
      </c>
      <c r="G4177" s="1">
        <v>15.0</v>
      </c>
    </row>
    <row r="4178">
      <c r="A4178" s="1" t="s">
        <v>10</v>
      </c>
      <c r="B4178" s="2">
        <v>44723.0</v>
      </c>
      <c r="C4178" s="3">
        <v>0.6894560185185186</v>
      </c>
      <c r="D4178" s="1">
        <v>12.877136</v>
      </c>
      <c r="E4178" s="1">
        <v>80.084572</v>
      </c>
      <c r="F4178" s="1">
        <v>2846.0</v>
      </c>
      <c r="G4178" s="1">
        <v>7.0</v>
      </c>
    </row>
    <row r="4179">
      <c r="A4179" s="1" t="s">
        <v>8</v>
      </c>
      <c r="B4179" s="2">
        <v>44723.0</v>
      </c>
      <c r="C4179" s="3">
        <v>0.6917592592592593</v>
      </c>
      <c r="D4179" s="1">
        <v>12.881364</v>
      </c>
      <c r="E4179" s="1">
        <v>80.080612</v>
      </c>
      <c r="F4179" s="1">
        <v>805.0</v>
      </c>
      <c r="G4179" s="1">
        <v>20.0</v>
      </c>
    </row>
    <row r="4180">
      <c r="A4180" s="1" t="s">
        <v>9</v>
      </c>
      <c r="B4180" s="2">
        <v>44723.0</v>
      </c>
      <c r="C4180" s="3">
        <v>0.6920023148148148</v>
      </c>
      <c r="D4180" s="1">
        <v>12.882738</v>
      </c>
      <c r="E4180" s="1">
        <v>80.081125</v>
      </c>
      <c r="F4180" s="1">
        <v>805.0</v>
      </c>
      <c r="G4180" s="1">
        <v>25.0</v>
      </c>
    </row>
    <row r="4181">
      <c r="A4181" s="1" t="s">
        <v>8</v>
      </c>
      <c r="B4181" s="2">
        <v>44723.0</v>
      </c>
      <c r="C4181" s="3">
        <v>0.6921412037037037</v>
      </c>
      <c r="D4181" s="1">
        <v>12.883457</v>
      </c>
      <c r="E4181" s="1">
        <v>80.081422</v>
      </c>
      <c r="F4181" s="1">
        <v>805.0</v>
      </c>
      <c r="G4181" s="1">
        <v>28.0</v>
      </c>
    </row>
    <row r="4182">
      <c r="A4182" s="1" t="s">
        <v>7</v>
      </c>
      <c r="B4182" s="2">
        <v>44723.0</v>
      </c>
      <c r="C4182" s="3">
        <v>0.6924305555555555</v>
      </c>
      <c r="D4182" s="1">
        <v>12.885807</v>
      </c>
      <c r="E4182" s="1">
        <v>80.082695</v>
      </c>
      <c r="F4182" s="1">
        <v>805.0</v>
      </c>
      <c r="G4182" s="1">
        <v>44.0</v>
      </c>
    </row>
    <row r="4183">
      <c r="A4183" s="1" t="s">
        <v>7</v>
      </c>
      <c r="B4183" s="2">
        <v>44723.0</v>
      </c>
      <c r="C4183" s="3">
        <v>0.6928587962962963</v>
      </c>
      <c r="D4183" s="1">
        <v>12.889775</v>
      </c>
      <c r="E4183" s="1">
        <v>80.084367</v>
      </c>
      <c r="F4183" s="1">
        <v>805.0</v>
      </c>
      <c r="G4183" s="1">
        <v>57.0</v>
      </c>
    </row>
    <row r="4184">
      <c r="A4184" s="1" t="s">
        <v>8</v>
      </c>
      <c r="B4184" s="2">
        <v>44723.0</v>
      </c>
      <c r="C4184" s="3">
        <v>0.6933796296296296</v>
      </c>
      <c r="D4184" s="1">
        <v>12.89587</v>
      </c>
      <c r="E4184" s="1">
        <v>80.088246</v>
      </c>
      <c r="F4184" s="1">
        <v>805.0</v>
      </c>
      <c r="G4184" s="1">
        <v>58.0</v>
      </c>
    </row>
    <row r="4185">
      <c r="A4185" s="1" t="s">
        <v>8</v>
      </c>
      <c r="B4185" s="2">
        <v>44723.0</v>
      </c>
      <c r="C4185" s="3">
        <v>0.693587962962963</v>
      </c>
      <c r="D4185" s="1">
        <v>12.898132</v>
      </c>
      <c r="E4185" s="1">
        <v>80.089925</v>
      </c>
      <c r="F4185" s="1">
        <v>805.0</v>
      </c>
      <c r="G4185" s="1">
        <v>47.0</v>
      </c>
    </row>
    <row r="4186">
      <c r="A4186" s="1" t="s">
        <v>7</v>
      </c>
      <c r="B4186" s="2">
        <v>44723.0</v>
      </c>
      <c r="C4186" s="3">
        <v>0.6936689814814815</v>
      </c>
      <c r="D4186" s="1">
        <v>12.898132</v>
      </c>
      <c r="E4186" s="1">
        <v>80.089925</v>
      </c>
      <c r="F4186" s="1">
        <v>805.0</v>
      </c>
      <c r="G4186" s="1">
        <v>47.0</v>
      </c>
    </row>
    <row r="4187">
      <c r="A4187" s="1" t="s">
        <v>8</v>
      </c>
      <c r="B4187" s="2">
        <v>44723.0</v>
      </c>
      <c r="C4187" s="3">
        <v>0.6944097222222222</v>
      </c>
      <c r="D4187" s="1">
        <v>12.903736</v>
      </c>
      <c r="E4187" s="1">
        <v>80.09412</v>
      </c>
      <c r="F4187" s="1">
        <v>805.0</v>
      </c>
      <c r="G4187" s="1">
        <v>32.0</v>
      </c>
    </row>
    <row r="4188">
      <c r="A4188" s="1" t="s">
        <v>8</v>
      </c>
      <c r="B4188" s="2">
        <v>44723.0</v>
      </c>
      <c r="C4188" s="3">
        <v>0.6945601851851851</v>
      </c>
      <c r="D4188" s="1">
        <v>12.883973</v>
      </c>
      <c r="E4188" s="1">
        <v>80.081702</v>
      </c>
      <c r="F4188" s="1">
        <v>2846.0</v>
      </c>
      <c r="G4188" s="1">
        <v>41.0</v>
      </c>
    </row>
    <row r="4189">
      <c r="A4189" s="1" t="s">
        <v>8</v>
      </c>
      <c r="B4189" s="2">
        <v>44723.0</v>
      </c>
      <c r="C4189" s="3">
        <v>0.6945833333333333</v>
      </c>
      <c r="D4189" s="1">
        <v>12.904534</v>
      </c>
      <c r="E4189" s="1">
        <v>80.094704</v>
      </c>
      <c r="F4189" s="1">
        <v>805.0</v>
      </c>
      <c r="G4189" s="1">
        <v>46.0</v>
      </c>
    </row>
    <row r="4190">
      <c r="A4190" s="1" t="s">
        <v>8</v>
      </c>
      <c r="B4190" s="2">
        <v>44723.0</v>
      </c>
      <c r="C4190" s="3">
        <v>0.6947222222222222</v>
      </c>
      <c r="D4190" s="1">
        <v>12.885661</v>
      </c>
      <c r="E4190" s="1">
        <v>80.082665</v>
      </c>
      <c r="F4190" s="1">
        <v>2846.0</v>
      </c>
      <c r="G4190" s="1">
        <v>37.0</v>
      </c>
    </row>
    <row r="4191">
      <c r="A4191" s="1" t="s">
        <v>8</v>
      </c>
      <c r="B4191" s="2">
        <v>44723.0</v>
      </c>
      <c r="C4191" s="3">
        <v>0.6949537037037037</v>
      </c>
      <c r="D4191" s="1">
        <v>12.888175</v>
      </c>
      <c r="E4191" s="1">
        <v>80.083733</v>
      </c>
      <c r="F4191" s="1">
        <v>2846.0</v>
      </c>
      <c r="G4191" s="1">
        <v>58.0</v>
      </c>
    </row>
    <row r="4192">
      <c r="A4192" s="1" t="s">
        <v>8</v>
      </c>
      <c r="B4192" s="2">
        <v>44723.0</v>
      </c>
      <c r="C4192" s="3">
        <v>0.6963310185185185</v>
      </c>
      <c r="D4192" s="1">
        <v>12.900409</v>
      </c>
      <c r="E4192" s="1">
        <v>80.091685</v>
      </c>
      <c r="F4192" s="1">
        <v>2846.0</v>
      </c>
      <c r="G4192" s="1">
        <v>57.0</v>
      </c>
    </row>
    <row r="4193">
      <c r="A4193" s="1" t="s">
        <v>9</v>
      </c>
      <c r="B4193" s="2">
        <v>44723.0</v>
      </c>
      <c r="C4193" s="3">
        <v>0.6967592592592593</v>
      </c>
      <c r="D4193" s="1">
        <v>12.909589</v>
      </c>
      <c r="E4193" s="1">
        <v>80.099308</v>
      </c>
      <c r="F4193" s="1">
        <v>805.0</v>
      </c>
      <c r="G4193" s="1">
        <v>38.0</v>
      </c>
    </row>
    <row r="4194">
      <c r="A4194" s="1" t="s">
        <v>8</v>
      </c>
      <c r="B4194" s="2">
        <v>44723.0</v>
      </c>
      <c r="C4194" s="3">
        <v>0.6969675925925926</v>
      </c>
      <c r="D4194" s="1">
        <v>12.904642</v>
      </c>
      <c r="E4194" s="1">
        <v>80.094784</v>
      </c>
      <c r="F4194" s="1">
        <v>2846.0</v>
      </c>
      <c r="G4194" s="1">
        <v>36.0</v>
      </c>
    </row>
    <row r="4195">
      <c r="A4195" s="1" t="s">
        <v>8</v>
      </c>
      <c r="B4195" s="2">
        <v>44723.0</v>
      </c>
      <c r="C4195" s="3">
        <v>0.6970601851851852</v>
      </c>
      <c r="D4195" s="1">
        <v>12.911802</v>
      </c>
      <c r="E4195" s="1">
        <v>80.101354</v>
      </c>
      <c r="F4195" s="1">
        <v>805.0</v>
      </c>
      <c r="G4195" s="1">
        <v>31.0</v>
      </c>
    </row>
    <row r="4196">
      <c r="A4196" s="1" t="s">
        <v>8</v>
      </c>
      <c r="B4196" s="2">
        <v>44723.0</v>
      </c>
      <c r="C4196" s="3">
        <v>0.6978472222222222</v>
      </c>
      <c r="D4196" s="1">
        <v>12.91657</v>
      </c>
      <c r="E4196" s="1">
        <v>80.106304</v>
      </c>
      <c r="F4196" s="1">
        <v>805.0</v>
      </c>
      <c r="G4196" s="1">
        <v>54.0</v>
      </c>
    </row>
    <row r="4197">
      <c r="A4197" s="1" t="s">
        <v>8</v>
      </c>
      <c r="B4197" s="2">
        <v>44723.0</v>
      </c>
      <c r="C4197" s="3">
        <v>0.6978472222222222</v>
      </c>
      <c r="D4197" s="1">
        <v>12.91657</v>
      </c>
      <c r="E4197" s="1">
        <v>80.106304</v>
      </c>
      <c r="F4197" s="1">
        <v>805.0</v>
      </c>
      <c r="G4197" s="1">
        <v>54.0</v>
      </c>
    </row>
    <row r="4198">
      <c r="A4198" s="1" t="s">
        <v>8</v>
      </c>
      <c r="B4198" s="2">
        <v>44723.0</v>
      </c>
      <c r="C4198" s="3">
        <v>0.6979861111111111</v>
      </c>
      <c r="D4198" s="1">
        <v>12.916998</v>
      </c>
      <c r="E4198" s="1">
        <v>80.107068</v>
      </c>
      <c r="F4198" s="1">
        <v>805.0</v>
      </c>
      <c r="G4198" s="1">
        <v>28.0</v>
      </c>
    </row>
    <row r="4199">
      <c r="A4199" s="1" t="s">
        <v>8</v>
      </c>
      <c r="B4199" s="2">
        <v>44723.0</v>
      </c>
      <c r="C4199" s="3">
        <v>0.6982291666666667</v>
      </c>
      <c r="D4199" s="1">
        <v>12.918674</v>
      </c>
      <c r="E4199" s="1">
        <v>80.109318</v>
      </c>
      <c r="F4199" s="1">
        <v>805.0</v>
      </c>
      <c r="G4199" s="1">
        <v>41.0</v>
      </c>
    </row>
    <row r="4200">
      <c r="A4200" s="1" t="s">
        <v>8</v>
      </c>
      <c r="B4200" s="2">
        <v>44723.0</v>
      </c>
      <c r="C4200" s="3">
        <v>0.6983101851851852</v>
      </c>
      <c r="D4200" s="1">
        <v>12.918674</v>
      </c>
      <c r="E4200" s="1">
        <v>80.109318</v>
      </c>
      <c r="F4200" s="1">
        <v>805.0</v>
      </c>
      <c r="G4200" s="1">
        <v>41.0</v>
      </c>
    </row>
    <row r="4201">
      <c r="A4201" s="1" t="s">
        <v>7</v>
      </c>
      <c r="B4201" s="2">
        <v>44723.0</v>
      </c>
      <c r="C4201" s="3">
        <v>0.6984490740740741</v>
      </c>
      <c r="D4201" s="1">
        <v>12.919231</v>
      </c>
      <c r="E4201" s="1">
        <v>80.110037</v>
      </c>
      <c r="F4201" s="1">
        <v>805.0</v>
      </c>
      <c r="G4201" s="1">
        <v>28.0</v>
      </c>
    </row>
    <row r="4202">
      <c r="A4202" s="1" t="s">
        <v>7</v>
      </c>
      <c r="B4202" s="2">
        <v>44723.0</v>
      </c>
      <c r="C4202" s="3">
        <v>0.6986226851851852</v>
      </c>
      <c r="D4202" s="1">
        <v>12.920722</v>
      </c>
      <c r="E4202" s="1">
        <v>80.11175</v>
      </c>
      <c r="F4202" s="1">
        <v>805.0</v>
      </c>
      <c r="G4202" s="1">
        <v>60.0</v>
      </c>
    </row>
    <row r="4203">
      <c r="A4203" s="1" t="s">
        <v>8</v>
      </c>
      <c r="B4203" s="2">
        <v>44723.0</v>
      </c>
      <c r="C4203" s="3">
        <v>0.6991087962962963</v>
      </c>
      <c r="D4203" s="1">
        <v>12.923549</v>
      </c>
      <c r="E4203" s="1">
        <v>80.114649</v>
      </c>
      <c r="F4203" s="1">
        <v>805.0</v>
      </c>
      <c r="G4203" s="1">
        <v>35.0</v>
      </c>
    </row>
    <row r="4204">
      <c r="A4204" s="1" t="s">
        <v>7</v>
      </c>
      <c r="B4204" s="2">
        <v>44723.0</v>
      </c>
      <c r="C4204" s="3">
        <v>0.6997916666666667</v>
      </c>
      <c r="D4204" s="1">
        <v>12.913034</v>
      </c>
      <c r="E4204" s="1">
        <v>80.101429</v>
      </c>
      <c r="F4204" s="1">
        <v>2846.0</v>
      </c>
      <c r="G4204" s="1">
        <v>39.0</v>
      </c>
    </row>
    <row r="4205">
      <c r="A4205" s="1" t="s">
        <v>7</v>
      </c>
      <c r="B4205" s="2">
        <v>44723.0</v>
      </c>
      <c r="C4205" s="3">
        <v>0.7003587962962963</v>
      </c>
      <c r="D4205" s="1">
        <v>12.919773</v>
      </c>
      <c r="E4205" s="1">
        <v>80.100962</v>
      </c>
      <c r="F4205" s="1">
        <v>2846.0</v>
      </c>
      <c r="G4205" s="1">
        <v>57.0</v>
      </c>
    </row>
    <row r="4206">
      <c r="A4206" s="1" t="s">
        <v>8</v>
      </c>
      <c r="B4206" s="2">
        <v>44723.0</v>
      </c>
      <c r="C4206" s="3">
        <v>0.7006365740740741</v>
      </c>
      <c r="D4206" s="1">
        <v>12.924385</v>
      </c>
      <c r="E4206" s="1">
        <v>80.10036</v>
      </c>
      <c r="F4206" s="1">
        <v>2846.0</v>
      </c>
      <c r="G4206" s="1">
        <v>57.0</v>
      </c>
    </row>
    <row r="4207">
      <c r="A4207" s="1" t="s">
        <v>7</v>
      </c>
      <c r="B4207" s="2">
        <v>44723.0</v>
      </c>
      <c r="C4207" s="3">
        <v>0.7007291666666666</v>
      </c>
      <c r="D4207" s="1">
        <v>12.924385</v>
      </c>
      <c r="E4207" s="1">
        <v>80.10036</v>
      </c>
      <c r="F4207" s="1">
        <v>2846.0</v>
      </c>
      <c r="G4207" s="1">
        <v>57.0</v>
      </c>
    </row>
    <row r="4208">
      <c r="A4208" s="1" t="s">
        <v>7</v>
      </c>
      <c r="B4208" s="2">
        <v>44723.0</v>
      </c>
      <c r="C4208" s="3">
        <v>0.7015393518518519</v>
      </c>
      <c r="D4208" s="1">
        <v>12.935387</v>
      </c>
      <c r="E4208" s="1">
        <v>80.099211</v>
      </c>
      <c r="F4208" s="1">
        <v>2846.0</v>
      </c>
      <c r="G4208" s="1">
        <v>58.0</v>
      </c>
    </row>
    <row r="4209">
      <c r="A4209" s="1" t="s">
        <v>8</v>
      </c>
      <c r="B4209" s="2">
        <v>44723.0</v>
      </c>
      <c r="C4209" s="3">
        <v>0.7015509259259259</v>
      </c>
      <c r="D4209" s="1">
        <v>12.929941</v>
      </c>
      <c r="E4209" s="1">
        <v>80.120903</v>
      </c>
      <c r="F4209" s="1">
        <v>805.0</v>
      </c>
      <c r="G4209" s="1">
        <v>0.0</v>
      </c>
    </row>
    <row r="4210">
      <c r="A4210" s="1" t="s">
        <v>8</v>
      </c>
      <c r="B4210" s="2">
        <v>44723.0</v>
      </c>
      <c r="C4210" s="3">
        <v>0.7016319444444444</v>
      </c>
      <c r="D4210" s="1">
        <v>12.930198</v>
      </c>
      <c r="E4210" s="1">
        <v>80.121219</v>
      </c>
      <c r="F4210" s="1">
        <v>805.0</v>
      </c>
      <c r="G4210" s="1">
        <v>24.0</v>
      </c>
    </row>
    <row r="4211">
      <c r="A4211" s="1" t="s">
        <v>8</v>
      </c>
      <c r="B4211" s="2">
        <v>44723.0</v>
      </c>
      <c r="C4211" s="3">
        <v>0.7021875</v>
      </c>
      <c r="D4211" s="1">
        <v>12.931688</v>
      </c>
      <c r="E4211" s="1">
        <v>80.122632</v>
      </c>
      <c r="F4211" s="1">
        <v>805.0</v>
      </c>
      <c r="G4211" s="1">
        <v>19.0</v>
      </c>
    </row>
    <row r="4212">
      <c r="A4212" s="1" t="s">
        <v>7</v>
      </c>
      <c r="B4212" s="2">
        <v>44723.0</v>
      </c>
      <c r="C4212" s="3">
        <v>0.7026967592592592</v>
      </c>
      <c r="D4212" s="1">
        <v>12.946199</v>
      </c>
      <c r="E4212" s="1">
        <v>80.106658</v>
      </c>
      <c r="F4212" s="1">
        <v>2846.0</v>
      </c>
      <c r="G4212" s="1">
        <v>57.0</v>
      </c>
    </row>
    <row r="4213">
      <c r="A4213" s="1" t="s">
        <v>7</v>
      </c>
      <c r="B4213" s="2">
        <v>44723.0</v>
      </c>
      <c r="C4213" s="3">
        <v>0.7028009259259259</v>
      </c>
      <c r="D4213" s="1">
        <v>12.946199</v>
      </c>
      <c r="E4213" s="1">
        <v>80.106658</v>
      </c>
      <c r="F4213" s="1">
        <v>2846.0</v>
      </c>
      <c r="G4213" s="1">
        <v>57.0</v>
      </c>
    </row>
    <row r="4214">
      <c r="A4214" s="1" t="s">
        <v>8</v>
      </c>
      <c r="B4214" s="2">
        <v>44723.0</v>
      </c>
      <c r="C4214" s="3">
        <v>0.7029513888888889</v>
      </c>
      <c r="D4214" s="1">
        <v>12.935753</v>
      </c>
      <c r="E4214" s="1">
        <v>80.126547</v>
      </c>
      <c r="F4214" s="1">
        <v>805.0</v>
      </c>
      <c r="G4214" s="1">
        <v>20.0</v>
      </c>
    </row>
    <row r="4215">
      <c r="A4215" s="1" t="s">
        <v>7</v>
      </c>
      <c r="B4215" s="2">
        <v>44723.0</v>
      </c>
      <c r="C4215" s="3">
        <v>0.703125</v>
      </c>
      <c r="D4215" s="1">
        <v>12.936313</v>
      </c>
      <c r="E4215" s="1">
        <v>80.127155</v>
      </c>
      <c r="F4215" s="1">
        <v>805.0</v>
      </c>
      <c r="G4215" s="1">
        <v>25.0</v>
      </c>
    </row>
    <row r="4216">
      <c r="A4216" s="1" t="s">
        <v>8</v>
      </c>
      <c r="B4216" s="2">
        <v>44723.0</v>
      </c>
      <c r="C4216" s="3">
        <v>0.7032407407407407</v>
      </c>
      <c r="D4216" s="1">
        <v>12.937342</v>
      </c>
      <c r="E4216" s="1">
        <v>80.128072</v>
      </c>
      <c r="F4216" s="1">
        <v>805.0</v>
      </c>
      <c r="G4216" s="1">
        <v>52.0</v>
      </c>
    </row>
    <row r="4217">
      <c r="A4217" s="1" t="s">
        <v>7</v>
      </c>
      <c r="B4217" s="2">
        <v>44723.0</v>
      </c>
      <c r="C4217" s="3">
        <v>0.7033449074074074</v>
      </c>
      <c r="D4217" s="1">
        <v>12.951255</v>
      </c>
      <c r="E4217" s="1">
        <v>80.113863</v>
      </c>
      <c r="F4217" s="1">
        <v>2846.0</v>
      </c>
      <c r="G4217" s="1">
        <v>57.0</v>
      </c>
    </row>
    <row r="4218">
      <c r="A4218" s="1" t="s">
        <v>7</v>
      </c>
      <c r="B4218" s="2">
        <v>44723.0</v>
      </c>
      <c r="C4218" s="3">
        <v>0.7035069444444444</v>
      </c>
      <c r="D4218" s="1">
        <v>12.951255</v>
      </c>
      <c r="E4218" s="1">
        <v>80.113863</v>
      </c>
      <c r="F4218" s="1">
        <v>2846.0</v>
      </c>
      <c r="G4218" s="1">
        <v>57.0</v>
      </c>
    </row>
    <row r="4219">
      <c r="A4219" s="1" t="s">
        <v>7</v>
      </c>
      <c r="B4219" s="2">
        <v>44723.0</v>
      </c>
      <c r="C4219" s="3">
        <v>0.7041203703703703</v>
      </c>
      <c r="D4219" s="1">
        <v>12.957394</v>
      </c>
      <c r="E4219" s="1">
        <v>80.119144</v>
      </c>
      <c r="F4219" s="1">
        <v>2846.0</v>
      </c>
      <c r="G4219" s="1">
        <v>57.0</v>
      </c>
    </row>
    <row r="4220">
      <c r="A4220" s="1" t="s">
        <v>7</v>
      </c>
      <c r="B4220" s="2">
        <v>44723.0</v>
      </c>
      <c r="C4220" s="3">
        <v>0.7041203703703703</v>
      </c>
      <c r="D4220" s="1">
        <v>12.942978</v>
      </c>
      <c r="E4220" s="1">
        <v>80.133516</v>
      </c>
      <c r="F4220" s="1">
        <v>805.0</v>
      </c>
      <c r="G4220" s="1">
        <v>13.0</v>
      </c>
    </row>
    <row r="4221">
      <c r="A4221" s="1" t="s">
        <v>7</v>
      </c>
      <c r="B4221" s="2">
        <v>44723.0</v>
      </c>
      <c r="C4221" s="3">
        <v>0.7043518518518519</v>
      </c>
      <c r="D4221" s="1">
        <v>12.943531</v>
      </c>
      <c r="E4221" s="1">
        <v>80.134113</v>
      </c>
      <c r="F4221" s="1">
        <v>805.0</v>
      </c>
      <c r="G4221" s="1">
        <v>36.0</v>
      </c>
    </row>
    <row r="4222">
      <c r="A4222" s="1" t="s">
        <v>7</v>
      </c>
      <c r="B4222" s="2">
        <v>44723.0</v>
      </c>
      <c r="C4222" s="3">
        <v>0.7045833333333333</v>
      </c>
      <c r="D4222" s="1">
        <v>12.945178</v>
      </c>
      <c r="E4222" s="1">
        <v>80.135422</v>
      </c>
      <c r="F4222" s="1">
        <v>805.0</v>
      </c>
      <c r="G4222" s="1">
        <v>61.0</v>
      </c>
    </row>
    <row r="4223">
      <c r="A4223" s="1" t="s">
        <v>8</v>
      </c>
      <c r="B4223" s="2">
        <v>44723.0</v>
      </c>
      <c r="C4223" s="3">
        <v>0.7052430555555556</v>
      </c>
      <c r="D4223" s="1">
        <v>12.950264</v>
      </c>
      <c r="E4223" s="1">
        <v>80.139242</v>
      </c>
      <c r="F4223" s="1">
        <v>805.0</v>
      </c>
      <c r="G4223" s="1">
        <v>0.0</v>
      </c>
    </row>
    <row r="4224">
      <c r="A4224" s="1" t="s">
        <v>7</v>
      </c>
      <c r="B4224" s="2">
        <v>44723.0</v>
      </c>
      <c r="C4224" s="3">
        <v>0.7054976851851852</v>
      </c>
      <c r="D4224" s="1">
        <v>12.975378</v>
      </c>
      <c r="E4224" s="1">
        <v>80.11936</v>
      </c>
      <c r="F4224" s="1">
        <v>2846.0</v>
      </c>
      <c r="G4224" s="1">
        <v>58.0</v>
      </c>
    </row>
    <row r="4225">
      <c r="A4225" s="1" t="s">
        <v>9</v>
      </c>
      <c r="B4225" s="2">
        <v>44723.0</v>
      </c>
      <c r="C4225" s="3">
        <v>0.7056944444444444</v>
      </c>
      <c r="D4225" s="1">
        <v>12.95158</v>
      </c>
      <c r="E4225" s="1">
        <v>80.140302</v>
      </c>
      <c r="F4225" s="1">
        <v>805.0</v>
      </c>
      <c r="G4225" s="1">
        <v>38.0</v>
      </c>
    </row>
    <row r="4226">
      <c r="A4226" s="1" t="s">
        <v>8</v>
      </c>
      <c r="B4226" s="2">
        <v>44723.0</v>
      </c>
      <c r="C4226" s="3">
        <v>0.7058449074074075</v>
      </c>
      <c r="D4226" s="1">
        <v>12.977628</v>
      </c>
      <c r="E4226" s="1">
        <v>80.119978</v>
      </c>
      <c r="F4226" s="1">
        <v>2846.0</v>
      </c>
      <c r="G4226" s="1">
        <v>57.0</v>
      </c>
    </row>
    <row r="4227">
      <c r="A4227" s="1" t="s">
        <v>7</v>
      </c>
      <c r="B4227" s="2">
        <v>44723.0</v>
      </c>
      <c r="C4227" s="3">
        <v>0.706099537037037</v>
      </c>
      <c r="D4227" s="1">
        <v>12.954475</v>
      </c>
      <c r="E4227" s="1">
        <v>80.142164</v>
      </c>
      <c r="F4227" s="1">
        <v>805.0</v>
      </c>
      <c r="G4227" s="1">
        <v>48.0</v>
      </c>
    </row>
    <row r="4228">
      <c r="A4228" s="1" t="s">
        <v>8</v>
      </c>
      <c r="B4228" s="2">
        <v>44723.0</v>
      </c>
      <c r="C4228" s="3">
        <v>0.7063078703703703</v>
      </c>
      <c r="D4228" s="1">
        <v>12.95593</v>
      </c>
      <c r="E4228" s="1">
        <v>80.142913</v>
      </c>
      <c r="F4228" s="1">
        <v>805.0</v>
      </c>
      <c r="G4228" s="1">
        <v>37.0</v>
      </c>
    </row>
    <row r="4229">
      <c r="A4229" s="1" t="s">
        <v>8</v>
      </c>
      <c r="B4229" s="2">
        <v>44723.0</v>
      </c>
      <c r="C4229" s="3">
        <v>0.7075925925925926</v>
      </c>
      <c r="D4229" s="1">
        <v>12.965002</v>
      </c>
      <c r="E4229" s="1">
        <v>80.147854</v>
      </c>
      <c r="F4229" s="1">
        <v>805.0</v>
      </c>
      <c r="G4229" s="1">
        <v>19.0</v>
      </c>
    </row>
    <row r="4230">
      <c r="A4230" s="1" t="s">
        <v>8</v>
      </c>
      <c r="B4230" s="2">
        <v>44723.0</v>
      </c>
      <c r="C4230" s="3">
        <v>0.7078587962962963</v>
      </c>
      <c r="D4230" s="1">
        <v>12.966127</v>
      </c>
      <c r="E4230" s="1">
        <v>80.148479</v>
      </c>
      <c r="F4230" s="1">
        <v>805.0</v>
      </c>
      <c r="G4230" s="1">
        <v>39.0</v>
      </c>
    </row>
    <row r="4231">
      <c r="A4231" s="1" t="s">
        <v>7</v>
      </c>
      <c r="B4231" s="2">
        <v>44723.0</v>
      </c>
      <c r="C4231" s="3">
        <v>0.708125</v>
      </c>
      <c r="D4231" s="1">
        <v>13.004894</v>
      </c>
      <c r="E4231" s="1">
        <v>80.127235</v>
      </c>
      <c r="F4231" s="1">
        <v>2846.0</v>
      </c>
      <c r="G4231" s="1">
        <v>58.0</v>
      </c>
    </row>
    <row r="4232">
      <c r="A4232" s="1" t="s">
        <v>7</v>
      </c>
      <c r="B4232" s="2">
        <v>44723.0</v>
      </c>
      <c r="C4232" s="3">
        <v>0.708287037037037</v>
      </c>
      <c r="D4232" s="1">
        <v>13.007224</v>
      </c>
      <c r="E4232" s="1">
        <v>80.127274</v>
      </c>
      <c r="F4232" s="1">
        <v>2846.0</v>
      </c>
      <c r="G4232" s="1">
        <v>58.0</v>
      </c>
    </row>
    <row r="4233">
      <c r="A4233" s="1" t="s">
        <v>8</v>
      </c>
      <c r="B4233" s="2">
        <v>44723.0</v>
      </c>
      <c r="C4233" s="3">
        <v>0.7083217592592592</v>
      </c>
      <c r="D4233" s="1">
        <v>12.971032</v>
      </c>
      <c r="E4233" s="1">
        <v>80.1508</v>
      </c>
      <c r="F4233" s="1">
        <v>805.0</v>
      </c>
      <c r="G4233" s="1">
        <v>53.0</v>
      </c>
    </row>
    <row r="4234">
      <c r="A4234" s="1" t="s">
        <v>8</v>
      </c>
      <c r="B4234" s="2">
        <v>44723.0</v>
      </c>
      <c r="C4234" s="3">
        <v>0.7085300925925926</v>
      </c>
      <c r="D4234" s="1">
        <v>12.971032</v>
      </c>
      <c r="E4234" s="1">
        <v>80.1508</v>
      </c>
      <c r="F4234" s="1">
        <v>805.0</v>
      </c>
      <c r="G4234" s="1">
        <v>53.0</v>
      </c>
    </row>
    <row r="4235">
      <c r="A4235" s="1" t="s">
        <v>8</v>
      </c>
      <c r="B4235" s="2">
        <v>44723.0</v>
      </c>
      <c r="C4235" s="3">
        <v>0.7087731481481482</v>
      </c>
      <c r="D4235" s="1">
        <v>12.974101</v>
      </c>
      <c r="E4235" s="1">
        <v>80.154248</v>
      </c>
      <c r="F4235" s="1">
        <v>805.0</v>
      </c>
      <c r="G4235" s="1">
        <v>60.0</v>
      </c>
    </row>
    <row r="4236">
      <c r="A4236" s="1" t="s">
        <v>7</v>
      </c>
      <c r="B4236" s="2">
        <v>44723.0</v>
      </c>
      <c r="C4236" s="3">
        <v>0.7088194444444444</v>
      </c>
      <c r="D4236" s="1">
        <v>13.013715</v>
      </c>
      <c r="E4236" s="1">
        <v>80.128362</v>
      </c>
      <c r="F4236" s="1">
        <v>2846.0</v>
      </c>
      <c r="G4236" s="1">
        <v>57.0</v>
      </c>
    </row>
    <row r="4237">
      <c r="A4237" s="1" t="s">
        <v>8</v>
      </c>
      <c r="B4237" s="2">
        <v>44723.0</v>
      </c>
      <c r="C4237" s="3">
        <v>0.7092476851851852</v>
      </c>
      <c r="D4237" s="1">
        <v>12.977629</v>
      </c>
      <c r="E4237" s="1">
        <v>80.159452</v>
      </c>
      <c r="F4237" s="1">
        <v>805.0</v>
      </c>
      <c r="G4237" s="1">
        <v>53.0</v>
      </c>
    </row>
    <row r="4238">
      <c r="A4238" s="1" t="s">
        <v>8</v>
      </c>
      <c r="B4238" s="2">
        <v>44723.0</v>
      </c>
      <c r="C4238" s="3">
        <v>0.7093171296296297</v>
      </c>
      <c r="D4238" s="1">
        <v>12.977629</v>
      </c>
      <c r="E4238" s="1">
        <v>80.159452</v>
      </c>
      <c r="F4238" s="1">
        <v>805.0</v>
      </c>
      <c r="G4238" s="1">
        <v>53.0</v>
      </c>
    </row>
    <row r="4239">
      <c r="A4239" s="1" t="s">
        <v>7</v>
      </c>
      <c r="B4239" s="2">
        <v>44723.0</v>
      </c>
      <c r="C4239" s="3">
        <v>0.7102662037037037</v>
      </c>
      <c r="D4239" s="1">
        <v>13.025262</v>
      </c>
      <c r="E4239" s="1">
        <v>80.142185</v>
      </c>
      <c r="F4239" s="1">
        <v>2846.0</v>
      </c>
      <c r="G4239" s="1">
        <v>58.0</v>
      </c>
    </row>
    <row r="4240">
      <c r="A4240" s="1" t="s">
        <v>7</v>
      </c>
      <c r="B4240" s="2">
        <v>44723.0</v>
      </c>
      <c r="C4240" s="3">
        <v>0.7108217592592593</v>
      </c>
      <c r="D4240" s="1">
        <v>13.029647</v>
      </c>
      <c r="E4240" s="1">
        <v>80.147188</v>
      </c>
      <c r="F4240" s="1">
        <v>2846.0</v>
      </c>
      <c r="G4240" s="1">
        <v>57.0</v>
      </c>
    </row>
    <row r="4241">
      <c r="A4241" s="1" t="s">
        <v>8</v>
      </c>
      <c r="B4241" s="2">
        <v>44723.0</v>
      </c>
      <c r="C4241" s="3">
        <v>0.7108564814814815</v>
      </c>
      <c r="D4241" s="1">
        <v>12.985647</v>
      </c>
      <c r="E4241" s="1">
        <v>80.173439</v>
      </c>
      <c r="F4241" s="1">
        <v>805.0</v>
      </c>
      <c r="G4241" s="1">
        <v>4.0</v>
      </c>
    </row>
    <row r="4242">
      <c r="A4242" s="1" t="s">
        <v>8</v>
      </c>
      <c r="B4242" s="2">
        <v>44723.0</v>
      </c>
      <c r="C4242" s="3">
        <v>0.7108564814814815</v>
      </c>
      <c r="D4242" s="1">
        <v>12.985647</v>
      </c>
      <c r="E4242" s="1">
        <v>80.173439</v>
      </c>
      <c r="F4242" s="1">
        <v>805.0</v>
      </c>
      <c r="G4242" s="1">
        <v>4.0</v>
      </c>
    </row>
    <row r="4243">
      <c r="A4243" s="1" t="s">
        <v>7</v>
      </c>
      <c r="B4243" s="2">
        <v>44723.0</v>
      </c>
      <c r="C4243" s="3">
        <v>0.7139699074074074</v>
      </c>
      <c r="D4243" s="1">
        <v>12.993441</v>
      </c>
      <c r="E4243" s="1">
        <v>80.184407</v>
      </c>
      <c r="F4243" s="1">
        <v>805.0</v>
      </c>
      <c r="G4243" s="1">
        <v>16.0</v>
      </c>
    </row>
    <row r="4244">
      <c r="A4244" s="1" t="s">
        <v>7</v>
      </c>
      <c r="B4244" s="2">
        <v>44723.0</v>
      </c>
      <c r="C4244" s="3">
        <v>0.7140625</v>
      </c>
      <c r="D4244" s="1">
        <v>12.993608</v>
      </c>
      <c r="E4244" s="1">
        <v>80.18466</v>
      </c>
      <c r="F4244" s="1">
        <v>805.0</v>
      </c>
      <c r="G4244" s="1">
        <v>10.0</v>
      </c>
    </row>
    <row r="4245">
      <c r="A4245" s="1" t="s">
        <v>8</v>
      </c>
      <c r="B4245" s="2">
        <v>44723.0</v>
      </c>
      <c r="C4245" s="3">
        <v>0.7147106481481481</v>
      </c>
      <c r="D4245" s="1">
        <v>12.995735</v>
      </c>
      <c r="E4245" s="1">
        <v>80.188692</v>
      </c>
      <c r="F4245" s="1">
        <v>805.0</v>
      </c>
      <c r="G4245" s="1">
        <v>56.0</v>
      </c>
    </row>
    <row r="4246">
      <c r="A4246" s="1" t="s">
        <v>8</v>
      </c>
      <c r="B4246" s="2">
        <v>44723.0</v>
      </c>
      <c r="C4246" s="3">
        <v>0.7148726851851852</v>
      </c>
      <c r="D4246" s="1">
        <v>12.997191</v>
      </c>
      <c r="E4246" s="1">
        <v>80.190558</v>
      </c>
      <c r="F4246" s="1">
        <v>805.0</v>
      </c>
      <c r="G4246" s="1">
        <v>56.0</v>
      </c>
    </row>
    <row r="4247">
      <c r="A4247" s="1" t="s">
        <v>8</v>
      </c>
      <c r="B4247" s="2">
        <v>44723.0</v>
      </c>
      <c r="C4247" s="3">
        <v>0.7150810185185185</v>
      </c>
      <c r="D4247" s="1">
        <v>12.998345</v>
      </c>
      <c r="E4247" s="1">
        <v>80.191994</v>
      </c>
      <c r="F4247" s="1">
        <v>805.0</v>
      </c>
      <c r="G4247" s="1">
        <v>0.0</v>
      </c>
    </row>
    <row r="4248">
      <c r="A4248" s="1" t="s">
        <v>8</v>
      </c>
      <c r="B4248" s="2">
        <v>44723.0</v>
      </c>
      <c r="C4248" s="3">
        <v>0.7154513888888889</v>
      </c>
      <c r="D4248" s="1">
        <v>12.999719</v>
      </c>
      <c r="E4248" s="1">
        <v>80.193728</v>
      </c>
      <c r="F4248" s="1">
        <v>805.0</v>
      </c>
      <c r="G4248" s="1">
        <v>35.0</v>
      </c>
    </row>
    <row r="4249">
      <c r="A4249" s="1" t="s">
        <v>8</v>
      </c>
      <c r="B4249" s="2">
        <v>44723.0</v>
      </c>
      <c r="C4249" s="3">
        <v>0.7155092592592592</v>
      </c>
      <c r="D4249" s="1">
        <v>12.999719</v>
      </c>
      <c r="E4249" s="1">
        <v>80.193728</v>
      </c>
      <c r="F4249" s="1">
        <v>805.0</v>
      </c>
      <c r="G4249" s="1">
        <v>35.0</v>
      </c>
    </row>
    <row r="4250">
      <c r="A4250" s="1" t="s">
        <v>8</v>
      </c>
      <c r="B4250" s="2">
        <v>44723.0</v>
      </c>
      <c r="C4250" s="3">
        <v>0.7155902777777777</v>
      </c>
      <c r="D4250" s="1">
        <v>13.057666</v>
      </c>
      <c r="E4250" s="1">
        <v>80.160016</v>
      </c>
      <c r="F4250" s="1">
        <v>2846.0</v>
      </c>
      <c r="G4250" s="1">
        <v>57.0</v>
      </c>
    </row>
    <row r="4251">
      <c r="A4251" s="1" t="s">
        <v>8</v>
      </c>
      <c r="B4251" s="2">
        <v>44723.0</v>
      </c>
      <c r="C4251" s="3">
        <v>0.7157986111111111</v>
      </c>
      <c r="D4251" s="1">
        <v>13.001589</v>
      </c>
      <c r="E4251" s="1">
        <v>80.196029</v>
      </c>
      <c r="F4251" s="1">
        <v>805.0</v>
      </c>
      <c r="G4251" s="1">
        <v>28.0</v>
      </c>
    </row>
    <row r="4252">
      <c r="A4252" s="1" t="s">
        <v>8</v>
      </c>
      <c r="B4252" s="2">
        <v>44723.0</v>
      </c>
      <c r="C4252" s="3">
        <v>0.7159375</v>
      </c>
      <c r="D4252" s="1">
        <v>13.002059</v>
      </c>
      <c r="E4252" s="1">
        <v>80.197677</v>
      </c>
      <c r="F4252" s="1">
        <v>805.0</v>
      </c>
      <c r="G4252" s="1">
        <v>43.0</v>
      </c>
    </row>
    <row r="4253">
      <c r="A4253" s="1" t="s">
        <v>8</v>
      </c>
      <c r="B4253" s="2">
        <v>44723.0</v>
      </c>
      <c r="C4253" s="3">
        <v>0.7160763888888889</v>
      </c>
      <c r="D4253" s="1">
        <v>13.002059</v>
      </c>
      <c r="E4253" s="1">
        <v>80.197677</v>
      </c>
      <c r="F4253" s="1">
        <v>805.0</v>
      </c>
      <c r="G4253" s="1">
        <v>43.0</v>
      </c>
    </row>
    <row r="4254">
      <c r="A4254" s="1" t="s">
        <v>8</v>
      </c>
      <c r="B4254" s="2">
        <v>44723.0</v>
      </c>
      <c r="C4254" s="3">
        <v>0.7161921296296296</v>
      </c>
      <c r="D4254" s="1">
        <v>13.064315</v>
      </c>
      <c r="E4254" s="1">
        <v>80.160985</v>
      </c>
      <c r="F4254" s="1">
        <v>2846.0</v>
      </c>
      <c r="G4254" s="1">
        <v>52.0</v>
      </c>
    </row>
    <row r="4255">
      <c r="A4255" s="1" t="s">
        <v>8</v>
      </c>
      <c r="B4255" s="2">
        <v>44723.0</v>
      </c>
      <c r="C4255" s="3">
        <v>0.7162384259259259</v>
      </c>
      <c r="D4255" s="1">
        <v>13.001814</v>
      </c>
      <c r="E4255" s="1">
        <v>80.199541</v>
      </c>
      <c r="F4255" s="1">
        <v>805.0</v>
      </c>
      <c r="G4255" s="1">
        <v>44.0</v>
      </c>
    </row>
    <row r="4256">
      <c r="A4256" s="1" t="s">
        <v>7</v>
      </c>
      <c r="B4256" s="2">
        <v>44723.0</v>
      </c>
      <c r="C4256" s="3">
        <v>0.7165856481481482</v>
      </c>
      <c r="D4256" s="1">
        <v>13.068518</v>
      </c>
      <c r="E4256" s="1">
        <v>80.160944</v>
      </c>
      <c r="F4256" s="1">
        <v>2846.0</v>
      </c>
      <c r="G4256" s="1">
        <v>52.0</v>
      </c>
    </row>
    <row r="4257">
      <c r="A4257" s="1" t="s">
        <v>8</v>
      </c>
      <c r="B4257" s="2">
        <v>44723.0</v>
      </c>
      <c r="C4257" s="3">
        <v>0.7167939814814814</v>
      </c>
      <c r="D4257" s="1">
        <v>13.068518</v>
      </c>
      <c r="E4257" s="1">
        <v>80.160944</v>
      </c>
      <c r="F4257" s="1">
        <v>2846.0</v>
      </c>
      <c r="G4257" s="1">
        <v>52.0</v>
      </c>
    </row>
    <row r="4258">
      <c r="A4258" s="1" t="s">
        <v>7</v>
      </c>
      <c r="B4258" s="2">
        <v>44723.0</v>
      </c>
      <c r="C4258" s="3">
        <v>0.716875</v>
      </c>
      <c r="D4258" s="1">
        <v>13.006854</v>
      </c>
      <c r="E4258" s="1">
        <v>80.203416</v>
      </c>
      <c r="F4258" s="1">
        <v>805.0</v>
      </c>
      <c r="G4258" s="1">
        <v>47.0</v>
      </c>
    </row>
    <row r="4259">
      <c r="A4259" s="1" t="s">
        <v>8</v>
      </c>
      <c r="B4259" s="2">
        <v>44723.0</v>
      </c>
      <c r="C4259" s="3">
        <v>0.7171759259259259</v>
      </c>
      <c r="D4259" s="1">
        <v>13.008208</v>
      </c>
      <c r="E4259" s="1">
        <v>80.203652</v>
      </c>
      <c r="F4259" s="1">
        <v>805.0</v>
      </c>
      <c r="G4259" s="1">
        <v>27.0</v>
      </c>
    </row>
    <row r="4260">
      <c r="A4260" s="1" t="s">
        <v>8</v>
      </c>
      <c r="B4260" s="2">
        <v>44723.0</v>
      </c>
      <c r="C4260" s="3">
        <v>0.7175925925925926</v>
      </c>
      <c r="D4260" s="1">
        <v>13.007644</v>
      </c>
      <c r="E4260" s="1">
        <v>80.204757</v>
      </c>
      <c r="F4260" s="1">
        <v>805.0</v>
      </c>
      <c r="G4260" s="1">
        <v>61.0</v>
      </c>
    </row>
    <row r="4261">
      <c r="A4261" s="1" t="s">
        <v>8</v>
      </c>
      <c r="B4261" s="2">
        <v>44723.0</v>
      </c>
      <c r="C4261" s="3">
        <v>0.7176157407407407</v>
      </c>
      <c r="D4261" s="1">
        <v>13.007798</v>
      </c>
      <c r="E4261" s="1">
        <v>80.206822</v>
      </c>
      <c r="F4261" s="1">
        <v>805.0</v>
      </c>
      <c r="G4261" s="1">
        <v>42.0</v>
      </c>
    </row>
    <row r="4262">
      <c r="A4262" s="1" t="s">
        <v>8</v>
      </c>
      <c r="B4262" s="2">
        <v>44723.0</v>
      </c>
      <c r="C4262" s="3">
        <v>0.7177893518518519</v>
      </c>
      <c r="D4262" s="1">
        <v>13.007798</v>
      </c>
      <c r="E4262" s="1">
        <v>80.206822</v>
      </c>
      <c r="F4262" s="1">
        <v>805.0</v>
      </c>
      <c r="G4262" s="1">
        <v>42.0</v>
      </c>
    </row>
    <row r="4263">
      <c r="A4263" s="1" t="s">
        <v>8</v>
      </c>
      <c r="B4263" s="2">
        <v>44723.0</v>
      </c>
      <c r="C4263" s="3">
        <v>0.7177893518518519</v>
      </c>
      <c r="D4263" s="1">
        <v>13.007798</v>
      </c>
      <c r="E4263" s="1">
        <v>80.206822</v>
      </c>
      <c r="F4263" s="1">
        <v>805.0</v>
      </c>
      <c r="G4263" s="1">
        <v>42.0</v>
      </c>
    </row>
    <row r="4264">
      <c r="A4264" s="1" t="s">
        <v>9</v>
      </c>
      <c r="B4264" s="2">
        <v>44723.0</v>
      </c>
      <c r="C4264" s="3">
        <v>0.7179398148148148</v>
      </c>
      <c r="D4264" s="1">
        <v>13.008016</v>
      </c>
      <c r="E4264" s="1">
        <v>80.208437</v>
      </c>
      <c r="F4264" s="1">
        <v>805.0</v>
      </c>
      <c r="G4264" s="1">
        <v>43.0</v>
      </c>
    </row>
    <row r="4265">
      <c r="A4265" s="1" t="s">
        <v>8</v>
      </c>
      <c r="B4265" s="2">
        <v>44723.0</v>
      </c>
      <c r="C4265" s="3">
        <v>0.7184722222222222</v>
      </c>
      <c r="D4265" s="1">
        <v>13.009432</v>
      </c>
      <c r="E4265" s="1">
        <v>80.212898</v>
      </c>
      <c r="F4265" s="1">
        <v>805.0</v>
      </c>
      <c r="G4265" s="1">
        <v>28.0</v>
      </c>
    </row>
    <row r="4266">
      <c r="A4266" s="1" t="s">
        <v>8</v>
      </c>
      <c r="B4266" s="2">
        <v>44723.0</v>
      </c>
      <c r="C4266" s="3">
        <v>0.7196296296296296</v>
      </c>
      <c r="D4266" s="1">
        <v>13.012226</v>
      </c>
      <c r="E4266" s="1">
        <v>80.220667</v>
      </c>
      <c r="F4266" s="1">
        <v>805.0</v>
      </c>
      <c r="G4266" s="1">
        <v>0.0</v>
      </c>
    </row>
    <row r="4267">
      <c r="A4267" s="1" t="s">
        <v>8</v>
      </c>
      <c r="B4267" s="2">
        <v>44723.0</v>
      </c>
      <c r="C4267" s="3">
        <v>0.7208564814814815</v>
      </c>
      <c r="D4267" s="1">
        <v>13.051527</v>
      </c>
      <c r="E4267" s="1">
        <v>80.089552</v>
      </c>
      <c r="F4267" s="1">
        <v>5339.0</v>
      </c>
      <c r="G4267" s="1">
        <v>41.0</v>
      </c>
    </row>
    <row r="4268">
      <c r="A4268" s="1" t="s">
        <v>8</v>
      </c>
      <c r="B4268" s="2">
        <v>44723.0</v>
      </c>
      <c r="C4268" s="3">
        <v>0.7208680555555556</v>
      </c>
      <c r="D4268" s="1">
        <v>13.091147</v>
      </c>
      <c r="E4268" s="1">
        <v>80.161413</v>
      </c>
      <c r="F4268" s="1">
        <v>2846.0</v>
      </c>
      <c r="G4268" s="1">
        <v>0.0</v>
      </c>
    </row>
    <row r="4269">
      <c r="A4269" s="1" t="s">
        <v>8</v>
      </c>
      <c r="B4269" s="2">
        <v>44723.0</v>
      </c>
      <c r="C4269" s="3">
        <v>0.7209375</v>
      </c>
      <c r="D4269" s="1">
        <v>13.015412</v>
      </c>
      <c r="E4269" s="1">
        <v>80.225403</v>
      </c>
      <c r="F4269" s="1">
        <v>805.0</v>
      </c>
      <c r="G4269" s="1">
        <v>19.0</v>
      </c>
    </row>
    <row r="4270">
      <c r="A4270" s="1" t="s">
        <v>8</v>
      </c>
      <c r="B4270" s="2">
        <v>44723.0</v>
      </c>
      <c r="C4270" s="3">
        <v>0.7209375</v>
      </c>
      <c r="D4270" s="1">
        <v>13.015412</v>
      </c>
      <c r="E4270" s="1">
        <v>80.225403</v>
      </c>
      <c r="F4270" s="1">
        <v>805.0</v>
      </c>
      <c r="G4270" s="1">
        <v>19.0</v>
      </c>
    </row>
    <row r="4271">
      <c r="A4271" s="1" t="s">
        <v>8</v>
      </c>
      <c r="B4271" s="2">
        <v>44723.0</v>
      </c>
      <c r="C4271" s="3">
        <v>0.7209722222222222</v>
      </c>
      <c r="D4271" s="1">
        <v>13.015412</v>
      </c>
      <c r="E4271" s="1">
        <v>80.225403</v>
      </c>
      <c r="F4271" s="1">
        <v>805.0</v>
      </c>
      <c r="G4271" s="1">
        <v>19.0</v>
      </c>
    </row>
    <row r="4272">
      <c r="A4272" s="1" t="s">
        <v>8</v>
      </c>
      <c r="B4272" s="2">
        <v>44723.0</v>
      </c>
      <c r="C4272" s="3">
        <v>0.7210532407407407</v>
      </c>
      <c r="D4272" s="1">
        <v>13.015331</v>
      </c>
      <c r="E4272" s="1">
        <v>80.225674</v>
      </c>
      <c r="F4272" s="1">
        <v>805.0</v>
      </c>
      <c r="G4272" s="1">
        <v>0.0</v>
      </c>
    </row>
    <row r="4273">
      <c r="A4273" s="1" t="s">
        <v>8</v>
      </c>
      <c r="B4273" s="2">
        <v>44723.0</v>
      </c>
      <c r="C4273" s="3">
        <v>0.7211226851851852</v>
      </c>
      <c r="D4273" s="1">
        <v>13.049534</v>
      </c>
      <c r="E4273" s="1">
        <v>80.088396</v>
      </c>
      <c r="F4273" s="1">
        <v>5339.0</v>
      </c>
      <c r="G4273" s="1">
        <v>47.0</v>
      </c>
    </row>
    <row r="4274">
      <c r="A4274" s="1" t="s">
        <v>8</v>
      </c>
      <c r="B4274" s="2">
        <v>44723.0</v>
      </c>
      <c r="C4274" s="3">
        <v>0.7214467592592593</v>
      </c>
      <c r="D4274" s="1">
        <v>13.089824</v>
      </c>
      <c r="E4274" s="1">
        <v>80.161438</v>
      </c>
      <c r="F4274" s="1">
        <v>2846.0</v>
      </c>
      <c r="G4274" s="1">
        <v>33.0</v>
      </c>
    </row>
    <row r="4275">
      <c r="A4275" s="1" t="s">
        <v>8</v>
      </c>
      <c r="B4275" s="2">
        <v>44723.0</v>
      </c>
      <c r="C4275" s="3">
        <v>0.7249305555555555</v>
      </c>
      <c r="D4275" s="1">
        <v>13.088627</v>
      </c>
      <c r="E4275" s="1">
        <v>80.171314</v>
      </c>
      <c r="F4275" s="1">
        <v>2846.0</v>
      </c>
      <c r="G4275" s="1">
        <v>31.0</v>
      </c>
    </row>
    <row r="4276">
      <c r="A4276" s="1" t="s">
        <v>8</v>
      </c>
      <c r="B4276" s="2">
        <v>44723.0</v>
      </c>
      <c r="C4276" s="3">
        <v>0.7255671296296297</v>
      </c>
      <c r="D4276" s="1">
        <v>13.019227</v>
      </c>
      <c r="E4276" s="1">
        <v>80.094536</v>
      </c>
      <c r="F4276" s="1">
        <v>5339.0</v>
      </c>
      <c r="G4276" s="1">
        <v>40.0</v>
      </c>
    </row>
    <row r="4277">
      <c r="A4277" s="1" t="s">
        <v>8</v>
      </c>
      <c r="B4277" s="2">
        <v>44723.0</v>
      </c>
      <c r="C4277" s="3">
        <v>0.7256597222222222</v>
      </c>
      <c r="D4277" s="1">
        <v>13.017601</v>
      </c>
      <c r="E4277" s="1">
        <v>80.095025</v>
      </c>
      <c r="F4277" s="1">
        <v>5339.0</v>
      </c>
      <c r="G4277" s="1">
        <v>41.0</v>
      </c>
    </row>
    <row r="4278">
      <c r="A4278" s="1" t="s">
        <v>8</v>
      </c>
      <c r="B4278" s="2">
        <v>44723.0</v>
      </c>
      <c r="C4278" s="3">
        <v>0.7256828703703704</v>
      </c>
      <c r="D4278" s="1">
        <v>13.017601</v>
      </c>
      <c r="E4278" s="1">
        <v>80.095025</v>
      </c>
      <c r="F4278" s="1">
        <v>5339.0</v>
      </c>
      <c r="G4278" s="1">
        <v>41.0</v>
      </c>
    </row>
    <row r="4279">
      <c r="A4279" s="1" t="s">
        <v>8</v>
      </c>
      <c r="B4279" s="2">
        <v>44723.0</v>
      </c>
      <c r="C4279" s="3">
        <v>0.7257175925925926</v>
      </c>
      <c r="D4279" s="1">
        <v>13.017601</v>
      </c>
      <c r="E4279" s="1">
        <v>80.095025</v>
      </c>
      <c r="F4279" s="1">
        <v>5339.0</v>
      </c>
      <c r="G4279" s="1">
        <v>41.0</v>
      </c>
    </row>
    <row r="4280">
      <c r="A4280" s="1" t="s">
        <v>8</v>
      </c>
      <c r="B4280" s="2">
        <v>44723.0</v>
      </c>
      <c r="C4280" s="3">
        <v>0.7263078703703704</v>
      </c>
      <c r="D4280" s="1">
        <v>13.007329</v>
      </c>
      <c r="E4280" s="1">
        <v>80.237957</v>
      </c>
      <c r="F4280" s="1">
        <v>805.0</v>
      </c>
      <c r="G4280" s="1">
        <v>12.0</v>
      </c>
    </row>
    <row r="4281">
      <c r="A4281" s="1" t="s">
        <v>8</v>
      </c>
      <c r="B4281" s="2">
        <v>44723.0</v>
      </c>
      <c r="C4281" s="3">
        <v>0.7265856481481482</v>
      </c>
      <c r="D4281" s="1">
        <v>13.007223</v>
      </c>
      <c r="E4281" s="1">
        <v>80.238333</v>
      </c>
      <c r="F4281" s="1">
        <v>805.0</v>
      </c>
      <c r="G4281" s="1">
        <v>6.0</v>
      </c>
    </row>
    <row r="4282">
      <c r="A4282" s="1" t="s">
        <v>8</v>
      </c>
      <c r="B4282" s="2">
        <v>44723.0</v>
      </c>
      <c r="C4282" s="3">
        <v>0.7266782407407407</v>
      </c>
      <c r="D4282" s="1">
        <v>13.007223</v>
      </c>
      <c r="E4282" s="1">
        <v>80.238333</v>
      </c>
      <c r="F4282" s="1">
        <v>805.0</v>
      </c>
      <c r="G4282" s="1">
        <v>6.0</v>
      </c>
    </row>
    <row r="4283">
      <c r="A4283" s="1" t="s">
        <v>8</v>
      </c>
      <c r="B4283" s="2">
        <v>44723.0</v>
      </c>
      <c r="C4283" s="3">
        <v>0.7266782407407407</v>
      </c>
      <c r="D4283" s="1">
        <v>13.007223</v>
      </c>
      <c r="E4283" s="1">
        <v>80.238333</v>
      </c>
      <c r="F4283" s="1">
        <v>805.0</v>
      </c>
      <c r="G4283" s="1">
        <v>6.0</v>
      </c>
    </row>
    <row r="4284">
      <c r="A4284" s="1" t="s">
        <v>8</v>
      </c>
      <c r="B4284" s="2">
        <v>44723.0</v>
      </c>
      <c r="C4284" s="3">
        <v>0.7267361111111111</v>
      </c>
      <c r="D4284" s="1">
        <v>13.08828</v>
      </c>
      <c r="E4284" s="1">
        <v>80.17963</v>
      </c>
      <c r="F4284" s="1">
        <v>2846.0</v>
      </c>
      <c r="G4284" s="1">
        <v>14.0</v>
      </c>
    </row>
    <row r="4285">
      <c r="A4285" s="1" t="s">
        <v>8</v>
      </c>
      <c r="B4285" s="2">
        <v>44723.0</v>
      </c>
      <c r="C4285" s="3">
        <v>0.7286458333333333</v>
      </c>
      <c r="D4285" s="1">
        <v>13.006773</v>
      </c>
      <c r="E4285" s="1">
        <v>80.247857</v>
      </c>
      <c r="F4285" s="1">
        <v>805.0</v>
      </c>
      <c r="G4285" s="1">
        <v>0.0</v>
      </c>
    </row>
    <row r="4286">
      <c r="A4286" s="1" t="s">
        <v>8</v>
      </c>
      <c r="B4286" s="2">
        <v>44723.0</v>
      </c>
      <c r="C4286" s="3">
        <v>0.7286689814814815</v>
      </c>
      <c r="D4286" s="1">
        <v>13.006773</v>
      </c>
      <c r="E4286" s="1">
        <v>80.247857</v>
      </c>
      <c r="F4286" s="1">
        <v>805.0</v>
      </c>
      <c r="G4286" s="1">
        <v>0.0</v>
      </c>
    </row>
    <row r="4287">
      <c r="A4287" s="1" t="s">
        <v>8</v>
      </c>
      <c r="B4287" s="2">
        <v>44723.0</v>
      </c>
      <c r="C4287" s="3">
        <v>0.7289467592592592</v>
      </c>
      <c r="D4287" s="1">
        <v>13.087884</v>
      </c>
      <c r="E4287" s="1">
        <v>80.188836</v>
      </c>
      <c r="F4287" s="1">
        <v>2846.0</v>
      </c>
      <c r="G4287" s="1">
        <v>0.0</v>
      </c>
    </row>
    <row r="4288">
      <c r="A4288" s="1" t="s">
        <v>8</v>
      </c>
      <c r="B4288" s="2">
        <v>44723.0</v>
      </c>
      <c r="C4288" s="3">
        <v>0.7289699074074074</v>
      </c>
      <c r="D4288" s="1">
        <v>13.006817</v>
      </c>
      <c r="E4288" s="1">
        <v>80.249262</v>
      </c>
      <c r="F4288" s="1">
        <v>805.0</v>
      </c>
      <c r="G4288" s="1">
        <v>52.0</v>
      </c>
    </row>
    <row r="4289">
      <c r="A4289" s="1" t="s">
        <v>8</v>
      </c>
      <c r="B4289" s="2">
        <v>44723.0</v>
      </c>
      <c r="C4289" s="3">
        <v>0.7289930555555556</v>
      </c>
      <c r="D4289" s="1">
        <v>13.006817</v>
      </c>
      <c r="E4289" s="1">
        <v>80.249262</v>
      </c>
      <c r="F4289" s="1">
        <v>805.0</v>
      </c>
      <c r="G4289" s="1">
        <v>52.0</v>
      </c>
    </row>
    <row r="4290">
      <c r="A4290" s="1" t="s">
        <v>7</v>
      </c>
      <c r="B4290" s="2">
        <v>44723.0</v>
      </c>
      <c r="C4290" s="3">
        <v>0.7291087962962963</v>
      </c>
      <c r="D4290" s="1">
        <v>13.006817</v>
      </c>
      <c r="E4290" s="1">
        <v>80.249262</v>
      </c>
      <c r="F4290" s="1">
        <v>805.0</v>
      </c>
      <c r="G4290" s="1">
        <v>52.0</v>
      </c>
    </row>
    <row r="4291">
      <c r="A4291" s="1" t="s">
        <v>7</v>
      </c>
      <c r="B4291" s="2">
        <v>44723.0</v>
      </c>
      <c r="C4291" s="3">
        <v>0.7292939814814815</v>
      </c>
      <c r="D4291" s="1">
        <v>12.974574</v>
      </c>
      <c r="E4291" s="1">
        <v>80.090023</v>
      </c>
      <c r="F4291" s="1">
        <v>5339.0</v>
      </c>
      <c r="G4291" s="1">
        <v>52.0</v>
      </c>
    </row>
    <row r="4292">
      <c r="A4292" s="1" t="s">
        <v>7</v>
      </c>
      <c r="B4292" s="2">
        <v>44723.0</v>
      </c>
      <c r="C4292" s="3">
        <v>0.7296990740740741</v>
      </c>
      <c r="D4292" s="1">
        <v>12.970081</v>
      </c>
      <c r="E4292" s="1">
        <v>80.090165</v>
      </c>
      <c r="F4292" s="1">
        <v>5339.0</v>
      </c>
      <c r="G4292" s="1">
        <v>59.0</v>
      </c>
    </row>
    <row r="4293">
      <c r="A4293" s="1" t="s">
        <v>8</v>
      </c>
      <c r="B4293" s="2">
        <v>44723.0</v>
      </c>
      <c r="C4293" s="3">
        <v>0.731087962962963</v>
      </c>
      <c r="D4293" s="1">
        <v>13.00846</v>
      </c>
      <c r="E4293" s="1">
        <v>80.258887</v>
      </c>
      <c r="F4293" s="1">
        <v>805.0</v>
      </c>
      <c r="G4293" s="1">
        <v>7.0</v>
      </c>
    </row>
    <row r="4294">
      <c r="A4294" s="1" t="s">
        <v>7</v>
      </c>
      <c r="B4294" s="2">
        <v>44723.0</v>
      </c>
      <c r="C4294" s="3">
        <v>0.7311458333333334</v>
      </c>
      <c r="D4294" s="1">
        <v>13.00846</v>
      </c>
      <c r="E4294" s="1">
        <v>80.258887</v>
      </c>
      <c r="F4294" s="1">
        <v>805.0</v>
      </c>
      <c r="G4294" s="1">
        <v>7.0</v>
      </c>
    </row>
    <row r="4295">
      <c r="A4295" s="1" t="s">
        <v>8</v>
      </c>
      <c r="B4295" s="2">
        <v>44723.0</v>
      </c>
      <c r="C4295" s="3">
        <v>0.7313657407407408</v>
      </c>
      <c r="D4295" s="1">
        <v>13.009218</v>
      </c>
      <c r="E4295" s="1">
        <v>80.259031</v>
      </c>
      <c r="F4295" s="1">
        <v>805.0</v>
      </c>
      <c r="G4295" s="1">
        <v>26.0</v>
      </c>
    </row>
    <row r="4296">
      <c r="A4296" s="1" t="s">
        <v>8</v>
      </c>
      <c r="B4296" s="2">
        <v>44723.0</v>
      </c>
      <c r="C4296" s="3">
        <v>0.7314583333333333</v>
      </c>
      <c r="D4296" s="1">
        <v>13.009218</v>
      </c>
      <c r="E4296" s="1">
        <v>80.259031</v>
      </c>
      <c r="F4296" s="1">
        <v>805.0</v>
      </c>
      <c r="G4296" s="1">
        <v>26.0</v>
      </c>
    </row>
    <row r="4297">
      <c r="A4297" s="1" t="s">
        <v>8</v>
      </c>
      <c r="B4297" s="2">
        <v>44723.0</v>
      </c>
      <c r="C4297" s="3">
        <v>0.7316782407407407</v>
      </c>
      <c r="D4297" s="1">
        <v>13.010886</v>
      </c>
      <c r="E4297" s="1">
        <v>80.25908</v>
      </c>
      <c r="F4297" s="1">
        <v>805.0</v>
      </c>
      <c r="G4297" s="1">
        <v>53.0</v>
      </c>
    </row>
    <row r="4298">
      <c r="A4298" s="1" t="s">
        <v>7</v>
      </c>
      <c r="B4298" s="2">
        <v>44723.0</v>
      </c>
      <c r="C4298" s="3">
        <v>0.7324768518518519</v>
      </c>
      <c r="D4298" s="1">
        <v>12.936181</v>
      </c>
      <c r="E4298" s="1">
        <v>80.082471</v>
      </c>
      <c r="F4298" s="1">
        <v>5339.0</v>
      </c>
      <c r="G4298" s="1">
        <v>59.0</v>
      </c>
    </row>
    <row r="4299">
      <c r="A4299" s="1" t="s">
        <v>8</v>
      </c>
      <c r="B4299" s="2">
        <v>44723.0</v>
      </c>
      <c r="C4299" s="3">
        <v>0.7335763888888889</v>
      </c>
      <c r="D4299" s="1">
        <v>13.085338</v>
      </c>
      <c r="E4299" s="1">
        <v>80.200331</v>
      </c>
      <c r="F4299" s="1">
        <v>2846.0</v>
      </c>
      <c r="G4299" s="1">
        <v>11.0</v>
      </c>
    </row>
    <row r="4300">
      <c r="A4300" s="1" t="s">
        <v>8</v>
      </c>
      <c r="B4300" s="2">
        <v>44723.0</v>
      </c>
      <c r="C4300" s="3">
        <v>0.7335763888888889</v>
      </c>
      <c r="D4300" s="1">
        <v>13.085338</v>
      </c>
      <c r="E4300" s="1">
        <v>80.200331</v>
      </c>
      <c r="F4300" s="1">
        <v>2846.0</v>
      </c>
      <c r="G4300" s="1">
        <v>11.0</v>
      </c>
    </row>
    <row r="4301">
      <c r="A4301" s="1" t="s">
        <v>8</v>
      </c>
      <c r="B4301" s="2">
        <v>44723.0</v>
      </c>
      <c r="C4301" s="3">
        <v>0.7335879629629629</v>
      </c>
      <c r="D4301" s="1">
        <v>13.085296</v>
      </c>
      <c r="E4301" s="1">
        <v>80.201246</v>
      </c>
      <c r="F4301" s="1">
        <v>2846.0</v>
      </c>
      <c r="G4301" s="1">
        <v>30.0</v>
      </c>
    </row>
    <row r="4302">
      <c r="A4302" s="1" t="s">
        <v>8</v>
      </c>
      <c r="B4302" s="2">
        <v>44723.0</v>
      </c>
      <c r="C4302" s="3">
        <v>0.734386574074074</v>
      </c>
      <c r="D4302" s="1">
        <v>13.020025</v>
      </c>
      <c r="E4302" s="1">
        <v>80.262408</v>
      </c>
      <c r="F4302" s="1">
        <v>805.0</v>
      </c>
      <c r="G4302" s="1">
        <v>14.0</v>
      </c>
    </row>
    <row r="4303">
      <c r="A4303" s="1" t="s">
        <v>7</v>
      </c>
      <c r="B4303" s="2">
        <v>44723.0</v>
      </c>
      <c r="C4303" s="3">
        <v>0.7354861111111111</v>
      </c>
      <c r="D4303" s="1">
        <v>12.911641</v>
      </c>
      <c r="E4303" s="1">
        <v>80.074163</v>
      </c>
      <c r="F4303" s="1">
        <v>5339.0</v>
      </c>
      <c r="G4303" s="1">
        <v>58.0</v>
      </c>
    </row>
    <row r="4304">
      <c r="A4304" s="1" t="s">
        <v>8</v>
      </c>
      <c r="B4304" s="2">
        <v>44723.0</v>
      </c>
      <c r="C4304" s="3">
        <v>0.7355324074074074</v>
      </c>
      <c r="D4304" s="1">
        <v>12.911641</v>
      </c>
      <c r="E4304" s="1">
        <v>80.074163</v>
      </c>
      <c r="F4304" s="1">
        <v>5339.0</v>
      </c>
      <c r="G4304" s="1">
        <v>58.0</v>
      </c>
    </row>
    <row r="4305">
      <c r="A4305" s="1" t="s">
        <v>10</v>
      </c>
      <c r="B4305" s="2">
        <v>44723.0</v>
      </c>
      <c r="C4305" s="3">
        <v>0.7357523148148148</v>
      </c>
      <c r="D4305" s="1">
        <v>13.026126</v>
      </c>
      <c r="E4305" s="1">
        <v>80.265736</v>
      </c>
      <c r="F4305" s="1">
        <v>805.0</v>
      </c>
      <c r="G4305" s="1">
        <v>14.0</v>
      </c>
    </row>
    <row r="4306">
      <c r="A4306" s="1" t="s">
        <v>7</v>
      </c>
      <c r="B4306" s="2">
        <v>44723.0</v>
      </c>
      <c r="C4306" s="3">
        <v>0.736099537037037</v>
      </c>
      <c r="D4306" s="1">
        <v>12.916064</v>
      </c>
      <c r="E4306" s="1">
        <v>80.075611</v>
      </c>
      <c r="F4306" s="1">
        <v>5339.0</v>
      </c>
      <c r="G4306" s="1">
        <v>58.0</v>
      </c>
    </row>
    <row r="4307">
      <c r="A4307" s="1" t="s">
        <v>7</v>
      </c>
      <c r="B4307" s="2">
        <v>44723.0</v>
      </c>
      <c r="C4307" s="3">
        <v>0.7365625</v>
      </c>
      <c r="D4307" s="1">
        <v>12.900845</v>
      </c>
      <c r="E4307" s="1">
        <v>80.071046</v>
      </c>
      <c r="F4307" s="1">
        <v>5339.0</v>
      </c>
      <c r="G4307" s="1">
        <v>58.0</v>
      </c>
    </row>
    <row r="4308">
      <c r="A4308" s="1" t="s">
        <v>7</v>
      </c>
      <c r="B4308" s="2">
        <v>44723.0</v>
      </c>
      <c r="C4308" s="3">
        <v>0.7366782407407407</v>
      </c>
      <c r="D4308" s="1">
        <v>12.898522</v>
      </c>
      <c r="E4308" s="1">
        <v>80.070702</v>
      </c>
      <c r="F4308" s="1">
        <v>5339.0</v>
      </c>
      <c r="G4308" s="1">
        <v>57.0</v>
      </c>
    </row>
    <row r="4309">
      <c r="A4309" s="1" t="s">
        <v>7</v>
      </c>
      <c r="B4309" s="2">
        <v>44723.0</v>
      </c>
      <c r="C4309" s="3">
        <v>0.7368287037037037</v>
      </c>
      <c r="D4309" s="1">
        <v>12.896038</v>
      </c>
      <c r="E4309" s="1">
        <v>80.070744</v>
      </c>
      <c r="F4309" s="1">
        <v>5339.0</v>
      </c>
      <c r="G4309" s="1">
        <v>58.0</v>
      </c>
    </row>
    <row r="4310">
      <c r="A4310" s="1" t="s">
        <v>7</v>
      </c>
      <c r="B4310" s="2">
        <v>44723.0</v>
      </c>
      <c r="C4310" s="3">
        <v>0.7374074074074074</v>
      </c>
      <c r="D4310" s="1">
        <v>12.889427</v>
      </c>
      <c r="E4310" s="1">
        <v>80.072135</v>
      </c>
      <c r="F4310" s="1">
        <v>5339.0</v>
      </c>
      <c r="G4310" s="1">
        <v>57.0</v>
      </c>
    </row>
    <row r="4311">
      <c r="A4311" s="1" t="s">
        <v>7</v>
      </c>
      <c r="B4311" s="2">
        <v>44723.0</v>
      </c>
      <c r="C4311" s="3">
        <v>0.7376041666666666</v>
      </c>
      <c r="D4311" s="1">
        <v>12.887965</v>
      </c>
      <c r="E4311" s="1">
        <v>80.073954</v>
      </c>
      <c r="F4311" s="1">
        <v>5339.0</v>
      </c>
      <c r="G4311" s="1">
        <v>57.0</v>
      </c>
    </row>
    <row r="4312">
      <c r="A4312" s="1" t="s">
        <v>8</v>
      </c>
      <c r="B4312" s="2">
        <v>44723.0</v>
      </c>
      <c r="C4312" s="3">
        <v>0.7378356481481482</v>
      </c>
      <c r="D4312" s="1">
        <v>13.084898</v>
      </c>
      <c r="E4312" s="1">
        <v>80.212822</v>
      </c>
      <c r="F4312" s="1">
        <v>2846.0</v>
      </c>
      <c r="G4312" s="1">
        <v>0.0</v>
      </c>
    </row>
    <row r="4313">
      <c r="A4313" s="1" t="s">
        <v>8</v>
      </c>
      <c r="B4313" s="2">
        <v>44723.0</v>
      </c>
      <c r="C4313" s="3">
        <v>0.7382060185185185</v>
      </c>
      <c r="D4313" s="1">
        <v>12.885789</v>
      </c>
      <c r="E4313" s="1">
        <v>80.080547</v>
      </c>
      <c r="F4313" s="1">
        <v>5339.0</v>
      </c>
      <c r="G4313" s="1">
        <v>52.0</v>
      </c>
    </row>
    <row r="4314">
      <c r="A4314" s="1" t="s">
        <v>10</v>
      </c>
      <c r="B4314" s="2">
        <v>44723.0</v>
      </c>
      <c r="C4314" s="3">
        <v>0.738900462962963</v>
      </c>
      <c r="D4314" s="1">
        <v>13.031213</v>
      </c>
      <c r="E4314" s="1">
        <v>80.266836</v>
      </c>
      <c r="F4314" s="1">
        <v>805.0</v>
      </c>
      <c r="G4314" s="1">
        <v>0.0</v>
      </c>
    </row>
    <row r="4315">
      <c r="A4315" s="1" t="s">
        <v>10</v>
      </c>
      <c r="B4315" s="2">
        <v>44723.0</v>
      </c>
      <c r="C4315" s="3">
        <v>0.7429050925925926</v>
      </c>
      <c r="D4315" s="1">
        <v>13.039192</v>
      </c>
      <c r="E4315" s="1">
        <v>80.267673</v>
      </c>
      <c r="F4315" s="1">
        <v>805.0</v>
      </c>
      <c r="G4315" s="1">
        <v>11.0</v>
      </c>
    </row>
    <row r="4316">
      <c r="A4316" s="1" t="s">
        <v>10</v>
      </c>
      <c r="B4316" s="2">
        <v>44723.0</v>
      </c>
      <c r="C4316" s="3">
        <v>0.7436921296296296</v>
      </c>
      <c r="D4316" s="1">
        <v>13.040107</v>
      </c>
      <c r="E4316" s="1">
        <v>80.267904</v>
      </c>
      <c r="F4316" s="1">
        <v>805.0</v>
      </c>
      <c r="G4316" s="1">
        <v>11.0</v>
      </c>
    </row>
    <row r="4317">
      <c r="A4317" s="1" t="s">
        <v>10</v>
      </c>
      <c r="B4317" s="2">
        <v>44723.0</v>
      </c>
      <c r="C4317" s="3">
        <v>0.7440046296296297</v>
      </c>
      <c r="D4317" s="1">
        <v>13.042992</v>
      </c>
      <c r="E4317" s="1">
        <v>80.267732</v>
      </c>
      <c r="F4317" s="1">
        <v>805.0</v>
      </c>
      <c r="G4317" s="1">
        <v>33.0</v>
      </c>
    </row>
    <row r="4318">
      <c r="A4318" s="1" t="s">
        <v>10</v>
      </c>
      <c r="B4318" s="2">
        <v>44723.0</v>
      </c>
      <c r="C4318" s="3">
        <v>0.744988425925926</v>
      </c>
      <c r="D4318" s="1">
        <v>13.048093</v>
      </c>
      <c r="E4318" s="1">
        <v>80.2659</v>
      </c>
      <c r="F4318" s="1">
        <v>805.0</v>
      </c>
      <c r="G4318" s="1">
        <v>7.0</v>
      </c>
    </row>
    <row r="4319">
      <c r="A4319" s="1" t="s">
        <v>10</v>
      </c>
      <c r="B4319" s="2">
        <v>44723.0</v>
      </c>
      <c r="C4319" s="3">
        <v>0.7464004629629629</v>
      </c>
      <c r="D4319" s="1">
        <v>13.05192</v>
      </c>
      <c r="E4319" s="1">
        <v>80.263806</v>
      </c>
      <c r="F4319" s="1">
        <v>805.0</v>
      </c>
      <c r="G4319" s="1">
        <v>0.0</v>
      </c>
    </row>
    <row r="4320">
      <c r="A4320" s="1" t="s">
        <v>8</v>
      </c>
      <c r="B4320" s="2">
        <v>44723.0</v>
      </c>
      <c r="C4320" s="3">
        <v>0.747337962962963</v>
      </c>
      <c r="D4320" s="1">
        <v>13.054211</v>
      </c>
      <c r="E4320" s="1">
        <v>80.26399</v>
      </c>
      <c r="F4320" s="1">
        <v>805.0</v>
      </c>
      <c r="G4320" s="1">
        <v>20.0</v>
      </c>
    </row>
    <row r="4321">
      <c r="A4321" s="1" t="s">
        <v>8</v>
      </c>
      <c r="B4321" s="2">
        <v>44723.0</v>
      </c>
      <c r="C4321" s="3">
        <v>0.7499074074074074</v>
      </c>
      <c r="D4321" s="1">
        <v>13.084979</v>
      </c>
      <c r="E4321" s="1">
        <v>80.218049</v>
      </c>
      <c r="F4321" s="1">
        <v>2846.0</v>
      </c>
      <c r="G4321" s="1">
        <v>0.0</v>
      </c>
    </row>
    <row r="4322">
      <c r="A4322" s="1" t="s">
        <v>8</v>
      </c>
      <c r="B4322" s="2">
        <v>44723.0</v>
      </c>
      <c r="C4322" s="3">
        <v>0.7534027777777778</v>
      </c>
      <c r="D4322" s="1">
        <v>13.082205</v>
      </c>
      <c r="E4322" s="1">
        <v>80.215621</v>
      </c>
      <c r="F4322" s="1">
        <v>2846.0</v>
      </c>
      <c r="G4322" s="1">
        <v>3.0</v>
      </c>
    </row>
    <row r="4323">
      <c r="A4323" s="1" t="s">
        <v>8</v>
      </c>
      <c r="B4323" s="2">
        <v>44723.0</v>
      </c>
      <c r="C4323" s="3">
        <v>0.7558796296296296</v>
      </c>
      <c r="D4323" s="1">
        <v>13.082407</v>
      </c>
      <c r="E4323" s="1">
        <v>80.2098</v>
      </c>
      <c r="F4323" s="1">
        <v>2846.0</v>
      </c>
      <c r="G4323" s="1">
        <v>0.0</v>
      </c>
    </row>
    <row r="4324">
      <c r="A4324" s="1" t="s">
        <v>10</v>
      </c>
      <c r="B4324" s="2">
        <v>44723.0</v>
      </c>
      <c r="C4324" s="3">
        <v>0.7571875</v>
      </c>
      <c r="D4324" s="1">
        <v>13.070562</v>
      </c>
      <c r="E4324" s="1">
        <v>80.258124</v>
      </c>
      <c r="F4324" s="1">
        <v>805.0</v>
      </c>
      <c r="G4324" s="1">
        <v>37.0</v>
      </c>
    </row>
    <row r="4325">
      <c r="A4325" s="1" t="s">
        <v>8</v>
      </c>
      <c r="B4325" s="2">
        <v>44723.0</v>
      </c>
      <c r="C4325" s="3">
        <v>0.7592939814814815</v>
      </c>
      <c r="D4325" s="1">
        <v>13.079859</v>
      </c>
      <c r="E4325" s="1">
        <v>80.198798</v>
      </c>
      <c r="F4325" s="1">
        <v>2846.0</v>
      </c>
      <c r="G4325" s="1">
        <v>9.0</v>
      </c>
    </row>
    <row r="4326">
      <c r="A4326" s="1" t="s">
        <v>8</v>
      </c>
      <c r="B4326" s="2">
        <v>44723.0</v>
      </c>
      <c r="C4326" s="3">
        <v>0.7594675925925926</v>
      </c>
      <c r="D4326" s="1">
        <v>13.067463</v>
      </c>
      <c r="E4326" s="1">
        <v>80.250284</v>
      </c>
      <c r="F4326" s="1">
        <v>805.0</v>
      </c>
      <c r="G4326" s="1">
        <v>25.0</v>
      </c>
    </row>
    <row r="4327">
      <c r="A4327" s="1" t="s">
        <v>8</v>
      </c>
      <c r="B4327" s="2">
        <v>44723.0</v>
      </c>
      <c r="C4327" s="3">
        <v>0.7594907407407407</v>
      </c>
      <c r="D4327" s="1">
        <v>13.067613</v>
      </c>
      <c r="E4327" s="1">
        <v>80.24942</v>
      </c>
      <c r="F4327" s="1">
        <v>805.0</v>
      </c>
      <c r="G4327" s="1">
        <v>16.0</v>
      </c>
    </row>
    <row r="4328">
      <c r="A4328" s="1" t="s">
        <v>8</v>
      </c>
      <c r="B4328" s="2">
        <v>44723.0</v>
      </c>
      <c r="C4328" s="3">
        <v>0.7595601851851852</v>
      </c>
      <c r="D4328" s="1">
        <v>13.067613</v>
      </c>
      <c r="E4328" s="1">
        <v>80.24942</v>
      </c>
      <c r="F4328" s="1">
        <v>805.0</v>
      </c>
      <c r="G4328" s="1">
        <v>16.0</v>
      </c>
    </row>
    <row r="4329">
      <c r="A4329" s="1" t="s">
        <v>8</v>
      </c>
      <c r="B4329" s="2">
        <v>44723.0</v>
      </c>
      <c r="C4329" s="3">
        <v>0.7600578703703704</v>
      </c>
      <c r="D4329" s="1">
        <v>13.076581</v>
      </c>
      <c r="E4329" s="1">
        <v>80.199172</v>
      </c>
      <c r="F4329" s="1">
        <v>2846.0</v>
      </c>
      <c r="G4329" s="1">
        <v>37.0</v>
      </c>
    </row>
    <row r="4330">
      <c r="A4330" s="1" t="s">
        <v>8</v>
      </c>
      <c r="B4330" s="2">
        <v>44723.0</v>
      </c>
      <c r="C4330" s="3">
        <v>0.7600694444444445</v>
      </c>
      <c r="D4330" s="1">
        <v>13.076581</v>
      </c>
      <c r="E4330" s="1">
        <v>80.199172</v>
      </c>
      <c r="F4330" s="1">
        <v>2846.0</v>
      </c>
      <c r="G4330" s="1">
        <v>37.0</v>
      </c>
    </row>
    <row r="4331">
      <c r="A4331" s="1" t="s">
        <v>8</v>
      </c>
      <c r="B4331" s="2">
        <v>44723.0</v>
      </c>
      <c r="C4331" s="3">
        <v>0.7603703703703704</v>
      </c>
      <c r="D4331" s="1">
        <v>13.075158</v>
      </c>
      <c r="E4331" s="1">
        <v>80.199658</v>
      </c>
      <c r="F4331" s="1">
        <v>2846.0</v>
      </c>
      <c r="G4331" s="1">
        <v>34.0</v>
      </c>
    </row>
    <row r="4332">
      <c r="A4332" s="1" t="s">
        <v>10</v>
      </c>
      <c r="B4332" s="2">
        <v>44723.0</v>
      </c>
      <c r="C4332" s="3">
        <v>0.760613425925926</v>
      </c>
      <c r="D4332" s="1">
        <v>13.064395</v>
      </c>
      <c r="E4332" s="1">
        <v>80.248194</v>
      </c>
      <c r="F4332" s="1">
        <v>805.0</v>
      </c>
      <c r="G4332" s="1">
        <v>21.0</v>
      </c>
    </row>
    <row r="4333">
      <c r="A4333" s="1" t="s">
        <v>8</v>
      </c>
      <c r="B4333" s="2">
        <v>44723.0</v>
      </c>
      <c r="C4333" s="3">
        <v>0.7613425925925926</v>
      </c>
      <c r="D4333" s="1">
        <v>13.074554</v>
      </c>
      <c r="E4333" s="1">
        <v>80.194871</v>
      </c>
      <c r="F4333" s="1">
        <v>2846.0</v>
      </c>
      <c r="G4333" s="1">
        <v>9.0</v>
      </c>
    </row>
    <row r="4334">
      <c r="A4334" s="1" t="s">
        <v>8</v>
      </c>
      <c r="B4334" s="2">
        <v>44723.0</v>
      </c>
      <c r="C4334" s="3">
        <v>0.7613657407407407</v>
      </c>
      <c r="D4334" s="1">
        <v>13.074554</v>
      </c>
      <c r="E4334" s="1">
        <v>80.194871</v>
      </c>
      <c r="F4334" s="1">
        <v>2846.0</v>
      </c>
      <c r="G4334" s="1">
        <v>9.0</v>
      </c>
    </row>
    <row r="4335">
      <c r="A4335" s="1" t="s">
        <v>8</v>
      </c>
      <c r="B4335" s="2">
        <v>44723.0</v>
      </c>
      <c r="C4335" s="3">
        <v>0.7622106481481481</v>
      </c>
      <c r="D4335" s="1">
        <v>13.073995</v>
      </c>
      <c r="E4335" s="1">
        <v>80.191015</v>
      </c>
      <c r="F4335" s="1">
        <v>2846.0</v>
      </c>
      <c r="G4335" s="1">
        <v>28.0</v>
      </c>
    </row>
    <row r="4336">
      <c r="A4336" s="1" t="s">
        <v>8</v>
      </c>
      <c r="B4336" s="2">
        <v>44723.0</v>
      </c>
      <c r="C4336" s="3">
        <v>0.7625694444444444</v>
      </c>
      <c r="D4336" s="1">
        <v>13.072616</v>
      </c>
      <c r="E4336" s="1">
        <v>80.18905</v>
      </c>
      <c r="F4336" s="1">
        <v>2846.0</v>
      </c>
      <c r="G4336" s="1">
        <v>30.0</v>
      </c>
    </row>
    <row r="4337">
      <c r="A4337" s="1" t="s">
        <v>8</v>
      </c>
      <c r="B4337" s="2">
        <v>44723.0</v>
      </c>
      <c r="C4337" s="3">
        <v>0.7638773148148148</v>
      </c>
      <c r="D4337" s="1">
        <v>13.070285</v>
      </c>
      <c r="E4337" s="1">
        <v>80.182469</v>
      </c>
      <c r="F4337" s="1">
        <v>2846.0</v>
      </c>
      <c r="G4337" s="1">
        <v>19.0</v>
      </c>
    </row>
    <row r="4338">
      <c r="A4338" s="1" t="s">
        <v>8</v>
      </c>
      <c r="B4338" s="2">
        <v>44723.0</v>
      </c>
      <c r="C4338" s="3">
        <v>0.7659606481481481</v>
      </c>
      <c r="D4338" s="1">
        <v>13.066351</v>
      </c>
      <c r="E4338" s="1">
        <v>80.174496</v>
      </c>
      <c r="F4338" s="1">
        <v>2846.0</v>
      </c>
      <c r="G4338" s="1">
        <v>30.0</v>
      </c>
    </row>
    <row r="4339">
      <c r="A4339" s="1" t="s">
        <v>8</v>
      </c>
      <c r="B4339" s="2">
        <v>44723.0</v>
      </c>
      <c r="C4339" s="3">
        <v>0.772824074074074</v>
      </c>
      <c r="D4339" s="1">
        <v>13.060428</v>
      </c>
      <c r="E4339" s="1">
        <v>80.16227</v>
      </c>
      <c r="F4339" s="1">
        <v>2846.0</v>
      </c>
      <c r="G4339" s="1">
        <v>30.0</v>
      </c>
    </row>
    <row r="4340">
      <c r="A4340" s="1" t="s">
        <v>8</v>
      </c>
      <c r="B4340" s="2">
        <v>44723.0</v>
      </c>
      <c r="C4340" s="3">
        <v>0.7729513888888889</v>
      </c>
      <c r="D4340" s="1">
        <v>13.059688</v>
      </c>
      <c r="E4340" s="1">
        <v>80.161189</v>
      </c>
      <c r="F4340" s="1">
        <v>2846.0</v>
      </c>
      <c r="G4340" s="1">
        <v>34.0</v>
      </c>
    </row>
    <row r="4341">
      <c r="A4341" s="1" t="s">
        <v>7</v>
      </c>
      <c r="B4341" s="2">
        <v>44723.0</v>
      </c>
      <c r="C4341" s="3">
        <v>0.7851273148148148</v>
      </c>
      <c r="D4341" s="1">
        <v>13.04352</v>
      </c>
      <c r="E4341" s="1">
        <v>80.149753</v>
      </c>
      <c r="F4341" s="1">
        <v>2846.0</v>
      </c>
      <c r="G4341" s="1">
        <v>0.0</v>
      </c>
    </row>
    <row r="4342">
      <c r="A4342" s="1" t="s">
        <v>7</v>
      </c>
      <c r="B4342" s="2">
        <v>44723.0</v>
      </c>
      <c r="C4342" s="3">
        <v>0.785775462962963</v>
      </c>
      <c r="D4342" s="1">
        <v>13.038323</v>
      </c>
      <c r="E4342" s="1">
        <v>80.149363</v>
      </c>
      <c r="F4342" s="1">
        <v>2846.0</v>
      </c>
      <c r="G4342" s="1">
        <v>52.0</v>
      </c>
    </row>
    <row r="4343">
      <c r="A4343" s="1" t="s">
        <v>8</v>
      </c>
      <c r="B4343" s="2">
        <v>44723.0</v>
      </c>
      <c r="C4343" s="3">
        <v>0.787962962962963</v>
      </c>
      <c r="D4343" s="1">
        <v>13.017929</v>
      </c>
      <c r="E4343" s="1">
        <v>80.133524</v>
      </c>
      <c r="F4343" s="1">
        <v>2846.0</v>
      </c>
      <c r="G4343" s="1">
        <v>43.0</v>
      </c>
    </row>
    <row r="4344">
      <c r="A4344" s="1" t="s">
        <v>7</v>
      </c>
      <c r="B4344" s="2">
        <v>44723.0</v>
      </c>
      <c r="C4344" s="3">
        <v>0.7880671296296297</v>
      </c>
      <c r="D4344" s="1">
        <v>13.017929</v>
      </c>
      <c r="E4344" s="1">
        <v>80.133524</v>
      </c>
      <c r="F4344" s="1">
        <v>2846.0</v>
      </c>
      <c r="G4344" s="1">
        <v>43.0</v>
      </c>
    </row>
    <row r="4345">
      <c r="A4345" s="1" t="s">
        <v>7</v>
      </c>
      <c r="B4345" s="2">
        <v>44723.0</v>
      </c>
      <c r="C4345" s="3">
        <v>0.7889236111111111</v>
      </c>
      <c r="D4345" s="1">
        <v>13.010357</v>
      </c>
      <c r="E4345" s="1">
        <v>80.127438</v>
      </c>
      <c r="F4345" s="1">
        <v>2846.0</v>
      </c>
      <c r="G4345" s="1">
        <v>57.0</v>
      </c>
    </row>
    <row r="4346">
      <c r="A4346" s="1" t="s">
        <v>7</v>
      </c>
      <c r="B4346" s="2">
        <v>44723.0</v>
      </c>
      <c r="C4346" s="3">
        <v>0.7903587962962964</v>
      </c>
      <c r="D4346" s="1">
        <v>12.993154</v>
      </c>
      <c r="E4346" s="1">
        <v>80.121828</v>
      </c>
      <c r="F4346" s="1">
        <v>2846.0</v>
      </c>
      <c r="G4346" s="1">
        <v>57.0</v>
      </c>
    </row>
    <row r="4347">
      <c r="A4347" s="1" t="s">
        <v>7</v>
      </c>
      <c r="B4347" s="2">
        <v>44723.0</v>
      </c>
      <c r="C4347" s="3">
        <v>0.7925347222222222</v>
      </c>
      <c r="D4347" s="1">
        <v>12.967932</v>
      </c>
      <c r="E4347" s="1">
        <v>80.118971</v>
      </c>
      <c r="F4347" s="1">
        <v>2846.0</v>
      </c>
      <c r="G4347" s="1">
        <v>59.0</v>
      </c>
    </row>
    <row r="4348">
      <c r="A4348" s="1" t="s">
        <v>7</v>
      </c>
      <c r="B4348" s="2">
        <v>44723.0</v>
      </c>
      <c r="C4348" s="3">
        <v>0.7925925925925926</v>
      </c>
      <c r="D4348" s="1">
        <v>12.965594</v>
      </c>
      <c r="E4348" s="1">
        <v>80.119086</v>
      </c>
      <c r="F4348" s="1">
        <v>2846.0</v>
      </c>
      <c r="G4348" s="1">
        <v>58.0</v>
      </c>
    </row>
    <row r="4349">
      <c r="A4349" s="1" t="s">
        <v>7</v>
      </c>
      <c r="B4349" s="2">
        <v>44723.0</v>
      </c>
      <c r="C4349" s="3">
        <v>0.7930208333333333</v>
      </c>
      <c r="D4349" s="1">
        <v>12.960934</v>
      </c>
      <c r="E4349" s="1">
        <v>80.119362</v>
      </c>
      <c r="F4349" s="1">
        <v>2846.0</v>
      </c>
      <c r="G4349" s="1">
        <v>59.0</v>
      </c>
    </row>
    <row r="4350">
      <c r="A4350" s="1" t="s">
        <v>7</v>
      </c>
      <c r="B4350" s="2">
        <v>44723.0</v>
      </c>
      <c r="C4350" s="3">
        <v>0.7932060185185185</v>
      </c>
      <c r="D4350" s="1">
        <v>12.958608</v>
      </c>
      <c r="E4350" s="1">
        <v>80.119338</v>
      </c>
      <c r="F4350" s="1">
        <v>2846.0</v>
      </c>
      <c r="G4350" s="1">
        <v>58.0</v>
      </c>
    </row>
    <row r="4351">
      <c r="A4351" s="1" t="s">
        <v>7</v>
      </c>
      <c r="B4351" s="2">
        <v>44723.0</v>
      </c>
      <c r="C4351" s="3">
        <v>0.7943634259259259</v>
      </c>
      <c r="D4351" s="1">
        <v>12.950107</v>
      </c>
      <c r="E4351" s="1">
        <v>80.110537</v>
      </c>
      <c r="F4351" s="1">
        <v>2846.0</v>
      </c>
      <c r="G4351" s="1">
        <v>58.0</v>
      </c>
    </row>
    <row r="4352">
      <c r="A4352" s="1" t="s">
        <v>7</v>
      </c>
      <c r="B4352" s="2">
        <v>44723.0</v>
      </c>
      <c r="C4352" s="3">
        <v>0.7951388888888888</v>
      </c>
      <c r="D4352" s="1">
        <v>12.942842</v>
      </c>
      <c r="E4352" s="1">
        <v>80.104836</v>
      </c>
      <c r="F4352" s="1">
        <v>2846.0</v>
      </c>
      <c r="G4352" s="1">
        <v>56.0</v>
      </c>
    </row>
    <row r="4353">
      <c r="A4353" s="1" t="s">
        <v>7</v>
      </c>
      <c r="B4353" s="2">
        <v>44723.0</v>
      </c>
      <c r="C4353" s="3">
        <v>0.7967013888888889</v>
      </c>
      <c r="D4353" s="1">
        <v>12.924619</v>
      </c>
      <c r="E4353" s="1">
        <v>80.100493</v>
      </c>
      <c r="F4353" s="1">
        <v>2846.0</v>
      </c>
      <c r="G4353" s="1">
        <v>58.0</v>
      </c>
    </row>
    <row r="4354">
      <c r="A4354" s="1" t="s">
        <v>8</v>
      </c>
      <c r="B4354" s="2">
        <v>44723.0</v>
      </c>
      <c r="C4354" s="3">
        <v>0.8024652777777778</v>
      </c>
      <c r="D4354" s="1">
        <v>12.904268</v>
      </c>
      <c r="E4354" s="1">
        <v>80.094872</v>
      </c>
      <c r="F4354" s="1">
        <v>2846.0</v>
      </c>
      <c r="G4354" s="1">
        <v>35.0</v>
      </c>
    </row>
    <row r="4355">
      <c r="A4355" s="1" t="s">
        <v>8</v>
      </c>
      <c r="B4355" s="2">
        <v>44723.0</v>
      </c>
      <c r="C4355" s="3">
        <v>0.8026041666666667</v>
      </c>
      <c r="D4355" s="1">
        <v>12.904268</v>
      </c>
      <c r="E4355" s="1">
        <v>80.094872</v>
      </c>
      <c r="F4355" s="1">
        <v>2846.0</v>
      </c>
      <c r="G4355" s="1">
        <v>35.0</v>
      </c>
    </row>
    <row r="4356">
      <c r="A4356" s="1" t="s">
        <v>7</v>
      </c>
      <c r="B4356" s="2">
        <v>44723.0</v>
      </c>
      <c r="C4356" s="3">
        <v>0.8032754629629629</v>
      </c>
      <c r="D4356" s="1">
        <v>12.897904</v>
      </c>
      <c r="E4356" s="1">
        <v>80.08997</v>
      </c>
      <c r="F4356" s="1">
        <v>2846.0</v>
      </c>
      <c r="G4356" s="1">
        <v>41.0</v>
      </c>
    </row>
    <row r="4357">
      <c r="A4357" s="1" t="s">
        <v>7</v>
      </c>
      <c r="B4357" s="2">
        <v>44723.0</v>
      </c>
      <c r="C4357" s="3">
        <v>0.8037268518518519</v>
      </c>
      <c r="D4357" s="1">
        <v>12.895872</v>
      </c>
      <c r="E4357" s="1">
        <v>80.088484</v>
      </c>
      <c r="F4357" s="1">
        <v>2846.0</v>
      </c>
      <c r="G4357" s="1">
        <v>40.0</v>
      </c>
    </row>
    <row r="4358">
      <c r="A4358" s="1" t="s">
        <v>7</v>
      </c>
      <c r="B4358" s="2">
        <v>44725.0</v>
      </c>
      <c r="C4358" s="3">
        <v>0.2512847222222222</v>
      </c>
      <c r="D4358" s="1">
        <v>12.878948</v>
      </c>
      <c r="E4358" s="1">
        <v>80.080572</v>
      </c>
      <c r="F4358" s="1">
        <v>2846.0</v>
      </c>
      <c r="G4358" s="1">
        <v>21.0</v>
      </c>
    </row>
    <row r="4359">
      <c r="A4359" s="1" t="s">
        <v>7</v>
      </c>
      <c r="B4359" s="2">
        <v>44725.0</v>
      </c>
      <c r="C4359" s="3">
        <v>0.25131944444444443</v>
      </c>
      <c r="D4359" s="1">
        <v>12.878948</v>
      </c>
      <c r="E4359" s="1">
        <v>80.080572</v>
      </c>
      <c r="F4359" s="1">
        <v>2846.0</v>
      </c>
      <c r="G4359" s="1">
        <v>21.0</v>
      </c>
    </row>
    <row r="4360">
      <c r="A4360" s="1" t="s">
        <v>7</v>
      </c>
      <c r="B4360" s="2">
        <v>44725.0</v>
      </c>
      <c r="C4360" s="3">
        <v>0.2515162037037037</v>
      </c>
      <c r="D4360" s="1">
        <v>12.87898</v>
      </c>
      <c r="E4360" s="1">
        <v>80.080283</v>
      </c>
      <c r="F4360" s="1">
        <v>2846.0</v>
      </c>
      <c r="G4360" s="1">
        <v>15.0</v>
      </c>
    </row>
    <row r="4361">
      <c r="A4361" s="1" t="s">
        <v>7</v>
      </c>
      <c r="B4361" s="2">
        <v>44725.0</v>
      </c>
      <c r="C4361" s="3">
        <v>0.25219907407407405</v>
      </c>
      <c r="D4361" s="1">
        <v>12.865408</v>
      </c>
      <c r="E4361" s="1">
        <v>80.074821</v>
      </c>
      <c r="F4361" s="1">
        <v>2846.0</v>
      </c>
      <c r="G4361" s="1">
        <v>56.0</v>
      </c>
    </row>
    <row r="4362">
      <c r="A4362" s="1" t="s">
        <v>7</v>
      </c>
      <c r="B4362" s="2">
        <v>44725.0</v>
      </c>
      <c r="C4362" s="3">
        <v>0.2523842592592593</v>
      </c>
      <c r="D4362" s="1">
        <v>12.86268</v>
      </c>
      <c r="E4362" s="1">
        <v>80.073787</v>
      </c>
      <c r="F4362" s="1">
        <v>2846.0</v>
      </c>
      <c r="G4362" s="1">
        <v>57.0</v>
      </c>
    </row>
    <row r="4363">
      <c r="A4363" s="1" t="s">
        <v>7</v>
      </c>
      <c r="B4363" s="2">
        <v>44725.0</v>
      </c>
      <c r="C4363" s="3">
        <v>0.2525</v>
      </c>
      <c r="D4363" s="1">
        <v>12.861365</v>
      </c>
      <c r="E4363" s="1">
        <v>80.073139</v>
      </c>
      <c r="F4363" s="1">
        <v>2846.0</v>
      </c>
      <c r="G4363" s="1">
        <v>58.0</v>
      </c>
    </row>
    <row r="4364">
      <c r="A4364" s="1" t="s">
        <v>7</v>
      </c>
      <c r="B4364" s="2">
        <v>44725.0</v>
      </c>
      <c r="C4364" s="3">
        <v>0.2535648148148148</v>
      </c>
      <c r="D4364" s="1">
        <v>12.850784</v>
      </c>
      <c r="E4364" s="1">
        <v>80.065391</v>
      </c>
      <c r="F4364" s="1">
        <v>2846.0</v>
      </c>
      <c r="G4364" s="1">
        <v>53.0</v>
      </c>
    </row>
    <row r="4365">
      <c r="A4365" s="1" t="s">
        <v>7</v>
      </c>
      <c r="B4365" s="2">
        <v>44725.0</v>
      </c>
      <c r="C4365" s="3">
        <v>0.25491898148148145</v>
      </c>
      <c r="D4365" s="1">
        <v>12.842708</v>
      </c>
      <c r="E4365" s="1">
        <v>80.058435</v>
      </c>
      <c r="F4365" s="1">
        <v>2846.0</v>
      </c>
      <c r="G4365" s="1">
        <v>56.0</v>
      </c>
    </row>
    <row r="4366">
      <c r="A4366" s="1" t="s">
        <v>7</v>
      </c>
      <c r="B4366" s="2">
        <v>44725.0</v>
      </c>
      <c r="C4366" s="3">
        <v>0.2566087962962963</v>
      </c>
      <c r="D4366" s="1">
        <v>12.827501</v>
      </c>
      <c r="E4366" s="1">
        <v>80.042471</v>
      </c>
      <c r="F4366" s="1">
        <v>2846.0</v>
      </c>
      <c r="G4366" s="1">
        <v>57.0</v>
      </c>
    </row>
    <row r="4367">
      <c r="A4367" s="1" t="s">
        <v>7</v>
      </c>
      <c r="B4367" s="2">
        <v>44725.0</v>
      </c>
      <c r="C4367" s="3">
        <v>0.25741898148148146</v>
      </c>
      <c r="D4367" s="1">
        <v>12.819312</v>
      </c>
      <c r="E4367" s="1">
        <v>80.036277</v>
      </c>
      <c r="F4367" s="1">
        <v>2846.0</v>
      </c>
      <c r="G4367" s="1">
        <v>58.0</v>
      </c>
    </row>
    <row r="4368">
      <c r="A4368" s="1" t="s">
        <v>7</v>
      </c>
      <c r="B4368" s="2">
        <v>44725.0</v>
      </c>
      <c r="C4368" s="3">
        <v>0.25820601851851854</v>
      </c>
      <c r="D4368" s="1">
        <v>12.810825</v>
      </c>
      <c r="E4368" s="1">
        <v>80.030482</v>
      </c>
      <c r="F4368" s="1">
        <v>2846.0</v>
      </c>
      <c r="G4368" s="1">
        <v>58.0</v>
      </c>
    </row>
    <row r="4369">
      <c r="A4369" s="1" t="s">
        <v>7</v>
      </c>
      <c r="B4369" s="2">
        <v>44725.0</v>
      </c>
      <c r="C4369" s="3">
        <v>0.2604398148148148</v>
      </c>
      <c r="D4369" s="1">
        <v>12.78788</v>
      </c>
      <c r="E4369" s="1">
        <v>80.015758</v>
      </c>
      <c r="F4369" s="1">
        <v>2846.0</v>
      </c>
      <c r="G4369" s="1">
        <v>57.0</v>
      </c>
    </row>
    <row r="4370">
      <c r="A4370" s="1" t="s">
        <v>7</v>
      </c>
      <c r="B4370" s="2">
        <v>44725.0</v>
      </c>
      <c r="C4370" s="3">
        <v>0.260625</v>
      </c>
      <c r="D4370" s="1">
        <v>12.785448</v>
      </c>
      <c r="E4370" s="1">
        <v>80.014292</v>
      </c>
      <c r="F4370" s="1">
        <v>2846.0</v>
      </c>
      <c r="G4370" s="1">
        <v>59.0</v>
      </c>
    </row>
    <row r="4371">
      <c r="A4371" s="1" t="s">
        <v>8</v>
      </c>
      <c r="B4371" s="2">
        <v>44725.0</v>
      </c>
      <c r="C4371" s="3">
        <v>0.2620138888888889</v>
      </c>
      <c r="D4371" s="1">
        <v>12.77013</v>
      </c>
      <c r="E4371" s="1">
        <v>80.007305</v>
      </c>
      <c r="F4371" s="1">
        <v>2846.0</v>
      </c>
      <c r="G4371" s="1">
        <v>40.0</v>
      </c>
    </row>
    <row r="4372">
      <c r="A4372" s="1" t="s">
        <v>7</v>
      </c>
      <c r="B4372" s="2">
        <v>44725.0</v>
      </c>
      <c r="C4372" s="3">
        <v>0.26244212962962965</v>
      </c>
      <c r="D4372" s="1">
        <v>12.766612</v>
      </c>
      <c r="E4372" s="1">
        <v>80.005592</v>
      </c>
      <c r="F4372" s="1">
        <v>2846.0</v>
      </c>
      <c r="G4372" s="1">
        <v>58.0</v>
      </c>
    </row>
    <row r="4373">
      <c r="A4373" s="1" t="s">
        <v>7</v>
      </c>
      <c r="B4373" s="2">
        <v>44725.0</v>
      </c>
      <c r="C4373" s="3">
        <v>0.2625925925925926</v>
      </c>
      <c r="D4373" s="1">
        <v>12.76391</v>
      </c>
      <c r="E4373" s="1">
        <v>80.00448</v>
      </c>
      <c r="F4373" s="1">
        <v>2846.0</v>
      </c>
      <c r="G4373" s="1">
        <v>58.0</v>
      </c>
    </row>
    <row r="4374">
      <c r="A4374" s="1" t="s">
        <v>7</v>
      </c>
      <c r="B4374" s="2">
        <v>44725.0</v>
      </c>
      <c r="C4374" s="3">
        <v>0.26263888888888887</v>
      </c>
      <c r="D4374" s="1">
        <v>12.76391</v>
      </c>
      <c r="E4374" s="1">
        <v>80.00448</v>
      </c>
      <c r="F4374" s="1">
        <v>2846.0</v>
      </c>
      <c r="G4374" s="1">
        <v>58.0</v>
      </c>
    </row>
    <row r="4375">
      <c r="A4375" s="1" t="s">
        <v>7</v>
      </c>
      <c r="B4375" s="2">
        <v>44725.0</v>
      </c>
      <c r="C4375" s="3">
        <v>0.2629050925925926</v>
      </c>
      <c r="D4375" s="1">
        <v>12.761204</v>
      </c>
      <c r="E4375" s="1">
        <v>80.003591</v>
      </c>
      <c r="F4375" s="1">
        <v>2846.0</v>
      </c>
      <c r="G4375" s="1">
        <v>51.0</v>
      </c>
    </row>
    <row r="4376">
      <c r="A4376" s="1" t="s">
        <v>7</v>
      </c>
      <c r="B4376" s="2">
        <v>44725.0</v>
      </c>
      <c r="C4376" s="3">
        <v>0.26329861111111114</v>
      </c>
      <c r="D4376" s="1">
        <v>12.756366</v>
      </c>
      <c r="E4376" s="1">
        <v>80.002122</v>
      </c>
      <c r="F4376" s="1">
        <v>2846.0</v>
      </c>
      <c r="G4376" s="1">
        <v>58.0</v>
      </c>
    </row>
    <row r="4377">
      <c r="A4377" s="1" t="s">
        <v>7</v>
      </c>
      <c r="B4377" s="2">
        <v>44725.0</v>
      </c>
      <c r="C4377" s="3">
        <v>0.26358796296296294</v>
      </c>
      <c r="D4377" s="1">
        <v>12.753846</v>
      </c>
      <c r="E4377" s="1">
        <v>80.000601</v>
      </c>
      <c r="F4377" s="1">
        <v>2846.0</v>
      </c>
      <c r="G4377" s="1">
        <v>57.0</v>
      </c>
    </row>
    <row r="4378">
      <c r="A4378" s="1" t="s">
        <v>7</v>
      </c>
      <c r="B4378" s="2">
        <v>44725.0</v>
      </c>
      <c r="C4378" s="3">
        <v>0.26738425925925924</v>
      </c>
      <c r="D4378" s="1">
        <v>12.723268</v>
      </c>
      <c r="E4378" s="1">
        <v>79.981721</v>
      </c>
      <c r="F4378" s="1">
        <v>2846.0</v>
      </c>
      <c r="G4378" s="1">
        <v>35.0</v>
      </c>
    </row>
    <row r="4379">
      <c r="A4379" s="1" t="s">
        <v>7</v>
      </c>
      <c r="B4379" s="2">
        <v>44725.0</v>
      </c>
      <c r="C4379" s="3">
        <v>0.26774305555555555</v>
      </c>
      <c r="D4379" s="1">
        <v>12.717844</v>
      </c>
      <c r="E4379" s="1">
        <v>79.980981</v>
      </c>
      <c r="F4379" s="1">
        <v>2846.0</v>
      </c>
      <c r="G4379" s="1">
        <v>57.0</v>
      </c>
    </row>
    <row r="4380">
      <c r="A4380" s="1" t="s">
        <v>7</v>
      </c>
      <c r="B4380" s="2">
        <v>44725.0</v>
      </c>
      <c r="C4380" s="3">
        <v>0.2680902777777778</v>
      </c>
      <c r="D4380" s="1">
        <v>12.717844</v>
      </c>
      <c r="E4380" s="1">
        <v>79.980981</v>
      </c>
      <c r="F4380" s="1">
        <v>2846.0</v>
      </c>
      <c r="G4380" s="1">
        <v>57.0</v>
      </c>
    </row>
    <row r="4381">
      <c r="A4381" s="1" t="s">
        <v>7</v>
      </c>
      <c r="B4381" s="2">
        <v>44725.0</v>
      </c>
      <c r="C4381" s="3">
        <v>0.26828703703703705</v>
      </c>
      <c r="D4381" s="1">
        <v>12.717844</v>
      </c>
      <c r="E4381" s="1">
        <v>79.980981</v>
      </c>
      <c r="F4381" s="1">
        <v>2846.0</v>
      </c>
      <c r="G4381" s="1">
        <v>57.0</v>
      </c>
    </row>
    <row r="4382">
      <c r="A4382" s="1" t="s">
        <v>8</v>
      </c>
      <c r="B4382" s="2">
        <v>44725.0</v>
      </c>
      <c r="C4382" s="3">
        <v>0.2683449074074074</v>
      </c>
      <c r="D4382" s="1">
        <v>12.717844</v>
      </c>
      <c r="E4382" s="1">
        <v>79.980981</v>
      </c>
      <c r="F4382" s="1">
        <v>2846.0</v>
      </c>
      <c r="G4382" s="1">
        <v>57.0</v>
      </c>
    </row>
    <row r="4383">
      <c r="A4383" s="1" t="s">
        <v>7</v>
      </c>
      <c r="B4383" s="2">
        <v>44725.0</v>
      </c>
      <c r="C4383" s="3">
        <v>0.26880787037037035</v>
      </c>
      <c r="D4383" s="1">
        <v>12.717844</v>
      </c>
      <c r="E4383" s="1">
        <v>79.980981</v>
      </c>
      <c r="F4383" s="1">
        <v>2846.0</v>
      </c>
      <c r="G4383" s="1">
        <v>57.0</v>
      </c>
    </row>
    <row r="4384">
      <c r="A4384" s="1" t="s">
        <v>8</v>
      </c>
      <c r="B4384" s="2">
        <v>44725.0</v>
      </c>
      <c r="C4384" s="3">
        <v>0.2692939814814815</v>
      </c>
      <c r="D4384" s="1">
        <v>12.700216</v>
      </c>
      <c r="E4384" s="1">
        <v>79.968741</v>
      </c>
      <c r="F4384" s="1">
        <v>2846.0</v>
      </c>
      <c r="G4384" s="1">
        <v>47.0</v>
      </c>
    </row>
    <row r="4385">
      <c r="A4385" s="1" t="s">
        <v>8</v>
      </c>
      <c r="B4385" s="2">
        <v>44725.0</v>
      </c>
      <c r="C4385" s="3">
        <v>0.2694328703703704</v>
      </c>
      <c r="D4385" s="1">
        <v>12.699136</v>
      </c>
      <c r="E4385" s="1">
        <v>79.968189</v>
      </c>
      <c r="F4385" s="1">
        <v>2846.0</v>
      </c>
      <c r="G4385" s="1">
        <v>51.0</v>
      </c>
    </row>
    <row r="4386">
      <c r="A4386" s="1" t="s">
        <v>7</v>
      </c>
      <c r="B4386" s="2">
        <v>44725.0</v>
      </c>
      <c r="C4386" s="3">
        <v>0.2699884259259259</v>
      </c>
      <c r="D4386" s="1">
        <v>12.694042</v>
      </c>
      <c r="E4386" s="1">
        <v>79.965348</v>
      </c>
      <c r="F4386" s="1">
        <v>2846.0</v>
      </c>
      <c r="G4386" s="1">
        <v>57.0</v>
      </c>
    </row>
    <row r="4387">
      <c r="A4387" s="1" t="s">
        <v>7</v>
      </c>
      <c r="B4387" s="2">
        <v>44725.0</v>
      </c>
      <c r="C4387" s="3">
        <v>0.2700578703703704</v>
      </c>
      <c r="D4387" s="1">
        <v>12.692762</v>
      </c>
      <c r="E4387" s="1">
        <v>79.964634</v>
      </c>
      <c r="F4387" s="1">
        <v>2846.0</v>
      </c>
      <c r="G4387" s="1">
        <v>58.0</v>
      </c>
    </row>
    <row r="4388">
      <c r="A4388" s="1" t="s">
        <v>7</v>
      </c>
      <c r="B4388" s="2">
        <v>44725.0</v>
      </c>
      <c r="C4388" s="3">
        <v>0.2701851851851852</v>
      </c>
      <c r="D4388" s="1">
        <v>12.691632</v>
      </c>
      <c r="E4388" s="1">
        <v>79.963685</v>
      </c>
      <c r="F4388" s="1">
        <v>2846.0</v>
      </c>
      <c r="G4388" s="1">
        <v>58.0</v>
      </c>
    </row>
    <row r="4389">
      <c r="A4389" s="1" t="s">
        <v>7</v>
      </c>
      <c r="B4389" s="2">
        <v>44725.0</v>
      </c>
      <c r="C4389" s="3">
        <v>0.27020833333333333</v>
      </c>
      <c r="D4389" s="1">
        <v>12.691632</v>
      </c>
      <c r="E4389" s="1">
        <v>79.963685</v>
      </c>
      <c r="F4389" s="1">
        <v>2846.0</v>
      </c>
      <c r="G4389" s="1">
        <v>58.0</v>
      </c>
    </row>
    <row r="4390">
      <c r="A4390" s="1" t="s">
        <v>7</v>
      </c>
      <c r="B4390" s="2">
        <v>44725.0</v>
      </c>
      <c r="C4390" s="3">
        <v>0.2703587962962963</v>
      </c>
      <c r="D4390" s="1">
        <v>12.690758</v>
      </c>
      <c r="E4390" s="1">
        <v>79.962593</v>
      </c>
      <c r="F4390" s="1">
        <v>2846.0</v>
      </c>
      <c r="G4390" s="1">
        <v>51.0</v>
      </c>
    </row>
    <row r="4391">
      <c r="A4391" s="1" t="s">
        <v>7</v>
      </c>
      <c r="B4391" s="2">
        <v>44725.0</v>
      </c>
      <c r="C4391" s="3">
        <v>0.2708564814814815</v>
      </c>
      <c r="D4391" s="1">
        <v>12.68998</v>
      </c>
      <c r="E4391" s="1">
        <v>79.96148</v>
      </c>
      <c r="F4391" s="1">
        <v>2846.0</v>
      </c>
      <c r="G4391" s="1">
        <v>58.0</v>
      </c>
    </row>
    <row r="4392">
      <c r="A4392" s="1" t="s">
        <v>7</v>
      </c>
      <c r="B4392" s="2">
        <v>44725.0</v>
      </c>
      <c r="C4392" s="3">
        <v>0.2712847222222222</v>
      </c>
      <c r="D4392" s="1">
        <v>12.68054</v>
      </c>
      <c r="E4392" s="1">
        <v>79.95855</v>
      </c>
      <c r="F4392" s="1">
        <v>2846.0</v>
      </c>
      <c r="G4392" s="1">
        <v>58.0</v>
      </c>
    </row>
    <row r="4393">
      <c r="A4393" s="1" t="s">
        <v>7</v>
      </c>
      <c r="B4393" s="2">
        <v>44725.0</v>
      </c>
      <c r="C4393" s="3">
        <v>0.27145833333333336</v>
      </c>
      <c r="D4393" s="1">
        <v>12.677596</v>
      </c>
      <c r="E4393" s="1">
        <v>79.958608</v>
      </c>
      <c r="F4393" s="1">
        <v>2846.0</v>
      </c>
      <c r="G4393" s="1">
        <v>58.0</v>
      </c>
    </row>
    <row r="4394">
      <c r="A4394" s="1" t="s">
        <v>7</v>
      </c>
      <c r="B4394" s="2">
        <v>44725.0</v>
      </c>
      <c r="C4394" s="3">
        <v>0.2720023148148148</v>
      </c>
      <c r="D4394" s="1">
        <v>12.6703</v>
      </c>
      <c r="E4394" s="1">
        <v>79.958703</v>
      </c>
      <c r="F4394" s="1">
        <v>2846.0</v>
      </c>
      <c r="G4394" s="1">
        <v>58.0</v>
      </c>
    </row>
    <row r="4395">
      <c r="A4395" s="1" t="s">
        <v>7</v>
      </c>
      <c r="B4395" s="2">
        <v>44725.0</v>
      </c>
      <c r="C4395" s="3">
        <v>0.2725</v>
      </c>
      <c r="D4395" s="1">
        <v>12.664756</v>
      </c>
      <c r="E4395" s="1">
        <v>79.960174</v>
      </c>
      <c r="F4395" s="1">
        <v>2846.0</v>
      </c>
      <c r="G4395" s="1">
        <v>58.0</v>
      </c>
    </row>
    <row r="4396">
      <c r="A4396" s="1" t="s">
        <v>7</v>
      </c>
      <c r="B4396" s="2">
        <v>44725.0</v>
      </c>
      <c r="C4396" s="3">
        <v>0.27288194444444447</v>
      </c>
      <c r="D4396" s="1">
        <v>12.663457</v>
      </c>
      <c r="E4396" s="1">
        <v>79.960862</v>
      </c>
      <c r="F4396" s="1">
        <v>2846.0</v>
      </c>
      <c r="G4396" s="1">
        <v>58.0</v>
      </c>
    </row>
    <row r="4397">
      <c r="A4397" s="1" t="s">
        <v>7</v>
      </c>
      <c r="B4397" s="2">
        <v>44725.0</v>
      </c>
      <c r="C4397" s="3">
        <v>0.27296296296296296</v>
      </c>
      <c r="D4397" s="1">
        <v>12.659301</v>
      </c>
      <c r="E4397" s="1">
        <v>79.960388</v>
      </c>
      <c r="F4397" s="1">
        <v>2846.0</v>
      </c>
      <c r="G4397" s="1">
        <v>57.0</v>
      </c>
    </row>
    <row r="4398">
      <c r="A4398" s="1" t="s">
        <v>7</v>
      </c>
      <c r="B4398" s="2">
        <v>44725.0</v>
      </c>
      <c r="C4398" s="3">
        <v>0.27319444444444446</v>
      </c>
      <c r="D4398" s="1">
        <v>12.657534</v>
      </c>
      <c r="E4398" s="1">
        <v>79.958013</v>
      </c>
      <c r="F4398" s="1">
        <v>2846.0</v>
      </c>
      <c r="G4398" s="1">
        <v>59.0</v>
      </c>
    </row>
    <row r="4399">
      <c r="A4399" s="1" t="s">
        <v>7</v>
      </c>
      <c r="B4399" s="2">
        <v>44725.0</v>
      </c>
      <c r="C4399" s="3">
        <v>0.2734375</v>
      </c>
      <c r="D4399" s="1">
        <v>12.6565</v>
      </c>
      <c r="E4399" s="1">
        <v>79.955227</v>
      </c>
      <c r="F4399" s="1">
        <v>2846.0</v>
      </c>
      <c r="G4399" s="1">
        <v>59.0</v>
      </c>
    </row>
    <row r="4400">
      <c r="A4400" s="1" t="s">
        <v>7</v>
      </c>
      <c r="B4400" s="2">
        <v>44725.0</v>
      </c>
      <c r="C4400" s="3">
        <v>0.2747337962962963</v>
      </c>
      <c r="D4400" s="1">
        <v>12.657184</v>
      </c>
      <c r="E4400" s="1">
        <v>79.942358</v>
      </c>
      <c r="F4400" s="1">
        <v>2846.0</v>
      </c>
      <c r="G4400" s="1">
        <v>57.0</v>
      </c>
    </row>
    <row r="4401">
      <c r="A4401" s="1" t="s">
        <v>7</v>
      </c>
      <c r="B4401" s="2">
        <v>44725.0</v>
      </c>
      <c r="C4401" s="3">
        <v>0.27503472222222225</v>
      </c>
      <c r="D4401" s="1">
        <v>12.651571</v>
      </c>
      <c r="E4401" s="1">
        <v>79.941891</v>
      </c>
      <c r="F4401" s="1">
        <v>2846.0</v>
      </c>
      <c r="G4401" s="1">
        <v>56.0</v>
      </c>
    </row>
    <row r="4402">
      <c r="A4402" s="1" t="s">
        <v>7</v>
      </c>
      <c r="B4402" s="2">
        <v>44725.0</v>
      </c>
      <c r="C4402" s="3">
        <v>0.2753703703703704</v>
      </c>
      <c r="D4402" s="1">
        <v>12.647526</v>
      </c>
      <c r="E4402" s="1">
        <v>79.940648</v>
      </c>
      <c r="F4402" s="1">
        <v>2846.0</v>
      </c>
      <c r="G4402" s="1">
        <v>57.0</v>
      </c>
    </row>
    <row r="4403">
      <c r="A4403" s="1" t="s">
        <v>7</v>
      </c>
      <c r="B4403" s="2">
        <v>44725.0</v>
      </c>
      <c r="C4403" s="3">
        <v>0.2756712962962963</v>
      </c>
      <c r="D4403" s="1">
        <v>12.643655</v>
      </c>
      <c r="E4403" s="1">
        <v>79.938581</v>
      </c>
      <c r="F4403" s="1">
        <v>2846.0</v>
      </c>
      <c r="G4403" s="1">
        <v>57.0</v>
      </c>
    </row>
    <row r="4404">
      <c r="A4404" s="1" t="s">
        <v>7</v>
      </c>
      <c r="B4404" s="2">
        <v>44725.0</v>
      </c>
      <c r="C4404" s="3">
        <v>0.27796296296296297</v>
      </c>
      <c r="D4404" s="1">
        <v>12.624354</v>
      </c>
      <c r="E4404" s="1">
        <v>79.92873</v>
      </c>
      <c r="F4404" s="1">
        <v>2846.0</v>
      </c>
      <c r="G4404" s="1">
        <v>57.0</v>
      </c>
    </row>
    <row r="4405">
      <c r="A4405" s="1" t="s">
        <v>7</v>
      </c>
      <c r="B4405" s="2">
        <v>44725.0</v>
      </c>
      <c r="C4405" s="3">
        <v>0.2787384259259259</v>
      </c>
      <c r="D4405" s="1">
        <v>12.609624</v>
      </c>
      <c r="E4405" s="1">
        <v>79.922468</v>
      </c>
      <c r="F4405" s="1">
        <v>2846.0</v>
      </c>
      <c r="G4405" s="1">
        <v>58.0</v>
      </c>
    </row>
    <row r="4406">
      <c r="A4406" s="1" t="s">
        <v>7</v>
      </c>
      <c r="B4406" s="2">
        <v>44725.0</v>
      </c>
      <c r="C4406" s="3">
        <v>0.2789583333333333</v>
      </c>
      <c r="D4406" s="1">
        <v>12.607028</v>
      </c>
      <c r="E4406" s="1">
        <v>79.921134</v>
      </c>
      <c r="F4406" s="1">
        <v>2846.0</v>
      </c>
      <c r="G4406" s="1">
        <v>57.0</v>
      </c>
    </row>
    <row r="4407">
      <c r="A4407" s="1" t="s">
        <v>7</v>
      </c>
      <c r="B4407" s="2">
        <v>44725.0</v>
      </c>
      <c r="C4407" s="3">
        <v>0.2813657407407407</v>
      </c>
      <c r="D4407" s="1">
        <v>12.581067</v>
      </c>
      <c r="E4407" s="1">
        <v>79.918796</v>
      </c>
      <c r="F4407" s="1">
        <v>2846.0</v>
      </c>
      <c r="G4407" s="1">
        <v>58.0</v>
      </c>
    </row>
    <row r="4408">
      <c r="A4408" s="1" t="s">
        <v>7</v>
      </c>
      <c r="B4408" s="2">
        <v>44725.0</v>
      </c>
      <c r="C4408" s="3">
        <v>0.2828587962962963</v>
      </c>
      <c r="D4408" s="1">
        <v>12.567018</v>
      </c>
      <c r="E4408" s="1">
        <v>79.914912</v>
      </c>
      <c r="F4408" s="1">
        <v>2846.0</v>
      </c>
      <c r="G4408" s="1">
        <v>58.0</v>
      </c>
    </row>
    <row r="4409">
      <c r="A4409" s="1" t="s">
        <v>7</v>
      </c>
      <c r="B4409" s="2">
        <v>44725.0</v>
      </c>
      <c r="C4409" s="3">
        <v>0.2829861111111111</v>
      </c>
      <c r="D4409" s="1">
        <v>12.567018</v>
      </c>
      <c r="E4409" s="1">
        <v>79.914912</v>
      </c>
      <c r="F4409" s="1">
        <v>2846.0</v>
      </c>
      <c r="G4409" s="1">
        <v>58.0</v>
      </c>
    </row>
    <row r="4410">
      <c r="A4410" s="1" t="s">
        <v>7</v>
      </c>
      <c r="B4410" s="2">
        <v>44725.0</v>
      </c>
      <c r="C4410" s="3">
        <v>0.2841087962962963</v>
      </c>
      <c r="D4410" s="1">
        <v>12.545561</v>
      </c>
      <c r="E4410" s="1">
        <v>79.905326</v>
      </c>
      <c r="F4410" s="1">
        <v>2846.0</v>
      </c>
      <c r="G4410" s="1">
        <v>58.0</v>
      </c>
    </row>
    <row r="4411">
      <c r="A4411" s="1" t="s">
        <v>7</v>
      </c>
      <c r="B4411" s="2">
        <v>44725.0</v>
      </c>
      <c r="C4411" s="3">
        <v>0.2845486111111111</v>
      </c>
      <c r="D4411" s="1">
        <v>12.541291</v>
      </c>
      <c r="E4411" s="1">
        <v>79.904543</v>
      </c>
      <c r="F4411" s="1">
        <v>2846.0</v>
      </c>
      <c r="G4411" s="1">
        <v>58.0</v>
      </c>
    </row>
    <row r="4412">
      <c r="A4412" s="1" t="s">
        <v>7</v>
      </c>
      <c r="B4412" s="2">
        <v>44725.0</v>
      </c>
      <c r="C4412" s="3">
        <v>0.28502314814814816</v>
      </c>
      <c r="D4412" s="1">
        <v>12.539161</v>
      </c>
      <c r="E4412" s="1">
        <v>79.904146</v>
      </c>
      <c r="F4412" s="1">
        <v>2846.0</v>
      </c>
      <c r="G4412" s="1">
        <v>55.0</v>
      </c>
    </row>
    <row r="4413">
      <c r="A4413" s="1" t="s">
        <v>7</v>
      </c>
      <c r="B4413" s="2">
        <v>44725.0</v>
      </c>
      <c r="C4413" s="3">
        <v>0.28506944444444443</v>
      </c>
      <c r="D4413" s="1">
        <v>12.535079</v>
      </c>
      <c r="E4413" s="1">
        <v>79.901977</v>
      </c>
      <c r="F4413" s="1">
        <v>2846.0</v>
      </c>
      <c r="G4413" s="1">
        <v>57.0</v>
      </c>
    </row>
    <row r="4414">
      <c r="A4414" s="1" t="s">
        <v>7</v>
      </c>
      <c r="B4414" s="2">
        <v>44725.0</v>
      </c>
      <c r="C4414" s="3">
        <v>0.2852314814814815</v>
      </c>
      <c r="D4414" s="1">
        <v>12.53203</v>
      </c>
      <c r="E4414" s="1">
        <v>79.900554</v>
      </c>
      <c r="F4414" s="1">
        <v>2846.0</v>
      </c>
      <c r="G4414" s="1">
        <v>0.0</v>
      </c>
    </row>
    <row r="4415">
      <c r="A4415" s="1" t="s">
        <v>7</v>
      </c>
      <c r="B4415" s="2">
        <v>44725.0</v>
      </c>
      <c r="C4415" s="3">
        <v>0.2855787037037037</v>
      </c>
      <c r="D4415" s="1">
        <v>12.527964</v>
      </c>
      <c r="E4415" s="1">
        <v>79.898511</v>
      </c>
      <c r="F4415" s="1">
        <v>2846.0</v>
      </c>
      <c r="G4415" s="1">
        <v>57.0</v>
      </c>
    </row>
    <row r="4416">
      <c r="A4416" s="1" t="s">
        <v>7</v>
      </c>
      <c r="B4416" s="2">
        <v>44725.0</v>
      </c>
      <c r="C4416" s="3">
        <v>0.2860300925925926</v>
      </c>
      <c r="D4416" s="1">
        <v>12.522656</v>
      </c>
      <c r="E4416" s="1">
        <v>79.896024</v>
      </c>
      <c r="F4416" s="1">
        <v>2846.0</v>
      </c>
      <c r="G4416" s="1">
        <v>58.0</v>
      </c>
    </row>
    <row r="4417">
      <c r="A4417" s="1" t="s">
        <v>7</v>
      </c>
      <c r="B4417" s="2">
        <v>44725.0</v>
      </c>
      <c r="C4417" s="3">
        <v>0.29613425925925924</v>
      </c>
      <c r="D4417" s="1">
        <v>12.506471</v>
      </c>
      <c r="E4417" s="1">
        <v>79.880555</v>
      </c>
      <c r="F4417" s="1">
        <v>2846.0</v>
      </c>
      <c r="G4417" s="1">
        <v>21.0</v>
      </c>
    </row>
    <row r="4418">
      <c r="A4418" s="1" t="s">
        <v>7</v>
      </c>
      <c r="B4418" s="2">
        <v>44725.0</v>
      </c>
      <c r="C4418" s="3">
        <v>0.2963078703703704</v>
      </c>
      <c r="D4418" s="1">
        <v>12.50514</v>
      </c>
      <c r="E4418" s="1">
        <v>79.879398</v>
      </c>
      <c r="F4418" s="1">
        <v>2846.0</v>
      </c>
      <c r="G4418" s="1">
        <v>50.0</v>
      </c>
    </row>
    <row r="4419">
      <c r="A4419" s="1" t="s">
        <v>7</v>
      </c>
      <c r="B4419" s="2">
        <v>44725.0</v>
      </c>
      <c r="C4419" s="3">
        <v>0.29777777777777775</v>
      </c>
      <c r="D4419" s="1">
        <v>12.499367</v>
      </c>
      <c r="E4419" s="1">
        <v>79.874634</v>
      </c>
      <c r="F4419" s="1">
        <v>2846.0</v>
      </c>
      <c r="G4419" s="1">
        <v>57.0</v>
      </c>
    </row>
    <row r="4420">
      <c r="A4420" s="1" t="s">
        <v>7</v>
      </c>
      <c r="B4420" s="2">
        <v>44725.0</v>
      </c>
      <c r="C4420" s="3">
        <v>0.2994791666666667</v>
      </c>
      <c r="D4420" s="1">
        <v>12.514826</v>
      </c>
      <c r="E4420" s="1">
        <v>79.885453</v>
      </c>
      <c r="F4420" s="1">
        <v>2846.0</v>
      </c>
      <c r="G4420" s="1">
        <v>58.0</v>
      </c>
    </row>
    <row r="4421">
      <c r="A4421" s="1" t="s">
        <v>7</v>
      </c>
      <c r="B4421" s="2">
        <v>44725.0</v>
      </c>
      <c r="C4421" s="3">
        <v>0.29962962962962963</v>
      </c>
      <c r="D4421" s="1">
        <v>12.515487</v>
      </c>
      <c r="E4421" s="1">
        <v>79.886786</v>
      </c>
      <c r="F4421" s="1">
        <v>2846.0</v>
      </c>
      <c r="G4421" s="1">
        <v>58.0</v>
      </c>
    </row>
    <row r="4422">
      <c r="A4422" s="1" t="s">
        <v>7</v>
      </c>
      <c r="B4422" s="2">
        <v>44725.0</v>
      </c>
      <c r="C4422" s="3">
        <v>0.29997685185185186</v>
      </c>
      <c r="D4422" s="1">
        <v>12.516748</v>
      </c>
      <c r="E4422" s="1">
        <v>79.889477</v>
      </c>
      <c r="F4422" s="1">
        <v>2846.0</v>
      </c>
      <c r="G4422" s="1">
        <v>58.0</v>
      </c>
    </row>
    <row r="4423">
      <c r="A4423" s="1" t="s">
        <v>7</v>
      </c>
      <c r="B4423" s="2">
        <v>44725.0</v>
      </c>
      <c r="C4423" s="3">
        <v>0.3004398148148148</v>
      </c>
      <c r="D4423" s="1">
        <v>12.524024</v>
      </c>
      <c r="E4423" s="1">
        <v>79.896491</v>
      </c>
      <c r="F4423" s="1">
        <v>2846.0</v>
      </c>
      <c r="G4423" s="1">
        <v>58.0</v>
      </c>
    </row>
    <row r="4424">
      <c r="A4424" s="1" t="s">
        <v>8</v>
      </c>
      <c r="B4424" s="2">
        <v>44725.0</v>
      </c>
      <c r="C4424" s="3">
        <v>0.30158564814814814</v>
      </c>
      <c r="D4424" s="1">
        <v>12.533906</v>
      </c>
      <c r="E4424" s="1">
        <v>79.901146</v>
      </c>
      <c r="F4424" s="1">
        <v>2846.0</v>
      </c>
      <c r="G4424" s="1">
        <v>43.0</v>
      </c>
    </row>
    <row r="4425">
      <c r="A4425" s="1" t="s">
        <v>7</v>
      </c>
      <c r="B4425" s="2">
        <v>44725.0</v>
      </c>
      <c r="C4425" s="3">
        <v>0.3018402777777778</v>
      </c>
      <c r="D4425" s="1">
        <v>12.536229</v>
      </c>
      <c r="E4425" s="1">
        <v>79.902498</v>
      </c>
      <c r="F4425" s="1">
        <v>2846.0</v>
      </c>
      <c r="G4425" s="1">
        <v>56.0</v>
      </c>
    </row>
    <row r="4426">
      <c r="A4426" s="1" t="s">
        <v>7</v>
      </c>
      <c r="B4426" s="2">
        <v>44725.0</v>
      </c>
      <c r="C4426" s="3">
        <v>0.3019675925925926</v>
      </c>
      <c r="D4426" s="1">
        <v>12.537471</v>
      </c>
      <c r="E4426" s="1">
        <v>79.903271</v>
      </c>
      <c r="F4426" s="1">
        <v>2846.0</v>
      </c>
      <c r="G4426" s="1">
        <v>57.0</v>
      </c>
    </row>
    <row r="4427">
      <c r="A4427" s="1" t="s">
        <v>8</v>
      </c>
      <c r="B4427" s="2">
        <v>44725.0</v>
      </c>
      <c r="C4427" s="3">
        <v>0.3029398148148148</v>
      </c>
      <c r="D4427" s="1">
        <v>12.543914</v>
      </c>
      <c r="E4427" s="1">
        <v>79.904911</v>
      </c>
      <c r="F4427" s="1">
        <v>2846.0</v>
      </c>
      <c r="G4427" s="1">
        <v>24.0</v>
      </c>
    </row>
    <row r="4428">
      <c r="A4428" s="1" t="s">
        <v>8</v>
      </c>
      <c r="B4428" s="2">
        <v>44725.0</v>
      </c>
      <c r="C4428" s="3">
        <v>0.30314814814814817</v>
      </c>
      <c r="D4428" s="1">
        <v>12.544792</v>
      </c>
      <c r="E4428" s="1">
        <v>79.905078</v>
      </c>
      <c r="F4428" s="1">
        <v>2846.0</v>
      </c>
      <c r="G4428" s="1">
        <v>42.0</v>
      </c>
    </row>
    <row r="4429">
      <c r="A4429" s="1" t="s">
        <v>7</v>
      </c>
      <c r="B4429" s="2">
        <v>44725.0</v>
      </c>
      <c r="C4429" s="3">
        <v>0.30420138888888887</v>
      </c>
      <c r="D4429" s="1">
        <v>12.560205</v>
      </c>
      <c r="E4429" s="1">
        <v>79.911331</v>
      </c>
      <c r="F4429" s="1">
        <v>2846.0</v>
      </c>
      <c r="G4429" s="1">
        <v>58.0</v>
      </c>
    </row>
    <row r="4430">
      <c r="A4430" s="1" t="s">
        <v>7</v>
      </c>
      <c r="B4430" s="2">
        <v>44725.0</v>
      </c>
      <c r="C4430" s="3">
        <v>0.30561342592592594</v>
      </c>
      <c r="D4430" s="1">
        <v>12.578036</v>
      </c>
      <c r="E4430" s="1">
        <v>79.917397</v>
      </c>
      <c r="F4430" s="1">
        <v>2846.0</v>
      </c>
      <c r="G4430" s="1">
        <v>57.0</v>
      </c>
    </row>
    <row r="4431">
      <c r="A4431" s="1" t="s">
        <v>7</v>
      </c>
      <c r="B4431" s="2">
        <v>44725.0</v>
      </c>
      <c r="C4431" s="3">
        <v>0.3071759259259259</v>
      </c>
      <c r="D4431" s="1">
        <v>12.596644</v>
      </c>
      <c r="E4431" s="1">
        <v>79.91949</v>
      </c>
      <c r="F4431" s="1">
        <v>2846.0</v>
      </c>
      <c r="G4431" s="1">
        <v>58.0</v>
      </c>
    </row>
    <row r="4432">
      <c r="A4432" s="1" t="s">
        <v>7</v>
      </c>
      <c r="B4432" s="2">
        <v>44725.0</v>
      </c>
      <c r="C4432" s="3">
        <v>0.30769675925925927</v>
      </c>
      <c r="D4432" s="1">
        <v>12.600984</v>
      </c>
      <c r="E4432" s="1">
        <v>79.919977</v>
      </c>
      <c r="F4432" s="1">
        <v>2846.0</v>
      </c>
      <c r="G4432" s="1">
        <v>57.0</v>
      </c>
    </row>
    <row r="4433">
      <c r="A4433" s="1" t="s">
        <v>8</v>
      </c>
      <c r="B4433" s="2">
        <v>44725.0</v>
      </c>
      <c r="C4433" s="3">
        <v>0.30787037037037035</v>
      </c>
      <c r="D4433" s="1">
        <v>12.602426</v>
      </c>
      <c r="E4433" s="1">
        <v>79.920148</v>
      </c>
      <c r="F4433" s="1">
        <v>2846.0</v>
      </c>
      <c r="G4433" s="1">
        <v>58.0</v>
      </c>
    </row>
    <row r="4434">
      <c r="A4434" s="1" t="s">
        <v>7</v>
      </c>
      <c r="B4434" s="2">
        <v>44725.0</v>
      </c>
      <c r="C4434" s="3">
        <v>0.30799768518518517</v>
      </c>
      <c r="D4434" s="1">
        <v>12.603864</v>
      </c>
      <c r="E4434" s="1">
        <v>79.920344</v>
      </c>
      <c r="F4434" s="1">
        <v>2846.0</v>
      </c>
      <c r="G4434" s="1">
        <v>56.0</v>
      </c>
    </row>
    <row r="4435">
      <c r="A4435" s="1" t="s">
        <v>7</v>
      </c>
      <c r="B4435" s="2">
        <v>44725.0</v>
      </c>
      <c r="C4435" s="3">
        <v>0.30810185185185185</v>
      </c>
      <c r="D4435" s="1">
        <v>12.605058</v>
      </c>
      <c r="E4435" s="1">
        <v>79.920585</v>
      </c>
      <c r="F4435" s="1">
        <v>2846.0</v>
      </c>
      <c r="G4435" s="1">
        <v>46.0</v>
      </c>
    </row>
    <row r="4436">
      <c r="A4436" s="1" t="s">
        <v>7</v>
      </c>
      <c r="B4436" s="2">
        <v>44725.0</v>
      </c>
      <c r="C4436" s="3">
        <v>0.30896990740740743</v>
      </c>
      <c r="D4436" s="1">
        <v>12.612538</v>
      </c>
      <c r="E4436" s="1">
        <v>79.924075</v>
      </c>
      <c r="F4436" s="1">
        <v>2846.0</v>
      </c>
      <c r="G4436" s="1">
        <v>56.0</v>
      </c>
    </row>
    <row r="4437">
      <c r="A4437" s="1" t="s">
        <v>7</v>
      </c>
      <c r="B4437" s="2">
        <v>44725.0</v>
      </c>
      <c r="C4437" s="3">
        <v>0.3090277777777778</v>
      </c>
      <c r="D4437" s="1">
        <v>12.613803</v>
      </c>
      <c r="E4437" s="1">
        <v>79.92481</v>
      </c>
      <c r="F4437" s="1">
        <v>2846.0</v>
      </c>
      <c r="G4437" s="1">
        <v>58.0</v>
      </c>
    </row>
    <row r="4438">
      <c r="A4438" s="1" t="s">
        <v>7</v>
      </c>
      <c r="B4438" s="2">
        <v>44725.0</v>
      </c>
      <c r="C4438" s="3">
        <v>0.30931712962962965</v>
      </c>
      <c r="D4438" s="1">
        <v>12.615076</v>
      </c>
      <c r="E4438" s="1">
        <v>79.925535</v>
      </c>
      <c r="F4438" s="1">
        <v>2846.0</v>
      </c>
      <c r="G4438" s="1">
        <v>58.0</v>
      </c>
    </row>
    <row r="4439">
      <c r="A4439" s="1" t="s">
        <v>10</v>
      </c>
      <c r="B4439" s="2">
        <v>44725.0</v>
      </c>
      <c r="C4439" s="3">
        <v>0.31048611111111113</v>
      </c>
      <c r="D4439" s="1">
        <v>13.051022</v>
      </c>
      <c r="E4439" s="1">
        <v>80.264102</v>
      </c>
      <c r="F4439" s="1">
        <v>805.0</v>
      </c>
      <c r="G4439" s="1">
        <v>29.0</v>
      </c>
    </row>
    <row r="4440">
      <c r="A4440" s="1" t="s">
        <v>8</v>
      </c>
      <c r="B4440" s="2">
        <v>44725.0</v>
      </c>
      <c r="C4440" s="3">
        <v>0.3109722222222222</v>
      </c>
      <c r="D4440" s="1">
        <v>12.630242</v>
      </c>
      <c r="E4440" s="1">
        <v>79.93112</v>
      </c>
      <c r="F4440" s="1">
        <v>2846.0</v>
      </c>
      <c r="G4440" s="1">
        <v>0.0</v>
      </c>
    </row>
    <row r="4441">
      <c r="A4441" s="1" t="s">
        <v>8</v>
      </c>
      <c r="B4441" s="2">
        <v>44725.0</v>
      </c>
      <c r="C4441" s="3">
        <v>0.31171296296296297</v>
      </c>
      <c r="D4441" s="1">
        <v>12.634476</v>
      </c>
      <c r="E4441" s="1">
        <v>79.933021</v>
      </c>
      <c r="F4441" s="1">
        <v>2846.0</v>
      </c>
      <c r="G4441" s="1">
        <v>39.0</v>
      </c>
    </row>
    <row r="4442">
      <c r="A4442" s="1" t="s">
        <v>7</v>
      </c>
      <c r="B4442" s="2">
        <v>44725.0</v>
      </c>
      <c r="C4442" s="3">
        <v>0.31244212962962964</v>
      </c>
      <c r="D4442" s="1">
        <v>12.638486</v>
      </c>
      <c r="E4442" s="1">
        <v>79.935327</v>
      </c>
      <c r="F4442" s="1">
        <v>2846.0</v>
      </c>
      <c r="G4442" s="1">
        <v>44.0</v>
      </c>
    </row>
    <row r="4443">
      <c r="A4443" s="1" t="s">
        <v>8</v>
      </c>
      <c r="B4443" s="2">
        <v>44725.0</v>
      </c>
      <c r="C4443" s="3">
        <v>0.3126273148148148</v>
      </c>
      <c r="D4443" s="1">
        <v>12.639381</v>
      </c>
      <c r="E4443" s="1">
        <v>79.935912</v>
      </c>
      <c r="F4443" s="1">
        <v>2846.0</v>
      </c>
      <c r="G4443" s="1">
        <v>39.0</v>
      </c>
    </row>
    <row r="4444">
      <c r="A4444" s="1" t="s">
        <v>8</v>
      </c>
      <c r="B4444" s="2">
        <v>44725.0</v>
      </c>
      <c r="C4444" s="3">
        <v>0.3130324074074074</v>
      </c>
      <c r="D4444" s="1">
        <v>12.642468</v>
      </c>
      <c r="E4444" s="1">
        <v>79.937736</v>
      </c>
      <c r="F4444" s="1">
        <v>2846.0</v>
      </c>
      <c r="G4444" s="1">
        <v>59.0</v>
      </c>
    </row>
    <row r="4445">
      <c r="A4445" s="1" t="s">
        <v>8</v>
      </c>
      <c r="B4445" s="2">
        <v>44725.0</v>
      </c>
      <c r="C4445" s="3">
        <v>0.3132638888888889</v>
      </c>
      <c r="D4445" s="1">
        <v>12.643734</v>
      </c>
      <c r="E4445" s="1">
        <v>79.938495</v>
      </c>
      <c r="F4445" s="1">
        <v>2846.0</v>
      </c>
      <c r="G4445" s="1">
        <v>57.0</v>
      </c>
    </row>
    <row r="4446">
      <c r="A4446" s="1" t="s">
        <v>10</v>
      </c>
      <c r="B4446" s="2">
        <v>44725.0</v>
      </c>
      <c r="C4446" s="3">
        <v>0.31403935185185183</v>
      </c>
      <c r="D4446" s="1">
        <v>13.039148</v>
      </c>
      <c r="E4446" s="1">
        <v>80.267707</v>
      </c>
      <c r="F4446" s="1">
        <v>805.0</v>
      </c>
      <c r="G4446" s="1">
        <v>13.0</v>
      </c>
    </row>
    <row r="4447">
      <c r="A4447" s="1" t="s">
        <v>10</v>
      </c>
      <c r="B4447" s="2">
        <v>44725.0</v>
      </c>
      <c r="C4447" s="3">
        <v>0.3145949074074074</v>
      </c>
      <c r="D4447" s="1">
        <v>13.038147</v>
      </c>
      <c r="E4447" s="1">
        <v>80.267654</v>
      </c>
      <c r="F4447" s="1">
        <v>805.0</v>
      </c>
      <c r="G4447" s="1">
        <v>19.0</v>
      </c>
    </row>
    <row r="4448">
      <c r="A4448" s="1" t="s">
        <v>8</v>
      </c>
      <c r="B4448" s="2">
        <v>44725.0</v>
      </c>
      <c r="C4448" s="3">
        <v>0.31559027777777776</v>
      </c>
      <c r="D4448" s="1">
        <v>12.65719</v>
      </c>
      <c r="E4448" s="1">
        <v>79.94808</v>
      </c>
      <c r="F4448" s="1">
        <v>2846.0</v>
      </c>
      <c r="G4448" s="1">
        <v>26.0</v>
      </c>
    </row>
    <row r="4449">
      <c r="A4449" s="1" t="s">
        <v>10</v>
      </c>
      <c r="B4449" s="2">
        <v>44725.0</v>
      </c>
      <c r="C4449" s="3">
        <v>0.3156597222222222</v>
      </c>
      <c r="D4449" s="1">
        <v>13.032329</v>
      </c>
      <c r="E4449" s="1">
        <v>80.267385</v>
      </c>
      <c r="F4449" s="1">
        <v>805.0</v>
      </c>
      <c r="G4449" s="1">
        <v>16.0</v>
      </c>
    </row>
    <row r="4450">
      <c r="A4450" s="1" t="s">
        <v>10</v>
      </c>
      <c r="B4450" s="2">
        <v>44725.0</v>
      </c>
      <c r="C4450" s="3">
        <v>0.3157175925925926</v>
      </c>
      <c r="D4450" s="1">
        <v>13.0313</v>
      </c>
      <c r="E4450" s="1">
        <v>80.266927</v>
      </c>
      <c r="F4450" s="1">
        <v>805.0</v>
      </c>
      <c r="G4450" s="1">
        <v>20.0</v>
      </c>
    </row>
    <row r="4451">
      <c r="A4451" s="1" t="s">
        <v>7</v>
      </c>
      <c r="B4451" s="2">
        <v>44725.0</v>
      </c>
      <c r="C4451" s="3">
        <v>0.31577546296296294</v>
      </c>
      <c r="D4451" s="1">
        <v>12.65719</v>
      </c>
      <c r="E4451" s="1">
        <v>79.94808</v>
      </c>
      <c r="F4451" s="1">
        <v>2846.0</v>
      </c>
      <c r="G4451" s="1">
        <v>26.0</v>
      </c>
    </row>
    <row r="4452">
      <c r="A4452" s="1" t="s">
        <v>8</v>
      </c>
      <c r="B4452" s="2">
        <v>44725.0</v>
      </c>
      <c r="C4452" s="3">
        <v>0.31592592592592594</v>
      </c>
      <c r="D4452" s="1">
        <v>12.656549</v>
      </c>
      <c r="E4452" s="1">
        <v>79.950385</v>
      </c>
      <c r="F4452" s="1">
        <v>2846.0</v>
      </c>
      <c r="G4452" s="1">
        <v>34.0</v>
      </c>
    </row>
    <row r="4453">
      <c r="A4453" s="1" t="s">
        <v>7</v>
      </c>
      <c r="B4453" s="2">
        <v>44725.0</v>
      </c>
      <c r="C4453" s="3">
        <v>0.3169328703703704</v>
      </c>
      <c r="D4453" s="1">
        <v>12.659073</v>
      </c>
      <c r="E4453" s="1">
        <v>79.96212</v>
      </c>
      <c r="F4453" s="1">
        <v>2846.0</v>
      </c>
      <c r="G4453" s="1">
        <v>50.0</v>
      </c>
    </row>
    <row r="4454">
      <c r="A4454" s="1" t="s">
        <v>7</v>
      </c>
      <c r="B4454" s="2">
        <v>44725.0</v>
      </c>
      <c r="C4454" s="3">
        <v>0.31702546296296297</v>
      </c>
      <c r="D4454" s="1">
        <v>12.659527</v>
      </c>
      <c r="E4454" s="1">
        <v>79.963336</v>
      </c>
      <c r="F4454" s="1">
        <v>2846.0</v>
      </c>
      <c r="G4454" s="1">
        <v>51.0</v>
      </c>
    </row>
    <row r="4455">
      <c r="A4455" s="1" t="s">
        <v>8</v>
      </c>
      <c r="B4455" s="2">
        <v>44725.0</v>
      </c>
      <c r="C4455" s="3">
        <v>0.3187847222222222</v>
      </c>
      <c r="D4455" s="1">
        <v>13.02226</v>
      </c>
      <c r="E4455" s="1">
        <v>80.263476</v>
      </c>
      <c r="F4455" s="1">
        <v>805.0</v>
      </c>
      <c r="G4455" s="1">
        <v>45.0</v>
      </c>
    </row>
    <row r="4456">
      <c r="A4456" s="1" t="s">
        <v>8</v>
      </c>
      <c r="B4456" s="2">
        <v>44725.0</v>
      </c>
      <c r="C4456" s="3">
        <v>0.31881944444444443</v>
      </c>
      <c r="D4456" s="1">
        <v>13.02226</v>
      </c>
      <c r="E4456" s="1">
        <v>80.263476</v>
      </c>
      <c r="F4456" s="1">
        <v>805.0</v>
      </c>
      <c r="G4456" s="1">
        <v>45.0</v>
      </c>
    </row>
    <row r="4457">
      <c r="A4457" s="1" t="s">
        <v>8</v>
      </c>
      <c r="B4457" s="2">
        <v>44725.0</v>
      </c>
      <c r="C4457" s="3">
        <v>0.3188310185185185</v>
      </c>
      <c r="D4457" s="1">
        <v>13.02226</v>
      </c>
      <c r="E4457" s="1">
        <v>80.263476</v>
      </c>
      <c r="F4457" s="1">
        <v>805.0</v>
      </c>
      <c r="G4457" s="1">
        <v>45.0</v>
      </c>
    </row>
    <row r="4458">
      <c r="A4458" s="1" t="s">
        <v>8</v>
      </c>
      <c r="B4458" s="2">
        <v>44725.0</v>
      </c>
      <c r="C4458" s="3">
        <v>0.3188310185185185</v>
      </c>
      <c r="D4458" s="1">
        <v>13.02226</v>
      </c>
      <c r="E4458" s="1">
        <v>80.263476</v>
      </c>
      <c r="F4458" s="1">
        <v>805.0</v>
      </c>
      <c r="G4458" s="1">
        <v>45.0</v>
      </c>
    </row>
    <row r="4459">
      <c r="A4459" s="1" t="s">
        <v>7</v>
      </c>
      <c r="B4459" s="2">
        <v>44725.0</v>
      </c>
      <c r="C4459" s="3">
        <v>0.3205324074074074</v>
      </c>
      <c r="D4459" s="1">
        <v>13.016495</v>
      </c>
      <c r="E4459" s="1">
        <v>80.259881</v>
      </c>
      <c r="F4459" s="1">
        <v>805.0</v>
      </c>
      <c r="G4459" s="1">
        <v>18.0</v>
      </c>
    </row>
    <row r="4460">
      <c r="A4460" s="1" t="s">
        <v>10</v>
      </c>
      <c r="B4460" s="2">
        <v>44725.0</v>
      </c>
      <c r="C4460" s="3">
        <v>0.3205439814814815</v>
      </c>
      <c r="D4460" s="1">
        <v>12.67844</v>
      </c>
      <c r="E4460" s="1">
        <v>79.979914</v>
      </c>
      <c r="F4460" s="1">
        <v>2846.0</v>
      </c>
      <c r="G4460" s="1">
        <v>19.0</v>
      </c>
    </row>
    <row r="4461">
      <c r="A4461" s="1" t="s">
        <v>9</v>
      </c>
      <c r="B4461" s="2">
        <v>44725.0</v>
      </c>
      <c r="C4461" s="3">
        <v>0.32082175925925926</v>
      </c>
      <c r="D4461" s="1">
        <v>13.013919</v>
      </c>
      <c r="E4461" s="1">
        <v>80.25928</v>
      </c>
      <c r="F4461" s="1">
        <v>805.0</v>
      </c>
      <c r="G4461" s="1">
        <v>61.0</v>
      </c>
    </row>
    <row r="4462">
      <c r="A4462" s="1" t="s">
        <v>10</v>
      </c>
      <c r="B4462" s="2">
        <v>44725.0</v>
      </c>
      <c r="C4462" s="3">
        <v>0.3214699074074074</v>
      </c>
      <c r="D4462" s="1">
        <v>13.013919</v>
      </c>
      <c r="E4462" s="1">
        <v>80.25928</v>
      </c>
      <c r="F4462" s="1">
        <v>805.0</v>
      </c>
      <c r="G4462" s="1">
        <v>61.0</v>
      </c>
    </row>
    <row r="4463">
      <c r="A4463" s="1" t="s">
        <v>10</v>
      </c>
      <c r="B4463" s="2">
        <v>44725.0</v>
      </c>
      <c r="C4463" s="3">
        <v>0.32188657407407406</v>
      </c>
      <c r="D4463" s="1">
        <v>13.007377</v>
      </c>
      <c r="E4463" s="1">
        <v>80.259341</v>
      </c>
      <c r="F4463" s="1">
        <v>805.0</v>
      </c>
      <c r="G4463" s="1">
        <v>7.0</v>
      </c>
    </row>
    <row r="4464">
      <c r="A4464" s="1" t="s">
        <v>8</v>
      </c>
      <c r="B4464" s="2">
        <v>44725.0</v>
      </c>
      <c r="C4464" s="3">
        <v>0.3233449074074074</v>
      </c>
      <c r="D4464" s="1">
        <v>13.006456</v>
      </c>
      <c r="E4464" s="1">
        <v>80.255572</v>
      </c>
      <c r="F4464" s="1">
        <v>805.0</v>
      </c>
      <c r="G4464" s="1">
        <v>36.0</v>
      </c>
    </row>
    <row r="4465">
      <c r="A4465" s="1" t="s">
        <v>8</v>
      </c>
      <c r="B4465" s="2">
        <v>44725.0</v>
      </c>
      <c r="C4465" s="3">
        <v>0.3234375</v>
      </c>
      <c r="D4465" s="1">
        <v>13.006514</v>
      </c>
      <c r="E4465" s="1">
        <v>80.254449</v>
      </c>
      <c r="F4465" s="1">
        <v>805.0</v>
      </c>
      <c r="G4465" s="1">
        <v>41.0</v>
      </c>
    </row>
    <row r="4466">
      <c r="A4466" s="1" t="s">
        <v>10</v>
      </c>
      <c r="B4466" s="2">
        <v>44725.0</v>
      </c>
      <c r="C4466" s="3">
        <v>0.3248726851851852</v>
      </c>
      <c r="D4466" s="1">
        <v>12.690774</v>
      </c>
      <c r="E4466" s="1">
        <v>79.980684</v>
      </c>
      <c r="F4466" s="1">
        <v>2846.0</v>
      </c>
      <c r="G4466" s="1">
        <v>11.0</v>
      </c>
    </row>
    <row r="4467">
      <c r="A4467" s="1" t="s">
        <v>8</v>
      </c>
      <c r="B4467" s="2">
        <v>44725.0</v>
      </c>
      <c r="C4467" s="3">
        <v>0.3271296296296296</v>
      </c>
      <c r="D4467" s="1">
        <v>13.007999</v>
      </c>
      <c r="E4467" s="1">
        <v>80.234401</v>
      </c>
      <c r="F4467" s="1">
        <v>805.0</v>
      </c>
      <c r="G4467" s="1">
        <v>34.0</v>
      </c>
    </row>
    <row r="4468">
      <c r="A4468" s="1" t="s">
        <v>8</v>
      </c>
      <c r="B4468" s="2">
        <v>44725.0</v>
      </c>
      <c r="C4468" s="3">
        <v>0.32722222222222225</v>
      </c>
      <c r="D4468" s="1">
        <v>13.007999</v>
      </c>
      <c r="E4468" s="1">
        <v>80.234401</v>
      </c>
      <c r="F4468" s="1">
        <v>805.0</v>
      </c>
      <c r="G4468" s="1">
        <v>34.0</v>
      </c>
    </row>
    <row r="4469">
      <c r="A4469" s="1" t="s">
        <v>7</v>
      </c>
      <c r="B4469" s="2">
        <v>44725.0</v>
      </c>
      <c r="C4469" s="3">
        <v>0.3274074074074074</v>
      </c>
      <c r="D4469" s="1">
        <v>13.00853</v>
      </c>
      <c r="E4469" s="1">
        <v>80.231723</v>
      </c>
      <c r="F4469" s="1">
        <v>805.0</v>
      </c>
      <c r="G4469" s="1">
        <v>57.0</v>
      </c>
    </row>
    <row r="4470">
      <c r="A4470" s="1" t="s">
        <v>7</v>
      </c>
      <c r="B4470" s="2">
        <v>44725.0</v>
      </c>
      <c r="C4470" s="3">
        <v>0.32760416666666664</v>
      </c>
      <c r="D4470" s="1">
        <v>13.009082</v>
      </c>
      <c r="E4470" s="1">
        <v>80.228811</v>
      </c>
      <c r="F4470" s="1">
        <v>805.0</v>
      </c>
      <c r="G4470" s="1">
        <v>56.0</v>
      </c>
    </row>
    <row r="4471">
      <c r="A4471" s="1" t="s">
        <v>9</v>
      </c>
      <c r="B4471" s="2">
        <v>44725.0</v>
      </c>
      <c r="C4471" s="3">
        <v>0.3277083333333333</v>
      </c>
      <c r="D4471" s="1">
        <v>12.698052</v>
      </c>
      <c r="E4471" s="1">
        <v>79.970767</v>
      </c>
      <c r="F4471" s="1">
        <v>2846.0</v>
      </c>
      <c r="G4471" s="1">
        <v>32.0</v>
      </c>
    </row>
    <row r="4472">
      <c r="A4472" s="1" t="s">
        <v>7</v>
      </c>
      <c r="B4472" s="2">
        <v>44725.0</v>
      </c>
      <c r="C4472" s="3">
        <v>0.32796296296296296</v>
      </c>
      <c r="D4472" s="1">
        <v>13.010751</v>
      </c>
      <c r="E4472" s="1">
        <v>80.224845</v>
      </c>
      <c r="F4472" s="1">
        <v>805.0</v>
      </c>
      <c r="G4472" s="1">
        <v>57.0</v>
      </c>
    </row>
    <row r="4473">
      <c r="A4473" s="1" t="s">
        <v>8</v>
      </c>
      <c r="B4473" s="2">
        <v>44725.0</v>
      </c>
      <c r="C4473" s="3">
        <v>0.32840277777777777</v>
      </c>
      <c r="D4473" s="1">
        <v>13.011389</v>
      </c>
      <c r="E4473" s="1">
        <v>80.223193</v>
      </c>
      <c r="F4473" s="1">
        <v>805.0</v>
      </c>
      <c r="G4473" s="1">
        <v>18.0</v>
      </c>
    </row>
    <row r="4474">
      <c r="A4474" s="1" t="s">
        <v>9</v>
      </c>
      <c r="B4474" s="2">
        <v>44725.0</v>
      </c>
      <c r="C4474" s="3">
        <v>0.32849537037037035</v>
      </c>
      <c r="D4474" s="1">
        <v>13.011389</v>
      </c>
      <c r="E4474" s="1">
        <v>80.223193</v>
      </c>
      <c r="F4474" s="1">
        <v>805.0</v>
      </c>
      <c r="G4474" s="1">
        <v>18.0</v>
      </c>
    </row>
    <row r="4475">
      <c r="A4475" s="1" t="s">
        <v>7</v>
      </c>
      <c r="B4475" s="2">
        <v>44725.0</v>
      </c>
      <c r="C4475" s="3">
        <v>0.3291898148148148</v>
      </c>
      <c r="D4475" s="1">
        <v>13.01077</v>
      </c>
      <c r="E4475" s="1">
        <v>80.216938</v>
      </c>
      <c r="F4475" s="1">
        <v>805.0</v>
      </c>
      <c r="G4475" s="1">
        <v>56.0</v>
      </c>
    </row>
    <row r="4476">
      <c r="A4476" s="1" t="s">
        <v>7</v>
      </c>
      <c r="B4476" s="2">
        <v>44725.0</v>
      </c>
      <c r="C4476" s="3">
        <v>0.329212962962963</v>
      </c>
      <c r="D4476" s="1">
        <v>12.704124</v>
      </c>
      <c r="E4476" s="1">
        <v>79.97259</v>
      </c>
      <c r="F4476" s="1">
        <v>2846.0</v>
      </c>
      <c r="G4476" s="1">
        <v>55.0</v>
      </c>
    </row>
    <row r="4477">
      <c r="A4477" s="1" t="s">
        <v>7</v>
      </c>
      <c r="B4477" s="2">
        <v>44725.0</v>
      </c>
      <c r="C4477" s="3">
        <v>0.3294212962962963</v>
      </c>
      <c r="D4477" s="1">
        <v>12.705022</v>
      </c>
      <c r="E4477" s="1">
        <v>79.973759</v>
      </c>
      <c r="F4477" s="1">
        <v>2846.0</v>
      </c>
      <c r="G4477" s="1">
        <v>57.0</v>
      </c>
    </row>
    <row r="4478">
      <c r="A4478" s="1" t="s">
        <v>7</v>
      </c>
      <c r="B4478" s="2">
        <v>44725.0</v>
      </c>
      <c r="C4478" s="3">
        <v>0.32961805555555557</v>
      </c>
      <c r="D4478" s="1">
        <v>12.706969</v>
      </c>
      <c r="E4478" s="1">
        <v>79.976003</v>
      </c>
      <c r="F4478" s="1">
        <v>2846.0</v>
      </c>
      <c r="G4478" s="1">
        <v>57.0</v>
      </c>
    </row>
    <row r="4479">
      <c r="A4479" s="1" t="s">
        <v>7</v>
      </c>
      <c r="B4479" s="2">
        <v>44725.0</v>
      </c>
      <c r="C4479" s="3">
        <v>0.33001157407407405</v>
      </c>
      <c r="D4479" s="1">
        <v>13.008274</v>
      </c>
      <c r="E4479" s="1">
        <v>80.209908</v>
      </c>
      <c r="F4479" s="1">
        <v>805.0</v>
      </c>
      <c r="G4479" s="1">
        <v>52.0</v>
      </c>
    </row>
    <row r="4480">
      <c r="A4480" s="1" t="s">
        <v>7</v>
      </c>
      <c r="B4480" s="2">
        <v>44725.0</v>
      </c>
      <c r="C4480" s="3">
        <v>0.3302083333333333</v>
      </c>
      <c r="D4480" s="1">
        <v>12.711913</v>
      </c>
      <c r="E4480" s="1">
        <v>79.979086</v>
      </c>
      <c r="F4480" s="1">
        <v>2846.0</v>
      </c>
      <c r="G4480" s="1">
        <v>59.0</v>
      </c>
    </row>
    <row r="4481">
      <c r="A4481" s="1" t="s">
        <v>8</v>
      </c>
      <c r="B4481" s="2">
        <v>44725.0</v>
      </c>
      <c r="C4481" s="3">
        <v>0.3307407407407407</v>
      </c>
      <c r="D4481" s="1">
        <v>13.007497</v>
      </c>
      <c r="E4481" s="1">
        <v>80.205848</v>
      </c>
      <c r="F4481" s="1">
        <v>805.0</v>
      </c>
      <c r="G4481" s="1">
        <v>49.0</v>
      </c>
    </row>
    <row r="4482">
      <c r="A4482" s="1" t="s">
        <v>8</v>
      </c>
      <c r="B4482" s="2">
        <v>44725.0</v>
      </c>
      <c r="C4482" s="3">
        <v>0.3309837962962963</v>
      </c>
      <c r="D4482" s="1">
        <v>13.007027</v>
      </c>
      <c r="E4482" s="1">
        <v>80.204589</v>
      </c>
      <c r="F4482" s="1">
        <v>805.0</v>
      </c>
      <c r="G4482" s="1">
        <v>52.0</v>
      </c>
    </row>
    <row r="4483">
      <c r="A4483" s="1" t="s">
        <v>9</v>
      </c>
      <c r="B4483" s="2">
        <v>44725.0</v>
      </c>
      <c r="C4483" s="3">
        <v>0.33113425925925927</v>
      </c>
      <c r="D4483" s="1">
        <v>13.007027</v>
      </c>
      <c r="E4483" s="1">
        <v>80.204589</v>
      </c>
      <c r="F4483" s="1">
        <v>805.0</v>
      </c>
      <c r="G4483" s="1">
        <v>52.0</v>
      </c>
    </row>
    <row r="4484">
      <c r="A4484" s="1" t="s">
        <v>8</v>
      </c>
      <c r="B4484" s="2">
        <v>44725.0</v>
      </c>
      <c r="C4484" s="3">
        <v>0.3312847222222222</v>
      </c>
      <c r="D4484" s="1">
        <v>13.005799</v>
      </c>
      <c r="E4484" s="1">
        <v>80.202652</v>
      </c>
      <c r="F4484" s="1">
        <v>805.0</v>
      </c>
      <c r="G4484" s="1">
        <v>24.0</v>
      </c>
    </row>
    <row r="4485">
      <c r="A4485" s="1" t="s">
        <v>8</v>
      </c>
      <c r="B4485" s="2">
        <v>44725.0</v>
      </c>
      <c r="C4485" s="3">
        <v>0.33186342592592594</v>
      </c>
      <c r="D4485" s="1">
        <v>13.001836</v>
      </c>
      <c r="E4485" s="1">
        <v>80.198397</v>
      </c>
      <c r="F4485" s="1">
        <v>805.0</v>
      </c>
      <c r="G4485" s="1">
        <v>35.0</v>
      </c>
    </row>
    <row r="4486">
      <c r="A4486" s="1" t="s">
        <v>8</v>
      </c>
      <c r="B4486" s="2">
        <v>44725.0</v>
      </c>
      <c r="C4486" s="3">
        <v>0.33194444444444443</v>
      </c>
      <c r="D4486" s="1">
        <v>13.001836</v>
      </c>
      <c r="E4486" s="1">
        <v>80.198397</v>
      </c>
      <c r="F4486" s="1">
        <v>805.0</v>
      </c>
      <c r="G4486" s="1">
        <v>35.0</v>
      </c>
    </row>
    <row r="4487">
      <c r="A4487" s="1" t="s">
        <v>8</v>
      </c>
      <c r="B4487" s="2">
        <v>44725.0</v>
      </c>
      <c r="C4487" s="3">
        <v>0.33207175925925925</v>
      </c>
      <c r="D4487" s="1">
        <v>13.001836</v>
      </c>
      <c r="E4487" s="1">
        <v>80.198397</v>
      </c>
      <c r="F4487" s="1">
        <v>805.0</v>
      </c>
      <c r="G4487" s="1">
        <v>35.0</v>
      </c>
    </row>
    <row r="4488">
      <c r="A4488" s="1" t="s">
        <v>7</v>
      </c>
      <c r="B4488" s="2">
        <v>44725.0</v>
      </c>
      <c r="C4488" s="3">
        <v>0.33240740740740743</v>
      </c>
      <c r="D4488" s="1">
        <v>13.001855</v>
      </c>
      <c r="E4488" s="1">
        <v>80.196704</v>
      </c>
      <c r="F4488" s="1">
        <v>805.0</v>
      </c>
      <c r="G4488" s="1">
        <v>9.0</v>
      </c>
    </row>
    <row r="4489">
      <c r="A4489" s="1" t="s">
        <v>7</v>
      </c>
      <c r="B4489" s="2">
        <v>44725.0</v>
      </c>
      <c r="C4489" s="3">
        <v>0.33247685185185183</v>
      </c>
      <c r="D4489" s="1">
        <v>12.724061</v>
      </c>
      <c r="E4489" s="1">
        <v>79.981671</v>
      </c>
      <c r="F4489" s="1">
        <v>2846.0</v>
      </c>
      <c r="G4489" s="1">
        <v>0.0</v>
      </c>
    </row>
    <row r="4490">
      <c r="A4490" s="1" t="s">
        <v>8</v>
      </c>
      <c r="B4490" s="2">
        <v>44725.0</v>
      </c>
      <c r="C4490" s="3">
        <v>0.33251157407407406</v>
      </c>
      <c r="D4490" s="1">
        <v>13.000558</v>
      </c>
      <c r="E4490" s="1">
        <v>80.19497</v>
      </c>
      <c r="F4490" s="1">
        <v>805.0</v>
      </c>
      <c r="G4490" s="1">
        <v>41.0</v>
      </c>
    </row>
    <row r="4491">
      <c r="A4491" s="1" t="s">
        <v>8</v>
      </c>
      <c r="B4491" s="2">
        <v>44725.0</v>
      </c>
      <c r="C4491" s="3">
        <v>0.33252314814814815</v>
      </c>
      <c r="D4491" s="1">
        <v>13.000558</v>
      </c>
      <c r="E4491" s="1">
        <v>80.19497</v>
      </c>
      <c r="F4491" s="1">
        <v>805.0</v>
      </c>
      <c r="G4491" s="1">
        <v>41.0</v>
      </c>
    </row>
    <row r="4492">
      <c r="A4492" s="1" t="s">
        <v>7</v>
      </c>
      <c r="B4492" s="2">
        <v>44725.0</v>
      </c>
      <c r="C4492" s="3">
        <v>0.3327199074074074</v>
      </c>
      <c r="D4492" s="1">
        <v>12.724151</v>
      </c>
      <c r="E4492" s="1">
        <v>79.981686</v>
      </c>
      <c r="F4492" s="1">
        <v>2846.0</v>
      </c>
      <c r="G4492" s="1">
        <v>1.0</v>
      </c>
    </row>
    <row r="4493">
      <c r="A4493" s="1" t="s">
        <v>8</v>
      </c>
      <c r="B4493" s="2">
        <v>44725.0</v>
      </c>
      <c r="C4493" s="3">
        <v>0.33292824074074073</v>
      </c>
      <c r="D4493" s="1">
        <v>13.000558</v>
      </c>
      <c r="E4493" s="1">
        <v>80.19497</v>
      </c>
      <c r="F4493" s="1">
        <v>805.0</v>
      </c>
      <c r="G4493" s="1">
        <v>41.0</v>
      </c>
    </row>
    <row r="4494">
      <c r="A4494" s="1" t="s">
        <v>8</v>
      </c>
      <c r="B4494" s="2">
        <v>44726.0</v>
      </c>
      <c r="C4494" s="3">
        <v>0.3337037037037037</v>
      </c>
      <c r="D4494" s="1">
        <v>12.762893</v>
      </c>
      <c r="E4494" s="1">
        <v>80.003933</v>
      </c>
      <c r="F4494" s="1">
        <v>2846.0</v>
      </c>
      <c r="G4494" s="1">
        <v>14.0</v>
      </c>
    </row>
    <row r="4495">
      <c r="A4495" s="1" t="s">
        <v>8</v>
      </c>
      <c r="B4495" s="2">
        <v>44726.0</v>
      </c>
      <c r="C4495" s="3">
        <v>0.3340625</v>
      </c>
      <c r="D4495" s="1">
        <v>12.764102</v>
      </c>
      <c r="E4495" s="1">
        <v>80.004409</v>
      </c>
      <c r="F4495" s="1">
        <v>2846.0</v>
      </c>
      <c r="G4495" s="1">
        <v>33.0</v>
      </c>
    </row>
    <row r="4496">
      <c r="A4496" s="1" t="s">
        <v>7</v>
      </c>
      <c r="B4496" s="2">
        <v>44726.0</v>
      </c>
      <c r="C4496" s="3">
        <v>0.3341898148148148</v>
      </c>
      <c r="D4496" s="1">
        <v>12.994085</v>
      </c>
      <c r="E4496" s="1">
        <v>80.185716</v>
      </c>
      <c r="F4496" s="1">
        <v>805.0</v>
      </c>
      <c r="G4496" s="1">
        <v>0.0</v>
      </c>
    </row>
    <row r="4497">
      <c r="A4497" s="1" t="s">
        <v>7</v>
      </c>
      <c r="B4497" s="2">
        <v>44726.0</v>
      </c>
      <c r="C4497" s="3">
        <v>0.3345486111111111</v>
      </c>
      <c r="D4497" s="1">
        <v>12.994085</v>
      </c>
      <c r="E4497" s="1">
        <v>80.185716</v>
      </c>
      <c r="F4497" s="1">
        <v>805.0</v>
      </c>
      <c r="G4497" s="1">
        <v>0.0</v>
      </c>
    </row>
    <row r="4498">
      <c r="A4498" s="1" t="s">
        <v>7</v>
      </c>
      <c r="B4498" s="2">
        <v>44726.0</v>
      </c>
      <c r="C4498" s="3">
        <v>0.33461805555555557</v>
      </c>
      <c r="D4498" s="1">
        <v>12.994085</v>
      </c>
      <c r="E4498" s="1">
        <v>80.185716</v>
      </c>
      <c r="F4498" s="1">
        <v>805.0</v>
      </c>
      <c r="G4498" s="1">
        <v>0.0</v>
      </c>
    </row>
    <row r="4499">
      <c r="A4499" s="1" t="s">
        <v>8</v>
      </c>
      <c r="B4499" s="2">
        <v>44726.0</v>
      </c>
      <c r="C4499" s="3">
        <v>0.33467592592592593</v>
      </c>
      <c r="D4499" s="1">
        <v>12.768986</v>
      </c>
      <c r="E4499" s="1">
        <v>80.006625</v>
      </c>
      <c r="F4499" s="1">
        <v>2846.0</v>
      </c>
      <c r="G4499" s="1">
        <v>46.0</v>
      </c>
    </row>
    <row r="4500">
      <c r="A4500" s="1" t="s">
        <v>7</v>
      </c>
      <c r="B4500" s="2">
        <v>44726.0</v>
      </c>
      <c r="C4500" s="3">
        <v>0.33501157407407406</v>
      </c>
      <c r="D4500" s="1">
        <v>12.772113</v>
      </c>
      <c r="E4500" s="1">
        <v>80.008115</v>
      </c>
      <c r="F4500" s="1">
        <v>2846.0</v>
      </c>
      <c r="G4500" s="1">
        <v>43.0</v>
      </c>
    </row>
    <row r="4501">
      <c r="A4501" s="1" t="s">
        <v>7</v>
      </c>
      <c r="B4501" s="2">
        <v>44726.0</v>
      </c>
      <c r="C4501" s="3">
        <v>0.33532407407407405</v>
      </c>
      <c r="D4501" s="1">
        <v>12.780856</v>
      </c>
      <c r="E4501" s="1">
        <v>80.012051</v>
      </c>
      <c r="F4501" s="1">
        <v>2846.0</v>
      </c>
      <c r="G4501" s="1">
        <v>58.0</v>
      </c>
    </row>
    <row r="4502">
      <c r="A4502" s="1" t="s">
        <v>8</v>
      </c>
      <c r="B4502" s="2">
        <v>44726.0</v>
      </c>
      <c r="C4502" s="3">
        <v>0.33542824074074074</v>
      </c>
      <c r="D4502" s="1">
        <v>12.985049</v>
      </c>
      <c r="E4502" s="1">
        <v>80.172843</v>
      </c>
      <c r="F4502" s="1">
        <v>805.0</v>
      </c>
      <c r="G4502" s="1">
        <v>48.0</v>
      </c>
    </row>
    <row r="4503">
      <c r="A4503" s="1" t="s">
        <v>8</v>
      </c>
      <c r="B4503" s="2">
        <v>44726.0</v>
      </c>
      <c r="C4503" s="3">
        <v>0.3355324074074074</v>
      </c>
      <c r="D4503" s="1">
        <v>12.985049</v>
      </c>
      <c r="E4503" s="1">
        <v>80.172843</v>
      </c>
      <c r="F4503" s="1">
        <v>805.0</v>
      </c>
      <c r="G4503" s="1">
        <v>48.0</v>
      </c>
    </row>
    <row r="4504">
      <c r="A4504" s="1" t="s">
        <v>8</v>
      </c>
      <c r="B4504" s="2">
        <v>44726.0</v>
      </c>
      <c r="C4504" s="3">
        <v>0.3359375</v>
      </c>
      <c r="D4504" s="1">
        <v>12.98342</v>
      </c>
      <c r="E4504" s="1">
        <v>80.170108</v>
      </c>
      <c r="F4504" s="1">
        <v>805.0</v>
      </c>
      <c r="G4504" s="1">
        <v>47.0</v>
      </c>
    </row>
    <row r="4505">
      <c r="A4505" s="1" t="s">
        <v>8</v>
      </c>
      <c r="B4505" s="2">
        <v>44726.0</v>
      </c>
      <c r="C4505" s="3">
        <v>0.3363773148148148</v>
      </c>
      <c r="D4505" s="1">
        <v>12.980936</v>
      </c>
      <c r="E4505" s="1">
        <v>80.165922</v>
      </c>
      <c r="F4505" s="1">
        <v>805.0</v>
      </c>
      <c r="G4505" s="1">
        <v>49.0</v>
      </c>
    </row>
    <row r="4506">
      <c r="A4506" s="1" t="s">
        <v>7</v>
      </c>
      <c r="B4506" s="2">
        <v>44726.0</v>
      </c>
      <c r="C4506" s="3">
        <v>0.33671296296296294</v>
      </c>
      <c r="D4506" s="1">
        <v>12.796192</v>
      </c>
      <c r="E4506" s="1">
        <v>80.020793</v>
      </c>
      <c r="F4506" s="1">
        <v>2846.0</v>
      </c>
      <c r="G4506" s="1">
        <v>39.0</v>
      </c>
    </row>
    <row r="4507">
      <c r="A4507" s="1" t="s">
        <v>8</v>
      </c>
      <c r="B4507" s="2">
        <v>44726.0</v>
      </c>
      <c r="C4507" s="3">
        <v>0.3370138888888889</v>
      </c>
      <c r="D4507" s="1">
        <v>12.977146</v>
      </c>
      <c r="E4507" s="1">
        <v>80.158856</v>
      </c>
      <c r="F4507" s="1">
        <v>805.0</v>
      </c>
      <c r="G4507" s="1">
        <v>45.0</v>
      </c>
    </row>
    <row r="4508">
      <c r="A4508" s="1" t="s">
        <v>7</v>
      </c>
      <c r="B4508" s="2">
        <v>44726.0</v>
      </c>
      <c r="C4508" s="3">
        <v>0.3372222222222222</v>
      </c>
      <c r="D4508" s="1">
        <v>12.800832</v>
      </c>
      <c r="E4508" s="1">
        <v>80.023856</v>
      </c>
      <c r="F4508" s="1">
        <v>2846.0</v>
      </c>
      <c r="G4508" s="1">
        <v>58.0</v>
      </c>
    </row>
    <row r="4509">
      <c r="A4509" s="1" t="s">
        <v>8</v>
      </c>
      <c r="B4509" s="2">
        <v>44726.0</v>
      </c>
      <c r="C4509" s="3">
        <v>0.33738425925925924</v>
      </c>
      <c r="D4509" s="1">
        <v>12.976508</v>
      </c>
      <c r="E4509" s="1">
        <v>80.157843</v>
      </c>
      <c r="F4509" s="1">
        <v>805.0</v>
      </c>
      <c r="G4509" s="1">
        <v>47.0</v>
      </c>
    </row>
    <row r="4510">
      <c r="A4510" s="1" t="s">
        <v>7</v>
      </c>
      <c r="B4510" s="2">
        <v>44726.0</v>
      </c>
      <c r="C4510" s="3">
        <v>0.3375694444444444</v>
      </c>
      <c r="D4510" s="1">
        <v>12.803288</v>
      </c>
      <c r="E4510" s="1">
        <v>80.025456</v>
      </c>
      <c r="F4510" s="1">
        <v>2846.0</v>
      </c>
      <c r="G4510" s="1">
        <v>57.0</v>
      </c>
    </row>
    <row r="4511">
      <c r="A4511" s="1" t="s">
        <v>8</v>
      </c>
      <c r="B4511" s="2">
        <v>44726.0</v>
      </c>
      <c r="C4511" s="3">
        <v>0.33765046296296297</v>
      </c>
      <c r="D4511" s="1">
        <v>12.975831</v>
      </c>
      <c r="E4511" s="1">
        <v>80.156822</v>
      </c>
      <c r="F4511" s="1">
        <v>805.0</v>
      </c>
      <c r="G4511" s="1">
        <v>48.0</v>
      </c>
    </row>
    <row r="4512">
      <c r="A4512" s="1" t="s">
        <v>7</v>
      </c>
      <c r="B4512" s="2">
        <v>44726.0</v>
      </c>
      <c r="C4512" s="3">
        <v>0.33770833333333333</v>
      </c>
      <c r="D4512" s="1">
        <v>12.804514</v>
      </c>
      <c r="E4512" s="1">
        <v>80.026257</v>
      </c>
      <c r="F4512" s="1">
        <v>2846.0</v>
      </c>
      <c r="G4512" s="1">
        <v>57.0</v>
      </c>
    </row>
    <row r="4513">
      <c r="A4513" s="1" t="s">
        <v>8</v>
      </c>
      <c r="B4513" s="2">
        <v>44726.0</v>
      </c>
      <c r="C4513" s="3">
        <v>0.3378009259259259</v>
      </c>
      <c r="D4513" s="1">
        <v>12.974242</v>
      </c>
      <c r="E4513" s="1">
        <v>80.154609</v>
      </c>
      <c r="F4513" s="1">
        <v>805.0</v>
      </c>
      <c r="G4513" s="1">
        <v>30.0</v>
      </c>
    </row>
    <row r="4514">
      <c r="A4514" s="1" t="s">
        <v>8</v>
      </c>
      <c r="B4514" s="2">
        <v>44726.0</v>
      </c>
      <c r="C4514" s="3">
        <v>0.3379050925925926</v>
      </c>
      <c r="D4514" s="1">
        <v>12.974242</v>
      </c>
      <c r="E4514" s="1">
        <v>80.154609</v>
      </c>
      <c r="F4514" s="1">
        <v>805.0</v>
      </c>
      <c r="G4514" s="1">
        <v>30.0</v>
      </c>
    </row>
    <row r="4515">
      <c r="A4515" s="1" t="s">
        <v>7</v>
      </c>
      <c r="B4515" s="2">
        <v>44726.0</v>
      </c>
      <c r="C4515" s="3">
        <v>0.3382175925925926</v>
      </c>
      <c r="D4515" s="1">
        <v>12.813111</v>
      </c>
      <c r="E4515" s="1">
        <v>80.031823</v>
      </c>
      <c r="F4515" s="1">
        <v>2846.0</v>
      </c>
      <c r="G4515" s="1">
        <v>58.0</v>
      </c>
    </row>
    <row r="4516">
      <c r="A4516" s="1" t="s">
        <v>8</v>
      </c>
      <c r="B4516" s="2">
        <v>44726.0</v>
      </c>
      <c r="C4516" s="3">
        <v>0.33824074074074073</v>
      </c>
      <c r="D4516" s="1">
        <v>12.971402</v>
      </c>
      <c r="E4516" s="1">
        <v>80.151092</v>
      </c>
      <c r="F4516" s="1">
        <v>805.0</v>
      </c>
      <c r="G4516" s="1">
        <v>33.0</v>
      </c>
    </row>
    <row r="4517">
      <c r="A4517" s="1" t="s">
        <v>8</v>
      </c>
      <c r="B4517" s="2">
        <v>44726.0</v>
      </c>
      <c r="C4517" s="3">
        <v>0.33914351851851854</v>
      </c>
      <c r="D4517" s="1">
        <v>12.96638</v>
      </c>
      <c r="E4517" s="1">
        <v>80.14875</v>
      </c>
      <c r="F4517" s="1">
        <v>805.0</v>
      </c>
      <c r="G4517" s="1">
        <v>31.0</v>
      </c>
    </row>
    <row r="4518">
      <c r="A4518" s="1" t="s">
        <v>8</v>
      </c>
      <c r="B4518" s="2">
        <v>44726.0</v>
      </c>
      <c r="C4518" s="3">
        <v>0.33927083333333335</v>
      </c>
      <c r="D4518" s="1">
        <v>12.965367</v>
      </c>
      <c r="E4518" s="1">
        <v>80.148242</v>
      </c>
      <c r="F4518" s="1">
        <v>805.0</v>
      </c>
      <c r="G4518" s="1">
        <v>35.0</v>
      </c>
    </row>
    <row r="4519">
      <c r="A4519" s="1" t="s">
        <v>8</v>
      </c>
      <c r="B4519" s="2">
        <v>44726.0</v>
      </c>
      <c r="C4519" s="3">
        <v>0.33957175925925925</v>
      </c>
      <c r="D4519" s="1">
        <v>12.962581</v>
      </c>
      <c r="E4519" s="1">
        <v>80.146658</v>
      </c>
      <c r="F4519" s="1">
        <v>805.0</v>
      </c>
      <c r="G4519" s="1">
        <v>0.0</v>
      </c>
    </row>
    <row r="4520">
      <c r="A4520" s="1" t="s">
        <v>7</v>
      </c>
      <c r="B4520" s="2">
        <v>44726.0</v>
      </c>
      <c r="C4520" s="3">
        <v>0.33988425925925925</v>
      </c>
      <c r="D4520" s="1">
        <v>12.828805</v>
      </c>
      <c r="E4520" s="1">
        <v>80.043718</v>
      </c>
      <c r="F4520" s="1">
        <v>2846.0</v>
      </c>
      <c r="G4520" s="1">
        <v>58.0</v>
      </c>
    </row>
    <row r="4521">
      <c r="A4521" s="1" t="s">
        <v>8</v>
      </c>
      <c r="B4521" s="2">
        <v>44726.0</v>
      </c>
      <c r="C4521" s="3">
        <v>0.3409490740740741</v>
      </c>
      <c r="D4521" s="1">
        <v>12.957018</v>
      </c>
      <c r="E4521" s="1">
        <v>80.143737</v>
      </c>
      <c r="F4521" s="1">
        <v>805.0</v>
      </c>
      <c r="G4521" s="1">
        <v>0.0</v>
      </c>
    </row>
    <row r="4522">
      <c r="A4522" s="1" t="s">
        <v>8</v>
      </c>
      <c r="B4522" s="2">
        <v>44726.0</v>
      </c>
      <c r="C4522" s="3">
        <v>0.3410300925925926</v>
      </c>
      <c r="D4522" s="1">
        <v>12.956924</v>
      </c>
      <c r="E4522" s="1">
        <v>80.143731</v>
      </c>
      <c r="F4522" s="1">
        <v>805.0</v>
      </c>
      <c r="G4522" s="1">
        <v>12.0</v>
      </c>
    </row>
    <row r="4523">
      <c r="A4523" s="1" t="s">
        <v>7</v>
      </c>
      <c r="B4523" s="2">
        <v>44726.0</v>
      </c>
      <c r="C4523" s="3">
        <v>0.3410532407407407</v>
      </c>
      <c r="D4523" s="1">
        <v>12.834652</v>
      </c>
      <c r="E4523" s="1">
        <v>80.04988</v>
      </c>
      <c r="F4523" s="1">
        <v>2846.0</v>
      </c>
      <c r="G4523" s="1">
        <v>58.0</v>
      </c>
    </row>
    <row r="4524">
      <c r="A4524" s="1" t="s">
        <v>8</v>
      </c>
      <c r="B4524" s="2">
        <v>44726.0</v>
      </c>
      <c r="C4524" s="3">
        <v>0.3410532407407407</v>
      </c>
      <c r="D4524" s="1">
        <v>12.956443</v>
      </c>
      <c r="E4524" s="1">
        <v>80.143436</v>
      </c>
      <c r="F4524" s="1">
        <v>805.0</v>
      </c>
      <c r="G4524" s="1">
        <v>8.0</v>
      </c>
    </row>
    <row r="4525">
      <c r="A4525" s="1" t="s">
        <v>8</v>
      </c>
      <c r="B4525" s="2">
        <v>44726.0</v>
      </c>
      <c r="C4525" s="3">
        <v>0.34195601851851853</v>
      </c>
      <c r="D4525" s="1">
        <v>12.951267</v>
      </c>
      <c r="E4525" s="1">
        <v>80.140204</v>
      </c>
      <c r="F4525" s="1">
        <v>805.0</v>
      </c>
      <c r="G4525" s="1">
        <v>33.0</v>
      </c>
    </row>
    <row r="4526">
      <c r="A4526" s="1" t="s">
        <v>8</v>
      </c>
      <c r="B4526" s="2">
        <v>44726.0</v>
      </c>
      <c r="C4526" s="3">
        <v>0.34199074074074076</v>
      </c>
      <c r="D4526" s="1">
        <v>12.951267</v>
      </c>
      <c r="E4526" s="1">
        <v>80.140204</v>
      </c>
      <c r="F4526" s="1">
        <v>805.0</v>
      </c>
      <c r="G4526" s="1">
        <v>33.0</v>
      </c>
    </row>
    <row r="4527">
      <c r="A4527" s="1" t="s">
        <v>7</v>
      </c>
      <c r="B4527" s="2">
        <v>44726.0</v>
      </c>
      <c r="C4527" s="3">
        <v>0.34221064814814817</v>
      </c>
      <c r="D4527" s="1">
        <v>12.950147</v>
      </c>
      <c r="E4527" s="1">
        <v>80.139386</v>
      </c>
      <c r="F4527" s="1">
        <v>805.0</v>
      </c>
      <c r="G4527" s="1">
        <v>40.0</v>
      </c>
    </row>
    <row r="4528">
      <c r="A4528" s="1" t="s">
        <v>8</v>
      </c>
      <c r="B4528" s="2">
        <v>44726.0</v>
      </c>
      <c r="C4528" s="3">
        <v>0.3424652777777778</v>
      </c>
      <c r="D4528" s="1">
        <v>12.94711</v>
      </c>
      <c r="E4528" s="1">
        <v>80.13704</v>
      </c>
      <c r="F4528" s="1">
        <v>805.0</v>
      </c>
      <c r="G4528" s="1">
        <v>42.0</v>
      </c>
    </row>
    <row r="4529">
      <c r="A4529" s="1" t="s">
        <v>8</v>
      </c>
      <c r="B4529" s="2">
        <v>44726.0</v>
      </c>
      <c r="C4529" s="3">
        <v>0.3425462962962963</v>
      </c>
      <c r="D4529" s="1">
        <v>12.94711</v>
      </c>
      <c r="E4529" s="1">
        <v>80.13704</v>
      </c>
      <c r="F4529" s="1">
        <v>805.0</v>
      </c>
      <c r="G4529" s="1">
        <v>42.0</v>
      </c>
    </row>
    <row r="4530">
      <c r="A4530" s="1" t="s">
        <v>8</v>
      </c>
      <c r="B4530" s="2">
        <v>44726.0</v>
      </c>
      <c r="C4530" s="3">
        <v>0.34271990740740743</v>
      </c>
      <c r="D4530" s="1">
        <v>12.94711</v>
      </c>
      <c r="E4530" s="1">
        <v>80.13704</v>
      </c>
      <c r="F4530" s="1">
        <v>805.0</v>
      </c>
      <c r="G4530" s="1">
        <v>42.0</v>
      </c>
    </row>
    <row r="4531">
      <c r="A4531" s="1" t="s">
        <v>8</v>
      </c>
      <c r="B4531" s="2">
        <v>44726.0</v>
      </c>
      <c r="C4531" s="3">
        <v>0.34336805555555555</v>
      </c>
      <c r="D4531" s="1">
        <v>12.941671</v>
      </c>
      <c r="E4531" s="1">
        <v>80.132448</v>
      </c>
      <c r="F4531" s="1">
        <v>805.0</v>
      </c>
      <c r="G4531" s="1">
        <v>31.0</v>
      </c>
    </row>
    <row r="4532">
      <c r="A4532" s="1" t="s">
        <v>8</v>
      </c>
      <c r="B4532" s="2">
        <v>44726.0</v>
      </c>
      <c r="C4532" s="3">
        <v>0.34403935185185186</v>
      </c>
      <c r="D4532" s="1">
        <v>12.937519</v>
      </c>
      <c r="E4532" s="1">
        <v>80.128466</v>
      </c>
      <c r="F4532" s="1">
        <v>805.0</v>
      </c>
      <c r="G4532" s="1">
        <v>42.0</v>
      </c>
    </row>
    <row r="4533">
      <c r="A4533" s="1" t="s">
        <v>7</v>
      </c>
      <c r="B4533" s="2">
        <v>44726.0</v>
      </c>
      <c r="C4533" s="3">
        <v>0.3440740740740741</v>
      </c>
      <c r="D4533" s="1">
        <v>12.848697</v>
      </c>
      <c r="E4533" s="1">
        <v>80.06368</v>
      </c>
      <c r="F4533" s="1">
        <v>2846.0</v>
      </c>
      <c r="G4533" s="1">
        <v>48.0</v>
      </c>
    </row>
    <row r="4534">
      <c r="A4534" s="1" t="s">
        <v>7</v>
      </c>
      <c r="B4534" s="2">
        <v>44726.0</v>
      </c>
      <c r="C4534" s="3">
        <v>0.34421296296296294</v>
      </c>
      <c r="D4534" s="1">
        <v>12.849744</v>
      </c>
      <c r="E4534" s="1">
        <v>80.064453</v>
      </c>
      <c r="F4534" s="1">
        <v>2846.0</v>
      </c>
      <c r="G4534" s="1">
        <v>53.0</v>
      </c>
    </row>
    <row r="4535">
      <c r="A4535" s="1" t="s">
        <v>7</v>
      </c>
      <c r="B4535" s="2">
        <v>44726.0</v>
      </c>
      <c r="C4535" s="3">
        <v>0.3448611111111111</v>
      </c>
      <c r="D4535" s="1">
        <v>12.93512</v>
      </c>
      <c r="E4535" s="1">
        <v>80.126282</v>
      </c>
      <c r="F4535" s="1">
        <v>805.0</v>
      </c>
      <c r="G4535" s="1">
        <v>44.0</v>
      </c>
    </row>
    <row r="4536">
      <c r="A4536" s="1" t="s">
        <v>7</v>
      </c>
      <c r="B4536" s="2">
        <v>44726.0</v>
      </c>
      <c r="C4536" s="3">
        <v>0.3449652777777778</v>
      </c>
      <c r="D4536" s="1">
        <v>12.856131</v>
      </c>
      <c r="E4536" s="1">
        <v>80.069152</v>
      </c>
      <c r="F4536" s="1">
        <v>2846.0</v>
      </c>
      <c r="G4536" s="1">
        <v>52.0</v>
      </c>
    </row>
    <row r="4537">
      <c r="A4537" s="1" t="s">
        <v>8</v>
      </c>
      <c r="B4537" s="2">
        <v>44726.0</v>
      </c>
      <c r="C4537" s="3">
        <v>0.34506944444444443</v>
      </c>
      <c r="D4537" s="1">
        <v>12.857227</v>
      </c>
      <c r="E4537" s="1">
        <v>80.069996</v>
      </c>
      <c r="F4537" s="1">
        <v>2846.0</v>
      </c>
      <c r="G4537" s="1">
        <v>57.0</v>
      </c>
    </row>
    <row r="4538">
      <c r="A4538" s="1" t="s">
        <v>7</v>
      </c>
      <c r="B4538" s="2">
        <v>44726.0</v>
      </c>
      <c r="C4538" s="3">
        <v>0.3462384259259259</v>
      </c>
      <c r="D4538" s="1">
        <v>12.925489</v>
      </c>
      <c r="E4538" s="1">
        <v>80.116678</v>
      </c>
      <c r="F4538" s="1">
        <v>805.0</v>
      </c>
      <c r="G4538" s="1">
        <v>58.0</v>
      </c>
    </row>
    <row r="4539">
      <c r="A4539" s="1" t="s">
        <v>8</v>
      </c>
      <c r="B4539" s="2">
        <v>44726.0</v>
      </c>
      <c r="C4539" s="3">
        <v>0.3463425925925926</v>
      </c>
      <c r="D4539" s="1">
        <v>12.869306</v>
      </c>
      <c r="E4539" s="1">
        <v>80.07618</v>
      </c>
      <c r="F4539" s="1">
        <v>2846.0</v>
      </c>
      <c r="G4539" s="1">
        <v>33.0</v>
      </c>
    </row>
    <row r="4540">
      <c r="A4540" s="1" t="s">
        <v>8</v>
      </c>
      <c r="B4540" s="2">
        <v>44726.0</v>
      </c>
      <c r="C4540" s="3">
        <v>0.3470023148148148</v>
      </c>
      <c r="D4540" s="1">
        <v>12.875663</v>
      </c>
      <c r="E4540" s="1">
        <v>80.07861</v>
      </c>
      <c r="F4540" s="1">
        <v>2846.0</v>
      </c>
      <c r="G4540" s="1">
        <v>53.0</v>
      </c>
    </row>
    <row r="4541">
      <c r="A4541" s="1" t="s">
        <v>7</v>
      </c>
      <c r="B4541" s="2">
        <v>44726.0</v>
      </c>
      <c r="C4541" s="3">
        <v>0.3471064814814815</v>
      </c>
      <c r="D4541" s="1">
        <v>12.920509</v>
      </c>
      <c r="E4541" s="1">
        <v>80.11164</v>
      </c>
      <c r="F4541" s="1">
        <v>805.0</v>
      </c>
      <c r="G4541" s="1">
        <v>57.0</v>
      </c>
    </row>
    <row r="4542">
      <c r="A4542" s="1" t="s">
        <v>8</v>
      </c>
      <c r="B4542" s="2">
        <v>44726.0</v>
      </c>
      <c r="C4542" s="3">
        <v>0.347349537037037</v>
      </c>
      <c r="D4542" s="1">
        <v>12.918994</v>
      </c>
      <c r="E4542" s="1">
        <v>80.109811</v>
      </c>
      <c r="F4542" s="1">
        <v>805.0</v>
      </c>
      <c r="G4542" s="1">
        <v>58.0</v>
      </c>
    </row>
    <row r="4543">
      <c r="A4543" s="1" t="s">
        <v>8</v>
      </c>
      <c r="B4543" s="2">
        <v>44726.0</v>
      </c>
      <c r="C4543" s="3">
        <v>0.3481134259259259</v>
      </c>
      <c r="D4543" s="1">
        <v>12.91458</v>
      </c>
      <c r="E4543" s="1">
        <v>80.102806</v>
      </c>
      <c r="F4543" s="1">
        <v>805.0</v>
      </c>
      <c r="G4543" s="1">
        <v>57.0</v>
      </c>
    </row>
    <row r="4544">
      <c r="A4544" s="1" t="s">
        <v>8</v>
      </c>
      <c r="B4544" s="2">
        <v>44726.0</v>
      </c>
      <c r="C4544" s="3">
        <v>0.34846064814814814</v>
      </c>
      <c r="D4544" s="1">
        <v>12.911223</v>
      </c>
      <c r="E4544" s="1">
        <v>80.101362</v>
      </c>
      <c r="F4544" s="1">
        <v>805.0</v>
      </c>
      <c r="G4544" s="1">
        <v>40.0</v>
      </c>
    </row>
    <row r="4545">
      <c r="A4545" s="1" t="s">
        <v>8</v>
      </c>
      <c r="B4545" s="2">
        <v>44726.0</v>
      </c>
      <c r="C4545" s="3">
        <v>0.3494675925925926</v>
      </c>
      <c r="D4545" s="1">
        <v>12.908886</v>
      </c>
      <c r="E4545" s="1">
        <v>80.098599</v>
      </c>
      <c r="F4545" s="1">
        <v>805.0</v>
      </c>
      <c r="G4545" s="1">
        <v>12.0</v>
      </c>
    </row>
    <row r="4546">
      <c r="A4546" s="1" t="s">
        <v>8</v>
      </c>
      <c r="B4546" s="2">
        <v>44726.0</v>
      </c>
      <c r="C4546" s="3">
        <v>0.34976851851851853</v>
      </c>
      <c r="D4546" s="1">
        <v>12.908377</v>
      </c>
      <c r="E4546" s="1">
        <v>80.09803</v>
      </c>
      <c r="F4546" s="1">
        <v>805.0</v>
      </c>
      <c r="G4546" s="1">
        <v>26.0</v>
      </c>
    </row>
    <row r="4547">
      <c r="A4547" s="1" t="s">
        <v>8</v>
      </c>
      <c r="B4547" s="2">
        <v>44726.0</v>
      </c>
      <c r="C4547" s="3">
        <v>0.35094907407407405</v>
      </c>
      <c r="D4547" s="1">
        <v>12.901762</v>
      </c>
      <c r="E4547" s="1">
        <v>80.092841</v>
      </c>
      <c r="F4547" s="1">
        <v>805.0</v>
      </c>
      <c r="G4547" s="1">
        <v>37.0</v>
      </c>
    </row>
    <row r="4548">
      <c r="A4548" s="1" t="s">
        <v>7</v>
      </c>
      <c r="B4548" s="2">
        <v>44726.0</v>
      </c>
      <c r="C4548" s="3">
        <v>0.3511342592592593</v>
      </c>
      <c r="D4548" s="1">
        <v>12.90003</v>
      </c>
      <c r="E4548" s="1">
        <v>80.091539</v>
      </c>
      <c r="F4548" s="1">
        <v>805.0</v>
      </c>
      <c r="G4548" s="1">
        <v>57.0</v>
      </c>
    </row>
    <row r="4549">
      <c r="A4549" s="1" t="s">
        <v>8</v>
      </c>
      <c r="B4549" s="2">
        <v>44726.0</v>
      </c>
      <c r="C4549" s="3">
        <v>0.3512268518518519</v>
      </c>
      <c r="D4549" s="1">
        <v>12.90003</v>
      </c>
      <c r="E4549" s="1">
        <v>80.091539</v>
      </c>
      <c r="F4549" s="1">
        <v>805.0</v>
      </c>
      <c r="G4549" s="1">
        <v>57.0</v>
      </c>
    </row>
    <row r="4550">
      <c r="A4550" s="1" t="s">
        <v>7</v>
      </c>
      <c r="B4550" s="2">
        <v>44726.0</v>
      </c>
      <c r="C4550" s="3">
        <v>0.35173611111111114</v>
      </c>
      <c r="D4550" s="1">
        <v>12.89816</v>
      </c>
      <c r="E4550" s="1">
        <v>80.090107</v>
      </c>
      <c r="F4550" s="1">
        <v>805.0</v>
      </c>
      <c r="G4550" s="1">
        <v>57.0</v>
      </c>
    </row>
    <row r="4551">
      <c r="A4551" s="1" t="s">
        <v>7</v>
      </c>
      <c r="B4551" s="2">
        <v>44726.0</v>
      </c>
      <c r="C4551" s="3">
        <v>0.35226851851851854</v>
      </c>
      <c r="D4551" s="1">
        <v>12.894364</v>
      </c>
      <c r="E4551" s="1">
        <v>80.087282</v>
      </c>
      <c r="F4551" s="1">
        <v>805.0</v>
      </c>
      <c r="G4551" s="1">
        <v>52.0</v>
      </c>
    </row>
    <row r="4552">
      <c r="A4552" s="1" t="s">
        <v>7</v>
      </c>
      <c r="B4552" s="2">
        <v>44726.0</v>
      </c>
      <c r="C4552" s="3">
        <v>0.43592592592592594</v>
      </c>
      <c r="D4552" s="1">
        <v>12.878264</v>
      </c>
      <c r="E4552" s="1">
        <v>80.082521</v>
      </c>
      <c r="F4552" s="1">
        <v>5339.0</v>
      </c>
      <c r="G4552" s="1">
        <v>62.0</v>
      </c>
    </row>
    <row r="4553">
      <c r="A4553" s="1" t="s">
        <v>7</v>
      </c>
      <c r="B4553" s="2">
        <v>44726.0</v>
      </c>
      <c r="C4553" s="3">
        <v>0.4375</v>
      </c>
      <c r="D4553" s="1">
        <v>12.881113</v>
      </c>
      <c r="E4553" s="1">
        <v>80.080721</v>
      </c>
      <c r="F4553" s="1">
        <v>5339.0</v>
      </c>
      <c r="G4553" s="1">
        <v>46.0</v>
      </c>
    </row>
    <row r="4554">
      <c r="A4554" s="1" t="s">
        <v>7</v>
      </c>
      <c r="B4554" s="2">
        <v>44726.0</v>
      </c>
      <c r="C4554" s="3">
        <v>0.43765046296296295</v>
      </c>
      <c r="D4554" s="1">
        <v>12.882415</v>
      </c>
      <c r="E4554" s="1">
        <v>80.081176</v>
      </c>
      <c r="F4554" s="1">
        <v>5339.0</v>
      </c>
      <c r="G4554" s="1">
        <v>59.0</v>
      </c>
    </row>
    <row r="4555">
      <c r="A4555" s="1" t="s">
        <v>7</v>
      </c>
      <c r="B4555" s="2">
        <v>44726.0</v>
      </c>
      <c r="C4555" s="3">
        <v>0.43796296296296294</v>
      </c>
      <c r="D4555" s="1">
        <v>12.885672</v>
      </c>
      <c r="E4555" s="1">
        <v>80.079986</v>
      </c>
      <c r="F4555" s="1">
        <v>5339.0</v>
      </c>
      <c r="G4555" s="1">
        <v>61.0</v>
      </c>
    </row>
    <row r="4556">
      <c r="A4556" s="1" t="s">
        <v>7</v>
      </c>
      <c r="B4556" s="2">
        <v>44726.0</v>
      </c>
      <c r="C4556" s="3">
        <v>0.4382175925925926</v>
      </c>
      <c r="D4556" s="1">
        <v>12.886609</v>
      </c>
      <c r="E4556" s="1">
        <v>80.076814</v>
      </c>
      <c r="F4556" s="1">
        <v>5339.0</v>
      </c>
      <c r="G4556" s="1">
        <v>65.0</v>
      </c>
    </row>
    <row r="4557">
      <c r="A4557" s="1" t="s">
        <v>7</v>
      </c>
      <c r="B4557" s="2">
        <v>44726.0</v>
      </c>
      <c r="C4557" s="3">
        <v>0.43950231481481483</v>
      </c>
      <c r="D4557" s="1">
        <v>12.8995</v>
      </c>
      <c r="E4557" s="1">
        <v>80.070382</v>
      </c>
      <c r="F4557" s="1">
        <v>5339.0</v>
      </c>
      <c r="G4557" s="1">
        <v>59.0</v>
      </c>
    </row>
    <row r="4558">
      <c r="A4558" s="1" t="s">
        <v>7</v>
      </c>
      <c r="B4558" s="2">
        <v>44726.0</v>
      </c>
      <c r="C4558" s="3">
        <v>0.4397337962962963</v>
      </c>
      <c r="D4558" s="1">
        <v>12.902342</v>
      </c>
      <c r="E4558" s="1">
        <v>80.070956</v>
      </c>
      <c r="F4558" s="1">
        <v>5339.0</v>
      </c>
      <c r="G4558" s="1">
        <v>57.0</v>
      </c>
    </row>
    <row r="4559">
      <c r="A4559" s="1" t="s">
        <v>7</v>
      </c>
      <c r="B4559" s="2">
        <v>44726.0</v>
      </c>
      <c r="C4559" s="3">
        <v>0.44015046296296295</v>
      </c>
      <c r="D4559" s="1">
        <v>12.907932</v>
      </c>
      <c r="E4559" s="1">
        <v>80.072562</v>
      </c>
      <c r="F4559" s="1">
        <v>5339.0</v>
      </c>
      <c r="G4559" s="1">
        <v>58.0</v>
      </c>
    </row>
    <row r="4560">
      <c r="A4560" s="1" t="s">
        <v>7</v>
      </c>
      <c r="B4560" s="2">
        <v>44726.0</v>
      </c>
      <c r="C4560" s="3">
        <v>0.4409375</v>
      </c>
      <c r="D4560" s="1">
        <v>12.916118</v>
      </c>
      <c r="E4560" s="1">
        <v>80.075188</v>
      </c>
      <c r="F4560" s="1">
        <v>5339.0</v>
      </c>
      <c r="G4560" s="1">
        <v>58.0</v>
      </c>
    </row>
    <row r="4561">
      <c r="A4561" s="1" t="s">
        <v>7</v>
      </c>
      <c r="B4561" s="2">
        <v>44726.0</v>
      </c>
      <c r="C4561" s="3">
        <v>0.44547453703703704</v>
      </c>
      <c r="D4561" s="1">
        <v>12.945704</v>
      </c>
      <c r="E4561" s="1">
        <v>80.085615</v>
      </c>
      <c r="F4561" s="1">
        <v>5339.0</v>
      </c>
      <c r="G4561" s="1">
        <v>57.0</v>
      </c>
    </row>
    <row r="4562">
      <c r="A4562" s="1" t="s">
        <v>7</v>
      </c>
      <c r="B4562" s="2">
        <v>44726.0</v>
      </c>
      <c r="C4562" s="3">
        <v>0.5277777777777778</v>
      </c>
      <c r="D4562" s="1">
        <v>12.940834</v>
      </c>
      <c r="E4562" s="1">
        <v>80.084221</v>
      </c>
      <c r="F4562" s="1">
        <v>5339.0</v>
      </c>
      <c r="G4562" s="1">
        <v>50.0</v>
      </c>
    </row>
    <row r="4563">
      <c r="A4563" s="1" t="s">
        <v>7</v>
      </c>
      <c r="B4563" s="2">
        <v>44726.0</v>
      </c>
      <c r="C4563" s="3">
        <v>0.5308680555555556</v>
      </c>
      <c r="D4563" s="1">
        <v>12.911738</v>
      </c>
      <c r="E4563" s="1">
        <v>80.074176</v>
      </c>
      <c r="F4563" s="1">
        <v>5339.0</v>
      </c>
      <c r="G4563" s="1">
        <v>58.0</v>
      </c>
    </row>
    <row r="4564">
      <c r="A4564" s="1" t="s">
        <v>7</v>
      </c>
      <c r="B4564" s="2">
        <v>44726.0</v>
      </c>
      <c r="C4564" s="3">
        <v>0.5315972222222223</v>
      </c>
      <c r="D4564" s="1">
        <v>12.903331</v>
      </c>
      <c r="E4564" s="1">
        <v>80.071585</v>
      </c>
      <c r="F4564" s="1">
        <v>5339.0</v>
      </c>
      <c r="G4564" s="1">
        <v>58.0</v>
      </c>
    </row>
    <row r="4565">
      <c r="A4565" s="1" t="s">
        <v>7</v>
      </c>
      <c r="B4565" s="2">
        <v>44726.0</v>
      </c>
      <c r="C4565" s="3">
        <v>0.5317939814814815</v>
      </c>
      <c r="D4565" s="1">
        <v>12.900477</v>
      </c>
      <c r="E4565" s="1">
        <v>80.07097</v>
      </c>
      <c r="F4565" s="1">
        <v>5339.0</v>
      </c>
      <c r="G4565" s="1">
        <v>58.0</v>
      </c>
    </row>
    <row r="4566">
      <c r="A4566" s="1" t="s">
        <v>7</v>
      </c>
      <c r="B4566" s="2">
        <v>44726.0</v>
      </c>
      <c r="C4566" s="3">
        <v>0.5321643518518518</v>
      </c>
      <c r="D4566" s="1">
        <v>12.896107</v>
      </c>
      <c r="E4566" s="1">
        <v>80.070747</v>
      </c>
      <c r="F4566" s="1">
        <v>5339.0</v>
      </c>
      <c r="G4566" s="1">
        <v>57.0</v>
      </c>
    </row>
    <row r="4567">
      <c r="A4567" s="1" t="s">
        <v>7</v>
      </c>
      <c r="B4567" s="2">
        <v>44726.0</v>
      </c>
      <c r="C4567" s="3">
        <v>0.5322106481481481</v>
      </c>
      <c r="D4567" s="1">
        <v>12.896107</v>
      </c>
      <c r="E4567" s="1">
        <v>80.070747</v>
      </c>
      <c r="F4567" s="1">
        <v>5339.0</v>
      </c>
      <c r="G4567" s="1">
        <v>57.0</v>
      </c>
    </row>
    <row r="4568">
      <c r="A4568" s="1" t="s">
        <v>7</v>
      </c>
      <c r="B4568" s="2">
        <v>44726.0</v>
      </c>
      <c r="C4568" s="3">
        <v>0.5323958333333333</v>
      </c>
      <c r="D4568" s="1">
        <v>12.893199</v>
      </c>
      <c r="E4568" s="1">
        <v>80.070793</v>
      </c>
      <c r="F4568" s="1">
        <v>5339.0</v>
      </c>
      <c r="G4568" s="1">
        <v>58.0</v>
      </c>
    </row>
    <row r="4569">
      <c r="A4569" s="1" t="s">
        <v>7</v>
      </c>
      <c r="B4569" s="2">
        <v>44726.0</v>
      </c>
      <c r="C4569" s="3">
        <v>0.5325115740740741</v>
      </c>
      <c r="D4569" s="1">
        <v>12.893199</v>
      </c>
      <c r="E4569" s="1">
        <v>80.070793</v>
      </c>
      <c r="F4569" s="1">
        <v>5339.0</v>
      </c>
      <c r="G4569" s="1">
        <v>58.0</v>
      </c>
    </row>
    <row r="4570">
      <c r="A4570" s="1" t="s">
        <v>7</v>
      </c>
      <c r="B4570" s="2">
        <v>44726.0</v>
      </c>
      <c r="C4570" s="3">
        <v>0.5330092592592592</v>
      </c>
      <c r="D4570" s="1">
        <v>12.887564</v>
      </c>
      <c r="E4570" s="1">
        <v>80.07493</v>
      </c>
      <c r="F4570" s="1">
        <v>5339.0</v>
      </c>
      <c r="G4570" s="1">
        <v>58.0</v>
      </c>
    </row>
    <row r="4571">
      <c r="A4571" s="1" t="s">
        <v>7</v>
      </c>
      <c r="B4571" s="2">
        <v>44726.0</v>
      </c>
      <c r="C4571" s="3">
        <v>0.533125</v>
      </c>
      <c r="D4571" s="1">
        <v>12.887098</v>
      </c>
      <c r="E4571" s="1">
        <v>80.076352</v>
      </c>
      <c r="F4571" s="1">
        <v>5339.0</v>
      </c>
      <c r="G4571" s="1">
        <v>58.0</v>
      </c>
    </row>
    <row r="4572">
      <c r="A4572" s="1" t="s">
        <v>7</v>
      </c>
      <c r="B4572" s="2">
        <v>44726.0</v>
      </c>
      <c r="C4572" s="3">
        <v>0.5332523148148148</v>
      </c>
      <c r="D4572" s="1">
        <v>12.886644</v>
      </c>
      <c r="E4572" s="1">
        <v>80.07777</v>
      </c>
      <c r="F4572" s="1">
        <v>5339.0</v>
      </c>
      <c r="G4572" s="1">
        <v>58.0</v>
      </c>
    </row>
    <row r="4573">
      <c r="A4573" s="1" t="s">
        <v>8</v>
      </c>
      <c r="B4573" s="2">
        <v>44726.0</v>
      </c>
      <c r="C4573" s="3">
        <v>0.5334375</v>
      </c>
      <c r="D4573" s="1">
        <v>12.885752</v>
      </c>
      <c r="E4573" s="1">
        <v>80.080601</v>
      </c>
      <c r="F4573" s="1">
        <v>5339.0</v>
      </c>
      <c r="G4573" s="1">
        <v>55.0</v>
      </c>
    </row>
    <row r="4574">
      <c r="A4574" s="1" t="s">
        <v>7</v>
      </c>
      <c r="B4574" s="2">
        <v>44726.0</v>
      </c>
      <c r="C4574" s="3">
        <v>0.6925810185185185</v>
      </c>
      <c r="D4574" s="1">
        <v>12.874323</v>
      </c>
      <c r="E4574" s="1">
        <v>80.07846</v>
      </c>
      <c r="F4574" s="1">
        <v>2846.0</v>
      </c>
      <c r="G4574" s="1">
        <v>58.0</v>
      </c>
    </row>
    <row r="4575">
      <c r="A4575" s="1" t="s">
        <v>7</v>
      </c>
      <c r="B4575" s="2">
        <v>44726.0</v>
      </c>
      <c r="C4575" s="3">
        <v>0.6929050925925926</v>
      </c>
      <c r="D4575" s="1">
        <v>12.870227</v>
      </c>
      <c r="E4575" s="1">
        <v>80.076777</v>
      </c>
      <c r="F4575" s="1">
        <v>2846.0</v>
      </c>
      <c r="G4575" s="1">
        <v>58.0</v>
      </c>
    </row>
    <row r="4576">
      <c r="A4576" s="1" t="s">
        <v>8</v>
      </c>
      <c r="B4576" s="2">
        <v>44726.0</v>
      </c>
      <c r="C4576" s="3">
        <v>0.6932870370370371</v>
      </c>
      <c r="D4576" s="1">
        <v>12.886925</v>
      </c>
      <c r="E4576" s="1">
        <v>80.083166</v>
      </c>
      <c r="F4576" s="1">
        <v>805.0</v>
      </c>
      <c r="G4576" s="1">
        <v>46.0</v>
      </c>
    </row>
    <row r="4577">
      <c r="A4577" s="1" t="s">
        <v>7</v>
      </c>
      <c r="B4577" s="2">
        <v>44726.0</v>
      </c>
      <c r="C4577" s="3">
        <v>0.6934259259259259</v>
      </c>
      <c r="D4577" s="1">
        <v>12.887984</v>
      </c>
      <c r="E4577" s="1">
        <v>80.083611</v>
      </c>
      <c r="F4577" s="1">
        <v>805.0</v>
      </c>
      <c r="G4577" s="1">
        <v>47.0</v>
      </c>
    </row>
    <row r="4578">
      <c r="A4578" s="1" t="s">
        <v>8</v>
      </c>
      <c r="B4578" s="2">
        <v>44726.0</v>
      </c>
      <c r="C4578" s="3">
        <v>0.6953125</v>
      </c>
      <c r="D4578" s="1">
        <v>12.905518</v>
      </c>
      <c r="E4578" s="1">
        <v>80.095603</v>
      </c>
      <c r="F4578" s="1">
        <v>805.0</v>
      </c>
      <c r="G4578" s="1">
        <v>26.0</v>
      </c>
    </row>
    <row r="4579">
      <c r="A4579" s="1" t="s">
        <v>7</v>
      </c>
      <c r="B4579" s="2">
        <v>44726.0</v>
      </c>
      <c r="C4579" s="3">
        <v>0.6954976851851852</v>
      </c>
      <c r="D4579" s="1">
        <v>12.906903</v>
      </c>
      <c r="E4579" s="1">
        <v>80.096649</v>
      </c>
      <c r="F4579" s="1">
        <v>805.0</v>
      </c>
      <c r="G4579" s="1">
        <v>47.0</v>
      </c>
    </row>
    <row r="4580">
      <c r="A4580" s="1" t="s">
        <v>7</v>
      </c>
      <c r="B4580" s="2">
        <v>44726.0</v>
      </c>
      <c r="C4580" s="3">
        <v>0.6955671296296296</v>
      </c>
      <c r="D4580" s="1">
        <v>12.856108</v>
      </c>
      <c r="E4580" s="1">
        <v>80.069372</v>
      </c>
      <c r="F4580" s="1">
        <v>2846.0</v>
      </c>
      <c r="G4580" s="1">
        <v>56.0</v>
      </c>
    </row>
    <row r="4581">
      <c r="A4581" s="1" t="s">
        <v>8</v>
      </c>
      <c r="B4581" s="2">
        <v>44726.0</v>
      </c>
      <c r="C4581" s="3">
        <v>0.695625</v>
      </c>
      <c r="D4581" s="1">
        <v>12.856108</v>
      </c>
      <c r="E4581" s="1">
        <v>80.069372</v>
      </c>
      <c r="F4581" s="1">
        <v>2846.0</v>
      </c>
      <c r="G4581" s="1">
        <v>56.0</v>
      </c>
    </row>
    <row r="4582">
      <c r="A4582" s="1" t="s">
        <v>7</v>
      </c>
      <c r="B4582" s="2">
        <v>44726.0</v>
      </c>
      <c r="C4582" s="3">
        <v>0.6956944444444444</v>
      </c>
      <c r="D4582" s="1">
        <v>12.855025</v>
      </c>
      <c r="E4582" s="1">
        <v>80.068596</v>
      </c>
      <c r="F4582" s="1">
        <v>2846.0</v>
      </c>
      <c r="G4582" s="1">
        <v>53.0</v>
      </c>
    </row>
    <row r="4583">
      <c r="A4583" s="1" t="s">
        <v>8</v>
      </c>
      <c r="B4583" s="2">
        <v>44726.0</v>
      </c>
      <c r="C4583" s="3">
        <v>0.6957407407407408</v>
      </c>
      <c r="D4583" s="1">
        <v>12.855025</v>
      </c>
      <c r="E4583" s="1">
        <v>80.068596</v>
      </c>
      <c r="F4583" s="1">
        <v>2846.0</v>
      </c>
      <c r="G4583" s="1">
        <v>53.0</v>
      </c>
    </row>
    <row r="4584">
      <c r="A4584" s="1" t="s">
        <v>8</v>
      </c>
      <c r="B4584" s="2">
        <v>44726.0</v>
      </c>
      <c r="C4584" s="3">
        <v>0.6963078703703703</v>
      </c>
      <c r="D4584" s="1">
        <v>12.911822</v>
      </c>
      <c r="E4584" s="1">
        <v>80.101324</v>
      </c>
      <c r="F4584" s="1">
        <v>805.0</v>
      </c>
      <c r="G4584" s="1">
        <v>19.0</v>
      </c>
    </row>
    <row r="4585">
      <c r="A4585" s="1" t="s">
        <v>7</v>
      </c>
      <c r="B4585" s="2">
        <v>44726.0</v>
      </c>
      <c r="C4585" s="3">
        <v>0.6968055555555556</v>
      </c>
      <c r="D4585" s="1">
        <v>12.915605</v>
      </c>
      <c r="E4585" s="1">
        <v>80.102933</v>
      </c>
      <c r="F4585" s="1">
        <v>805.0</v>
      </c>
      <c r="G4585" s="1">
        <v>60.0</v>
      </c>
    </row>
    <row r="4586">
      <c r="A4586" s="1" t="s">
        <v>7</v>
      </c>
      <c r="B4586" s="2">
        <v>44726.0</v>
      </c>
      <c r="C4586" s="3">
        <v>0.6968518518518518</v>
      </c>
      <c r="D4586" s="1">
        <v>12.915827</v>
      </c>
      <c r="E4586" s="1">
        <v>80.104552</v>
      </c>
      <c r="F4586" s="1">
        <v>805.0</v>
      </c>
      <c r="G4586" s="1">
        <v>58.0</v>
      </c>
    </row>
    <row r="4587">
      <c r="A4587" s="1" t="s">
        <v>8</v>
      </c>
      <c r="B4587" s="2">
        <v>44726.0</v>
      </c>
      <c r="C4587" s="3">
        <v>0.6971990740740741</v>
      </c>
      <c r="D4587" s="1">
        <v>12.91704</v>
      </c>
      <c r="E4587" s="1">
        <v>80.106998</v>
      </c>
      <c r="F4587" s="1">
        <v>805.0</v>
      </c>
      <c r="G4587" s="1">
        <v>20.0</v>
      </c>
    </row>
    <row r="4588">
      <c r="A4588" s="1" t="s">
        <v>8</v>
      </c>
      <c r="B4588" s="2">
        <v>44726.0</v>
      </c>
      <c r="C4588" s="3">
        <v>0.6975694444444445</v>
      </c>
      <c r="D4588" s="1">
        <v>12.918678</v>
      </c>
      <c r="E4588" s="1">
        <v>80.109289</v>
      </c>
      <c r="F4588" s="1">
        <v>805.0</v>
      </c>
      <c r="G4588" s="1">
        <v>49.0</v>
      </c>
    </row>
    <row r="4589">
      <c r="A4589" s="1" t="s">
        <v>8</v>
      </c>
      <c r="B4589" s="2">
        <v>44726.0</v>
      </c>
      <c r="C4589" s="3">
        <v>0.6981481481481482</v>
      </c>
      <c r="D4589" s="1">
        <v>12.923028</v>
      </c>
      <c r="E4589" s="1">
        <v>80.114021</v>
      </c>
      <c r="F4589" s="1">
        <v>805.0</v>
      </c>
      <c r="G4589" s="1">
        <v>19.0</v>
      </c>
    </row>
    <row r="4590">
      <c r="A4590" s="1" t="s">
        <v>8</v>
      </c>
      <c r="B4590" s="2">
        <v>44726.0</v>
      </c>
      <c r="C4590" s="3">
        <v>0.6984143518518519</v>
      </c>
      <c r="D4590" s="1">
        <v>12.924825</v>
      </c>
      <c r="E4590" s="1">
        <v>80.115853</v>
      </c>
      <c r="F4590" s="1">
        <v>805.0</v>
      </c>
      <c r="G4590" s="1">
        <v>43.0</v>
      </c>
    </row>
    <row r="4591">
      <c r="A4591" s="1" t="s">
        <v>8</v>
      </c>
      <c r="B4591" s="2">
        <v>44726.0</v>
      </c>
      <c r="C4591" s="3">
        <v>0.6991435185185185</v>
      </c>
      <c r="D4591" s="1">
        <v>12.83995</v>
      </c>
      <c r="E4591" s="1">
        <v>80.055725</v>
      </c>
      <c r="F4591" s="1">
        <v>2846.0</v>
      </c>
      <c r="G4591" s="1">
        <v>39.0</v>
      </c>
    </row>
    <row r="4592">
      <c r="A4592" s="1" t="s">
        <v>8</v>
      </c>
      <c r="B4592" s="2">
        <v>44726.0</v>
      </c>
      <c r="C4592" s="3">
        <v>0.6992939814814815</v>
      </c>
      <c r="D4592" s="1">
        <v>12.927855</v>
      </c>
      <c r="E4592" s="1">
        <v>80.118914</v>
      </c>
      <c r="F4592" s="1">
        <v>805.0</v>
      </c>
      <c r="G4592" s="1">
        <v>35.0</v>
      </c>
    </row>
    <row r="4593">
      <c r="A4593" s="1" t="s">
        <v>7</v>
      </c>
      <c r="B4593" s="2">
        <v>44726.0</v>
      </c>
      <c r="C4593" s="3">
        <v>0.6996875</v>
      </c>
      <c r="D4593" s="1">
        <v>12.835172</v>
      </c>
      <c r="E4593" s="1">
        <v>80.050638</v>
      </c>
      <c r="F4593" s="1">
        <v>2846.0</v>
      </c>
      <c r="G4593" s="1">
        <v>57.0</v>
      </c>
    </row>
    <row r="4594">
      <c r="A4594" s="1" t="s">
        <v>8</v>
      </c>
      <c r="B4594" s="2">
        <v>44726.0</v>
      </c>
      <c r="C4594" s="3">
        <v>0.6997685185185185</v>
      </c>
      <c r="D4594" s="1">
        <v>12.931132</v>
      </c>
      <c r="E4594" s="1">
        <v>80.122207</v>
      </c>
      <c r="F4594" s="1">
        <v>805.0</v>
      </c>
      <c r="G4594" s="1">
        <v>32.0</v>
      </c>
    </row>
    <row r="4595">
      <c r="A4595" s="1" t="s">
        <v>8</v>
      </c>
      <c r="B4595" s="2">
        <v>44726.0</v>
      </c>
      <c r="C4595" s="3">
        <v>0.6998958333333334</v>
      </c>
      <c r="D4595" s="1">
        <v>12.932014</v>
      </c>
      <c r="E4595" s="1">
        <v>80.123102</v>
      </c>
      <c r="F4595" s="1">
        <v>805.0</v>
      </c>
      <c r="G4595" s="1">
        <v>33.0</v>
      </c>
    </row>
    <row r="4596">
      <c r="A4596" s="1" t="s">
        <v>8</v>
      </c>
      <c r="B4596" s="2">
        <v>44726.0</v>
      </c>
      <c r="C4596" s="3">
        <v>0.6998958333333334</v>
      </c>
      <c r="D4596" s="1">
        <v>12.932014</v>
      </c>
      <c r="E4596" s="1">
        <v>80.123102</v>
      </c>
      <c r="F4596" s="1">
        <v>805.0</v>
      </c>
      <c r="G4596" s="1">
        <v>33.0</v>
      </c>
    </row>
    <row r="4597">
      <c r="A4597" s="1" t="s">
        <v>7</v>
      </c>
      <c r="B4597" s="2">
        <v>44726.0</v>
      </c>
      <c r="C4597" s="3">
        <v>0.6999537037037037</v>
      </c>
      <c r="D4597" s="1">
        <v>12.833143</v>
      </c>
      <c r="E4597" s="1">
        <v>80.048512</v>
      </c>
      <c r="F4597" s="1">
        <v>2846.0</v>
      </c>
      <c r="G4597" s="1">
        <v>58.0</v>
      </c>
    </row>
    <row r="4598">
      <c r="A4598" s="1" t="s">
        <v>8</v>
      </c>
      <c r="B4598" s="2">
        <v>44726.0</v>
      </c>
      <c r="C4598" s="3">
        <v>0.6999768518518519</v>
      </c>
      <c r="D4598" s="1">
        <v>12.932014</v>
      </c>
      <c r="E4598" s="1">
        <v>80.123102</v>
      </c>
      <c r="F4598" s="1">
        <v>805.0</v>
      </c>
      <c r="G4598" s="1">
        <v>33.0</v>
      </c>
    </row>
    <row r="4599">
      <c r="A4599" s="1" t="s">
        <v>8</v>
      </c>
      <c r="B4599" s="2">
        <v>44726.0</v>
      </c>
      <c r="C4599" s="3">
        <v>0.7000115740740741</v>
      </c>
      <c r="D4599" s="1">
        <v>12.932014</v>
      </c>
      <c r="E4599" s="1">
        <v>80.123102</v>
      </c>
      <c r="F4599" s="1">
        <v>805.0</v>
      </c>
      <c r="G4599" s="1">
        <v>33.0</v>
      </c>
    </row>
    <row r="4600">
      <c r="A4600" s="1" t="s">
        <v>7</v>
      </c>
      <c r="B4600" s="2">
        <v>44726.0</v>
      </c>
      <c r="C4600" s="3">
        <v>0.7000810185185186</v>
      </c>
      <c r="D4600" s="1">
        <v>12.83114</v>
      </c>
      <c r="E4600" s="1">
        <v>80.046414</v>
      </c>
      <c r="F4600" s="1">
        <v>2846.0</v>
      </c>
      <c r="G4600" s="1">
        <v>55.0</v>
      </c>
    </row>
    <row r="4601">
      <c r="A4601" s="1" t="s">
        <v>8</v>
      </c>
      <c r="B4601" s="2">
        <v>44726.0</v>
      </c>
      <c r="C4601" s="3">
        <v>0.7001736111111111</v>
      </c>
      <c r="D4601" s="1">
        <v>12.83114</v>
      </c>
      <c r="E4601" s="1">
        <v>80.046414</v>
      </c>
      <c r="F4601" s="1">
        <v>2846.0</v>
      </c>
      <c r="G4601" s="1">
        <v>55.0</v>
      </c>
    </row>
    <row r="4602">
      <c r="A4602" s="1" t="s">
        <v>7</v>
      </c>
      <c r="B4602" s="2">
        <v>44726.0</v>
      </c>
      <c r="C4602" s="3">
        <v>0.7002662037037037</v>
      </c>
      <c r="D4602" s="1">
        <v>12.830258</v>
      </c>
      <c r="E4602" s="1">
        <v>80.045436</v>
      </c>
      <c r="F4602" s="1">
        <v>2846.0</v>
      </c>
      <c r="G4602" s="1">
        <v>48.0</v>
      </c>
    </row>
    <row r="4603">
      <c r="A4603" s="1" t="s">
        <v>8</v>
      </c>
      <c r="B4603" s="2">
        <v>44726.0</v>
      </c>
      <c r="C4603" s="3">
        <v>0.700300925925926</v>
      </c>
      <c r="D4603" s="1">
        <v>12.830258</v>
      </c>
      <c r="E4603" s="1">
        <v>80.045436</v>
      </c>
      <c r="F4603" s="1">
        <v>2846.0</v>
      </c>
      <c r="G4603" s="1">
        <v>48.0</v>
      </c>
    </row>
    <row r="4604">
      <c r="A4604" s="1" t="s">
        <v>8</v>
      </c>
      <c r="B4604" s="2">
        <v>44726.0</v>
      </c>
      <c r="C4604" s="3">
        <v>0.7003935185185185</v>
      </c>
      <c r="D4604" s="1">
        <v>12.933973</v>
      </c>
      <c r="E4604" s="1">
        <v>80.125027</v>
      </c>
      <c r="F4604" s="1">
        <v>805.0</v>
      </c>
      <c r="G4604" s="1">
        <v>36.0</v>
      </c>
    </row>
    <row r="4605">
      <c r="A4605" s="1" t="s">
        <v>8</v>
      </c>
      <c r="B4605" s="2">
        <v>44726.0</v>
      </c>
      <c r="C4605" s="3">
        <v>0.7004166666666667</v>
      </c>
      <c r="D4605" s="1">
        <v>12.933973</v>
      </c>
      <c r="E4605" s="1">
        <v>80.125027</v>
      </c>
      <c r="F4605" s="1">
        <v>805.0</v>
      </c>
      <c r="G4605" s="1">
        <v>36.0</v>
      </c>
    </row>
    <row r="4606">
      <c r="A4606" s="1" t="s">
        <v>8</v>
      </c>
      <c r="B4606" s="2">
        <v>44726.0</v>
      </c>
      <c r="C4606" s="3">
        <v>0.7004166666666667</v>
      </c>
      <c r="D4606" s="1">
        <v>12.933973</v>
      </c>
      <c r="E4606" s="1">
        <v>80.125027</v>
      </c>
      <c r="F4606" s="1">
        <v>805.0</v>
      </c>
      <c r="G4606" s="1">
        <v>36.0</v>
      </c>
    </row>
    <row r="4607">
      <c r="A4607" s="1" t="s">
        <v>8</v>
      </c>
      <c r="B4607" s="2">
        <v>44726.0</v>
      </c>
      <c r="C4607" s="3">
        <v>0.7005671296296296</v>
      </c>
      <c r="D4607" s="1">
        <v>12.934826</v>
      </c>
      <c r="E4607" s="1">
        <v>80.125811</v>
      </c>
      <c r="F4607" s="1">
        <v>805.0</v>
      </c>
      <c r="G4607" s="1">
        <v>28.0</v>
      </c>
    </row>
    <row r="4608">
      <c r="A4608" s="1" t="s">
        <v>7</v>
      </c>
      <c r="B4608" s="2">
        <v>44726.0</v>
      </c>
      <c r="C4608" s="3">
        <v>0.700625</v>
      </c>
      <c r="D4608" s="1">
        <v>12.827418</v>
      </c>
      <c r="E4608" s="1">
        <v>80.042444</v>
      </c>
      <c r="F4608" s="1">
        <v>2846.0</v>
      </c>
      <c r="G4608" s="1">
        <v>57.0</v>
      </c>
    </row>
    <row r="4609">
      <c r="A4609" s="1" t="s">
        <v>8</v>
      </c>
      <c r="B4609" s="2">
        <v>44726.0</v>
      </c>
      <c r="C4609" s="3">
        <v>0.7007638888888889</v>
      </c>
      <c r="D4609" s="1">
        <v>12.935837</v>
      </c>
      <c r="E4609" s="1">
        <v>80.126655</v>
      </c>
      <c r="F4609" s="1">
        <v>805.0</v>
      </c>
      <c r="G4609" s="1">
        <v>32.0</v>
      </c>
    </row>
    <row r="4610">
      <c r="A4610" s="1" t="s">
        <v>8</v>
      </c>
      <c r="B4610" s="2">
        <v>44726.0</v>
      </c>
      <c r="C4610" s="3">
        <v>0.7007986111111111</v>
      </c>
      <c r="D4610" s="1">
        <v>12.936969</v>
      </c>
      <c r="E4610" s="1">
        <v>80.127695</v>
      </c>
      <c r="F4610" s="1">
        <v>805.0</v>
      </c>
      <c r="G4610" s="1">
        <v>43.0</v>
      </c>
    </row>
    <row r="4611">
      <c r="A4611" s="1" t="s">
        <v>7</v>
      </c>
      <c r="B4611" s="2">
        <v>44726.0</v>
      </c>
      <c r="C4611" s="3">
        <v>0.7009953703703704</v>
      </c>
      <c r="D4611" s="1">
        <v>12.938251</v>
      </c>
      <c r="E4611" s="1">
        <v>80.128879</v>
      </c>
      <c r="F4611" s="1">
        <v>805.0</v>
      </c>
      <c r="G4611" s="1">
        <v>50.0</v>
      </c>
    </row>
    <row r="4612">
      <c r="A4612" s="1" t="s">
        <v>7</v>
      </c>
      <c r="B4612" s="2">
        <v>44726.0</v>
      </c>
      <c r="C4612" s="3">
        <v>0.7010300925925926</v>
      </c>
      <c r="D4612" s="1">
        <v>12.822834</v>
      </c>
      <c r="E4612" s="1">
        <v>80.038802</v>
      </c>
      <c r="F4612" s="1">
        <v>2846.0</v>
      </c>
      <c r="G4612" s="1">
        <v>57.0</v>
      </c>
    </row>
    <row r="4613">
      <c r="A4613" s="1" t="s">
        <v>8</v>
      </c>
      <c r="B4613" s="2">
        <v>44726.0</v>
      </c>
      <c r="C4613" s="3">
        <v>0.7010763888888889</v>
      </c>
      <c r="D4613" s="1">
        <v>12.938251</v>
      </c>
      <c r="E4613" s="1">
        <v>80.128879</v>
      </c>
      <c r="F4613" s="1">
        <v>805.0</v>
      </c>
      <c r="G4613" s="1">
        <v>50.0</v>
      </c>
    </row>
    <row r="4614">
      <c r="A4614" s="1" t="s">
        <v>8</v>
      </c>
      <c r="B4614" s="2">
        <v>44726.0</v>
      </c>
      <c r="C4614" s="3">
        <v>0.7011458333333334</v>
      </c>
      <c r="D4614" s="1">
        <v>12.938251</v>
      </c>
      <c r="E4614" s="1">
        <v>80.128879</v>
      </c>
      <c r="F4614" s="1">
        <v>805.0</v>
      </c>
      <c r="G4614" s="1">
        <v>50.0</v>
      </c>
    </row>
    <row r="4615">
      <c r="A4615" s="1" t="s">
        <v>8</v>
      </c>
      <c r="B4615" s="2">
        <v>44726.0</v>
      </c>
      <c r="C4615" s="3">
        <v>0.7012847222222223</v>
      </c>
      <c r="D4615" s="1">
        <v>12.820733</v>
      </c>
      <c r="E4615" s="1">
        <v>80.037306</v>
      </c>
      <c r="F4615" s="1">
        <v>2846.0</v>
      </c>
      <c r="G4615" s="1">
        <v>46.0</v>
      </c>
    </row>
    <row r="4616">
      <c r="A4616" s="1" t="s">
        <v>8</v>
      </c>
      <c r="B4616" s="2">
        <v>44726.0</v>
      </c>
      <c r="C4616" s="3">
        <v>0.7013310185185185</v>
      </c>
      <c r="D4616" s="1">
        <v>12.820733</v>
      </c>
      <c r="E4616" s="1">
        <v>80.037306</v>
      </c>
      <c r="F4616" s="1">
        <v>2846.0</v>
      </c>
      <c r="G4616" s="1">
        <v>46.0</v>
      </c>
    </row>
    <row r="4617">
      <c r="A4617" s="1" t="s">
        <v>8</v>
      </c>
      <c r="B4617" s="2">
        <v>44726.0</v>
      </c>
      <c r="C4617" s="3">
        <v>0.7021180555555555</v>
      </c>
      <c r="D4617" s="1">
        <v>12.943733</v>
      </c>
      <c r="E4617" s="1">
        <v>80.134254</v>
      </c>
      <c r="F4617" s="1">
        <v>805.0</v>
      </c>
      <c r="G4617" s="1">
        <v>43.0</v>
      </c>
    </row>
    <row r="4618">
      <c r="A4618" s="1" t="s">
        <v>8</v>
      </c>
      <c r="B4618" s="2">
        <v>44726.0</v>
      </c>
      <c r="C4618" s="3">
        <v>0.7022222222222222</v>
      </c>
      <c r="D4618" s="1">
        <v>12.943733</v>
      </c>
      <c r="E4618" s="1">
        <v>80.134254</v>
      </c>
      <c r="F4618" s="1">
        <v>805.0</v>
      </c>
      <c r="G4618" s="1">
        <v>43.0</v>
      </c>
    </row>
    <row r="4619">
      <c r="A4619" s="1" t="s">
        <v>8</v>
      </c>
      <c r="B4619" s="2">
        <v>44726.0</v>
      </c>
      <c r="C4619" s="3">
        <v>0.7022453703703704</v>
      </c>
      <c r="D4619" s="1">
        <v>12.943733</v>
      </c>
      <c r="E4619" s="1">
        <v>80.134254</v>
      </c>
      <c r="F4619" s="1">
        <v>805.0</v>
      </c>
      <c r="G4619" s="1">
        <v>43.0</v>
      </c>
    </row>
    <row r="4620">
      <c r="A4620" s="1" t="s">
        <v>7</v>
      </c>
      <c r="B4620" s="2">
        <v>44726.0</v>
      </c>
      <c r="C4620" s="3">
        <v>0.7024652777777778</v>
      </c>
      <c r="D4620" s="1">
        <v>12.812661</v>
      </c>
      <c r="E4620" s="1">
        <v>80.031708</v>
      </c>
      <c r="F4620" s="1">
        <v>2846.0</v>
      </c>
      <c r="G4620" s="1">
        <v>57.0</v>
      </c>
    </row>
    <row r="4621">
      <c r="A4621" s="1" t="s">
        <v>8</v>
      </c>
      <c r="B4621" s="2">
        <v>44726.0</v>
      </c>
      <c r="C4621" s="3">
        <v>0.7028935185185186</v>
      </c>
      <c r="D4621" s="1">
        <v>12.94992</v>
      </c>
      <c r="E4621" s="1">
        <v>80.138978</v>
      </c>
      <c r="F4621" s="1">
        <v>805.0</v>
      </c>
      <c r="G4621" s="1">
        <v>44.0</v>
      </c>
    </row>
    <row r="4622">
      <c r="A4622" s="1" t="s">
        <v>7</v>
      </c>
      <c r="B4622" s="2">
        <v>44726.0</v>
      </c>
      <c r="C4622" s="3">
        <v>0.7030324074074074</v>
      </c>
      <c r="D4622" s="1">
        <v>12.805836</v>
      </c>
      <c r="E4622" s="1">
        <v>80.027288</v>
      </c>
      <c r="F4622" s="1">
        <v>2846.0</v>
      </c>
      <c r="G4622" s="1">
        <v>57.0</v>
      </c>
    </row>
    <row r="4623">
      <c r="A4623" s="1" t="s">
        <v>8</v>
      </c>
      <c r="B4623" s="2">
        <v>44726.0</v>
      </c>
      <c r="C4623" s="3">
        <v>0.7031481481481482</v>
      </c>
      <c r="D4623" s="1">
        <v>12.950897</v>
      </c>
      <c r="E4623" s="1">
        <v>80.139742</v>
      </c>
      <c r="F4623" s="1">
        <v>805.0</v>
      </c>
      <c r="G4623" s="1">
        <v>29.0</v>
      </c>
    </row>
    <row r="4624">
      <c r="A4624" s="1" t="s">
        <v>8</v>
      </c>
      <c r="B4624" s="2">
        <v>44726.0</v>
      </c>
      <c r="C4624" s="3">
        <v>0.7032407407407407</v>
      </c>
      <c r="D4624" s="1">
        <v>12.952006</v>
      </c>
      <c r="E4624" s="1">
        <v>80.140609</v>
      </c>
      <c r="F4624" s="1">
        <v>805.0</v>
      </c>
      <c r="G4624" s="1">
        <v>36.0</v>
      </c>
    </row>
    <row r="4625">
      <c r="A4625" s="1" t="s">
        <v>7</v>
      </c>
      <c r="B4625" s="2">
        <v>44726.0</v>
      </c>
      <c r="C4625" s="3">
        <v>0.7036574074074075</v>
      </c>
      <c r="D4625" s="1">
        <v>12.800842</v>
      </c>
      <c r="E4625" s="1">
        <v>80.024003</v>
      </c>
      <c r="F4625" s="1">
        <v>2846.0</v>
      </c>
      <c r="G4625" s="1">
        <v>49.0</v>
      </c>
    </row>
    <row r="4626">
      <c r="A4626" s="1" t="s">
        <v>8</v>
      </c>
      <c r="B4626" s="2">
        <v>44726.0</v>
      </c>
      <c r="C4626" s="3">
        <v>0.7042361111111111</v>
      </c>
      <c r="D4626" s="1">
        <v>12.956649</v>
      </c>
      <c r="E4626" s="1">
        <v>80.143284</v>
      </c>
      <c r="F4626" s="1">
        <v>805.0</v>
      </c>
      <c r="G4626" s="1">
        <v>33.0</v>
      </c>
    </row>
    <row r="4627">
      <c r="A4627" s="1" t="s">
        <v>8</v>
      </c>
      <c r="B4627" s="2">
        <v>44726.0</v>
      </c>
      <c r="C4627" s="3">
        <v>0.7042361111111111</v>
      </c>
      <c r="D4627" s="1">
        <v>12.956649</v>
      </c>
      <c r="E4627" s="1">
        <v>80.143284</v>
      </c>
      <c r="F4627" s="1">
        <v>805.0</v>
      </c>
      <c r="G4627" s="1">
        <v>33.0</v>
      </c>
    </row>
    <row r="4628">
      <c r="A4628" s="1" t="s">
        <v>8</v>
      </c>
      <c r="B4628" s="2">
        <v>44726.0</v>
      </c>
      <c r="C4628" s="3">
        <v>0.7042592592592593</v>
      </c>
      <c r="D4628" s="1">
        <v>12.956649</v>
      </c>
      <c r="E4628" s="1">
        <v>80.143284</v>
      </c>
      <c r="F4628" s="1">
        <v>805.0</v>
      </c>
      <c r="G4628" s="1">
        <v>33.0</v>
      </c>
    </row>
    <row r="4629">
      <c r="A4629" s="1" t="s">
        <v>8</v>
      </c>
      <c r="B4629" s="2">
        <v>44726.0</v>
      </c>
      <c r="C4629" s="3">
        <v>0.7044791666666667</v>
      </c>
      <c r="D4629" s="1">
        <v>12.959069</v>
      </c>
      <c r="E4629" s="1">
        <v>80.144446</v>
      </c>
      <c r="F4629" s="1">
        <v>805.0</v>
      </c>
      <c r="G4629" s="1">
        <v>30.0</v>
      </c>
    </row>
    <row r="4630">
      <c r="A4630" s="1" t="s">
        <v>7</v>
      </c>
      <c r="B4630" s="2">
        <v>44726.0</v>
      </c>
      <c r="C4630" s="3">
        <v>0.7047685185185185</v>
      </c>
      <c r="D4630" s="1">
        <v>12.79365</v>
      </c>
      <c r="E4630" s="1">
        <v>80.019286</v>
      </c>
      <c r="F4630" s="1">
        <v>2846.0</v>
      </c>
      <c r="G4630" s="1">
        <v>48.0</v>
      </c>
    </row>
    <row r="4631">
      <c r="A4631" s="1" t="s">
        <v>7</v>
      </c>
      <c r="B4631" s="2">
        <v>44726.0</v>
      </c>
      <c r="C4631" s="3">
        <v>0.705300925925926</v>
      </c>
      <c r="D4631" s="1">
        <v>12.963785</v>
      </c>
      <c r="E4631" s="1">
        <v>80.147112</v>
      </c>
      <c r="F4631" s="1">
        <v>805.0</v>
      </c>
      <c r="G4631" s="1">
        <v>48.0</v>
      </c>
    </row>
    <row r="4632">
      <c r="A4632" s="1" t="s">
        <v>8</v>
      </c>
      <c r="B4632" s="2">
        <v>44726.0</v>
      </c>
      <c r="C4632" s="3">
        <v>0.7053356481481482</v>
      </c>
      <c r="D4632" s="1">
        <v>12.963785</v>
      </c>
      <c r="E4632" s="1">
        <v>80.147112</v>
      </c>
      <c r="F4632" s="1">
        <v>805.0</v>
      </c>
      <c r="G4632" s="1">
        <v>48.0</v>
      </c>
    </row>
    <row r="4633">
      <c r="A4633" s="1" t="s">
        <v>8</v>
      </c>
      <c r="B4633" s="2">
        <v>44726.0</v>
      </c>
      <c r="C4633" s="3">
        <v>0.7054166666666667</v>
      </c>
      <c r="D4633" s="1">
        <v>12.963785</v>
      </c>
      <c r="E4633" s="1">
        <v>80.147112</v>
      </c>
      <c r="F4633" s="1">
        <v>805.0</v>
      </c>
      <c r="G4633" s="1">
        <v>48.0</v>
      </c>
    </row>
    <row r="4634">
      <c r="A4634" s="1" t="s">
        <v>8</v>
      </c>
      <c r="B4634" s="2">
        <v>44726.0</v>
      </c>
      <c r="C4634" s="3">
        <v>0.7054861111111111</v>
      </c>
      <c r="D4634" s="1">
        <v>12.965713</v>
      </c>
      <c r="E4634" s="1">
        <v>80.14824</v>
      </c>
      <c r="F4634" s="1">
        <v>805.0</v>
      </c>
      <c r="G4634" s="1">
        <v>56.0</v>
      </c>
    </row>
    <row r="4635">
      <c r="A4635" s="1" t="s">
        <v>7</v>
      </c>
      <c r="B4635" s="2">
        <v>44726.0</v>
      </c>
      <c r="C4635" s="3">
        <v>0.7058449074074075</v>
      </c>
      <c r="D4635" s="1">
        <v>12.969062</v>
      </c>
      <c r="E4635" s="1">
        <v>80.149884</v>
      </c>
      <c r="F4635" s="1">
        <v>805.0</v>
      </c>
      <c r="G4635" s="1">
        <v>58.0</v>
      </c>
    </row>
    <row r="4636">
      <c r="A4636" s="1" t="s">
        <v>7</v>
      </c>
      <c r="B4636" s="2">
        <v>44726.0</v>
      </c>
      <c r="C4636" s="3">
        <v>0.7061458333333334</v>
      </c>
      <c r="D4636" s="1">
        <v>12.777608</v>
      </c>
      <c r="E4636" s="1">
        <v>80.01072</v>
      </c>
      <c r="F4636" s="1">
        <v>2846.0</v>
      </c>
      <c r="G4636" s="1">
        <v>57.0</v>
      </c>
    </row>
    <row r="4637">
      <c r="A4637" s="1" t="s">
        <v>7</v>
      </c>
      <c r="B4637" s="2">
        <v>44726.0</v>
      </c>
      <c r="C4637" s="3">
        <v>0.7061458333333334</v>
      </c>
      <c r="D4637" s="1">
        <v>12.972845</v>
      </c>
      <c r="E4637" s="1">
        <v>80.152331</v>
      </c>
      <c r="F4637" s="1">
        <v>805.0</v>
      </c>
      <c r="G4637" s="1">
        <v>57.0</v>
      </c>
    </row>
    <row r="4638">
      <c r="A4638" s="1" t="s">
        <v>8</v>
      </c>
      <c r="B4638" s="2">
        <v>44726.0</v>
      </c>
      <c r="C4638" s="3">
        <v>0.7062847222222223</v>
      </c>
      <c r="D4638" s="1">
        <v>12.972845</v>
      </c>
      <c r="E4638" s="1">
        <v>80.152331</v>
      </c>
      <c r="F4638" s="1">
        <v>805.0</v>
      </c>
      <c r="G4638" s="1">
        <v>57.0</v>
      </c>
    </row>
    <row r="4639">
      <c r="A4639" s="1" t="s">
        <v>7</v>
      </c>
      <c r="B4639" s="2">
        <v>44726.0</v>
      </c>
      <c r="C4639" s="3">
        <v>0.7062962962962963</v>
      </c>
      <c r="D4639" s="1">
        <v>12.777608</v>
      </c>
      <c r="E4639" s="1">
        <v>80.01072</v>
      </c>
      <c r="F4639" s="1">
        <v>2846.0</v>
      </c>
      <c r="G4639" s="1">
        <v>57.0</v>
      </c>
    </row>
    <row r="4640">
      <c r="A4640" s="1" t="s">
        <v>8</v>
      </c>
      <c r="B4640" s="2">
        <v>44726.0</v>
      </c>
      <c r="C4640" s="3">
        <v>0.7066435185185185</v>
      </c>
      <c r="D4640" s="1">
        <v>12.975366</v>
      </c>
      <c r="E4640" s="1">
        <v>80.155958</v>
      </c>
      <c r="F4640" s="1">
        <v>805.0</v>
      </c>
      <c r="G4640" s="1">
        <v>34.0</v>
      </c>
    </row>
    <row r="4641">
      <c r="A4641" s="1" t="s">
        <v>7</v>
      </c>
      <c r="B4641" s="2">
        <v>44726.0</v>
      </c>
      <c r="C4641" s="3">
        <v>0.7068518518518518</v>
      </c>
      <c r="D4641" s="1">
        <v>12.76941</v>
      </c>
      <c r="E4641" s="1">
        <v>80.006996</v>
      </c>
      <c r="F4641" s="1">
        <v>2846.0</v>
      </c>
      <c r="G4641" s="1">
        <v>57.0</v>
      </c>
    </row>
    <row r="4642">
      <c r="A4642" s="1" t="s">
        <v>7</v>
      </c>
      <c r="B4642" s="2">
        <v>44726.0</v>
      </c>
      <c r="C4642" s="3">
        <v>0.7071296296296297</v>
      </c>
      <c r="D4642" s="1">
        <v>12.767456</v>
      </c>
      <c r="E4642" s="1">
        <v>80.006021</v>
      </c>
      <c r="F4642" s="1">
        <v>2846.0</v>
      </c>
      <c r="G4642" s="1">
        <v>57.0</v>
      </c>
    </row>
    <row r="4643">
      <c r="A4643" s="1" t="s">
        <v>8</v>
      </c>
      <c r="B4643" s="2">
        <v>44726.0</v>
      </c>
      <c r="C4643" s="3">
        <v>0.7074421296296296</v>
      </c>
      <c r="D4643" s="1">
        <v>12.979937</v>
      </c>
      <c r="E4643" s="1">
        <v>80.162831</v>
      </c>
      <c r="F4643" s="1">
        <v>805.0</v>
      </c>
      <c r="G4643" s="1">
        <v>44.0</v>
      </c>
    </row>
    <row r="4644">
      <c r="A4644" s="1" t="s">
        <v>7</v>
      </c>
      <c r="B4644" s="2">
        <v>44726.0</v>
      </c>
      <c r="C4644" s="3">
        <v>0.7076967592592592</v>
      </c>
      <c r="D4644" s="1">
        <v>12.980484</v>
      </c>
      <c r="E4644" s="1">
        <v>80.164664</v>
      </c>
      <c r="F4644" s="1">
        <v>805.0</v>
      </c>
      <c r="G4644" s="1">
        <v>50.0</v>
      </c>
    </row>
    <row r="4645">
      <c r="A4645" s="1" t="s">
        <v>8</v>
      </c>
      <c r="B4645" s="2">
        <v>44726.0</v>
      </c>
      <c r="C4645" s="3">
        <v>0.7080092592592593</v>
      </c>
      <c r="D4645" s="1">
        <v>12.982507</v>
      </c>
      <c r="E4645" s="1">
        <v>80.168383</v>
      </c>
      <c r="F4645" s="1">
        <v>805.0</v>
      </c>
      <c r="G4645" s="1">
        <v>58.0</v>
      </c>
    </row>
    <row r="4646">
      <c r="A4646" s="1" t="s">
        <v>8</v>
      </c>
      <c r="B4646" s="2">
        <v>44726.0</v>
      </c>
      <c r="C4646" s="3">
        <v>0.7081712962962963</v>
      </c>
      <c r="D4646" s="1">
        <v>12.983649</v>
      </c>
      <c r="E4646" s="1">
        <v>80.170303</v>
      </c>
      <c r="F4646" s="1">
        <v>805.0</v>
      </c>
      <c r="G4646" s="1">
        <v>58.0</v>
      </c>
    </row>
    <row r="4647">
      <c r="A4647" s="1" t="s">
        <v>8</v>
      </c>
      <c r="B4647" s="2">
        <v>44726.0</v>
      </c>
      <c r="C4647" s="3">
        <v>0.7088310185185185</v>
      </c>
      <c r="D4647" s="1">
        <v>12.985976</v>
      </c>
      <c r="E4647" s="1">
        <v>80.173904</v>
      </c>
      <c r="F4647" s="1">
        <v>805.0</v>
      </c>
      <c r="G4647" s="1">
        <v>0.0</v>
      </c>
    </row>
    <row r="4648">
      <c r="A4648" s="1" t="s">
        <v>8</v>
      </c>
      <c r="B4648" s="2">
        <v>44726.0</v>
      </c>
      <c r="C4648" s="3">
        <v>0.7090162037037037</v>
      </c>
      <c r="D4648" s="1">
        <v>12.98613</v>
      </c>
      <c r="E4648" s="1">
        <v>80.174122</v>
      </c>
      <c r="F4648" s="1">
        <v>805.0</v>
      </c>
      <c r="G4648" s="1">
        <v>17.0</v>
      </c>
    </row>
    <row r="4649">
      <c r="A4649" s="1" t="s">
        <v>8</v>
      </c>
      <c r="B4649" s="2">
        <v>44726.0</v>
      </c>
      <c r="C4649" s="3">
        <v>0.7090277777777778</v>
      </c>
      <c r="D4649" s="1">
        <v>12.98613</v>
      </c>
      <c r="E4649" s="1">
        <v>80.174122</v>
      </c>
      <c r="F4649" s="1">
        <v>805.0</v>
      </c>
      <c r="G4649" s="1">
        <v>17.0</v>
      </c>
    </row>
    <row r="4650">
      <c r="A4650" s="1" t="s">
        <v>8</v>
      </c>
      <c r="B4650" s="2">
        <v>44726.0</v>
      </c>
      <c r="C4650" s="3">
        <v>0.7090625</v>
      </c>
      <c r="D4650" s="1">
        <v>12.98613</v>
      </c>
      <c r="E4650" s="1">
        <v>80.174122</v>
      </c>
      <c r="F4650" s="1">
        <v>805.0</v>
      </c>
      <c r="G4650" s="1">
        <v>17.0</v>
      </c>
    </row>
    <row r="4651">
      <c r="A4651" s="1" t="s">
        <v>7</v>
      </c>
      <c r="B4651" s="2">
        <v>44726.0</v>
      </c>
      <c r="C4651" s="3">
        <v>0.709212962962963</v>
      </c>
      <c r="D4651" s="1">
        <v>12.752427</v>
      </c>
      <c r="E4651" s="1">
        <v>79.999688</v>
      </c>
      <c r="F4651" s="1">
        <v>2846.0</v>
      </c>
      <c r="G4651" s="1">
        <v>58.0</v>
      </c>
    </row>
    <row r="4652">
      <c r="A4652" s="1" t="s">
        <v>8</v>
      </c>
      <c r="B4652" s="2">
        <v>44726.0</v>
      </c>
      <c r="C4652" s="3">
        <v>0.7093287037037037</v>
      </c>
      <c r="D4652" s="1">
        <v>12.986631</v>
      </c>
      <c r="E4652" s="1">
        <v>80.17484</v>
      </c>
      <c r="F4652" s="1">
        <v>805.0</v>
      </c>
      <c r="G4652" s="1">
        <v>15.0</v>
      </c>
    </row>
    <row r="4653">
      <c r="A4653" s="1" t="s">
        <v>8</v>
      </c>
      <c r="B4653" s="2">
        <v>44726.0</v>
      </c>
      <c r="C4653" s="3">
        <v>0.7094444444444444</v>
      </c>
      <c r="D4653" s="1">
        <v>12.987222</v>
      </c>
      <c r="E4653" s="1">
        <v>80.175708</v>
      </c>
      <c r="F4653" s="1">
        <v>805.0</v>
      </c>
      <c r="G4653" s="1">
        <v>33.0</v>
      </c>
    </row>
    <row r="4654">
      <c r="A4654" s="1" t="s">
        <v>7</v>
      </c>
      <c r="B4654" s="2">
        <v>44726.0</v>
      </c>
      <c r="C4654" s="3">
        <v>0.7095023148148148</v>
      </c>
      <c r="D4654" s="1">
        <v>12.750601</v>
      </c>
      <c r="E4654" s="1">
        <v>79.998458</v>
      </c>
      <c r="F4654" s="1">
        <v>2846.0</v>
      </c>
      <c r="G4654" s="1">
        <v>58.0</v>
      </c>
    </row>
    <row r="4655">
      <c r="A4655" s="1" t="s">
        <v>8</v>
      </c>
      <c r="B4655" s="2">
        <v>44726.0</v>
      </c>
      <c r="C4655" s="3">
        <v>0.7101041666666666</v>
      </c>
      <c r="D4655" s="1">
        <v>12.989424</v>
      </c>
      <c r="E4655" s="1">
        <v>80.178658</v>
      </c>
      <c r="F4655" s="1">
        <v>805.0</v>
      </c>
      <c r="G4655" s="1">
        <v>11.0</v>
      </c>
    </row>
    <row r="4656">
      <c r="A4656" s="1" t="s">
        <v>7</v>
      </c>
      <c r="B4656" s="2">
        <v>44726.0</v>
      </c>
      <c r="C4656" s="3">
        <v>0.7105208333333334</v>
      </c>
      <c r="D4656" s="1">
        <v>12.742892</v>
      </c>
      <c r="E4656" s="1">
        <v>79.992339</v>
      </c>
      <c r="F4656" s="1">
        <v>2846.0</v>
      </c>
      <c r="G4656" s="1">
        <v>0.0</v>
      </c>
    </row>
    <row r="4657">
      <c r="A4657" s="1" t="s">
        <v>8</v>
      </c>
      <c r="B4657" s="2">
        <v>44726.0</v>
      </c>
      <c r="C4657" s="3">
        <v>0.7105208333333334</v>
      </c>
      <c r="D4657" s="1">
        <v>12.990961</v>
      </c>
      <c r="E4657" s="1">
        <v>80.180666</v>
      </c>
      <c r="F4657" s="1">
        <v>805.0</v>
      </c>
      <c r="G4657" s="1">
        <v>41.0</v>
      </c>
    </row>
    <row r="4658">
      <c r="A4658" s="1" t="s">
        <v>7</v>
      </c>
      <c r="B4658" s="2">
        <v>44726.0</v>
      </c>
      <c r="C4658" s="3">
        <v>0.7106828703703704</v>
      </c>
      <c r="D4658" s="1">
        <v>12.741722</v>
      </c>
      <c r="E4658" s="1">
        <v>79.991321</v>
      </c>
      <c r="F4658" s="1">
        <v>2846.0</v>
      </c>
      <c r="G4658" s="1">
        <v>39.0</v>
      </c>
    </row>
    <row r="4659">
      <c r="A4659" s="1" t="s">
        <v>8</v>
      </c>
      <c r="B4659" s="2">
        <v>44726.0</v>
      </c>
      <c r="C4659" s="3">
        <v>0.7117939814814814</v>
      </c>
      <c r="D4659" s="1">
        <v>12.995699</v>
      </c>
      <c r="E4659" s="1">
        <v>80.188766</v>
      </c>
      <c r="F4659" s="1">
        <v>805.0</v>
      </c>
      <c r="G4659" s="1">
        <v>25.0</v>
      </c>
    </row>
    <row r="4660">
      <c r="A4660" s="1" t="s">
        <v>8</v>
      </c>
      <c r="B4660" s="2">
        <v>44726.0</v>
      </c>
      <c r="C4660" s="3">
        <v>0.7118402777777778</v>
      </c>
      <c r="D4660" s="1">
        <v>12.995699</v>
      </c>
      <c r="E4660" s="1">
        <v>80.188766</v>
      </c>
      <c r="F4660" s="1">
        <v>805.0</v>
      </c>
      <c r="G4660" s="1">
        <v>25.0</v>
      </c>
    </row>
    <row r="4661">
      <c r="A4661" s="1" t="s">
        <v>9</v>
      </c>
      <c r="B4661" s="2">
        <v>44726.0</v>
      </c>
      <c r="C4661" s="3">
        <v>0.7119328703703703</v>
      </c>
      <c r="D4661" s="1">
        <v>12.996181</v>
      </c>
      <c r="E4661" s="1">
        <v>80.189398</v>
      </c>
      <c r="F4661" s="1">
        <v>805.0</v>
      </c>
      <c r="G4661" s="1">
        <v>27.0</v>
      </c>
    </row>
    <row r="4662">
      <c r="A4662" s="1" t="s">
        <v>8</v>
      </c>
      <c r="B4662" s="2">
        <v>44726.0</v>
      </c>
      <c r="C4662" s="3">
        <v>0.713599537037037</v>
      </c>
      <c r="D4662" s="1">
        <v>12.724184</v>
      </c>
      <c r="E4662" s="1">
        <v>79.981896</v>
      </c>
      <c r="F4662" s="1">
        <v>2846.0</v>
      </c>
      <c r="G4662" s="1">
        <v>0.0</v>
      </c>
    </row>
    <row r="4663">
      <c r="A4663" s="1" t="s">
        <v>7</v>
      </c>
      <c r="B4663" s="2">
        <v>44726.0</v>
      </c>
      <c r="C4663" s="3">
        <v>0.713900462962963</v>
      </c>
      <c r="D4663" s="1">
        <v>12.72218</v>
      </c>
      <c r="E4663" s="1">
        <v>79.981473</v>
      </c>
      <c r="F4663" s="1">
        <v>2846.0</v>
      </c>
      <c r="G4663" s="1">
        <v>35.0</v>
      </c>
    </row>
    <row r="4664">
      <c r="A4664" s="1" t="s">
        <v>7</v>
      </c>
      <c r="B4664" s="2">
        <v>44726.0</v>
      </c>
      <c r="C4664" s="3">
        <v>0.7146180555555556</v>
      </c>
      <c r="D4664" s="1">
        <v>12.714372</v>
      </c>
      <c r="E4664" s="1">
        <v>79.980262</v>
      </c>
      <c r="F4664" s="1">
        <v>2846.0</v>
      </c>
      <c r="G4664" s="1">
        <v>58.0</v>
      </c>
    </row>
    <row r="4665">
      <c r="A4665" s="1" t="s">
        <v>7</v>
      </c>
      <c r="B4665" s="2">
        <v>44726.0</v>
      </c>
      <c r="C4665" s="3">
        <v>0.7150115740740741</v>
      </c>
      <c r="D4665" s="1">
        <v>12.7106</v>
      </c>
      <c r="E4665" s="1">
        <v>79.97831</v>
      </c>
      <c r="F4665" s="1">
        <v>2846.0</v>
      </c>
      <c r="G4665" s="1">
        <v>40.0</v>
      </c>
    </row>
    <row r="4666">
      <c r="A4666" s="1" t="s">
        <v>8</v>
      </c>
      <c r="B4666" s="2">
        <v>44726.0</v>
      </c>
      <c r="C4666" s="3">
        <v>0.7151041666666667</v>
      </c>
      <c r="D4666" s="1">
        <v>12.708911</v>
      </c>
      <c r="E4666" s="1">
        <v>79.97738</v>
      </c>
      <c r="F4666" s="1">
        <v>2846.0</v>
      </c>
      <c r="G4666" s="1">
        <v>55.0</v>
      </c>
    </row>
    <row r="4667">
      <c r="A4667" s="1" t="s">
        <v>8</v>
      </c>
      <c r="B4667" s="2">
        <v>44726.0</v>
      </c>
      <c r="C4667" s="3">
        <v>0.7155902777777777</v>
      </c>
      <c r="D4667" s="1">
        <v>13.002085</v>
      </c>
      <c r="E4667" s="1">
        <v>80.196901</v>
      </c>
      <c r="F4667" s="1">
        <v>805.0</v>
      </c>
      <c r="G4667" s="1">
        <v>32.0</v>
      </c>
    </row>
    <row r="4668">
      <c r="A4668" s="1" t="s">
        <v>8</v>
      </c>
      <c r="B4668" s="2">
        <v>44726.0</v>
      </c>
      <c r="C4668" s="3">
        <v>0.7162847222222222</v>
      </c>
      <c r="D4668" s="1">
        <v>13.005642</v>
      </c>
      <c r="E4668" s="1">
        <v>80.201857</v>
      </c>
      <c r="F4668" s="1">
        <v>805.0</v>
      </c>
      <c r="G4668" s="1">
        <v>46.0</v>
      </c>
    </row>
    <row r="4669">
      <c r="A4669" s="1" t="s">
        <v>8</v>
      </c>
      <c r="B4669" s="2">
        <v>44726.0</v>
      </c>
      <c r="C4669" s="3">
        <v>0.7175115740740741</v>
      </c>
      <c r="D4669" s="1">
        <v>13.008018</v>
      </c>
      <c r="E4669" s="1">
        <v>80.208231</v>
      </c>
      <c r="F4669" s="1">
        <v>805.0</v>
      </c>
      <c r="G4669" s="1">
        <v>39.0</v>
      </c>
    </row>
    <row r="4670">
      <c r="A4670" s="1" t="s">
        <v>10</v>
      </c>
      <c r="B4670" s="2">
        <v>44726.0</v>
      </c>
      <c r="C4670" s="3">
        <v>0.7179861111111111</v>
      </c>
      <c r="D4670" s="1">
        <v>12.697223</v>
      </c>
      <c r="E4670" s="1">
        <v>79.973069</v>
      </c>
      <c r="F4670" s="1">
        <v>2846.0</v>
      </c>
      <c r="G4670" s="1">
        <v>14.0</v>
      </c>
    </row>
    <row r="4671">
      <c r="A4671" s="1" t="s">
        <v>8</v>
      </c>
      <c r="B4671" s="2">
        <v>44726.0</v>
      </c>
      <c r="C4671" s="3">
        <v>0.718113425925926</v>
      </c>
      <c r="D4671" s="1">
        <v>13.010175</v>
      </c>
      <c r="E4671" s="1">
        <v>80.215086</v>
      </c>
      <c r="F4671" s="1">
        <v>805.0</v>
      </c>
      <c r="G4671" s="1">
        <v>39.0</v>
      </c>
    </row>
    <row r="4672">
      <c r="A4672" s="1" t="s">
        <v>8</v>
      </c>
      <c r="B4672" s="2">
        <v>44726.0</v>
      </c>
      <c r="C4672" s="3">
        <v>0.7184606481481481</v>
      </c>
      <c r="D4672" s="1">
        <v>13.011419</v>
      </c>
      <c r="E4672" s="1">
        <v>80.21842</v>
      </c>
      <c r="F4672" s="1">
        <v>805.0</v>
      </c>
      <c r="G4672" s="1">
        <v>43.0</v>
      </c>
    </row>
    <row r="4673">
      <c r="A4673" s="1" t="s">
        <v>10</v>
      </c>
      <c r="B4673" s="2">
        <v>44726.0</v>
      </c>
      <c r="C4673" s="3">
        <v>0.720925925925926</v>
      </c>
      <c r="D4673" s="1">
        <v>12.695844</v>
      </c>
      <c r="E4673" s="1">
        <v>79.977678</v>
      </c>
      <c r="F4673" s="1">
        <v>2846.0</v>
      </c>
      <c r="G4673" s="1">
        <v>27.0</v>
      </c>
    </row>
    <row r="4674">
      <c r="A4674" s="1" t="s">
        <v>8</v>
      </c>
      <c r="B4674" s="2">
        <v>44726.0</v>
      </c>
      <c r="C4674" s="3">
        <v>0.7213194444444444</v>
      </c>
      <c r="D4674" s="1">
        <v>12.694319</v>
      </c>
      <c r="E4674" s="1">
        <v>79.978608</v>
      </c>
      <c r="F4674" s="1">
        <v>2846.0</v>
      </c>
      <c r="G4674" s="1">
        <v>23.0</v>
      </c>
    </row>
    <row r="4675">
      <c r="A4675" s="1" t="s">
        <v>7</v>
      </c>
      <c r="B4675" s="2">
        <v>44726.0</v>
      </c>
      <c r="C4675" s="3">
        <v>0.7284837962962963</v>
      </c>
      <c r="D4675" s="1">
        <v>12.669039</v>
      </c>
      <c r="E4675" s="1">
        <v>79.974064</v>
      </c>
      <c r="F4675" s="1">
        <v>2846.0</v>
      </c>
      <c r="G4675" s="1">
        <v>54.0</v>
      </c>
    </row>
    <row r="4676">
      <c r="A4676" s="1" t="s">
        <v>7</v>
      </c>
      <c r="B4676" s="2">
        <v>44726.0</v>
      </c>
      <c r="C4676" s="3">
        <v>0.728761574074074</v>
      </c>
      <c r="D4676" s="1">
        <v>12.667571</v>
      </c>
      <c r="E4676" s="1">
        <v>79.972215</v>
      </c>
      <c r="F4676" s="1">
        <v>2846.0</v>
      </c>
      <c r="G4676" s="1">
        <v>58.0</v>
      </c>
    </row>
    <row r="4677">
      <c r="A4677" s="1" t="s">
        <v>7</v>
      </c>
      <c r="B4677" s="2">
        <v>44726.0</v>
      </c>
      <c r="C4677" s="3">
        <v>0.7292592592592593</v>
      </c>
      <c r="D4677" s="1">
        <v>12.662756</v>
      </c>
      <c r="E4677" s="1">
        <v>79.967724</v>
      </c>
      <c r="F4677" s="1">
        <v>2846.0</v>
      </c>
      <c r="G4677" s="1">
        <v>53.0</v>
      </c>
    </row>
    <row r="4678">
      <c r="A4678" s="1" t="s">
        <v>7</v>
      </c>
      <c r="B4678" s="2">
        <v>44726.0</v>
      </c>
      <c r="C4678" s="3">
        <v>0.7294791666666667</v>
      </c>
      <c r="D4678" s="1">
        <v>12.661613</v>
      </c>
      <c r="E4678" s="1">
        <v>79.967012</v>
      </c>
      <c r="F4678" s="1">
        <v>2846.0</v>
      </c>
      <c r="G4678" s="1">
        <v>22.0</v>
      </c>
    </row>
    <row r="4679">
      <c r="A4679" s="1" t="s">
        <v>7</v>
      </c>
      <c r="B4679" s="2">
        <v>44726.0</v>
      </c>
      <c r="C4679" s="3">
        <v>0.7304166666666667</v>
      </c>
      <c r="D4679" s="1">
        <v>12.657473</v>
      </c>
      <c r="E4679" s="1">
        <v>79.958132</v>
      </c>
      <c r="F4679" s="1">
        <v>2846.0</v>
      </c>
      <c r="G4679" s="1">
        <v>39.0</v>
      </c>
    </row>
    <row r="4680">
      <c r="A4680" s="1" t="s">
        <v>7</v>
      </c>
      <c r="B4680" s="2">
        <v>44726.0</v>
      </c>
      <c r="C4680" s="3">
        <v>0.7305671296296297</v>
      </c>
      <c r="D4680" s="1">
        <v>12.657473</v>
      </c>
      <c r="E4680" s="1">
        <v>79.958132</v>
      </c>
      <c r="F4680" s="1">
        <v>2846.0</v>
      </c>
      <c r="G4680" s="1">
        <v>39.0</v>
      </c>
    </row>
    <row r="4681">
      <c r="A4681" s="1" t="s">
        <v>10</v>
      </c>
      <c r="B4681" s="2">
        <v>44726.0</v>
      </c>
      <c r="C4681" s="3">
        <v>0.7319560185185185</v>
      </c>
      <c r="D4681" s="1">
        <v>13.023454</v>
      </c>
      <c r="E4681" s="1">
        <v>80.263979</v>
      </c>
      <c r="F4681" s="1">
        <v>805.0</v>
      </c>
      <c r="G4681" s="1">
        <v>15.0</v>
      </c>
    </row>
    <row r="4682">
      <c r="A4682" s="1" t="s">
        <v>7</v>
      </c>
      <c r="B4682" s="2">
        <v>44726.0</v>
      </c>
      <c r="C4682" s="3">
        <v>0.7323726851851852</v>
      </c>
      <c r="D4682" s="1">
        <v>12.656448</v>
      </c>
      <c r="E4682" s="1">
        <v>79.941964</v>
      </c>
      <c r="F4682" s="1">
        <v>2846.0</v>
      </c>
      <c r="G4682" s="1">
        <v>45.0</v>
      </c>
    </row>
    <row r="4683">
      <c r="A4683" s="1" t="s">
        <v>7</v>
      </c>
      <c r="B4683" s="2">
        <v>44726.0</v>
      </c>
      <c r="C4683" s="3">
        <v>0.7324768518518519</v>
      </c>
      <c r="D4683" s="1">
        <v>12.656448</v>
      </c>
      <c r="E4683" s="1">
        <v>79.941964</v>
      </c>
      <c r="F4683" s="1">
        <v>2846.0</v>
      </c>
      <c r="G4683" s="1">
        <v>45.0</v>
      </c>
    </row>
    <row r="4684">
      <c r="A4684" s="1" t="s">
        <v>7</v>
      </c>
      <c r="B4684" s="2">
        <v>44726.0</v>
      </c>
      <c r="C4684" s="3">
        <v>0.7326041666666666</v>
      </c>
      <c r="D4684" s="1">
        <v>12.654437</v>
      </c>
      <c r="E4684" s="1">
        <v>79.94209</v>
      </c>
      <c r="F4684" s="1">
        <v>2846.0</v>
      </c>
      <c r="G4684" s="1">
        <v>52.0</v>
      </c>
    </row>
    <row r="4685">
      <c r="A4685" s="1" t="s">
        <v>7</v>
      </c>
      <c r="B4685" s="2">
        <v>44726.0</v>
      </c>
      <c r="C4685" s="3">
        <v>0.7326967592592593</v>
      </c>
      <c r="D4685" s="1">
        <v>12.654437</v>
      </c>
      <c r="E4685" s="1">
        <v>79.94209</v>
      </c>
      <c r="F4685" s="1">
        <v>2846.0</v>
      </c>
      <c r="G4685" s="1">
        <v>52.0</v>
      </c>
    </row>
    <row r="4686">
      <c r="A4686" s="1" t="s">
        <v>7</v>
      </c>
      <c r="B4686" s="2">
        <v>44726.0</v>
      </c>
      <c r="C4686" s="3">
        <v>0.7327777777777778</v>
      </c>
      <c r="D4686" s="1">
        <v>12.652387</v>
      </c>
      <c r="E4686" s="1">
        <v>79.942132</v>
      </c>
      <c r="F4686" s="1">
        <v>2846.0</v>
      </c>
      <c r="G4686" s="1">
        <v>51.0</v>
      </c>
    </row>
    <row r="4687">
      <c r="A4687" s="1" t="s">
        <v>7</v>
      </c>
      <c r="B4687" s="2">
        <v>44726.0</v>
      </c>
      <c r="C4687" s="3">
        <v>0.7330787037037036</v>
      </c>
      <c r="D4687" s="1">
        <v>12.650348</v>
      </c>
      <c r="E4687" s="1">
        <v>79.941466</v>
      </c>
      <c r="F4687" s="1">
        <v>2846.0</v>
      </c>
      <c r="G4687" s="1">
        <v>48.0</v>
      </c>
    </row>
    <row r="4688">
      <c r="A4688" s="1" t="s">
        <v>7</v>
      </c>
      <c r="B4688" s="2">
        <v>44726.0</v>
      </c>
      <c r="C4688" s="3">
        <v>0.733275462962963</v>
      </c>
      <c r="D4688" s="1">
        <v>12.648434</v>
      </c>
      <c r="E4688" s="1">
        <v>79.940862</v>
      </c>
      <c r="F4688" s="1">
        <v>2846.0</v>
      </c>
      <c r="G4688" s="1">
        <v>51.0</v>
      </c>
    </row>
    <row r="4689">
      <c r="A4689" s="1" t="s">
        <v>8</v>
      </c>
      <c r="B4689" s="2">
        <v>44726.0</v>
      </c>
      <c r="C4689" s="3">
        <v>0.7335879629629629</v>
      </c>
      <c r="D4689" s="1">
        <v>12.644576</v>
      </c>
      <c r="E4689" s="1">
        <v>79.939162</v>
      </c>
      <c r="F4689" s="1">
        <v>2846.0</v>
      </c>
      <c r="G4689" s="1">
        <v>58.0</v>
      </c>
    </row>
    <row r="4690">
      <c r="A4690" s="1" t="s">
        <v>8</v>
      </c>
      <c r="B4690" s="2">
        <v>44726.0</v>
      </c>
      <c r="C4690" s="3">
        <v>0.7341319444444444</v>
      </c>
      <c r="D4690" s="1">
        <v>12.638725</v>
      </c>
      <c r="E4690" s="1">
        <v>79.935624</v>
      </c>
      <c r="F4690" s="1">
        <v>2846.0</v>
      </c>
      <c r="G4690" s="1">
        <v>42.0</v>
      </c>
    </row>
    <row r="4691">
      <c r="A4691" s="1" t="s">
        <v>8</v>
      </c>
      <c r="B4691" s="2">
        <v>44726.0</v>
      </c>
      <c r="C4691" s="3">
        <v>0.7342708333333333</v>
      </c>
      <c r="D4691" s="1">
        <v>12.637257</v>
      </c>
      <c r="E4691" s="1">
        <v>79.93468</v>
      </c>
      <c r="F4691" s="1">
        <v>2846.0</v>
      </c>
      <c r="G4691" s="1">
        <v>45.0</v>
      </c>
    </row>
    <row r="4692">
      <c r="A4692" s="1" t="s">
        <v>7</v>
      </c>
      <c r="B4692" s="2">
        <v>44726.0</v>
      </c>
      <c r="C4692" s="3">
        <v>0.7354282407407408</v>
      </c>
      <c r="D4692" s="1">
        <v>12.629553</v>
      </c>
      <c r="E4692" s="1">
        <v>79.931038</v>
      </c>
      <c r="F4692" s="1">
        <v>2846.0</v>
      </c>
      <c r="G4692" s="1">
        <v>0.0</v>
      </c>
    </row>
    <row r="4693">
      <c r="A4693" s="1" t="s">
        <v>8</v>
      </c>
      <c r="B4693" s="2">
        <v>44726.0</v>
      </c>
      <c r="C4693" s="3">
        <v>0.7355092592592593</v>
      </c>
      <c r="D4693" s="1">
        <v>12.629553</v>
      </c>
      <c r="E4693" s="1">
        <v>79.931038</v>
      </c>
      <c r="F4693" s="1">
        <v>2846.0</v>
      </c>
      <c r="G4693" s="1">
        <v>0.0</v>
      </c>
    </row>
    <row r="4694">
      <c r="A4694" s="1" t="s">
        <v>7</v>
      </c>
      <c r="B4694" s="2">
        <v>44726.0</v>
      </c>
      <c r="C4694" s="3">
        <v>0.7357754629629629</v>
      </c>
      <c r="D4694" s="1">
        <v>12.62757</v>
      </c>
      <c r="E4694" s="1">
        <v>79.930138</v>
      </c>
      <c r="F4694" s="1">
        <v>2846.0</v>
      </c>
      <c r="G4694" s="1">
        <v>47.0</v>
      </c>
    </row>
    <row r="4695">
      <c r="A4695" s="1" t="s">
        <v>7</v>
      </c>
      <c r="B4695" s="2">
        <v>44726.0</v>
      </c>
      <c r="C4695" s="3">
        <v>0.7362037037037037</v>
      </c>
      <c r="D4695" s="1">
        <v>12.623492</v>
      </c>
      <c r="E4695" s="1">
        <v>79.92842</v>
      </c>
      <c r="F4695" s="1">
        <v>2846.0</v>
      </c>
      <c r="G4695" s="1">
        <v>56.0</v>
      </c>
    </row>
    <row r="4696">
      <c r="A4696" s="1" t="s">
        <v>7</v>
      </c>
      <c r="B4696" s="2">
        <v>44726.0</v>
      </c>
      <c r="C4696" s="3">
        <v>0.7363194444444444</v>
      </c>
      <c r="D4696" s="1">
        <v>12.621338</v>
      </c>
      <c r="E4696" s="1">
        <v>79.927521</v>
      </c>
      <c r="F4696" s="1">
        <v>2846.0</v>
      </c>
      <c r="G4696" s="1">
        <v>58.0</v>
      </c>
    </row>
    <row r="4697">
      <c r="A4697" s="1" t="s">
        <v>7</v>
      </c>
      <c r="B4697" s="2">
        <v>44726.0</v>
      </c>
      <c r="C4697" s="3">
        <v>0.736875</v>
      </c>
      <c r="D4697" s="1">
        <v>12.614676</v>
      </c>
      <c r="E4697" s="1">
        <v>79.925402</v>
      </c>
      <c r="F4697" s="1">
        <v>2846.0</v>
      </c>
      <c r="G4697" s="1">
        <v>57.0</v>
      </c>
    </row>
    <row r="4698">
      <c r="A4698" s="1" t="s">
        <v>7</v>
      </c>
      <c r="B4698" s="2">
        <v>44726.0</v>
      </c>
      <c r="C4698" s="3">
        <v>0.737025462962963</v>
      </c>
      <c r="D4698" s="1">
        <v>12.612515</v>
      </c>
      <c r="E4698" s="1">
        <v>79.924166</v>
      </c>
      <c r="F4698" s="1">
        <v>2846.0</v>
      </c>
      <c r="G4698" s="1">
        <v>57.0</v>
      </c>
    </row>
    <row r="4699">
      <c r="A4699" s="1" t="s">
        <v>8</v>
      </c>
      <c r="B4699" s="2">
        <v>44726.0</v>
      </c>
      <c r="C4699" s="3">
        <v>0.7378935185185185</v>
      </c>
      <c r="D4699" s="1">
        <v>12.606152</v>
      </c>
      <c r="E4699" s="1">
        <v>79.920946</v>
      </c>
      <c r="F4699" s="1">
        <v>2846.0</v>
      </c>
      <c r="G4699" s="1">
        <v>0.0</v>
      </c>
    </row>
    <row r="4700">
      <c r="A4700" s="1" t="s">
        <v>8</v>
      </c>
      <c r="B4700" s="2">
        <v>44726.0</v>
      </c>
      <c r="C4700" s="3">
        <v>0.7379166666666667</v>
      </c>
      <c r="D4700" s="1">
        <v>12.606152</v>
      </c>
      <c r="E4700" s="1">
        <v>79.920946</v>
      </c>
      <c r="F4700" s="1">
        <v>2846.0</v>
      </c>
      <c r="G4700" s="1">
        <v>0.0</v>
      </c>
    </row>
    <row r="4701">
      <c r="A4701" s="1" t="s">
        <v>8</v>
      </c>
      <c r="B4701" s="2">
        <v>44726.0</v>
      </c>
      <c r="C4701" s="3">
        <v>0.7387615740740741</v>
      </c>
      <c r="D4701" s="1">
        <v>12.602546</v>
      </c>
      <c r="E4701" s="1">
        <v>79.920244</v>
      </c>
      <c r="F4701" s="1">
        <v>2846.0</v>
      </c>
      <c r="G4701" s="1">
        <v>23.0</v>
      </c>
    </row>
    <row r="4702">
      <c r="A4702" s="1" t="s">
        <v>7</v>
      </c>
      <c r="B4702" s="2">
        <v>44726.0</v>
      </c>
      <c r="C4702" s="3">
        <v>0.7388657407407407</v>
      </c>
      <c r="D4702" s="1">
        <v>12.602546</v>
      </c>
      <c r="E4702" s="1">
        <v>79.920244</v>
      </c>
      <c r="F4702" s="1">
        <v>2846.0</v>
      </c>
      <c r="G4702" s="1">
        <v>23.0</v>
      </c>
    </row>
    <row r="4703">
      <c r="A4703" s="1" t="s">
        <v>7</v>
      </c>
      <c r="B4703" s="2">
        <v>44726.0</v>
      </c>
      <c r="C4703" s="3">
        <v>0.7390162037037037</v>
      </c>
      <c r="D4703" s="1">
        <v>12.601535</v>
      </c>
      <c r="E4703" s="1">
        <v>79.920118</v>
      </c>
      <c r="F4703" s="1">
        <v>2846.0</v>
      </c>
      <c r="G4703" s="1">
        <v>24.0</v>
      </c>
    </row>
    <row r="4704">
      <c r="A4704" s="1" t="s">
        <v>7</v>
      </c>
      <c r="B4704" s="2">
        <v>44726.0</v>
      </c>
      <c r="C4704" s="3">
        <v>0.7392013888888889</v>
      </c>
      <c r="D4704" s="1">
        <v>12.599958</v>
      </c>
      <c r="E4704" s="1">
        <v>79.919944</v>
      </c>
      <c r="F4704" s="1">
        <v>2846.0</v>
      </c>
      <c r="G4704" s="1">
        <v>46.0</v>
      </c>
    </row>
    <row r="4705">
      <c r="A4705" s="1" t="s">
        <v>8</v>
      </c>
      <c r="B4705" s="2">
        <v>44726.0</v>
      </c>
      <c r="C4705" s="3">
        <v>0.7401157407407407</v>
      </c>
      <c r="D4705" s="1">
        <v>12.588771</v>
      </c>
      <c r="E4705" s="1">
        <v>79.919382</v>
      </c>
      <c r="F4705" s="1">
        <v>2846.0</v>
      </c>
      <c r="G4705" s="1">
        <v>57.0</v>
      </c>
    </row>
    <row r="4706">
      <c r="A4706" s="1" t="s">
        <v>8</v>
      </c>
      <c r="B4706" s="2">
        <v>44726.0</v>
      </c>
      <c r="C4706" s="3">
        <v>0.7403240740740741</v>
      </c>
      <c r="D4706" s="1">
        <v>12.586433</v>
      </c>
      <c r="E4706" s="1">
        <v>79.919454</v>
      </c>
      <c r="F4706" s="1">
        <v>2846.0</v>
      </c>
      <c r="G4706" s="1">
        <v>57.0</v>
      </c>
    </row>
    <row r="4707">
      <c r="A4707" s="1" t="s">
        <v>7</v>
      </c>
      <c r="B4707" s="2">
        <v>44726.0</v>
      </c>
      <c r="C4707" s="3">
        <v>0.7410416666666667</v>
      </c>
      <c r="D4707" s="1">
        <v>12.577962</v>
      </c>
      <c r="E4707" s="1">
        <v>79.917514</v>
      </c>
      <c r="F4707" s="1">
        <v>2846.0</v>
      </c>
      <c r="G4707" s="1">
        <v>55.0</v>
      </c>
    </row>
    <row r="4708">
      <c r="A4708" s="1" t="s">
        <v>7</v>
      </c>
      <c r="B4708" s="2">
        <v>44726.0</v>
      </c>
      <c r="C4708" s="3">
        <v>0.741550925925926</v>
      </c>
      <c r="D4708" s="1">
        <v>12.571135</v>
      </c>
      <c r="E4708" s="1">
        <v>79.916006</v>
      </c>
      <c r="F4708" s="1">
        <v>2846.0</v>
      </c>
      <c r="G4708" s="1">
        <v>58.0</v>
      </c>
    </row>
    <row r="4709">
      <c r="A4709" s="1" t="s">
        <v>7</v>
      </c>
      <c r="B4709" s="2">
        <v>44726.0</v>
      </c>
      <c r="C4709" s="3">
        <v>0.7417361111111112</v>
      </c>
      <c r="D4709" s="1">
        <v>12.568882</v>
      </c>
      <c r="E4709" s="1">
        <v>79.9154</v>
      </c>
      <c r="F4709" s="1">
        <v>2846.0</v>
      </c>
      <c r="G4709" s="1">
        <v>57.0</v>
      </c>
    </row>
    <row r="4710">
      <c r="A4710" s="1" t="s">
        <v>7</v>
      </c>
      <c r="B4710" s="2">
        <v>44726.0</v>
      </c>
      <c r="C4710" s="3">
        <v>0.7422222222222222</v>
      </c>
      <c r="D4710" s="1">
        <v>12.564524</v>
      </c>
      <c r="E4710" s="1">
        <v>79.913945</v>
      </c>
      <c r="F4710" s="1">
        <v>2846.0</v>
      </c>
      <c r="G4710" s="1">
        <v>58.0</v>
      </c>
    </row>
    <row r="4711">
      <c r="A4711" s="1" t="s">
        <v>7</v>
      </c>
      <c r="B4711" s="2">
        <v>44726.0</v>
      </c>
      <c r="C4711" s="3">
        <v>0.743275462962963</v>
      </c>
      <c r="D4711" s="1">
        <v>12.55212</v>
      </c>
      <c r="E4711" s="1">
        <v>79.907073</v>
      </c>
      <c r="F4711" s="1">
        <v>2846.0</v>
      </c>
      <c r="G4711" s="1">
        <v>58.0</v>
      </c>
    </row>
    <row r="4712">
      <c r="A4712" s="1" t="s">
        <v>7</v>
      </c>
      <c r="B4712" s="2">
        <v>44726.0</v>
      </c>
      <c r="C4712" s="3">
        <v>0.7439467592592592</v>
      </c>
      <c r="D4712" s="1">
        <v>12.543365</v>
      </c>
      <c r="E4712" s="1">
        <v>79.904928</v>
      </c>
      <c r="F4712" s="1">
        <v>2846.0</v>
      </c>
      <c r="G4712" s="1">
        <v>30.0</v>
      </c>
    </row>
    <row r="4713">
      <c r="A4713" s="1" t="s">
        <v>7</v>
      </c>
      <c r="B4713" s="2">
        <v>44726.0</v>
      </c>
      <c r="C4713" s="3">
        <v>0.7442245370370371</v>
      </c>
      <c r="D4713" s="1">
        <v>12.541848</v>
      </c>
      <c r="E4713" s="1">
        <v>79.904635</v>
      </c>
      <c r="F4713" s="1">
        <v>2846.0</v>
      </c>
      <c r="G4713" s="1">
        <v>45.0</v>
      </c>
    </row>
    <row r="4714">
      <c r="A4714" s="1" t="s">
        <v>7</v>
      </c>
      <c r="B4714" s="2">
        <v>44726.0</v>
      </c>
      <c r="C4714" s="3">
        <v>0.744525462962963</v>
      </c>
      <c r="D4714" s="1">
        <v>12.53767</v>
      </c>
      <c r="E4714" s="1">
        <v>79.903529</v>
      </c>
      <c r="F4714" s="1">
        <v>2846.0</v>
      </c>
      <c r="G4714" s="1">
        <v>56.0</v>
      </c>
    </row>
    <row r="4715">
      <c r="A4715" s="1" t="s">
        <v>7</v>
      </c>
      <c r="B4715" s="2">
        <v>44726.0</v>
      </c>
      <c r="C4715" s="3">
        <v>0.7450462962962963</v>
      </c>
      <c r="D4715" s="1">
        <v>12.531625</v>
      </c>
      <c r="E4715" s="1">
        <v>79.900383</v>
      </c>
      <c r="F4715" s="1">
        <v>2846.0</v>
      </c>
      <c r="G4715" s="1">
        <v>52.0</v>
      </c>
    </row>
    <row r="4716">
      <c r="A4716" s="1" t="s">
        <v>7</v>
      </c>
      <c r="B4716" s="2">
        <v>44726.0</v>
      </c>
      <c r="C4716" s="3">
        <v>0.7457175925925926</v>
      </c>
      <c r="D4716" s="1">
        <v>12.528008</v>
      </c>
      <c r="E4716" s="1">
        <v>79.898524</v>
      </c>
      <c r="F4716" s="1">
        <v>2846.0</v>
      </c>
      <c r="G4716" s="1">
        <v>55.0</v>
      </c>
    </row>
    <row r="4717">
      <c r="A4717" s="1" t="s">
        <v>7</v>
      </c>
      <c r="B4717" s="2">
        <v>44726.0</v>
      </c>
      <c r="C4717" s="3">
        <v>0.7459953703703703</v>
      </c>
      <c r="D4717" s="1">
        <v>12.524058</v>
      </c>
      <c r="E4717" s="1">
        <v>79.896626</v>
      </c>
      <c r="F4717" s="1">
        <v>2846.0</v>
      </c>
      <c r="G4717" s="1">
        <v>48.0</v>
      </c>
    </row>
    <row r="4718">
      <c r="A4718" s="1" t="s">
        <v>10</v>
      </c>
      <c r="B4718" s="2">
        <v>44726.0</v>
      </c>
      <c r="C4718" s="3">
        <v>0.7483217592592593</v>
      </c>
      <c r="D4718" s="1">
        <v>13.053453</v>
      </c>
      <c r="E4718" s="1">
        <v>80.269254</v>
      </c>
      <c r="F4718" s="1">
        <v>805.0</v>
      </c>
      <c r="G4718" s="1">
        <v>12.0</v>
      </c>
    </row>
    <row r="4719">
      <c r="A4719" s="1" t="s">
        <v>10</v>
      </c>
      <c r="B4719" s="2">
        <v>44726.0</v>
      </c>
      <c r="C4719" s="3">
        <v>0.748900462962963</v>
      </c>
      <c r="D4719" s="1">
        <v>13.053316</v>
      </c>
      <c r="E4719" s="1">
        <v>80.271051</v>
      </c>
      <c r="F4719" s="1">
        <v>805.0</v>
      </c>
      <c r="G4719" s="1">
        <v>0.0</v>
      </c>
    </row>
    <row r="4720">
      <c r="A4720" s="1" t="s">
        <v>10</v>
      </c>
      <c r="B4720" s="2">
        <v>44726.0</v>
      </c>
      <c r="C4720" s="3">
        <v>0.7495601851851852</v>
      </c>
      <c r="D4720" s="1">
        <v>12.510307</v>
      </c>
      <c r="E4720" s="1">
        <v>79.884985</v>
      </c>
      <c r="F4720" s="1">
        <v>2846.0</v>
      </c>
      <c r="G4720" s="1">
        <v>8.0</v>
      </c>
    </row>
    <row r="4721">
      <c r="A4721" s="1" t="s">
        <v>7</v>
      </c>
      <c r="B4721" s="2">
        <v>44726.0</v>
      </c>
      <c r="C4721" s="3">
        <v>0.7515740740740741</v>
      </c>
      <c r="D4721" s="1">
        <v>12.50558</v>
      </c>
      <c r="E4721" s="1">
        <v>79.879758</v>
      </c>
      <c r="F4721" s="1">
        <v>2846.0</v>
      </c>
      <c r="G4721" s="1">
        <v>37.0</v>
      </c>
    </row>
    <row r="4722">
      <c r="A4722" s="1" t="s">
        <v>7</v>
      </c>
      <c r="B4722" s="2">
        <v>44726.0</v>
      </c>
      <c r="C4722" s="3">
        <v>0.7518981481481481</v>
      </c>
      <c r="D4722" s="1">
        <v>12.504135</v>
      </c>
      <c r="E4722" s="1">
        <v>79.878568</v>
      </c>
      <c r="F4722" s="1">
        <v>2846.0</v>
      </c>
      <c r="G4722" s="1">
        <v>52.0</v>
      </c>
    </row>
    <row r="4723">
      <c r="A4723" s="1" t="s">
        <v>7</v>
      </c>
      <c r="B4723" s="2">
        <v>44726.0</v>
      </c>
      <c r="C4723" s="3">
        <v>0.7553240740740741</v>
      </c>
      <c r="D4723" s="1">
        <v>12.49733</v>
      </c>
      <c r="E4723" s="1">
        <v>79.872916</v>
      </c>
      <c r="F4723" s="1">
        <v>2846.0</v>
      </c>
      <c r="G4723" s="1">
        <v>0.0</v>
      </c>
    </row>
    <row r="4724">
      <c r="A4724" s="1" t="s">
        <v>7</v>
      </c>
      <c r="B4724" s="2">
        <v>44726.0</v>
      </c>
      <c r="C4724" s="3">
        <v>0.7557638888888889</v>
      </c>
      <c r="D4724" s="1">
        <v>12.498429</v>
      </c>
      <c r="E4724" s="1">
        <v>79.873845</v>
      </c>
      <c r="F4724" s="1">
        <v>2846.0</v>
      </c>
      <c r="G4724" s="1">
        <v>44.0</v>
      </c>
    </row>
    <row r="4725">
      <c r="A4725" s="1" t="s">
        <v>7</v>
      </c>
      <c r="B4725" s="2">
        <v>44726.0</v>
      </c>
      <c r="C4725" s="3">
        <v>0.756099537037037</v>
      </c>
      <c r="D4725" s="1">
        <v>12.501941</v>
      </c>
      <c r="E4725" s="1">
        <v>79.876681</v>
      </c>
      <c r="F4725" s="1">
        <v>2846.0</v>
      </c>
      <c r="G4725" s="1">
        <v>56.0</v>
      </c>
    </row>
    <row r="4726">
      <c r="A4726" s="1" t="s">
        <v>7</v>
      </c>
      <c r="B4726" s="2">
        <v>44726.0</v>
      </c>
      <c r="C4726" s="3">
        <v>0.7568981481481482</v>
      </c>
      <c r="D4726" s="1">
        <v>12.509216</v>
      </c>
      <c r="E4726" s="1">
        <v>79.882256</v>
      </c>
      <c r="F4726" s="1">
        <v>2846.0</v>
      </c>
      <c r="G4726" s="1">
        <v>53.0</v>
      </c>
    </row>
    <row r="4727">
      <c r="A4727" s="1" t="s">
        <v>7</v>
      </c>
      <c r="B4727" s="2">
        <v>44726.0</v>
      </c>
      <c r="C4727" s="3">
        <v>0.7588194444444445</v>
      </c>
      <c r="D4727" s="1">
        <v>12.527001</v>
      </c>
      <c r="E4727" s="1">
        <v>79.897881</v>
      </c>
      <c r="F4727" s="1">
        <v>2846.0</v>
      </c>
      <c r="G4727" s="1">
        <v>57.0</v>
      </c>
    </row>
    <row r="4728">
      <c r="A4728" s="1" t="s">
        <v>7</v>
      </c>
      <c r="B4728" s="2">
        <v>44726.0</v>
      </c>
      <c r="C4728" s="3">
        <v>0.7593981481481481</v>
      </c>
      <c r="D4728" s="1">
        <v>12.533154</v>
      </c>
      <c r="E4728" s="1">
        <v>79.900886</v>
      </c>
      <c r="F4728" s="1">
        <v>2846.0</v>
      </c>
      <c r="G4728" s="1">
        <v>54.0</v>
      </c>
    </row>
    <row r="4729">
      <c r="A4729" s="1" t="s">
        <v>7</v>
      </c>
      <c r="B4729" s="2">
        <v>44726.0</v>
      </c>
      <c r="C4729" s="3">
        <v>0.7602893518518519</v>
      </c>
      <c r="D4729" s="1">
        <v>12.543089</v>
      </c>
      <c r="E4729" s="1">
        <v>79.90479</v>
      </c>
      <c r="F4729" s="1">
        <v>2846.0</v>
      </c>
      <c r="G4729" s="1">
        <v>47.0</v>
      </c>
    </row>
    <row r="4730">
      <c r="A4730" s="1" t="s">
        <v>7</v>
      </c>
      <c r="B4730" s="2">
        <v>44726.0</v>
      </c>
      <c r="C4730" s="3">
        <v>0.7605208333333333</v>
      </c>
      <c r="D4730" s="1">
        <v>12.545016</v>
      </c>
      <c r="E4730" s="1">
        <v>79.905146</v>
      </c>
      <c r="F4730" s="1">
        <v>2846.0</v>
      </c>
      <c r="G4730" s="1">
        <v>49.0</v>
      </c>
    </row>
    <row r="4731">
      <c r="A4731" s="1" t="s">
        <v>7</v>
      </c>
      <c r="B4731" s="2">
        <v>44726.0</v>
      </c>
      <c r="C4731" s="3">
        <v>0.7606481481481482</v>
      </c>
      <c r="D4731" s="1">
        <v>12.545016</v>
      </c>
      <c r="E4731" s="1">
        <v>79.905146</v>
      </c>
      <c r="F4731" s="1">
        <v>2846.0</v>
      </c>
      <c r="G4731" s="1">
        <v>49.0</v>
      </c>
    </row>
    <row r="4732">
      <c r="A4732" s="1" t="s">
        <v>10</v>
      </c>
      <c r="B4732" s="2">
        <v>44726.0</v>
      </c>
      <c r="C4732" s="3">
        <v>0.7614930555555556</v>
      </c>
      <c r="D4732" s="1">
        <v>13.069519</v>
      </c>
      <c r="E4732" s="1">
        <v>80.266635</v>
      </c>
      <c r="F4732" s="1">
        <v>805.0</v>
      </c>
      <c r="G4732" s="1">
        <v>20.0</v>
      </c>
    </row>
    <row r="4733">
      <c r="A4733" s="1" t="s">
        <v>7</v>
      </c>
      <c r="B4733" s="2">
        <v>44726.0</v>
      </c>
      <c r="C4733" s="3">
        <v>0.7616319444444445</v>
      </c>
      <c r="D4733" s="1">
        <v>12.557561</v>
      </c>
      <c r="E4733" s="1">
        <v>79.909761</v>
      </c>
      <c r="F4733" s="1">
        <v>2846.0</v>
      </c>
      <c r="G4733" s="1">
        <v>57.0</v>
      </c>
    </row>
    <row r="4734">
      <c r="A4734" s="1" t="s">
        <v>10</v>
      </c>
      <c r="B4734" s="2">
        <v>44726.0</v>
      </c>
      <c r="C4734" s="3">
        <v>0.7618518518518519</v>
      </c>
      <c r="D4734" s="1">
        <v>13.070955</v>
      </c>
      <c r="E4734" s="1">
        <v>80.265183</v>
      </c>
      <c r="F4734" s="1">
        <v>805.0</v>
      </c>
      <c r="G4734" s="1">
        <v>0.0</v>
      </c>
    </row>
    <row r="4735">
      <c r="A4735" s="1" t="s">
        <v>7</v>
      </c>
      <c r="B4735" s="2">
        <v>44726.0</v>
      </c>
      <c r="C4735" s="3">
        <v>0.7640393518518519</v>
      </c>
      <c r="D4735" s="1">
        <v>12.584751</v>
      </c>
      <c r="E4735" s="1">
        <v>79.919311</v>
      </c>
      <c r="F4735" s="1">
        <v>2846.0</v>
      </c>
      <c r="G4735" s="1">
        <v>56.0</v>
      </c>
    </row>
    <row r="4736">
      <c r="A4736" s="1" t="s">
        <v>7</v>
      </c>
      <c r="B4736" s="2">
        <v>44726.0</v>
      </c>
      <c r="C4736" s="3">
        <v>0.7641782407407407</v>
      </c>
      <c r="D4736" s="1">
        <v>12.584751</v>
      </c>
      <c r="E4736" s="1">
        <v>79.919311</v>
      </c>
      <c r="F4736" s="1">
        <v>2846.0</v>
      </c>
      <c r="G4736" s="1">
        <v>56.0</v>
      </c>
    </row>
    <row r="4737">
      <c r="A4737" s="1" t="s">
        <v>7</v>
      </c>
      <c r="B4737" s="2">
        <v>44726.0</v>
      </c>
      <c r="C4737" s="3">
        <v>0.7647222222222222</v>
      </c>
      <c r="D4737" s="1">
        <v>12.590892</v>
      </c>
      <c r="E4737" s="1">
        <v>79.919175</v>
      </c>
      <c r="F4737" s="1">
        <v>2846.0</v>
      </c>
      <c r="G4737" s="1">
        <v>58.0</v>
      </c>
    </row>
    <row r="4738">
      <c r="A4738" s="1" t="s">
        <v>7</v>
      </c>
      <c r="B4738" s="2">
        <v>44726.0</v>
      </c>
      <c r="C4738" s="3">
        <v>0.7648032407407407</v>
      </c>
      <c r="D4738" s="1">
        <v>12.593214</v>
      </c>
      <c r="E4738" s="1">
        <v>79.919124</v>
      </c>
      <c r="F4738" s="1">
        <v>2846.0</v>
      </c>
      <c r="G4738" s="1">
        <v>55.0</v>
      </c>
    </row>
    <row r="4739">
      <c r="A4739" s="1" t="s">
        <v>7</v>
      </c>
      <c r="B4739" s="2">
        <v>44726.0</v>
      </c>
      <c r="C4739" s="3">
        <v>0.7648495370370371</v>
      </c>
      <c r="D4739" s="1">
        <v>12.593214</v>
      </c>
      <c r="E4739" s="1">
        <v>79.919124</v>
      </c>
      <c r="F4739" s="1">
        <v>2846.0</v>
      </c>
      <c r="G4739" s="1">
        <v>55.0</v>
      </c>
    </row>
    <row r="4740">
      <c r="A4740" s="1" t="s">
        <v>8</v>
      </c>
      <c r="B4740" s="2">
        <v>44726.0</v>
      </c>
      <c r="C4740" s="3">
        <v>0.7650810185185185</v>
      </c>
      <c r="D4740" s="1">
        <v>13.069539</v>
      </c>
      <c r="E4740" s="1">
        <v>80.256986</v>
      </c>
      <c r="F4740" s="1">
        <v>805.0</v>
      </c>
      <c r="G4740" s="1">
        <v>25.0</v>
      </c>
    </row>
    <row r="4741">
      <c r="A4741" s="1" t="s">
        <v>7</v>
      </c>
      <c r="B4741" s="2">
        <v>44726.0</v>
      </c>
      <c r="C4741" s="3">
        <v>0.7652199074074074</v>
      </c>
      <c r="D4741" s="1">
        <v>12.597439</v>
      </c>
      <c r="E4741" s="1">
        <v>79.919572</v>
      </c>
      <c r="F4741" s="1">
        <v>2846.0</v>
      </c>
      <c r="G4741" s="1">
        <v>53.0</v>
      </c>
    </row>
    <row r="4742">
      <c r="A4742" s="1" t="s">
        <v>7</v>
      </c>
      <c r="B4742" s="2">
        <v>44726.0</v>
      </c>
      <c r="C4742" s="3">
        <v>0.7656712962962963</v>
      </c>
      <c r="D4742" s="1">
        <v>12.601871</v>
      </c>
      <c r="E4742" s="1">
        <v>79.920056</v>
      </c>
      <c r="F4742" s="1">
        <v>2846.0</v>
      </c>
      <c r="G4742" s="1">
        <v>54.0</v>
      </c>
    </row>
    <row r="4743">
      <c r="A4743" s="1" t="s">
        <v>7</v>
      </c>
      <c r="B4743" s="2">
        <v>44726.0</v>
      </c>
      <c r="C4743" s="3">
        <v>0.7664699074074074</v>
      </c>
      <c r="D4743" s="1">
        <v>12.61173</v>
      </c>
      <c r="E4743" s="1">
        <v>79.923616</v>
      </c>
      <c r="F4743" s="1">
        <v>2846.0</v>
      </c>
      <c r="G4743" s="1">
        <v>54.0</v>
      </c>
    </row>
    <row r="4744">
      <c r="A4744" s="1" t="s">
        <v>7</v>
      </c>
      <c r="B4744" s="2">
        <v>44726.0</v>
      </c>
      <c r="C4744" s="3">
        <v>0.7665972222222223</v>
      </c>
      <c r="D4744" s="1">
        <v>12.61173</v>
      </c>
      <c r="E4744" s="1">
        <v>79.923616</v>
      </c>
      <c r="F4744" s="1">
        <v>2846.0</v>
      </c>
      <c r="G4744" s="1">
        <v>54.0</v>
      </c>
    </row>
    <row r="4745">
      <c r="A4745" s="1" t="s">
        <v>7</v>
      </c>
      <c r="B4745" s="2">
        <v>44726.0</v>
      </c>
      <c r="C4745" s="3">
        <v>0.7675578703703704</v>
      </c>
      <c r="D4745" s="1">
        <v>12.622892</v>
      </c>
      <c r="E4745" s="1">
        <v>79.928031</v>
      </c>
      <c r="F4745" s="1">
        <v>2846.0</v>
      </c>
      <c r="G4745" s="1">
        <v>54.0</v>
      </c>
    </row>
    <row r="4746">
      <c r="A4746" s="1" t="s">
        <v>7</v>
      </c>
      <c r="B4746" s="2">
        <v>44726.0</v>
      </c>
      <c r="C4746" s="3">
        <v>0.7676157407407408</v>
      </c>
      <c r="D4746" s="1">
        <v>12.622892</v>
      </c>
      <c r="E4746" s="1">
        <v>79.928031</v>
      </c>
      <c r="F4746" s="1">
        <v>2846.0</v>
      </c>
      <c r="G4746" s="1">
        <v>54.0</v>
      </c>
    </row>
    <row r="4747">
      <c r="A4747" s="1" t="s">
        <v>7</v>
      </c>
      <c r="B4747" s="2">
        <v>44726.0</v>
      </c>
      <c r="C4747" s="3">
        <v>0.7689236111111111</v>
      </c>
      <c r="D4747" s="1">
        <v>12.635013</v>
      </c>
      <c r="E4747" s="1">
        <v>79.933248</v>
      </c>
      <c r="F4747" s="1">
        <v>2846.0</v>
      </c>
      <c r="G4747" s="1">
        <v>49.0</v>
      </c>
    </row>
    <row r="4748">
      <c r="A4748" s="1" t="s">
        <v>7</v>
      </c>
      <c r="B4748" s="2">
        <v>44726.0</v>
      </c>
      <c r="C4748" s="3">
        <v>0.7690856481481482</v>
      </c>
      <c r="D4748" s="1">
        <v>12.636777</v>
      </c>
      <c r="E4748" s="1">
        <v>79.934208</v>
      </c>
      <c r="F4748" s="1">
        <v>2846.0</v>
      </c>
      <c r="G4748" s="1">
        <v>52.0</v>
      </c>
    </row>
    <row r="4749">
      <c r="A4749" s="1" t="s">
        <v>7</v>
      </c>
      <c r="B4749" s="2">
        <v>44726.0</v>
      </c>
      <c r="C4749" s="3">
        <v>0.7696412037037037</v>
      </c>
      <c r="D4749" s="1">
        <v>12.642231</v>
      </c>
      <c r="E4749" s="1">
        <v>79.937607</v>
      </c>
      <c r="F4749" s="1">
        <v>2846.0</v>
      </c>
      <c r="G4749" s="1">
        <v>49.0</v>
      </c>
    </row>
    <row r="4750">
      <c r="A4750" s="1" t="s">
        <v>7</v>
      </c>
      <c r="B4750" s="2">
        <v>44726.0</v>
      </c>
      <c r="C4750" s="3">
        <v>0.7698032407407407</v>
      </c>
      <c r="D4750" s="1">
        <v>12.642231</v>
      </c>
      <c r="E4750" s="1">
        <v>79.937607</v>
      </c>
      <c r="F4750" s="1">
        <v>2846.0</v>
      </c>
      <c r="G4750" s="1">
        <v>49.0</v>
      </c>
    </row>
    <row r="4751">
      <c r="A4751" s="1" t="s">
        <v>8</v>
      </c>
      <c r="B4751" s="2">
        <v>44726.0</v>
      </c>
      <c r="C4751" s="3">
        <v>0.772962962962963</v>
      </c>
      <c r="D4751" s="1">
        <v>12.656585</v>
      </c>
      <c r="E4751" s="1">
        <v>79.955216</v>
      </c>
      <c r="F4751" s="1">
        <v>2846.0</v>
      </c>
      <c r="G4751" s="1">
        <v>38.0</v>
      </c>
    </row>
    <row r="4752">
      <c r="A4752" s="1" t="s">
        <v>7</v>
      </c>
      <c r="B4752" s="2">
        <v>44726.0</v>
      </c>
      <c r="C4752" s="3">
        <v>0.7731944444444444</v>
      </c>
      <c r="D4752" s="1">
        <v>12.657192</v>
      </c>
      <c r="E4752" s="1">
        <v>79.956861</v>
      </c>
      <c r="F4752" s="1">
        <v>2846.0</v>
      </c>
      <c r="G4752" s="1">
        <v>44.0</v>
      </c>
    </row>
    <row r="4753">
      <c r="A4753" s="1" t="s">
        <v>7</v>
      </c>
      <c r="B4753" s="2">
        <v>44726.0</v>
      </c>
      <c r="C4753" s="3">
        <v>0.7748958333333333</v>
      </c>
      <c r="D4753" s="1">
        <v>12.673276</v>
      </c>
      <c r="E4753" s="1">
        <v>79.95854</v>
      </c>
      <c r="F4753" s="1">
        <v>2846.0</v>
      </c>
      <c r="G4753" s="1">
        <v>51.0</v>
      </c>
    </row>
    <row r="4754">
      <c r="A4754" s="1" t="s">
        <v>7</v>
      </c>
      <c r="B4754" s="2">
        <v>44726.0</v>
      </c>
      <c r="C4754" s="3">
        <v>0.7755324074074074</v>
      </c>
      <c r="D4754" s="1">
        <v>12.681593</v>
      </c>
      <c r="E4754" s="1">
        <v>79.958405</v>
      </c>
      <c r="F4754" s="1">
        <v>2846.0</v>
      </c>
      <c r="G4754" s="1">
        <v>56.0</v>
      </c>
    </row>
    <row r="4755">
      <c r="A4755" s="1" t="s">
        <v>7</v>
      </c>
      <c r="B4755" s="2">
        <v>44726.0</v>
      </c>
      <c r="C4755" s="3">
        <v>0.7761342592592593</v>
      </c>
      <c r="D4755" s="1">
        <v>12.688339</v>
      </c>
      <c r="E4755" s="1">
        <v>79.959998</v>
      </c>
      <c r="F4755" s="1">
        <v>2846.0</v>
      </c>
      <c r="G4755" s="1">
        <v>60.0</v>
      </c>
    </row>
    <row r="4756">
      <c r="A4756" s="1" t="s">
        <v>7</v>
      </c>
      <c r="B4756" s="2">
        <v>44726.0</v>
      </c>
      <c r="C4756" s="3">
        <v>0.7765972222222223</v>
      </c>
      <c r="D4756" s="1">
        <v>12.692229</v>
      </c>
      <c r="E4756" s="1">
        <v>79.964107</v>
      </c>
      <c r="F4756" s="1">
        <v>2846.0</v>
      </c>
      <c r="G4756" s="1">
        <v>56.0</v>
      </c>
    </row>
    <row r="4757">
      <c r="A4757" s="1" t="s">
        <v>7</v>
      </c>
      <c r="B4757" s="2">
        <v>44726.0</v>
      </c>
      <c r="C4757" s="3">
        <v>0.7771064814814815</v>
      </c>
      <c r="D4757" s="1">
        <v>12.696204</v>
      </c>
      <c r="E4757" s="1">
        <v>79.966406</v>
      </c>
      <c r="F4757" s="1">
        <v>2846.0</v>
      </c>
      <c r="G4757" s="1">
        <v>53.0</v>
      </c>
    </row>
    <row r="4758">
      <c r="A4758" s="1" t="s">
        <v>7</v>
      </c>
      <c r="B4758" s="2">
        <v>44726.0</v>
      </c>
      <c r="C4758" s="3">
        <v>0.7779282407407407</v>
      </c>
      <c r="D4758" s="1">
        <v>12.703878</v>
      </c>
      <c r="E4758" s="1">
        <v>79.972266</v>
      </c>
      <c r="F4758" s="1">
        <v>2846.0</v>
      </c>
      <c r="G4758" s="1">
        <v>51.0</v>
      </c>
    </row>
    <row r="4759">
      <c r="A4759" s="1" t="s">
        <v>7</v>
      </c>
      <c r="B4759" s="2">
        <v>44726.0</v>
      </c>
      <c r="C4759" s="3">
        <v>0.7807523148148148</v>
      </c>
      <c r="D4759" s="1">
        <v>12.724915</v>
      </c>
      <c r="E4759" s="1">
        <v>79.982005</v>
      </c>
      <c r="F4759" s="1">
        <v>2846.0</v>
      </c>
      <c r="G4759" s="1">
        <v>32.0</v>
      </c>
    </row>
    <row r="4760">
      <c r="A4760" s="1" t="s">
        <v>7</v>
      </c>
      <c r="B4760" s="2">
        <v>44726.0</v>
      </c>
      <c r="C4760" s="3">
        <v>0.7811111111111111</v>
      </c>
      <c r="D4760" s="1">
        <v>12.728353</v>
      </c>
      <c r="E4760" s="1">
        <v>79.982632</v>
      </c>
      <c r="F4760" s="1">
        <v>2846.0</v>
      </c>
      <c r="G4760" s="1">
        <v>52.0</v>
      </c>
    </row>
    <row r="4761">
      <c r="A4761" s="1" t="s">
        <v>7</v>
      </c>
      <c r="B4761" s="2">
        <v>44726.0</v>
      </c>
      <c r="C4761" s="3">
        <v>0.7813425925925926</v>
      </c>
      <c r="D4761" s="1">
        <v>12.730368</v>
      </c>
      <c r="E4761" s="1">
        <v>79.982773</v>
      </c>
      <c r="F4761" s="1">
        <v>2846.0</v>
      </c>
      <c r="G4761" s="1">
        <v>50.0</v>
      </c>
    </row>
    <row r="4762">
      <c r="A4762" s="1" t="s">
        <v>7</v>
      </c>
      <c r="B4762" s="2">
        <v>44726.0</v>
      </c>
      <c r="C4762" s="3">
        <v>0.7815509259259259</v>
      </c>
      <c r="D4762" s="1">
        <v>12.733942</v>
      </c>
      <c r="E4762" s="1">
        <v>79.984214</v>
      </c>
      <c r="F4762" s="1">
        <v>2846.0</v>
      </c>
      <c r="G4762" s="1">
        <v>52.0</v>
      </c>
    </row>
    <row r="4763">
      <c r="A4763" s="1" t="s">
        <v>7</v>
      </c>
      <c r="B4763" s="2">
        <v>44726.0</v>
      </c>
      <c r="C4763" s="3">
        <v>0.781875</v>
      </c>
      <c r="D4763" s="1">
        <v>12.735209</v>
      </c>
      <c r="E4763" s="1">
        <v>79.985959</v>
      </c>
      <c r="F4763" s="1">
        <v>2846.0</v>
      </c>
      <c r="G4763" s="1">
        <v>57.0</v>
      </c>
    </row>
    <row r="4764">
      <c r="A4764" s="1" t="s">
        <v>8</v>
      </c>
      <c r="B4764" s="2">
        <v>44726.0</v>
      </c>
      <c r="C4764" s="3">
        <v>0.7881018518518519</v>
      </c>
      <c r="D4764" s="1">
        <v>12.762102</v>
      </c>
      <c r="E4764" s="1">
        <v>80.003713</v>
      </c>
      <c r="F4764" s="1">
        <v>2846.0</v>
      </c>
      <c r="G4764" s="1">
        <v>40.0</v>
      </c>
    </row>
    <row r="4765">
      <c r="A4765" s="1" t="s">
        <v>8</v>
      </c>
      <c r="B4765" s="2">
        <v>44726.0</v>
      </c>
      <c r="C4765" s="3">
        <v>0.7886574074074074</v>
      </c>
      <c r="D4765" s="1">
        <v>12.765494</v>
      </c>
      <c r="E4765" s="1">
        <v>80.004966</v>
      </c>
      <c r="F4765" s="1">
        <v>2846.0</v>
      </c>
      <c r="G4765" s="1">
        <v>34.0</v>
      </c>
    </row>
    <row r="4766">
      <c r="A4766" s="1" t="s">
        <v>8</v>
      </c>
      <c r="B4766" s="2">
        <v>44726.0</v>
      </c>
      <c r="C4766" s="3">
        <v>0.7891435185185185</v>
      </c>
      <c r="D4766" s="1">
        <v>12.770456</v>
      </c>
      <c r="E4766" s="1">
        <v>80.007318</v>
      </c>
      <c r="F4766" s="1">
        <v>2846.0</v>
      </c>
      <c r="G4766" s="1">
        <v>41.0</v>
      </c>
    </row>
    <row r="4767">
      <c r="A4767" s="1" t="s">
        <v>7</v>
      </c>
      <c r="B4767" s="2">
        <v>44726.0</v>
      </c>
      <c r="C4767" s="3">
        <v>0.7943287037037037</v>
      </c>
      <c r="D4767" s="1">
        <v>12.804158</v>
      </c>
      <c r="E4767" s="1">
        <v>80.026041</v>
      </c>
      <c r="F4767" s="1">
        <v>2846.0</v>
      </c>
      <c r="G4767" s="1">
        <v>56.0</v>
      </c>
    </row>
    <row r="4768">
      <c r="A4768" s="1" t="s">
        <v>7</v>
      </c>
      <c r="B4768" s="2">
        <v>44726.0</v>
      </c>
      <c r="C4768" s="3">
        <v>0.7945023148148148</v>
      </c>
      <c r="D4768" s="1">
        <v>12.805991</v>
      </c>
      <c r="E4768" s="1">
        <v>80.02725</v>
      </c>
      <c r="F4768" s="1">
        <v>2846.0</v>
      </c>
      <c r="G4768" s="1">
        <v>51.0</v>
      </c>
    </row>
    <row r="4769">
      <c r="A4769" s="1" t="s">
        <v>8</v>
      </c>
      <c r="B4769" s="2">
        <v>44726.0</v>
      </c>
      <c r="C4769" s="3">
        <v>0.79875</v>
      </c>
      <c r="D4769" s="1">
        <v>12.840616</v>
      </c>
      <c r="E4769" s="1">
        <v>80.056054</v>
      </c>
      <c r="F4769" s="1">
        <v>2846.0</v>
      </c>
      <c r="G4769" s="1">
        <v>9.0</v>
      </c>
    </row>
    <row r="4770">
      <c r="A4770" s="1" t="s">
        <v>8</v>
      </c>
      <c r="B4770" s="2">
        <v>44726.0</v>
      </c>
      <c r="C4770" s="3">
        <v>0.7997569444444445</v>
      </c>
      <c r="D4770" s="1">
        <v>12.844866</v>
      </c>
      <c r="E4770" s="1">
        <v>80.060654</v>
      </c>
      <c r="F4770" s="1">
        <v>2846.0</v>
      </c>
      <c r="G4770" s="1">
        <v>38.0</v>
      </c>
    </row>
    <row r="4771">
      <c r="A4771" s="1" t="s">
        <v>8</v>
      </c>
      <c r="B4771" s="2">
        <v>44726.0</v>
      </c>
      <c r="C4771" s="3">
        <v>0.8004976851851852</v>
      </c>
      <c r="D4771" s="1">
        <v>12.849314</v>
      </c>
      <c r="E4771" s="1">
        <v>80.064127</v>
      </c>
      <c r="F4771" s="1">
        <v>2846.0</v>
      </c>
      <c r="G4771" s="1">
        <v>24.0</v>
      </c>
    </row>
    <row r="4772">
      <c r="A4772" s="1" t="s">
        <v>8</v>
      </c>
      <c r="B4772" s="2">
        <v>44726.0</v>
      </c>
      <c r="C4772" s="3">
        <v>0.8007986111111111</v>
      </c>
      <c r="D4772" s="1">
        <v>12.849681</v>
      </c>
      <c r="E4772" s="1">
        <v>80.064417</v>
      </c>
      <c r="F4772" s="1">
        <v>2846.0</v>
      </c>
      <c r="G4772" s="1">
        <v>16.0</v>
      </c>
    </row>
    <row r="4773">
      <c r="A4773" s="1" t="s">
        <v>8</v>
      </c>
      <c r="B4773" s="2">
        <v>44727.0</v>
      </c>
      <c r="C4773" s="3">
        <v>0.24842592592592594</v>
      </c>
      <c r="D4773" s="1">
        <v>12.847738</v>
      </c>
      <c r="E4773" s="1">
        <v>80.063263</v>
      </c>
      <c r="F4773" s="1">
        <v>2846.0</v>
      </c>
      <c r="G4773" s="1">
        <v>43.0</v>
      </c>
    </row>
    <row r="4774">
      <c r="A4774" s="1" t="s">
        <v>8</v>
      </c>
      <c r="B4774" s="2">
        <v>44727.0</v>
      </c>
      <c r="C4774" s="3">
        <v>0.24887731481481482</v>
      </c>
      <c r="D4774" s="1">
        <v>12.844104</v>
      </c>
      <c r="E4774" s="1">
        <v>80.060022</v>
      </c>
      <c r="F4774" s="1">
        <v>2846.0</v>
      </c>
      <c r="G4774" s="1">
        <v>35.0</v>
      </c>
    </row>
    <row r="4775">
      <c r="A4775" s="1" t="s">
        <v>7</v>
      </c>
      <c r="B4775" s="2">
        <v>44727.0</v>
      </c>
      <c r="C4775" s="3">
        <v>0.2512037037037037</v>
      </c>
      <c r="D4775" s="1">
        <v>12.82895</v>
      </c>
      <c r="E4775" s="1">
        <v>80.04409</v>
      </c>
      <c r="F4775" s="1">
        <v>2846.0</v>
      </c>
      <c r="G4775" s="1">
        <v>49.0</v>
      </c>
    </row>
    <row r="4776">
      <c r="A4776" s="1" t="s">
        <v>7</v>
      </c>
      <c r="B4776" s="2">
        <v>44727.0</v>
      </c>
      <c r="C4776" s="3">
        <v>0.25275462962962963</v>
      </c>
      <c r="D4776" s="1">
        <v>12.814795</v>
      </c>
      <c r="E4776" s="1">
        <v>80.033113</v>
      </c>
      <c r="F4776" s="1">
        <v>2846.0</v>
      </c>
      <c r="G4776" s="1">
        <v>47.0</v>
      </c>
    </row>
    <row r="4777">
      <c r="A4777" s="1" t="s">
        <v>7</v>
      </c>
      <c r="B4777" s="2">
        <v>44727.0</v>
      </c>
      <c r="C4777" s="3">
        <v>0.2559490740740741</v>
      </c>
      <c r="D4777" s="1">
        <v>12.787339</v>
      </c>
      <c r="E4777" s="1">
        <v>80.015437</v>
      </c>
      <c r="F4777" s="1">
        <v>2846.0</v>
      </c>
      <c r="G4777" s="1">
        <v>50.0</v>
      </c>
    </row>
    <row r="4778">
      <c r="A4778" s="1" t="s">
        <v>7</v>
      </c>
      <c r="B4778" s="2">
        <v>44727.0</v>
      </c>
      <c r="C4778" s="3">
        <v>0.2567476851851852</v>
      </c>
      <c r="D4778" s="1">
        <v>12.778168</v>
      </c>
      <c r="E4778" s="1">
        <v>80.010966</v>
      </c>
      <c r="F4778" s="1">
        <v>2846.0</v>
      </c>
      <c r="G4778" s="1">
        <v>51.0</v>
      </c>
    </row>
    <row r="4779">
      <c r="A4779" s="1" t="s">
        <v>7</v>
      </c>
      <c r="B4779" s="2">
        <v>44727.0</v>
      </c>
      <c r="C4779" s="3">
        <v>0.2579166666666667</v>
      </c>
      <c r="D4779" s="1">
        <v>12.767484</v>
      </c>
      <c r="E4779" s="1">
        <v>80.00604</v>
      </c>
      <c r="F4779" s="1">
        <v>2846.0</v>
      </c>
      <c r="G4779" s="1">
        <v>55.0</v>
      </c>
    </row>
    <row r="4780">
      <c r="A4780" s="1" t="s">
        <v>7</v>
      </c>
      <c r="B4780" s="2">
        <v>44727.0</v>
      </c>
      <c r="C4780" s="3">
        <v>0.2585300925925926</v>
      </c>
      <c r="D4780" s="1">
        <v>12.760001</v>
      </c>
      <c r="E4780" s="1">
        <v>80.003319</v>
      </c>
      <c r="F4780" s="1">
        <v>2846.0</v>
      </c>
      <c r="G4780" s="1">
        <v>51.0</v>
      </c>
    </row>
    <row r="4781">
      <c r="A4781" s="1" t="s">
        <v>7</v>
      </c>
      <c r="B4781" s="2">
        <v>44727.0</v>
      </c>
      <c r="C4781" s="3">
        <v>0.2588888888888889</v>
      </c>
      <c r="D4781" s="1">
        <v>12.756265</v>
      </c>
      <c r="E4781" s="1">
        <v>80.002064</v>
      </c>
      <c r="F4781" s="1">
        <v>2846.0</v>
      </c>
      <c r="G4781" s="1">
        <v>51.0</v>
      </c>
    </row>
    <row r="4782">
      <c r="A4782" s="1" t="s">
        <v>7</v>
      </c>
      <c r="B4782" s="2">
        <v>44727.0</v>
      </c>
      <c r="C4782" s="3">
        <v>0.2596527777777778</v>
      </c>
      <c r="D4782" s="1">
        <v>12.749635</v>
      </c>
      <c r="E4782" s="1">
        <v>79.997693</v>
      </c>
      <c r="F4782" s="1">
        <v>2846.0</v>
      </c>
      <c r="G4782" s="1">
        <v>53.0</v>
      </c>
    </row>
    <row r="4783">
      <c r="A4783" s="1" t="s">
        <v>7</v>
      </c>
      <c r="B4783" s="2">
        <v>44727.0</v>
      </c>
      <c r="C4783" s="3">
        <v>0.26055555555555554</v>
      </c>
      <c r="D4783" s="1">
        <v>12.746457</v>
      </c>
      <c r="E4783" s="1">
        <v>79.995142</v>
      </c>
      <c r="F4783" s="1">
        <v>2846.0</v>
      </c>
      <c r="G4783" s="1">
        <v>55.0</v>
      </c>
    </row>
    <row r="4784">
      <c r="A4784" s="1" t="s">
        <v>7</v>
      </c>
      <c r="B4784" s="2">
        <v>44727.0</v>
      </c>
      <c r="C4784" s="3">
        <v>0.26447916666666665</v>
      </c>
      <c r="D4784" s="1">
        <v>12.71232</v>
      </c>
      <c r="E4784" s="1">
        <v>79.979547</v>
      </c>
      <c r="F4784" s="1">
        <v>2846.0</v>
      </c>
      <c r="G4784" s="1">
        <v>50.0</v>
      </c>
    </row>
    <row r="4785">
      <c r="A4785" s="1" t="s">
        <v>7</v>
      </c>
      <c r="B4785" s="2">
        <v>44727.0</v>
      </c>
      <c r="C4785" s="3">
        <v>0.26479166666666665</v>
      </c>
      <c r="D4785" s="1">
        <v>12.710764</v>
      </c>
      <c r="E4785" s="1">
        <v>79.978422</v>
      </c>
      <c r="F4785" s="1">
        <v>2846.0</v>
      </c>
      <c r="G4785" s="1">
        <v>45.0</v>
      </c>
    </row>
    <row r="4786">
      <c r="A4786" s="1" t="s">
        <v>7</v>
      </c>
      <c r="B4786" s="2">
        <v>44727.0</v>
      </c>
      <c r="C4786" s="3">
        <v>0.2652662037037037</v>
      </c>
      <c r="D4786" s="1">
        <v>12.705557</v>
      </c>
      <c r="E4786" s="1">
        <v>79.974653</v>
      </c>
      <c r="F4786" s="1">
        <v>2846.0</v>
      </c>
      <c r="G4786" s="1">
        <v>54.0</v>
      </c>
    </row>
    <row r="4787">
      <c r="A4787" s="1" t="s">
        <v>7</v>
      </c>
      <c r="B4787" s="2">
        <v>44727.0</v>
      </c>
      <c r="C4787" s="3">
        <v>0.2653009259259259</v>
      </c>
      <c r="D4787" s="1">
        <v>12.705557</v>
      </c>
      <c r="E4787" s="1">
        <v>79.974653</v>
      </c>
      <c r="F4787" s="1">
        <v>2846.0</v>
      </c>
      <c r="G4787" s="1">
        <v>54.0</v>
      </c>
    </row>
    <row r="4788">
      <c r="A4788" s="1" t="s">
        <v>7</v>
      </c>
      <c r="B4788" s="2">
        <v>44727.0</v>
      </c>
      <c r="C4788" s="3">
        <v>0.26625</v>
      </c>
      <c r="D4788" s="1">
        <v>12.697869</v>
      </c>
      <c r="E4788" s="1">
        <v>79.967402</v>
      </c>
      <c r="F4788" s="1">
        <v>2846.0</v>
      </c>
      <c r="G4788" s="1">
        <v>57.0</v>
      </c>
    </row>
    <row r="4789">
      <c r="A4789" s="1" t="s">
        <v>7</v>
      </c>
      <c r="B4789" s="2">
        <v>44727.0</v>
      </c>
      <c r="C4789" s="3">
        <v>0.26640046296296294</v>
      </c>
      <c r="D4789" s="1">
        <v>12.695794</v>
      </c>
      <c r="E4789" s="1">
        <v>79.966271</v>
      </c>
      <c r="F4789" s="1">
        <v>2846.0</v>
      </c>
      <c r="G4789" s="1">
        <v>56.0</v>
      </c>
    </row>
    <row r="4790">
      <c r="A4790" s="1" t="s">
        <v>7</v>
      </c>
      <c r="B4790" s="2">
        <v>44727.0</v>
      </c>
      <c r="C4790" s="3">
        <v>0.26686342592592593</v>
      </c>
      <c r="D4790" s="1">
        <v>12.69208</v>
      </c>
      <c r="E4790" s="1">
        <v>79.964139</v>
      </c>
      <c r="F4790" s="1">
        <v>2846.0</v>
      </c>
      <c r="G4790" s="1">
        <v>50.0</v>
      </c>
    </row>
    <row r="4791">
      <c r="A4791" s="1" t="s">
        <v>7</v>
      </c>
      <c r="B4791" s="2">
        <v>44727.0</v>
      </c>
      <c r="C4791" s="3">
        <v>0.26719907407407406</v>
      </c>
      <c r="D4791" s="1">
        <v>12.689528</v>
      </c>
      <c r="E4791" s="1">
        <v>79.96096</v>
      </c>
      <c r="F4791" s="1">
        <v>2846.0</v>
      </c>
      <c r="G4791" s="1">
        <v>50.0</v>
      </c>
    </row>
    <row r="4792">
      <c r="A4792" s="1" t="s">
        <v>7</v>
      </c>
      <c r="B4792" s="2">
        <v>44727.0</v>
      </c>
      <c r="C4792" s="3">
        <v>0.26760416666666664</v>
      </c>
      <c r="D4792" s="1">
        <v>12.685822</v>
      </c>
      <c r="E4792" s="1">
        <v>79.959341</v>
      </c>
      <c r="F4792" s="1">
        <v>2846.0</v>
      </c>
      <c r="G4792" s="1">
        <v>48.0</v>
      </c>
    </row>
    <row r="4793">
      <c r="A4793" s="1" t="s">
        <v>7</v>
      </c>
      <c r="B4793" s="2">
        <v>44727.0</v>
      </c>
      <c r="C4793" s="3">
        <v>0.2677777777777778</v>
      </c>
      <c r="D4793" s="1">
        <v>12.68389</v>
      </c>
      <c r="E4793" s="1">
        <v>79.958807</v>
      </c>
      <c r="F4793" s="1">
        <v>2846.0</v>
      </c>
      <c r="G4793" s="1">
        <v>51.0</v>
      </c>
    </row>
    <row r="4794">
      <c r="A4794" s="1" t="s">
        <v>7</v>
      </c>
      <c r="B4794" s="2">
        <v>44727.0</v>
      </c>
      <c r="C4794" s="3">
        <v>0.26883101851851854</v>
      </c>
      <c r="D4794" s="1">
        <v>12.67462</v>
      </c>
      <c r="E4794" s="1">
        <v>79.958633</v>
      </c>
      <c r="F4794" s="1">
        <v>2846.0</v>
      </c>
      <c r="G4794" s="1">
        <v>55.0</v>
      </c>
    </row>
    <row r="4795">
      <c r="A4795" s="1" t="s">
        <v>7</v>
      </c>
      <c r="B4795" s="2">
        <v>44727.0</v>
      </c>
      <c r="C4795" s="3">
        <v>0.2692013888888889</v>
      </c>
      <c r="D4795" s="1">
        <v>12.666536</v>
      </c>
      <c r="E4795" s="1">
        <v>79.959192</v>
      </c>
      <c r="F4795" s="1">
        <v>2846.0</v>
      </c>
      <c r="G4795" s="1">
        <v>52.0</v>
      </c>
    </row>
    <row r="4796">
      <c r="A4796" s="1" t="s">
        <v>7</v>
      </c>
      <c r="B4796" s="2">
        <v>44727.0</v>
      </c>
      <c r="C4796" s="3">
        <v>0.2693171296296296</v>
      </c>
      <c r="D4796" s="1">
        <v>12.664692</v>
      </c>
      <c r="E4796" s="1">
        <v>79.960213</v>
      </c>
      <c r="F4796" s="1">
        <v>2846.0</v>
      </c>
      <c r="G4796" s="1">
        <v>52.0</v>
      </c>
    </row>
    <row r="4797">
      <c r="A4797" s="1" t="s">
        <v>7</v>
      </c>
      <c r="B4797" s="2">
        <v>44727.0</v>
      </c>
      <c r="C4797" s="3">
        <v>0.26947916666666666</v>
      </c>
      <c r="D4797" s="1">
        <v>12.664692</v>
      </c>
      <c r="E4797" s="1">
        <v>79.960213</v>
      </c>
      <c r="F4797" s="1">
        <v>2846.0</v>
      </c>
      <c r="G4797" s="1">
        <v>52.0</v>
      </c>
    </row>
    <row r="4798">
      <c r="A4798" s="1" t="s">
        <v>7</v>
      </c>
      <c r="B4798" s="2">
        <v>44727.0</v>
      </c>
      <c r="C4798" s="3">
        <v>0.2698726851851852</v>
      </c>
      <c r="D4798" s="1">
        <v>12.658657</v>
      </c>
      <c r="E4798" s="1">
        <v>79.959852</v>
      </c>
      <c r="F4798" s="1">
        <v>2846.0</v>
      </c>
      <c r="G4798" s="1">
        <v>55.0</v>
      </c>
    </row>
    <row r="4799">
      <c r="A4799" s="1" t="s">
        <v>8</v>
      </c>
      <c r="B4799" s="2">
        <v>44727.0</v>
      </c>
      <c r="C4799" s="3">
        <v>0.2711574074074074</v>
      </c>
      <c r="D4799" s="1">
        <v>12.656679</v>
      </c>
      <c r="E4799" s="1">
        <v>79.949074</v>
      </c>
      <c r="F4799" s="1">
        <v>2846.0</v>
      </c>
      <c r="G4799" s="1">
        <v>27.0</v>
      </c>
    </row>
    <row r="4800">
      <c r="A4800" s="1" t="s">
        <v>7</v>
      </c>
      <c r="B4800" s="2">
        <v>44727.0</v>
      </c>
      <c r="C4800" s="3">
        <v>0.27140046296296294</v>
      </c>
      <c r="D4800" s="1">
        <v>12.657299</v>
      </c>
      <c r="E4800" s="1">
        <v>79.946938</v>
      </c>
      <c r="F4800" s="1">
        <v>2846.0</v>
      </c>
      <c r="G4800" s="1">
        <v>28.0</v>
      </c>
    </row>
    <row r="4801">
      <c r="A4801" s="1" t="s">
        <v>7</v>
      </c>
      <c r="B4801" s="2">
        <v>44727.0</v>
      </c>
      <c r="C4801" s="3">
        <v>0.2716087962962963</v>
      </c>
      <c r="D4801" s="1">
        <v>12.657619</v>
      </c>
      <c r="E4801" s="1">
        <v>79.945796</v>
      </c>
      <c r="F4801" s="1">
        <v>2846.0</v>
      </c>
      <c r="G4801" s="1">
        <v>25.0</v>
      </c>
    </row>
    <row r="4802">
      <c r="A4802" s="1" t="s">
        <v>7</v>
      </c>
      <c r="B4802" s="2">
        <v>44727.0</v>
      </c>
      <c r="C4802" s="3">
        <v>0.2717361111111111</v>
      </c>
      <c r="D4802" s="1">
        <v>12.657959</v>
      </c>
      <c r="E4802" s="1">
        <v>79.944428</v>
      </c>
      <c r="F4802" s="1">
        <v>2846.0</v>
      </c>
      <c r="G4802" s="1">
        <v>44.0</v>
      </c>
    </row>
    <row r="4803">
      <c r="A4803" s="1" t="s">
        <v>7</v>
      </c>
      <c r="B4803" s="2">
        <v>44727.0</v>
      </c>
      <c r="C4803" s="3">
        <v>0.2725810185185185</v>
      </c>
      <c r="D4803" s="1">
        <v>12.651017</v>
      </c>
      <c r="E4803" s="1">
        <v>79.94171</v>
      </c>
      <c r="F4803" s="1">
        <v>2846.0</v>
      </c>
      <c r="G4803" s="1">
        <v>50.0</v>
      </c>
    </row>
    <row r="4804">
      <c r="A4804" s="1" t="s">
        <v>8</v>
      </c>
      <c r="B4804" s="2">
        <v>44727.0</v>
      </c>
      <c r="C4804" s="3">
        <v>0.2730208333333333</v>
      </c>
      <c r="D4804" s="1">
        <v>12.647226</v>
      </c>
      <c r="E4804" s="1">
        <v>79.940517</v>
      </c>
      <c r="F4804" s="1">
        <v>2846.0</v>
      </c>
      <c r="G4804" s="1">
        <v>49.0</v>
      </c>
    </row>
    <row r="4805">
      <c r="A4805" s="1" t="s">
        <v>7</v>
      </c>
      <c r="B4805" s="2">
        <v>44727.0</v>
      </c>
      <c r="C4805" s="3">
        <v>0.2761342592592593</v>
      </c>
      <c r="D4805" s="1">
        <v>12.614124</v>
      </c>
      <c r="E4805" s="1">
        <v>79.925094</v>
      </c>
      <c r="F4805" s="1">
        <v>2846.0</v>
      </c>
      <c r="G4805" s="1">
        <v>57.0</v>
      </c>
    </row>
    <row r="4806">
      <c r="A4806" s="1" t="s">
        <v>7</v>
      </c>
      <c r="B4806" s="2">
        <v>44727.0</v>
      </c>
      <c r="C4806" s="3">
        <v>0.27835648148148145</v>
      </c>
      <c r="D4806" s="1">
        <v>12.588728</v>
      </c>
      <c r="E4806" s="1">
        <v>79.91941</v>
      </c>
      <c r="F4806" s="1">
        <v>2846.0</v>
      </c>
      <c r="G4806" s="1">
        <v>58.0</v>
      </c>
    </row>
    <row r="4807">
      <c r="A4807" s="1" t="s">
        <v>7</v>
      </c>
      <c r="B4807" s="2">
        <v>44727.0</v>
      </c>
      <c r="C4807" s="3">
        <v>0.27975694444444443</v>
      </c>
      <c r="D4807" s="1">
        <v>12.570889</v>
      </c>
      <c r="E4807" s="1">
        <v>79.915948</v>
      </c>
      <c r="F4807" s="1">
        <v>2846.0</v>
      </c>
      <c r="G4807" s="1">
        <v>57.0</v>
      </c>
    </row>
    <row r="4808">
      <c r="A4808" s="1" t="s">
        <v>7</v>
      </c>
      <c r="B4808" s="2">
        <v>44727.0</v>
      </c>
      <c r="C4808" s="3">
        <v>0.2802777777777778</v>
      </c>
      <c r="D4808" s="1">
        <v>12.566408</v>
      </c>
      <c r="E4808" s="1">
        <v>79.914732</v>
      </c>
      <c r="F4808" s="1">
        <v>2846.0</v>
      </c>
      <c r="G4808" s="1">
        <v>57.0</v>
      </c>
    </row>
    <row r="4809">
      <c r="A4809" s="1" t="s">
        <v>7</v>
      </c>
      <c r="B4809" s="2">
        <v>44727.0</v>
      </c>
      <c r="C4809" s="3">
        <v>0.2806712962962963</v>
      </c>
      <c r="D4809" s="1">
        <v>12.560338</v>
      </c>
      <c r="E4809" s="1">
        <v>79.911498</v>
      </c>
      <c r="F4809" s="1">
        <v>2846.0</v>
      </c>
      <c r="G4809" s="1">
        <v>56.0</v>
      </c>
    </row>
    <row r="4810">
      <c r="A4810" s="1" t="s">
        <v>7</v>
      </c>
      <c r="B4810" s="2">
        <v>44727.0</v>
      </c>
      <c r="C4810" s="3">
        <v>0.2809490740740741</v>
      </c>
      <c r="D4810" s="1">
        <v>12.558386</v>
      </c>
      <c r="E4810" s="1">
        <v>79.910392</v>
      </c>
      <c r="F4810" s="1">
        <v>2846.0</v>
      </c>
      <c r="G4810" s="1">
        <v>53.0</v>
      </c>
    </row>
    <row r="4811">
      <c r="A4811" s="1" t="s">
        <v>7</v>
      </c>
      <c r="B4811" s="2">
        <v>44727.0</v>
      </c>
      <c r="C4811" s="3">
        <v>0.28140046296296295</v>
      </c>
      <c r="D4811" s="1">
        <v>12.554696</v>
      </c>
      <c r="E4811" s="1">
        <v>79.908289</v>
      </c>
      <c r="F4811" s="1">
        <v>2846.0</v>
      </c>
      <c r="G4811" s="1">
        <v>58.0</v>
      </c>
    </row>
    <row r="4812">
      <c r="A4812" s="1" t="s">
        <v>7</v>
      </c>
      <c r="B4812" s="2">
        <v>44727.0</v>
      </c>
      <c r="C4812" s="3">
        <v>0.2815972222222222</v>
      </c>
      <c r="D4812" s="1">
        <v>12.550463</v>
      </c>
      <c r="E4812" s="1">
        <v>79.906396</v>
      </c>
      <c r="F4812" s="1">
        <v>2846.0</v>
      </c>
      <c r="G4812" s="1">
        <v>58.0</v>
      </c>
    </row>
    <row r="4813">
      <c r="A4813" s="1" t="s">
        <v>9</v>
      </c>
      <c r="B4813" s="2">
        <v>44727.0</v>
      </c>
      <c r="C4813" s="3">
        <v>0.2816550925925926</v>
      </c>
      <c r="D4813" s="1">
        <v>12.550463</v>
      </c>
      <c r="E4813" s="1">
        <v>79.906396</v>
      </c>
      <c r="F4813" s="1">
        <v>2846.0</v>
      </c>
      <c r="G4813" s="1">
        <v>58.0</v>
      </c>
    </row>
    <row r="4814">
      <c r="A4814" s="1" t="s">
        <v>8</v>
      </c>
      <c r="B4814" s="2">
        <v>44727.0</v>
      </c>
      <c r="C4814" s="3">
        <v>0.2818287037037037</v>
      </c>
      <c r="D4814" s="1">
        <v>12.550463</v>
      </c>
      <c r="E4814" s="1">
        <v>79.906396</v>
      </c>
      <c r="F4814" s="1">
        <v>2846.0</v>
      </c>
      <c r="G4814" s="1">
        <v>58.0</v>
      </c>
    </row>
    <row r="4815">
      <c r="A4815" s="1" t="s">
        <v>7</v>
      </c>
      <c r="B4815" s="2">
        <v>44727.0</v>
      </c>
      <c r="C4815" s="3">
        <v>0.28251157407407407</v>
      </c>
      <c r="D4815" s="1">
        <v>12.54254</v>
      </c>
      <c r="E4815" s="1">
        <v>79.904834</v>
      </c>
      <c r="F4815" s="1">
        <v>2846.0</v>
      </c>
      <c r="G4815" s="1">
        <v>49.0</v>
      </c>
    </row>
    <row r="4816">
      <c r="A4816" s="1" t="s">
        <v>8</v>
      </c>
      <c r="B4816" s="2">
        <v>44727.0</v>
      </c>
      <c r="C4816" s="3">
        <v>0.28256944444444443</v>
      </c>
      <c r="D4816" s="1">
        <v>12.540277</v>
      </c>
      <c r="E4816" s="1">
        <v>79.904401</v>
      </c>
      <c r="F4816" s="1">
        <v>2846.0</v>
      </c>
      <c r="G4816" s="1">
        <v>58.0</v>
      </c>
    </row>
    <row r="4817">
      <c r="A4817" s="1" t="s">
        <v>8</v>
      </c>
      <c r="B4817" s="2">
        <v>44727.0</v>
      </c>
      <c r="C4817" s="3">
        <v>0.2827546296296296</v>
      </c>
      <c r="D4817" s="1">
        <v>12.538072</v>
      </c>
      <c r="E4817" s="1">
        <v>79.903811</v>
      </c>
      <c r="F4817" s="1">
        <v>2846.0</v>
      </c>
      <c r="G4817" s="1">
        <v>54.0</v>
      </c>
    </row>
    <row r="4818">
      <c r="A4818" s="1" t="s">
        <v>7</v>
      </c>
      <c r="B4818" s="2">
        <v>44727.0</v>
      </c>
      <c r="C4818" s="3">
        <v>0.2828819444444444</v>
      </c>
      <c r="D4818" s="1">
        <v>12.538072</v>
      </c>
      <c r="E4818" s="1">
        <v>79.903811</v>
      </c>
      <c r="F4818" s="1">
        <v>2846.0</v>
      </c>
      <c r="G4818" s="1">
        <v>54.0</v>
      </c>
    </row>
    <row r="4819">
      <c r="A4819" s="1" t="s">
        <v>7</v>
      </c>
      <c r="B4819" s="2">
        <v>44727.0</v>
      </c>
      <c r="C4819" s="3">
        <v>0.2833449074074074</v>
      </c>
      <c r="D4819" s="1">
        <v>12.532375</v>
      </c>
      <c r="E4819" s="1">
        <v>79.900726</v>
      </c>
      <c r="F4819" s="1">
        <v>2846.0</v>
      </c>
      <c r="G4819" s="1">
        <v>52.0</v>
      </c>
    </row>
    <row r="4820">
      <c r="A4820" s="1" t="s">
        <v>7</v>
      </c>
      <c r="B4820" s="2">
        <v>44727.0</v>
      </c>
      <c r="C4820" s="3">
        <v>0.28377314814814814</v>
      </c>
      <c r="D4820" s="1">
        <v>12.52825</v>
      </c>
      <c r="E4820" s="1">
        <v>79.898641</v>
      </c>
      <c r="F4820" s="1">
        <v>2846.0</v>
      </c>
      <c r="G4820" s="1">
        <v>49.0</v>
      </c>
    </row>
    <row r="4821">
      <c r="A4821" s="1" t="s">
        <v>7</v>
      </c>
      <c r="B4821" s="2">
        <v>44727.0</v>
      </c>
      <c r="C4821" s="3">
        <v>0.2839467592592593</v>
      </c>
      <c r="D4821" s="1">
        <v>12.526372</v>
      </c>
      <c r="E4821" s="1">
        <v>79.897702</v>
      </c>
      <c r="F4821" s="1">
        <v>2846.0</v>
      </c>
      <c r="G4821" s="1">
        <v>53.0</v>
      </c>
    </row>
    <row r="4822">
      <c r="A4822" s="1" t="s">
        <v>7</v>
      </c>
      <c r="B4822" s="2">
        <v>44727.0</v>
      </c>
      <c r="C4822" s="3">
        <v>0.2852314814814815</v>
      </c>
      <c r="D4822" s="1">
        <v>12.515526</v>
      </c>
      <c r="E4822" s="1">
        <v>79.887137</v>
      </c>
      <c r="F4822" s="1">
        <v>2846.0</v>
      </c>
      <c r="G4822" s="1">
        <v>57.0</v>
      </c>
    </row>
    <row r="4823">
      <c r="A4823" s="1" t="s">
        <v>7</v>
      </c>
      <c r="B4823" s="2">
        <v>44727.0</v>
      </c>
      <c r="C4823" s="3">
        <v>0.29626157407407405</v>
      </c>
      <c r="D4823" s="1">
        <v>12.515017</v>
      </c>
      <c r="E4823" s="1">
        <v>79.888557</v>
      </c>
      <c r="F4823" s="1">
        <v>2846.0</v>
      </c>
      <c r="G4823" s="1">
        <v>45.0</v>
      </c>
    </row>
    <row r="4824">
      <c r="A4824" s="1" t="s">
        <v>8</v>
      </c>
      <c r="B4824" s="2">
        <v>44727.0</v>
      </c>
      <c r="C4824" s="3">
        <v>0.2966898148148148</v>
      </c>
      <c r="D4824" s="1">
        <v>13.063692</v>
      </c>
      <c r="E4824" s="1">
        <v>80.243523</v>
      </c>
      <c r="F4824" s="1">
        <v>805.0</v>
      </c>
      <c r="G4824" s="1">
        <v>25.0</v>
      </c>
    </row>
    <row r="4825">
      <c r="A4825" s="1" t="s">
        <v>8</v>
      </c>
      <c r="B4825" s="2">
        <v>44727.0</v>
      </c>
      <c r="C4825" s="3">
        <v>0.29715277777777777</v>
      </c>
      <c r="D4825" s="1">
        <v>13.066268</v>
      </c>
      <c r="E4825" s="1">
        <v>80.244664</v>
      </c>
      <c r="F4825" s="1">
        <v>805.0</v>
      </c>
      <c r="G4825" s="1">
        <v>39.0</v>
      </c>
    </row>
    <row r="4826">
      <c r="A4826" s="1" t="s">
        <v>8</v>
      </c>
      <c r="B4826" s="2">
        <v>44727.0</v>
      </c>
      <c r="C4826" s="3">
        <v>0.2973148148148148</v>
      </c>
      <c r="D4826" s="1">
        <v>13.066436</v>
      </c>
      <c r="E4826" s="1">
        <v>80.245633</v>
      </c>
      <c r="F4826" s="1">
        <v>805.0</v>
      </c>
      <c r="G4826" s="1">
        <v>37.0</v>
      </c>
    </row>
    <row r="4827">
      <c r="A4827" s="1" t="s">
        <v>7</v>
      </c>
      <c r="B4827" s="2">
        <v>44727.0</v>
      </c>
      <c r="C4827" s="3">
        <v>0.29758101851851854</v>
      </c>
      <c r="D4827" s="1">
        <v>12.519241</v>
      </c>
      <c r="E4827" s="1">
        <v>79.89267</v>
      </c>
      <c r="F4827" s="1">
        <v>2846.0</v>
      </c>
      <c r="G4827" s="1">
        <v>47.0</v>
      </c>
    </row>
    <row r="4828">
      <c r="A4828" s="1" t="s">
        <v>7</v>
      </c>
      <c r="B4828" s="2">
        <v>44727.0</v>
      </c>
      <c r="C4828" s="3">
        <v>0.2980671296296296</v>
      </c>
      <c r="D4828" s="1">
        <v>12.524534</v>
      </c>
      <c r="E4828" s="1">
        <v>79.896717</v>
      </c>
      <c r="F4828" s="1">
        <v>2846.0</v>
      </c>
      <c r="G4828" s="1">
        <v>52.0</v>
      </c>
    </row>
    <row r="4829">
      <c r="A4829" s="1" t="s">
        <v>7</v>
      </c>
      <c r="B4829" s="2">
        <v>44727.0</v>
      </c>
      <c r="C4829" s="3">
        <v>0.29890046296296297</v>
      </c>
      <c r="D4829" s="1">
        <v>12.531044</v>
      </c>
      <c r="E4829" s="1">
        <v>79.899864</v>
      </c>
      <c r="F4829" s="1">
        <v>2846.0</v>
      </c>
      <c r="G4829" s="1">
        <v>12.0</v>
      </c>
    </row>
    <row r="4830">
      <c r="A4830" s="1" t="s">
        <v>8</v>
      </c>
      <c r="B4830" s="2">
        <v>44727.0</v>
      </c>
      <c r="C4830" s="3">
        <v>0.299375</v>
      </c>
      <c r="D4830" s="1">
        <v>13.068148</v>
      </c>
      <c r="E4830" s="1">
        <v>80.252558</v>
      </c>
      <c r="F4830" s="1">
        <v>805.0</v>
      </c>
      <c r="G4830" s="1">
        <v>39.0</v>
      </c>
    </row>
    <row r="4831">
      <c r="A4831" s="1" t="s">
        <v>8</v>
      </c>
      <c r="B4831" s="2">
        <v>44727.0</v>
      </c>
      <c r="C4831" s="3">
        <v>0.29939814814814814</v>
      </c>
      <c r="D4831" s="1">
        <v>13.068148</v>
      </c>
      <c r="E4831" s="1">
        <v>80.252558</v>
      </c>
      <c r="F4831" s="1">
        <v>805.0</v>
      </c>
      <c r="G4831" s="1">
        <v>39.0</v>
      </c>
    </row>
    <row r="4832">
      <c r="A4832" s="1" t="s">
        <v>8</v>
      </c>
      <c r="B4832" s="2">
        <v>44727.0</v>
      </c>
      <c r="C4832" s="3">
        <v>0.2994675925925926</v>
      </c>
      <c r="D4832" s="1">
        <v>13.068148</v>
      </c>
      <c r="E4832" s="1">
        <v>80.252558</v>
      </c>
      <c r="F4832" s="1">
        <v>805.0</v>
      </c>
      <c r="G4832" s="1">
        <v>39.0</v>
      </c>
    </row>
    <row r="4833">
      <c r="A4833" s="1" t="s">
        <v>7</v>
      </c>
      <c r="B4833" s="2">
        <v>44727.0</v>
      </c>
      <c r="C4833" s="3">
        <v>0.30016203703703703</v>
      </c>
      <c r="D4833" s="1">
        <v>12.543466</v>
      </c>
      <c r="E4833" s="1">
        <v>79.904823</v>
      </c>
      <c r="F4833" s="1">
        <v>2846.0</v>
      </c>
      <c r="G4833" s="1">
        <v>0.0</v>
      </c>
    </row>
    <row r="4834">
      <c r="A4834" s="1" t="s">
        <v>7</v>
      </c>
      <c r="B4834" s="2">
        <v>44727.0</v>
      </c>
      <c r="C4834" s="3">
        <v>0.3008449074074074</v>
      </c>
      <c r="D4834" s="1">
        <v>12.550707</v>
      </c>
      <c r="E4834" s="1">
        <v>79.906321</v>
      </c>
      <c r="F4834" s="1">
        <v>2846.0</v>
      </c>
      <c r="G4834" s="1">
        <v>57.0</v>
      </c>
    </row>
    <row r="4835">
      <c r="A4835" s="1" t="s">
        <v>8</v>
      </c>
      <c r="B4835" s="2">
        <v>44727.0</v>
      </c>
      <c r="C4835" s="3">
        <v>0.3009722222222222</v>
      </c>
      <c r="D4835" s="1">
        <v>13.072958</v>
      </c>
      <c r="E4835" s="1">
        <v>80.261614</v>
      </c>
      <c r="F4835" s="1">
        <v>805.0</v>
      </c>
      <c r="G4835" s="1">
        <v>26.0</v>
      </c>
    </row>
    <row r="4836">
      <c r="A4836" s="1" t="s">
        <v>8</v>
      </c>
      <c r="B4836" s="2">
        <v>44727.0</v>
      </c>
      <c r="C4836" s="3">
        <v>0.3009837962962963</v>
      </c>
      <c r="D4836" s="1">
        <v>13.072958</v>
      </c>
      <c r="E4836" s="1">
        <v>80.261614</v>
      </c>
      <c r="F4836" s="1">
        <v>805.0</v>
      </c>
      <c r="G4836" s="1">
        <v>26.0</v>
      </c>
    </row>
    <row r="4837">
      <c r="A4837" s="1" t="s">
        <v>7</v>
      </c>
      <c r="B4837" s="2">
        <v>44727.0</v>
      </c>
      <c r="C4837" s="3">
        <v>0.30181712962962964</v>
      </c>
      <c r="D4837" s="1">
        <v>12.561452</v>
      </c>
      <c r="E4837" s="1">
        <v>79.911993</v>
      </c>
      <c r="F4837" s="1">
        <v>2846.0</v>
      </c>
      <c r="G4837" s="1">
        <v>56.0</v>
      </c>
    </row>
    <row r="4838">
      <c r="A4838" s="1" t="s">
        <v>8</v>
      </c>
      <c r="B4838" s="2">
        <v>44727.0</v>
      </c>
      <c r="C4838" s="3">
        <v>0.3019560185185185</v>
      </c>
      <c r="D4838" s="1">
        <v>13.068271</v>
      </c>
      <c r="E4838" s="1">
        <v>80.270124</v>
      </c>
      <c r="F4838" s="1">
        <v>805.0</v>
      </c>
      <c r="G4838" s="1">
        <v>34.0</v>
      </c>
    </row>
    <row r="4839">
      <c r="A4839" s="1" t="s">
        <v>8</v>
      </c>
      <c r="B4839" s="2">
        <v>44727.0</v>
      </c>
      <c r="C4839" s="3">
        <v>0.3019791666666667</v>
      </c>
      <c r="D4839" s="1">
        <v>13.068271</v>
      </c>
      <c r="E4839" s="1">
        <v>80.270124</v>
      </c>
      <c r="F4839" s="1">
        <v>805.0</v>
      </c>
      <c r="G4839" s="1">
        <v>34.0</v>
      </c>
    </row>
    <row r="4840">
      <c r="A4840" s="1" t="s">
        <v>7</v>
      </c>
      <c r="B4840" s="2">
        <v>44727.0</v>
      </c>
      <c r="C4840" s="3">
        <v>0.3019907407407407</v>
      </c>
      <c r="D4840" s="1">
        <v>12.563425</v>
      </c>
      <c r="E4840" s="1">
        <v>79.91315</v>
      </c>
      <c r="F4840" s="1">
        <v>2846.0</v>
      </c>
      <c r="G4840" s="1">
        <v>59.0</v>
      </c>
    </row>
    <row r="4841">
      <c r="A4841" s="1" t="s">
        <v>10</v>
      </c>
      <c r="B4841" s="2">
        <v>44727.0</v>
      </c>
      <c r="C4841" s="3">
        <v>0.3041203703703704</v>
      </c>
      <c r="D4841" s="1">
        <v>13.065878</v>
      </c>
      <c r="E4841" s="1">
        <v>80.273578</v>
      </c>
      <c r="F4841" s="1">
        <v>805.0</v>
      </c>
      <c r="G4841" s="1">
        <v>11.0</v>
      </c>
    </row>
    <row r="4842">
      <c r="A4842" s="1" t="s">
        <v>7</v>
      </c>
      <c r="B4842" s="2">
        <v>44727.0</v>
      </c>
      <c r="C4842" s="3">
        <v>0.3043402777777778</v>
      </c>
      <c r="D4842" s="1">
        <v>12.591618</v>
      </c>
      <c r="E4842" s="1">
        <v>79.919193</v>
      </c>
      <c r="F4842" s="1">
        <v>2846.0</v>
      </c>
      <c r="G4842" s="1">
        <v>47.0</v>
      </c>
    </row>
    <row r="4843">
      <c r="A4843" s="1" t="s">
        <v>10</v>
      </c>
      <c r="B4843" s="2">
        <v>44727.0</v>
      </c>
      <c r="C4843" s="3">
        <v>0.3049884259259259</v>
      </c>
      <c r="D4843" s="1">
        <v>13.065878</v>
      </c>
      <c r="E4843" s="1">
        <v>80.273578</v>
      </c>
      <c r="F4843" s="1">
        <v>805.0</v>
      </c>
      <c r="G4843" s="1">
        <v>11.0</v>
      </c>
    </row>
    <row r="4844">
      <c r="A4844" s="1" t="s">
        <v>7</v>
      </c>
      <c r="B4844" s="2">
        <v>44727.0</v>
      </c>
      <c r="C4844" s="3">
        <v>0.30518518518518517</v>
      </c>
      <c r="D4844" s="1">
        <v>12.599815</v>
      </c>
      <c r="E4844" s="1">
        <v>79.919847</v>
      </c>
      <c r="F4844" s="1">
        <v>2846.0</v>
      </c>
      <c r="G4844" s="1">
        <v>58.0</v>
      </c>
    </row>
    <row r="4845">
      <c r="A4845" s="1" t="s">
        <v>7</v>
      </c>
      <c r="B4845" s="2">
        <v>44727.0</v>
      </c>
      <c r="C4845" s="3">
        <v>0.30547453703703703</v>
      </c>
      <c r="D4845" s="1">
        <v>12.604547</v>
      </c>
      <c r="E4845" s="1">
        <v>79.920458</v>
      </c>
      <c r="F4845" s="1">
        <v>2846.0</v>
      </c>
      <c r="G4845" s="1">
        <v>48.0</v>
      </c>
    </row>
    <row r="4846">
      <c r="A4846" s="1" t="s">
        <v>7</v>
      </c>
      <c r="B4846" s="2">
        <v>44727.0</v>
      </c>
      <c r="C4846" s="3">
        <v>0.3059027777777778</v>
      </c>
      <c r="D4846" s="1">
        <v>12.608926</v>
      </c>
      <c r="E4846" s="1">
        <v>79.921962</v>
      </c>
      <c r="F4846" s="1">
        <v>2846.0</v>
      </c>
      <c r="G4846" s="1">
        <v>57.0</v>
      </c>
    </row>
    <row r="4847">
      <c r="A4847" s="1" t="s">
        <v>7</v>
      </c>
      <c r="B4847" s="2">
        <v>44727.0</v>
      </c>
      <c r="C4847" s="3">
        <v>0.3065277777777778</v>
      </c>
      <c r="D4847" s="1">
        <v>12.61542</v>
      </c>
      <c r="E4847" s="1">
        <v>79.925655</v>
      </c>
      <c r="F4847" s="1">
        <v>2846.0</v>
      </c>
      <c r="G4847" s="1">
        <v>57.0</v>
      </c>
    </row>
    <row r="4848">
      <c r="A4848" s="1" t="s">
        <v>7</v>
      </c>
      <c r="B4848" s="2">
        <v>44727.0</v>
      </c>
      <c r="C4848" s="3">
        <v>0.3066087962962963</v>
      </c>
      <c r="D4848" s="1">
        <v>12.61542</v>
      </c>
      <c r="E4848" s="1">
        <v>79.925655</v>
      </c>
      <c r="F4848" s="1">
        <v>2846.0</v>
      </c>
      <c r="G4848" s="1">
        <v>57.0</v>
      </c>
    </row>
    <row r="4849">
      <c r="A4849" s="1" t="s">
        <v>7</v>
      </c>
      <c r="B4849" s="2">
        <v>44727.0</v>
      </c>
      <c r="C4849" s="3">
        <v>0.30672453703703706</v>
      </c>
      <c r="D4849" s="1">
        <v>12.617756</v>
      </c>
      <c r="E4849" s="1">
        <v>79.926459</v>
      </c>
      <c r="F4849" s="1">
        <v>2846.0</v>
      </c>
      <c r="G4849" s="1">
        <v>59.0</v>
      </c>
    </row>
    <row r="4850">
      <c r="A4850" s="1" t="s">
        <v>10</v>
      </c>
      <c r="B4850" s="2">
        <v>44727.0</v>
      </c>
      <c r="C4850" s="3">
        <v>0.3067824074074074</v>
      </c>
      <c r="D4850" s="1">
        <v>13.053124</v>
      </c>
      <c r="E4850" s="1">
        <v>80.271742</v>
      </c>
      <c r="F4850" s="1">
        <v>805.0</v>
      </c>
      <c r="G4850" s="1">
        <v>6.0</v>
      </c>
    </row>
    <row r="4851">
      <c r="A4851" s="1" t="s">
        <v>10</v>
      </c>
      <c r="B4851" s="2">
        <v>44727.0</v>
      </c>
      <c r="C4851" s="3">
        <v>0.3068402777777778</v>
      </c>
      <c r="D4851" s="1">
        <v>13.053153</v>
      </c>
      <c r="E4851" s="1">
        <v>80.271344</v>
      </c>
      <c r="F4851" s="1">
        <v>805.0</v>
      </c>
      <c r="G4851" s="1">
        <v>16.0</v>
      </c>
    </row>
    <row r="4852">
      <c r="A4852" s="1" t="s">
        <v>7</v>
      </c>
      <c r="B4852" s="2">
        <v>44727.0</v>
      </c>
      <c r="C4852" s="3">
        <v>0.3072685185185185</v>
      </c>
      <c r="D4852" s="1">
        <v>12.624837</v>
      </c>
      <c r="E4852" s="1">
        <v>79.928828</v>
      </c>
      <c r="F4852" s="1">
        <v>2846.0</v>
      </c>
      <c r="G4852" s="1">
        <v>49.0</v>
      </c>
    </row>
    <row r="4853">
      <c r="A4853" s="1" t="s">
        <v>7</v>
      </c>
      <c r="B4853" s="2">
        <v>44727.0</v>
      </c>
      <c r="C4853" s="3">
        <v>0.30873842592592593</v>
      </c>
      <c r="D4853" s="1">
        <v>12.636443</v>
      </c>
      <c r="E4853" s="1">
        <v>79.933972</v>
      </c>
      <c r="F4853" s="1">
        <v>2846.0</v>
      </c>
      <c r="G4853" s="1">
        <v>56.0</v>
      </c>
    </row>
    <row r="4854">
      <c r="A4854" s="1" t="s">
        <v>10</v>
      </c>
      <c r="B4854" s="2">
        <v>44727.0</v>
      </c>
      <c r="C4854" s="3">
        <v>0.30887731481481484</v>
      </c>
      <c r="D4854" s="1">
        <v>13.053677</v>
      </c>
      <c r="E4854" s="1">
        <v>80.265375</v>
      </c>
      <c r="F4854" s="1">
        <v>805.0</v>
      </c>
      <c r="G4854" s="1">
        <v>15.0</v>
      </c>
    </row>
    <row r="4855">
      <c r="A4855" s="1" t="s">
        <v>7</v>
      </c>
      <c r="B4855" s="2">
        <v>44727.0</v>
      </c>
      <c r="C4855" s="3">
        <v>0.30908564814814815</v>
      </c>
      <c r="D4855" s="1">
        <v>12.638844</v>
      </c>
      <c r="E4855" s="1">
        <v>79.935514</v>
      </c>
      <c r="F4855" s="1">
        <v>2846.0</v>
      </c>
      <c r="G4855" s="1">
        <v>59.0</v>
      </c>
    </row>
    <row r="4856">
      <c r="A4856" s="1" t="s">
        <v>7</v>
      </c>
      <c r="B4856" s="2">
        <v>44727.0</v>
      </c>
      <c r="C4856" s="3">
        <v>0.3095833333333333</v>
      </c>
      <c r="D4856" s="1">
        <v>12.643855</v>
      </c>
      <c r="E4856" s="1">
        <v>79.93857</v>
      </c>
      <c r="F4856" s="1">
        <v>2846.0</v>
      </c>
      <c r="G4856" s="1">
        <v>57.0</v>
      </c>
    </row>
    <row r="4857">
      <c r="A4857" s="1" t="s">
        <v>7</v>
      </c>
      <c r="B4857" s="2">
        <v>44727.0</v>
      </c>
      <c r="C4857" s="3">
        <v>0.3096990740740741</v>
      </c>
      <c r="D4857" s="1">
        <v>12.645126</v>
      </c>
      <c r="E4857" s="1">
        <v>79.939306</v>
      </c>
      <c r="F4857" s="1">
        <v>2846.0</v>
      </c>
      <c r="G4857" s="1">
        <v>58.0</v>
      </c>
    </row>
    <row r="4858">
      <c r="A4858" s="1" t="s">
        <v>7</v>
      </c>
      <c r="B4858" s="2">
        <v>44727.0</v>
      </c>
      <c r="C4858" s="3">
        <v>0.3097916666666667</v>
      </c>
      <c r="D4858" s="1">
        <v>12.645126</v>
      </c>
      <c r="E4858" s="1">
        <v>79.939306</v>
      </c>
      <c r="F4858" s="1">
        <v>2846.0</v>
      </c>
      <c r="G4858" s="1">
        <v>58.0</v>
      </c>
    </row>
    <row r="4859">
      <c r="A4859" s="1" t="s">
        <v>8</v>
      </c>
      <c r="B4859" s="2">
        <v>44727.0</v>
      </c>
      <c r="C4859" s="3">
        <v>0.30993055555555554</v>
      </c>
      <c r="D4859" s="1">
        <v>13.05231</v>
      </c>
      <c r="E4859" s="1">
        <v>80.263854</v>
      </c>
      <c r="F4859" s="1">
        <v>805.0</v>
      </c>
      <c r="G4859" s="1">
        <v>0.0</v>
      </c>
    </row>
    <row r="4860">
      <c r="A4860" s="1" t="s">
        <v>8</v>
      </c>
      <c r="B4860" s="2">
        <v>44727.0</v>
      </c>
      <c r="C4860" s="3">
        <v>0.3100810185185185</v>
      </c>
      <c r="D4860" s="1">
        <v>13.051363</v>
      </c>
      <c r="E4860" s="1">
        <v>80.264083</v>
      </c>
      <c r="F4860" s="1">
        <v>805.0</v>
      </c>
      <c r="G4860" s="1">
        <v>38.0</v>
      </c>
    </row>
    <row r="4861">
      <c r="A4861" s="1" t="s">
        <v>8</v>
      </c>
      <c r="B4861" s="2">
        <v>44727.0</v>
      </c>
      <c r="C4861" s="3">
        <v>0.3101851851851852</v>
      </c>
      <c r="D4861" s="1">
        <v>13.049315</v>
      </c>
      <c r="E4861" s="1">
        <v>80.264217</v>
      </c>
      <c r="F4861" s="1">
        <v>805.0</v>
      </c>
      <c r="G4861" s="1">
        <v>37.0</v>
      </c>
    </row>
    <row r="4862">
      <c r="A4862" s="1" t="s">
        <v>7</v>
      </c>
      <c r="B4862" s="2">
        <v>44727.0</v>
      </c>
      <c r="C4862" s="3">
        <v>0.3102083333333333</v>
      </c>
      <c r="D4862" s="1">
        <v>12.650677</v>
      </c>
      <c r="E4862" s="1">
        <v>79.940417</v>
      </c>
      <c r="F4862" s="1">
        <v>2846.0</v>
      </c>
      <c r="G4862" s="1">
        <v>57.0</v>
      </c>
    </row>
    <row r="4863">
      <c r="A4863" s="1" t="s">
        <v>8</v>
      </c>
      <c r="B4863" s="2">
        <v>44727.0</v>
      </c>
      <c r="C4863" s="3">
        <v>0.3103587962962963</v>
      </c>
      <c r="D4863" s="1">
        <v>13.048895</v>
      </c>
      <c r="E4863" s="1">
        <v>80.264993</v>
      </c>
      <c r="F4863" s="1">
        <v>805.0</v>
      </c>
      <c r="G4863" s="1">
        <v>36.0</v>
      </c>
    </row>
    <row r="4864">
      <c r="A4864" s="1" t="s">
        <v>8</v>
      </c>
      <c r="B4864" s="2">
        <v>44727.0</v>
      </c>
      <c r="C4864" s="3">
        <v>0.31038194444444445</v>
      </c>
      <c r="D4864" s="1">
        <v>13.048895</v>
      </c>
      <c r="E4864" s="1">
        <v>80.264993</v>
      </c>
      <c r="F4864" s="1">
        <v>805.0</v>
      </c>
      <c r="G4864" s="1">
        <v>36.0</v>
      </c>
    </row>
    <row r="4865">
      <c r="A4865" s="1" t="s">
        <v>7</v>
      </c>
      <c r="B4865" s="2">
        <v>44727.0</v>
      </c>
      <c r="C4865" s="3">
        <v>0.31055555555555553</v>
      </c>
      <c r="D4865" s="1">
        <v>12.656429</v>
      </c>
      <c r="E4865" s="1">
        <v>79.94039</v>
      </c>
      <c r="F4865" s="1">
        <v>2846.0</v>
      </c>
      <c r="G4865" s="1">
        <v>57.0</v>
      </c>
    </row>
    <row r="4866">
      <c r="A4866" s="1" t="s">
        <v>8</v>
      </c>
      <c r="B4866" s="2">
        <v>44727.0</v>
      </c>
      <c r="C4866" s="3">
        <v>0.3109375</v>
      </c>
      <c r="D4866" s="1">
        <v>13.046723</v>
      </c>
      <c r="E4866" s="1">
        <v>80.266406</v>
      </c>
      <c r="F4866" s="1">
        <v>805.0</v>
      </c>
      <c r="G4866" s="1">
        <v>25.0</v>
      </c>
    </row>
    <row r="4867">
      <c r="A4867" s="1" t="s">
        <v>8</v>
      </c>
      <c r="B4867" s="2">
        <v>44727.0</v>
      </c>
      <c r="C4867" s="3">
        <v>0.31127314814814816</v>
      </c>
      <c r="D4867" s="1">
        <v>13.045223</v>
      </c>
      <c r="E4867" s="1">
        <v>80.266711</v>
      </c>
      <c r="F4867" s="1">
        <v>805.0</v>
      </c>
      <c r="G4867" s="1">
        <v>26.0</v>
      </c>
    </row>
    <row r="4868">
      <c r="A4868" s="1" t="s">
        <v>8</v>
      </c>
      <c r="B4868" s="2">
        <v>44727.0</v>
      </c>
      <c r="C4868" s="3">
        <v>0.31136574074074075</v>
      </c>
      <c r="D4868" s="1">
        <v>12.657286</v>
      </c>
      <c r="E4868" s="1">
        <v>79.947875</v>
      </c>
      <c r="F4868" s="1">
        <v>2846.0</v>
      </c>
      <c r="G4868" s="1">
        <v>34.0</v>
      </c>
    </row>
    <row r="4869">
      <c r="A4869" s="1" t="s">
        <v>7</v>
      </c>
      <c r="B4869" s="2">
        <v>44727.0</v>
      </c>
      <c r="C4869" s="3">
        <v>0.31190972222222224</v>
      </c>
      <c r="D4869" s="1">
        <v>12.656314</v>
      </c>
      <c r="E4869" s="1">
        <v>79.951265</v>
      </c>
      <c r="F4869" s="1">
        <v>2846.0</v>
      </c>
      <c r="G4869" s="1">
        <v>53.0</v>
      </c>
    </row>
    <row r="4870">
      <c r="A4870" s="1" t="s">
        <v>10</v>
      </c>
      <c r="B4870" s="2">
        <v>44727.0</v>
      </c>
      <c r="C4870" s="3">
        <v>0.31351851851851853</v>
      </c>
      <c r="D4870" s="1">
        <v>13.036304</v>
      </c>
      <c r="E4870" s="1">
        <v>80.26784</v>
      </c>
      <c r="F4870" s="1">
        <v>805.0</v>
      </c>
      <c r="G4870" s="1">
        <v>15.0</v>
      </c>
    </row>
    <row r="4871">
      <c r="A4871" s="1" t="s">
        <v>8</v>
      </c>
      <c r="B4871" s="2">
        <v>44727.0</v>
      </c>
      <c r="C4871" s="3">
        <v>0.31450231481481483</v>
      </c>
      <c r="D4871" s="1">
        <v>13.033826</v>
      </c>
      <c r="E4871" s="1">
        <v>80.267932</v>
      </c>
      <c r="F4871" s="1">
        <v>805.0</v>
      </c>
      <c r="G4871" s="1">
        <v>31.0</v>
      </c>
    </row>
    <row r="4872">
      <c r="A4872" s="1" t="s">
        <v>9</v>
      </c>
      <c r="B4872" s="2">
        <v>44727.0</v>
      </c>
      <c r="C4872" s="3">
        <v>0.31537037037037036</v>
      </c>
      <c r="D4872" s="1">
        <v>13.028131</v>
      </c>
      <c r="E4872" s="1">
        <v>80.266281</v>
      </c>
      <c r="F4872" s="1">
        <v>805.0</v>
      </c>
      <c r="G4872" s="1">
        <v>32.0</v>
      </c>
    </row>
    <row r="4873">
      <c r="A4873" s="1" t="s">
        <v>10</v>
      </c>
      <c r="B4873" s="2">
        <v>44727.0</v>
      </c>
      <c r="C4873" s="3">
        <v>0.3154513888888889</v>
      </c>
      <c r="D4873" s="1">
        <v>12.668127</v>
      </c>
      <c r="E4873" s="1">
        <v>79.972979</v>
      </c>
      <c r="F4873" s="1">
        <v>2846.0</v>
      </c>
      <c r="G4873" s="1">
        <v>37.0</v>
      </c>
    </row>
    <row r="4874">
      <c r="A4874" s="1" t="s">
        <v>10</v>
      </c>
      <c r="B4874" s="2">
        <v>44727.0</v>
      </c>
      <c r="C4874" s="3">
        <v>0.3161574074074074</v>
      </c>
      <c r="D4874" s="1">
        <v>12.668127</v>
      </c>
      <c r="E4874" s="1">
        <v>79.972979</v>
      </c>
      <c r="F4874" s="1">
        <v>2846.0</v>
      </c>
      <c r="G4874" s="1">
        <v>37.0</v>
      </c>
    </row>
    <row r="4875">
      <c r="A4875" s="1" t="s">
        <v>8</v>
      </c>
      <c r="B4875" s="2">
        <v>44727.0</v>
      </c>
      <c r="C4875" s="3">
        <v>0.3182175925925926</v>
      </c>
      <c r="D4875" s="1">
        <v>12.684625</v>
      </c>
      <c r="E4875" s="1">
        <v>79.983435</v>
      </c>
      <c r="F4875" s="1">
        <v>2846.0</v>
      </c>
      <c r="G4875" s="1">
        <v>32.0</v>
      </c>
    </row>
    <row r="4876">
      <c r="A4876" s="1" t="s">
        <v>8</v>
      </c>
      <c r="B4876" s="2">
        <v>44727.0</v>
      </c>
      <c r="C4876" s="3">
        <v>0.3182175925925926</v>
      </c>
      <c r="D4876" s="1">
        <v>13.017584</v>
      </c>
      <c r="E4876" s="1">
        <v>80.260634</v>
      </c>
      <c r="F4876" s="1">
        <v>805.0</v>
      </c>
      <c r="G4876" s="1">
        <v>20.0</v>
      </c>
    </row>
    <row r="4877">
      <c r="A4877" s="1" t="s">
        <v>8</v>
      </c>
      <c r="B4877" s="2">
        <v>44727.0</v>
      </c>
      <c r="C4877" s="3">
        <v>0.3188310185185185</v>
      </c>
      <c r="D4877" s="1">
        <v>13.013431</v>
      </c>
      <c r="E4877" s="1">
        <v>80.259294</v>
      </c>
      <c r="F4877" s="1">
        <v>805.0</v>
      </c>
      <c r="G4877" s="1">
        <v>49.0</v>
      </c>
    </row>
    <row r="4878">
      <c r="A4878" s="1" t="s">
        <v>8</v>
      </c>
      <c r="B4878" s="2">
        <v>44727.0</v>
      </c>
      <c r="C4878" s="3">
        <v>0.3226041666666667</v>
      </c>
      <c r="D4878" s="1">
        <v>13.006728</v>
      </c>
      <c r="E4878" s="1">
        <v>80.249457</v>
      </c>
      <c r="F4878" s="1">
        <v>805.0</v>
      </c>
      <c r="G4878" s="1">
        <v>44.0</v>
      </c>
    </row>
    <row r="4879">
      <c r="A4879" s="1" t="s">
        <v>7</v>
      </c>
      <c r="B4879" s="2">
        <v>44727.0</v>
      </c>
      <c r="C4879" s="3">
        <v>0.32511574074074073</v>
      </c>
      <c r="D4879" s="1">
        <v>12.706942</v>
      </c>
      <c r="E4879" s="1">
        <v>79.975988</v>
      </c>
      <c r="F4879" s="1">
        <v>2846.0</v>
      </c>
      <c r="G4879" s="1">
        <v>63.0</v>
      </c>
    </row>
    <row r="4880">
      <c r="A4880" s="1" t="s">
        <v>7</v>
      </c>
      <c r="B4880" s="2">
        <v>44727.0</v>
      </c>
      <c r="C4880" s="3">
        <v>0.3258564814814815</v>
      </c>
      <c r="D4880" s="1">
        <v>12.713492</v>
      </c>
      <c r="E4880" s="1">
        <v>79.979917</v>
      </c>
      <c r="F4880" s="1">
        <v>2846.0</v>
      </c>
      <c r="G4880" s="1">
        <v>55.0</v>
      </c>
    </row>
    <row r="4881">
      <c r="A4881" s="1" t="s">
        <v>7</v>
      </c>
      <c r="B4881" s="2">
        <v>44727.0</v>
      </c>
      <c r="C4881" s="3">
        <v>0.3262037037037037</v>
      </c>
      <c r="D4881" s="1">
        <v>12.716051</v>
      </c>
      <c r="E4881" s="1">
        <v>79.980601</v>
      </c>
      <c r="F4881" s="1">
        <v>2846.0</v>
      </c>
      <c r="G4881" s="1">
        <v>43.0</v>
      </c>
    </row>
    <row r="4882">
      <c r="A4882" s="1" t="s">
        <v>7</v>
      </c>
      <c r="B4882" s="2">
        <v>44727.0</v>
      </c>
      <c r="C4882" s="3">
        <v>0.32872685185185185</v>
      </c>
      <c r="D4882" s="1">
        <v>12.726347</v>
      </c>
      <c r="E4882" s="1">
        <v>79.982354</v>
      </c>
      <c r="F4882" s="1">
        <v>2846.0</v>
      </c>
      <c r="G4882" s="1">
        <v>47.0</v>
      </c>
    </row>
    <row r="4883">
      <c r="A4883" s="1" t="s">
        <v>7</v>
      </c>
      <c r="B4883" s="2">
        <v>44727.0</v>
      </c>
      <c r="C4883" s="3">
        <v>0.3293055555555556</v>
      </c>
      <c r="D4883" s="1">
        <v>13.008508</v>
      </c>
      <c r="E4883" s="1">
        <v>80.231672</v>
      </c>
      <c r="F4883" s="1">
        <v>805.0</v>
      </c>
      <c r="G4883" s="1">
        <v>53.0</v>
      </c>
    </row>
    <row r="4884">
      <c r="A4884" s="1" t="s">
        <v>7</v>
      </c>
      <c r="B4884" s="2">
        <v>44727.0</v>
      </c>
      <c r="C4884" s="3">
        <v>0.32936342592592593</v>
      </c>
      <c r="D4884" s="1">
        <v>12.733331</v>
      </c>
      <c r="E4884" s="1">
        <v>79.983491</v>
      </c>
      <c r="F4884" s="1">
        <v>2846.0</v>
      </c>
      <c r="G4884" s="1">
        <v>57.0</v>
      </c>
    </row>
    <row r="4885">
      <c r="A4885" s="1" t="s">
        <v>7</v>
      </c>
      <c r="B4885" s="2">
        <v>44727.0</v>
      </c>
      <c r="C4885" s="3">
        <v>0.3295138888888889</v>
      </c>
      <c r="D4885" s="1">
        <v>12.734267</v>
      </c>
      <c r="E4885" s="1">
        <v>79.984626</v>
      </c>
      <c r="F4885" s="1">
        <v>2846.0</v>
      </c>
      <c r="G4885" s="1">
        <v>57.0</v>
      </c>
    </row>
    <row r="4886">
      <c r="A4886" s="1" t="s">
        <v>7</v>
      </c>
      <c r="B4886" s="2">
        <v>44727.0</v>
      </c>
      <c r="C4886" s="3">
        <v>0.3296527777777778</v>
      </c>
      <c r="D4886" s="1">
        <v>12.736217</v>
      </c>
      <c r="E4886" s="1">
        <v>79.986907</v>
      </c>
      <c r="F4886" s="1">
        <v>2846.0</v>
      </c>
      <c r="G4886" s="1">
        <v>60.0</v>
      </c>
    </row>
    <row r="4887">
      <c r="A4887" s="1" t="s">
        <v>8</v>
      </c>
      <c r="B4887" s="2">
        <v>44727.0</v>
      </c>
      <c r="C4887" s="3">
        <v>0.3299537037037037</v>
      </c>
      <c r="D4887" s="1">
        <v>13.010624</v>
      </c>
      <c r="E4887" s="1">
        <v>80.225112</v>
      </c>
      <c r="F4887" s="1">
        <v>805.0</v>
      </c>
      <c r="G4887" s="1">
        <v>23.0</v>
      </c>
    </row>
    <row r="4888">
      <c r="A4888" s="1" t="s">
        <v>8</v>
      </c>
      <c r="B4888" s="2">
        <v>44727.0</v>
      </c>
      <c r="C4888" s="3">
        <v>0.3299652777777778</v>
      </c>
      <c r="D4888" s="1">
        <v>13.010624</v>
      </c>
      <c r="E4888" s="1">
        <v>80.225112</v>
      </c>
      <c r="F4888" s="1">
        <v>805.0</v>
      </c>
      <c r="G4888" s="1">
        <v>23.0</v>
      </c>
    </row>
    <row r="4889">
      <c r="A4889" s="1" t="s">
        <v>8</v>
      </c>
      <c r="B4889" s="2">
        <v>44727.0</v>
      </c>
      <c r="C4889" s="3">
        <v>0.331875</v>
      </c>
      <c r="D4889" s="1">
        <v>12.755093</v>
      </c>
      <c r="E4889" s="1">
        <v>80.001168</v>
      </c>
      <c r="F4889" s="1">
        <v>2846.0</v>
      </c>
      <c r="G4889" s="1">
        <v>56.0</v>
      </c>
    </row>
    <row r="4890">
      <c r="A4890" s="1" t="s">
        <v>8</v>
      </c>
      <c r="B4890" s="2">
        <v>44727.0</v>
      </c>
      <c r="C4890" s="3">
        <v>0.3320601851851852</v>
      </c>
      <c r="D4890" s="1">
        <v>12.756334</v>
      </c>
      <c r="E4890" s="1">
        <v>80.001889</v>
      </c>
      <c r="F4890" s="1">
        <v>2846.0</v>
      </c>
      <c r="G4890" s="1">
        <v>57.0</v>
      </c>
    </row>
    <row r="4891">
      <c r="A4891" s="1" t="s">
        <v>7</v>
      </c>
      <c r="B4891" s="2">
        <v>44727.0</v>
      </c>
      <c r="C4891" s="3">
        <v>0.33296296296296296</v>
      </c>
      <c r="D4891" s="1">
        <v>12.764009</v>
      </c>
      <c r="E4891" s="1">
        <v>80.004355</v>
      </c>
      <c r="F4891" s="1">
        <v>2846.0</v>
      </c>
      <c r="G4891" s="1">
        <v>49.0</v>
      </c>
    </row>
    <row r="4892">
      <c r="A4892" s="1" t="s">
        <v>8</v>
      </c>
      <c r="B4892" s="2">
        <v>44727.0</v>
      </c>
      <c r="C4892" s="3">
        <v>0.3330092592592593</v>
      </c>
      <c r="D4892" s="1">
        <v>12.764009</v>
      </c>
      <c r="E4892" s="1">
        <v>80.004355</v>
      </c>
      <c r="F4892" s="1">
        <v>2846.0</v>
      </c>
      <c r="G4892" s="1">
        <v>49.0</v>
      </c>
    </row>
    <row r="4893">
      <c r="A4893" s="1" t="s">
        <v>8</v>
      </c>
      <c r="B4893" s="2">
        <v>44727.0</v>
      </c>
      <c r="C4893" s="3">
        <v>0.33305555555555555</v>
      </c>
      <c r="D4893" s="1">
        <v>12.765158</v>
      </c>
      <c r="E4893" s="1">
        <v>80.00484</v>
      </c>
      <c r="F4893" s="1">
        <v>2846.0</v>
      </c>
      <c r="G4893" s="1">
        <v>45.0</v>
      </c>
    </row>
    <row r="4894">
      <c r="A4894" s="1" t="s">
        <v>7</v>
      </c>
      <c r="B4894" s="2">
        <v>44727.0</v>
      </c>
      <c r="C4894" s="3">
        <v>0.3333101851851852</v>
      </c>
      <c r="D4894" s="1">
        <v>12.766279</v>
      </c>
      <c r="E4894" s="1">
        <v>80.005306</v>
      </c>
      <c r="F4894" s="1">
        <v>2846.0</v>
      </c>
      <c r="G4894" s="1">
        <v>50.0</v>
      </c>
    </row>
    <row r="4895">
      <c r="A4895" s="1" t="s">
        <v>7</v>
      </c>
      <c r="B4895" s="2">
        <v>44727.0</v>
      </c>
      <c r="C4895" s="3">
        <v>0.3334490740740741</v>
      </c>
      <c r="D4895" s="1">
        <v>12.767482</v>
      </c>
      <c r="E4895" s="1">
        <v>80.005851</v>
      </c>
      <c r="F4895" s="1">
        <v>2846.0</v>
      </c>
      <c r="G4895" s="1">
        <v>53.0</v>
      </c>
    </row>
    <row r="4896">
      <c r="A4896" s="1" t="s">
        <v>7</v>
      </c>
      <c r="B4896" s="2">
        <v>44727.0</v>
      </c>
      <c r="C4896" s="3">
        <v>0.3335763888888889</v>
      </c>
      <c r="D4896" s="1">
        <v>12.768768</v>
      </c>
      <c r="E4896" s="1">
        <v>80.006469</v>
      </c>
      <c r="F4896" s="1">
        <v>2846.0</v>
      </c>
      <c r="G4896" s="1">
        <v>58.0</v>
      </c>
    </row>
    <row r="4897">
      <c r="A4897" s="1" t="s">
        <v>7</v>
      </c>
      <c r="B4897" s="2">
        <v>44727.0</v>
      </c>
      <c r="C4897" s="3">
        <v>0.3347222222222222</v>
      </c>
      <c r="D4897" s="1">
        <v>12.78269</v>
      </c>
      <c r="E4897" s="1">
        <v>80.012808</v>
      </c>
      <c r="F4897" s="1">
        <v>2846.0</v>
      </c>
      <c r="G4897" s="1">
        <v>58.0</v>
      </c>
    </row>
    <row r="4898">
      <c r="A4898" s="1" t="s">
        <v>8</v>
      </c>
      <c r="B4898" s="2">
        <v>44727.0</v>
      </c>
      <c r="C4898" s="3">
        <v>0.334837962962963</v>
      </c>
      <c r="D4898" s="1">
        <v>13.001776</v>
      </c>
      <c r="E4898" s="1">
        <v>80.198774</v>
      </c>
      <c r="F4898" s="1">
        <v>805.0</v>
      </c>
      <c r="G4898" s="1">
        <v>41.0</v>
      </c>
    </row>
    <row r="4899">
      <c r="A4899" s="1" t="s">
        <v>8</v>
      </c>
      <c r="B4899" s="2">
        <v>44727.0</v>
      </c>
      <c r="C4899" s="3">
        <v>0.33489583333333334</v>
      </c>
      <c r="D4899" s="1">
        <v>13.001776</v>
      </c>
      <c r="E4899" s="1">
        <v>80.198774</v>
      </c>
      <c r="F4899" s="1">
        <v>805.0</v>
      </c>
      <c r="G4899" s="1">
        <v>41.0</v>
      </c>
    </row>
    <row r="4900">
      <c r="A4900" s="1" t="s">
        <v>8</v>
      </c>
      <c r="B4900" s="2">
        <v>44727.0</v>
      </c>
      <c r="C4900" s="3">
        <v>0.33503472222222225</v>
      </c>
      <c r="D4900" s="1">
        <v>13.001956</v>
      </c>
      <c r="E4900" s="1">
        <v>80.197604</v>
      </c>
      <c r="F4900" s="1">
        <v>805.0</v>
      </c>
      <c r="G4900" s="1">
        <v>47.0</v>
      </c>
    </row>
    <row r="4901">
      <c r="A4901" s="1" t="s">
        <v>8</v>
      </c>
      <c r="B4901" s="2">
        <v>44727.0</v>
      </c>
      <c r="C4901" s="3">
        <v>0.3358564814814815</v>
      </c>
      <c r="D4901" s="1">
        <v>12.794478</v>
      </c>
      <c r="E4901" s="1">
        <v>80.019651</v>
      </c>
      <c r="F4901" s="1">
        <v>2846.0</v>
      </c>
      <c r="G4901" s="1">
        <v>48.0</v>
      </c>
    </row>
    <row r="4902">
      <c r="A4902" s="1" t="s">
        <v>7</v>
      </c>
      <c r="B4902" s="2">
        <v>44727.0</v>
      </c>
      <c r="C4902" s="3">
        <v>0.3359722222222222</v>
      </c>
      <c r="D4902" s="1">
        <v>12.998378</v>
      </c>
      <c r="E4902" s="1">
        <v>80.192163</v>
      </c>
      <c r="F4902" s="1">
        <v>805.0</v>
      </c>
      <c r="G4902" s="1">
        <v>56.0</v>
      </c>
    </row>
    <row r="4903">
      <c r="A4903" s="1" t="s">
        <v>7</v>
      </c>
      <c r="B4903" s="2">
        <v>44727.0</v>
      </c>
      <c r="C4903" s="3">
        <v>0.33674768518518516</v>
      </c>
      <c r="D4903" s="1">
        <v>12.802113</v>
      </c>
      <c r="E4903" s="1">
        <v>80.024703</v>
      </c>
      <c r="F4903" s="1">
        <v>2846.0</v>
      </c>
      <c r="G4903" s="1">
        <v>57.0</v>
      </c>
    </row>
    <row r="4904">
      <c r="A4904" s="1" t="s">
        <v>7</v>
      </c>
      <c r="B4904" s="2">
        <v>44727.0</v>
      </c>
      <c r="C4904" s="3">
        <v>0.33684027777777775</v>
      </c>
      <c r="D4904" s="1">
        <v>12.80335</v>
      </c>
      <c r="E4904" s="1">
        <v>80.025484</v>
      </c>
      <c r="F4904" s="1">
        <v>2846.0</v>
      </c>
      <c r="G4904" s="1">
        <v>57.0</v>
      </c>
    </row>
    <row r="4905">
      <c r="A4905" s="1" t="s">
        <v>8</v>
      </c>
      <c r="B4905" s="2">
        <v>44727.0</v>
      </c>
      <c r="C4905" s="3">
        <v>0.3371064814814815</v>
      </c>
      <c r="D4905" s="1">
        <v>12.993885</v>
      </c>
      <c r="E4905" s="1">
        <v>80.185384</v>
      </c>
      <c r="F4905" s="1">
        <v>805.0</v>
      </c>
      <c r="G4905" s="1">
        <v>43.0</v>
      </c>
    </row>
    <row r="4906">
      <c r="A4906" s="1" t="s">
        <v>7</v>
      </c>
      <c r="B4906" s="2">
        <v>44727.0</v>
      </c>
      <c r="C4906" s="3">
        <v>0.33753472222222225</v>
      </c>
      <c r="D4906" s="1">
        <v>12.81046</v>
      </c>
      <c r="E4906" s="1">
        <v>80.030146</v>
      </c>
      <c r="F4906" s="1">
        <v>2846.0</v>
      </c>
      <c r="G4906" s="1">
        <v>58.0</v>
      </c>
    </row>
    <row r="4907">
      <c r="A4907" s="1" t="s">
        <v>8</v>
      </c>
      <c r="B4907" s="2">
        <v>44727.0</v>
      </c>
      <c r="C4907" s="3">
        <v>0.3385648148148148</v>
      </c>
      <c r="D4907" s="1">
        <v>12.988887</v>
      </c>
      <c r="E4907" s="1">
        <v>80.178297</v>
      </c>
      <c r="F4907" s="1">
        <v>805.0</v>
      </c>
      <c r="G4907" s="1">
        <v>27.0</v>
      </c>
    </row>
    <row r="4908">
      <c r="A4908" s="1" t="s">
        <v>7</v>
      </c>
      <c r="B4908" s="2">
        <v>44727.0</v>
      </c>
      <c r="C4908" s="3">
        <v>0.3388657407407407</v>
      </c>
      <c r="D4908" s="1">
        <v>12.820552</v>
      </c>
      <c r="E4908" s="1">
        <v>80.037004</v>
      </c>
      <c r="F4908" s="1">
        <v>2846.0</v>
      </c>
      <c r="G4908" s="1">
        <v>51.0</v>
      </c>
    </row>
    <row r="4909">
      <c r="A4909" s="1" t="s">
        <v>8</v>
      </c>
      <c r="B4909" s="2">
        <v>44727.0</v>
      </c>
      <c r="C4909" s="3">
        <v>0.3390162037037037</v>
      </c>
      <c r="D4909" s="1">
        <v>12.821719</v>
      </c>
      <c r="E4909" s="1">
        <v>80.037845</v>
      </c>
      <c r="F4909" s="1">
        <v>2846.0</v>
      </c>
      <c r="G4909" s="1">
        <v>57.0</v>
      </c>
    </row>
    <row r="4910">
      <c r="A4910" s="1" t="s">
        <v>8</v>
      </c>
      <c r="B4910" s="2">
        <v>44727.0</v>
      </c>
      <c r="C4910" s="3">
        <v>0.3390162037037037</v>
      </c>
      <c r="D4910" s="1">
        <v>12.986267</v>
      </c>
      <c r="E4910" s="1">
        <v>80.174575</v>
      </c>
      <c r="F4910" s="1">
        <v>805.0</v>
      </c>
      <c r="G4910" s="1">
        <v>35.0</v>
      </c>
    </row>
    <row r="4911">
      <c r="A4911" s="1" t="s">
        <v>7</v>
      </c>
      <c r="B4911" s="2">
        <v>44727.0</v>
      </c>
      <c r="C4911" s="3">
        <v>0.3392824074074074</v>
      </c>
      <c r="D4911" s="1">
        <v>12.824073</v>
      </c>
      <c r="E4911" s="1">
        <v>80.039496</v>
      </c>
      <c r="F4911" s="1">
        <v>2846.0</v>
      </c>
      <c r="G4911" s="1">
        <v>57.0</v>
      </c>
    </row>
    <row r="4912">
      <c r="A4912" s="1" t="s">
        <v>8</v>
      </c>
      <c r="B4912" s="2">
        <v>44727.0</v>
      </c>
      <c r="C4912" s="3">
        <v>0.3395023148148148</v>
      </c>
      <c r="D4912" s="1">
        <v>12.983668</v>
      </c>
      <c r="E4912" s="1">
        <v>80.170565</v>
      </c>
      <c r="F4912" s="1">
        <v>805.0</v>
      </c>
      <c r="G4912" s="1">
        <v>42.0</v>
      </c>
    </row>
    <row r="4913">
      <c r="A4913" s="1" t="s">
        <v>8</v>
      </c>
      <c r="B4913" s="2">
        <v>44727.0</v>
      </c>
      <c r="C4913" s="3">
        <v>0.3397453703703704</v>
      </c>
      <c r="D4913" s="1">
        <v>12.982894</v>
      </c>
      <c r="E4913" s="1">
        <v>80.169211</v>
      </c>
      <c r="F4913" s="1">
        <v>805.0</v>
      </c>
      <c r="G4913" s="1">
        <v>30.0</v>
      </c>
    </row>
    <row r="4914">
      <c r="A4914" s="1" t="s">
        <v>8</v>
      </c>
      <c r="B4914" s="2">
        <v>44727.0</v>
      </c>
      <c r="C4914" s="3">
        <v>0.3397453703703704</v>
      </c>
      <c r="D4914" s="1">
        <v>12.982894</v>
      </c>
      <c r="E4914" s="1">
        <v>80.169211</v>
      </c>
      <c r="F4914" s="1">
        <v>805.0</v>
      </c>
      <c r="G4914" s="1">
        <v>30.0</v>
      </c>
    </row>
    <row r="4915">
      <c r="A4915" s="1" t="s">
        <v>7</v>
      </c>
      <c r="B4915" s="2">
        <v>44727.0</v>
      </c>
      <c r="C4915" s="3">
        <v>0.3399537037037037</v>
      </c>
      <c r="D4915" s="1">
        <v>12.830431</v>
      </c>
      <c r="E4915" s="1">
        <v>80.045412</v>
      </c>
      <c r="F4915" s="1">
        <v>2846.0</v>
      </c>
      <c r="G4915" s="1">
        <v>53.0</v>
      </c>
    </row>
    <row r="4916">
      <c r="A4916" s="1" t="s">
        <v>8</v>
      </c>
      <c r="B4916" s="2">
        <v>44727.0</v>
      </c>
      <c r="C4916" s="3">
        <v>0.3400347222222222</v>
      </c>
      <c r="D4916" s="1">
        <v>12.831389</v>
      </c>
      <c r="E4916" s="1">
        <v>80.04642</v>
      </c>
      <c r="F4916" s="1">
        <v>2846.0</v>
      </c>
      <c r="G4916" s="1">
        <v>58.0</v>
      </c>
    </row>
    <row r="4917">
      <c r="A4917" s="1" t="s">
        <v>8</v>
      </c>
      <c r="B4917" s="2">
        <v>44727.0</v>
      </c>
      <c r="C4917" s="3">
        <v>0.3400925925925926</v>
      </c>
      <c r="D4917" s="1">
        <v>12.981792</v>
      </c>
      <c r="E4917" s="1">
        <v>80.167367</v>
      </c>
      <c r="F4917" s="1">
        <v>805.0</v>
      </c>
      <c r="G4917" s="1">
        <v>31.0</v>
      </c>
    </row>
    <row r="4918">
      <c r="A4918" s="1" t="s">
        <v>8</v>
      </c>
      <c r="B4918" s="2">
        <v>44727.0</v>
      </c>
      <c r="C4918" s="3">
        <v>0.34032407407407406</v>
      </c>
      <c r="D4918" s="1">
        <v>12.831389</v>
      </c>
      <c r="E4918" s="1">
        <v>80.04642</v>
      </c>
      <c r="F4918" s="1">
        <v>2846.0</v>
      </c>
      <c r="G4918" s="1">
        <v>58.0</v>
      </c>
    </row>
    <row r="4919">
      <c r="A4919" s="1" t="s">
        <v>7</v>
      </c>
      <c r="B4919" s="2">
        <v>44727.0</v>
      </c>
      <c r="C4919" s="3">
        <v>0.34097222222222223</v>
      </c>
      <c r="D4919" s="1">
        <v>12.979417</v>
      </c>
      <c r="E4919" s="1">
        <v>80.162126</v>
      </c>
      <c r="F4919" s="1">
        <v>805.0</v>
      </c>
      <c r="G4919" s="1">
        <v>41.0</v>
      </c>
    </row>
    <row r="4920">
      <c r="A4920" s="1" t="s">
        <v>7</v>
      </c>
      <c r="B4920" s="2">
        <v>44727.0</v>
      </c>
      <c r="C4920" s="3">
        <v>0.34098379629629627</v>
      </c>
      <c r="D4920" s="1">
        <v>12.839531</v>
      </c>
      <c r="E4920" s="1">
        <v>80.054922</v>
      </c>
      <c r="F4920" s="1">
        <v>2846.0</v>
      </c>
      <c r="G4920" s="1">
        <v>58.0</v>
      </c>
    </row>
    <row r="4921">
      <c r="A4921" s="1" t="s">
        <v>8</v>
      </c>
      <c r="B4921" s="2">
        <v>44727.0</v>
      </c>
      <c r="C4921" s="3">
        <v>0.3413310185185185</v>
      </c>
      <c r="D4921" s="1">
        <v>12.842117</v>
      </c>
      <c r="E4921" s="1">
        <v>80.057618</v>
      </c>
      <c r="F4921" s="1">
        <v>2846.0</v>
      </c>
      <c r="G4921" s="1">
        <v>45.0</v>
      </c>
    </row>
    <row r="4922">
      <c r="A4922" s="1" t="s">
        <v>8</v>
      </c>
      <c r="B4922" s="2">
        <v>44727.0</v>
      </c>
      <c r="C4922" s="3">
        <v>0.34167824074074077</v>
      </c>
      <c r="D4922" s="1">
        <v>12.974602</v>
      </c>
      <c r="E4922" s="1">
        <v>80.155093</v>
      </c>
      <c r="F4922" s="1">
        <v>805.0</v>
      </c>
      <c r="G4922" s="1">
        <v>29.0</v>
      </c>
    </row>
    <row r="4923">
      <c r="A4923" s="1" t="s">
        <v>8</v>
      </c>
      <c r="B4923" s="2">
        <v>44727.0</v>
      </c>
      <c r="C4923" s="3">
        <v>0.3417939814814815</v>
      </c>
      <c r="D4923" s="1">
        <v>12.974151</v>
      </c>
      <c r="E4923" s="1">
        <v>80.154436</v>
      </c>
      <c r="F4923" s="1">
        <v>805.0</v>
      </c>
      <c r="G4923" s="1">
        <v>32.0</v>
      </c>
    </row>
    <row r="4924">
      <c r="A4924" s="1" t="s">
        <v>8</v>
      </c>
      <c r="B4924" s="2">
        <v>44727.0</v>
      </c>
      <c r="C4924" s="3">
        <v>0.34184027777777776</v>
      </c>
      <c r="D4924" s="1">
        <v>12.842117</v>
      </c>
      <c r="E4924" s="1">
        <v>80.057618</v>
      </c>
      <c r="F4924" s="1">
        <v>2846.0</v>
      </c>
      <c r="G4924" s="1">
        <v>45.0</v>
      </c>
    </row>
    <row r="4925">
      <c r="A4925" s="1" t="s">
        <v>8</v>
      </c>
      <c r="B4925" s="2">
        <v>44727.0</v>
      </c>
      <c r="C4925" s="3">
        <v>0.3431018518518518</v>
      </c>
      <c r="D4925" s="1">
        <v>12.971424</v>
      </c>
      <c r="E4925" s="1">
        <v>80.151074</v>
      </c>
      <c r="F4925" s="1">
        <v>805.0</v>
      </c>
      <c r="G4925" s="1">
        <v>32.0</v>
      </c>
    </row>
    <row r="4926">
      <c r="A4926" s="1" t="s">
        <v>8</v>
      </c>
      <c r="B4926" s="2">
        <v>44727.0</v>
      </c>
      <c r="C4926" s="3">
        <v>0.3438310185185185</v>
      </c>
      <c r="D4926" s="1">
        <v>12.966549</v>
      </c>
      <c r="E4926" s="1">
        <v>80.148823</v>
      </c>
      <c r="F4926" s="1">
        <v>805.0</v>
      </c>
      <c r="G4926" s="1">
        <v>39.0</v>
      </c>
    </row>
    <row r="4927">
      <c r="A4927" s="1" t="s">
        <v>7</v>
      </c>
      <c r="B4927" s="2">
        <v>44727.0</v>
      </c>
      <c r="C4927" s="3">
        <v>0.3441087962962963</v>
      </c>
      <c r="D4927" s="1">
        <v>12.963561</v>
      </c>
      <c r="E4927" s="1">
        <v>80.147263</v>
      </c>
      <c r="F4927" s="1">
        <v>805.0</v>
      </c>
      <c r="G4927" s="1">
        <v>51.0</v>
      </c>
    </row>
    <row r="4928">
      <c r="A4928" s="1" t="s">
        <v>7</v>
      </c>
      <c r="B4928" s="2">
        <v>44727.0</v>
      </c>
      <c r="C4928" s="3">
        <v>0.34479166666666666</v>
      </c>
      <c r="D4928" s="1">
        <v>12.855821</v>
      </c>
      <c r="E4928" s="1">
        <v>80.068912</v>
      </c>
      <c r="F4928" s="1">
        <v>2846.0</v>
      </c>
      <c r="G4928" s="1">
        <v>53.0</v>
      </c>
    </row>
    <row r="4929">
      <c r="A4929" s="1" t="s">
        <v>8</v>
      </c>
      <c r="B4929" s="2">
        <v>44727.0</v>
      </c>
      <c r="C4929" s="3">
        <v>0.34543981481481484</v>
      </c>
      <c r="D4929" s="1">
        <v>12.862283</v>
      </c>
      <c r="E4929" s="1">
        <v>80.07342</v>
      </c>
      <c r="F4929" s="1">
        <v>2846.0</v>
      </c>
      <c r="G4929" s="1">
        <v>32.0</v>
      </c>
    </row>
    <row r="4930">
      <c r="A4930" s="1" t="s">
        <v>7</v>
      </c>
      <c r="B4930" s="2">
        <v>44727.0</v>
      </c>
      <c r="C4930" s="3">
        <v>0.3464236111111111</v>
      </c>
      <c r="D4930" s="1">
        <v>12.868358</v>
      </c>
      <c r="E4930" s="1">
        <v>80.075799</v>
      </c>
      <c r="F4930" s="1">
        <v>2846.0</v>
      </c>
      <c r="G4930" s="1">
        <v>55.0</v>
      </c>
    </row>
    <row r="4931">
      <c r="A4931" s="1" t="s">
        <v>8</v>
      </c>
      <c r="B4931" s="2">
        <v>44727.0</v>
      </c>
      <c r="C4931" s="3">
        <v>0.3464467592592593</v>
      </c>
      <c r="D4931" s="1">
        <v>12.954533</v>
      </c>
      <c r="E4931" s="1">
        <v>80.142344</v>
      </c>
      <c r="F4931" s="1">
        <v>805.0</v>
      </c>
      <c r="G4931" s="1">
        <v>35.0</v>
      </c>
    </row>
    <row r="4932">
      <c r="A4932" s="1" t="s">
        <v>8</v>
      </c>
      <c r="B4932" s="2">
        <v>44727.0</v>
      </c>
      <c r="C4932" s="3">
        <v>0.34694444444444444</v>
      </c>
      <c r="D4932" s="1">
        <v>12.874241</v>
      </c>
      <c r="E4932" s="1">
        <v>80.078083</v>
      </c>
      <c r="F4932" s="1">
        <v>2846.0</v>
      </c>
      <c r="G4932" s="1">
        <v>43.0</v>
      </c>
    </row>
    <row r="4933">
      <c r="A4933" s="1" t="s">
        <v>8</v>
      </c>
      <c r="B4933" s="2">
        <v>44727.0</v>
      </c>
      <c r="C4933" s="3">
        <v>0.34850694444444447</v>
      </c>
      <c r="D4933" s="1">
        <v>12.944589</v>
      </c>
      <c r="E4933" s="1">
        <v>80.13506</v>
      </c>
      <c r="F4933" s="1">
        <v>805.0</v>
      </c>
      <c r="G4933" s="1">
        <v>41.0</v>
      </c>
    </row>
    <row r="4934">
      <c r="A4934" s="1" t="s">
        <v>8</v>
      </c>
      <c r="B4934" s="2">
        <v>44727.0</v>
      </c>
      <c r="C4934" s="3">
        <v>0.3489814814814815</v>
      </c>
      <c r="D4934" s="1">
        <v>12.939899</v>
      </c>
      <c r="E4934" s="1">
        <v>80.130554</v>
      </c>
      <c r="F4934" s="1">
        <v>805.0</v>
      </c>
      <c r="G4934" s="1">
        <v>44.0</v>
      </c>
    </row>
    <row r="4935">
      <c r="A4935" s="1" t="s">
        <v>8</v>
      </c>
      <c r="B4935" s="2">
        <v>44727.0</v>
      </c>
      <c r="C4935" s="3">
        <v>0.3491898148148148</v>
      </c>
      <c r="D4935" s="1">
        <v>12.938231</v>
      </c>
      <c r="E4935" s="1">
        <v>80.129054</v>
      </c>
      <c r="F4935" s="1">
        <v>805.0</v>
      </c>
      <c r="G4935" s="1">
        <v>47.0</v>
      </c>
    </row>
    <row r="4936">
      <c r="A4936" s="1" t="s">
        <v>8</v>
      </c>
      <c r="B4936" s="2">
        <v>44727.0</v>
      </c>
      <c r="C4936" s="3">
        <v>0.34943287037037035</v>
      </c>
      <c r="D4936" s="1">
        <v>12.936697</v>
      </c>
      <c r="E4936" s="1">
        <v>80.127729</v>
      </c>
      <c r="F4936" s="1">
        <v>805.0</v>
      </c>
      <c r="G4936" s="1">
        <v>39.0</v>
      </c>
    </row>
    <row r="4937">
      <c r="A4937" s="1" t="s">
        <v>8</v>
      </c>
      <c r="B4937" s="2">
        <v>44727.0</v>
      </c>
      <c r="C4937" s="3">
        <v>0.34944444444444445</v>
      </c>
      <c r="D4937" s="1">
        <v>12.936697</v>
      </c>
      <c r="E4937" s="1">
        <v>80.127729</v>
      </c>
      <c r="F4937" s="1">
        <v>805.0</v>
      </c>
      <c r="G4937" s="1">
        <v>39.0</v>
      </c>
    </row>
    <row r="4938">
      <c r="A4938" s="1" t="s">
        <v>8</v>
      </c>
      <c r="B4938" s="2">
        <v>44727.0</v>
      </c>
      <c r="C4938" s="3">
        <v>0.3496412037037037</v>
      </c>
      <c r="D4938" s="1">
        <v>12.935311</v>
      </c>
      <c r="E4938" s="1">
        <v>80.126481</v>
      </c>
      <c r="F4938" s="1">
        <v>805.0</v>
      </c>
      <c r="G4938" s="1">
        <v>47.0</v>
      </c>
    </row>
    <row r="4939">
      <c r="A4939" s="1" t="s">
        <v>10</v>
      </c>
      <c r="B4939" s="2">
        <v>44727.0</v>
      </c>
      <c r="C4939" s="3">
        <v>0.35042824074074075</v>
      </c>
      <c r="D4939" s="1">
        <v>12.879302</v>
      </c>
      <c r="E4939" s="1">
        <v>80.080013</v>
      </c>
      <c r="F4939" s="1">
        <v>2846.0</v>
      </c>
      <c r="G4939" s="1">
        <v>7.0</v>
      </c>
    </row>
    <row r="4940">
      <c r="A4940" s="1" t="s">
        <v>8</v>
      </c>
      <c r="B4940" s="2">
        <v>44727.0</v>
      </c>
      <c r="C4940" s="3">
        <v>0.3507638888888889</v>
      </c>
      <c r="D4940" s="1">
        <v>12.934381</v>
      </c>
      <c r="E4940" s="1">
        <v>80.125604</v>
      </c>
      <c r="F4940" s="1">
        <v>805.0</v>
      </c>
      <c r="G4940" s="1">
        <v>55.0</v>
      </c>
    </row>
    <row r="4941">
      <c r="A4941" s="1" t="s">
        <v>7</v>
      </c>
      <c r="B4941" s="2">
        <v>44727.0</v>
      </c>
      <c r="C4941" s="3">
        <v>0.3517476851851852</v>
      </c>
      <c r="D4941" s="1">
        <v>12.932406</v>
      </c>
      <c r="E4941" s="1">
        <v>80.123661</v>
      </c>
      <c r="F4941" s="1">
        <v>805.0</v>
      </c>
      <c r="G4941" s="1">
        <v>38.0</v>
      </c>
    </row>
    <row r="4942">
      <c r="A4942" s="1" t="s">
        <v>8</v>
      </c>
      <c r="B4942" s="2">
        <v>44727.0</v>
      </c>
      <c r="C4942" s="3">
        <v>0.3521875</v>
      </c>
      <c r="D4942" s="1">
        <v>12.932406</v>
      </c>
      <c r="E4942" s="1">
        <v>80.123661</v>
      </c>
      <c r="F4942" s="1">
        <v>805.0</v>
      </c>
      <c r="G4942" s="1">
        <v>38.0</v>
      </c>
    </row>
    <row r="4943">
      <c r="A4943" s="1" t="s">
        <v>8</v>
      </c>
      <c r="B4943" s="2">
        <v>44727.0</v>
      </c>
      <c r="C4943" s="3">
        <v>0.35226851851851854</v>
      </c>
      <c r="D4943" s="1">
        <v>12.932406</v>
      </c>
      <c r="E4943" s="1">
        <v>80.123661</v>
      </c>
      <c r="F4943" s="1">
        <v>805.0</v>
      </c>
      <c r="G4943" s="1">
        <v>38.0</v>
      </c>
    </row>
    <row r="4944">
      <c r="A4944" s="1" t="s">
        <v>8</v>
      </c>
      <c r="B4944" s="2">
        <v>44727.0</v>
      </c>
      <c r="C4944" s="3">
        <v>0.35261574074074076</v>
      </c>
      <c r="D4944" s="1">
        <v>12.918977</v>
      </c>
      <c r="E4944" s="1">
        <v>80.109802</v>
      </c>
      <c r="F4944" s="1">
        <v>805.0</v>
      </c>
      <c r="G4944" s="1">
        <v>48.0</v>
      </c>
    </row>
    <row r="4945">
      <c r="A4945" s="1" t="s">
        <v>8</v>
      </c>
      <c r="B4945" s="2">
        <v>44727.0</v>
      </c>
      <c r="C4945" s="3">
        <v>0.35467592592592595</v>
      </c>
      <c r="D4945" s="1">
        <v>12.907233</v>
      </c>
      <c r="E4945" s="1">
        <v>80.097103</v>
      </c>
      <c r="F4945" s="1">
        <v>805.0</v>
      </c>
      <c r="G4945" s="1">
        <v>37.0</v>
      </c>
    </row>
    <row r="4946">
      <c r="A4946" s="1" t="s">
        <v>8</v>
      </c>
      <c r="B4946" s="2">
        <v>44727.0</v>
      </c>
      <c r="C4946" s="3">
        <v>0.35594907407407406</v>
      </c>
      <c r="D4946" s="1">
        <v>12.90055</v>
      </c>
      <c r="E4946" s="1">
        <v>80.091948</v>
      </c>
      <c r="F4946" s="1">
        <v>805.0</v>
      </c>
      <c r="G4946" s="1">
        <v>51.0</v>
      </c>
    </row>
    <row r="4947">
      <c r="A4947" s="1" t="s">
        <v>8</v>
      </c>
      <c r="B4947" s="2">
        <v>44727.0</v>
      </c>
      <c r="C4947" s="3">
        <v>0.3560069444444444</v>
      </c>
      <c r="D4947" s="1">
        <v>12.90055</v>
      </c>
      <c r="E4947" s="1">
        <v>80.091948</v>
      </c>
      <c r="F4947" s="1">
        <v>805.0</v>
      </c>
      <c r="G4947" s="1">
        <v>51.0</v>
      </c>
    </row>
    <row r="4948">
      <c r="A4948" s="1" t="s">
        <v>8</v>
      </c>
      <c r="B4948" s="2">
        <v>44727.0</v>
      </c>
      <c r="C4948" s="3">
        <v>0.35608796296296297</v>
      </c>
      <c r="D4948" s="1">
        <v>12.899548</v>
      </c>
      <c r="E4948" s="1">
        <v>80.09119</v>
      </c>
      <c r="F4948" s="1">
        <v>805.0</v>
      </c>
      <c r="G4948" s="1">
        <v>49.0</v>
      </c>
    </row>
    <row r="4949">
      <c r="A4949" s="1" t="s">
        <v>8</v>
      </c>
      <c r="B4949" s="2">
        <v>44727.0</v>
      </c>
      <c r="C4949" s="3">
        <v>0.3562152777777778</v>
      </c>
      <c r="D4949" s="1">
        <v>12.898554</v>
      </c>
      <c r="E4949" s="1">
        <v>80.09042</v>
      </c>
      <c r="F4949" s="1">
        <v>805.0</v>
      </c>
      <c r="G4949" s="1">
        <v>45.0</v>
      </c>
    </row>
    <row r="4950">
      <c r="A4950" s="1" t="s">
        <v>7</v>
      </c>
      <c r="B4950" s="2">
        <v>44727.0</v>
      </c>
      <c r="C4950" s="3">
        <v>0.3567708333333333</v>
      </c>
      <c r="D4950" s="1">
        <v>12.894458</v>
      </c>
      <c r="E4950" s="1">
        <v>80.087324</v>
      </c>
      <c r="F4950" s="1">
        <v>805.0</v>
      </c>
      <c r="G4950" s="1">
        <v>50.0</v>
      </c>
    </row>
    <row r="4951">
      <c r="A4951" s="1" t="s">
        <v>8</v>
      </c>
      <c r="B4951" s="2">
        <v>44727.0</v>
      </c>
      <c r="C4951" s="3">
        <v>0.35961805555555554</v>
      </c>
      <c r="D4951" s="1">
        <v>12.878524</v>
      </c>
      <c r="E4951" s="1">
        <v>80.082031</v>
      </c>
      <c r="F4951" s="1">
        <v>805.0</v>
      </c>
      <c r="G4951" s="1">
        <v>39.0</v>
      </c>
    </row>
    <row r="4952">
      <c r="A4952" s="1" t="s">
        <v>8</v>
      </c>
      <c r="B4952" s="2">
        <v>44727.0</v>
      </c>
      <c r="C4952" s="3">
        <v>0.35976851851851854</v>
      </c>
      <c r="D4952" s="1">
        <v>12.877846</v>
      </c>
      <c r="E4952" s="1">
        <v>80.08393</v>
      </c>
      <c r="F4952" s="1">
        <v>805.0</v>
      </c>
      <c r="G4952" s="1">
        <v>35.0</v>
      </c>
    </row>
    <row r="4953">
      <c r="A4953" s="1" t="s">
        <v>10</v>
      </c>
      <c r="B4953" s="2">
        <v>44727.0</v>
      </c>
      <c r="C4953" s="3">
        <v>0.4844791666666667</v>
      </c>
      <c r="D4953" s="1">
        <v>12.875854</v>
      </c>
      <c r="E4953" s="1">
        <v>80.08373</v>
      </c>
      <c r="F4953" s="1">
        <v>5339.0</v>
      </c>
      <c r="G4953" s="1">
        <v>9.0</v>
      </c>
    </row>
    <row r="4954">
      <c r="A4954" s="1" t="s">
        <v>7</v>
      </c>
      <c r="B4954" s="2">
        <v>44727.0</v>
      </c>
      <c r="C4954" s="3">
        <v>0.48711805555555554</v>
      </c>
      <c r="D4954" s="1">
        <v>12.882361</v>
      </c>
      <c r="E4954" s="1">
        <v>80.081201</v>
      </c>
      <c r="F4954" s="1">
        <v>5339.0</v>
      </c>
      <c r="G4954" s="1">
        <v>54.0</v>
      </c>
    </row>
    <row r="4955">
      <c r="A4955" s="1" t="s">
        <v>7</v>
      </c>
      <c r="B4955" s="2">
        <v>44727.0</v>
      </c>
      <c r="C4955" s="3">
        <v>0.48733796296296295</v>
      </c>
      <c r="D4955" s="1">
        <v>12.884931</v>
      </c>
      <c r="E4955" s="1">
        <v>80.081602</v>
      </c>
      <c r="F4955" s="1">
        <v>5339.0</v>
      </c>
      <c r="G4955" s="1">
        <v>47.0</v>
      </c>
    </row>
    <row r="4956">
      <c r="A4956" s="1" t="s">
        <v>7</v>
      </c>
      <c r="B4956" s="2">
        <v>44727.0</v>
      </c>
      <c r="C4956" s="3">
        <v>0.48799768518518516</v>
      </c>
      <c r="D4956" s="1">
        <v>12.887646</v>
      </c>
      <c r="E4956" s="1">
        <v>80.073884</v>
      </c>
      <c r="F4956" s="1">
        <v>5339.0</v>
      </c>
      <c r="G4956" s="1">
        <v>49.0</v>
      </c>
    </row>
    <row r="4957">
      <c r="A4957" s="1" t="s">
        <v>7</v>
      </c>
      <c r="B4957" s="2">
        <v>44727.0</v>
      </c>
      <c r="C4957" s="3">
        <v>0.49689814814814814</v>
      </c>
      <c r="D4957" s="1">
        <v>12.906877</v>
      </c>
      <c r="E4957" s="1">
        <v>80.072179</v>
      </c>
      <c r="F4957" s="1">
        <v>5339.0</v>
      </c>
      <c r="G4957" s="1">
        <v>61.0</v>
      </c>
    </row>
    <row r="4958">
      <c r="A4958" s="1" t="s">
        <v>9</v>
      </c>
      <c r="B4958" s="2">
        <v>44727.0</v>
      </c>
      <c r="C4958" s="3">
        <v>0.49868055555555557</v>
      </c>
      <c r="D4958" s="1">
        <v>12.927896</v>
      </c>
      <c r="E4958" s="1">
        <v>80.079004</v>
      </c>
      <c r="F4958" s="1">
        <v>5339.0</v>
      </c>
      <c r="G4958" s="1">
        <v>58.0</v>
      </c>
    </row>
    <row r="4959">
      <c r="A4959" s="1" t="s">
        <v>7</v>
      </c>
      <c r="B4959" s="2">
        <v>44727.0</v>
      </c>
      <c r="C4959" s="3">
        <v>0.5011342592592593</v>
      </c>
      <c r="D4959" s="1">
        <v>12.944002</v>
      </c>
      <c r="E4959" s="1">
        <v>80.084999</v>
      </c>
      <c r="F4959" s="1">
        <v>5339.0</v>
      </c>
      <c r="G4959" s="1">
        <v>61.0</v>
      </c>
    </row>
    <row r="4960">
      <c r="A4960" s="1" t="s">
        <v>7</v>
      </c>
      <c r="B4960" s="2">
        <v>44727.0</v>
      </c>
      <c r="C4960" s="3">
        <v>0.5012268518518519</v>
      </c>
      <c r="D4960" s="1">
        <v>12.945406</v>
      </c>
      <c r="E4960" s="1">
        <v>80.085522</v>
      </c>
      <c r="F4960" s="1">
        <v>5339.0</v>
      </c>
      <c r="G4960" s="1">
        <v>58.0</v>
      </c>
    </row>
    <row r="4961">
      <c r="A4961" s="1" t="s">
        <v>7</v>
      </c>
      <c r="B4961" s="2">
        <v>44727.0</v>
      </c>
      <c r="C4961" s="3">
        <v>0.5013194444444444</v>
      </c>
      <c r="D4961" s="1">
        <v>12.946769</v>
      </c>
      <c r="E4961" s="1">
        <v>80.086077</v>
      </c>
      <c r="F4961" s="1">
        <v>5339.0</v>
      </c>
      <c r="G4961" s="1">
        <v>58.0</v>
      </c>
    </row>
    <row r="4962">
      <c r="A4962" s="1" t="s">
        <v>7</v>
      </c>
      <c r="B4962" s="2">
        <v>44727.0</v>
      </c>
      <c r="C4962" s="3">
        <v>0.5018171296296297</v>
      </c>
      <c r="D4962" s="1">
        <v>12.952131</v>
      </c>
      <c r="E4962" s="1">
        <v>80.088061</v>
      </c>
      <c r="F4962" s="1">
        <v>5339.0</v>
      </c>
      <c r="G4962" s="1">
        <v>56.0</v>
      </c>
    </row>
    <row r="4963">
      <c r="A4963" s="1" t="s">
        <v>7</v>
      </c>
      <c r="B4963" s="2">
        <v>44727.0</v>
      </c>
      <c r="C4963" s="3">
        <v>0.5021180555555556</v>
      </c>
      <c r="D4963" s="1">
        <v>12.956236</v>
      </c>
      <c r="E4963" s="1">
        <v>80.089585</v>
      </c>
      <c r="F4963" s="1">
        <v>5339.0</v>
      </c>
      <c r="G4963" s="1">
        <v>54.0</v>
      </c>
    </row>
    <row r="4964">
      <c r="A4964" s="1" t="s">
        <v>10</v>
      </c>
      <c r="B4964" s="2">
        <v>44727.0</v>
      </c>
      <c r="C4964" s="3">
        <v>0.6233564814814815</v>
      </c>
      <c r="D4964" s="1">
        <v>12.875688</v>
      </c>
      <c r="E4964" s="1">
        <v>80.082836</v>
      </c>
      <c r="F4964" s="1">
        <v>2846.0</v>
      </c>
      <c r="G4964" s="1">
        <v>0.0</v>
      </c>
    </row>
    <row r="4965">
      <c r="A4965" s="1" t="s">
        <v>10</v>
      </c>
      <c r="B4965" s="2">
        <v>44727.0</v>
      </c>
      <c r="C4965" s="3">
        <v>0.6243981481481482</v>
      </c>
      <c r="D4965" s="1">
        <v>12.875688</v>
      </c>
      <c r="E4965" s="1">
        <v>80.082836</v>
      </c>
      <c r="F4965" s="1">
        <v>2846.0</v>
      </c>
      <c r="G4965" s="1">
        <v>0.0</v>
      </c>
    </row>
    <row r="4966">
      <c r="A4966" s="1" t="s">
        <v>10</v>
      </c>
      <c r="B4966" s="2">
        <v>44727.0</v>
      </c>
      <c r="C4966" s="3">
        <v>0.6245717592592592</v>
      </c>
      <c r="D4966" s="1">
        <v>12.875902</v>
      </c>
      <c r="E4966" s="1">
        <v>80.08385</v>
      </c>
      <c r="F4966" s="1">
        <v>2846.0</v>
      </c>
      <c r="G4966" s="1">
        <v>7.0</v>
      </c>
    </row>
    <row r="4967">
      <c r="A4967" s="1" t="s">
        <v>7</v>
      </c>
      <c r="B4967" s="2">
        <v>44727.0</v>
      </c>
      <c r="C4967" s="3">
        <v>0.6498379629629629</v>
      </c>
      <c r="D4967" s="1">
        <v>12.942454</v>
      </c>
      <c r="E4967" s="1">
        <v>80.084786</v>
      </c>
      <c r="F4967" s="1">
        <v>5339.0</v>
      </c>
      <c r="G4967" s="1">
        <v>47.0</v>
      </c>
    </row>
    <row r="4968">
      <c r="A4968" s="1" t="s">
        <v>7</v>
      </c>
      <c r="B4968" s="2">
        <v>44727.0</v>
      </c>
      <c r="C4968" s="3">
        <v>0.6533564814814815</v>
      </c>
      <c r="D4968" s="1">
        <v>12.921113</v>
      </c>
      <c r="E4968" s="1">
        <v>80.077075</v>
      </c>
      <c r="F4968" s="1">
        <v>5339.0</v>
      </c>
      <c r="G4968" s="1">
        <v>56.0</v>
      </c>
    </row>
    <row r="4969">
      <c r="A4969" s="1" t="s">
        <v>7</v>
      </c>
      <c r="B4969" s="2">
        <v>44727.0</v>
      </c>
      <c r="C4969" s="3">
        <v>0.6540625</v>
      </c>
      <c r="D4969" s="1">
        <v>12.914485</v>
      </c>
      <c r="E4969" s="1">
        <v>80.075038</v>
      </c>
      <c r="F4969" s="1">
        <v>5339.0</v>
      </c>
      <c r="G4969" s="1">
        <v>59.0</v>
      </c>
    </row>
    <row r="4970">
      <c r="A4970" s="1" t="s">
        <v>7</v>
      </c>
      <c r="B4970" s="2">
        <v>44727.0</v>
      </c>
      <c r="C4970" s="3">
        <v>0.6553125</v>
      </c>
      <c r="D4970" s="1">
        <v>12.899564</v>
      </c>
      <c r="E4970" s="1">
        <v>80.070769</v>
      </c>
      <c r="F4970" s="1">
        <v>5339.0</v>
      </c>
      <c r="G4970" s="1">
        <v>52.0</v>
      </c>
    </row>
    <row r="4971">
      <c r="A4971" s="1" t="s">
        <v>8</v>
      </c>
      <c r="B4971" s="2">
        <v>44727.0</v>
      </c>
      <c r="C4971" s="3">
        <v>0.6572337962962963</v>
      </c>
      <c r="D4971" s="1">
        <v>12.885447</v>
      </c>
      <c r="E4971" s="1">
        <v>80.081383</v>
      </c>
      <c r="F4971" s="1">
        <v>5339.0</v>
      </c>
      <c r="G4971" s="1">
        <v>41.0</v>
      </c>
    </row>
    <row r="4972">
      <c r="A4972" s="1" t="s">
        <v>7</v>
      </c>
      <c r="B4972" s="2">
        <v>44727.0</v>
      </c>
      <c r="C4972" s="3">
        <v>0.6894444444444444</v>
      </c>
      <c r="D4972" s="1">
        <v>12.877758</v>
      </c>
      <c r="E4972" s="1">
        <v>80.084107</v>
      </c>
      <c r="F4972" s="1">
        <v>805.0</v>
      </c>
      <c r="G4972" s="1">
        <v>33.0</v>
      </c>
    </row>
    <row r="4973">
      <c r="A4973" s="1" t="s">
        <v>7</v>
      </c>
      <c r="B4973" s="2">
        <v>44727.0</v>
      </c>
      <c r="C4973" s="3">
        <v>0.6917824074074074</v>
      </c>
      <c r="D4973" s="1">
        <v>12.875249</v>
      </c>
      <c r="E4973" s="1">
        <v>80.078686</v>
      </c>
      <c r="F4973" s="1">
        <v>2846.0</v>
      </c>
      <c r="G4973" s="1">
        <v>56.0</v>
      </c>
    </row>
    <row r="4974">
      <c r="A4974" s="1" t="s">
        <v>7</v>
      </c>
      <c r="B4974" s="2">
        <v>44727.0</v>
      </c>
      <c r="C4974" s="3">
        <v>0.6918865740740741</v>
      </c>
      <c r="D4974" s="1">
        <v>12.875249</v>
      </c>
      <c r="E4974" s="1">
        <v>80.078686</v>
      </c>
      <c r="F4974" s="1">
        <v>2846.0</v>
      </c>
      <c r="G4974" s="1">
        <v>56.0</v>
      </c>
    </row>
    <row r="4975">
      <c r="A4975" s="1" t="s">
        <v>7</v>
      </c>
      <c r="B4975" s="2">
        <v>44727.0</v>
      </c>
      <c r="C4975" s="3">
        <v>0.6919560185185185</v>
      </c>
      <c r="D4975" s="1">
        <v>12.873911</v>
      </c>
      <c r="E4975" s="1">
        <v>80.078128</v>
      </c>
      <c r="F4975" s="1">
        <v>2846.0</v>
      </c>
      <c r="G4975" s="1">
        <v>56.0</v>
      </c>
    </row>
    <row r="4976">
      <c r="A4976" s="1" t="s">
        <v>8</v>
      </c>
      <c r="B4976" s="2">
        <v>44727.0</v>
      </c>
      <c r="C4976" s="3">
        <v>0.692337962962963</v>
      </c>
      <c r="D4976" s="1">
        <v>12.870018</v>
      </c>
      <c r="E4976" s="1">
        <v>80.076597</v>
      </c>
      <c r="F4976" s="1">
        <v>2846.0</v>
      </c>
      <c r="G4976" s="1">
        <v>46.0</v>
      </c>
    </row>
    <row r="4977">
      <c r="A4977" s="1" t="s">
        <v>8</v>
      </c>
      <c r="B4977" s="2">
        <v>44727.0</v>
      </c>
      <c r="C4977" s="3">
        <v>0.6923726851851851</v>
      </c>
      <c r="D4977" s="1">
        <v>12.884544</v>
      </c>
      <c r="E4977" s="1">
        <v>80.081918</v>
      </c>
      <c r="F4977" s="1">
        <v>5339.0</v>
      </c>
      <c r="G4977" s="1">
        <v>40.0</v>
      </c>
    </row>
    <row r="4978">
      <c r="A4978" s="1" t="s">
        <v>8</v>
      </c>
      <c r="B4978" s="2">
        <v>44727.0</v>
      </c>
      <c r="C4978" s="3">
        <v>0.6926273148148148</v>
      </c>
      <c r="D4978" s="1">
        <v>12.887418</v>
      </c>
      <c r="E4978" s="1">
        <v>80.083358</v>
      </c>
      <c r="F4978" s="1">
        <v>805.0</v>
      </c>
      <c r="G4978" s="1">
        <v>48.0</v>
      </c>
    </row>
    <row r="4979">
      <c r="A4979" s="1" t="s">
        <v>7</v>
      </c>
      <c r="B4979" s="2">
        <v>44727.0</v>
      </c>
      <c r="C4979" s="3">
        <v>0.6929513888888889</v>
      </c>
      <c r="D4979" s="1">
        <v>12.889774</v>
      </c>
      <c r="E4979" s="1">
        <v>80.084357</v>
      </c>
      <c r="F4979" s="1">
        <v>805.0</v>
      </c>
      <c r="G4979" s="1">
        <v>52.0</v>
      </c>
    </row>
    <row r="4980">
      <c r="A4980" s="1" t="s">
        <v>8</v>
      </c>
      <c r="B4980" s="2">
        <v>44727.0</v>
      </c>
      <c r="C4980" s="3">
        <v>0.692962962962963</v>
      </c>
      <c r="D4980" s="1">
        <v>12.889862</v>
      </c>
      <c r="E4980" s="1">
        <v>80.084422</v>
      </c>
      <c r="F4980" s="1">
        <v>5339.0</v>
      </c>
      <c r="G4980" s="1">
        <v>48.0</v>
      </c>
    </row>
    <row r="4981">
      <c r="A4981" s="1" t="s">
        <v>7</v>
      </c>
      <c r="B4981" s="2">
        <v>44727.0</v>
      </c>
      <c r="C4981" s="3">
        <v>0.6932638888888889</v>
      </c>
      <c r="D4981" s="1">
        <v>12.863944</v>
      </c>
      <c r="E4981" s="1">
        <v>80.074311</v>
      </c>
      <c r="F4981" s="1">
        <v>2846.0</v>
      </c>
      <c r="G4981" s="1">
        <v>51.0</v>
      </c>
    </row>
    <row r="4982">
      <c r="A4982" s="1" t="s">
        <v>8</v>
      </c>
      <c r="B4982" s="2">
        <v>44727.0</v>
      </c>
      <c r="C4982" s="3">
        <v>0.6932986111111111</v>
      </c>
      <c r="D4982" s="1">
        <v>12.893233</v>
      </c>
      <c r="E4982" s="1">
        <v>80.086202</v>
      </c>
      <c r="F4982" s="1">
        <v>805.0</v>
      </c>
      <c r="G4982" s="1">
        <v>40.0</v>
      </c>
    </row>
    <row r="4983">
      <c r="A4983" s="1" t="s">
        <v>8</v>
      </c>
      <c r="B4983" s="2">
        <v>44727.0</v>
      </c>
      <c r="C4983" s="3">
        <v>0.6933333333333334</v>
      </c>
      <c r="D4983" s="1">
        <v>12.894007</v>
      </c>
      <c r="E4983" s="1">
        <v>80.086788</v>
      </c>
      <c r="F4983" s="1">
        <v>805.0</v>
      </c>
      <c r="G4983" s="1">
        <v>39.0</v>
      </c>
    </row>
    <row r="4984">
      <c r="A4984" s="1" t="s">
        <v>8</v>
      </c>
      <c r="B4984" s="2">
        <v>44727.0</v>
      </c>
      <c r="C4984" s="3">
        <v>0.6934722222222223</v>
      </c>
      <c r="D4984" s="1">
        <v>12.893858</v>
      </c>
      <c r="E4984" s="1">
        <v>80.086733</v>
      </c>
      <c r="F4984" s="1">
        <v>5339.0</v>
      </c>
      <c r="G4984" s="1">
        <v>45.0</v>
      </c>
    </row>
    <row r="4985">
      <c r="A4985" s="1" t="s">
        <v>8</v>
      </c>
      <c r="B4985" s="2">
        <v>44727.0</v>
      </c>
      <c r="C4985" s="3">
        <v>0.6937847222222222</v>
      </c>
      <c r="D4985" s="1">
        <v>12.896401</v>
      </c>
      <c r="E4985" s="1">
        <v>80.088636</v>
      </c>
      <c r="F4985" s="1">
        <v>5339.0</v>
      </c>
      <c r="G4985" s="1">
        <v>37.0</v>
      </c>
    </row>
    <row r="4986">
      <c r="A4986" s="1" t="s">
        <v>8</v>
      </c>
      <c r="B4986" s="2">
        <v>44727.0</v>
      </c>
      <c r="C4986" s="3">
        <v>0.6937962962962962</v>
      </c>
      <c r="D4986" s="1">
        <v>12.860283</v>
      </c>
      <c r="E4986" s="1">
        <v>80.072481</v>
      </c>
      <c r="F4986" s="1">
        <v>2846.0</v>
      </c>
      <c r="G4986" s="1">
        <v>16.0</v>
      </c>
    </row>
    <row r="4987">
      <c r="A4987" s="1" t="s">
        <v>8</v>
      </c>
      <c r="B4987" s="2">
        <v>44727.0</v>
      </c>
      <c r="C4987" s="3">
        <v>0.6939699074074074</v>
      </c>
      <c r="D4987" s="1">
        <v>12.859743</v>
      </c>
      <c r="E4987" s="1">
        <v>80.072091</v>
      </c>
      <c r="F4987" s="1">
        <v>2846.0</v>
      </c>
      <c r="G4987" s="1">
        <v>29.0</v>
      </c>
    </row>
    <row r="4988">
      <c r="A4988" s="1" t="s">
        <v>8</v>
      </c>
      <c r="B4988" s="2">
        <v>44727.0</v>
      </c>
      <c r="C4988" s="3">
        <v>0.6940856481481481</v>
      </c>
      <c r="D4988" s="1">
        <v>12.898825</v>
      </c>
      <c r="E4988" s="1">
        <v>80.090448</v>
      </c>
      <c r="F4988" s="1">
        <v>5339.0</v>
      </c>
      <c r="G4988" s="1">
        <v>44.0</v>
      </c>
    </row>
    <row r="4989">
      <c r="A4989" s="1" t="s">
        <v>7</v>
      </c>
      <c r="B4989" s="2">
        <v>44727.0</v>
      </c>
      <c r="C4989" s="3">
        <v>0.6943634259259259</v>
      </c>
      <c r="D4989" s="1">
        <v>12.856007</v>
      </c>
      <c r="E4989" s="1">
        <v>80.06925</v>
      </c>
      <c r="F4989" s="1">
        <v>2846.0</v>
      </c>
      <c r="G4989" s="1">
        <v>54.0</v>
      </c>
    </row>
    <row r="4990">
      <c r="A4990" s="1" t="s">
        <v>8</v>
      </c>
      <c r="B4990" s="2">
        <v>44727.0</v>
      </c>
      <c r="C4990" s="3">
        <v>0.6943865740740741</v>
      </c>
      <c r="D4990" s="1">
        <v>12.903139</v>
      </c>
      <c r="E4990" s="1">
        <v>80.09361</v>
      </c>
      <c r="F4990" s="1">
        <v>805.0</v>
      </c>
      <c r="G4990" s="1">
        <v>49.0</v>
      </c>
    </row>
    <row r="4991">
      <c r="A4991" s="1" t="s">
        <v>8</v>
      </c>
      <c r="B4991" s="2">
        <v>44727.0</v>
      </c>
      <c r="C4991" s="3">
        <v>0.6945254629629629</v>
      </c>
      <c r="D4991" s="1">
        <v>12.901851</v>
      </c>
      <c r="E4991" s="1">
        <v>80.09268</v>
      </c>
      <c r="F4991" s="1">
        <v>5339.0</v>
      </c>
      <c r="G4991" s="1">
        <v>51.0</v>
      </c>
    </row>
    <row r="4992">
      <c r="A4992" s="1" t="s">
        <v>8</v>
      </c>
      <c r="B4992" s="2">
        <v>44727.0</v>
      </c>
      <c r="C4992" s="3">
        <v>0.6945254629629629</v>
      </c>
      <c r="D4992" s="1">
        <v>12.854888</v>
      </c>
      <c r="E4992" s="1">
        <v>80.068413</v>
      </c>
      <c r="F4992" s="1">
        <v>2846.0</v>
      </c>
      <c r="G4992" s="1">
        <v>55.0</v>
      </c>
    </row>
    <row r="4993">
      <c r="A4993" s="1" t="s">
        <v>7</v>
      </c>
      <c r="B4993" s="2">
        <v>44727.0</v>
      </c>
      <c r="C4993" s="3">
        <v>0.6947569444444445</v>
      </c>
      <c r="D4993" s="1">
        <v>12.852666</v>
      </c>
      <c r="E4993" s="1">
        <v>80.066758</v>
      </c>
      <c r="F4993" s="1">
        <v>2846.0</v>
      </c>
      <c r="G4993" s="1">
        <v>58.0</v>
      </c>
    </row>
    <row r="4994">
      <c r="A4994" s="1" t="s">
        <v>7</v>
      </c>
      <c r="B4994" s="2">
        <v>44727.0</v>
      </c>
      <c r="C4994" s="3">
        <v>0.6947685185185185</v>
      </c>
      <c r="D4994" s="1">
        <v>12.905605</v>
      </c>
      <c r="E4994" s="1">
        <v>80.09549</v>
      </c>
      <c r="F4994" s="1">
        <v>805.0</v>
      </c>
      <c r="G4994" s="1">
        <v>52.0</v>
      </c>
    </row>
    <row r="4995">
      <c r="A4995" s="1" t="s">
        <v>8</v>
      </c>
      <c r="B4995" s="2">
        <v>44727.0</v>
      </c>
      <c r="C4995" s="3">
        <v>0.6950231481481481</v>
      </c>
      <c r="D4995" s="1">
        <v>12.905193</v>
      </c>
      <c r="E4995" s="1">
        <v>80.095139</v>
      </c>
      <c r="F4995" s="1">
        <v>5339.0</v>
      </c>
      <c r="G4995" s="1">
        <v>46.0</v>
      </c>
    </row>
    <row r="4996">
      <c r="A4996" s="1" t="s">
        <v>8</v>
      </c>
      <c r="B4996" s="2">
        <v>44727.0</v>
      </c>
      <c r="C4996" s="3">
        <v>0.6958101851851852</v>
      </c>
      <c r="D4996" s="1">
        <v>12.909205</v>
      </c>
      <c r="E4996" s="1">
        <v>80.098572</v>
      </c>
      <c r="F4996" s="1">
        <v>805.0</v>
      </c>
      <c r="G4996" s="1">
        <v>12.0</v>
      </c>
    </row>
    <row r="4997">
      <c r="A4997" s="1" t="s">
        <v>10</v>
      </c>
      <c r="B4997" s="2">
        <v>44727.0</v>
      </c>
      <c r="C4997" s="3">
        <v>0.6964814814814815</v>
      </c>
      <c r="D4997" s="1">
        <v>12.844272</v>
      </c>
      <c r="E4997" s="1">
        <v>80.060175</v>
      </c>
      <c r="F4997" s="1">
        <v>2846.0</v>
      </c>
      <c r="G4997" s="1">
        <v>18.0</v>
      </c>
    </row>
    <row r="4998">
      <c r="A4998" s="1" t="s">
        <v>8</v>
      </c>
      <c r="B4998" s="2">
        <v>44727.0</v>
      </c>
      <c r="C4998" s="3">
        <v>0.6973958333333333</v>
      </c>
      <c r="D4998" s="1">
        <v>12.916682</v>
      </c>
      <c r="E4998" s="1">
        <v>80.106364</v>
      </c>
      <c r="F4998" s="1">
        <v>805.0</v>
      </c>
      <c r="G4998" s="1">
        <v>20.0</v>
      </c>
    </row>
    <row r="4999">
      <c r="A4999" s="1" t="s">
        <v>8</v>
      </c>
      <c r="B4999" s="2">
        <v>44727.0</v>
      </c>
      <c r="C4999" s="3">
        <v>0.6974074074074074</v>
      </c>
      <c r="D4999" s="1">
        <v>12.916682</v>
      </c>
      <c r="E4999" s="1">
        <v>80.106364</v>
      </c>
      <c r="F4999" s="1">
        <v>805.0</v>
      </c>
      <c r="G4999" s="1">
        <v>20.0</v>
      </c>
    </row>
    <row r="5000">
      <c r="A5000" s="1" t="s">
        <v>8</v>
      </c>
      <c r="B5000" s="2">
        <v>44727.0</v>
      </c>
      <c r="C5000" s="3">
        <v>0.6974305555555556</v>
      </c>
      <c r="D5000" s="1">
        <v>12.916682</v>
      </c>
      <c r="E5000" s="1">
        <v>80.106364</v>
      </c>
      <c r="F5000" s="1">
        <v>805.0</v>
      </c>
      <c r="G5000" s="1">
        <v>20.0</v>
      </c>
    </row>
    <row r="5001">
      <c r="A5001" s="1" t="s">
        <v>8</v>
      </c>
      <c r="B5001" s="2">
        <v>44727.0</v>
      </c>
      <c r="C5001" s="3">
        <v>0.6975231481481482</v>
      </c>
      <c r="D5001" s="1">
        <v>12.916024</v>
      </c>
      <c r="E5001" s="1">
        <v>80.10506</v>
      </c>
      <c r="F5001" s="1">
        <v>5339.0</v>
      </c>
      <c r="G5001" s="1">
        <v>42.0</v>
      </c>
    </row>
    <row r="5002">
      <c r="A5002" s="1" t="s">
        <v>8</v>
      </c>
      <c r="B5002" s="2">
        <v>44727.0</v>
      </c>
      <c r="C5002" s="3">
        <v>0.6977777777777778</v>
      </c>
      <c r="D5002" s="1">
        <v>12.840532</v>
      </c>
      <c r="E5002" s="1">
        <v>80.056255</v>
      </c>
      <c r="F5002" s="1">
        <v>2846.0</v>
      </c>
      <c r="G5002" s="1">
        <v>21.0</v>
      </c>
    </row>
    <row r="5003">
      <c r="A5003" s="1" t="s">
        <v>7</v>
      </c>
      <c r="B5003" s="2">
        <v>44727.0</v>
      </c>
      <c r="C5003" s="3">
        <v>0.6980787037037037</v>
      </c>
      <c r="D5003" s="1">
        <v>12.838627</v>
      </c>
      <c r="E5003" s="1">
        <v>80.054178</v>
      </c>
      <c r="F5003" s="1">
        <v>2846.0</v>
      </c>
      <c r="G5003" s="1">
        <v>52.0</v>
      </c>
    </row>
    <row r="5004">
      <c r="A5004" s="1" t="s">
        <v>8</v>
      </c>
      <c r="B5004" s="2">
        <v>44727.0</v>
      </c>
      <c r="C5004" s="3">
        <v>0.6981712962962963</v>
      </c>
      <c r="D5004" s="1">
        <v>12.921495</v>
      </c>
      <c r="E5004" s="1">
        <v>80.112496</v>
      </c>
      <c r="F5004" s="1">
        <v>805.0</v>
      </c>
      <c r="G5004" s="1">
        <v>54.0</v>
      </c>
    </row>
    <row r="5005">
      <c r="A5005" s="1" t="s">
        <v>7</v>
      </c>
      <c r="B5005" s="2">
        <v>44727.0</v>
      </c>
      <c r="C5005" s="3">
        <v>0.6984490740740741</v>
      </c>
      <c r="D5005" s="1">
        <v>12.83561</v>
      </c>
      <c r="E5005" s="1">
        <v>80.051004</v>
      </c>
      <c r="F5005" s="1">
        <v>2846.0</v>
      </c>
      <c r="G5005" s="1">
        <v>57.0</v>
      </c>
    </row>
    <row r="5006">
      <c r="A5006" s="1" t="s">
        <v>7</v>
      </c>
      <c r="B5006" s="2">
        <v>44727.0</v>
      </c>
      <c r="C5006" s="3">
        <v>0.6985532407407408</v>
      </c>
      <c r="D5006" s="1">
        <v>12.834593</v>
      </c>
      <c r="E5006" s="1">
        <v>80.049943</v>
      </c>
      <c r="F5006" s="1">
        <v>2846.0</v>
      </c>
      <c r="G5006" s="1">
        <v>58.0</v>
      </c>
    </row>
    <row r="5007">
      <c r="A5007" s="1" t="s">
        <v>8</v>
      </c>
      <c r="B5007" s="2">
        <v>44727.0</v>
      </c>
      <c r="C5007" s="3">
        <v>0.6989120370370371</v>
      </c>
      <c r="D5007" s="1">
        <v>12.831549</v>
      </c>
      <c r="E5007" s="1">
        <v>80.046791</v>
      </c>
      <c r="F5007" s="1">
        <v>2846.0</v>
      </c>
      <c r="G5007" s="1">
        <v>57.0</v>
      </c>
    </row>
    <row r="5008">
      <c r="A5008" s="1" t="s">
        <v>7</v>
      </c>
      <c r="B5008" s="2">
        <v>44727.0</v>
      </c>
      <c r="C5008" s="3">
        <v>0.6993981481481482</v>
      </c>
      <c r="D5008" s="1">
        <v>12.827695</v>
      </c>
      <c r="E5008" s="1">
        <v>80.042684</v>
      </c>
      <c r="F5008" s="1">
        <v>2846.0</v>
      </c>
      <c r="G5008" s="1">
        <v>57.0</v>
      </c>
    </row>
    <row r="5009">
      <c r="A5009" s="1" t="s">
        <v>7</v>
      </c>
      <c r="B5009" s="2">
        <v>44727.0</v>
      </c>
      <c r="C5009" s="3">
        <v>0.6995023148148148</v>
      </c>
      <c r="D5009" s="1">
        <v>12.826672</v>
      </c>
      <c r="E5009" s="1">
        <v>80.041611</v>
      </c>
      <c r="F5009" s="1">
        <v>2846.0</v>
      </c>
      <c r="G5009" s="1">
        <v>57.0</v>
      </c>
    </row>
    <row r="5010">
      <c r="A5010" s="1" t="s">
        <v>7</v>
      </c>
      <c r="B5010" s="2">
        <v>44727.0</v>
      </c>
      <c r="C5010" s="3">
        <v>0.6998726851851852</v>
      </c>
      <c r="D5010" s="1">
        <v>12.823168</v>
      </c>
      <c r="E5010" s="1">
        <v>80.039041</v>
      </c>
      <c r="F5010" s="1">
        <v>2846.0</v>
      </c>
      <c r="G5010" s="1">
        <v>57.0</v>
      </c>
    </row>
    <row r="5011">
      <c r="A5011" s="1" t="s">
        <v>8</v>
      </c>
      <c r="B5011" s="2">
        <v>44727.0</v>
      </c>
      <c r="C5011" s="3">
        <v>0.6999074074074074</v>
      </c>
      <c r="D5011" s="1">
        <v>12.928156</v>
      </c>
      <c r="E5011" s="1">
        <v>80.119187</v>
      </c>
      <c r="F5011" s="1">
        <v>805.0</v>
      </c>
      <c r="G5011" s="1">
        <v>32.0</v>
      </c>
    </row>
    <row r="5012">
      <c r="A5012" s="1" t="s">
        <v>8</v>
      </c>
      <c r="B5012" s="2">
        <v>44727.0</v>
      </c>
      <c r="C5012" s="3">
        <v>0.7000925925925926</v>
      </c>
      <c r="D5012" s="1">
        <v>12.820977</v>
      </c>
      <c r="E5012" s="1">
        <v>80.037501</v>
      </c>
      <c r="F5012" s="1">
        <v>2846.0</v>
      </c>
      <c r="G5012" s="1">
        <v>45.0</v>
      </c>
    </row>
    <row r="5013">
      <c r="A5013" s="1" t="s">
        <v>8</v>
      </c>
      <c r="B5013" s="2">
        <v>44727.0</v>
      </c>
      <c r="C5013" s="3">
        <v>0.7004861111111111</v>
      </c>
      <c r="D5013" s="1">
        <v>12.927453</v>
      </c>
      <c r="E5013" s="1">
        <v>80.118525</v>
      </c>
      <c r="F5013" s="1">
        <v>5339.0</v>
      </c>
      <c r="G5013" s="1">
        <v>24.0</v>
      </c>
    </row>
    <row r="5014">
      <c r="A5014" s="1" t="s">
        <v>8</v>
      </c>
      <c r="B5014" s="2">
        <v>44727.0</v>
      </c>
      <c r="C5014" s="3">
        <v>0.7010879629629629</v>
      </c>
      <c r="D5014" s="1">
        <v>12.929577</v>
      </c>
      <c r="E5014" s="1">
        <v>80.120645</v>
      </c>
      <c r="F5014" s="1">
        <v>5339.0</v>
      </c>
      <c r="G5014" s="1">
        <v>0.0</v>
      </c>
    </row>
    <row r="5015">
      <c r="A5015" s="1" t="s">
        <v>7</v>
      </c>
      <c r="B5015" s="2">
        <v>44727.0</v>
      </c>
      <c r="C5015" s="3">
        <v>0.7011805555555556</v>
      </c>
      <c r="D5015" s="1">
        <v>12.810954</v>
      </c>
      <c r="E5015" s="1">
        <v>80.030571</v>
      </c>
      <c r="F5015" s="1">
        <v>2846.0</v>
      </c>
      <c r="G5015" s="1">
        <v>57.0</v>
      </c>
    </row>
    <row r="5016">
      <c r="A5016" s="1" t="s">
        <v>7</v>
      </c>
      <c r="B5016" s="2">
        <v>44727.0</v>
      </c>
      <c r="C5016" s="3">
        <v>0.7013541666666666</v>
      </c>
      <c r="D5016" s="1">
        <v>12.93423</v>
      </c>
      <c r="E5016" s="1">
        <v>80.125258</v>
      </c>
      <c r="F5016" s="1">
        <v>805.0</v>
      </c>
      <c r="G5016" s="1">
        <v>52.0</v>
      </c>
    </row>
    <row r="5017">
      <c r="A5017" s="1" t="s">
        <v>8</v>
      </c>
      <c r="B5017" s="2">
        <v>44727.0</v>
      </c>
      <c r="C5017" s="3">
        <v>0.7014236111111111</v>
      </c>
      <c r="D5017" s="1">
        <v>12.931244</v>
      </c>
      <c r="E5017" s="1">
        <v>80.122326</v>
      </c>
      <c r="F5017" s="1">
        <v>5339.0</v>
      </c>
      <c r="G5017" s="1">
        <v>34.0</v>
      </c>
    </row>
    <row r="5018">
      <c r="A5018" s="1" t="s">
        <v>8</v>
      </c>
      <c r="B5018" s="2">
        <v>44727.0</v>
      </c>
      <c r="C5018" s="3">
        <v>0.7016898148148148</v>
      </c>
      <c r="D5018" s="1">
        <v>12.933811</v>
      </c>
      <c r="E5018" s="1">
        <v>80.124815</v>
      </c>
      <c r="F5018" s="1">
        <v>5339.0</v>
      </c>
      <c r="G5018" s="1">
        <v>54.0</v>
      </c>
    </row>
    <row r="5019">
      <c r="A5019" s="1" t="s">
        <v>8</v>
      </c>
      <c r="B5019" s="2">
        <v>44727.0</v>
      </c>
      <c r="C5019" s="3">
        <v>0.7017013888888889</v>
      </c>
      <c r="D5019" s="1">
        <v>12.937333</v>
      </c>
      <c r="E5019" s="1">
        <v>80.128007</v>
      </c>
      <c r="F5019" s="1">
        <v>805.0</v>
      </c>
      <c r="G5019" s="1">
        <v>52.0</v>
      </c>
    </row>
    <row r="5020">
      <c r="A5020" s="1" t="s">
        <v>8</v>
      </c>
      <c r="B5020" s="2">
        <v>44727.0</v>
      </c>
      <c r="C5020" s="3">
        <v>0.7017361111111111</v>
      </c>
      <c r="D5020" s="1">
        <v>12.933811</v>
      </c>
      <c r="E5020" s="1">
        <v>80.124815</v>
      </c>
      <c r="F5020" s="1">
        <v>5339.0</v>
      </c>
      <c r="G5020" s="1">
        <v>54.0</v>
      </c>
    </row>
    <row r="5021">
      <c r="A5021" s="1" t="s">
        <v>8</v>
      </c>
      <c r="B5021" s="2">
        <v>44727.0</v>
      </c>
      <c r="C5021" s="3">
        <v>0.7017939814814815</v>
      </c>
      <c r="D5021" s="1">
        <v>12.933811</v>
      </c>
      <c r="E5021" s="1">
        <v>80.124815</v>
      </c>
      <c r="F5021" s="1">
        <v>5339.0</v>
      </c>
      <c r="G5021" s="1">
        <v>54.0</v>
      </c>
    </row>
    <row r="5022">
      <c r="A5022" s="1" t="s">
        <v>8</v>
      </c>
      <c r="B5022" s="2">
        <v>44727.0</v>
      </c>
      <c r="C5022" s="3">
        <v>0.7018981481481481</v>
      </c>
      <c r="D5022" s="1">
        <v>12.935036</v>
      </c>
      <c r="E5022" s="1">
        <v>80.125994</v>
      </c>
      <c r="F5022" s="1">
        <v>5339.0</v>
      </c>
      <c r="G5022" s="1">
        <v>31.0</v>
      </c>
    </row>
    <row r="5023">
      <c r="A5023" s="1" t="s">
        <v>8</v>
      </c>
      <c r="B5023" s="2">
        <v>44727.0</v>
      </c>
      <c r="C5023" s="3">
        <v>0.7020949074074074</v>
      </c>
      <c r="D5023" s="1">
        <v>12.936307</v>
      </c>
      <c r="E5023" s="1">
        <v>80.12711</v>
      </c>
      <c r="F5023" s="1">
        <v>5339.0</v>
      </c>
      <c r="G5023" s="1">
        <v>43.0</v>
      </c>
    </row>
    <row r="5024">
      <c r="A5024" s="1" t="s">
        <v>8</v>
      </c>
      <c r="B5024" s="2">
        <v>44727.0</v>
      </c>
      <c r="C5024" s="3">
        <v>0.7021875</v>
      </c>
      <c r="D5024" s="1">
        <v>12.936307</v>
      </c>
      <c r="E5024" s="1">
        <v>80.12711</v>
      </c>
      <c r="F5024" s="1">
        <v>5339.0</v>
      </c>
      <c r="G5024" s="1">
        <v>43.0</v>
      </c>
    </row>
    <row r="5025">
      <c r="A5025" s="1" t="s">
        <v>7</v>
      </c>
      <c r="B5025" s="2">
        <v>44727.0</v>
      </c>
      <c r="C5025" s="3">
        <v>0.7023148148148148</v>
      </c>
      <c r="D5025" s="1">
        <v>12.805487</v>
      </c>
      <c r="E5025" s="1">
        <v>80.027078</v>
      </c>
      <c r="F5025" s="1">
        <v>2846.0</v>
      </c>
      <c r="G5025" s="1">
        <v>56.0</v>
      </c>
    </row>
    <row r="5026">
      <c r="A5026" s="1" t="s">
        <v>8</v>
      </c>
      <c r="B5026" s="2">
        <v>44727.0</v>
      </c>
      <c r="C5026" s="3">
        <v>0.7025462962962963</v>
      </c>
      <c r="D5026" s="1">
        <v>12.939872</v>
      </c>
      <c r="E5026" s="1">
        <v>80.130285</v>
      </c>
      <c r="F5026" s="1">
        <v>5339.0</v>
      </c>
      <c r="G5026" s="1">
        <v>62.0</v>
      </c>
    </row>
    <row r="5027">
      <c r="A5027" s="1" t="s">
        <v>7</v>
      </c>
      <c r="B5027" s="2">
        <v>44727.0</v>
      </c>
      <c r="C5027" s="3">
        <v>0.7026851851851852</v>
      </c>
      <c r="D5027" s="1">
        <v>12.946482</v>
      </c>
      <c r="E5027" s="1">
        <v>80.1364</v>
      </c>
      <c r="F5027" s="1">
        <v>805.0</v>
      </c>
      <c r="G5027" s="1">
        <v>57.0</v>
      </c>
    </row>
    <row r="5028">
      <c r="A5028" s="1" t="s">
        <v>7</v>
      </c>
      <c r="B5028" s="2">
        <v>44727.0</v>
      </c>
      <c r="C5028" s="3">
        <v>0.7027893518518519</v>
      </c>
      <c r="D5028" s="1">
        <v>12.801163</v>
      </c>
      <c r="E5028" s="1">
        <v>80.024272</v>
      </c>
      <c r="F5028" s="1">
        <v>2846.0</v>
      </c>
      <c r="G5028" s="1">
        <v>50.0</v>
      </c>
    </row>
    <row r="5029">
      <c r="A5029" s="1" t="s">
        <v>7</v>
      </c>
      <c r="B5029" s="2">
        <v>44727.0</v>
      </c>
      <c r="C5029" s="3">
        <v>0.7029166666666666</v>
      </c>
      <c r="D5029" s="1">
        <v>12.947797</v>
      </c>
      <c r="E5029" s="1">
        <v>80.137344</v>
      </c>
      <c r="F5029" s="1">
        <v>805.0</v>
      </c>
      <c r="G5029" s="1">
        <v>58.0</v>
      </c>
    </row>
    <row r="5030">
      <c r="A5030" s="1" t="s">
        <v>7</v>
      </c>
      <c r="B5030" s="2">
        <v>44727.0</v>
      </c>
      <c r="C5030" s="3">
        <v>0.7029976851851852</v>
      </c>
      <c r="D5030" s="1">
        <v>12.800051</v>
      </c>
      <c r="E5030" s="1">
        <v>80.023507</v>
      </c>
      <c r="F5030" s="1">
        <v>2846.0</v>
      </c>
      <c r="G5030" s="1">
        <v>56.0</v>
      </c>
    </row>
    <row r="5031">
      <c r="A5031" s="1" t="s">
        <v>7</v>
      </c>
      <c r="B5031" s="2">
        <v>44727.0</v>
      </c>
      <c r="C5031" s="3">
        <v>0.7030208333333333</v>
      </c>
      <c r="D5031" s="1">
        <v>12.944551</v>
      </c>
      <c r="E5031" s="1">
        <v>80.134908</v>
      </c>
      <c r="F5031" s="1">
        <v>5339.0</v>
      </c>
      <c r="G5031" s="1">
        <v>51.0</v>
      </c>
    </row>
    <row r="5032">
      <c r="A5032" s="1" t="s">
        <v>8</v>
      </c>
      <c r="B5032" s="2">
        <v>44727.0</v>
      </c>
      <c r="C5032" s="3">
        <v>0.7036805555555555</v>
      </c>
      <c r="D5032" s="1">
        <v>12.794098</v>
      </c>
      <c r="E5032" s="1">
        <v>80.019643</v>
      </c>
      <c r="F5032" s="1">
        <v>2846.0</v>
      </c>
      <c r="G5032" s="1">
        <v>34.0</v>
      </c>
    </row>
    <row r="5033">
      <c r="A5033" s="1" t="s">
        <v>8</v>
      </c>
      <c r="B5033" s="2">
        <v>44727.0</v>
      </c>
      <c r="C5033" s="3">
        <v>0.7037268518518518</v>
      </c>
      <c r="D5033" s="1">
        <v>12.793284</v>
      </c>
      <c r="E5033" s="1">
        <v>80.019079</v>
      </c>
      <c r="F5033" s="1">
        <v>2846.0</v>
      </c>
      <c r="G5033" s="1">
        <v>36.0</v>
      </c>
    </row>
    <row r="5034">
      <c r="A5034" s="1" t="s">
        <v>8</v>
      </c>
      <c r="B5034" s="2">
        <v>44727.0</v>
      </c>
      <c r="C5034" s="3">
        <v>0.7039004629629629</v>
      </c>
      <c r="D5034" s="1">
        <v>12.792562</v>
      </c>
      <c r="E5034" s="1">
        <v>80.018574</v>
      </c>
      <c r="F5034" s="1">
        <v>2846.0</v>
      </c>
      <c r="G5034" s="1">
        <v>39.0</v>
      </c>
    </row>
    <row r="5035">
      <c r="A5035" s="1" t="s">
        <v>8</v>
      </c>
      <c r="B5035" s="2">
        <v>44727.0</v>
      </c>
      <c r="C5035" s="3">
        <v>0.7039467592592593</v>
      </c>
      <c r="D5035" s="1">
        <v>12.950691</v>
      </c>
      <c r="E5035" s="1">
        <v>80.139581</v>
      </c>
      <c r="F5035" s="1">
        <v>5339.0</v>
      </c>
      <c r="G5035" s="1">
        <v>27.0</v>
      </c>
    </row>
    <row r="5036">
      <c r="A5036" s="1" t="s">
        <v>8</v>
      </c>
      <c r="B5036" s="2">
        <v>44727.0</v>
      </c>
      <c r="C5036" s="3">
        <v>0.7039467592592593</v>
      </c>
      <c r="D5036" s="1">
        <v>12.950691</v>
      </c>
      <c r="E5036" s="1">
        <v>80.139581</v>
      </c>
      <c r="F5036" s="1">
        <v>5339.0</v>
      </c>
      <c r="G5036" s="1">
        <v>27.0</v>
      </c>
    </row>
    <row r="5037">
      <c r="A5037" s="1" t="s">
        <v>8</v>
      </c>
      <c r="B5037" s="2">
        <v>44727.0</v>
      </c>
      <c r="C5037" s="3">
        <v>0.7039583333333334</v>
      </c>
      <c r="D5037" s="1">
        <v>12.950691</v>
      </c>
      <c r="E5037" s="1">
        <v>80.139581</v>
      </c>
      <c r="F5037" s="1">
        <v>5339.0</v>
      </c>
      <c r="G5037" s="1">
        <v>27.0</v>
      </c>
    </row>
    <row r="5038">
      <c r="A5038" s="1" t="s">
        <v>8</v>
      </c>
      <c r="B5038" s="2">
        <v>44727.0</v>
      </c>
      <c r="C5038" s="3">
        <v>0.7041087962962963</v>
      </c>
      <c r="D5038" s="1">
        <v>12.954</v>
      </c>
      <c r="E5038" s="1">
        <v>80.141888</v>
      </c>
      <c r="F5038" s="1">
        <v>805.0</v>
      </c>
      <c r="G5038" s="1">
        <v>52.0</v>
      </c>
    </row>
    <row r="5039">
      <c r="A5039" s="1" t="s">
        <v>8</v>
      </c>
      <c r="B5039" s="2">
        <v>44727.0</v>
      </c>
      <c r="C5039" s="3">
        <v>0.7043055555555555</v>
      </c>
      <c r="D5039" s="1">
        <v>12.952728</v>
      </c>
      <c r="E5039" s="1">
        <v>80.141141</v>
      </c>
      <c r="F5039" s="1">
        <v>5339.0</v>
      </c>
      <c r="G5039" s="1">
        <v>34.0</v>
      </c>
    </row>
    <row r="5040">
      <c r="A5040" s="1" t="s">
        <v>8</v>
      </c>
      <c r="B5040" s="2">
        <v>44727.0</v>
      </c>
      <c r="C5040" s="3">
        <v>0.704375</v>
      </c>
      <c r="D5040" s="1">
        <v>12.952728</v>
      </c>
      <c r="E5040" s="1">
        <v>80.141141</v>
      </c>
      <c r="F5040" s="1">
        <v>5339.0</v>
      </c>
      <c r="G5040" s="1">
        <v>34.0</v>
      </c>
    </row>
    <row r="5041">
      <c r="A5041" s="1" t="s">
        <v>7</v>
      </c>
      <c r="B5041" s="2">
        <v>44727.0</v>
      </c>
      <c r="C5041" s="3">
        <v>0.7045486111111111</v>
      </c>
      <c r="D5041" s="1">
        <v>12.785815</v>
      </c>
      <c r="E5041" s="1">
        <v>80.014519</v>
      </c>
      <c r="F5041" s="1">
        <v>2846.0</v>
      </c>
      <c r="G5041" s="1">
        <v>57.0</v>
      </c>
    </row>
    <row r="5042">
      <c r="A5042" s="1" t="s">
        <v>8</v>
      </c>
      <c r="B5042" s="2">
        <v>44727.0</v>
      </c>
      <c r="C5042" s="3">
        <v>0.7051736111111111</v>
      </c>
      <c r="D5042" s="1">
        <v>12.955776</v>
      </c>
      <c r="E5042" s="1">
        <v>80.142818</v>
      </c>
      <c r="F5042" s="1">
        <v>5339.0</v>
      </c>
      <c r="G5042" s="1">
        <v>11.0</v>
      </c>
    </row>
    <row r="5043">
      <c r="A5043" s="1" t="s">
        <v>7</v>
      </c>
      <c r="B5043" s="2">
        <v>44727.0</v>
      </c>
      <c r="C5043" s="3">
        <v>0.7052893518518518</v>
      </c>
      <c r="D5043" s="1">
        <v>12.777905</v>
      </c>
      <c r="E5043" s="1">
        <v>80.010894</v>
      </c>
      <c r="F5043" s="1">
        <v>2846.0</v>
      </c>
      <c r="G5043" s="1">
        <v>58.0</v>
      </c>
    </row>
    <row r="5044">
      <c r="A5044" s="1" t="s">
        <v>8</v>
      </c>
      <c r="B5044" s="2">
        <v>44727.0</v>
      </c>
      <c r="C5044" s="3">
        <v>0.7054861111111111</v>
      </c>
      <c r="D5044" s="1">
        <v>12.958363</v>
      </c>
      <c r="E5044" s="1">
        <v>80.144136</v>
      </c>
      <c r="F5044" s="1">
        <v>805.0</v>
      </c>
      <c r="G5044" s="1">
        <v>33.0</v>
      </c>
    </row>
    <row r="5045">
      <c r="A5045" s="1" t="s">
        <v>9</v>
      </c>
      <c r="B5045" s="2">
        <v>44727.0</v>
      </c>
      <c r="C5045" s="3">
        <v>0.7055092592592592</v>
      </c>
      <c r="D5045" s="1">
        <v>12.959618</v>
      </c>
      <c r="E5045" s="1">
        <v>80.144723</v>
      </c>
      <c r="F5045" s="1">
        <v>805.0</v>
      </c>
      <c r="G5045" s="1">
        <v>34.0</v>
      </c>
    </row>
    <row r="5046">
      <c r="A5046" s="1" t="s">
        <v>8</v>
      </c>
      <c r="B5046" s="2">
        <v>44727.0</v>
      </c>
      <c r="C5046" s="3">
        <v>0.7055902777777778</v>
      </c>
      <c r="D5046" s="1">
        <v>12.773903</v>
      </c>
      <c r="E5046" s="1">
        <v>80.009116</v>
      </c>
      <c r="F5046" s="1">
        <v>2846.0</v>
      </c>
      <c r="G5046" s="1">
        <v>58.0</v>
      </c>
    </row>
    <row r="5047">
      <c r="A5047" s="1" t="s">
        <v>7</v>
      </c>
      <c r="B5047" s="2">
        <v>44727.0</v>
      </c>
      <c r="C5047" s="3">
        <v>0.7056134259259259</v>
      </c>
      <c r="D5047" s="1">
        <v>12.95864</v>
      </c>
      <c r="E5047" s="1">
        <v>80.144365</v>
      </c>
      <c r="F5047" s="1">
        <v>5339.0</v>
      </c>
      <c r="G5047" s="1">
        <v>37.0</v>
      </c>
    </row>
    <row r="5048">
      <c r="A5048" s="1" t="s">
        <v>8</v>
      </c>
      <c r="B5048" s="2">
        <v>44727.0</v>
      </c>
      <c r="C5048" s="3">
        <v>0.7057407407407408</v>
      </c>
      <c r="D5048" s="1">
        <v>12.772641</v>
      </c>
      <c r="E5048" s="1">
        <v>80.008543</v>
      </c>
      <c r="F5048" s="1">
        <v>2846.0</v>
      </c>
      <c r="G5048" s="1">
        <v>50.0</v>
      </c>
    </row>
    <row r="5049">
      <c r="A5049" s="1" t="s">
        <v>8</v>
      </c>
      <c r="B5049" s="2">
        <v>44727.0</v>
      </c>
      <c r="C5049" s="3">
        <v>0.7062268518518519</v>
      </c>
      <c r="D5049" s="1">
        <v>12.964544</v>
      </c>
      <c r="E5049" s="1">
        <v>80.147557</v>
      </c>
      <c r="F5049" s="1">
        <v>805.0</v>
      </c>
      <c r="G5049" s="1">
        <v>47.0</v>
      </c>
    </row>
    <row r="5050">
      <c r="A5050" s="1" t="s">
        <v>7</v>
      </c>
      <c r="B5050" s="2">
        <v>44727.0</v>
      </c>
      <c r="C5050" s="3">
        <v>0.7067013888888889</v>
      </c>
      <c r="D5050" s="1">
        <v>12.967998</v>
      </c>
      <c r="E5050" s="1">
        <v>80.149362</v>
      </c>
      <c r="F5050" s="1">
        <v>805.0</v>
      </c>
      <c r="G5050" s="1">
        <v>48.0</v>
      </c>
    </row>
    <row r="5051">
      <c r="A5051" s="1" t="s">
        <v>7</v>
      </c>
      <c r="B5051" s="2">
        <v>44727.0</v>
      </c>
      <c r="C5051" s="3">
        <v>0.7068055555555556</v>
      </c>
      <c r="D5051" s="1">
        <v>12.76575</v>
      </c>
      <c r="E5051" s="1">
        <v>80.005212</v>
      </c>
      <c r="F5051" s="1">
        <v>2846.0</v>
      </c>
      <c r="G5051" s="1">
        <v>48.0</v>
      </c>
    </row>
    <row r="5052">
      <c r="A5052" s="1" t="s">
        <v>8</v>
      </c>
      <c r="B5052" s="2">
        <v>44727.0</v>
      </c>
      <c r="C5052" s="3">
        <v>0.7069097222222223</v>
      </c>
      <c r="D5052" s="1">
        <v>12.96154</v>
      </c>
      <c r="E5052" s="1">
        <v>80.145914</v>
      </c>
      <c r="F5052" s="1">
        <v>5339.0</v>
      </c>
      <c r="G5052" s="1">
        <v>37.0</v>
      </c>
    </row>
    <row r="5053">
      <c r="A5053" s="1" t="s">
        <v>7</v>
      </c>
      <c r="B5053" s="2">
        <v>44727.0</v>
      </c>
      <c r="C5053" s="3">
        <v>0.7071759259259259</v>
      </c>
      <c r="D5053" s="1">
        <v>12.973164</v>
      </c>
      <c r="E5053" s="1">
        <v>80.152754</v>
      </c>
      <c r="F5053" s="1">
        <v>805.0</v>
      </c>
      <c r="G5053" s="1">
        <v>58.0</v>
      </c>
    </row>
    <row r="5054">
      <c r="A5054" s="1" t="s">
        <v>8</v>
      </c>
      <c r="B5054" s="2">
        <v>44727.0</v>
      </c>
      <c r="C5054" s="3">
        <v>0.7073495370370371</v>
      </c>
      <c r="D5054" s="1">
        <v>12.964524</v>
      </c>
      <c r="E5054" s="1">
        <v>80.147576</v>
      </c>
      <c r="F5054" s="1">
        <v>5339.0</v>
      </c>
      <c r="G5054" s="1">
        <v>39.0</v>
      </c>
    </row>
    <row r="5055">
      <c r="A5055" s="1" t="s">
        <v>8</v>
      </c>
      <c r="B5055" s="2">
        <v>44727.0</v>
      </c>
      <c r="C5055" s="3">
        <v>0.7074074074074074</v>
      </c>
      <c r="D5055" s="1">
        <v>12.964524</v>
      </c>
      <c r="E5055" s="1">
        <v>80.147576</v>
      </c>
      <c r="F5055" s="1">
        <v>5339.0</v>
      </c>
      <c r="G5055" s="1">
        <v>39.0</v>
      </c>
    </row>
    <row r="5056">
      <c r="A5056" s="1" t="s">
        <v>8</v>
      </c>
      <c r="B5056" s="2">
        <v>44727.0</v>
      </c>
      <c r="C5056" s="3">
        <v>0.7075231481481481</v>
      </c>
      <c r="D5056" s="1">
        <v>12.975563</v>
      </c>
      <c r="E5056" s="1">
        <v>80.156256</v>
      </c>
      <c r="F5056" s="1">
        <v>805.0</v>
      </c>
      <c r="G5056" s="1">
        <v>46.0</v>
      </c>
    </row>
    <row r="5057">
      <c r="A5057" s="1" t="s">
        <v>7</v>
      </c>
      <c r="B5057" s="2">
        <v>44727.0</v>
      </c>
      <c r="C5057" s="3">
        <v>0.7077430555555555</v>
      </c>
      <c r="D5057" s="1">
        <v>12.976573</v>
      </c>
      <c r="E5057" s="1">
        <v>80.157731</v>
      </c>
      <c r="F5057" s="1">
        <v>805.0</v>
      </c>
      <c r="G5057" s="1">
        <v>37.0</v>
      </c>
    </row>
    <row r="5058">
      <c r="A5058" s="1" t="s">
        <v>7</v>
      </c>
      <c r="B5058" s="2">
        <v>44727.0</v>
      </c>
      <c r="C5058" s="3">
        <v>0.7080671296296296</v>
      </c>
      <c r="D5058" s="1">
        <v>12.972243</v>
      </c>
      <c r="E5058" s="1">
        <v>80.151518</v>
      </c>
      <c r="F5058" s="1">
        <v>5339.0</v>
      </c>
      <c r="G5058" s="1">
        <v>58.0</v>
      </c>
    </row>
    <row r="5059">
      <c r="A5059" s="1" t="s">
        <v>7</v>
      </c>
      <c r="B5059" s="2">
        <v>44727.0</v>
      </c>
      <c r="C5059" s="3">
        <v>0.708275462962963</v>
      </c>
      <c r="D5059" s="1">
        <v>12.973541</v>
      </c>
      <c r="E5059" s="1">
        <v>80.153303</v>
      </c>
      <c r="F5059" s="1">
        <v>5339.0</v>
      </c>
      <c r="G5059" s="1">
        <v>57.0</v>
      </c>
    </row>
    <row r="5060">
      <c r="A5060" s="1" t="s">
        <v>7</v>
      </c>
      <c r="B5060" s="2">
        <v>44727.0</v>
      </c>
      <c r="C5060" s="3">
        <v>0.7083101851851852</v>
      </c>
      <c r="D5060" s="1">
        <v>12.754134</v>
      </c>
      <c r="E5060" s="1">
        <v>80.00078</v>
      </c>
      <c r="F5060" s="1">
        <v>2846.0</v>
      </c>
      <c r="G5060" s="1">
        <v>50.0</v>
      </c>
    </row>
    <row r="5061">
      <c r="A5061" s="1" t="s">
        <v>8</v>
      </c>
      <c r="B5061" s="2">
        <v>44727.0</v>
      </c>
      <c r="C5061" s="3">
        <v>0.7085763888888889</v>
      </c>
      <c r="D5061" s="1">
        <v>12.980721</v>
      </c>
      <c r="E5061" s="1">
        <v>80.16518</v>
      </c>
      <c r="F5061" s="1">
        <v>805.0</v>
      </c>
      <c r="G5061" s="1">
        <v>58.0</v>
      </c>
    </row>
    <row r="5062">
      <c r="A5062" s="1" t="s">
        <v>7</v>
      </c>
      <c r="B5062" s="2">
        <v>44727.0</v>
      </c>
      <c r="C5062" s="3">
        <v>0.7087268518518518</v>
      </c>
      <c r="D5062" s="1">
        <v>12.749384</v>
      </c>
      <c r="E5062" s="1">
        <v>79.997458</v>
      </c>
      <c r="F5062" s="1">
        <v>2846.0</v>
      </c>
      <c r="G5062" s="1">
        <v>57.0</v>
      </c>
    </row>
    <row r="5063">
      <c r="A5063" s="1" t="s">
        <v>7</v>
      </c>
      <c r="B5063" s="2">
        <v>44727.0</v>
      </c>
      <c r="C5063" s="3">
        <v>0.7089236111111111</v>
      </c>
      <c r="D5063" s="1">
        <v>12.982981</v>
      </c>
      <c r="E5063" s="1">
        <v>80.16906</v>
      </c>
      <c r="F5063" s="1">
        <v>805.0</v>
      </c>
      <c r="G5063" s="1">
        <v>52.0</v>
      </c>
    </row>
    <row r="5064">
      <c r="A5064" s="1" t="s">
        <v>8</v>
      </c>
      <c r="B5064" s="2">
        <v>44727.0</v>
      </c>
      <c r="C5064" s="3">
        <v>0.7091319444444445</v>
      </c>
      <c r="D5064" s="1">
        <v>12.985347</v>
      </c>
      <c r="E5064" s="1">
        <v>80.172937</v>
      </c>
      <c r="F5064" s="1">
        <v>805.0</v>
      </c>
      <c r="G5064" s="1">
        <v>54.0</v>
      </c>
    </row>
    <row r="5065">
      <c r="A5065" s="1" t="s">
        <v>8</v>
      </c>
      <c r="B5065" s="2">
        <v>44727.0</v>
      </c>
      <c r="C5065" s="3">
        <v>0.7098032407407407</v>
      </c>
      <c r="D5065" s="1">
        <v>12.983326</v>
      </c>
      <c r="E5065" s="1">
        <v>80.1697</v>
      </c>
      <c r="F5065" s="1">
        <v>5339.0</v>
      </c>
      <c r="G5065" s="1">
        <v>62.0</v>
      </c>
    </row>
    <row r="5066">
      <c r="A5066" s="1" t="s">
        <v>8</v>
      </c>
      <c r="B5066" s="2">
        <v>44727.0</v>
      </c>
      <c r="C5066" s="3">
        <v>0.7099074074074074</v>
      </c>
      <c r="D5066" s="1">
        <v>12.987088</v>
      </c>
      <c r="E5066" s="1">
        <v>80.175432</v>
      </c>
      <c r="F5066" s="1">
        <v>805.0</v>
      </c>
      <c r="G5066" s="1">
        <v>35.0</v>
      </c>
    </row>
    <row r="5067">
      <c r="A5067" s="1" t="s">
        <v>8</v>
      </c>
      <c r="B5067" s="2">
        <v>44727.0</v>
      </c>
      <c r="C5067" s="3">
        <v>0.710300925925926</v>
      </c>
      <c r="D5067" s="1">
        <v>12.986485</v>
      </c>
      <c r="E5067" s="1">
        <v>80.174641</v>
      </c>
      <c r="F5067" s="1">
        <v>5339.0</v>
      </c>
      <c r="G5067" s="1">
        <v>35.0</v>
      </c>
    </row>
    <row r="5068">
      <c r="A5068" s="1" t="s">
        <v>7</v>
      </c>
      <c r="B5068" s="2">
        <v>44727.0</v>
      </c>
      <c r="C5068" s="3">
        <v>0.7103819444444445</v>
      </c>
      <c r="D5068" s="1">
        <v>12.740737</v>
      </c>
      <c r="E5068" s="1">
        <v>79.990483</v>
      </c>
      <c r="F5068" s="1">
        <v>2846.0</v>
      </c>
      <c r="G5068" s="1">
        <v>49.0</v>
      </c>
    </row>
    <row r="5069">
      <c r="A5069" s="1" t="s">
        <v>8</v>
      </c>
      <c r="B5069" s="2">
        <v>44727.0</v>
      </c>
      <c r="C5069" s="3">
        <v>0.7104976851851852</v>
      </c>
      <c r="D5069" s="1">
        <v>12.987355</v>
      </c>
      <c r="E5069" s="1">
        <v>80.175842</v>
      </c>
      <c r="F5069" s="1">
        <v>5339.0</v>
      </c>
      <c r="G5069" s="1">
        <v>39.0</v>
      </c>
    </row>
    <row r="5070">
      <c r="A5070" s="1" t="s">
        <v>7</v>
      </c>
      <c r="B5070" s="2">
        <v>44727.0</v>
      </c>
      <c r="C5070" s="3">
        <v>0.7105555555555556</v>
      </c>
      <c r="D5070" s="1">
        <v>12.738488</v>
      </c>
      <c r="E5070" s="1">
        <v>79.988715</v>
      </c>
      <c r="F5070" s="1">
        <v>2846.0</v>
      </c>
      <c r="G5070" s="1">
        <v>60.0</v>
      </c>
    </row>
    <row r="5071">
      <c r="A5071" s="1" t="s">
        <v>7</v>
      </c>
      <c r="B5071" s="2">
        <v>44727.0</v>
      </c>
      <c r="C5071" s="3">
        <v>0.7110069444444445</v>
      </c>
      <c r="D5071" s="1">
        <v>12.734136</v>
      </c>
      <c r="E5071" s="1">
        <v>79.98485</v>
      </c>
      <c r="F5071" s="1">
        <v>2846.0</v>
      </c>
      <c r="G5071" s="1">
        <v>58.0</v>
      </c>
    </row>
    <row r="5072">
      <c r="A5072" s="1" t="s">
        <v>7</v>
      </c>
      <c r="B5072" s="2">
        <v>44727.0</v>
      </c>
      <c r="C5072" s="3">
        <v>0.7110763888888889</v>
      </c>
      <c r="D5072" s="1">
        <v>12.734136</v>
      </c>
      <c r="E5072" s="1">
        <v>79.98485</v>
      </c>
      <c r="F5072" s="1">
        <v>2846.0</v>
      </c>
      <c r="G5072" s="1">
        <v>58.0</v>
      </c>
    </row>
    <row r="5073">
      <c r="A5073" s="1" t="s">
        <v>8</v>
      </c>
      <c r="B5073" s="2">
        <v>44727.0</v>
      </c>
      <c r="C5073" s="3">
        <v>0.7111921296296296</v>
      </c>
      <c r="D5073" s="1">
        <v>12.989307</v>
      </c>
      <c r="E5073" s="1">
        <v>80.178517</v>
      </c>
      <c r="F5073" s="1">
        <v>5339.0</v>
      </c>
      <c r="G5073" s="1">
        <v>16.0</v>
      </c>
    </row>
    <row r="5074">
      <c r="A5074" s="1" t="s">
        <v>8</v>
      </c>
      <c r="B5074" s="2">
        <v>44727.0</v>
      </c>
      <c r="C5074" s="3">
        <v>0.7114583333333333</v>
      </c>
      <c r="D5074" s="1">
        <v>12.990493</v>
      </c>
      <c r="E5074" s="1">
        <v>80.180021</v>
      </c>
      <c r="F5074" s="1">
        <v>5339.0</v>
      </c>
      <c r="G5074" s="1">
        <v>49.0</v>
      </c>
    </row>
    <row r="5075">
      <c r="A5075" s="1" t="s">
        <v>7</v>
      </c>
      <c r="B5075" s="2">
        <v>44727.0</v>
      </c>
      <c r="C5075" s="3">
        <v>0.7116087962962963</v>
      </c>
      <c r="D5075" s="1">
        <v>12.729134</v>
      </c>
      <c r="E5075" s="1">
        <v>79.982834</v>
      </c>
      <c r="F5075" s="1">
        <v>2846.0</v>
      </c>
      <c r="G5075" s="1">
        <v>60.0</v>
      </c>
    </row>
    <row r="5076">
      <c r="A5076" s="1" t="s">
        <v>8</v>
      </c>
      <c r="B5076" s="2">
        <v>44727.0</v>
      </c>
      <c r="C5076" s="3">
        <v>0.7116666666666667</v>
      </c>
      <c r="D5076" s="1">
        <v>12.992011</v>
      </c>
      <c r="E5076" s="1">
        <v>80.18199</v>
      </c>
      <c r="F5076" s="1">
        <v>5339.0</v>
      </c>
      <c r="G5076" s="1">
        <v>47.0</v>
      </c>
    </row>
    <row r="5077">
      <c r="A5077" s="1" t="s">
        <v>9</v>
      </c>
      <c r="B5077" s="2">
        <v>44727.0</v>
      </c>
      <c r="C5077" s="3">
        <v>0.7117361111111111</v>
      </c>
      <c r="D5077" s="1">
        <v>12.992679</v>
      </c>
      <c r="E5077" s="1">
        <v>80.182936</v>
      </c>
      <c r="F5077" s="1">
        <v>5339.0</v>
      </c>
      <c r="G5077" s="1">
        <v>40.0</v>
      </c>
    </row>
    <row r="5078">
      <c r="A5078" s="1" t="s">
        <v>7</v>
      </c>
      <c r="B5078" s="2">
        <v>44727.0</v>
      </c>
      <c r="C5078" s="3">
        <v>0.7120601851851852</v>
      </c>
      <c r="D5078" s="1">
        <v>12.99395</v>
      </c>
      <c r="E5078" s="1">
        <v>80.185205</v>
      </c>
      <c r="F5078" s="1">
        <v>805.0</v>
      </c>
      <c r="G5078" s="1">
        <v>16.0</v>
      </c>
    </row>
    <row r="5079">
      <c r="A5079" s="1" t="s">
        <v>8</v>
      </c>
      <c r="B5079" s="2">
        <v>44727.0</v>
      </c>
      <c r="C5079" s="3">
        <v>0.7127083333333334</v>
      </c>
      <c r="D5079" s="1">
        <v>12.99594</v>
      </c>
      <c r="E5079" s="1">
        <v>80.188996</v>
      </c>
      <c r="F5079" s="1">
        <v>805.0</v>
      </c>
      <c r="G5079" s="1">
        <v>0.0</v>
      </c>
    </row>
    <row r="5080">
      <c r="A5080" s="1" t="s">
        <v>8</v>
      </c>
      <c r="B5080" s="2">
        <v>44727.0</v>
      </c>
      <c r="C5080" s="3">
        <v>0.7127083333333334</v>
      </c>
      <c r="D5080" s="1">
        <v>12.99594</v>
      </c>
      <c r="E5080" s="1">
        <v>80.188996</v>
      </c>
      <c r="F5080" s="1">
        <v>805.0</v>
      </c>
      <c r="G5080" s="1">
        <v>0.0</v>
      </c>
    </row>
    <row r="5081">
      <c r="A5081" s="1" t="s">
        <v>7</v>
      </c>
      <c r="B5081" s="2">
        <v>44727.0</v>
      </c>
      <c r="C5081" s="3">
        <v>0.7127893518518519</v>
      </c>
      <c r="D5081" s="1">
        <v>12.718144</v>
      </c>
      <c r="E5081" s="1">
        <v>79.980982</v>
      </c>
      <c r="F5081" s="1">
        <v>2846.0</v>
      </c>
      <c r="G5081" s="1">
        <v>57.0</v>
      </c>
    </row>
    <row r="5082">
      <c r="A5082" s="1" t="s">
        <v>8</v>
      </c>
      <c r="B5082" s="2">
        <v>44727.0</v>
      </c>
      <c r="C5082" s="3">
        <v>0.7127893518518519</v>
      </c>
      <c r="D5082" s="1">
        <v>12.99594</v>
      </c>
      <c r="E5082" s="1">
        <v>80.188996</v>
      </c>
      <c r="F5082" s="1">
        <v>805.0</v>
      </c>
      <c r="G5082" s="1">
        <v>0.0</v>
      </c>
    </row>
    <row r="5083">
      <c r="A5083" s="1" t="s">
        <v>7</v>
      </c>
      <c r="B5083" s="2">
        <v>44727.0</v>
      </c>
      <c r="C5083" s="3">
        <v>0.7130671296296296</v>
      </c>
      <c r="D5083" s="1">
        <v>12.718144</v>
      </c>
      <c r="E5083" s="1">
        <v>79.980982</v>
      </c>
      <c r="F5083" s="1">
        <v>2846.0</v>
      </c>
      <c r="G5083" s="1">
        <v>57.0</v>
      </c>
    </row>
    <row r="5084">
      <c r="A5084" s="1" t="s">
        <v>8</v>
      </c>
      <c r="B5084" s="2">
        <v>44727.0</v>
      </c>
      <c r="C5084" s="3">
        <v>0.7131944444444445</v>
      </c>
      <c r="D5084" s="1">
        <v>12.997811</v>
      </c>
      <c r="E5084" s="1">
        <v>80.191266</v>
      </c>
      <c r="F5084" s="1">
        <v>805.0</v>
      </c>
      <c r="G5084" s="1">
        <v>53.0</v>
      </c>
    </row>
    <row r="5085">
      <c r="A5085" s="1" t="s">
        <v>8</v>
      </c>
      <c r="B5085" s="2">
        <v>44727.0</v>
      </c>
      <c r="C5085" s="3">
        <v>0.7133449074074074</v>
      </c>
      <c r="D5085" s="1">
        <v>12.999053</v>
      </c>
      <c r="E5085" s="1">
        <v>80.192815</v>
      </c>
      <c r="F5085" s="1">
        <v>805.0</v>
      </c>
      <c r="G5085" s="1">
        <v>45.0</v>
      </c>
    </row>
    <row r="5086">
      <c r="A5086" s="1" t="s">
        <v>8</v>
      </c>
      <c r="B5086" s="2">
        <v>44727.0</v>
      </c>
      <c r="C5086" s="3">
        <v>0.7134953703703704</v>
      </c>
      <c r="D5086" s="1">
        <v>12.9974</v>
      </c>
      <c r="E5086" s="1">
        <v>80.190759</v>
      </c>
      <c r="F5086" s="1">
        <v>5339.0</v>
      </c>
      <c r="G5086" s="1">
        <v>47.0</v>
      </c>
    </row>
    <row r="5087">
      <c r="A5087" s="1" t="s">
        <v>7</v>
      </c>
      <c r="B5087" s="2">
        <v>44727.0</v>
      </c>
      <c r="C5087" s="3">
        <v>0.7135069444444444</v>
      </c>
      <c r="D5087" s="1">
        <v>12.711369</v>
      </c>
      <c r="E5087" s="1">
        <v>79.978761</v>
      </c>
      <c r="F5087" s="1">
        <v>2846.0</v>
      </c>
      <c r="G5087" s="1">
        <v>55.0</v>
      </c>
    </row>
    <row r="5088">
      <c r="A5088" s="1" t="s">
        <v>8</v>
      </c>
      <c r="B5088" s="2">
        <v>44727.0</v>
      </c>
      <c r="C5088" s="3">
        <v>0.713599537037037</v>
      </c>
      <c r="D5088" s="1">
        <v>12.9974</v>
      </c>
      <c r="E5088" s="1">
        <v>80.190759</v>
      </c>
      <c r="F5088" s="1">
        <v>5339.0</v>
      </c>
      <c r="G5088" s="1">
        <v>47.0</v>
      </c>
    </row>
    <row r="5089">
      <c r="A5089" s="1" t="s">
        <v>7</v>
      </c>
      <c r="B5089" s="2">
        <v>44727.0</v>
      </c>
      <c r="C5089" s="3">
        <v>0.7139467592592592</v>
      </c>
      <c r="D5089" s="1">
        <v>12.705659</v>
      </c>
      <c r="E5089" s="1">
        <v>79.974758</v>
      </c>
      <c r="F5089" s="1">
        <v>2846.0</v>
      </c>
      <c r="G5089" s="1">
        <v>58.0</v>
      </c>
    </row>
    <row r="5090">
      <c r="A5090" s="1" t="s">
        <v>8</v>
      </c>
      <c r="B5090" s="2">
        <v>44727.0</v>
      </c>
      <c r="C5090" s="3">
        <v>0.7140277777777778</v>
      </c>
      <c r="D5090" s="1">
        <v>12.998799</v>
      </c>
      <c r="E5090" s="1">
        <v>80.192529</v>
      </c>
      <c r="F5090" s="1">
        <v>5339.0</v>
      </c>
      <c r="G5090" s="1">
        <v>10.0</v>
      </c>
    </row>
    <row r="5091">
      <c r="A5091" s="1" t="s">
        <v>8</v>
      </c>
      <c r="B5091" s="2">
        <v>44727.0</v>
      </c>
      <c r="C5091" s="3">
        <v>0.7141782407407408</v>
      </c>
      <c r="D5091" s="1">
        <v>12.999355</v>
      </c>
      <c r="E5091" s="1">
        <v>80.193235</v>
      </c>
      <c r="F5091" s="1">
        <v>5339.0</v>
      </c>
      <c r="G5091" s="1">
        <v>30.0</v>
      </c>
    </row>
    <row r="5092">
      <c r="A5092" s="1" t="s">
        <v>8</v>
      </c>
      <c r="B5092" s="2">
        <v>44727.0</v>
      </c>
      <c r="C5092" s="3">
        <v>0.7142476851851852</v>
      </c>
      <c r="D5092" s="1">
        <v>13.001656</v>
      </c>
      <c r="E5092" s="1">
        <v>80.196062</v>
      </c>
      <c r="F5092" s="1">
        <v>805.0</v>
      </c>
      <c r="G5092" s="1">
        <v>30.0</v>
      </c>
    </row>
    <row r="5093">
      <c r="A5093" s="1" t="s">
        <v>8</v>
      </c>
      <c r="B5093" s="2">
        <v>44727.0</v>
      </c>
      <c r="C5093" s="3">
        <v>0.7145370370370371</v>
      </c>
      <c r="D5093" s="1">
        <v>13.001872</v>
      </c>
      <c r="E5093" s="1">
        <v>80.199609</v>
      </c>
      <c r="F5093" s="1">
        <v>805.0</v>
      </c>
      <c r="G5093" s="1">
        <v>46.0</v>
      </c>
    </row>
    <row r="5094">
      <c r="A5094" s="1" t="s">
        <v>10</v>
      </c>
      <c r="B5094" s="2">
        <v>44727.0</v>
      </c>
      <c r="C5094" s="3">
        <v>0.7149537037037037</v>
      </c>
      <c r="D5094" s="1">
        <v>12.699658</v>
      </c>
      <c r="E5094" s="1">
        <v>79.968824</v>
      </c>
      <c r="F5094" s="1">
        <v>2846.0</v>
      </c>
      <c r="G5094" s="1">
        <v>11.0</v>
      </c>
    </row>
    <row r="5095">
      <c r="A5095" s="1" t="s">
        <v>8</v>
      </c>
      <c r="B5095" s="2">
        <v>44727.0</v>
      </c>
      <c r="C5095" s="3">
        <v>0.7151851851851851</v>
      </c>
      <c r="D5095" s="1">
        <v>13.002093</v>
      </c>
      <c r="E5095" s="1">
        <v>80.196834</v>
      </c>
      <c r="F5095" s="1">
        <v>5339.0</v>
      </c>
      <c r="G5095" s="1">
        <v>26.0</v>
      </c>
    </row>
    <row r="5096">
      <c r="A5096" s="1" t="s">
        <v>8</v>
      </c>
      <c r="B5096" s="2">
        <v>44727.0</v>
      </c>
      <c r="C5096" s="3">
        <v>0.7152314814814815</v>
      </c>
      <c r="D5096" s="1">
        <v>13.002043</v>
      </c>
      <c r="E5096" s="1">
        <v>80.198033</v>
      </c>
      <c r="F5096" s="1">
        <v>5339.0</v>
      </c>
      <c r="G5096" s="1">
        <v>36.0</v>
      </c>
    </row>
    <row r="5097">
      <c r="A5097" s="1" t="s">
        <v>8</v>
      </c>
      <c r="B5097" s="2">
        <v>44727.0</v>
      </c>
      <c r="C5097" s="3">
        <v>0.7152777777777778</v>
      </c>
      <c r="D5097" s="1">
        <v>13.007841</v>
      </c>
      <c r="E5097" s="1">
        <v>80.203683</v>
      </c>
      <c r="F5097" s="1">
        <v>805.0</v>
      </c>
      <c r="G5097" s="1">
        <v>42.0</v>
      </c>
    </row>
    <row r="5098">
      <c r="A5098" s="1" t="s">
        <v>7</v>
      </c>
      <c r="B5098" s="2">
        <v>44727.0</v>
      </c>
      <c r="C5098" s="3">
        <v>0.7154398148148148</v>
      </c>
      <c r="D5098" s="1">
        <v>13.008102</v>
      </c>
      <c r="E5098" s="1">
        <v>80.202779</v>
      </c>
      <c r="F5098" s="1">
        <v>805.0</v>
      </c>
      <c r="G5098" s="1">
        <v>35.0</v>
      </c>
    </row>
    <row r="5099">
      <c r="A5099" s="1" t="s">
        <v>8</v>
      </c>
      <c r="B5099" s="2">
        <v>44727.0</v>
      </c>
      <c r="C5099" s="3">
        <v>0.7156365740740741</v>
      </c>
      <c r="D5099" s="1">
        <v>13.003149</v>
      </c>
      <c r="E5099" s="1">
        <v>80.200706</v>
      </c>
      <c r="F5099" s="1">
        <v>5339.0</v>
      </c>
      <c r="G5099" s="1">
        <v>43.0</v>
      </c>
    </row>
    <row r="5100">
      <c r="A5100" s="1" t="s">
        <v>7</v>
      </c>
      <c r="B5100" s="2">
        <v>44727.0</v>
      </c>
      <c r="C5100" s="3">
        <v>0.7156481481481481</v>
      </c>
      <c r="D5100" s="1">
        <v>13.007657</v>
      </c>
      <c r="E5100" s="1">
        <v>80.20412</v>
      </c>
      <c r="F5100" s="1">
        <v>805.0</v>
      </c>
      <c r="G5100" s="1">
        <v>46.0</v>
      </c>
    </row>
    <row r="5101">
      <c r="A5101" s="1" t="s">
        <v>10</v>
      </c>
      <c r="B5101" s="2">
        <v>44727.0</v>
      </c>
      <c r="C5101" s="3">
        <v>0.7157175925925926</v>
      </c>
      <c r="D5101" s="1">
        <v>12.697874</v>
      </c>
      <c r="E5101" s="1">
        <v>79.971043</v>
      </c>
      <c r="F5101" s="1">
        <v>2846.0</v>
      </c>
      <c r="G5101" s="1">
        <v>16.0</v>
      </c>
    </row>
    <row r="5102">
      <c r="A5102" s="1" t="s">
        <v>9</v>
      </c>
      <c r="B5102" s="2">
        <v>44727.0</v>
      </c>
      <c r="C5102" s="3">
        <v>0.715787037037037</v>
      </c>
      <c r="D5102" s="1">
        <v>13.004333</v>
      </c>
      <c r="E5102" s="1">
        <v>80.201018</v>
      </c>
      <c r="F5102" s="1">
        <v>5339.0</v>
      </c>
      <c r="G5102" s="1">
        <v>40.0</v>
      </c>
    </row>
    <row r="5103">
      <c r="A5103" s="1" t="s">
        <v>8</v>
      </c>
      <c r="B5103" s="2">
        <v>44727.0</v>
      </c>
      <c r="C5103" s="3">
        <v>0.7159953703703704</v>
      </c>
      <c r="D5103" s="1">
        <v>13.006005</v>
      </c>
      <c r="E5103" s="1">
        <v>80.20241</v>
      </c>
      <c r="F5103" s="1">
        <v>5339.0</v>
      </c>
      <c r="G5103" s="1">
        <v>42.0</v>
      </c>
    </row>
    <row r="5104">
      <c r="A5104" s="1" t="s">
        <v>7</v>
      </c>
      <c r="B5104" s="2">
        <v>44727.0</v>
      </c>
      <c r="C5104" s="3">
        <v>0.716099537037037</v>
      </c>
      <c r="D5104" s="1">
        <v>13.007657</v>
      </c>
      <c r="E5104" s="1">
        <v>80.20412</v>
      </c>
      <c r="F5104" s="1">
        <v>805.0</v>
      </c>
      <c r="G5104" s="1">
        <v>46.0</v>
      </c>
    </row>
    <row r="5105">
      <c r="A5105" s="1" t="s">
        <v>8</v>
      </c>
      <c r="B5105" s="2">
        <v>44727.0</v>
      </c>
      <c r="C5105" s="3">
        <v>0.716099537037037</v>
      </c>
      <c r="D5105" s="1">
        <v>13.006005</v>
      </c>
      <c r="E5105" s="1">
        <v>80.20241</v>
      </c>
      <c r="F5105" s="1">
        <v>5339.0</v>
      </c>
      <c r="G5105" s="1">
        <v>42.0</v>
      </c>
    </row>
    <row r="5106">
      <c r="A5106" s="1" t="s">
        <v>8</v>
      </c>
      <c r="B5106" s="2">
        <v>44727.0</v>
      </c>
      <c r="C5106" s="3">
        <v>0.7168518518518519</v>
      </c>
      <c r="D5106" s="1">
        <v>13.007662</v>
      </c>
      <c r="E5106" s="1">
        <v>80.204811</v>
      </c>
      <c r="F5106" s="1">
        <v>5339.0</v>
      </c>
      <c r="G5106" s="1">
        <v>62.0</v>
      </c>
    </row>
    <row r="5107">
      <c r="A5107" s="1" t="s">
        <v>8</v>
      </c>
      <c r="B5107" s="2">
        <v>44727.0</v>
      </c>
      <c r="C5107" s="3">
        <v>0.7170717592592593</v>
      </c>
      <c r="D5107" s="1">
        <v>13.007919</v>
      </c>
      <c r="E5107" s="1">
        <v>80.207366</v>
      </c>
      <c r="F5107" s="1">
        <v>5339.0</v>
      </c>
      <c r="G5107" s="1">
        <v>58.0</v>
      </c>
    </row>
    <row r="5108">
      <c r="A5108" s="1" t="s">
        <v>8</v>
      </c>
      <c r="B5108" s="2">
        <v>44727.0</v>
      </c>
      <c r="C5108" s="3">
        <v>0.7171990740740741</v>
      </c>
      <c r="D5108" s="1">
        <v>13.00821</v>
      </c>
      <c r="E5108" s="1">
        <v>80.209318</v>
      </c>
      <c r="F5108" s="1">
        <v>5339.0</v>
      </c>
      <c r="G5108" s="1">
        <v>47.0</v>
      </c>
    </row>
    <row r="5109">
      <c r="A5109" s="1" t="s">
        <v>8</v>
      </c>
      <c r="B5109" s="2">
        <v>44727.0</v>
      </c>
      <c r="C5109" s="3">
        <v>0.7173611111111111</v>
      </c>
      <c r="D5109" s="1">
        <v>13.012135</v>
      </c>
      <c r="E5109" s="1">
        <v>80.220476</v>
      </c>
      <c r="F5109" s="1">
        <v>805.0</v>
      </c>
      <c r="G5109" s="1">
        <v>17.0</v>
      </c>
    </row>
    <row r="5110">
      <c r="A5110" s="1" t="s">
        <v>8</v>
      </c>
      <c r="B5110" s="2">
        <v>44727.0</v>
      </c>
      <c r="C5110" s="3">
        <v>0.7173611111111111</v>
      </c>
      <c r="D5110" s="1">
        <v>13.0089</v>
      </c>
      <c r="E5110" s="1">
        <v>80.211284</v>
      </c>
      <c r="F5110" s="1">
        <v>5339.0</v>
      </c>
      <c r="G5110" s="1">
        <v>49.0</v>
      </c>
    </row>
    <row r="5111">
      <c r="A5111" s="1" t="s">
        <v>8</v>
      </c>
      <c r="B5111" s="2">
        <v>44727.0</v>
      </c>
      <c r="C5111" s="3">
        <v>0.7175231481481481</v>
      </c>
      <c r="D5111" s="1">
        <v>13.0089</v>
      </c>
      <c r="E5111" s="1">
        <v>80.211284</v>
      </c>
      <c r="F5111" s="1">
        <v>5339.0</v>
      </c>
      <c r="G5111" s="1">
        <v>49.0</v>
      </c>
    </row>
    <row r="5112">
      <c r="A5112" s="1" t="s">
        <v>8</v>
      </c>
      <c r="B5112" s="2">
        <v>44727.0</v>
      </c>
      <c r="C5112" s="3">
        <v>0.7177199074074074</v>
      </c>
      <c r="D5112" s="1">
        <v>13.010156</v>
      </c>
      <c r="E5112" s="1">
        <v>80.214606</v>
      </c>
      <c r="F5112" s="1">
        <v>5339.0</v>
      </c>
      <c r="G5112" s="1">
        <v>45.0</v>
      </c>
    </row>
    <row r="5113">
      <c r="A5113" s="1" t="s">
        <v>8</v>
      </c>
      <c r="B5113" s="2">
        <v>44727.0</v>
      </c>
      <c r="C5113" s="3">
        <v>0.7177893518518519</v>
      </c>
      <c r="D5113" s="1">
        <v>13.012497</v>
      </c>
      <c r="E5113" s="1">
        <v>80.221475</v>
      </c>
      <c r="F5113" s="1">
        <v>805.0</v>
      </c>
      <c r="G5113" s="1">
        <v>25.0</v>
      </c>
    </row>
    <row r="5114">
      <c r="A5114" s="1" t="s">
        <v>9</v>
      </c>
      <c r="B5114" s="2">
        <v>44727.0</v>
      </c>
      <c r="C5114" s="3">
        <v>0.7178472222222222</v>
      </c>
      <c r="D5114" s="1">
        <v>13.010593</v>
      </c>
      <c r="E5114" s="1">
        <v>80.216251</v>
      </c>
      <c r="F5114" s="1">
        <v>5339.0</v>
      </c>
      <c r="G5114" s="1">
        <v>27.0</v>
      </c>
    </row>
    <row r="5115">
      <c r="A5115" s="1" t="s">
        <v>8</v>
      </c>
      <c r="B5115" s="2">
        <v>44727.0</v>
      </c>
      <c r="C5115" s="3">
        <v>0.7185300925925926</v>
      </c>
      <c r="D5115" s="1">
        <v>13.015056</v>
      </c>
      <c r="E5115" s="1">
        <v>80.225865</v>
      </c>
      <c r="F5115" s="1">
        <v>805.0</v>
      </c>
      <c r="G5115" s="1">
        <v>26.0</v>
      </c>
    </row>
    <row r="5116">
      <c r="A5116" s="1" t="s">
        <v>8</v>
      </c>
      <c r="B5116" s="2">
        <v>44727.0</v>
      </c>
      <c r="C5116" s="3">
        <v>0.71875</v>
      </c>
      <c r="D5116" s="1">
        <v>13.013738</v>
      </c>
      <c r="E5116" s="1">
        <v>80.226418</v>
      </c>
      <c r="F5116" s="1">
        <v>805.0</v>
      </c>
      <c r="G5116" s="1">
        <v>41.0</v>
      </c>
    </row>
    <row r="5117">
      <c r="A5117" s="1" t="s">
        <v>8</v>
      </c>
      <c r="B5117" s="2">
        <v>44727.0</v>
      </c>
      <c r="C5117" s="3">
        <v>0.7188425925925926</v>
      </c>
      <c r="D5117" s="1">
        <v>13.013738</v>
      </c>
      <c r="E5117" s="1">
        <v>80.226418</v>
      </c>
      <c r="F5117" s="1">
        <v>805.0</v>
      </c>
      <c r="G5117" s="1">
        <v>41.0</v>
      </c>
    </row>
    <row r="5118">
      <c r="A5118" s="1" t="s">
        <v>8</v>
      </c>
      <c r="B5118" s="2">
        <v>44727.0</v>
      </c>
      <c r="C5118" s="3">
        <v>0.7190856481481481</v>
      </c>
      <c r="D5118" s="1">
        <v>13.010571</v>
      </c>
      <c r="E5118" s="1">
        <v>80.227742</v>
      </c>
      <c r="F5118" s="1">
        <v>805.0</v>
      </c>
      <c r="G5118" s="1">
        <v>39.0</v>
      </c>
    </row>
    <row r="5119">
      <c r="A5119" s="1" t="s">
        <v>8</v>
      </c>
      <c r="B5119" s="2">
        <v>44727.0</v>
      </c>
      <c r="C5119" s="3">
        <v>0.7192013888888888</v>
      </c>
      <c r="D5119" s="1">
        <v>13.010571</v>
      </c>
      <c r="E5119" s="1">
        <v>80.227742</v>
      </c>
      <c r="F5119" s="1">
        <v>805.0</v>
      </c>
      <c r="G5119" s="1">
        <v>39.0</v>
      </c>
    </row>
    <row r="5120">
      <c r="A5120" s="1" t="s">
        <v>8</v>
      </c>
      <c r="B5120" s="2">
        <v>44727.0</v>
      </c>
      <c r="C5120" s="3">
        <v>0.7193055555555555</v>
      </c>
      <c r="D5120" s="1">
        <v>13.011708</v>
      </c>
      <c r="E5120" s="1">
        <v>80.219011</v>
      </c>
      <c r="F5120" s="1">
        <v>5339.0</v>
      </c>
      <c r="G5120" s="1">
        <v>43.0</v>
      </c>
    </row>
    <row r="5121">
      <c r="A5121" s="1" t="s">
        <v>10</v>
      </c>
      <c r="B5121" s="2">
        <v>44727.0</v>
      </c>
      <c r="C5121" s="3">
        <v>0.719386574074074</v>
      </c>
      <c r="D5121" s="1">
        <v>12.692552</v>
      </c>
      <c r="E5121" s="1">
        <v>79.979771</v>
      </c>
      <c r="F5121" s="1">
        <v>2846.0</v>
      </c>
      <c r="G5121" s="1">
        <v>5.0</v>
      </c>
    </row>
    <row r="5122">
      <c r="A5122" s="1" t="s">
        <v>8</v>
      </c>
      <c r="B5122" s="2">
        <v>44727.0</v>
      </c>
      <c r="C5122" s="3">
        <v>0.7194444444444444</v>
      </c>
      <c r="D5122" s="1">
        <v>13.008983</v>
      </c>
      <c r="E5122" s="1">
        <v>80.229537</v>
      </c>
      <c r="F5122" s="1">
        <v>805.0</v>
      </c>
      <c r="G5122" s="1">
        <v>39.0</v>
      </c>
    </row>
    <row r="5123">
      <c r="A5123" s="1" t="s">
        <v>8</v>
      </c>
      <c r="B5123" s="2">
        <v>44727.0</v>
      </c>
      <c r="C5123" s="3">
        <v>0.7196759259259259</v>
      </c>
      <c r="D5123" s="1">
        <v>13.016875</v>
      </c>
      <c r="E5123" s="1">
        <v>80.225196</v>
      </c>
      <c r="F5123" s="1">
        <v>5339.0</v>
      </c>
      <c r="G5123" s="1">
        <v>36.0</v>
      </c>
    </row>
    <row r="5124">
      <c r="A5124" s="1" t="s">
        <v>8</v>
      </c>
      <c r="B5124" s="2">
        <v>44727.0</v>
      </c>
      <c r="C5124" s="3">
        <v>0.7201851851851852</v>
      </c>
      <c r="D5124" s="1">
        <v>13.019862</v>
      </c>
      <c r="E5124" s="1">
        <v>80.224556</v>
      </c>
      <c r="F5124" s="1">
        <v>5339.0</v>
      </c>
      <c r="G5124" s="1">
        <v>20.0</v>
      </c>
    </row>
    <row r="5125">
      <c r="A5125" s="1" t="s">
        <v>8</v>
      </c>
      <c r="B5125" s="2">
        <v>44727.0</v>
      </c>
      <c r="C5125" s="3">
        <v>0.7201851851851852</v>
      </c>
      <c r="D5125" s="1">
        <v>13.019862</v>
      </c>
      <c r="E5125" s="1">
        <v>80.224556</v>
      </c>
      <c r="F5125" s="1">
        <v>5339.0</v>
      </c>
      <c r="G5125" s="1">
        <v>20.0</v>
      </c>
    </row>
    <row r="5126">
      <c r="A5126" s="1" t="s">
        <v>8</v>
      </c>
      <c r="B5126" s="2">
        <v>44727.0</v>
      </c>
      <c r="C5126" s="3">
        <v>0.7202777777777778</v>
      </c>
      <c r="D5126" s="1">
        <v>13.020693</v>
      </c>
      <c r="E5126" s="1">
        <v>80.225165</v>
      </c>
      <c r="F5126" s="1">
        <v>5339.0</v>
      </c>
      <c r="G5126" s="1">
        <v>35.0</v>
      </c>
    </row>
    <row r="5127">
      <c r="A5127" s="1" t="s">
        <v>8</v>
      </c>
      <c r="B5127" s="2">
        <v>44727.0</v>
      </c>
      <c r="C5127" s="3">
        <v>0.7205555555555555</v>
      </c>
      <c r="D5127" s="1">
        <v>13.007801</v>
      </c>
      <c r="E5127" s="1">
        <v>80.235644</v>
      </c>
      <c r="F5127" s="1">
        <v>805.0</v>
      </c>
      <c r="G5127" s="1">
        <v>35.0</v>
      </c>
    </row>
    <row r="5128">
      <c r="A5128" s="1" t="s">
        <v>8</v>
      </c>
      <c r="B5128" s="2">
        <v>44727.0</v>
      </c>
      <c r="C5128" s="3">
        <v>0.7206712962962963</v>
      </c>
      <c r="D5128" s="1">
        <v>13.007801</v>
      </c>
      <c r="E5128" s="1">
        <v>80.235644</v>
      </c>
      <c r="F5128" s="1">
        <v>805.0</v>
      </c>
      <c r="G5128" s="1">
        <v>35.0</v>
      </c>
    </row>
    <row r="5129">
      <c r="A5129" s="1" t="s">
        <v>8</v>
      </c>
      <c r="B5129" s="2">
        <v>44727.0</v>
      </c>
      <c r="C5129" s="3">
        <v>0.7207060185185186</v>
      </c>
      <c r="D5129" s="1">
        <v>13.022736</v>
      </c>
      <c r="E5129" s="1">
        <v>80.226748</v>
      </c>
      <c r="F5129" s="1">
        <v>5339.0</v>
      </c>
      <c r="G5129" s="1">
        <v>39.0</v>
      </c>
    </row>
    <row r="5130">
      <c r="A5130" s="1" t="s">
        <v>8</v>
      </c>
      <c r="B5130" s="2">
        <v>44727.0</v>
      </c>
      <c r="C5130" s="3">
        <v>0.7207870370370371</v>
      </c>
      <c r="D5130" s="1">
        <v>13.022736</v>
      </c>
      <c r="E5130" s="1">
        <v>80.226748</v>
      </c>
      <c r="F5130" s="1">
        <v>5339.0</v>
      </c>
      <c r="G5130" s="1">
        <v>39.0</v>
      </c>
    </row>
    <row r="5131">
      <c r="A5131" s="1" t="s">
        <v>8</v>
      </c>
      <c r="B5131" s="2">
        <v>44727.0</v>
      </c>
      <c r="C5131" s="3">
        <v>0.7216550925925926</v>
      </c>
      <c r="D5131" s="1">
        <v>13.024465</v>
      </c>
      <c r="E5131" s="1">
        <v>80.228594</v>
      </c>
      <c r="F5131" s="1">
        <v>5339.0</v>
      </c>
      <c r="G5131" s="1">
        <v>25.0</v>
      </c>
    </row>
    <row r="5132">
      <c r="A5132" s="1" t="s">
        <v>8</v>
      </c>
      <c r="B5132" s="2">
        <v>44727.0</v>
      </c>
      <c r="C5132" s="3">
        <v>0.7216782407407407</v>
      </c>
      <c r="D5132" s="1">
        <v>13.024465</v>
      </c>
      <c r="E5132" s="1">
        <v>80.228594</v>
      </c>
      <c r="F5132" s="1">
        <v>5339.0</v>
      </c>
      <c r="G5132" s="1">
        <v>25.0</v>
      </c>
    </row>
    <row r="5133">
      <c r="A5133" s="1" t="s">
        <v>10</v>
      </c>
      <c r="B5133" s="2">
        <v>44727.0</v>
      </c>
      <c r="C5133" s="3">
        <v>0.7221759259259259</v>
      </c>
      <c r="D5133" s="1">
        <v>13.025971</v>
      </c>
      <c r="E5133" s="1">
        <v>80.230938</v>
      </c>
      <c r="F5133" s="1">
        <v>5339.0</v>
      </c>
      <c r="G5133" s="1">
        <v>13.0</v>
      </c>
    </row>
    <row r="5134">
      <c r="A5134" s="1" t="s">
        <v>8</v>
      </c>
      <c r="B5134" s="2">
        <v>44727.0</v>
      </c>
      <c r="C5134" s="3">
        <v>0.7222106481481482</v>
      </c>
      <c r="D5134" s="1">
        <v>13.006731</v>
      </c>
      <c r="E5134" s="1">
        <v>80.245346</v>
      </c>
      <c r="F5134" s="1">
        <v>805.0</v>
      </c>
      <c r="G5134" s="1">
        <v>18.0</v>
      </c>
    </row>
    <row r="5135">
      <c r="A5135" s="1" t="s">
        <v>8</v>
      </c>
      <c r="B5135" s="2">
        <v>44727.0</v>
      </c>
      <c r="C5135" s="3">
        <v>0.7227546296296297</v>
      </c>
      <c r="D5135" s="1">
        <v>13.027063</v>
      </c>
      <c r="E5135" s="1">
        <v>80.233671</v>
      </c>
      <c r="F5135" s="1">
        <v>5339.0</v>
      </c>
      <c r="G5135" s="1">
        <v>34.0</v>
      </c>
    </row>
    <row r="5136">
      <c r="A5136" s="1" t="s">
        <v>8</v>
      </c>
      <c r="B5136" s="2">
        <v>44727.0</v>
      </c>
      <c r="C5136" s="3">
        <v>0.7229513888888889</v>
      </c>
      <c r="D5136" s="1">
        <v>13.027867</v>
      </c>
      <c r="E5136" s="1">
        <v>80.235061</v>
      </c>
      <c r="F5136" s="1">
        <v>5339.0</v>
      </c>
      <c r="G5136" s="1">
        <v>39.0</v>
      </c>
    </row>
    <row r="5137">
      <c r="A5137" s="1" t="s">
        <v>8</v>
      </c>
      <c r="B5137" s="2">
        <v>44727.0</v>
      </c>
      <c r="C5137" s="3">
        <v>0.7230208333333333</v>
      </c>
      <c r="D5137" s="1">
        <v>13.028762</v>
      </c>
      <c r="E5137" s="1">
        <v>80.236192</v>
      </c>
      <c r="F5137" s="1">
        <v>5339.0</v>
      </c>
      <c r="G5137" s="1">
        <v>42.0</v>
      </c>
    </row>
    <row r="5138">
      <c r="A5138" s="1" t="s">
        <v>8</v>
      </c>
      <c r="B5138" s="2">
        <v>44727.0</v>
      </c>
      <c r="C5138" s="3">
        <v>0.7232060185185185</v>
      </c>
      <c r="D5138" s="1">
        <v>13.006861</v>
      </c>
      <c r="E5138" s="1">
        <v>80.250352</v>
      </c>
      <c r="F5138" s="1">
        <v>805.0</v>
      </c>
      <c r="G5138" s="1">
        <v>48.0</v>
      </c>
    </row>
    <row r="5139">
      <c r="A5139" s="1" t="s">
        <v>8</v>
      </c>
      <c r="B5139" s="2">
        <v>44727.0</v>
      </c>
      <c r="C5139" s="3">
        <v>0.7234259259259259</v>
      </c>
      <c r="D5139" s="1">
        <v>13.006782</v>
      </c>
      <c r="E5139" s="1">
        <v>80.251723</v>
      </c>
      <c r="F5139" s="1">
        <v>805.0</v>
      </c>
      <c r="G5139" s="1">
        <v>31.0</v>
      </c>
    </row>
    <row r="5140">
      <c r="A5140" s="1" t="s">
        <v>8</v>
      </c>
      <c r="B5140" s="2">
        <v>44727.0</v>
      </c>
      <c r="C5140" s="3">
        <v>0.7235185185185186</v>
      </c>
      <c r="D5140" s="1">
        <v>13.00661</v>
      </c>
      <c r="E5140" s="1">
        <v>80.25314</v>
      </c>
      <c r="F5140" s="1">
        <v>805.0</v>
      </c>
      <c r="G5140" s="1">
        <v>40.0</v>
      </c>
    </row>
    <row r="5141">
      <c r="A5141" s="1" t="s">
        <v>8</v>
      </c>
      <c r="B5141" s="2">
        <v>44727.0</v>
      </c>
      <c r="C5141" s="3">
        <v>0.723587962962963</v>
      </c>
      <c r="D5141" s="1">
        <v>13.00661</v>
      </c>
      <c r="E5141" s="1">
        <v>80.25314</v>
      </c>
      <c r="F5141" s="1">
        <v>805.0</v>
      </c>
      <c r="G5141" s="1">
        <v>40.0</v>
      </c>
    </row>
    <row r="5142">
      <c r="A5142" s="1" t="s">
        <v>8</v>
      </c>
      <c r="B5142" s="2">
        <v>44727.0</v>
      </c>
      <c r="C5142" s="3">
        <v>0.72375</v>
      </c>
      <c r="D5142" s="1">
        <v>12.678686</v>
      </c>
      <c r="E5142" s="1">
        <v>79.980132</v>
      </c>
      <c r="F5142" s="1">
        <v>2846.0</v>
      </c>
      <c r="G5142" s="1">
        <v>33.0</v>
      </c>
    </row>
    <row r="5143">
      <c r="A5143" s="1" t="s">
        <v>8</v>
      </c>
      <c r="B5143" s="2">
        <v>44727.0</v>
      </c>
      <c r="C5143" s="3">
        <v>0.7253472222222223</v>
      </c>
      <c r="D5143" s="1">
        <v>13.031317</v>
      </c>
      <c r="E5143" s="1">
        <v>80.239923</v>
      </c>
      <c r="F5143" s="1">
        <v>5339.0</v>
      </c>
      <c r="G5143" s="1">
        <v>30.0</v>
      </c>
    </row>
    <row r="5144">
      <c r="A5144" s="1" t="s">
        <v>8</v>
      </c>
      <c r="B5144" s="2">
        <v>44727.0</v>
      </c>
      <c r="C5144" s="3">
        <v>0.7255555555555555</v>
      </c>
      <c r="D5144" s="1">
        <v>13.03193</v>
      </c>
      <c r="E5144" s="1">
        <v>80.241339</v>
      </c>
      <c r="F5144" s="1">
        <v>5339.0</v>
      </c>
      <c r="G5144" s="1">
        <v>40.0</v>
      </c>
    </row>
    <row r="5145">
      <c r="A5145" s="1" t="s">
        <v>8</v>
      </c>
      <c r="B5145" s="2">
        <v>44727.0</v>
      </c>
      <c r="C5145" s="3">
        <v>0.7257175925925926</v>
      </c>
      <c r="D5145" s="1">
        <v>13.009498</v>
      </c>
      <c r="E5145" s="1">
        <v>80.25905</v>
      </c>
      <c r="F5145" s="1">
        <v>805.0</v>
      </c>
      <c r="G5145" s="1">
        <v>27.0</v>
      </c>
    </row>
    <row r="5146">
      <c r="A5146" s="1" t="s">
        <v>8</v>
      </c>
      <c r="B5146" s="2">
        <v>44727.0</v>
      </c>
      <c r="C5146" s="3">
        <v>0.7258101851851851</v>
      </c>
      <c r="D5146" s="1">
        <v>13.0334</v>
      </c>
      <c r="E5146" s="1">
        <v>80.243625</v>
      </c>
      <c r="F5146" s="1">
        <v>5339.0</v>
      </c>
      <c r="G5146" s="1">
        <v>26.0</v>
      </c>
    </row>
    <row r="5147">
      <c r="A5147" s="1" t="s">
        <v>8</v>
      </c>
      <c r="B5147" s="2">
        <v>44727.0</v>
      </c>
      <c r="C5147" s="3">
        <v>0.726412037037037</v>
      </c>
      <c r="D5147" s="1">
        <v>13.015001</v>
      </c>
      <c r="E5147" s="1">
        <v>80.259186</v>
      </c>
      <c r="F5147" s="1">
        <v>805.0</v>
      </c>
      <c r="G5147" s="1">
        <v>43.0</v>
      </c>
    </row>
    <row r="5148">
      <c r="A5148" s="1" t="s">
        <v>8</v>
      </c>
      <c r="B5148" s="2">
        <v>44727.0</v>
      </c>
      <c r="C5148" s="3">
        <v>0.7264351851851852</v>
      </c>
      <c r="D5148" s="1">
        <v>13.015001</v>
      </c>
      <c r="E5148" s="1">
        <v>80.259186</v>
      </c>
      <c r="F5148" s="1">
        <v>805.0</v>
      </c>
      <c r="G5148" s="1">
        <v>43.0</v>
      </c>
    </row>
    <row r="5149">
      <c r="A5149" s="1" t="s">
        <v>8</v>
      </c>
      <c r="B5149" s="2">
        <v>44727.0</v>
      </c>
      <c r="C5149" s="3">
        <v>0.7264467592592593</v>
      </c>
      <c r="D5149" s="1">
        <v>13.016094</v>
      </c>
      <c r="E5149" s="1">
        <v>80.259456</v>
      </c>
      <c r="F5149" s="1">
        <v>805.0</v>
      </c>
      <c r="G5149" s="1">
        <v>20.0</v>
      </c>
    </row>
    <row r="5150">
      <c r="A5150" s="1" t="s">
        <v>8</v>
      </c>
      <c r="B5150" s="2">
        <v>44727.0</v>
      </c>
      <c r="C5150" s="3">
        <v>0.7264467592592593</v>
      </c>
      <c r="D5150" s="1">
        <v>13.016094</v>
      </c>
      <c r="E5150" s="1">
        <v>80.259456</v>
      </c>
      <c r="F5150" s="1">
        <v>805.0</v>
      </c>
      <c r="G5150" s="1">
        <v>20.0</v>
      </c>
    </row>
    <row r="5151">
      <c r="A5151" s="1" t="s">
        <v>8</v>
      </c>
      <c r="B5151" s="2">
        <v>44727.0</v>
      </c>
      <c r="C5151" s="3">
        <v>0.7265393518518518</v>
      </c>
      <c r="D5151" s="1">
        <v>13.016094</v>
      </c>
      <c r="E5151" s="1">
        <v>80.259456</v>
      </c>
      <c r="F5151" s="1">
        <v>805.0</v>
      </c>
      <c r="G5151" s="1">
        <v>20.0</v>
      </c>
    </row>
    <row r="5152">
      <c r="A5152" s="1" t="s">
        <v>8</v>
      </c>
      <c r="B5152" s="2">
        <v>44727.0</v>
      </c>
      <c r="C5152" s="3">
        <v>0.7265972222222222</v>
      </c>
      <c r="D5152" s="1">
        <v>13.016094</v>
      </c>
      <c r="E5152" s="1">
        <v>80.259456</v>
      </c>
      <c r="F5152" s="1">
        <v>805.0</v>
      </c>
      <c r="G5152" s="1">
        <v>20.0</v>
      </c>
    </row>
    <row r="5153">
      <c r="A5153" s="1" t="s">
        <v>8</v>
      </c>
      <c r="B5153" s="2">
        <v>44727.0</v>
      </c>
      <c r="C5153" s="3">
        <v>0.7265972222222222</v>
      </c>
      <c r="D5153" s="1">
        <v>13.016094</v>
      </c>
      <c r="E5153" s="1">
        <v>80.259456</v>
      </c>
      <c r="F5153" s="1">
        <v>805.0</v>
      </c>
      <c r="G5153" s="1">
        <v>20.0</v>
      </c>
    </row>
    <row r="5154">
      <c r="A5154" s="1" t="s">
        <v>8</v>
      </c>
      <c r="B5154" s="2">
        <v>44727.0</v>
      </c>
      <c r="C5154" s="3">
        <v>0.7266550925925926</v>
      </c>
      <c r="D5154" s="1">
        <v>13.017106</v>
      </c>
      <c r="E5154" s="1">
        <v>80.260108</v>
      </c>
      <c r="F5154" s="1">
        <v>805.0</v>
      </c>
      <c r="G5154" s="1">
        <v>29.0</v>
      </c>
    </row>
    <row r="5155">
      <c r="A5155" s="1" t="s">
        <v>8</v>
      </c>
      <c r="B5155" s="2">
        <v>44727.0</v>
      </c>
      <c r="C5155" s="3">
        <v>0.7266550925925926</v>
      </c>
      <c r="D5155" s="1">
        <v>13.017106</v>
      </c>
      <c r="E5155" s="1">
        <v>80.260108</v>
      </c>
      <c r="F5155" s="1">
        <v>805.0</v>
      </c>
      <c r="G5155" s="1">
        <v>29.0</v>
      </c>
    </row>
    <row r="5156">
      <c r="A5156" s="1" t="s">
        <v>7</v>
      </c>
      <c r="B5156" s="2">
        <v>44727.0</v>
      </c>
      <c r="C5156" s="3">
        <v>0.7274537037037037</v>
      </c>
      <c r="D5156" s="1">
        <v>12.658796</v>
      </c>
      <c r="E5156" s="1">
        <v>79.961444</v>
      </c>
      <c r="F5156" s="1">
        <v>2846.0</v>
      </c>
      <c r="G5156" s="1">
        <v>56.0</v>
      </c>
    </row>
    <row r="5157">
      <c r="A5157" s="1" t="s">
        <v>8</v>
      </c>
      <c r="B5157" s="2">
        <v>44727.0</v>
      </c>
      <c r="C5157" s="3">
        <v>0.7276388888888888</v>
      </c>
      <c r="D5157" s="1">
        <v>12.658449</v>
      </c>
      <c r="E5157" s="1">
        <v>79.960314</v>
      </c>
      <c r="F5157" s="1">
        <v>2846.0</v>
      </c>
      <c r="G5157" s="1">
        <v>33.0</v>
      </c>
    </row>
    <row r="5158">
      <c r="A5158" s="1" t="s">
        <v>10</v>
      </c>
      <c r="B5158" s="2">
        <v>44727.0</v>
      </c>
      <c r="C5158" s="3">
        <v>0.7277662037037037</v>
      </c>
      <c r="D5158" s="1">
        <v>13.019885</v>
      </c>
      <c r="E5158" s="1">
        <v>80.262239</v>
      </c>
      <c r="F5158" s="1">
        <v>805.0</v>
      </c>
      <c r="G5158" s="1">
        <v>5.0</v>
      </c>
    </row>
    <row r="5159">
      <c r="A5159" s="1" t="s">
        <v>7</v>
      </c>
      <c r="B5159" s="2">
        <v>44727.0</v>
      </c>
      <c r="C5159" s="3">
        <v>0.7283912037037037</v>
      </c>
      <c r="D5159" s="1">
        <v>12.656596</v>
      </c>
      <c r="E5159" s="1">
        <v>79.955406</v>
      </c>
      <c r="F5159" s="1">
        <v>2846.0</v>
      </c>
      <c r="G5159" s="1">
        <v>52.0</v>
      </c>
    </row>
    <row r="5160">
      <c r="A5160" s="1" t="s">
        <v>8</v>
      </c>
      <c r="B5160" s="2">
        <v>44727.0</v>
      </c>
      <c r="C5160" s="3">
        <v>0.7284953703703704</v>
      </c>
      <c r="D5160" s="1">
        <v>13.022624</v>
      </c>
      <c r="E5160" s="1">
        <v>80.26354</v>
      </c>
      <c r="F5160" s="1">
        <v>805.0</v>
      </c>
      <c r="G5160" s="1">
        <v>21.0</v>
      </c>
    </row>
    <row r="5161">
      <c r="A5161" s="1" t="s">
        <v>10</v>
      </c>
      <c r="B5161" s="2">
        <v>44727.0</v>
      </c>
      <c r="C5161" s="3">
        <v>0.7287847222222222</v>
      </c>
      <c r="D5161" s="1">
        <v>13.040714</v>
      </c>
      <c r="E5161" s="1">
        <v>80.247145</v>
      </c>
      <c r="F5161" s="1">
        <v>5339.0</v>
      </c>
      <c r="G5161" s="1">
        <v>19.0</v>
      </c>
    </row>
    <row r="5162">
      <c r="A5162" s="1" t="s">
        <v>8</v>
      </c>
      <c r="B5162" s="2">
        <v>44727.0</v>
      </c>
      <c r="C5162" s="3">
        <v>0.7290856481481481</v>
      </c>
      <c r="D5162" s="1">
        <v>12.65666</v>
      </c>
      <c r="E5162" s="1">
        <v>79.949129</v>
      </c>
      <c r="F5162" s="1">
        <v>2846.0</v>
      </c>
      <c r="G5162" s="1">
        <v>33.0</v>
      </c>
    </row>
    <row r="5163">
      <c r="A5163" s="1" t="s">
        <v>8</v>
      </c>
      <c r="B5163" s="2">
        <v>44727.0</v>
      </c>
      <c r="C5163" s="3">
        <v>0.7291087962962963</v>
      </c>
      <c r="D5163" s="1">
        <v>12.65666</v>
      </c>
      <c r="E5163" s="1">
        <v>79.949129</v>
      </c>
      <c r="F5163" s="1">
        <v>2846.0</v>
      </c>
      <c r="G5163" s="1">
        <v>33.0</v>
      </c>
    </row>
    <row r="5164">
      <c r="A5164" s="1" t="s">
        <v>8</v>
      </c>
      <c r="B5164" s="2">
        <v>44727.0</v>
      </c>
      <c r="C5164" s="3">
        <v>0.7294907407407407</v>
      </c>
      <c r="D5164" s="1">
        <v>13.043192</v>
      </c>
      <c r="E5164" s="1">
        <v>80.247644</v>
      </c>
      <c r="F5164" s="1">
        <v>5339.0</v>
      </c>
      <c r="G5164" s="1">
        <v>35.0</v>
      </c>
    </row>
    <row r="5165">
      <c r="A5165" s="1" t="s">
        <v>8</v>
      </c>
      <c r="B5165" s="2">
        <v>44727.0</v>
      </c>
      <c r="C5165" s="3">
        <v>0.7297916666666666</v>
      </c>
      <c r="D5165" s="1">
        <v>13.044716</v>
      </c>
      <c r="E5165" s="1">
        <v>80.24795</v>
      </c>
      <c r="F5165" s="1">
        <v>5339.0</v>
      </c>
      <c r="G5165" s="1">
        <v>32.0</v>
      </c>
    </row>
    <row r="5166">
      <c r="A5166" s="1" t="s">
        <v>8</v>
      </c>
      <c r="B5166" s="2">
        <v>44727.0</v>
      </c>
      <c r="C5166" s="3">
        <v>0.7299421296296297</v>
      </c>
      <c r="D5166" s="1">
        <v>12.657513</v>
      </c>
      <c r="E5166" s="1">
        <v>79.942704</v>
      </c>
      <c r="F5166" s="1">
        <v>2846.0</v>
      </c>
      <c r="G5166" s="1">
        <v>43.0</v>
      </c>
    </row>
    <row r="5167">
      <c r="A5167" s="1" t="s">
        <v>8</v>
      </c>
      <c r="B5167" s="2">
        <v>44727.0</v>
      </c>
      <c r="C5167" s="3">
        <v>0.7300925925925926</v>
      </c>
      <c r="D5167" s="1">
        <v>13.04532</v>
      </c>
      <c r="E5167" s="1">
        <v>80.248052</v>
      </c>
      <c r="F5167" s="1">
        <v>5339.0</v>
      </c>
      <c r="G5167" s="1">
        <v>24.0</v>
      </c>
    </row>
    <row r="5168">
      <c r="A5168" s="1" t="s">
        <v>8</v>
      </c>
      <c r="B5168" s="2">
        <v>44727.0</v>
      </c>
      <c r="C5168" s="3">
        <v>0.7301504629629629</v>
      </c>
      <c r="D5168" s="1">
        <v>12.655992</v>
      </c>
      <c r="E5168" s="1">
        <v>79.94187</v>
      </c>
      <c r="F5168" s="1">
        <v>2846.0</v>
      </c>
      <c r="G5168" s="1">
        <v>31.0</v>
      </c>
    </row>
    <row r="5169">
      <c r="A5169" s="1" t="s">
        <v>8</v>
      </c>
      <c r="B5169" s="2">
        <v>44727.0</v>
      </c>
      <c r="C5169" s="3">
        <v>0.7303009259259259</v>
      </c>
      <c r="D5169" s="1">
        <v>12.655227</v>
      </c>
      <c r="E5169" s="1">
        <v>79.941932</v>
      </c>
      <c r="F5169" s="1">
        <v>2846.0</v>
      </c>
      <c r="G5169" s="1">
        <v>28.0</v>
      </c>
    </row>
    <row r="5170">
      <c r="A5170" s="1" t="s">
        <v>8</v>
      </c>
      <c r="B5170" s="2">
        <v>44727.0</v>
      </c>
      <c r="C5170" s="3">
        <v>0.7305439814814815</v>
      </c>
      <c r="D5170" s="1">
        <v>13.048602</v>
      </c>
      <c r="E5170" s="1">
        <v>80.249572</v>
      </c>
      <c r="F5170" s="1">
        <v>5339.0</v>
      </c>
      <c r="G5170" s="1">
        <v>34.0</v>
      </c>
    </row>
    <row r="5171">
      <c r="A5171" s="1" t="s">
        <v>8</v>
      </c>
      <c r="B5171" s="2">
        <v>44727.0</v>
      </c>
      <c r="C5171" s="3">
        <v>0.7305555555555555</v>
      </c>
      <c r="D5171" s="1">
        <v>13.048602</v>
      </c>
      <c r="E5171" s="1">
        <v>80.249572</v>
      </c>
      <c r="F5171" s="1">
        <v>5339.0</v>
      </c>
      <c r="G5171" s="1">
        <v>34.0</v>
      </c>
    </row>
    <row r="5172">
      <c r="A5172" s="1" t="s">
        <v>7</v>
      </c>
      <c r="B5172" s="2">
        <v>44727.0</v>
      </c>
      <c r="C5172" s="3">
        <v>0.730925925925926</v>
      </c>
      <c r="D5172" s="1">
        <v>12.649311</v>
      </c>
      <c r="E5172" s="1">
        <v>79.941122</v>
      </c>
      <c r="F5172" s="1">
        <v>2846.0</v>
      </c>
      <c r="G5172" s="1">
        <v>51.0</v>
      </c>
    </row>
    <row r="5173">
      <c r="A5173" s="1" t="s">
        <v>8</v>
      </c>
      <c r="B5173" s="2">
        <v>44727.0</v>
      </c>
      <c r="C5173" s="3">
        <v>0.730925925925926</v>
      </c>
      <c r="D5173" s="1">
        <v>13.050273</v>
      </c>
      <c r="E5173" s="1">
        <v>80.249841</v>
      </c>
      <c r="F5173" s="1">
        <v>5339.0</v>
      </c>
      <c r="G5173" s="1">
        <v>39.0</v>
      </c>
    </row>
    <row r="5174">
      <c r="A5174" s="1" t="s">
        <v>8</v>
      </c>
      <c r="B5174" s="2">
        <v>44727.0</v>
      </c>
      <c r="C5174" s="3">
        <v>0.7310763888888889</v>
      </c>
      <c r="D5174" s="1">
        <v>13.052477</v>
      </c>
      <c r="E5174" s="1">
        <v>80.251107</v>
      </c>
      <c r="F5174" s="1">
        <v>5339.0</v>
      </c>
      <c r="G5174" s="1">
        <v>33.0</v>
      </c>
    </row>
    <row r="5175">
      <c r="A5175" s="1" t="s">
        <v>7</v>
      </c>
      <c r="B5175" s="2">
        <v>44727.0</v>
      </c>
      <c r="C5175" s="3">
        <v>0.7314351851851851</v>
      </c>
      <c r="D5175" s="1">
        <v>12.644479</v>
      </c>
      <c r="E5175" s="1">
        <v>79.939041</v>
      </c>
      <c r="F5175" s="1">
        <v>2846.0</v>
      </c>
      <c r="G5175" s="1">
        <v>54.0</v>
      </c>
    </row>
    <row r="5176">
      <c r="A5176" s="1" t="s">
        <v>8</v>
      </c>
      <c r="B5176" s="2">
        <v>44727.0</v>
      </c>
      <c r="C5176" s="3">
        <v>0.7315162037037037</v>
      </c>
      <c r="D5176" s="1">
        <v>13.054968</v>
      </c>
      <c r="E5176" s="1">
        <v>80.25442</v>
      </c>
      <c r="F5176" s="1">
        <v>5339.0</v>
      </c>
      <c r="G5176" s="1">
        <v>14.0</v>
      </c>
    </row>
    <row r="5177">
      <c r="A5177" s="1" t="s">
        <v>8</v>
      </c>
      <c r="B5177" s="2">
        <v>44727.0</v>
      </c>
      <c r="C5177" s="3">
        <v>0.7315162037037037</v>
      </c>
      <c r="D5177" s="1">
        <v>13.054968</v>
      </c>
      <c r="E5177" s="1">
        <v>80.25442</v>
      </c>
      <c r="F5177" s="1">
        <v>5339.0</v>
      </c>
      <c r="G5177" s="1">
        <v>14.0</v>
      </c>
    </row>
    <row r="5178">
      <c r="A5178" s="1" t="s">
        <v>8</v>
      </c>
      <c r="B5178" s="2">
        <v>44727.0</v>
      </c>
      <c r="C5178" s="3">
        <v>0.7317939814814814</v>
      </c>
      <c r="D5178" s="1">
        <v>12.641117</v>
      </c>
      <c r="E5178" s="1">
        <v>79.937042</v>
      </c>
      <c r="F5178" s="1">
        <v>2846.0</v>
      </c>
      <c r="G5178" s="1">
        <v>47.0</v>
      </c>
    </row>
    <row r="5179">
      <c r="A5179" s="1" t="s">
        <v>8</v>
      </c>
      <c r="B5179" s="2">
        <v>44727.0</v>
      </c>
      <c r="C5179" s="3">
        <v>0.731875</v>
      </c>
      <c r="D5179" s="1">
        <v>12.640162</v>
      </c>
      <c r="E5179" s="1">
        <v>79.936464</v>
      </c>
      <c r="F5179" s="1">
        <v>2846.0</v>
      </c>
      <c r="G5179" s="1">
        <v>38.0</v>
      </c>
    </row>
    <row r="5180">
      <c r="A5180" s="1" t="s">
        <v>8</v>
      </c>
      <c r="B5180" s="2">
        <v>44727.0</v>
      </c>
      <c r="C5180" s="3">
        <v>0.7319444444444444</v>
      </c>
      <c r="D5180" s="1">
        <v>12.639306</v>
      </c>
      <c r="E5180" s="1">
        <v>79.935976</v>
      </c>
      <c r="F5180" s="1">
        <v>2846.0</v>
      </c>
      <c r="G5180" s="1">
        <v>39.0</v>
      </c>
    </row>
    <row r="5181">
      <c r="A5181" s="1" t="s">
        <v>10</v>
      </c>
      <c r="B5181" s="2">
        <v>44727.0</v>
      </c>
      <c r="C5181" s="3">
        <v>0.7319907407407408</v>
      </c>
      <c r="D5181" s="1">
        <v>13.029971</v>
      </c>
      <c r="E5181" s="1">
        <v>80.266548</v>
      </c>
      <c r="F5181" s="1">
        <v>805.0</v>
      </c>
      <c r="G5181" s="1">
        <v>9.0</v>
      </c>
    </row>
    <row r="5182">
      <c r="A5182" s="1" t="s">
        <v>10</v>
      </c>
      <c r="B5182" s="2">
        <v>44727.0</v>
      </c>
      <c r="C5182" s="3">
        <v>0.7325115740740741</v>
      </c>
      <c r="D5182" s="1">
        <v>13.057015</v>
      </c>
      <c r="E5182" s="1">
        <v>80.257765</v>
      </c>
      <c r="F5182" s="1">
        <v>5339.0</v>
      </c>
      <c r="G5182" s="1">
        <v>23.0</v>
      </c>
    </row>
    <row r="5183">
      <c r="A5183" s="1" t="s">
        <v>10</v>
      </c>
      <c r="B5183" s="2">
        <v>44727.0</v>
      </c>
      <c r="C5183" s="3">
        <v>0.7326736111111111</v>
      </c>
      <c r="D5183" s="1">
        <v>13.03192</v>
      </c>
      <c r="E5183" s="1">
        <v>80.267088</v>
      </c>
      <c r="F5183" s="1">
        <v>805.0</v>
      </c>
      <c r="G5183" s="1">
        <v>30.0</v>
      </c>
    </row>
    <row r="5184">
      <c r="A5184" s="1" t="s">
        <v>7</v>
      </c>
      <c r="B5184" s="2">
        <v>44727.0</v>
      </c>
      <c r="C5184" s="3">
        <v>0.7336458333333333</v>
      </c>
      <c r="D5184" s="1">
        <v>12.627927</v>
      </c>
      <c r="E5184" s="1">
        <v>79.930309</v>
      </c>
      <c r="F5184" s="1">
        <v>2846.0</v>
      </c>
      <c r="G5184" s="1">
        <v>47.0</v>
      </c>
    </row>
    <row r="5185">
      <c r="A5185" s="1" t="s">
        <v>10</v>
      </c>
      <c r="B5185" s="2">
        <v>44727.0</v>
      </c>
      <c r="C5185" s="3">
        <v>0.733738425925926</v>
      </c>
      <c r="D5185" s="1">
        <v>13.036417</v>
      </c>
      <c r="E5185" s="1">
        <v>80.267659</v>
      </c>
      <c r="F5185" s="1">
        <v>805.0</v>
      </c>
      <c r="G5185" s="1">
        <v>18.0</v>
      </c>
    </row>
    <row r="5186">
      <c r="A5186" s="1" t="s">
        <v>8</v>
      </c>
      <c r="B5186" s="2">
        <v>44727.0</v>
      </c>
      <c r="C5186" s="3">
        <v>0.73375</v>
      </c>
      <c r="D5186" s="1">
        <v>13.054174</v>
      </c>
      <c r="E5186" s="1">
        <v>80.261429</v>
      </c>
      <c r="F5186" s="1">
        <v>5339.0</v>
      </c>
      <c r="G5186" s="1">
        <v>27.0</v>
      </c>
    </row>
    <row r="5187">
      <c r="A5187" s="1" t="s">
        <v>7</v>
      </c>
      <c r="B5187" s="2">
        <v>44727.0</v>
      </c>
      <c r="C5187" s="3">
        <v>0.7343981481481482</v>
      </c>
      <c r="D5187" s="1">
        <v>12.618568</v>
      </c>
      <c r="E5187" s="1">
        <v>79.926757</v>
      </c>
      <c r="F5187" s="1">
        <v>2846.0</v>
      </c>
      <c r="G5187" s="1">
        <v>57.0</v>
      </c>
    </row>
    <row r="5188">
      <c r="A5188" s="1" t="s">
        <v>10</v>
      </c>
      <c r="B5188" s="2">
        <v>44727.0</v>
      </c>
      <c r="C5188" s="3">
        <v>0.7346180555555556</v>
      </c>
      <c r="D5188" s="1">
        <v>13.053657</v>
      </c>
      <c r="E5188" s="1">
        <v>80.266952</v>
      </c>
      <c r="F5188" s="1">
        <v>5339.0</v>
      </c>
      <c r="G5188" s="1">
        <v>13.0</v>
      </c>
    </row>
    <row r="5189">
      <c r="A5189" s="1" t="s">
        <v>7</v>
      </c>
      <c r="B5189" s="2">
        <v>44727.0</v>
      </c>
      <c r="C5189" s="3">
        <v>0.7348958333333333</v>
      </c>
      <c r="D5189" s="1">
        <v>12.613234</v>
      </c>
      <c r="E5189" s="1">
        <v>79.924574</v>
      </c>
      <c r="F5189" s="1">
        <v>2846.0</v>
      </c>
      <c r="G5189" s="1">
        <v>57.0</v>
      </c>
    </row>
    <row r="5190">
      <c r="A5190" s="1" t="s">
        <v>10</v>
      </c>
      <c r="B5190" s="2">
        <v>44727.0</v>
      </c>
      <c r="C5190" s="3">
        <v>0.7349421296296297</v>
      </c>
      <c r="D5190" s="1">
        <v>13.039532</v>
      </c>
      <c r="E5190" s="1">
        <v>80.267742</v>
      </c>
      <c r="F5190" s="1">
        <v>805.0</v>
      </c>
      <c r="G5190" s="1">
        <v>7.0</v>
      </c>
    </row>
    <row r="5191">
      <c r="A5191" s="1" t="s">
        <v>10</v>
      </c>
      <c r="B5191" s="2">
        <v>44727.0</v>
      </c>
      <c r="C5191" s="3">
        <v>0.7350578703703704</v>
      </c>
      <c r="D5191" s="1">
        <v>13.039861</v>
      </c>
      <c r="E5191" s="1">
        <v>80.267838</v>
      </c>
      <c r="F5191" s="1">
        <v>805.0</v>
      </c>
      <c r="G5191" s="1">
        <v>7.0</v>
      </c>
    </row>
    <row r="5192">
      <c r="A5192" s="1" t="s">
        <v>7</v>
      </c>
      <c r="B5192" s="2">
        <v>44727.0</v>
      </c>
      <c r="C5192" s="3">
        <v>0.7351388888888889</v>
      </c>
      <c r="D5192" s="1">
        <v>12.610685</v>
      </c>
      <c r="E5192" s="1">
        <v>79.923132</v>
      </c>
      <c r="F5192" s="1">
        <v>2846.0</v>
      </c>
      <c r="G5192" s="1">
        <v>58.0</v>
      </c>
    </row>
    <row r="5193">
      <c r="A5193" s="1" t="s">
        <v>10</v>
      </c>
      <c r="B5193" s="2">
        <v>44727.0</v>
      </c>
      <c r="C5193" s="3">
        <v>0.7351736111111111</v>
      </c>
      <c r="D5193" s="1">
        <v>13.053452</v>
      </c>
      <c r="E5193" s="1">
        <v>80.268735</v>
      </c>
      <c r="F5193" s="1">
        <v>5339.0</v>
      </c>
      <c r="G5193" s="1">
        <v>6.0</v>
      </c>
    </row>
    <row r="5194">
      <c r="A5194" s="1" t="s">
        <v>8</v>
      </c>
      <c r="B5194" s="2">
        <v>44727.0</v>
      </c>
      <c r="C5194" s="3">
        <v>0.7352546296296296</v>
      </c>
      <c r="D5194" s="1">
        <v>12.609411</v>
      </c>
      <c r="E5194" s="1">
        <v>79.922402</v>
      </c>
      <c r="F5194" s="1">
        <v>2846.0</v>
      </c>
      <c r="G5194" s="1">
        <v>57.0</v>
      </c>
    </row>
    <row r="5195">
      <c r="A5195" s="1" t="s">
        <v>10</v>
      </c>
      <c r="B5195" s="2">
        <v>44727.0</v>
      </c>
      <c r="C5195" s="3">
        <v>0.7352777777777778</v>
      </c>
      <c r="D5195" s="1">
        <v>13.040454</v>
      </c>
      <c r="E5195" s="1">
        <v>80.268002</v>
      </c>
      <c r="F5195" s="1">
        <v>805.0</v>
      </c>
      <c r="G5195" s="1">
        <v>23.0</v>
      </c>
    </row>
    <row r="5196">
      <c r="A5196" s="1" t="s">
        <v>10</v>
      </c>
      <c r="B5196" s="2">
        <v>44727.0</v>
      </c>
      <c r="C5196" s="3">
        <v>0.7359837962962963</v>
      </c>
      <c r="D5196" s="1">
        <v>13.053329</v>
      </c>
      <c r="E5196" s="1">
        <v>80.270124</v>
      </c>
      <c r="F5196" s="1">
        <v>5339.0</v>
      </c>
      <c r="G5196" s="1">
        <v>7.0</v>
      </c>
    </row>
    <row r="5197">
      <c r="A5197" s="1" t="s">
        <v>10</v>
      </c>
      <c r="B5197" s="2">
        <v>44727.0</v>
      </c>
      <c r="C5197" s="3">
        <v>0.7362152777777777</v>
      </c>
      <c r="D5197" s="1">
        <v>13.043947</v>
      </c>
      <c r="E5197" s="1">
        <v>80.267149</v>
      </c>
      <c r="F5197" s="1">
        <v>805.0</v>
      </c>
      <c r="G5197" s="1">
        <v>40.0</v>
      </c>
    </row>
    <row r="5198">
      <c r="A5198" s="1" t="s">
        <v>7</v>
      </c>
      <c r="B5198" s="2">
        <v>44727.0</v>
      </c>
      <c r="C5198" s="3">
        <v>0.7363194444444444</v>
      </c>
      <c r="D5198" s="1">
        <v>12.598215</v>
      </c>
      <c r="E5198" s="1">
        <v>79.919758</v>
      </c>
      <c r="F5198" s="1">
        <v>2846.0</v>
      </c>
      <c r="G5198" s="1">
        <v>57.0</v>
      </c>
    </row>
    <row r="5199">
      <c r="A5199" s="1" t="s">
        <v>7</v>
      </c>
      <c r="B5199" s="2">
        <v>44727.0</v>
      </c>
      <c r="C5199" s="3">
        <v>0.7364351851851851</v>
      </c>
      <c r="D5199" s="1">
        <v>12.596764</v>
      </c>
      <c r="E5199" s="1">
        <v>79.919605</v>
      </c>
      <c r="F5199" s="1">
        <v>2846.0</v>
      </c>
      <c r="G5199" s="1">
        <v>57.0</v>
      </c>
    </row>
    <row r="5200">
      <c r="A5200" s="1" t="s">
        <v>10</v>
      </c>
      <c r="B5200" s="2">
        <v>44727.0</v>
      </c>
      <c r="C5200" s="3">
        <v>0.7365393518518518</v>
      </c>
      <c r="D5200" s="1">
        <v>13.053203</v>
      </c>
      <c r="E5200" s="1">
        <v>80.271414</v>
      </c>
      <c r="F5200" s="1">
        <v>5339.0</v>
      </c>
      <c r="G5200" s="1">
        <v>8.0</v>
      </c>
    </row>
    <row r="5201">
      <c r="A5201" s="1" t="s">
        <v>7</v>
      </c>
      <c r="B5201" s="2">
        <v>44727.0</v>
      </c>
      <c r="C5201" s="3">
        <v>0.7373958333333334</v>
      </c>
      <c r="D5201" s="1">
        <v>12.583768</v>
      </c>
      <c r="E5201" s="1">
        <v>79.919298</v>
      </c>
      <c r="F5201" s="1">
        <v>2846.0</v>
      </c>
      <c r="G5201" s="1">
        <v>58.0</v>
      </c>
    </row>
    <row r="5202">
      <c r="A5202" s="1" t="s">
        <v>7</v>
      </c>
      <c r="B5202" s="2">
        <v>44727.0</v>
      </c>
      <c r="C5202" s="3">
        <v>0.7375694444444445</v>
      </c>
      <c r="D5202" s="1">
        <v>12.582321</v>
      </c>
      <c r="E5202" s="1">
        <v>79.919105</v>
      </c>
      <c r="F5202" s="1">
        <v>2846.0</v>
      </c>
      <c r="G5202" s="1">
        <v>57.0</v>
      </c>
    </row>
    <row r="5203">
      <c r="A5203" s="1" t="s">
        <v>7</v>
      </c>
      <c r="B5203" s="2">
        <v>44727.0</v>
      </c>
      <c r="C5203" s="3">
        <v>0.7380092592592593</v>
      </c>
      <c r="D5203" s="1">
        <v>12.576832</v>
      </c>
      <c r="E5203" s="1">
        <v>79.917233</v>
      </c>
      <c r="F5203" s="1">
        <v>2846.0</v>
      </c>
      <c r="G5203" s="1">
        <v>57.0</v>
      </c>
    </row>
    <row r="5204">
      <c r="A5204" s="1" t="s">
        <v>10</v>
      </c>
      <c r="B5204" s="2">
        <v>44727.0</v>
      </c>
      <c r="C5204" s="3">
        <v>0.7380671296296296</v>
      </c>
      <c r="D5204" s="1">
        <v>13.05284</v>
      </c>
      <c r="E5204" s="1">
        <v>80.273533</v>
      </c>
      <c r="F5204" s="1">
        <v>5339.0</v>
      </c>
      <c r="G5204" s="1">
        <v>0.0</v>
      </c>
    </row>
    <row r="5205">
      <c r="A5205" s="1" t="s">
        <v>7</v>
      </c>
      <c r="B5205" s="2">
        <v>44727.0</v>
      </c>
      <c r="C5205" s="3">
        <v>0.7381828703703703</v>
      </c>
      <c r="D5205" s="1">
        <v>12.5754</v>
      </c>
      <c r="E5205" s="1">
        <v>79.916962</v>
      </c>
      <c r="F5205" s="1">
        <v>2846.0</v>
      </c>
      <c r="G5205" s="1">
        <v>57.0</v>
      </c>
    </row>
    <row r="5206">
      <c r="A5206" s="1" t="s">
        <v>10</v>
      </c>
      <c r="B5206" s="2">
        <v>44727.0</v>
      </c>
      <c r="C5206" s="3">
        <v>0.7383333333333333</v>
      </c>
      <c r="D5206" s="1">
        <v>13.053452</v>
      </c>
      <c r="E5206" s="1">
        <v>80.273699</v>
      </c>
      <c r="F5206" s="1">
        <v>5339.0</v>
      </c>
      <c r="G5206" s="1">
        <v>15.0</v>
      </c>
    </row>
    <row r="5207">
      <c r="A5207" s="1" t="s">
        <v>10</v>
      </c>
      <c r="B5207" s="2">
        <v>44727.0</v>
      </c>
      <c r="C5207" s="3">
        <v>0.738738425925926</v>
      </c>
      <c r="D5207" s="1">
        <v>13.0548</v>
      </c>
      <c r="E5207" s="1">
        <v>80.273748</v>
      </c>
      <c r="F5207" s="1">
        <v>5339.0</v>
      </c>
      <c r="G5207" s="1">
        <v>0.0</v>
      </c>
    </row>
    <row r="5208">
      <c r="A5208" s="1" t="s">
        <v>10</v>
      </c>
      <c r="B5208" s="2">
        <v>44727.0</v>
      </c>
      <c r="C5208" s="3">
        <v>0.7388078703703703</v>
      </c>
      <c r="D5208" s="1">
        <v>13.0548</v>
      </c>
      <c r="E5208" s="1">
        <v>80.273748</v>
      </c>
      <c r="F5208" s="1">
        <v>5339.0</v>
      </c>
      <c r="G5208" s="1">
        <v>0.0</v>
      </c>
    </row>
    <row r="5209">
      <c r="A5209" s="1" t="s">
        <v>7</v>
      </c>
      <c r="B5209" s="2">
        <v>44727.0</v>
      </c>
      <c r="C5209" s="3">
        <v>0.7390162037037037</v>
      </c>
      <c r="D5209" s="1">
        <v>12.564828</v>
      </c>
      <c r="E5209" s="1">
        <v>79.914109</v>
      </c>
      <c r="F5209" s="1">
        <v>2846.0</v>
      </c>
      <c r="G5209" s="1">
        <v>57.0</v>
      </c>
    </row>
    <row r="5210">
      <c r="A5210" s="1" t="s">
        <v>10</v>
      </c>
      <c r="B5210" s="2">
        <v>44727.0</v>
      </c>
      <c r="C5210" s="3">
        <v>0.7395833333333334</v>
      </c>
      <c r="D5210" s="1">
        <v>13.056814</v>
      </c>
      <c r="E5210" s="1">
        <v>80.273896</v>
      </c>
      <c r="F5210" s="1">
        <v>5339.0</v>
      </c>
      <c r="G5210" s="1">
        <v>1.0</v>
      </c>
    </row>
    <row r="5211">
      <c r="A5211" s="1" t="s">
        <v>10</v>
      </c>
      <c r="B5211" s="2">
        <v>44727.0</v>
      </c>
      <c r="C5211" s="3">
        <v>0.7397106481481481</v>
      </c>
      <c r="D5211" s="1">
        <v>13.056814</v>
      </c>
      <c r="E5211" s="1">
        <v>80.273896</v>
      </c>
      <c r="F5211" s="1">
        <v>5339.0</v>
      </c>
      <c r="G5211" s="1">
        <v>1.0</v>
      </c>
    </row>
    <row r="5212">
      <c r="A5212" s="1" t="s">
        <v>10</v>
      </c>
      <c r="B5212" s="2">
        <v>44727.0</v>
      </c>
      <c r="C5212" s="3">
        <v>0.7398148148148148</v>
      </c>
      <c r="D5212" s="1">
        <v>13.056988</v>
      </c>
      <c r="E5212" s="1">
        <v>80.27391</v>
      </c>
      <c r="F5212" s="1">
        <v>5339.0</v>
      </c>
      <c r="G5212" s="1">
        <v>4.0</v>
      </c>
    </row>
    <row r="5213">
      <c r="A5213" s="1" t="s">
        <v>7</v>
      </c>
      <c r="B5213" s="2">
        <v>44727.0</v>
      </c>
      <c r="C5213" s="3">
        <v>0.7402430555555556</v>
      </c>
      <c r="D5213" s="1">
        <v>12.552584</v>
      </c>
      <c r="E5213" s="1">
        <v>79.907276</v>
      </c>
      <c r="F5213" s="1">
        <v>2846.0</v>
      </c>
      <c r="G5213" s="1">
        <v>57.0</v>
      </c>
    </row>
    <row r="5214">
      <c r="A5214" s="1" t="s">
        <v>10</v>
      </c>
      <c r="B5214" s="2">
        <v>44727.0</v>
      </c>
      <c r="C5214" s="3">
        <v>0.74125</v>
      </c>
      <c r="D5214" s="1">
        <v>13.06076</v>
      </c>
      <c r="E5214" s="1">
        <v>80.27429</v>
      </c>
      <c r="F5214" s="1">
        <v>5339.0</v>
      </c>
      <c r="G5214" s="1">
        <v>11.0</v>
      </c>
    </row>
    <row r="5215">
      <c r="A5215" s="1" t="s">
        <v>7</v>
      </c>
      <c r="B5215" s="2">
        <v>44727.0</v>
      </c>
      <c r="C5215" s="3">
        <v>0.7414699074074074</v>
      </c>
      <c r="D5215" s="1">
        <v>12.540335</v>
      </c>
      <c r="E5215" s="1">
        <v>79.904357</v>
      </c>
      <c r="F5215" s="1">
        <v>2846.0</v>
      </c>
      <c r="G5215" s="1">
        <v>59.0</v>
      </c>
    </row>
    <row r="5216">
      <c r="A5216" s="1" t="s">
        <v>7</v>
      </c>
      <c r="B5216" s="2">
        <v>44727.0</v>
      </c>
      <c r="C5216" s="3">
        <v>0.741574074074074</v>
      </c>
      <c r="D5216" s="1">
        <v>12.53889</v>
      </c>
      <c r="E5216" s="1">
        <v>79.90408</v>
      </c>
      <c r="F5216" s="1">
        <v>2846.0</v>
      </c>
      <c r="G5216" s="1">
        <v>58.0</v>
      </c>
    </row>
    <row r="5217">
      <c r="A5217" s="1" t="s">
        <v>8</v>
      </c>
      <c r="B5217" s="2">
        <v>44727.0</v>
      </c>
      <c r="C5217" s="3">
        <v>0.7427662037037037</v>
      </c>
      <c r="D5217" s="1">
        <v>13.065434</v>
      </c>
      <c r="E5217" s="1">
        <v>80.27385</v>
      </c>
      <c r="F5217" s="1">
        <v>5339.0</v>
      </c>
      <c r="G5217" s="1">
        <v>9.0</v>
      </c>
    </row>
    <row r="5218">
      <c r="A5218" s="1" t="s">
        <v>9</v>
      </c>
      <c r="B5218" s="2">
        <v>44727.0</v>
      </c>
      <c r="C5218" s="3">
        <v>0.7428587962962963</v>
      </c>
      <c r="D5218" s="1">
        <v>13.065748</v>
      </c>
      <c r="E5218" s="1">
        <v>80.273827</v>
      </c>
      <c r="F5218" s="1">
        <v>5339.0</v>
      </c>
      <c r="G5218" s="1">
        <v>7.0</v>
      </c>
    </row>
    <row r="5219">
      <c r="A5219" s="1" t="s">
        <v>8</v>
      </c>
      <c r="B5219" s="2">
        <v>44727.0</v>
      </c>
      <c r="C5219" s="3">
        <v>0.7430324074074074</v>
      </c>
      <c r="D5219" s="1">
        <v>12.527065</v>
      </c>
      <c r="E5219" s="1">
        <v>79.898048</v>
      </c>
      <c r="F5219" s="1">
        <v>2846.0</v>
      </c>
      <c r="G5219" s="1">
        <v>41.0</v>
      </c>
    </row>
    <row r="5220">
      <c r="A5220" s="1" t="s">
        <v>8</v>
      </c>
      <c r="B5220" s="2">
        <v>44727.0</v>
      </c>
      <c r="C5220" s="3">
        <v>0.7430555555555556</v>
      </c>
      <c r="D5220" s="1">
        <v>12.52605</v>
      </c>
      <c r="E5220" s="1">
        <v>79.89755</v>
      </c>
      <c r="F5220" s="1">
        <v>2846.0</v>
      </c>
      <c r="G5220" s="1">
        <v>46.0</v>
      </c>
    </row>
    <row r="5221">
      <c r="A5221" s="1" t="s">
        <v>8</v>
      </c>
      <c r="B5221" s="2">
        <v>44727.0</v>
      </c>
      <c r="C5221" s="3">
        <v>0.743275462962963</v>
      </c>
      <c r="D5221" s="1">
        <v>12.525094</v>
      </c>
      <c r="E5221" s="1">
        <v>79.897124</v>
      </c>
      <c r="F5221" s="1">
        <v>2846.0</v>
      </c>
      <c r="G5221" s="1">
        <v>37.0</v>
      </c>
    </row>
    <row r="5222">
      <c r="A5222" s="1" t="s">
        <v>8</v>
      </c>
      <c r="B5222" s="2">
        <v>44727.0</v>
      </c>
      <c r="C5222" s="3">
        <v>0.7434375</v>
      </c>
      <c r="D5222" s="1">
        <v>12.523256</v>
      </c>
      <c r="E5222" s="1">
        <v>79.89631</v>
      </c>
      <c r="F5222" s="1">
        <v>2846.0</v>
      </c>
      <c r="G5222" s="1">
        <v>44.0</v>
      </c>
    </row>
    <row r="5223">
      <c r="A5223" s="1" t="s">
        <v>10</v>
      </c>
      <c r="B5223" s="2">
        <v>44727.0</v>
      </c>
      <c r="C5223" s="3">
        <v>0.7435995370370371</v>
      </c>
      <c r="D5223" s="1">
        <v>13.05763</v>
      </c>
      <c r="E5223" s="1">
        <v>80.26499</v>
      </c>
      <c r="F5223" s="1">
        <v>805.0</v>
      </c>
      <c r="G5223" s="1">
        <v>31.0</v>
      </c>
    </row>
    <row r="5224">
      <c r="A5224" s="1" t="s">
        <v>10</v>
      </c>
      <c r="B5224" s="2">
        <v>44727.0</v>
      </c>
      <c r="C5224" s="3">
        <v>0.7445601851851852</v>
      </c>
      <c r="D5224" s="1">
        <v>13.068017</v>
      </c>
      <c r="E5224" s="1">
        <v>80.271272</v>
      </c>
      <c r="F5224" s="1">
        <v>5339.0</v>
      </c>
      <c r="G5224" s="1">
        <v>19.0</v>
      </c>
    </row>
    <row r="5225">
      <c r="A5225" s="1" t="s">
        <v>10</v>
      </c>
      <c r="B5225" s="2">
        <v>44727.0</v>
      </c>
      <c r="C5225" s="3">
        <v>0.7446180555555556</v>
      </c>
      <c r="D5225" s="1">
        <v>13.060301</v>
      </c>
      <c r="E5225" s="1">
        <v>80.265444</v>
      </c>
      <c r="F5225" s="1">
        <v>805.0</v>
      </c>
      <c r="G5225" s="1">
        <v>25.0</v>
      </c>
    </row>
    <row r="5226">
      <c r="A5226" s="1" t="s">
        <v>10</v>
      </c>
      <c r="B5226" s="2">
        <v>44727.0</v>
      </c>
      <c r="C5226" s="3">
        <v>0.7455324074074074</v>
      </c>
      <c r="D5226" s="1">
        <v>12.511432</v>
      </c>
      <c r="E5226" s="1">
        <v>79.885416</v>
      </c>
      <c r="F5226" s="1">
        <v>2846.0</v>
      </c>
      <c r="G5226" s="1">
        <v>25.0</v>
      </c>
    </row>
    <row r="5227">
      <c r="A5227" s="1" t="s">
        <v>10</v>
      </c>
      <c r="B5227" s="2">
        <v>44727.0</v>
      </c>
      <c r="C5227" s="3">
        <v>0.7461805555555555</v>
      </c>
      <c r="D5227" s="1">
        <v>12.509691</v>
      </c>
      <c r="E5227" s="1">
        <v>79.884853</v>
      </c>
      <c r="F5227" s="1">
        <v>2846.0</v>
      </c>
      <c r="G5227" s="1">
        <v>16.0</v>
      </c>
    </row>
    <row r="5228">
      <c r="A5228" s="1" t="s">
        <v>10</v>
      </c>
      <c r="B5228" s="2">
        <v>44727.0</v>
      </c>
      <c r="C5228" s="3">
        <v>0.7466666666666667</v>
      </c>
      <c r="D5228" s="1">
        <v>13.069366</v>
      </c>
      <c r="E5228" s="1">
        <v>80.266882</v>
      </c>
      <c r="F5228" s="1">
        <v>5339.0</v>
      </c>
      <c r="G5228" s="1">
        <v>13.0</v>
      </c>
    </row>
    <row r="5229">
      <c r="A5229" s="1" t="s">
        <v>10</v>
      </c>
      <c r="B5229" s="2">
        <v>44727.0</v>
      </c>
      <c r="C5229" s="3">
        <v>0.746724537037037</v>
      </c>
      <c r="D5229" s="1">
        <v>12.509206</v>
      </c>
      <c r="E5229" s="1">
        <v>79.884794</v>
      </c>
      <c r="F5229" s="1">
        <v>2846.0</v>
      </c>
      <c r="G5229" s="1">
        <v>9.0</v>
      </c>
    </row>
    <row r="5230">
      <c r="A5230" s="1" t="s">
        <v>10</v>
      </c>
      <c r="B5230" s="2">
        <v>44727.0</v>
      </c>
      <c r="C5230" s="3">
        <v>0.7469675925925926</v>
      </c>
      <c r="D5230" s="1">
        <v>12.508873</v>
      </c>
      <c r="E5230" s="1">
        <v>79.884226</v>
      </c>
      <c r="F5230" s="1">
        <v>2846.0</v>
      </c>
      <c r="G5230" s="1">
        <v>13.0</v>
      </c>
    </row>
    <row r="5231">
      <c r="A5231" s="1" t="s">
        <v>8</v>
      </c>
      <c r="B5231" s="2">
        <v>44727.0</v>
      </c>
      <c r="C5231" s="3">
        <v>0.7474652777777778</v>
      </c>
      <c r="D5231" s="1">
        <v>13.064145</v>
      </c>
      <c r="E5231" s="1">
        <v>80.265577</v>
      </c>
      <c r="F5231" s="1">
        <v>805.0</v>
      </c>
      <c r="G5231" s="1">
        <v>53.0</v>
      </c>
    </row>
    <row r="5232">
      <c r="A5232" s="1" t="s">
        <v>7</v>
      </c>
      <c r="B5232" s="2">
        <v>44727.0</v>
      </c>
      <c r="C5232" s="3">
        <v>0.7482638888888888</v>
      </c>
      <c r="D5232" s="1">
        <v>12.503297</v>
      </c>
      <c r="E5232" s="1">
        <v>79.877903</v>
      </c>
      <c r="F5232" s="1">
        <v>2846.0</v>
      </c>
      <c r="G5232" s="1">
        <v>50.0</v>
      </c>
    </row>
    <row r="5233">
      <c r="A5233" s="1" t="s">
        <v>7</v>
      </c>
      <c r="B5233" s="2">
        <v>44727.0</v>
      </c>
      <c r="C5233" s="3">
        <v>0.7486574074074074</v>
      </c>
      <c r="D5233" s="1">
        <v>12.500144</v>
      </c>
      <c r="E5233" s="1">
        <v>79.875401</v>
      </c>
      <c r="F5233" s="1">
        <v>2846.0</v>
      </c>
      <c r="G5233" s="1">
        <v>53.0</v>
      </c>
    </row>
    <row r="5234">
      <c r="A5234" s="1" t="s">
        <v>8</v>
      </c>
      <c r="B5234" s="2">
        <v>44727.0</v>
      </c>
      <c r="C5234" s="3">
        <v>0.7493518518518518</v>
      </c>
      <c r="D5234" s="1">
        <v>13.071156</v>
      </c>
      <c r="E5234" s="1">
        <v>80.265045</v>
      </c>
      <c r="F5234" s="1">
        <v>5339.0</v>
      </c>
      <c r="G5234" s="1">
        <v>18.0</v>
      </c>
    </row>
    <row r="5235">
      <c r="A5235" s="1" t="s">
        <v>8</v>
      </c>
      <c r="B5235" s="2">
        <v>44727.0</v>
      </c>
      <c r="C5235" s="3">
        <v>0.7493981481481482</v>
      </c>
      <c r="D5235" s="1">
        <v>13.071156</v>
      </c>
      <c r="E5235" s="1">
        <v>80.265045</v>
      </c>
      <c r="F5235" s="1">
        <v>5339.0</v>
      </c>
      <c r="G5235" s="1">
        <v>18.0</v>
      </c>
    </row>
    <row r="5236">
      <c r="A5236" s="1" t="s">
        <v>8</v>
      </c>
      <c r="B5236" s="2">
        <v>44727.0</v>
      </c>
      <c r="C5236" s="3">
        <v>0.7494097222222222</v>
      </c>
      <c r="D5236" s="1">
        <v>13.071156</v>
      </c>
      <c r="E5236" s="1">
        <v>80.265045</v>
      </c>
      <c r="F5236" s="1">
        <v>5339.0</v>
      </c>
      <c r="G5236" s="1">
        <v>18.0</v>
      </c>
    </row>
    <row r="5237">
      <c r="A5237" s="1" t="s">
        <v>7</v>
      </c>
      <c r="B5237" s="2">
        <v>44727.0</v>
      </c>
      <c r="C5237" s="3">
        <v>0.7541087962962963</v>
      </c>
      <c r="D5237" s="1">
        <v>12.503529</v>
      </c>
      <c r="E5237" s="1">
        <v>79.877916</v>
      </c>
      <c r="F5237" s="1">
        <v>2846.0</v>
      </c>
      <c r="G5237" s="1">
        <v>57.0</v>
      </c>
    </row>
    <row r="5238">
      <c r="A5238" s="1" t="s">
        <v>7</v>
      </c>
      <c r="B5238" s="2">
        <v>44727.0</v>
      </c>
      <c r="C5238" s="3">
        <v>0.7544328703703703</v>
      </c>
      <c r="D5238" s="1">
        <v>12.506868</v>
      </c>
      <c r="E5238" s="1">
        <v>79.88056</v>
      </c>
      <c r="F5238" s="1">
        <v>2846.0</v>
      </c>
      <c r="G5238" s="1">
        <v>55.0</v>
      </c>
    </row>
    <row r="5239">
      <c r="A5239" s="1" t="s">
        <v>7</v>
      </c>
      <c r="B5239" s="2">
        <v>44727.0</v>
      </c>
      <c r="C5239" s="3">
        <v>0.754525462962963</v>
      </c>
      <c r="D5239" s="1">
        <v>12.50793</v>
      </c>
      <c r="E5239" s="1">
        <v>79.881386</v>
      </c>
      <c r="F5239" s="1">
        <v>2846.0</v>
      </c>
      <c r="G5239" s="1">
        <v>51.0</v>
      </c>
    </row>
    <row r="5240">
      <c r="A5240" s="1" t="s">
        <v>7</v>
      </c>
      <c r="B5240" s="2">
        <v>44727.0</v>
      </c>
      <c r="C5240" s="3">
        <v>0.7548032407407408</v>
      </c>
      <c r="D5240" s="1">
        <v>12.510156</v>
      </c>
      <c r="E5240" s="1">
        <v>79.882628</v>
      </c>
      <c r="F5240" s="1">
        <v>2846.0</v>
      </c>
      <c r="G5240" s="1">
        <v>48.0</v>
      </c>
    </row>
    <row r="5241">
      <c r="A5241" s="1" t="s">
        <v>7</v>
      </c>
      <c r="B5241" s="2">
        <v>44727.0</v>
      </c>
      <c r="C5241" s="3">
        <v>0.7550694444444445</v>
      </c>
      <c r="D5241" s="1">
        <v>12.512546</v>
      </c>
      <c r="E5241" s="1">
        <v>79.88366</v>
      </c>
      <c r="F5241" s="1">
        <v>2846.0</v>
      </c>
      <c r="G5241" s="1">
        <v>54.0</v>
      </c>
    </row>
    <row r="5242">
      <c r="A5242" s="1" t="s">
        <v>7</v>
      </c>
      <c r="B5242" s="2">
        <v>44727.0</v>
      </c>
      <c r="C5242" s="3">
        <v>0.7552546296296296</v>
      </c>
      <c r="D5242" s="1">
        <v>12.514683</v>
      </c>
      <c r="E5242" s="1">
        <v>79.885165</v>
      </c>
      <c r="F5242" s="1">
        <v>2846.0</v>
      </c>
      <c r="G5242" s="1">
        <v>54.0</v>
      </c>
    </row>
    <row r="5243">
      <c r="A5243" s="1" t="s">
        <v>10</v>
      </c>
      <c r="B5243" s="2">
        <v>44727.0</v>
      </c>
      <c r="C5243" s="3">
        <v>0.7553935185185185</v>
      </c>
      <c r="D5243" s="1">
        <v>13.064061</v>
      </c>
      <c r="E5243" s="1">
        <v>80.24949</v>
      </c>
      <c r="F5243" s="1">
        <v>5339.0</v>
      </c>
      <c r="G5243" s="1">
        <v>33.0</v>
      </c>
    </row>
    <row r="5244">
      <c r="A5244" s="1" t="s">
        <v>7</v>
      </c>
      <c r="B5244" s="2">
        <v>44727.0</v>
      </c>
      <c r="C5244" s="3">
        <v>0.7557407407407407</v>
      </c>
      <c r="D5244" s="1">
        <v>12.517255</v>
      </c>
      <c r="E5244" s="1">
        <v>79.890455</v>
      </c>
      <c r="F5244" s="1">
        <v>2846.0</v>
      </c>
      <c r="G5244" s="1">
        <v>56.0</v>
      </c>
    </row>
    <row r="5245">
      <c r="A5245" s="1" t="s">
        <v>8</v>
      </c>
      <c r="B5245" s="2">
        <v>44727.0</v>
      </c>
      <c r="C5245" s="3">
        <v>0.756087962962963</v>
      </c>
      <c r="D5245" s="1">
        <v>13.067481</v>
      </c>
      <c r="E5245" s="1">
        <v>80.250502</v>
      </c>
      <c r="F5245" s="1">
        <v>805.0</v>
      </c>
      <c r="G5245" s="1">
        <v>21.0</v>
      </c>
    </row>
    <row r="5246">
      <c r="A5246" s="1" t="s">
        <v>8</v>
      </c>
      <c r="B5246" s="2">
        <v>44727.0</v>
      </c>
      <c r="C5246" s="3">
        <v>0.756099537037037</v>
      </c>
      <c r="D5246" s="1">
        <v>13.067481</v>
      </c>
      <c r="E5246" s="1">
        <v>80.250502</v>
      </c>
      <c r="F5246" s="1">
        <v>805.0</v>
      </c>
      <c r="G5246" s="1">
        <v>21.0</v>
      </c>
    </row>
    <row r="5247">
      <c r="A5247" s="1" t="s">
        <v>7</v>
      </c>
      <c r="B5247" s="2">
        <v>44727.0</v>
      </c>
      <c r="C5247" s="3">
        <v>0.7573842592592592</v>
      </c>
      <c r="D5247" s="1">
        <v>12.532193</v>
      </c>
      <c r="E5247" s="1">
        <v>79.900491</v>
      </c>
      <c r="F5247" s="1">
        <v>2846.0</v>
      </c>
      <c r="G5247" s="1">
        <v>57.0</v>
      </c>
    </row>
    <row r="5248">
      <c r="A5248" s="1" t="s">
        <v>7</v>
      </c>
      <c r="B5248" s="2">
        <v>44727.0</v>
      </c>
      <c r="C5248" s="3">
        <v>0.7586921296296296</v>
      </c>
      <c r="D5248" s="1">
        <v>12.547403</v>
      </c>
      <c r="E5248" s="1">
        <v>79.905592</v>
      </c>
      <c r="F5248" s="1">
        <v>2846.0</v>
      </c>
      <c r="G5248" s="1">
        <v>58.0</v>
      </c>
    </row>
    <row r="5249">
      <c r="A5249" s="1" t="s">
        <v>7</v>
      </c>
      <c r="B5249" s="2">
        <v>44727.0</v>
      </c>
      <c r="C5249" s="3">
        <v>0.7626736111111111</v>
      </c>
      <c r="D5249" s="1">
        <v>12.592075</v>
      </c>
      <c r="E5249" s="1">
        <v>79.919166</v>
      </c>
      <c r="F5249" s="1">
        <v>2846.0</v>
      </c>
      <c r="G5249" s="1">
        <v>57.0</v>
      </c>
    </row>
    <row r="5250">
      <c r="A5250" s="1" t="s">
        <v>7</v>
      </c>
      <c r="B5250" s="2">
        <v>44727.0</v>
      </c>
      <c r="C5250" s="3">
        <v>0.7635532407407407</v>
      </c>
      <c r="D5250" s="1">
        <v>12.602894</v>
      </c>
      <c r="E5250" s="1">
        <v>79.920154</v>
      </c>
      <c r="F5250" s="1">
        <v>2846.0</v>
      </c>
      <c r="G5250" s="1">
        <v>50.0</v>
      </c>
    </row>
    <row r="5251">
      <c r="A5251" s="1" t="s">
        <v>7</v>
      </c>
      <c r="B5251" s="2">
        <v>44727.0</v>
      </c>
      <c r="C5251" s="3">
        <v>0.7642939814814815</v>
      </c>
      <c r="D5251" s="1">
        <v>12.609691</v>
      </c>
      <c r="E5251" s="1">
        <v>79.922398</v>
      </c>
      <c r="F5251" s="1">
        <v>2846.0</v>
      </c>
      <c r="G5251" s="1">
        <v>54.0</v>
      </c>
    </row>
    <row r="5252">
      <c r="A5252" s="1" t="s">
        <v>7</v>
      </c>
      <c r="B5252" s="2">
        <v>44727.0</v>
      </c>
      <c r="C5252" s="3">
        <v>0.7649421296296296</v>
      </c>
      <c r="D5252" s="1">
        <v>12.617086</v>
      </c>
      <c r="E5252" s="1">
        <v>79.926314</v>
      </c>
      <c r="F5252" s="1">
        <v>2846.0</v>
      </c>
      <c r="G5252" s="1">
        <v>57.0</v>
      </c>
    </row>
    <row r="5253">
      <c r="A5253" s="1" t="s">
        <v>7</v>
      </c>
      <c r="B5253" s="2">
        <v>44727.0</v>
      </c>
      <c r="C5253" s="3">
        <v>0.7657638888888889</v>
      </c>
      <c r="D5253" s="1">
        <v>12.625068</v>
      </c>
      <c r="E5253" s="1">
        <v>79.92898</v>
      </c>
      <c r="F5253" s="1">
        <v>2846.0</v>
      </c>
      <c r="G5253" s="1">
        <v>53.0</v>
      </c>
    </row>
    <row r="5254">
      <c r="A5254" s="1" t="s">
        <v>7</v>
      </c>
      <c r="B5254" s="2">
        <v>44727.0</v>
      </c>
      <c r="C5254" s="3">
        <v>0.7659490740740741</v>
      </c>
      <c r="D5254" s="1">
        <v>12.62637</v>
      </c>
      <c r="E5254" s="1">
        <v>79.929506</v>
      </c>
      <c r="F5254" s="1">
        <v>2846.0</v>
      </c>
      <c r="G5254" s="1">
        <v>59.0</v>
      </c>
    </row>
    <row r="5255">
      <c r="A5255" s="1" t="s">
        <v>7</v>
      </c>
      <c r="B5255" s="2">
        <v>44727.0</v>
      </c>
      <c r="C5255" s="3">
        <v>0.7672569444444445</v>
      </c>
      <c r="D5255" s="1">
        <v>12.636578</v>
      </c>
      <c r="E5255" s="1">
        <v>79.934083</v>
      </c>
      <c r="F5255" s="1">
        <v>2846.0</v>
      </c>
      <c r="G5255" s="1">
        <v>49.0</v>
      </c>
    </row>
    <row r="5256">
      <c r="A5256" s="1" t="s">
        <v>7</v>
      </c>
      <c r="B5256" s="2">
        <v>44727.0</v>
      </c>
      <c r="C5256" s="3">
        <v>0.767974537037037</v>
      </c>
      <c r="D5256" s="1">
        <v>12.641229</v>
      </c>
      <c r="E5256" s="1">
        <v>79.936975</v>
      </c>
      <c r="F5256" s="1">
        <v>2846.0</v>
      </c>
      <c r="G5256" s="1">
        <v>57.0</v>
      </c>
    </row>
    <row r="5257">
      <c r="A5257" s="1" t="s">
        <v>7</v>
      </c>
      <c r="B5257" s="2">
        <v>44727.0</v>
      </c>
      <c r="C5257" s="3">
        <v>0.7682407407407408</v>
      </c>
      <c r="D5257" s="1">
        <v>12.647374</v>
      </c>
      <c r="E5257" s="1">
        <v>79.940429</v>
      </c>
      <c r="F5257" s="1">
        <v>2846.0</v>
      </c>
      <c r="G5257" s="1">
        <v>52.0</v>
      </c>
    </row>
    <row r="5258">
      <c r="A5258" s="1" t="s">
        <v>7</v>
      </c>
      <c r="B5258" s="2">
        <v>44727.0</v>
      </c>
      <c r="C5258" s="3">
        <v>0.7686921296296296</v>
      </c>
      <c r="D5258" s="1">
        <v>12.654195</v>
      </c>
      <c r="E5258" s="1">
        <v>79.94001</v>
      </c>
      <c r="F5258" s="1">
        <v>2846.0</v>
      </c>
      <c r="G5258" s="1">
        <v>56.0</v>
      </c>
    </row>
    <row r="5259">
      <c r="A5259" s="1" t="s">
        <v>7</v>
      </c>
      <c r="B5259" s="2">
        <v>44727.0</v>
      </c>
      <c r="C5259" s="3">
        <v>0.7690625</v>
      </c>
      <c r="D5259" s="1">
        <v>12.657686</v>
      </c>
      <c r="E5259" s="1">
        <v>79.941306</v>
      </c>
      <c r="F5259" s="1">
        <v>2846.0</v>
      </c>
      <c r="G5259" s="1">
        <v>51.0</v>
      </c>
    </row>
    <row r="5260">
      <c r="A5260" s="1" t="s">
        <v>7</v>
      </c>
      <c r="B5260" s="2">
        <v>44727.0</v>
      </c>
      <c r="C5260" s="3">
        <v>0.7714699074074074</v>
      </c>
      <c r="D5260" s="1">
        <v>12.656946</v>
      </c>
      <c r="E5260" s="1">
        <v>79.948895</v>
      </c>
      <c r="F5260" s="1">
        <v>2846.0</v>
      </c>
      <c r="G5260" s="1">
        <v>35.0</v>
      </c>
    </row>
    <row r="5261">
      <c r="A5261" s="1" t="s">
        <v>7</v>
      </c>
      <c r="B5261" s="2">
        <v>44727.0</v>
      </c>
      <c r="C5261" s="3">
        <v>0.773900462962963</v>
      </c>
      <c r="D5261" s="1">
        <v>12.656946</v>
      </c>
      <c r="E5261" s="1">
        <v>79.948895</v>
      </c>
      <c r="F5261" s="1">
        <v>2846.0</v>
      </c>
      <c r="G5261" s="1">
        <v>35.0</v>
      </c>
    </row>
    <row r="5262">
      <c r="A5262" s="1" t="s">
        <v>7</v>
      </c>
      <c r="B5262" s="2">
        <v>44727.0</v>
      </c>
      <c r="C5262" s="3">
        <v>0.7761458333333333</v>
      </c>
      <c r="D5262" s="1">
        <v>12.706582</v>
      </c>
      <c r="E5262" s="1">
        <v>79.975715</v>
      </c>
      <c r="F5262" s="1">
        <v>2846.0</v>
      </c>
      <c r="G5262" s="1">
        <v>56.0</v>
      </c>
    </row>
    <row r="5263">
      <c r="A5263" s="1" t="s">
        <v>7</v>
      </c>
      <c r="B5263" s="2">
        <v>44727.0</v>
      </c>
      <c r="C5263" s="3">
        <v>0.781886574074074</v>
      </c>
      <c r="D5263" s="1">
        <v>12.745725</v>
      </c>
      <c r="E5263" s="1">
        <v>79.994292</v>
      </c>
      <c r="F5263" s="1">
        <v>2846.0</v>
      </c>
      <c r="G5263" s="1">
        <v>56.0</v>
      </c>
    </row>
    <row r="5264">
      <c r="A5264" s="1" t="s">
        <v>7</v>
      </c>
      <c r="B5264" s="2">
        <v>44727.0</v>
      </c>
      <c r="C5264" s="3">
        <v>0.7822337962962963</v>
      </c>
      <c r="D5264" s="1">
        <v>12.74916</v>
      </c>
      <c r="E5264" s="1">
        <v>79.997084</v>
      </c>
      <c r="F5264" s="1">
        <v>2846.0</v>
      </c>
      <c r="G5264" s="1">
        <v>52.0</v>
      </c>
    </row>
    <row r="5265">
      <c r="A5265" s="1" t="s">
        <v>7</v>
      </c>
      <c r="B5265" s="2">
        <v>44727.0</v>
      </c>
      <c r="C5265" s="3">
        <v>0.7930208333333333</v>
      </c>
      <c r="D5265" s="1">
        <v>12.828184</v>
      </c>
      <c r="E5265" s="1">
        <v>80.043088</v>
      </c>
      <c r="F5265" s="1">
        <v>2846.0</v>
      </c>
      <c r="G5265" s="1">
        <v>51.0</v>
      </c>
    </row>
    <row r="5266">
      <c r="A5266" s="1" t="s">
        <v>8</v>
      </c>
      <c r="B5266" s="2">
        <v>44727.0</v>
      </c>
      <c r="C5266" s="3">
        <v>0.7972685185185185</v>
      </c>
      <c r="D5266" s="1">
        <v>12.851119</v>
      </c>
      <c r="E5266" s="1">
        <v>80.065492</v>
      </c>
      <c r="F5266" s="1">
        <v>2846.0</v>
      </c>
      <c r="G5266" s="1">
        <v>35.0</v>
      </c>
    </row>
    <row r="5267">
      <c r="A5267" s="1" t="s">
        <v>8</v>
      </c>
      <c r="B5267" s="2">
        <v>44727.0</v>
      </c>
      <c r="C5267" s="3">
        <v>0.7980555555555555</v>
      </c>
      <c r="D5267" s="1">
        <v>12.85509</v>
      </c>
      <c r="E5267" s="1">
        <v>80.06844</v>
      </c>
      <c r="F5267" s="1">
        <v>2846.0</v>
      </c>
      <c r="G5267" s="1">
        <v>36.0</v>
      </c>
    </row>
    <row r="5268">
      <c r="A5268" s="1" t="s">
        <v>7</v>
      </c>
      <c r="B5268" s="2">
        <v>44727.0</v>
      </c>
      <c r="C5268" s="3">
        <v>0.7994791666666666</v>
      </c>
      <c r="D5268" s="1">
        <v>12.862053</v>
      </c>
      <c r="E5268" s="1">
        <v>80.073404</v>
      </c>
      <c r="F5268" s="1">
        <v>2846.0</v>
      </c>
      <c r="G5268" s="1">
        <v>46.0</v>
      </c>
    </row>
    <row r="5269">
      <c r="A5269" s="1" t="s">
        <v>7</v>
      </c>
      <c r="B5269" s="2">
        <v>44728.0</v>
      </c>
      <c r="C5269" s="3">
        <v>0.25341435185185185</v>
      </c>
      <c r="D5269" s="1">
        <v>12.721721</v>
      </c>
      <c r="E5269" s="1">
        <v>79.981439</v>
      </c>
      <c r="F5269" s="1">
        <v>2846.0</v>
      </c>
      <c r="G5269" s="1">
        <v>46.0</v>
      </c>
    </row>
    <row r="5270">
      <c r="A5270" s="1" t="s">
        <v>7</v>
      </c>
      <c r="B5270" s="2">
        <v>44728.0</v>
      </c>
      <c r="C5270" s="3">
        <v>0.25405092592592593</v>
      </c>
      <c r="D5270" s="1">
        <v>12.716839</v>
      </c>
      <c r="E5270" s="1">
        <v>79.980872</v>
      </c>
      <c r="F5270" s="1">
        <v>2846.0</v>
      </c>
      <c r="G5270" s="1">
        <v>48.0</v>
      </c>
    </row>
    <row r="5271">
      <c r="A5271" s="1" t="s">
        <v>7</v>
      </c>
      <c r="B5271" s="2">
        <v>44728.0</v>
      </c>
      <c r="C5271" s="3">
        <v>0.25475694444444447</v>
      </c>
      <c r="D5271" s="1">
        <v>12.707987</v>
      </c>
      <c r="E5271" s="1">
        <v>79.976811</v>
      </c>
      <c r="F5271" s="1">
        <v>2846.0</v>
      </c>
      <c r="G5271" s="1">
        <v>52.0</v>
      </c>
    </row>
    <row r="5272">
      <c r="A5272" s="1" t="s">
        <v>8</v>
      </c>
      <c r="B5272" s="2">
        <v>44728.0</v>
      </c>
      <c r="C5272" s="3">
        <v>0.25526620370370373</v>
      </c>
      <c r="D5272" s="1">
        <v>12.704544</v>
      </c>
      <c r="E5272" s="1">
        <v>79.973285</v>
      </c>
      <c r="F5272" s="1">
        <v>2846.0</v>
      </c>
      <c r="G5272" s="1">
        <v>48.0</v>
      </c>
    </row>
    <row r="5273">
      <c r="A5273" s="1" t="s">
        <v>7</v>
      </c>
      <c r="B5273" s="2">
        <v>44728.0</v>
      </c>
      <c r="C5273" s="3">
        <v>0.2556597222222222</v>
      </c>
      <c r="D5273" s="1">
        <v>12.702207</v>
      </c>
      <c r="E5273" s="1">
        <v>79.970302</v>
      </c>
      <c r="F5273" s="1">
        <v>2846.0</v>
      </c>
      <c r="G5273" s="1">
        <v>50.0</v>
      </c>
    </row>
    <row r="5274">
      <c r="A5274" s="1" t="s">
        <v>7</v>
      </c>
      <c r="B5274" s="2">
        <v>44728.0</v>
      </c>
      <c r="C5274" s="3">
        <v>0.2558449074074074</v>
      </c>
      <c r="D5274" s="1">
        <v>12.700203</v>
      </c>
      <c r="E5274" s="1">
        <v>79.968748</v>
      </c>
      <c r="F5274" s="1">
        <v>2846.0</v>
      </c>
      <c r="G5274" s="1">
        <v>0.0</v>
      </c>
    </row>
    <row r="5275">
      <c r="A5275" s="1" t="s">
        <v>7</v>
      </c>
      <c r="B5275" s="2">
        <v>44728.0</v>
      </c>
      <c r="C5275" s="3">
        <v>0.25635416666666666</v>
      </c>
      <c r="D5275" s="1">
        <v>12.694636</v>
      </c>
      <c r="E5275" s="1">
        <v>79.965659</v>
      </c>
      <c r="F5275" s="1">
        <v>2846.0</v>
      </c>
      <c r="G5275" s="1">
        <v>56.0</v>
      </c>
    </row>
    <row r="5276">
      <c r="A5276" s="1" t="s">
        <v>7</v>
      </c>
      <c r="B5276" s="2">
        <v>44728.0</v>
      </c>
      <c r="C5276" s="3">
        <v>0.2574537037037037</v>
      </c>
      <c r="D5276" s="1">
        <v>12.693416</v>
      </c>
      <c r="E5276" s="1">
        <v>79.965005</v>
      </c>
      <c r="F5276" s="1">
        <v>2846.0</v>
      </c>
      <c r="G5276" s="1">
        <v>52.0</v>
      </c>
    </row>
    <row r="5277">
      <c r="A5277" s="1" t="s">
        <v>7</v>
      </c>
      <c r="B5277" s="2">
        <v>44728.0</v>
      </c>
      <c r="C5277" s="3">
        <v>0.25894675925925925</v>
      </c>
      <c r="D5277" s="1">
        <v>12.667472</v>
      </c>
      <c r="E5277" s="1">
        <v>79.958851</v>
      </c>
      <c r="F5277" s="1">
        <v>2846.0</v>
      </c>
      <c r="G5277" s="1">
        <v>47.0</v>
      </c>
    </row>
    <row r="5278">
      <c r="A5278" s="1" t="s">
        <v>7</v>
      </c>
      <c r="B5278" s="2">
        <v>44728.0</v>
      </c>
      <c r="C5278" s="3">
        <v>0.2591203703703704</v>
      </c>
      <c r="D5278" s="1">
        <v>12.66511</v>
      </c>
      <c r="E5278" s="1">
        <v>79.959973</v>
      </c>
      <c r="F5278" s="1">
        <v>2846.0</v>
      </c>
      <c r="G5278" s="1">
        <v>51.0</v>
      </c>
    </row>
    <row r="5279">
      <c r="A5279" s="1" t="s">
        <v>7</v>
      </c>
      <c r="B5279" s="2">
        <v>44728.0</v>
      </c>
      <c r="C5279" s="3">
        <v>0.26538194444444446</v>
      </c>
      <c r="D5279" s="1">
        <v>12.624201</v>
      </c>
      <c r="E5279" s="1">
        <v>79.928688</v>
      </c>
      <c r="F5279" s="1">
        <v>2846.0</v>
      </c>
      <c r="G5279" s="1">
        <v>52.0</v>
      </c>
    </row>
    <row r="5280">
      <c r="A5280" s="1" t="s">
        <v>7</v>
      </c>
      <c r="B5280" s="2">
        <v>44728.0</v>
      </c>
      <c r="C5280" s="3">
        <v>0.2659606481481481</v>
      </c>
      <c r="D5280" s="1">
        <v>12.61918</v>
      </c>
      <c r="E5280" s="1">
        <v>79.92692</v>
      </c>
      <c r="F5280" s="1">
        <v>2846.0</v>
      </c>
      <c r="G5280" s="1">
        <v>53.0</v>
      </c>
    </row>
    <row r="5281">
      <c r="A5281" s="1" t="s">
        <v>7</v>
      </c>
      <c r="B5281" s="2">
        <v>44728.0</v>
      </c>
      <c r="C5281" s="3">
        <v>0.26689814814814816</v>
      </c>
      <c r="D5281" s="1">
        <v>12.60842</v>
      </c>
      <c r="E5281" s="1">
        <v>79.92182</v>
      </c>
      <c r="F5281" s="1">
        <v>2846.0</v>
      </c>
      <c r="G5281" s="1">
        <v>52.0</v>
      </c>
    </row>
    <row r="5282">
      <c r="A5282" s="1" t="s">
        <v>7</v>
      </c>
      <c r="B5282" s="2">
        <v>44728.0</v>
      </c>
      <c r="C5282" s="3">
        <v>0.26815972222222223</v>
      </c>
      <c r="D5282" s="1">
        <v>12.594362</v>
      </c>
      <c r="E5282" s="1">
        <v>79.919341</v>
      </c>
      <c r="F5282" s="1">
        <v>2846.0</v>
      </c>
      <c r="G5282" s="1">
        <v>53.0</v>
      </c>
    </row>
    <row r="5283">
      <c r="A5283" s="1" t="s">
        <v>7</v>
      </c>
      <c r="B5283" s="2">
        <v>44728.0</v>
      </c>
      <c r="C5283" s="3">
        <v>0.26869212962962963</v>
      </c>
      <c r="D5283" s="1">
        <v>12.588972</v>
      </c>
      <c r="E5283" s="1">
        <v>79.919425</v>
      </c>
      <c r="F5283" s="1">
        <v>2846.0</v>
      </c>
      <c r="G5283" s="1">
        <v>52.0</v>
      </c>
    </row>
    <row r="5284">
      <c r="A5284" s="1" t="s">
        <v>7</v>
      </c>
      <c r="B5284" s="2">
        <v>44728.0</v>
      </c>
      <c r="C5284" s="3">
        <v>0.26938657407407407</v>
      </c>
      <c r="D5284" s="1">
        <v>12.581231</v>
      </c>
      <c r="E5284" s="1">
        <v>79.918863</v>
      </c>
      <c r="F5284" s="1">
        <v>2846.0</v>
      </c>
      <c r="G5284" s="1">
        <v>52.0</v>
      </c>
    </row>
    <row r="5285">
      <c r="A5285" s="1" t="s">
        <v>7</v>
      </c>
      <c r="B5285" s="2">
        <v>44728.0</v>
      </c>
      <c r="C5285" s="3">
        <v>0.2701388888888889</v>
      </c>
      <c r="D5285" s="1">
        <v>12.572194</v>
      </c>
      <c r="E5285" s="1">
        <v>79.916348</v>
      </c>
      <c r="F5285" s="1">
        <v>2846.0</v>
      </c>
      <c r="G5285" s="1">
        <v>54.0</v>
      </c>
    </row>
    <row r="5286">
      <c r="A5286" s="1" t="s">
        <v>7</v>
      </c>
      <c r="B5286" s="2">
        <v>44728.0</v>
      </c>
      <c r="C5286" s="3">
        <v>0.2706365740740741</v>
      </c>
      <c r="D5286" s="1">
        <v>12.567059</v>
      </c>
      <c r="E5286" s="1">
        <v>79.914924</v>
      </c>
      <c r="F5286" s="1">
        <v>2846.0</v>
      </c>
      <c r="G5286" s="1">
        <v>53.0</v>
      </c>
    </row>
    <row r="5287">
      <c r="A5287" s="1" t="s">
        <v>7</v>
      </c>
      <c r="B5287" s="2">
        <v>44728.0</v>
      </c>
      <c r="C5287" s="3">
        <v>0.27143518518518517</v>
      </c>
      <c r="D5287" s="1">
        <v>12.558777</v>
      </c>
      <c r="E5287" s="1">
        <v>79.91062</v>
      </c>
      <c r="F5287" s="1">
        <v>2846.0</v>
      </c>
      <c r="G5287" s="1">
        <v>53.0</v>
      </c>
    </row>
    <row r="5288">
      <c r="A5288" s="1" t="s">
        <v>7</v>
      </c>
      <c r="B5288" s="2">
        <v>44728.0</v>
      </c>
      <c r="C5288" s="3">
        <v>0.27184027777777775</v>
      </c>
      <c r="D5288" s="1">
        <v>12.554321</v>
      </c>
      <c r="E5288" s="1">
        <v>79.908073</v>
      </c>
      <c r="F5288" s="1">
        <v>2846.0</v>
      </c>
      <c r="G5288" s="1">
        <v>53.0</v>
      </c>
    </row>
    <row r="5289">
      <c r="A5289" s="1" t="s">
        <v>7</v>
      </c>
      <c r="B5289" s="2">
        <v>44728.0</v>
      </c>
      <c r="C5289" s="3">
        <v>0.27211805555555557</v>
      </c>
      <c r="D5289" s="1">
        <v>12.55185</v>
      </c>
      <c r="E5289" s="1">
        <v>79.906992</v>
      </c>
      <c r="F5289" s="1">
        <v>2846.0</v>
      </c>
      <c r="G5289" s="1">
        <v>54.0</v>
      </c>
    </row>
    <row r="5290">
      <c r="A5290" s="1" t="s">
        <v>7</v>
      </c>
      <c r="B5290" s="2">
        <v>44728.0</v>
      </c>
      <c r="C5290" s="3">
        <v>0.272349537037037</v>
      </c>
      <c r="D5290" s="1">
        <v>12.549255</v>
      </c>
      <c r="E5290" s="1">
        <v>79.906034</v>
      </c>
      <c r="F5290" s="1">
        <v>2846.0</v>
      </c>
      <c r="G5290" s="1">
        <v>54.0</v>
      </c>
    </row>
    <row r="5291">
      <c r="A5291" s="1" t="s">
        <v>7</v>
      </c>
      <c r="B5291" s="2">
        <v>44728.0</v>
      </c>
      <c r="C5291" s="3">
        <v>0.2726388888888889</v>
      </c>
      <c r="D5291" s="1">
        <v>12.545203</v>
      </c>
      <c r="E5291" s="1">
        <v>79.905297</v>
      </c>
      <c r="F5291" s="1">
        <v>2846.0</v>
      </c>
      <c r="G5291" s="1">
        <v>56.0</v>
      </c>
    </row>
    <row r="5292">
      <c r="A5292" s="1" t="s">
        <v>7</v>
      </c>
      <c r="B5292" s="2">
        <v>44728.0</v>
      </c>
      <c r="C5292" s="3">
        <v>0.2734490740740741</v>
      </c>
      <c r="D5292" s="1">
        <v>12.537943</v>
      </c>
      <c r="E5292" s="1">
        <v>79.903749</v>
      </c>
      <c r="F5292" s="1">
        <v>2846.0</v>
      </c>
      <c r="G5292" s="1">
        <v>51.0</v>
      </c>
    </row>
    <row r="5293">
      <c r="A5293" s="1" t="s">
        <v>7</v>
      </c>
      <c r="B5293" s="2">
        <v>44728.0</v>
      </c>
      <c r="C5293" s="3">
        <v>0.27359953703703704</v>
      </c>
      <c r="D5293" s="1">
        <v>12.535729</v>
      </c>
      <c r="E5293" s="1">
        <v>79.902371</v>
      </c>
      <c r="F5293" s="1">
        <v>2846.0</v>
      </c>
      <c r="G5293" s="1">
        <v>51.0</v>
      </c>
    </row>
    <row r="5294">
      <c r="A5294" s="1" t="s">
        <v>7</v>
      </c>
      <c r="B5294" s="2">
        <v>44728.0</v>
      </c>
      <c r="C5294" s="3">
        <v>0.2738425925925926</v>
      </c>
      <c r="D5294" s="1">
        <v>12.533386</v>
      </c>
      <c r="E5294" s="1">
        <v>79.901072</v>
      </c>
      <c r="F5294" s="1">
        <v>2846.0</v>
      </c>
      <c r="G5294" s="1">
        <v>55.0</v>
      </c>
    </row>
    <row r="5295">
      <c r="A5295" s="1" t="s">
        <v>7</v>
      </c>
      <c r="B5295" s="2">
        <v>44728.0</v>
      </c>
      <c r="C5295" s="3">
        <v>0.27576388888888886</v>
      </c>
      <c r="D5295" s="1">
        <v>12.516002</v>
      </c>
      <c r="E5295" s="1">
        <v>79.88819</v>
      </c>
      <c r="F5295" s="1">
        <v>2846.0</v>
      </c>
      <c r="G5295" s="1">
        <v>51.0</v>
      </c>
    </row>
    <row r="5296">
      <c r="A5296" s="1" t="s">
        <v>7</v>
      </c>
      <c r="B5296" s="2">
        <v>44728.0</v>
      </c>
      <c r="C5296" s="3">
        <v>0.2759027777777778</v>
      </c>
      <c r="D5296" s="1">
        <v>12.515415</v>
      </c>
      <c r="E5296" s="1">
        <v>79.886981</v>
      </c>
      <c r="F5296" s="1">
        <v>2846.0</v>
      </c>
      <c r="G5296" s="1">
        <v>52.0</v>
      </c>
    </row>
    <row r="5297">
      <c r="A5297" s="1" t="s">
        <v>10</v>
      </c>
      <c r="B5297" s="2">
        <v>44728.0</v>
      </c>
      <c r="C5297" s="3">
        <v>0.29532407407407407</v>
      </c>
      <c r="D5297" s="1">
        <v>12.510013</v>
      </c>
      <c r="E5297" s="1">
        <v>79.884836</v>
      </c>
      <c r="F5297" s="1">
        <v>2846.0</v>
      </c>
      <c r="G5297" s="1">
        <v>0.0</v>
      </c>
    </row>
    <row r="5298">
      <c r="A5298" s="1" t="s">
        <v>7</v>
      </c>
      <c r="B5298" s="2">
        <v>44728.0</v>
      </c>
      <c r="C5298" s="3">
        <v>0.29648148148148146</v>
      </c>
      <c r="D5298" s="1">
        <v>12.517342</v>
      </c>
      <c r="E5298" s="1">
        <v>79.887787</v>
      </c>
      <c r="F5298" s="1">
        <v>2846.0</v>
      </c>
      <c r="G5298" s="1">
        <v>53.0</v>
      </c>
    </row>
    <row r="5299">
      <c r="A5299" s="1" t="s">
        <v>8</v>
      </c>
      <c r="B5299" s="2">
        <v>44728.0</v>
      </c>
      <c r="C5299" s="3">
        <v>0.29748842592592595</v>
      </c>
      <c r="D5299" s="1">
        <v>13.061958</v>
      </c>
      <c r="E5299" s="1">
        <v>80.245641</v>
      </c>
      <c r="F5299" s="1">
        <v>5339.0</v>
      </c>
      <c r="G5299" s="1">
        <v>34.0</v>
      </c>
    </row>
    <row r="5300">
      <c r="A5300" s="1" t="s">
        <v>7</v>
      </c>
      <c r="B5300" s="2">
        <v>44728.0</v>
      </c>
      <c r="C5300" s="3">
        <v>0.2975462962962963</v>
      </c>
      <c r="D5300" s="1">
        <v>12.52247</v>
      </c>
      <c r="E5300" s="1">
        <v>79.895708</v>
      </c>
      <c r="F5300" s="1">
        <v>2846.0</v>
      </c>
      <c r="G5300" s="1">
        <v>58.0</v>
      </c>
    </row>
    <row r="5301">
      <c r="A5301" s="1" t="s">
        <v>10</v>
      </c>
      <c r="B5301" s="2">
        <v>44728.0</v>
      </c>
      <c r="C5301" s="3">
        <v>0.2976273148148148</v>
      </c>
      <c r="D5301" s="1">
        <v>13.062476</v>
      </c>
      <c r="E5301" s="1">
        <v>80.244925</v>
      </c>
      <c r="F5301" s="1">
        <v>5339.0</v>
      </c>
      <c r="G5301" s="1">
        <v>34.0</v>
      </c>
    </row>
    <row r="5302">
      <c r="A5302" s="1" t="s">
        <v>7</v>
      </c>
      <c r="B5302" s="2">
        <v>44728.0</v>
      </c>
      <c r="C5302" s="3">
        <v>0.2978125</v>
      </c>
      <c r="D5302" s="1">
        <v>12.525048</v>
      </c>
      <c r="E5302" s="1">
        <v>79.896921</v>
      </c>
      <c r="F5302" s="1">
        <v>2846.0</v>
      </c>
      <c r="G5302" s="1">
        <v>53.0</v>
      </c>
    </row>
    <row r="5303">
      <c r="A5303" s="1" t="s">
        <v>7</v>
      </c>
      <c r="B5303" s="2">
        <v>44728.0</v>
      </c>
      <c r="C5303" s="3">
        <v>0.298287037037037</v>
      </c>
      <c r="D5303" s="1">
        <v>13.066234</v>
      </c>
      <c r="E5303" s="1">
        <v>80.244649</v>
      </c>
      <c r="F5303" s="1">
        <v>5339.0</v>
      </c>
      <c r="G5303" s="1">
        <v>48.0</v>
      </c>
    </row>
    <row r="5304">
      <c r="A5304" s="1" t="s">
        <v>8</v>
      </c>
      <c r="B5304" s="2">
        <v>44728.0</v>
      </c>
      <c r="C5304" s="3">
        <v>0.2985185185185185</v>
      </c>
      <c r="D5304" s="1">
        <v>13.067616</v>
      </c>
      <c r="E5304" s="1">
        <v>80.2464</v>
      </c>
      <c r="F5304" s="1">
        <v>5339.0</v>
      </c>
      <c r="G5304" s="1">
        <v>46.0</v>
      </c>
    </row>
    <row r="5305">
      <c r="A5305" s="1" t="s">
        <v>8</v>
      </c>
      <c r="B5305" s="2">
        <v>44728.0</v>
      </c>
      <c r="C5305" s="3">
        <v>0.2987384259259259</v>
      </c>
      <c r="D5305" s="1">
        <v>13.067872</v>
      </c>
      <c r="E5305" s="1">
        <v>80.248369</v>
      </c>
      <c r="F5305" s="1">
        <v>5339.0</v>
      </c>
      <c r="G5305" s="1">
        <v>38.0</v>
      </c>
    </row>
    <row r="5306">
      <c r="A5306" s="1" t="s">
        <v>7</v>
      </c>
      <c r="B5306" s="2">
        <v>44728.0</v>
      </c>
      <c r="C5306" s="3">
        <v>0.2993287037037037</v>
      </c>
      <c r="D5306" s="1">
        <v>12.536446</v>
      </c>
      <c r="E5306" s="1">
        <v>79.902624</v>
      </c>
      <c r="F5306" s="1">
        <v>2846.0</v>
      </c>
      <c r="G5306" s="1">
        <v>52.0</v>
      </c>
    </row>
    <row r="5307">
      <c r="A5307" s="1" t="s">
        <v>8</v>
      </c>
      <c r="B5307" s="2">
        <v>44728.0</v>
      </c>
      <c r="C5307" s="3">
        <v>0.30052083333333335</v>
      </c>
      <c r="D5307" s="1">
        <v>13.069868</v>
      </c>
      <c r="E5307" s="1">
        <v>80.257257</v>
      </c>
      <c r="F5307" s="1">
        <v>5339.0</v>
      </c>
      <c r="G5307" s="1">
        <v>42.0</v>
      </c>
    </row>
    <row r="5308">
      <c r="A5308" s="1" t="s">
        <v>10</v>
      </c>
      <c r="B5308" s="2">
        <v>44728.0</v>
      </c>
      <c r="C5308" s="3">
        <v>0.30113425925925924</v>
      </c>
      <c r="D5308" s="1">
        <v>13.067523</v>
      </c>
      <c r="E5308" s="1">
        <v>80.254881</v>
      </c>
      <c r="F5308" s="1">
        <v>805.0</v>
      </c>
      <c r="G5308" s="1">
        <v>28.0</v>
      </c>
    </row>
    <row r="5309">
      <c r="A5309" s="1" t="s">
        <v>7</v>
      </c>
      <c r="B5309" s="2">
        <v>44728.0</v>
      </c>
      <c r="C5309" s="3">
        <v>0.30128472222222225</v>
      </c>
      <c r="D5309" s="1">
        <v>12.552682</v>
      </c>
      <c r="E5309" s="1">
        <v>79.90723</v>
      </c>
      <c r="F5309" s="1">
        <v>2846.0</v>
      </c>
      <c r="G5309" s="1">
        <v>57.0</v>
      </c>
    </row>
    <row r="5310">
      <c r="A5310" s="1" t="s">
        <v>7</v>
      </c>
      <c r="B5310" s="2">
        <v>44728.0</v>
      </c>
      <c r="C5310" s="3">
        <v>0.3016898148148148</v>
      </c>
      <c r="D5310" s="1">
        <v>12.557878</v>
      </c>
      <c r="E5310" s="1">
        <v>79.9099</v>
      </c>
      <c r="F5310" s="1">
        <v>2846.0</v>
      </c>
      <c r="G5310" s="1">
        <v>57.0</v>
      </c>
    </row>
    <row r="5311">
      <c r="A5311" s="1" t="s">
        <v>9</v>
      </c>
      <c r="B5311" s="2">
        <v>44728.0</v>
      </c>
      <c r="C5311" s="3">
        <v>0.3033796296296296</v>
      </c>
      <c r="D5311" s="1">
        <v>13.068289</v>
      </c>
      <c r="E5311" s="1">
        <v>80.269702</v>
      </c>
      <c r="F5311" s="1">
        <v>5339.0</v>
      </c>
      <c r="G5311" s="1">
        <v>34.0</v>
      </c>
    </row>
    <row r="5312">
      <c r="A5312" s="1" t="s">
        <v>7</v>
      </c>
      <c r="B5312" s="2">
        <v>44728.0</v>
      </c>
      <c r="C5312" s="3">
        <v>0.3033912037037037</v>
      </c>
      <c r="D5312" s="1">
        <v>12.576425</v>
      </c>
      <c r="E5312" s="1">
        <v>79.917084</v>
      </c>
      <c r="F5312" s="1">
        <v>2846.0</v>
      </c>
      <c r="G5312" s="1">
        <v>54.0</v>
      </c>
    </row>
    <row r="5313">
      <c r="A5313" s="1" t="s">
        <v>7</v>
      </c>
      <c r="B5313" s="2">
        <v>44728.0</v>
      </c>
      <c r="C5313" s="3">
        <v>0.30346064814814816</v>
      </c>
      <c r="D5313" s="1">
        <v>12.577803</v>
      </c>
      <c r="E5313" s="1">
        <v>79.917357</v>
      </c>
      <c r="F5313" s="1">
        <v>2846.0</v>
      </c>
      <c r="G5313" s="1">
        <v>57.0</v>
      </c>
    </row>
    <row r="5314">
      <c r="A5314" s="1" t="s">
        <v>7</v>
      </c>
      <c r="B5314" s="2">
        <v>44728.0</v>
      </c>
      <c r="C5314" s="3">
        <v>0.30364583333333334</v>
      </c>
      <c r="D5314" s="1">
        <v>12.580522</v>
      </c>
      <c r="E5314" s="1">
        <v>79.918456</v>
      </c>
      <c r="F5314" s="1">
        <v>2846.0</v>
      </c>
      <c r="G5314" s="1">
        <v>57.0</v>
      </c>
    </row>
    <row r="5315">
      <c r="A5315" s="1" t="s">
        <v>10</v>
      </c>
      <c r="B5315" s="2">
        <v>44728.0</v>
      </c>
      <c r="C5315" s="3">
        <v>0.3042708333333333</v>
      </c>
      <c r="D5315" s="1">
        <v>13.066442</v>
      </c>
      <c r="E5315" s="1">
        <v>80.273712</v>
      </c>
      <c r="F5315" s="1">
        <v>5339.0</v>
      </c>
      <c r="G5315" s="1">
        <v>10.0</v>
      </c>
    </row>
    <row r="5316">
      <c r="A5316" s="1" t="s">
        <v>7</v>
      </c>
      <c r="B5316" s="2">
        <v>44728.0</v>
      </c>
      <c r="C5316" s="3">
        <v>0.30452546296296296</v>
      </c>
      <c r="D5316" s="1">
        <v>12.590603</v>
      </c>
      <c r="E5316" s="1">
        <v>79.919237</v>
      </c>
      <c r="F5316" s="1">
        <v>2846.0</v>
      </c>
      <c r="G5316" s="1">
        <v>57.0</v>
      </c>
    </row>
    <row r="5317">
      <c r="A5317" s="1" t="s">
        <v>7</v>
      </c>
      <c r="B5317" s="2">
        <v>44728.0</v>
      </c>
      <c r="C5317" s="3">
        <v>0.30549768518518516</v>
      </c>
      <c r="D5317" s="1">
        <v>12.603652</v>
      </c>
      <c r="E5317" s="1">
        <v>79.920286</v>
      </c>
      <c r="F5317" s="1">
        <v>2846.0</v>
      </c>
      <c r="G5317" s="1">
        <v>58.0</v>
      </c>
    </row>
    <row r="5318">
      <c r="A5318" s="1" t="s">
        <v>7</v>
      </c>
      <c r="B5318" s="2">
        <v>44728.0</v>
      </c>
      <c r="C5318" s="3">
        <v>0.305775462962963</v>
      </c>
      <c r="D5318" s="1">
        <v>12.606297</v>
      </c>
      <c r="E5318" s="1">
        <v>79.920885</v>
      </c>
      <c r="F5318" s="1">
        <v>2846.0</v>
      </c>
      <c r="G5318" s="1">
        <v>55.0</v>
      </c>
    </row>
    <row r="5319">
      <c r="A5319" s="1" t="s">
        <v>7</v>
      </c>
      <c r="B5319" s="2">
        <v>44728.0</v>
      </c>
      <c r="C5319" s="3">
        <v>0.3065277777777778</v>
      </c>
      <c r="D5319" s="1">
        <v>12.613887</v>
      </c>
      <c r="E5319" s="1">
        <v>79.924849</v>
      </c>
      <c r="F5319" s="1">
        <v>2846.0</v>
      </c>
      <c r="G5319" s="1">
        <v>57.0</v>
      </c>
    </row>
    <row r="5320">
      <c r="A5320" s="1" t="s">
        <v>7</v>
      </c>
      <c r="B5320" s="2">
        <v>44728.0</v>
      </c>
      <c r="C5320" s="3">
        <v>0.3075347222222222</v>
      </c>
      <c r="D5320" s="1">
        <v>12.625342</v>
      </c>
      <c r="E5320" s="1">
        <v>79.929102</v>
      </c>
      <c r="F5320" s="1">
        <v>2846.0</v>
      </c>
      <c r="G5320" s="1">
        <v>58.0</v>
      </c>
    </row>
    <row r="5321">
      <c r="A5321" s="1" t="s">
        <v>7</v>
      </c>
      <c r="B5321" s="2">
        <v>44728.0</v>
      </c>
      <c r="C5321" s="3">
        <v>0.3076388888888889</v>
      </c>
      <c r="D5321" s="1">
        <v>12.626681</v>
      </c>
      <c r="E5321" s="1">
        <v>79.929681</v>
      </c>
      <c r="F5321" s="1">
        <v>2846.0</v>
      </c>
      <c r="G5321" s="1">
        <v>57.0</v>
      </c>
    </row>
    <row r="5322">
      <c r="A5322" s="1" t="s">
        <v>8</v>
      </c>
      <c r="B5322" s="2">
        <v>44728.0</v>
      </c>
      <c r="C5322" s="3">
        <v>0.308912037037037</v>
      </c>
      <c r="D5322" s="1">
        <v>12.636574</v>
      </c>
      <c r="E5322" s="1">
        <v>79.934061</v>
      </c>
      <c r="F5322" s="1">
        <v>2846.0</v>
      </c>
      <c r="G5322" s="1">
        <v>52.0</v>
      </c>
    </row>
    <row r="5323">
      <c r="A5323" s="1" t="s">
        <v>8</v>
      </c>
      <c r="B5323" s="2">
        <v>44728.0</v>
      </c>
      <c r="C5323" s="3">
        <v>0.30966435185185187</v>
      </c>
      <c r="D5323" s="1">
        <v>13.050773</v>
      </c>
      <c r="E5323" s="1">
        <v>80.264138</v>
      </c>
      <c r="F5323" s="1">
        <v>805.0</v>
      </c>
      <c r="G5323" s="1">
        <v>31.0</v>
      </c>
    </row>
    <row r="5324">
      <c r="A5324" s="1" t="s">
        <v>7</v>
      </c>
      <c r="B5324" s="2">
        <v>44728.0</v>
      </c>
      <c r="C5324" s="3">
        <v>0.3096875</v>
      </c>
      <c r="D5324" s="1">
        <v>12.645145</v>
      </c>
      <c r="E5324" s="1">
        <v>79.939342</v>
      </c>
      <c r="F5324" s="1">
        <v>2846.0</v>
      </c>
      <c r="G5324" s="1">
        <v>57.0</v>
      </c>
    </row>
    <row r="5325">
      <c r="A5325" s="1" t="s">
        <v>8</v>
      </c>
      <c r="B5325" s="2">
        <v>44728.0</v>
      </c>
      <c r="C5325" s="3">
        <v>0.3096875</v>
      </c>
      <c r="D5325" s="1">
        <v>13.049955</v>
      </c>
      <c r="E5325" s="1">
        <v>80.26409</v>
      </c>
      <c r="F5325" s="1">
        <v>805.0</v>
      </c>
      <c r="G5325" s="1">
        <v>30.0</v>
      </c>
    </row>
    <row r="5326">
      <c r="A5326" s="1" t="s">
        <v>7</v>
      </c>
      <c r="B5326" s="2">
        <v>44728.0</v>
      </c>
      <c r="C5326" s="3">
        <v>0.3097916666666667</v>
      </c>
      <c r="D5326" s="1">
        <v>12.646425</v>
      </c>
      <c r="E5326" s="1">
        <v>79.940057</v>
      </c>
      <c r="F5326" s="1">
        <v>2846.0</v>
      </c>
      <c r="G5326" s="1">
        <v>58.0</v>
      </c>
    </row>
    <row r="5327">
      <c r="A5327" s="1" t="s">
        <v>7</v>
      </c>
      <c r="B5327" s="2">
        <v>44728.0</v>
      </c>
      <c r="C5327" s="3">
        <v>0.3098611111111111</v>
      </c>
      <c r="D5327" s="1">
        <v>12.646425</v>
      </c>
      <c r="E5327" s="1">
        <v>79.940057</v>
      </c>
      <c r="F5327" s="1">
        <v>2846.0</v>
      </c>
      <c r="G5327" s="1">
        <v>58.0</v>
      </c>
    </row>
    <row r="5328">
      <c r="A5328" s="1" t="s">
        <v>7</v>
      </c>
      <c r="B5328" s="2">
        <v>44728.0</v>
      </c>
      <c r="C5328" s="3">
        <v>0.31019675925925927</v>
      </c>
      <c r="D5328" s="1">
        <v>12.650684</v>
      </c>
      <c r="E5328" s="1">
        <v>79.940422</v>
      </c>
      <c r="F5328" s="1">
        <v>2846.0</v>
      </c>
      <c r="G5328" s="1">
        <v>57.0</v>
      </c>
    </row>
    <row r="5329">
      <c r="A5329" s="1" t="s">
        <v>7</v>
      </c>
      <c r="B5329" s="2">
        <v>44728.0</v>
      </c>
      <c r="C5329" s="3">
        <v>0.3103472222222222</v>
      </c>
      <c r="D5329" s="1">
        <v>12.652081</v>
      </c>
      <c r="E5329" s="1">
        <v>79.940248</v>
      </c>
      <c r="F5329" s="1">
        <v>2846.0</v>
      </c>
      <c r="G5329" s="1">
        <v>55.0</v>
      </c>
    </row>
    <row r="5330">
      <c r="A5330" s="1" t="s">
        <v>8</v>
      </c>
      <c r="B5330" s="2">
        <v>44728.0</v>
      </c>
      <c r="C5330" s="3">
        <v>0.31103009259259257</v>
      </c>
      <c r="D5330" s="1">
        <v>13.053984</v>
      </c>
      <c r="E5330" s="1">
        <v>80.262734</v>
      </c>
      <c r="F5330" s="1">
        <v>5339.0</v>
      </c>
      <c r="G5330" s="1">
        <v>35.0</v>
      </c>
    </row>
    <row r="5331">
      <c r="A5331" s="1" t="s">
        <v>8</v>
      </c>
      <c r="B5331" s="2">
        <v>44728.0</v>
      </c>
      <c r="C5331" s="3">
        <v>0.311400462962963</v>
      </c>
      <c r="D5331" s="1">
        <v>13.049955</v>
      </c>
      <c r="E5331" s="1">
        <v>80.26409</v>
      </c>
      <c r="F5331" s="1">
        <v>805.0</v>
      </c>
      <c r="G5331" s="1">
        <v>30.0</v>
      </c>
    </row>
    <row r="5332">
      <c r="A5332" s="1" t="s">
        <v>8</v>
      </c>
      <c r="B5332" s="2">
        <v>44728.0</v>
      </c>
      <c r="C5332" s="3">
        <v>0.311412037037037</v>
      </c>
      <c r="D5332" s="1">
        <v>13.049955</v>
      </c>
      <c r="E5332" s="1">
        <v>80.26409</v>
      </c>
      <c r="F5332" s="1">
        <v>805.0</v>
      </c>
      <c r="G5332" s="1">
        <v>30.0</v>
      </c>
    </row>
    <row r="5333">
      <c r="A5333" s="1" t="s">
        <v>8</v>
      </c>
      <c r="B5333" s="2">
        <v>44728.0</v>
      </c>
      <c r="C5333" s="3">
        <v>0.3118634259259259</v>
      </c>
      <c r="D5333" s="1">
        <v>12.656156</v>
      </c>
      <c r="E5333" s="1">
        <v>79.95173</v>
      </c>
      <c r="F5333" s="1">
        <v>2846.0</v>
      </c>
      <c r="G5333" s="1">
        <v>42.0</v>
      </c>
    </row>
    <row r="5334">
      <c r="A5334" s="1" t="s">
        <v>8</v>
      </c>
      <c r="B5334" s="2">
        <v>44728.0</v>
      </c>
      <c r="C5334" s="3">
        <v>0.3122337962962963</v>
      </c>
      <c r="D5334" s="1">
        <v>13.054416</v>
      </c>
      <c r="E5334" s="1">
        <v>80.25789</v>
      </c>
      <c r="F5334" s="1">
        <v>5339.0</v>
      </c>
      <c r="G5334" s="1">
        <v>29.0</v>
      </c>
    </row>
    <row r="5335">
      <c r="A5335" s="1" t="s">
        <v>8</v>
      </c>
      <c r="B5335" s="2">
        <v>44728.0</v>
      </c>
      <c r="C5335" s="3">
        <v>0.3122337962962963</v>
      </c>
      <c r="D5335" s="1">
        <v>13.054701</v>
      </c>
      <c r="E5335" s="1">
        <v>80.254563</v>
      </c>
      <c r="F5335" s="1">
        <v>5339.0</v>
      </c>
      <c r="G5335" s="1">
        <v>23.0</v>
      </c>
    </row>
    <row r="5336">
      <c r="A5336" s="1" t="s">
        <v>8</v>
      </c>
      <c r="B5336" s="2">
        <v>44728.0</v>
      </c>
      <c r="C5336" s="3">
        <v>0.31224537037037037</v>
      </c>
      <c r="D5336" s="1">
        <v>13.054701</v>
      </c>
      <c r="E5336" s="1">
        <v>80.254563</v>
      </c>
      <c r="F5336" s="1">
        <v>5339.0</v>
      </c>
      <c r="G5336" s="1">
        <v>23.0</v>
      </c>
    </row>
    <row r="5337">
      <c r="A5337" s="1" t="s">
        <v>8</v>
      </c>
      <c r="B5337" s="2">
        <v>44728.0</v>
      </c>
      <c r="C5337" s="3">
        <v>0.3126157407407407</v>
      </c>
      <c r="D5337" s="1">
        <v>13.053596</v>
      </c>
      <c r="E5337" s="1">
        <v>80.252832</v>
      </c>
      <c r="F5337" s="1">
        <v>5339.0</v>
      </c>
      <c r="G5337" s="1">
        <v>29.0</v>
      </c>
    </row>
    <row r="5338">
      <c r="A5338" s="1" t="s">
        <v>8</v>
      </c>
      <c r="B5338" s="2">
        <v>44728.0</v>
      </c>
      <c r="C5338" s="3">
        <v>0.31269675925925927</v>
      </c>
      <c r="D5338" s="1">
        <v>13.053077</v>
      </c>
      <c r="E5338" s="1">
        <v>80.25208</v>
      </c>
      <c r="F5338" s="1">
        <v>5339.0</v>
      </c>
      <c r="G5338" s="1">
        <v>41.0</v>
      </c>
    </row>
    <row r="5339">
      <c r="A5339" s="1" t="s">
        <v>7</v>
      </c>
      <c r="B5339" s="2">
        <v>44728.0</v>
      </c>
      <c r="C5339" s="3">
        <v>0.31342592592592594</v>
      </c>
      <c r="D5339" s="1">
        <v>13.047476</v>
      </c>
      <c r="E5339" s="1">
        <v>80.248837</v>
      </c>
      <c r="F5339" s="1">
        <v>5339.0</v>
      </c>
      <c r="G5339" s="1">
        <v>46.0</v>
      </c>
    </row>
    <row r="5340">
      <c r="A5340" s="1" t="s">
        <v>8</v>
      </c>
      <c r="B5340" s="2">
        <v>44728.0</v>
      </c>
      <c r="C5340" s="3">
        <v>0.3146875</v>
      </c>
      <c r="D5340" s="1">
        <v>13.042244</v>
      </c>
      <c r="E5340" s="1">
        <v>80.247636</v>
      </c>
      <c r="F5340" s="1">
        <v>5339.0</v>
      </c>
      <c r="G5340" s="1">
        <v>28.0</v>
      </c>
    </row>
    <row r="5341">
      <c r="A5341" s="1" t="s">
        <v>8</v>
      </c>
      <c r="B5341" s="2">
        <v>44728.0</v>
      </c>
      <c r="C5341" s="3">
        <v>0.3148726851851852</v>
      </c>
      <c r="D5341" s="1">
        <v>13.041394</v>
      </c>
      <c r="E5341" s="1">
        <v>80.24746</v>
      </c>
      <c r="F5341" s="1">
        <v>5339.0</v>
      </c>
      <c r="G5341" s="1">
        <v>36.0</v>
      </c>
    </row>
    <row r="5342">
      <c r="A5342" s="1" t="s">
        <v>8</v>
      </c>
      <c r="B5342" s="2">
        <v>44728.0</v>
      </c>
      <c r="C5342" s="3">
        <v>0.3149652777777778</v>
      </c>
      <c r="D5342" s="1">
        <v>13.040482</v>
      </c>
      <c r="E5342" s="1">
        <v>80.247264</v>
      </c>
      <c r="F5342" s="1">
        <v>5339.0</v>
      </c>
      <c r="G5342" s="1">
        <v>34.0</v>
      </c>
    </row>
    <row r="5343">
      <c r="A5343" s="1" t="s">
        <v>8</v>
      </c>
      <c r="B5343" s="2">
        <v>44728.0</v>
      </c>
      <c r="C5343" s="3">
        <v>0.31497685185185187</v>
      </c>
      <c r="D5343" s="1">
        <v>13.040482</v>
      </c>
      <c r="E5343" s="1">
        <v>80.247264</v>
      </c>
      <c r="F5343" s="1">
        <v>5339.0</v>
      </c>
      <c r="G5343" s="1">
        <v>34.0</v>
      </c>
    </row>
    <row r="5344">
      <c r="A5344" s="1" t="s">
        <v>8</v>
      </c>
      <c r="B5344" s="2">
        <v>44728.0</v>
      </c>
      <c r="C5344" s="3">
        <v>0.3151157407407407</v>
      </c>
      <c r="D5344" s="1">
        <v>13.039611</v>
      </c>
      <c r="E5344" s="1">
        <v>80.24708</v>
      </c>
      <c r="F5344" s="1">
        <v>5339.0</v>
      </c>
      <c r="G5344" s="1">
        <v>35.0</v>
      </c>
    </row>
    <row r="5345">
      <c r="A5345" s="1" t="s">
        <v>8</v>
      </c>
      <c r="B5345" s="2">
        <v>44728.0</v>
      </c>
      <c r="C5345" s="3">
        <v>0.31526620370370373</v>
      </c>
      <c r="D5345" s="1">
        <v>13.037857</v>
      </c>
      <c r="E5345" s="1">
        <v>80.246653</v>
      </c>
      <c r="F5345" s="1">
        <v>5339.0</v>
      </c>
      <c r="G5345" s="1">
        <v>38.0</v>
      </c>
    </row>
    <row r="5346">
      <c r="A5346" s="1" t="s">
        <v>8</v>
      </c>
      <c r="B5346" s="2">
        <v>44728.0</v>
      </c>
      <c r="C5346" s="3">
        <v>0.3154282407407407</v>
      </c>
      <c r="D5346" s="1">
        <v>13.036717</v>
      </c>
      <c r="E5346" s="1">
        <v>80.246431</v>
      </c>
      <c r="F5346" s="1">
        <v>5339.0</v>
      </c>
      <c r="G5346" s="1">
        <v>54.0</v>
      </c>
    </row>
    <row r="5347">
      <c r="A5347" s="1" t="s">
        <v>8</v>
      </c>
      <c r="B5347" s="2">
        <v>44728.0</v>
      </c>
      <c r="C5347" s="3">
        <v>0.3155439814814815</v>
      </c>
      <c r="D5347" s="1">
        <v>13.035512</v>
      </c>
      <c r="E5347" s="1">
        <v>80.246144</v>
      </c>
      <c r="F5347" s="1">
        <v>5339.0</v>
      </c>
      <c r="G5347" s="1">
        <v>44.0</v>
      </c>
    </row>
    <row r="5348">
      <c r="A5348" s="1" t="s">
        <v>8</v>
      </c>
      <c r="B5348" s="2">
        <v>44728.0</v>
      </c>
      <c r="C5348" s="3">
        <v>0.31622685185185184</v>
      </c>
      <c r="D5348" s="1">
        <v>13.032385</v>
      </c>
      <c r="E5348" s="1">
        <v>80.242452</v>
      </c>
      <c r="F5348" s="1">
        <v>5339.0</v>
      </c>
      <c r="G5348" s="1">
        <v>48.0</v>
      </c>
    </row>
    <row r="5349">
      <c r="A5349" s="1" t="s">
        <v>7</v>
      </c>
      <c r="B5349" s="2">
        <v>44728.0</v>
      </c>
      <c r="C5349" s="3">
        <v>0.3179513888888889</v>
      </c>
      <c r="D5349" s="1">
        <v>13.015354</v>
      </c>
      <c r="E5349" s="1">
        <v>80.259392</v>
      </c>
      <c r="F5349" s="1">
        <v>805.0</v>
      </c>
      <c r="G5349" s="1">
        <v>45.0</v>
      </c>
    </row>
    <row r="5350">
      <c r="A5350" s="1" t="s">
        <v>8</v>
      </c>
      <c r="B5350" s="2">
        <v>44728.0</v>
      </c>
      <c r="C5350" s="3">
        <v>0.31833333333333336</v>
      </c>
      <c r="D5350" s="1">
        <v>12.684002</v>
      </c>
      <c r="E5350" s="1">
        <v>79.983251</v>
      </c>
      <c r="F5350" s="1">
        <v>2846.0</v>
      </c>
      <c r="G5350" s="1">
        <v>21.0</v>
      </c>
    </row>
    <row r="5351">
      <c r="A5351" s="1" t="s">
        <v>8</v>
      </c>
      <c r="B5351" s="2">
        <v>44728.0</v>
      </c>
      <c r="C5351" s="3">
        <v>0.31836805555555553</v>
      </c>
      <c r="D5351" s="1">
        <v>13.011665</v>
      </c>
      <c r="E5351" s="1">
        <v>80.259211</v>
      </c>
      <c r="F5351" s="1">
        <v>805.0</v>
      </c>
      <c r="G5351" s="1">
        <v>22.0</v>
      </c>
    </row>
    <row r="5352">
      <c r="A5352" s="1" t="s">
        <v>8</v>
      </c>
      <c r="B5352" s="2">
        <v>44728.0</v>
      </c>
      <c r="C5352" s="3">
        <v>0.31859953703703703</v>
      </c>
      <c r="D5352" s="1">
        <v>12.686122</v>
      </c>
      <c r="E5352" s="1">
        <v>79.983488</v>
      </c>
      <c r="F5352" s="1">
        <v>2846.0</v>
      </c>
      <c r="G5352" s="1">
        <v>30.0</v>
      </c>
    </row>
    <row r="5353">
      <c r="A5353" s="1" t="s">
        <v>8</v>
      </c>
      <c r="B5353" s="2">
        <v>44728.0</v>
      </c>
      <c r="C5353" s="3">
        <v>0.3188773148148148</v>
      </c>
      <c r="D5353" s="1">
        <v>13.026263</v>
      </c>
      <c r="E5353" s="1">
        <v>80.232463</v>
      </c>
      <c r="F5353" s="1">
        <v>5339.0</v>
      </c>
      <c r="G5353" s="1">
        <v>38.0</v>
      </c>
    </row>
    <row r="5354">
      <c r="A5354" s="1" t="s">
        <v>8</v>
      </c>
      <c r="B5354" s="2">
        <v>44728.0</v>
      </c>
      <c r="C5354" s="3">
        <v>0.319224537037037</v>
      </c>
      <c r="D5354" s="1">
        <v>12.689457</v>
      </c>
      <c r="E5354" s="1">
        <v>79.982374</v>
      </c>
      <c r="F5354" s="1">
        <v>2846.0</v>
      </c>
      <c r="G5354" s="1">
        <v>34.0</v>
      </c>
    </row>
    <row r="5355">
      <c r="A5355" s="1" t="s">
        <v>7</v>
      </c>
      <c r="B5355" s="2">
        <v>44728.0</v>
      </c>
      <c r="C5355" s="3">
        <v>0.31972222222222224</v>
      </c>
      <c r="D5355" s="1">
        <v>13.023916</v>
      </c>
      <c r="E5355" s="1">
        <v>80.228157</v>
      </c>
      <c r="F5355" s="1">
        <v>5339.0</v>
      </c>
      <c r="G5355" s="1">
        <v>46.0</v>
      </c>
    </row>
    <row r="5356">
      <c r="A5356" s="1" t="s">
        <v>7</v>
      </c>
      <c r="B5356" s="2">
        <v>44728.0</v>
      </c>
      <c r="C5356" s="3">
        <v>0.3199074074074074</v>
      </c>
      <c r="D5356" s="1">
        <v>13.021842</v>
      </c>
      <c r="E5356" s="1">
        <v>80.226162</v>
      </c>
      <c r="F5356" s="1">
        <v>5339.0</v>
      </c>
      <c r="G5356" s="1">
        <v>56.0</v>
      </c>
    </row>
    <row r="5357">
      <c r="A5357" s="1" t="s">
        <v>8</v>
      </c>
      <c r="B5357" s="2">
        <v>44728.0</v>
      </c>
      <c r="C5357" s="3">
        <v>0.3199768518518519</v>
      </c>
      <c r="D5357" s="1">
        <v>13.021842</v>
      </c>
      <c r="E5357" s="1">
        <v>80.226162</v>
      </c>
      <c r="F5357" s="1">
        <v>5339.0</v>
      </c>
      <c r="G5357" s="1">
        <v>56.0</v>
      </c>
    </row>
    <row r="5358">
      <c r="A5358" s="1" t="s">
        <v>8</v>
      </c>
      <c r="B5358" s="2">
        <v>44728.0</v>
      </c>
      <c r="C5358" s="3">
        <v>0.3199884259259259</v>
      </c>
      <c r="D5358" s="1">
        <v>13.006408</v>
      </c>
      <c r="E5358" s="1">
        <v>80.256589</v>
      </c>
      <c r="F5358" s="1">
        <v>805.0</v>
      </c>
      <c r="G5358" s="1">
        <v>29.0</v>
      </c>
    </row>
    <row r="5359">
      <c r="A5359" s="1" t="s">
        <v>8</v>
      </c>
      <c r="B5359" s="2">
        <v>44728.0</v>
      </c>
      <c r="C5359" s="3">
        <v>0.3200462962962963</v>
      </c>
      <c r="D5359" s="1">
        <v>13.006446</v>
      </c>
      <c r="E5359" s="1">
        <v>80.255742</v>
      </c>
      <c r="F5359" s="1">
        <v>805.0</v>
      </c>
      <c r="G5359" s="1">
        <v>31.0</v>
      </c>
    </row>
    <row r="5360">
      <c r="A5360" s="1" t="s">
        <v>7</v>
      </c>
      <c r="B5360" s="2">
        <v>44728.0</v>
      </c>
      <c r="C5360" s="3">
        <v>0.3201851851851852</v>
      </c>
      <c r="D5360" s="1">
        <v>13.019795</v>
      </c>
      <c r="E5360" s="1">
        <v>80.224672</v>
      </c>
      <c r="F5360" s="1">
        <v>5339.0</v>
      </c>
      <c r="G5360" s="1">
        <v>53.0</v>
      </c>
    </row>
    <row r="5361">
      <c r="A5361" s="1" t="s">
        <v>9</v>
      </c>
      <c r="B5361" s="2">
        <v>44728.0</v>
      </c>
      <c r="C5361" s="3">
        <v>0.3202083333333333</v>
      </c>
      <c r="D5361" s="1">
        <v>13.00651</v>
      </c>
      <c r="E5361" s="1">
        <v>80.254932</v>
      </c>
      <c r="F5361" s="1">
        <v>805.0</v>
      </c>
      <c r="G5361" s="1">
        <v>34.0</v>
      </c>
    </row>
    <row r="5362">
      <c r="A5362" s="1" t="s">
        <v>9</v>
      </c>
      <c r="B5362" s="2">
        <v>44728.0</v>
      </c>
      <c r="C5362" s="3">
        <v>0.3204513888888889</v>
      </c>
      <c r="D5362" s="1">
        <v>13.006518</v>
      </c>
      <c r="E5362" s="1">
        <v>80.252801</v>
      </c>
      <c r="F5362" s="1">
        <v>805.0</v>
      </c>
      <c r="G5362" s="1">
        <v>34.0</v>
      </c>
    </row>
    <row r="5363">
      <c r="A5363" s="1" t="s">
        <v>8</v>
      </c>
      <c r="B5363" s="2">
        <v>44728.0</v>
      </c>
      <c r="C5363" s="3">
        <v>0.3205439814814815</v>
      </c>
      <c r="D5363" s="1">
        <v>13.016208</v>
      </c>
      <c r="E5363" s="1">
        <v>80.225534</v>
      </c>
      <c r="F5363" s="1">
        <v>5339.0</v>
      </c>
      <c r="G5363" s="1">
        <v>37.0</v>
      </c>
    </row>
    <row r="5364">
      <c r="A5364" s="1" t="s">
        <v>8</v>
      </c>
      <c r="B5364" s="2">
        <v>44728.0</v>
      </c>
      <c r="C5364" s="3">
        <v>0.32068287037037035</v>
      </c>
      <c r="D5364" s="1">
        <v>13.015361</v>
      </c>
      <c r="E5364" s="1">
        <v>80.225852</v>
      </c>
      <c r="F5364" s="1">
        <v>5339.0</v>
      </c>
      <c r="G5364" s="1">
        <v>34.0</v>
      </c>
    </row>
    <row r="5365">
      <c r="A5365" s="1" t="s">
        <v>8</v>
      </c>
      <c r="B5365" s="2">
        <v>44728.0</v>
      </c>
      <c r="C5365" s="3">
        <v>0.32081018518518517</v>
      </c>
      <c r="D5365" s="1">
        <v>13.01436</v>
      </c>
      <c r="E5365" s="1">
        <v>80.226209</v>
      </c>
      <c r="F5365" s="1">
        <v>5339.0</v>
      </c>
      <c r="G5365" s="1">
        <v>50.0</v>
      </c>
    </row>
    <row r="5366">
      <c r="A5366" s="1" t="s">
        <v>7</v>
      </c>
      <c r="B5366" s="2">
        <v>44728.0</v>
      </c>
      <c r="C5366" s="3">
        <v>0.32104166666666667</v>
      </c>
      <c r="D5366" s="1">
        <v>13.012051</v>
      </c>
      <c r="E5366" s="1">
        <v>80.227104</v>
      </c>
      <c r="F5366" s="1">
        <v>5339.0</v>
      </c>
      <c r="G5366" s="1">
        <v>44.0</v>
      </c>
    </row>
    <row r="5367">
      <c r="A5367" s="1" t="s">
        <v>8</v>
      </c>
      <c r="B5367" s="2">
        <v>44728.0</v>
      </c>
      <c r="C5367" s="3">
        <v>0.32134259259259257</v>
      </c>
      <c r="D5367" s="1">
        <v>13.009533</v>
      </c>
      <c r="E5367" s="1">
        <v>80.227555</v>
      </c>
      <c r="F5367" s="1">
        <v>5339.0</v>
      </c>
      <c r="G5367" s="1">
        <v>19.0</v>
      </c>
    </row>
    <row r="5368">
      <c r="A5368" s="1" t="s">
        <v>9</v>
      </c>
      <c r="B5368" s="2">
        <v>44728.0</v>
      </c>
      <c r="C5368" s="3">
        <v>0.3220601851851852</v>
      </c>
      <c r="D5368" s="1">
        <v>13.011364</v>
      </c>
      <c r="E5368" s="1">
        <v>80.223472</v>
      </c>
      <c r="F5368" s="1">
        <v>5339.0</v>
      </c>
      <c r="G5368" s="1">
        <v>23.0</v>
      </c>
    </row>
    <row r="5369">
      <c r="A5369" s="1" t="s">
        <v>10</v>
      </c>
      <c r="B5369" s="2">
        <v>44728.0</v>
      </c>
      <c r="C5369" s="3">
        <v>0.3227314814814815</v>
      </c>
      <c r="D5369" s="1">
        <v>12.697403</v>
      </c>
      <c r="E5369" s="1">
        <v>79.974217</v>
      </c>
      <c r="F5369" s="1">
        <v>2846.0</v>
      </c>
      <c r="G5369" s="1">
        <v>39.0</v>
      </c>
    </row>
    <row r="5370">
      <c r="A5370" s="1" t="s">
        <v>8</v>
      </c>
      <c r="B5370" s="2">
        <v>44728.0</v>
      </c>
      <c r="C5370" s="3">
        <v>0.3228240740740741</v>
      </c>
      <c r="D5370" s="1">
        <v>13.010875</v>
      </c>
      <c r="E5370" s="1">
        <v>80.217169</v>
      </c>
      <c r="F5370" s="1">
        <v>5339.0</v>
      </c>
      <c r="G5370" s="1">
        <v>45.0</v>
      </c>
    </row>
    <row r="5371">
      <c r="A5371" s="1" t="s">
        <v>8</v>
      </c>
      <c r="B5371" s="2">
        <v>44728.0</v>
      </c>
      <c r="C5371" s="3">
        <v>0.32318287037037036</v>
      </c>
      <c r="D5371" s="1">
        <v>13.009646</v>
      </c>
      <c r="E5371" s="1">
        <v>80.213571</v>
      </c>
      <c r="F5371" s="1">
        <v>5339.0</v>
      </c>
      <c r="G5371" s="1">
        <v>46.0</v>
      </c>
    </row>
    <row r="5372">
      <c r="A5372" s="1" t="s">
        <v>8</v>
      </c>
      <c r="B5372" s="2">
        <v>44728.0</v>
      </c>
      <c r="C5372" s="3">
        <v>0.32329861111111113</v>
      </c>
      <c r="D5372" s="1">
        <v>13.009646</v>
      </c>
      <c r="E5372" s="1">
        <v>80.213571</v>
      </c>
      <c r="F5372" s="1">
        <v>5339.0</v>
      </c>
      <c r="G5372" s="1">
        <v>46.0</v>
      </c>
    </row>
    <row r="5373">
      <c r="A5373" s="1" t="s">
        <v>10</v>
      </c>
      <c r="B5373" s="2">
        <v>44728.0</v>
      </c>
      <c r="C5373" s="3">
        <v>0.32349537037037035</v>
      </c>
      <c r="D5373" s="1">
        <v>12.697235</v>
      </c>
      <c r="E5373" s="1">
        <v>79.972358</v>
      </c>
      <c r="F5373" s="1">
        <v>2846.0</v>
      </c>
      <c r="G5373" s="1">
        <v>9.0</v>
      </c>
    </row>
    <row r="5374">
      <c r="A5374" s="1" t="s">
        <v>8</v>
      </c>
      <c r="B5374" s="2">
        <v>44728.0</v>
      </c>
      <c r="C5374" s="3">
        <v>0.32350694444444444</v>
      </c>
      <c r="D5374" s="1">
        <v>13.009646</v>
      </c>
      <c r="E5374" s="1">
        <v>80.213571</v>
      </c>
      <c r="F5374" s="1">
        <v>5339.0</v>
      </c>
      <c r="G5374" s="1">
        <v>46.0</v>
      </c>
    </row>
    <row r="5375">
      <c r="A5375" s="1" t="s">
        <v>7</v>
      </c>
      <c r="B5375" s="2">
        <v>44728.0</v>
      </c>
      <c r="C5375" s="3">
        <v>0.3238888888888889</v>
      </c>
      <c r="D5375" s="1">
        <v>13.007929</v>
      </c>
      <c r="E5375" s="1">
        <v>80.208117</v>
      </c>
      <c r="F5375" s="1">
        <v>5339.0</v>
      </c>
      <c r="G5375" s="1">
        <v>41.0</v>
      </c>
    </row>
    <row r="5376">
      <c r="A5376" s="1" t="s">
        <v>10</v>
      </c>
      <c r="B5376" s="2">
        <v>44728.0</v>
      </c>
      <c r="C5376" s="3">
        <v>0.3240046296296296</v>
      </c>
      <c r="D5376" s="1">
        <v>13.007693</v>
      </c>
      <c r="E5376" s="1">
        <v>80.20684</v>
      </c>
      <c r="F5376" s="1">
        <v>5339.0</v>
      </c>
      <c r="G5376" s="1">
        <v>56.0</v>
      </c>
    </row>
    <row r="5377">
      <c r="A5377" s="1" t="s">
        <v>10</v>
      </c>
      <c r="B5377" s="2">
        <v>44728.0</v>
      </c>
      <c r="C5377" s="3">
        <v>0.324212962962963</v>
      </c>
      <c r="D5377" s="1">
        <v>12.697404</v>
      </c>
      <c r="E5377" s="1">
        <v>79.971871</v>
      </c>
      <c r="F5377" s="1">
        <v>2846.0</v>
      </c>
      <c r="G5377" s="1">
        <v>18.0</v>
      </c>
    </row>
    <row r="5378">
      <c r="A5378" s="1" t="s">
        <v>8</v>
      </c>
      <c r="B5378" s="2">
        <v>44728.0</v>
      </c>
      <c r="C5378" s="3">
        <v>0.3244328703703704</v>
      </c>
      <c r="D5378" s="1">
        <v>13.005776</v>
      </c>
      <c r="E5378" s="1">
        <v>80.202549</v>
      </c>
      <c r="F5378" s="1">
        <v>5339.0</v>
      </c>
      <c r="G5378" s="1">
        <v>44.0</v>
      </c>
    </row>
    <row r="5379">
      <c r="A5379" s="1" t="s">
        <v>7</v>
      </c>
      <c r="B5379" s="2">
        <v>44728.0</v>
      </c>
      <c r="C5379" s="3">
        <v>0.3249652777777778</v>
      </c>
      <c r="D5379" s="1">
        <v>13.002172</v>
      </c>
      <c r="E5379" s="1">
        <v>80.200422</v>
      </c>
      <c r="F5379" s="1">
        <v>5339.0</v>
      </c>
      <c r="G5379" s="1">
        <v>43.0</v>
      </c>
    </row>
    <row r="5380">
      <c r="A5380" s="1" t="s">
        <v>8</v>
      </c>
      <c r="B5380" s="2">
        <v>44728.0</v>
      </c>
      <c r="C5380" s="3">
        <v>0.32501157407407405</v>
      </c>
      <c r="D5380" s="1">
        <v>13.001661</v>
      </c>
      <c r="E5380" s="1">
        <v>80.199211</v>
      </c>
      <c r="F5380" s="1">
        <v>5339.0</v>
      </c>
      <c r="G5380" s="1">
        <v>52.0</v>
      </c>
    </row>
    <row r="5381">
      <c r="A5381" s="1" t="s">
        <v>7</v>
      </c>
      <c r="B5381" s="2">
        <v>44728.0</v>
      </c>
      <c r="C5381" s="3">
        <v>0.32525462962962964</v>
      </c>
      <c r="D5381" s="1">
        <v>13.001783</v>
      </c>
      <c r="E5381" s="1">
        <v>80.196575</v>
      </c>
      <c r="F5381" s="1">
        <v>5339.0</v>
      </c>
      <c r="G5381" s="1">
        <v>54.0</v>
      </c>
    </row>
    <row r="5382">
      <c r="A5382" s="1" t="s">
        <v>7</v>
      </c>
      <c r="B5382" s="2">
        <v>44728.0</v>
      </c>
      <c r="C5382" s="3">
        <v>0.3253935185185185</v>
      </c>
      <c r="D5382" s="1">
        <v>13.008815</v>
      </c>
      <c r="E5382" s="1">
        <v>80.23019</v>
      </c>
      <c r="F5382" s="1">
        <v>805.0</v>
      </c>
      <c r="G5382" s="1">
        <v>57.0</v>
      </c>
    </row>
    <row r="5383">
      <c r="A5383" s="1" t="s">
        <v>7</v>
      </c>
      <c r="B5383" s="2">
        <v>44728.0</v>
      </c>
      <c r="C5383" s="3">
        <v>0.3254398148148148</v>
      </c>
      <c r="D5383" s="1">
        <v>13.000952</v>
      </c>
      <c r="E5383" s="1">
        <v>80.195485</v>
      </c>
      <c r="F5383" s="1">
        <v>5339.0</v>
      </c>
      <c r="G5383" s="1">
        <v>55.0</v>
      </c>
    </row>
    <row r="5384">
      <c r="A5384" s="1" t="s">
        <v>8</v>
      </c>
      <c r="B5384" s="2">
        <v>44728.0</v>
      </c>
      <c r="C5384" s="3">
        <v>0.32547453703703705</v>
      </c>
      <c r="D5384" s="1">
        <v>13.000049</v>
      </c>
      <c r="E5384" s="1">
        <v>80.194376</v>
      </c>
      <c r="F5384" s="1">
        <v>5339.0</v>
      </c>
      <c r="G5384" s="1">
        <v>61.0</v>
      </c>
    </row>
    <row r="5385">
      <c r="A5385" s="1" t="s">
        <v>7</v>
      </c>
      <c r="B5385" s="2">
        <v>44728.0</v>
      </c>
      <c r="C5385" s="3">
        <v>0.32568287037037036</v>
      </c>
      <c r="D5385" s="1">
        <v>13.009596</v>
      </c>
      <c r="E5385" s="1">
        <v>80.227334</v>
      </c>
      <c r="F5385" s="1">
        <v>805.0</v>
      </c>
      <c r="G5385" s="1">
        <v>58.0</v>
      </c>
    </row>
    <row r="5386">
      <c r="A5386" s="1" t="s">
        <v>7</v>
      </c>
      <c r="B5386" s="2">
        <v>44728.0</v>
      </c>
      <c r="C5386" s="3">
        <v>0.3257291666666667</v>
      </c>
      <c r="D5386" s="1">
        <v>13.010196</v>
      </c>
      <c r="E5386" s="1">
        <v>80.22604</v>
      </c>
      <c r="F5386" s="1">
        <v>805.0</v>
      </c>
      <c r="G5386" s="1">
        <v>51.0</v>
      </c>
    </row>
    <row r="5387">
      <c r="A5387" s="1" t="s">
        <v>7</v>
      </c>
      <c r="B5387" s="2">
        <v>44728.0</v>
      </c>
      <c r="C5387" s="3">
        <v>0.32577546296296295</v>
      </c>
      <c r="D5387" s="1">
        <v>13.010196</v>
      </c>
      <c r="E5387" s="1">
        <v>80.22604</v>
      </c>
      <c r="F5387" s="1">
        <v>805.0</v>
      </c>
      <c r="G5387" s="1">
        <v>51.0</v>
      </c>
    </row>
    <row r="5388">
      <c r="A5388" s="1" t="s">
        <v>7</v>
      </c>
      <c r="B5388" s="2">
        <v>44728.0</v>
      </c>
      <c r="C5388" s="3">
        <v>0.32586805555555554</v>
      </c>
      <c r="D5388" s="1">
        <v>12.703172</v>
      </c>
      <c r="E5388" s="1">
        <v>79.97126</v>
      </c>
      <c r="F5388" s="1">
        <v>2846.0</v>
      </c>
      <c r="G5388" s="1">
        <v>51.0</v>
      </c>
    </row>
    <row r="5389">
      <c r="A5389" s="1" t="s">
        <v>8</v>
      </c>
      <c r="B5389" s="2">
        <v>44728.0</v>
      </c>
      <c r="C5389" s="3">
        <v>0.3258912037037037</v>
      </c>
      <c r="D5389" s="1">
        <v>13.010764</v>
      </c>
      <c r="E5389" s="1">
        <v>80.224777</v>
      </c>
      <c r="F5389" s="1">
        <v>805.0</v>
      </c>
      <c r="G5389" s="1">
        <v>55.0</v>
      </c>
    </row>
    <row r="5390">
      <c r="A5390" s="1" t="s">
        <v>7</v>
      </c>
      <c r="B5390" s="2">
        <v>44728.0</v>
      </c>
      <c r="C5390" s="3">
        <v>0.3263773148148148</v>
      </c>
      <c r="D5390" s="1">
        <v>12.706827</v>
      </c>
      <c r="E5390" s="1">
        <v>79.975897</v>
      </c>
      <c r="F5390" s="1">
        <v>2846.0</v>
      </c>
      <c r="G5390" s="1">
        <v>61.0</v>
      </c>
    </row>
    <row r="5391">
      <c r="A5391" s="1" t="s">
        <v>8</v>
      </c>
      <c r="B5391" s="2">
        <v>44728.0</v>
      </c>
      <c r="C5391" s="3">
        <v>0.32641203703703703</v>
      </c>
      <c r="D5391" s="1">
        <v>12.996143</v>
      </c>
      <c r="E5391" s="1">
        <v>80.189454</v>
      </c>
      <c r="F5391" s="1">
        <v>5339.0</v>
      </c>
      <c r="G5391" s="1">
        <v>15.0</v>
      </c>
    </row>
    <row r="5392">
      <c r="A5392" s="1" t="s">
        <v>8</v>
      </c>
      <c r="B5392" s="2">
        <v>44728.0</v>
      </c>
      <c r="C5392" s="3">
        <v>0.3265046296296296</v>
      </c>
      <c r="D5392" s="1">
        <v>12.708138</v>
      </c>
      <c r="E5392" s="1">
        <v>79.976773</v>
      </c>
      <c r="F5392" s="1">
        <v>2846.0</v>
      </c>
      <c r="G5392" s="1">
        <v>62.0</v>
      </c>
    </row>
    <row r="5393">
      <c r="A5393" s="1" t="s">
        <v>8</v>
      </c>
      <c r="B5393" s="2">
        <v>44728.0</v>
      </c>
      <c r="C5393" s="3">
        <v>0.32658564814814817</v>
      </c>
      <c r="D5393" s="1">
        <v>12.995726</v>
      </c>
      <c r="E5393" s="1">
        <v>80.188889</v>
      </c>
      <c r="F5393" s="1">
        <v>5339.0</v>
      </c>
      <c r="G5393" s="1">
        <v>40.0</v>
      </c>
    </row>
    <row r="5394">
      <c r="A5394" s="1" t="s">
        <v>7</v>
      </c>
      <c r="B5394" s="2">
        <v>44728.0</v>
      </c>
      <c r="C5394" s="3">
        <v>0.32719907407407406</v>
      </c>
      <c r="D5394" s="1">
        <v>12.714479</v>
      </c>
      <c r="E5394" s="1">
        <v>79.980194</v>
      </c>
      <c r="F5394" s="1">
        <v>2846.0</v>
      </c>
      <c r="G5394" s="1">
        <v>56.0</v>
      </c>
    </row>
    <row r="5395">
      <c r="A5395" s="1" t="s">
        <v>8</v>
      </c>
      <c r="B5395" s="2">
        <v>44728.0</v>
      </c>
      <c r="C5395" s="3">
        <v>0.3273263888888889</v>
      </c>
      <c r="D5395" s="1">
        <v>13.010083</v>
      </c>
      <c r="E5395" s="1">
        <v>80.214807</v>
      </c>
      <c r="F5395" s="1">
        <v>805.0</v>
      </c>
      <c r="G5395" s="1">
        <v>42.0</v>
      </c>
    </row>
    <row r="5396">
      <c r="A5396" s="1" t="s">
        <v>8</v>
      </c>
      <c r="B5396" s="2">
        <v>44728.0</v>
      </c>
      <c r="C5396" s="3">
        <v>0.3275</v>
      </c>
      <c r="D5396" s="1">
        <v>12.994124</v>
      </c>
      <c r="E5396" s="1">
        <v>80.185803</v>
      </c>
      <c r="F5396" s="1">
        <v>5339.0</v>
      </c>
      <c r="G5396" s="1">
        <v>4.0</v>
      </c>
    </row>
    <row r="5397">
      <c r="A5397" s="1" t="s">
        <v>8</v>
      </c>
      <c r="B5397" s="2">
        <v>44728.0</v>
      </c>
      <c r="C5397" s="3">
        <v>0.32756944444444447</v>
      </c>
      <c r="D5397" s="1">
        <v>12.993892</v>
      </c>
      <c r="E5397" s="1">
        <v>80.185348</v>
      </c>
      <c r="F5397" s="1">
        <v>5339.0</v>
      </c>
      <c r="G5397" s="1">
        <v>27.0</v>
      </c>
    </row>
    <row r="5398">
      <c r="A5398" s="1" t="s">
        <v>8</v>
      </c>
      <c r="B5398" s="2">
        <v>44728.0</v>
      </c>
      <c r="C5398" s="3">
        <v>0.3276736111111111</v>
      </c>
      <c r="D5398" s="1">
        <v>12.99341</v>
      </c>
      <c r="E5398" s="1">
        <v>80.184475</v>
      </c>
      <c r="F5398" s="1">
        <v>5339.0</v>
      </c>
      <c r="G5398" s="1">
        <v>44.0</v>
      </c>
    </row>
    <row r="5399">
      <c r="A5399" s="1" t="s">
        <v>8</v>
      </c>
      <c r="B5399" s="2">
        <v>44728.0</v>
      </c>
      <c r="C5399" s="3">
        <v>0.32795138888888886</v>
      </c>
      <c r="D5399" s="1">
        <v>13.008474</v>
      </c>
      <c r="E5399" s="1">
        <v>80.210493</v>
      </c>
      <c r="F5399" s="1">
        <v>805.0</v>
      </c>
      <c r="G5399" s="1">
        <v>40.0</v>
      </c>
    </row>
    <row r="5400">
      <c r="A5400" s="1" t="s">
        <v>8</v>
      </c>
      <c r="B5400" s="2">
        <v>44728.0</v>
      </c>
      <c r="C5400" s="3">
        <v>0.32827546296296295</v>
      </c>
      <c r="D5400" s="1">
        <v>12.989731</v>
      </c>
      <c r="E5400" s="1">
        <v>80.179337</v>
      </c>
      <c r="F5400" s="1">
        <v>5339.0</v>
      </c>
      <c r="G5400" s="1">
        <v>23.0</v>
      </c>
    </row>
    <row r="5401">
      <c r="A5401" s="1" t="s">
        <v>8</v>
      </c>
      <c r="B5401" s="2">
        <v>44728.0</v>
      </c>
      <c r="C5401" s="3">
        <v>0.32828703703703704</v>
      </c>
      <c r="D5401" s="1">
        <v>12.989731</v>
      </c>
      <c r="E5401" s="1">
        <v>80.179337</v>
      </c>
      <c r="F5401" s="1">
        <v>5339.0</v>
      </c>
      <c r="G5401" s="1">
        <v>23.0</v>
      </c>
    </row>
    <row r="5402">
      <c r="A5402" s="1" t="s">
        <v>9</v>
      </c>
      <c r="B5402" s="2">
        <v>44728.0</v>
      </c>
      <c r="C5402" s="3">
        <v>0.32836805555555554</v>
      </c>
      <c r="D5402" s="1">
        <v>13.007687</v>
      </c>
      <c r="E5402" s="1">
        <v>80.206634</v>
      </c>
      <c r="F5402" s="1">
        <v>805.0</v>
      </c>
      <c r="G5402" s="1">
        <v>29.0</v>
      </c>
    </row>
    <row r="5403">
      <c r="A5403" s="1" t="s">
        <v>8</v>
      </c>
      <c r="B5403" s="2">
        <v>44728.0</v>
      </c>
      <c r="C5403" s="3">
        <v>0.32836805555555554</v>
      </c>
      <c r="D5403" s="1">
        <v>12.989299</v>
      </c>
      <c r="E5403" s="1">
        <v>80.178789</v>
      </c>
      <c r="F5403" s="1">
        <v>5339.0</v>
      </c>
      <c r="G5403" s="1">
        <v>31.0</v>
      </c>
    </row>
    <row r="5404">
      <c r="A5404" s="1" t="s">
        <v>8</v>
      </c>
      <c r="B5404" s="2">
        <v>44728.0</v>
      </c>
      <c r="C5404" s="3">
        <v>0.32894675925925926</v>
      </c>
      <c r="D5404" s="1">
        <v>13.006868</v>
      </c>
      <c r="E5404" s="1">
        <v>80.204215</v>
      </c>
      <c r="F5404" s="1">
        <v>805.0</v>
      </c>
      <c r="G5404" s="1">
        <v>31.0</v>
      </c>
    </row>
    <row r="5405">
      <c r="A5405" s="1" t="s">
        <v>7</v>
      </c>
      <c r="B5405" s="2">
        <v>44728.0</v>
      </c>
      <c r="C5405" s="3">
        <v>0.3290046296296296</v>
      </c>
      <c r="D5405" s="1">
        <v>12.730268</v>
      </c>
      <c r="E5405" s="1">
        <v>79.982753</v>
      </c>
      <c r="F5405" s="1">
        <v>2846.0</v>
      </c>
      <c r="G5405" s="1">
        <v>56.0</v>
      </c>
    </row>
    <row r="5406">
      <c r="A5406" s="1" t="s">
        <v>8</v>
      </c>
      <c r="B5406" s="2">
        <v>44728.0</v>
      </c>
      <c r="C5406" s="3">
        <v>0.3290972222222222</v>
      </c>
      <c r="D5406" s="1">
        <v>12.986131</v>
      </c>
      <c r="E5406" s="1">
        <v>80.174291</v>
      </c>
      <c r="F5406" s="1">
        <v>5339.0</v>
      </c>
      <c r="G5406" s="1">
        <v>39.0</v>
      </c>
    </row>
    <row r="5407">
      <c r="A5407" s="1" t="s">
        <v>8</v>
      </c>
      <c r="B5407" s="2">
        <v>44728.0</v>
      </c>
      <c r="C5407" s="3">
        <v>0.3291087962962963</v>
      </c>
      <c r="D5407" s="1">
        <v>13.005373</v>
      </c>
      <c r="E5407" s="1">
        <v>80.201869</v>
      </c>
      <c r="F5407" s="1">
        <v>805.0</v>
      </c>
      <c r="G5407" s="1">
        <v>43.0</v>
      </c>
    </row>
    <row r="5408">
      <c r="A5408" s="1" t="s">
        <v>9</v>
      </c>
      <c r="B5408" s="2">
        <v>44728.0</v>
      </c>
      <c r="C5408" s="3">
        <v>0.32916666666666666</v>
      </c>
      <c r="D5408" s="1">
        <v>12.985492</v>
      </c>
      <c r="E5408" s="1">
        <v>80.173425</v>
      </c>
      <c r="F5408" s="1">
        <v>5339.0</v>
      </c>
      <c r="G5408" s="1">
        <v>42.0</v>
      </c>
    </row>
    <row r="5409">
      <c r="A5409" s="1" t="s">
        <v>7</v>
      </c>
      <c r="B5409" s="2">
        <v>44728.0</v>
      </c>
      <c r="C5409" s="3">
        <v>0.329224537037037</v>
      </c>
      <c r="D5409" s="1">
        <v>12.733871</v>
      </c>
      <c r="E5409" s="1">
        <v>79.984094</v>
      </c>
      <c r="F5409" s="1">
        <v>2846.0</v>
      </c>
      <c r="G5409" s="1">
        <v>54.0</v>
      </c>
    </row>
    <row r="5410">
      <c r="A5410" s="1" t="s">
        <v>8</v>
      </c>
      <c r="B5410" s="2">
        <v>44728.0</v>
      </c>
      <c r="C5410" s="3">
        <v>0.32925925925925925</v>
      </c>
      <c r="D5410" s="1">
        <v>13.004473</v>
      </c>
      <c r="E5410" s="1">
        <v>80.201221</v>
      </c>
      <c r="F5410" s="1">
        <v>805.0</v>
      </c>
      <c r="G5410" s="1">
        <v>42.0</v>
      </c>
    </row>
    <row r="5411">
      <c r="A5411" s="1" t="s">
        <v>8</v>
      </c>
      <c r="B5411" s="2">
        <v>44728.0</v>
      </c>
      <c r="C5411" s="3">
        <v>0.32935185185185184</v>
      </c>
      <c r="D5411" s="1">
        <v>13.003319</v>
      </c>
      <c r="E5411" s="1">
        <v>80.200868</v>
      </c>
      <c r="F5411" s="1">
        <v>805.0</v>
      </c>
      <c r="G5411" s="1">
        <v>50.0</v>
      </c>
    </row>
    <row r="5412">
      <c r="A5412" s="1" t="s">
        <v>7</v>
      </c>
      <c r="B5412" s="2">
        <v>44728.0</v>
      </c>
      <c r="C5412" s="3">
        <v>0.32944444444444443</v>
      </c>
      <c r="D5412" s="1">
        <v>12.734656</v>
      </c>
      <c r="E5412" s="1">
        <v>79.985178</v>
      </c>
      <c r="F5412" s="1">
        <v>2846.0</v>
      </c>
      <c r="G5412" s="1">
        <v>56.0</v>
      </c>
    </row>
    <row r="5413">
      <c r="A5413" s="1" t="s">
        <v>8</v>
      </c>
      <c r="B5413" s="2">
        <v>44728.0</v>
      </c>
      <c r="C5413" s="3">
        <v>0.3295486111111111</v>
      </c>
      <c r="D5413" s="1">
        <v>12.983661</v>
      </c>
      <c r="E5413" s="1">
        <v>80.170484</v>
      </c>
      <c r="F5413" s="1">
        <v>5339.0</v>
      </c>
      <c r="G5413" s="1">
        <v>44.0</v>
      </c>
    </row>
    <row r="5414">
      <c r="A5414" s="1" t="s">
        <v>7</v>
      </c>
      <c r="B5414" s="2">
        <v>44728.0</v>
      </c>
      <c r="C5414" s="3">
        <v>0.3295601851851852</v>
      </c>
      <c r="D5414" s="1">
        <v>12.735569</v>
      </c>
      <c r="E5414" s="1">
        <v>79.986363</v>
      </c>
      <c r="F5414" s="1">
        <v>2846.0</v>
      </c>
      <c r="G5414" s="1">
        <v>59.0</v>
      </c>
    </row>
    <row r="5415">
      <c r="A5415" s="1" t="s">
        <v>8</v>
      </c>
      <c r="B5415" s="2">
        <v>44728.0</v>
      </c>
      <c r="C5415" s="3">
        <v>0.32957175925925924</v>
      </c>
      <c r="D5415" s="1">
        <v>13.001764</v>
      </c>
      <c r="E5415" s="1">
        <v>80.199774</v>
      </c>
      <c r="F5415" s="1">
        <v>805.0</v>
      </c>
      <c r="G5415" s="1">
        <v>43.0</v>
      </c>
    </row>
    <row r="5416">
      <c r="A5416" s="1" t="s">
        <v>7</v>
      </c>
      <c r="B5416" s="2">
        <v>44728.0</v>
      </c>
      <c r="C5416" s="3">
        <v>0.32971064814814816</v>
      </c>
      <c r="D5416" s="1">
        <v>12.983068</v>
      </c>
      <c r="E5416" s="1">
        <v>80.169472</v>
      </c>
      <c r="F5416" s="1">
        <v>5339.0</v>
      </c>
      <c r="G5416" s="1">
        <v>48.0</v>
      </c>
    </row>
    <row r="5417">
      <c r="A5417" s="1" t="s">
        <v>8</v>
      </c>
      <c r="B5417" s="2">
        <v>44728.0</v>
      </c>
      <c r="C5417" s="3">
        <v>0.32980324074074074</v>
      </c>
      <c r="D5417" s="1">
        <v>13.001974</v>
      </c>
      <c r="E5417" s="1">
        <v>80.197662</v>
      </c>
      <c r="F5417" s="1">
        <v>805.0</v>
      </c>
      <c r="G5417" s="1">
        <v>44.0</v>
      </c>
    </row>
    <row r="5418">
      <c r="A5418" s="1" t="s">
        <v>7</v>
      </c>
      <c r="B5418" s="2">
        <v>44728.0</v>
      </c>
      <c r="C5418" s="3">
        <v>0.32981481481481484</v>
      </c>
      <c r="D5418" s="1">
        <v>12.739138</v>
      </c>
      <c r="E5418" s="1">
        <v>79.988994</v>
      </c>
      <c r="F5418" s="1">
        <v>2846.0</v>
      </c>
      <c r="G5418" s="1">
        <v>57.0</v>
      </c>
    </row>
    <row r="5419">
      <c r="A5419" s="1" t="s">
        <v>7</v>
      </c>
      <c r="B5419" s="2">
        <v>44728.0</v>
      </c>
      <c r="C5419" s="3">
        <v>0.3298263888888889</v>
      </c>
      <c r="D5419" s="1">
        <v>12.982363</v>
      </c>
      <c r="E5419" s="1">
        <v>80.168324</v>
      </c>
      <c r="F5419" s="1">
        <v>5339.0</v>
      </c>
      <c r="G5419" s="1">
        <v>55.0</v>
      </c>
    </row>
    <row r="5420">
      <c r="A5420" s="1" t="s">
        <v>8</v>
      </c>
      <c r="B5420" s="2">
        <v>44728.0</v>
      </c>
      <c r="C5420" s="3">
        <v>0.3300810185185185</v>
      </c>
      <c r="D5420" s="1">
        <v>12.981011</v>
      </c>
      <c r="E5420" s="1">
        <v>80.166074</v>
      </c>
      <c r="F5420" s="1">
        <v>5339.0</v>
      </c>
      <c r="G5420" s="1">
        <v>49.0</v>
      </c>
    </row>
    <row r="5421">
      <c r="A5421" s="1" t="s">
        <v>7</v>
      </c>
      <c r="B5421" s="2">
        <v>44728.0</v>
      </c>
      <c r="C5421" s="3">
        <v>0.3306134259259259</v>
      </c>
      <c r="D5421" s="1">
        <v>12.999188</v>
      </c>
      <c r="E5421" s="1">
        <v>80.193128</v>
      </c>
      <c r="F5421" s="1">
        <v>805.0</v>
      </c>
      <c r="G5421" s="1">
        <v>54.0</v>
      </c>
    </row>
    <row r="5422">
      <c r="A5422" s="1" t="s">
        <v>8</v>
      </c>
      <c r="B5422" s="2">
        <v>44728.0</v>
      </c>
      <c r="C5422" s="3">
        <v>0.330625</v>
      </c>
      <c r="D5422" s="1">
        <v>12.979544</v>
      </c>
      <c r="E5422" s="1">
        <v>80.162357</v>
      </c>
      <c r="F5422" s="1">
        <v>5339.0</v>
      </c>
      <c r="G5422" s="1">
        <v>41.0</v>
      </c>
    </row>
    <row r="5423">
      <c r="A5423" s="1" t="s">
        <v>10</v>
      </c>
      <c r="B5423" s="2">
        <v>44728.0</v>
      </c>
      <c r="C5423" s="3">
        <v>0.33086805555555554</v>
      </c>
      <c r="D5423" s="1">
        <v>12.743358</v>
      </c>
      <c r="E5423" s="1">
        <v>79.992319</v>
      </c>
      <c r="F5423" s="1">
        <v>2846.0</v>
      </c>
      <c r="G5423" s="1">
        <v>0.0</v>
      </c>
    </row>
    <row r="5424">
      <c r="A5424" s="1" t="s">
        <v>8</v>
      </c>
      <c r="B5424" s="2">
        <v>44728.0</v>
      </c>
      <c r="C5424" s="3">
        <v>0.3309722222222222</v>
      </c>
      <c r="D5424" s="1">
        <v>12.97649</v>
      </c>
      <c r="E5424" s="1">
        <v>80.15781</v>
      </c>
      <c r="F5424" s="1">
        <v>5339.0</v>
      </c>
      <c r="G5424" s="1">
        <v>59.0</v>
      </c>
    </row>
    <row r="5425">
      <c r="A5425" s="1" t="s">
        <v>8</v>
      </c>
      <c r="B5425" s="2">
        <v>44728.0</v>
      </c>
      <c r="C5425" s="3">
        <v>0.3311226851851852</v>
      </c>
      <c r="D5425" s="1">
        <v>12.974937</v>
      </c>
      <c r="E5425" s="1">
        <v>80.15556</v>
      </c>
      <c r="F5425" s="1">
        <v>5339.0</v>
      </c>
      <c r="G5425" s="1">
        <v>45.0</v>
      </c>
    </row>
    <row r="5426">
      <c r="A5426" s="1" t="s">
        <v>7</v>
      </c>
      <c r="B5426" s="2">
        <v>44728.0</v>
      </c>
      <c r="C5426" s="3">
        <v>0.33165509259259257</v>
      </c>
      <c r="D5426" s="1">
        <v>12.995518</v>
      </c>
      <c r="E5426" s="1">
        <v>80.188527</v>
      </c>
      <c r="F5426" s="1">
        <v>805.0</v>
      </c>
      <c r="G5426" s="1">
        <v>45.0</v>
      </c>
    </row>
    <row r="5427">
      <c r="A5427" s="1" t="s">
        <v>7</v>
      </c>
      <c r="B5427" s="2">
        <v>44728.0</v>
      </c>
      <c r="C5427" s="3">
        <v>0.3317361111111111</v>
      </c>
      <c r="D5427" s="1">
        <v>12.749076</v>
      </c>
      <c r="E5427" s="1">
        <v>79.99701</v>
      </c>
      <c r="F5427" s="1">
        <v>2846.0</v>
      </c>
      <c r="G5427" s="1">
        <v>58.0</v>
      </c>
    </row>
    <row r="5428">
      <c r="A5428" s="1" t="s">
        <v>8</v>
      </c>
      <c r="B5428" s="2">
        <v>44728.0</v>
      </c>
      <c r="C5428" s="3">
        <v>0.3322453703703704</v>
      </c>
      <c r="D5428" s="1">
        <v>12.972009</v>
      </c>
      <c r="E5428" s="1">
        <v>80.151514</v>
      </c>
      <c r="F5428" s="1">
        <v>5339.0</v>
      </c>
      <c r="G5428" s="1">
        <v>14.0</v>
      </c>
    </row>
    <row r="5429">
      <c r="A5429" s="1" t="s">
        <v>8</v>
      </c>
      <c r="B5429" s="2">
        <v>44728.0</v>
      </c>
      <c r="C5429" s="3">
        <v>0.33231481481481484</v>
      </c>
      <c r="D5429" s="1">
        <v>12.754795</v>
      </c>
      <c r="E5429" s="1">
        <v>80.001035</v>
      </c>
      <c r="F5429" s="1">
        <v>2846.0</v>
      </c>
      <c r="G5429" s="1">
        <v>56.0</v>
      </c>
    </row>
    <row r="5430">
      <c r="A5430" s="1" t="s">
        <v>8</v>
      </c>
      <c r="B5430" s="2">
        <v>44728.0</v>
      </c>
      <c r="C5430" s="3">
        <v>0.3323263888888889</v>
      </c>
      <c r="D5430" s="1">
        <v>12.971542</v>
      </c>
      <c r="E5430" s="1">
        <v>80.15117</v>
      </c>
      <c r="F5430" s="1">
        <v>5339.0</v>
      </c>
      <c r="G5430" s="1">
        <v>28.0</v>
      </c>
    </row>
    <row r="5431">
      <c r="A5431" s="1" t="s">
        <v>8</v>
      </c>
      <c r="B5431" s="2">
        <v>44728.0</v>
      </c>
      <c r="C5431" s="3">
        <v>0.33240740740740743</v>
      </c>
      <c r="D5431" s="1">
        <v>12.970858</v>
      </c>
      <c r="E5431" s="1">
        <v>80.150803</v>
      </c>
      <c r="F5431" s="1">
        <v>5339.0</v>
      </c>
      <c r="G5431" s="1">
        <v>30.0</v>
      </c>
    </row>
    <row r="5432">
      <c r="A5432" s="1" t="s">
        <v>8</v>
      </c>
      <c r="B5432" s="2">
        <v>44728.0</v>
      </c>
      <c r="C5432" s="3">
        <v>0.33240740740740743</v>
      </c>
      <c r="D5432" s="1">
        <v>12.970858</v>
      </c>
      <c r="E5432" s="1">
        <v>80.150803</v>
      </c>
      <c r="F5432" s="1">
        <v>5339.0</v>
      </c>
      <c r="G5432" s="1">
        <v>30.0</v>
      </c>
    </row>
    <row r="5433">
      <c r="A5433" s="1" t="s">
        <v>7</v>
      </c>
      <c r="B5433" s="2">
        <v>44728.0</v>
      </c>
      <c r="C5433" s="3">
        <v>0.33244212962962966</v>
      </c>
      <c r="D5433" s="1">
        <v>12.756024</v>
      </c>
      <c r="E5433" s="1">
        <v>80.001757</v>
      </c>
      <c r="F5433" s="1">
        <v>2846.0</v>
      </c>
      <c r="G5433" s="1">
        <v>51.0</v>
      </c>
    </row>
    <row r="5434">
      <c r="A5434" s="1" t="s">
        <v>8</v>
      </c>
      <c r="B5434" s="2">
        <v>44728.0</v>
      </c>
      <c r="C5434" s="3">
        <v>0.33247685185185183</v>
      </c>
      <c r="D5434" s="1">
        <v>12.970858</v>
      </c>
      <c r="E5434" s="1">
        <v>80.150803</v>
      </c>
      <c r="F5434" s="1">
        <v>5339.0</v>
      </c>
      <c r="G5434" s="1">
        <v>30.0</v>
      </c>
    </row>
    <row r="5435">
      <c r="A5435" s="1" t="s">
        <v>8</v>
      </c>
      <c r="B5435" s="2">
        <v>44728.0</v>
      </c>
      <c r="C5435" s="3">
        <v>0.33247685185185183</v>
      </c>
      <c r="D5435" s="1">
        <v>12.970858</v>
      </c>
      <c r="E5435" s="1">
        <v>80.150803</v>
      </c>
      <c r="F5435" s="1">
        <v>5339.0</v>
      </c>
      <c r="G5435" s="1">
        <v>30.0</v>
      </c>
    </row>
    <row r="5436">
      <c r="A5436" s="1" t="s">
        <v>8</v>
      </c>
      <c r="B5436" s="2">
        <v>44728.0</v>
      </c>
      <c r="C5436" s="3">
        <v>0.3324884259259259</v>
      </c>
      <c r="D5436" s="1">
        <v>12.970858</v>
      </c>
      <c r="E5436" s="1">
        <v>80.150803</v>
      </c>
      <c r="F5436" s="1">
        <v>5339.0</v>
      </c>
      <c r="G5436" s="1">
        <v>30.0</v>
      </c>
    </row>
    <row r="5437">
      <c r="A5437" s="1" t="s">
        <v>8</v>
      </c>
      <c r="B5437" s="2">
        <v>44728.0</v>
      </c>
      <c r="C5437" s="3">
        <v>0.3325810185185185</v>
      </c>
      <c r="D5437" s="1">
        <v>12.970226</v>
      </c>
      <c r="E5437" s="1">
        <v>80.150502</v>
      </c>
      <c r="F5437" s="1">
        <v>5339.0</v>
      </c>
      <c r="G5437" s="1">
        <v>28.0</v>
      </c>
    </row>
    <row r="5438">
      <c r="A5438" s="1" t="s">
        <v>9</v>
      </c>
      <c r="B5438" s="2">
        <v>44728.0</v>
      </c>
      <c r="C5438" s="3">
        <v>0.33284722222222224</v>
      </c>
      <c r="D5438" s="1">
        <v>12.968753</v>
      </c>
      <c r="E5438" s="1">
        <v>80.1498</v>
      </c>
      <c r="F5438" s="1">
        <v>5339.0</v>
      </c>
      <c r="G5438" s="1">
        <v>32.0</v>
      </c>
    </row>
    <row r="5439">
      <c r="A5439" s="1" t="s">
        <v>8</v>
      </c>
      <c r="B5439" s="2">
        <v>44728.0</v>
      </c>
      <c r="C5439" s="3">
        <v>0.3332407407407407</v>
      </c>
      <c r="D5439" s="1">
        <v>12.966949</v>
      </c>
      <c r="E5439" s="1">
        <v>80.14899</v>
      </c>
      <c r="F5439" s="1">
        <v>5339.0</v>
      </c>
      <c r="G5439" s="1">
        <v>25.0</v>
      </c>
    </row>
    <row r="5440">
      <c r="A5440" s="1" t="s">
        <v>9</v>
      </c>
      <c r="B5440" s="2">
        <v>44728.0</v>
      </c>
      <c r="C5440" s="3">
        <v>0.33328703703703705</v>
      </c>
      <c r="D5440" s="1">
        <v>12.966526</v>
      </c>
      <c r="E5440" s="1">
        <v>80.148781</v>
      </c>
      <c r="F5440" s="1">
        <v>5339.0</v>
      </c>
      <c r="G5440" s="1">
        <v>22.0</v>
      </c>
    </row>
    <row r="5441">
      <c r="A5441" s="1" t="s">
        <v>8</v>
      </c>
      <c r="B5441" s="2">
        <v>44728.0</v>
      </c>
      <c r="C5441" s="3">
        <v>0.33395833333333336</v>
      </c>
      <c r="D5441" s="1">
        <v>12.986142</v>
      </c>
      <c r="E5441" s="1">
        <v>80.174335</v>
      </c>
      <c r="F5441" s="1">
        <v>805.0</v>
      </c>
      <c r="G5441" s="1">
        <v>36.0</v>
      </c>
    </row>
    <row r="5442">
      <c r="A5442" s="1" t="s">
        <v>8</v>
      </c>
      <c r="B5442" s="2">
        <v>44728.0</v>
      </c>
      <c r="C5442" s="3">
        <v>0.33405092592592595</v>
      </c>
      <c r="D5442" s="1">
        <v>12.960074</v>
      </c>
      <c r="E5442" s="1">
        <v>80.145291</v>
      </c>
      <c r="F5442" s="1">
        <v>5339.0</v>
      </c>
      <c r="G5442" s="1">
        <v>47.0</v>
      </c>
    </row>
    <row r="5443">
      <c r="A5443" s="1" t="s">
        <v>8</v>
      </c>
      <c r="B5443" s="2">
        <v>44728.0</v>
      </c>
      <c r="C5443" s="3">
        <v>0.3340972222222222</v>
      </c>
      <c r="D5443" s="1">
        <v>12.985511</v>
      </c>
      <c r="E5443" s="1">
        <v>80.173433</v>
      </c>
      <c r="F5443" s="1">
        <v>805.0</v>
      </c>
      <c r="G5443" s="1">
        <v>44.0</v>
      </c>
    </row>
    <row r="5444">
      <c r="A5444" s="1" t="s">
        <v>8</v>
      </c>
      <c r="B5444" s="2">
        <v>44728.0</v>
      </c>
      <c r="C5444" s="3">
        <v>0.3340972222222222</v>
      </c>
      <c r="D5444" s="1">
        <v>12.960074</v>
      </c>
      <c r="E5444" s="1">
        <v>80.145291</v>
      </c>
      <c r="F5444" s="1">
        <v>5339.0</v>
      </c>
      <c r="G5444" s="1">
        <v>47.0</v>
      </c>
    </row>
    <row r="5445">
      <c r="A5445" s="1" t="s">
        <v>8</v>
      </c>
      <c r="B5445" s="2">
        <v>44728.0</v>
      </c>
      <c r="C5445" s="3">
        <v>0.3342013888888889</v>
      </c>
      <c r="D5445" s="1">
        <v>12.98487</v>
      </c>
      <c r="E5445" s="1">
        <v>80.172479</v>
      </c>
      <c r="F5445" s="1">
        <v>805.0</v>
      </c>
      <c r="G5445" s="1">
        <v>44.0</v>
      </c>
    </row>
    <row r="5446">
      <c r="A5446" s="1" t="s">
        <v>8</v>
      </c>
      <c r="B5446" s="2">
        <v>44728.0</v>
      </c>
      <c r="C5446" s="3">
        <v>0.3342824074074074</v>
      </c>
      <c r="D5446" s="1">
        <v>12.958406</v>
      </c>
      <c r="E5446" s="1">
        <v>80.144382</v>
      </c>
      <c r="F5446" s="1">
        <v>5339.0</v>
      </c>
      <c r="G5446" s="1">
        <v>34.0</v>
      </c>
    </row>
    <row r="5447">
      <c r="A5447" s="1" t="s">
        <v>7</v>
      </c>
      <c r="B5447" s="2">
        <v>44728.0</v>
      </c>
      <c r="C5447" s="3">
        <v>0.33447916666666666</v>
      </c>
      <c r="D5447" s="1">
        <v>12.983616</v>
      </c>
      <c r="E5447" s="1">
        <v>80.170375</v>
      </c>
      <c r="F5447" s="1">
        <v>805.0</v>
      </c>
      <c r="G5447" s="1">
        <v>53.0</v>
      </c>
    </row>
    <row r="5448">
      <c r="A5448" s="1" t="s">
        <v>7</v>
      </c>
      <c r="B5448" s="2">
        <v>44728.0</v>
      </c>
      <c r="C5448" s="3">
        <v>0.3346412037037037</v>
      </c>
      <c r="D5448" s="1">
        <v>12.982131</v>
      </c>
      <c r="E5448" s="1">
        <v>80.167862</v>
      </c>
      <c r="F5448" s="1">
        <v>805.0</v>
      </c>
      <c r="G5448" s="1">
        <v>58.0</v>
      </c>
    </row>
    <row r="5449">
      <c r="A5449" s="1" t="s">
        <v>7</v>
      </c>
      <c r="B5449" s="2">
        <v>44728.0</v>
      </c>
      <c r="C5449" s="3">
        <v>0.3347453703703704</v>
      </c>
      <c r="D5449" s="1">
        <v>12.767246</v>
      </c>
      <c r="E5449" s="1">
        <v>80.005771</v>
      </c>
      <c r="F5449" s="1">
        <v>2846.0</v>
      </c>
      <c r="G5449" s="1">
        <v>53.0</v>
      </c>
    </row>
    <row r="5450">
      <c r="A5450" s="1" t="s">
        <v>7</v>
      </c>
      <c r="B5450" s="2">
        <v>44728.0</v>
      </c>
      <c r="C5450" s="3">
        <v>0.33480324074074075</v>
      </c>
      <c r="D5450" s="1">
        <v>12.981362</v>
      </c>
      <c r="E5450" s="1">
        <v>80.166596</v>
      </c>
      <c r="F5450" s="1">
        <v>805.0</v>
      </c>
      <c r="G5450" s="1">
        <v>57.0</v>
      </c>
    </row>
    <row r="5451">
      <c r="A5451" s="1" t="s">
        <v>8</v>
      </c>
      <c r="B5451" s="2">
        <v>44728.0</v>
      </c>
      <c r="C5451" s="3">
        <v>0.33652777777777776</v>
      </c>
      <c r="D5451" s="1">
        <v>12.951175</v>
      </c>
      <c r="E5451" s="1">
        <v>80.140103</v>
      </c>
      <c r="F5451" s="1">
        <v>5339.0</v>
      </c>
      <c r="G5451" s="1">
        <v>20.0</v>
      </c>
    </row>
    <row r="5452">
      <c r="A5452" s="1" t="s">
        <v>8</v>
      </c>
      <c r="B5452" s="2">
        <v>44728.0</v>
      </c>
      <c r="C5452" s="3">
        <v>0.33653935185185185</v>
      </c>
      <c r="D5452" s="1">
        <v>12.951175</v>
      </c>
      <c r="E5452" s="1">
        <v>80.140103</v>
      </c>
      <c r="F5452" s="1">
        <v>5339.0</v>
      </c>
      <c r="G5452" s="1">
        <v>20.0</v>
      </c>
    </row>
    <row r="5453">
      <c r="A5453" s="1" t="s">
        <v>8</v>
      </c>
      <c r="B5453" s="2">
        <v>44728.0</v>
      </c>
      <c r="C5453" s="3">
        <v>0.3367939814814815</v>
      </c>
      <c r="D5453" s="1">
        <v>12.94906</v>
      </c>
      <c r="E5453" s="1">
        <v>80.138366</v>
      </c>
      <c r="F5453" s="1">
        <v>5339.0</v>
      </c>
      <c r="G5453" s="1">
        <v>47.0</v>
      </c>
    </row>
    <row r="5454">
      <c r="A5454" s="1" t="s">
        <v>8</v>
      </c>
      <c r="B5454" s="2">
        <v>44728.0</v>
      </c>
      <c r="C5454" s="3">
        <v>0.3375</v>
      </c>
      <c r="D5454" s="1">
        <v>12.945881</v>
      </c>
      <c r="E5454" s="1">
        <v>80.136013</v>
      </c>
      <c r="F5454" s="1">
        <v>5339.0</v>
      </c>
      <c r="G5454" s="1">
        <v>51.0</v>
      </c>
    </row>
    <row r="5455">
      <c r="A5455" s="1" t="s">
        <v>8</v>
      </c>
      <c r="B5455" s="2">
        <v>44728.0</v>
      </c>
      <c r="C5455" s="3">
        <v>0.3375</v>
      </c>
      <c r="D5455" s="1">
        <v>12.970777</v>
      </c>
      <c r="E5455" s="1">
        <v>80.150774</v>
      </c>
      <c r="F5455" s="1">
        <v>805.0</v>
      </c>
      <c r="G5455" s="1">
        <v>36.0</v>
      </c>
    </row>
    <row r="5456">
      <c r="A5456" s="1" t="s">
        <v>8</v>
      </c>
      <c r="B5456" s="2">
        <v>44728.0</v>
      </c>
      <c r="C5456" s="3">
        <v>0.33762731481481484</v>
      </c>
      <c r="D5456" s="1">
        <v>12.945881</v>
      </c>
      <c r="E5456" s="1">
        <v>80.136013</v>
      </c>
      <c r="F5456" s="1">
        <v>5339.0</v>
      </c>
      <c r="G5456" s="1">
        <v>51.0</v>
      </c>
    </row>
    <row r="5457">
      <c r="A5457" s="1" t="s">
        <v>7</v>
      </c>
      <c r="B5457" s="2">
        <v>44728.0</v>
      </c>
      <c r="C5457" s="3">
        <v>0.33795138888888887</v>
      </c>
      <c r="D5457" s="1">
        <v>12.798441</v>
      </c>
      <c r="E5457" s="1">
        <v>80.022297</v>
      </c>
      <c r="F5457" s="1">
        <v>2846.0</v>
      </c>
      <c r="G5457" s="1">
        <v>58.0</v>
      </c>
    </row>
    <row r="5458">
      <c r="A5458" s="1" t="s">
        <v>7</v>
      </c>
      <c r="B5458" s="2">
        <v>44728.0</v>
      </c>
      <c r="C5458" s="3">
        <v>0.33850694444444446</v>
      </c>
      <c r="D5458" s="1">
        <v>12.802102</v>
      </c>
      <c r="E5458" s="1">
        <v>80.024704</v>
      </c>
      <c r="F5458" s="1">
        <v>2846.0</v>
      </c>
      <c r="G5458" s="1">
        <v>57.0</v>
      </c>
    </row>
    <row r="5459">
      <c r="A5459" s="1" t="s">
        <v>7</v>
      </c>
      <c r="B5459" s="2">
        <v>44728.0</v>
      </c>
      <c r="C5459" s="3">
        <v>0.33875</v>
      </c>
      <c r="D5459" s="1">
        <v>12.805778</v>
      </c>
      <c r="E5459" s="1">
        <v>80.027103</v>
      </c>
      <c r="F5459" s="1">
        <v>2846.0</v>
      </c>
      <c r="G5459" s="1">
        <v>57.0</v>
      </c>
    </row>
    <row r="5460">
      <c r="A5460" s="1" t="s">
        <v>8</v>
      </c>
      <c r="B5460" s="2">
        <v>44728.0</v>
      </c>
      <c r="C5460" s="3">
        <v>0.3389583333333333</v>
      </c>
      <c r="D5460" s="1">
        <v>12.93674</v>
      </c>
      <c r="E5460" s="1">
        <v>80.127686</v>
      </c>
      <c r="F5460" s="1">
        <v>5339.0</v>
      </c>
      <c r="G5460" s="1">
        <v>48.0</v>
      </c>
    </row>
    <row r="5461">
      <c r="A5461" s="1" t="s">
        <v>8</v>
      </c>
      <c r="B5461" s="2">
        <v>44728.0</v>
      </c>
      <c r="C5461" s="3">
        <v>0.3393171296296296</v>
      </c>
      <c r="D5461" s="1">
        <v>12.934569</v>
      </c>
      <c r="E5461" s="1">
        <v>80.125732</v>
      </c>
      <c r="F5461" s="1">
        <v>5339.0</v>
      </c>
      <c r="G5461" s="1">
        <v>51.0</v>
      </c>
    </row>
    <row r="5462">
      <c r="A5462" s="1" t="s">
        <v>7</v>
      </c>
      <c r="B5462" s="2">
        <v>44728.0</v>
      </c>
      <c r="C5462" s="3">
        <v>0.33946759259259257</v>
      </c>
      <c r="D5462" s="1">
        <v>12.932521</v>
      </c>
      <c r="E5462" s="1">
        <v>80.12371</v>
      </c>
      <c r="F5462" s="1">
        <v>5339.0</v>
      </c>
      <c r="G5462" s="1">
        <v>57.0</v>
      </c>
    </row>
    <row r="5463">
      <c r="A5463" s="1" t="s">
        <v>8</v>
      </c>
      <c r="B5463" s="2">
        <v>44728.0</v>
      </c>
      <c r="C5463" s="3">
        <v>0.3395023148148148</v>
      </c>
      <c r="D5463" s="1">
        <v>12.813759</v>
      </c>
      <c r="E5463" s="1">
        <v>80.032252</v>
      </c>
      <c r="F5463" s="1">
        <v>2846.0</v>
      </c>
      <c r="G5463" s="1">
        <v>57.0</v>
      </c>
    </row>
    <row r="5464">
      <c r="A5464" s="1" t="s">
        <v>7</v>
      </c>
      <c r="B5464" s="2">
        <v>44728.0</v>
      </c>
      <c r="C5464" s="3">
        <v>0.339537037037037</v>
      </c>
      <c r="D5464" s="1">
        <v>12.814954</v>
      </c>
      <c r="E5464" s="1">
        <v>80.033052</v>
      </c>
      <c r="F5464" s="1">
        <v>2846.0</v>
      </c>
      <c r="G5464" s="1">
        <v>54.0</v>
      </c>
    </row>
    <row r="5465">
      <c r="A5465" s="1" t="s">
        <v>7</v>
      </c>
      <c r="B5465" s="2">
        <v>44728.0</v>
      </c>
      <c r="C5465" s="3">
        <v>0.33971064814814816</v>
      </c>
      <c r="D5465" s="1">
        <v>12.816104</v>
      </c>
      <c r="E5465" s="1">
        <v>80.033808</v>
      </c>
      <c r="F5465" s="1">
        <v>2846.0</v>
      </c>
      <c r="G5465" s="1">
        <v>58.0</v>
      </c>
    </row>
    <row r="5466">
      <c r="A5466" s="1" t="s">
        <v>8</v>
      </c>
      <c r="B5466" s="2">
        <v>44728.0</v>
      </c>
      <c r="C5466" s="3">
        <v>0.3397800925925926</v>
      </c>
      <c r="D5466" s="1">
        <v>12.817298</v>
      </c>
      <c r="E5466" s="1">
        <v>80.03465</v>
      </c>
      <c r="F5466" s="1">
        <v>2846.0</v>
      </c>
      <c r="G5466" s="1">
        <v>58.0</v>
      </c>
    </row>
    <row r="5467">
      <c r="A5467" s="1" t="s">
        <v>7</v>
      </c>
      <c r="B5467" s="2">
        <v>44728.0</v>
      </c>
      <c r="C5467" s="3">
        <v>0.3399421296296296</v>
      </c>
      <c r="D5467" s="1">
        <v>12.818418</v>
      </c>
      <c r="E5467" s="1">
        <v>80.035501</v>
      </c>
      <c r="F5467" s="1">
        <v>2846.0</v>
      </c>
      <c r="G5467" s="1">
        <v>54.0</v>
      </c>
    </row>
    <row r="5468">
      <c r="A5468" s="1" t="s">
        <v>8</v>
      </c>
      <c r="B5468" s="2">
        <v>44728.0</v>
      </c>
      <c r="C5468" s="3">
        <v>0.3403587962962963</v>
      </c>
      <c r="D5468" s="1">
        <v>12.929018</v>
      </c>
      <c r="E5468" s="1">
        <v>80.120218</v>
      </c>
      <c r="F5468" s="1">
        <v>5339.0</v>
      </c>
      <c r="G5468" s="1">
        <v>49.0</v>
      </c>
    </row>
    <row r="5469">
      <c r="A5469" s="1" t="s">
        <v>8</v>
      </c>
      <c r="B5469" s="2">
        <v>44728.0</v>
      </c>
      <c r="C5469" s="3">
        <v>0.3405787037037037</v>
      </c>
      <c r="D5469" s="1">
        <v>12.927328</v>
      </c>
      <c r="E5469" s="1">
        <v>80.118492</v>
      </c>
      <c r="F5469" s="1">
        <v>5339.0</v>
      </c>
      <c r="G5469" s="1">
        <v>40.0</v>
      </c>
    </row>
    <row r="5470">
      <c r="A5470" s="1" t="s">
        <v>8</v>
      </c>
      <c r="B5470" s="2">
        <v>44728.0</v>
      </c>
      <c r="C5470" s="3">
        <v>0.340625</v>
      </c>
      <c r="D5470" s="1">
        <v>12.926698</v>
      </c>
      <c r="E5470" s="1">
        <v>80.117885</v>
      </c>
      <c r="F5470" s="1">
        <v>5339.0</v>
      </c>
      <c r="G5470" s="1">
        <v>30.0</v>
      </c>
    </row>
    <row r="5471">
      <c r="A5471" s="1" t="s">
        <v>7</v>
      </c>
      <c r="B5471" s="2">
        <v>44728.0</v>
      </c>
      <c r="C5471" s="3">
        <v>0.34063657407407405</v>
      </c>
      <c r="D5471" s="1">
        <v>12.822718</v>
      </c>
      <c r="E5471" s="1">
        <v>80.038506</v>
      </c>
      <c r="F5471" s="1">
        <v>2846.0</v>
      </c>
      <c r="G5471" s="1">
        <v>48.0</v>
      </c>
    </row>
    <row r="5472">
      <c r="A5472" s="1" t="s">
        <v>8</v>
      </c>
      <c r="B5472" s="2">
        <v>44728.0</v>
      </c>
      <c r="C5472" s="3">
        <v>0.3407060185185185</v>
      </c>
      <c r="D5472" s="1">
        <v>12.926698</v>
      </c>
      <c r="E5472" s="1">
        <v>80.117885</v>
      </c>
      <c r="F5472" s="1">
        <v>5339.0</v>
      </c>
      <c r="G5472" s="1">
        <v>30.0</v>
      </c>
    </row>
    <row r="5473">
      <c r="A5473" s="1" t="s">
        <v>8</v>
      </c>
      <c r="B5473" s="2">
        <v>44728.0</v>
      </c>
      <c r="C5473" s="3">
        <v>0.34085648148148145</v>
      </c>
      <c r="D5473" s="1">
        <v>12.925441</v>
      </c>
      <c r="E5473" s="1">
        <v>80.116579</v>
      </c>
      <c r="F5473" s="1">
        <v>5339.0</v>
      </c>
      <c r="G5473" s="1">
        <v>41.0</v>
      </c>
    </row>
    <row r="5474">
      <c r="A5474" s="1" t="s">
        <v>7</v>
      </c>
      <c r="B5474" s="2">
        <v>44728.0</v>
      </c>
      <c r="C5474" s="3">
        <v>0.34086805555555555</v>
      </c>
      <c r="D5474" s="1">
        <v>12.826179</v>
      </c>
      <c r="E5474" s="1">
        <v>80.040981</v>
      </c>
      <c r="F5474" s="1">
        <v>2846.0</v>
      </c>
      <c r="G5474" s="1">
        <v>58.0</v>
      </c>
    </row>
    <row r="5475">
      <c r="A5475" s="1" t="s">
        <v>7</v>
      </c>
      <c r="B5475" s="2">
        <v>44728.0</v>
      </c>
      <c r="C5475" s="3">
        <v>0.34108796296296295</v>
      </c>
      <c r="D5475" s="1">
        <v>12.923809</v>
      </c>
      <c r="E5475" s="1">
        <v>80.114924</v>
      </c>
      <c r="F5475" s="1">
        <v>5339.0</v>
      </c>
      <c r="G5475" s="1">
        <v>53.0</v>
      </c>
    </row>
    <row r="5476">
      <c r="A5476" s="1" t="s">
        <v>8</v>
      </c>
      <c r="B5476" s="2">
        <v>44728.0</v>
      </c>
      <c r="C5476" s="3">
        <v>0.34149305555555554</v>
      </c>
      <c r="D5476" s="1">
        <v>12.920716</v>
      </c>
      <c r="E5476" s="1">
        <v>80.111798</v>
      </c>
      <c r="F5476" s="1">
        <v>5339.0</v>
      </c>
      <c r="G5476" s="1">
        <v>58.0</v>
      </c>
    </row>
    <row r="5477">
      <c r="A5477" s="1" t="s">
        <v>7</v>
      </c>
      <c r="B5477" s="2">
        <v>44728.0</v>
      </c>
      <c r="C5477" s="3">
        <v>0.3415856481481481</v>
      </c>
      <c r="D5477" s="1">
        <v>12.831955</v>
      </c>
      <c r="E5477" s="1">
        <v>80.046961</v>
      </c>
      <c r="F5477" s="1">
        <v>2846.0</v>
      </c>
      <c r="G5477" s="1">
        <v>54.0</v>
      </c>
    </row>
    <row r="5478">
      <c r="A5478" s="1" t="s">
        <v>7</v>
      </c>
      <c r="B5478" s="2">
        <v>44728.0</v>
      </c>
      <c r="C5478" s="3">
        <v>0.3418981481481482</v>
      </c>
      <c r="D5478" s="1">
        <v>12.834667</v>
      </c>
      <c r="E5478" s="1">
        <v>80.049873</v>
      </c>
      <c r="F5478" s="1">
        <v>2846.0</v>
      </c>
      <c r="G5478" s="1">
        <v>49.0</v>
      </c>
    </row>
    <row r="5479">
      <c r="A5479" s="1" t="s">
        <v>8</v>
      </c>
      <c r="B5479" s="2">
        <v>44728.0</v>
      </c>
      <c r="C5479" s="3">
        <v>0.34239583333333334</v>
      </c>
      <c r="D5479" s="1">
        <v>12.838544</v>
      </c>
      <c r="E5479" s="1">
        <v>80.053876</v>
      </c>
      <c r="F5479" s="1">
        <v>2846.0</v>
      </c>
      <c r="G5479" s="1">
        <v>53.0</v>
      </c>
    </row>
    <row r="5480">
      <c r="A5480" s="1" t="s">
        <v>8</v>
      </c>
      <c r="B5480" s="2">
        <v>44728.0</v>
      </c>
      <c r="C5480" s="3">
        <v>0.3424421296296296</v>
      </c>
      <c r="D5480" s="1">
        <v>12.914568</v>
      </c>
      <c r="E5480" s="1">
        <v>80.102759</v>
      </c>
      <c r="F5480" s="1">
        <v>5339.0</v>
      </c>
      <c r="G5480" s="1">
        <v>57.0</v>
      </c>
    </row>
    <row r="5481">
      <c r="A5481" s="1" t="s">
        <v>7</v>
      </c>
      <c r="B5481" s="2">
        <v>44728.0</v>
      </c>
      <c r="C5481" s="3">
        <v>0.34273148148148147</v>
      </c>
      <c r="D5481" s="1">
        <v>12.947142</v>
      </c>
      <c r="E5481" s="1">
        <v>80.137018</v>
      </c>
      <c r="F5481" s="1">
        <v>805.0</v>
      </c>
      <c r="G5481" s="1">
        <v>47.0</v>
      </c>
    </row>
    <row r="5482">
      <c r="A5482" s="1" t="s">
        <v>8</v>
      </c>
      <c r="B5482" s="2">
        <v>44728.0</v>
      </c>
      <c r="C5482" s="3">
        <v>0.3431712962962963</v>
      </c>
      <c r="D5482" s="1">
        <v>12.943295</v>
      </c>
      <c r="E5482" s="1">
        <v>80.134053</v>
      </c>
      <c r="F5482" s="1">
        <v>805.0</v>
      </c>
      <c r="G5482" s="1">
        <v>36.0</v>
      </c>
    </row>
    <row r="5483">
      <c r="A5483" s="1" t="s">
        <v>8</v>
      </c>
      <c r="B5483" s="2">
        <v>44728.0</v>
      </c>
      <c r="C5483" s="3">
        <v>0.3431712962962963</v>
      </c>
      <c r="D5483" s="1">
        <v>12.842663</v>
      </c>
      <c r="E5483" s="1">
        <v>80.058138</v>
      </c>
      <c r="F5483" s="1">
        <v>2846.0</v>
      </c>
      <c r="G5483" s="1">
        <v>43.0</v>
      </c>
    </row>
    <row r="5484">
      <c r="A5484" s="1" t="s">
        <v>8</v>
      </c>
      <c r="B5484" s="2">
        <v>44728.0</v>
      </c>
      <c r="C5484" s="3">
        <v>0.34328703703703706</v>
      </c>
      <c r="D5484" s="1">
        <v>12.90879</v>
      </c>
      <c r="E5484" s="1">
        <v>80.098516</v>
      </c>
      <c r="F5484" s="1">
        <v>5339.0</v>
      </c>
      <c r="G5484" s="1">
        <v>30.0</v>
      </c>
    </row>
    <row r="5485">
      <c r="A5485" s="1" t="s">
        <v>8</v>
      </c>
      <c r="B5485" s="2">
        <v>44728.0</v>
      </c>
      <c r="C5485" s="3">
        <v>0.34359953703703705</v>
      </c>
      <c r="D5485" s="1">
        <v>12.907562</v>
      </c>
      <c r="E5485" s="1">
        <v>80.09736</v>
      </c>
      <c r="F5485" s="1">
        <v>5339.0</v>
      </c>
      <c r="G5485" s="1">
        <v>30.0</v>
      </c>
    </row>
    <row r="5486">
      <c r="A5486" s="1" t="s">
        <v>8</v>
      </c>
      <c r="B5486" s="2">
        <v>44728.0</v>
      </c>
      <c r="C5486" s="3">
        <v>0.3436226851851852</v>
      </c>
      <c r="D5486" s="1">
        <v>12.94105</v>
      </c>
      <c r="E5486" s="1">
        <v>80.131674</v>
      </c>
      <c r="F5486" s="1">
        <v>805.0</v>
      </c>
      <c r="G5486" s="1">
        <v>46.0</v>
      </c>
    </row>
    <row r="5487">
      <c r="A5487" s="1" t="s">
        <v>8</v>
      </c>
      <c r="B5487" s="2">
        <v>44728.0</v>
      </c>
      <c r="C5487" s="3">
        <v>0.3436458333333333</v>
      </c>
      <c r="D5487" s="1">
        <v>12.906942</v>
      </c>
      <c r="E5487" s="1">
        <v>80.096887</v>
      </c>
      <c r="F5487" s="1">
        <v>5339.0</v>
      </c>
      <c r="G5487" s="1">
        <v>31.0</v>
      </c>
    </row>
    <row r="5488">
      <c r="A5488" s="1" t="s">
        <v>8</v>
      </c>
      <c r="B5488" s="2">
        <v>44728.0</v>
      </c>
      <c r="C5488" s="3">
        <v>0.34368055555555554</v>
      </c>
      <c r="D5488" s="1">
        <v>12.906942</v>
      </c>
      <c r="E5488" s="1">
        <v>80.096887</v>
      </c>
      <c r="F5488" s="1">
        <v>5339.0</v>
      </c>
      <c r="G5488" s="1">
        <v>31.0</v>
      </c>
    </row>
    <row r="5489">
      <c r="A5489" s="1" t="s">
        <v>8</v>
      </c>
      <c r="B5489" s="2">
        <v>44728.0</v>
      </c>
      <c r="C5489" s="3">
        <v>0.34369212962962964</v>
      </c>
      <c r="D5489" s="1">
        <v>12.906942</v>
      </c>
      <c r="E5489" s="1">
        <v>80.096887</v>
      </c>
      <c r="F5489" s="1">
        <v>5339.0</v>
      </c>
      <c r="G5489" s="1">
        <v>31.0</v>
      </c>
    </row>
    <row r="5490">
      <c r="A5490" s="1" t="s">
        <v>8</v>
      </c>
      <c r="B5490" s="2">
        <v>44728.0</v>
      </c>
      <c r="C5490" s="3">
        <v>0.3438541666666667</v>
      </c>
      <c r="D5490" s="1">
        <v>12.939549</v>
      </c>
      <c r="E5490" s="1">
        <v>80.130122</v>
      </c>
      <c r="F5490" s="1">
        <v>805.0</v>
      </c>
      <c r="G5490" s="1">
        <v>38.0</v>
      </c>
    </row>
    <row r="5491">
      <c r="A5491" s="1" t="s">
        <v>8</v>
      </c>
      <c r="B5491" s="2">
        <v>44728.0</v>
      </c>
      <c r="C5491" s="3">
        <v>0.3446180555555556</v>
      </c>
      <c r="D5491" s="1">
        <v>12.93569</v>
      </c>
      <c r="E5491" s="1">
        <v>80.12684</v>
      </c>
      <c r="F5491" s="1">
        <v>805.0</v>
      </c>
      <c r="G5491" s="1">
        <v>30.0</v>
      </c>
    </row>
    <row r="5492">
      <c r="A5492" s="1" t="s">
        <v>8</v>
      </c>
      <c r="B5492" s="2">
        <v>44728.0</v>
      </c>
      <c r="C5492" s="3">
        <v>0.344837962962963</v>
      </c>
      <c r="D5492" s="1">
        <v>12.934281</v>
      </c>
      <c r="E5492" s="1">
        <v>80.125529</v>
      </c>
      <c r="F5492" s="1">
        <v>805.0</v>
      </c>
      <c r="G5492" s="1">
        <v>46.0</v>
      </c>
    </row>
    <row r="5493">
      <c r="A5493" s="1" t="s">
        <v>8</v>
      </c>
      <c r="B5493" s="2">
        <v>44728.0</v>
      </c>
      <c r="C5493" s="3">
        <v>0.34488425925925925</v>
      </c>
      <c r="D5493" s="1">
        <v>12.84786</v>
      </c>
      <c r="E5493" s="1">
        <v>80.063065</v>
      </c>
      <c r="F5493" s="1">
        <v>2846.0</v>
      </c>
      <c r="G5493" s="1">
        <v>43.0</v>
      </c>
    </row>
    <row r="5494">
      <c r="A5494" s="1" t="s">
        <v>8</v>
      </c>
      <c r="B5494" s="2">
        <v>44728.0</v>
      </c>
      <c r="C5494" s="3">
        <v>0.3449074074074074</v>
      </c>
      <c r="D5494" s="1">
        <v>12.934281</v>
      </c>
      <c r="E5494" s="1">
        <v>80.125529</v>
      </c>
      <c r="F5494" s="1">
        <v>805.0</v>
      </c>
      <c r="G5494" s="1">
        <v>46.0</v>
      </c>
    </row>
    <row r="5495">
      <c r="A5495" s="1" t="s">
        <v>8</v>
      </c>
      <c r="B5495" s="2">
        <v>44728.0</v>
      </c>
      <c r="C5495" s="3">
        <v>0.3450578703703704</v>
      </c>
      <c r="D5495" s="1">
        <v>12.932448</v>
      </c>
      <c r="E5495" s="1">
        <v>80.123707</v>
      </c>
      <c r="F5495" s="1">
        <v>805.0</v>
      </c>
      <c r="G5495" s="1">
        <v>50.0</v>
      </c>
    </row>
    <row r="5496">
      <c r="A5496" s="1" t="s">
        <v>8</v>
      </c>
      <c r="B5496" s="2">
        <v>44728.0</v>
      </c>
      <c r="C5496" s="3">
        <v>0.345150462962963</v>
      </c>
      <c r="D5496" s="1">
        <v>12.931636</v>
      </c>
      <c r="E5496" s="1">
        <v>80.122873</v>
      </c>
      <c r="F5496" s="1">
        <v>805.0</v>
      </c>
      <c r="G5496" s="1">
        <v>46.0</v>
      </c>
    </row>
    <row r="5497">
      <c r="A5497" s="1" t="s">
        <v>8</v>
      </c>
      <c r="B5497" s="2">
        <v>44728.0</v>
      </c>
      <c r="C5497" s="3">
        <v>0.34519675925925924</v>
      </c>
      <c r="D5497" s="1">
        <v>12.931636</v>
      </c>
      <c r="E5497" s="1">
        <v>80.122873</v>
      </c>
      <c r="F5497" s="1">
        <v>805.0</v>
      </c>
      <c r="G5497" s="1">
        <v>46.0</v>
      </c>
    </row>
    <row r="5498">
      <c r="A5498" s="1" t="s">
        <v>8</v>
      </c>
      <c r="B5498" s="2">
        <v>44728.0</v>
      </c>
      <c r="C5498" s="3">
        <v>0.3454861111111111</v>
      </c>
      <c r="D5498" s="1">
        <v>12.930061</v>
      </c>
      <c r="E5498" s="1">
        <v>80.121347</v>
      </c>
      <c r="F5498" s="1">
        <v>805.0</v>
      </c>
      <c r="G5498" s="1">
        <v>25.0</v>
      </c>
    </row>
    <row r="5499">
      <c r="A5499" s="1" t="s">
        <v>8</v>
      </c>
      <c r="B5499" s="2">
        <v>44728.0</v>
      </c>
      <c r="C5499" s="3">
        <v>0.34569444444444447</v>
      </c>
      <c r="D5499" s="1">
        <v>12.852171</v>
      </c>
      <c r="E5499" s="1">
        <v>80.066215</v>
      </c>
      <c r="F5499" s="1">
        <v>2846.0</v>
      </c>
      <c r="G5499" s="1">
        <v>36.0</v>
      </c>
    </row>
    <row r="5500">
      <c r="A5500" s="1" t="s">
        <v>8</v>
      </c>
      <c r="B5500" s="2">
        <v>44728.0</v>
      </c>
      <c r="C5500" s="3">
        <v>0.3458101851851852</v>
      </c>
      <c r="D5500" s="1">
        <v>12.893302</v>
      </c>
      <c r="E5500" s="1">
        <v>80.086471</v>
      </c>
      <c r="F5500" s="1">
        <v>5339.0</v>
      </c>
      <c r="G5500" s="1">
        <v>57.0</v>
      </c>
    </row>
    <row r="5501">
      <c r="A5501" s="1" t="s">
        <v>8</v>
      </c>
      <c r="B5501" s="2">
        <v>44728.0</v>
      </c>
      <c r="C5501" s="3">
        <v>0.34586805555555555</v>
      </c>
      <c r="D5501" s="1">
        <v>12.927788</v>
      </c>
      <c r="E5501" s="1">
        <v>80.118953</v>
      </c>
      <c r="F5501" s="1">
        <v>805.0</v>
      </c>
      <c r="G5501" s="1">
        <v>41.0</v>
      </c>
    </row>
    <row r="5502">
      <c r="A5502" s="1" t="s">
        <v>7</v>
      </c>
      <c r="B5502" s="2">
        <v>44728.0</v>
      </c>
      <c r="C5502" s="3">
        <v>0.3459837962962963</v>
      </c>
      <c r="D5502" s="1">
        <v>12.854002</v>
      </c>
      <c r="E5502" s="1">
        <v>80.067602</v>
      </c>
      <c r="F5502" s="1">
        <v>2846.0</v>
      </c>
      <c r="G5502" s="1">
        <v>51.0</v>
      </c>
    </row>
    <row r="5503">
      <c r="A5503" s="1" t="s">
        <v>9</v>
      </c>
      <c r="B5503" s="2">
        <v>44728.0</v>
      </c>
      <c r="C5503" s="3">
        <v>0.34622685185185187</v>
      </c>
      <c r="D5503" s="1">
        <v>12.926064</v>
      </c>
      <c r="E5503" s="1">
        <v>80.117231</v>
      </c>
      <c r="F5503" s="1">
        <v>805.0</v>
      </c>
      <c r="G5503" s="1">
        <v>44.0</v>
      </c>
    </row>
    <row r="5504">
      <c r="A5504" s="1" t="s">
        <v>7</v>
      </c>
      <c r="B5504" s="2">
        <v>44728.0</v>
      </c>
      <c r="C5504" s="3">
        <v>0.3463773148148148</v>
      </c>
      <c r="D5504" s="1">
        <v>12.92532</v>
      </c>
      <c r="E5504" s="1">
        <v>80.116466</v>
      </c>
      <c r="F5504" s="1">
        <v>805.0</v>
      </c>
      <c r="G5504" s="1">
        <v>36.0</v>
      </c>
    </row>
    <row r="5505">
      <c r="A5505" s="1" t="s">
        <v>7</v>
      </c>
      <c r="B5505" s="2">
        <v>44728.0</v>
      </c>
      <c r="C5505" s="3">
        <v>0.3464583333333333</v>
      </c>
      <c r="D5505" s="1">
        <v>12.924544</v>
      </c>
      <c r="E5505" s="1">
        <v>80.11568</v>
      </c>
      <c r="F5505" s="1">
        <v>805.0</v>
      </c>
      <c r="G5505" s="1">
        <v>52.0</v>
      </c>
    </row>
    <row r="5506">
      <c r="A5506" s="1" t="s">
        <v>8</v>
      </c>
      <c r="B5506" s="2">
        <v>44728.0</v>
      </c>
      <c r="C5506" s="3">
        <v>0.34658564814814813</v>
      </c>
      <c r="D5506" s="1">
        <v>12.884185</v>
      </c>
      <c r="E5506" s="1">
        <v>80.082256</v>
      </c>
      <c r="F5506" s="1">
        <v>5339.0</v>
      </c>
      <c r="G5506" s="1">
        <v>50.0</v>
      </c>
    </row>
    <row r="5507">
      <c r="A5507" s="1" t="s">
        <v>7</v>
      </c>
      <c r="B5507" s="2">
        <v>44728.0</v>
      </c>
      <c r="C5507" s="3">
        <v>0.3471990740740741</v>
      </c>
      <c r="D5507" s="1">
        <v>12.921306</v>
      </c>
      <c r="E5507" s="1">
        <v>80.11247</v>
      </c>
      <c r="F5507" s="1">
        <v>805.0</v>
      </c>
      <c r="G5507" s="1">
        <v>45.0</v>
      </c>
    </row>
    <row r="5508">
      <c r="A5508" s="1" t="s">
        <v>7</v>
      </c>
      <c r="B5508" s="2">
        <v>44728.0</v>
      </c>
      <c r="C5508" s="3">
        <v>0.3473148148148148</v>
      </c>
      <c r="D5508" s="1">
        <v>12.920473</v>
      </c>
      <c r="E5508" s="1">
        <v>80.11156</v>
      </c>
      <c r="F5508" s="1">
        <v>805.0</v>
      </c>
      <c r="G5508" s="1">
        <v>51.0</v>
      </c>
    </row>
    <row r="5509">
      <c r="A5509" s="1" t="s">
        <v>8</v>
      </c>
      <c r="B5509" s="2">
        <v>44728.0</v>
      </c>
      <c r="C5509" s="3">
        <v>0.34800925925925924</v>
      </c>
      <c r="D5509" s="1">
        <v>12.917117</v>
      </c>
      <c r="E5509" s="1">
        <v>80.107387</v>
      </c>
      <c r="F5509" s="1">
        <v>805.0</v>
      </c>
      <c r="G5509" s="1">
        <v>0.0</v>
      </c>
    </row>
    <row r="5510">
      <c r="A5510" s="1" t="s">
        <v>8</v>
      </c>
      <c r="B5510" s="2">
        <v>44728.0</v>
      </c>
      <c r="C5510" s="3">
        <v>0.34802083333333333</v>
      </c>
      <c r="D5510" s="1">
        <v>12.917117</v>
      </c>
      <c r="E5510" s="1">
        <v>80.107387</v>
      </c>
      <c r="F5510" s="1">
        <v>805.0</v>
      </c>
      <c r="G5510" s="1">
        <v>0.0</v>
      </c>
    </row>
    <row r="5511">
      <c r="A5511" s="1" t="s">
        <v>8</v>
      </c>
      <c r="B5511" s="2">
        <v>44728.0</v>
      </c>
      <c r="C5511" s="3">
        <v>0.348125</v>
      </c>
      <c r="D5511" s="1">
        <v>12.870621</v>
      </c>
      <c r="E5511" s="1">
        <v>80.076672</v>
      </c>
      <c r="F5511" s="1">
        <v>2846.0</v>
      </c>
      <c r="G5511" s="1">
        <v>39.0</v>
      </c>
    </row>
    <row r="5512">
      <c r="A5512" s="1" t="s">
        <v>8</v>
      </c>
      <c r="B5512" s="2">
        <v>44728.0</v>
      </c>
      <c r="C5512" s="3">
        <v>0.3484027777777778</v>
      </c>
      <c r="D5512" s="1">
        <v>12.872418</v>
      </c>
      <c r="E5512" s="1">
        <v>80.077362</v>
      </c>
      <c r="F5512" s="1">
        <v>2846.0</v>
      </c>
      <c r="G5512" s="1">
        <v>44.0</v>
      </c>
    </row>
    <row r="5513">
      <c r="A5513" s="1" t="s">
        <v>8</v>
      </c>
      <c r="B5513" s="2">
        <v>44728.0</v>
      </c>
      <c r="C5513" s="3">
        <v>0.3485185185185185</v>
      </c>
      <c r="D5513" s="1">
        <v>12.873523</v>
      </c>
      <c r="E5513" s="1">
        <v>80.077788</v>
      </c>
      <c r="F5513" s="1">
        <v>2846.0</v>
      </c>
      <c r="G5513" s="1">
        <v>43.0</v>
      </c>
    </row>
    <row r="5514">
      <c r="A5514" s="1" t="s">
        <v>8</v>
      </c>
      <c r="B5514" s="2">
        <v>44728.0</v>
      </c>
      <c r="C5514" s="3">
        <v>0.34859953703703705</v>
      </c>
      <c r="D5514" s="1">
        <v>12.914517</v>
      </c>
      <c r="E5514" s="1">
        <v>80.102701</v>
      </c>
      <c r="F5514" s="1">
        <v>805.0</v>
      </c>
      <c r="G5514" s="1">
        <v>55.0</v>
      </c>
    </row>
    <row r="5515">
      <c r="A5515" s="1" t="s">
        <v>8</v>
      </c>
      <c r="B5515" s="2">
        <v>44728.0</v>
      </c>
      <c r="C5515" s="3">
        <v>0.3493287037037037</v>
      </c>
      <c r="D5515" s="1">
        <v>12.877891</v>
      </c>
      <c r="E5515" s="1">
        <v>80.083865</v>
      </c>
      <c r="F5515" s="1">
        <v>5339.0</v>
      </c>
      <c r="G5515" s="1">
        <v>44.0</v>
      </c>
    </row>
    <row r="5516">
      <c r="A5516" s="1" t="s">
        <v>10</v>
      </c>
      <c r="B5516" s="2">
        <v>44728.0</v>
      </c>
      <c r="C5516" s="3">
        <v>0.35050925925925924</v>
      </c>
      <c r="D5516" s="1">
        <v>12.875946</v>
      </c>
      <c r="E5516" s="1">
        <v>80.08402</v>
      </c>
      <c r="F5516" s="1">
        <v>5339.0</v>
      </c>
      <c r="G5516" s="1">
        <v>18.0</v>
      </c>
    </row>
    <row r="5517">
      <c r="A5517" s="1" t="s">
        <v>8</v>
      </c>
      <c r="B5517" s="2">
        <v>44728.0</v>
      </c>
      <c r="C5517" s="3">
        <v>0.3510185185185185</v>
      </c>
      <c r="D5517" s="1">
        <v>12.902579</v>
      </c>
      <c r="E5517" s="1">
        <v>80.093416</v>
      </c>
      <c r="F5517" s="1">
        <v>805.0</v>
      </c>
      <c r="G5517" s="1">
        <v>44.0</v>
      </c>
    </row>
    <row r="5518">
      <c r="A5518" s="1" t="s">
        <v>7</v>
      </c>
      <c r="B5518" s="2">
        <v>44728.0</v>
      </c>
      <c r="C5518" s="3">
        <v>0.3521064814814815</v>
      </c>
      <c r="D5518" s="1">
        <v>12.892327</v>
      </c>
      <c r="E5518" s="1">
        <v>80.085745</v>
      </c>
      <c r="F5518" s="1">
        <v>805.0</v>
      </c>
      <c r="G5518" s="1">
        <v>51.0</v>
      </c>
    </row>
    <row r="5519">
      <c r="A5519" s="1" t="s">
        <v>7</v>
      </c>
      <c r="B5519" s="2">
        <v>44728.0</v>
      </c>
      <c r="C5519" s="3">
        <v>0.35261574074074076</v>
      </c>
      <c r="D5519" s="1">
        <v>12.887045</v>
      </c>
      <c r="E5519" s="1">
        <v>80.083403</v>
      </c>
      <c r="F5519" s="1">
        <v>805.0</v>
      </c>
      <c r="G5519" s="1">
        <v>58.0</v>
      </c>
    </row>
    <row r="5520">
      <c r="A5520" s="1" t="s">
        <v>8</v>
      </c>
      <c r="B5520" s="2">
        <v>44728.0</v>
      </c>
      <c r="C5520" s="3">
        <v>0.352662037037037</v>
      </c>
      <c r="D5520" s="1">
        <v>12.885701</v>
      </c>
      <c r="E5520" s="1">
        <v>80.082819</v>
      </c>
      <c r="F5520" s="1">
        <v>805.0</v>
      </c>
      <c r="G5520" s="1">
        <v>56.0</v>
      </c>
    </row>
    <row r="5521">
      <c r="A5521" s="1" t="s">
        <v>8</v>
      </c>
      <c r="B5521" s="2">
        <v>44728.0</v>
      </c>
      <c r="C5521" s="3">
        <v>0.3526851851851852</v>
      </c>
      <c r="D5521" s="1">
        <v>12.885701</v>
      </c>
      <c r="E5521" s="1">
        <v>80.082819</v>
      </c>
      <c r="F5521" s="1">
        <v>805.0</v>
      </c>
      <c r="G5521" s="1">
        <v>56.0</v>
      </c>
    </row>
    <row r="5522">
      <c r="A5522" s="1" t="s">
        <v>8</v>
      </c>
      <c r="B5522" s="2">
        <v>44728.0</v>
      </c>
      <c r="C5522" s="3">
        <v>0.3529050925925926</v>
      </c>
      <c r="D5522" s="1">
        <v>12.883515</v>
      </c>
      <c r="E5522" s="1">
        <v>80.082083</v>
      </c>
      <c r="F5522" s="1">
        <v>805.0</v>
      </c>
      <c r="G5522" s="1">
        <v>47.0</v>
      </c>
    </row>
    <row r="5523">
      <c r="A5523" s="1" t="s">
        <v>8</v>
      </c>
      <c r="B5523" s="2">
        <v>44728.0</v>
      </c>
      <c r="C5523" s="3">
        <v>0.35291666666666666</v>
      </c>
      <c r="D5523" s="1">
        <v>12.883515</v>
      </c>
      <c r="E5523" s="1">
        <v>80.082083</v>
      </c>
      <c r="F5523" s="1">
        <v>805.0</v>
      </c>
      <c r="G5523" s="1">
        <v>47.0</v>
      </c>
    </row>
    <row r="5524">
      <c r="A5524" s="1" t="s">
        <v>10</v>
      </c>
      <c r="B5524" s="2">
        <v>44728.0</v>
      </c>
      <c r="C5524" s="3">
        <v>0.35530092592592594</v>
      </c>
      <c r="D5524" s="1">
        <v>12.877635</v>
      </c>
      <c r="E5524" s="1">
        <v>80.084558</v>
      </c>
      <c r="F5524" s="1">
        <v>805.0</v>
      </c>
      <c r="G5524" s="1">
        <v>30.0</v>
      </c>
    </row>
    <row r="5525">
      <c r="A5525" s="1" t="s">
        <v>10</v>
      </c>
      <c r="B5525" s="2">
        <v>44728.0</v>
      </c>
      <c r="C5525" s="3">
        <v>0.3815972222222222</v>
      </c>
      <c r="D5525" s="1">
        <v>12.87582</v>
      </c>
      <c r="E5525" s="1">
        <v>80.083774</v>
      </c>
      <c r="F5525" s="1">
        <v>5339.0</v>
      </c>
      <c r="G5525" s="1">
        <v>13.0</v>
      </c>
    </row>
    <row r="5526">
      <c r="A5526" s="1" t="s">
        <v>10</v>
      </c>
      <c r="B5526" s="2">
        <v>44728.0</v>
      </c>
      <c r="C5526" s="3">
        <v>0.38219907407407405</v>
      </c>
      <c r="D5526" s="1">
        <v>12.875019</v>
      </c>
      <c r="E5526" s="1">
        <v>80.084552</v>
      </c>
      <c r="F5526" s="1">
        <v>5339.0</v>
      </c>
      <c r="G5526" s="1">
        <v>14.0</v>
      </c>
    </row>
    <row r="5527">
      <c r="A5527" s="1" t="s">
        <v>7</v>
      </c>
      <c r="B5527" s="2">
        <v>44728.0</v>
      </c>
      <c r="C5527" s="3">
        <v>0.40825231481481483</v>
      </c>
      <c r="D5527" s="1">
        <v>12.875437</v>
      </c>
      <c r="E5527" s="1">
        <v>80.08827</v>
      </c>
      <c r="F5527" s="1">
        <v>5339.0</v>
      </c>
      <c r="G5527" s="1">
        <v>54.0</v>
      </c>
    </row>
    <row r="5528">
      <c r="A5528" s="1" t="s">
        <v>7</v>
      </c>
      <c r="B5528" s="2">
        <v>44728.0</v>
      </c>
      <c r="C5528" s="3">
        <v>0.4085648148148148</v>
      </c>
      <c r="D5528" s="1">
        <v>12.874238</v>
      </c>
      <c r="E5528" s="1">
        <v>80.090879</v>
      </c>
      <c r="F5528" s="1">
        <v>5339.0</v>
      </c>
      <c r="G5528" s="1">
        <v>52.0</v>
      </c>
    </row>
    <row r="5529">
      <c r="A5529" s="1" t="s">
        <v>8</v>
      </c>
      <c r="B5529" s="2">
        <v>44728.0</v>
      </c>
      <c r="C5529" s="3">
        <v>0.4087384259259259</v>
      </c>
      <c r="D5529" s="1">
        <v>12.873337</v>
      </c>
      <c r="E5529" s="1">
        <v>80.093335</v>
      </c>
      <c r="F5529" s="1">
        <v>5339.0</v>
      </c>
      <c r="G5529" s="1">
        <v>53.0</v>
      </c>
    </row>
    <row r="5530">
      <c r="A5530" s="1" t="s">
        <v>7</v>
      </c>
      <c r="B5530" s="2">
        <v>44728.0</v>
      </c>
      <c r="C5530" s="3">
        <v>0.4091087962962963</v>
      </c>
      <c r="D5530" s="1">
        <v>12.872102</v>
      </c>
      <c r="E5530" s="1">
        <v>80.097416</v>
      </c>
      <c r="F5530" s="1">
        <v>5339.0</v>
      </c>
      <c r="G5530" s="1">
        <v>59.0</v>
      </c>
    </row>
    <row r="5531">
      <c r="A5531" s="1" t="s">
        <v>7</v>
      </c>
      <c r="B5531" s="2">
        <v>44728.0</v>
      </c>
      <c r="C5531" s="3">
        <v>0.4113773148148148</v>
      </c>
      <c r="D5531" s="1">
        <v>12.864857</v>
      </c>
      <c r="E5531" s="1">
        <v>80.121504</v>
      </c>
      <c r="F5531" s="1">
        <v>5339.0</v>
      </c>
      <c r="G5531" s="1">
        <v>56.0</v>
      </c>
    </row>
    <row r="5532">
      <c r="A5532" s="1" t="s">
        <v>7</v>
      </c>
      <c r="B5532" s="2">
        <v>44728.0</v>
      </c>
      <c r="C5532" s="3">
        <v>0.41181712962962963</v>
      </c>
      <c r="D5532" s="1">
        <v>12.863313</v>
      </c>
      <c r="E5532" s="1">
        <v>80.1255</v>
      </c>
      <c r="F5532" s="1">
        <v>5339.0</v>
      </c>
      <c r="G5532" s="1">
        <v>55.0</v>
      </c>
    </row>
    <row r="5533">
      <c r="A5533" s="1" t="s">
        <v>7</v>
      </c>
      <c r="B5533" s="2">
        <v>44728.0</v>
      </c>
      <c r="C5533" s="3">
        <v>0.41215277777777776</v>
      </c>
      <c r="D5533" s="1">
        <v>12.861769</v>
      </c>
      <c r="E5533" s="1">
        <v>80.129452</v>
      </c>
      <c r="F5533" s="1">
        <v>5339.0</v>
      </c>
      <c r="G5533" s="1">
        <v>56.0</v>
      </c>
    </row>
    <row r="5534">
      <c r="A5534" s="1" t="s">
        <v>7</v>
      </c>
      <c r="B5534" s="2">
        <v>44728.0</v>
      </c>
      <c r="C5534" s="3">
        <v>0.41408564814814813</v>
      </c>
      <c r="D5534" s="1">
        <v>12.873139</v>
      </c>
      <c r="E5534" s="1">
        <v>80.093837</v>
      </c>
      <c r="F5534" s="1">
        <v>805.0</v>
      </c>
      <c r="G5534" s="1">
        <v>57.0</v>
      </c>
    </row>
    <row r="5535">
      <c r="A5535" s="1" t="s">
        <v>8</v>
      </c>
      <c r="B5535" s="2">
        <v>44728.0</v>
      </c>
      <c r="C5535" s="3">
        <v>0.4148611111111111</v>
      </c>
      <c r="D5535" s="1">
        <v>12.871214</v>
      </c>
      <c r="E5535" s="1">
        <v>80.10325</v>
      </c>
      <c r="F5535" s="1">
        <v>805.0</v>
      </c>
      <c r="G5535" s="1">
        <v>38.0</v>
      </c>
    </row>
    <row r="5536">
      <c r="A5536" s="1" t="s">
        <v>10</v>
      </c>
      <c r="B5536" s="2">
        <v>44728.0</v>
      </c>
      <c r="C5536" s="3">
        <v>0.43190972222222224</v>
      </c>
      <c r="D5536" s="1">
        <v>12.829614</v>
      </c>
      <c r="E5536" s="1">
        <v>80.123286</v>
      </c>
      <c r="F5536" s="1">
        <v>5339.0</v>
      </c>
      <c r="G5536" s="1">
        <v>13.0</v>
      </c>
    </row>
    <row r="5537">
      <c r="A5537" s="1" t="s">
        <v>7</v>
      </c>
      <c r="B5537" s="2">
        <v>44728.0</v>
      </c>
      <c r="C5537" s="3">
        <v>0.44033564814814813</v>
      </c>
      <c r="D5537" s="1">
        <v>12.862354</v>
      </c>
      <c r="E5537" s="1">
        <v>80.127754</v>
      </c>
      <c r="F5537" s="1">
        <v>805.0</v>
      </c>
      <c r="G5537" s="1">
        <v>50.0</v>
      </c>
    </row>
    <row r="5538">
      <c r="A5538" s="1" t="s">
        <v>7</v>
      </c>
      <c r="B5538" s="2">
        <v>44728.0</v>
      </c>
      <c r="C5538" s="3">
        <v>0.44048611111111113</v>
      </c>
      <c r="D5538" s="1">
        <v>12.863099</v>
      </c>
      <c r="E5538" s="1">
        <v>80.12584</v>
      </c>
      <c r="F5538" s="1">
        <v>805.0</v>
      </c>
      <c r="G5538" s="1">
        <v>52.0</v>
      </c>
    </row>
    <row r="5539">
      <c r="A5539" s="1" t="s">
        <v>7</v>
      </c>
      <c r="B5539" s="2">
        <v>44728.0</v>
      </c>
      <c r="C5539" s="3">
        <v>0.444224537037037</v>
      </c>
      <c r="D5539" s="1">
        <v>12.873216</v>
      </c>
      <c r="E5539" s="1">
        <v>80.093384</v>
      </c>
      <c r="F5539" s="1">
        <v>5339.0</v>
      </c>
      <c r="G5539" s="1">
        <v>58.0</v>
      </c>
    </row>
    <row r="5540">
      <c r="A5540" s="1" t="s">
        <v>7</v>
      </c>
      <c r="B5540" s="2">
        <v>44728.0</v>
      </c>
      <c r="C5540" s="3">
        <v>0.44449074074074074</v>
      </c>
      <c r="D5540" s="1">
        <v>12.874045</v>
      </c>
      <c r="E5540" s="1">
        <v>80.091148</v>
      </c>
      <c r="F5540" s="1">
        <v>5339.0</v>
      </c>
      <c r="G5540" s="1">
        <v>54.0</v>
      </c>
    </row>
    <row r="5541">
      <c r="A5541" s="1" t="s">
        <v>7</v>
      </c>
      <c r="B5541" s="2">
        <v>44728.0</v>
      </c>
      <c r="C5541" s="3">
        <v>0.4445138888888889</v>
      </c>
      <c r="D5541" s="1">
        <v>12.873811</v>
      </c>
      <c r="E5541" s="1">
        <v>80.091778</v>
      </c>
      <c r="F5541" s="1">
        <v>805.0</v>
      </c>
      <c r="G5541" s="1">
        <v>57.0</v>
      </c>
    </row>
    <row r="5542">
      <c r="A5542" s="1" t="s">
        <v>10</v>
      </c>
      <c r="B5542" s="2">
        <v>44728.0</v>
      </c>
      <c r="C5542" s="3">
        <v>0.5666203703703704</v>
      </c>
      <c r="D5542" s="1">
        <v>12.875806</v>
      </c>
      <c r="E5542" s="1">
        <v>80.083824</v>
      </c>
      <c r="F5542" s="1">
        <v>2846.0</v>
      </c>
      <c r="G5542" s="1">
        <v>6.0</v>
      </c>
    </row>
    <row r="5543">
      <c r="A5543" s="1" t="s">
        <v>7</v>
      </c>
      <c r="B5543" s="2">
        <v>44728.0</v>
      </c>
      <c r="C5543" s="3">
        <v>0.6041666666666666</v>
      </c>
      <c r="D5543" s="1">
        <v>12.87723</v>
      </c>
      <c r="E5543" s="1">
        <v>80.085508</v>
      </c>
      <c r="F5543" s="1">
        <v>805.0</v>
      </c>
      <c r="G5543" s="1">
        <v>38.0</v>
      </c>
    </row>
    <row r="5544">
      <c r="A5544" s="1" t="s">
        <v>8</v>
      </c>
      <c r="B5544" s="2">
        <v>44728.0</v>
      </c>
      <c r="C5544" s="3">
        <v>0.6050231481481482</v>
      </c>
      <c r="D5544" s="1">
        <v>12.872378</v>
      </c>
      <c r="E5544" s="1">
        <v>80.095958</v>
      </c>
      <c r="F5544" s="1">
        <v>805.0</v>
      </c>
      <c r="G5544" s="1">
        <v>50.0</v>
      </c>
    </row>
    <row r="5545">
      <c r="A5545" s="1" t="s">
        <v>7</v>
      </c>
      <c r="B5545" s="2">
        <v>44728.0</v>
      </c>
      <c r="C5545" s="3">
        <v>0.6052777777777778</v>
      </c>
      <c r="D5545" s="1">
        <v>12.871913</v>
      </c>
      <c r="E5545" s="1">
        <v>80.098812</v>
      </c>
      <c r="F5545" s="1">
        <v>805.0</v>
      </c>
      <c r="G5545" s="1">
        <v>56.0</v>
      </c>
    </row>
    <row r="5546">
      <c r="A5546" s="1" t="s">
        <v>7</v>
      </c>
      <c r="B5546" s="2">
        <v>44728.0</v>
      </c>
      <c r="C5546" s="3">
        <v>0.6058449074074074</v>
      </c>
      <c r="D5546" s="1">
        <v>12.870744</v>
      </c>
      <c r="E5546" s="1">
        <v>80.105814</v>
      </c>
      <c r="F5546" s="1">
        <v>805.0</v>
      </c>
      <c r="G5546" s="1">
        <v>58.0</v>
      </c>
    </row>
    <row r="5547">
      <c r="A5547" s="1" t="s">
        <v>7</v>
      </c>
      <c r="B5547" s="2">
        <v>44728.0</v>
      </c>
      <c r="C5547" s="3">
        <v>0.60625</v>
      </c>
      <c r="D5547" s="1">
        <v>12.869572</v>
      </c>
      <c r="E5547" s="1">
        <v>80.109846</v>
      </c>
      <c r="F5547" s="1">
        <v>805.0</v>
      </c>
      <c r="G5547" s="1">
        <v>58.0</v>
      </c>
    </row>
    <row r="5548">
      <c r="A5548" s="1" t="s">
        <v>7</v>
      </c>
      <c r="B5548" s="2">
        <v>44728.0</v>
      </c>
      <c r="C5548" s="3">
        <v>0.6076388888888888</v>
      </c>
      <c r="D5548" s="1">
        <v>12.863065</v>
      </c>
      <c r="E5548" s="1">
        <v>80.126088</v>
      </c>
      <c r="F5548" s="1">
        <v>805.0</v>
      </c>
      <c r="G5548" s="1">
        <v>57.0</v>
      </c>
    </row>
    <row r="5549">
      <c r="A5549" s="1" t="s">
        <v>10</v>
      </c>
      <c r="B5549" s="2">
        <v>44728.0</v>
      </c>
      <c r="C5549" s="3">
        <v>0.6106134259259259</v>
      </c>
      <c r="D5549" s="1">
        <v>12.847945</v>
      </c>
      <c r="E5549" s="1">
        <v>80.141276</v>
      </c>
      <c r="F5549" s="1">
        <v>805.0</v>
      </c>
      <c r="G5549" s="1">
        <v>26.0</v>
      </c>
    </row>
    <row r="5550">
      <c r="A5550" s="1" t="s">
        <v>8</v>
      </c>
      <c r="B5550" s="2">
        <v>44728.0</v>
      </c>
      <c r="C5550" s="3">
        <v>0.6112847222222222</v>
      </c>
      <c r="D5550" s="1">
        <v>12.844381</v>
      </c>
      <c r="E5550" s="1">
        <v>80.13869</v>
      </c>
      <c r="F5550" s="1">
        <v>805.0</v>
      </c>
      <c r="G5550" s="1">
        <v>32.0</v>
      </c>
    </row>
    <row r="5551">
      <c r="A5551" s="1" t="s">
        <v>10</v>
      </c>
      <c r="B5551" s="2">
        <v>44728.0</v>
      </c>
      <c r="C5551" s="3">
        <v>0.6115393518518518</v>
      </c>
      <c r="D5551" s="1">
        <v>12.843096</v>
      </c>
      <c r="E5551" s="1">
        <v>80.13779</v>
      </c>
      <c r="F5551" s="1">
        <v>805.0</v>
      </c>
      <c r="G5551" s="1">
        <v>40.0</v>
      </c>
    </row>
    <row r="5552">
      <c r="A5552" s="1" t="s">
        <v>8</v>
      </c>
      <c r="B5552" s="2">
        <v>44728.0</v>
      </c>
      <c r="C5552" s="3">
        <v>0.6130208333333333</v>
      </c>
      <c r="D5552" s="1">
        <v>12.833236</v>
      </c>
      <c r="E5552" s="1">
        <v>80.130948</v>
      </c>
      <c r="F5552" s="1">
        <v>805.0</v>
      </c>
      <c r="G5552" s="1">
        <v>40.0</v>
      </c>
    </row>
    <row r="5553">
      <c r="A5553" s="1" t="s">
        <v>8</v>
      </c>
      <c r="B5553" s="2">
        <v>44728.0</v>
      </c>
      <c r="C5553" s="3">
        <v>0.6343055555555556</v>
      </c>
      <c r="D5553" s="1">
        <v>12.83991</v>
      </c>
      <c r="E5553" s="1">
        <v>80.134576</v>
      </c>
      <c r="F5553" s="1">
        <v>805.0</v>
      </c>
      <c r="G5553" s="1">
        <v>48.0</v>
      </c>
    </row>
    <row r="5554">
      <c r="A5554" s="1" t="s">
        <v>8</v>
      </c>
      <c r="B5554" s="2">
        <v>44728.0</v>
      </c>
      <c r="C5554" s="3">
        <v>0.6344444444444445</v>
      </c>
      <c r="D5554" s="1">
        <v>12.840945</v>
      </c>
      <c r="E5554" s="1">
        <v>80.136128</v>
      </c>
      <c r="F5554" s="1">
        <v>805.0</v>
      </c>
      <c r="G5554" s="1">
        <v>33.0</v>
      </c>
    </row>
    <row r="5555">
      <c r="A5555" s="1" t="s">
        <v>8</v>
      </c>
      <c r="B5555" s="2">
        <v>44728.0</v>
      </c>
      <c r="C5555" s="3">
        <v>0.6376041666666666</v>
      </c>
      <c r="D5555" s="1">
        <v>12.851687</v>
      </c>
      <c r="E5555" s="1">
        <v>80.13964</v>
      </c>
      <c r="F5555" s="1">
        <v>805.0</v>
      </c>
      <c r="G5555" s="1">
        <v>22.0</v>
      </c>
    </row>
    <row r="5556">
      <c r="A5556" s="1" t="s">
        <v>8</v>
      </c>
      <c r="B5556" s="2">
        <v>44728.0</v>
      </c>
      <c r="C5556" s="3">
        <v>0.6376273148148148</v>
      </c>
      <c r="D5556" s="1">
        <v>12.851687</v>
      </c>
      <c r="E5556" s="1">
        <v>80.13964</v>
      </c>
      <c r="F5556" s="1">
        <v>805.0</v>
      </c>
      <c r="G5556" s="1">
        <v>22.0</v>
      </c>
    </row>
    <row r="5557">
      <c r="A5557" s="1" t="s">
        <v>8</v>
      </c>
      <c r="B5557" s="2">
        <v>44728.0</v>
      </c>
      <c r="C5557" s="3">
        <v>0.6384953703703704</v>
      </c>
      <c r="D5557" s="1">
        <v>12.857364</v>
      </c>
      <c r="E5557" s="1">
        <v>80.134205</v>
      </c>
      <c r="F5557" s="1">
        <v>805.0</v>
      </c>
      <c r="G5557" s="1">
        <v>47.0</v>
      </c>
    </row>
    <row r="5558">
      <c r="A5558" s="1" t="s">
        <v>8</v>
      </c>
      <c r="B5558" s="2">
        <v>44728.0</v>
      </c>
      <c r="C5558" s="3">
        <v>0.6385995370370371</v>
      </c>
      <c r="D5558" s="1">
        <v>12.858424</v>
      </c>
      <c r="E5558" s="1">
        <v>80.133184</v>
      </c>
      <c r="F5558" s="1">
        <v>805.0</v>
      </c>
      <c r="G5558" s="1">
        <v>41.0</v>
      </c>
    </row>
    <row r="5559">
      <c r="A5559" s="1" t="s">
        <v>8</v>
      </c>
      <c r="B5559" s="2">
        <v>44728.0</v>
      </c>
      <c r="C5559" s="3">
        <v>0.6391319444444444</v>
      </c>
      <c r="D5559" s="1">
        <v>12.860584</v>
      </c>
      <c r="E5559" s="1">
        <v>80.131076</v>
      </c>
      <c r="F5559" s="1">
        <v>805.0</v>
      </c>
      <c r="G5559" s="1">
        <v>25.0</v>
      </c>
    </row>
    <row r="5560">
      <c r="A5560" s="1" t="s">
        <v>8</v>
      </c>
      <c r="B5560" s="2">
        <v>44728.0</v>
      </c>
      <c r="C5560" s="3">
        <v>0.639537037037037</v>
      </c>
      <c r="D5560" s="1">
        <v>12.862653</v>
      </c>
      <c r="E5560" s="1">
        <v>80.1269</v>
      </c>
      <c r="F5560" s="1">
        <v>805.0</v>
      </c>
      <c r="G5560" s="1">
        <v>40.0</v>
      </c>
    </row>
    <row r="5561">
      <c r="A5561" s="1" t="s">
        <v>8</v>
      </c>
      <c r="B5561" s="2">
        <v>44728.0</v>
      </c>
      <c r="C5561" s="3">
        <v>0.6396412037037037</v>
      </c>
      <c r="D5561" s="1">
        <v>12.862653</v>
      </c>
      <c r="E5561" s="1">
        <v>80.1269</v>
      </c>
      <c r="F5561" s="1">
        <v>805.0</v>
      </c>
      <c r="G5561" s="1">
        <v>40.0</v>
      </c>
    </row>
    <row r="5562">
      <c r="A5562" s="1" t="s">
        <v>8</v>
      </c>
      <c r="B5562" s="2">
        <v>44728.0</v>
      </c>
      <c r="C5562" s="3">
        <v>0.6396875</v>
      </c>
      <c r="D5562" s="1">
        <v>12.862653</v>
      </c>
      <c r="E5562" s="1">
        <v>80.1269</v>
      </c>
      <c r="F5562" s="1">
        <v>805.0</v>
      </c>
      <c r="G5562" s="1">
        <v>40.0</v>
      </c>
    </row>
    <row r="5563">
      <c r="A5563" s="1" t="s">
        <v>7</v>
      </c>
      <c r="B5563" s="2">
        <v>44728.0</v>
      </c>
      <c r="C5563" s="3">
        <v>0.6402893518518519</v>
      </c>
      <c r="D5563" s="1">
        <v>12.865595</v>
      </c>
      <c r="E5563" s="1">
        <v>80.119255</v>
      </c>
      <c r="F5563" s="1">
        <v>805.0</v>
      </c>
      <c r="G5563" s="1">
        <v>59.0</v>
      </c>
    </row>
    <row r="5564">
      <c r="A5564" s="1" t="s">
        <v>8</v>
      </c>
      <c r="B5564" s="2">
        <v>44728.0</v>
      </c>
      <c r="C5564" s="3">
        <v>0.6420717592592593</v>
      </c>
      <c r="D5564" s="1">
        <v>12.869901</v>
      </c>
      <c r="E5564" s="1">
        <v>80.108554</v>
      </c>
      <c r="F5564" s="1">
        <v>805.0</v>
      </c>
      <c r="G5564" s="1">
        <v>6.0</v>
      </c>
    </row>
    <row r="5565">
      <c r="A5565" s="1" t="s">
        <v>8</v>
      </c>
      <c r="B5565" s="2">
        <v>44728.0</v>
      </c>
      <c r="C5565" s="3">
        <v>0.6420717592592593</v>
      </c>
      <c r="D5565" s="1">
        <v>12.869901</v>
      </c>
      <c r="E5565" s="1">
        <v>80.108554</v>
      </c>
      <c r="F5565" s="1">
        <v>805.0</v>
      </c>
      <c r="G5565" s="1">
        <v>6.0</v>
      </c>
    </row>
    <row r="5566">
      <c r="A5566" s="1" t="s">
        <v>8</v>
      </c>
      <c r="B5566" s="2">
        <v>44728.0</v>
      </c>
      <c r="C5566" s="3">
        <v>0.6426967592592593</v>
      </c>
      <c r="D5566" s="1">
        <v>12.870888</v>
      </c>
      <c r="E5566" s="1">
        <v>80.104364</v>
      </c>
      <c r="F5566" s="1">
        <v>805.0</v>
      </c>
      <c r="G5566" s="1">
        <v>49.0</v>
      </c>
    </row>
    <row r="5567">
      <c r="A5567" s="1" t="s">
        <v>8</v>
      </c>
      <c r="B5567" s="2">
        <v>44728.0</v>
      </c>
      <c r="C5567" s="3">
        <v>0.6435648148148149</v>
      </c>
      <c r="D5567" s="1">
        <v>12.872622</v>
      </c>
      <c r="E5567" s="1">
        <v>80.09483</v>
      </c>
      <c r="F5567" s="1">
        <v>805.0</v>
      </c>
      <c r="G5567" s="1">
        <v>53.0</v>
      </c>
    </row>
    <row r="5568">
      <c r="A5568" s="1" t="s">
        <v>7</v>
      </c>
      <c r="B5568" s="2">
        <v>44728.0</v>
      </c>
      <c r="C5568" s="3">
        <v>0.6437962962962963</v>
      </c>
      <c r="D5568" s="1">
        <v>12.873386</v>
      </c>
      <c r="E5568" s="1">
        <v>80.092781</v>
      </c>
      <c r="F5568" s="1">
        <v>805.0</v>
      </c>
      <c r="G5568" s="1">
        <v>55.0</v>
      </c>
    </row>
    <row r="5569">
      <c r="A5569" s="1" t="s">
        <v>7</v>
      </c>
      <c r="B5569" s="2">
        <v>44728.0</v>
      </c>
      <c r="C5569" s="3">
        <v>0.6440625</v>
      </c>
      <c r="D5569" s="1">
        <v>12.874158</v>
      </c>
      <c r="E5569" s="1">
        <v>80.09072</v>
      </c>
      <c r="F5569" s="1">
        <v>805.0</v>
      </c>
      <c r="G5569" s="1">
        <v>54.0</v>
      </c>
    </row>
    <row r="5570">
      <c r="A5570" s="1" t="s">
        <v>8</v>
      </c>
      <c r="B5570" s="2">
        <v>44728.0</v>
      </c>
      <c r="C5570" s="3">
        <v>0.6440972222222222</v>
      </c>
      <c r="D5570" s="1">
        <v>12.874158</v>
      </c>
      <c r="E5570" s="1">
        <v>80.09072</v>
      </c>
      <c r="F5570" s="1">
        <v>805.0</v>
      </c>
      <c r="G5570" s="1">
        <v>54.0</v>
      </c>
    </row>
    <row r="5571">
      <c r="A5571" s="1" t="s">
        <v>10</v>
      </c>
      <c r="B5571" s="2">
        <v>44728.0</v>
      </c>
      <c r="C5571" s="3">
        <v>0.6470254629629629</v>
      </c>
      <c r="D5571" s="1">
        <v>12.875174</v>
      </c>
      <c r="E5571" s="1">
        <v>80.084674</v>
      </c>
      <c r="F5571" s="1">
        <v>805.0</v>
      </c>
      <c r="G5571" s="1">
        <v>0.0</v>
      </c>
    </row>
    <row r="5572">
      <c r="A5572" s="1" t="s">
        <v>10</v>
      </c>
      <c r="B5572" s="2">
        <v>44728.0</v>
      </c>
      <c r="C5572" s="3">
        <v>0.6567939814814815</v>
      </c>
      <c r="D5572" s="1">
        <v>12.874174</v>
      </c>
      <c r="E5572" s="1">
        <v>80.08452</v>
      </c>
      <c r="F5572" s="1">
        <v>5339.0</v>
      </c>
      <c r="G5572" s="1">
        <v>20.0</v>
      </c>
    </row>
    <row r="5573">
      <c r="A5573" s="1" t="s">
        <v>10</v>
      </c>
      <c r="B5573" s="2">
        <v>44728.0</v>
      </c>
      <c r="C5573" s="3">
        <v>0.6570601851851852</v>
      </c>
      <c r="D5573" s="1">
        <v>12.874521</v>
      </c>
      <c r="E5573" s="1">
        <v>80.084404</v>
      </c>
      <c r="F5573" s="1">
        <v>5339.0</v>
      </c>
      <c r="G5573" s="1">
        <v>12.0</v>
      </c>
    </row>
    <row r="5574">
      <c r="A5574" s="1" t="s">
        <v>10</v>
      </c>
      <c r="B5574" s="2">
        <v>44728.0</v>
      </c>
      <c r="C5574" s="3">
        <v>0.658599537037037</v>
      </c>
      <c r="D5574" s="1">
        <v>12.875678</v>
      </c>
      <c r="E5574" s="1">
        <v>80.08525</v>
      </c>
      <c r="F5574" s="1">
        <v>805.0</v>
      </c>
      <c r="G5574" s="1">
        <v>21.0</v>
      </c>
    </row>
    <row r="5575">
      <c r="A5575" s="1" t="s">
        <v>10</v>
      </c>
      <c r="B5575" s="2">
        <v>44728.0</v>
      </c>
      <c r="C5575" s="3">
        <v>0.6591203703703704</v>
      </c>
      <c r="D5575" s="1">
        <v>12.87564</v>
      </c>
      <c r="E5575" s="1">
        <v>80.084274</v>
      </c>
      <c r="F5575" s="1">
        <v>805.0</v>
      </c>
      <c r="G5575" s="1">
        <v>6.0</v>
      </c>
    </row>
    <row r="5576">
      <c r="A5576" s="1" t="s">
        <v>10</v>
      </c>
      <c r="B5576" s="2">
        <v>44728.0</v>
      </c>
      <c r="C5576" s="3">
        <v>0.6591782407407407</v>
      </c>
      <c r="D5576" s="1">
        <v>12.87564</v>
      </c>
      <c r="E5576" s="1">
        <v>80.084274</v>
      </c>
      <c r="F5576" s="1">
        <v>805.0</v>
      </c>
      <c r="G5576" s="1">
        <v>6.0</v>
      </c>
    </row>
    <row r="5577">
      <c r="A5577" s="1" t="s">
        <v>10</v>
      </c>
      <c r="B5577" s="2">
        <v>44728.0</v>
      </c>
      <c r="C5577" s="3">
        <v>0.660162037037037</v>
      </c>
      <c r="D5577" s="1">
        <v>12.876085</v>
      </c>
      <c r="E5577" s="1">
        <v>80.083145</v>
      </c>
      <c r="F5577" s="1">
        <v>805.0</v>
      </c>
      <c r="G5577" s="1">
        <v>0.0</v>
      </c>
    </row>
    <row r="5578">
      <c r="A5578" s="1" t="s">
        <v>10</v>
      </c>
      <c r="B5578" s="2">
        <v>44728.0</v>
      </c>
      <c r="C5578" s="3">
        <v>0.6897800925925925</v>
      </c>
      <c r="D5578" s="1">
        <v>12.878712</v>
      </c>
      <c r="E5578" s="1">
        <v>80.081228</v>
      </c>
      <c r="F5578" s="1">
        <v>805.0</v>
      </c>
      <c r="G5578" s="1">
        <v>19.0</v>
      </c>
    </row>
    <row r="5579">
      <c r="A5579" s="1" t="s">
        <v>10</v>
      </c>
      <c r="B5579" s="2">
        <v>44728.0</v>
      </c>
      <c r="C5579" s="3">
        <v>0.6904513888888889</v>
      </c>
      <c r="D5579" s="1">
        <v>12.880981</v>
      </c>
      <c r="E5579" s="1">
        <v>80.080625</v>
      </c>
      <c r="F5579" s="1">
        <v>5339.0</v>
      </c>
      <c r="G5579" s="1">
        <v>19.0</v>
      </c>
    </row>
    <row r="5580">
      <c r="A5580" s="1" t="s">
        <v>9</v>
      </c>
      <c r="B5580" s="2">
        <v>44728.0</v>
      </c>
      <c r="C5580" s="3">
        <v>0.6906365740740741</v>
      </c>
      <c r="D5580" s="1">
        <v>12.881285</v>
      </c>
      <c r="E5580" s="1">
        <v>80.080624</v>
      </c>
      <c r="F5580" s="1">
        <v>805.0</v>
      </c>
      <c r="G5580" s="1">
        <v>23.0</v>
      </c>
    </row>
    <row r="5581">
      <c r="A5581" s="1" t="s">
        <v>9</v>
      </c>
      <c r="B5581" s="2">
        <v>44728.0</v>
      </c>
      <c r="C5581" s="3">
        <v>0.6906712962962963</v>
      </c>
      <c r="D5581" s="1">
        <v>12.881285</v>
      </c>
      <c r="E5581" s="1">
        <v>80.080624</v>
      </c>
      <c r="F5581" s="1">
        <v>805.0</v>
      </c>
      <c r="G5581" s="1">
        <v>23.0</v>
      </c>
    </row>
    <row r="5582">
      <c r="A5582" s="1" t="s">
        <v>7</v>
      </c>
      <c r="B5582" s="2">
        <v>44728.0</v>
      </c>
      <c r="C5582" s="3">
        <v>0.6913078703703703</v>
      </c>
      <c r="D5582" s="1">
        <v>12.887268</v>
      </c>
      <c r="E5582" s="1">
        <v>80.083365</v>
      </c>
      <c r="F5582" s="1">
        <v>5339.0</v>
      </c>
      <c r="G5582" s="1">
        <v>51.0</v>
      </c>
    </row>
    <row r="5583">
      <c r="A5583" s="1" t="s">
        <v>8</v>
      </c>
      <c r="B5583" s="2">
        <v>44728.0</v>
      </c>
      <c r="C5583" s="3">
        <v>0.6913541666666667</v>
      </c>
      <c r="D5583" s="1">
        <v>12.888496</v>
      </c>
      <c r="E5583" s="1">
        <v>80.083857</v>
      </c>
      <c r="F5583" s="1">
        <v>5339.0</v>
      </c>
      <c r="G5583" s="1">
        <v>54.0</v>
      </c>
    </row>
    <row r="5584">
      <c r="A5584" s="1" t="s">
        <v>8</v>
      </c>
      <c r="B5584" s="2">
        <v>44728.0</v>
      </c>
      <c r="C5584" s="3">
        <v>0.691863425925926</v>
      </c>
      <c r="D5584" s="1">
        <v>12.88774</v>
      </c>
      <c r="E5584" s="1">
        <v>80.083483</v>
      </c>
      <c r="F5584" s="1">
        <v>805.0</v>
      </c>
      <c r="G5584" s="1">
        <v>32.0</v>
      </c>
    </row>
    <row r="5585">
      <c r="A5585" s="1" t="s">
        <v>8</v>
      </c>
      <c r="B5585" s="2">
        <v>44728.0</v>
      </c>
      <c r="C5585" s="3">
        <v>0.6919675925925926</v>
      </c>
      <c r="D5585" s="1">
        <v>12.894686</v>
      </c>
      <c r="E5585" s="1">
        <v>80.087383</v>
      </c>
      <c r="F5585" s="1">
        <v>5339.0</v>
      </c>
      <c r="G5585" s="1">
        <v>57.0</v>
      </c>
    </row>
    <row r="5586">
      <c r="A5586" s="1" t="s">
        <v>7</v>
      </c>
      <c r="B5586" s="2">
        <v>44728.0</v>
      </c>
      <c r="C5586" s="3">
        <v>0.6920949074074074</v>
      </c>
      <c r="D5586" s="1">
        <v>12.889291</v>
      </c>
      <c r="E5586" s="1">
        <v>80.084191</v>
      </c>
      <c r="F5586" s="1">
        <v>805.0</v>
      </c>
      <c r="G5586" s="1">
        <v>53.0</v>
      </c>
    </row>
    <row r="5587">
      <c r="A5587" s="1" t="s">
        <v>8</v>
      </c>
      <c r="B5587" s="2">
        <v>44728.0</v>
      </c>
      <c r="C5587" s="3">
        <v>0.6922222222222222</v>
      </c>
      <c r="D5587" s="1">
        <v>12.896953</v>
      </c>
      <c r="E5587" s="1">
        <v>80.089085</v>
      </c>
      <c r="F5587" s="1">
        <v>5339.0</v>
      </c>
      <c r="G5587" s="1">
        <v>43.0</v>
      </c>
    </row>
    <row r="5588">
      <c r="A5588" s="1" t="s">
        <v>7</v>
      </c>
      <c r="B5588" s="2">
        <v>44728.0</v>
      </c>
      <c r="C5588" s="3">
        <v>0.6924074074074074</v>
      </c>
      <c r="D5588" s="1">
        <v>12.891426</v>
      </c>
      <c r="E5588" s="1">
        <v>80.085106</v>
      </c>
      <c r="F5588" s="1">
        <v>805.0</v>
      </c>
      <c r="G5588" s="1">
        <v>57.0</v>
      </c>
    </row>
    <row r="5589">
      <c r="A5589" s="1" t="s">
        <v>7</v>
      </c>
      <c r="B5589" s="2">
        <v>44728.0</v>
      </c>
      <c r="C5589" s="3">
        <v>0.6927199074074074</v>
      </c>
      <c r="D5589" s="1">
        <v>12.895238</v>
      </c>
      <c r="E5589" s="1">
        <v>80.087794</v>
      </c>
      <c r="F5589" s="1">
        <v>805.0</v>
      </c>
      <c r="G5589" s="1">
        <v>58.0</v>
      </c>
    </row>
    <row r="5590">
      <c r="A5590" s="1" t="s">
        <v>7</v>
      </c>
      <c r="B5590" s="2">
        <v>44728.0</v>
      </c>
      <c r="C5590" s="3">
        <v>0.6930787037037037</v>
      </c>
      <c r="D5590" s="1">
        <v>12.874154</v>
      </c>
      <c r="E5590" s="1">
        <v>80.078321</v>
      </c>
      <c r="F5590" s="1">
        <v>2846.0</v>
      </c>
      <c r="G5590" s="1">
        <v>54.0</v>
      </c>
    </row>
    <row r="5591">
      <c r="A5591" s="1" t="s">
        <v>8</v>
      </c>
      <c r="B5591" s="2">
        <v>44728.0</v>
      </c>
      <c r="C5591" s="3">
        <v>0.6931828703703704</v>
      </c>
      <c r="D5591" s="1">
        <v>12.900865</v>
      </c>
      <c r="E5591" s="1">
        <v>80.092005</v>
      </c>
      <c r="F5591" s="1">
        <v>805.0</v>
      </c>
      <c r="G5591" s="1">
        <v>57.0</v>
      </c>
    </row>
    <row r="5592">
      <c r="A5592" s="1" t="s">
        <v>8</v>
      </c>
      <c r="B5592" s="2">
        <v>44728.0</v>
      </c>
      <c r="C5592" s="3">
        <v>0.6932407407407407</v>
      </c>
      <c r="D5592" s="1">
        <v>12.900865</v>
      </c>
      <c r="E5592" s="1">
        <v>80.092005</v>
      </c>
      <c r="F5592" s="1">
        <v>805.0</v>
      </c>
      <c r="G5592" s="1">
        <v>57.0</v>
      </c>
    </row>
    <row r="5593">
      <c r="A5593" s="1" t="s">
        <v>7</v>
      </c>
      <c r="B5593" s="2">
        <v>44728.0</v>
      </c>
      <c r="C5593" s="3">
        <v>0.6935069444444445</v>
      </c>
      <c r="D5593" s="1">
        <v>12.870169</v>
      </c>
      <c r="E5593" s="1">
        <v>80.076729</v>
      </c>
      <c r="F5593" s="1">
        <v>2846.0</v>
      </c>
      <c r="G5593" s="1">
        <v>55.0</v>
      </c>
    </row>
    <row r="5594">
      <c r="A5594" s="1" t="s">
        <v>7</v>
      </c>
      <c r="B5594" s="2">
        <v>44728.0</v>
      </c>
      <c r="C5594" s="3">
        <v>0.6938888888888889</v>
      </c>
      <c r="D5594" s="1">
        <v>12.904421</v>
      </c>
      <c r="E5594" s="1">
        <v>80.094657</v>
      </c>
      <c r="F5594" s="1">
        <v>805.0</v>
      </c>
      <c r="G5594" s="1">
        <v>33.0</v>
      </c>
    </row>
    <row r="5595">
      <c r="A5595" s="1" t="s">
        <v>8</v>
      </c>
      <c r="B5595" s="2">
        <v>44728.0</v>
      </c>
      <c r="C5595" s="3">
        <v>0.6939930555555556</v>
      </c>
      <c r="D5595" s="1">
        <v>12.905623</v>
      </c>
      <c r="E5595" s="1">
        <v>80.095568</v>
      </c>
      <c r="F5595" s="1">
        <v>805.0</v>
      </c>
      <c r="G5595" s="1">
        <v>51.0</v>
      </c>
    </row>
    <row r="5596">
      <c r="A5596" s="1" t="s">
        <v>8</v>
      </c>
      <c r="B5596" s="2">
        <v>44728.0</v>
      </c>
      <c r="C5596" s="3">
        <v>0.6940162037037036</v>
      </c>
      <c r="D5596" s="1">
        <v>12.909214</v>
      </c>
      <c r="E5596" s="1">
        <v>80.098639</v>
      </c>
      <c r="F5596" s="1">
        <v>5339.0</v>
      </c>
      <c r="G5596" s="1">
        <v>26.0</v>
      </c>
    </row>
    <row r="5597">
      <c r="A5597" s="1" t="s">
        <v>8</v>
      </c>
      <c r="B5597" s="2">
        <v>44728.0</v>
      </c>
      <c r="C5597" s="3">
        <v>0.6940856481481481</v>
      </c>
      <c r="D5597" s="1">
        <v>12.907206</v>
      </c>
      <c r="E5597" s="1">
        <v>80.096718</v>
      </c>
      <c r="F5597" s="1">
        <v>805.0</v>
      </c>
      <c r="G5597" s="1">
        <v>41.0</v>
      </c>
    </row>
    <row r="5598">
      <c r="A5598" s="1" t="s">
        <v>8</v>
      </c>
      <c r="B5598" s="2">
        <v>44728.0</v>
      </c>
      <c r="C5598" s="3">
        <v>0.6941087962962963</v>
      </c>
      <c r="D5598" s="1">
        <v>12.909214</v>
      </c>
      <c r="E5598" s="1">
        <v>80.098639</v>
      </c>
      <c r="F5598" s="1">
        <v>5339.0</v>
      </c>
      <c r="G5598" s="1">
        <v>26.0</v>
      </c>
    </row>
    <row r="5599">
      <c r="A5599" s="1" t="s">
        <v>9</v>
      </c>
      <c r="B5599" s="2">
        <v>44728.0</v>
      </c>
      <c r="C5599" s="3">
        <v>0.6942013888888889</v>
      </c>
      <c r="D5599" s="1">
        <v>12.909619</v>
      </c>
      <c r="E5599" s="1">
        <v>80.099295</v>
      </c>
      <c r="F5599" s="1">
        <v>5339.0</v>
      </c>
      <c r="G5599" s="1">
        <v>32.0</v>
      </c>
    </row>
    <row r="5600">
      <c r="A5600" s="1" t="s">
        <v>8</v>
      </c>
      <c r="B5600" s="2">
        <v>44728.0</v>
      </c>
      <c r="C5600" s="3">
        <v>0.6954050925925926</v>
      </c>
      <c r="D5600" s="1">
        <v>12.857203</v>
      </c>
      <c r="E5600" s="1">
        <v>80.070222</v>
      </c>
      <c r="F5600" s="1">
        <v>2846.0</v>
      </c>
      <c r="G5600" s="1">
        <v>43.0</v>
      </c>
    </row>
    <row r="5601">
      <c r="A5601" s="1" t="s">
        <v>8</v>
      </c>
      <c r="B5601" s="2">
        <v>44728.0</v>
      </c>
      <c r="C5601" s="3">
        <v>0.695474537037037</v>
      </c>
      <c r="D5601" s="1">
        <v>12.913077</v>
      </c>
      <c r="E5601" s="1">
        <v>80.101469</v>
      </c>
      <c r="F5601" s="1">
        <v>805.0</v>
      </c>
      <c r="G5601" s="1">
        <v>50.0</v>
      </c>
    </row>
    <row r="5602">
      <c r="A5602" s="1" t="s">
        <v>8</v>
      </c>
      <c r="B5602" s="2">
        <v>44728.0</v>
      </c>
      <c r="C5602" s="3">
        <v>0.6955324074074074</v>
      </c>
      <c r="D5602" s="1">
        <v>12.915874</v>
      </c>
      <c r="E5602" s="1">
        <v>80.104853</v>
      </c>
      <c r="F5602" s="1">
        <v>5339.0</v>
      </c>
      <c r="G5602" s="1">
        <v>49.0</v>
      </c>
    </row>
    <row r="5603">
      <c r="A5603" s="1" t="s">
        <v>8</v>
      </c>
      <c r="B5603" s="2">
        <v>44728.0</v>
      </c>
      <c r="C5603" s="3">
        <v>0.6955671296296296</v>
      </c>
      <c r="D5603" s="1">
        <v>12.915874</v>
      </c>
      <c r="E5603" s="1">
        <v>80.104853</v>
      </c>
      <c r="F5603" s="1">
        <v>5339.0</v>
      </c>
      <c r="G5603" s="1">
        <v>49.0</v>
      </c>
    </row>
    <row r="5604">
      <c r="A5604" s="1" t="s">
        <v>8</v>
      </c>
      <c r="B5604" s="2">
        <v>44728.0</v>
      </c>
      <c r="C5604" s="3">
        <v>0.6956134259259259</v>
      </c>
      <c r="D5604" s="1">
        <v>12.856315</v>
      </c>
      <c r="E5604" s="1">
        <v>80.06955</v>
      </c>
      <c r="F5604" s="1">
        <v>2846.0</v>
      </c>
      <c r="G5604" s="1">
        <v>45.0</v>
      </c>
    </row>
    <row r="5605">
      <c r="A5605" s="1" t="s">
        <v>8</v>
      </c>
      <c r="B5605" s="2">
        <v>44728.0</v>
      </c>
      <c r="C5605" s="3">
        <v>0.6956481481481481</v>
      </c>
      <c r="D5605" s="1">
        <v>12.85538</v>
      </c>
      <c r="E5605" s="1">
        <v>80.068851</v>
      </c>
      <c r="F5605" s="1">
        <v>2846.0</v>
      </c>
      <c r="G5605" s="1">
        <v>44.0</v>
      </c>
    </row>
    <row r="5606">
      <c r="A5606" s="1" t="s">
        <v>8</v>
      </c>
      <c r="B5606" s="2">
        <v>44728.0</v>
      </c>
      <c r="C5606" s="3">
        <v>0.6956597222222223</v>
      </c>
      <c r="D5606" s="1">
        <v>12.914911</v>
      </c>
      <c r="E5606" s="1">
        <v>80.101956</v>
      </c>
      <c r="F5606" s="1">
        <v>805.0</v>
      </c>
      <c r="G5606" s="1">
        <v>52.0</v>
      </c>
    </row>
    <row r="5607">
      <c r="A5607" s="1" t="s">
        <v>8</v>
      </c>
      <c r="B5607" s="2">
        <v>44728.0</v>
      </c>
      <c r="C5607" s="3">
        <v>0.6956944444444444</v>
      </c>
      <c r="D5607" s="1">
        <v>12.85538</v>
      </c>
      <c r="E5607" s="1">
        <v>80.068851</v>
      </c>
      <c r="F5607" s="1">
        <v>2846.0</v>
      </c>
      <c r="G5607" s="1">
        <v>44.0</v>
      </c>
    </row>
    <row r="5608">
      <c r="A5608" s="1" t="s">
        <v>8</v>
      </c>
      <c r="B5608" s="2">
        <v>44728.0</v>
      </c>
      <c r="C5608" s="3">
        <v>0.6959953703703704</v>
      </c>
      <c r="D5608" s="1">
        <v>12.916217</v>
      </c>
      <c r="E5608" s="1">
        <v>80.105602</v>
      </c>
      <c r="F5608" s="1">
        <v>805.0</v>
      </c>
      <c r="G5608" s="1">
        <v>45.0</v>
      </c>
    </row>
    <row r="5609">
      <c r="A5609" s="1" t="s">
        <v>8</v>
      </c>
      <c r="B5609" s="2">
        <v>44728.0</v>
      </c>
      <c r="C5609" s="3">
        <v>0.6961111111111111</v>
      </c>
      <c r="D5609" s="1">
        <v>12.852045</v>
      </c>
      <c r="E5609" s="1">
        <v>80.066403</v>
      </c>
      <c r="F5609" s="1">
        <v>2846.0</v>
      </c>
      <c r="G5609" s="1">
        <v>45.0</v>
      </c>
    </row>
    <row r="5610">
      <c r="A5610" s="1" t="s">
        <v>9</v>
      </c>
      <c r="B5610" s="2">
        <v>44728.0</v>
      </c>
      <c r="C5610" s="3">
        <v>0.6961458333333334</v>
      </c>
      <c r="D5610" s="1">
        <v>12.917035</v>
      </c>
      <c r="E5610" s="1">
        <v>80.107121</v>
      </c>
      <c r="F5610" s="1">
        <v>805.0</v>
      </c>
      <c r="G5610" s="1">
        <v>37.0</v>
      </c>
    </row>
    <row r="5611">
      <c r="A5611" s="1" t="s">
        <v>8</v>
      </c>
      <c r="B5611" s="2">
        <v>44728.0</v>
      </c>
      <c r="C5611" s="3">
        <v>0.6961805555555556</v>
      </c>
      <c r="D5611" s="1">
        <v>12.918639</v>
      </c>
      <c r="E5611" s="1">
        <v>80.109268</v>
      </c>
      <c r="F5611" s="1">
        <v>5339.0</v>
      </c>
      <c r="G5611" s="1">
        <v>46.0</v>
      </c>
    </row>
    <row r="5612">
      <c r="A5612" s="1" t="s">
        <v>8</v>
      </c>
      <c r="B5612" s="2">
        <v>44728.0</v>
      </c>
      <c r="C5612" s="3">
        <v>0.6963541666666667</v>
      </c>
      <c r="D5612" s="1">
        <v>12.917985</v>
      </c>
      <c r="E5612" s="1">
        <v>80.108438</v>
      </c>
      <c r="F5612" s="1">
        <v>805.0</v>
      </c>
      <c r="G5612" s="1">
        <v>37.0</v>
      </c>
    </row>
    <row r="5613">
      <c r="A5613" s="1" t="s">
        <v>7</v>
      </c>
      <c r="B5613" s="2">
        <v>44728.0</v>
      </c>
      <c r="C5613" s="3">
        <v>0.696412037037037</v>
      </c>
      <c r="D5613" s="1">
        <v>12.920041</v>
      </c>
      <c r="E5613" s="1">
        <v>80.111022</v>
      </c>
      <c r="F5613" s="1">
        <v>5339.0</v>
      </c>
      <c r="G5613" s="1">
        <v>45.0</v>
      </c>
    </row>
    <row r="5614">
      <c r="A5614" s="1" t="s">
        <v>8</v>
      </c>
      <c r="B5614" s="2">
        <v>44728.0</v>
      </c>
      <c r="C5614" s="3">
        <v>0.6964467592592593</v>
      </c>
      <c r="D5614" s="1">
        <v>12.917985</v>
      </c>
      <c r="E5614" s="1">
        <v>80.108438</v>
      </c>
      <c r="F5614" s="1">
        <v>805.0</v>
      </c>
      <c r="G5614" s="1">
        <v>37.0</v>
      </c>
    </row>
    <row r="5615">
      <c r="A5615" s="1" t="s">
        <v>8</v>
      </c>
      <c r="B5615" s="2">
        <v>44728.0</v>
      </c>
      <c r="C5615" s="3">
        <v>0.6966087962962964</v>
      </c>
      <c r="D5615" s="1">
        <v>12.91905</v>
      </c>
      <c r="E5615" s="1">
        <v>80.10977</v>
      </c>
      <c r="F5615" s="1">
        <v>805.0</v>
      </c>
      <c r="G5615" s="1">
        <v>41.0</v>
      </c>
    </row>
    <row r="5616">
      <c r="A5616" s="1" t="s">
        <v>7</v>
      </c>
      <c r="B5616" s="2">
        <v>44728.0</v>
      </c>
      <c r="C5616" s="3">
        <v>0.6968055555555556</v>
      </c>
      <c r="D5616" s="1">
        <v>12.919933</v>
      </c>
      <c r="E5616" s="1">
        <v>80.110837</v>
      </c>
      <c r="F5616" s="1">
        <v>805.0</v>
      </c>
      <c r="G5616" s="1">
        <v>40.0</v>
      </c>
    </row>
    <row r="5617">
      <c r="A5617" s="1" t="s">
        <v>8</v>
      </c>
      <c r="B5617" s="2">
        <v>44728.0</v>
      </c>
      <c r="C5617" s="3">
        <v>0.6970486111111112</v>
      </c>
      <c r="D5617" s="1">
        <v>12.922704</v>
      </c>
      <c r="E5617" s="1">
        <v>80.113766</v>
      </c>
      <c r="F5617" s="1">
        <v>805.0</v>
      </c>
      <c r="G5617" s="1">
        <v>39.0</v>
      </c>
    </row>
    <row r="5618">
      <c r="A5618" s="1" t="s">
        <v>8</v>
      </c>
      <c r="B5618" s="2">
        <v>44728.0</v>
      </c>
      <c r="C5618" s="3">
        <v>0.6970601851851852</v>
      </c>
      <c r="D5618" s="1">
        <v>12.923271</v>
      </c>
      <c r="E5618" s="1">
        <v>80.114352</v>
      </c>
      <c r="F5618" s="1">
        <v>5339.0</v>
      </c>
      <c r="G5618" s="1">
        <v>24.0</v>
      </c>
    </row>
    <row r="5619">
      <c r="A5619" s="1" t="s">
        <v>8</v>
      </c>
      <c r="B5619" s="2">
        <v>44728.0</v>
      </c>
      <c r="C5619" s="3">
        <v>0.6972685185185186</v>
      </c>
      <c r="D5619" s="1">
        <v>12.924621</v>
      </c>
      <c r="E5619" s="1">
        <v>80.115707</v>
      </c>
      <c r="F5619" s="1">
        <v>5339.0</v>
      </c>
      <c r="G5619" s="1">
        <v>50.0</v>
      </c>
    </row>
    <row r="5620">
      <c r="A5620" s="1" t="s">
        <v>8</v>
      </c>
      <c r="B5620" s="2">
        <v>44728.0</v>
      </c>
      <c r="C5620" s="3">
        <v>0.6973263888888889</v>
      </c>
      <c r="D5620" s="1">
        <v>12.9236</v>
      </c>
      <c r="E5620" s="1">
        <v>80.114655</v>
      </c>
      <c r="F5620" s="1">
        <v>805.0</v>
      </c>
      <c r="G5620" s="1">
        <v>37.0</v>
      </c>
    </row>
    <row r="5621">
      <c r="A5621" s="1" t="s">
        <v>8</v>
      </c>
      <c r="B5621" s="2">
        <v>44728.0</v>
      </c>
      <c r="C5621" s="3">
        <v>0.6973611111111111</v>
      </c>
      <c r="D5621" s="1">
        <v>12.925446</v>
      </c>
      <c r="E5621" s="1">
        <v>80.116534</v>
      </c>
      <c r="F5621" s="1">
        <v>5339.0</v>
      </c>
      <c r="G5621" s="1">
        <v>46.0</v>
      </c>
    </row>
    <row r="5622">
      <c r="A5622" s="1" t="s">
        <v>8</v>
      </c>
      <c r="B5622" s="2">
        <v>44728.0</v>
      </c>
      <c r="C5622" s="3">
        <v>0.6973842592592593</v>
      </c>
      <c r="D5622" s="1">
        <v>12.925446</v>
      </c>
      <c r="E5622" s="1">
        <v>80.116534</v>
      </c>
      <c r="F5622" s="1">
        <v>5339.0</v>
      </c>
      <c r="G5622" s="1">
        <v>46.0</v>
      </c>
    </row>
    <row r="5623">
      <c r="A5623" s="1" t="s">
        <v>8</v>
      </c>
      <c r="B5623" s="2">
        <v>44728.0</v>
      </c>
      <c r="C5623" s="3">
        <v>0.6974768518518518</v>
      </c>
      <c r="D5623" s="1">
        <v>12.924591</v>
      </c>
      <c r="E5623" s="1">
        <v>80.115669</v>
      </c>
      <c r="F5623" s="1">
        <v>805.0</v>
      </c>
      <c r="G5623" s="1">
        <v>41.0</v>
      </c>
    </row>
    <row r="5624">
      <c r="A5624" s="1" t="s">
        <v>9</v>
      </c>
      <c r="B5624" s="2">
        <v>44728.0</v>
      </c>
      <c r="C5624" s="3">
        <v>0.697488425925926</v>
      </c>
      <c r="D5624" s="1">
        <v>12.926289</v>
      </c>
      <c r="E5624" s="1">
        <v>80.1174</v>
      </c>
      <c r="F5624" s="1">
        <v>5339.0</v>
      </c>
      <c r="G5624" s="1">
        <v>43.0</v>
      </c>
    </row>
    <row r="5625">
      <c r="A5625" s="1" t="s">
        <v>8</v>
      </c>
      <c r="B5625" s="2">
        <v>44728.0</v>
      </c>
      <c r="C5625" s="3">
        <v>0.697662037037037</v>
      </c>
      <c r="D5625" s="1">
        <v>12.926952</v>
      </c>
      <c r="E5625" s="1">
        <v>80.118051</v>
      </c>
      <c r="F5625" s="1">
        <v>5339.0</v>
      </c>
      <c r="G5625" s="1">
        <v>28.0</v>
      </c>
    </row>
    <row r="5626">
      <c r="A5626" s="1" t="s">
        <v>8</v>
      </c>
      <c r="B5626" s="2">
        <v>44728.0</v>
      </c>
      <c r="C5626" s="3">
        <v>0.6977662037037037</v>
      </c>
      <c r="D5626" s="1">
        <v>12.927443</v>
      </c>
      <c r="E5626" s="1">
        <v>80.118562</v>
      </c>
      <c r="F5626" s="1">
        <v>5339.0</v>
      </c>
      <c r="G5626" s="1">
        <v>29.0</v>
      </c>
    </row>
    <row r="5627">
      <c r="A5627" s="1" t="s">
        <v>8</v>
      </c>
      <c r="B5627" s="2">
        <v>44728.0</v>
      </c>
      <c r="C5627" s="3">
        <v>0.6982523148148149</v>
      </c>
      <c r="D5627" s="1">
        <v>12.929775</v>
      </c>
      <c r="E5627" s="1">
        <v>80.12086</v>
      </c>
      <c r="F5627" s="1">
        <v>5339.0</v>
      </c>
      <c r="G5627" s="1">
        <v>36.0</v>
      </c>
    </row>
    <row r="5628">
      <c r="A5628" s="1" t="s">
        <v>8</v>
      </c>
      <c r="B5628" s="2">
        <v>44728.0</v>
      </c>
      <c r="C5628" s="3">
        <v>0.698275462962963</v>
      </c>
      <c r="D5628" s="1">
        <v>12.929775</v>
      </c>
      <c r="E5628" s="1">
        <v>80.12086</v>
      </c>
      <c r="F5628" s="1">
        <v>5339.0</v>
      </c>
      <c r="G5628" s="1">
        <v>36.0</v>
      </c>
    </row>
    <row r="5629">
      <c r="A5629" s="1" t="s">
        <v>8</v>
      </c>
      <c r="B5629" s="2">
        <v>44728.0</v>
      </c>
      <c r="C5629" s="3">
        <v>0.6990625</v>
      </c>
      <c r="D5629" s="1">
        <v>12.930246</v>
      </c>
      <c r="E5629" s="1">
        <v>80.121373</v>
      </c>
      <c r="F5629" s="1">
        <v>805.0</v>
      </c>
      <c r="G5629" s="1">
        <v>33.0</v>
      </c>
    </row>
    <row r="5630">
      <c r="A5630" s="1" t="s">
        <v>8</v>
      </c>
      <c r="B5630" s="2">
        <v>44728.0</v>
      </c>
      <c r="C5630" s="3">
        <v>0.6992476851851852</v>
      </c>
      <c r="D5630" s="1">
        <v>12.931466</v>
      </c>
      <c r="E5630" s="1">
        <v>80.122592</v>
      </c>
      <c r="F5630" s="1">
        <v>805.0</v>
      </c>
      <c r="G5630" s="1">
        <v>51.0</v>
      </c>
    </row>
    <row r="5631">
      <c r="A5631" s="1" t="s">
        <v>7</v>
      </c>
      <c r="B5631" s="2">
        <v>44728.0</v>
      </c>
      <c r="C5631" s="3">
        <v>0.6992708333333333</v>
      </c>
      <c r="D5631" s="1">
        <v>12.840604</v>
      </c>
      <c r="E5631" s="1">
        <v>80.056408</v>
      </c>
      <c r="F5631" s="1">
        <v>2846.0</v>
      </c>
      <c r="G5631" s="1">
        <v>54.0</v>
      </c>
    </row>
    <row r="5632">
      <c r="A5632" s="1" t="s">
        <v>8</v>
      </c>
      <c r="B5632" s="2">
        <v>44728.0</v>
      </c>
      <c r="C5632" s="3">
        <v>0.6993981481481482</v>
      </c>
      <c r="D5632" s="1">
        <v>12.93264</v>
      </c>
      <c r="E5632" s="1">
        <v>80.123741</v>
      </c>
      <c r="F5632" s="1">
        <v>805.0</v>
      </c>
      <c r="G5632" s="1">
        <v>38.0</v>
      </c>
    </row>
    <row r="5633">
      <c r="A5633" s="1" t="s">
        <v>7</v>
      </c>
      <c r="B5633" s="2">
        <v>44728.0</v>
      </c>
      <c r="C5633" s="3">
        <v>0.6995601851851851</v>
      </c>
      <c r="D5633" s="1">
        <v>12.840604</v>
      </c>
      <c r="E5633" s="1">
        <v>80.056408</v>
      </c>
      <c r="F5633" s="1">
        <v>2846.0</v>
      </c>
      <c r="G5633" s="1">
        <v>54.0</v>
      </c>
    </row>
    <row r="5634">
      <c r="A5634" s="1" t="s">
        <v>8</v>
      </c>
      <c r="B5634" s="2">
        <v>44728.0</v>
      </c>
      <c r="C5634" s="3">
        <v>0.6997569444444445</v>
      </c>
      <c r="D5634" s="1">
        <v>12.934972</v>
      </c>
      <c r="E5634" s="1">
        <v>80.125969</v>
      </c>
      <c r="F5634" s="1">
        <v>805.0</v>
      </c>
      <c r="G5634" s="1">
        <v>38.0</v>
      </c>
    </row>
    <row r="5635">
      <c r="A5635" s="1" t="s">
        <v>8</v>
      </c>
      <c r="B5635" s="2">
        <v>44728.0</v>
      </c>
      <c r="C5635" s="3">
        <v>0.6997685185185185</v>
      </c>
      <c r="D5635" s="1">
        <v>12.934972</v>
      </c>
      <c r="E5635" s="1">
        <v>80.125969</v>
      </c>
      <c r="F5635" s="1">
        <v>805.0</v>
      </c>
      <c r="G5635" s="1">
        <v>38.0</v>
      </c>
    </row>
    <row r="5636">
      <c r="A5636" s="1" t="s">
        <v>8</v>
      </c>
      <c r="B5636" s="2">
        <v>44728.0</v>
      </c>
      <c r="C5636" s="3">
        <v>0.6999305555555555</v>
      </c>
      <c r="D5636" s="1">
        <v>12.93572</v>
      </c>
      <c r="E5636" s="1">
        <v>80.126531</v>
      </c>
      <c r="F5636" s="1">
        <v>805.0</v>
      </c>
      <c r="G5636" s="1">
        <v>14.0</v>
      </c>
    </row>
    <row r="5637">
      <c r="A5637" s="1" t="s">
        <v>8</v>
      </c>
      <c r="B5637" s="2">
        <v>44728.0</v>
      </c>
      <c r="C5637" s="3">
        <v>0.6999768518518519</v>
      </c>
      <c r="D5637" s="1">
        <v>12.93572</v>
      </c>
      <c r="E5637" s="1">
        <v>80.126531</v>
      </c>
      <c r="F5637" s="1">
        <v>805.0</v>
      </c>
      <c r="G5637" s="1">
        <v>14.0</v>
      </c>
    </row>
    <row r="5638">
      <c r="A5638" s="1" t="s">
        <v>8</v>
      </c>
      <c r="B5638" s="2">
        <v>44728.0</v>
      </c>
      <c r="C5638" s="3">
        <v>0.6999768518518519</v>
      </c>
      <c r="D5638" s="1">
        <v>12.93572</v>
      </c>
      <c r="E5638" s="1">
        <v>80.126531</v>
      </c>
      <c r="F5638" s="1">
        <v>805.0</v>
      </c>
      <c r="G5638" s="1">
        <v>14.0</v>
      </c>
    </row>
    <row r="5639">
      <c r="A5639" s="1" t="s">
        <v>7</v>
      </c>
      <c r="B5639" s="2">
        <v>44728.0</v>
      </c>
      <c r="C5639" s="3">
        <v>0.7001157407407408</v>
      </c>
      <c r="D5639" s="1">
        <v>12.936136</v>
      </c>
      <c r="E5639" s="1">
        <v>80.126965</v>
      </c>
      <c r="F5639" s="1">
        <v>805.0</v>
      </c>
      <c r="G5639" s="1">
        <v>22.0</v>
      </c>
    </row>
    <row r="5640">
      <c r="A5640" s="1" t="s">
        <v>7</v>
      </c>
      <c r="B5640" s="2">
        <v>44728.0</v>
      </c>
      <c r="C5640" s="3">
        <v>0.700150462962963</v>
      </c>
      <c r="D5640" s="1">
        <v>12.937806</v>
      </c>
      <c r="E5640" s="1">
        <v>80.128494</v>
      </c>
      <c r="F5640" s="1">
        <v>5339.0</v>
      </c>
      <c r="G5640" s="1">
        <v>56.0</v>
      </c>
    </row>
    <row r="5641">
      <c r="A5641" s="1" t="s">
        <v>7</v>
      </c>
      <c r="B5641" s="2">
        <v>44728.0</v>
      </c>
      <c r="C5641" s="3">
        <v>0.7004861111111111</v>
      </c>
      <c r="D5641" s="1">
        <v>12.825802</v>
      </c>
      <c r="E5641" s="1">
        <v>80.040883</v>
      </c>
      <c r="F5641" s="1">
        <v>2846.0</v>
      </c>
      <c r="G5641" s="1">
        <v>51.0</v>
      </c>
    </row>
    <row r="5642">
      <c r="A5642" s="1" t="s">
        <v>8</v>
      </c>
      <c r="B5642" s="2">
        <v>44728.0</v>
      </c>
      <c r="C5642" s="3">
        <v>0.7007638888888889</v>
      </c>
      <c r="D5642" s="1">
        <v>12.941419</v>
      </c>
      <c r="E5642" s="1">
        <v>80.131929</v>
      </c>
      <c r="F5642" s="1">
        <v>805.0</v>
      </c>
      <c r="G5642" s="1">
        <v>58.0</v>
      </c>
    </row>
    <row r="5643">
      <c r="A5643" s="1" t="s">
        <v>7</v>
      </c>
      <c r="B5643" s="2">
        <v>44728.0</v>
      </c>
      <c r="C5643" s="3">
        <v>0.700775462962963</v>
      </c>
      <c r="D5643" s="1">
        <v>12.823511</v>
      </c>
      <c r="E5643" s="1">
        <v>80.039192</v>
      </c>
      <c r="F5643" s="1">
        <v>2846.0</v>
      </c>
      <c r="G5643" s="1">
        <v>59.0</v>
      </c>
    </row>
    <row r="5644">
      <c r="A5644" s="1" t="s">
        <v>7</v>
      </c>
      <c r="B5644" s="2">
        <v>44728.0</v>
      </c>
      <c r="C5644" s="3">
        <v>0.7008796296296296</v>
      </c>
      <c r="D5644" s="1">
        <v>12.942566</v>
      </c>
      <c r="E5644" s="1">
        <v>80.133129</v>
      </c>
      <c r="F5644" s="1">
        <v>805.0</v>
      </c>
      <c r="G5644" s="1">
        <v>30.0</v>
      </c>
    </row>
    <row r="5645">
      <c r="A5645" s="1" t="s">
        <v>8</v>
      </c>
      <c r="B5645" s="2">
        <v>44728.0</v>
      </c>
      <c r="C5645" s="3">
        <v>0.700925925925926</v>
      </c>
      <c r="D5645" s="1">
        <v>12.821167</v>
      </c>
      <c r="E5645" s="1">
        <v>80.037645</v>
      </c>
      <c r="F5645" s="1">
        <v>2846.0</v>
      </c>
      <c r="G5645" s="1">
        <v>51.0</v>
      </c>
    </row>
    <row r="5646">
      <c r="A5646" s="1" t="s">
        <v>8</v>
      </c>
      <c r="B5646" s="2">
        <v>44728.0</v>
      </c>
      <c r="C5646" s="3">
        <v>0.7009722222222222</v>
      </c>
      <c r="D5646" s="1">
        <v>12.943126</v>
      </c>
      <c r="E5646" s="1">
        <v>80.133698</v>
      </c>
      <c r="F5646" s="1">
        <v>5339.0</v>
      </c>
      <c r="G5646" s="1">
        <v>23.0</v>
      </c>
    </row>
    <row r="5647">
      <c r="A5647" s="1" t="s">
        <v>7</v>
      </c>
      <c r="B5647" s="2">
        <v>44728.0</v>
      </c>
      <c r="C5647" s="3">
        <v>0.7012847222222223</v>
      </c>
      <c r="D5647" s="1">
        <v>12.944392</v>
      </c>
      <c r="E5647" s="1">
        <v>80.134774</v>
      </c>
      <c r="F5647" s="1">
        <v>805.0</v>
      </c>
      <c r="G5647" s="1">
        <v>47.0</v>
      </c>
    </row>
    <row r="5648">
      <c r="A5648" s="1" t="s">
        <v>7</v>
      </c>
      <c r="B5648" s="2">
        <v>44728.0</v>
      </c>
      <c r="C5648" s="3">
        <v>0.701412037037037</v>
      </c>
      <c r="D5648" s="1">
        <v>12.945853</v>
      </c>
      <c r="E5648" s="1">
        <v>80.135934</v>
      </c>
      <c r="F5648" s="1">
        <v>5339.0</v>
      </c>
      <c r="G5648" s="1">
        <v>57.0</v>
      </c>
    </row>
    <row r="5649">
      <c r="A5649" s="1" t="s">
        <v>8</v>
      </c>
      <c r="B5649" s="2">
        <v>44728.0</v>
      </c>
      <c r="C5649" s="3">
        <v>0.7019675925925926</v>
      </c>
      <c r="D5649" s="1">
        <v>12.95015</v>
      </c>
      <c r="E5649" s="1">
        <v>80.139182</v>
      </c>
      <c r="F5649" s="1">
        <v>5339.0</v>
      </c>
      <c r="G5649" s="1">
        <v>17.0</v>
      </c>
    </row>
    <row r="5650">
      <c r="A5650" s="1" t="s">
        <v>7</v>
      </c>
      <c r="B5650" s="2">
        <v>44728.0</v>
      </c>
      <c r="C5650" s="3">
        <v>0.7019907407407407</v>
      </c>
      <c r="D5650" s="1">
        <v>12.811677</v>
      </c>
      <c r="E5650" s="1">
        <v>80.031094</v>
      </c>
      <c r="F5650" s="1">
        <v>2846.0</v>
      </c>
      <c r="G5650" s="1">
        <v>59.0</v>
      </c>
    </row>
    <row r="5651">
      <c r="A5651" s="1" t="s">
        <v>8</v>
      </c>
      <c r="B5651" s="2">
        <v>44728.0</v>
      </c>
      <c r="C5651" s="3">
        <v>0.7020833333333333</v>
      </c>
      <c r="D5651" s="1">
        <v>12.950457</v>
      </c>
      <c r="E5651" s="1">
        <v>80.139459</v>
      </c>
      <c r="F5651" s="1">
        <v>805.0</v>
      </c>
      <c r="G5651" s="1">
        <v>22.0</v>
      </c>
    </row>
    <row r="5652">
      <c r="A5652" s="1" t="s">
        <v>8</v>
      </c>
      <c r="B5652" s="2">
        <v>44728.0</v>
      </c>
      <c r="C5652" s="3">
        <v>0.7022569444444444</v>
      </c>
      <c r="D5652" s="1">
        <v>12.951206</v>
      </c>
      <c r="E5652" s="1">
        <v>80.140031</v>
      </c>
      <c r="F5652" s="1">
        <v>805.0</v>
      </c>
      <c r="G5652" s="1">
        <v>25.0</v>
      </c>
    </row>
    <row r="5653">
      <c r="A5653" s="1" t="s">
        <v>8</v>
      </c>
      <c r="B5653" s="2">
        <v>44728.0</v>
      </c>
      <c r="C5653" s="3">
        <v>0.7023379629629629</v>
      </c>
      <c r="D5653" s="1">
        <v>12.951206</v>
      </c>
      <c r="E5653" s="1">
        <v>80.140031</v>
      </c>
      <c r="F5653" s="1">
        <v>805.0</v>
      </c>
      <c r="G5653" s="1">
        <v>25.0</v>
      </c>
    </row>
    <row r="5654">
      <c r="A5654" s="1" t="s">
        <v>8</v>
      </c>
      <c r="B5654" s="2">
        <v>44728.0</v>
      </c>
      <c r="C5654" s="3">
        <v>0.7024652777777778</v>
      </c>
      <c r="D5654" s="1">
        <v>12.954208</v>
      </c>
      <c r="E5654" s="1">
        <v>80.142061</v>
      </c>
      <c r="F5654" s="1">
        <v>5339.0</v>
      </c>
      <c r="G5654" s="1">
        <v>48.0</v>
      </c>
    </row>
    <row r="5655">
      <c r="A5655" s="1" t="s">
        <v>7</v>
      </c>
      <c r="B5655" s="2">
        <v>44728.0</v>
      </c>
      <c r="C5655" s="3">
        <v>0.7026388888888889</v>
      </c>
      <c r="D5655" s="1">
        <v>12.805276</v>
      </c>
      <c r="E5655" s="1">
        <v>80.02697</v>
      </c>
      <c r="F5655" s="1">
        <v>2846.0</v>
      </c>
      <c r="G5655" s="1">
        <v>55.0</v>
      </c>
    </row>
    <row r="5656">
      <c r="A5656" s="1" t="s">
        <v>8</v>
      </c>
      <c r="B5656" s="2">
        <v>44728.0</v>
      </c>
      <c r="C5656" s="3">
        <v>0.7028009259259259</v>
      </c>
      <c r="D5656" s="1">
        <v>12.956238</v>
      </c>
      <c r="E5656" s="1">
        <v>80.143072</v>
      </c>
      <c r="F5656" s="1">
        <v>5339.0</v>
      </c>
      <c r="G5656" s="1">
        <v>43.0</v>
      </c>
    </row>
    <row r="5657">
      <c r="A5657" s="1" t="s">
        <v>8</v>
      </c>
      <c r="B5657" s="2">
        <v>44728.0</v>
      </c>
      <c r="C5657" s="3">
        <v>0.7028472222222222</v>
      </c>
      <c r="D5657" s="1">
        <v>12.957175</v>
      </c>
      <c r="E5657" s="1">
        <v>80.143586</v>
      </c>
      <c r="F5657" s="1">
        <v>5339.0</v>
      </c>
      <c r="G5657" s="1">
        <v>34.0</v>
      </c>
    </row>
    <row r="5658">
      <c r="A5658" s="1" t="s">
        <v>8</v>
      </c>
      <c r="B5658" s="2">
        <v>44728.0</v>
      </c>
      <c r="C5658" s="3">
        <v>0.7028587962962963</v>
      </c>
      <c r="D5658" s="1">
        <v>12.957175</v>
      </c>
      <c r="E5658" s="1">
        <v>80.143586</v>
      </c>
      <c r="F5658" s="1">
        <v>5339.0</v>
      </c>
      <c r="G5658" s="1">
        <v>34.0</v>
      </c>
    </row>
    <row r="5659">
      <c r="A5659" s="1" t="s">
        <v>8</v>
      </c>
      <c r="B5659" s="2">
        <v>44728.0</v>
      </c>
      <c r="C5659" s="3">
        <v>0.7033217592592592</v>
      </c>
      <c r="D5659" s="1">
        <v>12.955946</v>
      </c>
      <c r="E5659" s="1">
        <v>80.142952</v>
      </c>
      <c r="F5659" s="1">
        <v>805.0</v>
      </c>
      <c r="G5659" s="1">
        <v>0.0</v>
      </c>
    </row>
    <row r="5660">
      <c r="A5660" s="1" t="s">
        <v>8</v>
      </c>
      <c r="B5660" s="2">
        <v>44728.0</v>
      </c>
      <c r="C5660" s="3">
        <v>0.7033449074074074</v>
      </c>
      <c r="D5660" s="1">
        <v>12.955946</v>
      </c>
      <c r="E5660" s="1">
        <v>80.142952</v>
      </c>
      <c r="F5660" s="1">
        <v>805.0</v>
      </c>
      <c r="G5660" s="1">
        <v>0.0</v>
      </c>
    </row>
    <row r="5661">
      <c r="A5661" s="1" t="s">
        <v>8</v>
      </c>
      <c r="B5661" s="2">
        <v>44728.0</v>
      </c>
      <c r="C5661" s="3">
        <v>0.7033449074074074</v>
      </c>
      <c r="D5661" s="1">
        <v>12.955946</v>
      </c>
      <c r="E5661" s="1">
        <v>80.142952</v>
      </c>
      <c r="F5661" s="1">
        <v>805.0</v>
      </c>
      <c r="G5661" s="1">
        <v>0.0</v>
      </c>
    </row>
    <row r="5662">
      <c r="A5662" s="1" t="s">
        <v>8</v>
      </c>
      <c r="B5662" s="2">
        <v>44728.0</v>
      </c>
      <c r="C5662" s="3">
        <v>0.7035763888888888</v>
      </c>
      <c r="D5662" s="1">
        <v>12.80053</v>
      </c>
      <c r="E5662" s="1">
        <v>80.023838</v>
      </c>
      <c r="F5662" s="1">
        <v>2846.0</v>
      </c>
      <c r="G5662" s="1">
        <v>46.0</v>
      </c>
    </row>
    <row r="5663">
      <c r="A5663" s="1" t="s">
        <v>9</v>
      </c>
      <c r="B5663" s="2">
        <v>44728.0</v>
      </c>
      <c r="C5663" s="3">
        <v>0.7037962962962963</v>
      </c>
      <c r="D5663" s="1">
        <v>12.956395</v>
      </c>
      <c r="E5663" s="1">
        <v>80.143222</v>
      </c>
      <c r="F5663" s="1">
        <v>805.0</v>
      </c>
      <c r="G5663" s="1">
        <v>26.0</v>
      </c>
    </row>
    <row r="5664">
      <c r="A5664" s="1" t="s">
        <v>8</v>
      </c>
      <c r="B5664" s="2">
        <v>44728.0</v>
      </c>
      <c r="C5664" s="3">
        <v>0.7040856481481481</v>
      </c>
      <c r="D5664" s="1">
        <v>12.796187</v>
      </c>
      <c r="E5664" s="1">
        <v>80.021017</v>
      </c>
      <c r="F5664" s="1">
        <v>2846.0</v>
      </c>
      <c r="G5664" s="1">
        <v>55.0</v>
      </c>
    </row>
    <row r="5665">
      <c r="A5665" s="1" t="s">
        <v>8</v>
      </c>
      <c r="B5665" s="2">
        <v>44728.0</v>
      </c>
      <c r="C5665" s="3">
        <v>0.7043055555555555</v>
      </c>
      <c r="D5665" s="1">
        <v>12.960211</v>
      </c>
      <c r="E5665" s="1">
        <v>80.145074</v>
      </c>
      <c r="F5665" s="1">
        <v>805.0</v>
      </c>
      <c r="G5665" s="1">
        <v>23.0</v>
      </c>
    </row>
    <row r="5666">
      <c r="A5666" s="1" t="s">
        <v>7</v>
      </c>
      <c r="B5666" s="2">
        <v>44728.0</v>
      </c>
      <c r="C5666" s="3">
        <v>0.7044097222222222</v>
      </c>
      <c r="D5666" s="1">
        <v>12.965749</v>
      </c>
      <c r="E5666" s="1">
        <v>80.148309</v>
      </c>
      <c r="F5666" s="1">
        <v>5339.0</v>
      </c>
      <c r="G5666" s="1">
        <v>52.0</v>
      </c>
    </row>
    <row r="5667">
      <c r="A5667" s="1" t="s">
        <v>7</v>
      </c>
      <c r="B5667" s="2">
        <v>44728.0</v>
      </c>
      <c r="C5667" s="3">
        <v>0.7045138888888889</v>
      </c>
      <c r="D5667" s="1">
        <v>12.792416</v>
      </c>
      <c r="E5667" s="1">
        <v>80.018537</v>
      </c>
      <c r="F5667" s="1">
        <v>2846.0</v>
      </c>
      <c r="G5667" s="1">
        <v>55.0</v>
      </c>
    </row>
    <row r="5668">
      <c r="A5668" s="1" t="s">
        <v>8</v>
      </c>
      <c r="B5668" s="2">
        <v>44728.0</v>
      </c>
      <c r="C5668" s="3">
        <v>0.7046990740740741</v>
      </c>
      <c r="D5668" s="1">
        <v>12.96947</v>
      </c>
      <c r="E5668" s="1">
        <v>80.150071</v>
      </c>
      <c r="F5668" s="1">
        <v>5339.0</v>
      </c>
      <c r="G5668" s="1">
        <v>54.0</v>
      </c>
    </row>
    <row r="5669">
      <c r="A5669" s="1" t="s">
        <v>8</v>
      </c>
      <c r="B5669" s="2">
        <v>44728.0</v>
      </c>
      <c r="C5669" s="3">
        <v>0.7048148148148148</v>
      </c>
      <c r="D5669" s="1">
        <v>12.790378</v>
      </c>
      <c r="E5669" s="1">
        <v>80.017269</v>
      </c>
      <c r="F5669" s="1">
        <v>2846.0</v>
      </c>
      <c r="G5669" s="1">
        <v>46.0</v>
      </c>
    </row>
    <row r="5670">
      <c r="A5670" s="1" t="s">
        <v>7</v>
      </c>
      <c r="B5670" s="2">
        <v>44728.0</v>
      </c>
      <c r="C5670" s="3">
        <v>0.7050578703703704</v>
      </c>
      <c r="D5670" s="1">
        <v>12.965982</v>
      </c>
      <c r="E5670" s="1">
        <v>80.148429</v>
      </c>
      <c r="F5670" s="1">
        <v>805.0</v>
      </c>
      <c r="G5670" s="1">
        <v>59.0</v>
      </c>
    </row>
    <row r="5671">
      <c r="A5671" s="1" t="s">
        <v>8</v>
      </c>
      <c r="B5671" s="2">
        <v>44728.0</v>
      </c>
      <c r="C5671" s="3">
        <v>0.7053472222222222</v>
      </c>
      <c r="D5671" s="1">
        <v>12.786034</v>
      </c>
      <c r="E5671" s="1">
        <v>80.01464</v>
      </c>
      <c r="F5671" s="1">
        <v>2846.0</v>
      </c>
      <c r="G5671" s="1">
        <v>39.0</v>
      </c>
    </row>
    <row r="5672">
      <c r="A5672" s="1" t="s">
        <v>8</v>
      </c>
      <c r="B5672" s="2">
        <v>44728.0</v>
      </c>
      <c r="C5672" s="3">
        <v>0.7054050925925925</v>
      </c>
      <c r="D5672" s="1">
        <v>12.974953</v>
      </c>
      <c r="E5672" s="1">
        <v>80.155483</v>
      </c>
      <c r="F5672" s="1">
        <v>5339.0</v>
      </c>
      <c r="G5672" s="1">
        <v>42.0</v>
      </c>
    </row>
    <row r="5673">
      <c r="A5673" s="1" t="s">
        <v>7</v>
      </c>
      <c r="B5673" s="2">
        <v>44728.0</v>
      </c>
      <c r="C5673" s="3">
        <v>0.7054398148148148</v>
      </c>
      <c r="D5673" s="1">
        <v>12.970242</v>
      </c>
      <c r="E5673" s="1">
        <v>80.15045</v>
      </c>
      <c r="F5673" s="1">
        <v>805.0</v>
      </c>
      <c r="G5673" s="1">
        <v>58.0</v>
      </c>
    </row>
    <row r="5674">
      <c r="A5674" s="1" t="s">
        <v>7</v>
      </c>
      <c r="B5674" s="2">
        <v>44728.0</v>
      </c>
      <c r="C5674" s="3">
        <v>0.7054976851851852</v>
      </c>
      <c r="D5674" s="1">
        <v>12.78502</v>
      </c>
      <c r="E5674" s="1">
        <v>80.014103</v>
      </c>
      <c r="F5674" s="1">
        <v>2846.0</v>
      </c>
      <c r="G5674" s="1">
        <v>49.0</v>
      </c>
    </row>
    <row r="5675">
      <c r="A5675" s="1" t="s">
        <v>7</v>
      </c>
      <c r="B5675" s="2">
        <v>44728.0</v>
      </c>
      <c r="C5675" s="3">
        <v>0.7055555555555556</v>
      </c>
      <c r="D5675" s="1">
        <v>12.783787</v>
      </c>
      <c r="E5675" s="1">
        <v>80.013494</v>
      </c>
      <c r="F5675" s="1">
        <v>2846.0</v>
      </c>
      <c r="G5675" s="1">
        <v>58.0</v>
      </c>
    </row>
    <row r="5676">
      <c r="A5676" s="1" t="s">
        <v>8</v>
      </c>
      <c r="B5676" s="2">
        <v>44728.0</v>
      </c>
      <c r="C5676" s="3">
        <v>0.7055787037037037</v>
      </c>
      <c r="D5676" s="1">
        <v>12.976207</v>
      </c>
      <c r="E5676" s="1">
        <v>80.157287</v>
      </c>
      <c r="F5676" s="1">
        <v>5339.0</v>
      </c>
      <c r="G5676" s="1">
        <v>48.0</v>
      </c>
    </row>
    <row r="5677">
      <c r="A5677" s="1" t="s">
        <v>8</v>
      </c>
      <c r="B5677" s="2">
        <v>44728.0</v>
      </c>
      <c r="C5677" s="3">
        <v>0.7056481481481481</v>
      </c>
      <c r="D5677" s="1">
        <v>12.970242</v>
      </c>
      <c r="E5677" s="1">
        <v>80.15045</v>
      </c>
      <c r="F5677" s="1">
        <v>805.0</v>
      </c>
      <c r="G5677" s="1">
        <v>58.0</v>
      </c>
    </row>
    <row r="5678">
      <c r="A5678" s="1" t="s">
        <v>8</v>
      </c>
      <c r="B5678" s="2">
        <v>44728.0</v>
      </c>
      <c r="C5678" s="3">
        <v>0.7057175925925926</v>
      </c>
      <c r="D5678" s="1">
        <v>12.976832</v>
      </c>
      <c r="E5678" s="1">
        <v>80.158226</v>
      </c>
      <c r="F5678" s="1">
        <v>5339.0</v>
      </c>
      <c r="G5678" s="1">
        <v>43.0</v>
      </c>
    </row>
    <row r="5679">
      <c r="A5679" s="1" t="s">
        <v>8</v>
      </c>
      <c r="B5679" s="2">
        <v>44728.0</v>
      </c>
      <c r="C5679" s="3">
        <v>0.7058333333333333</v>
      </c>
      <c r="D5679" s="1">
        <v>12.977523</v>
      </c>
      <c r="E5679" s="1">
        <v>80.159315</v>
      </c>
      <c r="F5679" s="1">
        <v>5339.0</v>
      </c>
      <c r="G5679" s="1">
        <v>57.0</v>
      </c>
    </row>
    <row r="5680">
      <c r="A5680" s="1" t="s">
        <v>8</v>
      </c>
      <c r="B5680" s="2">
        <v>44728.0</v>
      </c>
      <c r="C5680" s="3">
        <v>0.705925925925926</v>
      </c>
      <c r="D5680" s="1">
        <v>12.973651</v>
      </c>
      <c r="E5680" s="1">
        <v>80.153538</v>
      </c>
      <c r="F5680" s="1">
        <v>805.0</v>
      </c>
      <c r="G5680" s="1">
        <v>59.0</v>
      </c>
    </row>
    <row r="5681">
      <c r="A5681" s="1" t="s">
        <v>7</v>
      </c>
      <c r="B5681" s="2">
        <v>44728.0</v>
      </c>
      <c r="C5681" s="3">
        <v>0.705925925925926</v>
      </c>
      <c r="D5681" s="1">
        <v>12.779768</v>
      </c>
      <c r="E5681" s="1">
        <v>80.011667</v>
      </c>
      <c r="F5681" s="1">
        <v>2846.0</v>
      </c>
      <c r="G5681" s="1">
        <v>58.0</v>
      </c>
    </row>
    <row r="5682">
      <c r="A5682" s="1" t="s">
        <v>8</v>
      </c>
      <c r="B5682" s="2">
        <v>44728.0</v>
      </c>
      <c r="C5682" s="3">
        <v>0.7059837962962963</v>
      </c>
      <c r="D5682" s="1">
        <v>12.978383</v>
      </c>
      <c r="E5682" s="1">
        <v>80.160544</v>
      </c>
      <c r="F5682" s="1">
        <v>5339.0</v>
      </c>
      <c r="G5682" s="1">
        <v>57.0</v>
      </c>
    </row>
    <row r="5683">
      <c r="A5683" s="1" t="s">
        <v>8</v>
      </c>
      <c r="B5683" s="2">
        <v>44728.0</v>
      </c>
      <c r="C5683" s="3">
        <v>0.7060416666666667</v>
      </c>
      <c r="D5683" s="1">
        <v>12.979228</v>
      </c>
      <c r="E5683" s="1">
        <v>80.161717</v>
      </c>
      <c r="F5683" s="1">
        <v>5339.0</v>
      </c>
      <c r="G5683" s="1">
        <v>55.0</v>
      </c>
    </row>
    <row r="5684">
      <c r="A5684" s="1" t="s">
        <v>7</v>
      </c>
      <c r="B5684" s="2">
        <v>44728.0</v>
      </c>
      <c r="C5684" s="3">
        <v>0.706087962962963</v>
      </c>
      <c r="D5684" s="1">
        <v>12.778429</v>
      </c>
      <c r="E5684" s="1">
        <v>80.0111</v>
      </c>
      <c r="F5684" s="1">
        <v>2846.0</v>
      </c>
      <c r="G5684" s="1">
        <v>58.0</v>
      </c>
    </row>
    <row r="5685">
      <c r="A5685" s="1" t="s">
        <v>8</v>
      </c>
      <c r="B5685" s="2">
        <v>44728.0</v>
      </c>
      <c r="C5685" s="3">
        <v>0.706099537037037</v>
      </c>
      <c r="D5685" s="1">
        <v>12.979228</v>
      </c>
      <c r="E5685" s="1">
        <v>80.161717</v>
      </c>
      <c r="F5685" s="1">
        <v>5339.0</v>
      </c>
      <c r="G5685" s="1">
        <v>55.0</v>
      </c>
    </row>
    <row r="5686">
      <c r="A5686" s="1" t="s">
        <v>8</v>
      </c>
      <c r="B5686" s="2">
        <v>44728.0</v>
      </c>
      <c r="C5686" s="3">
        <v>0.7062615740740741</v>
      </c>
      <c r="D5686" s="1">
        <v>12.976309</v>
      </c>
      <c r="E5686" s="1">
        <v>80.157399</v>
      </c>
      <c r="F5686" s="1">
        <v>805.0</v>
      </c>
      <c r="G5686" s="1">
        <v>48.0</v>
      </c>
    </row>
    <row r="5687">
      <c r="A5687" s="1" t="s">
        <v>8</v>
      </c>
      <c r="B5687" s="2">
        <v>44728.0</v>
      </c>
      <c r="C5687" s="3">
        <v>0.7063657407407408</v>
      </c>
      <c r="D5687" s="1">
        <v>12.77442</v>
      </c>
      <c r="E5687" s="1">
        <v>80.009341</v>
      </c>
      <c r="F5687" s="1">
        <v>2846.0</v>
      </c>
      <c r="G5687" s="1">
        <v>57.0</v>
      </c>
    </row>
    <row r="5688">
      <c r="A5688" s="1" t="s">
        <v>8</v>
      </c>
      <c r="B5688" s="2">
        <v>44728.0</v>
      </c>
      <c r="C5688" s="3">
        <v>0.7065625</v>
      </c>
      <c r="D5688" s="1">
        <v>12.981669</v>
      </c>
      <c r="E5688" s="1">
        <v>80.166957</v>
      </c>
      <c r="F5688" s="1">
        <v>5339.0</v>
      </c>
      <c r="G5688" s="1">
        <v>57.0</v>
      </c>
    </row>
    <row r="5689">
      <c r="A5689" s="1" t="s">
        <v>8</v>
      </c>
      <c r="B5689" s="2">
        <v>44728.0</v>
      </c>
      <c r="C5689" s="3">
        <v>0.7065972222222222</v>
      </c>
      <c r="D5689" s="1">
        <v>12.978749</v>
      </c>
      <c r="E5689" s="1">
        <v>80.16098</v>
      </c>
      <c r="F5689" s="1">
        <v>805.0</v>
      </c>
      <c r="G5689" s="1">
        <v>50.0</v>
      </c>
    </row>
    <row r="5690">
      <c r="A5690" s="1" t="s">
        <v>7</v>
      </c>
      <c r="B5690" s="2">
        <v>44728.0</v>
      </c>
      <c r="C5690" s="3">
        <v>0.7067592592592593</v>
      </c>
      <c r="D5690" s="1">
        <v>12.770725</v>
      </c>
      <c r="E5690" s="1">
        <v>80.007644</v>
      </c>
      <c r="F5690" s="1">
        <v>2846.0</v>
      </c>
      <c r="G5690" s="1">
        <v>52.0</v>
      </c>
    </row>
    <row r="5691">
      <c r="A5691" s="1" t="s">
        <v>7</v>
      </c>
      <c r="B5691" s="2">
        <v>44728.0</v>
      </c>
      <c r="C5691" s="3">
        <v>0.7068171296296296</v>
      </c>
      <c r="D5691" s="1">
        <v>12.983162</v>
      </c>
      <c r="E5691" s="1">
        <v>80.169553</v>
      </c>
      <c r="F5691" s="1">
        <v>5339.0</v>
      </c>
      <c r="G5691" s="1">
        <v>62.0</v>
      </c>
    </row>
    <row r="5692">
      <c r="A5692" s="1" t="s">
        <v>7</v>
      </c>
      <c r="B5692" s="2">
        <v>44728.0</v>
      </c>
      <c r="C5692" s="3">
        <v>0.7069907407407408</v>
      </c>
      <c r="D5692" s="1">
        <v>12.984808</v>
      </c>
      <c r="E5692" s="1">
        <v>80.172184</v>
      </c>
      <c r="F5692" s="1">
        <v>5339.0</v>
      </c>
      <c r="G5692" s="1">
        <v>52.0</v>
      </c>
    </row>
    <row r="5693">
      <c r="A5693" s="1" t="s">
        <v>7</v>
      </c>
      <c r="B5693" s="2">
        <v>44728.0</v>
      </c>
      <c r="C5693" s="3">
        <v>0.7070138888888889</v>
      </c>
      <c r="D5693" s="1">
        <v>12.768243</v>
      </c>
      <c r="E5693" s="1">
        <v>80.006366</v>
      </c>
      <c r="F5693" s="1">
        <v>2846.0</v>
      </c>
      <c r="G5693" s="1">
        <v>58.0</v>
      </c>
    </row>
    <row r="5694">
      <c r="A5694" s="1" t="s">
        <v>7</v>
      </c>
      <c r="B5694" s="2">
        <v>44728.0</v>
      </c>
      <c r="C5694" s="3">
        <v>0.7070949074074074</v>
      </c>
      <c r="D5694" s="1">
        <v>12.766919</v>
      </c>
      <c r="E5694" s="1">
        <v>80.005752</v>
      </c>
      <c r="F5694" s="1">
        <v>2846.0</v>
      </c>
      <c r="G5694" s="1">
        <v>57.0</v>
      </c>
    </row>
    <row r="5695">
      <c r="A5695" s="1" t="s">
        <v>7</v>
      </c>
      <c r="B5695" s="2">
        <v>44728.0</v>
      </c>
      <c r="C5695" s="3">
        <v>0.7071064814814815</v>
      </c>
      <c r="D5695" s="1">
        <v>12.981403</v>
      </c>
      <c r="E5695" s="1">
        <v>80.166498</v>
      </c>
      <c r="F5695" s="1">
        <v>805.0</v>
      </c>
      <c r="G5695" s="1">
        <v>55.0</v>
      </c>
    </row>
    <row r="5696">
      <c r="A5696" s="1" t="s">
        <v>8</v>
      </c>
      <c r="B5696" s="2">
        <v>44728.0</v>
      </c>
      <c r="C5696" s="3">
        <v>0.7071180555555555</v>
      </c>
      <c r="D5696" s="1">
        <v>12.985524</v>
      </c>
      <c r="E5696" s="1">
        <v>80.173282</v>
      </c>
      <c r="F5696" s="1">
        <v>5339.0</v>
      </c>
      <c r="G5696" s="1">
        <v>49.0</v>
      </c>
    </row>
    <row r="5697">
      <c r="A5697" s="1" t="s">
        <v>8</v>
      </c>
      <c r="B5697" s="2">
        <v>44728.0</v>
      </c>
      <c r="C5697" s="3">
        <v>0.7071875</v>
      </c>
      <c r="D5697" s="1">
        <v>12.981403</v>
      </c>
      <c r="E5697" s="1">
        <v>80.166498</v>
      </c>
      <c r="F5697" s="1">
        <v>805.0</v>
      </c>
      <c r="G5697" s="1">
        <v>55.0</v>
      </c>
    </row>
    <row r="5698">
      <c r="A5698" s="1" t="s">
        <v>8</v>
      </c>
      <c r="B5698" s="2">
        <v>44728.0</v>
      </c>
      <c r="C5698" s="3">
        <v>0.7074074074074074</v>
      </c>
      <c r="D5698" s="1">
        <v>12.986659</v>
      </c>
      <c r="E5698" s="1">
        <v>80.174946</v>
      </c>
      <c r="F5698" s="1">
        <v>5339.0</v>
      </c>
      <c r="G5698" s="1">
        <v>34.0</v>
      </c>
    </row>
    <row r="5699">
      <c r="A5699" s="1" t="s">
        <v>8</v>
      </c>
      <c r="B5699" s="2">
        <v>44728.0</v>
      </c>
      <c r="C5699" s="3">
        <v>0.7078356481481481</v>
      </c>
      <c r="D5699" s="1">
        <v>12.987962</v>
      </c>
      <c r="E5699" s="1">
        <v>80.176694</v>
      </c>
      <c r="F5699" s="1">
        <v>5339.0</v>
      </c>
      <c r="G5699" s="1">
        <v>31.0</v>
      </c>
    </row>
    <row r="5700">
      <c r="A5700" s="1" t="s">
        <v>10</v>
      </c>
      <c r="B5700" s="2">
        <v>44728.0</v>
      </c>
      <c r="C5700" s="3">
        <v>0.7078356481481481</v>
      </c>
      <c r="D5700" s="1">
        <v>12.761639</v>
      </c>
      <c r="E5700" s="1">
        <v>80.00377</v>
      </c>
      <c r="F5700" s="1">
        <v>2846.0</v>
      </c>
      <c r="G5700" s="1">
        <v>22.0</v>
      </c>
    </row>
    <row r="5701">
      <c r="A5701" s="1" t="s">
        <v>10</v>
      </c>
      <c r="B5701" s="2">
        <v>44728.0</v>
      </c>
      <c r="C5701" s="3">
        <v>0.7080208333333333</v>
      </c>
      <c r="D5701" s="1">
        <v>12.760494</v>
      </c>
      <c r="E5701" s="1">
        <v>80.003494</v>
      </c>
      <c r="F5701" s="1">
        <v>2846.0</v>
      </c>
      <c r="G5701" s="1">
        <v>14.0</v>
      </c>
    </row>
    <row r="5702">
      <c r="A5702" s="1" t="s">
        <v>8</v>
      </c>
      <c r="B5702" s="2">
        <v>44728.0</v>
      </c>
      <c r="C5702" s="3">
        <v>0.7083217592592592</v>
      </c>
      <c r="D5702" s="1">
        <v>12.989749</v>
      </c>
      <c r="E5702" s="1">
        <v>80.179063</v>
      </c>
      <c r="F5702" s="1">
        <v>5339.0</v>
      </c>
      <c r="G5702" s="1">
        <v>32.0</v>
      </c>
    </row>
    <row r="5703">
      <c r="A5703" s="1" t="s">
        <v>8</v>
      </c>
      <c r="B5703" s="2">
        <v>44728.0</v>
      </c>
      <c r="C5703" s="3">
        <v>0.7085300925925926</v>
      </c>
      <c r="D5703" s="1">
        <v>12.990996</v>
      </c>
      <c r="E5703" s="1">
        <v>80.180725</v>
      </c>
      <c r="F5703" s="1">
        <v>5339.0</v>
      </c>
      <c r="G5703" s="1">
        <v>41.0</v>
      </c>
    </row>
    <row r="5704">
      <c r="A5704" s="1" t="s">
        <v>8</v>
      </c>
      <c r="B5704" s="2">
        <v>44728.0</v>
      </c>
      <c r="C5704" s="3">
        <v>0.7085763888888889</v>
      </c>
      <c r="D5704" s="1">
        <v>12.990996</v>
      </c>
      <c r="E5704" s="1">
        <v>80.180725</v>
      </c>
      <c r="F5704" s="1">
        <v>5339.0</v>
      </c>
      <c r="G5704" s="1">
        <v>41.0</v>
      </c>
    </row>
    <row r="5705">
      <c r="A5705" s="1" t="s">
        <v>8</v>
      </c>
      <c r="B5705" s="2">
        <v>44728.0</v>
      </c>
      <c r="C5705" s="3">
        <v>0.7086226851851852</v>
      </c>
      <c r="D5705" s="1">
        <v>12.991608</v>
      </c>
      <c r="E5705" s="1">
        <v>80.181512</v>
      </c>
      <c r="F5705" s="1">
        <v>5339.0</v>
      </c>
      <c r="G5705" s="1">
        <v>40.0</v>
      </c>
    </row>
    <row r="5706">
      <c r="A5706" s="1" t="s">
        <v>8</v>
      </c>
      <c r="B5706" s="2">
        <v>44728.0</v>
      </c>
      <c r="C5706" s="3">
        <v>0.7086342592592593</v>
      </c>
      <c r="D5706" s="1">
        <v>12.987214</v>
      </c>
      <c r="E5706" s="1">
        <v>80.175736</v>
      </c>
      <c r="F5706" s="1">
        <v>805.0</v>
      </c>
      <c r="G5706" s="1">
        <v>35.0</v>
      </c>
    </row>
    <row r="5707">
      <c r="A5707" s="1" t="s">
        <v>8</v>
      </c>
      <c r="B5707" s="2">
        <v>44728.0</v>
      </c>
      <c r="C5707" s="3">
        <v>0.7086342592592593</v>
      </c>
      <c r="D5707" s="1">
        <v>12.991608</v>
      </c>
      <c r="E5707" s="1">
        <v>80.181512</v>
      </c>
      <c r="F5707" s="1">
        <v>5339.0</v>
      </c>
      <c r="G5707" s="1">
        <v>40.0</v>
      </c>
    </row>
    <row r="5708">
      <c r="A5708" s="1" t="s">
        <v>8</v>
      </c>
      <c r="B5708" s="2">
        <v>44728.0</v>
      </c>
      <c r="C5708" s="3">
        <v>0.70875</v>
      </c>
      <c r="D5708" s="1">
        <v>12.987214</v>
      </c>
      <c r="E5708" s="1">
        <v>80.175736</v>
      </c>
      <c r="F5708" s="1">
        <v>805.0</v>
      </c>
      <c r="G5708" s="1">
        <v>35.0</v>
      </c>
    </row>
    <row r="5709">
      <c r="A5709" s="1" t="s">
        <v>8</v>
      </c>
      <c r="B5709" s="2">
        <v>44728.0</v>
      </c>
      <c r="C5709" s="3">
        <v>0.7088310185185185</v>
      </c>
      <c r="D5709" s="1">
        <v>12.988128</v>
      </c>
      <c r="E5709" s="1">
        <v>80.177029</v>
      </c>
      <c r="F5709" s="1">
        <v>805.0</v>
      </c>
      <c r="G5709" s="1">
        <v>36.0</v>
      </c>
    </row>
    <row r="5710">
      <c r="A5710" s="1" t="s">
        <v>7</v>
      </c>
      <c r="B5710" s="2">
        <v>44728.0</v>
      </c>
      <c r="C5710" s="3">
        <v>0.7089814814814814</v>
      </c>
      <c r="D5710" s="1">
        <v>12.754855</v>
      </c>
      <c r="E5710" s="1">
        <v>80.001316</v>
      </c>
      <c r="F5710" s="1">
        <v>2846.0</v>
      </c>
      <c r="G5710" s="1">
        <v>55.0</v>
      </c>
    </row>
    <row r="5711">
      <c r="A5711" s="1" t="s">
        <v>7</v>
      </c>
      <c r="B5711" s="2">
        <v>44728.0</v>
      </c>
      <c r="C5711" s="3">
        <v>0.7091319444444445</v>
      </c>
      <c r="D5711" s="1">
        <v>12.75241</v>
      </c>
      <c r="E5711" s="1">
        <v>79.999739</v>
      </c>
      <c r="F5711" s="1">
        <v>2846.0</v>
      </c>
      <c r="G5711" s="1">
        <v>58.0</v>
      </c>
    </row>
    <row r="5712">
      <c r="A5712" s="1" t="s">
        <v>7</v>
      </c>
      <c r="B5712" s="2">
        <v>44728.0</v>
      </c>
      <c r="C5712" s="3">
        <v>0.7098032407407407</v>
      </c>
      <c r="D5712" s="1">
        <v>12.746605</v>
      </c>
      <c r="E5712" s="1">
        <v>79.995272</v>
      </c>
      <c r="F5712" s="1">
        <v>2846.0</v>
      </c>
      <c r="G5712" s="1">
        <v>58.0</v>
      </c>
    </row>
    <row r="5713">
      <c r="A5713" s="1" t="s">
        <v>8</v>
      </c>
      <c r="B5713" s="2">
        <v>44728.0</v>
      </c>
      <c r="C5713" s="3">
        <v>0.7105324074074074</v>
      </c>
      <c r="D5713" s="1">
        <v>12.742592</v>
      </c>
      <c r="E5713" s="1">
        <v>79.99206</v>
      </c>
      <c r="F5713" s="1">
        <v>2846.0</v>
      </c>
      <c r="G5713" s="1">
        <v>23.0</v>
      </c>
    </row>
    <row r="5714">
      <c r="A5714" s="1" t="s">
        <v>8</v>
      </c>
      <c r="B5714" s="2">
        <v>44728.0</v>
      </c>
      <c r="C5714" s="3">
        <v>0.7109027777777778</v>
      </c>
      <c r="D5714" s="1">
        <v>12.740536</v>
      </c>
      <c r="E5714" s="1">
        <v>79.990392</v>
      </c>
      <c r="F5714" s="1">
        <v>2846.0</v>
      </c>
      <c r="G5714" s="1">
        <v>42.0</v>
      </c>
    </row>
    <row r="5715">
      <c r="A5715" s="1" t="s">
        <v>7</v>
      </c>
      <c r="B5715" s="2">
        <v>44728.0</v>
      </c>
      <c r="C5715" s="3">
        <v>0.7111574074074074</v>
      </c>
      <c r="D5715" s="1">
        <v>12.739323</v>
      </c>
      <c r="E5715" s="1">
        <v>79.989405</v>
      </c>
      <c r="F5715" s="1">
        <v>2846.0</v>
      </c>
      <c r="G5715" s="1">
        <v>46.0</v>
      </c>
    </row>
    <row r="5716">
      <c r="A5716" s="1" t="s">
        <v>9</v>
      </c>
      <c r="B5716" s="2">
        <v>44728.0</v>
      </c>
      <c r="C5716" s="3">
        <v>0.71125</v>
      </c>
      <c r="D5716" s="1">
        <v>12.999089</v>
      </c>
      <c r="E5716" s="1">
        <v>80.192916</v>
      </c>
      <c r="F5716" s="1">
        <v>5339.0</v>
      </c>
      <c r="G5716" s="1">
        <v>36.0</v>
      </c>
    </row>
    <row r="5717">
      <c r="A5717" s="1" t="s">
        <v>8</v>
      </c>
      <c r="B5717" s="2">
        <v>44728.0</v>
      </c>
      <c r="C5717" s="3">
        <v>0.7114236111111111</v>
      </c>
      <c r="D5717" s="1">
        <v>12.993791</v>
      </c>
      <c r="E5717" s="1">
        <v>80.184966</v>
      </c>
      <c r="F5717" s="1">
        <v>805.0</v>
      </c>
      <c r="G5717" s="1">
        <v>18.0</v>
      </c>
    </row>
    <row r="5718">
      <c r="A5718" s="1" t="s">
        <v>8</v>
      </c>
      <c r="B5718" s="2">
        <v>44728.0</v>
      </c>
      <c r="C5718" s="3">
        <v>0.7114583333333333</v>
      </c>
      <c r="D5718" s="1">
        <v>12.999089</v>
      </c>
      <c r="E5718" s="1">
        <v>80.192916</v>
      </c>
      <c r="F5718" s="1">
        <v>5339.0</v>
      </c>
      <c r="G5718" s="1">
        <v>36.0</v>
      </c>
    </row>
    <row r="5719">
      <c r="A5719" s="1" t="s">
        <v>7</v>
      </c>
      <c r="B5719" s="2">
        <v>44728.0</v>
      </c>
      <c r="C5719" s="3">
        <v>0.7115856481481482</v>
      </c>
      <c r="D5719" s="1">
        <v>12.734774</v>
      </c>
      <c r="E5719" s="1">
        <v>79.985779</v>
      </c>
      <c r="F5719" s="1">
        <v>2846.0</v>
      </c>
      <c r="G5719" s="1">
        <v>53.0</v>
      </c>
    </row>
    <row r="5720">
      <c r="A5720" s="1" t="s">
        <v>7</v>
      </c>
      <c r="B5720" s="2">
        <v>44728.0</v>
      </c>
      <c r="C5720" s="3">
        <v>0.7117245370370371</v>
      </c>
      <c r="D5720" s="1">
        <v>12.733919</v>
      </c>
      <c r="E5720" s="1">
        <v>79.984626</v>
      </c>
      <c r="F5720" s="1">
        <v>2846.0</v>
      </c>
      <c r="G5720" s="1">
        <v>54.0</v>
      </c>
    </row>
    <row r="5721">
      <c r="A5721" s="1" t="s">
        <v>8</v>
      </c>
      <c r="B5721" s="2">
        <v>44728.0</v>
      </c>
      <c r="C5721" s="3">
        <v>0.7118171296296296</v>
      </c>
      <c r="D5721" s="1">
        <v>12.994942</v>
      </c>
      <c r="E5721" s="1">
        <v>80.187236</v>
      </c>
      <c r="F5721" s="1">
        <v>805.0</v>
      </c>
      <c r="G5721" s="1">
        <v>56.0</v>
      </c>
    </row>
    <row r="5722">
      <c r="A5722" s="1" t="s">
        <v>8</v>
      </c>
      <c r="B5722" s="2">
        <v>44728.0</v>
      </c>
      <c r="C5722" s="3">
        <v>0.7118865740740741</v>
      </c>
      <c r="D5722" s="1">
        <v>12.994942</v>
      </c>
      <c r="E5722" s="1">
        <v>80.187236</v>
      </c>
      <c r="F5722" s="1">
        <v>805.0</v>
      </c>
      <c r="G5722" s="1">
        <v>56.0</v>
      </c>
    </row>
    <row r="5723">
      <c r="A5723" s="1" t="s">
        <v>8</v>
      </c>
      <c r="B5723" s="2">
        <v>44728.0</v>
      </c>
      <c r="C5723" s="3">
        <v>0.7119560185185185</v>
      </c>
      <c r="D5723" s="1">
        <v>12.995978</v>
      </c>
      <c r="E5723" s="1">
        <v>80.189091</v>
      </c>
      <c r="F5723" s="1">
        <v>805.0</v>
      </c>
      <c r="G5723" s="1">
        <v>43.0</v>
      </c>
    </row>
    <row r="5724">
      <c r="A5724" s="1" t="s">
        <v>8</v>
      </c>
      <c r="B5724" s="2">
        <v>44728.0</v>
      </c>
      <c r="C5724" s="3">
        <v>0.7121759259259259</v>
      </c>
      <c r="D5724" s="1">
        <v>13.001583</v>
      </c>
      <c r="E5724" s="1">
        <v>80.196021</v>
      </c>
      <c r="F5724" s="1">
        <v>5339.0</v>
      </c>
      <c r="G5724" s="1">
        <v>29.0</v>
      </c>
    </row>
    <row r="5725">
      <c r="A5725" s="1" t="s">
        <v>8</v>
      </c>
      <c r="B5725" s="2">
        <v>44728.0</v>
      </c>
      <c r="C5725" s="3">
        <v>0.7122106481481482</v>
      </c>
      <c r="D5725" s="1">
        <v>13.002043</v>
      </c>
      <c r="E5725" s="1">
        <v>80.196814</v>
      </c>
      <c r="F5725" s="1">
        <v>5339.0</v>
      </c>
      <c r="G5725" s="1">
        <v>37.0</v>
      </c>
    </row>
    <row r="5726">
      <c r="A5726" s="1" t="s">
        <v>7</v>
      </c>
      <c r="B5726" s="2">
        <v>44728.0</v>
      </c>
      <c r="C5726" s="3">
        <v>0.7123148148148148</v>
      </c>
      <c r="D5726" s="1">
        <v>12.729682</v>
      </c>
      <c r="E5726" s="1">
        <v>79.982909</v>
      </c>
      <c r="F5726" s="1">
        <v>2846.0</v>
      </c>
      <c r="G5726" s="1">
        <v>56.0</v>
      </c>
    </row>
    <row r="5727">
      <c r="A5727" s="1" t="s">
        <v>8</v>
      </c>
      <c r="B5727" s="2">
        <v>44728.0</v>
      </c>
      <c r="C5727" s="3">
        <v>0.7125</v>
      </c>
      <c r="D5727" s="1">
        <v>13.001863</v>
      </c>
      <c r="E5727" s="1">
        <v>80.198842</v>
      </c>
      <c r="F5727" s="1">
        <v>5339.0</v>
      </c>
      <c r="G5727" s="1">
        <v>37.0</v>
      </c>
    </row>
    <row r="5728">
      <c r="A5728" s="1" t="s">
        <v>8</v>
      </c>
      <c r="B5728" s="2">
        <v>44728.0</v>
      </c>
      <c r="C5728" s="3">
        <v>0.7129282407407408</v>
      </c>
      <c r="D5728" s="1">
        <v>13.004443</v>
      </c>
      <c r="E5728" s="1">
        <v>80.201093</v>
      </c>
      <c r="F5728" s="1">
        <v>5339.0</v>
      </c>
      <c r="G5728" s="1">
        <v>37.0</v>
      </c>
    </row>
    <row r="5729">
      <c r="A5729" s="1" t="s">
        <v>8</v>
      </c>
      <c r="B5729" s="2">
        <v>44728.0</v>
      </c>
      <c r="C5729" s="3">
        <v>0.7129976851851851</v>
      </c>
      <c r="D5729" s="1">
        <v>13.00066</v>
      </c>
      <c r="E5729" s="1">
        <v>80.194939</v>
      </c>
      <c r="F5729" s="1">
        <v>805.0</v>
      </c>
      <c r="G5729" s="1">
        <v>30.0</v>
      </c>
    </row>
    <row r="5730">
      <c r="A5730" s="1" t="s">
        <v>8</v>
      </c>
      <c r="B5730" s="2">
        <v>44728.0</v>
      </c>
      <c r="C5730" s="3">
        <v>0.7132175925925925</v>
      </c>
      <c r="D5730" s="1">
        <v>13.005885</v>
      </c>
      <c r="E5730" s="1">
        <v>80.202321</v>
      </c>
      <c r="F5730" s="1">
        <v>5339.0</v>
      </c>
      <c r="G5730" s="1">
        <v>43.0</v>
      </c>
    </row>
    <row r="5731">
      <c r="A5731" s="1" t="s">
        <v>8</v>
      </c>
      <c r="B5731" s="2">
        <v>44728.0</v>
      </c>
      <c r="C5731" s="3">
        <v>0.7133564814814815</v>
      </c>
      <c r="D5731" s="1">
        <v>13.007304</v>
      </c>
      <c r="E5731" s="1">
        <v>80.20358</v>
      </c>
      <c r="F5731" s="1">
        <v>5339.0</v>
      </c>
      <c r="G5731" s="1">
        <v>38.0</v>
      </c>
    </row>
    <row r="5732">
      <c r="A5732" s="1" t="s">
        <v>8</v>
      </c>
      <c r="B5732" s="2">
        <v>44728.0</v>
      </c>
      <c r="C5732" s="3">
        <v>0.7133680555555556</v>
      </c>
      <c r="D5732" s="1">
        <v>13.001972</v>
      </c>
      <c r="E5732" s="1">
        <v>80.196667</v>
      </c>
      <c r="F5732" s="1">
        <v>805.0</v>
      </c>
      <c r="G5732" s="1">
        <v>40.0</v>
      </c>
    </row>
    <row r="5733">
      <c r="A5733" s="1" t="s">
        <v>8</v>
      </c>
      <c r="B5733" s="2">
        <v>44728.0</v>
      </c>
      <c r="C5733" s="3">
        <v>0.7134490740740741</v>
      </c>
      <c r="D5733" s="1">
        <v>13.001914</v>
      </c>
      <c r="E5733" s="1">
        <v>80.198562</v>
      </c>
      <c r="F5733" s="1">
        <v>805.0</v>
      </c>
      <c r="G5733" s="1">
        <v>44.0</v>
      </c>
    </row>
    <row r="5734">
      <c r="A5734" s="1" t="s">
        <v>8</v>
      </c>
      <c r="B5734" s="2">
        <v>44728.0</v>
      </c>
      <c r="C5734" s="3">
        <v>0.7135300925925926</v>
      </c>
      <c r="D5734" s="1">
        <v>13.008136</v>
      </c>
      <c r="E5734" s="1">
        <v>80.203674</v>
      </c>
      <c r="F5734" s="1">
        <v>5339.0</v>
      </c>
      <c r="G5734" s="1">
        <v>28.0</v>
      </c>
    </row>
    <row r="5735">
      <c r="A5735" s="1" t="s">
        <v>8</v>
      </c>
      <c r="B5735" s="2">
        <v>44728.0</v>
      </c>
      <c r="C5735" s="3">
        <v>0.7135416666666666</v>
      </c>
      <c r="D5735" s="1">
        <v>13.001914</v>
      </c>
      <c r="E5735" s="1">
        <v>80.198562</v>
      </c>
      <c r="F5735" s="1">
        <v>805.0</v>
      </c>
      <c r="G5735" s="1">
        <v>44.0</v>
      </c>
    </row>
    <row r="5736">
      <c r="A5736" s="1" t="s">
        <v>8</v>
      </c>
      <c r="B5736" s="2">
        <v>44728.0</v>
      </c>
      <c r="C5736" s="3">
        <v>0.7138078703703704</v>
      </c>
      <c r="D5736" s="1">
        <v>13.007615</v>
      </c>
      <c r="E5736" s="1">
        <v>80.204253</v>
      </c>
      <c r="F5736" s="1">
        <v>5339.0</v>
      </c>
      <c r="G5736" s="1">
        <v>55.0</v>
      </c>
    </row>
    <row r="5737">
      <c r="A5737" s="1" t="s">
        <v>8</v>
      </c>
      <c r="B5737" s="2">
        <v>44728.0</v>
      </c>
      <c r="C5737" s="3">
        <v>0.713912037037037</v>
      </c>
      <c r="D5737" s="1">
        <v>13.007615</v>
      </c>
      <c r="E5737" s="1">
        <v>80.204253</v>
      </c>
      <c r="F5737" s="1">
        <v>5339.0</v>
      </c>
      <c r="G5737" s="1">
        <v>55.0</v>
      </c>
    </row>
    <row r="5738">
      <c r="A5738" s="1" t="s">
        <v>8</v>
      </c>
      <c r="B5738" s="2">
        <v>44728.0</v>
      </c>
      <c r="C5738" s="3">
        <v>0.7140972222222223</v>
      </c>
      <c r="D5738" s="1">
        <v>13.007834</v>
      </c>
      <c r="E5738" s="1">
        <v>80.20706</v>
      </c>
      <c r="F5738" s="1">
        <v>5339.0</v>
      </c>
      <c r="G5738" s="1">
        <v>56.0</v>
      </c>
    </row>
    <row r="5739">
      <c r="A5739" s="1" t="s">
        <v>8</v>
      </c>
      <c r="B5739" s="2">
        <v>44728.0</v>
      </c>
      <c r="C5739" s="3">
        <v>0.7147337962962963</v>
      </c>
      <c r="D5739" s="1">
        <v>12.723289</v>
      </c>
      <c r="E5739" s="1">
        <v>79.981772</v>
      </c>
      <c r="F5739" s="1">
        <v>2846.0</v>
      </c>
      <c r="G5739" s="1">
        <v>26.0</v>
      </c>
    </row>
    <row r="5740">
      <c r="A5740" s="1" t="s">
        <v>8</v>
      </c>
      <c r="B5740" s="2">
        <v>44728.0</v>
      </c>
      <c r="C5740" s="3">
        <v>0.714849537037037</v>
      </c>
      <c r="D5740" s="1">
        <v>13.009349</v>
      </c>
      <c r="E5740" s="1">
        <v>80.212657</v>
      </c>
      <c r="F5740" s="1">
        <v>5339.0</v>
      </c>
      <c r="G5740" s="1">
        <v>49.0</v>
      </c>
    </row>
    <row r="5741">
      <c r="A5741" s="1" t="s">
        <v>8</v>
      </c>
      <c r="B5741" s="2">
        <v>44728.0</v>
      </c>
      <c r="C5741" s="3">
        <v>0.7151041666666667</v>
      </c>
      <c r="D5741" s="1">
        <v>12.720968</v>
      </c>
      <c r="E5741" s="1">
        <v>79.981279</v>
      </c>
      <c r="F5741" s="1">
        <v>2846.0</v>
      </c>
      <c r="G5741" s="1">
        <v>39.0</v>
      </c>
    </row>
    <row r="5742">
      <c r="A5742" s="1" t="s">
        <v>7</v>
      </c>
      <c r="B5742" s="2">
        <v>44728.0</v>
      </c>
      <c r="C5742" s="3">
        <v>0.7152893518518518</v>
      </c>
      <c r="D5742" s="1">
        <v>12.718683</v>
      </c>
      <c r="E5742" s="1">
        <v>79.981095</v>
      </c>
      <c r="F5742" s="1">
        <v>2846.0</v>
      </c>
      <c r="G5742" s="1">
        <v>50.0</v>
      </c>
    </row>
    <row r="5743">
      <c r="A5743" s="1" t="s">
        <v>8</v>
      </c>
      <c r="B5743" s="2">
        <v>44728.0</v>
      </c>
      <c r="C5743" s="3">
        <v>0.7155787037037037</v>
      </c>
      <c r="D5743" s="1">
        <v>13.008221</v>
      </c>
      <c r="E5743" s="1">
        <v>80.209535</v>
      </c>
      <c r="F5743" s="1">
        <v>805.0</v>
      </c>
      <c r="G5743" s="1">
        <v>37.0</v>
      </c>
    </row>
    <row r="5744">
      <c r="A5744" s="1" t="s">
        <v>8</v>
      </c>
      <c r="B5744" s="2">
        <v>44728.0</v>
      </c>
      <c r="C5744" s="3">
        <v>0.7157986111111111</v>
      </c>
      <c r="D5744" s="1">
        <v>13.008762</v>
      </c>
      <c r="E5744" s="1">
        <v>80.211123</v>
      </c>
      <c r="F5744" s="1">
        <v>805.0</v>
      </c>
      <c r="G5744" s="1">
        <v>41.0</v>
      </c>
    </row>
    <row r="5745">
      <c r="A5745" s="1" t="s">
        <v>7</v>
      </c>
      <c r="B5745" s="2">
        <v>44728.0</v>
      </c>
      <c r="C5745" s="3">
        <v>0.7163194444444444</v>
      </c>
      <c r="D5745" s="1">
        <v>12.7086</v>
      </c>
      <c r="E5745" s="1">
        <v>79.977185</v>
      </c>
      <c r="F5745" s="1">
        <v>2846.0</v>
      </c>
      <c r="G5745" s="1">
        <v>48.0</v>
      </c>
    </row>
    <row r="5746">
      <c r="A5746" s="1" t="s">
        <v>8</v>
      </c>
      <c r="B5746" s="2">
        <v>44728.0</v>
      </c>
      <c r="C5746" s="3">
        <v>0.716412037037037</v>
      </c>
      <c r="D5746" s="1">
        <v>13.010487</v>
      </c>
      <c r="E5746" s="1">
        <v>80.216216</v>
      </c>
      <c r="F5746" s="1">
        <v>805.0</v>
      </c>
      <c r="G5746" s="1">
        <v>37.0</v>
      </c>
    </row>
    <row r="5747">
      <c r="A5747" s="1" t="s">
        <v>7</v>
      </c>
      <c r="B5747" s="2">
        <v>44728.0</v>
      </c>
      <c r="C5747" s="3">
        <v>0.7164699074074075</v>
      </c>
      <c r="D5747" s="1">
        <v>12.707417</v>
      </c>
      <c r="E5747" s="1">
        <v>79.976513</v>
      </c>
      <c r="F5747" s="1">
        <v>2846.0</v>
      </c>
      <c r="G5747" s="1">
        <v>57.0</v>
      </c>
    </row>
    <row r="5748">
      <c r="A5748" s="1" t="s">
        <v>8</v>
      </c>
      <c r="B5748" s="2">
        <v>44728.0</v>
      </c>
      <c r="C5748" s="3">
        <v>0.7167361111111111</v>
      </c>
      <c r="D5748" s="1">
        <v>13.01117</v>
      </c>
      <c r="E5748" s="1">
        <v>80.217755</v>
      </c>
      <c r="F5748" s="1">
        <v>805.0</v>
      </c>
      <c r="G5748" s="1">
        <v>42.0</v>
      </c>
    </row>
    <row r="5749">
      <c r="A5749" s="1" t="s">
        <v>7</v>
      </c>
      <c r="B5749" s="2">
        <v>44728.0</v>
      </c>
      <c r="C5749" s="3">
        <v>0.7168287037037037</v>
      </c>
      <c r="D5749" s="1">
        <v>12.704802</v>
      </c>
      <c r="E5749" s="1">
        <v>79.973668</v>
      </c>
      <c r="F5749" s="1">
        <v>2846.0</v>
      </c>
      <c r="G5749" s="1">
        <v>49.0</v>
      </c>
    </row>
    <row r="5750">
      <c r="A5750" s="1" t="s">
        <v>8</v>
      </c>
      <c r="B5750" s="2">
        <v>44728.0</v>
      </c>
      <c r="C5750" s="3">
        <v>0.7168981481481481</v>
      </c>
      <c r="D5750" s="1">
        <v>13.01183</v>
      </c>
      <c r="E5750" s="1">
        <v>80.219637</v>
      </c>
      <c r="F5750" s="1">
        <v>805.0</v>
      </c>
      <c r="G5750" s="1">
        <v>58.0</v>
      </c>
    </row>
    <row r="5751">
      <c r="A5751" s="1" t="s">
        <v>8</v>
      </c>
      <c r="B5751" s="2">
        <v>44728.0</v>
      </c>
      <c r="C5751" s="3">
        <v>0.7169097222222223</v>
      </c>
      <c r="D5751" s="1">
        <v>13.01183</v>
      </c>
      <c r="E5751" s="1">
        <v>80.219637</v>
      </c>
      <c r="F5751" s="1">
        <v>805.0</v>
      </c>
      <c r="G5751" s="1">
        <v>58.0</v>
      </c>
    </row>
    <row r="5752">
      <c r="A5752" s="1" t="s">
        <v>8</v>
      </c>
      <c r="B5752" s="2">
        <v>44728.0</v>
      </c>
      <c r="C5752" s="3">
        <v>0.7178009259259259</v>
      </c>
      <c r="D5752" s="1">
        <v>13.015462</v>
      </c>
      <c r="E5752" s="1">
        <v>80.225258</v>
      </c>
      <c r="F5752" s="1">
        <v>805.0</v>
      </c>
      <c r="G5752" s="1">
        <v>14.0</v>
      </c>
    </row>
    <row r="5753">
      <c r="A5753" s="1" t="s">
        <v>8</v>
      </c>
      <c r="B5753" s="2">
        <v>44728.0</v>
      </c>
      <c r="C5753" s="3">
        <v>0.7178125</v>
      </c>
      <c r="D5753" s="1">
        <v>13.015462</v>
      </c>
      <c r="E5753" s="1">
        <v>80.225258</v>
      </c>
      <c r="F5753" s="1">
        <v>805.0</v>
      </c>
      <c r="G5753" s="1">
        <v>14.0</v>
      </c>
    </row>
    <row r="5754">
      <c r="A5754" s="1" t="s">
        <v>8</v>
      </c>
      <c r="B5754" s="2">
        <v>44728.0</v>
      </c>
      <c r="C5754" s="3">
        <v>0.7179050925925926</v>
      </c>
      <c r="D5754" s="1">
        <v>13.01544</v>
      </c>
      <c r="E5754" s="1">
        <v>80.22559</v>
      </c>
      <c r="F5754" s="1">
        <v>805.0</v>
      </c>
      <c r="G5754" s="1">
        <v>8.0</v>
      </c>
    </row>
    <row r="5755">
      <c r="A5755" s="1" t="s">
        <v>8</v>
      </c>
      <c r="B5755" s="2">
        <v>44728.0</v>
      </c>
      <c r="C5755" s="3">
        <v>0.7180208333333333</v>
      </c>
      <c r="D5755" s="1">
        <v>13.01544</v>
      </c>
      <c r="E5755" s="1">
        <v>80.22559</v>
      </c>
      <c r="F5755" s="1">
        <v>805.0</v>
      </c>
      <c r="G5755" s="1">
        <v>8.0</v>
      </c>
    </row>
    <row r="5756">
      <c r="A5756" s="1" t="s">
        <v>8</v>
      </c>
      <c r="B5756" s="2">
        <v>44728.0</v>
      </c>
      <c r="C5756" s="3">
        <v>0.7181018518518518</v>
      </c>
      <c r="D5756" s="1">
        <v>13.023435</v>
      </c>
      <c r="E5756" s="1">
        <v>80.227491</v>
      </c>
      <c r="F5756" s="1">
        <v>5339.0</v>
      </c>
      <c r="G5756" s="1">
        <v>31.0</v>
      </c>
    </row>
    <row r="5757">
      <c r="A5757" s="1" t="s">
        <v>8</v>
      </c>
      <c r="B5757" s="2">
        <v>44728.0</v>
      </c>
      <c r="C5757" s="3">
        <v>0.7187962962962963</v>
      </c>
      <c r="D5757" s="1">
        <v>13.011292</v>
      </c>
      <c r="E5757" s="1">
        <v>80.227432</v>
      </c>
      <c r="F5757" s="1">
        <v>805.0</v>
      </c>
      <c r="G5757" s="1">
        <v>43.0</v>
      </c>
    </row>
    <row r="5758">
      <c r="A5758" s="1" t="s">
        <v>8</v>
      </c>
      <c r="B5758" s="2">
        <v>44728.0</v>
      </c>
      <c r="C5758" s="3">
        <v>0.7190740740740741</v>
      </c>
      <c r="D5758" s="1">
        <v>13.024682</v>
      </c>
      <c r="E5758" s="1">
        <v>80.229002</v>
      </c>
      <c r="F5758" s="1">
        <v>5339.0</v>
      </c>
      <c r="G5758" s="1">
        <v>21.0</v>
      </c>
    </row>
    <row r="5759">
      <c r="A5759" s="1" t="s">
        <v>8</v>
      </c>
      <c r="B5759" s="2">
        <v>44728.0</v>
      </c>
      <c r="C5759" s="3">
        <v>0.7195717592592593</v>
      </c>
      <c r="D5759" s="1">
        <v>13.008016</v>
      </c>
      <c r="E5759" s="1">
        <v>80.234356</v>
      </c>
      <c r="F5759" s="1">
        <v>805.0</v>
      </c>
      <c r="G5759" s="1">
        <v>0.0</v>
      </c>
    </row>
    <row r="5760">
      <c r="A5760" s="1" t="s">
        <v>8</v>
      </c>
      <c r="B5760" s="2">
        <v>44728.0</v>
      </c>
      <c r="C5760" s="3">
        <v>0.719837962962963</v>
      </c>
      <c r="D5760" s="1">
        <v>13.007838</v>
      </c>
      <c r="E5760" s="1">
        <v>80.23523</v>
      </c>
      <c r="F5760" s="1">
        <v>805.0</v>
      </c>
      <c r="G5760" s="1">
        <v>27.0</v>
      </c>
    </row>
    <row r="5761">
      <c r="A5761" s="1" t="s">
        <v>8</v>
      </c>
      <c r="B5761" s="2">
        <v>44728.0</v>
      </c>
      <c r="C5761" s="3">
        <v>0.7203472222222222</v>
      </c>
      <c r="D5761" s="1">
        <v>13.007101</v>
      </c>
      <c r="E5761" s="1">
        <v>80.238961</v>
      </c>
      <c r="F5761" s="1">
        <v>805.0</v>
      </c>
      <c r="G5761" s="1">
        <v>27.0</v>
      </c>
    </row>
    <row r="5762">
      <c r="A5762" s="1" t="s">
        <v>9</v>
      </c>
      <c r="B5762" s="2">
        <v>44728.0</v>
      </c>
      <c r="C5762" s="3">
        <v>0.7205324074074074</v>
      </c>
      <c r="D5762" s="1">
        <v>13.006816</v>
      </c>
      <c r="E5762" s="1">
        <v>80.240409</v>
      </c>
      <c r="F5762" s="1">
        <v>805.0</v>
      </c>
      <c r="G5762" s="1">
        <v>42.0</v>
      </c>
    </row>
    <row r="5763">
      <c r="A5763" s="1" t="s">
        <v>8</v>
      </c>
      <c r="B5763" s="2">
        <v>44728.0</v>
      </c>
      <c r="C5763" s="3">
        <v>0.7206828703703704</v>
      </c>
      <c r="D5763" s="1">
        <v>13.006642</v>
      </c>
      <c r="E5763" s="1">
        <v>80.242284</v>
      </c>
      <c r="F5763" s="1">
        <v>805.0</v>
      </c>
      <c r="G5763" s="1">
        <v>44.0</v>
      </c>
    </row>
    <row r="5764">
      <c r="A5764" s="1" t="s">
        <v>8</v>
      </c>
      <c r="B5764" s="2">
        <v>44728.0</v>
      </c>
      <c r="C5764" s="3">
        <v>0.7207060185185186</v>
      </c>
      <c r="D5764" s="1">
        <v>13.006642</v>
      </c>
      <c r="E5764" s="1">
        <v>80.242284</v>
      </c>
      <c r="F5764" s="1">
        <v>805.0</v>
      </c>
      <c r="G5764" s="1">
        <v>44.0</v>
      </c>
    </row>
    <row r="5765">
      <c r="A5765" s="1" t="s">
        <v>8</v>
      </c>
      <c r="B5765" s="2">
        <v>44728.0</v>
      </c>
      <c r="C5765" s="3">
        <v>0.721099537037037</v>
      </c>
      <c r="D5765" s="1">
        <v>13.026252</v>
      </c>
      <c r="E5765" s="1">
        <v>80.232128</v>
      </c>
      <c r="F5765" s="1">
        <v>5339.0</v>
      </c>
      <c r="G5765" s="1">
        <v>31.0</v>
      </c>
    </row>
    <row r="5766">
      <c r="A5766" s="1" t="s">
        <v>8</v>
      </c>
      <c r="B5766" s="2">
        <v>44728.0</v>
      </c>
      <c r="C5766" s="3">
        <v>0.7211458333333334</v>
      </c>
      <c r="D5766" s="1">
        <v>13.026252</v>
      </c>
      <c r="E5766" s="1">
        <v>80.232128</v>
      </c>
      <c r="F5766" s="1">
        <v>5339.0</v>
      </c>
      <c r="G5766" s="1">
        <v>31.0</v>
      </c>
    </row>
    <row r="5767">
      <c r="A5767" s="1" t="s">
        <v>8</v>
      </c>
      <c r="B5767" s="2">
        <v>44728.0</v>
      </c>
      <c r="C5767" s="3">
        <v>0.7213310185185186</v>
      </c>
      <c r="D5767" s="1">
        <v>13.027074</v>
      </c>
      <c r="E5767" s="1">
        <v>80.2338</v>
      </c>
      <c r="F5767" s="1">
        <v>5339.0</v>
      </c>
      <c r="G5767" s="1">
        <v>37.0</v>
      </c>
    </row>
    <row r="5768">
      <c r="A5768" s="1" t="s">
        <v>8</v>
      </c>
      <c r="B5768" s="2">
        <v>44728.0</v>
      </c>
      <c r="C5768" s="3">
        <v>0.7214583333333333</v>
      </c>
      <c r="D5768" s="1">
        <v>13.027074</v>
      </c>
      <c r="E5768" s="1">
        <v>80.2338</v>
      </c>
      <c r="F5768" s="1">
        <v>5339.0</v>
      </c>
      <c r="G5768" s="1">
        <v>37.0</v>
      </c>
    </row>
    <row r="5769">
      <c r="A5769" s="1" t="s">
        <v>8</v>
      </c>
      <c r="B5769" s="2">
        <v>44728.0</v>
      </c>
      <c r="C5769" s="3">
        <v>0.7215046296296296</v>
      </c>
      <c r="D5769" s="1">
        <v>13.027074</v>
      </c>
      <c r="E5769" s="1">
        <v>80.2338</v>
      </c>
      <c r="F5769" s="1">
        <v>5339.0</v>
      </c>
      <c r="G5769" s="1">
        <v>37.0</v>
      </c>
    </row>
    <row r="5770">
      <c r="A5770" s="1" t="s">
        <v>8</v>
      </c>
      <c r="B5770" s="2">
        <v>44728.0</v>
      </c>
      <c r="C5770" s="3">
        <v>0.7215162037037037</v>
      </c>
      <c r="D5770" s="1">
        <v>13.027503</v>
      </c>
      <c r="E5770" s="1">
        <v>80.234472</v>
      </c>
      <c r="F5770" s="1">
        <v>5339.0</v>
      </c>
      <c r="G5770" s="1">
        <v>28.0</v>
      </c>
    </row>
    <row r="5771">
      <c r="A5771" s="1" t="s">
        <v>10</v>
      </c>
      <c r="B5771" s="2">
        <v>44728.0</v>
      </c>
      <c r="C5771" s="3">
        <v>0.7218634259259259</v>
      </c>
      <c r="D5771" s="1">
        <v>12.697538</v>
      </c>
      <c r="E5771" s="1">
        <v>79.974921</v>
      </c>
      <c r="F5771" s="1">
        <v>2846.0</v>
      </c>
      <c r="G5771" s="1">
        <v>31.0</v>
      </c>
    </row>
    <row r="5772">
      <c r="A5772" s="1" t="s">
        <v>8</v>
      </c>
      <c r="B5772" s="2">
        <v>44728.0</v>
      </c>
      <c r="C5772" s="3">
        <v>0.7219328703703703</v>
      </c>
      <c r="D5772" s="1">
        <v>13.029434</v>
      </c>
      <c r="E5772" s="1">
        <v>80.236992</v>
      </c>
      <c r="F5772" s="1">
        <v>5339.0</v>
      </c>
      <c r="G5772" s="1">
        <v>36.0</v>
      </c>
    </row>
    <row r="5773">
      <c r="A5773" s="1" t="s">
        <v>8</v>
      </c>
      <c r="B5773" s="2">
        <v>44728.0</v>
      </c>
      <c r="C5773" s="3">
        <v>0.7228009259259259</v>
      </c>
      <c r="D5773" s="1">
        <v>13.031012</v>
      </c>
      <c r="E5773" s="1">
        <v>80.239515</v>
      </c>
      <c r="F5773" s="1">
        <v>5339.0</v>
      </c>
      <c r="G5773" s="1">
        <v>24.0</v>
      </c>
    </row>
    <row r="5774">
      <c r="A5774" s="1" t="s">
        <v>10</v>
      </c>
      <c r="B5774" s="2">
        <v>44728.0</v>
      </c>
      <c r="C5774" s="3">
        <v>0.7229282407407407</v>
      </c>
      <c r="D5774" s="1">
        <v>13.006891</v>
      </c>
      <c r="E5774" s="1">
        <v>80.250502</v>
      </c>
      <c r="F5774" s="1">
        <v>805.0</v>
      </c>
      <c r="G5774" s="1">
        <v>0.0</v>
      </c>
    </row>
    <row r="5775">
      <c r="A5775" s="1" t="s">
        <v>10</v>
      </c>
      <c r="B5775" s="2">
        <v>44728.0</v>
      </c>
      <c r="C5775" s="3">
        <v>0.7230208333333333</v>
      </c>
      <c r="D5775" s="1">
        <v>12.695515</v>
      </c>
      <c r="E5775" s="1">
        <v>79.977848</v>
      </c>
      <c r="F5775" s="1">
        <v>2846.0</v>
      </c>
      <c r="G5775" s="1">
        <v>25.0</v>
      </c>
    </row>
    <row r="5776">
      <c r="A5776" s="1" t="s">
        <v>10</v>
      </c>
      <c r="B5776" s="2">
        <v>44728.0</v>
      </c>
      <c r="C5776" s="3">
        <v>0.7233101851851852</v>
      </c>
      <c r="D5776" s="1">
        <v>12.694349</v>
      </c>
      <c r="E5776" s="1">
        <v>79.978579</v>
      </c>
      <c r="F5776" s="1">
        <v>2846.0</v>
      </c>
      <c r="G5776" s="1">
        <v>21.0</v>
      </c>
    </row>
    <row r="5777">
      <c r="A5777" s="1" t="s">
        <v>8</v>
      </c>
      <c r="B5777" s="2">
        <v>44728.0</v>
      </c>
      <c r="C5777" s="3">
        <v>0.7233680555555555</v>
      </c>
      <c r="D5777" s="1">
        <v>13.006877</v>
      </c>
      <c r="E5777" s="1">
        <v>80.251075</v>
      </c>
      <c r="F5777" s="1">
        <v>805.0</v>
      </c>
      <c r="G5777" s="1">
        <v>13.0</v>
      </c>
    </row>
    <row r="5778">
      <c r="A5778" s="1" t="s">
        <v>8</v>
      </c>
      <c r="B5778" s="2">
        <v>44728.0</v>
      </c>
      <c r="C5778" s="3">
        <v>0.7235532407407408</v>
      </c>
      <c r="D5778" s="1">
        <v>13.006762</v>
      </c>
      <c r="E5778" s="1">
        <v>80.251736</v>
      </c>
      <c r="F5778" s="1">
        <v>805.0</v>
      </c>
      <c r="G5778" s="1">
        <v>16.0</v>
      </c>
    </row>
    <row r="5779">
      <c r="A5779" s="1" t="s">
        <v>8</v>
      </c>
      <c r="B5779" s="2">
        <v>44728.0</v>
      </c>
      <c r="C5779" s="3">
        <v>0.7235648148148148</v>
      </c>
      <c r="D5779" s="1">
        <v>13.033716</v>
      </c>
      <c r="E5779" s="1">
        <v>80.244156</v>
      </c>
      <c r="F5779" s="1">
        <v>5339.0</v>
      </c>
      <c r="G5779" s="1">
        <v>27.0</v>
      </c>
    </row>
    <row r="5780">
      <c r="A5780" s="1" t="s">
        <v>8</v>
      </c>
      <c r="B5780" s="2">
        <v>44728.0</v>
      </c>
      <c r="C5780" s="3">
        <v>0.723599537037037</v>
      </c>
      <c r="D5780" s="1">
        <v>13.033716</v>
      </c>
      <c r="E5780" s="1">
        <v>80.244156</v>
      </c>
      <c r="F5780" s="1">
        <v>5339.0</v>
      </c>
      <c r="G5780" s="1">
        <v>27.0</v>
      </c>
    </row>
    <row r="5781">
      <c r="A5781" s="1" t="s">
        <v>8</v>
      </c>
      <c r="B5781" s="2">
        <v>44728.0</v>
      </c>
      <c r="C5781" s="3">
        <v>0.7236342592592593</v>
      </c>
      <c r="D5781" s="1">
        <v>13.034112</v>
      </c>
      <c r="E5781" s="1">
        <v>80.244699</v>
      </c>
      <c r="F5781" s="1">
        <v>5339.0</v>
      </c>
      <c r="G5781" s="1">
        <v>26.0</v>
      </c>
    </row>
    <row r="5782">
      <c r="A5782" s="1" t="s">
        <v>7</v>
      </c>
      <c r="B5782" s="2">
        <v>44728.0</v>
      </c>
      <c r="C5782" s="3">
        <v>0.7236458333333333</v>
      </c>
      <c r="D5782" s="1">
        <v>13.006762</v>
      </c>
      <c r="E5782" s="1">
        <v>80.251736</v>
      </c>
      <c r="F5782" s="1">
        <v>805.0</v>
      </c>
      <c r="G5782" s="1">
        <v>16.0</v>
      </c>
    </row>
    <row r="5783">
      <c r="A5783" s="1" t="s">
        <v>8</v>
      </c>
      <c r="B5783" s="2">
        <v>44728.0</v>
      </c>
      <c r="C5783" s="3">
        <v>0.7240393518518519</v>
      </c>
      <c r="D5783" s="1">
        <v>13.035215</v>
      </c>
      <c r="E5783" s="1">
        <v>80.245939</v>
      </c>
      <c r="F5783" s="1">
        <v>5339.0</v>
      </c>
      <c r="G5783" s="1">
        <v>10.0</v>
      </c>
    </row>
    <row r="5784">
      <c r="A5784" s="1" t="s">
        <v>8</v>
      </c>
      <c r="B5784" s="2">
        <v>44728.0</v>
      </c>
      <c r="C5784" s="3">
        <v>0.7253009259259259</v>
      </c>
      <c r="D5784" s="1">
        <v>13.00756</v>
      </c>
      <c r="E5784" s="1">
        <v>80.258626</v>
      </c>
      <c r="F5784" s="1">
        <v>805.0</v>
      </c>
      <c r="G5784" s="1">
        <v>10.0</v>
      </c>
    </row>
    <row r="5785">
      <c r="A5785" s="1" t="s">
        <v>8</v>
      </c>
      <c r="B5785" s="2">
        <v>44728.0</v>
      </c>
      <c r="C5785" s="3">
        <v>0.7253009259259259</v>
      </c>
      <c r="D5785" s="1">
        <v>13.00756</v>
      </c>
      <c r="E5785" s="1">
        <v>80.258626</v>
      </c>
      <c r="F5785" s="1">
        <v>805.0</v>
      </c>
      <c r="G5785" s="1">
        <v>10.0</v>
      </c>
    </row>
    <row r="5786">
      <c r="A5786" s="1" t="s">
        <v>8</v>
      </c>
      <c r="B5786" s="2">
        <v>44728.0</v>
      </c>
      <c r="C5786" s="3">
        <v>0.7253240740740741</v>
      </c>
      <c r="D5786" s="1">
        <v>13.00756</v>
      </c>
      <c r="E5786" s="1">
        <v>80.258626</v>
      </c>
      <c r="F5786" s="1">
        <v>805.0</v>
      </c>
      <c r="G5786" s="1">
        <v>10.0</v>
      </c>
    </row>
    <row r="5787">
      <c r="A5787" s="1" t="s">
        <v>7</v>
      </c>
      <c r="B5787" s="2">
        <v>44728.0</v>
      </c>
      <c r="C5787" s="3">
        <v>0.725474537037037</v>
      </c>
      <c r="D5787" s="1">
        <v>13.00791</v>
      </c>
      <c r="E5787" s="1">
        <v>80.258824</v>
      </c>
      <c r="F5787" s="1">
        <v>805.0</v>
      </c>
      <c r="G5787" s="1">
        <v>18.0</v>
      </c>
    </row>
    <row r="5788">
      <c r="A5788" s="1" t="s">
        <v>7</v>
      </c>
      <c r="B5788" s="2">
        <v>44728.0</v>
      </c>
      <c r="C5788" s="3">
        <v>0.7256597222222222</v>
      </c>
      <c r="D5788" s="1">
        <v>13.008668</v>
      </c>
      <c r="E5788" s="1">
        <v>80.259055</v>
      </c>
      <c r="F5788" s="1">
        <v>805.0</v>
      </c>
      <c r="G5788" s="1">
        <v>14.0</v>
      </c>
    </row>
    <row r="5789">
      <c r="A5789" s="1" t="s">
        <v>8</v>
      </c>
      <c r="B5789" s="2">
        <v>44728.0</v>
      </c>
      <c r="C5789" s="3">
        <v>0.7258333333333333</v>
      </c>
      <c r="D5789" s="1">
        <v>13.039724</v>
      </c>
      <c r="E5789" s="1">
        <v>80.24699</v>
      </c>
      <c r="F5789" s="1">
        <v>5339.0</v>
      </c>
      <c r="G5789" s="1">
        <v>27.0</v>
      </c>
    </row>
    <row r="5790">
      <c r="A5790" s="1" t="s">
        <v>8</v>
      </c>
      <c r="B5790" s="2">
        <v>44728.0</v>
      </c>
      <c r="C5790" s="3">
        <v>0.7259375</v>
      </c>
      <c r="D5790" s="1">
        <v>13.040572</v>
      </c>
      <c r="E5790" s="1">
        <v>80.24715</v>
      </c>
      <c r="F5790" s="1">
        <v>5339.0</v>
      </c>
      <c r="G5790" s="1">
        <v>32.0</v>
      </c>
    </row>
    <row r="5791">
      <c r="A5791" s="1" t="s">
        <v>8</v>
      </c>
      <c r="B5791" s="2">
        <v>44728.0</v>
      </c>
      <c r="C5791" s="3">
        <v>0.7261921296296296</v>
      </c>
      <c r="D5791" s="1">
        <v>12.688884</v>
      </c>
      <c r="E5791" s="1">
        <v>79.982516</v>
      </c>
      <c r="F5791" s="1">
        <v>2846.0</v>
      </c>
      <c r="G5791" s="1">
        <v>26.0</v>
      </c>
    </row>
    <row r="5792">
      <c r="A5792" s="1" t="s">
        <v>8</v>
      </c>
      <c r="B5792" s="2">
        <v>44728.0</v>
      </c>
      <c r="C5792" s="3">
        <v>0.7265393518518518</v>
      </c>
      <c r="D5792" s="1">
        <v>13.042819</v>
      </c>
      <c r="E5792" s="1">
        <v>80.24757</v>
      </c>
      <c r="F5792" s="1">
        <v>5339.0</v>
      </c>
      <c r="G5792" s="1">
        <v>25.0</v>
      </c>
    </row>
    <row r="5793">
      <c r="A5793" s="1" t="s">
        <v>8</v>
      </c>
      <c r="B5793" s="2">
        <v>44728.0</v>
      </c>
      <c r="C5793" s="3">
        <v>0.726574074074074</v>
      </c>
      <c r="D5793" s="1">
        <v>13.042819</v>
      </c>
      <c r="E5793" s="1">
        <v>80.24757</v>
      </c>
      <c r="F5793" s="1">
        <v>5339.0</v>
      </c>
      <c r="G5793" s="1">
        <v>25.0</v>
      </c>
    </row>
    <row r="5794">
      <c r="A5794" s="1" t="s">
        <v>8</v>
      </c>
      <c r="B5794" s="2">
        <v>44728.0</v>
      </c>
      <c r="C5794" s="3">
        <v>0.7266087962962963</v>
      </c>
      <c r="D5794" s="1">
        <v>13.042819</v>
      </c>
      <c r="E5794" s="1">
        <v>80.24757</v>
      </c>
      <c r="F5794" s="1">
        <v>5339.0</v>
      </c>
      <c r="G5794" s="1">
        <v>25.0</v>
      </c>
    </row>
    <row r="5795">
      <c r="A5795" s="1" t="s">
        <v>8</v>
      </c>
      <c r="B5795" s="2">
        <v>44728.0</v>
      </c>
      <c r="C5795" s="3">
        <v>0.7267013888888889</v>
      </c>
      <c r="D5795" s="1">
        <v>13.043612</v>
      </c>
      <c r="E5795" s="1">
        <v>80.247742</v>
      </c>
      <c r="F5795" s="1">
        <v>5339.0</v>
      </c>
      <c r="G5795" s="1">
        <v>30.0</v>
      </c>
    </row>
    <row r="5796">
      <c r="A5796" s="1" t="s">
        <v>8</v>
      </c>
      <c r="B5796" s="2">
        <v>44728.0</v>
      </c>
      <c r="C5796" s="3">
        <v>0.7267013888888889</v>
      </c>
      <c r="D5796" s="1">
        <v>13.043612</v>
      </c>
      <c r="E5796" s="1">
        <v>80.247742</v>
      </c>
      <c r="F5796" s="1">
        <v>5339.0</v>
      </c>
      <c r="G5796" s="1">
        <v>30.0</v>
      </c>
    </row>
    <row r="5797">
      <c r="A5797" s="1" t="s">
        <v>10</v>
      </c>
      <c r="B5797" s="2">
        <v>44728.0</v>
      </c>
      <c r="C5797" s="3">
        <v>0.7269907407407408</v>
      </c>
      <c r="D5797" s="1">
        <v>12.684926</v>
      </c>
      <c r="E5797" s="1">
        <v>79.983525</v>
      </c>
      <c r="F5797" s="1">
        <v>2846.0</v>
      </c>
      <c r="G5797" s="1">
        <v>20.0</v>
      </c>
    </row>
    <row r="5798">
      <c r="A5798" s="1" t="s">
        <v>8</v>
      </c>
      <c r="B5798" s="2">
        <v>44728.0</v>
      </c>
      <c r="C5798" s="3">
        <v>0.7273263888888889</v>
      </c>
      <c r="D5798" s="1">
        <v>13.045654</v>
      </c>
      <c r="E5798" s="1">
        <v>80.248149</v>
      </c>
      <c r="F5798" s="1">
        <v>5339.0</v>
      </c>
      <c r="G5798" s="1">
        <v>30.0</v>
      </c>
    </row>
    <row r="5799">
      <c r="A5799" s="1" t="s">
        <v>8</v>
      </c>
      <c r="B5799" s="2">
        <v>44728.0</v>
      </c>
      <c r="C5799" s="3">
        <v>0.7273611111111111</v>
      </c>
      <c r="D5799" s="1">
        <v>13.045654</v>
      </c>
      <c r="E5799" s="1">
        <v>80.248149</v>
      </c>
      <c r="F5799" s="1">
        <v>5339.0</v>
      </c>
      <c r="G5799" s="1">
        <v>30.0</v>
      </c>
    </row>
    <row r="5800">
      <c r="A5800" s="1" t="s">
        <v>8</v>
      </c>
      <c r="B5800" s="2">
        <v>44728.0</v>
      </c>
      <c r="C5800" s="3">
        <v>0.7273726851851852</v>
      </c>
      <c r="D5800" s="1">
        <v>13.045654</v>
      </c>
      <c r="E5800" s="1">
        <v>80.248149</v>
      </c>
      <c r="F5800" s="1">
        <v>5339.0</v>
      </c>
      <c r="G5800" s="1">
        <v>30.0</v>
      </c>
    </row>
    <row r="5801">
      <c r="A5801" s="1" t="s">
        <v>8</v>
      </c>
      <c r="B5801" s="2">
        <v>44728.0</v>
      </c>
      <c r="C5801" s="3">
        <v>0.7275578703703703</v>
      </c>
      <c r="D5801" s="1">
        <v>13.047058</v>
      </c>
      <c r="E5801" s="1">
        <v>80.248454</v>
      </c>
      <c r="F5801" s="1">
        <v>5339.0</v>
      </c>
      <c r="G5801" s="1">
        <v>26.0</v>
      </c>
    </row>
    <row r="5802">
      <c r="A5802" s="1" t="s">
        <v>8</v>
      </c>
      <c r="B5802" s="2">
        <v>44728.0</v>
      </c>
      <c r="C5802" s="3">
        <v>0.7275694444444445</v>
      </c>
      <c r="D5802" s="1">
        <v>13.047058</v>
      </c>
      <c r="E5802" s="1">
        <v>80.248454</v>
      </c>
      <c r="F5802" s="1">
        <v>5339.0</v>
      </c>
      <c r="G5802" s="1">
        <v>26.0</v>
      </c>
    </row>
    <row r="5803">
      <c r="A5803" s="1" t="s">
        <v>8</v>
      </c>
      <c r="B5803" s="2">
        <v>44728.0</v>
      </c>
      <c r="C5803" s="3">
        <v>0.728275462962963</v>
      </c>
      <c r="D5803" s="1">
        <v>13.052521</v>
      </c>
      <c r="E5803" s="1">
        <v>80.251256</v>
      </c>
      <c r="F5803" s="1">
        <v>5339.0</v>
      </c>
      <c r="G5803" s="1">
        <v>39.0</v>
      </c>
    </row>
    <row r="5804">
      <c r="A5804" s="1" t="s">
        <v>8</v>
      </c>
      <c r="B5804" s="2">
        <v>44728.0</v>
      </c>
      <c r="C5804" s="3">
        <v>0.728761574074074</v>
      </c>
      <c r="D5804" s="1">
        <v>13.052521</v>
      </c>
      <c r="E5804" s="1">
        <v>80.251256</v>
      </c>
      <c r="F5804" s="1">
        <v>5339.0</v>
      </c>
      <c r="G5804" s="1">
        <v>39.0</v>
      </c>
    </row>
    <row r="5805">
      <c r="A5805" s="1" t="s">
        <v>8</v>
      </c>
      <c r="B5805" s="2">
        <v>44728.0</v>
      </c>
      <c r="C5805" s="3">
        <v>0.7287731481481482</v>
      </c>
      <c r="D5805" s="1">
        <v>13.054475</v>
      </c>
      <c r="E5805" s="1">
        <v>80.253894</v>
      </c>
      <c r="F5805" s="1">
        <v>5339.0</v>
      </c>
      <c r="G5805" s="1">
        <v>27.0</v>
      </c>
    </row>
    <row r="5806">
      <c r="A5806" s="1" t="s">
        <v>8</v>
      </c>
      <c r="B5806" s="2">
        <v>44728.0</v>
      </c>
      <c r="C5806" s="3">
        <v>0.7287962962962963</v>
      </c>
      <c r="D5806" s="1">
        <v>13.054475</v>
      </c>
      <c r="E5806" s="1">
        <v>80.253894</v>
      </c>
      <c r="F5806" s="1">
        <v>5339.0</v>
      </c>
      <c r="G5806" s="1">
        <v>27.0</v>
      </c>
    </row>
    <row r="5807">
      <c r="A5807" s="1" t="s">
        <v>8</v>
      </c>
      <c r="B5807" s="2">
        <v>44728.0</v>
      </c>
      <c r="C5807" s="3">
        <v>0.7288888888888889</v>
      </c>
      <c r="D5807" s="1">
        <v>13.054475</v>
      </c>
      <c r="E5807" s="1">
        <v>80.253894</v>
      </c>
      <c r="F5807" s="1">
        <v>5339.0</v>
      </c>
      <c r="G5807" s="1">
        <v>27.0</v>
      </c>
    </row>
    <row r="5808">
      <c r="A5808" s="1" t="s">
        <v>8</v>
      </c>
      <c r="B5808" s="2">
        <v>44728.0</v>
      </c>
      <c r="C5808" s="3">
        <v>0.728900462962963</v>
      </c>
      <c r="D5808" s="1">
        <v>13.054902</v>
      </c>
      <c r="E5808" s="1">
        <v>80.254445</v>
      </c>
      <c r="F5808" s="1">
        <v>5339.0</v>
      </c>
      <c r="G5808" s="1">
        <v>25.0</v>
      </c>
    </row>
    <row r="5809">
      <c r="A5809" s="1" t="s">
        <v>10</v>
      </c>
      <c r="B5809" s="2">
        <v>44728.0</v>
      </c>
      <c r="C5809" s="3">
        <v>0.7297453703703703</v>
      </c>
      <c r="D5809" s="1">
        <v>12.676542</v>
      </c>
      <c r="E5809" s="1">
        <v>79.978615</v>
      </c>
      <c r="F5809" s="1">
        <v>2846.0</v>
      </c>
      <c r="G5809" s="1">
        <v>41.0</v>
      </c>
    </row>
    <row r="5810">
      <c r="A5810" s="1" t="s">
        <v>10</v>
      </c>
      <c r="B5810" s="2">
        <v>44728.0</v>
      </c>
      <c r="C5810" s="3">
        <v>0.7306134259259259</v>
      </c>
      <c r="D5810" s="1">
        <v>13.026156</v>
      </c>
      <c r="E5810" s="1">
        <v>80.265788</v>
      </c>
      <c r="F5810" s="1">
        <v>805.0</v>
      </c>
      <c r="G5810" s="1">
        <v>0.0</v>
      </c>
    </row>
    <row r="5811">
      <c r="A5811" s="1" t="s">
        <v>10</v>
      </c>
      <c r="B5811" s="2">
        <v>44728.0</v>
      </c>
      <c r="C5811" s="3">
        <v>0.7327430555555555</v>
      </c>
      <c r="D5811" s="1">
        <v>13.029248</v>
      </c>
      <c r="E5811" s="1">
        <v>80.266234</v>
      </c>
      <c r="F5811" s="1">
        <v>805.0</v>
      </c>
      <c r="G5811" s="1">
        <v>3.0</v>
      </c>
    </row>
    <row r="5812">
      <c r="A5812" s="1" t="s">
        <v>7</v>
      </c>
      <c r="B5812" s="2">
        <v>44728.0</v>
      </c>
      <c r="C5812" s="3">
        <v>0.7336226851851851</v>
      </c>
      <c r="D5812" s="1">
        <v>12.657183</v>
      </c>
      <c r="E5812" s="1">
        <v>79.957266</v>
      </c>
      <c r="F5812" s="1">
        <v>2846.0</v>
      </c>
      <c r="G5812" s="1">
        <v>31.0</v>
      </c>
    </row>
    <row r="5813">
      <c r="A5813" s="1" t="s">
        <v>7</v>
      </c>
      <c r="B5813" s="2">
        <v>44728.0</v>
      </c>
      <c r="C5813" s="3">
        <v>0.733761574074074</v>
      </c>
      <c r="D5813" s="1">
        <v>12.656608</v>
      </c>
      <c r="E5813" s="1">
        <v>79.955661</v>
      </c>
      <c r="F5813" s="1">
        <v>2846.0</v>
      </c>
      <c r="G5813" s="1">
        <v>48.0</v>
      </c>
    </row>
    <row r="5814">
      <c r="A5814" s="1" t="s">
        <v>10</v>
      </c>
      <c r="B5814" s="2">
        <v>44728.0</v>
      </c>
      <c r="C5814" s="3">
        <v>0.7337962962962963</v>
      </c>
      <c r="D5814" s="1">
        <v>13.053298</v>
      </c>
      <c r="E5814" s="1">
        <v>80.270776</v>
      </c>
      <c r="F5814" s="1">
        <v>5339.0</v>
      </c>
      <c r="G5814" s="1">
        <v>26.0</v>
      </c>
    </row>
    <row r="5815">
      <c r="A5815" s="1" t="s">
        <v>10</v>
      </c>
      <c r="B5815" s="2">
        <v>44728.0</v>
      </c>
      <c r="C5815" s="3">
        <v>0.7339583333333334</v>
      </c>
      <c r="D5815" s="1">
        <v>13.053226</v>
      </c>
      <c r="E5815" s="1">
        <v>80.271436</v>
      </c>
      <c r="F5815" s="1">
        <v>5339.0</v>
      </c>
      <c r="G5815" s="1">
        <v>0.0</v>
      </c>
    </row>
    <row r="5816">
      <c r="A5816" s="1" t="s">
        <v>7</v>
      </c>
      <c r="B5816" s="2">
        <v>44728.0</v>
      </c>
      <c r="C5816" s="3">
        <v>0.7351736111111111</v>
      </c>
      <c r="D5816" s="1">
        <v>12.65794</v>
      </c>
      <c r="E5816" s="1">
        <v>79.944369</v>
      </c>
      <c r="F5816" s="1">
        <v>2846.0</v>
      </c>
      <c r="G5816" s="1">
        <v>40.0</v>
      </c>
    </row>
    <row r="5817">
      <c r="A5817" s="1" t="s">
        <v>7</v>
      </c>
      <c r="B5817" s="2">
        <v>44728.0</v>
      </c>
      <c r="C5817" s="3">
        <v>0.7352893518518518</v>
      </c>
      <c r="D5817" s="1">
        <v>12.65794</v>
      </c>
      <c r="E5817" s="1">
        <v>79.944369</v>
      </c>
      <c r="F5817" s="1">
        <v>2846.0</v>
      </c>
      <c r="G5817" s="1">
        <v>40.0</v>
      </c>
    </row>
    <row r="5818">
      <c r="A5818" s="1" t="s">
        <v>8</v>
      </c>
      <c r="B5818" s="2">
        <v>44728.0</v>
      </c>
      <c r="C5818" s="3">
        <v>0.7362152777777777</v>
      </c>
      <c r="D5818" s="1">
        <v>12.648184</v>
      </c>
      <c r="E5818" s="1">
        <v>79.940815</v>
      </c>
      <c r="F5818" s="1">
        <v>2846.0</v>
      </c>
      <c r="G5818" s="1">
        <v>50.0</v>
      </c>
    </row>
    <row r="5819">
      <c r="A5819" s="1" t="s">
        <v>7</v>
      </c>
      <c r="B5819" s="2">
        <v>44728.0</v>
      </c>
      <c r="C5819" s="3">
        <v>0.7363310185185186</v>
      </c>
      <c r="D5819" s="1">
        <v>12.648184</v>
      </c>
      <c r="E5819" s="1">
        <v>79.940815</v>
      </c>
      <c r="F5819" s="1">
        <v>2846.0</v>
      </c>
      <c r="G5819" s="1">
        <v>50.0</v>
      </c>
    </row>
    <row r="5820">
      <c r="A5820" s="1" t="s">
        <v>7</v>
      </c>
      <c r="B5820" s="2">
        <v>44728.0</v>
      </c>
      <c r="C5820" s="3">
        <v>0.7363773148148148</v>
      </c>
      <c r="D5820" s="1">
        <v>12.648184</v>
      </c>
      <c r="E5820" s="1">
        <v>79.940815</v>
      </c>
      <c r="F5820" s="1">
        <v>2846.0</v>
      </c>
      <c r="G5820" s="1">
        <v>50.0</v>
      </c>
    </row>
    <row r="5821">
      <c r="A5821" s="1" t="s">
        <v>10</v>
      </c>
      <c r="B5821" s="2">
        <v>44728.0</v>
      </c>
      <c r="C5821" s="3">
        <v>0.7365277777777778</v>
      </c>
      <c r="D5821" s="1">
        <v>13.059406</v>
      </c>
      <c r="E5821" s="1">
        <v>80.274235</v>
      </c>
      <c r="F5821" s="1">
        <v>5339.0</v>
      </c>
      <c r="G5821" s="1">
        <v>23.0</v>
      </c>
    </row>
    <row r="5822">
      <c r="A5822" s="1" t="s">
        <v>10</v>
      </c>
      <c r="B5822" s="2">
        <v>44728.0</v>
      </c>
      <c r="C5822" s="3">
        <v>0.737349537037037</v>
      </c>
      <c r="D5822" s="1">
        <v>13.061876</v>
      </c>
      <c r="E5822" s="1">
        <v>80.274294</v>
      </c>
      <c r="F5822" s="1">
        <v>5339.0</v>
      </c>
      <c r="G5822" s="1">
        <v>24.0</v>
      </c>
    </row>
    <row r="5823">
      <c r="A5823" s="1" t="s">
        <v>10</v>
      </c>
      <c r="B5823" s="2">
        <v>44728.0</v>
      </c>
      <c r="C5823" s="3">
        <v>0.7376273148148148</v>
      </c>
      <c r="D5823" s="1">
        <v>13.0631</v>
      </c>
      <c r="E5823" s="1">
        <v>80.274142</v>
      </c>
      <c r="F5823" s="1">
        <v>5339.0</v>
      </c>
      <c r="G5823" s="1">
        <v>11.0</v>
      </c>
    </row>
    <row r="5824">
      <c r="A5824" s="1" t="s">
        <v>10</v>
      </c>
      <c r="B5824" s="2">
        <v>44728.0</v>
      </c>
      <c r="C5824" s="3">
        <v>0.7379282407407407</v>
      </c>
      <c r="D5824" s="1">
        <v>13.064085</v>
      </c>
      <c r="E5824" s="1">
        <v>80.274024</v>
      </c>
      <c r="F5824" s="1">
        <v>5339.0</v>
      </c>
      <c r="G5824" s="1">
        <v>13.0</v>
      </c>
    </row>
    <row r="5825">
      <c r="A5825" s="1" t="s">
        <v>10</v>
      </c>
      <c r="B5825" s="2">
        <v>44728.0</v>
      </c>
      <c r="C5825" s="3">
        <v>0.7380439814814815</v>
      </c>
      <c r="D5825" s="1">
        <v>13.064085</v>
      </c>
      <c r="E5825" s="1">
        <v>80.274024</v>
      </c>
      <c r="F5825" s="1">
        <v>5339.0</v>
      </c>
      <c r="G5825" s="1">
        <v>13.0</v>
      </c>
    </row>
    <row r="5826">
      <c r="A5826" s="1" t="s">
        <v>10</v>
      </c>
      <c r="B5826" s="2">
        <v>44728.0</v>
      </c>
      <c r="C5826" s="3">
        <v>0.7381018518518518</v>
      </c>
      <c r="D5826" s="1">
        <v>13.064534</v>
      </c>
      <c r="E5826" s="1">
        <v>80.273982</v>
      </c>
      <c r="F5826" s="1">
        <v>5339.0</v>
      </c>
      <c r="G5826" s="1">
        <v>12.0</v>
      </c>
    </row>
    <row r="5827">
      <c r="A5827" s="1" t="s">
        <v>7</v>
      </c>
      <c r="B5827" s="2">
        <v>44728.0</v>
      </c>
      <c r="C5827" s="3">
        <v>0.7386805555555556</v>
      </c>
      <c r="D5827" s="1">
        <v>12.628316</v>
      </c>
      <c r="E5827" s="1">
        <v>79.930521</v>
      </c>
      <c r="F5827" s="1">
        <v>2846.0</v>
      </c>
      <c r="G5827" s="1">
        <v>43.0</v>
      </c>
    </row>
    <row r="5828">
      <c r="A5828" s="1" t="s">
        <v>8</v>
      </c>
      <c r="B5828" s="2">
        <v>44728.0</v>
      </c>
      <c r="C5828" s="3">
        <v>0.7388310185185185</v>
      </c>
      <c r="D5828" s="1">
        <v>12.626677</v>
      </c>
      <c r="E5828" s="1">
        <v>79.929791</v>
      </c>
      <c r="F5828" s="1">
        <v>2846.0</v>
      </c>
      <c r="G5828" s="1">
        <v>53.0</v>
      </c>
    </row>
    <row r="5829">
      <c r="A5829" s="1" t="s">
        <v>7</v>
      </c>
      <c r="B5829" s="2">
        <v>44728.0</v>
      </c>
      <c r="C5829" s="3">
        <v>0.7390277777777777</v>
      </c>
      <c r="D5829" s="1">
        <v>12.62454</v>
      </c>
      <c r="E5829" s="1">
        <v>79.928868</v>
      </c>
      <c r="F5829" s="1">
        <v>2846.0</v>
      </c>
      <c r="G5829" s="1">
        <v>58.0</v>
      </c>
    </row>
    <row r="5830">
      <c r="A5830" s="1" t="s">
        <v>7</v>
      </c>
      <c r="B5830" s="2">
        <v>44728.0</v>
      </c>
      <c r="C5830" s="3">
        <v>0.7398958333333333</v>
      </c>
      <c r="D5830" s="1">
        <v>12.613751</v>
      </c>
      <c r="E5830" s="1">
        <v>79.924899</v>
      </c>
      <c r="F5830" s="1">
        <v>2846.0</v>
      </c>
      <c r="G5830" s="1">
        <v>55.0</v>
      </c>
    </row>
    <row r="5831">
      <c r="A5831" s="1" t="s">
        <v>10</v>
      </c>
      <c r="B5831" s="2">
        <v>44728.0</v>
      </c>
      <c r="C5831" s="3">
        <v>0.7416898148148148</v>
      </c>
      <c r="D5831" s="1">
        <v>13.068251</v>
      </c>
      <c r="E5831" s="1">
        <v>80.269226</v>
      </c>
      <c r="F5831" s="1">
        <v>5339.0</v>
      </c>
      <c r="G5831" s="1">
        <v>10.0</v>
      </c>
    </row>
    <row r="5832">
      <c r="A5832" s="1" t="s">
        <v>10</v>
      </c>
      <c r="B5832" s="2">
        <v>44728.0</v>
      </c>
      <c r="C5832" s="3">
        <v>0.7438078703703703</v>
      </c>
      <c r="D5832" s="1">
        <v>13.071516</v>
      </c>
      <c r="E5832" s="1">
        <v>80.26464</v>
      </c>
      <c r="F5832" s="1">
        <v>5339.0</v>
      </c>
      <c r="G5832" s="1">
        <v>25.0</v>
      </c>
    </row>
    <row r="5833">
      <c r="A5833" s="1" t="s">
        <v>7</v>
      </c>
      <c r="B5833" s="2">
        <v>44728.0</v>
      </c>
      <c r="C5833" s="3">
        <v>0.7442245370370371</v>
      </c>
      <c r="D5833" s="1">
        <v>12.564052</v>
      </c>
      <c r="E5833" s="1">
        <v>79.913675</v>
      </c>
      <c r="F5833" s="1">
        <v>2846.0</v>
      </c>
      <c r="G5833" s="1">
        <v>56.0</v>
      </c>
    </row>
    <row r="5834">
      <c r="A5834" s="1" t="s">
        <v>7</v>
      </c>
      <c r="B5834" s="2">
        <v>44728.0</v>
      </c>
      <c r="C5834" s="3">
        <v>0.7443518518518518</v>
      </c>
      <c r="D5834" s="1">
        <v>12.562129</v>
      </c>
      <c r="E5834" s="1">
        <v>79.91256</v>
      </c>
      <c r="F5834" s="1">
        <v>2846.0</v>
      </c>
      <c r="G5834" s="1">
        <v>50.0</v>
      </c>
    </row>
    <row r="5835">
      <c r="A5835" s="1" t="s">
        <v>7</v>
      </c>
      <c r="B5835" s="2">
        <v>44728.0</v>
      </c>
      <c r="C5835" s="3">
        <v>0.7452662037037037</v>
      </c>
      <c r="D5835" s="1">
        <v>12.552495</v>
      </c>
      <c r="E5835" s="1">
        <v>79.907252</v>
      </c>
      <c r="F5835" s="1">
        <v>2846.0</v>
      </c>
      <c r="G5835" s="1">
        <v>56.0</v>
      </c>
    </row>
    <row r="5836">
      <c r="A5836" s="1" t="s">
        <v>7</v>
      </c>
      <c r="B5836" s="2">
        <v>44728.0</v>
      </c>
      <c r="C5836" s="3">
        <v>0.748125</v>
      </c>
      <c r="D5836" s="1">
        <v>12.540941</v>
      </c>
      <c r="E5836" s="1">
        <v>79.904513</v>
      </c>
      <c r="F5836" s="1">
        <v>2846.0</v>
      </c>
      <c r="G5836" s="1">
        <v>47.0</v>
      </c>
    </row>
    <row r="5837">
      <c r="A5837" s="1" t="s">
        <v>7</v>
      </c>
      <c r="B5837" s="2">
        <v>44728.0</v>
      </c>
      <c r="C5837" s="3">
        <v>0.7490972222222222</v>
      </c>
      <c r="D5837" s="1">
        <v>12.531959</v>
      </c>
      <c r="E5837" s="1">
        <v>79.900557</v>
      </c>
      <c r="F5837" s="1">
        <v>2846.0</v>
      </c>
      <c r="G5837" s="1">
        <v>46.0</v>
      </c>
    </row>
    <row r="5838">
      <c r="A5838" s="1" t="s">
        <v>7</v>
      </c>
      <c r="B5838" s="2">
        <v>44728.0</v>
      </c>
      <c r="C5838" s="3">
        <v>0.7497222222222222</v>
      </c>
      <c r="D5838" s="1">
        <v>12.527169</v>
      </c>
      <c r="E5838" s="1">
        <v>79.8981</v>
      </c>
      <c r="F5838" s="1">
        <v>2846.0</v>
      </c>
      <c r="G5838" s="1">
        <v>57.0</v>
      </c>
    </row>
    <row r="5839">
      <c r="A5839" s="1" t="s">
        <v>7</v>
      </c>
      <c r="B5839" s="2">
        <v>44728.0</v>
      </c>
      <c r="C5839" s="3">
        <v>0.7500810185185185</v>
      </c>
      <c r="D5839" s="1">
        <v>12.529035</v>
      </c>
      <c r="E5839" s="1">
        <v>79.899061</v>
      </c>
      <c r="F5839" s="1">
        <v>2846.0</v>
      </c>
      <c r="G5839" s="1">
        <v>45.0</v>
      </c>
    </row>
    <row r="5840">
      <c r="A5840" s="1" t="s">
        <v>7</v>
      </c>
      <c r="B5840" s="2">
        <v>44728.0</v>
      </c>
      <c r="C5840" s="3">
        <v>0.7501157407407407</v>
      </c>
      <c r="D5840" s="1">
        <v>12.523064</v>
      </c>
      <c r="E5840" s="1">
        <v>79.896239</v>
      </c>
      <c r="F5840" s="1">
        <v>2846.0</v>
      </c>
      <c r="G5840" s="1">
        <v>52.0</v>
      </c>
    </row>
    <row r="5841">
      <c r="A5841" s="1" t="s">
        <v>8</v>
      </c>
      <c r="B5841" s="2">
        <v>44728.0</v>
      </c>
      <c r="C5841" s="3">
        <v>0.7501273148148148</v>
      </c>
      <c r="D5841" s="1">
        <v>13.067671</v>
      </c>
      <c r="E5841" s="1">
        <v>80.247931</v>
      </c>
      <c r="F5841" s="1">
        <v>5339.0</v>
      </c>
      <c r="G5841" s="1">
        <v>24.0</v>
      </c>
    </row>
    <row r="5842">
      <c r="A5842" s="1" t="s">
        <v>8</v>
      </c>
      <c r="B5842" s="2">
        <v>44728.0</v>
      </c>
      <c r="C5842" s="3">
        <v>0.7501273148148148</v>
      </c>
      <c r="D5842" s="1">
        <v>13.067671</v>
      </c>
      <c r="E5842" s="1">
        <v>80.247931</v>
      </c>
      <c r="F5842" s="1">
        <v>5339.0</v>
      </c>
      <c r="G5842" s="1">
        <v>24.0</v>
      </c>
    </row>
    <row r="5843">
      <c r="A5843" s="1" t="s">
        <v>8</v>
      </c>
      <c r="B5843" s="2">
        <v>44728.0</v>
      </c>
      <c r="C5843" s="3">
        <v>0.7501388888888889</v>
      </c>
      <c r="D5843" s="1">
        <v>13.067671</v>
      </c>
      <c r="E5843" s="1">
        <v>80.247931</v>
      </c>
      <c r="F5843" s="1">
        <v>5339.0</v>
      </c>
      <c r="G5843" s="1">
        <v>24.0</v>
      </c>
    </row>
    <row r="5844">
      <c r="A5844" s="1" t="s">
        <v>10</v>
      </c>
      <c r="B5844" s="2">
        <v>44728.0</v>
      </c>
      <c r="C5844" s="3">
        <v>0.7516203703703703</v>
      </c>
      <c r="D5844" s="1">
        <v>13.063894</v>
      </c>
      <c r="E5844" s="1">
        <v>80.250114</v>
      </c>
      <c r="F5844" s="1">
        <v>5339.0</v>
      </c>
      <c r="G5844" s="1">
        <v>0.0</v>
      </c>
    </row>
    <row r="5845">
      <c r="A5845" s="1" t="s">
        <v>10</v>
      </c>
      <c r="B5845" s="2">
        <v>44728.0</v>
      </c>
      <c r="C5845" s="3">
        <v>0.752800925925926</v>
      </c>
      <c r="D5845" s="1">
        <v>12.510522</v>
      </c>
      <c r="E5845" s="1">
        <v>79.885043</v>
      </c>
      <c r="F5845" s="1">
        <v>2846.0</v>
      </c>
      <c r="G5845" s="1">
        <v>12.0</v>
      </c>
    </row>
    <row r="5846">
      <c r="A5846" s="1" t="s">
        <v>10</v>
      </c>
      <c r="B5846" s="2">
        <v>44728.0</v>
      </c>
      <c r="C5846" s="3">
        <v>0.7535995370370371</v>
      </c>
      <c r="D5846" s="1">
        <v>12.509314</v>
      </c>
      <c r="E5846" s="1">
        <v>79.884848</v>
      </c>
      <c r="F5846" s="1">
        <v>2846.0</v>
      </c>
      <c r="G5846" s="1">
        <v>0.0</v>
      </c>
    </row>
    <row r="5847">
      <c r="A5847" s="1" t="s">
        <v>7</v>
      </c>
      <c r="B5847" s="2">
        <v>44729.0</v>
      </c>
      <c r="C5847" s="3">
        <v>0.21847222222222223</v>
      </c>
      <c r="D5847" s="1">
        <v>12.516918</v>
      </c>
      <c r="E5847" s="1">
        <v>79.889812</v>
      </c>
      <c r="F5847" s="1">
        <v>2846.0</v>
      </c>
      <c r="G5847" s="1">
        <v>52.0</v>
      </c>
    </row>
    <row r="5848">
      <c r="A5848" s="1" t="s">
        <v>10</v>
      </c>
      <c r="B5848" s="2">
        <v>44729.0</v>
      </c>
      <c r="C5848" s="3">
        <v>0.2911226851851852</v>
      </c>
      <c r="D5848" s="1">
        <v>12.509047</v>
      </c>
      <c r="E5848" s="1">
        <v>79.88474</v>
      </c>
      <c r="F5848" s="1">
        <v>2846.0</v>
      </c>
      <c r="G5848" s="1">
        <v>12.0</v>
      </c>
    </row>
    <row r="5849">
      <c r="A5849" s="1" t="s">
        <v>8</v>
      </c>
      <c r="B5849" s="2">
        <v>44729.0</v>
      </c>
      <c r="C5849" s="3">
        <v>0.2969212962962963</v>
      </c>
      <c r="D5849" s="1">
        <v>13.062876</v>
      </c>
      <c r="E5849" s="1">
        <v>80.244685</v>
      </c>
      <c r="F5849" s="1">
        <v>5339.0</v>
      </c>
      <c r="G5849" s="1">
        <v>23.0</v>
      </c>
    </row>
    <row r="5850">
      <c r="A5850" s="1" t="s">
        <v>7</v>
      </c>
      <c r="B5850" s="2">
        <v>44729.0</v>
      </c>
      <c r="C5850" s="3">
        <v>0.2972106481481481</v>
      </c>
      <c r="D5850" s="1">
        <v>12.524164</v>
      </c>
      <c r="E5850" s="1">
        <v>79.896519</v>
      </c>
      <c r="F5850" s="1">
        <v>2846.0</v>
      </c>
      <c r="G5850" s="1">
        <v>58.0</v>
      </c>
    </row>
    <row r="5851">
      <c r="A5851" s="1" t="s">
        <v>7</v>
      </c>
      <c r="B5851" s="2">
        <v>44729.0</v>
      </c>
      <c r="C5851" s="3">
        <v>0.29739583333333336</v>
      </c>
      <c r="D5851" s="1">
        <v>12.526797</v>
      </c>
      <c r="E5851" s="1">
        <v>79.897717</v>
      </c>
      <c r="F5851" s="1">
        <v>2846.0</v>
      </c>
      <c r="G5851" s="1">
        <v>56.0</v>
      </c>
    </row>
    <row r="5852">
      <c r="A5852" s="1" t="s">
        <v>8</v>
      </c>
      <c r="B5852" s="2">
        <v>44729.0</v>
      </c>
      <c r="C5852" s="3">
        <v>0.2976273148148148</v>
      </c>
      <c r="D5852" s="1">
        <v>13.066211</v>
      </c>
      <c r="E5852" s="1">
        <v>80.24458</v>
      </c>
      <c r="F5852" s="1">
        <v>5339.0</v>
      </c>
      <c r="G5852" s="1">
        <v>41.0</v>
      </c>
    </row>
    <row r="5853">
      <c r="A5853" s="1" t="s">
        <v>8</v>
      </c>
      <c r="B5853" s="2">
        <v>44729.0</v>
      </c>
      <c r="C5853" s="3">
        <v>0.2978703703703704</v>
      </c>
      <c r="D5853" s="1">
        <v>13.067059</v>
      </c>
      <c r="E5853" s="1">
        <v>80.246138</v>
      </c>
      <c r="F5853" s="1">
        <v>5339.0</v>
      </c>
      <c r="G5853" s="1">
        <v>39.0</v>
      </c>
    </row>
    <row r="5854">
      <c r="A5854" s="1" t="s">
        <v>8</v>
      </c>
      <c r="B5854" s="2">
        <v>44729.0</v>
      </c>
      <c r="C5854" s="3">
        <v>0.298125</v>
      </c>
      <c r="D5854" s="1">
        <v>13.065838</v>
      </c>
      <c r="E5854" s="1">
        <v>80.243493</v>
      </c>
      <c r="F5854" s="1">
        <v>805.0</v>
      </c>
      <c r="G5854" s="1">
        <v>12.0</v>
      </c>
    </row>
    <row r="5855">
      <c r="A5855" s="1" t="s">
        <v>8</v>
      </c>
      <c r="B5855" s="2">
        <v>44729.0</v>
      </c>
      <c r="C5855" s="3">
        <v>0.29813657407407407</v>
      </c>
      <c r="D5855" s="1">
        <v>13.066132</v>
      </c>
      <c r="E5855" s="1">
        <v>80.24373</v>
      </c>
      <c r="F5855" s="1">
        <v>805.0</v>
      </c>
      <c r="G5855" s="1">
        <v>24.0</v>
      </c>
    </row>
    <row r="5856">
      <c r="A5856" s="1" t="s">
        <v>7</v>
      </c>
      <c r="B5856" s="2">
        <v>44729.0</v>
      </c>
      <c r="C5856" s="3">
        <v>0.2987152777777778</v>
      </c>
      <c r="D5856" s="1">
        <v>12.534963</v>
      </c>
      <c r="E5856" s="1">
        <v>79.901706</v>
      </c>
      <c r="F5856" s="1">
        <v>2846.0</v>
      </c>
      <c r="G5856" s="1">
        <v>46.0</v>
      </c>
    </row>
    <row r="5857">
      <c r="A5857" s="1" t="s">
        <v>7</v>
      </c>
      <c r="B5857" s="2">
        <v>44729.0</v>
      </c>
      <c r="C5857" s="3">
        <v>0.2997916666666667</v>
      </c>
      <c r="D5857" s="1">
        <v>12.545331</v>
      </c>
      <c r="E5857" s="1">
        <v>79.905178</v>
      </c>
      <c r="F5857" s="1">
        <v>2846.0</v>
      </c>
      <c r="G5857" s="1">
        <v>53.0</v>
      </c>
    </row>
    <row r="5858">
      <c r="A5858" s="1" t="s">
        <v>7</v>
      </c>
      <c r="B5858" s="2">
        <v>44729.0</v>
      </c>
      <c r="C5858" s="3">
        <v>0.3022222222222222</v>
      </c>
      <c r="D5858" s="1">
        <v>12.57354</v>
      </c>
      <c r="E5858" s="1">
        <v>79.916523</v>
      </c>
      <c r="F5858" s="1">
        <v>2846.0</v>
      </c>
      <c r="G5858" s="1">
        <v>58.0</v>
      </c>
    </row>
    <row r="5859">
      <c r="A5859" s="1" t="s">
        <v>7</v>
      </c>
      <c r="B5859" s="2">
        <v>44729.0</v>
      </c>
      <c r="C5859" s="3">
        <v>0.3023958333333333</v>
      </c>
      <c r="D5859" s="1">
        <v>13.063045</v>
      </c>
      <c r="E5859" s="1">
        <v>80.264058</v>
      </c>
      <c r="F5859" s="1">
        <v>805.0</v>
      </c>
      <c r="G5859" s="1">
        <v>47.0</v>
      </c>
    </row>
    <row r="5860">
      <c r="A5860" s="1" t="s">
        <v>7</v>
      </c>
      <c r="B5860" s="2">
        <v>44729.0</v>
      </c>
      <c r="C5860" s="3">
        <v>0.30246527777777776</v>
      </c>
      <c r="D5860" s="1">
        <v>12.576414</v>
      </c>
      <c r="E5860" s="1">
        <v>79.917056</v>
      </c>
      <c r="F5860" s="1">
        <v>2846.0</v>
      </c>
      <c r="G5860" s="1">
        <v>58.0</v>
      </c>
    </row>
    <row r="5861">
      <c r="A5861" s="1" t="s">
        <v>7</v>
      </c>
      <c r="B5861" s="2">
        <v>44729.0</v>
      </c>
      <c r="C5861" s="3">
        <v>0.3027199074074074</v>
      </c>
      <c r="D5861" s="1">
        <v>12.579199</v>
      </c>
      <c r="E5861" s="1">
        <v>79.917847</v>
      </c>
      <c r="F5861" s="1">
        <v>2846.0</v>
      </c>
      <c r="G5861" s="1">
        <v>57.0</v>
      </c>
    </row>
    <row r="5862">
      <c r="A5862" s="1" t="s">
        <v>7</v>
      </c>
      <c r="B5862" s="2">
        <v>44729.0</v>
      </c>
      <c r="C5862" s="3">
        <v>0.3028356481481482</v>
      </c>
      <c r="D5862" s="1">
        <v>12.581913</v>
      </c>
      <c r="E5862" s="1">
        <v>79.918891</v>
      </c>
      <c r="F5862" s="1">
        <v>2846.0</v>
      </c>
      <c r="G5862" s="1">
        <v>57.0</v>
      </c>
    </row>
    <row r="5863">
      <c r="A5863" s="1" t="s">
        <v>8</v>
      </c>
      <c r="B5863" s="2">
        <v>44729.0</v>
      </c>
      <c r="C5863" s="3">
        <v>0.30333333333333334</v>
      </c>
      <c r="D5863" s="1">
        <v>13.068368</v>
      </c>
      <c r="E5863" s="1">
        <v>80.269358</v>
      </c>
      <c r="F5863" s="1">
        <v>5339.0</v>
      </c>
      <c r="G5863" s="1">
        <v>24.0</v>
      </c>
    </row>
    <row r="5864">
      <c r="A5864" s="1" t="s">
        <v>7</v>
      </c>
      <c r="B5864" s="2">
        <v>44729.0</v>
      </c>
      <c r="C5864" s="3">
        <v>0.30365740740740743</v>
      </c>
      <c r="D5864" s="1">
        <v>12.592078</v>
      </c>
      <c r="E5864" s="1">
        <v>79.919171</v>
      </c>
      <c r="F5864" s="1">
        <v>2846.0</v>
      </c>
      <c r="G5864" s="1">
        <v>57.0</v>
      </c>
    </row>
    <row r="5865">
      <c r="A5865" s="1" t="s">
        <v>7</v>
      </c>
      <c r="B5865" s="2">
        <v>44729.0</v>
      </c>
      <c r="C5865" s="3">
        <v>0.3044791666666667</v>
      </c>
      <c r="D5865" s="1">
        <v>12.602232</v>
      </c>
      <c r="E5865" s="1">
        <v>79.920118</v>
      </c>
      <c r="F5865" s="1">
        <v>2846.0</v>
      </c>
      <c r="G5865" s="1">
        <v>57.0</v>
      </c>
    </row>
    <row r="5866">
      <c r="A5866" s="1" t="s">
        <v>10</v>
      </c>
      <c r="B5866" s="2">
        <v>44729.0</v>
      </c>
      <c r="C5866" s="3">
        <v>0.3052662037037037</v>
      </c>
      <c r="D5866" s="1">
        <v>13.060754</v>
      </c>
      <c r="E5866" s="1">
        <v>80.265292</v>
      </c>
      <c r="F5866" s="1">
        <v>805.0</v>
      </c>
      <c r="G5866" s="1">
        <v>23.0</v>
      </c>
    </row>
    <row r="5867">
      <c r="A5867" s="1" t="s">
        <v>10</v>
      </c>
      <c r="B5867" s="2">
        <v>44729.0</v>
      </c>
      <c r="C5867" s="3">
        <v>0.3057638888888889</v>
      </c>
      <c r="D5867" s="1">
        <v>13.06357</v>
      </c>
      <c r="E5867" s="1">
        <v>80.274053</v>
      </c>
      <c r="F5867" s="1">
        <v>5339.0</v>
      </c>
      <c r="G5867" s="1">
        <v>24.0</v>
      </c>
    </row>
    <row r="5868">
      <c r="A5868" s="1" t="s">
        <v>7</v>
      </c>
      <c r="B5868" s="2">
        <v>44729.0</v>
      </c>
      <c r="C5868" s="3">
        <v>0.30649305555555556</v>
      </c>
      <c r="D5868" s="1">
        <v>12.623553</v>
      </c>
      <c r="E5868" s="1">
        <v>79.92829</v>
      </c>
      <c r="F5868" s="1">
        <v>2846.0</v>
      </c>
      <c r="G5868" s="1">
        <v>57.0</v>
      </c>
    </row>
    <row r="5869">
      <c r="A5869" s="1" t="s">
        <v>8</v>
      </c>
      <c r="B5869" s="2">
        <v>44729.0</v>
      </c>
      <c r="C5869" s="3">
        <v>0.30663194444444447</v>
      </c>
      <c r="D5869" s="1">
        <v>12.624881</v>
      </c>
      <c r="E5869" s="1">
        <v>79.928875</v>
      </c>
      <c r="F5869" s="1">
        <v>2846.0</v>
      </c>
      <c r="G5869" s="1">
        <v>57.0</v>
      </c>
    </row>
    <row r="5870">
      <c r="A5870" s="1" t="s">
        <v>8</v>
      </c>
      <c r="B5870" s="2">
        <v>44729.0</v>
      </c>
      <c r="C5870" s="3">
        <v>0.3068634259259259</v>
      </c>
      <c r="D5870" s="1">
        <v>12.627387</v>
      </c>
      <c r="E5870" s="1">
        <v>79.929976</v>
      </c>
      <c r="F5870" s="1">
        <v>2846.0</v>
      </c>
      <c r="G5870" s="1">
        <v>48.0</v>
      </c>
    </row>
    <row r="5871">
      <c r="A5871" s="1" t="s">
        <v>10</v>
      </c>
      <c r="B5871" s="2">
        <v>44729.0</v>
      </c>
      <c r="C5871" s="3">
        <v>0.3069675925925926</v>
      </c>
      <c r="D5871" s="1">
        <v>13.059912</v>
      </c>
      <c r="E5871" s="1">
        <v>80.274372</v>
      </c>
      <c r="F5871" s="1">
        <v>5339.0</v>
      </c>
      <c r="G5871" s="1">
        <v>14.0</v>
      </c>
    </row>
    <row r="5872">
      <c r="A5872" s="1" t="s">
        <v>10</v>
      </c>
      <c r="B5872" s="2">
        <v>44729.0</v>
      </c>
      <c r="C5872" s="3">
        <v>0.3070601851851852</v>
      </c>
      <c r="D5872" s="1">
        <v>13.059215</v>
      </c>
      <c r="E5872" s="1">
        <v>80.274285</v>
      </c>
      <c r="F5872" s="1">
        <v>5339.0</v>
      </c>
      <c r="G5872" s="1">
        <v>4.0</v>
      </c>
    </row>
    <row r="5873">
      <c r="A5873" s="1" t="s">
        <v>10</v>
      </c>
      <c r="B5873" s="2">
        <v>44729.0</v>
      </c>
      <c r="C5873" s="3">
        <v>0.30734953703703705</v>
      </c>
      <c r="D5873" s="1">
        <v>13.057695</v>
      </c>
      <c r="E5873" s="1">
        <v>80.27402</v>
      </c>
      <c r="F5873" s="1">
        <v>5339.0</v>
      </c>
      <c r="G5873" s="1">
        <v>27.0</v>
      </c>
    </row>
    <row r="5874">
      <c r="A5874" s="1" t="s">
        <v>10</v>
      </c>
      <c r="B5874" s="2">
        <v>44729.0</v>
      </c>
      <c r="C5874" s="3">
        <v>0.3075115740740741</v>
      </c>
      <c r="D5874" s="1">
        <v>13.057044</v>
      </c>
      <c r="E5874" s="1">
        <v>80.273928</v>
      </c>
      <c r="F5874" s="1">
        <v>5339.0</v>
      </c>
      <c r="G5874" s="1">
        <v>19.0</v>
      </c>
    </row>
    <row r="5875">
      <c r="A5875" s="1" t="s">
        <v>7</v>
      </c>
      <c r="B5875" s="2">
        <v>44729.0</v>
      </c>
      <c r="C5875" s="3">
        <v>0.3075925925925926</v>
      </c>
      <c r="D5875" s="1">
        <v>12.631994</v>
      </c>
      <c r="E5875" s="1">
        <v>79.931912</v>
      </c>
      <c r="F5875" s="1">
        <v>2846.0</v>
      </c>
      <c r="G5875" s="1">
        <v>47.0</v>
      </c>
    </row>
    <row r="5876">
      <c r="A5876" s="1" t="s">
        <v>7</v>
      </c>
      <c r="B5876" s="2">
        <v>44729.0</v>
      </c>
      <c r="C5876" s="3">
        <v>0.3088310185185185</v>
      </c>
      <c r="D5876" s="1">
        <v>12.644431</v>
      </c>
      <c r="E5876" s="1">
        <v>79.938924</v>
      </c>
      <c r="F5876" s="1">
        <v>2846.0</v>
      </c>
      <c r="G5876" s="1">
        <v>57.0</v>
      </c>
    </row>
    <row r="5877">
      <c r="A5877" s="1" t="s">
        <v>8</v>
      </c>
      <c r="B5877" s="2">
        <v>44729.0</v>
      </c>
      <c r="C5877" s="3">
        <v>0.3089236111111111</v>
      </c>
      <c r="D5877" s="1">
        <v>12.645683</v>
      </c>
      <c r="E5877" s="1">
        <v>79.939663</v>
      </c>
      <c r="F5877" s="1">
        <v>2846.0</v>
      </c>
      <c r="G5877" s="1">
        <v>56.0</v>
      </c>
    </row>
    <row r="5878">
      <c r="A5878" s="1" t="s">
        <v>8</v>
      </c>
      <c r="B5878" s="2">
        <v>44729.0</v>
      </c>
      <c r="C5878" s="3">
        <v>0.30895833333333333</v>
      </c>
      <c r="D5878" s="1">
        <v>12.646856</v>
      </c>
      <c r="E5878" s="1">
        <v>79.940259</v>
      </c>
      <c r="F5878" s="1">
        <v>2846.0</v>
      </c>
      <c r="G5878" s="1">
        <v>42.0</v>
      </c>
    </row>
    <row r="5879">
      <c r="A5879" s="1" t="s">
        <v>7</v>
      </c>
      <c r="B5879" s="2">
        <v>44729.0</v>
      </c>
      <c r="C5879" s="3">
        <v>0.3095717592592593</v>
      </c>
      <c r="D5879" s="1">
        <v>12.65215</v>
      </c>
      <c r="E5879" s="1">
        <v>79.940238</v>
      </c>
      <c r="F5879" s="1">
        <v>2846.0</v>
      </c>
      <c r="G5879" s="1">
        <v>57.0</v>
      </c>
    </row>
    <row r="5880">
      <c r="A5880" s="1" t="s">
        <v>7</v>
      </c>
      <c r="B5880" s="2">
        <v>44729.0</v>
      </c>
      <c r="C5880" s="3">
        <v>0.3097916666666667</v>
      </c>
      <c r="D5880" s="1">
        <v>12.656338</v>
      </c>
      <c r="E5880" s="1">
        <v>79.94038</v>
      </c>
      <c r="F5880" s="1">
        <v>2846.0</v>
      </c>
      <c r="G5880" s="1">
        <v>53.0</v>
      </c>
    </row>
    <row r="5881">
      <c r="A5881" s="1" t="s">
        <v>7</v>
      </c>
      <c r="B5881" s="2">
        <v>44729.0</v>
      </c>
      <c r="C5881" s="3">
        <v>0.30997685185185186</v>
      </c>
      <c r="D5881" s="1">
        <v>12.657514</v>
      </c>
      <c r="E5881" s="1">
        <v>79.94114</v>
      </c>
      <c r="F5881" s="1">
        <v>2846.0</v>
      </c>
      <c r="G5881" s="1">
        <v>58.0</v>
      </c>
    </row>
    <row r="5882">
      <c r="A5882" s="1" t="s">
        <v>7</v>
      </c>
      <c r="B5882" s="2">
        <v>44729.0</v>
      </c>
      <c r="C5882" s="3">
        <v>0.3101157407407407</v>
      </c>
      <c r="D5882" s="1">
        <v>12.658383</v>
      </c>
      <c r="E5882" s="1">
        <v>79.943849</v>
      </c>
      <c r="F5882" s="1">
        <v>2846.0</v>
      </c>
      <c r="G5882" s="1">
        <v>58.0</v>
      </c>
    </row>
    <row r="5883">
      <c r="A5883" s="1" t="s">
        <v>7</v>
      </c>
      <c r="B5883" s="2">
        <v>44729.0</v>
      </c>
      <c r="C5883" s="3">
        <v>0.31090277777777775</v>
      </c>
      <c r="D5883" s="1">
        <v>12.656128</v>
      </c>
      <c r="E5883" s="1">
        <v>79.951813</v>
      </c>
      <c r="F5883" s="1">
        <v>2846.0</v>
      </c>
      <c r="G5883" s="1">
        <v>59.0</v>
      </c>
    </row>
    <row r="5884">
      <c r="A5884" s="1" t="s">
        <v>10</v>
      </c>
      <c r="B5884" s="2">
        <v>44729.0</v>
      </c>
      <c r="C5884" s="3">
        <v>0.31092592592592594</v>
      </c>
      <c r="D5884" s="1">
        <v>13.047527</v>
      </c>
      <c r="E5884" s="1">
        <v>80.266294</v>
      </c>
      <c r="F5884" s="1">
        <v>805.0</v>
      </c>
      <c r="G5884" s="1">
        <v>9.0</v>
      </c>
    </row>
    <row r="5885">
      <c r="A5885" s="1" t="s">
        <v>7</v>
      </c>
      <c r="B5885" s="2">
        <v>44729.0</v>
      </c>
      <c r="C5885" s="3">
        <v>0.3110185185185185</v>
      </c>
      <c r="D5885" s="1">
        <v>12.656128</v>
      </c>
      <c r="E5885" s="1">
        <v>79.951813</v>
      </c>
      <c r="F5885" s="1">
        <v>2846.0</v>
      </c>
      <c r="G5885" s="1">
        <v>59.0</v>
      </c>
    </row>
    <row r="5886">
      <c r="A5886" s="1" t="s">
        <v>10</v>
      </c>
      <c r="B5886" s="2">
        <v>44729.0</v>
      </c>
      <c r="C5886" s="3">
        <v>0.31175925925925924</v>
      </c>
      <c r="D5886" s="1">
        <v>13.045032</v>
      </c>
      <c r="E5886" s="1">
        <v>80.266757</v>
      </c>
      <c r="F5886" s="1">
        <v>805.0</v>
      </c>
      <c r="G5886" s="1">
        <v>30.0</v>
      </c>
    </row>
    <row r="5887">
      <c r="A5887" s="1" t="s">
        <v>8</v>
      </c>
      <c r="B5887" s="2">
        <v>44729.0</v>
      </c>
      <c r="C5887" s="3">
        <v>0.31188657407407405</v>
      </c>
      <c r="D5887" s="1">
        <v>13.042632</v>
      </c>
      <c r="E5887" s="1">
        <v>80.268037</v>
      </c>
      <c r="F5887" s="1">
        <v>805.0</v>
      </c>
      <c r="G5887" s="1">
        <v>38.0</v>
      </c>
    </row>
    <row r="5888">
      <c r="A5888" s="1" t="s">
        <v>7</v>
      </c>
      <c r="B5888" s="2">
        <v>44729.0</v>
      </c>
      <c r="C5888" s="3">
        <v>0.3121759259259259</v>
      </c>
      <c r="D5888" s="1">
        <v>12.659278</v>
      </c>
      <c r="E5888" s="1">
        <v>79.962654</v>
      </c>
      <c r="F5888" s="1">
        <v>2846.0</v>
      </c>
      <c r="G5888" s="1">
        <v>50.0</v>
      </c>
    </row>
    <row r="5889">
      <c r="A5889" s="1" t="s">
        <v>8</v>
      </c>
      <c r="B5889" s="2">
        <v>44729.0</v>
      </c>
      <c r="C5889" s="3">
        <v>0.31300925925925926</v>
      </c>
      <c r="D5889" s="1">
        <v>13.054402</v>
      </c>
      <c r="E5889" s="1">
        <v>80.253878</v>
      </c>
      <c r="F5889" s="1">
        <v>5339.0</v>
      </c>
      <c r="G5889" s="1">
        <v>31.0</v>
      </c>
    </row>
    <row r="5890">
      <c r="A5890" s="1" t="s">
        <v>7</v>
      </c>
      <c r="B5890" s="2">
        <v>44729.0</v>
      </c>
      <c r="C5890" s="3">
        <v>0.3134375</v>
      </c>
      <c r="D5890" s="1">
        <v>12.667857</v>
      </c>
      <c r="E5890" s="1">
        <v>79.972498</v>
      </c>
      <c r="F5890" s="1">
        <v>2846.0</v>
      </c>
      <c r="G5890" s="1">
        <v>58.0</v>
      </c>
    </row>
    <row r="5891">
      <c r="A5891" s="1" t="s">
        <v>8</v>
      </c>
      <c r="B5891" s="2">
        <v>44729.0</v>
      </c>
      <c r="C5891" s="3">
        <v>0.31363425925925925</v>
      </c>
      <c r="D5891" s="1">
        <v>13.052793</v>
      </c>
      <c r="E5891" s="1">
        <v>80.251658</v>
      </c>
      <c r="F5891" s="1">
        <v>5339.0</v>
      </c>
      <c r="G5891" s="1">
        <v>31.0</v>
      </c>
    </row>
    <row r="5892">
      <c r="A5892" s="1" t="s">
        <v>8</v>
      </c>
      <c r="B5892" s="2">
        <v>44729.0</v>
      </c>
      <c r="C5892" s="3">
        <v>0.31364583333333335</v>
      </c>
      <c r="D5892" s="1">
        <v>13.052793</v>
      </c>
      <c r="E5892" s="1">
        <v>80.251658</v>
      </c>
      <c r="F5892" s="1">
        <v>5339.0</v>
      </c>
      <c r="G5892" s="1">
        <v>31.0</v>
      </c>
    </row>
    <row r="5893">
      <c r="A5893" s="1" t="s">
        <v>8</v>
      </c>
      <c r="B5893" s="2">
        <v>44729.0</v>
      </c>
      <c r="C5893" s="3">
        <v>0.31364583333333335</v>
      </c>
      <c r="D5893" s="1">
        <v>13.052793</v>
      </c>
      <c r="E5893" s="1">
        <v>80.251658</v>
      </c>
      <c r="F5893" s="1">
        <v>5339.0</v>
      </c>
      <c r="G5893" s="1">
        <v>31.0</v>
      </c>
    </row>
    <row r="5894">
      <c r="A5894" s="1" t="s">
        <v>8</v>
      </c>
      <c r="B5894" s="2">
        <v>44729.0</v>
      </c>
      <c r="C5894" s="3">
        <v>0.3141319444444444</v>
      </c>
      <c r="D5894" s="1">
        <v>12.671785</v>
      </c>
      <c r="E5894" s="1">
        <v>79.976139</v>
      </c>
      <c r="F5894" s="1">
        <v>2846.0</v>
      </c>
      <c r="G5894" s="1">
        <v>41.0</v>
      </c>
    </row>
    <row r="5895">
      <c r="A5895" s="1" t="s">
        <v>7</v>
      </c>
      <c r="B5895" s="2">
        <v>44729.0</v>
      </c>
      <c r="C5895" s="3">
        <v>0.3148148148148148</v>
      </c>
      <c r="D5895" s="1">
        <v>13.04841</v>
      </c>
      <c r="E5895" s="1">
        <v>80.249713</v>
      </c>
      <c r="F5895" s="1">
        <v>5339.0</v>
      </c>
      <c r="G5895" s="1">
        <v>31.0</v>
      </c>
    </row>
    <row r="5896">
      <c r="A5896" s="1" t="s">
        <v>7</v>
      </c>
      <c r="B5896" s="2">
        <v>44729.0</v>
      </c>
      <c r="C5896" s="3">
        <v>0.3148842592592593</v>
      </c>
      <c r="D5896" s="1">
        <v>13.047574</v>
      </c>
      <c r="E5896" s="1">
        <v>80.248948</v>
      </c>
      <c r="F5896" s="1">
        <v>5339.0</v>
      </c>
      <c r="G5896" s="1">
        <v>52.0</v>
      </c>
    </row>
    <row r="5897">
      <c r="A5897" s="1" t="s">
        <v>8</v>
      </c>
      <c r="B5897" s="2">
        <v>44729.0</v>
      </c>
      <c r="C5897" s="3">
        <v>0.3155787037037037</v>
      </c>
      <c r="D5897" s="1">
        <v>13.044598</v>
      </c>
      <c r="E5897" s="1">
        <v>80.248084</v>
      </c>
      <c r="F5897" s="1">
        <v>5339.0</v>
      </c>
      <c r="G5897" s="1">
        <v>39.0</v>
      </c>
    </row>
    <row r="5898">
      <c r="A5898" s="1" t="s">
        <v>10</v>
      </c>
      <c r="B5898" s="2">
        <v>44729.0</v>
      </c>
      <c r="C5898" s="3">
        <v>0.3158564814814815</v>
      </c>
      <c r="D5898" s="1">
        <v>13.043021</v>
      </c>
      <c r="E5898" s="1">
        <v>80.247753</v>
      </c>
      <c r="F5898" s="1">
        <v>5339.0</v>
      </c>
      <c r="G5898" s="1">
        <v>16.0</v>
      </c>
    </row>
    <row r="5899">
      <c r="A5899" s="1" t="s">
        <v>9</v>
      </c>
      <c r="B5899" s="2">
        <v>44729.0</v>
      </c>
      <c r="C5899" s="3">
        <v>0.31601851851851853</v>
      </c>
      <c r="D5899" s="1">
        <v>13.041905</v>
      </c>
      <c r="E5899" s="1">
        <v>80.247715</v>
      </c>
      <c r="F5899" s="1">
        <v>5339.0</v>
      </c>
      <c r="G5899" s="1">
        <v>38.0</v>
      </c>
    </row>
    <row r="5900">
      <c r="A5900" s="1" t="s">
        <v>8</v>
      </c>
      <c r="B5900" s="2">
        <v>44729.0</v>
      </c>
      <c r="C5900" s="3">
        <v>0.3161574074074074</v>
      </c>
      <c r="D5900" s="1">
        <v>13.040922</v>
      </c>
      <c r="E5900" s="1">
        <v>80.247465</v>
      </c>
      <c r="F5900" s="1">
        <v>5339.0</v>
      </c>
      <c r="G5900" s="1">
        <v>36.0</v>
      </c>
    </row>
    <row r="5901">
      <c r="A5901" s="1" t="s">
        <v>8</v>
      </c>
      <c r="B5901" s="2">
        <v>44729.0</v>
      </c>
      <c r="C5901" s="3">
        <v>0.3171875</v>
      </c>
      <c r="D5901" s="1">
        <v>12.68475</v>
      </c>
      <c r="E5901" s="1">
        <v>79.983443</v>
      </c>
      <c r="F5901" s="1">
        <v>2846.0</v>
      </c>
      <c r="G5901" s="1">
        <v>22.0</v>
      </c>
    </row>
    <row r="5902">
      <c r="A5902" s="1" t="s">
        <v>9</v>
      </c>
      <c r="B5902" s="2">
        <v>44729.0</v>
      </c>
      <c r="C5902" s="3">
        <v>0.31730324074074073</v>
      </c>
      <c r="D5902" s="1">
        <v>12.685462</v>
      </c>
      <c r="E5902" s="1">
        <v>79.983465</v>
      </c>
      <c r="F5902" s="1">
        <v>2846.0</v>
      </c>
      <c r="G5902" s="1">
        <v>32.0</v>
      </c>
    </row>
    <row r="5903">
      <c r="A5903" s="1" t="s">
        <v>8</v>
      </c>
      <c r="B5903" s="2">
        <v>44729.0</v>
      </c>
      <c r="C5903" s="3">
        <v>0.3174884259259259</v>
      </c>
      <c r="D5903" s="1">
        <v>13.033969</v>
      </c>
      <c r="E5903" s="1">
        <v>80.244632</v>
      </c>
      <c r="F5903" s="1">
        <v>5339.0</v>
      </c>
      <c r="G5903" s="1">
        <v>25.0</v>
      </c>
    </row>
    <row r="5904">
      <c r="A5904" s="1" t="s">
        <v>8</v>
      </c>
      <c r="B5904" s="2">
        <v>44729.0</v>
      </c>
      <c r="C5904" s="3">
        <v>0.31805555555555554</v>
      </c>
      <c r="D5904" s="1">
        <v>13.02368</v>
      </c>
      <c r="E5904" s="1">
        <v>80.264216</v>
      </c>
      <c r="F5904" s="1">
        <v>805.0</v>
      </c>
      <c r="G5904" s="1">
        <v>46.0</v>
      </c>
    </row>
    <row r="5905">
      <c r="A5905" s="1" t="s">
        <v>8</v>
      </c>
      <c r="B5905" s="2">
        <v>44729.0</v>
      </c>
      <c r="C5905" s="3">
        <v>0.31841435185185185</v>
      </c>
      <c r="D5905" s="1">
        <v>13.031006</v>
      </c>
      <c r="E5905" s="1">
        <v>80.23977</v>
      </c>
      <c r="F5905" s="1">
        <v>5339.0</v>
      </c>
      <c r="G5905" s="1">
        <v>30.0</v>
      </c>
    </row>
    <row r="5906">
      <c r="A5906" s="1" t="s">
        <v>8</v>
      </c>
      <c r="B5906" s="2">
        <v>44729.0</v>
      </c>
      <c r="C5906" s="3">
        <v>0.31854166666666667</v>
      </c>
      <c r="D5906" s="1">
        <v>13.029986</v>
      </c>
      <c r="E5906" s="1">
        <v>80.237921</v>
      </c>
      <c r="F5906" s="1">
        <v>5339.0</v>
      </c>
      <c r="G5906" s="1">
        <v>46.0</v>
      </c>
    </row>
    <row r="5907">
      <c r="A5907" s="1" t="s">
        <v>8</v>
      </c>
      <c r="B5907" s="2">
        <v>44729.0</v>
      </c>
      <c r="C5907" s="3">
        <v>0.3185648148148148</v>
      </c>
      <c r="D5907" s="1">
        <v>13.029986</v>
      </c>
      <c r="E5907" s="1">
        <v>80.237921</v>
      </c>
      <c r="F5907" s="1">
        <v>5339.0</v>
      </c>
      <c r="G5907" s="1">
        <v>46.0</v>
      </c>
    </row>
    <row r="5908">
      <c r="A5908" s="1" t="s">
        <v>10</v>
      </c>
      <c r="B5908" s="2">
        <v>44729.0</v>
      </c>
      <c r="C5908" s="3">
        <v>0.318587962962963</v>
      </c>
      <c r="D5908" s="1">
        <v>12.690361</v>
      </c>
      <c r="E5908" s="1">
        <v>79.980598</v>
      </c>
      <c r="F5908" s="1">
        <v>2846.0</v>
      </c>
      <c r="G5908" s="1">
        <v>8.0</v>
      </c>
    </row>
    <row r="5909">
      <c r="A5909" s="1" t="s">
        <v>8</v>
      </c>
      <c r="B5909" s="2">
        <v>44729.0</v>
      </c>
      <c r="C5909" s="3">
        <v>0.31859953703703703</v>
      </c>
      <c r="D5909" s="1">
        <v>13.029986</v>
      </c>
      <c r="E5909" s="1">
        <v>80.237921</v>
      </c>
      <c r="F5909" s="1">
        <v>5339.0</v>
      </c>
      <c r="G5909" s="1">
        <v>46.0</v>
      </c>
    </row>
    <row r="5910">
      <c r="A5910" s="1" t="s">
        <v>8</v>
      </c>
      <c r="B5910" s="2">
        <v>44729.0</v>
      </c>
      <c r="C5910" s="3">
        <v>0.3186574074074074</v>
      </c>
      <c r="D5910" s="1">
        <v>13.020252</v>
      </c>
      <c r="E5910" s="1">
        <v>80.262991</v>
      </c>
      <c r="F5910" s="1">
        <v>805.0</v>
      </c>
      <c r="G5910" s="1">
        <v>8.0</v>
      </c>
    </row>
    <row r="5911">
      <c r="A5911" s="1" t="s">
        <v>8</v>
      </c>
      <c r="B5911" s="2">
        <v>44729.0</v>
      </c>
      <c r="C5911" s="3">
        <v>0.3186689814814815</v>
      </c>
      <c r="D5911" s="1">
        <v>13.020252</v>
      </c>
      <c r="E5911" s="1">
        <v>80.262991</v>
      </c>
      <c r="F5911" s="1">
        <v>805.0</v>
      </c>
      <c r="G5911" s="1">
        <v>8.0</v>
      </c>
    </row>
    <row r="5912">
      <c r="A5912" s="1" t="s">
        <v>8</v>
      </c>
      <c r="B5912" s="2">
        <v>44729.0</v>
      </c>
      <c r="C5912" s="3">
        <v>0.318912037037037</v>
      </c>
      <c r="D5912" s="1">
        <v>13.027899</v>
      </c>
      <c r="E5912" s="1">
        <v>80.235347</v>
      </c>
      <c r="F5912" s="1">
        <v>5339.0</v>
      </c>
      <c r="G5912" s="1">
        <v>41.0</v>
      </c>
    </row>
    <row r="5913">
      <c r="A5913" s="1" t="s">
        <v>8</v>
      </c>
      <c r="B5913" s="2">
        <v>44729.0</v>
      </c>
      <c r="C5913" s="3">
        <v>0.3189699074074074</v>
      </c>
      <c r="D5913" s="1">
        <v>13.027899</v>
      </c>
      <c r="E5913" s="1">
        <v>80.235347</v>
      </c>
      <c r="F5913" s="1">
        <v>5339.0</v>
      </c>
      <c r="G5913" s="1">
        <v>41.0</v>
      </c>
    </row>
    <row r="5914">
      <c r="A5914" s="1" t="s">
        <v>9</v>
      </c>
      <c r="B5914" s="2">
        <v>44729.0</v>
      </c>
      <c r="C5914" s="3">
        <v>0.3190046296296296</v>
      </c>
      <c r="D5914" s="1">
        <v>13.018955</v>
      </c>
      <c r="E5914" s="1">
        <v>80.262686</v>
      </c>
      <c r="F5914" s="1">
        <v>805.0</v>
      </c>
      <c r="G5914" s="1">
        <v>18.0</v>
      </c>
    </row>
    <row r="5915">
      <c r="A5915" s="1" t="s">
        <v>8</v>
      </c>
      <c r="B5915" s="2">
        <v>44729.0</v>
      </c>
      <c r="C5915" s="3">
        <v>0.31958333333333333</v>
      </c>
      <c r="D5915" s="1">
        <v>13.02667</v>
      </c>
      <c r="E5915" s="1">
        <v>80.233289</v>
      </c>
      <c r="F5915" s="1">
        <v>5339.0</v>
      </c>
      <c r="G5915" s="1">
        <v>21.0</v>
      </c>
    </row>
    <row r="5916">
      <c r="A5916" s="1" t="s">
        <v>8</v>
      </c>
      <c r="B5916" s="2">
        <v>44729.0</v>
      </c>
      <c r="C5916" s="3">
        <v>0.31993055555555555</v>
      </c>
      <c r="D5916" s="1">
        <v>13.016085</v>
      </c>
      <c r="E5916" s="1">
        <v>80.25963</v>
      </c>
      <c r="F5916" s="1">
        <v>805.0</v>
      </c>
      <c r="G5916" s="1">
        <v>27.0</v>
      </c>
    </row>
    <row r="5917">
      <c r="A5917" s="1" t="s">
        <v>8</v>
      </c>
      <c r="B5917" s="2">
        <v>44729.0</v>
      </c>
      <c r="C5917" s="3">
        <v>0.3200115740740741</v>
      </c>
      <c r="D5917" s="1">
        <v>13.015327</v>
      </c>
      <c r="E5917" s="1">
        <v>80.259339</v>
      </c>
      <c r="F5917" s="1">
        <v>805.0</v>
      </c>
      <c r="G5917" s="1">
        <v>42.0</v>
      </c>
    </row>
    <row r="5918">
      <c r="A5918" s="1" t="s">
        <v>10</v>
      </c>
      <c r="B5918" s="2">
        <v>44729.0</v>
      </c>
      <c r="C5918" s="3">
        <v>0.3203125</v>
      </c>
      <c r="D5918" s="1">
        <v>12.694256</v>
      </c>
      <c r="E5918" s="1">
        <v>79.978647</v>
      </c>
      <c r="F5918" s="1">
        <v>2846.0</v>
      </c>
      <c r="G5918" s="1">
        <v>24.0</v>
      </c>
    </row>
    <row r="5919">
      <c r="A5919" s="1" t="s">
        <v>8</v>
      </c>
      <c r="B5919" s="2">
        <v>44729.0</v>
      </c>
      <c r="C5919" s="3">
        <v>0.3203935185185185</v>
      </c>
      <c r="D5919" s="1">
        <v>13.012815</v>
      </c>
      <c r="E5919" s="1">
        <v>80.259235</v>
      </c>
      <c r="F5919" s="1">
        <v>805.0</v>
      </c>
      <c r="G5919" s="1">
        <v>52.0</v>
      </c>
    </row>
    <row r="5920">
      <c r="A5920" s="1" t="s">
        <v>7</v>
      </c>
      <c r="B5920" s="2">
        <v>44729.0</v>
      </c>
      <c r="C5920" s="3">
        <v>0.32104166666666667</v>
      </c>
      <c r="D5920" s="1">
        <v>13.023132</v>
      </c>
      <c r="E5920" s="1">
        <v>80.227321</v>
      </c>
      <c r="F5920" s="1">
        <v>5339.0</v>
      </c>
      <c r="G5920" s="1">
        <v>49.0</v>
      </c>
    </row>
    <row r="5921">
      <c r="A5921" s="1" t="s">
        <v>8</v>
      </c>
      <c r="B5921" s="2">
        <v>44729.0</v>
      </c>
      <c r="C5921" s="3">
        <v>0.3210648148148148</v>
      </c>
      <c r="D5921" s="1">
        <v>13.023132</v>
      </c>
      <c r="E5921" s="1">
        <v>80.227321</v>
      </c>
      <c r="F5921" s="1">
        <v>5339.0</v>
      </c>
      <c r="G5921" s="1">
        <v>49.0</v>
      </c>
    </row>
    <row r="5922">
      <c r="A5922" s="1" t="s">
        <v>7</v>
      </c>
      <c r="B5922" s="2">
        <v>44729.0</v>
      </c>
      <c r="C5922" s="3">
        <v>0.3214236111111111</v>
      </c>
      <c r="D5922" s="1">
        <v>13.020297</v>
      </c>
      <c r="E5922" s="1">
        <v>80.225014</v>
      </c>
      <c r="F5922" s="1">
        <v>5339.0</v>
      </c>
      <c r="G5922" s="1">
        <v>40.0</v>
      </c>
    </row>
    <row r="5923">
      <c r="A5923" s="1" t="s">
        <v>8</v>
      </c>
      <c r="B5923" s="2">
        <v>44729.0</v>
      </c>
      <c r="C5923" s="3">
        <v>0.3224652777777778</v>
      </c>
      <c r="D5923" s="1">
        <v>13.014165</v>
      </c>
      <c r="E5923" s="1">
        <v>80.226319</v>
      </c>
      <c r="F5923" s="1">
        <v>5339.0</v>
      </c>
      <c r="G5923" s="1">
        <v>40.0</v>
      </c>
    </row>
    <row r="5924">
      <c r="A5924" s="1" t="s">
        <v>10</v>
      </c>
      <c r="B5924" s="2">
        <v>44729.0</v>
      </c>
      <c r="C5924" s="3">
        <v>0.32283564814814814</v>
      </c>
      <c r="D5924" s="1">
        <v>12.697225</v>
      </c>
      <c r="E5924" s="1">
        <v>79.972659</v>
      </c>
      <c r="F5924" s="1">
        <v>2846.0</v>
      </c>
      <c r="G5924" s="1">
        <v>8.0</v>
      </c>
    </row>
    <row r="5925">
      <c r="A5925" s="1" t="s">
        <v>7</v>
      </c>
      <c r="B5925" s="2">
        <v>44729.0</v>
      </c>
      <c r="C5925" s="3">
        <v>0.3230324074074074</v>
      </c>
      <c r="D5925" s="1">
        <v>13.009863</v>
      </c>
      <c r="E5925" s="1">
        <v>80.226819</v>
      </c>
      <c r="F5925" s="1">
        <v>5339.0</v>
      </c>
      <c r="G5925" s="1">
        <v>44.0</v>
      </c>
    </row>
    <row r="5926">
      <c r="A5926" s="1" t="s">
        <v>8</v>
      </c>
      <c r="B5926" s="2">
        <v>44729.0</v>
      </c>
      <c r="C5926" s="3">
        <v>0.3233449074074074</v>
      </c>
      <c r="D5926" s="1">
        <v>13.006444</v>
      </c>
      <c r="E5926" s="1">
        <v>80.25583</v>
      </c>
      <c r="F5926" s="1">
        <v>805.0</v>
      </c>
      <c r="G5926" s="1">
        <v>36.0</v>
      </c>
    </row>
    <row r="5927">
      <c r="A5927" s="1" t="s">
        <v>10</v>
      </c>
      <c r="B5927" s="2">
        <v>44729.0</v>
      </c>
      <c r="C5927" s="3">
        <v>0.3234722222222222</v>
      </c>
      <c r="D5927" s="1">
        <v>13.006532</v>
      </c>
      <c r="E5927" s="1">
        <v>80.254726</v>
      </c>
      <c r="F5927" s="1">
        <v>805.0</v>
      </c>
      <c r="G5927" s="1">
        <v>52.0</v>
      </c>
    </row>
    <row r="5928">
      <c r="A5928" s="1" t="s">
        <v>8</v>
      </c>
      <c r="B5928" s="2">
        <v>44729.0</v>
      </c>
      <c r="C5928" s="3">
        <v>0.32355324074074077</v>
      </c>
      <c r="D5928" s="1">
        <v>13.012162</v>
      </c>
      <c r="E5928" s="1">
        <v>80.221195</v>
      </c>
      <c r="F5928" s="1">
        <v>5339.0</v>
      </c>
      <c r="G5928" s="1">
        <v>29.0</v>
      </c>
    </row>
    <row r="5929">
      <c r="A5929" s="1" t="s">
        <v>8</v>
      </c>
      <c r="B5929" s="2">
        <v>44729.0</v>
      </c>
      <c r="C5929" s="3">
        <v>0.32362268518518517</v>
      </c>
      <c r="D5929" s="1">
        <v>13.006519</v>
      </c>
      <c r="E5929" s="1">
        <v>80.253654</v>
      </c>
      <c r="F5929" s="1">
        <v>805.0</v>
      </c>
      <c r="G5929" s="1">
        <v>36.0</v>
      </c>
    </row>
    <row r="5930">
      <c r="A5930" s="1" t="s">
        <v>9</v>
      </c>
      <c r="B5930" s="2">
        <v>44729.0</v>
      </c>
      <c r="C5930" s="3">
        <v>0.32375</v>
      </c>
      <c r="D5930" s="1">
        <v>13.011694</v>
      </c>
      <c r="E5930" s="1">
        <v>80.21946</v>
      </c>
      <c r="F5930" s="1">
        <v>5339.0</v>
      </c>
      <c r="G5930" s="1">
        <v>45.0</v>
      </c>
    </row>
    <row r="5931">
      <c r="A5931" s="1" t="s">
        <v>8</v>
      </c>
      <c r="B5931" s="2">
        <v>44729.0</v>
      </c>
      <c r="C5931" s="3">
        <v>0.3237962962962963</v>
      </c>
      <c r="D5931" s="1">
        <v>13.006677</v>
      </c>
      <c r="E5931" s="1">
        <v>80.25177</v>
      </c>
      <c r="F5931" s="1">
        <v>805.0</v>
      </c>
      <c r="G5931" s="1">
        <v>37.0</v>
      </c>
    </row>
    <row r="5932">
      <c r="A5932" s="1" t="s">
        <v>8</v>
      </c>
      <c r="B5932" s="2">
        <v>44729.0</v>
      </c>
      <c r="C5932" s="3">
        <v>0.32394675925925925</v>
      </c>
      <c r="D5932" s="1">
        <v>13.011284</v>
      </c>
      <c r="E5932" s="1">
        <v>80.218294</v>
      </c>
      <c r="F5932" s="1">
        <v>5339.0</v>
      </c>
      <c r="G5932" s="1">
        <v>51.0</v>
      </c>
    </row>
    <row r="5933">
      <c r="A5933" s="1" t="s">
        <v>8</v>
      </c>
      <c r="B5933" s="2">
        <v>44729.0</v>
      </c>
      <c r="C5933" s="3">
        <v>0.32405092592592594</v>
      </c>
      <c r="D5933" s="1">
        <v>13.010801</v>
      </c>
      <c r="E5933" s="1">
        <v>80.217059</v>
      </c>
      <c r="F5933" s="1">
        <v>5339.0</v>
      </c>
      <c r="G5933" s="1">
        <v>44.0</v>
      </c>
    </row>
    <row r="5934">
      <c r="A5934" s="1" t="s">
        <v>8</v>
      </c>
      <c r="B5934" s="2">
        <v>44729.0</v>
      </c>
      <c r="C5934" s="3">
        <v>0.3241203703703704</v>
      </c>
      <c r="D5934" s="1">
        <v>13.006766</v>
      </c>
      <c r="E5934" s="1">
        <v>80.250067</v>
      </c>
      <c r="F5934" s="1">
        <v>805.0</v>
      </c>
      <c r="G5934" s="1">
        <v>37.0</v>
      </c>
    </row>
    <row r="5935">
      <c r="A5935" s="1" t="s">
        <v>8</v>
      </c>
      <c r="B5935" s="2">
        <v>44729.0</v>
      </c>
      <c r="C5935" s="3">
        <v>0.32425925925925925</v>
      </c>
      <c r="D5935" s="1">
        <v>13.01008</v>
      </c>
      <c r="E5935" s="1">
        <v>80.214987</v>
      </c>
      <c r="F5935" s="1">
        <v>5339.0</v>
      </c>
      <c r="G5935" s="1">
        <v>44.0</v>
      </c>
    </row>
    <row r="5936">
      <c r="A5936" s="1" t="s">
        <v>8</v>
      </c>
      <c r="B5936" s="2">
        <v>44729.0</v>
      </c>
      <c r="C5936" s="3">
        <v>0.32436342592592593</v>
      </c>
      <c r="D5936" s="1">
        <v>12.701091</v>
      </c>
      <c r="E5936" s="1">
        <v>79.969</v>
      </c>
      <c r="F5936" s="1">
        <v>2846.0</v>
      </c>
      <c r="G5936" s="1">
        <v>26.0</v>
      </c>
    </row>
    <row r="5937">
      <c r="A5937" s="1" t="s">
        <v>8</v>
      </c>
      <c r="B5937" s="2">
        <v>44729.0</v>
      </c>
      <c r="C5937" s="3">
        <v>0.324375</v>
      </c>
      <c r="D5937" s="1">
        <v>12.701091</v>
      </c>
      <c r="E5937" s="1">
        <v>79.969</v>
      </c>
      <c r="F5937" s="1">
        <v>2846.0</v>
      </c>
      <c r="G5937" s="1">
        <v>26.0</v>
      </c>
    </row>
    <row r="5938">
      <c r="A5938" s="1" t="s">
        <v>8</v>
      </c>
      <c r="B5938" s="2">
        <v>44729.0</v>
      </c>
      <c r="C5938" s="3">
        <v>0.32438657407407406</v>
      </c>
      <c r="D5938" s="1">
        <v>12.701091</v>
      </c>
      <c r="E5938" s="1">
        <v>79.969</v>
      </c>
      <c r="F5938" s="1">
        <v>2846.0</v>
      </c>
      <c r="G5938" s="1">
        <v>26.0</v>
      </c>
    </row>
    <row r="5939">
      <c r="A5939" s="1" t="s">
        <v>8</v>
      </c>
      <c r="B5939" s="2">
        <v>44729.0</v>
      </c>
      <c r="C5939" s="3">
        <v>0.32462962962962966</v>
      </c>
      <c r="D5939" s="1">
        <v>12.702264</v>
      </c>
      <c r="E5939" s="1">
        <v>79.970134</v>
      </c>
      <c r="F5939" s="1">
        <v>2846.0</v>
      </c>
      <c r="G5939" s="1">
        <v>40.0</v>
      </c>
    </row>
    <row r="5940">
      <c r="A5940" s="1" t="s">
        <v>7</v>
      </c>
      <c r="B5940" s="2">
        <v>44729.0</v>
      </c>
      <c r="C5940" s="3">
        <v>0.3247337962962963</v>
      </c>
      <c r="D5940" s="1">
        <v>12.702976</v>
      </c>
      <c r="E5940" s="1">
        <v>79.971053</v>
      </c>
      <c r="F5940" s="1">
        <v>2846.0</v>
      </c>
      <c r="G5940" s="1">
        <v>48.0</v>
      </c>
    </row>
    <row r="5941">
      <c r="A5941" s="1" t="s">
        <v>7</v>
      </c>
      <c r="B5941" s="2">
        <v>44729.0</v>
      </c>
      <c r="C5941" s="3">
        <v>0.32483796296296297</v>
      </c>
      <c r="D5941" s="1">
        <v>12.703782</v>
      </c>
      <c r="E5941" s="1">
        <v>79.972071</v>
      </c>
      <c r="F5941" s="1">
        <v>2846.0</v>
      </c>
      <c r="G5941" s="1">
        <v>54.0</v>
      </c>
    </row>
    <row r="5942">
      <c r="A5942" s="1" t="s">
        <v>7</v>
      </c>
      <c r="B5942" s="2">
        <v>44729.0</v>
      </c>
      <c r="C5942" s="3">
        <v>0.32513888888888887</v>
      </c>
      <c r="D5942" s="1">
        <v>12.705562</v>
      </c>
      <c r="E5942" s="1">
        <v>79.974389</v>
      </c>
      <c r="F5942" s="1">
        <v>2846.0</v>
      </c>
      <c r="G5942" s="1">
        <v>57.0</v>
      </c>
    </row>
    <row r="5943">
      <c r="A5943" s="1" t="s">
        <v>8</v>
      </c>
      <c r="B5943" s="2">
        <v>44729.0</v>
      </c>
      <c r="C5943" s="3">
        <v>0.3254282407407407</v>
      </c>
      <c r="D5943" s="1">
        <v>13.007162</v>
      </c>
      <c r="E5943" s="1">
        <v>80.204798</v>
      </c>
      <c r="F5943" s="1">
        <v>5339.0</v>
      </c>
      <c r="G5943" s="1">
        <v>46.0</v>
      </c>
    </row>
    <row r="5944">
      <c r="A5944" s="1" t="s">
        <v>8</v>
      </c>
      <c r="B5944" s="2">
        <v>44729.0</v>
      </c>
      <c r="C5944" s="3">
        <v>0.32578703703703704</v>
      </c>
      <c r="D5944" s="1">
        <v>13.006612</v>
      </c>
      <c r="E5944" s="1">
        <v>80.243018</v>
      </c>
      <c r="F5944" s="1">
        <v>805.0</v>
      </c>
      <c r="G5944" s="1">
        <v>33.0</v>
      </c>
    </row>
    <row r="5945">
      <c r="A5945" s="1" t="s">
        <v>7</v>
      </c>
      <c r="B5945" s="2">
        <v>44729.0</v>
      </c>
      <c r="C5945" s="3">
        <v>0.3258333333333333</v>
      </c>
      <c r="D5945" s="1">
        <v>12.711712</v>
      </c>
      <c r="E5945" s="1">
        <v>79.978906</v>
      </c>
      <c r="F5945" s="1">
        <v>2846.0</v>
      </c>
      <c r="G5945" s="1">
        <v>49.0</v>
      </c>
    </row>
    <row r="5946">
      <c r="A5946" s="1" t="s">
        <v>8</v>
      </c>
      <c r="B5946" s="2">
        <v>44729.0</v>
      </c>
      <c r="C5946" s="3">
        <v>0.3258912037037037</v>
      </c>
      <c r="D5946" s="1">
        <v>13.004708</v>
      </c>
      <c r="E5946" s="1">
        <v>80.201295</v>
      </c>
      <c r="F5946" s="1">
        <v>5339.0</v>
      </c>
      <c r="G5946" s="1">
        <v>53.0</v>
      </c>
    </row>
    <row r="5947">
      <c r="A5947" s="1" t="s">
        <v>8</v>
      </c>
      <c r="B5947" s="2">
        <v>44729.0</v>
      </c>
      <c r="C5947" s="3">
        <v>0.32631944444444444</v>
      </c>
      <c r="D5947" s="1">
        <v>13.006922</v>
      </c>
      <c r="E5947" s="1">
        <v>80.239668</v>
      </c>
      <c r="F5947" s="1">
        <v>805.0</v>
      </c>
      <c r="G5947" s="1">
        <v>41.0</v>
      </c>
    </row>
    <row r="5948">
      <c r="A5948" s="1" t="s">
        <v>7</v>
      </c>
      <c r="B5948" s="2">
        <v>44729.0</v>
      </c>
      <c r="C5948" s="3">
        <v>0.3265046296296296</v>
      </c>
      <c r="D5948" s="1">
        <v>13.007361</v>
      </c>
      <c r="E5948" s="1">
        <v>80.237533</v>
      </c>
      <c r="F5948" s="1">
        <v>805.0</v>
      </c>
      <c r="G5948" s="1">
        <v>44.0</v>
      </c>
    </row>
    <row r="5949">
      <c r="A5949" s="1" t="s">
        <v>8</v>
      </c>
      <c r="B5949" s="2">
        <v>44729.0</v>
      </c>
      <c r="C5949" s="3">
        <v>0.32686342592592593</v>
      </c>
      <c r="D5949" s="1">
        <v>13.007898</v>
      </c>
      <c r="E5949" s="1">
        <v>80.234918</v>
      </c>
      <c r="F5949" s="1">
        <v>805.0</v>
      </c>
      <c r="G5949" s="1">
        <v>21.0</v>
      </c>
    </row>
    <row r="5950">
      <c r="A5950" s="1" t="s">
        <v>8</v>
      </c>
      <c r="B5950" s="2">
        <v>44729.0</v>
      </c>
      <c r="C5950" s="3">
        <v>0.3269444444444444</v>
      </c>
      <c r="D5950" s="1">
        <v>13.008068</v>
      </c>
      <c r="E5950" s="1">
        <v>80.234128</v>
      </c>
      <c r="F5950" s="1">
        <v>805.0</v>
      </c>
      <c r="G5950" s="1">
        <v>36.0</v>
      </c>
    </row>
    <row r="5951">
      <c r="A5951" s="1" t="s">
        <v>8</v>
      </c>
      <c r="B5951" s="2">
        <v>44729.0</v>
      </c>
      <c r="C5951" s="3">
        <v>0.327025462962963</v>
      </c>
      <c r="D5951" s="1">
        <v>13.001223</v>
      </c>
      <c r="E5951" s="1">
        <v>80.195809</v>
      </c>
      <c r="F5951" s="1">
        <v>5339.0</v>
      </c>
      <c r="G5951" s="1">
        <v>33.0</v>
      </c>
    </row>
    <row r="5952">
      <c r="A5952" s="1" t="s">
        <v>7</v>
      </c>
      <c r="B5952" s="2">
        <v>44729.0</v>
      </c>
      <c r="C5952" s="3">
        <v>0.32711805555555556</v>
      </c>
      <c r="D5952" s="1">
        <v>13.008267</v>
      </c>
      <c r="E5952" s="1">
        <v>80.233078</v>
      </c>
      <c r="F5952" s="1">
        <v>805.0</v>
      </c>
      <c r="G5952" s="1">
        <v>44.0</v>
      </c>
    </row>
    <row r="5953">
      <c r="A5953" s="1" t="s">
        <v>7</v>
      </c>
      <c r="B5953" s="2">
        <v>44729.0</v>
      </c>
      <c r="C5953" s="3">
        <v>0.32739583333333333</v>
      </c>
      <c r="D5953" s="1">
        <v>13.009103</v>
      </c>
      <c r="E5953" s="1">
        <v>80.228776</v>
      </c>
      <c r="F5953" s="1">
        <v>805.0</v>
      </c>
      <c r="G5953" s="1">
        <v>57.0</v>
      </c>
    </row>
    <row r="5954">
      <c r="A5954" s="1" t="s">
        <v>8</v>
      </c>
      <c r="B5954" s="2">
        <v>44729.0</v>
      </c>
      <c r="C5954" s="3">
        <v>0.32739583333333333</v>
      </c>
      <c r="D5954" s="1">
        <v>12.999341</v>
      </c>
      <c r="E5954" s="1">
        <v>80.193394</v>
      </c>
      <c r="F5954" s="1">
        <v>5339.0</v>
      </c>
      <c r="G5954" s="1">
        <v>41.0</v>
      </c>
    </row>
    <row r="5955">
      <c r="A5955" s="1" t="s">
        <v>8</v>
      </c>
      <c r="B5955" s="2">
        <v>44729.0</v>
      </c>
      <c r="C5955" s="3">
        <v>0.32741898148148146</v>
      </c>
      <c r="D5955" s="1">
        <v>12.999341</v>
      </c>
      <c r="E5955" s="1">
        <v>80.193394</v>
      </c>
      <c r="F5955" s="1">
        <v>5339.0</v>
      </c>
      <c r="G5955" s="1">
        <v>41.0</v>
      </c>
    </row>
    <row r="5956">
      <c r="A5956" s="1" t="s">
        <v>7</v>
      </c>
      <c r="B5956" s="2">
        <v>44729.0</v>
      </c>
      <c r="C5956" s="3">
        <v>0.3275</v>
      </c>
      <c r="D5956" s="1">
        <v>13.009594</v>
      </c>
      <c r="E5956" s="1">
        <v>80.227402</v>
      </c>
      <c r="F5956" s="1">
        <v>805.0</v>
      </c>
      <c r="G5956" s="1">
        <v>56.0</v>
      </c>
    </row>
    <row r="5957">
      <c r="A5957" s="1" t="s">
        <v>7</v>
      </c>
      <c r="B5957" s="2">
        <v>44729.0</v>
      </c>
      <c r="C5957" s="3">
        <v>0.32765046296296296</v>
      </c>
      <c r="D5957" s="1">
        <v>13.009594</v>
      </c>
      <c r="E5957" s="1">
        <v>80.227402</v>
      </c>
      <c r="F5957" s="1">
        <v>805.0</v>
      </c>
      <c r="G5957" s="1">
        <v>56.0</v>
      </c>
    </row>
    <row r="5958">
      <c r="A5958" s="1" t="s">
        <v>8</v>
      </c>
      <c r="B5958" s="2">
        <v>44729.0</v>
      </c>
      <c r="C5958" s="3">
        <v>0.3278587962962963</v>
      </c>
      <c r="D5958" s="1">
        <v>12.998285</v>
      </c>
      <c r="E5958" s="1">
        <v>80.192056</v>
      </c>
      <c r="F5958" s="1">
        <v>5339.0</v>
      </c>
      <c r="G5958" s="1">
        <v>42.0</v>
      </c>
    </row>
    <row r="5959">
      <c r="A5959" s="1" t="s">
        <v>9</v>
      </c>
      <c r="B5959" s="2">
        <v>44729.0</v>
      </c>
      <c r="C5959" s="3">
        <v>0.3279398148148148</v>
      </c>
      <c r="D5959" s="1">
        <v>13.011192</v>
      </c>
      <c r="E5959" s="1">
        <v>80.223861</v>
      </c>
      <c r="F5959" s="1">
        <v>805.0</v>
      </c>
      <c r="G5959" s="1">
        <v>42.0</v>
      </c>
    </row>
    <row r="5960">
      <c r="A5960" s="1" t="s">
        <v>7</v>
      </c>
      <c r="B5960" s="2">
        <v>44729.0</v>
      </c>
      <c r="C5960" s="3">
        <v>0.32797453703703705</v>
      </c>
      <c r="D5960" s="1">
        <v>12.724204</v>
      </c>
      <c r="E5960" s="1">
        <v>79.981885</v>
      </c>
      <c r="F5960" s="1">
        <v>2846.0</v>
      </c>
      <c r="G5960" s="1">
        <v>3.0</v>
      </c>
    </row>
    <row r="5961">
      <c r="A5961" s="1" t="s">
        <v>7</v>
      </c>
      <c r="B5961" s="2">
        <v>44729.0</v>
      </c>
      <c r="C5961" s="3">
        <v>0.32829861111111114</v>
      </c>
      <c r="D5961" s="1">
        <v>12.729641</v>
      </c>
      <c r="E5961" s="1">
        <v>79.982705</v>
      </c>
      <c r="F5961" s="1">
        <v>2846.0</v>
      </c>
      <c r="G5961" s="1">
        <v>52.0</v>
      </c>
    </row>
    <row r="5962">
      <c r="A5962" s="1" t="s">
        <v>8</v>
      </c>
      <c r="B5962" s="2">
        <v>44729.0</v>
      </c>
      <c r="C5962" s="3">
        <v>0.3283333333333333</v>
      </c>
      <c r="D5962" s="1">
        <v>13.011714</v>
      </c>
      <c r="E5962" s="1">
        <v>80.219491</v>
      </c>
      <c r="F5962" s="1">
        <v>805.0</v>
      </c>
      <c r="G5962" s="1">
        <v>60.0</v>
      </c>
    </row>
    <row r="5963">
      <c r="A5963" s="1" t="s">
        <v>8</v>
      </c>
      <c r="B5963" s="2">
        <v>44729.0</v>
      </c>
      <c r="C5963" s="3">
        <v>0.3284375</v>
      </c>
      <c r="D5963" s="1">
        <v>13.011268</v>
      </c>
      <c r="E5963" s="1">
        <v>80.218128</v>
      </c>
      <c r="F5963" s="1">
        <v>805.0</v>
      </c>
      <c r="G5963" s="1">
        <v>47.0</v>
      </c>
    </row>
    <row r="5964">
      <c r="A5964" s="1" t="s">
        <v>8</v>
      </c>
      <c r="B5964" s="2">
        <v>44729.0</v>
      </c>
      <c r="C5964" s="3">
        <v>0.3285532407407407</v>
      </c>
      <c r="D5964" s="1">
        <v>13.010782</v>
      </c>
      <c r="E5964" s="1">
        <v>80.216983</v>
      </c>
      <c r="F5964" s="1">
        <v>805.0</v>
      </c>
      <c r="G5964" s="1">
        <v>49.0</v>
      </c>
    </row>
    <row r="5965">
      <c r="A5965" s="1" t="s">
        <v>7</v>
      </c>
      <c r="B5965" s="2">
        <v>44729.0</v>
      </c>
      <c r="C5965" s="3">
        <v>0.3287037037037037</v>
      </c>
      <c r="D5965" s="1">
        <v>12.735107</v>
      </c>
      <c r="E5965" s="1">
        <v>79.985806</v>
      </c>
      <c r="F5965" s="1">
        <v>2846.0</v>
      </c>
      <c r="G5965" s="1">
        <v>59.0</v>
      </c>
    </row>
    <row r="5966">
      <c r="A5966" s="1" t="s">
        <v>7</v>
      </c>
      <c r="B5966" s="2">
        <v>44729.0</v>
      </c>
      <c r="C5966" s="3">
        <v>0.3288425925925926</v>
      </c>
      <c r="D5966" s="1">
        <v>12.736121</v>
      </c>
      <c r="E5966" s="1">
        <v>79.986871</v>
      </c>
      <c r="F5966" s="1">
        <v>2846.0</v>
      </c>
      <c r="G5966" s="1">
        <v>58.0</v>
      </c>
    </row>
    <row r="5967">
      <c r="A5967" s="1" t="s">
        <v>7</v>
      </c>
      <c r="B5967" s="2">
        <v>44729.0</v>
      </c>
      <c r="C5967" s="3">
        <v>0.32890046296296294</v>
      </c>
      <c r="D5967" s="1">
        <v>13.009624</v>
      </c>
      <c r="E5967" s="1">
        <v>80.213596</v>
      </c>
      <c r="F5967" s="1">
        <v>805.0</v>
      </c>
      <c r="G5967" s="1">
        <v>41.0</v>
      </c>
    </row>
    <row r="5968">
      <c r="A5968" s="1" t="s">
        <v>7</v>
      </c>
      <c r="B5968" s="2">
        <v>44729.0</v>
      </c>
      <c r="C5968" s="3">
        <v>0.32908564814814817</v>
      </c>
      <c r="D5968" s="1">
        <v>13.009181</v>
      </c>
      <c r="E5968" s="1">
        <v>80.212364</v>
      </c>
      <c r="F5968" s="1">
        <v>805.0</v>
      </c>
      <c r="G5968" s="1">
        <v>56.0</v>
      </c>
    </row>
    <row r="5969">
      <c r="A5969" s="1" t="s">
        <v>8</v>
      </c>
      <c r="B5969" s="2">
        <v>44729.0</v>
      </c>
      <c r="C5969" s="3">
        <v>0.3295023148148148</v>
      </c>
      <c r="D5969" s="1">
        <v>13.008117</v>
      </c>
      <c r="E5969" s="1">
        <v>80.209266</v>
      </c>
      <c r="F5969" s="1">
        <v>805.0</v>
      </c>
      <c r="G5969" s="1">
        <v>28.0</v>
      </c>
    </row>
    <row r="5970">
      <c r="A5970" s="1" t="s">
        <v>8</v>
      </c>
      <c r="B5970" s="2">
        <v>44729.0</v>
      </c>
      <c r="C5970" s="3">
        <v>0.32969907407407406</v>
      </c>
      <c r="D5970" s="1">
        <v>13.007631</v>
      </c>
      <c r="E5970" s="1">
        <v>80.206469</v>
      </c>
      <c r="F5970" s="1">
        <v>805.0</v>
      </c>
      <c r="G5970" s="1">
        <v>44.0</v>
      </c>
    </row>
    <row r="5971">
      <c r="A5971" s="1" t="s">
        <v>8</v>
      </c>
      <c r="B5971" s="2">
        <v>44729.0</v>
      </c>
      <c r="C5971" s="3">
        <v>0.3297569444444444</v>
      </c>
      <c r="D5971" s="1">
        <v>12.989787</v>
      </c>
      <c r="E5971" s="1">
        <v>80.179382</v>
      </c>
      <c r="F5971" s="1">
        <v>5339.0</v>
      </c>
      <c r="G5971" s="1">
        <v>0.0</v>
      </c>
    </row>
    <row r="5972">
      <c r="A5972" s="1" t="s">
        <v>8</v>
      </c>
      <c r="B5972" s="2">
        <v>44729.0</v>
      </c>
      <c r="C5972" s="3">
        <v>0.32980324074074074</v>
      </c>
      <c r="D5972" s="1">
        <v>12.989482</v>
      </c>
      <c r="E5972" s="1">
        <v>80.179015</v>
      </c>
      <c r="F5972" s="1">
        <v>5339.0</v>
      </c>
      <c r="G5972" s="1">
        <v>26.0</v>
      </c>
    </row>
    <row r="5973">
      <c r="A5973" s="1" t="s">
        <v>8</v>
      </c>
      <c r="B5973" s="2">
        <v>44729.0</v>
      </c>
      <c r="C5973" s="3">
        <v>0.3302083333333333</v>
      </c>
      <c r="D5973" s="1">
        <v>12.987832</v>
      </c>
      <c r="E5973" s="1">
        <v>80.176758</v>
      </c>
      <c r="F5973" s="1">
        <v>5339.0</v>
      </c>
      <c r="G5973" s="1">
        <v>40.0</v>
      </c>
    </row>
    <row r="5974">
      <c r="A5974" s="1" t="s">
        <v>8</v>
      </c>
      <c r="B5974" s="2">
        <v>44729.0</v>
      </c>
      <c r="C5974" s="3">
        <v>0.3302893518518519</v>
      </c>
      <c r="D5974" s="1">
        <v>13.007024</v>
      </c>
      <c r="E5974" s="1">
        <v>80.204528</v>
      </c>
      <c r="F5974" s="1">
        <v>805.0</v>
      </c>
      <c r="G5974" s="1">
        <v>40.0</v>
      </c>
    </row>
    <row r="5975">
      <c r="A5975" s="1" t="s">
        <v>8</v>
      </c>
      <c r="B5975" s="2">
        <v>44729.0</v>
      </c>
      <c r="C5975" s="3">
        <v>0.3304861111111111</v>
      </c>
      <c r="D5975" s="1">
        <v>13.005417</v>
      </c>
      <c r="E5975" s="1">
        <v>80.201891</v>
      </c>
      <c r="F5975" s="1">
        <v>805.0</v>
      </c>
      <c r="G5975" s="1">
        <v>42.0</v>
      </c>
    </row>
    <row r="5976">
      <c r="A5976" s="1" t="s">
        <v>8</v>
      </c>
      <c r="B5976" s="2">
        <v>44729.0</v>
      </c>
      <c r="C5976" s="3">
        <v>0.33064814814814814</v>
      </c>
      <c r="D5976" s="1">
        <v>12.985225</v>
      </c>
      <c r="E5976" s="1">
        <v>80.172963</v>
      </c>
      <c r="F5976" s="1">
        <v>5339.0</v>
      </c>
      <c r="G5976" s="1">
        <v>47.0</v>
      </c>
    </row>
    <row r="5977">
      <c r="A5977" s="1" t="s">
        <v>7</v>
      </c>
      <c r="B5977" s="2">
        <v>44729.0</v>
      </c>
      <c r="C5977" s="3">
        <v>0.3308564814814815</v>
      </c>
      <c r="D5977" s="1">
        <v>12.748506</v>
      </c>
      <c r="E5977" s="1">
        <v>79.996512</v>
      </c>
      <c r="F5977" s="1">
        <v>2846.0</v>
      </c>
      <c r="G5977" s="1">
        <v>58.0</v>
      </c>
    </row>
    <row r="5978">
      <c r="A5978" s="1" t="s">
        <v>7</v>
      </c>
      <c r="B5978" s="2">
        <v>44729.0</v>
      </c>
      <c r="C5978" s="3">
        <v>0.3309722222222222</v>
      </c>
      <c r="D5978" s="1">
        <v>12.983018</v>
      </c>
      <c r="E5978" s="1">
        <v>80.169412</v>
      </c>
      <c r="F5978" s="1">
        <v>5339.0</v>
      </c>
      <c r="G5978" s="1">
        <v>57.0</v>
      </c>
    </row>
    <row r="5979">
      <c r="A5979" s="1" t="s">
        <v>7</v>
      </c>
      <c r="B5979" s="2">
        <v>44729.0</v>
      </c>
      <c r="C5979" s="3">
        <v>0.3310763888888889</v>
      </c>
      <c r="D5979" s="1">
        <v>12.750698</v>
      </c>
      <c r="E5979" s="1">
        <v>79.998264</v>
      </c>
      <c r="F5979" s="1">
        <v>2846.0</v>
      </c>
      <c r="G5979" s="1">
        <v>49.0</v>
      </c>
    </row>
    <row r="5980">
      <c r="A5980" s="1" t="s">
        <v>8</v>
      </c>
      <c r="B5980" s="2">
        <v>44729.0</v>
      </c>
      <c r="C5980" s="3">
        <v>0.3310763888888889</v>
      </c>
      <c r="D5980" s="1">
        <v>13.0018</v>
      </c>
      <c r="E5980" s="1">
        <v>80.199807</v>
      </c>
      <c r="F5980" s="1">
        <v>805.0</v>
      </c>
      <c r="G5980" s="1">
        <v>46.0</v>
      </c>
    </row>
    <row r="5981">
      <c r="A5981" s="1" t="s">
        <v>7</v>
      </c>
      <c r="B5981" s="2">
        <v>44729.0</v>
      </c>
      <c r="C5981" s="3">
        <v>0.33111111111111113</v>
      </c>
      <c r="D5981" s="1">
        <v>12.982245</v>
      </c>
      <c r="E5981" s="1">
        <v>80.168159</v>
      </c>
      <c r="F5981" s="1">
        <v>5339.0</v>
      </c>
      <c r="G5981" s="1">
        <v>56.0</v>
      </c>
    </row>
    <row r="5982">
      <c r="A5982" s="1" t="s">
        <v>8</v>
      </c>
      <c r="B5982" s="2">
        <v>44729.0</v>
      </c>
      <c r="C5982" s="3">
        <v>0.3311574074074074</v>
      </c>
      <c r="D5982" s="1">
        <v>13.0018</v>
      </c>
      <c r="E5982" s="1">
        <v>80.199807</v>
      </c>
      <c r="F5982" s="1">
        <v>805.0</v>
      </c>
      <c r="G5982" s="1">
        <v>46.0</v>
      </c>
    </row>
    <row r="5983">
      <c r="A5983" s="1" t="s">
        <v>8</v>
      </c>
      <c r="B5983" s="2">
        <v>44729.0</v>
      </c>
      <c r="C5983" s="3">
        <v>0.3311689814814815</v>
      </c>
      <c r="D5983" s="1">
        <v>13.0018</v>
      </c>
      <c r="E5983" s="1">
        <v>80.199807</v>
      </c>
      <c r="F5983" s="1">
        <v>805.0</v>
      </c>
      <c r="G5983" s="1">
        <v>46.0</v>
      </c>
    </row>
    <row r="5984">
      <c r="A5984" s="1" t="s">
        <v>8</v>
      </c>
      <c r="B5984" s="2">
        <v>44729.0</v>
      </c>
      <c r="C5984" s="3">
        <v>0.33121527777777776</v>
      </c>
      <c r="D5984" s="1">
        <v>13.001787</v>
      </c>
      <c r="E5984" s="1">
        <v>80.198784</v>
      </c>
      <c r="F5984" s="1">
        <v>805.0</v>
      </c>
      <c r="G5984" s="1">
        <v>38.0</v>
      </c>
    </row>
    <row r="5985">
      <c r="A5985" s="1" t="s">
        <v>8</v>
      </c>
      <c r="B5985" s="2">
        <v>44729.0</v>
      </c>
      <c r="C5985" s="3">
        <v>0.33122685185185186</v>
      </c>
      <c r="D5985" s="1">
        <v>13.001787</v>
      </c>
      <c r="E5985" s="1">
        <v>80.198784</v>
      </c>
      <c r="F5985" s="1">
        <v>805.0</v>
      </c>
      <c r="G5985" s="1">
        <v>38.0</v>
      </c>
    </row>
    <row r="5986">
      <c r="A5986" s="1" t="s">
        <v>7</v>
      </c>
      <c r="B5986" s="2">
        <v>44729.0</v>
      </c>
      <c r="C5986" s="3">
        <v>0.33130787037037035</v>
      </c>
      <c r="D5986" s="1">
        <v>12.752877</v>
      </c>
      <c r="E5986" s="1">
        <v>79.999782</v>
      </c>
      <c r="F5986" s="1">
        <v>2846.0</v>
      </c>
      <c r="G5986" s="1">
        <v>55.0</v>
      </c>
    </row>
    <row r="5987">
      <c r="A5987" s="1" t="s">
        <v>8</v>
      </c>
      <c r="B5987" s="2">
        <v>44729.0</v>
      </c>
      <c r="C5987" s="3">
        <v>0.33143518518518517</v>
      </c>
      <c r="D5987" s="1">
        <v>13.001917</v>
      </c>
      <c r="E5987" s="1">
        <v>80.196912</v>
      </c>
      <c r="F5987" s="1">
        <v>805.0</v>
      </c>
      <c r="G5987" s="1">
        <v>45.0</v>
      </c>
    </row>
    <row r="5988">
      <c r="A5988" s="1" t="s">
        <v>8</v>
      </c>
      <c r="B5988" s="2">
        <v>44729.0</v>
      </c>
      <c r="C5988" s="3">
        <v>0.3314814814814815</v>
      </c>
      <c r="D5988" s="1">
        <v>12.754099</v>
      </c>
      <c r="E5988" s="1">
        <v>80.000553</v>
      </c>
      <c r="F5988" s="1">
        <v>2846.0</v>
      </c>
      <c r="G5988" s="1">
        <v>57.0</v>
      </c>
    </row>
    <row r="5989">
      <c r="A5989" s="1" t="s">
        <v>7</v>
      </c>
      <c r="B5989" s="2">
        <v>44729.0</v>
      </c>
      <c r="C5989" s="3">
        <v>0.3315625</v>
      </c>
      <c r="D5989" s="1">
        <v>13.001917</v>
      </c>
      <c r="E5989" s="1">
        <v>80.196912</v>
      </c>
      <c r="F5989" s="1">
        <v>805.0</v>
      </c>
      <c r="G5989" s="1">
        <v>45.0</v>
      </c>
    </row>
    <row r="5990">
      <c r="A5990" s="1" t="s">
        <v>7</v>
      </c>
      <c r="B5990" s="2">
        <v>44729.0</v>
      </c>
      <c r="C5990" s="3">
        <v>0.33164351851851853</v>
      </c>
      <c r="D5990" s="1">
        <v>12.755312</v>
      </c>
      <c r="E5990" s="1">
        <v>80.001319</v>
      </c>
      <c r="F5990" s="1">
        <v>2846.0</v>
      </c>
      <c r="G5990" s="1">
        <v>55.0</v>
      </c>
    </row>
    <row r="5991">
      <c r="A5991" s="1" t="s">
        <v>7</v>
      </c>
      <c r="B5991" s="2">
        <v>44729.0</v>
      </c>
      <c r="C5991" s="3">
        <v>0.3318055555555556</v>
      </c>
      <c r="D5991" s="1">
        <v>12.757669</v>
      </c>
      <c r="E5991" s="1">
        <v>80.002426</v>
      </c>
      <c r="F5991" s="1">
        <v>2846.0</v>
      </c>
      <c r="G5991" s="1">
        <v>54.0</v>
      </c>
    </row>
    <row r="5992">
      <c r="A5992" s="1" t="s">
        <v>8</v>
      </c>
      <c r="B5992" s="2">
        <v>44729.0</v>
      </c>
      <c r="C5992" s="3">
        <v>0.33189814814814816</v>
      </c>
      <c r="D5992" s="1">
        <v>12.758933</v>
      </c>
      <c r="E5992" s="1">
        <v>80.002818</v>
      </c>
      <c r="F5992" s="1">
        <v>2846.0</v>
      </c>
      <c r="G5992" s="1">
        <v>44.0</v>
      </c>
    </row>
    <row r="5993">
      <c r="A5993" s="1" t="s">
        <v>8</v>
      </c>
      <c r="B5993" s="2">
        <v>44729.0</v>
      </c>
      <c r="C5993" s="3">
        <v>0.33194444444444443</v>
      </c>
      <c r="D5993" s="1">
        <v>12.998989</v>
      </c>
      <c r="E5993" s="1">
        <v>80.192961</v>
      </c>
      <c r="F5993" s="1">
        <v>805.0</v>
      </c>
      <c r="G5993" s="1">
        <v>36.0</v>
      </c>
    </row>
    <row r="5994">
      <c r="A5994" s="1" t="s">
        <v>10</v>
      </c>
      <c r="B5994" s="2">
        <v>44729.0</v>
      </c>
      <c r="C5994" s="3">
        <v>0.332037037037037</v>
      </c>
      <c r="D5994" s="1">
        <v>12.759769</v>
      </c>
      <c r="E5994" s="1">
        <v>80.003065</v>
      </c>
      <c r="F5994" s="1">
        <v>2846.0</v>
      </c>
      <c r="G5994" s="1">
        <v>32.0</v>
      </c>
    </row>
    <row r="5995">
      <c r="A5995" s="1" t="s">
        <v>8</v>
      </c>
      <c r="B5995" s="2">
        <v>44729.0</v>
      </c>
      <c r="C5995" s="3">
        <v>0.3322685185185185</v>
      </c>
      <c r="D5995" s="1">
        <v>12.997806</v>
      </c>
      <c r="E5995" s="1">
        <v>80.191483</v>
      </c>
      <c r="F5995" s="1">
        <v>805.0</v>
      </c>
      <c r="G5995" s="1">
        <v>46.0</v>
      </c>
    </row>
    <row r="5996">
      <c r="A5996" s="1" t="s">
        <v>8</v>
      </c>
      <c r="B5996" s="2">
        <v>44729.0</v>
      </c>
      <c r="C5996" s="3">
        <v>0.3323726851851852</v>
      </c>
      <c r="D5996" s="1">
        <v>12.976634</v>
      </c>
      <c r="E5996" s="1">
        <v>80.157998</v>
      </c>
      <c r="F5996" s="1">
        <v>5339.0</v>
      </c>
      <c r="G5996" s="1">
        <v>53.0</v>
      </c>
    </row>
    <row r="5997">
      <c r="A5997" s="1" t="s">
        <v>8</v>
      </c>
      <c r="B5997" s="2">
        <v>44729.0</v>
      </c>
      <c r="C5997" s="3">
        <v>0.33287037037037037</v>
      </c>
      <c r="D5997" s="1">
        <v>12.995844</v>
      </c>
      <c r="E5997" s="1">
        <v>80.189106</v>
      </c>
      <c r="F5997" s="1">
        <v>805.0</v>
      </c>
      <c r="G5997" s="1">
        <v>32.0</v>
      </c>
    </row>
    <row r="5998">
      <c r="A5998" s="1" t="s">
        <v>7</v>
      </c>
      <c r="B5998" s="2">
        <v>44729.0</v>
      </c>
      <c r="C5998" s="3">
        <v>0.3329166666666667</v>
      </c>
      <c r="D5998" s="1">
        <v>12.764875</v>
      </c>
      <c r="E5998" s="1">
        <v>80.004739</v>
      </c>
      <c r="F5998" s="1">
        <v>2846.0</v>
      </c>
      <c r="G5998" s="1">
        <v>55.0</v>
      </c>
    </row>
    <row r="5999">
      <c r="A5999" s="1" t="s">
        <v>7</v>
      </c>
      <c r="B5999" s="2">
        <v>44729.0</v>
      </c>
      <c r="C5999" s="3">
        <v>0.33305555555555555</v>
      </c>
      <c r="D5999" s="1">
        <v>12.766211</v>
      </c>
      <c r="E5999" s="1">
        <v>80.005311</v>
      </c>
      <c r="F5999" s="1">
        <v>2846.0</v>
      </c>
      <c r="G5999" s="1">
        <v>58.0</v>
      </c>
    </row>
    <row r="6000">
      <c r="A6000" s="1" t="s">
        <v>7</v>
      </c>
      <c r="B6000" s="2">
        <v>44729.0</v>
      </c>
      <c r="C6000" s="3">
        <v>0.3332638888888889</v>
      </c>
      <c r="D6000" s="1">
        <v>12.768822</v>
      </c>
      <c r="E6000" s="1">
        <v>80.006532</v>
      </c>
      <c r="F6000" s="1">
        <v>2846.0</v>
      </c>
      <c r="G6000" s="1">
        <v>57.0</v>
      </c>
    </row>
    <row r="6001">
      <c r="A6001" s="1" t="s">
        <v>7</v>
      </c>
      <c r="B6001" s="2">
        <v>44729.0</v>
      </c>
      <c r="C6001" s="3">
        <v>0.3334259259259259</v>
      </c>
      <c r="D6001" s="1">
        <v>12.993748</v>
      </c>
      <c r="E6001" s="1">
        <v>80.185113</v>
      </c>
      <c r="F6001" s="1">
        <v>805.0</v>
      </c>
      <c r="G6001" s="1">
        <v>35.0</v>
      </c>
    </row>
    <row r="6002">
      <c r="A6002" s="1" t="s">
        <v>8</v>
      </c>
      <c r="B6002" s="2">
        <v>44729.0</v>
      </c>
      <c r="C6002" s="3">
        <v>0.3336574074074074</v>
      </c>
      <c r="D6002" s="1">
        <v>12.99316</v>
      </c>
      <c r="E6002" s="1">
        <v>80.184045</v>
      </c>
      <c r="F6002" s="1">
        <v>805.0</v>
      </c>
      <c r="G6002" s="1">
        <v>56.0</v>
      </c>
    </row>
    <row r="6003">
      <c r="A6003" s="1" t="s">
        <v>8</v>
      </c>
      <c r="B6003" s="2">
        <v>44729.0</v>
      </c>
      <c r="C6003" s="3">
        <v>0.3337615740740741</v>
      </c>
      <c r="D6003" s="1">
        <v>12.991504</v>
      </c>
      <c r="E6003" s="1">
        <v>80.181556</v>
      </c>
      <c r="F6003" s="1">
        <v>805.0</v>
      </c>
      <c r="G6003" s="1">
        <v>57.0</v>
      </c>
    </row>
    <row r="6004">
      <c r="A6004" s="1" t="s">
        <v>8</v>
      </c>
      <c r="B6004" s="2">
        <v>44729.0</v>
      </c>
      <c r="C6004" s="3">
        <v>0.33391203703703703</v>
      </c>
      <c r="D6004" s="1">
        <v>12.990592</v>
      </c>
      <c r="E6004" s="1">
        <v>80.180397</v>
      </c>
      <c r="F6004" s="1">
        <v>805.0</v>
      </c>
      <c r="G6004" s="1">
        <v>58.0</v>
      </c>
    </row>
    <row r="6005">
      <c r="A6005" s="1" t="s">
        <v>9</v>
      </c>
      <c r="B6005" s="2">
        <v>44729.0</v>
      </c>
      <c r="C6005" s="3">
        <v>0.33424768518518516</v>
      </c>
      <c r="D6005" s="1">
        <v>12.969506</v>
      </c>
      <c r="E6005" s="1">
        <v>80.15015</v>
      </c>
      <c r="F6005" s="1">
        <v>5339.0</v>
      </c>
      <c r="G6005" s="1">
        <v>34.0</v>
      </c>
    </row>
    <row r="6006">
      <c r="A6006" s="1" t="s">
        <v>8</v>
      </c>
      <c r="B6006" s="2">
        <v>44729.0</v>
      </c>
      <c r="C6006" s="3">
        <v>0.3342824074074074</v>
      </c>
      <c r="D6006" s="1">
        <v>12.989595</v>
      </c>
      <c r="E6006" s="1">
        <v>80.179196</v>
      </c>
      <c r="F6006" s="1">
        <v>805.0</v>
      </c>
      <c r="G6006" s="1">
        <v>0.0</v>
      </c>
    </row>
    <row r="6007">
      <c r="A6007" s="1" t="s">
        <v>8</v>
      </c>
      <c r="B6007" s="2">
        <v>44729.0</v>
      </c>
      <c r="C6007" s="3">
        <v>0.3344097222222222</v>
      </c>
      <c r="D6007" s="1">
        <v>12.989329</v>
      </c>
      <c r="E6007" s="1">
        <v>80.17884</v>
      </c>
      <c r="F6007" s="1">
        <v>805.0</v>
      </c>
      <c r="G6007" s="1">
        <v>28.0</v>
      </c>
    </row>
    <row r="6008">
      <c r="A6008" s="1" t="s">
        <v>8</v>
      </c>
      <c r="B6008" s="2">
        <v>44729.0</v>
      </c>
      <c r="C6008" s="3">
        <v>0.33446759259259257</v>
      </c>
      <c r="D6008" s="1">
        <v>12.968095</v>
      </c>
      <c r="E6008" s="1">
        <v>80.149497</v>
      </c>
      <c r="F6008" s="1">
        <v>5339.0</v>
      </c>
      <c r="G6008" s="1">
        <v>25.0</v>
      </c>
    </row>
    <row r="6009">
      <c r="A6009" s="1" t="s">
        <v>7</v>
      </c>
      <c r="B6009" s="2">
        <v>44729.0</v>
      </c>
      <c r="C6009" s="3">
        <v>0.3348263888888889</v>
      </c>
      <c r="D6009" s="1">
        <v>12.986833</v>
      </c>
      <c r="E6009" s="1">
        <v>80.175328</v>
      </c>
      <c r="F6009" s="1">
        <v>805.0</v>
      </c>
      <c r="G6009" s="1">
        <v>57.0</v>
      </c>
    </row>
    <row r="6010">
      <c r="A6010" s="1" t="s">
        <v>7</v>
      </c>
      <c r="B6010" s="2">
        <v>44729.0</v>
      </c>
      <c r="C6010" s="3">
        <v>0.3349421296296296</v>
      </c>
      <c r="D6010" s="1">
        <v>12.985989</v>
      </c>
      <c r="E6010" s="1">
        <v>80.174119</v>
      </c>
      <c r="F6010" s="1">
        <v>805.0</v>
      </c>
      <c r="G6010" s="1">
        <v>58.0</v>
      </c>
    </row>
    <row r="6011">
      <c r="A6011" s="1" t="s">
        <v>7</v>
      </c>
      <c r="B6011" s="2">
        <v>44729.0</v>
      </c>
      <c r="C6011" s="3">
        <v>0.3352893518518518</v>
      </c>
      <c r="D6011" s="1">
        <v>12.964138</v>
      </c>
      <c r="E6011" s="1">
        <v>80.147521</v>
      </c>
      <c r="F6011" s="1">
        <v>5339.0</v>
      </c>
      <c r="G6011" s="1">
        <v>46.0</v>
      </c>
    </row>
    <row r="6012">
      <c r="A6012" s="1" t="s">
        <v>7</v>
      </c>
      <c r="B6012" s="2">
        <v>44729.0</v>
      </c>
      <c r="C6012" s="3">
        <v>0.33538194444444447</v>
      </c>
      <c r="D6012" s="1">
        <v>12.962942</v>
      </c>
      <c r="E6012" s="1">
        <v>80.146851</v>
      </c>
      <c r="F6012" s="1">
        <v>5339.0</v>
      </c>
      <c r="G6012" s="1">
        <v>61.0</v>
      </c>
    </row>
    <row r="6013">
      <c r="A6013" s="1" t="s">
        <v>7</v>
      </c>
      <c r="B6013" s="2">
        <v>44729.0</v>
      </c>
      <c r="C6013" s="3">
        <v>0.33546296296296296</v>
      </c>
      <c r="D6013" s="1">
        <v>12.98286</v>
      </c>
      <c r="E6013" s="1">
        <v>80.169084</v>
      </c>
      <c r="F6013" s="1">
        <v>805.0</v>
      </c>
      <c r="G6013" s="1">
        <v>57.0</v>
      </c>
    </row>
    <row r="6014">
      <c r="A6014" s="1" t="s">
        <v>7</v>
      </c>
      <c r="B6014" s="2">
        <v>44729.0</v>
      </c>
      <c r="C6014" s="3">
        <v>0.33574074074074073</v>
      </c>
      <c r="D6014" s="1">
        <v>12.980635</v>
      </c>
      <c r="E6014" s="1">
        <v>80.165268</v>
      </c>
      <c r="F6014" s="1">
        <v>805.0</v>
      </c>
      <c r="G6014" s="1">
        <v>57.0</v>
      </c>
    </row>
    <row r="6015">
      <c r="A6015" s="1" t="s">
        <v>8</v>
      </c>
      <c r="B6015" s="2">
        <v>44729.0</v>
      </c>
      <c r="C6015" s="3">
        <v>0.33633101851851854</v>
      </c>
      <c r="D6015" s="1">
        <v>12.957236</v>
      </c>
      <c r="E6015" s="1">
        <v>80.143796</v>
      </c>
      <c r="F6015" s="1">
        <v>5339.0</v>
      </c>
      <c r="G6015" s="1">
        <v>56.0</v>
      </c>
    </row>
    <row r="6016">
      <c r="A6016" s="1" t="s">
        <v>8</v>
      </c>
      <c r="B6016" s="2">
        <v>44729.0</v>
      </c>
      <c r="C6016" s="3">
        <v>0.3363888888888889</v>
      </c>
      <c r="D6016" s="1">
        <v>12.979702</v>
      </c>
      <c r="E6016" s="1">
        <v>80.162696</v>
      </c>
      <c r="F6016" s="1">
        <v>805.0</v>
      </c>
      <c r="G6016" s="1">
        <v>29.0</v>
      </c>
    </row>
    <row r="6017">
      <c r="A6017" s="1" t="s">
        <v>7</v>
      </c>
      <c r="B6017" s="2">
        <v>44729.0</v>
      </c>
      <c r="C6017" s="3">
        <v>0.33640046296296294</v>
      </c>
      <c r="D6017" s="1">
        <v>12.799473</v>
      </c>
      <c r="E6017" s="1">
        <v>80.022966</v>
      </c>
      <c r="F6017" s="1">
        <v>2846.0</v>
      </c>
      <c r="G6017" s="1">
        <v>58.0</v>
      </c>
    </row>
    <row r="6018">
      <c r="A6018" s="1" t="s">
        <v>8</v>
      </c>
      <c r="B6018" s="2">
        <v>44729.0</v>
      </c>
      <c r="C6018" s="3">
        <v>0.33642361111111113</v>
      </c>
      <c r="D6018" s="1">
        <v>12.95609</v>
      </c>
      <c r="E6018" s="1">
        <v>80.143173</v>
      </c>
      <c r="F6018" s="1">
        <v>5339.0</v>
      </c>
      <c r="G6018" s="1">
        <v>49.0</v>
      </c>
    </row>
    <row r="6019">
      <c r="A6019" s="1" t="s">
        <v>8</v>
      </c>
      <c r="B6019" s="2">
        <v>44729.0</v>
      </c>
      <c r="C6019" s="3">
        <v>0.33644675925925926</v>
      </c>
      <c r="D6019" s="1">
        <v>12.979702</v>
      </c>
      <c r="E6019" s="1">
        <v>80.162696</v>
      </c>
      <c r="F6019" s="1">
        <v>805.0</v>
      </c>
      <c r="G6019" s="1">
        <v>29.0</v>
      </c>
    </row>
    <row r="6020">
      <c r="A6020" s="1" t="s">
        <v>8</v>
      </c>
      <c r="B6020" s="2">
        <v>44729.0</v>
      </c>
      <c r="C6020" s="3">
        <v>0.3364814814814815</v>
      </c>
      <c r="D6020" s="1">
        <v>12.955152</v>
      </c>
      <c r="E6020" s="1">
        <v>80.14266</v>
      </c>
      <c r="F6020" s="1">
        <v>5339.0</v>
      </c>
      <c r="G6020" s="1">
        <v>37.0</v>
      </c>
    </row>
    <row r="6021">
      <c r="A6021" s="1" t="s">
        <v>7</v>
      </c>
      <c r="B6021" s="2">
        <v>44729.0</v>
      </c>
      <c r="C6021" s="3">
        <v>0.3365046296296296</v>
      </c>
      <c r="D6021" s="1">
        <v>12.979702</v>
      </c>
      <c r="E6021" s="1">
        <v>80.162696</v>
      </c>
      <c r="F6021" s="1">
        <v>805.0</v>
      </c>
      <c r="G6021" s="1">
        <v>29.0</v>
      </c>
    </row>
    <row r="6022">
      <c r="A6022" s="1" t="s">
        <v>8</v>
      </c>
      <c r="B6022" s="2">
        <v>44729.0</v>
      </c>
      <c r="C6022" s="3">
        <v>0.336875</v>
      </c>
      <c r="D6022" s="1">
        <v>12.978545</v>
      </c>
      <c r="E6022" s="1">
        <v>80.160974</v>
      </c>
      <c r="F6022" s="1">
        <v>805.0</v>
      </c>
      <c r="G6022" s="1">
        <v>50.0</v>
      </c>
    </row>
    <row r="6023">
      <c r="A6023" s="1" t="s">
        <v>7</v>
      </c>
      <c r="B6023" s="2">
        <v>44729.0</v>
      </c>
      <c r="C6023" s="3">
        <v>0.33697916666666666</v>
      </c>
      <c r="D6023" s="1">
        <v>12.805586</v>
      </c>
      <c r="E6023" s="1">
        <v>80.026969</v>
      </c>
      <c r="F6023" s="1">
        <v>2846.0</v>
      </c>
      <c r="G6023" s="1">
        <v>57.0</v>
      </c>
    </row>
    <row r="6024">
      <c r="A6024" s="1" t="s">
        <v>8</v>
      </c>
      <c r="B6024" s="2">
        <v>44729.0</v>
      </c>
      <c r="C6024" s="3">
        <v>0.3370023148148148</v>
      </c>
      <c r="D6024" s="1">
        <v>12.978545</v>
      </c>
      <c r="E6024" s="1">
        <v>80.160974</v>
      </c>
      <c r="F6024" s="1">
        <v>805.0</v>
      </c>
      <c r="G6024" s="1">
        <v>50.0</v>
      </c>
    </row>
    <row r="6025">
      <c r="A6025" s="1" t="s">
        <v>8</v>
      </c>
      <c r="B6025" s="2">
        <v>44729.0</v>
      </c>
      <c r="C6025" s="3">
        <v>0.3371875</v>
      </c>
      <c r="D6025" s="1">
        <v>12.952859</v>
      </c>
      <c r="E6025" s="1">
        <v>80.141385</v>
      </c>
      <c r="F6025" s="1">
        <v>5339.0</v>
      </c>
      <c r="G6025" s="1">
        <v>23.0</v>
      </c>
    </row>
    <row r="6026">
      <c r="A6026" s="1" t="s">
        <v>8</v>
      </c>
      <c r="B6026" s="2">
        <v>44729.0</v>
      </c>
      <c r="C6026" s="3">
        <v>0.33719907407407407</v>
      </c>
      <c r="D6026" s="1">
        <v>12.952859</v>
      </c>
      <c r="E6026" s="1">
        <v>80.141385</v>
      </c>
      <c r="F6026" s="1">
        <v>5339.0</v>
      </c>
      <c r="G6026" s="1">
        <v>23.0</v>
      </c>
    </row>
    <row r="6027">
      <c r="A6027" s="1" t="s">
        <v>7</v>
      </c>
      <c r="B6027" s="2">
        <v>44729.0</v>
      </c>
      <c r="C6027" s="3">
        <v>0.3373148148148148</v>
      </c>
      <c r="D6027" s="1">
        <v>12.808621</v>
      </c>
      <c r="E6027" s="1">
        <v>80.028893</v>
      </c>
      <c r="F6027" s="1">
        <v>2846.0</v>
      </c>
      <c r="G6027" s="1">
        <v>42.0</v>
      </c>
    </row>
    <row r="6028">
      <c r="A6028" s="1" t="s">
        <v>8</v>
      </c>
      <c r="B6028" s="2">
        <v>44729.0</v>
      </c>
      <c r="C6028" s="3">
        <v>0.3378703703703704</v>
      </c>
      <c r="D6028" s="1">
        <v>12.949167</v>
      </c>
      <c r="E6028" s="1">
        <v>80.138551</v>
      </c>
      <c r="F6028" s="1">
        <v>5339.0</v>
      </c>
      <c r="G6028" s="1">
        <v>44.0</v>
      </c>
    </row>
    <row r="6029">
      <c r="A6029" s="1" t="s">
        <v>7</v>
      </c>
      <c r="B6029" s="2">
        <v>44729.0</v>
      </c>
      <c r="C6029" s="3">
        <v>0.33795138888888887</v>
      </c>
      <c r="D6029" s="1">
        <v>12.815707</v>
      </c>
      <c r="E6029" s="1">
        <v>80.033555</v>
      </c>
      <c r="F6029" s="1">
        <v>2846.0</v>
      </c>
      <c r="G6029" s="1">
        <v>58.0</v>
      </c>
    </row>
    <row r="6030">
      <c r="A6030" s="1" t="s">
        <v>8</v>
      </c>
      <c r="B6030" s="2">
        <v>44729.0</v>
      </c>
      <c r="C6030" s="3">
        <v>0.3380902777777778</v>
      </c>
      <c r="D6030" s="1">
        <v>12.971441</v>
      </c>
      <c r="E6030" s="1">
        <v>80.151109</v>
      </c>
      <c r="F6030" s="1">
        <v>805.0</v>
      </c>
      <c r="G6030" s="1">
        <v>22.0</v>
      </c>
    </row>
    <row r="6031">
      <c r="A6031" s="1" t="s">
        <v>8</v>
      </c>
      <c r="B6031" s="2">
        <v>44729.0</v>
      </c>
      <c r="C6031" s="3">
        <v>0.338125</v>
      </c>
      <c r="D6031" s="1">
        <v>12.971441</v>
      </c>
      <c r="E6031" s="1">
        <v>80.151109</v>
      </c>
      <c r="F6031" s="1">
        <v>805.0</v>
      </c>
      <c r="G6031" s="1">
        <v>22.0</v>
      </c>
    </row>
    <row r="6032">
      <c r="A6032" s="1" t="s">
        <v>8</v>
      </c>
      <c r="B6032" s="2">
        <v>44729.0</v>
      </c>
      <c r="C6032" s="3">
        <v>0.33813657407407405</v>
      </c>
      <c r="D6032" s="1">
        <v>12.970784</v>
      </c>
      <c r="E6032" s="1">
        <v>80.150766</v>
      </c>
      <c r="F6032" s="1">
        <v>805.0</v>
      </c>
      <c r="G6032" s="1">
        <v>30.0</v>
      </c>
    </row>
    <row r="6033">
      <c r="A6033" s="1" t="s">
        <v>8</v>
      </c>
      <c r="B6033" s="2">
        <v>44729.0</v>
      </c>
      <c r="C6033" s="3">
        <v>0.33824074074074073</v>
      </c>
      <c r="D6033" s="1">
        <v>12.970784</v>
      </c>
      <c r="E6033" s="1">
        <v>80.150766</v>
      </c>
      <c r="F6033" s="1">
        <v>805.0</v>
      </c>
      <c r="G6033" s="1">
        <v>30.0</v>
      </c>
    </row>
    <row r="6034">
      <c r="A6034" s="1" t="s">
        <v>7</v>
      </c>
      <c r="B6034" s="2">
        <v>44729.0</v>
      </c>
      <c r="C6034" s="3">
        <v>0.3384259259259259</v>
      </c>
      <c r="D6034" s="1">
        <v>12.819976</v>
      </c>
      <c r="E6034" s="1">
        <v>80.036596</v>
      </c>
      <c r="F6034" s="1">
        <v>2846.0</v>
      </c>
      <c r="G6034" s="1">
        <v>47.0</v>
      </c>
    </row>
    <row r="6035">
      <c r="A6035" s="1" t="s">
        <v>7</v>
      </c>
      <c r="B6035" s="2">
        <v>44729.0</v>
      </c>
      <c r="C6035" s="3">
        <v>0.3389814814814815</v>
      </c>
      <c r="D6035" s="1">
        <v>12.825698</v>
      </c>
      <c r="E6035" s="1">
        <v>80.04061</v>
      </c>
      <c r="F6035" s="1">
        <v>2846.0</v>
      </c>
      <c r="G6035" s="1">
        <v>55.0</v>
      </c>
    </row>
    <row r="6036">
      <c r="A6036" s="1" t="s">
        <v>8</v>
      </c>
      <c r="B6036" s="2">
        <v>44729.0</v>
      </c>
      <c r="C6036" s="3">
        <v>0.3393055555555556</v>
      </c>
      <c r="D6036" s="1">
        <v>12.941276</v>
      </c>
      <c r="E6036" s="1">
        <v>80.131934</v>
      </c>
      <c r="F6036" s="1">
        <v>5339.0</v>
      </c>
      <c r="G6036" s="1">
        <v>39.0</v>
      </c>
    </row>
    <row r="6037">
      <c r="A6037" s="1" t="s">
        <v>8</v>
      </c>
      <c r="B6037" s="2">
        <v>44729.0</v>
      </c>
      <c r="C6037" s="3">
        <v>0.3393865740740741</v>
      </c>
      <c r="D6037" s="1">
        <v>12.966076</v>
      </c>
      <c r="E6037" s="1">
        <v>80.148585</v>
      </c>
      <c r="F6037" s="1">
        <v>805.0</v>
      </c>
      <c r="G6037" s="1">
        <v>29.0</v>
      </c>
    </row>
    <row r="6038">
      <c r="A6038" s="1" t="s">
        <v>8</v>
      </c>
      <c r="B6038" s="2">
        <v>44729.0</v>
      </c>
      <c r="C6038" s="3">
        <v>0.33944444444444444</v>
      </c>
      <c r="D6038" s="1">
        <v>12.829833</v>
      </c>
      <c r="E6038" s="1">
        <v>80.044775</v>
      </c>
      <c r="F6038" s="1">
        <v>2846.0</v>
      </c>
      <c r="G6038" s="1">
        <v>57.0</v>
      </c>
    </row>
    <row r="6039">
      <c r="A6039" s="1" t="s">
        <v>8</v>
      </c>
      <c r="B6039" s="2">
        <v>44729.0</v>
      </c>
      <c r="C6039" s="3">
        <v>0.33958333333333335</v>
      </c>
      <c r="D6039" s="1">
        <v>12.964508</v>
      </c>
      <c r="E6039" s="1">
        <v>80.147822</v>
      </c>
      <c r="F6039" s="1">
        <v>805.0</v>
      </c>
      <c r="G6039" s="1">
        <v>38.0</v>
      </c>
    </row>
    <row r="6040">
      <c r="A6040" s="1" t="s">
        <v>8</v>
      </c>
      <c r="B6040" s="2">
        <v>44729.0</v>
      </c>
      <c r="C6040" s="3">
        <v>0.3396527777777778</v>
      </c>
      <c r="D6040" s="1">
        <v>12.963645</v>
      </c>
      <c r="E6040" s="1">
        <v>80.147314</v>
      </c>
      <c r="F6040" s="1">
        <v>805.0</v>
      </c>
      <c r="G6040" s="1">
        <v>43.0</v>
      </c>
    </row>
    <row r="6041">
      <c r="A6041" s="1" t="s">
        <v>8</v>
      </c>
      <c r="B6041" s="2">
        <v>44729.0</v>
      </c>
      <c r="C6041" s="3">
        <v>0.3397453703703704</v>
      </c>
      <c r="D6041" s="1">
        <v>12.937696</v>
      </c>
      <c r="E6041" s="1">
        <v>80.128527</v>
      </c>
      <c r="F6041" s="1">
        <v>5339.0</v>
      </c>
      <c r="G6041" s="1">
        <v>48.0</v>
      </c>
    </row>
    <row r="6042">
      <c r="A6042" s="1" t="s">
        <v>8</v>
      </c>
      <c r="B6042" s="2">
        <v>44729.0</v>
      </c>
      <c r="C6042" s="3">
        <v>0.33988425925925925</v>
      </c>
      <c r="D6042" s="1">
        <v>12.961653</v>
      </c>
      <c r="E6042" s="1">
        <v>80.146127</v>
      </c>
      <c r="F6042" s="1">
        <v>805.0</v>
      </c>
      <c r="G6042" s="1">
        <v>31.0</v>
      </c>
    </row>
    <row r="6043">
      <c r="A6043" s="1" t="s">
        <v>8</v>
      </c>
      <c r="B6043" s="2">
        <v>44729.0</v>
      </c>
      <c r="C6043" s="3">
        <v>0.33989583333333334</v>
      </c>
      <c r="D6043" s="1">
        <v>12.961653</v>
      </c>
      <c r="E6043" s="1">
        <v>80.146127</v>
      </c>
      <c r="F6043" s="1">
        <v>805.0</v>
      </c>
      <c r="G6043" s="1">
        <v>31.0</v>
      </c>
    </row>
    <row r="6044">
      <c r="A6044" s="1" t="s">
        <v>8</v>
      </c>
      <c r="B6044" s="2">
        <v>44729.0</v>
      </c>
      <c r="C6044" s="3">
        <v>0.33989583333333334</v>
      </c>
      <c r="D6044" s="1">
        <v>12.961653</v>
      </c>
      <c r="E6044" s="1">
        <v>80.146127</v>
      </c>
      <c r="F6044" s="1">
        <v>805.0</v>
      </c>
      <c r="G6044" s="1">
        <v>31.0</v>
      </c>
    </row>
    <row r="6045">
      <c r="A6045" s="1" t="s">
        <v>8</v>
      </c>
      <c r="B6045" s="2">
        <v>44729.0</v>
      </c>
      <c r="C6045" s="3">
        <v>0.3399189814814815</v>
      </c>
      <c r="D6045" s="1">
        <v>12.961653</v>
      </c>
      <c r="E6045" s="1">
        <v>80.146127</v>
      </c>
      <c r="F6045" s="1">
        <v>805.0</v>
      </c>
      <c r="G6045" s="1">
        <v>31.0</v>
      </c>
    </row>
    <row r="6046">
      <c r="A6046" s="1" t="s">
        <v>8</v>
      </c>
      <c r="B6046" s="2">
        <v>44729.0</v>
      </c>
      <c r="C6046" s="3">
        <v>0.33993055555555557</v>
      </c>
      <c r="D6046" s="1">
        <v>12.961653</v>
      </c>
      <c r="E6046" s="1">
        <v>80.146127</v>
      </c>
      <c r="F6046" s="1">
        <v>805.0</v>
      </c>
      <c r="G6046" s="1">
        <v>31.0</v>
      </c>
    </row>
    <row r="6047">
      <c r="A6047" s="1" t="s">
        <v>7</v>
      </c>
      <c r="B6047" s="2">
        <v>44729.0</v>
      </c>
      <c r="C6047" s="3">
        <v>0.3401736111111111</v>
      </c>
      <c r="D6047" s="1">
        <v>12.960066</v>
      </c>
      <c r="E6047" s="1">
        <v>80.145309</v>
      </c>
      <c r="F6047" s="1">
        <v>805.0</v>
      </c>
      <c r="G6047" s="1">
        <v>51.0</v>
      </c>
    </row>
    <row r="6048">
      <c r="A6048" s="1" t="s">
        <v>7</v>
      </c>
      <c r="B6048" s="2">
        <v>44729.0</v>
      </c>
      <c r="C6048" s="3">
        <v>0.3402662037037037</v>
      </c>
      <c r="D6048" s="1">
        <v>12.836944</v>
      </c>
      <c r="E6048" s="1">
        <v>80.052219</v>
      </c>
      <c r="F6048" s="1">
        <v>2846.0</v>
      </c>
      <c r="G6048" s="1">
        <v>58.0</v>
      </c>
    </row>
    <row r="6049">
      <c r="A6049" s="1" t="s">
        <v>7</v>
      </c>
      <c r="B6049" s="2">
        <v>44729.0</v>
      </c>
      <c r="C6049" s="3">
        <v>0.34043981481481483</v>
      </c>
      <c r="D6049" s="1">
        <v>12.935064</v>
      </c>
      <c r="E6049" s="1">
        <v>80.126263</v>
      </c>
      <c r="F6049" s="1">
        <v>5339.0</v>
      </c>
      <c r="G6049" s="1">
        <v>42.0</v>
      </c>
    </row>
    <row r="6050">
      <c r="A6050" s="1" t="s">
        <v>8</v>
      </c>
      <c r="B6050" s="2">
        <v>44729.0</v>
      </c>
      <c r="C6050" s="3">
        <v>0.34069444444444447</v>
      </c>
      <c r="D6050" s="1">
        <v>12.933033</v>
      </c>
      <c r="E6050" s="1">
        <v>80.124305</v>
      </c>
      <c r="F6050" s="1">
        <v>5339.0</v>
      </c>
      <c r="G6050" s="1">
        <v>55.0</v>
      </c>
    </row>
    <row r="6051">
      <c r="A6051" s="1" t="s">
        <v>8</v>
      </c>
      <c r="B6051" s="2">
        <v>44729.0</v>
      </c>
      <c r="C6051" s="3">
        <v>0.34076388888888887</v>
      </c>
      <c r="D6051" s="1">
        <v>12.933033</v>
      </c>
      <c r="E6051" s="1">
        <v>80.124305</v>
      </c>
      <c r="F6051" s="1">
        <v>5339.0</v>
      </c>
      <c r="G6051" s="1">
        <v>55.0</v>
      </c>
    </row>
    <row r="6052">
      <c r="A6052" s="1" t="s">
        <v>8</v>
      </c>
      <c r="B6052" s="2">
        <v>44729.0</v>
      </c>
      <c r="C6052" s="3">
        <v>0.3409490740740741</v>
      </c>
      <c r="D6052" s="1">
        <v>12.840702</v>
      </c>
      <c r="E6052" s="1">
        <v>80.056076</v>
      </c>
      <c r="F6052" s="1">
        <v>2846.0</v>
      </c>
      <c r="G6052" s="1">
        <v>22.0</v>
      </c>
    </row>
    <row r="6053">
      <c r="A6053" s="1" t="s">
        <v>8</v>
      </c>
      <c r="B6053" s="2">
        <v>44729.0</v>
      </c>
      <c r="C6053" s="3">
        <v>0.34097222222222223</v>
      </c>
      <c r="D6053" s="1">
        <v>12.931135</v>
      </c>
      <c r="E6053" s="1">
        <v>80.122383</v>
      </c>
      <c r="F6053" s="1">
        <v>5339.0</v>
      </c>
      <c r="G6053" s="1">
        <v>51.0</v>
      </c>
    </row>
    <row r="6054">
      <c r="A6054" s="1" t="s">
        <v>8</v>
      </c>
      <c r="B6054" s="2">
        <v>44729.0</v>
      </c>
      <c r="C6054" s="3">
        <v>0.3415972222222222</v>
      </c>
      <c r="D6054" s="1">
        <v>12.926486</v>
      </c>
      <c r="E6054" s="1">
        <v>80.117664</v>
      </c>
      <c r="F6054" s="1">
        <v>5339.0</v>
      </c>
      <c r="G6054" s="1">
        <v>41.0</v>
      </c>
    </row>
    <row r="6055">
      <c r="A6055" s="1" t="s">
        <v>8</v>
      </c>
      <c r="B6055" s="2">
        <v>44729.0</v>
      </c>
      <c r="C6055" s="3">
        <v>0.34164351851851854</v>
      </c>
      <c r="D6055" s="1">
        <v>12.926486</v>
      </c>
      <c r="E6055" s="1">
        <v>80.117664</v>
      </c>
      <c r="F6055" s="1">
        <v>5339.0</v>
      </c>
      <c r="G6055" s="1">
        <v>41.0</v>
      </c>
    </row>
    <row r="6056">
      <c r="A6056" s="1" t="s">
        <v>7</v>
      </c>
      <c r="B6056" s="2">
        <v>44729.0</v>
      </c>
      <c r="C6056" s="3">
        <v>0.34193287037037035</v>
      </c>
      <c r="D6056" s="1">
        <v>12.924933</v>
      </c>
      <c r="E6056" s="1">
        <v>80.116098</v>
      </c>
      <c r="F6056" s="1">
        <v>5339.0</v>
      </c>
      <c r="G6056" s="1">
        <v>46.0</v>
      </c>
    </row>
    <row r="6057">
      <c r="A6057" s="1" t="s">
        <v>8</v>
      </c>
      <c r="B6057" s="2">
        <v>44729.0</v>
      </c>
      <c r="C6057" s="3">
        <v>0.34203703703703703</v>
      </c>
      <c r="D6057" s="1">
        <v>12.922847</v>
      </c>
      <c r="E6057" s="1">
        <v>80.114017</v>
      </c>
      <c r="F6057" s="1">
        <v>5339.0</v>
      </c>
      <c r="G6057" s="1">
        <v>60.0</v>
      </c>
    </row>
    <row r="6058">
      <c r="A6058" s="1" t="s">
        <v>8</v>
      </c>
      <c r="B6058" s="2">
        <v>44729.0</v>
      </c>
      <c r="C6058" s="3">
        <v>0.34219907407407407</v>
      </c>
      <c r="D6058" s="1">
        <v>12.921813</v>
      </c>
      <c r="E6058" s="1">
        <v>80.112966</v>
      </c>
      <c r="F6058" s="1">
        <v>5339.0</v>
      </c>
      <c r="G6058" s="1">
        <v>54.0</v>
      </c>
    </row>
    <row r="6059">
      <c r="A6059" s="1" t="s">
        <v>8</v>
      </c>
      <c r="B6059" s="2">
        <v>44729.0</v>
      </c>
      <c r="C6059" s="3">
        <v>0.3425694444444444</v>
      </c>
      <c r="D6059" s="1">
        <v>12.949723</v>
      </c>
      <c r="E6059" s="1">
        <v>80.139026</v>
      </c>
      <c r="F6059" s="1">
        <v>805.0</v>
      </c>
      <c r="G6059" s="1">
        <v>27.0</v>
      </c>
    </row>
    <row r="6060">
      <c r="A6060" s="1" t="s">
        <v>8</v>
      </c>
      <c r="B6060" s="2">
        <v>44729.0</v>
      </c>
      <c r="C6060" s="3">
        <v>0.34282407407407406</v>
      </c>
      <c r="D6060" s="1">
        <v>12.917387</v>
      </c>
      <c r="E6060" s="1">
        <v>80.107804</v>
      </c>
      <c r="F6060" s="1">
        <v>5339.0</v>
      </c>
      <c r="G6060" s="1">
        <v>45.0</v>
      </c>
    </row>
    <row r="6061">
      <c r="A6061" s="1" t="s">
        <v>8</v>
      </c>
      <c r="B6061" s="2">
        <v>44729.0</v>
      </c>
      <c r="C6061" s="3">
        <v>0.34284722222222225</v>
      </c>
      <c r="D6061" s="1">
        <v>12.948147</v>
      </c>
      <c r="E6061" s="1">
        <v>80.137734</v>
      </c>
      <c r="F6061" s="1">
        <v>805.0</v>
      </c>
      <c r="G6061" s="1">
        <v>41.0</v>
      </c>
    </row>
    <row r="6062">
      <c r="A6062" s="1" t="s">
        <v>8</v>
      </c>
      <c r="B6062" s="2">
        <v>44729.0</v>
      </c>
      <c r="C6062" s="3">
        <v>0.3428587962962963</v>
      </c>
      <c r="D6062" s="1">
        <v>12.948147</v>
      </c>
      <c r="E6062" s="1">
        <v>80.137734</v>
      </c>
      <c r="F6062" s="1">
        <v>805.0</v>
      </c>
      <c r="G6062" s="1">
        <v>41.0</v>
      </c>
    </row>
    <row r="6063">
      <c r="A6063" s="1" t="s">
        <v>8</v>
      </c>
      <c r="B6063" s="2">
        <v>44729.0</v>
      </c>
      <c r="C6063" s="3">
        <v>0.3430787037037037</v>
      </c>
      <c r="D6063" s="1">
        <v>12.847098</v>
      </c>
      <c r="E6063" s="1">
        <v>80.062522</v>
      </c>
      <c r="F6063" s="1">
        <v>2846.0</v>
      </c>
      <c r="G6063" s="1">
        <v>39.0</v>
      </c>
    </row>
    <row r="6064">
      <c r="A6064" s="1" t="s">
        <v>8</v>
      </c>
      <c r="B6064" s="2">
        <v>44729.0</v>
      </c>
      <c r="C6064" s="3">
        <v>0.3432060185185185</v>
      </c>
      <c r="D6064" s="1">
        <v>12.915105</v>
      </c>
      <c r="E6064" s="1">
        <v>80.103688</v>
      </c>
      <c r="F6064" s="1">
        <v>5339.0</v>
      </c>
      <c r="G6064" s="1">
        <v>53.0</v>
      </c>
    </row>
    <row r="6065">
      <c r="A6065" s="1" t="s">
        <v>8</v>
      </c>
      <c r="B6065" s="2">
        <v>44729.0</v>
      </c>
      <c r="C6065" s="3">
        <v>0.3433333333333333</v>
      </c>
      <c r="D6065" s="1">
        <v>12.944856</v>
      </c>
      <c r="E6065" s="1">
        <v>80.13525</v>
      </c>
      <c r="F6065" s="1">
        <v>805.0</v>
      </c>
      <c r="G6065" s="1">
        <v>44.0</v>
      </c>
    </row>
    <row r="6066">
      <c r="A6066" s="1" t="s">
        <v>7</v>
      </c>
      <c r="B6066" s="2">
        <v>44729.0</v>
      </c>
      <c r="C6066" s="3">
        <v>0.34336805555555555</v>
      </c>
      <c r="D6066" s="1">
        <v>12.943883</v>
      </c>
      <c r="E6066" s="1">
        <v>80.134488</v>
      </c>
      <c r="F6066" s="1">
        <v>805.0</v>
      </c>
      <c r="G6066" s="1">
        <v>53.0</v>
      </c>
    </row>
    <row r="6067">
      <c r="A6067" s="1" t="s">
        <v>7</v>
      </c>
      <c r="B6067" s="2">
        <v>44729.0</v>
      </c>
      <c r="C6067" s="3">
        <v>0.3434259259259259</v>
      </c>
      <c r="D6067" s="1">
        <v>12.850292</v>
      </c>
      <c r="E6067" s="1">
        <v>80.064842</v>
      </c>
      <c r="F6067" s="1">
        <v>2846.0</v>
      </c>
      <c r="G6067" s="1">
        <v>53.0</v>
      </c>
    </row>
    <row r="6068">
      <c r="A6068" s="1" t="s">
        <v>8</v>
      </c>
      <c r="B6068" s="2">
        <v>44729.0</v>
      </c>
      <c r="C6068" s="3">
        <v>0.3434490740740741</v>
      </c>
      <c r="D6068" s="1">
        <v>12.913942</v>
      </c>
      <c r="E6068" s="1">
        <v>80.101954</v>
      </c>
      <c r="F6068" s="1">
        <v>5339.0</v>
      </c>
      <c r="G6068" s="1">
        <v>39.0</v>
      </c>
    </row>
    <row r="6069">
      <c r="A6069" s="1" t="s">
        <v>8</v>
      </c>
      <c r="B6069" s="2">
        <v>44729.0</v>
      </c>
      <c r="C6069" s="3">
        <v>0.3439814814814815</v>
      </c>
      <c r="D6069" s="1">
        <v>12.942416</v>
      </c>
      <c r="E6069" s="1">
        <v>80.133068</v>
      </c>
      <c r="F6069" s="1">
        <v>805.0</v>
      </c>
      <c r="G6069" s="1">
        <v>23.0</v>
      </c>
    </row>
    <row r="6070">
      <c r="A6070" s="1" t="s">
        <v>7</v>
      </c>
      <c r="B6070" s="2">
        <v>44729.0</v>
      </c>
      <c r="C6070" s="3">
        <v>0.3440740740740741</v>
      </c>
      <c r="D6070" s="1">
        <v>12.855486</v>
      </c>
      <c r="E6070" s="1">
        <v>80.068671</v>
      </c>
      <c r="F6070" s="1">
        <v>2846.0</v>
      </c>
      <c r="G6070" s="1">
        <v>53.0</v>
      </c>
    </row>
    <row r="6071">
      <c r="A6071" s="1" t="s">
        <v>7</v>
      </c>
      <c r="B6071" s="2">
        <v>44729.0</v>
      </c>
      <c r="C6071" s="3">
        <v>0.3442939814814815</v>
      </c>
      <c r="D6071" s="1">
        <v>12.939781</v>
      </c>
      <c r="E6071" s="1">
        <v>80.13038</v>
      </c>
      <c r="F6071" s="1">
        <v>805.0</v>
      </c>
      <c r="G6071" s="1">
        <v>57.0</v>
      </c>
    </row>
    <row r="6072">
      <c r="A6072" s="1" t="s">
        <v>8</v>
      </c>
      <c r="B6072" s="2">
        <v>44729.0</v>
      </c>
      <c r="C6072" s="3">
        <v>0.34435185185185185</v>
      </c>
      <c r="D6072" s="1">
        <v>12.939781</v>
      </c>
      <c r="E6072" s="1">
        <v>80.13038</v>
      </c>
      <c r="F6072" s="1">
        <v>805.0</v>
      </c>
      <c r="G6072" s="1">
        <v>57.0</v>
      </c>
    </row>
    <row r="6073">
      <c r="A6073" s="1" t="s">
        <v>8</v>
      </c>
      <c r="B6073" s="2">
        <v>44729.0</v>
      </c>
      <c r="C6073" s="3">
        <v>0.34458333333333335</v>
      </c>
      <c r="D6073" s="1">
        <v>12.909041</v>
      </c>
      <c r="E6073" s="1">
        <v>80.098866</v>
      </c>
      <c r="F6073" s="1">
        <v>5339.0</v>
      </c>
      <c r="G6073" s="1">
        <v>19.0</v>
      </c>
    </row>
    <row r="6074">
      <c r="A6074" s="1" t="s">
        <v>8</v>
      </c>
      <c r="B6074" s="2">
        <v>44729.0</v>
      </c>
      <c r="C6074" s="3">
        <v>0.3445949074074074</v>
      </c>
      <c r="D6074" s="1">
        <v>12.909041</v>
      </c>
      <c r="E6074" s="1">
        <v>80.098866</v>
      </c>
      <c r="F6074" s="1">
        <v>5339.0</v>
      </c>
      <c r="G6074" s="1">
        <v>19.0</v>
      </c>
    </row>
    <row r="6075">
      <c r="A6075" s="1" t="s">
        <v>8</v>
      </c>
      <c r="B6075" s="2">
        <v>44729.0</v>
      </c>
      <c r="C6075" s="3">
        <v>0.3446875</v>
      </c>
      <c r="D6075" s="1">
        <v>12.93606</v>
      </c>
      <c r="E6075" s="1">
        <v>80.127184</v>
      </c>
      <c r="F6075" s="1">
        <v>805.0</v>
      </c>
      <c r="G6075" s="1">
        <v>39.0</v>
      </c>
    </row>
    <row r="6076">
      <c r="A6076" s="1" t="s">
        <v>8</v>
      </c>
      <c r="B6076" s="2">
        <v>44729.0</v>
      </c>
      <c r="C6076" s="3">
        <v>0.3456828703703704</v>
      </c>
      <c r="D6076" s="1">
        <v>12.9052</v>
      </c>
      <c r="E6076" s="1">
        <v>80.095582</v>
      </c>
      <c r="F6076" s="1">
        <v>5339.0</v>
      </c>
      <c r="G6076" s="1">
        <v>18.0</v>
      </c>
    </row>
    <row r="6077">
      <c r="A6077" s="1" t="s">
        <v>8</v>
      </c>
      <c r="B6077" s="2">
        <v>44729.0</v>
      </c>
      <c r="C6077" s="3">
        <v>0.34569444444444447</v>
      </c>
      <c r="D6077" s="1">
        <v>12.9052</v>
      </c>
      <c r="E6077" s="1">
        <v>80.095582</v>
      </c>
      <c r="F6077" s="1">
        <v>5339.0</v>
      </c>
      <c r="G6077" s="1">
        <v>18.0</v>
      </c>
    </row>
    <row r="6078">
      <c r="A6078" s="1" t="s">
        <v>8</v>
      </c>
      <c r="B6078" s="2">
        <v>44729.0</v>
      </c>
      <c r="C6078" s="3">
        <v>0.34577546296296297</v>
      </c>
      <c r="D6078" s="1">
        <v>12.904678</v>
      </c>
      <c r="E6078" s="1">
        <v>80.095233</v>
      </c>
      <c r="F6078" s="1">
        <v>5339.0</v>
      </c>
      <c r="G6078" s="1">
        <v>32.0</v>
      </c>
    </row>
    <row r="6079">
      <c r="A6079" s="1" t="s">
        <v>8</v>
      </c>
      <c r="B6079" s="2">
        <v>44729.0</v>
      </c>
      <c r="C6079" s="3">
        <v>0.34619212962962964</v>
      </c>
      <c r="D6079" s="1">
        <v>12.868435</v>
      </c>
      <c r="E6079" s="1">
        <v>80.075752</v>
      </c>
      <c r="F6079" s="1">
        <v>2846.0</v>
      </c>
      <c r="G6079" s="1">
        <v>43.0</v>
      </c>
    </row>
    <row r="6080">
      <c r="A6080" s="1" t="s">
        <v>8</v>
      </c>
      <c r="B6080" s="2">
        <v>44729.0</v>
      </c>
      <c r="C6080" s="3">
        <v>0.3462615740740741</v>
      </c>
      <c r="D6080" s="1">
        <v>12.928321</v>
      </c>
      <c r="E6080" s="1">
        <v>80.119508</v>
      </c>
      <c r="F6080" s="1">
        <v>805.0</v>
      </c>
      <c r="G6080" s="1">
        <v>34.0</v>
      </c>
    </row>
    <row r="6081">
      <c r="A6081" s="1" t="s">
        <v>8</v>
      </c>
      <c r="B6081" s="2">
        <v>44729.0</v>
      </c>
      <c r="C6081" s="3">
        <v>0.3464814814814815</v>
      </c>
      <c r="D6081" s="1">
        <v>12.899352</v>
      </c>
      <c r="E6081" s="1">
        <v>80.091008</v>
      </c>
      <c r="F6081" s="1">
        <v>5339.0</v>
      </c>
      <c r="G6081" s="1">
        <v>59.0</v>
      </c>
    </row>
    <row r="6082">
      <c r="A6082" s="1" t="s">
        <v>8</v>
      </c>
      <c r="B6082" s="2">
        <v>44729.0</v>
      </c>
      <c r="C6082" s="3">
        <v>0.3470023148148148</v>
      </c>
      <c r="D6082" s="1">
        <v>12.896908</v>
      </c>
      <c r="E6082" s="1">
        <v>80.089153</v>
      </c>
      <c r="F6082" s="1">
        <v>5339.0</v>
      </c>
      <c r="G6082" s="1">
        <v>31.0</v>
      </c>
    </row>
    <row r="6083">
      <c r="A6083" s="1" t="s">
        <v>7</v>
      </c>
      <c r="B6083" s="2">
        <v>44729.0</v>
      </c>
      <c r="C6083" s="3">
        <v>0.3472222222222222</v>
      </c>
      <c r="D6083" s="1">
        <v>12.925884</v>
      </c>
      <c r="E6083" s="1">
        <v>80.117032</v>
      </c>
      <c r="F6083" s="1">
        <v>805.0</v>
      </c>
      <c r="G6083" s="1">
        <v>36.0</v>
      </c>
    </row>
    <row r="6084">
      <c r="A6084" s="1" t="s">
        <v>8</v>
      </c>
      <c r="B6084" s="2">
        <v>44729.0</v>
      </c>
      <c r="C6084" s="3">
        <v>0.3475462962962963</v>
      </c>
      <c r="D6084" s="1">
        <v>12.892354</v>
      </c>
      <c r="E6084" s="1">
        <v>80.085752</v>
      </c>
      <c r="F6084" s="1">
        <v>5339.0</v>
      </c>
      <c r="G6084" s="1">
        <v>58.0</v>
      </c>
    </row>
    <row r="6085">
      <c r="A6085" s="1" t="s">
        <v>7</v>
      </c>
      <c r="B6085" s="2">
        <v>44729.0</v>
      </c>
      <c r="C6085" s="3">
        <v>0.3478935185185185</v>
      </c>
      <c r="D6085" s="1">
        <v>12.922423</v>
      </c>
      <c r="E6085" s="1">
        <v>80.113598</v>
      </c>
      <c r="F6085" s="1">
        <v>805.0</v>
      </c>
      <c r="G6085" s="1">
        <v>47.0</v>
      </c>
    </row>
    <row r="6086">
      <c r="A6086" s="1" t="s">
        <v>8</v>
      </c>
      <c r="B6086" s="2">
        <v>44729.0</v>
      </c>
      <c r="C6086" s="3">
        <v>0.3479513888888889</v>
      </c>
      <c r="D6086" s="1">
        <v>12.922423</v>
      </c>
      <c r="E6086" s="1">
        <v>80.113598</v>
      </c>
      <c r="F6086" s="1">
        <v>805.0</v>
      </c>
      <c r="G6086" s="1">
        <v>47.0</v>
      </c>
    </row>
    <row r="6087">
      <c r="A6087" s="1" t="s">
        <v>8</v>
      </c>
      <c r="B6087" s="2">
        <v>44729.0</v>
      </c>
      <c r="C6087" s="3">
        <v>0.3479976851851852</v>
      </c>
      <c r="D6087" s="1">
        <v>12.887635</v>
      </c>
      <c r="E6087" s="1">
        <v>80.083655</v>
      </c>
      <c r="F6087" s="1">
        <v>5339.0</v>
      </c>
      <c r="G6087" s="1">
        <v>57.0</v>
      </c>
    </row>
    <row r="6088">
      <c r="A6088" s="1" t="s">
        <v>7</v>
      </c>
      <c r="B6088" s="2">
        <v>44729.0</v>
      </c>
      <c r="C6088" s="3">
        <v>0.34806712962962966</v>
      </c>
      <c r="D6088" s="1">
        <v>12.921488</v>
      </c>
      <c r="E6088" s="1">
        <v>80.112665</v>
      </c>
      <c r="F6088" s="1">
        <v>805.0</v>
      </c>
      <c r="G6088" s="1">
        <v>47.0</v>
      </c>
    </row>
    <row r="6089">
      <c r="A6089" s="1" t="s">
        <v>8</v>
      </c>
      <c r="B6089" s="2">
        <v>44729.0</v>
      </c>
      <c r="C6089" s="3">
        <v>0.34815972222222225</v>
      </c>
      <c r="D6089" s="1">
        <v>12.886329</v>
      </c>
      <c r="E6089" s="1">
        <v>80.083122</v>
      </c>
      <c r="F6089" s="1">
        <v>5339.0</v>
      </c>
      <c r="G6089" s="1">
        <v>52.0</v>
      </c>
    </row>
    <row r="6090">
      <c r="A6090" s="1" t="s">
        <v>7</v>
      </c>
      <c r="B6090" s="2">
        <v>44729.0</v>
      </c>
      <c r="C6090" s="3">
        <v>0.3488773148148148</v>
      </c>
      <c r="D6090" s="1">
        <v>12.915686</v>
      </c>
      <c r="E6090" s="1">
        <v>80.104748</v>
      </c>
      <c r="F6090" s="1">
        <v>805.0</v>
      </c>
      <c r="G6090" s="1">
        <v>59.0</v>
      </c>
    </row>
    <row r="6091">
      <c r="A6091" s="1" t="s">
        <v>8</v>
      </c>
      <c r="B6091" s="2">
        <v>44729.0</v>
      </c>
      <c r="C6091" s="3">
        <v>0.35020833333333334</v>
      </c>
      <c r="D6091" s="1">
        <v>12.878911</v>
      </c>
      <c r="E6091" s="1">
        <v>80.080963</v>
      </c>
      <c r="F6091" s="1">
        <v>5339.0</v>
      </c>
      <c r="G6091" s="1">
        <v>22.0</v>
      </c>
    </row>
    <row r="6092">
      <c r="A6092" s="1" t="s">
        <v>8</v>
      </c>
      <c r="B6092" s="2">
        <v>44729.0</v>
      </c>
      <c r="C6092" s="3">
        <v>0.3502199074074074</v>
      </c>
      <c r="D6092" s="1">
        <v>12.878911</v>
      </c>
      <c r="E6092" s="1">
        <v>80.080963</v>
      </c>
      <c r="F6092" s="1">
        <v>5339.0</v>
      </c>
      <c r="G6092" s="1">
        <v>22.0</v>
      </c>
    </row>
    <row r="6093">
      <c r="A6093" s="1" t="s">
        <v>8</v>
      </c>
      <c r="B6093" s="2">
        <v>44729.0</v>
      </c>
      <c r="C6093" s="3">
        <v>0.35024305555555557</v>
      </c>
      <c r="D6093" s="1">
        <v>12.878911</v>
      </c>
      <c r="E6093" s="1">
        <v>80.080963</v>
      </c>
      <c r="F6093" s="1">
        <v>5339.0</v>
      </c>
      <c r="G6093" s="1">
        <v>22.0</v>
      </c>
    </row>
    <row r="6094">
      <c r="A6094" s="1" t="s">
        <v>10</v>
      </c>
      <c r="B6094" s="2">
        <v>44729.0</v>
      </c>
      <c r="C6094" s="3">
        <v>0.3508912037037037</v>
      </c>
      <c r="D6094" s="1">
        <v>12.877676</v>
      </c>
      <c r="E6094" s="1">
        <v>80.084443</v>
      </c>
      <c r="F6094" s="1">
        <v>5339.0</v>
      </c>
      <c r="G6094" s="1">
        <v>20.0</v>
      </c>
    </row>
    <row r="6095">
      <c r="A6095" s="1" t="s">
        <v>8</v>
      </c>
      <c r="B6095" s="2">
        <v>44729.0</v>
      </c>
      <c r="C6095" s="3">
        <v>0.35094907407407405</v>
      </c>
      <c r="D6095" s="1">
        <v>12.904672</v>
      </c>
      <c r="E6095" s="1">
        <v>80.09518</v>
      </c>
      <c r="F6095" s="1">
        <v>805.0</v>
      </c>
      <c r="G6095" s="1">
        <v>35.0</v>
      </c>
    </row>
    <row r="6096">
      <c r="A6096" s="1" t="s">
        <v>8</v>
      </c>
      <c r="B6096" s="2">
        <v>44729.0</v>
      </c>
      <c r="C6096" s="3">
        <v>0.3511458333333333</v>
      </c>
      <c r="D6096" s="1">
        <v>12.903026</v>
      </c>
      <c r="E6096" s="1">
        <v>80.093827</v>
      </c>
      <c r="F6096" s="1">
        <v>805.0</v>
      </c>
      <c r="G6096" s="1">
        <v>40.0</v>
      </c>
    </row>
    <row r="6097">
      <c r="A6097" s="1" t="s">
        <v>8</v>
      </c>
      <c r="B6097" s="2">
        <v>44729.0</v>
      </c>
      <c r="C6097" s="3">
        <v>0.3513541666666667</v>
      </c>
      <c r="D6097" s="1">
        <v>12.902328</v>
      </c>
      <c r="E6097" s="1">
        <v>80.093295</v>
      </c>
      <c r="F6097" s="1">
        <v>805.0</v>
      </c>
      <c r="G6097" s="1">
        <v>20.0</v>
      </c>
    </row>
    <row r="6098">
      <c r="A6098" s="1" t="s">
        <v>8</v>
      </c>
      <c r="B6098" s="2">
        <v>44729.0</v>
      </c>
      <c r="C6098" s="3">
        <v>0.3516898148148148</v>
      </c>
      <c r="D6098" s="1">
        <v>12.89973</v>
      </c>
      <c r="E6098" s="1">
        <v>80.091391</v>
      </c>
      <c r="F6098" s="1">
        <v>805.0</v>
      </c>
      <c r="G6098" s="1">
        <v>58.0</v>
      </c>
    </row>
    <row r="6099">
      <c r="A6099" s="1" t="s">
        <v>8</v>
      </c>
      <c r="B6099" s="2">
        <v>44729.0</v>
      </c>
      <c r="C6099" s="3">
        <v>0.3523148148148148</v>
      </c>
      <c r="D6099" s="1">
        <v>12.894759</v>
      </c>
      <c r="E6099" s="1">
        <v>80.087564</v>
      </c>
      <c r="F6099" s="1">
        <v>805.0</v>
      </c>
      <c r="G6099" s="1">
        <v>48.0</v>
      </c>
    </row>
    <row r="6100">
      <c r="A6100" s="1" t="s">
        <v>8</v>
      </c>
      <c r="B6100" s="2">
        <v>44729.0</v>
      </c>
      <c r="C6100" s="3">
        <v>0.3524421296296296</v>
      </c>
      <c r="D6100" s="1">
        <v>12.893693</v>
      </c>
      <c r="E6100" s="1">
        <v>80.086779</v>
      </c>
      <c r="F6100" s="1">
        <v>805.0</v>
      </c>
      <c r="G6100" s="1">
        <v>55.0</v>
      </c>
    </row>
    <row r="6101">
      <c r="A6101" s="1" t="s">
        <v>7</v>
      </c>
      <c r="B6101" s="2">
        <v>44729.0</v>
      </c>
      <c r="C6101" s="3">
        <v>0.35258101851851853</v>
      </c>
      <c r="D6101" s="1">
        <v>12.892537</v>
      </c>
      <c r="E6101" s="1">
        <v>80.085919</v>
      </c>
      <c r="F6101" s="1">
        <v>805.0</v>
      </c>
      <c r="G6101" s="1">
        <v>55.0</v>
      </c>
    </row>
    <row r="6102">
      <c r="A6102" s="1" t="s">
        <v>8</v>
      </c>
      <c r="B6102" s="2">
        <v>44729.0</v>
      </c>
      <c r="C6102" s="3">
        <v>0.35260416666666666</v>
      </c>
      <c r="D6102" s="1">
        <v>12.892537</v>
      </c>
      <c r="E6102" s="1">
        <v>80.085919</v>
      </c>
      <c r="F6102" s="1">
        <v>805.0</v>
      </c>
      <c r="G6102" s="1">
        <v>55.0</v>
      </c>
    </row>
    <row r="6103">
      <c r="A6103" s="1" t="s">
        <v>10</v>
      </c>
      <c r="B6103" s="2">
        <v>44729.0</v>
      </c>
      <c r="C6103" s="3">
        <v>0.35270833333333335</v>
      </c>
      <c r="D6103" s="1">
        <v>12.875968</v>
      </c>
      <c r="E6103" s="1">
        <v>80.083997</v>
      </c>
      <c r="F6103" s="1">
        <v>5339.0</v>
      </c>
      <c r="G6103" s="1">
        <v>0.0</v>
      </c>
    </row>
    <row r="6104">
      <c r="A6104" s="1" t="s">
        <v>8</v>
      </c>
      <c r="B6104" s="2">
        <v>44729.0</v>
      </c>
      <c r="C6104" s="3">
        <v>0.3530787037037037</v>
      </c>
      <c r="D6104" s="1">
        <v>12.887493</v>
      </c>
      <c r="E6104" s="1">
        <v>80.083576</v>
      </c>
      <c r="F6104" s="1">
        <v>805.0</v>
      </c>
      <c r="G6104" s="1">
        <v>57.0</v>
      </c>
    </row>
    <row r="6105">
      <c r="A6105" s="1" t="s">
        <v>8</v>
      </c>
      <c r="B6105" s="2">
        <v>44729.0</v>
      </c>
      <c r="C6105" s="3">
        <v>0.3536458333333333</v>
      </c>
      <c r="D6105" s="1">
        <v>12.881906</v>
      </c>
      <c r="E6105" s="1">
        <v>80.081441</v>
      </c>
      <c r="F6105" s="1">
        <v>805.0</v>
      </c>
      <c r="G6105" s="1">
        <v>25.0</v>
      </c>
    </row>
    <row r="6106">
      <c r="A6106" s="1" t="s">
        <v>10</v>
      </c>
      <c r="B6106" s="2">
        <v>44729.0</v>
      </c>
      <c r="C6106" s="3">
        <v>0.35631944444444447</v>
      </c>
      <c r="D6106" s="1">
        <v>12.875807</v>
      </c>
      <c r="E6106" s="1">
        <v>80.083867</v>
      </c>
      <c r="F6106" s="1">
        <v>805.0</v>
      </c>
      <c r="G6106" s="1">
        <v>13.0</v>
      </c>
    </row>
    <row r="6107">
      <c r="A6107" s="1" t="s">
        <v>10</v>
      </c>
      <c r="B6107" s="2">
        <v>44729.0</v>
      </c>
      <c r="C6107" s="3">
        <v>0.4074305555555556</v>
      </c>
      <c r="D6107" s="1">
        <v>12.875634</v>
      </c>
      <c r="E6107" s="1">
        <v>80.084166</v>
      </c>
      <c r="F6107" s="1">
        <v>5339.0</v>
      </c>
      <c r="G6107" s="1">
        <v>15.0</v>
      </c>
    </row>
    <row r="6108">
      <c r="A6108" s="1" t="s">
        <v>10</v>
      </c>
      <c r="B6108" s="2">
        <v>44729.0</v>
      </c>
      <c r="C6108" s="3">
        <v>0.5845717592592593</v>
      </c>
      <c r="D6108" s="1">
        <v>12.876069</v>
      </c>
      <c r="E6108" s="1">
        <v>80.083294</v>
      </c>
      <c r="F6108" s="1">
        <v>2846.0</v>
      </c>
      <c r="G6108" s="1">
        <v>8.0</v>
      </c>
    </row>
    <row r="6109">
      <c r="A6109" s="1" t="s">
        <v>10</v>
      </c>
      <c r="B6109" s="2">
        <v>44729.0</v>
      </c>
      <c r="C6109" s="3">
        <v>0.5848263888888889</v>
      </c>
      <c r="D6109" s="1">
        <v>12.87581</v>
      </c>
      <c r="E6109" s="1">
        <v>80.083868</v>
      </c>
      <c r="F6109" s="1">
        <v>2846.0</v>
      </c>
      <c r="G6109" s="1">
        <v>6.0</v>
      </c>
    </row>
    <row r="6110">
      <c r="A6110" s="1" t="s">
        <v>10</v>
      </c>
      <c r="B6110" s="2">
        <v>44729.0</v>
      </c>
      <c r="C6110" s="3">
        <v>0.6169675925925926</v>
      </c>
      <c r="D6110" s="1">
        <v>12.875326</v>
      </c>
      <c r="E6110" s="1">
        <v>80.083738</v>
      </c>
      <c r="F6110" s="1">
        <v>805.0</v>
      </c>
      <c r="G6110" s="1">
        <v>23.0</v>
      </c>
    </row>
    <row r="6111">
      <c r="A6111" s="1" t="s">
        <v>8</v>
      </c>
      <c r="B6111" s="2">
        <v>44729.0</v>
      </c>
      <c r="C6111" s="3">
        <v>0.7116203703703704</v>
      </c>
      <c r="D6111" s="1">
        <v>12.879147</v>
      </c>
      <c r="E6111" s="1">
        <v>80.080194</v>
      </c>
      <c r="F6111" s="1">
        <v>805.0</v>
      </c>
      <c r="G6111" s="1">
        <v>22.0</v>
      </c>
    </row>
    <row r="6112">
      <c r="A6112" s="1" t="s">
        <v>8</v>
      </c>
      <c r="B6112" s="2">
        <v>44729.0</v>
      </c>
      <c r="C6112" s="3">
        <v>0.7116319444444444</v>
      </c>
      <c r="D6112" s="1">
        <v>12.879147</v>
      </c>
      <c r="E6112" s="1">
        <v>80.080194</v>
      </c>
      <c r="F6112" s="1">
        <v>805.0</v>
      </c>
      <c r="G6112" s="1">
        <v>22.0</v>
      </c>
    </row>
    <row r="6113">
      <c r="A6113" s="1" t="s">
        <v>7</v>
      </c>
      <c r="B6113" s="2">
        <v>44729.0</v>
      </c>
      <c r="C6113" s="3">
        <v>0.7118171296296296</v>
      </c>
      <c r="D6113" s="1">
        <v>12.876245</v>
      </c>
      <c r="E6113" s="1">
        <v>80.079189</v>
      </c>
      <c r="F6113" s="1">
        <v>2846.0</v>
      </c>
      <c r="G6113" s="1">
        <v>56.0</v>
      </c>
    </row>
    <row r="6114">
      <c r="A6114" s="1" t="s">
        <v>8</v>
      </c>
      <c r="B6114" s="2">
        <v>44729.0</v>
      </c>
      <c r="C6114" s="3">
        <v>0.7119675925925926</v>
      </c>
      <c r="D6114" s="1">
        <v>12.879218</v>
      </c>
      <c r="E6114" s="1">
        <v>80.080094</v>
      </c>
      <c r="F6114" s="1">
        <v>5339.0</v>
      </c>
      <c r="G6114" s="1">
        <v>22.0</v>
      </c>
    </row>
    <row r="6115">
      <c r="A6115" s="1" t="s">
        <v>8</v>
      </c>
      <c r="B6115" s="2">
        <v>44729.0</v>
      </c>
      <c r="C6115" s="3">
        <v>0.712025462962963</v>
      </c>
      <c r="D6115" s="1">
        <v>12.873581</v>
      </c>
      <c r="E6115" s="1">
        <v>80.078025</v>
      </c>
      <c r="F6115" s="1">
        <v>2846.0</v>
      </c>
      <c r="G6115" s="1">
        <v>58.0</v>
      </c>
    </row>
    <row r="6116">
      <c r="A6116" s="1" t="s">
        <v>7</v>
      </c>
      <c r="B6116" s="2">
        <v>44729.0</v>
      </c>
      <c r="C6116" s="3">
        <v>0.7127430555555555</v>
      </c>
      <c r="D6116" s="1">
        <v>12.88475</v>
      </c>
      <c r="E6116" s="1">
        <v>80.081961</v>
      </c>
      <c r="F6116" s="1">
        <v>805.0</v>
      </c>
      <c r="G6116" s="1">
        <v>45.0</v>
      </c>
    </row>
    <row r="6117">
      <c r="A6117" s="1" t="s">
        <v>7</v>
      </c>
      <c r="B6117" s="2">
        <v>44729.0</v>
      </c>
      <c r="C6117" s="3">
        <v>0.7131481481481482</v>
      </c>
      <c r="D6117" s="1">
        <v>12.888159</v>
      </c>
      <c r="E6117" s="1">
        <v>80.083682</v>
      </c>
      <c r="F6117" s="1">
        <v>805.0</v>
      </c>
      <c r="G6117" s="1">
        <v>59.0</v>
      </c>
    </row>
    <row r="6118">
      <c r="A6118" s="1" t="s">
        <v>7</v>
      </c>
      <c r="B6118" s="2">
        <v>44729.0</v>
      </c>
      <c r="C6118" s="3">
        <v>0.7134375</v>
      </c>
      <c r="D6118" s="1">
        <v>12.888069</v>
      </c>
      <c r="E6118" s="1">
        <v>80.083644</v>
      </c>
      <c r="F6118" s="1">
        <v>5339.0</v>
      </c>
      <c r="G6118" s="1">
        <v>55.0</v>
      </c>
    </row>
    <row r="6119">
      <c r="A6119" s="1" t="s">
        <v>8</v>
      </c>
      <c r="B6119" s="2">
        <v>44729.0</v>
      </c>
      <c r="C6119" s="3">
        <v>0.7135069444444444</v>
      </c>
      <c r="D6119" s="1">
        <v>12.892383</v>
      </c>
      <c r="E6119" s="1">
        <v>80.085629</v>
      </c>
      <c r="F6119" s="1">
        <v>805.0</v>
      </c>
      <c r="G6119" s="1">
        <v>58.0</v>
      </c>
    </row>
    <row r="6120">
      <c r="A6120" s="1" t="s">
        <v>7</v>
      </c>
      <c r="B6120" s="2">
        <v>44729.0</v>
      </c>
      <c r="C6120" s="3">
        <v>0.7137962962962963</v>
      </c>
      <c r="D6120" s="1">
        <v>12.892062</v>
      </c>
      <c r="E6120" s="1">
        <v>80.085449</v>
      </c>
      <c r="F6120" s="1">
        <v>5339.0</v>
      </c>
      <c r="G6120" s="1">
        <v>57.0</v>
      </c>
    </row>
    <row r="6121">
      <c r="A6121" s="1" t="s">
        <v>8</v>
      </c>
      <c r="B6121" s="2">
        <v>44729.0</v>
      </c>
      <c r="C6121" s="3">
        <v>0.7141898148148148</v>
      </c>
      <c r="D6121" s="1">
        <v>12.859784</v>
      </c>
      <c r="E6121" s="1">
        <v>80.07218</v>
      </c>
      <c r="F6121" s="1">
        <v>2846.0</v>
      </c>
      <c r="G6121" s="1">
        <v>28.0</v>
      </c>
    </row>
    <row r="6122">
      <c r="A6122" s="1" t="s">
        <v>8</v>
      </c>
      <c r="B6122" s="2">
        <v>44729.0</v>
      </c>
      <c r="C6122" s="3">
        <v>0.7142361111111111</v>
      </c>
      <c r="D6122" s="1">
        <v>12.859784</v>
      </c>
      <c r="E6122" s="1">
        <v>80.07218</v>
      </c>
      <c r="F6122" s="1">
        <v>2846.0</v>
      </c>
      <c r="G6122" s="1">
        <v>28.0</v>
      </c>
    </row>
    <row r="6123">
      <c r="A6123" s="1" t="s">
        <v>8</v>
      </c>
      <c r="B6123" s="2">
        <v>44729.0</v>
      </c>
      <c r="C6123" s="3">
        <v>0.7142476851851852</v>
      </c>
      <c r="D6123" s="1">
        <v>12.896479</v>
      </c>
      <c r="E6123" s="1">
        <v>80.088673</v>
      </c>
      <c r="F6123" s="1">
        <v>5339.0</v>
      </c>
      <c r="G6123" s="1">
        <v>47.0</v>
      </c>
    </row>
    <row r="6124">
      <c r="A6124" s="1" t="s">
        <v>7</v>
      </c>
      <c r="B6124" s="2">
        <v>44729.0</v>
      </c>
      <c r="C6124" s="3">
        <v>0.7146412037037037</v>
      </c>
      <c r="D6124" s="1">
        <v>12.902935</v>
      </c>
      <c r="E6124" s="1">
        <v>80.093535</v>
      </c>
      <c r="F6124" s="1">
        <v>805.0</v>
      </c>
      <c r="G6124" s="1">
        <v>34.0</v>
      </c>
    </row>
    <row r="6125">
      <c r="A6125" s="1" t="s">
        <v>7</v>
      </c>
      <c r="B6125" s="2">
        <v>44729.0</v>
      </c>
      <c r="C6125" s="3">
        <v>0.7147337962962963</v>
      </c>
      <c r="D6125" s="1">
        <v>12.904122</v>
      </c>
      <c r="E6125" s="1">
        <v>80.094401</v>
      </c>
      <c r="F6125" s="1">
        <v>805.0</v>
      </c>
      <c r="G6125" s="1">
        <v>40.0</v>
      </c>
    </row>
    <row r="6126">
      <c r="A6126" s="1" t="s">
        <v>7</v>
      </c>
      <c r="B6126" s="2">
        <v>44729.0</v>
      </c>
      <c r="C6126" s="3">
        <v>0.7148611111111111</v>
      </c>
      <c r="D6126" s="1">
        <v>12.904122</v>
      </c>
      <c r="E6126" s="1">
        <v>80.094401</v>
      </c>
      <c r="F6126" s="1">
        <v>805.0</v>
      </c>
      <c r="G6126" s="1">
        <v>40.0</v>
      </c>
    </row>
    <row r="6127">
      <c r="A6127" s="1" t="s">
        <v>8</v>
      </c>
      <c r="B6127" s="2">
        <v>44729.0</v>
      </c>
      <c r="C6127" s="3">
        <v>0.7150462962962963</v>
      </c>
      <c r="D6127" s="1">
        <v>12.905807</v>
      </c>
      <c r="E6127" s="1">
        <v>80.095693</v>
      </c>
      <c r="F6127" s="1">
        <v>805.0</v>
      </c>
      <c r="G6127" s="1">
        <v>58.0</v>
      </c>
    </row>
    <row r="6128">
      <c r="A6128" s="1" t="s">
        <v>8</v>
      </c>
      <c r="B6128" s="2">
        <v>44729.0</v>
      </c>
      <c r="C6128" s="3">
        <v>0.7163078703703704</v>
      </c>
      <c r="D6128" s="1">
        <v>12.909181</v>
      </c>
      <c r="E6128" s="1">
        <v>80.098682</v>
      </c>
      <c r="F6128" s="1">
        <v>5339.0</v>
      </c>
      <c r="G6128" s="1">
        <v>25.0</v>
      </c>
    </row>
    <row r="6129">
      <c r="A6129" s="1" t="s">
        <v>8</v>
      </c>
      <c r="B6129" s="2">
        <v>44729.0</v>
      </c>
      <c r="C6129" s="3">
        <v>0.7163194444444444</v>
      </c>
      <c r="D6129" s="1">
        <v>12.909181</v>
      </c>
      <c r="E6129" s="1">
        <v>80.098682</v>
      </c>
      <c r="F6129" s="1">
        <v>5339.0</v>
      </c>
      <c r="G6129" s="1">
        <v>25.0</v>
      </c>
    </row>
    <row r="6130">
      <c r="A6130" s="1" t="s">
        <v>8</v>
      </c>
      <c r="B6130" s="2">
        <v>44729.0</v>
      </c>
      <c r="C6130" s="3">
        <v>0.716412037037037</v>
      </c>
      <c r="D6130" s="1">
        <v>12.909181</v>
      </c>
      <c r="E6130" s="1">
        <v>80.098682</v>
      </c>
      <c r="F6130" s="1">
        <v>5339.0</v>
      </c>
      <c r="G6130" s="1">
        <v>25.0</v>
      </c>
    </row>
    <row r="6131">
      <c r="A6131" s="1" t="s">
        <v>8</v>
      </c>
      <c r="B6131" s="2">
        <v>44729.0</v>
      </c>
      <c r="C6131" s="3">
        <v>0.7170833333333333</v>
      </c>
      <c r="D6131" s="1">
        <v>12.914572</v>
      </c>
      <c r="E6131" s="1">
        <v>80.101764</v>
      </c>
      <c r="F6131" s="1">
        <v>805.0</v>
      </c>
      <c r="G6131" s="1">
        <v>59.0</v>
      </c>
    </row>
    <row r="6132">
      <c r="A6132" s="1" t="s">
        <v>8</v>
      </c>
      <c r="B6132" s="2">
        <v>44729.0</v>
      </c>
      <c r="C6132" s="3">
        <v>0.7171527777777778</v>
      </c>
      <c r="D6132" s="1">
        <v>12.914572</v>
      </c>
      <c r="E6132" s="1">
        <v>80.101764</v>
      </c>
      <c r="F6132" s="1">
        <v>805.0</v>
      </c>
      <c r="G6132" s="1">
        <v>59.0</v>
      </c>
    </row>
    <row r="6133">
      <c r="A6133" s="1" t="s">
        <v>8</v>
      </c>
      <c r="B6133" s="2">
        <v>44729.0</v>
      </c>
      <c r="C6133" s="3">
        <v>0.7172800925925926</v>
      </c>
      <c r="D6133" s="1">
        <v>12.842457</v>
      </c>
      <c r="E6133" s="1">
        <v>80.058359</v>
      </c>
      <c r="F6133" s="1">
        <v>2846.0</v>
      </c>
      <c r="G6133" s="1">
        <v>45.0</v>
      </c>
    </row>
    <row r="6134">
      <c r="A6134" s="1" t="s">
        <v>8</v>
      </c>
      <c r="B6134" s="2">
        <v>44729.0</v>
      </c>
      <c r="C6134" s="3">
        <v>0.7175810185185185</v>
      </c>
      <c r="D6134" s="1">
        <v>12.916288</v>
      </c>
      <c r="E6134" s="1">
        <v>80.10579</v>
      </c>
      <c r="F6134" s="1">
        <v>805.0</v>
      </c>
      <c r="G6134" s="1">
        <v>38.0</v>
      </c>
    </row>
    <row r="6135">
      <c r="A6135" s="1" t="s">
        <v>8</v>
      </c>
      <c r="B6135" s="2">
        <v>44729.0</v>
      </c>
      <c r="C6135" s="3">
        <v>0.7177083333333333</v>
      </c>
      <c r="D6135" s="1">
        <v>12.840857</v>
      </c>
      <c r="E6135" s="1">
        <v>80.056653</v>
      </c>
      <c r="F6135" s="1">
        <v>2846.0</v>
      </c>
      <c r="G6135" s="1">
        <v>19.0</v>
      </c>
    </row>
    <row r="6136">
      <c r="A6136" s="1" t="s">
        <v>9</v>
      </c>
      <c r="B6136" s="2">
        <v>44729.0</v>
      </c>
      <c r="C6136" s="3">
        <v>0.7177662037037037</v>
      </c>
      <c r="D6136" s="1">
        <v>12.916812</v>
      </c>
      <c r="E6136" s="1">
        <v>80.106746</v>
      </c>
      <c r="F6136" s="1">
        <v>805.0</v>
      </c>
      <c r="G6136" s="1">
        <v>23.0</v>
      </c>
    </row>
    <row r="6137">
      <c r="A6137" s="1" t="s">
        <v>8</v>
      </c>
      <c r="B6137" s="2">
        <v>44729.0</v>
      </c>
      <c r="C6137" s="3">
        <v>0.7177893518518519</v>
      </c>
      <c r="D6137" s="1">
        <v>12.913788</v>
      </c>
      <c r="E6137" s="1">
        <v>80.101565</v>
      </c>
      <c r="F6137" s="1">
        <v>5339.0</v>
      </c>
      <c r="G6137" s="1">
        <v>45.0</v>
      </c>
    </row>
    <row r="6138">
      <c r="A6138" s="1" t="s">
        <v>7</v>
      </c>
      <c r="B6138" s="2">
        <v>44729.0</v>
      </c>
      <c r="C6138" s="3">
        <v>0.7179166666666666</v>
      </c>
      <c r="D6138" s="1">
        <v>12.9172</v>
      </c>
      <c r="E6138" s="1">
        <v>80.107444</v>
      </c>
      <c r="F6138" s="1">
        <v>805.0</v>
      </c>
      <c r="G6138" s="1">
        <v>31.0</v>
      </c>
    </row>
    <row r="6139">
      <c r="A6139" s="1" t="s">
        <v>7</v>
      </c>
      <c r="B6139" s="2">
        <v>44729.0</v>
      </c>
      <c r="C6139" s="3">
        <v>0.7181597222222222</v>
      </c>
      <c r="D6139" s="1">
        <v>12.837913</v>
      </c>
      <c r="E6139" s="1">
        <v>80.053452</v>
      </c>
      <c r="F6139" s="1">
        <v>2846.0</v>
      </c>
      <c r="G6139" s="1">
        <v>57.0</v>
      </c>
    </row>
    <row r="6140">
      <c r="A6140" s="1" t="s">
        <v>7</v>
      </c>
      <c r="B6140" s="2">
        <v>44729.0</v>
      </c>
      <c r="C6140" s="3">
        <v>0.7185532407407408</v>
      </c>
      <c r="D6140" s="1">
        <v>12.833837</v>
      </c>
      <c r="E6140" s="1">
        <v>80.049219</v>
      </c>
      <c r="F6140" s="1">
        <v>2846.0</v>
      </c>
      <c r="G6140" s="1">
        <v>58.0</v>
      </c>
    </row>
    <row r="6141">
      <c r="A6141" s="1" t="s">
        <v>8</v>
      </c>
      <c r="B6141" s="2">
        <v>44729.0</v>
      </c>
      <c r="C6141" s="3">
        <v>0.7186574074074074</v>
      </c>
      <c r="D6141" s="1">
        <v>12.92224</v>
      </c>
      <c r="E6141" s="1">
        <v>80.113293</v>
      </c>
      <c r="F6141" s="1">
        <v>805.0</v>
      </c>
      <c r="G6141" s="1">
        <v>53.0</v>
      </c>
    </row>
    <row r="6142">
      <c r="A6142" s="1" t="s">
        <v>8</v>
      </c>
      <c r="B6142" s="2">
        <v>44729.0</v>
      </c>
      <c r="C6142" s="3">
        <v>0.7187037037037037</v>
      </c>
      <c r="D6142" s="1">
        <v>12.832832</v>
      </c>
      <c r="E6142" s="1">
        <v>80.048161</v>
      </c>
      <c r="F6142" s="1">
        <v>2846.0</v>
      </c>
      <c r="G6142" s="1">
        <v>57.0</v>
      </c>
    </row>
    <row r="6143">
      <c r="A6143" s="1" t="s">
        <v>8</v>
      </c>
      <c r="B6143" s="2">
        <v>44729.0</v>
      </c>
      <c r="C6143" s="3">
        <v>0.718738425925926</v>
      </c>
      <c r="D6143" s="1">
        <v>12.832832</v>
      </c>
      <c r="E6143" s="1">
        <v>80.048161</v>
      </c>
      <c r="F6143" s="1">
        <v>2846.0</v>
      </c>
      <c r="G6143" s="1">
        <v>57.0</v>
      </c>
    </row>
    <row r="6144">
      <c r="A6144" s="1" t="s">
        <v>8</v>
      </c>
      <c r="B6144" s="2">
        <v>44729.0</v>
      </c>
      <c r="C6144" s="3">
        <v>0.7188773148148148</v>
      </c>
      <c r="D6144" s="1">
        <v>12.830974</v>
      </c>
      <c r="E6144" s="1">
        <v>80.046236</v>
      </c>
      <c r="F6144" s="1">
        <v>2846.0</v>
      </c>
      <c r="G6144" s="1">
        <v>41.0</v>
      </c>
    </row>
    <row r="6145">
      <c r="A6145" s="1" t="s">
        <v>8</v>
      </c>
      <c r="B6145" s="2">
        <v>44729.0</v>
      </c>
      <c r="C6145" s="3">
        <v>0.7192939814814815</v>
      </c>
      <c r="D6145" s="1">
        <v>12.92656</v>
      </c>
      <c r="E6145" s="1">
        <v>80.117656</v>
      </c>
      <c r="F6145" s="1">
        <v>805.0</v>
      </c>
      <c r="G6145" s="1">
        <v>19.0</v>
      </c>
    </row>
    <row r="6146">
      <c r="A6146" s="1" t="s">
        <v>8</v>
      </c>
      <c r="B6146" s="2">
        <v>44729.0</v>
      </c>
      <c r="C6146" s="3">
        <v>0.7194907407407407</v>
      </c>
      <c r="D6146" s="1">
        <v>12.827209</v>
      </c>
      <c r="E6146" s="1">
        <v>80.042248</v>
      </c>
      <c r="F6146" s="1">
        <v>2846.0</v>
      </c>
      <c r="G6146" s="1">
        <v>56.0</v>
      </c>
    </row>
    <row r="6147">
      <c r="A6147" s="1" t="s">
        <v>7</v>
      </c>
      <c r="B6147" s="2">
        <v>44729.0</v>
      </c>
      <c r="C6147" s="3">
        <v>0.7197569444444445</v>
      </c>
      <c r="D6147" s="1">
        <v>12.825183</v>
      </c>
      <c r="E6147" s="1">
        <v>80.040495</v>
      </c>
      <c r="F6147" s="1">
        <v>2846.0</v>
      </c>
      <c r="G6147" s="1">
        <v>45.0</v>
      </c>
    </row>
    <row r="6148">
      <c r="A6148" s="1" t="s">
        <v>8</v>
      </c>
      <c r="B6148" s="2">
        <v>44729.0</v>
      </c>
      <c r="C6148" s="3">
        <v>0.7200694444444444</v>
      </c>
      <c r="D6148" s="1">
        <v>12.929319</v>
      </c>
      <c r="E6148" s="1">
        <v>80.120411</v>
      </c>
      <c r="F6148" s="1">
        <v>805.0</v>
      </c>
      <c r="G6148" s="1">
        <v>0.0</v>
      </c>
    </row>
    <row r="6149">
      <c r="A6149" s="1" t="s">
        <v>8</v>
      </c>
      <c r="B6149" s="2">
        <v>44729.0</v>
      </c>
      <c r="C6149" s="3">
        <v>0.7200694444444444</v>
      </c>
      <c r="D6149" s="1">
        <v>12.929319</v>
      </c>
      <c r="E6149" s="1">
        <v>80.120411</v>
      </c>
      <c r="F6149" s="1">
        <v>805.0</v>
      </c>
      <c r="G6149" s="1">
        <v>0.0</v>
      </c>
    </row>
    <row r="6150">
      <c r="A6150" s="1" t="s">
        <v>8</v>
      </c>
      <c r="B6150" s="2">
        <v>44729.0</v>
      </c>
      <c r="C6150" s="3">
        <v>0.7201041666666667</v>
      </c>
      <c r="D6150" s="1">
        <v>12.929319</v>
      </c>
      <c r="E6150" s="1">
        <v>80.120411</v>
      </c>
      <c r="F6150" s="1">
        <v>805.0</v>
      </c>
      <c r="G6150" s="1">
        <v>0.0</v>
      </c>
    </row>
    <row r="6151">
      <c r="A6151" s="1" t="s">
        <v>8</v>
      </c>
      <c r="B6151" s="2">
        <v>44729.0</v>
      </c>
      <c r="C6151" s="3">
        <v>0.7203240740740741</v>
      </c>
      <c r="D6151" s="1">
        <v>12.930141</v>
      </c>
      <c r="E6151" s="1">
        <v>80.121187</v>
      </c>
      <c r="F6151" s="1">
        <v>805.0</v>
      </c>
      <c r="G6151" s="1">
        <v>21.0</v>
      </c>
    </row>
    <row r="6152">
      <c r="A6152" s="1" t="s">
        <v>8</v>
      </c>
      <c r="B6152" s="2">
        <v>44729.0</v>
      </c>
      <c r="C6152" s="3">
        <v>0.7204398148148148</v>
      </c>
      <c r="D6152" s="1">
        <v>12.930141</v>
      </c>
      <c r="E6152" s="1">
        <v>80.121187</v>
      </c>
      <c r="F6152" s="1">
        <v>805.0</v>
      </c>
      <c r="G6152" s="1">
        <v>21.0</v>
      </c>
    </row>
    <row r="6153">
      <c r="A6153" s="1" t="s">
        <v>8</v>
      </c>
      <c r="B6153" s="2">
        <v>44729.0</v>
      </c>
      <c r="C6153" s="3">
        <v>0.7204398148148148</v>
      </c>
      <c r="D6153" s="1">
        <v>12.930141</v>
      </c>
      <c r="E6153" s="1">
        <v>80.121187</v>
      </c>
      <c r="F6153" s="1">
        <v>805.0</v>
      </c>
      <c r="G6153" s="1">
        <v>21.0</v>
      </c>
    </row>
    <row r="6154">
      <c r="A6154" s="1" t="s">
        <v>8</v>
      </c>
      <c r="B6154" s="2">
        <v>44729.0</v>
      </c>
      <c r="C6154" s="3">
        <v>0.7206944444444444</v>
      </c>
      <c r="D6154" s="1">
        <v>12.92766</v>
      </c>
      <c r="E6154" s="1">
        <v>80.118783</v>
      </c>
      <c r="F6154" s="1">
        <v>5339.0</v>
      </c>
      <c r="G6154" s="1">
        <v>30.0</v>
      </c>
    </row>
    <row r="6155">
      <c r="A6155" s="1" t="s">
        <v>9</v>
      </c>
      <c r="B6155" s="2">
        <v>44729.0</v>
      </c>
      <c r="C6155" s="3">
        <v>0.7207407407407408</v>
      </c>
      <c r="D6155" s="1">
        <v>12.928327</v>
      </c>
      <c r="E6155" s="1">
        <v>80.119449</v>
      </c>
      <c r="F6155" s="1">
        <v>5339.0</v>
      </c>
      <c r="G6155" s="1">
        <v>38.0</v>
      </c>
    </row>
    <row r="6156">
      <c r="A6156" s="1" t="s">
        <v>9</v>
      </c>
      <c r="B6156" s="2">
        <v>44729.0</v>
      </c>
      <c r="C6156" s="3">
        <v>0.7208101851851851</v>
      </c>
      <c r="D6156" s="1">
        <v>12.931761</v>
      </c>
      <c r="E6156" s="1">
        <v>80.122845</v>
      </c>
      <c r="F6156" s="1">
        <v>805.0</v>
      </c>
      <c r="G6156" s="1">
        <v>37.0</v>
      </c>
    </row>
    <row r="6157">
      <c r="A6157" s="1" t="s">
        <v>8</v>
      </c>
      <c r="B6157" s="2">
        <v>44729.0</v>
      </c>
      <c r="C6157" s="3">
        <v>0.7213078703703704</v>
      </c>
      <c r="D6157" s="1">
        <v>12.93025</v>
      </c>
      <c r="E6157" s="1">
        <v>80.121355</v>
      </c>
      <c r="F6157" s="1">
        <v>5339.0</v>
      </c>
      <c r="G6157" s="1">
        <v>31.0</v>
      </c>
    </row>
    <row r="6158">
      <c r="A6158" s="1" t="s">
        <v>8</v>
      </c>
      <c r="B6158" s="2">
        <v>44729.0</v>
      </c>
      <c r="C6158" s="3">
        <v>0.7213657407407408</v>
      </c>
      <c r="D6158" s="1">
        <v>12.93025</v>
      </c>
      <c r="E6158" s="1">
        <v>80.121355</v>
      </c>
      <c r="F6158" s="1">
        <v>5339.0</v>
      </c>
      <c r="G6158" s="1">
        <v>31.0</v>
      </c>
    </row>
    <row r="6159">
      <c r="A6159" s="1" t="s">
        <v>8</v>
      </c>
      <c r="B6159" s="2">
        <v>44729.0</v>
      </c>
      <c r="C6159" s="3">
        <v>0.7216782407407407</v>
      </c>
      <c r="D6159" s="1">
        <v>12.935825</v>
      </c>
      <c r="E6159" s="1">
        <v>80.126719</v>
      </c>
      <c r="F6159" s="1">
        <v>805.0</v>
      </c>
      <c r="G6159" s="1">
        <v>0.0</v>
      </c>
    </row>
    <row r="6160">
      <c r="A6160" s="1" t="s">
        <v>8</v>
      </c>
      <c r="B6160" s="2">
        <v>44729.0</v>
      </c>
      <c r="C6160" s="3">
        <v>0.722037037037037</v>
      </c>
      <c r="D6160" s="1">
        <v>12.936162</v>
      </c>
      <c r="E6160" s="1">
        <v>80.127068</v>
      </c>
      <c r="F6160" s="1">
        <v>805.0</v>
      </c>
      <c r="G6160" s="1">
        <v>32.0</v>
      </c>
    </row>
    <row r="6161">
      <c r="A6161" s="1" t="s">
        <v>8</v>
      </c>
      <c r="B6161" s="2">
        <v>44729.0</v>
      </c>
      <c r="C6161" s="3">
        <v>0.7220486111111111</v>
      </c>
      <c r="D6161" s="1">
        <v>12.933476</v>
      </c>
      <c r="E6161" s="1">
        <v>80.124605</v>
      </c>
      <c r="F6161" s="1">
        <v>5339.0</v>
      </c>
      <c r="G6161" s="1">
        <v>43.0</v>
      </c>
    </row>
    <row r="6162">
      <c r="A6162" s="1" t="s">
        <v>8</v>
      </c>
      <c r="B6162" s="2">
        <v>44729.0</v>
      </c>
      <c r="C6162" s="3">
        <v>0.7222916666666667</v>
      </c>
      <c r="D6162" s="1">
        <v>12.937486</v>
      </c>
      <c r="E6162" s="1">
        <v>80.12822</v>
      </c>
      <c r="F6162" s="1">
        <v>805.0</v>
      </c>
      <c r="G6162" s="1">
        <v>47.0</v>
      </c>
    </row>
    <row r="6163">
      <c r="A6163" s="1" t="s">
        <v>8</v>
      </c>
      <c r="B6163" s="2">
        <v>44729.0</v>
      </c>
      <c r="C6163" s="3">
        <v>0.7223958333333333</v>
      </c>
      <c r="D6163" s="1">
        <v>12.93573</v>
      </c>
      <c r="E6163" s="1">
        <v>80.126667</v>
      </c>
      <c r="F6163" s="1">
        <v>5339.0</v>
      </c>
      <c r="G6163" s="1">
        <v>35.0</v>
      </c>
    </row>
    <row r="6164">
      <c r="A6164" s="1" t="s">
        <v>8</v>
      </c>
      <c r="B6164" s="2">
        <v>44729.0</v>
      </c>
      <c r="C6164" s="3">
        <v>0.7224884259259259</v>
      </c>
      <c r="D6164" s="1">
        <v>12.9363</v>
      </c>
      <c r="E6164" s="1">
        <v>80.12717</v>
      </c>
      <c r="F6164" s="1">
        <v>5339.0</v>
      </c>
      <c r="G6164" s="1">
        <v>36.0</v>
      </c>
    </row>
    <row r="6165">
      <c r="A6165" s="1" t="s">
        <v>8</v>
      </c>
      <c r="B6165" s="2">
        <v>44729.0</v>
      </c>
      <c r="C6165" s="3">
        <v>0.7225231481481481</v>
      </c>
      <c r="D6165" s="1">
        <v>12.9363</v>
      </c>
      <c r="E6165" s="1">
        <v>80.12717</v>
      </c>
      <c r="F6165" s="1">
        <v>5339.0</v>
      </c>
      <c r="G6165" s="1">
        <v>36.0</v>
      </c>
    </row>
    <row r="6166">
      <c r="A6166" s="1" t="s">
        <v>7</v>
      </c>
      <c r="B6166" s="2">
        <v>44729.0</v>
      </c>
      <c r="C6166" s="3">
        <v>0.7228125</v>
      </c>
      <c r="D6166" s="1">
        <v>12.800942</v>
      </c>
      <c r="E6166" s="1">
        <v>80.024087</v>
      </c>
      <c r="F6166" s="1">
        <v>2846.0</v>
      </c>
      <c r="G6166" s="1">
        <v>48.0</v>
      </c>
    </row>
    <row r="6167">
      <c r="A6167" s="1" t="s">
        <v>8</v>
      </c>
      <c r="B6167" s="2">
        <v>44729.0</v>
      </c>
      <c r="C6167" s="3">
        <v>0.7229629629629629</v>
      </c>
      <c r="D6167" s="1">
        <v>12.943533</v>
      </c>
      <c r="E6167" s="1">
        <v>80.134068</v>
      </c>
      <c r="F6167" s="1">
        <v>805.0</v>
      </c>
      <c r="G6167" s="1">
        <v>46.0</v>
      </c>
    </row>
    <row r="6168">
      <c r="A6168" s="1" t="s">
        <v>8</v>
      </c>
      <c r="B6168" s="2">
        <v>44729.0</v>
      </c>
      <c r="C6168" s="3">
        <v>0.7229861111111111</v>
      </c>
      <c r="D6168" s="1">
        <v>12.939672</v>
      </c>
      <c r="E6168" s="1">
        <v>80.130143</v>
      </c>
      <c r="F6168" s="1">
        <v>5339.0</v>
      </c>
      <c r="G6168" s="1">
        <v>49.0</v>
      </c>
    </row>
    <row r="6169">
      <c r="A6169" s="1" t="s">
        <v>7</v>
      </c>
      <c r="B6169" s="2">
        <v>44729.0</v>
      </c>
      <c r="C6169" s="3">
        <v>0.7230787037037038</v>
      </c>
      <c r="D6169" s="1">
        <v>12.797623</v>
      </c>
      <c r="E6169" s="1">
        <v>80.021929</v>
      </c>
      <c r="F6169" s="1">
        <v>2846.0</v>
      </c>
      <c r="G6169" s="1">
        <v>56.0</v>
      </c>
    </row>
    <row r="6170">
      <c r="A6170" s="1" t="s">
        <v>8</v>
      </c>
      <c r="B6170" s="2">
        <v>44729.0</v>
      </c>
      <c r="C6170" s="3">
        <v>0.7230902777777778</v>
      </c>
      <c r="D6170" s="1">
        <v>12.940591</v>
      </c>
      <c r="E6170" s="1">
        <v>80.13104</v>
      </c>
      <c r="F6170" s="1">
        <v>5339.0</v>
      </c>
      <c r="G6170" s="1">
        <v>56.0</v>
      </c>
    </row>
    <row r="6171">
      <c r="A6171" s="1" t="s">
        <v>9</v>
      </c>
      <c r="B6171" s="2">
        <v>44729.0</v>
      </c>
      <c r="C6171" s="3">
        <v>0.7237152777777778</v>
      </c>
      <c r="D6171" s="1">
        <v>12.943324</v>
      </c>
      <c r="E6171" s="1">
        <v>80.133894</v>
      </c>
      <c r="F6171" s="1">
        <v>5339.0</v>
      </c>
      <c r="G6171" s="1">
        <v>39.0</v>
      </c>
    </row>
    <row r="6172">
      <c r="A6172" s="1" t="s">
        <v>8</v>
      </c>
      <c r="B6172" s="2">
        <v>44729.0</v>
      </c>
      <c r="C6172" s="3">
        <v>0.7239699074074074</v>
      </c>
      <c r="D6172" s="1">
        <v>12.950237</v>
      </c>
      <c r="E6172" s="1">
        <v>80.139282</v>
      </c>
      <c r="F6172" s="1">
        <v>805.0</v>
      </c>
      <c r="G6172" s="1">
        <v>0.0</v>
      </c>
    </row>
    <row r="6173">
      <c r="A6173" s="1" t="s">
        <v>7</v>
      </c>
      <c r="B6173" s="2">
        <v>44729.0</v>
      </c>
      <c r="C6173" s="3">
        <v>0.7241435185185185</v>
      </c>
      <c r="D6173" s="1">
        <v>12.791648</v>
      </c>
      <c r="E6173" s="1">
        <v>80.018042</v>
      </c>
      <c r="F6173" s="1">
        <v>2846.0</v>
      </c>
      <c r="G6173" s="1">
        <v>52.0</v>
      </c>
    </row>
    <row r="6174">
      <c r="A6174" s="1" t="s">
        <v>7</v>
      </c>
      <c r="B6174" s="2">
        <v>44729.0</v>
      </c>
      <c r="C6174" s="3">
        <v>0.7246759259259259</v>
      </c>
      <c r="D6174" s="1">
        <v>12.785509</v>
      </c>
      <c r="E6174" s="1">
        <v>80.014331</v>
      </c>
      <c r="F6174" s="1">
        <v>2846.0</v>
      </c>
      <c r="G6174" s="1">
        <v>58.0</v>
      </c>
    </row>
    <row r="6175">
      <c r="A6175" s="1" t="s">
        <v>7</v>
      </c>
      <c r="B6175" s="2">
        <v>44729.0</v>
      </c>
      <c r="C6175" s="3">
        <v>0.7250925925925926</v>
      </c>
      <c r="D6175" s="1">
        <v>12.781535</v>
      </c>
      <c r="E6175" s="1">
        <v>80.012434</v>
      </c>
      <c r="F6175" s="1">
        <v>2846.0</v>
      </c>
      <c r="G6175" s="1">
        <v>57.0</v>
      </c>
    </row>
    <row r="6176">
      <c r="A6176" s="1" t="s">
        <v>8</v>
      </c>
      <c r="B6176" s="2">
        <v>44729.0</v>
      </c>
      <c r="C6176" s="3">
        <v>0.7260532407407407</v>
      </c>
      <c r="D6176" s="1">
        <v>12.960236</v>
      </c>
      <c r="E6176" s="1">
        <v>80.145066</v>
      </c>
      <c r="F6176" s="1">
        <v>805.0</v>
      </c>
      <c r="G6176" s="1">
        <v>6.0</v>
      </c>
    </row>
    <row r="6177">
      <c r="A6177" s="1" t="s">
        <v>7</v>
      </c>
      <c r="B6177" s="2">
        <v>44729.0</v>
      </c>
      <c r="C6177" s="3">
        <v>0.7260763888888889</v>
      </c>
      <c r="D6177" s="1">
        <v>12.770183</v>
      </c>
      <c r="E6177" s="1">
        <v>80.007342</v>
      </c>
      <c r="F6177" s="1">
        <v>2846.0</v>
      </c>
      <c r="G6177" s="1">
        <v>47.0</v>
      </c>
    </row>
    <row r="6178">
      <c r="A6178" s="1" t="s">
        <v>8</v>
      </c>
      <c r="B6178" s="2">
        <v>44729.0</v>
      </c>
      <c r="C6178" s="3">
        <v>0.7262152777777777</v>
      </c>
      <c r="D6178" s="1">
        <v>12.957383</v>
      </c>
      <c r="E6178" s="1">
        <v>80.143735</v>
      </c>
      <c r="F6178" s="1">
        <v>5339.0</v>
      </c>
      <c r="G6178" s="1">
        <v>27.0</v>
      </c>
    </row>
    <row r="6179">
      <c r="A6179" s="1" t="s">
        <v>8</v>
      </c>
      <c r="B6179" s="2">
        <v>44729.0</v>
      </c>
      <c r="C6179" s="3">
        <v>0.7262615740740741</v>
      </c>
      <c r="D6179" s="1">
        <v>12.96079</v>
      </c>
      <c r="E6179" s="1">
        <v>80.145381</v>
      </c>
      <c r="F6179" s="1">
        <v>805.0</v>
      </c>
      <c r="G6179" s="1">
        <v>29.0</v>
      </c>
    </row>
    <row r="6180">
      <c r="A6180" s="1" t="s">
        <v>8</v>
      </c>
      <c r="B6180" s="2">
        <v>44729.0</v>
      </c>
      <c r="C6180" s="3">
        <v>0.7264351851851852</v>
      </c>
      <c r="D6180" s="1">
        <v>12.766339</v>
      </c>
      <c r="E6180" s="1">
        <v>80.005514</v>
      </c>
      <c r="F6180" s="1">
        <v>2846.0</v>
      </c>
      <c r="G6180" s="1">
        <v>57.0</v>
      </c>
    </row>
    <row r="6181">
      <c r="A6181" s="1" t="s">
        <v>8</v>
      </c>
      <c r="B6181" s="2">
        <v>44729.0</v>
      </c>
      <c r="C6181" s="3">
        <v>0.7266319444444445</v>
      </c>
      <c r="D6181" s="1">
        <v>12.764234</v>
      </c>
      <c r="E6181" s="1">
        <v>80.004636</v>
      </c>
      <c r="F6181" s="1">
        <v>2846.0</v>
      </c>
      <c r="G6181" s="1">
        <v>31.0</v>
      </c>
    </row>
    <row r="6182">
      <c r="A6182" s="1" t="s">
        <v>8</v>
      </c>
      <c r="B6182" s="2">
        <v>44729.0</v>
      </c>
      <c r="C6182" s="3">
        <v>0.726712962962963</v>
      </c>
      <c r="D6182" s="1">
        <v>12.963673</v>
      </c>
      <c r="E6182" s="1">
        <v>80.147004</v>
      </c>
      <c r="F6182" s="1">
        <v>805.0</v>
      </c>
      <c r="G6182" s="1">
        <v>33.0</v>
      </c>
    </row>
    <row r="6183">
      <c r="A6183" s="1" t="s">
        <v>7</v>
      </c>
      <c r="B6183" s="2">
        <v>44729.0</v>
      </c>
      <c r="C6183" s="3">
        <v>0.7269907407407408</v>
      </c>
      <c r="D6183" s="1">
        <v>12.966442</v>
      </c>
      <c r="E6183" s="1">
        <v>80.14863</v>
      </c>
      <c r="F6183" s="1">
        <v>805.0</v>
      </c>
      <c r="G6183" s="1">
        <v>53.0</v>
      </c>
    </row>
    <row r="6184">
      <c r="A6184" s="1" t="s">
        <v>8</v>
      </c>
      <c r="B6184" s="2">
        <v>44729.0</v>
      </c>
      <c r="C6184" s="3">
        <v>0.7273032407407407</v>
      </c>
      <c r="D6184" s="1">
        <v>12.960301</v>
      </c>
      <c r="E6184" s="1">
        <v>80.145121</v>
      </c>
      <c r="F6184" s="1">
        <v>5339.0</v>
      </c>
      <c r="G6184" s="1">
        <v>13.0</v>
      </c>
    </row>
    <row r="6185">
      <c r="A6185" s="1" t="s">
        <v>8</v>
      </c>
      <c r="B6185" s="2">
        <v>44729.0</v>
      </c>
      <c r="C6185" s="3">
        <v>0.7275115740740741</v>
      </c>
      <c r="D6185" s="1">
        <v>12.970275</v>
      </c>
      <c r="E6185" s="1">
        <v>80.150444</v>
      </c>
      <c r="F6185" s="1">
        <v>805.0</v>
      </c>
      <c r="G6185" s="1">
        <v>51.0</v>
      </c>
    </row>
    <row r="6186">
      <c r="A6186" s="1" t="s">
        <v>8</v>
      </c>
      <c r="B6186" s="2">
        <v>44729.0</v>
      </c>
      <c r="C6186" s="3">
        <v>0.7275231481481481</v>
      </c>
      <c r="D6186" s="1">
        <v>12.970275</v>
      </c>
      <c r="E6186" s="1">
        <v>80.150444</v>
      </c>
      <c r="F6186" s="1">
        <v>805.0</v>
      </c>
      <c r="G6186" s="1">
        <v>51.0</v>
      </c>
    </row>
    <row r="6187">
      <c r="A6187" s="1" t="s">
        <v>8</v>
      </c>
      <c r="B6187" s="2">
        <v>44729.0</v>
      </c>
      <c r="C6187" s="3">
        <v>0.7275231481481481</v>
      </c>
      <c r="D6187" s="1">
        <v>12.970275</v>
      </c>
      <c r="E6187" s="1">
        <v>80.150444</v>
      </c>
      <c r="F6187" s="1">
        <v>805.0</v>
      </c>
      <c r="G6187" s="1">
        <v>51.0</v>
      </c>
    </row>
    <row r="6188">
      <c r="A6188" s="1" t="s">
        <v>8</v>
      </c>
      <c r="B6188" s="2">
        <v>44729.0</v>
      </c>
      <c r="C6188" s="3">
        <v>0.7275231481481481</v>
      </c>
      <c r="D6188" s="1">
        <v>12.970275</v>
      </c>
      <c r="E6188" s="1">
        <v>80.150444</v>
      </c>
      <c r="F6188" s="1">
        <v>805.0</v>
      </c>
      <c r="G6188" s="1">
        <v>51.0</v>
      </c>
    </row>
    <row r="6189">
      <c r="A6189" s="1" t="s">
        <v>8</v>
      </c>
      <c r="B6189" s="2">
        <v>44729.0</v>
      </c>
      <c r="C6189" s="3">
        <v>0.7275462962962963</v>
      </c>
      <c r="D6189" s="1">
        <v>12.972163</v>
      </c>
      <c r="E6189" s="1">
        <v>80.151479</v>
      </c>
      <c r="F6189" s="1">
        <v>805.0</v>
      </c>
      <c r="G6189" s="1">
        <v>52.0</v>
      </c>
    </row>
    <row r="6190">
      <c r="A6190" s="1" t="s">
        <v>8</v>
      </c>
      <c r="B6190" s="2">
        <v>44729.0</v>
      </c>
      <c r="C6190" s="3">
        <v>0.7275462962962963</v>
      </c>
      <c r="D6190" s="1">
        <v>12.972163</v>
      </c>
      <c r="E6190" s="1">
        <v>80.151479</v>
      </c>
      <c r="F6190" s="1">
        <v>805.0</v>
      </c>
      <c r="G6190" s="1">
        <v>52.0</v>
      </c>
    </row>
    <row r="6191">
      <c r="A6191" s="1" t="s">
        <v>8</v>
      </c>
      <c r="B6191" s="2">
        <v>44729.0</v>
      </c>
      <c r="C6191" s="3">
        <v>0.7275578703703703</v>
      </c>
      <c r="D6191" s="1">
        <v>12.972163</v>
      </c>
      <c r="E6191" s="1">
        <v>80.151479</v>
      </c>
      <c r="F6191" s="1">
        <v>805.0</v>
      </c>
      <c r="G6191" s="1">
        <v>52.0</v>
      </c>
    </row>
    <row r="6192">
      <c r="A6192" s="1" t="s">
        <v>8</v>
      </c>
      <c r="B6192" s="2">
        <v>44729.0</v>
      </c>
      <c r="C6192" s="3">
        <v>0.727650462962963</v>
      </c>
      <c r="D6192" s="1">
        <v>12.972163</v>
      </c>
      <c r="E6192" s="1">
        <v>80.151479</v>
      </c>
      <c r="F6192" s="1">
        <v>805.0</v>
      </c>
      <c r="G6192" s="1">
        <v>52.0</v>
      </c>
    </row>
    <row r="6193">
      <c r="A6193" s="1" t="s">
        <v>8</v>
      </c>
      <c r="B6193" s="2">
        <v>44729.0</v>
      </c>
      <c r="C6193" s="3">
        <v>0.7278819444444444</v>
      </c>
      <c r="D6193" s="1">
        <v>12.973568</v>
      </c>
      <c r="E6193" s="1">
        <v>80.153481</v>
      </c>
      <c r="F6193" s="1">
        <v>805.0</v>
      </c>
      <c r="G6193" s="1">
        <v>57.0</v>
      </c>
    </row>
    <row r="6194">
      <c r="A6194" s="1" t="s">
        <v>7</v>
      </c>
      <c r="B6194" s="2">
        <v>44729.0</v>
      </c>
      <c r="C6194" s="3">
        <v>0.7280208333333333</v>
      </c>
      <c r="D6194" s="1">
        <v>12.973568</v>
      </c>
      <c r="E6194" s="1">
        <v>80.153481</v>
      </c>
      <c r="F6194" s="1">
        <v>805.0</v>
      </c>
      <c r="G6194" s="1">
        <v>57.0</v>
      </c>
    </row>
    <row r="6195">
      <c r="A6195" s="1" t="s">
        <v>8</v>
      </c>
      <c r="B6195" s="2">
        <v>44729.0</v>
      </c>
      <c r="C6195" s="3">
        <v>0.7282523148148148</v>
      </c>
      <c r="D6195" s="1">
        <v>12.966351</v>
      </c>
      <c r="E6195" s="1">
        <v>80.148615</v>
      </c>
      <c r="F6195" s="1">
        <v>5339.0</v>
      </c>
      <c r="G6195" s="1">
        <v>52.0</v>
      </c>
    </row>
    <row r="6196">
      <c r="A6196" s="1" t="s">
        <v>7</v>
      </c>
      <c r="B6196" s="2">
        <v>44729.0</v>
      </c>
      <c r="C6196" s="3">
        <v>0.7283449074074074</v>
      </c>
      <c r="D6196" s="1">
        <v>12.976662</v>
      </c>
      <c r="E6196" s="1">
        <v>80.157915</v>
      </c>
      <c r="F6196" s="1">
        <v>805.0</v>
      </c>
      <c r="G6196" s="1">
        <v>41.0</v>
      </c>
    </row>
    <row r="6197">
      <c r="A6197" s="1" t="s">
        <v>7</v>
      </c>
      <c r="B6197" s="2">
        <v>44729.0</v>
      </c>
      <c r="C6197" s="3">
        <v>0.7288888888888889</v>
      </c>
      <c r="D6197" s="1">
        <v>12.751323</v>
      </c>
      <c r="E6197" s="1">
        <v>79.998951</v>
      </c>
      <c r="F6197" s="1">
        <v>2846.0</v>
      </c>
      <c r="G6197" s="1">
        <v>57.0</v>
      </c>
    </row>
    <row r="6198">
      <c r="A6198" s="1" t="s">
        <v>7</v>
      </c>
      <c r="B6198" s="2">
        <v>44729.0</v>
      </c>
      <c r="C6198" s="3">
        <v>0.7289467592592592</v>
      </c>
      <c r="D6198" s="1">
        <v>12.973682</v>
      </c>
      <c r="E6198" s="1">
        <v>80.153648</v>
      </c>
      <c r="F6198" s="1">
        <v>5339.0</v>
      </c>
      <c r="G6198" s="1">
        <v>59.0</v>
      </c>
    </row>
    <row r="6199">
      <c r="A6199" s="1" t="s">
        <v>7</v>
      </c>
      <c r="B6199" s="2">
        <v>44729.0</v>
      </c>
      <c r="C6199" s="3">
        <v>0.7292013888888889</v>
      </c>
      <c r="D6199" s="1">
        <v>12.980963</v>
      </c>
      <c r="E6199" s="1">
        <v>80.165745</v>
      </c>
      <c r="F6199" s="1">
        <v>805.0</v>
      </c>
      <c r="G6199" s="1">
        <v>58.0</v>
      </c>
    </row>
    <row r="6200">
      <c r="A6200" s="1" t="s">
        <v>8</v>
      </c>
      <c r="B6200" s="2">
        <v>44729.0</v>
      </c>
      <c r="C6200" s="3">
        <v>0.729224537037037</v>
      </c>
      <c r="D6200" s="1">
        <v>12.974882</v>
      </c>
      <c r="E6200" s="1">
        <v>80.155362</v>
      </c>
      <c r="F6200" s="1">
        <v>5339.0</v>
      </c>
      <c r="G6200" s="1">
        <v>34.0</v>
      </c>
    </row>
    <row r="6201">
      <c r="A6201" s="1" t="s">
        <v>8</v>
      </c>
      <c r="B6201" s="2">
        <v>44729.0</v>
      </c>
      <c r="C6201" s="3">
        <v>0.7293055555555555</v>
      </c>
      <c r="D6201" s="1">
        <v>12.975594</v>
      </c>
      <c r="E6201" s="1">
        <v>80.156326</v>
      </c>
      <c r="F6201" s="1">
        <v>5339.0</v>
      </c>
      <c r="G6201" s="1">
        <v>30.0</v>
      </c>
    </row>
    <row r="6202">
      <c r="A6202" s="1" t="s">
        <v>8</v>
      </c>
      <c r="B6202" s="2">
        <v>44729.0</v>
      </c>
      <c r="C6202" s="3">
        <v>0.729386574074074</v>
      </c>
      <c r="D6202" s="1">
        <v>12.982166</v>
      </c>
      <c r="E6202" s="1">
        <v>80.167788</v>
      </c>
      <c r="F6202" s="1">
        <v>805.0</v>
      </c>
      <c r="G6202" s="1">
        <v>57.0</v>
      </c>
    </row>
    <row r="6203">
      <c r="A6203" s="1" t="s">
        <v>8</v>
      </c>
      <c r="B6203" s="2">
        <v>44729.0</v>
      </c>
      <c r="C6203" s="3">
        <v>0.7294791666666667</v>
      </c>
      <c r="D6203" s="1">
        <v>12.976346</v>
      </c>
      <c r="E6203" s="1">
        <v>80.157438</v>
      </c>
      <c r="F6203" s="1">
        <v>5339.0</v>
      </c>
      <c r="G6203" s="1">
        <v>37.0</v>
      </c>
    </row>
    <row r="6204">
      <c r="A6204" s="1" t="s">
        <v>8</v>
      </c>
      <c r="B6204" s="2">
        <v>44729.0</v>
      </c>
      <c r="C6204" s="3">
        <v>0.7298842592592593</v>
      </c>
      <c r="D6204" s="1">
        <v>12.985559</v>
      </c>
      <c r="E6204" s="1">
        <v>80.173335</v>
      </c>
      <c r="F6204" s="1">
        <v>805.0</v>
      </c>
      <c r="G6204" s="1">
        <v>34.0</v>
      </c>
    </row>
    <row r="6205">
      <c r="A6205" s="1" t="s">
        <v>8</v>
      </c>
      <c r="B6205" s="2">
        <v>44729.0</v>
      </c>
      <c r="C6205" s="3">
        <v>0.7298842592592593</v>
      </c>
      <c r="D6205" s="1">
        <v>12.985559</v>
      </c>
      <c r="E6205" s="1">
        <v>80.173335</v>
      </c>
      <c r="F6205" s="1">
        <v>805.0</v>
      </c>
      <c r="G6205" s="1">
        <v>34.0</v>
      </c>
    </row>
    <row r="6206">
      <c r="A6206" s="1" t="s">
        <v>8</v>
      </c>
      <c r="B6206" s="2">
        <v>44729.0</v>
      </c>
      <c r="C6206" s="3">
        <v>0.7299074074074074</v>
      </c>
      <c r="D6206" s="1">
        <v>12.985559</v>
      </c>
      <c r="E6206" s="1">
        <v>80.173335</v>
      </c>
      <c r="F6206" s="1">
        <v>805.0</v>
      </c>
      <c r="G6206" s="1">
        <v>34.0</v>
      </c>
    </row>
    <row r="6207">
      <c r="A6207" s="1" t="s">
        <v>8</v>
      </c>
      <c r="B6207" s="2">
        <v>44729.0</v>
      </c>
      <c r="C6207" s="3">
        <v>0.7299305555555555</v>
      </c>
      <c r="D6207" s="1">
        <v>12.985559</v>
      </c>
      <c r="E6207" s="1">
        <v>80.173335</v>
      </c>
      <c r="F6207" s="1">
        <v>805.0</v>
      </c>
      <c r="G6207" s="1">
        <v>34.0</v>
      </c>
    </row>
    <row r="6208">
      <c r="A6208" s="1" t="s">
        <v>8</v>
      </c>
      <c r="B6208" s="2">
        <v>44729.0</v>
      </c>
      <c r="C6208" s="3">
        <v>0.7303125</v>
      </c>
      <c r="D6208" s="1">
        <v>12.980172</v>
      </c>
      <c r="E6208" s="1">
        <v>80.163713</v>
      </c>
      <c r="F6208" s="1">
        <v>5339.0</v>
      </c>
      <c r="G6208" s="1">
        <v>47.0</v>
      </c>
    </row>
    <row r="6209">
      <c r="A6209" s="1" t="s">
        <v>8</v>
      </c>
      <c r="B6209" s="2">
        <v>44729.0</v>
      </c>
      <c r="C6209" s="3">
        <v>0.7308564814814815</v>
      </c>
      <c r="D6209" s="1">
        <v>12.983105</v>
      </c>
      <c r="E6209" s="1">
        <v>80.169403</v>
      </c>
      <c r="F6209" s="1">
        <v>5339.0</v>
      </c>
      <c r="G6209" s="1">
        <v>55.0</v>
      </c>
    </row>
    <row r="6210">
      <c r="A6210" s="1" t="s">
        <v>8</v>
      </c>
      <c r="B6210" s="2">
        <v>44729.0</v>
      </c>
      <c r="C6210" s="3">
        <v>0.7309837962962963</v>
      </c>
      <c r="D6210" s="1">
        <v>12.984213</v>
      </c>
      <c r="E6210" s="1">
        <v>80.171242</v>
      </c>
      <c r="F6210" s="1">
        <v>5339.0</v>
      </c>
      <c r="G6210" s="1">
        <v>40.0</v>
      </c>
    </row>
    <row r="6211">
      <c r="A6211" s="1" t="s">
        <v>8</v>
      </c>
      <c r="B6211" s="2">
        <v>44729.0</v>
      </c>
      <c r="C6211" s="3">
        <v>0.7310069444444445</v>
      </c>
      <c r="D6211" s="1">
        <v>12.984213</v>
      </c>
      <c r="E6211" s="1">
        <v>80.171242</v>
      </c>
      <c r="F6211" s="1">
        <v>5339.0</v>
      </c>
      <c r="G6211" s="1">
        <v>40.0</v>
      </c>
    </row>
    <row r="6212">
      <c r="A6212" s="1" t="s">
        <v>8</v>
      </c>
      <c r="B6212" s="2">
        <v>44729.0</v>
      </c>
      <c r="C6212" s="3">
        <v>0.7310069444444445</v>
      </c>
      <c r="D6212" s="1">
        <v>12.984213</v>
      </c>
      <c r="E6212" s="1">
        <v>80.171242</v>
      </c>
      <c r="F6212" s="1">
        <v>5339.0</v>
      </c>
      <c r="G6212" s="1">
        <v>40.0</v>
      </c>
    </row>
    <row r="6213">
      <c r="A6213" s="1" t="s">
        <v>8</v>
      </c>
      <c r="B6213" s="2">
        <v>44729.0</v>
      </c>
      <c r="C6213" s="3">
        <v>0.7316666666666667</v>
      </c>
      <c r="D6213" s="1">
        <v>12.989356</v>
      </c>
      <c r="E6213" s="1">
        <v>80.178536</v>
      </c>
      <c r="F6213" s="1">
        <v>805.0</v>
      </c>
      <c r="G6213" s="1">
        <v>12.0</v>
      </c>
    </row>
    <row r="6214">
      <c r="A6214" s="1" t="s">
        <v>8</v>
      </c>
      <c r="B6214" s="2">
        <v>44729.0</v>
      </c>
      <c r="C6214" s="3">
        <v>0.7321527777777778</v>
      </c>
      <c r="D6214" s="1">
        <v>12.727364</v>
      </c>
      <c r="E6214" s="1">
        <v>79.982646</v>
      </c>
      <c r="F6214" s="1">
        <v>2846.0</v>
      </c>
      <c r="G6214" s="1">
        <v>53.0</v>
      </c>
    </row>
    <row r="6215">
      <c r="A6215" s="1" t="s">
        <v>8</v>
      </c>
      <c r="B6215" s="2">
        <v>44729.0</v>
      </c>
      <c r="C6215" s="3">
        <v>0.732175925925926</v>
      </c>
      <c r="D6215" s="1">
        <v>12.727364</v>
      </c>
      <c r="E6215" s="1">
        <v>79.982646</v>
      </c>
      <c r="F6215" s="1">
        <v>2846.0</v>
      </c>
      <c r="G6215" s="1">
        <v>53.0</v>
      </c>
    </row>
    <row r="6216">
      <c r="A6216" s="1" t="s">
        <v>8</v>
      </c>
      <c r="B6216" s="2">
        <v>44729.0</v>
      </c>
      <c r="C6216" s="3">
        <v>0.7330092592592593</v>
      </c>
      <c r="D6216" s="1">
        <v>12.99069</v>
      </c>
      <c r="E6216" s="1">
        <v>80.180329</v>
      </c>
      <c r="F6216" s="1">
        <v>5339.0</v>
      </c>
      <c r="G6216" s="1">
        <v>47.0</v>
      </c>
    </row>
    <row r="6217">
      <c r="A6217" s="1" t="s">
        <v>8</v>
      </c>
      <c r="B6217" s="2">
        <v>44729.0</v>
      </c>
      <c r="C6217" s="3">
        <v>0.7331944444444445</v>
      </c>
      <c r="D6217" s="1">
        <v>12.991861</v>
      </c>
      <c r="E6217" s="1">
        <v>80.181868</v>
      </c>
      <c r="F6217" s="1">
        <v>5339.0</v>
      </c>
      <c r="G6217" s="1">
        <v>47.0</v>
      </c>
    </row>
    <row r="6218">
      <c r="A6218" s="1" t="s">
        <v>7</v>
      </c>
      <c r="B6218" s="2">
        <v>44729.0</v>
      </c>
      <c r="C6218" s="3">
        <v>0.7344097222222222</v>
      </c>
      <c r="D6218" s="1">
        <v>12.719116</v>
      </c>
      <c r="E6218" s="1">
        <v>79.981055</v>
      </c>
      <c r="F6218" s="1">
        <v>2846.0</v>
      </c>
      <c r="G6218" s="1">
        <v>58.0</v>
      </c>
    </row>
    <row r="6219">
      <c r="A6219" s="1" t="s">
        <v>8</v>
      </c>
      <c r="B6219" s="2">
        <v>44729.0</v>
      </c>
      <c r="C6219" s="3">
        <v>0.7346180555555556</v>
      </c>
      <c r="D6219" s="1">
        <v>12.995673</v>
      </c>
      <c r="E6219" s="1">
        <v>80.188704</v>
      </c>
      <c r="F6219" s="1">
        <v>5339.0</v>
      </c>
      <c r="G6219" s="1">
        <v>12.0</v>
      </c>
    </row>
    <row r="6220">
      <c r="A6220" s="1" t="s">
        <v>8</v>
      </c>
      <c r="B6220" s="2">
        <v>44729.0</v>
      </c>
      <c r="C6220" s="3">
        <v>0.7346180555555556</v>
      </c>
      <c r="D6220" s="1">
        <v>12.995673</v>
      </c>
      <c r="E6220" s="1">
        <v>80.188704</v>
      </c>
      <c r="F6220" s="1">
        <v>5339.0</v>
      </c>
      <c r="G6220" s="1">
        <v>12.0</v>
      </c>
    </row>
    <row r="6221">
      <c r="A6221" s="1" t="s">
        <v>8</v>
      </c>
      <c r="B6221" s="2">
        <v>44729.0</v>
      </c>
      <c r="C6221" s="3">
        <v>0.7346412037037037</v>
      </c>
      <c r="D6221" s="1">
        <v>12.995673</v>
      </c>
      <c r="E6221" s="1">
        <v>80.188704</v>
      </c>
      <c r="F6221" s="1">
        <v>5339.0</v>
      </c>
      <c r="G6221" s="1">
        <v>12.0</v>
      </c>
    </row>
    <row r="6222">
      <c r="A6222" s="1" t="s">
        <v>8</v>
      </c>
      <c r="B6222" s="2">
        <v>44729.0</v>
      </c>
      <c r="C6222" s="3">
        <v>0.7346527777777778</v>
      </c>
      <c r="D6222" s="1">
        <v>12.995673</v>
      </c>
      <c r="E6222" s="1">
        <v>80.188704</v>
      </c>
      <c r="F6222" s="1">
        <v>5339.0</v>
      </c>
      <c r="G6222" s="1">
        <v>12.0</v>
      </c>
    </row>
    <row r="6223">
      <c r="A6223" s="1" t="s">
        <v>7</v>
      </c>
      <c r="B6223" s="2">
        <v>44729.0</v>
      </c>
      <c r="C6223" s="3">
        <v>0.7347453703703704</v>
      </c>
      <c r="D6223" s="1">
        <v>12.71626</v>
      </c>
      <c r="E6223" s="1">
        <v>79.98074</v>
      </c>
      <c r="F6223" s="1">
        <v>2846.0</v>
      </c>
      <c r="G6223" s="1">
        <v>57.0</v>
      </c>
    </row>
    <row r="6224">
      <c r="A6224" s="1" t="s">
        <v>7</v>
      </c>
      <c r="B6224" s="2">
        <v>44729.0</v>
      </c>
      <c r="C6224" s="3">
        <v>0.7348958333333333</v>
      </c>
      <c r="D6224" s="1">
        <v>12.71626</v>
      </c>
      <c r="E6224" s="1">
        <v>79.98074</v>
      </c>
      <c r="F6224" s="1">
        <v>2846.0</v>
      </c>
      <c r="G6224" s="1">
        <v>57.0</v>
      </c>
    </row>
    <row r="6225">
      <c r="A6225" s="1" t="s">
        <v>8</v>
      </c>
      <c r="B6225" s="2">
        <v>44729.0</v>
      </c>
      <c r="C6225" s="3">
        <v>0.7349652777777778</v>
      </c>
      <c r="D6225" s="1">
        <v>12.712139</v>
      </c>
      <c r="E6225" s="1">
        <v>79.979348</v>
      </c>
      <c r="F6225" s="1">
        <v>2846.0</v>
      </c>
      <c r="G6225" s="1">
        <v>56.0</v>
      </c>
    </row>
    <row r="6226">
      <c r="A6226" s="1" t="s">
        <v>8</v>
      </c>
      <c r="B6226" s="2">
        <v>44729.0</v>
      </c>
      <c r="C6226" s="3">
        <v>0.7357986111111111</v>
      </c>
      <c r="D6226" s="1">
        <v>12.706591</v>
      </c>
      <c r="E6226" s="1">
        <v>79.977415</v>
      </c>
      <c r="F6226" s="1">
        <v>2846.0</v>
      </c>
      <c r="G6226" s="1">
        <v>32.0</v>
      </c>
    </row>
    <row r="6227">
      <c r="A6227" s="1" t="s">
        <v>8</v>
      </c>
      <c r="B6227" s="2">
        <v>44729.0</v>
      </c>
      <c r="C6227" s="3">
        <v>0.7358101851851852</v>
      </c>
      <c r="D6227" s="1">
        <v>12.706591</v>
      </c>
      <c r="E6227" s="1">
        <v>79.977415</v>
      </c>
      <c r="F6227" s="1">
        <v>2846.0</v>
      </c>
      <c r="G6227" s="1">
        <v>32.0</v>
      </c>
    </row>
    <row r="6228">
      <c r="A6228" s="1" t="s">
        <v>8</v>
      </c>
      <c r="B6228" s="2">
        <v>44729.0</v>
      </c>
      <c r="C6228" s="3">
        <v>0.7358217592592593</v>
      </c>
      <c r="D6228" s="1">
        <v>12.706591</v>
      </c>
      <c r="E6228" s="1">
        <v>79.977415</v>
      </c>
      <c r="F6228" s="1">
        <v>2846.0</v>
      </c>
      <c r="G6228" s="1">
        <v>32.0</v>
      </c>
    </row>
    <row r="6229">
      <c r="A6229" s="1" t="s">
        <v>8</v>
      </c>
      <c r="B6229" s="2">
        <v>44729.0</v>
      </c>
      <c r="C6229" s="3">
        <v>0.737337962962963</v>
      </c>
      <c r="D6229" s="1">
        <v>13.001753</v>
      </c>
      <c r="E6229" s="1">
        <v>80.196232</v>
      </c>
      <c r="F6229" s="1">
        <v>805.0</v>
      </c>
      <c r="G6229" s="1">
        <v>20.0</v>
      </c>
    </row>
    <row r="6230">
      <c r="A6230" s="1" t="s">
        <v>10</v>
      </c>
      <c r="B6230" s="2">
        <v>44729.0</v>
      </c>
      <c r="C6230" s="3">
        <v>0.7374305555555556</v>
      </c>
      <c r="D6230" s="1">
        <v>12.697249</v>
      </c>
      <c r="E6230" s="1">
        <v>79.976538</v>
      </c>
      <c r="F6230" s="1">
        <v>2846.0</v>
      </c>
      <c r="G6230" s="1">
        <v>18.0</v>
      </c>
    </row>
    <row r="6231">
      <c r="A6231" s="1" t="s">
        <v>10</v>
      </c>
      <c r="B6231" s="2">
        <v>44729.0</v>
      </c>
      <c r="C6231" s="3">
        <v>0.7383217592592592</v>
      </c>
      <c r="D6231" s="1">
        <v>12.694184</v>
      </c>
      <c r="E6231" s="1">
        <v>79.978722</v>
      </c>
      <c r="F6231" s="1">
        <v>2846.0</v>
      </c>
      <c r="G6231" s="1">
        <v>29.0</v>
      </c>
    </row>
    <row r="6232">
      <c r="A6232" s="1" t="s">
        <v>8</v>
      </c>
      <c r="B6232" s="2">
        <v>44729.0</v>
      </c>
      <c r="C6232" s="3">
        <v>0.7385416666666667</v>
      </c>
      <c r="D6232" s="1">
        <v>13.006697</v>
      </c>
      <c r="E6232" s="1">
        <v>80.20333</v>
      </c>
      <c r="F6232" s="1">
        <v>805.0</v>
      </c>
      <c r="G6232" s="1">
        <v>36.0</v>
      </c>
    </row>
    <row r="6233">
      <c r="A6233" s="1" t="s">
        <v>8</v>
      </c>
      <c r="B6233" s="2">
        <v>44729.0</v>
      </c>
      <c r="C6233" s="3">
        <v>0.7386458333333333</v>
      </c>
      <c r="D6233" s="1">
        <v>13.008276</v>
      </c>
      <c r="E6233" s="1">
        <v>80.203615</v>
      </c>
      <c r="F6233" s="1">
        <v>805.0</v>
      </c>
      <c r="G6233" s="1">
        <v>31.0</v>
      </c>
    </row>
    <row r="6234">
      <c r="A6234" s="1" t="s">
        <v>8</v>
      </c>
      <c r="B6234" s="2">
        <v>44729.0</v>
      </c>
      <c r="C6234" s="3">
        <v>0.7386921296296296</v>
      </c>
      <c r="D6234" s="1">
        <v>13.001454</v>
      </c>
      <c r="E6234" s="1">
        <v>80.195914</v>
      </c>
      <c r="F6234" s="1">
        <v>5339.0</v>
      </c>
      <c r="G6234" s="1">
        <v>6.0</v>
      </c>
    </row>
    <row r="6235">
      <c r="A6235" s="1" t="s">
        <v>8</v>
      </c>
      <c r="B6235" s="2">
        <v>44729.0</v>
      </c>
      <c r="C6235" s="3">
        <v>0.7388078703703703</v>
      </c>
      <c r="D6235" s="1">
        <v>13.007738</v>
      </c>
      <c r="E6235" s="1">
        <v>80.202856</v>
      </c>
      <c r="F6235" s="1">
        <v>805.0</v>
      </c>
      <c r="G6235" s="1">
        <v>38.0</v>
      </c>
    </row>
    <row r="6236">
      <c r="A6236" s="1" t="s">
        <v>8</v>
      </c>
      <c r="B6236" s="2">
        <v>44729.0</v>
      </c>
      <c r="C6236" s="3">
        <v>0.7388541666666667</v>
      </c>
      <c r="D6236" s="1">
        <v>13.001762</v>
      </c>
      <c r="E6236" s="1">
        <v>80.196319</v>
      </c>
      <c r="F6236" s="1">
        <v>5339.0</v>
      </c>
      <c r="G6236" s="1">
        <v>23.0</v>
      </c>
    </row>
    <row r="6237">
      <c r="A6237" s="1" t="s">
        <v>8</v>
      </c>
      <c r="B6237" s="2">
        <v>44729.0</v>
      </c>
      <c r="C6237" s="3">
        <v>0.739363425925926</v>
      </c>
      <c r="D6237" s="1">
        <v>13.001862</v>
      </c>
      <c r="E6237" s="1">
        <v>80.199728</v>
      </c>
      <c r="F6237" s="1">
        <v>5339.0</v>
      </c>
      <c r="G6237" s="1">
        <v>45.0</v>
      </c>
    </row>
    <row r="6238">
      <c r="A6238" s="1" t="s">
        <v>10</v>
      </c>
      <c r="B6238" s="2">
        <v>44729.0</v>
      </c>
      <c r="C6238" s="3">
        <v>0.7395486111111111</v>
      </c>
      <c r="D6238" s="1">
        <v>12.691242</v>
      </c>
      <c r="E6238" s="1">
        <v>79.980838</v>
      </c>
      <c r="F6238" s="1">
        <v>2846.0</v>
      </c>
      <c r="G6238" s="1">
        <v>5.0</v>
      </c>
    </row>
    <row r="6239">
      <c r="A6239" s="1" t="s">
        <v>8</v>
      </c>
      <c r="B6239" s="2">
        <v>44729.0</v>
      </c>
      <c r="C6239" s="3">
        <v>0.740011574074074</v>
      </c>
      <c r="D6239" s="1">
        <v>13.009613</v>
      </c>
      <c r="E6239" s="1">
        <v>80.213354</v>
      </c>
      <c r="F6239" s="1">
        <v>805.0</v>
      </c>
      <c r="G6239" s="1">
        <v>44.0</v>
      </c>
    </row>
    <row r="6240">
      <c r="A6240" s="1" t="s">
        <v>8</v>
      </c>
      <c r="B6240" s="2">
        <v>44729.0</v>
      </c>
      <c r="C6240" s="3">
        <v>0.7401504629629629</v>
      </c>
      <c r="D6240" s="1">
        <v>13.010152</v>
      </c>
      <c r="E6240" s="1">
        <v>80.214914</v>
      </c>
      <c r="F6240" s="1">
        <v>805.0</v>
      </c>
      <c r="G6240" s="1">
        <v>35.0</v>
      </c>
    </row>
    <row r="6241">
      <c r="A6241" s="1" t="s">
        <v>8</v>
      </c>
      <c r="B6241" s="2">
        <v>44729.0</v>
      </c>
      <c r="C6241" s="3">
        <v>0.7403587962962963</v>
      </c>
      <c r="D6241" s="1">
        <v>13.007623</v>
      </c>
      <c r="E6241" s="1">
        <v>80.20455</v>
      </c>
      <c r="F6241" s="1">
        <v>5339.0</v>
      </c>
      <c r="G6241" s="1">
        <v>58.0</v>
      </c>
    </row>
    <row r="6242">
      <c r="A6242" s="1" t="s">
        <v>8</v>
      </c>
      <c r="B6242" s="2">
        <v>44729.0</v>
      </c>
      <c r="C6242" s="3">
        <v>0.7406134259259259</v>
      </c>
      <c r="D6242" s="1">
        <v>13.011786</v>
      </c>
      <c r="E6242" s="1">
        <v>80.219472</v>
      </c>
      <c r="F6242" s="1">
        <v>805.0</v>
      </c>
      <c r="G6242" s="1">
        <v>50.0</v>
      </c>
    </row>
    <row r="6243">
      <c r="A6243" s="1" t="s">
        <v>9</v>
      </c>
      <c r="B6243" s="2">
        <v>44729.0</v>
      </c>
      <c r="C6243" s="3">
        <v>0.740625</v>
      </c>
      <c r="D6243" s="1">
        <v>13.007623</v>
      </c>
      <c r="E6243" s="1">
        <v>80.20455</v>
      </c>
      <c r="F6243" s="1">
        <v>5339.0</v>
      </c>
      <c r="G6243" s="1">
        <v>58.0</v>
      </c>
    </row>
    <row r="6244">
      <c r="A6244" s="1" t="s">
        <v>8</v>
      </c>
      <c r="B6244" s="2">
        <v>44729.0</v>
      </c>
      <c r="C6244" s="3">
        <v>0.7408680555555556</v>
      </c>
      <c r="D6244" s="1">
        <v>13.012343</v>
      </c>
      <c r="E6244" s="1">
        <v>80.221163</v>
      </c>
      <c r="F6244" s="1">
        <v>805.0</v>
      </c>
      <c r="G6244" s="1">
        <v>32.0</v>
      </c>
    </row>
    <row r="6245">
      <c r="A6245" s="1" t="s">
        <v>8</v>
      </c>
      <c r="B6245" s="2">
        <v>44729.0</v>
      </c>
      <c r="C6245" s="3">
        <v>0.7409143518518518</v>
      </c>
      <c r="D6245" s="1">
        <v>13.012343</v>
      </c>
      <c r="E6245" s="1">
        <v>80.221163</v>
      </c>
      <c r="F6245" s="1">
        <v>805.0</v>
      </c>
      <c r="G6245" s="1">
        <v>32.0</v>
      </c>
    </row>
    <row r="6246">
      <c r="A6246" s="1" t="s">
        <v>8</v>
      </c>
      <c r="B6246" s="2">
        <v>44729.0</v>
      </c>
      <c r="C6246" s="3">
        <v>0.7409143518518518</v>
      </c>
      <c r="D6246" s="1">
        <v>13.012343</v>
      </c>
      <c r="E6246" s="1">
        <v>80.221163</v>
      </c>
      <c r="F6246" s="1">
        <v>805.0</v>
      </c>
      <c r="G6246" s="1">
        <v>32.0</v>
      </c>
    </row>
    <row r="6247">
      <c r="A6247" s="1" t="s">
        <v>8</v>
      </c>
      <c r="B6247" s="2">
        <v>44729.0</v>
      </c>
      <c r="C6247" s="3">
        <v>0.7409143518518518</v>
      </c>
      <c r="D6247" s="1">
        <v>13.012343</v>
      </c>
      <c r="E6247" s="1">
        <v>80.221163</v>
      </c>
      <c r="F6247" s="1">
        <v>805.0</v>
      </c>
      <c r="G6247" s="1">
        <v>32.0</v>
      </c>
    </row>
    <row r="6248">
      <c r="A6248" s="1" t="s">
        <v>8</v>
      </c>
      <c r="B6248" s="2">
        <v>44729.0</v>
      </c>
      <c r="C6248" s="3">
        <v>0.7411342592592592</v>
      </c>
      <c r="D6248" s="1">
        <v>13.009716</v>
      </c>
      <c r="E6248" s="1">
        <v>80.213652</v>
      </c>
      <c r="F6248" s="1">
        <v>5339.0</v>
      </c>
      <c r="G6248" s="1">
        <v>33.0</v>
      </c>
    </row>
    <row r="6249">
      <c r="A6249" s="1" t="s">
        <v>8</v>
      </c>
      <c r="B6249" s="2">
        <v>44729.0</v>
      </c>
      <c r="C6249" s="3">
        <v>0.7411458333333333</v>
      </c>
      <c r="D6249" s="1">
        <v>13.009716</v>
      </c>
      <c r="E6249" s="1">
        <v>80.213652</v>
      </c>
      <c r="F6249" s="1">
        <v>5339.0</v>
      </c>
      <c r="G6249" s="1">
        <v>33.0</v>
      </c>
    </row>
    <row r="6250">
      <c r="A6250" s="1" t="s">
        <v>8</v>
      </c>
      <c r="B6250" s="2">
        <v>44729.0</v>
      </c>
      <c r="C6250" s="3">
        <v>0.7411574074074074</v>
      </c>
      <c r="D6250" s="1">
        <v>13.009716</v>
      </c>
      <c r="E6250" s="1">
        <v>80.213652</v>
      </c>
      <c r="F6250" s="1">
        <v>5339.0</v>
      </c>
      <c r="G6250" s="1">
        <v>33.0</v>
      </c>
    </row>
    <row r="6251">
      <c r="A6251" s="1" t="s">
        <v>8</v>
      </c>
      <c r="B6251" s="2">
        <v>44729.0</v>
      </c>
      <c r="C6251" s="3">
        <v>0.7412731481481482</v>
      </c>
      <c r="D6251" s="1">
        <v>13.009716</v>
      </c>
      <c r="E6251" s="1">
        <v>80.213652</v>
      </c>
      <c r="F6251" s="1">
        <v>5339.0</v>
      </c>
      <c r="G6251" s="1">
        <v>33.0</v>
      </c>
    </row>
    <row r="6252">
      <c r="A6252" s="1" t="s">
        <v>8</v>
      </c>
      <c r="B6252" s="2">
        <v>44729.0</v>
      </c>
      <c r="C6252" s="3">
        <v>0.7413194444444444</v>
      </c>
      <c r="D6252" s="1">
        <v>13.010143</v>
      </c>
      <c r="E6252" s="1">
        <v>80.214835</v>
      </c>
      <c r="F6252" s="1">
        <v>5339.0</v>
      </c>
      <c r="G6252" s="1">
        <v>29.0</v>
      </c>
    </row>
    <row r="6253">
      <c r="A6253" s="1" t="s">
        <v>8</v>
      </c>
      <c r="B6253" s="2">
        <v>44729.0</v>
      </c>
      <c r="C6253" s="3">
        <v>0.7413194444444444</v>
      </c>
      <c r="D6253" s="1">
        <v>13.010143</v>
      </c>
      <c r="E6253" s="1">
        <v>80.214835</v>
      </c>
      <c r="F6253" s="1">
        <v>5339.0</v>
      </c>
      <c r="G6253" s="1">
        <v>29.0</v>
      </c>
    </row>
    <row r="6254">
      <c r="A6254" s="1" t="s">
        <v>8</v>
      </c>
      <c r="B6254" s="2">
        <v>44729.0</v>
      </c>
      <c r="C6254" s="3">
        <v>0.7414236111111111</v>
      </c>
      <c r="D6254" s="1">
        <v>13.010143</v>
      </c>
      <c r="E6254" s="1">
        <v>80.214835</v>
      </c>
      <c r="F6254" s="1">
        <v>5339.0</v>
      </c>
      <c r="G6254" s="1">
        <v>29.0</v>
      </c>
    </row>
    <row r="6255">
      <c r="A6255" s="1" t="s">
        <v>8</v>
      </c>
      <c r="B6255" s="2">
        <v>44729.0</v>
      </c>
      <c r="C6255" s="3">
        <v>0.7414930555555556</v>
      </c>
      <c r="D6255" s="1">
        <v>13.010338</v>
      </c>
      <c r="E6255" s="1">
        <v>80.215857</v>
      </c>
      <c r="F6255" s="1">
        <v>5339.0</v>
      </c>
      <c r="G6255" s="1">
        <v>25.0</v>
      </c>
    </row>
    <row r="6256">
      <c r="A6256" s="1" t="s">
        <v>8</v>
      </c>
      <c r="B6256" s="2">
        <v>44729.0</v>
      </c>
      <c r="C6256" s="3">
        <v>0.7415162037037037</v>
      </c>
      <c r="D6256" s="1">
        <v>13.010338</v>
      </c>
      <c r="E6256" s="1">
        <v>80.215857</v>
      </c>
      <c r="F6256" s="1">
        <v>5339.0</v>
      </c>
      <c r="G6256" s="1">
        <v>25.0</v>
      </c>
    </row>
    <row r="6257">
      <c r="A6257" s="1" t="s">
        <v>8</v>
      </c>
      <c r="B6257" s="2">
        <v>44729.0</v>
      </c>
      <c r="C6257" s="3">
        <v>0.7416087962962963</v>
      </c>
      <c r="D6257" s="1">
        <v>13.010338</v>
      </c>
      <c r="E6257" s="1">
        <v>80.215857</v>
      </c>
      <c r="F6257" s="1">
        <v>5339.0</v>
      </c>
      <c r="G6257" s="1">
        <v>25.0</v>
      </c>
    </row>
    <row r="6258">
      <c r="A6258" s="1" t="s">
        <v>8</v>
      </c>
      <c r="B6258" s="2">
        <v>44729.0</v>
      </c>
      <c r="C6258" s="3">
        <v>0.7418981481481481</v>
      </c>
      <c r="D6258" s="1">
        <v>13.011303</v>
      </c>
      <c r="E6258" s="1">
        <v>80.218092</v>
      </c>
      <c r="F6258" s="1">
        <v>5339.0</v>
      </c>
      <c r="G6258" s="1">
        <v>33.0</v>
      </c>
    </row>
    <row r="6259">
      <c r="A6259" s="1" t="s">
        <v>8</v>
      </c>
      <c r="B6259" s="2">
        <v>44729.0</v>
      </c>
      <c r="C6259" s="3">
        <v>0.7419328703703704</v>
      </c>
      <c r="D6259" s="1">
        <v>13.011303</v>
      </c>
      <c r="E6259" s="1">
        <v>80.218092</v>
      </c>
      <c r="F6259" s="1">
        <v>5339.0</v>
      </c>
      <c r="G6259" s="1">
        <v>33.0</v>
      </c>
    </row>
    <row r="6260">
      <c r="A6260" s="1" t="s">
        <v>8</v>
      </c>
      <c r="B6260" s="2">
        <v>44729.0</v>
      </c>
      <c r="C6260" s="3">
        <v>0.7419444444444444</v>
      </c>
      <c r="D6260" s="1">
        <v>13.014891</v>
      </c>
      <c r="E6260" s="1">
        <v>80.225944</v>
      </c>
      <c r="F6260" s="1">
        <v>805.0</v>
      </c>
      <c r="G6260" s="1">
        <v>33.0</v>
      </c>
    </row>
    <row r="6261">
      <c r="A6261" s="1" t="s">
        <v>8</v>
      </c>
      <c r="B6261" s="2">
        <v>44729.0</v>
      </c>
      <c r="C6261" s="3">
        <v>0.7419675925925926</v>
      </c>
      <c r="D6261" s="1">
        <v>13.011303</v>
      </c>
      <c r="E6261" s="1">
        <v>80.218092</v>
      </c>
      <c r="F6261" s="1">
        <v>5339.0</v>
      </c>
      <c r="G6261" s="1">
        <v>33.0</v>
      </c>
    </row>
    <row r="6262">
      <c r="A6262" s="1" t="s">
        <v>8</v>
      </c>
      <c r="B6262" s="2">
        <v>44729.0</v>
      </c>
      <c r="C6262" s="3">
        <v>0.7419791666666666</v>
      </c>
      <c r="D6262" s="1">
        <v>13.011303</v>
      </c>
      <c r="E6262" s="1">
        <v>80.218092</v>
      </c>
      <c r="F6262" s="1">
        <v>5339.0</v>
      </c>
      <c r="G6262" s="1">
        <v>33.0</v>
      </c>
    </row>
    <row r="6263">
      <c r="A6263" s="1" t="s">
        <v>8</v>
      </c>
      <c r="B6263" s="2">
        <v>44729.0</v>
      </c>
      <c r="C6263" s="3">
        <v>0.7419907407407408</v>
      </c>
      <c r="D6263" s="1">
        <v>13.011303</v>
      </c>
      <c r="E6263" s="1">
        <v>80.218092</v>
      </c>
      <c r="F6263" s="1">
        <v>5339.0</v>
      </c>
      <c r="G6263" s="1">
        <v>33.0</v>
      </c>
    </row>
    <row r="6264">
      <c r="A6264" s="1" t="s">
        <v>8</v>
      </c>
      <c r="B6264" s="2">
        <v>44729.0</v>
      </c>
      <c r="C6264" s="3">
        <v>0.7420601851851852</v>
      </c>
      <c r="D6264" s="1">
        <v>13.01176</v>
      </c>
      <c r="E6264" s="1">
        <v>80.219283</v>
      </c>
      <c r="F6264" s="1">
        <v>5339.0</v>
      </c>
      <c r="G6264" s="1">
        <v>39.0</v>
      </c>
    </row>
    <row r="6265">
      <c r="A6265" s="1" t="s">
        <v>8</v>
      </c>
      <c r="B6265" s="2">
        <v>44729.0</v>
      </c>
      <c r="C6265" s="3">
        <v>0.7429513888888889</v>
      </c>
      <c r="D6265" s="1">
        <v>13.014855</v>
      </c>
      <c r="E6265" s="1">
        <v>80.224404</v>
      </c>
      <c r="F6265" s="1">
        <v>5339.0</v>
      </c>
      <c r="G6265" s="1">
        <v>13.0</v>
      </c>
    </row>
    <row r="6266">
      <c r="A6266" s="1" t="s">
        <v>8</v>
      </c>
      <c r="B6266" s="2">
        <v>44729.0</v>
      </c>
      <c r="C6266" s="3">
        <v>0.7431597222222223</v>
      </c>
      <c r="D6266" s="1">
        <v>13.015427</v>
      </c>
      <c r="E6266" s="1">
        <v>80.225045</v>
      </c>
      <c r="F6266" s="1">
        <v>5339.0</v>
      </c>
      <c r="G6266" s="1">
        <v>21.0</v>
      </c>
    </row>
    <row r="6267">
      <c r="A6267" s="1" t="s">
        <v>8</v>
      </c>
      <c r="B6267" s="2">
        <v>44729.0</v>
      </c>
      <c r="C6267" s="3">
        <v>0.7450578703703704</v>
      </c>
      <c r="D6267" s="1">
        <v>13.024167</v>
      </c>
      <c r="E6267" s="1">
        <v>80.228306</v>
      </c>
      <c r="F6267" s="1">
        <v>5339.0</v>
      </c>
      <c r="G6267" s="1">
        <v>0.0</v>
      </c>
    </row>
    <row r="6268">
      <c r="A6268" s="1" t="s">
        <v>8</v>
      </c>
      <c r="B6268" s="2">
        <v>44729.0</v>
      </c>
      <c r="C6268" s="3">
        <v>0.745162037037037</v>
      </c>
      <c r="D6268" s="1">
        <v>13.024167</v>
      </c>
      <c r="E6268" s="1">
        <v>80.228306</v>
      </c>
      <c r="F6268" s="1">
        <v>5339.0</v>
      </c>
      <c r="G6268" s="1">
        <v>0.0</v>
      </c>
    </row>
    <row r="6269">
      <c r="A6269" s="1" t="s">
        <v>8</v>
      </c>
      <c r="B6269" s="2">
        <v>44729.0</v>
      </c>
      <c r="C6269" s="3">
        <v>0.7451736111111111</v>
      </c>
      <c r="D6269" s="1">
        <v>13.024167</v>
      </c>
      <c r="E6269" s="1">
        <v>80.228306</v>
      </c>
      <c r="F6269" s="1">
        <v>5339.0</v>
      </c>
      <c r="G6269" s="1">
        <v>0.0</v>
      </c>
    </row>
    <row r="6270">
      <c r="A6270" s="1" t="s">
        <v>8</v>
      </c>
      <c r="B6270" s="2">
        <v>44729.0</v>
      </c>
      <c r="C6270" s="3">
        <v>0.746099537037037</v>
      </c>
      <c r="D6270" s="1">
        <v>13.006657</v>
      </c>
      <c r="E6270" s="1">
        <v>80.241755</v>
      </c>
      <c r="F6270" s="1">
        <v>805.0</v>
      </c>
      <c r="G6270" s="1">
        <v>14.0</v>
      </c>
    </row>
    <row r="6271">
      <c r="A6271" s="1" t="s">
        <v>8</v>
      </c>
      <c r="B6271" s="2">
        <v>44729.0</v>
      </c>
      <c r="C6271" s="3">
        <v>0.7461805555555555</v>
      </c>
      <c r="D6271" s="1">
        <v>13.006669</v>
      </c>
      <c r="E6271" s="1">
        <v>80.242446</v>
      </c>
      <c r="F6271" s="1">
        <v>805.0</v>
      </c>
      <c r="G6271" s="1">
        <v>10.0</v>
      </c>
    </row>
    <row r="6272">
      <c r="A6272" s="1" t="s">
        <v>8</v>
      </c>
      <c r="B6272" s="2">
        <v>44729.0</v>
      </c>
      <c r="C6272" s="3">
        <v>0.7462962962962963</v>
      </c>
      <c r="D6272" s="1">
        <v>13.025887</v>
      </c>
      <c r="E6272" s="1">
        <v>80.23084</v>
      </c>
      <c r="F6272" s="1">
        <v>5339.0</v>
      </c>
      <c r="G6272" s="1">
        <v>0.0</v>
      </c>
    </row>
    <row r="6273">
      <c r="A6273" s="1" t="s">
        <v>8</v>
      </c>
      <c r="B6273" s="2">
        <v>44729.0</v>
      </c>
      <c r="C6273" s="3">
        <v>0.7463194444444444</v>
      </c>
      <c r="D6273" s="1">
        <v>13.025887</v>
      </c>
      <c r="E6273" s="1">
        <v>80.23084</v>
      </c>
      <c r="F6273" s="1">
        <v>5339.0</v>
      </c>
      <c r="G6273" s="1">
        <v>0.0</v>
      </c>
    </row>
    <row r="6274">
      <c r="A6274" s="1" t="s">
        <v>8</v>
      </c>
      <c r="B6274" s="2">
        <v>44729.0</v>
      </c>
      <c r="C6274" s="3">
        <v>0.7464930555555556</v>
      </c>
      <c r="D6274" s="1">
        <v>13.025887</v>
      </c>
      <c r="E6274" s="1">
        <v>80.23084</v>
      </c>
      <c r="F6274" s="1">
        <v>5339.0</v>
      </c>
      <c r="G6274" s="1">
        <v>0.0</v>
      </c>
    </row>
    <row r="6275">
      <c r="A6275" s="1" t="s">
        <v>7</v>
      </c>
      <c r="B6275" s="2">
        <v>44729.0</v>
      </c>
      <c r="C6275" s="3">
        <v>0.7465277777777778</v>
      </c>
      <c r="D6275" s="1">
        <v>12.666954</v>
      </c>
      <c r="E6275" s="1">
        <v>79.971391</v>
      </c>
      <c r="F6275" s="1">
        <v>2846.0</v>
      </c>
      <c r="G6275" s="1">
        <v>57.0</v>
      </c>
    </row>
    <row r="6276">
      <c r="A6276" s="1" t="s">
        <v>8</v>
      </c>
      <c r="B6276" s="2">
        <v>44729.0</v>
      </c>
      <c r="C6276" s="3">
        <v>0.7465393518518518</v>
      </c>
      <c r="D6276" s="1">
        <v>13.025887</v>
      </c>
      <c r="E6276" s="1">
        <v>80.23084</v>
      </c>
      <c r="F6276" s="1">
        <v>5339.0</v>
      </c>
      <c r="G6276" s="1">
        <v>0.0</v>
      </c>
    </row>
    <row r="6277">
      <c r="A6277" s="1" t="s">
        <v>8</v>
      </c>
      <c r="B6277" s="2">
        <v>44729.0</v>
      </c>
      <c r="C6277" s="3">
        <v>0.7475347222222222</v>
      </c>
      <c r="D6277" s="1">
        <v>13.029533</v>
      </c>
      <c r="E6277" s="1">
        <v>80.237123</v>
      </c>
      <c r="F6277" s="1">
        <v>5339.0</v>
      </c>
      <c r="G6277" s="1">
        <v>35.0</v>
      </c>
    </row>
    <row r="6278">
      <c r="A6278" s="1" t="s">
        <v>8</v>
      </c>
      <c r="B6278" s="2">
        <v>44729.0</v>
      </c>
      <c r="C6278" s="3">
        <v>0.7476041666666666</v>
      </c>
      <c r="D6278" s="1">
        <v>13.029533</v>
      </c>
      <c r="E6278" s="1">
        <v>80.237123</v>
      </c>
      <c r="F6278" s="1">
        <v>5339.0</v>
      </c>
      <c r="G6278" s="1">
        <v>35.0</v>
      </c>
    </row>
    <row r="6279">
      <c r="A6279" s="1" t="s">
        <v>8</v>
      </c>
      <c r="B6279" s="2">
        <v>44729.0</v>
      </c>
      <c r="C6279" s="3">
        <v>0.7478819444444444</v>
      </c>
      <c r="D6279" s="1">
        <v>13.030394</v>
      </c>
      <c r="E6279" s="1">
        <v>80.238498</v>
      </c>
      <c r="F6279" s="1">
        <v>5339.0</v>
      </c>
      <c r="G6279" s="1">
        <v>23.0</v>
      </c>
    </row>
    <row r="6280">
      <c r="A6280" s="1" t="s">
        <v>8</v>
      </c>
      <c r="B6280" s="2">
        <v>44729.0</v>
      </c>
      <c r="C6280" s="3">
        <v>0.7479398148148149</v>
      </c>
      <c r="D6280" s="1">
        <v>13.030394</v>
      </c>
      <c r="E6280" s="1">
        <v>80.238498</v>
      </c>
      <c r="F6280" s="1">
        <v>5339.0</v>
      </c>
      <c r="G6280" s="1">
        <v>23.0</v>
      </c>
    </row>
    <row r="6281">
      <c r="A6281" s="1" t="s">
        <v>8</v>
      </c>
      <c r="B6281" s="2">
        <v>44729.0</v>
      </c>
      <c r="C6281" s="3">
        <v>0.750462962962963</v>
      </c>
      <c r="D6281" s="1">
        <v>13.006883</v>
      </c>
      <c r="E6281" s="1">
        <v>80.251173</v>
      </c>
      <c r="F6281" s="1">
        <v>805.0</v>
      </c>
      <c r="G6281" s="1">
        <v>14.0</v>
      </c>
    </row>
    <row r="6282">
      <c r="A6282" s="1" t="s">
        <v>7</v>
      </c>
      <c r="B6282" s="2">
        <v>44729.0</v>
      </c>
      <c r="C6282" s="3">
        <v>0.750462962962963</v>
      </c>
      <c r="D6282" s="1">
        <v>12.65577</v>
      </c>
      <c r="E6282" s="1">
        <v>79.941856</v>
      </c>
      <c r="F6282" s="1">
        <v>2846.0</v>
      </c>
      <c r="G6282" s="1">
        <v>53.0</v>
      </c>
    </row>
    <row r="6283">
      <c r="A6283" s="1" t="s">
        <v>10</v>
      </c>
      <c r="B6283" s="2">
        <v>44729.0</v>
      </c>
      <c r="C6283" s="3">
        <v>0.7506944444444444</v>
      </c>
      <c r="D6283" s="1">
        <v>13.006691</v>
      </c>
      <c r="E6283" s="1">
        <v>80.252136</v>
      </c>
      <c r="F6283" s="1">
        <v>805.0</v>
      </c>
      <c r="G6283" s="1">
        <v>35.0</v>
      </c>
    </row>
    <row r="6284">
      <c r="A6284" s="1" t="s">
        <v>7</v>
      </c>
      <c r="B6284" s="2">
        <v>44729.0</v>
      </c>
      <c r="C6284" s="3">
        <v>0.7513773148148148</v>
      </c>
      <c r="D6284" s="1">
        <v>12.646707</v>
      </c>
      <c r="E6284" s="1">
        <v>79.940313</v>
      </c>
      <c r="F6284" s="1">
        <v>2846.0</v>
      </c>
      <c r="G6284" s="1">
        <v>51.0</v>
      </c>
    </row>
    <row r="6285">
      <c r="A6285" s="1" t="s">
        <v>7</v>
      </c>
      <c r="B6285" s="2">
        <v>44729.0</v>
      </c>
      <c r="C6285" s="3">
        <v>0.7527893518518518</v>
      </c>
      <c r="D6285" s="1">
        <v>13.007657</v>
      </c>
      <c r="E6285" s="1">
        <v>80.258732</v>
      </c>
      <c r="F6285" s="1">
        <v>805.0</v>
      </c>
      <c r="G6285" s="1">
        <v>12.0</v>
      </c>
    </row>
    <row r="6286">
      <c r="A6286" s="1" t="s">
        <v>8</v>
      </c>
      <c r="B6286" s="2">
        <v>44729.0</v>
      </c>
      <c r="C6286" s="3">
        <v>0.7535648148148149</v>
      </c>
      <c r="D6286" s="1">
        <v>13.039166</v>
      </c>
      <c r="E6286" s="1">
        <v>80.246902</v>
      </c>
      <c r="F6286" s="1">
        <v>5339.0</v>
      </c>
      <c r="G6286" s="1">
        <v>21.0</v>
      </c>
    </row>
    <row r="6287">
      <c r="A6287" s="1" t="s">
        <v>8</v>
      </c>
      <c r="B6287" s="2">
        <v>44729.0</v>
      </c>
      <c r="C6287" s="3">
        <v>0.7538773148148148</v>
      </c>
      <c r="D6287" s="1">
        <v>13.040656</v>
      </c>
      <c r="E6287" s="1">
        <v>80.247163</v>
      </c>
      <c r="F6287" s="1">
        <v>5339.0</v>
      </c>
      <c r="G6287" s="1">
        <v>20.0</v>
      </c>
    </row>
    <row r="6288">
      <c r="A6288" s="1" t="s">
        <v>7</v>
      </c>
      <c r="B6288" s="2">
        <v>44729.0</v>
      </c>
      <c r="C6288" s="3">
        <v>0.7541203703703704</v>
      </c>
      <c r="D6288" s="1">
        <v>12.623395</v>
      </c>
      <c r="E6288" s="1">
        <v>79.928345</v>
      </c>
      <c r="F6288" s="1">
        <v>2846.0</v>
      </c>
      <c r="G6288" s="1">
        <v>57.0</v>
      </c>
    </row>
    <row r="6289">
      <c r="A6289" s="1" t="s">
        <v>7</v>
      </c>
      <c r="B6289" s="2">
        <v>44729.0</v>
      </c>
      <c r="C6289" s="3">
        <v>0.7544328703703703</v>
      </c>
      <c r="D6289" s="1">
        <v>12.61927</v>
      </c>
      <c r="E6289" s="1">
        <v>79.926937</v>
      </c>
      <c r="F6289" s="1">
        <v>2846.0</v>
      </c>
      <c r="G6289" s="1">
        <v>58.0</v>
      </c>
    </row>
    <row r="6290">
      <c r="A6290" s="1" t="s">
        <v>7</v>
      </c>
      <c r="B6290" s="2">
        <v>44729.0</v>
      </c>
      <c r="C6290" s="3">
        <v>0.7545023148148148</v>
      </c>
      <c r="D6290" s="1">
        <v>12.617843</v>
      </c>
      <c r="E6290" s="1">
        <v>79.926594</v>
      </c>
      <c r="F6290" s="1">
        <v>2846.0</v>
      </c>
      <c r="G6290" s="1">
        <v>57.0</v>
      </c>
    </row>
    <row r="6291">
      <c r="A6291" s="1" t="s">
        <v>7</v>
      </c>
      <c r="B6291" s="2">
        <v>44729.0</v>
      </c>
      <c r="C6291" s="3">
        <v>0.7553935185185185</v>
      </c>
      <c r="D6291" s="1">
        <v>12.609107</v>
      </c>
      <c r="E6291" s="1">
        <v>79.922203</v>
      </c>
      <c r="F6291" s="1">
        <v>2846.0</v>
      </c>
      <c r="G6291" s="1">
        <v>43.0</v>
      </c>
    </row>
    <row r="6292">
      <c r="A6292" s="1" t="s">
        <v>8</v>
      </c>
      <c r="B6292" s="2">
        <v>44729.0</v>
      </c>
      <c r="C6292" s="3">
        <v>0.7556597222222222</v>
      </c>
      <c r="D6292" s="1">
        <v>13.047134</v>
      </c>
      <c r="E6292" s="1">
        <v>80.248469</v>
      </c>
      <c r="F6292" s="1">
        <v>5339.0</v>
      </c>
      <c r="G6292" s="1">
        <v>25.0</v>
      </c>
    </row>
    <row r="6293">
      <c r="A6293" s="1" t="s">
        <v>8</v>
      </c>
      <c r="B6293" s="2">
        <v>44729.0</v>
      </c>
      <c r="C6293" s="3">
        <v>0.7557175925925926</v>
      </c>
      <c r="D6293" s="1">
        <v>13.047134</v>
      </c>
      <c r="E6293" s="1">
        <v>80.248469</v>
      </c>
      <c r="F6293" s="1">
        <v>5339.0</v>
      </c>
      <c r="G6293" s="1">
        <v>25.0</v>
      </c>
    </row>
    <row r="6294">
      <c r="A6294" s="1" t="s">
        <v>9</v>
      </c>
      <c r="B6294" s="2">
        <v>44729.0</v>
      </c>
      <c r="C6294" s="3">
        <v>0.7558912037037037</v>
      </c>
      <c r="D6294" s="1">
        <v>13.04834</v>
      </c>
      <c r="E6294" s="1">
        <v>80.249423</v>
      </c>
      <c r="F6294" s="1">
        <v>5339.0</v>
      </c>
      <c r="G6294" s="1">
        <v>43.0</v>
      </c>
    </row>
    <row r="6295">
      <c r="A6295" s="1" t="s">
        <v>8</v>
      </c>
      <c r="B6295" s="2">
        <v>44729.0</v>
      </c>
      <c r="C6295" s="3">
        <v>0.7561689814814815</v>
      </c>
      <c r="D6295" s="1">
        <v>13.051508</v>
      </c>
      <c r="E6295" s="1">
        <v>80.250221</v>
      </c>
      <c r="F6295" s="1">
        <v>5339.0</v>
      </c>
      <c r="G6295" s="1">
        <v>34.0</v>
      </c>
    </row>
    <row r="6296">
      <c r="A6296" s="1" t="s">
        <v>7</v>
      </c>
      <c r="B6296" s="2">
        <v>44729.0</v>
      </c>
      <c r="C6296" s="3">
        <v>0.7565972222222223</v>
      </c>
      <c r="D6296" s="1">
        <v>12.59383</v>
      </c>
      <c r="E6296" s="1">
        <v>79.919267</v>
      </c>
      <c r="F6296" s="1">
        <v>2846.0</v>
      </c>
      <c r="G6296" s="1">
        <v>58.0</v>
      </c>
    </row>
    <row r="6297">
      <c r="A6297" s="1" t="s">
        <v>8</v>
      </c>
      <c r="B6297" s="2">
        <v>44729.0</v>
      </c>
      <c r="C6297" s="3">
        <v>0.7573263888888889</v>
      </c>
      <c r="D6297" s="1">
        <v>13.020255</v>
      </c>
      <c r="E6297" s="1">
        <v>80.262546</v>
      </c>
      <c r="F6297" s="1">
        <v>805.0</v>
      </c>
      <c r="G6297" s="1">
        <v>11.0</v>
      </c>
    </row>
    <row r="6298">
      <c r="A6298" s="1" t="s">
        <v>8</v>
      </c>
      <c r="B6298" s="2">
        <v>44729.0</v>
      </c>
      <c r="C6298" s="3">
        <v>0.757349537037037</v>
      </c>
      <c r="D6298" s="1">
        <v>13.020898</v>
      </c>
      <c r="E6298" s="1">
        <v>80.262834</v>
      </c>
      <c r="F6298" s="1">
        <v>805.0</v>
      </c>
      <c r="G6298" s="1">
        <v>6.0</v>
      </c>
    </row>
    <row r="6299">
      <c r="A6299" s="1" t="s">
        <v>8</v>
      </c>
      <c r="B6299" s="2">
        <v>44729.0</v>
      </c>
      <c r="C6299" s="3">
        <v>0.7573842592592592</v>
      </c>
      <c r="D6299" s="1">
        <v>13.020898</v>
      </c>
      <c r="E6299" s="1">
        <v>80.262834</v>
      </c>
      <c r="F6299" s="1">
        <v>805.0</v>
      </c>
      <c r="G6299" s="1">
        <v>6.0</v>
      </c>
    </row>
    <row r="6300">
      <c r="A6300" s="1" t="s">
        <v>7</v>
      </c>
      <c r="B6300" s="2">
        <v>44729.0</v>
      </c>
      <c r="C6300" s="3">
        <v>0.7576851851851852</v>
      </c>
      <c r="D6300" s="1">
        <v>12.581032</v>
      </c>
      <c r="E6300" s="1">
        <v>79.918759</v>
      </c>
      <c r="F6300" s="1">
        <v>2846.0</v>
      </c>
      <c r="G6300" s="1">
        <v>55.0</v>
      </c>
    </row>
    <row r="6301">
      <c r="A6301" s="1" t="s">
        <v>7</v>
      </c>
      <c r="B6301" s="2">
        <v>44729.0</v>
      </c>
      <c r="C6301" s="3">
        <v>0.7588773148148148</v>
      </c>
      <c r="D6301" s="1">
        <v>12.565703</v>
      </c>
      <c r="E6301" s="1">
        <v>79.914509</v>
      </c>
      <c r="F6301" s="1">
        <v>2846.0</v>
      </c>
      <c r="G6301" s="1">
        <v>57.0</v>
      </c>
    </row>
    <row r="6302">
      <c r="A6302" s="1" t="s">
        <v>7</v>
      </c>
      <c r="B6302" s="2">
        <v>44729.0</v>
      </c>
      <c r="C6302" s="3">
        <v>0.7593402777777778</v>
      </c>
      <c r="D6302" s="1">
        <v>12.560608</v>
      </c>
      <c r="E6302" s="1">
        <v>79.911641</v>
      </c>
      <c r="F6302" s="1">
        <v>2846.0</v>
      </c>
      <c r="G6302" s="1">
        <v>57.0</v>
      </c>
    </row>
    <row r="6303">
      <c r="A6303" s="1" t="s">
        <v>7</v>
      </c>
      <c r="B6303" s="2">
        <v>44729.0</v>
      </c>
      <c r="C6303" s="3">
        <v>0.7595023148148148</v>
      </c>
      <c r="D6303" s="1">
        <v>12.559328</v>
      </c>
      <c r="E6303" s="1">
        <v>79.910925</v>
      </c>
      <c r="F6303" s="1">
        <v>2846.0</v>
      </c>
      <c r="G6303" s="1">
        <v>58.0</v>
      </c>
    </row>
    <row r="6304">
      <c r="A6304" s="1" t="s">
        <v>7</v>
      </c>
      <c r="B6304" s="2">
        <v>44729.0</v>
      </c>
      <c r="C6304" s="3">
        <v>0.7605555555555555</v>
      </c>
      <c r="D6304" s="1">
        <v>12.547484</v>
      </c>
      <c r="E6304" s="1">
        <v>79.905707</v>
      </c>
      <c r="F6304" s="1">
        <v>2846.0</v>
      </c>
      <c r="G6304" s="1">
        <v>58.0</v>
      </c>
    </row>
    <row r="6305">
      <c r="A6305" s="1" t="s">
        <v>10</v>
      </c>
      <c r="B6305" s="2">
        <v>44729.0</v>
      </c>
      <c r="C6305" s="3">
        <v>0.7608101851851852</v>
      </c>
      <c r="D6305" s="1">
        <v>13.057336</v>
      </c>
      <c r="E6305" s="1">
        <v>80.257715</v>
      </c>
      <c r="F6305" s="1">
        <v>5339.0</v>
      </c>
      <c r="G6305" s="1">
        <v>13.0</v>
      </c>
    </row>
    <row r="6306">
      <c r="A6306" s="1" t="s">
        <v>7</v>
      </c>
      <c r="B6306" s="2">
        <v>44729.0</v>
      </c>
      <c r="C6306" s="3">
        <v>0.7612152777777778</v>
      </c>
      <c r="D6306" s="1">
        <v>12.539859</v>
      </c>
      <c r="E6306" s="1">
        <v>79.90426</v>
      </c>
      <c r="F6306" s="1">
        <v>2846.0</v>
      </c>
      <c r="G6306" s="1">
        <v>57.0</v>
      </c>
    </row>
    <row r="6307">
      <c r="A6307" s="1" t="s">
        <v>10</v>
      </c>
      <c r="B6307" s="2">
        <v>44729.0</v>
      </c>
      <c r="C6307" s="3">
        <v>0.7612962962962962</v>
      </c>
      <c r="D6307" s="1">
        <v>13.057336</v>
      </c>
      <c r="E6307" s="1">
        <v>80.257715</v>
      </c>
      <c r="F6307" s="1">
        <v>5339.0</v>
      </c>
      <c r="G6307" s="1">
        <v>13.0</v>
      </c>
    </row>
    <row r="6308">
      <c r="A6308" s="1" t="s">
        <v>7</v>
      </c>
      <c r="B6308" s="2">
        <v>44729.0</v>
      </c>
      <c r="C6308" s="3">
        <v>0.7615277777777778</v>
      </c>
      <c r="D6308" s="1">
        <v>12.537169</v>
      </c>
      <c r="E6308" s="1">
        <v>79.903252</v>
      </c>
      <c r="F6308" s="1">
        <v>2846.0</v>
      </c>
      <c r="G6308" s="1">
        <v>56.0</v>
      </c>
    </row>
    <row r="6309">
      <c r="A6309" s="1" t="s">
        <v>10</v>
      </c>
      <c r="B6309" s="2">
        <v>44729.0</v>
      </c>
      <c r="C6309" s="3">
        <v>0.7624537037037037</v>
      </c>
      <c r="D6309" s="1">
        <v>13.057336</v>
      </c>
      <c r="E6309" s="1">
        <v>80.257715</v>
      </c>
      <c r="F6309" s="1">
        <v>5339.0</v>
      </c>
      <c r="G6309" s="1">
        <v>13.0</v>
      </c>
    </row>
    <row r="6310">
      <c r="A6310" s="1" t="s">
        <v>10</v>
      </c>
      <c r="B6310" s="2">
        <v>44729.0</v>
      </c>
      <c r="C6310" s="3">
        <v>0.7633101851851852</v>
      </c>
      <c r="D6310" s="1">
        <v>13.057336</v>
      </c>
      <c r="E6310" s="1">
        <v>80.257715</v>
      </c>
      <c r="F6310" s="1">
        <v>5339.0</v>
      </c>
      <c r="G6310" s="1">
        <v>13.0</v>
      </c>
    </row>
    <row r="6311">
      <c r="A6311" s="1" t="s">
        <v>10</v>
      </c>
      <c r="B6311" s="2">
        <v>44729.0</v>
      </c>
      <c r="C6311" s="3">
        <v>0.7645717592592592</v>
      </c>
      <c r="D6311" s="1">
        <v>12.513463</v>
      </c>
      <c r="E6311" s="1">
        <v>79.887198</v>
      </c>
      <c r="F6311" s="1">
        <v>2846.0</v>
      </c>
      <c r="G6311" s="1">
        <v>32.0</v>
      </c>
    </row>
    <row r="6312">
      <c r="A6312" s="1" t="s">
        <v>10</v>
      </c>
      <c r="B6312" s="2">
        <v>44729.0</v>
      </c>
      <c r="C6312" s="3">
        <v>0.7646296296296297</v>
      </c>
      <c r="D6312" s="1">
        <v>13.057336</v>
      </c>
      <c r="E6312" s="1">
        <v>80.257715</v>
      </c>
      <c r="F6312" s="1">
        <v>5339.0</v>
      </c>
      <c r="G6312" s="1">
        <v>13.0</v>
      </c>
    </row>
    <row r="6313">
      <c r="A6313" s="1" t="s">
        <v>10</v>
      </c>
      <c r="B6313" s="2">
        <v>44729.0</v>
      </c>
      <c r="C6313" s="3">
        <v>0.7646990740740741</v>
      </c>
      <c r="D6313" s="1">
        <v>13.057336</v>
      </c>
      <c r="E6313" s="1">
        <v>80.257715</v>
      </c>
      <c r="F6313" s="1">
        <v>5339.0</v>
      </c>
      <c r="G6313" s="1">
        <v>13.0</v>
      </c>
    </row>
    <row r="6314">
      <c r="A6314" s="1" t="s">
        <v>10</v>
      </c>
      <c r="B6314" s="2">
        <v>44729.0</v>
      </c>
      <c r="C6314" s="3">
        <v>0.7648611111111111</v>
      </c>
      <c r="D6314" s="1">
        <v>13.057336</v>
      </c>
      <c r="E6314" s="1">
        <v>80.257715</v>
      </c>
      <c r="F6314" s="1">
        <v>5339.0</v>
      </c>
      <c r="G6314" s="1">
        <v>13.0</v>
      </c>
    </row>
    <row r="6315">
      <c r="A6315" s="1" t="s">
        <v>8</v>
      </c>
      <c r="B6315" s="2">
        <v>44729.0</v>
      </c>
      <c r="C6315" s="3">
        <v>0.7649421296296296</v>
      </c>
      <c r="D6315" s="1">
        <v>13.041843</v>
      </c>
      <c r="E6315" s="1">
        <v>80.268137</v>
      </c>
      <c r="F6315" s="1">
        <v>805.0</v>
      </c>
      <c r="G6315" s="1">
        <v>30.0</v>
      </c>
    </row>
    <row r="6316">
      <c r="A6316" s="1" t="s">
        <v>10</v>
      </c>
      <c r="B6316" s="2">
        <v>44729.0</v>
      </c>
      <c r="C6316" s="3">
        <v>0.7651041666666667</v>
      </c>
      <c r="D6316" s="1">
        <v>13.057336</v>
      </c>
      <c r="E6316" s="1">
        <v>80.257715</v>
      </c>
      <c r="F6316" s="1">
        <v>5339.0</v>
      </c>
      <c r="G6316" s="1">
        <v>13.0</v>
      </c>
    </row>
    <row r="6317">
      <c r="A6317" s="1" t="s">
        <v>10</v>
      </c>
      <c r="B6317" s="2">
        <v>44729.0</v>
      </c>
      <c r="C6317" s="3">
        <v>0.7652199074074074</v>
      </c>
      <c r="D6317" s="1">
        <v>13.057336</v>
      </c>
      <c r="E6317" s="1">
        <v>80.257715</v>
      </c>
      <c r="F6317" s="1">
        <v>5339.0</v>
      </c>
      <c r="G6317" s="1">
        <v>13.0</v>
      </c>
    </row>
    <row r="6318">
      <c r="A6318" s="1" t="s">
        <v>10</v>
      </c>
      <c r="B6318" s="2">
        <v>44729.0</v>
      </c>
      <c r="C6318" s="3">
        <v>0.7657060185185185</v>
      </c>
      <c r="D6318" s="1">
        <v>13.057336</v>
      </c>
      <c r="E6318" s="1">
        <v>80.257715</v>
      </c>
      <c r="F6318" s="1">
        <v>5339.0</v>
      </c>
      <c r="G6318" s="1">
        <v>13.0</v>
      </c>
    </row>
    <row r="6319">
      <c r="A6319" s="1" t="s">
        <v>10</v>
      </c>
      <c r="B6319" s="2">
        <v>44729.0</v>
      </c>
      <c r="C6319" s="3">
        <v>0.7657175925925926</v>
      </c>
      <c r="D6319" s="1">
        <v>12.509826</v>
      </c>
      <c r="E6319" s="1">
        <v>79.88486</v>
      </c>
      <c r="F6319" s="1">
        <v>2846.0</v>
      </c>
      <c r="G6319" s="1">
        <v>18.0</v>
      </c>
    </row>
    <row r="6320">
      <c r="A6320" s="1" t="s">
        <v>10</v>
      </c>
      <c r="B6320" s="2">
        <v>44729.0</v>
      </c>
      <c r="C6320" s="3">
        <v>0.7664004629629629</v>
      </c>
      <c r="D6320" s="1">
        <v>12.509126</v>
      </c>
      <c r="E6320" s="1">
        <v>79.884773</v>
      </c>
      <c r="F6320" s="1">
        <v>2846.0</v>
      </c>
      <c r="G6320" s="1">
        <v>10.0</v>
      </c>
    </row>
    <row r="6321">
      <c r="A6321" s="1" t="s">
        <v>10</v>
      </c>
      <c r="B6321" s="2">
        <v>44729.0</v>
      </c>
      <c r="C6321" s="3">
        <v>0.7670254629629629</v>
      </c>
      <c r="D6321" s="1">
        <v>13.060993</v>
      </c>
      <c r="E6321" s="1">
        <v>80.274284</v>
      </c>
      <c r="F6321" s="1">
        <v>5339.0</v>
      </c>
      <c r="G6321" s="1">
        <v>1.0</v>
      </c>
    </row>
    <row r="6322">
      <c r="A6322" s="1" t="s">
        <v>10</v>
      </c>
      <c r="B6322" s="2">
        <v>44729.0</v>
      </c>
      <c r="C6322" s="3">
        <v>0.7681828703703704</v>
      </c>
      <c r="D6322" s="1">
        <v>13.065042</v>
      </c>
      <c r="E6322" s="1">
        <v>80.273798</v>
      </c>
      <c r="F6322" s="1">
        <v>5339.0</v>
      </c>
      <c r="G6322" s="1">
        <v>13.0</v>
      </c>
    </row>
    <row r="6323">
      <c r="A6323" s="1" t="s">
        <v>8</v>
      </c>
      <c r="B6323" s="2">
        <v>44729.0</v>
      </c>
      <c r="C6323" s="3">
        <v>0.768425925925926</v>
      </c>
      <c r="D6323" s="1">
        <v>12.501234</v>
      </c>
      <c r="E6323" s="1">
        <v>79.876329</v>
      </c>
      <c r="F6323" s="1">
        <v>2846.0</v>
      </c>
      <c r="G6323" s="1">
        <v>53.0</v>
      </c>
    </row>
    <row r="6324">
      <c r="A6324" s="1" t="s">
        <v>8</v>
      </c>
      <c r="B6324" s="2">
        <v>44729.0</v>
      </c>
      <c r="C6324" s="3">
        <v>0.769074074074074</v>
      </c>
      <c r="D6324" s="1">
        <v>13.067221</v>
      </c>
      <c r="E6324" s="1">
        <v>80.273019</v>
      </c>
      <c r="F6324" s="1">
        <v>5339.0</v>
      </c>
      <c r="G6324" s="1">
        <v>25.0</v>
      </c>
    </row>
    <row r="6325">
      <c r="A6325" s="1" t="s">
        <v>8</v>
      </c>
      <c r="B6325" s="2">
        <v>44729.0</v>
      </c>
      <c r="C6325" s="3">
        <v>0.7690856481481482</v>
      </c>
      <c r="D6325" s="1">
        <v>13.067221</v>
      </c>
      <c r="E6325" s="1">
        <v>80.273019</v>
      </c>
      <c r="F6325" s="1">
        <v>5339.0</v>
      </c>
      <c r="G6325" s="1">
        <v>25.0</v>
      </c>
    </row>
    <row r="6326">
      <c r="A6326" s="1" t="s">
        <v>8</v>
      </c>
      <c r="B6326" s="2">
        <v>44729.0</v>
      </c>
      <c r="C6326" s="3">
        <v>0.7690972222222222</v>
      </c>
      <c r="D6326" s="1">
        <v>13.067221</v>
      </c>
      <c r="E6326" s="1">
        <v>80.273019</v>
      </c>
      <c r="F6326" s="1">
        <v>5339.0</v>
      </c>
      <c r="G6326" s="1">
        <v>25.0</v>
      </c>
    </row>
    <row r="6327">
      <c r="A6327" s="1" t="s">
        <v>8</v>
      </c>
      <c r="B6327" s="2">
        <v>44729.0</v>
      </c>
      <c r="C6327" s="3">
        <v>0.7691666666666667</v>
      </c>
      <c r="D6327" s="1">
        <v>13.067699</v>
      </c>
      <c r="E6327" s="1">
        <v>80.272458</v>
      </c>
      <c r="F6327" s="1">
        <v>5339.0</v>
      </c>
      <c r="G6327" s="1">
        <v>25.0</v>
      </c>
    </row>
    <row r="6328">
      <c r="A6328" s="1" t="s">
        <v>8</v>
      </c>
      <c r="B6328" s="2">
        <v>44729.0</v>
      </c>
      <c r="C6328" s="3">
        <v>0.7691782407407407</v>
      </c>
      <c r="D6328" s="1">
        <v>13.067699</v>
      </c>
      <c r="E6328" s="1">
        <v>80.272458</v>
      </c>
      <c r="F6328" s="1">
        <v>5339.0</v>
      </c>
      <c r="G6328" s="1">
        <v>25.0</v>
      </c>
    </row>
    <row r="6329">
      <c r="A6329" s="1" t="s">
        <v>10</v>
      </c>
      <c r="B6329" s="2">
        <v>44729.0</v>
      </c>
      <c r="C6329" s="3">
        <v>0.7697337962962963</v>
      </c>
      <c r="D6329" s="1">
        <v>13.067699</v>
      </c>
      <c r="E6329" s="1">
        <v>80.272458</v>
      </c>
      <c r="F6329" s="1">
        <v>5339.0</v>
      </c>
      <c r="G6329" s="1">
        <v>25.0</v>
      </c>
    </row>
    <row r="6330">
      <c r="A6330" s="1" t="s">
        <v>10</v>
      </c>
      <c r="B6330" s="2">
        <v>44729.0</v>
      </c>
      <c r="C6330" s="3">
        <v>0.7715625</v>
      </c>
      <c r="D6330" s="1">
        <v>13.067699</v>
      </c>
      <c r="E6330" s="1">
        <v>80.272458</v>
      </c>
      <c r="F6330" s="1">
        <v>5339.0</v>
      </c>
      <c r="G6330" s="1">
        <v>25.0</v>
      </c>
    </row>
    <row r="6331">
      <c r="A6331" s="1" t="s">
        <v>7</v>
      </c>
      <c r="B6331" s="2">
        <v>44729.0</v>
      </c>
      <c r="C6331" s="3">
        <v>0.7715856481481481</v>
      </c>
      <c r="D6331" s="1">
        <v>12.500295</v>
      </c>
      <c r="E6331" s="1">
        <v>79.875373</v>
      </c>
      <c r="F6331" s="1">
        <v>2846.0</v>
      </c>
      <c r="G6331" s="1">
        <v>51.0</v>
      </c>
    </row>
    <row r="6332">
      <c r="A6332" s="1" t="s">
        <v>10</v>
      </c>
      <c r="B6332" s="2">
        <v>44729.0</v>
      </c>
      <c r="C6332" s="3">
        <v>0.7718287037037037</v>
      </c>
      <c r="D6332" s="1">
        <v>13.067699</v>
      </c>
      <c r="E6332" s="1">
        <v>80.272458</v>
      </c>
      <c r="F6332" s="1">
        <v>5339.0</v>
      </c>
      <c r="G6332" s="1">
        <v>25.0</v>
      </c>
    </row>
    <row r="6333">
      <c r="A6333" s="1" t="s">
        <v>10</v>
      </c>
      <c r="B6333" s="2">
        <v>44729.0</v>
      </c>
      <c r="C6333" s="3">
        <v>0.7722569444444445</v>
      </c>
      <c r="D6333" s="1">
        <v>13.067699</v>
      </c>
      <c r="E6333" s="1">
        <v>80.272458</v>
      </c>
      <c r="F6333" s="1">
        <v>5339.0</v>
      </c>
      <c r="G6333" s="1">
        <v>25.0</v>
      </c>
    </row>
    <row r="6334">
      <c r="A6334" s="1" t="s">
        <v>7</v>
      </c>
      <c r="B6334" s="2">
        <v>44729.0</v>
      </c>
      <c r="C6334" s="3">
        <v>0.7734375</v>
      </c>
      <c r="D6334" s="1">
        <v>12.515805</v>
      </c>
      <c r="E6334" s="1">
        <v>79.887441</v>
      </c>
      <c r="F6334" s="1">
        <v>2846.0</v>
      </c>
      <c r="G6334" s="1">
        <v>55.0</v>
      </c>
    </row>
    <row r="6335">
      <c r="A6335" s="1" t="s">
        <v>7</v>
      </c>
      <c r="B6335" s="2">
        <v>44729.0</v>
      </c>
      <c r="C6335" s="3">
        <v>0.7749421296296296</v>
      </c>
      <c r="D6335" s="1">
        <v>12.528866</v>
      </c>
      <c r="E6335" s="1">
        <v>79.898824</v>
      </c>
      <c r="F6335" s="1">
        <v>2846.0</v>
      </c>
      <c r="G6335" s="1">
        <v>52.0</v>
      </c>
    </row>
    <row r="6336">
      <c r="A6336" s="1" t="s">
        <v>8</v>
      </c>
      <c r="B6336" s="2">
        <v>44729.0</v>
      </c>
      <c r="C6336" s="3">
        <v>0.7769097222222222</v>
      </c>
      <c r="D6336" s="1">
        <v>13.066827</v>
      </c>
      <c r="E6336" s="1">
        <v>80.254071</v>
      </c>
      <c r="F6336" s="1">
        <v>5339.0</v>
      </c>
      <c r="G6336" s="1">
        <v>24.0</v>
      </c>
    </row>
    <row r="6337">
      <c r="A6337" s="1" t="s">
        <v>8</v>
      </c>
      <c r="B6337" s="2">
        <v>44729.0</v>
      </c>
      <c r="C6337" s="3">
        <v>0.7769212962962962</v>
      </c>
      <c r="D6337" s="1">
        <v>13.066827</v>
      </c>
      <c r="E6337" s="1">
        <v>80.254071</v>
      </c>
      <c r="F6337" s="1">
        <v>5339.0</v>
      </c>
      <c r="G6337" s="1">
        <v>24.0</v>
      </c>
    </row>
    <row r="6338">
      <c r="A6338" s="1" t="s">
        <v>8</v>
      </c>
      <c r="B6338" s="2">
        <v>44729.0</v>
      </c>
      <c r="C6338" s="3">
        <v>0.7769444444444444</v>
      </c>
      <c r="D6338" s="1">
        <v>13.066827</v>
      </c>
      <c r="E6338" s="1">
        <v>80.254071</v>
      </c>
      <c r="F6338" s="1">
        <v>5339.0</v>
      </c>
      <c r="G6338" s="1">
        <v>24.0</v>
      </c>
    </row>
    <row r="6339">
      <c r="A6339" s="1" t="s">
        <v>8</v>
      </c>
      <c r="B6339" s="2">
        <v>44729.0</v>
      </c>
      <c r="C6339" s="3">
        <v>0.7770717592592593</v>
      </c>
      <c r="D6339" s="1">
        <v>13.067269</v>
      </c>
      <c r="E6339" s="1">
        <v>80.2537</v>
      </c>
      <c r="F6339" s="1">
        <v>5339.0</v>
      </c>
      <c r="G6339" s="1">
        <v>26.0</v>
      </c>
    </row>
    <row r="6340">
      <c r="A6340" s="1" t="s">
        <v>8</v>
      </c>
      <c r="B6340" s="2">
        <v>44729.0</v>
      </c>
      <c r="C6340" s="3">
        <v>0.7770833333333333</v>
      </c>
      <c r="D6340" s="1">
        <v>13.067269</v>
      </c>
      <c r="E6340" s="1">
        <v>80.2537</v>
      </c>
      <c r="F6340" s="1">
        <v>5339.0</v>
      </c>
      <c r="G6340" s="1">
        <v>26.0</v>
      </c>
    </row>
    <row r="6341">
      <c r="A6341" s="1" t="s">
        <v>8</v>
      </c>
      <c r="B6341" s="2">
        <v>44729.0</v>
      </c>
      <c r="C6341" s="3">
        <v>0.7770833333333333</v>
      </c>
      <c r="D6341" s="1">
        <v>13.067269</v>
      </c>
      <c r="E6341" s="1">
        <v>80.2537</v>
      </c>
      <c r="F6341" s="1">
        <v>5339.0</v>
      </c>
      <c r="G6341" s="1">
        <v>26.0</v>
      </c>
    </row>
    <row r="6342">
      <c r="A6342" s="1" t="s">
        <v>8</v>
      </c>
      <c r="B6342" s="2">
        <v>44729.0</v>
      </c>
      <c r="C6342" s="3">
        <v>0.7770949074074074</v>
      </c>
      <c r="D6342" s="1">
        <v>13.067269</v>
      </c>
      <c r="E6342" s="1">
        <v>80.2537</v>
      </c>
      <c r="F6342" s="1">
        <v>5339.0</v>
      </c>
      <c r="G6342" s="1">
        <v>26.0</v>
      </c>
    </row>
    <row r="6343">
      <c r="A6343" s="1" t="s">
        <v>9</v>
      </c>
      <c r="B6343" s="2">
        <v>44729.0</v>
      </c>
      <c r="C6343" s="3">
        <v>0.7772453703703703</v>
      </c>
      <c r="D6343" s="1">
        <v>13.068183</v>
      </c>
      <c r="E6343" s="1">
        <v>80.25261</v>
      </c>
      <c r="F6343" s="1">
        <v>5339.0</v>
      </c>
      <c r="G6343" s="1">
        <v>26.0</v>
      </c>
    </row>
    <row r="6344">
      <c r="A6344" s="1" t="s">
        <v>7</v>
      </c>
      <c r="B6344" s="2">
        <v>44729.0</v>
      </c>
      <c r="C6344" s="3">
        <v>0.7774074074074074</v>
      </c>
      <c r="D6344" s="1">
        <v>12.5498</v>
      </c>
      <c r="E6344" s="1">
        <v>79.90605</v>
      </c>
      <c r="F6344" s="1">
        <v>2846.0</v>
      </c>
      <c r="G6344" s="1">
        <v>51.0</v>
      </c>
    </row>
    <row r="6345">
      <c r="A6345" s="1" t="s">
        <v>9</v>
      </c>
      <c r="B6345" s="2">
        <v>44729.0</v>
      </c>
      <c r="C6345" s="3">
        <v>0.7775</v>
      </c>
      <c r="D6345" s="1">
        <v>12.551627</v>
      </c>
      <c r="E6345" s="1">
        <v>79.906739</v>
      </c>
      <c r="F6345" s="1">
        <v>2846.0</v>
      </c>
      <c r="G6345" s="1">
        <v>52.0</v>
      </c>
    </row>
    <row r="6346">
      <c r="A6346" s="1" t="s">
        <v>10</v>
      </c>
      <c r="B6346" s="2">
        <v>44729.0</v>
      </c>
      <c r="C6346" s="3">
        <v>0.7778472222222222</v>
      </c>
      <c r="D6346" s="1">
        <v>13.06376</v>
      </c>
      <c r="E6346" s="1">
        <v>80.260032</v>
      </c>
      <c r="F6346" s="1">
        <v>805.0</v>
      </c>
      <c r="G6346" s="1">
        <v>0.0</v>
      </c>
    </row>
    <row r="6347">
      <c r="A6347" s="1" t="s">
        <v>7</v>
      </c>
      <c r="B6347" s="2">
        <v>44729.0</v>
      </c>
      <c r="C6347" s="3">
        <v>0.778275462962963</v>
      </c>
      <c r="D6347" s="1">
        <v>12.557219</v>
      </c>
      <c r="E6347" s="1">
        <v>79.90957</v>
      </c>
      <c r="F6347" s="1">
        <v>2846.0</v>
      </c>
      <c r="G6347" s="1">
        <v>41.0</v>
      </c>
    </row>
    <row r="6348">
      <c r="A6348" s="1" t="s">
        <v>7</v>
      </c>
      <c r="B6348" s="2">
        <v>44729.0</v>
      </c>
      <c r="C6348" s="3">
        <v>0.7784722222222222</v>
      </c>
      <c r="D6348" s="1">
        <v>12.558774</v>
      </c>
      <c r="E6348" s="1">
        <v>79.910488</v>
      </c>
      <c r="F6348" s="1">
        <v>2846.0</v>
      </c>
      <c r="G6348" s="1">
        <v>53.0</v>
      </c>
    </row>
    <row r="6349">
      <c r="A6349" s="1" t="s">
        <v>10</v>
      </c>
      <c r="B6349" s="2">
        <v>44729.0</v>
      </c>
      <c r="C6349" s="3">
        <v>0.7792708333333334</v>
      </c>
      <c r="D6349" s="1">
        <v>13.06417</v>
      </c>
      <c r="E6349" s="1">
        <v>80.24909</v>
      </c>
      <c r="F6349" s="1">
        <v>5339.0</v>
      </c>
      <c r="G6349" s="1">
        <v>22.0</v>
      </c>
    </row>
    <row r="6350">
      <c r="A6350" s="1" t="s">
        <v>7</v>
      </c>
      <c r="B6350" s="2">
        <v>44729.0</v>
      </c>
      <c r="C6350" s="3">
        <v>0.7810648148148148</v>
      </c>
      <c r="D6350" s="1">
        <v>12.585567</v>
      </c>
      <c r="E6350" s="1">
        <v>79.919343</v>
      </c>
      <c r="F6350" s="1">
        <v>2846.0</v>
      </c>
      <c r="G6350" s="1">
        <v>51.0</v>
      </c>
    </row>
    <row r="6351">
      <c r="A6351" s="1" t="s">
        <v>10</v>
      </c>
      <c r="B6351" s="2">
        <v>44729.0</v>
      </c>
      <c r="C6351" s="3">
        <v>0.7811805555555555</v>
      </c>
      <c r="D6351" s="1">
        <v>13.067484</v>
      </c>
      <c r="E6351" s="1">
        <v>80.247967</v>
      </c>
      <c r="F6351" s="1">
        <v>805.0</v>
      </c>
      <c r="G6351" s="1">
        <v>27.0</v>
      </c>
    </row>
    <row r="6352">
      <c r="A6352" s="1" t="s">
        <v>7</v>
      </c>
      <c r="B6352" s="2">
        <v>44729.0</v>
      </c>
      <c r="C6352" s="3">
        <v>0.7812847222222222</v>
      </c>
      <c r="D6352" s="1">
        <v>12.589829</v>
      </c>
      <c r="E6352" s="1">
        <v>79.919264</v>
      </c>
      <c r="F6352" s="1">
        <v>2846.0</v>
      </c>
      <c r="G6352" s="1">
        <v>48.0</v>
      </c>
    </row>
    <row r="6353">
      <c r="A6353" s="1" t="s">
        <v>7</v>
      </c>
      <c r="B6353" s="2">
        <v>44729.0</v>
      </c>
      <c r="C6353" s="3">
        <v>0.7830787037037037</v>
      </c>
      <c r="D6353" s="1">
        <v>12.607567</v>
      </c>
      <c r="E6353" s="1">
        <v>79.921202</v>
      </c>
      <c r="F6353" s="1">
        <v>2846.0</v>
      </c>
      <c r="G6353" s="1">
        <v>51.0</v>
      </c>
    </row>
    <row r="6354">
      <c r="A6354" s="1" t="s">
        <v>8</v>
      </c>
      <c r="B6354" s="2">
        <v>44729.0</v>
      </c>
      <c r="C6354" s="3">
        <v>0.7838773148148148</v>
      </c>
      <c r="D6354" s="1">
        <v>12.616397</v>
      </c>
      <c r="E6354" s="1">
        <v>79.926086</v>
      </c>
      <c r="F6354" s="1">
        <v>2846.0</v>
      </c>
      <c r="G6354" s="1">
        <v>39.0</v>
      </c>
    </row>
    <row r="6355">
      <c r="A6355" s="1" t="s">
        <v>7</v>
      </c>
      <c r="B6355" s="2">
        <v>44729.0</v>
      </c>
      <c r="C6355" s="3">
        <v>0.7905324074074074</v>
      </c>
      <c r="D6355" s="1">
        <v>12.656388</v>
      </c>
      <c r="E6355" s="1">
        <v>79.95465</v>
      </c>
      <c r="F6355" s="1">
        <v>2846.0</v>
      </c>
      <c r="G6355" s="1">
        <v>47.0</v>
      </c>
    </row>
    <row r="6356">
      <c r="A6356" s="1" t="s">
        <v>7</v>
      </c>
      <c r="B6356" s="2">
        <v>44729.0</v>
      </c>
      <c r="C6356" s="3">
        <v>0.7919328703703704</v>
      </c>
      <c r="D6356" s="1">
        <v>12.668186</v>
      </c>
      <c r="E6356" s="1">
        <v>79.958613</v>
      </c>
      <c r="F6356" s="1">
        <v>2846.0</v>
      </c>
      <c r="G6356" s="1">
        <v>47.0</v>
      </c>
    </row>
    <row r="6357">
      <c r="A6357" s="1" t="s">
        <v>7</v>
      </c>
      <c r="B6357" s="2">
        <v>44729.0</v>
      </c>
      <c r="C6357" s="3">
        <v>0.7926736111111111</v>
      </c>
      <c r="D6357" s="1">
        <v>12.676657</v>
      </c>
      <c r="E6357" s="1">
        <v>79.958439</v>
      </c>
      <c r="F6357" s="1">
        <v>2846.0</v>
      </c>
      <c r="G6357" s="1">
        <v>53.0</v>
      </c>
    </row>
    <row r="6358">
      <c r="A6358" s="1" t="s">
        <v>7</v>
      </c>
      <c r="B6358" s="2">
        <v>44729.0</v>
      </c>
      <c r="C6358" s="3">
        <v>0.7929282407407408</v>
      </c>
      <c r="D6358" s="1">
        <v>12.67873</v>
      </c>
      <c r="E6358" s="1">
        <v>79.958399</v>
      </c>
      <c r="F6358" s="1">
        <v>2846.0</v>
      </c>
      <c r="G6358" s="1">
        <v>51.0</v>
      </c>
    </row>
    <row r="6359">
      <c r="A6359" s="1" t="s">
        <v>7</v>
      </c>
      <c r="B6359" s="2">
        <v>44729.0</v>
      </c>
      <c r="C6359" s="3">
        <v>0.7958912037037037</v>
      </c>
      <c r="D6359" s="1">
        <v>12.702967</v>
      </c>
      <c r="E6359" s="1">
        <v>79.971088</v>
      </c>
      <c r="F6359" s="1">
        <v>2846.0</v>
      </c>
      <c r="G6359" s="1">
        <v>49.0</v>
      </c>
    </row>
    <row r="6360">
      <c r="A6360" s="1" t="s">
        <v>8</v>
      </c>
      <c r="B6360" s="2">
        <v>44729.0</v>
      </c>
      <c r="C6360" s="3">
        <v>0.7963888888888889</v>
      </c>
      <c r="D6360" s="1">
        <v>12.706798</v>
      </c>
      <c r="E6360" s="1">
        <v>79.975906</v>
      </c>
      <c r="F6360" s="1">
        <v>2846.0</v>
      </c>
      <c r="G6360" s="1">
        <v>52.0</v>
      </c>
    </row>
    <row r="6361">
      <c r="A6361" s="1" t="s">
        <v>7</v>
      </c>
      <c r="B6361" s="2">
        <v>44729.0</v>
      </c>
      <c r="C6361" s="3">
        <v>0.7972337962962963</v>
      </c>
      <c r="D6361" s="1">
        <v>12.71198</v>
      </c>
      <c r="E6361" s="1">
        <v>79.979143</v>
      </c>
      <c r="F6361" s="1">
        <v>2846.0</v>
      </c>
      <c r="G6361" s="1">
        <v>43.0</v>
      </c>
    </row>
    <row r="6362">
      <c r="A6362" s="1" t="s">
        <v>10</v>
      </c>
      <c r="B6362" s="2">
        <v>44729.0</v>
      </c>
      <c r="C6362" s="3">
        <v>0.7977893518518518</v>
      </c>
      <c r="D6362" s="1">
        <v>13.063628</v>
      </c>
      <c r="E6362" s="1">
        <v>80.250552</v>
      </c>
      <c r="F6362" s="1">
        <v>805.0</v>
      </c>
      <c r="G6362" s="1">
        <v>5.0</v>
      </c>
    </row>
    <row r="6363">
      <c r="A6363" s="1" t="s">
        <v>8</v>
      </c>
      <c r="B6363" s="2">
        <v>44729.0</v>
      </c>
      <c r="C6363" s="3">
        <v>0.8005787037037037</v>
      </c>
      <c r="D6363" s="1">
        <v>12.737328</v>
      </c>
      <c r="E6363" s="1">
        <v>79.987757</v>
      </c>
      <c r="F6363" s="1">
        <v>2846.0</v>
      </c>
      <c r="G6363" s="1">
        <v>42.0</v>
      </c>
    </row>
    <row r="6364">
      <c r="A6364" s="1" t="s">
        <v>7</v>
      </c>
      <c r="B6364" s="2">
        <v>44729.0</v>
      </c>
      <c r="C6364" s="3">
        <v>0.8025810185185185</v>
      </c>
      <c r="D6364" s="1">
        <v>12.747423</v>
      </c>
      <c r="E6364" s="1">
        <v>79.995656</v>
      </c>
      <c r="F6364" s="1">
        <v>2846.0</v>
      </c>
      <c r="G6364" s="1">
        <v>43.0</v>
      </c>
    </row>
    <row r="6365">
      <c r="A6365" s="1" t="s">
        <v>8</v>
      </c>
      <c r="B6365" s="2">
        <v>44729.0</v>
      </c>
      <c r="C6365" s="3">
        <v>0.8042824074074074</v>
      </c>
      <c r="D6365" s="1">
        <v>12.76088</v>
      </c>
      <c r="E6365" s="1">
        <v>80.003407</v>
      </c>
      <c r="F6365" s="1">
        <v>2846.0</v>
      </c>
      <c r="G6365" s="1">
        <v>34.0</v>
      </c>
    </row>
    <row r="6366">
      <c r="A6366" s="1" t="s">
        <v>8</v>
      </c>
      <c r="B6366" s="2">
        <v>44729.0</v>
      </c>
      <c r="C6366" s="3">
        <v>0.8049421296296296</v>
      </c>
      <c r="D6366" s="1">
        <v>13.065254</v>
      </c>
      <c r="E6366" s="1">
        <v>80.240816</v>
      </c>
      <c r="F6366" s="1">
        <v>805.0</v>
      </c>
      <c r="G6366" s="1">
        <v>24.0</v>
      </c>
    </row>
    <row r="6367">
      <c r="A6367" s="1" t="s">
        <v>8</v>
      </c>
      <c r="B6367" s="2">
        <v>44729.0</v>
      </c>
      <c r="C6367" s="3">
        <v>0.8068171296296296</v>
      </c>
      <c r="D6367" s="1">
        <v>12.781686</v>
      </c>
      <c r="E6367" s="1">
        <v>80.01241</v>
      </c>
      <c r="F6367" s="1">
        <v>2846.0</v>
      </c>
      <c r="G6367" s="1">
        <v>50.0</v>
      </c>
    </row>
    <row r="6368">
      <c r="A6368" s="1" t="s">
        <v>7</v>
      </c>
      <c r="B6368" s="2">
        <v>44729.0</v>
      </c>
      <c r="C6368" s="3">
        <v>0.8092824074074074</v>
      </c>
      <c r="D6368" s="1">
        <v>12.801446</v>
      </c>
      <c r="E6368" s="1">
        <v>80.024299</v>
      </c>
      <c r="F6368" s="1">
        <v>2846.0</v>
      </c>
      <c r="G6368" s="1">
        <v>53.0</v>
      </c>
    </row>
    <row r="6369">
      <c r="A6369" s="1" t="s">
        <v>7</v>
      </c>
      <c r="B6369" s="2">
        <v>44729.0</v>
      </c>
      <c r="C6369" s="3">
        <v>0.8093865740740741</v>
      </c>
      <c r="D6369" s="1">
        <v>12.801446</v>
      </c>
      <c r="E6369" s="1">
        <v>80.024299</v>
      </c>
      <c r="F6369" s="1">
        <v>2846.0</v>
      </c>
      <c r="G6369" s="1">
        <v>53.0</v>
      </c>
    </row>
    <row r="6370">
      <c r="A6370" s="1" t="s">
        <v>10</v>
      </c>
      <c r="B6370" s="2">
        <v>44729.0</v>
      </c>
      <c r="C6370" s="3">
        <v>0.8110069444444444</v>
      </c>
      <c r="D6370" s="1">
        <v>13.06655</v>
      </c>
      <c r="E6370" s="1">
        <v>80.230802</v>
      </c>
      <c r="F6370" s="1">
        <v>805.0</v>
      </c>
      <c r="G6370" s="1">
        <v>24.0</v>
      </c>
    </row>
    <row r="6371">
      <c r="A6371" s="1" t="s">
        <v>8</v>
      </c>
      <c r="B6371" s="2">
        <v>44729.0</v>
      </c>
      <c r="C6371" s="3">
        <v>0.8111111111111111</v>
      </c>
      <c r="D6371" s="1">
        <v>12.818464</v>
      </c>
      <c r="E6371" s="1">
        <v>80.035526</v>
      </c>
      <c r="F6371" s="1">
        <v>2846.0</v>
      </c>
      <c r="G6371" s="1">
        <v>32.0</v>
      </c>
    </row>
    <row r="6372">
      <c r="A6372" s="1" t="s">
        <v>7</v>
      </c>
      <c r="B6372" s="2">
        <v>44729.0</v>
      </c>
      <c r="C6372" s="3">
        <v>0.8117129629629629</v>
      </c>
      <c r="D6372" s="1">
        <v>12.819238</v>
      </c>
      <c r="E6372" s="1">
        <v>80.036089</v>
      </c>
      <c r="F6372" s="1">
        <v>2846.0</v>
      </c>
      <c r="G6372" s="1">
        <v>25.0</v>
      </c>
    </row>
    <row r="6373">
      <c r="A6373" s="1" t="s">
        <v>10</v>
      </c>
      <c r="B6373" s="2">
        <v>44729.0</v>
      </c>
      <c r="C6373" s="3">
        <v>0.8124537037037037</v>
      </c>
      <c r="D6373" s="1">
        <v>12.828934</v>
      </c>
      <c r="E6373" s="1">
        <v>80.043875</v>
      </c>
      <c r="F6373" s="1">
        <v>2846.0</v>
      </c>
      <c r="G6373" s="1">
        <v>58.0</v>
      </c>
    </row>
    <row r="6374">
      <c r="A6374" s="1" t="s">
        <v>7</v>
      </c>
      <c r="B6374" s="2">
        <v>44729.0</v>
      </c>
      <c r="C6374" s="3">
        <v>0.8134143518518518</v>
      </c>
      <c r="D6374" s="1">
        <v>12.833458</v>
      </c>
      <c r="E6374" s="1">
        <v>80.048657</v>
      </c>
      <c r="F6374" s="1">
        <v>2846.0</v>
      </c>
      <c r="G6374" s="1">
        <v>56.0</v>
      </c>
    </row>
    <row r="6375">
      <c r="A6375" s="1" t="s">
        <v>7</v>
      </c>
      <c r="B6375" s="2">
        <v>44729.0</v>
      </c>
      <c r="C6375" s="3">
        <v>0.8135300925925926</v>
      </c>
      <c r="D6375" s="1">
        <v>12.833458</v>
      </c>
      <c r="E6375" s="1">
        <v>80.048657</v>
      </c>
      <c r="F6375" s="1">
        <v>2846.0</v>
      </c>
      <c r="G6375" s="1">
        <v>56.0</v>
      </c>
    </row>
    <row r="6376">
      <c r="A6376" s="1" t="s">
        <v>8</v>
      </c>
      <c r="B6376" s="2">
        <v>44729.0</v>
      </c>
      <c r="C6376" s="3">
        <v>0.8159722222222222</v>
      </c>
      <c r="D6376" s="1">
        <v>12.851302</v>
      </c>
      <c r="E6376" s="1">
        <v>80.065597</v>
      </c>
      <c r="F6376" s="1">
        <v>2846.0</v>
      </c>
      <c r="G6376" s="1">
        <v>43.0</v>
      </c>
    </row>
    <row r="6377">
      <c r="A6377" s="1" t="s">
        <v>8</v>
      </c>
      <c r="B6377" s="2">
        <v>44729.0</v>
      </c>
      <c r="C6377" s="3">
        <v>0.8173842592592593</v>
      </c>
      <c r="D6377" s="1">
        <v>13.074573</v>
      </c>
      <c r="E6377" s="1">
        <v>80.218654</v>
      </c>
      <c r="F6377" s="1">
        <v>805.0</v>
      </c>
      <c r="G6377" s="1">
        <v>26.0</v>
      </c>
    </row>
    <row r="6378">
      <c r="A6378" s="1" t="s">
        <v>7</v>
      </c>
      <c r="B6378" s="2">
        <v>44729.0</v>
      </c>
      <c r="C6378" s="3">
        <v>0.8174537037037037</v>
      </c>
      <c r="D6378" s="1">
        <v>12.860189</v>
      </c>
      <c r="E6378" s="1">
        <v>80.072181</v>
      </c>
      <c r="F6378" s="1">
        <v>2846.0</v>
      </c>
      <c r="G6378" s="1">
        <v>19.0</v>
      </c>
    </row>
    <row r="6379">
      <c r="A6379" s="1" t="s">
        <v>8</v>
      </c>
      <c r="B6379" s="2">
        <v>44729.0</v>
      </c>
      <c r="C6379" s="3">
        <v>0.8203125</v>
      </c>
      <c r="D6379" s="1">
        <v>13.077018</v>
      </c>
      <c r="E6379" s="1">
        <v>80.208071</v>
      </c>
      <c r="F6379" s="1">
        <v>805.0</v>
      </c>
      <c r="G6379" s="1">
        <v>18.0</v>
      </c>
    </row>
    <row r="6380">
      <c r="A6380" s="1" t="s">
        <v>8</v>
      </c>
      <c r="B6380" s="2">
        <v>44729.0</v>
      </c>
      <c r="C6380" s="3">
        <v>0.8203125</v>
      </c>
      <c r="D6380" s="1">
        <v>13.077018</v>
      </c>
      <c r="E6380" s="1">
        <v>80.208071</v>
      </c>
      <c r="F6380" s="1">
        <v>805.0</v>
      </c>
      <c r="G6380" s="1">
        <v>18.0</v>
      </c>
    </row>
    <row r="6381">
      <c r="A6381" s="1" t="s">
        <v>8</v>
      </c>
      <c r="B6381" s="2">
        <v>44729.0</v>
      </c>
      <c r="C6381" s="3">
        <v>0.8203472222222222</v>
      </c>
      <c r="D6381" s="1">
        <v>13.077018</v>
      </c>
      <c r="E6381" s="1">
        <v>80.208071</v>
      </c>
      <c r="F6381" s="1">
        <v>805.0</v>
      </c>
      <c r="G6381" s="1">
        <v>18.0</v>
      </c>
    </row>
    <row r="6382">
      <c r="A6382" s="1" t="s">
        <v>8</v>
      </c>
      <c r="B6382" s="2">
        <v>44729.0</v>
      </c>
      <c r="C6382" s="3">
        <v>0.8203703703703704</v>
      </c>
      <c r="D6382" s="1">
        <v>13.077018</v>
      </c>
      <c r="E6382" s="1">
        <v>80.208071</v>
      </c>
      <c r="F6382" s="1">
        <v>805.0</v>
      </c>
      <c r="G6382" s="1">
        <v>18.0</v>
      </c>
    </row>
    <row r="6383">
      <c r="A6383" s="1" t="s">
        <v>8</v>
      </c>
      <c r="B6383" s="2">
        <v>44729.0</v>
      </c>
      <c r="C6383" s="3">
        <v>0.8210995370370371</v>
      </c>
      <c r="D6383" s="1">
        <v>13.076553</v>
      </c>
      <c r="E6383" s="1">
        <v>80.20417</v>
      </c>
      <c r="F6383" s="1">
        <v>805.0</v>
      </c>
      <c r="G6383" s="1">
        <v>24.0</v>
      </c>
    </row>
    <row r="6384">
      <c r="A6384" s="1" t="s">
        <v>10</v>
      </c>
      <c r="B6384" s="2">
        <v>44729.0</v>
      </c>
      <c r="C6384" s="3">
        <v>0.8212152777777778</v>
      </c>
      <c r="D6384" s="1">
        <v>12.877093</v>
      </c>
      <c r="E6384" s="1">
        <v>80.084594</v>
      </c>
      <c r="F6384" s="1">
        <v>2846.0</v>
      </c>
      <c r="G6384" s="1">
        <v>10.0</v>
      </c>
    </row>
    <row r="6385">
      <c r="A6385" s="1" t="s">
        <v>8</v>
      </c>
      <c r="B6385" s="2">
        <v>44729.0</v>
      </c>
      <c r="C6385" s="3">
        <v>0.8216666666666667</v>
      </c>
      <c r="D6385" s="1">
        <v>13.076185</v>
      </c>
      <c r="E6385" s="1">
        <v>80.202087</v>
      </c>
      <c r="F6385" s="1">
        <v>805.0</v>
      </c>
      <c r="G6385" s="1">
        <v>29.0</v>
      </c>
    </row>
    <row r="6386">
      <c r="A6386" s="1" t="s">
        <v>8</v>
      </c>
      <c r="B6386" s="2">
        <v>44729.0</v>
      </c>
      <c r="C6386" s="3">
        <v>0.8266782407407407</v>
      </c>
      <c r="D6386" s="1">
        <v>13.070423</v>
      </c>
      <c r="E6386" s="1">
        <v>80.182929</v>
      </c>
      <c r="F6386" s="1">
        <v>805.0</v>
      </c>
      <c r="G6386" s="1">
        <v>8.0</v>
      </c>
    </row>
    <row r="6387">
      <c r="A6387" s="1" t="s">
        <v>8</v>
      </c>
      <c r="B6387" s="2">
        <v>44729.0</v>
      </c>
      <c r="C6387" s="3">
        <v>0.8266898148148148</v>
      </c>
      <c r="D6387" s="1">
        <v>13.070423</v>
      </c>
      <c r="E6387" s="1">
        <v>80.182929</v>
      </c>
      <c r="F6387" s="1">
        <v>805.0</v>
      </c>
      <c r="G6387" s="1">
        <v>8.0</v>
      </c>
    </row>
    <row r="6388">
      <c r="A6388" s="1" t="s">
        <v>8</v>
      </c>
      <c r="B6388" s="2">
        <v>44729.0</v>
      </c>
      <c r="C6388" s="3">
        <v>0.8270601851851852</v>
      </c>
      <c r="D6388" s="1">
        <v>13.069723</v>
      </c>
      <c r="E6388" s="1">
        <v>80.181589</v>
      </c>
      <c r="F6388" s="1">
        <v>805.0</v>
      </c>
      <c r="G6388" s="1">
        <v>27.0</v>
      </c>
    </row>
    <row r="6389">
      <c r="A6389" s="1" t="s">
        <v>8</v>
      </c>
      <c r="B6389" s="2">
        <v>44729.0</v>
      </c>
      <c r="C6389" s="3">
        <v>0.8271990740740741</v>
      </c>
      <c r="D6389" s="1">
        <v>13.069146</v>
      </c>
      <c r="E6389" s="1">
        <v>80.180727</v>
      </c>
      <c r="F6389" s="1">
        <v>805.0</v>
      </c>
      <c r="G6389" s="1">
        <v>31.0</v>
      </c>
    </row>
    <row r="6390">
      <c r="A6390" s="1" t="s">
        <v>8</v>
      </c>
      <c r="B6390" s="2">
        <v>44729.0</v>
      </c>
      <c r="C6390" s="3">
        <v>0.828125</v>
      </c>
      <c r="D6390" s="1">
        <v>13.067021</v>
      </c>
      <c r="E6390" s="1">
        <v>80.175539</v>
      </c>
      <c r="F6390" s="1">
        <v>805.0</v>
      </c>
      <c r="G6390" s="1">
        <v>0.0</v>
      </c>
    </row>
    <row r="6391">
      <c r="A6391" s="1" t="s">
        <v>8</v>
      </c>
      <c r="B6391" s="2">
        <v>44729.0</v>
      </c>
      <c r="C6391" s="3">
        <v>0.828125</v>
      </c>
      <c r="D6391" s="1">
        <v>13.067021</v>
      </c>
      <c r="E6391" s="1">
        <v>80.175539</v>
      </c>
      <c r="F6391" s="1">
        <v>805.0</v>
      </c>
      <c r="G6391" s="1">
        <v>0.0</v>
      </c>
    </row>
    <row r="6392">
      <c r="A6392" s="1" t="s">
        <v>8</v>
      </c>
      <c r="B6392" s="2">
        <v>44729.0</v>
      </c>
      <c r="C6392" s="3">
        <v>0.8281481481481482</v>
      </c>
      <c r="D6392" s="1">
        <v>13.067021</v>
      </c>
      <c r="E6392" s="1">
        <v>80.175539</v>
      </c>
      <c r="F6392" s="1">
        <v>805.0</v>
      </c>
      <c r="G6392" s="1">
        <v>0.0</v>
      </c>
    </row>
    <row r="6393">
      <c r="A6393" s="1" t="s">
        <v>8</v>
      </c>
      <c r="B6393" s="2">
        <v>44729.0</v>
      </c>
      <c r="C6393" s="3">
        <v>0.828287037037037</v>
      </c>
      <c r="D6393" s="1">
        <v>13.067021</v>
      </c>
      <c r="E6393" s="1">
        <v>80.175539</v>
      </c>
      <c r="F6393" s="1">
        <v>805.0</v>
      </c>
      <c r="G6393" s="1">
        <v>0.0</v>
      </c>
    </row>
    <row r="6394">
      <c r="A6394" s="1" t="s">
        <v>8</v>
      </c>
      <c r="B6394" s="2">
        <v>44729.0</v>
      </c>
      <c r="C6394" s="3">
        <v>0.8286574074074075</v>
      </c>
      <c r="D6394" s="1">
        <v>13.066465</v>
      </c>
      <c r="E6394" s="1">
        <v>80.174703</v>
      </c>
      <c r="F6394" s="1">
        <v>805.0</v>
      </c>
      <c r="G6394" s="1">
        <v>28.0</v>
      </c>
    </row>
    <row r="6395">
      <c r="A6395" s="1" t="s">
        <v>9</v>
      </c>
      <c r="B6395" s="2">
        <v>44729.0</v>
      </c>
      <c r="C6395" s="3">
        <v>0.8289699074074074</v>
      </c>
      <c r="D6395" s="1">
        <v>13.064794</v>
      </c>
      <c r="E6395" s="1">
        <v>80.172247</v>
      </c>
      <c r="F6395" s="1">
        <v>805.0</v>
      </c>
      <c r="G6395" s="1">
        <v>33.0</v>
      </c>
    </row>
    <row r="6396">
      <c r="A6396" s="1" t="s">
        <v>7</v>
      </c>
      <c r="B6396" s="2">
        <v>44729.0</v>
      </c>
      <c r="C6396" s="3">
        <v>0.8434953703703704</v>
      </c>
      <c r="D6396" s="1">
        <v>13.043554</v>
      </c>
      <c r="E6396" s="1">
        <v>80.149746</v>
      </c>
      <c r="F6396" s="1">
        <v>805.0</v>
      </c>
      <c r="G6396" s="1">
        <v>0.0</v>
      </c>
    </row>
    <row r="6397">
      <c r="A6397" s="1" t="s">
        <v>8</v>
      </c>
      <c r="B6397" s="2">
        <v>44729.0</v>
      </c>
      <c r="C6397" s="3">
        <v>0.843738425925926</v>
      </c>
      <c r="D6397" s="1">
        <v>13.043141</v>
      </c>
      <c r="E6397" s="1">
        <v>80.149697</v>
      </c>
      <c r="F6397" s="1">
        <v>805.0</v>
      </c>
      <c r="G6397" s="1">
        <v>27.0</v>
      </c>
    </row>
    <row r="6398">
      <c r="A6398" s="1" t="s">
        <v>7</v>
      </c>
      <c r="B6398" s="2">
        <v>44729.0</v>
      </c>
      <c r="C6398" s="3">
        <v>0.8440162037037037</v>
      </c>
      <c r="D6398" s="1">
        <v>13.03918</v>
      </c>
      <c r="E6398" s="1">
        <v>80.149426</v>
      </c>
      <c r="F6398" s="1">
        <v>805.0</v>
      </c>
      <c r="G6398" s="1">
        <v>57.0</v>
      </c>
    </row>
    <row r="6399">
      <c r="A6399" s="1" t="s">
        <v>7</v>
      </c>
      <c r="B6399" s="2">
        <v>44729.0</v>
      </c>
      <c r="C6399" s="3">
        <v>0.8441782407407408</v>
      </c>
      <c r="D6399" s="1">
        <v>13.036847</v>
      </c>
      <c r="E6399" s="1">
        <v>80.149269</v>
      </c>
      <c r="F6399" s="1">
        <v>805.0</v>
      </c>
      <c r="G6399" s="1">
        <v>56.0</v>
      </c>
    </row>
    <row r="6400">
      <c r="A6400" s="1" t="s">
        <v>7</v>
      </c>
      <c r="B6400" s="2">
        <v>44729.0</v>
      </c>
      <c r="C6400" s="3">
        <v>0.8450231481481482</v>
      </c>
      <c r="D6400" s="1">
        <v>13.026973</v>
      </c>
      <c r="E6400" s="1">
        <v>80.144539</v>
      </c>
      <c r="F6400" s="1">
        <v>805.0</v>
      </c>
      <c r="G6400" s="1">
        <v>58.0</v>
      </c>
    </row>
    <row r="6401">
      <c r="A6401" s="1" t="s">
        <v>7</v>
      </c>
      <c r="B6401" s="2">
        <v>44729.0</v>
      </c>
      <c r="C6401" s="3">
        <v>0.8456597222222222</v>
      </c>
      <c r="D6401" s="1">
        <v>13.022418</v>
      </c>
      <c r="E6401" s="1">
        <v>80.13889</v>
      </c>
      <c r="F6401" s="1">
        <v>805.0</v>
      </c>
      <c r="G6401" s="1">
        <v>58.0</v>
      </c>
    </row>
    <row r="6402">
      <c r="A6402" s="1" t="s">
        <v>7</v>
      </c>
      <c r="B6402" s="2">
        <v>44729.0</v>
      </c>
      <c r="C6402" s="3">
        <v>0.8457870370370371</v>
      </c>
      <c r="D6402" s="1">
        <v>13.020932</v>
      </c>
      <c r="E6402" s="1">
        <v>80.137044</v>
      </c>
      <c r="F6402" s="1">
        <v>805.0</v>
      </c>
      <c r="G6402" s="1">
        <v>58.0</v>
      </c>
    </row>
    <row r="6403">
      <c r="A6403" s="1" t="s">
        <v>7</v>
      </c>
      <c r="B6403" s="2">
        <v>44729.0</v>
      </c>
      <c r="C6403" s="3">
        <v>0.8460069444444445</v>
      </c>
      <c r="D6403" s="1">
        <v>13.019424</v>
      </c>
      <c r="E6403" s="1">
        <v>80.135215</v>
      </c>
      <c r="F6403" s="1">
        <v>805.0</v>
      </c>
      <c r="G6403" s="1">
        <v>58.0</v>
      </c>
    </row>
    <row r="6404">
      <c r="A6404" s="1" t="s">
        <v>7</v>
      </c>
      <c r="B6404" s="2">
        <v>44729.0</v>
      </c>
      <c r="C6404" s="3">
        <v>0.8464583333333333</v>
      </c>
      <c r="D6404" s="1">
        <v>13.014877</v>
      </c>
      <c r="E6404" s="1">
        <v>80.129763</v>
      </c>
      <c r="F6404" s="1">
        <v>805.0</v>
      </c>
      <c r="G6404" s="1">
        <v>58.0</v>
      </c>
    </row>
    <row r="6405">
      <c r="A6405" s="1" t="s">
        <v>7</v>
      </c>
      <c r="B6405" s="2">
        <v>44729.0</v>
      </c>
      <c r="C6405" s="3">
        <v>0.847199074074074</v>
      </c>
      <c r="D6405" s="1">
        <v>13.006249</v>
      </c>
      <c r="E6405" s="1">
        <v>80.127384</v>
      </c>
      <c r="F6405" s="1">
        <v>805.0</v>
      </c>
      <c r="G6405" s="1">
        <v>58.0</v>
      </c>
    </row>
    <row r="6406">
      <c r="A6406" s="1" t="s">
        <v>7</v>
      </c>
      <c r="B6406" s="2">
        <v>44729.0</v>
      </c>
      <c r="C6406" s="3">
        <v>0.8473842592592593</v>
      </c>
      <c r="D6406" s="1">
        <v>13.006249</v>
      </c>
      <c r="E6406" s="1">
        <v>80.127384</v>
      </c>
      <c r="F6406" s="1">
        <v>805.0</v>
      </c>
      <c r="G6406" s="1">
        <v>58.0</v>
      </c>
    </row>
    <row r="6407">
      <c r="A6407" s="1" t="s">
        <v>7</v>
      </c>
      <c r="B6407" s="2">
        <v>44729.0</v>
      </c>
      <c r="C6407" s="3">
        <v>0.8481712962962963</v>
      </c>
      <c r="D6407" s="1">
        <v>12.995556</v>
      </c>
      <c r="E6407" s="1">
        <v>80.122797</v>
      </c>
      <c r="F6407" s="1">
        <v>805.0</v>
      </c>
      <c r="G6407" s="1">
        <v>58.0</v>
      </c>
    </row>
    <row r="6408">
      <c r="A6408" s="1" t="s">
        <v>7</v>
      </c>
      <c r="B6408" s="2">
        <v>44729.0</v>
      </c>
      <c r="C6408" s="3">
        <v>0.8492476851851852</v>
      </c>
      <c r="D6408" s="1">
        <v>12.981752</v>
      </c>
      <c r="E6408" s="1">
        <v>80.120849</v>
      </c>
      <c r="F6408" s="1">
        <v>805.0</v>
      </c>
      <c r="G6408" s="1">
        <v>58.0</v>
      </c>
    </row>
    <row r="6409">
      <c r="A6409" s="1" t="s">
        <v>7</v>
      </c>
      <c r="B6409" s="2">
        <v>44729.0</v>
      </c>
      <c r="C6409" s="3">
        <v>0.8499537037037037</v>
      </c>
      <c r="D6409" s="1">
        <v>12.975067</v>
      </c>
      <c r="E6409" s="1">
        <v>80.119422</v>
      </c>
      <c r="F6409" s="1">
        <v>805.0</v>
      </c>
      <c r="G6409" s="1">
        <v>58.0</v>
      </c>
    </row>
    <row r="6410">
      <c r="A6410" s="1" t="s">
        <v>7</v>
      </c>
      <c r="B6410" s="2">
        <v>44729.0</v>
      </c>
      <c r="C6410" s="3">
        <v>0.8505092592592592</v>
      </c>
      <c r="D6410" s="1">
        <v>12.967986</v>
      </c>
      <c r="E6410" s="1">
        <v>80.118967</v>
      </c>
      <c r="F6410" s="1">
        <v>805.0</v>
      </c>
      <c r="G6410" s="1">
        <v>58.0</v>
      </c>
    </row>
    <row r="6411">
      <c r="A6411" s="1" t="s">
        <v>7</v>
      </c>
      <c r="B6411" s="2">
        <v>44729.0</v>
      </c>
      <c r="C6411" s="3">
        <v>0.8508333333333333</v>
      </c>
      <c r="D6411" s="1">
        <v>12.963301</v>
      </c>
      <c r="E6411" s="1">
        <v>80.119218</v>
      </c>
      <c r="F6411" s="1">
        <v>805.0</v>
      </c>
      <c r="G6411" s="1">
        <v>58.0</v>
      </c>
    </row>
    <row r="6412">
      <c r="A6412" s="1" t="s">
        <v>7</v>
      </c>
      <c r="B6412" s="2">
        <v>44729.0</v>
      </c>
      <c r="C6412" s="3">
        <v>0.8511111111111112</v>
      </c>
      <c r="D6412" s="1">
        <v>12.958626</v>
      </c>
      <c r="E6412" s="1">
        <v>80.119351</v>
      </c>
      <c r="F6412" s="1">
        <v>805.0</v>
      </c>
      <c r="G6412" s="1">
        <v>57.0</v>
      </c>
    </row>
    <row r="6413">
      <c r="A6413" s="1" t="s">
        <v>7</v>
      </c>
      <c r="B6413" s="2">
        <v>44729.0</v>
      </c>
      <c r="C6413" s="3">
        <v>0.8515162037037037</v>
      </c>
      <c r="D6413" s="1">
        <v>12.954006</v>
      </c>
      <c r="E6413" s="1">
        <v>80.118778</v>
      </c>
      <c r="F6413" s="1">
        <v>805.0</v>
      </c>
      <c r="G6413" s="1">
        <v>58.0</v>
      </c>
    </row>
    <row r="6414">
      <c r="A6414" s="1" t="s">
        <v>7</v>
      </c>
      <c r="B6414" s="2">
        <v>44729.0</v>
      </c>
      <c r="C6414" s="3">
        <v>0.8520023148148148</v>
      </c>
      <c r="D6414" s="1">
        <v>12.951396</v>
      </c>
      <c r="E6414" s="1">
        <v>80.115004</v>
      </c>
      <c r="F6414" s="1">
        <v>805.0</v>
      </c>
      <c r="G6414" s="1">
        <v>58.0</v>
      </c>
    </row>
    <row r="6415">
      <c r="A6415" s="1" t="s">
        <v>7</v>
      </c>
      <c r="B6415" s="2">
        <v>44729.0</v>
      </c>
      <c r="C6415" s="3">
        <v>0.8524884259259259</v>
      </c>
      <c r="D6415" s="1">
        <v>12.948691</v>
      </c>
      <c r="E6415" s="1">
        <v>80.108323</v>
      </c>
      <c r="F6415" s="1">
        <v>805.0</v>
      </c>
      <c r="G6415" s="1">
        <v>58.0</v>
      </c>
    </row>
    <row r="6416">
      <c r="A6416" s="1" t="s">
        <v>7</v>
      </c>
      <c r="B6416" s="2">
        <v>44729.0</v>
      </c>
      <c r="C6416" s="3">
        <v>0.8536574074074074</v>
      </c>
      <c r="D6416" s="1">
        <v>12.937728</v>
      </c>
      <c r="E6416" s="1">
        <v>80.099761</v>
      </c>
      <c r="F6416" s="1">
        <v>805.0</v>
      </c>
      <c r="G6416" s="1">
        <v>58.0</v>
      </c>
    </row>
    <row r="6417">
      <c r="A6417" s="1" t="s">
        <v>7</v>
      </c>
      <c r="B6417" s="2">
        <v>44729.0</v>
      </c>
      <c r="C6417" s="3">
        <v>0.853738425925926</v>
      </c>
      <c r="D6417" s="1">
        <v>12.937728</v>
      </c>
      <c r="E6417" s="1">
        <v>80.099761</v>
      </c>
      <c r="F6417" s="1">
        <v>805.0</v>
      </c>
      <c r="G6417" s="1">
        <v>58.0</v>
      </c>
    </row>
    <row r="6418">
      <c r="A6418" s="1" t="s">
        <v>8</v>
      </c>
      <c r="B6418" s="2">
        <v>44729.0</v>
      </c>
      <c r="C6418" s="3">
        <v>0.8541898148148148</v>
      </c>
      <c r="D6418" s="1">
        <v>12.932954</v>
      </c>
      <c r="E6418" s="1">
        <v>80.099605</v>
      </c>
      <c r="F6418" s="1">
        <v>805.0</v>
      </c>
      <c r="G6418" s="1">
        <v>58.0</v>
      </c>
    </row>
    <row r="6419">
      <c r="A6419" s="1" t="s">
        <v>7</v>
      </c>
      <c r="B6419" s="2">
        <v>44729.0</v>
      </c>
      <c r="C6419" s="3">
        <v>0.8542708333333333</v>
      </c>
      <c r="D6419" s="1">
        <v>12.930624</v>
      </c>
      <c r="E6419" s="1">
        <v>80.09984</v>
      </c>
      <c r="F6419" s="1">
        <v>805.0</v>
      </c>
      <c r="G6419" s="1">
        <v>58.0</v>
      </c>
    </row>
    <row r="6420">
      <c r="A6420" s="1" t="s">
        <v>8</v>
      </c>
      <c r="B6420" s="2">
        <v>44729.0</v>
      </c>
      <c r="C6420" s="3">
        <v>0.8555902777777777</v>
      </c>
      <c r="D6420" s="1">
        <v>12.91462</v>
      </c>
      <c r="E6420" s="1">
        <v>80.10269</v>
      </c>
      <c r="F6420" s="1">
        <v>805.0</v>
      </c>
      <c r="G6420" s="1">
        <v>46.0</v>
      </c>
    </row>
    <row r="6421">
      <c r="A6421" s="1" t="s">
        <v>8</v>
      </c>
      <c r="B6421" s="2">
        <v>44729.0</v>
      </c>
      <c r="C6421" s="3">
        <v>0.8611458333333334</v>
      </c>
      <c r="D6421" s="1">
        <v>12.904092</v>
      </c>
      <c r="E6421" s="1">
        <v>80.094778</v>
      </c>
      <c r="F6421" s="1">
        <v>805.0</v>
      </c>
      <c r="G6421" s="1">
        <v>25.0</v>
      </c>
    </row>
    <row r="6422">
      <c r="A6422" s="1" t="s">
        <v>8</v>
      </c>
      <c r="B6422" s="2">
        <v>44729.0</v>
      </c>
      <c r="C6422" s="3">
        <v>0.8612731481481481</v>
      </c>
      <c r="D6422" s="1">
        <v>12.903333</v>
      </c>
      <c r="E6422" s="1">
        <v>80.09411</v>
      </c>
      <c r="F6422" s="1">
        <v>805.0</v>
      </c>
      <c r="G6422" s="1">
        <v>20.0</v>
      </c>
    </row>
    <row r="6423">
      <c r="A6423" s="1" t="s">
        <v>8</v>
      </c>
      <c r="B6423" s="2">
        <v>44729.0</v>
      </c>
      <c r="C6423" s="3">
        <v>0.8612847222222222</v>
      </c>
      <c r="D6423" s="1">
        <v>12.903333</v>
      </c>
      <c r="E6423" s="1">
        <v>80.09411</v>
      </c>
      <c r="F6423" s="1">
        <v>805.0</v>
      </c>
      <c r="G6423" s="1">
        <v>20.0</v>
      </c>
    </row>
    <row r="6424">
      <c r="A6424" s="1" t="s">
        <v>7</v>
      </c>
      <c r="B6424" s="2">
        <v>44732.0</v>
      </c>
      <c r="C6424" s="3">
        <v>0.2410300925925926</v>
      </c>
      <c r="D6424" s="1">
        <v>12.865763</v>
      </c>
      <c r="E6424" s="1">
        <v>80.074959</v>
      </c>
      <c r="F6424" s="1">
        <v>2846.0</v>
      </c>
      <c r="G6424" s="1">
        <v>48.0</v>
      </c>
    </row>
    <row r="6425">
      <c r="A6425" s="1" t="s">
        <v>7</v>
      </c>
      <c r="B6425" s="2">
        <v>44732.0</v>
      </c>
      <c r="C6425" s="3">
        <v>0.2412615740740741</v>
      </c>
      <c r="D6425" s="1">
        <v>12.863316</v>
      </c>
      <c r="E6425" s="1">
        <v>80.074038</v>
      </c>
      <c r="F6425" s="1">
        <v>2846.0</v>
      </c>
      <c r="G6425" s="1">
        <v>52.0</v>
      </c>
    </row>
    <row r="6426">
      <c r="A6426" s="1" t="s">
        <v>7</v>
      </c>
      <c r="B6426" s="2">
        <v>44732.0</v>
      </c>
      <c r="C6426" s="3">
        <v>0.2423611111111111</v>
      </c>
      <c r="D6426" s="1">
        <v>12.852558</v>
      </c>
      <c r="E6426" s="1">
        <v>80.066703</v>
      </c>
      <c r="F6426" s="1">
        <v>2846.0</v>
      </c>
      <c r="G6426" s="1">
        <v>54.0</v>
      </c>
    </row>
    <row r="6427">
      <c r="A6427" s="1" t="s">
        <v>7</v>
      </c>
      <c r="B6427" s="2">
        <v>44732.0</v>
      </c>
      <c r="C6427" s="3">
        <v>0.24263888888888888</v>
      </c>
      <c r="D6427" s="1">
        <v>12.850391</v>
      </c>
      <c r="E6427" s="1">
        <v>80.065186</v>
      </c>
      <c r="F6427" s="1">
        <v>2846.0</v>
      </c>
      <c r="G6427" s="1">
        <v>51.0</v>
      </c>
    </row>
    <row r="6428">
      <c r="A6428" s="1" t="s">
        <v>7</v>
      </c>
      <c r="B6428" s="2">
        <v>44732.0</v>
      </c>
      <c r="C6428" s="3">
        <v>0.2429398148148148</v>
      </c>
      <c r="D6428" s="1">
        <v>12.848346</v>
      </c>
      <c r="E6428" s="1">
        <v>80.063657</v>
      </c>
      <c r="F6428" s="1">
        <v>2846.0</v>
      </c>
      <c r="G6428" s="1">
        <v>51.0</v>
      </c>
    </row>
    <row r="6429">
      <c r="A6429" s="1" t="s">
        <v>7</v>
      </c>
      <c r="B6429" s="2">
        <v>44732.0</v>
      </c>
      <c r="C6429" s="3">
        <v>0.24324074074074073</v>
      </c>
      <c r="D6429" s="1">
        <v>12.845223</v>
      </c>
      <c r="E6429" s="1">
        <v>80.061148</v>
      </c>
      <c r="F6429" s="1">
        <v>2846.0</v>
      </c>
      <c r="G6429" s="1">
        <v>53.0</v>
      </c>
    </row>
    <row r="6430">
      <c r="A6430" s="1" t="s">
        <v>7</v>
      </c>
      <c r="B6430" s="2">
        <v>44732.0</v>
      </c>
      <c r="C6430" s="3">
        <v>0.24366898148148147</v>
      </c>
      <c r="D6430" s="1">
        <v>12.84167</v>
      </c>
      <c r="E6430" s="1">
        <v>80.057392</v>
      </c>
      <c r="F6430" s="1">
        <v>2846.0</v>
      </c>
      <c r="G6430" s="1">
        <v>55.0</v>
      </c>
    </row>
    <row r="6431">
      <c r="A6431" s="1" t="s">
        <v>7</v>
      </c>
      <c r="B6431" s="2">
        <v>44732.0</v>
      </c>
      <c r="C6431" s="3">
        <v>0.2440625</v>
      </c>
      <c r="D6431" s="1">
        <v>12.890406</v>
      </c>
      <c r="E6431" s="1">
        <v>80.08467</v>
      </c>
      <c r="F6431" s="1">
        <v>5339.0</v>
      </c>
      <c r="G6431" s="1">
        <v>54.0</v>
      </c>
    </row>
    <row r="6432">
      <c r="A6432" s="1" t="s">
        <v>8</v>
      </c>
      <c r="B6432" s="2">
        <v>44732.0</v>
      </c>
      <c r="C6432" s="3">
        <v>0.24457175925925925</v>
      </c>
      <c r="D6432" s="1">
        <v>12.896385</v>
      </c>
      <c r="E6432" s="1">
        <v>80.088691</v>
      </c>
      <c r="F6432" s="1">
        <v>5339.0</v>
      </c>
      <c r="G6432" s="1">
        <v>52.0</v>
      </c>
    </row>
    <row r="6433">
      <c r="A6433" s="1" t="s">
        <v>8</v>
      </c>
      <c r="B6433" s="2">
        <v>44732.0</v>
      </c>
      <c r="C6433" s="3">
        <v>0.24509259259259258</v>
      </c>
      <c r="D6433" s="1">
        <v>12.90053</v>
      </c>
      <c r="E6433" s="1">
        <v>80.091722</v>
      </c>
      <c r="F6433" s="1">
        <v>5339.0</v>
      </c>
      <c r="G6433" s="1">
        <v>48.0</v>
      </c>
    </row>
    <row r="6434">
      <c r="A6434" s="1" t="s">
        <v>8</v>
      </c>
      <c r="B6434" s="2">
        <v>44732.0</v>
      </c>
      <c r="C6434" s="3">
        <v>0.2461574074074074</v>
      </c>
      <c r="D6434" s="1">
        <v>12.907309</v>
      </c>
      <c r="E6434" s="1">
        <v>80.096774</v>
      </c>
      <c r="F6434" s="1">
        <v>5339.0</v>
      </c>
      <c r="G6434" s="1">
        <v>36.0</v>
      </c>
    </row>
    <row r="6435">
      <c r="A6435" s="1" t="s">
        <v>7</v>
      </c>
      <c r="B6435" s="2">
        <v>44732.0</v>
      </c>
      <c r="C6435" s="3">
        <v>0.24717592592592594</v>
      </c>
      <c r="D6435" s="1">
        <v>12.812901</v>
      </c>
      <c r="E6435" s="1">
        <v>80.031885</v>
      </c>
      <c r="F6435" s="1">
        <v>2846.0</v>
      </c>
      <c r="G6435" s="1">
        <v>51.0</v>
      </c>
    </row>
    <row r="6436">
      <c r="A6436" s="1" t="s">
        <v>8</v>
      </c>
      <c r="B6436" s="2">
        <v>44732.0</v>
      </c>
      <c r="C6436" s="3">
        <v>0.25155092592592593</v>
      </c>
      <c r="D6436" s="1">
        <v>12.929206</v>
      </c>
      <c r="E6436" s="1">
        <v>80.120316</v>
      </c>
      <c r="F6436" s="1">
        <v>5339.0</v>
      </c>
      <c r="G6436" s="1">
        <v>37.0</v>
      </c>
    </row>
    <row r="6437">
      <c r="A6437" s="1" t="s">
        <v>7</v>
      </c>
      <c r="B6437" s="2">
        <v>44732.0</v>
      </c>
      <c r="C6437" s="3">
        <v>0.25177083333333333</v>
      </c>
      <c r="D6437" s="1">
        <v>12.771994</v>
      </c>
      <c r="E6437" s="1">
        <v>80.008218</v>
      </c>
      <c r="F6437" s="1">
        <v>2846.0</v>
      </c>
      <c r="G6437" s="1">
        <v>0.0</v>
      </c>
    </row>
    <row r="6438">
      <c r="A6438" s="1" t="s">
        <v>7</v>
      </c>
      <c r="B6438" s="2">
        <v>44732.0</v>
      </c>
      <c r="C6438" s="3">
        <v>0.25305555555555553</v>
      </c>
      <c r="D6438" s="1">
        <v>12.938605</v>
      </c>
      <c r="E6438" s="1">
        <v>80.129232</v>
      </c>
      <c r="F6438" s="1">
        <v>5339.0</v>
      </c>
      <c r="G6438" s="1">
        <v>49.0</v>
      </c>
    </row>
    <row r="6439">
      <c r="A6439" s="1" t="s">
        <v>7</v>
      </c>
      <c r="B6439" s="2">
        <v>44732.0</v>
      </c>
      <c r="C6439" s="3">
        <v>0.25386574074074075</v>
      </c>
      <c r="D6439" s="1">
        <v>12.752335</v>
      </c>
      <c r="E6439" s="1">
        <v>79.999606</v>
      </c>
      <c r="F6439" s="1">
        <v>2846.0</v>
      </c>
      <c r="G6439" s="1">
        <v>56.0</v>
      </c>
    </row>
    <row r="6440">
      <c r="A6440" s="1" t="s">
        <v>7</v>
      </c>
      <c r="B6440" s="2">
        <v>44732.0</v>
      </c>
      <c r="C6440" s="3">
        <v>0.2539699074074074</v>
      </c>
      <c r="D6440" s="1">
        <v>12.752335</v>
      </c>
      <c r="E6440" s="1">
        <v>79.999606</v>
      </c>
      <c r="F6440" s="1">
        <v>2846.0</v>
      </c>
      <c r="G6440" s="1">
        <v>56.0</v>
      </c>
    </row>
    <row r="6441">
      <c r="A6441" s="1" t="s">
        <v>7</v>
      </c>
      <c r="B6441" s="2">
        <v>44732.0</v>
      </c>
      <c r="C6441" s="3">
        <v>0.2551736111111111</v>
      </c>
      <c r="D6441" s="1">
        <v>12.743597</v>
      </c>
      <c r="E6441" s="1">
        <v>79.992792</v>
      </c>
      <c r="F6441" s="1">
        <v>2846.0</v>
      </c>
      <c r="G6441" s="1">
        <v>53.0</v>
      </c>
    </row>
    <row r="6442">
      <c r="A6442" s="1" t="s">
        <v>7</v>
      </c>
      <c r="B6442" s="2">
        <v>44732.0</v>
      </c>
      <c r="C6442" s="3">
        <v>0.25635416666666666</v>
      </c>
      <c r="D6442" s="1">
        <v>12.886036</v>
      </c>
      <c r="E6442" s="1">
        <v>80.082836</v>
      </c>
      <c r="F6442" s="1">
        <v>805.0</v>
      </c>
      <c r="G6442" s="1">
        <v>37.0</v>
      </c>
    </row>
    <row r="6443">
      <c r="A6443" s="1" t="s">
        <v>7</v>
      </c>
      <c r="B6443" s="2">
        <v>44732.0</v>
      </c>
      <c r="C6443" s="3">
        <v>0.25729166666666664</v>
      </c>
      <c r="D6443" s="1">
        <v>12.896067</v>
      </c>
      <c r="E6443" s="1">
        <v>80.088417</v>
      </c>
      <c r="F6443" s="1">
        <v>805.0</v>
      </c>
      <c r="G6443" s="1">
        <v>58.0</v>
      </c>
    </row>
    <row r="6444">
      <c r="A6444" s="1" t="s">
        <v>7</v>
      </c>
      <c r="B6444" s="2">
        <v>44732.0</v>
      </c>
      <c r="C6444" s="3">
        <v>0.2574074074074074</v>
      </c>
      <c r="D6444" s="1">
        <v>12.897974</v>
      </c>
      <c r="E6444" s="1">
        <v>80.089816</v>
      </c>
      <c r="F6444" s="1">
        <v>805.0</v>
      </c>
      <c r="G6444" s="1">
        <v>58.0</v>
      </c>
    </row>
    <row r="6445">
      <c r="A6445" s="1" t="s">
        <v>8</v>
      </c>
      <c r="B6445" s="2">
        <v>44732.0</v>
      </c>
      <c r="C6445" s="3">
        <v>0.2582291666666667</v>
      </c>
      <c r="D6445" s="1">
        <v>12.956087</v>
      </c>
      <c r="E6445" s="1">
        <v>80.143013</v>
      </c>
      <c r="F6445" s="1">
        <v>5339.0</v>
      </c>
      <c r="G6445" s="1">
        <v>0.0</v>
      </c>
    </row>
    <row r="6446">
      <c r="A6446" s="1" t="s">
        <v>7</v>
      </c>
      <c r="B6446" s="2">
        <v>44732.0</v>
      </c>
      <c r="C6446" s="3">
        <v>0.25832175925925926</v>
      </c>
      <c r="D6446" s="1">
        <v>12.906595</v>
      </c>
      <c r="E6446" s="1">
        <v>80.096273</v>
      </c>
      <c r="F6446" s="1">
        <v>805.0</v>
      </c>
      <c r="G6446" s="1">
        <v>40.0</v>
      </c>
    </row>
    <row r="6447">
      <c r="A6447" s="1" t="s">
        <v>7</v>
      </c>
      <c r="B6447" s="2">
        <v>44732.0</v>
      </c>
      <c r="C6447" s="3">
        <v>0.2585648148148148</v>
      </c>
      <c r="D6447" s="1">
        <v>12.958334</v>
      </c>
      <c r="E6447" s="1">
        <v>80.144259</v>
      </c>
      <c r="F6447" s="1">
        <v>5339.0</v>
      </c>
      <c r="G6447" s="1">
        <v>54.0</v>
      </c>
    </row>
    <row r="6448">
      <c r="A6448" s="1" t="s">
        <v>7</v>
      </c>
      <c r="B6448" s="2">
        <v>44732.0</v>
      </c>
      <c r="C6448" s="3">
        <v>0.25863425925925926</v>
      </c>
      <c r="D6448" s="1">
        <v>12.906595</v>
      </c>
      <c r="E6448" s="1">
        <v>80.096273</v>
      </c>
      <c r="F6448" s="1">
        <v>805.0</v>
      </c>
      <c r="G6448" s="1">
        <v>40.0</v>
      </c>
    </row>
    <row r="6449">
      <c r="A6449" s="1" t="s">
        <v>8</v>
      </c>
      <c r="B6449" s="2">
        <v>44732.0</v>
      </c>
      <c r="C6449" s="3">
        <v>0.25877314814814817</v>
      </c>
      <c r="D6449" s="1">
        <v>12.909556</v>
      </c>
      <c r="E6449" s="1">
        <v>80.099263</v>
      </c>
      <c r="F6449" s="1">
        <v>805.0</v>
      </c>
      <c r="G6449" s="1">
        <v>53.0</v>
      </c>
    </row>
    <row r="6450">
      <c r="A6450" s="1" t="s">
        <v>7</v>
      </c>
      <c r="B6450" s="2">
        <v>44732.0</v>
      </c>
      <c r="C6450" s="3">
        <v>0.25881944444444444</v>
      </c>
      <c r="D6450" s="1">
        <v>12.715006</v>
      </c>
      <c r="E6450" s="1">
        <v>79.980475</v>
      </c>
      <c r="F6450" s="1">
        <v>2846.0</v>
      </c>
      <c r="G6450" s="1">
        <v>47.0</v>
      </c>
    </row>
    <row r="6451">
      <c r="A6451" s="1" t="s">
        <v>7</v>
      </c>
      <c r="B6451" s="2">
        <v>44732.0</v>
      </c>
      <c r="C6451" s="3">
        <v>0.2596759259259259</v>
      </c>
      <c r="D6451" s="1">
        <v>12.969442</v>
      </c>
      <c r="E6451" s="1">
        <v>80.150103</v>
      </c>
      <c r="F6451" s="1">
        <v>5339.0</v>
      </c>
      <c r="G6451" s="1">
        <v>58.0</v>
      </c>
    </row>
    <row r="6452">
      <c r="A6452" s="1" t="s">
        <v>7</v>
      </c>
      <c r="B6452" s="2">
        <v>44732.0</v>
      </c>
      <c r="C6452" s="3">
        <v>0.25975694444444447</v>
      </c>
      <c r="D6452" s="1">
        <v>12.70359</v>
      </c>
      <c r="E6452" s="1">
        <v>79.972069</v>
      </c>
      <c r="F6452" s="1">
        <v>2846.0</v>
      </c>
      <c r="G6452" s="1">
        <v>43.0</v>
      </c>
    </row>
    <row r="6453">
      <c r="A6453" s="1" t="s">
        <v>7</v>
      </c>
      <c r="B6453" s="2">
        <v>44732.0</v>
      </c>
      <c r="C6453" s="3">
        <v>0.25991898148148146</v>
      </c>
      <c r="D6453" s="1">
        <v>12.917255</v>
      </c>
      <c r="E6453" s="1">
        <v>80.107523</v>
      </c>
      <c r="F6453" s="1">
        <v>805.0</v>
      </c>
      <c r="G6453" s="1">
        <v>58.0</v>
      </c>
    </row>
    <row r="6454">
      <c r="A6454" s="1" t="s">
        <v>7</v>
      </c>
      <c r="B6454" s="2">
        <v>44732.0</v>
      </c>
      <c r="C6454" s="3">
        <v>0.26005787037037037</v>
      </c>
      <c r="D6454" s="1">
        <v>12.973143</v>
      </c>
      <c r="E6454" s="1">
        <v>80.152819</v>
      </c>
      <c r="F6454" s="1">
        <v>5339.0</v>
      </c>
      <c r="G6454" s="1">
        <v>58.0</v>
      </c>
    </row>
    <row r="6455">
      <c r="A6455" s="1" t="s">
        <v>7</v>
      </c>
      <c r="B6455" s="2">
        <v>44732.0</v>
      </c>
      <c r="C6455" s="3">
        <v>0.26005787037037037</v>
      </c>
      <c r="D6455" s="1">
        <v>12.701059</v>
      </c>
      <c r="E6455" s="1">
        <v>79.969238</v>
      </c>
      <c r="F6455" s="1">
        <v>2846.0</v>
      </c>
      <c r="G6455" s="1">
        <v>55.0</v>
      </c>
    </row>
    <row r="6456">
      <c r="A6456" s="1" t="s">
        <v>7</v>
      </c>
      <c r="B6456" s="2">
        <v>44732.0</v>
      </c>
      <c r="C6456" s="3">
        <v>0.2602199074074074</v>
      </c>
      <c r="D6456" s="1">
        <v>12.920025</v>
      </c>
      <c r="E6456" s="1">
        <v>80.110982</v>
      </c>
      <c r="F6456" s="1">
        <v>805.0</v>
      </c>
      <c r="G6456" s="1">
        <v>54.0</v>
      </c>
    </row>
    <row r="6457">
      <c r="A6457" s="1" t="s">
        <v>7</v>
      </c>
      <c r="B6457" s="2">
        <v>44732.0</v>
      </c>
      <c r="C6457" s="3">
        <v>0.2604398148148148</v>
      </c>
      <c r="D6457" s="1">
        <v>12.697057</v>
      </c>
      <c r="E6457" s="1">
        <v>79.966961</v>
      </c>
      <c r="F6457" s="1">
        <v>2846.0</v>
      </c>
      <c r="G6457" s="1">
        <v>62.0</v>
      </c>
    </row>
    <row r="6458">
      <c r="A6458" s="1" t="s">
        <v>7</v>
      </c>
      <c r="B6458" s="2">
        <v>44732.0</v>
      </c>
      <c r="C6458" s="3">
        <v>0.2605324074074074</v>
      </c>
      <c r="D6458" s="1">
        <v>12.976928</v>
      </c>
      <c r="E6458" s="1">
        <v>80.158376</v>
      </c>
      <c r="F6458" s="1">
        <v>5339.0</v>
      </c>
      <c r="G6458" s="1">
        <v>53.0</v>
      </c>
    </row>
    <row r="6459">
      <c r="A6459" s="1" t="s">
        <v>7</v>
      </c>
      <c r="B6459" s="2">
        <v>44732.0</v>
      </c>
      <c r="C6459" s="3">
        <v>0.26070601851851855</v>
      </c>
      <c r="D6459" s="1">
        <v>12.978185</v>
      </c>
      <c r="E6459" s="1">
        <v>80.160194</v>
      </c>
      <c r="F6459" s="1">
        <v>5339.0</v>
      </c>
      <c r="G6459" s="1">
        <v>56.0</v>
      </c>
    </row>
    <row r="6460">
      <c r="A6460" s="1" t="s">
        <v>7</v>
      </c>
      <c r="B6460" s="2">
        <v>44732.0</v>
      </c>
      <c r="C6460" s="3">
        <v>0.2614699074074074</v>
      </c>
      <c r="D6460" s="1">
        <v>12.981354</v>
      </c>
      <c r="E6460" s="1">
        <v>80.166459</v>
      </c>
      <c r="F6460" s="1">
        <v>5339.0</v>
      </c>
      <c r="G6460" s="1">
        <v>59.0</v>
      </c>
    </row>
    <row r="6461">
      <c r="A6461" s="1" t="s">
        <v>7</v>
      </c>
      <c r="B6461" s="2">
        <v>44732.0</v>
      </c>
      <c r="C6461" s="3">
        <v>0.2627083333333333</v>
      </c>
      <c r="D6461" s="1">
        <v>12.674032</v>
      </c>
      <c r="E6461" s="1">
        <v>79.95864</v>
      </c>
      <c r="F6461" s="1">
        <v>2846.0</v>
      </c>
      <c r="G6461" s="1">
        <v>53.0</v>
      </c>
    </row>
    <row r="6462">
      <c r="A6462" s="1" t="s">
        <v>7</v>
      </c>
      <c r="B6462" s="2">
        <v>44732.0</v>
      </c>
      <c r="C6462" s="3">
        <v>0.26342592592592595</v>
      </c>
      <c r="D6462" s="1">
        <v>12.674032</v>
      </c>
      <c r="E6462" s="1">
        <v>79.95864</v>
      </c>
      <c r="F6462" s="1">
        <v>2846.0</v>
      </c>
      <c r="G6462" s="1">
        <v>53.0</v>
      </c>
    </row>
    <row r="6463">
      <c r="A6463" s="1" t="s">
        <v>7</v>
      </c>
      <c r="B6463" s="2">
        <v>44732.0</v>
      </c>
      <c r="C6463" s="3">
        <v>0.2640972222222222</v>
      </c>
      <c r="D6463" s="1">
        <v>12.657967</v>
      </c>
      <c r="E6463" s="1">
        <v>79.958974</v>
      </c>
      <c r="F6463" s="1">
        <v>2846.0</v>
      </c>
      <c r="G6463" s="1">
        <v>59.0</v>
      </c>
    </row>
    <row r="6464">
      <c r="A6464" s="1" t="s">
        <v>9</v>
      </c>
      <c r="B6464" s="2">
        <v>44732.0</v>
      </c>
      <c r="C6464" s="3">
        <v>0.26458333333333334</v>
      </c>
      <c r="D6464" s="1">
        <v>12.997855</v>
      </c>
      <c r="E6464" s="1">
        <v>80.191398</v>
      </c>
      <c r="F6464" s="1">
        <v>5339.0</v>
      </c>
      <c r="G6464" s="1">
        <v>36.0</v>
      </c>
    </row>
    <row r="6465">
      <c r="A6465" s="1" t="s">
        <v>8</v>
      </c>
      <c r="B6465" s="2">
        <v>44732.0</v>
      </c>
      <c r="C6465" s="3">
        <v>0.26537037037037037</v>
      </c>
      <c r="D6465" s="1">
        <v>12.657266</v>
      </c>
      <c r="E6465" s="1">
        <v>79.947081</v>
      </c>
      <c r="F6465" s="1">
        <v>2846.0</v>
      </c>
      <c r="G6465" s="1">
        <v>27.0</v>
      </c>
    </row>
    <row r="6466">
      <c r="A6466" s="1" t="s">
        <v>7</v>
      </c>
      <c r="B6466" s="2">
        <v>44732.0</v>
      </c>
      <c r="C6466" s="3">
        <v>0.26564814814814813</v>
      </c>
      <c r="D6466" s="1">
        <v>12.657566</v>
      </c>
      <c r="E6466" s="1">
        <v>79.94603</v>
      </c>
      <c r="F6466" s="1">
        <v>2846.0</v>
      </c>
      <c r="G6466" s="1">
        <v>24.0</v>
      </c>
    </row>
    <row r="6467">
      <c r="A6467" s="1" t="s">
        <v>8</v>
      </c>
      <c r="B6467" s="2">
        <v>44732.0</v>
      </c>
      <c r="C6467" s="3">
        <v>0.26568287037037036</v>
      </c>
      <c r="D6467" s="1">
        <v>12.928661</v>
      </c>
      <c r="E6467" s="1">
        <v>80.119804</v>
      </c>
      <c r="F6467" s="1">
        <v>805.0</v>
      </c>
      <c r="G6467" s="1">
        <v>13.0</v>
      </c>
    </row>
    <row r="6468">
      <c r="A6468" s="1" t="s">
        <v>7</v>
      </c>
      <c r="B6468" s="2">
        <v>44732.0</v>
      </c>
      <c r="C6468" s="3">
        <v>0.2657175925925926</v>
      </c>
      <c r="D6468" s="1">
        <v>12.657848</v>
      </c>
      <c r="E6468" s="1">
        <v>79.944964</v>
      </c>
      <c r="F6468" s="1">
        <v>2846.0</v>
      </c>
      <c r="G6468" s="1">
        <v>36.0</v>
      </c>
    </row>
    <row r="6469">
      <c r="A6469" s="1" t="s">
        <v>7</v>
      </c>
      <c r="B6469" s="2">
        <v>44732.0</v>
      </c>
      <c r="C6469" s="3">
        <v>0.2659490740740741</v>
      </c>
      <c r="D6469" s="1">
        <v>12.657745</v>
      </c>
      <c r="E6469" s="1">
        <v>79.94311</v>
      </c>
      <c r="F6469" s="1">
        <v>2846.0</v>
      </c>
      <c r="G6469" s="1">
        <v>51.0</v>
      </c>
    </row>
    <row r="6470">
      <c r="A6470" s="1" t="s">
        <v>8</v>
      </c>
      <c r="B6470" s="2">
        <v>44732.0</v>
      </c>
      <c r="C6470" s="3">
        <v>0.2663773148148148</v>
      </c>
      <c r="D6470" s="1">
        <v>12.931324</v>
      </c>
      <c r="E6470" s="1">
        <v>80.122451</v>
      </c>
      <c r="F6470" s="1">
        <v>805.0</v>
      </c>
      <c r="G6470" s="1">
        <v>18.0</v>
      </c>
    </row>
    <row r="6471">
      <c r="A6471" s="1" t="s">
        <v>7</v>
      </c>
      <c r="B6471" s="2">
        <v>44732.0</v>
      </c>
      <c r="C6471" s="3">
        <v>0.2664814814814815</v>
      </c>
      <c r="D6471" s="1">
        <v>12.651872</v>
      </c>
      <c r="E6471" s="1">
        <v>79.942013</v>
      </c>
      <c r="F6471" s="1">
        <v>2846.0</v>
      </c>
      <c r="G6471" s="1">
        <v>51.0</v>
      </c>
    </row>
    <row r="6472">
      <c r="A6472" s="1" t="s">
        <v>7</v>
      </c>
      <c r="B6472" s="2">
        <v>44732.0</v>
      </c>
      <c r="C6472" s="3">
        <v>0.2664930555555556</v>
      </c>
      <c r="D6472" s="1">
        <v>12.651872</v>
      </c>
      <c r="E6472" s="1">
        <v>79.942013</v>
      </c>
      <c r="F6472" s="1">
        <v>2846.0</v>
      </c>
      <c r="G6472" s="1">
        <v>51.0</v>
      </c>
    </row>
    <row r="6473">
      <c r="A6473" s="1" t="s">
        <v>8</v>
      </c>
      <c r="B6473" s="2">
        <v>44732.0</v>
      </c>
      <c r="C6473" s="3">
        <v>0.2665625</v>
      </c>
      <c r="D6473" s="1">
        <v>12.931862</v>
      </c>
      <c r="E6473" s="1">
        <v>80.122953</v>
      </c>
      <c r="F6473" s="1">
        <v>805.0</v>
      </c>
      <c r="G6473" s="1">
        <v>26.0</v>
      </c>
    </row>
    <row r="6474">
      <c r="A6474" s="1" t="s">
        <v>7</v>
      </c>
      <c r="B6474" s="2">
        <v>44732.0</v>
      </c>
      <c r="C6474" s="3">
        <v>0.26665509259259257</v>
      </c>
      <c r="D6474" s="1">
        <v>12.651872</v>
      </c>
      <c r="E6474" s="1">
        <v>79.942013</v>
      </c>
      <c r="F6474" s="1">
        <v>2846.0</v>
      </c>
      <c r="G6474" s="1">
        <v>51.0</v>
      </c>
    </row>
    <row r="6475">
      <c r="A6475" s="1" t="s">
        <v>8</v>
      </c>
      <c r="B6475" s="2">
        <v>44732.0</v>
      </c>
      <c r="C6475" s="3">
        <v>0.26699074074074075</v>
      </c>
      <c r="D6475" s="1">
        <v>12.935502</v>
      </c>
      <c r="E6475" s="1">
        <v>80.126488</v>
      </c>
      <c r="F6475" s="1">
        <v>805.0</v>
      </c>
      <c r="G6475" s="1">
        <v>23.0</v>
      </c>
    </row>
    <row r="6476">
      <c r="A6476" s="1" t="s">
        <v>8</v>
      </c>
      <c r="B6476" s="2">
        <v>44732.0</v>
      </c>
      <c r="C6476" s="3">
        <v>0.26729166666666665</v>
      </c>
      <c r="D6476" s="1">
        <v>12.935908</v>
      </c>
      <c r="E6476" s="1">
        <v>80.126878</v>
      </c>
      <c r="F6476" s="1">
        <v>805.0</v>
      </c>
      <c r="G6476" s="1">
        <v>27.0</v>
      </c>
    </row>
    <row r="6477">
      <c r="A6477" s="1" t="s">
        <v>8</v>
      </c>
      <c r="B6477" s="2">
        <v>44732.0</v>
      </c>
      <c r="C6477" s="3">
        <v>0.26738425925925924</v>
      </c>
      <c r="D6477" s="1">
        <v>12.937033</v>
      </c>
      <c r="E6477" s="1">
        <v>80.127865</v>
      </c>
      <c r="F6477" s="1">
        <v>805.0</v>
      </c>
      <c r="G6477" s="1">
        <v>44.0</v>
      </c>
    </row>
    <row r="6478">
      <c r="A6478" s="1" t="s">
        <v>8</v>
      </c>
      <c r="B6478" s="2">
        <v>44732.0</v>
      </c>
      <c r="C6478" s="3">
        <v>0.2674884259259259</v>
      </c>
      <c r="D6478" s="1">
        <v>12.937033</v>
      </c>
      <c r="E6478" s="1">
        <v>80.127865</v>
      </c>
      <c r="F6478" s="1">
        <v>805.0</v>
      </c>
      <c r="G6478" s="1">
        <v>44.0</v>
      </c>
    </row>
    <row r="6479">
      <c r="A6479" s="1" t="s">
        <v>7</v>
      </c>
      <c r="B6479" s="2">
        <v>44732.0</v>
      </c>
      <c r="C6479" s="3">
        <v>0.26787037037037037</v>
      </c>
      <c r="D6479" s="1">
        <v>12.940061</v>
      </c>
      <c r="E6479" s="1">
        <v>80.130519</v>
      </c>
      <c r="F6479" s="1">
        <v>805.0</v>
      </c>
      <c r="G6479" s="1">
        <v>54.0</v>
      </c>
    </row>
    <row r="6480">
      <c r="A6480" s="1" t="s">
        <v>7</v>
      </c>
      <c r="B6480" s="2">
        <v>44732.0</v>
      </c>
      <c r="C6480" s="3">
        <v>0.2683564814814815</v>
      </c>
      <c r="D6480" s="1">
        <v>12.633978</v>
      </c>
      <c r="E6480" s="1">
        <v>79.932905</v>
      </c>
      <c r="F6480" s="1">
        <v>2846.0</v>
      </c>
      <c r="G6480" s="1">
        <v>51.0</v>
      </c>
    </row>
    <row r="6481">
      <c r="A6481" s="1" t="s">
        <v>7</v>
      </c>
      <c r="B6481" s="2">
        <v>44732.0</v>
      </c>
      <c r="C6481" s="3">
        <v>0.26851851851851855</v>
      </c>
      <c r="D6481" s="1">
        <v>12.947309</v>
      </c>
      <c r="E6481" s="1">
        <v>80.137051</v>
      </c>
      <c r="F6481" s="1">
        <v>805.0</v>
      </c>
      <c r="G6481" s="1">
        <v>57.0</v>
      </c>
    </row>
    <row r="6482">
      <c r="A6482" s="1" t="s">
        <v>8</v>
      </c>
      <c r="B6482" s="2">
        <v>44732.0</v>
      </c>
      <c r="C6482" s="3">
        <v>0.2685763888888889</v>
      </c>
      <c r="D6482" s="1">
        <v>13.010543</v>
      </c>
      <c r="E6482" s="1">
        <v>80.216321</v>
      </c>
      <c r="F6482" s="1">
        <v>5339.0</v>
      </c>
      <c r="G6482" s="1">
        <v>50.0</v>
      </c>
    </row>
    <row r="6483">
      <c r="A6483" s="1" t="s">
        <v>7</v>
      </c>
      <c r="B6483" s="2">
        <v>44732.0</v>
      </c>
      <c r="C6483" s="3">
        <v>0.26861111111111113</v>
      </c>
      <c r="D6483" s="1">
        <v>12.947309</v>
      </c>
      <c r="E6483" s="1">
        <v>80.137051</v>
      </c>
      <c r="F6483" s="1">
        <v>805.0</v>
      </c>
      <c r="G6483" s="1">
        <v>57.0</v>
      </c>
    </row>
    <row r="6484">
      <c r="A6484" s="1" t="s">
        <v>8</v>
      </c>
      <c r="B6484" s="2">
        <v>44732.0</v>
      </c>
      <c r="C6484" s="3">
        <v>0.26871527777777776</v>
      </c>
      <c r="D6484" s="1">
        <v>12.949223</v>
      </c>
      <c r="E6484" s="1">
        <v>80.138428</v>
      </c>
      <c r="F6484" s="1">
        <v>805.0</v>
      </c>
      <c r="G6484" s="1">
        <v>58.0</v>
      </c>
    </row>
    <row r="6485">
      <c r="A6485" s="1" t="s">
        <v>7</v>
      </c>
      <c r="B6485" s="2">
        <v>44732.0</v>
      </c>
      <c r="C6485" s="3">
        <v>0.2687731481481481</v>
      </c>
      <c r="D6485" s="1">
        <v>13.011421</v>
      </c>
      <c r="E6485" s="1">
        <v>80.218396</v>
      </c>
      <c r="F6485" s="1">
        <v>5339.0</v>
      </c>
      <c r="G6485" s="1">
        <v>43.0</v>
      </c>
    </row>
    <row r="6486">
      <c r="A6486" s="1" t="s">
        <v>9</v>
      </c>
      <c r="B6486" s="2">
        <v>44732.0</v>
      </c>
      <c r="C6486" s="3">
        <v>0.26895833333333335</v>
      </c>
      <c r="D6486" s="1">
        <v>12.951155</v>
      </c>
      <c r="E6486" s="1">
        <v>80.140008</v>
      </c>
      <c r="F6486" s="1">
        <v>805.0</v>
      </c>
      <c r="G6486" s="1">
        <v>58.0</v>
      </c>
    </row>
    <row r="6487">
      <c r="A6487" s="1" t="s">
        <v>7</v>
      </c>
      <c r="B6487" s="2">
        <v>44732.0</v>
      </c>
      <c r="C6487" s="3">
        <v>0.2690162037037037</v>
      </c>
      <c r="D6487" s="1">
        <v>12.951155</v>
      </c>
      <c r="E6487" s="1">
        <v>80.140008</v>
      </c>
      <c r="F6487" s="1">
        <v>805.0</v>
      </c>
      <c r="G6487" s="1">
        <v>58.0</v>
      </c>
    </row>
    <row r="6488">
      <c r="A6488" s="1" t="s">
        <v>8</v>
      </c>
      <c r="B6488" s="2">
        <v>44732.0</v>
      </c>
      <c r="C6488" s="3">
        <v>0.2690625</v>
      </c>
      <c r="D6488" s="1">
        <v>12.951155</v>
      </c>
      <c r="E6488" s="1">
        <v>80.140008</v>
      </c>
      <c r="F6488" s="1">
        <v>805.0</v>
      </c>
      <c r="G6488" s="1">
        <v>58.0</v>
      </c>
    </row>
    <row r="6489">
      <c r="A6489" s="1" t="s">
        <v>8</v>
      </c>
      <c r="B6489" s="2">
        <v>44732.0</v>
      </c>
      <c r="C6489" s="3">
        <v>0.269212962962963</v>
      </c>
      <c r="D6489" s="1">
        <v>12.952588</v>
      </c>
      <c r="E6489" s="1">
        <v>80.141102</v>
      </c>
      <c r="F6489" s="1">
        <v>805.0</v>
      </c>
      <c r="G6489" s="1">
        <v>47.0</v>
      </c>
    </row>
    <row r="6490">
      <c r="A6490" s="1" t="s">
        <v>8</v>
      </c>
      <c r="B6490" s="2">
        <v>44732.0</v>
      </c>
      <c r="C6490" s="3">
        <v>0.269375</v>
      </c>
      <c r="D6490" s="1">
        <v>12.954536</v>
      </c>
      <c r="E6490" s="1">
        <v>80.142242</v>
      </c>
      <c r="F6490" s="1">
        <v>805.0</v>
      </c>
      <c r="G6490" s="1">
        <v>57.0</v>
      </c>
    </row>
    <row r="6491">
      <c r="A6491" s="1" t="s">
        <v>7</v>
      </c>
      <c r="B6491" s="2">
        <v>44732.0</v>
      </c>
      <c r="C6491" s="3">
        <v>0.26949074074074075</v>
      </c>
      <c r="D6491" s="1">
        <v>12.621053</v>
      </c>
      <c r="E6491" s="1">
        <v>79.927407</v>
      </c>
      <c r="F6491" s="1">
        <v>2846.0</v>
      </c>
      <c r="G6491" s="1">
        <v>57.0</v>
      </c>
    </row>
    <row r="6492">
      <c r="A6492" s="1" t="s">
        <v>8</v>
      </c>
      <c r="B6492" s="2">
        <v>44732.0</v>
      </c>
      <c r="C6492" s="3">
        <v>0.2695949074074074</v>
      </c>
      <c r="D6492" s="1">
        <v>12.956229</v>
      </c>
      <c r="E6492" s="1">
        <v>80.143126</v>
      </c>
      <c r="F6492" s="1">
        <v>805.0</v>
      </c>
      <c r="G6492" s="1">
        <v>45.0</v>
      </c>
    </row>
    <row r="6493">
      <c r="A6493" s="1" t="s">
        <v>8</v>
      </c>
      <c r="B6493" s="2">
        <v>44732.0</v>
      </c>
      <c r="C6493" s="3">
        <v>0.27025462962962965</v>
      </c>
      <c r="D6493" s="1">
        <v>12.960933</v>
      </c>
      <c r="E6493" s="1">
        <v>80.1455</v>
      </c>
      <c r="F6493" s="1">
        <v>805.0</v>
      </c>
      <c r="G6493" s="1">
        <v>42.0</v>
      </c>
    </row>
    <row r="6494">
      <c r="A6494" s="1" t="s">
        <v>8</v>
      </c>
      <c r="B6494" s="2">
        <v>44732.0</v>
      </c>
      <c r="C6494" s="3">
        <v>0.27033564814814814</v>
      </c>
      <c r="D6494" s="1">
        <v>12.960933</v>
      </c>
      <c r="E6494" s="1">
        <v>80.1455</v>
      </c>
      <c r="F6494" s="1">
        <v>805.0</v>
      </c>
      <c r="G6494" s="1">
        <v>42.0</v>
      </c>
    </row>
    <row r="6495">
      <c r="A6495" s="1" t="s">
        <v>7</v>
      </c>
      <c r="B6495" s="2">
        <v>44732.0</v>
      </c>
      <c r="C6495" s="3">
        <v>0.27038194444444447</v>
      </c>
      <c r="D6495" s="1">
        <v>12.610513</v>
      </c>
      <c r="E6495" s="1">
        <v>79.923017</v>
      </c>
      <c r="F6495" s="1">
        <v>2846.0</v>
      </c>
      <c r="G6495" s="1">
        <v>57.0</v>
      </c>
    </row>
    <row r="6496">
      <c r="A6496" s="1" t="s">
        <v>7</v>
      </c>
      <c r="B6496" s="2">
        <v>44732.0</v>
      </c>
      <c r="C6496" s="3">
        <v>0.27069444444444446</v>
      </c>
      <c r="D6496" s="1">
        <v>13.02316</v>
      </c>
      <c r="E6496" s="1">
        <v>80.227212</v>
      </c>
      <c r="F6496" s="1">
        <v>5339.0</v>
      </c>
      <c r="G6496" s="1">
        <v>54.0</v>
      </c>
    </row>
    <row r="6497">
      <c r="A6497" s="1" t="s">
        <v>7</v>
      </c>
      <c r="B6497" s="2">
        <v>44732.0</v>
      </c>
      <c r="C6497" s="3">
        <v>0.27099537037037036</v>
      </c>
      <c r="D6497" s="1">
        <v>12.968944</v>
      </c>
      <c r="E6497" s="1">
        <v>80.14985</v>
      </c>
      <c r="F6497" s="1">
        <v>805.0</v>
      </c>
      <c r="G6497" s="1">
        <v>58.0</v>
      </c>
    </row>
    <row r="6498">
      <c r="A6498" s="1" t="s">
        <v>7</v>
      </c>
      <c r="B6498" s="2">
        <v>44732.0</v>
      </c>
      <c r="C6498" s="3">
        <v>0.271712962962963</v>
      </c>
      <c r="D6498" s="1">
        <v>12.97562</v>
      </c>
      <c r="E6498" s="1">
        <v>80.15645</v>
      </c>
      <c r="F6498" s="1">
        <v>805.0</v>
      </c>
      <c r="G6498" s="1">
        <v>58.0</v>
      </c>
    </row>
    <row r="6499">
      <c r="A6499" s="1" t="s">
        <v>7</v>
      </c>
      <c r="B6499" s="2">
        <v>44732.0</v>
      </c>
      <c r="C6499" s="3">
        <v>0.27172453703703703</v>
      </c>
      <c r="D6499" s="1">
        <v>12.596251</v>
      </c>
      <c r="E6499" s="1">
        <v>79.919574</v>
      </c>
      <c r="F6499" s="1">
        <v>2846.0</v>
      </c>
      <c r="G6499" s="1">
        <v>54.0</v>
      </c>
    </row>
    <row r="6500">
      <c r="A6500" s="1" t="s">
        <v>8</v>
      </c>
      <c r="B6500" s="2">
        <v>44732.0</v>
      </c>
      <c r="C6500" s="3">
        <v>0.2717824074074074</v>
      </c>
      <c r="D6500" s="1">
        <v>13.025935</v>
      </c>
      <c r="E6500" s="1">
        <v>80.230918</v>
      </c>
      <c r="F6500" s="1">
        <v>5339.0</v>
      </c>
      <c r="G6500" s="1">
        <v>34.0</v>
      </c>
    </row>
    <row r="6501">
      <c r="A6501" s="1" t="s">
        <v>7</v>
      </c>
      <c r="B6501" s="2">
        <v>44732.0</v>
      </c>
      <c r="C6501" s="3">
        <v>0.27184027777777775</v>
      </c>
      <c r="D6501" s="1">
        <v>12.593893</v>
      </c>
      <c r="E6501" s="1">
        <v>79.919332</v>
      </c>
      <c r="F6501" s="1">
        <v>2846.0</v>
      </c>
      <c r="G6501" s="1">
        <v>56.0</v>
      </c>
    </row>
    <row r="6502">
      <c r="A6502" s="1" t="s">
        <v>7</v>
      </c>
      <c r="B6502" s="2">
        <v>44732.0</v>
      </c>
      <c r="C6502" s="3">
        <v>0.27199074074074076</v>
      </c>
      <c r="D6502" s="1">
        <v>12.977024</v>
      </c>
      <c r="E6502" s="1">
        <v>80.158542</v>
      </c>
      <c r="F6502" s="1">
        <v>805.0</v>
      </c>
      <c r="G6502" s="1">
        <v>57.0</v>
      </c>
    </row>
    <row r="6503">
      <c r="A6503" s="1" t="s">
        <v>7</v>
      </c>
      <c r="B6503" s="2">
        <v>44732.0</v>
      </c>
      <c r="C6503" s="3">
        <v>0.27211805555555557</v>
      </c>
      <c r="D6503" s="1">
        <v>12.97837</v>
      </c>
      <c r="E6503" s="1">
        <v>80.160494</v>
      </c>
      <c r="F6503" s="1">
        <v>805.0</v>
      </c>
      <c r="G6503" s="1">
        <v>58.0</v>
      </c>
    </row>
    <row r="6504">
      <c r="A6504" s="1" t="s">
        <v>7</v>
      </c>
      <c r="B6504" s="2">
        <v>44732.0</v>
      </c>
      <c r="C6504" s="3">
        <v>0.27219907407407407</v>
      </c>
      <c r="D6504" s="1">
        <v>12.591614</v>
      </c>
      <c r="E6504" s="1">
        <v>79.919301</v>
      </c>
      <c r="F6504" s="1">
        <v>2846.0</v>
      </c>
      <c r="G6504" s="1">
        <v>55.0</v>
      </c>
    </row>
    <row r="6505">
      <c r="A6505" s="1" t="s">
        <v>7</v>
      </c>
      <c r="B6505" s="2">
        <v>44732.0</v>
      </c>
      <c r="C6505" s="3">
        <v>0.27229166666666665</v>
      </c>
      <c r="D6505" s="1">
        <v>12.979724</v>
      </c>
      <c r="E6505" s="1">
        <v>80.162438</v>
      </c>
      <c r="F6505" s="1">
        <v>805.0</v>
      </c>
      <c r="G6505" s="1">
        <v>58.0</v>
      </c>
    </row>
    <row r="6506">
      <c r="A6506" s="1" t="s">
        <v>7</v>
      </c>
      <c r="B6506" s="2">
        <v>44732.0</v>
      </c>
      <c r="C6506" s="3">
        <v>0.2725462962962963</v>
      </c>
      <c r="D6506" s="1">
        <v>12.587042</v>
      </c>
      <c r="E6506" s="1">
        <v>79.919506</v>
      </c>
      <c r="F6506" s="1">
        <v>2846.0</v>
      </c>
      <c r="G6506" s="1">
        <v>55.0</v>
      </c>
    </row>
    <row r="6507">
      <c r="A6507" s="1" t="s">
        <v>7</v>
      </c>
      <c r="B6507" s="2">
        <v>44732.0</v>
      </c>
      <c r="C6507" s="3">
        <v>0.27269675925925924</v>
      </c>
      <c r="D6507" s="1">
        <v>12.584652</v>
      </c>
      <c r="E6507" s="1">
        <v>79.919433</v>
      </c>
      <c r="F6507" s="1">
        <v>2846.0</v>
      </c>
      <c r="G6507" s="1">
        <v>56.0</v>
      </c>
    </row>
    <row r="6508">
      <c r="A6508" s="1" t="s">
        <v>8</v>
      </c>
      <c r="B6508" s="2">
        <v>44732.0</v>
      </c>
      <c r="C6508" s="3">
        <v>0.27283564814814815</v>
      </c>
      <c r="D6508" s="1">
        <v>13.027943</v>
      </c>
      <c r="E6508" s="1">
        <v>80.23531</v>
      </c>
      <c r="F6508" s="1">
        <v>5339.0</v>
      </c>
      <c r="G6508" s="1">
        <v>38.0</v>
      </c>
    </row>
    <row r="6509">
      <c r="A6509" s="1" t="s">
        <v>8</v>
      </c>
      <c r="B6509" s="2">
        <v>44732.0</v>
      </c>
      <c r="C6509" s="3">
        <v>0.27297453703703706</v>
      </c>
      <c r="D6509" s="1">
        <v>12.580284</v>
      </c>
      <c r="E6509" s="1">
        <v>79.918497</v>
      </c>
      <c r="F6509" s="1">
        <v>2846.0</v>
      </c>
      <c r="G6509" s="1">
        <v>50.0</v>
      </c>
    </row>
    <row r="6510">
      <c r="A6510" s="1" t="s">
        <v>8</v>
      </c>
      <c r="B6510" s="2">
        <v>44732.0</v>
      </c>
      <c r="C6510" s="3">
        <v>0.27305555555555555</v>
      </c>
      <c r="D6510" s="1">
        <v>12.984071</v>
      </c>
      <c r="E6510" s="1">
        <v>80.171018</v>
      </c>
      <c r="F6510" s="1">
        <v>805.0</v>
      </c>
      <c r="G6510" s="1">
        <v>58.0</v>
      </c>
    </row>
    <row r="6511">
      <c r="A6511" s="1" t="s">
        <v>7</v>
      </c>
      <c r="B6511" s="2">
        <v>44732.0</v>
      </c>
      <c r="C6511" s="3">
        <v>0.27326388888888886</v>
      </c>
      <c r="D6511" s="1">
        <v>12.985295</v>
      </c>
      <c r="E6511" s="1">
        <v>80.172953</v>
      </c>
      <c r="F6511" s="1">
        <v>805.0</v>
      </c>
      <c r="G6511" s="1">
        <v>56.0</v>
      </c>
    </row>
    <row r="6512">
      <c r="A6512" s="1" t="s">
        <v>7</v>
      </c>
      <c r="B6512" s="2">
        <v>44732.0</v>
      </c>
      <c r="C6512" s="3">
        <v>0.27341435185185187</v>
      </c>
      <c r="D6512" s="1">
        <v>12.986618</v>
      </c>
      <c r="E6512" s="1">
        <v>80.174875</v>
      </c>
      <c r="F6512" s="1">
        <v>805.0</v>
      </c>
      <c r="G6512" s="1">
        <v>57.0</v>
      </c>
    </row>
    <row r="6513">
      <c r="A6513" s="1" t="s">
        <v>7</v>
      </c>
      <c r="B6513" s="2">
        <v>44732.0</v>
      </c>
      <c r="C6513" s="3">
        <v>0.27350694444444446</v>
      </c>
      <c r="D6513" s="1">
        <v>12.576158</v>
      </c>
      <c r="E6513" s="1">
        <v>79.917141</v>
      </c>
      <c r="F6513" s="1">
        <v>2846.0</v>
      </c>
      <c r="G6513" s="1">
        <v>53.0</v>
      </c>
    </row>
    <row r="6514">
      <c r="A6514" s="1" t="s">
        <v>8</v>
      </c>
      <c r="B6514" s="2">
        <v>44732.0</v>
      </c>
      <c r="C6514" s="3">
        <v>0.27390046296296294</v>
      </c>
      <c r="D6514" s="1">
        <v>12.989329</v>
      </c>
      <c r="E6514" s="1">
        <v>80.178581</v>
      </c>
      <c r="F6514" s="1">
        <v>805.0</v>
      </c>
      <c r="G6514" s="1">
        <v>31.0</v>
      </c>
    </row>
    <row r="6515">
      <c r="A6515" s="1" t="s">
        <v>8</v>
      </c>
      <c r="B6515" s="2">
        <v>44732.0</v>
      </c>
      <c r="C6515" s="3">
        <v>0.27417824074074076</v>
      </c>
      <c r="D6515" s="1">
        <v>13.033422</v>
      </c>
      <c r="E6515" s="1">
        <v>80.243772</v>
      </c>
      <c r="F6515" s="1">
        <v>5339.0</v>
      </c>
      <c r="G6515" s="1">
        <v>30.0</v>
      </c>
    </row>
    <row r="6516">
      <c r="A6516" s="1" t="s">
        <v>7</v>
      </c>
      <c r="B6516" s="2">
        <v>44732.0</v>
      </c>
      <c r="C6516" s="3">
        <v>0.2741898148148148</v>
      </c>
      <c r="D6516" s="1">
        <v>12.567237</v>
      </c>
      <c r="E6516" s="1">
        <v>79.914985</v>
      </c>
      <c r="F6516" s="1">
        <v>2846.0</v>
      </c>
      <c r="G6516" s="1">
        <v>55.0</v>
      </c>
    </row>
    <row r="6517">
      <c r="A6517" s="1" t="s">
        <v>8</v>
      </c>
      <c r="B6517" s="2">
        <v>44732.0</v>
      </c>
      <c r="C6517" s="3">
        <v>0.27427083333333335</v>
      </c>
      <c r="D6517" s="1">
        <v>12.990258</v>
      </c>
      <c r="E6517" s="1">
        <v>80.179782</v>
      </c>
      <c r="F6517" s="1">
        <v>805.0</v>
      </c>
      <c r="G6517" s="1">
        <v>24.0</v>
      </c>
    </row>
    <row r="6518">
      <c r="A6518" s="1" t="s">
        <v>8</v>
      </c>
      <c r="B6518" s="2">
        <v>44732.0</v>
      </c>
      <c r="C6518" s="3">
        <v>0.2744212962962963</v>
      </c>
      <c r="D6518" s="1">
        <v>12.991384</v>
      </c>
      <c r="E6518" s="1">
        <v>80.181259</v>
      </c>
      <c r="F6518" s="1">
        <v>805.0</v>
      </c>
      <c r="G6518" s="1">
        <v>48.0</v>
      </c>
    </row>
    <row r="6519">
      <c r="A6519" s="1" t="s">
        <v>8</v>
      </c>
      <c r="B6519" s="2">
        <v>44732.0</v>
      </c>
      <c r="C6519" s="3">
        <v>0.274837962962963</v>
      </c>
      <c r="D6519" s="1">
        <v>12.993645</v>
      </c>
      <c r="E6519" s="1">
        <v>80.18478</v>
      </c>
      <c r="F6519" s="1">
        <v>805.0</v>
      </c>
      <c r="G6519" s="1">
        <v>26.0</v>
      </c>
    </row>
    <row r="6520">
      <c r="A6520" s="1" t="s">
        <v>8</v>
      </c>
      <c r="B6520" s="2">
        <v>44732.0</v>
      </c>
      <c r="C6520" s="3">
        <v>0.274837962962963</v>
      </c>
      <c r="D6520" s="1">
        <v>12.993645</v>
      </c>
      <c r="E6520" s="1">
        <v>80.18478</v>
      </c>
      <c r="F6520" s="1">
        <v>805.0</v>
      </c>
      <c r="G6520" s="1">
        <v>26.0</v>
      </c>
    </row>
    <row r="6521">
      <c r="A6521" s="1" t="s">
        <v>7</v>
      </c>
      <c r="B6521" s="2">
        <v>44732.0</v>
      </c>
      <c r="C6521" s="3">
        <v>0.27501157407407406</v>
      </c>
      <c r="D6521" s="1">
        <v>12.559168</v>
      </c>
      <c r="E6521" s="1">
        <v>79.910818</v>
      </c>
      <c r="F6521" s="1">
        <v>2846.0</v>
      </c>
      <c r="G6521" s="1">
        <v>55.0</v>
      </c>
    </row>
    <row r="6522">
      <c r="A6522" s="1" t="s">
        <v>7</v>
      </c>
      <c r="B6522" s="2">
        <v>44732.0</v>
      </c>
      <c r="C6522" s="3">
        <v>0.27569444444444446</v>
      </c>
      <c r="D6522" s="1">
        <v>12.550064</v>
      </c>
      <c r="E6522" s="1">
        <v>79.906233</v>
      </c>
      <c r="F6522" s="1">
        <v>2846.0</v>
      </c>
      <c r="G6522" s="1">
        <v>57.0</v>
      </c>
    </row>
    <row r="6523">
      <c r="A6523" s="1" t="s">
        <v>7</v>
      </c>
      <c r="B6523" s="2">
        <v>44732.0</v>
      </c>
      <c r="C6523" s="3">
        <v>0.27591435185185187</v>
      </c>
      <c r="D6523" s="1">
        <v>12.547918</v>
      </c>
      <c r="E6523" s="1">
        <v>79.905808</v>
      </c>
      <c r="F6523" s="1">
        <v>2846.0</v>
      </c>
      <c r="G6523" s="1">
        <v>58.0</v>
      </c>
    </row>
    <row r="6524">
      <c r="A6524" s="1" t="s">
        <v>7</v>
      </c>
      <c r="B6524" s="2">
        <v>44732.0</v>
      </c>
      <c r="C6524" s="3">
        <v>0.2761574074074074</v>
      </c>
      <c r="D6524" s="1">
        <v>12.544216</v>
      </c>
      <c r="E6524" s="1">
        <v>79.905131</v>
      </c>
      <c r="F6524" s="1">
        <v>2846.0</v>
      </c>
      <c r="G6524" s="1">
        <v>56.0</v>
      </c>
    </row>
    <row r="6525">
      <c r="A6525" s="1" t="s">
        <v>8</v>
      </c>
      <c r="B6525" s="2">
        <v>44732.0</v>
      </c>
      <c r="C6525" s="3">
        <v>0.27622685185185186</v>
      </c>
      <c r="D6525" s="1">
        <v>12.999205</v>
      </c>
      <c r="E6525" s="1">
        <v>80.193147</v>
      </c>
      <c r="F6525" s="1">
        <v>805.0</v>
      </c>
      <c r="G6525" s="1">
        <v>55.0</v>
      </c>
    </row>
    <row r="6526">
      <c r="A6526" s="1" t="s">
        <v>7</v>
      </c>
      <c r="B6526" s="2">
        <v>44732.0</v>
      </c>
      <c r="C6526" s="3">
        <v>0.2764814814814815</v>
      </c>
      <c r="D6526" s="1">
        <v>12.541453</v>
      </c>
      <c r="E6526" s="1">
        <v>79.904644</v>
      </c>
      <c r="F6526" s="1">
        <v>2846.0</v>
      </c>
      <c r="G6526" s="1">
        <v>59.0</v>
      </c>
    </row>
    <row r="6527">
      <c r="A6527" s="1" t="s">
        <v>7</v>
      </c>
      <c r="B6527" s="2">
        <v>44732.0</v>
      </c>
      <c r="C6527" s="3">
        <v>0.2765972222222222</v>
      </c>
      <c r="D6527" s="1">
        <v>12.540016</v>
      </c>
      <c r="E6527" s="1">
        <v>79.904376</v>
      </c>
      <c r="F6527" s="1">
        <v>2846.0</v>
      </c>
      <c r="G6527" s="1">
        <v>58.0</v>
      </c>
    </row>
    <row r="6528">
      <c r="A6528" s="1" t="s">
        <v>7</v>
      </c>
      <c r="B6528" s="2">
        <v>44732.0</v>
      </c>
      <c r="C6528" s="3">
        <v>0.27663194444444444</v>
      </c>
      <c r="D6528" s="1">
        <v>12.538453</v>
      </c>
      <c r="E6528" s="1">
        <v>79.904026</v>
      </c>
      <c r="F6528" s="1">
        <v>2846.0</v>
      </c>
      <c r="G6528" s="1">
        <v>58.0</v>
      </c>
    </row>
    <row r="6529">
      <c r="A6529" s="1" t="s">
        <v>8</v>
      </c>
      <c r="B6529" s="2">
        <v>44732.0</v>
      </c>
      <c r="C6529" s="3">
        <v>0.27674768518518517</v>
      </c>
      <c r="D6529" s="1">
        <v>13.00193</v>
      </c>
      <c r="E6529" s="1">
        <v>80.198476</v>
      </c>
      <c r="F6529" s="1">
        <v>805.0</v>
      </c>
      <c r="G6529" s="1">
        <v>59.0</v>
      </c>
    </row>
    <row r="6530">
      <c r="A6530" s="1" t="s">
        <v>8</v>
      </c>
      <c r="B6530" s="2">
        <v>44732.0</v>
      </c>
      <c r="C6530" s="3">
        <v>0.2770138888888889</v>
      </c>
      <c r="D6530" s="1">
        <v>13.045407</v>
      </c>
      <c r="E6530" s="1">
        <v>80.248099</v>
      </c>
      <c r="F6530" s="1">
        <v>5339.0</v>
      </c>
      <c r="G6530" s="1">
        <v>35.0</v>
      </c>
    </row>
    <row r="6531">
      <c r="A6531" s="1" t="s">
        <v>8</v>
      </c>
      <c r="B6531" s="2">
        <v>44732.0</v>
      </c>
      <c r="C6531" s="3">
        <v>0.2770949074074074</v>
      </c>
      <c r="D6531" s="1">
        <v>13.002962</v>
      </c>
      <c r="E6531" s="1">
        <v>80.200716</v>
      </c>
      <c r="F6531" s="1">
        <v>805.0</v>
      </c>
      <c r="G6531" s="1">
        <v>7.0</v>
      </c>
    </row>
    <row r="6532">
      <c r="A6532" s="1" t="s">
        <v>8</v>
      </c>
      <c r="B6532" s="2">
        <v>44732.0</v>
      </c>
      <c r="C6532" s="3">
        <v>0.2771296296296296</v>
      </c>
      <c r="D6532" s="1">
        <v>13.002962</v>
      </c>
      <c r="E6532" s="1">
        <v>80.200716</v>
      </c>
      <c r="F6532" s="1">
        <v>805.0</v>
      </c>
      <c r="G6532" s="1">
        <v>7.0</v>
      </c>
    </row>
    <row r="6533">
      <c r="A6533" s="1" t="s">
        <v>8</v>
      </c>
      <c r="B6533" s="2">
        <v>44732.0</v>
      </c>
      <c r="C6533" s="3">
        <v>0.2771296296296296</v>
      </c>
      <c r="D6533" s="1">
        <v>13.002962</v>
      </c>
      <c r="E6533" s="1">
        <v>80.200716</v>
      </c>
      <c r="F6533" s="1">
        <v>805.0</v>
      </c>
      <c r="G6533" s="1">
        <v>7.0</v>
      </c>
    </row>
    <row r="6534">
      <c r="A6534" s="1" t="s">
        <v>8</v>
      </c>
      <c r="B6534" s="2">
        <v>44732.0</v>
      </c>
      <c r="C6534" s="3">
        <v>0.2775810185185185</v>
      </c>
      <c r="D6534" s="1">
        <v>13.050004</v>
      </c>
      <c r="E6534" s="1">
        <v>80.249803</v>
      </c>
      <c r="F6534" s="1">
        <v>5339.0</v>
      </c>
      <c r="G6534" s="1">
        <v>45.0</v>
      </c>
    </row>
    <row r="6535">
      <c r="A6535" s="1" t="s">
        <v>7</v>
      </c>
      <c r="B6535" s="2">
        <v>44732.0</v>
      </c>
      <c r="C6535" s="3">
        <v>0.27778935185185183</v>
      </c>
      <c r="D6535" s="1">
        <v>12.525494</v>
      </c>
      <c r="E6535" s="1">
        <v>79.897282</v>
      </c>
      <c r="F6535" s="1">
        <v>2846.0</v>
      </c>
      <c r="G6535" s="1">
        <v>57.0</v>
      </c>
    </row>
    <row r="6536">
      <c r="A6536" s="1" t="s">
        <v>8</v>
      </c>
      <c r="B6536" s="2">
        <v>44732.0</v>
      </c>
      <c r="C6536" s="3">
        <v>0.27793981481481483</v>
      </c>
      <c r="D6536" s="1">
        <v>13.050004</v>
      </c>
      <c r="E6536" s="1">
        <v>80.249803</v>
      </c>
      <c r="F6536" s="1">
        <v>5339.0</v>
      </c>
      <c r="G6536" s="1">
        <v>45.0</v>
      </c>
    </row>
    <row r="6537">
      <c r="A6537" s="1" t="s">
        <v>8</v>
      </c>
      <c r="B6537" s="2">
        <v>44732.0</v>
      </c>
      <c r="C6537" s="3">
        <v>0.27796296296296297</v>
      </c>
      <c r="D6537" s="1">
        <v>13.053524</v>
      </c>
      <c r="E6537" s="1">
        <v>80.252538</v>
      </c>
      <c r="F6537" s="1">
        <v>5339.0</v>
      </c>
      <c r="G6537" s="1">
        <v>48.0</v>
      </c>
    </row>
    <row r="6538">
      <c r="A6538" s="1" t="s">
        <v>7</v>
      </c>
      <c r="B6538" s="2">
        <v>44732.0</v>
      </c>
      <c r="C6538" s="3">
        <v>0.27806712962962965</v>
      </c>
      <c r="D6538" s="1">
        <v>12.523957</v>
      </c>
      <c r="E6538" s="1">
        <v>79.896594</v>
      </c>
      <c r="F6538" s="1">
        <v>2846.0</v>
      </c>
      <c r="G6538" s="1">
        <v>53.0</v>
      </c>
    </row>
    <row r="6539">
      <c r="A6539" s="1" t="s">
        <v>8</v>
      </c>
      <c r="B6539" s="2">
        <v>44732.0</v>
      </c>
      <c r="C6539" s="3">
        <v>0.27814814814814814</v>
      </c>
      <c r="D6539" s="1">
        <v>13.05421</v>
      </c>
      <c r="E6539" s="1">
        <v>80.253511</v>
      </c>
      <c r="F6539" s="1">
        <v>5339.0</v>
      </c>
      <c r="G6539" s="1">
        <v>46.0</v>
      </c>
    </row>
    <row r="6540">
      <c r="A6540" s="1" t="s">
        <v>7</v>
      </c>
      <c r="B6540" s="2">
        <v>44732.0</v>
      </c>
      <c r="C6540" s="3">
        <v>0.2782291666666667</v>
      </c>
      <c r="D6540" s="1">
        <v>13.007566</v>
      </c>
      <c r="E6540" s="1">
        <v>80.203575</v>
      </c>
      <c r="F6540" s="1">
        <v>805.0</v>
      </c>
      <c r="G6540" s="1">
        <v>50.0</v>
      </c>
    </row>
    <row r="6541">
      <c r="A6541" s="1" t="s">
        <v>7</v>
      </c>
      <c r="B6541" s="2">
        <v>44732.0</v>
      </c>
      <c r="C6541" s="3">
        <v>0.2784259259259259</v>
      </c>
      <c r="D6541" s="1">
        <v>12.520631</v>
      </c>
      <c r="E6541" s="1">
        <v>79.894209</v>
      </c>
      <c r="F6541" s="1">
        <v>2846.0</v>
      </c>
      <c r="G6541" s="1">
        <v>57.0</v>
      </c>
    </row>
    <row r="6542">
      <c r="A6542" s="1" t="s">
        <v>7</v>
      </c>
      <c r="B6542" s="2">
        <v>44732.0</v>
      </c>
      <c r="C6542" s="3">
        <v>0.2790162037037037</v>
      </c>
      <c r="D6542" s="1">
        <v>12.515253</v>
      </c>
      <c r="E6542" s="1">
        <v>79.886589</v>
      </c>
      <c r="F6542" s="1">
        <v>2846.0</v>
      </c>
      <c r="G6542" s="1">
        <v>51.0</v>
      </c>
    </row>
    <row r="6543">
      <c r="A6543" s="1" t="s">
        <v>7</v>
      </c>
      <c r="B6543" s="2">
        <v>44732.0</v>
      </c>
      <c r="C6543" s="3">
        <v>0.2790625</v>
      </c>
      <c r="D6543" s="1">
        <v>13.009199</v>
      </c>
      <c r="E6543" s="1">
        <v>80.212307</v>
      </c>
      <c r="F6543" s="1">
        <v>805.0</v>
      </c>
      <c r="G6543" s="1">
        <v>49.0</v>
      </c>
    </row>
    <row r="6544">
      <c r="A6544" s="1" t="s">
        <v>7</v>
      </c>
      <c r="B6544" s="2">
        <v>44732.0</v>
      </c>
      <c r="C6544" s="3">
        <v>0.27914351851851854</v>
      </c>
      <c r="D6544" s="1">
        <v>12.514665</v>
      </c>
      <c r="E6544" s="1">
        <v>79.885456</v>
      </c>
      <c r="F6544" s="1">
        <v>2846.0</v>
      </c>
      <c r="G6544" s="1">
        <v>50.0</v>
      </c>
    </row>
    <row r="6545">
      <c r="A6545" s="1" t="s">
        <v>8</v>
      </c>
      <c r="B6545" s="2">
        <v>44732.0</v>
      </c>
      <c r="C6545" s="3">
        <v>0.27934027777777776</v>
      </c>
      <c r="D6545" s="1">
        <v>13.061573</v>
      </c>
      <c r="E6545" s="1">
        <v>80.254428</v>
      </c>
      <c r="F6545" s="1">
        <v>5339.0</v>
      </c>
      <c r="G6545" s="1">
        <v>31.0</v>
      </c>
    </row>
    <row r="6546">
      <c r="A6546" s="1" t="s">
        <v>7</v>
      </c>
      <c r="B6546" s="2">
        <v>44732.0</v>
      </c>
      <c r="C6546" s="3">
        <v>0.2793865740740741</v>
      </c>
      <c r="D6546" s="1">
        <v>12.512551</v>
      </c>
      <c r="E6546" s="1">
        <v>79.883797</v>
      </c>
      <c r="F6546" s="1">
        <v>2846.0</v>
      </c>
      <c r="G6546" s="1">
        <v>55.0</v>
      </c>
    </row>
    <row r="6547">
      <c r="A6547" s="1" t="s">
        <v>7</v>
      </c>
      <c r="B6547" s="2">
        <v>44732.0</v>
      </c>
      <c r="C6547" s="3">
        <v>0.27944444444444444</v>
      </c>
      <c r="D6547" s="1">
        <v>13.011641</v>
      </c>
      <c r="E6547" s="1">
        <v>80.218932</v>
      </c>
      <c r="F6547" s="1">
        <v>805.0</v>
      </c>
      <c r="G6547" s="1">
        <v>58.0</v>
      </c>
    </row>
    <row r="6548">
      <c r="A6548" s="1" t="s">
        <v>7</v>
      </c>
      <c r="B6548" s="2">
        <v>44732.0</v>
      </c>
      <c r="C6548" s="3">
        <v>0.27978009259259257</v>
      </c>
      <c r="D6548" s="1">
        <v>13.013622</v>
      </c>
      <c r="E6548" s="1">
        <v>80.222838</v>
      </c>
      <c r="F6548" s="1">
        <v>805.0</v>
      </c>
      <c r="G6548" s="1">
        <v>58.0</v>
      </c>
    </row>
    <row r="6549">
      <c r="A6549" s="1" t="s">
        <v>8</v>
      </c>
      <c r="B6549" s="2">
        <v>44732.0</v>
      </c>
      <c r="C6549" s="3">
        <v>0.2801851851851852</v>
      </c>
      <c r="D6549" s="1">
        <v>13.016944</v>
      </c>
      <c r="E6549" s="1">
        <v>80.225221</v>
      </c>
      <c r="F6549" s="1">
        <v>805.0</v>
      </c>
      <c r="G6549" s="1">
        <v>58.0</v>
      </c>
    </row>
    <row r="6550">
      <c r="A6550" s="1" t="s">
        <v>8</v>
      </c>
      <c r="B6550" s="2">
        <v>44732.0</v>
      </c>
      <c r="C6550" s="3">
        <v>0.28075231481481483</v>
      </c>
      <c r="D6550" s="1">
        <v>13.021782</v>
      </c>
      <c r="E6550" s="1">
        <v>80.226015</v>
      </c>
      <c r="F6550" s="1">
        <v>805.0</v>
      </c>
      <c r="G6550" s="1">
        <v>42.0</v>
      </c>
    </row>
    <row r="6551">
      <c r="A6551" s="1" t="s">
        <v>8</v>
      </c>
      <c r="B6551" s="2">
        <v>44732.0</v>
      </c>
      <c r="C6551" s="3">
        <v>0.2811342592592593</v>
      </c>
      <c r="D6551" s="1">
        <v>13.024008</v>
      </c>
      <c r="E6551" s="1">
        <v>80.228103</v>
      </c>
      <c r="F6551" s="1">
        <v>805.0</v>
      </c>
      <c r="G6551" s="1">
        <v>40.0</v>
      </c>
    </row>
    <row r="6552">
      <c r="A6552" s="1" t="s">
        <v>8</v>
      </c>
      <c r="B6552" s="2">
        <v>44732.0</v>
      </c>
      <c r="C6552" s="3">
        <v>0.2822453703703704</v>
      </c>
      <c r="D6552" s="1">
        <v>13.028946</v>
      </c>
      <c r="E6552" s="1">
        <v>80.23644</v>
      </c>
      <c r="F6552" s="1">
        <v>805.0</v>
      </c>
      <c r="G6552" s="1">
        <v>38.0</v>
      </c>
    </row>
    <row r="6553">
      <c r="A6553" s="1" t="s">
        <v>8</v>
      </c>
      <c r="B6553" s="2">
        <v>44732.0</v>
      </c>
      <c r="C6553" s="3">
        <v>0.28239583333333335</v>
      </c>
      <c r="D6553" s="1">
        <v>13.02956</v>
      </c>
      <c r="E6553" s="1">
        <v>80.237152</v>
      </c>
      <c r="F6553" s="1">
        <v>805.0</v>
      </c>
      <c r="G6553" s="1">
        <v>30.0</v>
      </c>
    </row>
    <row r="6554">
      <c r="A6554" s="1" t="s">
        <v>8</v>
      </c>
      <c r="B6554" s="2">
        <v>44732.0</v>
      </c>
      <c r="C6554" s="3">
        <v>0.28278935185185183</v>
      </c>
      <c r="D6554" s="1">
        <v>13.031233</v>
      </c>
      <c r="E6554" s="1">
        <v>80.239872</v>
      </c>
      <c r="F6554" s="1">
        <v>805.0</v>
      </c>
      <c r="G6554" s="1">
        <v>28.0</v>
      </c>
    </row>
    <row r="6555">
      <c r="A6555" s="1" t="s">
        <v>8</v>
      </c>
      <c r="B6555" s="2">
        <v>44732.0</v>
      </c>
      <c r="C6555" s="3">
        <v>0.28305555555555556</v>
      </c>
      <c r="D6555" s="1">
        <v>13.031933</v>
      </c>
      <c r="E6555" s="1">
        <v>80.241352</v>
      </c>
      <c r="F6555" s="1">
        <v>805.0</v>
      </c>
      <c r="G6555" s="1">
        <v>33.0</v>
      </c>
    </row>
    <row r="6556">
      <c r="A6556" s="1" t="s">
        <v>8</v>
      </c>
      <c r="B6556" s="2">
        <v>44732.0</v>
      </c>
      <c r="C6556" s="3">
        <v>0.28306712962962965</v>
      </c>
      <c r="D6556" s="1">
        <v>13.031933</v>
      </c>
      <c r="E6556" s="1">
        <v>80.241352</v>
      </c>
      <c r="F6556" s="1">
        <v>805.0</v>
      </c>
      <c r="G6556" s="1">
        <v>33.0</v>
      </c>
    </row>
    <row r="6557">
      <c r="A6557" s="1" t="s">
        <v>8</v>
      </c>
      <c r="B6557" s="2">
        <v>44732.0</v>
      </c>
      <c r="C6557" s="3">
        <v>0.28322916666666664</v>
      </c>
      <c r="D6557" s="1">
        <v>13.032353</v>
      </c>
      <c r="E6557" s="1">
        <v>80.242138</v>
      </c>
      <c r="F6557" s="1">
        <v>805.0</v>
      </c>
      <c r="G6557" s="1">
        <v>35.0</v>
      </c>
    </row>
    <row r="6558">
      <c r="A6558" s="1" t="s">
        <v>8</v>
      </c>
      <c r="B6558" s="2">
        <v>44732.0</v>
      </c>
      <c r="C6558" s="3">
        <v>0.2836689814814815</v>
      </c>
      <c r="D6558" s="1">
        <v>13.033916</v>
      </c>
      <c r="E6558" s="1">
        <v>80.244306</v>
      </c>
      <c r="F6558" s="1">
        <v>805.0</v>
      </c>
      <c r="G6558" s="1">
        <v>26.0</v>
      </c>
    </row>
    <row r="6559">
      <c r="A6559" s="1" t="s">
        <v>8</v>
      </c>
      <c r="B6559" s="2">
        <v>44732.0</v>
      </c>
      <c r="C6559" s="3">
        <v>0.2838541666666667</v>
      </c>
      <c r="D6559" s="1">
        <v>13.034891</v>
      </c>
      <c r="E6559" s="1">
        <v>80.245663</v>
      </c>
      <c r="F6559" s="1">
        <v>805.0</v>
      </c>
      <c r="G6559" s="1">
        <v>35.0</v>
      </c>
    </row>
    <row r="6560">
      <c r="A6560" s="1" t="s">
        <v>8</v>
      </c>
      <c r="B6560" s="2">
        <v>44732.0</v>
      </c>
      <c r="C6560" s="3">
        <v>0.28391203703703705</v>
      </c>
      <c r="D6560" s="1">
        <v>13.034891</v>
      </c>
      <c r="E6560" s="1">
        <v>80.245663</v>
      </c>
      <c r="F6560" s="1">
        <v>805.0</v>
      </c>
      <c r="G6560" s="1">
        <v>35.0</v>
      </c>
    </row>
    <row r="6561">
      <c r="A6561" s="1" t="s">
        <v>8</v>
      </c>
      <c r="B6561" s="2">
        <v>44732.0</v>
      </c>
      <c r="C6561" s="3">
        <v>0.2852662037037037</v>
      </c>
      <c r="D6561" s="1">
        <v>13.04195</v>
      </c>
      <c r="E6561" s="1">
        <v>80.247349</v>
      </c>
      <c r="F6561" s="1">
        <v>805.0</v>
      </c>
      <c r="G6561" s="1">
        <v>44.0</v>
      </c>
    </row>
    <row r="6562">
      <c r="A6562" s="1" t="s">
        <v>8</v>
      </c>
      <c r="B6562" s="2">
        <v>44732.0</v>
      </c>
      <c r="C6562" s="3">
        <v>0.285462962962963</v>
      </c>
      <c r="D6562" s="1">
        <v>13.043724</v>
      </c>
      <c r="E6562" s="1">
        <v>80.247684</v>
      </c>
      <c r="F6562" s="1">
        <v>805.0</v>
      </c>
      <c r="G6562" s="1">
        <v>38.0</v>
      </c>
    </row>
    <row r="6563">
      <c r="A6563" s="1" t="s">
        <v>8</v>
      </c>
      <c r="B6563" s="2">
        <v>44732.0</v>
      </c>
      <c r="C6563" s="3">
        <v>0.28554398148148147</v>
      </c>
      <c r="D6563" s="1">
        <v>13.043724</v>
      </c>
      <c r="E6563" s="1">
        <v>80.247684</v>
      </c>
      <c r="F6563" s="1">
        <v>805.0</v>
      </c>
      <c r="G6563" s="1">
        <v>38.0</v>
      </c>
    </row>
    <row r="6564">
      <c r="A6564" s="1" t="s">
        <v>7</v>
      </c>
      <c r="B6564" s="2">
        <v>44732.0</v>
      </c>
      <c r="C6564" s="3">
        <v>0.28699074074074077</v>
      </c>
      <c r="D6564" s="1">
        <v>13.053295</v>
      </c>
      <c r="E6564" s="1">
        <v>80.252219</v>
      </c>
      <c r="F6564" s="1">
        <v>805.0</v>
      </c>
      <c r="G6564" s="1">
        <v>58.0</v>
      </c>
    </row>
    <row r="6565">
      <c r="A6565" s="1" t="s">
        <v>7</v>
      </c>
      <c r="B6565" s="2">
        <v>44732.0</v>
      </c>
      <c r="C6565" s="3">
        <v>0.2872222222222222</v>
      </c>
      <c r="D6565" s="1">
        <v>13.055065</v>
      </c>
      <c r="E6565" s="1">
        <v>80.254561</v>
      </c>
      <c r="F6565" s="1">
        <v>805.0</v>
      </c>
      <c r="G6565" s="1">
        <v>56.0</v>
      </c>
    </row>
    <row r="6566">
      <c r="A6566" s="1" t="s">
        <v>8</v>
      </c>
      <c r="B6566" s="2">
        <v>44732.0</v>
      </c>
      <c r="C6566" s="3">
        <v>0.29413194444444446</v>
      </c>
      <c r="D6566" s="1">
        <v>13.067345</v>
      </c>
      <c r="E6566" s="1">
        <v>80.270545</v>
      </c>
      <c r="F6566" s="1">
        <v>805.0</v>
      </c>
      <c r="G6566" s="1">
        <v>30.0</v>
      </c>
    </row>
    <row r="6567">
      <c r="A6567" s="1" t="s">
        <v>7</v>
      </c>
      <c r="B6567" s="2">
        <v>44732.0</v>
      </c>
      <c r="C6567" s="3">
        <v>0.2981712962962963</v>
      </c>
      <c r="D6567" s="1">
        <v>12.527279</v>
      </c>
      <c r="E6567" s="1">
        <v>79.897998</v>
      </c>
      <c r="F6567" s="1">
        <v>2846.0</v>
      </c>
      <c r="G6567" s="1">
        <v>55.0</v>
      </c>
    </row>
    <row r="6568">
      <c r="A6568" s="1" t="s">
        <v>7</v>
      </c>
      <c r="B6568" s="2">
        <v>44732.0</v>
      </c>
      <c r="C6568" s="3">
        <v>0.2989699074074074</v>
      </c>
      <c r="D6568" s="1">
        <v>12.53277</v>
      </c>
      <c r="E6568" s="1">
        <v>79.900718</v>
      </c>
      <c r="F6568" s="1">
        <v>2846.0</v>
      </c>
      <c r="G6568" s="1">
        <v>50.0</v>
      </c>
    </row>
    <row r="6569">
      <c r="A6569" s="1" t="s">
        <v>7</v>
      </c>
      <c r="B6569" s="2">
        <v>44732.0</v>
      </c>
      <c r="C6569" s="3">
        <v>0.2990277777777778</v>
      </c>
      <c r="D6569" s="1">
        <v>12.53277</v>
      </c>
      <c r="E6569" s="1">
        <v>79.900718</v>
      </c>
      <c r="F6569" s="1">
        <v>2846.0</v>
      </c>
      <c r="G6569" s="1">
        <v>50.0</v>
      </c>
    </row>
    <row r="6570">
      <c r="A6570" s="1" t="s">
        <v>7</v>
      </c>
      <c r="B6570" s="2">
        <v>44732.0</v>
      </c>
      <c r="C6570" s="3">
        <v>0.29939814814814814</v>
      </c>
      <c r="D6570" s="1">
        <v>12.536396</v>
      </c>
      <c r="E6570" s="1">
        <v>79.902644</v>
      </c>
      <c r="F6570" s="1">
        <v>2846.0</v>
      </c>
      <c r="G6570" s="1">
        <v>58.0</v>
      </c>
    </row>
    <row r="6571">
      <c r="A6571" s="1" t="s">
        <v>7</v>
      </c>
      <c r="B6571" s="2">
        <v>44732.0</v>
      </c>
      <c r="C6571" s="3">
        <v>0.2995833333333333</v>
      </c>
      <c r="D6571" s="1">
        <v>12.53885</v>
      </c>
      <c r="E6571" s="1">
        <v>79.903965</v>
      </c>
      <c r="F6571" s="1">
        <v>2846.0</v>
      </c>
      <c r="G6571" s="1">
        <v>51.0</v>
      </c>
    </row>
    <row r="6572">
      <c r="A6572" s="1" t="s">
        <v>8</v>
      </c>
      <c r="B6572" s="2">
        <v>44732.0</v>
      </c>
      <c r="C6572" s="3">
        <v>0.3002199074074074</v>
      </c>
      <c r="D6572" s="1">
        <v>13.071961</v>
      </c>
      <c r="E6572" s="1">
        <v>80.259497</v>
      </c>
      <c r="F6572" s="1">
        <v>5339.0</v>
      </c>
      <c r="G6572" s="1">
        <v>29.0</v>
      </c>
    </row>
    <row r="6573">
      <c r="A6573" s="1" t="s">
        <v>8</v>
      </c>
      <c r="B6573" s="2">
        <v>44732.0</v>
      </c>
      <c r="C6573" s="3">
        <v>0.3002662037037037</v>
      </c>
      <c r="D6573" s="1">
        <v>13.07245</v>
      </c>
      <c r="E6573" s="1">
        <v>80.260056</v>
      </c>
      <c r="F6573" s="1">
        <v>5339.0</v>
      </c>
      <c r="G6573" s="1">
        <v>29.0</v>
      </c>
    </row>
    <row r="6574">
      <c r="A6574" s="1" t="s">
        <v>8</v>
      </c>
      <c r="B6574" s="2">
        <v>44732.0</v>
      </c>
      <c r="C6574" s="3">
        <v>0.30027777777777775</v>
      </c>
      <c r="D6574" s="1">
        <v>13.07245</v>
      </c>
      <c r="E6574" s="1">
        <v>80.260056</v>
      </c>
      <c r="F6574" s="1">
        <v>5339.0</v>
      </c>
      <c r="G6574" s="1">
        <v>29.0</v>
      </c>
    </row>
    <row r="6575">
      <c r="A6575" s="1" t="s">
        <v>7</v>
      </c>
      <c r="B6575" s="2">
        <v>44732.0</v>
      </c>
      <c r="C6575" s="3">
        <v>0.3005555555555556</v>
      </c>
      <c r="D6575" s="1">
        <v>12.546553</v>
      </c>
      <c r="E6575" s="1">
        <v>79.90541</v>
      </c>
      <c r="F6575" s="1">
        <v>2846.0</v>
      </c>
      <c r="G6575" s="1">
        <v>58.0</v>
      </c>
    </row>
    <row r="6576">
      <c r="A6576" s="1" t="s">
        <v>7</v>
      </c>
      <c r="B6576" s="2">
        <v>44732.0</v>
      </c>
      <c r="C6576" s="3">
        <v>0.30096064814814816</v>
      </c>
      <c r="D6576" s="1">
        <v>12.552073</v>
      </c>
      <c r="E6576" s="1">
        <v>79.906929</v>
      </c>
      <c r="F6576" s="1">
        <v>2846.0</v>
      </c>
      <c r="G6576" s="1">
        <v>58.0</v>
      </c>
    </row>
    <row r="6577">
      <c r="A6577" s="1" t="s">
        <v>7</v>
      </c>
      <c r="B6577" s="2">
        <v>44732.0</v>
      </c>
      <c r="C6577" s="3">
        <v>0.3012037037037037</v>
      </c>
      <c r="D6577" s="1">
        <v>12.554734</v>
      </c>
      <c r="E6577" s="1">
        <v>79.908127</v>
      </c>
      <c r="F6577" s="1">
        <v>2846.0</v>
      </c>
      <c r="G6577" s="1">
        <v>57.0</v>
      </c>
    </row>
    <row r="6578">
      <c r="A6578" s="1" t="s">
        <v>7</v>
      </c>
      <c r="B6578" s="2">
        <v>44732.0</v>
      </c>
      <c r="C6578" s="3">
        <v>0.30136574074074074</v>
      </c>
      <c r="D6578" s="1">
        <v>12.556012</v>
      </c>
      <c r="E6578" s="1">
        <v>79.908828</v>
      </c>
      <c r="F6578" s="1">
        <v>2846.0</v>
      </c>
      <c r="G6578" s="1">
        <v>58.0</v>
      </c>
    </row>
    <row r="6579">
      <c r="A6579" s="1" t="s">
        <v>7</v>
      </c>
      <c r="B6579" s="2">
        <v>44732.0</v>
      </c>
      <c r="C6579" s="3">
        <v>0.30430555555555555</v>
      </c>
      <c r="D6579" s="1">
        <v>12.591642</v>
      </c>
      <c r="E6579" s="1">
        <v>79.919207</v>
      </c>
      <c r="F6579" s="1">
        <v>2846.0</v>
      </c>
      <c r="G6579" s="1">
        <v>57.0</v>
      </c>
    </row>
    <row r="6580">
      <c r="A6580" s="1" t="s">
        <v>7</v>
      </c>
      <c r="B6580" s="2">
        <v>44732.0</v>
      </c>
      <c r="C6580" s="3">
        <v>0.3051041666666667</v>
      </c>
      <c r="D6580" s="1">
        <v>12.60181</v>
      </c>
      <c r="E6580" s="1">
        <v>79.920056</v>
      </c>
      <c r="F6580" s="1">
        <v>2846.0</v>
      </c>
      <c r="G6580" s="1">
        <v>57.0</v>
      </c>
    </row>
    <row r="6581">
      <c r="A6581" s="1" t="s">
        <v>10</v>
      </c>
      <c r="B6581" s="2">
        <v>44732.0</v>
      </c>
      <c r="C6581" s="3">
        <v>0.30538194444444444</v>
      </c>
      <c r="D6581" s="1">
        <v>13.060785</v>
      </c>
      <c r="E6581" s="1">
        <v>80.274376</v>
      </c>
      <c r="F6581" s="1">
        <v>5339.0</v>
      </c>
      <c r="G6581" s="1">
        <v>22.0</v>
      </c>
    </row>
    <row r="6582">
      <c r="A6582" s="1" t="s">
        <v>7</v>
      </c>
      <c r="B6582" s="2">
        <v>44732.0</v>
      </c>
      <c r="C6582" s="3">
        <v>0.3056712962962963</v>
      </c>
      <c r="D6582" s="1">
        <v>12.607625</v>
      </c>
      <c r="E6582" s="1">
        <v>79.921249</v>
      </c>
      <c r="F6582" s="1">
        <v>2846.0</v>
      </c>
      <c r="G6582" s="1">
        <v>50.0</v>
      </c>
    </row>
    <row r="6583">
      <c r="A6583" s="1" t="s">
        <v>10</v>
      </c>
      <c r="B6583" s="2">
        <v>44732.0</v>
      </c>
      <c r="C6583" s="3">
        <v>0.3059722222222222</v>
      </c>
      <c r="D6583" s="1">
        <v>13.057952</v>
      </c>
      <c r="E6583" s="1">
        <v>80.274087</v>
      </c>
      <c r="F6583" s="1">
        <v>5339.0</v>
      </c>
      <c r="G6583" s="1">
        <v>24.0</v>
      </c>
    </row>
    <row r="6584">
      <c r="A6584" s="1" t="s">
        <v>7</v>
      </c>
      <c r="B6584" s="2">
        <v>44732.0</v>
      </c>
      <c r="C6584" s="3">
        <v>0.30645833333333333</v>
      </c>
      <c r="D6584" s="1">
        <v>12.615226</v>
      </c>
      <c r="E6584" s="1">
        <v>79.925579</v>
      </c>
      <c r="F6584" s="1">
        <v>2846.0</v>
      </c>
      <c r="G6584" s="1">
        <v>57.0</v>
      </c>
    </row>
    <row r="6585">
      <c r="A6585" s="1" t="s">
        <v>10</v>
      </c>
      <c r="B6585" s="2">
        <v>44732.0</v>
      </c>
      <c r="C6585" s="3">
        <v>0.30650462962962965</v>
      </c>
      <c r="D6585" s="1">
        <v>13.056158</v>
      </c>
      <c r="E6585" s="1">
        <v>80.273929</v>
      </c>
      <c r="F6585" s="1">
        <v>5339.0</v>
      </c>
      <c r="G6585" s="1">
        <v>27.0</v>
      </c>
    </row>
    <row r="6586">
      <c r="A6586" s="1" t="s">
        <v>7</v>
      </c>
      <c r="B6586" s="2">
        <v>44732.0</v>
      </c>
      <c r="C6586" s="3">
        <v>0.30657407407407405</v>
      </c>
      <c r="D6586" s="1">
        <v>12.616558</v>
      </c>
      <c r="E6586" s="1">
        <v>79.926171</v>
      </c>
      <c r="F6586" s="1">
        <v>2846.0</v>
      </c>
      <c r="G6586" s="1">
        <v>57.0</v>
      </c>
    </row>
    <row r="6587">
      <c r="A6587" s="1" t="s">
        <v>7</v>
      </c>
      <c r="B6587" s="2">
        <v>44732.0</v>
      </c>
      <c r="C6587" s="3">
        <v>0.3069212962962963</v>
      </c>
      <c r="D6587" s="1">
        <v>12.615226</v>
      </c>
      <c r="E6587" s="1">
        <v>79.925579</v>
      </c>
      <c r="F6587" s="1">
        <v>2846.0</v>
      </c>
      <c r="G6587" s="1">
        <v>57.0</v>
      </c>
    </row>
    <row r="6588">
      <c r="A6588" s="1" t="s">
        <v>7</v>
      </c>
      <c r="B6588" s="2">
        <v>44732.0</v>
      </c>
      <c r="C6588" s="3">
        <v>0.3070717592592593</v>
      </c>
      <c r="D6588" s="1">
        <v>12.623436</v>
      </c>
      <c r="E6588" s="1">
        <v>79.928249</v>
      </c>
      <c r="F6588" s="1">
        <v>2846.0</v>
      </c>
      <c r="G6588" s="1">
        <v>58.0</v>
      </c>
    </row>
    <row r="6589">
      <c r="A6589" s="1" t="s">
        <v>10</v>
      </c>
      <c r="B6589" s="2">
        <v>44732.0</v>
      </c>
      <c r="C6589" s="3">
        <v>0.3071527777777778</v>
      </c>
      <c r="D6589" s="1">
        <v>13.053689</v>
      </c>
      <c r="E6589" s="1">
        <v>80.273767</v>
      </c>
      <c r="F6589" s="1">
        <v>5339.0</v>
      </c>
      <c r="G6589" s="1">
        <v>22.0</v>
      </c>
    </row>
    <row r="6590">
      <c r="A6590" s="1" t="s">
        <v>7</v>
      </c>
      <c r="B6590" s="2">
        <v>44732.0</v>
      </c>
      <c r="C6590" s="3">
        <v>0.3073842592592593</v>
      </c>
      <c r="D6590" s="1">
        <v>12.626104</v>
      </c>
      <c r="E6590" s="1">
        <v>79.929412</v>
      </c>
      <c r="F6590" s="1">
        <v>2846.0</v>
      </c>
      <c r="G6590" s="1">
        <v>56.0</v>
      </c>
    </row>
    <row r="6591">
      <c r="A6591" s="1" t="s">
        <v>10</v>
      </c>
      <c r="B6591" s="2">
        <v>44732.0</v>
      </c>
      <c r="C6591" s="3">
        <v>0.30744212962962963</v>
      </c>
      <c r="D6591" s="1">
        <v>13.052908</v>
      </c>
      <c r="E6591" s="1">
        <v>80.273704</v>
      </c>
      <c r="F6591" s="1">
        <v>5339.0</v>
      </c>
      <c r="G6591" s="1">
        <v>9.0</v>
      </c>
    </row>
    <row r="6592">
      <c r="A6592" s="1" t="s">
        <v>10</v>
      </c>
      <c r="B6592" s="2">
        <v>44732.0</v>
      </c>
      <c r="C6592" s="3">
        <v>0.308275462962963</v>
      </c>
      <c r="D6592" s="1">
        <v>13.053162</v>
      </c>
      <c r="E6592" s="1">
        <v>80.271694</v>
      </c>
      <c r="F6592" s="1">
        <v>5339.0</v>
      </c>
      <c r="G6592" s="1">
        <v>6.0</v>
      </c>
    </row>
    <row r="6593">
      <c r="A6593" s="1" t="s">
        <v>10</v>
      </c>
      <c r="B6593" s="2">
        <v>44732.0</v>
      </c>
      <c r="C6593" s="3">
        <v>0.30833333333333335</v>
      </c>
      <c r="D6593" s="1">
        <v>13.053162</v>
      </c>
      <c r="E6593" s="1">
        <v>80.271694</v>
      </c>
      <c r="F6593" s="1">
        <v>5339.0</v>
      </c>
      <c r="G6593" s="1">
        <v>6.0</v>
      </c>
    </row>
    <row r="6594">
      <c r="A6594" s="1" t="s">
        <v>7</v>
      </c>
      <c r="B6594" s="2">
        <v>44732.0</v>
      </c>
      <c r="C6594" s="3">
        <v>0.3084375</v>
      </c>
      <c r="D6594" s="1">
        <v>12.635364</v>
      </c>
      <c r="E6594" s="1">
        <v>79.933385</v>
      </c>
      <c r="F6594" s="1">
        <v>2846.0</v>
      </c>
      <c r="G6594" s="1">
        <v>58.0</v>
      </c>
    </row>
    <row r="6595">
      <c r="A6595" s="1" t="s">
        <v>7</v>
      </c>
      <c r="B6595" s="2">
        <v>44732.0</v>
      </c>
      <c r="C6595" s="3">
        <v>0.3085763888888889</v>
      </c>
      <c r="D6595" s="1">
        <v>12.636655</v>
      </c>
      <c r="E6595" s="1">
        <v>79.934115</v>
      </c>
      <c r="F6595" s="1">
        <v>2846.0</v>
      </c>
      <c r="G6595" s="1">
        <v>59.0</v>
      </c>
    </row>
    <row r="6596">
      <c r="A6596" s="1" t="s">
        <v>10</v>
      </c>
      <c r="B6596" s="2">
        <v>44732.0</v>
      </c>
      <c r="C6596" s="3">
        <v>0.308599537037037</v>
      </c>
      <c r="D6596" s="1">
        <v>13.053243</v>
      </c>
      <c r="E6596" s="1">
        <v>80.270978</v>
      </c>
      <c r="F6596" s="1">
        <v>5339.0</v>
      </c>
      <c r="G6596" s="1">
        <v>10.0</v>
      </c>
    </row>
    <row r="6597">
      <c r="A6597" s="1" t="s">
        <v>7</v>
      </c>
      <c r="B6597" s="2">
        <v>44732.0</v>
      </c>
      <c r="C6597" s="3">
        <v>0.30885416666666665</v>
      </c>
      <c r="D6597" s="1">
        <v>12.639074</v>
      </c>
      <c r="E6597" s="1">
        <v>79.935678</v>
      </c>
      <c r="F6597" s="1">
        <v>2846.0</v>
      </c>
      <c r="G6597" s="1">
        <v>57.0</v>
      </c>
    </row>
    <row r="6598">
      <c r="A6598" s="1" t="s">
        <v>7</v>
      </c>
      <c r="B6598" s="2">
        <v>44732.0</v>
      </c>
      <c r="C6598" s="3">
        <v>0.30895833333333333</v>
      </c>
      <c r="D6598" s="1">
        <v>12.640318</v>
      </c>
      <c r="E6598" s="1">
        <v>79.93644</v>
      </c>
      <c r="F6598" s="1">
        <v>2846.0</v>
      </c>
      <c r="G6598" s="1">
        <v>58.0</v>
      </c>
    </row>
    <row r="6599">
      <c r="A6599" s="1" t="s">
        <v>10</v>
      </c>
      <c r="B6599" s="2">
        <v>44732.0</v>
      </c>
      <c r="C6599" s="3">
        <v>0.30921296296296297</v>
      </c>
      <c r="D6599" s="1">
        <v>13.053384</v>
      </c>
      <c r="E6599" s="1">
        <v>80.269187</v>
      </c>
      <c r="F6599" s="1">
        <v>5339.0</v>
      </c>
      <c r="G6599" s="1">
        <v>10.0</v>
      </c>
    </row>
    <row r="6600">
      <c r="A6600" s="1" t="s">
        <v>7</v>
      </c>
      <c r="B6600" s="2">
        <v>44732.0</v>
      </c>
      <c r="C6600" s="3">
        <v>0.30940972222222224</v>
      </c>
      <c r="D6600" s="1">
        <v>12.64534</v>
      </c>
      <c r="E6600" s="1">
        <v>79.939478</v>
      </c>
      <c r="F6600" s="1">
        <v>2846.0</v>
      </c>
      <c r="G6600" s="1">
        <v>58.0</v>
      </c>
    </row>
    <row r="6601">
      <c r="A6601" s="1" t="s">
        <v>7</v>
      </c>
      <c r="B6601" s="2">
        <v>44732.0</v>
      </c>
      <c r="C6601" s="3">
        <v>0.30983796296296295</v>
      </c>
      <c r="D6601" s="1">
        <v>12.650926</v>
      </c>
      <c r="E6601" s="1">
        <v>79.940402</v>
      </c>
      <c r="F6601" s="1">
        <v>2846.0</v>
      </c>
      <c r="G6601" s="1">
        <v>57.0</v>
      </c>
    </row>
    <row r="6602">
      <c r="A6602" s="1" t="s">
        <v>7</v>
      </c>
      <c r="B6602" s="2">
        <v>44732.0</v>
      </c>
      <c r="C6602" s="3">
        <v>0.31019675925925927</v>
      </c>
      <c r="D6602" s="1">
        <v>12.655271</v>
      </c>
      <c r="E6602" s="1">
        <v>79.940078</v>
      </c>
      <c r="F6602" s="1">
        <v>2846.0</v>
      </c>
      <c r="G6602" s="1">
        <v>57.0</v>
      </c>
    </row>
    <row r="6603">
      <c r="A6603" s="1" t="s">
        <v>8</v>
      </c>
      <c r="B6603" s="2">
        <v>44732.0</v>
      </c>
      <c r="C6603" s="3">
        <v>0.3103240740740741</v>
      </c>
      <c r="D6603" s="1">
        <v>13.050667</v>
      </c>
      <c r="E6603" s="1">
        <v>80.264142</v>
      </c>
      <c r="F6603" s="1">
        <v>805.0</v>
      </c>
      <c r="G6603" s="1">
        <v>33.0</v>
      </c>
    </row>
    <row r="6604">
      <c r="A6604" s="1" t="s">
        <v>8</v>
      </c>
      <c r="B6604" s="2">
        <v>44732.0</v>
      </c>
      <c r="C6604" s="3">
        <v>0.3103356481481481</v>
      </c>
      <c r="D6604" s="1">
        <v>13.050667</v>
      </c>
      <c r="E6604" s="1">
        <v>80.264142</v>
      </c>
      <c r="F6604" s="1">
        <v>805.0</v>
      </c>
      <c r="G6604" s="1">
        <v>33.0</v>
      </c>
    </row>
    <row r="6605">
      <c r="A6605" s="1" t="s">
        <v>10</v>
      </c>
      <c r="B6605" s="2">
        <v>44732.0</v>
      </c>
      <c r="C6605" s="3">
        <v>0.310625</v>
      </c>
      <c r="D6605" s="1">
        <v>13.049102</v>
      </c>
      <c r="E6605" s="1">
        <v>80.264455</v>
      </c>
      <c r="F6605" s="1">
        <v>805.0</v>
      </c>
      <c r="G6605" s="1">
        <v>31.0</v>
      </c>
    </row>
    <row r="6606">
      <c r="A6606" s="1" t="s">
        <v>9</v>
      </c>
      <c r="B6606" s="2">
        <v>44732.0</v>
      </c>
      <c r="C6606" s="3">
        <v>0.31225694444444446</v>
      </c>
      <c r="D6606" s="1">
        <v>13.05248</v>
      </c>
      <c r="E6606" s="1">
        <v>80.251243</v>
      </c>
      <c r="F6606" s="1">
        <v>5339.0</v>
      </c>
      <c r="G6606" s="1">
        <v>26.0</v>
      </c>
    </row>
    <row r="6607">
      <c r="A6607" s="1" t="s">
        <v>8</v>
      </c>
      <c r="B6607" s="2">
        <v>44732.0</v>
      </c>
      <c r="C6607" s="3">
        <v>0.3127314814814815</v>
      </c>
      <c r="D6607" s="1">
        <v>13.051505</v>
      </c>
      <c r="E6607" s="1">
        <v>80.250296</v>
      </c>
      <c r="F6607" s="1">
        <v>5339.0</v>
      </c>
      <c r="G6607" s="1">
        <v>20.0</v>
      </c>
    </row>
    <row r="6608">
      <c r="A6608" s="1" t="s">
        <v>8</v>
      </c>
      <c r="B6608" s="2">
        <v>44732.0</v>
      </c>
      <c r="C6608" s="3">
        <v>0.3129282407407407</v>
      </c>
      <c r="D6608" s="1">
        <v>12.659206</v>
      </c>
      <c r="E6608" s="1">
        <v>79.962541</v>
      </c>
      <c r="F6608" s="1">
        <v>2846.0</v>
      </c>
      <c r="G6608" s="1">
        <v>44.0</v>
      </c>
    </row>
    <row r="6609">
      <c r="A6609" s="1" t="s">
        <v>8</v>
      </c>
      <c r="B6609" s="2">
        <v>44732.0</v>
      </c>
      <c r="C6609" s="3">
        <v>0.31300925925925926</v>
      </c>
      <c r="D6609" s="1">
        <v>13.047963</v>
      </c>
      <c r="E6609" s="1">
        <v>80.249321</v>
      </c>
      <c r="F6609" s="1">
        <v>5339.0</v>
      </c>
      <c r="G6609" s="1">
        <v>32.0</v>
      </c>
    </row>
    <row r="6610">
      <c r="A6610" s="1" t="s">
        <v>8</v>
      </c>
      <c r="B6610" s="2">
        <v>44732.0</v>
      </c>
      <c r="C6610" s="3">
        <v>0.31311342592592595</v>
      </c>
      <c r="D6610" s="1">
        <v>13.047963</v>
      </c>
      <c r="E6610" s="1">
        <v>80.249321</v>
      </c>
      <c r="F6610" s="1">
        <v>5339.0</v>
      </c>
      <c r="G6610" s="1">
        <v>32.0</v>
      </c>
    </row>
    <row r="6611">
      <c r="A6611" s="1" t="s">
        <v>8</v>
      </c>
      <c r="B6611" s="2">
        <v>44732.0</v>
      </c>
      <c r="C6611" s="3">
        <v>0.31351851851851853</v>
      </c>
      <c r="D6611" s="1">
        <v>13.042778</v>
      </c>
      <c r="E6611" s="1">
        <v>80.247712</v>
      </c>
      <c r="F6611" s="1">
        <v>5339.0</v>
      </c>
      <c r="G6611" s="1">
        <v>35.0</v>
      </c>
    </row>
    <row r="6612">
      <c r="A6612" s="1" t="s">
        <v>7</v>
      </c>
      <c r="B6612" s="2">
        <v>44732.0</v>
      </c>
      <c r="C6612" s="3">
        <v>0.31483796296296296</v>
      </c>
      <c r="D6612" s="1">
        <v>13.03741</v>
      </c>
      <c r="E6612" s="1">
        <v>80.246568</v>
      </c>
      <c r="F6612" s="1">
        <v>5339.0</v>
      </c>
      <c r="G6612" s="1">
        <v>49.0</v>
      </c>
    </row>
    <row r="6613">
      <c r="A6613" s="1" t="s">
        <v>8</v>
      </c>
      <c r="B6613" s="2">
        <v>44732.0</v>
      </c>
      <c r="C6613" s="3">
        <v>0.3149074074074074</v>
      </c>
      <c r="D6613" s="1">
        <v>13.036086</v>
      </c>
      <c r="E6613" s="1">
        <v>80.246276</v>
      </c>
      <c r="F6613" s="1">
        <v>5339.0</v>
      </c>
      <c r="G6613" s="1">
        <v>52.0</v>
      </c>
    </row>
    <row r="6614">
      <c r="A6614" s="1" t="s">
        <v>10</v>
      </c>
      <c r="B6614" s="2">
        <v>44732.0</v>
      </c>
      <c r="C6614" s="3">
        <v>0.3151041666666667</v>
      </c>
      <c r="D6614" s="1">
        <v>13.032744</v>
      </c>
      <c r="E6614" s="1">
        <v>80.267658</v>
      </c>
      <c r="F6614" s="1">
        <v>805.0</v>
      </c>
      <c r="G6614" s="1">
        <v>11.0</v>
      </c>
    </row>
    <row r="6615">
      <c r="A6615" s="1" t="s">
        <v>7</v>
      </c>
      <c r="B6615" s="2">
        <v>44732.0</v>
      </c>
      <c r="C6615" s="3">
        <v>0.31516203703703705</v>
      </c>
      <c r="D6615" s="1">
        <v>13.034184</v>
      </c>
      <c r="E6615" s="1">
        <v>80.24496</v>
      </c>
      <c r="F6615" s="1">
        <v>5339.0</v>
      </c>
      <c r="G6615" s="1">
        <v>50.0</v>
      </c>
    </row>
    <row r="6616">
      <c r="A6616" s="1" t="s">
        <v>8</v>
      </c>
      <c r="B6616" s="2">
        <v>44732.0</v>
      </c>
      <c r="C6616" s="3">
        <v>0.3152199074074074</v>
      </c>
      <c r="D6616" s="1">
        <v>13.033373</v>
      </c>
      <c r="E6616" s="1">
        <v>80.243914</v>
      </c>
      <c r="F6616" s="1">
        <v>5339.0</v>
      </c>
      <c r="G6616" s="1">
        <v>49.0</v>
      </c>
    </row>
    <row r="6617">
      <c r="A6617" s="1" t="s">
        <v>8</v>
      </c>
      <c r="B6617" s="2">
        <v>44732.0</v>
      </c>
      <c r="C6617" s="3">
        <v>0.3154398148148148</v>
      </c>
      <c r="D6617" s="1">
        <v>13.031955</v>
      </c>
      <c r="E6617" s="1">
        <v>80.241742</v>
      </c>
      <c r="F6617" s="1">
        <v>5339.0</v>
      </c>
      <c r="G6617" s="1">
        <v>53.0</v>
      </c>
    </row>
    <row r="6618">
      <c r="A6618" s="1" t="s">
        <v>8</v>
      </c>
      <c r="B6618" s="2">
        <v>44732.0</v>
      </c>
      <c r="C6618" s="3">
        <v>0.31604166666666667</v>
      </c>
      <c r="D6618" s="1">
        <v>13.030848</v>
      </c>
      <c r="E6618" s="1">
        <v>80.239435</v>
      </c>
      <c r="F6618" s="1">
        <v>5339.0</v>
      </c>
      <c r="G6618" s="1">
        <v>33.0</v>
      </c>
    </row>
    <row r="6619">
      <c r="A6619" s="1" t="s">
        <v>8</v>
      </c>
      <c r="B6619" s="2">
        <v>44732.0</v>
      </c>
      <c r="C6619" s="3">
        <v>0.31627314814814816</v>
      </c>
      <c r="D6619" s="1">
        <v>13.029889</v>
      </c>
      <c r="E6619" s="1">
        <v>80.237713</v>
      </c>
      <c r="F6619" s="1">
        <v>5339.0</v>
      </c>
      <c r="G6619" s="1">
        <v>39.0</v>
      </c>
    </row>
    <row r="6620">
      <c r="A6620" s="1" t="s">
        <v>8</v>
      </c>
      <c r="B6620" s="2">
        <v>44732.0</v>
      </c>
      <c r="C6620" s="3">
        <v>0.31653935185185184</v>
      </c>
      <c r="D6620" s="1">
        <v>13.028403</v>
      </c>
      <c r="E6620" s="1">
        <v>80.235962</v>
      </c>
      <c r="F6620" s="1">
        <v>5339.0</v>
      </c>
      <c r="G6620" s="1">
        <v>47.0</v>
      </c>
    </row>
    <row r="6621">
      <c r="A6621" s="1" t="s">
        <v>8</v>
      </c>
      <c r="B6621" s="2">
        <v>44732.0</v>
      </c>
      <c r="C6621" s="3">
        <v>0.31710648148148146</v>
      </c>
      <c r="D6621" s="1">
        <v>13.0265</v>
      </c>
      <c r="E6621" s="1">
        <v>80.233022</v>
      </c>
      <c r="F6621" s="1">
        <v>5339.0</v>
      </c>
      <c r="G6621" s="1">
        <v>28.0</v>
      </c>
    </row>
    <row r="6622">
      <c r="A6622" s="1" t="s">
        <v>8</v>
      </c>
      <c r="B6622" s="2">
        <v>44732.0</v>
      </c>
      <c r="C6622" s="3">
        <v>0.3171412037037037</v>
      </c>
      <c r="D6622" s="1">
        <v>13.0265</v>
      </c>
      <c r="E6622" s="1">
        <v>80.233022</v>
      </c>
      <c r="F6622" s="1">
        <v>5339.0</v>
      </c>
      <c r="G6622" s="1">
        <v>28.0</v>
      </c>
    </row>
    <row r="6623">
      <c r="A6623" s="1" t="s">
        <v>8</v>
      </c>
      <c r="B6623" s="2">
        <v>44732.0</v>
      </c>
      <c r="C6623" s="3">
        <v>0.31836805555555553</v>
      </c>
      <c r="D6623" s="1">
        <v>13.023072</v>
      </c>
      <c r="E6623" s="1">
        <v>80.227288</v>
      </c>
      <c r="F6623" s="1">
        <v>5339.0</v>
      </c>
      <c r="G6623" s="1">
        <v>43.0</v>
      </c>
    </row>
    <row r="6624">
      <c r="A6624" s="1" t="s">
        <v>8</v>
      </c>
      <c r="B6624" s="2">
        <v>44732.0</v>
      </c>
      <c r="C6624" s="3">
        <v>0.3188310185185185</v>
      </c>
      <c r="D6624" s="1">
        <v>12.681405</v>
      </c>
      <c r="E6624" s="1">
        <v>79.981677</v>
      </c>
      <c r="F6624" s="1">
        <v>2846.0</v>
      </c>
      <c r="G6624" s="1">
        <v>11.0</v>
      </c>
    </row>
    <row r="6625">
      <c r="A6625" s="1" t="s">
        <v>8</v>
      </c>
      <c r="B6625" s="2">
        <v>44732.0</v>
      </c>
      <c r="C6625" s="3">
        <v>0.31884259259259257</v>
      </c>
      <c r="D6625" s="1">
        <v>13.023607</v>
      </c>
      <c r="E6625" s="1">
        <v>80.26425</v>
      </c>
      <c r="F6625" s="1">
        <v>805.0</v>
      </c>
      <c r="G6625" s="1">
        <v>21.0</v>
      </c>
    </row>
    <row r="6626">
      <c r="A6626" s="1" t="s">
        <v>8</v>
      </c>
      <c r="B6626" s="2">
        <v>44732.0</v>
      </c>
      <c r="C6626" s="3">
        <v>0.3191550925925926</v>
      </c>
      <c r="D6626" s="1">
        <v>13.022206</v>
      </c>
      <c r="E6626" s="1">
        <v>80.263488</v>
      </c>
      <c r="F6626" s="1">
        <v>805.0</v>
      </c>
      <c r="G6626" s="1">
        <v>15.0</v>
      </c>
    </row>
    <row r="6627">
      <c r="A6627" s="1" t="s">
        <v>8</v>
      </c>
      <c r="B6627" s="2">
        <v>44732.0</v>
      </c>
      <c r="C6627" s="3">
        <v>0.3191550925925926</v>
      </c>
      <c r="D6627" s="1">
        <v>13.022206</v>
      </c>
      <c r="E6627" s="1">
        <v>80.263488</v>
      </c>
      <c r="F6627" s="1">
        <v>805.0</v>
      </c>
      <c r="G6627" s="1">
        <v>15.0</v>
      </c>
    </row>
    <row r="6628">
      <c r="A6628" s="1" t="s">
        <v>8</v>
      </c>
      <c r="B6628" s="2">
        <v>44732.0</v>
      </c>
      <c r="C6628" s="3">
        <v>0.31916666666666665</v>
      </c>
      <c r="D6628" s="1">
        <v>13.022206</v>
      </c>
      <c r="E6628" s="1">
        <v>80.263488</v>
      </c>
      <c r="F6628" s="1">
        <v>805.0</v>
      </c>
      <c r="G6628" s="1">
        <v>15.0</v>
      </c>
    </row>
    <row r="6629">
      <c r="A6629" s="1" t="s">
        <v>8</v>
      </c>
      <c r="B6629" s="2">
        <v>44732.0</v>
      </c>
      <c r="C6629" s="3">
        <v>0.31917824074074075</v>
      </c>
      <c r="D6629" s="1">
        <v>13.022206</v>
      </c>
      <c r="E6629" s="1">
        <v>80.263488</v>
      </c>
      <c r="F6629" s="1">
        <v>805.0</v>
      </c>
      <c r="G6629" s="1">
        <v>15.0</v>
      </c>
    </row>
    <row r="6630">
      <c r="A6630" s="1" t="s">
        <v>8</v>
      </c>
      <c r="B6630" s="2">
        <v>44732.0</v>
      </c>
      <c r="C6630" s="3">
        <v>0.31961805555555556</v>
      </c>
      <c r="D6630" s="1">
        <v>13.01421</v>
      </c>
      <c r="E6630" s="1">
        <v>80.226319</v>
      </c>
      <c r="F6630" s="1">
        <v>5339.0</v>
      </c>
      <c r="G6630" s="1">
        <v>36.0</v>
      </c>
    </row>
    <row r="6631">
      <c r="A6631" s="1" t="s">
        <v>8</v>
      </c>
      <c r="B6631" s="2">
        <v>44732.0</v>
      </c>
      <c r="C6631" s="3">
        <v>0.31969907407407405</v>
      </c>
      <c r="D6631" s="1">
        <v>12.68496</v>
      </c>
      <c r="E6631" s="1">
        <v>79.98345</v>
      </c>
      <c r="F6631" s="1">
        <v>2846.0</v>
      </c>
      <c r="G6631" s="1">
        <v>36.0</v>
      </c>
    </row>
    <row r="6632">
      <c r="A6632" s="1" t="s">
        <v>8</v>
      </c>
      <c r="B6632" s="2">
        <v>44732.0</v>
      </c>
      <c r="C6632" s="3">
        <v>0.31972222222222224</v>
      </c>
      <c r="D6632" s="1">
        <v>13.01335</v>
      </c>
      <c r="E6632" s="1">
        <v>80.226617</v>
      </c>
      <c r="F6632" s="1">
        <v>5339.0</v>
      </c>
      <c r="G6632" s="1">
        <v>38.0</v>
      </c>
    </row>
    <row r="6633">
      <c r="A6633" s="1" t="s">
        <v>10</v>
      </c>
      <c r="B6633" s="2">
        <v>44732.0</v>
      </c>
      <c r="C6633" s="3">
        <v>0.31993055555555555</v>
      </c>
      <c r="D6633" s="1">
        <v>12.686473</v>
      </c>
      <c r="E6633" s="1">
        <v>79.983306</v>
      </c>
      <c r="F6633" s="1">
        <v>2846.0</v>
      </c>
      <c r="G6633" s="1">
        <v>20.0</v>
      </c>
    </row>
    <row r="6634">
      <c r="A6634" s="1" t="s">
        <v>8</v>
      </c>
      <c r="B6634" s="2">
        <v>44732.0</v>
      </c>
      <c r="C6634" s="3">
        <v>0.32078703703703704</v>
      </c>
      <c r="D6634" s="1">
        <v>13.01103</v>
      </c>
      <c r="E6634" s="1">
        <v>80.224215</v>
      </c>
      <c r="F6634" s="1">
        <v>5339.0</v>
      </c>
      <c r="G6634" s="1">
        <v>47.0</v>
      </c>
    </row>
    <row r="6635">
      <c r="A6635" s="1" t="s">
        <v>8</v>
      </c>
      <c r="B6635" s="2">
        <v>44732.0</v>
      </c>
      <c r="C6635" s="3">
        <v>0.3211921296296296</v>
      </c>
      <c r="D6635" s="1">
        <v>13.014832</v>
      </c>
      <c r="E6635" s="1">
        <v>80.259348</v>
      </c>
      <c r="F6635" s="1">
        <v>805.0</v>
      </c>
      <c r="G6635" s="1">
        <v>42.0</v>
      </c>
    </row>
    <row r="6636">
      <c r="A6636" s="1" t="s">
        <v>8</v>
      </c>
      <c r="B6636" s="2">
        <v>44732.0</v>
      </c>
      <c r="C6636" s="3">
        <v>0.32134259259259257</v>
      </c>
      <c r="D6636" s="1">
        <v>13.011371</v>
      </c>
      <c r="E6636" s="1">
        <v>80.21848</v>
      </c>
      <c r="F6636" s="1">
        <v>5339.0</v>
      </c>
      <c r="G6636" s="1">
        <v>38.0</v>
      </c>
    </row>
    <row r="6637">
      <c r="A6637" s="1" t="s">
        <v>8</v>
      </c>
      <c r="B6637" s="2">
        <v>44732.0</v>
      </c>
      <c r="C6637" s="3">
        <v>0.321400462962963</v>
      </c>
      <c r="D6637" s="1">
        <v>13.012766</v>
      </c>
      <c r="E6637" s="1">
        <v>80.259266</v>
      </c>
      <c r="F6637" s="1">
        <v>805.0</v>
      </c>
      <c r="G6637" s="1">
        <v>39.0</v>
      </c>
    </row>
    <row r="6638">
      <c r="A6638" s="1" t="s">
        <v>8</v>
      </c>
      <c r="B6638" s="2">
        <v>44732.0</v>
      </c>
      <c r="C6638" s="3">
        <v>0.3214930555555556</v>
      </c>
      <c r="D6638" s="1">
        <v>13.011757</v>
      </c>
      <c r="E6638" s="1">
        <v>80.259234</v>
      </c>
      <c r="F6638" s="1">
        <v>805.0</v>
      </c>
      <c r="G6638" s="1">
        <v>38.0</v>
      </c>
    </row>
    <row r="6639">
      <c r="A6639" s="1" t="s">
        <v>8</v>
      </c>
      <c r="B6639" s="2">
        <v>44732.0</v>
      </c>
      <c r="C6639" s="3">
        <v>0.3220138888888889</v>
      </c>
      <c r="D6639" s="1">
        <v>13.009247</v>
      </c>
      <c r="E6639" s="1">
        <v>80.212617</v>
      </c>
      <c r="F6639" s="1">
        <v>5339.0</v>
      </c>
      <c r="G6639" s="1">
        <v>42.0</v>
      </c>
    </row>
    <row r="6640">
      <c r="A6640" s="1" t="s">
        <v>10</v>
      </c>
      <c r="B6640" s="2">
        <v>44732.0</v>
      </c>
      <c r="C6640" s="3">
        <v>0.32208333333333333</v>
      </c>
      <c r="D6640" s="1">
        <v>12.690879</v>
      </c>
      <c r="E6640" s="1">
        <v>79.980708</v>
      </c>
      <c r="F6640" s="1">
        <v>2846.0</v>
      </c>
      <c r="G6640" s="1">
        <v>8.0</v>
      </c>
    </row>
    <row r="6641">
      <c r="A6641" s="1" t="s">
        <v>8</v>
      </c>
      <c r="B6641" s="2">
        <v>44732.0</v>
      </c>
      <c r="C6641" s="3">
        <v>0.3223958333333333</v>
      </c>
      <c r="D6641" s="1">
        <v>13.008326</v>
      </c>
      <c r="E6641" s="1">
        <v>80.210114</v>
      </c>
      <c r="F6641" s="1">
        <v>5339.0</v>
      </c>
      <c r="G6641" s="1">
        <v>39.0</v>
      </c>
    </row>
    <row r="6642">
      <c r="A6642" s="1" t="s">
        <v>8</v>
      </c>
      <c r="B6642" s="2">
        <v>44732.0</v>
      </c>
      <c r="C6642" s="3">
        <v>0.3224884259259259</v>
      </c>
      <c r="D6642" s="1">
        <v>13.008079</v>
      </c>
      <c r="E6642" s="1">
        <v>80.20925</v>
      </c>
      <c r="F6642" s="1">
        <v>5339.0</v>
      </c>
      <c r="G6642" s="1">
        <v>31.0</v>
      </c>
    </row>
    <row r="6643">
      <c r="A6643" s="1" t="s">
        <v>8</v>
      </c>
      <c r="B6643" s="2">
        <v>44732.0</v>
      </c>
      <c r="C6643" s="3">
        <v>0.3226851851851852</v>
      </c>
      <c r="D6643" s="1">
        <v>13.00793</v>
      </c>
      <c r="E6643" s="1">
        <v>80.208299</v>
      </c>
      <c r="F6643" s="1">
        <v>5339.0</v>
      </c>
      <c r="G6643" s="1">
        <v>42.0</v>
      </c>
    </row>
    <row r="6644">
      <c r="A6644" s="1" t="s">
        <v>8</v>
      </c>
      <c r="B6644" s="2">
        <v>44732.0</v>
      </c>
      <c r="C6644" s="3">
        <v>0.3227777777777778</v>
      </c>
      <c r="D6644" s="1">
        <v>13.007773</v>
      </c>
      <c r="E6644" s="1">
        <v>80.207283</v>
      </c>
      <c r="F6644" s="1">
        <v>5339.0</v>
      </c>
      <c r="G6644" s="1">
        <v>40.0</v>
      </c>
    </row>
    <row r="6645">
      <c r="A6645" s="1" t="s">
        <v>8</v>
      </c>
      <c r="B6645" s="2">
        <v>44732.0</v>
      </c>
      <c r="C6645" s="3">
        <v>0.32288194444444446</v>
      </c>
      <c r="D6645" s="1">
        <v>13.007596</v>
      </c>
      <c r="E6645" s="1">
        <v>80.206208</v>
      </c>
      <c r="F6645" s="1">
        <v>5339.0</v>
      </c>
      <c r="G6645" s="1">
        <v>38.0</v>
      </c>
    </row>
    <row r="6646">
      <c r="A6646" s="1" t="s">
        <v>8</v>
      </c>
      <c r="B6646" s="2">
        <v>44732.0</v>
      </c>
      <c r="C6646" s="3">
        <v>0.3231134259259259</v>
      </c>
      <c r="D6646" s="1">
        <v>13.006812</v>
      </c>
      <c r="E6646" s="1">
        <v>80.204194</v>
      </c>
      <c r="F6646" s="1">
        <v>5339.0</v>
      </c>
      <c r="G6646" s="1">
        <v>47.0</v>
      </c>
    </row>
    <row r="6647">
      <c r="A6647" s="1" t="s">
        <v>8</v>
      </c>
      <c r="B6647" s="2">
        <v>44732.0</v>
      </c>
      <c r="C6647" s="3">
        <v>0.32320601851851855</v>
      </c>
      <c r="D6647" s="1">
        <v>13.006151</v>
      </c>
      <c r="E6647" s="1">
        <v>80.203198</v>
      </c>
      <c r="F6647" s="1">
        <v>5339.0</v>
      </c>
      <c r="G6647" s="1">
        <v>43.0</v>
      </c>
    </row>
    <row r="6648">
      <c r="A6648" s="1" t="s">
        <v>8</v>
      </c>
      <c r="B6648" s="2">
        <v>44732.0</v>
      </c>
      <c r="C6648" s="3">
        <v>0.32328703703703704</v>
      </c>
      <c r="D6648" s="1">
        <v>12.694756</v>
      </c>
      <c r="E6648" s="1">
        <v>79.97828</v>
      </c>
      <c r="F6648" s="1">
        <v>2846.0</v>
      </c>
      <c r="G6648" s="1">
        <v>35.0</v>
      </c>
    </row>
    <row r="6649">
      <c r="A6649" s="1" t="s">
        <v>8</v>
      </c>
      <c r="B6649" s="2">
        <v>44732.0</v>
      </c>
      <c r="C6649" s="3">
        <v>0.3233449074074074</v>
      </c>
      <c r="D6649" s="1">
        <v>12.694756</v>
      </c>
      <c r="E6649" s="1">
        <v>79.97828</v>
      </c>
      <c r="F6649" s="1">
        <v>2846.0</v>
      </c>
      <c r="G6649" s="1">
        <v>35.0</v>
      </c>
    </row>
    <row r="6650">
      <c r="A6650" s="1" t="s">
        <v>8</v>
      </c>
      <c r="B6650" s="2">
        <v>44732.0</v>
      </c>
      <c r="C6650" s="3">
        <v>0.3233564814814815</v>
      </c>
      <c r="D6650" s="1">
        <v>12.694756</v>
      </c>
      <c r="E6650" s="1">
        <v>79.97828</v>
      </c>
      <c r="F6650" s="1">
        <v>2846.0</v>
      </c>
      <c r="G6650" s="1">
        <v>35.0</v>
      </c>
    </row>
    <row r="6651">
      <c r="A6651" s="1" t="s">
        <v>8</v>
      </c>
      <c r="B6651" s="2">
        <v>44732.0</v>
      </c>
      <c r="C6651" s="3">
        <v>0.3233564814814815</v>
      </c>
      <c r="D6651" s="1">
        <v>13.005671</v>
      </c>
      <c r="E6651" s="1">
        <v>80.202279</v>
      </c>
      <c r="F6651" s="1">
        <v>5339.0</v>
      </c>
      <c r="G6651" s="1">
        <v>41.0</v>
      </c>
    </row>
    <row r="6652">
      <c r="A6652" s="1" t="s">
        <v>7</v>
      </c>
      <c r="B6652" s="2">
        <v>44732.0</v>
      </c>
      <c r="C6652" s="3">
        <v>0.32342592592592595</v>
      </c>
      <c r="D6652" s="1">
        <v>13.004867</v>
      </c>
      <c r="E6652" s="1">
        <v>80.201399</v>
      </c>
      <c r="F6652" s="1">
        <v>5339.0</v>
      </c>
      <c r="G6652" s="1">
        <v>51.0</v>
      </c>
    </row>
    <row r="6653">
      <c r="A6653" s="1" t="s">
        <v>8</v>
      </c>
      <c r="B6653" s="2">
        <v>44732.0</v>
      </c>
      <c r="C6653" s="3">
        <v>0.3235300925925926</v>
      </c>
      <c r="D6653" s="1">
        <v>13.003621</v>
      </c>
      <c r="E6653" s="1">
        <v>80.200962</v>
      </c>
      <c r="F6653" s="1">
        <v>5339.0</v>
      </c>
      <c r="G6653" s="1">
        <v>51.0</v>
      </c>
    </row>
    <row r="6654">
      <c r="A6654" s="1" t="s">
        <v>10</v>
      </c>
      <c r="B6654" s="2">
        <v>44732.0</v>
      </c>
      <c r="C6654" s="3">
        <v>0.3235648148148148</v>
      </c>
      <c r="D6654" s="1">
        <v>12.696073</v>
      </c>
      <c r="E6654" s="1">
        <v>79.977454</v>
      </c>
      <c r="F6654" s="1">
        <v>2846.0</v>
      </c>
      <c r="G6654" s="1">
        <v>31.0</v>
      </c>
    </row>
    <row r="6655">
      <c r="A6655" s="1" t="s">
        <v>8</v>
      </c>
      <c r="B6655" s="2">
        <v>44732.0</v>
      </c>
      <c r="C6655" s="3">
        <v>0.32362268518518517</v>
      </c>
      <c r="D6655" s="1">
        <v>13.00647</v>
      </c>
      <c r="E6655" s="1">
        <v>80.255402</v>
      </c>
      <c r="F6655" s="1">
        <v>805.0</v>
      </c>
      <c r="G6655" s="1">
        <v>26.0</v>
      </c>
    </row>
    <row r="6656">
      <c r="A6656" s="1" t="s">
        <v>7</v>
      </c>
      <c r="B6656" s="2">
        <v>44732.0</v>
      </c>
      <c r="C6656" s="3">
        <v>0.32373842592592594</v>
      </c>
      <c r="D6656" s="1">
        <v>13.002506</v>
      </c>
      <c r="E6656" s="1">
        <v>80.200653</v>
      </c>
      <c r="F6656" s="1">
        <v>5339.0</v>
      </c>
      <c r="G6656" s="1">
        <v>40.0</v>
      </c>
    </row>
    <row r="6657">
      <c r="A6657" s="1" t="s">
        <v>7</v>
      </c>
      <c r="B6657" s="2">
        <v>44732.0</v>
      </c>
      <c r="C6657" s="3">
        <v>0.32384259259259257</v>
      </c>
      <c r="D6657" s="1">
        <v>13.001785</v>
      </c>
      <c r="E6657" s="1">
        <v>80.199856</v>
      </c>
      <c r="F6657" s="1">
        <v>5339.0</v>
      </c>
      <c r="G6657" s="1">
        <v>49.0</v>
      </c>
    </row>
    <row r="6658">
      <c r="A6658" s="1" t="s">
        <v>8</v>
      </c>
      <c r="B6658" s="2">
        <v>44732.0</v>
      </c>
      <c r="C6658" s="3">
        <v>0.32395833333333335</v>
      </c>
      <c r="D6658" s="1">
        <v>13.001775</v>
      </c>
      <c r="E6658" s="1">
        <v>80.198434</v>
      </c>
      <c r="F6658" s="1">
        <v>5339.0</v>
      </c>
      <c r="G6658" s="1">
        <v>57.0</v>
      </c>
    </row>
    <row r="6659">
      <c r="A6659" s="1" t="s">
        <v>8</v>
      </c>
      <c r="B6659" s="2">
        <v>44732.0</v>
      </c>
      <c r="C6659" s="3">
        <v>0.32408564814814816</v>
      </c>
      <c r="D6659" s="1">
        <v>13.001921</v>
      </c>
      <c r="E6659" s="1">
        <v>80.197042</v>
      </c>
      <c r="F6659" s="1">
        <v>5339.0</v>
      </c>
      <c r="G6659" s="1">
        <v>48.0</v>
      </c>
    </row>
    <row r="6660">
      <c r="A6660" s="1" t="s">
        <v>7</v>
      </c>
      <c r="B6660" s="2">
        <v>44732.0</v>
      </c>
      <c r="C6660" s="3">
        <v>0.3244097222222222</v>
      </c>
      <c r="D6660" s="1">
        <v>12.999998</v>
      </c>
      <c r="E6660" s="1">
        <v>80.194231</v>
      </c>
      <c r="F6660" s="1">
        <v>5339.0</v>
      </c>
      <c r="G6660" s="1">
        <v>48.0</v>
      </c>
    </row>
    <row r="6661">
      <c r="A6661" s="1" t="s">
        <v>8</v>
      </c>
      <c r="B6661" s="2">
        <v>44732.0</v>
      </c>
      <c r="C6661" s="3">
        <v>0.32533564814814814</v>
      </c>
      <c r="D6661" s="1">
        <v>12.995871</v>
      </c>
      <c r="E6661" s="1">
        <v>80.189134</v>
      </c>
      <c r="F6661" s="1">
        <v>5339.0</v>
      </c>
      <c r="G6661" s="1">
        <v>31.0</v>
      </c>
    </row>
    <row r="6662">
      <c r="A6662" s="1" t="s">
        <v>8</v>
      </c>
      <c r="B6662" s="2">
        <v>44732.0</v>
      </c>
      <c r="C6662" s="3">
        <v>0.32667824074074076</v>
      </c>
      <c r="D6662" s="1">
        <v>12.992828</v>
      </c>
      <c r="E6662" s="1">
        <v>80.183427</v>
      </c>
      <c r="F6662" s="1">
        <v>5339.0</v>
      </c>
      <c r="G6662" s="1">
        <v>55.0</v>
      </c>
    </row>
    <row r="6663">
      <c r="A6663" s="1" t="s">
        <v>7</v>
      </c>
      <c r="B6663" s="2">
        <v>44732.0</v>
      </c>
      <c r="C6663" s="3">
        <v>0.32716435185185183</v>
      </c>
      <c r="D6663" s="1">
        <v>12.701334</v>
      </c>
      <c r="E6663" s="1">
        <v>79.96918</v>
      </c>
      <c r="F6663" s="1">
        <v>2846.0</v>
      </c>
      <c r="G6663" s="1">
        <v>45.0</v>
      </c>
    </row>
    <row r="6664">
      <c r="A6664" s="1" t="s">
        <v>8</v>
      </c>
      <c r="B6664" s="2">
        <v>44732.0</v>
      </c>
      <c r="C6664" s="3">
        <v>0.3272453703703704</v>
      </c>
      <c r="D6664" s="1">
        <v>12.989712</v>
      </c>
      <c r="E6664" s="1">
        <v>80.179277</v>
      </c>
      <c r="F6664" s="1">
        <v>5339.0</v>
      </c>
      <c r="G6664" s="1">
        <v>16.0</v>
      </c>
    </row>
    <row r="6665">
      <c r="A6665" s="1" t="s">
        <v>8</v>
      </c>
      <c r="B6665" s="2">
        <v>44732.0</v>
      </c>
      <c r="C6665" s="3">
        <v>0.32741898148148146</v>
      </c>
      <c r="D6665" s="1">
        <v>12.988809</v>
      </c>
      <c r="E6665" s="1">
        <v>80.178133</v>
      </c>
      <c r="F6665" s="1">
        <v>5339.0</v>
      </c>
      <c r="G6665" s="1">
        <v>38.0</v>
      </c>
    </row>
    <row r="6666">
      <c r="A6666" s="1" t="s">
        <v>8</v>
      </c>
      <c r="B6666" s="2">
        <v>44732.0</v>
      </c>
      <c r="C6666" s="3">
        <v>0.3274884259259259</v>
      </c>
      <c r="D6666" s="1">
        <v>13.006582</v>
      </c>
      <c r="E6666" s="1">
        <v>80.242986</v>
      </c>
      <c r="F6666" s="1">
        <v>805.0</v>
      </c>
      <c r="G6666" s="1">
        <v>17.0</v>
      </c>
    </row>
    <row r="6667">
      <c r="A6667" s="1" t="s">
        <v>8</v>
      </c>
      <c r="B6667" s="2">
        <v>44732.0</v>
      </c>
      <c r="C6667" s="3">
        <v>0.3275</v>
      </c>
      <c r="D6667" s="1">
        <v>13.006582</v>
      </c>
      <c r="E6667" s="1">
        <v>80.242986</v>
      </c>
      <c r="F6667" s="1">
        <v>805.0</v>
      </c>
      <c r="G6667" s="1">
        <v>17.0</v>
      </c>
    </row>
    <row r="6668">
      <c r="A6668" s="1" t="s">
        <v>9</v>
      </c>
      <c r="B6668" s="2">
        <v>44732.0</v>
      </c>
      <c r="C6668" s="3">
        <v>0.32766203703703706</v>
      </c>
      <c r="D6668" s="1">
        <v>13.006592</v>
      </c>
      <c r="E6668" s="1">
        <v>80.24233</v>
      </c>
      <c r="F6668" s="1">
        <v>805.0</v>
      </c>
      <c r="G6668" s="1">
        <v>33.0</v>
      </c>
    </row>
    <row r="6669">
      <c r="A6669" s="1" t="s">
        <v>8</v>
      </c>
      <c r="B6669" s="2">
        <v>44732.0</v>
      </c>
      <c r="C6669" s="3">
        <v>0.3277083333333333</v>
      </c>
      <c r="D6669" s="1">
        <v>12.986901</v>
      </c>
      <c r="E6669" s="1">
        <v>80.175449</v>
      </c>
      <c r="F6669" s="1">
        <v>5339.0</v>
      </c>
      <c r="G6669" s="1">
        <v>42.0</v>
      </c>
    </row>
    <row r="6670">
      <c r="A6670" s="1" t="s">
        <v>7</v>
      </c>
      <c r="B6670" s="2">
        <v>44732.0</v>
      </c>
      <c r="C6670" s="3">
        <v>0.32774305555555555</v>
      </c>
      <c r="D6670" s="1">
        <v>12.705813</v>
      </c>
      <c r="E6670" s="1">
        <v>79.974784</v>
      </c>
      <c r="F6670" s="1">
        <v>2846.0</v>
      </c>
      <c r="G6670" s="1">
        <v>59.0</v>
      </c>
    </row>
    <row r="6671">
      <c r="A6671" s="1" t="s">
        <v>7</v>
      </c>
      <c r="B6671" s="2">
        <v>44732.0</v>
      </c>
      <c r="C6671" s="3">
        <v>0.3279398148148148</v>
      </c>
      <c r="D6671" s="1">
        <v>12.708114</v>
      </c>
      <c r="E6671" s="1">
        <v>79.976768</v>
      </c>
      <c r="F6671" s="1">
        <v>2846.0</v>
      </c>
      <c r="G6671" s="1">
        <v>60.0</v>
      </c>
    </row>
    <row r="6672">
      <c r="A6672" s="1" t="s">
        <v>7</v>
      </c>
      <c r="B6672" s="2">
        <v>44732.0</v>
      </c>
      <c r="C6672" s="3">
        <v>0.3280902777777778</v>
      </c>
      <c r="D6672" s="1">
        <v>12.984766</v>
      </c>
      <c r="E6672" s="1">
        <v>80.172301</v>
      </c>
      <c r="F6672" s="1">
        <v>5339.0</v>
      </c>
      <c r="G6672" s="1">
        <v>54.0</v>
      </c>
    </row>
    <row r="6673">
      <c r="A6673" s="1" t="s">
        <v>9</v>
      </c>
      <c r="B6673" s="2">
        <v>44732.0</v>
      </c>
      <c r="C6673" s="3">
        <v>0.3282175925925926</v>
      </c>
      <c r="D6673" s="1">
        <v>13.006755</v>
      </c>
      <c r="E6673" s="1">
        <v>80.240457</v>
      </c>
      <c r="F6673" s="1">
        <v>805.0</v>
      </c>
      <c r="G6673" s="1">
        <v>23.0</v>
      </c>
    </row>
    <row r="6674">
      <c r="A6674" s="1" t="s">
        <v>8</v>
      </c>
      <c r="B6674" s="2">
        <v>44732.0</v>
      </c>
      <c r="C6674" s="3">
        <v>0.32836805555555554</v>
      </c>
      <c r="D6674" s="1">
        <v>13.006918</v>
      </c>
      <c r="E6674" s="1">
        <v>80.239655</v>
      </c>
      <c r="F6674" s="1">
        <v>805.0</v>
      </c>
      <c r="G6674" s="1">
        <v>28.0</v>
      </c>
    </row>
    <row r="6675">
      <c r="A6675" s="1" t="s">
        <v>7</v>
      </c>
      <c r="B6675" s="2">
        <v>44732.0</v>
      </c>
      <c r="C6675" s="3">
        <v>0.32841435185185186</v>
      </c>
      <c r="D6675" s="1">
        <v>12.982528</v>
      </c>
      <c r="E6675" s="1">
        <v>80.168633</v>
      </c>
      <c r="F6675" s="1">
        <v>5339.0</v>
      </c>
      <c r="G6675" s="1">
        <v>57.0</v>
      </c>
    </row>
    <row r="6676">
      <c r="A6676" s="1" t="s">
        <v>8</v>
      </c>
      <c r="B6676" s="2">
        <v>44732.0</v>
      </c>
      <c r="C6676" s="3">
        <v>0.3284259259259259</v>
      </c>
      <c r="D6676" s="1">
        <v>13.007054</v>
      </c>
      <c r="E6676" s="1">
        <v>80.238959</v>
      </c>
      <c r="F6676" s="1">
        <v>805.0</v>
      </c>
      <c r="G6676" s="1">
        <v>31.0</v>
      </c>
    </row>
    <row r="6677">
      <c r="A6677" s="1" t="s">
        <v>8</v>
      </c>
      <c r="B6677" s="2">
        <v>44732.0</v>
      </c>
      <c r="C6677" s="3">
        <v>0.3284259259259259</v>
      </c>
      <c r="D6677" s="1">
        <v>13.007054</v>
      </c>
      <c r="E6677" s="1">
        <v>80.238959</v>
      </c>
      <c r="F6677" s="1">
        <v>805.0</v>
      </c>
      <c r="G6677" s="1">
        <v>31.0</v>
      </c>
    </row>
    <row r="6678">
      <c r="A6678" s="1" t="s">
        <v>8</v>
      </c>
      <c r="B6678" s="2">
        <v>44732.0</v>
      </c>
      <c r="C6678" s="3">
        <v>0.3284490740740741</v>
      </c>
      <c r="D6678" s="1">
        <v>13.007054</v>
      </c>
      <c r="E6678" s="1">
        <v>80.238959</v>
      </c>
      <c r="F6678" s="1">
        <v>805.0</v>
      </c>
      <c r="G6678" s="1">
        <v>31.0</v>
      </c>
    </row>
    <row r="6679">
      <c r="A6679" s="1" t="s">
        <v>7</v>
      </c>
      <c r="B6679" s="2">
        <v>44732.0</v>
      </c>
      <c r="C6679" s="3">
        <v>0.32863425925925926</v>
      </c>
      <c r="D6679" s="1">
        <v>12.714319</v>
      </c>
      <c r="E6679" s="1">
        <v>79.980163</v>
      </c>
      <c r="F6679" s="1">
        <v>2846.0</v>
      </c>
      <c r="G6679" s="1">
        <v>58.0</v>
      </c>
    </row>
    <row r="6680">
      <c r="A6680" s="1" t="s">
        <v>8</v>
      </c>
      <c r="B6680" s="2">
        <v>44732.0</v>
      </c>
      <c r="C6680" s="3">
        <v>0.32915509259259257</v>
      </c>
      <c r="D6680" s="1">
        <v>13.007862</v>
      </c>
      <c r="E6680" s="1">
        <v>80.23509</v>
      </c>
      <c r="F6680" s="1">
        <v>805.0</v>
      </c>
      <c r="G6680" s="1">
        <v>12.0</v>
      </c>
    </row>
    <row r="6681">
      <c r="A6681" s="1" t="s">
        <v>8</v>
      </c>
      <c r="B6681" s="2">
        <v>44732.0</v>
      </c>
      <c r="C6681" s="3">
        <v>0.32927083333333335</v>
      </c>
      <c r="D6681" s="1">
        <v>12.978024</v>
      </c>
      <c r="E6681" s="1">
        <v>80.160144</v>
      </c>
      <c r="F6681" s="1">
        <v>5339.0</v>
      </c>
      <c r="G6681" s="1">
        <v>52.0</v>
      </c>
    </row>
    <row r="6682">
      <c r="A6682" s="1" t="s">
        <v>10</v>
      </c>
      <c r="B6682" s="2">
        <v>44732.0</v>
      </c>
      <c r="C6682" s="3">
        <v>0.32936342592592593</v>
      </c>
      <c r="D6682" s="1">
        <v>12.722927</v>
      </c>
      <c r="E6682" s="1">
        <v>79.98152</v>
      </c>
      <c r="F6682" s="1">
        <v>2846.0</v>
      </c>
      <c r="G6682" s="1">
        <v>58.0</v>
      </c>
    </row>
    <row r="6683">
      <c r="A6683" s="1" t="s">
        <v>8</v>
      </c>
      <c r="B6683" s="2">
        <v>44732.0</v>
      </c>
      <c r="C6683" s="3">
        <v>0.3299884259259259</v>
      </c>
      <c r="D6683" s="1">
        <v>12.726222</v>
      </c>
      <c r="E6683" s="1">
        <v>79.982336</v>
      </c>
      <c r="F6683" s="1">
        <v>2846.0</v>
      </c>
      <c r="G6683" s="1">
        <v>35.0</v>
      </c>
    </row>
    <row r="6684">
      <c r="A6684" s="1" t="s">
        <v>8</v>
      </c>
      <c r="B6684" s="2">
        <v>44732.0</v>
      </c>
      <c r="C6684" s="3">
        <v>0.33001157407407405</v>
      </c>
      <c r="D6684" s="1">
        <v>12.97437</v>
      </c>
      <c r="E6684" s="1">
        <v>80.154776</v>
      </c>
      <c r="F6684" s="1">
        <v>5339.0</v>
      </c>
      <c r="G6684" s="1">
        <v>24.0</v>
      </c>
    </row>
    <row r="6685">
      <c r="A6685" s="1" t="s">
        <v>7</v>
      </c>
      <c r="B6685" s="2">
        <v>44732.0</v>
      </c>
      <c r="C6685" s="3">
        <v>0.33015046296296297</v>
      </c>
      <c r="D6685" s="1">
        <v>12.727217</v>
      </c>
      <c r="E6685" s="1">
        <v>79.982504</v>
      </c>
      <c r="F6685" s="1">
        <v>2846.0</v>
      </c>
      <c r="G6685" s="1">
        <v>40.0</v>
      </c>
    </row>
    <row r="6686">
      <c r="A6686" s="1" t="s">
        <v>8</v>
      </c>
      <c r="B6686" s="2">
        <v>44732.0</v>
      </c>
      <c r="C6686" s="3">
        <v>0.330625</v>
      </c>
      <c r="D6686" s="1">
        <v>13.008672</v>
      </c>
      <c r="E6686" s="1">
        <v>80.230387</v>
      </c>
      <c r="F6686" s="1">
        <v>805.0</v>
      </c>
      <c r="G6686" s="1">
        <v>23.0</v>
      </c>
    </row>
    <row r="6687">
      <c r="A6687" s="1" t="s">
        <v>8</v>
      </c>
      <c r="B6687" s="2">
        <v>44732.0</v>
      </c>
      <c r="C6687" s="3">
        <v>0.3306365740740741</v>
      </c>
      <c r="D6687" s="1">
        <v>13.008672</v>
      </c>
      <c r="E6687" s="1">
        <v>80.230387</v>
      </c>
      <c r="F6687" s="1">
        <v>805.0</v>
      </c>
      <c r="G6687" s="1">
        <v>23.0</v>
      </c>
    </row>
    <row r="6688">
      <c r="A6688" s="1" t="s">
        <v>8</v>
      </c>
      <c r="B6688" s="2">
        <v>44732.0</v>
      </c>
      <c r="C6688" s="3">
        <v>0.33064814814814814</v>
      </c>
      <c r="D6688" s="1">
        <v>13.008672</v>
      </c>
      <c r="E6688" s="1">
        <v>80.230387</v>
      </c>
      <c r="F6688" s="1">
        <v>805.0</v>
      </c>
      <c r="G6688" s="1">
        <v>23.0</v>
      </c>
    </row>
    <row r="6689">
      <c r="A6689" s="1" t="s">
        <v>8</v>
      </c>
      <c r="B6689" s="2">
        <v>44732.0</v>
      </c>
      <c r="C6689" s="3">
        <v>0.33064814814814814</v>
      </c>
      <c r="D6689" s="1">
        <v>13.008672</v>
      </c>
      <c r="E6689" s="1">
        <v>80.230387</v>
      </c>
      <c r="F6689" s="1">
        <v>805.0</v>
      </c>
      <c r="G6689" s="1">
        <v>23.0</v>
      </c>
    </row>
    <row r="6690">
      <c r="A6690" s="1" t="s">
        <v>7</v>
      </c>
      <c r="B6690" s="2">
        <v>44732.0</v>
      </c>
      <c r="C6690" s="3">
        <v>0.3307291666666667</v>
      </c>
      <c r="D6690" s="1">
        <v>12.733465</v>
      </c>
      <c r="E6690" s="1">
        <v>79.983672</v>
      </c>
      <c r="F6690" s="1">
        <v>2846.0</v>
      </c>
      <c r="G6690" s="1">
        <v>42.0</v>
      </c>
    </row>
    <row r="6691">
      <c r="A6691" s="1" t="s">
        <v>7</v>
      </c>
      <c r="B6691" s="2">
        <v>44732.0</v>
      </c>
      <c r="C6691" s="3">
        <v>0.3309259259259259</v>
      </c>
      <c r="D6691" s="1">
        <v>12.735989</v>
      </c>
      <c r="E6691" s="1">
        <v>79.986791</v>
      </c>
      <c r="F6691" s="1">
        <v>2846.0</v>
      </c>
      <c r="G6691" s="1">
        <v>58.0</v>
      </c>
    </row>
    <row r="6692">
      <c r="A6692" s="1" t="s">
        <v>8</v>
      </c>
      <c r="B6692" s="2">
        <v>44732.0</v>
      </c>
      <c r="C6692" s="3">
        <v>0.3310532407407407</v>
      </c>
      <c r="D6692" s="1">
        <v>13.009565</v>
      </c>
      <c r="E6692" s="1">
        <v>80.22736</v>
      </c>
      <c r="F6692" s="1">
        <v>805.0</v>
      </c>
      <c r="G6692" s="1">
        <v>37.0</v>
      </c>
    </row>
    <row r="6693">
      <c r="A6693" s="1" t="s">
        <v>7</v>
      </c>
      <c r="B6693" s="2">
        <v>44732.0</v>
      </c>
      <c r="C6693" s="3">
        <v>0.33113425925925927</v>
      </c>
      <c r="D6693" s="1">
        <v>12.738368</v>
      </c>
      <c r="E6693" s="1">
        <v>79.988492</v>
      </c>
      <c r="F6693" s="1">
        <v>2846.0</v>
      </c>
      <c r="G6693" s="1">
        <v>57.0</v>
      </c>
    </row>
    <row r="6694">
      <c r="A6694" s="1" t="s">
        <v>7</v>
      </c>
      <c r="B6694" s="2">
        <v>44732.0</v>
      </c>
      <c r="C6694" s="3">
        <v>0.33123842592592595</v>
      </c>
      <c r="D6694" s="1">
        <v>12.739557</v>
      </c>
      <c r="E6694" s="1">
        <v>79.98936</v>
      </c>
      <c r="F6694" s="1">
        <v>2846.0</v>
      </c>
      <c r="G6694" s="1">
        <v>58.0</v>
      </c>
    </row>
    <row r="6695">
      <c r="A6695" s="1" t="s">
        <v>8</v>
      </c>
      <c r="B6695" s="2">
        <v>44732.0</v>
      </c>
      <c r="C6695" s="3">
        <v>0.3312847222222222</v>
      </c>
      <c r="D6695" s="1">
        <v>13.009968</v>
      </c>
      <c r="E6695" s="1">
        <v>80.226459</v>
      </c>
      <c r="F6695" s="1">
        <v>805.0</v>
      </c>
      <c r="G6695" s="1">
        <v>37.0</v>
      </c>
    </row>
    <row r="6696">
      <c r="A6696" s="1" t="s">
        <v>8</v>
      </c>
      <c r="B6696" s="2">
        <v>44732.0</v>
      </c>
      <c r="C6696" s="3">
        <v>0.33130787037037035</v>
      </c>
      <c r="D6696" s="1">
        <v>13.010347</v>
      </c>
      <c r="E6696" s="1">
        <v>80.22566</v>
      </c>
      <c r="F6696" s="1">
        <v>805.0</v>
      </c>
      <c r="G6696" s="1">
        <v>31.0</v>
      </c>
    </row>
    <row r="6697">
      <c r="A6697" s="1" t="s">
        <v>8</v>
      </c>
      <c r="B6697" s="2">
        <v>44732.0</v>
      </c>
      <c r="C6697" s="3">
        <v>0.3315625</v>
      </c>
      <c r="D6697" s="1">
        <v>12.971333</v>
      </c>
      <c r="E6697" s="1">
        <v>80.151061</v>
      </c>
      <c r="F6697" s="1">
        <v>5339.0</v>
      </c>
      <c r="G6697" s="1">
        <v>34.0</v>
      </c>
    </row>
    <row r="6698">
      <c r="A6698" s="1" t="s">
        <v>7</v>
      </c>
      <c r="B6698" s="2">
        <v>44732.0</v>
      </c>
      <c r="C6698" s="3">
        <v>0.3324652777777778</v>
      </c>
      <c r="D6698" s="1">
        <v>12.744832</v>
      </c>
      <c r="E6698" s="1">
        <v>79.993608</v>
      </c>
      <c r="F6698" s="1">
        <v>2846.0</v>
      </c>
      <c r="G6698" s="1">
        <v>51.0</v>
      </c>
    </row>
    <row r="6699">
      <c r="A6699" s="1" t="s">
        <v>7</v>
      </c>
      <c r="B6699" s="2">
        <v>44732.0</v>
      </c>
      <c r="C6699" s="3">
        <v>0.3325694444444444</v>
      </c>
      <c r="D6699" s="1">
        <v>12.74596</v>
      </c>
      <c r="E6699" s="1">
        <v>79.994476</v>
      </c>
      <c r="F6699" s="1">
        <v>2846.0</v>
      </c>
      <c r="G6699" s="1">
        <v>59.0</v>
      </c>
    </row>
    <row r="6700">
      <c r="A6700" s="1" t="s">
        <v>8</v>
      </c>
      <c r="B6700" s="2">
        <v>44732.0</v>
      </c>
      <c r="C6700" s="3">
        <v>0.33265046296296297</v>
      </c>
      <c r="D6700" s="1">
        <v>12.966208</v>
      </c>
      <c r="E6700" s="1">
        <v>80.14863</v>
      </c>
      <c r="F6700" s="1">
        <v>5339.0</v>
      </c>
      <c r="G6700" s="1">
        <v>37.0</v>
      </c>
    </row>
    <row r="6701">
      <c r="A6701" s="1" t="s">
        <v>8</v>
      </c>
      <c r="B6701" s="2">
        <v>44732.0</v>
      </c>
      <c r="C6701" s="3">
        <v>0.3328009259259259</v>
      </c>
      <c r="D6701" s="1">
        <v>13.01167</v>
      </c>
      <c r="E6701" s="1">
        <v>80.219454</v>
      </c>
      <c r="F6701" s="1">
        <v>805.0</v>
      </c>
      <c r="G6701" s="1">
        <v>40.0</v>
      </c>
    </row>
    <row r="6702">
      <c r="A6702" s="1" t="s">
        <v>8</v>
      </c>
      <c r="B6702" s="2">
        <v>44732.0</v>
      </c>
      <c r="C6702" s="3">
        <v>0.33288194444444447</v>
      </c>
      <c r="D6702" s="1">
        <v>12.962035</v>
      </c>
      <c r="E6702" s="1">
        <v>80.146373</v>
      </c>
      <c r="F6702" s="1">
        <v>5339.0</v>
      </c>
      <c r="G6702" s="1">
        <v>16.0</v>
      </c>
    </row>
    <row r="6703">
      <c r="A6703" s="1" t="s">
        <v>8</v>
      </c>
      <c r="B6703" s="2">
        <v>44732.0</v>
      </c>
      <c r="C6703" s="3">
        <v>0.33288194444444447</v>
      </c>
      <c r="D6703" s="1">
        <v>12.962035</v>
      </c>
      <c r="E6703" s="1">
        <v>80.146373</v>
      </c>
      <c r="F6703" s="1">
        <v>5339.0</v>
      </c>
      <c r="G6703" s="1">
        <v>16.0</v>
      </c>
    </row>
    <row r="6704">
      <c r="A6704" s="1" t="s">
        <v>7</v>
      </c>
      <c r="B6704" s="2">
        <v>44732.0</v>
      </c>
      <c r="C6704" s="3">
        <v>0.3328935185185185</v>
      </c>
      <c r="D6704" s="1">
        <v>12.749363</v>
      </c>
      <c r="E6704" s="1">
        <v>79.997264</v>
      </c>
      <c r="F6704" s="1">
        <v>2846.0</v>
      </c>
      <c r="G6704" s="1">
        <v>57.0</v>
      </c>
    </row>
    <row r="6705">
      <c r="A6705" s="1" t="s">
        <v>8</v>
      </c>
      <c r="B6705" s="2">
        <v>44732.0</v>
      </c>
      <c r="C6705" s="3">
        <v>0.3328935185185185</v>
      </c>
      <c r="D6705" s="1">
        <v>12.961494</v>
      </c>
      <c r="E6705" s="1">
        <v>80.146077</v>
      </c>
      <c r="F6705" s="1">
        <v>5339.0</v>
      </c>
      <c r="G6705" s="1">
        <v>27.0</v>
      </c>
    </row>
    <row r="6706">
      <c r="A6706" s="1" t="s">
        <v>8</v>
      </c>
      <c r="B6706" s="2">
        <v>44732.0</v>
      </c>
      <c r="C6706" s="3">
        <v>0.33296296296296296</v>
      </c>
      <c r="D6706" s="1">
        <v>13.011356</v>
      </c>
      <c r="E6706" s="1">
        <v>80.218482</v>
      </c>
      <c r="F6706" s="1">
        <v>805.0</v>
      </c>
      <c r="G6706" s="1">
        <v>34.0</v>
      </c>
    </row>
    <row r="6707">
      <c r="A6707" s="1" t="s">
        <v>8</v>
      </c>
      <c r="B6707" s="2">
        <v>44732.0</v>
      </c>
      <c r="C6707" s="3">
        <v>0.33310185185185187</v>
      </c>
      <c r="D6707" s="1">
        <v>12.960739</v>
      </c>
      <c r="E6707" s="1">
        <v>80.145659</v>
      </c>
      <c r="F6707" s="1">
        <v>5339.0</v>
      </c>
      <c r="G6707" s="1">
        <v>40.0</v>
      </c>
    </row>
    <row r="6708">
      <c r="A6708" s="1" t="s">
        <v>8</v>
      </c>
      <c r="B6708" s="2">
        <v>44732.0</v>
      </c>
      <c r="C6708" s="3">
        <v>0.3333101851851852</v>
      </c>
      <c r="D6708" s="1">
        <v>13.010502</v>
      </c>
      <c r="E6708" s="1">
        <v>80.216414</v>
      </c>
      <c r="F6708" s="1">
        <v>805.0</v>
      </c>
      <c r="G6708" s="1">
        <v>30.0</v>
      </c>
    </row>
    <row r="6709">
      <c r="A6709" s="1" t="s">
        <v>8</v>
      </c>
      <c r="B6709" s="2">
        <v>44732.0</v>
      </c>
      <c r="C6709" s="3">
        <v>0.3333333333333333</v>
      </c>
      <c r="D6709" s="1">
        <v>12.754154</v>
      </c>
      <c r="E6709" s="1">
        <v>80.000596</v>
      </c>
      <c r="F6709" s="1">
        <v>2846.0</v>
      </c>
      <c r="G6709" s="1">
        <v>57.0</v>
      </c>
    </row>
    <row r="6710">
      <c r="A6710" s="1" t="s">
        <v>7</v>
      </c>
      <c r="B6710" s="2">
        <v>44732.0</v>
      </c>
      <c r="C6710" s="3">
        <v>0.33361111111111114</v>
      </c>
      <c r="D6710" s="1">
        <v>12.754154</v>
      </c>
      <c r="E6710" s="1">
        <v>80.000596</v>
      </c>
      <c r="F6710" s="1">
        <v>2846.0</v>
      </c>
      <c r="G6710" s="1">
        <v>57.0</v>
      </c>
    </row>
    <row r="6711">
      <c r="A6711" s="1" t="s">
        <v>8</v>
      </c>
      <c r="B6711" s="2">
        <v>44732.0</v>
      </c>
      <c r="C6711" s="3">
        <v>0.33361111111111114</v>
      </c>
      <c r="D6711" s="1">
        <v>13.009599</v>
      </c>
      <c r="E6711" s="1">
        <v>80.213535</v>
      </c>
      <c r="F6711" s="1">
        <v>805.0</v>
      </c>
      <c r="G6711" s="1">
        <v>40.0</v>
      </c>
    </row>
    <row r="6712">
      <c r="A6712" s="1" t="s">
        <v>8</v>
      </c>
      <c r="B6712" s="2">
        <v>44732.0</v>
      </c>
      <c r="C6712" s="3">
        <v>0.3340046296296296</v>
      </c>
      <c r="D6712" s="1">
        <v>13.008846</v>
      </c>
      <c r="E6712" s="1">
        <v>80.211558</v>
      </c>
      <c r="F6712" s="1">
        <v>805.0</v>
      </c>
      <c r="G6712" s="1">
        <v>29.0</v>
      </c>
    </row>
    <row r="6713">
      <c r="A6713" s="1" t="s">
        <v>8</v>
      </c>
      <c r="B6713" s="2">
        <v>44732.0</v>
      </c>
      <c r="C6713" s="3">
        <v>0.33405092592592595</v>
      </c>
      <c r="D6713" s="1">
        <v>13.008522</v>
      </c>
      <c r="E6713" s="1">
        <v>80.210652</v>
      </c>
      <c r="F6713" s="1">
        <v>805.0</v>
      </c>
      <c r="G6713" s="1">
        <v>37.0</v>
      </c>
    </row>
    <row r="6714">
      <c r="A6714" s="1" t="s">
        <v>8</v>
      </c>
      <c r="B6714" s="2">
        <v>44732.0</v>
      </c>
      <c r="C6714" s="3">
        <v>0.3340856481481482</v>
      </c>
      <c r="D6714" s="1">
        <v>13.008522</v>
      </c>
      <c r="E6714" s="1">
        <v>80.210652</v>
      </c>
      <c r="F6714" s="1">
        <v>805.0</v>
      </c>
      <c r="G6714" s="1">
        <v>37.0</v>
      </c>
    </row>
    <row r="6715">
      <c r="A6715" s="1" t="s">
        <v>8</v>
      </c>
      <c r="B6715" s="2">
        <v>44732.0</v>
      </c>
      <c r="C6715" s="3">
        <v>0.3341087962962963</v>
      </c>
      <c r="D6715" s="1">
        <v>13.008522</v>
      </c>
      <c r="E6715" s="1">
        <v>80.210652</v>
      </c>
      <c r="F6715" s="1">
        <v>805.0</v>
      </c>
      <c r="G6715" s="1">
        <v>37.0</v>
      </c>
    </row>
    <row r="6716">
      <c r="A6716" s="1" t="s">
        <v>8</v>
      </c>
      <c r="B6716" s="2">
        <v>44732.0</v>
      </c>
      <c r="C6716" s="3">
        <v>0.33412037037037035</v>
      </c>
      <c r="D6716" s="1">
        <v>13.008522</v>
      </c>
      <c r="E6716" s="1">
        <v>80.210652</v>
      </c>
      <c r="F6716" s="1">
        <v>805.0</v>
      </c>
      <c r="G6716" s="1">
        <v>37.0</v>
      </c>
    </row>
    <row r="6717">
      <c r="A6717" s="1" t="s">
        <v>8</v>
      </c>
      <c r="B6717" s="2">
        <v>44732.0</v>
      </c>
      <c r="C6717" s="3">
        <v>0.33427083333333335</v>
      </c>
      <c r="D6717" s="1">
        <v>12.955866</v>
      </c>
      <c r="E6717" s="1">
        <v>80.143016</v>
      </c>
      <c r="F6717" s="1">
        <v>5339.0</v>
      </c>
      <c r="G6717" s="1">
        <v>26.0</v>
      </c>
    </row>
    <row r="6718">
      <c r="A6718" s="1" t="s">
        <v>8</v>
      </c>
      <c r="B6718" s="2">
        <v>44732.0</v>
      </c>
      <c r="C6718" s="3">
        <v>0.33435185185185184</v>
      </c>
      <c r="D6718" s="1">
        <v>13.008036</v>
      </c>
      <c r="E6718" s="1">
        <v>80.209034</v>
      </c>
      <c r="F6718" s="1">
        <v>805.0</v>
      </c>
      <c r="G6718" s="1">
        <v>36.0</v>
      </c>
    </row>
    <row r="6719">
      <c r="A6719" s="1" t="s">
        <v>8</v>
      </c>
      <c r="B6719" s="2">
        <v>44732.0</v>
      </c>
      <c r="C6719" s="3">
        <v>0.3345486111111111</v>
      </c>
      <c r="D6719" s="1">
        <v>12.762758</v>
      </c>
      <c r="E6719" s="1">
        <v>80.003904</v>
      </c>
      <c r="F6719" s="1">
        <v>2846.0</v>
      </c>
      <c r="G6719" s="1">
        <v>50.0</v>
      </c>
    </row>
    <row r="6720">
      <c r="A6720" s="1" t="s">
        <v>8</v>
      </c>
      <c r="B6720" s="2">
        <v>44732.0</v>
      </c>
      <c r="C6720" s="3">
        <v>0.33479166666666665</v>
      </c>
      <c r="D6720" s="1">
        <v>13.007277</v>
      </c>
      <c r="E6720" s="1">
        <v>80.20516</v>
      </c>
      <c r="F6720" s="1">
        <v>805.0</v>
      </c>
      <c r="G6720" s="1">
        <v>43.0</v>
      </c>
    </row>
    <row r="6721">
      <c r="A6721" s="1" t="s">
        <v>8</v>
      </c>
      <c r="B6721" s="2">
        <v>44732.0</v>
      </c>
      <c r="C6721" s="3">
        <v>0.3348611111111111</v>
      </c>
      <c r="D6721" s="1">
        <v>12.766122</v>
      </c>
      <c r="E6721" s="1">
        <v>80.005273</v>
      </c>
      <c r="F6721" s="1">
        <v>2846.0</v>
      </c>
      <c r="G6721" s="1">
        <v>48.0</v>
      </c>
    </row>
    <row r="6722">
      <c r="A6722" s="1" t="s">
        <v>8</v>
      </c>
      <c r="B6722" s="2">
        <v>44732.0</v>
      </c>
      <c r="C6722" s="3">
        <v>0.33489583333333334</v>
      </c>
      <c r="D6722" s="1">
        <v>12.952482</v>
      </c>
      <c r="E6722" s="1">
        <v>80.141104</v>
      </c>
      <c r="F6722" s="1">
        <v>5339.0</v>
      </c>
      <c r="G6722" s="1">
        <v>24.0</v>
      </c>
    </row>
    <row r="6723">
      <c r="A6723" s="1" t="s">
        <v>7</v>
      </c>
      <c r="B6723" s="2">
        <v>44732.0</v>
      </c>
      <c r="C6723" s="3">
        <v>0.33493055555555556</v>
      </c>
      <c r="D6723" s="1">
        <v>12.766122</v>
      </c>
      <c r="E6723" s="1">
        <v>80.005273</v>
      </c>
      <c r="F6723" s="1">
        <v>2846.0</v>
      </c>
      <c r="G6723" s="1">
        <v>48.0</v>
      </c>
    </row>
    <row r="6724">
      <c r="A6724" s="1" t="s">
        <v>7</v>
      </c>
      <c r="B6724" s="2">
        <v>44732.0</v>
      </c>
      <c r="C6724" s="3">
        <v>0.33510416666666665</v>
      </c>
      <c r="D6724" s="1">
        <v>12.768637</v>
      </c>
      <c r="E6724" s="1">
        <v>80.006475</v>
      </c>
      <c r="F6724" s="1">
        <v>2846.0</v>
      </c>
      <c r="G6724" s="1">
        <v>56.0</v>
      </c>
    </row>
    <row r="6725">
      <c r="A6725" s="1" t="s">
        <v>8</v>
      </c>
      <c r="B6725" s="2">
        <v>44732.0</v>
      </c>
      <c r="C6725" s="3">
        <v>0.3359722222222222</v>
      </c>
      <c r="D6725" s="1">
        <v>12.950343</v>
      </c>
      <c r="E6725" s="1">
        <v>80.139545</v>
      </c>
      <c r="F6725" s="1">
        <v>5339.0</v>
      </c>
      <c r="G6725" s="1">
        <v>25.0</v>
      </c>
    </row>
    <row r="6726">
      <c r="A6726" s="1" t="s">
        <v>8</v>
      </c>
      <c r="B6726" s="2">
        <v>44732.0</v>
      </c>
      <c r="C6726" s="3">
        <v>0.3361689814814815</v>
      </c>
      <c r="D6726" s="1">
        <v>12.948865</v>
      </c>
      <c r="E6726" s="1">
        <v>80.13832</v>
      </c>
      <c r="F6726" s="1">
        <v>5339.0</v>
      </c>
      <c r="G6726" s="1">
        <v>44.0</v>
      </c>
    </row>
    <row r="6727">
      <c r="A6727" s="1" t="s">
        <v>7</v>
      </c>
      <c r="B6727" s="2">
        <v>44732.0</v>
      </c>
      <c r="C6727" s="3">
        <v>0.3362615740740741</v>
      </c>
      <c r="D6727" s="1">
        <v>12.78194</v>
      </c>
      <c r="E6727" s="1">
        <v>80.012532</v>
      </c>
      <c r="F6727" s="1">
        <v>2846.0</v>
      </c>
      <c r="G6727" s="1">
        <v>58.0</v>
      </c>
    </row>
    <row r="6728">
      <c r="A6728" s="1" t="s">
        <v>8</v>
      </c>
      <c r="B6728" s="2">
        <v>44732.0</v>
      </c>
      <c r="C6728" s="3">
        <v>0.3364699074074074</v>
      </c>
      <c r="D6728" s="1">
        <v>13.002789</v>
      </c>
      <c r="E6728" s="1">
        <v>80.200793</v>
      </c>
      <c r="F6728" s="1">
        <v>805.0</v>
      </c>
      <c r="G6728" s="1">
        <v>14.0</v>
      </c>
    </row>
    <row r="6729">
      <c r="A6729" s="1" t="s">
        <v>8</v>
      </c>
      <c r="B6729" s="2">
        <v>44732.0</v>
      </c>
      <c r="C6729" s="3">
        <v>0.33649305555555553</v>
      </c>
      <c r="D6729" s="1">
        <v>13.002416</v>
      </c>
      <c r="E6729" s="1">
        <v>80.200604</v>
      </c>
      <c r="F6729" s="1">
        <v>805.0</v>
      </c>
      <c r="G6729" s="1">
        <v>22.0</v>
      </c>
    </row>
    <row r="6730">
      <c r="A6730" s="1" t="s">
        <v>8</v>
      </c>
      <c r="B6730" s="2">
        <v>44732.0</v>
      </c>
      <c r="C6730" s="3">
        <v>0.33655092592592595</v>
      </c>
      <c r="D6730" s="1">
        <v>13.002416</v>
      </c>
      <c r="E6730" s="1">
        <v>80.200604</v>
      </c>
      <c r="F6730" s="1">
        <v>805.0</v>
      </c>
      <c r="G6730" s="1">
        <v>22.0</v>
      </c>
    </row>
    <row r="6731">
      <c r="A6731" s="1" t="s">
        <v>8</v>
      </c>
      <c r="B6731" s="2">
        <v>44732.0</v>
      </c>
      <c r="C6731" s="3">
        <v>0.33663194444444444</v>
      </c>
      <c r="D6731" s="1">
        <v>13.001933</v>
      </c>
      <c r="E6731" s="1">
        <v>80.200063</v>
      </c>
      <c r="F6731" s="1">
        <v>805.0</v>
      </c>
      <c r="G6731" s="1">
        <v>31.0</v>
      </c>
    </row>
    <row r="6732">
      <c r="A6732" s="1" t="s">
        <v>8</v>
      </c>
      <c r="B6732" s="2">
        <v>44732.0</v>
      </c>
      <c r="C6732" s="3">
        <v>0.3367939814814815</v>
      </c>
      <c r="D6732" s="1">
        <v>13.001756</v>
      </c>
      <c r="E6732" s="1">
        <v>80.199203</v>
      </c>
      <c r="F6732" s="1">
        <v>805.0</v>
      </c>
      <c r="G6732" s="1">
        <v>34.0</v>
      </c>
    </row>
    <row r="6733">
      <c r="A6733" s="1" t="s">
        <v>7</v>
      </c>
      <c r="B6733" s="2">
        <v>44732.0</v>
      </c>
      <c r="C6733" s="3">
        <v>0.3369097222222222</v>
      </c>
      <c r="D6733" s="1">
        <v>12.943148</v>
      </c>
      <c r="E6733" s="1">
        <v>80.133857</v>
      </c>
      <c r="F6733" s="1">
        <v>5339.0</v>
      </c>
      <c r="G6733" s="1">
        <v>47.0</v>
      </c>
    </row>
    <row r="6734">
      <c r="A6734" s="1" t="s">
        <v>8</v>
      </c>
      <c r="B6734" s="2">
        <v>44732.0</v>
      </c>
      <c r="C6734" s="3">
        <v>0.33694444444444444</v>
      </c>
      <c r="D6734" s="1">
        <v>13.001967</v>
      </c>
      <c r="E6734" s="1">
        <v>80.197192</v>
      </c>
      <c r="F6734" s="1">
        <v>805.0</v>
      </c>
      <c r="G6734" s="1">
        <v>0.0</v>
      </c>
    </row>
    <row r="6735">
      <c r="A6735" s="1" t="s">
        <v>8</v>
      </c>
      <c r="B6735" s="2">
        <v>44732.0</v>
      </c>
      <c r="C6735" s="3">
        <v>0.3370138888888889</v>
      </c>
      <c r="D6735" s="1">
        <v>13.001967</v>
      </c>
      <c r="E6735" s="1">
        <v>80.197192</v>
      </c>
      <c r="F6735" s="1">
        <v>805.0</v>
      </c>
      <c r="G6735" s="1">
        <v>0.0</v>
      </c>
    </row>
    <row r="6736">
      <c r="A6736" s="1" t="s">
        <v>8</v>
      </c>
      <c r="B6736" s="2">
        <v>44732.0</v>
      </c>
      <c r="C6736" s="3">
        <v>0.33707175925925925</v>
      </c>
      <c r="D6736" s="1">
        <v>13.001457</v>
      </c>
      <c r="E6736" s="1">
        <v>80.196154</v>
      </c>
      <c r="F6736" s="1">
        <v>805.0</v>
      </c>
      <c r="G6736" s="1">
        <v>38.0</v>
      </c>
    </row>
    <row r="6737">
      <c r="A6737" s="1" t="s">
        <v>8</v>
      </c>
      <c r="B6737" s="2">
        <v>44732.0</v>
      </c>
      <c r="C6737" s="3">
        <v>0.33707175925925925</v>
      </c>
      <c r="D6737" s="1">
        <v>12.790707</v>
      </c>
      <c r="E6737" s="1">
        <v>80.017266</v>
      </c>
      <c r="F6737" s="1">
        <v>2846.0</v>
      </c>
      <c r="G6737" s="1">
        <v>51.0</v>
      </c>
    </row>
    <row r="6738">
      <c r="A6738" s="1" t="s">
        <v>8</v>
      </c>
      <c r="B6738" s="2">
        <v>44732.0</v>
      </c>
      <c r="C6738" s="3">
        <v>0.3371180555555556</v>
      </c>
      <c r="D6738" s="1">
        <v>12.94399</v>
      </c>
      <c r="E6738" s="1">
        <v>80.1346</v>
      </c>
      <c r="F6738" s="1">
        <v>5339.0</v>
      </c>
      <c r="G6738" s="1">
        <v>44.0</v>
      </c>
    </row>
    <row r="6739">
      <c r="A6739" s="1" t="s">
        <v>8</v>
      </c>
      <c r="B6739" s="2">
        <v>44732.0</v>
      </c>
      <c r="C6739" s="3">
        <v>0.3373726851851852</v>
      </c>
      <c r="D6739" s="1">
        <v>13.000227</v>
      </c>
      <c r="E6739" s="1">
        <v>80.194499</v>
      </c>
      <c r="F6739" s="1">
        <v>805.0</v>
      </c>
      <c r="G6739" s="1">
        <v>31.0</v>
      </c>
    </row>
    <row r="6740">
      <c r="A6740" s="1" t="s">
        <v>8</v>
      </c>
      <c r="B6740" s="2">
        <v>44732.0</v>
      </c>
      <c r="C6740" s="3">
        <v>0.3375694444444444</v>
      </c>
      <c r="D6740" s="1">
        <v>12.93738</v>
      </c>
      <c r="E6740" s="1">
        <v>80.128279</v>
      </c>
      <c r="F6740" s="1">
        <v>5339.0</v>
      </c>
      <c r="G6740" s="1">
        <v>43.0</v>
      </c>
    </row>
    <row r="6741">
      <c r="A6741" s="1" t="s">
        <v>8</v>
      </c>
      <c r="B6741" s="2">
        <v>44732.0</v>
      </c>
      <c r="C6741" s="3">
        <v>0.3375694444444444</v>
      </c>
      <c r="D6741" s="1">
        <v>12.93738</v>
      </c>
      <c r="E6741" s="1">
        <v>80.128279</v>
      </c>
      <c r="F6741" s="1">
        <v>5339.0</v>
      </c>
      <c r="G6741" s="1">
        <v>43.0</v>
      </c>
    </row>
    <row r="6742">
      <c r="A6742" s="1" t="s">
        <v>8</v>
      </c>
      <c r="B6742" s="2">
        <v>44732.0</v>
      </c>
      <c r="C6742" s="3">
        <v>0.3378587962962963</v>
      </c>
      <c r="D6742" s="1">
        <v>12.998102</v>
      </c>
      <c r="E6742" s="1">
        <v>80.191795</v>
      </c>
      <c r="F6742" s="1">
        <v>805.0</v>
      </c>
      <c r="G6742" s="1">
        <v>45.0</v>
      </c>
    </row>
    <row r="6743">
      <c r="A6743" s="1" t="s">
        <v>8</v>
      </c>
      <c r="B6743" s="2">
        <v>44732.0</v>
      </c>
      <c r="C6743" s="3">
        <v>0.3379050925925926</v>
      </c>
      <c r="D6743" s="1">
        <v>12.795712</v>
      </c>
      <c r="E6743" s="1">
        <v>80.020465</v>
      </c>
      <c r="F6743" s="1">
        <v>2846.0</v>
      </c>
      <c r="G6743" s="1">
        <v>34.0</v>
      </c>
    </row>
    <row r="6744">
      <c r="A6744" s="1" t="s">
        <v>8</v>
      </c>
      <c r="B6744" s="2">
        <v>44732.0</v>
      </c>
      <c r="C6744" s="3">
        <v>0.3379050925925926</v>
      </c>
      <c r="D6744" s="1">
        <v>12.997333</v>
      </c>
      <c r="E6744" s="1">
        <v>80.190875</v>
      </c>
      <c r="F6744" s="1">
        <v>805.0</v>
      </c>
      <c r="G6744" s="1">
        <v>51.0</v>
      </c>
    </row>
    <row r="6745">
      <c r="A6745" s="1" t="s">
        <v>8</v>
      </c>
      <c r="B6745" s="2">
        <v>44732.0</v>
      </c>
      <c r="C6745" s="3">
        <v>0.33800925925925923</v>
      </c>
      <c r="D6745" s="1">
        <v>12.996568</v>
      </c>
      <c r="E6745" s="1">
        <v>80.190012</v>
      </c>
      <c r="F6745" s="1">
        <v>805.0</v>
      </c>
      <c r="G6745" s="1">
        <v>35.0</v>
      </c>
    </row>
    <row r="6746">
      <c r="A6746" s="1" t="s">
        <v>7</v>
      </c>
      <c r="B6746" s="2">
        <v>44732.0</v>
      </c>
      <c r="C6746" s="3">
        <v>0.338125</v>
      </c>
      <c r="D6746" s="1">
        <v>12.93296</v>
      </c>
      <c r="E6746" s="1">
        <v>80.124188</v>
      </c>
      <c r="F6746" s="1">
        <v>5339.0</v>
      </c>
      <c r="G6746" s="1">
        <v>55.0</v>
      </c>
    </row>
    <row r="6747">
      <c r="A6747" s="1" t="s">
        <v>8</v>
      </c>
      <c r="B6747" s="2">
        <v>44732.0</v>
      </c>
      <c r="C6747" s="3">
        <v>0.33814814814814814</v>
      </c>
      <c r="D6747" s="1">
        <v>12.995962</v>
      </c>
      <c r="E6747" s="1">
        <v>80.189356</v>
      </c>
      <c r="F6747" s="1">
        <v>805.0</v>
      </c>
      <c r="G6747" s="1">
        <v>40.0</v>
      </c>
    </row>
    <row r="6748">
      <c r="A6748" s="1" t="s">
        <v>8</v>
      </c>
      <c r="B6748" s="2">
        <v>44732.0</v>
      </c>
      <c r="C6748" s="3">
        <v>0.33818287037037037</v>
      </c>
      <c r="D6748" s="1">
        <v>12.995962</v>
      </c>
      <c r="E6748" s="1">
        <v>80.189356</v>
      </c>
      <c r="F6748" s="1">
        <v>805.0</v>
      </c>
      <c r="G6748" s="1">
        <v>40.0</v>
      </c>
    </row>
    <row r="6749">
      <c r="A6749" s="1" t="s">
        <v>8</v>
      </c>
      <c r="B6749" s="2">
        <v>44732.0</v>
      </c>
      <c r="C6749" s="3">
        <v>0.33827546296296296</v>
      </c>
      <c r="D6749" s="1">
        <v>12.995529</v>
      </c>
      <c r="E6749" s="1">
        <v>80.188617</v>
      </c>
      <c r="F6749" s="1">
        <v>805.0</v>
      </c>
      <c r="G6749" s="1">
        <v>28.0</v>
      </c>
    </row>
    <row r="6750">
      <c r="A6750" s="1" t="s">
        <v>7</v>
      </c>
      <c r="B6750" s="2">
        <v>44732.0</v>
      </c>
      <c r="C6750" s="3">
        <v>0.33847222222222223</v>
      </c>
      <c r="D6750" s="1">
        <v>12.801164</v>
      </c>
      <c r="E6750" s="1">
        <v>80.02406</v>
      </c>
      <c r="F6750" s="1">
        <v>2846.0</v>
      </c>
      <c r="G6750" s="1">
        <v>58.0</v>
      </c>
    </row>
    <row r="6751">
      <c r="A6751" s="1" t="s">
        <v>8</v>
      </c>
      <c r="B6751" s="2">
        <v>44732.0</v>
      </c>
      <c r="C6751" s="3">
        <v>0.33883101851851855</v>
      </c>
      <c r="D6751" s="1">
        <v>12.93115</v>
      </c>
      <c r="E6751" s="1">
        <v>80.122417</v>
      </c>
      <c r="F6751" s="1">
        <v>5339.0</v>
      </c>
      <c r="G6751" s="1">
        <v>31.0</v>
      </c>
    </row>
    <row r="6752">
      <c r="A6752" s="1" t="s">
        <v>7</v>
      </c>
      <c r="B6752" s="2">
        <v>44732.0</v>
      </c>
      <c r="C6752" s="3">
        <v>0.3388657407407407</v>
      </c>
      <c r="D6752" s="1">
        <v>12.804818</v>
      </c>
      <c r="E6752" s="1">
        <v>80.026498</v>
      </c>
      <c r="F6752" s="1">
        <v>2846.0</v>
      </c>
      <c r="G6752" s="1">
        <v>58.0</v>
      </c>
    </row>
    <row r="6753">
      <c r="A6753" s="1" t="s">
        <v>8</v>
      </c>
      <c r="B6753" s="2">
        <v>44732.0</v>
      </c>
      <c r="C6753" s="3">
        <v>0.3389351851851852</v>
      </c>
      <c r="D6753" s="1">
        <v>12.992261</v>
      </c>
      <c r="E6753" s="1">
        <v>80.182516</v>
      </c>
      <c r="F6753" s="1">
        <v>805.0</v>
      </c>
      <c r="G6753" s="1">
        <v>55.0</v>
      </c>
    </row>
    <row r="6754">
      <c r="A6754" s="1" t="s">
        <v>7</v>
      </c>
      <c r="B6754" s="2">
        <v>44732.0</v>
      </c>
      <c r="C6754" s="3">
        <v>0.3389814814814815</v>
      </c>
      <c r="D6754" s="1">
        <v>12.806042</v>
      </c>
      <c r="E6754" s="1">
        <v>80.027294</v>
      </c>
      <c r="F6754" s="1">
        <v>2846.0</v>
      </c>
      <c r="G6754" s="1">
        <v>58.0</v>
      </c>
    </row>
    <row r="6755">
      <c r="A6755" s="1" t="s">
        <v>7</v>
      </c>
      <c r="B6755" s="2">
        <v>44732.0</v>
      </c>
      <c r="C6755" s="3">
        <v>0.3390972222222222</v>
      </c>
      <c r="D6755" s="1">
        <v>12.929871</v>
      </c>
      <c r="E6755" s="1">
        <v>80.121151</v>
      </c>
      <c r="F6755" s="1">
        <v>5339.0</v>
      </c>
      <c r="G6755" s="1">
        <v>45.0</v>
      </c>
    </row>
    <row r="6756">
      <c r="A6756" s="1" t="s">
        <v>8</v>
      </c>
      <c r="B6756" s="2">
        <v>44732.0</v>
      </c>
      <c r="C6756" s="3">
        <v>0.3391550925925926</v>
      </c>
      <c r="D6756" s="1">
        <v>12.928984</v>
      </c>
      <c r="E6756" s="1">
        <v>80.120217</v>
      </c>
      <c r="F6756" s="1">
        <v>5339.0</v>
      </c>
      <c r="G6756" s="1">
        <v>51.0</v>
      </c>
    </row>
    <row r="6757">
      <c r="A6757" s="1" t="s">
        <v>8</v>
      </c>
      <c r="B6757" s="2">
        <v>44732.0</v>
      </c>
      <c r="C6757" s="3">
        <v>0.3392824074074074</v>
      </c>
      <c r="D6757" s="1">
        <v>12.808822</v>
      </c>
      <c r="E6757" s="1">
        <v>80.029076</v>
      </c>
      <c r="F6757" s="1">
        <v>2846.0</v>
      </c>
      <c r="G6757" s="1">
        <v>40.0</v>
      </c>
    </row>
    <row r="6758">
      <c r="A6758" s="1" t="s">
        <v>8</v>
      </c>
      <c r="B6758" s="2">
        <v>44732.0</v>
      </c>
      <c r="C6758" s="3">
        <v>0.34</v>
      </c>
      <c r="D6758" s="1">
        <v>12.925344</v>
      </c>
      <c r="E6758" s="1">
        <v>80.116537</v>
      </c>
      <c r="F6758" s="1">
        <v>5339.0</v>
      </c>
      <c r="G6758" s="1">
        <v>41.0</v>
      </c>
    </row>
    <row r="6759">
      <c r="A6759" s="1" t="s">
        <v>7</v>
      </c>
      <c r="B6759" s="2">
        <v>44732.0</v>
      </c>
      <c r="C6759" s="3">
        <v>0.3400694444444444</v>
      </c>
      <c r="D6759" s="1">
        <v>12.817132</v>
      </c>
      <c r="E6759" s="1">
        <v>80.034647</v>
      </c>
      <c r="F6759" s="1">
        <v>2846.0</v>
      </c>
      <c r="G6759" s="1">
        <v>57.0</v>
      </c>
    </row>
    <row r="6760">
      <c r="A6760" s="1" t="s">
        <v>7</v>
      </c>
      <c r="B6760" s="2">
        <v>44732.0</v>
      </c>
      <c r="C6760" s="3">
        <v>0.3407291666666667</v>
      </c>
      <c r="D6760" s="1">
        <v>12.920235</v>
      </c>
      <c r="E6760" s="1">
        <v>80.111359</v>
      </c>
      <c r="F6760" s="1">
        <v>5339.0</v>
      </c>
      <c r="G6760" s="1">
        <v>58.0</v>
      </c>
    </row>
    <row r="6761">
      <c r="A6761" s="1" t="s">
        <v>8</v>
      </c>
      <c r="B6761" s="2">
        <v>44732.0</v>
      </c>
      <c r="C6761" s="3">
        <v>0.3409259259259259</v>
      </c>
      <c r="D6761" s="1">
        <v>12.984756</v>
      </c>
      <c r="E6761" s="1">
        <v>80.172279</v>
      </c>
      <c r="F6761" s="1">
        <v>805.0</v>
      </c>
      <c r="G6761" s="1">
        <v>47.0</v>
      </c>
    </row>
    <row r="6762">
      <c r="A6762" s="1" t="s">
        <v>7</v>
      </c>
      <c r="B6762" s="2">
        <v>44732.0</v>
      </c>
      <c r="C6762" s="3">
        <v>0.34100694444444446</v>
      </c>
      <c r="D6762" s="1">
        <v>12.917433</v>
      </c>
      <c r="E6762" s="1">
        <v>80.107914</v>
      </c>
      <c r="F6762" s="1">
        <v>5339.0</v>
      </c>
      <c r="G6762" s="1">
        <v>58.0</v>
      </c>
    </row>
    <row r="6763">
      <c r="A6763" s="1" t="s">
        <v>8</v>
      </c>
      <c r="B6763" s="2">
        <v>44732.0</v>
      </c>
      <c r="C6763" s="3">
        <v>0.3410763888888889</v>
      </c>
      <c r="D6763" s="1">
        <v>12.984144</v>
      </c>
      <c r="E6763" s="1">
        <v>80.171271</v>
      </c>
      <c r="F6763" s="1">
        <v>805.0</v>
      </c>
      <c r="G6763" s="1">
        <v>42.0</v>
      </c>
    </row>
    <row r="6764">
      <c r="A6764" s="1" t="s">
        <v>7</v>
      </c>
      <c r="B6764" s="2">
        <v>44732.0</v>
      </c>
      <c r="C6764" s="3">
        <v>0.34122685185185186</v>
      </c>
      <c r="D6764" s="1">
        <v>12.982785</v>
      </c>
      <c r="E6764" s="1">
        <v>80.168963</v>
      </c>
      <c r="F6764" s="1">
        <v>805.0</v>
      </c>
      <c r="G6764" s="1">
        <v>58.0</v>
      </c>
    </row>
    <row r="6765">
      <c r="A6765" s="1" t="s">
        <v>8</v>
      </c>
      <c r="B6765" s="2">
        <v>44732.0</v>
      </c>
      <c r="C6765" s="3">
        <v>0.34141203703703704</v>
      </c>
      <c r="D6765" s="1">
        <v>12.982032</v>
      </c>
      <c r="E6765" s="1">
        <v>80.167728</v>
      </c>
      <c r="F6765" s="1">
        <v>805.0</v>
      </c>
      <c r="G6765" s="1">
        <v>53.0</v>
      </c>
    </row>
    <row r="6766">
      <c r="A6766" s="1" t="s">
        <v>7</v>
      </c>
      <c r="B6766" s="2">
        <v>44732.0</v>
      </c>
      <c r="C6766" s="3">
        <v>0.34152777777777776</v>
      </c>
      <c r="D6766" s="1">
        <v>12.981344</v>
      </c>
      <c r="E6766" s="1">
        <v>80.166588</v>
      </c>
      <c r="F6766" s="1">
        <v>805.0</v>
      </c>
      <c r="G6766" s="1">
        <v>49.0</v>
      </c>
    </row>
    <row r="6767">
      <c r="A6767" s="1" t="s">
        <v>7</v>
      </c>
      <c r="B6767" s="2">
        <v>44732.0</v>
      </c>
      <c r="C6767" s="3">
        <v>0.3417939814814815</v>
      </c>
      <c r="D6767" s="1">
        <v>12.832528</v>
      </c>
      <c r="E6767" s="1">
        <v>80.047664</v>
      </c>
      <c r="F6767" s="1">
        <v>2846.0</v>
      </c>
      <c r="G6767" s="1">
        <v>57.0</v>
      </c>
    </row>
    <row r="6768">
      <c r="A6768" s="1" t="s">
        <v>7</v>
      </c>
      <c r="B6768" s="2">
        <v>44732.0</v>
      </c>
      <c r="C6768" s="3">
        <v>0.34247685185185184</v>
      </c>
      <c r="D6768" s="1">
        <v>12.838053</v>
      </c>
      <c r="E6768" s="1">
        <v>80.053369</v>
      </c>
      <c r="F6768" s="1">
        <v>2846.0</v>
      </c>
      <c r="G6768" s="1">
        <v>56.0</v>
      </c>
    </row>
    <row r="6769">
      <c r="A6769" s="1" t="s">
        <v>8</v>
      </c>
      <c r="B6769" s="2">
        <v>44732.0</v>
      </c>
      <c r="C6769" s="3">
        <v>0.3426388888888889</v>
      </c>
      <c r="D6769" s="1">
        <v>12.976994</v>
      </c>
      <c r="E6769" s="1">
        <v>80.158574</v>
      </c>
      <c r="F6769" s="1">
        <v>805.0</v>
      </c>
      <c r="G6769" s="1">
        <v>54.0</v>
      </c>
    </row>
    <row r="6770">
      <c r="A6770" s="1" t="s">
        <v>7</v>
      </c>
      <c r="B6770" s="2">
        <v>44732.0</v>
      </c>
      <c r="C6770" s="3">
        <v>0.3427546296296296</v>
      </c>
      <c r="D6770" s="1">
        <v>12.976263</v>
      </c>
      <c r="E6770" s="1">
        <v>80.157428</v>
      </c>
      <c r="F6770" s="1">
        <v>805.0</v>
      </c>
      <c r="G6770" s="1">
        <v>53.0</v>
      </c>
    </row>
    <row r="6771">
      <c r="A6771" s="1" t="s">
        <v>8</v>
      </c>
      <c r="B6771" s="2">
        <v>44732.0</v>
      </c>
      <c r="C6771" s="3">
        <v>0.3428703703703704</v>
      </c>
      <c r="D6771" s="1">
        <v>12.97557</v>
      </c>
      <c r="E6771" s="1">
        <v>80.156434</v>
      </c>
      <c r="F6771" s="1">
        <v>805.0</v>
      </c>
      <c r="G6771" s="1">
        <v>45.0</v>
      </c>
    </row>
    <row r="6772">
      <c r="A6772" s="1" t="s">
        <v>8</v>
      </c>
      <c r="B6772" s="2">
        <v>44732.0</v>
      </c>
      <c r="C6772" s="3">
        <v>0.343125</v>
      </c>
      <c r="D6772" s="1">
        <v>12.974604</v>
      </c>
      <c r="E6772" s="1">
        <v>80.155098</v>
      </c>
      <c r="F6772" s="1">
        <v>805.0</v>
      </c>
      <c r="G6772" s="1">
        <v>22.0</v>
      </c>
    </row>
    <row r="6773">
      <c r="A6773" s="1" t="s">
        <v>8</v>
      </c>
      <c r="B6773" s="2">
        <v>44732.0</v>
      </c>
      <c r="C6773" s="3">
        <v>0.34313657407407405</v>
      </c>
      <c r="D6773" s="1">
        <v>12.974604</v>
      </c>
      <c r="E6773" s="1">
        <v>80.155098</v>
      </c>
      <c r="F6773" s="1">
        <v>805.0</v>
      </c>
      <c r="G6773" s="1">
        <v>22.0</v>
      </c>
    </row>
    <row r="6774">
      <c r="A6774" s="1" t="s">
        <v>8</v>
      </c>
      <c r="B6774" s="2">
        <v>44732.0</v>
      </c>
      <c r="C6774" s="3">
        <v>0.3432060185185185</v>
      </c>
      <c r="D6774" s="1">
        <v>12.8411</v>
      </c>
      <c r="E6774" s="1">
        <v>80.056518</v>
      </c>
      <c r="F6774" s="1">
        <v>2846.0</v>
      </c>
      <c r="G6774" s="1">
        <v>25.0</v>
      </c>
    </row>
    <row r="6775">
      <c r="A6775" s="1" t="s">
        <v>8</v>
      </c>
      <c r="B6775" s="2">
        <v>44732.0</v>
      </c>
      <c r="C6775" s="3">
        <v>0.34325231481481483</v>
      </c>
      <c r="D6775" s="1">
        <v>12.974199</v>
      </c>
      <c r="E6775" s="1">
        <v>80.154505</v>
      </c>
      <c r="F6775" s="1">
        <v>805.0</v>
      </c>
      <c r="G6775" s="1">
        <v>30.0</v>
      </c>
    </row>
    <row r="6776">
      <c r="A6776" s="1" t="s">
        <v>8</v>
      </c>
      <c r="B6776" s="2">
        <v>44732.0</v>
      </c>
      <c r="C6776" s="3">
        <v>0.34403935185185186</v>
      </c>
      <c r="D6776" s="1">
        <v>12.970387</v>
      </c>
      <c r="E6776" s="1">
        <v>80.150594</v>
      </c>
      <c r="F6776" s="1">
        <v>805.0</v>
      </c>
      <c r="G6776" s="1">
        <v>28.0</v>
      </c>
    </row>
    <row r="6777">
      <c r="A6777" s="1" t="s">
        <v>8</v>
      </c>
      <c r="B6777" s="2">
        <v>44732.0</v>
      </c>
      <c r="C6777" s="3">
        <v>0.3451388888888889</v>
      </c>
      <c r="D6777" s="1">
        <v>12.904713</v>
      </c>
      <c r="E6777" s="1">
        <v>80.095246</v>
      </c>
      <c r="F6777" s="1">
        <v>5339.0</v>
      </c>
      <c r="G6777" s="1">
        <v>30.0</v>
      </c>
    </row>
    <row r="6778">
      <c r="A6778" s="1" t="s">
        <v>8</v>
      </c>
      <c r="B6778" s="2">
        <v>44732.0</v>
      </c>
      <c r="C6778" s="3">
        <v>0.3451736111111111</v>
      </c>
      <c r="D6778" s="1">
        <v>12.904038</v>
      </c>
      <c r="E6778" s="1">
        <v>80.094711</v>
      </c>
      <c r="F6778" s="1">
        <v>5339.0</v>
      </c>
      <c r="G6778" s="1">
        <v>36.0</v>
      </c>
    </row>
    <row r="6779">
      <c r="A6779" s="1" t="s">
        <v>8</v>
      </c>
      <c r="B6779" s="2">
        <v>44732.0</v>
      </c>
      <c r="C6779" s="3">
        <v>0.3457175925925926</v>
      </c>
      <c r="D6779" s="1">
        <v>12.852273</v>
      </c>
      <c r="E6779" s="1">
        <v>80.066284</v>
      </c>
      <c r="F6779" s="1">
        <v>2846.0</v>
      </c>
      <c r="G6779" s="1">
        <v>47.0</v>
      </c>
    </row>
    <row r="6780">
      <c r="A6780" s="1" t="s">
        <v>8</v>
      </c>
      <c r="B6780" s="2">
        <v>44732.0</v>
      </c>
      <c r="C6780" s="3">
        <v>0.3457986111111111</v>
      </c>
      <c r="D6780" s="1">
        <v>12.852273</v>
      </c>
      <c r="E6780" s="1">
        <v>80.066284</v>
      </c>
      <c r="F6780" s="1">
        <v>2846.0</v>
      </c>
      <c r="G6780" s="1">
        <v>47.0</v>
      </c>
    </row>
    <row r="6781">
      <c r="A6781" s="1" t="s">
        <v>8</v>
      </c>
      <c r="B6781" s="2">
        <v>44732.0</v>
      </c>
      <c r="C6781" s="3">
        <v>0.34582175925925923</v>
      </c>
      <c r="D6781" s="1">
        <v>12.899299</v>
      </c>
      <c r="E6781" s="1">
        <v>80.090998</v>
      </c>
      <c r="F6781" s="1">
        <v>5339.0</v>
      </c>
      <c r="G6781" s="1">
        <v>53.0</v>
      </c>
    </row>
    <row r="6782">
      <c r="A6782" s="1" t="s">
        <v>7</v>
      </c>
      <c r="B6782" s="2">
        <v>44732.0</v>
      </c>
      <c r="C6782" s="3">
        <v>0.3460300925925926</v>
      </c>
      <c r="D6782" s="1">
        <v>12.853995</v>
      </c>
      <c r="E6782" s="1">
        <v>80.067572</v>
      </c>
      <c r="F6782" s="1">
        <v>2846.0</v>
      </c>
      <c r="G6782" s="1">
        <v>43.0</v>
      </c>
    </row>
    <row r="6783">
      <c r="A6783" s="1" t="s">
        <v>7</v>
      </c>
      <c r="B6783" s="2">
        <v>44732.0</v>
      </c>
      <c r="C6783" s="3">
        <v>0.34619212962962964</v>
      </c>
      <c r="D6783" s="1">
        <v>12.856111</v>
      </c>
      <c r="E6783" s="1">
        <v>80.069133</v>
      </c>
      <c r="F6783" s="1">
        <v>2846.0</v>
      </c>
      <c r="G6783" s="1">
        <v>58.0</v>
      </c>
    </row>
    <row r="6784">
      <c r="A6784" s="1" t="s">
        <v>8</v>
      </c>
      <c r="B6784" s="2">
        <v>44732.0</v>
      </c>
      <c r="C6784" s="3">
        <v>0.34628472222222223</v>
      </c>
      <c r="D6784" s="1">
        <v>12.958317</v>
      </c>
      <c r="E6784" s="1">
        <v>80.144342</v>
      </c>
      <c r="F6784" s="1">
        <v>805.0</v>
      </c>
      <c r="G6784" s="1">
        <v>47.0</v>
      </c>
    </row>
    <row r="6785">
      <c r="A6785" s="1" t="s">
        <v>8</v>
      </c>
      <c r="B6785" s="2">
        <v>44732.0</v>
      </c>
      <c r="C6785" s="3">
        <v>0.3464351851851852</v>
      </c>
      <c r="D6785" s="1">
        <v>12.858434</v>
      </c>
      <c r="E6785" s="1">
        <v>80.070941</v>
      </c>
      <c r="F6785" s="1">
        <v>2846.0</v>
      </c>
      <c r="G6785" s="1">
        <v>57.0</v>
      </c>
    </row>
    <row r="6786">
      <c r="A6786" s="1" t="s">
        <v>8</v>
      </c>
      <c r="B6786" s="2">
        <v>44732.0</v>
      </c>
      <c r="C6786" s="3">
        <v>0.3465509259259259</v>
      </c>
      <c r="D6786" s="1">
        <v>12.894738</v>
      </c>
      <c r="E6786" s="1">
        <v>80.087566</v>
      </c>
      <c r="F6786" s="1">
        <v>5339.0</v>
      </c>
      <c r="G6786" s="1">
        <v>53.0</v>
      </c>
    </row>
    <row r="6787">
      <c r="A6787" s="1" t="s">
        <v>8</v>
      </c>
      <c r="B6787" s="2">
        <v>44732.0</v>
      </c>
      <c r="C6787" s="3">
        <v>0.34658564814814813</v>
      </c>
      <c r="D6787" s="1">
        <v>12.859579</v>
      </c>
      <c r="E6787" s="1">
        <v>80.071809</v>
      </c>
      <c r="F6787" s="1">
        <v>2846.0</v>
      </c>
      <c r="G6787" s="1">
        <v>52.0</v>
      </c>
    </row>
    <row r="6788">
      <c r="A6788" s="1" t="s">
        <v>8</v>
      </c>
      <c r="B6788" s="2">
        <v>44732.0</v>
      </c>
      <c r="C6788" s="3">
        <v>0.3466550925925926</v>
      </c>
      <c r="D6788" s="1">
        <v>12.956126</v>
      </c>
      <c r="E6788" s="1">
        <v>80.143192</v>
      </c>
      <c r="F6788" s="1">
        <v>805.0</v>
      </c>
      <c r="G6788" s="1">
        <v>0.0</v>
      </c>
    </row>
    <row r="6789">
      <c r="A6789" s="1" t="s">
        <v>8</v>
      </c>
      <c r="B6789" s="2">
        <v>44732.0</v>
      </c>
      <c r="C6789" s="3">
        <v>0.3467708333333333</v>
      </c>
      <c r="D6789" s="1">
        <v>12.955314</v>
      </c>
      <c r="E6789" s="1">
        <v>80.142779</v>
      </c>
      <c r="F6789" s="1">
        <v>805.0</v>
      </c>
      <c r="G6789" s="1">
        <v>34.0</v>
      </c>
    </row>
    <row r="6790">
      <c r="A6790" s="1" t="s">
        <v>8</v>
      </c>
      <c r="B6790" s="2">
        <v>44732.0</v>
      </c>
      <c r="C6790" s="3">
        <v>0.3467824074074074</v>
      </c>
      <c r="D6790" s="1">
        <v>12.954583</v>
      </c>
      <c r="E6790" s="1">
        <v>80.142375</v>
      </c>
      <c r="F6790" s="1">
        <v>805.0</v>
      </c>
      <c r="G6790" s="1">
        <v>26.0</v>
      </c>
    </row>
    <row r="6791">
      <c r="A6791" s="1" t="s">
        <v>8</v>
      </c>
      <c r="B6791" s="2">
        <v>44732.0</v>
      </c>
      <c r="C6791" s="3">
        <v>0.34726851851851853</v>
      </c>
      <c r="D6791" s="1">
        <v>12.888708</v>
      </c>
      <c r="E6791" s="1">
        <v>80.084092</v>
      </c>
      <c r="F6791" s="1">
        <v>5339.0</v>
      </c>
      <c r="G6791" s="1">
        <v>46.0</v>
      </c>
    </row>
    <row r="6792">
      <c r="A6792" s="1" t="s">
        <v>8</v>
      </c>
      <c r="B6792" s="2">
        <v>44732.0</v>
      </c>
      <c r="C6792" s="3">
        <v>0.34751157407407407</v>
      </c>
      <c r="D6792" s="1">
        <v>12.88648</v>
      </c>
      <c r="E6792" s="1">
        <v>80.083196</v>
      </c>
      <c r="F6792" s="1">
        <v>5339.0</v>
      </c>
      <c r="G6792" s="1">
        <v>43.0</v>
      </c>
    </row>
    <row r="6793">
      <c r="A6793" s="1" t="s">
        <v>8</v>
      </c>
      <c r="B6793" s="2">
        <v>44732.0</v>
      </c>
      <c r="C6793" s="3">
        <v>0.3475578703703704</v>
      </c>
      <c r="D6793" s="1">
        <v>12.88648</v>
      </c>
      <c r="E6793" s="1">
        <v>80.083196</v>
      </c>
      <c r="F6793" s="1">
        <v>5339.0</v>
      </c>
      <c r="G6793" s="1">
        <v>43.0</v>
      </c>
    </row>
    <row r="6794">
      <c r="A6794" s="1" t="s">
        <v>8</v>
      </c>
      <c r="B6794" s="2">
        <v>44732.0</v>
      </c>
      <c r="C6794" s="3">
        <v>0.34761574074074075</v>
      </c>
      <c r="D6794" s="1">
        <v>12.88547</v>
      </c>
      <c r="E6794" s="1">
        <v>80.082748</v>
      </c>
      <c r="F6794" s="1">
        <v>5339.0</v>
      </c>
      <c r="G6794" s="1">
        <v>45.0</v>
      </c>
    </row>
    <row r="6795">
      <c r="A6795" s="1" t="s">
        <v>8</v>
      </c>
      <c r="B6795" s="2">
        <v>44732.0</v>
      </c>
      <c r="C6795" s="3">
        <v>0.3477546296296296</v>
      </c>
      <c r="D6795" s="1">
        <v>12.950357</v>
      </c>
      <c r="E6795" s="1">
        <v>80.139579</v>
      </c>
      <c r="F6795" s="1">
        <v>805.0</v>
      </c>
      <c r="G6795" s="1">
        <v>26.0</v>
      </c>
    </row>
    <row r="6796">
      <c r="A6796" s="1" t="s">
        <v>8</v>
      </c>
      <c r="B6796" s="2">
        <v>44732.0</v>
      </c>
      <c r="C6796" s="3">
        <v>0.34778935185185184</v>
      </c>
      <c r="D6796" s="1">
        <v>12.950357</v>
      </c>
      <c r="E6796" s="1">
        <v>80.139579</v>
      </c>
      <c r="F6796" s="1">
        <v>805.0</v>
      </c>
      <c r="G6796" s="1">
        <v>26.0</v>
      </c>
    </row>
    <row r="6797">
      <c r="A6797" s="1" t="s">
        <v>8</v>
      </c>
      <c r="B6797" s="2">
        <v>44732.0</v>
      </c>
      <c r="C6797" s="3">
        <v>0.3478703703703704</v>
      </c>
      <c r="D6797" s="1">
        <v>12.868399</v>
      </c>
      <c r="E6797" s="1">
        <v>80.075827</v>
      </c>
      <c r="F6797" s="1">
        <v>2846.0</v>
      </c>
      <c r="G6797" s="1">
        <v>46.0</v>
      </c>
    </row>
    <row r="6798">
      <c r="A6798" s="1" t="s">
        <v>8</v>
      </c>
      <c r="B6798" s="2">
        <v>44732.0</v>
      </c>
      <c r="C6798" s="3">
        <v>0.3478935185185185</v>
      </c>
      <c r="D6798" s="1">
        <v>12.949681</v>
      </c>
      <c r="E6798" s="1">
        <v>80.139017</v>
      </c>
      <c r="F6798" s="1">
        <v>805.0</v>
      </c>
      <c r="G6798" s="1">
        <v>37.0</v>
      </c>
    </row>
    <row r="6799">
      <c r="A6799" s="1" t="s">
        <v>8</v>
      </c>
      <c r="B6799" s="2">
        <v>44732.0</v>
      </c>
      <c r="C6799" s="3">
        <v>0.34815972222222225</v>
      </c>
      <c r="D6799" s="1">
        <v>12.947943</v>
      </c>
      <c r="E6799" s="1">
        <v>80.137598</v>
      </c>
      <c r="F6799" s="1">
        <v>805.0</v>
      </c>
      <c r="G6799" s="1">
        <v>42.0</v>
      </c>
    </row>
    <row r="6800">
      <c r="A6800" s="1" t="s">
        <v>8</v>
      </c>
      <c r="B6800" s="2">
        <v>44732.0</v>
      </c>
      <c r="C6800" s="3">
        <v>0.3488657407407407</v>
      </c>
      <c r="D6800" s="1">
        <v>12.942524</v>
      </c>
      <c r="E6800" s="1">
        <v>80.133307</v>
      </c>
      <c r="F6800" s="1">
        <v>805.0</v>
      </c>
      <c r="G6800" s="1">
        <v>24.0</v>
      </c>
    </row>
    <row r="6801">
      <c r="A6801" s="1" t="s">
        <v>8</v>
      </c>
      <c r="B6801" s="2">
        <v>44732.0</v>
      </c>
      <c r="C6801" s="3">
        <v>0.3488773148148148</v>
      </c>
      <c r="D6801" s="1">
        <v>12.942524</v>
      </c>
      <c r="E6801" s="1">
        <v>80.133307</v>
      </c>
      <c r="F6801" s="1">
        <v>805.0</v>
      </c>
      <c r="G6801" s="1">
        <v>24.0</v>
      </c>
    </row>
    <row r="6802">
      <c r="A6802" s="1" t="s">
        <v>8</v>
      </c>
      <c r="B6802" s="2">
        <v>44732.0</v>
      </c>
      <c r="C6802" s="3">
        <v>0.3490509259259259</v>
      </c>
      <c r="D6802" s="1">
        <v>12.941979</v>
      </c>
      <c r="E6802" s="1">
        <v>80.132764</v>
      </c>
      <c r="F6802" s="1">
        <v>805.0</v>
      </c>
      <c r="G6802" s="1">
        <v>35.0</v>
      </c>
    </row>
    <row r="6803">
      <c r="A6803" s="1" t="s">
        <v>8</v>
      </c>
      <c r="B6803" s="2">
        <v>44732.0</v>
      </c>
      <c r="C6803" s="3">
        <v>0.34921296296296295</v>
      </c>
      <c r="D6803" s="1">
        <v>12.940654</v>
      </c>
      <c r="E6803" s="1">
        <v>80.131303</v>
      </c>
      <c r="F6803" s="1">
        <v>805.0</v>
      </c>
      <c r="G6803" s="1">
        <v>42.0</v>
      </c>
    </row>
    <row r="6804">
      <c r="A6804" s="1" t="s">
        <v>8</v>
      </c>
      <c r="B6804" s="2">
        <v>44732.0</v>
      </c>
      <c r="C6804" s="3">
        <v>0.34925925925925927</v>
      </c>
      <c r="D6804" s="1">
        <v>12.940654</v>
      </c>
      <c r="E6804" s="1">
        <v>80.131303</v>
      </c>
      <c r="F6804" s="1">
        <v>805.0</v>
      </c>
      <c r="G6804" s="1">
        <v>42.0</v>
      </c>
    </row>
    <row r="6805">
      <c r="A6805" s="1" t="s">
        <v>8</v>
      </c>
      <c r="B6805" s="2">
        <v>44732.0</v>
      </c>
      <c r="C6805" s="3">
        <v>0.3495138888888889</v>
      </c>
      <c r="D6805" s="1">
        <v>12.939262</v>
      </c>
      <c r="E6805" s="1">
        <v>80.129953</v>
      </c>
      <c r="F6805" s="1">
        <v>805.0</v>
      </c>
      <c r="G6805" s="1">
        <v>39.0</v>
      </c>
    </row>
    <row r="6806">
      <c r="A6806" s="1" t="s">
        <v>8</v>
      </c>
      <c r="B6806" s="2">
        <v>44732.0</v>
      </c>
      <c r="C6806" s="3">
        <v>0.34965277777777776</v>
      </c>
      <c r="D6806" s="1">
        <v>12.938419</v>
      </c>
      <c r="E6806" s="1">
        <v>80.129216</v>
      </c>
      <c r="F6806" s="1">
        <v>805.0</v>
      </c>
      <c r="G6806" s="1">
        <v>47.0</v>
      </c>
    </row>
    <row r="6807">
      <c r="A6807" s="1" t="s">
        <v>10</v>
      </c>
      <c r="B6807" s="2">
        <v>44732.0</v>
      </c>
      <c r="C6807" s="3">
        <v>0.34976851851851853</v>
      </c>
      <c r="D6807" s="1">
        <v>12.877554</v>
      </c>
      <c r="E6807" s="1">
        <v>80.084741</v>
      </c>
      <c r="F6807" s="1">
        <v>5339.0</v>
      </c>
      <c r="G6807" s="1">
        <v>14.0</v>
      </c>
    </row>
    <row r="6808">
      <c r="A6808" s="1" t="s">
        <v>8</v>
      </c>
      <c r="B6808" s="2">
        <v>44732.0</v>
      </c>
      <c r="C6808" s="3">
        <v>0.34984953703703703</v>
      </c>
      <c r="D6808" s="1">
        <v>12.936822</v>
      </c>
      <c r="E6808" s="1">
        <v>80.127818</v>
      </c>
      <c r="F6808" s="1">
        <v>805.0</v>
      </c>
      <c r="G6808" s="1">
        <v>42.0</v>
      </c>
    </row>
    <row r="6809">
      <c r="A6809" s="1" t="s">
        <v>7</v>
      </c>
      <c r="B6809" s="2">
        <v>44732.0</v>
      </c>
      <c r="C6809" s="3">
        <v>0.3500578703703704</v>
      </c>
      <c r="D6809" s="1">
        <v>12.934935</v>
      </c>
      <c r="E6809" s="1">
        <v>80.126101</v>
      </c>
      <c r="F6809" s="1">
        <v>805.0</v>
      </c>
      <c r="G6809" s="1">
        <v>52.0</v>
      </c>
    </row>
    <row r="6810">
      <c r="A6810" s="1" t="s">
        <v>7</v>
      </c>
      <c r="B6810" s="2">
        <v>44732.0</v>
      </c>
      <c r="C6810" s="3">
        <v>0.35024305555555557</v>
      </c>
      <c r="D6810" s="1">
        <v>12.933894</v>
      </c>
      <c r="E6810" s="1">
        <v>80.125128</v>
      </c>
      <c r="F6810" s="1">
        <v>805.0</v>
      </c>
      <c r="G6810" s="1">
        <v>61.0</v>
      </c>
    </row>
    <row r="6811">
      <c r="A6811" s="1" t="s">
        <v>8</v>
      </c>
      <c r="B6811" s="2">
        <v>44732.0</v>
      </c>
      <c r="C6811" s="3">
        <v>0.3502662037037037</v>
      </c>
      <c r="D6811" s="1">
        <v>12.932814</v>
      </c>
      <c r="E6811" s="1">
        <v>80.124088</v>
      </c>
      <c r="F6811" s="1">
        <v>805.0</v>
      </c>
      <c r="G6811" s="1">
        <v>54.0</v>
      </c>
    </row>
    <row r="6812">
      <c r="A6812" s="1" t="s">
        <v>8</v>
      </c>
      <c r="B6812" s="2">
        <v>44732.0</v>
      </c>
      <c r="C6812" s="3">
        <v>0.350625</v>
      </c>
      <c r="D6812" s="1">
        <v>12.931543</v>
      </c>
      <c r="E6812" s="1">
        <v>80.122909</v>
      </c>
      <c r="F6812" s="1">
        <v>805.0</v>
      </c>
      <c r="G6812" s="1">
        <v>21.0</v>
      </c>
    </row>
    <row r="6813">
      <c r="A6813" s="1" t="s">
        <v>8</v>
      </c>
      <c r="B6813" s="2">
        <v>44732.0</v>
      </c>
      <c r="C6813" s="3">
        <v>0.350625</v>
      </c>
      <c r="D6813" s="1">
        <v>12.931543</v>
      </c>
      <c r="E6813" s="1">
        <v>80.122909</v>
      </c>
      <c r="F6813" s="1">
        <v>805.0</v>
      </c>
      <c r="G6813" s="1">
        <v>21.0</v>
      </c>
    </row>
    <row r="6814">
      <c r="A6814" s="1" t="s">
        <v>8</v>
      </c>
      <c r="B6814" s="2">
        <v>44732.0</v>
      </c>
      <c r="C6814" s="3">
        <v>0.3510300925925926</v>
      </c>
      <c r="D6814" s="1">
        <v>12.929392</v>
      </c>
      <c r="E6814" s="1">
        <v>80.120646</v>
      </c>
      <c r="F6814" s="1">
        <v>805.0</v>
      </c>
      <c r="G6814" s="1">
        <v>47.0</v>
      </c>
    </row>
    <row r="6815">
      <c r="A6815" s="1" t="s">
        <v>8</v>
      </c>
      <c r="B6815" s="2">
        <v>44732.0</v>
      </c>
      <c r="C6815" s="3">
        <v>0.3511226851851852</v>
      </c>
      <c r="D6815" s="1">
        <v>12.928523</v>
      </c>
      <c r="E6815" s="1">
        <v>80.119743</v>
      </c>
      <c r="F6815" s="1">
        <v>805.0</v>
      </c>
      <c r="G6815" s="1">
        <v>48.0</v>
      </c>
    </row>
    <row r="6816">
      <c r="A6816" s="1" t="s">
        <v>7</v>
      </c>
      <c r="B6816" s="2">
        <v>44732.0</v>
      </c>
      <c r="C6816" s="3">
        <v>0.3517939814814815</v>
      </c>
      <c r="D6816" s="1">
        <v>12.925054</v>
      </c>
      <c r="E6816" s="1">
        <v>80.116223</v>
      </c>
      <c r="F6816" s="1">
        <v>805.0</v>
      </c>
      <c r="G6816" s="1">
        <v>58.0</v>
      </c>
    </row>
    <row r="6817">
      <c r="A6817" s="1" t="s">
        <v>8</v>
      </c>
      <c r="B6817" s="2">
        <v>44732.0</v>
      </c>
      <c r="C6817" s="3">
        <v>0.35185185185185186</v>
      </c>
      <c r="D6817" s="1">
        <v>12.925054</v>
      </c>
      <c r="E6817" s="1">
        <v>80.116223</v>
      </c>
      <c r="F6817" s="1">
        <v>805.0</v>
      </c>
      <c r="G6817" s="1">
        <v>58.0</v>
      </c>
    </row>
    <row r="6818">
      <c r="A6818" s="1" t="s">
        <v>7</v>
      </c>
      <c r="B6818" s="2">
        <v>44732.0</v>
      </c>
      <c r="C6818" s="3">
        <v>0.35211805555555553</v>
      </c>
      <c r="D6818" s="1">
        <v>12.922138</v>
      </c>
      <c r="E6818" s="1">
        <v>80.113311</v>
      </c>
      <c r="F6818" s="1">
        <v>805.0</v>
      </c>
      <c r="G6818" s="1">
        <v>57.0</v>
      </c>
    </row>
    <row r="6819">
      <c r="A6819" s="1" t="s">
        <v>7</v>
      </c>
      <c r="B6819" s="2">
        <v>44732.0</v>
      </c>
      <c r="C6819" s="3">
        <v>0.35239583333333335</v>
      </c>
      <c r="D6819" s="1">
        <v>12.920093</v>
      </c>
      <c r="E6819" s="1">
        <v>80.11118</v>
      </c>
      <c r="F6819" s="1">
        <v>805.0</v>
      </c>
      <c r="G6819" s="1">
        <v>58.0</v>
      </c>
    </row>
    <row r="6820">
      <c r="A6820" s="1" t="s">
        <v>7</v>
      </c>
      <c r="B6820" s="2">
        <v>44732.0</v>
      </c>
      <c r="C6820" s="3">
        <v>0.35248842592592594</v>
      </c>
      <c r="D6820" s="1">
        <v>12.919175</v>
      </c>
      <c r="E6820" s="1">
        <v>80.110024</v>
      </c>
      <c r="F6820" s="1">
        <v>805.0</v>
      </c>
      <c r="G6820" s="1">
        <v>58.0</v>
      </c>
    </row>
    <row r="6821">
      <c r="A6821" s="1" t="s">
        <v>7</v>
      </c>
      <c r="B6821" s="2">
        <v>44732.0</v>
      </c>
      <c r="C6821" s="3">
        <v>0.3526273148148148</v>
      </c>
      <c r="D6821" s="1">
        <v>12.918238</v>
      </c>
      <c r="E6821" s="1">
        <v>80.108879</v>
      </c>
      <c r="F6821" s="1">
        <v>805.0</v>
      </c>
      <c r="G6821" s="1">
        <v>57.0</v>
      </c>
    </row>
    <row r="6822">
      <c r="A6822" s="1" t="s">
        <v>8</v>
      </c>
      <c r="B6822" s="2">
        <v>44732.0</v>
      </c>
      <c r="C6822" s="3">
        <v>0.3536458333333333</v>
      </c>
      <c r="D6822" s="1">
        <v>12.912801</v>
      </c>
      <c r="E6822" s="1">
        <v>80.101552</v>
      </c>
      <c r="F6822" s="1">
        <v>805.0</v>
      </c>
      <c r="G6822" s="1">
        <v>53.0</v>
      </c>
    </row>
    <row r="6823">
      <c r="A6823" s="1" t="s">
        <v>8</v>
      </c>
      <c r="B6823" s="2">
        <v>44732.0</v>
      </c>
      <c r="C6823" s="3">
        <v>0.3538773148148148</v>
      </c>
      <c r="D6823" s="1">
        <v>12.910475</v>
      </c>
      <c r="E6823" s="1">
        <v>80.101005</v>
      </c>
      <c r="F6823" s="1">
        <v>805.0</v>
      </c>
      <c r="G6823" s="1">
        <v>59.0</v>
      </c>
    </row>
    <row r="6824">
      <c r="A6824" s="1" t="s">
        <v>8</v>
      </c>
      <c r="B6824" s="2">
        <v>44732.0</v>
      </c>
      <c r="C6824" s="3">
        <v>0.3540740740740741</v>
      </c>
      <c r="D6824" s="1">
        <v>12.909577</v>
      </c>
      <c r="E6824" s="1">
        <v>80.099741</v>
      </c>
      <c r="F6824" s="1">
        <v>805.0</v>
      </c>
      <c r="G6824" s="1">
        <v>53.0</v>
      </c>
    </row>
    <row r="6825">
      <c r="A6825" s="1" t="s">
        <v>8</v>
      </c>
      <c r="B6825" s="2">
        <v>44732.0</v>
      </c>
      <c r="C6825" s="3">
        <v>0.35575231481481484</v>
      </c>
      <c r="D6825" s="1">
        <v>12.90391</v>
      </c>
      <c r="E6825" s="1">
        <v>80.094569</v>
      </c>
      <c r="F6825" s="1">
        <v>805.0</v>
      </c>
      <c r="G6825" s="1">
        <v>40.0</v>
      </c>
    </row>
    <row r="6826">
      <c r="A6826" s="1" t="s">
        <v>8</v>
      </c>
      <c r="B6826" s="2">
        <v>44732.0</v>
      </c>
      <c r="C6826" s="3">
        <v>0.3561111111111111</v>
      </c>
      <c r="D6826" s="1">
        <v>12.901241</v>
      </c>
      <c r="E6826" s="1">
        <v>80.092419</v>
      </c>
      <c r="F6826" s="1">
        <v>805.0</v>
      </c>
      <c r="G6826" s="1">
        <v>55.0</v>
      </c>
    </row>
    <row r="6827">
      <c r="A6827" s="1" t="s">
        <v>8</v>
      </c>
      <c r="B6827" s="2">
        <v>44732.0</v>
      </c>
      <c r="C6827" s="3">
        <v>0.35614583333333333</v>
      </c>
      <c r="D6827" s="1">
        <v>12.901241</v>
      </c>
      <c r="E6827" s="1">
        <v>80.092419</v>
      </c>
      <c r="F6827" s="1">
        <v>805.0</v>
      </c>
      <c r="G6827" s="1">
        <v>55.0</v>
      </c>
    </row>
    <row r="6828">
      <c r="A6828" s="1" t="s">
        <v>8</v>
      </c>
      <c r="B6828" s="2">
        <v>44732.0</v>
      </c>
      <c r="C6828" s="3">
        <v>0.35628472222222224</v>
      </c>
      <c r="D6828" s="1">
        <v>12.898932</v>
      </c>
      <c r="E6828" s="1">
        <v>80.090725</v>
      </c>
      <c r="F6828" s="1">
        <v>805.0</v>
      </c>
      <c r="G6828" s="1">
        <v>58.0</v>
      </c>
    </row>
    <row r="6829">
      <c r="A6829" s="1" t="s">
        <v>8</v>
      </c>
      <c r="B6829" s="2">
        <v>44732.0</v>
      </c>
      <c r="C6829" s="3">
        <v>0.35640046296296296</v>
      </c>
      <c r="D6829" s="1">
        <v>12.898932</v>
      </c>
      <c r="E6829" s="1">
        <v>80.090725</v>
      </c>
      <c r="F6829" s="1">
        <v>805.0</v>
      </c>
      <c r="G6829" s="1">
        <v>58.0</v>
      </c>
    </row>
    <row r="6830">
      <c r="A6830" s="1" t="s">
        <v>8</v>
      </c>
      <c r="B6830" s="2">
        <v>44732.0</v>
      </c>
      <c r="C6830" s="3">
        <v>0.3567939814814815</v>
      </c>
      <c r="D6830" s="1">
        <v>12.895675</v>
      </c>
      <c r="E6830" s="1">
        <v>80.088261</v>
      </c>
      <c r="F6830" s="1">
        <v>805.0</v>
      </c>
      <c r="G6830" s="1">
        <v>58.0</v>
      </c>
    </row>
    <row r="6831">
      <c r="A6831" s="1" t="s">
        <v>9</v>
      </c>
      <c r="B6831" s="2">
        <v>44732.0</v>
      </c>
      <c r="C6831" s="3">
        <v>0.35791666666666666</v>
      </c>
      <c r="D6831" s="1">
        <v>12.88378</v>
      </c>
      <c r="E6831" s="1">
        <v>80.082166</v>
      </c>
      <c r="F6831" s="1">
        <v>805.0</v>
      </c>
      <c r="G6831" s="1">
        <v>47.0</v>
      </c>
    </row>
    <row r="6832">
      <c r="A6832" s="1" t="s">
        <v>8</v>
      </c>
      <c r="B6832" s="2">
        <v>44732.0</v>
      </c>
      <c r="C6832" s="3">
        <v>0.3581712962962963</v>
      </c>
      <c r="D6832" s="1">
        <v>12.88105</v>
      </c>
      <c r="E6832" s="1">
        <v>80.08105</v>
      </c>
      <c r="F6832" s="1">
        <v>805.0</v>
      </c>
      <c r="G6832" s="1">
        <v>33.0</v>
      </c>
    </row>
    <row r="6833">
      <c r="A6833" s="1" t="s">
        <v>8</v>
      </c>
      <c r="B6833" s="2">
        <v>44732.0</v>
      </c>
      <c r="C6833" s="3">
        <v>0.3582986111111111</v>
      </c>
      <c r="D6833" s="1">
        <v>12.88105</v>
      </c>
      <c r="E6833" s="1">
        <v>80.08105</v>
      </c>
      <c r="F6833" s="1">
        <v>805.0</v>
      </c>
      <c r="G6833" s="1">
        <v>33.0</v>
      </c>
    </row>
    <row r="6834">
      <c r="A6834" s="1" t="s">
        <v>8</v>
      </c>
      <c r="B6834" s="2">
        <v>44732.0</v>
      </c>
      <c r="C6834" s="3">
        <v>0.35832175925925924</v>
      </c>
      <c r="D6834" s="1">
        <v>12.879874</v>
      </c>
      <c r="E6834" s="1">
        <v>80.080579</v>
      </c>
      <c r="F6834" s="1">
        <v>805.0</v>
      </c>
      <c r="G6834" s="1">
        <v>46.0</v>
      </c>
    </row>
    <row r="6835">
      <c r="A6835" s="1" t="s">
        <v>10</v>
      </c>
      <c r="B6835" s="2">
        <v>44732.0</v>
      </c>
      <c r="C6835" s="3">
        <v>0.7547685185185186</v>
      </c>
      <c r="D6835" s="1">
        <v>12.876138</v>
      </c>
      <c r="E6835" s="1">
        <v>80.083204</v>
      </c>
      <c r="F6835" s="1">
        <v>2846.0</v>
      </c>
      <c r="G6835" s="1">
        <v>6.0</v>
      </c>
    </row>
    <row r="6836">
      <c r="A6836" s="1" t="s">
        <v>10</v>
      </c>
      <c r="B6836" s="2">
        <v>44732.0</v>
      </c>
      <c r="C6836" s="3">
        <v>0.7570949074074074</v>
      </c>
      <c r="D6836" s="1">
        <v>12.874855</v>
      </c>
      <c r="E6836" s="1">
        <v>80.083708</v>
      </c>
      <c r="F6836" s="1">
        <v>2846.0</v>
      </c>
      <c r="G6836" s="1">
        <v>13.0</v>
      </c>
    </row>
    <row r="6837">
      <c r="A6837" s="1" t="s">
        <v>7</v>
      </c>
      <c r="B6837" s="2">
        <v>44732.0</v>
      </c>
      <c r="C6837" s="3">
        <v>0.7775578703703704</v>
      </c>
      <c r="D6837" s="1">
        <v>12.873944</v>
      </c>
      <c r="E6837" s="1">
        <v>80.078181</v>
      </c>
      <c r="F6837" s="1">
        <v>2846.0</v>
      </c>
      <c r="G6837" s="1">
        <v>48.0</v>
      </c>
    </row>
    <row r="6838">
      <c r="A6838" s="1" t="s">
        <v>8</v>
      </c>
      <c r="B6838" s="2">
        <v>44732.0</v>
      </c>
      <c r="C6838" s="3">
        <v>0.7788194444444444</v>
      </c>
      <c r="D6838" s="1">
        <v>12.866648</v>
      </c>
      <c r="E6838" s="1">
        <v>80.075327</v>
      </c>
      <c r="F6838" s="1">
        <v>2846.0</v>
      </c>
      <c r="G6838" s="1">
        <v>25.0</v>
      </c>
    </row>
    <row r="6839">
      <c r="A6839" s="1" t="s">
        <v>8</v>
      </c>
      <c r="B6839" s="2">
        <v>44732.0</v>
      </c>
      <c r="C6839" s="3">
        <v>0.7788310185185185</v>
      </c>
      <c r="D6839" s="1">
        <v>12.866648</v>
      </c>
      <c r="E6839" s="1">
        <v>80.075327</v>
      </c>
      <c r="F6839" s="1">
        <v>2846.0</v>
      </c>
      <c r="G6839" s="1">
        <v>25.0</v>
      </c>
    </row>
    <row r="6840">
      <c r="A6840" s="1" t="s">
        <v>8</v>
      </c>
      <c r="B6840" s="2">
        <v>44732.0</v>
      </c>
      <c r="C6840" s="3">
        <v>0.7788541666666666</v>
      </c>
      <c r="D6840" s="1">
        <v>12.866648</v>
      </c>
      <c r="E6840" s="1">
        <v>80.075327</v>
      </c>
      <c r="F6840" s="1">
        <v>2846.0</v>
      </c>
      <c r="G6840" s="1">
        <v>25.0</v>
      </c>
    </row>
    <row r="6841">
      <c r="A6841" s="1" t="s">
        <v>8</v>
      </c>
      <c r="B6841" s="2">
        <v>44732.0</v>
      </c>
      <c r="C6841" s="3">
        <v>0.7791782407407407</v>
      </c>
      <c r="D6841" s="1">
        <v>12.864068</v>
      </c>
      <c r="E6841" s="1">
        <v>80.074398</v>
      </c>
      <c r="F6841" s="1">
        <v>2846.0</v>
      </c>
      <c r="G6841" s="1">
        <v>46.0</v>
      </c>
    </row>
    <row r="6842">
      <c r="A6842" s="1" t="s">
        <v>8</v>
      </c>
      <c r="B6842" s="2">
        <v>44732.0</v>
      </c>
      <c r="C6842" s="3">
        <v>0.7797916666666667</v>
      </c>
      <c r="D6842" s="1">
        <v>12.859196</v>
      </c>
      <c r="E6842" s="1">
        <v>80.071756</v>
      </c>
      <c r="F6842" s="1">
        <v>2846.0</v>
      </c>
      <c r="G6842" s="1">
        <v>42.0</v>
      </c>
    </row>
    <row r="6843">
      <c r="A6843" s="1" t="s">
        <v>8</v>
      </c>
      <c r="B6843" s="2">
        <v>44732.0</v>
      </c>
      <c r="C6843" s="3">
        <v>0.7800694444444445</v>
      </c>
      <c r="D6843" s="1">
        <v>12.857283</v>
      </c>
      <c r="E6843" s="1">
        <v>80.0703</v>
      </c>
      <c r="F6843" s="1">
        <v>2846.0</v>
      </c>
      <c r="G6843" s="1">
        <v>47.0</v>
      </c>
    </row>
    <row r="6844">
      <c r="A6844" s="1" t="s">
        <v>8</v>
      </c>
      <c r="B6844" s="2">
        <v>44732.0</v>
      </c>
      <c r="C6844" s="3">
        <v>0.7803472222222222</v>
      </c>
      <c r="D6844" s="1">
        <v>12.85562</v>
      </c>
      <c r="E6844" s="1">
        <v>80.069011</v>
      </c>
      <c r="F6844" s="1">
        <v>2846.0</v>
      </c>
      <c r="G6844" s="1">
        <v>40.0</v>
      </c>
    </row>
    <row r="6845">
      <c r="A6845" s="1" t="s">
        <v>8</v>
      </c>
      <c r="B6845" s="2">
        <v>44732.0</v>
      </c>
      <c r="C6845" s="3">
        <v>0.7804166666666666</v>
      </c>
      <c r="D6845" s="1">
        <v>12.854849</v>
      </c>
      <c r="E6845" s="1">
        <v>80.068446</v>
      </c>
      <c r="F6845" s="1">
        <v>2846.0</v>
      </c>
      <c r="G6845" s="1">
        <v>35.0</v>
      </c>
    </row>
    <row r="6846">
      <c r="A6846" s="1" t="s">
        <v>8</v>
      </c>
      <c r="B6846" s="2">
        <v>44732.0</v>
      </c>
      <c r="C6846" s="3">
        <v>0.7804629629629629</v>
      </c>
      <c r="D6846" s="1">
        <v>12.854849</v>
      </c>
      <c r="E6846" s="1">
        <v>80.068446</v>
      </c>
      <c r="F6846" s="1">
        <v>2846.0</v>
      </c>
      <c r="G6846" s="1">
        <v>35.0</v>
      </c>
    </row>
    <row r="6847">
      <c r="A6847" s="1" t="s">
        <v>8</v>
      </c>
      <c r="B6847" s="2">
        <v>44732.0</v>
      </c>
      <c r="C6847" s="3">
        <v>0.7821643518518518</v>
      </c>
      <c r="D6847" s="1">
        <v>12.845667</v>
      </c>
      <c r="E6847" s="1">
        <v>80.061618</v>
      </c>
      <c r="F6847" s="1">
        <v>2846.0</v>
      </c>
      <c r="G6847" s="1">
        <v>30.0</v>
      </c>
    </row>
    <row r="6848">
      <c r="A6848" s="1" t="s">
        <v>7</v>
      </c>
      <c r="B6848" s="2">
        <v>44732.0</v>
      </c>
      <c r="C6848" s="3">
        <v>0.7846643518518519</v>
      </c>
      <c r="D6848" s="1">
        <v>12.838212</v>
      </c>
      <c r="E6848" s="1">
        <v>80.053835</v>
      </c>
      <c r="F6848" s="1">
        <v>2846.0</v>
      </c>
      <c r="G6848" s="1">
        <v>47.0</v>
      </c>
    </row>
    <row r="6849">
      <c r="A6849" s="1" t="s">
        <v>7</v>
      </c>
      <c r="B6849" s="2">
        <v>44732.0</v>
      </c>
      <c r="C6849" s="3">
        <v>0.7848726851851852</v>
      </c>
      <c r="D6849" s="1">
        <v>12.836764</v>
      </c>
      <c r="E6849" s="1">
        <v>80.052314</v>
      </c>
      <c r="F6849" s="1">
        <v>2846.0</v>
      </c>
      <c r="G6849" s="1">
        <v>55.0</v>
      </c>
    </row>
    <row r="6850">
      <c r="A6850" s="1" t="s">
        <v>8</v>
      </c>
      <c r="B6850" s="2">
        <v>44732.0</v>
      </c>
      <c r="C6850" s="3">
        <v>0.7856944444444445</v>
      </c>
      <c r="D6850" s="1">
        <v>12.8309</v>
      </c>
      <c r="E6850" s="1">
        <v>80.04618</v>
      </c>
      <c r="F6850" s="1">
        <v>2846.0</v>
      </c>
      <c r="G6850" s="1">
        <v>13.0</v>
      </c>
    </row>
    <row r="6851">
      <c r="A6851" s="1" t="s">
        <v>7</v>
      </c>
      <c r="B6851" s="2">
        <v>44732.0</v>
      </c>
      <c r="C6851" s="3">
        <v>0.7859606481481481</v>
      </c>
      <c r="D6851" s="1">
        <v>12.829078</v>
      </c>
      <c r="E6851" s="1">
        <v>80.044308</v>
      </c>
      <c r="F6851" s="1">
        <v>2846.0</v>
      </c>
      <c r="G6851" s="1">
        <v>51.0</v>
      </c>
    </row>
    <row r="6852">
      <c r="A6852" s="1" t="s">
        <v>7</v>
      </c>
      <c r="B6852" s="2">
        <v>44732.0</v>
      </c>
      <c r="C6852" s="3">
        <v>0.78625</v>
      </c>
      <c r="D6852" s="1">
        <v>12.827284</v>
      </c>
      <c r="E6852" s="1">
        <v>80.042363</v>
      </c>
      <c r="F6852" s="1">
        <v>2846.0</v>
      </c>
      <c r="G6852" s="1">
        <v>50.0</v>
      </c>
    </row>
    <row r="6853">
      <c r="A6853" s="1" t="s">
        <v>7</v>
      </c>
      <c r="B6853" s="2">
        <v>44732.0</v>
      </c>
      <c r="C6853" s="3">
        <v>0.7865856481481481</v>
      </c>
      <c r="D6853" s="1">
        <v>12.823688</v>
      </c>
      <c r="E6853" s="1">
        <v>80.039409</v>
      </c>
      <c r="F6853" s="1">
        <v>2846.0</v>
      </c>
      <c r="G6853" s="1">
        <v>54.0</v>
      </c>
    </row>
    <row r="6854">
      <c r="A6854" s="1" t="s">
        <v>7</v>
      </c>
      <c r="B6854" s="2">
        <v>44732.0</v>
      </c>
      <c r="C6854" s="3">
        <v>0.7866435185185185</v>
      </c>
      <c r="D6854" s="1">
        <v>12.823688</v>
      </c>
      <c r="E6854" s="1">
        <v>80.039409</v>
      </c>
      <c r="F6854" s="1">
        <v>2846.0</v>
      </c>
      <c r="G6854" s="1">
        <v>54.0</v>
      </c>
    </row>
    <row r="6855">
      <c r="A6855" s="1" t="s">
        <v>8</v>
      </c>
      <c r="B6855" s="2">
        <v>44732.0</v>
      </c>
      <c r="C6855" s="3">
        <v>0.786724537037037</v>
      </c>
      <c r="D6855" s="1">
        <v>12.822284</v>
      </c>
      <c r="E6855" s="1">
        <v>80.038458</v>
      </c>
      <c r="F6855" s="1">
        <v>2846.0</v>
      </c>
      <c r="G6855" s="1">
        <v>41.0</v>
      </c>
    </row>
    <row r="6856">
      <c r="A6856" s="1" t="s">
        <v>8</v>
      </c>
      <c r="B6856" s="2">
        <v>44732.0</v>
      </c>
      <c r="C6856" s="3">
        <v>0.7871180555555556</v>
      </c>
      <c r="D6856" s="1">
        <v>12.820583</v>
      </c>
      <c r="E6856" s="1">
        <v>80.03721</v>
      </c>
      <c r="F6856" s="1">
        <v>2846.0</v>
      </c>
      <c r="G6856" s="1">
        <v>45.0</v>
      </c>
    </row>
    <row r="6857">
      <c r="A6857" s="1" t="s">
        <v>7</v>
      </c>
      <c r="B6857" s="2">
        <v>44732.0</v>
      </c>
      <c r="C6857" s="3">
        <v>0.7910069444444444</v>
      </c>
      <c r="D6857" s="1">
        <v>12.793808</v>
      </c>
      <c r="E6857" s="1">
        <v>80.019437</v>
      </c>
      <c r="F6857" s="1">
        <v>2846.0</v>
      </c>
      <c r="G6857" s="1">
        <v>48.0</v>
      </c>
    </row>
    <row r="6858">
      <c r="A6858" s="1" t="s">
        <v>7</v>
      </c>
      <c r="B6858" s="2">
        <v>44732.0</v>
      </c>
      <c r="C6858" s="3">
        <v>0.7912731481481482</v>
      </c>
      <c r="D6858" s="1">
        <v>12.791492</v>
      </c>
      <c r="E6858" s="1">
        <v>80.01791</v>
      </c>
      <c r="F6858" s="1">
        <v>2846.0</v>
      </c>
      <c r="G6858" s="1">
        <v>56.0</v>
      </c>
    </row>
    <row r="6859">
      <c r="A6859" s="1" t="s">
        <v>7</v>
      </c>
      <c r="B6859" s="2">
        <v>44732.0</v>
      </c>
      <c r="C6859" s="3">
        <v>0.7933680555555556</v>
      </c>
      <c r="D6859" s="1">
        <v>12.768146</v>
      </c>
      <c r="E6859" s="1">
        <v>80.006377</v>
      </c>
      <c r="F6859" s="1">
        <v>2846.0</v>
      </c>
      <c r="G6859" s="1">
        <v>58.0</v>
      </c>
    </row>
    <row r="6860">
      <c r="A6860" s="1" t="s">
        <v>8</v>
      </c>
      <c r="B6860" s="2">
        <v>44732.0</v>
      </c>
      <c r="C6860" s="3">
        <v>0.7934143518518518</v>
      </c>
      <c r="D6860" s="1">
        <v>12.768146</v>
      </c>
      <c r="E6860" s="1">
        <v>80.006377</v>
      </c>
      <c r="F6860" s="1">
        <v>2846.0</v>
      </c>
      <c r="G6860" s="1">
        <v>58.0</v>
      </c>
    </row>
    <row r="6861">
      <c r="A6861" s="1" t="s">
        <v>10</v>
      </c>
      <c r="B6861" s="2">
        <v>44732.0</v>
      </c>
      <c r="C6861" s="3">
        <v>0.794525462962963</v>
      </c>
      <c r="D6861" s="1">
        <v>12.761514</v>
      </c>
      <c r="E6861" s="1">
        <v>80.003721</v>
      </c>
      <c r="F6861" s="1">
        <v>2846.0</v>
      </c>
      <c r="G6861" s="1">
        <v>23.0</v>
      </c>
    </row>
    <row r="6862">
      <c r="A6862" s="1" t="s">
        <v>7</v>
      </c>
      <c r="B6862" s="2">
        <v>44732.0</v>
      </c>
      <c r="C6862" s="3">
        <v>0.7959143518518519</v>
      </c>
      <c r="D6862" s="1">
        <v>12.750884</v>
      </c>
      <c r="E6862" s="1">
        <v>79.998638</v>
      </c>
      <c r="F6862" s="1">
        <v>2846.0</v>
      </c>
      <c r="G6862" s="1">
        <v>58.0</v>
      </c>
    </row>
    <row r="6863">
      <c r="A6863" s="1" t="s">
        <v>7</v>
      </c>
      <c r="B6863" s="2">
        <v>44732.0</v>
      </c>
      <c r="C6863" s="3">
        <v>0.7959837962962963</v>
      </c>
      <c r="D6863" s="1">
        <v>12.749042</v>
      </c>
      <c r="E6863" s="1">
        <v>79.997189</v>
      </c>
      <c r="F6863" s="1">
        <v>2846.0</v>
      </c>
      <c r="G6863" s="1">
        <v>57.0</v>
      </c>
    </row>
    <row r="6864">
      <c r="A6864" s="1" t="s">
        <v>8</v>
      </c>
      <c r="B6864" s="2">
        <v>44732.0</v>
      </c>
      <c r="C6864" s="3">
        <v>0.7977430555555556</v>
      </c>
      <c r="D6864" s="1">
        <v>12.742923</v>
      </c>
      <c r="E6864" s="1">
        <v>79.992363</v>
      </c>
      <c r="F6864" s="1">
        <v>2846.0</v>
      </c>
      <c r="G6864" s="1">
        <v>0.0</v>
      </c>
    </row>
    <row r="6865">
      <c r="A6865" s="1" t="s">
        <v>7</v>
      </c>
      <c r="B6865" s="2">
        <v>44732.0</v>
      </c>
      <c r="C6865" s="3">
        <v>0.7980902777777777</v>
      </c>
      <c r="D6865" s="1">
        <v>12.741367</v>
      </c>
      <c r="E6865" s="1">
        <v>79.991031</v>
      </c>
      <c r="F6865" s="1">
        <v>2846.0</v>
      </c>
      <c r="G6865" s="1">
        <v>48.0</v>
      </c>
    </row>
    <row r="6866">
      <c r="A6866" s="1" t="s">
        <v>8</v>
      </c>
      <c r="B6866" s="2">
        <v>44732.0</v>
      </c>
      <c r="C6866" s="3">
        <v>0.7998263888888889</v>
      </c>
      <c r="D6866" s="1">
        <v>12.724152</v>
      </c>
      <c r="E6866" s="1">
        <v>79.982052</v>
      </c>
      <c r="F6866" s="1">
        <v>2846.0</v>
      </c>
      <c r="G6866" s="1">
        <v>10.0</v>
      </c>
    </row>
    <row r="6867">
      <c r="A6867" s="1" t="s">
        <v>8</v>
      </c>
      <c r="B6867" s="2">
        <v>44732.0</v>
      </c>
      <c r="C6867" s="3">
        <v>0.8000347222222223</v>
      </c>
      <c r="D6867" s="1">
        <v>12.723764</v>
      </c>
      <c r="E6867" s="1">
        <v>79.981936</v>
      </c>
      <c r="F6867" s="1">
        <v>2846.0</v>
      </c>
      <c r="G6867" s="1">
        <v>24.0</v>
      </c>
    </row>
    <row r="6868">
      <c r="A6868" s="1" t="s">
        <v>7</v>
      </c>
      <c r="B6868" s="2">
        <v>44732.0</v>
      </c>
      <c r="C6868" s="3">
        <v>0.8005092592592593</v>
      </c>
      <c r="D6868" s="1">
        <v>12.722472</v>
      </c>
      <c r="E6868" s="1">
        <v>79.981551</v>
      </c>
      <c r="F6868" s="1">
        <v>2846.0</v>
      </c>
      <c r="G6868" s="1">
        <v>39.0</v>
      </c>
    </row>
    <row r="6869">
      <c r="A6869" s="1" t="s">
        <v>10</v>
      </c>
      <c r="B6869" s="2">
        <v>44732.0</v>
      </c>
      <c r="C6869" s="3">
        <v>0.8030208333333333</v>
      </c>
      <c r="D6869" s="1">
        <v>12.697793</v>
      </c>
      <c r="E6869" s="1">
        <v>79.976337</v>
      </c>
      <c r="F6869" s="1">
        <v>2846.0</v>
      </c>
      <c r="G6869" s="1">
        <v>4.0</v>
      </c>
    </row>
    <row r="6870">
      <c r="A6870" s="1" t="s">
        <v>7</v>
      </c>
      <c r="B6870" s="2">
        <v>44732.0</v>
      </c>
      <c r="C6870" s="3">
        <v>0.8111574074074074</v>
      </c>
      <c r="D6870" s="1">
        <v>12.668911</v>
      </c>
      <c r="E6870" s="1">
        <v>79.973956</v>
      </c>
      <c r="F6870" s="1">
        <v>2846.0</v>
      </c>
      <c r="G6870" s="1">
        <v>56.0</v>
      </c>
    </row>
    <row r="6871">
      <c r="A6871" s="1" t="s">
        <v>7</v>
      </c>
      <c r="B6871" s="2">
        <v>44732.0</v>
      </c>
      <c r="C6871" s="3">
        <v>0.813136574074074</v>
      </c>
      <c r="D6871" s="1">
        <v>12.657569</v>
      </c>
      <c r="E6871" s="1">
        <v>79.958472</v>
      </c>
      <c r="F6871" s="1">
        <v>2846.0</v>
      </c>
      <c r="G6871" s="1">
        <v>40.0</v>
      </c>
    </row>
    <row r="6872">
      <c r="A6872" s="1" t="s">
        <v>7</v>
      </c>
      <c r="B6872" s="2">
        <v>44732.0</v>
      </c>
      <c r="C6872" s="3">
        <v>0.8147337962962963</v>
      </c>
      <c r="D6872" s="1">
        <v>12.6576</v>
      </c>
      <c r="E6872" s="1">
        <v>79.945784</v>
      </c>
      <c r="F6872" s="1">
        <v>2846.0</v>
      </c>
      <c r="G6872" s="1">
        <v>32.0</v>
      </c>
    </row>
    <row r="6873">
      <c r="A6873" s="1" t="s">
        <v>7</v>
      </c>
      <c r="B6873" s="2">
        <v>44732.0</v>
      </c>
      <c r="C6873" s="3">
        <v>0.8148263888888889</v>
      </c>
      <c r="D6873" s="1">
        <v>12.6576</v>
      </c>
      <c r="E6873" s="1">
        <v>79.945784</v>
      </c>
      <c r="F6873" s="1">
        <v>2846.0</v>
      </c>
      <c r="G6873" s="1">
        <v>32.0</v>
      </c>
    </row>
    <row r="6874">
      <c r="A6874" s="1" t="s">
        <v>8</v>
      </c>
      <c r="B6874" s="2">
        <v>44732.0</v>
      </c>
      <c r="C6874" s="3">
        <v>0.8159143518518519</v>
      </c>
      <c r="D6874" s="1">
        <v>12.649684</v>
      </c>
      <c r="E6874" s="1">
        <v>79.941331</v>
      </c>
      <c r="F6874" s="1">
        <v>2846.0</v>
      </c>
      <c r="G6874" s="1">
        <v>49.0</v>
      </c>
    </row>
    <row r="6875">
      <c r="A6875" s="1" t="s">
        <v>7</v>
      </c>
      <c r="B6875" s="2">
        <v>44732.0</v>
      </c>
      <c r="C6875" s="3">
        <v>0.8160995370370371</v>
      </c>
      <c r="D6875" s="1">
        <v>12.648223</v>
      </c>
      <c r="E6875" s="1">
        <v>79.940852</v>
      </c>
      <c r="F6875" s="1">
        <v>2846.0</v>
      </c>
      <c r="G6875" s="1">
        <v>32.0</v>
      </c>
    </row>
    <row r="6876">
      <c r="A6876" s="1" t="s">
        <v>8</v>
      </c>
      <c r="B6876" s="2">
        <v>44732.0</v>
      </c>
      <c r="C6876" s="3">
        <v>0.8169675925925926</v>
      </c>
      <c r="D6876" s="1">
        <v>12.640447</v>
      </c>
      <c r="E6876" s="1">
        <v>79.936718</v>
      </c>
      <c r="F6876" s="1">
        <v>2846.0</v>
      </c>
      <c r="G6876" s="1">
        <v>44.0</v>
      </c>
    </row>
    <row r="6877">
      <c r="A6877" s="1" t="s">
        <v>8</v>
      </c>
      <c r="B6877" s="2">
        <v>44732.0</v>
      </c>
      <c r="C6877" s="3">
        <v>0.8170949074074074</v>
      </c>
      <c r="D6877" s="1">
        <v>12.640447</v>
      </c>
      <c r="E6877" s="1">
        <v>79.936718</v>
      </c>
      <c r="F6877" s="1">
        <v>2846.0</v>
      </c>
      <c r="G6877" s="1">
        <v>44.0</v>
      </c>
    </row>
    <row r="6878">
      <c r="A6878" s="1" t="s">
        <v>7</v>
      </c>
      <c r="B6878" s="2">
        <v>44732.0</v>
      </c>
      <c r="C6878" s="3">
        <v>0.8197685185185185</v>
      </c>
      <c r="D6878" s="1">
        <v>12.614185</v>
      </c>
      <c r="E6878" s="1">
        <v>79.925161</v>
      </c>
      <c r="F6878" s="1">
        <v>2846.0</v>
      </c>
      <c r="G6878" s="1">
        <v>58.0</v>
      </c>
    </row>
    <row r="6879">
      <c r="A6879" s="1" t="s">
        <v>7</v>
      </c>
      <c r="B6879" s="2">
        <v>44732.0</v>
      </c>
      <c r="C6879" s="3">
        <v>0.8206365740740741</v>
      </c>
      <c r="D6879" s="1">
        <v>12.606044</v>
      </c>
      <c r="E6879" s="1">
        <v>79.920934</v>
      </c>
      <c r="F6879" s="1">
        <v>2846.0</v>
      </c>
      <c r="G6879" s="1">
        <v>47.0</v>
      </c>
    </row>
    <row r="6880">
      <c r="A6880" s="1" t="s">
        <v>7</v>
      </c>
      <c r="B6880" s="2">
        <v>44732.0</v>
      </c>
      <c r="C6880" s="3">
        <v>0.8209375</v>
      </c>
      <c r="D6880" s="1">
        <v>12.601974</v>
      </c>
      <c r="E6880" s="1">
        <v>79.920176</v>
      </c>
      <c r="F6880" s="1">
        <v>2846.0</v>
      </c>
      <c r="G6880" s="1">
        <v>57.0</v>
      </c>
    </row>
    <row r="6881">
      <c r="A6881" s="1" t="s">
        <v>7</v>
      </c>
      <c r="B6881" s="2">
        <v>44732.0</v>
      </c>
      <c r="C6881" s="3">
        <v>0.8211805555555556</v>
      </c>
      <c r="D6881" s="1">
        <v>12.599504</v>
      </c>
      <c r="E6881" s="1">
        <v>79.91992</v>
      </c>
      <c r="F6881" s="1">
        <v>2846.0</v>
      </c>
      <c r="G6881" s="1">
        <v>58.0</v>
      </c>
    </row>
    <row r="6882">
      <c r="A6882" s="1" t="s">
        <v>7</v>
      </c>
      <c r="B6882" s="2">
        <v>44732.0</v>
      </c>
      <c r="C6882" s="3">
        <v>0.8213078703703703</v>
      </c>
      <c r="D6882" s="1">
        <v>12.59718</v>
      </c>
      <c r="E6882" s="1">
        <v>79.919691</v>
      </c>
      <c r="F6882" s="1">
        <v>2846.0</v>
      </c>
      <c r="G6882" s="1">
        <v>58.0</v>
      </c>
    </row>
    <row r="6883">
      <c r="A6883" s="1" t="s">
        <v>7</v>
      </c>
      <c r="B6883" s="2">
        <v>44732.0</v>
      </c>
      <c r="C6883" s="3">
        <v>0.8215509259259259</v>
      </c>
      <c r="D6883" s="1">
        <v>12.594888</v>
      </c>
      <c r="E6883" s="1">
        <v>79.919443</v>
      </c>
      <c r="F6883" s="1">
        <v>2846.0</v>
      </c>
      <c r="G6883" s="1">
        <v>58.0</v>
      </c>
    </row>
    <row r="6884">
      <c r="A6884" s="1" t="s">
        <v>7</v>
      </c>
      <c r="B6884" s="2">
        <v>44732.0</v>
      </c>
      <c r="C6884" s="3">
        <v>0.8219212962962963</v>
      </c>
      <c r="D6884" s="1">
        <v>12.590413</v>
      </c>
      <c r="E6884" s="1">
        <v>79.919348</v>
      </c>
      <c r="F6884" s="1">
        <v>2846.0</v>
      </c>
      <c r="G6884" s="1">
        <v>59.0</v>
      </c>
    </row>
    <row r="6885">
      <c r="A6885" s="1" t="s">
        <v>7</v>
      </c>
      <c r="B6885" s="2">
        <v>44732.0</v>
      </c>
      <c r="C6885" s="3">
        <v>0.8220601851851852</v>
      </c>
      <c r="D6885" s="1">
        <v>12.588072</v>
      </c>
      <c r="E6885" s="1">
        <v>79.919427</v>
      </c>
      <c r="F6885" s="1">
        <v>2846.0</v>
      </c>
      <c r="G6885" s="1">
        <v>57.0</v>
      </c>
    </row>
    <row r="6886">
      <c r="A6886" s="1" t="s">
        <v>8</v>
      </c>
      <c r="B6886" s="2">
        <v>44732.0</v>
      </c>
      <c r="C6886" s="3">
        <v>0.8247685185185185</v>
      </c>
      <c r="D6886" s="1">
        <v>12.56235</v>
      </c>
      <c r="E6886" s="1">
        <v>79.912694</v>
      </c>
      <c r="F6886" s="1">
        <v>2846.0</v>
      </c>
      <c r="G6886" s="1">
        <v>45.0</v>
      </c>
    </row>
    <row r="6887">
      <c r="A6887" s="1" t="s">
        <v>8</v>
      </c>
      <c r="B6887" s="2">
        <v>44732.0</v>
      </c>
      <c r="C6887" s="3">
        <v>0.8251388888888889</v>
      </c>
      <c r="D6887" s="1">
        <v>12.556401</v>
      </c>
      <c r="E6887" s="1">
        <v>79.909247</v>
      </c>
      <c r="F6887" s="1">
        <v>2846.0</v>
      </c>
      <c r="G6887" s="1">
        <v>25.0</v>
      </c>
    </row>
    <row r="6888">
      <c r="A6888" s="1" t="s">
        <v>9</v>
      </c>
      <c r="B6888" s="2">
        <v>44732.0</v>
      </c>
      <c r="C6888" s="3">
        <v>0.8258101851851852</v>
      </c>
      <c r="D6888" s="1">
        <v>12.551148</v>
      </c>
      <c r="E6888" s="1">
        <v>79.906694</v>
      </c>
      <c r="F6888" s="1">
        <v>2846.0</v>
      </c>
      <c r="G6888" s="1">
        <v>59.0</v>
      </c>
    </row>
    <row r="6889">
      <c r="A6889" s="1" t="s">
        <v>8</v>
      </c>
      <c r="B6889" s="2">
        <v>44732.0</v>
      </c>
      <c r="C6889" s="3">
        <v>0.8278240740740741</v>
      </c>
      <c r="D6889" s="1">
        <v>12.531684</v>
      </c>
      <c r="E6889" s="1">
        <v>79.900428</v>
      </c>
      <c r="F6889" s="1">
        <v>2846.0</v>
      </c>
      <c r="G6889" s="1">
        <v>34.0</v>
      </c>
    </row>
    <row r="6890">
      <c r="A6890" s="1" t="s">
        <v>7</v>
      </c>
      <c r="B6890" s="2">
        <v>44732.0</v>
      </c>
      <c r="C6890" s="3">
        <v>0.8281597222222222</v>
      </c>
      <c r="D6890" s="1">
        <v>12.530362</v>
      </c>
      <c r="E6890" s="1">
        <v>79.899758</v>
      </c>
      <c r="F6890" s="1">
        <v>2846.0</v>
      </c>
      <c r="G6890" s="1">
        <v>33.0</v>
      </c>
    </row>
    <row r="6891">
      <c r="A6891" s="1" t="s">
        <v>7</v>
      </c>
      <c r="B6891" s="2">
        <v>44732.0</v>
      </c>
      <c r="C6891" s="3">
        <v>0.828275462962963</v>
      </c>
      <c r="D6891" s="1">
        <v>12.530362</v>
      </c>
      <c r="E6891" s="1">
        <v>79.899758</v>
      </c>
      <c r="F6891" s="1">
        <v>2846.0</v>
      </c>
      <c r="G6891" s="1">
        <v>33.0</v>
      </c>
    </row>
    <row r="6892">
      <c r="A6892" s="1" t="s">
        <v>7</v>
      </c>
      <c r="B6892" s="2">
        <v>44732.0</v>
      </c>
      <c r="C6892" s="3">
        <v>0.8285300925925926</v>
      </c>
      <c r="D6892" s="1">
        <v>12.527171</v>
      </c>
      <c r="E6892" s="1">
        <v>79.898126</v>
      </c>
      <c r="F6892" s="1">
        <v>2846.0</v>
      </c>
      <c r="G6892" s="1">
        <v>53.0</v>
      </c>
    </row>
    <row r="6893">
      <c r="A6893" s="1" t="s">
        <v>10</v>
      </c>
      <c r="B6893" s="2">
        <v>44732.0</v>
      </c>
      <c r="C6893" s="3">
        <v>0.8305671296296296</v>
      </c>
      <c r="D6893" s="1">
        <v>12.513206</v>
      </c>
      <c r="E6893" s="1">
        <v>79.887001</v>
      </c>
      <c r="F6893" s="1">
        <v>2846.0</v>
      </c>
      <c r="G6893" s="1">
        <v>0.0</v>
      </c>
    </row>
    <row r="6894">
      <c r="A6894" s="1" t="s">
        <v>10</v>
      </c>
      <c r="B6894" s="2">
        <v>44732.0</v>
      </c>
      <c r="C6894" s="3">
        <v>0.8310532407407407</v>
      </c>
      <c r="D6894" s="1">
        <v>12.512142</v>
      </c>
      <c r="E6894" s="1">
        <v>79.886002</v>
      </c>
      <c r="F6894" s="1">
        <v>2846.0</v>
      </c>
      <c r="G6894" s="1">
        <v>24.0</v>
      </c>
    </row>
    <row r="6895">
      <c r="A6895" s="1" t="s">
        <v>7</v>
      </c>
      <c r="B6895" s="2">
        <v>44732.0</v>
      </c>
      <c r="C6895" s="3">
        <v>0.8336574074074075</v>
      </c>
      <c r="D6895" s="1">
        <v>12.505554</v>
      </c>
      <c r="E6895" s="1">
        <v>79.879791</v>
      </c>
      <c r="F6895" s="1">
        <v>2846.0</v>
      </c>
      <c r="G6895" s="1">
        <v>37.0</v>
      </c>
    </row>
    <row r="6896">
      <c r="A6896" s="1" t="s">
        <v>7</v>
      </c>
      <c r="B6896" s="2">
        <v>44732.0</v>
      </c>
      <c r="C6896" s="3">
        <v>0.8337962962962963</v>
      </c>
      <c r="D6896" s="1">
        <v>12.504064</v>
      </c>
      <c r="E6896" s="1">
        <v>79.878608</v>
      </c>
      <c r="F6896" s="1">
        <v>2846.0</v>
      </c>
      <c r="G6896" s="1">
        <v>48.0</v>
      </c>
    </row>
    <row r="6897">
      <c r="A6897" s="1" t="s">
        <v>7</v>
      </c>
      <c r="B6897" s="2">
        <v>44732.0</v>
      </c>
      <c r="C6897" s="3">
        <v>0.8368518518518518</v>
      </c>
      <c r="D6897" s="1">
        <v>12.497306</v>
      </c>
      <c r="E6897" s="1">
        <v>79.872904</v>
      </c>
      <c r="F6897" s="1">
        <v>2846.0</v>
      </c>
      <c r="G6897" s="1">
        <v>0.0</v>
      </c>
    </row>
    <row r="6898">
      <c r="A6898" s="1" t="s">
        <v>7</v>
      </c>
      <c r="B6898" s="2">
        <v>44732.0</v>
      </c>
      <c r="C6898" s="3">
        <v>0.8375462962962963</v>
      </c>
      <c r="D6898" s="1">
        <v>12.500558</v>
      </c>
      <c r="E6898" s="1">
        <v>79.875589</v>
      </c>
      <c r="F6898" s="1">
        <v>2846.0</v>
      </c>
      <c r="G6898" s="1">
        <v>57.0</v>
      </c>
    </row>
    <row r="6899">
      <c r="A6899" s="1" t="s">
        <v>7</v>
      </c>
      <c r="B6899" s="2">
        <v>44732.0</v>
      </c>
      <c r="C6899" s="3">
        <v>0.8382523148148148</v>
      </c>
      <c r="D6899" s="1">
        <v>12.507558</v>
      </c>
      <c r="E6899" s="1">
        <v>79.881116</v>
      </c>
      <c r="F6899" s="1">
        <v>2846.0</v>
      </c>
      <c r="G6899" s="1">
        <v>56.0</v>
      </c>
    </row>
    <row r="6900">
      <c r="A6900" s="1" t="s">
        <v>7</v>
      </c>
      <c r="B6900" s="2">
        <v>44732.0</v>
      </c>
      <c r="C6900" s="3">
        <v>0.8389583333333334</v>
      </c>
      <c r="D6900" s="1">
        <v>12.514395</v>
      </c>
      <c r="E6900" s="1">
        <v>79.88487</v>
      </c>
      <c r="F6900" s="1">
        <v>2846.0</v>
      </c>
      <c r="G6900" s="1">
        <v>56.0</v>
      </c>
    </row>
    <row r="6901">
      <c r="A6901" s="1" t="s">
        <v>7</v>
      </c>
      <c r="B6901" s="2">
        <v>44732.0</v>
      </c>
      <c r="C6901" s="3">
        <v>0.8402777777777778</v>
      </c>
      <c r="D6901" s="1">
        <v>12.524847</v>
      </c>
      <c r="E6901" s="1">
        <v>79.896868</v>
      </c>
      <c r="F6901" s="1">
        <v>2846.0</v>
      </c>
      <c r="G6901" s="1">
        <v>53.0</v>
      </c>
    </row>
    <row r="6902">
      <c r="A6902" s="1" t="s">
        <v>7</v>
      </c>
      <c r="B6902" s="2">
        <v>44732.0</v>
      </c>
      <c r="C6902" s="3">
        <v>0.8408680555555555</v>
      </c>
      <c r="D6902" s="1">
        <v>12.530888</v>
      </c>
      <c r="E6902" s="1">
        <v>79.899838</v>
      </c>
      <c r="F6902" s="1">
        <v>2846.0</v>
      </c>
      <c r="G6902" s="1">
        <v>57.0</v>
      </c>
    </row>
    <row r="6903">
      <c r="A6903" s="1" t="s">
        <v>7</v>
      </c>
      <c r="B6903" s="2">
        <v>44732.0</v>
      </c>
      <c r="C6903" s="3">
        <v>0.8411921296296296</v>
      </c>
      <c r="D6903" s="1">
        <v>12.534127</v>
      </c>
      <c r="E6903" s="1">
        <v>79.901249</v>
      </c>
      <c r="F6903" s="1">
        <v>2846.0</v>
      </c>
      <c r="G6903" s="1">
        <v>39.0</v>
      </c>
    </row>
    <row r="6904">
      <c r="A6904" s="1" t="s">
        <v>10</v>
      </c>
      <c r="B6904" s="2">
        <v>44732.0</v>
      </c>
      <c r="C6904" s="3">
        <v>0.8417129629629629</v>
      </c>
      <c r="D6904" s="1">
        <v>12.539597</v>
      </c>
      <c r="E6904" s="1">
        <v>79.904114</v>
      </c>
      <c r="F6904" s="1">
        <v>2846.0</v>
      </c>
      <c r="G6904" s="1">
        <v>50.0</v>
      </c>
    </row>
    <row r="6905">
      <c r="A6905" s="1" t="s">
        <v>7</v>
      </c>
      <c r="B6905" s="2">
        <v>44732.0</v>
      </c>
      <c r="C6905" s="3">
        <v>0.8426388888888889</v>
      </c>
      <c r="D6905" s="1">
        <v>12.544265</v>
      </c>
      <c r="E6905" s="1">
        <v>79.904967</v>
      </c>
      <c r="F6905" s="1">
        <v>2846.0</v>
      </c>
      <c r="G6905" s="1">
        <v>38.0</v>
      </c>
    </row>
    <row r="6906">
      <c r="A6906" s="1" t="s">
        <v>7</v>
      </c>
      <c r="B6906" s="2">
        <v>44732.0</v>
      </c>
      <c r="C6906" s="3">
        <v>0.8430555555555556</v>
      </c>
      <c r="D6906" s="1">
        <v>12.548507</v>
      </c>
      <c r="E6906" s="1">
        <v>79.905778</v>
      </c>
      <c r="F6906" s="1">
        <v>2846.0</v>
      </c>
      <c r="G6906" s="1">
        <v>58.0</v>
      </c>
    </row>
    <row r="6907">
      <c r="A6907" s="1" t="s">
        <v>7</v>
      </c>
      <c r="B6907" s="2">
        <v>44732.0</v>
      </c>
      <c r="C6907" s="3">
        <v>0.844375</v>
      </c>
      <c r="D6907" s="1">
        <v>12.562395</v>
      </c>
      <c r="E6907" s="1">
        <v>79.912516</v>
      </c>
      <c r="F6907" s="1">
        <v>2846.0</v>
      </c>
      <c r="G6907" s="1">
        <v>0.0</v>
      </c>
    </row>
    <row r="6908">
      <c r="A6908" s="1" t="s">
        <v>7</v>
      </c>
      <c r="B6908" s="2">
        <v>44732.0</v>
      </c>
      <c r="C6908" s="3">
        <v>0.8450347222222222</v>
      </c>
      <c r="D6908" s="1">
        <v>12.566737</v>
      </c>
      <c r="E6908" s="1">
        <v>79.914694</v>
      </c>
      <c r="F6908" s="1">
        <v>2846.0</v>
      </c>
      <c r="G6908" s="1">
        <v>57.0</v>
      </c>
    </row>
    <row r="6909">
      <c r="A6909" s="1" t="s">
        <v>7</v>
      </c>
      <c r="B6909" s="2">
        <v>44732.0</v>
      </c>
      <c r="C6909" s="3">
        <v>0.8453125</v>
      </c>
      <c r="D6909" s="1">
        <v>12.571249</v>
      </c>
      <c r="E6909" s="1">
        <v>79.915928</v>
      </c>
      <c r="F6909" s="1">
        <v>2846.0</v>
      </c>
      <c r="G6909" s="1">
        <v>58.0</v>
      </c>
    </row>
    <row r="6910">
      <c r="A6910" s="1" t="s">
        <v>7</v>
      </c>
      <c r="B6910" s="2">
        <v>44732.0</v>
      </c>
      <c r="C6910" s="3">
        <v>0.8454861111111112</v>
      </c>
      <c r="D6910" s="1">
        <v>12.573501</v>
      </c>
      <c r="E6910" s="1">
        <v>79.916477</v>
      </c>
      <c r="F6910" s="1">
        <v>2846.0</v>
      </c>
      <c r="G6910" s="1">
        <v>55.0</v>
      </c>
    </row>
    <row r="6911">
      <c r="A6911" s="1" t="s">
        <v>7</v>
      </c>
      <c r="B6911" s="2">
        <v>44732.0</v>
      </c>
      <c r="C6911" s="3">
        <v>0.8464699074074075</v>
      </c>
      <c r="D6911" s="1">
        <v>12.584746</v>
      </c>
      <c r="E6911" s="1">
        <v>79.919314</v>
      </c>
      <c r="F6911" s="1">
        <v>2846.0</v>
      </c>
      <c r="G6911" s="1">
        <v>57.0</v>
      </c>
    </row>
    <row r="6912">
      <c r="A6912" s="1" t="s">
        <v>7</v>
      </c>
      <c r="B6912" s="2">
        <v>44732.0</v>
      </c>
      <c r="C6912" s="3">
        <v>0.8470601851851852</v>
      </c>
      <c r="D6912" s="1">
        <v>12.591876</v>
      </c>
      <c r="E6912" s="1">
        <v>79.91916</v>
      </c>
      <c r="F6912" s="1">
        <v>2846.0</v>
      </c>
      <c r="G6912" s="1">
        <v>58.0</v>
      </c>
    </row>
    <row r="6913">
      <c r="A6913" s="1" t="s">
        <v>7</v>
      </c>
      <c r="B6913" s="2">
        <v>44732.0</v>
      </c>
      <c r="C6913" s="3">
        <v>0.8472685185185185</v>
      </c>
      <c r="D6913" s="1">
        <v>12.594208</v>
      </c>
      <c r="E6913" s="1">
        <v>79.919233</v>
      </c>
      <c r="F6913" s="1">
        <v>2846.0</v>
      </c>
      <c r="G6913" s="1">
        <v>58.0</v>
      </c>
    </row>
    <row r="6914">
      <c r="A6914" s="1" t="s">
        <v>7</v>
      </c>
      <c r="B6914" s="2">
        <v>44732.0</v>
      </c>
      <c r="C6914" s="3">
        <v>0.8477314814814815</v>
      </c>
      <c r="D6914" s="1">
        <v>12.601076</v>
      </c>
      <c r="E6914" s="1">
        <v>79.919938</v>
      </c>
      <c r="F6914" s="1">
        <v>2846.0</v>
      </c>
      <c r="G6914" s="1">
        <v>57.0</v>
      </c>
    </row>
    <row r="6915">
      <c r="A6915" s="1" t="s">
        <v>7</v>
      </c>
      <c r="B6915" s="2">
        <v>44732.0</v>
      </c>
      <c r="C6915" s="3">
        <v>0.8479166666666667</v>
      </c>
      <c r="D6915" s="1">
        <v>12.603393</v>
      </c>
      <c r="E6915" s="1">
        <v>79.920233</v>
      </c>
      <c r="F6915" s="1">
        <v>2846.0</v>
      </c>
      <c r="G6915" s="1">
        <v>57.0</v>
      </c>
    </row>
    <row r="6916">
      <c r="A6916" s="1" t="s">
        <v>7</v>
      </c>
      <c r="B6916" s="2">
        <v>44732.0</v>
      </c>
      <c r="C6916" s="3">
        <v>0.8482175925925926</v>
      </c>
      <c r="D6916" s="1">
        <v>12.60707</v>
      </c>
      <c r="E6916" s="1">
        <v>79.921059</v>
      </c>
      <c r="F6916" s="1">
        <v>2846.0</v>
      </c>
      <c r="G6916" s="1">
        <v>54.0</v>
      </c>
    </row>
    <row r="6917">
      <c r="A6917" s="1" t="s">
        <v>7</v>
      </c>
      <c r="B6917" s="2">
        <v>44732.0</v>
      </c>
      <c r="C6917" s="3">
        <v>0.84875</v>
      </c>
      <c r="D6917" s="1">
        <v>12.610935</v>
      </c>
      <c r="E6917" s="1">
        <v>79.923112</v>
      </c>
      <c r="F6917" s="1">
        <v>2846.0</v>
      </c>
      <c r="G6917" s="1">
        <v>56.0</v>
      </c>
    </row>
    <row r="6918">
      <c r="A6918" s="1" t="s">
        <v>7</v>
      </c>
      <c r="B6918" s="2">
        <v>44732.0</v>
      </c>
      <c r="C6918" s="3">
        <v>0.8490856481481481</v>
      </c>
      <c r="D6918" s="1">
        <v>12.614996</v>
      </c>
      <c r="E6918" s="1">
        <v>79.92547</v>
      </c>
      <c r="F6918" s="1">
        <v>2846.0</v>
      </c>
      <c r="G6918" s="1">
        <v>58.0</v>
      </c>
    </row>
    <row r="6919">
      <c r="A6919" s="1" t="s">
        <v>7</v>
      </c>
      <c r="B6919" s="2">
        <v>44732.0</v>
      </c>
      <c r="C6919" s="3">
        <v>0.8493171296296296</v>
      </c>
      <c r="D6919" s="1">
        <v>12.617292</v>
      </c>
      <c r="E6919" s="1">
        <v>79.926373</v>
      </c>
      <c r="F6919" s="1">
        <v>2846.0</v>
      </c>
      <c r="G6919" s="1">
        <v>58.0</v>
      </c>
    </row>
    <row r="6920">
      <c r="A6920" s="1" t="s">
        <v>7</v>
      </c>
      <c r="B6920" s="2">
        <v>44732.0</v>
      </c>
      <c r="C6920" s="3">
        <v>0.8494212962962963</v>
      </c>
      <c r="D6920" s="1">
        <v>12.619246</v>
      </c>
      <c r="E6920" s="1">
        <v>79.92681</v>
      </c>
      <c r="F6920" s="1">
        <v>2846.0</v>
      </c>
      <c r="G6920" s="1">
        <v>50.0</v>
      </c>
    </row>
    <row r="6921">
      <c r="A6921" s="1" t="s">
        <v>8</v>
      </c>
      <c r="B6921" s="2">
        <v>44732.0</v>
      </c>
      <c r="C6921" s="3">
        <v>0.8505092592592592</v>
      </c>
      <c r="D6921" s="1">
        <v>12.629944</v>
      </c>
      <c r="E6921" s="1">
        <v>79.931031</v>
      </c>
      <c r="F6921" s="1">
        <v>2846.0</v>
      </c>
      <c r="G6921" s="1">
        <v>24.0</v>
      </c>
    </row>
    <row r="6922">
      <c r="A6922" s="1" t="s">
        <v>7</v>
      </c>
      <c r="B6922" s="2">
        <v>44732.0</v>
      </c>
      <c r="C6922" s="3">
        <v>0.850925925925926</v>
      </c>
      <c r="D6922" s="1">
        <v>12.632579</v>
      </c>
      <c r="E6922" s="1">
        <v>79.932193</v>
      </c>
      <c r="F6922" s="1">
        <v>2846.0</v>
      </c>
      <c r="G6922" s="1">
        <v>40.0</v>
      </c>
    </row>
    <row r="6923">
      <c r="A6923" s="1" t="s">
        <v>7</v>
      </c>
      <c r="B6923" s="2">
        <v>44732.0</v>
      </c>
      <c r="C6923" s="3">
        <v>0.8510648148148148</v>
      </c>
      <c r="D6923" s="1">
        <v>12.634084</v>
      </c>
      <c r="E6923" s="1">
        <v>79.93284</v>
      </c>
      <c r="F6923" s="1">
        <v>2846.0</v>
      </c>
      <c r="G6923" s="1">
        <v>41.0</v>
      </c>
    </row>
    <row r="6924">
      <c r="A6924" s="1" t="s">
        <v>7</v>
      </c>
      <c r="B6924" s="2">
        <v>44732.0</v>
      </c>
      <c r="C6924" s="3">
        <v>0.8514351851851852</v>
      </c>
      <c r="D6924" s="1">
        <v>12.63772</v>
      </c>
      <c r="E6924" s="1">
        <v>79.934827</v>
      </c>
      <c r="F6924" s="1">
        <v>2846.0</v>
      </c>
      <c r="G6924" s="1">
        <v>58.0</v>
      </c>
    </row>
    <row r="6925">
      <c r="A6925" s="1" t="s">
        <v>7</v>
      </c>
      <c r="B6925" s="2">
        <v>44732.0</v>
      </c>
      <c r="C6925" s="3">
        <v>0.8517939814814814</v>
      </c>
      <c r="D6925" s="1">
        <v>12.641833</v>
      </c>
      <c r="E6925" s="1">
        <v>79.937392</v>
      </c>
      <c r="F6925" s="1">
        <v>2846.0</v>
      </c>
      <c r="G6925" s="1">
        <v>57.0</v>
      </c>
    </row>
    <row r="6926">
      <c r="A6926" s="1" t="s">
        <v>7</v>
      </c>
      <c r="B6926" s="2">
        <v>44732.0</v>
      </c>
      <c r="C6926" s="3">
        <v>0.8529976851851852</v>
      </c>
      <c r="D6926" s="1">
        <v>12.654508</v>
      </c>
      <c r="E6926" s="1">
        <v>79.940015</v>
      </c>
      <c r="F6926" s="1">
        <v>2846.0</v>
      </c>
      <c r="G6926" s="1">
        <v>54.0</v>
      </c>
    </row>
    <row r="6927">
      <c r="A6927" s="1" t="s">
        <v>8</v>
      </c>
      <c r="B6927" s="2">
        <v>44732.0</v>
      </c>
      <c r="C6927" s="3">
        <v>0.8542476851851852</v>
      </c>
      <c r="D6927" s="1">
        <v>12.656279</v>
      </c>
      <c r="E6927" s="1">
        <v>79.951135</v>
      </c>
      <c r="F6927" s="1">
        <v>2846.0</v>
      </c>
      <c r="G6927" s="1">
        <v>42.0</v>
      </c>
    </row>
    <row r="6928">
      <c r="A6928" s="1" t="s">
        <v>8</v>
      </c>
      <c r="B6928" s="2">
        <v>44732.0</v>
      </c>
      <c r="C6928" s="3">
        <v>0.8544444444444445</v>
      </c>
      <c r="D6928" s="1">
        <v>12.655913</v>
      </c>
      <c r="E6928" s="1">
        <v>79.953012</v>
      </c>
      <c r="F6928" s="1">
        <v>2846.0</v>
      </c>
      <c r="G6928" s="1">
        <v>51.0</v>
      </c>
    </row>
    <row r="6929">
      <c r="A6929" s="1" t="s">
        <v>8</v>
      </c>
      <c r="B6929" s="2">
        <v>44732.0</v>
      </c>
      <c r="C6929" s="3">
        <v>0.8545023148148149</v>
      </c>
      <c r="D6929" s="1">
        <v>12.655913</v>
      </c>
      <c r="E6929" s="1">
        <v>79.953012</v>
      </c>
      <c r="F6929" s="1">
        <v>2846.0</v>
      </c>
      <c r="G6929" s="1">
        <v>51.0</v>
      </c>
    </row>
    <row r="6930">
      <c r="A6930" s="1" t="s">
        <v>7</v>
      </c>
      <c r="B6930" s="2">
        <v>44732.0</v>
      </c>
      <c r="C6930" s="3">
        <v>0.8547800925925926</v>
      </c>
      <c r="D6930" s="1">
        <v>12.657172</v>
      </c>
      <c r="E6930" s="1">
        <v>79.956778</v>
      </c>
      <c r="F6930" s="1">
        <v>2846.0</v>
      </c>
      <c r="G6930" s="1">
        <v>39.0</v>
      </c>
    </row>
    <row r="6931">
      <c r="A6931" s="1" t="s">
        <v>7</v>
      </c>
      <c r="B6931" s="2">
        <v>44732.0</v>
      </c>
      <c r="C6931" s="3">
        <v>0.8550810185185185</v>
      </c>
      <c r="D6931" s="1">
        <v>12.657842</v>
      </c>
      <c r="E6931" s="1">
        <v>79.958438</v>
      </c>
      <c r="F6931" s="1">
        <v>2846.0</v>
      </c>
      <c r="G6931" s="1">
        <v>48.0</v>
      </c>
    </row>
    <row r="6932">
      <c r="A6932" s="1" t="s">
        <v>7</v>
      </c>
      <c r="B6932" s="2">
        <v>44732.0</v>
      </c>
      <c r="C6932" s="3">
        <v>0.8565393518518518</v>
      </c>
      <c r="D6932" s="1">
        <v>12.674185</v>
      </c>
      <c r="E6932" s="1">
        <v>79.958494</v>
      </c>
      <c r="F6932" s="1">
        <v>2846.0</v>
      </c>
      <c r="G6932" s="1">
        <v>58.0</v>
      </c>
    </row>
    <row r="6933">
      <c r="A6933" s="1" t="s">
        <v>7</v>
      </c>
      <c r="B6933" s="2">
        <v>44732.0</v>
      </c>
      <c r="C6933" s="3">
        <v>0.8569212962962963</v>
      </c>
      <c r="D6933" s="1">
        <v>12.678857</v>
      </c>
      <c r="E6933" s="1">
        <v>79.958432</v>
      </c>
      <c r="F6933" s="1">
        <v>2846.0</v>
      </c>
      <c r="G6933" s="1">
        <v>58.0</v>
      </c>
    </row>
    <row r="6934">
      <c r="A6934" s="1" t="s">
        <v>7</v>
      </c>
      <c r="B6934" s="2">
        <v>44732.0</v>
      </c>
      <c r="C6934" s="3">
        <v>0.8572222222222222</v>
      </c>
      <c r="D6934" s="1">
        <v>12.681081</v>
      </c>
      <c r="E6934" s="1">
        <v>79.958403</v>
      </c>
      <c r="F6934" s="1">
        <v>2846.0</v>
      </c>
      <c r="G6934" s="1">
        <v>53.0</v>
      </c>
    </row>
    <row r="6935">
      <c r="A6935" s="1" t="s">
        <v>7</v>
      </c>
      <c r="B6935" s="2">
        <v>44732.0</v>
      </c>
      <c r="C6935" s="3">
        <v>0.8576851851851852</v>
      </c>
      <c r="D6935" s="1">
        <v>12.68751</v>
      </c>
      <c r="E6935" s="1">
        <v>79.959736</v>
      </c>
      <c r="F6935" s="1">
        <v>2846.0</v>
      </c>
      <c r="G6935" s="1">
        <v>62.0</v>
      </c>
    </row>
    <row r="6936">
      <c r="A6936" s="1" t="s">
        <v>7</v>
      </c>
      <c r="B6936" s="2">
        <v>44732.0</v>
      </c>
      <c r="C6936" s="3">
        <v>0.8579976851851852</v>
      </c>
      <c r="D6936" s="1">
        <v>12.690652</v>
      </c>
      <c r="E6936" s="1">
        <v>79.9622</v>
      </c>
      <c r="F6936" s="1">
        <v>2846.0</v>
      </c>
      <c r="G6936" s="1">
        <v>40.0</v>
      </c>
    </row>
    <row r="6937">
      <c r="A6937" s="1" t="s">
        <v>7</v>
      </c>
      <c r="B6937" s="2">
        <v>44732.0</v>
      </c>
      <c r="C6937" s="3">
        <v>0.8589583333333334</v>
      </c>
      <c r="D6937" s="1">
        <v>12.699924</v>
      </c>
      <c r="E6937" s="1">
        <v>79.968494</v>
      </c>
      <c r="F6937" s="1">
        <v>2846.0</v>
      </c>
      <c r="G6937" s="1">
        <v>55.0</v>
      </c>
    </row>
    <row r="6938">
      <c r="A6938" s="1" t="s">
        <v>7</v>
      </c>
      <c r="B6938" s="2">
        <v>44732.0</v>
      </c>
      <c r="C6938" s="3">
        <v>0.8592361111111111</v>
      </c>
      <c r="D6938" s="1">
        <v>12.703467</v>
      </c>
      <c r="E6938" s="1">
        <v>79.971693</v>
      </c>
      <c r="F6938" s="1">
        <v>2846.0</v>
      </c>
      <c r="G6938" s="1">
        <v>57.0</v>
      </c>
    </row>
    <row r="6939">
      <c r="A6939" s="1" t="s">
        <v>8</v>
      </c>
      <c r="B6939" s="2">
        <v>44732.0</v>
      </c>
      <c r="C6939" s="3">
        <v>0.8597569444444444</v>
      </c>
      <c r="D6939" s="1">
        <v>12.708004</v>
      </c>
      <c r="E6939" s="1">
        <v>79.976689</v>
      </c>
      <c r="F6939" s="1">
        <v>2846.0</v>
      </c>
      <c r="G6939" s="1">
        <v>57.0</v>
      </c>
    </row>
    <row r="6940">
      <c r="A6940" s="1" t="s">
        <v>8</v>
      </c>
      <c r="B6940" s="2">
        <v>44732.0</v>
      </c>
      <c r="C6940" s="3">
        <v>0.86</v>
      </c>
      <c r="D6940" s="1">
        <v>12.709602</v>
      </c>
      <c r="E6940" s="1">
        <v>79.97762</v>
      </c>
      <c r="F6940" s="1">
        <v>2846.0</v>
      </c>
      <c r="G6940" s="1">
        <v>41.0</v>
      </c>
    </row>
    <row r="6941">
      <c r="A6941" s="1" t="s">
        <v>7</v>
      </c>
      <c r="B6941" s="2">
        <v>44732.0</v>
      </c>
      <c r="C6941" s="3">
        <v>0.8606134259259259</v>
      </c>
      <c r="D6941" s="1">
        <v>12.714736</v>
      </c>
      <c r="E6941" s="1">
        <v>79.980264</v>
      </c>
      <c r="F6941" s="1">
        <v>2846.0</v>
      </c>
      <c r="G6941" s="1">
        <v>47.0</v>
      </c>
    </row>
    <row r="6942">
      <c r="A6942" s="1" t="s">
        <v>7</v>
      </c>
      <c r="B6942" s="2">
        <v>44732.0</v>
      </c>
      <c r="C6942" s="3">
        <v>0.8614699074074074</v>
      </c>
      <c r="D6942" s="1">
        <v>12.72396</v>
      </c>
      <c r="E6942" s="1">
        <v>79.981768</v>
      </c>
      <c r="F6942" s="1">
        <v>2846.0</v>
      </c>
      <c r="G6942" s="1">
        <v>20.0</v>
      </c>
    </row>
    <row r="6943">
      <c r="A6943" s="1" t="s">
        <v>7</v>
      </c>
      <c r="B6943" s="2">
        <v>44732.0</v>
      </c>
      <c r="C6943" s="3">
        <v>0.8614930555555556</v>
      </c>
      <c r="D6943" s="1">
        <v>12.72396</v>
      </c>
      <c r="E6943" s="1">
        <v>79.981768</v>
      </c>
      <c r="F6943" s="1">
        <v>2846.0</v>
      </c>
      <c r="G6943" s="1">
        <v>20.0</v>
      </c>
    </row>
    <row r="6944">
      <c r="A6944" s="1" t="s">
        <v>7</v>
      </c>
      <c r="B6944" s="2">
        <v>44732.0</v>
      </c>
      <c r="C6944" s="3">
        <v>0.862037037037037</v>
      </c>
      <c r="D6944" s="1">
        <v>12.725849</v>
      </c>
      <c r="E6944" s="1">
        <v>79.982285</v>
      </c>
      <c r="F6944" s="1">
        <v>2846.0</v>
      </c>
      <c r="G6944" s="1">
        <v>45.0</v>
      </c>
    </row>
    <row r="6945">
      <c r="A6945" s="1" t="s">
        <v>7</v>
      </c>
      <c r="B6945" s="2">
        <v>44732.0</v>
      </c>
      <c r="C6945" s="3">
        <v>0.8622337962962963</v>
      </c>
      <c r="D6945" s="1">
        <v>12.730171</v>
      </c>
      <c r="E6945" s="1">
        <v>79.982745</v>
      </c>
      <c r="F6945" s="1">
        <v>2846.0</v>
      </c>
      <c r="G6945" s="1">
        <v>58.0</v>
      </c>
    </row>
    <row r="6946">
      <c r="A6946" s="1" t="s">
        <v>7</v>
      </c>
      <c r="B6946" s="2">
        <v>44732.0</v>
      </c>
      <c r="C6946" s="3">
        <v>0.8624537037037037</v>
      </c>
      <c r="D6946" s="1">
        <v>12.730171</v>
      </c>
      <c r="E6946" s="1">
        <v>79.982745</v>
      </c>
      <c r="F6946" s="1">
        <v>2846.0</v>
      </c>
      <c r="G6946" s="1">
        <v>58.0</v>
      </c>
    </row>
    <row r="6947">
      <c r="A6947" s="1" t="s">
        <v>7</v>
      </c>
      <c r="B6947" s="2">
        <v>44732.0</v>
      </c>
      <c r="C6947" s="3">
        <v>0.864525462962963</v>
      </c>
      <c r="D6947" s="1">
        <v>12.744739</v>
      </c>
      <c r="E6947" s="1">
        <v>79.993503</v>
      </c>
      <c r="F6947" s="1">
        <v>2846.0</v>
      </c>
      <c r="G6947" s="1">
        <v>57.0</v>
      </c>
    </row>
    <row r="6948">
      <c r="A6948" s="1" t="s">
        <v>8</v>
      </c>
      <c r="B6948" s="2">
        <v>44732.0</v>
      </c>
      <c r="C6948" s="3">
        <v>0.8665972222222222</v>
      </c>
      <c r="D6948" s="1">
        <v>12.762531</v>
      </c>
      <c r="E6948" s="1">
        <v>80.003835</v>
      </c>
      <c r="F6948" s="1">
        <v>2846.0</v>
      </c>
      <c r="G6948" s="1">
        <v>0.0</v>
      </c>
    </row>
    <row r="6949">
      <c r="A6949" s="1" t="s">
        <v>8</v>
      </c>
      <c r="B6949" s="2">
        <v>44732.0</v>
      </c>
      <c r="C6949" s="3">
        <v>0.8668287037037037</v>
      </c>
      <c r="D6949" s="1">
        <v>12.762531</v>
      </c>
      <c r="E6949" s="1">
        <v>80.003835</v>
      </c>
      <c r="F6949" s="1">
        <v>2846.0</v>
      </c>
      <c r="G6949" s="1">
        <v>0.0</v>
      </c>
    </row>
    <row r="6950">
      <c r="A6950" s="1" t="s">
        <v>9</v>
      </c>
      <c r="B6950" s="2">
        <v>44732.0</v>
      </c>
      <c r="C6950" s="3">
        <v>0.8673842592592592</v>
      </c>
      <c r="D6950" s="1">
        <v>12.764676</v>
      </c>
      <c r="E6950" s="1">
        <v>80.004651</v>
      </c>
      <c r="F6950" s="1">
        <v>2846.0</v>
      </c>
      <c r="G6950" s="1">
        <v>42.0</v>
      </c>
    </row>
    <row r="6951">
      <c r="A6951" s="1" t="s">
        <v>7</v>
      </c>
      <c r="B6951" s="2">
        <v>44732.0</v>
      </c>
      <c r="C6951" s="3">
        <v>0.8685995370370371</v>
      </c>
      <c r="D6951" s="1">
        <v>12.776917</v>
      </c>
      <c r="E6951" s="1">
        <v>80.010321</v>
      </c>
      <c r="F6951" s="1">
        <v>2846.0</v>
      </c>
      <c r="G6951" s="1">
        <v>54.0</v>
      </c>
    </row>
    <row r="6952">
      <c r="A6952" s="1" t="s">
        <v>7</v>
      </c>
      <c r="B6952" s="2">
        <v>44732.0</v>
      </c>
      <c r="C6952" s="3">
        <v>0.8704050925925926</v>
      </c>
      <c r="D6952" s="1">
        <v>12.794943</v>
      </c>
      <c r="E6952" s="1">
        <v>80.01998</v>
      </c>
      <c r="F6952" s="1">
        <v>2846.0</v>
      </c>
      <c r="G6952" s="1">
        <v>21.0</v>
      </c>
    </row>
    <row r="6953">
      <c r="A6953" s="1" t="s">
        <v>7</v>
      </c>
      <c r="B6953" s="2">
        <v>44732.0</v>
      </c>
      <c r="C6953" s="3">
        <v>0.8711689814814815</v>
      </c>
      <c r="D6953" s="1">
        <v>12.801276</v>
      </c>
      <c r="E6953" s="1">
        <v>80.024157</v>
      </c>
      <c r="F6953" s="1">
        <v>2846.0</v>
      </c>
      <c r="G6953" s="1">
        <v>58.0</v>
      </c>
    </row>
    <row r="6954">
      <c r="A6954" s="1" t="s">
        <v>8</v>
      </c>
      <c r="B6954" s="2">
        <v>44732.0</v>
      </c>
      <c r="C6954" s="3">
        <v>0.87125</v>
      </c>
      <c r="D6954" s="1">
        <v>12.801276</v>
      </c>
      <c r="E6954" s="1">
        <v>80.024157</v>
      </c>
      <c r="F6954" s="1">
        <v>2846.0</v>
      </c>
      <c r="G6954" s="1">
        <v>58.0</v>
      </c>
    </row>
    <row r="6955">
      <c r="A6955" s="1" t="s">
        <v>7</v>
      </c>
      <c r="B6955" s="2">
        <v>44732.0</v>
      </c>
      <c r="C6955" s="3">
        <v>0.8718402777777777</v>
      </c>
      <c r="D6955" s="1">
        <v>12.807018</v>
      </c>
      <c r="E6955" s="1">
        <v>80.027917</v>
      </c>
      <c r="F6955" s="1">
        <v>2846.0</v>
      </c>
      <c r="G6955" s="1">
        <v>42.0</v>
      </c>
    </row>
    <row r="6956">
      <c r="A6956" s="1" t="s">
        <v>7</v>
      </c>
      <c r="B6956" s="2">
        <v>44732.0</v>
      </c>
      <c r="C6956" s="3">
        <v>0.8724652777777778</v>
      </c>
      <c r="D6956" s="1">
        <v>12.814285</v>
      </c>
      <c r="E6956" s="1">
        <v>80.032588</v>
      </c>
      <c r="F6956" s="1">
        <v>2846.0</v>
      </c>
      <c r="G6956" s="1">
        <v>58.0</v>
      </c>
    </row>
    <row r="6957">
      <c r="A6957" s="1" t="s">
        <v>7</v>
      </c>
      <c r="B6957" s="2">
        <v>44732.0</v>
      </c>
      <c r="C6957" s="3">
        <v>0.8726157407407408</v>
      </c>
      <c r="D6957" s="1">
        <v>12.816329</v>
      </c>
      <c r="E6957" s="1">
        <v>80.034031</v>
      </c>
      <c r="F6957" s="1">
        <v>2846.0</v>
      </c>
      <c r="G6957" s="1">
        <v>57.0</v>
      </c>
    </row>
    <row r="6958">
      <c r="A6958" s="1" t="s">
        <v>8</v>
      </c>
      <c r="B6958" s="2">
        <v>44732.0</v>
      </c>
      <c r="C6958" s="3">
        <v>0.8726967592592593</v>
      </c>
      <c r="D6958" s="1">
        <v>12.816329</v>
      </c>
      <c r="E6958" s="1">
        <v>80.034031</v>
      </c>
      <c r="F6958" s="1">
        <v>2846.0</v>
      </c>
      <c r="G6958" s="1">
        <v>57.0</v>
      </c>
    </row>
    <row r="6959">
      <c r="A6959" s="1" t="s">
        <v>7</v>
      </c>
      <c r="B6959" s="2">
        <v>44732.0</v>
      </c>
      <c r="C6959" s="3">
        <v>0.8730324074074074</v>
      </c>
      <c r="D6959" s="1">
        <v>12.820096</v>
      </c>
      <c r="E6959" s="1">
        <v>80.036728</v>
      </c>
      <c r="F6959" s="1">
        <v>2846.0</v>
      </c>
      <c r="G6959" s="1">
        <v>49.0</v>
      </c>
    </row>
    <row r="6960">
      <c r="A6960" s="1" t="s">
        <v>7</v>
      </c>
      <c r="B6960" s="2">
        <v>44732.0</v>
      </c>
      <c r="C6960" s="3">
        <v>0.8732175925925926</v>
      </c>
      <c r="D6960" s="1">
        <v>12.821807</v>
      </c>
      <c r="E6960" s="1">
        <v>80.037908</v>
      </c>
      <c r="F6960" s="1">
        <v>2846.0</v>
      </c>
      <c r="G6960" s="1">
        <v>48.0</v>
      </c>
    </row>
    <row r="6961">
      <c r="A6961" s="1" t="s">
        <v>7</v>
      </c>
      <c r="B6961" s="2">
        <v>44732.0</v>
      </c>
      <c r="C6961" s="3">
        <v>0.8735648148148148</v>
      </c>
      <c r="D6961" s="1">
        <v>12.825258</v>
      </c>
      <c r="E6961" s="1">
        <v>80.04037</v>
      </c>
      <c r="F6961" s="1">
        <v>2846.0</v>
      </c>
      <c r="G6961" s="1">
        <v>58.0</v>
      </c>
    </row>
    <row r="6962">
      <c r="A6962" s="1" t="s">
        <v>7</v>
      </c>
      <c r="B6962" s="2">
        <v>44732.0</v>
      </c>
      <c r="C6962" s="3">
        <v>0.87375</v>
      </c>
      <c r="D6962" s="1">
        <v>12.827071</v>
      </c>
      <c r="E6962" s="1">
        <v>80.04188</v>
      </c>
      <c r="F6962" s="1">
        <v>2846.0</v>
      </c>
      <c r="G6962" s="1">
        <v>58.0</v>
      </c>
    </row>
    <row r="6963">
      <c r="A6963" s="1" t="s">
        <v>8</v>
      </c>
      <c r="B6963" s="2">
        <v>44732.0</v>
      </c>
      <c r="C6963" s="3">
        <v>0.8744328703703703</v>
      </c>
      <c r="D6963" s="1">
        <v>12.831588</v>
      </c>
      <c r="E6963" s="1">
        <v>80.046646</v>
      </c>
      <c r="F6963" s="1">
        <v>2846.0</v>
      </c>
      <c r="G6963" s="1">
        <v>57.0</v>
      </c>
    </row>
    <row r="6964">
      <c r="A6964" s="1" t="s">
        <v>7</v>
      </c>
      <c r="B6964" s="2">
        <v>44732.0</v>
      </c>
      <c r="C6964" s="3">
        <v>0.8746643518518519</v>
      </c>
      <c r="D6964" s="1">
        <v>12.834674</v>
      </c>
      <c r="E6964" s="1">
        <v>80.049904</v>
      </c>
      <c r="F6964" s="1">
        <v>2846.0</v>
      </c>
      <c r="G6964" s="1">
        <v>48.0</v>
      </c>
    </row>
    <row r="6965">
      <c r="A6965" s="1" t="s">
        <v>7</v>
      </c>
      <c r="B6965" s="2">
        <v>44732.0</v>
      </c>
      <c r="C6965" s="3">
        <v>0.8748726851851852</v>
      </c>
      <c r="D6965" s="1">
        <v>12.836149</v>
      </c>
      <c r="E6965" s="1">
        <v>80.051408</v>
      </c>
      <c r="F6965" s="1">
        <v>2846.0</v>
      </c>
      <c r="G6965" s="1">
        <v>56.0</v>
      </c>
    </row>
    <row r="6966">
      <c r="A6966" s="1" t="s">
        <v>7</v>
      </c>
      <c r="B6966" s="2">
        <v>44732.0</v>
      </c>
      <c r="C6966" s="3">
        <v>0.8762268518518519</v>
      </c>
      <c r="D6966" s="1">
        <v>12.844545</v>
      </c>
      <c r="E6966" s="1">
        <v>80.060318</v>
      </c>
      <c r="F6966" s="1">
        <v>2846.0</v>
      </c>
      <c r="G6966" s="1">
        <v>40.0</v>
      </c>
    </row>
    <row r="6967">
      <c r="A6967" s="1" t="s">
        <v>7</v>
      </c>
      <c r="B6967" s="2">
        <v>44732.0</v>
      </c>
      <c r="C6967" s="3">
        <v>0.8764699074074074</v>
      </c>
      <c r="D6967" s="1">
        <v>12.845935</v>
      </c>
      <c r="E6967" s="1">
        <v>80.061642</v>
      </c>
      <c r="F6967" s="1">
        <v>2846.0</v>
      </c>
      <c r="G6967" s="1">
        <v>53.0</v>
      </c>
    </row>
    <row r="6968">
      <c r="A6968" s="1" t="s">
        <v>8</v>
      </c>
      <c r="B6968" s="2">
        <v>44732.0</v>
      </c>
      <c r="C6968" s="3">
        <v>0.8765046296296296</v>
      </c>
      <c r="D6968" s="1">
        <v>12.845935</v>
      </c>
      <c r="E6968" s="1">
        <v>80.061642</v>
      </c>
      <c r="F6968" s="1">
        <v>2846.0</v>
      </c>
      <c r="G6968" s="1">
        <v>53.0</v>
      </c>
    </row>
    <row r="6969">
      <c r="A6969" s="1" t="s">
        <v>8</v>
      </c>
      <c r="B6969" s="2">
        <v>44732.0</v>
      </c>
      <c r="C6969" s="3">
        <v>0.8766898148148148</v>
      </c>
      <c r="D6969" s="1">
        <v>12.847864</v>
      </c>
      <c r="E6969" s="1">
        <v>80.063147</v>
      </c>
      <c r="F6969" s="1">
        <v>2846.0</v>
      </c>
      <c r="G6969" s="1">
        <v>60.0</v>
      </c>
    </row>
    <row r="6970">
      <c r="A6970" s="1" t="s">
        <v>8</v>
      </c>
      <c r="B6970" s="2">
        <v>44732.0</v>
      </c>
      <c r="C6970" s="3">
        <v>0.8771180555555556</v>
      </c>
      <c r="D6970" s="1">
        <v>12.852813</v>
      </c>
      <c r="E6970" s="1">
        <v>80.066732</v>
      </c>
      <c r="F6970" s="1">
        <v>2846.0</v>
      </c>
      <c r="G6970" s="1">
        <v>42.0</v>
      </c>
    </row>
    <row r="6971">
      <c r="A6971" s="1" t="s">
        <v>9</v>
      </c>
      <c r="B6971" s="2">
        <v>44732.0</v>
      </c>
      <c r="C6971" s="3">
        <v>0.8774768518518519</v>
      </c>
      <c r="D6971" s="1">
        <v>12.854226</v>
      </c>
      <c r="E6971" s="1">
        <v>80.067776</v>
      </c>
      <c r="F6971" s="1">
        <v>2846.0</v>
      </c>
      <c r="G6971" s="1">
        <v>41.0</v>
      </c>
    </row>
    <row r="6972">
      <c r="A6972" s="1" t="s">
        <v>7</v>
      </c>
      <c r="B6972" s="2">
        <v>44732.0</v>
      </c>
      <c r="C6972" s="3">
        <v>0.8782291666666666</v>
      </c>
      <c r="D6972" s="1">
        <v>12.859799</v>
      </c>
      <c r="E6972" s="1">
        <v>80.071906</v>
      </c>
      <c r="F6972" s="1">
        <v>2846.0</v>
      </c>
      <c r="G6972" s="1">
        <v>15.0</v>
      </c>
    </row>
    <row r="6973">
      <c r="A6973" s="1" t="s">
        <v>7</v>
      </c>
      <c r="B6973" s="2">
        <v>44732.0</v>
      </c>
      <c r="C6973" s="3">
        <v>0.8783333333333333</v>
      </c>
      <c r="D6973" s="1">
        <v>12.860597</v>
      </c>
      <c r="E6973" s="1">
        <v>80.072448</v>
      </c>
      <c r="F6973" s="1">
        <v>2846.0</v>
      </c>
      <c r="G6973" s="1">
        <v>32.0</v>
      </c>
    </row>
    <row r="6974">
      <c r="A6974" s="1" t="s">
        <v>8</v>
      </c>
      <c r="B6974" s="2">
        <v>44732.0</v>
      </c>
      <c r="C6974" s="3">
        <v>0.8789467592592592</v>
      </c>
      <c r="D6974" s="1">
        <v>12.865671</v>
      </c>
      <c r="E6974" s="1">
        <v>80.074732</v>
      </c>
      <c r="F6974" s="1">
        <v>2846.0</v>
      </c>
      <c r="G6974" s="1">
        <v>42.0</v>
      </c>
    </row>
    <row r="6975">
      <c r="A6975" s="1" t="s">
        <v>8</v>
      </c>
      <c r="B6975" s="2">
        <v>44732.0</v>
      </c>
      <c r="C6975" s="3">
        <v>0.8790625</v>
      </c>
      <c r="D6975" s="1">
        <v>12.866449</v>
      </c>
      <c r="E6975" s="1">
        <v>80.074991</v>
      </c>
      <c r="F6975" s="1">
        <v>2846.0</v>
      </c>
      <c r="G6975" s="1">
        <v>15.0</v>
      </c>
    </row>
    <row r="6976">
      <c r="A6976" s="1" t="s">
        <v>7</v>
      </c>
      <c r="B6976" s="2">
        <v>44732.0</v>
      </c>
      <c r="C6976" s="3">
        <v>0.8797453703703704</v>
      </c>
      <c r="D6976" s="1">
        <v>12.871893</v>
      </c>
      <c r="E6976" s="1">
        <v>80.07718</v>
      </c>
      <c r="F6976" s="1">
        <v>2846.0</v>
      </c>
      <c r="G6976" s="1">
        <v>48.0</v>
      </c>
    </row>
    <row r="6977">
      <c r="A6977" s="1" t="s">
        <v>7</v>
      </c>
      <c r="B6977" s="2">
        <v>44733.0</v>
      </c>
      <c r="C6977" s="3">
        <v>0.23902777777777778</v>
      </c>
      <c r="D6977" s="1">
        <v>12.872991</v>
      </c>
      <c r="E6977" s="1">
        <v>80.077832</v>
      </c>
      <c r="F6977" s="1">
        <v>2846.0</v>
      </c>
      <c r="G6977" s="1">
        <v>51.0</v>
      </c>
    </row>
    <row r="6978">
      <c r="A6978" s="1" t="s">
        <v>7</v>
      </c>
      <c r="B6978" s="2">
        <v>44733.0</v>
      </c>
      <c r="C6978" s="3">
        <v>0.2408449074074074</v>
      </c>
      <c r="D6978" s="1">
        <v>12.856131</v>
      </c>
      <c r="E6978" s="1">
        <v>80.069379</v>
      </c>
      <c r="F6978" s="1">
        <v>2846.0</v>
      </c>
      <c r="G6978" s="1">
        <v>50.0</v>
      </c>
    </row>
    <row r="6979">
      <c r="A6979" s="1" t="s">
        <v>7</v>
      </c>
      <c r="B6979" s="2">
        <v>44733.0</v>
      </c>
      <c r="C6979" s="3">
        <v>0.24114583333333334</v>
      </c>
      <c r="D6979" s="1">
        <v>12.853022</v>
      </c>
      <c r="E6979" s="1">
        <v>80.067047</v>
      </c>
      <c r="F6979" s="1">
        <v>2846.0</v>
      </c>
      <c r="G6979" s="1">
        <v>52.0</v>
      </c>
    </row>
    <row r="6980">
      <c r="A6980" s="1" t="s">
        <v>7</v>
      </c>
      <c r="B6980" s="2">
        <v>44733.0</v>
      </c>
      <c r="C6980" s="3">
        <v>0.2415162037037037</v>
      </c>
      <c r="D6980" s="1">
        <v>12.849853</v>
      </c>
      <c r="E6980" s="1">
        <v>80.064807</v>
      </c>
      <c r="F6980" s="1">
        <v>2846.0</v>
      </c>
      <c r="G6980" s="1">
        <v>50.0</v>
      </c>
    </row>
    <row r="6981">
      <c r="A6981" s="1" t="s">
        <v>7</v>
      </c>
      <c r="B6981" s="2">
        <v>44733.0</v>
      </c>
      <c r="C6981" s="3">
        <v>0.24233796296296295</v>
      </c>
      <c r="D6981" s="1">
        <v>12.843408</v>
      </c>
      <c r="E6981" s="1">
        <v>80.059246</v>
      </c>
      <c r="F6981" s="1">
        <v>2846.0</v>
      </c>
      <c r="G6981" s="1">
        <v>47.0</v>
      </c>
    </row>
    <row r="6982">
      <c r="A6982" s="1" t="s">
        <v>7</v>
      </c>
      <c r="B6982" s="2">
        <v>44733.0</v>
      </c>
      <c r="C6982" s="3">
        <v>0.24381944444444445</v>
      </c>
      <c r="D6982" s="1">
        <v>12.831179</v>
      </c>
      <c r="E6982" s="1">
        <v>80.046399</v>
      </c>
      <c r="F6982" s="1">
        <v>2846.0</v>
      </c>
      <c r="G6982" s="1">
        <v>53.0</v>
      </c>
    </row>
    <row r="6983">
      <c r="A6983" s="1" t="s">
        <v>7</v>
      </c>
      <c r="B6983" s="2">
        <v>44733.0</v>
      </c>
      <c r="C6983" s="3">
        <v>0.24405092592592592</v>
      </c>
      <c r="D6983" s="1">
        <v>12.829336</v>
      </c>
      <c r="E6983" s="1">
        <v>80.044411</v>
      </c>
      <c r="F6983" s="1">
        <v>2846.0</v>
      </c>
      <c r="G6983" s="1">
        <v>53.0</v>
      </c>
    </row>
    <row r="6984">
      <c r="A6984" s="1" t="s">
        <v>7</v>
      </c>
      <c r="B6984" s="2">
        <v>44733.0</v>
      </c>
      <c r="C6984" s="3">
        <v>0.2441435185185185</v>
      </c>
      <c r="D6984" s="1">
        <v>12.82838</v>
      </c>
      <c r="E6984" s="1">
        <v>80.043429</v>
      </c>
      <c r="F6984" s="1">
        <v>2846.0</v>
      </c>
      <c r="G6984" s="1">
        <v>53.0</v>
      </c>
    </row>
    <row r="6985">
      <c r="A6985" s="1" t="s">
        <v>7</v>
      </c>
      <c r="B6985" s="2">
        <v>44733.0</v>
      </c>
      <c r="C6985" s="3">
        <v>0.24417824074074074</v>
      </c>
      <c r="D6985" s="1">
        <v>12.878334</v>
      </c>
      <c r="E6985" s="1">
        <v>80.082329</v>
      </c>
      <c r="F6985" s="1">
        <v>5339.0</v>
      </c>
      <c r="G6985" s="1">
        <v>46.0</v>
      </c>
    </row>
    <row r="6986">
      <c r="A6986" s="1" t="s">
        <v>7</v>
      </c>
      <c r="B6986" s="2">
        <v>44733.0</v>
      </c>
      <c r="C6986" s="3">
        <v>0.24466435185185184</v>
      </c>
      <c r="D6986" s="1">
        <v>12.824272</v>
      </c>
      <c r="E6986" s="1">
        <v>80.03983</v>
      </c>
      <c r="F6986" s="1">
        <v>2846.0</v>
      </c>
      <c r="G6986" s="1">
        <v>56.0</v>
      </c>
    </row>
    <row r="6987">
      <c r="A6987" s="1" t="s">
        <v>7</v>
      </c>
      <c r="B6987" s="2">
        <v>44733.0</v>
      </c>
      <c r="C6987" s="3">
        <v>0.24488425925925925</v>
      </c>
      <c r="D6987" s="1">
        <v>12.822091</v>
      </c>
      <c r="E6987" s="1">
        <v>80.038319</v>
      </c>
      <c r="F6987" s="1">
        <v>2846.0</v>
      </c>
      <c r="G6987" s="1">
        <v>49.0</v>
      </c>
    </row>
    <row r="6988">
      <c r="A6988" s="1" t="s">
        <v>7</v>
      </c>
      <c r="B6988" s="2">
        <v>44733.0</v>
      </c>
      <c r="C6988" s="3">
        <v>0.24585648148148148</v>
      </c>
      <c r="D6988" s="1">
        <v>12.890228</v>
      </c>
      <c r="E6988" s="1">
        <v>80.084546</v>
      </c>
      <c r="F6988" s="1">
        <v>5339.0</v>
      </c>
      <c r="G6988" s="1">
        <v>52.0</v>
      </c>
    </row>
    <row r="6989">
      <c r="A6989" s="1" t="s">
        <v>7</v>
      </c>
      <c r="B6989" s="2">
        <v>44733.0</v>
      </c>
      <c r="C6989" s="3">
        <v>0.24594907407407407</v>
      </c>
      <c r="D6989" s="1">
        <v>12.890228</v>
      </c>
      <c r="E6989" s="1">
        <v>80.084546</v>
      </c>
      <c r="F6989" s="1">
        <v>5339.0</v>
      </c>
      <c r="G6989" s="1">
        <v>52.0</v>
      </c>
    </row>
    <row r="6990">
      <c r="A6990" s="1" t="s">
        <v>7</v>
      </c>
      <c r="B6990" s="2">
        <v>44733.0</v>
      </c>
      <c r="C6990" s="3">
        <v>0.2461574074074074</v>
      </c>
      <c r="D6990" s="1">
        <v>12.892769</v>
      </c>
      <c r="E6990" s="1">
        <v>80.08593</v>
      </c>
      <c r="F6990" s="1">
        <v>5339.0</v>
      </c>
      <c r="G6990" s="1">
        <v>58.0</v>
      </c>
    </row>
    <row r="6991">
      <c r="A6991" s="1" t="s">
        <v>7</v>
      </c>
      <c r="B6991" s="2">
        <v>44733.0</v>
      </c>
      <c r="C6991" s="3">
        <v>0.24708333333333332</v>
      </c>
      <c r="D6991" s="1">
        <v>12.902181</v>
      </c>
      <c r="E6991" s="1">
        <v>80.093007</v>
      </c>
      <c r="F6991" s="1">
        <v>5339.0</v>
      </c>
      <c r="G6991" s="1">
        <v>58.0</v>
      </c>
    </row>
    <row r="6992">
      <c r="A6992" s="1" t="s">
        <v>8</v>
      </c>
      <c r="B6992" s="2">
        <v>44733.0</v>
      </c>
      <c r="C6992" s="3">
        <v>0.24744212962962964</v>
      </c>
      <c r="D6992" s="1">
        <v>12.905692</v>
      </c>
      <c r="E6992" s="1">
        <v>80.09556</v>
      </c>
      <c r="F6992" s="1">
        <v>5339.0</v>
      </c>
      <c r="G6992" s="1">
        <v>47.0</v>
      </c>
    </row>
    <row r="6993">
      <c r="A6993" s="1" t="s">
        <v>8</v>
      </c>
      <c r="B6993" s="2">
        <v>44733.0</v>
      </c>
      <c r="C6993" s="3">
        <v>0.24758101851851852</v>
      </c>
      <c r="D6993" s="1">
        <v>12.906628</v>
      </c>
      <c r="E6993" s="1">
        <v>80.096264</v>
      </c>
      <c r="F6993" s="1">
        <v>5339.0</v>
      </c>
      <c r="G6993" s="1">
        <v>48.0</v>
      </c>
    </row>
    <row r="6994">
      <c r="A6994" s="1" t="s">
        <v>7</v>
      </c>
      <c r="B6994" s="2">
        <v>44733.0</v>
      </c>
      <c r="C6994" s="3">
        <v>0.2476736111111111</v>
      </c>
      <c r="D6994" s="1">
        <v>12.798423</v>
      </c>
      <c r="E6994" s="1">
        <v>80.02241</v>
      </c>
      <c r="F6994" s="1">
        <v>2846.0</v>
      </c>
      <c r="G6994" s="1">
        <v>51.0</v>
      </c>
    </row>
    <row r="6995">
      <c r="A6995" s="1" t="s">
        <v>8</v>
      </c>
      <c r="B6995" s="2">
        <v>44733.0</v>
      </c>
      <c r="C6995" s="3">
        <v>0.24842592592592594</v>
      </c>
      <c r="D6995" s="1">
        <v>12.911917</v>
      </c>
      <c r="E6995" s="1">
        <v>80.101372</v>
      </c>
      <c r="F6995" s="1">
        <v>5339.0</v>
      </c>
      <c r="G6995" s="1">
        <v>46.0</v>
      </c>
    </row>
    <row r="6996">
      <c r="A6996" s="1" t="s">
        <v>7</v>
      </c>
      <c r="B6996" s="2">
        <v>44733.0</v>
      </c>
      <c r="C6996" s="3">
        <v>0.24886574074074075</v>
      </c>
      <c r="D6996" s="1">
        <v>12.915769</v>
      </c>
      <c r="E6996" s="1">
        <v>80.104294</v>
      </c>
      <c r="F6996" s="1">
        <v>5339.0</v>
      </c>
      <c r="G6996" s="1">
        <v>55.0</v>
      </c>
    </row>
    <row r="6997">
      <c r="A6997" s="1" t="s">
        <v>7</v>
      </c>
      <c r="B6997" s="2">
        <v>44733.0</v>
      </c>
      <c r="C6997" s="3">
        <v>0.24893518518518518</v>
      </c>
      <c r="D6997" s="1">
        <v>12.915769</v>
      </c>
      <c r="E6997" s="1">
        <v>80.104294</v>
      </c>
      <c r="F6997" s="1">
        <v>5339.0</v>
      </c>
      <c r="G6997" s="1">
        <v>55.0</v>
      </c>
    </row>
    <row r="6998">
      <c r="A6998" s="1" t="s">
        <v>8</v>
      </c>
      <c r="B6998" s="2">
        <v>44733.0</v>
      </c>
      <c r="C6998" s="3">
        <v>0.2491087962962963</v>
      </c>
      <c r="D6998" s="1">
        <v>12.916829</v>
      </c>
      <c r="E6998" s="1">
        <v>80.106686</v>
      </c>
      <c r="F6998" s="1">
        <v>5339.0</v>
      </c>
      <c r="G6998" s="1">
        <v>49.0</v>
      </c>
    </row>
    <row r="6999">
      <c r="A6999" s="1" t="s">
        <v>7</v>
      </c>
      <c r="B6999" s="2">
        <v>44733.0</v>
      </c>
      <c r="C6999" s="3">
        <v>0.2494560185185185</v>
      </c>
      <c r="D6999" s="1">
        <v>12.780667</v>
      </c>
      <c r="E6999" s="1">
        <v>80.012053</v>
      </c>
      <c r="F6999" s="1">
        <v>2846.0</v>
      </c>
      <c r="G6999" s="1">
        <v>51.0</v>
      </c>
    </row>
    <row r="7000">
      <c r="A7000" s="1" t="s">
        <v>8</v>
      </c>
      <c r="B7000" s="2">
        <v>44733.0</v>
      </c>
      <c r="C7000" s="3">
        <v>0.2496875</v>
      </c>
      <c r="D7000" s="1">
        <v>12.919814</v>
      </c>
      <c r="E7000" s="1">
        <v>80.110752</v>
      </c>
      <c r="F7000" s="1">
        <v>5339.0</v>
      </c>
      <c r="G7000" s="1">
        <v>41.0</v>
      </c>
    </row>
    <row r="7001">
      <c r="A7001" s="1" t="s">
        <v>8</v>
      </c>
      <c r="B7001" s="2">
        <v>44733.0</v>
      </c>
      <c r="C7001" s="3">
        <v>0.2498263888888889</v>
      </c>
      <c r="D7001" s="1">
        <v>12.920535</v>
      </c>
      <c r="E7001" s="1">
        <v>80.111563</v>
      </c>
      <c r="F7001" s="1">
        <v>5339.0</v>
      </c>
      <c r="G7001" s="1">
        <v>40.0</v>
      </c>
    </row>
    <row r="7002">
      <c r="A7002" s="1" t="s">
        <v>7</v>
      </c>
      <c r="B7002" s="2">
        <v>44733.0</v>
      </c>
      <c r="C7002" s="3">
        <v>0.2501041666666667</v>
      </c>
      <c r="D7002" s="1">
        <v>12.922118</v>
      </c>
      <c r="E7002" s="1">
        <v>80.11316</v>
      </c>
      <c r="F7002" s="1">
        <v>5339.0</v>
      </c>
      <c r="G7002" s="1">
        <v>53.0</v>
      </c>
    </row>
    <row r="7003">
      <c r="A7003" s="1" t="s">
        <v>8</v>
      </c>
      <c r="B7003" s="2">
        <v>44733.0</v>
      </c>
      <c r="C7003" s="3">
        <v>0.2504513888888889</v>
      </c>
      <c r="D7003" s="1">
        <v>12.925036</v>
      </c>
      <c r="E7003" s="1">
        <v>80.116136</v>
      </c>
      <c r="F7003" s="1">
        <v>5339.0</v>
      </c>
      <c r="G7003" s="1">
        <v>57.0</v>
      </c>
    </row>
    <row r="7004">
      <c r="A7004" s="1" t="s">
        <v>7</v>
      </c>
      <c r="B7004" s="2">
        <v>44733.0</v>
      </c>
      <c r="C7004" s="3">
        <v>0.2506365740740741</v>
      </c>
      <c r="D7004" s="1">
        <v>12.76875</v>
      </c>
      <c r="E7004" s="1">
        <v>80.006628</v>
      </c>
      <c r="F7004" s="1">
        <v>2846.0</v>
      </c>
      <c r="G7004" s="1">
        <v>53.0</v>
      </c>
    </row>
    <row r="7005">
      <c r="A7005" s="1" t="s">
        <v>7</v>
      </c>
      <c r="B7005" s="2">
        <v>44733.0</v>
      </c>
      <c r="C7005" s="3">
        <v>0.2523611111111111</v>
      </c>
      <c r="D7005" s="1">
        <v>12.934361</v>
      </c>
      <c r="E7005" s="1">
        <v>80.125479</v>
      </c>
      <c r="F7005" s="1">
        <v>5339.0</v>
      </c>
      <c r="G7005" s="1">
        <v>58.0</v>
      </c>
    </row>
    <row r="7006">
      <c r="A7006" s="1" t="s">
        <v>8</v>
      </c>
      <c r="B7006" s="2">
        <v>44733.0</v>
      </c>
      <c r="C7006" s="3">
        <v>0.2528472222222222</v>
      </c>
      <c r="D7006" s="1">
        <v>12.936944</v>
      </c>
      <c r="E7006" s="1">
        <v>80.12777</v>
      </c>
      <c r="F7006" s="1">
        <v>5339.0</v>
      </c>
      <c r="G7006" s="1">
        <v>44.0</v>
      </c>
    </row>
    <row r="7007">
      <c r="A7007" s="1" t="s">
        <v>7</v>
      </c>
      <c r="B7007" s="2">
        <v>44733.0</v>
      </c>
      <c r="C7007" s="3">
        <v>0.253912037037037</v>
      </c>
      <c r="D7007" s="1">
        <v>12.946014</v>
      </c>
      <c r="E7007" s="1">
        <v>80.136074</v>
      </c>
      <c r="F7007" s="1">
        <v>5339.0</v>
      </c>
      <c r="G7007" s="1">
        <v>53.0</v>
      </c>
    </row>
    <row r="7008">
      <c r="A7008" s="1" t="s">
        <v>7</v>
      </c>
      <c r="B7008" s="2">
        <v>44733.0</v>
      </c>
      <c r="C7008" s="3">
        <v>0.2541087962962963</v>
      </c>
      <c r="D7008" s="1">
        <v>12.948136</v>
      </c>
      <c r="E7008" s="1">
        <v>80.137632</v>
      </c>
      <c r="F7008" s="1">
        <v>5339.0</v>
      </c>
      <c r="G7008" s="1">
        <v>52.0</v>
      </c>
    </row>
    <row r="7009">
      <c r="A7009" s="1" t="s">
        <v>8</v>
      </c>
      <c r="B7009" s="2">
        <v>44733.0</v>
      </c>
      <c r="C7009" s="3">
        <v>0.25482638888888887</v>
      </c>
      <c r="D7009" s="1">
        <v>12.950788</v>
      </c>
      <c r="E7009" s="1">
        <v>80.139712</v>
      </c>
      <c r="F7009" s="1">
        <v>5339.0</v>
      </c>
      <c r="G7009" s="1">
        <v>25.0</v>
      </c>
    </row>
    <row r="7010">
      <c r="A7010" s="1" t="s">
        <v>8</v>
      </c>
      <c r="B7010" s="2">
        <v>44733.0</v>
      </c>
      <c r="C7010" s="3">
        <v>0.2553472222222222</v>
      </c>
      <c r="D7010" s="1">
        <v>12.953375</v>
      </c>
      <c r="E7010" s="1">
        <v>80.141577</v>
      </c>
      <c r="F7010" s="1">
        <v>5339.0</v>
      </c>
      <c r="G7010" s="1">
        <v>35.0</v>
      </c>
    </row>
    <row r="7011">
      <c r="A7011" s="1" t="s">
        <v>8</v>
      </c>
      <c r="B7011" s="2">
        <v>44733.0</v>
      </c>
      <c r="C7011" s="3">
        <v>0.2556365740740741</v>
      </c>
      <c r="D7011" s="1">
        <v>12.955282</v>
      </c>
      <c r="E7011" s="1">
        <v>80.142617</v>
      </c>
      <c r="F7011" s="1">
        <v>5339.0</v>
      </c>
      <c r="G7011" s="1">
        <v>40.0</v>
      </c>
    </row>
    <row r="7012">
      <c r="A7012" s="1" t="s">
        <v>7</v>
      </c>
      <c r="B7012" s="2">
        <v>44733.0</v>
      </c>
      <c r="C7012" s="3">
        <v>0.2560763888888889</v>
      </c>
      <c r="D7012" s="1">
        <v>12.959368</v>
      </c>
      <c r="E7012" s="1">
        <v>80.144807</v>
      </c>
      <c r="F7012" s="1">
        <v>5339.0</v>
      </c>
      <c r="G7012" s="1">
        <v>54.0</v>
      </c>
    </row>
    <row r="7013">
      <c r="A7013" s="1" t="s">
        <v>7</v>
      </c>
      <c r="B7013" s="2">
        <v>44733.0</v>
      </c>
      <c r="C7013" s="3">
        <v>0.2567013888888889</v>
      </c>
      <c r="D7013" s="1">
        <v>12.965421</v>
      </c>
      <c r="E7013" s="1">
        <v>80.148152</v>
      </c>
      <c r="F7013" s="1">
        <v>5339.0</v>
      </c>
      <c r="G7013" s="1">
        <v>53.0</v>
      </c>
    </row>
    <row r="7014">
      <c r="A7014" s="1" t="s">
        <v>7</v>
      </c>
      <c r="B7014" s="2">
        <v>44733.0</v>
      </c>
      <c r="C7014" s="3">
        <v>0.2569212962962963</v>
      </c>
      <c r="D7014" s="1">
        <v>12.719992</v>
      </c>
      <c r="E7014" s="1">
        <v>79.98122</v>
      </c>
      <c r="F7014" s="1">
        <v>2846.0</v>
      </c>
      <c r="G7014" s="1">
        <v>54.0</v>
      </c>
    </row>
    <row r="7015">
      <c r="A7015" s="1" t="s">
        <v>7</v>
      </c>
      <c r="B7015" s="2">
        <v>44733.0</v>
      </c>
      <c r="C7015" s="3">
        <v>0.2570949074074074</v>
      </c>
      <c r="D7015" s="1">
        <v>12.717101</v>
      </c>
      <c r="E7015" s="1">
        <v>79.980926</v>
      </c>
      <c r="F7015" s="1">
        <v>2846.0</v>
      </c>
      <c r="G7015" s="1">
        <v>55.0</v>
      </c>
    </row>
    <row r="7016">
      <c r="A7016" s="1" t="s">
        <v>7</v>
      </c>
      <c r="B7016" s="2">
        <v>44733.0</v>
      </c>
      <c r="C7016" s="3">
        <v>0.25710648148148146</v>
      </c>
      <c r="D7016" s="1">
        <v>12.970428</v>
      </c>
      <c r="E7016" s="1">
        <v>80.150557</v>
      </c>
      <c r="F7016" s="1">
        <v>5339.0</v>
      </c>
      <c r="G7016" s="1">
        <v>58.0</v>
      </c>
    </row>
    <row r="7017">
      <c r="A7017" s="1" t="s">
        <v>7</v>
      </c>
      <c r="B7017" s="2">
        <v>44733.0</v>
      </c>
      <c r="C7017" s="3">
        <v>0.2575115740740741</v>
      </c>
      <c r="D7017" s="1">
        <v>12.973588</v>
      </c>
      <c r="E7017" s="1">
        <v>80.153491</v>
      </c>
      <c r="F7017" s="1">
        <v>5339.0</v>
      </c>
      <c r="G7017" s="1">
        <v>57.0</v>
      </c>
    </row>
    <row r="7018">
      <c r="A7018" s="1" t="s">
        <v>7</v>
      </c>
      <c r="B7018" s="2">
        <v>44733.0</v>
      </c>
      <c r="C7018" s="3">
        <v>0.2575810185185185</v>
      </c>
      <c r="D7018" s="1">
        <v>12.7118</v>
      </c>
      <c r="E7018" s="1">
        <v>79.97911</v>
      </c>
      <c r="F7018" s="1">
        <v>2846.0</v>
      </c>
      <c r="G7018" s="1">
        <v>53.0</v>
      </c>
    </row>
    <row r="7019">
      <c r="A7019" s="1" t="s">
        <v>7</v>
      </c>
      <c r="B7019" s="2">
        <v>44733.0</v>
      </c>
      <c r="C7019" s="3">
        <v>0.2579398148148148</v>
      </c>
      <c r="D7019" s="1">
        <v>12.708721</v>
      </c>
      <c r="E7019" s="1">
        <v>79.977222</v>
      </c>
      <c r="F7019" s="1">
        <v>2846.0</v>
      </c>
      <c r="G7019" s="1">
        <v>52.0</v>
      </c>
    </row>
    <row r="7020">
      <c r="A7020" s="1" t="s">
        <v>7</v>
      </c>
      <c r="B7020" s="2">
        <v>44733.0</v>
      </c>
      <c r="C7020" s="3">
        <v>0.2584606481481482</v>
      </c>
      <c r="D7020" s="1">
        <v>12.703807</v>
      </c>
      <c r="E7020" s="1">
        <v>79.9723</v>
      </c>
      <c r="F7020" s="1">
        <v>2846.0</v>
      </c>
      <c r="G7020" s="1">
        <v>54.0</v>
      </c>
    </row>
    <row r="7021">
      <c r="A7021" s="1" t="s">
        <v>7</v>
      </c>
      <c r="B7021" s="2">
        <v>44733.0</v>
      </c>
      <c r="C7021" s="3">
        <v>0.25849537037037035</v>
      </c>
      <c r="D7021" s="1">
        <v>12.980275</v>
      </c>
      <c r="E7021" s="1">
        <v>80.164073</v>
      </c>
      <c r="F7021" s="1">
        <v>5339.0</v>
      </c>
      <c r="G7021" s="1">
        <v>54.0</v>
      </c>
    </row>
    <row r="7022">
      <c r="A7022" s="1" t="s">
        <v>7</v>
      </c>
      <c r="B7022" s="2">
        <v>44733.0</v>
      </c>
      <c r="C7022" s="3">
        <v>0.25864583333333335</v>
      </c>
      <c r="D7022" s="1">
        <v>12.702891</v>
      </c>
      <c r="E7022" s="1">
        <v>79.971148</v>
      </c>
      <c r="F7022" s="1">
        <v>2846.0</v>
      </c>
      <c r="G7022" s="1">
        <v>58.0</v>
      </c>
    </row>
    <row r="7023">
      <c r="A7023" s="1" t="s">
        <v>7</v>
      </c>
      <c r="B7023" s="2">
        <v>44733.0</v>
      </c>
      <c r="C7023" s="3">
        <v>0.2586921296296296</v>
      </c>
      <c r="D7023" s="1">
        <v>12.980728</v>
      </c>
      <c r="E7023" s="1">
        <v>80.165343</v>
      </c>
      <c r="F7023" s="1">
        <v>5339.0</v>
      </c>
      <c r="G7023" s="1">
        <v>47.0</v>
      </c>
    </row>
    <row r="7024">
      <c r="A7024" s="1" t="s">
        <v>7</v>
      </c>
      <c r="B7024" s="2">
        <v>44733.0</v>
      </c>
      <c r="C7024" s="3">
        <v>0.2588888888888889</v>
      </c>
      <c r="D7024" s="1">
        <v>12.700839</v>
      </c>
      <c r="E7024" s="1">
        <v>79.969089</v>
      </c>
      <c r="F7024" s="1">
        <v>2846.0</v>
      </c>
      <c r="G7024" s="1">
        <v>56.0</v>
      </c>
    </row>
    <row r="7025">
      <c r="A7025" s="1" t="s">
        <v>7</v>
      </c>
      <c r="B7025" s="2">
        <v>44733.0</v>
      </c>
      <c r="C7025" s="3">
        <v>0.2590046296296296</v>
      </c>
      <c r="D7025" s="1">
        <v>12.699559</v>
      </c>
      <c r="E7025" s="1">
        <v>79.968397</v>
      </c>
      <c r="F7025" s="1">
        <v>2846.0</v>
      </c>
      <c r="G7025" s="1">
        <v>59.0</v>
      </c>
    </row>
    <row r="7026">
      <c r="A7026" s="1" t="s">
        <v>7</v>
      </c>
      <c r="B7026" s="2">
        <v>44733.0</v>
      </c>
      <c r="C7026" s="3">
        <v>0.25930555555555557</v>
      </c>
      <c r="D7026" s="1">
        <v>12.695491</v>
      </c>
      <c r="E7026" s="1">
        <v>79.966148</v>
      </c>
      <c r="F7026" s="1">
        <v>2846.0</v>
      </c>
      <c r="G7026" s="1">
        <v>60.0</v>
      </c>
    </row>
    <row r="7027">
      <c r="A7027" s="1" t="s">
        <v>7</v>
      </c>
      <c r="B7027" s="2">
        <v>44733.0</v>
      </c>
      <c r="C7027" s="3">
        <v>0.25947916666666665</v>
      </c>
      <c r="D7027" s="1">
        <v>12.694204</v>
      </c>
      <c r="E7027" s="1">
        <v>79.965426</v>
      </c>
      <c r="F7027" s="1">
        <v>2846.0</v>
      </c>
      <c r="G7027" s="1">
        <v>56.0</v>
      </c>
    </row>
    <row r="7028">
      <c r="A7028" s="1" t="s">
        <v>7</v>
      </c>
      <c r="B7028" s="2">
        <v>44733.0</v>
      </c>
      <c r="C7028" s="3">
        <v>0.2596527777777778</v>
      </c>
      <c r="D7028" s="1">
        <v>12.691903</v>
      </c>
      <c r="E7028" s="1">
        <v>79.963945</v>
      </c>
      <c r="F7028" s="1">
        <v>2846.0</v>
      </c>
      <c r="G7028" s="1">
        <v>54.0</v>
      </c>
    </row>
    <row r="7029">
      <c r="A7029" s="1" t="s">
        <v>7</v>
      </c>
      <c r="B7029" s="2">
        <v>44733.0</v>
      </c>
      <c r="C7029" s="3">
        <v>0.2603009259259259</v>
      </c>
      <c r="D7029" s="1">
        <v>12.687384</v>
      </c>
      <c r="E7029" s="1">
        <v>79.959788</v>
      </c>
      <c r="F7029" s="1">
        <v>2846.0</v>
      </c>
      <c r="G7029" s="1">
        <v>52.0</v>
      </c>
    </row>
    <row r="7030">
      <c r="A7030" s="1" t="s">
        <v>8</v>
      </c>
      <c r="B7030" s="2">
        <v>44733.0</v>
      </c>
      <c r="C7030" s="3">
        <v>0.26037037037037036</v>
      </c>
      <c r="D7030" s="1">
        <v>12.881143</v>
      </c>
      <c r="E7030" s="1">
        <v>80.080615</v>
      </c>
      <c r="F7030" s="1">
        <v>805.0</v>
      </c>
      <c r="G7030" s="1">
        <v>14.0</v>
      </c>
    </row>
    <row r="7031">
      <c r="A7031" s="1" t="s">
        <v>8</v>
      </c>
      <c r="B7031" s="2">
        <v>44733.0</v>
      </c>
      <c r="C7031" s="3">
        <v>0.26077546296296295</v>
      </c>
      <c r="D7031" s="1">
        <v>12.884444</v>
      </c>
      <c r="E7031" s="1">
        <v>80.081844</v>
      </c>
      <c r="F7031" s="1">
        <v>805.0</v>
      </c>
      <c r="G7031" s="1">
        <v>44.0</v>
      </c>
    </row>
    <row r="7032">
      <c r="A7032" s="1" t="s">
        <v>8</v>
      </c>
      <c r="B7032" s="2">
        <v>44733.0</v>
      </c>
      <c r="C7032" s="3">
        <v>0.26104166666666667</v>
      </c>
      <c r="D7032" s="1">
        <v>12.992356</v>
      </c>
      <c r="E7032" s="1">
        <v>80.182537</v>
      </c>
      <c r="F7032" s="1">
        <v>5339.0</v>
      </c>
      <c r="G7032" s="1">
        <v>53.0</v>
      </c>
    </row>
    <row r="7033">
      <c r="A7033" s="1" t="s">
        <v>7</v>
      </c>
      <c r="B7033" s="2">
        <v>44733.0</v>
      </c>
      <c r="C7033" s="3">
        <v>0.2613773148148148</v>
      </c>
      <c r="D7033" s="1">
        <v>12.890654</v>
      </c>
      <c r="E7033" s="1">
        <v>80.08476</v>
      </c>
      <c r="F7033" s="1">
        <v>805.0</v>
      </c>
      <c r="G7033" s="1">
        <v>58.0</v>
      </c>
    </row>
    <row r="7034">
      <c r="A7034" s="1" t="s">
        <v>7</v>
      </c>
      <c r="B7034" s="2">
        <v>44733.0</v>
      </c>
      <c r="C7034" s="3">
        <v>0.2617939814814815</v>
      </c>
      <c r="D7034" s="1">
        <v>12.669714</v>
      </c>
      <c r="E7034" s="1">
        <v>79.958706</v>
      </c>
      <c r="F7034" s="1">
        <v>2846.0</v>
      </c>
      <c r="G7034" s="1">
        <v>50.0</v>
      </c>
    </row>
    <row r="7035">
      <c r="A7035" s="1" t="s">
        <v>7</v>
      </c>
      <c r="B7035" s="2">
        <v>44733.0</v>
      </c>
      <c r="C7035" s="3">
        <v>0.2619675925925926</v>
      </c>
      <c r="D7035" s="1">
        <v>12.670974</v>
      </c>
      <c r="E7035" s="1">
        <v>79.95868</v>
      </c>
      <c r="F7035" s="1">
        <v>2846.0</v>
      </c>
      <c r="G7035" s="1">
        <v>48.0</v>
      </c>
    </row>
    <row r="7036">
      <c r="A7036" s="1" t="s">
        <v>7</v>
      </c>
      <c r="B7036" s="2">
        <v>44733.0</v>
      </c>
      <c r="C7036" s="3">
        <v>0.26216435185185183</v>
      </c>
      <c r="D7036" s="1">
        <v>12.664669</v>
      </c>
      <c r="E7036" s="1">
        <v>79.960219</v>
      </c>
      <c r="F7036" s="1">
        <v>2846.0</v>
      </c>
      <c r="G7036" s="1">
        <v>55.0</v>
      </c>
    </row>
    <row r="7037">
      <c r="A7037" s="1" t="s">
        <v>8</v>
      </c>
      <c r="B7037" s="2">
        <v>44733.0</v>
      </c>
      <c r="C7037" s="3">
        <v>0.2623611111111111</v>
      </c>
      <c r="D7037" s="1">
        <v>12.901416</v>
      </c>
      <c r="E7037" s="1">
        <v>80.092405</v>
      </c>
      <c r="F7037" s="1">
        <v>805.0</v>
      </c>
      <c r="G7037" s="1">
        <v>53.0</v>
      </c>
    </row>
    <row r="7038">
      <c r="A7038" s="1" t="s">
        <v>7</v>
      </c>
      <c r="B7038" s="2">
        <v>44733.0</v>
      </c>
      <c r="C7038" s="3">
        <v>0.26243055555555556</v>
      </c>
      <c r="D7038" s="1">
        <v>12.664669</v>
      </c>
      <c r="E7038" s="1">
        <v>79.960219</v>
      </c>
      <c r="F7038" s="1">
        <v>2846.0</v>
      </c>
      <c r="G7038" s="1">
        <v>55.0</v>
      </c>
    </row>
    <row r="7039">
      <c r="A7039" s="1" t="s">
        <v>8</v>
      </c>
      <c r="B7039" s="2">
        <v>44733.0</v>
      </c>
      <c r="C7039" s="3">
        <v>0.26265046296296296</v>
      </c>
      <c r="D7039" s="1">
        <v>12.997311</v>
      </c>
      <c r="E7039" s="1">
        <v>80.19076</v>
      </c>
      <c r="F7039" s="1">
        <v>5339.0</v>
      </c>
      <c r="G7039" s="1">
        <v>42.0</v>
      </c>
    </row>
    <row r="7040">
      <c r="A7040" s="1" t="s">
        <v>7</v>
      </c>
      <c r="B7040" s="2">
        <v>44733.0</v>
      </c>
      <c r="C7040" s="3">
        <v>0.2627662037037037</v>
      </c>
      <c r="D7040" s="1">
        <v>12.659521</v>
      </c>
      <c r="E7040" s="1">
        <v>79.960477</v>
      </c>
      <c r="F7040" s="1">
        <v>2846.0</v>
      </c>
      <c r="G7040" s="1">
        <v>57.0</v>
      </c>
    </row>
    <row r="7041">
      <c r="A7041" s="1" t="s">
        <v>7</v>
      </c>
      <c r="B7041" s="2">
        <v>44733.0</v>
      </c>
      <c r="C7041" s="3">
        <v>0.26278935185185187</v>
      </c>
      <c r="D7041" s="1">
        <v>12.904786</v>
      </c>
      <c r="E7041" s="1">
        <v>80.094901</v>
      </c>
      <c r="F7041" s="1">
        <v>805.0</v>
      </c>
      <c r="G7041" s="1">
        <v>54.0</v>
      </c>
    </row>
    <row r="7042">
      <c r="A7042" s="1" t="s">
        <v>8</v>
      </c>
      <c r="B7042" s="2">
        <v>44733.0</v>
      </c>
      <c r="C7042" s="3">
        <v>0.2628240740740741</v>
      </c>
      <c r="D7042" s="1">
        <v>12.905916</v>
      </c>
      <c r="E7042" s="1">
        <v>80.095746</v>
      </c>
      <c r="F7042" s="1">
        <v>805.0</v>
      </c>
      <c r="G7042" s="1">
        <v>54.0</v>
      </c>
    </row>
    <row r="7043">
      <c r="A7043" s="1" t="s">
        <v>8</v>
      </c>
      <c r="B7043" s="2">
        <v>44733.0</v>
      </c>
      <c r="C7043" s="3">
        <v>0.26285879629629627</v>
      </c>
      <c r="D7043" s="1">
        <v>12.905916</v>
      </c>
      <c r="E7043" s="1">
        <v>80.095746</v>
      </c>
      <c r="F7043" s="1">
        <v>805.0</v>
      </c>
      <c r="G7043" s="1">
        <v>54.0</v>
      </c>
    </row>
    <row r="7044">
      <c r="A7044" s="1" t="s">
        <v>8</v>
      </c>
      <c r="B7044" s="2">
        <v>44733.0</v>
      </c>
      <c r="C7044" s="3">
        <v>0.26309027777777777</v>
      </c>
      <c r="D7044" s="1">
        <v>12.907937</v>
      </c>
      <c r="E7044" s="1">
        <v>80.097287</v>
      </c>
      <c r="F7044" s="1">
        <v>805.0</v>
      </c>
      <c r="G7044" s="1">
        <v>55.0</v>
      </c>
    </row>
    <row r="7045">
      <c r="A7045" s="1" t="s">
        <v>8</v>
      </c>
      <c r="B7045" s="2">
        <v>44733.0</v>
      </c>
      <c r="C7045" s="3">
        <v>0.26314814814814813</v>
      </c>
      <c r="D7045" s="1">
        <v>12.997311</v>
      </c>
      <c r="E7045" s="1">
        <v>80.19076</v>
      </c>
      <c r="F7045" s="1">
        <v>5339.0</v>
      </c>
      <c r="G7045" s="1">
        <v>42.0</v>
      </c>
    </row>
    <row r="7046">
      <c r="A7046" s="1" t="s">
        <v>8</v>
      </c>
      <c r="B7046" s="2">
        <v>44733.0</v>
      </c>
      <c r="C7046" s="3">
        <v>0.2632523148148148</v>
      </c>
      <c r="D7046" s="1">
        <v>12.997311</v>
      </c>
      <c r="E7046" s="1">
        <v>80.19076</v>
      </c>
      <c r="F7046" s="1">
        <v>5339.0</v>
      </c>
      <c r="G7046" s="1">
        <v>42.0</v>
      </c>
    </row>
    <row r="7047">
      <c r="A7047" s="1" t="s">
        <v>8</v>
      </c>
      <c r="B7047" s="2">
        <v>44733.0</v>
      </c>
      <c r="C7047" s="3">
        <v>0.2632638888888889</v>
      </c>
      <c r="D7047" s="1">
        <v>12.908849</v>
      </c>
      <c r="E7047" s="1">
        <v>80.098077</v>
      </c>
      <c r="F7047" s="1">
        <v>805.0</v>
      </c>
      <c r="G7047" s="1">
        <v>37.0</v>
      </c>
    </row>
    <row r="7048">
      <c r="A7048" s="1" t="s">
        <v>8</v>
      </c>
      <c r="B7048" s="2">
        <v>44733.0</v>
      </c>
      <c r="C7048" s="3">
        <v>0.26332175925925927</v>
      </c>
      <c r="D7048" s="1">
        <v>12.997311</v>
      </c>
      <c r="E7048" s="1">
        <v>80.19076</v>
      </c>
      <c r="F7048" s="1">
        <v>5339.0</v>
      </c>
      <c r="G7048" s="1">
        <v>42.0</v>
      </c>
    </row>
    <row r="7049">
      <c r="A7049" s="1" t="s">
        <v>8</v>
      </c>
      <c r="B7049" s="2">
        <v>44733.0</v>
      </c>
      <c r="C7049" s="3">
        <v>0.26337962962962963</v>
      </c>
      <c r="D7049" s="1">
        <v>12.909261</v>
      </c>
      <c r="E7049" s="1">
        <v>80.098666</v>
      </c>
      <c r="F7049" s="1">
        <v>805.0</v>
      </c>
      <c r="G7049" s="1">
        <v>29.0</v>
      </c>
    </row>
    <row r="7050">
      <c r="A7050" s="1" t="s">
        <v>8</v>
      </c>
      <c r="B7050" s="2">
        <v>44733.0</v>
      </c>
      <c r="C7050" s="3">
        <v>0.2634490740740741</v>
      </c>
      <c r="D7050" s="1">
        <v>12.997311</v>
      </c>
      <c r="E7050" s="1">
        <v>80.19076</v>
      </c>
      <c r="F7050" s="1">
        <v>5339.0</v>
      </c>
      <c r="G7050" s="1">
        <v>42.0</v>
      </c>
    </row>
    <row r="7051">
      <c r="A7051" s="1" t="s">
        <v>8</v>
      </c>
      <c r="B7051" s="2">
        <v>44733.0</v>
      </c>
      <c r="C7051" s="3">
        <v>0.2634490740740741</v>
      </c>
      <c r="D7051" s="1">
        <v>12.909668</v>
      </c>
      <c r="E7051" s="1">
        <v>80.09937</v>
      </c>
      <c r="F7051" s="1">
        <v>805.0</v>
      </c>
      <c r="G7051" s="1">
        <v>33.0</v>
      </c>
    </row>
    <row r="7052">
      <c r="A7052" s="1" t="s">
        <v>8</v>
      </c>
      <c r="B7052" s="2">
        <v>44733.0</v>
      </c>
      <c r="C7052" s="3">
        <v>0.26355324074074077</v>
      </c>
      <c r="D7052" s="1">
        <v>12.910133</v>
      </c>
      <c r="E7052" s="1">
        <v>80.100221</v>
      </c>
      <c r="F7052" s="1">
        <v>805.0</v>
      </c>
      <c r="G7052" s="1">
        <v>46.0</v>
      </c>
    </row>
    <row r="7053">
      <c r="A7053" s="1" t="s">
        <v>7</v>
      </c>
      <c r="B7053" s="2">
        <v>44733.0</v>
      </c>
      <c r="C7053" s="3">
        <v>0.2642939814814815</v>
      </c>
      <c r="D7053" s="1">
        <v>12.915724</v>
      </c>
      <c r="E7053" s="1">
        <v>80.10387</v>
      </c>
      <c r="F7053" s="1">
        <v>805.0</v>
      </c>
      <c r="G7053" s="1">
        <v>57.0</v>
      </c>
    </row>
    <row r="7054">
      <c r="A7054" s="1" t="s">
        <v>8</v>
      </c>
      <c r="B7054" s="2">
        <v>44733.0</v>
      </c>
      <c r="C7054" s="3">
        <v>0.26471064814814815</v>
      </c>
      <c r="D7054" s="1">
        <v>12.917551</v>
      </c>
      <c r="E7054" s="1">
        <v>80.10793</v>
      </c>
      <c r="F7054" s="1">
        <v>805.0</v>
      </c>
      <c r="G7054" s="1">
        <v>39.0</v>
      </c>
    </row>
    <row r="7055">
      <c r="A7055" s="1" t="s">
        <v>7</v>
      </c>
      <c r="B7055" s="2">
        <v>44733.0</v>
      </c>
      <c r="C7055" s="3">
        <v>0.2647685185185185</v>
      </c>
      <c r="D7055" s="1">
        <v>12.657053</v>
      </c>
      <c r="E7055" s="1">
        <v>79.942245</v>
      </c>
      <c r="F7055" s="1">
        <v>2846.0</v>
      </c>
      <c r="G7055" s="1">
        <v>53.0</v>
      </c>
    </row>
    <row r="7056">
      <c r="A7056" s="1" t="s">
        <v>7</v>
      </c>
      <c r="B7056" s="2">
        <v>44733.0</v>
      </c>
      <c r="C7056" s="3">
        <v>0.26483796296296297</v>
      </c>
      <c r="D7056" s="1">
        <v>12.917551</v>
      </c>
      <c r="E7056" s="1">
        <v>80.10793</v>
      </c>
      <c r="F7056" s="1">
        <v>805.0</v>
      </c>
      <c r="G7056" s="1">
        <v>39.0</v>
      </c>
    </row>
    <row r="7057">
      <c r="A7057" s="1" t="s">
        <v>7</v>
      </c>
      <c r="B7057" s="2">
        <v>44733.0</v>
      </c>
      <c r="C7057" s="3">
        <v>0.2649537037037037</v>
      </c>
      <c r="D7057" s="1">
        <v>12.654342</v>
      </c>
      <c r="E7057" s="1">
        <v>79.942116</v>
      </c>
      <c r="F7057" s="1">
        <v>2846.0</v>
      </c>
      <c r="G7057" s="1">
        <v>56.0</v>
      </c>
    </row>
    <row r="7058">
      <c r="A7058" s="1" t="s">
        <v>8</v>
      </c>
      <c r="B7058" s="2">
        <v>44733.0</v>
      </c>
      <c r="C7058" s="3">
        <v>0.2651967592592593</v>
      </c>
      <c r="D7058" s="1">
        <v>12.921008</v>
      </c>
      <c r="E7058" s="1">
        <v>80.112011</v>
      </c>
      <c r="F7058" s="1">
        <v>805.0</v>
      </c>
      <c r="G7058" s="1">
        <v>56.0</v>
      </c>
    </row>
    <row r="7059">
      <c r="A7059" s="1" t="s">
        <v>7</v>
      </c>
      <c r="B7059" s="2">
        <v>44733.0</v>
      </c>
      <c r="C7059" s="3">
        <v>0.26538194444444446</v>
      </c>
      <c r="D7059" s="1">
        <v>12.650479</v>
      </c>
      <c r="E7059" s="1">
        <v>79.941532</v>
      </c>
      <c r="F7059" s="1">
        <v>2846.0</v>
      </c>
      <c r="G7059" s="1">
        <v>51.0</v>
      </c>
    </row>
    <row r="7060">
      <c r="A7060" s="1" t="s">
        <v>8</v>
      </c>
      <c r="B7060" s="2">
        <v>44733.0</v>
      </c>
      <c r="C7060" s="3">
        <v>0.2654398148148148</v>
      </c>
      <c r="D7060" s="1">
        <v>12.649203</v>
      </c>
      <c r="E7060" s="1">
        <v>79.941124</v>
      </c>
      <c r="F7060" s="1">
        <v>2846.0</v>
      </c>
      <c r="G7060" s="1">
        <v>53.0</v>
      </c>
    </row>
    <row r="7061">
      <c r="A7061" s="1" t="s">
        <v>9</v>
      </c>
      <c r="B7061" s="2">
        <v>44733.0</v>
      </c>
      <c r="C7061" s="3">
        <v>0.26545138888888886</v>
      </c>
      <c r="D7061" s="1">
        <v>12.649203</v>
      </c>
      <c r="E7061" s="1">
        <v>79.941124</v>
      </c>
      <c r="F7061" s="1">
        <v>2846.0</v>
      </c>
      <c r="G7061" s="1">
        <v>53.0</v>
      </c>
    </row>
    <row r="7062">
      <c r="A7062" s="1" t="s">
        <v>7</v>
      </c>
      <c r="B7062" s="2">
        <v>44733.0</v>
      </c>
      <c r="C7062" s="3">
        <v>0.2655439814814815</v>
      </c>
      <c r="D7062" s="1">
        <v>12.923955</v>
      </c>
      <c r="E7062" s="1">
        <v>80.114993</v>
      </c>
      <c r="F7062" s="1">
        <v>805.0</v>
      </c>
      <c r="G7062" s="1">
        <v>53.0</v>
      </c>
    </row>
    <row r="7063">
      <c r="A7063" s="1" t="s">
        <v>8</v>
      </c>
      <c r="B7063" s="2">
        <v>44733.0</v>
      </c>
      <c r="C7063" s="3">
        <v>0.26555555555555554</v>
      </c>
      <c r="D7063" s="1">
        <v>12.923955</v>
      </c>
      <c r="E7063" s="1">
        <v>80.114993</v>
      </c>
      <c r="F7063" s="1">
        <v>805.0</v>
      </c>
      <c r="G7063" s="1">
        <v>53.0</v>
      </c>
    </row>
    <row r="7064">
      <c r="A7064" s="1" t="s">
        <v>7</v>
      </c>
      <c r="B7064" s="2">
        <v>44733.0</v>
      </c>
      <c r="C7064" s="3">
        <v>0.2655902777777778</v>
      </c>
      <c r="D7064" s="1">
        <v>12.647961</v>
      </c>
      <c r="E7064" s="1">
        <v>79.940766</v>
      </c>
      <c r="F7064" s="1">
        <v>2846.0</v>
      </c>
      <c r="G7064" s="1">
        <v>49.0</v>
      </c>
    </row>
    <row r="7065">
      <c r="A7065" s="1" t="s">
        <v>7</v>
      </c>
      <c r="B7065" s="2">
        <v>44733.0</v>
      </c>
      <c r="C7065" s="3">
        <v>0.2656712962962963</v>
      </c>
      <c r="D7065" s="1">
        <v>12.646735</v>
      </c>
      <c r="E7065" s="1">
        <v>79.940348</v>
      </c>
      <c r="F7065" s="1">
        <v>2846.0</v>
      </c>
      <c r="G7065" s="1">
        <v>52.0</v>
      </c>
    </row>
    <row r="7066">
      <c r="A7066" s="1" t="s">
        <v>7</v>
      </c>
      <c r="B7066" s="2">
        <v>44733.0</v>
      </c>
      <c r="C7066" s="3">
        <v>0.2657407407407407</v>
      </c>
      <c r="D7066" s="1">
        <v>12.646735</v>
      </c>
      <c r="E7066" s="1">
        <v>79.940348</v>
      </c>
      <c r="F7066" s="1">
        <v>2846.0</v>
      </c>
      <c r="G7066" s="1">
        <v>52.0</v>
      </c>
    </row>
    <row r="7067">
      <c r="A7067" s="1" t="s">
        <v>7</v>
      </c>
      <c r="B7067" s="2">
        <v>44733.0</v>
      </c>
      <c r="C7067" s="3">
        <v>0.2659259259259259</v>
      </c>
      <c r="D7067" s="1">
        <v>12.644432</v>
      </c>
      <c r="E7067" s="1">
        <v>79.939024</v>
      </c>
      <c r="F7067" s="1">
        <v>2846.0</v>
      </c>
      <c r="G7067" s="1">
        <v>53.0</v>
      </c>
    </row>
    <row r="7068">
      <c r="A7068" s="1" t="s">
        <v>7</v>
      </c>
      <c r="B7068" s="2">
        <v>44733.0</v>
      </c>
      <c r="C7068" s="3">
        <v>0.26601851851851854</v>
      </c>
      <c r="D7068" s="1">
        <v>12.643251</v>
      </c>
      <c r="E7068" s="1">
        <v>79.93833</v>
      </c>
      <c r="F7068" s="1">
        <v>2846.0</v>
      </c>
      <c r="G7068" s="1">
        <v>55.0</v>
      </c>
    </row>
    <row r="7069">
      <c r="A7069" s="1" t="s">
        <v>8</v>
      </c>
      <c r="B7069" s="2">
        <v>44733.0</v>
      </c>
      <c r="C7069" s="3">
        <v>0.26688657407407407</v>
      </c>
      <c r="D7069" s="1">
        <v>12.927761</v>
      </c>
      <c r="E7069" s="1">
        <v>80.118877</v>
      </c>
      <c r="F7069" s="1">
        <v>805.0</v>
      </c>
      <c r="G7069" s="1">
        <v>31.0</v>
      </c>
    </row>
    <row r="7070">
      <c r="A7070" s="1" t="s">
        <v>10</v>
      </c>
      <c r="B7070" s="2">
        <v>44733.0</v>
      </c>
      <c r="C7070" s="3">
        <v>0.2671064814814815</v>
      </c>
      <c r="D7070" s="1">
        <v>13.018301</v>
      </c>
      <c r="E7070" s="1">
        <v>80.218677</v>
      </c>
      <c r="F7070" s="1">
        <v>5339.0</v>
      </c>
      <c r="G7070" s="1">
        <v>24.0</v>
      </c>
    </row>
    <row r="7071">
      <c r="A7071" s="1" t="s">
        <v>8</v>
      </c>
      <c r="B7071" s="2">
        <v>44733.0</v>
      </c>
      <c r="C7071" s="3">
        <v>0.2672569444444444</v>
      </c>
      <c r="D7071" s="1">
        <v>12.929437</v>
      </c>
      <c r="E7071" s="1">
        <v>80.1205</v>
      </c>
      <c r="F7071" s="1">
        <v>805.0</v>
      </c>
      <c r="G7071" s="1">
        <v>52.0</v>
      </c>
    </row>
    <row r="7072">
      <c r="A7072" s="1" t="s">
        <v>8</v>
      </c>
      <c r="B7072" s="2">
        <v>44733.0</v>
      </c>
      <c r="C7072" s="3">
        <v>0.2674537037037037</v>
      </c>
      <c r="D7072" s="1">
        <v>12.931308</v>
      </c>
      <c r="E7072" s="1">
        <v>80.122388</v>
      </c>
      <c r="F7072" s="1">
        <v>805.0</v>
      </c>
      <c r="G7072" s="1">
        <v>59.0</v>
      </c>
    </row>
    <row r="7073">
      <c r="A7073" s="1" t="s">
        <v>7</v>
      </c>
      <c r="B7073" s="2">
        <v>44733.0</v>
      </c>
      <c r="C7073" s="3">
        <v>0.2674768518518518</v>
      </c>
      <c r="D7073" s="1">
        <v>12.627447</v>
      </c>
      <c r="E7073" s="1">
        <v>79.930099</v>
      </c>
      <c r="F7073" s="1">
        <v>2846.0</v>
      </c>
      <c r="G7073" s="1">
        <v>56.0</v>
      </c>
    </row>
    <row r="7074">
      <c r="A7074" s="1" t="s">
        <v>7</v>
      </c>
      <c r="B7074" s="2">
        <v>44733.0</v>
      </c>
      <c r="C7074" s="3">
        <v>0.26766203703703706</v>
      </c>
      <c r="D7074" s="1">
        <v>12.626125</v>
      </c>
      <c r="E7074" s="1">
        <v>79.929524</v>
      </c>
      <c r="F7074" s="1">
        <v>2846.0</v>
      </c>
      <c r="G7074" s="1">
        <v>57.0</v>
      </c>
    </row>
    <row r="7075">
      <c r="A7075" s="1" t="s">
        <v>7</v>
      </c>
      <c r="B7075" s="2">
        <v>44733.0</v>
      </c>
      <c r="C7075" s="3">
        <v>0.2677199074074074</v>
      </c>
      <c r="D7075" s="1">
        <v>12.933396</v>
      </c>
      <c r="E7075" s="1">
        <v>80.12449</v>
      </c>
      <c r="F7075" s="1">
        <v>805.0</v>
      </c>
      <c r="G7075" s="1">
        <v>58.0</v>
      </c>
    </row>
    <row r="7076">
      <c r="A7076" s="1" t="s">
        <v>7</v>
      </c>
      <c r="B7076" s="2">
        <v>44733.0</v>
      </c>
      <c r="C7076" s="3">
        <v>0.26783564814814814</v>
      </c>
      <c r="D7076" s="1">
        <v>12.93445</v>
      </c>
      <c r="E7076" s="1">
        <v>80.125526</v>
      </c>
      <c r="F7076" s="1">
        <v>805.0</v>
      </c>
      <c r="G7076" s="1">
        <v>57.0</v>
      </c>
    </row>
    <row r="7077">
      <c r="A7077" s="1" t="s">
        <v>7</v>
      </c>
      <c r="B7077" s="2">
        <v>44733.0</v>
      </c>
      <c r="C7077" s="3">
        <v>0.2679166666666667</v>
      </c>
      <c r="D7077" s="1">
        <v>12.623457</v>
      </c>
      <c r="E7077" s="1">
        <v>79.92838</v>
      </c>
      <c r="F7077" s="1">
        <v>2846.0</v>
      </c>
      <c r="G7077" s="1">
        <v>58.0</v>
      </c>
    </row>
    <row r="7078">
      <c r="A7078" s="1" t="s">
        <v>8</v>
      </c>
      <c r="B7078" s="2">
        <v>44733.0</v>
      </c>
      <c r="C7078" s="3">
        <v>0.2682175925925926</v>
      </c>
      <c r="D7078" s="1">
        <v>12.936754</v>
      </c>
      <c r="E7078" s="1">
        <v>80.127592</v>
      </c>
      <c r="F7078" s="1">
        <v>805.0</v>
      </c>
      <c r="G7078" s="1">
        <v>38.0</v>
      </c>
    </row>
    <row r="7079">
      <c r="A7079" s="1" t="s">
        <v>7</v>
      </c>
      <c r="B7079" s="2">
        <v>44733.0</v>
      </c>
      <c r="C7079" s="3">
        <v>0.26846064814814813</v>
      </c>
      <c r="D7079" s="1">
        <v>12.616483</v>
      </c>
      <c r="E7079" s="1">
        <v>79.926256</v>
      </c>
      <c r="F7079" s="1">
        <v>2846.0</v>
      </c>
      <c r="G7079" s="1">
        <v>57.0</v>
      </c>
    </row>
    <row r="7080">
      <c r="A7080" s="1" t="s">
        <v>7</v>
      </c>
      <c r="B7080" s="2">
        <v>44733.0</v>
      </c>
      <c r="C7080" s="3">
        <v>0.26850694444444445</v>
      </c>
      <c r="D7080" s="1">
        <v>12.939903</v>
      </c>
      <c r="E7080" s="1">
        <v>80.130338</v>
      </c>
      <c r="F7080" s="1">
        <v>805.0</v>
      </c>
      <c r="G7080" s="1">
        <v>58.0</v>
      </c>
    </row>
    <row r="7081">
      <c r="A7081" s="1" t="s">
        <v>7</v>
      </c>
      <c r="B7081" s="2">
        <v>44733.0</v>
      </c>
      <c r="C7081" s="3">
        <v>0.26858796296296295</v>
      </c>
      <c r="D7081" s="1">
        <v>12.615196</v>
      </c>
      <c r="E7081" s="1">
        <v>79.925734</v>
      </c>
      <c r="F7081" s="1">
        <v>2846.0</v>
      </c>
      <c r="G7081" s="1">
        <v>51.0</v>
      </c>
    </row>
    <row r="7082">
      <c r="A7082" s="1" t="s">
        <v>7</v>
      </c>
      <c r="B7082" s="2">
        <v>44733.0</v>
      </c>
      <c r="C7082" s="3">
        <v>0.26917824074074076</v>
      </c>
      <c r="D7082" s="1">
        <v>12.608895</v>
      </c>
      <c r="E7082" s="1">
        <v>79.922062</v>
      </c>
      <c r="F7082" s="1">
        <v>2846.0</v>
      </c>
      <c r="G7082" s="1">
        <v>57.0</v>
      </c>
    </row>
    <row r="7083">
      <c r="A7083" s="1" t="s">
        <v>7</v>
      </c>
      <c r="B7083" s="2">
        <v>44733.0</v>
      </c>
      <c r="C7083" s="3">
        <v>0.26927083333333335</v>
      </c>
      <c r="D7083" s="1">
        <v>12.945377</v>
      </c>
      <c r="E7083" s="1">
        <v>80.135585</v>
      </c>
      <c r="F7083" s="1">
        <v>805.0</v>
      </c>
      <c r="G7083" s="1">
        <v>58.0</v>
      </c>
    </row>
    <row r="7084">
      <c r="A7084" s="1" t="s">
        <v>8</v>
      </c>
      <c r="B7084" s="2">
        <v>44733.0</v>
      </c>
      <c r="C7084" s="3">
        <v>0.2697569444444444</v>
      </c>
      <c r="D7084" s="1">
        <v>13.024835</v>
      </c>
      <c r="E7084" s="1">
        <v>80.22913</v>
      </c>
      <c r="F7084" s="1">
        <v>5339.0</v>
      </c>
      <c r="G7084" s="1">
        <v>35.0</v>
      </c>
    </row>
    <row r="7085">
      <c r="A7085" s="1" t="s">
        <v>7</v>
      </c>
      <c r="B7085" s="2">
        <v>44733.0</v>
      </c>
      <c r="C7085" s="3">
        <v>0.2698611111111111</v>
      </c>
      <c r="D7085" s="1">
        <v>12.600598</v>
      </c>
      <c r="E7085" s="1">
        <v>79.920015</v>
      </c>
      <c r="F7085" s="1">
        <v>2846.0</v>
      </c>
      <c r="G7085" s="1">
        <v>53.0</v>
      </c>
    </row>
    <row r="7086">
      <c r="A7086" s="1" t="s">
        <v>7</v>
      </c>
      <c r="B7086" s="2">
        <v>44733.0</v>
      </c>
      <c r="C7086" s="3">
        <v>0.2699884259259259</v>
      </c>
      <c r="D7086" s="1">
        <v>12.599221</v>
      </c>
      <c r="E7086" s="1">
        <v>79.919884</v>
      </c>
      <c r="F7086" s="1">
        <v>2846.0</v>
      </c>
      <c r="G7086" s="1">
        <v>57.0</v>
      </c>
    </row>
    <row r="7087">
      <c r="A7087" s="1" t="s">
        <v>7</v>
      </c>
      <c r="B7087" s="2">
        <v>44733.0</v>
      </c>
      <c r="C7087" s="3">
        <v>0.2700694444444444</v>
      </c>
      <c r="D7087" s="1">
        <v>12.95187</v>
      </c>
      <c r="E7087" s="1">
        <v>80.140547</v>
      </c>
      <c r="F7087" s="1">
        <v>805.0</v>
      </c>
      <c r="G7087" s="1">
        <v>40.0</v>
      </c>
    </row>
    <row r="7088">
      <c r="A7088" s="1" t="s">
        <v>7</v>
      </c>
      <c r="B7088" s="2">
        <v>44733.0</v>
      </c>
      <c r="C7088" s="3">
        <v>0.27023148148148146</v>
      </c>
      <c r="D7088" s="1">
        <v>12.596306</v>
      </c>
      <c r="E7088" s="1">
        <v>79.919579</v>
      </c>
      <c r="F7088" s="1">
        <v>2846.0</v>
      </c>
      <c r="G7088" s="1">
        <v>58.0</v>
      </c>
    </row>
    <row r="7089">
      <c r="A7089" s="1" t="s">
        <v>7</v>
      </c>
      <c r="B7089" s="2">
        <v>44733.0</v>
      </c>
      <c r="C7089" s="3">
        <v>0.27034722222222224</v>
      </c>
      <c r="D7089" s="1">
        <v>12.594857</v>
      </c>
      <c r="E7089" s="1">
        <v>79.919425</v>
      </c>
      <c r="F7089" s="1">
        <v>2846.0</v>
      </c>
      <c r="G7089" s="1">
        <v>57.0</v>
      </c>
    </row>
    <row r="7090">
      <c r="A7090" s="1" t="s">
        <v>8</v>
      </c>
      <c r="B7090" s="2">
        <v>44733.0</v>
      </c>
      <c r="C7090" s="3">
        <v>0.2707060185185185</v>
      </c>
      <c r="D7090" s="1">
        <v>13.02728</v>
      </c>
      <c r="E7090" s="1">
        <v>80.23406</v>
      </c>
      <c r="F7090" s="1">
        <v>5339.0</v>
      </c>
      <c r="G7090" s="1">
        <v>42.0</v>
      </c>
    </row>
    <row r="7091">
      <c r="A7091" s="1" t="s">
        <v>8</v>
      </c>
      <c r="B7091" s="2">
        <v>44733.0</v>
      </c>
      <c r="C7091" s="3">
        <v>0.27141203703703703</v>
      </c>
      <c r="D7091" s="1">
        <v>12.959163</v>
      </c>
      <c r="E7091" s="1">
        <v>80.14453</v>
      </c>
      <c r="F7091" s="1">
        <v>805.0</v>
      </c>
      <c r="G7091" s="1">
        <v>50.0</v>
      </c>
    </row>
    <row r="7092">
      <c r="A7092" s="1" t="s">
        <v>9</v>
      </c>
      <c r="B7092" s="2">
        <v>44733.0</v>
      </c>
      <c r="C7092" s="3">
        <v>0.27166666666666667</v>
      </c>
      <c r="D7092" s="1">
        <v>12.960754</v>
      </c>
      <c r="E7092" s="1">
        <v>80.145365</v>
      </c>
      <c r="F7092" s="1">
        <v>805.0</v>
      </c>
      <c r="G7092" s="1">
        <v>37.0</v>
      </c>
    </row>
    <row r="7093">
      <c r="A7093" s="1" t="s">
        <v>7</v>
      </c>
      <c r="B7093" s="2">
        <v>44733.0</v>
      </c>
      <c r="C7093" s="3">
        <v>0.2718055555555556</v>
      </c>
      <c r="D7093" s="1">
        <v>13.032147</v>
      </c>
      <c r="E7093" s="1">
        <v>80.241899</v>
      </c>
      <c r="F7093" s="1">
        <v>5339.0</v>
      </c>
      <c r="G7093" s="1">
        <v>50.0</v>
      </c>
    </row>
    <row r="7094">
      <c r="A7094" s="1" t="s">
        <v>8</v>
      </c>
      <c r="B7094" s="2">
        <v>44733.0</v>
      </c>
      <c r="C7094" s="3">
        <v>0.27184027777777775</v>
      </c>
      <c r="D7094" s="1">
        <v>12.9617</v>
      </c>
      <c r="E7094" s="1">
        <v>80.14589</v>
      </c>
      <c r="F7094" s="1">
        <v>805.0</v>
      </c>
      <c r="G7094" s="1">
        <v>37.0</v>
      </c>
    </row>
    <row r="7095">
      <c r="A7095" s="1" t="s">
        <v>8</v>
      </c>
      <c r="B7095" s="2">
        <v>44733.0</v>
      </c>
      <c r="C7095" s="3">
        <v>0.272025462962963</v>
      </c>
      <c r="D7095" s="1">
        <v>12.963674</v>
      </c>
      <c r="E7095" s="1">
        <v>80.147003</v>
      </c>
      <c r="F7095" s="1">
        <v>805.0</v>
      </c>
      <c r="G7095" s="1">
        <v>45.0</v>
      </c>
    </row>
    <row r="7096">
      <c r="A7096" s="1" t="s">
        <v>8</v>
      </c>
      <c r="B7096" s="2">
        <v>44733.0</v>
      </c>
      <c r="C7096" s="3">
        <v>0.2722222222222222</v>
      </c>
      <c r="D7096" s="1">
        <v>13.034803</v>
      </c>
      <c r="E7096" s="1">
        <v>80.245564</v>
      </c>
      <c r="F7096" s="1">
        <v>5339.0</v>
      </c>
      <c r="G7096" s="1">
        <v>29.0</v>
      </c>
    </row>
    <row r="7097">
      <c r="A7097" s="1" t="s">
        <v>7</v>
      </c>
      <c r="B7097" s="2">
        <v>44733.0</v>
      </c>
      <c r="C7097" s="3">
        <v>0.272349537037037</v>
      </c>
      <c r="D7097" s="1">
        <v>12.967426</v>
      </c>
      <c r="E7097" s="1">
        <v>80.149114</v>
      </c>
      <c r="F7097" s="1">
        <v>805.0</v>
      </c>
      <c r="G7097" s="1">
        <v>58.0</v>
      </c>
    </row>
    <row r="7098">
      <c r="A7098" s="1" t="s">
        <v>7</v>
      </c>
      <c r="B7098" s="2">
        <v>44733.0</v>
      </c>
      <c r="C7098" s="3">
        <v>0.27260416666666665</v>
      </c>
      <c r="D7098" s="1">
        <v>12.566647</v>
      </c>
      <c r="E7098" s="1">
        <v>79.914802</v>
      </c>
      <c r="F7098" s="1">
        <v>2846.0</v>
      </c>
      <c r="G7098" s="1">
        <v>58.0</v>
      </c>
    </row>
    <row r="7099">
      <c r="A7099" s="1" t="s">
        <v>7</v>
      </c>
      <c r="B7099" s="2">
        <v>44733.0</v>
      </c>
      <c r="C7099" s="3">
        <v>0.27306712962962965</v>
      </c>
      <c r="D7099" s="1">
        <v>12.974217</v>
      </c>
      <c r="E7099" s="1">
        <v>80.154387</v>
      </c>
      <c r="F7099" s="1">
        <v>805.0</v>
      </c>
      <c r="G7099" s="1">
        <v>60.0</v>
      </c>
    </row>
    <row r="7100">
      <c r="A7100" s="1" t="s">
        <v>8</v>
      </c>
      <c r="B7100" s="2">
        <v>44733.0</v>
      </c>
      <c r="C7100" s="3">
        <v>0.2731712962962963</v>
      </c>
      <c r="D7100" s="1">
        <v>12.9751</v>
      </c>
      <c r="E7100" s="1">
        <v>80.155642</v>
      </c>
      <c r="F7100" s="1">
        <v>805.0</v>
      </c>
      <c r="G7100" s="1">
        <v>58.0</v>
      </c>
    </row>
    <row r="7101">
      <c r="A7101" s="1" t="s">
        <v>7</v>
      </c>
      <c r="B7101" s="2">
        <v>44733.0</v>
      </c>
      <c r="C7101" s="3">
        <v>0.27336805555555554</v>
      </c>
      <c r="D7101" s="1">
        <v>12.559331</v>
      </c>
      <c r="E7101" s="1">
        <v>79.9109</v>
      </c>
      <c r="F7101" s="1">
        <v>2846.0</v>
      </c>
      <c r="G7101" s="1">
        <v>58.0</v>
      </c>
    </row>
    <row r="7102">
      <c r="A7102" s="1" t="s">
        <v>7</v>
      </c>
      <c r="B7102" s="2">
        <v>44733.0</v>
      </c>
      <c r="C7102" s="3">
        <v>0.2736226851851852</v>
      </c>
      <c r="D7102" s="1">
        <v>12.978385</v>
      </c>
      <c r="E7102" s="1">
        <v>80.16048</v>
      </c>
      <c r="F7102" s="1">
        <v>805.0</v>
      </c>
      <c r="G7102" s="1">
        <v>58.0</v>
      </c>
    </row>
    <row r="7103">
      <c r="A7103" s="1" t="s">
        <v>7</v>
      </c>
      <c r="B7103" s="2">
        <v>44733.0</v>
      </c>
      <c r="C7103" s="3">
        <v>0.2737962962962963</v>
      </c>
      <c r="D7103" s="1">
        <v>12.554207</v>
      </c>
      <c r="E7103" s="1">
        <v>79.908056</v>
      </c>
      <c r="F7103" s="1">
        <v>2846.0</v>
      </c>
      <c r="G7103" s="1">
        <v>58.0</v>
      </c>
    </row>
    <row r="7104">
      <c r="A7104" s="1" t="s">
        <v>7</v>
      </c>
      <c r="B7104" s="2">
        <v>44733.0</v>
      </c>
      <c r="C7104" s="3">
        <v>0.27414351851851854</v>
      </c>
      <c r="D7104" s="1">
        <v>12.550203</v>
      </c>
      <c r="E7104" s="1">
        <v>79.906253</v>
      </c>
      <c r="F7104" s="1">
        <v>2846.0</v>
      </c>
      <c r="G7104" s="1">
        <v>58.0</v>
      </c>
    </row>
    <row r="7105">
      <c r="A7105" s="1" t="s">
        <v>7</v>
      </c>
      <c r="B7105" s="2">
        <v>44733.0</v>
      </c>
      <c r="C7105" s="3">
        <v>0.2742939814814815</v>
      </c>
      <c r="D7105" s="1">
        <v>12.548781</v>
      </c>
      <c r="E7105" s="1">
        <v>79.905957</v>
      </c>
      <c r="F7105" s="1">
        <v>2846.0</v>
      </c>
      <c r="G7105" s="1">
        <v>57.0</v>
      </c>
    </row>
    <row r="7106">
      <c r="A7106" s="1" t="s">
        <v>8</v>
      </c>
      <c r="B7106" s="2">
        <v>44733.0</v>
      </c>
      <c r="C7106" s="3">
        <v>0.2742939814814815</v>
      </c>
      <c r="D7106" s="1">
        <v>13.047209</v>
      </c>
      <c r="E7106" s="1">
        <v>80.248469</v>
      </c>
      <c r="F7106" s="1">
        <v>5339.0</v>
      </c>
      <c r="G7106" s="1">
        <v>43.0</v>
      </c>
    </row>
    <row r="7107">
      <c r="A7107" s="1" t="s">
        <v>8</v>
      </c>
      <c r="B7107" s="2">
        <v>44733.0</v>
      </c>
      <c r="C7107" s="3">
        <v>0.27490740740740743</v>
      </c>
      <c r="D7107" s="1">
        <v>12.544492</v>
      </c>
      <c r="E7107" s="1">
        <v>79.905163</v>
      </c>
      <c r="F7107" s="1">
        <v>2846.0</v>
      </c>
      <c r="G7107" s="1">
        <v>40.0</v>
      </c>
    </row>
    <row r="7108">
      <c r="A7108" s="1" t="s">
        <v>7</v>
      </c>
      <c r="B7108" s="2">
        <v>44733.0</v>
      </c>
      <c r="C7108" s="3">
        <v>0.27497685185185183</v>
      </c>
      <c r="D7108" s="1">
        <v>12.987277</v>
      </c>
      <c r="E7108" s="1">
        <v>80.175844</v>
      </c>
      <c r="F7108" s="1">
        <v>805.0</v>
      </c>
      <c r="G7108" s="1">
        <v>58.0</v>
      </c>
    </row>
    <row r="7109">
      <c r="A7109" s="1" t="s">
        <v>8</v>
      </c>
      <c r="B7109" s="2">
        <v>44733.0</v>
      </c>
      <c r="C7109" s="3">
        <v>0.27511574074074074</v>
      </c>
      <c r="D7109" s="1">
        <v>12.988131</v>
      </c>
      <c r="E7109" s="1">
        <v>80.17704</v>
      </c>
      <c r="F7109" s="1">
        <v>805.0</v>
      </c>
      <c r="G7109" s="1">
        <v>57.0</v>
      </c>
    </row>
    <row r="7110">
      <c r="A7110" s="1" t="s">
        <v>7</v>
      </c>
      <c r="B7110" s="2">
        <v>44733.0</v>
      </c>
      <c r="C7110" s="3">
        <v>0.27520833333333333</v>
      </c>
      <c r="D7110" s="1">
        <v>12.542408</v>
      </c>
      <c r="E7110" s="1">
        <v>79.904768</v>
      </c>
      <c r="F7110" s="1">
        <v>2846.0</v>
      </c>
      <c r="G7110" s="1">
        <v>50.0</v>
      </c>
    </row>
    <row r="7111">
      <c r="A7111" s="1" t="s">
        <v>7</v>
      </c>
      <c r="B7111" s="2">
        <v>44733.0</v>
      </c>
      <c r="C7111" s="3">
        <v>0.2753703703703704</v>
      </c>
      <c r="D7111" s="1">
        <v>12.539572</v>
      </c>
      <c r="E7111" s="1">
        <v>79.904222</v>
      </c>
      <c r="F7111" s="1">
        <v>2846.0</v>
      </c>
      <c r="G7111" s="1">
        <v>56.0</v>
      </c>
    </row>
    <row r="7112">
      <c r="A7112" s="1" t="s">
        <v>7</v>
      </c>
      <c r="B7112" s="2">
        <v>44733.0</v>
      </c>
      <c r="C7112" s="3">
        <v>0.27542824074074074</v>
      </c>
      <c r="D7112" s="1">
        <v>12.539572</v>
      </c>
      <c r="E7112" s="1">
        <v>79.904222</v>
      </c>
      <c r="F7112" s="1">
        <v>2846.0</v>
      </c>
      <c r="G7112" s="1">
        <v>56.0</v>
      </c>
    </row>
    <row r="7113">
      <c r="A7113" s="1" t="s">
        <v>7</v>
      </c>
      <c r="B7113" s="2">
        <v>44733.0</v>
      </c>
      <c r="C7113" s="3">
        <v>0.2757175925925926</v>
      </c>
      <c r="D7113" s="1">
        <v>12.535656</v>
      </c>
      <c r="E7113" s="1">
        <v>79.902304</v>
      </c>
      <c r="F7113" s="1">
        <v>2846.0</v>
      </c>
      <c r="G7113" s="1">
        <v>57.0</v>
      </c>
    </row>
    <row r="7114">
      <c r="A7114" s="1" t="s">
        <v>7</v>
      </c>
      <c r="B7114" s="2">
        <v>44733.0</v>
      </c>
      <c r="C7114" s="3">
        <v>0.27586805555555555</v>
      </c>
      <c r="D7114" s="1">
        <v>12.53439</v>
      </c>
      <c r="E7114" s="1">
        <v>79.901552</v>
      </c>
      <c r="F7114" s="1">
        <v>2846.0</v>
      </c>
      <c r="G7114" s="1">
        <v>57.0</v>
      </c>
    </row>
    <row r="7115">
      <c r="A7115" s="1" t="s">
        <v>7</v>
      </c>
      <c r="B7115" s="2">
        <v>44733.0</v>
      </c>
      <c r="C7115" s="3">
        <v>0.2759490740740741</v>
      </c>
      <c r="D7115" s="1">
        <v>12.99226</v>
      </c>
      <c r="E7115" s="1">
        <v>80.182365</v>
      </c>
      <c r="F7115" s="1">
        <v>805.0</v>
      </c>
      <c r="G7115" s="1">
        <v>58.0</v>
      </c>
    </row>
    <row r="7116">
      <c r="A7116" s="1" t="s">
        <v>8</v>
      </c>
      <c r="B7116" s="2">
        <v>44733.0</v>
      </c>
      <c r="C7116" s="3">
        <v>0.27600694444444446</v>
      </c>
      <c r="D7116" s="1">
        <v>12.99226</v>
      </c>
      <c r="E7116" s="1">
        <v>80.182365</v>
      </c>
      <c r="F7116" s="1">
        <v>805.0</v>
      </c>
      <c r="G7116" s="1">
        <v>58.0</v>
      </c>
    </row>
    <row r="7117">
      <c r="A7117" s="1" t="s">
        <v>7</v>
      </c>
      <c r="B7117" s="2">
        <v>44733.0</v>
      </c>
      <c r="C7117" s="3">
        <v>0.27655092592592595</v>
      </c>
      <c r="D7117" s="1">
        <v>12.99404</v>
      </c>
      <c r="E7117" s="1">
        <v>80.185376</v>
      </c>
      <c r="F7117" s="1">
        <v>805.0</v>
      </c>
      <c r="G7117" s="1">
        <v>23.0</v>
      </c>
    </row>
    <row r="7118">
      <c r="A7118" s="1" t="s">
        <v>7</v>
      </c>
      <c r="B7118" s="2">
        <v>44733.0</v>
      </c>
      <c r="C7118" s="3">
        <v>0.27674768518518517</v>
      </c>
      <c r="D7118" s="1">
        <v>12.524045</v>
      </c>
      <c r="E7118" s="1">
        <v>79.896624</v>
      </c>
      <c r="F7118" s="1">
        <v>2846.0</v>
      </c>
      <c r="G7118" s="1">
        <v>51.0</v>
      </c>
    </row>
    <row r="7119">
      <c r="A7119" s="1" t="s">
        <v>7</v>
      </c>
      <c r="B7119" s="2">
        <v>44733.0</v>
      </c>
      <c r="C7119" s="3">
        <v>0.27706018518518516</v>
      </c>
      <c r="D7119" s="1">
        <v>12.521709</v>
      </c>
      <c r="E7119" s="1">
        <v>79.895256</v>
      </c>
      <c r="F7119" s="1">
        <v>2846.0</v>
      </c>
      <c r="G7119" s="1">
        <v>57.0</v>
      </c>
    </row>
    <row r="7120">
      <c r="A7120" s="1" t="s">
        <v>8</v>
      </c>
      <c r="B7120" s="2">
        <v>44733.0</v>
      </c>
      <c r="C7120" s="3">
        <v>0.2771527777777778</v>
      </c>
      <c r="D7120" s="1">
        <v>12.521709</v>
      </c>
      <c r="E7120" s="1">
        <v>79.895256</v>
      </c>
      <c r="F7120" s="1">
        <v>2846.0</v>
      </c>
      <c r="G7120" s="1">
        <v>57.0</v>
      </c>
    </row>
    <row r="7121">
      <c r="A7121" s="1" t="s">
        <v>8</v>
      </c>
      <c r="B7121" s="2">
        <v>44733.0</v>
      </c>
      <c r="C7121" s="3">
        <v>0.277337962962963</v>
      </c>
      <c r="D7121" s="1">
        <v>12.998772</v>
      </c>
      <c r="E7121" s="1">
        <v>80.192543</v>
      </c>
      <c r="F7121" s="1">
        <v>805.0</v>
      </c>
      <c r="G7121" s="1">
        <v>56.0</v>
      </c>
    </row>
    <row r="7122">
      <c r="A7122" s="1" t="s">
        <v>7</v>
      </c>
      <c r="B7122" s="2">
        <v>44733.0</v>
      </c>
      <c r="C7122" s="3">
        <v>0.2774189814814815</v>
      </c>
      <c r="D7122" s="1">
        <v>12.518832</v>
      </c>
      <c r="E7122" s="1">
        <v>79.892461</v>
      </c>
      <c r="F7122" s="1">
        <v>2846.0</v>
      </c>
      <c r="G7122" s="1">
        <v>49.0</v>
      </c>
    </row>
    <row r="7123">
      <c r="A7123" s="1" t="s">
        <v>7</v>
      </c>
      <c r="B7123" s="2">
        <v>44733.0</v>
      </c>
      <c r="C7123" s="3">
        <v>0.27760416666666665</v>
      </c>
      <c r="D7123" s="1">
        <v>12.516978</v>
      </c>
      <c r="E7123" s="1">
        <v>79.890356</v>
      </c>
      <c r="F7123" s="1">
        <v>2846.0</v>
      </c>
      <c r="G7123" s="1">
        <v>57.0</v>
      </c>
    </row>
    <row r="7124">
      <c r="A7124" s="1" t="s">
        <v>7</v>
      </c>
      <c r="B7124" s="2">
        <v>44733.0</v>
      </c>
      <c r="C7124" s="3">
        <v>0.27770833333333333</v>
      </c>
      <c r="D7124" s="1">
        <v>12.516383</v>
      </c>
      <c r="E7124" s="1">
        <v>79.889</v>
      </c>
      <c r="F7124" s="1">
        <v>2846.0</v>
      </c>
      <c r="G7124" s="1">
        <v>57.0</v>
      </c>
    </row>
    <row r="7125">
      <c r="A7125" s="1" t="s">
        <v>8</v>
      </c>
      <c r="B7125" s="2">
        <v>44733.0</v>
      </c>
      <c r="C7125" s="3">
        <v>0.2778935185185185</v>
      </c>
      <c r="D7125" s="1">
        <v>13.002025</v>
      </c>
      <c r="E7125" s="1">
        <v>80.198064</v>
      </c>
      <c r="F7125" s="1">
        <v>805.0</v>
      </c>
      <c r="G7125" s="1">
        <v>58.0</v>
      </c>
    </row>
    <row r="7126">
      <c r="A7126" s="1" t="s">
        <v>7</v>
      </c>
      <c r="B7126" s="2">
        <v>44733.0</v>
      </c>
      <c r="C7126" s="3">
        <v>0.27800925925925923</v>
      </c>
      <c r="D7126" s="1">
        <v>12.514378</v>
      </c>
      <c r="E7126" s="1">
        <v>79.885056</v>
      </c>
      <c r="F7126" s="1">
        <v>2846.0</v>
      </c>
      <c r="G7126" s="1">
        <v>58.0</v>
      </c>
    </row>
    <row r="7127">
      <c r="A7127" s="1" t="s">
        <v>8</v>
      </c>
      <c r="B7127" s="2">
        <v>44733.0</v>
      </c>
      <c r="C7127" s="3">
        <v>0.27800925925925923</v>
      </c>
      <c r="D7127" s="1">
        <v>13.00184</v>
      </c>
      <c r="E7127" s="1">
        <v>80.199452</v>
      </c>
      <c r="F7127" s="1">
        <v>805.0</v>
      </c>
      <c r="G7127" s="1">
        <v>49.0</v>
      </c>
    </row>
    <row r="7128">
      <c r="A7128" s="1" t="s">
        <v>7</v>
      </c>
      <c r="B7128" s="2">
        <v>44733.0</v>
      </c>
      <c r="C7128" s="3">
        <v>0.2780902777777778</v>
      </c>
      <c r="D7128" s="1">
        <v>12.514378</v>
      </c>
      <c r="E7128" s="1">
        <v>79.885056</v>
      </c>
      <c r="F7128" s="1">
        <v>2846.0</v>
      </c>
      <c r="G7128" s="1">
        <v>58.0</v>
      </c>
    </row>
    <row r="7129">
      <c r="A7129" s="1" t="s">
        <v>8</v>
      </c>
      <c r="B7129" s="2">
        <v>44733.0</v>
      </c>
      <c r="C7129" s="3">
        <v>0.2781134259259259</v>
      </c>
      <c r="D7129" s="1">
        <v>13.002452</v>
      </c>
      <c r="E7129" s="1">
        <v>80.200498</v>
      </c>
      <c r="F7129" s="1">
        <v>805.0</v>
      </c>
      <c r="G7129" s="1">
        <v>48.0</v>
      </c>
    </row>
    <row r="7130">
      <c r="A7130" s="1" t="s">
        <v>10</v>
      </c>
      <c r="B7130" s="2">
        <v>44733.0</v>
      </c>
      <c r="C7130" s="3">
        <v>0.27828703703703705</v>
      </c>
      <c r="D7130" s="1">
        <v>13.067734</v>
      </c>
      <c r="E7130" s="1">
        <v>80.247961</v>
      </c>
      <c r="F7130" s="1">
        <v>5339.0</v>
      </c>
      <c r="G7130" s="1">
        <v>24.0</v>
      </c>
    </row>
    <row r="7131">
      <c r="A7131" s="1" t="s">
        <v>8</v>
      </c>
      <c r="B7131" s="2">
        <v>44733.0</v>
      </c>
      <c r="C7131" s="3">
        <v>0.2784027777777778</v>
      </c>
      <c r="D7131" s="1">
        <v>13.004937</v>
      </c>
      <c r="E7131" s="1">
        <v>80.201262</v>
      </c>
      <c r="F7131" s="1">
        <v>805.0</v>
      </c>
      <c r="G7131" s="1">
        <v>51.0</v>
      </c>
    </row>
    <row r="7132">
      <c r="A7132" s="1" t="s">
        <v>8</v>
      </c>
      <c r="B7132" s="2">
        <v>44733.0</v>
      </c>
      <c r="C7132" s="3">
        <v>0.29335648148148147</v>
      </c>
      <c r="D7132" s="1">
        <v>13.010656</v>
      </c>
      <c r="E7132" s="1">
        <v>80.216531</v>
      </c>
      <c r="F7132" s="1">
        <v>805.0</v>
      </c>
      <c r="G7132" s="1">
        <v>33.0</v>
      </c>
    </row>
    <row r="7133">
      <c r="A7133" s="1" t="s">
        <v>8</v>
      </c>
      <c r="B7133" s="2">
        <v>44733.0</v>
      </c>
      <c r="C7133" s="3">
        <v>0.2934375</v>
      </c>
      <c r="D7133" s="1">
        <v>13.011022</v>
      </c>
      <c r="E7133" s="1">
        <v>80.217314</v>
      </c>
      <c r="F7133" s="1">
        <v>805.0</v>
      </c>
      <c r="G7133" s="1">
        <v>28.0</v>
      </c>
    </row>
    <row r="7134">
      <c r="A7134" s="1" t="s">
        <v>8</v>
      </c>
      <c r="B7134" s="2">
        <v>44733.0</v>
      </c>
      <c r="C7134" s="3">
        <v>0.29356481481481483</v>
      </c>
      <c r="D7134" s="1">
        <v>13.011351</v>
      </c>
      <c r="E7134" s="1">
        <v>80.218087</v>
      </c>
      <c r="F7134" s="1">
        <v>805.0</v>
      </c>
      <c r="G7134" s="1">
        <v>42.0</v>
      </c>
    </row>
    <row r="7135">
      <c r="A7135" s="1" t="s">
        <v>8</v>
      </c>
      <c r="B7135" s="2">
        <v>44733.0</v>
      </c>
      <c r="C7135" s="3">
        <v>0.29363425925925923</v>
      </c>
      <c r="D7135" s="1">
        <v>13.011759</v>
      </c>
      <c r="E7135" s="1">
        <v>80.219203</v>
      </c>
      <c r="F7135" s="1">
        <v>805.0</v>
      </c>
      <c r="G7135" s="1">
        <v>47.0</v>
      </c>
    </row>
    <row r="7136">
      <c r="A7136" s="1" t="s">
        <v>8</v>
      </c>
      <c r="B7136" s="2">
        <v>44733.0</v>
      </c>
      <c r="C7136" s="3">
        <v>0.29375</v>
      </c>
      <c r="D7136" s="1">
        <v>13.012184</v>
      </c>
      <c r="E7136" s="1">
        <v>80.220489</v>
      </c>
      <c r="F7136" s="1">
        <v>805.0</v>
      </c>
      <c r="G7136" s="1">
        <v>58.0</v>
      </c>
    </row>
    <row r="7137">
      <c r="A7137" s="1" t="s">
        <v>7</v>
      </c>
      <c r="B7137" s="2">
        <v>44733.0</v>
      </c>
      <c r="C7137" s="3">
        <v>0.29400462962962964</v>
      </c>
      <c r="D7137" s="1">
        <v>13.013608</v>
      </c>
      <c r="E7137" s="1">
        <v>80.222799</v>
      </c>
      <c r="F7137" s="1">
        <v>805.0</v>
      </c>
      <c r="G7137" s="1">
        <v>52.0</v>
      </c>
    </row>
    <row r="7138">
      <c r="A7138" s="1" t="s">
        <v>7</v>
      </c>
      <c r="B7138" s="2">
        <v>44733.0</v>
      </c>
      <c r="C7138" s="3">
        <v>0.29409722222222223</v>
      </c>
      <c r="D7138" s="1">
        <v>13.014502</v>
      </c>
      <c r="E7138" s="1">
        <v>80.223902</v>
      </c>
      <c r="F7138" s="1">
        <v>805.0</v>
      </c>
      <c r="G7138" s="1">
        <v>61.0</v>
      </c>
    </row>
    <row r="7139">
      <c r="A7139" s="1" t="s">
        <v>8</v>
      </c>
      <c r="B7139" s="2">
        <v>44733.0</v>
      </c>
      <c r="C7139" s="3">
        <v>0.2944675925925926</v>
      </c>
      <c r="D7139" s="1">
        <v>13.018046</v>
      </c>
      <c r="E7139" s="1">
        <v>80.224754</v>
      </c>
      <c r="F7139" s="1">
        <v>805.0</v>
      </c>
      <c r="G7139" s="1">
        <v>49.0</v>
      </c>
    </row>
    <row r="7140">
      <c r="A7140" s="1" t="s">
        <v>8</v>
      </c>
      <c r="B7140" s="2">
        <v>44733.0</v>
      </c>
      <c r="C7140" s="3">
        <v>0.2945601851851852</v>
      </c>
      <c r="D7140" s="1">
        <v>13.019252</v>
      </c>
      <c r="E7140" s="1">
        <v>80.224398</v>
      </c>
      <c r="F7140" s="1">
        <v>805.0</v>
      </c>
      <c r="G7140" s="1">
        <v>47.0</v>
      </c>
    </row>
    <row r="7141">
      <c r="A7141" s="1" t="s">
        <v>10</v>
      </c>
      <c r="B7141" s="2">
        <v>44733.0</v>
      </c>
      <c r="C7141" s="3">
        <v>0.29467592592592595</v>
      </c>
      <c r="D7141" s="1">
        <v>13.063673</v>
      </c>
      <c r="E7141" s="1">
        <v>80.247709</v>
      </c>
      <c r="F7141" s="1">
        <v>5339.0</v>
      </c>
      <c r="G7141" s="1">
        <v>28.0</v>
      </c>
    </row>
    <row r="7142">
      <c r="A7142" s="1" t="s">
        <v>8</v>
      </c>
      <c r="B7142" s="2">
        <v>44733.0</v>
      </c>
      <c r="C7142" s="3">
        <v>0.2946990740740741</v>
      </c>
      <c r="D7142" s="1">
        <v>13.020208</v>
      </c>
      <c r="E7142" s="1">
        <v>80.224821</v>
      </c>
      <c r="F7142" s="1">
        <v>805.0</v>
      </c>
      <c r="G7142" s="1">
        <v>38.0</v>
      </c>
    </row>
    <row r="7143">
      <c r="A7143" s="1" t="s">
        <v>9</v>
      </c>
      <c r="B7143" s="2">
        <v>44733.0</v>
      </c>
      <c r="C7143" s="3">
        <v>0.2947916666666667</v>
      </c>
      <c r="D7143" s="1">
        <v>13.020854</v>
      </c>
      <c r="E7143" s="1">
        <v>80.225307</v>
      </c>
      <c r="F7143" s="1">
        <v>805.0</v>
      </c>
      <c r="G7143" s="1">
        <v>32.0</v>
      </c>
    </row>
    <row r="7144">
      <c r="A7144" s="1" t="s">
        <v>8</v>
      </c>
      <c r="B7144" s="2">
        <v>44733.0</v>
      </c>
      <c r="C7144" s="3">
        <v>0.2950462962962963</v>
      </c>
      <c r="D7144" s="1">
        <v>13.022158</v>
      </c>
      <c r="E7144" s="1">
        <v>80.226331</v>
      </c>
      <c r="F7144" s="1">
        <v>805.0</v>
      </c>
      <c r="G7144" s="1">
        <v>44.0</v>
      </c>
    </row>
    <row r="7145">
      <c r="A7145" s="1" t="s">
        <v>7</v>
      </c>
      <c r="B7145" s="2">
        <v>44733.0</v>
      </c>
      <c r="C7145" s="3">
        <v>0.29510416666666667</v>
      </c>
      <c r="D7145" s="1">
        <v>13.022158</v>
      </c>
      <c r="E7145" s="1">
        <v>80.226331</v>
      </c>
      <c r="F7145" s="1">
        <v>805.0</v>
      </c>
      <c r="G7145" s="1">
        <v>44.0</v>
      </c>
    </row>
    <row r="7146">
      <c r="A7146" s="1" t="s">
        <v>8</v>
      </c>
      <c r="B7146" s="2">
        <v>44733.0</v>
      </c>
      <c r="C7146" s="3">
        <v>0.2951273148148148</v>
      </c>
      <c r="D7146" s="1">
        <v>13.023226</v>
      </c>
      <c r="E7146" s="1">
        <v>80.227228</v>
      </c>
      <c r="F7146" s="1">
        <v>805.0</v>
      </c>
      <c r="G7146" s="1">
        <v>51.0</v>
      </c>
    </row>
    <row r="7147">
      <c r="A7147" s="1" t="s">
        <v>8</v>
      </c>
      <c r="B7147" s="2">
        <v>44733.0</v>
      </c>
      <c r="C7147" s="3">
        <v>0.29528935185185184</v>
      </c>
      <c r="D7147" s="1">
        <v>13.024105</v>
      </c>
      <c r="E7147" s="1">
        <v>80.228161</v>
      </c>
      <c r="F7147" s="1">
        <v>805.0</v>
      </c>
      <c r="G7147" s="1">
        <v>46.0</v>
      </c>
    </row>
    <row r="7148">
      <c r="A7148" s="1" t="s">
        <v>8</v>
      </c>
      <c r="B7148" s="2">
        <v>44733.0</v>
      </c>
      <c r="C7148" s="3">
        <v>0.2953703703703704</v>
      </c>
      <c r="D7148" s="1">
        <v>13.024772</v>
      </c>
      <c r="E7148" s="1">
        <v>80.229062</v>
      </c>
      <c r="F7148" s="1">
        <v>805.0</v>
      </c>
      <c r="G7148" s="1">
        <v>42.0</v>
      </c>
    </row>
    <row r="7149">
      <c r="A7149" s="1" t="s">
        <v>8</v>
      </c>
      <c r="B7149" s="2">
        <v>44733.0</v>
      </c>
      <c r="C7149" s="3">
        <v>0.2954976851851852</v>
      </c>
      <c r="D7149" s="1">
        <v>13.025376</v>
      </c>
      <c r="E7149" s="1">
        <v>80.229837</v>
      </c>
      <c r="F7149" s="1">
        <v>805.0</v>
      </c>
      <c r="G7149" s="1">
        <v>39.0</v>
      </c>
    </row>
    <row r="7150">
      <c r="A7150" s="1" t="s">
        <v>8</v>
      </c>
      <c r="B7150" s="2">
        <v>44733.0</v>
      </c>
      <c r="C7150" s="3">
        <v>0.2955902777777778</v>
      </c>
      <c r="D7150" s="1">
        <v>13.025925</v>
      </c>
      <c r="E7150" s="1">
        <v>80.230774</v>
      </c>
      <c r="F7150" s="1">
        <v>805.0</v>
      </c>
      <c r="G7150" s="1">
        <v>44.0</v>
      </c>
    </row>
    <row r="7151">
      <c r="A7151" s="1" t="s">
        <v>8</v>
      </c>
      <c r="B7151" s="2">
        <v>44733.0</v>
      </c>
      <c r="C7151" s="3">
        <v>0.29563657407407407</v>
      </c>
      <c r="D7151" s="1">
        <v>13.025925</v>
      </c>
      <c r="E7151" s="1">
        <v>80.230774</v>
      </c>
      <c r="F7151" s="1">
        <v>805.0</v>
      </c>
      <c r="G7151" s="1">
        <v>44.0</v>
      </c>
    </row>
    <row r="7152">
      <c r="A7152" s="1" t="s">
        <v>8</v>
      </c>
      <c r="B7152" s="2">
        <v>44733.0</v>
      </c>
      <c r="C7152" s="3">
        <v>0.29574074074074075</v>
      </c>
      <c r="D7152" s="1">
        <v>13.026199</v>
      </c>
      <c r="E7152" s="1">
        <v>80.231805</v>
      </c>
      <c r="F7152" s="1">
        <v>805.0</v>
      </c>
      <c r="G7152" s="1">
        <v>40.0</v>
      </c>
    </row>
    <row r="7153">
      <c r="A7153" s="1" t="s">
        <v>8</v>
      </c>
      <c r="B7153" s="2">
        <v>44733.0</v>
      </c>
      <c r="C7153" s="3">
        <v>0.2957638888888889</v>
      </c>
      <c r="D7153" s="1">
        <v>13.026199</v>
      </c>
      <c r="E7153" s="1">
        <v>80.231805</v>
      </c>
      <c r="F7153" s="1">
        <v>805.0</v>
      </c>
      <c r="G7153" s="1">
        <v>40.0</v>
      </c>
    </row>
    <row r="7154">
      <c r="A7154" s="1" t="s">
        <v>8</v>
      </c>
      <c r="B7154" s="2">
        <v>44733.0</v>
      </c>
      <c r="C7154" s="3">
        <v>0.2959953703703704</v>
      </c>
      <c r="D7154" s="1">
        <v>13.026566</v>
      </c>
      <c r="E7154" s="1">
        <v>80.232895</v>
      </c>
      <c r="F7154" s="1">
        <v>805.0</v>
      </c>
      <c r="G7154" s="1">
        <v>51.0</v>
      </c>
    </row>
    <row r="7155">
      <c r="A7155" s="1" t="s">
        <v>8</v>
      </c>
      <c r="B7155" s="2">
        <v>44733.0</v>
      </c>
      <c r="C7155" s="3">
        <v>0.2966898148148148</v>
      </c>
      <c r="D7155" s="1">
        <v>13.028477</v>
      </c>
      <c r="E7155" s="1">
        <v>80.235951</v>
      </c>
      <c r="F7155" s="1">
        <v>805.0</v>
      </c>
      <c r="G7155" s="1">
        <v>38.0</v>
      </c>
    </row>
    <row r="7156">
      <c r="A7156" s="1" t="s">
        <v>7</v>
      </c>
      <c r="B7156" s="2">
        <v>44733.0</v>
      </c>
      <c r="C7156" s="3">
        <v>0.29689814814814813</v>
      </c>
      <c r="D7156" s="1">
        <v>13.028477</v>
      </c>
      <c r="E7156" s="1">
        <v>80.235951</v>
      </c>
      <c r="F7156" s="1">
        <v>805.0</v>
      </c>
      <c r="G7156" s="1">
        <v>38.0</v>
      </c>
    </row>
    <row r="7157">
      <c r="A7157" s="1" t="s">
        <v>8</v>
      </c>
      <c r="B7157" s="2">
        <v>44733.0</v>
      </c>
      <c r="C7157" s="3">
        <v>0.2970023148148148</v>
      </c>
      <c r="D7157" s="1">
        <v>13.028477</v>
      </c>
      <c r="E7157" s="1">
        <v>80.235951</v>
      </c>
      <c r="F7157" s="1">
        <v>805.0</v>
      </c>
      <c r="G7157" s="1">
        <v>38.0</v>
      </c>
    </row>
    <row r="7158">
      <c r="A7158" s="1" t="s">
        <v>8</v>
      </c>
      <c r="B7158" s="2">
        <v>44733.0</v>
      </c>
      <c r="C7158" s="3">
        <v>0.2973148148148148</v>
      </c>
      <c r="D7158" s="1">
        <v>13.028477</v>
      </c>
      <c r="E7158" s="1">
        <v>80.235951</v>
      </c>
      <c r="F7158" s="1">
        <v>805.0</v>
      </c>
      <c r="G7158" s="1">
        <v>38.0</v>
      </c>
    </row>
    <row r="7159">
      <c r="A7159" s="1" t="s">
        <v>8</v>
      </c>
      <c r="B7159" s="2">
        <v>44733.0</v>
      </c>
      <c r="C7159" s="3">
        <v>0.2974189814814815</v>
      </c>
      <c r="D7159" s="1">
        <v>13.028477</v>
      </c>
      <c r="E7159" s="1">
        <v>80.235951</v>
      </c>
      <c r="F7159" s="1">
        <v>805.0</v>
      </c>
      <c r="G7159" s="1">
        <v>38.0</v>
      </c>
    </row>
    <row r="7160">
      <c r="A7160" s="1" t="s">
        <v>7</v>
      </c>
      <c r="B7160" s="2">
        <v>44733.0</v>
      </c>
      <c r="C7160" s="3">
        <v>0.29743055555555553</v>
      </c>
      <c r="D7160" s="1">
        <v>13.028477</v>
      </c>
      <c r="E7160" s="1">
        <v>80.235951</v>
      </c>
      <c r="F7160" s="1">
        <v>805.0</v>
      </c>
      <c r="G7160" s="1">
        <v>38.0</v>
      </c>
    </row>
    <row r="7161">
      <c r="A7161" s="1" t="s">
        <v>7</v>
      </c>
      <c r="B7161" s="2">
        <v>44733.0</v>
      </c>
      <c r="C7161" s="3">
        <v>0.29814814814814816</v>
      </c>
      <c r="D7161" s="1">
        <v>12.521764</v>
      </c>
      <c r="E7161" s="1">
        <v>79.895105</v>
      </c>
      <c r="F7161" s="1">
        <v>2846.0</v>
      </c>
      <c r="G7161" s="1">
        <v>55.0</v>
      </c>
    </row>
    <row r="7162">
      <c r="A7162" s="1" t="s">
        <v>7</v>
      </c>
      <c r="B7162" s="2">
        <v>44733.0</v>
      </c>
      <c r="C7162" s="3">
        <v>0.2982638888888889</v>
      </c>
      <c r="D7162" s="1">
        <v>12.521764</v>
      </c>
      <c r="E7162" s="1">
        <v>79.895105</v>
      </c>
      <c r="F7162" s="1">
        <v>2846.0</v>
      </c>
      <c r="G7162" s="1">
        <v>55.0</v>
      </c>
    </row>
    <row r="7163">
      <c r="A7163" s="1" t="s">
        <v>7</v>
      </c>
      <c r="B7163" s="2">
        <v>44733.0</v>
      </c>
      <c r="C7163" s="3">
        <v>0.29832175925925924</v>
      </c>
      <c r="D7163" s="1">
        <v>12.523187</v>
      </c>
      <c r="E7163" s="1">
        <v>79.896101</v>
      </c>
      <c r="F7163" s="1">
        <v>2846.0</v>
      </c>
      <c r="G7163" s="1">
        <v>0.0</v>
      </c>
    </row>
    <row r="7164">
      <c r="A7164" s="1" t="s">
        <v>8</v>
      </c>
      <c r="B7164" s="2">
        <v>44733.0</v>
      </c>
      <c r="C7164" s="3">
        <v>0.29913194444444446</v>
      </c>
      <c r="D7164" s="1">
        <v>13.040595</v>
      </c>
      <c r="E7164" s="1">
        <v>80.247128</v>
      </c>
      <c r="F7164" s="1">
        <v>805.0</v>
      </c>
      <c r="G7164" s="1">
        <v>49.0</v>
      </c>
    </row>
    <row r="7165">
      <c r="A7165" s="1" t="s">
        <v>7</v>
      </c>
      <c r="B7165" s="2">
        <v>44733.0</v>
      </c>
      <c r="C7165" s="3">
        <v>0.2994675925925926</v>
      </c>
      <c r="D7165" s="1">
        <v>13.044281</v>
      </c>
      <c r="E7165" s="1">
        <v>80.247832</v>
      </c>
      <c r="F7165" s="1">
        <v>805.0</v>
      </c>
      <c r="G7165" s="1">
        <v>55.0</v>
      </c>
    </row>
    <row r="7166">
      <c r="A7166" s="1" t="s">
        <v>8</v>
      </c>
      <c r="B7166" s="2">
        <v>44733.0</v>
      </c>
      <c r="C7166" s="3">
        <v>0.2996759259259259</v>
      </c>
      <c r="D7166" s="1">
        <v>13.072982</v>
      </c>
      <c r="E7166" s="1">
        <v>80.262012</v>
      </c>
      <c r="F7166" s="1">
        <v>5339.0</v>
      </c>
      <c r="G7166" s="1">
        <v>26.0</v>
      </c>
    </row>
    <row r="7167">
      <c r="A7167" s="1" t="s">
        <v>8</v>
      </c>
      <c r="B7167" s="2">
        <v>44733.0</v>
      </c>
      <c r="C7167" s="3">
        <v>0.2996759259259259</v>
      </c>
      <c r="D7167" s="1">
        <v>13.072982</v>
      </c>
      <c r="E7167" s="1">
        <v>80.262012</v>
      </c>
      <c r="F7167" s="1">
        <v>5339.0</v>
      </c>
      <c r="G7167" s="1">
        <v>26.0</v>
      </c>
    </row>
    <row r="7168">
      <c r="A7168" s="1" t="s">
        <v>7</v>
      </c>
      <c r="B7168" s="2">
        <v>44733.0</v>
      </c>
      <c r="C7168" s="3">
        <v>0.2997800925925926</v>
      </c>
      <c r="D7168" s="1">
        <v>12.537389</v>
      </c>
      <c r="E7168" s="1">
        <v>79.903241</v>
      </c>
      <c r="F7168" s="1">
        <v>2846.0</v>
      </c>
      <c r="G7168" s="1">
        <v>57.0</v>
      </c>
    </row>
    <row r="7169">
      <c r="A7169" s="1" t="s">
        <v>8</v>
      </c>
      <c r="B7169" s="2">
        <v>44733.0</v>
      </c>
      <c r="C7169" s="3">
        <v>0.2998263888888889</v>
      </c>
      <c r="D7169" s="1">
        <v>13.047837</v>
      </c>
      <c r="E7169" s="1">
        <v>80.248986</v>
      </c>
      <c r="F7169" s="1">
        <v>805.0</v>
      </c>
      <c r="G7169" s="1">
        <v>49.0</v>
      </c>
    </row>
    <row r="7170">
      <c r="A7170" s="1" t="s">
        <v>8</v>
      </c>
      <c r="B7170" s="2">
        <v>44733.0</v>
      </c>
      <c r="C7170" s="3">
        <v>0.29996527777777776</v>
      </c>
      <c r="D7170" s="1">
        <v>13.072528</v>
      </c>
      <c r="E7170" s="1">
        <v>80.263296</v>
      </c>
      <c r="F7170" s="1">
        <v>5339.0</v>
      </c>
      <c r="G7170" s="1">
        <v>16.0</v>
      </c>
    </row>
    <row r="7171">
      <c r="A7171" s="1" t="s">
        <v>8</v>
      </c>
      <c r="B7171" s="2">
        <v>44733.0</v>
      </c>
      <c r="C7171" s="3">
        <v>0.29996527777777776</v>
      </c>
      <c r="D7171" s="1">
        <v>13.072528</v>
      </c>
      <c r="E7171" s="1">
        <v>80.263296</v>
      </c>
      <c r="F7171" s="1">
        <v>5339.0</v>
      </c>
      <c r="G7171" s="1">
        <v>16.0</v>
      </c>
    </row>
    <row r="7172">
      <c r="A7172" s="1" t="s">
        <v>8</v>
      </c>
      <c r="B7172" s="2">
        <v>44733.0</v>
      </c>
      <c r="C7172" s="3">
        <v>0.29997685185185186</v>
      </c>
      <c r="D7172" s="1">
        <v>13.072528</v>
      </c>
      <c r="E7172" s="1">
        <v>80.263296</v>
      </c>
      <c r="F7172" s="1">
        <v>5339.0</v>
      </c>
      <c r="G7172" s="1">
        <v>16.0</v>
      </c>
    </row>
    <row r="7173">
      <c r="A7173" s="1" t="s">
        <v>8</v>
      </c>
      <c r="B7173" s="2">
        <v>44733.0</v>
      </c>
      <c r="C7173" s="3">
        <v>0.30019675925925926</v>
      </c>
      <c r="D7173" s="1">
        <v>12.541448</v>
      </c>
      <c r="E7173" s="1">
        <v>79.90448</v>
      </c>
      <c r="F7173" s="1">
        <v>2846.0</v>
      </c>
      <c r="G7173" s="1">
        <v>54.0</v>
      </c>
    </row>
    <row r="7174">
      <c r="A7174" s="1" t="s">
        <v>8</v>
      </c>
      <c r="B7174" s="2">
        <v>44733.0</v>
      </c>
      <c r="C7174" s="3">
        <v>0.30019675925925926</v>
      </c>
      <c r="D7174" s="1">
        <v>13.072528</v>
      </c>
      <c r="E7174" s="1">
        <v>80.263296</v>
      </c>
      <c r="F7174" s="1">
        <v>5339.0</v>
      </c>
      <c r="G7174" s="1">
        <v>16.0</v>
      </c>
    </row>
    <row r="7175">
      <c r="A7175" s="1" t="s">
        <v>8</v>
      </c>
      <c r="B7175" s="2">
        <v>44733.0</v>
      </c>
      <c r="C7175" s="3">
        <v>0.30019675925925926</v>
      </c>
      <c r="D7175" s="1">
        <v>12.541448</v>
      </c>
      <c r="E7175" s="1">
        <v>79.90448</v>
      </c>
      <c r="F7175" s="1">
        <v>2846.0</v>
      </c>
      <c r="G7175" s="1">
        <v>54.0</v>
      </c>
    </row>
    <row r="7176">
      <c r="A7176" s="1" t="s">
        <v>8</v>
      </c>
      <c r="B7176" s="2">
        <v>44733.0</v>
      </c>
      <c r="C7176" s="3">
        <v>0.3002199074074074</v>
      </c>
      <c r="D7176" s="1">
        <v>13.071962</v>
      </c>
      <c r="E7176" s="1">
        <v>80.264231</v>
      </c>
      <c r="F7176" s="1">
        <v>5339.0</v>
      </c>
      <c r="G7176" s="1">
        <v>17.0</v>
      </c>
    </row>
    <row r="7177">
      <c r="A7177" s="1" t="s">
        <v>7</v>
      </c>
      <c r="B7177" s="2">
        <v>44733.0</v>
      </c>
      <c r="C7177" s="3">
        <v>0.3004513888888889</v>
      </c>
      <c r="D7177" s="1">
        <v>12.544379</v>
      </c>
      <c r="E7177" s="1">
        <v>79.905036</v>
      </c>
      <c r="F7177" s="1">
        <v>2846.0</v>
      </c>
      <c r="G7177" s="1">
        <v>49.0</v>
      </c>
    </row>
    <row r="7178">
      <c r="A7178" s="1" t="s">
        <v>7</v>
      </c>
      <c r="B7178" s="2">
        <v>44733.0</v>
      </c>
      <c r="C7178" s="3">
        <v>0.3004513888888889</v>
      </c>
      <c r="D7178" s="1">
        <v>13.053364</v>
      </c>
      <c r="E7178" s="1">
        <v>80.252283</v>
      </c>
      <c r="F7178" s="1">
        <v>805.0</v>
      </c>
      <c r="G7178" s="1">
        <v>55.0</v>
      </c>
    </row>
    <row r="7179">
      <c r="A7179" s="1" t="s">
        <v>7</v>
      </c>
      <c r="B7179" s="2">
        <v>44733.0</v>
      </c>
      <c r="C7179" s="3">
        <v>0.30060185185185184</v>
      </c>
      <c r="D7179" s="1">
        <v>12.545742</v>
      </c>
      <c r="E7179" s="1">
        <v>79.90525</v>
      </c>
      <c r="F7179" s="1">
        <v>2846.0</v>
      </c>
      <c r="G7179" s="1">
        <v>58.0</v>
      </c>
    </row>
    <row r="7180">
      <c r="A7180" s="1" t="s">
        <v>8</v>
      </c>
      <c r="B7180" s="2">
        <v>44733.0</v>
      </c>
      <c r="C7180" s="3">
        <v>0.30060185185185184</v>
      </c>
      <c r="D7180" s="1">
        <v>13.054192</v>
      </c>
      <c r="E7180" s="1">
        <v>80.253421</v>
      </c>
      <c r="F7180" s="1">
        <v>805.0</v>
      </c>
      <c r="G7180" s="1">
        <v>52.0</v>
      </c>
    </row>
    <row r="7181">
      <c r="A7181" s="1" t="s">
        <v>8</v>
      </c>
      <c r="B7181" s="2">
        <v>44733.0</v>
      </c>
      <c r="C7181" s="3">
        <v>0.3006828703703704</v>
      </c>
      <c r="D7181" s="1">
        <v>13.054978</v>
      </c>
      <c r="E7181" s="1">
        <v>80.254416</v>
      </c>
      <c r="F7181" s="1">
        <v>805.0</v>
      </c>
      <c r="G7181" s="1">
        <v>42.0</v>
      </c>
    </row>
    <row r="7182">
      <c r="A7182" s="1" t="s">
        <v>7</v>
      </c>
      <c r="B7182" s="2">
        <v>44733.0</v>
      </c>
      <c r="C7182" s="3">
        <v>0.30083333333333334</v>
      </c>
      <c r="D7182" s="1">
        <v>13.055608</v>
      </c>
      <c r="E7182" s="1">
        <v>80.255312</v>
      </c>
      <c r="F7182" s="1">
        <v>805.0</v>
      </c>
      <c r="G7182" s="1">
        <v>43.0</v>
      </c>
    </row>
    <row r="7183">
      <c r="A7183" s="1" t="s">
        <v>8</v>
      </c>
      <c r="B7183" s="2">
        <v>44733.0</v>
      </c>
      <c r="C7183" s="3">
        <v>0.30092592592592593</v>
      </c>
      <c r="D7183" s="1">
        <v>13.056337</v>
      </c>
      <c r="E7183" s="1">
        <v>80.256319</v>
      </c>
      <c r="F7183" s="1">
        <v>805.0</v>
      </c>
      <c r="G7183" s="1">
        <v>51.0</v>
      </c>
    </row>
    <row r="7184">
      <c r="A7184" s="1" t="s">
        <v>7</v>
      </c>
      <c r="B7184" s="2">
        <v>44733.0</v>
      </c>
      <c r="C7184" s="3">
        <v>0.30104166666666665</v>
      </c>
      <c r="D7184" s="1">
        <v>12.551328</v>
      </c>
      <c r="E7184" s="1">
        <v>79.906635</v>
      </c>
      <c r="F7184" s="1">
        <v>2846.0</v>
      </c>
      <c r="G7184" s="1">
        <v>58.0</v>
      </c>
    </row>
    <row r="7185">
      <c r="A7185" s="1" t="s">
        <v>7</v>
      </c>
      <c r="B7185" s="2">
        <v>44733.0</v>
      </c>
      <c r="C7185" s="3">
        <v>0.3012037037037037</v>
      </c>
      <c r="D7185" s="1">
        <v>13.059128</v>
      </c>
      <c r="E7185" s="1">
        <v>80.259212</v>
      </c>
      <c r="F7185" s="1">
        <v>805.0</v>
      </c>
      <c r="G7185" s="1">
        <v>56.0</v>
      </c>
    </row>
    <row r="7186">
      <c r="A7186" s="1" t="s">
        <v>7</v>
      </c>
      <c r="B7186" s="2">
        <v>44733.0</v>
      </c>
      <c r="C7186" s="3">
        <v>0.30149305555555556</v>
      </c>
      <c r="D7186" s="1">
        <v>13.060444</v>
      </c>
      <c r="E7186" s="1">
        <v>80.260788</v>
      </c>
      <c r="F7186" s="1">
        <v>805.0</v>
      </c>
      <c r="G7186" s="1">
        <v>46.0</v>
      </c>
    </row>
    <row r="7187">
      <c r="A7187" s="1" t="s">
        <v>8</v>
      </c>
      <c r="B7187" s="2">
        <v>44733.0</v>
      </c>
      <c r="C7187" s="3">
        <v>0.3019560185185185</v>
      </c>
      <c r="D7187" s="1">
        <v>13.06198</v>
      </c>
      <c r="E7187" s="1">
        <v>80.262728</v>
      </c>
      <c r="F7187" s="1">
        <v>805.0</v>
      </c>
      <c r="G7187" s="1">
        <v>21.0</v>
      </c>
    </row>
    <row r="7188">
      <c r="A7188" s="1" t="s">
        <v>8</v>
      </c>
      <c r="B7188" s="2">
        <v>44733.0</v>
      </c>
      <c r="C7188" s="3">
        <v>0.3019675925925926</v>
      </c>
      <c r="D7188" s="1">
        <v>13.06198</v>
      </c>
      <c r="E7188" s="1">
        <v>80.262728</v>
      </c>
      <c r="F7188" s="1">
        <v>805.0</v>
      </c>
      <c r="G7188" s="1">
        <v>21.0</v>
      </c>
    </row>
    <row r="7189">
      <c r="A7189" s="1" t="s">
        <v>7</v>
      </c>
      <c r="B7189" s="2">
        <v>44733.0</v>
      </c>
      <c r="C7189" s="3">
        <v>0.3020949074074074</v>
      </c>
      <c r="D7189" s="1">
        <v>12.561569</v>
      </c>
      <c r="E7189" s="1">
        <v>79.912108</v>
      </c>
      <c r="F7189" s="1">
        <v>2846.0</v>
      </c>
      <c r="G7189" s="1">
        <v>57.0</v>
      </c>
    </row>
    <row r="7190">
      <c r="A7190" s="1" t="s">
        <v>7</v>
      </c>
      <c r="B7190" s="2">
        <v>44733.0</v>
      </c>
      <c r="C7190" s="3">
        <v>0.3022685185185185</v>
      </c>
      <c r="D7190" s="1">
        <v>13.063786</v>
      </c>
      <c r="E7190" s="1">
        <v>80.264929</v>
      </c>
      <c r="F7190" s="1">
        <v>805.0</v>
      </c>
      <c r="G7190" s="1">
        <v>56.0</v>
      </c>
    </row>
    <row r="7191">
      <c r="A7191" s="1" t="s">
        <v>8</v>
      </c>
      <c r="B7191" s="2">
        <v>44733.0</v>
      </c>
      <c r="C7191" s="3">
        <v>0.3022916666666667</v>
      </c>
      <c r="D7191" s="1">
        <v>13.063786</v>
      </c>
      <c r="E7191" s="1">
        <v>80.264929</v>
      </c>
      <c r="F7191" s="1">
        <v>805.0</v>
      </c>
      <c r="G7191" s="1">
        <v>56.0</v>
      </c>
    </row>
    <row r="7192">
      <c r="A7192" s="1" t="s">
        <v>7</v>
      </c>
      <c r="B7192" s="2">
        <v>44733.0</v>
      </c>
      <c r="C7192" s="3">
        <v>0.30234953703703704</v>
      </c>
      <c r="D7192" s="1">
        <v>12.564029</v>
      </c>
      <c r="E7192" s="1">
        <v>79.913499</v>
      </c>
      <c r="F7192" s="1">
        <v>2846.0</v>
      </c>
      <c r="G7192" s="1">
        <v>55.0</v>
      </c>
    </row>
    <row r="7193">
      <c r="A7193" s="1" t="s">
        <v>7</v>
      </c>
      <c r="B7193" s="2">
        <v>44733.0</v>
      </c>
      <c r="C7193" s="3">
        <v>0.30238425925925927</v>
      </c>
      <c r="D7193" s="1">
        <v>13.064593</v>
      </c>
      <c r="E7193" s="1">
        <v>80.265957</v>
      </c>
      <c r="F7193" s="1">
        <v>805.0</v>
      </c>
      <c r="G7193" s="1">
        <v>50.0</v>
      </c>
    </row>
    <row r="7194">
      <c r="A7194" s="1" t="s">
        <v>8</v>
      </c>
      <c r="B7194" s="2">
        <v>44733.0</v>
      </c>
      <c r="C7194" s="3">
        <v>0.30256944444444445</v>
      </c>
      <c r="D7194" s="1">
        <v>13.065435</v>
      </c>
      <c r="E7194" s="1">
        <v>80.267002</v>
      </c>
      <c r="F7194" s="1">
        <v>805.0</v>
      </c>
      <c r="G7194" s="1">
        <v>50.0</v>
      </c>
    </row>
    <row r="7195">
      <c r="A7195" s="1" t="s">
        <v>8</v>
      </c>
      <c r="B7195" s="2">
        <v>44733.0</v>
      </c>
      <c r="C7195" s="3">
        <v>0.3026041666666667</v>
      </c>
      <c r="D7195" s="1">
        <v>13.066083</v>
      </c>
      <c r="E7195" s="1">
        <v>80.26784</v>
      </c>
      <c r="F7195" s="1">
        <v>805.0</v>
      </c>
      <c r="G7195" s="1">
        <v>40.0</v>
      </c>
    </row>
    <row r="7196">
      <c r="A7196" s="1" t="s">
        <v>8</v>
      </c>
      <c r="B7196" s="2">
        <v>44733.0</v>
      </c>
      <c r="C7196" s="3">
        <v>0.3026273148148148</v>
      </c>
      <c r="D7196" s="1">
        <v>13.066083</v>
      </c>
      <c r="E7196" s="1">
        <v>80.26784</v>
      </c>
      <c r="F7196" s="1">
        <v>805.0</v>
      </c>
      <c r="G7196" s="1">
        <v>40.0</v>
      </c>
    </row>
    <row r="7197">
      <c r="A7197" s="1" t="s">
        <v>8</v>
      </c>
      <c r="B7197" s="2">
        <v>44733.0</v>
      </c>
      <c r="C7197" s="3">
        <v>0.30265046296296294</v>
      </c>
      <c r="D7197" s="1">
        <v>13.066083</v>
      </c>
      <c r="E7197" s="1">
        <v>80.26784</v>
      </c>
      <c r="F7197" s="1">
        <v>805.0</v>
      </c>
      <c r="G7197" s="1">
        <v>40.0</v>
      </c>
    </row>
    <row r="7198">
      <c r="A7198" s="1" t="s">
        <v>8</v>
      </c>
      <c r="B7198" s="2">
        <v>44733.0</v>
      </c>
      <c r="C7198" s="3">
        <v>0.30287037037037035</v>
      </c>
      <c r="D7198" s="1">
        <v>13.067439</v>
      </c>
      <c r="E7198" s="1">
        <v>80.268874</v>
      </c>
      <c r="F7198" s="1">
        <v>805.0</v>
      </c>
      <c r="G7198" s="1">
        <v>37.0</v>
      </c>
    </row>
    <row r="7199">
      <c r="A7199" s="1" t="s">
        <v>10</v>
      </c>
      <c r="B7199" s="2">
        <v>44733.0</v>
      </c>
      <c r="C7199" s="3">
        <v>0.3030324074074074</v>
      </c>
      <c r="D7199" s="1">
        <v>13.06445</v>
      </c>
      <c r="E7199" s="1">
        <v>80.273986</v>
      </c>
      <c r="F7199" s="1">
        <v>5339.0</v>
      </c>
      <c r="G7199" s="1">
        <v>11.0</v>
      </c>
    </row>
    <row r="7200">
      <c r="A7200" s="1" t="s">
        <v>7</v>
      </c>
      <c r="B7200" s="2">
        <v>44733.0</v>
      </c>
      <c r="C7200" s="3">
        <v>0.3034375</v>
      </c>
      <c r="D7200" s="1">
        <v>13.066775</v>
      </c>
      <c r="E7200" s="1">
        <v>80.269968</v>
      </c>
      <c r="F7200" s="1">
        <v>805.0</v>
      </c>
      <c r="G7200" s="1">
        <v>60.0</v>
      </c>
    </row>
    <row r="7201">
      <c r="A7201" s="1" t="s">
        <v>8</v>
      </c>
      <c r="B7201" s="2">
        <v>44733.0</v>
      </c>
      <c r="C7201" s="3">
        <v>0.3035185185185185</v>
      </c>
      <c r="D7201" s="1">
        <v>13.066292</v>
      </c>
      <c r="E7201" s="1">
        <v>80.268535</v>
      </c>
      <c r="F7201" s="1">
        <v>805.0</v>
      </c>
      <c r="G7201" s="1">
        <v>53.0</v>
      </c>
    </row>
    <row r="7202">
      <c r="A7202" s="1" t="s">
        <v>10</v>
      </c>
      <c r="B7202" s="2">
        <v>44733.0</v>
      </c>
      <c r="C7202" s="3">
        <v>0.3044212962962963</v>
      </c>
      <c r="D7202" s="1">
        <v>13.063366</v>
      </c>
      <c r="E7202" s="1">
        <v>80.26734</v>
      </c>
      <c r="F7202" s="1">
        <v>805.0</v>
      </c>
      <c r="G7202" s="1">
        <v>15.0</v>
      </c>
    </row>
    <row r="7203">
      <c r="A7203" s="1" t="s">
        <v>7</v>
      </c>
      <c r="B7203" s="2">
        <v>44733.0</v>
      </c>
      <c r="C7203" s="3">
        <v>0.3045949074074074</v>
      </c>
      <c r="D7203" s="1">
        <v>12.590382</v>
      </c>
      <c r="E7203" s="1">
        <v>79.919262</v>
      </c>
      <c r="F7203" s="1">
        <v>2846.0</v>
      </c>
      <c r="G7203" s="1">
        <v>57.0</v>
      </c>
    </row>
    <row r="7204">
      <c r="A7204" s="1" t="s">
        <v>7</v>
      </c>
      <c r="B7204" s="2">
        <v>44733.0</v>
      </c>
      <c r="C7204" s="3">
        <v>0.3055324074074074</v>
      </c>
      <c r="D7204" s="1">
        <v>12.602296</v>
      </c>
      <c r="E7204" s="1">
        <v>79.920114</v>
      </c>
      <c r="F7204" s="1">
        <v>2846.0</v>
      </c>
      <c r="G7204" s="1">
        <v>58.0</v>
      </c>
    </row>
    <row r="7205">
      <c r="A7205" s="1" t="s">
        <v>10</v>
      </c>
      <c r="B7205" s="2">
        <v>44733.0</v>
      </c>
      <c r="C7205" s="3">
        <v>0.3057523148148148</v>
      </c>
      <c r="D7205" s="1">
        <v>13.056575</v>
      </c>
      <c r="E7205" s="1">
        <v>80.273913</v>
      </c>
      <c r="F7205" s="1">
        <v>5339.0</v>
      </c>
      <c r="G7205" s="1">
        <v>5.0</v>
      </c>
    </row>
    <row r="7206">
      <c r="A7206" s="1" t="s">
        <v>7</v>
      </c>
      <c r="B7206" s="2">
        <v>44733.0</v>
      </c>
      <c r="C7206" s="3">
        <v>0.3058564814814815</v>
      </c>
      <c r="D7206" s="1">
        <v>12.605852</v>
      </c>
      <c r="E7206" s="1">
        <v>79.920785</v>
      </c>
      <c r="F7206" s="1">
        <v>2846.0</v>
      </c>
      <c r="G7206" s="1">
        <v>39.0</v>
      </c>
    </row>
    <row r="7207">
      <c r="A7207" s="1" t="s">
        <v>7</v>
      </c>
      <c r="B7207" s="2">
        <v>44733.0</v>
      </c>
      <c r="C7207" s="3">
        <v>0.30645833333333333</v>
      </c>
      <c r="D7207" s="1">
        <v>12.612111</v>
      </c>
      <c r="E7207" s="1">
        <v>79.923788</v>
      </c>
      <c r="F7207" s="1">
        <v>2846.0</v>
      </c>
      <c r="G7207" s="1">
        <v>58.0</v>
      </c>
    </row>
    <row r="7208">
      <c r="A7208" s="1" t="s">
        <v>7</v>
      </c>
      <c r="B7208" s="2">
        <v>44733.0</v>
      </c>
      <c r="C7208" s="3">
        <v>0.30681712962962965</v>
      </c>
      <c r="D7208" s="1">
        <v>12.616041</v>
      </c>
      <c r="E7208" s="1">
        <v>79.925933</v>
      </c>
      <c r="F7208" s="1">
        <v>2846.0</v>
      </c>
      <c r="G7208" s="1">
        <v>57.0</v>
      </c>
    </row>
    <row r="7209">
      <c r="A7209" s="1" t="s">
        <v>7</v>
      </c>
      <c r="B7209" s="2">
        <v>44733.0</v>
      </c>
      <c r="C7209" s="3">
        <v>0.30693287037037037</v>
      </c>
      <c r="D7209" s="1">
        <v>12.617429</v>
      </c>
      <c r="E7209" s="1">
        <v>79.92638</v>
      </c>
      <c r="F7209" s="1">
        <v>2846.0</v>
      </c>
      <c r="G7209" s="1">
        <v>57.0</v>
      </c>
    </row>
    <row r="7210">
      <c r="A7210" s="1" t="s">
        <v>10</v>
      </c>
      <c r="B7210" s="2">
        <v>44733.0</v>
      </c>
      <c r="C7210" s="3">
        <v>0.30722222222222223</v>
      </c>
      <c r="D7210" s="1">
        <v>13.053107</v>
      </c>
      <c r="E7210" s="1">
        <v>80.27203</v>
      </c>
      <c r="F7210" s="1">
        <v>5339.0</v>
      </c>
      <c r="G7210" s="1">
        <v>9.0</v>
      </c>
    </row>
    <row r="7211">
      <c r="A7211" s="1" t="s">
        <v>7</v>
      </c>
      <c r="B7211" s="2">
        <v>44733.0</v>
      </c>
      <c r="C7211" s="3">
        <v>0.30725694444444446</v>
      </c>
      <c r="D7211" s="1">
        <v>12.621635</v>
      </c>
      <c r="E7211" s="1">
        <v>79.9275</v>
      </c>
      <c r="F7211" s="1">
        <v>2846.0</v>
      </c>
      <c r="G7211" s="1">
        <v>58.0</v>
      </c>
    </row>
    <row r="7212">
      <c r="A7212" s="1" t="s">
        <v>7</v>
      </c>
      <c r="B7212" s="2">
        <v>44733.0</v>
      </c>
      <c r="C7212" s="3">
        <v>0.3075115740740741</v>
      </c>
      <c r="D7212" s="1">
        <v>12.624333</v>
      </c>
      <c r="E7212" s="1">
        <v>79.928657</v>
      </c>
      <c r="F7212" s="1">
        <v>2846.0</v>
      </c>
      <c r="G7212" s="1">
        <v>58.0</v>
      </c>
    </row>
    <row r="7213">
      <c r="A7213" s="1" t="s">
        <v>7</v>
      </c>
      <c r="B7213" s="2">
        <v>44733.0</v>
      </c>
      <c r="C7213" s="3">
        <v>0.3077314814814815</v>
      </c>
      <c r="D7213" s="1">
        <v>12.627026</v>
      </c>
      <c r="E7213" s="1">
        <v>79.929804</v>
      </c>
      <c r="F7213" s="1">
        <v>2846.0</v>
      </c>
      <c r="G7213" s="1">
        <v>58.0</v>
      </c>
    </row>
    <row r="7214">
      <c r="A7214" s="1" t="s">
        <v>10</v>
      </c>
      <c r="B7214" s="2">
        <v>44733.0</v>
      </c>
      <c r="C7214" s="3">
        <v>0.30778935185185186</v>
      </c>
      <c r="D7214" s="1">
        <v>13.053338</v>
      </c>
      <c r="E7214" s="1">
        <v>80.269807</v>
      </c>
      <c r="F7214" s="1">
        <v>5339.0</v>
      </c>
      <c r="G7214" s="1">
        <v>20.0</v>
      </c>
    </row>
    <row r="7215">
      <c r="A7215" s="1" t="s">
        <v>10</v>
      </c>
      <c r="B7215" s="2">
        <v>44733.0</v>
      </c>
      <c r="C7215" s="3">
        <v>0.3079050925925926</v>
      </c>
      <c r="D7215" s="1">
        <v>13.053397</v>
      </c>
      <c r="E7215" s="1">
        <v>80.269287</v>
      </c>
      <c r="F7215" s="1">
        <v>5339.0</v>
      </c>
      <c r="G7215" s="1">
        <v>20.0</v>
      </c>
    </row>
    <row r="7216">
      <c r="A7216" s="1" t="s">
        <v>7</v>
      </c>
      <c r="B7216" s="2">
        <v>44733.0</v>
      </c>
      <c r="C7216" s="3">
        <v>0.3090162037037037</v>
      </c>
      <c r="D7216" s="1">
        <v>12.636732</v>
      </c>
      <c r="E7216" s="1">
        <v>79.934196</v>
      </c>
      <c r="F7216" s="1">
        <v>2846.0</v>
      </c>
      <c r="G7216" s="1">
        <v>46.0</v>
      </c>
    </row>
    <row r="7217">
      <c r="A7217" s="1" t="s">
        <v>7</v>
      </c>
      <c r="B7217" s="2">
        <v>44733.0</v>
      </c>
      <c r="C7217" s="3">
        <v>0.3090625</v>
      </c>
      <c r="D7217" s="1">
        <v>12.637852</v>
      </c>
      <c r="E7217" s="1">
        <v>79.934886</v>
      </c>
      <c r="F7217" s="1">
        <v>2846.0</v>
      </c>
      <c r="G7217" s="1">
        <v>56.0</v>
      </c>
    </row>
    <row r="7218">
      <c r="A7218" s="1" t="s">
        <v>7</v>
      </c>
      <c r="B7218" s="2">
        <v>44733.0</v>
      </c>
      <c r="C7218" s="3">
        <v>0.30944444444444447</v>
      </c>
      <c r="D7218" s="1">
        <v>12.641612</v>
      </c>
      <c r="E7218" s="1">
        <v>79.937207</v>
      </c>
      <c r="F7218" s="1">
        <v>2846.0</v>
      </c>
      <c r="G7218" s="1">
        <v>58.0</v>
      </c>
    </row>
    <row r="7219">
      <c r="A7219" s="1" t="s">
        <v>7</v>
      </c>
      <c r="B7219" s="2">
        <v>44733.0</v>
      </c>
      <c r="C7219" s="3">
        <v>0.3096527777777778</v>
      </c>
      <c r="D7219" s="1">
        <v>12.644129</v>
      </c>
      <c r="E7219" s="1">
        <v>79.938703</v>
      </c>
      <c r="F7219" s="1">
        <v>2846.0</v>
      </c>
      <c r="G7219" s="1">
        <v>58.0</v>
      </c>
    </row>
    <row r="7220">
      <c r="A7220" s="1" t="s">
        <v>7</v>
      </c>
      <c r="B7220" s="2">
        <v>44733.0</v>
      </c>
      <c r="C7220" s="3">
        <v>0.3097916666666667</v>
      </c>
      <c r="D7220" s="1">
        <v>12.645384</v>
      </c>
      <c r="E7220" s="1">
        <v>79.939457</v>
      </c>
      <c r="F7220" s="1">
        <v>2846.0</v>
      </c>
      <c r="G7220" s="1">
        <v>57.0</v>
      </c>
    </row>
    <row r="7221">
      <c r="A7221" s="1" t="s">
        <v>7</v>
      </c>
      <c r="B7221" s="2">
        <v>44733.0</v>
      </c>
      <c r="C7221" s="3">
        <v>0.3099189814814815</v>
      </c>
      <c r="D7221" s="1">
        <v>12.646663</v>
      </c>
      <c r="E7221" s="1">
        <v>79.940156</v>
      </c>
      <c r="F7221" s="1">
        <v>2846.0</v>
      </c>
      <c r="G7221" s="1">
        <v>57.0</v>
      </c>
    </row>
    <row r="7222">
      <c r="A7222" s="1" t="s">
        <v>8</v>
      </c>
      <c r="B7222" s="2">
        <v>44733.0</v>
      </c>
      <c r="C7222" s="3">
        <v>0.31081018518518516</v>
      </c>
      <c r="D7222" s="1">
        <v>13.053797</v>
      </c>
      <c r="E7222" s="1">
        <v>80.253051</v>
      </c>
      <c r="F7222" s="1">
        <v>5339.0</v>
      </c>
      <c r="G7222" s="1">
        <v>41.0</v>
      </c>
    </row>
    <row r="7223">
      <c r="A7223" s="1" t="s">
        <v>7</v>
      </c>
      <c r="B7223" s="2">
        <v>44733.0</v>
      </c>
      <c r="C7223" s="3">
        <v>0.3108449074074074</v>
      </c>
      <c r="D7223" s="1">
        <v>12.657804</v>
      </c>
      <c r="E7223" s="1">
        <v>79.941493</v>
      </c>
      <c r="F7223" s="1">
        <v>2846.0</v>
      </c>
      <c r="G7223" s="1">
        <v>58.0</v>
      </c>
    </row>
    <row r="7224">
      <c r="A7224" s="1" t="s">
        <v>10</v>
      </c>
      <c r="B7224" s="2">
        <v>44733.0</v>
      </c>
      <c r="C7224" s="3">
        <v>0.31092592592592594</v>
      </c>
      <c r="D7224" s="1">
        <v>13.04723</v>
      </c>
      <c r="E7224" s="1">
        <v>80.266354</v>
      </c>
      <c r="F7224" s="1">
        <v>805.0</v>
      </c>
      <c r="G7224" s="1">
        <v>7.0</v>
      </c>
    </row>
    <row r="7225">
      <c r="A7225" s="1" t="s">
        <v>8</v>
      </c>
      <c r="B7225" s="2">
        <v>44733.0</v>
      </c>
      <c r="C7225" s="3">
        <v>0.3113194444444444</v>
      </c>
      <c r="D7225" s="1">
        <v>12.657642</v>
      </c>
      <c r="E7225" s="1">
        <v>79.946618</v>
      </c>
      <c r="F7225" s="1">
        <v>2846.0</v>
      </c>
      <c r="G7225" s="1">
        <v>46.0</v>
      </c>
    </row>
    <row r="7226">
      <c r="A7226" s="1" t="s">
        <v>7</v>
      </c>
      <c r="B7226" s="2">
        <v>44733.0</v>
      </c>
      <c r="C7226" s="3">
        <v>0.3116087962962963</v>
      </c>
      <c r="D7226" s="1">
        <v>13.047426</v>
      </c>
      <c r="E7226" s="1">
        <v>80.248737</v>
      </c>
      <c r="F7226" s="1">
        <v>5339.0</v>
      </c>
      <c r="G7226" s="1">
        <v>49.0</v>
      </c>
    </row>
    <row r="7227">
      <c r="A7227" s="1" t="s">
        <v>7</v>
      </c>
      <c r="B7227" s="2">
        <v>44733.0</v>
      </c>
      <c r="C7227" s="3">
        <v>0.31168981481481484</v>
      </c>
      <c r="D7227" s="1">
        <v>13.047426</v>
      </c>
      <c r="E7227" s="1">
        <v>80.248737</v>
      </c>
      <c r="F7227" s="1">
        <v>5339.0</v>
      </c>
      <c r="G7227" s="1">
        <v>49.0</v>
      </c>
    </row>
    <row r="7228">
      <c r="A7228" s="1" t="s">
        <v>7</v>
      </c>
      <c r="B7228" s="2">
        <v>44733.0</v>
      </c>
      <c r="C7228" s="3">
        <v>0.31200231481481483</v>
      </c>
      <c r="D7228" s="1">
        <v>12.655953</v>
      </c>
      <c r="E7228" s="1">
        <v>79.953087</v>
      </c>
      <c r="F7228" s="1">
        <v>2846.0</v>
      </c>
      <c r="G7228" s="1">
        <v>57.0</v>
      </c>
    </row>
    <row r="7229">
      <c r="A7229" s="1" t="s">
        <v>8</v>
      </c>
      <c r="B7229" s="2">
        <v>44733.0</v>
      </c>
      <c r="C7229" s="3">
        <v>0.31318287037037035</v>
      </c>
      <c r="D7229" s="1">
        <v>13.039154</v>
      </c>
      <c r="E7229" s="1">
        <v>80.246972</v>
      </c>
      <c r="F7229" s="1">
        <v>5339.0</v>
      </c>
      <c r="G7229" s="1">
        <v>18.0</v>
      </c>
    </row>
    <row r="7230">
      <c r="A7230" s="1" t="s">
        <v>8</v>
      </c>
      <c r="B7230" s="2">
        <v>44733.0</v>
      </c>
      <c r="C7230" s="3">
        <v>0.31319444444444444</v>
      </c>
      <c r="D7230" s="1">
        <v>13.039154</v>
      </c>
      <c r="E7230" s="1">
        <v>80.246972</v>
      </c>
      <c r="F7230" s="1">
        <v>5339.0</v>
      </c>
      <c r="G7230" s="1">
        <v>18.0</v>
      </c>
    </row>
    <row r="7231">
      <c r="A7231" s="1" t="s">
        <v>8</v>
      </c>
      <c r="B7231" s="2">
        <v>44733.0</v>
      </c>
      <c r="C7231" s="3">
        <v>0.31322916666666667</v>
      </c>
      <c r="D7231" s="1">
        <v>13.038572</v>
      </c>
      <c r="E7231" s="1">
        <v>80.246838</v>
      </c>
      <c r="F7231" s="1">
        <v>5339.0</v>
      </c>
      <c r="G7231" s="1">
        <v>27.0</v>
      </c>
    </row>
    <row r="7232">
      <c r="A7232" s="1" t="s">
        <v>8</v>
      </c>
      <c r="B7232" s="2">
        <v>44733.0</v>
      </c>
      <c r="C7232" s="3">
        <v>0.31418981481481484</v>
      </c>
      <c r="D7232" s="1">
        <v>13.03324</v>
      </c>
      <c r="E7232" s="1">
        <v>80.243679</v>
      </c>
      <c r="F7232" s="1">
        <v>5339.0</v>
      </c>
      <c r="G7232" s="1">
        <v>38.0</v>
      </c>
    </row>
    <row r="7233">
      <c r="A7233" s="1" t="s">
        <v>8</v>
      </c>
      <c r="B7233" s="2">
        <v>44733.0</v>
      </c>
      <c r="C7233" s="3">
        <v>0.3154398148148148</v>
      </c>
      <c r="D7233" s="1">
        <v>12.674448</v>
      </c>
      <c r="E7233" s="1">
        <v>79.97698</v>
      </c>
      <c r="F7233" s="1">
        <v>2846.0</v>
      </c>
      <c r="G7233" s="1">
        <v>32.0</v>
      </c>
    </row>
    <row r="7234">
      <c r="A7234" s="1" t="s">
        <v>10</v>
      </c>
      <c r="B7234" s="2">
        <v>44733.0</v>
      </c>
      <c r="C7234" s="3">
        <v>0.3155439814814815</v>
      </c>
      <c r="D7234" s="1">
        <v>12.675105</v>
      </c>
      <c r="E7234" s="1">
        <v>79.977435</v>
      </c>
      <c r="F7234" s="1">
        <v>2846.0</v>
      </c>
      <c r="G7234" s="1">
        <v>21.0</v>
      </c>
    </row>
    <row r="7235">
      <c r="A7235" s="1" t="s">
        <v>8</v>
      </c>
      <c r="B7235" s="2">
        <v>44733.0</v>
      </c>
      <c r="C7235" s="3">
        <v>0.31591435185185185</v>
      </c>
      <c r="D7235" s="1">
        <v>13.03098</v>
      </c>
      <c r="E7235" s="1">
        <v>80.239785</v>
      </c>
      <c r="F7235" s="1">
        <v>5339.0</v>
      </c>
      <c r="G7235" s="1">
        <v>22.0</v>
      </c>
    </row>
    <row r="7236">
      <c r="A7236" s="1" t="s">
        <v>8</v>
      </c>
      <c r="B7236" s="2">
        <v>44733.0</v>
      </c>
      <c r="C7236" s="3">
        <v>0.3162152777777778</v>
      </c>
      <c r="D7236" s="1">
        <v>13.029494</v>
      </c>
      <c r="E7236" s="1">
        <v>80.237202</v>
      </c>
      <c r="F7236" s="1">
        <v>5339.0</v>
      </c>
      <c r="G7236" s="1">
        <v>43.0</v>
      </c>
    </row>
    <row r="7237">
      <c r="A7237" s="1" t="s">
        <v>8</v>
      </c>
      <c r="B7237" s="2">
        <v>44733.0</v>
      </c>
      <c r="C7237" s="3">
        <v>0.31623842592592594</v>
      </c>
      <c r="D7237" s="1">
        <v>13.029494</v>
      </c>
      <c r="E7237" s="1">
        <v>80.237202</v>
      </c>
      <c r="F7237" s="1">
        <v>5339.0</v>
      </c>
      <c r="G7237" s="1">
        <v>43.0</v>
      </c>
    </row>
    <row r="7238">
      <c r="A7238" s="1" t="s">
        <v>8</v>
      </c>
      <c r="B7238" s="2">
        <v>44733.0</v>
      </c>
      <c r="C7238" s="3">
        <v>0.31627314814814816</v>
      </c>
      <c r="D7238" s="1">
        <v>13.029494</v>
      </c>
      <c r="E7238" s="1">
        <v>80.237202</v>
      </c>
      <c r="F7238" s="1">
        <v>5339.0</v>
      </c>
      <c r="G7238" s="1">
        <v>43.0</v>
      </c>
    </row>
    <row r="7239">
      <c r="A7239" s="1" t="s">
        <v>8</v>
      </c>
      <c r="B7239" s="2">
        <v>44733.0</v>
      </c>
      <c r="C7239" s="3">
        <v>0.31631944444444443</v>
      </c>
      <c r="D7239" s="1">
        <v>13.028343</v>
      </c>
      <c r="E7239" s="1">
        <v>80.235907</v>
      </c>
      <c r="F7239" s="1">
        <v>5339.0</v>
      </c>
      <c r="G7239" s="1">
        <v>43.0</v>
      </c>
    </row>
    <row r="7240">
      <c r="A7240" s="1" t="s">
        <v>8</v>
      </c>
      <c r="B7240" s="2">
        <v>44733.0</v>
      </c>
      <c r="C7240" s="3">
        <v>0.3163888888888889</v>
      </c>
      <c r="D7240" s="1">
        <v>13.028343</v>
      </c>
      <c r="E7240" s="1">
        <v>80.235907</v>
      </c>
      <c r="F7240" s="1">
        <v>5339.0</v>
      </c>
      <c r="G7240" s="1">
        <v>43.0</v>
      </c>
    </row>
    <row r="7241">
      <c r="A7241" s="1" t="s">
        <v>8</v>
      </c>
      <c r="B7241" s="2">
        <v>44733.0</v>
      </c>
      <c r="C7241" s="3">
        <v>0.3164699074074074</v>
      </c>
      <c r="D7241" s="1">
        <v>12.678872</v>
      </c>
      <c r="E7241" s="1">
        <v>79.980208</v>
      </c>
      <c r="F7241" s="1">
        <v>2846.0</v>
      </c>
      <c r="G7241" s="1">
        <v>30.0</v>
      </c>
    </row>
    <row r="7242">
      <c r="A7242" s="1" t="s">
        <v>8</v>
      </c>
      <c r="B7242" s="2">
        <v>44733.0</v>
      </c>
      <c r="C7242" s="3">
        <v>0.3164814814814815</v>
      </c>
      <c r="D7242" s="1">
        <v>13.027487</v>
      </c>
      <c r="E7242" s="1">
        <v>80.234624</v>
      </c>
      <c r="F7242" s="1">
        <v>5339.0</v>
      </c>
      <c r="G7242" s="1">
        <v>33.0</v>
      </c>
    </row>
    <row r="7243">
      <c r="A7243" s="1" t="s">
        <v>8</v>
      </c>
      <c r="B7243" s="2">
        <v>44733.0</v>
      </c>
      <c r="C7243" s="3">
        <v>0.3171875</v>
      </c>
      <c r="D7243" s="1">
        <v>12.681671</v>
      </c>
      <c r="E7243" s="1">
        <v>79.981831</v>
      </c>
      <c r="F7243" s="1">
        <v>2846.0</v>
      </c>
      <c r="G7243" s="1">
        <v>44.0</v>
      </c>
    </row>
    <row r="7244">
      <c r="A7244" s="1" t="s">
        <v>7</v>
      </c>
      <c r="B7244" s="2">
        <v>44733.0</v>
      </c>
      <c r="C7244" s="3">
        <v>0.31829861111111113</v>
      </c>
      <c r="D7244" s="1">
        <v>13.022675</v>
      </c>
      <c r="E7244" s="1">
        <v>80.226871</v>
      </c>
      <c r="F7244" s="1">
        <v>5339.0</v>
      </c>
      <c r="G7244" s="1">
        <v>50.0</v>
      </c>
    </row>
    <row r="7245">
      <c r="A7245" s="1" t="s">
        <v>8</v>
      </c>
      <c r="B7245" s="2">
        <v>44733.0</v>
      </c>
      <c r="C7245" s="3">
        <v>0.31930555555555556</v>
      </c>
      <c r="D7245" s="1">
        <v>13.015084</v>
      </c>
      <c r="E7245" s="1">
        <v>80.225973</v>
      </c>
      <c r="F7245" s="1">
        <v>5339.0</v>
      </c>
      <c r="G7245" s="1">
        <v>16.0</v>
      </c>
    </row>
    <row r="7246">
      <c r="A7246" s="1" t="s">
        <v>10</v>
      </c>
      <c r="B7246" s="2">
        <v>44733.0</v>
      </c>
      <c r="C7246" s="3">
        <v>0.3197800925925926</v>
      </c>
      <c r="D7246" s="1">
        <v>12.690254</v>
      </c>
      <c r="E7246" s="1">
        <v>79.980547</v>
      </c>
      <c r="F7246" s="1">
        <v>2846.0</v>
      </c>
      <c r="G7246" s="1">
        <v>6.0</v>
      </c>
    </row>
    <row r="7247">
      <c r="A7247" s="1" t="s">
        <v>8</v>
      </c>
      <c r="B7247" s="2">
        <v>44733.0</v>
      </c>
      <c r="C7247" s="3">
        <v>0.32006944444444446</v>
      </c>
      <c r="D7247" s="1">
        <v>13.010191</v>
      </c>
      <c r="E7247" s="1">
        <v>80.226127</v>
      </c>
      <c r="F7247" s="1">
        <v>5339.0</v>
      </c>
      <c r="G7247" s="1">
        <v>40.0</v>
      </c>
    </row>
    <row r="7248">
      <c r="A7248" s="1" t="s">
        <v>8</v>
      </c>
      <c r="B7248" s="2">
        <v>44733.0</v>
      </c>
      <c r="C7248" s="3">
        <v>0.3205208333333333</v>
      </c>
      <c r="D7248" s="1">
        <v>13.011706</v>
      </c>
      <c r="E7248" s="1">
        <v>80.222419</v>
      </c>
      <c r="F7248" s="1">
        <v>5339.0</v>
      </c>
      <c r="G7248" s="1">
        <v>46.0</v>
      </c>
    </row>
    <row r="7249">
      <c r="A7249" s="1" t="s">
        <v>8</v>
      </c>
      <c r="B7249" s="2">
        <v>44733.0</v>
      </c>
      <c r="C7249" s="3">
        <v>0.3206365740740741</v>
      </c>
      <c r="D7249" s="1">
        <v>13.012155</v>
      </c>
      <c r="E7249" s="1">
        <v>80.221232</v>
      </c>
      <c r="F7249" s="1">
        <v>5339.0</v>
      </c>
      <c r="G7249" s="1">
        <v>25.0</v>
      </c>
    </row>
    <row r="7250">
      <c r="A7250" s="1" t="s">
        <v>8</v>
      </c>
      <c r="B7250" s="2">
        <v>44733.0</v>
      </c>
      <c r="C7250" s="3">
        <v>0.3212847222222222</v>
      </c>
      <c r="D7250" s="1">
        <v>12.694892</v>
      </c>
      <c r="E7250" s="1">
        <v>79.978194</v>
      </c>
      <c r="F7250" s="1">
        <v>2846.0</v>
      </c>
      <c r="G7250" s="1">
        <v>26.0</v>
      </c>
    </row>
    <row r="7251">
      <c r="A7251" s="1" t="s">
        <v>7</v>
      </c>
      <c r="B7251" s="2">
        <v>44733.0</v>
      </c>
      <c r="C7251" s="3">
        <v>0.32175925925925924</v>
      </c>
      <c r="D7251" s="1">
        <v>13.009109</v>
      </c>
      <c r="E7251" s="1">
        <v>80.21215</v>
      </c>
      <c r="F7251" s="1">
        <v>5339.0</v>
      </c>
      <c r="G7251" s="1">
        <v>59.0</v>
      </c>
    </row>
    <row r="7252">
      <c r="A7252" s="1" t="s">
        <v>7</v>
      </c>
      <c r="B7252" s="2">
        <v>44733.0</v>
      </c>
      <c r="C7252" s="3">
        <v>0.3219675925925926</v>
      </c>
      <c r="D7252" s="1">
        <v>13.008141</v>
      </c>
      <c r="E7252" s="1">
        <v>80.209348</v>
      </c>
      <c r="F7252" s="1">
        <v>5339.0</v>
      </c>
      <c r="G7252" s="1">
        <v>57.0</v>
      </c>
    </row>
    <row r="7253">
      <c r="A7253" s="1" t="s">
        <v>7</v>
      </c>
      <c r="B7253" s="2">
        <v>44733.0</v>
      </c>
      <c r="C7253" s="3">
        <v>0.32208333333333333</v>
      </c>
      <c r="D7253" s="1">
        <v>13.007912</v>
      </c>
      <c r="E7253" s="1">
        <v>80.207918</v>
      </c>
      <c r="F7253" s="1">
        <v>5339.0</v>
      </c>
      <c r="G7253" s="1">
        <v>54.0</v>
      </c>
    </row>
    <row r="7254">
      <c r="A7254" s="1" t="s">
        <v>8</v>
      </c>
      <c r="B7254" s="2">
        <v>44733.0</v>
      </c>
      <c r="C7254" s="3">
        <v>0.32243055555555555</v>
      </c>
      <c r="D7254" s="1">
        <v>13.00726</v>
      </c>
      <c r="E7254" s="1">
        <v>80.204963</v>
      </c>
      <c r="F7254" s="1">
        <v>5339.0</v>
      </c>
      <c r="G7254" s="1">
        <v>50.0</v>
      </c>
    </row>
    <row r="7255">
      <c r="A7255" s="1" t="s">
        <v>8</v>
      </c>
      <c r="B7255" s="2">
        <v>44733.0</v>
      </c>
      <c r="C7255" s="3">
        <v>0.3230092592592593</v>
      </c>
      <c r="D7255" s="1">
        <v>13.002852</v>
      </c>
      <c r="E7255" s="1">
        <v>80.200743</v>
      </c>
      <c r="F7255" s="1">
        <v>5339.0</v>
      </c>
      <c r="G7255" s="1">
        <v>40.0</v>
      </c>
    </row>
    <row r="7256">
      <c r="A7256" s="1" t="s">
        <v>8</v>
      </c>
      <c r="B7256" s="2">
        <v>44733.0</v>
      </c>
      <c r="C7256" s="3">
        <v>0.32327546296296295</v>
      </c>
      <c r="D7256" s="1">
        <v>13.00644</v>
      </c>
      <c r="E7256" s="1">
        <v>80.256214</v>
      </c>
      <c r="F7256" s="1">
        <v>805.0</v>
      </c>
      <c r="G7256" s="1">
        <v>34.0</v>
      </c>
    </row>
    <row r="7257">
      <c r="A7257" s="1" t="s">
        <v>8</v>
      </c>
      <c r="B7257" s="2">
        <v>44733.0</v>
      </c>
      <c r="C7257" s="3">
        <v>0.3240046296296296</v>
      </c>
      <c r="D7257" s="1">
        <v>13.00079</v>
      </c>
      <c r="E7257" s="1">
        <v>80.195236</v>
      </c>
      <c r="F7257" s="1">
        <v>5339.0</v>
      </c>
      <c r="G7257" s="1">
        <v>39.0</v>
      </c>
    </row>
    <row r="7258">
      <c r="A7258" s="1" t="s">
        <v>10</v>
      </c>
      <c r="B7258" s="2">
        <v>44733.0</v>
      </c>
      <c r="C7258" s="3">
        <v>0.3242361111111111</v>
      </c>
      <c r="D7258" s="1">
        <v>12.699832</v>
      </c>
      <c r="E7258" s="1">
        <v>79.968292</v>
      </c>
      <c r="F7258" s="1">
        <v>2846.0</v>
      </c>
      <c r="G7258" s="1">
        <v>0.0</v>
      </c>
    </row>
    <row r="7259">
      <c r="A7259" s="1" t="s">
        <v>8</v>
      </c>
      <c r="B7259" s="2">
        <v>44733.0</v>
      </c>
      <c r="C7259" s="3">
        <v>0.3247800925925926</v>
      </c>
      <c r="D7259" s="1">
        <v>13.006725</v>
      </c>
      <c r="E7259" s="1">
        <v>80.251136</v>
      </c>
      <c r="F7259" s="1">
        <v>805.0</v>
      </c>
      <c r="G7259" s="1">
        <v>31.0</v>
      </c>
    </row>
    <row r="7260">
      <c r="A7260" s="1" t="s">
        <v>8</v>
      </c>
      <c r="B7260" s="2">
        <v>44733.0</v>
      </c>
      <c r="C7260" s="3">
        <v>0.3251273148148148</v>
      </c>
      <c r="D7260" s="1">
        <v>12.99449</v>
      </c>
      <c r="E7260" s="1">
        <v>80.186504</v>
      </c>
      <c r="F7260" s="1">
        <v>5339.0</v>
      </c>
      <c r="G7260" s="1">
        <v>21.0</v>
      </c>
    </row>
    <row r="7261">
      <c r="A7261" s="1" t="s">
        <v>8</v>
      </c>
      <c r="B7261" s="2">
        <v>44733.0</v>
      </c>
      <c r="C7261" s="3">
        <v>0.325625</v>
      </c>
      <c r="D7261" s="1">
        <v>12.99449</v>
      </c>
      <c r="E7261" s="1">
        <v>80.186504</v>
      </c>
      <c r="F7261" s="1">
        <v>5339.0</v>
      </c>
      <c r="G7261" s="1">
        <v>21.0</v>
      </c>
    </row>
    <row r="7262">
      <c r="A7262" s="1" t="s">
        <v>8</v>
      </c>
      <c r="B7262" s="2">
        <v>44733.0</v>
      </c>
      <c r="C7262" s="3">
        <v>0.32625</v>
      </c>
      <c r="D7262" s="1">
        <v>12.989701</v>
      </c>
      <c r="E7262" s="1">
        <v>80.179228</v>
      </c>
      <c r="F7262" s="1">
        <v>5339.0</v>
      </c>
      <c r="G7262" s="1">
        <v>23.0</v>
      </c>
    </row>
    <row r="7263">
      <c r="A7263" s="1" t="s">
        <v>7</v>
      </c>
      <c r="B7263" s="2">
        <v>44733.0</v>
      </c>
      <c r="C7263" s="3">
        <v>0.32636574074074076</v>
      </c>
      <c r="D7263" s="1">
        <v>12.714773</v>
      </c>
      <c r="E7263" s="1">
        <v>79.980282</v>
      </c>
      <c r="F7263" s="1">
        <v>2846.0</v>
      </c>
      <c r="G7263" s="1">
        <v>58.0</v>
      </c>
    </row>
    <row r="7264">
      <c r="A7264" s="1" t="s">
        <v>8</v>
      </c>
      <c r="B7264" s="2">
        <v>44733.0</v>
      </c>
      <c r="C7264" s="3">
        <v>0.3267824074074074</v>
      </c>
      <c r="D7264" s="1">
        <v>13.006656</v>
      </c>
      <c r="E7264" s="1">
        <v>80.246301</v>
      </c>
      <c r="F7264" s="1">
        <v>805.0</v>
      </c>
      <c r="G7264" s="1">
        <v>22.0</v>
      </c>
    </row>
    <row r="7265">
      <c r="A7265" s="1" t="s">
        <v>8</v>
      </c>
      <c r="B7265" s="2">
        <v>44733.0</v>
      </c>
      <c r="C7265" s="3">
        <v>0.327037037037037</v>
      </c>
      <c r="D7265" s="1">
        <v>12.986824</v>
      </c>
      <c r="E7265" s="1">
        <v>80.17528</v>
      </c>
      <c r="F7265" s="1">
        <v>5339.0</v>
      </c>
      <c r="G7265" s="1">
        <v>28.0</v>
      </c>
    </row>
    <row r="7266">
      <c r="A7266" s="1" t="s">
        <v>8</v>
      </c>
      <c r="B7266" s="2">
        <v>44733.0</v>
      </c>
      <c r="C7266" s="3">
        <v>0.32733796296296297</v>
      </c>
      <c r="D7266" s="1">
        <v>12.985173</v>
      </c>
      <c r="E7266" s="1">
        <v>80.172904</v>
      </c>
      <c r="F7266" s="1">
        <v>5339.0</v>
      </c>
      <c r="G7266" s="1">
        <v>35.0</v>
      </c>
    </row>
    <row r="7267">
      <c r="A7267" s="1" t="s">
        <v>8</v>
      </c>
      <c r="B7267" s="2">
        <v>44733.0</v>
      </c>
      <c r="C7267" s="3">
        <v>0.32738425925925924</v>
      </c>
      <c r="D7267" s="1">
        <v>13.006615</v>
      </c>
      <c r="E7267" s="1">
        <v>80.242513</v>
      </c>
      <c r="F7267" s="1">
        <v>805.0</v>
      </c>
      <c r="G7267" s="1">
        <v>32.0</v>
      </c>
    </row>
    <row r="7268">
      <c r="A7268" s="1" t="s">
        <v>8</v>
      </c>
      <c r="B7268" s="2">
        <v>44733.0</v>
      </c>
      <c r="C7268" s="3">
        <v>0.3274074074074074</v>
      </c>
      <c r="D7268" s="1">
        <v>13.006709</v>
      </c>
      <c r="E7268" s="1">
        <v>80.240689</v>
      </c>
      <c r="F7268" s="1">
        <v>805.0</v>
      </c>
      <c r="G7268" s="1">
        <v>34.0</v>
      </c>
    </row>
    <row r="7269">
      <c r="A7269" s="1" t="s">
        <v>8</v>
      </c>
      <c r="B7269" s="2">
        <v>44733.0</v>
      </c>
      <c r="C7269" s="3">
        <v>0.32751157407407405</v>
      </c>
      <c r="D7269" s="1">
        <v>12.984494</v>
      </c>
      <c r="E7269" s="1">
        <v>80.171829</v>
      </c>
      <c r="F7269" s="1">
        <v>5339.0</v>
      </c>
      <c r="G7269" s="1">
        <v>31.0</v>
      </c>
    </row>
    <row r="7270">
      <c r="A7270" s="1" t="s">
        <v>8</v>
      </c>
      <c r="B7270" s="2">
        <v>44733.0</v>
      </c>
      <c r="C7270" s="3">
        <v>0.32752314814814815</v>
      </c>
      <c r="D7270" s="1">
        <v>12.984494</v>
      </c>
      <c r="E7270" s="1">
        <v>80.171829</v>
      </c>
      <c r="F7270" s="1">
        <v>5339.0</v>
      </c>
      <c r="G7270" s="1">
        <v>31.0</v>
      </c>
    </row>
    <row r="7271">
      <c r="A7271" s="1" t="s">
        <v>10</v>
      </c>
      <c r="B7271" s="2">
        <v>44733.0</v>
      </c>
      <c r="C7271" s="3">
        <v>0.32760416666666664</v>
      </c>
      <c r="D7271" s="1">
        <v>13.006876</v>
      </c>
      <c r="E7271" s="1">
        <v>80.239807</v>
      </c>
      <c r="F7271" s="1">
        <v>805.0</v>
      </c>
      <c r="G7271" s="1">
        <v>39.0</v>
      </c>
    </row>
    <row r="7272">
      <c r="A7272" s="1" t="s">
        <v>8</v>
      </c>
      <c r="B7272" s="2">
        <v>44733.0</v>
      </c>
      <c r="C7272" s="3">
        <v>0.32774305555555555</v>
      </c>
      <c r="D7272" s="1">
        <v>13.007103</v>
      </c>
      <c r="E7272" s="1">
        <v>80.238513</v>
      </c>
      <c r="F7272" s="1">
        <v>805.0</v>
      </c>
      <c r="G7272" s="1">
        <v>41.0</v>
      </c>
    </row>
    <row r="7273">
      <c r="A7273" s="1" t="s">
        <v>7</v>
      </c>
      <c r="B7273" s="2">
        <v>44733.0</v>
      </c>
      <c r="C7273" s="3">
        <v>0.3278125</v>
      </c>
      <c r="D7273" s="1">
        <v>12.983193</v>
      </c>
      <c r="E7273" s="1">
        <v>80.169639</v>
      </c>
      <c r="F7273" s="1">
        <v>5339.0</v>
      </c>
      <c r="G7273" s="1">
        <v>47.0</v>
      </c>
    </row>
    <row r="7274">
      <c r="A7274" s="1" t="s">
        <v>8</v>
      </c>
      <c r="B7274" s="2">
        <v>44733.0</v>
      </c>
      <c r="C7274" s="3">
        <v>0.32784722222222223</v>
      </c>
      <c r="D7274" s="1">
        <v>12.726214</v>
      </c>
      <c r="E7274" s="1">
        <v>79.982323</v>
      </c>
      <c r="F7274" s="1">
        <v>2846.0</v>
      </c>
      <c r="G7274" s="1">
        <v>46.0</v>
      </c>
    </row>
    <row r="7275">
      <c r="A7275" s="1" t="s">
        <v>8</v>
      </c>
      <c r="B7275" s="2">
        <v>44733.0</v>
      </c>
      <c r="C7275" s="3">
        <v>0.3278935185185185</v>
      </c>
      <c r="D7275" s="1">
        <v>12.983193</v>
      </c>
      <c r="E7275" s="1">
        <v>80.169639</v>
      </c>
      <c r="F7275" s="1">
        <v>5339.0</v>
      </c>
      <c r="G7275" s="1">
        <v>47.0</v>
      </c>
    </row>
    <row r="7276">
      <c r="A7276" s="1" t="s">
        <v>7</v>
      </c>
      <c r="B7276" s="2">
        <v>44733.0</v>
      </c>
      <c r="C7276" s="3">
        <v>0.32796296296296296</v>
      </c>
      <c r="D7276" s="1">
        <v>12.727386</v>
      </c>
      <c r="E7276" s="1">
        <v>79.982524</v>
      </c>
      <c r="F7276" s="1">
        <v>2846.0</v>
      </c>
      <c r="G7276" s="1">
        <v>47.0</v>
      </c>
    </row>
    <row r="7277">
      <c r="A7277" s="1" t="s">
        <v>8</v>
      </c>
      <c r="B7277" s="2">
        <v>44733.0</v>
      </c>
      <c r="C7277" s="3">
        <v>0.32797453703703705</v>
      </c>
      <c r="D7277" s="1">
        <v>12.983193</v>
      </c>
      <c r="E7277" s="1">
        <v>80.169639</v>
      </c>
      <c r="F7277" s="1">
        <v>5339.0</v>
      </c>
      <c r="G7277" s="1">
        <v>47.0</v>
      </c>
    </row>
    <row r="7278">
      <c r="A7278" s="1" t="s">
        <v>7</v>
      </c>
      <c r="B7278" s="2">
        <v>44733.0</v>
      </c>
      <c r="C7278" s="3">
        <v>0.3281365740740741</v>
      </c>
      <c r="D7278" s="1">
        <v>12.982054</v>
      </c>
      <c r="E7278" s="1">
        <v>80.167738</v>
      </c>
      <c r="F7278" s="1">
        <v>5339.0</v>
      </c>
      <c r="G7278" s="1">
        <v>53.0</v>
      </c>
    </row>
    <row r="7279">
      <c r="A7279" s="1" t="s">
        <v>7</v>
      </c>
      <c r="B7279" s="2">
        <v>44733.0</v>
      </c>
      <c r="C7279" s="3">
        <v>0.3282175925925926</v>
      </c>
      <c r="D7279" s="1">
        <v>12.729991</v>
      </c>
      <c r="E7279" s="1">
        <v>79.982744</v>
      </c>
      <c r="F7279" s="1">
        <v>2846.0</v>
      </c>
      <c r="G7279" s="1">
        <v>56.0</v>
      </c>
    </row>
    <row r="7280">
      <c r="A7280" s="1" t="s">
        <v>8</v>
      </c>
      <c r="B7280" s="2">
        <v>44733.0</v>
      </c>
      <c r="C7280" s="3">
        <v>0.32837962962962963</v>
      </c>
      <c r="D7280" s="1">
        <v>13.008538</v>
      </c>
      <c r="E7280" s="1">
        <v>80.231531</v>
      </c>
      <c r="F7280" s="1">
        <v>805.0</v>
      </c>
      <c r="G7280" s="1">
        <v>50.0</v>
      </c>
    </row>
    <row r="7281">
      <c r="A7281" s="1" t="s">
        <v>7</v>
      </c>
      <c r="B7281" s="2">
        <v>44733.0</v>
      </c>
      <c r="C7281" s="3">
        <v>0.32864583333333336</v>
      </c>
      <c r="D7281" s="1">
        <v>12.73479</v>
      </c>
      <c r="E7281" s="1">
        <v>79.985378</v>
      </c>
      <c r="F7281" s="1">
        <v>2846.0</v>
      </c>
      <c r="G7281" s="1">
        <v>57.0</v>
      </c>
    </row>
    <row r="7282">
      <c r="A7282" s="1" t="s">
        <v>8</v>
      </c>
      <c r="B7282" s="2">
        <v>44733.0</v>
      </c>
      <c r="C7282" s="3">
        <v>0.3287037037037037</v>
      </c>
      <c r="D7282" s="1">
        <v>12.979951</v>
      </c>
      <c r="E7282" s="1">
        <v>80.163284</v>
      </c>
      <c r="F7282" s="1">
        <v>5339.0</v>
      </c>
      <c r="G7282" s="1">
        <v>12.0</v>
      </c>
    </row>
    <row r="7283">
      <c r="A7283" s="1" t="s">
        <v>8</v>
      </c>
      <c r="B7283" s="2">
        <v>44733.0</v>
      </c>
      <c r="C7283" s="3">
        <v>0.3288888888888889</v>
      </c>
      <c r="D7283" s="1">
        <v>12.979041</v>
      </c>
      <c r="E7283" s="1">
        <v>80.161582</v>
      </c>
      <c r="F7283" s="1">
        <v>5339.0</v>
      </c>
      <c r="G7283" s="1">
        <v>46.0</v>
      </c>
    </row>
    <row r="7284">
      <c r="A7284" s="1" t="s">
        <v>7</v>
      </c>
      <c r="B7284" s="2">
        <v>44733.0</v>
      </c>
      <c r="C7284" s="3">
        <v>0.32891203703703703</v>
      </c>
      <c r="D7284" s="1">
        <v>13.010045</v>
      </c>
      <c r="E7284" s="1">
        <v>80.226267</v>
      </c>
      <c r="F7284" s="1">
        <v>805.0</v>
      </c>
      <c r="G7284" s="1">
        <v>50.0</v>
      </c>
    </row>
    <row r="7285">
      <c r="A7285" s="1" t="s">
        <v>8</v>
      </c>
      <c r="B7285" s="2">
        <v>44733.0</v>
      </c>
      <c r="C7285" s="3">
        <v>0.3289699074074074</v>
      </c>
      <c r="D7285" s="1">
        <v>13.010045</v>
      </c>
      <c r="E7285" s="1">
        <v>80.226267</v>
      </c>
      <c r="F7285" s="1">
        <v>805.0</v>
      </c>
      <c r="G7285" s="1">
        <v>50.0</v>
      </c>
    </row>
    <row r="7286">
      <c r="A7286" s="1" t="s">
        <v>8</v>
      </c>
      <c r="B7286" s="2">
        <v>44733.0</v>
      </c>
      <c r="C7286" s="3">
        <v>0.3290625</v>
      </c>
      <c r="D7286" s="1">
        <v>12.978313</v>
      </c>
      <c r="E7286" s="1">
        <v>80.160545</v>
      </c>
      <c r="F7286" s="1">
        <v>5339.0</v>
      </c>
      <c r="G7286" s="1">
        <v>50.0</v>
      </c>
    </row>
    <row r="7287">
      <c r="A7287" s="1" t="s">
        <v>7</v>
      </c>
      <c r="B7287" s="2">
        <v>44733.0</v>
      </c>
      <c r="C7287" s="3">
        <v>0.3291898148148148</v>
      </c>
      <c r="D7287" s="1">
        <v>12.740443</v>
      </c>
      <c r="E7287" s="1">
        <v>79.990054</v>
      </c>
      <c r="F7287" s="1">
        <v>2846.0</v>
      </c>
      <c r="G7287" s="1">
        <v>58.0</v>
      </c>
    </row>
    <row r="7288">
      <c r="A7288" s="1" t="s">
        <v>7</v>
      </c>
      <c r="B7288" s="2">
        <v>44733.0</v>
      </c>
      <c r="C7288" s="3">
        <v>0.329212962962963</v>
      </c>
      <c r="D7288" s="1">
        <v>12.977624</v>
      </c>
      <c r="E7288" s="1">
        <v>80.159556</v>
      </c>
      <c r="F7288" s="1">
        <v>5339.0</v>
      </c>
      <c r="G7288" s="1">
        <v>47.0</v>
      </c>
    </row>
    <row r="7289">
      <c r="A7289" s="1" t="s">
        <v>8</v>
      </c>
      <c r="B7289" s="2">
        <v>44733.0</v>
      </c>
      <c r="C7289" s="3">
        <v>0.3293171296296296</v>
      </c>
      <c r="D7289" s="1">
        <v>12.976932</v>
      </c>
      <c r="E7289" s="1">
        <v>80.158498</v>
      </c>
      <c r="F7289" s="1">
        <v>5339.0</v>
      </c>
      <c r="G7289" s="1">
        <v>51.0</v>
      </c>
    </row>
    <row r="7290">
      <c r="A7290" s="1" t="s">
        <v>8</v>
      </c>
      <c r="B7290" s="2">
        <v>44733.0</v>
      </c>
      <c r="C7290" s="3">
        <v>0.3294560185185185</v>
      </c>
      <c r="D7290" s="1">
        <v>13.01129</v>
      </c>
      <c r="E7290" s="1">
        <v>80.223427</v>
      </c>
      <c r="F7290" s="1">
        <v>805.0</v>
      </c>
      <c r="G7290" s="1">
        <v>26.0</v>
      </c>
    </row>
    <row r="7291">
      <c r="A7291" s="1" t="s">
        <v>8</v>
      </c>
      <c r="B7291" s="2">
        <v>44733.0</v>
      </c>
      <c r="C7291" s="3">
        <v>0.32959490740740743</v>
      </c>
      <c r="D7291" s="1">
        <v>13.01129</v>
      </c>
      <c r="E7291" s="1">
        <v>80.223427</v>
      </c>
      <c r="F7291" s="1">
        <v>805.0</v>
      </c>
      <c r="G7291" s="1">
        <v>26.0</v>
      </c>
    </row>
    <row r="7292">
      <c r="A7292" s="1" t="s">
        <v>8</v>
      </c>
      <c r="B7292" s="2">
        <v>44733.0</v>
      </c>
      <c r="C7292" s="3">
        <v>0.32967592592592593</v>
      </c>
      <c r="D7292" s="1">
        <v>12.974955</v>
      </c>
      <c r="E7292" s="1">
        <v>80.155572</v>
      </c>
      <c r="F7292" s="1">
        <v>5339.0</v>
      </c>
      <c r="G7292" s="1">
        <v>28.0</v>
      </c>
    </row>
    <row r="7293">
      <c r="A7293" s="1" t="s">
        <v>8</v>
      </c>
      <c r="B7293" s="2">
        <v>44733.0</v>
      </c>
      <c r="C7293" s="3">
        <v>0.32967592592592593</v>
      </c>
      <c r="D7293" s="1">
        <v>12.974955</v>
      </c>
      <c r="E7293" s="1">
        <v>80.155572</v>
      </c>
      <c r="F7293" s="1">
        <v>5339.0</v>
      </c>
      <c r="G7293" s="1">
        <v>28.0</v>
      </c>
    </row>
    <row r="7294">
      <c r="A7294" s="1" t="s">
        <v>8</v>
      </c>
      <c r="B7294" s="2">
        <v>44733.0</v>
      </c>
      <c r="C7294" s="3">
        <v>0.32981481481481484</v>
      </c>
      <c r="D7294" s="1">
        <v>12.974416</v>
      </c>
      <c r="E7294" s="1">
        <v>80.154829</v>
      </c>
      <c r="F7294" s="1">
        <v>5339.0</v>
      </c>
      <c r="G7294" s="1">
        <v>27.0</v>
      </c>
    </row>
    <row r="7295">
      <c r="A7295" s="1" t="s">
        <v>8</v>
      </c>
      <c r="B7295" s="2">
        <v>44733.0</v>
      </c>
      <c r="C7295" s="3">
        <v>0.3299537037037037</v>
      </c>
      <c r="D7295" s="1">
        <v>12.97397</v>
      </c>
      <c r="E7295" s="1">
        <v>80.154164</v>
      </c>
      <c r="F7295" s="1">
        <v>5339.0</v>
      </c>
      <c r="G7295" s="1">
        <v>38.0</v>
      </c>
    </row>
    <row r="7296">
      <c r="A7296" s="1" t="s">
        <v>8</v>
      </c>
      <c r="B7296" s="2">
        <v>44733.0</v>
      </c>
      <c r="C7296" s="3">
        <v>0.3299768518518518</v>
      </c>
      <c r="D7296" s="1">
        <v>13.012062</v>
      </c>
      <c r="E7296" s="1">
        <v>80.220854</v>
      </c>
      <c r="F7296" s="1">
        <v>805.0</v>
      </c>
      <c r="G7296" s="1">
        <v>28.0</v>
      </c>
    </row>
    <row r="7297">
      <c r="A7297" s="1" t="s">
        <v>8</v>
      </c>
      <c r="B7297" s="2">
        <v>44733.0</v>
      </c>
      <c r="C7297" s="3">
        <v>0.3300810185185185</v>
      </c>
      <c r="D7297" s="1">
        <v>12.97268</v>
      </c>
      <c r="E7297" s="1">
        <v>80.152203</v>
      </c>
      <c r="F7297" s="1">
        <v>5339.0</v>
      </c>
      <c r="G7297" s="1">
        <v>49.0</v>
      </c>
    </row>
    <row r="7298">
      <c r="A7298" s="1" t="s">
        <v>8</v>
      </c>
      <c r="B7298" s="2">
        <v>44733.0</v>
      </c>
      <c r="C7298" s="3">
        <v>0.3304976851851852</v>
      </c>
      <c r="D7298" s="1">
        <v>12.971971</v>
      </c>
      <c r="E7298" s="1">
        <v>80.151432</v>
      </c>
      <c r="F7298" s="1">
        <v>5339.0</v>
      </c>
      <c r="G7298" s="1">
        <v>0.0</v>
      </c>
    </row>
    <row r="7299">
      <c r="A7299" s="1" t="s">
        <v>8</v>
      </c>
      <c r="B7299" s="2">
        <v>44733.0</v>
      </c>
      <c r="C7299" s="3">
        <v>0.3305439814814815</v>
      </c>
      <c r="D7299" s="1">
        <v>13.010689</v>
      </c>
      <c r="E7299" s="1">
        <v>80.216762</v>
      </c>
      <c r="F7299" s="1">
        <v>805.0</v>
      </c>
      <c r="G7299" s="1">
        <v>36.0</v>
      </c>
    </row>
    <row r="7300">
      <c r="A7300" s="1" t="s">
        <v>8</v>
      </c>
      <c r="B7300" s="2">
        <v>44733.0</v>
      </c>
      <c r="C7300" s="3">
        <v>0.33068287037037036</v>
      </c>
      <c r="D7300" s="1">
        <v>12.971619</v>
      </c>
      <c r="E7300" s="1">
        <v>80.15121</v>
      </c>
      <c r="F7300" s="1">
        <v>5339.0</v>
      </c>
      <c r="G7300" s="1">
        <v>24.0</v>
      </c>
    </row>
    <row r="7301">
      <c r="A7301" s="1" t="s">
        <v>8</v>
      </c>
      <c r="B7301" s="2">
        <v>44733.0</v>
      </c>
      <c r="C7301" s="3">
        <v>0.3309837962962963</v>
      </c>
      <c r="D7301" s="1">
        <v>12.96814</v>
      </c>
      <c r="E7301" s="1">
        <v>80.149531</v>
      </c>
      <c r="F7301" s="1">
        <v>5339.0</v>
      </c>
      <c r="G7301" s="1">
        <v>51.0</v>
      </c>
    </row>
    <row r="7302">
      <c r="A7302" s="1" t="s">
        <v>8</v>
      </c>
      <c r="B7302" s="2">
        <v>44733.0</v>
      </c>
      <c r="C7302" s="3">
        <v>0.3311226851851852</v>
      </c>
      <c r="D7302" s="1">
        <v>12.967115</v>
      </c>
      <c r="E7302" s="1">
        <v>80.149089</v>
      </c>
      <c r="F7302" s="1">
        <v>5339.0</v>
      </c>
      <c r="G7302" s="1">
        <v>35.0</v>
      </c>
    </row>
    <row r="7303">
      <c r="A7303" s="1" t="s">
        <v>7</v>
      </c>
      <c r="B7303" s="2">
        <v>44733.0</v>
      </c>
      <c r="C7303" s="3">
        <v>0.3311689814814815</v>
      </c>
      <c r="D7303" s="1">
        <v>13.008463</v>
      </c>
      <c r="E7303" s="1">
        <v>80.210528</v>
      </c>
      <c r="F7303" s="1">
        <v>805.0</v>
      </c>
      <c r="G7303" s="1">
        <v>46.0</v>
      </c>
    </row>
    <row r="7304">
      <c r="A7304" s="1" t="s">
        <v>8</v>
      </c>
      <c r="B7304" s="2">
        <v>44733.0</v>
      </c>
      <c r="C7304" s="3">
        <v>0.33118055555555553</v>
      </c>
      <c r="D7304" s="1">
        <v>12.967115</v>
      </c>
      <c r="E7304" s="1">
        <v>80.149089</v>
      </c>
      <c r="F7304" s="1">
        <v>5339.0</v>
      </c>
      <c r="G7304" s="1">
        <v>35.0</v>
      </c>
    </row>
    <row r="7305">
      <c r="A7305" s="1" t="s">
        <v>8</v>
      </c>
      <c r="B7305" s="2">
        <v>44733.0</v>
      </c>
      <c r="C7305" s="3">
        <v>0.33118055555555553</v>
      </c>
      <c r="D7305" s="1">
        <v>12.967115</v>
      </c>
      <c r="E7305" s="1">
        <v>80.149089</v>
      </c>
      <c r="F7305" s="1">
        <v>5339.0</v>
      </c>
      <c r="G7305" s="1">
        <v>35.0</v>
      </c>
    </row>
    <row r="7306">
      <c r="A7306" s="1" t="s">
        <v>8</v>
      </c>
      <c r="B7306" s="2">
        <v>44733.0</v>
      </c>
      <c r="C7306" s="3">
        <v>0.33119212962962963</v>
      </c>
      <c r="D7306" s="1">
        <v>12.967115</v>
      </c>
      <c r="E7306" s="1">
        <v>80.149089</v>
      </c>
      <c r="F7306" s="1">
        <v>5339.0</v>
      </c>
      <c r="G7306" s="1">
        <v>35.0</v>
      </c>
    </row>
    <row r="7307">
      <c r="A7307" s="1" t="s">
        <v>8</v>
      </c>
      <c r="B7307" s="2">
        <v>44733.0</v>
      </c>
      <c r="C7307" s="3">
        <v>0.33121527777777776</v>
      </c>
      <c r="D7307" s="1">
        <v>12.967115</v>
      </c>
      <c r="E7307" s="1">
        <v>80.149089</v>
      </c>
      <c r="F7307" s="1">
        <v>5339.0</v>
      </c>
      <c r="G7307" s="1">
        <v>35.0</v>
      </c>
    </row>
    <row r="7308">
      <c r="A7308" s="1" t="s">
        <v>8</v>
      </c>
      <c r="B7308" s="2">
        <v>44733.0</v>
      </c>
      <c r="C7308" s="3">
        <v>0.33130787037037035</v>
      </c>
      <c r="D7308" s="1">
        <v>13.007989</v>
      </c>
      <c r="E7308" s="1">
        <v>80.208672</v>
      </c>
      <c r="F7308" s="1">
        <v>805.0</v>
      </c>
      <c r="G7308" s="1">
        <v>52.0</v>
      </c>
    </row>
    <row r="7309">
      <c r="A7309" s="1" t="s">
        <v>7</v>
      </c>
      <c r="B7309" s="2">
        <v>44733.0</v>
      </c>
      <c r="C7309" s="3">
        <v>0.3315972222222222</v>
      </c>
      <c r="D7309" s="1">
        <v>12.752602</v>
      </c>
      <c r="E7309" s="1">
        <v>79.999575</v>
      </c>
      <c r="F7309" s="1">
        <v>2846.0</v>
      </c>
      <c r="G7309" s="1">
        <v>58.0</v>
      </c>
    </row>
    <row r="7310">
      <c r="A7310" s="1" t="s">
        <v>8</v>
      </c>
      <c r="B7310" s="2">
        <v>44733.0</v>
      </c>
      <c r="C7310" s="3">
        <v>0.3319097222222222</v>
      </c>
      <c r="D7310" s="1">
        <v>12.96084</v>
      </c>
      <c r="E7310" s="1">
        <v>80.145699</v>
      </c>
      <c r="F7310" s="1">
        <v>5339.0</v>
      </c>
      <c r="G7310" s="1">
        <v>52.0</v>
      </c>
    </row>
    <row r="7311">
      <c r="A7311" s="1" t="s">
        <v>8</v>
      </c>
      <c r="B7311" s="2">
        <v>44733.0</v>
      </c>
      <c r="C7311" s="3">
        <v>0.3320601851851852</v>
      </c>
      <c r="D7311" s="1">
        <v>12.96084</v>
      </c>
      <c r="E7311" s="1">
        <v>80.145699</v>
      </c>
      <c r="F7311" s="1">
        <v>5339.0</v>
      </c>
      <c r="G7311" s="1">
        <v>52.0</v>
      </c>
    </row>
    <row r="7312">
      <c r="A7312" s="1" t="s">
        <v>8</v>
      </c>
      <c r="B7312" s="2">
        <v>44733.0</v>
      </c>
      <c r="C7312" s="3">
        <v>0.33216435185185184</v>
      </c>
      <c r="D7312" s="1">
        <v>13.005701</v>
      </c>
      <c r="E7312" s="1">
        <v>80.202309</v>
      </c>
      <c r="F7312" s="1">
        <v>805.0</v>
      </c>
      <c r="G7312" s="1">
        <v>31.0</v>
      </c>
    </row>
    <row r="7313">
      <c r="A7313" s="1" t="s">
        <v>9</v>
      </c>
      <c r="B7313" s="2">
        <v>44733.0</v>
      </c>
      <c r="C7313" s="3">
        <v>0.33229166666666665</v>
      </c>
      <c r="D7313" s="1">
        <v>13.004366</v>
      </c>
      <c r="E7313" s="1">
        <v>80.201252</v>
      </c>
      <c r="F7313" s="1">
        <v>805.0</v>
      </c>
      <c r="G7313" s="1">
        <v>40.0</v>
      </c>
    </row>
    <row r="7314">
      <c r="A7314" s="1" t="s">
        <v>7</v>
      </c>
      <c r="B7314" s="2">
        <v>44733.0</v>
      </c>
      <c r="C7314" s="3">
        <v>0.33273148148148146</v>
      </c>
      <c r="D7314" s="1">
        <v>13.00203</v>
      </c>
      <c r="E7314" s="1">
        <v>80.200268</v>
      </c>
      <c r="F7314" s="1">
        <v>805.0</v>
      </c>
      <c r="G7314" s="1">
        <v>28.0</v>
      </c>
    </row>
    <row r="7315">
      <c r="A7315" s="1" t="s">
        <v>7</v>
      </c>
      <c r="B7315" s="2">
        <v>44733.0</v>
      </c>
      <c r="C7315" s="3">
        <v>0.3329166666666667</v>
      </c>
      <c r="D7315" s="1">
        <v>13.001803</v>
      </c>
      <c r="E7315" s="1">
        <v>80.198698</v>
      </c>
      <c r="F7315" s="1">
        <v>805.0</v>
      </c>
      <c r="G7315" s="1">
        <v>48.0</v>
      </c>
    </row>
    <row r="7316">
      <c r="A7316" s="1" t="s">
        <v>8</v>
      </c>
      <c r="B7316" s="2">
        <v>44733.0</v>
      </c>
      <c r="C7316" s="3">
        <v>0.33296296296296296</v>
      </c>
      <c r="D7316" s="1">
        <v>12.956503</v>
      </c>
      <c r="E7316" s="1">
        <v>80.143389</v>
      </c>
      <c r="F7316" s="1">
        <v>5339.0</v>
      </c>
      <c r="G7316" s="1">
        <v>14.0</v>
      </c>
    </row>
    <row r="7317">
      <c r="A7317" s="1" t="s">
        <v>8</v>
      </c>
      <c r="B7317" s="2">
        <v>44733.0</v>
      </c>
      <c r="C7317" s="3">
        <v>0.3329861111111111</v>
      </c>
      <c r="D7317" s="1">
        <v>12.955811</v>
      </c>
      <c r="E7317" s="1">
        <v>80.142998</v>
      </c>
      <c r="F7317" s="1">
        <v>5339.0</v>
      </c>
      <c r="G7317" s="1">
        <v>23.0</v>
      </c>
    </row>
    <row r="7318">
      <c r="A7318" s="1" t="s">
        <v>8</v>
      </c>
      <c r="B7318" s="2">
        <v>44733.0</v>
      </c>
      <c r="C7318" s="3">
        <v>0.33304398148148145</v>
      </c>
      <c r="D7318" s="1">
        <v>12.955811</v>
      </c>
      <c r="E7318" s="1">
        <v>80.142998</v>
      </c>
      <c r="F7318" s="1">
        <v>5339.0</v>
      </c>
      <c r="G7318" s="1">
        <v>23.0</v>
      </c>
    </row>
    <row r="7319">
      <c r="A7319" s="1" t="s">
        <v>8</v>
      </c>
      <c r="B7319" s="2">
        <v>44733.0</v>
      </c>
      <c r="C7319" s="3">
        <v>0.33305555555555555</v>
      </c>
      <c r="D7319" s="1">
        <v>12.955811</v>
      </c>
      <c r="E7319" s="1">
        <v>80.142998</v>
      </c>
      <c r="F7319" s="1">
        <v>5339.0</v>
      </c>
      <c r="G7319" s="1">
        <v>23.0</v>
      </c>
    </row>
    <row r="7320">
      <c r="A7320" s="1" t="s">
        <v>8</v>
      </c>
      <c r="B7320" s="2">
        <v>44733.0</v>
      </c>
      <c r="C7320" s="3">
        <v>0.33305555555555555</v>
      </c>
      <c r="D7320" s="1">
        <v>12.955811</v>
      </c>
      <c r="E7320" s="1">
        <v>80.142998</v>
      </c>
      <c r="F7320" s="1">
        <v>5339.0</v>
      </c>
      <c r="G7320" s="1">
        <v>23.0</v>
      </c>
    </row>
    <row r="7321">
      <c r="A7321" s="1" t="s">
        <v>7</v>
      </c>
      <c r="B7321" s="2">
        <v>44733.0</v>
      </c>
      <c r="C7321" s="3">
        <v>0.3332175925925926</v>
      </c>
      <c r="D7321" s="1">
        <v>12.763635</v>
      </c>
      <c r="E7321" s="1">
        <v>80.004201</v>
      </c>
      <c r="F7321" s="1">
        <v>2846.0</v>
      </c>
      <c r="G7321" s="1">
        <v>41.0</v>
      </c>
    </row>
    <row r="7322">
      <c r="A7322" s="1" t="s">
        <v>7</v>
      </c>
      <c r="B7322" s="2">
        <v>44733.0</v>
      </c>
      <c r="C7322" s="3">
        <v>0.3332638888888889</v>
      </c>
      <c r="D7322" s="1">
        <v>13.000474</v>
      </c>
      <c r="E7322" s="1">
        <v>80.194784</v>
      </c>
      <c r="F7322" s="1">
        <v>805.0</v>
      </c>
      <c r="G7322" s="1">
        <v>57.0</v>
      </c>
    </row>
    <row r="7323">
      <c r="A7323" s="1" t="s">
        <v>7</v>
      </c>
      <c r="B7323" s="2">
        <v>44733.0</v>
      </c>
      <c r="C7323" s="3">
        <v>0.3340856481481482</v>
      </c>
      <c r="D7323" s="1">
        <v>12.764748</v>
      </c>
      <c r="E7323" s="1">
        <v>80.004659</v>
      </c>
      <c r="F7323" s="1">
        <v>2846.0</v>
      </c>
      <c r="G7323" s="1">
        <v>52.0</v>
      </c>
    </row>
    <row r="7324">
      <c r="A7324" s="1" t="s">
        <v>7</v>
      </c>
      <c r="B7324" s="2">
        <v>44733.0</v>
      </c>
      <c r="C7324" s="3">
        <v>0.3341550925925926</v>
      </c>
      <c r="D7324" s="1">
        <v>12.996169</v>
      </c>
      <c r="E7324" s="1">
        <v>80.189496</v>
      </c>
      <c r="F7324" s="1">
        <v>805.0</v>
      </c>
      <c r="G7324" s="1">
        <v>0.0</v>
      </c>
    </row>
    <row r="7325">
      <c r="A7325" s="1" t="s">
        <v>8</v>
      </c>
      <c r="B7325" s="2">
        <v>44733.0</v>
      </c>
      <c r="C7325" s="3">
        <v>0.3341898148148148</v>
      </c>
      <c r="D7325" s="1">
        <v>12.951209</v>
      </c>
      <c r="E7325" s="1">
        <v>80.140152</v>
      </c>
      <c r="F7325" s="1">
        <v>5339.0</v>
      </c>
      <c r="G7325" s="1">
        <v>0.0</v>
      </c>
    </row>
    <row r="7326">
      <c r="A7326" s="1" t="s">
        <v>8</v>
      </c>
      <c r="B7326" s="2">
        <v>44733.0</v>
      </c>
      <c r="C7326" s="3">
        <v>0.334212962962963</v>
      </c>
      <c r="D7326" s="1">
        <v>12.951209</v>
      </c>
      <c r="E7326" s="1">
        <v>80.140152</v>
      </c>
      <c r="F7326" s="1">
        <v>5339.0</v>
      </c>
      <c r="G7326" s="1">
        <v>0.0</v>
      </c>
    </row>
    <row r="7327">
      <c r="A7327" s="1" t="s">
        <v>8</v>
      </c>
      <c r="B7327" s="2">
        <v>44733.0</v>
      </c>
      <c r="C7327" s="3">
        <v>0.33447916666666666</v>
      </c>
      <c r="D7327" s="1">
        <v>12.949917</v>
      </c>
      <c r="E7327" s="1">
        <v>80.139168</v>
      </c>
      <c r="F7327" s="1">
        <v>5339.0</v>
      </c>
      <c r="G7327" s="1">
        <v>33.0</v>
      </c>
    </row>
    <row r="7328">
      <c r="A7328" s="1" t="s">
        <v>8</v>
      </c>
      <c r="B7328" s="2">
        <v>44733.0</v>
      </c>
      <c r="C7328" s="3">
        <v>0.33479166666666665</v>
      </c>
      <c r="D7328" s="1">
        <v>12.993655</v>
      </c>
      <c r="E7328" s="1">
        <v>80.184957</v>
      </c>
      <c r="F7328" s="1">
        <v>805.0</v>
      </c>
      <c r="G7328" s="1">
        <v>35.0</v>
      </c>
    </row>
    <row r="7329">
      <c r="A7329" s="1" t="s">
        <v>8</v>
      </c>
      <c r="B7329" s="2">
        <v>44733.0</v>
      </c>
      <c r="C7329" s="3">
        <v>0.3348611111111111</v>
      </c>
      <c r="D7329" s="1">
        <v>12.993655</v>
      </c>
      <c r="E7329" s="1">
        <v>80.184957</v>
      </c>
      <c r="F7329" s="1">
        <v>805.0</v>
      </c>
      <c r="G7329" s="1">
        <v>35.0</v>
      </c>
    </row>
    <row r="7330">
      <c r="A7330" s="1" t="s">
        <v>8</v>
      </c>
      <c r="B7330" s="2">
        <v>44733.0</v>
      </c>
      <c r="C7330" s="3">
        <v>0.33515046296296297</v>
      </c>
      <c r="D7330" s="1">
        <v>12.991954</v>
      </c>
      <c r="E7330" s="1">
        <v>80.182079</v>
      </c>
      <c r="F7330" s="1">
        <v>805.0</v>
      </c>
      <c r="G7330" s="1">
        <v>51.0</v>
      </c>
    </row>
    <row r="7331">
      <c r="A7331" s="1" t="s">
        <v>8</v>
      </c>
      <c r="B7331" s="2">
        <v>44733.0</v>
      </c>
      <c r="C7331" s="3">
        <v>0.33524305555555556</v>
      </c>
      <c r="D7331" s="1">
        <v>12.944575</v>
      </c>
      <c r="E7331" s="1">
        <v>80.135034</v>
      </c>
      <c r="F7331" s="1">
        <v>5339.0</v>
      </c>
      <c r="G7331" s="1">
        <v>37.0</v>
      </c>
    </row>
    <row r="7332">
      <c r="A7332" s="1" t="s">
        <v>8</v>
      </c>
      <c r="B7332" s="2">
        <v>44733.0</v>
      </c>
      <c r="C7332" s="3">
        <v>0.3353587962962963</v>
      </c>
      <c r="D7332" s="1">
        <v>12.943423</v>
      </c>
      <c r="E7332" s="1">
        <v>80.1341</v>
      </c>
      <c r="F7332" s="1">
        <v>5339.0</v>
      </c>
      <c r="G7332" s="1">
        <v>38.0</v>
      </c>
    </row>
    <row r="7333">
      <c r="A7333" s="1" t="s">
        <v>8</v>
      </c>
      <c r="B7333" s="2">
        <v>44733.0</v>
      </c>
      <c r="C7333" s="3">
        <v>0.3354050925925926</v>
      </c>
      <c r="D7333" s="1">
        <v>12.99059</v>
      </c>
      <c r="E7333" s="1">
        <v>80.180312</v>
      </c>
      <c r="F7333" s="1">
        <v>805.0</v>
      </c>
      <c r="G7333" s="1">
        <v>58.0</v>
      </c>
    </row>
    <row r="7334">
      <c r="A7334" s="1" t="s">
        <v>8</v>
      </c>
      <c r="B7334" s="2">
        <v>44733.0</v>
      </c>
      <c r="C7334" s="3">
        <v>0.33556712962962965</v>
      </c>
      <c r="D7334" s="1">
        <v>12.942286</v>
      </c>
      <c r="E7334" s="1">
        <v>80.132962</v>
      </c>
      <c r="F7334" s="1">
        <v>5339.0</v>
      </c>
      <c r="G7334" s="1">
        <v>46.0</v>
      </c>
    </row>
    <row r="7335">
      <c r="A7335" s="1" t="s">
        <v>8</v>
      </c>
      <c r="B7335" s="2">
        <v>44733.0</v>
      </c>
      <c r="C7335" s="3">
        <v>0.3355902777777778</v>
      </c>
      <c r="D7335" s="1">
        <v>12.942286</v>
      </c>
      <c r="E7335" s="1">
        <v>80.132962</v>
      </c>
      <c r="F7335" s="1">
        <v>5339.0</v>
      </c>
      <c r="G7335" s="1">
        <v>46.0</v>
      </c>
    </row>
    <row r="7336">
      <c r="A7336" s="1" t="s">
        <v>8</v>
      </c>
      <c r="B7336" s="2">
        <v>44733.0</v>
      </c>
      <c r="C7336" s="3">
        <v>0.3357060185185185</v>
      </c>
      <c r="D7336" s="1">
        <v>12.940932</v>
      </c>
      <c r="E7336" s="1">
        <v>80.131581</v>
      </c>
      <c r="F7336" s="1">
        <v>5339.0</v>
      </c>
      <c r="G7336" s="1">
        <v>51.0</v>
      </c>
    </row>
    <row r="7337">
      <c r="A7337" s="1" t="s">
        <v>8</v>
      </c>
      <c r="B7337" s="2">
        <v>44733.0</v>
      </c>
      <c r="C7337" s="3">
        <v>0.3357523148148148</v>
      </c>
      <c r="D7337" s="1">
        <v>12.988075</v>
      </c>
      <c r="E7337" s="1">
        <v>80.177068</v>
      </c>
      <c r="F7337" s="1">
        <v>805.0</v>
      </c>
      <c r="G7337" s="1">
        <v>46.0</v>
      </c>
    </row>
    <row r="7338">
      <c r="A7338" s="1" t="s">
        <v>8</v>
      </c>
      <c r="B7338" s="2">
        <v>44733.0</v>
      </c>
      <c r="C7338" s="3">
        <v>0.3358333333333333</v>
      </c>
      <c r="D7338" s="1">
        <v>12.987083</v>
      </c>
      <c r="E7338" s="1">
        <v>80.175658</v>
      </c>
      <c r="F7338" s="1">
        <v>805.0</v>
      </c>
      <c r="G7338" s="1">
        <v>46.0</v>
      </c>
    </row>
    <row r="7339">
      <c r="A7339" s="1" t="s">
        <v>8</v>
      </c>
      <c r="B7339" s="2">
        <v>44733.0</v>
      </c>
      <c r="C7339" s="3">
        <v>0.3359259259259259</v>
      </c>
      <c r="D7339" s="1">
        <v>12.987083</v>
      </c>
      <c r="E7339" s="1">
        <v>80.175658</v>
      </c>
      <c r="F7339" s="1">
        <v>805.0</v>
      </c>
      <c r="G7339" s="1">
        <v>46.0</v>
      </c>
    </row>
    <row r="7340">
      <c r="A7340" s="1" t="s">
        <v>8</v>
      </c>
      <c r="B7340" s="2">
        <v>44733.0</v>
      </c>
      <c r="C7340" s="3">
        <v>0.3360648148148148</v>
      </c>
      <c r="D7340" s="1">
        <v>12.986315</v>
      </c>
      <c r="E7340" s="1">
        <v>80.174605</v>
      </c>
      <c r="F7340" s="1">
        <v>805.0</v>
      </c>
      <c r="G7340" s="1">
        <v>32.0</v>
      </c>
    </row>
    <row r="7341">
      <c r="A7341" s="1" t="s">
        <v>8</v>
      </c>
      <c r="B7341" s="2">
        <v>44733.0</v>
      </c>
      <c r="C7341" s="3">
        <v>0.3361574074074074</v>
      </c>
      <c r="D7341" s="1">
        <v>12.986315</v>
      </c>
      <c r="E7341" s="1">
        <v>80.174605</v>
      </c>
      <c r="F7341" s="1">
        <v>805.0</v>
      </c>
      <c r="G7341" s="1">
        <v>32.0</v>
      </c>
    </row>
    <row r="7342">
      <c r="A7342" s="1" t="s">
        <v>8</v>
      </c>
      <c r="B7342" s="2">
        <v>44733.0</v>
      </c>
      <c r="C7342" s="3">
        <v>0.33640046296296294</v>
      </c>
      <c r="D7342" s="1">
        <v>12.936945</v>
      </c>
      <c r="E7342" s="1">
        <v>80.127886</v>
      </c>
      <c r="F7342" s="1">
        <v>5339.0</v>
      </c>
      <c r="G7342" s="1">
        <v>33.0</v>
      </c>
    </row>
    <row r="7343">
      <c r="A7343" s="1" t="s">
        <v>8</v>
      </c>
      <c r="B7343" s="2">
        <v>44733.0</v>
      </c>
      <c r="C7343" s="3">
        <v>0.33649305555555553</v>
      </c>
      <c r="D7343" s="1">
        <v>12.936562</v>
      </c>
      <c r="E7343" s="1">
        <v>80.12755</v>
      </c>
      <c r="F7343" s="1">
        <v>5339.0</v>
      </c>
      <c r="G7343" s="1">
        <v>13.0</v>
      </c>
    </row>
    <row r="7344">
      <c r="A7344" s="1" t="s">
        <v>7</v>
      </c>
      <c r="B7344" s="2">
        <v>44733.0</v>
      </c>
      <c r="C7344" s="3">
        <v>0.33653935185185185</v>
      </c>
      <c r="D7344" s="1">
        <v>12.984732</v>
      </c>
      <c r="E7344" s="1">
        <v>80.172211</v>
      </c>
      <c r="F7344" s="1">
        <v>805.0</v>
      </c>
      <c r="G7344" s="1">
        <v>39.0</v>
      </c>
    </row>
    <row r="7345">
      <c r="A7345" s="1" t="s">
        <v>7</v>
      </c>
      <c r="B7345" s="2">
        <v>44733.0</v>
      </c>
      <c r="C7345" s="3">
        <v>0.33666666666666667</v>
      </c>
      <c r="D7345" s="1">
        <v>12.983751</v>
      </c>
      <c r="E7345" s="1">
        <v>80.170569</v>
      </c>
      <c r="F7345" s="1">
        <v>805.0</v>
      </c>
      <c r="G7345" s="1">
        <v>52.0</v>
      </c>
    </row>
    <row r="7346">
      <c r="A7346" s="1" t="s">
        <v>7</v>
      </c>
      <c r="B7346" s="2">
        <v>44733.0</v>
      </c>
      <c r="C7346" s="3">
        <v>0.33675925925925926</v>
      </c>
      <c r="D7346" s="1">
        <v>12.935821</v>
      </c>
      <c r="E7346" s="1">
        <v>80.126884</v>
      </c>
      <c r="F7346" s="1">
        <v>5339.0</v>
      </c>
      <c r="G7346" s="1">
        <v>32.0</v>
      </c>
    </row>
    <row r="7347">
      <c r="A7347" s="1" t="s">
        <v>7</v>
      </c>
      <c r="B7347" s="2">
        <v>44733.0</v>
      </c>
      <c r="C7347" s="3">
        <v>0.337037037037037</v>
      </c>
      <c r="D7347" s="1">
        <v>12.799705</v>
      </c>
      <c r="E7347" s="1">
        <v>80.023117</v>
      </c>
      <c r="F7347" s="1">
        <v>2846.0</v>
      </c>
      <c r="G7347" s="1">
        <v>58.0</v>
      </c>
    </row>
    <row r="7348">
      <c r="A7348" s="1" t="s">
        <v>8</v>
      </c>
      <c r="B7348" s="2">
        <v>44733.0</v>
      </c>
      <c r="C7348" s="3">
        <v>0.3372453703703704</v>
      </c>
      <c r="D7348" s="1">
        <v>12.931939</v>
      </c>
      <c r="E7348" s="1">
        <v>80.123257</v>
      </c>
      <c r="F7348" s="1">
        <v>5339.0</v>
      </c>
      <c r="G7348" s="1">
        <v>0.0</v>
      </c>
    </row>
    <row r="7349">
      <c r="A7349" s="1" t="s">
        <v>8</v>
      </c>
      <c r="B7349" s="2">
        <v>44733.0</v>
      </c>
      <c r="C7349" s="3">
        <v>0.33740740740740743</v>
      </c>
      <c r="D7349" s="1">
        <v>12.931772</v>
      </c>
      <c r="E7349" s="1">
        <v>80.123099</v>
      </c>
      <c r="F7349" s="1">
        <v>5339.0</v>
      </c>
      <c r="G7349" s="1">
        <v>21.0</v>
      </c>
    </row>
    <row r="7350">
      <c r="A7350" s="1" t="s">
        <v>7</v>
      </c>
      <c r="B7350" s="2">
        <v>44733.0</v>
      </c>
      <c r="C7350" s="3">
        <v>0.3376736111111111</v>
      </c>
      <c r="D7350" s="1">
        <v>12.980005</v>
      </c>
      <c r="E7350" s="1">
        <v>80.163386</v>
      </c>
      <c r="F7350" s="1">
        <v>805.0</v>
      </c>
      <c r="G7350" s="1">
        <v>18.0</v>
      </c>
    </row>
    <row r="7351">
      <c r="A7351" s="1" t="s">
        <v>8</v>
      </c>
      <c r="B7351" s="2">
        <v>44733.0</v>
      </c>
      <c r="C7351" s="3">
        <v>0.33784722222222224</v>
      </c>
      <c r="D7351" s="1">
        <v>12.929662</v>
      </c>
      <c r="E7351" s="1">
        <v>80.120863</v>
      </c>
      <c r="F7351" s="1">
        <v>5339.0</v>
      </c>
      <c r="G7351" s="1">
        <v>52.0</v>
      </c>
    </row>
    <row r="7352">
      <c r="A7352" s="1" t="s">
        <v>7</v>
      </c>
      <c r="B7352" s="2">
        <v>44733.0</v>
      </c>
      <c r="C7352" s="3">
        <v>0.33796296296296297</v>
      </c>
      <c r="D7352" s="1">
        <v>12.979056</v>
      </c>
      <c r="E7352" s="1">
        <v>80.16156</v>
      </c>
      <c r="F7352" s="1">
        <v>805.0</v>
      </c>
      <c r="G7352" s="1">
        <v>53.0</v>
      </c>
    </row>
    <row r="7353">
      <c r="A7353" s="1" t="s">
        <v>7</v>
      </c>
      <c r="B7353" s="2">
        <v>44733.0</v>
      </c>
      <c r="C7353" s="3">
        <v>0.3380902777777778</v>
      </c>
      <c r="D7353" s="1">
        <v>12.979056</v>
      </c>
      <c r="E7353" s="1">
        <v>80.16156</v>
      </c>
      <c r="F7353" s="1">
        <v>805.0</v>
      </c>
      <c r="G7353" s="1">
        <v>53.0</v>
      </c>
    </row>
    <row r="7354">
      <c r="A7354" s="1" t="s">
        <v>8</v>
      </c>
      <c r="B7354" s="2">
        <v>44733.0</v>
      </c>
      <c r="C7354" s="3">
        <v>0.338125</v>
      </c>
      <c r="D7354" s="1">
        <v>12.97769</v>
      </c>
      <c r="E7354" s="1">
        <v>80.159631</v>
      </c>
      <c r="F7354" s="1">
        <v>805.0</v>
      </c>
      <c r="G7354" s="1">
        <v>58.0</v>
      </c>
    </row>
    <row r="7355">
      <c r="A7355" s="1" t="s">
        <v>7</v>
      </c>
      <c r="B7355" s="2">
        <v>44733.0</v>
      </c>
      <c r="C7355" s="3">
        <v>0.33818287037037037</v>
      </c>
      <c r="D7355" s="1">
        <v>12.926478</v>
      </c>
      <c r="E7355" s="1">
        <v>80.117658</v>
      </c>
      <c r="F7355" s="1">
        <v>5339.0</v>
      </c>
      <c r="G7355" s="1">
        <v>49.0</v>
      </c>
    </row>
    <row r="7356">
      <c r="A7356" s="1" t="s">
        <v>9</v>
      </c>
      <c r="B7356" s="2">
        <v>44733.0</v>
      </c>
      <c r="C7356" s="3">
        <v>0.3382175925925926</v>
      </c>
      <c r="D7356" s="1">
        <v>12.97769</v>
      </c>
      <c r="E7356" s="1">
        <v>80.159631</v>
      </c>
      <c r="F7356" s="1">
        <v>805.0</v>
      </c>
      <c r="G7356" s="1">
        <v>58.0</v>
      </c>
    </row>
    <row r="7357">
      <c r="A7357" s="1" t="s">
        <v>7</v>
      </c>
      <c r="B7357" s="2">
        <v>44733.0</v>
      </c>
      <c r="C7357" s="3">
        <v>0.3383564814814815</v>
      </c>
      <c r="D7357" s="1">
        <v>12.812241</v>
      </c>
      <c r="E7357" s="1">
        <v>80.03128</v>
      </c>
      <c r="F7357" s="1">
        <v>2846.0</v>
      </c>
      <c r="G7357" s="1">
        <v>59.0</v>
      </c>
    </row>
    <row r="7358">
      <c r="A7358" s="1" t="s">
        <v>7</v>
      </c>
      <c r="B7358" s="2">
        <v>44733.0</v>
      </c>
      <c r="C7358" s="3">
        <v>0.33841435185185187</v>
      </c>
      <c r="D7358" s="1">
        <v>12.924974</v>
      </c>
      <c r="E7358" s="1">
        <v>80.116142</v>
      </c>
      <c r="F7358" s="1">
        <v>5339.0</v>
      </c>
      <c r="G7358" s="1">
        <v>57.0</v>
      </c>
    </row>
    <row r="7359">
      <c r="A7359" s="1" t="s">
        <v>7</v>
      </c>
      <c r="B7359" s="2">
        <v>44733.0</v>
      </c>
      <c r="C7359" s="3">
        <v>0.33848379629629627</v>
      </c>
      <c r="D7359" s="1">
        <v>12.813488</v>
      </c>
      <c r="E7359" s="1">
        <v>80.03204</v>
      </c>
      <c r="F7359" s="1">
        <v>2846.0</v>
      </c>
      <c r="G7359" s="1">
        <v>58.0</v>
      </c>
    </row>
    <row r="7360">
      <c r="A7360" s="1" t="s">
        <v>7</v>
      </c>
      <c r="B7360" s="2">
        <v>44733.0</v>
      </c>
      <c r="C7360" s="3">
        <v>0.3385416666666667</v>
      </c>
      <c r="D7360" s="1">
        <v>12.923295</v>
      </c>
      <c r="E7360" s="1">
        <v>80.114473</v>
      </c>
      <c r="F7360" s="1">
        <v>5339.0</v>
      </c>
      <c r="G7360" s="1">
        <v>59.0</v>
      </c>
    </row>
    <row r="7361">
      <c r="A7361" s="1" t="s">
        <v>7</v>
      </c>
      <c r="B7361" s="2">
        <v>44733.0</v>
      </c>
      <c r="C7361" s="3">
        <v>0.3385532407407407</v>
      </c>
      <c r="D7361" s="1">
        <v>12.814724</v>
      </c>
      <c r="E7361" s="1">
        <v>80.032824</v>
      </c>
      <c r="F7361" s="1">
        <v>2846.0</v>
      </c>
      <c r="G7361" s="1">
        <v>57.0</v>
      </c>
    </row>
    <row r="7362">
      <c r="A7362" s="1" t="s">
        <v>7</v>
      </c>
      <c r="B7362" s="2">
        <v>44733.0</v>
      </c>
      <c r="C7362" s="3">
        <v>0.3386574074074074</v>
      </c>
      <c r="D7362" s="1">
        <v>12.921659</v>
      </c>
      <c r="E7362" s="1">
        <v>80.112813</v>
      </c>
      <c r="F7362" s="1">
        <v>5339.0</v>
      </c>
      <c r="G7362" s="1">
        <v>51.0</v>
      </c>
    </row>
    <row r="7363">
      <c r="A7363" s="1" t="s">
        <v>8</v>
      </c>
      <c r="B7363" s="2">
        <v>44733.0</v>
      </c>
      <c r="C7363" s="3">
        <v>0.3387962962962963</v>
      </c>
      <c r="D7363" s="1">
        <v>12.921659</v>
      </c>
      <c r="E7363" s="1">
        <v>80.112813</v>
      </c>
      <c r="F7363" s="1">
        <v>5339.0</v>
      </c>
      <c r="G7363" s="1">
        <v>51.0</v>
      </c>
    </row>
    <row r="7364">
      <c r="A7364" s="1" t="s">
        <v>7</v>
      </c>
      <c r="B7364" s="2">
        <v>44733.0</v>
      </c>
      <c r="C7364" s="3">
        <v>0.3387962962962963</v>
      </c>
      <c r="D7364" s="1">
        <v>12.817095</v>
      </c>
      <c r="E7364" s="1">
        <v>80.03456</v>
      </c>
      <c r="F7364" s="1">
        <v>2846.0</v>
      </c>
      <c r="G7364" s="1">
        <v>57.0</v>
      </c>
    </row>
    <row r="7365">
      <c r="A7365" s="1" t="s">
        <v>8</v>
      </c>
      <c r="B7365" s="2">
        <v>44733.0</v>
      </c>
      <c r="C7365" s="3">
        <v>0.3388773148148148</v>
      </c>
      <c r="D7365" s="1">
        <v>12.920238</v>
      </c>
      <c r="E7365" s="1">
        <v>80.111372</v>
      </c>
      <c r="F7365" s="1">
        <v>5339.0</v>
      </c>
      <c r="G7365" s="1">
        <v>54.0</v>
      </c>
    </row>
    <row r="7366">
      <c r="A7366" s="1" t="s">
        <v>8</v>
      </c>
      <c r="B7366" s="2">
        <v>44733.0</v>
      </c>
      <c r="C7366" s="3">
        <v>0.3389351851851852</v>
      </c>
      <c r="D7366" s="1">
        <v>12.81819</v>
      </c>
      <c r="E7366" s="1">
        <v>80.035343</v>
      </c>
      <c r="F7366" s="1">
        <v>2846.0</v>
      </c>
      <c r="G7366" s="1">
        <v>46.0</v>
      </c>
    </row>
    <row r="7367">
      <c r="A7367" s="1" t="s">
        <v>8</v>
      </c>
      <c r="B7367" s="2">
        <v>44733.0</v>
      </c>
      <c r="C7367" s="3">
        <v>0.3390972222222222</v>
      </c>
      <c r="D7367" s="1">
        <v>12.819691</v>
      </c>
      <c r="E7367" s="1">
        <v>80.036377</v>
      </c>
      <c r="F7367" s="1">
        <v>2846.0</v>
      </c>
      <c r="G7367" s="1">
        <v>38.0</v>
      </c>
    </row>
    <row r="7368">
      <c r="A7368" s="1" t="s">
        <v>8</v>
      </c>
      <c r="B7368" s="2">
        <v>44733.0</v>
      </c>
      <c r="C7368" s="3">
        <v>0.339537037037037</v>
      </c>
      <c r="D7368" s="1">
        <v>12.969385</v>
      </c>
      <c r="E7368" s="1">
        <v>80.150109</v>
      </c>
      <c r="F7368" s="1">
        <v>805.0</v>
      </c>
      <c r="G7368" s="1">
        <v>35.0</v>
      </c>
    </row>
    <row r="7369">
      <c r="A7369" s="1" t="s">
        <v>8</v>
      </c>
      <c r="B7369" s="2">
        <v>44733.0</v>
      </c>
      <c r="C7369" s="3">
        <v>0.3396180555555556</v>
      </c>
      <c r="D7369" s="1">
        <v>12.91621</v>
      </c>
      <c r="E7369" s="1">
        <v>80.105738</v>
      </c>
      <c r="F7369" s="1">
        <v>5339.0</v>
      </c>
      <c r="G7369" s="1">
        <v>51.0</v>
      </c>
    </row>
    <row r="7370">
      <c r="A7370" s="1" t="s">
        <v>7</v>
      </c>
      <c r="B7370" s="2">
        <v>44733.0</v>
      </c>
      <c r="C7370" s="3">
        <v>0.3397453703703704</v>
      </c>
      <c r="D7370" s="1">
        <v>12.825234</v>
      </c>
      <c r="E7370" s="1">
        <v>80.040312</v>
      </c>
      <c r="F7370" s="1">
        <v>2846.0</v>
      </c>
      <c r="G7370" s="1">
        <v>58.0</v>
      </c>
    </row>
    <row r="7371">
      <c r="A7371" s="1" t="s">
        <v>8</v>
      </c>
      <c r="B7371" s="2">
        <v>44733.0</v>
      </c>
      <c r="C7371" s="3">
        <v>0.34021990740740743</v>
      </c>
      <c r="D7371" s="1">
        <v>12.912924</v>
      </c>
      <c r="E7371" s="1">
        <v>80.101586</v>
      </c>
      <c r="F7371" s="1">
        <v>5339.0</v>
      </c>
      <c r="G7371" s="1">
        <v>44.0</v>
      </c>
    </row>
    <row r="7372">
      <c r="A7372" s="1" t="s">
        <v>7</v>
      </c>
      <c r="B7372" s="2">
        <v>44733.0</v>
      </c>
      <c r="C7372" s="3">
        <v>0.34078703703703705</v>
      </c>
      <c r="D7372" s="1">
        <v>12.831128</v>
      </c>
      <c r="E7372" s="1">
        <v>80.046153</v>
      </c>
      <c r="F7372" s="1">
        <v>2846.0</v>
      </c>
      <c r="G7372" s="1">
        <v>34.0</v>
      </c>
    </row>
    <row r="7373">
      <c r="A7373" s="1" t="s">
        <v>7</v>
      </c>
      <c r="B7373" s="2">
        <v>44733.0</v>
      </c>
      <c r="C7373" s="3">
        <v>0.3411574074074074</v>
      </c>
      <c r="D7373" s="1">
        <v>12.833975</v>
      </c>
      <c r="E7373" s="1">
        <v>80.049148</v>
      </c>
      <c r="F7373" s="1">
        <v>2846.0</v>
      </c>
      <c r="G7373" s="1">
        <v>57.0</v>
      </c>
    </row>
    <row r="7374">
      <c r="A7374" s="1" t="s">
        <v>7</v>
      </c>
      <c r="B7374" s="2">
        <v>44733.0</v>
      </c>
      <c r="C7374" s="3">
        <v>0.3414699074074074</v>
      </c>
      <c r="D7374" s="1">
        <v>12.837026</v>
      </c>
      <c r="E7374" s="1">
        <v>80.05232</v>
      </c>
      <c r="F7374" s="1">
        <v>2846.0</v>
      </c>
      <c r="G7374" s="1">
        <v>58.0</v>
      </c>
    </row>
    <row r="7375">
      <c r="A7375" s="1" t="s">
        <v>7</v>
      </c>
      <c r="B7375" s="2">
        <v>44733.0</v>
      </c>
      <c r="C7375" s="3">
        <v>0.34162037037037035</v>
      </c>
      <c r="D7375" s="1">
        <v>12.838048</v>
      </c>
      <c r="E7375" s="1">
        <v>80.053378</v>
      </c>
      <c r="F7375" s="1">
        <v>2846.0</v>
      </c>
      <c r="G7375" s="1">
        <v>58.0</v>
      </c>
    </row>
    <row r="7376">
      <c r="A7376" s="1" t="s">
        <v>8</v>
      </c>
      <c r="B7376" s="2">
        <v>44733.0</v>
      </c>
      <c r="C7376" s="3">
        <v>0.3421180555555556</v>
      </c>
      <c r="D7376" s="1">
        <v>12.840935</v>
      </c>
      <c r="E7376" s="1">
        <v>80.056338</v>
      </c>
      <c r="F7376" s="1">
        <v>2846.0</v>
      </c>
      <c r="G7376" s="1">
        <v>23.0</v>
      </c>
    </row>
    <row r="7377">
      <c r="A7377" s="1" t="s">
        <v>8</v>
      </c>
      <c r="B7377" s="2">
        <v>44733.0</v>
      </c>
      <c r="C7377" s="3">
        <v>0.3421875</v>
      </c>
      <c r="D7377" s="1">
        <v>12.840935</v>
      </c>
      <c r="E7377" s="1">
        <v>80.056338</v>
      </c>
      <c r="F7377" s="1">
        <v>2846.0</v>
      </c>
      <c r="G7377" s="1">
        <v>23.0</v>
      </c>
    </row>
    <row r="7378">
      <c r="A7378" s="1" t="s">
        <v>8</v>
      </c>
      <c r="B7378" s="2">
        <v>44733.0</v>
      </c>
      <c r="C7378" s="3">
        <v>0.3424421296296296</v>
      </c>
      <c r="D7378" s="1">
        <v>12.955705</v>
      </c>
      <c r="E7378" s="1">
        <v>80.142988</v>
      </c>
      <c r="F7378" s="1">
        <v>805.0</v>
      </c>
      <c r="G7378" s="1">
        <v>24.0</v>
      </c>
    </row>
    <row r="7379">
      <c r="A7379" s="1" t="s">
        <v>8</v>
      </c>
      <c r="B7379" s="2">
        <v>44733.0</v>
      </c>
      <c r="C7379" s="3">
        <v>0.34247685185185184</v>
      </c>
      <c r="D7379" s="1">
        <v>12.905776</v>
      </c>
      <c r="E7379" s="1">
        <v>80.096</v>
      </c>
      <c r="F7379" s="1">
        <v>5339.0</v>
      </c>
      <c r="G7379" s="1">
        <v>0.0</v>
      </c>
    </row>
    <row r="7380">
      <c r="A7380" s="1" t="s">
        <v>10</v>
      </c>
      <c r="B7380" s="2">
        <v>44733.0</v>
      </c>
      <c r="C7380" s="3">
        <v>0.34252314814814816</v>
      </c>
      <c r="D7380" s="1">
        <v>12.843067</v>
      </c>
      <c r="E7380" s="1">
        <v>80.058554</v>
      </c>
      <c r="F7380" s="1">
        <v>2846.0</v>
      </c>
      <c r="G7380" s="1">
        <v>48.0</v>
      </c>
    </row>
    <row r="7381">
      <c r="A7381" s="1" t="s">
        <v>8</v>
      </c>
      <c r="B7381" s="2">
        <v>44733.0</v>
      </c>
      <c r="C7381" s="3">
        <v>0.34271990740740743</v>
      </c>
      <c r="D7381" s="1">
        <v>12.953653</v>
      </c>
      <c r="E7381" s="1">
        <v>80.141896</v>
      </c>
      <c r="F7381" s="1">
        <v>805.0</v>
      </c>
      <c r="G7381" s="1">
        <v>33.0</v>
      </c>
    </row>
    <row r="7382">
      <c r="A7382" s="1" t="s">
        <v>8</v>
      </c>
      <c r="B7382" s="2">
        <v>44733.0</v>
      </c>
      <c r="C7382" s="3">
        <v>0.3430902777777778</v>
      </c>
      <c r="D7382" s="1">
        <v>12.903041</v>
      </c>
      <c r="E7382" s="1">
        <v>80.093798</v>
      </c>
      <c r="F7382" s="1">
        <v>5339.0</v>
      </c>
      <c r="G7382" s="1">
        <v>48.0</v>
      </c>
    </row>
    <row r="7383">
      <c r="A7383" s="1" t="s">
        <v>8</v>
      </c>
      <c r="B7383" s="2">
        <v>44733.0</v>
      </c>
      <c r="C7383" s="3">
        <v>0.34325231481481483</v>
      </c>
      <c r="D7383" s="1">
        <v>12.951129</v>
      </c>
      <c r="E7383" s="1">
        <v>80.14005</v>
      </c>
      <c r="F7383" s="1">
        <v>805.0</v>
      </c>
      <c r="G7383" s="1">
        <v>0.0</v>
      </c>
    </row>
    <row r="7384">
      <c r="A7384" s="1" t="s">
        <v>7</v>
      </c>
      <c r="B7384" s="2">
        <v>44733.0</v>
      </c>
      <c r="C7384" s="3">
        <v>0.3440625</v>
      </c>
      <c r="D7384" s="1">
        <v>12.847239</v>
      </c>
      <c r="E7384" s="1">
        <v>80.062625</v>
      </c>
      <c r="F7384" s="1">
        <v>2846.0</v>
      </c>
      <c r="G7384" s="1">
        <v>45.0</v>
      </c>
    </row>
    <row r="7385">
      <c r="A7385" s="1" t="s">
        <v>9</v>
      </c>
      <c r="B7385" s="2">
        <v>44733.0</v>
      </c>
      <c r="C7385" s="3">
        <v>0.3441782407407407</v>
      </c>
      <c r="D7385" s="1">
        <v>12.894838</v>
      </c>
      <c r="E7385" s="1">
        <v>80.087624</v>
      </c>
      <c r="F7385" s="1">
        <v>5339.0</v>
      </c>
      <c r="G7385" s="1">
        <v>47.0</v>
      </c>
    </row>
    <row r="7386">
      <c r="A7386" s="1" t="s">
        <v>8</v>
      </c>
      <c r="B7386" s="2">
        <v>44733.0</v>
      </c>
      <c r="C7386" s="3">
        <v>0.34445601851851854</v>
      </c>
      <c r="D7386" s="1">
        <v>12.893239</v>
      </c>
      <c r="E7386" s="1">
        <v>80.086418</v>
      </c>
      <c r="F7386" s="1">
        <v>5339.0</v>
      </c>
      <c r="G7386" s="1">
        <v>47.0</v>
      </c>
    </row>
    <row r="7387">
      <c r="A7387" s="1" t="s">
        <v>8</v>
      </c>
      <c r="B7387" s="2">
        <v>44733.0</v>
      </c>
      <c r="C7387" s="3">
        <v>0.34465277777777775</v>
      </c>
      <c r="D7387" s="1">
        <v>12.943046</v>
      </c>
      <c r="E7387" s="1">
        <v>80.133778</v>
      </c>
      <c r="F7387" s="1">
        <v>805.0</v>
      </c>
      <c r="G7387" s="1">
        <v>33.0</v>
      </c>
    </row>
    <row r="7388">
      <c r="A7388" s="1" t="s">
        <v>8</v>
      </c>
      <c r="B7388" s="2">
        <v>44733.0</v>
      </c>
      <c r="C7388" s="3">
        <v>0.34466435185185185</v>
      </c>
      <c r="D7388" s="1">
        <v>12.891888</v>
      </c>
      <c r="E7388" s="1">
        <v>80.085502</v>
      </c>
      <c r="F7388" s="1">
        <v>5339.0</v>
      </c>
      <c r="G7388" s="1">
        <v>40.0</v>
      </c>
    </row>
    <row r="7389">
      <c r="A7389" s="1" t="s">
        <v>8</v>
      </c>
      <c r="B7389" s="2">
        <v>44733.0</v>
      </c>
      <c r="C7389" s="3">
        <v>0.3448611111111111</v>
      </c>
      <c r="D7389" s="1">
        <v>12.942388</v>
      </c>
      <c r="E7389" s="1">
        <v>80.133048</v>
      </c>
      <c r="F7389" s="1">
        <v>805.0</v>
      </c>
      <c r="G7389" s="1">
        <v>31.0</v>
      </c>
    </row>
    <row r="7390">
      <c r="A7390" s="1" t="s">
        <v>8</v>
      </c>
      <c r="B7390" s="2">
        <v>44733.0</v>
      </c>
      <c r="C7390" s="3">
        <v>0.3449537037037037</v>
      </c>
      <c r="D7390" s="1">
        <v>12.888086</v>
      </c>
      <c r="E7390" s="1">
        <v>80.083827</v>
      </c>
      <c r="F7390" s="1">
        <v>5339.0</v>
      </c>
      <c r="G7390" s="1">
        <v>53.0</v>
      </c>
    </row>
    <row r="7391">
      <c r="A7391" s="1" t="s">
        <v>7</v>
      </c>
      <c r="B7391" s="2">
        <v>44733.0</v>
      </c>
      <c r="C7391" s="3">
        <v>0.3449652777777778</v>
      </c>
      <c r="D7391" s="1">
        <v>12.851034</v>
      </c>
      <c r="E7391" s="1">
        <v>80.065362</v>
      </c>
      <c r="F7391" s="1">
        <v>2846.0</v>
      </c>
      <c r="G7391" s="1">
        <v>45.0</v>
      </c>
    </row>
    <row r="7392">
      <c r="A7392" s="1" t="s">
        <v>8</v>
      </c>
      <c r="B7392" s="2">
        <v>44733.0</v>
      </c>
      <c r="C7392" s="3">
        <v>0.34510416666666666</v>
      </c>
      <c r="D7392" s="1">
        <v>12.853177</v>
      </c>
      <c r="E7392" s="1">
        <v>80.066956</v>
      </c>
      <c r="F7392" s="1">
        <v>2846.0</v>
      </c>
      <c r="G7392" s="1">
        <v>59.0</v>
      </c>
    </row>
    <row r="7393">
      <c r="A7393" s="1" t="s">
        <v>7</v>
      </c>
      <c r="B7393" s="2">
        <v>44733.0</v>
      </c>
      <c r="C7393" s="3">
        <v>0.3451851851851852</v>
      </c>
      <c r="D7393" s="1">
        <v>12.853177</v>
      </c>
      <c r="E7393" s="1">
        <v>80.066956</v>
      </c>
      <c r="F7393" s="1">
        <v>2846.0</v>
      </c>
      <c r="G7393" s="1">
        <v>59.0</v>
      </c>
    </row>
    <row r="7394">
      <c r="A7394" s="1" t="s">
        <v>8</v>
      </c>
      <c r="B7394" s="2">
        <v>44733.0</v>
      </c>
      <c r="C7394" s="3">
        <v>0.34550925925925924</v>
      </c>
      <c r="D7394" s="1">
        <v>12.88266</v>
      </c>
      <c r="E7394" s="1">
        <v>80.081739</v>
      </c>
      <c r="F7394" s="1">
        <v>5339.0</v>
      </c>
      <c r="G7394" s="1">
        <v>39.0</v>
      </c>
    </row>
    <row r="7395">
      <c r="A7395" s="1" t="s">
        <v>8</v>
      </c>
      <c r="B7395" s="2">
        <v>44733.0</v>
      </c>
      <c r="C7395" s="3">
        <v>0.34594907407407405</v>
      </c>
      <c r="D7395" s="1">
        <v>12.936199</v>
      </c>
      <c r="E7395" s="1">
        <v>80.127369</v>
      </c>
      <c r="F7395" s="1">
        <v>805.0</v>
      </c>
      <c r="G7395" s="1">
        <v>15.0</v>
      </c>
    </row>
    <row r="7396">
      <c r="A7396" s="1" t="s">
        <v>7</v>
      </c>
      <c r="B7396" s="2">
        <v>44733.0</v>
      </c>
      <c r="C7396" s="3">
        <v>0.34618055555555555</v>
      </c>
      <c r="D7396" s="1">
        <v>12.935968</v>
      </c>
      <c r="E7396" s="1">
        <v>80.1272</v>
      </c>
      <c r="F7396" s="1">
        <v>805.0</v>
      </c>
      <c r="G7396" s="1">
        <v>20.0</v>
      </c>
    </row>
    <row r="7397">
      <c r="A7397" s="1" t="s">
        <v>7</v>
      </c>
      <c r="B7397" s="2">
        <v>44733.0</v>
      </c>
      <c r="C7397" s="3">
        <v>0.34629629629629627</v>
      </c>
      <c r="D7397" s="1">
        <v>12.935968</v>
      </c>
      <c r="E7397" s="1">
        <v>80.1272</v>
      </c>
      <c r="F7397" s="1">
        <v>805.0</v>
      </c>
      <c r="G7397" s="1">
        <v>20.0</v>
      </c>
    </row>
    <row r="7398">
      <c r="A7398" s="1" t="s">
        <v>8</v>
      </c>
      <c r="B7398" s="2">
        <v>44733.0</v>
      </c>
      <c r="C7398" s="3">
        <v>0.3463541666666667</v>
      </c>
      <c r="D7398" s="1">
        <v>12.934933</v>
      </c>
      <c r="E7398" s="1">
        <v>80.12616</v>
      </c>
      <c r="F7398" s="1">
        <v>805.0</v>
      </c>
      <c r="G7398" s="1">
        <v>50.0</v>
      </c>
    </row>
    <row r="7399">
      <c r="A7399" s="1" t="s">
        <v>8</v>
      </c>
      <c r="B7399" s="2">
        <v>44733.0</v>
      </c>
      <c r="C7399" s="3">
        <v>0.3463773148148148</v>
      </c>
      <c r="D7399" s="1">
        <v>12.934933</v>
      </c>
      <c r="E7399" s="1">
        <v>80.12616</v>
      </c>
      <c r="F7399" s="1">
        <v>805.0</v>
      </c>
      <c r="G7399" s="1">
        <v>50.0</v>
      </c>
    </row>
    <row r="7400">
      <c r="A7400" s="1" t="s">
        <v>8</v>
      </c>
      <c r="B7400" s="2">
        <v>44733.0</v>
      </c>
      <c r="C7400" s="3">
        <v>0.3465972222222222</v>
      </c>
      <c r="D7400" s="1">
        <v>12.93334</v>
      </c>
      <c r="E7400" s="1">
        <v>80.124643</v>
      </c>
      <c r="F7400" s="1">
        <v>805.0</v>
      </c>
      <c r="G7400" s="1">
        <v>58.0</v>
      </c>
    </row>
    <row r="7401">
      <c r="A7401" s="1" t="s">
        <v>8</v>
      </c>
      <c r="B7401" s="2">
        <v>44733.0</v>
      </c>
      <c r="C7401" s="3">
        <v>0.3465972222222222</v>
      </c>
      <c r="D7401" s="1">
        <v>12.93334</v>
      </c>
      <c r="E7401" s="1">
        <v>80.124643</v>
      </c>
      <c r="F7401" s="1">
        <v>805.0</v>
      </c>
      <c r="G7401" s="1">
        <v>58.0</v>
      </c>
    </row>
    <row r="7402">
      <c r="A7402" s="1" t="s">
        <v>8</v>
      </c>
      <c r="B7402" s="2">
        <v>44733.0</v>
      </c>
      <c r="C7402" s="3">
        <v>0.3468287037037037</v>
      </c>
      <c r="D7402" s="1">
        <v>12.931962</v>
      </c>
      <c r="E7402" s="1">
        <v>80.1233</v>
      </c>
      <c r="F7402" s="1">
        <v>805.0</v>
      </c>
      <c r="G7402" s="1">
        <v>22.0</v>
      </c>
    </row>
    <row r="7403">
      <c r="A7403" s="1" t="s">
        <v>8</v>
      </c>
      <c r="B7403" s="2">
        <v>44733.0</v>
      </c>
      <c r="C7403" s="3">
        <v>0.3468865740740741</v>
      </c>
      <c r="D7403" s="1">
        <v>12.931962</v>
      </c>
      <c r="E7403" s="1">
        <v>80.1233</v>
      </c>
      <c r="F7403" s="1">
        <v>805.0</v>
      </c>
      <c r="G7403" s="1">
        <v>22.0</v>
      </c>
    </row>
    <row r="7404">
      <c r="A7404" s="1" t="s">
        <v>7</v>
      </c>
      <c r="B7404" s="2">
        <v>44733.0</v>
      </c>
      <c r="C7404" s="3">
        <v>0.3470023148148148</v>
      </c>
      <c r="D7404" s="1">
        <v>12.931581</v>
      </c>
      <c r="E7404" s="1">
        <v>80.1229</v>
      </c>
      <c r="F7404" s="1">
        <v>805.0</v>
      </c>
      <c r="G7404" s="1">
        <v>25.0</v>
      </c>
    </row>
    <row r="7405">
      <c r="A7405" s="1" t="s">
        <v>8</v>
      </c>
      <c r="B7405" s="2">
        <v>44733.0</v>
      </c>
      <c r="C7405" s="3">
        <v>0.3471180555555556</v>
      </c>
      <c r="D7405" s="1">
        <v>12.866228</v>
      </c>
      <c r="E7405" s="1">
        <v>80.07493</v>
      </c>
      <c r="F7405" s="1">
        <v>2846.0</v>
      </c>
      <c r="G7405" s="1">
        <v>35.0</v>
      </c>
    </row>
    <row r="7406">
      <c r="A7406" s="1" t="s">
        <v>7</v>
      </c>
      <c r="B7406" s="2">
        <v>44733.0</v>
      </c>
      <c r="C7406" s="3">
        <v>0.34783564814814816</v>
      </c>
      <c r="D7406" s="1">
        <v>12.926946</v>
      </c>
      <c r="E7406" s="1">
        <v>80.118131</v>
      </c>
      <c r="F7406" s="1">
        <v>805.0</v>
      </c>
      <c r="G7406" s="1">
        <v>16.0</v>
      </c>
    </row>
    <row r="7407">
      <c r="A7407" s="1" t="s">
        <v>8</v>
      </c>
      <c r="B7407" s="2">
        <v>44733.0</v>
      </c>
      <c r="C7407" s="3">
        <v>0.3478703703703704</v>
      </c>
      <c r="D7407" s="1">
        <v>12.872029</v>
      </c>
      <c r="E7407" s="1">
        <v>80.077226</v>
      </c>
      <c r="F7407" s="1">
        <v>2846.0</v>
      </c>
      <c r="G7407" s="1">
        <v>45.0</v>
      </c>
    </row>
    <row r="7408">
      <c r="A7408" s="1" t="s">
        <v>8</v>
      </c>
      <c r="B7408" s="2">
        <v>44733.0</v>
      </c>
      <c r="C7408" s="3">
        <v>0.3486342592592593</v>
      </c>
      <c r="D7408" s="1">
        <v>12.923197</v>
      </c>
      <c r="E7408" s="1">
        <v>80.114386</v>
      </c>
      <c r="F7408" s="1">
        <v>805.0</v>
      </c>
      <c r="G7408" s="1">
        <v>0.0</v>
      </c>
    </row>
    <row r="7409">
      <c r="A7409" s="1" t="s">
        <v>8</v>
      </c>
      <c r="B7409" s="2">
        <v>44733.0</v>
      </c>
      <c r="C7409" s="3">
        <v>0.34868055555555555</v>
      </c>
      <c r="D7409" s="1">
        <v>12.923197</v>
      </c>
      <c r="E7409" s="1">
        <v>80.114386</v>
      </c>
      <c r="F7409" s="1">
        <v>805.0</v>
      </c>
      <c r="G7409" s="1">
        <v>0.0</v>
      </c>
    </row>
    <row r="7410">
      <c r="A7410" s="1" t="s">
        <v>7</v>
      </c>
      <c r="B7410" s="2">
        <v>44733.0</v>
      </c>
      <c r="C7410" s="3">
        <v>0.34967592592592595</v>
      </c>
      <c r="D7410" s="1">
        <v>12.917014</v>
      </c>
      <c r="E7410" s="1">
        <v>80.107276</v>
      </c>
      <c r="F7410" s="1">
        <v>805.0</v>
      </c>
      <c r="G7410" s="1">
        <v>0.0</v>
      </c>
    </row>
    <row r="7411">
      <c r="A7411" s="1" t="s">
        <v>10</v>
      </c>
      <c r="B7411" s="2">
        <v>44733.0</v>
      </c>
      <c r="C7411" s="3">
        <v>0.3504398148148148</v>
      </c>
      <c r="D7411" s="1">
        <v>12.877071</v>
      </c>
      <c r="E7411" s="1">
        <v>80.084552</v>
      </c>
      <c r="F7411" s="1">
        <v>2846.0</v>
      </c>
      <c r="G7411" s="1">
        <v>9.0</v>
      </c>
    </row>
    <row r="7412">
      <c r="A7412" s="1" t="s">
        <v>10</v>
      </c>
      <c r="B7412" s="2">
        <v>44733.0</v>
      </c>
      <c r="C7412" s="3">
        <v>0.3506944444444444</v>
      </c>
      <c r="D7412" s="1">
        <v>12.876218</v>
      </c>
      <c r="E7412" s="1">
        <v>80.084141</v>
      </c>
      <c r="F7412" s="1">
        <v>2846.0</v>
      </c>
      <c r="G7412" s="1">
        <v>24.0</v>
      </c>
    </row>
    <row r="7413">
      <c r="A7413" s="1" t="s">
        <v>8</v>
      </c>
      <c r="B7413" s="2">
        <v>44733.0</v>
      </c>
      <c r="C7413" s="3">
        <v>0.3512962962962963</v>
      </c>
      <c r="D7413" s="1">
        <v>12.909049</v>
      </c>
      <c r="E7413" s="1">
        <v>80.098858</v>
      </c>
      <c r="F7413" s="1">
        <v>805.0</v>
      </c>
      <c r="G7413" s="1">
        <v>4.0</v>
      </c>
    </row>
    <row r="7414">
      <c r="A7414" s="1" t="s">
        <v>8</v>
      </c>
      <c r="B7414" s="2">
        <v>44733.0</v>
      </c>
      <c r="C7414" s="3">
        <v>0.35130787037037037</v>
      </c>
      <c r="D7414" s="1">
        <v>12.909049</v>
      </c>
      <c r="E7414" s="1">
        <v>80.098858</v>
      </c>
      <c r="F7414" s="1">
        <v>805.0</v>
      </c>
      <c r="G7414" s="1">
        <v>4.0</v>
      </c>
    </row>
    <row r="7415">
      <c r="A7415" s="1" t="s">
        <v>8</v>
      </c>
      <c r="B7415" s="2">
        <v>44733.0</v>
      </c>
      <c r="C7415" s="3">
        <v>0.35130787037037037</v>
      </c>
      <c r="D7415" s="1">
        <v>12.909049</v>
      </c>
      <c r="E7415" s="1">
        <v>80.098858</v>
      </c>
      <c r="F7415" s="1">
        <v>805.0</v>
      </c>
      <c r="G7415" s="1">
        <v>4.0</v>
      </c>
    </row>
    <row r="7416">
      <c r="A7416" s="1" t="s">
        <v>8</v>
      </c>
      <c r="B7416" s="2">
        <v>44733.0</v>
      </c>
      <c r="C7416" s="3">
        <v>0.3522222222222222</v>
      </c>
      <c r="D7416" s="1">
        <v>12.905617</v>
      </c>
      <c r="E7416" s="1">
        <v>80.095878</v>
      </c>
      <c r="F7416" s="1">
        <v>805.0</v>
      </c>
      <c r="G7416" s="1">
        <v>0.0</v>
      </c>
    </row>
    <row r="7417">
      <c r="A7417" s="1" t="s">
        <v>8</v>
      </c>
      <c r="B7417" s="2">
        <v>44733.0</v>
      </c>
      <c r="C7417" s="3">
        <v>0.3524305555555556</v>
      </c>
      <c r="D7417" s="1">
        <v>12.905613</v>
      </c>
      <c r="E7417" s="1">
        <v>80.095878</v>
      </c>
      <c r="F7417" s="1">
        <v>805.0</v>
      </c>
      <c r="G7417" s="1">
        <v>0.0</v>
      </c>
    </row>
    <row r="7418">
      <c r="A7418" s="1" t="s">
        <v>8</v>
      </c>
      <c r="B7418" s="2">
        <v>44733.0</v>
      </c>
      <c r="C7418" s="3">
        <v>0.352662037037037</v>
      </c>
      <c r="D7418" s="1">
        <v>12.904205</v>
      </c>
      <c r="E7418" s="1">
        <v>80.094838</v>
      </c>
      <c r="F7418" s="1">
        <v>805.0</v>
      </c>
      <c r="G7418" s="1">
        <v>41.0</v>
      </c>
    </row>
    <row r="7419">
      <c r="A7419" s="1" t="s">
        <v>8</v>
      </c>
      <c r="B7419" s="2">
        <v>44733.0</v>
      </c>
      <c r="C7419" s="3">
        <v>0.3527314814814815</v>
      </c>
      <c r="D7419" s="1">
        <v>12.904205</v>
      </c>
      <c r="E7419" s="1">
        <v>80.094838</v>
      </c>
      <c r="F7419" s="1">
        <v>805.0</v>
      </c>
      <c r="G7419" s="1">
        <v>41.0</v>
      </c>
    </row>
    <row r="7420">
      <c r="A7420" s="1" t="s">
        <v>8</v>
      </c>
      <c r="B7420" s="2">
        <v>44733.0</v>
      </c>
      <c r="C7420" s="3">
        <v>0.35282407407407407</v>
      </c>
      <c r="D7420" s="1">
        <v>12.904205</v>
      </c>
      <c r="E7420" s="1">
        <v>80.094838</v>
      </c>
      <c r="F7420" s="1">
        <v>805.0</v>
      </c>
      <c r="G7420" s="1">
        <v>41.0</v>
      </c>
    </row>
    <row r="7421">
      <c r="A7421" s="1" t="s">
        <v>7</v>
      </c>
      <c r="B7421" s="2">
        <v>44733.0</v>
      </c>
      <c r="C7421" s="3">
        <v>0.3539583333333333</v>
      </c>
      <c r="D7421" s="1">
        <v>12.89658</v>
      </c>
      <c r="E7421" s="1">
        <v>80.08893</v>
      </c>
      <c r="F7421" s="1">
        <v>805.0</v>
      </c>
      <c r="G7421" s="1">
        <v>50.0</v>
      </c>
    </row>
    <row r="7422">
      <c r="A7422" s="1" t="s">
        <v>7</v>
      </c>
      <c r="B7422" s="2">
        <v>44733.0</v>
      </c>
      <c r="C7422" s="3">
        <v>0.3542361111111111</v>
      </c>
      <c r="D7422" s="1">
        <v>12.891013</v>
      </c>
      <c r="E7422" s="1">
        <v>80.085062</v>
      </c>
      <c r="F7422" s="1">
        <v>805.0</v>
      </c>
      <c r="G7422" s="1">
        <v>57.0</v>
      </c>
    </row>
    <row r="7423">
      <c r="A7423" s="1" t="s">
        <v>8</v>
      </c>
      <c r="B7423" s="2">
        <v>44733.0</v>
      </c>
      <c r="C7423" s="3">
        <v>0.35768518518518516</v>
      </c>
      <c r="D7423" s="1">
        <v>12.878942</v>
      </c>
      <c r="E7423" s="1">
        <v>80.080833</v>
      </c>
      <c r="F7423" s="1">
        <v>805.0</v>
      </c>
      <c r="G7423" s="1">
        <v>0.0</v>
      </c>
    </row>
    <row r="7424">
      <c r="A7424" s="1" t="s">
        <v>8</v>
      </c>
      <c r="B7424" s="2">
        <v>44733.0</v>
      </c>
      <c r="C7424" s="3">
        <v>0.3577314814814815</v>
      </c>
      <c r="D7424" s="1">
        <v>12.878942</v>
      </c>
      <c r="E7424" s="1">
        <v>80.080833</v>
      </c>
      <c r="F7424" s="1">
        <v>805.0</v>
      </c>
      <c r="G7424" s="1">
        <v>0.0</v>
      </c>
    </row>
    <row r="7425">
      <c r="A7425" s="1" t="s">
        <v>10</v>
      </c>
      <c r="B7425" s="2">
        <v>44733.0</v>
      </c>
      <c r="C7425" s="3">
        <v>0.358125</v>
      </c>
      <c r="D7425" s="1">
        <v>12.878059</v>
      </c>
      <c r="E7425" s="1">
        <v>80.083425</v>
      </c>
      <c r="F7425" s="1">
        <v>805.0</v>
      </c>
      <c r="G7425" s="1">
        <v>40.0</v>
      </c>
    </row>
    <row r="7426">
      <c r="A7426" s="1" t="s">
        <v>10</v>
      </c>
      <c r="B7426" s="2">
        <v>44733.0</v>
      </c>
      <c r="C7426" s="3">
        <v>0.6875462962962963</v>
      </c>
      <c r="D7426" s="1">
        <v>12.875517</v>
      </c>
      <c r="E7426" s="1">
        <v>80.083736</v>
      </c>
      <c r="F7426" s="1">
        <v>2846.0</v>
      </c>
      <c r="G7426" s="1">
        <v>0.0</v>
      </c>
    </row>
    <row r="7427">
      <c r="A7427" s="1" t="s">
        <v>10</v>
      </c>
      <c r="B7427" s="2">
        <v>44733.0</v>
      </c>
      <c r="C7427" s="3">
        <v>0.6875925925925926</v>
      </c>
      <c r="D7427" s="1">
        <v>12.875517</v>
      </c>
      <c r="E7427" s="1">
        <v>80.083736</v>
      </c>
      <c r="F7427" s="1">
        <v>2846.0</v>
      </c>
      <c r="G7427" s="1">
        <v>0.0</v>
      </c>
    </row>
    <row r="7428">
      <c r="A7428" s="1" t="s">
        <v>10</v>
      </c>
      <c r="B7428" s="2">
        <v>44733.0</v>
      </c>
      <c r="C7428" s="3">
        <v>0.6881018518518518</v>
      </c>
      <c r="D7428" s="1">
        <v>12.875517</v>
      </c>
      <c r="E7428" s="1">
        <v>80.083736</v>
      </c>
      <c r="F7428" s="1">
        <v>2846.0</v>
      </c>
      <c r="G7428" s="1">
        <v>0.0</v>
      </c>
    </row>
    <row r="7429">
      <c r="A7429" s="1" t="s">
        <v>8</v>
      </c>
      <c r="B7429" s="2">
        <v>44733.0</v>
      </c>
      <c r="C7429" s="3">
        <v>0.6899537037037037</v>
      </c>
      <c r="D7429" s="1">
        <v>12.876037</v>
      </c>
      <c r="E7429" s="1">
        <v>80.079137</v>
      </c>
      <c r="F7429" s="1">
        <v>2846.0</v>
      </c>
      <c r="G7429" s="1">
        <v>48.0</v>
      </c>
    </row>
    <row r="7430">
      <c r="A7430" s="1" t="s">
        <v>7</v>
      </c>
      <c r="B7430" s="2">
        <v>44733.0</v>
      </c>
      <c r="C7430" s="3">
        <v>0.6900925925925926</v>
      </c>
      <c r="D7430" s="1">
        <v>12.874908</v>
      </c>
      <c r="E7430" s="1">
        <v>80.078681</v>
      </c>
      <c r="F7430" s="1">
        <v>2846.0</v>
      </c>
      <c r="G7430" s="1">
        <v>46.0</v>
      </c>
    </row>
    <row r="7431">
      <c r="A7431" s="1" t="s">
        <v>7</v>
      </c>
      <c r="B7431" s="2">
        <v>44733.0</v>
      </c>
      <c r="C7431" s="3">
        <v>0.6902546296296296</v>
      </c>
      <c r="D7431" s="1">
        <v>12.872528</v>
      </c>
      <c r="E7431" s="1">
        <v>80.077638</v>
      </c>
      <c r="F7431" s="1">
        <v>2846.0</v>
      </c>
      <c r="G7431" s="1">
        <v>57.0</v>
      </c>
    </row>
    <row r="7432">
      <c r="A7432" s="1" t="s">
        <v>7</v>
      </c>
      <c r="B7432" s="2">
        <v>44733.0</v>
      </c>
      <c r="C7432" s="3">
        <v>0.6904398148148149</v>
      </c>
      <c r="D7432" s="1">
        <v>12.871198</v>
      </c>
      <c r="E7432" s="1">
        <v>80.077138</v>
      </c>
      <c r="F7432" s="1">
        <v>2846.0</v>
      </c>
      <c r="G7432" s="1">
        <v>53.0</v>
      </c>
    </row>
    <row r="7433">
      <c r="A7433" s="1" t="s">
        <v>8</v>
      </c>
      <c r="B7433" s="2">
        <v>44733.0</v>
      </c>
      <c r="C7433" s="3">
        <v>0.6916666666666667</v>
      </c>
      <c r="D7433" s="1">
        <v>12.86543</v>
      </c>
      <c r="E7433" s="1">
        <v>80.074876</v>
      </c>
      <c r="F7433" s="1">
        <v>2846.0</v>
      </c>
      <c r="G7433" s="1">
        <v>47.0</v>
      </c>
    </row>
    <row r="7434">
      <c r="A7434" s="1" t="s">
        <v>7</v>
      </c>
      <c r="B7434" s="2">
        <v>44733.0</v>
      </c>
      <c r="C7434" s="3">
        <v>0.6934490740740741</v>
      </c>
      <c r="D7434" s="1">
        <v>12.857713</v>
      </c>
      <c r="E7434" s="1">
        <v>80.070591</v>
      </c>
      <c r="F7434" s="1">
        <v>2846.0</v>
      </c>
      <c r="G7434" s="1">
        <v>58.0</v>
      </c>
    </row>
    <row r="7435">
      <c r="A7435" s="1" t="s">
        <v>8</v>
      </c>
      <c r="B7435" s="2">
        <v>44733.0</v>
      </c>
      <c r="C7435" s="3">
        <v>0.694212962962963</v>
      </c>
      <c r="D7435" s="1">
        <v>12.906354</v>
      </c>
      <c r="E7435" s="1">
        <v>80.096091</v>
      </c>
      <c r="F7435" s="1">
        <v>5339.0</v>
      </c>
      <c r="G7435" s="1">
        <v>50.0</v>
      </c>
    </row>
    <row r="7436">
      <c r="A7436" s="1" t="s">
        <v>8</v>
      </c>
      <c r="B7436" s="2">
        <v>44733.0</v>
      </c>
      <c r="C7436" s="3">
        <v>0.6962037037037037</v>
      </c>
      <c r="D7436" s="1">
        <v>12.841922</v>
      </c>
      <c r="E7436" s="1">
        <v>80.057818</v>
      </c>
      <c r="F7436" s="1">
        <v>2846.0</v>
      </c>
      <c r="G7436" s="1">
        <v>45.0</v>
      </c>
    </row>
    <row r="7437">
      <c r="A7437" s="1" t="s">
        <v>8</v>
      </c>
      <c r="B7437" s="2">
        <v>44733.0</v>
      </c>
      <c r="C7437" s="3">
        <v>0.6966203703703704</v>
      </c>
      <c r="D7437" s="1">
        <v>12.838685</v>
      </c>
      <c r="E7437" s="1">
        <v>80.05429</v>
      </c>
      <c r="F7437" s="1">
        <v>2846.0</v>
      </c>
      <c r="G7437" s="1">
        <v>49.0</v>
      </c>
    </row>
    <row r="7438">
      <c r="A7438" s="1" t="s">
        <v>7</v>
      </c>
      <c r="B7438" s="2">
        <v>44733.0</v>
      </c>
      <c r="C7438" s="3">
        <v>0.6967939814814815</v>
      </c>
      <c r="D7438" s="1">
        <v>12.916202</v>
      </c>
      <c r="E7438" s="1">
        <v>80.105663</v>
      </c>
      <c r="F7438" s="1">
        <v>5339.0</v>
      </c>
      <c r="G7438" s="1">
        <v>56.0</v>
      </c>
    </row>
    <row r="7439">
      <c r="A7439" s="1" t="s">
        <v>7</v>
      </c>
      <c r="B7439" s="2">
        <v>44733.0</v>
      </c>
      <c r="C7439" s="3">
        <v>0.6969328703703703</v>
      </c>
      <c r="D7439" s="1">
        <v>12.836995</v>
      </c>
      <c r="E7439" s="1">
        <v>80.052547</v>
      </c>
      <c r="F7439" s="1">
        <v>2846.0</v>
      </c>
      <c r="G7439" s="1">
        <v>50.0</v>
      </c>
    </row>
    <row r="7440">
      <c r="A7440" s="1" t="s">
        <v>8</v>
      </c>
      <c r="B7440" s="2">
        <v>44733.0</v>
      </c>
      <c r="C7440" s="3">
        <v>0.6971527777777777</v>
      </c>
      <c r="D7440" s="1">
        <v>12.91765</v>
      </c>
      <c r="E7440" s="1">
        <v>80.108121</v>
      </c>
      <c r="F7440" s="1">
        <v>5339.0</v>
      </c>
      <c r="G7440" s="1">
        <v>46.0</v>
      </c>
    </row>
    <row r="7441">
      <c r="A7441" s="1" t="s">
        <v>8</v>
      </c>
      <c r="B7441" s="2">
        <v>44733.0</v>
      </c>
      <c r="C7441" s="3">
        <v>0.6973726851851851</v>
      </c>
      <c r="D7441" s="1">
        <v>12.919177</v>
      </c>
      <c r="E7441" s="1">
        <v>80.10997</v>
      </c>
      <c r="F7441" s="1">
        <v>5339.0</v>
      </c>
      <c r="G7441" s="1">
        <v>45.0</v>
      </c>
    </row>
    <row r="7442">
      <c r="A7442" s="1" t="s">
        <v>7</v>
      </c>
      <c r="B7442" s="2">
        <v>44733.0</v>
      </c>
      <c r="C7442" s="3">
        <v>0.6976157407407407</v>
      </c>
      <c r="D7442" s="1">
        <v>12.920684</v>
      </c>
      <c r="E7442" s="1">
        <v>80.111751</v>
      </c>
      <c r="F7442" s="1">
        <v>5339.0</v>
      </c>
      <c r="G7442" s="1">
        <v>47.0</v>
      </c>
    </row>
    <row r="7443">
      <c r="A7443" s="1" t="s">
        <v>7</v>
      </c>
      <c r="B7443" s="2">
        <v>44733.0</v>
      </c>
      <c r="C7443" s="3">
        <v>0.6983101851851852</v>
      </c>
      <c r="D7443" s="1">
        <v>12.827512</v>
      </c>
      <c r="E7443" s="1">
        <v>80.042542</v>
      </c>
      <c r="F7443" s="1">
        <v>2846.0</v>
      </c>
      <c r="G7443" s="1">
        <v>54.0</v>
      </c>
    </row>
    <row r="7444">
      <c r="A7444" s="1" t="s">
        <v>8</v>
      </c>
      <c r="B7444" s="2">
        <v>44733.0</v>
      </c>
      <c r="C7444" s="3">
        <v>0.6986574074074074</v>
      </c>
      <c r="D7444" s="1">
        <v>12.925463</v>
      </c>
      <c r="E7444" s="1">
        <v>80.116587</v>
      </c>
      <c r="F7444" s="1">
        <v>5339.0</v>
      </c>
      <c r="G7444" s="1">
        <v>45.0</v>
      </c>
    </row>
    <row r="7445">
      <c r="A7445" s="1" t="s">
        <v>8</v>
      </c>
      <c r="B7445" s="2">
        <v>44733.0</v>
      </c>
      <c r="C7445" s="3">
        <v>0.6996875</v>
      </c>
      <c r="D7445" s="1">
        <v>12.929679</v>
      </c>
      <c r="E7445" s="1">
        <v>80.120754</v>
      </c>
      <c r="F7445" s="1">
        <v>5339.0</v>
      </c>
      <c r="G7445" s="1">
        <v>24.0</v>
      </c>
    </row>
    <row r="7446">
      <c r="A7446" s="1" t="s">
        <v>8</v>
      </c>
      <c r="B7446" s="2">
        <v>44733.0</v>
      </c>
      <c r="C7446" s="3">
        <v>0.6997916666666667</v>
      </c>
      <c r="D7446" s="1">
        <v>12.929679</v>
      </c>
      <c r="E7446" s="1">
        <v>80.120754</v>
      </c>
      <c r="F7446" s="1">
        <v>5339.0</v>
      </c>
      <c r="G7446" s="1">
        <v>24.0</v>
      </c>
    </row>
    <row r="7447">
      <c r="A7447" s="1" t="s">
        <v>8</v>
      </c>
      <c r="B7447" s="2">
        <v>44733.0</v>
      </c>
      <c r="C7447" s="3">
        <v>0.6998032407407407</v>
      </c>
      <c r="D7447" s="1">
        <v>12.930189</v>
      </c>
      <c r="E7447" s="1">
        <v>80.121255</v>
      </c>
      <c r="F7447" s="1">
        <v>5339.0</v>
      </c>
      <c r="G7447" s="1">
        <v>30.0</v>
      </c>
    </row>
    <row r="7448">
      <c r="A7448" s="1" t="s">
        <v>7</v>
      </c>
      <c r="B7448" s="2">
        <v>44733.0</v>
      </c>
      <c r="C7448" s="3">
        <v>0.7003819444444445</v>
      </c>
      <c r="D7448" s="1">
        <v>12.811129</v>
      </c>
      <c r="E7448" s="1">
        <v>80.03069</v>
      </c>
      <c r="F7448" s="1">
        <v>2846.0</v>
      </c>
      <c r="G7448" s="1">
        <v>0.0</v>
      </c>
    </row>
    <row r="7449">
      <c r="A7449" s="1" t="s">
        <v>8</v>
      </c>
      <c r="B7449" s="2">
        <v>44733.0</v>
      </c>
      <c r="C7449" s="3">
        <v>0.7004398148148148</v>
      </c>
      <c r="D7449" s="1">
        <v>12.811129</v>
      </c>
      <c r="E7449" s="1">
        <v>80.03069</v>
      </c>
      <c r="F7449" s="1">
        <v>2846.0</v>
      </c>
      <c r="G7449" s="1">
        <v>0.0</v>
      </c>
    </row>
    <row r="7450">
      <c r="A7450" s="1" t="s">
        <v>8</v>
      </c>
      <c r="B7450" s="2">
        <v>44733.0</v>
      </c>
      <c r="C7450" s="3">
        <v>0.7008333333333333</v>
      </c>
      <c r="D7450" s="1">
        <v>12.936094</v>
      </c>
      <c r="E7450" s="1">
        <v>80.126969</v>
      </c>
      <c r="F7450" s="1">
        <v>5339.0</v>
      </c>
      <c r="G7450" s="1">
        <v>43.0</v>
      </c>
    </row>
    <row r="7451">
      <c r="A7451" s="1" t="s">
        <v>8</v>
      </c>
      <c r="B7451" s="2">
        <v>44733.0</v>
      </c>
      <c r="C7451" s="3">
        <v>0.7011342592592592</v>
      </c>
      <c r="D7451" s="1">
        <v>12.806818</v>
      </c>
      <c r="E7451" s="1">
        <v>80.027922</v>
      </c>
      <c r="F7451" s="1">
        <v>2846.0</v>
      </c>
      <c r="G7451" s="1">
        <v>45.0</v>
      </c>
    </row>
    <row r="7452">
      <c r="A7452" s="1" t="s">
        <v>7</v>
      </c>
      <c r="B7452" s="2">
        <v>44733.0</v>
      </c>
      <c r="C7452" s="3">
        <v>0.7013541666666666</v>
      </c>
      <c r="D7452" s="1">
        <v>12.939866</v>
      </c>
      <c r="E7452" s="1">
        <v>80.130343</v>
      </c>
      <c r="F7452" s="1">
        <v>5339.0</v>
      </c>
      <c r="G7452" s="1">
        <v>53.0</v>
      </c>
    </row>
    <row r="7453">
      <c r="A7453" s="1" t="s">
        <v>8</v>
      </c>
      <c r="B7453" s="2">
        <v>44733.0</v>
      </c>
      <c r="C7453" s="3">
        <v>0.7014699074074074</v>
      </c>
      <c r="D7453" s="1">
        <v>12.94081</v>
      </c>
      <c r="E7453" s="1">
        <v>80.131296</v>
      </c>
      <c r="F7453" s="1">
        <v>5339.0</v>
      </c>
      <c r="G7453" s="1">
        <v>51.0</v>
      </c>
    </row>
    <row r="7454">
      <c r="A7454" s="1" t="s">
        <v>8</v>
      </c>
      <c r="B7454" s="2">
        <v>44733.0</v>
      </c>
      <c r="C7454" s="3">
        <v>0.7014814814814815</v>
      </c>
      <c r="D7454" s="1">
        <v>12.803642</v>
      </c>
      <c r="E7454" s="1">
        <v>80.025883</v>
      </c>
      <c r="F7454" s="1">
        <v>2846.0</v>
      </c>
      <c r="G7454" s="1">
        <v>47.0</v>
      </c>
    </row>
    <row r="7455">
      <c r="A7455" s="1" t="s">
        <v>8</v>
      </c>
      <c r="B7455" s="2">
        <v>44733.0</v>
      </c>
      <c r="C7455" s="3">
        <v>0.7014930555555555</v>
      </c>
      <c r="D7455" s="1">
        <v>12.803642</v>
      </c>
      <c r="E7455" s="1">
        <v>80.025883</v>
      </c>
      <c r="F7455" s="1">
        <v>2846.0</v>
      </c>
      <c r="G7455" s="1">
        <v>47.0</v>
      </c>
    </row>
    <row r="7456">
      <c r="A7456" s="1" t="s">
        <v>8</v>
      </c>
      <c r="B7456" s="2">
        <v>44733.0</v>
      </c>
      <c r="C7456" s="3">
        <v>0.7017824074074074</v>
      </c>
      <c r="D7456" s="1">
        <v>12.943029</v>
      </c>
      <c r="E7456" s="1">
        <v>80.133578</v>
      </c>
      <c r="F7456" s="1">
        <v>5339.0</v>
      </c>
      <c r="G7456" s="1">
        <v>34.0</v>
      </c>
    </row>
    <row r="7457">
      <c r="A7457" s="1" t="s">
        <v>8</v>
      </c>
      <c r="B7457" s="2">
        <v>44733.0</v>
      </c>
      <c r="C7457" s="3">
        <v>0.7018981481481481</v>
      </c>
      <c r="D7457" s="1">
        <v>12.801333</v>
      </c>
      <c r="E7457" s="1">
        <v>80.024353</v>
      </c>
      <c r="F7457" s="1">
        <v>2846.0</v>
      </c>
      <c r="G7457" s="1">
        <v>45.0</v>
      </c>
    </row>
    <row r="7458">
      <c r="A7458" s="1" t="s">
        <v>7</v>
      </c>
      <c r="B7458" s="2">
        <v>44733.0</v>
      </c>
      <c r="C7458" s="3">
        <v>0.7029513888888889</v>
      </c>
      <c r="D7458" s="1">
        <v>12.792008</v>
      </c>
      <c r="E7458" s="1">
        <v>80.018233</v>
      </c>
      <c r="F7458" s="1">
        <v>2846.0</v>
      </c>
      <c r="G7458" s="1">
        <v>53.0</v>
      </c>
    </row>
    <row r="7459">
      <c r="A7459" s="1" t="s">
        <v>7</v>
      </c>
      <c r="B7459" s="2">
        <v>44733.0</v>
      </c>
      <c r="C7459" s="3">
        <v>0.703125</v>
      </c>
      <c r="D7459" s="1">
        <v>12.789538</v>
      </c>
      <c r="E7459" s="1">
        <v>80.016738</v>
      </c>
      <c r="F7459" s="1">
        <v>2846.0</v>
      </c>
      <c r="G7459" s="1">
        <v>57.0</v>
      </c>
    </row>
    <row r="7460">
      <c r="A7460" s="1" t="s">
        <v>8</v>
      </c>
      <c r="B7460" s="2">
        <v>44733.0</v>
      </c>
      <c r="C7460" s="3">
        <v>0.7034722222222223</v>
      </c>
      <c r="D7460" s="1">
        <v>12.950708</v>
      </c>
      <c r="E7460" s="1">
        <v>80.139663</v>
      </c>
      <c r="F7460" s="1">
        <v>5339.0</v>
      </c>
      <c r="G7460" s="1">
        <v>28.0</v>
      </c>
    </row>
    <row r="7461">
      <c r="A7461" s="1" t="s">
        <v>8</v>
      </c>
      <c r="B7461" s="2">
        <v>44733.0</v>
      </c>
      <c r="C7461" s="3">
        <v>0.703599537037037</v>
      </c>
      <c r="D7461" s="1">
        <v>12.951323</v>
      </c>
      <c r="E7461" s="1">
        <v>80.140135</v>
      </c>
      <c r="F7461" s="1">
        <v>5339.0</v>
      </c>
      <c r="G7461" s="1">
        <v>25.0</v>
      </c>
    </row>
    <row r="7462">
      <c r="A7462" s="1" t="s">
        <v>8</v>
      </c>
      <c r="B7462" s="2">
        <v>44733.0</v>
      </c>
      <c r="C7462" s="3">
        <v>0.703599537037037</v>
      </c>
      <c r="D7462" s="1">
        <v>12.951323</v>
      </c>
      <c r="E7462" s="1">
        <v>80.140135</v>
      </c>
      <c r="F7462" s="1">
        <v>5339.0</v>
      </c>
      <c r="G7462" s="1">
        <v>25.0</v>
      </c>
    </row>
    <row r="7463">
      <c r="A7463" s="1" t="s">
        <v>8</v>
      </c>
      <c r="B7463" s="2">
        <v>44733.0</v>
      </c>
      <c r="C7463" s="3">
        <v>0.703599537037037</v>
      </c>
      <c r="D7463" s="1">
        <v>12.951323</v>
      </c>
      <c r="E7463" s="1">
        <v>80.140135</v>
      </c>
      <c r="F7463" s="1">
        <v>5339.0</v>
      </c>
      <c r="G7463" s="1">
        <v>25.0</v>
      </c>
    </row>
    <row r="7464">
      <c r="A7464" s="1" t="s">
        <v>8</v>
      </c>
      <c r="B7464" s="2">
        <v>44733.0</v>
      </c>
      <c r="C7464" s="3">
        <v>0.703738425925926</v>
      </c>
      <c r="D7464" s="1">
        <v>12.95192</v>
      </c>
      <c r="E7464" s="1">
        <v>80.140588</v>
      </c>
      <c r="F7464" s="1">
        <v>5339.0</v>
      </c>
      <c r="G7464" s="1">
        <v>33.0</v>
      </c>
    </row>
    <row r="7465">
      <c r="A7465" s="1" t="s">
        <v>8</v>
      </c>
      <c r="B7465" s="2">
        <v>44733.0</v>
      </c>
      <c r="C7465" s="3">
        <v>0.7042939814814815</v>
      </c>
      <c r="D7465" s="1">
        <v>12.778369</v>
      </c>
      <c r="E7465" s="1">
        <v>80.011074</v>
      </c>
      <c r="F7465" s="1">
        <v>2846.0</v>
      </c>
      <c r="G7465" s="1">
        <v>55.0</v>
      </c>
    </row>
    <row r="7466">
      <c r="A7466" s="1" t="s">
        <v>8</v>
      </c>
      <c r="B7466" s="2">
        <v>44733.0</v>
      </c>
      <c r="C7466" s="3">
        <v>0.705300925925926</v>
      </c>
      <c r="D7466" s="1">
        <v>12.770427</v>
      </c>
      <c r="E7466" s="1">
        <v>80.007531</v>
      </c>
      <c r="F7466" s="1">
        <v>2846.0</v>
      </c>
      <c r="G7466" s="1">
        <v>19.0</v>
      </c>
    </row>
    <row r="7467">
      <c r="A7467" s="1" t="s">
        <v>8</v>
      </c>
      <c r="B7467" s="2">
        <v>44733.0</v>
      </c>
      <c r="C7467" s="3">
        <v>0.7054513888888889</v>
      </c>
      <c r="D7467" s="1">
        <v>12.769328</v>
      </c>
      <c r="E7467" s="1">
        <v>80.006968</v>
      </c>
      <c r="F7467" s="1">
        <v>2846.0</v>
      </c>
      <c r="G7467" s="1">
        <v>38.0</v>
      </c>
    </row>
    <row r="7468">
      <c r="A7468" s="1" t="s">
        <v>8</v>
      </c>
      <c r="B7468" s="2">
        <v>44733.0</v>
      </c>
      <c r="C7468" s="3">
        <v>0.7055787037037037</v>
      </c>
      <c r="D7468" s="1">
        <v>12.767924</v>
      </c>
      <c r="E7468" s="1">
        <v>80.006265</v>
      </c>
      <c r="F7468" s="1">
        <v>2846.0</v>
      </c>
      <c r="G7468" s="1">
        <v>45.0</v>
      </c>
    </row>
    <row r="7469">
      <c r="A7469" s="1" t="s">
        <v>8</v>
      </c>
      <c r="B7469" s="2">
        <v>44733.0</v>
      </c>
      <c r="C7469" s="3">
        <v>0.7057291666666666</v>
      </c>
      <c r="D7469" s="1">
        <v>12.766603</v>
      </c>
      <c r="E7469" s="1">
        <v>80.005645</v>
      </c>
      <c r="F7469" s="1">
        <v>2846.0</v>
      </c>
      <c r="G7469" s="1">
        <v>31.0</v>
      </c>
    </row>
    <row r="7470">
      <c r="A7470" s="1" t="s">
        <v>8</v>
      </c>
      <c r="B7470" s="2">
        <v>44733.0</v>
      </c>
      <c r="C7470" s="3">
        <v>0.7072337962962963</v>
      </c>
      <c r="D7470" s="1">
        <v>12.965939</v>
      </c>
      <c r="E7470" s="1">
        <v>80.148399</v>
      </c>
      <c r="F7470" s="1">
        <v>5339.0</v>
      </c>
      <c r="G7470" s="1">
        <v>35.0</v>
      </c>
    </row>
    <row r="7471">
      <c r="A7471" s="1" t="s">
        <v>9</v>
      </c>
      <c r="B7471" s="2">
        <v>44733.0</v>
      </c>
      <c r="C7471" s="3">
        <v>0.7073726851851851</v>
      </c>
      <c r="D7471" s="1">
        <v>12.966779</v>
      </c>
      <c r="E7471" s="1">
        <v>80.148831</v>
      </c>
      <c r="F7471" s="1">
        <v>5339.0</v>
      </c>
      <c r="G7471" s="1">
        <v>39.0</v>
      </c>
    </row>
    <row r="7472">
      <c r="A7472" s="1" t="s">
        <v>8</v>
      </c>
      <c r="B7472" s="2">
        <v>44733.0</v>
      </c>
      <c r="C7472" s="3">
        <v>0.7075</v>
      </c>
      <c r="D7472" s="1">
        <v>12.967675</v>
      </c>
      <c r="E7472" s="1">
        <v>80.149259</v>
      </c>
      <c r="F7472" s="1">
        <v>5339.0</v>
      </c>
      <c r="G7472" s="1">
        <v>41.0</v>
      </c>
    </row>
    <row r="7473">
      <c r="A7473" s="1" t="s">
        <v>7</v>
      </c>
      <c r="B7473" s="2">
        <v>44733.0</v>
      </c>
      <c r="C7473" s="3">
        <v>0.707662037037037</v>
      </c>
      <c r="D7473" s="1">
        <v>12.752537</v>
      </c>
      <c r="E7473" s="1">
        <v>79.999731</v>
      </c>
      <c r="F7473" s="1">
        <v>2846.0</v>
      </c>
      <c r="G7473" s="1">
        <v>58.0</v>
      </c>
    </row>
    <row r="7474">
      <c r="A7474" s="1" t="s">
        <v>7</v>
      </c>
      <c r="B7474" s="2">
        <v>44733.0</v>
      </c>
      <c r="C7474" s="3">
        <v>0.7078935185185186</v>
      </c>
      <c r="D7474" s="1">
        <v>12.750598</v>
      </c>
      <c r="E7474" s="1">
        <v>79.998425</v>
      </c>
      <c r="F7474" s="1">
        <v>2846.0</v>
      </c>
      <c r="G7474" s="1">
        <v>58.0</v>
      </c>
    </row>
    <row r="7475">
      <c r="A7475" s="1" t="s">
        <v>8</v>
      </c>
      <c r="B7475" s="2">
        <v>44733.0</v>
      </c>
      <c r="C7475" s="3">
        <v>0.7086342592592593</v>
      </c>
      <c r="D7475" s="1">
        <v>12.975952</v>
      </c>
      <c r="E7475" s="1">
        <v>80.156938</v>
      </c>
      <c r="F7475" s="1">
        <v>5339.0</v>
      </c>
      <c r="G7475" s="1">
        <v>38.0</v>
      </c>
    </row>
    <row r="7476">
      <c r="A7476" s="1" t="s">
        <v>8</v>
      </c>
      <c r="B7476" s="2">
        <v>44733.0</v>
      </c>
      <c r="C7476" s="3">
        <v>0.7093981481481482</v>
      </c>
      <c r="D7476" s="1">
        <v>12.976736</v>
      </c>
      <c r="E7476" s="1">
        <v>80.158108</v>
      </c>
      <c r="F7476" s="1">
        <v>5339.0</v>
      </c>
      <c r="G7476" s="1">
        <v>39.0</v>
      </c>
    </row>
    <row r="7477">
      <c r="A7477" s="1" t="s">
        <v>8</v>
      </c>
      <c r="B7477" s="2">
        <v>44733.0</v>
      </c>
      <c r="C7477" s="3">
        <v>0.7094097222222222</v>
      </c>
      <c r="D7477" s="1">
        <v>12.97972</v>
      </c>
      <c r="E7477" s="1">
        <v>80.162482</v>
      </c>
      <c r="F7477" s="1">
        <v>5339.0</v>
      </c>
      <c r="G7477" s="1">
        <v>40.0</v>
      </c>
    </row>
    <row r="7478">
      <c r="A7478" s="1" t="s">
        <v>8</v>
      </c>
      <c r="B7478" s="2">
        <v>44733.0</v>
      </c>
      <c r="C7478" s="3">
        <v>0.7094328703703704</v>
      </c>
      <c r="D7478" s="1">
        <v>12.97972</v>
      </c>
      <c r="E7478" s="1">
        <v>80.162482</v>
      </c>
      <c r="F7478" s="1">
        <v>5339.0</v>
      </c>
      <c r="G7478" s="1">
        <v>40.0</v>
      </c>
    </row>
    <row r="7479">
      <c r="A7479" s="1" t="s">
        <v>8</v>
      </c>
      <c r="B7479" s="2">
        <v>44733.0</v>
      </c>
      <c r="C7479" s="3">
        <v>0.7097800925925926</v>
      </c>
      <c r="D7479" s="1">
        <v>12.9812</v>
      </c>
      <c r="E7479" s="1">
        <v>80.166152</v>
      </c>
      <c r="F7479" s="1">
        <v>5339.0</v>
      </c>
      <c r="G7479" s="1">
        <v>56.0</v>
      </c>
    </row>
    <row r="7480">
      <c r="A7480" s="1" t="s">
        <v>8</v>
      </c>
      <c r="B7480" s="2">
        <v>44733.0</v>
      </c>
      <c r="C7480" s="3">
        <v>0.710324074074074</v>
      </c>
      <c r="D7480" s="1">
        <v>12.984107</v>
      </c>
      <c r="E7480" s="1">
        <v>80.171141</v>
      </c>
      <c r="F7480" s="1">
        <v>5339.0</v>
      </c>
      <c r="G7480" s="1">
        <v>59.0</v>
      </c>
    </row>
    <row r="7481">
      <c r="A7481" s="1" t="s">
        <v>8</v>
      </c>
      <c r="B7481" s="2">
        <v>44733.0</v>
      </c>
      <c r="C7481" s="3">
        <v>0.7104398148148148</v>
      </c>
      <c r="D7481" s="1">
        <v>12.985236</v>
      </c>
      <c r="E7481" s="1">
        <v>80.172907</v>
      </c>
      <c r="F7481" s="1">
        <v>5339.0</v>
      </c>
      <c r="G7481" s="1">
        <v>45.0</v>
      </c>
    </row>
    <row r="7482">
      <c r="A7482" s="1" t="s">
        <v>8</v>
      </c>
      <c r="B7482" s="2">
        <v>44733.0</v>
      </c>
      <c r="C7482" s="3">
        <v>0.7112037037037037</v>
      </c>
      <c r="D7482" s="1">
        <v>12.986568</v>
      </c>
      <c r="E7482" s="1">
        <v>80.174902</v>
      </c>
      <c r="F7482" s="1">
        <v>5339.0</v>
      </c>
      <c r="G7482" s="1">
        <v>20.0</v>
      </c>
    </row>
    <row r="7483">
      <c r="A7483" s="1" t="s">
        <v>8</v>
      </c>
      <c r="B7483" s="2">
        <v>44733.0</v>
      </c>
      <c r="C7483" s="3">
        <v>0.7112731481481481</v>
      </c>
      <c r="D7483" s="1">
        <v>12.986568</v>
      </c>
      <c r="E7483" s="1">
        <v>80.174902</v>
      </c>
      <c r="F7483" s="1">
        <v>5339.0</v>
      </c>
      <c r="G7483" s="1">
        <v>20.0</v>
      </c>
    </row>
    <row r="7484">
      <c r="A7484" s="1" t="s">
        <v>8</v>
      </c>
      <c r="B7484" s="2">
        <v>44733.0</v>
      </c>
      <c r="C7484" s="3">
        <v>0.7115046296296297</v>
      </c>
      <c r="D7484" s="1">
        <v>12.98798</v>
      </c>
      <c r="E7484" s="1">
        <v>80.176832</v>
      </c>
      <c r="F7484" s="1">
        <v>5339.0</v>
      </c>
      <c r="G7484" s="1">
        <v>39.0</v>
      </c>
    </row>
    <row r="7485">
      <c r="A7485" s="1" t="s">
        <v>8</v>
      </c>
      <c r="B7485" s="2">
        <v>44733.0</v>
      </c>
      <c r="C7485" s="3">
        <v>0.7123726851851852</v>
      </c>
      <c r="D7485" s="1">
        <v>12.989443</v>
      </c>
      <c r="E7485" s="1">
        <v>80.17868</v>
      </c>
      <c r="F7485" s="1">
        <v>5339.0</v>
      </c>
      <c r="G7485" s="1">
        <v>25.0</v>
      </c>
    </row>
    <row r="7486">
      <c r="A7486" s="1" t="s">
        <v>8</v>
      </c>
      <c r="B7486" s="2">
        <v>44733.0</v>
      </c>
      <c r="C7486" s="3">
        <v>0.712662037037037</v>
      </c>
      <c r="D7486" s="1">
        <v>12.72413</v>
      </c>
      <c r="E7486" s="1">
        <v>79.982116</v>
      </c>
      <c r="F7486" s="1">
        <v>2846.0</v>
      </c>
      <c r="G7486" s="1">
        <v>1.0</v>
      </c>
    </row>
    <row r="7487">
      <c r="A7487" s="1" t="s">
        <v>7</v>
      </c>
      <c r="B7487" s="2">
        <v>44733.0</v>
      </c>
      <c r="C7487" s="3">
        <v>0.7131481481481482</v>
      </c>
      <c r="D7487" s="1">
        <v>12.721434</v>
      </c>
      <c r="E7487" s="1">
        <v>79.981355</v>
      </c>
      <c r="F7487" s="1">
        <v>2846.0</v>
      </c>
      <c r="G7487" s="1">
        <v>33.0</v>
      </c>
    </row>
    <row r="7488">
      <c r="A7488" s="1" t="s">
        <v>8</v>
      </c>
      <c r="B7488" s="2">
        <v>44733.0</v>
      </c>
      <c r="C7488" s="3">
        <v>0.7134722222222222</v>
      </c>
      <c r="D7488" s="1">
        <v>12.718134</v>
      </c>
      <c r="E7488" s="1">
        <v>79.981007</v>
      </c>
      <c r="F7488" s="1">
        <v>2846.0</v>
      </c>
      <c r="G7488" s="1">
        <v>53.0</v>
      </c>
    </row>
    <row r="7489">
      <c r="A7489" s="1" t="s">
        <v>8</v>
      </c>
      <c r="B7489" s="2">
        <v>44733.0</v>
      </c>
      <c r="C7489" s="3">
        <v>0.7136805555555555</v>
      </c>
      <c r="D7489" s="1">
        <v>12.993573</v>
      </c>
      <c r="E7489" s="1">
        <v>80.184656</v>
      </c>
      <c r="F7489" s="1">
        <v>5339.0</v>
      </c>
      <c r="G7489" s="1">
        <v>13.0</v>
      </c>
    </row>
    <row r="7490">
      <c r="A7490" s="1" t="s">
        <v>8</v>
      </c>
      <c r="B7490" s="2">
        <v>44733.0</v>
      </c>
      <c r="C7490" s="3">
        <v>0.7143171296296297</v>
      </c>
      <c r="D7490" s="1">
        <v>12.995463</v>
      </c>
      <c r="E7490" s="1">
        <v>80.188317</v>
      </c>
      <c r="F7490" s="1">
        <v>5339.0</v>
      </c>
      <c r="G7490" s="1">
        <v>31.0</v>
      </c>
    </row>
    <row r="7491">
      <c r="A7491" s="1" t="s">
        <v>8</v>
      </c>
      <c r="B7491" s="2">
        <v>44733.0</v>
      </c>
      <c r="C7491" s="3">
        <v>0.7144907407407407</v>
      </c>
      <c r="D7491" s="1">
        <v>12.995914</v>
      </c>
      <c r="E7491" s="1">
        <v>80.189082</v>
      </c>
      <c r="F7491" s="1">
        <v>5339.0</v>
      </c>
      <c r="G7491" s="1">
        <v>23.0</v>
      </c>
    </row>
    <row r="7492">
      <c r="A7492" s="1" t="s">
        <v>8</v>
      </c>
      <c r="B7492" s="2">
        <v>44733.0</v>
      </c>
      <c r="C7492" s="3">
        <v>0.7150694444444444</v>
      </c>
      <c r="D7492" s="1">
        <v>12.99825</v>
      </c>
      <c r="E7492" s="1">
        <v>80.191898</v>
      </c>
      <c r="F7492" s="1">
        <v>5339.0</v>
      </c>
      <c r="G7492" s="1">
        <v>0.0</v>
      </c>
    </row>
    <row r="7493">
      <c r="A7493" s="1" t="s">
        <v>8</v>
      </c>
      <c r="B7493" s="2">
        <v>44733.0</v>
      </c>
      <c r="C7493" s="3">
        <v>0.7152199074074074</v>
      </c>
      <c r="D7493" s="1">
        <v>12.998356</v>
      </c>
      <c r="E7493" s="1">
        <v>80.192035</v>
      </c>
      <c r="F7493" s="1">
        <v>5339.0</v>
      </c>
      <c r="G7493" s="1">
        <v>6.0</v>
      </c>
    </row>
    <row r="7494">
      <c r="A7494" s="1" t="s">
        <v>8</v>
      </c>
      <c r="B7494" s="2">
        <v>44733.0</v>
      </c>
      <c r="C7494" s="3">
        <v>0.7152199074074074</v>
      </c>
      <c r="D7494" s="1">
        <v>12.998356</v>
      </c>
      <c r="E7494" s="1">
        <v>80.192035</v>
      </c>
      <c r="F7494" s="1">
        <v>5339.0</v>
      </c>
      <c r="G7494" s="1">
        <v>6.0</v>
      </c>
    </row>
    <row r="7495">
      <c r="A7495" s="1" t="s">
        <v>8</v>
      </c>
      <c r="B7495" s="2">
        <v>44733.0</v>
      </c>
      <c r="C7495" s="3">
        <v>0.7152199074074074</v>
      </c>
      <c r="D7495" s="1">
        <v>12.998356</v>
      </c>
      <c r="E7495" s="1">
        <v>80.192035</v>
      </c>
      <c r="F7495" s="1">
        <v>5339.0</v>
      </c>
      <c r="G7495" s="1">
        <v>6.0</v>
      </c>
    </row>
    <row r="7496">
      <c r="A7496" s="1" t="s">
        <v>8</v>
      </c>
      <c r="B7496" s="2">
        <v>44733.0</v>
      </c>
      <c r="C7496" s="3">
        <v>0.7164930555555555</v>
      </c>
      <c r="D7496" s="1">
        <v>13.001812</v>
      </c>
      <c r="E7496" s="1">
        <v>80.196371</v>
      </c>
      <c r="F7496" s="1">
        <v>5339.0</v>
      </c>
      <c r="G7496" s="1">
        <v>26.0</v>
      </c>
    </row>
    <row r="7497">
      <c r="A7497" s="1" t="s">
        <v>8</v>
      </c>
      <c r="B7497" s="2">
        <v>44733.0</v>
      </c>
      <c r="C7497" s="3">
        <v>0.7182986111111112</v>
      </c>
      <c r="D7497" s="1">
        <v>13.007636</v>
      </c>
      <c r="E7497" s="1">
        <v>80.205662</v>
      </c>
      <c r="F7497" s="1">
        <v>5339.0</v>
      </c>
      <c r="G7497" s="1">
        <v>52.0</v>
      </c>
    </row>
    <row r="7498">
      <c r="A7498" s="1" t="s">
        <v>8</v>
      </c>
      <c r="B7498" s="2">
        <v>44733.0</v>
      </c>
      <c r="C7498" s="3">
        <v>0.7189583333333334</v>
      </c>
      <c r="D7498" s="1">
        <v>13.008661</v>
      </c>
      <c r="E7498" s="1">
        <v>80.21079</v>
      </c>
      <c r="F7498" s="1">
        <v>5339.0</v>
      </c>
      <c r="G7498" s="1">
        <v>40.0</v>
      </c>
    </row>
    <row r="7499">
      <c r="A7499" s="1" t="s">
        <v>8</v>
      </c>
      <c r="B7499" s="2">
        <v>44733.0</v>
      </c>
      <c r="C7499" s="3">
        <v>0.7189814814814814</v>
      </c>
      <c r="D7499" s="1">
        <v>13.009247</v>
      </c>
      <c r="E7499" s="1">
        <v>80.212364</v>
      </c>
      <c r="F7499" s="1">
        <v>5339.0</v>
      </c>
      <c r="G7499" s="1">
        <v>33.0</v>
      </c>
    </row>
    <row r="7500">
      <c r="A7500" s="1" t="s">
        <v>8</v>
      </c>
      <c r="B7500" s="2">
        <v>44733.0</v>
      </c>
      <c r="C7500" s="3">
        <v>0.7191666666666666</v>
      </c>
      <c r="D7500" s="1">
        <v>13.009726</v>
      </c>
      <c r="E7500" s="1">
        <v>80.21361</v>
      </c>
      <c r="F7500" s="1">
        <v>5339.0</v>
      </c>
      <c r="G7500" s="1">
        <v>32.0</v>
      </c>
    </row>
    <row r="7501">
      <c r="A7501" s="1" t="s">
        <v>8</v>
      </c>
      <c r="B7501" s="2">
        <v>44733.0</v>
      </c>
      <c r="C7501" s="3">
        <v>0.7192824074074075</v>
      </c>
      <c r="D7501" s="1">
        <v>13.009726</v>
      </c>
      <c r="E7501" s="1">
        <v>80.21361</v>
      </c>
      <c r="F7501" s="1">
        <v>5339.0</v>
      </c>
      <c r="G7501" s="1">
        <v>32.0</v>
      </c>
    </row>
    <row r="7502">
      <c r="A7502" s="1" t="s">
        <v>8</v>
      </c>
      <c r="B7502" s="2">
        <v>44733.0</v>
      </c>
      <c r="C7502" s="3">
        <v>0.7195254629629629</v>
      </c>
      <c r="D7502" s="1">
        <v>13.010181</v>
      </c>
      <c r="E7502" s="1">
        <v>80.214812</v>
      </c>
      <c r="F7502" s="1">
        <v>5339.0</v>
      </c>
      <c r="G7502" s="1">
        <v>38.0</v>
      </c>
    </row>
    <row r="7503">
      <c r="A7503" s="1" t="s">
        <v>10</v>
      </c>
      <c r="B7503" s="2">
        <v>44733.0</v>
      </c>
      <c r="C7503" s="3">
        <v>0.7208101851851851</v>
      </c>
      <c r="D7503" s="1">
        <v>12.682204</v>
      </c>
      <c r="E7503" s="1">
        <v>79.982289</v>
      </c>
      <c r="F7503" s="1">
        <v>2846.0</v>
      </c>
      <c r="G7503" s="1">
        <v>15.0</v>
      </c>
    </row>
    <row r="7504">
      <c r="A7504" s="1" t="s">
        <v>8</v>
      </c>
      <c r="B7504" s="2">
        <v>44733.0</v>
      </c>
      <c r="C7504" s="3">
        <v>0.7209722222222222</v>
      </c>
      <c r="D7504" s="1">
        <v>13.014869</v>
      </c>
      <c r="E7504" s="1">
        <v>80.224357</v>
      </c>
      <c r="F7504" s="1">
        <v>5339.0</v>
      </c>
      <c r="G7504" s="1">
        <v>9.0</v>
      </c>
    </row>
    <row r="7505">
      <c r="A7505" s="1" t="s">
        <v>8</v>
      </c>
      <c r="B7505" s="2">
        <v>44733.0</v>
      </c>
      <c r="C7505" s="3">
        <v>0.7211458333333334</v>
      </c>
      <c r="D7505" s="1">
        <v>13.015487</v>
      </c>
      <c r="E7505" s="1">
        <v>80.225085</v>
      </c>
      <c r="F7505" s="1">
        <v>5339.0</v>
      </c>
      <c r="G7505" s="1">
        <v>29.0</v>
      </c>
    </row>
    <row r="7506">
      <c r="A7506" s="1" t="s">
        <v>8</v>
      </c>
      <c r="B7506" s="2">
        <v>44733.0</v>
      </c>
      <c r="C7506" s="3">
        <v>0.7212268518518519</v>
      </c>
      <c r="D7506" s="1">
        <v>13.015487</v>
      </c>
      <c r="E7506" s="1">
        <v>80.225085</v>
      </c>
      <c r="F7506" s="1">
        <v>5339.0</v>
      </c>
      <c r="G7506" s="1">
        <v>29.0</v>
      </c>
    </row>
    <row r="7507">
      <c r="A7507" s="1" t="s">
        <v>8</v>
      </c>
      <c r="B7507" s="2">
        <v>44733.0</v>
      </c>
      <c r="C7507" s="3">
        <v>0.7213078703703704</v>
      </c>
      <c r="D7507" s="1">
        <v>13.016869</v>
      </c>
      <c r="E7507" s="1">
        <v>80.225177</v>
      </c>
      <c r="F7507" s="1">
        <v>5339.0</v>
      </c>
      <c r="G7507" s="1">
        <v>35.0</v>
      </c>
    </row>
    <row r="7508">
      <c r="A7508" s="1" t="s">
        <v>8</v>
      </c>
      <c r="B7508" s="2">
        <v>44733.0</v>
      </c>
      <c r="C7508" s="3">
        <v>0.7217824074074074</v>
      </c>
      <c r="D7508" s="1">
        <v>13.019367</v>
      </c>
      <c r="E7508" s="1">
        <v>80.224434</v>
      </c>
      <c r="F7508" s="1">
        <v>5339.0</v>
      </c>
      <c r="G7508" s="1">
        <v>0.0</v>
      </c>
    </row>
    <row r="7509">
      <c r="A7509" s="1" t="s">
        <v>9</v>
      </c>
      <c r="B7509" s="2">
        <v>44733.0</v>
      </c>
      <c r="C7509" s="3">
        <v>0.7220023148148148</v>
      </c>
      <c r="D7509" s="1">
        <v>13.019926</v>
      </c>
      <c r="E7509" s="1">
        <v>80.22469</v>
      </c>
      <c r="F7509" s="1">
        <v>5339.0</v>
      </c>
      <c r="G7509" s="1">
        <v>27.0</v>
      </c>
    </row>
    <row r="7510">
      <c r="A7510" s="1" t="s">
        <v>9</v>
      </c>
      <c r="B7510" s="2">
        <v>44733.0</v>
      </c>
      <c r="C7510" s="3">
        <v>0.7221180555555555</v>
      </c>
      <c r="D7510" s="1">
        <v>13.019926</v>
      </c>
      <c r="E7510" s="1">
        <v>80.22469</v>
      </c>
      <c r="F7510" s="1">
        <v>5339.0</v>
      </c>
      <c r="G7510" s="1">
        <v>27.0</v>
      </c>
    </row>
    <row r="7511">
      <c r="A7511" s="1" t="s">
        <v>9</v>
      </c>
      <c r="B7511" s="2">
        <v>44733.0</v>
      </c>
      <c r="C7511" s="3">
        <v>0.7222106481481482</v>
      </c>
      <c r="D7511" s="1">
        <v>13.020997</v>
      </c>
      <c r="E7511" s="1">
        <v>80.225503</v>
      </c>
      <c r="F7511" s="1">
        <v>5339.0</v>
      </c>
      <c r="G7511" s="1">
        <v>35.0</v>
      </c>
    </row>
    <row r="7512">
      <c r="A7512" s="1" t="s">
        <v>8</v>
      </c>
      <c r="B7512" s="2">
        <v>44733.0</v>
      </c>
      <c r="C7512" s="3">
        <v>0.7232638888888889</v>
      </c>
      <c r="D7512" s="1">
        <v>13.024587</v>
      </c>
      <c r="E7512" s="1">
        <v>80.228834</v>
      </c>
      <c r="F7512" s="1">
        <v>5339.0</v>
      </c>
      <c r="G7512" s="1">
        <v>0.0</v>
      </c>
    </row>
    <row r="7513">
      <c r="A7513" s="1" t="s">
        <v>8</v>
      </c>
      <c r="B7513" s="2">
        <v>44733.0</v>
      </c>
      <c r="C7513" s="3">
        <v>0.7233101851851852</v>
      </c>
      <c r="D7513" s="1">
        <v>13.024587</v>
      </c>
      <c r="E7513" s="1">
        <v>80.228834</v>
      </c>
      <c r="F7513" s="1">
        <v>5339.0</v>
      </c>
      <c r="G7513" s="1">
        <v>0.0</v>
      </c>
    </row>
    <row r="7514">
      <c r="A7514" s="1" t="s">
        <v>8</v>
      </c>
      <c r="B7514" s="2">
        <v>44733.0</v>
      </c>
      <c r="C7514" s="3">
        <v>0.7233796296296297</v>
      </c>
      <c r="D7514" s="1">
        <v>13.024587</v>
      </c>
      <c r="E7514" s="1">
        <v>80.228834</v>
      </c>
      <c r="F7514" s="1">
        <v>5339.0</v>
      </c>
      <c r="G7514" s="1">
        <v>0.0</v>
      </c>
    </row>
    <row r="7515">
      <c r="A7515" s="1" t="s">
        <v>8</v>
      </c>
      <c r="B7515" s="2">
        <v>44733.0</v>
      </c>
      <c r="C7515" s="3">
        <v>0.7248148148148148</v>
      </c>
      <c r="D7515" s="1">
        <v>13.02656</v>
      </c>
      <c r="E7515" s="1">
        <v>80.232808</v>
      </c>
      <c r="F7515" s="1">
        <v>5339.0</v>
      </c>
      <c r="G7515" s="1">
        <v>0.0</v>
      </c>
    </row>
    <row r="7516">
      <c r="A7516" s="1" t="s">
        <v>8</v>
      </c>
      <c r="B7516" s="2">
        <v>44733.0</v>
      </c>
      <c r="C7516" s="3">
        <v>0.724837962962963</v>
      </c>
      <c r="D7516" s="1">
        <v>13.02656</v>
      </c>
      <c r="E7516" s="1">
        <v>80.232808</v>
      </c>
      <c r="F7516" s="1">
        <v>5339.0</v>
      </c>
      <c r="G7516" s="1">
        <v>0.0</v>
      </c>
    </row>
    <row r="7517">
      <c r="A7517" s="1" t="s">
        <v>8</v>
      </c>
      <c r="B7517" s="2">
        <v>44733.0</v>
      </c>
      <c r="C7517" s="3">
        <v>0.7253472222222223</v>
      </c>
      <c r="D7517" s="1">
        <v>13.027459</v>
      </c>
      <c r="E7517" s="1">
        <v>80.234348</v>
      </c>
      <c r="F7517" s="1">
        <v>5339.0</v>
      </c>
      <c r="G7517" s="1">
        <v>31.0</v>
      </c>
    </row>
    <row r="7518">
      <c r="A7518" s="1" t="s">
        <v>8</v>
      </c>
      <c r="B7518" s="2">
        <v>44733.0</v>
      </c>
      <c r="C7518" s="3">
        <v>0.7254976851851852</v>
      </c>
      <c r="D7518" s="1">
        <v>13.028091</v>
      </c>
      <c r="E7518" s="1">
        <v>80.235475</v>
      </c>
      <c r="F7518" s="1">
        <v>5339.0</v>
      </c>
      <c r="G7518" s="1">
        <v>34.0</v>
      </c>
    </row>
    <row r="7519">
      <c r="A7519" s="1" t="s">
        <v>8</v>
      </c>
      <c r="B7519" s="2">
        <v>44733.0</v>
      </c>
      <c r="C7519" s="3">
        <v>0.7255671296296297</v>
      </c>
      <c r="D7519" s="1">
        <v>13.028091</v>
      </c>
      <c r="E7519" s="1">
        <v>80.235475</v>
      </c>
      <c r="F7519" s="1">
        <v>5339.0</v>
      </c>
      <c r="G7519" s="1">
        <v>34.0</v>
      </c>
    </row>
    <row r="7520">
      <c r="A7520" s="1" t="s">
        <v>8</v>
      </c>
      <c r="B7520" s="2">
        <v>44733.0</v>
      </c>
      <c r="C7520" s="3">
        <v>0.7257060185185186</v>
      </c>
      <c r="D7520" s="1">
        <v>12.657403</v>
      </c>
      <c r="E7520" s="1">
        <v>79.957922</v>
      </c>
      <c r="F7520" s="1">
        <v>2846.0</v>
      </c>
      <c r="G7520" s="1">
        <v>0.0</v>
      </c>
    </row>
    <row r="7521">
      <c r="A7521" s="1" t="s">
        <v>8</v>
      </c>
      <c r="B7521" s="2">
        <v>44733.0</v>
      </c>
      <c r="C7521" s="3">
        <v>0.7270138888888888</v>
      </c>
      <c r="D7521" s="1">
        <v>13.031</v>
      </c>
      <c r="E7521" s="1">
        <v>80.239389</v>
      </c>
      <c r="F7521" s="1">
        <v>5339.0</v>
      </c>
      <c r="G7521" s="1">
        <v>0.0</v>
      </c>
    </row>
    <row r="7522">
      <c r="A7522" s="1" t="s">
        <v>8</v>
      </c>
      <c r="B7522" s="2">
        <v>44733.0</v>
      </c>
      <c r="C7522" s="3">
        <v>0.7272800925925926</v>
      </c>
      <c r="D7522" s="1">
        <v>13.031562</v>
      </c>
      <c r="E7522" s="1">
        <v>80.240639</v>
      </c>
      <c r="F7522" s="1">
        <v>5339.0</v>
      </c>
      <c r="G7522" s="1">
        <v>37.0</v>
      </c>
    </row>
    <row r="7523">
      <c r="A7523" s="1" t="s">
        <v>7</v>
      </c>
      <c r="B7523" s="2">
        <v>44733.0</v>
      </c>
      <c r="C7523" s="3">
        <v>0.7274768518518518</v>
      </c>
      <c r="D7523" s="1">
        <v>12.657974</v>
      </c>
      <c r="E7523" s="1">
        <v>79.944382</v>
      </c>
      <c r="F7523" s="1">
        <v>2846.0</v>
      </c>
      <c r="G7523" s="1">
        <v>44.0</v>
      </c>
    </row>
    <row r="7524">
      <c r="A7524" s="1" t="s">
        <v>8</v>
      </c>
      <c r="B7524" s="2">
        <v>44733.0</v>
      </c>
      <c r="C7524" s="3">
        <v>0.727662037037037</v>
      </c>
      <c r="D7524" s="1">
        <v>13.033201</v>
      </c>
      <c r="E7524" s="1">
        <v>80.243398</v>
      </c>
      <c r="F7524" s="1">
        <v>5339.0</v>
      </c>
      <c r="G7524" s="1">
        <v>24.0</v>
      </c>
    </row>
    <row r="7525">
      <c r="A7525" s="1" t="s">
        <v>8</v>
      </c>
      <c r="B7525" s="2">
        <v>44733.0</v>
      </c>
      <c r="C7525" s="3">
        <v>0.7277199074074074</v>
      </c>
      <c r="D7525" s="1">
        <v>13.033201</v>
      </c>
      <c r="E7525" s="1">
        <v>80.243398</v>
      </c>
      <c r="F7525" s="1">
        <v>5339.0</v>
      </c>
      <c r="G7525" s="1">
        <v>24.0</v>
      </c>
    </row>
    <row r="7526">
      <c r="A7526" s="1" t="s">
        <v>8</v>
      </c>
      <c r="B7526" s="2">
        <v>44733.0</v>
      </c>
      <c r="C7526" s="3">
        <v>0.7277662037037037</v>
      </c>
      <c r="D7526" s="1">
        <v>13.033201</v>
      </c>
      <c r="E7526" s="1">
        <v>80.243398</v>
      </c>
      <c r="F7526" s="1">
        <v>5339.0</v>
      </c>
      <c r="G7526" s="1">
        <v>24.0</v>
      </c>
    </row>
    <row r="7527">
      <c r="A7527" s="1" t="s">
        <v>8</v>
      </c>
      <c r="B7527" s="2">
        <v>44733.0</v>
      </c>
      <c r="C7527" s="3">
        <v>0.7278009259259259</v>
      </c>
      <c r="D7527" s="1">
        <v>13.033201</v>
      </c>
      <c r="E7527" s="1">
        <v>80.243398</v>
      </c>
      <c r="F7527" s="1">
        <v>5339.0</v>
      </c>
      <c r="G7527" s="1">
        <v>24.0</v>
      </c>
    </row>
    <row r="7528">
      <c r="A7528" s="1" t="s">
        <v>9</v>
      </c>
      <c r="B7528" s="2">
        <v>44733.0</v>
      </c>
      <c r="C7528" s="3">
        <v>0.7279745370370371</v>
      </c>
      <c r="D7528" s="1">
        <v>13.033974</v>
      </c>
      <c r="E7528" s="1">
        <v>80.244468</v>
      </c>
      <c r="F7528" s="1">
        <v>5339.0</v>
      </c>
      <c r="G7528" s="1">
        <v>39.0</v>
      </c>
    </row>
    <row r="7529">
      <c r="A7529" s="1" t="s">
        <v>7</v>
      </c>
      <c r="B7529" s="2">
        <v>44733.0</v>
      </c>
      <c r="C7529" s="3">
        <v>0.7279976851851852</v>
      </c>
      <c r="D7529" s="1">
        <v>12.655596</v>
      </c>
      <c r="E7529" s="1">
        <v>79.941876</v>
      </c>
      <c r="F7529" s="1">
        <v>2846.0</v>
      </c>
      <c r="G7529" s="1">
        <v>53.0</v>
      </c>
    </row>
    <row r="7530">
      <c r="A7530" s="1" t="s">
        <v>7</v>
      </c>
      <c r="B7530" s="2">
        <v>44733.0</v>
      </c>
      <c r="C7530" s="3">
        <v>0.7281712962962963</v>
      </c>
      <c r="D7530" s="1">
        <v>12.653449</v>
      </c>
      <c r="E7530" s="1">
        <v>79.942311</v>
      </c>
      <c r="F7530" s="1">
        <v>2846.0</v>
      </c>
      <c r="G7530" s="1">
        <v>52.0</v>
      </c>
    </row>
    <row r="7531">
      <c r="A7531" s="1" t="s">
        <v>7</v>
      </c>
      <c r="B7531" s="2">
        <v>44733.0</v>
      </c>
      <c r="C7531" s="3">
        <v>0.7282407407407407</v>
      </c>
      <c r="D7531" s="1">
        <v>12.653449</v>
      </c>
      <c r="E7531" s="1">
        <v>79.942311</v>
      </c>
      <c r="F7531" s="1">
        <v>2846.0</v>
      </c>
      <c r="G7531" s="1">
        <v>52.0</v>
      </c>
    </row>
    <row r="7532">
      <c r="A7532" s="1" t="s">
        <v>7</v>
      </c>
      <c r="B7532" s="2">
        <v>44733.0</v>
      </c>
      <c r="C7532" s="3">
        <v>0.7287847222222222</v>
      </c>
      <c r="D7532" s="1">
        <v>12.645642</v>
      </c>
      <c r="E7532" s="1">
        <v>79.93978</v>
      </c>
      <c r="F7532" s="1">
        <v>2846.0</v>
      </c>
      <c r="G7532" s="1">
        <v>54.0</v>
      </c>
    </row>
    <row r="7533">
      <c r="A7533" s="1" t="s">
        <v>8</v>
      </c>
      <c r="B7533" s="2">
        <v>44733.0</v>
      </c>
      <c r="C7533" s="3">
        <v>0.7289236111111111</v>
      </c>
      <c r="D7533" s="1">
        <v>12.645642</v>
      </c>
      <c r="E7533" s="1">
        <v>79.93978</v>
      </c>
      <c r="F7533" s="1">
        <v>2846.0</v>
      </c>
      <c r="G7533" s="1">
        <v>54.0</v>
      </c>
    </row>
    <row r="7534">
      <c r="A7534" s="1" t="s">
        <v>7</v>
      </c>
      <c r="B7534" s="2">
        <v>44733.0</v>
      </c>
      <c r="C7534" s="3">
        <v>0.7296064814814814</v>
      </c>
      <c r="D7534" s="1">
        <v>12.639942</v>
      </c>
      <c r="E7534" s="1">
        <v>79.936375</v>
      </c>
      <c r="F7534" s="1">
        <v>2846.0</v>
      </c>
      <c r="G7534" s="1">
        <v>55.0</v>
      </c>
    </row>
    <row r="7535">
      <c r="A7535" s="1" t="s">
        <v>8</v>
      </c>
      <c r="B7535" s="2">
        <v>44733.0</v>
      </c>
      <c r="C7535" s="3">
        <v>0.7302777777777778</v>
      </c>
      <c r="D7535" s="1">
        <v>13.04234</v>
      </c>
      <c r="E7535" s="1">
        <v>80.24742</v>
      </c>
      <c r="F7535" s="1">
        <v>5339.0</v>
      </c>
      <c r="G7535" s="1">
        <v>16.0</v>
      </c>
    </row>
    <row r="7536">
      <c r="A7536" s="1" t="s">
        <v>8</v>
      </c>
      <c r="B7536" s="2">
        <v>44733.0</v>
      </c>
      <c r="C7536" s="3">
        <v>0.7302777777777778</v>
      </c>
      <c r="D7536" s="1">
        <v>13.04234</v>
      </c>
      <c r="E7536" s="1">
        <v>80.24742</v>
      </c>
      <c r="F7536" s="1">
        <v>5339.0</v>
      </c>
      <c r="G7536" s="1">
        <v>16.0</v>
      </c>
    </row>
    <row r="7537">
      <c r="A7537" s="1" t="s">
        <v>7</v>
      </c>
      <c r="B7537" s="2">
        <v>44733.0</v>
      </c>
      <c r="C7537" s="3">
        <v>0.7308564814814815</v>
      </c>
      <c r="D7537" s="1">
        <v>12.627415</v>
      </c>
      <c r="E7537" s="1">
        <v>79.930085</v>
      </c>
      <c r="F7537" s="1">
        <v>2846.0</v>
      </c>
      <c r="G7537" s="1">
        <v>54.0</v>
      </c>
    </row>
    <row r="7538">
      <c r="A7538" s="1" t="s">
        <v>8</v>
      </c>
      <c r="B7538" s="2">
        <v>44733.0</v>
      </c>
      <c r="C7538" s="3">
        <v>0.7308912037037038</v>
      </c>
      <c r="D7538" s="1">
        <v>13.045845</v>
      </c>
      <c r="E7538" s="1">
        <v>80.248151</v>
      </c>
      <c r="F7538" s="1">
        <v>5339.0</v>
      </c>
      <c r="G7538" s="1">
        <v>31.0</v>
      </c>
    </row>
    <row r="7539">
      <c r="A7539" s="1" t="s">
        <v>7</v>
      </c>
      <c r="B7539" s="2">
        <v>44733.0</v>
      </c>
      <c r="C7539" s="3">
        <v>0.7311111111111112</v>
      </c>
      <c r="D7539" s="1">
        <v>12.625273</v>
      </c>
      <c r="E7539" s="1">
        <v>79.929157</v>
      </c>
      <c r="F7539" s="1">
        <v>2846.0</v>
      </c>
      <c r="G7539" s="1">
        <v>58.0</v>
      </c>
    </row>
    <row r="7540">
      <c r="A7540" s="1" t="s">
        <v>7</v>
      </c>
      <c r="B7540" s="2">
        <v>44733.0</v>
      </c>
      <c r="C7540" s="3">
        <v>0.7315046296296296</v>
      </c>
      <c r="D7540" s="1">
        <v>12.620956</v>
      </c>
      <c r="E7540" s="1">
        <v>79.927359</v>
      </c>
      <c r="F7540" s="1">
        <v>2846.0</v>
      </c>
      <c r="G7540" s="1">
        <v>58.0</v>
      </c>
    </row>
    <row r="7541">
      <c r="A7541" s="1" t="s">
        <v>7</v>
      </c>
      <c r="B7541" s="2">
        <v>44733.0</v>
      </c>
      <c r="C7541" s="3">
        <v>0.7316666666666667</v>
      </c>
      <c r="D7541" s="1">
        <v>12.618678</v>
      </c>
      <c r="E7541" s="1">
        <v>79.926805</v>
      </c>
      <c r="F7541" s="1">
        <v>2846.0</v>
      </c>
      <c r="G7541" s="1">
        <v>57.0</v>
      </c>
    </row>
    <row r="7542">
      <c r="A7542" s="1" t="s">
        <v>8</v>
      </c>
      <c r="B7542" s="2">
        <v>44733.0</v>
      </c>
      <c r="C7542" s="3">
        <v>0.7319097222222222</v>
      </c>
      <c r="D7542" s="1">
        <v>13.049588</v>
      </c>
      <c r="E7542" s="1">
        <v>80.249731</v>
      </c>
      <c r="F7542" s="1">
        <v>5339.0</v>
      </c>
      <c r="G7542" s="1">
        <v>12.0</v>
      </c>
    </row>
    <row r="7543">
      <c r="A7543" s="1" t="s">
        <v>8</v>
      </c>
      <c r="B7543" s="2">
        <v>44733.0</v>
      </c>
      <c r="C7543" s="3">
        <v>0.7319560185185185</v>
      </c>
      <c r="D7543" s="1">
        <v>13.050361</v>
      </c>
      <c r="E7543" s="1">
        <v>80.249869</v>
      </c>
      <c r="F7543" s="1">
        <v>5339.0</v>
      </c>
      <c r="G7543" s="1">
        <v>24.0</v>
      </c>
    </row>
    <row r="7544">
      <c r="A7544" s="1" t="s">
        <v>8</v>
      </c>
      <c r="B7544" s="2">
        <v>44733.0</v>
      </c>
      <c r="C7544" s="3">
        <v>0.7319675925925926</v>
      </c>
      <c r="D7544" s="1">
        <v>13.050361</v>
      </c>
      <c r="E7544" s="1">
        <v>80.249869</v>
      </c>
      <c r="F7544" s="1">
        <v>5339.0</v>
      </c>
      <c r="G7544" s="1">
        <v>24.0</v>
      </c>
    </row>
    <row r="7545">
      <c r="A7545" s="1" t="s">
        <v>9</v>
      </c>
      <c r="B7545" s="2">
        <v>44733.0</v>
      </c>
      <c r="C7545" s="3">
        <v>0.7320833333333333</v>
      </c>
      <c r="D7545" s="1">
        <v>13.050361</v>
      </c>
      <c r="E7545" s="1">
        <v>80.249869</v>
      </c>
      <c r="F7545" s="1">
        <v>5339.0</v>
      </c>
      <c r="G7545" s="1">
        <v>24.0</v>
      </c>
    </row>
    <row r="7546">
      <c r="A7546" s="1" t="s">
        <v>7</v>
      </c>
      <c r="B7546" s="2">
        <v>44733.0</v>
      </c>
      <c r="C7546" s="3">
        <v>0.7320949074074075</v>
      </c>
      <c r="D7546" s="1">
        <v>12.614329</v>
      </c>
      <c r="E7546" s="1">
        <v>79.925205</v>
      </c>
      <c r="F7546" s="1">
        <v>2846.0</v>
      </c>
      <c r="G7546" s="1">
        <v>58.0</v>
      </c>
    </row>
    <row r="7547">
      <c r="A7547" s="1" t="s">
        <v>10</v>
      </c>
      <c r="B7547" s="2">
        <v>44733.0</v>
      </c>
      <c r="C7547" s="3">
        <v>0.7324537037037037</v>
      </c>
      <c r="D7547" s="1">
        <v>13.052248</v>
      </c>
      <c r="E7547" s="1">
        <v>80.250867</v>
      </c>
      <c r="F7547" s="1">
        <v>5339.0</v>
      </c>
      <c r="G7547" s="1">
        <v>27.0</v>
      </c>
    </row>
    <row r="7548">
      <c r="A7548" s="1" t="s">
        <v>7</v>
      </c>
      <c r="B7548" s="2">
        <v>44733.0</v>
      </c>
      <c r="C7548" s="3">
        <v>0.7326736111111111</v>
      </c>
      <c r="D7548" s="1">
        <v>12.608121</v>
      </c>
      <c r="E7548" s="1">
        <v>79.921618</v>
      </c>
      <c r="F7548" s="1">
        <v>2846.0</v>
      </c>
      <c r="G7548" s="1">
        <v>58.0</v>
      </c>
    </row>
    <row r="7549">
      <c r="A7549" s="1" t="s">
        <v>7</v>
      </c>
      <c r="B7549" s="2">
        <v>44733.0</v>
      </c>
      <c r="C7549" s="3">
        <v>0.7330439814814815</v>
      </c>
      <c r="D7549" s="1">
        <v>12.604445</v>
      </c>
      <c r="E7549" s="1">
        <v>79.920543</v>
      </c>
      <c r="F7549" s="1">
        <v>2846.0</v>
      </c>
      <c r="G7549" s="1">
        <v>44.0</v>
      </c>
    </row>
    <row r="7550">
      <c r="A7550" s="1" t="s">
        <v>10</v>
      </c>
      <c r="B7550" s="2">
        <v>44733.0</v>
      </c>
      <c r="C7550" s="3">
        <v>0.733912037037037</v>
      </c>
      <c r="D7550" s="1">
        <v>13.057098</v>
      </c>
      <c r="E7550" s="1">
        <v>80.257097</v>
      </c>
      <c r="F7550" s="1">
        <v>5339.0</v>
      </c>
      <c r="G7550" s="1">
        <v>29.0</v>
      </c>
    </row>
    <row r="7551">
      <c r="A7551" s="1" t="s">
        <v>10</v>
      </c>
      <c r="B7551" s="2">
        <v>44733.0</v>
      </c>
      <c r="C7551" s="3">
        <v>0.7339699074074074</v>
      </c>
      <c r="D7551" s="1">
        <v>13.057527</v>
      </c>
      <c r="E7551" s="1">
        <v>80.25771</v>
      </c>
      <c r="F7551" s="1">
        <v>5339.0</v>
      </c>
      <c r="G7551" s="1">
        <v>7.0</v>
      </c>
    </row>
    <row r="7552">
      <c r="A7552" s="1" t="s">
        <v>7</v>
      </c>
      <c r="B7552" s="2">
        <v>44733.0</v>
      </c>
      <c r="C7552" s="3">
        <v>0.7340509259259259</v>
      </c>
      <c r="D7552" s="1">
        <v>12.591283</v>
      </c>
      <c r="E7552" s="1">
        <v>79.919295</v>
      </c>
      <c r="F7552" s="1">
        <v>2846.0</v>
      </c>
      <c r="G7552" s="1">
        <v>56.0</v>
      </c>
    </row>
    <row r="7553">
      <c r="A7553" s="1" t="s">
        <v>8</v>
      </c>
      <c r="B7553" s="2">
        <v>44733.0</v>
      </c>
      <c r="C7553" s="3">
        <v>0.7340740740740741</v>
      </c>
      <c r="D7553" s="1">
        <v>12.591283</v>
      </c>
      <c r="E7553" s="1">
        <v>79.919295</v>
      </c>
      <c r="F7553" s="1">
        <v>2846.0</v>
      </c>
      <c r="G7553" s="1">
        <v>56.0</v>
      </c>
    </row>
    <row r="7554">
      <c r="A7554" s="1" t="s">
        <v>8</v>
      </c>
      <c r="B7554" s="2">
        <v>44733.0</v>
      </c>
      <c r="C7554" s="3">
        <v>0.7343981481481482</v>
      </c>
      <c r="D7554" s="1">
        <v>12.586679</v>
      </c>
      <c r="E7554" s="1">
        <v>79.919474</v>
      </c>
      <c r="F7554" s="1">
        <v>2846.0</v>
      </c>
      <c r="G7554" s="1">
        <v>55.0</v>
      </c>
    </row>
    <row r="7555">
      <c r="A7555" s="1" t="s">
        <v>7</v>
      </c>
      <c r="B7555" s="2">
        <v>44733.0</v>
      </c>
      <c r="C7555" s="3">
        <v>0.7345601851851852</v>
      </c>
      <c r="D7555" s="1">
        <v>12.584636</v>
      </c>
      <c r="E7555" s="1">
        <v>79.919404</v>
      </c>
      <c r="F7555" s="1">
        <v>2846.0</v>
      </c>
      <c r="G7555" s="1">
        <v>48.0</v>
      </c>
    </row>
    <row r="7556">
      <c r="A7556" s="1" t="s">
        <v>7</v>
      </c>
      <c r="B7556" s="2">
        <v>44733.0</v>
      </c>
      <c r="C7556" s="3">
        <v>0.7347569444444444</v>
      </c>
      <c r="D7556" s="1">
        <v>12.582707</v>
      </c>
      <c r="E7556" s="1">
        <v>79.91915</v>
      </c>
      <c r="F7556" s="1">
        <v>2846.0</v>
      </c>
      <c r="G7556" s="1">
        <v>47.0</v>
      </c>
    </row>
    <row r="7557">
      <c r="A7557" s="1" t="s">
        <v>10</v>
      </c>
      <c r="B7557" s="2">
        <v>44733.0</v>
      </c>
      <c r="C7557" s="3">
        <v>0.7349074074074075</v>
      </c>
      <c r="D7557" s="1">
        <v>13.054496</v>
      </c>
      <c r="E7557" s="1">
        <v>80.258564</v>
      </c>
      <c r="F7557" s="1">
        <v>5339.0</v>
      </c>
      <c r="G7557" s="1">
        <v>21.0</v>
      </c>
    </row>
    <row r="7558">
      <c r="A7558" s="1" t="s">
        <v>7</v>
      </c>
      <c r="B7558" s="2">
        <v>44733.0</v>
      </c>
      <c r="C7558" s="3">
        <v>0.734988425925926</v>
      </c>
      <c r="D7558" s="1">
        <v>12.580801</v>
      </c>
      <c r="E7558" s="1">
        <v>79.918718</v>
      </c>
      <c r="F7558" s="1">
        <v>2846.0</v>
      </c>
      <c r="G7558" s="1">
        <v>51.0</v>
      </c>
    </row>
    <row r="7559">
      <c r="A7559" s="1" t="s">
        <v>8</v>
      </c>
      <c r="B7559" s="2">
        <v>44733.0</v>
      </c>
      <c r="C7559" s="3">
        <v>0.7352546296296296</v>
      </c>
      <c r="D7559" s="1">
        <v>13.054284</v>
      </c>
      <c r="E7559" s="1">
        <v>80.260359</v>
      </c>
      <c r="F7559" s="1">
        <v>5339.0</v>
      </c>
      <c r="G7559" s="1">
        <v>22.0</v>
      </c>
    </row>
    <row r="7560">
      <c r="A7560" s="1" t="s">
        <v>9</v>
      </c>
      <c r="B7560" s="2">
        <v>44733.0</v>
      </c>
      <c r="C7560" s="3">
        <v>0.7354050925925926</v>
      </c>
      <c r="D7560" s="1">
        <v>13.054284</v>
      </c>
      <c r="E7560" s="1">
        <v>80.260359</v>
      </c>
      <c r="F7560" s="1">
        <v>5339.0</v>
      </c>
      <c r="G7560" s="1">
        <v>22.0</v>
      </c>
    </row>
    <row r="7561">
      <c r="A7561" s="1" t="s">
        <v>8</v>
      </c>
      <c r="B7561" s="2">
        <v>44733.0</v>
      </c>
      <c r="C7561" s="3">
        <v>0.7356018518518519</v>
      </c>
      <c r="D7561" s="1">
        <v>13.054174</v>
      </c>
      <c r="E7561" s="1">
        <v>80.261401</v>
      </c>
      <c r="F7561" s="1">
        <v>5339.0</v>
      </c>
      <c r="G7561" s="1">
        <v>15.0</v>
      </c>
    </row>
    <row r="7562">
      <c r="A7562" s="1" t="s">
        <v>7</v>
      </c>
      <c r="B7562" s="2">
        <v>44733.0</v>
      </c>
      <c r="C7562" s="3">
        <v>0.7358564814814815</v>
      </c>
      <c r="D7562" s="1">
        <v>12.569844</v>
      </c>
      <c r="E7562" s="1">
        <v>79.915707</v>
      </c>
      <c r="F7562" s="1">
        <v>2846.0</v>
      </c>
      <c r="G7562" s="1">
        <v>53.0</v>
      </c>
    </row>
    <row r="7563">
      <c r="A7563" s="1" t="s">
        <v>8</v>
      </c>
      <c r="B7563" s="2">
        <v>44733.0</v>
      </c>
      <c r="C7563" s="3">
        <v>0.7359259259259259</v>
      </c>
      <c r="D7563" s="1">
        <v>12.569844</v>
      </c>
      <c r="E7563" s="1">
        <v>79.915707</v>
      </c>
      <c r="F7563" s="1">
        <v>2846.0</v>
      </c>
      <c r="G7563" s="1">
        <v>53.0</v>
      </c>
    </row>
    <row r="7564">
      <c r="A7564" s="1" t="s">
        <v>7</v>
      </c>
      <c r="B7564" s="2">
        <v>44733.0</v>
      </c>
      <c r="C7564" s="3">
        <v>0.7365162037037037</v>
      </c>
      <c r="D7564" s="1">
        <v>12.565444</v>
      </c>
      <c r="E7564" s="1">
        <v>79.914485</v>
      </c>
      <c r="F7564" s="1">
        <v>2846.0</v>
      </c>
      <c r="G7564" s="1">
        <v>54.0</v>
      </c>
    </row>
    <row r="7565">
      <c r="A7565" s="1" t="s">
        <v>7</v>
      </c>
      <c r="B7565" s="2">
        <v>44733.0</v>
      </c>
      <c r="C7565" s="3">
        <v>0.7366550925925925</v>
      </c>
      <c r="D7565" s="1">
        <v>12.562088</v>
      </c>
      <c r="E7565" s="1">
        <v>79.912546</v>
      </c>
      <c r="F7565" s="1">
        <v>2846.0</v>
      </c>
      <c r="G7565" s="1">
        <v>42.0</v>
      </c>
    </row>
    <row r="7566">
      <c r="A7566" s="1" t="s">
        <v>10</v>
      </c>
      <c r="B7566" s="2">
        <v>44733.0</v>
      </c>
      <c r="C7566" s="3">
        <v>0.7368981481481481</v>
      </c>
      <c r="D7566" s="1">
        <v>13.053449</v>
      </c>
      <c r="E7566" s="1">
        <v>80.268896</v>
      </c>
      <c r="F7566" s="1">
        <v>5339.0</v>
      </c>
      <c r="G7566" s="1">
        <v>8.0</v>
      </c>
    </row>
    <row r="7567">
      <c r="A7567" s="1" t="s">
        <v>7</v>
      </c>
      <c r="B7567" s="2">
        <v>44733.0</v>
      </c>
      <c r="C7567" s="3">
        <v>0.7371643518518518</v>
      </c>
      <c r="D7567" s="1">
        <v>12.556371</v>
      </c>
      <c r="E7567" s="1">
        <v>79.909186</v>
      </c>
      <c r="F7567" s="1">
        <v>2846.0</v>
      </c>
      <c r="G7567" s="1">
        <v>52.0</v>
      </c>
    </row>
    <row r="7568">
      <c r="A7568" s="1" t="s">
        <v>7</v>
      </c>
      <c r="B7568" s="2">
        <v>44733.0</v>
      </c>
      <c r="C7568" s="3">
        <v>0.7372569444444445</v>
      </c>
      <c r="D7568" s="1">
        <v>12.556371</v>
      </c>
      <c r="E7568" s="1">
        <v>79.909186</v>
      </c>
      <c r="F7568" s="1">
        <v>2846.0</v>
      </c>
      <c r="G7568" s="1">
        <v>52.0</v>
      </c>
    </row>
    <row r="7569">
      <c r="A7569" s="1" t="s">
        <v>7</v>
      </c>
      <c r="B7569" s="2">
        <v>44733.0</v>
      </c>
      <c r="C7569" s="3">
        <v>0.7375</v>
      </c>
      <c r="D7569" s="1">
        <v>12.554535</v>
      </c>
      <c r="E7569" s="1">
        <v>79.908146</v>
      </c>
      <c r="F7569" s="1">
        <v>2846.0</v>
      </c>
      <c r="G7569" s="1">
        <v>56.0</v>
      </c>
    </row>
    <row r="7570">
      <c r="A7570" s="1" t="s">
        <v>7</v>
      </c>
      <c r="B7570" s="2">
        <v>44733.0</v>
      </c>
      <c r="C7570" s="3">
        <v>0.7376273148148148</v>
      </c>
      <c r="D7570" s="1">
        <v>12.552398</v>
      </c>
      <c r="E7570" s="1">
        <v>79.907178</v>
      </c>
      <c r="F7570" s="1">
        <v>2846.0</v>
      </c>
      <c r="G7570" s="1">
        <v>58.0</v>
      </c>
    </row>
    <row r="7571">
      <c r="A7571" s="1" t="s">
        <v>10</v>
      </c>
      <c r="B7571" s="2">
        <v>44733.0</v>
      </c>
      <c r="C7571" s="3">
        <v>0.7378472222222222</v>
      </c>
      <c r="D7571" s="1">
        <v>13.053336</v>
      </c>
      <c r="E7571" s="1">
        <v>80.270298</v>
      </c>
      <c r="F7571" s="1">
        <v>5339.0</v>
      </c>
      <c r="G7571" s="1">
        <v>0.0</v>
      </c>
    </row>
    <row r="7572">
      <c r="A7572" s="1" t="s">
        <v>10</v>
      </c>
      <c r="B7572" s="2">
        <v>44733.0</v>
      </c>
      <c r="C7572" s="3">
        <v>0.7380092592592593</v>
      </c>
      <c r="D7572" s="1">
        <v>13.053336</v>
      </c>
      <c r="E7572" s="1">
        <v>80.270298</v>
      </c>
      <c r="F7572" s="1">
        <v>5339.0</v>
      </c>
      <c r="G7572" s="1">
        <v>0.0</v>
      </c>
    </row>
    <row r="7573">
      <c r="A7573" s="1" t="s">
        <v>10</v>
      </c>
      <c r="B7573" s="2">
        <v>44733.0</v>
      </c>
      <c r="C7573" s="3">
        <v>0.7383796296296297</v>
      </c>
      <c r="D7573" s="1">
        <v>13.053332</v>
      </c>
      <c r="E7573" s="1">
        <v>80.270537</v>
      </c>
      <c r="F7573" s="1">
        <v>5339.0</v>
      </c>
      <c r="G7573" s="1">
        <v>8.0</v>
      </c>
    </row>
    <row r="7574">
      <c r="A7574" s="1" t="s">
        <v>7</v>
      </c>
      <c r="B7574" s="2">
        <v>44733.0</v>
      </c>
      <c r="C7574" s="3">
        <v>0.7387268518518518</v>
      </c>
      <c r="D7574" s="1">
        <v>12.543701</v>
      </c>
      <c r="E7574" s="1">
        <v>79.905016</v>
      </c>
      <c r="F7574" s="1">
        <v>2846.0</v>
      </c>
      <c r="G7574" s="1">
        <v>13.0</v>
      </c>
    </row>
    <row r="7575">
      <c r="A7575" s="1" t="s">
        <v>8</v>
      </c>
      <c r="B7575" s="2">
        <v>44733.0</v>
      </c>
      <c r="C7575" s="3">
        <v>0.7388425925925926</v>
      </c>
      <c r="D7575" s="1">
        <v>12.543042</v>
      </c>
      <c r="E7575" s="1">
        <v>79.904912</v>
      </c>
      <c r="F7575" s="1">
        <v>2846.0</v>
      </c>
      <c r="G7575" s="1">
        <v>26.0</v>
      </c>
    </row>
    <row r="7576">
      <c r="A7576" s="1" t="s">
        <v>7</v>
      </c>
      <c r="B7576" s="2">
        <v>44733.0</v>
      </c>
      <c r="C7576" s="3">
        <v>0.7389814814814815</v>
      </c>
      <c r="D7576" s="1">
        <v>12.543042</v>
      </c>
      <c r="E7576" s="1">
        <v>79.904912</v>
      </c>
      <c r="F7576" s="1">
        <v>2846.0</v>
      </c>
      <c r="G7576" s="1">
        <v>26.0</v>
      </c>
    </row>
    <row r="7577">
      <c r="A7577" s="1" t="s">
        <v>7</v>
      </c>
      <c r="B7577" s="2">
        <v>44733.0</v>
      </c>
      <c r="C7577" s="3">
        <v>0.7391319444444444</v>
      </c>
      <c r="D7577" s="1">
        <v>12.543042</v>
      </c>
      <c r="E7577" s="1">
        <v>79.904912</v>
      </c>
      <c r="F7577" s="1">
        <v>2846.0</v>
      </c>
      <c r="G7577" s="1">
        <v>26.0</v>
      </c>
    </row>
    <row r="7578">
      <c r="A7578" s="1" t="s">
        <v>7</v>
      </c>
      <c r="B7578" s="2">
        <v>44733.0</v>
      </c>
      <c r="C7578" s="3">
        <v>0.7396180555555556</v>
      </c>
      <c r="D7578" s="1">
        <v>12.535478</v>
      </c>
      <c r="E7578" s="1">
        <v>79.90217</v>
      </c>
      <c r="F7578" s="1">
        <v>2846.0</v>
      </c>
      <c r="G7578" s="1">
        <v>57.0</v>
      </c>
    </row>
    <row r="7579">
      <c r="A7579" s="1" t="s">
        <v>7</v>
      </c>
      <c r="B7579" s="2">
        <v>44733.0</v>
      </c>
      <c r="C7579" s="3">
        <v>0.740474537037037</v>
      </c>
      <c r="D7579" s="1">
        <v>12.528152</v>
      </c>
      <c r="E7579" s="1">
        <v>79.898558</v>
      </c>
      <c r="F7579" s="1">
        <v>2846.0</v>
      </c>
      <c r="G7579" s="1">
        <v>57.0</v>
      </c>
    </row>
    <row r="7580">
      <c r="A7580" s="1" t="s">
        <v>10</v>
      </c>
      <c r="B7580" s="2">
        <v>44733.0</v>
      </c>
      <c r="C7580" s="3">
        <v>0.7406018518518519</v>
      </c>
      <c r="D7580" s="1">
        <v>13.05532</v>
      </c>
      <c r="E7580" s="1">
        <v>80.273833</v>
      </c>
      <c r="F7580" s="1">
        <v>5339.0</v>
      </c>
      <c r="G7580" s="1">
        <v>0.0</v>
      </c>
    </row>
    <row r="7581">
      <c r="A7581" s="1" t="s">
        <v>7</v>
      </c>
      <c r="B7581" s="2">
        <v>44733.0</v>
      </c>
      <c r="C7581" s="3">
        <v>0.7407523148148148</v>
      </c>
      <c r="D7581" s="1">
        <v>12.524243</v>
      </c>
      <c r="E7581" s="1">
        <v>79.896711</v>
      </c>
      <c r="F7581" s="1">
        <v>2846.0</v>
      </c>
      <c r="G7581" s="1">
        <v>48.0</v>
      </c>
    </row>
    <row r="7582">
      <c r="A7582" s="1" t="s">
        <v>8</v>
      </c>
      <c r="B7582" s="2">
        <v>44733.0</v>
      </c>
      <c r="C7582" s="3">
        <v>0.7407986111111111</v>
      </c>
      <c r="D7582" s="1">
        <v>12.524243</v>
      </c>
      <c r="E7582" s="1">
        <v>79.896711</v>
      </c>
      <c r="F7582" s="1">
        <v>2846.0</v>
      </c>
      <c r="G7582" s="1">
        <v>48.0</v>
      </c>
    </row>
    <row r="7583">
      <c r="A7583" s="1" t="s">
        <v>10</v>
      </c>
      <c r="B7583" s="2">
        <v>44733.0</v>
      </c>
      <c r="C7583" s="3">
        <v>0.7408333333333333</v>
      </c>
      <c r="D7583" s="1">
        <v>13.056637</v>
      </c>
      <c r="E7583" s="1">
        <v>80.273925</v>
      </c>
      <c r="F7583" s="1">
        <v>5339.0</v>
      </c>
      <c r="G7583" s="1">
        <v>18.0</v>
      </c>
    </row>
    <row r="7584">
      <c r="A7584" s="1" t="s">
        <v>10</v>
      </c>
      <c r="B7584" s="2">
        <v>44733.0</v>
      </c>
      <c r="C7584" s="3">
        <v>0.7408912037037036</v>
      </c>
      <c r="D7584" s="1">
        <v>13.056637</v>
      </c>
      <c r="E7584" s="1">
        <v>80.273925</v>
      </c>
      <c r="F7584" s="1">
        <v>5339.0</v>
      </c>
      <c r="G7584" s="1">
        <v>18.0</v>
      </c>
    </row>
    <row r="7585">
      <c r="A7585" s="1" t="s">
        <v>10</v>
      </c>
      <c r="B7585" s="2">
        <v>44733.0</v>
      </c>
      <c r="C7585" s="3">
        <v>0.7410416666666667</v>
      </c>
      <c r="D7585" s="1">
        <v>13.056637</v>
      </c>
      <c r="E7585" s="1">
        <v>80.273925</v>
      </c>
      <c r="F7585" s="1">
        <v>5339.0</v>
      </c>
      <c r="G7585" s="1">
        <v>18.0</v>
      </c>
    </row>
    <row r="7586">
      <c r="A7586" s="1" t="s">
        <v>10</v>
      </c>
      <c r="B7586" s="2">
        <v>44733.0</v>
      </c>
      <c r="C7586" s="3">
        <v>0.7411805555555555</v>
      </c>
      <c r="D7586" s="1">
        <v>13.057369</v>
      </c>
      <c r="E7586" s="1">
        <v>80.274008</v>
      </c>
      <c r="F7586" s="1">
        <v>5339.0</v>
      </c>
      <c r="G7586" s="1">
        <v>14.0</v>
      </c>
    </row>
    <row r="7587">
      <c r="A7587" s="1" t="s">
        <v>10</v>
      </c>
      <c r="B7587" s="2">
        <v>44733.0</v>
      </c>
      <c r="C7587" s="3">
        <v>0.7414467592592593</v>
      </c>
      <c r="D7587" s="1">
        <v>13.058616</v>
      </c>
      <c r="E7587" s="1">
        <v>80.274151</v>
      </c>
      <c r="F7587" s="1">
        <v>5339.0</v>
      </c>
      <c r="G7587" s="1">
        <v>20.0</v>
      </c>
    </row>
    <row r="7588">
      <c r="A7588" s="1" t="s">
        <v>10</v>
      </c>
      <c r="B7588" s="2">
        <v>44733.0</v>
      </c>
      <c r="C7588" s="3">
        <v>0.7420023148148148</v>
      </c>
      <c r="D7588" s="1">
        <v>13.061004</v>
      </c>
      <c r="E7588" s="1">
        <v>80.274387</v>
      </c>
      <c r="F7588" s="1">
        <v>5339.0</v>
      </c>
      <c r="G7588" s="1">
        <v>29.0</v>
      </c>
    </row>
    <row r="7589">
      <c r="A7589" s="1" t="s">
        <v>10</v>
      </c>
      <c r="B7589" s="2">
        <v>44733.0</v>
      </c>
      <c r="C7589" s="3">
        <v>0.7432175925925926</v>
      </c>
      <c r="D7589" s="1">
        <v>12.510834</v>
      </c>
      <c r="E7589" s="1">
        <v>79.885148</v>
      </c>
      <c r="F7589" s="1">
        <v>2846.0</v>
      </c>
      <c r="G7589" s="1">
        <v>22.0</v>
      </c>
    </row>
    <row r="7590">
      <c r="A7590" s="1" t="s">
        <v>10</v>
      </c>
      <c r="B7590" s="2">
        <v>44733.0</v>
      </c>
      <c r="C7590" s="3">
        <v>0.7433333333333333</v>
      </c>
      <c r="D7590" s="1">
        <v>12.51028</v>
      </c>
      <c r="E7590" s="1">
        <v>79.88497</v>
      </c>
      <c r="F7590" s="1">
        <v>2846.0</v>
      </c>
      <c r="G7590" s="1">
        <v>10.0</v>
      </c>
    </row>
    <row r="7591">
      <c r="A7591" s="1" t="s">
        <v>10</v>
      </c>
      <c r="B7591" s="2">
        <v>44733.0</v>
      </c>
      <c r="C7591" s="3">
        <v>0.7437962962962963</v>
      </c>
      <c r="D7591" s="1">
        <v>12.51018</v>
      </c>
      <c r="E7591" s="1">
        <v>79.884928</v>
      </c>
      <c r="F7591" s="1">
        <v>2846.0</v>
      </c>
      <c r="G7591" s="1">
        <v>4.0</v>
      </c>
    </row>
    <row r="7592">
      <c r="A7592" s="1" t="s">
        <v>10</v>
      </c>
      <c r="B7592" s="2">
        <v>44733.0</v>
      </c>
      <c r="C7592" s="3">
        <v>0.7440393518518519</v>
      </c>
      <c r="D7592" s="1">
        <v>12.509217</v>
      </c>
      <c r="E7592" s="1">
        <v>79.884813</v>
      </c>
      <c r="F7592" s="1">
        <v>2846.0</v>
      </c>
      <c r="G7592" s="1">
        <v>0.0</v>
      </c>
    </row>
    <row r="7593">
      <c r="A7593" s="1" t="s">
        <v>10</v>
      </c>
      <c r="B7593" s="2">
        <v>44733.0</v>
      </c>
      <c r="C7593" s="3">
        <v>0.7465625</v>
      </c>
      <c r="D7593" s="1">
        <v>13.068348</v>
      </c>
      <c r="E7593" s="1">
        <v>80.268995</v>
      </c>
      <c r="F7593" s="1">
        <v>5339.0</v>
      </c>
      <c r="G7593" s="1">
        <v>25.0</v>
      </c>
    </row>
    <row r="7594">
      <c r="A7594" s="1" t="s">
        <v>10</v>
      </c>
      <c r="B7594" s="2">
        <v>44733.0</v>
      </c>
      <c r="C7594" s="3">
        <v>0.7467592592592592</v>
      </c>
      <c r="D7594" s="1">
        <v>13.068653</v>
      </c>
      <c r="E7594" s="1">
        <v>80.268026</v>
      </c>
      <c r="F7594" s="1">
        <v>5339.0</v>
      </c>
      <c r="G7594" s="1">
        <v>15.0</v>
      </c>
    </row>
    <row r="7595">
      <c r="A7595" s="1" t="s">
        <v>10</v>
      </c>
      <c r="B7595" s="2">
        <v>44733.0</v>
      </c>
      <c r="C7595" s="3">
        <v>0.7468402777777777</v>
      </c>
      <c r="D7595" s="1">
        <v>13.068653</v>
      </c>
      <c r="E7595" s="1">
        <v>80.268026</v>
      </c>
      <c r="F7595" s="1">
        <v>5339.0</v>
      </c>
      <c r="G7595" s="1">
        <v>15.0</v>
      </c>
    </row>
    <row r="7596">
      <c r="A7596" s="1" t="s">
        <v>10</v>
      </c>
      <c r="B7596" s="2">
        <v>44733.0</v>
      </c>
      <c r="C7596" s="3">
        <v>0.747175925925926</v>
      </c>
      <c r="D7596" s="1">
        <v>13.069345</v>
      </c>
      <c r="E7596" s="1">
        <v>80.266864</v>
      </c>
      <c r="F7596" s="1">
        <v>5339.0</v>
      </c>
      <c r="G7596" s="1">
        <v>26.0</v>
      </c>
    </row>
    <row r="7597">
      <c r="A7597" s="1" t="s">
        <v>7</v>
      </c>
      <c r="B7597" s="2">
        <v>44733.0</v>
      </c>
      <c r="C7597" s="3">
        <v>0.747337962962963</v>
      </c>
      <c r="D7597" s="1">
        <v>12.499006</v>
      </c>
      <c r="E7597" s="1">
        <v>79.874329</v>
      </c>
      <c r="F7597" s="1">
        <v>2846.0</v>
      </c>
      <c r="G7597" s="1">
        <v>52.0</v>
      </c>
    </row>
    <row r="7598">
      <c r="A7598" s="1" t="s">
        <v>10</v>
      </c>
      <c r="B7598" s="2">
        <v>44733.0</v>
      </c>
      <c r="C7598" s="3">
        <v>0.7474189814814814</v>
      </c>
      <c r="D7598" s="1">
        <v>13.070017</v>
      </c>
      <c r="E7598" s="1">
        <v>80.266168</v>
      </c>
      <c r="F7598" s="1">
        <v>5339.0</v>
      </c>
      <c r="G7598" s="1">
        <v>21.0</v>
      </c>
    </row>
    <row r="7599">
      <c r="A7599" s="1" t="s">
        <v>7</v>
      </c>
      <c r="B7599" s="2">
        <v>44733.0</v>
      </c>
      <c r="C7599" s="3">
        <v>0.7478472222222222</v>
      </c>
      <c r="D7599" s="1">
        <v>12.504143</v>
      </c>
      <c r="E7599" s="1">
        <v>79.878418</v>
      </c>
      <c r="F7599" s="1">
        <v>2846.0</v>
      </c>
      <c r="G7599" s="1">
        <v>56.0</v>
      </c>
    </row>
    <row r="7600">
      <c r="A7600" s="1" t="s">
        <v>7</v>
      </c>
      <c r="B7600" s="2">
        <v>44733.0</v>
      </c>
      <c r="C7600" s="3">
        <v>0.7489930555555555</v>
      </c>
      <c r="D7600" s="1">
        <v>12.515012</v>
      </c>
      <c r="E7600" s="1">
        <v>79.885709</v>
      </c>
      <c r="F7600" s="1">
        <v>2846.0</v>
      </c>
      <c r="G7600" s="1">
        <v>47.0</v>
      </c>
    </row>
    <row r="7601">
      <c r="A7601" s="1" t="s">
        <v>8</v>
      </c>
      <c r="B7601" s="2">
        <v>44733.0</v>
      </c>
      <c r="C7601" s="3">
        <v>0.7492129629629629</v>
      </c>
      <c r="D7601" s="1">
        <v>13.072357</v>
      </c>
      <c r="E7601" s="1">
        <v>80.260026</v>
      </c>
      <c r="F7601" s="1">
        <v>5339.0</v>
      </c>
      <c r="G7601" s="1">
        <v>34.0</v>
      </c>
    </row>
    <row r="7602">
      <c r="A7602" s="1" t="s">
        <v>7</v>
      </c>
      <c r="B7602" s="2">
        <v>44733.0</v>
      </c>
      <c r="C7602" s="3">
        <v>0.7495717592592592</v>
      </c>
      <c r="D7602" s="1">
        <v>12.517909</v>
      </c>
      <c r="E7602" s="1">
        <v>79.891387</v>
      </c>
      <c r="F7602" s="1">
        <v>2846.0</v>
      </c>
      <c r="G7602" s="1">
        <v>48.0</v>
      </c>
    </row>
    <row r="7603">
      <c r="A7603" s="1" t="s">
        <v>7</v>
      </c>
      <c r="B7603" s="2">
        <v>44733.0</v>
      </c>
      <c r="C7603" s="3">
        <v>0.7504166666666666</v>
      </c>
      <c r="D7603" s="1">
        <v>12.526607</v>
      </c>
      <c r="E7603" s="1">
        <v>79.897681</v>
      </c>
      <c r="F7603" s="1">
        <v>2846.0</v>
      </c>
      <c r="G7603" s="1">
        <v>55.0</v>
      </c>
    </row>
    <row r="7604">
      <c r="A7604" s="1" t="s">
        <v>7</v>
      </c>
      <c r="B7604" s="2">
        <v>44733.0</v>
      </c>
      <c r="C7604" s="3">
        <v>0.7512152777777777</v>
      </c>
      <c r="D7604" s="1">
        <v>12.534533</v>
      </c>
      <c r="E7604" s="1">
        <v>79.90149</v>
      </c>
      <c r="F7604" s="1">
        <v>2846.0</v>
      </c>
      <c r="G7604" s="1">
        <v>52.0</v>
      </c>
    </row>
    <row r="7605">
      <c r="A7605" s="1" t="s">
        <v>7</v>
      </c>
      <c r="B7605" s="2">
        <v>44733.0</v>
      </c>
      <c r="C7605" s="3">
        <v>0.7517939814814815</v>
      </c>
      <c r="D7605" s="1">
        <v>12.54021</v>
      </c>
      <c r="E7605" s="1">
        <v>79.904238</v>
      </c>
      <c r="F7605" s="1">
        <v>2846.0</v>
      </c>
      <c r="G7605" s="1">
        <v>55.0</v>
      </c>
    </row>
    <row r="7606">
      <c r="A7606" s="1" t="s">
        <v>7</v>
      </c>
      <c r="B7606" s="2">
        <v>44733.0</v>
      </c>
      <c r="C7606" s="3">
        <v>0.7519212962962963</v>
      </c>
      <c r="D7606" s="1">
        <v>12.542242</v>
      </c>
      <c r="E7606" s="1">
        <v>79.904591</v>
      </c>
      <c r="F7606" s="1">
        <v>2846.0</v>
      </c>
      <c r="G7606" s="1">
        <v>47.0</v>
      </c>
    </row>
    <row r="7607">
      <c r="A7607" s="1" t="s">
        <v>7</v>
      </c>
      <c r="B7607" s="2">
        <v>44733.0</v>
      </c>
      <c r="C7607" s="3">
        <v>0.7520717592592593</v>
      </c>
      <c r="D7607" s="1">
        <v>12.543794</v>
      </c>
      <c r="E7607" s="1">
        <v>79.904907</v>
      </c>
      <c r="F7607" s="1">
        <v>2846.0</v>
      </c>
      <c r="G7607" s="1">
        <v>41.0</v>
      </c>
    </row>
    <row r="7608">
      <c r="A7608" s="1" t="s">
        <v>8</v>
      </c>
      <c r="B7608" s="2">
        <v>44733.0</v>
      </c>
      <c r="C7608" s="3">
        <v>0.7521296296296296</v>
      </c>
      <c r="D7608" s="1">
        <v>13.067681</v>
      </c>
      <c r="E7608" s="1">
        <v>80.249184</v>
      </c>
      <c r="F7608" s="1">
        <v>5339.0</v>
      </c>
      <c r="G7608" s="1">
        <v>20.0</v>
      </c>
    </row>
    <row r="7609">
      <c r="A7609" s="1" t="s">
        <v>8</v>
      </c>
      <c r="B7609" s="2">
        <v>44733.0</v>
      </c>
      <c r="C7609" s="3">
        <v>0.7522453703703704</v>
      </c>
      <c r="D7609" s="1">
        <v>13.067681</v>
      </c>
      <c r="E7609" s="1">
        <v>80.249184</v>
      </c>
      <c r="F7609" s="1">
        <v>5339.0</v>
      </c>
      <c r="G7609" s="1">
        <v>20.0</v>
      </c>
    </row>
    <row r="7610">
      <c r="A7610" s="1" t="s">
        <v>8</v>
      </c>
      <c r="B7610" s="2">
        <v>44733.0</v>
      </c>
      <c r="C7610" s="3">
        <v>0.7522685185185185</v>
      </c>
      <c r="D7610" s="1">
        <v>13.067681</v>
      </c>
      <c r="E7610" s="1">
        <v>80.249184</v>
      </c>
      <c r="F7610" s="1">
        <v>5339.0</v>
      </c>
      <c r="G7610" s="1">
        <v>20.0</v>
      </c>
    </row>
    <row r="7611">
      <c r="A7611" s="1" t="s">
        <v>8</v>
      </c>
      <c r="B7611" s="2">
        <v>44733.0</v>
      </c>
      <c r="C7611" s="3">
        <v>0.7522685185185185</v>
      </c>
      <c r="D7611" s="1">
        <v>13.067681</v>
      </c>
      <c r="E7611" s="1">
        <v>80.249184</v>
      </c>
      <c r="F7611" s="1">
        <v>5339.0</v>
      </c>
      <c r="G7611" s="1">
        <v>20.0</v>
      </c>
    </row>
    <row r="7612">
      <c r="A7612" s="1" t="s">
        <v>7</v>
      </c>
      <c r="B7612" s="2">
        <v>44733.0</v>
      </c>
      <c r="C7612" s="3">
        <v>0.7526967592592593</v>
      </c>
      <c r="D7612" s="1">
        <v>12.550052</v>
      </c>
      <c r="E7612" s="1">
        <v>79.906107</v>
      </c>
      <c r="F7612" s="1">
        <v>2846.0</v>
      </c>
      <c r="G7612" s="1">
        <v>54.0</v>
      </c>
    </row>
    <row r="7613">
      <c r="A7613" s="1" t="s">
        <v>7</v>
      </c>
      <c r="B7613" s="2">
        <v>44733.0</v>
      </c>
      <c r="C7613" s="3">
        <v>0.7536689814814815</v>
      </c>
      <c r="D7613" s="1">
        <v>12.560361</v>
      </c>
      <c r="E7613" s="1">
        <v>79.911384</v>
      </c>
      <c r="F7613" s="1">
        <v>2846.0</v>
      </c>
      <c r="G7613" s="1">
        <v>58.0</v>
      </c>
    </row>
    <row r="7614">
      <c r="A7614" s="1" t="s">
        <v>7</v>
      </c>
      <c r="B7614" s="2">
        <v>44733.0</v>
      </c>
      <c r="C7614" s="3">
        <v>0.7538773148148148</v>
      </c>
      <c r="D7614" s="1">
        <v>12.562198</v>
      </c>
      <c r="E7614" s="1">
        <v>79.91244</v>
      </c>
      <c r="F7614" s="1">
        <v>2846.0</v>
      </c>
      <c r="G7614" s="1">
        <v>44.0</v>
      </c>
    </row>
    <row r="7615">
      <c r="A7615" s="1" t="s">
        <v>7</v>
      </c>
      <c r="B7615" s="2">
        <v>44733.0</v>
      </c>
      <c r="C7615" s="3">
        <v>0.7546990740740741</v>
      </c>
      <c r="D7615" s="1">
        <v>12.572647</v>
      </c>
      <c r="E7615" s="1">
        <v>79.91631</v>
      </c>
      <c r="F7615" s="1">
        <v>2846.0</v>
      </c>
      <c r="G7615" s="1">
        <v>54.0</v>
      </c>
    </row>
    <row r="7616">
      <c r="A7616" s="1" t="s">
        <v>7</v>
      </c>
      <c r="B7616" s="2">
        <v>44733.0</v>
      </c>
      <c r="C7616" s="3">
        <v>0.7549189814814815</v>
      </c>
      <c r="D7616" s="1">
        <v>12.57486</v>
      </c>
      <c r="E7616" s="1">
        <v>79.916772</v>
      </c>
      <c r="F7616" s="1">
        <v>2846.0</v>
      </c>
      <c r="G7616" s="1">
        <v>56.0</v>
      </c>
    </row>
    <row r="7617">
      <c r="A7617" s="1" t="s">
        <v>7</v>
      </c>
      <c r="B7617" s="2">
        <v>44733.0</v>
      </c>
      <c r="C7617" s="3">
        <v>0.7552662037037037</v>
      </c>
      <c r="D7617" s="1">
        <v>12.579274</v>
      </c>
      <c r="E7617" s="1">
        <v>79.917901</v>
      </c>
      <c r="F7617" s="1">
        <v>2846.0</v>
      </c>
      <c r="G7617" s="1">
        <v>58.0</v>
      </c>
    </row>
    <row r="7618">
      <c r="A7618" s="1" t="s">
        <v>7</v>
      </c>
      <c r="B7618" s="2">
        <v>44733.0</v>
      </c>
      <c r="C7618" s="3">
        <v>0.7555671296296296</v>
      </c>
      <c r="D7618" s="1">
        <v>12.581394</v>
      </c>
      <c r="E7618" s="1">
        <v>79.918746</v>
      </c>
      <c r="F7618" s="1">
        <v>2846.0</v>
      </c>
      <c r="G7618" s="1">
        <v>54.0</v>
      </c>
    </row>
    <row r="7619">
      <c r="A7619" s="1" t="s">
        <v>7</v>
      </c>
      <c r="B7619" s="2">
        <v>44733.0</v>
      </c>
      <c r="C7619" s="3">
        <v>0.7559027777777778</v>
      </c>
      <c r="D7619" s="1">
        <v>12.585908</v>
      </c>
      <c r="E7619" s="1">
        <v>79.919322</v>
      </c>
      <c r="F7619" s="1">
        <v>2846.0</v>
      </c>
      <c r="G7619" s="1">
        <v>57.0</v>
      </c>
    </row>
    <row r="7620">
      <c r="A7620" s="1" t="s">
        <v>7</v>
      </c>
      <c r="B7620" s="2">
        <v>44733.0</v>
      </c>
      <c r="C7620" s="3">
        <v>0.7568171296296297</v>
      </c>
      <c r="D7620" s="1">
        <v>12.597281</v>
      </c>
      <c r="E7620" s="1">
        <v>79.919556</v>
      </c>
      <c r="F7620" s="1">
        <v>2846.0</v>
      </c>
      <c r="G7620" s="1">
        <v>57.0</v>
      </c>
    </row>
    <row r="7621">
      <c r="A7621" s="1" t="s">
        <v>7</v>
      </c>
      <c r="B7621" s="2">
        <v>44733.0</v>
      </c>
      <c r="C7621" s="3">
        <v>0.7572569444444445</v>
      </c>
      <c r="D7621" s="1">
        <v>12.60397</v>
      </c>
      <c r="E7621" s="1">
        <v>79.920331</v>
      </c>
      <c r="F7621" s="1">
        <v>2846.0</v>
      </c>
      <c r="G7621" s="1">
        <v>52.0</v>
      </c>
    </row>
    <row r="7622">
      <c r="A7622" s="1" t="s">
        <v>7</v>
      </c>
      <c r="B7622" s="2">
        <v>44733.0</v>
      </c>
      <c r="C7622" s="3">
        <v>0.7579513888888889</v>
      </c>
      <c r="D7622" s="1">
        <v>12.609685</v>
      </c>
      <c r="E7622" s="1">
        <v>79.922381</v>
      </c>
      <c r="F7622" s="1">
        <v>2846.0</v>
      </c>
      <c r="G7622" s="1">
        <v>57.0</v>
      </c>
    </row>
    <row r="7623">
      <c r="A7623" s="1" t="s">
        <v>7</v>
      </c>
      <c r="B7623" s="2">
        <v>44733.0</v>
      </c>
      <c r="C7623" s="3">
        <v>0.7581018518518519</v>
      </c>
      <c r="D7623" s="1">
        <v>12.611773</v>
      </c>
      <c r="E7623" s="1">
        <v>79.923615</v>
      </c>
      <c r="F7623" s="1">
        <v>2846.0</v>
      </c>
      <c r="G7623" s="1">
        <v>55.0</v>
      </c>
    </row>
    <row r="7624">
      <c r="A7624" s="1" t="s">
        <v>7</v>
      </c>
      <c r="B7624" s="2">
        <v>44733.0</v>
      </c>
      <c r="C7624" s="3">
        <v>0.758449074074074</v>
      </c>
      <c r="D7624" s="1">
        <v>12.615822</v>
      </c>
      <c r="E7624" s="1">
        <v>79.925864</v>
      </c>
      <c r="F7624" s="1">
        <v>2846.0</v>
      </c>
      <c r="G7624" s="1">
        <v>58.0</v>
      </c>
    </row>
    <row r="7625">
      <c r="A7625" s="1" t="s">
        <v>7</v>
      </c>
      <c r="B7625" s="2">
        <v>44733.0</v>
      </c>
      <c r="C7625" s="3">
        <v>0.75875</v>
      </c>
      <c r="D7625" s="1">
        <v>12.620102</v>
      </c>
      <c r="E7625" s="1">
        <v>79.927017</v>
      </c>
      <c r="F7625" s="1">
        <v>2846.0</v>
      </c>
      <c r="G7625" s="1">
        <v>58.0</v>
      </c>
    </row>
    <row r="7626">
      <c r="A7626" s="1" t="s">
        <v>7</v>
      </c>
      <c r="B7626" s="2">
        <v>44733.0</v>
      </c>
      <c r="C7626" s="3">
        <v>0.7610416666666666</v>
      </c>
      <c r="D7626" s="1">
        <v>12.631788</v>
      </c>
      <c r="E7626" s="1">
        <v>79.931788</v>
      </c>
      <c r="F7626" s="1">
        <v>2846.0</v>
      </c>
      <c r="G7626" s="1">
        <v>25.0</v>
      </c>
    </row>
    <row r="7627">
      <c r="A7627" s="1" t="s">
        <v>7</v>
      </c>
      <c r="B7627" s="2">
        <v>44733.0</v>
      </c>
      <c r="C7627" s="3">
        <v>0.7611921296296297</v>
      </c>
      <c r="D7627" s="1">
        <v>12.633232</v>
      </c>
      <c r="E7627" s="1">
        <v>79.93243</v>
      </c>
      <c r="F7627" s="1">
        <v>2846.0</v>
      </c>
      <c r="G7627" s="1">
        <v>46.0</v>
      </c>
    </row>
    <row r="7628">
      <c r="A7628" s="1" t="s">
        <v>7</v>
      </c>
      <c r="B7628" s="2">
        <v>44733.0</v>
      </c>
      <c r="C7628" s="3">
        <v>0.7616319444444445</v>
      </c>
      <c r="D7628" s="1">
        <v>12.6372</v>
      </c>
      <c r="E7628" s="1">
        <v>79.934469</v>
      </c>
      <c r="F7628" s="1">
        <v>2846.0</v>
      </c>
      <c r="G7628" s="1">
        <v>57.0</v>
      </c>
    </row>
    <row r="7629">
      <c r="A7629" s="1" t="s">
        <v>7</v>
      </c>
      <c r="B7629" s="2">
        <v>44733.0</v>
      </c>
      <c r="C7629" s="3">
        <v>0.761875</v>
      </c>
      <c r="D7629" s="1">
        <v>12.639172</v>
      </c>
      <c r="E7629" s="1">
        <v>79.935738</v>
      </c>
      <c r="F7629" s="1">
        <v>2846.0</v>
      </c>
      <c r="G7629" s="1">
        <v>56.0</v>
      </c>
    </row>
    <row r="7630">
      <c r="A7630" s="1" t="s">
        <v>8</v>
      </c>
      <c r="B7630" s="2">
        <v>44733.0</v>
      </c>
      <c r="C7630" s="3">
        <v>0.7626157407407408</v>
      </c>
      <c r="D7630" s="1">
        <v>12.647275</v>
      </c>
      <c r="E7630" s="1">
        <v>79.940412</v>
      </c>
      <c r="F7630" s="1">
        <v>2846.0</v>
      </c>
      <c r="G7630" s="1">
        <v>58.0</v>
      </c>
    </row>
    <row r="7631">
      <c r="A7631" s="1" t="s">
        <v>7</v>
      </c>
      <c r="B7631" s="2">
        <v>44733.0</v>
      </c>
      <c r="C7631" s="3">
        <v>0.7632291666666666</v>
      </c>
      <c r="D7631" s="1">
        <v>12.656248</v>
      </c>
      <c r="E7631" s="1">
        <v>79.940334</v>
      </c>
      <c r="F7631" s="1">
        <v>2846.0</v>
      </c>
      <c r="G7631" s="1">
        <v>56.0</v>
      </c>
    </row>
    <row r="7632">
      <c r="A7632" s="1" t="s">
        <v>7</v>
      </c>
      <c r="B7632" s="2">
        <v>44733.0</v>
      </c>
      <c r="C7632" s="3">
        <v>0.7639814814814815</v>
      </c>
      <c r="D7632" s="1">
        <v>12.657308</v>
      </c>
      <c r="E7632" s="1">
        <v>79.947697</v>
      </c>
      <c r="F7632" s="1">
        <v>2846.0</v>
      </c>
      <c r="G7632" s="1">
        <v>48.0</v>
      </c>
    </row>
    <row r="7633">
      <c r="A7633" s="1" t="s">
        <v>7</v>
      </c>
      <c r="B7633" s="2">
        <v>44733.0</v>
      </c>
      <c r="C7633" s="3">
        <v>0.7640509259259259</v>
      </c>
      <c r="D7633" s="1">
        <v>12.657308</v>
      </c>
      <c r="E7633" s="1">
        <v>79.947697</v>
      </c>
      <c r="F7633" s="1">
        <v>2846.0</v>
      </c>
      <c r="G7633" s="1">
        <v>48.0</v>
      </c>
    </row>
    <row r="7634">
      <c r="A7634" s="1" t="s">
        <v>7</v>
      </c>
      <c r="B7634" s="2">
        <v>44733.0</v>
      </c>
      <c r="C7634" s="3">
        <v>0.764988425925926</v>
      </c>
      <c r="D7634" s="1">
        <v>12.657744</v>
      </c>
      <c r="E7634" s="1">
        <v>79.958303</v>
      </c>
      <c r="F7634" s="1">
        <v>2846.0</v>
      </c>
      <c r="G7634" s="1">
        <v>56.0</v>
      </c>
    </row>
    <row r="7635">
      <c r="A7635" s="1" t="s">
        <v>7</v>
      </c>
      <c r="B7635" s="2">
        <v>44733.0</v>
      </c>
      <c r="C7635" s="3">
        <v>0.7651851851851852</v>
      </c>
      <c r="D7635" s="1">
        <v>12.659135</v>
      </c>
      <c r="E7635" s="1">
        <v>79.960137</v>
      </c>
      <c r="F7635" s="1">
        <v>2846.0</v>
      </c>
      <c r="G7635" s="1">
        <v>52.0</v>
      </c>
    </row>
    <row r="7636">
      <c r="A7636" s="1" t="s">
        <v>7</v>
      </c>
      <c r="B7636" s="2">
        <v>44733.0</v>
      </c>
      <c r="C7636" s="3">
        <v>0.7659490740740741</v>
      </c>
      <c r="D7636" s="1">
        <v>12.667525</v>
      </c>
      <c r="E7636" s="1">
        <v>79.958752</v>
      </c>
      <c r="F7636" s="1">
        <v>2846.0</v>
      </c>
      <c r="G7636" s="1">
        <v>58.0</v>
      </c>
    </row>
    <row r="7637">
      <c r="A7637" s="1" t="s">
        <v>7</v>
      </c>
      <c r="B7637" s="2">
        <v>44733.0</v>
      </c>
      <c r="C7637" s="3">
        <v>0.7661226851851852</v>
      </c>
      <c r="D7637" s="1">
        <v>12.669846</v>
      </c>
      <c r="E7637" s="1">
        <v>79.958587</v>
      </c>
      <c r="F7637" s="1">
        <v>2846.0</v>
      </c>
      <c r="G7637" s="1">
        <v>57.0</v>
      </c>
    </row>
    <row r="7638">
      <c r="A7638" s="1" t="s">
        <v>7</v>
      </c>
      <c r="B7638" s="2">
        <v>44733.0</v>
      </c>
      <c r="C7638" s="3">
        <v>0.7668981481481482</v>
      </c>
      <c r="D7638" s="1">
        <v>12.679033</v>
      </c>
      <c r="E7638" s="1">
        <v>79.958445</v>
      </c>
      <c r="F7638" s="1">
        <v>2846.0</v>
      </c>
      <c r="G7638" s="1">
        <v>57.0</v>
      </c>
    </row>
    <row r="7639">
      <c r="A7639" s="1" t="s">
        <v>7</v>
      </c>
      <c r="B7639" s="2">
        <v>44733.0</v>
      </c>
      <c r="C7639" s="3">
        <v>0.7672337962962963</v>
      </c>
      <c r="D7639" s="1">
        <v>12.681272</v>
      </c>
      <c r="E7639" s="1">
        <v>79.958404</v>
      </c>
      <c r="F7639" s="1">
        <v>2846.0</v>
      </c>
      <c r="G7639" s="1">
        <v>53.0</v>
      </c>
    </row>
    <row r="7640">
      <c r="A7640" s="1" t="s">
        <v>7</v>
      </c>
      <c r="B7640" s="2">
        <v>44733.0</v>
      </c>
      <c r="C7640" s="3">
        <v>0.7677314814814815</v>
      </c>
      <c r="D7640" s="1">
        <v>12.689847</v>
      </c>
      <c r="E7640" s="1">
        <v>79.961093</v>
      </c>
      <c r="F7640" s="1">
        <v>2846.0</v>
      </c>
      <c r="G7640" s="1">
        <v>53.0</v>
      </c>
    </row>
    <row r="7641">
      <c r="A7641" s="1" t="s">
        <v>7</v>
      </c>
      <c r="B7641" s="2">
        <v>44733.0</v>
      </c>
      <c r="C7641" s="3">
        <v>0.7691550925925926</v>
      </c>
      <c r="D7641" s="1">
        <v>12.701652</v>
      </c>
      <c r="E7641" s="1">
        <v>79.969561</v>
      </c>
      <c r="F7641" s="1">
        <v>2846.0</v>
      </c>
      <c r="G7641" s="1">
        <v>53.0</v>
      </c>
    </row>
    <row r="7642">
      <c r="A7642" s="1" t="s">
        <v>7</v>
      </c>
      <c r="B7642" s="2">
        <v>44733.0</v>
      </c>
      <c r="C7642" s="3">
        <v>0.7702546296296297</v>
      </c>
      <c r="D7642" s="1">
        <v>12.710513</v>
      </c>
      <c r="E7642" s="1">
        <v>79.978163</v>
      </c>
      <c r="F7642" s="1">
        <v>2846.0</v>
      </c>
      <c r="G7642" s="1">
        <v>46.0</v>
      </c>
    </row>
    <row r="7643">
      <c r="A7643" s="1" t="s">
        <v>7</v>
      </c>
      <c r="B7643" s="2">
        <v>44733.0</v>
      </c>
      <c r="C7643" s="3">
        <v>0.7721527777777778</v>
      </c>
      <c r="D7643" s="1">
        <v>12.72918</v>
      </c>
      <c r="E7643" s="1">
        <v>79.982657</v>
      </c>
      <c r="F7643" s="1">
        <v>2846.0</v>
      </c>
      <c r="G7643" s="1">
        <v>52.0</v>
      </c>
    </row>
    <row r="7644">
      <c r="A7644" s="1" t="s">
        <v>7</v>
      </c>
      <c r="B7644" s="2">
        <v>44733.0</v>
      </c>
      <c r="C7644" s="3">
        <v>0.7723032407407407</v>
      </c>
      <c r="D7644" s="1">
        <v>12.72918</v>
      </c>
      <c r="E7644" s="1">
        <v>79.982657</v>
      </c>
      <c r="F7644" s="1">
        <v>2846.0</v>
      </c>
      <c r="G7644" s="1">
        <v>52.0</v>
      </c>
    </row>
    <row r="7645">
      <c r="A7645" s="1" t="s">
        <v>7</v>
      </c>
      <c r="B7645" s="2">
        <v>44733.0</v>
      </c>
      <c r="C7645" s="3">
        <v>0.7726041666666666</v>
      </c>
      <c r="D7645" s="1">
        <v>12.733137</v>
      </c>
      <c r="E7645" s="1">
        <v>79.983344</v>
      </c>
      <c r="F7645" s="1">
        <v>2846.0</v>
      </c>
      <c r="G7645" s="1">
        <v>52.0</v>
      </c>
    </row>
    <row r="7646">
      <c r="A7646" s="1" t="s">
        <v>7</v>
      </c>
      <c r="B7646" s="2">
        <v>44733.0</v>
      </c>
      <c r="C7646" s="3">
        <v>0.7729166666666667</v>
      </c>
      <c r="D7646" s="1">
        <v>12.733137</v>
      </c>
      <c r="E7646" s="1">
        <v>79.983344</v>
      </c>
      <c r="F7646" s="1">
        <v>2846.0</v>
      </c>
      <c r="G7646" s="1">
        <v>52.0</v>
      </c>
    </row>
    <row r="7647">
      <c r="A7647" s="1" t="s">
        <v>9</v>
      </c>
      <c r="B7647" s="2">
        <v>44733.0</v>
      </c>
      <c r="C7647" s="3">
        <v>0.7729976851851852</v>
      </c>
      <c r="D7647" s="1">
        <v>12.736035</v>
      </c>
      <c r="E7647" s="1">
        <v>79.986781</v>
      </c>
      <c r="F7647" s="1">
        <v>2846.0</v>
      </c>
      <c r="G7647" s="1">
        <v>59.0</v>
      </c>
    </row>
    <row r="7648">
      <c r="A7648" s="1" t="s">
        <v>8</v>
      </c>
      <c r="B7648" s="2">
        <v>44733.0</v>
      </c>
      <c r="C7648" s="3">
        <v>0.773425925925926</v>
      </c>
      <c r="D7648" s="1">
        <v>12.736035</v>
      </c>
      <c r="E7648" s="1">
        <v>79.986781</v>
      </c>
      <c r="F7648" s="1">
        <v>2846.0</v>
      </c>
      <c r="G7648" s="1">
        <v>59.0</v>
      </c>
    </row>
    <row r="7649">
      <c r="A7649" s="1" t="s">
        <v>8</v>
      </c>
      <c r="B7649" s="2">
        <v>44733.0</v>
      </c>
      <c r="C7649" s="3">
        <v>0.7736111111111111</v>
      </c>
      <c r="D7649" s="1">
        <v>12.741422</v>
      </c>
      <c r="E7649" s="1">
        <v>79.990837</v>
      </c>
      <c r="F7649" s="1">
        <v>2846.0</v>
      </c>
      <c r="G7649" s="1">
        <v>39.0</v>
      </c>
    </row>
    <row r="7650">
      <c r="A7650" s="1" t="s">
        <v>7</v>
      </c>
      <c r="B7650" s="2">
        <v>44733.0</v>
      </c>
      <c r="C7650" s="3">
        <v>0.7740972222222222</v>
      </c>
      <c r="D7650" s="1">
        <v>12.744106</v>
      </c>
      <c r="E7650" s="1">
        <v>79.993026</v>
      </c>
      <c r="F7650" s="1">
        <v>2846.0</v>
      </c>
      <c r="G7650" s="1">
        <v>33.0</v>
      </c>
    </row>
    <row r="7651">
      <c r="A7651" s="1" t="s">
        <v>7</v>
      </c>
      <c r="B7651" s="2">
        <v>44733.0</v>
      </c>
      <c r="C7651" s="3">
        <v>0.7742824074074074</v>
      </c>
      <c r="D7651" s="1">
        <v>12.745222</v>
      </c>
      <c r="E7651" s="1">
        <v>79.993917</v>
      </c>
      <c r="F7651" s="1">
        <v>2846.0</v>
      </c>
      <c r="G7651" s="1">
        <v>37.0</v>
      </c>
    </row>
    <row r="7652">
      <c r="A7652" s="1" t="s">
        <v>7</v>
      </c>
      <c r="B7652" s="2">
        <v>44733.0</v>
      </c>
      <c r="C7652" s="3">
        <v>0.7743518518518518</v>
      </c>
      <c r="D7652" s="1">
        <v>12.745222</v>
      </c>
      <c r="E7652" s="1">
        <v>79.993917</v>
      </c>
      <c r="F7652" s="1">
        <v>2846.0</v>
      </c>
      <c r="G7652" s="1">
        <v>37.0</v>
      </c>
    </row>
    <row r="7653">
      <c r="A7653" s="1" t="s">
        <v>7</v>
      </c>
      <c r="B7653" s="2">
        <v>44733.0</v>
      </c>
      <c r="C7653" s="3">
        <v>0.7744675925925926</v>
      </c>
      <c r="D7653" s="1">
        <v>12.745222</v>
      </c>
      <c r="E7653" s="1">
        <v>79.993917</v>
      </c>
      <c r="F7653" s="1">
        <v>2846.0</v>
      </c>
      <c r="G7653" s="1">
        <v>37.0</v>
      </c>
    </row>
    <row r="7654">
      <c r="A7654" s="1" t="s">
        <v>8</v>
      </c>
      <c r="B7654" s="2">
        <v>44733.0</v>
      </c>
      <c r="C7654" s="3">
        <v>0.7751736111111112</v>
      </c>
      <c r="D7654" s="1">
        <v>12.753912</v>
      </c>
      <c r="E7654" s="1">
        <v>80.00039</v>
      </c>
      <c r="F7654" s="1">
        <v>2846.0</v>
      </c>
      <c r="G7654" s="1">
        <v>45.0</v>
      </c>
    </row>
    <row r="7655">
      <c r="A7655" s="1" t="s">
        <v>8</v>
      </c>
      <c r="B7655" s="2">
        <v>44733.0</v>
      </c>
      <c r="C7655" s="3">
        <v>0.7787615740740741</v>
      </c>
      <c r="D7655" s="1">
        <v>12.761872</v>
      </c>
      <c r="E7655" s="1">
        <v>80.003656</v>
      </c>
      <c r="F7655" s="1">
        <v>2846.0</v>
      </c>
      <c r="G7655" s="1">
        <v>4.0</v>
      </c>
    </row>
    <row r="7656">
      <c r="A7656" s="1" t="s">
        <v>8</v>
      </c>
      <c r="B7656" s="2">
        <v>44733.0</v>
      </c>
      <c r="C7656" s="3">
        <v>0.7789814814814815</v>
      </c>
      <c r="D7656" s="1">
        <v>12.762104</v>
      </c>
      <c r="E7656" s="1">
        <v>80.003708</v>
      </c>
      <c r="F7656" s="1">
        <v>2846.0</v>
      </c>
      <c r="G7656" s="1">
        <v>0.0</v>
      </c>
    </row>
    <row r="7657">
      <c r="A7657" s="1" t="s">
        <v>8</v>
      </c>
      <c r="B7657" s="2">
        <v>44733.0</v>
      </c>
      <c r="C7657" s="3">
        <v>0.7805671296296296</v>
      </c>
      <c r="D7657" s="1">
        <v>12.776288</v>
      </c>
      <c r="E7657" s="1">
        <v>80.010035</v>
      </c>
      <c r="F7657" s="1">
        <v>2846.0</v>
      </c>
      <c r="G7657" s="1">
        <v>57.0</v>
      </c>
    </row>
    <row r="7658">
      <c r="A7658" s="1" t="s">
        <v>8</v>
      </c>
      <c r="B7658" s="2">
        <v>44733.0</v>
      </c>
      <c r="C7658" s="3">
        <v>0.7808912037037037</v>
      </c>
      <c r="D7658" s="1">
        <v>12.778526</v>
      </c>
      <c r="E7658" s="1">
        <v>80.011021</v>
      </c>
      <c r="F7658" s="1">
        <v>2846.0</v>
      </c>
      <c r="G7658" s="1">
        <v>57.0</v>
      </c>
    </row>
    <row r="7659">
      <c r="A7659" s="1" t="s">
        <v>8</v>
      </c>
      <c r="B7659" s="2">
        <v>44733.0</v>
      </c>
      <c r="C7659" s="3">
        <v>0.7819560185185185</v>
      </c>
      <c r="D7659" s="1">
        <v>12.787795</v>
      </c>
      <c r="E7659" s="1">
        <v>80.015552</v>
      </c>
      <c r="F7659" s="1">
        <v>2846.0</v>
      </c>
      <c r="G7659" s="1">
        <v>42.0</v>
      </c>
    </row>
    <row r="7660">
      <c r="A7660" s="1" t="s">
        <v>8</v>
      </c>
      <c r="B7660" s="2">
        <v>44733.0</v>
      </c>
      <c r="C7660" s="3">
        <v>0.783912037037037</v>
      </c>
      <c r="D7660" s="1">
        <v>12.795195</v>
      </c>
      <c r="E7660" s="1">
        <v>80.020094</v>
      </c>
      <c r="F7660" s="1">
        <v>2846.0</v>
      </c>
      <c r="G7660" s="1">
        <v>6.0</v>
      </c>
    </row>
    <row r="7661">
      <c r="A7661" s="1" t="s">
        <v>7</v>
      </c>
      <c r="B7661" s="2">
        <v>44733.0</v>
      </c>
      <c r="C7661" s="3">
        <v>0.7846296296296297</v>
      </c>
      <c r="D7661" s="1">
        <v>12.799601</v>
      </c>
      <c r="E7661" s="1">
        <v>80.023082</v>
      </c>
      <c r="F7661" s="1">
        <v>2846.0</v>
      </c>
      <c r="G7661" s="1">
        <v>58.0</v>
      </c>
    </row>
    <row r="7662">
      <c r="A7662" s="1" t="s">
        <v>7</v>
      </c>
      <c r="B7662" s="2">
        <v>44733.0</v>
      </c>
      <c r="C7662" s="3">
        <v>0.7847222222222222</v>
      </c>
      <c r="D7662" s="1">
        <v>12.801546</v>
      </c>
      <c r="E7662" s="1">
        <v>80.02436</v>
      </c>
      <c r="F7662" s="1">
        <v>2846.0</v>
      </c>
      <c r="G7662" s="1">
        <v>58.0</v>
      </c>
    </row>
    <row r="7663">
      <c r="A7663" s="1" t="s">
        <v>7</v>
      </c>
      <c r="B7663" s="2">
        <v>44733.0</v>
      </c>
      <c r="C7663" s="3">
        <v>0.7850578703703703</v>
      </c>
      <c r="D7663" s="1">
        <v>12.805482</v>
      </c>
      <c r="E7663" s="1">
        <v>80.026937</v>
      </c>
      <c r="F7663" s="1">
        <v>2846.0</v>
      </c>
      <c r="G7663" s="1">
        <v>58.0</v>
      </c>
    </row>
    <row r="7664">
      <c r="A7664" s="1" t="s">
        <v>7</v>
      </c>
      <c r="B7664" s="2">
        <v>44733.0</v>
      </c>
      <c r="C7664" s="3">
        <v>0.7852083333333333</v>
      </c>
      <c r="D7664" s="1">
        <v>12.807418</v>
      </c>
      <c r="E7664" s="1">
        <v>80.028166</v>
      </c>
      <c r="F7664" s="1">
        <v>2846.0</v>
      </c>
      <c r="G7664" s="1">
        <v>52.0</v>
      </c>
    </row>
    <row r="7665">
      <c r="A7665" s="1" t="s">
        <v>7</v>
      </c>
      <c r="B7665" s="2">
        <v>44733.0</v>
      </c>
      <c r="C7665" s="3">
        <v>0.7863310185185185</v>
      </c>
      <c r="D7665" s="1">
        <v>12.816592</v>
      </c>
      <c r="E7665" s="1">
        <v>80.034221</v>
      </c>
      <c r="F7665" s="1">
        <v>2846.0</v>
      </c>
      <c r="G7665" s="1">
        <v>56.0</v>
      </c>
    </row>
    <row r="7666">
      <c r="A7666" s="1" t="s">
        <v>7</v>
      </c>
      <c r="B7666" s="2">
        <v>44733.0</v>
      </c>
      <c r="C7666" s="3">
        <v>0.7866666666666666</v>
      </c>
      <c r="D7666" s="1">
        <v>12.820024</v>
      </c>
      <c r="E7666" s="1">
        <v>80.036676</v>
      </c>
      <c r="F7666" s="1">
        <v>2846.0</v>
      </c>
      <c r="G7666" s="1">
        <v>50.0</v>
      </c>
    </row>
    <row r="7667">
      <c r="A7667" s="1" t="s">
        <v>8</v>
      </c>
      <c r="B7667" s="2">
        <v>44733.0</v>
      </c>
      <c r="C7667" s="3">
        <v>0.7880671296296297</v>
      </c>
      <c r="D7667" s="1">
        <v>12.830388</v>
      </c>
      <c r="E7667" s="1">
        <v>80.045325</v>
      </c>
      <c r="F7667" s="1">
        <v>2846.0</v>
      </c>
      <c r="G7667" s="1">
        <v>19.0</v>
      </c>
    </row>
    <row r="7668">
      <c r="A7668" s="1" t="s">
        <v>9</v>
      </c>
      <c r="B7668" s="2">
        <v>44733.0</v>
      </c>
      <c r="C7668" s="3">
        <v>0.7881481481481482</v>
      </c>
      <c r="D7668" s="1">
        <v>12.830388</v>
      </c>
      <c r="E7668" s="1">
        <v>80.045325</v>
      </c>
      <c r="F7668" s="1">
        <v>2846.0</v>
      </c>
      <c r="G7668" s="1">
        <v>19.0</v>
      </c>
    </row>
    <row r="7669">
      <c r="A7669" s="1" t="s">
        <v>8</v>
      </c>
      <c r="B7669" s="2">
        <v>44733.0</v>
      </c>
      <c r="C7669" s="3">
        <v>0.7896064814814815</v>
      </c>
      <c r="D7669" s="1">
        <v>12.838897</v>
      </c>
      <c r="E7669" s="1">
        <v>80.054271</v>
      </c>
      <c r="F7669" s="1">
        <v>2846.0</v>
      </c>
      <c r="G7669" s="1">
        <v>40.0</v>
      </c>
    </row>
    <row r="7670">
      <c r="A7670" s="1" t="s">
        <v>8</v>
      </c>
      <c r="B7670" s="2">
        <v>44733.0</v>
      </c>
      <c r="C7670" s="3">
        <v>0.7910416666666666</v>
      </c>
      <c r="D7670" s="1">
        <v>12.845144</v>
      </c>
      <c r="E7670" s="1">
        <v>80.060879</v>
      </c>
      <c r="F7670" s="1">
        <v>2846.0</v>
      </c>
      <c r="G7670" s="1">
        <v>26.0</v>
      </c>
    </row>
    <row r="7671">
      <c r="A7671" s="1" t="s">
        <v>8</v>
      </c>
      <c r="B7671" s="2">
        <v>44733.0</v>
      </c>
      <c r="C7671" s="3">
        <v>0.7910879629629629</v>
      </c>
      <c r="D7671" s="1">
        <v>12.845144</v>
      </c>
      <c r="E7671" s="1">
        <v>80.060879</v>
      </c>
      <c r="F7671" s="1">
        <v>2846.0</v>
      </c>
      <c r="G7671" s="1">
        <v>26.0</v>
      </c>
    </row>
    <row r="7672">
      <c r="A7672" s="1" t="s">
        <v>8</v>
      </c>
      <c r="B7672" s="2">
        <v>44733.0</v>
      </c>
      <c r="C7672" s="3">
        <v>0.7910995370370371</v>
      </c>
      <c r="D7672" s="1">
        <v>12.845144</v>
      </c>
      <c r="E7672" s="1">
        <v>80.060879</v>
      </c>
      <c r="F7672" s="1">
        <v>2846.0</v>
      </c>
      <c r="G7672" s="1">
        <v>26.0</v>
      </c>
    </row>
    <row r="7673">
      <c r="A7673" s="1" t="s">
        <v>9</v>
      </c>
      <c r="B7673" s="2">
        <v>44733.0</v>
      </c>
      <c r="C7673" s="3">
        <v>0.7913541666666667</v>
      </c>
      <c r="D7673" s="1">
        <v>12.846475</v>
      </c>
      <c r="E7673" s="1">
        <v>80.062057</v>
      </c>
      <c r="F7673" s="1">
        <v>2846.0</v>
      </c>
      <c r="G7673" s="1">
        <v>22.0</v>
      </c>
    </row>
    <row r="7674">
      <c r="A7674" s="1" t="s">
        <v>8</v>
      </c>
      <c r="B7674" s="2">
        <v>44733.0</v>
      </c>
      <c r="C7674" s="3">
        <v>0.7919444444444445</v>
      </c>
      <c r="D7674" s="1">
        <v>12.849479</v>
      </c>
      <c r="E7674" s="1">
        <v>80.064306</v>
      </c>
      <c r="F7674" s="1">
        <v>2846.0</v>
      </c>
      <c r="G7674" s="1">
        <v>18.0</v>
      </c>
    </row>
    <row r="7675">
      <c r="A7675" s="1" t="s">
        <v>9</v>
      </c>
      <c r="B7675" s="2">
        <v>44733.0</v>
      </c>
      <c r="C7675" s="3">
        <v>0.7921296296296296</v>
      </c>
      <c r="D7675" s="1">
        <v>12.849732</v>
      </c>
      <c r="E7675" s="1">
        <v>80.064495</v>
      </c>
      <c r="F7675" s="1">
        <v>2846.0</v>
      </c>
      <c r="G7675" s="1">
        <v>0.0</v>
      </c>
    </row>
    <row r="7676">
      <c r="A7676" s="1" t="s">
        <v>7</v>
      </c>
      <c r="B7676" s="2">
        <v>44733.0</v>
      </c>
      <c r="C7676" s="3">
        <v>0.7925</v>
      </c>
      <c r="D7676" s="1">
        <v>12.85052</v>
      </c>
      <c r="E7676" s="1">
        <v>80.065059</v>
      </c>
      <c r="F7676" s="1">
        <v>2846.0</v>
      </c>
      <c r="G7676" s="1">
        <v>34.0</v>
      </c>
    </row>
    <row r="7677">
      <c r="A7677" s="1" t="s">
        <v>8</v>
      </c>
      <c r="B7677" s="2">
        <v>44733.0</v>
      </c>
      <c r="C7677" s="3">
        <v>0.7926620370370371</v>
      </c>
      <c r="D7677" s="1">
        <v>12.851911</v>
      </c>
      <c r="E7677" s="1">
        <v>80.066077</v>
      </c>
      <c r="F7677" s="1">
        <v>2846.0</v>
      </c>
      <c r="G7677" s="1">
        <v>40.0</v>
      </c>
    </row>
    <row r="7678">
      <c r="A7678" s="1" t="s">
        <v>7</v>
      </c>
      <c r="B7678" s="2">
        <v>44733.0</v>
      </c>
      <c r="C7678" s="3">
        <v>0.7939930555555555</v>
      </c>
      <c r="D7678" s="1">
        <v>12.860338</v>
      </c>
      <c r="E7678" s="1">
        <v>80.072273</v>
      </c>
      <c r="F7678" s="1">
        <v>2846.0</v>
      </c>
      <c r="G7678" s="1">
        <v>24.0</v>
      </c>
    </row>
    <row r="7679">
      <c r="A7679" s="1" t="s">
        <v>8</v>
      </c>
      <c r="B7679" s="2">
        <v>44733.0</v>
      </c>
      <c r="C7679" s="3">
        <v>0.7943055555555556</v>
      </c>
      <c r="D7679" s="1">
        <v>12.863664</v>
      </c>
      <c r="E7679" s="1">
        <v>80.074008</v>
      </c>
      <c r="F7679" s="1">
        <v>2846.0</v>
      </c>
      <c r="G7679" s="1">
        <v>57.0</v>
      </c>
    </row>
    <row r="7680">
      <c r="A7680" s="1" t="s">
        <v>8</v>
      </c>
      <c r="B7680" s="2">
        <v>44733.0</v>
      </c>
      <c r="C7680" s="3">
        <v>0.7945486111111111</v>
      </c>
      <c r="D7680" s="1">
        <v>12.865839</v>
      </c>
      <c r="E7680" s="1">
        <v>80.074832</v>
      </c>
      <c r="F7680" s="1">
        <v>2846.0</v>
      </c>
      <c r="G7680" s="1">
        <v>56.0</v>
      </c>
    </row>
    <row r="7681">
      <c r="A7681" s="1" t="s">
        <v>8</v>
      </c>
      <c r="B7681" s="2">
        <v>44733.0</v>
      </c>
      <c r="C7681" s="3">
        <v>0.7947337962962963</v>
      </c>
      <c r="D7681" s="1">
        <v>12.867191</v>
      </c>
      <c r="E7681" s="1">
        <v>80.075327</v>
      </c>
      <c r="F7681" s="1">
        <v>2846.0</v>
      </c>
      <c r="G7681" s="1">
        <v>28.0</v>
      </c>
    </row>
    <row r="7682">
      <c r="A7682" s="1" t="s">
        <v>8</v>
      </c>
      <c r="B7682" s="2">
        <v>44733.0</v>
      </c>
      <c r="C7682" s="3">
        <v>0.7947685185185185</v>
      </c>
      <c r="D7682" s="1">
        <v>12.867191</v>
      </c>
      <c r="E7682" s="1">
        <v>80.075327</v>
      </c>
      <c r="F7682" s="1">
        <v>2846.0</v>
      </c>
      <c r="G7682" s="1">
        <v>28.0</v>
      </c>
    </row>
    <row r="7683">
      <c r="A7683" s="1" t="s">
        <v>8</v>
      </c>
      <c r="B7683" s="2">
        <v>44733.0</v>
      </c>
      <c r="C7683" s="3">
        <v>0.7949652777777778</v>
      </c>
      <c r="D7683" s="1">
        <v>12.86843</v>
      </c>
      <c r="E7683" s="1">
        <v>80.075832</v>
      </c>
      <c r="F7683" s="1">
        <v>2846.0</v>
      </c>
      <c r="G7683" s="1">
        <v>39.0</v>
      </c>
    </row>
    <row r="7684">
      <c r="A7684" s="1" t="s">
        <v>10</v>
      </c>
      <c r="B7684" s="2">
        <v>44734.0</v>
      </c>
      <c r="C7684" s="3">
        <v>0.44202546296296297</v>
      </c>
      <c r="D7684" s="1">
        <v>12.876157</v>
      </c>
      <c r="E7684" s="1">
        <v>80.083202</v>
      </c>
      <c r="F7684" s="1">
        <v>2846.0</v>
      </c>
      <c r="G7684" s="1">
        <v>10.0</v>
      </c>
    </row>
    <row r="7685">
      <c r="A7685" s="1" t="s">
        <v>7</v>
      </c>
      <c r="B7685" s="2">
        <v>44734.0</v>
      </c>
      <c r="C7685" s="3">
        <v>0.4441435185185185</v>
      </c>
      <c r="D7685" s="1">
        <v>12.87635</v>
      </c>
      <c r="E7685" s="1">
        <v>80.087058</v>
      </c>
      <c r="F7685" s="1">
        <v>2846.0</v>
      </c>
      <c r="G7685" s="1">
        <v>47.0</v>
      </c>
    </row>
    <row r="7686">
      <c r="A7686" s="1" t="s">
        <v>7</v>
      </c>
      <c r="B7686" s="2">
        <v>44734.0</v>
      </c>
      <c r="C7686" s="3">
        <v>0.4448842592592593</v>
      </c>
      <c r="D7686" s="1">
        <v>12.872508</v>
      </c>
      <c r="E7686" s="1">
        <v>80.0956</v>
      </c>
      <c r="F7686" s="1">
        <v>2846.0</v>
      </c>
      <c r="G7686" s="1">
        <v>51.0</v>
      </c>
    </row>
    <row r="7687">
      <c r="A7687" s="1" t="s">
        <v>7</v>
      </c>
      <c r="B7687" s="2">
        <v>44734.0</v>
      </c>
      <c r="C7687" s="3">
        <v>0.4452662037037037</v>
      </c>
      <c r="D7687" s="1">
        <v>12.871819</v>
      </c>
      <c r="E7687" s="1">
        <v>80.099694</v>
      </c>
      <c r="F7687" s="1">
        <v>2846.0</v>
      </c>
      <c r="G7687" s="1">
        <v>53.0</v>
      </c>
    </row>
    <row r="7688">
      <c r="A7688" s="1" t="s">
        <v>7</v>
      </c>
      <c r="B7688" s="2">
        <v>44735.0</v>
      </c>
      <c r="C7688" s="3">
        <v>0.23548611111111112</v>
      </c>
      <c r="D7688" s="1">
        <v>12.877807</v>
      </c>
      <c r="E7688" s="1">
        <v>80.079768</v>
      </c>
      <c r="F7688" s="1">
        <v>2846.0</v>
      </c>
      <c r="G7688" s="1">
        <v>37.0</v>
      </c>
    </row>
    <row r="7689">
      <c r="A7689" s="1" t="s">
        <v>7</v>
      </c>
      <c r="B7689" s="2">
        <v>44735.0</v>
      </c>
      <c r="C7689" s="3">
        <v>0.23556712962962964</v>
      </c>
      <c r="D7689" s="1">
        <v>12.874452</v>
      </c>
      <c r="E7689" s="1">
        <v>80.078416</v>
      </c>
      <c r="F7689" s="1">
        <v>2846.0</v>
      </c>
      <c r="G7689" s="1">
        <v>54.0</v>
      </c>
    </row>
    <row r="7690">
      <c r="A7690" s="1" t="s">
        <v>7</v>
      </c>
      <c r="B7690" s="2">
        <v>44735.0</v>
      </c>
      <c r="C7690" s="3">
        <v>0.23612268518518517</v>
      </c>
      <c r="D7690" s="1">
        <v>12.868198</v>
      </c>
      <c r="E7690" s="1">
        <v>80.07593</v>
      </c>
      <c r="F7690" s="1">
        <v>2846.0</v>
      </c>
      <c r="G7690" s="1">
        <v>52.0</v>
      </c>
    </row>
    <row r="7691">
      <c r="A7691" s="1" t="s">
        <v>7</v>
      </c>
      <c r="B7691" s="2">
        <v>44735.0</v>
      </c>
      <c r="C7691" s="3">
        <v>0.23631944444444444</v>
      </c>
      <c r="D7691" s="1">
        <v>12.868198</v>
      </c>
      <c r="E7691" s="1">
        <v>80.07593</v>
      </c>
      <c r="F7691" s="1">
        <v>2846.0</v>
      </c>
      <c r="G7691" s="1">
        <v>52.0</v>
      </c>
    </row>
    <row r="7692">
      <c r="A7692" s="1" t="s">
        <v>8</v>
      </c>
      <c r="B7692" s="2">
        <v>44735.0</v>
      </c>
      <c r="C7692" s="3">
        <v>0.23788194444444444</v>
      </c>
      <c r="D7692" s="1">
        <v>12.854382</v>
      </c>
      <c r="E7692" s="1">
        <v>80.068033</v>
      </c>
      <c r="F7692" s="1">
        <v>2846.0</v>
      </c>
      <c r="G7692" s="1">
        <v>52.0</v>
      </c>
    </row>
    <row r="7693">
      <c r="A7693" s="1" t="s">
        <v>7</v>
      </c>
      <c r="B7693" s="2">
        <v>44735.0</v>
      </c>
      <c r="C7693" s="3">
        <v>0.24019675925925926</v>
      </c>
      <c r="D7693" s="1">
        <v>12.832564</v>
      </c>
      <c r="E7693" s="1">
        <v>80.04794</v>
      </c>
      <c r="F7693" s="1">
        <v>2846.0</v>
      </c>
      <c r="G7693" s="1">
        <v>54.0</v>
      </c>
    </row>
    <row r="7694">
      <c r="A7694" s="1" t="s">
        <v>7</v>
      </c>
      <c r="B7694" s="2">
        <v>44735.0</v>
      </c>
      <c r="C7694" s="3">
        <v>0.24061342592592594</v>
      </c>
      <c r="D7694" s="1">
        <v>12.830208</v>
      </c>
      <c r="E7694" s="1">
        <v>80.045429</v>
      </c>
      <c r="F7694" s="1">
        <v>2846.0</v>
      </c>
      <c r="G7694" s="1">
        <v>44.0</v>
      </c>
    </row>
    <row r="7695">
      <c r="A7695" s="1" t="s">
        <v>7</v>
      </c>
      <c r="B7695" s="2">
        <v>44735.0</v>
      </c>
      <c r="C7695" s="3">
        <v>0.24118055555555556</v>
      </c>
      <c r="D7695" s="1">
        <v>12.828421</v>
      </c>
      <c r="E7695" s="1">
        <v>80.043573</v>
      </c>
      <c r="F7695" s="1">
        <v>2846.0</v>
      </c>
      <c r="G7695" s="1">
        <v>55.0</v>
      </c>
    </row>
    <row r="7696">
      <c r="A7696" s="1" t="s">
        <v>7</v>
      </c>
      <c r="B7696" s="2">
        <v>44735.0</v>
      </c>
      <c r="C7696" s="3">
        <v>0.24253472222222222</v>
      </c>
      <c r="D7696" s="1">
        <v>12.813844</v>
      </c>
      <c r="E7696" s="1">
        <v>80.032507</v>
      </c>
      <c r="F7696" s="1">
        <v>2846.0</v>
      </c>
      <c r="G7696" s="1">
        <v>52.0</v>
      </c>
    </row>
    <row r="7697">
      <c r="A7697" s="1" t="s">
        <v>7</v>
      </c>
      <c r="B7697" s="2">
        <v>44735.0</v>
      </c>
      <c r="C7697" s="3">
        <v>0.24275462962962963</v>
      </c>
      <c r="D7697" s="1">
        <v>12.811571</v>
      </c>
      <c r="E7697" s="1">
        <v>80.031036</v>
      </c>
      <c r="F7697" s="1">
        <v>2846.0</v>
      </c>
      <c r="G7697" s="1">
        <v>54.0</v>
      </c>
    </row>
    <row r="7698">
      <c r="A7698" s="1" t="s">
        <v>7</v>
      </c>
      <c r="B7698" s="2">
        <v>44735.0</v>
      </c>
      <c r="C7698" s="3">
        <v>0.2476736111111111</v>
      </c>
      <c r="D7698" s="1">
        <v>12.764853</v>
      </c>
      <c r="E7698" s="1">
        <v>80.004927</v>
      </c>
      <c r="F7698" s="1">
        <v>2846.0</v>
      </c>
      <c r="G7698" s="1">
        <v>50.0</v>
      </c>
    </row>
    <row r="7699">
      <c r="A7699" s="1" t="s">
        <v>7</v>
      </c>
      <c r="B7699" s="2">
        <v>44735.0</v>
      </c>
      <c r="C7699" s="3">
        <v>0.24900462962962963</v>
      </c>
      <c r="D7699" s="1">
        <v>12.754318</v>
      </c>
      <c r="E7699" s="1">
        <v>80.000925</v>
      </c>
      <c r="F7699" s="1">
        <v>2846.0</v>
      </c>
      <c r="G7699" s="1">
        <v>43.0</v>
      </c>
    </row>
    <row r="7700">
      <c r="A7700" s="1" t="s">
        <v>7</v>
      </c>
      <c r="B7700" s="2">
        <v>44735.0</v>
      </c>
      <c r="C7700" s="3">
        <v>0.2506597222222222</v>
      </c>
      <c r="D7700" s="1">
        <v>12.742026</v>
      </c>
      <c r="E7700" s="1">
        <v>79.991522</v>
      </c>
      <c r="F7700" s="1">
        <v>2846.0</v>
      </c>
      <c r="G7700" s="1">
        <v>49.0</v>
      </c>
    </row>
    <row r="7701">
      <c r="A7701" s="1" t="s">
        <v>7</v>
      </c>
      <c r="B7701" s="2">
        <v>44735.0</v>
      </c>
      <c r="C7701" s="3">
        <v>0.2722569444444444</v>
      </c>
      <c r="D7701" s="1">
        <v>12.539738</v>
      </c>
      <c r="E7701" s="1">
        <v>79.904275</v>
      </c>
      <c r="F7701" s="1">
        <v>2846.0</v>
      </c>
      <c r="G7701" s="1">
        <v>57.0</v>
      </c>
    </row>
    <row r="7702">
      <c r="A7702" s="1" t="s">
        <v>7</v>
      </c>
      <c r="B7702" s="2">
        <v>44735.0</v>
      </c>
      <c r="C7702" s="3">
        <v>0.2742824074074074</v>
      </c>
      <c r="D7702" s="1">
        <v>12.520832</v>
      </c>
      <c r="E7702" s="1">
        <v>79.894423</v>
      </c>
      <c r="F7702" s="1">
        <v>2846.0</v>
      </c>
      <c r="G7702" s="1">
        <v>53.0</v>
      </c>
    </row>
    <row r="7703">
      <c r="A7703" s="1" t="s">
        <v>7</v>
      </c>
      <c r="B7703" s="2">
        <v>44735.0</v>
      </c>
      <c r="C7703" s="3">
        <v>0.274849537037037</v>
      </c>
      <c r="D7703" s="1">
        <v>12.517085</v>
      </c>
      <c r="E7703" s="1">
        <v>79.890578</v>
      </c>
      <c r="F7703" s="1">
        <v>2846.0</v>
      </c>
      <c r="G7703" s="1">
        <v>54.0</v>
      </c>
    </row>
    <row r="7704">
      <c r="A7704" s="1" t="s">
        <v>10</v>
      </c>
      <c r="B7704" s="2">
        <v>44735.0</v>
      </c>
      <c r="C7704" s="3">
        <v>0.29217592592592595</v>
      </c>
      <c r="D7704" s="1">
        <v>12.508772</v>
      </c>
      <c r="E7704" s="1">
        <v>79.883273</v>
      </c>
      <c r="F7704" s="1">
        <v>2846.0</v>
      </c>
      <c r="G7704" s="1">
        <v>24.0</v>
      </c>
    </row>
    <row r="7705">
      <c r="A7705" s="1" t="s">
        <v>10</v>
      </c>
      <c r="B7705" s="2">
        <v>44735.0</v>
      </c>
      <c r="C7705" s="3">
        <v>0.29685185185185187</v>
      </c>
      <c r="D7705" s="1">
        <v>13.062056</v>
      </c>
      <c r="E7705" s="1">
        <v>80.247614</v>
      </c>
      <c r="F7705" s="1">
        <v>5339.0</v>
      </c>
      <c r="G7705" s="1">
        <v>26.0</v>
      </c>
    </row>
    <row r="7706">
      <c r="A7706" s="1" t="s">
        <v>8</v>
      </c>
      <c r="B7706" s="2">
        <v>44735.0</v>
      </c>
      <c r="C7706" s="3">
        <v>0.2972337962962963</v>
      </c>
      <c r="D7706" s="1">
        <v>13.061983</v>
      </c>
      <c r="E7706" s="1">
        <v>80.245786</v>
      </c>
      <c r="F7706" s="1">
        <v>5339.0</v>
      </c>
      <c r="G7706" s="1">
        <v>42.0</v>
      </c>
    </row>
    <row r="7707">
      <c r="A7707" s="1" t="s">
        <v>8</v>
      </c>
      <c r="B7707" s="2">
        <v>44735.0</v>
      </c>
      <c r="C7707" s="3">
        <v>0.29736111111111113</v>
      </c>
      <c r="D7707" s="1">
        <v>13.063237</v>
      </c>
      <c r="E7707" s="1">
        <v>80.244278</v>
      </c>
      <c r="F7707" s="1">
        <v>5339.0</v>
      </c>
      <c r="G7707" s="1">
        <v>37.0</v>
      </c>
    </row>
    <row r="7708">
      <c r="A7708" s="1" t="s">
        <v>10</v>
      </c>
      <c r="B7708" s="2">
        <v>44735.0</v>
      </c>
      <c r="C7708" s="3">
        <v>0.3027314814814815</v>
      </c>
      <c r="D7708" s="1">
        <v>13.071859</v>
      </c>
      <c r="E7708" s="1">
        <v>80.264321</v>
      </c>
      <c r="F7708" s="1">
        <v>5339.0</v>
      </c>
      <c r="G7708" s="1">
        <v>24.0</v>
      </c>
    </row>
    <row r="7709">
      <c r="A7709" s="1" t="s">
        <v>10</v>
      </c>
      <c r="B7709" s="2">
        <v>44735.0</v>
      </c>
      <c r="C7709" s="3">
        <v>0.3029050925925926</v>
      </c>
      <c r="D7709" s="1">
        <v>13.071159</v>
      </c>
      <c r="E7709" s="1">
        <v>80.265088</v>
      </c>
      <c r="F7709" s="1">
        <v>5339.0</v>
      </c>
      <c r="G7709" s="1">
        <v>0.0</v>
      </c>
    </row>
    <row r="7710">
      <c r="A7710" s="1" t="s">
        <v>10</v>
      </c>
      <c r="B7710" s="2">
        <v>44735.0</v>
      </c>
      <c r="C7710" s="3">
        <v>0.30493055555555554</v>
      </c>
      <c r="D7710" s="1">
        <v>13.066903</v>
      </c>
      <c r="E7710" s="1">
        <v>80.273653</v>
      </c>
      <c r="F7710" s="1">
        <v>5339.0</v>
      </c>
      <c r="G7710" s="1">
        <v>18.0</v>
      </c>
    </row>
    <row r="7711">
      <c r="A7711" s="1" t="s">
        <v>10</v>
      </c>
      <c r="B7711" s="2">
        <v>44735.0</v>
      </c>
      <c r="C7711" s="3">
        <v>0.30778935185185186</v>
      </c>
      <c r="D7711" s="1">
        <v>13.056381</v>
      </c>
      <c r="E7711" s="1">
        <v>80.27394</v>
      </c>
      <c r="F7711" s="1">
        <v>5339.0</v>
      </c>
      <c r="G7711" s="1">
        <v>29.0</v>
      </c>
    </row>
    <row r="7712">
      <c r="A7712" s="1" t="s">
        <v>10</v>
      </c>
      <c r="B7712" s="2">
        <v>44735.0</v>
      </c>
      <c r="C7712" s="3">
        <v>0.30791666666666667</v>
      </c>
      <c r="D7712" s="1">
        <v>13.05579</v>
      </c>
      <c r="E7712" s="1">
        <v>80.27391</v>
      </c>
      <c r="F7712" s="1">
        <v>5339.0</v>
      </c>
      <c r="G7712" s="1">
        <v>9.0</v>
      </c>
    </row>
    <row r="7713">
      <c r="A7713" s="1" t="s">
        <v>10</v>
      </c>
      <c r="B7713" s="2">
        <v>44735.0</v>
      </c>
      <c r="C7713" s="3">
        <v>0.3098958333333333</v>
      </c>
      <c r="D7713" s="1">
        <v>13.053362</v>
      </c>
      <c r="E7713" s="1">
        <v>80.269458</v>
      </c>
      <c r="F7713" s="1">
        <v>5339.0</v>
      </c>
      <c r="G7713" s="1">
        <v>22.0</v>
      </c>
    </row>
    <row r="7714">
      <c r="A7714" s="1" t="s">
        <v>8</v>
      </c>
      <c r="B7714" s="2">
        <v>44735.0</v>
      </c>
      <c r="C7714" s="3">
        <v>0.31188657407407405</v>
      </c>
      <c r="D7714" s="1">
        <v>13.054225</v>
      </c>
      <c r="E7714" s="1">
        <v>80.260157</v>
      </c>
      <c r="F7714" s="1">
        <v>5339.0</v>
      </c>
      <c r="G7714" s="1">
        <v>39.0</v>
      </c>
    </row>
    <row r="7715">
      <c r="A7715" s="1" t="s">
        <v>8</v>
      </c>
      <c r="B7715" s="2">
        <v>44735.0</v>
      </c>
      <c r="C7715" s="3">
        <v>0.31199074074074074</v>
      </c>
      <c r="D7715" s="1">
        <v>13.054308</v>
      </c>
      <c r="E7715" s="1">
        <v>80.259105</v>
      </c>
      <c r="F7715" s="1">
        <v>5339.0</v>
      </c>
      <c r="G7715" s="1">
        <v>39.0</v>
      </c>
    </row>
    <row r="7716">
      <c r="A7716" s="1" t="s">
        <v>8</v>
      </c>
      <c r="B7716" s="2">
        <v>44735.0</v>
      </c>
      <c r="C7716" s="3">
        <v>0.31225694444444446</v>
      </c>
      <c r="D7716" s="1">
        <v>13.054601</v>
      </c>
      <c r="E7716" s="1">
        <v>80.255806</v>
      </c>
      <c r="F7716" s="1">
        <v>5339.0</v>
      </c>
      <c r="G7716" s="1">
        <v>49.0</v>
      </c>
    </row>
    <row r="7717">
      <c r="A7717" s="1" t="s">
        <v>8</v>
      </c>
      <c r="B7717" s="2">
        <v>44735.0</v>
      </c>
      <c r="C7717" s="3">
        <v>0.31310185185185185</v>
      </c>
      <c r="D7717" s="1">
        <v>13.052152</v>
      </c>
      <c r="E7717" s="1">
        <v>80.250779</v>
      </c>
      <c r="F7717" s="1">
        <v>5339.0</v>
      </c>
      <c r="G7717" s="1">
        <v>43.0</v>
      </c>
    </row>
    <row r="7718">
      <c r="A7718" s="1" t="s">
        <v>7</v>
      </c>
      <c r="B7718" s="2">
        <v>44735.0</v>
      </c>
      <c r="C7718" s="3">
        <v>0.3131712962962963</v>
      </c>
      <c r="D7718" s="1">
        <v>12.664939</v>
      </c>
      <c r="E7718" s="1">
        <v>79.969022</v>
      </c>
      <c r="F7718" s="1">
        <v>2846.0</v>
      </c>
      <c r="G7718" s="1">
        <v>54.0</v>
      </c>
    </row>
    <row r="7719">
      <c r="A7719" s="1" t="s">
        <v>8</v>
      </c>
      <c r="B7719" s="2">
        <v>44735.0</v>
      </c>
      <c r="C7719" s="3">
        <v>0.31324074074074076</v>
      </c>
      <c r="D7719" s="1">
        <v>13.052152</v>
      </c>
      <c r="E7719" s="1">
        <v>80.250779</v>
      </c>
      <c r="F7719" s="1">
        <v>5339.0</v>
      </c>
      <c r="G7719" s="1">
        <v>43.0</v>
      </c>
    </row>
    <row r="7720">
      <c r="A7720" s="1" t="s">
        <v>8</v>
      </c>
      <c r="B7720" s="2">
        <v>44735.0</v>
      </c>
      <c r="C7720" s="3">
        <v>0.3134490740740741</v>
      </c>
      <c r="D7720" s="1">
        <v>13.048207</v>
      </c>
      <c r="E7720" s="1">
        <v>80.249489</v>
      </c>
      <c r="F7720" s="1">
        <v>5339.0</v>
      </c>
      <c r="G7720" s="1">
        <v>38.0</v>
      </c>
    </row>
    <row r="7721">
      <c r="A7721" s="1" t="s">
        <v>7</v>
      </c>
      <c r="B7721" s="2">
        <v>44735.0</v>
      </c>
      <c r="C7721" s="3">
        <v>0.31346064814814817</v>
      </c>
      <c r="D7721" s="1">
        <v>12.664939</v>
      </c>
      <c r="E7721" s="1">
        <v>79.969022</v>
      </c>
      <c r="F7721" s="1">
        <v>2846.0</v>
      </c>
      <c r="G7721" s="1">
        <v>54.0</v>
      </c>
    </row>
    <row r="7722">
      <c r="A7722" s="1" t="s">
        <v>7</v>
      </c>
      <c r="B7722" s="2">
        <v>44735.0</v>
      </c>
      <c r="C7722" s="3">
        <v>0.31351851851851853</v>
      </c>
      <c r="D7722" s="1">
        <v>13.048207</v>
      </c>
      <c r="E7722" s="1">
        <v>80.249489</v>
      </c>
      <c r="F7722" s="1">
        <v>5339.0</v>
      </c>
      <c r="G7722" s="1">
        <v>38.0</v>
      </c>
    </row>
    <row r="7723">
      <c r="A7723" s="1" t="s">
        <v>7</v>
      </c>
      <c r="B7723" s="2">
        <v>44735.0</v>
      </c>
      <c r="C7723" s="3">
        <v>0.3137037037037037</v>
      </c>
      <c r="D7723" s="1">
        <v>12.669616</v>
      </c>
      <c r="E7723" s="1">
        <v>79.974691</v>
      </c>
      <c r="F7723" s="1">
        <v>2846.0</v>
      </c>
      <c r="G7723" s="1">
        <v>54.0</v>
      </c>
    </row>
    <row r="7724">
      <c r="A7724" s="1" t="s">
        <v>7</v>
      </c>
      <c r="B7724" s="2">
        <v>44735.0</v>
      </c>
      <c r="C7724" s="3">
        <v>0.3147685185185185</v>
      </c>
      <c r="D7724" s="1">
        <v>13.040619</v>
      </c>
      <c r="E7724" s="1">
        <v>80.247257</v>
      </c>
      <c r="F7724" s="1">
        <v>5339.0</v>
      </c>
      <c r="G7724" s="1">
        <v>61.0</v>
      </c>
    </row>
    <row r="7725">
      <c r="A7725" s="1" t="s">
        <v>9</v>
      </c>
      <c r="B7725" s="2">
        <v>44735.0</v>
      </c>
      <c r="C7725" s="3">
        <v>0.3181597222222222</v>
      </c>
      <c r="D7725" s="1">
        <v>13.024176</v>
      </c>
      <c r="E7725" s="1">
        <v>80.228454</v>
      </c>
      <c r="F7725" s="1">
        <v>5339.0</v>
      </c>
      <c r="G7725" s="1">
        <v>28.0</v>
      </c>
    </row>
    <row r="7726">
      <c r="A7726" s="1" t="s">
        <v>9</v>
      </c>
      <c r="B7726" s="2">
        <v>44735.0</v>
      </c>
      <c r="C7726" s="3">
        <v>0.31828703703703703</v>
      </c>
      <c r="D7726" s="1">
        <v>13.023617</v>
      </c>
      <c r="E7726" s="1">
        <v>80.227768</v>
      </c>
      <c r="F7726" s="1">
        <v>5339.0</v>
      </c>
      <c r="G7726" s="1">
        <v>37.0</v>
      </c>
    </row>
    <row r="7727">
      <c r="A7727" s="1" t="s">
        <v>8</v>
      </c>
      <c r="B7727" s="2">
        <v>44735.0</v>
      </c>
      <c r="C7727" s="3">
        <v>0.31840277777777776</v>
      </c>
      <c r="D7727" s="1">
        <v>12.689053</v>
      </c>
      <c r="E7727" s="1">
        <v>79.982444</v>
      </c>
      <c r="F7727" s="1">
        <v>2846.0</v>
      </c>
      <c r="G7727" s="1">
        <v>31.0</v>
      </c>
    </row>
    <row r="7728">
      <c r="A7728" s="1" t="s">
        <v>8</v>
      </c>
      <c r="B7728" s="2">
        <v>44735.0</v>
      </c>
      <c r="C7728" s="3">
        <v>0.3191203703703704</v>
      </c>
      <c r="D7728" s="1">
        <v>13.019992</v>
      </c>
      <c r="E7728" s="1">
        <v>80.22482</v>
      </c>
      <c r="F7728" s="1">
        <v>5339.0</v>
      </c>
      <c r="G7728" s="1">
        <v>20.0</v>
      </c>
    </row>
    <row r="7729">
      <c r="A7729" s="1" t="s">
        <v>8</v>
      </c>
      <c r="B7729" s="2">
        <v>44735.0</v>
      </c>
      <c r="C7729" s="3">
        <v>0.31935185185185183</v>
      </c>
      <c r="D7729" s="1">
        <v>13.018515</v>
      </c>
      <c r="E7729" s="1">
        <v>80.224638</v>
      </c>
      <c r="F7729" s="1">
        <v>5339.0</v>
      </c>
      <c r="G7729" s="1">
        <v>38.0</v>
      </c>
    </row>
    <row r="7730">
      <c r="A7730" s="1" t="s">
        <v>8</v>
      </c>
      <c r="B7730" s="2">
        <v>44735.0</v>
      </c>
      <c r="C7730" s="3">
        <v>0.3195949074074074</v>
      </c>
      <c r="D7730" s="1">
        <v>13.016495</v>
      </c>
      <c r="E7730" s="1">
        <v>80.225453</v>
      </c>
      <c r="F7730" s="1">
        <v>5339.0</v>
      </c>
      <c r="G7730" s="1">
        <v>41.0</v>
      </c>
    </row>
    <row r="7731">
      <c r="A7731" s="1" t="s">
        <v>10</v>
      </c>
      <c r="B7731" s="2">
        <v>44735.0</v>
      </c>
      <c r="C7731" s="3">
        <v>0.3200462962962963</v>
      </c>
      <c r="D7731" s="1">
        <v>12.690311</v>
      </c>
      <c r="E7731" s="1">
        <v>79.980581</v>
      </c>
      <c r="F7731" s="1">
        <v>2846.0</v>
      </c>
      <c r="G7731" s="1">
        <v>7.0</v>
      </c>
    </row>
    <row r="7732">
      <c r="A7732" s="1" t="s">
        <v>7</v>
      </c>
      <c r="B7732" s="2">
        <v>44735.0</v>
      </c>
      <c r="C7732" s="3">
        <v>0.3203009259259259</v>
      </c>
      <c r="D7732" s="1">
        <v>13.01428</v>
      </c>
      <c r="E7732" s="1">
        <v>80.226318</v>
      </c>
      <c r="F7732" s="1">
        <v>5339.0</v>
      </c>
      <c r="G7732" s="1">
        <v>37.0</v>
      </c>
    </row>
    <row r="7733">
      <c r="A7733" s="1" t="s">
        <v>10</v>
      </c>
      <c r="B7733" s="2">
        <v>44735.0</v>
      </c>
      <c r="C7733" s="3">
        <v>0.3203125</v>
      </c>
      <c r="D7733" s="1">
        <v>12.691094</v>
      </c>
      <c r="E7733" s="1">
        <v>79.980738</v>
      </c>
      <c r="F7733" s="1">
        <v>2846.0</v>
      </c>
      <c r="G7733" s="1">
        <v>9.0</v>
      </c>
    </row>
    <row r="7734">
      <c r="A7734" s="1" t="s">
        <v>10</v>
      </c>
      <c r="B7734" s="2">
        <v>44735.0</v>
      </c>
      <c r="C7734" s="3">
        <v>0.3209722222222222</v>
      </c>
      <c r="D7734" s="1">
        <v>12.693739</v>
      </c>
      <c r="E7734" s="1">
        <v>79.979194</v>
      </c>
      <c r="F7734" s="1">
        <v>2846.0</v>
      </c>
      <c r="G7734" s="1">
        <v>20.0</v>
      </c>
    </row>
    <row r="7735">
      <c r="A7735" s="1" t="s">
        <v>8</v>
      </c>
      <c r="B7735" s="2">
        <v>44735.0</v>
      </c>
      <c r="C7735" s="3">
        <v>0.32100694444444444</v>
      </c>
      <c r="D7735" s="1">
        <v>13.010175</v>
      </c>
      <c r="E7735" s="1">
        <v>80.226103</v>
      </c>
      <c r="F7735" s="1">
        <v>5339.0</v>
      </c>
      <c r="G7735" s="1">
        <v>44.0</v>
      </c>
    </row>
    <row r="7736">
      <c r="A7736" s="1" t="s">
        <v>8</v>
      </c>
      <c r="B7736" s="2">
        <v>44735.0</v>
      </c>
      <c r="C7736" s="3">
        <v>0.32144675925925925</v>
      </c>
      <c r="D7736" s="1">
        <v>13.011485</v>
      </c>
      <c r="E7736" s="1">
        <v>80.223061</v>
      </c>
      <c r="F7736" s="1">
        <v>5339.0</v>
      </c>
      <c r="G7736" s="1">
        <v>26.0</v>
      </c>
    </row>
    <row r="7737">
      <c r="A7737" s="1" t="s">
        <v>8</v>
      </c>
      <c r="B7737" s="2">
        <v>44735.0</v>
      </c>
      <c r="C7737" s="3">
        <v>0.3215046296296296</v>
      </c>
      <c r="D7737" s="1">
        <v>13.011485</v>
      </c>
      <c r="E7737" s="1">
        <v>80.223061</v>
      </c>
      <c r="F7737" s="1">
        <v>5339.0</v>
      </c>
      <c r="G7737" s="1">
        <v>26.0</v>
      </c>
    </row>
    <row r="7738">
      <c r="A7738" s="1" t="s">
        <v>8</v>
      </c>
      <c r="B7738" s="2">
        <v>44735.0</v>
      </c>
      <c r="C7738" s="3">
        <v>0.3215277777777778</v>
      </c>
      <c r="D7738" s="1">
        <v>13.011787</v>
      </c>
      <c r="E7738" s="1">
        <v>80.222222</v>
      </c>
      <c r="F7738" s="1">
        <v>5339.0</v>
      </c>
      <c r="G7738" s="1">
        <v>43.0</v>
      </c>
    </row>
    <row r="7739">
      <c r="A7739" s="1" t="s">
        <v>8</v>
      </c>
      <c r="B7739" s="2">
        <v>44735.0</v>
      </c>
      <c r="C7739" s="3">
        <v>0.321724537037037</v>
      </c>
      <c r="D7739" s="1">
        <v>13.011787</v>
      </c>
      <c r="E7739" s="1">
        <v>80.222222</v>
      </c>
      <c r="F7739" s="1">
        <v>5339.0</v>
      </c>
      <c r="G7739" s="1">
        <v>43.0</v>
      </c>
    </row>
    <row r="7740">
      <c r="A7740" s="1" t="s">
        <v>8</v>
      </c>
      <c r="B7740" s="2">
        <v>44735.0</v>
      </c>
      <c r="C7740" s="3">
        <v>0.32177083333333334</v>
      </c>
      <c r="D7740" s="1">
        <v>13.011921</v>
      </c>
      <c r="E7740" s="1">
        <v>80.220224</v>
      </c>
      <c r="F7740" s="1">
        <v>5339.0</v>
      </c>
      <c r="G7740" s="1">
        <v>46.0</v>
      </c>
    </row>
    <row r="7741">
      <c r="A7741" s="1" t="s">
        <v>7</v>
      </c>
      <c r="B7741" s="2">
        <v>44735.0</v>
      </c>
      <c r="C7741" s="3">
        <v>0.32252314814814814</v>
      </c>
      <c r="D7741" s="1">
        <v>13.009151</v>
      </c>
      <c r="E7741" s="1">
        <v>80.212325</v>
      </c>
      <c r="F7741" s="1">
        <v>5339.0</v>
      </c>
      <c r="G7741" s="1">
        <v>60.0</v>
      </c>
    </row>
    <row r="7742">
      <c r="A7742" s="1" t="s">
        <v>7</v>
      </c>
      <c r="B7742" s="2">
        <v>44735.0</v>
      </c>
      <c r="C7742" s="3">
        <v>0.3226851851851852</v>
      </c>
      <c r="D7742" s="1">
        <v>13.008217</v>
      </c>
      <c r="E7742" s="1">
        <v>80.209716</v>
      </c>
      <c r="F7742" s="1">
        <v>5339.0</v>
      </c>
      <c r="G7742" s="1">
        <v>60.0</v>
      </c>
    </row>
    <row r="7743">
      <c r="A7743" s="1" t="s">
        <v>8</v>
      </c>
      <c r="B7743" s="2">
        <v>44735.0</v>
      </c>
      <c r="C7743" s="3">
        <v>0.3228240740740741</v>
      </c>
      <c r="D7743" s="1">
        <v>13.007932</v>
      </c>
      <c r="E7743" s="1">
        <v>80.208242</v>
      </c>
      <c r="F7743" s="1">
        <v>5339.0</v>
      </c>
      <c r="G7743" s="1">
        <v>58.0</v>
      </c>
    </row>
    <row r="7744">
      <c r="A7744" s="1" t="s">
        <v>10</v>
      </c>
      <c r="B7744" s="2">
        <v>44735.0</v>
      </c>
      <c r="C7744" s="3">
        <v>0.32349537037037035</v>
      </c>
      <c r="D7744" s="1">
        <v>12.697254</v>
      </c>
      <c r="E7744" s="1">
        <v>79.972346</v>
      </c>
      <c r="F7744" s="1">
        <v>2846.0</v>
      </c>
      <c r="G7744" s="1">
        <v>9.0</v>
      </c>
    </row>
    <row r="7745">
      <c r="A7745" s="1" t="s">
        <v>8</v>
      </c>
      <c r="B7745" s="2">
        <v>44735.0</v>
      </c>
      <c r="C7745" s="3">
        <v>0.32363425925925926</v>
      </c>
      <c r="D7745" s="1">
        <v>13.00515</v>
      </c>
      <c r="E7745" s="1">
        <v>80.201654</v>
      </c>
      <c r="F7745" s="1">
        <v>5339.0</v>
      </c>
      <c r="G7745" s="1">
        <v>45.0</v>
      </c>
    </row>
    <row r="7746">
      <c r="A7746" s="1" t="s">
        <v>8</v>
      </c>
      <c r="B7746" s="2">
        <v>44735.0</v>
      </c>
      <c r="C7746" s="3">
        <v>0.3237615740740741</v>
      </c>
      <c r="D7746" s="1">
        <v>13.002909</v>
      </c>
      <c r="E7746" s="1">
        <v>80.200773</v>
      </c>
      <c r="F7746" s="1">
        <v>5339.0</v>
      </c>
      <c r="G7746" s="1">
        <v>43.0</v>
      </c>
    </row>
    <row r="7747">
      <c r="A7747" s="1" t="s">
        <v>8</v>
      </c>
      <c r="B7747" s="2">
        <v>44735.0</v>
      </c>
      <c r="C7747" s="3">
        <v>0.32436342592592593</v>
      </c>
      <c r="D7747" s="1">
        <v>13.001207</v>
      </c>
      <c r="E7747" s="1">
        <v>80.195777</v>
      </c>
      <c r="F7747" s="1">
        <v>5339.0</v>
      </c>
      <c r="G7747" s="1">
        <v>47.0</v>
      </c>
    </row>
    <row r="7748">
      <c r="A7748" s="1" t="s">
        <v>8</v>
      </c>
      <c r="B7748" s="2">
        <v>44735.0</v>
      </c>
      <c r="C7748" s="3">
        <v>0.3247337962962963</v>
      </c>
      <c r="D7748" s="1">
        <v>12.698852</v>
      </c>
      <c r="E7748" s="1">
        <v>79.969922</v>
      </c>
      <c r="F7748" s="1">
        <v>2846.0</v>
      </c>
      <c r="G7748" s="1">
        <v>18.0</v>
      </c>
    </row>
    <row r="7749">
      <c r="A7749" s="1" t="s">
        <v>7</v>
      </c>
      <c r="B7749" s="2">
        <v>44735.0</v>
      </c>
      <c r="C7749" s="3">
        <v>0.3247453703703704</v>
      </c>
      <c r="D7749" s="1">
        <v>12.999702</v>
      </c>
      <c r="E7749" s="1">
        <v>80.193815</v>
      </c>
      <c r="F7749" s="1">
        <v>5339.0</v>
      </c>
      <c r="G7749" s="1">
        <v>42.0</v>
      </c>
    </row>
    <row r="7750">
      <c r="A7750" s="1" t="s">
        <v>8</v>
      </c>
      <c r="B7750" s="2">
        <v>44735.0</v>
      </c>
      <c r="C7750" s="3">
        <v>0.3247800925925926</v>
      </c>
      <c r="D7750" s="1">
        <v>12.698852</v>
      </c>
      <c r="E7750" s="1">
        <v>79.969922</v>
      </c>
      <c r="F7750" s="1">
        <v>2846.0</v>
      </c>
      <c r="G7750" s="1">
        <v>18.0</v>
      </c>
    </row>
    <row r="7751">
      <c r="A7751" s="1" t="s">
        <v>8</v>
      </c>
      <c r="B7751" s="2">
        <v>44735.0</v>
      </c>
      <c r="C7751" s="3">
        <v>0.3253240740740741</v>
      </c>
      <c r="D7751" s="1">
        <v>12.998194</v>
      </c>
      <c r="E7751" s="1">
        <v>80.191929</v>
      </c>
      <c r="F7751" s="1">
        <v>5339.0</v>
      </c>
      <c r="G7751" s="1">
        <v>48.0</v>
      </c>
    </row>
    <row r="7752">
      <c r="A7752" s="1" t="s">
        <v>7</v>
      </c>
      <c r="B7752" s="2">
        <v>44735.0</v>
      </c>
      <c r="C7752" s="3">
        <v>0.3254282407407407</v>
      </c>
      <c r="D7752" s="1">
        <v>12.705568</v>
      </c>
      <c r="E7752" s="1">
        <v>79.974482</v>
      </c>
      <c r="F7752" s="1">
        <v>2846.0</v>
      </c>
      <c r="G7752" s="1">
        <v>57.0</v>
      </c>
    </row>
    <row r="7753">
      <c r="A7753" s="1" t="s">
        <v>8</v>
      </c>
      <c r="B7753" s="2">
        <v>44735.0</v>
      </c>
      <c r="C7753" s="3">
        <v>0.32592592592592595</v>
      </c>
      <c r="D7753" s="1">
        <v>12.993072</v>
      </c>
      <c r="E7753" s="1">
        <v>80.183904</v>
      </c>
      <c r="F7753" s="1">
        <v>5339.0</v>
      </c>
      <c r="G7753" s="1">
        <v>48.0</v>
      </c>
    </row>
    <row r="7754">
      <c r="A7754" s="1" t="s">
        <v>8</v>
      </c>
      <c r="B7754" s="2">
        <v>44735.0</v>
      </c>
      <c r="C7754" s="3">
        <v>0.32592592592592595</v>
      </c>
      <c r="D7754" s="1">
        <v>12.709813</v>
      </c>
      <c r="E7754" s="1">
        <v>79.977738</v>
      </c>
      <c r="F7754" s="1">
        <v>2846.0</v>
      </c>
      <c r="G7754" s="1">
        <v>38.0</v>
      </c>
    </row>
    <row r="7755">
      <c r="A7755" s="1" t="s">
        <v>8</v>
      </c>
      <c r="B7755" s="2">
        <v>44735.0</v>
      </c>
      <c r="C7755" s="3">
        <v>0.32611111111111113</v>
      </c>
      <c r="D7755" s="1">
        <v>12.992459</v>
      </c>
      <c r="E7755" s="1">
        <v>80.182908</v>
      </c>
      <c r="F7755" s="1">
        <v>5339.0</v>
      </c>
      <c r="G7755" s="1">
        <v>43.0</v>
      </c>
    </row>
    <row r="7756">
      <c r="A7756" s="1" t="s">
        <v>7</v>
      </c>
      <c r="B7756" s="2">
        <v>44735.0</v>
      </c>
      <c r="C7756" s="3">
        <v>0.326400462962963</v>
      </c>
      <c r="D7756" s="1">
        <v>12.710701</v>
      </c>
      <c r="E7756" s="1">
        <v>79.978281</v>
      </c>
      <c r="F7756" s="1">
        <v>2846.0</v>
      </c>
      <c r="G7756" s="1">
        <v>42.0</v>
      </c>
    </row>
    <row r="7757">
      <c r="A7757" s="1" t="s">
        <v>8</v>
      </c>
      <c r="B7757" s="2">
        <v>44735.0</v>
      </c>
      <c r="C7757" s="3">
        <v>0.326400462962963</v>
      </c>
      <c r="D7757" s="1">
        <v>12.990261</v>
      </c>
      <c r="E7757" s="1">
        <v>80.179997</v>
      </c>
      <c r="F7757" s="1">
        <v>5339.0</v>
      </c>
      <c r="G7757" s="1">
        <v>47.0</v>
      </c>
    </row>
    <row r="7758">
      <c r="A7758" s="1" t="s">
        <v>8</v>
      </c>
      <c r="B7758" s="2">
        <v>44735.0</v>
      </c>
      <c r="C7758" s="3">
        <v>0.3264930555555556</v>
      </c>
      <c r="D7758" s="1">
        <v>12.990261</v>
      </c>
      <c r="E7758" s="1">
        <v>80.179997</v>
      </c>
      <c r="F7758" s="1">
        <v>5339.0</v>
      </c>
      <c r="G7758" s="1">
        <v>47.0</v>
      </c>
    </row>
    <row r="7759">
      <c r="A7759" s="1" t="s">
        <v>8</v>
      </c>
      <c r="B7759" s="2">
        <v>44735.0</v>
      </c>
      <c r="C7759" s="3">
        <v>0.3266203703703704</v>
      </c>
      <c r="D7759" s="1">
        <v>12.988882</v>
      </c>
      <c r="E7759" s="1">
        <v>80.178305</v>
      </c>
      <c r="F7759" s="1">
        <v>5339.0</v>
      </c>
      <c r="G7759" s="1">
        <v>41.0</v>
      </c>
    </row>
    <row r="7760">
      <c r="A7760" s="1" t="s">
        <v>7</v>
      </c>
      <c r="B7760" s="2">
        <v>44735.0</v>
      </c>
      <c r="C7760" s="3">
        <v>0.3268402777777778</v>
      </c>
      <c r="D7760" s="1">
        <v>12.718164</v>
      </c>
      <c r="E7760" s="1">
        <v>79.980887</v>
      </c>
      <c r="F7760" s="1">
        <v>2846.0</v>
      </c>
      <c r="G7760" s="1">
        <v>57.0</v>
      </c>
    </row>
    <row r="7761">
      <c r="A7761" s="1" t="s">
        <v>8</v>
      </c>
      <c r="B7761" s="2">
        <v>44735.0</v>
      </c>
      <c r="C7761" s="3">
        <v>0.32753472222222224</v>
      </c>
      <c r="D7761" s="1">
        <v>12.98636</v>
      </c>
      <c r="E7761" s="1">
        <v>80.174768</v>
      </c>
      <c r="F7761" s="1">
        <v>5339.0</v>
      </c>
      <c r="G7761" s="1">
        <v>23.0</v>
      </c>
    </row>
    <row r="7762">
      <c r="A7762" s="1" t="s">
        <v>7</v>
      </c>
      <c r="B7762" s="2">
        <v>44735.0</v>
      </c>
      <c r="C7762" s="3">
        <v>0.3277893518518519</v>
      </c>
      <c r="D7762" s="1">
        <v>12.984611</v>
      </c>
      <c r="E7762" s="1">
        <v>80.172163</v>
      </c>
      <c r="F7762" s="1">
        <v>5339.0</v>
      </c>
      <c r="G7762" s="1">
        <v>50.0</v>
      </c>
    </row>
    <row r="7763">
      <c r="A7763" s="1" t="s">
        <v>8</v>
      </c>
      <c r="B7763" s="2">
        <v>44735.0</v>
      </c>
      <c r="C7763" s="3">
        <v>0.3279861111111111</v>
      </c>
      <c r="D7763" s="1">
        <v>12.724367</v>
      </c>
      <c r="E7763" s="1">
        <v>79.981668</v>
      </c>
      <c r="F7763" s="1">
        <v>2846.0</v>
      </c>
      <c r="G7763" s="1">
        <v>16.0</v>
      </c>
    </row>
    <row r="7764">
      <c r="A7764" s="1" t="s">
        <v>8</v>
      </c>
      <c r="B7764" s="2">
        <v>44735.0</v>
      </c>
      <c r="C7764" s="3">
        <v>0.32814814814814813</v>
      </c>
      <c r="D7764" s="1">
        <v>12.982422</v>
      </c>
      <c r="E7764" s="1">
        <v>80.16847</v>
      </c>
      <c r="F7764" s="1">
        <v>5339.0</v>
      </c>
      <c r="G7764" s="1">
        <v>53.0</v>
      </c>
    </row>
    <row r="7765">
      <c r="A7765" s="1" t="s">
        <v>7</v>
      </c>
      <c r="B7765" s="2">
        <v>44735.0</v>
      </c>
      <c r="C7765" s="3">
        <v>0.3281712962962963</v>
      </c>
      <c r="D7765" s="1">
        <v>12.982422</v>
      </c>
      <c r="E7765" s="1">
        <v>80.16847</v>
      </c>
      <c r="F7765" s="1">
        <v>5339.0</v>
      </c>
      <c r="G7765" s="1">
        <v>53.0</v>
      </c>
    </row>
    <row r="7766">
      <c r="A7766" s="1" t="s">
        <v>8</v>
      </c>
      <c r="B7766" s="2">
        <v>44735.0</v>
      </c>
      <c r="C7766" s="3">
        <v>0.3282523148148148</v>
      </c>
      <c r="D7766" s="1">
        <v>12.981664</v>
      </c>
      <c r="E7766" s="1">
        <v>80.167262</v>
      </c>
      <c r="F7766" s="1">
        <v>5339.0</v>
      </c>
      <c r="G7766" s="1">
        <v>54.0</v>
      </c>
    </row>
    <row r="7767">
      <c r="A7767" s="1" t="s">
        <v>7</v>
      </c>
      <c r="B7767" s="2">
        <v>44735.0</v>
      </c>
      <c r="C7767" s="3">
        <v>0.3283101851851852</v>
      </c>
      <c r="D7767" s="1">
        <v>12.981664</v>
      </c>
      <c r="E7767" s="1">
        <v>80.167262</v>
      </c>
      <c r="F7767" s="1">
        <v>5339.0</v>
      </c>
      <c r="G7767" s="1">
        <v>54.0</v>
      </c>
    </row>
    <row r="7768">
      <c r="A7768" s="1" t="s">
        <v>8</v>
      </c>
      <c r="B7768" s="2">
        <v>44735.0</v>
      </c>
      <c r="C7768" s="3">
        <v>0.3283564814814815</v>
      </c>
      <c r="D7768" s="1">
        <v>12.981664</v>
      </c>
      <c r="E7768" s="1">
        <v>80.167262</v>
      </c>
      <c r="F7768" s="1">
        <v>5339.0</v>
      </c>
      <c r="G7768" s="1">
        <v>54.0</v>
      </c>
    </row>
    <row r="7769">
      <c r="A7769" s="1" t="s">
        <v>8</v>
      </c>
      <c r="B7769" s="2">
        <v>44735.0</v>
      </c>
      <c r="C7769" s="3">
        <v>0.32849537037037035</v>
      </c>
      <c r="D7769" s="1">
        <v>12.980457</v>
      </c>
      <c r="E7769" s="1">
        <v>80.165062</v>
      </c>
      <c r="F7769" s="1">
        <v>5339.0</v>
      </c>
      <c r="G7769" s="1">
        <v>51.0</v>
      </c>
    </row>
    <row r="7770">
      <c r="A7770" s="1" t="s">
        <v>8</v>
      </c>
      <c r="B7770" s="2">
        <v>44735.0</v>
      </c>
      <c r="C7770" s="3">
        <v>0.3287037037037037</v>
      </c>
      <c r="D7770" s="1">
        <v>12.979586</v>
      </c>
      <c r="E7770" s="1">
        <v>80.162455</v>
      </c>
      <c r="F7770" s="1">
        <v>5339.0</v>
      </c>
      <c r="G7770" s="1">
        <v>53.0</v>
      </c>
    </row>
    <row r="7771">
      <c r="A7771" s="1" t="s">
        <v>8</v>
      </c>
      <c r="B7771" s="2">
        <v>44735.0</v>
      </c>
      <c r="C7771" s="3">
        <v>0.3287731481481482</v>
      </c>
      <c r="D7771" s="1">
        <v>12.979586</v>
      </c>
      <c r="E7771" s="1">
        <v>80.162455</v>
      </c>
      <c r="F7771" s="1">
        <v>5339.0</v>
      </c>
      <c r="G7771" s="1">
        <v>53.0</v>
      </c>
    </row>
    <row r="7772">
      <c r="A7772" s="1" t="s">
        <v>7</v>
      </c>
      <c r="B7772" s="2">
        <v>44735.0</v>
      </c>
      <c r="C7772" s="3">
        <v>0.32886574074074076</v>
      </c>
      <c r="D7772" s="1">
        <v>12.978836</v>
      </c>
      <c r="E7772" s="1">
        <v>80.161296</v>
      </c>
      <c r="F7772" s="1">
        <v>5339.0</v>
      </c>
      <c r="G7772" s="1">
        <v>51.0</v>
      </c>
    </row>
    <row r="7773">
      <c r="A7773" s="1" t="s">
        <v>8</v>
      </c>
      <c r="B7773" s="2">
        <v>44735.0</v>
      </c>
      <c r="C7773" s="3">
        <v>0.32913194444444444</v>
      </c>
      <c r="D7773" s="1">
        <v>12.977221</v>
      </c>
      <c r="E7773" s="1">
        <v>80.159043</v>
      </c>
      <c r="F7773" s="1">
        <v>5339.0</v>
      </c>
      <c r="G7773" s="1">
        <v>51.0</v>
      </c>
    </row>
    <row r="7774">
      <c r="A7774" s="1" t="s">
        <v>8</v>
      </c>
      <c r="B7774" s="2">
        <v>44735.0</v>
      </c>
      <c r="C7774" s="3">
        <v>0.3295601851851852</v>
      </c>
      <c r="D7774" s="1">
        <v>12.974471</v>
      </c>
      <c r="E7774" s="1">
        <v>80.154932</v>
      </c>
      <c r="F7774" s="1">
        <v>5339.0</v>
      </c>
      <c r="G7774" s="1">
        <v>27.0</v>
      </c>
    </row>
    <row r="7775">
      <c r="A7775" s="1" t="s">
        <v>8</v>
      </c>
      <c r="B7775" s="2">
        <v>44735.0</v>
      </c>
      <c r="C7775" s="3">
        <v>0.3297453703703704</v>
      </c>
      <c r="D7775" s="1">
        <v>12.973556</v>
      </c>
      <c r="E7775" s="1">
        <v>80.153578</v>
      </c>
      <c r="F7775" s="1">
        <v>5339.0</v>
      </c>
      <c r="G7775" s="1">
        <v>40.0</v>
      </c>
    </row>
    <row r="7776">
      <c r="A7776" s="1" t="s">
        <v>8</v>
      </c>
      <c r="B7776" s="2">
        <v>44735.0</v>
      </c>
      <c r="C7776" s="3">
        <v>0.3303935185185185</v>
      </c>
      <c r="D7776" s="1">
        <v>12.971444</v>
      </c>
      <c r="E7776" s="1">
        <v>80.151072</v>
      </c>
      <c r="F7776" s="1">
        <v>5339.0</v>
      </c>
      <c r="G7776" s="1">
        <v>30.0</v>
      </c>
    </row>
    <row r="7777">
      <c r="A7777" s="1" t="s">
        <v>7</v>
      </c>
      <c r="B7777" s="2">
        <v>44735.0</v>
      </c>
      <c r="C7777" s="3">
        <v>0.33056712962962964</v>
      </c>
      <c r="D7777" s="1">
        <v>12.745107</v>
      </c>
      <c r="E7777" s="1">
        <v>79.9938</v>
      </c>
      <c r="F7777" s="1">
        <v>2846.0</v>
      </c>
      <c r="G7777" s="1">
        <v>51.0</v>
      </c>
    </row>
    <row r="7778">
      <c r="A7778" s="1" t="s">
        <v>8</v>
      </c>
      <c r="B7778" s="2">
        <v>44735.0</v>
      </c>
      <c r="C7778" s="3">
        <v>0.33069444444444446</v>
      </c>
      <c r="D7778" s="1">
        <v>12.96939</v>
      </c>
      <c r="E7778" s="1">
        <v>80.150093</v>
      </c>
      <c r="F7778" s="1">
        <v>5339.0</v>
      </c>
      <c r="G7778" s="1">
        <v>45.0</v>
      </c>
    </row>
    <row r="7779">
      <c r="A7779" s="1" t="s">
        <v>7</v>
      </c>
      <c r="B7779" s="2">
        <v>44735.0</v>
      </c>
      <c r="C7779" s="3">
        <v>0.33145833333333335</v>
      </c>
      <c r="D7779" s="1">
        <v>12.755675</v>
      </c>
      <c r="E7779" s="1">
        <v>80.001597</v>
      </c>
      <c r="F7779" s="1">
        <v>2846.0</v>
      </c>
      <c r="G7779" s="1">
        <v>58.0</v>
      </c>
    </row>
    <row r="7780">
      <c r="A7780" s="1" t="s">
        <v>8</v>
      </c>
      <c r="B7780" s="2">
        <v>44735.0</v>
      </c>
      <c r="C7780" s="3">
        <v>0.33251157407407406</v>
      </c>
      <c r="D7780" s="1">
        <v>12.961573</v>
      </c>
      <c r="E7780" s="1">
        <v>80.146082</v>
      </c>
      <c r="F7780" s="1">
        <v>5339.0</v>
      </c>
      <c r="G7780" s="1">
        <v>33.0</v>
      </c>
    </row>
    <row r="7781">
      <c r="A7781" s="1" t="s">
        <v>8</v>
      </c>
      <c r="B7781" s="2">
        <v>44735.0</v>
      </c>
      <c r="C7781" s="3">
        <v>0.3325462962962963</v>
      </c>
      <c r="D7781" s="1">
        <v>12.960704</v>
      </c>
      <c r="E7781" s="1">
        <v>80.145607</v>
      </c>
      <c r="F7781" s="1">
        <v>5339.0</v>
      </c>
      <c r="G7781" s="1">
        <v>42.0</v>
      </c>
    </row>
    <row r="7782">
      <c r="A7782" s="1" t="s">
        <v>8</v>
      </c>
      <c r="B7782" s="2">
        <v>44735.0</v>
      </c>
      <c r="C7782" s="3">
        <v>0.33275462962962965</v>
      </c>
      <c r="D7782" s="1">
        <v>12.958878</v>
      </c>
      <c r="E7782" s="1">
        <v>80.144613</v>
      </c>
      <c r="F7782" s="1">
        <v>5339.0</v>
      </c>
      <c r="G7782" s="1">
        <v>41.0</v>
      </c>
    </row>
    <row r="7783">
      <c r="A7783" s="1" t="s">
        <v>8</v>
      </c>
      <c r="B7783" s="2">
        <v>44735.0</v>
      </c>
      <c r="C7783" s="3">
        <v>0.3329166666666667</v>
      </c>
      <c r="D7783" s="1">
        <v>12.958051</v>
      </c>
      <c r="E7783" s="1">
        <v>80.144172</v>
      </c>
      <c r="F7783" s="1">
        <v>5339.0</v>
      </c>
      <c r="G7783" s="1">
        <v>30.0</v>
      </c>
    </row>
    <row r="7784">
      <c r="A7784" s="1" t="s">
        <v>8</v>
      </c>
      <c r="B7784" s="2">
        <v>44735.0</v>
      </c>
      <c r="C7784" s="3">
        <v>0.3329166666666667</v>
      </c>
      <c r="D7784" s="1">
        <v>12.958878</v>
      </c>
      <c r="E7784" s="1">
        <v>80.144613</v>
      </c>
      <c r="F7784" s="1">
        <v>5339.0</v>
      </c>
      <c r="G7784" s="1">
        <v>41.0</v>
      </c>
    </row>
    <row r="7785">
      <c r="A7785" s="1" t="s">
        <v>7</v>
      </c>
      <c r="B7785" s="2">
        <v>44735.0</v>
      </c>
      <c r="C7785" s="3">
        <v>0.3333564814814815</v>
      </c>
      <c r="D7785" s="1">
        <v>12.768481</v>
      </c>
      <c r="E7785" s="1">
        <v>80.006357</v>
      </c>
      <c r="F7785" s="1">
        <v>2846.0</v>
      </c>
      <c r="G7785" s="1">
        <v>57.0</v>
      </c>
    </row>
    <row r="7786">
      <c r="A7786" s="1" t="s">
        <v>8</v>
      </c>
      <c r="B7786" s="2">
        <v>44735.0</v>
      </c>
      <c r="C7786" s="3">
        <v>0.33427083333333335</v>
      </c>
      <c r="D7786" s="1">
        <v>12.951372</v>
      </c>
      <c r="E7786" s="1">
        <v>80.140316</v>
      </c>
      <c r="F7786" s="1">
        <v>5339.0</v>
      </c>
      <c r="G7786" s="1">
        <v>40.0</v>
      </c>
    </row>
    <row r="7787">
      <c r="A7787" s="1" t="s">
        <v>8</v>
      </c>
      <c r="B7787" s="2">
        <v>44735.0</v>
      </c>
      <c r="C7787" s="3">
        <v>0.3342939814814815</v>
      </c>
      <c r="D7787" s="1">
        <v>12.951372</v>
      </c>
      <c r="E7787" s="1">
        <v>80.140316</v>
      </c>
      <c r="F7787" s="1">
        <v>5339.0</v>
      </c>
      <c r="G7787" s="1">
        <v>40.0</v>
      </c>
    </row>
    <row r="7788">
      <c r="A7788" s="1" t="s">
        <v>8</v>
      </c>
      <c r="B7788" s="2">
        <v>44735.0</v>
      </c>
      <c r="C7788" s="3">
        <v>0.33523148148148146</v>
      </c>
      <c r="D7788" s="1">
        <v>12.949959</v>
      </c>
      <c r="E7788" s="1">
        <v>80.139268</v>
      </c>
      <c r="F7788" s="1">
        <v>5339.0</v>
      </c>
      <c r="G7788" s="1">
        <v>26.0</v>
      </c>
    </row>
    <row r="7789">
      <c r="A7789" s="1" t="s">
        <v>8</v>
      </c>
      <c r="B7789" s="2">
        <v>44735.0</v>
      </c>
      <c r="C7789" s="3">
        <v>0.3353009259259259</v>
      </c>
      <c r="D7789" s="1">
        <v>12.949332</v>
      </c>
      <c r="E7789" s="1">
        <v>80.138712</v>
      </c>
      <c r="F7789" s="1">
        <v>5339.0</v>
      </c>
      <c r="G7789" s="1">
        <v>39.0</v>
      </c>
    </row>
    <row r="7790">
      <c r="A7790" s="1" t="s">
        <v>8</v>
      </c>
      <c r="B7790" s="2">
        <v>44735.0</v>
      </c>
      <c r="C7790" s="3">
        <v>0.33545138888888887</v>
      </c>
      <c r="D7790" s="1">
        <v>12.948552</v>
      </c>
      <c r="E7790" s="1">
        <v>80.138082</v>
      </c>
      <c r="F7790" s="1">
        <v>5339.0</v>
      </c>
      <c r="G7790" s="1">
        <v>38.0</v>
      </c>
    </row>
    <row r="7791">
      <c r="A7791" s="1" t="s">
        <v>8</v>
      </c>
      <c r="B7791" s="2">
        <v>44735.0</v>
      </c>
      <c r="C7791" s="3">
        <v>0.3357060185185185</v>
      </c>
      <c r="D7791" s="1">
        <v>12.793476</v>
      </c>
      <c r="E7791" s="1">
        <v>80.018995</v>
      </c>
      <c r="F7791" s="1">
        <v>2846.0</v>
      </c>
      <c r="G7791" s="1">
        <v>56.0</v>
      </c>
    </row>
    <row r="7792">
      <c r="A7792" s="1" t="s">
        <v>7</v>
      </c>
      <c r="B7792" s="2">
        <v>44735.0</v>
      </c>
      <c r="C7792" s="3">
        <v>0.33608796296296295</v>
      </c>
      <c r="D7792" s="1">
        <v>12.794656</v>
      </c>
      <c r="E7792" s="1">
        <v>80.019764</v>
      </c>
      <c r="F7792" s="1">
        <v>2846.0</v>
      </c>
      <c r="G7792" s="1">
        <v>50.0</v>
      </c>
    </row>
    <row r="7793">
      <c r="A7793" s="1" t="s">
        <v>7</v>
      </c>
      <c r="B7793" s="2">
        <v>44735.0</v>
      </c>
      <c r="C7793" s="3">
        <v>0.3362037037037037</v>
      </c>
      <c r="D7793" s="1">
        <v>12.946014</v>
      </c>
      <c r="E7793" s="1">
        <v>80.136143</v>
      </c>
      <c r="F7793" s="1">
        <v>5339.0</v>
      </c>
      <c r="G7793" s="1">
        <v>56.0</v>
      </c>
    </row>
    <row r="7794">
      <c r="A7794" s="1" t="s">
        <v>8</v>
      </c>
      <c r="B7794" s="2">
        <v>44735.0</v>
      </c>
      <c r="C7794" s="3">
        <v>0.33622685185185186</v>
      </c>
      <c r="D7794" s="1">
        <v>12.944848</v>
      </c>
      <c r="E7794" s="1">
        <v>80.135237</v>
      </c>
      <c r="F7794" s="1">
        <v>5339.0</v>
      </c>
      <c r="G7794" s="1">
        <v>54.0</v>
      </c>
    </row>
    <row r="7795">
      <c r="A7795" s="1" t="s">
        <v>7</v>
      </c>
      <c r="B7795" s="2">
        <v>44735.0</v>
      </c>
      <c r="C7795" s="3">
        <v>0.3362847222222222</v>
      </c>
      <c r="D7795" s="1">
        <v>12.798732</v>
      </c>
      <c r="E7795" s="1">
        <v>80.022484</v>
      </c>
      <c r="F7795" s="1">
        <v>2846.0</v>
      </c>
      <c r="G7795" s="1">
        <v>57.0</v>
      </c>
    </row>
    <row r="7796">
      <c r="A7796" s="1" t="s">
        <v>9</v>
      </c>
      <c r="B7796" s="2">
        <v>44735.0</v>
      </c>
      <c r="C7796" s="3">
        <v>0.3362962962962963</v>
      </c>
      <c r="D7796" s="1">
        <v>12.944848</v>
      </c>
      <c r="E7796" s="1">
        <v>80.135237</v>
      </c>
      <c r="F7796" s="1">
        <v>5339.0</v>
      </c>
      <c r="G7796" s="1">
        <v>54.0</v>
      </c>
    </row>
    <row r="7797">
      <c r="A7797" s="1" t="s">
        <v>9</v>
      </c>
      <c r="B7797" s="2">
        <v>44735.0</v>
      </c>
      <c r="C7797" s="3">
        <v>0.33633101851851854</v>
      </c>
      <c r="D7797" s="1">
        <v>12.944848</v>
      </c>
      <c r="E7797" s="1">
        <v>80.135237</v>
      </c>
      <c r="F7797" s="1">
        <v>5339.0</v>
      </c>
      <c r="G7797" s="1">
        <v>54.0</v>
      </c>
    </row>
    <row r="7798">
      <c r="A7798" s="1" t="s">
        <v>7</v>
      </c>
      <c r="B7798" s="2">
        <v>44735.0</v>
      </c>
      <c r="C7798" s="3">
        <v>0.3364699074074074</v>
      </c>
      <c r="D7798" s="1">
        <v>12.942891</v>
      </c>
      <c r="E7798" s="1">
        <v>80.13363</v>
      </c>
      <c r="F7798" s="1">
        <v>5339.0</v>
      </c>
      <c r="G7798" s="1">
        <v>51.0</v>
      </c>
    </row>
    <row r="7799">
      <c r="A7799" s="1" t="s">
        <v>7</v>
      </c>
      <c r="B7799" s="2">
        <v>44735.0</v>
      </c>
      <c r="C7799" s="3">
        <v>0.33653935185185185</v>
      </c>
      <c r="D7799" s="1">
        <v>12.942891</v>
      </c>
      <c r="E7799" s="1">
        <v>80.13363</v>
      </c>
      <c r="F7799" s="1">
        <v>5339.0</v>
      </c>
      <c r="G7799" s="1">
        <v>51.0</v>
      </c>
    </row>
    <row r="7800">
      <c r="A7800" s="1" t="s">
        <v>8</v>
      </c>
      <c r="B7800" s="2">
        <v>44735.0</v>
      </c>
      <c r="C7800" s="3">
        <v>0.33677083333333335</v>
      </c>
      <c r="D7800" s="1">
        <v>12.940986</v>
      </c>
      <c r="E7800" s="1">
        <v>80.131622</v>
      </c>
      <c r="F7800" s="1">
        <v>5339.0</v>
      </c>
      <c r="G7800" s="1">
        <v>55.0</v>
      </c>
    </row>
    <row r="7801">
      <c r="A7801" s="1" t="s">
        <v>7</v>
      </c>
      <c r="B7801" s="2">
        <v>44735.0</v>
      </c>
      <c r="C7801" s="3">
        <v>0.3368055555555556</v>
      </c>
      <c r="D7801" s="1">
        <v>12.804993</v>
      </c>
      <c r="E7801" s="1">
        <v>80.026568</v>
      </c>
      <c r="F7801" s="1">
        <v>2846.0</v>
      </c>
      <c r="G7801" s="1">
        <v>57.0</v>
      </c>
    </row>
    <row r="7802">
      <c r="A7802" s="1" t="s">
        <v>8</v>
      </c>
      <c r="B7802" s="2">
        <v>44735.0</v>
      </c>
      <c r="C7802" s="3">
        <v>0.3371527777777778</v>
      </c>
      <c r="D7802" s="1">
        <v>12.937997</v>
      </c>
      <c r="E7802" s="1">
        <v>80.128799</v>
      </c>
      <c r="F7802" s="1">
        <v>5339.0</v>
      </c>
      <c r="G7802" s="1">
        <v>39.0</v>
      </c>
    </row>
    <row r="7803">
      <c r="A7803" s="1" t="s">
        <v>8</v>
      </c>
      <c r="B7803" s="2">
        <v>44735.0</v>
      </c>
      <c r="C7803" s="3">
        <v>0.33719907407407407</v>
      </c>
      <c r="D7803" s="1">
        <v>12.937997</v>
      </c>
      <c r="E7803" s="1">
        <v>80.128799</v>
      </c>
      <c r="F7803" s="1">
        <v>5339.0</v>
      </c>
      <c r="G7803" s="1">
        <v>39.0</v>
      </c>
    </row>
    <row r="7804">
      <c r="A7804" s="1" t="s">
        <v>8</v>
      </c>
      <c r="B7804" s="2">
        <v>44735.0</v>
      </c>
      <c r="C7804" s="3">
        <v>0.3375462962962963</v>
      </c>
      <c r="D7804" s="1">
        <v>12.936167</v>
      </c>
      <c r="E7804" s="1">
        <v>80.127233</v>
      </c>
      <c r="F7804" s="1">
        <v>5339.0</v>
      </c>
      <c r="G7804" s="1">
        <v>37.0</v>
      </c>
    </row>
    <row r="7805">
      <c r="A7805" s="1" t="s">
        <v>7</v>
      </c>
      <c r="B7805" s="2">
        <v>44735.0</v>
      </c>
      <c r="C7805" s="3">
        <v>0.3377777777777778</v>
      </c>
      <c r="D7805" s="1">
        <v>12.811593</v>
      </c>
      <c r="E7805" s="1">
        <v>80.030822</v>
      </c>
      <c r="F7805" s="1">
        <v>2846.0</v>
      </c>
      <c r="G7805" s="1">
        <v>58.0</v>
      </c>
    </row>
    <row r="7806">
      <c r="A7806" s="1" t="s">
        <v>7</v>
      </c>
      <c r="B7806" s="2">
        <v>44735.0</v>
      </c>
      <c r="C7806" s="3">
        <v>0.33859953703703705</v>
      </c>
      <c r="D7806" s="1">
        <v>12.822385</v>
      </c>
      <c r="E7806" s="1">
        <v>80.03827</v>
      </c>
      <c r="F7806" s="1">
        <v>2846.0</v>
      </c>
      <c r="G7806" s="1">
        <v>56.0</v>
      </c>
    </row>
    <row r="7807">
      <c r="A7807" s="1" t="s">
        <v>8</v>
      </c>
      <c r="B7807" s="2">
        <v>44735.0</v>
      </c>
      <c r="C7807" s="3">
        <v>0.33875</v>
      </c>
      <c r="D7807" s="1">
        <v>12.823525</v>
      </c>
      <c r="E7807" s="1">
        <v>80.039057</v>
      </c>
      <c r="F7807" s="1">
        <v>2846.0</v>
      </c>
      <c r="G7807" s="1">
        <v>57.0</v>
      </c>
    </row>
    <row r="7808">
      <c r="A7808" s="1" t="s">
        <v>8</v>
      </c>
      <c r="B7808" s="2">
        <v>44735.0</v>
      </c>
      <c r="C7808" s="3">
        <v>0.33881944444444445</v>
      </c>
      <c r="D7808" s="1">
        <v>12.930817</v>
      </c>
      <c r="E7808" s="1">
        <v>80.122057</v>
      </c>
      <c r="F7808" s="1">
        <v>5339.0</v>
      </c>
      <c r="G7808" s="1">
        <v>37.0</v>
      </c>
    </row>
    <row r="7809">
      <c r="A7809" s="1" t="s">
        <v>8</v>
      </c>
      <c r="B7809" s="2">
        <v>44735.0</v>
      </c>
      <c r="C7809" s="3">
        <v>0.3390972222222222</v>
      </c>
      <c r="D7809" s="1">
        <v>12.929483</v>
      </c>
      <c r="E7809" s="1">
        <v>80.120744</v>
      </c>
      <c r="F7809" s="1">
        <v>5339.0</v>
      </c>
      <c r="G7809" s="1">
        <v>41.0</v>
      </c>
    </row>
    <row r="7810">
      <c r="A7810" s="1" t="s">
        <v>8</v>
      </c>
      <c r="B7810" s="2">
        <v>44735.0</v>
      </c>
      <c r="C7810" s="3">
        <v>0.33925925925925926</v>
      </c>
      <c r="D7810" s="1">
        <v>12.927819</v>
      </c>
      <c r="E7810" s="1">
        <v>80.119031</v>
      </c>
      <c r="F7810" s="1">
        <v>5339.0</v>
      </c>
      <c r="G7810" s="1">
        <v>50.0</v>
      </c>
    </row>
    <row r="7811">
      <c r="A7811" s="1" t="s">
        <v>7</v>
      </c>
      <c r="B7811" s="2">
        <v>44735.0</v>
      </c>
      <c r="C7811" s="3">
        <v>0.3396296296296296</v>
      </c>
      <c r="D7811" s="1">
        <v>12.831533</v>
      </c>
      <c r="E7811" s="1">
        <v>80.04657</v>
      </c>
      <c r="F7811" s="1">
        <v>2846.0</v>
      </c>
      <c r="G7811" s="1">
        <v>55.0</v>
      </c>
    </row>
    <row r="7812">
      <c r="A7812" s="1" t="s">
        <v>7</v>
      </c>
      <c r="B7812" s="2">
        <v>44735.0</v>
      </c>
      <c r="C7812" s="3">
        <v>0.3397222222222222</v>
      </c>
      <c r="D7812" s="1">
        <v>12.924287</v>
      </c>
      <c r="E7812" s="1">
        <v>80.115477</v>
      </c>
      <c r="F7812" s="1">
        <v>5339.0</v>
      </c>
      <c r="G7812" s="1">
        <v>57.0</v>
      </c>
    </row>
    <row r="7813">
      <c r="A7813" s="1" t="s">
        <v>8</v>
      </c>
      <c r="B7813" s="2">
        <v>44735.0</v>
      </c>
      <c r="C7813" s="3">
        <v>0.34023148148148147</v>
      </c>
      <c r="D7813" s="1">
        <v>12.921958</v>
      </c>
      <c r="E7813" s="1">
        <v>80.113156</v>
      </c>
      <c r="F7813" s="1">
        <v>5339.0</v>
      </c>
      <c r="G7813" s="1">
        <v>51.0</v>
      </c>
    </row>
    <row r="7814">
      <c r="A7814" s="1" t="s">
        <v>7</v>
      </c>
      <c r="B7814" s="2">
        <v>44735.0</v>
      </c>
      <c r="C7814" s="3">
        <v>0.3402662037037037</v>
      </c>
      <c r="D7814" s="1">
        <v>12.833564</v>
      </c>
      <c r="E7814" s="1">
        <v>80.048712</v>
      </c>
      <c r="F7814" s="1">
        <v>2846.0</v>
      </c>
      <c r="G7814" s="1">
        <v>57.0</v>
      </c>
    </row>
    <row r="7815">
      <c r="A7815" s="1" t="s">
        <v>7</v>
      </c>
      <c r="B7815" s="2">
        <v>44735.0</v>
      </c>
      <c r="C7815" s="3">
        <v>0.34034722222222225</v>
      </c>
      <c r="D7815" s="1">
        <v>12.92112</v>
      </c>
      <c r="E7815" s="1">
        <v>80.112293</v>
      </c>
      <c r="F7815" s="1">
        <v>5339.0</v>
      </c>
      <c r="G7815" s="1">
        <v>45.0</v>
      </c>
    </row>
    <row r="7816">
      <c r="A7816" s="1" t="s">
        <v>8</v>
      </c>
      <c r="B7816" s="2">
        <v>44735.0</v>
      </c>
      <c r="C7816" s="3">
        <v>0.3412962962962963</v>
      </c>
      <c r="D7816" s="1">
        <v>12.916812</v>
      </c>
      <c r="E7816" s="1">
        <v>80.106901</v>
      </c>
      <c r="F7816" s="1">
        <v>5339.0</v>
      </c>
      <c r="G7816" s="1">
        <v>29.0</v>
      </c>
    </row>
    <row r="7817">
      <c r="A7817" s="1" t="s">
        <v>7</v>
      </c>
      <c r="B7817" s="2">
        <v>44735.0</v>
      </c>
      <c r="C7817" s="3">
        <v>0.34291666666666665</v>
      </c>
      <c r="D7817" s="1">
        <v>12.850692</v>
      </c>
      <c r="E7817" s="1">
        <v>80.065114</v>
      </c>
      <c r="F7817" s="1">
        <v>2846.0</v>
      </c>
      <c r="G7817" s="1">
        <v>53.0</v>
      </c>
    </row>
    <row r="7818">
      <c r="A7818" s="1" t="s">
        <v>7</v>
      </c>
      <c r="B7818" s="2">
        <v>44735.0</v>
      </c>
      <c r="C7818" s="3">
        <v>0.3430324074074074</v>
      </c>
      <c r="D7818" s="1">
        <v>12.851824</v>
      </c>
      <c r="E7818" s="1">
        <v>80.065947</v>
      </c>
      <c r="F7818" s="1">
        <v>2846.0</v>
      </c>
      <c r="G7818" s="1">
        <v>56.0</v>
      </c>
    </row>
    <row r="7819">
      <c r="A7819" s="1" t="s">
        <v>8</v>
      </c>
      <c r="B7819" s="2">
        <v>44735.0</v>
      </c>
      <c r="C7819" s="3">
        <v>0.34587962962962965</v>
      </c>
      <c r="D7819" s="1">
        <v>12.865982</v>
      </c>
      <c r="E7819" s="1">
        <v>80.074834</v>
      </c>
      <c r="F7819" s="1">
        <v>2846.0</v>
      </c>
      <c r="G7819" s="1">
        <v>28.0</v>
      </c>
    </row>
    <row r="7820">
      <c r="A7820" s="1" t="s">
        <v>8</v>
      </c>
      <c r="B7820" s="2">
        <v>44735.0</v>
      </c>
      <c r="C7820" s="3">
        <v>0.3463310185185185</v>
      </c>
      <c r="D7820" s="1">
        <v>12.87183</v>
      </c>
      <c r="E7820" s="1">
        <v>80.077111</v>
      </c>
      <c r="F7820" s="1">
        <v>2846.0</v>
      </c>
      <c r="G7820" s="1">
        <v>49.0</v>
      </c>
    </row>
    <row r="7821">
      <c r="A7821" s="1" t="s">
        <v>8</v>
      </c>
      <c r="B7821" s="2">
        <v>44735.0</v>
      </c>
      <c r="C7821" s="3">
        <v>0.34837962962962965</v>
      </c>
      <c r="D7821" s="1">
        <v>12.91076</v>
      </c>
      <c r="E7821" s="1">
        <v>80.101219</v>
      </c>
      <c r="F7821" s="1">
        <v>5339.0</v>
      </c>
      <c r="G7821" s="1">
        <v>46.0</v>
      </c>
    </row>
    <row r="7822">
      <c r="A7822" s="1" t="s">
        <v>10</v>
      </c>
      <c r="B7822" s="2">
        <v>44735.0</v>
      </c>
      <c r="C7822" s="3">
        <v>0.3492013888888889</v>
      </c>
      <c r="D7822" s="1">
        <v>12.909049</v>
      </c>
      <c r="E7822" s="1">
        <v>80.098866</v>
      </c>
      <c r="F7822" s="1">
        <v>5339.0</v>
      </c>
      <c r="G7822" s="1">
        <v>14.0</v>
      </c>
    </row>
    <row r="7823">
      <c r="A7823" s="1" t="s">
        <v>8</v>
      </c>
      <c r="B7823" s="2">
        <v>44735.0</v>
      </c>
      <c r="C7823" s="3">
        <v>0.3514467592592593</v>
      </c>
      <c r="D7823" s="1">
        <v>12.904307</v>
      </c>
      <c r="E7823" s="1">
        <v>80.094942</v>
      </c>
      <c r="F7823" s="1">
        <v>5339.0</v>
      </c>
      <c r="G7823" s="1">
        <v>37.0</v>
      </c>
    </row>
    <row r="7824">
      <c r="A7824" s="1" t="s">
        <v>8</v>
      </c>
      <c r="B7824" s="2">
        <v>44735.0</v>
      </c>
      <c r="C7824" s="3">
        <v>0.35171296296296295</v>
      </c>
      <c r="D7824" s="1">
        <v>12.902836</v>
      </c>
      <c r="E7824" s="1">
        <v>80.09367</v>
      </c>
      <c r="F7824" s="1">
        <v>5339.0</v>
      </c>
      <c r="G7824" s="1">
        <v>36.0</v>
      </c>
    </row>
    <row r="7825">
      <c r="A7825" s="1" t="s">
        <v>9</v>
      </c>
      <c r="B7825" s="2">
        <v>44735.0</v>
      </c>
      <c r="C7825" s="3">
        <v>0.3521064814814815</v>
      </c>
      <c r="D7825" s="1">
        <v>12.899344</v>
      </c>
      <c r="E7825" s="1">
        <v>80.091091</v>
      </c>
      <c r="F7825" s="1">
        <v>5339.0</v>
      </c>
      <c r="G7825" s="1">
        <v>41.0</v>
      </c>
    </row>
    <row r="7826">
      <c r="A7826" s="1" t="s">
        <v>7</v>
      </c>
      <c r="B7826" s="2">
        <v>44735.0</v>
      </c>
      <c r="C7826" s="3">
        <v>0.35313657407407406</v>
      </c>
      <c r="D7826" s="1">
        <v>12.893413</v>
      </c>
      <c r="E7826" s="1">
        <v>80.086581</v>
      </c>
      <c r="F7826" s="1">
        <v>5339.0</v>
      </c>
      <c r="G7826" s="1">
        <v>56.0</v>
      </c>
    </row>
    <row r="7827">
      <c r="A7827" s="1" t="s">
        <v>7</v>
      </c>
      <c r="B7827" s="2">
        <v>44735.0</v>
      </c>
      <c r="C7827" s="3">
        <v>0.35357638888888887</v>
      </c>
      <c r="D7827" s="1">
        <v>12.88975</v>
      </c>
      <c r="E7827" s="1">
        <v>80.084485</v>
      </c>
      <c r="F7827" s="1">
        <v>5339.0</v>
      </c>
      <c r="G7827" s="1">
        <v>57.0</v>
      </c>
    </row>
    <row r="7828">
      <c r="A7828" s="1" t="s">
        <v>8</v>
      </c>
      <c r="B7828" s="2">
        <v>44735.0</v>
      </c>
      <c r="C7828" s="3">
        <v>0.3539351851851852</v>
      </c>
      <c r="D7828" s="1">
        <v>12.885699</v>
      </c>
      <c r="E7828" s="1">
        <v>80.082821</v>
      </c>
      <c r="F7828" s="1">
        <v>5339.0</v>
      </c>
      <c r="G7828" s="1">
        <v>57.0</v>
      </c>
    </row>
    <row r="7829">
      <c r="A7829" s="1" t="s">
        <v>8</v>
      </c>
      <c r="B7829" s="2">
        <v>44735.0</v>
      </c>
      <c r="C7829" s="3">
        <v>0.3542824074074074</v>
      </c>
      <c r="D7829" s="1">
        <v>12.881244</v>
      </c>
      <c r="E7829" s="1">
        <v>80.081173</v>
      </c>
      <c r="F7829" s="1">
        <v>5339.0</v>
      </c>
      <c r="G7829" s="1">
        <v>34.0</v>
      </c>
    </row>
    <row r="7830">
      <c r="A7830" s="1" t="s">
        <v>8</v>
      </c>
      <c r="B7830" s="2">
        <v>44735.0</v>
      </c>
      <c r="C7830" s="3">
        <v>0.48755787037037035</v>
      </c>
      <c r="D7830" s="1">
        <v>12.870888</v>
      </c>
      <c r="E7830" s="1">
        <v>80.105106</v>
      </c>
      <c r="F7830" s="1">
        <v>2846.0</v>
      </c>
      <c r="G7830" s="1">
        <v>40.0</v>
      </c>
    </row>
    <row r="7831">
      <c r="A7831" s="1" t="s">
        <v>7</v>
      </c>
      <c r="B7831" s="2">
        <v>44735.0</v>
      </c>
      <c r="C7831" s="3">
        <v>0.48877314814814815</v>
      </c>
      <c r="D7831" s="1">
        <v>12.867264</v>
      </c>
      <c r="E7831" s="1">
        <v>80.115408</v>
      </c>
      <c r="F7831" s="1">
        <v>2846.0</v>
      </c>
      <c r="G7831" s="1">
        <v>52.0</v>
      </c>
    </row>
    <row r="7832">
      <c r="A7832" s="1" t="s">
        <v>7</v>
      </c>
      <c r="B7832" s="2">
        <v>44735.0</v>
      </c>
      <c r="C7832" s="3">
        <v>0.48943287037037037</v>
      </c>
      <c r="D7832" s="1">
        <v>12.864879</v>
      </c>
      <c r="E7832" s="1">
        <v>80.121448</v>
      </c>
      <c r="F7832" s="1">
        <v>2846.0</v>
      </c>
      <c r="G7832" s="1">
        <v>53.0</v>
      </c>
    </row>
    <row r="7833">
      <c r="A7833" s="1" t="s">
        <v>10</v>
      </c>
      <c r="B7833" s="2">
        <v>44735.0</v>
      </c>
      <c r="C7833" s="3">
        <v>0.6934722222222223</v>
      </c>
      <c r="D7833" s="1">
        <v>12.878911</v>
      </c>
      <c r="E7833" s="1">
        <v>80.08068</v>
      </c>
      <c r="F7833" s="1">
        <v>5339.0</v>
      </c>
      <c r="G7833" s="1">
        <v>9.0</v>
      </c>
    </row>
    <row r="7834">
      <c r="A7834" s="1" t="s">
        <v>10</v>
      </c>
      <c r="B7834" s="2">
        <v>44735.0</v>
      </c>
      <c r="C7834" s="3">
        <v>0.6936111111111111</v>
      </c>
      <c r="D7834" s="1">
        <v>12.879262</v>
      </c>
      <c r="E7834" s="1">
        <v>80.080115</v>
      </c>
      <c r="F7834" s="1">
        <v>5339.0</v>
      </c>
      <c r="G7834" s="1">
        <v>6.0</v>
      </c>
    </row>
    <row r="7835">
      <c r="A7835" s="1" t="s">
        <v>8</v>
      </c>
      <c r="B7835" s="2">
        <v>44735.0</v>
      </c>
      <c r="C7835" s="3">
        <v>0.6956134259259259</v>
      </c>
      <c r="D7835" s="1">
        <v>12.892424</v>
      </c>
      <c r="E7835" s="1">
        <v>80.085654</v>
      </c>
      <c r="F7835" s="1">
        <v>5339.0</v>
      </c>
      <c r="G7835" s="1">
        <v>46.0</v>
      </c>
    </row>
    <row r="7836">
      <c r="A7836" s="1" t="s">
        <v>8</v>
      </c>
      <c r="B7836" s="2">
        <v>44735.0</v>
      </c>
      <c r="C7836" s="3">
        <v>0.6982523148148149</v>
      </c>
      <c r="D7836" s="1">
        <v>12.906857</v>
      </c>
      <c r="E7836" s="1">
        <v>80.096636</v>
      </c>
      <c r="F7836" s="1">
        <v>5339.0</v>
      </c>
      <c r="G7836" s="1">
        <v>34.0</v>
      </c>
    </row>
    <row r="7837">
      <c r="A7837" s="1" t="s">
        <v>8</v>
      </c>
      <c r="B7837" s="2">
        <v>44735.0</v>
      </c>
      <c r="C7837" s="3">
        <v>0.6985069444444445</v>
      </c>
      <c r="D7837" s="1">
        <v>12.908547</v>
      </c>
      <c r="E7837" s="1">
        <v>80.097991</v>
      </c>
      <c r="F7837" s="1">
        <v>5339.0</v>
      </c>
      <c r="G7837" s="1">
        <v>41.0</v>
      </c>
    </row>
    <row r="7838">
      <c r="A7838" s="1" t="s">
        <v>7</v>
      </c>
      <c r="B7838" s="2">
        <v>44735.0</v>
      </c>
      <c r="C7838" s="3">
        <v>0.7005092592592592</v>
      </c>
      <c r="D7838" s="1">
        <v>12.915696</v>
      </c>
      <c r="E7838" s="1">
        <v>80.103702</v>
      </c>
      <c r="F7838" s="1">
        <v>5339.0</v>
      </c>
      <c r="G7838" s="1">
        <v>52.0</v>
      </c>
    </row>
    <row r="7839">
      <c r="A7839" s="1" t="s">
        <v>7</v>
      </c>
      <c r="B7839" s="2">
        <v>44735.0</v>
      </c>
      <c r="C7839" s="3">
        <v>0.7016898148148148</v>
      </c>
      <c r="D7839" s="1">
        <v>12.920034</v>
      </c>
      <c r="E7839" s="1">
        <v>80.111042</v>
      </c>
      <c r="F7839" s="1">
        <v>5339.0</v>
      </c>
      <c r="G7839" s="1">
        <v>51.0</v>
      </c>
    </row>
    <row r="7840">
      <c r="A7840" s="1" t="s">
        <v>8</v>
      </c>
      <c r="B7840" s="2">
        <v>44735.0</v>
      </c>
      <c r="C7840" s="3">
        <v>0.7018171296296296</v>
      </c>
      <c r="D7840" s="1">
        <v>12.920947</v>
      </c>
      <c r="E7840" s="1">
        <v>80.112003</v>
      </c>
      <c r="F7840" s="1">
        <v>5339.0</v>
      </c>
      <c r="G7840" s="1">
        <v>48.0</v>
      </c>
    </row>
    <row r="7841">
      <c r="A7841" s="1" t="s">
        <v>8</v>
      </c>
      <c r="B7841" s="2">
        <v>44735.0</v>
      </c>
      <c r="C7841" s="3">
        <v>0.7020486111111112</v>
      </c>
      <c r="D7841" s="1">
        <v>12.922592</v>
      </c>
      <c r="E7841" s="1">
        <v>80.113632</v>
      </c>
      <c r="F7841" s="1">
        <v>5339.0</v>
      </c>
      <c r="G7841" s="1">
        <v>42.0</v>
      </c>
    </row>
    <row r="7842">
      <c r="A7842" s="1" t="s">
        <v>8</v>
      </c>
      <c r="B7842" s="2">
        <v>44735.0</v>
      </c>
      <c r="C7842" s="3">
        <v>0.7044097222222222</v>
      </c>
      <c r="D7842" s="1">
        <v>12.93012</v>
      </c>
      <c r="E7842" s="1">
        <v>80.121233</v>
      </c>
      <c r="F7842" s="1">
        <v>5339.0</v>
      </c>
      <c r="G7842" s="1">
        <v>27.0</v>
      </c>
    </row>
    <row r="7843">
      <c r="A7843" s="1" t="s">
        <v>8</v>
      </c>
      <c r="B7843" s="2">
        <v>44735.0</v>
      </c>
      <c r="C7843" s="3">
        <v>0.7044560185185185</v>
      </c>
      <c r="D7843" s="1">
        <v>12.93012</v>
      </c>
      <c r="E7843" s="1">
        <v>80.121233</v>
      </c>
      <c r="F7843" s="1">
        <v>5339.0</v>
      </c>
      <c r="G7843" s="1">
        <v>27.0</v>
      </c>
    </row>
    <row r="7844">
      <c r="A7844" s="1" t="s">
        <v>8</v>
      </c>
      <c r="B7844" s="2">
        <v>44735.0</v>
      </c>
      <c r="C7844" s="3">
        <v>0.7044675925925926</v>
      </c>
      <c r="D7844" s="1">
        <v>12.93012</v>
      </c>
      <c r="E7844" s="1">
        <v>80.121233</v>
      </c>
      <c r="F7844" s="1">
        <v>5339.0</v>
      </c>
      <c r="G7844" s="1">
        <v>27.0</v>
      </c>
    </row>
    <row r="7845">
      <c r="A7845" s="1" t="s">
        <v>8</v>
      </c>
      <c r="B7845" s="2">
        <v>44735.0</v>
      </c>
      <c r="C7845" s="3">
        <v>0.7053587962962963</v>
      </c>
      <c r="D7845" s="1">
        <v>12.932074</v>
      </c>
      <c r="E7845" s="1">
        <v>80.123196</v>
      </c>
      <c r="F7845" s="1">
        <v>5339.0</v>
      </c>
      <c r="G7845" s="1">
        <v>32.0</v>
      </c>
    </row>
    <row r="7846">
      <c r="A7846" s="1" t="s">
        <v>8</v>
      </c>
      <c r="B7846" s="2">
        <v>44735.0</v>
      </c>
      <c r="C7846" s="3">
        <v>0.705462962962963</v>
      </c>
      <c r="D7846" s="1">
        <v>12.932734</v>
      </c>
      <c r="E7846" s="1">
        <v>80.123849</v>
      </c>
      <c r="F7846" s="1">
        <v>5339.0</v>
      </c>
      <c r="G7846" s="1">
        <v>39.0</v>
      </c>
    </row>
    <row r="7847">
      <c r="A7847" s="1" t="s">
        <v>8</v>
      </c>
      <c r="B7847" s="2">
        <v>44735.0</v>
      </c>
      <c r="C7847" s="3">
        <v>0.7058796296296296</v>
      </c>
      <c r="D7847" s="1">
        <v>12.871475</v>
      </c>
      <c r="E7847" s="1">
        <v>80.077248</v>
      </c>
      <c r="F7847" s="1">
        <v>2846.0</v>
      </c>
      <c r="G7847" s="1">
        <v>48.0</v>
      </c>
    </row>
    <row r="7848">
      <c r="A7848" s="1" t="s">
        <v>7</v>
      </c>
      <c r="B7848" s="2">
        <v>44735.0</v>
      </c>
      <c r="C7848" s="3">
        <v>0.7071527777777777</v>
      </c>
      <c r="D7848" s="1">
        <v>12.866269</v>
      </c>
      <c r="E7848" s="1">
        <v>80.075218</v>
      </c>
      <c r="F7848" s="1">
        <v>2846.0</v>
      </c>
      <c r="G7848" s="1">
        <v>28.0</v>
      </c>
    </row>
    <row r="7849">
      <c r="A7849" s="1" t="s">
        <v>8</v>
      </c>
      <c r="B7849" s="2">
        <v>44735.0</v>
      </c>
      <c r="C7849" s="3">
        <v>0.7077430555555555</v>
      </c>
      <c r="D7849" s="1">
        <v>12.943473</v>
      </c>
      <c r="E7849" s="1">
        <v>80.133995</v>
      </c>
      <c r="F7849" s="1">
        <v>5339.0</v>
      </c>
      <c r="G7849" s="1">
        <v>41.0</v>
      </c>
    </row>
    <row r="7850">
      <c r="A7850" s="1" t="s">
        <v>8</v>
      </c>
      <c r="B7850" s="2">
        <v>44735.0</v>
      </c>
      <c r="C7850" s="3">
        <v>0.7080787037037037</v>
      </c>
      <c r="D7850" s="1">
        <v>12.860139</v>
      </c>
      <c r="E7850" s="1">
        <v>80.072414</v>
      </c>
      <c r="F7850" s="1">
        <v>2846.0</v>
      </c>
      <c r="G7850" s="1">
        <v>12.0</v>
      </c>
    </row>
    <row r="7851">
      <c r="A7851" s="1" t="s">
        <v>7</v>
      </c>
      <c r="B7851" s="2">
        <v>44735.0</v>
      </c>
      <c r="C7851" s="3">
        <v>0.708136574074074</v>
      </c>
      <c r="D7851" s="1">
        <v>12.946438</v>
      </c>
      <c r="E7851" s="1">
        <v>80.136411</v>
      </c>
      <c r="F7851" s="1">
        <v>5339.0</v>
      </c>
      <c r="G7851" s="1">
        <v>56.0</v>
      </c>
    </row>
    <row r="7852">
      <c r="A7852" s="1" t="s">
        <v>7</v>
      </c>
      <c r="B7852" s="2">
        <v>44735.0</v>
      </c>
      <c r="C7852" s="3">
        <v>0.7083796296296296</v>
      </c>
      <c r="D7852" s="1">
        <v>12.859279</v>
      </c>
      <c r="E7852" s="1">
        <v>80.071804</v>
      </c>
      <c r="F7852" s="1">
        <v>2846.0</v>
      </c>
      <c r="G7852" s="1">
        <v>37.0</v>
      </c>
    </row>
    <row r="7853">
      <c r="A7853" s="1" t="s">
        <v>7</v>
      </c>
      <c r="B7853" s="2">
        <v>44735.0</v>
      </c>
      <c r="C7853" s="3">
        <v>0.7088310185185185</v>
      </c>
      <c r="D7853" s="1">
        <v>12.854365</v>
      </c>
      <c r="E7853" s="1">
        <v>80.06807</v>
      </c>
      <c r="F7853" s="1">
        <v>2846.0</v>
      </c>
      <c r="G7853" s="1">
        <v>57.0</v>
      </c>
    </row>
    <row r="7854">
      <c r="A7854" s="1" t="s">
        <v>8</v>
      </c>
      <c r="B7854" s="2">
        <v>44735.0</v>
      </c>
      <c r="C7854" s="3">
        <v>0.7090740740740741</v>
      </c>
      <c r="D7854" s="1">
        <v>12.852604</v>
      </c>
      <c r="E7854" s="1">
        <v>80.066778</v>
      </c>
      <c r="F7854" s="1">
        <v>2846.0</v>
      </c>
      <c r="G7854" s="1">
        <v>57.0</v>
      </c>
    </row>
    <row r="7855">
      <c r="A7855" s="1" t="s">
        <v>8</v>
      </c>
      <c r="B7855" s="2">
        <v>44735.0</v>
      </c>
      <c r="C7855" s="3">
        <v>0.7093055555555555</v>
      </c>
      <c r="D7855" s="1">
        <v>12.950315</v>
      </c>
      <c r="E7855" s="1">
        <v>80.139338</v>
      </c>
      <c r="F7855" s="1">
        <v>5339.0</v>
      </c>
      <c r="G7855" s="1">
        <v>8.0</v>
      </c>
    </row>
    <row r="7856">
      <c r="A7856" s="1" t="s">
        <v>8</v>
      </c>
      <c r="B7856" s="2">
        <v>44735.0</v>
      </c>
      <c r="C7856" s="3">
        <v>0.7093171296296297</v>
      </c>
      <c r="D7856" s="1">
        <v>12.950315</v>
      </c>
      <c r="E7856" s="1">
        <v>80.139338</v>
      </c>
      <c r="F7856" s="1">
        <v>5339.0</v>
      </c>
      <c r="G7856" s="1">
        <v>8.0</v>
      </c>
    </row>
    <row r="7857">
      <c r="A7857" s="1" t="s">
        <v>7</v>
      </c>
      <c r="B7857" s="2">
        <v>44735.0</v>
      </c>
      <c r="C7857" s="3">
        <v>0.7121990740740741</v>
      </c>
      <c r="D7857" s="1">
        <v>12.83759</v>
      </c>
      <c r="E7857" s="1">
        <v>80.053191</v>
      </c>
      <c r="F7857" s="1">
        <v>2846.0</v>
      </c>
      <c r="G7857" s="1">
        <v>61.0</v>
      </c>
    </row>
    <row r="7858">
      <c r="A7858" s="1" t="s">
        <v>8</v>
      </c>
      <c r="B7858" s="2">
        <v>44735.0</v>
      </c>
      <c r="C7858" s="3">
        <v>0.7122800925925926</v>
      </c>
      <c r="D7858" s="1">
        <v>12.962903</v>
      </c>
      <c r="E7858" s="1">
        <v>80.1467</v>
      </c>
      <c r="F7858" s="1">
        <v>5339.0</v>
      </c>
      <c r="G7858" s="1">
        <v>43.0</v>
      </c>
    </row>
    <row r="7859">
      <c r="A7859" s="1" t="s">
        <v>7</v>
      </c>
      <c r="B7859" s="2">
        <v>44735.0</v>
      </c>
      <c r="C7859" s="3">
        <v>0.7124537037037038</v>
      </c>
      <c r="D7859" s="1">
        <v>12.83444</v>
      </c>
      <c r="E7859" s="1">
        <v>80.049909</v>
      </c>
      <c r="F7859" s="1">
        <v>2846.0</v>
      </c>
      <c r="G7859" s="1">
        <v>58.0</v>
      </c>
    </row>
    <row r="7860">
      <c r="A7860" s="1" t="s">
        <v>8</v>
      </c>
      <c r="B7860" s="2">
        <v>44735.0</v>
      </c>
      <c r="C7860" s="3">
        <v>0.7124652777777778</v>
      </c>
      <c r="D7860" s="1">
        <v>12.963866</v>
      </c>
      <c r="E7860" s="1">
        <v>80.147244</v>
      </c>
      <c r="F7860" s="1">
        <v>5339.0</v>
      </c>
      <c r="G7860" s="1">
        <v>42.0</v>
      </c>
    </row>
    <row r="7861">
      <c r="A7861" s="1" t="s">
        <v>8</v>
      </c>
      <c r="B7861" s="2">
        <v>44735.0</v>
      </c>
      <c r="C7861" s="3">
        <v>0.7125115740740741</v>
      </c>
      <c r="D7861" s="1">
        <v>12.83444</v>
      </c>
      <c r="E7861" s="1">
        <v>80.049909</v>
      </c>
      <c r="F7861" s="1">
        <v>2846.0</v>
      </c>
      <c r="G7861" s="1">
        <v>58.0</v>
      </c>
    </row>
    <row r="7862">
      <c r="A7862" s="1" t="s">
        <v>7</v>
      </c>
      <c r="B7862" s="2">
        <v>44735.0</v>
      </c>
      <c r="C7862" s="3">
        <v>0.7128703703703704</v>
      </c>
      <c r="D7862" s="1">
        <v>12.831223</v>
      </c>
      <c r="E7862" s="1">
        <v>80.046508</v>
      </c>
      <c r="F7862" s="1">
        <v>2846.0</v>
      </c>
      <c r="G7862" s="1">
        <v>53.0</v>
      </c>
    </row>
    <row r="7863">
      <c r="A7863" s="1" t="s">
        <v>8</v>
      </c>
      <c r="B7863" s="2">
        <v>44735.0</v>
      </c>
      <c r="C7863" s="3">
        <v>0.7129629629629629</v>
      </c>
      <c r="D7863" s="1">
        <v>12.967446</v>
      </c>
      <c r="E7863" s="1">
        <v>80.149124</v>
      </c>
      <c r="F7863" s="1">
        <v>5339.0</v>
      </c>
      <c r="G7863" s="1">
        <v>39.0</v>
      </c>
    </row>
    <row r="7864">
      <c r="A7864" s="1" t="s">
        <v>7</v>
      </c>
      <c r="B7864" s="2">
        <v>44735.0</v>
      </c>
      <c r="C7864" s="3">
        <v>0.713275462962963</v>
      </c>
      <c r="D7864" s="1">
        <v>12.969714</v>
      </c>
      <c r="E7864" s="1">
        <v>80.150178</v>
      </c>
      <c r="F7864" s="1">
        <v>5339.0</v>
      </c>
      <c r="G7864" s="1">
        <v>54.0</v>
      </c>
    </row>
    <row r="7865">
      <c r="A7865" s="1" t="s">
        <v>8</v>
      </c>
      <c r="B7865" s="2">
        <v>44735.0</v>
      </c>
      <c r="C7865" s="3">
        <v>0.7133101851851852</v>
      </c>
      <c r="D7865" s="1">
        <v>12.970933</v>
      </c>
      <c r="E7865" s="1">
        <v>80.150755</v>
      </c>
      <c r="F7865" s="1">
        <v>5339.0</v>
      </c>
      <c r="G7865" s="1">
        <v>55.0</v>
      </c>
    </row>
    <row r="7866">
      <c r="A7866" s="1" t="s">
        <v>7</v>
      </c>
      <c r="B7866" s="2">
        <v>44735.0</v>
      </c>
      <c r="C7866" s="3">
        <v>0.7136574074074075</v>
      </c>
      <c r="D7866" s="1">
        <v>12.973654</v>
      </c>
      <c r="E7866" s="1">
        <v>80.153628</v>
      </c>
      <c r="F7866" s="1">
        <v>5339.0</v>
      </c>
      <c r="G7866" s="1">
        <v>51.0</v>
      </c>
    </row>
    <row r="7867">
      <c r="A7867" s="1" t="s">
        <v>7</v>
      </c>
      <c r="B7867" s="2">
        <v>44735.0</v>
      </c>
      <c r="C7867" s="3">
        <v>0.7137962962962963</v>
      </c>
      <c r="D7867" s="1">
        <v>12.974391</v>
      </c>
      <c r="E7867" s="1">
        <v>80.154692</v>
      </c>
      <c r="F7867" s="1">
        <v>5339.0</v>
      </c>
      <c r="G7867" s="1">
        <v>49.0</v>
      </c>
    </row>
    <row r="7868">
      <c r="A7868" s="1" t="s">
        <v>7</v>
      </c>
      <c r="B7868" s="2">
        <v>44735.0</v>
      </c>
      <c r="C7868" s="3">
        <v>0.7140972222222223</v>
      </c>
      <c r="D7868" s="1">
        <v>12.962658</v>
      </c>
      <c r="E7868" s="1">
        <v>80.14643</v>
      </c>
      <c r="F7868" s="1">
        <v>805.0</v>
      </c>
      <c r="G7868" s="1">
        <v>39.0</v>
      </c>
    </row>
    <row r="7869">
      <c r="A7869" s="1" t="s">
        <v>8</v>
      </c>
      <c r="B7869" s="2">
        <v>44735.0</v>
      </c>
      <c r="C7869" s="3">
        <v>0.7141666666666666</v>
      </c>
      <c r="D7869" s="1">
        <v>12.962658</v>
      </c>
      <c r="E7869" s="1">
        <v>80.14643</v>
      </c>
      <c r="F7869" s="1">
        <v>805.0</v>
      </c>
      <c r="G7869" s="1">
        <v>39.0</v>
      </c>
    </row>
    <row r="7870">
      <c r="A7870" s="1" t="s">
        <v>8</v>
      </c>
      <c r="B7870" s="2">
        <v>44735.0</v>
      </c>
      <c r="C7870" s="3">
        <v>0.7145486111111111</v>
      </c>
      <c r="D7870" s="1">
        <v>12.9653</v>
      </c>
      <c r="E7870" s="1">
        <v>80.148075</v>
      </c>
      <c r="F7870" s="1">
        <v>805.0</v>
      </c>
      <c r="G7870" s="1">
        <v>50.0</v>
      </c>
    </row>
    <row r="7871">
      <c r="A7871" s="1" t="s">
        <v>8</v>
      </c>
      <c r="B7871" s="2">
        <v>44735.0</v>
      </c>
      <c r="C7871" s="3">
        <v>0.7145833333333333</v>
      </c>
      <c r="D7871" s="1">
        <v>12.979181</v>
      </c>
      <c r="E7871" s="1">
        <v>80.161653</v>
      </c>
      <c r="F7871" s="1">
        <v>5339.0</v>
      </c>
      <c r="G7871" s="1">
        <v>42.0</v>
      </c>
    </row>
    <row r="7872">
      <c r="A7872" s="1" t="s">
        <v>8</v>
      </c>
      <c r="B7872" s="2">
        <v>44735.0</v>
      </c>
      <c r="C7872" s="3">
        <v>0.7147569444444445</v>
      </c>
      <c r="D7872" s="1">
        <v>12.979733</v>
      </c>
      <c r="E7872" s="1">
        <v>80.162491</v>
      </c>
      <c r="F7872" s="1">
        <v>5339.0</v>
      </c>
      <c r="G7872" s="1">
        <v>37.0</v>
      </c>
    </row>
    <row r="7873">
      <c r="A7873" s="1" t="s">
        <v>8</v>
      </c>
      <c r="B7873" s="2">
        <v>44735.0</v>
      </c>
      <c r="C7873" s="3">
        <v>0.7148958333333333</v>
      </c>
      <c r="D7873" s="1">
        <v>12.980107</v>
      </c>
      <c r="E7873" s="1">
        <v>80.163426</v>
      </c>
      <c r="F7873" s="1">
        <v>5339.0</v>
      </c>
      <c r="G7873" s="1">
        <v>42.0</v>
      </c>
    </row>
    <row r="7874">
      <c r="A7874" s="1" t="s">
        <v>8</v>
      </c>
      <c r="B7874" s="2">
        <v>44735.0</v>
      </c>
      <c r="C7874" s="3">
        <v>0.7149768518518519</v>
      </c>
      <c r="D7874" s="1">
        <v>12.969396</v>
      </c>
      <c r="E7874" s="1">
        <v>80.150064</v>
      </c>
      <c r="F7874" s="1">
        <v>805.0</v>
      </c>
      <c r="G7874" s="1">
        <v>58.0</v>
      </c>
    </row>
    <row r="7875">
      <c r="A7875" s="1" t="s">
        <v>7</v>
      </c>
      <c r="B7875" s="2">
        <v>44735.0</v>
      </c>
      <c r="C7875" s="3">
        <v>0.7149884259259259</v>
      </c>
      <c r="D7875" s="1">
        <v>12.980444</v>
      </c>
      <c r="E7875" s="1">
        <v>80.164585</v>
      </c>
      <c r="F7875" s="1">
        <v>5339.0</v>
      </c>
      <c r="G7875" s="1">
        <v>49.0</v>
      </c>
    </row>
    <row r="7876">
      <c r="A7876" s="1" t="s">
        <v>8</v>
      </c>
      <c r="B7876" s="2">
        <v>44735.0</v>
      </c>
      <c r="C7876" s="3">
        <v>0.7151504629629629</v>
      </c>
      <c r="D7876" s="1">
        <v>12.971503</v>
      </c>
      <c r="E7876" s="1">
        <v>80.151037</v>
      </c>
      <c r="F7876" s="1">
        <v>805.0</v>
      </c>
      <c r="G7876" s="1">
        <v>57.0</v>
      </c>
    </row>
    <row r="7877">
      <c r="A7877" s="1" t="s">
        <v>7</v>
      </c>
      <c r="B7877" s="2">
        <v>44735.0</v>
      </c>
      <c r="C7877" s="3">
        <v>0.7153240740740741</v>
      </c>
      <c r="D7877" s="1">
        <v>12.97309</v>
      </c>
      <c r="E7877" s="1">
        <v>80.152724</v>
      </c>
      <c r="F7877" s="1">
        <v>805.0</v>
      </c>
      <c r="G7877" s="1">
        <v>56.0</v>
      </c>
    </row>
    <row r="7878">
      <c r="A7878" s="1" t="s">
        <v>7</v>
      </c>
      <c r="B7878" s="2">
        <v>44735.0</v>
      </c>
      <c r="C7878" s="3">
        <v>0.7155208333333334</v>
      </c>
      <c r="D7878" s="1">
        <v>12.984005</v>
      </c>
      <c r="E7878" s="1">
        <v>80.17097</v>
      </c>
      <c r="F7878" s="1">
        <v>5339.0</v>
      </c>
      <c r="G7878" s="1">
        <v>54.0</v>
      </c>
    </row>
    <row r="7879">
      <c r="A7879" s="1" t="s">
        <v>7</v>
      </c>
      <c r="B7879" s="2">
        <v>44735.0</v>
      </c>
      <c r="C7879" s="3">
        <v>0.7156944444444444</v>
      </c>
      <c r="D7879" s="1">
        <v>12.821168</v>
      </c>
      <c r="E7879" s="1">
        <v>80.037716</v>
      </c>
      <c r="F7879" s="1">
        <v>2846.0</v>
      </c>
      <c r="G7879" s="1">
        <v>22.0</v>
      </c>
    </row>
    <row r="7880">
      <c r="A7880" s="1" t="s">
        <v>7</v>
      </c>
      <c r="B7880" s="2">
        <v>44735.0</v>
      </c>
      <c r="C7880" s="3">
        <v>0.7157523148148148</v>
      </c>
      <c r="D7880" s="1">
        <v>12.976666</v>
      </c>
      <c r="E7880" s="1">
        <v>80.157971</v>
      </c>
      <c r="F7880" s="1">
        <v>805.0</v>
      </c>
      <c r="G7880" s="1">
        <v>50.0</v>
      </c>
    </row>
    <row r="7881">
      <c r="A7881" s="1" t="s">
        <v>7</v>
      </c>
      <c r="B7881" s="2">
        <v>44735.0</v>
      </c>
      <c r="C7881" s="3">
        <v>0.715949074074074</v>
      </c>
      <c r="D7881" s="1">
        <v>12.977949</v>
      </c>
      <c r="E7881" s="1">
        <v>80.159875</v>
      </c>
      <c r="F7881" s="1">
        <v>805.0</v>
      </c>
      <c r="G7881" s="1">
        <v>56.0</v>
      </c>
    </row>
    <row r="7882">
      <c r="A7882" s="1" t="s">
        <v>7</v>
      </c>
      <c r="B7882" s="2">
        <v>44735.0</v>
      </c>
      <c r="C7882" s="3">
        <v>0.716099537037037</v>
      </c>
      <c r="D7882" s="1">
        <v>12.977949</v>
      </c>
      <c r="E7882" s="1">
        <v>80.159875</v>
      </c>
      <c r="F7882" s="1">
        <v>805.0</v>
      </c>
      <c r="G7882" s="1">
        <v>56.0</v>
      </c>
    </row>
    <row r="7883">
      <c r="A7883" s="1" t="s">
        <v>7</v>
      </c>
      <c r="B7883" s="2">
        <v>44735.0</v>
      </c>
      <c r="C7883" s="3">
        <v>0.7163425925925926</v>
      </c>
      <c r="D7883" s="1">
        <v>12.818825</v>
      </c>
      <c r="E7883" s="1">
        <v>80.03603</v>
      </c>
      <c r="F7883" s="1">
        <v>2846.0</v>
      </c>
      <c r="G7883" s="1">
        <v>44.0</v>
      </c>
    </row>
    <row r="7884">
      <c r="A7884" s="1" t="s">
        <v>7</v>
      </c>
      <c r="B7884" s="2">
        <v>44735.0</v>
      </c>
      <c r="C7884" s="3">
        <v>0.7165393518518518</v>
      </c>
      <c r="D7884" s="1">
        <v>12.814353</v>
      </c>
      <c r="E7884" s="1">
        <v>80.03282</v>
      </c>
      <c r="F7884" s="1">
        <v>2846.0</v>
      </c>
      <c r="G7884" s="1">
        <v>47.0</v>
      </c>
    </row>
    <row r="7885">
      <c r="A7885" s="1" t="s">
        <v>8</v>
      </c>
      <c r="B7885" s="2">
        <v>44735.0</v>
      </c>
      <c r="C7885" s="3">
        <v>0.7171064814814815</v>
      </c>
      <c r="D7885" s="1">
        <v>12.809147</v>
      </c>
      <c r="E7885" s="1">
        <v>80.029444</v>
      </c>
      <c r="F7885" s="1">
        <v>2846.0</v>
      </c>
      <c r="G7885" s="1">
        <v>48.0</v>
      </c>
    </row>
    <row r="7886">
      <c r="A7886" s="1" t="s">
        <v>8</v>
      </c>
      <c r="B7886" s="2">
        <v>44735.0</v>
      </c>
      <c r="C7886" s="3">
        <v>0.7171875</v>
      </c>
      <c r="D7886" s="1">
        <v>12.986751</v>
      </c>
      <c r="E7886" s="1">
        <v>80.175008</v>
      </c>
      <c r="F7886" s="1">
        <v>5339.0</v>
      </c>
      <c r="G7886" s="1">
        <v>17.0</v>
      </c>
    </row>
    <row r="7887">
      <c r="A7887" s="1" t="s">
        <v>8</v>
      </c>
      <c r="B7887" s="2">
        <v>44735.0</v>
      </c>
      <c r="C7887" s="3">
        <v>0.7176736111111112</v>
      </c>
      <c r="D7887" s="1">
        <v>12.988066</v>
      </c>
      <c r="E7887" s="1">
        <v>80.17686</v>
      </c>
      <c r="F7887" s="1">
        <v>5339.0</v>
      </c>
      <c r="G7887" s="1">
        <v>33.0</v>
      </c>
    </row>
    <row r="7888">
      <c r="A7888" s="1" t="s">
        <v>8</v>
      </c>
      <c r="B7888" s="2">
        <v>44735.0</v>
      </c>
      <c r="C7888" s="3">
        <v>0.7177430555555555</v>
      </c>
      <c r="D7888" s="1">
        <v>12.988587</v>
      </c>
      <c r="E7888" s="1">
        <v>80.177638</v>
      </c>
      <c r="F7888" s="1">
        <v>5339.0</v>
      </c>
      <c r="G7888" s="1">
        <v>37.0</v>
      </c>
    </row>
    <row r="7889">
      <c r="A7889" s="1" t="s">
        <v>8</v>
      </c>
      <c r="B7889" s="2">
        <v>44735.0</v>
      </c>
      <c r="C7889" s="3">
        <v>0.7178125</v>
      </c>
      <c r="D7889" s="1">
        <v>12.989195</v>
      </c>
      <c r="E7889" s="1">
        <v>80.178387</v>
      </c>
      <c r="F7889" s="1">
        <v>5339.0</v>
      </c>
      <c r="G7889" s="1">
        <v>35.0</v>
      </c>
    </row>
    <row r="7890">
      <c r="A7890" s="1" t="s">
        <v>8</v>
      </c>
      <c r="B7890" s="2">
        <v>44735.0</v>
      </c>
      <c r="C7890" s="3">
        <v>0.7179629629629629</v>
      </c>
      <c r="D7890" s="1">
        <v>12.989766</v>
      </c>
      <c r="E7890" s="1">
        <v>80.179165</v>
      </c>
      <c r="F7890" s="1">
        <v>5339.0</v>
      </c>
      <c r="G7890" s="1">
        <v>40.0</v>
      </c>
    </row>
    <row r="7891">
      <c r="A7891" s="1" t="s">
        <v>8</v>
      </c>
      <c r="B7891" s="2">
        <v>44735.0</v>
      </c>
      <c r="C7891" s="3">
        <v>0.7179745370370371</v>
      </c>
      <c r="D7891" s="1">
        <v>12.802769</v>
      </c>
      <c r="E7891" s="1">
        <v>80.025392</v>
      </c>
      <c r="F7891" s="1">
        <v>2846.0</v>
      </c>
      <c r="G7891" s="1">
        <v>20.0</v>
      </c>
    </row>
    <row r="7892">
      <c r="A7892" s="1" t="s">
        <v>8</v>
      </c>
      <c r="B7892" s="2">
        <v>44735.0</v>
      </c>
      <c r="C7892" s="3">
        <v>0.7179745370370371</v>
      </c>
      <c r="D7892" s="1">
        <v>12.802769</v>
      </c>
      <c r="E7892" s="1">
        <v>80.025392</v>
      </c>
      <c r="F7892" s="1">
        <v>2846.0</v>
      </c>
      <c r="G7892" s="1">
        <v>20.0</v>
      </c>
    </row>
    <row r="7893">
      <c r="A7893" s="1" t="s">
        <v>8</v>
      </c>
      <c r="B7893" s="2">
        <v>44735.0</v>
      </c>
      <c r="C7893" s="3">
        <v>0.718275462962963</v>
      </c>
      <c r="D7893" s="1">
        <v>12.986506</v>
      </c>
      <c r="E7893" s="1">
        <v>80.174684</v>
      </c>
      <c r="F7893" s="1">
        <v>805.0</v>
      </c>
      <c r="G7893" s="1">
        <v>0.0</v>
      </c>
    </row>
    <row r="7894">
      <c r="A7894" s="1" t="s">
        <v>8</v>
      </c>
      <c r="B7894" s="2">
        <v>44735.0</v>
      </c>
      <c r="C7894" s="3">
        <v>0.7182986111111112</v>
      </c>
      <c r="D7894" s="1">
        <v>12.986506</v>
      </c>
      <c r="E7894" s="1">
        <v>80.174684</v>
      </c>
      <c r="F7894" s="1">
        <v>805.0</v>
      </c>
      <c r="G7894" s="1">
        <v>0.0</v>
      </c>
    </row>
    <row r="7895">
      <c r="A7895" s="1" t="s">
        <v>8</v>
      </c>
      <c r="B7895" s="2">
        <v>44735.0</v>
      </c>
      <c r="C7895" s="3">
        <v>0.718587962962963</v>
      </c>
      <c r="D7895" s="1">
        <v>12.987451</v>
      </c>
      <c r="E7895" s="1">
        <v>80.175983</v>
      </c>
      <c r="F7895" s="1">
        <v>805.0</v>
      </c>
      <c r="G7895" s="1">
        <v>0.0</v>
      </c>
    </row>
    <row r="7896">
      <c r="A7896" s="1" t="s">
        <v>8</v>
      </c>
      <c r="B7896" s="2">
        <v>44735.0</v>
      </c>
      <c r="C7896" s="3">
        <v>0.7189930555555556</v>
      </c>
      <c r="D7896" s="1">
        <v>12.988476</v>
      </c>
      <c r="E7896" s="1">
        <v>80.17746</v>
      </c>
      <c r="F7896" s="1">
        <v>805.0</v>
      </c>
      <c r="G7896" s="1">
        <v>42.0</v>
      </c>
    </row>
    <row r="7897">
      <c r="A7897" s="1" t="s">
        <v>8</v>
      </c>
      <c r="B7897" s="2">
        <v>44735.0</v>
      </c>
      <c r="C7897" s="3">
        <v>0.7191782407407408</v>
      </c>
      <c r="D7897" s="1">
        <v>12.989489</v>
      </c>
      <c r="E7897" s="1">
        <v>80.178743</v>
      </c>
      <c r="F7897" s="1">
        <v>805.0</v>
      </c>
      <c r="G7897" s="1">
        <v>30.0</v>
      </c>
    </row>
    <row r="7898">
      <c r="A7898" s="1" t="s">
        <v>8</v>
      </c>
      <c r="B7898" s="2">
        <v>44735.0</v>
      </c>
      <c r="C7898" s="3">
        <v>0.7195138888888889</v>
      </c>
      <c r="D7898" s="1">
        <v>12.994186</v>
      </c>
      <c r="E7898" s="1">
        <v>80.185768</v>
      </c>
      <c r="F7898" s="1">
        <v>5339.0</v>
      </c>
      <c r="G7898" s="1">
        <v>35.0</v>
      </c>
    </row>
    <row r="7899">
      <c r="A7899" s="1" t="s">
        <v>7</v>
      </c>
      <c r="B7899" s="2">
        <v>44735.0</v>
      </c>
      <c r="C7899" s="3">
        <v>0.7198032407407408</v>
      </c>
      <c r="D7899" s="1">
        <v>12.993008</v>
      </c>
      <c r="E7899" s="1">
        <v>80.18362</v>
      </c>
      <c r="F7899" s="1">
        <v>805.0</v>
      </c>
      <c r="G7899" s="1">
        <v>44.0</v>
      </c>
    </row>
    <row r="7900">
      <c r="A7900" s="1" t="s">
        <v>8</v>
      </c>
      <c r="B7900" s="2">
        <v>44735.0</v>
      </c>
      <c r="C7900" s="3">
        <v>0.7201041666666667</v>
      </c>
      <c r="D7900" s="1">
        <v>12.996701</v>
      </c>
      <c r="E7900" s="1">
        <v>80.190008</v>
      </c>
      <c r="F7900" s="1">
        <v>5339.0</v>
      </c>
      <c r="G7900" s="1">
        <v>40.0</v>
      </c>
    </row>
    <row r="7901">
      <c r="A7901" s="1" t="s">
        <v>8</v>
      </c>
      <c r="B7901" s="2">
        <v>44735.0</v>
      </c>
      <c r="C7901" s="3">
        <v>0.7201041666666667</v>
      </c>
      <c r="D7901" s="1">
        <v>12.79134</v>
      </c>
      <c r="E7901" s="1">
        <v>80.01783</v>
      </c>
      <c r="F7901" s="1">
        <v>2846.0</v>
      </c>
      <c r="G7901" s="1">
        <v>58.0</v>
      </c>
    </row>
    <row r="7902">
      <c r="A7902" s="1" t="s">
        <v>8</v>
      </c>
      <c r="B7902" s="2">
        <v>44735.0</v>
      </c>
      <c r="C7902" s="3">
        <v>0.7201967592592593</v>
      </c>
      <c r="D7902" s="1">
        <v>12.997373</v>
      </c>
      <c r="E7902" s="1">
        <v>80.190817</v>
      </c>
      <c r="F7902" s="1">
        <v>5339.0</v>
      </c>
      <c r="G7902" s="1">
        <v>41.0</v>
      </c>
    </row>
    <row r="7903">
      <c r="A7903" s="1" t="s">
        <v>8</v>
      </c>
      <c r="B7903" s="2">
        <v>44735.0</v>
      </c>
      <c r="C7903" s="3">
        <v>0.7202893518518518</v>
      </c>
      <c r="D7903" s="1">
        <v>12.997932</v>
      </c>
      <c r="E7903" s="1">
        <v>80.191531</v>
      </c>
      <c r="F7903" s="1">
        <v>5339.0</v>
      </c>
      <c r="G7903" s="1">
        <v>29.0</v>
      </c>
    </row>
    <row r="7904">
      <c r="A7904" s="1" t="s">
        <v>8</v>
      </c>
      <c r="B7904" s="2">
        <v>44735.0</v>
      </c>
      <c r="C7904" s="3">
        <v>0.7202893518518518</v>
      </c>
      <c r="D7904" s="1">
        <v>12.997932</v>
      </c>
      <c r="E7904" s="1">
        <v>80.191531</v>
      </c>
      <c r="F7904" s="1">
        <v>5339.0</v>
      </c>
      <c r="G7904" s="1">
        <v>29.0</v>
      </c>
    </row>
    <row r="7905">
      <c r="A7905" s="1" t="s">
        <v>8</v>
      </c>
      <c r="B7905" s="2">
        <v>44735.0</v>
      </c>
      <c r="C7905" s="3">
        <v>0.7203009259259259</v>
      </c>
      <c r="D7905" s="1">
        <v>12.997932</v>
      </c>
      <c r="E7905" s="1">
        <v>80.191531</v>
      </c>
      <c r="F7905" s="1">
        <v>5339.0</v>
      </c>
      <c r="G7905" s="1">
        <v>29.0</v>
      </c>
    </row>
    <row r="7906">
      <c r="A7906" s="1" t="s">
        <v>8</v>
      </c>
      <c r="B7906" s="2">
        <v>44735.0</v>
      </c>
      <c r="C7906" s="3">
        <v>0.7203009259259259</v>
      </c>
      <c r="D7906" s="1">
        <v>12.997932</v>
      </c>
      <c r="E7906" s="1">
        <v>80.191531</v>
      </c>
      <c r="F7906" s="1">
        <v>5339.0</v>
      </c>
      <c r="G7906" s="1">
        <v>29.0</v>
      </c>
    </row>
    <row r="7907">
      <c r="A7907" s="1" t="s">
        <v>8</v>
      </c>
      <c r="B7907" s="2">
        <v>44735.0</v>
      </c>
      <c r="C7907" s="3">
        <v>0.7203125</v>
      </c>
      <c r="D7907" s="1">
        <v>12.997932</v>
      </c>
      <c r="E7907" s="1">
        <v>80.191531</v>
      </c>
      <c r="F7907" s="1">
        <v>5339.0</v>
      </c>
      <c r="G7907" s="1">
        <v>29.0</v>
      </c>
    </row>
    <row r="7908">
      <c r="A7908" s="1" t="s">
        <v>8</v>
      </c>
      <c r="B7908" s="2">
        <v>44735.0</v>
      </c>
      <c r="C7908" s="3">
        <v>0.7203125</v>
      </c>
      <c r="D7908" s="1">
        <v>12.997932</v>
      </c>
      <c r="E7908" s="1">
        <v>80.191531</v>
      </c>
      <c r="F7908" s="1">
        <v>5339.0</v>
      </c>
      <c r="G7908" s="1">
        <v>29.0</v>
      </c>
    </row>
    <row r="7909">
      <c r="A7909" s="1" t="s">
        <v>7</v>
      </c>
      <c r="B7909" s="2">
        <v>44735.0</v>
      </c>
      <c r="C7909" s="3">
        <v>0.7203240740740741</v>
      </c>
      <c r="D7909" s="1">
        <v>12.79134</v>
      </c>
      <c r="E7909" s="1">
        <v>80.01783</v>
      </c>
      <c r="F7909" s="1">
        <v>2846.0</v>
      </c>
      <c r="G7909" s="1">
        <v>58.0</v>
      </c>
    </row>
    <row r="7910">
      <c r="A7910" s="1" t="s">
        <v>8</v>
      </c>
      <c r="B7910" s="2">
        <v>44735.0</v>
      </c>
      <c r="C7910" s="3">
        <v>0.7203587962962963</v>
      </c>
      <c r="D7910" s="1">
        <v>12.998316</v>
      </c>
      <c r="E7910" s="1">
        <v>80.191996</v>
      </c>
      <c r="F7910" s="1">
        <v>5339.0</v>
      </c>
      <c r="G7910" s="1">
        <v>28.0</v>
      </c>
    </row>
    <row r="7911">
      <c r="A7911" s="1" t="s">
        <v>8</v>
      </c>
      <c r="B7911" s="2">
        <v>44735.0</v>
      </c>
      <c r="C7911" s="3">
        <v>0.7203819444444445</v>
      </c>
      <c r="D7911" s="1">
        <v>12.998316</v>
      </c>
      <c r="E7911" s="1">
        <v>80.191996</v>
      </c>
      <c r="F7911" s="1">
        <v>5339.0</v>
      </c>
      <c r="G7911" s="1">
        <v>28.0</v>
      </c>
    </row>
    <row r="7912">
      <c r="A7912" s="1" t="s">
        <v>8</v>
      </c>
      <c r="B7912" s="2">
        <v>44735.0</v>
      </c>
      <c r="C7912" s="3">
        <v>0.7205555555555555</v>
      </c>
      <c r="D7912" s="1">
        <v>12.998831</v>
      </c>
      <c r="E7912" s="1">
        <v>80.192651</v>
      </c>
      <c r="F7912" s="1">
        <v>5339.0</v>
      </c>
      <c r="G7912" s="1">
        <v>23.0</v>
      </c>
    </row>
    <row r="7913">
      <c r="A7913" s="1" t="s">
        <v>8</v>
      </c>
      <c r="B7913" s="2">
        <v>44735.0</v>
      </c>
      <c r="C7913" s="3">
        <v>0.7205787037037037</v>
      </c>
      <c r="D7913" s="1">
        <v>12.998831</v>
      </c>
      <c r="E7913" s="1">
        <v>80.192651</v>
      </c>
      <c r="F7913" s="1">
        <v>5339.0</v>
      </c>
      <c r="G7913" s="1">
        <v>23.0</v>
      </c>
    </row>
    <row r="7914">
      <c r="A7914" s="1" t="s">
        <v>8</v>
      </c>
      <c r="B7914" s="2">
        <v>44735.0</v>
      </c>
      <c r="C7914" s="3">
        <v>0.7205902777777777</v>
      </c>
      <c r="D7914" s="1">
        <v>12.998831</v>
      </c>
      <c r="E7914" s="1">
        <v>80.192651</v>
      </c>
      <c r="F7914" s="1">
        <v>5339.0</v>
      </c>
      <c r="G7914" s="1">
        <v>23.0</v>
      </c>
    </row>
    <row r="7915">
      <c r="A7915" s="1" t="s">
        <v>8</v>
      </c>
      <c r="B7915" s="2">
        <v>44735.0</v>
      </c>
      <c r="C7915" s="3">
        <v>0.7205902777777777</v>
      </c>
      <c r="D7915" s="1">
        <v>12.998831</v>
      </c>
      <c r="E7915" s="1">
        <v>80.192651</v>
      </c>
      <c r="F7915" s="1">
        <v>5339.0</v>
      </c>
      <c r="G7915" s="1">
        <v>23.0</v>
      </c>
    </row>
    <row r="7916">
      <c r="A7916" s="1" t="s">
        <v>8</v>
      </c>
      <c r="B7916" s="2">
        <v>44735.0</v>
      </c>
      <c r="C7916" s="3">
        <v>0.7206134259259259</v>
      </c>
      <c r="D7916" s="1">
        <v>12.999249</v>
      </c>
      <c r="E7916" s="1">
        <v>80.193174</v>
      </c>
      <c r="F7916" s="1">
        <v>5339.0</v>
      </c>
      <c r="G7916" s="1">
        <v>31.0</v>
      </c>
    </row>
    <row r="7917">
      <c r="A7917" s="1" t="s">
        <v>8</v>
      </c>
      <c r="B7917" s="2">
        <v>44735.0</v>
      </c>
      <c r="C7917" s="3">
        <v>0.7207175925925926</v>
      </c>
      <c r="D7917" s="1">
        <v>12.995798</v>
      </c>
      <c r="E7917" s="1">
        <v>80.188924</v>
      </c>
      <c r="F7917" s="1">
        <v>805.0</v>
      </c>
      <c r="G7917" s="1">
        <v>6.0</v>
      </c>
    </row>
    <row r="7918">
      <c r="A7918" s="1" t="s">
        <v>8</v>
      </c>
      <c r="B7918" s="2">
        <v>44735.0</v>
      </c>
      <c r="C7918" s="3">
        <v>0.7207291666666666</v>
      </c>
      <c r="D7918" s="1">
        <v>12.999691</v>
      </c>
      <c r="E7918" s="1">
        <v>80.193754</v>
      </c>
      <c r="F7918" s="1">
        <v>5339.0</v>
      </c>
      <c r="G7918" s="1">
        <v>28.0</v>
      </c>
    </row>
    <row r="7919">
      <c r="A7919" s="1" t="s">
        <v>8</v>
      </c>
      <c r="B7919" s="2">
        <v>44735.0</v>
      </c>
      <c r="C7919" s="3">
        <v>0.7210416666666667</v>
      </c>
      <c r="D7919" s="1">
        <v>12.996204</v>
      </c>
      <c r="E7919" s="1">
        <v>80.189444</v>
      </c>
      <c r="F7919" s="1">
        <v>805.0</v>
      </c>
      <c r="G7919" s="1">
        <v>19.0</v>
      </c>
    </row>
    <row r="7920">
      <c r="A7920" s="1" t="s">
        <v>8</v>
      </c>
      <c r="B7920" s="2">
        <v>44735.0</v>
      </c>
      <c r="C7920" s="3">
        <v>0.7210763888888889</v>
      </c>
      <c r="D7920" s="1">
        <v>12.781469</v>
      </c>
      <c r="E7920" s="1">
        <v>80.012453</v>
      </c>
      <c r="F7920" s="1">
        <v>2846.0</v>
      </c>
      <c r="G7920" s="1">
        <v>58.0</v>
      </c>
    </row>
    <row r="7921">
      <c r="A7921" s="1" t="s">
        <v>8</v>
      </c>
      <c r="B7921" s="2">
        <v>44735.0</v>
      </c>
      <c r="C7921" s="3">
        <v>0.7212268518518519</v>
      </c>
      <c r="D7921" s="1">
        <v>12.996912</v>
      </c>
      <c r="E7921" s="1">
        <v>80.190249</v>
      </c>
      <c r="F7921" s="1">
        <v>805.0</v>
      </c>
      <c r="G7921" s="1">
        <v>33.0</v>
      </c>
    </row>
    <row r="7922">
      <c r="A7922" s="1" t="s">
        <v>8</v>
      </c>
      <c r="B7922" s="2">
        <v>44735.0</v>
      </c>
      <c r="C7922" s="3">
        <v>0.7212615740740741</v>
      </c>
      <c r="D7922" s="1">
        <v>12.996912</v>
      </c>
      <c r="E7922" s="1">
        <v>80.190249</v>
      </c>
      <c r="F7922" s="1">
        <v>805.0</v>
      </c>
      <c r="G7922" s="1">
        <v>33.0</v>
      </c>
    </row>
    <row r="7923">
      <c r="A7923" s="1" t="s">
        <v>7</v>
      </c>
      <c r="B7923" s="2">
        <v>44735.0</v>
      </c>
      <c r="C7923" s="3">
        <v>0.7214236111111111</v>
      </c>
      <c r="D7923" s="1">
        <v>12.777085</v>
      </c>
      <c r="E7923" s="1">
        <v>80.010549</v>
      </c>
      <c r="F7923" s="1">
        <v>2846.0</v>
      </c>
      <c r="G7923" s="1">
        <v>56.0</v>
      </c>
    </row>
    <row r="7924">
      <c r="A7924" s="1" t="s">
        <v>8</v>
      </c>
      <c r="B7924" s="2">
        <v>44735.0</v>
      </c>
      <c r="C7924" s="3">
        <v>0.7215162037037037</v>
      </c>
      <c r="D7924" s="1">
        <v>12.998619</v>
      </c>
      <c r="E7924" s="1">
        <v>80.192387</v>
      </c>
      <c r="F7924" s="1">
        <v>805.0</v>
      </c>
      <c r="G7924" s="1">
        <v>32.0</v>
      </c>
    </row>
    <row r="7925">
      <c r="A7925" s="1" t="s">
        <v>8</v>
      </c>
      <c r="B7925" s="2">
        <v>44735.0</v>
      </c>
      <c r="C7925" s="3">
        <v>0.7215277777777778</v>
      </c>
      <c r="D7925" s="1">
        <v>12.998619</v>
      </c>
      <c r="E7925" s="1">
        <v>80.192387</v>
      </c>
      <c r="F7925" s="1">
        <v>805.0</v>
      </c>
      <c r="G7925" s="1">
        <v>32.0</v>
      </c>
    </row>
    <row r="7926">
      <c r="A7926" s="1" t="s">
        <v>8</v>
      </c>
      <c r="B7926" s="2">
        <v>44735.0</v>
      </c>
      <c r="C7926" s="3">
        <v>0.7215393518518518</v>
      </c>
      <c r="D7926" s="1">
        <v>12.998619</v>
      </c>
      <c r="E7926" s="1">
        <v>80.192387</v>
      </c>
      <c r="F7926" s="1">
        <v>805.0</v>
      </c>
      <c r="G7926" s="1">
        <v>32.0</v>
      </c>
    </row>
    <row r="7927">
      <c r="A7927" s="1" t="s">
        <v>8</v>
      </c>
      <c r="B7927" s="2">
        <v>44735.0</v>
      </c>
      <c r="C7927" s="3">
        <v>0.721724537037037</v>
      </c>
      <c r="D7927" s="1">
        <v>12.775163</v>
      </c>
      <c r="E7927" s="1">
        <v>80.009702</v>
      </c>
      <c r="F7927" s="1">
        <v>2846.0</v>
      </c>
      <c r="G7927" s="1">
        <v>48.0</v>
      </c>
    </row>
    <row r="7928">
      <c r="A7928" s="1" t="s">
        <v>8</v>
      </c>
      <c r="B7928" s="2">
        <v>44735.0</v>
      </c>
      <c r="C7928" s="3">
        <v>0.7217708333333334</v>
      </c>
      <c r="D7928" s="1">
        <v>13.002035</v>
      </c>
      <c r="E7928" s="1">
        <v>80.197704</v>
      </c>
      <c r="F7928" s="1">
        <v>5339.0</v>
      </c>
      <c r="G7928" s="1">
        <v>41.0</v>
      </c>
    </row>
    <row r="7929">
      <c r="A7929" s="1" t="s">
        <v>8</v>
      </c>
      <c r="B7929" s="2">
        <v>44735.0</v>
      </c>
      <c r="C7929" s="3">
        <v>0.7218171296296296</v>
      </c>
      <c r="D7929" s="1">
        <v>13.002035</v>
      </c>
      <c r="E7929" s="1">
        <v>80.197704</v>
      </c>
      <c r="F7929" s="1">
        <v>5339.0</v>
      </c>
      <c r="G7929" s="1">
        <v>41.0</v>
      </c>
    </row>
    <row r="7930">
      <c r="A7930" s="1" t="s">
        <v>8</v>
      </c>
      <c r="B7930" s="2">
        <v>44735.0</v>
      </c>
      <c r="C7930" s="3">
        <v>0.7219444444444445</v>
      </c>
      <c r="D7930" s="1">
        <v>13.001848</v>
      </c>
      <c r="E7930" s="1">
        <v>80.198837</v>
      </c>
      <c r="F7930" s="1">
        <v>5339.0</v>
      </c>
      <c r="G7930" s="1">
        <v>46.0</v>
      </c>
    </row>
    <row r="7931">
      <c r="A7931" s="1" t="s">
        <v>9</v>
      </c>
      <c r="B7931" s="2">
        <v>44735.0</v>
      </c>
      <c r="C7931" s="3">
        <v>0.7219675925925926</v>
      </c>
      <c r="D7931" s="1">
        <v>13.001848</v>
      </c>
      <c r="E7931" s="1">
        <v>80.198837</v>
      </c>
      <c r="F7931" s="1">
        <v>5339.0</v>
      </c>
      <c r="G7931" s="1">
        <v>46.0</v>
      </c>
    </row>
    <row r="7932">
      <c r="A7932" s="1" t="s">
        <v>8</v>
      </c>
      <c r="B7932" s="2">
        <v>44735.0</v>
      </c>
      <c r="C7932" s="3">
        <v>0.7220023148148148</v>
      </c>
      <c r="D7932" s="1">
        <v>12.771229</v>
      </c>
      <c r="E7932" s="1">
        <v>80.007904</v>
      </c>
      <c r="F7932" s="1">
        <v>2846.0</v>
      </c>
      <c r="G7932" s="1">
        <v>47.0</v>
      </c>
    </row>
    <row r="7933">
      <c r="A7933" s="1" t="s">
        <v>8</v>
      </c>
      <c r="B7933" s="2">
        <v>44735.0</v>
      </c>
      <c r="C7933" s="3">
        <v>0.7222106481481482</v>
      </c>
      <c r="D7933" s="1">
        <v>13.000817</v>
      </c>
      <c r="E7933" s="1">
        <v>80.195096</v>
      </c>
      <c r="F7933" s="1">
        <v>805.0</v>
      </c>
      <c r="G7933" s="1">
        <v>25.0</v>
      </c>
    </row>
    <row r="7934">
      <c r="A7934" s="1" t="s">
        <v>8</v>
      </c>
      <c r="B7934" s="2">
        <v>44735.0</v>
      </c>
      <c r="C7934" s="3">
        <v>0.7224189814814815</v>
      </c>
      <c r="D7934" s="1">
        <v>13.001325</v>
      </c>
      <c r="E7934" s="1">
        <v>80.195716</v>
      </c>
      <c r="F7934" s="1">
        <v>805.0</v>
      </c>
      <c r="G7934" s="1">
        <v>23.0</v>
      </c>
    </row>
    <row r="7935">
      <c r="A7935" s="1" t="s">
        <v>9</v>
      </c>
      <c r="B7935" s="2">
        <v>44735.0</v>
      </c>
      <c r="C7935" s="3">
        <v>0.7224884259259259</v>
      </c>
      <c r="D7935" s="1">
        <v>13.001976</v>
      </c>
      <c r="E7935" s="1">
        <v>80.196614</v>
      </c>
      <c r="F7935" s="1">
        <v>805.0</v>
      </c>
      <c r="G7935" s="1">
        <v>33.0</v>
      </c>
    </row>
    <row r="7936">
      <c r="A7936" s="1" t="s">
        <v>8</v>
      </c>
      <c r="B7936" s="2">
        <v>44735.0</v>
      </c>
      <c r="C7936" s="3">
        <v>0.7225115740740741</v>
      </c>
      <c r="D7936" s="1">
        <v>13.005502</v>
      </c>
      <c r="E7936" s="1">
        <v>80.201733</v>
      </c>
      <c r="F7936" s="1">
        <v>5339.0</v>
      </c>
      <c r="G7936" s="1">
        <v>45.0</v>
      </c>
    </row>
    <row r="7937">
      <c r="A7937" s="1" t="s">
        <v>8</v>
      </c>
      <c r="B7937" s="2">
        <v>44735.0</v>
      </c>
      <c r="C7937" s="3">
        <v>0.7226736111111111</v>
      </c>
      <c r="D7937" s="1">
        <v>13.002</v>
      </c>
      <c r="E7937" s="1">
        <v>80.198133</v>
      </c>
      <c r="F7937" s="1">
        <v>805.0</v>
      </c>
      <c r="G7937" s="1">
        <v>43.0</v>
      </c>
    </row>
    <row r="7938">
      <c r="A7938" s="1" t="s">
        <v>8</v>
      </c>
      <c r="B7938" s="2">
        <v>44735.0</v>
      </c>
      <c r="C7938" s="3">
        <v>0.7227083333333333</v>
      </c>
      <c r="D7938" s="1">
        <v>13.006788</v>
      </c>
      <c r="E7938" s="1">
        <v>80.203364</v>
      </c>
      <c r="F7938" s="1">
        <v>5339.0</v>
      </c>
      <c r="G7938" s="1">
        <v>37.0</v>
      </c>
    </row>
    <row r="7939">
      <c r="A7939" s="1" t="s">
        <v>8</v>
      </c>
      <c r="B7939" s="2">
        <v>44735.0</v>
      </c>
      <c r="C7939" s="3">
        <v>0.7227199074074074</v>
      </c>
      <c r="D7939" s="1">
        <v>13.006788</v>
      </c>
      <c r="E7939" s="1">
        <v>80.203364</v>
      </c>
      <c r="F7939" s="1">
        <v>5339.0</v>
      </c>
      <c r="G7939" s="1">
        <v>37.0</v>
      </c>
    </row>
    <row r="7940">
      <c r="A7940" s="1" t="s">
        <v>8</v>
      </c>
      <c r="B7940" s="2">
        <v>44735.0</v>
      </c>
      <c r="C7940" s="3">
        <v>0.7227777777777777</v>
      </c>
      <c r="D7940" s="1">
        <v>13.006788</v>
      </c>
      <c r="E7940" s="1">
        <v>80.203364</v>
      </c>
      <c r="F7940" s="1">
        <v>5339.0</v>
      </c>
      <c r="G7940" s="1">
        <v>37.0</v>
      </c>
    </row>
    <row r="7941">
      <c r="A7941" s="1" t="s">
        <v>8</v>
      </c>
      <c r="B7941" s="2">
        <v>44735.0</v>
      </c>
      <c r="C7941" s="3">
        <v>0.7231018518518518</v>
      </c>
      <c r="D7941" s="1">
        <v>13.002841</v>
      </c>
      <c r="E7941" s="1">
        <v>80.200617</v>
      </c>
      <c r="F7941" s="1">
        <v>805.0</v>
      </c>
      <c r="G7941" s="1">
        <v>23.0</v>
      </c>
    </row>
    <row r="7942">
      <c r="A7942" s="1" t="s">
        <v>8</v>
      </c>
      <c r="B7942" s="2">
        <v>44735.0</v>
      </c>
      <c r="C7942" s="3">
        <v>0.7231018518518518</v>
      </c>
      <c r="D7942" s="1">
        <v>13.002841</v>
      </c>
      <c r="E7942" s="1">
        <v>80.200617</v>
      </c>
      <c r="F7942" s="1">
        <v>805.0</v>
      </c>
      <c r="G7942" s="1">
        <v>23.0</v>
      </c>
    </row>
    <row r="7943">
      <c r="A7943" s="1" t="s">
        <v>8</v>
      </c>
      <c r="B7943" s="2">
        <v>44735.0</v>
      </c>
      <c r="C7943" s="3">
        <v>0.723113425925926</v>
      </c>
      <c r="D7943" s="1">
        <v>13.002841</v>
      </c>
      <c r="E7943" s="1">
        <v>80.200617</v>
      </c>
      <c r="F7943" s="1">
        <v>805.0</v>
      </c>
      <c r="G7943" s="1">
        <v>23.0</v>
      </c>
    </row>
    <row r="7944">
      <c r="A7944" s="1" t="s">
        <v>8</v>
      </c>
      <c r="B7944" s="2">
        <v>44735.0</v>
      </c>
      <c r="C7944" s="3">
        <v>0.7234375</v>
      </c>
      <c r="D7944" s="1">
        <v>13.007615</v>
      </c>
      <c r="E7944" s="1">
        <v>80.205288</v>
      </c>
      <c r="F7944" s="1">
        <v>5339.0</v>
      </c>
      <c r="G7944" s="1">
        <v>49.0</v>
      </c>
    </row>
    <row r="7945">
      <c r="A7945" s="1" t="s">
        <v>8</v>
      </c>
      <c r="B7945" s="2">
        <v>44735.0</v>
      </c>
      <c r="C7945" s="3">
        <v>0.7236689814814815</v>
      </c>
      <c r="D7945" s="1">
        <v>13.004794</v>
      </c>
      <c r="E7945" s="1">
        <v>80.201173</v>
      </c>
      <c r="F7945" s="1">
        <v>805.0</v>
      </c>
      <c r="G7945" s="1">
        <v>28.0</v>
      </c>
    </row>
    <row r="7946">
      <c r="A7946" s="1" t="s">
        <v>8</v>
      </c>
      <c r="B7946" s="2">
        <v>44735.0</v>
      </c>
      <c r="C7946" s="3">
        <v>0.7237731481481482</v>
      </c>
      <c r="D7946" s="1">
        <v>13.00797</v>
      </c>
      <c r="E7946" s="1">
        <v>80.208004</v>
      </c>
      <c r="F7946" s="1">
        <v>5339.0</v>
      </c>
      <c r="G7946" s="1">
        <v>19.0</v>
      </c>
    </row>
    <row r="7947">
      <c r="A7947" s="1" t="s">
        <v>8</v>
      </c>
      <c r="B7947" s="2">
        <v>44735.0</v>
      </c>
      <c r="C7947" s="3">
        <v>0.7237731481481482</v>
      </c>
      <c r="D7947" s="1">
        <v>13.00797</v>
      </c>
      <c r="E7947" s="1">
        <v>80.208004</v>
      </c>
      <c r="F7947" s="1">
        <v>5339.0</v>
      </c>
      <c r="G7947" s="1">
        <v>19.0</v>
      </c>
    </row>
    <row r="7948">
      <c r="A7948" s="1" t="s">
        <v>8</v>
      </c>
      <c r="B7948" s="2">
        <v>44735.0</v>
      </c>
      <c r="C7948" s="3">
        <v>0.723912037037037</v>
      </c>
      <c r="D7948" s="1">
        <v>13.00592</v>
      </c>
      <c r="E7948" s="1">
        <v>80.202334</v>
      </c>
      <c r="F7948" s="1">
        <v>805.0</v>
      </c>
      <c r="G7948" s="1">
        <v>43.0</v>
      </c>
    </row>
    <row r="7949">
      <c r="A7949" s="1" t="s">
        <v>8</v>
      </c>
      <c r="B7949" s="2">
        <v>44735.0</v>
      </c>
      <c r="C7949" s="3">
        <v>0.7239699074074074</v>
      </c>
      <c r="D7949" s="1">
        <v>13.007138</v>
      </c>
      <c r="E7949" s="1">
        <v>80.203494</v>
      </c>
      <c r="F7949" s="1">
        <v>805.0</v>
      </c>
      <c r="G7949" s="1">
        <v>37.0</v>
      </c>
    </row>
    <row r="7950">
      <c r="A7950" s="1" t="s">
        <v>8</v>
      </c>
      <c r="B7950" s="2">
        <v>44735.0</v>
      </c>
      <c r="C7950" s="3">
        <v>0.7240277777777778</v>
      </c>
      <c r="D7950" s="1">
        <v>13.007138</v>
      </c>
      <c r="E7950" s="1">
        <v>80.203494</v>
      </c>
      <c r="F7950" s="1">
        <v>805.0</v>
      </c>
      <c r="G7950" s="1">
        <v>37.0</v>
      </c>
    </row>
    <row r="7951">
      <c r="A7951" s="1" t="s">
        <v>8</v>
      </c>
      <c r="B7951" s="2">
        <v>44735.0</v>
      </c>
      <c r="C7951" s="3">
        <v>0.7243055555555555</v>
      </c>
      <c r="D7951" s="1">
        <v>13.00766</v>
      </c>
      <c r="E7951" s="1">
        <v>80.202921</v>
      </c>
      <c r="F7951" s="1">
        <v>805.0</v>
      </c>
      <c r="G7951" s="1">
        <v>37.0</v>
      </c>
    </row>
    <row r="7952">
      <c r="A7952" s="1" t="s">
        <v>8</v>
      </c>
      <c r="B7952" s="2">
        <v>44735.0</v>
      </c>
      <c r="C7952" s="3">
        <v>0.7243055555555555</v>
      </c>
      <c r="D7952" s="1">
        <v>13.009104</v>
      </c>
      <c r="E7952" s="1">
        <v>80.212037</v>
      </c>
      <c r="F7952" s="1">
        <v>5339.0</v>
      </c>
      <c r="G7952" s="1">
        <v>31.0</v>
      </c>
    </row>
    <row r="7953">
      <c r="A7953" s="1" t="s">
        <v>8</v>
      </c>
      <c r="B7953" s="2">
        <v>44735.0</v>
      </c>
      <c r="C7953" s="3">
        <v>0.7244907407407407</v>
      </c>
      <c r="D7953" s="1">
        <v>13.007645</v>
      </c>
      <c r="E7953" s="1">
        <v>80.204606</v>
      </c>
      <c r="F7953" s="1">
        <v>805.0</v>
      </c>
      <c r="G7953" s="1">
        <v>44.0</v>
      </c>
    </row>
    <row r="7954">
      <c r="A7954" s="1" t="s">
        <v>7</v>
      </c>
      <c r="B7954" s="2">
        <v>44735.0</v>
      </c>
      <c r="C7954" s="3">
        <v>0.7247685185185185</v>
      </c>
      <c r="D7954" s="1">
        <v>12.754064</v>
      </c>
      <c r="E7954" s="1">
        <v>80.000798</v>
      </c>
      <c r="F7954" s="1">
        <v>2846.0</v>
      </c>
      <c r="G7954" s="1">
        <v>59.0</v>
      </c>
    </row>
    <row r="7955">
      <c r="A7955" s="1" t="s">
        <v>8</v>
      </c>
      <c r="B7955" s="2">
        <v>44735.0</v>
      </c>
      <c r="C7955" s="3">
        <v>0.7247685185185185</v>
      </c>
      <c r="D7955" s="1">
        <v>13.007753</v>
      </c>
      <c r="E7955" s="1">
        <v>80.206501</v>
      </c>
      <c r="F7955" s="1">
        <v>805.0</v>
      </c>
      <c r="G7955" s="1">
        <v>46.0</v>
      </c>
    </row>
    <row r="7956">
      <c r="A7956" s="1" t="s">
        <v>8</v>
      </c>
      <c r="B7956" s="2">
        <v>44735.0</v>
      </c>
      <c r="C7956" s="3">
        <v>0.7267361111111111</v>
      </c>
      <c r="D7956" s="1">
        <v>13.011206</v>
      </c>
      <c r="E7956" s="1">
        <v>80.217652</v>
      </c>
      <c r="F7956" s="1">
        <v>805.0</v>
      </c>
      <c r="G7956" s="1">
        <v>13.0</v>
      </c>
    </row>
    <row r="7957">
      <c r="A7957" s="1" t="s">
        <v>8</v>
      </c>
      <c r="B7957" s="2">
        <v>44735.0</v>
      </c>
      <c r="C7957" s="3">
        <v>0.7270833333333333</v>
      </c>
      <c r="D7957" s="1">
        <v>13.013003</v>
      </c>
      <c r="E7957" s="1">
        <v>80.222092</v>
      </c>
      <c r="F7957" s="1">
        <v>5339.0</v>
      </c>
      <c r="G7957" s="1">
        <v>22.0</v>
      </c>
    </row>
    <row r="7958">
      <c r="A7958" s="1" t="s">
        <v>8</v>
      </c>
      <c r="B7958" s="2">
        <v>44735.0</v>
      </c>
      <c r="C7958" s="3">
        <v>0.7271527777777778</v>
      </c>
      <c r="D7958" s="1">
        <v>13.01168</v>
      </c>
      <c r="E7958" s="1">
        <v>80.219039</v>
      </c>
      <c r="F7958" s="1">
        <v>805.0</v>
      </c>
      <c r="G7958" s="1">
        <v>36.0</v>
      </c>
    </row>
    <row r="7959">
      <c r="A7959" s="1" t="s">
        <v>8</v>
      </c>
      <c r="B7959" s="2">
        <v>44735.0</v>
      </c>
      <c r="C7959" s="3">
        <v>0.7272800925925926</v>
      </c>
      <c r="D7959" s="1">
        <v>13.01168</v>
      </c>
      <c r="E7959" s="1">
        <v>80.219039</v>
      </c>
      <c r="F7959" s="1">
        <v>805.0</v>
      </c>
      <c r="G7959" s="1">
        <v>36.0</v>
      </c>
    </row>
    <row r="7960">
      <c r="A7960" s="1" t="s">
        <v>8</v>
      </c>
      <c r="B7960" s="2">
        <v>44735.0</v>
      </c>
      <c r="C7960" s="3">
        <v>0.7274652777777778</v>
      </c>
      <c r="D7960" s="1">
        <v>13.014516</v>
      </c>
      <c r="E7960" s="1">
        <v>80.223904</v>
      </c>
      <c r="F7960" s="1">
        <v>5339.0</v>
      </c>
      <c r="G7960" s="1">
        <v>32.0</v>
      </c>
    </row>
    <row r="7961">
      <c r="A7961" s="1" t="s">
        <v>8</v>
      </c>
      <c r="B7961" s="2">
        <v>44735.0</v>
      </c>
      <c r="C7961" s="3">
        <v>0.727662037037037</v>
      </c>
      <c r="D7961" s="1">
        <v>13.018803</v>
      </c>
      <c r="E7961" s="1">
        <v>80.224385</v>
      </c>
      <c r="F7961" s="1">
        <v>5339.0</v>
      </c>
      <c r="G7961" s="1">
        <v>32.0</v>
      </c>
    </row>
    <row r="7962">
      <c r="A7962" s="1" t="s">
        <v>8</v>
      </c>
      <c r="B7962" s="2">
        <v>44735.0</v>
      </c>
      <c r="C7962" s="3">
        <v>0.7276851851851852</v>
      </c>
      <c r="D7962" s="1">
        <v>13.018803</v>
      </c>
      <c r="E7962" s="1">
        <v>80.224385</v>
      </c>
      <c r="F7962" s="1">
        <v>5339.0</v>
      </c>
      <c r="G7962" s="1">
        <v>32.0</v>
      </c>
    </row>
    <row r="7963">
      <c r="A7963" s="1" t="s">
        <v>8</v>
      </c>
      <c r="B7963" s="2">
        <v>44735.0</v>
      </c>
      <c r="C7963" s="3">
        <v>0.7277083333333333</v>
      </c>
      <c r="D7963" s="1">
        <v>13.018803</v>
      </c>
      <c r="E7963" s="1">
        <v>80.224385</v>
      </c>
      <c r="F7963" s="1">
        <v>5339.0</v>
      </c>
      <c r="G7963" s="1">
        <v>32.0</v>
      </c>
    </row>
    <row r="7964">
      <c r="A7964" s="1" t="s">
        <v>8</v>
      </c>
      <c r="B7964" s="2">
        <v>44735.0</v>
      </c>
      <c r="C7964" s="3">
        <v>0.7277199074074074</v>
      </c>
      <c r="D7964" s="1">
        <v>13.018803</v>
      </c>
      <c r="E7964" s="1">
        <v>80.224385</v>
      </c>
      <c r="F7964" s="1">
        <v>5339.0</v>
      </c>
      <c r="G7964" s="1">
        <v>32.0</v>
      </c>
    </row>
    <row r="7965">
      <c r="A7965" s="1" t="s">
        <v>8</v>
      </c>
      <c r="B7965" s="2">
        <v>44735.0</v>
      </c>
      <c r="C7965" s="3">
        <v>0.7283333333333334</v>
      </c>
      <c r="D7965" s="1">
        <v>13.021808</v>
      </c>
      <c r="E7965" s="1">
        <v>80.22603</v>
      </c>
      <c r="F7965" s="1">
        <v>5339.0</v>
      </c>
      <c r="G7965" s="1">
        <v>36.0</v>
      </c>
    </row>
    <row r="7966">
      <c r="A7966" s="1" t="s">
        <v>8</v>
      </c>
      <c r="B7966" s="2">
        <v>44735.0</v>
      </c>
      <c r="C7966" s="3">
        <v>0.7283449074074074</v>
      </c>
      <c r="D7966" s="1">
        <v>13.015215</v>
      </c>
      <c r="E7966" s="1">
        <v>80.224817</v>
      </c>
      <c r="F7966" s="1">
        <v>805.0</v>
      </c>
      <c r="G7966" s="1">
        <v>20.0</v>
      </c>
    </row>
    <row r="7967">
      <c r="A7967" s="1" t="s">
        <v>8</v>
      </c>
      <c r="B7967" s="2">
        <v>44735.0</v>
      </c>
      <c r="C7967" s="3">
        <v>0.7283449074074074</v>
      </c>
      <c r="D7967" s="1">
        <v>13.021808</v>
      </c>
      <c r="E7967" s="1">
        <v>80.22603</v>
      </c>
      <c r="F7967" s="1">
        <v>5339.0</v>
      </c>
      <c r="G7967" s="1">
        <v>36.0</v>
      </c>
    </row>
    <row r="7968">
      <c r="A7968" s="1" t="s">
        <v>8</v>
      </c>
      <c r="B7968" s="2">
        <v>44735.0</v>
      </c>
      <c r="C7968" s="3">
        <v>0.7283564814814815</v>
      </c>
      <c r="D7968" s="1">
        <v>13.015215</v>
      </c>
      <c r="E7968" s="1">
        <v>80.224817</v>
      </c>
      <c r="F7968" s="1">
        <v>805.0</v>
      </c>
      <c r="G7968" s="1">
        <v>20.0</v>
      </c>
    </row>
    <row r="7969">
      <c r="A7969" s="1" t="s">
        <v>8</v>
      </c>
      <c r="B7969" s="2">
        <v>44735.0</v>
      </c>
      <c r="C7969" s="3">
        <v>0.7284027777777777</v>
      </c>
      <c r="D7969" s="1">
        <v>13.015451</v>
      </c>
      <c r="E7969" s="1">
        <v>80.225392</v>
      </c>
      <c r="F7969" s="1">
        <v>805.0</v>
      </c>
      <c r="G7969" s="1">
        <v>15.0</v>
      </c>
    </row>
    <row r="7970">
      <c r="A7970" s="1" t="s">
        <v>8</v>
      </c>
      <c r="B7970" s="2">
        <v>44735.0</v>
      </c>
      <c r="C7970" s="3">
        <v>0.7285879629629629</v>
      </c>
      <c r="D7970" s="1">
        <v>13.015243</v>
      </c>
      <c r="E7970" s="1">
        <v>80.225786</v>
      </c>
      <c r="F7970" s="1">
        <v>805.0</v>
      </c>
      <c r="G7970" s="1">
        <v>0.0</v>
      </c>
    </row>
    <row r="7971">
      <c r="A7971" s="1" t="s">
        <v>7</v>
      </c>
      <c r="B7971" s="2">
        <v>44735.0</v>
      </c>
      <c r="C7971" s="3">
        <v>0.7287962962962963</v>
      </c>
      <c r="D7971" s="1">
        <v>13.014426</v>
      </c>
      <c r="E7971" s="1">
        <v>80.226153</v>
      </c>
      <c r="F7971" s="1">
        <v>805.0</v>
      </c>
      <c r="G7971" s="1">
        <v>29.0</v>
      </c>
    </row>
    <row r="7972">
      <c r="A7972" s="1" t="s">
        <v>8</v>
      </c>
      <c r="B7972" s="2">
        <v>44735.0</v>
      </c>
      <c r="C7972" s="3">
        <v>0.729224537037037</v>
      </c>
      <c r="D7972" s="1">
        <v>13.024357</v>
      </c>
      <c r="E7972" s="1">
        <v>80.228552</v>
      </c>
      <c r="F7972" s="1">
        <v>5339.0</v>
      </c>
      <c r="G7972" s="1">
        <v>25.0</v>
      </c>
    </row>
    <row r="7973">
      <c r="A7973" s="1" t="s">
        <v>8</v>
      </c>
      <c r="B7973" s="2">
        <v>44735.0</v>
      </c>
      <c r="C7973" s="3">
        <v>0.729224537037037</v>
      </c>
      <c r="D7973" s="1">
        <v>13.024357</v>
      </c>
      <c r="E7973" s="1">
        <v>80.228552</v>
      </c>
      <c r="F7973" s="1">
        <v>5339.0</v>
      </c>
      <c r="G7973" s="1">
        <v>25.0</v>
      </c>
    </row>
    <row r="7974">
      <c r="A7974" s="1" t="s">
        <v>8</v>
      </c>
      <c r="B7974" s="2">
        <v>44735.0</v>
      </c>
      <c r="C7974" s="3">
        <v>0.7292361111111111</v>
      </c>
      <c r="D7974" s="1">
        <v>13.024357</v>
      </c>
      <c r="E7974" s="1">
        <v>80.228552</v>
      </c>
      <c r="F7974" s="1">
        <v>5339.0</v>
      </c>
      <c r="G7974" s="1">
        <v>25.0</v>
      </c>
    </row>
    <row r="7975">
      <c r="A7975" s="1" t="s">
        <v>9</v>
      </c>
      <c r="B7975" s="2">
        <v>44735.0</v>
      </c>
      <c r="C7975" s="3">
        <v>0.7293055555555555</v>
      </c>
      <c r="D7975" s="1">
        <v>12.726498</v>
      </c>
      <c r="E7975" s="1">
        <v>79.982533</v>
      </c>
      <c r="F7975" s="1">
        <v>2846.0</v>
      </c>
      <c r="G7975" s="1">
        <v>57.0</v>
      </c>
    </row>
    <row r="7976">
      <c r="A7976" s="1" t="s">
        <v>8</v>
      </c>
      <c r="B7976" s="2">
        <v>44735.0</v>
      </c>
      <c r="C7976" s="3">
        <v>0.7296990740740741</v>
      </c>
      <c r="D7976" s="1">
        <v>12.726498</v>
      </c>
      <c r="E7976" s="1">
        <v>79.982533</v>
      </c>
      <c r="F7976" s="1">
        <v>2846.0</v>
      </c>
      <c r="G7976" s="1">
        <v>57.0</v>
      </c>
    </row>
    <row r="7977">
      <c r="A7977" s="1" t="s">
        <v>8</v>
      </c>
      <c r="B7977" s="2">
        <v>44735.0</v>
      </c>
      <c r="C7977" s="3">
        <v>0.7299305555555555</v>
      </c>
      <c r="D7977" s="1">
        <v>13.008302</v>
      </c>
      <c r="E7977" s="1">
        <v>80.232974</v>
      </c>
      <c r="F7977" s="1">
        <v>805.0</v>
      </c>
      <c r="G7977" s="1">
        <v>46.0</v>
      </c>
    </row>
    <row r="7978">
      <c r="A7978" s="1" t="s">
        <v>8</v>
      </c>
      <c r="B7978" s="2">
        <v>44735.0</v>
      </c>
      <c r="C7978" s="3">
        <v>0.7310069444444445</v>
      </c>
      <c r="D7978" s="1">
        <v>13.026365</v>
      </c>
      <c r="E7978" s="1">
        <v>80.232409</v>
      </c>
      <c r="F7978" s="1">
        <v>5339.0</v>
      </c>
      <c r="G7978" s="1">
        <v>9.0</v>
      </c>
    </row>
    <row r="7979">
      <c r="A7979" s="1" t="s">
        <v>8</v>
      </c>
      <c r="B7979" s="2">
        <v>44735.0</v>
      </c>
      <c r="C7979" s="3">
        <v>0.7310069444444445</v>
      </c>
      <c r="D7979" s="1">
        <v>13.026365</v>
      </c>
      <c r="E7979" s="1">
        <v>80.232409</v>
      </c>
      <c r="F7979" s="1">
        <v>5339.0</v>
      </c>
      <c r="G7979" s="1">
        <v>9.0</v>
      </c>
    </row>
    <row r="7980">
      <c r="A7980" s="1" t="s">
        <v>8</v>
      </c>
      <c r="B7980" s="2">
        <v>44735.0</v>
      </c>
      <c r="C7980" s="3">
        <v>0.7310185185185185</v>
      </c>
      <c r="D7980" s="1">
        <v>13.026365</v>
      </c>
      <c r="E7980" s="1">
        <v>80.232409</v>
      </c>
      <c r="F7980" s="1">
        <v>5339.0</v>
      </c>
      <c r="G7980" s="1">
        <v>9.0</v>
      </c>
    </row>
    <row r="7981">
      <c r="A7981" s="1" t="s">
        <v>8</v>
      </c>
      <c r="B7981" s="2">
        <v>44735.0</v>
      </c>
      <c r="C7981" s="3">
        <v>0.7310532407407407</v>
      </c>
      <c r="D7981" s="1">
        <v>13.02658</v>
      </c>
      <c r="E7981" s="1">
        <v>80.232889</v>
      </c>
      <c r="F7981" s="1">
        <v>5339.0</v>
      </c>
      <c r="G7981" s="1">
        <v>24.0</v>
      </c>
    </row>
    <row r="7982">
      <c r="A7982" s="1" t="s">
        <v>8</v>
      </c>
      <c r="B7982" s="2">
        <v>44735.0</v>
      </c>
      <c r="C7982" s="3">
        <v>0.7310648148148148</v>
      </c>
      <c r="D7982" s="1">
        <v>13.007114</v>
      </c>
      <c r="E7982" s="1">
        <v>80.23901</v>
      </c>
      <c r="F7982" s="1">
        <v>805.0</v>
      </c>
      <c r="G7982" s="1">
        <v>18.0</v>
      </c>
    </row>
    <row r="7983">
      <c r="A7983" s="1" t="s">
        <v>8</v>
      </c>
      <c r="B7983" s="2">
        <v>44735.0</v>
      </c>
      <c r="C7983" s="3">
        <v>0.7311458333333334</v>
      </c>
      <c r="D7983" s="1">
        <v>13.026943</v>
      </c>
      <c r="E7983" s="1">
        <v>80.233522</v>
      </c>
      <c r="F7983" s="1">
        <v>5339.0</v>
      </c>
      <c r="G7983" s="1">
        <v>30.0</v>
      </c>
    </row>
    <row r="7984">
      <c r="A7984" s="1" t="s">
        <v>8</v>
      </c>
      <c r="B7984" s="2">
        <v>44735.0</v>
      </c>
      <c r="C7984" s="3">
        <v>0.7319791666666666</v>
      </c>
      <c r="D7984" s="1">
        <v>13.006695</v>
      </c>
      <c r="E7984" s="1">
        <v>80.243545</v>
      </c>
      <c r="F7984" s="1">
        <v>805.0</v>
      </c>
      <c r="G7984" s="1">
        <v>7.0</v>
      </c>
    </row>
    <row r="7985">
      <c r="A7985" s="1" t="s">
        <v>8</v>
      </c>
      <c r="B7985" s="2">
        <v>44735.0</v>
      </c>
      <c r="C7985" s="3">
        <v>0.732025462962963</v>
      </c>
      <c r="D7985" s="1">
        <v>13.006695</v>
      </c>
      <c r="E7985" s="1">
        <v>80.243545</v>
      </c>
      <c r="F7985" s="1">
        <v>805.0</v>
      </c>
      <c r="G7985" s="1">
        <v>7.0</v>
      </c>
    </row>
    <row r="7986">
      <c r="A7986" s="1" t="s">
        <v>8</v>
      </c>
      <c r="B7986" s="2">
        <v>44735.0</v>
      </c>
      <c r="C7986" s="3">
        <v>0.7321064814814815</v>
      </c>
      <c r="D7986" s="1">
        <v>13.006695</v>
      </c>
      <c r="E7986" s="1">
        <v>80.243545</v>
      </c>
      <c r="F7986" s="1">
        <v>805.0</v>
      </c>
      <c r="G7986" s="1">
        <v>7.0</v>
      </c>
    </row>
    <row r="7987">
      <c r="A7987" s="1" t="s">
        <v>8</v>
      </c>
      <c r="B7987" s="2">
        <v>44735.0</v>
      </c>
      <c r="C7987" s="3">
        <v>0.7322685185185185</v>
      </c>
      <c r="D7987" s="1">
        <v>13.030118</v>
      </c>
      <c r="E7987" s="1">
        <v>80.23797</v>
      </c>
      <c r="F7987" s="1">
        <v>5339.0</v>
      </c>
      <c r="G7987" s="1">
        <v>24.0</v>
      </c>
    </row>
    <row r="7988">
      <c r="A7988" s="1" t="s">
        <v>8</v>
      </c>
      <c r="B7988" s="2">
        <v>44735.0</v>
      </c>
      <c r="C7988" s="3">
        <v>0.7322685185185185</v>
      </c>
      <c r="D7988" s="1">
        <v>13.030118</v>
      </c>
      <c r="E7988" s="1">
        <v>80.23797</v>
      </c>
      <c r="F7988" s="1">
        <v>5339.0</v>
      </c>
      <c r="G7988" s="1">
        <v>24.0</v>
      </c>
    </row>
    <row r="7989">
      <c r="A7989" s="1" t="s">
        <v>8</v>
      </c>
      <c r="B7989" s="2">
        <v>44735.0</v>
      </c>
      <c r="C7989" s="3">
        <v>0.7326273148148148</v>
      </c>
      <c r="D7989" s="1">
        <v>13.030118</v>
      </c>
      <c r="E7989" s="1">
        <v>80.23797</v>
      </c>
      <c r="F7989" s="1">
        <v>5339.0</v>
      </c>
      <c r="G7989" s="1">
        <v>24.0</v>
      </c>
    </row>
    <row r="7990">
      <c r="A7990" s="1" t="s">
        <v>8</v>
      </c>
      <c r="B7990" s="2">
        <v>44735.0</v>
      </c>
      <c r="C7990" s="3">
        <v>0.7328703703703704</v>
      </c>
      <c r="D7990" s="1">
        <v>13.006785</v>
      </c>
      <c r="E7990" s="1">
        <v>80.247846</v>
      </c>
      <c r="F7990" s="1">
        <v>805.0</v>
      </c>
      <c r="G7990" s="1">
        <v>0.0</v>
      </c>
    </row>
    <row r="7991">
      <c r="A7991" s="1" t="s">
        <v>10</v>
      </c>
      <c r="B7991" s="2">
        <v>44735.0</v>
      </c>
      <c r="C7991" s="3">
        <v>0.7330439814814815</v>
      </c>
      <c r="D7991" s="1">
        <v>13.006785</v>
      </c>
      <c r="E7991" s="1">
        <v>80.247846</v>
      </c>
      <c r="F7991" s="1">
        <v>805.0</v>
      </c>
      <c r="G7991" s="1">
        <v>0.0</v>
      </c>
    </row>
    <row r="7992">
      <c r="A7992" s="1" t="s">
        <v>8</v>
      </c>
      <c r="B7992" s="2">
        <v>44735.0</v>
      </c>
      <c r="C7992" s="3">
        <v>0.7334953703703704</v>
      </c>
      <c r="D7992" s="1">
        <v>13.006892</v>
      </c>
      <c r="E7992" s="1">
        <v>80.251294</v>
      </c>
      <c r="F7992" s="1">
        <v>805.0</v>
      </c>
      <c r="G7992" s="1">
        <v>16.0</v>
      </c>
    </row>
    <row r="7993">
      <c r="A7993" s="1" t="s">
        <v>8</v>
      </c>
      <c r="B7993" s="2">
        <v>44735.0</v>
      </c>
      <c r="C7993" s="3">
        <v>0.7347800925925926</v>
      </c>
      <c r="D7993" s="1">
        <v>12.689496</v>
      </c>
      <c r="E7993" s="1">
        <v>79.982338</v>
      </c>
      <c r="F7993" s="1">
        <v>2846.0</v>
      </c>
      <c r="G7993" s="1">
        <v>33.0</v>
      </c>
    </row>
    <row r="7994">
      <c r="A7994" s="1" t="s">
        <v>8</v>
      </c>
      <c r="B7994" s="2">
        <v>44735.0</v>
      </c>
      <c r="C7994" s="3">
        <v>0.7348726851851852</v>
      </c>
      <c r="D7994" s="1">
        <v>12.688766</v>
      </c>
      <c r="E7994" s="1">
        <v>79.982573</v>
      </c>
      <c r="F7994" s="1">
        <v>2846.0</v>
      </c>
      <c r="G7994" s="1">
        <v>29.0</v>
      </c>
    </row>
    <row r="7995">
      <c r="A7995" s="1" t="s">
        <v>8</v>
      </c>
      <c r="B7995" s="2">
        <v>44735.0</v>
      </c>
      <c r="C7995" s="3">
        <v>0.7353935185185185</v>
      </c>
      <c r="D7995" s="1">
        <v>13.033882</v>
      </c>
      <c r="E7995" s="1">
        <v>80.244345</v>
      </c>
      <c r="F7995" s="1">
        <v>5339.0</v>
      </c>
      <c r="G7995" s="1">
        <v>37.0</v>
      </c>
    </row>
    <row r="7996">
      <c r="A7996" s="1" t="s">
        <v>8</v>
      </c>
      <c r="B7996" s="2">
        <v>44735.0</v>
      </c>
      <c r="C7996" s="3">
        <v>0.735474537037037</v>
      </c>
      <c r="D7996" s="1">
        <v>12.686054</v>
      </c>
      <c r="E7996" s="1">
        <v>79.983463</v>
      </c>
      <c r="F7996" s="1">
        <v>2846.0</v>
      </c>
      <c r="G7996" s="1">
        <v>24.0</v>
      </c>
    </row>
    <row r="7997">
      <c r="A7997" s="1" t="s">
        <v>8</v>
      </c>
      <c r="B7997" s="2">
        <v>44735.0</v>
      </c>
      <c r="C7997" s="3">
        <v>0.7357060185185185</v>
      </c>
      <c r="D7997" s="1">
        <v>13.008259</v>
      </c>
      <c r="E7997" s="1">
        <v>80.258971</v>
      </c>
      <c r="F7997" s="1">
        <v>805.0</v>
      </c>
      <c r="G7997" s="1">
        <v>25.0</v>
      </c>
    </row>
    <row r="7998">
      <c r="A7998" s="1" t="s">
        <v>8</v>
      </c>
      <c r="B7998" s="2">
        <v>44735.0</v>
      </c>
      <c r="C7998" s="3">
        <v>0.7357407407407407</v>
      </c>
      <c r="D7998" s="1">
        <v>13.008259</v>
      </c>
      <c r="E7998" s="1">
        <v>80.258971</v>
      </c>
      <c r="F7998" s="1">
        <v>805.0</v>
      </c>
      <c r="G7998" s="1">
        <v>25.0</v>
      </c>
    </row>
    <row r="7999">
      <c r="A7999" s="1" t="s">
        <v>8</v>
      </c>
      <c r="B7999" s="2">
        <v>44735.0</v>
      </c>
      <c r="C7999" s="3">
        <v>0.7359375</v>
      </c>
      <c r="D7999" s="1">
        <v>13.008817</v>
      </c>
      <c r="E7999" s="1">
        <v>80.259069</v>
      </c>
      <c r="F7999" s="1">
        <v>805.0</v>
      </c>
      <c r="G7999" s="1">
        <v>11.0</v>
      </c>
    </row>
    <row r="8000">
      <c r="A8000" s="1" t="s">
        <v>10</v>
      </c>
      <c r="B8000" s="2">
        <v>44735.0</v>
      </c>
      <c r="C8000" s="3">
        <v>0.7359606481481481</v>
      </c>
      <c r="D8000" s="1">
        <v>12.684109</v>
      </c>
      <c r="E8000" s="1">
        <v>79.983306</v>
      </c>
      <c r="F8000" s="1">
        <v>2846.0</v>
      </c>
      <c r="G8000" s="1">
        <v>7.0</v>
      </c>
    </row>
    <row r="8001">
      <c r="A8001" s="1" t="s">
        <v>8</v>
      </c>
      <c r="B8001" s="2">
        <v>44735.0</v>
      </c>
      <c r="C8001" s="3">
        <v>0.7359722222222222</v>
      </c>
      <c r="D8001" s="1">
        <v>13.035586</v>
      </c>
      <c r="E8001" s="1">
        <v>80.24599</v>
      </c>
      <c r="F8001" s="1">
        <v>5339.0</v>
      </c>
      <c r="G8001" s="1">
        <v>21.0</v>
      </c>
    </row>
    <row r="8002">
      <c r="A8002" s="1" t="s">
        <v>8</v>
      </c>
      <c r="B8002" s="2">
        <v>44735.0</v>
      </c>
      <c r="C8002" s="3">
        <v>0.7360532407407407</v>
      </c>
      <c r="D8002" s="1">
        <v>13.009468</v>
      </c>
      <c r="E8002" s="1">
        <v>80.259055</v>
      </c>
      <c r="F8002" s="1">
        <v>805.0</v>
      </c>
      <c r="G8002" s="1">
        <v>31.0</v>
      </c>
    </row>
    <row r="8003">
      <c r="A8003" s="1" t="s">
        <v>8</v>
      </c>
      <c r="B8003" s="2">
        <v>44735.0</v>
      </c>
      <c r="C8003" s="3">
        <v>0.7361805555555555</v>
      </c>
      <c r="D8003" s="1">
        <v>13.009468</v>
      </c>
      <c r="E8003" s="1">
        <v>80.259055</v>
      </c>
      <c r="F8003" s="1">
        <v>805.0</v>
      </c>
      <c r="G8003" s="1">
        <v>31.0</v>
      </c>
    </row>
    <row r="8004">
      <c r="A8004" s="1" t="s">
        <v>9</v>
      </c>
      <c r="B8004" s="2">
        <v>44735.0</v>
      </c>
      <c r="C8004" s="3">
        <v>0.7390625</v>
      </c>
      <c r="D8004" s="1">
        <v>13.020098</v>
      </c>
      <c r="E8004" s="1">
        <v>80.262443</v>
      </c>
      <c r="F8004" s="1">
        <v>805.0</v>
      </c>
      <c r="G8004" s="1">
        <v>13.0</v>
      </c>
    </row>
    <row r="8005">
      <c r="A8005" s="1" t="s">
        <v>8</v>
      </c>
      <c r="B8005" s="2">
        <v>44735.0</v>
      </c>
      <c r="C8005" s="3">
        <v>0.7399189814814815</v>
      </c>
      <c r="D8005" s="1">
        <v>13.042102</v>
      </c>
      <c r="E8005" s="1">
        <v>80.247416</v>
      </c>
      <c r="F8005" s="1">
        <v>5339.0</v>
      </c>
      <c r="G8005" s="1">
        <v>17.0</v>
      </c>
    </row>
    <row r="8006">
      <c r="A8006" s="1" t="s">
        <v>7</v>
      </c>
      <c r="B8006" s="2">
        <v>44735.0</v>
      </c>
      <c r="C8006" s="3">
        <v>0.7409606481481481</v>
      </c>
      <c r="D8006" s="1">
        <v>12.66169</v>
      </c>
      <c r="E8006" s="1">
        <v>79.96708</v>
      </c>
      <c r="F8006" s="1">
        <v>2846.0</v>
      </c>
      <c r="G8006" s="1">
        <v>18.0</v>
      </c>
    </row>
    <row r="8007">
      <c r="A8007" s="1" t="s">
        <v>9</v>
      </c>
      <c r="B8007" s="2">
        <v>44735.0</v>
      </c>
      <c r="C8007" s="3">
        <v>0.7411342592592592</v>
      </c>
      <c r="D8007" s="1">
        <v>12.658814</v>
      </c>
      <c r="E8007" s="1">
        <v>79.961697</v>
      </c>
      <c r="F8007" s="1">
        <v>2846.0</v>
      </c>
      <c r="G8007" s="1">
        <v>62.0</v>
      </c>
    </row>
    <row r="8008">
      <c r="A8008" s="1" t="s">
        <v>8</v>
      </c>
      <c r="B8008" s="2">
        <v>44735.0</v>
      </c>
      <c r="C8008" s="3">
        <v>0.7418171296296296</v>
      </c>
      <c r="D8008" s="1">
        <v>13.051618</v>
      </c>
      <c r="E8008" s="1">
        <v>80.250291</v>
      </c>
      <c r="F8008" s="1">
        <v>5339.0</v>
      </c>
      <c r="G8008" s="1">
        <v>27.0</v>
      </c>
    </row>
    <row r="8009">
      <c r="A8009" s="1" t="s">
        <v>9</v>
      </c>
      <c r="B8009" s="2">
        <v>44735.0</v>
      </c>
      <c r="C8009" s="3">
        <v>0.7419560185185186</v>
      </c>
      <c r="D8009" s="1">
        <v>13.052285</v>
      </c>
      <c r="E8009" s="1">
        <v>80.250919</v>
      </c>
      <c r="F8009" s="1">
        <v>5339.0</v>
      </c>
      <c r="G8009" s="1">
        <v>31.0</v>
      </c>
    </row>
    <row r="8010">
      <c r="A8010" s="1" t="s">
        <v>7</v>
      </c>
      <c r="B8010" s="2">
        <v>44735.0</v>
      </c>
      <c r="C8010" s="3">
        <v>0.7420833333333333</v>
      </c>
      <c r="D8010" s="1">
        <v>12.657314</v>
      </c>
      <c r="E8010" s="1">
        <v>79.957617</v>
      </c>
      <c r="F8010" s="1">
        <v>2846.0</v>
      </c>
      <c r="G8010" s="1">
        <v>24.0</v>
      </c>
    </row>
    <row r="8011">
      <c r="A8011" s="1" t="s">
        <v>8</v>
      </c>
      <c r="B8011" s="2">
        <v>44735.0</v>
      </c>
      <c r="C8011" s="3">
        <v>0.7423958333333334</v>
      </c>
      <c r="D8011" s="1">
        <v>13.053955</v>
      </c>
      <c r="E8011" s="1">
        <v>80.253199</v>
      </c>
      <c r="F8011" s="1">
        <v>5339.0</v>
      </c>
      <c r="G8011" s="1">
        <v>29.0</v>
      </c>
    </row>
    <row r="8012">
      <c r="A8012" s="1" t="s">
        <v>10</v>
      </c>
      <c r="B8012" s="2">
        <v>44735.0</v>
      </c>
      <c r="C8012" s="3">
        <v>0.7424074074074074</v>
      </c>
      <c r="D8012" s="1">
        <v>13.029311</v>
      </c>
      <c r="E8012" s="1">
        <v>80.266028</v>
      </c>
      <c r="F8012" s="1">
        <v>805.0</v>
      </c>
      <c r="G8012" s="1">
        <v>16.0</v>
      </c>
    </row>
    <row r="8013">
      <c r="A8013" s="1" t="s">
        <v>8</v>
      </c>
      <c r="B8013" s="2">
        <v>44735.0</v>
      </c>
      <c r="C8013" s="3">
        <v>0.7424652777777778</v>
      </c>
      <c r="D8013" s="1">
        <v>12.655902</v>
      </c>
      <c r="E8013" s="1">
        <v>79.951663</v>
      </c>
      <c r="F8013" s="1">
        <v>2846.0</v>
      </c>
      <c r="G8013" s="1">
        <v>42.0</v>
      </c>
    </row>
    <row r="8014">
      <c r="A8014" s="1" t="s">
        <v>8</v>
      </c>
      <c r="B8014" s="2">
        <v>44735.0</v>
      </c>
      <c r="C8014" s="3">
        <v>0.7425</v>
      </c>
      <c r="D8014" s="1">
        <v>12.656356</v>
      </c>
      <c r="E8014" s="1">
        <v>79.950081</v>
      </c>
      <c r="F8014" s="1">
        <v>2846.0</v>
      </c>
      <c r="G8014" s="1">
        <v>26.0</v>
      </c>
    </row>
    <row r="8015">
      <c r="A8015" s="1" t="s">
        <v>8</v>
      </c>
      <c r="B8015" s="2">
        <v>44735.0</v>
      </c>
      <c r="C8015" s="3">
        <v>0.7439930555555555</v>
      </c>
      <c r="D8015" s="1">
        <v>12.651696</v>
      </c>
      <c r="E8015" s="1">
        <v>79.94197</v>
      </c>
      <c r="F8015" s="1">
        <v>2846.0</v>
      </c>
      <c r="G8015" s="1">
        <v>47.0</v>
      </c>
    </row>
    <row r="8016">
      <c r="A8016" s="1" t="s">
        <v>8</v>
      </c>
      <c r="B8016" s="2">
        <v>44735.0</v>
      </c>
      <c r="C8016" s="3">
        <v>0.7440856481481481</v>
      </c>
      <c r="D8016" s="1">
        <v>12.651696</v>
      </c>
      <c r="E8016" s="1">
        <v>79.94197</v>
      </c>
      <c r="F8016" s="1">
        <v>2846.0</v>
      </c>
      <c r="G8016" s="1">
        <v>47.0</v>
      </c>
    </row>
    <row r="8017">
      <c r="A8017" s="1" t="s">
        <v>8</v>
      </c>
      <c r="B8017" s="2">
        <v>44735.0</v>
      </c>
      <c r="C8017" s="3">
        <v>0.7444560185185185</v>
      </c>
      <c r="D8017" s="1">
        <v>12.649144</v>
      </c>
      <c r="E8017" s="1">
        <v>79.941155</v>
      </c>
      <c r="F8017" s="1">
        <v>2846.0</v>
      </c>
      <c r="G8017" s="1">
        <v>31.0</v>
      </c>
    </row>
    <row r="8018">
      <c r="A8018" s="1" t="s">
        <v>10</v>
      </c>
      <c r="B8018" s="2">
        <v>44735.0</v>
      </c>
      <c r="C8018" s="3">
        <v>0.7445717592592592</v>
      </c>
      <c r="D8018" s="1">
        <v>13.05656</v>
      </c>
      <c r="E8018" s="1">
        <v>80.257833</v>
      </c>
      <c r="F8018" s="1">
        <v>5339.0</v>
      </c>
      <c r="G8018" s="1">
        <v>14.0</v>
      </c>
    </row>
    <row r="8019">
      <c r="A8019" s="1" t="s">
        <v>10</v>
      </c>
      <c r="B8019" s="2">
        <v>44735.0</v>
      </c>
      <c r="C8019" s="3">
        <v>0.7446064814814815</v>
      </c>
      <c r="D8019" s="1">
        <v>13.05656</v>
      </c>
      <c r="E8019" s="1">
        <v>80.257833</v>
      </c>
      <c r="F8019" s="1">
        <v>5339.0</v>
      </c>
      <c r="G8019" s="1">
        <v>14.0</v>
      </c>
    </row>
    <row r="8020">
      <c r="A8020" s="1" t="s">
        <v>10</v>
      </c>
      <c r="B8020" s="2">
        <v>44735.0</v>
      </c>
      <c r="C8020" s="3">
        <v>0.7469212962962963</v>
      </c>
      <c r="D8020" s="1">
        <v>13.053535</v>
      </c>
      <c r="E8020" s="1">
        <v>80.267815</v>
      </c>
      <c r="F8020" s="1">
        <v>5339.0</v>
      </c>
      <c r="G8020" s="1">
        <v>8.0</v>
      </c>
    </row>
    <row r="8021">
      <c r="A8021" s="1" t="s">
        <v>10</v>
      </c>
      <c r="B8021" s="2">
        <v>44735.0</v>
      </c>
      <c r="C8021" s="3">
        <v>0.7469791666666666</v>
      </c>
      <c r="D8021" s="1">
        <v>13.053535</v>
      </c>
      <c r="E8021" s="1">
        <v>80.267815</v>
      </c>
      <c r="F8021" s="1">
        <v>5339.0</v>
      </c>
      <c r="G8021" s="1">
        <v>8.0</v>
      </c>
    </row>
    <row r="8022">
      <c r="A8022" s="1" t="s">
        <v>10</v>
      </c>
      <c r="B8022" s="2">
        <v>44735.0</v>
      </c>
      <c r="C8022" s="3">
        <v>0.7471412037037037</v>
      </c>
      <c r="D8022" s="1">
        <v>13.053504</v>
      </c>
      <c r="E8022" s="1">
        <v>80.268321</v>
      </c>
      <c r="F8022" s="1">
        <v>5339.0</v>
      </c>
      <c r="G8022" s="1">
        <v>14.0</v>
      </c>
    </row>
    <row r="8023">
      <c r="A8023" s="1" t="s">
        <v>7</v>
      </c>
      <c r="B8023" s="2">
        <v>44735.0</v>
      </c>
      <c r="C8023" s="3">
        <v>0.7471527777777778</v>
      </c>
      <c r="D8023" s="1">
        <v>12.623594</v>
      </c>
      <c r="E8023" s="1">
        <v>79.928463</v>
      </c>
      <c r="F8023" s="1">
        <v>2846.0</v>
      </c>
      <c r="G8023" s="1">
        <v>57.0</v>
      </c>
    </row>
    <row r="8024">
      <c r="A8024" s="1" t="s">
        <v>7</v>
      </c>
      <c r="B8024" s="2">
        <v>44735.0</v>
      </c>
      <c r="C8024" s="3">
        <v>0.7473726851851852</v>
      </c>
      <c r="D8024" s="1">
        <v>12.623594</v>
      </c>
      <c r="E8024" s="1">
        <v>79.928463</v>
      </c>
      <c r="F8024" s="1">
        <v>2846.0</v>
      </c>
      <c r="G8024" s="1">
        <v>57.0</v>
      </c>
    </row>
    <row r="8025">
      <c r="A8025" s="1" t="s">
        <v>7</v>
      </c>
      <c r="B8025" s="2">
        <v>44735.0</v>
      </c>
      <c r="C8025" s="3">
        <v>0.7476041666666666</v>
      </c>
      <c r="D8025" s="1">
        <v>12.618058</v>
      </c>
      <c r="E8025" s="1">
        <v>79.926667</v>
      </c>
      <c r="F8025" s="1">
        <v>2846.0</v>
      </c>
      <c r="G8025" s="1">
        <v>57.0</v>
      </c>
    </row>
    <row r="8026">
      <c r="A8026" s="1" t="s">
        <v>10</v>
      </c>
      <c r="B8026" s="2">
        <v>44735.0</v>
      </c>
      <c r="C8026" s="3">
        <v>0.7479050925925926</v>
      </c>
      <c r="D8026" s="1">
        <v>13.053363</v>
      </c>
      <c r="E8026" s="1">
        <v>80.269603</v>
      </c>
      <c r="F8026" s="1">
        <v>5339.0</v>
      </c>
      <c r="G8026" s="1">
        <v>12.0</v>
      </c>
    </row>
    <row r="8027">
      <c r="A8027" s="1" t="s">
        <v>7</v>
      </c>
      <c r="B8027" s="2">
        <v>44735.0</v>
      </c>
      <c r="C8027" s="3">
        <v>0.7481828703703703</v>
      </c>
      <c r="D8027" s="1">
        <v>12.611476</v>
      </c>
      <c r="E8027" s="1">
        <v>79.923578</v>
      </c>
      <c r="F8027" s="1">
        <v>2846.0</v>
      </c>
      <c r="G8027" s="1">
        <v>57.0</v>
      </c>
    </row>
    <row r="8028">
      <c r="A8028" s="1" t="s">
        <v>7</v>
      </c>
      <c r="B8028" s="2">
        <v>44735.0</v>
      </c>
      <c r="C8028" s="3">
        <v>0.7484259259259259</v>
      </c>
      <c r="D8028" s="1">
        <v>12.611476</v>
      </c>
      <c r="E8028" s="1">
        <v>79.923578</v>
      </c>
      <c r="F8028" s="1">
        <v>2846.0</v>
      </c>
      <c r="G8028" s="1">
        <v>57.0</v>
      </c>
    </row>
    <row r="8029">
      <c r="A8029" s="1" t="s">
        <v>10</v>
      </c>
      <c r="B8029" s="2">
        <v>44735.0</v>
      </c>
      <c r="C8029" s="3">
        <v>0.74875</v>
      </c>
      <c r="D8029" s="1">
        <v>13.053133</v>
      </c>
      <c r="E8029" s="1">
        <v>80.271605</v>
      </c>
      <c r="F8029" s="1">
        <v>5339.0</v>
      </c>
      <c r="G8029" s="1">
        <v>12.0</v>
      </c>
    </row>
    <row r="8030">
      <c r="A8030" s="1" t="s">
        <v>10</v>
      </c>
      <c r="B8030" s="2">
        <v>44735.0</v>
      </c>
      <c r="C8030" s="3">
        <v>0.7500578703703704</v>
      </c>
      <c r="D8030" s="1">
        <v>13.049466</v>
      </c>
      <c r="E8030" s="1">
        <v>80.263988</v>
      </c>
      <c r="F8030" s="1">
        <v>805.0</v>
      </c>
      <c r="G8030" s="1">
        <v>13.0</v>
      </c>
    </row>
    <row r="8031">
      <c r="A8031" s="1" t="s">
        <v>8</v>
      </c>
      <c r="B8031" s="2">
        <v>44735.0</v>
      </c>
      <c r="C8031" s="3">
        <v>0.7503472222222223</v>
      </c>
      <c r="D8031" s="1">
        <v>12.587459</v>
      </c>
      <c r="E8031" s="1">
        <v>79.919452</v>
      </c>
      <c r="F8031" s="1">
        <v>2846.0</v>
      </c>
      <c r="G8031" s="1">
        <v>58.0</v>
      </c>
    </row>
    <row r="8032">
      <c r="A8032" s="1" t="s">
        <v>9</v>
      </c>
      <c r="B8032" s="2">
        <v>44735.0</v>
      </c>
      <c r="C8032" s="3">
        <v>0.7505208333333333</v>
      </c>
      <c r="D8032" s="1">
        <v>12.58323</v>
      </c>
      <c r="E8032" s="1">
        <v>79.919283</v>
      </c>
      <c r="F8032" s="1">
        <v>2846.0</v>
      </c>
      <c r="G8032" s="1">
        <v>50.0</v>
      </c>
    </row>
    <row r="8033">
      <c r="A8033" s="1" t="s">
        <v>10</v>
      </c>
      <c r="B8033" s="2">
        <v>44735.0</v>
      </c>
      <c r="C8033" s="3">
        <v>0.7506828703703704</v>
      </c>
      <c r="D8033" s="1">
        <v>13.056041</v>
      </c>
      <c r="E8033" s="1">
        <v>80.273857</v>
      </c>
      <c r="F8033" s="1">
        <v>5339.0</v>
      </c>
      <c r="G8033" s="1">
        <v>13.0</v>
      </c>
    </row>
    <row r="8034">
      <c r="A8034" s="1" t="s">
        <v>7</v>
      </c>
      <c r="B8034" s="2">
        <v>44735.0</v>
      </c>
      <c r="C8034" s="3">
        <v>0.7507291666666667</v>
      </c>
      <c r="D8034" s="1">
        <v>12.58188</v>
      </c>
      <c r="E8034" s="1">
        <v>79.919069</v>
      </c>
      <c r="F8034" s="1">
        <v>2846.0</v>
      </c>
      <c r="G8034" s="1">
        <v>58.0</v>
      </c>
    </row>
    <row r="8035">
      <c r="A8035" s="1" t="s">
        <v>10</v>
      </c>
      <c r="B8035" s="2">
        <v>44735.0</v>
      </c>
      <c r="C8035" s="3">
        <v>0.7507523148148149</v>
      </c>
      <c r="D8035" s="1">
        <v>13.056327</v>
      </c>
      <c r="E8035" s="1">
        <v>80.273872</v>
      </c>
      <c r="F8035" s="1">
        <v>5339.0</v>
      </c>
      <c r="G8035" s="1">
        <v>8.0</v>
      </c>
    </row>
    <row r="8036">
      <c r="A8036" s="1" t="s">
        <v>7</v>
      </c>
      <c r="B8036" s="2">
        <v>44735.0</v>
      </c>
      <c r="C8036" s="3">
        <v>0.7507986111111111</v>
      </c>
      <c r="D8036" s="1">
        <v>12.580654</v>
      </c>
      <c r="E8036" s="1">
        <v>79.91868</v>
      </c>
      <c r="F8036" s="1">
        <v>2846.0</v>
      </c>
      <c r="G8036" s="1">
        <v>49.0</v>
      </c>
    </row>
    <row r="8037">
      <c r="A8037" s="1" t="s">
        <v>10</v>
      </c>
      <c r="B8037" s="2">
        <v>44735.0</v>
      </c>
      <c r="C8037" s="3">
        <v>0.7508796296296296</v>
      </c>
      <c r="D8037" s="1">
        <v>13.056572</v>
      </c>
      <c r="E8037" s="1">
        <v>80.273904</v>
      </c>
      <c r="F8037" s="1">
        <v>5339.0</v>
      </c>
      <c r="G8037" s="1">
        <v>13.0</v>
      </c>
    </row>
    <row r="8038">
      <c r="A8038" s="1" t="s">
        <v>8</v>
      </c>
      <c r="B8038" s="2">
        <v>44735.0</v>
      </c>
      <c r="C8038" s="3">
        <v>0.7509490740740741</v>
      </c>
      <c r="D8038" s="1">
        <v>12.578075</v>
      </c>
      <c r="E8038" s="1">
        <v>79.917581</v>
      </c>
      <c r="F8038" s="1">
        <v>2846.0</v>
      </c>
      <c r="G8038" s="1">
        <v>58.0</v>
      </c>
    </row>
    <row r="8039">
      <c r="A8039" s="1" t="s">
        <v>10</v>
      </c>
      <c r="B8039" s="2">
        <v>44735.0</v>
      </c>
      <c r="C8039" s="3">
        <v>0.7514814814814815</v>
      </c>
      <c r="D8039" s="1">
        <v>13.057884</v>
      </c>
      <c r="E8039" s="1">
        <v>80.274068</v>
      </c>
      <c r="F8039" s="1">
        <v>5339.0</v>
      </c>
      <c r="G8039" s="1">
        <v>17.0</v>
      </c>
    </row>
    <row r="8040">
      <c r="A8040" s="1" t="s">
        <v>10</v>
      </c>
      <c r="B8040" s="2">
        <v>44735.0</v>
      </c>
      <c r="C8040" s="3">
        <v>0.7516550925925926</v>
      </c>
      <c r="D8040" s="1">
        <v>13.058315</v>
      </c>
      <c r="E8040" s="1">
        <v>80.274103</v>
      </c>
      <c r="F8040" s="1">
        <v>5339.0</v>
      </c>
      <c r="G8040" s="1">
        <v>10.0</v>
      </c>
    </row>
    <row r="8041">
      <c r="A8041" s="1" t="s">
        <v>8</v>
      </c>
      <c r="B8041" s="2">
        <v>44735.0</v>
      </c>
      <c r="C8041" s="3">
        <v>0.7516666666666667</v>
      </c>
      <c r="D8041" s="1">
        <v>13.054171</v>
      </c>
      <c r="E8041" s="1">
        <v>80.264012</v>
      </c>
      <c r="F8041" s="1">
        <v>805.0</v>
      </c>
      <c r="G8041" s="1">
        <v>12.0</v>
      </c>
    </row>
    <row r="8042">
      <c r="A8042" s="1" t="s">
        <v>8</v>
      </c>
      <c r="B8042" s="2">
        <v>44735.0</v>
      </c>
      <c r="C8042" s="3">
        <v>0.7516666666666667</v>
      </c>
      <c r="D8042" s="1">
        <v>13.054171</v>
      </c>
      <c r="E8042" s="1">
        <v>80.264012</v>
      </c>
      <c r="F8042" s="1">
        <v>805.0</v>
      </c>
      <c r="G8042" s="1">
        <v>12.0</v>
      </c>
    </row>
    <row r="8043">
      <c r="A8043" s="1" t="s">
        <v>10</v>
      </c>
      <c r="B8043" s="2">
        <v>44735.0</v>
      </c>
      <c r="C8043" s="3">
        <v>0.7518171296296297</v>
      </c>
      <c r="D8043" s="1">
        <v>13.058795</v>
      </c>
      <c r="E8043" s="1">
        <v>80.274128</v>
      </c>
      <c r="F8043" s="1">
        <v>5339.0</v>
      </c>
      <c r="G8043" s="1">
        <v>0.0</v>
      </c>
    </row>
    <row r="8044">
      <c r="A8044" s="1" t="s">
        <v>8</v>
      </c>
      <c r="B8044" s="2">
        <v>44735.0</v>
      </c>
      <c r="C8044" s="3">
        <v>0.7520833333333333</v>
      </c>
      <c r="D8044" s="1">
        <v>12.565727</v>
      </c>
      <c r="E8044" s="1">
        <v>79.914588</v>
      </c>
      <c r="F8044" s="1">
        <v>2846.0</v>
      </c>
      <c r="G8044" s="1">
        <v>57.0</v>
      </c>
    </row>
    <row r="8045">
      <c r="A8045" s="1" t="s">
        <v>10</v>
      </c>
      <c r="B8045" s="2">
        <v>44735.0</v>
      </c>
      <c r="C8045" s="3">
        <v>0.7538310185185185</v>
      </c>
      <c r="D8045" s="1">
        <v>13.063208</v>
      </c>
      <c r="E8045" s="1">
        <v>80.274095</v>
      </c>
      <c r="F8045" s="1">
        <v>5339.0</v>
      </c>
      <c r="G8045" s="1">
        <v>22.0</v>
      </c>
    </row>
    <row r="8046">
      <c r="A8046" s="1" t="s">
        <v>8</v>
      </c>
      <c r="B8046" s="2">
        <v>44735.0</v>
      </c>
      <c r="C8046" s="3">
        <v>0.7540277777777777</v>
      </c>
      <c r="D8046" s="1">
        <v>12.563658</v>
      </c>
      <c r="E8046" s="1">
        <v>79.913506</v>
      </c>
      <c r="F8046" s="1">
        <v>2846.0</v>
      </c>
      <c r="G8046" s="1">
        <v>52.0</v>
      </c>
    </row>
    <row r="8047">
      <c r="A8047" s="1" t="s">
        <v>10</v>
      </c>
      <c r="B8047" s="2">
        <v>44735.0</v>
      </c>
      <c r="C8047" s="3">
        <v>0.7546180555555555</v>
      </c>
      <c r="D8047" s="1">
        <v>13.064982</v>
      </c>
      <c r="E8047" s="1">
        <v>80.273866</v>
      </c>
      <c r="F8047" s="1">
        <v>5339.0</v>
      </c>
      <c r="G8047" s="1">
        <v>13.0</v>
      </c>
    </row>
    <row r="8048">
      <c r="A8048" s="1" t="s">
        <v>7</v>
      </c>
      <c r="B8048" s="2">
        <v>44735.0</v>
      </c>
      <c r="C8048" s="3">
        <v>0.7546759259259259</v>
      </c>
      <c r="D8048" s="1">
        <v>12.541942</v>
      </c>
      <c r="E8048" s="1">
        <v>79.9047</v>
      </c>
      <c r="F8048" s="1">
        <v>2846.0</v>
      </c>
      <c r="G8048" s="1">
        <v>46.0</v>
      </c>
    </row>
    <row r="8049">
      <c r="A8049" s="1" t="s">
        <v>7</v>
      </c>
      <c r="B8049" s="2">
        <v>44735.0</v>
      </c>
      <c r="C8049" s="3">
        <v>0.7547800925925926</v>
      </c>
      <c r="D8049" s="1">
        <v>12.541942</v>
      </c>
      <c r="E8049" s="1">
        <v>79.9047</v>
      </c>
      <c r="F8049" s="1">
        <v>2846.0</v>
      </c>
      <c r="G8049" s="1">
        <v>46.0</v>
      </c>
    </row>
    <row r="8050">
      <c r="A8050" s="1" t="s">
        <v>7</v>
      </c>
      <c r="B8050" s="2">
        <v>44735.0</v>
      </c>
      <c r="C8050" s="3">
        <v>0.7559143518518519</v>
      </c>
      <c r="D8050" s="1">
        <v>12.528116</v>
      </c>
      <c r="E8050" s="1">
        <v>79.898632</v>
      </c>
      <c r="F8050" s="1">
        <v>2846.0</v>
      </c>
      <c r="G8050" s="1">
        <v>57.0</v>
      </c>
    </row>
    <row r="8051">
      <c r="A8051" s="1" t="s">
        <v>10</v>
      </c>
      <c r="B8051" s="2">
        <v>44735.0</v>
      </c>
      <c r="C8051" s="3">
        <v>0.7561458333333333</v>
      </c>
      <c r="D8051" s="1">
        <v>13.068114</v>
      </c>
      <c r="E8051" s="1">
        <v>80.271516</v>
      </c>
      <c r="F8051" s="1">
        <v>5339.0</v>
      </c>
      <c r="G8051" s="1">
        <v>14.0</v>
      </c>
    </row>
    <row r="8052">
      <c r="A8052" s="1" t="s">
        <v>8</v>
      </c>
      <c r="B8052" s="2">
        <v>44735.0</v>
      </c>
      <c r="C8052" s="3">
        <v>0.7563657407407407</v>
      </c>
      <c r="D8052" s="1">
        <v>13.067489</v>
      </c>
      <c r="E8052" s="1">
        <v>80.270719</v>
      </c>
      <c r="F8052" s="1">
        <v>5339.0</v>
      </c>
      <c r="G8052" s="1">
        <v>29.0</v>
      </c>
    </row>
    <row r="8053">
      <c r="A8053" s="1" t="s">
        <v>8</v>
      </c>
      <c r="B8053" s="2">
        <v>44735.0</v>
      </c>
      <c r="C8053" s="3">
        <v>0.7566087962962963</v>
      </c>
      <c r="D8053" s="1">
        <v>12.524244</v>
      </c>
      <c r="E8053" s="1">
        <v>79.896792</v>
      </c>
      <c r="F8053" s="1">
        <v>2846.0</v>
      </c>
      <c r="G8053" s="1">
        <v>57.0</v>
      </c>
    </row>
    <row r="8054">
      <c r="A8054" s="1" t="s">
        <v>8</v>
      </c>
      <c r="B8054" s="2">
        <v>44735.0</v>
      </c>
      <c r="C8054" s="3">
        <v>0.7575694444444444</v>
      </c>
      <c r="D8054" s="1">
        <v>12.514451</v>
      </c>
      <c r="E8054" s="1">
        <v>79.888382</v>
      </c>
      <c r="F8054" s="1">
        <v>2846.0</v>
      </c>
      <c r="G8054" s="1">
        <v>31.0</v>
      </c>
    </row>
    <row r="8055">
      <c r="A8055" s="1" t="s">
        <v>10</v>
      </c>
      <c r="B8055" s="2">
        <v>44735.0</v>
      </c>
      <c r="C8055" s="3">
        <v>0.7578356481481482</v>
      </c>
      <c r="D8055" s="1">
        <v>13.068461</v>
      </c>
      <c r="E8055" s="1">
        <v>80.268546</v>
      </c>
      <c r="F8055" s="1">
        <v>5339.0</v>
      </c>
      <c r="G8055" s="1">
        <v>26.0</v>
      </c>
    </row>
    <row r="8056">
      <c r="A8056" s="1" t="s">
        <v>8</v>
      </c>
      <c r="B8056" s="2">
        <v>44735.0</v>
      </c>
      <c r="C8056" s="3">
        <v>0.7584143518518518</v>
      </c>
      <c r="D8056" s="1">
        <v>13.069604</v>
      </c>
      <c r="E8056" s="1">
        <v>80.26656</v>
      </c>
      <c r="F8056" s="1">
        <v>5339.0</v>
      </c>
      <c r="G8056" s="1">
        <v>25.0</v>
      </c>
    </row>
    <row r="8057">
      <c r="A8057" s="1" t="s">
        <v>8</v>
      </c>
      <c r="B8057" s="2">
        <v>44735.0</v>
      </c>
      <c r="C8057" s="3">
        <v>0.7584375</v>
      </c>
      <c r="D8057" s="1">
        <v>13.069604</v>
      </c>
      <c r="E8057" s="1">
        <v>80.26656</v>
      </c>
      <c r="F8057" s="1">
        <v>5339.0</v>
      </c>
      <c r="G8057" s="1">
        <v>25.0</v>
      </c>
    </row>
    <row r="8058">
      <c r="A8058" s="1" t="s">
        <v>8</v>
      </c>
      <c r="B8058" s="2">
        <v>44735.0</v>
      </c>
      <c r="C8058" s="3">
        <v>0.7612962962962962</v>
      </c>
      <c r="D8058" s="1">
        <v>13.070334</v>
      </c>
      <c r="E8058" s="1">
        <v>80.257884</v>
      </c>
      <c r="F8058" s="1">
        <v>5339.0</v>
      </c>
      <c r="G8058" s="1">
        <v>35.0</v>
      </c>
    </row>
    <row r="8059">
      <c r="A8059" s="1" t="s">
        <v>8</v>
      </c>
      <c r="B8059" s="2">
        <v>44735.0</v>
      </c>
      <c r="C8059" s="3">
        <v>0.7614236111111111</v>
      </c>
      <c r="D8059" s="1">
        <v>13.06925</v>
      </c>
      <c r="E8059" s="1">
        <v>80.256742</v>
      </c>
      <c r="F8059" s="1">
        <v>5339.0</v>
      </c>
      <c r="G8059" s="1">
        <v>25.0</v>
      </c>
    </row>
    <row r="8060">
      <c r="A8060" s="1" t="s">
        <v>8</v>
      </c>
      <c r="B8060" s="2">
        <v>44735.0</v>
      </c>
      <c r="C8060" s="3">
        <v>0.7614351851851852</v>
      </c>
      <c r="D8060" s="1">
        <v>13.06925</v>
      </c>
      <c r="E8060" s="1">
        <v>80.256742</v>
      </c>
      <c r="F8060" s="1">
        <v>5339.0</v>
      </c>
      <c r="G8060" s="1">
        <v>25.0</v>
      </c>
    </row>
    <row r="8061">
      <c r="A8061" s="1" t="s">
        <v>10</v>
      </c>
      <c r="B8061" s="2">
        <v>44735.0</v>
      </c>
      <c r="C8061" s="3">
        <v>0.762662037037037</v>
      </c>
      <c r="D8061" s="1">
        <v>13.067714</v>
      </c>
      <c r="E8061" s="1">
        <v>80.249037</v>
      </c>
      <c r="F8061" s="1">
        <v>805.0</v>
      </c>
      <c r="G8061" s="1">
        <v>24.0</v>
      </c>
    </row>
    <row r="8062">
      <c r="A8062" s="1" t="s">
        <v>8</v>
      </c>
      <c r="B8062" s="2">
        <v>44735.0</v>
      </c>
      <c r="C8062" s="3">
        <v>0.7630787037037037</v>
      </c>
      <c r="D8062" s="1">
        <v>13.068199</v>
      </c>
      <c r="E8062" s="1">
        <v>80.252614</v>
      </c>
      <c r="F8062" s="1">
        <v>5339.0</v>
      </c>
      <c r="G8062" s="1">
        <v>36.0</v>
      </c>
    </row>
    <row r="8063">
      <c r="A8063" s="1" t="s">
        <v>7</v>
      </c>
      <c r="B8063" s="2">
        <v>44736.0</v>
      </c>
      <c r="C8063" s="3">
        <v>0.28550925925925924</v>
      </c>
      <c r="D8063" s="1">
        <v>12.441794</v>
      </c>
      <c r="E8063" s="1">
        <v>79.836604</v>
      </c>
      <c r="F8063" s="1">
        <v>2846.0</v>
      </c>
      <c r="G8063" s="1">
        <v>52.0</v>
      </c>
    </row>
    <row r="8064">
      <c r="A8064" s="1" t="s">
        <v>7</v>
      </c>
      <c r="B8064" s="2">
        <v>44736.0</v>
      </c>
      <c r="C8064" s="3">
        <v>0.28748842592592594</v>
      </c>
      <c r="D8064" s="1">
        <v>12.46232</v>
      </c>
      <c r="E8064" s="1">
        <v>79.847462</v>
      </c>
      <c r="F8064" s="1">
        <v>2846.0</v>
      </c>
      <c r="G8064" s="1">
        <v>57.0</v>
      </c>
    </row>
    <row r="8065">
      <c r="A8065" s="1" t="s">
        <v>7</v>
      </c>
      <c r="B8065" s="2">
        <v>44736.0</v>
      </c>
      <c r="C8065" s="3">
        <v>0.2882638888888889</v>
      </c>
      <c r="D8065" s="1">
        <v>12.467116</v>
      </c>
      <c r="E8065" s="1">
        <v>79.850853</v>
      </c>
      <c r="F8065" s="1">
        <v>2846.0</v>
      </c>
      <c r="G8065" s="1">
        <v>58.0</v>
      </c>
    </row>
    <row r="8066">
      <c r="A8066" s="1" t="s">
        <v>8</v>
      </c>
      <c r="B8066" s="2">
        <v>44736.0</v>
      </c>
      <c r="C8066" s="3">
        <v>0.2912962962962963</v>
      </c>
      <c r="D8066" s="1">
        <v>12.498503</v>
      </c>
      <c r="E8066" s="1">
        <v>79.873921</v>
      </c>
      <c r="F8066" s="1">
        <v>2846.0</v>
      </c>
      <c r="G8066" s="1">
        <v>56.0</v>
      </c>
    </row>
    <row r="8067">
      <c r="A8067" s="1" t="s">
        <v>7</v>
      </c>
      <c r="B8067" s="2">
        <v>44736.0</v>
      </c>
      <c r="C8067" s="3">
        <v>0.2915162037037037</v>
      </c>
      <c r="D8067" s="1">
        <v>12.502669</v>
      </c>
      <c r="E8067" s="1">
        <v>79.877291</v>
      </c>
      <c r="F8067" s="1">
        <v>2846.0</v>
      </c>
      <c r="G8067" s="1">
        <v>48.0</v>
      </c>
    </row>
    <row r="8068">
      <c r="A8068" s="1" t="s">
        <v>7</v>
      </c>
      <c r="B8068" s="2">
        <v>44736.0</v>
      </c>
      <c r="C8068" s="3">
        <v>0.29216435185185186</v>
      </c>
      <c r="D8068" s="1">
        <v>12.502669</v>
      </c>
      <c r="E8068" s="1">
        <v>79.877291</v>
      </c>
      <c r="F8068" s="1">
        <v>2846.0</v>
      </c>
      <c r="G8068" s="1">
        <v>48.0</v>
      </c>
    </row>
    <row r="8069">
      <c r="A8069" s="1" t="s">
        <v>7</v>
      </c>
      <c r="B8069" s="2">
        <v>44736.0</v>
      </c>
      <c r="C8069" s="3">
        <v>0.2930671296296296</v>
      </c>
      <c r="D8069" s="1">
        <v>12.515654</v>
      </c>
      <c r="E8069" s="1">
        <v>79.886956</v>
      </c>
      <c r="F8069" s="1">
        <v>2846.0</v>
      </c>
      <c r="G8069" s="1">
        <v>60.0</v>
      </c>
    </row>
    <row r="8070">
      <c r="A8070" s="1" t="s">
        <v>7</v>
      </c>
      <c r="B8070" s="2">
        <v>44736.0</v>
      </c>
      <c r="C8070" s="3">
        <v>0.2935185185185185</v>
      </c>
      <c r="D8070" s="1">
        <v>12.517151</v>
      </c>
      <c r="E8070" s="1">
        <v>79.889649</v>
      </c>
      <c r="F8070" s="1">
        <v>2846.0</v>
      </c>
      <c r="G8070" s="1">
        <v>56.0</v>
      </c>
    </row>
    <row r="8071">
      <c r="A8071" s="1" t="s">
        <v>7</v>
      </c>
      <c r="B8071" s="2">
        <v>44736.0</v>
      </c>
      <c r="C8071" s="3">
        <v>0.29369212962962965</v>
      </c>
      <c r="D8071" s="1">
        <v>12.515723</v>
      </c>
      <c r="E8071" s="1">
        <v>79.888582</v>
      </c>
      <c r="F8071" s="1">
        <v>2846.0</v>
      </c>
      <c r="G8071" s="1">
        <v>53.0</v>
      </c>
    </row>
    <row r="8072">
      <c r="A8072" s="1" t="s">
        <v>7</v>
      </c>
      <c r="B8072" s="2">
        <v>44736.0</v>
      </c>
      <c r="C8072" s="3">
        <v>0.2939467592592593</v>
      </c>
      <c r="D8072" s="1">
        <v>12.514456</v>
      </c>
      <c r="E8072" s="1">
        <v>79.888236</v>
      </c>
      <c r="F8072" s="1">
        <v>2846.0</v>
      </c>
      <c r="G8072" s="1">
        <v>56.0</v>
      </c>
    </row>
    <row r="8073">
      <c r="A8073" s="1" t="s">
        <v>10</v>
      </c>
      <c r="B8073" s="2">
        <v>44736.0</v>
      </c>
      <c r="C8073" s="3">
        <v>0.29528935185185184</v>
      </c>
      <c r="D8073" s="1">
        <v>12.51023</v>
      </c>
      <c r="E8073" s="1">
        <v>79.88808</v>
      </c>
      <c r="F8073" s="1">
        <v>2846.0</v>
      </c>
      <c r="G8073" s="1">
        <v>43.0</v>
      </c>
    </row>
    <row r="8074">
      <c r="A8074" s="1" t="s">
        <v>7</v>
      </c>
      <c r="B8074" s="2">
        <v>44736.0</v>
      </c>
      <c r="C8074" s="3">
        <v>0.2975231481481482</v>
      </c>
      <c r="D8074" s="1">
        <v>12.518528</v>
      </c>
      <c r="E8074" s="1">
        <v>79.888314</v>
      </c>
      <c r="F8074" s="1">
        <v>2846.0</v>
      </c>
      <c r="G8074" s="1">
        <v>52.0</v>
      </c>
    </row>
    <row r="8075">
      <c r="A8075" s="1" t="s">
        <v>8</v>
      </c>
      <c r="B8075" s="2">
        <v>44736.0</v>
      </c>
      <c r="C8075" s="3">
        <v>0.29756944444444444</v>
      </c>
      <c r="D8075" s="1">
        <v>13.061882</v>
      </c>
      <c r="E8075" s="1">
        <v>80.24614</v>
      </c>
      <c r="F8075" s="1">
        <v>5339.0</v>
      </c>
      <c r="G8075" s="1">
        <v>38.0</v>
      </c>
    </row>
    <row r="8076">
      <c r="A8076" s="1" t="s">
        <v>7</v>
      </c>
      <c r="B8076" s="2">
        <v>44736.0</v>
      </c>
      <c r="C8076" s="3">
        <v>0.2981712962962963</v>
      </c>
      <c r="D8076" s="1">
        <v>12.517726</v>
      </c>
      <c r="E8076" s="1">
        <v>79.890605</v>
      </c>
      <c r="F8076" s="1">
        <v>2846.0</v>
      </c>
      <c r="G8076" s="1">
        <v>50.0</v>
      </c>
    </row>
    <row r="8077">
      <c r="A8077" s="1" t="s">
        <v>8</v>
      </c>
      <c r="B8077" s="2">
        <v>44736.0</v>
      </c>
      <c r="C8077" s="3">
        <v>0.2982986111111111</v>
      </c>
      <c r="D8077" s="1">
        <v>13.066123</v>
      </c>
      <c r="E8077" s="1">
        <v>80.243988</v>
      </c>
      <c r="F8077" s="1">
        <v>5339.0</v>
      </c>
      <c r="G8077" s="1">
        <v>28.0</v>
      </c>
    </row>
    <row r="8078">
      <c r="A8078" s="1" t="s">
        <v>7</v>
      </c>
      <c r="B8078" s="2">
        <v>44736.0</v>
      </c>
      <c r="C8078" s="3">
        <v>0.2986226851851852</v>
      </c>
      <c r="D8078" s="1">
        <v>12.52249</v>
      </c>
      <c r="E8078" s="1">
        <v>79.895715</v>
      </c>
      <c r="F8078" s="1">
        <v>2846.0</v>
      </c>
      <c r="G8078" s="1">
        <v>57.0</v>
      </c>
    </row>
    <row r="8079">
      <c r="A8079" s="1" t="s">
        <v>7</v>
      </c>
      <c r="B8079" s="2">
        <v>44736.0</v>
      </c>
      <c r="C8079" s="3">
        <v>0.29965277777777777</v>
      </c>
      <c r="D8079" s="1">
        <v>12.533579</v>
      </c>
      <c r="E8079" s="1">
        <v>79.901029</v>
      </c>
      <c r="F8079" s="1">
        <v>2846.0</v>
      </c>
      <c r="G8079" s="1">
        <v>49.0</v>
      </c>
    </row>
    <row r="8080">
      <c r="A8080" s="1" t="s">
        <v>7</v>
      </c>
      <c r="B8080" s="2">
        <v>44736.0</v>
      </c>
      <c r="C8080" s="3">
        <v>0.3002546296296296</v>
      </c>
      <c r="D8080" s="1">
        <v>12.539922</v>
      </c>
      <c r="E8080" s="1">
        <v>79.904162</v>
      </c>
      <c r="F8080" s="1">
        <v>2846.0</v>
      </c>
      <c r="G8080" s="1">
        <v>57.0</v>
      </c>
    </row>
    <row r="8081">
      <c r="A8081" s="1" t="s">
        <v>8</v>
      </c>
      <c r="B8081" s="2">
        <v>44736.0</v>
      </c>
      <c r="C8081" s="3">
        <v>0.3007638888888889</v>
      </c>
      <c r="D8081" s="1">
        <v>13.069735</v>
      </c>
      <c r="E8081" s="1">
        <v>80.257102</v>
      </c>
      <c r="F8081" s="1">
        <v>5339.0</v>
      </c>
      <c r="G8081" s="1">
        <v>24.0</v>
      </c>
    </row>
    <row r="8082">
      <c r="A8082" s="1" t="s">
        <v>8</v>
      </c>
      <c r="B8082" s="2">
        <v>44736.0</v>
      </c>
      <c r="C8082" s="3">
        <v>0.3008101851851852</v>
      </c>
      <c r="D8082" s="1">
        <v>13.069735</v>
      </c>
      <c r="E8082" s="1">
        <v>80.257102</v>
      </c>
      <c r="F8082" s="1">
        <v>5339.0</v>
      </c>
      <c r="G8082" s="1">
        <v>24.0</v>
      </c>
    </row>
    <row r="8083">
      <c r="A8083" s="1" t="s">
        <v>7</v>
      </c>
      <c r="B8083" s="2">
        <v>44736.0</v>
      </c>
      <c r="C8083" s="3">
        <v>0.30096064814814816</v>
      </c>
      <c r="D8083" s="1">
        <v>12.545382</v>
      </c>
      <c r="E8083" s="1">
        <v>79.905171</v>
      </c>
      <c r="F8083" s="1">
        <v>2846.0</v>
      </c>
      <c r="G8083" s="1">
        <v>44.0</v>
      </c>
    </row>
    <row r="8084">
      <c r="A8084" s="1" t="s">
        <v>8</v>
      </c>
      <c r="B8084" s="2">
        <v>44736.0</v>
      </c>
      <c r="C8084" s="3">
        <v>0.3010069444444444</v>
      </c>
      <c r="D8084" s="1">
        <v>13.070725</v>
      </c>
      <c r="E8084" s="1">
        <v>80.258144</v>
      </c>
      <c r="F8084" s="1">
        <v>5339.0</v>
      </c>
      <c r="G8084" s="1">
        <v>28.0</v>
      </c>
    </row>
    <row r="8085">
      <c r="A8085" s="1" t="s">
        <v>8</v>
      </c>
      <c r="B8085" s="2">
        <v>44736.0</v>
      </c>
      <c r="C8085" s="3">
        <v>0.3010069444444444</v>
      </c>
      <c r="D8085" s="1">
        <v>13.070725</v>
      </c>
      <c r="E8085" s="1">
        <v>80.258144</v>
      </c>
      <c r="F8085" s="1">
        <v>5339.0</v>
      </c>
      <c r="G8085" s="1">
        <v>28.0</v>
      </c>
    </row>
    <row r="8086">
      <c r="A8086" s="1" t="s">
        <v>7</v>
      </c>
      <c r="B8086" s="2">
        <v>44736.0</v>
      </c>
      <c r="C8086" s="3">
        <v>0.3018865740740741</v>
      </c>
      <c r="D8086" s="1">
        <v>12.545382</v>
      </c>
      <c r="E8086" s="1">
        <v>79.905171</v>
      </c>
      <c r="F8086" s="1">
        <v>2846.0</v>
      </c>
      <c r="G8086" s="1">
        <v>44.0</v>
      </c>
    </row>
    <row r="8087">
      <c r="A8087" s="1" t="s">
        <v>10</v>
      </c>
      <c r="B8087" s="2">
        <v>44736.0</v>
      </c>
      <c r="C8087" s="3">
        <v>0.3019791666666667</v>
      </c>
      <c r="D8087" s="1">
        <v>13.073304</v>
      </c>
      <c r="E8087" s="1">
        <v>80.260856</v>
      </c>
      <c r="F8087" s="1">
        <v>805.0</v>
      </c>
      <c r="G8087" s="1">
        <v>12.0</v>
      </c>
    </row>
    <row r="8088">
      <c r="A8088" s="1" t="s">
        <v>7</v>
      </c>
      <c r="B8088" s="2">
        <v>44736.0</v>
      </c>
      <c r="C8088" s="3">
        <v>0.30225694444444445</v>
      </c>
      <c r="D8088" s="1">
        <v>12.560961</v>
      </c>
      <c r="E8088" s="1">
        <v>79.911719</v>
      </c>
      <c r="F8088" s="1">
        <v>2846.0</v>
      </c>
      <c r="G8088" s="1">
        <v>58.0</v>
      </c>
    </row>
    <row r="8089">
      <c r="A8089" s="1" t="s">
        <v>8</v>
      </c>
      <c r="B8089" s="2">
        <v>44736.0</v>
      </c>
      <c r="C8089" s="3">
        <v>0.30313657407407407</v>
      </c>
      <c r="D8089" s="1">
        <v>12.570318</v>
      </c>
      <c r="E8089" s="1">
        <v>79.915669</v>
      </c>
      <c r="F8089" s="1">
        <v>2846.0</v>
      </c>
      <c r="G8089" s="1">
        <v>58.0</v>
      </c>
    </row>
    <row r="8090">
      <c r="A8090" s="1" t="s">
        <v>8</v>
      </c>
      <c r="B8090" s="2">
        <v>44736.0</v>
      </c>
      <c r="C8090" s="3">
        <v>0.30400462962962965</v>
      </c>
      <c r="D8090" s="1">
        <v>13.068272</v>
      </c>
      <c r="E8090" s="1">
        <v>80.269646</v>
      </c>
      <c r="F8090" s="1">
        <v>805.0</v>
      </c>
      <c r="G8090" s="1">
        <v>34.0</v>
      </c>
    </row>
    <row r="8091">
      <c r="A8091" s="1" t="s">
        <v>8</v>
      </c>
      <c r="B8091" s="2">
        <v>44736.0</v>
      </c>
      <c r="C8091" s="3">
        <v>0.3043518518518519</v>
      </c>
      <c r="D8091" s="1">
        <v>13.068339</v>
      </c>
      <c r="E8091" s="1">
        <v>80.269396</v>
      </c>
      <c r="F8091" s="1">
        <v>5339.0</v>
      </c>
      <c r="G8091" s="1">
        <v>23.0</v>
      </c>
    </row>
    <row r="8092">
      <c r="A8092" s="1" t="s">
        <v>8</v>
      </c>
      <c r="B8092" s="2">
        <v>44736.0</v>
      </c>
      <c r="C8092" s="3">
        <v>0.30444444444444446</v>
      </c>
      <c r="D8092" s="1">
        <v>13.068241</v>
      </c>
      <c r="E8092" s="1">
        <v>80.270097</v>
      </c>
      <c r="F8092" s="1">
        <v>5339.0</v>
      </c>
      <c r="G8092" s="1">
        <v>35.0</v>
      </c>
    </row>
    <row r="8093">
      <c r="A8093" s="1" t="s">
        <v>8</v>
      </c>
      <c r="B8093" s="2">
        <v>44736.0</v>
      </c>
      <c r="C8093" s="3">
        <v>0.30452546296296296</v>
      </c>
      <c r="D8093" s="1">
        <v>13.068241</v>
      </c>
      <c r="E8093" s="1">
        <v>80.270097</v>
      </c>
      <c r="F8093" s="1">
        <v>5339.0</v>
      </c>
      <c r="G8093" s="1">
        <v>35.0</v>
      </c>
    </row>
    <row r="8094">
      <c r="A8094" s="1" t="s">
        <v>10</v>
      </c>
      <c r="B8094" s="2">
        <v>44736.0</v>
      </c>
      <c r="C8094" s="3">
        <v>0.3049884259259259</v>
      </c>
      <c r="D8094" s="1">
        <v>13.064232</v>
      </c>
      <c r="E8094" s="1">
        <v>80.2675</v>
      </c>
      <c r="F8094" s="1">
        <v>805.0</v>
      </c>
      <c r="G8094" s="1">
        <v>51.0</v>
      </c>
    </row>
    <row r="8095">
      <c r="A8095" s="1" t="s">
        <v>7</v>
      </c>
      <c r="B8095" s="2">
        <v>44736.0</v>
      </c>
      <c r="C8095" s="3">
        <v>0.305787037037037</v>
      </c>
      <c r="D8095" s="1">
        <v>12.598772</v>
      </c>
      <c r="E8095" s="1">
        <v>79.919732</v>
      </c>
      <c r="F8095" s="1">
        <v>2846.0</v>
      </c>
      <c r="G8095" s="1">
        <v>58.0</v>
      </c>
    </row>
    <row r="8096">
      <c r="A8096" s="1" t="s">
        <v>10</v>
      </c>
      <c r="B8096" s="2">
        <v>44736.0</v>
      </c>
      <c r="C8096" s="3">
        <v>0.30594907407407407</v>
      </c>
      <c r="D8096" s="1">
        <v>13.064322</v>
      </c>
      <c r="E8096" s="1">
        <v>80.273953</v>
      </c>
      <c r="F8096" s="1">
        <v>5339.0</v>
      </c>
      <c r="G8096" s="1">
        <v>18.0</v>
      </c>
    </row>
    <row r="8097">
      <c r="A8097" s="1" t="s">
        <v>10</v>
      </c>
      <c r="B8097" s="2">
        <v>44736.0</v>
      </c>
      <c r="C8097" s="3">
        <v>0.3064351851851852</v>
      </c>
      <c r="D8097" s="1">
        <v>13.061525</v>
      </c>
      <c r="E8097" s="1">
        <v>80.274309</v>
      </c>
      <c r="F8097" s="1">
        <v>5339.0</v>
      </c>
      <c r="G8097" s="1">
        <v>29.0</v>
      </c>
    </row>
    <row r="8098">
      <c r="A8098" s="1" t="s">
        <v>10</v>
      </c>
      <c r="B8098" s="2">
        <v>44736.0</v>
      </c>
      <c r="C8098" s="3">
        <v>0.3075115740740741</v>
      </c>
      <c r="D8098" s="1">
        <v>13.058138</v>
      </c>
      <c r="E8098" s="1">
        <v>80.274109</v>
      </c>
      <c r="F8098" s="1">
        <v>5339.0</v>
      </c>
      <c r="G8098" s="1">
        <v>29.0</v>
      </c>
    </row>
    <row r="8099">
      <c r="A8099" s="1" t="s">
        <v>10</v>
      </c>
      <c r="B8099" s="2">
        <v>44736.0</v>
      </c>
      <c r="C8099" s="3">
        <v>0.30756944444444445</v>
      </c>
      <c r="D8099" s="1">
        <v>13.057435</v>
      </c>
      <c r="E8099" s="1">
        <v>80.274028</v>
      </c>
      <c r="F8099" s="1">
        <v>5339.0</v>
      </c>
      <c r="G8099" s="1">
        <v>22.0</v>
      </c>
    </row>
    <row r="8100">
      <c r="A8100" s="1" t="s">
        <v>10</v>
      </c>
      <c r="B8100" s="2">
        <v>44736.0</v>
      </c>
      <c r="C8100" s="3">
        <v>0.30777777777777776</v>
      </c>
      <c r="D8100" s="1">
        <v>13.056984</v>
      </c>
      <c r="E8100" s="1">
        <v>80.273968</v>
      </c>
      <c r="F8100" s="1">
        <v>5339.0</v>
      </c>
      <c r="G8100" s="1">
        <v>7.0</v>
      </c>
    </row>
    <row r="8101">
      <c r="A8101" s="1" t="s">
        <v>7</v>
      </c>
      <c r="B8101" s="2">
        <v>44736.0</v>
      </c>
      <c r="C8101" s="3">
        <v>0.3078240740740741</v>
      </c>
      <c r="D8101" s="1">
        <v>12.62601</v>
      </c>
      <c r="E8101" s="1">
        <v>79.929345</v>
      </c>
      <c r="F8101" s="1">
        <v>2846.0</v>
      </c>
      <c r="G8101" s="1">
        <v>57.0</v>
      </c>
    </row>
    <row r="8102">
      <c r="A8102" s="1" t="s">
        <v>10</v>
      </c>
      <c r="B8102" s="2">
        <v>44736.0</v>
      </c>
      <c r="C8102" s="3">
        <v>0.3083564814814815</v>
      </c>
      <c r="D8102" s="1">
        <v>13.054756</v>
      </c>
      <c r="E8102" s="1">
        <v>80.273804</v>
      </c>
      <c r="F8102" s="1">
        <v>5339.0</v>
      </c>
      <c r="G8102" s="1">
        <v>25.0</v>
      </c>
    </row>
    <row r="8103">
      <c r="A8103" s="1" t="s">
        <v>7</v>
      </c>
      <c r="B8103" s="2">
        <v>44736.0</v>
      </c>
      <c r="C8103" s="3">
        <v>0.3097800925925926</v>
      </c>
      <c r="D8103" s="1">
        <v>12.64261</v>
      </c>
      <c r="E8103" s="1">
        <v>79.937803</v>
      </c>
      <c r="F8103" s="1">
        <v>2846.0</v>
      </c>
      <c r="G8103" s="1">
        <v>55.0</v>
      </c>
    </row>
    <row r="8104">
      <c r="A8104" s="1" t="s">
        <v>7</v>
      </c>
      <c r="B8104" s="2">
        <v>44736.0</v>
      </c>
      <c r="C8104" s="3">
        <v>0.3101041666666667</v>
      </c>
      <c r="D8104" s="1">
        <v>12.647418</v>
      </c>
      <c r="E8104" s="1">
        <v>79.940421</v>
      </c>
      <c r="F8104" s="1">
        <v>2846.0</v>
      </c>
      <c r="G8104" s="1">
        <v>51.0</v>
      </c>
    </row>
    <row r="8105">
      <c r="A8105" s="1" t="s">
        <v>10</v>
      </c>
      <c r="B8105" s="2">
        <v>44736.0</v>
      </c>
      <c r="C8105" s="3">
        <v>0.31019675925925927</v>
      </c>
      <c r="D8105" s="1">
        <v>13.053418</v>
      </c>
      <c r="E8105" s="1">
        <v>80.269022</v>
      </c>
      <c r="F8105" s="1">
        <v>5339.0</v>
      </c>
      <c r="G8105" s="1">
        <v>20.0</v>
      </c>
    </row>
    <row r="8106">
      <c r="A8106" s="1" t="s">
        <v>10</v>
      </c>
      <c r="B8106" s="2">
        <v>44736.0</v>
      </c>
      <c r="C8106" s="3">
        <v>0.31046296296296294</v>
      </c>
      <c r="D8106" s="1">
        <v>13.053502</v>
      </c>
      <c r="E8106" s="1">
        <v>80.267954</v>
      </c>
      <c r="F8106" s="1">
        <v>5339.0</v>
      </c>
      <c r="G8106" s="1">
        <v>30.0</v>
      </c>
    </row>
    <row r="8107">
      <c r="A8107" s="1" t="s">
        <v>10</v>
      </c>
      <c r="B8107" s="2">
        <v>44736.0</v>
      </c>
      <c r="C8107" s="3">
        <v>0.31055555555555553</v>
      </c>
      <c r="D8107" s="1">
        <v>13.053562</v>
      </c>
      <c r="E8107" s="1">
        <v>80.267208</v>
      </c>
      <c r="F8107" s="1">
        <v>5339.0</v>
      </c>
      <c r="G8107" s="1">
        <v>19.0</v>
      </c>
    </row>
    <row r="8108">
      <c r="A8108" s="1" t="s">
        <v>7</v>
      </c>
      <c r="B8108" s="2">
        <v>44736.0</v>
      </c>
      <c r="C8108" s="3">
        <v>0.31096064814814817</v>
      </c>
      <c r="D8108" s="1">
        <v>12.652324</v>
      </c>
      <c r="E8108" s="1">
        <v>79.940209</v>
      </c>
      <c r="F8108" s="1">
        <v>2846.0</v>
      </c>
      <c r="G8108" s="1">
        <v>45.0</v>
      </c>
    </row>
    <row r="8109">
      <c r="A8109" s="1" t="s">
        <v>8</v>
      </c>
      <c r="B8109" s="2">
        <v>44736.0</v>
      </c>
      <c r="C8109" s="3">
        <v>0.31153935185185183</v>
      </c>
      <c r="D8109" s="1">
        <v>12.657786</v>
      </c>
      <c r="E8109" s="1">
        <v>79.946132</v>
      </c>
      <c r="F8109" s="1">
        <v>2846.0</v>
      </c>
      <c r="G8109" s="1">
        <v>42.0</v>
      </c>
    </row>
    <row r="8110">
      <c r="A8110" s="1" t="s">
        <v>7</v>
      </c>
      <c r="B8110" s="2">
        <v>44736.0</v>
      </c>
      <c r="C8110" s="3">
        <v>0.3123611111111111</v>
      </c>
      <c r="D8110" s="1">
        <v>12.656137</v>
      </c>
      <c r="E8110" s="1">
        <v>79.953852</v>
      </c>
      <c r="F8110" s="1">
        <v>2846.0</v>
      </c>
      <c r="G8110" s="1">
        <v>56.0</v>
      </c>
    </row>
    <row r="8111">
      <c r="A8111" s="1" t="s">
        <v>7</v>
      </c>
      <c r="B8111" s="2">
        <v>44736.0</v>
      </c>
      <c r="C8111" s="3">
        <v>0.31430555555555556</v>
      </c>
      <c r="D8111" s="1">
        <v>13.044336</v>
      </c>
      <c r="E8111" s="1">
        <v>80.247975</v>
      </c>
      <c r="F8111" s="1">
        <v>5339.0</v>
      </c>
      <c r="G8111" s="1">
        <v>46.0</v>
      </c>
    </row>
    <row r="8112">
      <c r="A8112" s="1" t="s">
        <v>7</v>
      </c>
      <c r="B8112" s="2">
        <v>44736.0</v>
      </c>
      <c r="C8112" s="3">
        <v>0.31480324074074073</v>
      </c>
      <c r="D8112" s="1">
        <v>12.66777</v>
      </c>
      <c r="E8112" s="1">
        <v>79.972368</v>
      </c>
      <c r="F8112" s="1">
        <v>2846.0</v>
      </c>
      <c r="G8112" s="1">
        <v>52.0</v>
      </c>
    </row>
    <row r="8113">
      <c r="A8113" s="1" t="s">
        <v>8</v>
      </c>
      <c r="B8113" s="2">
        <v>44736.0</v>
      </c>
      <c r="C8113" s="3">
        <v>0.3151157407407407</v>
      </c>
      <c r="D8113" s="1">
        <v>13.038931</v>
      </c>
      <c r="E8113" s="1">
        <v>80.246905</v>
      </c>
      <c r="F8113" s="1">
        <v>5339.0</v>
      </c>
      <c r="G8113" s="1">
        <v>32.0</v>
      </c>
    </row>
    <row r="8114">
      <c r="A8114" s="1" t="s">
        <v>8</v>
      </c>
      <c r="B8114" s="2">
        <v>44736.0</v>
      </c>
      <c r="C8114" s="3">
        <v>0.3159375</v>
      </c>
      <c r="D8114" s="1">
        <v>13.034932</v>
      </c>
      <c r="E8114" s="1">
        <v>80.245868</v>
      </c>
      <c r="F8114" s="1">
        <v>5339.0</v>
      </c>
      <c r="G8114" s="1">
        <v>28.0</v>
      </c>
    </row>
    <row r="8115">
      <c r="A8115" s="1" t="s">
        <v>7</v>
      </c>
      <c r="B8115" s="2">
        <v>44736.0</v>
      </c>
      <c r="C8115" s="3">
        <v>0.31636574074074075</v>
      </c>
      <c r="D8115" s="1">
        <v>13.032169</v>
      </c>
      <c r="E8115" s="1">
        <v>80.242134</v>
      </c>
      <c r="F8115" s="1">
        <v>5339.0</v>
      </c>
      <c r="G8115" s="1">
        <v>57.0</v>
      </c>
    </row>
    <row r="8116">
      <c r="A8116" s="1" t="s">
        <v>8</v>
      </c>
      <c r="B8116" s="2">
        <v>44736.0</v>
      </c>
      <c r="C8116" s="3">
        <v>0.3177199074074074</v>
      </c>
      <c r="D8116" s="1">
        <v>12.678697</v>
      </c>
      <c r="E8116" s="1">
        <v>79.980075</v>
      </c>
      <c r="F8116" s="1">
        <v>2846.0</v>
      </c>
      <c r="G8116" s="1">
        <v>32.0</v>
      </c>
    </row>
    <row r="8117">
      <c r="A8117" s="1" t="s">
        <v>8</v>
      </c>
      <c r="B8117" s="2">
        <v>44736.0</v>
      </c>
      <c r="C8117" s="3">
        <v>0.3182638888888889</v>
      </c>
      <c r="D8117" s="1">
        <v>13.030428</v>
      </c>
      <c r="E8117" s="1">
        <v>80.23871</v>
      </c>
      <c r="F8117" s="1">
        <v>5339.0</v>
      </c>
      <c r="G8117" s="1">
        <v>46.0</v>
      </c>
    </row>
    <row r="8118">
      <c r="A8118" s="1" t="s">
        <v>7</v>
      </c>
      <c r="B8118" s="2">
        <v>44736.0</v>
      </c>
      <c r="C8118" s="3">
        <v>0.318587962962963</v>
      </c>
      <c r="D8118" s="1">
        <v>13.028083</v>
      </c>
      <c r="E8118" s="1">
        <v>80.235606</v>
      </c>
      <c r="F8118" s="1">
        <v>5339.0</v>
      </c>
      <c r="G8118" s="1">
        <v>54.0</v>
      </c>
    </row>
    <row r="8119">
      <c r="A8119" s="1" t="s">
        <v>8</v>
      </c>
      <c r="B8119" s="2">
        <v>44736.0</v>
      </c>
      <c r="C8119" s="3">
        <v>0.3191550925925926</v>
      </c>
      <c r="D8119" s="1">
        <v>13.026043</v>
      </c>
      <c r="E8119" s="1">
        <v>80.23171</v>
      </c>
      <c r="F8119" s="1">
        <v>5339.0</v>
      </c>
      <c r="G8119" s="1">
        <v>32.0</v>
      </c>
    </row>
    <row r="8120">
      <c r="A8120" s="1" t="s">
        <v>8</v>
      </c>
      <c r="B8120" s="2">
        <v>44736.0</v>
      </c>
      <c r="C8120" s="3">
        <v>0.31925925925925924</v>
      </c>
      <c r="D8120" s="1">
        <v>13.025755</v>
      </c>
      <c r="E8120" s="1">
        <v>80.2307</v>
      </c>
      <c r="F8120" s="1">
        <v>5339.0</v>
      </c>
      <c r="G8120" s="1">
        <v>47.0</v>
      </c>
    </row>
    <row r="8121">
      <c r="A8121" s="1" t="s">
        <v>8</v>
      </c>
      <c r="B8121" s="2">
        <v>44736.0</v>
      </c>
      <c r="C8121" s="3">
        <v>0.3193634259259259</v>
      </c>
      <c r="D8121" s="1">
        <v>12.68936</v>
      </c>
      <c r="E8121" s="1">
        <v>79.982395</v>
      </c>
      <c r="F8121" s="1">
        <v>2846.0</v>
      </c>
      <c r="G8121" s="1">
        <v>35.0</v>
      </c>
    </row>
    <row r="8122">
      <c r="A8122" s="1" t="s">
        <v>7</v>
      </c>
      <c r="B8122" s="2">
        <v>44736.0</v>
      </c>
      <c r="C8122" s="3">
        <v>0.3197453703703704</v>
      </c>
      <c r="D8122" s="1">
        <v>13.022185</v>
      </c>
      <c r="E8122" s="1">
        <v>80.226441</v>
      </c>
      <c r="F8122" s="1">
        <v>5339.0</v>
      </c>
      <c r="G8122" s="1">
        <v>58.0</v>
      </c>
    </row>
    <row r="8123">
      <c r="A8123" s="1" t="s">
        <v>7</v>
      </c>
      <c r="B8123" s="2">
        <v>44736.0</v>
      </c>
      <c r="C8123" s="3">
        <v>0.3207291666666667</v>
      </c>
      <c r="D8123" s="1">
        <v>13.016292</v>
      </c>
      <c r="E8123" s="1">
        <v>80.225537</v>
      </c>
      <c r="F8123" s="1">
        <v>5339.0</v>
      </c>
      <c r="G8123" s="1">
        <v>56.0</v>
      </c>
    </row>
    <row r="8124">
      <c r="A8124" s="1" t="s">
        <v>8</v>
      </c>
      <c r="B8124" s="2">
        <v>44736.0</v>
      </c>
      <c r="C8124" s="3">
        <v>0.32078703703703704</v>
      </c>
      <c r="D8124" s="1">
        <v>13.015019</v>
      </c>
      <c r="E8124" s="1">
        <v>80.226035</v>
      </c>
      <c r="F8124" s="1">
        <v>5339.0</v>
      </c>
      <c r="G8124" s="1">
        <v>51.0</v>
      </c>
    </row>
    <row r="8125">
      <c r="A8125" s="1" t="s">
        <v>8</v>
      </c>
      <c r="B8125" s="2">
        <v>44736.0</v>
      </c>
      <c r="C8125" s="3">
        <v>0.32091435185185185</v>
      </c>
      <c r="D8125" s="1">
        <v>13.013776</v>
      </c>
      <c r="E8125" s="1">
        <v>80.226472</v>
      </c>
      <c r="F8125" s="1">
        <v>5339.0</v>
      </c>
      <c r="G8125" s="1">
        <v>55.0</v>
      </c>
    </row>
    <row r="8126">
      <c r="A8126" s="1" t="s">
        <v>7</v>
      </c>
      <c r="B8126" s="2">
        <v>44736.0</v>
      </c>
      <c r="C8126" s="3">
        <v>0.3210300925925926</v>
      </c>
      <c r="D8126" s="1">
        <v>13.012423</v>
      </c>
      <c r="E8126" s="1">
        <v>80.227002</v>
      </c>
      <c r="F8126" s="1">
        <v>5339.0</v>
      </c>
      <c r="G8126" s="1">
        <v>58.0</v>
      </c>
    </row>
    <row r="8127">
      <c r="A8127" s="1" t="s">
        <v>8</v>
      </c>
      <c r="B8127" s="2">
        <v>44736.0</v>
      </c>
      <c r="C8127" s="3">
        <v>0.32158564814814816</v>
      </c>
      <c r="D8127" s="1">
        <v>12.69554</v>
      </c>
      <c r="E8127" s="1">
        <v>79.977854</v>
      </c>
      <c r="F8127" s="1">
        <v>2846.0</v>
      </c>
      <c r="G8127" s="1">
        <v>35.0</v>
      </c>
    </row>
    <row r="8128">
      <c r="A8128" s="1" t="s">
        <v>8</v>
      </c>
      <c r="B8128" s="2">
        <v>44736.0</v>
      </c>
      <c r="C8128" s="3">
        <v>0.32188657407407406</v>
      </c>
      <c r="D8128" s="1">
        <v>13.011279</v>
      </c>
      <c r="E8128" s="1">
        <v>80.223675</v>
      </c>
      <c r="F8128" s="1">
        <v>5339.0</v>
      </c>
      <c r="G8128" s="1">
        <v>37.0</v>
      </c>
    </row>
    <row r="8129">
      <c r="A8129" s="1" t="s">
        <v>8</v>
      </c>
      <c r="B8129" s="2">
        <v>44736.0</v>
      </c>
      <c r="C8129" s="3">
        <v>0.3219675925925926</v>
      </c>
      <c r="D8129" s="1">
        <v>13.01164</v>
      </c>
      <c r="E8129" s="1">
        <v>80.222819</v>
      </c>
      <c r="F8129" s="1">
        <v>5339.0</v>
      </c>
      <c r="G8129" s="1">
        <v>35.0</v>
      </c>
    </row>
    <row r="8130">
      <c r="A8130" s="1" t="s">
        <v>8</v>
      </c>
      <c r="B8130" s="2">
        <v>44736.0</v>
      </c>
      <c r="C8130" s="3">
        <v>0.3220486111111111</v>
      </c>
      <c r="D8130" s="1">
        <v>13.011955</v>
      </c>
      <c r="E8130" s="1">
        <v>80.222074</v>
      </c>
      <c r="F8130" s="1">
        <v>5339.0</v>
      </c>
      <c r="G8130" s="1">
        <v>24.0</v>
      </c>
    </row>
    <row r="8131">
      <c r="A8131" s="1" t="s">
        <v>8</v>
      </c>
      <c r="B8131" s="2">
        <v>44736.0</v>
      </c>
      <c r="C8131" s="3">
        <v>0.3220486111111111</v>
      </c>
      <c r="D8131" s="1">
        <v>13.011955</v>
      </c>
      <c r="E8131" s="1">
        <v>80.222074</v>
      </c>
      <c r="F8131" s="1">
        <v>5339.0</v>
      </c>
      <c r="G8131" s="1">
        <v>24.0</v>
      </c>
    </row>
    <row r="8132">
      <c r="A8132" s="1" t="s">
        <v>8</v>
      </c>
      <c r="B8132" s="2">
        <v>44736.0</v>
      </c>
      <c r="C8132" s="3">
        <v>0.3221759259259259</v>
      </c>
      <c r="D8132" s="1">
        <v>13.012186</v>
      </c>
      <c r="E8132" s="1">
        <v>80.221382</v>
      </c>
      <c r="F8132" s="1">
        <v>5339.0</v>
      </c>
      <c r="G8132" s="1">
        <v>29.0</v>
      </c>
    </row>
    <row r="8133">
      <c r="A8133" s="1" t="s">
        <v>7</v>
      </c>
      <c r="B8133" s="2">
        <v>44736.0</v>
      </c>
      <c r="C8133" s="3">
        <v>0.3229050925925926</v>
      </c>
      <c r="D8133" s="1">
        <v>13.010115</v>
      </c>
      <c r="E8133" s="1">
        <v>80.215042</v>
      </c>
      <c r="F8133" s="1">
        <v>5339.0</v>
      </c>
      <c r="G8133" s="1">
        <v>47.0</v>
      </c>
    </row>
    <row r="8134">
      <c r="A8134" s="1" t="s">
        <v>8</v>
      </c>
      <c r="B8134" s="2">
        <v>44736.0</v>
      </c>
      <c r="C8134" s="3">
        <v>0.32416666666666666</v>
      </c>
      <c r="D8134" s="1">
        <v>13.007005</v>
      </c>
      <c r="E8134" s="1">
        <v>80.204504</v>
      </c>
      <c r="F8134" s="1">
        <v>5339.0</v>
      </c>
      <c r="G8134" s="1">
        <v>46.0</v>
      </c>
    </row>
    <row r="8135">
      <c r="A8135" s="1" t="s">
        <v>7</v>
      </c>
      <c r="B8135" s="2">
        <v>44736.0</v>
      </c>
      <c r="C8135" s="3">
        <v>0.3249537037037037</v>
      </c>
      <c r="D8135" s="1">
        <v>12.700789</v>
      </c>
      <c r="E8135" s="1">
        <v>79.968822</v>
      </c>
      <c r="F8135" s="1">
        <v>2846.0</v>
      </c>
      <c r="G8135" s="1">
        <v>32.0</v>
      </c>
    </row>
    <row r="8136">
      <c r="A8136" s="1" t="s">
        <v>8</v>
      </c>
      <c r="B8136" s="2">
        <v>44736.0</v>
      </c>
      <c r="C8136" s="3">
        <v>0.3249768518518519</v>
      </c>
      <c r="D8136" s="1">
        <v>12.703822</v>
      </c>
      <c r="E8136" s="1">
        <v>79.97209</v>
      </c>
      <c r="F8136" s="1">
        <v>2846.0</v>
      </c>
      <c r="G8136" s="1">
        <v>56.0</v>
      </c>
    </row>
    <row r="8137">
      <c r="A8137" s="1" t="s">
        <v>7</v>
      </c>
      <c r="B8137" s="2">
        <v>44736.0</v>
      </c>
      <c r="C8137" s="3">
        <v>0.3253935185185185</v>
      </c>
      <c r="D8137" s="1">
        <v>12.704716</v>
      </c>
      <c r="E8137" s="1">
        <v>79.973264</v>
      </c>
      <c r="F8137" s="1">
        <v>2846.0</v>
      </c>
      <c r="G8137" s="1">
        <v>58.0</v>
      </c>
    </row>
    <row r="8138">
      <c r="A8138" s="1" t="s">
        <v>8</v>
      </c>
      <c r="B8138" s="2">
        <v>44736.0</v>
      </c>
      <c r="C8138" s="3">
        <v>0.32582175925925927</v>
      </c>
      <c r="D8138" s="1">
        <v>12.710112</v>
      </c>
      <c r="E8138" s="1">
        <v>79.977921</v>
      </c>
      <c r="F8138" s="1">
        <v>2846.0</v>
      </c>
      <c r="G8138" s="1">
        <v>38.0</v>
      </c>
    </row>
    <row r="8139">
      <c r="A8139" s="1" t="s">
        <v>8</v>
      </c>
      <c r="B8139" s="2">
        <v>44736.0</v>
      </c>
      <c r="C8139" s="3">
        <v>0.3258912037037037</v>
      </c>
      <c r="D8139" s="1">
        <v>12.710112</v>
      </c>
      <c r="E8139" s="1">
        <v>79.977921</v>
      </c>
      <c r="F8139" s="1">
        <v>2846.0</v>
      </c>
      <c r="G8139" s="1">
        <v>38.0</v>
      </c>
    </row>
    <row r="8140">
      <c r="A8140" s="1" t="s">
        <v>7</v>
      </c>
      <c r="B8140" s="2">
        <v>44736.0</v>
      </c>
      <c r="C8140" s="3">
        <v>0.32635416666666667</v>
      </c>
      <c r="D8140" s="1">
        <v>12.714277</v>
      </c>
      <c r="E8140" s="1">
        <v>79.980129</v>
      </c>
      <c r="F8140" s="1">
        <v>2846.0</v>
      </c>
      <c r="G8140" s="1">
        <v>57.0</v>
      </c>
    </row>
    <row r="8141">
      <c r="A8141" s="1" t="s">
        <v>7</v>
      </c>
      <c r="B8141" s="2">
        <v>44736.0</v>
      </c>
      <c r="C8141" s="3">
        <v>0.326875</v>
      </c>
      <c r="D8141" s="1">
        <v>12.720765</v>
      </c>
      <c r="E8141" s="1">
        <v>79.981135</v>
      </c>
      <c r="F8141" s="1">
        <v>2846.0</v>
      </c>
      <c r="G8141" s="1">
        <v>46.0</v>
      </c>
    </row>
    <row r="8142">
      <c r="A8142" s="1" t="s">
        <v>8</v>
      </c>
      <c r="B8142" s="2">
        <v>44736.0</v>
      </c>
      <c r="C8142" s="3">
        <v>0.32710648148148147</v>
      </c>
      <c r="D8142" s="1">
        <v>12.994068</v>
      </c>
      <c r="E8142" s="1">
        <v>80.185683</v>
      </c>
      <c r="F8142" s="1">
        <v>5339.0</v>
      </c>
      <c r="G8142" s="1">
        <v>29.0</v>
      </c>
    </row>
    <row r="8143">
      <c r="A8143" s="1" t="s">
        <v>8</v>
      </c>
      <c r="B8143" s="2">
        <v>44736.0</v>
      </c>
      <c r="C8143" s="3">
        <v>0.32851851851851854</v>
      </c>
      <c r="D8143" s="1">
        <v>12.733472</v>
      </c>
      <c r="E8143" s="1">
        <v>79.983616</v>
      </c>
      <c r="F8143" s="1">
        <v>2846.0</v>
      </c>
      <c r="G8143" s="1">
        <v>52.0</v>
      </c>
    </row>
    <row r="8144">
      <c r="A8144" s="1" t="s">
        <v>8</v>
      </c>
      <c r="B8144" s="2">
        <v>44736.0</v>
      </c>
      <c r="C8144" s="3">
        <v>0.32916666666666666</v>
      </c>
      <c r="D8144" s="1">
        <v>12.739769</v>
      </c>
      <c r="E8144" s="1">
        <v>79.989512</v>
      </c>
      <c r="F8144" s="1">
        <v>2846.0</v>
      </c>
      <c r="G8144" s="1">
        <v>58.0</v>
      </c>
    </row>
    <row r="8145">
      <c r="A8145" s="1" t="s">
        <v>8</v>
      </c>
      <c r="B8145" s="2">
        <v>44736.0</v>
      </c>
      <c r="C8145" s="3">
        <v>0.3292361111111111</v>
      </c>
      <c r="D8145" s="1">
        <v>12.739769</v>
      </c>
      <c r="E8145" s="1">
        <v>79.989512</v>
      </c>
      <c r="F8145" s="1">
        <v>2846.0</v>
      </c>
      <c r="G8145" s="1">
        <v>58.0</v>
      </c>
    </row>
    <row r="8146">
      <c r="A8146" s="1" t="s">
        <v>8</v>
      </c>
      <c r="B8146" s="2">
        <v>44736.0</v>
      </c>
      <c r="C8146" s="3">
        <v>0.32967592592592593</v>
      </c>
      <c r="D8146" s="1">
        <v>12.980421</v>
      </c>
      <c r="E8146" s="1">
        <v>80.164815</v>
      </c>
      <c r="F8146" s="1">
        <v>5339.0</v>
      </c>
      <c r="G8146" s="1">
        <v>44.0</v>
      </c>
    </row>
    <row r="8147">
      <c r="A8147" s="1" t="s">
        <v>7</v>
      </c>
      <c r="B8147" s="2">
        <v>44736.0</v>
      </c>
      <c r="C8147" s="3">
        <v>0.3310416666666667</v>
      </c>
      <c r="D8147" s="1">
        <v>12.739769</v>
      </c>
      <c r="E8147" s="1">
        <v>79.989512</v>
      </c>
      <c r="F8147" s="1">
        <v>2846.0</v>
      </c>
      <c r="G8147" s="1">
        <v>58.0</v>
      </c>
    </row>
    <row r="8148">
      <c r="A8148" s="1" t="s">
        <v>8</v>
      </c>
      <c r="B8148" s="2">
        <v>44736.0</v>
      </c>
      <c r="C8148" s="3">
        <v>0.33164351851851853</v>
      </c>
      <c r="D8148" s="1">
        <v>12.97337</v>
      </c>
      <c r="E8148" s="1">
        <v>80.153207</v>
      </c>
      <c r="F8148" s="1">
        <v>5339.0</v>
      </c>
      <c r="G8148" s="1">
        <v>40.0</v>
      </c>
    </row>
    <row r="8149">
      <c r="A8149" s="1" t="s">
        <v>8</v>
      </c>
      <c r="B8149" s="2">
        <v>44736.0</v>
      </c>
      <c r="C8149" s="3">
        <v>0.3320486111111111</v>
      </c>
      <c r="D8149" s="1">
        <v>12.971651</v>
      </c>
      <c r="E8149" s="1">
        <v>80.151239</v>
      </c>
      <c r="F8149" s="1">
        <v>5339.0</v>
      </c>
      <c r="G8149" s="1">
        <v>25.0</v>
      </c>
    </row>
    <row r="8150">
      <c r="A8150" s="1" t="s">
        <v>7</v>
      </c>
      <c r="B8150" s="2">
        <v>44736.0</v>
      </c>
      <c r="C8150" s="3">
        <v>0.33247685185185183</v>
      </c>
      <c r="D8150" s="1">
        <v>12.763393</v>
      </c>
      <c r="E8150" s="1">
        <v>80.004112</v>
      </c>
      <c r="F8150" s="1">
        <v>2846.0</v>
      </c>
      <c r="G8150" s="1">
        <v>33.0</v>
      </c>
    </row>
    <row r="8151">
      <c r="A8151" s="1" t="s">
        <v>8</v>
      </c>
      <c r="B8151" s="2">
        <v>44736.0</v>
      </c>
      <c r="C8151" s="3">
        <v>0.33262731481481483</v>
      </c>
      <c r="D8151" s="1">
        <v>12.968604</v>
      </c>
      <c r="E8151" s="1">
        <v>80.149734</v>
      </c>
      <c r="F8151" s="1">
        <v>5339.0</v>
      </c>
      <c r="G8151" s="1">
        <v>29.0</v>
      </c>
    </row>
    <row r="8152">
      <c r="A8152" s="1" t="s">
        <v>8</v>
      </c>
      <c r="B8152" s="2">
        <v>44736.0</v>
      </c>
      <c r="C8152" s="3">
        <v>0.3326388888888889</v>
      </c>
      <c r="D8152" s="1">
        <v>12.968604</v>
      </c>
      <c r="E8152" s="1">
        <v>80.149734</v>
      </c>
      <c r="F8152" s="1">
        <v>5339.0</v>
      </c>
      <c r="G8152" s="1">
        <v>29.0</v>
      </c>
    </row>
    <row r="8153">
      <c r="A8153" s="1" t="s">
        <v>10</v>
      </c>
      <c r="B8153" s="2">
        <v>44736.0</v>
      </c>
      <c r="C8153" s="3">
        <v>0.3326736111111111</v>
      </c>
      <c r="D8153" s="1">
        <v>12.967973</v>
      </c>
      <c r="E8153" s="1">
        <v>80.149467</v>
      </c>
      <c r="F8153" s="1">
        <v>5339.0</v>
      </c>
      <c r="G8153" s="1">
        <v>27.0</v>
      </c>
    </row>
    <row r="8154">
      <c r="A8154" s="1" t="s">
        <v>7</v>
      </c>
      <c r="B8154" s="2">
        <v>44736.0</v>
      </c>
      <c r="C8154" s="3">
        <v>0.33282407407407405</v>
      </c>
      <c r="D8154" s="1">
        <v>12.768027</v>
      </c>
      <c r="E8154" s="1">
        <v>80.006134</v>
      </c>
      <c r="F8154" s="1">
        <v>2846.0</v>
      </c>
      <c r="G8154" s="1">
        <v>57.0</v>
      </c>
    </row>
    <row r="8155">
      <c r="A8155" s="1" t="s">
        <v>7</v>
      </c>
      <c r="B8155" s="2">
        <v>44736.0</v>
      </c>
      <c r="C8155" s="3">
        <v>0.3336574074074074</v>
      </c>
      <c r="D8155" s="1">
        <v>12.964168</v>
      </c>
      <c r="E8155" s="1">
        <v>80.147556</v>
      </c>
      <c r="F8155" s="1">
        <v>5339.0</v>
      </c>
      <c r="G8155" s="1">
        <v>44.0</v>
      </c>
    </row>
    <row r="8156">
      <c r="A8156" s="1" t="s">
        <v>8</v>
      </c>
      <c r="B8156" s="2">
        <v>44736.0</v>
      </c>
      <c r="C8156" s="3">
        <v>0.33381944444444445</v>
      </c>
      <c r="D8156" s="1">
        <v>12.961948</v>
      </c>
      <c r="E8156" s="1">
        <v>80.1463</v>
      </c>
      <c r="F8156" s="1">
        <v>5339.0</v>
      </c>
      <c r="G8156" s="1">
        <v>46.0</v>
      </c>
    </row>
    <row r="8157">
      <c r="A8157" s="1" t="s">
        <v>8</v>
      </c>
      <c r="B8157" s="2">
        <v>44736.0</v>
      </c>
      <c r="C8157" s="3">
        <v>0.3342824074074074</v>
      </c>
      <c r="D8157" s="1">
        <v>12.957988</v>
      </c>
      <c r="E8157" s="1">
        <v>80.144176</v>
      </c>
      <c r="F8157" s="1">
        <v>5339.0</v>
      </c>
      <c r="G8157" s="1">
        <v>40.0</v>
      </c>
    </row>
    <row r="8158">
      <c r="A8158" s="1" t="s">
        <v>8</v>
      </c>
      <c r="B8158" s="2">
        <v>44736.0</v>
      </c>
      <c r="C8158" s="3">
        <v>0.334537037037037</v>
      </c>
      <c r="D8158" s="1">
        <v>12.956429</v>
      </c>
      <c r="E8158" s="1">
        <v>80.143394</v>
      </c>
      <c r="F8158" s="1">
        <v>5339.0</v>
      </c>
      <c r="G8158" s="1">
        <v>30.0</v>
      </c>
    </row>
    <row r="8159">
      <c r="A8159" s="1" t="s">
        <v>8</v>
      </c>
      <c r="B8159" s="2">
        <v>44736.0</v>
      </c>
      <c r="C8159" s="3">
        <v>0.33466435185185184</v>
      </c>
      <c r="D8159" s="1">
        <v>12.955757</v>
      </c>
      <c r="E8159" s="1">
        <v>80.143016</v>
      </c>
      <c r="F8159" s="1">
        <v>5339.0</v>
      </c>
      <c r="G8159" s="1">
        <v>32.0</v>
      </c>
    </row>
    <row r="8160">
      <c r="A8160" s="1" t="s">
        <v>8</v>
      </c>
      <c r="B8160" s="2">
        <v>44736.0</v>
      </c>
      <c r="C8160" s="3">
        <v>0.33491898148148147</v>
      </c>
      <c r="D8160" s="1">
        <v>12.787706</v>
      </c>
      <c r="E8160" s="1">
        <v>80.015498</v>
      </c>
      <c r="F8160" s="1">
        <v>2846.0</v>
      </c>
      <c r="G8160" s="1">
        <v>45.0</v>
      </c>
    </row>
    <row r="8161">
      <c r="A8161" s="1" t="s">
        <v>8</v>
      </c>
      <c r="B8161" s="2">
        <v>44736.0</v>
      </c>
      <c r="C8161" s="3">
        <v>0.3361458333333333</v>
      </c>
      <c r="D8161" s="1">
        <v>12.951026</v>
      </c>
      <c r="E8161" s="1">
        <v>80.140069</v>
      </c>
      <c r="F8161" s="1">
        <v>5339.0</v>
      </c>
      <c r="G8161" s="1">
        <v>24.0</v>
      </c>
    </row>
    <row r="8162">
      <c r="A8162" s="1" t="s">
        <v>8</v>
      </c>
      <c r="B8162" s="2">
        <v>44736.0</v>
      </c>
      <c r="C8162" s="3">
        <v>0.3361574074074074</v>
      </c>
      <c r="D8162" s="1">
        <v>12.951026</v>
      </c>
      <c r="E8162" s="1">
        <v>80.140069</v>
      </c>
      <c r="F8162" s="1">
        <v>5339.0</v>
      </c>
      <c r="G8162" s="1">
        <v>24.0</v>
      </c>
    </row>
    <row r="8163">
      <c r="A8163" s="1" t="s">
        <v>7</v>
      </c>
      <c r="B8163" s="2">
        <v>44736.0</v>
      </c>
      <c r="C8163" s="3">
        <v>0.33633101851851854</v>
      </c>
      <c r="D8163" s="1">
        <v>12.806742</v>
      </c>
      <c r="E8163" s="1">
        <v>80.0277</v>
      </c>
      <c r="F8163" s="1">
        <v>2846.0</v>
      </c>
      <c r="G8163" s="1">
        <v>57.0</v>
      </c>
    </row>
    <row r="8164">
      <c r="A8164" s="1" t="s">
        <v>7</v>
      </c>
      <c r="B8164" s="2">
        <v>44736.0</v>
      </c>
      <c r="C8164" s="3">
        <v>0.337337962962963</v>
      </c>
      <c r="D8164" s="1">
        <v>12.817382</v>
      </c>
      <c r="E8164" s="1">
        <v>80.034799</v>
      </c>
      <c r="F8164" s="1">
        <v>2846.0</v>
      </c>
      <c r="G8164" s="1">
        <v>58.0</v>
      </c>
    </row>
    <row r="8165">
      <c r="A8165" s="1" t="s">
        <v>7</v>
      </c>
      <c r="B8165" s="2">
        <v>44736.0</v>
      </c>
      <c r="C8165" s="3">
        <v>0.3379976851851852</v>
      </c>
      <c r="D8165" s="1">
        <v>12.823105</v>
      </c>
      <c r="E8165" s="1">
        <v>80.038831</v>
      </c>
      <c r="F8165" s="1">
        <v>2846.0</v>
      </c>
      <c r="G8165" s="1">
        <v>57.0</v>
      </c>
    </row>
    <row r="8166">
      <c r="A8166" s="1" t="s">
        <v>8</v>
      </c>
      <c r="B8166" s="2">
        <v>44736.0</v>
      </c>
      <c r="C8166" s="3">
        <v>0.3382175925925926</v>
      </c>
      <c r="D8166" s="1">
        <v>12.941554</v>
      </c>
      <c r="E8166" s="1">
        <v>80.13221</v>
      </c>
      <c r="F8166" s="1">
        <v>5339.0</v>
      </c>
      <c r="G8166" s="1">
        <v>39.0</v>
      </c>
    </row>
    <row r="8167">
      <c r="A8167" s="1" t="s">
        <v>7</v>
      </c>
      <c r="B8167" s="2">
        <v>44736.0</v>
      </c>
      <c r="C8167" s="3">
        <v>0.33827546296296296</v>
      </c>
      <c r="D8167" s="1">
        <v>12.823105</v>
      </c>
      <c r="E8167" s="1">
        <v>80.038831</v>
      </c>
      <c r="F8167" s="1">
        <v>2846.0</v>
      </c>
      <c r="G8167" s="1">
        <v>57.0</v>
      </c>
    </row>
    <row r="8168">
      <c r="A8168" s="1" t="s">
        <v>7</v>
      </c>
      <c r="B8168" s="2">
        <v>44736.0</v>
      </c>
      <c r="C8168" s="3">
        <v>0.3385532407407407</v>
      </c>
      <c r="D8168" s="1">
        <v>12.828688</v>
      </c>
      <c r="E8168" s="1">
        <v>80.043556</v>
      </c>
      <c r="F8168" s="1">
        <v>2846.0</v>
      </c>
      <c r="G8168" s="1">
        <v>58.0</v>
      </c>
    </row>
    <row r="8169">
      <c r="A8169" s="1" t="s">
        <v>8</v>
      </c>
      <c r="B8169" s="2">
        <v>44736.0</v>
      </c>
      <c r="C8169" s="3">
        <v>0.33894675925925927</v>
      </c>
      <c r="D8169" s="1">
        <v>12.937522</v>
      </c>
      <c r="E8169" s="1">
        <v>80.128413</v>
      </c>
      <c r="F8169" s="1">
        <v>5339.0</v>
      </c>
      <c r="G8169" s="1">
        <v>35.0</v>
      </c>
    </row>
    <row r="8170">
      <c r="A8170" s="1" t="s">
        <v>8</v>
      </c>
      <c r="B8170" s="2">
        <v>44736.0</v>
      </c>
      <c r="C8170" s="3">
        <v>0.3391087962962963</v>
      </c>
      <c r="D8170" s="1">
        <v>12.831393</v>
      </c>
      <c r="E8170" s="1">
        <v>80.046354</v>
      </c>
      <c r="F8170" s="1">
        <v>2846.0</v>
      </c>
      <c r="G8170" s="1">
        <v>36.0</v>
      </c>
    </row>
    <row r="8171">
      <c r="A8171" s="1" t="s">
        <v>7</v>
      </c>
      <c r="B8171" s="2">
        <v>44736.0</v>
      </c>
      <c r="C8171" s="3">
        <v>0.3392939814814815</v>
      </c>
      <c r="D8171" s="1">
        <v>12.831393</v>
      </c>
      <c r="E8171" s="1">
        <v>80.046354</v>
      </c>
      <c r="F8171" s="1">
        <v>2846.0</v>
      </c>
      <c r="G8171" s="1">
        <v>36.0</v>
      </c>
    </row>
    <row r="8172">
      <c r="A8172" s="1" t="s">
        <v>7</v>
      </c>
      <c r="B8172" s="2">
        <v>44736.0</v>
      </c>
      <c r="C8172" s="3">
        <v>0.33993055555555557</v>
      </c>
      <c r="D8172" s="1">
        <v>12.933998</v>
      </c>
      <c r="E8172" s="1">
        <v>80.125246</v>
      </c>
      <c r="F8172" s="1">
        <v>5339.0</v>
      </c>
      <c r="G8172" s="1">
        <v>59.0</v>
      </c>
    </row>
    <row r="8173">
      <c r="A8173" s="1" t="s">
        <v>7</v>
      </c>
      <c r="B8173" s="2">
        <v>44736.0</v>
      </c>
      <c r="C8173" s="3">
        <v>0.3399652777777778</v>
      </c>
      <c r="D8173" s="1">
        <v>12.837024</v>
      </c>
      <c r="E8173" s="1">
        <v>80.052316</v>
      </c>
      <c r="F8173" s="1">
        <v>2846.0</v>
      </c>
      <c r="G8173" s="1">
        <v>56.0</v>
      </c>
    </row>
    <row r="8174">
      <c r="A8174" s="1" t="s">
        <v>8</v>
      </c>
      <c r="B8174" s="2">
        <v>44736.0</v>
      </c>
      <c r="C8174" s="3">
        <v>0.3402777777777778</v>
      </c>
      <c r="D8174" s="1">
        <v>12.841101</v>
      </c>
      <c r="E8174" s="1">
        <v>80.05655</v>
      </c>
      <c r="F8174" s="1">
        <v>2846.0</v>
      </c>
      <c r="G8174" s="1">
        <v>57.0</v>
      </c>
    </row>
    <row r="8175">
      <c r="A8175" s="1" t="s">
        <v>8</v>
      </c>
      <c r="B8175" s="2">
        <v>44736.0</v>
      </c>
      <c r="C8175" s="3">
        <v>0.34043981481481483</v>
      </c>
      <c r="D8175" s="1">
        <v>12.842062</v>
      </c>
      <c r="E8175" s="1">
        <v>80.057547</v>
      </c>
      <c r="F8175" s="1">
        <v>2846.0</v>
      </c>
      <c r="G8175" s="1">
        <v>51.0</v>
      </c>
    </row>
    <row r="8176">
      <c r="A8176" s="1" t="s">
        <v>8</v>
      </c>
      <c r="B8176" s="2">
        <v>44736.0</v>
      </c>
      <c r="C8176" s="3">
        <v>0.34046296296296297</v>
      </c>
      <c r="D8176" s="1">
        <v>12.842062</v>
      </c>
      <c r="E8176" s="1">
        <v>80.057547</v>
      </c>
      <c r="F8176" s="1">
        <v>2846.0</v>
      </c>
      <c r="G8176" s="1">
        <v>51.0</v>
      </c>
    </row>
    <row r="8177">
      <c r="A8177" s="1" t="s">
        <v>8</v>
      </c>
      <c r="B8177" s="2">
        <v>44736.0</v>
      </c>
      <c r="C8177" s="3">
        <v>0.3412847222222222</v>
      </c>
      <c r="D8177" s="1">
        <v>12.927862</v>
      </c>
      <c r="E8177" s="1">
        <v>80.119057</v>
      </c>
      <c r="F8177" s="1">
        <v>5339.0</v>
      </c>
      <c r="G8177" s="1">
        <v>42.0</v>
      </c>
    </row>
    <row r="8178">
      <c r="A8178" s="1" t="s">
        <v>7</v>
      </c>
      <c r="B8178" s="2">
        <v>44736.0</v>
      </c>
      <c r="C8178" s="3">
        <v>0.34184027777777776</v>
      </c>
      <c r="D8178" s="1">
        <v>12.924502</v>
      </c>
      <c r="E8178" s="1">
        <v>80.115688</v>
      </c>
      <c r="F8178" s="1">
        <v>5339.0</v>
      </c>
      <c r="G8178" s="1">
        <v>52.0</v>
      </c>
    </row>
    <row r="8179">
      <c r="A8179" s="1" t="s">
        <v>7</v>
      </c>
      <c r="B8179" s="2">
        <v>44736.0</v>
      </c>
      <c r="C8179" s="3">
        <v>0.34208333333333335</v>
      </c>
      <c r="D8179" s="1">
        <v>12.92255</v>
      </c>
      <c r="E8179" s="1">
        <v>80.113725</v>
      </c>
      <c r="F8179" s="1">
        <v>5339.0</v>
      </c>
      <c r="G8179" s="1">
        <v>55.0</v>
      </c>
    </row>
    <row r="8180">
      <c r="A8180" s="1" t="s">
        <v>7</v>
      </c>
      <c r="B8180" s="2">
        <v>44736.0</v>
      </c>
      <c r="C8180" s="3">
        <v>0.3423611111111111</v>
      </c>
      <c r="D8180" s="1">
        <v>12.920564</v>
      </c>
      <c r="E8180" s="1">
        <v>80.111694</v>
      </c>
      <c r="F8180" s="1">
        <v>5339.0</v>
      </c>
      <c r="G8180" s="1">
        <v>55.0</v>
      </c>
    </row>
    <row r="8181">
      <c r="A8181" s="1" t="s">
        <v>7</v>
      </c>
      <c r="B8181" s="2">
        <v>44736.0</v>
      </c>
      <c r="C8181" s="3">
        <v>0.34261574074074075</v>
      </c>
      <c r="D8181" s="1">
        <v>12.917764</v>
      </c>
      <c r="E8181" s="1">
        <v>80.108304</v>
      </c>
      <c r="F8181" s="1">
        <v>5339.0</v>
      </c>
      <c r="G8181" s="1">
        <v>57.0</v>
      </c>
    </row>
    <row r="8182">
      <c r="A8182" s="1" t="s">
        <v>7</v>
      </c>
      <c r="B8182" s="2">
        <v>44736.0</v>
      </c>
      <c r="C8182" s="3">
        <v>0.342662037037037</v>
      </c>
      <c r="D8182" s="1">
        <v>12.917764</v>
      </c>
      <c r="E8182" s="1">
        <v>80.108304</v>
      </c>
      <c r="F8182" s="1">
        <v>5339.0</v>
      </c>
      <c r="G8182" s="1">
        <v>57.0</v>
      </c>
    </row>
    <row r="8183">
      <c r="A8183" s="1" t="s">
        <v>8</v>
      </c>
      <c r="B8183" s="2">
        <v>44736.0</v>
      </c>
      <c r="C8183" s="3">
        <v>0.3426736111111111</v>
      </c>
      <c r="D8183" s="1">
        <v>12.917764</v>
      </c>
      <c r="E8183" s="1">
        <v>80.108304</v>
      </c>
      <c r="F8183" s="1">
        <v>5339.0</v>
      </c>
      <c r="G8183" s="1">
        <v>57.0</v>
      </c>
    </row>
    <row r="8184">
      <c r="A8184" s="1" t="s">
        <v>7</v>
      </c>
      <c r="B8184" s="2">
        <v>44736.0</v>
      </c>
      <c r="C8184" s="3">
        <v>0.3431712962962963</v>
      </c>
      <c r="D8184" s="1">
        <v>12.853962</v>
      </c>
      <c r="E8184" s="1">
        <v>80.067537</v>
      </c>
      <c r="F8184" s="1">
        <v>2846.0</v>
      </c>
      <c r="G8184" s="1">
        <v>47.0</v>
      </c>
    </row>
    <row r="8185">
      <c r="A8185" s="1" t="s">
        <v>7</v>
      </c>
      <c r="B8185" s="2">
        <v>44736.0</v>
      </c>
      <c r="C8185" s="3">
        <v>0.34357638888888886</v>
      </c>
      <c r="D8185" s="1">
        <v>12.858472</v>
      </c>
      <c r="E8185" s="1">
        <v>80.070957</v>
      </c>
      <c r="F8185" s="1">
        <v>2846.0</v>
      </c>
      <c r="G8185" s="1">
        <v>58.0</v>
      </c>
    </row>
    <row r="8186">
      <c r="A8186" s="1" t="s">
        <v>8</v>
      </c>
      <c r="B8186" s="2">
        <v>44736.0</v>
      </c>
      <c r="C8186" s="3">
        <v>0.3437847222222222</v>
      </c>
      <c r="D8186" s="1">
        <v>12.858472</v>
      </c>
      <c r="E8186" s="1">
        <v>80.070957</v>
      </c>
      <c r="F8186" s="1">
        <v>2846.0</v>
      </c>
      <c r="G8186" s="1">
        <v>58.0</v>
      </c>
    </row>
    <row r="8187">
      <c r="A8187" s="1" t="s">
        <v>8</v>
      </c>
      <c r="B8187" s="2">
        <v>44736.0</v>
      </c>
      <c r="C8187" s="3">
        <v>0.34421296296296294</v>
      </c>
      <c r="D8187" s="1">
        <v>12.908168</v>
      </c>
      <c r="E8187" s="1">
        <v>80.097873</v>
      </c>
      <c r="F8187" s="1">
        <v>5339.0</v>
      </c>
      <c r="G8187" s="1">
        <v>37.0</v>
      </c>
    </row>
    <row r="8188">
      <c r="A8188" s="1" t="s">
        <v>8</v>
      </c>
      <c r="B8188" s="2">
        <v>44736.0</v>
      </c>
      <c r="C8188" s="3">
        <v>0.3442824074074074</v>
      </c>
      <c r="D8188" s="1">
        <v>12.907472</v>
      </c>
      <c r="E8188" s="1">
        <v>80.097314</v>
      </c>
      <c r="F8188" s="1">
        <v>5339.0</v>
      </c>
      <c r="G8188" s="1">
        <v>33.0</v>
      </c>
    </row>
    <row r="8189">
      <c r="A8189" s="1" t="s">
        <v>8</v>
      </c>
      <c r="B8189" s="2">
        <v>44736.0</v>
      </c>
      <c r="C8189" s="3">
        <v>0.3442824074074074</v>
      </c>
      <c r="D8189" s="1">
        <v>12.907472</v>
      </c>
      <c r="E8189" s="1">
        <v>80.097314</v>
      </c>
      <c r="F8189" s="1">
        <v>5339.0</v>
      </c>
      <c r="G8189" s="1">
        <v>33.0</v>
      </c>
    </row>
    <row r="8190">
      <c r="A8190" s="1" t="s">
        <v>8</v>
      </c>
      <c r="B8190" s="2">
        <v>44736.0</v>
      </c>
      <c r="C8190" s="3">
        <v>0.3442939814814815</v>
      </c>
      <c r="D8190" s="1">
        <v>12.907472</v>
      </c>
      <c r="E8190" s="1">
        <v>80.097314</v>
      </c>
      <c r="F8190" s="1">
        <v>5339.0</v>
      </c>
      <c r="G8190" s="1">
        <v>33.0</v>
      </c>
    </row>
    <row r="8191">
      <c r="A8191" s="1" t="s">
        <v>8</v>
      </c>
      <c r="B8191" s="2">
        <v>44736.0</v>
      </c>
      <c r="C8191" s="3">
        <v>0.34430555555555553</v>
      </c>
      <c r="D8191" s="1">
        <v>12.907472</v>
      </c>
      <c r="E8191" s="1">
        <v>80.097314</v>
      </c>
      <c r="F8191" s="1">
        <v>5339.0</v>
      </c>
      <c r="G8191" s="1">
        <v>33.0</v>
      </c>
    </row>
    <row r="8192">
      <c r="A8192" s="1" t="s">
        <v>7</v>
      </c>
      <c r="B8192" s="2">
        <v>44736.0</v>
      </c>
      <c r="C8192" s="3">
        <v>0.34563657407407405</v>
      </c>
      <c r="D8192" s="1">
        <v>12.872191</v>
      </c>
      <c r="E8192" s="1">
        <v>80.077285</v>
      </c>
      <c r="F8192" s="1">
        <v>2846.0</v>
      </c>
      <c r="G8192" s="1">
        <v>54.0</v>
      </c>
    </row>
    <row r="8193">
      <c r="A8193" s="1" t="s">
        <v>8</v>
      </c>
      <c r="B8193" s="2">
        <v>44736.0</v>
      </c>
      <c r="C8193" s="3">
        <v>0.34597222222222224</v>
      </c>
      <c r="D8193" s="1">
        <v>12.898903</v>
      </c>
      <c r="E8193" s="1">
        <v>80.090719</v>
      </c>
      <c r="F8193" s="1">
        <v>5339.0</v>
      </c>
      <c r="G8193" s="1">
        <v>51.0</v>
      </c>
    </row>
    <row r="8194">
      <c r="A8194" s="1" t="s">
        <v>8</v>
      </c>
      <c r="B8194" s="2">
        <v>44736.0</v>
      </c>
      <c r="C8194" s="3">
        <v>0.3463773148148148</v>
      </c>
      <c r="D8194" s="1">
        <v>12.872191</v>
      </c>
      <c r="E8194" s="1">
        <v>80.077285</v>
      </c>
      <c r="F8194" s="1">
        <v>2846.0</v>
      </c>
      <c r="G8194" s="1">
        <v>54.0</v>
      </c>
    </row>
    <row r="8195">
      <c r="A8195" s="1" t="s">
        <v>8</v>
      </c>
      <c r="B8195" s="2">
        <v>44736.0</v>
      </c>
      <c r="C8195" s="3">
        <v>0.3477546296296296</v>
      </c>
      <c r="D8195" s="1">
        <v>12.883429</v>
      </c>
      <c r="E8195" s="1">
        <v>80.082061</v>
      </c>
      <c r="F8195" s="1">
        <v>5339.0</v>
      </c>
      <c r="G8195" s="1">
        <v>48.0</v>
      </c>
    </row>
    <row r="8196">
      <c r="A8196" s="1" t="s">
        <v>10</v>
      </c>
      <c r="B8196" s="2">
        <v>44736.0</v>
      </c>
      <c r="C8196" s="3">
        <v>0.6891087962962963</v>
      </c>
      <c r="D8196" s="1">
        <v>12.878985</v>
      </c>
      <c r="E8196" s="1">
        <v>80.080515</v>
      </c>
      <c r="F8196" s="1">
        <v>5339.0</v>
      </c>
      <c r="G8196" s="1">
        <v>11.0</v>
      </c>
    </row>
    <row r="8197">
      <c r="A8197" s="1" t="s">
        <v>7</v>
      </c>
      <c r="B8197" s="2">
        <v>44736.0</v>
      </c>
      <c r="C8197" s="3">
        <v>0.6899421296296296</v>
      </c>
      <c r="D8197" s="1">
        <v>12.877628</v>
      </c>
      <c r="E8197" s="1">
        <v>80.084398</v>
      </c>
      <c r="F8197" s="1">
        <v>2846.0</v>
      </c>
      <c r="G8197" s="1">
        <v>22.0</v>
      </c>
    </row>
    <row r="8198">
      <c r="A8198" s="1" t="s">
        <v>7</v>
      </c>
      <c r="B8198" s="2">
        <v>44736.0</v>
      </c>
      <c r="C8198" s="3">
        <v>0.6902893518518518</v>
      </c>
      <c r="D8198" s="1">
        <v>12.886002</v>
      </c>
      <c r="E8198" s="1">
        <v>80.0828</v>
      </c>
      <c r="F8198" s="1">
        <v>5339.0</v>
      </c>
      <c r="G8198" s="1">
        <v>58.0</v>
      </c>
    </row>
    <row r="8199">
      <c r="A8199" s="1" t="s">
        <v>8</v>
      </c>
      <c r="B8199" s="2">
        <v>44736.0</v>
      </c>
      <c r="C8199" s="3">
        <v>0.6906481481481481</v>
      </c>
      <c r="D8199" s="1">
        <v>12.89008</v>
      </c>
      <c r="E8199" s="1">
        <v>80.084516</v>
      </c>
      <c r="F8199" s="1">
        <v>5339.0</v>
      </c>
      <c r="G8199" s="1">
        <v>57.0</v>
      </c>
    </row>
    <row r="8200">
      <c r="A8200" s="1" t="s">
        <v>10</v>
      </c>
      <c r="B8200" s="2">
        <v>44736.0</v>
      </c>
      <c r="C8200" s="3">
        <v>0.6907175925925926</v>
      </c>
      <c r="D8200" s="1">
        <v>12.878909</v>
      </c>
      <c r="E8200" s="1">
        <v>80.080741</v>
      </c>
      <c r="F8200" s="1">
        <v>2846.0</v>
      </c>
      <c r="G8200" s="1">
        <v>12.0</v>
      </c>
    </row>
    <row r="8201">
      <c r="A8201" s="1" t="s">
        <v>8</v>
      </c>
      <c r="B8201" s="2">
        <v>44736.0</v>
      </c>
      <c r="C8201" s="3">
        <v>0.6909375</v>
      </c>
      <c r="D8201" s="1">
        <v>12.892652</v>
      </c>
      <c r="E8201" s="1">
        <v>80.085818</v>
      </c>
      <c r="F8201" s="1">
        <v>5339.0</v>
      </c>
      <c r="G8201" s="1">
        <v>54.0</v>
      </c>
    </row>
    <row r="8202">
      <c r="A8202" s="1" t="s">
        <v>7</v>
      </c>
      <c r="B8202" s="2">
        <v>44736.0</v>
      </c>
      <c r="C8202" s="3">
        <v>0.6910300925925926</v>
      </c>
      <c r="D8202" s="1">
        <v>12.893807</v>
      </c>
      <c r="E8202" s="1">
        <v>80.086695</v>
      </c>
      <c r="F8202" s="1">
        <v>5339.0</v>
      </c>
      <c r="G8202" s="1">
        <v>56.0</v>
      </c>
    </row>
    <row r="8203">
      <c r="A8203" s="1" t="s">
        <v>8</v>
      </c>
      <c r="B8203" s="2">
        <v>44736.0</v>
      </c>
      <c r="C8203" s="3">
        <v>0.6911111111111111</v>
      </c>
      <c r="D8203" s="1">
        <v>12.894873</v>
      </c>
      <c r="E8203" s="1">
        <v>80.087482</v>
      </c>
      <c r="F8203" s="1">
        <v>5339.0</v>
      </c>
      <c r="G8203" s="1">
        <v>50.0</v>
      </c>
    </row>
    <row r="8204">
      <c r="A8204" s="1" t="s">
        <v>8</v>
      </c>
      <c r="B8204" s="2">
        <v>44736.0</v>
      </c>
      <c r="C8204" s="3">
        <v>0.6911458333333333</v>
      </c>
      <c r="D8204" s="1">
        <v>12.894873</v>
      </c>
      <c r="E8204" s="1">
        <v>80.087482</v>
      </c>
      <c r="F8204" s="1">
        <v>5339.0</v>
      </c>
      <c r="G8204" s="1">
        <v>50.0</v>
      </c>
    </row>
    <row r="8205">
      <c r="A8205" s="1" t="s">
        <v>8</v>
      </c>
      <c r="B8205" s="2">
        <v>44736.0</v>
      </c>
      <c r="C8205" s="3">
        <v>0.6913541666666667</v>
      </c>
      <c r="D8205" s="1">
        <v>12.896823</v>
      </c>
      <c r="E8205" s="1">
        <v>80.088952</v>
      </c>
      <c r="F8205" s="1">
        <v>5339.0</v>
      </c>
      <c r="G8205" s="1">
        <v>47.0</v>
      </c>
    </row>
    <row r="8206">
      <c r="A8206" s="1" t="s">
        <v>8</v>
      </c>
      <c r="B8206" s="2">
        <v>44736.0</v>
      </c>
      <c r="C8206" s="3">
        <v>0.6914814814814815</v>
      </c>
      <c r="D8206" s="1">
        <v>12.897889</v>
      </c>
      <c r="E8206" s="1">
        <v>80.089743</v>
      </c>
      <c r="F8206" s="1">
        <v>5339.0</v>
      </c>
      <c r="G8206" s="1">
        <v>51.0</v>
      </c>
    </row>
    <row r="8207">
      <c r="A8207" s="1" t="s">
        <v>8</v>
      </c>
      <c r="B8207" s="2">
        <v>44736.0</v>
      </c>
      <c r="C8207" s="3">
        <v>0.6917476851851851</v>
      </c>
      <c r="D8207" s="1">
        <v>12.899973</v>
      </c>
      <c r="E8207" s="1">
        <v>80.091308</v>
      </c>
      <c r="F8207" s="1">
        <v>5339.0</v>
      </c>
      <c r="G8207" s="1">
        <v>61.0</v>
      </c>
    </row>
    <row r="8208">
      <c r="A8208" s="1" t="s">
        <v>8</v>
      </c>
      <c r="B8208" s="2">
        <v>44736.0</v>
      </c>
      <c r="C8208" s="3">
        <v>0.6918981481481481</v>
      </c>
      <c r="D8208" s="1">
        <v>12.869342</v>
      </c>
      <c r="E8208" s="1">
        <v>80.076423</v>
      </c>
      <c r="F8208" s="1">
        <v>2846.0</v>
      </c>
      <c r="G8208" s="1">
        <v>55.0</v>
      </c>
    </row>
    <row r="8209">
      <c r="A8209" s="1" t="s">
        <v>8</v>
      </c>
      <c r="B8209" s="2">
        <v>44736.0</v>
      </c>
      <c r="C8209" s="3">
        <v>0.6924074074074074</v>
      </c>
      <c r="D8209" s="1">
        <v>12.905215</v>
      </c>
      <c r="E8209" s="1">
        <v>80.095394</v>
      </c>
      <c r="F8209" s="1">
        <v>5339.0</v>
      </c>
      <c r="G8209" s="1">
        <v>45.0</v>
      </c>
    </row>
    <row r="8210">
      <c r="A8210" s="1" t="s">
        <v>7</v>
      </c>
      <c r="B8210" s="2">
        <v>44736.0</v>
      </c>
      <c r="C8210" s="3">
        <v>0.6929282407407408</v>
      </c>
      <c r="D8210" s="1">
        <v>12.906932</v>
      </c>
      <c r="E8210" s="1">
        <v>80.096703</v>
      </c>
      <c r="F8210" s="1">
        <v>5339.0</v>
      </c>
      <c r="G8210" s="1">
        <v>38.0</v>
      </c>
    </row>
    <row r="8211">
      <c r="A8211" s="1" t="s">
        <v>8</v>
      </c>
      <c r="B8211" s="2">
        <v>44736.0</v>
      </c>
      <c r="C8211" s="3">
        <v>0.6937731481481482</v>
      </c>
      <c r="D8211" s="1">
        <v>12.909671</v>
      </c>
      <c r="E8211" s="1">
        <v>80.099382</v>
      </c>
      <c r="F8211" s="1">
        <v>5339.0</v>
      </c>
      <c r="G8211" s="1">
        <v>39.0</v>
      </c>
    </row>
    <row r="8212">
      <c r="A8212" s="1" t="s">
        <v>8</v>
      </c>
      <c r="B8212" s="2">
        <v>44736.0</v>
      </c>
      <c r="C8212" s="3">
        <v>0.6939814814814815</v>
      </c>
      <c r="D8212" s="1">
        <v>12.910227</v>
      </c>
      <c r="E8212" s="1">
        <v>80.100297</v>
      </c>
      <c r="F8212" s="1">
        <v>5339.0</v>
      </c>
      <c r="G8212" s="1">
        <v>39.0</v>
      </c>
    </row>
    <row r="8213">
      <c r="A8213" s="1" t="s">
        <v>8</v>
      </c>
      <c r="B8213" s="2">
        <v>44736.0</v>
      </c>
      <c r="C8213" s="3">
        <v>0.6939814814814815</v>
      </c>
      <c r="D8213" s="1">
        <v>12.910227</v>
      </c>
      <c r="E8213" s="1">
        <v>80.100297</v>
      </c>
      <c r="F8213" s="1">
        <v>5339.0</v>
      </c>
      <c r="G8213" s="1">
        <v>39.0</v>
      </c>
    </row>
    <row r="8214">
      <c r="A8214" s="1" t="s">
        <v>7</v>
      </c>
      <c r="B8214" s="2">
        <v>44736.0</v>
      </c>
      <c r="C8214" s="3">
        <v>0.6940046296296296</v>
      </c>
      <c r="D8214" s="1">
        <v>12.856679</v>
      </c>
      <c r="E8214" s="1">
        <v>80.069813</v>
      </c>
      <c r="F8214" s="1">
        <v>2846.0</v>
      </c>
      <c r="G8214" s="1">
        <v>57.0</v>
      </c>
    </row>
    <row r="8215">
      <c r="A8215" s="1" t="s">
        <v>7</v>
      </c>
      <c r="B8215" s="2">
        <v>44736.0</v>
      </c>
      <c r="C8215" s="3">
        <v>0.6941550925925926</v>
      </c>
      <c r="D8215" s="1">
        <v>12.851998</v>
      </c>
      <c r="E8215" s="1">
        <v>80.066334</v>
      </c>
      <c r="F8215" s="1">
        <v>2846.0</v>
      </c>
      <c r="G8215" s="1">
        <v>57.0</v>
      </c>
    </row>
    <row r="8216">
      <c r="A8216" s="1" t="s">
        <v>8</v>
      </c>
      <c r="B8216" s="2">
        <v>44736.0</v>
      </c>
      <c r="C8216" s="3">
        <v>0.6941666666666667</v>
      </c>
      <c r="D8216" s="1">
        <v>12.850798</v>
      </c>
      <c r="E8216" s="1">
        <v>80.065509</v>
      </c>
      <c r="F8216" s="1">
        <v>2846.0</v>
      </c>
      <c r="G8216" s="1">
        <v>56.0</v>
      </c>
    </row>
    <row r="8217">
      <c r="A8217" s="1" t="s">
        <v>8</v>
      </c>
      <c r="B8217" s="2">
        <v>44736.0</v>
      </c>
      <c r="C8217" s="3">
        <v>0.6944560185185186</v>
      </c>
      <c r="D8217" s="1">
        <v>12.912138</v>
      </c>
      <c r="E8217" s="1">
        <v>80.10141</v>
      </c>
      <c r="F8217" s="1">
        <v>5339.0</v>
      </c>
      <c r="G8217" s="1">
        <v>24.0</v>
      </c>
    </row>
    <row r="8218">
      <c r="A8218" s="1" t="s">
        <v>8</v>
      </c>
      <c r="B8218" s="2">
        <v>44736.0</v>
      </c>
      <c r="C8218" s="3">
        <v>0.6944675925925926</v>
      </c>
      <c r="D8218" s="1">
        <v>12.912138</v>
      </c>
      <c r="E8218" s="1">
        <v>80.10141</v>
      </c>
      <c r="F8218" s="1">
        <v>5339.0</v>
      </c>
      <c r="G8218" s="1">
        <v>24.0</v>
      </c>
    </row>
    <row r="8219">
      <c r="A8219" s="1" t="s">
        <v>8</v>
      </c>
      <c r="B8219" s="2">
        <v>44736.0</v>
      </c>
      <c r="C8219" s="3">
        <v>0.6946527777777778</v>
      </c>
      <c r="D8219" s="1">
        <v>12.912964</v>
      </c>
      <c r="E8219" s="1">
        <v>80.101474</v>
      </c>
      <c r="F8219" s="1">
        <v>5339.0</v>
      </c>
      <c r="G8219" s="1">
        <v>40.0</v>
      </c>
    </row>
    <row r="8220">
      <c r="A8220" s="1" t="s">
        <v>8</v>
      </c>
      <c r="B8220" s="2">
        <v>44736.0</v>
      </c>
      <c r="C8220" s="3">
        <v>0.695462962962963</v>
      </c>
      <c r="D8220" s="1">
        <v>12.917158</v>
      </c>
      <c r="E8220" s="1">
        <v>80.107169</v>
      </c>
      <c r="F8220" s="1">
        <v>5339.0</v>
      </c>
      <c r="G8220" s="1">
        <v>20.0</v>
      </c>
    </row>
    <row r="8221">
      <c r="A8221" s="1" t="s">
        <v>8</v>
      </c>
      <c r="B8221" s="2">
        <v>44736.0</v>
      </c>
      <c r="C8221" s="3">
        <v>0.6955324074074074</v>
      </c>
      <c r="D8221" s="1">
        <v>12.917503</v>
      </c>
      <c r="E8221" s="1">
        <v>80.107814</v>
      </c>
      <c r="F8221" s="1">
        <v>5339.0</v>
      </c>
      <c r="G8221" s="1">
        <v>36.0</v>
      </c>
    </row>
    <row r="8222">
      <c r="A8222" s="1" t="s">
        <v>8</v>
      </c>
      <c r="B8222" s="2">
        <v>44736.0</v>
      </c>
      <c r="C8222" s="3">
        <v>0.6956018518518519</v>
      </c>
      <c r="D8222" s="1">
        <v>12.917503</v>
      </c>
      <c r="E8222" s="1">
        <v>80.107814</v>
      </c>
      <c r="F8222" s="1">
        <v>5339.0</v>
      </c>
      <c r="G8222" s="1">
        <v>36.0</v>
      </c>
    </row>
    <row r="8223">
      <c r="A8223" s="1" t="s">
        <v>8</v>
      </c>
      <c r="B8223" s="2">
        <v>44736.0</v>
      </c>
      <c r="C8223" s="3">
        <v>0.6957175925925926</v>
      </c>
      <c r="D8223" s="1">
        <v>12.918171</v>
      </c>
      <c r="E8223" s="1">
        <v>80.108624</v>
      </c>
      <c r="F8223" s="1">
        <v>5339.0</v>
      </c>
      <c r="G8223" s="1">
        <v>39.0</v>
      </c>
    </row>
    <row r="8224">
      <c r="A8224" s="1" t="s">
        <v>8</v>
      </c>
      <c r="B8224" s="2">
        <v>44736.0</v>
      </c>
      <c r="C8224" s="3">
        <v>0.6957523148148148</v>
      </c>
      <c r="D8224" s="1">
        <v>12.918828</v>
      </c>
      <c r="E8224" s="1">
        <v>80.10943</v>
      </c>
      <c r="F8224" s="1">
        <v>5339.0</v>
      </c>
      <c r="G8224" s="1">
        <v>42.0</v>
      </c>
    </row>
    <row r="8225">
      <c r="A8225" s="1" t="s">
        <v>7</v>
      </c>
      <c r="B8225" s="2">
        <v>44736.0</v>
      </c>
      <c r="C8225" s="3">
        <v>0.6960648148148149</v>
      </c>
      <c r="D8225" s="1">
        <v>12.920224</v>
      </c>
      <c r="E8225" s="1">
        <v>80.111201</v>
      </c>
      <c r="F8225" s="1">
        <v>5339.0</v>
      </c>
      <c r="G8225" s="1">
        <v>58.0</v>
      </c>
    </row>
    <row r="8226">
      <c r="A8226" s="1" t="s">
        <v>8</v>
      </c>
      <c r="B8226" s="2">
        <v>44736.0</v>
      </c>
      <c r="C8226" s="3">
        <v>0.6961342592592593</v>
      </c>
      <c r="D8226" s="1">
        <v>12.921257</v>
      </c>
      <c r="E8226" s="1">
        <v>80.112284</v>
      </c>
      <c r="F8226" s="1">
        <v>5339.0</v>
      </c>
      <c r="G8226" s="1">
        <v>55.0</v>
      </c>
    </row>
    <row r="8227">
      <c r="A8227" s="1" t="s">
        <v>7</v>
      </c>
      <c r="B8227" s="2">
        <v>44736.0</v>
      </c>
      <c r="C8227" s="3">
        <v>0.6962037037037037</v>
      </c>
      <c r="D8227" s="1">
        <v>12.922319</v>
      </c>
      <c r="E8227" s="1">
        <v>80.113315</v>
      </c>
      <c r="F8227" s="1">
        <v>5339.0</v>
      </c>
      <c r="G8227" s="1">
        <v>58.0</v>
      </c>
    </row>
    <row r="8228">
      <c r="A8228" s="1" t="s">
        <v>7</v>
      </c>
      <c r="B8228" s="2">
        <v>44736.0</v>
      </c>
      <c r="C8228" s="3">
        <v>0.6969444444444445</v>
      </c>
      <c r="D8228" s="1">
        <v>12.83989</v>
      </c>
      <c r="E8228" s="1">
        <v>80.05564</v>
      </c>
      <c r="F8228" s="1">
        <v>2846.0</v>
      </c>
      <c r="G8228" s="1">
        <v>55.0</v>
      </c>
    </row>
    <row r="8229">
      <c r="A8229" s="1" t="s">
        <v>9</v>
      </c>
      <c r="B8229" s="2">
        <v>44736.0</v>
      </c>
      <c r="C8229" s="3">
        <v>0.6972916666666666</v>
      </c>
      <c r="D8229" s="1">
        <v>12.927738</v>
      </c>
      <c r="E8229" s="1">
        <v>80.118834</v>
      </c>
      <c r="F8229" s="1">
        <v>5339.0</v>
      </c>
      <c r="G8229" s="1">
        <v>28.0</v>
      </c>
    </row>
    <row r="8230">
      <c r="A8230" s="1" t="s">
        <v>7</v>
      </c>
      <c r="B8230" s="2">
        <v>44736.0</v>
      </c>
      <c r="C8230" s="3">
        <v>0.6973958333333333</v>
      </c>
      <c r="D8230" s="1">
        <v>12.836104</v>
      </c>
      <c r="E8230" s="1">
        <v>80.051642</v>
      </c>
      <c r="F8230" s="1">
        <v>2846.0</v>
      </c>
      <c r="G8230" s="1">
        <v>52.0</v>
      </c>
    </row>
    <row r="8231">
      <c r="A8231" s="1" t="s">
        <v>8</v>
      </c>
      <c r="B8231" s="2">
        <v>44736.0</v>
      </c>
      <c r="C8231" s="3">
        <v>0.6976736111111111</v>
      </c>
      <c r="D8231" s="1">
        <v>12.833342</v>
      </c>
      <c r="E8231" s="1">
        <v>80.048766</v>
      </c>
      <c r="F8231" s="1">
        <v>2846.0</v>
      </c>
      <c r="G8231" s="1">
        <v>50.0</v>
      </c>
    </row>
    <row r="8232">
      <c r="A8232" s="1" t="s">
        <v>8</v>
      </c>
      <c r="B8232" s="2">
        <v>44736.0</v>
      </c>
      <c r="C8232" s="3">
        <v>0.6978009259259259</v>
      </c>
      <c r="D8232" s="1">
        <v>12.930004</v>
      </c>
      <c r="E8232" s="1">
        <v>80.121059</v>
      </c>
      <c r="F8232" s="1">
        <v>5339.0</v>
      </c>
      <c r="G8232" s="1">
        <v>20.0</v>
      </c>
    </row>
    <row r="8233">
      <c r="A8233" s="1" t="s">
        <v>8</v>
      </c>
      <c r="B8233" s="2">
        <v>44736.0</v>
      </c>
      <c r="C8233" s="3">
        <v>0.6985532407407408</v>
      </c>
      <c r="D8233" s="1">
        <v>12.825977</v>
      </c>
      <c r="E8233" s="1">
        <v>80.041066</v>
      </c>
      <c r="F8233" s="1">
        <v>2846.0</v>
      </c>
      <c r="G8233" s="1">
        <v>49.0</v>
      </c>
    </row>
    <row r="8234">
      <c r="A8234" s="1" t="s">
        <v>8</v>
      </c>
      <c r="B8234" s="2">
        <v>44736.0</v>
      </c>
      <c r="C8234" s="3">
        <v>0.6986689814814815</v>
      </c>
      <c r="D8234" s="1">
        <v>12.932532</v>
      </c>
      <c r="E8234" s="1">
        <v>80.123626</v>
      </c>
      <c r="F8234" s="1">
        <v>5339.0</v>
      </c>
      <c r="G8234" s="1">
        <v>20.0</v>
      </c>
    </row>
    <row r="8235">
      <c r="A8235" s="1" t="s">
        <v>8</v>
      </c>
      <c r="B8235" s="2">
        <v>44736.0</v>
      </c>
      <c r="C8235" s="3">
        <v>0.6989814814814815</v>
      </c>
      <c r="D8235" s="1">
        <v>12.934879</v>
      </c>
      <c r="E8235" s="1">
        <v>80.125909</v>
      </c>
      <c r="F8235" s="1">
        <v>5339.0</v>
      </c>
      <c r="G8235" s="1">
        <v>34.0</v>
      </c>
    </row>
    <row r="8236">
      <c r="A8236" s="1" t="s">
        <v>8</v>
      </c>
      <c r="B8236" s="2">
        <v>44736.0</v>
      </c>
      <c r="C8236" s="3">
        <v>0.6990046296296296</v>
      </c>
      <c r="D8236" s="1">
        <v>12.934879</v>
      </c>
      <c r="E8236" s="1">
        <v>80.125909</v>
      </c>
      <c r="F8236" s="1">
        <v>5339.0</v>
      </c>
      <c r="G8236" s="1">
        <v>34.0</v>
      </c>
    </row>
    <row r="8237">
      <c r="A8237" s="1" t="s">
        <v>8</v>
      </c>
      <c r="B8237" s="2">
        <v>44736.0</v>
      </c>
      <c r="C8237" s="3">
        <v>0.6990162037037037</v>
      </c>
      <c r="D8237" s="1">
        <v>12.934879</v>
      </c>
      <c r="E8237" s="1">
        <v>80.125909</v>
      </c>
      <c r="F8237" s="1">
        <v>5339.0</v>
      </c>
      <c r="G8237" s="1">
        <v>34.0</v>
      </c>
    </row>
    <row r="8238">
      <c r="A8238" s="1" t="s">
        <v>8</v>
      </c>
      <c r="B8238" s="2">
        <v>44736.0</v>
      </c>
      <c r="C8238" s="3">
        <v>0.6990740740740741</v>
      </c>
      <c r="D8238" s="1">
        <v>12.934879</v>
      </c>
      <c r="E8238" s="1">
        <v>80.125909</v>
      </c>
      <c r="F8238" s="1">
        <v>5339.0</v>
      </c>
      <c r="G8238" s="1">
        <v>34.0</v>
      </c>
    </row>
    <row r="8239">
      <c r="A8239" s="1" t="s">
        <v>8</v>
      </c>
      <c r="B8239" s="2">
        <v>44736.0</v>
      </c>
      <c r="C8239" s="3">
        <v>0.6991550925925926</v>
      </c>
      <c r="D8239" s="1">
        <v>12.935467</v>
      </c>
      <c r="E8239" s="1">
        <v>80.126393</v>
      </c>
      <c r="F8239" s="1">
        <v>5339.0</v>
      </c>
      <c r="G8239" s="1">
        <v>35.0</v>
      </c>
    </row>
    <row r="8240">
      <c r="A8240" s="1" t="s">
        <v>10</v>
      </c>
      <c r="B8240" s="2">
        <v>44736.0</v>
      </c>
      <c r="C8240" s="3">
        <v>0.6991782407407408</v>
      </c>
      <c r="D8240" s="1">
        <v>12.822656</v>
      </c>
      <c r="E8240" s="1">
        <v>80.038747</v>
      </c>
      <c r="F8240" s="1">
        <v>2846.0</v>
      </c>
      <c r="G8240" s="1">
        <v>49.0</v>
      </c>
    </row>
    <row r="8241">
      <c r="A8241" s="1" t="s">
        <v>8</v>
      </c>
      <c r="B8241" s="2">
        <v>44736.0</v>
      </c>
      <c r="C8241" s="3">
        <v>0.6995717592592593</v>
      </c>
      <c r="D8241" s="1">
        <v>12.820745</v>
      </c>
      <c r="E8241" s="1">
        <v>80.037398</v>
      </c>
      <c r="F8241" s="1">
        <v>2846.0</v>
      </c>
      <c r="G8241" s="1">
        <v>31.0</v>
      </c>
    </row>
    <row r="8242">
      <c r="A8242" s="1" t="s">
        <v>8</v>
      </c>
      <c r="B8242" s="2">
        <v>44736.0</v>
      </c>
      <c r="C8242" s="3">
        <v>0.6995717592592593</v>
      </c>
      <c r="D8242" s="1">
        <v>12.938991</v>
      </c>
      <c r="E8242" s="1">
        <v>80.129491</v>
      </c>
      <c r="F8242" s="1">
        <v>5339.0</v>
      </c>
      <c r="G8242" s="1">
        <v>57.0</v>
      </c>
    </row>
    <row r="8243">
      <c r="A8243" s="1" t="s">
        <v>8</v>
      </c>
      <c r="B8243" s="2">
        <v>44736.0</v>
      </c>
      <c r="C8243" s="3">
        <v>0.6996180555555556</v>
      </c>
      <c r="D8243" s="1">
        <v>12.938991</v>
      </c>
      <c r="E8243" s="1">
        <v>80.129491</v>
      </c>
      <c r="F8243" s="1">
        <v>5339.0</v>
      </c>
      <c r="G8243" s="1">
        <v>57.0</v>
      </c>
    </row>
    <row r="8244">
      <c r="A8244" s="1" t="s">
        <v>7</v>
      </c>
      <c r="B8244" s="2">
        <v>44736.0</v>
      </c>
      <c r="C8244" s="3">
        <v>0.7003125</v>
      </c>
      <c r="D8244" s="1">
        <v>12.815786</v>
      </c>
      <c r="E8244" s="1">
        <v>80.033845</v>
      </c>
      <c r="F8244" s="1">
        <v>2846.0</v>
      </c>
      <c r="G8244" s="1">
        <v>42.0</v>
      </c>
    </row>
    <row r="8245">
      <c r="A8245" s="1" t="s">
        <v>8</v>
      </c>
      <c r="B8245" s="2">
        <v>44736.0</v>
      </c>
      <c r="C8245" s="3">
        <v>0.7004398148148148</v>
      </c>
      <c r="D8245" s="1">
        <v>12.943014</v>
      </c>
      <c r="E8245" s="1">
        <v>80.133496</v>
      </c>
      <c r="F8245" s="1">
        <v>5339.0</v>
      </c>
      <c r="G8245" s="1">
        <v>29.0</v>
      </c>
    </row>
    <row r="8246">
      <c r="A8246" s="1" t="s">
        <v>8</v>
      </c>
      <c r="B8246" s="2">
        <v>44736.0</v>
      </c>
      <c r="C8246" s="3">
        <v>0.7007291666666666</v>
      </c>
      <c r="D8246" s="1">
        <v>12.945077</v>
      </c>
      <c r="E8246" s="1">
        <v>80.135295</v>
      </c>
      <c r="F8246" s="1">
        <v>5339.0</v>
      </c>
      <c r="G8246" s="1">
        <v>45.0</v>
      </c>
    </row>
    <row r="8247">
      <c r="A8247" s="1" t="s">
        <v>8</v>
      </c>
      <c r="B8247" s="2">
        <v>44736.0</v>
      </c>
      <c r="C8247" s="3">
        <v>0.7010879629629629</v>
      </c>
      <c r="D8247" s="1">
        <v>12.947594</v>
      </c>
      <c r="E8247" s="1">
        <v>80.137211</v>
      </c>
      <c r="F8247" s="1">
        <v>5339.0</v>
      </c>
      <c r="G8247" s="1">
        <v>42.0</v>
      </c>
    </row>
    <row r="8248">
      <c r="A8248" s="1" t="s">
        <v>8</v>
      </c>
      <c r="B8248" s="2">
        <v>44736.0</v>
      </c>
      <c r="C8248" s="3">
        <v>0.7011342592592592</v>
      </c>
      <c r="D8248" s="1">
        <v>12.807033</v>
      </c>
      <c r="E8248" s="1">
        <v>80.028072</v>
      </c>
      <c r="F8248" s="1">
        <v>2846.0</v>
      </c>
      <c r="G8248" s="1">
        <v>51.0</v>
      </c>
    </row>
    <row r="8249">
      <c r="A8249" s="1" t="s">
        <v>8</v>
      </c>
      <c r="B8249" s="2">
        <v>44736.0</v>
      </c>
      <c r="C8249" s="3">
        <v>0.7012615740740741</v>
      </c>
      <c r="D8249" s="1">
        <v>12.805196</v>
      </c>
      <c r="E8249" s="1">
        <v>80.026901</v>
      </c>
      <c r="F8249" s="1">
        <v>2846.0</v>
      </c>
      <c r="G8249" s="1">
        <v>51.0</v>
      </c>
    </row>
    <row r="8250">
      <c r="A8250" s="1" t="s">
        <v>8</v>
      </c>
      <c r="B8250" s="2">
        <v>44736.0</v>
      </c>
      <c r="C8250" s="3">
        <v>0.7013078703703703</v>
      </c>
      <c r="D8250" s="1">
        <v>12.949489</v>
      </c>
      <c r="E8250" s="1">
        <v>80.138605</v>
      </c>
      <c r="F8250" s="1">
        <v>5339.0</v>
      </c>
      <c r="G8250" s="1">
        <v>47.0</v>
      </c>
    </row>
    <row r="8251">
      <c r="A8251" s="1" t="s">
        <v>7</v>
      </c>
      <c r="B8251" s="2">
        <v>44736.0</v>
      </c>
      <c r="C8251" s="3">
        <v>0.7021875</v>
      </c>
      <c r="D8251" s="1">
        <v>12.801413</v>
      </c>
      <c r="E8251" s="1">
        <v>80.024424</v>
      </c>
      <c r="F8251" s="1">
        <v>2846.0</v>
      </c>
      <c r="G8251" s="1">
        <v>36.0</v>
      </c>
    </row>
    <row r="8252">
      <c r="A8252" s="1" t="s">
        <v>10</v>
      </c>
      <c r="B8252" s="2">
        <v>44736.0</v>
      </c>
      <c r="C8252" s="3">
        <v>0.7027546296296296</v>
      </c>
      <c r="D8252" s="1">
        <v>12.953604</v>
      </c>
      <c r="E8252" s="1">
        <v>80.141652</v>
      </c>
      <c r="F8252" s="1">
        <v>5339.0</v>
      </c>
      <c r="G8252" s="1">
        <v>34.0</v>
      </c>
    </row>
    <row r="8253">
      <c r="A8253" s="1" t="s">
        <v>8</v>
      </c>
      <c r="B8253" s="2">
        <v>44736.0</v>
      </c>
      <c r="C8253" s="3">
        <v>0.7030324074074074</v>
      </c>
      <c r="D8253" s="1">
        <v>12.955722</v>
      </c>
      <c r="E8253" s="1">
        <v>80.142758</v>
      </c>
      <c r="F8253" s="1">
        <v>5339.0</v>
      </c>
      <c r="G8253" s="1">
        <v>39.0</v>
      </c>
    </row>
    <row r="8254">
      <c r="A8254" s="1" t="s">
        <v>7</v>
      </c>
      <c r="B8254" s="2">
        <v>44736.0</v>
      </c>
      <c r="C8254" s="3">
        <v>0.7041666666666667</v>
      </c>
      <c r="D8254" s="1">
        <v>12.782809</v>
      </c>
      <c r="E8254" s="1">
        <v>80.013049</v>
      </c>
      <c r="F8254" s="1">
        <v>2846.0</v>
      </c>
      <c r="G8254" s="1">
        <v>57.0</v>
      </c>
    </row>
    <row r="8255">
      <c r="A8255" s="1" t="s">
        <v>8</v>
      </c>
      <c r="B8255" s="2">
        <v>44736.0</v>
      </c>
      <c r="C8255" s="3">
        <v>0.7042361111111111</v>
      </c>
      <c r="D8255" s="1">
        <v>12.782809</v>
      </c>
      <c r="E8255" s="1">
        <v>80.013049</v>
      </c>
      <c r="F8255" s="1">
        <v>2846.0</v>
      </c>
      <c r="G8255" s="1">
        <v>57.0</v>
      </c>
    </row>
    <row r="8256">
      <c r="A8256" s="1" t="s">
        <v>8</v>
      </c>
      <c r="B8256" s="2">
        <v>44736.0</v>
      </c>
      <c r="C8256" s="3">
        <v>0.7045370370370371</v>
      </c>
      <c r="D8256" s="1">
        <v>12.962914</v>
      </c>
      <c r="E8256" s="1">
        <v>80.146576</v>
      </c>
      <c r="F8256" s="1">
        <v>5339.0</v>
      </c>
      <c r="G8256" s="1">
        <v>47.0</v>
      </c>
    </row>
    <row r="8257">
      <c r="A8257" s="1" t="s">
        <v>7</v>
      </c>
      <c r="B8257" s="2">
        <v>44736.0</v>
      </c>
      <c r="C8257" s="3">
        <v>0.7046412037037038</v>
      </c>
      <c r="D8257" s="1">
        <v>12.778543</v>
      </c>
      <c r="E8257" s="1">
        <v>80.011247</v>
      </c>
      <c r="F8257" s="1">
        <v>2846.0</v>
      </c>
      <c r="G8257" s="1">
        <v>56.0</v>
      </c>
    </row>
    <row r="8258">
      <c r="A8258" s="1" t="s">
        <v>7</v>
      </c>
      <c r="B8258" s="2">
        <v>44736.0</v>
      </c>
      <c r="C8258" s="3">
        <v>0.7047916666666667</v>
      </c>
      <c r="D8258" s="1">
        <v>12.964655</v>
      </c>
      <c r="E8258" s="1">
        <v>80.147674</v>
      </c>
      <c r="F8258" s="1">
        <v>5339.0</v>
      </c>
      <c r="G8258" s="1">
        <v>49.0</v>
      </c>
    </row>
    <row r="8259">
      <c r="A8259" s="1" t="s">
        <v>7</v>
      </c>
      <c r="B8259" s="2">
        <v>44736.0</v>
      </c>
      <c r="C8259" s="3">
        <v>0.7048148148148148</v>
      </c>
      <c r="D8259" s="1">
        <v>12.7765</v>
      </c>
      <c r="E8259" s="1">
        <v>80.010292</v>
      </c>
      <c r="F8259" s="1">
        <v>2846.0</v>
      </c>
      <c r="G8259" s="1">
        <v>54.0</v>
      </c>
    </row>
    <row r="8260">
      <c r="A8260" s="1" t="s">
        <v>8</v>
      </c>
      <c r="B8260" s="2">
        <v>44736.0</v>
      </c>
      <c r="C8260" s="3">
        <v>0.7049074074074074</v>
      </c>
      <c r="D8260" s="1">
        <v>12.965775</v>
      </c>
      <c r="E8260" s="1">
        <v>80.148304</v>
      </c>
      <c r="F8260" s="1">
        <v>5339.0</v>
      </c>
      <c r="G8260" s="1">
        <v>51.0</v>
      </c>
    </row>
    <row r="8261">
      <c r="A8261" s="1" t="s">
        <v>8</v>
      </c>
      <c r="B8261" s="2">
        <v>44736.0</v>
      </c>
      <c r="C8261" s="3">
        <v>0.705</v>
      </c>
      <c r="D8261" s="1">
        <v>12.965775</v>
      </c>
      <c r="E8261" s="1">
        <v>80.148304</v>
      </c>
      <c r="F8261" s="1">
        <v>5339.0</v>
      </c>
      <c r="G8261" s="1">
        <v>51.0</v>
      </c>
    </row>
    <row r="8262">
      <c r="A8262" s="1" t="s">
        <v>8</v>
      </c>
      <c r="B8262" s="2">
        <v>44736.0</v>
      </c>
      <c r="C8262" s="3">
        <v>0.7050578703703704</v>
      </c>
      <c r="D8262" s="1">
        <v>12.966818</v>
      </c>
      <c r="E8262" s="1">
        <v>80.148829</v>
      </c>
      <c r="F8262" s="1">
        <v>5339.0</v>
      </c>
      <c r="G8262" s="1">
        <v>38.0</v>
      </c>
    </row>
    <row r="8263">
      <c r="A8263" s="1" t="s">
        <v>7</v>
      </c>
      <c r="B8263" s="2">
        <v>44736.0</v>
      </c>
      <c r="C8263" s="3">
        <v>0.705324074074074</v>
      </c>
      <c r="D8263" s="1">
        <v>12.968887</v>
      </c>
      <c r="E8263" s="1">
        <v>80.149797</v>
      </c>
      <c r="F8263" s="1">
        <v>5339.0</v>
      </c>
      <c r="G8263" s="1">
        <v>52.0</v>
      </c>
    </row>
    <row r="8264">
      <c r="A8264" s="1" t="s">
        <v>7</v>
      </c>
      <c r="B8264" s="2">
        <v>44736.0</v>
      </c>
      <c r="C8264" s="3">
        <v>0.7053587962962963</v>
      </c>
      <c r="D8264" s="1">
        <v>12.770418</v>
      </c>
      <c r="E8264" s="1">
        <v>80.007477</v>
      </c>
      <c r="F8264" s="1">
        <v>2846.0</v>
      </c>
      <c r="G8264" s="1">
        <v>56.0</v>
      </c>
    </row>
    <row r="8265">
      <c r="A8265" s="1" t="s">
        <v>7</v>
      </c>
      <c r="B8265" s="2">
        <v>44736.0</v>
      </c>
      <c r="C8265" s="3">
        <v>0.7054861111111111</v>
      </c>
      <c r="D8265" s="1">
        <v>12.770418</v>
      </c>
      <c r="E8265" s="1">
        <v>80.007477</v>
      </c>
      <c r="F8265" s="1">
        <v>2846.0</v>
      </c>
      <c r="G8265" s="1">
        <v>56.0</v>
      </c>
    </row>
    <row r="8266">
      <c r="A8266" s="1" t="s">
        <v>8</v>
      </c>
      <c r="B8266" s="2">
        <v>44736.0</v>
      </c>
      <c r="C8266" s="3">
        <v>0.7055092592592592</v>
      </c>
      <c r="D8266" s="1">
        <v>12.971474</v>
      </c>
      <c r="E8266" s="1">
        <v>80.151039</v>
      </c>
      <c r="F8266" s="1">
        <v>5339.0</v>
      </c>
      <c r="G8266" s="1">
        <v>54.0</v>
      </c>
    </row>
    <row r="8267">
      <c r="A8267" s="1" t="s">
        <v>7</v>
      </c>
      <c r="B8267" s="2">
        <v>44736.0</v>
      </c>
      <c r="C8267" s="3">
        <v>0.7055439814814815</v>
      </c>
      <c r="D8267" s="1">
        <v>12.768375</v>
      </c>
      <c r="E8267" s="1">
        <v>80.006479</v>
      </c>
      <c r="F8267" s="1">
        <v>2846.0</v>
      </c>
      <c r="G8267" s="1">
        <v>55.0</v>
      </c>
    </row>
    <row r="8268">
      <c r="A8268" s="1" t="s">
        <v>8</v>
      </c>
      <c r="B8268" s="2">
        <v>44736.0</v>
      </c>
      <c r="C8268" s="3">
        <v>0.7056944444444444</v>
      </c>
      <c r="D8268" s="1">
        <v>12.973283</v>
      </c>
      <c r="E8268" s="1">
        <v>80.152973</v>
      </c>
      <c r="F8268" s="1">
        <v>5339.0</v>
      </c>
      <c r="G8268" s="1">
        <v>55.0</v>
      </c>
    </row>
    <row r="8269">
      <c r="A8269" s="1" t="s">
        <v>8</v>
      </c>
      <c r="B8269" s="2">
        <v>44736.0</v>
      </c>
      <c r="C8269" s="3">
        <v>0.7060300925925926</v>
      </c>
      <c r="D8269" s="1">
        <v>12.974766</v>
      </c>
      <c r="E8269" s="1">
        <v>80.155139</v>
      </c>
      <c r="F8269" s="1">
        <v>5339.0</v>
      </c>
      <c r="G8269" s="1">
        <v>46.0</v>
      </c>
    </row>
    <row r="8270">
      <c r="A8270" s="1" t="s">
        <v>8</v>
      </c>
      <c r="B8270" s="2">
        <v>44736.0</v>
      </c>
      <c r="C8270" s="3">
        <v>0.7062037037037037</v>
      </c>
      <c r="D8270" s="1">
        <v>12.976033</v>
      </c>
      <c r="E8270" s="1">
        <v>80.156964</v>
      </c>
      <c r="F8270" s="1">
        <v>5339.0</v>
      </c>
      <c r="G8270" s="1">
        <v>40.0</v>
      </c>
    </row>
    <row r="8271">
      <c r="A8271" s="1" t="s">
        <v>7</v>
      </c>
      <c r="B8271" s="2">
        <v>44736.0</v>
      </c>
      <c r="C8271" s="3">
        <v>0.7063541666666666</v>
      </c>
      <c r="D8271" s="1">
        <v>12.976623</v>
      </c>
      <c r="E8271" s="1">
        <v>80.157836</v>
      </c>
      <c r="F8271" s="1">
        <v>5339.0</v>
      </c>
      <c r="G8271" s="1">
        <v>46.0</v>
      </c>
    </row>
    <row r="8272">
      <c r="A8272" s="1" t="s">
        <v>7</v>
      </c>
      <c r="B8272" s="2">
        <v>44736.0</v>
      </c>
      <c r="C8272" s="3">
        <v>0.7067361111111111</v>
      </c>
      <c r="D8272" s="1">
        <v>12.979035</v>
      </c>
      <c r="E8272" s="1">
        <v>80.161381</v>
      </c>
      <c r="F8272" s="1">
        <v>5339.0</v>
      </c>
      <c r="G8272" s="1">
        <v>56.0</v>
      </c>
    </row>
    <row r="8273">
      <c r="A8273" s="1" t="s">
        <v>8</v>
      </c>
      <c r="B8273" s="2">
        <v>44736.0</v>
      </c>
      <c r="C8273" s="3">
        <v>0.7068634259259259</v>
      </c>
      <c r="D8273" s="1">
        <v>12.98033</v>
      </c>
      <c r="E8273" s="1">
        <v>80.164003</v>
      </c>
      <c r="F8273" s="1">
        <v>5339.0</v>
      </c>
      <c r="G8273" s="1">
        <v>58.0</v>
      </c>
    </row>
    <row r="8274">
      <c r="A8274" s="1" t="s">
        <v>8</v>
      </c>
      <c r="B8274" s="2">
        <v>44736.0</v>
      </c>
      <c r="C8274" s="3">
        <v>0.7069097222222223</v>
      </c>
      <c r="D8274" s="1">
        <v>12.98033</v>
      </c>
      <c r="E8274" s="1">
        <v>80.164003</v>
      </c>
      <c r="F8274" s="1">
        <v>5339.0</v>
      </c>
      <c r="G8274" s="1">
        <v>58.0</v>
      </c>
    </row>
    <row r="8275">
      <c r="A8275" s="1" t="s">
        <v>8</v>
      </c>
      <c r="B8275" s="2">
        <v>44736.0</v>
      </c>
      <c r="C8275" s="3">
        <v>0.7074652777777778</v>
      </c>
      <c r="D8275" s="1">
        <v>12.983892</v>
      </c>
      <c r="E8275" s="1">
        <v>80.170618</v>
      </c>
      <c r="F8275" s="1">
        <v>5339.0</v>
      </c>
      <c r="G8275" s="1">
        <v>64.0</v>
      </c>
    </row>
    <row r="8276">
      <c r="A8276" s="1" t="s">
        <v>9</v>
      </c>
      <c r="B8276" s="2">
        <v>44736.0</v>
      </c>
      <c r="C8276" s="3">
        <v>0.7077083333333334</v>
      </c>
      <c r="D8276" s="1">
        <v>12.985271</v>
      </c>
      <c r="E8276" s="1">
        <v>80.172846</v>
      </c>
      <c r="F8276" s="1">
        <v>5339.0</v>
      </c>
      <c r="G8276" s="1">
        <v>38.0</v>
      </c>
    </row>
    <row r="8277">
      <c r="A8277" s="1" t="s">
        <v>7</v>
      </c>
      <c r="B8277" s="2">
        <v>44736.0</v>
      </c>
      <c r="C8277" s="3">
        <v>0.7080555555555555</v>
      </c>
      <c r="D8277" s="1">
        <v>12.751631</v>
      </c>
      <c r="E8277" s="1">
        <v>79.999174</v>
      </c>
      <c r="F8277" s="1">
        <v>2846.0</v>
      </c>
      <c r="G8277" s="1">
        <v>55.0</v>
      </c>
    </row>
    <row r="8278">
      <c r="A8278" s="1" t="s">
        <v>8</v>
      </c>
      <c r="B8278" s="2">
        <v>44736.0</v>
      </c>
      <c r="C8278" s="3">
        <v>0.7084027777777778</v>
      </c>
      <c r="D8278" s="1">
        <v>12.987202</v>
      </c>
      <c r="E8278" s="1">
        <v>80.175686</v>
      </c>
      <c r="F8278" s="1">
        <v>5339.0</v>
      </c>
      <c r="G8278" s="1">
        <v>34.0</v>
      </c>
    </row>
    <row r="8279">
      <c r="A8279" s="1" t="s">
        <v>7</v>
      </c>
      <c r="B8279" s="2">
        <v>44736.0</v>
      </c>
      <c r="C8279" s="3">
        <v>0.7084375</v>
      </c>
      <c r="D8279" s="1">
        <v>12.746122</v>
      </c>
      <c r="E8279" s="1">
        <v>79.994905</v>
      </c>
      <c r="F8279" s="1">
        <v>2846.0</v>
      </c>
      <c r="G8279" s="1">
        <v>58.0</v>
      </c>
    </row>
    <row r="8280">
      <c r="A8280" s="1" t="s">
        <v>8</v>
      </c>
      <c r="B8280" s="2">
        <v>44736.0</v>
      </c>
      <c r="C8280" s="3">
        <v>0.7085416666666666</v>
      </c>
      <c r="D8280" s="1">
        <v>12.987814</v>
      </c>
      <c r="E8280" s="1">
        <v>80.176576</v>
      </c>
      <c r="F8280" s="1">
        <v>5339.0</v>
      </c>
      <c r="G8280" s="1">
        <v>40.0</v>
      </c>
    </row>
    <row r="8281">
      <c r="A8281" s="1" t="s">
        <v>8</v>
      </c>
      <c r="B8281" s="2">
        <v>44736.0</v>
      </c>
      <c r="C8281" s="3">
        <v>0.7095254629629629</v>
      </c>
      <c r="D8281" s="1">
        <v>12.991699</v>
      </c>
      <c r="E8281" s="1">
        <v>80.181618</v>
      </c>
      <c r="F8281" s="1">
        <v>5339.0</v>
      </c>
      <c r="G8281" s="1">
        <v>56.0</v>
      </c>
    </row>
    <row r="8282">
      <c r="A8282" s="1" t="s">
        <v>8</v>
      </c>
      <c r="B8282" s="2">
        <v>44736.0</v>
      </c>
      <c r="C8282" s="3">
        <v>0.7095949074074074</v>
      </c>
      <c r="D8282" s="1">
        <v>12.991699</v>
      </c>
      <c r="E8282" s="1">
        <v>80.181618</v>
      </c>
      <c r="F8282" s="1">
        <v>5339.0</v>
      </c>
      <c r="G8282" s="1">
        <v>56.0</v>
      </c>
    </row>
    <row r="8283">
      <c r="A8283" s="1" t="s">
        <v>7</v>
      </c>
      <c r="B8283" s="2">
        <v>44736.0</v>
      </c>
      <c r="C8283" s="3">
        <v>0.7100115740740741</v>
      </c>
      <c r="D8283" s="1">
        <v>12.740857</v>
      </c>
      <c r="E8283" s="1">
        <v>79.990667</v>
      </c>
      <c r="F8283" s="1">
        <v>2846.0</v>
      </c>
      <c r="G8283" s="1">
        <v>42.0</v>
      </c>
    </row>
    <row r="8284">
      <c r="A8284" s="1" t="s">
        <v>7</v>
      </c>
      <c r="B8284" s="2">
        <v>44736.0</v>
      </c>
      <c r="C8284" s="3">
        <v>0.7107407407407408</v>
      </c>
      <c r="D8284" s="1">
        <v>12.7342</v>
      </c>
      <c r="E8284" s="1">
        <v>79.985033</v>
      </c>
      <c r="F8284" s="1">
        <v>2846.0</v>
      </c>
      <c r="G8284" s="1">
        <v>56.0</v>
      </c>
    </row>
    <row r="8285">
      <c r="A8285" s="1" t="s">
        <v>9</v>
      </c>
      <c r="B8285" s="2">
        <v>44736.0</v>
      </c>
      <c r="C8285" s="3">
        <v>0.7110416666666667</v>
      </c>
      <c r="D8285" s="1">
        <v>12.99638</v>
      </c>
      <c r="E8285" s="1">
        <v>80.189613</v>
      </c>
      <c r="F8285" s="1">
        <v>5339.0</v>
      </c>
      <c r="G8285" s="1">
        <v>48.0</v>
      </c>
    </row>
    <row r="8286">
      <c r="A8286" s="1" t="s">
        <v>8</v>
      </c>
      <c r="B8286" s="2">
        <v>44736.0</v>
      </c>
      <c r="C8286" s="3">
        <v>0.7113310185185185</v>
      </c>
      <c r="D8286" s="1">
        <v>12.998175</v>
      </c>
      <c r="E8286" s="1">
        <v>80.191715</v>
      </c>
      <c r="F8286" s="1">
        <v>5339.0</v>
      </c>
      <c r="G8286" s="1">
        <v>23.0</v>
      </c>
    </row>
    <row r="8287">
      <c r="A8287" s="1" t="s">
        <v>7</v>
      </c>
      <c r="B8287" s="2">
        <v>44736.0</v>
      </c>
      <c r="C8287" s="3">
        <v>0.7128125</v>
      </c>
      <c r="D8287" s="1">
        <v>12.720453</v>
      </c>
      <c r="E8287" s="1">
        <v>79.981281</v>
      </c>
      <c r="F8287" s="1">
        <v>2846.0</v>
      </c>
      <c r="G8287" s="1">
        <v>51.0</v>
      </c>
    </row>
    <row r="8288">
      <c r="A8288" s="1" t="s">
        <v>8</v>
      </c>
      <c r="B8288" s="2">
        <v>44736.0</v>
      </c>
      <c r="C8288" s="3">
        <v>0.7136805555555555</v>
      </c>
      <c r="D8288" s="1">
        <v>13.001689</v>
      </c>
      <c r="E8288" s="1">
        <v>80.196072</v>
      </c>
      <c r="F8288" s="1">
        <v>5339.0</v>
      </c>
      <c r="G8288" s="1">
        <v>30.0</v>
      </c>
    </row>
    <row r="8289">
      <c r="A8289" s="1" t="s">
        <v>10</v>
      </c>
      <c r="B8289" s="2">
        <v>44736.0</v>
      </c>
      <c r="C8289" s="3">
        <v>0.7138310185185185</v>
      </c>
      <c r="D8289" s="1">
        <v>13.002018</v>
      </c>
      <c r="E8289" s="1">
        <v>80.198157</v>
      </c>
      <c r="F8289" s="1">
        <v>5339.0</v>
      </c>
      <c r="G8289" s="1">
        <v>54.0</v>
      </c>
    </row>
    <row r="8290">
      <c r="A8290" s="1" t="s">
        <v>8</v>
      </c>
      <c r="B8290" s="2">
        <v>44736.0</v>
      </c>
      <c r="C8290" s="3">
        <v>0.7144097222222222</v>
      </c>
      <c r="D8290" s="1">
        <v>13.006079</v>
      </c>
      <c r="E8290" s="1">
        <v>80.202594</v>
      </c>
      <c r="F8290" s="1">
        <v>5339.0</v>
      </c>
      <c r="G8290" s="1">
        <v>57.0</v>
      </c>
    </row>
    <row r="8291">
      <c r="A8291" s="1" t="s">
        <v>8</v>
      </c>
      <c r="B8291" s="2">
        <v>44736.0</v>
      </c>
      <c r="C8291" s="3">
        <v>0.7144444444444444</v>
      </c>
      <c r="D8291" s="1">
        <v>13.006079</v>
      </c>
      <c r="E8291" s="1">
        <v>80.202594</v>
      </c>
      <c r="F8291" s="1">
        <v>5339.0</v>
      </c>
      <c r="G8291" s="1">
        <v>57.0</v>
      </c>
    </row>
    <row r="8292">
      <c r="A8292" s="1" t="s">
        <v>8</v>
      </c>
      <c r="B8292" s="2">
        <v>44736.0</v>
      </c>
      <c r="C8292" s="3">
        <v>0.7145486111111111</v>
      </c>
      <c r="D8292" s="1">
        <v>13.00701</v>
      </c>
      <c r="E8292" s="1">
        <v>80.20349</v>
      </c>
      <c r="F8292" s="1">
        <v>5339.0</v>
      </c>
      <c r="G8292" s="1">
        <v>45.0</v>
      </c>
    </row>
    <row r="8293">
      <c r="A8293" s="1" t="s">
        <v>10</v>
      </c>
      <c r="B8293" s="2">
        <v>44736.0</v>
      </c>
      <c r="C8293" s="3">
        <v>0.7146875</v>
      </c>
      <c r="D8293" s="1">
        <v>12.697787</v>
      </c>
      <c r="E8293" s="1">
        <v>79.976359</v>
      </c>
      <c r="F8293" s="1">
        <v>2846.0</v>
      </c>
      <c r="G8293" s="1">
        <v>0.0</v>
      </c>
    </row>
    <row r="8294">
      <c r="A8294" s="1" t="s">
        <v>9</v>
      </c>
      <c r="B8294" s="2">
        <v>44736.0</v>
      </c>
      <c r="C8294" s="3">
        <v>0.7152777777777778</v>
      </c>
      <c r="D8294" s="1">
        <v>13.007955</v>
      </c>
      <c r="E8294" s="1">
        <v>80.207299</v>
      </c>
      <c r="F8294" s="1">
        <v>5339.0</v>
      </c>
      <c r="G8294" s="1">
        <v>56.0</v>
      </c>
    </row>
    <row r="8295">
      <c r="A8295" s="1" t="s">
        <v>8</v>
      </c>
      <c r="B8295" s="2">
        <v>44736.0</v>
      </c>
      <c r="C8295" s="3">
        <v>0.7155902777777777</v>
      </c>
      <c r="D8295" s="1">
        <v>12.696579</v>
      </c>
      <c r="E8295" s="1">
        <v>79.977109</v>
      </c>
      <c r="F8295" s="1">
        <v>2846.0</v>
      </c>
      <c r="G8295" s="1">
        <v>13.0</v>
      </c>
    </row>
    <row r="8296">
      <c r="A8296" s="1" t="s">
        <v>8</v>
      </c>
      <c r="B8296" s="2">
        <v>44736.0</v>
      </c>
      <c r="C8296" s="3">
        <v>0.7156481481481481</v>
      </c>
      <c r="D8296" s="1">
        <v>12.696376</v>
      </c>
      <c r="E8296" s="1">
        <v>79.977278</v>
      </c>
      <c r="F8296" s="1">
        <v>2846.0</v>
      </c>
      <c r="G8296" s="1">
        <v>13.0</v>
      </c>
    </row>
    <row r="8297">
      <c r="A8297" s="1" t="s">
        <v>10</v>
      </c>
      <c r="B8297" s="2">
        <v>44736.0</v>
      </c>
      <c r="C8297" s="3">
        <v>0.7156828703703704</v>
      </c>
      <c r="D8297" s="1">
        <v>13.009133</v>
      </c>
      <c r="E8297" s="1">
        <v>80.211944</v>
      </c>
      <c r="F8297" s="1">
        <v>5339.0</v>
      </c>
      <c r="G8297" s="1">
        <v>34.0</v>
      </c>
    </row>
    <row r="8298">
      <c r="A8298" s="1" t="s">
        <v>8</v>
      </c>
      <c r="B8298" s="2">
        <v>44736.0</v>
      </c>
      <c r="C8298" s="3">
        <v>0.7160416666666667</v>
      </c>
      <c r="D8298" s="1">
        <v>13.009731</v>
      </c>
      <c r="E8298" s="1">
        <v>80.213655</v>
      </c>
      <c r="F8298" s="1">
        <v>5339.0</v>
      </c>
      <c r="G8298" s="1">
        <v>31.0</v>
      </c>
    </row>
    <row r="8299">
      <c r="A8299" s="1" t="s">
        <v>8</v>
      </c>
      <c r="B8299" s="2">
        <v>44736.0</v>
      </c>
      <c r="C8299" s="3">
        <v>0.7162152777777778</v>
      </c>
      <c r="D8299" s="1">
        <v>13.010093</v>
      </c>
      <c r="E8299" s="1">
        <v>80.214501</v>
      </c>
      <c r="F8299" s="1">
        <v>5339.0</v>
      </c>
      <c r="G8299" s="1">
        <v>41.0</v>
      </c>
    </row>
    <row r="8300">
      <c r="A8300" s="1" t="s">
        <v>7</v>
      </c>
      <c r="B8300" s="2">
        <v>44736.0</v>
      </c>
      <c r="C8300" s="3">
        <v>0.7166435185185185</v>
      </c>
      <c r="D8300" s="1">
        <v>13.01156</v>
      </c>
      <c r="E8300" s="1">
        <v>80.218638</v>
      </c>
      <c r="F8300" s="1">
        <v>5339.0</v>
      </c>
      <c r="G8300" s="1">
        <v>46.0</v>
      </c>
    </row>
    <row r="8301">
      <c r="A8301" s="1" t="s">
        <v>8</v>
      </c>
      <c r="B8301" s="2">
        <v>44736.0</v>
      </c>
      <c r="C8301" s="3">
        <v>0.7166898148148149</v>
      </c>
      <c r="D8301" s="1">
        <v>13.01156</v>
      </c>
      <c r="E8301" s="1">
        <v>80.218638</v>
      </c>
      <c r="F8301" s="1">
        <v>5339.0</v>
      </c>
      <c r="G8301" s="1">
        <v>46.0</v>
      </c>
    </row>
    <row r="8302">
      <c r="A8302" s="1" t="s">
        <v>8</v>
      </c>
      <c r="B8302" s="2">
        <v>44736.0</v>
      </c>
      <c r="C8302" s="3">
        <v>0.7174305555555556</v>
      </c>
      <c r="D8302" s="1">
        <v>12.696376</v>
      </c>
      <c r="E8302" s="1">
        <v>79.977278</v>
      </c>
      <c r="F8302" s="1">
        <v>2846.0</v>
      </c>
      <c r="G8302" s="1">
        <v>13.0</v>
      </c>
    </row>
    <row r="8303">
      <c r="A8303" s="1" t="s">
        <v>8</v>
      </c>
      <c r="B8303" s="2">
        <v>44736.0</v>
      </c>
      <c r="C8303" s="3">
        <v>0.7176041666666667</v>
      </c>
      <c r="D8303" s="1">
        <v>13.013642</v>
      </c>
      <c r="E8303" s="1">
        <v>80.222776</v>
      </c>
      <c r="F8303" s="1">
        <v>5339.0</v>
      </c>
      <c r="G8303" s="1">
        <v>21.0</v>
      </c>
    </row>
    <row r="8304">
      <c r="A8304" s="1" t="s">
        <v>8</v>
      </c>
      <c r="B8304" s="2">
        <v>44736.0</v>
      </c>
      <c r="C8304" s="3">
        <v>0.7178240740740741</v>
      </c>
      <c r="D8304" s="1">
        <v>13.015774</v>
      </c>
      <c r="E8304" s="1">
        <v>80.225292</v>
      </c>
      <c r="F8304" s="1">
        <v>5339.0</v>
      </c>
      <c r="G8304" s="1">
        <v>35.0</v>
      </c>
    </row>
    <row r="8305">
      <c r="A8305" s="1" t="s">
        <v>8</v>
      </c>
      <c r="B8305" s="2">
        <v>44736.0</v>
      </c>
      <c r="C8305" s="3">
        <v>0.7179398148148148</v>
      </c>
      <c r="D8305" s="1">
        <v>13.016675</v>
      </c>
      <c r="E8305" s="1">
        <v>80.225239</v>
      </c>
      <c r="F8305" s="1">
        <v>5339.0</v>
      </c>
      <c r="G8305" s="1">
        <v>36.0</v>
      </c>
    </row>
    <row r="8306">
      <c r="A8306" s="1" t="s">
        <v>8</v>
      </c>
      <c r="B8306" s="2">
        <v>44736.0</v>
      </c>
      <c r="C8306" s="3">
        <v>0.7179861111111111</v>
      </c>
      <c r="D8306" s="1">
        <v>13.017617</v>
      </c>
      <c r="E8306" s="1">
        <v>80.224874</v>
      </c>
      <c r="F8306" s="1">
        <v>5339.0</v>
      </c>
      <c r="G8306" s="1">
        <v>38.0</v>
      </c>
    </row>
    <row r="8307">
      <c r="A8307" s="1" t="s">
        <v>8</v>
      </c>
      <c r="B8307" s="2">
        <v>44736.0</v>
      </c>
      <c r="C8307" s="3">
        <v>0.7182060185185185</v>
      </c>
      <c r="D8307" s="1">
        <v>13.019248</v>
      </c>
      <c r="E8307" s="1">
        <v>80.224381</v>
      </c>
      <c r="F8307" s="1">
        <v>5339.0</v>
      </c>
      <c r="G8307" s="1">
        <v>35.0</v>
      </c>
    </row>
    <row r="8308">
      <c r="A8308" s="1" t="s">
        <v>10</v>
      </c>
      <c r="B8308" s="2">
        <v>44736.0</v>
      </c>
      <c r="C8308" s="3">
        <v>0.7185763888888889</v>
      </c>
      <c r="D8308" s="1">
        <v>12.684604</v>
      </c>
      <c r="E8308" s="1">
        <v>79.98335</v>
      </c>
      <c r="F8308" s="1">
        <v>2846.0</v>
      </c>
      <c r="G8308" s="1">
        <v>21.0</v>
      </c>
    </row>
    <row r="8309">
      <c r="A8309" s="1" t="s">
        <v>8</v>
      </c>
      <c r="B8309" s="2">
        <v>44736.0</v>
      </c>
      <c r="C8309" s="3">
        <v>0.7187268518518518</v>
      </c>
      <c r="D8309" s="1">
        <v>13.021791</v>
      </c>
      <c r="E8309" s="1">
        <v>80.22596</v>
      </c>
      <c r="F8309" s="1">
        <v>5339.0</v>
      </c>
      <c r="G8309" s="1">
        <v>28.0</v>
      </c>
    </row>
    <row r="8310">
      <c r="A8310" s="1" t="s">
        <v>8</v>
      </c>
      <c r="B8310" s="2">
        <v>44736.0</v>
      </c>
      <c r="C8310" s="3">
        <v>0.718900462962963</v>
      </c>
      <c r="D8310" s="1">
        <v>13.023203</v>
      </c>
      <c r="E8310" s="1">
        <v>80.227197</v>
      </c>
      <c r="F8310" s="1">
        <v>5339.0</v>
      </c>
      <c r="G8310" s="1">
        <v>46.0</v>
      </c>
    </row>
    <row r="8311">
      <c r="A8311" s="1" t="s">
        <v>8</v>
      </c>
      <c r="B8311" s="2">
        <v>44736.0</v>
      </c>
      <c r="C8311" s="3">
        <v>0.7191898148148148</v>
      </c>
      <c r="D8311" s="1">
        <v>13.024307</v>
      </c>
      <c r="E8311" s="1">
        <v>80.228358</v>
      </c>
      <c r="F8311" s="1">
        <v>5339.0</v>
      </c>
      <c r="G8311" s="1">
        <v>20.0</v>
      </c>
    </row>
    <row r="8312">
      <c r="A8312" s="1" t="s">
        <v>8</v>
      </c>
      <c r="B8312" s="2">
        <v>44736.0</v>
      </c>
      <c r="C8312" s="3">
        <v>0.7192361111111111</v>
      </c>
      <c r="D8312" s="1">
        <v>13.024307</v>
      </c>
      <c r="E8312" s="1">
        <v>80.228358</v>
      </c>
      <c r="F8312" s="1">
        <v>5339.0</v>
      </c>
      <c r="G8312" s="1">
        <v>20.0</v>
      </c>
    </row>
    <row r="8313">
      <c r="A8313" s="1" t="s">
        <v>8</v>
      </c>
      <c r="B8313" s="2">
        <v>44736.0</v>
      </c>
      <c r="C8313" s="3">
        <v>0.7194328703703704</v>
      </c>
      <c r="D8313" s="1">
        <v>13.025187</v>
      </c>
      <c r="E8313" s="1">
        <v>80.229579</v>
      </c>
      <c r="F8313" s="1">
        <v>5339.0</v>
      </c>
      <c r="G8313" s="1">
        <v>30.0</v>
      </c>
    </row>
    <row r="8314">
      <c r="A8314" s="1" t="s">
        <v>8</v>
      </c>
      <c r="B8314" s="2">
        <v>44736.0</v>
      </c>
      <c r="C8314" s="3">
        <v>0.7211574074074074</v>
      </c>
      <c r="D8314" s="1">
        <v>13.028548</v>
      </c>
      <c r="E8314" s="1">
        <v>80.235986</v>
      </c>
      <c r="F8314" s="1">
        <v>5339.0</v>
      </c>
      <c r="G8314" s="1">
        <v>40.0</v>
      </c>
    </row>
    <row r="8315">
      <c r="A8315" s="1" t="s">
        <v>8</v>
      </c>
      <c r="B8315" s="2">
        <v>44736.0</v>
      </c>
      <c r="C8315" s="3">
        <v>0.7228472222222222</v>
      </c>
      <c r="D8315" s="1">
        <v>13.031341</v>
      </c>
      <c r="E8315" s="1">
        <v>80.240069</v>
      </c>
      <c r="F8315" s="1">
        <v>5339.0</v>
      </c>
      <c r="G8315" s="1">
        <v>35.0</v>
      </c>
    </row>
    <row r="8316">
      <c r="A8316" s="1" t="s">
        <v>8</v>
      </c>
      <c r="B8316" s="2">
        <v>44736.0</v>
      </c>
      <c r="C8316" s="3">
        <v>0.723287037037037</v>
      </c>
      <c r="D8316" s="1">
        <v>13.032425</v>
      </c>
      <c r="E8316" s="1">
        <v>80.242345</v>
      </c>
      <c r="F8316" s="1">
        <v>5339.0</v>
      </c>
      <c r="G8316" s="1">
        <v>33.0</v>
      </c>
    </row>
    <row r="8317">
      <c r="A8317" s="1" t="s">
        <v>7</v>
      </c>
      <c r="B8317" s="2">
        <v>44736.0</v>
      </c>
      <c r="C8317" s="3">
        <v>0.7301388888888889</v>
      </c>
      <c r="D8317" s="1">
        <v>12.620049</v>
      </c>
      <c r="E8317" s="1">
        <v>79.927193</v>
      </c>
      <c r="F8317" s="1">
        <v>2846.0</v>
      </c>
      <c r="G8317" s="1">
        <v>54.0</v>
      </c>
    </row>
    <row r="8318">
      <c r="A8318" s="1" t="s">
        <v>8</v>
      </c>
      <c r="B8318" s="2">
        <v>44736.0</v>
      </c>
      <c r="C8318" s="3">
        <v>0.7316898148148148</v>
      </c>
      <c r="D8318" s="1">
        <v>13.044214</v>
      </c>
      <c r="E8318" s="1">
        <v>80.247863</v>
      </c>
      <c r="F8318" s="1">
        <v>5339.0</v>
      </c>
      <c r="G8318" s="1">
        <v>27.0</v>
      </c>
    </row>
    <row r="8319">
      <c r="A8319" s="1" t="s">
        <v>7</v>
      </c>
      <c r="B8319" s="2">
        <v>44736.0</v>
      </c>
      <c r="C8319" s="3">
        <v>0.7318981481481481</v>
      </c>
      <c r="D8319" s="1">
        <v>12.601743</v>
      </c>
      <c r="E8319" s="1">
        <v>79.920161</v>
      </c>
      <c r="F8319" s="1">
        <v>2846.0</v>
      </c>
      <c r="G8319" s="1">
        <v>54.0</v>
      </c>
    </row>
    <row r="8320">
      <c r="A8320" s="1" t="s">
        <v>8</v>
      </c>
      <c r="B8320" s="2">
        <v>44736.0</v>
      </c>
      <c r="C8320" s="3">
        <v>0.7321643518518518</v>
      </c>
      <c r="D8320" s="1">
        <v>13.046311</v>
      </c>
      <c r="E8320" s="1">
        <v>80.248245</v>
      </c>
      <c r="F8320" s="1">
        <v>5339.0</v>
      </c>
      <c r="G8320" s="1">
        <v>42.0</v>
      </c>
    </row>
    <row r="8321">
      <c r="A8321" s="1" t="s">
        <v>7</v>
      </c>
      <c r="B8321" s="2">
        <v>44736.0</v>
      </c>
      <c r="C8321" s="3">
        <v>0.7333101851851852</v>
      </c>
      <c r="D8321" s="1">
        <v>12.586284</v>
      </c>
      <c r="E8321" s="1">
        <v>79.919488</v>
      </c>
      <c r="F8321" s="1">
        <v>2846.0</v>
      </c>
      <c r="G8321" s="1">
        <v>58.0</v>
      </c>
    </row>
    <row r="8322">
      <c r="A8322" s="1" t="s">
        <v>7</v>
      </c>
      <c r="B8322" s="2">
        <v>44736.0</v>
      </c>
      <c r="C8322" s="3">
        <v>0.7338310185185185</v>
      </c>
      <c r="D8322" s="1">
        <v>12.575325</v>
      </c>
      <c r="E8322" s="1">
        <v>79.916969</v>
      </c>
      <c r="F8322" s="1">
        <v>2846.0</v>
      </c>
      <c r="G8322" s="1">
        <v>54.0</v>
      </c>
    </row>
    <row r="8323">
      <c r="A8323" s="1" t="s">
        <v>8</v>
      </c>
      <c r="B8323" s="2">
        <v>44736.0</v>
      </c>
      <c r="C8323" s="3">
        <v>0.733900462962963</v>
      </c>
      <c r="D8323" s="1">
        <v>12.575325</v>
      </c>
      <c r="E8323" s="1">
        <v>79.916969</v>
      </c>
      <c r="F8323" s="1">
        <v>2846.0</v>
      </c>
      <c r="G8323" s="1">
        <v>54.0</v>
      </c>
    </row>
    <row r="8324">
      <c r="A8324" s="1" t="s">
        <v>7</v>
      </c>
      <c r="B8324" s="2">
        <v>44736.0</v>
      </c>
      <c r="C8324" s="3">
        <v>0.7353819444444445</v>
      </c>
      <c r="D8324" s="1">
        <v>12.575325</v>
      </c>
      <c r="E8324" s="1">
        <v>79.916969</v>
      </c>
      <c r="F8324" s="1">
        <v>2846.0</v>
      </c>
      <c r="G8324" s="1">
        <v>54.0</v>
      </c>
    </row>
    <row r="8325">
      <c r="A8325" s="1" t="s">
        <v>7</v>
      </c>
      <c r="B8325" s="2">
        <v>44736.0</v>
      </c>
      <c r="C8325" s="3">
        <v>0.7365856481481482</v>
      </c>
      <c r="D8325" s="1">
        <v>12.550384</v>
      </c>
      <c r="E8325" s="1">
        <v>79.906404</v>
      </c>
      <c r="F8325" s="1">
        <v>2846.0</v>
      </c>
      <c r="G8325" s="1">
        <v>56.0</v>
      </c>
    </row>
    <row r="8326">
      <c r="A8326" s="1" t="s">
        <v>7</v>
      </c>
      <c r="B8326" s="2">
        <v>44736.0</v>
      </c>
      <c r="C8326" s="3">
        <v>0.736724537037037</v>
      </c>
      <c r="D8326" s="1">
        <v>12.544714</v>
      </c>
      <c r="E8326" s="1">
        <v>79.90523</v>
      </c>
      <c r="F8326" s="1">
        <v>2846.0</v>
      </c>
      <c r="G8326" s="1">
        <v>55.0</v>
      </c>
    </row>
    <row r="8327">
      <c r="A8327" s="1" t="s">
        <v>8</v>
      </c>
      <c r="B8327" s="2">
        <v>44736.0</v>
      </c>
      <c r="C8327" s="3">
        <v>0.7372106481481482</v>
      </c>
      <c r="D8327" s="1">
        <v>12.539776</v>
      </c>
      <c r="E8327" s="1">
        <v>79.904319</v>
      </c>
      <c r="F8327" s="1">
        <v>2846.0</v>
      </c>
      <c r="G8327" s="1">
        <v>50.0</v>
      </c>
    </row>
    <row r="8328">
      <c r="A8328" s="1" t="s">
        <v>7</v>
      </c>
      <c r="B8328" s="2">
        <v>44736.0</v>
      </c>
      <c r="C8328" s="3">
        <v>0.7377083333333333</v>
      </c>
      <c r="D8328" s="1">
        <v>12.535368</v>
      </c>
      <c r="E8328" s="1">
        <v>79.902178</v>
      </c>
      <c r="F8328" s="1">
        <v>2846.0</v>
      </c>
      <c r="G8328" s="1">
        <v>58.0</v>
      </c>
    </row>
    <row r="8329">
      <c r="A8329" s="1" t="s">
        <v>7</v>
      </c>
      <c r="B8329" s="2">
        <v>44736.0</v>
      </c>
      <c r="C8329" s="3">
        <v>0.7389930555555555</v>
      </c>
      <c r="D8329" s="1">
        <v>12.526082</v>
      </c>
      <c r="E8329" s="1">
        <v>79.897576</v>
      </c>
      <c r="F8329" s="1">
        <v>2846.0</v>
      </c>
      <c r="G8329" s="1">
        <v>54.0</v>
      </c>
    </row>
    <row r="8330">
      <c r="A8330" s="1" t="s">
        <v>8</v>
      </c>
      <c r="B8330" s="2">
        <v>44736.0</v>
      </c>
      <c r="C8330" s="3">
        <v>0.749375</v>
      </c>
      <c r="D8330" s="1">
        <v>13.067642</v>
      </c>
      <c r="E8330" s="1">
        <v>80.268987</v>
      </c>
      <c r="F8330" s="1">
        <v>5339.0</v>
      </c>
      <c r="G8330" s="1">
        <v>27.0</v>
      </c>
    </row>
    <row r="8331">
      <c r="A8331" s="1" t="s">
        <v>8</v>
      </c>
      <c r="B8331" s="2">
        <v>44736.0</v>
      </c>
      <c r="C8331" s="3">
        <v>0.7497800925925926</v>
      </c>
      <c r="D8331" s="1">
        <v>13.068468</v>
      </c>
      <c r="E8331" s="1">
        <v>80.268627</v>
      </c>
      <c r="F8331" s="1">
        <v>5339.0</v>
      </c>
      <c r="G8331" s="1">
        <v>31.0</v>
      </c>
    </row>
    <row r="8332">
      <c r="A8332" s="1" t="s">
        <v>10</v>
      </c>
      <c r="B8332" s="2">
        <v>44736.0</v>
      </c>
      <c r="C8332" s="3">
        <v>0.7500347222222222</v>
      </c>
      <c r="D8332" s="1">
        <v>13.068794</v>
      </c>
      <c r="E8332" s="1">
        <v>80.267776</v>
      </c>
      <c r="F8332" s="1">
        <v>5339.0</v>
      </c>
      <c r="G8332" s="1">
        <v>34.0</v>
      </c>
    </row>
    <row r="8333">
      <c r="A8333" s="1" t="s">
        <v>10</v>
      </c>
      <c r="B8333" s="2">
        <v>44736.0</v>
      </c>
      <c r="C8333" s="3">
        <v>0.7505208333333333</v>
      </c>
      <c r="D8333" s="1">
        <v>13.070211</v>
      </c>
      <c r="E8333" s="1">
        <v>80.265972</v>
      </c>
      <c r="F8333" s="1">
        <v>5339.0</v>
      </c>
      <c r="G8333" s="1">
        <v>27.0</v>
      </c>
    </row>
    <row r="8334">
      <c r="A8334" s="1" t="s">
        <v>10</v>
      </c>
      <c r="B8334" s="2">
        <v>44736.0</v>
      </c>
      <c r="C8334" s="3">
        <v>0.7508101851851852</v>
      </c>
      <c r="D8334" s="1">
        <v>13.07102</v>
      </c>
      <c r="E8334" s="1">
        <v>80.265146</v>
      </c>
      <c r="F8334" s="1">
        <v>5339.0</v>
      </c>
      <c r="G8334" s="1">
        <v>13.0</v>
      </c>
    </row>
    <row r="8335">
      <c r="A8335" s="1" t="s">
        <v>9</v>
      </c>
      <c r="B8335" s="2">
        <v>44736.0</v>
      </c>
      <c r="C8335" s="3">
        <v>0.7512037037037037</v>
      </c>
      <c r="D8335" s="1">
        <v>13.072089</v>
      </c>
      <c r="E8335" s="1">
        <v>80.264046</v>
      </c>
      <c r="F8335" s="1">
        <v>5339.0</v>
      </c>
      <c r="G8335" s="1">
        <v>21.0</v>
      </c>
    </row>
    <row r="8336">
      <c r="A8336" s="1" t="s">
        <v>8</v>
      </c>
      <c r="B8336" s="2">
        <v>44736.0</v>
      </c>
      <c r="C8336" s="3">
        <v>0.7514120370370371</v>
      </c>
      <c r="D8336" s="1">
        <v>13.072628</v>
      </c>
      <c r="E8336" s="1">
        <v>80.262802</v>
      </c>
      <c r="F8336" s="1">
        <v>5339.0</v>
      </c>
      <c r="G8336" s="1">
        <v>29.0</v>
      </c>
    </row>
    <row r="8337">
      <c r="A8337" s="1" t="s">
        <v>8</v>
      </c>
      <c r="B8337" s="2">
        <v>44736.0</v>
      </c>
      <c r="C8337" s="3">
        <v>0.7523148148148148</v>
      </c>
      <c r="D8337" s="1">
        <v>13.071527</v>
      </c>
      <c r="E8337" s="1">
        <v>80.259128</v>
      </c>
      <c r="F8337" s="1">
        <v>5339.0</v>
      </c>
      <c r="G8337" s="1">
        <v>16.0</v>
      </c>
    </row>
    <row r="8338">
      <c r="A8338" s="1" t="s">
        <v>8</v>
      </c>
      <c r="B8338" s="2">
        <v>44736.0</v>
      </c>
      <c r="C8338" s="3">
        <v>0.752337962962963</v>
      </c>
      <c r="D8338" s="1">
        <v>13.071527</v>
      </c>
      <c r="E8338" s="1">
        <v>80.259128</v>
      </c>
      <c r="F8338" s="1">
        <v>5339.0</v>
      </c>
      <c r="G8338" s="1">
        <v>16.0</v>
      </c>
    </row>
    <row r="8339">
      <c r="A8339" s="1" t="s">
        <v>8</v>
      </c>
      <c r="B8339" s="2">
        <v>44736.0</v>
      </c>
      <c r="C8339" s="3">
        <v>0.752349537037037</v>
      </c>
      <c r="D8339" s="1">
        <v>13.071527</v>
      </c>
      <c r="E8339" s="1">
        <v>80.259128</v>
      </c>
      <c r="F8339" s="1">
        <v>5339.0</v>
      </c>
      <c r="G8339" s="1">
        <v>16.0</v>
      </c>
    </row>
    <row r="8340">
      <c r="A8340" s="1" t="s">
        <v>8</v>
      </c>
      <c r="B8340" s="2">
        <v>44736.0</v>
      </c>
      <c r="C8340" s="3">
        <v>0.7523611111111111</v>
      </c>
      <c r="D8340" s="1">
        <v>13.071527</v>
      </c>
      <c r="E8340" s="1">
        <v>80.259128</v>
      </c>
      <c r="F8340" s="1">
        <v>5339.0</v>
      </c>
      <c r="G8340" s="1">
        <v>16.0</v>
      </c>
    </row>
    <row r="8341">
      <c r="A8341" s="1" t="s">
        <v>8</v>
      </c>
      <c r="B8341" s="2">
        <v>44736.0</v>
      </c>
      <c r="C8341" s="3">
        <v>0.7524305555555556</v>
      </c>
      <c r="D8341" s="1">
        <v>13.071096</v>
      </c>
      <c r="E8341" s="1">
        <v>80.258655</v>
      </c>
      <c r="F8341" s="1">
        <v>5339.0</v>
      </c>
      <c r="G8341" s="1">
        <v>29.0</v>
      </c>
    </row>
    <row r="8342">
      <c r="A8342" s="1" t="s">
        <v>8</v>
      </c>
      <c r="B8342" s="2">
        <v>44736.0</v>
      </c>
      <c r="C8342" s="3">
        <v>0.7525115740740741</v>
      </c>
      <c r="D8342" s="1">
        <v>13.070563</v>
      </c>
      <c r="E8342" s="1">
        <v>80.258094</v>
      </c>
      <c r="F8342" s="1">
        <v>5339.0</v>
      </c>
      <c r="G8342" s="1">
        <v>29.0</v>
      </c>
    </row>
    <row r="8343">
      <c r="A8343" s="1" t="s">
        <v>8</v>
      </c>
      <c r="B8343" s="2">
        <v>44736.0</v>
      </c>
      <c r="C8343" s="3">
        <v>0.7525231481481481</v>
      </c>
      <c r="D8343" s="1">
        <v>13.070563</v>
      </c>
      <c r="E8343" s="1">
        <v>80.258094</v>
      </c>
      <c r="F8343" s="1">
        <v>5339.0</v>
      </c>
      <c r="G8343" s="1">
        <v>29.0</v>
      </c>
    </row>
    <row r="8344">
      <c r="A8344" s="1" t="s">
        <v>8</v>
      </c>
      <c r="B8344" s="2">
        <v>44736.0</v>
      </c>
      <c r="C8344" s="3">
        <v>0.7526967592592593</v>
      </c>
      <c r="D8344" s="1">
        <v>13.070062</v>
      </c>
      <c r="E8344" s="1">
        <v>80.257529</v>
      </c>
      <c r="F8344" s="1">
        <v>5339.0</v>
      </c>
      <c r="G8344" s="1">
        <v>32.0</v>
      </c>
    </row>
    <row r="8345">
      <c r="A8345" s="1" t="s">
        <v>7</v>
      </c>
      <c r="B8345" s="2">
        <v>44737.0</v>
      </c>
      <c r="C8345" s="3">
        <v>0.2866666666666667</v>
      </c>
      <c r="D8345" s="1">
        <v>12.449517</v>
      </c>
      <c r="E8345" s="1">
        <v>79.839383</v>
      </c>
      <c r="F8345" s="1">
        <v>2846.0</v>
      </c>
      <c r="G8345" s="1">
        <v>58.0</v>
      </c>
    </row>
    <row r="8346">
      <c r="A8346" s="1" t="s">
        <v>7</v>
      </c>
      <c r="B8346" s="2">
        <v>44737.0</v>
      </c>
      <c r="C8346" s="3">
        <v>0.28769675925925925</v>
      </c>
      <c r="D8346" s="1">
        <v>12.460667</v>
      </c>
      <c r="E8346" s="1">
        <v>79.846349</v>
      </c>
      <c r="F8346" s="1">
        <v>2846.0</v>
      </c>
      <c r="G8346" s="1">
        <v>57.0</v>
      </c>
    </row>
    <row r="8347">
      <c r="A8347" s="1" t="s">
        <v>7</v>
      </c>
      <c r="B8347" s="2">
        <v>44737.0</v>
      </c>
      <c r="C8347" s="3">
        <v>0.2909143518518518</v>
      </c>
      <c r="D8347" s="1">
        <v>12.492083</v>
      </c>
      <c r="E8347" s="1">
        <v>79.868435</v>
      </c>
      <c r="F8347" s="1">
        <v>2846.0</v>
      </c>
      <c r="G8347" s="1">
        <v>57.0</v>
      </c>
    </row>
    <row r="8348">
      <c r="A8348" s="1" t="s">
        <v>7</v>
      </c>
      <c r="B8348" s="2">
        <v>44737.0</v>
      </c>
      <c r="C8348" s="3">
        <v>0.2922800925925926</v>
      </c>
      <c r="D8348" s="1">
        <v>12.507987</v>
      </c>
      <c r="E8348" s="1">
        <v>79.881472</v>
      </c>
      <c r="F8348" s="1">
        <v>2846.0</v>
      </c>
      <c r="G8348" s="1">
        <v>57.0</v>
      </c>
    </row>
    <row r="8349">
      <c r="A8349" s="1" t="s">
        <v>7</v>
      </c>
      <c r="B8349" s="2">
        <v>44737.0</v>
      </c>
      <c r="C8349" s="3">
        <v>0.29314814814814816</v>
      </c>
      <c r="D8349" s="1">
        <v>12.514093</v>
      </c>
      <c r="E8349" s="1">
        <v>79.884538</v>
      </c>
      <c r="F8349" s="1">
        <v>2846.0</v>
      </c>
      <c r="G8349" s="1">
        <v>58.0</v>
      </c>
    </row>
    <row r="8350">
      <c r="A8350" s="1" t="s">
        <v>7</v>
      </c>
      <c r="B8350" s="2">
        <v>44737.0</v>
      </c>
      <c r="C8350" s="3">
        <v>0.29335648148148147</v>
      </c>
      <c r="D8350" s="1">
        <v>12.517284</v>
      </c>
      <c r="E8350" s="1">
        <v>79.889706</v>
      </c>
      <c r="F8350" s="1">
        <v>2846.0</v>
      </c>
      <c r="G8350" s="1">
        <v>60.0</v>
      </c>
    </row>
    <row r="8351">
      <c r="A8351" s="1" t="s">
        <v>7</v>
      </c>
      <c r="B8351" s="2">
        <v>44737.0</v>
      </c>
      <c r="C8351" s="3">
        <v>0.2995023148148148</v>
      </c>
      <c r="D8351" s="1">
        <v>12.518622</v>
      </c>
      <c r="E8351" s="1">
        <v>79.888943</v>
      </c>
      <c r="F8351" s="1">
        <v>2846.0</v>
      </c>
      <c r="G8351" s="1">
        <v>52.0</v>
      </c>
    </row>
    <row r="8352">
      <c r="A8352" s="1" t="s">
        <v>7</v>
      </c>
      <c r="B8352" s="2">
        <v>44737.0</v>
      </c>
      <c r="C8352" s="3">
        <v>0.2998958333333333</v>
      </c>
      <c r="D8352" s="1">
        <v>12.518634</v>
      </c>
      <c r="E8352" s="1">
        <v>79.892069</v>
      </c>
      <c r="F8352" s="1">
        <v>2846.0</v>
      </c>
      <c r="G8352" s="1">
        <v>52.0</v>
      </c>
    </row>
    <row r="8353">
      <c r="A8353" s="1" t="s">
        <v>7</v>
      </c>
      <c r="B8353" s="2">
        <v>44737.0</v>
      </c>
      <c r="C8353" s="3">
        <v>0.30041666666666667</v>
      </c>
      <c r="D8353" s="1">
        <v>12.523945</v>
      </c>
      <c r="E8353" s="1">
        <v>79.896436</v>
      </c>
      <c r="F8353" s="1">
        <v>2846.0</v>
      </c>
      <c r="G8353" s="1">
        <v>51.0</v>
      </c>
    </row>
    <row r="8354">
      <c r="A8354" s="1" t="s">
        <v>8</v>
      </c>
      <c r="B8354" s="2">
        <v>44737.0</v>
      </c>
      <c r="C8354" s="3">
        <v>0.30574074074074076</v>
      </c>
      <c r="D8354" s="1">
        <v>13.067978</v>
      </c>
      <c r="E8354" s="1">
        <v>80.247366</v>
      </c>
      <c r="F8354" s="1">
        <v>5339.0</v>
      </c>
      <c r="G8354" s="1">
        <v>29.0</v>
      </c>
    </row>
    <row r="8355">
      <c r="A8355" s="1" t="s">
        <v>8</v>
      </c>
      <c r="B8355" s="2">
        <v>44737.0</v>
      </c>
      <c r="C8355" s="3">
        <v>0.30614583333333334</v>
      </c>
      <c r="D8355" s="1">
        <v>13.067736</v>
      </c>
      <c r="E8355" s="1">
        <v>80.249285</v>
      </c>
      <c r="F8355" s="1">
        <v>5339.0</v>
      </c>
      <c r="G8355" s="1">
        <v>19.0</v>
      </c>
    </row>
    <row r="8356">
      <c r="A8356" s="1" t="s">
        <v>8</v>
      </c>
      <c r="B8356" s="2">
        <v>44737.0</v>
      </c>
      <c r="C8356" s="3">
        <v>0.3070949074074074</v>
      </c>
      <c r="D8356" s="1">
        <v>13.06828</v>
      </c>
      <c r="E8356" s="1">
        <v>80.255601</v>
      </c>
      <c r="F8356" s="1">
        <v>5339.0</v>
      </c>
      <c r="G8356" s="1">
        <v>35.0</v>
      </c>
    </row>
    <row r="8357">
      <c r="A8357" s="1" t="s">
        <v>9</v>
      </c>
      <c r="B8357" s="2">
        <v>44737.0</v>
      </c>
      <c r="C8357" s="3">
        <v>0.30962962962962964</v>
      </c>
      <c r="D8357" s="1">
        <v>13.068391</v>
      </c>
      <c r="E8357" s="1">
        <v>80.269253</v>
      </c>
      <c r="F8357" s="1">
        <v>5339.0</v>
      </c>
      <c r="G8357" s="1">
        <v>35.0</v>
      </c>
    </row>
    <row r="8358">
      <c r="A8358" s="1" t="s">
        <v>8</v>
      </c>
      <c r="B8358" s="2">
        <v>44737.0</v>
      </c>
      <c r="C8358" s="3">
        <v>0.3097685185185185</v>
      </c>
      <c r="D8358" s="1">
        <v>13.068254</v>
      </c>
      <c r="E8358" s="1">
        <v>80.27008</v>
      </c>
      <c r="F8358" s="1">
        <v>5339.0</v>
      </c>
      <c r="G8358" s="1">
        <v>32.0</v>
      </c>
    </row>
    <row r="8359">
      <c r="A8359" s="1" t="s">
        <v>8</v>
      </c>
      <c r="B8359" s="2">
        <v>44737.0</v>
      </c>
      <c r="C8359" s="3">
        <v>0.3097916666666667</v>
      </c>
      <c r="D8359" s="1">
        <v>13.068254</v>
      </c>
      <c r="E8359" s="1">
        <v>80.27008</v>
      </c>
      <c r="F8359" s="1">
        <v>5339.0</v>
      </c>
      <c r="G8359" s="1">
        <v>32.0</v>
      </c>
    </row>
    <row r="8360">
      <c r="A8360" s="1" t="s">
        <v>8</v>
      </c>
      <c r="B8360" s="2">
        <v>44737.0</v>
      </c>
      <c r="C8360" s="3">
        <v>0.31019675925925927</v>
      </c>
      <c r="D8360" s="1">
        <v>13.067538</v>
      </c>
      <c r="E8360" s="1">
        <v>80.272872</v>
      </c>
      <c r="F8360" s="1">
        <v>5339.0</v>
      </c>
      <c r="G8360" s="1">
        <v>44.0</v>
      </c>
    </row>
    <row r="8361">
      <c r="A8361" s="1" t="s">
        <v>7</v>
      </c>
      <c r="B8361" s="2">
        <v>44737.0</v>
      </c>
      <c r="C8361" s="3">
        <v>0.31275462962962963</v>
      </c>
      <c r="D8361" s="1">
        <v>12.657524</v>
      </c>
      <c r="E8361" s="1">
        <v>79.941177</v>
      </c>
      <c r="F8361" s="1">
        <v>2846.0</v>
      </c>
      <c r="G8361" s="1">
        <v>58.0</v>
      </c>
    </row>
    <row r="8362">
      <c r="A8362" s="1" t="s">
        <v>7</v>
      </c>
      <c r="B8362" s="2">
        <v>44737.0</v>
      </c>
      <c r="C8362" s="3">
        <v>0.3128472222222222</v>
      </c>
      <c r="D8362" s="1">
        <v>12.658261</v>
      </c>
      <c r="E8362" s="1">
        <v>79.94244</v>
      </c>
      <c r="F8362" s="1">
        <v>2846.0</v>
      </c>
      <c r="G8362" s="1">
        <v>57.0</v>
      </c>
    </row>
    <row r="8363">
      <c r="A8363" s="1" t="s">
        <v>7</v>
      </c>
      <c r="B8363" s="2">
        <v>44737.0</v>
      </c>
      <c r="C8363" s="3">
        <v>0.313599537037037</v>
      </c>
      <c r="D8363" s="1">
        <v>12.65662</v>
      </c>
      <c r="E8363" s="1">
        <v>79.950117</v>
      </c>
      <c r="F8363" s="1">
        <v>2846.0</v>
      </c>
      <c r="G8363" s="1">
        <v>49.0</v>
      </c>
    </row>
    <row r="8364">
      <c r="A8364" s="1" t="s">
        <v>10</v>
      </c>
      <c r="B8364" s="2">
        <v>44737.0</v>
      </c>
      <c r="C8364" s="3">
        <v>0.3136805555555556</v>
      </c>
      <c r="D8364" s="1">
        <v>13.0531</v>
      </c>
      <c r="E8364" s="1">
        <v>80.272191</v>
      </c>
      <c r="F8364" s="1">
        <v>5339.0</v>
      </c>
      <c r="G8364" s="1">
        <v>23.0</v>
      </c>
    </row>
    <row r="8365">
      <c r="A8365" s="1" t="s">
        <v>10</v>
      </c>
      <c r="B8365" s="2">
        <v>44737.0</v>
      </c>
      <c r="C8365" s="3">
        <v>0.31452546296296297</v>
      </c>
      <c r="D8365" s="1">
        <v>13.053437</v>
      </c>
      <c r="E8365" s="1">
        <v>80.268851</v>
      </c>
      <c r="F8365" s="1">
        <v>5339.0</v>
      </c>
      <c r="G8365" s="1">
        <v>0.0</v>
      </c>
    </row>
    <row r="8366">
      <c r="A8366" s="1" t="s">
        <v>10</v>
      </c>
      <c r="B8366" s="2">
        <v>44737.0</v>
      </c>
      <c r="C8366" s="3">
        <v>0.3148148148148148</v>
      </c>
      <c r="D8366" s="1">
        <v>13.053548</v>
      </c>
      <c r="E8366" s="1">
        <v>80.267455</v>
      </c>
      <c r="F8366" s="1">
        <v>5339.0</v>
      </c>
      <c r="G8366" s="1">
        <v>34.0</v>
      </c>
    </row>
    <row r="8367">
      <c r="A8367" s="1" t="s">
        <v>7</v>
      </c>
      <c r="B8367" s="2">
        <v>44737.0</v>
      </c>
      <c r="C8367" s="3">
        <v>0.3150925925925926</v>
      </c>
      <c r="D8367" s="1">
        <v>12.65862</v>
      </c>
      <c r="E8367" s="1">
        <v>79.960802</v>
      </c>
      <c r="F8367" s="1">
        <v>2846.0</v>
      </c>
      <c r="G8367" s="1">
        <v>38.0</v>
      </c>
    </row>
    <row r="8368">
      <c r="A8368" s="1" t="s">
        <v>8</v>
      </c>
      <c r="B8368" s="2">
        <v>44737.0</v>
      </c>
      <c r="C8368" s="3">
        <v>0.3154398148148148</v>
      </c>
      <c r="D8368" s="1">
        <v>13.05396</v>
      </c>
      <c r="E8368" s="1">
        <v>80.263149</v>
      </c>
      <c r="F8368" s="1">
        <v>5339.0</v>
      </c>
      <c r="G8368" s="1">
        <v>53.0</v>
      </c>
    </row>
    <row r="8369">
      <c r="A8369" s="1" t="s">
        <v>7</v>
      </c>
      <c r="B8369" s="2">
        <v>44737.0</v>
      </c>
      <c r="C8369" s="3">
        <v>0.31547453703703704</v>
      </c>
      <c r="D8369" s="1">
        <v>12.661412</v>
      </c>
      <c r="E8369" s="1">
        <v>79.966811</v>
      </c>
      <c r="F8369" s="1">
        <v>2846.0</v>
      </c>
      <c r="G8369" s="1">
        <v>26.0</v>
      </c>
    </row>
    <row r="8370">
      <c r="A8370" s="1" t="s">
        <v>8</v>
      </c>
      <c r="B8370" s="2">
        <v>44737.0</v>
      </c>
      <c r="C8370" s="3">
        <v>0.3158564814814815</v>
      </c>
      <c r="D8370" s="1">
        <v>13.054375</v>
      </c>
      <c r="E8370" s="1">
        <v>80.258809</v>
      </c>
      <c r="F8370" s="1">
        <v>5339.0</v>
      </c>
      <c r="G8370" s="1">
        <v>53.0</v>
      </c>
    </row>
    <row r="8371">
      <c r="A8371" s="1" t="s">
        <v>7</v>
      </c>
      <c r="B8371" s="2">
        <v>44737.0</v>
      </c>
      <c r="C8371" s="3">
        <v>0.31623842592592594</v>
      </c>
      <c r="D8371" s="1">
        <v>12.666063</v>
      </c>
      <c r="E8371" s="1">
        <v>79.970245</v>
      </c>
      <c r="F8371" s="1">
        <v>2846.0</v>
      </c>
      <c r="G8371" s="1">
        <v>58.0</v>
      </c>
    </row>
    <row r="8372">
      <c r="A8372" s="1" t="s">
        <v>8</v>
      </c>
      <c r="B8372" s="2">
        <v>44737.0</v>
      </c>
      <c r="C8372" s="3">
        <v>0.31636574074074075</v>
      </c>
      <c r="D8372" s="1">
        <v>13.05432</v>
      </c>
      <c r="E8372" s="1">
        <v>80.253728</v>
      </c>
      <c r="F8372" s="1">
        <v>5339.0</v>
      </c>
      <c r="G8372" s="1">
        <v>42.0</v>
      </c>
    </row>
    <row r="8373">
      <c r="A8373" s="1" t="s">
        <v>8</v>
      </c>
      <c r="B8373" s="2">
        <v>44737.0</v>
      </c>
      <c r="C8373" s="3">
        <v>0.3164351851851852</v>
      </c>
      <c r="D8373" s="1">
        <v>13.053672</v>
      </c>
      <c r="E8373" s="1">
        <v>80.252821</v>
      </c>
      <c r="F8373" s="1">
        <v>5339.0</v>
      </c>
      <c r="G8373" s="1">
        <v>34.0</v>
      </c>
    </row>
    <row r="8374">
      <c r="A8374" s="1" t="s">
        <v>8</v>
      </c>
      <c r="B8374" s="2">
        <v>44737.0</v>
      </c>
      <c r="C8374" s="3">
        <v>0.31681712962962966</v>
      </c>
      <c r="D8374" s="1">
        <v>13.052476</v>
      </c>
      <c r="E8374" s="1">
        <v>80.251166</v>
      </c>
      <c r="F8374" s="1">
        <v>5339.0</v>
      </c>
      <c r="G8374" s="1">
        <v>37.0</v>
      </c>
    </row>
    <row r="8375">
      <c r="A8375" s="1" t="s">
        <v>7</v>
      </c>
      <c r="B8375" s="2">
        <v>44737.0</v>
      </c>
      <c r="C8375" s="3">
        <v>0.31724537037037037</v>
      </c>
      <c r="D8375" s="1">
        <v>13.048398</v>
      </c>
      <c r="E8375" s="1">
        <v>80.249579</v>
      </c>
      <c r="F8375" s="1">
        <v>5339.0</v>
      </c>
      <c r="G8375" s="1">
        <v>38.0</v>
      </c>
    </row>
    <row r="8376">
      <c r="A8376" s="1" t="s">
        <v>10</v>
      </c>
      <c r="B8376" s="2">
        <v>44737.0</v>
      </c>
      <c r="C8376" s="3">
        <v>0.3178472222222222</v>
      </c>
      <c r="D8376" s="1">
        <v>12.67645</v>
      </c>
      <c r="E8376" s="1">
        <v>79.978435</v>
      </c>
      <c r="F8376" s="1">
        <v>2846.0</v>
      </c>
      <c r="G8376" s="1">
        <v>42.0</v>
      </c>
    </row>
    <row r="8377">
      <c r="A8377" s="1" t="s">
        <v>10</v>
      </c>
      <c r="B8377" s="2">
        <v>44737.0</v>
      </c>
      <c r="C8377" s="3">
        <v>0.31800925925925927</v>
      </c>
      <c r="D8377" s="1">
        <v>12.679115</v>
      </c>
      <c r="E8377" s="1">
        <v>79.980353</v>
      </c>
      <c r="F8377" s="1">
        <v>2846.0</v>
      </c>
      <c r="G8377" s="1">
        <v>37.0</v>
      </c>
    </row>
    <row r="8378">
      <c r="A8378" s="1" t="s">
        <v>7</v>
      </c>
      <c r="B8378" s="2">
        <v>44737.0</v>
      </c>
      <c r="C8378" s="3">
        <v>0.3191087962962963</v>
      </c>
      <c r="D8378" s="1">
        <v>13.037914</v>
      </c>
      <c r="E8378" s="1">
        <v>80.24664</v>
      </c>
      <c r="F8378" s="1">
        <v>5339.0</v>
      </c>
      <c r="G8378" s="1">
        <v>43.0</v>
      </c>
    </row>
    <row r="8379">
      <c r="A8379" s="1" t="s">
        <v>10</v>
      </c>
      <c r="B8379" s="2">
        <v>44737.0</v>
      </c>
      <c r="C8379" s="3">
        <v>0.3193287037037037</v>
      </c>
      <c r="D8379" s="1">
        <v>13.035671</v>
      </c>
      <c r="E8379" s="1">
        <v>80.246193</v>
      </c>
      <c r="F8379" s="1">
        <v>5339.0</v>
      </c>
      <c r="G8379" s="1">
        <v>30.0</v>
      </c>
    </row>
    <row r="8380">
      <c r="A8380" s="1" t="s">
        <v>8</v>
      </c>
      <c r="B8380" s="2">
        <v>44737.0</v>
      </c>
      <c r="C8380" s="3">
        <v>0.3194675925925926</v>
      </c>
      <c r="D8380" s="1">
        <v>13.035068</v>
      </c>
      <c r="E8380" s="1">
        <v>80.24599</v>
      </c>
      <c r="F8380" s="1">
        <v>5339.0</v>
      </c>
      <c r="G8380" s="1">
        <v>26.0</v>
      </c>
    </row>
    <row r="8381">
      <c r="A8381" s="1" t="s">
        <v>8</v>
      </c>
      <c r="B8381" s="2">
        <v>44737.0</v>
      </c>
      <c r="C8381" s="3">
        <v>0.31950231481481484</v>
      </c>
      <c r="D8381" s="1">
        <v>13.035068</v>
      </c>
      <c r="E8381" s="1">
        <v>80.24599</v>
      </c>
      <c r="F8381" s="1">
        <v>5339.0</v>
      </c>
      <c r="G8381" s="1">
        <v>26.0</v>
      </c>
    </row>
    <row r="8382">
      <c r="A8382" s="1" t="s">
        <v>8</v>
      </c>
      <c r="B8382" s="2">
        <v>44737.0</v>
      </c>
      <c r="C8382" s="3">
        <v>0.31981481481481483</v>
      </c>
      <c r="D8382" s="1">
        <v>12.684092</v>
      </c>
      <c r="E8382" s="1">
        <v>79.983289</v>
      </c>
      <c r="F8382" s="1">
        <v>2846.0</v>
      </c>
      <c r="G8382" s="1">
        <v>18.0</v>
      </c>
    </row>
    <row r="8383">
      <c r="A8383" s="1" t="s">
        <v>8</v>
      </c>
      <c r="B8383" s="2">
        <v>44737.0</v>
      </c>
      <c r="C8383" s="3">
        <v>0.3200810185185185</v>
      </c>
      <c r="D8383" s="1">
        <v>12.68472</v>
      </c>
      <c r="E8383" s="1">
        <v>79.98345</v>
      </c>
      <c r="F8383" s="1">
        <v>2846.0</v>
      </c>
      <c r="G8383" s="1">
        <v>29.0</v>
      </c>
    </row>
    <row r="8384">
      <c r="A8384" s="1" t="s">
        <v>8</v>
      </c>
      <c r="B8384" s="2">
        <v>44737.0</v>
      </c>
      <c r="C8384" s="3">
        <v>0.32059027777777777</v>
      </c>
      <c r="D8384" s="1">
        <v>12.688082</v>
      </c>
      <c r="E8384" s="1">
        <v>79.982921</v>
      </c>
      <c r="F8384" s="1">
        <v>2846.0</v>
      </c>
      <c r="G8384" s="1">
        <v>27.0</v>
      </c>
    </row>
    <row r="8385">
      <c r="A8385" s="1" t="s">
        <v>8</v>
      </c>
      <c r="B8385" s="2">
        <v>44737.0</v>
      </c>
      <c r="C8385" s="3">
        <v>0.3209490740740741</v>
      </c>
      <c r="D8385" s="1">
        <v>13.029587</v>
      </c>
      <c r="E8385" s="1">
        <v>80.237285</v>
      </c>
      <c r="F8385" s="1">
        <v>5339.0</v>
      </c>
      <c r="G8385" s="1">
        <v>53.0</v>
      </c>
    </row>
    <row r="8386">
      <c r="A8386" s="1" t="s">
        <v>8</v>
      </c>
      <c r="B8386" s="2">
        <v>44737.0</v>
      </c>
      <c r="C8386" s="3">
        <v>0.32113425925925926</v>
      </c>
      <c r="D8386" s="1">
        <v>13.028698</v>
      </c>
      <c r="E8386" s="1">
        <v>80.236314</v>
      </c>
      <c r="F8386" s="1">
        <v>5339.0</v>
      </c>
      <c r="G8386" s="1">
        <v>50.0</v>
      </c>
    </row>
    <row r="8387">
      <c r="A8387" s="1" t="s">
        <v>8</v>
      </c>
      <c r="B8387" s="2">
        <v>44737.0</v>
      </c>
      <c r="C8387" s="3">
        <v>0.3212037037037037</v>
      </c>
      <c r="D8387" s="1">
        <v>13.027901</v>
      </c>
      <c r="E8387" s="1">
        <v>80.235397</v>
      </c>
      <c r="F8387" s="1">
        <v>5339.0</v>
      </c>
      <c r="G8387" s="1">
        <v>47.0</v>
      </c>
    </row>
    <row r="8388">
      <c r="A8388" s="1" t="s">
        <v>8</v>
      </c>
      <c r="B8388" s="2">
        <v>44737.0</v>
      </c>
      <c r="C8388" s="3">
        <v>0.3212615740740741</v>
      </c>
      <c r="D8388" s="1">
        <v>13.027901</v>
      </c>
      <c r="E8388" s="1">
        <v>80.235397</v>
      </c>
      <c r="F8388" s="1">
        <v>5339.0</v>
      </c>
      <c r="G8388" s="1">
        <v>47.0</v>
      </c>
    </row>
    <row r="8389">
      <c r="A8389" s="1" t="s">
        <v>8</v>
      </c>
      <c r="B8389" s="2">
        <v>44737.0</v>
      </c>
      <c r="C8389" s="3">
        <v>0.3214699074074074</v>
      </c>
      <c r="D8389" s="1">
        <v>13.026574</v>
      </c>
      <c r="E8389" s="1">
        <v>80.233187</v>
      </c>
      <c r="F8389" s="1">
        <v>5339.0</v>
      </c>
      <c r="G8389" s="1">
        <v>52.0</v>
      </c>
    </row>
    <row r="8390">
      <c r="A8390" s="1" t="s">
        <v>7</v>
      </c>
      <c r="B8390" s="2">
        <v>44737.0</v>
      </c>
      <c r="C8390" s="3">
        <v>0.32244212962962965</v>
      </c>
      <c r="D8390" s="1">
        <v>13.023468</v>
      </c>
      <c r="E8390" s="1">
        <v>80.227664</v>
      </c>
      <c r="F8390" s="1">
        <v>5339.0</v>
      </c>
      <c r="G8390" s="1">
        <v>47.0</v>
      </c>
    </row>
    <row r="8391">
      <c r="A8391" s="1" t="s">
        <v>8</v>
      </c>
      <c r="B8391" s="2">
        <v>44737.0</v>
      </c>
      <c r="C8391" s="3">
        <v>0.3224652777777778</v>
      </c>
      <c r="D8391" s="1">
        <v>13.023468</v>
      </c>
      <c r="E8391" s="1">
        <v>80.227664</v>
      </c>
      <c r="F8391" s="1">
        <v>5339.0</v>
      </c>
      <c r="G8391" s="1">
        <v>47.0</v>
      </c>
    </row>
    <row r="8392">
      <c r="A8392" s="1" t="s">
        <v>9</v>
      </c>
      <c r="B8392" s="2">
        <v>44737.0</v>
      </c>
      <c r="C8392" s="3">
        <v>0.32354166666666667</v>
      </c>
      <c r="D8392" s="1">
        <v>13.017626</v>
      </c>
      <c r="E8392" s="1">
        <v>80.224982</v>
      </c>
      <c r="F8392" s="1">
        <v>5339.0</v>
      </c>
      <c r="G8392" s="1">
        <v>58.0</v>
      </c>
    </row>
    <row r="8393">
      <c r="A8393" s="1" t="s">
        <v>7</v>
      </c>
      <c r="B8393" s="2">
        <v>44737.0</v>
      </c>
      <c r="C8393" s="3">
        <v>0.3237615740740741</v>
      </c>
      <c r="D8393" s="1">
        <v>13.015078</v>
      </c>
      <c r="E8393" s="1">
        <v>80.225963</v>
      </c>
      <c r="F8393" s="1">
        <v>5339.0</v>
      </c>
      <c r="G8393" s="1">
        <v>54.0</v>
      </c>
    </row>
    <row r="8394">
      <c r="A8394" s="1" t="s">
        <v>7</v>
      </c>
      <c r="B8394" s="2">
        <v>44737.0</v>
      </c>
      <c r="C8394" s="3">
        <v>0.3244560185185185</v>
      </c>
      <c r="D8394" s="1">
        <v>13.009961</v>
      </c>
      <c r="E8394" s="1">
        <v>80.226722</v>
      </c>
      <c r="F8394" s="1">
        <v>5339.0</v>
      </c>
      <c r="G8394" s="1">
        <v>41.0</v>
      </c>
    </row>
    <row r="8395">
      <c r="A8395" s="1" t="s">
        <v>7</v>
      </c>
      <c r="B8395" s="2">
        <v>44737.0</v>
      </c>
      <c r="C8395" s="3">
        <v>0.32450231481481484</v>
      </c>
      <c r="D8395" s="1">
        <v>13.009961</v>
      </c>
      <c r="E8395" s="1">
        <v>80.226722</v>
      </c>
      <c r="F8395" s="1">
        <v>5339.0</v>
      </c>
      <c r="G8395" s="1">
        <v>41.0</v>
      </c>
    </row>
    <row r="8396">
      <c r="A8396" s="1" t="s">
        <v>8</v>
      </c>
      <c r="B8396" s="2">
        <v>44737.0</v>
      </c>
      <c r="C8396" s="3">
        <v>0.324525462962963</v>
      </c>
      <c r="D8396" s="1">
        <v>13.010487</v>
      </c>
      <c r="E8396" s="1">
        <v>80.225558</v>
      </c>
      <c r="F8396" s="1">
        <v>5339.0</v>
      </c>
      <c r="G8396" s="1">
        <v>52.0</v>
      </c>
    </row>
    <row r="8397">
      <c r="A8397" s="1" t="s">
        <v>7</v>
      </c>
      <c r="B8397" s="2">
        <v>44737.0</v>
      </c>
      <c r="C8397" s="3">
        <v>0.3247569444444444</v>
      </c>
      <c r="D8397" s="1">
        <v>13.011546</v>
      </c>
      <c r="E8397" s="1">
        <v>80.223023</v>
      </c>
      <c r="F8397" s="1">
        <v>5339.0</v>
      </c>
      <c r="G8397" s="1">
        <v>56.0</v>
      </c>
    </row>
    <row r="8398">
      <c r="A8398" s="1" t="s">
        <v>7</v>
      </c>
      <c r="B8398" s="2">
        <v>44737.0</v>
      </c>
      <c r="C8398" s="3">
        <v>0.32480324074074074</v>
      </c>
      <c r="D8398" s="1">
        <v>13.011546</v>
      </c>
      <c r="E8398" s="1">
        <v>80.223023</v>
      </c>
      <c r="F8398" s="1">
        <v>5339.0</v>
      </c>
      <c r="G8398" s="1">
        <v>56.0</v>
      </c>
    </row>
    <row r="8399">
      <c r="A8399" s="1" t="s">
        <v>8</v>
      </c>
      <c r="B8399" s="2">
        <v>44737.0</v>
      </c>
      <c r="C8399" s="3">
        <v>0.32491898148148146</v>
      </c>
      <c r="D8399" s="1">
        <v>13.012035</v>
      </c>
      <c r="E8399" s="1">
        <v>80.221681</v>
      </c>
      <c r="F8399" s="1">
        <v>5339.0</v>
      </c>
      <c r="G8399" s="1">
        <v>54.0</v>
      </c>
    </row>
    <row r="8400">
      <c r="A8400" s="1" t="s">
        <v>8</v>
      </c>
      <c r="B8400" s="2">
        <v>44737.0</v>
      </c>
      <c r="C8400" s="3">
        <v>0.3257523148148148</v>
      </c>
      <c r="D8400" s="1">
        <v>13.009457</v>
      </c>
      <c r="E8400" s="1">
        <v>80.213104</v>
      </c>
      <c r="F8400" s="1">
        <v>5339.0</v>
      </c>
      <c r="G8400" s="1">
        <v>60.0</v>
      </c>
    </row>
    <row r="8401">
      <c r="A8401" s="1" t="s">
        <v>7</v>
      </c>
      <c r="B8401" s="2">
        <v>44737.0</v>
      </c>
      <c r="C8401" s="3">
        <v>0.3260416666666667</v>
      </c>
      <c r="D8401" s="1">
        <v>13.008406</v>
      </c>
      <c r="E8401" s="1">
        <v>80.210263</v>
      </c>
      <c r="F8401" s="1">
        <v>5339.0</v>
      </c>
      <c r="G8401" s="1">
        <v>56.0</v>
      </c>
    </row>
    <row r="8402">
      <c r="A8402" s="1" t="s">
        <v>8</v>
      </c>
      <c r="B8402" s="2">
        <v>44737.0</v>
      </c>
      <c r="C8402" s="3">
        <v>0.3261689814814815</v>
      </c>
      <c r="D8402" s="1">
        <v>13.007828</v>
      </c>
      <c r="E8402" s="1">
        <v>80.207381</v>
      </c>
      <c r="F8402" s="1">
        <v>5339.0</v>
      </c>
      <c r="G8402" s="1">
        <v>58.0</v>
      </c>
    </row>
    <row r="8403">
      <c r="A8403" s="1" t="s">
        <v>8</v>
      </c>
      <c r="B8403" s="2">
        <v>44737.0</v>
      </c>
      <c r="C8403" s="3">
        <v>0.3262962962962963</v>
      </c>
      <c r="D8403" s="1">
        <v>13.007567</v>
      </c>
      <c r="E8403" s="1">
        <v>80.205998</v>
      </c>
      <c r="F8403" s="1">
        <v>5339.0</v>
      </c>
      <c r="G8403" s="1">
        <v>48.0</v>
      </c>
    </row>
    <row r="8404">
      <c r="A8404" s="1" t="s">
        <v>8</v>
      </c>
      <c r="B8404" s="2">
        <v>44737.0</v>
      </c>
      <c r="C8404" s="3">
        <v>0.3267476851851852</v>
      </c>
      <c r="D8404" s="1">
        <v>13.005529</v>
      </c>
      <c r="E8404" s="1">
        <v>80.202051</v>
      </c>
      <c r="F8404" s="1">
        <v>5339.0</v>
      </c>
      <c r="G8404" s="1">
        <v>38.0</v>
      </c>
    </row>
    <row r="8405">
      <c r="A8405" s="1" t="s">
        <v>8</v>
      </c>
      <c r="B8405" s="2">
        <v>44737.0</v>
      </c>
      <c r="C8405" s="3">
        <v>0.32688657407407407</v>
      </c>
      <c r="D8405" s="1">
        <v>13.00469</v>
      </c>
      <c r="E8405" s="1">
        <v>80.201301</v>
      </c>
      <c r="F8405" s="1">
        <v>5339.0</v>
      </c>
      <c r="G8405" s="1">
        <v>48.0</v>
      </c>
    </row>
    <row r="8406">
      <c r="A8406" s="1" t="s">
        <v>8</v>
      </c>
      <c r="B8406" s="2">
        <v>44737.0</v>
      </c>
      <c r="C8406" s="3">
        <v>0.3270601851851852</v>
      </c>
      <c r="D8406" s="1">
        <v>13.002707</v>
      </c>
      <c r="E8406" s="1">
        <v>80.200722</v>
      </c>
      <c r="F8406" s="1">
        <v>5339.0</v>
      </c>
      <c r="G8406" s="1">
        <v>40.0</v>
      </c>
    </row>
    <row r="8407">
      <c r="A8407" s="1" t="s">
        <v>7</v>
      </c>
      <c r="B8407" s="2">
        <v>44737.0</v>
      </c>
      <c r="C8407" s="3">
        <v>0.32710648148148147</v>
      </c>
      <c r="D8407" s="1">
        <v>12.699702</v>
      </c>
      <c r="E8407" s="1">
        <v>79.968338</v>
      </c>
      <c r="F8407" s="1">
        <v>2846.0</v>
      </c>
      <c r="G8407" s="1">
        <v>9.0</v>
      </c>
    </row>
    <row r="8408">
      <c r="A8408" s="1" t="s">
        <v>8</v>
      </c>
      <c r="B8408" s="2">
        <v>44737.0</v>
      </c>
      <c r="C8408" s="3">
        <v>0.3272800925925926</v>
      </c>
      <c r="D8408" s="1">
        <v>13.00189</v>
      </c>
      <c r="E8408" s="1">
        <v>80.200083</v>
      </c>
      <c r="F8408" s="1">
        <v>5339.0</v>
      </c>
      <c r="G8408" s="1">
        <v>47.0</v>
      </c>
    </row>
    <row r="8409">
      <c r="A8409" s="1" t="s">
        <v>8</v>
      </c>
      <c r="B8409" s="2">
        <v>44737.0</v>
      </c>
      <c r="C8409" s="3">
        <v>0.3274537037037037</v>
      </c>
      <c r="D8409" s="1">
        <v>13.001926</v>
      </c>
      <c r="E8409" s="1">
        <v>80.197955</v>
      </c>
      <c r="F8409" s="1">
        <v>5339.0</v>
      </c>
      <c r="G8409" s="1">
        <v>40.0</v>
      </c>
    </row>
    <row r="8410">
      <c r="A8410" s="1" t="s">
        <v>8</v>
      </c>
      <c r="B8410" s="2">
        <v>44737.0</v>
      </c>
      <c r="C8410" s="3">
        <v>0.32761574074074074</v>
      </c>
      <c r="D8410" s="1">
        <v>13.001897</v>
      </c>
      <c r="E8410" s="1">
        <v>80.196825</v>
      </c>
      <c r="F8410" s="1">
        <v>5339.0</v>
      </c>
      <c r="G8410" s="1">
        <v>37.0</v>
      </c>
    </row>
    <row r="8411">
      <c r="A8411" s="1" t="s">
        <v>8</v>
      </c>
      <c r="B8411" s="2">
        <v>44737.0</v>
      </c>
      <c r="C8411" s="3">
        <v>0.32762731481481483</v>
      </c>
      <c r="D8411" s="1">
        <v>13.001897</v>
      </c>
      <c r="E8411" s="1">
        <v>80.196825</v>
      </c>
      <c r="F8411" s="1">
        <v>5339.0</v>
      </c>
      <c r="G8411" s="1">
        <v>37.0</v>
      </c>
    </row>
    <row r="8412">
      <c r="A8412" s="1" t="s">
        <v>8</v>
      </c>
      <c r="B8412" s="2">
        <v>44737.0</v>
      </c>
      <c r="C8412" s="3">
        <v>0.3278935185185185</v>
      </c>
      <c r="D8412" s="1">
        <v>13.000207</v>
      </c>
      <c r="E8412" s="1">
        <v>80.194522</v>
      </c>
      <c r="F8412" s="1">
        <v>5339.0</v>
      </c>
      <c r="G8412" s="1">
        <v>48.0</v>
      </c>
    </row>
    <row r="8413">
      <c r="A8413" s="1" t="s">
        <v>8</v>
      </c>
      <c r="B8413" s="2">
        <v>44737.0</v>
      </c>
      <c r="C8413" s="3">
        <v>0.32805555555555554</v>
      </c>
      <c r="D8413" s="1">
        <v>12.999513</v>
      </c>
      <c r="E8413" s="1">
        <v>80.193635</v>
      </c>
      <c r="F8413" s="1">
        <v>5339.0</v>
      </c>
      <c r="G8413" s="1">
        <v>43.0</v>
      </c>
    </row>
    <row r="8414">
      <c r="A8414" s="1" t="s">
        <v>8</v>
      </c>
      <c r="B8414" s="2">
        <v>44737.0</v>
      </c>
      <c r="C8414" s="3">
        <v>0.3281134259259259</v>
      </c>
      <c r="D8414" s="1">
        <v>12.712954</v>
      </c>
      <c r="E8414" s="1">
        <v>79.979708</v>
      </c>
      <c r="F8414" s="1">
        <v>2846.0</v>
      </c>
      <c r="G8414" s="1">
        <v>57.0</v>
      </c>
    </row>
    <row r="8415">
      <c r="A8415" s="1" t="s">
        <v>7</v>
      </c>
      <c r="B8415" s="2">
        <v>44737.0</v>
      </c>
      <c r="C8415" s="3">
        <v>0.32837962962962963</v>
      </c>
      <c r="D8415" s="1">
        <v>12.997237</v>
      </c>
      <c r="E8415" s="1">
        <v>80.190691</v>
      </c>
      <c r="F8415" s="1">
        <v>5339.0</v>
      </c>
      <c r="G8415" s="1">
        <v>57.0</v>
      </c>
    </row>
    <row r="8416">
      <c r="A8416" s="1" t="s">
        <v>8</v>
      </c>
      <c r="B8416" s="2">
        <v>44737.0</v>
      </c>
      <c r="C8416" s="3">
        <v>0.3284490740740741</v>
      </c>
      <c r="D8416" s="1">
        <v>12.996321</v>
      </c>
      <c r="E8416" s="1">
        <v>80.18965</v>
      </c>
      <c r="F8416" s="1">
        <v>5339.0</v>
      </c>
      <c r="G8416" s="1">
        <v>48.0</v>
      </c>
    </row>
    <row r="8417">
      <c r="A8417" s="1" t="s">
        <v>8</v>
      </c>
      <c r="B8417" s="2">
        <v>44737.0</v>
      </c>
      <c r="C8417" s="3">
        <v>0.32850694444444445</v>
      </c>
      <c r="D8417" s="1">
        <v>12.996321</v>
      </c>
      <c r="E8417" s="1">
        <v>80.18965</v>
      </c>
      <c r="F8417" s="1">
        <v>5339.0</v>
      </c>
      <c r="G8417" s="1">
        <v>48.0</v>
      </c>
    </row>
    <row r="8418">
      <c r="A8418" s="1" t="s">
        <v>8</v>
      </c>
      <c r="B8418" s="2">
        <v>44737.0</v>
      </c>
      <c r="C8418" s="3">
        <v>0.32862268518518517</v>
      </c>
      <c r="D8418" s="1">
        <v>12.995525</v>
      </c>
      <c r="E8418" s="1">
        <v>80.18858</v>
      </c>
      <c r="F8418" s="1">
        <v>5339.0</v>
      </c>
      <c r="G8418" s="1">
        <v>54.0</v>
      </c>
    </row>
    <row r="8419">
      <c r="A8419" s="1" t="s">
        <v>8</v>
      </c>
      <c r="B8419" s="2">
        <v>44737.0</v>
      </c>
      <c r="C8419" s="3">
        <v>0.3287615740740741</v>
      </c>
      <c r="D8419" s="1">
        <v>12.994982</v>
      </c>
      <c r="E8419" s="1">
        <v>80.187497</v>
      </c>
      <c r="F8419" s="1">
        <v>5339.0</v>
      </c>
      <c r="G8419" s="1">
        <v>45.0</v>
      </c>
    </row>
    <row r="8420">
      <c r="A8420" s="1" t="s">
        <v>8</v>
      </c>
      <c r="B8420" s="2">
        <v>44737.0</v>
      </c>
      <c r="C8420" s="3">
        <v>0.3289814814814815</v>
      </c>
      <c r="D8420" s="1">
        <v>12.994281</v>
      </c>
      <c r="E8420" s="1">
        <v>80.186121</v>
      </c>
      <c r="F8420" s="1">
        <v>5339.0</v>
      </c>
      <c r="G8420" s="1">
        <v>23.0</v>
      </c>
    </row>
    <row r="8421">
      <c r="A8421" s="1" t="s">
        <v>8</v>
      </c>
      <c r="B8421" s="2">
        <v>44737.0</v>
      </c>
      <c r="C8421" s="3">
        <v>0.3289930555555556</v>
      </c>
      <c r="D8421" s="1">
        <v>12.994281</v>
      </c>
      <c r="E8421" s="1">
        <v>80.186121</v>
      </c>
      <c r="F8421" s="1">
        <v>5339.0</v>
      </c>
      <c r="G8421" s="1">
        <v>23.0</v>
      </c>
    </row>
    <row r="8422">
      <c r="A8422" s="1" t="s">
        <v>8</v>
      </c>
      <c r="B8422" s="2">
        <v>44737.0</v>
      </c>
      <c r="C8422" s="3">
        <v>0.3290972222222222</v>
      </c>
      <c r="D8422" s="1">
        <v>12.993968</v>
      </c>
      <c r="E8422" s="1">
        <v>80.185524</v>
      </c>
      <c r="F8422" s="1">
        <v>5339.0</v>
      </c>
      <c r="G8422" s="1">
        <v>31.0</v>
      </c>
    </row>
    <row r="8423">
      <c r="A8423" s="1" t="s">
        <v>9</v>
      </c>
      <c r="B8423" s="2">
        <v>44737.0</v>
      </c>
      <c r="C8423" s="3">
        <v>0.32935185185185184</v>
      </c>
      <c r="D8423" s="1">
        <v>12.993041</v>
      </c>
      <c r="E8423" s="1">
        <v>80.183859</v>
      </c>
      <c r="F8423" s="1">
        <v>5339.0</v>
      </c>
      <c r="G8423" s="1">
        <v>40.0</v>
      </c>
    </row>
    <row r="8424">
      <c r="A8424" s="1" t="s">
        <v>8</v>
      </c>
      <c r="B8424" s="2">
        <v>44737.0</v>
      </c>
      <c r="C8424" s="3">
        <v>0.32989583333333333</v>
      </c>
      <c r="D8424" s="1">
        <v>12.989523</v>
      </c>
      <c r="E8424" s="1">
        <v>80.17902</v>
      </c>
      <c r="F8424" s="1">
        <v>5339.0</v>
      </c>
      <c r="G8424" s="1">
        <v>39.0</v>
      </c>
    </row>
    <row r="8425">
      <c r="A8425" s="1" t="s">
        <v>8</v>
      </c>
      <c r="B8425" s="2">
        <v>44737.0</v>
      </c>
      <c r="C8425" s="3">
        <v>0.3303009259259259</v>
      </c>
      <c r="D8425" s="1">
        <v>12.987309</v>
      </c>
      <c r="E8425" s="1">
        <v>80.176058</v>
      </c>
      <c r="F8425" s="1">
        <v>5339.0</v>
      </c>
      <c r="G8425" s="1">
        <v>36.0</v>
      </c>
    </row>
    <row r="8426">
      <c r="A8426" s="1" t="s">
        <v>7</v>
      </c>
      <c r="B8426" s="2">
        <v>44737.0</v>
      </c>
      <c r="C8426" s="3">
        <v>0.33060185185185187</v>
      </c>
      <c r="D8426" s="1">
        <v>12.729304</v>
      </c>
      <c r="E8426" s="1">
        <v>79.982698</v>
      </c>
      <c r="F8426" s="1">
        <v>2846.0</v>
      </c>
      <c r="G8426" s="1">
        <v>59.0</v>
      </c>
    </row>
    <row r="8427">
      <c r="A8427" s="1" t="s">
        <v>7</v>
      </c>
      <c r="B8427" s="2">
        <v>44737.0</v>
      </c>
      <c r="C8427" s="3">
        <v>0.3308333333333333</v>
      </c>
      <c r="D8427" s="1">
        <v>12.729304</v>
      </c>
      <c r="E8427" s="1">
        <v>79.982698</v>
      </c>
      <c r="F8427" s="1">
        <v>2846.0</v>
      </c>
      <c r="G8427" s="1">
        <v>59.0</v>
      </c>
    </row>
    <row r="8428">
      <c r="A8428" s="1" t="s">
        <v>7</v>
      </c>
      <c r="B8428" s="2">
        <v>44737.0</v>
      </c>
      <c r="C8428" s="3">
        <v>0.3311458333333333</v>
      </c>
      <c r="D8428" s="1">
        <v>12.735181</v>
      </c>
      <c r="E8428" s="1">
        <v>79.98589</v>
      </c>
      <c r="F8428" s="1">
        <v>2846.0</v>
      </c>
      <c r="G8428" s="1">
        <v>58.0</v>
      </c>
    </row>
    <row r="8429">
      <c r="A8429" s="1" t="s">
        <v>8</v>
      </c>
      <c r="B8429" s="2">
        <v>44737.0</v>
      </c>
      <c r="C8429" s="3">
        <v>0.33118055555555553</v>
      </c>
      <c r="D8429" s="1">
        <v>12.985737</v>
      </c>
      <c r="E8429" s="1">
        <v>80.17377</v>
      </c>
      <c r="F8429" s="1">
        <v>5339.0</v>
      </c>
      <c r="G8429" s="1">
        <v>48.0</v>
      </c>
    </row>
    <row r="8430">
      <c r="A8430" s="1" t="s">
        <v>7</v>
      </c>
      <c r="B8430" s="2">
        <v>44737.0</v>
      </c>
      <c r="C8430" s="3">
        <v>0.3314699074074074</v>
      </c>
      <c r="D8430" s="1">
        <v>12.983498</v>
      </c>
      <c r="E8430" s="1">
        <v>80.1702</v>
      </c>
      <c r="F8430" s="1">
        <v>5339.0</v>
      </c>
      <c r="G8430" s="1">
        <v>57.0</v>
      </c>
    </row>
    <row r="8431">
      <c r="A8431" s="1" t="s">
        <v>7</v>
      </c>
      <c r="B8431" s="2">
        <v>44737.0</v>
      </c>
      <c r="C8431" s="3">
        <v>0.33167824074074076</v>
      </c>
      <c r="D8431" s="1">
        <v>12.739848</v>
      </c>
      <c r="E8431" s="1">
        <v>79.989574</v>
      </c>
      <c r="F8431" s="1">
        <v>2846.0</v>
      </c>
      <c r="G8431" s="1">
        <v>58.0</v>
      </c>
    </row>
    <row r="8432">
      <c r="A8432" s="1" t="s">
        <v>8</v>
      </c>
      <c r="B8432" s="2">
        <v>44737.0</v>
      </c>
      <c r="C8432" s="3">
        <v>0.33167824074074076</v>
      </c>
      <c r="D8432" s="1">
        <v>12.982728</v>
      </c>
      <c r="E8432" s="1">
        <v>80.168951</v>
      </c>
      <c r="F8432" s="1">
        <v>5339.0</v>
      </c>
      <c r="G8432" s="1">
        <v>55.0</v>
      </c>
    </row>
    <row r="8433">
      <c r="A8433" s="1" t="s">
        <v>8</v>
      </c>
      <c r="B8433" s="2">
        <v>44737.0</v>
      </c>
      <c r="C8433" s="3">
        <v>0.3322685185185185</v>
      </c>
      <c r="D8433" s="1">
        <v>12.979127</v>
      </c>
      <c r="E8433" s="1">
        <v>80.161642</v>
      </c>
      <c r="F8433" s="1">
        <v>5339.0</v>
      </c>
      <c r="G8433" s="1">
        <v>54.0</v>
      </c>
    </row>
    <row r="8434">
      <c r="A8434" s="1" t="s">
        <v>8</v>
      </c>
      <c r="B8434" s="2">
        <v>44737.0</v>
      </c>
      <c r="C8434" s="3">
        <v>0.3327199074074074</v>
      </c>
      <c r="D8434" s="1">
        <v>12.976614</v>
      </c>
      <c r="E8434" s="1">
        <v>80.15798</v>
      </c>
      <c r="F8434" s="1">
        <v>5339.0</v>
      </c>
      <c r="G8434" s="1">
        <v>58.0</v>
      </c>
    </row>
    <row r="8435">
      <c r="A8435" s="1" t="s">
        <v>7</v>
      </c>
      <c r="B8435" s="2">
        <v>44737.0</v>
      </c>
      <c r="C8435" s="3">
        <v>0.3329976851851852</v>
      </c>
      <c r="D8435" s="1">
        <v>12.749049</v>
      </c>
      <c r="E8435" s="1">
        <v>79.996984</v>
      </c>
      <c r="F8435" s="1">
        <v>2846.0</v>
      </c>
      <c r="G8435" s="1">
        <v>58.0</v>
      </c>
    </row>
    <row r="8436">
      <c r="A8436" s="1" t="s">
        <v>8</v>
      </c>
      <c r="B8436" s="2">
        <v>44737.0</v>
      </c>
      <c r="C8436" s="3">
        <v>0.33371527777777776</v>
      </c>
      <c r="D8436" s="1">
        <v>12.755054</v>
      </c>
      <c r="E8436" s="1">
        <v>80.001171</v>
      </c>
      <c r="F8436" s="1">
        <v>2846.0</v>
      </c>
      <c r="G8436" s="1">
        <v>57.0</v>
      </c>
    </row>
    <row r="8437">
      <c r="A8437" s="1" t="s">
        <v>8</v>
      </c>
      <c r="B8437" s="2">
        <v>44737.0</v>
      </c>
      <c r="C8437" s="3">
        <v>0.3347569444444444</v>
      </c>
      <c r="D8437" s="1">
        <v>12.764822</v>
      </c>
      <c r="E8437" s="1">
        <v>80.004696</v>
      </c>
      <c r="F8437" s="1">
        <v>2846.0</v>
      </c>
      <c r="G8437" s="1">
        <v>42.0</v>
      </c>
    </row>
    <row r="8438">
      <c r="A8438" s="1" t="s">
        <v>8</v>
      </c>
      <c r="B8438" s="2">
        <v>44737.0</v>
      </c>
      <c r="C8438" s="3">
        <v>0.3352199074074074</v>
      </c>
      <c r="D8438" s="1">
        <v>12.769252</v>
      </c>
      <c r="E8438" s="1">
        <v>80.006733</v>
      </c>
      <c r="F8438" s="1">
        <v>2846.0</v>
      </c>
      <c r="G8438" s="1">
        <v>53.0</v>
      </c>
    </row>
    <row r="8439">
      <c r="A8439" s="1" t="s">
        <v>8</v>
      </c>
      <c r="B8439" s="2">
        <v>44737.0</v>
      </c>
      <c r="C8439" s="3">
        <v>0.3356018518518519</v>
      </c>
      <c r="D8439" s="1">
        <v>12.967214</v>
      </c>
      <c r="E8439" s="1">
        <v>80.14909</v>
      </c>
      <c r="F8439" s="1">
        <v>5339.0</v>
      </c>
      <c r="G8439" s="1">
        <v>29.0</v>
      </c>
    </row>
    <row r="8440">
      <c r="A8440" s="1" t="s">
        <v>8</v>
      </c>
      <c r="B8440" s="2">
        <v>44737.0</v>
      </c>
      <c r="C8440" s="3">
        <v>0.3358449074074074</v>
      </c>
      <c r="D8440" s="1">
        <v>12.96568</v>
      </c>
      <c r="E8440" s="1">
        <v>80.148344</v>
      </c>
      <c r="F8440" s="1">
        <v>5339.0</v>
      </c>
      <c r="G8440" s="1">
        <v>35.0</v>
      </c>
    </row>
    <row r="8441">
      <c r="A8441" s="1" t="s">
        <v>8</v>
      </c>
      <c r="B8441" s="2">
        <v>44737.0</v>
      </c>
      <c r="C8441" s="3">
        <v>0.33699074074074076</v>
      </c>
      <c r="D8441" s="1">
        <v>12.960722</v>
      </c>
      <c r="E8441" s="1">
        <v>80.14564</v>
      </c>
      <c r="F8441" s="1">
        <v>5339.0</v>
      </c>
      <c r="G8441" s="1">
        <v>33.0</v>
      </c>
    </row>
    <row r="8442">
      <c r="A8442" s="1" t="s">
        <v>8</v>
      </c>
      <c r="B8442" s="2">
        <v>44737.0</v>
      </c>
      <c r="C8442" s="3">
        <v>0.3371412037037037</v>
      </c>
      <c r="D8442" s="1">
        <v>12.958833</v>
      </c>
      <c r="E8442" s="1">
        <v>80.144634</v>
      </c>
      <c r="F8442" s="1">
        <v>5339.0</v>
      </c>
      <c r="G8442" s="1">
        <v>44.0</v>
      </c>
    </row>
    <row r="8443">
      <c r="A8443" s="1" t="s">
        <v>7</v>
      </c>
      <c r="B8443" s="2">
        <v>44737.0</v>
      </c>
      <c r="C8443" s="3">
        <v>0.33806712962962965</v>
      </c>
      <c r="D8443" s="1">
        <v>12.795704</v>
      </c>
      <c r="E8443" s="1">
        <v>80.020466</v>
      </c>
      <c r="F8443" s="1">
        <v>2846.0</v>
      </c>
      <c r="G8443" s="1">
        <v>48.0</v>
      </c>
    </row>
    <row r="8444">
      <c r="A8444" s="1" t="s">
        <v>8</v>
      </c>
      <c r="B8444" s="2">
        <v>44737.0</v>
      </c>
      <c r="C8444" s="3">
        <v>0.3381134259259259</v>
      </c>
      <c r="D8444" s="1">
        <v>12.955651</v>
      </c>
      <c r="E8444" s="1">
        <v>80.142928</v>
      </c>
      <c r="F8444" s="1">
        <v>5339.0</v>
      </c>
      <c r="G8444" s="1">
        <v>38.0</v>
      </c>
    </row>
    <row r="8445">
      <c r="A8445" s="1" t="s">
        <v>9</v>
      </c>
      <c r="B8445" s="2">
        <v>44737.0</v>
      </c>
      <c r="C8445" s="3">
        <v>0.33826388888888886</v>
      </c>
      <c r="D8445" s="1">
        <v>12.954569</v>
      </c>
      <c r="E8445" s="1">
        <v>80.142369</v>
      </c>
      <c r="F8445" s="1">
        <v>5339.0</v>
      </c>
      <c r="G8445" s="1">
        <v>55.0</v>
      </c>
    </row>
    <row r="8446">
      <c r="A8446" s="1" t="s">
        <v>8</v>
      </c>
      <c r="B8446" s="2">
        <v>44737.0</v>
      </c>
      <c r="C8446" s="3">
        <v>0.33846064814814814</v>
      </c>
      <c r="D8446" s="1">
        <v>12.952122</v>
      </c>
      <c r="E8446" s="1">
        <v>80.14087</v>
      </c>
      <c r="F8446" s="1">
        <v>5339.0</v>
      </c>
      <c r="G8446" s="1">
        <v>56.0</v>
      </c>
    </row>
    <row r="8447">
      <c r="A8447" s="1" t="s">
        <v>8</v>
      </c>
      <c r="B8447" s="2">
        <v>44737.0</v>
      </c>
      <c r="C8447" s="3">
        <v>0.3386111111111111</v>
      </c>
      <c r="D8447" s="1">
        <v>12.951156</v>
      </c>
      <c r="E8447" s="1">
        <v>80.140133</v>
      </c>
      <c r="F8447" s="1">
        <v>5339.0</v>
      </c>
      <c r="G8447" s="1">
        <v>33.0</v>
      </c>
    </row>
    <row r="8448">
      <c r="A8448" s="1" t="s">
        <v>8</v>
      </c>
      <c r="B8448" s="2">
        <v>44737.0</v>
      </c>
      <c r="C8448" s="3">
        <v>0.33869212962962963</v>
      </c>
      <c r="D8448" s="1">
        <v>12.950531</v>
      </c>
      <c r="E8448" s="1">
        <v>80.139708</v>
      </c>
      <c r="F8448" s="1">
        <v>5339.0</v>
      </c>
      <c r="G8448" s="1">
        <v>28.0</v>
      </c>
    </row>
    <row r="8449">
      <c r="A8449" s="1" t="s">
        <v>8</v>
      </c>
      <c r="B8449" s="2">
        <v>44737.0</v>
      </c>
      <c r="C8449" s="3">
        <v>0.3387962962962963</v>
      </c>
      <c r="D8449" s="1">
        <v>12.949826</v>
      </c>
      <c r="E8449" s="1">
        <v>80.1392</v>
      </c>
      <c r="F8449" s="1">
        <v>5339.0</v>
      </c>
      <c r="G8449" s="1">
        <v>36.0</v>
      </c>
    </row>
    <row r="8450">
      <c r="A8450" s="1" t="s">
        <v>8</v>
      </c>
      <c r="B8450" s="2">
        <v>44737.0</v>
      </c>
      <c r="C8450" s="3">
        <v>0.33891203703703704</v>
      </c>
      <c r="D8450" s="1">
        <v>12.80649</v>
      </c>
      <c r="E8450" s="1">
        <v>80.02756</v>
      </c>
      <c r="F8450" s="1">
        <v>2846.0</v>
      </c>
      <c r="G8450" s="1">
        <v>57.0</v>
      </c>
    </row>
    <row r="8451">
      <c r="A8451" s="1" t="s">
        <v>8</v>
      </c>
      <c r="B8451" s="2">
        <v>44737.0</v>
      </c>
      <c r="C8451" s="3">
        <v>0.3390162037037037</v>
      </c>
      <c r="D8451" s="1">
        <v>12.948399</v>
      </c>
      <c r="E8451" s="1">
        <v>80.138013</v>
      </c>
      <c r="F8451" s="1">
        <v>5339.0</v>
      </c>
      <c r="G8451" s="1">
        <v>45.0</v>
      </c>
    </row>
    <row r="8452">
      <c r="A8452" s="1" t="s">
        <v>8</v>
      </c>
      <c r="B8452" s="2">
        <v>44737.0</v>
      </c>
      <c r="C8452" s="3">
        <v>0.3392361111111111</v>
      </c>
      <c r="D8452" s="1">
        <v>12.947017</v>
      </c>
      <c r="E8452" s="1">
        <v>80.136996</v>
      </c>
      <c r="F8452" s="1">
        <v>5339.0</v>
      </c>
      <c r="G8452" s="1">
        <v>39.0</v>
      </c>
    </row>
    <row r="8453">
      <c r="A8453" s="1" t="s">
        <v>8</v>
      </c>
      <c r="B8453" s="2">
        <v>44737.0</v>
      </c>
      <c r="C8453" s="3">
        <v>0.3396296296296296</v>
      </c>
      <c r="D8453" s="1">
        <v>12.944183</v>
      </c>
      <c r="E8453" s="1">
        <v>80.134749</v>
      </c>
      <c r="F8453" s="1">
        <v>5339.0</v>
      </c>
      <c r="G8453" s="1">
        <v>43.0</v>
      </c>
    </row>
    <row r="8454">
      <c r="A8454" s="1" t="s">
        <v>7</v>
      </c>
      <c r="B8454" s="2">
        <v>44737.0</v>
      </c>
      <c r="C8454" s="3">
        <v>0.33998842592592593</v>
      </c>
      <c r="D8454" s="1">
        <v>12.81794</v>
      </c>
      <c r="E8454" s="1">
        <v>80.035159</v>
      </c>
      <c r="F8454" s="1">
        <v>2846.0</v>
      </c>
      <c r="G8454" s="1">
        <v>57.0</v>
      </c>
    </row>
    <row r="8455">
      <c r="A8455" s="1" t="s">
        <v>8</v>
      </c>
      <c r="B8455" s="2">
        <v>44737.0</v>
      </c>
      <c r="C8455" s="3">
        <v>0.3400810185185185</v>
      </c>
      <c r="D8455" s="1">
        <v>12.94188</v>
      </c>
      <c r="E8455" s="1">
        <v>80.132516</v>
      </c>
      <c r="F8455" s="1">
        <v>5339.0</v>
      </c>
      <c r="G8455" s="1">
        <v>45.0</v>
      </c>
    </row>
    <row r="8456">
      <c r="A8456" s="1" t="s">
        <v>7</v>
      </c>
      <c r="B8456" s="2">
        <v>44737.0</v>
      </c>
      <c r="C8456" s="3">
        <v>0.34011574074074075</v>
      </c>
      <c r="D8456" s="1">
        <v>12.81794</v>
      </c>
      <c r="E8456" s="1">
        <v>80.035159</v>
      </c>
      <c r="F8456" s="1">
        <v>2846.0</v>
      </c>
      <c r="G8456" s="1">
        <v>57.0</v>
      </c>
    </row>
    <row r="8457">
      <c r="A8457" s="1" t="s">
        <v>8</v>
      </c>
      <c r="B8457" s="2">
        <v>44737.0</v>
      </c>
      <c r="C8457" s="3">
        <v>0.34021990740740743</v>
      </c>
      <c r="D8457" s="1">
        <v>12.941104</v>
      </c>
      <c r="E8457" s="1">
        <v>80.131708</v>
      </c>
      <c r="F8457" s="1">
        <v>5339.0</v>
      </c>
      <c r="G8457" s="1">
        <v>35.0</v>
      </c>
    </row>
    <row r="8458">
      <c r="A8458" s="1" t="s">
        <v>8</v>
      </c>
      <c r="B8458" s="2">
        <v>44737.0</v>
      </c>
      <c r="C8458" s="3">
        <v>0.34046296296296297</v>
      </c>
      <c r="D8458" s="1">
        <v>12.939822</v>
      </c>
      <c r="E8458" s="1">
        <v>80.130417</v>
      </c>
      <c r="F8458" s="1">
        <v>5339.0</v>
      </c>
      <c r="G8458" s="1">
        <v>36.0</v>
      </c>
    </row>
    <row r="8459">
      <c r="A8459" s="1" t="s">
        <v>8</v>
      </c>
      <c r="B8459" s="2">
        <v>44737.0</v>
      </c>
      <c r="C8459" s="3">
        <v>0.340625</v>
      </c>
      <c r="D8459" s="1">
        <v>12.93831</v>
      </c>
      <c r="E8459" s="1">
        <v>80.129081</v>
      </c>
      <c r="F8459" s="1">
        <v>5339.0</v>
      </c>
      <c r="G8459" s="1">
        <v>40.0</v>
      </c>
    </row>
    <row r="8460">
      <c r="A8460" s="1" t="s">
        <v>7</v>
      </c>
      <c r="B8460" s="2">
        <v>44737.0</v>
      </c>
      <c r="C8460" s="3">
        <v>0.34076388888888887</v>
      </c>
      <c r="D8460" s="1">
        <v>12.823658</v>
      </c>
      <c r="E8460" s="1">
        <v>80.039221</v>
      </c>
      <c r="F8460" s="1">
        <v>2846.0</v>
      </c>
      <c r="G8460" s="1">
        <v>58.0</v>
      </c>
    </row>
    <row r="8461">
      <c r="A8461" s="1" t="s">
        <v>8</v>
      </c>
      <c r="B8461" s="2">
        <v>44737.0</v>
      </c>
      <c r="C8461" s="3">
        <v>0.34086805555555555</v>
      </c>
      <c r="D8461" s="1">
        <v>12.936843</v>
      </c>
      <c r="E8461" s="1">
        <v>80.127818</v>
      </c>
      <c r="F8461" s="1">
        <v>5339.0</v>
      </c>
      <c r="G8461" s="1">
        <v>37.0</v>
      </c>
    </row>
    <row r="8462">
      <c r="A8462" s="1" t="s">
        <v>7</v>
      </c>
      <c r="B8462" s="2">
        <v>44737.0</v>
      </c>
      <c r="C8462" s="3">
        <v>0.34099537037037037</v>
      </c>
      <c r="D8462" s="1">
        <v>12.828245</v>
      </c>
      <c r="E8462" s="1">
        <v>80.043096</v>
      </c>
      <c r="F8462" s="1">
        <v>2846.0</v>
      </c>
      <c r="G8462" s="1">
        <v>58.0</v>
      </c>
    </row>
    <row r="8463">
      <c r="A8463" s="1" t="s">
        <v>7</v>
      </c>
      <c r="B8463" s="2">
        <v>44737.0</v>
      </c>
      <c r="C8463" s="3">
        <v>0.3410763888888889</v>
      </c>
      <c r="D8463" s="1">
        <v>12.828245</v>
      </c>
      <c r="E8463" s="1">
        <v>80.043096</v>
      </c>
      <c r="F8463" s="1">
        <v>2846.0</v>
      </c>
      <c r="G8463" s="1">
        <v>58.0</v>
      </c>
    </row>
    <row r="8464">
      <c r="A8464" s="1" t="s">
        <v>7</v>
      </c>
      <c r="B8464" s="2">
        <v>44737.0</v>
      </c>
      <c r="C8464" s="3">
        <v>0.3412847222222222</v>
      </c>
      <c r="D8464" s="1">
        <v>12.934452</v>
      </c>
      <c r="E8464" s="1">
        <v>80.125672</v>
      </c>
      <c r="F8464" s="1">
        <v>5339.0</v>
      </c>
      <c r="G8464" s="1">
        <v>62.0</v>
      </c>
    </row>
    <row r="8465">
      <c r="A8465" s="1" t="s">
        <v>8</v>
      </c>
      <c r="B8465" s="2">
        <v>44737.0</v>
      </c>
      <c r="C8465" s="3">
        <v>0.34164351851851854</v>
      </c>
      <c r="D8465" s="1">
        <v>12.931443</v>
      </c>
      <c r="E8465" s="1">
        <v>80.122657</v>
      </c>
      <c r="F8465" s="1">
        <v>5339.0</v>
      </c>
      <c r="G8465" s="1">
        <v>32.0</v>
      </c>
    </row>
    <row r="8466">
      <c r="A8466" s="1" t="s">
        <v>8</v>
      </c>
      <c r="B8466" s="2">
        <v>44737.0</v>
      </c>
      <c r="C8466" s="3">
        <v>0.3418171296296296</v>
      </c>
      <c r="D8466" s="1">
        <v>12.930821</v>
      </c>
      <c r="E8466" s="1">
        <v>80.122036</v>
      </c>
      <c r="F8466" s="1">
        <v>5339.0</v>
      </c>
      <c r="G8466" s="1">
        <v>34.0</v>
      </c>
    </row>
    <row r="8467">
      <c r="A8467" s="1" t="s">
        <v>8</v>
      </c>
      <c r="B8467" s="2">
        <v>44737.0</v>
      </c>
      <c r="C8467" s="3">
        <v>0.34291666666666665</v>
      </c>
      <c r="D8467" s="1">
        <v>12.92361</v>
      </c>
      <c r="E8467" s="1">
        <v>80.114787</v>
      </c>
      <c r="F8467" s="1">
        <v>5339.0</v>
      </c>
      <c r="G8467" s="1">
        <v>56.0</v>
      </c>
    </row>
    <row r="8468">
      <c r="A8468" s="1" t="s">
        <v>7</v>
      </c>
      <c r="B8468" s="2">
        <v>44737.0</v>
      </c>
      <c r="C8468" s="3">
        <v>0.34293981481481484</v>
      </c>
      <c r="D8468" s="1">
        <v>12.841809</v>
      </c>
      <c r="E8468" s="1">
        <v>80.057302</v>
      </c>
      <c r="F8468" s="1">
        <v>2846.0</v>
      </c>
      <c r="G8468" s="1">
        <v>42.0</v>
      </c>
    </row>
    <row r="8469">
      <c r="A8469" s="1" t="s">
        <v>8</v>
      </c>
      <c r="B8469" s="2">
        <v>44737.0</v>
      </c>
      <c r="C8469" s="3">
        <v>0.3436342592592593</v>
      </c>
      <c r="D8469" s="1">
        <v>12.844226</v>
      </c>
      <c r="E8469" s="1">
        <v>80.059833</v>
      </c>
      <c r="F8469" s="1">
        <v>2846.0</v>
      </c>
      <c r="G8469" s="1">
        <v>22.0</v>
      </c>
    </row>
    <row r="8470">
      <c r="A8470" s="1" t="s">
        <v>8</v>
      </c>
      <c r="B8470" s="2">
        <v>44737.0</v>
      </c>
      <c r="C8470" s="3">
        <v>0.3436342592592593</v>
      </c>
      <c r="D8470" s="1">
        <v>12.843986</v>
      </c>
      <c r="E8470" s="1">
        <v>80.059549</v>
      </c>
      <c r="F8470" s="1">
        <v>2846.0</v>
      </c>
      <c r="G8470" s="1">
        <v>4.0</v>
      </c>
    </row>
    <row r="8471">
      <c r="A8471" s="1" t="s">
        <v>8</v>
      </c>
      <c r="B8471" s="2">
        <v>44737.0</v>
      </c>
      <c r="C8471" s="3">
        <v>0.34424768518518517</v>
      </c>
      <c r="D8471" s="1">
        <v>12.915795</v>
      </c>
      <c r="E8471" s="1">
        <v>80.104966</v>
      </c>
      <c r="F8471" s="1">
        <v>5339.0</v>
      </c>
      <c r="G8471" s="1">
        <v>57.0</v>
      </c>
    </row>
    <row r="8472">
      <c r="A8472" s="1" t="s">
        <v>8</v>
      </c>
      <c r="B8472" s="2">
        <v>44737.0</v>
      </c>
      <c r="C8472" s="3">
        <v>0.3447337962962963</v>
      </c>
      <c r="D8472" s="1">
        <v>12.912352</v>
      </c>
      <c r="E8472" s="1">
        <v>80.101513</v>
      </c>
      <c r="F8472" s="1">
        <v>5339.0</v>
      </c>
      <c r="G8472" s="1">
        <v>40.0</v>
      </c>
    </row>
    <row r="8473">
      <c r="A8473" s="1" t="s">
        <v>8</v>
      </c>
      <c r="B8473" s="2">
        <v>44737.0</v>
      </c>
      <c r="C8473" s="3">
        <v>0.34476851851851853</v>
      </c>
      <c r="D8473" s="1">
        <v>12.849228</v>
      </c>
      <c r="E8473" s="1">
        <v>80.064084</v>
      </c>
      <c r="F8473" s="1">
        <v>2846.0</v>
      </c>
      <c r="G8473" s="1">
        <v>50.0</v>
      </c>
    </row>
    <row r="8474">
      <c r="A8474" s="1" t="s">
        <v>8</v>
      </c>
      <c r="B8474" s="2">
        <v>44737.0</v>
      </c>
      <c r="C8474" s="3">
        <v>0.34478009259259257</v>
      </c>
      <c r="D8474" s="1">
        <v>12.849228</v>
      </c>
      <c r="E8474" s="1">
        <v>80.064084</v>
      </c>
      <c r="F8474" s="1">
        <v>2846.0</v>
      </c>
      <c r="G8474" s="1">
        <v>50.0</v>
      </c>
    </row>
    <row r="8475">
      <c r="A8475" s="1" t="s">
        <v>8</v>
      </c>
      <c r="B8475" s="2">
        <v>44737.0</v>
      </c>
      <c r="C8475" s="3">
        <v>0.34479166666666666</v>
      </c>
      <c r="D8475" s="1">
        <v>12.911301</v>
      </c>
      <c r="E8475" s="1">
        <v>80.101382</v>
      </c>
      <c r="F8475" s="1">
        <v>5339.0</v>
      </c>
      <c r="G8475" s="1">
        <v>45.0</v>
      </c>
    </row>
    <row r="8476">
      <c r="A8476" s="1" t="s">
        <v>8</v>
      </c>
      <c r="B8476" s="2">
        <v>44737.0</v>
      </c>
      <c r="C8476" s="3">
        <v>0.34506944444444443</v>
      </c>
      <c r="D8476" s="1">
        <v>12.851852</v>
      </c>
      <c r="E8476" s="1">
        <v>80.065984</v>
      </c>
      <c r="F8476" s="1">
        <v>2846.0</v>
      </c>
      <c r="G8476" s="1">
        <v>40.0</v>
      </c>
    </row>
    <row r="8477">
      <c r="A8477" s="1" t="s">
        <v>7</v>
      </c>
      <c r="B8477" s="2">
        <v>44737.0</v>
      </c>
      <c r="C8477" s="3">
        <v>0.34534722222222225</v>
      </c>
      <c r="D8477" s="1">
        <v>12.852758</v>
      </c>
      <c r="E8477" s="1">
        <v>80.066644</v>
      </c>
      <c r="F8477" s="1">
        <v>2846.0</v>
      </c>
      <c r="G8477" s="1">
        <v>48.0</v>
      </c>
    </row>
    <row r="8478">
      <c r="A8478" s="1" t="s">
        <v>7</v>
      </c>
      <c r="B8478" s="2">
        <v>44737.0</v>
      </c>
      <c r="C8478" s="3">
        <v>0.3458101851851852</v>
      </c>
      <c r="D8478" s="1">
        <v>12.85724</v>
      </c>
      <c r="E8478" s="1">
        <v>80.07001</v>
      </c>
      <c r="F8478" s="1">
        <v>2846.0</v>
      </c>
      <c r="G8478" s="1">
        <v>57.0</v>
      </c>
    </row>
    <row r="8479">
      <c r="A8479" s="1" t="s">
        <v>7</v>
      </c>
      <c r="B8479" s="2">
        <v>44737.0</v>
      </c>
      <c r="C8479" s="3">
        <v>0.34729166666666667</v>
      </c>
      <c r="D8479" s="1">
        <v>12.865793</v>
      </c>
      <c r="E8479" s="1">
        <v>80.074768</v>
      </c>
      <c r="F8479" s="1">
        <v>2846.0</v>
      </c>
      <c r="G8479" s="1">
        <v>48.0</v>
      </c>
    </row>
    <row r="8480">
      <c r="A8480" s="1" t="s">
        <v>7</v>
      </c>
      <c r="B8480" s="2">
        <v>44737.0</v>
      </c>
      <c r="C8480" s="3">
        <v>0.3475925925925926</v>
      </c>
      <c r="D8480" s="1">
        <v>12.869522</v>
      </c>
      <c r="E8480" s="1">
        <v>80.076253</v>
      </c>
      <c r="F8480" s="1">
        <v>2846.0</v>
      </c>
      <c r="G8480" s="1">
        <v>55.0</v>
      </c>
    </row>
    <row r="8481">
      <c r="A8481" s="1" t="s">
        <v>7</v>
      </c>
      <c r="B8481" s="2">
        <v>44737.0</v>
      </c>
      <c r="C8481" s="3">
        <v>0.34791666666666665</v>
      </c>
      <c r="D8481" s="1">
        <v>12.873879</v>
      </c>
      <c r="E8481" s="1">
        <v>80.077929</v>
      </c>
      <c r="F8481" s="1">
        <v>2846.0</v>
      </c>
      <c r="G8481" s="1">
        <v>58.0</v>
      </c>
    </row>
    <row r="8482">
      <c r="A8482" s="1" t="s">
        <v>8</v>
      </c>
      <c r="B8482" s="2">
        <v>44737.0</v>
      </c>
      <c r="C8482" s="3">
        <v>0.34793981481481484</v>
      </c>
      <c r="D8482" s="1">
        <v>12.904904</v>
      </c>
      <c r="E8482" s="1">
        <v>80.095331</v>
      </c>
      <c r="F8482" s="1">
        <v>5339.0</v>
      </c>
      <c r="G8482" s="1">
        <v>30.0</v>
      </c>
    </row>
    <row r="8483">
      <c r="A8483" s="1" t="s">
        <v>8</v>
      </c>
      <c r="B8483" s="2">
        <v>44737.0</v>
      </c>
      <c r="C8483" s="3">
        <v>0.34793981481481484</v>
      </c>
      <c r="D8483" s="1">
        <v>12.904904</v>
      </c>
      <c r="E8483" s="1">
        <v>80.095331</v>
      </c>
      <c r="F8483" s="1">
        <v>5339.0</v>
      </c>
      <c r="G8483" s="1">
        <v>30.0</v>
      </c>
    </row>
    <row r="8484">
      <c r="A8484" s="1" t="s">
        <v>7</v>
      </c>
      <c r="B8484" s="2">
        <v>44737.0</v>
      </c>
      <c r="C8484" s="3">
        <v>0.3481944444444444</v>
      </c>
      <c r="D8484" s="1">
        <v>12.876058</v>
      </c>
      <c r="E8484" s="1">
        <v>80.078748</v>
      </c>
      <c r="F8484" s="1">
        <v>2846.0</v>
      </c>
      <c r="G8484" s="1">
        <v>56.0</v>
      </c>
    </row>
    <row r="8485">
      <c r="A8485" s="1" t="s">
        <v>8</v>
      </c>
      <c r="B8485" s="2">
        <v>44737.0</v>
      </c>
      <c r="C8485" s="3">
        <v>0.3482986111111111</v>
      </c>
      <c r="D8485" s="1">
        <v>12.902658</v>
      </c>
      <c r="E8485" s="1">
        <v>80.093488</v>
      </c>
      <c r="F8485" s="1">
        <v>5339.0</v>
      </c>
      <c r="G8485" s="1">
        <v>46.0</v>
      </c>
    </row>
    <row r="8486">
      <c r="A8486" s="1" t="s">
        <v>8</v>
      </c>
      <c r="B8486" s="2">
        <v>44737.0</v>
      </c>
      <c r="C8486" s="3">
        <v>0.34857638888888887</v>
      </c>
      <c r="D8486" s="1">
        <v>12.900576</v>
      </c>
      <c r="E8486" s="1">
        <v>80.091944</v>
      </c>
      <c r="F8486" s="1">
        <v>5339.0</v>
      </c>
      <c r="G8486" s="1">
        <v>56.0</v>
      </c>
    </row>
    <row r="8487">
      <c r="A8487" s="1" t="s">
        <v>9</v>
      </c>
      <c r="B8487" s="2">
        <v>44737.0</v>
      </c>
      <c r="C8487" s="3">
        <v>0.3487384259259259</v>
      </c>
      <c r="D8487" s="1">
        <v>12.898236</v>
      </c>
      <c r="E8487" s="1">
        <v>80.090165</v>
      </c>
      <c r="F8487" s="1">
        <v>5339.0</v>
      </c>
      <c r="G8487" s="1">
        <v>54.0</v>
      </c>
    </row>
    <row r="8488">
      <c r="A8488" s="1" t="s">
        <v>7</v>
      </c>
      <c r="B8488" s="2">
        <v>44737.0</v>
      </c>
      <c r="C8488" s="3">
        <v>0.34930555555555554</v>
      </c>
      <c r="D8488" s="1">
        <v>12.893803</v>
      </c>
      <c r="E8488" s="1">
        <v>80.086866</v>
      </c>
      <c r="F8488" s="1">
        <v>5339.0</v>
      </c>
      <c r="G8488" s="1">
        <v>55.0</v>
      </c>
    </row>
    <row r="8489">
      <c r="A8489" s="1" t="s">
        <v>8</v>
      </c>
      <c r="B8489" s="2">
        <v>44737.0</v>
      </c>
      <c r="C8489" s="3">
        <v>0.3494212962962963</v>
      </c>
      <c r="D8489" s="1">
        <v>12.892736</v>
      </c>
      <c r="E8489" s="1">
        <v>80.086068</v>
      </c>
      <c r="F8489" s="1">
        <v>5339.0</v>
      </c>
      <c r="G8489" s="1">
        <v>51.0</v>
      </c>
    </row>
    <row r="8490">
      <c r="A8490" s="1" t="s">
        <v>9</v>
      </c>
      <c r="B8490" s="2">
        <v>44737.0</v>
      </c>
      <c r="C8490" s="3">
        <v>0.3512268518518519</v>
      </c>
      <c r="D8490" s="1">
        <v>12.879044</v>
      </c>
      <c r="E8490" s="1">
        <v>80.080572</v>
      </c>
      <c r="F8490" s="1">
        <v>5339.0</v>
      </c>
      <c r="G8490" s="1">
        <v>14.0</v>
      </c>
    </row>
    <row r="8491">
      <c r="A8491" s="1" t="s">
        <v>7</v>
      </c>
      <c r="B8491" s="2">
        <v>44737.0</v>
      </c>
      <c r="C8491" s="3">
        <v>0.6725347222222222</v>
      </c>
      <c r="D8491" s="1">
        <v>12.878279</v>
      </c>
      <c r="E8491" s="1">
        <v>80.07993</v>
      </c>
      <c r="F8491" s="1">
        <v>2846.0</v>
      </c>
      <c r="G8491" s="1">
        <v>34.0</v>
      </c>
    </row>
    <row r="8492">
      <c r="A8492" s="1" t="s">
        <v>7</v>
      </c>
      <c r="B8492" s="2">
        <v>44737.0</v>
      </c>
      <c r="C8492" s="3">
        <v>0.6730555555555555</v>
      </c>
      <c r="D8492" s="1">
        <v>12.870729</v>
      </c>
      <c r="E8492" s="1">
        <v>80.076928</v>
      </c>
      <c r="F8492" s="1">
        <v>2846.0</v>
      </c>
      <c r="G8492" s="1">
        <v>58.0</v>
      </c>
    </row>
    <row r="8493">
      <c r="A8493" s="1" t="s">
        <v>8</v>
      </c>
      <c r="B8493" s="2">
        <v>44737.0</v>
      </c>
      <c r="C8493" s="3">
        <v>0.6736805555555555</v>
      </c>
      <c r="D8493" s="1">
        <v>12.867145</v>
      </c>
      <c r="E8493" s="1">
        <v>80.075565</v>
      </c>
      <c r="F8493" s="1">
        <v>2846.0</v>
      </c>
      <c r="G8493" s="1">
        <v>0.0</v>
      </c>
    </row>
    <row r="8494">
      <c r="A8494" s="1" t="s">
        <v>8</v>
      </c>
      <c r="B8494" s="2">
        <v>44737.0</v>
      </c>
      <c r="C8494" s="3">
        <v>0.6738657407407408</v>
      </c>
      <c r="D8494" s="1">
        <v>12.865487</v>
      </c>
      <c r="E8494" s="1">
        <v>80.074938</v>
      </c>
      <c r="F8494" s="1">
        <v>2846.0</v>
      </c>
      <c r="G8494" s="1">
        <v>43.0</v>
      </c>
    </row>
    <row r="8495">
      <c r="A8495" s="1" t="s">
        <v>8</v>
      </c>
      <c r="B8495" s="2">
        <v>44737.0</v>
      </c>
      <c r="C8495" s="3">
        <v>0.6740393518518518</v>
      </c>
      <c r="D8495" s="1">
        <v>12.865487</v>
      </c>
      <c r="E8495" s="1">
        <v>80.074938</v>
      </c>
      <c r="F8495" s="1">
        <v>2846.0</v>
      </c>
      <c r="G8495" s="1">
        <v>43.0</v>
      </c>
    </row>
    <row r="8496">
      <c r="A8496" s="1" t="s">
        <v>7</v>
      </c>
      <c r="B8496" s="2">
        <v>44737.0</v>
      </c>
      <c r="C8496" s="3">
        <v>0.6741203703703704</v>
      </c>
      <c r="D8496" s="1">
        <v>12.886177</v>
      </c>
      <c r="E8496" s="1">
        <v>80.082881</v>
      </c>
      <c r="F8496" s="1">
        <v>5339.0</v>
      </c>
      <c r="G8496" s="1">
        <v>43.0</v>
      </c>
    </row>
    <row r="8497">
      <c r="A8497" s="1" t="s">
        <v>8</v>
      </c>
      <c r="B8497" s="2">
        <v>44737.0</v>
      </c>
      <c r="C8497" s="3">
        <v>0.6741203703703704</v>
      </c>
      <c r="D8497" s="1">
        <v>12.878227</v>
      </c>
      <c r="E8497" s="1">
        <v>80.08255</v>
      </c>
      <c r="F8497" s="1">
        <v>805.0</v>
      </c>
      <c r="G8497" s="1">
        <v>51.0</v>
      </c>
    </row>
    <row r="8498">
      <c r="A8498" s="1" t="s">
        <v>7</v>
      </c>
      <c r="B8498" s="2">
        <v>44737.0</v>
      </c>
      <c r="C8498" s="3">
        <v>0.6744675925925926</v>
      </c>
      <c r="D8498" s="1">
        <v>12.88995</v>
      </c>
      <c r="E8498" s="1">
        <v>80.084464</v>
      </c>
      <c r="F8498" s="1">
        <v>5339.0</v>
      </c>
      <c r="G8498" s="1">
        <v>59.0</v>
      </c>
    </row>
    <row r="8499">
      <c r="A8499" s="1" t="s">
        <v>8</v>
      </c>
      <c r="B8499" s="2">
        <v>44737.0</v>
      </c>
      <c r="C8499" s="3">
        <v>0.6744791666666666</v>
      </c>
      <c r="D8499" s="1">
        <v>12.891292</v>
      </c>
      <c r="E8499" s="1">
        <v>80.085039</v>
      </c>
      <c r="F8499" s="1">
        <v>5339.0</v>
      </c>
      <c r="G8499" s="1">
        <v>58.0</v>
      </c>
    </row>
    <row r="8500">
      <c r="A8500" s="1" t="s">
        <v>8</v>
      </c>
      <c r="B8500" s="2">
        <v>44737.0</v>
      </c>
      <c r="C8500" s="3">
        <v>0.6747453703703704</v>
      </c>
      <c r="D8500" s="1">
        <v>12.893686</v>
      </c>
      <c r="E8500" s="1">
        <v>80.086592</v>
      </c>
      <c r="F8500" s="1">
        <v>5339.0</v>
      </c>
      <c r="G8500" s="1">
        <v>47.0</v>
      </c>
    </row>
    <row r="8501">
      <c r="A8501" s="1" t="s">
        <v>8</v>
      </c>
      <c r="B8501" s="2">
        <v>44737.0</v>
      </c>
      <c r="C8501" s="3">
        <v>0.675</v>
      </c>
      <c r="D8501" s="1">
        <v>12.895634</v>
      </c>
      <c r="E8501" s="1">
        <v>80.088089</v>
      </c>
      <c r="F8501" s="1">
        <v>5339.0</v>
      </c>
      <c r="G8501" s="1">
        <v>51.0</v>
      </c>
    </row>
    <row r="8502">
      <c r="A8502" s="1" t="s">
        <v>8</v>
      </c>
      <c r="B8502" s="2">
        <v>44737.0</v>
      </c>
      <c r="C8502" s="3">
        <v>0.6755439814814815</v>
      </c>
      <c r="D8502" s="1">
        <v>12.901172</v>
      </c>
      <c r="E8502" s="1">
        <v>80.092262</v>
      </c>
      <c r="F8502" s="1">
        <v>5339.0</v>
      </c>
      <c r="G8502" s="1">
        <v>56.0</v>
      </c>
    </row>
    <row r="8503">
      <c r="A8503" s="1" t="s">
        <v>8</v>
      </c>
      <c r="B8503" s="2">
        <v>44737.0</v>
      </c>
      <c r="C8503" s="3">
        <v>0.675625</v>
      </c>
      <c r="D8503" s="1">
        <v>12.901172</v>
      </c>
      <c r="E8503" s="1">
        <v>80.092262</v>
      </c>
      <c r="F8503" s="1">
        <v>5339.0</v>
      </c>
      <c r="G8503" s="1">
        <v>56.0</v>
      </c>
    </row>
    <row r="8504">
      <c r="A8504" s="1" t="s">
        <v>8</v>
      </c>
      <c r="B8504" s="2">
        <v>44737.0</v>
      </c>
      <c r="C8504" s="3">
        <v>0.6756365740740741</v>
      </c>
      <c r="D8504" s="1">
        <v>12.902194</v>
      </c>
      <c r="E8504" s="1">
        <v>80.093031</v>
      </c>
      <c r="F8504" s="1">
        <v>5339.0</v>
      </c>
      <c r="G8504" s="1">
        <v>47.0</v>
      </c>
    </row>
    <row r="8505">
      <c r="A8505" s="1" t="s">
        <v>7</v>
      </c>
      <c r="B8505" s="2">
        <v>44737.0</v>
      </c>
      <c r="C8505" s="3">
        <v>0.6759259259259259</v>
      </c>
      <c r="D8505" s="1">
        <v>12.903871</v>
      </c>
      <c r="E8505" s="1">
        <v>80.094342</v>
      </c>
      <c r="F8505" s="1">
        <v>5339.0</v>
      </c>
      <c r="G8505" s="1">
        <v>52.0</v>
      </c>
    </row>
    <row r="8506">
      <c r="A8506" s="1" t="s">
        <v>7</v>
      </c>
      <c r="B8506" s="2">
        <v>44737.0</v>
      </c>
      <c r="C8506" s="3">
        <v>0.6760648148148148</v>
      </c>
      <c r="D8506" s="1">
        <v>12.853243</v>
      </c>
      <c r="E8506" s="1">
        <v>80.067238</v>
      </c>
      <c r="F8506" s="1">
        <v>2846.0</v>
      </c>
      <c r="G8506" s="1">
        <v>58.0</v>
      </c>
    </row>
    <row r="8507">
      <c r="A8507" s="1" t="s">
        <v>8</v>
      </c>
      <c r="B8507" s="2">
        <v>44737.0</v>
      </c>
      <c r="C8507" s="3">
        <v>0.6762037037037038</v>
      </c>
      <c r="D8507" s="1">
        <v>12.905817</v>
      </c>
      <c r="E8507" s="1">
        <v>80.095895</v>
      </c>
      <c r="F8507" s="1">
        <v>5339.0</v>
      </c>
      <c r="G8507" s="1">
        <v>35.0</v>
      </c>
    </row>
    <row r="8508">
      <c r="A8508" s="1" t="s">
        <v>8</v>
      </c>
      <c r="B8508" s="2">
        <v>44737.0</v>
      </c>
      <c r="C8508" s="3">
        <v>0.6769444444444445</v>
      </c>
      <c r="D8508" s="1">
        <v>12.882518</v>
      </c>
      <c r="E8508" s="1">
        <v>80.081098</v>
      </c>
      <c r="F8508" s="1">
        <v>805.0</v>
      </c>
      <c r="G8508" s="1">
        <v>20.0</v>
      </c>
    </row>
    <row r="8509">
      <c r="A8509" s="1" t="s">
        <v>9</v>
      </c>
      <c r="B8509" s="2">
        <v>44737.0</v>
      </c>
      <c r="C8509" s="3">
        <v>0.677025462962963</v>
      </c>
      <c r="D8509" s="1">
        <v>12.910776</v>
      </c>
      <c r="E8509" s="1">
        <v>80.10093</v>
      </c>
      <c r="F8509" s="1">
        <v>5339.0</v>
      </c>
      <c r="G8509" s="1">
        <v>44.0</v>
      </c>
    </row>
    <row r="8510">
      <c r="A8510" s="1" t="s">
        <v>9</v>
      </c>
      <c r="B8510" s="2">
        <v>44737.0</v>
      </c>
      <c r="C8510" s="3">
        <v>0.6770949074074074</v>
      </c>
      <c r="D8510" s="1">
        <v>12.847511</v>
      </c>
      <c r="E8510" s="1">
        <v>80.063135</v>
      </c>
      <c r="F8510" s="1">
        <v>2846.0</v>
      </c>
      <c r="G8510" s="1">
        <v>37.0</v>
      </c>
    </row>
    <row r="8511">
      <c r="A8511" s="1" t="s">
        <v>9</v>
      </c>
      <c r="B8511" s="2">
        <v>44737.0</v>
      </c>
      <c r="C8511" s="3">
        <v>0.6772800925925926</v>
      </c>
      <c r="D8511" s="1">
        <v>12.91276</v>
      </c>
      <c r="E8511" s="1">
        <v>80.101453</v>
      </c>
      <c r="F8511" s="1">
        <v>5339.0</v>
      </c>
      <c r="G8511" s="1">
        <v>51.0</v>
      </c>
    </row>
    <row r="8512">
      <c r="A8512" s="1" t="s">
        <v>8</v>
      </c>
      <c r="B8512" s="2">
        <v>44737.0</v>
      </c>
      <c r="C8512" s="3">
        <v>0.6773148148148148</v>
      </c>
      <c r="D8512" s="1">
        <v>12.884231</v>
      </c>
      <c r="E8512" s="1">
        <v>80.08178</v>
      </c>
      <c r="F8512" s="1">
        <v>805.0</v>
      </c>
      <c r="G8512" s="1">
        <v>28.0</v>
      </c>
    </row>
    <row r="8513">
      <c r="A8513" s="1" t="s">
        <v>8</v>
      </c>
      <c r="B8513" s="2">
        <v>44737.0</v>
      </c>
      <c r="C8513" s="3">
        <v>0.6774652777777778</v>
      </c>
      <c r="D8513" s="1">
        <v>12.884937</v>
      </c>
      <c r="E8513" s="1">
        <v>80.082088</v>
      </c>
      <c r="F8513" s="1">
        <v>805.0</v>
      </c>
      <c r="G8513" s="1">
        <v>34.0</v>
      </c>
    </row>
    <row r="8514">
      <c r="A8514" s="1" t="s">
        <v>8</v>
      </c>
      <c r="B8514" s="2">
        <v>44737.0</v>
      </c>
      <c r="C8514" s="3">
        <v>0.6775462962962963</v>
      </c>
      <c r="D8514" s="1">
        <v>12.88568</v>
      </c>
      <c r="E8514" s="1">
        <v>80.082646</v>
      </c>
      <c r="F8514" s="1">
        <v>805.0</v>
      </c>
      <c r="G8514" s="1">
        <v>34.0</v>
      </c>
    </row>
    <row r="8515">
      <c r="A8515" s="1" t="s">
        <v>8</v>
      </c>
      <c r="B8515" s="2">
        <v>44737.0</v>
      </c>
      <c r="C8515" s="3">
        <v>0.6776388888888889</v>
      </c>
      <c r="D8515" s="1">
        <v>12.845838</v>
      </c>
      <c r="E8515" s="1">
        <v>80.061821</v>
      </c>
      <c r="F8515" s="1">
        <v>2846.0</v>
      </c>
      <c r="G8515" s="1">
        <v>19.0</v>
      </c>
    </row>
    <row r="8516">
      <c r="A8516" s="1" t="s">
        <v>7</v>
      </c>
      <c r="B8516" s="2">
        <v>44737.0</v>
      </c>
      <c r="C8516" s="3">
        <v>0.6780324074074074</v>
      </c>
      <c r="D8516" s="1">
        <v>12.890304</v>
      </c>
      <c r="E8516" s="1">
        <v>80.084586</v>
      </c>
      <c r="F8516" s="1">
        <v>805.0</v>
      </c>
      <c r="G8516" s="1">
        <v>58.0</v>
      </c>
    </row>
    <row r="8517">
      <c r="A8517" s="1" t="s">
        <v>8</v>
      </c>
      <c r="B8517" s="2">
        <v>44737.0</v>
      </c>
      <c r="C8517" s="3">
        <v>0.6781597222222222</v>
      </c>
      <c r="D8517" s="1">
        <v>12.916855</v>
      </c>
      <c r="E8517" s="1">
        <v>80.10676</v>
      </c>
      <c r="F8517" s="1">
        <v>5339.0</v>
      </c>
      <c r="G8517" s="1">
        <v>14.0</v>
      </c>
    </row>
    <row r="8518">
      <c r="A8518" s="1" t="s">
        <v>7</v>
      </c>
      <c r="B8518" s="2">
        <v>44737.0</v>
      </c>
      <c r="C8518" s="3">
        <v>0.6784143518518518</v>
      </c>
      <c r="D8518" s="1">
        <v>12.895192</v>
      </c>
      <c r="E8518" s="1">
        <v>80.087748</v>
      </c>
      <c r="F8518" s="1">
        <v>805.0</v>
      </c>
      <c r="G8518" s="1">
        <v>58.0</v>
      </c>
    </row>
    <row r="8519">
      <c r="A8519" s="1" t="s">
        <v>8</v>
      </c>
      <c r="B8519" s="2">
        <v>44737.0</v>
      </c>
      <c r="C8519" s="3">
        <v>0.6785185185185185</v>
      </c>
      <c r="D8519" s="1">
        <v>12.918657</v>
      </c>
      <c r="E8519" s="1">
        <v>80.109307</v>
      </c>
      <c r="F8519" s="1">
        <v>5339.0</v>
      </c>
      <c r="G8519" s="1">
        <v>52.0</v>
      </c>
    </row>
    <row r="8520">
      <c r="A8520" s="1" t="s">
        <v>7</v>
      </c>
      <c r="B8520" s="2">
        <v>44737.0</v>
      </c>
      <c r="C8520" s="3">
        <v>0.6787384259259259</v>
      </c>
      <c r="D8520" s="1">
        <v>12.841676</v>
      </c>
      <c r="E8520" s="1">
        <v>80.057555</v>
      </c>
      <c r="F8520" s="1">
        <v>2846.0</v>
      </c>
      <c r="G8520" s="1">
        <v>52.0</v>
      </c>
    </row>
    <row r="8521">
      <c r="A8521" s="1" t="s">
        <v>7</v>
      </c>
      <c r="B8521" s="2">
        <v>44737.0</v>
      </c>
      <c r="C8521" s="3">
        <v>0.67875</v>
      </c>
      <c r="D8521" s="1">
        <v>12.92002</v>
      </c>
      <c r="E8521" s="1">
        <v>80.111008</v>
      </c>
      <c r="F8521" s="1">
        <v>5339.0</v>
      </c>
      <c r="G8521" s="1">
        <v>55.0</v>
      </c>
    </row>
    <row r="8522">
      <c r="A8522" s="1" t="s">
        <v>9</v>
      </c>
      <c r="B8522" s="2">
        <v>44737.0</v>
      </c>
      <c r="C8522" s="3">
        <v>0.6789699074074074</v>
      </c>
      <c r="D8522" s="1">
        <v>12.921618</v>
      </c>
      <c r="E8522" s="1">
        <v>80.112699</v>
      </c>
      <c r="F8522" s="1">
        <v>5339.0</v>
      </c>
      <c r="G8522" s="1">
        <v>59.0</v>
      </c>
    </row>
    <row r="8523">
      <c r="A8523" s="1" t="s">
        <v>8</v>
      </c>
      <c r="B8523" s="2">
        <v>44737.0</v>
      </c>
      <c r="C8523" s="3">
        <v>0.6789814814814815</v>
      </c>
      <c r="D8523" s="1">
        <v>12.839889</v>
      </c>
      <c r="E8523" s="1">
        <v>80.055637</v>
      </c>
      <c r="F8523" s="1">
        <v>2846.0</v>
      </c>
      <c r="G8523" s="1">
        <v>52.0</v>
      </c>
    </row>
    <row r="8524">
      <c r="A8524" s="1" t="s">
        <v>7</v>
      </c>
      <c r="B8524" s="2">
        <v>44737.0</v>
      </c>
      <c r="C8524" s="3">
        <v>0.6791435185185185</v>
      </c>
      <c r="D8524" s="1">
        <v>12.838999</v>
      </c>
      <c r="E8524" s="1">
        <v>80.054663</v>
      </c>
      <c r="F8524" s="1">
        <v>2846.0</v>
      </c>
      <c r="G8524" s="1">
        <v>51.0</v>
      </c>
    </row>
    <row r="8525">
      <c r="A8525" s="1" t="s">
        <v>7</v>
      </c>
      <c r="B8525" s="2">
        <v>44737.0</v>
      </c>
      <c r="C8525" s="3">
        <v>0.6791435185185185</v>
      </c>
      <c r="D8525" s="1">
        <v>12.90141</v>
      </c>
      <c r="E8525" s="1">
        <v>80.092389</v>
      </c>
      <c r="F8525" s="1">
        <v>805.0</v>
      </c>
      <c r="G8525" s="1">
        <v>57.0</v>
      </c>
    </row>
    <row r="8526">
      <c r="A8526" s="1" t="s">
        <v>7</v>
      </c>
      <c r="B8526" s="2">
        <v>44737.0</v>
      </c>
      <c r="C8526" s="3">
        <v>0.6792939814814815</v>
      </c>
      <c r="D8526" s="1">
        <v>12.838118</v>
      </c>
      <c r="E8526" s="1">
        <v>80.053761</v>
      </c>
      <c r="F8526" s="1">
        <v>2846.0</v>
      </c>
      <c r="G8526" s="1">
        <v>52.0</v>
      </c>
    </row>
    <row r="8527">
      <c r="A8527" s="1" t="s">
        <v>8</v>
      </c>
      <c r="B8527" s="2">
        <v>44737.0</v>
      </c>
      <c r="C8527" s="3">
        <v>0.6793865740740741</v>
      </c>
      <c r="D8527" s="1">
        <v>12.837158</v>
      </c>
      <c r="E8527" s="1">
        <v>80.052771</v>
      </c>
      <c r="F8527" s="1">
        <v>2846.0</v>
      </c>
      <c r="G8527" s="1">
        <v>54.0</v>
      </c>
    </row>
    <row r="8528">
      <c r="A8528" s="1" t="s">
        <v>7</v>
      </c>
      <c r="B8528" s="2">
        <v>44737.0</v>
      </c>
      <c r="C8528" s="3">
        <v>0.679525462962963</v>
      </c>
      <c r="D8528" s="1">
        <v>12.905617</v>
      </c>
      <c r="E8528" s="1">
        <v>80.095542</v>
      </c>
      <c r="F8528" s="1">
        <v>805.0</v>
      </c>
      <c r="G8528" s="1">
        <v>50.0</v>
      </c>
    </row>
    <row r="8529">
      <c r="A8529" s="1" t="s">
        <v>8</v>
      </c>
      <c r="B8529" s="2">
        <v>44737.0</v>
      </c>
      <c r="C8529" s="3">
        <v>0.6795717592592593</v>
      </c>
      <c r="D8529" s="1">
        <v>12.905617</v>
      </c>
      <c r="E8529" s="1">
        <v>80.095542</v>
      </c>
      <c r="F8529" s="1">
        <v>805.0</v>
      </c>
      <c r="G8529" s="1">
        <v>50.0</v>
      </c>
    </row>
    <row r="8530">
      <c r="A8530" s="1" t="s">
        <v>8</v>
      </c>
      <c r="B8530" s="2">
        <v>44737.0</v>
      </c>
      <c r="C8530" s="3">
        <v>0.6795949074074074</v>
      </c>
      <c r="D8530" s="1">
        <v>12.924699</v>
      </c>
      <c r="E8530" s="1">
        <v>80.115797</v>
      </c>
      <c r="F8530" s="1">
        <v>5339.0</v>
      </c>
      <c r="G8530" s="1">
        <v>45.0</v>
      </c>
    </row>
    <row r="8531">
      <c r="A8531" s="1" t="s">
        <v>8</v>
      </c>
      <c r="B8531" s="2">
        <v>44737.0</v>
      </c>
      <c r="C8531" s="3">
        <v>0.6797337962962963</v>
      </c>
      <c r="D8531" s="1">
        <v>12.924699</v>
      </c>
      <c r="E8531" s="1">
        <v>80.115797</v>
      </c>
      <c r="F8531" s="1">
        <v>5339.0</v>
      </c>
      <c r="G8531" s="1">
        <v>45.0</v>
      </c>
    </row>
    <row r="8532">
      <c r="A8532" s="1" t="s">
        <v>8</v>
      </c>
      <c r="B8532" s="2">
        <v>44737.0</v>
      </c>
      <c r="C8532" s="3">
        <v>0.68</v>
      </c>
      <c r="D8532" s="1">
        <v>12.83214</v>
      </c>
      <c r="E8532" s="1">
        <v>80.047508</v>
      </c>
      <c r="F8532" s="1">
        <v>2846.0</v>
      </c>
      <c r="G8532" s="1">
        <v>58.0</v>
      </c>
    </row>
    <row r="8533">
      <c r="A8533" s="1" t="s">
        <v>8</v>
      </c>
      <c r="B8533" s="2">
        <v>44737.0</v>
      </c>
      <c r="C8533" s="3">
        <v>0.6800578703703704</v>
      </c>
      <c r="D8533" s="1">
        <v>12.926748</v>
      </c>
      <c r="E8533" s="1">
        <v>80.117866</v>
      </c>
      <c r="F8533" s="1">
        <v>5339.0</v>
      </c>
      <c r="G8533" s="1">
        <v>30.0</v>
      </c>
    </row>
    <row r="8534">
      <c r="A8534" s="1" t="s">
        <v>7</v>
      </c>
      <c r="B8534" s="2">
        <v>44737.0</v>
      </c>
      <c r="C8534" s="3">
        <v>0.6801041666666666</v>
      </c>
      <c r="D8534" s="1">
        <v>12.830227</v>
      </c>
      <c r="E8534" s="1">
        <v>80.04545</v>
      </c>
      <c r="F8534" s="1">
        <v>2846.0</v>
      </c>
      <c r="G8534" s="1">
        <v>52.0</v>
      </c>
    </row>
    <row r="8535">
      <c r="A8535" s="1" t="s">
        <v>9</v>
      </c>
      <c r="B8535" s="2">
        <v>44737.0</v>
      </c>
      <c r="C8535" s="3">
        <v>0.6801273148148148</v>
      </c>
      <c r="D8535" s="1">
        <v>12.926748</v>
      </c>
      <c r="E8535" s="1">
        <v>80.117866</v>
      </c>
      <c r="F8535" s="1">
        <v>5339.0</v>
      </c>
      <c r="G8535" s="1">
        <v>30.0</v>
      </c>
    </row>
    <row r="8536">
      <c r="A8536" s="1" t="s">
        <v>7</v>
      </c>
      <c r="B8536" s="2">
        <v>44737.0</v>
      </c>
      <c r="C8536" s="3">
        <v>0.6802546296296297</v>
      </c>
      <c r="D8536" s="1">
        <v>12.829259</v>
      </c>
      <c r="E8536" s="1">
        <v>80.044476</v>
      </c>
      <c r="F8536" s="1">
        <v>2846.0</v>
      </c>
      <c r="G8536" s="1">
        <v>56.0</v>
      </c>
    </row>
    <row r="8537">
      <c r="A8537" s="1" t="s">
        <v>9</v>
      </c>
      <c r="B8537" s="2">
        <v>44737.0</v>
      </c>
      <c r="C8537" s="3">
        <v>0.6802546296296297</v>
      </c>
      <c r="D8537" s="1">
        <v>12.908997</v>
      </c>
      <c r="E8537" s="1">
        <v>80.098316</v>
      </c>
      <c r="F8537" s="1">
        <v>805.0</v>
      </c>
      <c r="G8537" s="1">
        <v>31.0</v>
      </c>
    </row>
    <row r="8538">
      <c r="A8538" s="1" t="s">
        <v>8</v>
      </c>
      <c r="B8538" s="2">
        <v>44737.0</v>
      </c>
      <c r="C8538" s="3">
        <v>0.6803587962962963</v>
      </c>
      <c r="D8538" s="1">
        <v>12.82823</v>
      </c>
      <c r="E8538" s="1">
        <v>80.043433</v>
      </c>
      <c r="F8538" s="1">
        <v>2846.0</v>
      </c>
      <c r="G8538" s="1">
        <v>57.0</v>
      </c>
    </row>
    <row r="8539">
      <c r="A8539" s="1" t="s">
        <v>8</v>
      </c>
      <c r="B8539" s="2">
        <v>44737.0</v>
      </c>
      <c r="C8539" s="3">
        <v>0.6809953703703704</v>
      </c>
      <c r="D8539" s="1">
        <v>12.931127</v>
      </c>
      <c r="E8539" s="1">
        <v>80.122258</v>
      </c>
      <c r="F8539" s="1">
        <v>5339.0</v>
      </c>
      <c r="G8539" s="1">
        <v>33.0</v>
      </c>
    </row>
    <row r="8540">
      <c r="A8540" s="1" t="s">
        <v>8</v>
      </c>
      <c r="B8540" s="2">
        <v>44737.0</v>
      </c>
      <c r="C8540" s="3">
        <v>0.6810069444444444</v>
      </c>
      <c r="D8540" s="1">
        <v>12.931127</v>
      </c>
      <c r="E8540" s="1">
        <v>80.122258</v>
      </c>
      <c r="F8540" s="1">
        <v>5339.0</v>
      </c>
      <c r="G8540" s="1">
        <v>33.0</v>
      </c>
    </row>
    <row r="8541">
      <c r="A8541" s="1" t="s">
        <v>8</v>
      </c>
      <c r="B8541" s="2">
        <v>44737.0</v>
      </c>
      <c r="C8541" s="3">
        <v>0.6812384259259259</v>
      </c>
      <c r="D8541" s="1">
        <v>12.931834</v>
      </c>
      <c r="E8541" s="1">
        <v>80.122964</v>
      </c>
      <c r="F8541" s="1">
        <v>5339.0</v>
      </c>
      <c r="G8541" s="1">
        <v>29.0</v>
      </c>
    </row>
    <row r="8542">
      <c r="A8542" s="1" t="s">
        <v>8</v>
      </c>
      <c r="B8542" s="2">
        <v>44737.0</v>
      </c>
      <c r="C8542" s="3">
        <v>0.6813888888888889</v>
      </c>
      <c r="D8542" s="1">
        <v>12.933019</v>
      </c>
      <c r="E8542" s="1">
        <v>80.124142</v>
      </c>
      <c r="F8542" s="1">
        <v>5339.0</v>
      </c>
      <c r="G8542" s="1">
        <v>48.0</v>
      </c>
    </row>
    <row r="8543">
      <c r="A8543" s="1" t="s">
        <v>8</v>
      </c>
      <c r="B8543" s="2">
        <v>44737.0</v>
      </c>
      <c r="C8543" s="3">
        <v>0.6817708333333333</v>
      </c>
      <c r="D8543" s="1">
        <v>12.935548</v>
      </c>
      <c r="E8543" s="1">
        <v>80.126534</v>
      </c>
      <c r="F8543" s="1">
        <v>5339.0</v>
      </c>
      <c r="G8543" s="1">
        <v>46.0</v>
      </c>
    </row>
    <row r="8544">
      <c r="A8544" s="1" t="s">
        <v>7</v>
      </c>
      <c r="B8544" s="2">
        <v>44737.0</v>
      </c>
      <c r="C8544" s="3">
        <v>0.6819097222222222</v>
      </c>
      <c r="D8544" s="1">
        <v>12.93687</v>
      </c>
      <c r="E8544" s="1">
        <v>80.127689</v>
      </c>
      <c r="F8544" s="1">
        <v>5339.0</v>
      </c>
      <c r="G8544" s="1">
        <v>44.0</v>
      </c>
    </row>
    <row r="8545">
      <c r="A8545" s="1" t="s">
        <v>8</v>
      </c>
      <c r="B8545" s="2">
        <v>44737.0</v>
      </c>
      <c r="C8545" s="3">
        <v>0.6819675925925925</v>
      </c>
      <c r="D8545" s="1">
        <v>12.93687</v>
      </c>
      <c r="E8545" s="1">
        <v>80.127689</v>
      </c>
      <c r="F8545" s="1">
        <v>5339.0</v>
      </c>
      <c r="G8545" s="1">
        <v>44.0</v>
      </c>
    </row>
    <row r="8546">
      <c r="A8546" s="1" t="s">
        <v>8</v>
      </c>
      <c r="B8546" s="2">
        <v>44737.0</v>
      </c>
      <c r="C8546" s="3">
        <v>0.6819791666666667</v>
      </c>
      <c r="D8546" s="1">
        <v>12.93687</v>
      </c>
      <c r="E8546" s="1">
        <v>80.127689</v>
      </c>
      <c r="F8546" s="1">
        <v>5339.0</v>
      </c>
      <c r="G8546" s="1">
        <v>44.0</v>
      </c>
    </row>
    <row r="8547">
      <c r="A8547" s="1" t="s">
        <v>8</v>
      </c>
      <c r="B8547" s="2">
        <v>44737.0</v>
      </c>
      <c r="C8547" s="3">
        <v>0.6820949074074074</v>
      </c>
      <c r="D8547" s="1">
        <v>12.918478</v>
      </c>
      <c r="E8547" s="1">
        <v>80.109073</v>
      </c>
      <c r="F8547" s="1">
        <v>805.0</v>
      </c>
      <c r="G8547" s="1">
        <v>54.0</v>
      </c>
    </row>
    <row r="8548">
      <c r="A8548" s="1" t="s">
        <v>8</v>
      </c>
      <c r="B8548" s="2">
        <v>44737.0</v>
      </c>
      <c r="C8548" s="3">
        <v>0.6825347222222222</v>
      </c>
      <c r="D8548" s="1">
        <v>12.941688</v>
      </c>
      <c r="E8548" s="1">
        <v>80.132182</v>
      </c>
      <c r="F8548" s="1">
        <v>5339.0</v>
      </c>
      <c r="G8548" s="1">
        <v>40.0</v>
      </c>
    </row>
    <row r="8549">
      <c r="A8549" s="1" t="s">
        <v>8</v>
      </c>
      <c r="B8549" s="2">
        <v>44737.0</v>
      </c>
      <c r="C8549" s="3">
        <v>0.6825578703703704</v>
      </c>
      <c r="D8549" s="1">
        <v>12.942172</v>
      </c>
      <c r="E8549" s="1">
        <v>80.132672</v>
      </c>
      <c r="F8549" s="1">
        <v>5339.0</v>
      </c>
      <c r="G8549" s="1">
        <v>16.0</v>
      </c>
    </row>
    <row r="8550">
      <c r="A8550" s="1" t="s">
        <v>8</v>
      </c>
      <c r="B8550" s="2">
        <v>44737.0</v>
      </c>
      <c r="C8550" s="3">
        <v>0.6825578703703704</v>
      </c>
      <c r="D8550" s="1">
        <v>12.942172</v>
      </c>
      <c r="E8550" s="1">
        <v>80.132672</v>
      </c>
      <c r="F8550" s="1">
        <v>5339.0</v>
      </c>
      <c r="G8550" s="1">
        <v>16.0</v>
      </c>
    </row>
    <row r="8551">
      <c r="A8551" s="1" t="s">
        <v>7</v>
      </c>
      <c r="B8551" s="2">
        <v>44737.0</v>
      </c>
      <c r="C8551" s="3">
        <v>0.682650462962963</v>
      </c>
      <c r="D8551" s="1">
        <v>12.81149</v>
      </c>
      <c r="E8551" s="1">
        <v>80.030966</v>
      </c>
      <c r="F8551" s="1">
        <v>2846.0</v>
      </c>
      <c r="G8551" s="1">
        <v>58.0</v>
      </c>
    </row>
    <row r="8552">
      <c r="A8552" s="1" t="s">
        <v>8</v>
      </c>
      <c r="B8552" s="2">
        <v>44737.0</v>
      </c>
      <c r="C8552" s="3">
        <v>0.6827083333333334</v>
      </c>
      <c r="D8552" s="1">
        <v>12.942172</v>
      </c>
      <c r="E8552" s="1">
        <v>80.132672</v>
      </c>
      <c r="F8552" s="1">
        <v>5339.0</v>
      </c>
      <c r="G8552" s="1">
        <v>16.0</v>
      </c>
    </row>
    <row r="8553">
      <c r="A8553" s="1" t="s">
        <v>8</v>
      </c>
      <c r="B8553" s="2">
        <v>44737.0</v>
      </c>
      <c r="C8553" s="3">
        <v>0.6828356481481481</v>
      </c>
      <c r="D8553" s="1">
        <v>12.942901</v>
      </c>
      <c r="E8553" s="1">
        <v>80.133453</v>
      </c>
      <c r="F8553" s="1">
        <v>5339.0</v>
      </c>
      <c r="G8553" s="1">
        <v>36.0</v>
      </c>
    </row>
    <row r="8554">
      <c r="A8554" s="1" t="s">
        <v>8</v>
      </c>
      <c r="B8554" s="2">
        <v>44737.0</v>
      </c>
      <c r="C8554" s="3">
        <v>0.683136574074074</v>
      </c>
      <c r="D8554" s="1">
        <v>12.945564</v>
      </c>
      <c r="E8554" s="1">
        <v>80.135721</v>
      </c>
      <c r="F8554" s="1">
        <v>5339.0</v>
      </c>
      <c r="G8554" s="1">
        <v>55.0</v>
      </c>
    </row>
    <row r="8555">
      <c r="A8555" s="1" t="s">
        <v>8</v>
      </c>
      <c r="B8555" s="2">
        <v>44737.0</v>
      </c>
      <c r="C8555" s="3">
        <v>0.6833912037037037</v>
      </c>
      <c r="D8555" s="1">
        <v>12.926725</v>
      </c>
      <c r="E8555" s="1">
        <v>80.11779</v>
      </c>
      <c r="F8555" s="1">
        <v>805.0</v>
      </c>
      <c r="G8555" s="1">
        <v>20.0</v>
      </c>
    </row>
    <row r="8556">
      <c r="A8556" s="1" t="s">
        <v>8</v>
      </c>
      <c r="B8556" s="2">
        <v>44737.0</v>
      </c>
      <c r="C8556" s="3">
        <v>0.6834143518518518</v>
      </c>
      <c r="D8556" s="1">
        <v>12.926725</v>
      </c>
      <c r="E8556" s="1">
        <v>80.11779</v>
      </c>
      <c r="F8556" s="1">
        <v>805.0</v>
      </c>
      <c r="G8556" s="1">
        <v>20.0</v>
      </c>
    </row>
    <row r="8557">
      <c r="A8557" s="1" t="s">
        <v>8</v>
      </c>
      <c r="B8557" s="2">
        <v>44737.0</v>
      </c>
      <c r="C8557" s="3">
        <v>0.6834375</v>
      </c>
      <c r="D8557" s="1">
        <v>12.926725</v>
      </c>
      <c r="E8557" s="1">
        <v>80.11779</v>
      </c>
      <c r="F8557" s="1">
        <v>805.0</v>
      </c>
      <c r="G8557" s="1">
        <v>20.0</v>
      </c>
    </row>
    <row r="8558">
      <c r="A8558" s="1" t="s">
        <v>8</v>
      </c>
      <c r="B8558" s="2">
        <v>44737.0</v>
      </c>
      <c r="C8558" s="3">
        <v>0.6835069444444445</v>
      </c>
      <c r="D8558" s="1">
        <v>12.94727</v>
      </c>
      <c r="E8558" s="1">
        <v>80.137025</v>
      </c>
      <c r="F8558" s="1">
        <v>5339.0</v>
      </c>
      <c r="G8558" s="1">
        <v>52.0</v>
      </c>
    </row>
    <row r="8559">
      <c r="A8559" s="1" t="s">
        <v>8</v>
      </c>
      <c r="B8559" s="2">
        <v>44737.0</v>
      </c>
      <c r="C8559" s="3">
        <v>0.6839814814814815</v>
      </c>
      <c r="D8559" s="1">
        <v>12.950287</v>
      </c>
      <c r="E8559" s="1">
        <v>80.139336</v>
      </c>
      <c r="F8559" s="1">
        <v>5339.0</v>
      </c>
      <c r="G8559" s="1">
        <v>22.0</v>
      </c>
    </row>
    <row r="8560">
      <c r="A8560" s="1" t="s">
        <v>8</v>
      </c>
      <c r="B8560" s="2">
        <v>44737.0</v>
      </c>
      <c r="C8560" s="3">
        <v>0.6840393518518518</v>
      </c>
      <c r="D8560" s="1">
        <v>12.951295</v>
      </c>
      <c r="E8560" s="1">
        <v>80.14011</v>
      </c>
      <c r="F8560" s="1">
        <v>5339.0</v>
      </c>
      <c r="G8560" s="1">
        <v>42.0</v>
      </c>
    </row>
    <row r="8561">
      <c r="A8561" s="1" t="s">
        <v>8</v>
      </c>
      <c r="B8561" s="2">
        <v>44737.0</v>
      </c>
      <c r="C8561" s="3">
        <v>0.6840625</v>
      </c>
      <c r="D8561" s="1">
        <v>12.929386</v>
      </c>
      <c r="E8561" s="1">
        <v>80.120408</v>
      </c>
      <c r="F8561" s="1">
        <v>805.0</v>
      </c>
      <c r="G8561" s="1">
        <v>11.0</v>
      </c>
    </row>
    <row r="8562">
      <c r="A8562" s="1" t="s">
        <v>8</v>
      </c>
      <c r="B8562" s="2">
        <v>44737.0</v>
      </c>
      <c r="C8562" s="3">
        <v>0.6840856481481481</v>
      </c>
      <c r="D8562" s="1">
        <v>12.929776</v>
      </c>
      <c r="E8562" s="1">
        <v>80.120782</v>
      </c>
      <c r="F8562" s="1">
        <v>805.0</v>
      </c>
      <c r="G8562" s="1">
        <v>20.0</v>
      </c>
    </row>
    <row r="8563">
      <c r="A8563" s="1" t="s">
        <v>8</v>
      </c>
      <c r="B8563" s="2">
        <v>44737.0</v>
      </c>
      <c r="C8563" s="3">
        <v>0.6840856481481481</v>
      </c>
      <c r="D8563" s="1">
        <v>12.929776</v>
      </c>
      <c r="E8563" s="1">
        <v>80.120782</v>
      </c>
      <c r="F8563" s="1">
        <v>805.0</v>
      </c>
      <c r="G8563" s="1">
        <v>20.0</v>
      </c>
    </row>
    <row r="8564">
      <c r="A8564" s="1" t="s">
        <v>8</v>
      </c>
      <c r="B8564" s="2">
        <v>44737.0</v>
      </c>
      <c r="C8564" s="3">
        <v>0.6841435185185185</v>
      </c>
      <c r="D8564" s="1">
        <v>12.951295</v>
      </c>
      <c r="E8564" s="1">
        <v>80.14011</v>
      </c>
      <c r="F8564" s="1">
        <v>5339.0</v>
      </c>
      <c r="G8564" s="1">
        <v>42.0</v>
      </c>
    </row>
    <row r="8565">
      <c r="A8565" s="1" t="s">
        <v>8</v>
      </c>
      <c r="B8565" s="2">
        <v>44737.0</v>
      </c>
      <c r="C8565" s="3">
        <v>0.6841435185185185</v>
      </c>
      <c r="D8565" s="1">
        <v>12.929776</v>
      </c>
      <c r="E8565" s="1">
        <v>80.120782</v>
      </c>
      <c r="F8565" s="1">
        <v>805.0</v>
      </c>
      <c r="G8565" s="1">
        <v>20.0</v>
      </c>
    </row>
    <row r="8566">
      <c r="A8566" s="1" t="s">
        <v>8</v>
      </c>
      <c r="B8566" s="2">
        <v>44737.0</v>
      </c>
      <c r="C8566" s="3">
        <v>0.6845138888888889</v>
      </c>
      <c r="D8566" s="1">
        <v>12.931261</v>
      </c>
      <c r="E8566" s="1">
        <v>80.122339</v>
      </c>
      <c r="F8566" s="1">
        <v>805.0</v>
      </c>
      <c r="G8566" s="1">
        <v>15.0</v>
      </c>
    </row>
    <row r="8567">
      <c r="A8567" s="1" t="s">
        <v>7</v>
      </c>
      <c r="B8567" s="2">
        <v>44737.0</v>
      </c>
      <c r="C8567" s="3">
        <v>0.6846875</v>
      </c>
      <c r="D8567" s="1">
        <v>12.931978</v>
      </c>
      <c r="E8567" s="1">
        <v>80.123048</v>
      </c>
      <c r="F8567" s="1">
        <v>805.0</v>
      </c>
      <c r="G8567" s="1">
        <v>42.0</v>
      </c>
    </row>
    <row r="8568">
      <c r="A8568" s="1" t="s">
        <v>8</v>
      </c>
      <c r="B8568" s="2">
        <v>44737.0</v>
      </c>
      <c r="C8568" s="3">
        <v>0.6849884259259259</v>
      </c>
      <c r="D8568" s="1">
        <v>12.933352</v>
      </c>
      <c r="E8568" s="1">
        <v>80.124368</v>
      </c>
      <c r="F8568" s="1">
        <v>805.0</v>
      </c>
      <c r="G8568" s="1">
        <v>53.0</v>
      </c>
    </row>
    <row r="8569">
      <c r="A8569" s="1" t="s">
        <v>8</v>
      </c>
      <c r="B8569" s="2">
        <v>44737.0</v>
      </c>
      <c r="C8569" s="3">
        <v>0.685162037037037</v>
      </c>
      <c r="D8569" s="1">
        <v>12.934607</v>
      </c>
      <c r="E8569" s="1">
        <v>80.125604</v>
      </c>
      <c r="F8569" s="1">
        <v>805.0</v>
      </c>
      <c r="G8569" s="1">
        <v>24.0</v>
      </c>
    </row>
    <row r="8570">
      <c r="A8570" s="1" t="s">
        <v>9</v>
      </c>
      <c r="B8570" s="2">
        <v>44737.0</v>
      </c>
      <c r="C8570" s="3">
        <v>0.685324074074074</v>
      </c>
      <c r="D8570" s="1">
        <v>12.78867</v>
      </c>
      <c r="E8570" s="1">
        <v>80.016244</v>
      </c>
      <c r="F8570" s="1">
        <v>2846.0</v>
      </c>
      <c r="G8570" s="1">
        <v>58.0</v>
      </c>
    </row>
    <row r="8571">
      <c r="A8571" s="1" t="s">
        <v>7</v>
      </c>
      <c r="B8571" s="2">
        <v>44737.0</v>
      </c>
      <c r="C8571" s="3">
        <v>0.6855324074074074</v>
      </c>
      <c r="D8571" s="1">
        <v>12.937076</v>
      </c>
      <c r="E8571" s="1">
        <v>80.127798</v>
      </c>
      <c r="F8571" s="1">
        <v>805.0</v>
      </c>
      <c r="G8571" s="1">
        <v>42.0</v>
      </c>
    </row>
    <row r="8572">
      <c r="A8572" s="1" t="s">
        <v>8</v>
      </c>
      <c r="B8572" s="2">
        <v>44737.0</v>
      </c>
      <c r="C8572" s="3">
        <v>0.6855787037037037</v>
      </c>
      <c r="D8572" s="1">
        <v>12.938529</v>
      </c>
      <c r="E8572" s="1">
        <v>80.129119</v>
      </c>
      <c r="F8572" s="1">
        <v>805.0</v>
      </c>
      <c r="G8572" s="1">
        <v>54.0</v>
      </c>
    </row>
    <row r="8573">
      <c r="A8573" s="1" t="s">
        <v>7</v>
      </c>
      <c r="B8573" s="2">
        <v>44737.0</v>
      </c>
      <c r="C8573" s="3">
        <v>0.6857523148148148</v>
      </c>
      <c r="D8573" s="1">
        <v>12.784757</v>
      </c>
      <c r="E8573" s="1">
        <v>80.013914</v>
      </c>
      <c r="F8573" s="1">
        <v>2846.0</v>
      </c>
      <c r="G8573" s="1">
        <v>57.0</v>
      </c>
    </row>
    <row r="8574">
      <c r="A8574" s="1" t="s">
        <v>8</v>
      </c>
      <c r="B8574" s="2">
        <v>44737.0</v>
      </c>
      <c r="C8574" s="3">
        <v>0.6858680555555555</v>
      </c>
      <c r="D8574" s="1">
        <v>12.782641</v>
      </c>
      <c r="E8574" s="1">
        <v>80.012929</v>
      </c>
      <c r="F8574" s="1">
        <v>2846.0</v>
      </c>
      <c r="G8574" s="1">
        <v>57.0</v>
      </c>
    </row>
    <row r="8575">
      <c r="A8575" s="1" t="s">
        <v>7</v>
      </c>
      <c r="B8575" s="2">
        <v>44737.0</v>
      </c>
      <c r="C8575" s="3">
        <v>0.6859953703703704</v>
      </c>
      <c r="D8575" s="1">
        <v>12.780485</v>
      </c>
      <c r="E8575" s="1">
        <v>80.012005</v>
      </c>
      <c r="F8575" s="1">
        <v>2846.0</v>
      </c>
      <c r="G8575" s="1">
        <v>57.0</v>
      </c>
    </row>
    <row r="8576">
      <c r="A8576" s="1" t="s">
        <v>8</v>
      </c>
      <c r="B8576" s="2">
        <v>44737.0</v>
      </c>
      <c r="C8576" s="3">
        <v>0.6861342592592593</v>
      </c>
      <c r="D8576" s="1">
        <v>12.956514</v>
      </c>
      <c r="E8576" s="1">
        <v>80.143293</v>
      </c>
      <c r="F8576" s="1">
        <v>5339.0</v>
      </c>
      <c r="G8576" s="1">
        <v>31.0</v>
      </c>
    </row>
    <row r="8577">
      <c r="A8577" s="1" t="s">
        <v>7</v>
      </c>
      <c r="B8577" s="2">
        <v>44737.0</v>
      </c>
      <c r="C8577" s="3">
        <v>0.6861574074074074</v>
      </c>
      <c r="D8577" s="1">
        <v>12.778407</v>
      </c>
      <c r="E8577" s="1">
        <v>80.011116</v>
      </c>
      <c r="F8577" s="1">
        <v>2846.0</v>
      </c>
      <c r="G8577" s="1">
        <v>56.0</v>
      </c>
    </row>
    <row r="8578">
      <c r="A8578" s="1" t="s">
        <v>8</v>
      </c>
      <c r="B8578" s="2">
        <v>44737.0</v>
      </c>
      <c r="C8578" s="3">
        <v>0.6861921296296296</v>
      </c>
      <c r="D8578" s="1">
        <v>12.778407</v>
      </c>
      <c r="E8578" s="1">
        <v>80.011116</v>
      </c>
      <c r="F8578" s="1">
        <v>2846.0</v>
      </c>
      <c r="G8578" s="1">
        <v>56.0</v>
      </c>
    </row>
    <row r="8579">
      <c r="A8579" s="1" t="s">
        <v>8</v>
      </c>
      <c r="B8579" s="2">
        <v>44737.0</v>
      </c>
      <c r="C8579" s="3">
        <v>0.6864351851851852</v>
      </c>
      <c r="D8579" s="1">
        <v>12.9427</v>
      </c>
      <c r="E8579" s="1">
        <v>80.133265</v>
      </c>
      <c r="F8579" s="1">
        <v>805.0</v>
      </c>
      <c r="G8579" s="1">
        <v>30.0</v>
      </c>
    </row>
    <row r="8580">
      <c r="A8580" s="1" t="s">
        <v>8</v>
      </c>
      <c r="B8580" s="2">
        <v>44737.0</v>
      </c>
      <c r="C8580" s="3">
        <v>0.6865046296296297</v>
      </c>
      <c r="D8580" s="1">
        <v>12.94345</v>
      </c>
      <c r="E8580" s="1">
        <v>80.134031</v>
      </c>
      <c r="F8580" s="1">
        <v>805.0</v>
      </c>
      <c r="G8580" s="1">
        <v>37.0</v>
      </c>
    </row>
    <row r="8581">
      <c r="A8581" s="1" t="s">
        <v>7</v>
      </c>
      <c r="B8581" s="2">
        <v>44737.0</v>
      </c>
      <c r="C8581" s="3">
        <v>0.6865972222222222</v>
      </c>
      <c r="D8581" s="1">
        <v>12.94345</v>
      </c>
      <c r="E8581" s="1">
        <v>80.134031</v>
      </c>
      <c r="F8581" s="1">
        <v>805.0</v>
      </c>
      <c r="G8581" s="1">
        <v>37.0</v>
      </c>
    </row>
    <row r="8582">
      <c r="A8582" s="1" t="s">
        <v>7</v>
      </c>
      <c r="B8582" s="2">
        <v>44737.0</v>
      </c>
      <c r="C8582" s="3">
        <v>0.6867476851851851</v>
      </c>
      <c r="D8582" s="1">
        <v>12.94474</v>
      </c>
      <c r="E8582" s="1">
        <v>80.135056</v>
      </c>
      <c r="F8582" s="1">
        <v>805.0</v>
      </c>
      <c r="G8582" s="1">
        <v>49.0</v>
      </c>
    </row>
    <row r="8583">
      <c r="A8583" s="1" t="s">
        <v>8</v>
      </c>
      <c r="B8583" s="2">
        <v>44737.0</v>
      </c>
      <c r="C8583" s="3">
        <v>0.6869675925925925</v>
      </c>
      <c r="D8583" s="1">
        <v>12.771871</v>
      </c>
      <c r="E8583" s="1">
        <v>80.008202</v>
      </c>
      <c r="F8583" s="1">
        <v>2846.0</v>
      </c>
      <c r="G8583" s="1">
        <v>48.0</v>
      </c>
    </row>
    <row r="8584">
      <c r="A8584" s="1" t="s">
        <v>8</v>
      </c>
      <c r="B8584" s="2">
        <v>44737.0</v>
      </c>
      <c r="C8584" s="3">
        <v>0.6869907407407407</v>
      </c>
      <c r="D8584" s="1">
        <v>12.771871</v>
      </c>
      <c r="E8584" s="1">
        <v>80.008202</v>
      </c>
      <c r="F8584" s="1">
        <v>2846.0</v>
      </c>
      <c r="G8584" s="1">
        <v>48.0</v>
      </c>
    </row>
    <row r="8585">
      <c r="A8585" s="1" t="s">
        <v>7</v>
      </c>
      <c r="B8585" s="2">
        <v>44737.0</v>
      </c>
      <c r="C8585" s="3">
        <v>0.6871990740740741</v>
      </c>
      <c r="D8585" s="1">
        <v>12.770429</v>
      </c>
      <c r="E8585" s="1">
        <v>80.007507</v>
      </c>
      <c r="F8585" s="1">
        <v>2846.0</v>
      </c>
      <c r="G8585" s="1">
        <v>36.0</v>
      </c>
    </row>
    <row r="8586">
      <c r="A8586" s="1" t="s">
        <v>7</v>
      </c>
      <c r="B8586" s="2">
        <v>44737.0</v>
      </c>
      <c r="C8586" s="3">
        <v>0.6873263888888889</v>
      </c>
      <c r="D8586" s="1">
        <v>12.769082</v>
      </c>
      <c r="E8586" s="1">
        <v>80.006871</v>
      </c>
      <c r="F8586" s="1">
        <v>2846.0</v>
      </c>
      <c r="G8586" s="1">
        <v>43.0</v>
      </c>
    </row>
    <row r="8587">
      <c r="A8587" s="1" t="s">
        <v>7</v>
      </c>
      <c r="B8587" s="2">
        <v>44737.0</v>
      </c>
      <c r="C8587" s="3">
        <v>0.6874305555555555</v>
      </c>
      <c r="D8587" s="1">
        <v>12.769082</v>
      </c>
      <c r="E8587" s="1">
        <v>80.006871</v>
      </c>
      <c r="F8587" s="1">
        <v>2846.0</v>
      </c>
      <c r="G8587" s="1">
        <v>43.0</v>
      </c>
    </row>
    <row r="8588">
      <c r="A8588" s="1" t="s">
        <v>8</v>
      </c>
      <c r="B8588" s="2">
        <v>44737.0</v>
      </c>
      <c r="C8588" s="3">
        <v>0.6874305555555555</v>
      </c>
      <c r="D8588" s="1">
        <v>12.950836</v>
      </c>
      <c r="E8588" s="1">
        <v>80.139765</v>
      </c>
      <c r="F8588" s="1">
        <v>805.0</v>
      </c>
      <c r="G8588" s="1">
        <v>28.0</v>
      </c>
    </row>
    <row r="8589">
      <c r="A8589" s="1" t="s">
        <v>7</v>
      </c>
      <c r="B8589" s="2">
        <v>44737.0</v>
      </c>
      <c r="C8589" s="3">
        <v>0.6875810185185185</v>
      </c>
      <c r="D8589" s="1">
        <v>12.965471</v>
      </c>
      <c r="E8589" s="1">
        <v>80.148138</v>
      </c>
      <c r="F8589" s="1">
        <v>5339.0</v>
      </c>
      <c r="G8589" s="1">
        <v>42.0</v>
      </c>
    </row>
    <row r="8590">
      <c r="A8590" s="1" t="s">
        <v>7</v>
      </c>
      <c r="B8590" s="2">
        <v>44737.0</v>
      </c>
      <c r="C8590" s="3">
        <v>0.6875925925925926</v>
      </c>
      <c r="D8590" s="1">
        <v>12.76517</v>
      </c>
      <c r="E8590" s="1">
        <v>80.005039</v>
      </c>
      <c r="F8590" s="1">
        <v>2846.0</v>
      </c>
      <c r="G8590" s="1">
        <v>58.0</v>
      </c>
    </row>
    <row r="8591">
      <c r="A8591" s="1" t="s">
        <v>7</v>
      </c>
      <c r="B8591" s="2">
        <v>44737.0</v>
      </c>
      <c r="C8591" s="3">
        <v>0.6877546296296296</v>
      </c>
      <c r="D8591" s="1">
        <v>12.967075</v>
      </c>
      <c r="E8591" s="1">
        <v>80.148987</v>
      </c>
      <c r="F8591" s="1">
        <v>5339.0</v>
      </c>
      <c r="G8591" s="1">
        <v>53.0</v>
      </c>
    </row>
    <row r="8592">
      <c r="A8592" s="1" t="s">
        <v>8</v>
      </c>
      <c r="B8592" s="2">
        <v>44737.0</v>
      </c>
      <c r="C8592" s="3">
        <v>0.6878125</v>
      </c>
      <c r="D8592" s="1">
        <v>12.953255</v>
      </c>
      <c r="E8592" s="1">
        <v>80.14154</v>
      </c>
      <c r="F8592" s="1">
        <v>805.0</v>
      </c>
      <c r="G8592" s="1">
        <v>43.0</v>
      </c>
    </row>
    <row r="8593">
      <c r="A8593" s="1" t="s">
        <v>9</v>
      </c>
      <c r="B8593" s="2">
        <v>44737.0</v>
      </c>
      <c r="C8593" s="3">
        <v>0.6878472222222223</v>
      </c>
      <c r="D8593" s="1">
        <v>12.953255</v>
      </c>
      <c r="E8593" s="1">
        <v>80.14154</v>
      </c>
      <c r="F8593" s="1">
        <v>805.0</v>
      </c>
      <c r="G8593" s="1">
        <v>43.0</v>
      </c>
    </row>
    <row r="8594">
      <c r="A8594" s="1" t="s">
        <v>8</v>
      </c>
      <c r="B8594" s="2">
        <v>44737.0</v>
      </c>
      <c r="C8594" s="3">
        <v>0.688136574074074</v>
      </c>
      <c r="D8594" s="1">
        <v>12.971055</v>
      </c>
      <c r="E8594" s="1">
        <v>80.150839</v>
      </c>
      <c r="F8594" s="1">
        <v>5339.0</v>
      </c>
      <c r="G8594" s="1">
        <v>58.0</v>
      </c>
    </row>
    <row r="8595">
      <c r="A8595" s="1" t="s">
        <v>8</v>
      </c>
      <c r="B8595" s="2">
        <v>44737.0</v>
      </c>
      <c r="C8595" s="3">
        <v>0.6883564814814814</v>
      </c>
      <c r="D8595" s="1">
        <v>12.972734</v>
      </c>
      <c r="E8595" s="1">
        <v>80.152214</v>
      </c>
      <c r="F8595" s="1">
        <v>5339.0</v>
      </c>
      <c r="G8595" s="1">
        <v>58.0</v>
      </c>
    </row>
    <row r="8596">
      <c r="A8596" s="1" t="s">
        <v>7</v>
      </c>
      <c r="B8596" s="2">
        <v>44737.0</v>
      </c>
      <c r="C8596" s="3">
        <v>0.6887384259259259</v>
      </c>
      <c r="D8596" s="1">
        <v>12.758379</v>
      </c>
      <c r="E8596" s="1">
        <v>80.002888</v>
      </c>
      <c r="F8596" s="1">
        <v>2846.0</v>
      </c>
      <c r="G8596" s="1">
        <v>44.0</v>
      </c>
    </row>
    <row r="8597">
      <c r="A8597" s="1" t="s">
        <v>8</v>
      </c>
      <c r="B8597" s="2">
        <v>44737.0</v>
      </c>
      <c r="C8597" s="3">
        <v>0.6890509259259259</v>
      </c>
      <c r="D8597" s="1">
        <v>12.95606</v>
      </c>
      <c r="E8597" s="1">
        <v>80.14292</v>
      </c>
      <c r="F8597" s="1">
        <v>805.0</v>
      </c>
      <c r="G8597" s="1">
        <v>0.0</v>
      </c>
    </row>
    <row r="8598">
      <c r="A8598" s="1" t="s">
        <v>7</v>
      </c>
      <c r="B8598" s="2">
        <v>44737.0</v>
      </c>
      <c r="C8598" s="3">
        <v>0.6890740740740741</v>
      </c>
      <c r="D8598" s="1">
        <v>12.977841</v>
      </c>
      <c r="E8598" s="1">
        <v>80.159765</v>
      </c>
      <c r="F8598" s="1">
        <v>5339.0</v>
      </c>
      <c r="G8598" s="1">
        <v>56.0</v>
      </c>
    </row>
    <row r="8599">
      <c r="A8599" s="1" t="s">
        <v>8</v>
      </c>
      <c r="B8599" s="2">
        <v>44737.0</v>
      </c>
      <c r="C8599" s="3">
        <v>0.6890856481481481</v>
      </c>
      <c r="D8599" s="1">
        <v>12.979127</v>
      </c>
      <c r="E8599" s="1">
        <v>80.161566</v>
      </c>
      <c r="F8599" s="1">
        <v>5339.0</v>
      </c>
      <c r="G8599" s="1">
        <v>58.0</v>
      </c>
    </row>
    <row r="8600">
      <c r="A8600" s="1" t="s">
        <v>8</v>
      </c>
      <c r="B8600" s="2">
        <v>44737.0</v>
      </c>
      <c r="C8600" s="3">
        <v>0.6891666666666667</v>
      </c>
      <c r="D8600" s="1">
        <v>12.979127</v>
      </c>
      <c r="E8600" s="1">
        <v>80.161566</v>
      </c>
      <c r="F8600" s="1">
        <v>5339.0</v>
      </c>
      <c r="G8600" s="1">
        <v>58.0</v>
      </c>
    </row>
    <row r="8601">
      <c r="A8601" s="1" t="s">
        <v>7</v>
      </c>
      <c r="B8601" s="2">
        <v>44737.0</v>
      </c>
      <c r="C8601" s="3">
        <v>0.6893287037037037</v>
      </c>
      <c r="D8601" s="1">
        <v>12.957037</v>
      </c>
      <c r="E8601" s="1">
        <v>80.143466</v>
      </c>
      <c r="F8601" s="1">
        <v>805.0</v>
      </c>
      <c r="G8601" s="1">
        <v>33.0</v>
      </c>
    </row>
    <row r="8602">
      <c r="A8602" s="1" t="s">
        <v>7</v>
      </c>
      <c r="B8602" s="2">
        <v>44737.0</v>
      </c>
      <c r="C8602" s="3">
        <v>0.6894328703703704</v>
      </c>
      <c r="D8602" s="1">
        <v>12.751012</v>
      </c>
      <c r="E8602" s="1">
        <v>79.998762</v>
      </c>
      <c r="F8602" s="1">
        <v>2846.0</v>
      </c>
      <c r="G8602" s="1">
        <v>58.0</v>
      </c>
    </row>
    <row r="8603">
      <c r="A8603" s="1" t="s">
        <v>8</v>
      </c>
      <c r="B8603" s="2">
        <v>44737.0</v>
      </c>
      <c r="C8603" s="3">
        <v>0.6898842592592592</v>
      </c>
      <c r="D8603" s="1">
        <v>12.98335</v>
      </c>
      <c r="E8603" s="1">
        <v>80.16985</v>
      </c>
      <c r="F8603" s="1">
        <v>5339.0</v>
      </c>
      <c r="G8603" s="1">
        <v>61.0</v>
      </c>
    </row>
    <row r="8604">
      <c r="A8604" s="1" t="s">
        <v>8</v>
      </c>
      <c r="B8604" s="2">
        <v>44737.0</v>
      </c>
      <c r="C8604" s="3">
        <v>0.6902083333333333</v>
      </c>
      <c r="D8604" s="1">
        <v>12.985506</v>
      </c>
      <c r="E8604" s="1">
        <v>80.173295</v>
      </c>
      <c r="F8604" s="1">
        <v>5339.0</v>
      </c>
      <c r="G8604" s="1">
        <v>43.0</v>
      </c>
    </row>
    <row r="8605">
      <c r="A8605" s="1" t="s">
        <v>8</v>
      </c>
      <c r="B8605" s="2">
        <v>44737.0</v>
      </c>
      <c r="C8605" s="3">
        <v>0.6905324074074074</v>
      </c>
      <c r="D8605" s="1">
        <v>12.986532</v>
      </c>
      <c r="E8605" s="1">
        <v>80.174753</v>
      </c>
      <c r="F8605" s="1">
        <v>5339.0</v>
      </c>
      <c r="G8605" s="1">
        <v>42.0</v>
      </c>
    </row>
    <row r="8606">
      <c r="A8606" s="1" t="s">
        <v>8</v>
      </c>
      <c r="B8606" s="2">
        <v>44737.0</v>
      </c>
      <c r="C8606" s="3">
        <v>0.6915277777777777</v>
      </c>
      <c r="D8606" s="1">
        <v>12.989291</v>
      </c>
      <c r="E8606" s="1">
        <v>80.178548</v>
      </c>
      <c r="F8606" s="1">
        <v>5339.0</v>
      </c>
      <c r="G8606" s="1">
        <v>0.0</v>
      </c>
    </row>
    <row r="8607">
      <c r="A8607" s="1" t="s">
        <v>8</v>
      </c>
      <c r="B8607" s="2">
        <v>44737.0</v>
      </c>
      <c r="C8607" s="3">
        <v>0.6915625</v>
      </c>
      <c r="D8607" s="1">
        <v>12.960914</v>
      </c>
      <c r="E8607" s="1">
        <v>80.145562</v>
      </c>
      <c r="F8607" s="1">
        <v>805.0</v>
      </c>
      <c r="G8607" s="1">
        <v>6.0</v>
      </c>
    </row>
    <row r="8608">
      <c r="A8608" s="1" t="s">
        <v>8</v>
      </c>
      <c r="B8608" s="2">
        <v>44737.0</v>
      </c>
      <c r="C8608" s="3">
        <v>0.6917361111111111</v>
      </c>
      <c r="D8608" s="1">
        <v>12.961532</v>
      </c>
      <c r="E8608" s="1">
        <v>80.145909</v>
      </c>
      <c r="F8608" s="1">
        <v>805.0</v>
      </c>
      <c r="G8608" s="1">
        <v>34.0</v>
      </c>
    </row>
    <row r="8609">
      <c r="A8609" s="1" t="s">
        <v>8</v>
      </c>
      <c r="B8609" s="2">
        <v>44737.0</v>
      </c>
      <c r="C8609" s="3">
        <v>0.6918865740740741</v>
      </c>
      <c r="D8609" s="1">
        <v>12.990706</v>
      </c>
      <c r="E8609" s="1">
        <v>80.180368</v>
      </c>
      <c r="F8609" s="1">
        <v>5339.0</v>
      </c>
      <c r="G8609" s="1">
        <v>40.0</v>
      </c>
    </row>
    <row r="8610">
      <c r="A8610" s="1" t="s">
        <v>10</v>
      </c>
      <c r="B8610" s="2">
        <v>44737.0</v>
      </c>
      <c r="C8610" s="3">
        <v>0.6918981481481481</v>
      </c>
      <c r="D8610" s="1">
        <v>12.729385</v>
      </c>
      <c r="E8610" s="1">
        <v>79.982891</v>
      </c>
      <c r="F8610" s="1">
        <v>2846.0</v>
      </c>
      <c r="G8610" s="1">
        <v>59.0</v>
      </c>
    </row>
    <row r="8611">
      <c r="A8611" s="1" t="s">
        <v>8</v>
      </c>
      <c r="B8611" s="2">
        <v>44737.0</v>
      </c>
      <c r="C8611" s="3">
        <v>0.6920486111111112</v>
      </c>
      <c r="D8611" s="1">
        <v>12.990706</v>
      </c>
      <c r="E8611" s="1">
        <v>80.180368</v>
      </c>
      <c r="F8611" s="1">
        <v>5339.0</v>
      </c>
      <c r="G8611" s="1">
        <v>40.0</v>
      </c>
    </row>
    <row r="8612">
      <c r="A8612" s="1" t="s">
        <v>7</v>
      </c>
      <c r="B8612" s="2">
        <v>44737.0</v>
      </c>
      <c r="C8612" s="3">
        <v>0.6924305555555555</v>
      </c>
      <c r="D8612" s="1">
        <v>12.993785</v>
      </c>
      <c r="E8612" s="1">
        <v>80.184907</v>
      </c>
      <c r="F8612" s="1">
        <v>5339.0</v>
      </c>
      <c r="G8612" s="1">
        <v>22.0</v>
      </c>
    </row>
    <row r="8613">
      <c r="A8613" s="1" t="s">
        <v>8</v>
      </c>
      <c r="B8613" s="2">
        <v>44737.0</v>
      </c>
      <c r="C8613" s="3">
        <v>0.6925231481481482</v>
      </c>
      <c r="D8613" s="1">
        <v>12.968279</v>
      </c>
      <c r="E8613" s="1">
        <v>80.149503</v>
      </c>
      <c r="F8613" s="1">
        <v>805.0</v>
      </c>
      <c r="G8613" s="1">
        <v>57.0</v>
      </c>
    </row>
    <row r="8614">
      <c r="A8614" s="1" t="s">
        <v>7</v>
      </c>
      <c r="B8614" s="2">
        <v>44737.0</v>
      </c>
      <c r="C8614" s="3">
        <v>0.6925810185185185</v>
      </c>
      <c r="D8614" s="1">
        <v>12.968279</v>
      </c>
      <c r="E8614" s="1">
        <v>80.149503</v>
      </c>
      <c r="F8614" s="1">
        <v>805.0</v>
      </c>
      <c r="G8614" s="1">
        <v>57.0</v>
      </c>
    </row>
    <row r="8615">
      <c r="A8615" s="1" t="s">
        <v>7</v>
      </c>
      <c r="B8615" s="2">
        <v>44737.0</v>
      </c>
      <c r="C8615" s="3">
        <v>0.6927430555555556</v>
      </c>
      <c r="D8615" s="1">
        <v>12.970299</v>
      </c>
      <c r="E8615" s="1">
        <v>80.150468</v>
      </c>
      <c r="F8615" s="1">
        <v>805.0</v>
      </c>
      <c r="G8615" s="1">
        <v>57.0</v>
      </c>
    </row>
    <row r="8616">
      <c r="A8616" s="1" t="s">
        <v>8</v>
      </c>
      <c r="B8616" s="2">
        <v>44737.0</v>
      </c>
      <c r="C8616" s="3">
        <v>0.6928240740740741</v>
      </c>
      <c r="D8616" s="1">
        <v>12.995046</v>
      </c>
      <c r="E8616" s="1">
        <v>80.187425</v>
      </c>
      <c r="F8616" s="1">
        <v>5339.0</v>
      </c>
      <c r="G8616" s="1">
        <v>52.0</v>
      </c>
    </row>
    <row r="8617">
      <c r="A8617" s="1" t="s">
        <v>9</v>
      </c>
      <c r="B8617" s="2">
        <v>44737.0</v>
      </c>
      <c r="C8617" s="3">
        <v>0.6930555555555555</v>
      </c>
      <c r="D8617" s="1">
        <v>12.997104</v>
      </c>
      <c r="E8617" s="1">
        <v>80.190464</v>
      </c>
      <c r="F8617" s="1">
        <v>5339.0</v>
      </c>
      <c r="G8617" s="1">
        <v>46.0</v>
      </c>
    </row>
    <row r="8618">
      <c r="A8618" s="1" t="s">
        <v>8</v>
      </c>
      <c r="B8618" s="2">
        <v>44737.0</v>
      </c>
      <c r="C8618" s="3">
        <v>0.6930787037037037</v>
      </c>
      <c r="D8618" s="1">
        <v>12.9734</v>
      </c>
      <c r="E8618" s="1">
        <v>80.15324</v>
      </c>
      <c r="F8618" s="1">
        <v>805.0</v>
      </c>
      <c r="G8618" s="1">
        <v>59.0</v>
      </c>
    </row>
    <row r="8619">
      <c r="A8619" s="1" t="s">
        <v>9</v>
      </c>
      <c r="B8619" s="2">
        <v>44737.0</v>
      </c>
      <c r="C8619" s="3">
        <v>0.6931481481481482</v>
      </c>
      <c r="D8619" s="1">
        <v>12.997104</v>
      </c>
      <c r="E8619" s="1">
        <v>80.190464</v>
      </c>
      <c r="F8619" s="1">
        <v>5339.0</v>
      </c>
      <c r="G8619" s="1">
        <v>46.0</v>
      </c>
    </row>
    <row r="8620">
      <c r="A8620" s="1" t="s">
        <v>7</v>
      </c>
      <c r="B8620" s="2">
        <v>44737.0</v>
      </c>
      <c r="C8620" s="3">
        <v>0.6932870370370371</v>
      </c>
      <c r="D8620" s="1">
        <v>12.974683</v>
      </c>
      <c r="E8620" s="1">
        <v>80.155117</v>
      </c>
      <c r="F8620" s="1">
        <v>805.0</v>
      </c>
      <c r="G8620" s="1">
        <v>59.0</v>
      </c>
    </row>
    <row r="8621">
      <c r="A8621" s="1" t="s">
        <v>8</v>
      </c>
      <c r="B8621" s="2">
        <v>44737.0</v>
      </c>
      <c r="C8621" s="3">
        <v>0.6933564814814814</v>
      </c>
      <c r="D8621" s="1">
        <v>12.998134</v>
      </c>
      <c r="E8621" s="1">
        <v>80.191757</v>
      </c>
      <c r="F8621" s="1">
        <v>5339.0</v>
      </c>
      <c r="G8621" s="1">
        <v>38.0</v>
      </c>
    </row>
    <row r="8622">
      <c r="A8622" s="1" t="s">
        <v>8</v>
      </c>
      <c r="B8622" s="2">
        <v>44737.0</v>
      </c>
      <c r="C8622" s="3">
        <v>0.6934375</v>
      </c>
      <c r="D8622" s="1">
        <v>12.999026</v>
      </c>
      <c r="E8622" s="1">
        <v>80.19289</v>
      </c>
      <c r="F8622" s="1">
        <v>5339.0</v>
      </c>
      <c r="G8622" s="1">
        <v>35.0</v>
      </c>
    </row>
    <row r="8623">
      <c r="A8623" s="1" t="s">
        <v>7</v>
      </c>
      <c r="B8623" s="2">
        <v>44737.0</v>
      </c>
      <c r="C8623" s="3">
        <v>0.6934606481481481</v>
      </c>
      <c r="D8623" s="1">
        <v>12.723865</v>
      </c>
      <c r="E8623" s="1">
        <v>79.982026</v>
      </c>
      <c r="F8623" s="1">
        <v>2846.0</v>
      </c>
      <c r="G8623" s="1">
        <v>11.0</v>
      </c>
    </row>
    <row r="8624">
      <c r="A8624" s="1" t="s">
        <v>8</v>
      </c>
      <c r="B8624" s="2">
        <v>44737.0</v>
      </c>
      <c r="C8624" s="3">
        <v>0.6935532407407408</v>
      </c>
      <c r="D8624" s="1">
        <v>12.999026</v>
      </c>
      <c r="E8624" s="1">
        <v>80.19289</v>
      </c>
      <c r="F8624" s="1">
        <v>5339.0</v>
      </c>
      <c r="G8624" s="1">
        <v>35.0</v>
      </c>
    </row>
    <row r="8625">
      <c r="A8625" s="1" t="s">
        <v>8</v>
      </c>
      <c r="B8625" s="2">
        <v>44737.0</v>
      </c>
      <c r="C8625" s="3">
        <v>0.6939467592592593</v>
      </c>
      <c r="D8625" s="1">
        <v>13.001006</v>
      </c>
      <c r="E8625" s="1">
        <v>80.195368</v>
      </c>
      <c r="F8625" s="1">
        <v>5339.0</v>
      </c>
      <c r="G8625" s="1">
        <v>30.0</v>
      </c>
    </row>
    <row r="8626">
      <c r="A8626" s="1" t="s">
        <v>8</v>
      </c>
      <c r="B8626" s="2">
        <v>44737.0</v>
      </c>
      <c r="C8626" s="3">
        <v>0.6940277777777778</v>
      </c>
      <c r="D8626" s="1">
        <v>13.00154</v>
      </c>
      <c r="E8626" s="1">
        <v>80.195995</v>
      </c>
      <c r="F8626" s="1">
        <v>5339.0</v>
      </c>
      <c r="G8626" s="1">
        <v>20.0</v>
      </c>
    </row>
    <row r="8627">
      <c r="A8627" s="1" t="s">
        <v>8</v>
      </c>
      <c r="B8627" s="2">
        <v>44737.0</v>
      </c>
      <c r="C8627" s="3">
        <v>0.6941203703703703</v>
      </c>
      <c r="D8627" s="1">
        <v>13.00154</v>
      </c>
      <c r="E8627" s="1">
        <v>80.195995</v>
      </c>
      <c r="F8627" s="1">
        <v>5339.0</v>
      </c>
      <c r="G8627" s="1">
        <v>20.0</v>
      </c>
    </row>
    <row r="8628">
      <c r="A8628" s="1" t="s">
        <v>7</v>
      </c>
      <c r="B8628" s="2">
        <v>44737.0</v>
      </c>
      <c r="C8628" s="3">
        <v>0.6942708333333333</v>
      </c>
      <c r="D8628" s="1">
        <v>12.97954</v>
      </c>
      <c r="E8628" s="1">
        <v>80.162155</v>
      </c>
      <c r="F8628" s="1">
        <v>805.0</v>
      </c>
      <c r="G8628" s="1">
        <v>57.0</v>
      </c>
    </row>
    <row r="8629">
      <c r="A8629" s="1" t="s">
        <v>7</v>
      </c>
      <c r="B8629" s="2">
        <v>44737.0</v>
      </c>
      <c r="C8629" s="3">
        <v>0.694375</v>
      </c>
      <c r="D8629" s="1">
        <v>12.982466</v>
      </c>
      <c r="E8629" s="1">
        <v>80.168292</v>
      </c>
      <c r="F8629" s="1">
        <v>805.0</v>
      </c>
      <c r="G8629" s="1">
        <v>58.0</v>
      </c>
    </row>
    <row r="8630">
      <c r="A8630" s="1" t="s">
        <v>9</v>
      </c>
      <c r="B8630" s="2">
        <v>44737.0</v>
      </c>
      <c r="C8630" s="3">
        <v>0.6944907407407407</v>
      </c>
      <c r="D8630" s="1">
        <v>13.002164</v>
      </c>
      <c r="E8630" s="1">
        <v>80.200279</v>
      </c>
      <c r="F8630" s="1">
        <v>5339.0</v>
      </c>
      <c r="G8630" s="1">
        <v>37.0</v>
      </c>
    </row>
    <row r="8631">
      <c r="A8631" s="1" t="s">
        <v>8</v>
      </c>
      <c r="B8631" s="2">
        <v>44737.0</v>
      </c>
      <c r="C8631" s="3">
        <v>0.6945370370370371</v>
      </c>
      <c r="D8631" s="1">
        <v>12.982466</v>
      </c>
      <c r="E8631" s="1">
        <v>80.168292</v>
      </c>
      <c r="F8631" s="1">
        <v>805.0</v>
      </c>
      <c r="G8631" s="1">
        <v>58.0</v>
      </c>
    </row>
    <row r="8632">
      <c r="A8632" s="1" t="s">
        <v>8</v>
      </c>
      <c r="B8632" s="2">
        <v>44737.0</v>
      </c>
      <c r="C8632" s="3">
        <v>0.6946180555555556</v>
      </c>
      <c r="D8632" s="1">
        <v>12.983605</v>
      </c>
      <c r="E8632" s="1">
        <v>80.170218</v>
      </c>
      <c r="F8632" s="1">
        <v>805.0</v>
      </c>
      <c r="G8632" s="1">
        <v>58.0</v>
      </c>
    </row>
    <row r="8633">
      <c r="A8633" s="1" t="s">
        <v>8</v>
      </c>
      <c r="B8633" s="2">
        <v>44737.0</v>
      </c>
      <c r="C8633" s="3">
        <v>0.6949884259259259</v>
      </c>
      <c r="D8633" s="1">
        <v>13.001857</v>
      </c>
      <c r="E8633" s="1">
        <v>80.198718</v>
      </c>
      <c r="F8633" s="1">
        <v>5339.0</v>
      </c>
      <c r="G8633" s="1">
        <v>44.0</v>
      </c>
    </row>
    <row r="8634">
      <c r="A8634" s="1" t="s">
        <v>9</v>
      </c>
      <c r="B8634" s="2">
        <v>44737.0</v>
      </c>
      <c r="C8634" s="3">
        <v>0.6950231481481481</v>
      </c>
      <c r="D8634" s="1">
        <v>13.004631</v>
      </c>
      <c r="E8634" s="1">
        <v>80.201149</v>
      </c>
      <c r="F8634" s="1">
        <v>5339.0</v>
      </c>
      <c r="G8634" s="1">
        <v>20.0</v>
      </c>
    </row>
    <row r="8635">
      <c r="A8635" s="1" t="s">
        <v>8</v>
      </c>
      <c r="B8635" s="2">
        <v>44737.0</v>
      </c>
      <c r="C8635" s="3">
        <v>0.695324074074074</v>
      </c>
      <c r="D8635" s="1">
        <v>12.986583</v>
      </c>
      <c r="E8635" s="1">
        <v>80.174757</v>
      </c>
      <c r="F8635" s="1">
        <v>805.0</v>
      </c>
      <c r="G8635" s="1">
        <v>21.0</v>
      </c>
    </row>
    <row r="8636">
      <c r="A8636" s="1" t="s">
        <v>8</v>
      </c>
      <c r="B8636" s="2">
        <v>44737.0</v>
      </c>
      <c r="C8636" s="3">
        <v>0.6956134259259259</v>
      </c>
      <c r="D8636" s="1">
        <v>13.007483</v>
      </c>
      <c r="E8636" s="1">
        <v>80.203087</v>
      </c>
      <c r="F8636" s="1">
        <v>5339.0</v>
      </c>
      <c r="G8636" s="1">
        <v>38.0</v>
      </c>
    </row>
    <row r="8637">
      <c r="A8637" s="1" t="s">
        <v>8</v>
      </c>
      <c r="B8637" s="2">
        <v>44737.0</v>
      </c>
      <c r="C8637" s="3">
        <v>0.6958680555555555</v>
      </c>
      <c r="D8637" s="1">
        <v>13.00761</v>
      </c>
      <c r="E8637" s="1">
        <v>80.205225</v>
      </c>
      <c r="F8637" s="1">
        <v>5339.0</v>
      </c>
      <c r="G8637" s="1">
        <v>53.0</v>
      </c>
    </row>
    <row r="8638">
      <c r="A8638" s="1" t="s">
        <v>9</v>
      </c>
      <c r="B8638" s="2">
        <v>44737.0</v>
      </c>
      <c r="C8638" s="3">
        <v>0.6959722222222222</v>
      </c>
      <c r="D8638" s="1">
        <v>13.007876</v>
      </c>
      <c r="E8638" s="1">
        <v>80.20722</v>
      </c>
      <c r="F8638" s="1">
        <v>5339.0</v>
      </c>
      <c r="G8638" s="1">
        <v>49.0</v>
      </c>
    </row>
    <row r="8639">
      <c r="A8639" s="1" t="s">
        <v>7</v>
      </c>
      <c r="B8639" s="2">
        <v>44737.0</v>
      </c>
      <c r="C8639" s="3">
        <v>0.6961342592592593</v>
      </c>
      <c r="D8639" s="1">
        <v>12.989416</v>
      </c>
      <c r="E8639" s="1">
        <v>80.178719</v>
      </c>
      <c r="F8639" s="1">
        <v>805.0</v>
      </c>
      <c r="G8639" s="1">
        <v>12.0</v>
      </c>
    </row>
    <row r="8640">
      <c r="A8640" s="1" t="s">
        <v>8</v>
      </c>
      <c r="B8640" s="2">
        <v>44737.0</v>
      </c>
      <c r="C8640" s="3">
        <v>0.6962037037037037</v>
      </c>
      <c r="D8640" s="1">
        <v>12.990092</v>
      </c>
      <c r="E8640" s="1">
        <v>80.179615</v>
      </c>
      <c r="F8640" s="1">
        <v>805.0</v>
      </c>
      <c r="G8640" s="1">
        <v>45.0</v>
      </c>
    </row>
    <row r="8641">
      <c r="A8641" s="1" t="s">
        <v>7</v>
      </c>
      <c r="B8641" s="2">
        <v>44737.0</v>
      </c>
      <c r="C8641" s="3">
        <v>0.6963541666666667</v>
      </c>
      <c r="D8641" s="1">
        <v>12.990092</v>
      </c>
      <c r="E8641" s="1">
        <v>80.179615</v>
      </c>
      <c r="F8641" s="1">
        <v>805.0</v>
      </c>
      <c r="G8641" s="1">
        <v>45.0</v>
      </c>
    </row>
    <row r="8642">
      <c r="A8642" s="1" t="s">
        <v>8</v>
      </c>
      <c r="B8642" s="2">
        <v>44737.0</v>
      </c>
      <c r="C8642" s="3">
        <v>0.6965740740740741</v>
      </c>
      <c r="D8642" s="1">
        <v>12.697381</v>
      </c>
      <c r="E8642" s="1">
        <v>79.976494</v>
      </c>
      <c r="F8642" s="1">
        <v>2846.0</v>
      </c>
      <c r="G8642" s="1">
        <v>13.0</v>
      </c>
    </row>
    <row r="8643">
      <c r="A8643" s="1" t="s">
        <v>8</v>
      </c>
      <c r="B8643" s="2">
        <v>44737.0</v>
      </c>
      <c r="C8643" s="3">
        <v>0.6966087962962964</v>
      </c>
      <c r="D8643" s="1">
        <v>12.696698</v>
      </c>
      <c r="E8643" s="1">
        <v>79.976961</v>
      </c>
      <c r="F8643" s="1">
        <v>2846.0</v>
      </c>
      <c r="G8643" s="1">
        <v>7.0</v>
      </c>
    </row>
    <row r="8644">
      <c r="A8644" s="1" t="s">
        <v>8</v>
      </c>
      <c r="B8644" s="2">
        <v>44737.0</v>
      </c>
      <c r="C8644" s="3">
        <v>0.6966319444444444</v>
      </c>
      <c r="D8644" s="1">
        <v>13.009169</v>
      </c>
      <c r="E8644" s="1">
        <v>80.212077</v>
      </c>
      <c r="F8644" s="1">
        <v>5339.0</v>
      </c>
      <c r="G8644" s="1">
        <v>27.0</v>
      </c>
    </row>
    <row r="8645">
      <c r="A8645" s="1" t="s">
        <v>7</v>
      </c>
      <c r="B8645" s="2">
        <v>44737.0</v>
      </c>
      <c r="C8645" s="3">
        <v>0.6966782407407407</v>
      </c>
      <c r="D8645" s="1">
        <v>12.992897</v>
      </c>
      <c r="E8645" s="1">
        <v>80.183446</v>
      </c>
      <c r="F8645" s="1">
        <v>805.0</v>
      </c>
      <c r="G8645" s="1">
        <v>55.0</v>
      </c>
    </row>
    <row r="8646">
      <c r="A8646" s="1" t="s">
        <v>8</v>
      </c>
      <c r="B8646" s="2">
        <v>44737.0</v>
      </c>
      <c r="C8646" s="3">
        <v>0.6967129629629629</v>
      </c>
      <c r="D8646" s="1">
        <v>12.696687</v>
      </c>
      <c r="E8646" s="1">
        <v>79.97697</v>
      </c>
      <c r="F8646" s="1">
        <v>2846.0</v>
      </c>
      <c r="G8646" s="1">
        <v>0.0</v>
      </c>
    </row>
    <row r="8647">
      <c r="A8647" s="1" t="s">
        <v>9</v>
      </c>
      <c r="B8647" s="2">
        <v>44737.0</v>
      </c>
      <c r="C8647" s="3">
        <v>0.6974074074074074</v>
      </c>
      <c r="D8647" s="1">
        <v>12.693974</v>
      </c>
      <c r="E8647" s="1">
        <v>79.979032</v>
      </c>
      <c r="F8647" s="1">
        <v>2846.0</v>
      </c>
      <c r="G8647" s="1">
        <v>22.0</v>
      </c>
    </row>
    <row r="8648">
      <c r="A8648" s="1" t="s">
        <v>8</v>
      </c>
      <c r="B8648" s="2">
        <v>44737.0</v>
      </c>
      <c r="C8648" s="3">
        <v>0.6975347222222222</v>
      </c>
      <c r="D8648" s="1">
        <v>13.010891</v>
      </c>
      <c r="E8648" s="1">
        <v>80.217021</v>
      </c>
      <c r="F8648" s="1">
        <v>5339.0</v>
      </c>
      <c r="G8648" s="1">
        <v>0.0</v>
      </c>
    </row>
    <row r="8649">
      <c r="A8649" s="1" t="s">
        <v>8</v>
      </c>
      <c r="B8649" s="2">
        <v>44737.0</v>
      </c>
      <c r="C8649" s="3">
        <v>0.6976388888888889</v>
      </c>
      <c r="D8649" s="1">
        <v>12.99595</v>
      </c>
      <c r="E8649" s="1">
        <v>80.189112</v>
      </c>
      <c r="F8649" s="1">
        <v>805.0</v>
      </c>
      <c r="G8649" s="1">
        <v>0.0</v>
      </c>
    </row>
    <row r="8650">
      <c r="A8650" s="1" t="s">
        <v>10</v>
      </c>
      <c r="B8650" s="2">
        <v>44737.0</v>
      </c>
      <c r="C8650" s="3">
        <v>0.6976736111111111</v>
      </c>
      <c r="D8650" s="1">
        <v>12.695813</v>
      </c>
      <c r="E8650" s="1">
        <v>79.977698</v>
      </c>
      <c r="F8650" s="1">
        <v>2846.0</v>
      </c>
      <c r="G8650" s="1">
        <v>30.0</v>
      </c>
    </row>
    <row r="8651">
      <c r="A8651" s="1" t="s">
        <v>8</v>
      </c>
      <c r="B8651" s="2">
        <v>44737.0</v>
      </c>
      <c r="C8651" s="3">
        <v>0.6977083333333334</v>
      </c>
      <c r="D8651" s="1">
        <v>12.99595</v>
      </c>
      <c r="E8651" s="1">
        <v>80.189112</v>
      </c>
      <c r="F8651" s="1">
        <v>805.0</v>
      </c>
      <c r="G8651" s="1">
        <v>0.0</v>
      </c>
    </row>
    <row r="8652">
      <c r="A8652" s="1" t="s">
        <v>8</v>
      </c>
      <c r="B8652" s="2">
        <v>44737.0</v>
      </c>
      <c r="C8652" s="3">
        <v>0.698113425925926</v>
      </c>
      <c r="D8652" s="1">
        <v>12.997667</v>
      </c>
      <c r="E8652" s="1">
        <v>80.191188</v>
      </c>
      <c r="F8652" s="1">
        <v>805.0</v>
      </c>
      <c r="G8652" s="1">
        <v>48.0</v>
      </c>
    </row>
    <row r="8653">
      <c r="A8653" s="1" t="s">
        <v>8</v>
      </c>
      <c r="B8653" s="2">
        <v>44737.0</v>
      </c>
      <c r="C8653" s="3">
        <v>0.6981712962962963</v>
      </c>
      <c r="D8653" s="1">
        <v>12.998861</v>
      </c>
      <c r="E8653" s="1">
        <v>80.192651</v>
      </c>
      <c r="F8653" s="1">
        <v>805.0</v>
      </c>
      <c r="G8653" s="1">
        <v>43.0</v>
      </c>
    </row>
    <row r="8654">
      <c r="A8654" s="1" t="s">
        <v>8</v>
      </c>
      <c r="B8654" s="2">
        <v>44737.0</v>
      </c>
      <c r="C8654" s="3">
        <v>0.6986111111111111</v>
      </c>
      <c r="D8654" s="1">
        <v>13.000767</v>
      </c>
      <c r="E8654" s="1">
        <v>80.194995</v>
      </c>
      <c r="F8654" s="1">
        <v>805.0</v>
      </c>
      <c r="G8654" s="1">
        <v>28.0</v>
      </c>
    </row>
    <row r="8655">
      <c r="A8655" s="1" t="s">
        <v>8</v>
      </c>
      <c r="B8655" s="2">
        <v>44737.0</v>
      </c>
      <c r="C8655" s="3">
        <v>0.6987384259259259</v>
      </c>
      <c r="D8655" s="1">
        <v>13.001351</v>
      </c>
      <c r="E8655" s="1">
        <v>80.195705</v>
      </c>
      <c r="F8655" s="1">
        <v>805.0</v>
      </c>
      <c r="G8655" s="1">
        <v>16.0</v>
      </c>
    </row>
    <row r="8656">
      <c r="A8656" s="1" t="s">
        <v>9</v>
      </c>
      <c r="B8656" s="2">
        <v>44737.0</v>
      </c>
      <c r="C8656" s="3">
        <v>0.6989351851851852</v>
      </c>
      <c r="D8656" s="1">
        <v>12.687614</v>
      </c>
      <c r="E8656" s="1">
        <v>79.982968</v>
      </c>
      <c r="F8656" s="1">
        <v>2846.0</v>
      </c>
      <c r="G8656" s="1">
        <v>30.0</v>
      </c>
    </row>
    <row r="8657">
      <c r="A8657" s="1" t="s">
        <v>8</v>
      </c>
      <c r="B8657" s="2">
        <v>44737.0</v>
      </c>
      <c r="C8657" s="3">
        <v>0.6993634259259259</v>
      </c>
      <c r="D8657" s="1">
        <v>13.001801</v>
      </c>
      <c r="E8657" s="1">
        <v>80.199505</v>
      </c>
      <c r="F8657" s="1">
        <v>805.0</v>
      </c>
      <c r="G8657" s="1">
        <v>40.0</v>
      </c>
    </row>
    <row r="8658">
      <c r="A8658" s="1" t="s">
        <v>8</v>
      </c>
      <c r="B8658" s="2">
        <v>44737.0</v>
      </c>
      <c r="C8658" s="3">
        <v>0.6995370370370371</v>
      </c>
      <c r="D8658" s="1">
        <v>13.002688</v>
      </c>
      <c r="E8658" s="1">
        <v>80.200598</v>
      </c>
      <c r="F8658" s="1">
        <v>805.0</v>
      </c>
      <c r="G8658" s="1">
        <v>38.0</v>
      </c>
    </row>
    <row r="8659">
      <c r="A8659" s="1" t="s">
        <v>8</v>
      </c>
      <c r="B8659" s="2">
        <v>44737.0</v>
      </c>
      <c r="C8659" s="3">
        <v>0.6996527777777778</v>
      </c>
      <c r="D8659" s="1">
        <v>13.003954</v>
      </c>
      <c r="E8659" s="1">
        <v>80.200935</v>
      </c>
      <c r="F8659" s="1">
        <v>805.0</v>
      </c>
      <c r="G8659" s="1">
        <v>28.0</v>
      </c>
    </row>
    <row r="8660">
      <c r="A8660" s="1" t="s">
        <v>8</v>
      </c>
      <c r="B8660" s="2">
        <v>44737.0</v>
      </c>
      <c r="C8660" s="3">
        <v>0.7</v>
      </c>
      <c r="D8660" s="1">
        <v>12.682688</v>
      </c>
      <c r="E8660" s="1">
        <v>79.982649</v>
      </c>
      <c r="F8660" s="1">
        <v>2846.0</v>
      </c>
      <c r="G8660" s="1">
        <v>18.0</v>
      </c>
    </row>
    <row r="8661">
      <c r="A8661" s="1" t="s">
        <v>8</v>
      </c>
      <c r="B8661" s="2">
        <v>44737.0</v>
      </c>
      <c r="C8661" s="3">
        <v>0.7002199074074074</v>
      </c>
      <c r="D8661" s="1">
        <v>13.016405</v>
      </c>
      <c r="E8661" s="1">
        <v>80.225306</v>
      </c>
      <c r="F8661" s="1">
        <v>5339.0</v>
      </c>
      <c r="G8661" s="1">
        <v>17.0</v>
      </c>
    </row>
    <row r="8662">
      <c r="A8662" s="1" t="s">
        <v>8</v>
      </c>
      <c r="B8662" s="2">
        <v>44737.0</v>
      </c>
      <c r="C8662" s="3">
        <v>0.7003125</v>
      </c>
      <c r="D8662" s="1">
        <v>13.017733</v>
      </c>
      <c r="E8662" s="1">
        <v>80.224827</v>
      </c>
      <c r="F8662" s="1">
        <v>5339.0</v>
      </c>
      <c r="G8662" s="1">
        <v>46.0</v>
      </c>
    </row>
    <row r="8663">
      <c r="A8663" s="1" t="s">
        <v>8</v>
      </c>
      <c r="B8663" s="2">
        <v>44737.0</v>
      </c>
      <c r="C8663" s="3">
        <v>0.7003125</v>
      </c>
      <c r="D8663" s="1">
        <v>13.017733</v>
      </c>
      <c r="E8663" s="1">
        <v>80.224827</v>
      </c>
      <c r="F8663" s="1">
        <v>5339.0</v>
      </c>
      <c r="G8663" s="1">
        <v>46.0</v>
      </c>
    </row>
    <row r="8664">
      <c r="A8664" s="1" t="s">
        <v>8</v>
      </c>
      <c r="B8664" s="2">
        <v>44737.0</v>
      </c>
      <c r="C8664" s="3">
        <v>0.7005439814814814</v>
      </c>
      <c r="D8664" s="1">
        <v>13.019171</v>
      </c>
      <c r="E8664" s="1">
        <v>80.22436</v>
      </c>
      <c r="F8664" s="1">
        <v>5339.0</v>
      </c>
      <c r="G8664" s="1">
        <v>30.0</v>
      </c>
    </row>
    <row r="8665">
      <c r="A8665" s="1" t="s">
        <v>8</v>
      </c>
      <c r="B8665" s="2">
        <v>44737.0</v>
      </c>
      <c r="C8665" s="3">
        <v>0.7005439814814814</v>
      </c>
      <c r="D8665" s="1">
        <v>13.019171</v>
      </c>
      <c r="E8665" s="1">
        <v>80.22436</v>
      </c>
      <c r="F8665" s="1">
        <v>5339.0</v>
      </c>
      <c r="G8665" s="1">
        <v>30.0</v>
      </c>
    </row>
    <row r="8666">
      <c r="A8666" s="1" t="s">
        <v>8</v>
      </c>
      <c r="B8666" s="2">
        <v>44737.0</v>
      </c>
      <c r="C8666" s="3">
        <v>0.7005439814814814</v>
      </c>
      <c r="D8666" s="1">
        <v>13.019171</v>
      </c>
      <c r="E8666" s="1">
        <v>80.22436</v>
      </c>
      <c r="F8666" s="1">
        <v>5339.0</v>
      </c>
      <c r="G8666" s="1">
        <v>30.0</v>
      </c>
    </row>
    <row r="8667">
      <c r="A8667" s="1" t="s">
        <v>8</v>
      </c>
      <c r="B8667" s="2">
        <v>44737.0</v>
      </c>
      <c r="C8667" s="3">
        <v>0.7006828703703704</v>
      </c>
      <c r="D8667" s="1">
        <v>13.007661</v>
      </c>
      <c r="E8667" s="1">
        <v>80.205737</v>
      </c>
      <c r="F8667" s="1">
        <v>805.0</v>
      </c>
      <c r="G8667" s="1">
        <v>60.0</v>
      </c>
    </row>
    <row r="8668">
      <c r="A8668" s="1" t="s">
        <v>8</v>
      </c>
      <c r="B8668" s="2">
        <v>44737.0</v>
      </c>
      <c r="C8668" s="3">
        <v>0.7008796296296296</v>
      </c>
      <c r="D8668" s="1">
        <v>13.007968</v>
      </c>
      <c r="E8668" s="1">
        <v>80.207994</v>
      </c>
      <c r="F8668" s="1">
        <v>805.0</v>
      </c>
      <c r="G8668" s="1">
        <v>37.0</v>
      </c>
    </row>
    <row r="8669">
      <c r="A8669" s="1" t="s">
        <v>9</v>
      </c>
      <c r="B8669" s="2">
        <v>44737.0</v>
      </c>
      <c r="C8669" s="3">
        <v>0.7010416666666667</v>
      </c>
      <c r="D8669" s="1">
        <v>13.021401</v>
      </c>
      <c r="E8669" s="1">
        <v>80.225726</v>
      </c>
      <c r="F8669" s="1">
        <v>5339.0</v>
      </c>
      <c r="G8669" s="1">
        <v>20.0</v>
      </c>
    </row>
    <row r="8670">
      <c r="A8670" s="1" t="s">
        <v>8</v>
      </c>
      <c r="B8670" s="2">
        <v>44737.0</v>
      </c>
      <c r="C8670" s="3">
        <v>0.7011921296296296</v>
      </c>
      <c r="D8670" s="1">
        <v>13.008317</v>
      </c>
      <c r="E8670" s="1">
        <v>80.209811</v>
      </c>
      <c r="F8670" s="1">
        <v>805.0</v>
      </c>
      <c r="G8670" s="1">
        <v>52.0</v>
      </c>
    </row>
    <row r="8671">
      <c r="A8671" s="1" t="s">
        <v>8</v>
      </c>
      <c r="B8671" s="2">
        <v>44737.0</v>
      </c>
      <c r="C8671" s="3">
        <v>0.7012384259259259</v>
      </c>
      <c r="D8671" s="1">
        <v>13.008944</v>
      </c>
      <c r="E8671" s="1">
        <v>80.211614</v>
      </c>
      <c r="F8671" s="1">
        <v>805.0</v>
      </c>
      <c r="G8671" s="1">
        <v>38.0</v>
      </c>
    </row>
    <row r="8672">
      <c r="A8672" s="1" t="s">
        <v>8</v>
      </c>
      <c r="B8672" s="2">
        <v>44737.0</v>
      </c>
      <c r="C8672" s="3">
        <v>0.7012384259259259</v>
      </c>
      <c r="D8672" s="1">
        <v>13.008944</v>
      </c>
      <c r="E8672" s="1">
        <v>80.211614</v>
      </c>
      <c r="F8672" s="1">
        <v>805.0</v>
      </c>
      <c r="G8672" s="1">
        <v>38.0</v>
      </c>
    </row>
    <row r="8673">
      <c r="A8673" s="1" t="s">
        <v>8</v>
      </c>
      <c r="B8673" s="2">
        <v>44737.0</v>
      </c>
      <c r="C8673" s="3">
        <v>0.7014699074074074</v>
      </c>
      <c r="D8673" s="1">
        <v>13.009547</v>
      </c>
      <c r="E8673" s="1">
        <v>80.213187</v>
      </c>
      <c r="F8673" s="1">
        <v>805.0</v>
      </c>
      <c r="G8673" s="1">
        <v>23.0</v>
      </c>
    </row>
    <row r="8674">
      <c r="A8674" s="1" t="s">
        <v>8</v>
      </c>
      <c r="B8674" s="2">
        <v>44737.0</v>
      </c>
      <c r="C8674" s="3">
        <v>0.7019675925925926</v>
      </c>
      <c r="D8674" s="1">
        <v>13.01026</v>
      </c>
      <c r="E8674" s="1">
        <v>80.215571</v>
      </c>
      <c r="F8674" s="1">
        <v>805.0</v>
      </c>
      <c r="G8674" s="1">
        <v>30.0</v>
      </c>
    </row>
    <row r="8675">
      <c r="A8675" s="1" t="s">
        <v>8</v>
      </c>
      <c r="B8675" s="2">
        <v>44737.0</v>
      </c>
      <c r="C8675" s="3">
        <v>0.7020138888888889</v>
      </c>
      <c r="D8675" s="1">
        <v>13.010794</v>
      </c>
      <c r="E8675" s="1">
        <v>80.216823</v>
      </c>
      <c r="F8675" s="1">
        <v>805.0</v>
      </c>
      <c r="G8675" s="1">
        <v>34.0</v>
      </c>
    </row>
    <row r="8676">
      <c r="A8676" s="1" t="s">
        <v>8</v>
      </c>
      <c r="B8676" s="2">
        <v>44737.0</v>
      </c>
      <c r="C8676" s="3">
        <v>0.7038310185185185</v>
      </c>
      <c r="D8676" s="1">
        <v>13.015451</v>
      </c>
      <c r="E8676" s="1">
        <v>80.225226</v>
      </c>
      <c r="F8676" s="1">
        <v>805.0</v>
      </c>
      <c r="G8676" s="1">
        <v>0.0</v>
      </c>
    </row>
    <row r="8677">
      <c r="A8677" s="1" t="s">
        <v>8</v>
      </c>
      <c r="B8677" s="2">
        <v>44737.0</v>
      </c>
      <c r="C8677" s="3">
        <v>0.7039699074074074</v>
      </c>
      <c r="D8677" s="1">
        <v>13.015451</v>
      </c>
      <c r="E8677" s="1">
        <v>80.225226</v>
      </c>
      <c r="F8677" s="1">
        <v>805.0</v>
      </c>
      <c r="G8677" s="1">
        <v>0.0</v>
      </c>
    </row>
    <row r="8678">
      <c r="A8678" s="1" t="s">
        <v>8</v>
      </c>
      <c r="B8678" s="2">
        <v>44737.0</v>
      </c>
      <c r="C8678" s="3">
        <v>0.7041550925925926</v>
      </c>
      <c r="D8678" s="1">
        <v>13.015465</v>
      </c>
      <c r="E8678" s="1">
        <v>80.225339</v>
      </c>
      <c r="F8678" s="1">
        <v>805.0</v>
      </c>
      <c r="G8678" s="1">
        <v>6.0</v>
      </c>
    </row>
    <row r="8679">
      <c r="A8679" s="1" t="s">
        <v>7</v>
      </c>
      <c r="B8679" s="2">
        <v>44737.0</v>
      </c>
      <c r="C8679" s="3">
        <v>0.7044675925925926</v>
      </c>
      <c r="D8679" s="1">
        <v>12.663478</v>
      </c>
      <c r="E8679" s="1">
        <v>79.968183</v>
      </c>
      <c r="F8679" s="1">
        <v>2846.0</v>
      </c>
      <c r="G8679" s="1">
        <v>60.0</v>
      </c>
    </row>
    <row r="8680">
      <c r="A8680" s="1" t="s">
        <v>8</v>
      </c>
      <c r="B8680" s="2">
        <v>44737.0</v>
      </c>
      <c r="C8680" s="3">
        <v>0.7048726851851852</v>
      </c>
      <c r="D8680" s="1">
        <v>13.026468</v>
      </c>
      <c r="E8680" s="1">
        <v>80.232622</v>
      </c>
      <c r="F8680" s="1">
        <v>5339.0</v>
      </c>
      <c r="G8680" s="1">
        <v>0.0</v>
      </c>
    </row>
    <row r="8681">
      <c r="A8681" s="1" t="s">
        <v>8</v>
      </c>
      <c r="B8681" s="2">
        <v>44737.0</v>
      </c>
      <c r="C8681" s="3">
        <v>0.7052662037037037</v>
      </c>
      <c r="D8681" s="1">
        <v>13.027105</v>
      </c>
      <c r="E8681" s="1">
        <v>80.233803</v>
      </c>
      <c r="F8681" s="1">
        <v>5339.0</v>
      </c>
      <c r="G8681" s="1">
        <v>34.0</v>
      </c>
    </row>
    <row r="8682">
      <c r="A8682" s="1" t="s">
        <v>8</v>
      </c>
      <c r="B8682" s="2">
        <v>44737.0</v>
      </c>
      <c r="C8682" s="3">
        <v>0.7052893518518518</v>
      </c>
      <c r="D8682" s="1">
        <v>13.027105</v>
      </c>
      <c r="E8682" s="1">
        <v>80.233803</v>
      </c>
      <c r="F8682" s="1">
        <v>5339.0</v>
      </c>
      <c r="G8682" s="1">
        <v>34.0</v>
      </c>
    </row>
    <row r="8683">
      <c r="A8683" s="1" t="s">
        <v>8</v>
      </c>
      <c r="B8683" s="2">
        <v>44737.0</v>
      </c>
      <c r="C8683" s="3">
        <v>0.705300925925926</v>
      </c>
      <c r="D8683" s="1">
        <v>12.656852</v>
      </c>
      <c r="E8683" s="1">
        <v>79.956351</v>
      </c>
      <c r="F8683" s="1">
        <v>2846.0</v>
      </c>
      <c r="G8683" s="1">
        <v>42.0</v>
      </c>
    </row>
    <row r="8684">
      <c r="A8684" s="1" t="s">
        <v>7</v>
      </c>
      <c r="B8684" s="2">
        <v>44737.0</v>
      </c>
      <c r="C8684" s="3">
        <v>0.7067476851851852</v>
      </c>
      <c r="D8684" s="1">
        <v>12.656162</v>
      </c>
      <c r="E8684" s="1">
        <v>79.950641</v>
      </c>
      <c r="F8684" s="1">
        <v>2846.0</v>
      </c>
      <c r="G8684" s="1">
        <v>26.0</v>
      </c>
    </row>
    <row r="8685">
      <c r="A8685" s="1" t="s">
        <v>7</v>
      </c>
      <c r="B8685" s="2">
        <v>44737.0</v>
      </c>
      <c r="C8685" s="3">
        <v>0.7068171296296296</v>
      </c>
      <c r="D8685" s="1">
        <v>12.657708</v>
      </c>
      <c r="E8685" s="1">
        <v>79.945398</v>
      </c>
      <c r="F8685" s="1">
        <v>2846.0</v>
      </c>
      <c r="G8685" s="1">
        <v>40.0</v>
      </c>
    </row>
    <row r="8686">
      <c r="A8686" s="1" t="s">
        <v>8</v>
      </c>
      <c r="B8686" s="2">
        <v>44737.0</v>
      </c>
      <c r="C8686" s="3">
        <v>0.706875</v>
      </c>
      <c r="D8686" s="1">
        <v>12.657708</v>
      </c>
      <c r="E8686" s="1">
        <v>79.945398</v>
      </c>
      <c r="F8686" s="1">
        <v>2846.0</v>
      </c>
      <c r="G8686" s="1">
        <v>40.0</v>
      </c>
    </row>
    <row r="8687">
      <c r="A8687" s="1" t="s">
        <v>8</v>
      </c>
      <c r="B8687" s="2">
        <v>44737.0</v>
      </c>
      <c r="C8687" s="3">
        <v>0.707488425925926</v>
      </c>
      <c r="D8687" s="1">
        <v>13.032716</v>
      </c>
      <c r="E8687" s="1">
        <v>80.242794</v>
      </c>
      <c r="F8687" s="1">
        <v>5339.0</v>
      </c>
      <c r="G8687" s="1">
        <v>36.0</v>
      </c>
    </row>
    <row r="8688">
      <c r="A8688" s="1" t="s">
        <v>8</v>
      </c>
      <c r="B8688" s="2">
        <v>44737.0</v>
      </c>
      <c r="C8688" s="3">
        <v>0.707650462962963</v>
      </c>
      <c r="D8688" s="1">
        <v>13.032716</v>
      </c>
      <c r="E8688" s="1">
        <v>80.242794</v>
      </c>
      <c r="F8688" s="1">
        <v>5339.0</v>
      </c>
      <c r="G8688" s="1">
        <v>36.0</v>
      </c>
    </row>
    <row r="8689">
      <c r="A8689" s="1" t="s">
        <v>8</v>
      </c>
      <c r="B8689" s="2">
        <v>44737.0</v>
      </c>
      <c r="C8689" s="3">
        <v>0.7080092592592593</v>
      </c>
      <c r="D8689" s="1">
        <v>12.649581</v>
      </c>
      <c r="E8689" s="1">
        <v>79.941263</v>
      </c>
      <c r="F8689" s="1">
        <v>2846.0</v>
      </c>
      <c r="G8689" s="1">
        <v>50.0</v>
      </c>
    </row>
    <row r="8690">
      <c r="A8690" s="1" t="s">
        <v>7</v>
      </c>
      <c r="B8690" s="2">
        <v>44737.0</v>
      </c>
      <c r="C8690" s="3">
        <v>0.7081597222222222</v>
      </c>
      <c r="D8690" s="1">
        <v>12.647454</v>
      </c>
      <c r="E8690" s="1">
        <v>79.940611</v>
      </c>
      <c r="F8690" s="1">
        <v>2846.0</v>
      </c>
      <c r="G8690" s="1">
        <v>56.0</v>
      </c>
    </row>
    <row r="8691">
      <c r="A8691" s="1" t="s">
        <v>7</v>
      </c>
      <c r="B8691" s="2">
        <v>44737.0</v>
      </c>
      <c r="C8691" s="3">
        <v>0.7091435185185185</v>
      </c>
      <c r="D8691" s="1">
        <v>12.64367</v>
      </c>
      <c r="E8691" s="1">
        <v>79.93864</v>
      </c>
      <c r="F8691" s="1">
        <v>2846.0</v>
      </c>
      <c r="G8691" s="1">
        <v>51.0</v>
      </c>
    </row>
    <row r="8692">
      <c r="A8692" s="1" t="s">
        <v>8</v>
      </c>
      <c r="B8692" s="2">
        <v>44737.0</v>
      </c>
      <c r="C8692" s="3">
        <v>0.7100925925925926</v>
      </c>
      <c r="D8692" s="1">
        <v>13.008019</v>
      </c>
      <c r="E8692" s="1">
        <v>80.234441</v>
      </c>
      <c r="F8692" s="1">
        <v>805.0</v>
      </c>
      <c r="G8692" s="1">
        <v>0.0</v>
      </c>
    </row>
    <row r="8693">
      <c r="A8693" s="1" t="s">
        <v>8</v>
      </c>
      <c r="B8693" s="2">
        <v>44737.0</v>
      </c>
      <c r="C8693" s="3">
        <v>0.7101041666666666</v>
      </c>
      <c r="D8693" s="1">
        <v>13.008019</v>
      </c>
      <c r="E8693" s="1">
        <v>80.234441</v>
      </c>
      <c r="F8693" s="1">
        <v>805.0</v>
      </c>
      <c r="G8693" s="1">
        <v>0.0</v>
      </c>
    </row>
    <row r="8694">
      <c r="A8694" s="1" t="s">
        <v>7</v>
      </c>
      <c r="B8694" s="2">
        <v>44737.0</v>
      </c>
      <c r="C8694" s="3">
        <v>0.7103356481481482</v>
      </c>
      <c r="D8694" s="1">
        <v>12.626423</v>
      </c>
      <c r="E8694" s="1">
        <v>79.9297</v>
      </c>
      <c r="F8694" s="1">
        <v>2846.0</v>
      </c>
      <c r="G8694" s="1">
        <v>54.0</v>
      </c>
    </row>
    <row r="8695">
      <c r="A8695" s="1" t="s">
        <v>7</v>
      </c>
      <c r="B8695" s="2">
        <v>44737.0</v>
      </c>
      <c r="C8695" s="3">
        <v>0.7106018518518519</v>
      </c>
      <c r="D8695" s="1">
        <v>12.626423</v>
      </c>
      <c r="E8695" s="1">
        <v>79.9297</v>
      </c>
      <c r="F8695" s="1">
        <v>2846.0</v>
      </c>
      <c r="G8695" s="1">
        <v>54.0</v>
      </c>
    </row>
    <row r="8696">
      <c r="A8696" s="1" t="s">
        <v>8</v>
      </c>
      <c r="B8696" s="2">
        <v>44737.0</v>
      </c>
      <c r="C8696" s="3">
        <v>0.7106828703703704</v>
      </c>
      <c r="D8696" s="1">
        <v>12.622289</v>
      </c>
      <c r="E8696" s="1">
        <v>79.927872</v>
      </c>
      <c r="F8696" s="1">
        <v>2846.0</v>
      </c>
      <c r="G8696" s="1">
        <v>57.0</v>
      </c>
    </row>
    <row r="8697">
      <c r="A8697" s="1" t="s">
        <v>9</v>
      </c>
      <c r="B8697" s="2">
        <v>44737.0</v>
      </c>
      <c r="C8697" s="3">
        <v>0.7111921296296296</v>
      </c>
      <c r="D8697" s="1">
        <v>13.041913</v>
      </c>
      <c r="E8697" s="1">
        <v>80.247394</v>
      </c>
      <c r="F8697" s="1">
        <v>5339.0</v>
      </c>
      <c r="G8697" s="1">
        <v>6.0</v>
      </c>
    </row>
    <row r="8698">
      <c r="A8698" s="1" t="s">
        <v>9</v>
      </c>
      <c r="B8698" s="2">
        <v>44737.0</v>
      </c>
      <c r="C8698" s="3">
        <v>0.7112152777777778</v>
      </c>
      <c r="D8698" s="1">
        <v>13.041913</v>
      </c>
      <c r="E8698" s="1">
        <v>80.247394</v>
      </c>
      <c r="F8698" s="1">
        <v>5339.0</v>
      </c>
      <c r="G8698" s="1">
        <v>6.0</v>
      </c>
    </row>
    <row r="8699">
      <c r="A8699" s="1" t="s">
        <v>7</v>
      </c>
      <c r="B8699" s="2">
        <v>44737.0</v>
      </c>
      <c r="C8699" s="3">
        <v>0.7114583333333333</v>
      </c>
      <c r="D8699" s="1">
        <v>12.613668</v>
      </c>
      <c r="E8699" s="1">
        <v>79.924849</v>
      </c>
      <c r="F8699" s="1">
        <v>2846.0</v>
      </c>
      <c r="G8699" s="1">
        <v>56.0</v>
      </c>
    </row>
    <row r="8700">
      <c r="A8700" s="1" t="s">
        <v>7</v>
      </c>
      <c r="B8700" s="2">
        <v>44737.0</v>
      </c>
      <c r="C8700" s="3">
        <v>0.7116319444444444</v>
      </c>
      <c r="D8700" s="1">
        <v>12.613668</v>
      </c>
      <c r="E8700" s="1">
        <v>79.924849</v>
      </c>
      <c r="F8700" s="1">
        <v>2846.0</v>
      </c>
      <c r="G8700" s="1">
        <v>56.0</v>
      </c>
    </row>
    <row r="8701">
      <c r="A8701" s="1" t="s">
        <v>8</v>
      </c>
      <c r="B8701" s="2">
        <v>44737.0</v>
      </c>
      <c r="C8701" s="3">
        <v>0.7117824074074074</v>
      </c>
      <c r="D8701" s="1">
        <v>13.043964</v>
      </c>
      <c r="E8701" s="1">
        <v>80.247803</v>
      </c>
      <c r="F8701" s="1">
        <v>5339.0</v>
      </c>
      <c r="G8701" s="1">
        <v>32.0</v>
      </c>
    </row>
    <row r="8702">
      <c r="A8702" s="1" t="s">
        <v>8</v>
      </c>
      <c r="B8702" s="2">
        <v>44737.0</v>
      </c>
      <c r="C8702" s="3">
        <v>0.7118287037037037</v>
      </c>
      <c r="D8702" s="1">
        <v>13.007045</v>
      </c>
      <c r="E8702" s="1">
        <v>80.239246</v>
      </c>
      <c r="F8702" s="1">
        <v>805.0</v>
      </c>
      <c r="G8702" s="1">
        <v>33.0</v>
      </c>
    </row>
    <row r="8703">
      <c r="A8703" s="1" t="s">
        <v>9</v>
      </c>
      <c r="B8703" s="2">
        <v>44737.0</v>
      </c>
      <c r="C8703" s="3">
        <v>0.7118402777777778</v>
      </c>
      <c r="D8703" s="1">
        <v>13.044476</v>
      </c>
      <c r="E8703" s="1">
        <v>80.247891</v>
      </c>
      <c r="F8703" s="1">
        <v>5339.0</v>
      </c>
      <c r="G8703" s="1">
        <v>7.0</v>
      </c>
    </row>
    <row r="8704">
      <c r="A8704" s="1" t="s">
        <v>7</v>
      </c>
      <c r="B8704" s="2">
        <v>44737.0</v>
      </c>
      <c r="C8704" s="3">
        <v>0.7119444444444445</v>
      </c>
      <c r="D8704" s="1">
        <v>12.609692</v>
      </c>
      <c r="E8704" s="1">
        <v>79.92255</v>
      </c>
      <c r="F8704" s="1">
        <v>2846.0</v>
      </c>
      <c r="G8704" s="1">
        <v>56.0</v>
      </c>
    </row>
    <row r="8705">
      <c r="A8705" s="1" t="s">
        <v>9</v>
      </c>
      <c r="B8705" s="2">
        <v>44737.0</v>
      </c>
      <c r="C8705" s="3">
        <v>0.7120138888888888</v>
      </c>
      <c r="D8705" s="1">
        <v>13.006832</v>
      </c>
      <c r="E8705" s="1">
        <v>80.240368</v>
      </c>
      <c r="F8705" s="1">
        <v>805.0</v>
      </c>
      <c r="G8705" s="1">
        <v>23.0</v>
      </c>
    </row>
    <row r="8706">
      <c r="A8706" s="1" t="s">
        <v>8</v>
      </c>
      <c r="B8706" s="2">
        <v>44737.0</v>
      </c>
      <c r="C8706" s="3">
        <v>0.7122800925925926</v>
      </c>
      <c r="D8706" s="1">
        <v>13.045133</v>
      </c>
      <c r="E8706" s="1">
        <v>80.248006</v>
      </c>
      <c r="F8706" s="1">
        <v>5339.0</v>
      </c>
      <c r="G8706" s="1">
        <v>16.0</v>
      </c>
    </row>
    <row r="8707">
      <c r="A8707" s="1" t="s">
        <v>8</v>
      </c>
      <c r="B8707" s="2">
        <v>44737.0</v>
      </c>
      <c r="C8707" s="3">
        <v>0.7123611111111111</v>
      </c>
      <c r="D8707" s="1">
        <v>13.045133</v>
      </c>
      <c r="E8707" s="1">
        <v>80.248006</v>
      </c>
      <c r="F8707" s="1">
        <v>5339.0</v>
      </c>
      <c r="G8707" s="1">
        <v>16.0</v>
      </c>
    </row>
    <row r="8708">
      <c r="A8708" s="1" t="s">
        <v>8</v>
      </c>
      <c r="B8708" s="2">
        <v>44737.0</v>
      </c>
      <c r="C8708" s="3">
        <v>0.7123726851851852</v>
      </c>
      <c r="D8708" s="1">
        <v>13.046346</v>
      </c>
      <c r="E8708" s="1">
        <v>80.248253</v>
      </c>
      <c r="F8708" s="1">
        <v>5339.0</v>
      </c>
      <c r="G8708" s="1">
        <v>33.0</v>
      </c>
    </row>
    <row r="8709">
      <c r="A8709" s="1" t="s">
        <v>7</v>
      </c>
      <c r="B8709" s="2">
        <v>44737.0</v>
      </c>
      <c r="C8709" s="3">
        <v>0.7123958333333333</v>
      </c>
      <c r="D8709" s="1">
        <v>12.609692</v>
      </c>
      <c r="E8709" s="1">
        <v>79.92255</v>
      </c>
      <c r="F8709" s="1">
        <v>2846.0</v>
      </c>
      <c r="G8709" s="1">
        <v>56.0</v>
      </c>
    </row>
    <row r="8710">
      <c r="A8710" s="1" t="s">
        <v>10</v>
      </c>
      <c r="B8710" s="2">
        <v>44737.0</v>
      </c>
      <c r="C8710" s="3">
        <v>0.7126851851851852</v>
      </c>
      <c r="D8710" s="1">
        <v>13.006714</v>
      </c>
      <c r="E8710" s="1">
        <v>80.245298</v>
      </c>
      <c r="F8710" s="1">
        <v>805.0</v>
      </c>
      <c r="G8710" s="1">
        <v>0.0</v>
      </c>
    </row>
    <row r="8711">
      <c r="A8711" s="1" t="s">
        <v>8</v>
      </c>
      <c r="B8711" s="2">
        <v>44737.0</v>
      </c>
      <c r="C8711" s="3">
        <v>0.7127430555555555</v>
      </c>
      <c r="D8711" s="1">
        <v>13.048824</v>
      </c>
      <c r="E8711" s="1">
        <v>80.249632</v>
      </c>
      <c r="F8711" s="1">
        <v>5339.0</v>
      </c>
      <c r="G8711" s="1">
        <v>38.0</v>
      </c>
    </row>
    <row r="8712">
      <c r="A8712" s="1" t="s">
        <v>8</v>
      </c>
      <c r="B8712" s="2">
        <v>44737.0</v>
      </c>
      <c r="C8712" s="3">
        <v>0.7129282407407408</v>
      </c>
      <c r="D8712" s="1">
        <v>12.59893</v>
      </c>
      <c r="E8712" s="1">
        <v>79.919821</v>
      </c>
      <c r="F8712" s="1">
        <v>2846.0</v>
      </c>
      <c r="G8712" s="1">
        <v>56.0</v>
      </c>
    </row>
    <row r="8713">
      <c r="A8713" s="1" t="s">
        <v>8</v>
      </c>
      <c r="B8713" s="2">
        <v>44737.0</v>
      </c>
      <c r="C8713" s="3">
        <v>0.7129976851851851</v>
      </c>
      <c r="D8713" s="1">
        <v>12.59661</v>
      </c>
      <c r="E8713" s="1">
        <v>79.91956</v>
      </c>
      <c r="F8713" s="1">
        <v>2846.0</v>
      </c>
      <c r="G8713" s="1">
        <v>58.0</v>
      </c>
    </row>
    <row r="8714">
      <c r="A8714" s="1" t="s">
        <v>8</v>
      </c>
      <c r="B8714" s="2">
        <v>44737.0</v>
      </c>
      <c r="C8714" s="3">
        <v>0.7131944444444445</v>
      </c>
      <c r="D8714" s="1">
        <v>13.006759</v>
      </c>
      <c r="E8714" s="1">
        <v>80.247702</v>
      </c>
      <c r="F8714" s="1">
        <v>805.0</v>
      </c>
      <c r="G8714" s="1">
        <v>20.0</v>
      </c>
    </row>
    <row r="8715">
      <c r="A8715" s="1" t="s">
        <v>8</v>
      </c>
      <c r="B8715" s="2">
        <v>44737.0</v>
      </c>
      <c r="C8715" s="3">
        <v>0.7132175925925925</v>
      </c>
      <c r="D8715" s="1">
        <v>13.052463</v>
      </c>
      <c r="E8715" s="1">
        <v>80.251129</v>
      </c>
      <c r="F8715" s="1">
        <v>5339.0</v>
      </c>
      <c r="G8715" s="1">
        <v>44.0</v>
      </c>
    </row>
    <row r="8716">
      <c r="A8716" s="1" t="s">
        <v>8</v>
      </c>
      <c r="B8716" s="2">
        <v>44737.0</v>
      </c>
      <c r="C8716" s="3">
        <v>0.7132291666666667</v>
      </c>
      <c r="D8716" s="1">
        <v>13.052463</v>
      </c>
      <c r="E8716" s="1">
        <v>80.251129</v>
      </c>
      <c r="F8716" s="1">
        <v>5339.0</v>
      </c>
      <c r="G8716" s="1">
        <v>44.0</v>
      </c>
    </row>
    <row r="8717">
      <c r="A8717" s="1" t="s">
        <v>7</v>
      </c>
      <c r="B8717" s="2">
        <v>44737.0</v>
      </c>
      <c r="C8717" s="3">
        <v>0.7133101851851852</v>
      </c>
      <c r="D8717" s="1">
        <v>12.59661</v>
      </c>
      <c r="E8717" s="1">
        <v>79.91956</v>
      </c>
      <c r="F8717" s="1">
        <v>2846.0</v>
      </c>
      <c r="G8717" s="1">
        <v>58.0</v>
      </c>
    </row>
    <row r="8718">
      <c r="A8718" s="1" t="s">
        <v>8</v>
      </c>
      <c r="B8718" s="2">
        <v>44737.0</v>
      </c>
      <c r="C8718" s="3">
        <v>0.7135648148148148</v>
      </c>
      <c r="D8718" s="1">
        <v>13.05391</v>
      </c>
      <c r="E8718" s="1">
        <v>80.25311</v>
      </c>
      <c r="F8718" s="1">
        <v>5339.0</v>
      </c>
      <c r="G8718" s="1">
        <v>25.0</v>
      </c>
    </row>
    <row r="8719">
      <c r="A8719" s="1" t="s">
        <v>8</v>
      </c>
      <c r="B8719" s="2">
        <v>44737.0</v>
      </c>
      <c r="C8719" s="3">
        <v>0.7136805555555555</v>
      </c>
      <c r="D8719" s="1">
        <v>12.587473</v>
      </c>
      <c r="E8719" s="1">
        <v>79.919469</v>
      </c>
      <c r="F8719" s="1">
        <v>2846.0</v>
      </c>
      <c r="G8719" s="1">
        <v>58.0</v>
      </c>
    </row>
    <row r="8720">
      <c r="A8720" s="1" t="s">
        <v>7</v>
      </c>
      <c r="B8720" s="2">
        <v>44737.0</v>
      </c>
      <c r="C8720" s="3">
        <v>0.713912037037037</v>
      </c>
      <c r="D8720" s="1">
        <v>12.587473</v>
      </c>
      <c r="E8720" s="1">
        <v>79.919469</v>
      </c>
      <c r="F8720" s="1">
        <v>2846.0</v>
      </c>
      <c r="G8720" s="1">
        <v>58.0</v>
      </c>
    </row>
    <row r="8721">
      <c r="A8721" s="1" t="s">
        <v>8</v>
      </c>
      <c r="B8721" s="2">
        <v>44737.0</v>
      </c>
      <c r="C8721" s="3">
        <v>0.7147453703703703</v>
      </c>
      <c r="D8721" s="1">
        <v>13.006949</v>
      </c>
      <c r="E8721" s="1">
        <v>80.251108</v>
      </c>
      <c r="F8721" s="1">
        <v>805.0</v>
      </c>
      <c r="G8721" s="1">
        <v>6.0</v>
      </c>
    </row>
    <row r="8722">
      <c r="A8722" s="1" t="s">
        <v>8</v>
      </c>
      <c r="B8722" s="2">
        <v>44737.0</v>
      </c>
      <c r="C8722" s="3">
        <v>0.7149768518518519</v>
      </c>
      <c r="D8722" s="1">
        <v>13.006907</v>
      </c>
      <c r="E8722" s="1">
        <v>80.251371</v>
      </c>
      <c r="F8722" s="1">
        <v>805.0</v>
      </c>
      <c r="G8722" s="1">
        <v>11.0</v>
      </c>
    </row>
    <row r="8723">
      <c r="A8723" s="1" t="s">
        <v>7</v>
      </c>
      <c r="B8723" s="2">
        <v>44737.0</v>
      </c>
      <c r="C8723" s="3">
        <v>0.7150578703703704</v>
      </c>
      <c r="D8723" s="1">
        <v>12.581015</v>
      </c>
      <c r="E8723" s="1">
        <v>79.918785</v>
      </c>
      <c r="F8723" s="1">
        <v>2846.0</v>
      </c>
      <c r="G8723" s="1">
        <v>45.0</v>
      </c>
    </row>
    <row r="8724">
      <c r="A8724" s="1" t="s">
        <v>10</v>
      </c>
      <c r="B8724" s="2">
        <v>44737.0</v>
      </c>
      <c r="C8724" s="3">
        <v>0.7168055555555556</v>
      </c>
      <c r="D8724" s="1">
        <v>13.053682</v>
      </c>
      <c r="E8724" s="1">
        <v>80.266308</v>
      </c>
      <c r="F8724" s="1">
        <v>5339.0</v>
      </c>
      <c r="G8724" s="1">
        <v>47.0</v>
      </c>
    </row>
    <row r="8725">
      <c r="A8725" s="1" t="s">
        <v>10</v>
      </c>
      <c r="B8725" s="2">
        <v>44737.0</v>
      </c>
      <c r="C8725" s="3">
        <v>0.7175462962962963</v>
      </c>
      <c r="D8725" s="1">
        <v>13.053585</v>
      </c>
      <c r="E8725" s="1">
        <v>80.267358</v>
      </c>
      <c r="F8725" s="1">
        <v>5339.0</v>
      </c>
      <c r="G8725" s="1">
        <v>21.0</v>
      </c>
    </row>
    <row r="8726">
      <c r="A8726" s="1" t="s">
        <v>7</v>
      </c>
      <c r="B8726" s="2">
        <v>44737.0</v>
      </c>
      <c r="C8726" s="3">
        <v>0.7176388888888889</v>
      </c>
      <c r="D8726" s="1">
        <v>12.544604</v>
      </c>
      <c r="E8726" s="1">
        <v>79.905207</v>
      </c>
      <c r="F8726" s="1">
        <v>2846.0</v>
      </c>
      <c r="G8726" s="1">
        <v>48.0</v>
      </c>
    </row>
    <row r="8727">
      <c r="A8727" s="1" t="s">
        <v>8</v>
      </c>
      <c r="B8727" s="2">
        <v>44737.0</v>
      </c>
      <c r="C8727" s="3">
        <v>0.7179976851851851</v>
      </c>
      <c r="D8727" s="1">
        <v>12.542438</v>
      </c>
      <c r="E8727" s="1">
        <v>79.904782</v>
      </c>
      <c r="F8727" s="1">
        <v>2846.0</v>
      </c>
      <c r="G8727" s="1">
        <v>39.0</v>
      </c>
    </row>
    <row r="8728">
      <c r="A8728" s="1" t="s">
        <v>10</v>
      </c>
      <c r="B8728" s="2">
        <v>44737.0</v>
      </c>
      <c r="C8728" s="3">
        <v>0.7180902777777778</v>
      </c>
      <c r="D8728" s="1">
        <v>13.053321</v>
      </c>
      <c r="E8728" s="1">
        <v>80.270273</v>
      </c>
      <c r="F8728" s="1">
        <v>5339.0</v>
      </c>
      <c r="G8728" s="1">
        <v>21.0</v>
      </c>
    </row>
    <row r="8729">
      <c r="A8729" s="1" t="s">
        <v>7</v>
      </c>
      <c r="B8729" s="2">
        <v>44737.0</v>
      </c>
      <c r="C8729" s="3">
        <v>0.7182060185185185</v>
      </c>
      <c r="D8729" s="1">
        <v>13.008663</v>
      </c>
      <c r="E8729" s="1">
        <v>80.259016</v>
      </c>
      <c r="F8729" s="1">
        <v>805.0</v>
      </c>
      <c r="G8729" s="1">
        <v>5.0</v>
      </c>
    </row>
    <row r="8730">
      <c r="A8730" s="1" t="s">
        <v>10</v>
      </c>
      <c r="B8730" s="2">
        <v>44737.0</v>
      </c>
      <c r="C8730" s="3">
        <v>0.7182175925925925</v>
      </c>
      <c r="D8730" s="1">
        <v>13.053236</v>
      </c>
      <c r="E8730" s="1">
        <v>80.271289</v>
      </c>
      <c r="F8730" s="1">
        <v>5339.0</v>
      </c>
      <c r="G8730" s="1">
        <v>19.0</v>
      </c>
    </row>
    <row r="8731">
      <c r="A8731" s="1" t="s">
        <v>10</v>
      </c>
      <c r="B8731" s="2">
        <v>44737.0</v>
      </c>
      <c r="C8731" s="3">
        <v>0.7182638888888889</v>
      </c>
      <c r="D8731" s="1">
        <v>13.053236</v>
      </c>
      <c r="E8731" s="1">
        <v>80.271289</v>
      </c>
      <c r="F8731" s="1">
        <v>5339.0</v>
      </c>
      <c r="G8731" s="1">
        <v>19.0</v>
      </c>
    </row>
    <row r="8732">
      <c r="A8732" s="1" t="s">
        <v>8</v>
      </c>
      <c r="B8732" s="2">
        <v>44737.0</v>
      </c>
      <c r="C8732" s="3">
        <v>0.718275462962963</v>
      </c>
      <c r="D8732" s="1">
        <v>12.538362</v>
      </c>
      <c r="E8732" s="1">
        <v>79.90395</v>
      </c>
      <c r="F8732" s="1">
        <v>2846.0</v>
      </c>
      <c r="G8732" s="1">
        <v>51.0</v>
      </c>
    </row>
    <row r="8733">
      <c r="A8733" s="1" t="s">
        <v>9</v>
      </c>
      <c r="B8733" s="2">
        <v>44737.0</v>
      </c>
      <c r="C8733" s="3">
        <v>0.718912037037037</v>
      </c>
      <c r="D8733" s="1">
        <v>13.012778</v>
      </c>
      <c r="E8733" s="1">
        <v>80.259158</v>
      </c>
      <c r="F8733" s="1">
        <v>805.0</v>
      </c>
      <c r="G8733" s="1">
        <v>57.0</v>
      </c>
    </row>
    <row r="8734">
      <c r="A8734" s="1" t="s">
        <v>10</v>
      </c>
      <c r="B8734" s="2">
        <v>44737.0</v>
      </c>
      <c r="C8734" s="3">
        <v>0.7190393518518519</v>
      </c>
      <c r="D8734" s="1">
        <v>13.052851</v>
      </c>
      <c r="E8734" s="1">
        <v>80.273305</v>
      </c>
      <c r="F8734" s="1">
        <v>5339.0</v>
      </c>
      <c r="G8734" s="1">
        <v>0.0</v>
      </c>
    </row>
    <row r="8735">
      <c r="A8735" s="1" t="s">
        <v>10</v>
      </c>
      <c r="B8735" s="2">
        <v>44737.0</v>
      </c>
      <c r="C8735" s="3">
        <v>0.7190740740740741</v>
      </c>
      <c r="D8735" s="1">
        <v>13.052851</v>
      </c>
      <c r="E8735" s="1">
        <v>80.273305</v>
      </c>
      <c r="F8735" s="1">
        <v>5339.0</v>
      </c>
      <c r="G8735" s="1">
        <v>0.0</v>
      </c>
    </row>
    <row r="8736">
      <c r="A8736" s="1" t="s">
        <v>7</v>
      </c>
      <c r="B8736" s="2">
        <v>44737.0</v>
      </c>
      <c r="C8736" s="3">
        <v>0.7193981481481482</v>
      </c>
      <c r="D8736" s="1">
        <v>12.530646</v>
      </c>
      <c r="E8736" s="1">
        <v>79.899902</v>
      </c>
      <c r="F8736" s="1">
        <v>2846.0</v>
      </c>
      <c r="G8736" s="1">
        <v>19.0</v>
      </c>
    </row>
    <row r="8737">
      <c r="A8737" s="1" t="s">
        <v>7</v>
      </c>
      <c r="B8737" s="2">
        <v>44737.0</v>
      </c>
      <c r="C8737" s="3">
        <v>0.7196296296296296</v>
      </c>
      <c r="D8737" s="1">
        <v>12.527441</v>
      </c>
      <c r="E8737" s="1">
        <v>79.89825</v>
      </c>
      <c r="F8737" s="1">
        <v>2846.0</v>
      </c>
      <c r="G8737" s="1">
        <v>59.0</v>
      </c>
    </row>
    <row r="8738">
      <c r="A8738" s="1" t="s">
        <v>7</v>
      </c>
      <c r="B8738" s="2">
        <v>44737.0</v>
      </c>
      <c r="C8738" s="3">
        <v>0.7196990740740741</v>
      </c>
      <c r="D8738" s="1">
        <v>12.527441</v>
      </c>
      <c r="E8738" s="1">
        <v>79.89825</v>
      </c>
      <c r="F8738" s="1">
        <v>2846.0</v>
      </c>
      <c r="G8738" s="1">
        <v>59.0</v>
      </c>
    </row>
    <row r="8739">
      <c r="A8739" s="1" t="s">
        <v>7</v>
      </c>
      <c r="B8739" s="2">
        <v>44737.0</v>
      </c>
      <c r="C8739" s="3">
        <v>0.7201504629629629</v>
      </c>
      <c r="D8739" s="1">
        <v>12.521479</v>
      </c>
      <c r="E8739" s="1">
        <v>79.895111</v>
      </c>
      <c r="F8739" s="1">
        <v>2846.0</v>
      </c>
      <c r="G8739" s="1">
        <v>56.0</v>
      </c>
    </row>
    <row r="8740">
      <c r="A8740" s="1" t="s">
        <v>10</v>
      </c>
      <c r="B8740" s="2">
        <v>44737.0</v>
      </c>
      <c r="C8740" s="3">
        <v>0.7201736111111111</v>
      </c>
      <c r="D8740" s="1">
        <v>13.053</v>
      </c>
      <c r="E8740" s="1">
        <v>80.27369</v>
      </c>
      <c r="F8740" s="1">
        <v>5339.0</v>
      </c>
      <c r="G8740" s="1">
        <v>4.0</v>
      </c>
    </row>
    <row r="8741">
      <c r="A8741" s="1" t="s">
        <v>9</v>
      </c>
      <c r="B8741" s="2">
        <v>44737.0</v>
      </c>
      <c r="C8741" s="3">
        <v>0.7203125</v>
      </c>
      <c r="D8741" s="1">
        <v>13.020948</v>
      </c>
      <c r="E8741" s="1">
        <v>80.262877</v>
      </c>
      <c r="F8741" s="1">
        <v>805.0</v>
      </c>
      <c r="G8741" s="1">
        <v>17.0</v>
      </c>
    </row>
    <row r="8742">
      <c r="A8742" s="1" t="s">
        <v>8</v>
      </c>
      <c r="B8742" s="2">
        <v>44737.0</v>
      </c>
      <c r="C8742" s="3">
        <v>0.7212847222222222</v>
      </c>
      <c r="D8742" s="1">
        <v>12.515903</v>
      </c>
      <c r="E8742" s="1">
        <v>79.889652</v>
      </c>
      <c r="F8742" s="1">
        <v>2846.0</v>
      </c>
      <c r="G8742" s="1">
        <v>36.0</v>
      </c>
    </row>
    <row r="8743">
      <c r="A8743" s="1" t="s">
        <v>10</v>
      </c>
      <c r="B8743" s="2">
        <v>44737.0</v>
      </c>
      <c r="C8743" s="3">
        <v>0.7214467592592593</v>
      </c>
      <c r="D8743" s="1">
        <v>12.515903</v>
      </c>
      <c r="E8743" s="1">
        <v>79.889652</v>
      </c>
      <c r="F8743" s="1">
        <v>2846.0</v>
      </c>
      <c r="G8743" s="1">
        <v>36.0</v>
      </c>
    </row>
    <row r="8744">
      <c r="A8744" s="1" t="s">
        <v>10</v>
      </c>
      <c r="B8744" s="2">
        <v>44737.0</v>
      </c>
      <c r="C8744" s="3">
        <v>0.7218171296296296</v>
      </c>
      <c r="D8744" s="1">
        <v>13.058502</v>
      </c>
      <c r="E8744" s="1">
        <v>80.274121</v>
      </c>
      <c r="F8744" s="1">
        <v>5339.0</v>
      </c>
      <c r="G8744" s="1">
        <v>11.0</v>
      </c>
    </row>
    <row r="8745">
      <c r="A8745" s="1" t="s">
        <v>10</v>
      </c>
      <c r="B8745" s="2">
        <v>44737.0</v>
      </c>
      <c r="C8745" s="3">
        <v>0.7229861111111111</v>
      </c>
      <c r="D8745" s="1">
        <v>13.063078</v>
      </c>
      <c r="E8745" s="1">
        <v>80.274137</v>
      </c>
      <c r="F8745" s="1">
        <v>5339.0</v>
      </c>
      <c r="G8745" s="1">
        <v>17.0</v>
      </c>
    </row>
    <row r="8746">
      <c r="A8746" s="1" t="s">
        <v>10</v>
      </c>
      <c r="B8746" s="2">
        <v>44737.0</v>
      </c>
      <c r="C8746" s="3">
        <v>0.7232291666666667</v>
      </c>
      <c r="D8746" s="1">
        <v>13.063674</v>
      </c>
      <c r="E8746" s="1">
        <v>80.274047</v>
      </c>
      <c r="F8746" s="1">
        <v>5339.0</v>
      </c>
      <c r="G8746" s="1">
        <v>9.0</v>
      </c>
    </row>
    <row r="8747">
      <c r="A8747" s="1" t="s">
        <v>10</v>
      </c>
      <c r="B8747" s="2">
        <v>44737.0</v>
      </c>
      <c r="C8747" s="3">
        <v>0.7232986111111112</v>
      </c>
      <c r="D8747" s="1">
        <v>13.063674</v>
      </c>
      <c r="E8747" s="1">
        <v>80.274047</v>
      </c>
      <c r="F8747" s="1">
        <v>5339.0</v>
      </c>
      <c r="G8747" s="1">
        <v>9.0</v>
      </c>
    </row>
    <row r="8748">
      <c r="A8748" s="1" t="s">
        <v>8</v>
      </c>
      <c r="B8748" s="2">
        <v>44737.0</v>
      </c>
      <c r="C8748" s="3">
        <v>0.7242592592592593</v>
      </c>
      <c r="D8748" s="1">
        <v>13.065509</v>
      </c>
      <c r="E8748" s="1">
        <v>80.273797</v>
      </c>
      <c r="F8748" s="1">
        <v>5339.0</v>
      </c>
      <c r="G8748" s="1">
        <v>12.0</v>
      </c>
    </row>
    <row r="8749">
      <c r="A8749" s="1" t="s">
        <v>8</v>
      </c>
      <c r="B8749" s="2">
        <v>44737.0</v>
      </c>
      <c r="C8749" s="3">
        <v>0.7242824074074075</v>
      </c>
      <c r="D8749" s="1">
        <v>13.065509</v>
      </c>
      <c r="E8749" s="1">
        <v>80.273797</v>
      </c>
      <c r="F8749" s="1">
        <v>5339.0</v>
      </c>
      <c r="G8749" s="1">
        <v>12.0</v>
      </c>
    </row>
    <row r="8750">
      <c r="A8750" s="1" t="s">
        <v>8</v>
      </c>
      <c r="B8750" s="2">
        <v>44737.0</v>
      </c>
      <c r="C8750" s="3">
        <v>0.724375</v>
      </c>
      <c r="D8750" s="1">
        <v>13.065509</v>
      </c>
      <c r="E8750" s="1">
        <v>80.273797</v>
      </c>
      <c r="F8750" s="1">
        <v>5339.0</v>
      </c>
      <c r="G8750" s="1">
        <v>12.0</v>
      </c>
    </row>
    <row r="8751">
      <c r="A8751" s="1" t="s">
        <v>7</v>
      </c>
      <c r="B8751" s="2">
        <v>44737.0</v>
      </c>
      <c r="C8751" s="3">
        <v>0.7244675925925926</v>
      </c>
      <c r="D8751" s="1">
        <v>12.497605</v>
      </c>
      <c r="E8751" s="1">
        <v>79.873401</v>
      </c>
      <c r="F8751" s="1">
        <v>2846.0</v>
      </c>
      <c r="G8751" s="1">
        <v>53.0</v>
      </c>
    </row>
    <row r="8752">
      <c r="A8752" s="1" t="s">
        <v>7</v>
      </c>
      <c r="B8752" s="2">
        <v>44737.0</v>
      </c>
      <c r="C8752" s="3">
        <v>0.7246064814814814</v>
      </c>
      <c r="D8752" s="1">
        <v>12.497605</v>
      </c>
      <c r="E8752" s="1">
        <v>79.873401</v>
      </c>
      <c r="F8752" s="1">
        <v>2846.0</v>
      </c>
      <c r="G8752" s="1">
        <v>53.0</v>
      </c>
    </row>
    <row r="8753">
      <c r="A8753" s="1" t="s">
        <v>7</v>
      </c>
      <c r="B8753" s="2">
        <v>44737.0</v>
      </c>
      <c r="C8753" s="3">
        <v>0.725949074074074</v>
      </c>
      <c r="D8753" s="1">
        <v>12.488364</v>
      </c>
      <c r="E8753" s="1">
        <v>79.865834</v>
      </c>
      <c r="F8753" s="1">
        <v>2846.0</v>
      </c>
      <c r="G8753" s="1">
        <v>54.0</v>
      </c>
    </row>
    <row r="8754">
      <c r="A8754" s="1" t="s">
        <v>10</v>
      </c>
      <c r="B8754" s="2">
        <v>44737.0</v>
      </c>
      <c r="C8754" s="3">
        <v>0.7264467592592593</v>
      </c>
      <c r="D8754" s="1">
        <v>13.068469</v>
      </c>
      <c r="E8754" s="1">
        <v>80.268558</v>
      </c>
      <c r="F8754" s="1">
        <v>5339.0</v>
      </c>
      <c r="G8754" s="1">
        <v>7.0</v>
      </c>
    </row>
    <row r="8755">
      <c r="A8755" s="1" t="s">
        <v>7</v>
      </c>
      <c r="B8755" s="2">
        <v>44737.0</v>
      </c>
      <c r="C8755" s="3">
        <v>0.7264583333333333</v>
      </c>
      <c r="D8755" s="1">
        <v>12.481178</v>
      </c>
      <c r="E8755" s="1">
        <v>79.860783</v>
      </c>
      <c r="F8755" s="1">
        <v>2846.0</v>
      </c>
      <c r="G8755" s="1">
        <v>54.0</v>
      </c>
    </row>
    <row r="8756">
      <c r="A8756" s="1" t="s">
        <v>10</v>
      </c>
      <c r="B8756" s="2">
        <v>44737.0</v>
      </c>
      <c r="C8756" s="3">
        <v>0.7273611111111111</v>
      </c>
      <c r="D8756" s="1">
        <v>13.070599</v>
      </c>
      <c r="E8756" s="1">
        <v>80.265565</v>
      </c>
      <c r="F8756" s="1">
        <v>5339.0</v>
      </c>
      <c r="G8756" s="1">
        <v>27.0</v>
      </c>
    </row>
    <row r="8757">
      <c r="A8757" s="1" t="s">
        <v>10</v>
      </c>
      <c r="B8757" s="2">
        <v>44737.0</v>
      </c>
      <c r="C8757" s="3">
        <v>0.7274421296296296</v>
      </c>
      <c r="D8757" s="1">
        <v>13.070599</v>
      </c>
      <c r="E8757" s="1">
        <v>80.265565</v>
      </c>
      <c r="F8757" s="1">
        <v>5339.0</v>
      </c>
      <c r="G8757" s="1">
        <v>27.0</v>
      </c>
    </row>
    <row r="8758">
      <c r="A8758" s="1" t="s">
        <v>7</v>
      </c>
      <c r="B8758" s="2">
        <v>44737.0</v>
      </c>
      <c r="C8758" s="3">
        <v>0.7275347222222223</v>
      </c>
      <c r="D8758" s="1">
        <v>12.472881</v>
      </c>
      <c r="E8758" s="1">
        <v>79.855687</v>
      </c>
      <c r="F8758" s="1">
        <v>2846.0</v>
      </c>
      <c r="G8758" s="1">
        <v>36.0</v>
      </c>
    </row>
    <row r="8759">
      <c r="A8759" s="1" t="s">
        <v>8</v>
      </c>
      <c r="B8759" s="2">
        <v>44737.0</v>
      </c>
      <c r="C8759" s="3">
        <v>0.7277893518518519</v>
      </c>
      <c r="D8759" s="1">
        <v>12.469843</v>
      </c>
      <c r="E8759" s="1">
        <v>79.853078</v>
      </c>
      <c r="F8759" s="1">
        <v>2846.0</v>
      </c>
      <c r="G8759" s="1">
        <v>55.0</v>
      </c>
    </row>
    <row r="8760">
      <c r="A8760" s="1" t="s">
        <v>8</v>
      </c>
      <c r="B8760" s="2">
        <v>44737.0</v>
      </c>
      <c r="C8760" s="3">
        <v>0.7287152777777778</v>
      </c>
      <c r="D8760" s="1">
        <v>12.460816</v>
      </c>
      <c r="E8760" s="1">
        <v>79.846647</v>
      </c>
      <c r="F8760" s="1">
        <v>2846.0</v>
      </c>
      <c r="G8760" s="1">
        <v>55.0</v>
      </c>
    </row>
    <row r="8761">
      <c r="A8761" s="1" t="s">
        <v>9</v>
      </c>
      <c r="B8761" s="2">
        <v>44737.0</v>
      </c>
      <c r="C8761" s="3">
        <v>0.7290162037037037</v>
      </c>
      <c r="D8761" s="1">
        <v>13.070954</v>
      </c>
      <c r="E8761" s="1">
        <v>80.25849</v>
      </c>
      <c r="F8761" s="1">
        <v>5339.0</v>
      </c>
      <c r="G8761" s="1">
        <v>27.0</v>
      </c>
    </row>
    <row r="8762">
      <c r="A8762" s="1" t="s">
        <v>8</v>
      </c>
      <c r="B8762" s="2">
        <v>44737.0</v>
      </c>
      <c r="C8762" s="3">
        <v>0.7291203703703704</v>
      </c>
      <c r="D8762" s="1">
        <v>12.457303</v>
      </c>
      <c r="E8762" s="1">
        <v>79.844156</v>
      </c>
      <c r="F8762" s="1">
        <v>2846.0</v>
      </c>
      <c r="G8762" s="1">
        <v>51.0</v>
      </c>
    </row>
    <row r="8763">
      <c r="A8763" s="1" t="s">
        <v>7</v>
      </c>
      <c r="B8763" s="2">
        <v>44737.0</v>
      </c>
      <c r="C8763" s="3">
        <v>0.7292361111111111</v>
      </c>
      <c r="D8763" s="1">
        <v>12.455567</v>
      </c>
      <c r="E8763" s="1">
        <v>79.842942</v>
      </c>
      <c r="F8763" s="1">
        <v>2846.0</v>
      </c>
      <c r="G8763" s="1">
        <v>47.0</v>
      </c>
    </row>
    <row r="8764">
      <c r="A8764" s="1" t="s">
        <v>8</v>
      </c>
      <c r="B8764" s="2">
        <v>44737.0</v>
      </c>
      <c r="C8764" s="3">
        <v>0.7293402777777778</v>
      </c>
      <c r="D8764" s="1">
        <v>13.069887</v>
      </c>
      <c r="E8764" s="1">
        <v>80.257325</v>
      </c>
      <c r="F8764" s="1">
        <v>5339.0</v>
      </c>
      <c r="G8764" s="1">
        <v>37.0</v>
      </c>
    </row>
    <row r="8765">
      <c r="A8765" s="1" t="s">
        <v>8</v>
      </c>
      <c r="B8765" s="2">
        <v>44737.0</v>
      </c>
      <c r="C8765" s="3">
        <v>0.7313657407407408</v>
      </c>
      <c r="D8765" s="1">
        <v>13.047975</v>
      </c>
      <c r="E8765" s="1">
        <v>80.265972</v>
      </c>
      <c r="F8765" s="1">
        <v>805.0</v>
      </c>
      <c r="G8765" s="1">
        <v>18.0</v>
      </c>
    </row>
    <row r="8766">
      <c r="A8766" s="1" t="s">
        <v>8</v>
      </c>
      <c r="B8766" s="2">
        <v>44737.0</v>
      </c>
      <c r="C8766" s="3">
        <v>0.7313657407407408</v>
      </c>
      <c r="D8766" s="1">
        <v>13.047975</v>
      </c>
      <c r="E8766" s="1">
        <v>80.265972</v>
      </c>
      <c r="F8766" s="1">
        <v>805.0</v>
      </c>
      <c r="G8766" s="1">
        <v>18.0</v>
      </c>
    </row>
    <row r="8767">
      <c r="A8767" s="1" t="s">
        <v>8</v>
      </c>
      <c r="B8767" s="2">
        <v>44737.0</v>
      </c>
      <c r="C8767" s="3">
        <v>0.7313888888888889</v>
      </c>
      <c r="D8767" s="1">
        <v>13.047975</v>
      </c>
      <c r="E8767" s="1">
        <v>80.265972</v>
      </c>
      <c r="F8767" s="1">
        <v>805.0</v>
      </c>
      <c r="G8767" s="1">
        <v>18.0</v>
      </c>
    </row>
    <row r="8768">
      <c r="A8768" s="1" t="s">
        <v>8</v>
      </c>
      <c r="B8768" s="2">
        <v>44737.0</v>
      </c>
      <c r="C8768" s="3">
        <v>0.731400462962963</v>
      </c>
      <c r="D8768" s="1">
        <v>13.048643</v>
      </c>
      <c r="E8768" s="1">
        <v>80.265356</v>
      </c>
      <c r="F8768" s="1">
        <v>805.0</v>
      </c>
      <c r="G8768" s="1">
        <v>22.0</v>
      </c>
    </row>
    <row r="8769">
      <c r="A8769" s="1" t="s">
        <v>8</v>
      </c>
      <c r="B8769" s="2">
        <v>44737.0</v>
      </c>
      <c r="C8769" s="3">
        <v>0.731400462962963</v>
      </c>
      <c r="D8769" s="1">
        <v>13.048643</v>
      </c>
      <c r="E8769" s="1">
        <v>80.265356</v>
      </c>
      <c r="F8769" s="1">
        <v>805.0</v>
      </c>
      <c r="G8769" s="1">
        <v>22.0</v>
      </c>
    </row>
    <row r="8770">
      <c r="A8770" s="1" t="s">
        <v>8</v>
      </c>
      <c r="B8770" s="2">
        <v>44737.0</v>
      </c>
      <c r="C8770" s="3">
        <v>0.731574074074074</v>
      </c>
      <c r="D8770" s="1">
        <v>13.06781</v>
      </c>
      <c r="E8770" s="1">
        <v>80.248436</v>
      </c>
      <c r="F8770" s="1">
        <v>5339.0</v>
      </c>
      <c r="G8770" s="1">
        <v>31.0</v>
      </c>
    </row>
    <row r="8771">
      <c r="A8771" s="1" t="s">
        <v>8</v>
      </c>
      <c r="B8771" s="2">
        <v>44737.0</v>
      </c>
      <c r="C8771" s="3">
        <v>0.7317476851851852</v>
      </c>
      <c r="D8771" s="1">
        <v>13.06696</v>
      </c>
      <c r="E8771" s="1">
        <v>80.247866</v>
      </c>
      <c r="F8771" s="1">
        <v>5339.0</v>
      </c>
      <c r="G8771" s="1">
        <v>32.0</v>
      </c>
    </row>
    <row r="8772">
      <c r="A8772" s="1" t="s">
        <v>10</v>
      </c>
      <c r="B8772" s="2">
        <v>44737.0</v>
      </c>
      <c r="C8772" s="3">
        <v>0.7323379629629629</v>
      </c>
      <c r="D8772" s="1">
        <v>13.052039</v>
      </c>
      <c r="E8772" s="1">
        <v>80.263798</v>
      </c>
      <c r="F8772" s="1">
        <v>805.0</v>
      </c>
      <c r="G8772" s="1">
        <v>0.0</v>
      </c>
    </row>
    <row r="8773">
      <c r="A8773" s="1" t="s">
        <v>10</v>
      </c>
      <c r="B8773" s="2">
        <v>44737.0</v>
      </c>
      <c r="C8773" s="3">
        <v>0.7335069444444444</v>
      </c>
      <c r="D8773" s="1">
        <v>13.055823</v>
      </c>
      <c r="E8773" s="1">
        <v>80.264425</v>
      </c>
      <c r="F8773" s="1">
        <v>805.0</v>
      </c>
      <c r="G8773" s="1">
        <v>13.0</v>
      </c>
    </row>
    <row r="8774">
      <c r="A8774" s="1" t="s">
        <v>8</v>
      </c>
      <c r="B8774" s="2">
        <v>44737.0</v>
      </c>
      <c r="C8774" s="3">
        <v>0.7336574074074074</v>
      </c>
      <c r="D8774" s="1">
        <v>13.061594</v>
      </c>
      <c r="E8774" s="1">
        <v>80.246748</v>
      </c>
      <c r="F8774" s="1">
        <v>5339.0</v>
      </c>
      <c r="G8774" s="1">
        <v>20.0</v>
      </c>
    </row>
    <row r="8775">
      <c r="A8775" s="1" t="s">
        <v>10</v>
      </c>
      <c r="B8775" s="2">
        <v>44737.0</v>
      </c>
      <c r="C8775" s="3">
        <v>0.7340856481481481</v>
      </c>
      <c r="D8775" s="1">
        <v>13.058417</v>
      </c>
      <c r="E8775" s="1">
        <v>80.265352</v>
      </c>
      <c r="F8775" s="1">
        <v>805.0</v>
      </c>
      <c r="G8775" s="1">
        <v>21.0</v>
      </c>
    </row>
    <row r="8776">
      <c r="A8776" s="1" t="s">
        <v>10</v>
      </c>
      <c r="B8776" s="2">
        <v>44737.0</v>
      </c>
      <c r="C8776" s="3">
        <v>0.737662037037037</v>
      </c>
      <c r="D8776" s="1">
        <v>13.065949</v>
      </c>
      <c r="E8776" s="1">
        <v>80.267696</v>
      </c>
      <c r="F8776" s="1">
        <v>805.0</v>
      </c>
      <c r="G8776" s="1">
        <v>20.0</v>
      </c>
    </row>
    <row r="8777">
      <c r="A8777" s="1" t="s">
        <v>10</v>
      </c>
      <c r="B8777" s="2">
        <v>44737.0</v>
      </c>
      <c r="C8777" s="3">
        <v>0.7390972222222222</v>
      </c>
      <c r="D8777" s="1">
        <v>13.068843</v>
      </c>
      <c r="E8777" s="1">
        <v>80.267425</v>
      </c>
      <c r="F8777" s="1">
        <v>805.0</v>
      </c>
      <c r="G8777" s="1">
        <v>4.0</v>
      </c>
    </row>
    <row r="8778">
      <c r="A8778" s="1" t="s">
        <v>8</v>
      </c>
      <c r="B8778" s="2">
        <v>44737.0</v>
      </c>
      <c r="C8778" s="3">
        <v>0.739386574074074</v>
      </c>
      <c r="D8778" s="1">
        <v>13.067617</v>
      </c>
      <c r="E8778" s="1">
        <v>80.253457</v>
      </c>
      <c r="F8778" s="1">
        <v>5339.0</v>
      </c>
      <c r="G8778" s="1">
        <v>32.0</v>
      </c>
    </row>
    <row r="8779">
      <c r="A8779" s="1" t="s">
        <v>10</v>
      </c>
      <c r="B8779" s="2">
        <v>44737.0</v>
      </c>
      <c r="C8779" s="3">
        <v>0.7397569444444444</v>
      </c>
      <c r="D8779" s="1">
        <v>13.069485</v>
      </c>
      <c r="E8779" s="1">
        <v>80.266655</v>
      </c>
      <c r="F8779" s="1">
        <v>805.0</v>
      </c>
      <c r="G8779" s="1">
        <v>13.0</v>
      </c>
    </row>
    <row r="8780">
      <c r="A8780" s="1" t="s">
        <v>8</v>
      </c>
      <c r="B8780" s="2">
        <v>44737.0</v>
      </c>
      <c r="C8780" s="3">
        <v>0.7405439814814815</v>
      </c>
      <c r="D8780" s="1">
        <v>13.069723</v>
      </c>
      <c r="E8780" s="1">
        <v>80.257074</v>
      </c>
      <c r="F8780" s="1">
        <v>5339.0</v>
      </c>
      <c r="G8780" s="1">
        <v>29.0</v>
      </c>
    </row>
    <row r="8781">
      <c r="A8781" s="1" t="s">
        <v>10</v>
      </c>
      <c r="B8781" s="2">
        <v>44737.0</v>
      </c>
      <c r="C8781" s="3">
        <v>0.7411574074074074</v>
      </c>
      <c r="D8781" s="1">
        <v>13.071706</v>
      </c>
      <c r="E8781" s="1">
        <v>80.259254</v>
      </c>
      <c r="F8781" s="1">
        <v>5339.0</v>
      </c>
      <c r="G8781" s="1">
        <v>13.0</v>
      </c>
    </row>
    <row r="8782">
      <c r="A8782" s="1" t="s">
        <v>8</v>
      </c>
      <c r="B8782" s="2">
        <v>44737.0</v>
      </c>
      <c r="C8782" s="3">
        <v>0.7417013888888889</v>
      </c>
      <c r="D8782" s="1">
        <v>13.07133</v>
      </c>
      <c r="E8782" s="1">
        <v>80.258878</v>
      </c>
      <c r="F8782" s="1">
        <v>805.0</v>
      </c>
      <c r="G8782" s="1">
        <v>17.0</v>
      </c>
    </row>
    <row r="8783">
      <c r="A8783" s="1" t="s">
        <v>9</v>
      </c>
      <c r="B8783" s="2">
        <v>44737.0</v>
      </c>
      <c r="C8783" s="3">
        <v>0.7418055555555556</v>
      </c>
      <c r="D8783" s="1">
        <v>13.07133</v>
      </c>
      <c r="E8783" s="1">
        <v>80.258878</v>
      </c>
      <c r="F8783" s="1">
        <v>805.0</v>
      </c>
      <c r="G8783" s="1">
        <v>17.0</v>
      </c>
    </row>
    <row r="8784">
      <c r="A8784" s="1" t="s">
        <v>8</v>
      </c>
      <c r="B8784" s="2">
        <v>44737.0</v>
      </c>
      <c r="C8784" s="3">
        <v>0.7419328703703704</v>
      </c>
      <c r="D8784" s="1">
        <v>13.073903</v>
      </c>
      <c r="E8784" s="1">
        <v>80.261766</v>
      </c>
      <c r="F8784" s="1">
        <v>5339.0</v>
      </c>
      <c r="G8784" s="1">
        <v>21.0</v>
      </c>
    </row>
    <row r="8785">
      <c r="A8785" s="1" t="s">
        <v>8</v>
      </c>
      <c r="B8785" s="2">
        <v>44737.0</v>
      </c>
      <c r="C8785" s="3">
        <v>0.7419328703703704</v>
      </c>
      <c r="D8785" s="1">
        <v>13.073903</v>
      </c>
      <c r="E8785" s="1">
        <v>80.261766</v>
      </c>
      <c r="F8785" s="1">
        <v>5339.0</v>
      </c>
      <c r="G8785" s="1">
        <v>21.0</v>
      </c>
    </row>
    <row r="8786">
      <c r="A8786" s="1" t="s">
        <v>8</v>
      </c>
      <c r="B8786" s="2">
        <v>44737.0</v>
      </c>
      <c r="C8786" s="3">
        <v>0.742662037037037</v>
      </c>
      <c r="D8786" s="1">
        <v>13.075973</v>
      </c>
      <c r="E8786" s="1">
        <v>80.264652</v>
      </c>
      <c r="F8786" s="1">
        <v>5339.0</v>
      </c>
      <c r="G8786" s="1">
        <v>36.0</v>
      </c>
    </row>
    <row r="8787">
      <c r="A8787" s="1" t="s">
        <v>8</v>
      </c>
      <c r="B8787" s="2">
        <v>44737.0</v>
      </c>
      <c r="C8787" s="3">
        <v>0.7439583333333334</v>
      </c>
      <c r="D8787" s="1">
        <v>13.080579</v>
      </c>
      <c r="E8787" s="1">
        <v>80.265064</v>
      </c>
      <c r="F8787" s="1">
        <v>5339.0</v>
      </c>
      <c r="G8787" s="1">
        <v>14.0</v>
      </c>
    </row>
    <row r="8788">
      <c r="A8788" s="1" t="s">
        <v>8</v>
      </c>
      <c r="B8788" s="2">
        <v>44737.0</v>
      </c>
      <c r="C8788" s="3">
        <v>0.7439814814814815</v>
      </c>
      <c r="D8788" s="1">
        <v>13.080579</v>
      </c>
      <c r="E8788" s="1">
        <v>80.265064</v>
      </c>
      <c r="F8788" s="1">
        <v>5339.0</v>
      </c>
      <c r="G8788" s="1">
        <v>14.0</v>
      </c>
    </row>
    <row r="8789">
      <c r="A8789" s="1" t="s">
        <v>8</v>
      </c>
      <c r="B8789" s="2">
        <v>44737.0</v>
      </c>
      <c r="C8789" s="3">
        <v>0.7439814814814815</v>
      </c>
      <c r="D8789" s="1">
        <v>13.080579</v>
      </c>
      <c r="E8789" s="1">
        <v>80.265064</v>
      </c>
      <c r="F8789" s="1">
        <v>5339.0</v>
      </c>
      <c r="G8789" s="1">
        <v>14.0</v>
      </c>
    </row>
    <row r="8790">
      <c r="A8790" s="1" t="s">
        <v>8</v>
      </c>
      <c r="B8790" s="2">
        <v>44737.0</v>
      </c>
      <c r="C8790" s="3">
        <v>0.7440162037037037</v>
      </c>
      <c r="D8790" s="1">
        <v>13.08077</v>
      </c>
      <c r="E8790" s="1">
        <v>80.265677</v>
      </c>
      <c r="F8790" s="1">
        <v>5339.0</v>
      </c>
      <c r="G8790" s="1">
        <v>27.0</v>
      </c>
    </row>
    <row r="8791">
      <c r="A8791" s="1" t="s">
        <v>8</v>
      </c>
      <c r="B8791" s="2">
        <v>44737.0</v>
      </c>
      <c r="C8791" s="3">
        <v>0.7440162037037037</v>
      </c>
      <c r="D8791" s="1">
        <v>13.08077</v>
      </c>
      <c r="E8791" s="1">
        <v>80.265677</v>
      </c>
      <c r="F8791" s="1">
        <v>5339.0</v>
      </c>
      <c r="G8791" s="1">
        <v>27.0</v>
      </c>
    </row>
    <row r="8792">
      <c r="A8792" s="1" t="s">
        <v>8</v>
      </c>
      <c r="B8792" s="2">
        <v>44737.0</v>
      </c>
      <c r="C8792" s="3">
        <v>0.7446527777777778</v>
      </c>
      <c r="D8792" s="1">
        <v>13.067643</v>
      </c>
      <c r="E8792" s="1">
        <v>80.249418</v>
      </c>
      <c r="F8792" s="1">
        <v>805.0</v>
      </c>
      <c r="G8792" s="1">
        <v>2.0</v>
      </c>
    </row>
    <row r="8793">
      <c r="A8793" s="1" t="s">
        <v>10</v>
      </c>
      <c r="B8793" s="2">
        <v>44737.0</v>
      </c>
      <c r="C8793" s="3">
        <v>0.745474537037037</v>
      </c>
      <c r="D8793" s="1">
        <v>13.064785</v>
      </c>
      <c r="E8793" s="1">
        <v>80.24779</v>
      </c>
      <c r="F8793" s="1">
        <v>805.0</v>
      </c>
      <c r="G8793" s="1">
        <v>32.0</v>
      </c>
    </row>
    <row r="8794">
      <c r="A8794" s="1" t="s">
        <v>8</v>
      </c>
      <c r="B8794" s="2">
        <v>44737.0</v>
      </c>
      <c r="C8794" s="3">
        <v>0.7470601851851851</v>
      </c>
      <c r="D8794" s="1">
        <v>13.081608</v>
      </c>
      <c r="E8794" s="1">
        <v>80.274055</v>
      </c>
      <c r="F8794" s="1">
        <v>5339.0</v>
      </c>
      <c r="G8794" s="1">
        <v>47.0</v>
      </c>
    </row>
    <row r="8795">
      <c r="A8795" s="1" t="s">
        <v>8</v>
      </c>
      <c r="B8795" s="2">
        <v>44737.0</v>
      </c>
      <c r="C8795" s="3">
        <v>0.7479745370370371</v>
      </c>
      <c r="D8795" s="1">
        <v>13.082198</v>
      </c>
      <c r="E8795" s="1">
        <v>80.279363</v>
      </c>
      <c r="F8795" s="1">
        <v>5339.0</v>
      </c>
      <c r="G8795" s="1">
        <v>34.0</v>
      </c>
    </row>
    <row r="8796">
      <c r="A8796" s="1" t="s">
        <v>8</v>
      </c>
      <c r="B8796" s="2">
        <v>44737.0</v>
      </c>
      <c r="C8796" s="3">
        <v>0.7486226851851852</v>
      </c>
      <c r="D8796" s="1">
        <v>13.082804</v>
      </c>
      <c r="E8796" s="1">
        <v>80.28199</v>
      </c>
      <c r="F8796" s="1">
        <v>5339.0</v>
      </c>
      <c r="G8796" s="1">
        <v>34.0</v>
      </c>
    </row>
    <row r="8797">
      <c r="A8797" s="1" t="s">
        <v>8</v>
      </c>
      <c r="B8797" s="2">
        <v>44737.0</v>
      </c>
      <c r="C8797" s="3">
        <v>0.7490162037037037</v>
      </c>
      <c r="D8797" s="1">
        <v>13.08503</v>
      </c>
      <c r="E8797" s="1">
        <v>80.283673</v>
      </c>
      <c r="F8797" s="1">
        <v>5339.0</v>
      </c>
      <c r="G8797" s="1">
        <v>29.0</v>
      </c>
    </row>
    <row r="8798">
      <c r="A8798" s="1" t="s">
        <v>8</v>
      </c>
      <c r="B8798" s="2">
        <v>44737.0</v>
      </c>
      <c r="C8798" s="3">
        <v>0.7497800925925926</v>
      </c>
      <c r="D8798" s="1">
        <v>13.085976</v>
      </c>
      <c r="E8798" s="1">
        <v>80.289121</v>
      </c>
      <c r="F8798" s="1">
        <v>5339.0</v>
      </c>
      <c r="G8798" s="1">
        <v>30.0</v>
      </c>
    </row>
    <row r="8799">
      <c r="A8799" s="1" t="s">
        <v>9</v>
      </c>
      <c r="B8799" s="2">
        <v>44737.0</v>
      </c>
      <c r="C8799" s="3">
        <v>0.7508680555555556</v>
      </c>
      <c r="D8799" s="1">
        <v>13.089129</v>
      </c>
      <c r="E8799" s="1">
        <v>80.290498</v>
      </c>
      <c r="F8799" s="1">
        <v>5339.0</v>
      </c>
      <c r="G8799" s="1">
        <v>23.0</v>
      </c>
    </row>
    <row r="8800">
      <c r="A8800" s="1" t="s">
        <v>8</v>
      </c>
      <c r="B8800" s="2">
        <v>44737.0</v>
      </c>
      <c r="C8800" s="3">
        <v>0.7519791666666666</v>
      </c>
      <c r="D8800" s="1">
        <v>13.094368</v>
      </c>
      <c r="E8800" s="1">
        <v>80.292217</v>
      </c>
      <c r="F8800" s="1">
        <v>5339.0</v>
      </c>
      <c r="G8800" s="1">
        <v>33.0</v>
      </c>
    </row>
    <row r="8801">
      <c r="A8801" s="1" t="s">
        <v>8</v>
      </c>
      <c r="B8801" s="2">
        <v>44737.0</v>
      </c>
      <c r="C8801" s="3">
        <v>0.7519791666666666</v>
      </c>
      <c r="D8801" s="1">
        <v>13.094368</v>
      </c>
      <c r="E8801" s="1">
        <v>80.292217</v>
      </c>
      <c r="F8801" s="1">
        <v>5339.0</v>
      </c>
      <c r="G8801" s="1">
        <v>33.0</v>
      </c>
    </row>
    <row r="8802">
      <c r="A8802" s="1" t="s">
        <v>8</v>
      </c>
      <c r="B8802" s="2">
        <v>44737.0</v>
      </c>
      <c r="C8802" s="3">
        <v>0.7520023148148148</v>
      </c>
      <c r="D8802" s="1">
        <v>13.094368</v>
      </c>
      <c r="E8802" s="1">
        <v>80.292217</v>
      </c>
      <c r="F8802" s="1">
        <v>5339.0</v>
      </c>
      <c r="G8802" s="1">
        <v>33.0</v>
      </c>
    </row>
    <row r="8803">
      <c r="A8803" s="1" t="s">
        <v>8</v>
      </c>
      <c r="B8803" s="2">
        <v>44737.0</v>
      </c>
      <c r="C8803" s="3">
        <v>0.7521643518518518</v>
      </c>
      <c r="D8803" s="1">
        <v>13.095216</v>
      </c>
      <c r="E8803" s="1">
        <v>80.29249</v>
      </c>
      <c r="F8803" s="1">
        <v>5339.0</v>
      </c>
      <c r="G8803" s="1">
        <v>21.0</v>
      </c>
    </row>
    <row r="8804">
      <c r="A8804" s="1" t="s">
        <v>8</v>
      </c>
      <c r="B8804" s="2">
        <v>44737.0</v>
      </c>
      <c r="C8804" s="3">
        <v>0.7521643518518518</v>
      </c>
      <c r="D8804" s="1">
        <v>13.095216</v>
      </c>
      <c r="E8804" s="1">
        <v>80.29249</v>
      </c>
      <c r="F8804" s="1">
        <v>5339.0</v>
      </c>
      <c r="G8804" s="1">
        <v>21.0</v>
      </c>
    </row>
    <row r="8805">
      <c r="A8805" s="1" t="s">
        <v>8</v>
      </c>
      <c r="B8805" s="2">
        <v>44737.0</v>
      </c>
      <c r="C8805" s="3">
        <v>0.7528819444444445</v>
      </c>
      <c r="D8805" s="1">
        <v>13.100265</v>
      </c>
      <c r="E8805" s="1">
        <v>80.294114</v>
      </c>
      <c r="F8805" s="1">
        <v>5339.0</v>
      </c>
      <c r="G8805" s="1">
        <v>35.0</v>
      </c>
    </row>
    <row r="8806">
      <c r="A8806" s="1" t="s">
        <v>8</v>
      </c>
      <c r="B8806" s="2">
        <v>44737.0</v>
      </c>
      <c r="C8806" s="3">
        <v>0.7528819444444445</v>
      </c>
      <c r="D8806" s="1">
        <v>13.100265</v>
      </c>
      <c r="E8806" s="1">
        <v>80.294114</v>
      </c>
      <c r="F8806" s="1">
        <v>5339.0</v>
      </c>
      <c r="G8806" s="1">
        <v>35.0</v>
      </c>
    </row>
    <row r="8807">
      <c r="A8807" s="1" t="s">
        <v>8</v>
      </c>
      <c r="B8807" s="2">
        <v>44737.0</v>
      </c>
      <c r="C8807" s="3">
        <v>0.7531481481481481</v>
      </c>
      <c r="D8807" s="1">
        <v>13.101458</v>
      </c>
      <c r="E8807" s="1">
        <v>80.294093</v>
      </c>
      <c r="F8807" s="1">
        <v>5339.0</v>
      </c>
      <c r="G8807" s="1">
        <v>23.0</v>
      </c>
    </row>
    <row r="8808">
      <c r="A8808" s="1" t="s">
        <v>8</v>
      </c>
      <c r="B8808" s="2">
        <v>44737.0</v>
      </c>
      <c r="C8808" s="3">
        <v>0.7531828703703703</v>
      </c>
      <c r="D8808" s="1">
        <v>13.101458</v>
      </c>
      <c r="E8808" s="1">
        <v>80.294093</v>
      </c>
      <c r="F8808" s="1">
        <v>5339.0</v>
      </c>
      <c r="G8808" s="1">
        <v>23.0</v>
      </c>
    </row>
    <row r="8809">
      <c r="A8809" s="1" t="s">
        <v>8</v>
      </c>
      <c r="B8809" s="2">
        <v>44737.0</v>
      </c>
      <c r="C8809" s="3">
        <v>0.7532060185185185</v>
      </c>
      <c r="D8809" s="1">
        <v>13.101836</v>
      </c>
      <c r="E8809" s="1">
        <v>80.293363</v>
      </c>
      <c r="F8809" s="1">
        <v>5339.0</v>
      </c>
      <c r="G8809" s="1">
        <v>22.0</v>
      </c>
    </row>
    <row r="8810">
      <c r="A8810" s="1" t="s">
        <v>8</v>
      </c>
      <c r="B8810" s="2">
        <v>44737.0</v>
      </c>
      <c r="C8810" s="3">
        <v>0.7570254629629629</v>
      </c>
      <c r="D8810" s="1">
        <v>13.116378</v>
      </c>
      <c r="E8810" s="1">
        <v>80.292721</v>
      </c>
      <c r="F8810" s="1">
        <v>5339.0</v>
      </c>
      <c r="G8810" s="1">
        <v>34.0</v>
      </c>
    </row>
    <row r="8811">
      <c r="A8811" s="1" t="s">
        <v>8</v>
      </c>
      <c r="B8811" s="2">
        <v>44737.0</v>
      </c>
      <c r="C8811" s="3">
        <v>0.7572106481481482</v>
      </c>
      <c r="D8811" s="1">
        <v>13.117817</v>
      </c>
      <c r="E8811" s="1">
        <v>80.292965</v>
      </c>
      <c r="F8811" s="1">
        <v>5339.0</v>
      </c>
      <c r="G8811" s="1">
        <v>38.0</v>
      </c>
    </row>
    <row r="8812">
      <c r="A8812" s="1" t="s">
        <v>10</v>
      </c>
      <c r="B8812" s="2">
        <v>44737.0</v>
      </c>
      <c r="C8812" s="3">
        <v>0.7574074074074074</v>
      </c>
      <c r="D8812" s="1">
        <v>13.119211</v>
      </c>
      <c r="E8812" s="1">
        <v>80.293226</v>
      </c>
      <c r="F8812" s="1">
        <v>5339.0</v>
      </c>
      <c r="G8812" s="1">
        <v>29.0</v>
      </c>
    </row>
    <row r="8813">
      <c r="A8813" s="1" t="s">
        <v>10</v>
      </c>
      <c r="B8813" s="2">
        <v>44737.0</v>
      </c>
      <c r="C8813" s="3">
        <v>0.761087962962963</v>
      </c>
      <c r="D8813" s="1">
        <v>13.124783</v>
      </c>
      <c r="E8813" s="1">
        <v>80.29446</v>
      </c>
      <c r="F8813" s="1">
        <v>5339.0</v>
      </c>
      <c r="G8813" s="1">
        <v>0.0</v>
      </c>
    </row>
    <row r="8814">
      <c r="A8814" s="1" t="s">
        <v>9</v>
      </c>
      <c r="B8814" s="2">
        <v>44737.0</v>
      </c>
      <c r="C8814" s="3">
        <v>0.7673958333333334</v>
      </c>
      <c r="D8814" s="1">
        <v>13.152589</v>
      </c>
      <c r="E8814" s="1">
        <v>80.303777</v>
      </c>
      <c r="F8814" s="1">
        <v>5339.0</v>
      </c>
      <c r="G8814" s="1">
        <v>42.0</v>
      </c>
    </row>
    <row r="8815">
      <c r="A8815" s="1" t="s">
        <v>8</v>
      </c>
      <c r="B8815" s="2">
        <v>44737.0</v>
      </c>
      <c r="C8815" s="3">
        <v>0.771087962962963</v>
      </c>
      <c r="D8815" s="1">
        <v>13.177723</v>
      </c>
      <c r="E8815" s="1">
        <v>80.313772</v>
      </c>
      <c r="F8815" s="1">
        <v>5339.0</v>
      </c>
      <c r="G8815" s="1">
        <v>51.0</v>
      </c>
    </row>
    <row r="8816">
      <c r="A8816" s="1" t="s">
        <v>7</v>
      </c>
      <c r="B8816" s="2">
        <v>44737.0</v>
      </c>
      <c r="C8816" s="3">
        <v>0.7712268518518518</v>
      </c>
      <c r="D8816" s="1">
        <v>13.177723</v>
      </c>
      <c r="E8816" s="1">
        <v>80.313772</v>
      </c>
      <c r="F8816" s="1">
        <v>5339.0</v>
      </c>
      <c r="G8816" s="1">
        <v>51.0</v>
      </c>
    </row>
    <row r="8817">
      <c r="A8817" s="1" t="s">
        <v>8</v>
      </c>
      <c r="B8817" s="2">
        <v>44737.0</v>
      </c>
      <c r="C8817" s="3">
        <v>0.810625</v>
      </c>
      <c r="D8817" s="1">
        <v>13.182797</v>
      </c>
      <c r="E8817" s="1">
        <v>80.316079</v>
      </c>
      <c r="F8817" s="1">
        <v>5339.0</v>
      </c>
      <c r="G8817" s="1">
        <v>31.0</v>
      </c>
    </row>
    <row r="8818">
      <c r="A8818" s="1" t="s">
        <v>8</v>
      </c>
      <c r="B8818" s="2">
        <v>44737.0</v>
      </c>
      <c r="C8818" s="3">
        <v>0.8164930555555555</v>
      </c>
      <c r="D8818" s="1">
        <v>13.136282</v>
      </c>
      <c r="E8818" s="1">
        <v>80.297753</v>
      </c>
      <c r="F8818" s="1">
        <v>5339.0</v>
      </c>
      <c r="G8818" s="1">
        <v>53.0</v>
      </c>
    </row>
    <row r="8819">
      <c r="A8819" s="1" t="s">
        <v>8</v>
      </c>
      <c r="B8819" s="2">
        <v>44737.0</v>
      </c>
      <c r="C8819" s="3">
        <v>0.8168287037037038</v>
      </c>
      <c r="D8819" s="1">
        <v>13.133742</v>
      </c>
      <c r="E8819" s="1">
        <v>80.297142</v>
      </c>
      <c r="F8819" s="1">
        <v>5339.0</v>
      </c>
      <c r="G8819" s="1">
        <v>14.0</v>
      </c>
    </row>
    <row r="8820">
      <c r="A8820" s="1" t="s">
        <v>8</v>
      </c>
      <c r="B8820" s="2">
        <v>44737.0</v>
      </c>
      <c r="C8820" s="3">
        <v>0.816863425925926</v>
      </c>
      <c r="D8820" s="1">
        <v>13.133742</v>
      </c>
      <c r="E8820" s="1">
        <v>80.297142</v>
      </c>
      <c r="F8820" s="1">
        <v>5339.0</v>
      </c>
      <c r="G8820" s="1">
        <v>14.0</v>
      </c>
    </row>
    <row r="8821">
      <c r="A8821" s="1" t="s">
        <v>8</v>
      </c>
      <c r="B8821" s="2">
        <v>44737.0</v>
      </c>
      <c r="C8821" s="3">
        <v>0.8168865740740741</v>
      </c>
      <c r="D8821" s="1">
        <v>13.133027</v>
      </c>
      <c r="E8821" s="1">
        <v>80.296829</v>
      </c>
      <c r="F8821" s="1">
        <v>5339.0</v>
      </c>
      <c r="G8821" s="1">
        <v>23.0</v>
      </c>
    </row>
    <row r="8822">
      <c r="A8822" s="1" t="s">
        <v>8</v>
      </c>
      <c r="B8822" s="2">
        <v>44737.0</v>
      </c>
      <c r="C8822" s="3">
        <v>0.8171990740740741</v>
      </c>
      <c r="D8822" s="1">
        <v>13.131886</v>
      </c>
      <c r="E8822" s="1">
        <v>80.29652</v>
      </c>
      <c r="F8822" s="1">
        <v>5339.0</v>
      </c>
      <c r="G8822" s="1">
        <v>24.0</v>
      </c>
    </row>
    <row r="8823">
      <c r="A8823" s="1" t="s">
        <v>8</v>
      </c>
      <c r="B8823" s="2">
        <v>44737.0</v>
      </c>
      <c r="C8823" s="3">
        <v>0.8184606481481481</v>
      </c>
      <c r="D8823" s="1">
        <v>13.125258</v>
      </c>
      <c r="E8823" s="1">
        <v>80.2947</v>
      </c>
      <c r="F8823" s="1">
        <v>5339.0</v>
      </c>
      <c r="G8823" s="1">
        <v>15.0</v>
      </c>
    </row>
    <row r="8824">
      <c r="A8824" s="1" t="s">
        <v>8</v>
      </c>
      <c r="B8824" s="2">
        <v>44737.0</v>
      </c>
      <c r="C8824" s="3">
        <v>0.8184722222222223</v>
      </c>
      <c r="D8824" s="1">
        <v>13.125258</v>
      </c>
      <c r="E8824" s="1">
        <v>80.2947</v>
      </c>
      <c r="F8824" s="1">
        <v>5339.0</v>
      </c>
      <c r="G8824" s="1">
        <v>15.0</v>
      </c>
    </row>
    <row r="8825">
      <c r="A8825" s="1" t="s">
        <v>8</v>
      </c>
      <c r="B8825" s="2">
        <v>44737.0</v>
      </c>
      <c r="C8825" s="3">
        <v>0.8226851851851852</v>
      </c>
      <c r="D8825" s="1">
        <v>13.114736</v>
      </c>
      <c r="E8825" s="1">
        <v>80.29257</v>
      </c>
      <c r="F8825" s="1">
        <v>5339.0</v>
      </c>
      <c r="G8825" s="1">
        <v>8.0</v>
      </c>
    </row>
    <row r="8826">
      <c r="A8826" s="1" t="s">
        <v>8</v>
      </c>
      <c r="B8826" s="2">
        <v>44737.0</v>
      </c>
      <c r="C8826" s="3">
        <v>0.8226967592592592</v>
      </c>
      <c r="D8826" s="1">
        <v>13.114736</v>
      </c>
      <c r="E8826" s="1">
        <v>80.29257</v>
      </c>
      <c r="F8826" s="1">
        <v>5339.0</v>
      </c>
      <c r="G8826" s="1">
        <v>8.0</v>
      </c>
    </row>
    <row r="8827">
      <c r="A8827" s="1" t="s">
        <v>8</v>
      </c>
      <c r="B8827" s="2">
        <v>44737.0</v>
      </c>
      <c r="C8827" s="3">
        <v>0.8257407407407408</v>
      </c>
      <c r="D8827" s="1">
        <v>13.106056</v>
      </c>
      <c r="E8827" s="1">
        <v>80.292543</v>
      </c>
      <c r="F8827" s="1">
        <v>5339.0</v>
      </c>
      <c r="G8827" s="1">
        <v>17.0</v>
      </c>
    </row>
    <row r="8828">
      <c r="A8828" s="1" t="s">
        <v>8</v>
      </c>
      <c r="B8828" s="2">
        <v>44737.0</v>
      </c>
      <c r="C8828" s="3">
        <v>0.8258101851851852</v>
      </c>
      <c r="D8828" s="1">
        <v>13.10599</v>
      </c>
      <c r="E8828" s="1">
        <v>80.293325</v>
      </c>
      <c r="F8828" s="1">
        <v>5339.0</v>
      </c>
      <c r="G8828" s="1">
        <v>18.0</v>
      </c>
    </row>
    <row r="8829">
      <c r="A8829" s="1" t="s">
        <v>10</v>
      </c>
      <c r="B8829" s="2">
        <v>44737.0</v>
      </c>
      <c r="C8829" s="3">
        <v>0.8296064814814815</v>
      </c>
      <c r="D8829" s="1">
        <v>13.088508</v>
      </c>
      <c r="E8829" s="1">
        <v>80.290316</v>
      </c>
      <c r="F8829" s="1">
        <v>5339.0</v>
      </c>
      <c r="G8829" s="1">
        <v>17.0</v>
      </c>
    </row>
    <row r="8830">
      <c r="A8830" s="1" t="s">
        <v>9</v>
      </c>
      <c r="B8830" s="2">
        <v>44737.0</v>
      </c>
      <c r="C8830" s="3">
        <v>0.8298148148148148</v>
      </c>
      <c r="D8830" s="1">
        <v>13.087926</v>
      </c>
      <c r="E8830" s="1">
        <v>80.290052</v>
      </c>
      <c r="F8830" s="1">
        <v>5339.0</v>
      </c>
      <c r="G8830" s="1">
        <v>21.0</v>
      </c>
    </row>
    <row r="8831">
      <c r="A8831" s="1" t="s">
        <v>8</v>
      </c>
      <c r="B8831" s="2">
        <v>44737.0</v>
      </c>
      <c r="C8831" s="3">
        <v>0.8300810185185186</v>
      </c>
      <c r="D8831" s="1">
        <v>13.085801</v>
      </c>
      <c r="E8831" s="1">
        <v>80.289433</v>
      </c>
      <c r="F8831" s="1">
        <v>5339.0</v>
      </c>
      <c r="G8831" s="1">
        <v>21.0</v>
      </c>
    </row>
    <row r="8832">
      <c r="A8832" s="1" t="s">
        <v>8</v>
      </c>
      <c r="B8832" s="2">
        <v>44737.0</v>
      </c>
      <c r="C8832" s="3">
        <v>0.8303356481481482</v>
      </c>
      <c r="D8832" s="1">
        <v>13.085182</v>
      </c>
      <c r="E8832" s="1">
        <v>80.288271</v>
      </c>
      <c r="F8832" s="1">
        <v>5339.0</v>
      </c>
      <c r="G8832" s="1">
        <v>38.0</v>
      </c>
    </row>
    <row r="8833">
      <c r="A8833" s="1" t="s">
        <v>8</v>
      </c>
      <c r="B8833" s="2">
        <v>44737.0</v>
      </c>
      <c r="C8833" s="3">
        <v>0.8303356481481482</v>
      </c>
      <c r="D8833" s="1">
        <v>13.085182</v>
      </c>
      <c r="E8833" s="1">
        <v>80.288271</v>
      </c>
      <c r="F8833" s="1">
        <v>5339.0</v>
      </c>
      <c r="G8833" s="1">
        <v>38.0</v>
      </c>
    </row>
    <row r="8834">
      <c r="A8834" s="1" t="s">
        <v>8</v>
      </c>
      <c r="B8834" s="2">
        <v>44737.0</v>
      </c>
      <c r="C8834" s="3">
        <v>0.8304513888888889</v>
      </c>
      <c r="D8834" s="1">
        <v>13.085182</v>
      </c>
      <c r="E8834" s="1">
        <v>80.288271</v>
      </c>
      <c r="F8834" s="1">
        <v>5339.0</v>
      </c>
      <c r="G8834" s="1">
        <v>38.0</v>
      </c>
    </row>
    <row r="8835">
      <c r="A8835" s="1" t="s">
        <v>8</v>
      </c>
      <c r="B8835" s="2">
        <v>44737.0</v>
      </c>
      <c r="C8835" s="3">
        <v>0.8304513888888889</v>
      </c>
      <c r="D8835" s="1">
        <v>13.085182</v>
      </c>
      <c r="E8835" s="1">
        <v>80.288271</v>
      </c>
      <c r="F8835" s="1">
        <v>5339.0</v>
      </c>
      <c r="G8835" s="1">
        <v>38.0</v>
      </c>
    </row>
    <row r="8836">
      <c r="A8836" s="1" t="s">
        <v>8</v>
      </c>
      <c r="B8836" s="2">
        <v>44737.0</v>
      </c>
      <c r="C8836" s="3">
        <v>0.8304976851851852</v>
      </c>
      <c r="D8836" s="1">
        <v>13.085167</v>
      </c>
      <c r="E8836" s="1">
        <v>80.286935</v>
      </c>
      <c r="F8836" s="1">
        <v>5339.0</v>
      </c>
      <c r="G8836" s="1">
        <v>46.0</v>
      </c>
    </row>
    <row r="8837">
      <c r="A8837" s="1" t="s">
        <v>8</v>
      </c>
      <c r="B8837" s="2">
        <v>44737.0</v>
      </c>
      <c r="C8837" s="3">
        <v>0.8305439814814815</v>
      </c>
      <c r="D8837" s="1">
        <v>13.085167</v>
      </c>
      <c r="E8837" s="1">
        <v>80.286935</v>
      </c>
      <c r="F8837" s="1">
        <v>5339.0</v>
      </c>
      <c r="G8837" s="1">
        <v>46.0</v>
      </c>
    </row>
    <row r="8838">
      <c r="A8838" s="1" t="s">
        <v>7</v>
      </c>
      <c r="B8838" s="2">
        <v>44737.0</v>
      </c>
      <c r="C8838" s="3">
        <v>0.8327662037037037</v>
      </c>
      <c r="D8838" s="1">
        <v>13.07934</v>
      </c>
      <c r="E8838" s="1">
        <v>80.281747</v>
      </c>
      <c r="F8838" s="1">
        <v>5339.0</v>
      </c>
      <c r="G8838" s="1">
        <v>47.0</v>
      </c>
    </row>
    <row r="8839">
      <c r="A8839" s="1" t="s">
        <v>8</v>
      </c>
      <c r="B8839" s="2">
        <v>44737.0</v>
      </c>
      <c r="C8839" s="3">
        <v>0.8371412037037037</v>
      </c>
      <c r="D8839" s="1">
        <v>13.06632</v>
      </c>
      <c r="E8839" s="1">
        <v>80.268608</v>
      </c>
      <c r="F8839" s="1">
        <v>5339.0</v>
      </c>
      <c r="G8839" s="1">
        <v>28.0</v>
      </c>
    </row>
    <row r="8840">
      <c r="A8840" s="1" t="s">
        <v>8</v>
      </c>
      <c r="B8840" s="2">
        <v>44737.0</v>
      </c>
      <c r="C8840" s="3">
        <v>0.8382523148148148</v>
      </c>
      <c r="D8840" s="1">
        <v>13.062105</v>
      </c>
      <c r="E8840" s="1">
        <v>80.263221</v>
      </c>
      <c r="F8840" s="1">
        <v>5339.0</v>
      </c>
      <c r="G8840" s="1">
        <v>19.0</v>
      </c>
    </row>
    <row r="8841">
      <c r="A8841" s="1" t="s">
        <v>8</v>
      </c>
      <c r="B8841" s="2">
        <v>44737.0</v>
      </c>
      <c r="C8841" s="3">
        <v>0.8417708333333334</v>
      </c>
      <c r="D8841" s="1">
        <v>13.067519</v>
      </c>
      <c r="E8841" s="1">
        <v>80.250004</v>
      </c>
      <c r="F8841" s="1">
        <v>5339.0</v>
      </c>
      <c r="G8841" s="1">
        <v>30.0</v>
      </c>
    </row>
    <row r="8842">
      <c r="A8842" s="1" t="s">
        <v>7</v>
      </c>
      <c r="B8842" s="2">
        <v>44739.0</v>
      </c>
      <c r="C8842" s="3">
        <v>0.2872106481481482</v>
      </c>
      <c r="D8842" s="1">
        <v>12.44649</v>
      </c>
      <c r="E8842" s="1">
        <v>79.83837</v>
      </c>
      <c r="F8842" s="1">
        <v>2846.0</v>
      </c>
      <c r="G8842" s="1">
        <v>57.0</v>
      </c>
    </row>
    <row r="8843">
      <c r="A8843" s="1" t="s">
        <v>7</v>
      </c>
      <c r="B8843" s="2">
        <v>44739.0</v>
      </c>
      <c r="C8843" s="3">
        <v>0.2888425925925926</v>
      </c>
      <c r="D8843" s="1">
        <v>12.459254</v>
      </c>
      <c r="E8843" s="1">
        <v>79.84534</v>
      </c>
      <c r="F8843" s="1">
        <v>2846.0</v>
      </c>
      <c r="G8843" s="1">
        <v>57.0</v>
      </c>
    </row>
    <row r="8844">
      <c r="A8844" s="1" t="s">
        <v>7</v>
      </c>
      <c r="B8844" s="2">
        <v>44739.0</v>
      </c>
      <c r="C8844" s="3">
        <v>0.2895138888888889</v>
      </c>
      <c r="D8844" s="1">
        <v>12.46999</v>
      </c>
      <c r="E8844" s="1">
        <v>79.853004</v>
      </c>
      <c r="F8844" s="1">
        <v>2846.0</v>
      </c>
      <c r="G8844" s="1">
        <v>58.0</v>
      </c>
    </row>
    <row r="8845">
      <c r="A8845" s="1" t="s">
        <v>7</v>
      </c>
      <c r="B8845" s="2">
        <v>44739.0</v>
      </c>
      <c r="C8845" s="3">
        <v>0.29002314814814817</v>
      </c>
      <c r="D8845" s="1">
        <v>12.475581</v>
      </c>
      <c r="E8845" s="1">
        <v>79.857791</v>
      </c>
      <c r="F8845" s="1">
        <v>2846.0</v>
      </c>
      <c r="G8845" s="1">
        <v>58.0</v>
      </c>
    </row>
    <row r="8846">
      <c r="A8846" s="1" t="s">
        <v>7</v>
      </c>
      <c r="B8846" s="2">
        <v>44739.0</v>
      </c>
      <c r="C8846" s="3">
        <v>0.29033564814814816</v>
      </c>
      <c r="D8846" s="1">
        <v>12.479393</v>
      </c>
      <c r="E8846" s="1">
        <v>79.859896</v>
      </c>
      <c r="F8846" s="1">
        <v>2846.0</v>
      </c>
      <c r="G8846" s="1">
        <v>58.0</v>
      </c>
    </row>
    <row r="8847">
      <c r="A8847" s="1" t="s">
        <v>7</v>
      </c>
      <c r="B8847" s="2">
        <v>44739.0</v>
      </c>
      <c r="C8847" s="3">
        <v>0.29180555555555554</v>
      </c>
      <c r="D8847" s="1">
        <v>12.494784</v>
      </c>
      <c r="E8847" s="1">
        <v>79.870907</v>
      </c>
      <c r="F8847" s="1">
        <v>2846.0</v>
      </c>
      <c r="G8847" s="1">
        <v>58.0</v>
      </c>
    </row>
    <row r="8848">
      <c r="A8848" s="1" t="s">
        <v>7</v>
      </c>
      <c r="B8848" s="2">
        <v>44739.0</v>
      </c>
      <c r="C8848" s="3">
        <v>0.292662037037037</v>
      </c>
      <c r="D8848" s="1">
        <v>12.502796</v>
      </c>
      <c r="E8848" s="1">
        <v>79.877345</v>
      </c>
      <c r="F8848" s="1">
        <v>2846.0</v>
      </c>
      <c r="G8848" s="1">
        <v>57.0</v>
      </c>
    </row>
    <row r="8849">
      <c r="A8849" s="1" t="s">
        <v>7</v>
      </c>
      <c r="B8849" s="2">
        <v>44739.0</v>
      </c>
      <c r="C8849" s="3">
        <v>0.2931828703703704</v>
      </c>
      <c r="D8849" s="1">
        <v>12.508581</v>
      </c>
      <c r="E8849" s="1">
        <v>79.881861</v>
      </c>
      <c r="F8849" s="1">
        <v>2846.0</v>
      </c>
      <c r="G8849" s="1">
        <v>58.0</v>
      </c>
    </row>
    <row r="8850">
      <c r="A8850" s="1" t="s">
        <v>7</v>
      </c>
      <c r="B8850" s="2">
        <v>44739.0</v>
      </c>
      <c r="C8850" s="3">
        <v>0.2934953703703704</v>
      </c>
      <c r="D8850" s="1">
        <v>12.511179</v>
      </c>
      <c r="E8850" s="1">
        <v>79.883101</v>
      </c>
      <c r="F8850" s="1">
        <v>2846.0</v>
      </c>
      <c r="G8850" s="1">
        <v>59.0</v>
      </c>
    </row>
    <row r="8851">
      <c r="A8851" s="1" t="s">
        <v>8</v>
      </c>
      <c r="B8851" s="2">
        <v>44739.0</v>
      </c>
      <c r="C8851" s="3">
        <v>0.2939583333333333</v>
      </c>
      <c r="D8851" s="1">
        <v>12.51483</v>
      </c>
      <c r="E8851" s="1">
        <v>79.8854</v>
      </c>
      <c r="F8851" s="1">
        <v>2846.0</v>
      </c>
      <c r="G8851" s="1">
        <v>58.0</v>
      </c>
    </row>
    <row r="8852">
      <c r="A8852" s="1" t="s">
        <v>7</v>
      </c>
      <c r="B8852" s="2">
        <v>44739.0</v>
      </c>
      <c r="C8852" s="3">
        <v>0.29454861111111114</v>
      </c>
      <c r="D8852" s="1">
        <v>12.517806</v>
      </c>
      <c r="E8852" s="1">
        <v>79.887889</v>
      </c>
      <c r="F8852" s="1">
        <v>2846.0</v>
      </c>
      <c r="G8852" s="1">
        <v>49.0</v>
      </c>
    </row>
    <row r="8853">
      <c r="A8853" s="1" t="s">
        <v>10</v>
      </c>
      <c r="B8853" s="2">
        <v>44739.0</v>
      </c>
      <c r="C8853" s="3">
        <v>0.29585648148148147</v>
      </c>
      <c r="D8853" s="1">
        <v>12.510218</v>
      </c>
      <c r="E8853" s="1">
        <v>79.885953</v>
      </c>
      <c r="F8853" s="1">
        <v>2846.0</v>
      </c>
      <c r="G8853" s="1">
        <v>40.0</v>
      </c>
    </row>
    <row r="8854">
      <c r="A8854" s="1" t="s">
        <v>8</v>
      </c>
      <c r="B8854" s="2">
        <v>44739.0</v>
      </c>
      <c r="C8854" s="3">
        <v>0.2959953703703704</v>
      </c>
      <c r="D8854" s="1">
        <v>13.062956</v>
      </c>
      <c r="E8854" s="1">
        <v>80.24767</v>
      </c>
      <c r="F8854" s="1">
        <v>5339.0</v>
      </c>
      <c r="G8854" s="1">
        <v>31.0</v>
      </c>
    </row>
    <row r="8855">
      <c r="A8855" s="1" t="s">
        <v>10</v>
      </c>
      <c r="B8855" s="2">
        <v>44739.0</v>
      </c>
      <c r="C8855" s="3">
        <v>0.29605324074074074</v>
      </c>
      <c r="D8855" s="1">
        <v>12.510235</v>
      </c>
      <c r="E8855" s="1">
        <v>79.888057</v>
      </c>
      <c r="F8855" s="1">
        <v>2846.0</v>
      </c>
      <c r="G8855" s="1">
        <v>21.0</v>
      </c>
    </row>
    <row r="8856">
      <c r="A8856" s="1" t="s">
        <v>8</v>
      </c>
      <c r="B8856" s="2">
        <v>44739.0</v>
      </c>
      <c r="C8856" s="3">
        <v>0.2972106481481481</v>
      </c>
      <c r="D8856" s="1">
        <v>13.066245</v>
      </c>
      <c r="E8856" s="1">
        <v>80.244679</v>
      </c>
      <c r="F8856" s="1">
        <v>5339.0</v>
      </c>
      <c r="G8856" s="1">
        <v>40.0</v>
      </c>
    </row>
    <row r="8857">
      <c r="A8857" s="1" t="s">
        <v>8</v>
      </c>
      <c r="B8857" s="2">
        <v>44739.0</v>
      </c>
      <c r="C8857" s="3">
        <v>0.2975925925925926</v>
      </c>
      <c r="D8857" s="1">
        <v>13.067843</v>
      </c>
      <c r="E8857" s="1">
        <v>80.246559</v>
      </c>
      <c r="F8857" s="1">
        <v>5339.0</v>
      </c>
      <c r="G8857" s="1">
        <v>29.0</v>
      </c>
    </row>
    <row r="8858">
      <c r="A8858" s="1" t="s">
        <v>8</v>
      </c>
      <c r="B8858" s="2">
        <v>44739.0</v>
      </c>
      <c r="C8858" s="3">
        <v>0.29777777777777775</v>
      </c>
      <c r="D8858" s="1">
        <v>13.06793</v>
      </c>
      <c r="E8858" s="1">
        <v>80.248052</v>
      </c>
      <c r="F8858" s="1">
        <v>5339.0</v>
      </c>
      <c r="G8858" s="1">
        <v>29.0</v>
      </c>
    </row>
    <row r="8859">
      <c r="A8859" s="1" t="s">
        <v>8</v>
      </c>
      <c r="B8859" s="2">
        <v>44739.0</v>
      </c>
      <c r="C8859" s="3">
        <v>0.29844907407407406</v>
      </c>
      <c r="D8859" s="1">
        <v>13.067428</v>
      </c>
      <c r="E8859" s="1">
        <v>80.251944</v>
      </c>
      <c r="F8859" s="1">
        <v>5339.0</v>
      </c>
      <c r="G8859" s="1">
        <v>21.0</v>
      </c>
    </row>
    <row r="8860">
      <c r="A8860" s="1" t="s">
        <v>7</v>
      </c>
      <c r="B8860" s="2">
        <v>44739.0</v>
      </c>
      <c r="C8860" s="3">
        <v>0.29920138888888886</v>
      </c>
      <c r="D8860" s="1">
        <v>12.517507</v>
      </c>
      <c r="E8860" s="1">
        <v>79.887765</v>
      </c>
      <c r="F8860" s="1">
        <v>2846.0</v>
      </c>
      <c r="G8860" s="1">
        <v>55.0</v>
      </c>
    </row>
    <row r="8861">
      <c r="A8861" s="1" t="s">
        <v>7</v>
      </c>
      <c r="B8861" s="2">
        <v>44739.0</v>
      </c>
      <c r="C8861" s="3">
        <v>0.2994791666666667</v>
      </c>
      <c r="D8861" s="1">
        <v>12.517845</v>
      </c>
      <c r="E8861" s="1">
        <v>79.891156</v>
      </c>
      <c r="F8861" s="1">
        <v>2846.0</v>
      </c>
      <c r="G8861" s="1">
        <v>51.0</v>
      </c>
    </row>
    <row r="8862">
      <c r="A8862" s="1" t="s">
        <v>7</v>
      </c>
      <c r="B8862" s="2">
        <v>44739.0</v>
      </c>
      <c r="C8862" s="3">
        <v>0.30006944444444444</v>
      </c>
      <c r="D8862" s="1">
        <v>12.52285</v>
      </c>
      <c r="E8862" s="1">
        <v>79.895935</v>
      </c>
      <c r="F8862" s="1">
        <v>2846.0</v>
      </c>
      <c r="G8862" s="1">
        <v>53.0</v>
      </c>
    </row>
    <row r="8863">
      <c r="A8863" s="1" t="s">
        <v>8</v>
      </c>
      <c r="B8863" s="2">
        <v>44739.0</v>
      </c>
      <c r="C8863" s="3">
        <v>0.30006944444444444</v>
      </c>
      <c r="D8863" s="1">
        <v>13.071515</v>
      </c>
      <c r="E8863" s="1">
        <v>80.259034</v>
      </c>
      <c r="F8863" s="1">
        <v>5339.0</v>
      </c>
      <c r="G8863" s="1">
        <v>26.0</v>
      </c>
    </row>
    <row r="8864">
      <c r="A8864" s="1" t="s">
        <v>7</v>
      </c>
      <c r="B8864" s="2">
        <v>44739.0</v>
      </c>
      <c r="C8864" s="3">
        <v>0.30192129629629627</v>
      </c>
      <c r="D8864" s="1">
        <v>12.539024</v>
      </c>
      <c r="E8864" s="1">
        <v>79.903988</v>
      </c>
      <c r="F8864" s="1">
        <v>2846.0</v>
      </c>
      <c r="G8864" s="1">
        <v>56.0</v>
      </c>
    </row>
    <row r="8865">
      <c r="A8865" s="1" t="s">
        <v>8</v>
      </c>
      <c r="B8865" s="2">
        <v>44739.0</v>
      </c>
      <c r="C8865" s="3">
        <v>0.30310185185185184</v>
      </c>
      <c r="D8865" s="1">
        <v>13.068347</v>
      </c>
      <c r="E8865" s="1">
        <v>80.272037</v>
      </c>
      <c r="F8865" s="1">
        <v>5339.0</v>
      </c>
      <c r="G8865" s="1">
        <v>24.0</v>
      </c>
    </row>
    <row r="8866">
      <c r="A8866" s="1" t="s">
        <v>8</v>
      </c>
      <c r="B8866" s="2">
        <v>44739.0</v>
      </c>
      <c r="C8866" s="3">
        <v>0.30332175925925925</v>
      </c>
      <c r="D8866" s="1">
        <v>13.067171</v>
      </c>
      <c r="E8866" s="1">
        <v>80.27331</v>
      </c>
      <c r="F8866" s="1">
        <v>5339.0</v>
      </c>
      <c r="G8866" s="1">
        <v>35.0</v>
      </c>
    </row>
    <row r="8867">
      <c r="A8867" s="1" t="s">
        <v>7</v>
      </c>
      <c r="B8867" s="2">
        <v>44739.0</v>
      </c>
      <c r="C8867" s="3">
        <v>0.30386574074074074</v>
      </c>
      <c r="D8867" s="1">
        <v>12.55997</v>
      </c>
      <c r="E8867" s="1">
        <v>79.911174</v>
      </c>
      <c r="F8867" s="1">
        <v>2846.0</v>
      </c>
      <c r="G8867" s="1">
        <v>56.0</v>
      </c>
    </row>
    <row r="8868">
      <c r="A8868" s="1" t="s">
        <v>8</v>
      </c>
      <c r="B8868" s="2">
        <v>44739.0</v>
      </c>
      <c r="C8868" s="3">
        <v>0.3039699074074074</v>
      </c>
      <c r="D8868" s="1">
        <v>12.55997</v>
      </c>
      <c r="E8868" s="1">
        <v>79.911174</v>
      </c>
      <c r="F8868" s="1">
        <v>2846.0</v>
      </c>
      <c r="G8868" s="1">
        <v>56.0</v>
      </c>
    </row>
    <row r="8869">
      <c r="A8869" s="1" t="s">
        <v>10</v>
      </c>
      <c r="B8869" s="2">
        <v>44739.0</v>
      </c>
      <c r="C8869" s="3">
        <v>0.3042361111111111</v>
      </c>
      <c r="D8869" s="1">
        <v>13.063935</v>
      </c>
      <c r="E8869" s="1">
        <v>80.273988</v>
      </c>
      <c r="F8869" s="1">
        <v>5339.0</v>
      </c>
      <c r="G8869" s="1">
        <v>23.0</v>
      </c>
    </row>
    <row r="8870">
      <c r="A8870" s="1" t="s">
        <v>10</v>
      </c>
      <c r="B8870" s="2">
        <v>44739.0</v>
      </c>
      <c r="C8870" s="3">
        <v>0.30745370370370373</v>
      </c>
      <c r="D8870" s="1">
        <v>13.052897</v>
      </c>
      <c r="E8870" s="1">
        <v>80.273688</v>
      </c>
      <c r="F8870" s="1">
        <v>5339.0</v>
      </c>
      <c r="G8870" s="1">
        <v>4.0</v>
      </c>
    </row>
    <row r="8871">
      <c r="A8871" s="1" t="s">
        <v>10</v>
      </c>
      <c r="B8871" s="2">
        <v>44739.0</v>
      </c>
      <c r="C8871" s="3">
        <v>0.3079513888888889</v>
      </c>
      <c r="D8871" s="1">
        <v>13.059725</v>
      </c>
      <c r="E8871" s="1">
        <v>80.265603</v>
      </c>
      <c r="F8871" s="1">
        <v>805.0</v>
      </c>
      <c r="G8871" s="1">
        <v>22.0</v>
      </c>
    </row>
    <row r="8872">
      <c r="A8872" s="1" t="s">
        <v>8</v>
      </c>
      <c r="B8872" s="2">
        <v>44739.0</v>
      </c>
      <c r="C8872" s="3">
        <v>0.3119212962962963</v>
      </c>
      <c r="D8872" s="1">
        <v>13.053215</v>
      </c>
      <c r="E8872" s="1">
        <v>80.252195</v>
      </c>
      <c r="F8872" s="1">
        <v>5339.0</v>
      </c>
      <c r="G8872" s="1">
        <v>42.0</v>
      </c>
    </row>
    <row r="8873">
      <c r="A8873" s="1" t="s">
        <v>7</v>
      </c>
      <c r="B8873" s="2">
        <v>44739.0</v>
      </c>
      <c r="C8873" s="3">
        <v>0.31288194444444445</v>
      </c>
      <c r="D8873" s="1">
        <v>12.651372</v>
      </c>
      <c r="E8873" s="1">
        <v>79.940302</v>
      </c>
      <c r="F8873" s="1">
        <v>2846.0</v>
      </c>
      <c r="G8873" s="1">
        <v>56.0</v>
      </c>
    </row>
    <row r="8874">
      <c r="A8874" s="1" t="s">
        <v>8</v>
      </c>
      <c r="B8874" s="2">
        <v>44739.0</v>
      </c>
      <c r="C8874" s="3">
        <v>0.31297453703703704</v>
      </c>
      <c r="D8874" s="1">
        <v>13.044697</v>
      </c>
      <c r="E8874" s="1">
        <v>80.248057</v>
      </c>
      <c r="F8874" s="1">
        <v>5339.0</v>
      </c>
      <c r="G8874" s="1">
        <v>38.0</v>
      </c>
    </row>
    <row r="8875">
      <c r="A8875" s="1" t="s">
        <v>7</v>
      </c>
      <c r="B8875" s="2">
        <v>44739.0</v>
      </c>
      <c r="C8875" s="3">
        <v>0.3133796296296296</v>
      </c>
      <c r="D8875" s="1">
        <v>12.658373</v>
      </c>
      <c r="E8875" s="1">
        <v>79.94299</v>
      </c>
      <c r="F8875" s="1">
        <v>2846.0</v>
      </c>
      <c r="G8875" s="1">
        <v>57.0</v>
      </c>
    </row>
    <row r="8876">
      <c r="A8876" s="1" t="s">
        <v>7</v>
      </c>
      <c r="B8876" s="2">
        <v>44739.0</v>
      </c>
      <c r="C8876" s="3">
        <v>0.3142361111111111</v>
      </c>
      <c r="D8876" s="1">
        <v>12.656807</v>
      </c>
      <c r="E8876" s="1">
        <v>79.949428</v>
      </c>
      <c r="F8876" s="1">
        <v>2846.0</v>
      </c>
      <c r="G8876" s="1">
        <v>41.0</v>
      </c>
    </row>
    <row r="8877">
      <c r="A8877" s="1" t="s">
        <v>7</v>
      </c>
      <c r="B8877" s="2">
        <v>44739.0</v>
      </c>
      <c r="C8877" s="3">
        <v>0.31453703703703706</v>
      </c>
      <c r="D8877" s="1">
        <v>12.656894</v>
      </c>
      <c r="E8877" s="1">
        <v>79.955905</v>
      </c>
      <c r="F8877" s="1">
        <v>2846.0</v>
      </c>
      <c r="G8877" s="1">
        <v>54.0</v>
      </c>
    </row>
    <row r="8878">
      <c r="A8878" s="1" t="s">
        <v>9</v>
      </c>
      <c r="B8878" s="2">
        <v>44739.0</v>
      </c>
      <c r="C8878" s="3">
        <v>0.31475694444444446</v>
      </c>
      <c r="D8878" s="1">
        <v>12.656894</v>
      </c>
      <c r="E8878" s="1">
        <v>79.955905</v>
      </c>
      <c r="F8878" s="1">
        <v>2846.0</v>
      </c>
      <c r="G8878" s="1">
        <v>54.0</v>
      </c>
    </row>
    <row r="8879">
      <c r="A8879" s="1" t="s">
        <v>8</v>
      </c>
      <c r="B8879" s="2">
        <v>44739.0</v>
      </c>
      <c r="C8879" s="3">
        <v>0.31480324074074073</v>
      </c>
      <c r="D8879" s="1">
        <v>13.035429</v>
      </c>
      <c r="E8879" s="1">
        <v>80.246153</v>
      </c>
      <c r="F8879" s="1">
        <v>5339.0</v>
      </c>
      <c r="G8879" s="1">
        <v>24.0</v>
      </c>
    </row>
    <row r="8880">
      <c r="A8880" s="1" t="s">
        <v>8</v>
      </c>
      <c r="B8880" s="2">
        <v>44739.0</v>
      </c>
      <c r="C8880" s="3">
        <v>0.31493055555555555</v>
      </c>
      <c r="D8880" s="1">
        <v>13.034822</v>
      </c>
      <c r="E8880" s="1">
        <v>80.245768</v>
      </c>
      <c r="F8880" s="1">
        <v>5339.0</v>
      </c>
      <c r="G8880" s="1">
        <v>29.0</v>
      </c>
    </row>
    <row r="8881">
      <c r="A8881" s="1" t="s">
        <v>8</v>
      </c>
      <c r="B8881" s="2">
        <v>44739.0</v>
      </c>
      <c r="C8881" s="3">
        <v>0.3150810185185185</v>
      </c>
      <c r="D8881" s="1">
        <v>13.034285</v>
      </c>
      <c r="E8881" s="1">
        <v>80.245042</v>
      </c>
      <c r="F8881" s="1">
        <v>5339.0</v>
      </c>
      <c r="G8881" s="1">
        <v>37.0</v>
      </c>
    </row>
    <row r="8882">
      <c r="A8882" s="1" t="s">
        <v>8</v>
      </c>
      <c r="B8882" s="2">
        <v>44739.0</v>
      </c>
      <c r="C8882" s="3">
        <v>0.3152199074074074</v>
      </c>
      <c r="D8882" s="1">
        <v>13.033664</v>
      </c>
      <c r="E8882" s="1">
        <v>80.244227</v>
      </c>
      <c r="F8882" s="1">
        <v>5339.0</v>
      </c>
      <c r="G8882" s="1">
        <v>39.0</v>
      </c>
    </row>
    <row r="8883">
      <c r="A8883" s="1" t="s">
        <v>8</v>
      </c>
      <c r="B8883" s="2">
        <v>44739.0</v>
      </c>
      <c r="C8883" s="3">
        <v>0.31613425925925925</v>
      </c>
      <c r="D8883" s="1">
        <v>13.031042</v>
      </c>
      <c r="E8883" s="1">
        <v>80.239875</v>
      </c>
      <c r="F8883" s="1">
        <v>5339.0</v>
      </c>
      <c r="G8883" s="1">
        <v>32.0</v>
      </c>
    </row>
    <row r="8884">
      <c r="A8884" s="1" t="s">
        <v>7</v>
      </c>
      <c r="B8884" s="2">
        <v>44739.0</v>
      </c>
      <c r="C8884" s="3">
        <v>0.3169212962962963</v>
      </c>
      <c r="D8884" s="1">
        <v>12.66825</v>
      </c>
      <c r="E8884" s="1">
        <v>79.972958</v>
      </c>
      <c r="F8884" s="1">
        <v>2846.0</v>
      </c>
      <c r="G8884" s="1">
        <v>55.0</v>
      </c>
    </row>
    <row r="8885">
      <c r="A8885" s="1" t="s">
        <v>8</v>
      </c>
      <c r="B8885" s="2">
        <v>44739.0</v>
      </c>
      <c r="C8885" s="3">
        <v>0.31711805555555556</v>
      </c>
      <c r="D8885" s="1">
        <v>13.026699</v>
      </c>
      <c r="E8885" s="1">
        <v>80.233412</v>
      </c>
      <c r="F8885" s="1">
        <v>5339.0</v>
      </c>
      <c r="G8885" s="1">
        <v>8.0</v>
      </c>
    </row>
    <row r="8886">
      <c r="A8886" s="1" t="s">
        <v>8</v>
      </c>
      <c r="B8886" s="2">
        <v>44739.0</v>
      </c>
      <c r="C8886" s="3">
        <v>0.3174884259259259</v>
      </c>
      <c r="D8886" s="1">
        <v>13.025982</v>
      </c>
      <c r="E8886" s="1">
        <v>80.231362</v>
      </c>
      <c r="F8886" s="1">
        <v>5339.0</v>
      </c>
      <c r="G8886" s="1">
        <v>25.0</v>
      </c>
    </row>
    <row r="8887">
      <c r="A8887" s="1" t="s">
        <v>8</v>
      </c>
      <c r="B8887" s="2">
        <v>44739.0</v>
      </c>
      <c r="C8887" s="3">
        <v>0.3175</v>
      </c>
      <c r="D8887" s="1">
        <v>13.025982</v>
      </c>
      <c r="E8887" s="1">
        <v>80.231362</v>
      </c>
      <c r="F8887" s="1">
        <v>5339.0</v>
      </c>
      <c r="G8887" s="1">
        <v>25.0</v>
      </c>
    </row>
    <row r="8888">
      <c r="A8888" s="1" t="s">
        <v>7</v>
      </c>
      <c r="B8888" s="2">
        <v>44739.0</v>
      </c>
      <c r="C8888" s="3">
        <v>0.31824074074074077</v>
      </c>
      <c r="D8888" s="1">
        <v>13.022624</v>
      </c>
      <c r="E8888" s="1">
        <v>80.22682</v>
      </c>
      <c r="F8888" s="1">
        <v>5339.0</v>
      </c>
      <c r="G8888" s="1">
        <v>50.0</v>
      </c>
    </row>
    <row r="8889">
      <c r="A8889" s="1" t="s">
        <v>7</v>
      </c>
      <c r="B8889" s="2">
        <v>44739.0</v>
      </c>
      <c r="C8889" s="3">
        <v>0.31836805555555553</v>
      </c>
      <c r="D8889" s="1">
        <v>13.020452</v>
      </c>
      <c r="E8889" s="1">
        <v>80.225136</v>
      </c>
      <c r="F8889" s="1">
        <v>5339.0</v>
      </c>
      <c r="G8889" s="1">
        <v>56.0</v>
      </c>
    </row>
    <row r="8890">
      <c r="A8890" s="1" t="s">
        <v>7</v>
      </c>
      <c r="B8890" s="2">
        <v>44739.0</v>
      </c>
      <c r="C8890" s="3">
        <v>0.31884259259259257</v>
      </c>
      <c r="D8890" s="1">
        <v>13.015368</v>
      </c>
      <c r="E8890" s="1">
        <v>80.22588</v>
      </c>
      <c r="F8890" s="1">
        <v>5339.0</v>
      </c>
      <c r="G8890" s="1">
        <v>51.0</v>
      </c>
    </row>
    <row r="8891">
      <c r="A8891" s="1" t="s">
        <v>7</v>
      </c>
      <c r="B8891" s="2">
        <v>44739.0</v>
      </c>
      <c r="C8891" s="3">
        <v>0.3188888888888889</v>
      </c>
      <c r="D8891" s="1">
        <v>13.015368</v>
      </c>
      <c r="E8891" s="1">
        <v>80.22588</v>
      </c>
      <c r="F8891" s="1">
        <v>5339.0</v>
      </c>
      <c r="G8891" s="1">
        <v>51.0</v>
      </c>
    </row>
    <row r="8892">
      <c r="A8892" s="1" t="s">
        <v>8</v>
      </c>
      <c r="B8892" s="2">
        <v>44739.0</v>
      </c>
      <c r="C8892" s="3">
        <v>0.318900462962963</v>
      </c>
      <c r="D8892" s="1">
        <v>13.015368</v>
      </c>
      <c r="E8892" s="1">
        <v>80.22588</v>
      </c>
      <c r="F8892" s="1">
        <v>5339.0</v>
      </c>
      <c r="G8892" s="1">
        <v>51.0</v>
      </c>
    </row>
    <row r="8893">
      <c r="A8893" s="1" t="s">
        <v>8</v>
      </c>
      <c r="B8893" s="2">
        <v>44739.0</v>
      </c>
      <c r="C8893" s="3">
        <v>0.3193402777777778</v>
      </c>
      <c r="D8893" s="1">
        <v>13.010819</v>
      </c>
      <c r="E8893" s="1">
        <v>80.22762</v>
      </c>
      <c r="F8893" s="1">
        <v>5339.0</v>
      </c>
      <c r="G8893" s="1">
        <v>47.0</v>
      </c>
    </row>
    <row r="8894">
      <c r="A8894" s="1" t="s">
        <v>8</v>
      </c>
      <c r="B8894" s="2">
        <v>44739.0</v>
      </c>
      <c r="C8894" s="3">
        <v>0.3197800925925926</v>
      </c>
      <c r="D8894" s="1">
        <v>13.010334</v>
      </c>
      <c r="E8894" s="1">
        <v>80.225805</v>
      </c>
      <c r="F8894" s="1">
        <v>5339.0</v>
      </c>
      <c r="G8894" s="1">
        <v>45.0</v>
      </c>
    </row>
    <row r="8895">
      <c r="A8895" s="1" t="s">
        <v>8</v>
      </c>
      <c r="B8895" s="2">
        <v>44739.0</v>
      </c>
      <c r="C8895" s="3">
        <v>0.31980324074074074</v>
      </c>
      <c r="D8895" s="1">
        <v>13.010334</v>
      </c>
      <c r="E8895" s="1">
        <v>80.225805</v>
      </c>
      <c r="F8895" s="1">
        <v>5339.0</v>
      </c>
      <c r="G8895" s="1">
        <v>45.0</v>
      </c>
    </row>
    <row r="8896">
      <c r="A8896" s="1" t="s">
        <v>8</v>
      </c>
      <c r="B8896" s="2">
        <v>44739.0</v>
      </c>
      <c r="C8896" s="3">
        <v>0.3205208333333333</v>
      </c>
      <c r="D8896" s="1">
        <v>12.683804</v>
      </c>
      <c r="E8896" s="1">
        <v>79.983184</v>
      </c>
      <c r="F8896" s="1">
        <v>2846.0</v>
      </c>
      <c r="G8896" s="1">
        <v>19.0</v>
      </c>
    </row>
    <row r="8897">
      <c r="A8897" s="1" t="s">
        <v>8</v>
      </c>
      <c r="B8897" s="2">
        <v>44739.0</v>
      </c>
      <c r="C8897" s="3">
        <v>0.32056712962962963</v>
      </c>
      <c r="D8897" s="1">
        <v>13.011981</v>
      </c>
      <c r="E8897" s="1">
        <v>80.221808</v>
      </c>
      <c r="F8897" s="1">
        <v>5339.0</v>
      </c>
      <c r="G8897" s="1">
        <v>39.0</v>
      </c>
    </row>
    <row r="8898">
      <c r="A8898" s="1" t="s">
        <v>8</v>
      </c>
      <c r="B8898" s="2">
        <v>44739.0</v>
      </c>
      <c r="C8898" s="3">
        <v>0.32060185185185186</v>
      </c>
      <c r="D8898" s="1">
        <v>13.011981</v>
      </c>
      <c r="E8898" s="1">
        <v>80.221808</v>
      </c>
      <c r="F8898" s="1">
        <v>5339.0</v>
      </c>
      <c r="G8898" s="1">
        <v>39.0</v>
      </c>
    </row>
    <row r="8899">
      <c r="A8899" s="1" t="s">
        <v>8</v>
      </c>
      <c r="B8899" s="2">
        <v>44739.0</v>
      </c>
      <c r="C8899" s="3">
        <v>0.32091435185185185</v>
      </c>
      <c r="D8899" s="1">
        <v>13.011538</v>
      </c>
      <c r="E8899" s="1">
        <v>80.219076</v>
      </c>
      <c r="F8899" s="1">
        <v>5339.0</v>
      </c>
      <c r="G8899" s="1">
        <v>46.0</v>
      </c>
    </row>
    <row r="8900">
      <c r="A8900" s="1" t="s">
        <v>7</v>
      </c>
      <c r="B8900" s="2">
        <v>44739.0</v>
      </c>
      <c r="C8900" s="3">
        <v>0.3214236111111111</v>
      </c>
      <c r="D8900" s="1">
        <v>13.009872</v>
      </c>
      <c r="E8900" s="1">
        <v>80.214253</v>
      </c>
      <c r="F8900" s="1">
        <v>5339.0</v>
      </c>
      <c r="G8900" s="1">
        <v>56.0</v>
      </c>
    </row>
    <row r="8901">
      <c r="A8901" s="1" t="s">
        <v>8</v>
      </c>
      <c r="B8901" s="2">
        <v>44739.0</v>
      </c>
      <c r="C8901" s="3">
        <v>0.3216435185185185</v>
      </c>
      <c r="D8901" s="1">
        <v>13.008914</v>
      </c>
      <c r="E8901" s="1">
        <v>80.21175</v>
      </c>
      <c r="F8901" s="1">
        <v>5339.0</v>
      </c>
      <c r="G8901" s="1">
        <v>33.0</v>
      </c>
    </row>
    <row r="8902">
      <c r="A8902" s="1" t="s">
        <v>8</v>
      </c>
      <c r="B8902" s="2">
        <v>44739.0</v>
      </c>
      <c r="C8902" s="3">
        <v>0.3217013888888889</v>
      </c>
      <c r="D8902" s="1">
        <v>13.008914</v>
      </c>
      <c r="E8902" s="1">
        <v>80.21175</v>
      </c>
      <c r="F8902" s="1">
        <v>5339.0</v>
      </c>
      <c r="G8902" s="1">
        <v>33.0</v>
      </c>
    </row>
    <row r="8903">
      <c r="A8903" s="1" t="s">
        <v>8</v>
      </c>
      <c r="B8903" s="2">
        <v>44739.0</v>
      </c>
      <c r="C8903" s="3">
        <v>0.3218402777777778</v>
      </c>
      <c r="D8903" s="1">
        <v>13.008259</v>
      </c>
      <c r="E8903" s="1">
        <v>80.209845</v>
      </c>
      <c r="F8903" s="1">
        <v>5339.0</v>
      </c>
      <c r="G8903" s="1">
        <v>45.0</v>
      </c>
    </row>
    <row r="8904">
      <c r="A8904" s="1" t="s">
        <v>8</v>
      </c>
      <c r="B8904" s="2">
        <v>44739.0</v>
      </c>
      <c r="C8904" s="3">
        <v>0.32210648148148147</v>
      </c>
      <c r="D8904" s="1">
        <v>13.007816</v>
      </c>
      <c r="E8904" s="1">
        <v>80.207555</v>
      </c>
      <c r="F8904" s="1">
        <v>5339.0</v>
      </c>
      <c r="G8904" s="1">
        <v>51.0</v>
      </c>
    </row>
    <row r="8905">
      <c r="A8905" s="1" t="s">
        <v>8</v>
      </c>
      <c r="B8905" s="2">
        <v>44739.0</v>
      </c>
      <c r="C8905" s="3">
        <v>0.32232638888888887</v>
      </c>
      <c r="D8905" s="1">
        <v>13.00726</v>
      </c>
      <c r="E8905" s="1">
        <v>80.205114</v>
      </c>
      <c r="F8905" s="1">
        <v>5339.0</v>
      </c>
      <c r="G8905" s="1">
        <v>50.0</v>
      </c>
    </row>
    <row r="8906">
      <c r="A8906" s="1" t="s">
        <v>8</v>
      </c>
      <c r="B8906" s="2">
        <v>44739.0</v>
      </c>
      <c r="C8906" s="3">
        <v>0.3232175925925926</v>
      </c>
      <c r="D8906" s="1">
        <v>13.003296</v>
      </c>
      <c r="E8906" s="1">
        <v>80.200846</v>
      </c>
      <c r="F8906" s="1">
        <v>5339.0</v>
      </c>
      <c r="G8906" s="1">
        <v>46.0</v>
      </c>
    </row>
    <row r="8907">
      <c r="A8907" s="1" t="s">
        <v>8</v>
      </c>
      <c r="B8907" s="2">
        <v>44739.0</v>
      </c>
      <c r="C8907" s="3">
        <v>0.3233564814814815</v>
      </c>
      <c r="D8907" s="1">
        <v>13.001732</v>
      </c>
      <c r="E8907" s="1">
        <v>80.199506</v>
      </c>
      <c r="F8907" s="1">
        <v>5339.0</v>
      </c>
      <c r="G8907" s="1">
        <v>41.0</v>
      </c>
    </row>
    <row r="8908">
      <c r="A8908" s="1" t="s">
        <v>8</v>
      </c>
      <c r="B8908" s="2">
        <v>44739.0</v>
      </c>
      <c r="C8908" s="3">
        <v>0.3246527777777778</v>
      </c>
      <c r="D8908" s="1">
        <v>12.995701</v>
      </c>
      <c r="E8908" s="1">
        <v>80.188889</v>
      </c>
      <c r="F8908" s="1">
        <v>5339.0</v>
      </c>
      <c r="G8908" s="1">
        <v>54.0</v>
      </c>
    </row>
    <row r="8909">
      <c r="A8909" s="1" t="s">
        <v>8</v>
      </c>
      <c r="B8909" s="2">
        <v>44739.0</v>
      </c>
      <c r="C8909" s="3">
        <v>0.3247800925925926</v>
      </c>
      <c r="D8909" s="1">
        <v>12.995189</v>
      </c>
      <c r="E8909" s="1">
        <v>80.187918</v>
      </c>
      <c r="F8909" s="1">
        <v>5339.0</v>
      </c>
      <c r="G8909" s="1">
        <v>34.0</v>
      </c>
    </row>
    <row r="8910">
      <c r="A8910" s="1" t="s">
        <v>7</v>
      </c>
      <c r="B8910" s="2">
        <v>44739.0</v>
      </c>
      <c r="C8910" s="3">
        <v>0.32505787037037037</v>
      </c>
      <c r="D8910" s="1">
        <v>13.006436</v>
      </c>
      <c r="E8910" s="1">
        <v>80.256482</v>
      </c>
      <c r="F8910" s="1">
        <v>805.0</v>
      </c>
      <c r="G8910" s="1">
        <v>31.0</v>
      </c>
    </row>
    <row r="8911">
      <c r="A8911" s="1" t="s">
        <v>7</v>
      </c>
      <c r="B8911" s="2">
        <v>44739.0</v>
      </c>
      <c r="C8911" s="3">
        <v>0.3252083333333333</v>
      </c>
      <c r="D8911" s="1">
        <v>13.006485</v>
      </c>
      <c r="E8911" s="1">
        <v>80.253924</v>
      </c>
      <c r="F8911" s="1">
        <v>805.0</v>
      </c>
      <c r="G8911" s="1">
        <v>55.0</v>
      </c>
    </row>
    <row r="8912">
      <c r="A8912" s="1" t="s">
        <v>8</v>
      </c>
      <c r="B8912" s="2">
        <v>44739.0</v>
      </c>
      <c r="C8912" s="3">
        <v>0.32535879629629627</v>
      </c>
      <c r="D8912" s="1">
        <v>13.006493</v>
      </c>
      <c r="E8912" s="1">
        <v>80.252665</v>
      </c>
      <c r="F8912" s="1">
        <v>805.0</v>
      </c>
      <c r="G8912" s="1">
        <v>37.0</v>
      </c>
    </row>
    <row r="8913">
      <c r="A8913" s="1" t="s">
        <v>8</v>
      </c>
      <c r="B8913" s="2">
        <v>44739.0</v>
      </c>
      <c r="C8913" s="3">
        <v>0.32535879629629627</v>
      </c>
      <c r="D8913" s="1">
        <v>13.006493</v>
      </c>
      <c r="E8913" s="1">
        <v>80.252665</v>
      </c>
      <c r="F8913" s="1">
        <v>805.0</v>
      </c>
      <c r="G8913" s="1">
        <v>37.0</v>
      </c>
    </row>
    <row r="8914">
      <c r="A8914" s="1" t="s">
        <v>8</v>
      </c>
      <c r="B8914" s="2">
        <v>44739.0</v>
      </c>
      <c r="C8914" s="3">
        <v>0.3258564814814815</v>
      </c>
      <c r="D8914" s="1">
        <v>12.993784</v>
      </c>
      <c r="E8914" s="1">
        <v>80.185188</v>
      </c>
      <c r="F8914" s="1">
        <v>5339.0</v>
      </c>
      <c r="G8914" s="1">
        <v>34.0</v>
      </c>
    </row>
    <row r="8915">
      <c r="A8915" s="1" t="s">
        <v>8</v>
      </c>
      <c r="B8915" s="2">
        <v>44739.0</v>
      </c>
      <c r="C8915" s="3">
        <v>0.3262037037037037</v>
      </c>
      <c r="D8915" s="1">
        <v>12.991942</v>
      </c>
      <c r="E8915" s="1">
        <v>80.182177</v>
      </c>
      <c r="F8915" s="1">
        <v>5339.0</v>
      </c>
      <c r="G8915" s="1">
        <v>47.0</v>
      </c>
    </row>
    <row r="8916">
      <c r="A8916" s="1" t="s">
        <v>8</v>
      </c>
      <c r="B8916" s="2">
        <v>44739.0</v>
      </c>
      <c r="C8916" s="3">
        <v>0.32631944444444444</v>
      </c>
      <c r="D8916" s="1">
        <v>12.99125</v>
      </c>
      <c r="E8916" s="1">
        <v>80.181263</v>
      </c>
      <c r="F8916" s="1">
        <v>5339.0</v>
      </c>
      <c r="G8916" s="1">
        <v>44.0</v>
      </c>
    </row>
    <row r="8917">
      <c r="A8917" s="1" t="s">
        <v>8</v>
      </c>
      <c r="B8917" s="2">
        <v>44739.0</v>
      </c>
      <c r="C8917" s="3">
        <v>0.3270486111111111</v>
      </c>
      <c r="D8917" s="1">
        <v>12.700375</v>
      </c>
      <c r="E8917" s="1">
        <v>79.968595</v>
      </c>
      <c r="F8917" s="1">
        <v>2846.0</v>
      </c>
      <c r="G8917" s="1">
        <v>20.0</v>
      </c>
    </row>
    <row r="8918">
      <c r="A8918" s="1" t="s">
        <v>8</v>
      </c>
      <c r="B8918" s="2">
        <v>44739.0</v>
      </c>
      <c r="C8918" s="3">
        <v>0.32741898148148146</v>
      </c>
      <c r="D8918" s="1">
        <v>12.70342</v>
      </c>
      <c r="E8918" s="1">
        <v>79.971588</v>
      </c>
      <c r="F8918" s="1">
        <v>2846.0</v>
      </c>
      <c r="G8918" s="1">
        <v>31.0</v>
      </c>
    </row>
    <row r="8919">
      <c r="A8919" s="1" t="s">
        <v>8</v>
      </c>
      <c r="B8919" s="2">
        <v>44739.0</v>
      </c>
      <c r="C8919" s="3">
        <v>0.32762731481481483</v>
      </c>
      <c r="D8919" s="1">
        <v>12.986308</v>
      </c>
      <c r="E8919" s="1">
        <v>80.174657</v>
      </c>
      <c r="F8919" s="1">
        <v>5339.0</v>
      </c>
      <c r="G8919" s="1">
        <v>30.0</v>
      </c>
    </row>
    <row r="8920">
      <c r="A8920" s="1" t="s">
        <v>8</v>
      </c>
      <c r="B8920" s="2">
        <v>44739.0</v>
      </c>
      <c r="C8920" s="3">
        <v>0.32763888888888887</v>
      </c>
      <c r="D8920" s="1">
        <v>12.986308</v>
      </c>
      <c r="E8920" s="1">
        <v>80.174657</v>
      </c>
      <c r="F8920" s="1">
        <v>5339.0</v>
      </c>
      <c r="G8920" s="1">
        <v>30.0</v>
      </c>
    </row>
    <row r="8921">
      <c r="A8921" s="1" t="s">
        <v>7</v>
      </c>
      <c r="B8921" s="2">
        <v>44739.0</v>
      </c>
      <c r="C8921" s="3">
        <v>0.3277777777777778</v>
      </c>
      <c r="D8921" s="1">
        <v>12.707006</v>
      </c>
      <c r="E8921" s="1">
        <v>79.976046</v>
      </c>
      <c r="F8921" s="1">
        <v>2846.0</v>
      </c>
      <c r="G8921" s="1">
        <v>58.0</v>
      </c>
    </row>
    <row r="8922">
      <c r="A8922" s="1" t="s">
        <v>8</v>
      </c>
      <c r="B8922" s="2">
        <v>44739.0</v>
      </c>
      <c r="C8922" s="3">
        <v>0.32792824074074073</v>
      </c>
      <c r="D8922" s="1">
        <v>12.707006</v>
      </c>
      <c r="E8922" s="1">
        <v>79.976046</v>
      </c>
      <c r="F8922" s="1">
        <v>2846.0</v>
      </c>
      <c r="G8922" s="1">
        <v>58.0</v>
      </c>
    </row>
    <row r="8923">
      <c r="A8923" s="1" t="s">
        <v>8</v>
      </c>
      <c r="B8923" s="2">
        <v>44739.0</v>
      </c>
      <c r="C8923" s="3">
        <v>0.3280092592592593</v>
      </c>
      <c r="D8923" s="1">
        <v>12.984652</v>
      </c>
      <c r="E8923" s="1">
        <v>80.172133</v>
      </c>
      <c r="F8923" s="1">
        <v>5339.0</v>
      </c>
      <c r="G8923" s="1">
        <v>43.0</v>
      </c>
    </row>
    <row r="8924">
      <c r="A8924" s="1" t="s">
        <v>7</v>
      </c>
      <c r="B8924" s="2">
        <v>44739.0</v>
      </c>
      <c r="C8924" s="3">
        <v>0.3284606481481481</v>
      </c>
      <c r="D8924" s="1">
        <v>13.007728</v>
      </c>
      <c r="E8924" s="1">
        <v>80.235688</v>
      </c>
      <c r="F8924" s="1">
        <v>805.0</v>
      </c>
      <c r="G8924" s="1">
        <v>45.0</v>
      </c>
    </row>
    <row r="8925">
      <c r="A8925" s="1" t="s">
        <v>7</v>
      </c>
      <c r="B8925" s="2">
        <v>44739.0</v>
      </c>
      <c r="C8925" s="3">
        <v>0.32862268518518517</v>
      </c>
      <c r="D8925" s="1">
        <v>13.00798</v>
      </c>
      <c r="E8925" s="1">
        <v>80.234394</v>
      </c>
      <c r="F8925" s="1">
        <v>805.0</v>
      </c>
      <c r="G8925" s="1">
        <v>52.0</v>
      </c>
    </row>
    <row r="8926">
      <c r="A8926" s="1" t="s">
        <v>7</v>
      </c>
      <c r="B8926" s="2">
        <v>44739.0</v>
      </c>
      <c r="C8926" s="3">
        <v>0.32872685185185185</v>
      </c>
      <c r="D8926" s="1">
        <v>12.981958</v>
      </c>
      <c r="E8926" s="1">
        <v>80.1677</v>
      </c>
      <c r="F8926" s="1">
        <v>5339.0</v>
      </c>
      <c r="G8926" s="1">
        <v>47.0</v>
      </c>
    </row>
    <row r="8927">
      <c r="A8927" s="1" t="s">
        <v>8</v>
      </c>
      <c r="B8927" s="2">
        <v>44739.0</v>
      </c>
      <c r="C8927" s="3">
        <v>0.3288425925925926</v>
      </c>
      <c r="D8927" s="1">
        <v>12.980687</v>
      </c>
      <c r="E8927" s="1">
        <v>80.165517</v>
      </c>
      <c r="F8927" s="1">
        <v>5339.0</v>
      </c>
      <c r="G8927" s="1">
        <v>54.0</v>
      </c>
    </row>
    <row r="8928">
      <c r="A8928" s="1" t="s">
        <v>7</v>
      </c>
      <c r="B8928" s="2">
        <v>44739.0</v>
      </c>
      <c r="C8928" s="3">
        <v>0.3290046296296296</v>
      </c>
      <c r="D8928" s="1">
        <v>12.714245</v>
      </c>
      <c r="E8928" s="1">
        <v>79.98012</v>
      </c>
      <c r="F8928" s="1">
        <v>2846.0</v>
      </c>
      <c r="G8928" s="1">
        <v>46.0</v>
      </c>
    </row>
    <row r="8929">
      <c r="A8929" s="1" t="s">
        <v>8</v>
      </c>
      <c r="B8929" s="2">
        <v>44739.0</v>
      </c>
      <c r="C8929" s="3">
        <v>0.3291898148148148</v>
      </c>
      <c r="D8929" s="1">
        <v>13.009134</v>
      </c>
      <c r="E8929" s="1">
        <v>80.228462</v>
      </c>
      <c r="F8929" s="1">
        <v>805.0</v>
      </c>
      <c r="G8929" s="1">
        <v>36.0</v>
      </c>
    </row>
    <row r="8930">
      <c r="A8930" s="1" t="s">
        <v>8</v>
      </c>
      <c r="B8930" s="2">
        <v>44739.0</v>
      </c>
      <c r="C8930" s="3">
        <v>0.3292476851851852</v>
      </c>
      <c r="D8930" s="1">
        <v>13.009474</v>
      </c>
      <c r="E8930" s="1">
        <v>80.227555</v>
      </c>
      <c r="F8930" s="1">
        <v>805.0</v>
      </c>
      <c r="G8930" s="1">
        <v>38.0</v>
      </c>
    </row>
    <row r="8931">
      <c r="A8931" s="1" t="s">
        <v>7</v>
      </c>
      <c r="B8931" s="2">
        <v>44739.0</v>
      </c>
      <c r="C8931" s="3">
        <v>0.329537037037037</v>
      </c>
      <c r="D8931" s="1">
        <v>12.7211</v>
      </c>
      <c r="E8931" s="1">
        <v>79.981204</v>
      </c>
      <c r="F8931" s="1">
        <v>2846.0</v>
      </c>
      <c r="G8931" s="1">
        <v>57.0</v>
      </c>
    </row>
    <row r="8932">
      <c r="A8932" s="1" t="s">
        <v>8</v>
      </c>
      <c r="B8932" s="2">
        <v>44739.0</v>
      </c>
      <c r="C8932" s="3">
        <v>0.3296875</v>
      </c>
      <c r="D8932" s="1">
        <v>13.01079</v>
      </c>
      <c r="E8932" s="1">
        <v>80.224758</v>
      </c>
      <c r="F8932" s="1">
        <v>805.0</v>
      </c>
      <c r="G8932" s="1">
        <v>33.0</v>
      </c>
    </row>
    <row r="8933">
      <c r="A8933" s="1" t="s">
        <v>8</v>
      </c>
      <c r="B8933" s="2">
        <v>44739.0</v>
      </c>
      <c r="C8933" s="3">
        <v>0.3297453703703704</v>
      </c>
      <c r="D8933" s="1">
        <v>13.011099</v>
      </c>
      <c r="E8933" s="1">
        <v>80.224054</v>
      </c>
      <c r="F8933" s="1">
        <v>805.0</v>
      </c>
      <c r="G8933" s="1">
        <v>30.0</v>
      </c>
    </row>
    <row r="8934">
      <c r="A8934" s="1" t="s">
        <v>7</v>
      </c>
      <c r="B8934" s="2">
        <v>44739.0</v>
      </c>
      <c r="C8934" s="3">
        <v>0.33033564814814814</v>
      </c>
      <c r="D8934" s="1">
        <v>12.725003</v>
      </c>
      <c r="E8934" s="1">
        <v>79.982046</v>
      </c>
      <c r="F8934" s="1">
        <v>2846.0</v>
      </c>
      <c r="G8934" s="1">
        <v>32.0</v>
      </c>
    </row>
    <row r="8935">
      <c r="A8935" s="1" t="s">
        <v>8</v>
      </c>
      <c r="B8935" s="2">
        <v>44739.0</v>
      </c>
      <c r="C8935" s="3">
        <v>0.3304861111111111</v>
      </c>
      <c r="D8935" s="1">
        <v>13.012054</v>
      </c>
      <c r="E8935" s="1">
        <v>80.22071</v>
      </c>
      <c r="F8935" s="1">
        <v>805.0</v>
      </c>
      <c r="G8935" s="1">
        <v>31.0</v>
      </c>
    </row>
    <row r="8936">
      <c r="A8936" s="1" t="s">
        <v>8</v>
      </c>
      <c r="B8936" s="2">
        <v>44739.0</v>
      </c>
      <c r="C8936" s="3">
        <v>0.33067129629629627</v>
      </c>
      <c r="D8936" s="1">
        <v>12.974318</v>
      </c>
      <c r="E8936" s="1">
        <v>80.154709</v>
      </c>
      <c r="F8936" s="1">
        <v>5339.0</v>
      </c>
      <c r="G8936" s="1">
        <v>19.0</v>
      </c>
    </row>
    <row r="8937">
      <c r="A8937" s="1" t="s">
        <v>7</v>
      </c>
      <c r="B8937" s="2">
        <v>44739.0</v>
      </c>
      <c r="C8937" s="3">
        <v>0.3307407407407407</v>
      </c>
      <c r="D8937" s="1">
        <v>12.731122</v>
      </c>
      <c r="E8937" s="1">
        <v>79.98282</v>
      </c>
      <c r="F8937" s="1">
        <v>2846.0</v>
      </c>
      <c r="G8937" s="1">
        <v>55.0</v>
      </c>
    </row>
    <row r="8938">
      <c r="A8938" s="1" t="s">
        <v>7</v>
      </c>
      <c r="B8938" s="2">
        <v>44739.0</v>
      </c>
      <c r="C8938" s="3">
        <v>0.3313425925925926</v>
      </c>
      <c r="D8938" s="1">
        <v>12.737471</v>
      </c>
      <c r="E8938" s="1">
        <v>79.987833</v>
      </c>
      <c r="F8938" s="1">
        <v>2846.0</v>
      </c>
      <c r="G8938" s="1">
        <v>53.0</v>
      </c>
    </row>
    <row r="8939">
      <c r="A8939" s="1" t="s">
        <v>8</v>
      </c>
      <c r="B8939" s="2">
        <v>44739.0</v>
      </c>
      <c r="C8939" s="3">
        <v>0.3317939814814815</v>
      </c>
      <c r="D8939" s="1">
        <v>13.008297</v>
      </c>
      <c r="E8939" s="1">
        <v>80.210051</v>
      </c>
      <c r="F8939" s="1">
        <v>805.0</v>
      </c>
      <c r="G8939" s="1">
        <v>39.0</v>
      </c>
    </row>
    <row r="8940">
      <c r="A8940" s="1" t="s">
        <v>8</v>
      </c>
      <c r="B8940" s="2">
        <v>44739.0</v>
      </c>
      <c r="C8940" s="3">
        <v>0.3318171296296296</v>
      </c>
      <c r="D8940" s="1">
        <v>13.008297</v>
      </c>
      <c r="E8940" s="1">
        <v>80.210051</v>
      </c>
      <c r="F8940" s="1">
        <v>805.0</v>
      </c>
      <c r="G8940" s="1">
        <v>39.0</v>
      </c>
    </row>
    <row r="8941">
      <c r="A8941" s="1" t="s">
        <v>10</v>
      </c>
      <c r="B8941" s="2">
        <v>44739.0</v>
      </c>
      <c r="C8941" s="3">
        <v>0.3318287037037037</v>
      </c>
      <c r="D8941" s="1">
        <v>12.741963</v>
      </c>
      <c r="E8941" s="1">
        <v>79.991226</v>
      </c>
      <c r="F8941" s="1">
        <v>2846.0</v>
      </c>
      <c r="G8941" s="1">
        <v>51.0</v>
      </c>
    </row>
    <row r="8942">
      <c r="A8942" s="1" t="s">
        <v>8</v>
      </c>
      <c r="B8942" s="2">
        <v>44739.0</v>
      </c>
      <c r="C8942" s="3">
        <v>0.33186342592592594</v>
      </c>
      <c r="D8942" s="1">
        <v>13.008031</v>
      </c>
      <c r="E8942" s="1">
        <v>80.208865</v>
      </c>
      <c r="F8942" s="1">
        <v>805.0</v>
      </c>
      <c r="G8942" s="1">
        <v>43.0</v>
      </c>
    </row>
    <row r="8943">
      <c r="A8943" s="1" t="s">
        <v>7</v>
      </c>
      <c r="B8943" s="2">
        <v>44739.0</v>
      </c>
      <c r="C8943" s="3">
        <v>0.3325</v>
      </c>
      <c r="D8943" s="1">
        <v>12.962853</v>
      </c>
      <c r="E8943" s="1">
        <v>80.146784</v>
      </c>
      <c r="F8943" s="1">
        <v>5339.0</v>
      </c>
      <c r="G8943" s="1">
        <v>51.0</v>
      </c>
    </row>
    <row r="8944">
      <c r="A8944" s="1" t="s">
        <v>7</v>
      </c>
      <c r="B8944" s="2">
        <v>44739.0</v>
      </c>
      <c r="C8944" s="3">
        <v>0.33287037037037037</v>
      </c>
      <c r="D8944" s="1">
        <v>12.744431</v>
      </c>
      <c r="E8944" s="1">
        <v>79.993218</v>
      </c>
      <c r="F8944" s="1">
        <v>2846.0</v>
      </c>
      <c r="G8944" s="1">
        <v>40.0</v>
      </c>
    </row>
    <row r="8945">
      <c r="A8945" s="1" t="s">
        <v>8</v>
      </c>
      <c r="B8945" s="2">
        <v>44739.0</v>
      </c>
      <c r="C8945" s="3">
        <v>0.33295138888888887</v>
      </c>
      <c r="D8945" s="1">
        <v>13.003201</v>
      </c>
      <c r="E8945" s="1">
        <v>80.200831</v>
      </c>
      <c r="F8945" s="1">
        <v>805.0</v>
      </c>
      <c r="G8945" s="1">
        <v>47.0</v>
      </c>
    </row>
    <row r="8946">
      <c r="A8946" s="1" t="s">
        <v>7</v>
      </c>
      <c r="B8946" s="2">
        <v>44739.0</v>
      </c>
      <c r="C8946" s="3">
        <v>0.333125</v>
      </c>
      <c r="D8946" s="1">
        <v>12.749598</v>
      </c>
      <c r="E8946" s="1">
        <v>79.997454</v>
      </c>
      <c r="F8946" s="1">
        <v>2846.0</v>
      </c>
      <c r="G8946" s="1">
        <v>58.0</v>
      </c>
    </row>
    <row r="8947">
      <c r="A8947" s="1" t="s">
        <v>8</v>
      </c>
      <c r="B8947" s="2">
        <v>44739.0</v>
      </c>
      <c r="C8947" s="3">
        <v>0.3333564814814815</v>
      </c>
      <c r="D8947" s="1">
        <v>12.959307</v>
      </c>
      <c r="E8947" s="1">
        <v>80.144865</v>
      </c>
      <c r="F8947" s="1">
        <v>5339.0</v>
      </c>
      <c r="G8947" s="1">
        <v>49.0</v>
      </c>
    </row>
    <row r="8948">
      <c r="A8948" s="1" t="s">
        <v>8</v>
      </c>
      <c r="B8948" s="2">
        <v>44739.0</v>
      </c>
      <c r="C8948" s="3">
        <v>0.3336574074074074</v>
      </c>
      <c r="D8948" s="1">
        <v>13.000908</v>
      </c>
      <c r="E8948" s="1">
        <v>80.1954</v>
      </c>
      <c r="F8948" s="1">
        <v>805.0</v>
      </c>
      <c r="G8948" s="1">
        <v>43.0</v>
      </c>
    </row>
    <row r="8949">
      <c r="A8949" s="1" t="s">
        <v>7</v>
      </c>
      <c r="B8949" s="2">
        <v>44739.0</v>
      </c>
      <c r="C8949" s="3">
        <v>0.3337615740740741</v>
      </c>
      <c r="D8949" s="1">
        <v>12.755493</v>
      </c>
      <c r="E8949" s="1">
        <v>80.001434</v>
      </c>
      <c r="F8949" s="1">
        <v>2846.0</v>
      </c>
      <c r="G8949" s="1">
        <v>51.0</v>
      </c>
    </row>
    <row r="8950">
      <c r="A8950" s="1" t="s">
        <v>7</v>
      </c>
      <c r="B8950" s="2">
        <v>44739.0</v>
      </c>
      <c r="C8950" s="3">
        <v>0.3338541666666667</v>
      </c>
      <c r="D8950" s="1">
        <v>12.755493</v>
      </c>
      <c r="E8950" s="1">
        <v>80.001434</v>
      </c>
      <c r="F8950" s="1">
        <v>2846.0</v>
      </c>
      <c r="G8950" s="1">
        <v>51.0</v>
      </c>
    </row>
    <row r="8951">
      <c r="A8951" s="1" t="s">
        <v>7</v>
      </c>
      <c r="B8951" s="2">
        <v>44739.0</v>
      </c>
      <c r="C8951" s="3">
        <v>0.33446759259259257</v>
      </c>
      <c r="D8951" s="1">
        <v>12.997481</v>
      </c>
      <c r="E8951" s="1">
        <v>80.191061</v>
      </c>
      <c r="F8951" s="1">
        <v>805.0</v>
      </c>
      <c r="G8951" s="1">
        <v>33.0</v>
      </c>
    </row>
    <row r="8952">
      <c r="A8952" s="1" t="s">
        <v>8</v>
      </c>
      <c r="B8952" s="2">
        <v>44739.0</v>
      </c>
      <c r="C8952" s="3">
        <v>0.33446759259259257</v>
      </c>
      <c r="D8952" s="1">
        <v>12.956017</v>
      </c>
      <c r="E8952" s="1">
        <v>80.1431</v>
      </c>
      <c r="F8952" s="1">
        <v>5339.0</v>
      </c>
      <c r="G8952" s="1">
        <v>32.0</v>
      </c>
    </row>
    <row r="8953">
      <c r="A8953" s="1" t="s">
        <v>8</v>
      </c>
      <c r="B8953" s="2">
        <v>44739.0</v>
      </c>
      <c r="C8953" s="3">
        <v>0.3345949074074074</v>
      </c>
      <c r="D8953" s="1">
        <v>12.759655</v>
      </c>
      <c r="E8953" s="1">
        <v>80.003028</v>
      </c>
      <c r="F8953" s="1">
        <v>2846.0</v>
      </c>
      <c r="G8953" s="1">
        <v>12.0</v>
      </c>
    </row>
    <row r="8954">
      <c r="A8954" s="1" t="s">
        <v>9</v>
      </c>
      <c r="B8954" s="2">
        <v>44739.0</v>
      </c>
      <c r="C8954" s="3">
        <v>0.33466435185185184</v>
      </c>
      <c r="D8954" s="1">
        <v>12.955175</v>
      </c>
      <c r="E8954" s="1">
        <v>80.142653</v>
      </c>
      <c r="F8954" s="1">
        <v>5339.0</v>
      </c>
      <c r="G8954" s="1">
        <v>34.0</v>
      </c>
    </row>
    <row r="8955">
      <c r="A8955" s="1" t="s">
        <v>9</v>
      </c>
      <c r="B8955" s="2">
        <v>44739.0</v>
      </c>
      <c r="C8955" s="3">
        <v>0.3347569444444444</v>
      </c>
      <c r="D8955" s="1">
        <v>12.954298</v>
      </c>
      <c r="E8955" s="1">
        <v>80.142195</v>
      </c>
      <c r="F8955" s="1">
        <v>5339.0</v>
      </c>
      <c r="G8955" s="1">
        <v>42.0</v>
      </c>
    </row>
    <row r="8956">
      <c r="A8956" s="1" t="s">
        <v>8</v>
      </c>
      <c r="B8956" s="2">
        <v>44739.0</v>
      </c>
      <c r="C8956" s="3">
        <v>0.33516203703703706</v>
      </c>
      <c r="D8956" s="1">
        <v>12.952184</v>
      </c>
      <c r="E8956" s="1">
        <v>80.140873</v>
      </c>
      <c r="F8956" s="1">
        <v>5339.0</v>
      </c>
      <c r="G8956" s="1">
        <v>25.0</v>
      </c>
    </row>
    <row r="8957">
      <c r="A8957" s="1" t="s">
        <v>8</v>
      </c>
      <c r="B8957" s="2">
        <v>44739.0</v>
      </c>
      <c r="C8957" s="3">
        <v>0.33538194444444447</v>
      </c>
      <c r="D8957" s="1">
        <v>12.993674</v>
      </c>
      <c r="E8957" s="1">
        <v>80.185024</v>
      </c>
      <c r="F8957" s="1">
        <v>805.0</v>
      </c>
      <c r="G8957" s="1">
        <v>34.0</v>
      </c>
    </row>
    <row r="8958">
      <c r="A8958" s="1" t="s">
        <v>7</v>
      </c>
      <c r="B8958" s="2">
        <v>44739.0</v>
      </c>
      <c r="C8958" s="3">
        <v>0.33577546296296296</v>
      </c>
      <c r="D8958" s="1">
        <v>12.766017</v>
      </c>
      <c r="E8958" s="1">
        <v>80.00522</v>
      </c>
      <c r="F8958" s="1">
        <v>2846.0</v>
      </c>
      <c r="G8958" s="1">
        <v>50.0</v>
      </c>
    </row>
    <row r="8959">
      <c r="A8959" s="1" t="s">
        <v>7</v>
      </c>
      <c r="B8959" s="2">
        <v>44739.0</v>
      </c>
      <c r="C8959" s="3">
        <v>0.3359027777777778</v>
      </c>
      <c r="D8959" s="1">
        <v>12.768117</v>
      </c>
      <c r="E8959" s="1">
        <v>80.006186</v>
      </c>
      <c r="F8959" s="1">
        <v>2846.0</v>
      </c>
      <c r="G8959" s="1">
        <v>58.0</v>
      </c>
    </row>
    <row r="8960">
      <c r="A8960" s="1" t="s">
        <v>8</v>
      </c>
      <c r="B8960" s="2">
        <v>44739.0</v>
      </c>
      <c r="C8960" s="3">
        <v>0.3359027777777778</v>
      </c>
      <c r="D8960" s="1">
        <v>12.990875</v>
      </c>
      <c r="E8960" s="1">
        <v>80.180716</v>
      </c>
      <c r="F8960" s="1">
        <v>805.0</v>
      </c>
      <c r="G8960" s="1">
        <v>49.0</v>
      </c>
    </row>
    <row r="8961">
      <c r="A8961" s="1" t="s">
        <v>8</v>
      </c>
      <c r="B8961" s="2">
        <v>44739.0</v>
      </c>
      <c r="C8961" s="3">
        <v>0.3365046296296296</v>
      </c>
      <c r="D8961" s="1">
        <v>12.949536</v>
      </c>
      <c r="E8961" s="1">
        <v>80.138846</v>
      </c>
      <c r="F8961" s="1">
        <v>5339.0</v>
      </c>
      <c r="G8961" s="1">
        <v>35.0</v>
      </c>
    </row>
    <row r="8962">
      <c r="A8962" s="1" t="s">
        <v>7</v>
      </c>
      <c r="B8962" s="2">
        <v>44739.0</v>
      </c>
      <c r="C8962" s="3">
        <v>0.3367824074074074</v>
      </c>
      <c r="D8962" s="1">
        <v>12.946788</v>
      </c>
      <c r="E8962" s="1">
        <v>80.136788</v>
      </c>
      <c r="F8962" s="1">
        <v>5339.0</v>
      </c>
      <c r="G8962" s="1">
        <v>54.0</v>
      </c>
    </row>
    <row r="8963">
      <c r="A8963" s="1" t="s">
        <v>8</v>
      </c>
      <c r="B8963" s="2">
        <v>44739.0</v>
      </c>
      <c r="C8963" s="3">
        <v>0.33748842592592593</v>
      </c>
      <c r="D8963" s="1">
        <v>12.941</v>
      </c>
      <c r="E8963" s="1">
        <v>80.131628</v>
      </c>
      <c r="F8963" s="1">
        <v>5339.0</v>
      </c>
      <c r="G8963" s="1">
        <v>45.0</v>
      </c>
    </row>
    <row r="8964">
      <c r="A8964" s="1" t="s">
        <v>8</v>
      </c>
      <c r="B8964" s="2">
        <v>44739.0</v>
      </c>
      <c r="C8964" s="3">
        <v>0.33774305555555556</v>
      </c>
      <c r="D8964" s="1">
        <v>12.939472</v>
      </c>
      <c r="E8964" s="1">
        <v>80.130153</v>
      </c>
      <c r="F8964" s="1">
        <v>5339.0</v>
      </c>
      <c r="G8964" s="1">
        <v>39.0</v>
      </c>
    </row>
    <row r="8965">
      <c r="A8965" s="1" t="s">
        <v>8</v>
      </c>
      <c r="B8965" s="2">
        <v>44739.0</v>
      </c>
      <c r="C8965" s="3">
        <v>0.3381712962962963</v>
      </c>
      <c r="D8965" s="1">
        <v>12.98425</v>
      </c>
      <c r="E8965" s="1">
        <v>80.171517</v>
      </c>
      <c r="F8965" s="1">
        <v>805.0</v>
      </c>
      <c r="G8965" s="1">
        <v>49.0</v>
      </c>
    </row>
    <row r="8966">
      <c r="A8966" s="1" t="s">
        <v>8</v>
      </c>
      <c r="B8966" s="2">
        <v>44739.0</v>
      </c>
      <c r="C8966" s="3">
        <v>0.33819444444444446</v>
      </c>
      <c r="D8966" s="1">
        <v>12.936441</v>
      </c>
      <c r="E8966" s="1">
        <v>80.127482</v>
      </c>
      <c r="F8966" s="1">
        <v>5339.0</v>
      </c>
      <c r="G8966" s="1">
        <v>35.0</v>
      </c>
    </row>
    <row r="8967">
      <c r="A8967" s="1" t="s">
        <v>8</v>
      </c>
      <c r="B8967" s="2">
        <v>44739.0</v>
      </c>
      <c r="C8967" s="3">
        <v>0.33819444444444446</v>
      </c>
      <c r="D8967" s="1">
        <v>12.98425</v>
      </c>
      <c r="E8967" s="1">
        <v>80.171517</v>
      </c>
      <c r="F8967" s="1">
        <v>805.0</v>
      </c>
      <c r="G8967" s="1">
        <v>49.0</v>
      </c>
    </row>
    <row r="8968">
      <c r="A8968" s="1" t="s">
        <v>8</v>
      </c>
      <c r="B8968" s="2">
        <v>44739.0</v>
      </c>
      <c r="C8968" s="3">
        <v>0.3383449074074074</v>
      </c>
      <c r="D8968" s="1">
        <v>12.935674</v>
      </c>
      <c r="E8968" s="1">
        <v>80.12683</v>
      </c>
      <c r="F8968" s="1">
        <v>5339.0</v>
      </c>
      <c r="G8968" s="1">
        <v>44.0</v>
      </c>
    </row>
    <row r="8969">
      <c r="A8969" s="1" t="s">
        <v>7</v>
      </c>
      <c r="B8969" s="2">
        <v>44739.0</v>
      </c>
      <c r="C8969" s="3">
        <v>0.33836805555555555</v>
      </c>
      <c r="D8969" s="1">
        <v>12.983303</v>
      </c>
      <c r="E8969" s="1">
        <v>80.169918</v>
      </c>
      <c r="F8969" s="1">
        <v>805.0</v>
      </c>
      <c r="G8969" s="1">
        <v>42.0</v>
      </c>
    </row>
    <row r="8970">
      <c r="A8970" s="1" t="s">
        <v>8</v>
      </c>
      <c r="B8970" s="2">
        <v>44739.0</v>
      </c>
      <c r="C8970" s="3">
        <v>0.3384027777777778</v>
      </c>
      <c r="D8970" s="1">
        <v>12.792667</v>
      </c>
      <c r="E8970" s="1">
        <v>80.018475</v>
      </c>
      <c r="F8970" s="1">
        <v>2846.0</v>
      </c>
      <c r="G8970" s="1">
        <v>54.0</v>
      </c>
    </row>
    <row r="8971">
      <c r="A8971" s="1" t="s">
        <v>7</v>
      </c>
      <c r="B8971" s="2">
        <v>44739.0</v>
      </c>
      <c r="C8971" s="3">
        <v>0.3384259259259259</v>
      </c>
      <c r="D8971" s="1">
        <v>12.983303</v>
      </c>
      <c r="E8971" s="1">
        <v>80.169918</v>
      </c>
      <c r="F8971" s="1">
        <v>805.0</v>
      </c>
      <c r="G8971" s="1">
        <v>42.0</v>
      </c>
    </row>
    <row r="8972">
      <c r="A8972" s="1" t="s">
        <v>7</v>
      </c>
      <c r="B8972" s="2">
        <v>44739.0</v>
      </c>
      <c r="C8972" s="3">
        <v>0.3390972222222222</v>
      </c>
      <c r="D8972" s="1">
        <v>12.796781</v>
      </c>
      <c r="E8972" s="1">
        <v>80.021198</v>
      </c>
      <c r="F8972" s="1">
        <v>2846.0</v>
      </c>
      <c r="G8972" s="1">
        <v>46.0</v>
      </c>
    </row>
    <row r="8973">
      <c r="A8973" s="1" t="s">
        <v>7</v>
      </c>
      <c r="B8973" s="2">
        <v>44739.0</v>
      </c>
      <c r="C8973" s="3">
        <v>0.33927083333333335</v>
      </c>
      <c r="D8973" s="1">
        <v>12.979673</v>
      </c>
      <c r="E8973" s="1">
        <v>80.162576</v>
      </c>
      <c r="F8973" s="1">
        <v>805.0</v>
      </c>
      <c r="G8973" s="1">
        <v>29.0</v>
      </c>
    </row>
    <row r="8974">
      <c r="A8974" s="1" t="s">
        <v>7</v>
      </c>
      <c r="B8974" s="2">
        <v>44739.0</v>
      </c>
      <c r="C8974" s="3">
        <v>0.33939814814814817</v>
      </c>
      <c r="D8974" s="1">
        <v>12.802504</v>
      </c>
      <c r="E8974" s="1">
        <v>80.024957</v>
      </c>
      <c r="F8974" s="1">
        <v>2846.0</v>
      </c>
      <c r="G8974" s="1">
        <v>57.0</v>
      </c>
    </row>
    <row r="8975">
      <c r="A8975" s="1" t="s">
        <v>9</v>
      </c>
      <c r="B8975" s="2">
        <v>44739.0</v>
      </c>
      <c r="C8975" s="3">
        <v>0.3394212962962963</v>
      </c>
      <c r="D8975" s="1">
        <v>12.927857</v>
      </c>
      <c r="E8975" s="1">
        <v>80.119053</v>
      </c>
      <c r="F8975" s="1">
        <v>5339.0</v>
      </c>
      <c r="G8975" s="1">
        <v>50.0</v>
      </c>
    </row>
    <row r="8976">
      <c r="A8976" s="1" t="s">
        <v>9</v>
      </c>
      <c r="B8976" s="2">
        <v>44739.0</v>
      </c>
      <c r="C8976" s="3">
        <v>0.33945601851851853</v>
      </c>
      <c r="D8976" s="1">
        <v>12.927002</v>
      </c>
      <c r="E8976" s="1">
        <v>80.1182</v>
      </c>
      <c r="F8976" s="1">
        <v>5339.0</v>
      </c>
      <c r="G8976" s="1">
        <v>43.0</v>
      </c>
    </row>
    <row r="8977">
      <c r="A8977" s="1" t="s">
        <v>8</v>
      </c>
      <c r="B8977" s="2">
        <v>44739.0</v>
      </c>
      <c r="C8977" s="3">
        <v>0.3395138888888889</v>
      </c>
      <c r="D8977" s="1">
        <v>12.978507</v>
      </c>
      <c r="E8977" s="1">
        <v>80.160862</v>
      </c>
      <c r="F8977" s="1">
        <v>805.0</v>
      </c>
      <c r="G8977" s="1">
        <v>55.0</v>
      </c>
    </row>
    <row r="8978">
      <c r="A8978" s="1" t="s">
        <v>8</v>
      </c>
      <c r="B8978" s="2">
        <v>44739.0</v>
      </c>
      <c r="C8978" s="3">
        <v>0.33967592592592594</v>
      </c>
      <c r="D8978" s="1">
        <v>12.9257</v>
      </c>
      <c r="E8978" s="1">
        <v>80.116876</v>
      </c>
      <c r="F8978" s="1">
        <v>5339.0</v>
      </c>
      <c r="G8978" s="1">
        <v>45.0</v>
      </c>
    </row>
    <row r="8979">
      <c r="A8979" s="1" t="s">
        <v>8</v>
      </c>
      <c r="B8979" s="2">
        <v>44739.0</v>
      </c>
      <c r="C8979" s="3">
        <v>0.3398611111111111</v>
      </c>
      <c r="D8979" s="1">
        <v>12.976208</v>
      </c>
      <c r="E8979" s="1">
        <v>80.157439</v>
      </c>
      <c r="F8979" s="1">
        <v>805.0</v>
      </c>
      <c r="G8979" s="1">
        <v>54.0</v>
      </c>
    </row>
    <row r="8980">
      <c r="A8980" s="1" t="s">
        <v>7</v>
      </c>
      <c r="B8980" s="2">
        <v>44739.0</v>
      </c>
      <c r="C8980" s="3">
        <v>0.3400578703703704</v>
      </c>
      <c r="D8980" s="1">
        <v>12.79857</v>
      </c>
      <c r="E8980" s="1">
        <v>80.022345</v>
      </c>
      <c r="F8980" s="1">
        <v>2846.0</v>
      </c>
      <c r="G8980" s="1">
        <v>59.0</v>
      </c>
    </row>
    <row r="8981">
      <c r="A8981" s="1" t="s">
        <v>7</v>
      </c>
      <c r="B8981" s="2">
        <v>44739.0</v>
      </c>
      <c r="C8981" s="3">
        <v>0.34024305555555556</v>
      </c>
      <c r="D8981" s="1">
        <v>12.921404</v>
      </c>
      <c r="E8981" s="1">
        <v>80.112564</v>
      </c>
      <c r="F8981" s="1">
        <v>5339.0</v>
      </c>
      <c r="G8981" s="1">
        <v>50.0</v>
      </c>
    </row>
    <row r="8982">
      <c r="A8982" s="1" t="s">
        <v>8</v>
      </c>
      <c r="B8982" s="2">
        <v>44739.0</v>
      </c>
      <c r="C8982" s="3">
        <v>0.3403935185185185</v>
      </c>
      <c r="D8982" s="1">
        <v>12.974565</v>
      </c>
      <c r="E8982" s="1">
        <v>80.155082</v>
      </c>
      <c r="F8982" s="1">
        <v>805.0</v>
      </c>
      <c r="G8982" s="1">
        <v>20.0</v>
      </c>
    </row>
    <row r="8983">
      <c r="A8983" s="1" t="s">
        <v>8</v>
      </c>
      <c r="B8983" s="2">
        <v>44739.0</v>
      </c>
      <c r="C8983" s="3">
        <v>0.34064814814814814</v>
      </c>
      <c r="D8983" s="1">
        <v>12.973255</v>
      </c>
      <c r="E8983" s="1">
        <v>80.153068</v>
      </c>
      <c r="F8983" s="1">
        <v>805.0</v>
      </c>
      <c r="G8983" s="1">
        <v>34.0</v>
      </c>
    </row>
    <row r="8984">
      <c r="A8984" s="1" t="s">
        <v>10</v>
      </c>
      <c r="B8984" s="2">
        <v>44739.0</v>
      </c>
      <c r="C8984" s="3">
        <v>0.3407175925925926</v>
      </c>
      <c r="D8984" s="1">
        <v>12.973255</v>
      </c>
      <c r="E8984" s="1">
        <v>80.153068</v>
      </c>
      <c r="F8984" s="1">
        <v>805.0</v>
      </c>
      <c r="G8984" s="1">
        <v>34.0</v>
      </c>
    </row>
    <row r="8985">
      <c r="A8985" s="1" t="s">
        <v>8</v>
      </c>
      <c r="B8985" s="2">
        <v>44739.0</v>
      </c>
      <c r="C8985" s="3">
        <v>0.3409027777777778</v>
      </c>
      <c r="D8985" s="1">
        <v>12.972313</v>
      </c>
      <c r="E8985" s="1">
        <v>80.151748</v>
      </c>
      <c r="F8985" s="1">
        <v>805.0</v>
      </c>
      <c r="G8985" s="1">
        <v>38.0</v>
      </c>
    </row>
    <row r="8986">
      <c r="A8986" s="1" t="s">
        <v>8</v>
      </c>
      <c r="B8986" s="2">
        <v>44739.0</v>
      </c>
      <c r="C8986" s="3">
        <v>0.3409490740740741</v>
      </c>
      <c r="D8986" s="1">
        <v>12.972313</v>
      </c>
      <c r="E8986" s="1">
        <v>80.151748</v>
      </c>
      <c r="F8986" s="1">
        <v>805.0</v>
      </c>
      <c r="G8986" s="1">
        <v>38.0</v>
      </c>
    </row>
    <row r="8987">
      <c r="A8987" s="1" t="s">
        <v>7</v>
      </c>
      <c r="B8987" s="2">
        <v>44739.0</v>
      </c>
      <c r="C8987" s="3">
        <v>0.34120370370370373</v>
      </c>
      <c r="D8987" s="1">
        <v>12.814182</v>
      </c>
      <c r="E8987" s="1">
        <v>80.032483</v>
      </c>
      <c r="F8987" s="1">
        <v>2846.0</v>
      </c>
      <c r="G8987" s="1">
        <v>57.0</v>
      </c>
    </row>
    <row r="8988">
      <c r="A8988" s="1" t="s">
        <v>7</v>
      </c>
      <c r="B8988" s="2">
        <v>44739.0</v>
      </c>
      <c r="C8988" s="3">
        <v>0.34173611111111113</v>
      </c>
      <c r="D8988" s="1">
        <v>12.824794</v>
      </c>
      <c r="E8988" s="1">
        <v>80.039987</v>
      </c>
      <c r="F8988" s="1">
        <v>2846.0</v>
      </c>
      <c r="G8988" s="1">
        <v>58.0</v>
      </c>
    </row>
    <row r="8989">
      <c r="A8989" s="1" t="s">
        <v>8</v>
      </c>
      <c r="B8989" s="2">
        <v>44739.0</v>
      </c>
      <c r="C8989" s="3">
        <v>0.3420949074074074</v>
      </c>
      <c r="D8989" s="1">
        <v>12.966133</v>
      </c>
      <c r="E8989" s="1">
        <v>80.148608</v>
      </c>
      <c r="F8989" s="1">
        <v>805.0</v>
      </c>
      <c r="G8989" s="1">
        <v>27.0</v>
      </c>
    </row>
    <row r="8990">
      <c r="A8990" s="1" t="s">
        <v>8</v>
      </c>
      <c r="B8990" s="2">
        <v>44739.0</v>
      </c>
      <c r="C8990" s="3">
        <v>0.3421180555555556</v>
      </c>
      <c r="D8990" s="1">
        <v>12.966133</v>
      </c>
      <c r="E8990" s="1">
        <v>80.148608</v>
      </c>
      <c r="F8990" s="1">
        <v>805.0</v>
      </c>
      <c r="G8990" s="1">
        <v>27.0</v>
      </c>
    </row>
    <row r="8991">
      <c r="A8991" s="1" t="s">
        <v>7</v>
      </c>
      <c r="B8991" s="2">
        <v>44739.0</v>
      </c>
      <c r="C8991" s="3">
        <v>0.34216435185185184</v>
      </c>
      <c r="D8991" s="1">
        <v>12.829822</v>
      </c>
      <c r="E8991" s="1">
        <v>80.044699</v>
      </c>
      <c r="F8991" s="1">
        <v>2846.0</v>
      </c>
      <c r="G8991" s="1">
        <v>58.0</v>
      </c>
    </row>
    <row r="8992">
      <c r="A8992" s="1" t="s">
        <v>8</v>
      </c>
      <c r="B8992" s="2">
        <v>44739.0</v>
      </c>
      <c r="C8992" s="3">
        <v>0.3423263888888889</v>
      </c>
      <c r="D8992" s="1">
        <v>12.829822</v>
      </c>
      <c r="E8992" s="1">
        <v>80.044699</v>
      </c>
      <c r="F8992" s="1">
        <v>2846.0</v>
      </c>
      <c r="G8992" s="1">
        <v>58.0</v>
      </c>
    </row>
    <row r="8993">
      <c r="A8993" s="1" t="s">
        <v>7</v>
      </c>
      <c r="B8993" s="2">
        <v>44739.0</v>
      </c>
      <c r="C8993" s="3">
        <v>0.34297453703703706</v>
      </c>
      <c r="D8993" s="1">
        <v>12.835908</v>
      </c>
      <c r="E8993" s="1">
        <v>80.051161</v>
      </c>
      <c r="F8993" s="1">
        <v>2846.0</v>
      </c>
      <c r="G8993" s="1">
        <v>59.0</v>
      </c>
    </row>
    <row r="8994">
      <c r="A8994" s="1" t="s">
        <v>8</v>
      </c>
      <c r="B8994" s="2">
        <v>44739.0</v>
      </c>
      <c r="C8994" s="3">
        <v>0.3440625</v>
      </c>
      <c r="D8994" s="1">
        <v>12.956116</v>
      </c>
      <c r="E8994" s="1">
        <v>80.143257</v>
      </c>
      <c r="F8994" s="1">
        <v>805.0</v>
      </c>
      <c r="G8994" s="1">
        <v>22.0</v>
      </c>
    </row>
    <row r="8995">
      <c r="A8995" s="1" t="s">
        <v>9</v>
      </c>
      <c r="B8995" s="2">
        <v>44739.0</v>
      </c>
      <c r="C8995" s="3">
        <v>0.3440625</v>
      </c>
      <c r="D8995" s="1">
        <v>12.956116</v>
      </c>
      <c r="E8995" s="1">
        <v>80.143257</v>
      </c>
      <c r="F8995" s="1">
        <v>805.0</v>
      </c>
      <c r="G8995" s="1">
        <v>22.0</v>
      </c>
    </row>
    <row r="8996">
      <c r="A8996" s="1" t="s">
        <v>8</v>
      </c>
      <c r="B8996" s="2">
        <v>44739.0</v>
      </c>
      <c r="C8996" s="3">
        <v>0.3445023148148148</v>
      </c>
      <c r="D8996" s="1">
        <v>12.954098</v>
      </c>
      <c r="E8996" s="1">
        <v>80.142133</v>
      </c>
      <c r="F8996" s="1">
        <v>805.0</v>
      </c>
      <c r="G8996" s="1">
        <v>30.0</v>
      </c>
    </row>
    <row r="8997">
      <c r="A8997" s="1" t="s">
        <v>7</v>
      </c>
      <c r="B8997" s="2">
        <v>44739.0</v>
      </c>
      <c r="C8997" s="3">
        <v>0.3453125</v>
      </c>
      <c r="D8997" s="1">
        <v>12.845892</v>
      </c>
      <c r="E8997" s="1">
        <v>80.061451</v>
      </c>
      <c r="F8997" s="1">
        <v>2846.0</v>
      </c>
      <c r="G8997" s="1">
        <v>10.0</v>
      </c>
    </row>
    <row r="8998">
      <c r="A8998" s="1" t="s">
        <v>8</v>
      </c>
      <c r="B8998" s="2">
        <v>44739.0</v>
      </c>
      <c r="C8998" s="3">
        <v>0.34554398148148147</v>
      </c>
      <c r="D8998" s="1">
        <v>12.95083</v>
      </c>
      <c r="E8998" s="1">
        <v>80.139966</v>
      </c>
      <c r="F8998" s="1">
        <v>805.0</v>
      </c>
      <c r="G8998" s="1">
        <v>9.0</v>
      </c>
    </row>
    <row r="8999">
      <c r="A8999" s="1" t="s">
        <v>8</v>
      </c>
      <c r="B8999" s="2">
        <v>44739.0</v>
      </c>
      <c r="C8999" s="3">
        <v>0.34565972222222224</v>
      </c>
      <c r="D8999" s="1">
        <v>12.847742</v>
      </c>
      <c r="E8999" s="1">
        <v>80.063028</v>
      </c>
      <c r="F8999" s="1">
        <v>2846.0</v>
      </c>
      <c r="G8999" s="1">
        <v>49.0</v>
      </c>
    </row>
    <row r="9000">
      <c r="A9000" s="1" t="s">
        <v>8</v>
      </c>
      <c r="B9000" s="2">
        <v>44739.0</v>
      </c>
      <c r="C9000" s="3">
        <v>0.3456828703703704</v>
      </c>
      <c r="D9000" s="1">
        <v>12.847742</v>
      </c>
      <c r="E9000" s="1">
        <v>80.063028</v>
      </c>
      <c r="F9000" s="1">
        <v>2846.0</v>
      </c>
      <c r="G9000" s="1">
        <v>49.0</v>
      </c>
    </row>
    <row r="9001">
      <c r="A9001" s="1" t="s">
        <v>8</v>
      </c>
      <c r="B9001" s="2">
        <v>44739.0</v>
      </c>
      <c r="C9001" s="3">
        <v>0.34569444444444447</v>
      </c>
      <c r="D9001" s="1">
        <v>12.950034</v>
      </c>
      <c r="E9001" s="1">
        <v>80.139381</v>
      </c>
      <c r="F9001" s="1">
        <v>805.0</v>
      </c>
      <c r="G9001" s="1">
        <v>36.0</v>
      </c>
    </row>
    <row r="9002">
      <c r="A9002" s="1" t="s">
        <v>8</v>
      </c>
      <c r="B9002" s="2">
        <v>44739.0</v>
      </c>
      <c r="C9002" s="3">
        <v>0.3457175925925926</v>
      </c>
      <c r="D9002" s="1">
        <v>12.847742</v>
      </c>
      <c r="E9002" s="1">
        <v>80.063028</v>
      </c>
      <c r="F9002" s="1">
        <v>2846.0</v>
      </c>
      <c r="G9002" s="1">
        <v>49.0</v>
      </c>
    </row>
    <row r="9003">
      <c r="A9003" s="1" t="s">
        <v>8</v>
      </c>
      <c r="B9003" s="2">
        <v>44739.0</v>
      </c>
      <c r="C9003" s="3">
        <v>0.34582175925925923</v>
      </c>
      <c r="D9003" s="1">
        <v>12.950034</v>
      </c>
      <c r="E9003" s="1">
        <v>80.139381</v>
      </c>
      <c r="F9003" s="1">
        <v>805.0</v>
      </c>
      <c r="G9003" s="1">
        <v>36.0</v>
      </c>
    </row>
    <row r="9004">
      <c r="A9004" s="1" t="s">
        <v>8</v>
      </c>
      <c r="B9004" s="2">
        <v>44739.0</v>
      </c>
      <c r="C9004" s="3">
        <v>0.3458912037037037</v>
      </c>
      <c r="D9004" s="1">
        <v>12.849519</v>
      </c>
      <c r="E9004" s="1">
        <v>80.064301</v>
      </c>
      <c r="F9004" s="1">
        <v>2846.0</v>
      </c>
      <c r="G9004" s="1">
        <v>54.0</v>
      </c>
    </row>
    <row r="9005">
      <c r="A9005" s="1" t="s">
        <v>8</v>
      </c>
      <c r="B9005" s="2">
        <v>44739.0</v>
      </c>
      <c r="C9005" s="3">
        <v>0.3463541666666667</v>
      </c>
      <c r="D9005" s="1">
        <v>12.946289</v>
      </c>
      <c r="E9005" s="1">
        <v>80.136406</v>
      </c>
      <c r="F9005" s="1">
        <v>805.0</v>
      </c>
      <c r="G9005" s="1">
        <v>50.0</v>
      </c>
    </row>
    <row r="9006">
      <c r="A9006" s="1" t="s">
        <v>8</v>
      </c>
      <c r="B9006" s="2">
        <v>44739.0</v>
      </c>
      <c r="C9006" s="3">
        <v>0.34673611111111113</v>
      </c>
      <c r="D9006" s="1">
        <v>12.943559</v>
      </c>
      <c r="E9006" s="1">
        <v>80.134237</v>
      </c>
      <c r="F9006" s="1">
        <v>805.0</v>
      </c>
      <c r="G9006" s="1">
        <v>38.0</v>
      </c>
    </row>
    <row r="9007">
      <c r="A9007" s="1" t="s">
        <v>8</v>
      </c>
      <c r="B9007" s="2">
        <v>44739.0</v>
      </c>
      <c r="C9007" s="3">
        <v>0.3467476851851852</v>
      </c>
      <c r="D9007" s="1">
        <v>12.857741</v>
      </c>
      <c r="E9007" s="1">
        <v>80.070418</v>
      </c>
      <c r="F9007" s="1">
        <v>2846.0</v>
      </c>
      <c r="G9007" s="1">
        <v>55.0</v>
      </c>
    </row>
    <row r="9008">
      <c r="A9008" s="1" t="s">
        <v>8</v>
      </c>
      <c r="B9008" s="2">
        <v>44739.0</v>
      </c>
      <c r="C9008" s="3">
        <v>0.34675925925925927</v>
      </c>
      <c r="D9008" s="1">
        <v>12.942572</v>
      </c>
      <c r="E9008" s="1">
        <v>80.133382</v>
      </c>
      <c r="F9008" s="1">
        <v>805.0</v>
      </c>
      <c r="G9008" s="1">
        <v>22.0</v>
      </c>
    </row>
    <row r="9009">
      <c r="A9009" s="1" t="s">
        <v>8</v>
      </c>
      <c r="B9009" s="2">
        <v>44739.0</v>
      </c>
      <c r="C9009" s="3">
        <v>0.3467708333333333</v>
      </c>
      <c r="D9009" s="1">
        <v>12.857741</v>
      </c>
      <c r="E9009" s="1">
        <v>80.070418</v>
      </c>
      <c r="F9009" s="1">
        <v>2846.0</v>
      </c>
      <c r="G9009" s="1">
        <v>55.0</v>
      </c>
    </row>
    <row r="9010">
      <c r="A9010" s="1" t="s">
        <v>8</v>
      </c>
      <c r="B9010" s="2">
        <v>44739.0</v>
      </c>
      <c r="C9010" s="3">
        <v>0.3467824074074074</v>
      </c>
      <c r="D9010" s="1">
        <v>12.857741</v>
      </c>
      <c r="E9010" s="1">
        <v>80.070418</v>
      </c>
      <c r="F9010" s="1">
        <v>2846.0</v>
      </c>
      <c r="G9010" s="1">
        <v>55.0</v>
      </c>
    </row>
    <row r="9011">
      <c r="A9011" s="1" t="s">
        <v>8</v>
      </c>
      <c r="B9011" s="2">
        <v>44739.0</v>
      </c>
      <c r="C9011" s="3">
        <v>0.34706018518518517</v>
      </c>
      <c r="D9011" s="1">
        <v>12.941681</v>
      </c>
      <c r="E9011" s="1">
        <v>80.132335</v>
      </c>
      <c r="F9011" s="1">
        <v>805.0</v>
      </c>
      <c r="G9011" s="1">
        <v>46.0</v>
      </c>
    </row>
    <row r="9012">
      <c r="A9012" s="1" t="s">
        <v>8</v>
      </c>
      <c r="B9012" s="2">
        <v>44739.0</v>
      </c>
      <c r="C9012" s="3">
        <v>0.34708333333333335</v>
      </c>
      <c r="D9012" s="1">
        <v>12.941681</v>
      </c>
      <c r="E9012" s="1">
        <v>80.132335</v>
      </c>
      <c r="F9012" s="1">
        <v>805.0</v>
      </c>
      <c r="G9012" s="1">
        <v>46.0</v>
      </c>
    </row>
    <row r="9013">
      <c r="A9013" s="1" t="s">
        <v>8</v>
      </c>
      <c r="B9013" s="2">
        <v>44739.0</v>
      </c>
      <c r="C9013" s="3">
        <v>0.3477314814814815</v>
      </c>
      <c r="D9013" s="1">
        <v>12.862768</v>
      </c>
      <c r="E9013" s="1">
        <v>80.073593</v>
      </c>
      <c r="F9013" s="1">
        <v>2846.0</v>
      </c>
      <c r="G9013" s="1">
        <v>0.0</v>
      </c>
    </row>
    <row r="9014">
      <c r="A9014" s="1" t="s">
        <v>8</v>
      </c>
      <c r="B9014" s="2">
        <v>44739.0</v>
      </c>
      <c r="C9014" s="3">
        <v>0.347962962962963</v>
      </c>
      <c r="D9014" s="1">
        <v>12.863191</v>
      </c>
      <c r="E9014" s="1">
        <v>80.073758</v>
      </c>
      <c r="F9014" s="1">
        <v>2846.0</v>
      </c>
      <c r="G9014" s="1">
        <v>25.0</v>
      </c>
    </row>
    <row r="9015">
      <c r="A9015" s="1" t="s">
        <v>8</v>
      </c>
      <c r="B9015" s="2">
        <v>44739.0</v>
      </c>
      <c r="C9015" s="3">
        <v>0.3481134259259259</v>
      </c>
      <c r="D9015" s="1">
        <v>12.936313</v>
      </c>
      <c r="E9015" s="1">
        <v>80.127326</v>
      </c>
      <c r="F9015" s="1">
        <v>805.0</v>
      </c>
      <c r="G9015" s="1">
        <v>13.0</v>
      </c>
    </row>
    <row r="9016">
      <c r="A9016" s="1" t="s">
        <v>8</v>
      </c>
      <c r="B9016" s="2">
        <v>44739.0</v>
      </c>
      <c r="C9016" s="3">
        <v>0.34814814814814815</v>
      </c>
      <c r="D9016" s="1">
        <v>12.864543</v>
      </c>
      <c r="E9016" s="1">
        <v>80.074285</v>
      </c>
      <c r="F9016" s="1">
        <v>2846.0</v>
      </c>
      <c r="G9016" s="1">
        <v>42.0</v>
      </c>
    </row>
    <row r="9017">
      <c r="A9017" s="1" t="s">
        <v>8</v>
      </c>
      <c r="B9017" s="2">
        <v>44739.0</v>
      </c>
      <c r="C9017" s="3">
        <v>0.3482638888888889</v>
      </c>
      <c r="D9017" s="1">
        <v>12.900735</v>
      </c>
      <c r="E9017" s="1">
        <v>80.09207</v>
      </c>
      <c r="F9017" s="1">
        <v>5339.0</v>
      </c>
      <c r="G9017" s="1">
        <v>49.0</v>
      </c>
    </row>
    <row r="9018">
      <c r="A9018" s="1" t="s">
        <v>8</v>
      </c>
      <c r="B9018" s="2">
        <v>44739.0</v>
      </c>
      <c r="C9018" s="3">
        <v>0.34833333333333333</v>
      </c>
      <c r="D9018" s="1">
        <v>12.900735</v>
      </c>
      <c r="E9018" s="1">
        <v>80.09207</v>
      </c>
      <c r="F9018" s="1">
        <v>5339.0</v>
      </c>
      <c r="G9018" s="1">
        <v>49.0</v>
      </c>
    </row>
    <row r="9019">
      <c r="A9019" s="1" t="s">
        <v>8</v>
      </c>
      <c r="B9019" s="2">
        <v>44739.0</v>
      </c>
      <c r="C9019" s="3">
        <v>0.34875</v>
      </c>
      <c r="D9019" s="1">
        <v>12.870995</v>
      </c>
      <c r="E9019" s="1">
        <v>80.076779</v>
      </c>
      <c r="F9019" s="1">
        <v>2846.0</v>
      </c>
      <c r="G9019" s="1">
        <v>34.0</v>
      </c>
    </row>
    <row r="9020">
      <c r="A9020" s="1" t="s">
        <v>7</v>
      </c>
      <c r="B9020" s="2">
        <v>44739.0</v>
      </c>
      <c r="C9020" s="3">
        <v>0.34921296296296295</v>
      </c>
      <c r="D9020" s="1">
        <v>12.895606</v>
      </c>
      <c r="E9020" s="1">
        <v>80.088165</v>
      </c>
      <c r="F9020" s="1">
        <v>5339.0</v>
      </c>
      <c r="G9020" s="1">
        <v>48.0</v>
      </c>
    </row>
    <row r="9021">
      <c r="A9021" s="1" t="s">
        <v>8</v>
      </c>
      <c r="B9021" s="2">
        <v>44739.0</v>
      </c>
      <c r="C9021" s="3">
        <v>0.34943287037037035</v>
      </c>
      <c r="D9021" s="1">
        <v>12.93075</v>
      </c>
      <c r="E9021" s="1">
        <v>80.121941</v>
      </c>
      <c r="F9021" s="1">
        <v>805.0</v>
      </c>
      <c r="G9021" s="1">
        <v>24.0</v>
      </c>
    </row>
    <row r="9022">
      <c r="A9022" s="1" t="s">
        <v>7</v>
      </c>
      <c r="B9022" s="2">
        <v>44739.0</v>
      </c>
      <c r="C9022" s="3">
        <v>0.34945601851851854</v>
      </c>
      <c r="D9022" s="1">
        <v>12.89344</v>
      </c>
      <c r="E9022" s="1">
        <v>80.086525</v>
      </c>
      <c r="F9022" s="1">
        <v>5339.0</v>
      </c>
      <c r="G9022" s="1">
        <v>57.0</v>
      </c>
    </row>
    <row r="9023">
      <c r="A9023" s="1" t="s">
        <v>7</v>
      </c>
      <c r="B9023" s="2">
        <v>44739.0</v>
      </c>
      <c r="C9023" s="3">
        <v>0.34967592592592595</v>
      </c>
      <c r="D9023" s="1">
        <v>12.891269</v>
      </c>
      <c r="E9023" s="1">
        <v>80.085163</v>
      </c>
      <c r="F9023" s="1">
        <v>5339.0</v>
      </c>
      <c r="G9023" s="1">
        <v>55.0</v>
      </c>
    </row>
    <row r="9024">
      <c r="A9024" s="1" t="s">
        <v>8</v>
      </c>
      <c r="B9024" s="2">
        <v>44739.0</v>
      </c>
      <c r="C9024" s="3">
        <v>0.3500810185185185</v>
      </c>
      <c r="D9024" s="1">
        <v>12.885863</v>
      </c>
      <c r="E9024" s="1">
        <v>80.082889</v>
      </c>
      <c r="F9024" s="1">
        <v>5339.0</v>
      </c>
      <c r="G9024" s="1">
        <v>58.0</v>
      </c>
    </row>
    <row r="9025">
      <c r="A9025" s="1" t="s">
        <v>8</v>
      </c>
      <c r="B9025" s="2">
        <v>44739.0</v>
      </c>
      <c r="C9025" s="3">
        <v>0.3504861111111111</v>
      </c>
      <c r="D9025" s="1">
        <v>12.927749</v>
      </c>
      <c r="E9025" s="1">
        <v>80.118917</v>
      </c>
      <c r="F9025" s="1">
        <v>805.0</v>
      </c>
      <c r="G9025" s="1">
        <v>0.0</v>
      </c>
    </row>
    <row r="9026">
      <c r="A9026" s="1" t="s">
        <v>8</v>
      </c>
      <c r="B9026" s="2">
        <v>44739.0</v>
      </c>
      <c r="C9026" s="3">
        <v>0.3504861111111111</v>
      </c>
      <c r="D9026" s="1">
        <v>12.927749</v>
      </c>
      <c r="E9026" s="1">
        <v>80.118917</v>
      </c>
      <c r="F9026" s="1">
        <v>805.0</v>
      </c>
      <c r="G9026" s="1">
        <v>0.0</v>
      </c>
    </row>
    <row r="9027">
      <c r="A9027" s="1" t="s">
        <v>7</v>
      </c>
      <c r="B9027" s="2">
        <v>44739.0</v>
      </c>
      <c r="C9027" s="3">
        <v>0.3519212962962963</v>
      </c>
      <c r="D9027" s="1">
        <v>12.922295</v>
      </c>
      <c r="E9027" s="1">
        <v>80.113457</v>
      </c>
      <c r="F9027" s="1">
        <v>805.0</v>
      </c>
      <c r="G9027" s="1">
        <v>46.0</v>
      </c>
    </row>
    <row r="9028">
      <c r="A9028" s="1" t="s">
        <v>7</v>
      </c>
      <c r="B9028" s="2">
        <v>44739.0</v>
      </c>
      <c r="C9028" s="3">
        <v>0.3528472222222222</v>
      </c>
      <c r="D9028" s="1">
        <v>12.916579</v>
      </c>
      <c r="E9028" s="1">
        <v>80.106408</v>
      </c>
      <c r="F9028" s="1">
        <v>805.0</v>
      </c>
      <c r="G9028" s="1">
        <v>43.0</v>
      </c>
    </row>
    <row r="9029">
      <c r="A9029" s="1" t="s">
        <v>8</v>
      </c>
      <c r="B9029" s="2">
        <v>44739.0</v>
      </c>
      <c r="C9029" s="3">
        <v>0.3528703703703704</v>
      </c>
      <c r="D9029" s="1">
        <v>12.916579</v>
      </c>
      <c r="E9029" s="1">
        <v>80.106408</v>
      </c>
      <c r="F9029" s="1">
        <v>805.0</v>
      </c>
      <c r="G9029" s="1">
        <v>43.0</v>
      </c>
    </row>
    <row r="9030">
      <c r="A9030" s="1" t="s">
        <v>8</v>
      </c>
      <c r="B9030" s="2">
        <v>44739.0</v>
      </c>
      <c r="C9030" s="3">
        <v>0.35291666666666666</v>
      </c>
      <c r="D9030" s="1">
        <v>12.916579</v>
      </c>
      <c r="E9030" s="1">
        <v>80.106408</v>
      </c>
      <c r="F9030" s="1">
        <v>805.0</v>
      </c>
      <c r="G9030" s="1">
        <v>43.0</v>
      </c>
    </row>
    <row r="9031">
      <c r="A9031" s="1" t="s">
        <v>8</v>
      </c>
      <c r="B9031" s="2">
        <v>44739.0</v>
      </c>
      <c r="C9031" s="3">
        <v>0.35618055555555556</v>
      </c>
      <c r="D9031" s="1">
        <v>12.906518</v>
      </c>
      <c r="E9031" s="1">
        <v>80.096614</v>
      </c>
      <c r="F9031" s="1">
        <v>805.0</v>
      </c>
      <c r="G9031" s="1">
        <v>16.0</v>
      </c>
    </row>
    <row r="9032">
      <c r="A9032" s="1" t="s">
        <v>8</v>
      </c>
      <c r="B9032" s="2">
        <v>44739.0</v>
      </c>
      <c r="C9032" s="3">
        <v>0.35618055555555556</v>
      </c>
      <c r="D9032" s="1">
        <v>12.906518</v>
      </c>
      <c r="E9032" s="1">
        <v>80.096614</v>
      </c>
      <c r="F9032" s="1">
        <v>805.0</v>
      </c>
      <c r="G9032" s="1">
        <v>16.0</v>
      </c>
    </row>
    <row r="9033">
      <c r="A9033" s="1" t="s">
        <v>8</v>
      </c>
      <c r="B9033" s="2">
        <v>44739.0</v>
      </c>
      <c r="C9033" s="3">
        <v>0.35619212962962965</v>
      </c>
      <c r="D9033" s="1">
        <v>12.906518</v>
      </c>
      <c r="E9033" s="1">
        <v>80.096614</v>
      </c>
      <c r="F9033" s="1">
        <v>805.0</v>
      </c>
      <c r="G9033" s="1">
        <v>16.0</v>
      </c>
    </row>
    <row r="9034">
      <c r="A9034" s="1" t="s">
        <v>8</v>
      </c>
      <c r="B9034" s="2">
        <v>44739.0</v>
      </c>
      <c r="C9034" s="3">
        <v>0.3562152777777778</v>
      </c>
      <c r="D9034" s="1">
        <v>12.906518</v>
      </c>
      <c r="E9034" s="1">
        <v>80.096614</v>
      </c>
      <c r="F9034" s="1">
        <v>805.0</v>
      </c>
      <c r="G9034" s="1">
        <v>16.0</v>
      </c>
    </row>
    <row r="9035">
      <c r="A9035" s="1" t="s">
        <v>8</v>
      </c>
      <c r="B9035" s="2">
        <v>44739.0</v>
      </c>
      <c r="C9035" s="3">
        <v>0.35659722222222223</v>
      </c>
      <c r="D9035" s="1">
        <v>12.905412</v>
      </c>
      <c r="E9035" s="1">
        <v>80.095708</v>
      </c>
      <c r="F9035" s="1">
        <v>805.0</v>
      </c>
      <c r="G9035" s="1">
        <v>14.0</v>
      </c>
    </row>
    <row r="9036">
      <c r="A9036" s="1" t="s">
        <v>8</v>
      </c>
      <c r="B9036" s="2">
        <v>44739.0</v>
      </c>
      <c r="C9036" s="3">
        <v>0.3567592592592593</v>
      </c>
      <c r="D9036" s="1">
        <v>12.904562</v>
      </c>
      <c r="E9036" s="1">
        <v>80.095113</v>
      </c>
      <c r="F9036" s="1">
        <v>805.0</v>
      </c>
      <c r="G9036" s="1">
        <v>30.0</v>
      </c>
    </row>
    <row r="9037">
      <c r="A9037" s="1" t="s">
        <v>8</v>
      </c>
      <c r="B9037" s="2">
        <v>44739.0</v>
      </c>
      <c r="C9037" s="3">
        <v>0.356875</v>
      </c>
      <c r="D9037" s="1">
        <v>12.903439</v>
      </c>
      <c r="E9037" s="1">
        <v>80.094206</v>
      </c>
      <c r="F9037" s="1">
        <v>805.0</v>
      </c>
      <c r="G9037" s="1">
        <v>37.0</v>
      </c>
    </row>
    <row r="9038">
      <c r="A9038" s="1" t="s">
        <v>7</v>
      </c>
      <c r="B9038" s="2">
        <v>44739.0</v>
      </c>
      <c r="C9038" s="3">
        <v>0.3595833333333333</v>
      </c>
      <c r="D9038" s="1">
        <v>12.893569</v>
      </c>
      <c r="E9038" s="1">
        <v>80.0867</v>
      </c>
      <c r="F9038" s="1">
        <v>805.0</v>
      </c>
      <c r="G9038" s="1">
        <v>57.0</v>
      </c>
    </row>
    <row r="9039">
      <c r="A9039" s="1" t="s">
        <v>8</v>
      </c>
      <c r="B9039" s="2">
        <v>44739.0</v>
      </c>
      <c r="C9039" s="3">
        <v>0.3598032407407407</v>
      </c>
      <c r="D9039" s="1">
        <v>12.8917</v>
      </c>
      <c r="E9039" s="1">
        <v>80.085386</v>
      </c>
      <c r="F9039" s="1">
        <v>805.0</v>
      </c>
      <c r="G9039" s="1">
        <v>59.0</v>
      </c>
    </row>
    <row r="9040">
      <c r="A9040" s="1" t="s">
        <v>10</v>
      </c>
      <c r="B9040" s="2">
        <v>44739.0</v>
      </c>
      <c r="C9040" s="3">
        <v>0.3627199074074074</v>
      </c>
      <c r="D9040" s="1">
        <v>12.879363</v>
      </c>
      <c r="E9040" s="1">
        <v>80.08035</v>
      </c>
      <c r="F9040" s="1">
        <v>805.0</v>
      </c>
      <c r="G9040" s="1">
        <v>8.0</v>
      </c>
    </row>
    <row r="9041">
      <c r="A9041" s="1" t="s">
        <v>10</v>
      </c>
      <c r="B9041" s="2">
        <v>44739.0</v>
      </c>
      <c r="C9041" s="3">
        <v>0.6202777777777778</v>
      </c>
      <c r="D9041" s="1">
        <v>12.876121</v>
      </c>
      <c r="E9041" s="1">
        <v>80.083256</v>
      </c>
      <c r="F9041" s="1">
        <v>805.0</v>
      </c>
      <c r="G9041" s="1">
        <v>12.0</v>
      </c>
    </row>
    <row r="9042">
      <c r="A9042" s="1" t="s">
        <v>8</v>
      </c>
      <c r="B9042" s="2">
        <v>44739.0</v>
      </c>
      <c r="C9042" s="3">
        <v>0.6712962962962963</v>
      </c>
      <c r="D9042" s="1">
        <v>12.878329</v>
      </c>
      <c r="E9042" s="1">
        <v>80.082277</v>
      </c>
      <c r="F9042" s="1">
        <v>5339.0</v>
      </c>
      <c r="G9042" s="1">
        <v>55.0</v>
      </c>
    </row>
    <row r="9043">
      <c r="A9043" s="1" t="s">
        <v>10</v>
      </c>
      <c r="B9043" s="2">
        <v>44739.0</v>
      </c>
      <c r="C9043" s="3">
        <v>0.6713541666666667</v>
      </c>
      <c r="D9043" s="1">
        <v>12.878515</v>
      </c>
      <c r="E9043" s="1">
        <v>80.0817</v>
      </c>
      <c r="F9043" s="1">
        <v>805.0</v>
      </c>
      <c r="G9043" s="1">
        <v>59.0</v>
      </c>
    </row>
    <row r="9044">
      <c r="A9044" s="1" t="s">
        <v>8</v>
      </c>
      <c r="B9044" s="2">
        <v>44739.0</v>
      </c>
      <c r="C9044" s="3">
        <v>0.6725</v>
      </c>
      <c r="D9044" s="1">
        <v>12.879694</v>
      </c>
      <c r="E9044" s="1">
        <v>80.080184</v>
      </c>
      <c r="F9044" s="1">
        <v>5339.0</v>
      </c>
      <c r="G9044" s="1">
        <v>30.0</v>
      </c>
    </row>
    <row r="9045">
      <c r="A9045" s="1" t="s">
        <v>10</v>
      </c>
      <c r="B9045" s="2">
        <v>44739.0</v>
      </c>
      <c r="C9045" s="3">
        <v>0.672511574074074</v>
      </c>
      <c r="D9045" s="1">
        <v>12.878875</v>
      </c>
      <c r="E9045" s="1">
        <v>80.080669</v>
      </c>
      <c r="F9045" s="1">
        <v>2846.0</v>
      </c>
      <c r="G9045" s="1">
        <v>10.0</v>
      </c>
    </row>
    <row r="9046">
      <c r="A9046" s="1" t="s">
        <v>8</v>
      </c>
      <c r="B9046" s="2">
        <v>44739.0</v>
      </c>
      <c r="C9046" s="3">
        <v>0.6728587962962963</v>
      </c>
      <c r="D9046" s="1">
        <v>12.881712</v>
      </c>
      <c r="E9046" s="1">
        <v>80.080792</v>
      </c>
      <c r="F9046" s="1">
        <v>805.0</v>
      </c>
      <c r="G9046" s="1">
        <v>30.0</v>
      </c>
    </row>
    <row r="9047">
      <c r="A9047" s="1" t="s">
        <v>7</v>
      </c>
      <c r="B9047" s="2">
        <v>44739.0</v>
      </c>
      <c r="C9047" s="3">
        <v>0.6732638888888889</v>
      </c>
      <c r="D9047" s="1">
        <v>12.88546</v>
      </c>
      <c r="E9047" s="1">
        <v>80.082531</v>
      </c>
      <c r="F9047" s="1">
        <v>805.0</v>
      </c>
      <c r="G9047" s="1">
        <v>46.0</v>
      </c>
    </row>
    <row r="9048">
      <c r="A9048" s="1" t="s">
        <v>9</v>
      </c>
      <c r="B9048" s="2">
        <v>44739.0</v>
      </c>
      <c r="C9048" s="3">
        <v>0.6739236111111111</v>
      </c>
      <c r="D9048" s="1">
        <v>12.89132</v>
      </c>
      <c r="E9048" s="1">
        <v>80.08494</v>
      </c>
      <c r="F9048" s="1">
        <v>805.0</v>
      </c>
      <c r="G9048" s="1">
        <v>43.0</v>
      </c>
    </row>
    <row r="9049">
      <c r="A9049" s="1" t="s">
        <v>8</v>
      </c>
      <c r="B9049" s="2">
        <v>44739.0</v>
      </c>
      <c r="C9049" s="3">
        <v>0.6743055555555556</v>
      </c>
      <c r="D9049" s="1">
        <v>12.893556</v>
      </c>
      <c r="E9049" s="1">
        <v>80.086391</v>
      </c>
      <c r="F9049" s="1">
        <v>805.0</v>
      </c>
      <c r="G9049" s="1">
        <v>43.0</v>
      </c>
    </row>
    <row r="9050">
      <c r="A9050" s="1" t="s">
        <v>8</v>
      </c>
      <c r="B9050" s="2">
        <v>44739.0</v>
      </c>
      <c r="C9050" s="3">
        <v>0.6744675925925926</v>
      </c>
      <c r="D9050" s="1">
        <v>12.863126</v>
      </c>
      <c r="E9050" s="1">
        <v>80.074046</v>
      </c>
      <c r="F9050" s="1">
        <v>2846.0</v>
      </c>
      <c r="G9050" s="1">
        <v>49.0</v>
      </c>
    </row>
    <row r="9051">
      <c r="A9051" s="1" t="s">
        <v>8</v>
      </c>
      <c r="B9051" s="2">
        <v>44739.0</v>
      </c>
      <c r="C9051" s="3">
        <v>0.6745601851851852</v>
      </c>
      <c r="D9051" s="1">
        <v>12.895537</v>
      </c>
      <c r="E9051" s="1">
        <v>80.087959</v>
      </c>
      <c r="F9051" s="1">
        <v>805.0</v>
      </c>
      <c r="G9051" s="1">
        <v>37.0</v>
      </c>
    </row>
    <row r="9052">
      <c r="A9052" s="1" t="s">
        <v>8</v>
      </c>
      <c r="B9052" s="2">
        <v>44739.0</v>
      </c>
      <c r="C9052" s="3">
        <v>0.6747453703703704</v>
      </c>
      <c r="D9052" s="1">
        <v>12.89727</v>
      </c>
      <c r="E9052" s="1">
        <v>80.089263</v>
      </c>
      <c r="F9052" s="1">
        <v>805.0</v>
      </c>
      <c r="G9052" s="1">
        <v>32.0</v>
      </c>
    </row>
    <row r="9053">
      <c r="A9053" s="1" t="s">
        <v>9</v>
      </c>
      <c r="B9053" s="2">
        <v>44739.0</v>
      </c>
      <c r="C9053" s="3">
        <v>0.6749305555555556</v>
      </c>
      <c r="D9053" s="1">
        <v>12.89806</v>
      </c>
      <c r="E9053" s="1">
        <v>80.089861</v>
      </c>
      <c r="F9053" s="1">
        <v>805.0</v>
      </c>
      <c r="G9053" s="1">
        <v>45.0</v>
      </c>
    </row>
    <row r="9054">
      <c r="A9054" s="1" t="s">
        <v>8</v>
      </c>
      <c r="B9054" s="2">
        <v>44739.0</v>
      </c>
      <c r="C9054" s="3">
        <v>0.6750578703703703</v>
      </c>
      <c r="D9054" s="1">
        <v>12.899192</v>
      </c>
      <c r="E9054" s="1">
        <v>80.090711</v>
      </c>
      <c r="F9054" s="1">
        <v>5339.0</v>
      </c>
      <c r="G9054" s="1">
        <v>50.0</v>
      </c>
    </row>
    <row r="9055">
      <c r="A9055" s="1" t="s">
        <v>8</v>
      </c>
      <c r="B9055" s="2">
        <v>44739.0</v>
      </c>
      <c r="C9055" s="3">
        <v>0.6751851851851852</v>
      </c>
      <c r="D9055" s="1">
        <v>12.860304</v>
      </c>
      <c r="E9055" s="1">
        <v>80.072483</v>
      </c>
      <c r="F9055" s="1">
        <v>2846.0</v>
      </c>
      <c r="G9055" s="1">
        <v>20.0</v>
      </c>
    </row>
    <row r="9056">
      <c r="A9056" s="1" t="s">
        <v>8</v>
      </c>
      <c r="B9056" s="2">
        <v>44739.0</v>
      </c>
      <c r="C9056" s="3">
        <v>0.6754398148148149</v>
      </c>
      <c r="D9056" s="1">
        <v>12.902132</v>
      </c>
      <c r="E9056" s="1">
        <v>80.092889</v>
      </c>
      <c r="F9056" s="1">
        <v>5339.0</v>
      </c>
      <c r="G9056" s="1">
        <v>44.0</v>
      </c>
    </row>
    <row r="9057">
      <c r="A9057" s="1" t="s">
        <v>7</v>
      </c>
      <c r="B9057" s="2">
        <v>44739.0</v>
      </c>
      <c r="C9057" s="3">
        <v>0.6757407407407408</v>
      </c>
      <c r="D9057" s="1">
        <v>12.856048</v>
      </c>
      <c r="E9057" s="1">
        <v>80.069372</v>
      </c>
      <c r="F9057" s="1">
        <v>2846.0</v>
      </c>
      <c r="G9057" s="1">
        <v>59.0</v>
      </c>
    </row>
    <row r="9058">
      <c r="A9058" s="1" t="s">
        <v>8</v>
      </c>
      <c r="B9058" s="2">
        <v>44739.0</v>
      </c>
      <c r="C9058" s="3">
        <v>0.6757638888888889</v>
      </c>
      <c r="D9058" s="1">
        <v>12.856048</v>
      </c>
      <c r="E9058" s="1">
        <v>80.069372</v>
      </c>
      <c r="F9058" s="1">
        <v>2846.0</v>
      </c>
      <c r="G9058" s="1">
        <v>59.0</v>
      </c>
    </row>
    <row r="9059">
      <c r="A9059" s="1" t="s">
        <v>8</v>
      </c>
      <c r="B9059" s="2">
        <v>44739.0</v>
      </c>
      <c r="C9059" s="3">
        <v>0.675775462962963</v>
      </c>
      <c r="D9059" s="1">
        <v>12.905134</v>
      </c>
      <c r="E9059" s="1">
        <v>80.095343</v>
      </c>
      <c r="F9059" s="1">
        <v>805.0</v>
      </c>
      <c r="G9059" s="1">
        <v>45.0</v>
      </c>
    </row>
    <row r="9060">
      <c r="A9060" s="1" t="s">
        <v>7</v>
      </c>
      <c r="B9060" s="2">
        <v>44739.0</v>
      </c>
      <c r="C9060" s="3">
        <v>0.6759837962962963</v>
      </c>
      <c r="D9060" s="1">
        <v>12.905586</v>
      </c>
      <c r="E9060" s="1">
        <v>80.095468</v>
      </c>
      <c r="F9060" s="1">
        <v>5339.0</v>
      </c>
      <c r="G9060" s="1">
        <v>50.0</v>
      </c>
    </row>
    <row r="9061">
      <c r="A9061" s="1" t="s">
        <v>7</v>
      </c>
      <c r="B9061" s="2">
        <v>44739.0</v>
      </c>
      <c r="C9061" s="3">
        <v>0.6761574074074074</v>
      </c>
      <c r="D9061" s="1">
        <v>12.853877</v>
      </c>
      <c r="E9061" s="1">
        <v>80.067707</v>
      </c>
      <c r="F9061" s="1">
        <v>2846.0</v>
      </c>
      <c r="G9061" s="1">
        <v>53.0</v>
      </c>
    </row>
    <row r="9062">
      <c r="A9062" s="1" t="s">
        <v>7</v>
      </c>
      <c r="B9062" s="2">
        <v>44739.0</v>
      </c>
      <c r="C9062" s="3">
        <v>0.6762037037037038</v>
      </c>
      <c r="D9062" s="1">
        <v>12.907908</v>
      </c>
      <c r="E9062" s="1">
        <v>80.097278</v>
      </c>
      <c r="F9062" s="1">
        <v>5339.0</v>
      </c>
      <c r="G9062" s="1">
        <v>65.0</v>
      </c>
    </row>
    <row r="9063">
      <c r="A9063" s="1" t="s">
        <v>8</v>
      </c>
      <c r="B9063" s="2">
        <v>44739.0</v>
      </c>
      <c r="C9063" s="3">
        <v>0.6764236111111112</v>
      </c>
      <c r="D9063" s="1">
        <v>12.909187</v>
      </c>
      <c r="E9063" s="1">
        <v>80.098704</v>
      </c>
      <c r="F9063" s="1">
        <v>805.0</v>
      </c>
      <c r="G9063" s="1">
        <v>28.0</v>
      </c>
    </row>
    <row r="9064">
      <c r="A9064" s="1" t="s">
        <v>7</v>
      </c>
      <c r="B9064" s="2">
        <v>44739.0</v>
      </c>
      <c r="C9064" s="3">
        <v>0.6769097222222222</v>
      </c>
      <c r="D9064" s="1">
        <v>12.907907</v>
      </c>
      <c r="E9064" s="1">
        <v>80.097472</v>
      </c>
      <c r="F9064" s="1">
        <v>805.0</v>
      </c>
      <c r="G9064" s="1">
        <v>53.0</v>
      </c>
    </row>
    <row r="9065">
      <c r="A9065" s="1" t="s">
        <v>8</v>
      </c>
      <c r="B9065" s="2">
        <v>44739.0</v>
      </c>
      <c r="C9065" s="3">
        <v>0.677025462962963</v>
      </c>
      <c r="D9065" s="1">
        <v>12.847118</v>
      </c>
      <c r="E9065" s="1">
        <v>80.062838</v>
      </c>
      <c r="F9065" s="1">
        <v>2846.0</v>
      </c>
      <c r="G9065" s="1">
        <v>51.0</v>
      </c>
    </row>
    <row r="9066">
      <c r="A9066" s="1" t="s">
        <v>8</v>
      </c>
      <c r="B9066" s="2">
        <v>44739.0</v>
      </c>
      <c r="C9066" s="3">
        <v>0.6770486111111111</v>
      </c>
      <c r="D9066" s="1">
        <v>12.913698</v>
      </c>
      <c r="E9066" s="1">
        <v>80.101492</v>
      </c>
      <c r="F9066" s="1">
        <v>5339.0</v>
      </c>
      <c r="G9066" s="1">
        <v>51.0</v>
      </c>
    </row>
    <row r="9067">
      <c r="A9067" s="1" t="s">
        <v>9</v>
      </c>
      <c r="B9067" s="2">
        <v>44739.0</v>
      </c>
      <c r="C9067" s="3">
        <v>0.6771527777777778</v>
      </c>
      <c r="D9067" s="1">
        <v>12.845348</v>
      </c>
      <c r="E9067" s="1">
        <v>80.061348</v>
      </c>
      <c r="F9067" s="1">
        <v>2846.0</v>
      </c>
      <c r="G9067" s="1">
        <v>35.0</v>
      </c>
    </row>
    <row r="9068">
      <c r="A9068" s="1" t="s">
        <v>8</v>
      </c>
      <c r="B9068" s="2">
        <v>44739.0</v>
      </c>
      <c r="C9068" s="3">
        <v>0.677337962962963</v>
      </c>
      <c r="D9068" s="1">
        <v>12.914789</v>
      </c>
      <c r="E9068" s="1">
        <v>80.101919</v>
      </c>
      <c r="F9068" s="1">
        <v>805.0</v>
      </c>
      <c r="G9068" s="1">
        <v>50.0</v>
      </c>
    </row>
    <row r="9069">
      <c r="A9069" s="1" t="s">
        <v>8</v>
      </c>
      <c r="B9069" s="2">
        <v>44739.0</v>
      </c>
      <c r="C9069" s="3">
        <v>0.6775</v>
      </c>
      <c r="D9069" s="1">
        <v>12.915514</v>
      </c>
      <c r="E9069" s="1">
        <v>80.102808</v>
      </c>
      <c r="F9069" s="1">
        <v>805.0</v>
      </c>
      <c r="G9069" s="1">
        <v>39.0</v>
      </c>
    </row>
    <row r="9070">
      <c r="A9070" s="1" t="s">
        <v>9</v>
      </c>
      <c r="B9070" s="2">
        <v>44739.0</v>
      </c>
      <c r="C9070" s="3">
        <v>0.6775810185185185</v>
      </c>
      <c r="D9070" s="1">
        <v>12.915692</v>
      </c>
      <c r="E9070" s="1">
        <v>80.103755</v>
      </c>
      <c r="F9070" s="1">
        <v>805.0</v>
      </c>
      <c r="G9070" s="1">
        <v>40.0</v>
      </c>
    </row>
    <row r="9071">
      <c r="A9071" s="1" t="s">
        <v>7</v>
      </c>
      <c r="B9071" s="2">
        <v>44739.0</v>
      </c>
      <c r="C9071" s="3">
        <v>0.6779513888888888</v>
      </c>
      <c r="D9071" s="1">
        <v>12.91814</v>
      </c>
      <c r="E9071" s="1">
        <v>80.108655</v>
      </c>
      <c r="F9071" s="1">
        <v>5339.0</v>
      </c>
      <c r="G9071" s="1">
        <v>53.0</v>
      </c>
    </row>
    <row r="9072">
      <c r="A9072" s="1" t="s">
        <v>7</v>
      </c>
      <c r="B9072" s="2">
        <v>44739.0</v>
      </c>
      <c r="C9072" s="3">
        <v>0.6780787037037037</v>
      </c>
      <c r="D9072" s="1">
        <v>12.919051</v>
      </c>
      <c r="E9072" s="1">
        <v>80.109766</v>
      </c>
      <c r="F9072" s="1">
        <v>5339.0</v>
      </c>
      <c r="G9072" s="1">
        <v>56.0</v>
      </c>
    </row>
    <row r="9073">
      <c r="A9073" s="1" t="s">
        <v>8</v>
      </c>
      <c r="B9073" s="2">
        <v>44739.0</v>
      </c>
      <c r="C9073" s="3">
        <v>0.6781365740740741</v>
      </c>
      <c r="D9073" s="1">
        <v>12.84113</v>
      </c>
      <c r="E9073" s="1">
        <v>80.056936</v>
      </c>
      <c r="F9073" s="1">
        <v>2846.0</v>
      </c>
      <c r="G9073" s="1">
        <v>52.0</v>
      </c>
    </row>
    <row r="9074">
      <c r="A9074" s="1" t="s">
        <v>8</v>
      </c>
      <c r="B9074" s="2">
        <v>44739.0</v>
      </c>
      <c r="C9074" s="3">
        <v>0.6781712962962962</v>
      </c>
      <c r="D9074" s="1">
        <v>12.919051</v>
      </c>
      <c r="E9074" s="1">
        <v>80.109766</v>
      </c>
      <c r="F9074" s="1">
        <v>5339.0</v>
      </c>
      <c r="G9074" s="1">
        <v>56.0</v>
      </c>
    </row>
    <row r="9075">
      <c r="A9075" s="1" t="s">
        <v>8</v>
      </c>
      <c r="B9075" s="2">
        <v>44739.0</v>
      </c>
      <c r="C9075" s="3">
        <v>0.6783101851851852</v>
      </c>
      <c r="D9075" s="1">
        <v>12.916831</v>
      </c>
      <c r="E9075" s="1">
        <v>80.106779</v>
      </c>
      <c r="F9075" s="1">
        <v>805.0</v>
      </c>
      <c r="G9075" s="1">
        <v>3.0</v>
      </c>
    </row>
    <row r="9076">
      <c r="A9076" s="1" t="s">
        <v>7</v>
      </c>
      <c r="B9076" s="2">
        <v>44739.0</v>
      </c>
      <c r="C9076" s="3">
        <v>0.6783449074074074</v>
      </c>
      <c r="D9076" s="1">
        <v>12.840306</v>
      </c>
      <c r="E9076" s="1">
        <v>80.056024</v>
      </c>
      <c r="F9076" s="1">
        <v>2846.0</v>
      </c>
      <c r="G9076" s="1">
        <v>50.0</v>
      </c>
    </row>
    <row r="9077">
      <c r="A9077" s="1" t="s">
        <v>8</v>
      </c>
      <c r="B9077" s="2">
        <v>44739.0</v>
      </c>
      <c r="C9077" s="3">
        <v>0.6783796296296296</v>
      </c>
      <c r="D9077" s="1">
        <v>12.916831</v>
      </c>
      <c r="E9077" s="1">
        <v>80.106779</v>
      </c>
      <c r="F9077" s="1">
        <v>805.0</v>
      </c>
      <c r="G9077" s="1">
        <v>3.0</v>
      </c>
    </row>
    <row r="9078">
      <c r="A9078" s="1" t="s">
        <v>7</v>
      </c>
      <c r="B9078" s="2">
        <v>44739.0</v>
      </c>
      <c r="C9078" s="3">
        <v>0.6784722222222223</v>
      </c>
      <c r="D9078" s="1">
        <v>12.916831</v>
      </c>
      <c r="E9078" s="1">
        <v>80.106779</v>
      </c>
      <c r="F9078" s="1">
        <v>805.0</v>
      </c>
      <c r="G9078" s="1">
        <v>3.0</v>
      </c>
    </row>
    <row r="9079">
      <c r="A9079" s="1" t="s">
        <v>7</v>
      </c>
      <c r="B9079" s="2">
        <v>44739.0</v>
      </c>
      <c r="C9079" s="3">
        <v>0.6788425925925926</v>
      </c>
      <c r="D9079" s="1">
        <v>12.835336</v>
      </c>
      <c r="E9079" s="1">
        <v>80.05075</v>
      </c>
      <c r="F9079" s="1">
        <v>2846.0</v>
      </c>
      <c r="G9079" s="1">
        <v>58.0</v>
      </c>
    </row>
    <row r="9080">
      <c r="A9080" s="1" t="s">
        <v>8</v>
      </c>
      <c r="B9080" s="2">
        <v>44739.0</v>
      </c>
      <c r="C9080" s="3">
        <v>0.6791666666666667</v>
      </c>
      <c r="D9080" s="1">
        <v>12.926223</v>
      </c>
      <c r="E9080" s="1">
        <v>80.117332</v>
      </c>
      <c r="F9080" s="1">
        <v>5339.0</v>
      </c>
      <c r="G9080" s="1">
        <v>38.0</v>
      </c>
    </row>
    <row r="9081">
      <c r="A9081" s="1" t="s">
        <v>8</v>
      </c>
      <c r="B9081" s="2">
        <v>44739.0</v>
      </c>
      <c r="C9081" s="3">
        <v>0.6793981481481481</v>
      </c>
      <c r="D9081" s="1">
        <v>12.830381</v>
      </c>
      <c r="E9081" s="1">
        <v>80.045602</v>
      </c>
      <c r="F9081" s="1">
        <v>2846.0</v>
      </c>
      <c r="G9081" s="1">
        <v>42.0</v>
      </c>
    </row>
    <row r="9082">
      <c r="A9082" s="1" t="s">
        <v>8</v>
      </c>
      <c r="B9082" s="2">
        <v>44739.0</v>
      </c>
      <c r="C9082" s="3">
        <v>0.679837962962963</v>
      </c>
      <c r="D9082" s="1">
        <v>12.927041</v>
      </c>
      <c r="E9082" s="1">
        <v>80.118134</v>
      </c>
      <c r="F9082" s="1">
        <v>805.0</v>
      </c>
      <c r="G9082" s="1">
        <v>17.0</v>
      </c>
    </row>
    <row r="9083">
      <c r="A9083" s="1" t="s">
        <v>7</v>
      </c>
      <c r="B9083" s="2">
        <v>44739.0</v>
      </c>
      <c r="C9083" s="3">
        <v>0.6801388888888888</v>
      </c>
      <c r="D9083" s="1">
        <v>12.828114</v>
      </c>
      <c r="E9083" s="1">
        <v>80.043214</v>
      </c>
      <c r="F9083" s="1">
        <v>2846.0</v>
      </c>
      <c r="G9083" s="1">
        <v>48.0</v>
      </c>
    </row>
    <row r="9084">
      <c r="A9084" s="1" t="s">
        <v>7</v>
      </c>
      <c r="B9084" s="2">
        <v>44739.0</v>
      </c>
      <c r="C9084" s="3">
        <v>0.6818981481481482</v>
      </c>
      <c r="D9084" s="1">
        <v>12.814644</v>
      </c>
      <c r="E9084" s="1">
        <v>80.033043</v>
      </c>
      <c r="F9084" s="1">
        <v>2846.0</v>
      </c>
      <c r="G9084" s="1">
        <v>49.0</v>
      </c>
    </row>
    <row r="9085">
      <c r="A9085" s="1" t="s">
        <v>7</v>
      </c>
      <c r="B9085" s="2">
        <v>44739.0</v>
      </c>
      <c r="C9085" s="3">
        <v>0.6821759259259259</v>
      </c>
      <c r="D9085" s="1">
        <v>12.814644</v>
      </c>
      <c r="E9085" s="1">
        <v>80.033043</v>
      </c>
      <c r="F9085" s="1">
        <v>2846.0</v>
      </c>
      <c r="G9085" s="1">
        <v>49.0</v>
      </c>
    </row>
    <row r="9086">
      <c r="A9086" s="1" t="s">
        <v>8</v>
      </c>
      <c r="B9086" s="2">
        <v>44739.0</v>
      </c>
      <c r="C9086" s="3">
        <v>0.6822453703703704</v>
      </c>
      <c r="D9086" s="1">
        <v>12.93375</v>
      </c>
      <c r="E9086" s="1">
        <v>80.124778</v>
      </c>
      <c r="F9086" s="1">
        <v>5339.0</v>
      </c>
      <c r="G9086" s="1">
        <v>36.0</v>
      </c>
    </row>
    <row r="9087">
      <c r="A9087" s="1" t="s">
        <v>8</v>
      </c>
      <c r="B9087" s="2">
        <v>44739.0</v>
      </c>
      <c r="C9087" s="3">
        <v>0.6825925925925926</v>
      </c>
      <c r="D9087" s="1">
        <v>12.934524</v>
      </c>
      <c r="E9087" s="1">
        <v>80.125525</v>
      </c>
      <c r="F9087" s="1">
        <v>805.0</v>
      </c>
      <c r="G9087" s="1">
        <v>17.0</v>
      </c>
    </row>
    <row r="9088">
      <c r="A9088" s="1" t="s">
        <v>8</v>
      </c>
      <c r="B9088" s="2">
        <v>44739.0</v>
      </c>
      <c r="C9088" s="3">
        <v>0.6832523148148149</v>
      </c>
      <c r="D9088" s="1">
        <v>12.93585</v>
      </c>
      <c r="E9088" s="1">
        <v>80.126688</v>
      </c>
      <c r="F9088" s="1">
        <v>805.0</v>
      </c>
      <c r="G9088" s="1">
        <v>21.0</v>
      </c>
    </row>
    <row r="9089">
      <c r="A9089" s="1" t="s">
        <v>7</v>
      </c>
      <c r="B9089" s="2">
        <v>44739.0</v>
      </c>
      <c r="C9089" s="3">
        <v>0.6834259259259259</v>
      </c>
      <c r="D9089" s="1">
        <v>12.937018</v>
      </c>
      <c r="E9089" s="1">
        <v>80.127766</v>
      </c>
      <c r="F9089" s="1">
        <v>5339.0</v>
      </c>
      <c r="G9089" s="1">
        <v>36.0</v>
      </c>
    </row>
    <row r="9090">
      <c r="A9090" s="1" t="s">
        <v>8</v>
      </c>
      <c r="B9090" s="2">
        <v>44739.0</v>
      </c>
      <c r="C9090" s="3">
        <v>0.6835763888888889</v>
      </c>
      <c r="D9090" s="1">
        <v>12.938396</v>
      </c>
      <c r="E9090" s="1">
        <v>80.128966</v>
      </c>
      <c r="F9090" s="1">
        <v>5339.0</v>
      </c>
      <c r="G9090" s="1">
        <v>51.0</v>
      </c>
    </row>
    <row r="9091">
      <c r="A9091" s="1" t="s">
        <v>7</v>
      </c>
      <c r="B9091" s="2">
        <v>44739.0</v>
      </c>
      <c r="C9091" s="3">
        <v>0.683587962962963</v>
      </c>
      <c r="D9091" s="1">
        <v>12.937662</v>
      </c>
      <c r="E9091" s="1">
        <v>80.128334</v>
      </c>
      <c r="F9091" s="1">
        <v>805.0</v>
      </c>
      <c r="G9091" s="1">
        <v>45.0</v>
      </c>
    </row>
    <row r="9092">
      <c r="A9092" s="1" t="s">
        <v>8</v>
      </c>
      <c r="B9092" s="2">
        <v>44739.0</v>
      </c>
      <c r="C9092" s="3">
        <v>0.6843634259259259</v>
      </c>
      <c r="D9092" s="1">
        <v>12.942692</v>
      </c>
      <c r="E9092" s="1">
        <v>80.133236</v>
      </c>
      <c r="F9092" s="1">
        <v>5339.0</v>
      </c>
      <c r="G9092" s="1">
        <v>27.0</v>
      </c>
    </row>
    <row r="9093">
      <c r="A9093" s="1" t="s">
        <v>8</v>
      </c>
      <c r="B9093" s="2">
        <v>44739.0</v>
      </c>
      <c r="C9093" s="3">
        <v>0.6843981481481481</v>
      </c>
      <c r="D9093" s="1">
        <v>12.943554</v>
      </c>
      <c r="E9093" s="1">
        <v>80.134072</v>
      </c>
      <c r="F9093" s="1">
        <v>805.0</v>
      </c>
      <c r="G9093" s="1">
        <v>37.0</v>
      </c>
    </row>
    <row r="9094">
      <c r="A9094" s="1" t="s">
        <v>8</v>
      </c>
      <c r="B9094" s="2">
        <v>44739.0</v>
      </c>
      <c r="C9094" s="3">
        <v>0.6844444444444444</v>
      </c>
      <c r="D9094" s="1">
        <v>12.943554</v>
      </c>
      <c r="E9094" s="1">
        <v>80.134072</v>
      </c>
      <c r="F9094" s="1">
        <v>805.0</v>
      </c>
      <c r="G9094" s="1">
        <v>37.0</v>
      </c>
    </row>
    <row r="9095">
      <c r="A9095" s="1" t="s">
        <v>8</v>
      </c>
      <c r="B9095" s="2">
        <v>44739.0</v>
      </c>
      <c r="C9095" s="3">
        <v>0.6845717592592593</v>
      </c>
      <c r="D9095" s="1">
        <v>12.944796</v>
      </c>
      <c r="E9095" s="1">
        <v>80.135092</v>
      </c>
      <c r="F9095" s="1">
        <v>5339.0</v>
      </c>
      <c r="G9095" s="1">
        <v>46.0</v>
      </c>
    </row>
    <row r="9096">
      <c r="A9096" s="1" t="s">
        <v>8</v>
      </c>
      <c r="B9096" s="2">
        <v>44739.0</v>
      </c>
      <c r="C9096" s="3">
        <v>0.6849189814814814</v>
      </c>
      <c r="D9096" s="1">
        <v>12.947828</v>
      </c>
      <c r="E9096" s="1">
        <v>80.137401</v>
      </c>
      <c r="F9096" s="1">
        <v>5339.0</v>
      </c>
      <c r="G9096" s="1">
        <v>50.0</v>
      </c>
    </row>
    <row r="9097">
      <c r="A9097" s="1" t="s">
        <v>8</v>
      </c>
      <c r="B9097" s="2">
        <v>44739.0</v>
      </c>
      <c r="C9097" s="3">
        <v>0.6849305555555556</v>
      </c>
      <c r="D9097" s="1">
        <v>12.946442</v>
      </c>
      <c r="E9097" s="1">
        <v>80.136392</v>
      </c>
      <c r="F9097" s="1">
        <v>805.0</v>
      </c>
      <c r="G9097" s="1">
        <v>48.0</v>
      </c>
    </row>
    <row r="9098">
      <c r="A9098" s="1" t="s">
        <v>8</v>
      </c>
      <c r="B9098" s="2">
        <v>44739.0</v>
      </c>
      <c r="C9098" s="3">
        <v>0.6851736111111111</v>
      </c>
      <c r="D9098" s="1">
        <v>12.94949</v>
      </c>
      <c r="E9098" s="1">
        <v>80.138654</v>
      </c>
      <c r="F9098" s="1">
        <v>5339.0</v>
      </c>
      <c r="G9098" s="1">
        <v>47.0</v>
      </c>
    </row>
    <row r="9099">
      <c r="A9099" s="1" t="s">
        <v>8</v>
      </c>
      <c r="B9099" s="2">
        <v>44739.0</v>
      </c>
      <c r="C9099" s="3">
        <v>0.6852777777777778</v>
      </c>
      <c r="D9099" s="1">
        <v>12.949642</v>
      </c>
      <c r="E9099" s="1">
        <v>80.138784</v>
      </c>
      <c r="F9099" s="1">
        <v>805.0</v>
      </c>
      <c r="G9099" s="1">
        <v>49.0</v>
      </c>
    </row>
    <row r="9100">
      <c r="A9100" s="1" t="s">
        <v>8</v>
      </c>
      <c r="B9100" s="2">
        <v>44739.0</v>
      </c>
      <c r="C9100" s="3">
        <v>0.685300925925926</v>
      </c>
      <c r="D9100" s="1">
        <v>12.950459</v>
      </c>
      <c r="E9100" s="1">
        <v>80.139436</v>
      </c>
      <c r="F9100" s="1">
        <v>5339.0</v>
      </c>
      <c r="G9100" s="1">
        <v>22.0</v>
      </c>
    </row>
    <row r="9101">
      <c r="A9101" s="1" t="s">
        <v>8</v>
      </c>
      <c r="B9101" s="2">
        <v>44739.0</v>
      </c>
      <c r="C9101" s="3">
        <v>0.6854861111111111</v>
      </c>
      <c r="D9101" s="1">
        <v>12.951685</v>
      </c>
      <c r="E9101" s="1">
        <v>80.140388</v>
      </c>
      <c r="F9101" s="1">
        <v>805.0</v>
      </c>
      <c r="G9101" s="1">
        <v>31.0</v>
      </c>
    </row>
    <row r="9102">
      <c r="A9102" s="1" t="s">
        <v>8</v>
      </c>
      <c r="B9102" s="2">
        <v>44739.0</v>
      </c>
      <c r="C9102" s="3">
        <v>0.6854976851851852</v>
      </c>
      <c r="D9102" s="1">
        <v>12.951402</v>
      </c>
      <c r="E9102" s="1">
        <v>80.140174</v>
      </c>
      <c r="F9102" s="1">
        <v>5339.0</v>
      </c>
      <c r="G9102" s="1">
        <v>37.0</v>
      </c>
    </row>
    <row r="9103">
      <c r="A9103" s="1" t="s">
        <v>7</v>
      </c>
      <c r="B9103" s="2">
        <v>44739.0</v>
      </c>
      <c r="C9103" s="3">
        <v>0.6860648148148148</v>
      </c>
      <c r="D9103" s="1">
        <v>12.78423</v>
      </c>
      <c r="E9103" s="1">
        <v>80.013681</v>
      </c>
      <c r="F9103" s="1">
        <v>2846.0</v>
      </c>
      <c r="G9103" s="1">
        <v>55.0</v>
      </c>
    </row>
    <row r="9104">
      <c r="A9104" s="1" t="s">
        <v>7</v>
      </c>
      <c r="B9104" s="2">
        <v>44739.0</v>
      </c>
      <c r="C9104" s="3">
        <v>0.6863425925925926</v>
      </c>
      <c r="D9104" s="1">
        <v>12.777528</v>
      </c>
      <c r="E9104" s="1">
        <v>80.010759</v>
      </c>
      <c r="F9104" s="1">
        <v>2846.0</v>
      </c>
      <c r="G9104" s="1">
        <v>58.0</v>
      </c>
    </row>
    <row r="9105">
      <c r="A9105" s="1" t="s">
        <v>8</v>
      </c>
      <c r="B9105" s="2">
        <v>44739.0</v>
      </c>
      <c r="C9105" s="3">
        <v>0.6865162037037037</v>
      </c>
      <c r="D9105" s="1">
        <v>12.955958</v>
      </c>
      <c r="E9105" s="1">
        <v>80.142842</v>
      </c>
      <c r="F9105" s="1">
        <v>5339.0</v>
      </c>
      <c r="G9105" s="1">
        <v>0.0</v>
      </c>
    </row>
    <row r="9106">
      <c r="A9106" s="1" t="s">
        <v>8</v>
      </c>
      <c r="B9106" s="2">
        <v>44739.0</v>
      </c>
      <c r="C9106" s="3">
        <v>0.6865393518518519</v>
      </c>
      <c r="D9106" s="1">
        <v>12.95626</v>
      </c>
      <c r="E9106" s="1">
        <v>80.143063</v>
      </c>
      <c r="F9106" s="1">
        <v>5339.0</v>
      </c>
      <c r="G9106" s="1">
        <v>14.0</v>
      </c>
    </row>
    <row r="9107">
      <c r="A9107" s="1" t="s">
        <v>8</v>
      </c>
      <c r="B9107" s="2">
        <v>44739.0</v>
      </c>
      <c r="C9107" s="3">
        <v>0.6865509259259259</v>
      </c>
      <c r="D9107" s="1">
        <v>12.95626</v>
      </c>
      <c r="E9107" s="1">
        <v>80.143063</v>
      </c>
      <c r="F9107" s="1">
        <v>5339.0</v>
      </c>
      <c r="G9107" s="1">
        <v>14.0</v>
      </c>
    </row>
    <row r="9108">
      <c r="A9108" s="1" t="s">
        <v>8</v>
      </c>
      <c r="B9108" s="2">
        <v>44739.0</v>
      </c>
      <c r="C9108" s="3">
        <v>0.6866087962962963</v>
      </c>
      <c r="D9108" s="1">
        <v>12.774867</v>
      </c>
      <c r="E9108" s="1">
        <v>80.009569</v>
      </c>
      <c r="F9108" s="1">
        <v>2846.0</v>
      </c>
      <c r="G9108" s="1">
        <v>58.0</v>
      </c>
    </row>
    <row r="9109">
      <c r="A9109" s="1" t="s">
        <v>8</v>
      </c>
      <c r="B9109" s="2">
        <v>44739.0</v>
      </c>
      <c r="C9109" s="3">
        <v>0.6869675925925925</v>
      </c>
      <c r="D9109" s="1">
        <v>12.958031</v>
      </c>
      <c r="E9109" s="1">
        <v>80.14399</v>
      </c>
      <c r="F9109" s="1">
        <v>5339.0</v>
      </c>
      <c r="G9109" s="1">
        <v>20.0</v>
      </c>
    </row>
    <row r="9110">
      <c r="A9110" s="1" t="s">
        <v>8</v>
      </c>
      <c r="B9110" s="2">
        <v>44739.0</v>
      </c>
      <c r="C9110" s="3">
        <v>0.6869907407407407</v>
      </c>
      <c r="D9110" s="1">
        <v>12.958031</v>
      </c>
      <c r="E9110" s="1">
        <v>80.14399</v>
      </c>
      <c r="F9110" s="1">
        <v>5339.0</v>
      </c>
      <c r="G9110" s="1">
        <v>20.0</v>
      </c>
    </row>
    <row r="9111">
      <c r="A9111" s="1" t="s">
        <v>8</v>
      </c>
      <c r="B9111" s="2">
        <v>44739.0</v>
      </c>
      <c r="C9111" s="3">
        <v>0.6876736111111111</v>
      </c>
      <c r="D9111" s="1">
        <v>12.961326</v>
      </c>
      <c r="E9111" s="1">
        <v>80.145671</v>
      </c>
      <c r="F9111" s="1">
        <v>5339.0</v>
      </c>
      <c r="G9111" s="1">
        <v>43.0</v>
      </c>
    </row>
    <row r="9112">
      <c r="A9112" s="1" t="s">
        <v>8</v>
      </c>
      <c r="B9112" s="2">
        <v>44739.0</v>
      </c>
      <c r="C9112" s="3">
        <v>0.6876736111111111</v>
      </c>
      <c r="D9112" s="1">
        <v>12.961326</v>
      </c>
      <c r="E9112" s="1">
        <v>80.145671</v>
      </c>
      <c r="F9112" s="1">
        <v>5339.0</v>
      </c>
      <c r="G9112" s="1">
        <v>43.0</v>
      </c>
    </row>
    <row r="9113">
      <c r="A9113" s="1" t="s">
        <v>8</v>
      </c>
      <c r="B9113" s="2">
        <v>44739.0</v>
      </c>
      <c r="C9113" s="3">
        <v>0.6877083333333334</v>
      </c>
      <c r="D9113" s="1">
        <v>12.961326</v>
      </c>
      <c r="E9113" s="1">
        <v>80.145671</v>
      </c>
      <c r="F9113" s="1">
        <v>5339.0</v>
      </c>
      <c r="G9113" s="1">
        <v>43.0</v>
      </c>
    </row>
    <row r="9114">
      <c r="A9114" s="1" t="s">
        <v>8</v>
      </c>
      <c r="B9114" s="2">
        <v>44739.0</v>
      </c>
      <c r="C9114" s="3">
        <v>0.6877199074074074</v>
      </c>
      <c r="D9114" s="1">
        <v>12.961326</v>
      </c>
      <c r="E9114" s="1">
        <v>80.145671</v>
      </c>
      <c r="F9114" s="1">
        <v>5339.0</v>
      </c>
      <c r="G9114" s="1">
        <v>43.0</v>
      </c>
    </row>
    <row r="9115">
      <c r="A9115" s="1" t="s">
        <v>8</v>
      </c>
      <c r="B9115" s="2">
        <v>44739.0</v>
      </c>
      <c r="C9115" s="3">
        <v>0.6877199074074074</v>
      </c>
      <c r="D9115" s="1">
        <v>12.961326</v>
      </c>
      <c r="E9115" s="1">
        <v>80.145671</v>
      </c>
      <c r="F9115" s="1">
        <v>5339.0</v>
      </c>
      <c r="G9115" s="1">
        <v>43.0</v>
      </c>
    </row>
    <row r="9116">
      <c r="A9116" s="1" t="s">
        <v>8</v>
      </c>
      <c r="B9116" s="2">
        <v>44739.0</v>
      </c>
      <c r="C9116" s="3">
        <v>0.6878009259259259</v>
      </c>
      <c r="D9116" s="1">
        <v>12.961434</v>
      </c>
      <c r="E9116" s="1">
        <v>80.145751</v>
      </c>
      <c r="F9116" s="1">
        <v>805.0</v>
      </c>
      <c r="G9116" s="1">
        <v>51.0</v>
      </c>
    </row>
    <row r="9117">
      <c r="A9117" s="1" t="s">
        <v>9</v>
      </c>
      <c r="B9117" s="2">
        <v>44739.0</v>
      </c>
      <c r="C9117" s="3">
        <v>0.6878125</v>
      </c>
      <c r="D9117" s="1">
        <v>12.765552</v>
      </c>
      <c r="E9117" s="1">
        <v>80.005233</v>
      </c>
      <c r="F9117" s="1">
        <v>2846.0</v>
      </c>
      <c r="G9117" s="1">
        <v>49.0</v>
      </c>
    </row>
    <row r="9118">
      <c r="A9118" s="1" t="s">
        <v>8</v>
      </c>
      <c r="B9118" s="2">
        <v>44739.0</v>
      </c>
      <c r="C9118" s="3">
        <v>0.6878240740740741</v>
      </c>
      <c r="D9118" s="1">
        <v>12.961434</v>
      </c>
      <c r="E9118" s="1">
        <v>80.145751</v>
      </c>
      <c r="F9118" s="1">
        <v>805.0</v>
      </c>
      <c r="G9118" s="1">
        <v>51.0</v>
      </c>
    </row>
    <row r="9119">
      <c r="A9119" s="1" t="s">
        <v>8</v>
      </c>
      <c r="B9119" s="2">
        <v>44739.0</v>
      </c>
      <c r="C9119" s="3">
        <v>0.6878472222222223</v>
      </c>
      <c r="D9119" s="1">
        <v>12.963026</v>
      </c>
      <c r="E9119" s="1">
        <v>80.146608</v>
      </c>
      <c r="F9119" s="1">
        <v>5339.0</v>
      </c>
      <c r="G9119" s="1">
        <v>56.0</v>
      </c>
    </row>
    <row r="9120">
      <c r="A9120" s="1" t="s">
        <v>8</v>
      </c>
      <c r="B9120" s="2">
        <v>44739.0</v>
      </c>
      <c r="C9120" s="3">
        <v>0.687962962962963</v>
      </c>
      <c r="D9120" s="1">
        <v>12.963243</v>
      </c>
      <c r="E9120" s="1">
        <v>80.146714</v>
      </c>
      <c r="F9120" s="1">
        <v>805.0</v>
      </c>
      <c r="G9120" s="1">
        <v>42.0</v>
      </c>
    </row>
    <row r="9121">
      <c r="A9121" s="1" t="s">
        <v>8</v>
      </c>
      <c r="B9121" s="2">
        <v>44739.0</v>
      </c>
      <c r="C9121" s="3">
        <v>0.6882060185185185</v>
      </c>
      <c r="D9121" s="1">
        <v>12.965182</v>
      </c>
      <c r="E9121" s="1">
        <v>80.147948</v>
      </c>
      <c r="F9121" s="1">
        <v>5339.0</v>
      </c>
      <c r="G9121" s="1">
        <v>34.0</v>
      </c>
    </row>
    <row r="9122">
      <c r="A9122" s="1" t="s">
        <v>8</v>
      </c>
      <c r="B9122" s="2">
        <v>44739.0</v>
      </c>
      <c r="C9122" s="3">
        <v>0.6882638888888889</v>
      </c>
      <c r="D9122" s="1">
        <v>12.965182</v>
      </c>
      <c r="E9122" s="1">
        <v>80.147948</v>
      </c>
      <c r="F9122" s="1">
        <v>5339.0</v>
      </c>
      <c r="G9122" s="1">
        <v>34.0</v>
      </c>
    </row>
    <row r="9123">
      <c r="A9123" s="1" t="s">
        <v>8</v>
      </c>
      <c r="B9123" s="2">
        <v>44739.0</v>
      </c>
      <c r="C9123" s="3">
        <v>0.6882870370370371</v>
      </c>
      <c r="D9123" s="1">
        <v>12.965284</v>
      </c>
      <c r="E9123" s="1">
        <v>80.147983</v>
      </c>
      <c r="F9123" s="1">
        <v>805.0</v>
      </c>
      <c r="G9123" s="1">
        <v>34.0</v>
      </c>
    </row>
    <row r="9124">
      <c r="A9124" s="1" t="s">
        <v>8</v>
      </c>
      <c r="B9124" s="2">
        <v>44739.0</v>
      </c>
      <c r="C9124" s="3">
        <v>0.6883333333333334</v>
      </c>
      <c r="D9124" s="1">
        <v>12.965182</v>
      </c>
      <c r="E9124" s="1">
        <v>80.147948</v>
      </c>
      <c r="F9124" s="1">
        <v>5339.0</v>
      </c>
      <c r="G9124" s="1">
        <v>34.0</v>
      </c>
    </row>
    <row r="9125">
      <c r="A9125" s="1" t="s">
        <v>8</v>
      </c>
      <c r="B9125" s="2">
        <v>44739.0</v>
      </c>
      <c r="C9125" s="3">
        <v>0.6883333333333334</v>
      </c>
      <c r="D9125" s="1">
        <v>12.767695</v>
      </c>
      <c r="E9125" s="1">
        <v>80.006166</v>
      </c>
      <c r="F9125" s="1">
        <v>2846.0</v>
      </c>
      <c r="G9125" s="1">
        <v>49.0</v>
      </c>
    </row>
    <row r="9126">
      <c r="A9126" s="1" t="s">
        <v>9</v>
      </c>
      <c r="B9126" s="2">
        <v>44739.0</v>
      </c>
      <c r="C9126" s="3">
        <v>0.6884953703703703</v>
      </c>
      <c r="D9126" s="1">
        <v>12.967858</v>
      </c>
      <c r="E9126" s="1">
        <v>80.149305</v>
      </c>
      <c r="F9126" s="1">
        <v>5339.0</v>
      </c>
      <c r="G9126" s="1">
        <v>44.0</v>
      </c>
    </row>
    <row r="9127">
      <c r="A9127" s="1" t="s">
        <v>7</v>
      </c>
      <c r="B9127" s="2">
        <v>44739.0</v>
      </c>
      <c r="C9127" s="3">
        <v>0.6885416666666667</v>
      </c>
      <c r="D9127" s="1">
        <v>12.967858</v>
      </c>
      <c r="E9127" s="1">
        <v>80.149305</v>
      </c>
      <c r="F9127" s="1">
        <v>5339.0</v>
      </c>
      <c r="G9127" s="1">
        <v>44.0</v>
      </c>
    </row>
    <row r="9128">
      <c r="A9128" s="1" t="s">
        <v>8</v>
      </c>
      <c r="B9128" s="2">
        <v>44739.0</v>
      </c>
      <c r="C9128" s="3">
        <v>0.6886226851851852</v>
      </c>
      <c r="D9128" s="1">
        <v>12.967858</v>
      </c>
      <c r="E9128" s="1">
        <v>80.149305</v>
      </c>
      <c r="F9128" s="1">
        <v>5339.0</v>
      </c>
      <c r="G9128" s="1">
        <v>44.0</v>
      </c>
    </row>
    <row r="9129">
      <c r="A9129" s="1" t="s">
        <v>8</v>
      </c>
      <c r="B9129" s="2">
        <v>44739.0</v>
      </c>
      <c r="C9129" s="3">
        <v>0.6886921296296297</v>
      </c>
      <c r="D9129" s="1">
        <v>12.968212</v>
      </c>
      <c r="E9129" s="1">
        <v>80.149463</v>
      </c>
      <c r="F9129" s="1">
        <v>805.0</v>
      </c>
      <c r="G9129" s="1">
        <v>51.0</v>
      </c>
    </row>
    <row r="9130">
      <c r="A9130" s="1" t="s">
        <v>8</v>
      </c>
      <c r="B9130" s="2">
        <v>44739.0</v>
      </c>
      <c r="C9130" s="3">
        <v>0.6888078703703704</v>
      </c>
      <c r="D9130" s="1">
        <v>12.969524</v>
      </c>
      <c r="E9130" s="1">
        <v>80.150074</v>
      </c>
      <c r="F9130" s="1">
        <v>5339.0</v>
      </c>
      <c r="G9130" s="1">
        <v>55.0</v>
      </c>
    </row>
    <row r="9131">
      <c r="A9131" s="1" t="s">
        <v>9</v>
      </c>
      <c r="B9131" s="2">
        <v>44739.0</v>
      </c>
      <c r="C9131" s="3">
        <v>0.6888078703703704</v>
      </c>
      <c r="D9131" s="1">
        <v>12.969921</v>
      </c>
      <c r="E9131" s="1">
        <v>80.150275</v>
      </c>
      <c r="F9131" s="1">
        <v>805.0</v>
      </c>
      <c r="G9131" s="1">
        <v>49.0</v>
      </c>
    </row>
    <row r="9132">
      <c r="A9132" s="1" t="s">
        <v>7</v>
      </c>
      <c r="B9132" s="2">
        <v>44739.0</v>
      </c>
      <c r="C9132" s="3">
        <v>0.6888657407407407</v>
      </c>
      <c r="D9132" s="1">
        <v>12.971387</v>
      </c>
      <c r="E9132" s="1">
        <v>80.150975</v>
      </c>
      <c r="F9132" s="1">
        <v>5339.0</v>
      </c>
      <c r="G9132" s="1">
        <v>52.0</v>
      </c>
    </row>
    <row r="9133">
      <c r="A9133" s="1" t="s">
        <v>8</v>
      </c>
      <c r="B9133" s="2">
        <v>44739.0</v>
      </c>
      <c r="C9133" s="3">
        <v>0.6889583333333333</v>
      </c>
      <c r="D9133" s="1">
        <v>12.971702</v>
      </c>
      <c r="E9133" s="1">
        <v>80.151117</v>
      </c>
      <c r="F9133" s="1">
        <v>805.0</v>
      </c>
      <c r="G9133" s="1">
        <v>53.0</v>
      </c>
    </row>
    <row r="9134">
      <c r="A9134" s="1" t="s">
        <v>7</v>
      </c>
      <c r="B9134" s="2">
        <v>44739.0</v>
      </c>
      <c r="C9134" s="3">
        <v>0.6889699074074074</v>
      </c>
      <c r="D9134" s="1">
        <v>12.971387</v>
      </c>
      <c r="E9134" s="1">
        <v>80.150975</v>
      </c>
      <c r="F9134" s="1">
        <v>5339.0</v>
      </c>
      <c r="G9134" s="1">
        <v>52.0</v>
      </c>
    </row>
    <row r="9135">
      <c r="A9135" s="1" t="s">
        <v>8</v>
      </c>
      <c r="B9135" s="2">
        <v>44739.0</v>
      </c>
      <c r="C9135" s="3">
        <v>0.6890625</v>
      </c>
      <c r="D9135" s="1">
        <v>12.972766</v>
      </c>
      <c r="E9135" s="1">
        <v>80.152234</v>
      </c>
      <c r="F9135" s="1">
        <v>5339.0</v>
      </c>
      <c r="G9135" s="1">
        <v>38.0</v>
      </c>
    </row>
    <row r="9136">
      <c r="A9136" s="1" t="s">
        <v>8</v>
      </c>
      <c r="B9136" s="2">
        <v>44739.0</v>
      </c>
      <c r="C9136" s="3">
        <v>0.6890972222222222</v>
      </c>
      <c r="D9136" s="1">
        <v>12.971702</v>
      </c>
      <c r="E9136" s="1">
        <v>80.151117</v>
      </c>
      <c r="F9136" s="1">
        <v>805.0</v>
      </c>
      <c r="G9136" s="1">
        <v>53.0</v>
      </c>
    </row>
    <row r="9137">
      <c r="A9137" s="1" t="s">
        <v>8</v>
      </c>
      <c r="B9137" s="2">
        <v>44739.0</v>
      </c>
      <c r="C9137" s="3">
        <v>0.6891087962962963</v>
      </c>
      <c r="D9137" s="1">
        <v>12.972766</v>
      </c>
      <c r="E9137" s="1">
        <v>80.152234</v>
      </c>
      <c r="F9137" s="1">
        <v>5339.0</v>
      </c>
      <c r="G9137" s="1">
        <v>38.0</v>
      </c>
    </row>
    <row r="9138">
      <c r="A9138" s="1" t="s">
        <v>8</v>
      </c>
      <c r="B9138" s="2">
        <v>44739.0</v>
      </c>
      <c r="C9138" s="3">
        <v>0.6892476851851852</v>
      </c>
      <c r="D9138" s="1">
        <v>12.972961</v>
      </c>
      <c r="E9138" s="1">
        <v>80.152516</v>
      </c>
      <c r="F9138" s="1">
        <v>805.0</v>
      </c>
      <c r="G9138" s="1">
        <v>46.0</v>
      </c>
    </row>
    <row r="9139">
      <c r="A9139" s="1" t="s">
        <v>8</v>
      </c>
      <c r="B9139" s="2">
        <v>44739.0</v>
      </c>
      <c r="C9139" s="3">
        <v>0.6892476851851852</v>
      </c>
      <c r="D9139" s="1">
        <v>12.973686</v>
      </c>
      <c r="E9139" s="1">
        <v>80.153635</v>
      </c>
      <c r="F9139" s="1">
        <v>5339.0</v>
      </c>
      <c r="G9139" s="1">
        <v>52.0</v>
      </c>
    </row>
    <row r="9140">
      <c r="A9140" s="1" t="s">
        <v>8</v>
      </c>
      <c r="B9140" s="2">
        <v>44739.0</v>
      </c>
      <c r="C9140" s="3">
        <v>0.6894212962962963</v>
      </c>
      <c r="D9140" s="1">
        <v>12.973877</v>
      </c>
      <c r="E9140" s="1">
        <v>80.153927</v>
      </c>
      <c r="F9140" s="1">
        <v>805.0</v>
      </c>
      <c r="G9140" s="1">
        <v>50.0</v>
      </c>
    </row>
    <row r="9141">
      <c r="A9141" s="1" t="s">
        <v>7</v>
      </c>
      <c r="B9141" s="2">
        <v>44739.0</v>
      </c>
      <c r="C9141" s="3">
        <v>0.6894907407407408</v>
      </c>
      <c r="D9141" s="1">
        <v>12.974946</v>
      </c>
      <c r="E9141" s="1">
        <v>80.155448</v>
      </c>
      <c r="F9141" s="1">
        <v>5339.0</v>
      </c>
      <c r="G9141" s="1">
        <v>50.0</v>
      </c>
    </row>
    <row r="9142">
      <c r="A9142" s="1" t="s">
        <v>8</v>
      </c>
      <c r="B9142" s="2">
        <v>44739.0</v>
      </c>
      <c r="C9142" s="3">
        <v>0.6895023148148148</v>
      </c>
      <c r="D9142" s="1">
        <v>12.753581</v>
      </c>
      <c r="E9142" s="1">
        <v>80.000475</v>
      </c>
      <c r="F9142" s="1">
        <v>2846.0</v>
      </c>
      <c r="G9142" s="1">
        <v>55.0</v>
      </c>
    </row>
    <row r="9143">
      <c r="A9143" s="1" t="s">
        <v>8</v>
      </c>
      <c r="B9143" s="2">
        <v>44739.0</v>
      </c>
      <c r="C9143" s="3">
        <v>0.6895601851851851</v>
      </c>
      <c r="D9143" s="1">
        <v>12.975835</v>
      </c>
      <c r="E9143" s="1">
        <v>80.15669</v>
      </c>
      <c r="F9143" s="1">
        <v>5339.0</v>
      </c>
      <c r="G9143" s="1">
        <v>43.0</v>
      </c>
    </row>
    <row r="9144">
      <c r="A9144" s="1" t="s">
        <v>8</v>
      </c>
      <c r="B9144" s="2">
        <v>44739.0</v>
      </c>
      <c r="C9144" s="3">
        <v>0.6896527777777778</v>
      </c>
      <c r="D9144" s="1">
        <v>12.975902</v>
      </c>
      <c r="E9144" s="1">
        <v>80.156844</v>
      </c>
      <c r="F9144" s="1">
        <v>805.0</v>
      </c>
      <c r="G9144" s="1">
        <v>44.0</v>
      </c>
    </row>
    <row r="9145">
      <c r="A9145" s="1" t="s">
        <v>8</v>
      </c>
      <c r="B9145" s="2">
        <v>44739.0</v>
      </c>
      <c r="C9145" s="3">
        <v>0.6897685185185185</v>
      </c>
      <c r="D9145" s="1">
        <v>12.975902</v>
      </c>
      <c r="E9145" s="1">
        <v>80.156844</v>
      </c>
      <c r="F9145" s="1">
        <v>805.0</v>
      </c>
      <c r="G9145" s="1">
        <v>44.0</v>
      </c>
    </row>
    <row r="9146">
      <c r="A9146" s="1" t="s">
        <v>7</v>
      </c>
      <c r="B9146" s="2">
        <v>44739.0</v>
      </c>
      <c r="C9146" s="3">
        <v>0.6899189814814815</v>
      </c>
      <c r="D9146" s="1">
        <v>12.749259</v>
      </c>
      <c r="E9146" s="1">
        <v>79.997395</v>
      </c>
      <c r="F9146" s="1">
        <v>2846.0</v>
      </c>
      <c r="G9146" s="1">
        <v>51.0</v>
      </c>
    </row>
    <row r="9147">
      <c r="A9147" s="1" t="s">
        <v>7</v>
      </c>
      <c r="B9147" s="2">
        <v>44739.0</v>
      </c>
      <c r="C9147" s="3">
        <v>0.690150462962963</v>
      </c>
      <c r="D9147" s="1">
        <v>12.977763</v>
      </c>
      <c r="E9147" s="1">
        <v>80.159622</v>
      </c>
      <c r="F9147" s="1">
        <v>5339.0</v>
      </c>
      <c r="G9147" s="1">
        <v>59.0</v>
      </c>
    </row>
    <row r="9148">
      <c r="A9148" s="1" t="s">
        <v>7</v>
      </c>
      <c r="B9148" s="2">
        <v>44739.0</v>
      </c>
      <c r="C9148" s="3">
        <v>0.6902199074074075</v>
      </c>
      <c r="D9148" s="1">
        <v>12.978958</v>
      </c>
      <c r="E9148" s="1">
        <v>80.161272</v>
      </c>
      <c r="F9148" s="1">
        <v>805.0</v>
      </c>
      <c r="G9148" s="1">
        <v>44.0</v>
      </c>
    </row>
    <row r="9149">
      <c r="A9149" s="1" t="s">
        <v>7</v>
      </c>
      <c r="B9149" s="2">
        <v>44739.0</v>
      </c>
      <c r="C9149" s="3">
        <v>0.6903125</v>
      </c>
      <c r="D9149" s="1">
        <v>12.978958</v>
      </c>
      <c r="E9149" s="1">
        <v>80.161272</v>
      </c>
      <c r="F9149" s="1">
        <v>805.0</v>
      </c>
      <c r="G9149" s="1">
        <v>44.0</v>
      </c>
    </row>
    <row r="9150">
      <c r="A9150" s="1" t="s">
        <v>8</v>
      </c>
      <c r="B9150" s="2">
        <v>44739.0</v>
      </c>
      <c r="C9150" s="3">
        <v>0.6904166666666667</v>
      </c>
      <c r="D9150" s="1">
        <v>12.977934</v>
      </c>
      <c r="E9150" s="1">
        <v>80.159822</v>
      </c>
      <c r="F9150" s="1">
        <v>805.0</v>
      </c>
      <c r="G9150" s="1">
        <v>55.0</v>
      </c>
    </row>
    <row r="9151">
      <c r="A9151" s="1" t="s">
        <v>8</v>
      </c>
      <c r="B9151" s="2">
        <v>44739.0</v>
      </c>
      <c r="C9151" s="3">
        <v>0.6905208333333334</v>
      </c>
      <c r="D9151" s="1">
        <v>12.978958</v>
      </c>
      <c r="E9151" s="1">
        <v>80.161272</v>
      </c>
      <c r="F9151" s="1">
        <v>805.0</v>
      </c>
      <c r="G9151" s="1">
        <v>44.0</v>
      </c>
    </row>
    <row r="9152">
      <c r="A9152" s="1" t="s">
        <v>7</v>
      </c>
      <c r="B9152" s="2">
        <v>44739.0</v>
      </c>
      <c r="C9152" s="3">
        <v>0.6905555555555556</v>
      </c>
      <c r="D9152" s="1">
        <v>12.980554</v>
      </c>
      <c r="E9152" s="1">
        <v>80.164925</v>
      </c>
      <c r="F9152" s="1">
        <v>5339.0</v>
      </c>
      <c r="G9152" s="1">
        <v>59.0</v>
      </c>
    </row>
    <row r="9153">
      <c r="A9153" s="1" t="s">
        <v>8</v>
      </c>
      <c r="B9153" s="2">
        <v>44739.0</v>
      </c>
      <c r="C9153" s="3">
        <v>0.6905555555555556</v>
      </c>
      <c r="D9153" s="1">
        <v>12.980554</v>
      </c>
      <c r="E9153" s="1">
        <v>80.164925</v>
      </c>
      <c r="F9153" s="1">
        <v>5339.0</v>
      </c>
      <c r="G9153" s="1">
        <v>59.0</v>
      </c>
    </row>
    <row r="9154">
      <c r="A9154" s="1" t="s">
        <v>8</v>
      </c>
      <c r="B9154" s="2">
        <v>44739.0</v>
      </c>
      <c r="C9154" s="3">
        <v>0.6905555555555556</v>
      </c>
      <c r="D9154" s="1">
        <v>12.744255</v>
      </c>
      <c r="E9154" s="1">
        <v>79.993391</v>
      </c>
      <c r="F9154" s="1">
        <v>2846.0</v>
      </c>
      <c r="G9154" s="1">
        <v>46.0</v>
      </c>
    </row>
    <row r="9155">
      <c r="A9155" s="1" t="s">
        <v>7</v>
      </c>
      <c r="B9155" s="2">
        <v>44739.0</v>
      </c>
      <c r="C9155" s="3">
        <v>0.690625</v>
      </c>
      <c r="D9155" s="1">
        <v>12.978958</v>
      </c>
      <c r="E9155" s="1">
        <v>80.161272</v>
      </c>
      <c r="F9155" s="1">
        <v>805.0</v>
      </c>
      <c r="G9155" s="1">
        <v>44.0</v>
      </c>
    </row>
    <row r="9156">
      <c r="A9156" s="1" t="s">
        <v>7</v>
      </c>
      <c r="B9156" s="2">
        <v>44739.0</v>
      </c>
      <c r="C9156" s="3">
        <v>0.6908217592592593</v>
      </c>
      <c r="D9156" s="1">
        <v>12.981581</v>
      </c>
      <c r="E9156" s="1">
        <v>80.166792</v>
      </c>
      <c r="F9156" s="1">
        <v>805.0</v>
      </c>
      <c r="G9156" s="1">
        <v>58.0</v>
      </c>
    </row>
    <row r="9157">
      <c r="A9157" s="1" t="s">
        <v>8</v>
      </c>
      <c r="B9157" s="2">
        <v>44739.0</v>
      </c>
      <c r="C9157" s="3">
        <v>0.6908796296296297</v>
      </c>
      <c r="D9157" s="1">
        <v>12.9826</v>
      </c>
      <c r="E9157" s="1">
        <v>80.168507</v>
      </c>
      <c r="F9157" s="1">
        <v>805.0</v>
      </c>
      <c r="G9157" s="1">
        <v>50.0</v>
      </c>
    </row>
    <row r="9158">
      <c r="A9158" s="1" t="s">
        <v>8</v>
      </c>
      <c r="B9158" s="2">
        <v>44739.0</v>
      </c>
      <c r="C9158" s="3">
        <v>0.6909143518518519</v>
      </c>
      <c r="D9158" s="1">
        <v>12.9826</v>
      </c>
      <c r="E9158" s="1">
        <v>80.168507</v>
      </c>
      <c r="F9158" s="1">
        <v>805.0</v>
      </c>
      <c r="G9158" s="1">
        <v>50.0</v>
      </c>
    </row>
    <row r="9159">
      <c r="A9159" s="1" t="s">
        <v>8</v>
      </c>
      <c r="B9159" s="2">
        <v>44739.0</v>
      </c>
      <c r="C9159" s="3">
        <v>0.6911574074074074</v>
      </c>
      <c r="D9159" s="1">
        <v>12.984979</v>
      </c>
      <c r="E9159" s="1">
        <v>80.172488</v>
      </c>
      <c r="F9159" s="1">
        <v>5339.0</v>
      </c>
      <c r="G9159" s="1">
        <v>36.0</v>
      </c>
    </row>
    <row r="9160">
      <c r="A9160" s="1" t="s">
        <v>8</v>
      </c>
      <c r="B9160" s="2">
        <v>44739.0</v>
      </c>
      <c r="C9160" s="3">
        <v>0.69125</v>
      </c>
      <c r="D9160" s="1">
        <v>12.984979</v>
      </c>
      <c r="E9160" s="1">
        <v>80.172488</v>
      </c>
      <c r="F9160" s="1">
        <v>5339.0</v>
      </c>
      <c r="G9160" s="1">
        <v>36.0</v>
      </c>
    </row>
    <row r="9161">
      <c r="A9161" s="1" t="s">
        <v>8</v>
      </c>
      <c r="B9161" s="2">
        <v>44739.0</v>
      </c>
      <c r="C9161" s="3">
        <v>0.69125</v>
      </c>
      <c r="D9161" s="1">
        <v>12.984979</v>
      </c>
      <c r="E9161" s="1">
        <v>80.172488</v>
      </c>
      <c r="F9161" s="1">
        <v>5339.0</v>
      </c>
      <c r="G9161" s="1">
        <v>36.0</v>
      </c>
    </row>
    <row r="9162">
      <c r="A9162" s="1" t="s">
        <v>8</v>
      </c>
      <c r="B9162" s="2">
        <v>44739.0</v>
      </c>
      <c r="C9162" s="3">
        <v>0.6914930555555555</v>
      </c>
      <c r="D9162" s="1">
        <v>12.98567</v>
      </c>
      <c r="E9162" s="1">
        <v>80.173443</v>
      </c>
      <c r="F9162" s="1">
        <v>5339.0</v>
      </c>
      <c r="G9162" s="1">
        <v>18.0</v>
      </c>
    </row>
    <row r="9163">
      <c r="A9163" s="1" t="s">
        <v>7</v>
      </c>
      <c r="B9163" s="2">
        <v>44739.0</v>
      </c>
      <c r="C9163" s="3">
        <v>0.6916087962962963</v>
      </c>
      <c r="D9163" s="1">
        <v>12.738091</v>
      </c>
      <c r="E9163" s="1">
        <v>79.988478</v>
      </c>
      <c r="F9163" s="1">
        <v>2846.0</v>
      </c>
      <c r="G9163" s="1">
        <v>58.0</v>
      </c>
    </row>
    <row r="9164">
      <c r="A9164" s="1" t="s">
        <v>8</v>
      </c>
      <c r="B9164" s="2">
        <v>44739.0</v>
      </c>
      <c r="C9164" s="3">
        <v>0.6917939814814815</v>
      </c>
      <c r="D9164" s="1">
        <v>12.986722</v>
      </c>
      <c r="E9164" s="1">
        <v>80.175028</v>
      </c>
      <c r="F9164" s="1">
        <v>5339.0</v>
      </c>
      <c r="G9164" s="1">
        <v>28.0</v>
      </c>
    </row>
    <row r="9165">
      <c r="A9165" s="1" t="s">
        <v>8</v>
      </c>
      <c r="B9165" s="2">
        <v>44739.0</v>
      </c>
      <c r="C9165" s="3">
        <v>0.6919560185185185</v>
      </c>
      <c r="D9165" s="1">
        <v>12.987186</v>
      </c>
      <c r="E9165" s="1">
        <v>80.175694</v>
      </c>
      <c r="F9165" s="1">
        <v>805.0</v>
      </c>
      <c r="G9165" s="1">
        <v>15.0</v>
      </c>
    </row>
    <row r="9166">
      <c r="A9166" s="1" t="s">
        <v>8</v>
      </c>
      <c r="B9166" s="2">
        <v>44739.0</v>
      </c>
      <c r="C9166" s="3">
        <v>0.692037037037037</v>
      </c>
      <c r="D9166" s="1">
        <v>12.734226</v>
      </c>
      <c r="E9166" s="1">
        <v>79.985063</v>
      </c>
      <c r="F9166" s="1">
        <v>2846.0</v>
      </c>
      <c r="G9166" s="1">
        <v>40.0</v>
      </c>
    </row>
    <row r="9167">
      <c r="A9167" s="1" t="s">
        <v>9</v>
      </c>
      <c r="B9167" s="2">
        <v>44739.0</v>
      </c>
      <c r="C9167" s="3">
        <v>0.6920717592592592</v>
      </c>
      <c r="D9167" s="1">
        <v>12.734226</v>
      </c>
      <c r="E9167" s="1">
        <v>79.985063</v>
      </c>
      <c r="F9167" s="1">
        <v>2846.0</v>
      </c>
      <c r="G9167" s="1">
        <v>40.0</v>
      </c>
    </row>
    <row r="9168">
      <c r="A9168" s="1" t="s">
        <v>8</v>
      </c>
      <c r="B9168" s="2">
        <v>44739.0</v>
      </c>
      <c r="C9168" s="3">
        <v>0.6921990740740741</v>
      </c>
      <c r="D9168" s="1">
        <v>12.987568</v>
      </c>
      <c r="E9168" s="1">
        <v>80.176235</v>
      </c>
      <c r="F9168" s="1">
        <v>805.0</v>
      </c>
      <c r="G9168" s="1">
        <v>31.0</v>
      </c>
    </row>
    <row r="9169">
      <c r="A9169" s="1" t="s">
        <v>8</v>
      </c>
      <c r="B9169" s="2">
        <v>44739.0</v>
      </c>
      <c r="C9169" s="3">
        <v>0.6922106481481481</v>
      </c>
      <c r="D9169" s="1">
        <v>12.987568</v>
      </c>
      <c r="E9169" s="1">
        <v>80.176235</v>
      </c>
      <c r="F9169" s="1">
        <v>805.0</v>
      </c>
      <c r="G9169" s="1">
        <v>31.0</v>
      </c>
    </row>
    <row r="9170">
      <c r="A9170" s="1" t="s">
        <v>8</v>
      </c>
      <c r="B9170" s="2">
        <v>44739.0</v>
      </c>
      <c r="C9170" s="3">
        <v>0.6922569444444444</v>
      </c>
      <c r="D9170" s="1">
        <v>12.988118</v>
      </c>
      <c r="E9170" s="1">
        <v>80.177019</v>
      </c>
      <c r="F9170" s="1">
        <v>5339.0</v>
      </c>
      <c r="G9170" s="1">
        <v>38.0</v>
      </c>
    </row>
    <row r="9171">
      <c r="A9171" s="1" t="s">
        <v>7</v>
      </c>
      <c r="B9171" s="2">
        <v>44739.0</v>
      </c>
      <c r="C9171" s="3">
        <v>0.6926157407407407</v>
      </c>
      <c r="D9171" s="1">
        <v>12.729597</v>
      </c>
      <c r="E9171" s="1">
        <v>79.982906</v>
      </c>
      <c r="F9171" s="1">
        <v>2846.0</v>
      </c>
      <c r="G9171" s="1">
        <v>48.0</v>
      </c>
    </row>
    <row r="9172">
      <c r="A9172" s="1" t="s">
        <v>8</v>
      </c>
      <c r="B9172" s="2">
        <v>44739.0</v>
      </c>
      <c r="C9172" s="3">
        <v>0.6928009259259259</v>
      </c>
      <c r="D9172" s="1">
        <v>12.726888</v>
      </c>
      <c r="E9172" s="1">
        <v>79.982616</v>
      </c>
      <c r="F9172" s="1">
        <v>2846.0</v>
      </c>
      <c r="G9172" s="1">
        <v>53.0</v>
      </c>
    </row>
    <row r="9173">
      <c r="A9173" s="1" t="s">
        <v>8</v>
      </c>
      <c r="B9173" s="2">
        <v>44739.0</v>
      </c>
      <c r="C9173" s="3">
        <v>0.6935300925925926</v>
      </c>
      <c r="D9173" s="1">
        <v>12.993241</v>
      </c>
      <c r="E9173" s="1">
        <v>80.18405</v>
      </c>
      <c r="F9173" s="1">
        <v>805.0</v>
      </c>
      <c r="G9173" s="1">
        <v>12.0</v>
      </c>
    </row>
    <row r="9174">
      <c r="A9174" s="1" t="s">
        <v>8</v>
      </c>
      <c r="B9174" s="2">
        <v>44739.0</v>
      </c>
      <c r="C9174" s="3">
        <v>0.693587962962963</v>
      </c>
      <c r="D9174" s="1">
        <v>12.993452</v>
      </c>
      <c r="E9174" s="1">
        <v>80.184436</v>
      </c>
      <c r="F9174" s="1">
        <v>805.0</v>
      </c>
      <c r="G9174" s="1">
        <v>0.0</v>
      </c>
    </row>
    <row r="9175">
      <c r="A9175" s="1" t="s">
        <v>8</v>
      </c>
      <c r="B9175" s="2">
        <v>44739.0</v>
      </c>
      <c r="C9175" s="3">
        <v>0.693599537037037</v>
      </c>
      <c r="D9175" s="1">
        <v>12.993559</v>
      </c>
      <c r="E9175" s="1">
        <v>80.184609</v>
      </c>
      <c r="F9175" s="1">
        <v>5339.0</v>
      </c>
      <c r="G9175" s="1">
        <v>7.0</v>
      </c>
    </row>
    <row r="9176">
      <c r="A9176" s="1" t="s">
        <v>7</v>
      </c>
      <c r="B9176" s="2">
        <v>44739.0</v>
      </c>
      <c r="C9176" s="3">
        <v>0.6937731481481482</v>
      </c>
      <c r="D9176" s="1">
        <v>12.993589</v>
      </c>
      <c r="E9176" s="1">
        <v>80.18467</v>
      </c>
      <c r="F9176" s="1">
        <v>805.0</v>
      </c>
      <c r="G9176" s="1">
        <v>6.0</v>
      </c>
    </row>
    <row r="9177">
      <c r="A9177" s="1" t="s">
        <v>8</v>
      </c>
      <c r="B9177" s="2">
        <v>44739.0</v>
      </c>
      <c r="C9177" s="3">
        <v>0.6939467592592593</v>
      </c>
      <c r="D9177" s="1">
        <v>12.994101</v>
      </c>
      <c r="E9177" s="1">
        <v>80.185625</v>
      </c>
      <c r="F9177" s="1">
        <v>5339.0</v>
      </c>
      <c r="G9177" s="1">
        <v>32.0</v>
      </c>
    </row>
    <row r="9178">
      <c r="A9178" s="1" t="s">
        <v>8</v>
      </c>
      <c r="B9178" s="2">
        <v>44739.0</v>
      </c>
      <c r="C9178" s="3">
        <v>0.6940162037037036</v>
      </c>
      <c r="D9178" s="1">
        <v>12.994101</v>
      </c>
      <c r="E9178" s="1">
        <v>80.185625</v>
      </c>
      <c r="F9178" s="1">
        <v>5339.0</v>
      </c>
      <c r="G9178" s="1">
        <v>32.0</v>
      </c>
    </row>
    <row r="9179">
      <c r="A9179" s="1" t="s">
        <v>8</v>
      </c>
      <c r="B9179" s="2">
        <v>44739.0</v>
      </c>
      <c r="C9179" s="3">
        <v>0.6941087962962963</v>
      </c>
      <c r="D9179" s="1">
        <v>12.994409</v>
      </c>
      <c r="E9179" s="1">
        <v>80.186211</v>
      </c>
      <c r="F9179" s="1">
        <v>805.0</v>
      </c>
      <c r="G9179" s="1">
        <v>45.0</v>
      </c>
    </row>
    <row r="9180">
      <c r="A9180" s="1" t="s">
        <v>8</v>
      </c>
      <c r="B9180" s="2">
        <v>44739.0</v>
      </c>
      <c r="C9180" s="3">
        <v>0.6942013888888889</v>
      </c>
      <c r="D9180" s="1">
        <v>12.994909</v>
      </c>
      <c r="E9180" s="1">
        <v>80.187188</v>
      </c>
      <c r="F9180" s="1">
        <v>5339.0</v>
      </c>
      <c r="G9180" s="1">
        <v>50.0</v>
      </c>
    </row>
    <row r="9181">
      <c r="A9181" s="1" t="s">
        <v>8</v>
      </c>
      <c r="B9181" s="2">
        <v>44739.0</v>
      </c>
      <c r="C9181" s="3">
        <v>0.694375</v>
      </c>
      <c r="D9181" s="1">
        <v>12.995261</v>
      </c>
      <c r="E9181" s="1">
        <v>80.187911</v>
      </c>
      <c r="F9181" s="1">
        <v>805.0</v>
      </c>
      <c r="G9181" s="1">
        <v>54.0</v>
      </c>
    </row>
    <row r="9182">
      <c r="A9182" s="1" t="s">
        <v>9</v>
      </c>
      <c r="B9182" s="2">
        <v>44739.0</v>
      </c>
      <c r="C9182" s="3">
        <v>0.6944097222222222</v>
      </c>
      <c r="D9182" s="1">
        <v>12.996006</v>
      </c>
      <c r="E9182" s="1">
        <v>80.189106</v>
      </c>
      <c r="F9182" s="1">
        <v>5339.0</v>
      </c>
      <c r="G9182" s="1">
        <v>53.0</v>
      </c>
    </row>
    <row r="9183">
      <c r="A9183" s="1" t="s">
        <v>8</v>
      </c>
      <c r="B9183" s="2">
        <v>44739.0</v>
      </c>
      <c r="C9183" s="3">
        <v>0.6945486111111111</v>
      </c>
      <c r="D9183" s="1">
        <v>12.996548</v>
      </c>
      <c r="E9183" s="1">
        <v>80.18982</v>
      </c>
      <c r="F9183" s="1">
        <v>805.0</v>
      </c>
      <c r="G9183" s="1">
        <v>48.0</v>
      </c>
    </row>
    <row r="9184">
      <c r="A9184" s="1" t="s">
        <v>8</v>
      </c>
      <c r="B9184" s="2">
        <v>44739.0</v>
      </c>
      <c r="C9184" s="3">
        <v>0.6947106481481482</v>
      </c>
      <c r="D9184" s="1">
        <v>12.998116</v>
      </c>
      <c r="E9184" s="1">
        <v>80.191718</v>
      </c>
      <c r="F9184" s="1">
        <v>5339.0</v>
      </c>
      <c r="G9184" s="1">
        <v>39.0</v>
      </c>
    </row>
    <row r="9185">
      <c r="A9185" s="1" t="s">
        <v>8</v>
      </c>
      <c r="B9185" s="2">
        <v>44739.0</v>
      </c>
      <c r="C9185" s="3">
        <v>0.6947453703703703</v>
      </c>
      <c r="D9185" s="1">
        <v>12.997583</v>
      </c>
      <c r="E9185" s="1">
        <v>80.191038</v>
      </c>
      <c r="F9185" s="1">
        <v>805.0</v>
      </c>
      <c r="G9185" s="1">
        <v>33.0</v>
      </c>
    </row>
    <row r="9186">
      <c r="A9186" s="1" t="s">
        <v>8</v>
      </c>
      <c r="B9186" s="2">
        <v>44739.0</v>
      </c>
      <c r="C9186" s="3">
        <v>0.6947800925925925</v>
      </c>
      <c r="D9186" s="1">
        <v>12.998116</v>
      </c>
      <c r="E9186" s="1">
        <v>80.191718</v>
      </c>
      <c r="F9186" s="1">
        <v>5339.0</v>
      </c>
      <c r="G9186" s="1">
        <v>39.0</v>
      </c>
    </row>
    <row r="9187">
      <c r="A9187" s="1" t="s">
        <v>7</v>
      </c>
      <c r="B9187" s="2">
        <v>44739.0</v>
      </c>
      <c r="C9187" s="3">
        <v>0.6948032407407407</v>
      </c>
      <c r="D9187" s="1">
        <v>12.71978</v>
      </c>
      <c r="E9187" s="1">
        <v>79.981111</v>
      </c>
      <c r="F9187" s="1">
        <v>2846.0</v>
      </c>
      <c r="G9187" s="1">
        <v>54.0</v>
      </c>
    </row>
    <row r="9188">
      <c r="A9188" s="1" t="s">
        <v>9</v>
      </c>
      <c r="B9188" s="2">
        <v>44739.0</v>
      </c>
      <c r="C9188" s="3">
        <v>0.6948148148148148</v>
      </c>
      <c r="D9188" s="1">
        <v>12.998116</v>
      </c>
      <c r="E9188" s="1">
        <v>80.191718</v>
      </c>
      <c r="F9188" s="1">
        <v>5339.0</v>
      </c>
      <c r="G9188" s="1">
        <v>39.0</v>
      </c>
    </row>
    <row r="9189">
      <c r="A9189" s="1" t="s">
        <v>8</v>
      </c>
      <c r="B9189" s="2">
        <v>44739.0</v>
      </c>
      <c r="C9189" s="3">
        <v>0.6948726851851852</v>
      </c>
      <c r="D9189" s="1">
        <v>12.998453</v>
      </c>
      <c r="E9189" s="1">
        <v>80.192177</v>
      </c>
      <c r="F9189" s="1">
        <v>805.0</v>
      </c>
      <c r="G9189" s="1">
        <v>33.0</v>
      </c>
    </row>
    <row r="9190">
      <c r="A9190" s="1" t="s">
        <v>8</v>
      </c>
      <c r="B9190" s="2">
        <v>44739.0</v>
      </c>
      <c r="C9190" s="3">
        <v>0.6950115740740741</v>
      </c>
      <c r="D9190" s="1">
        <v>12.99906</v>
      </c>
      <c r="E9190" s="1">
        <v>80.192904</v>
      </c>
      <c r="F9190" s="1">
        <v>5339.0</v>
      </c>
      <c r="G9190" s="1">
        <v>33.0</v>
      </c>
    </row>
    <row r="9191">
      <c r="A9191" s="1" t="s">
        <v>8</v>
      </c>
      <c r="B9191" s="2">
        <v>44739.0</v>
      </c>
      <c r="C9191" s="3">
        <v>0.6950115740740741</v>
      </c>
      <c r="D9191" s="1">
        <v>12.99906</v>
      </c>
      <c r="E9191" s="1">
        <v>80.192904</v>
      </c>
      <c r="F9191" s="1">
        <v>5339.0</v>
      </c>
      <c r="G9191" s="1">
        <v>33.0</v>
      </c>
    </row>
    <row r="9192">
      <c r="A9192" s="1" t="s">
        <v>8</v>
      </c>
      <c r="B9192" s="2">
        <v>44739.0</v>
      </c>
      <c r="C9192" s="3">
        <v>0.6951736111111111</v>
      </c>
      <c r="D9192" s="1">
        <v>13.000016</v>
      </c>
      <c r="E9192" s="1">
        <v>80.194058</v>
      </c>
      <c r="F9192" s="1">
        <v>5339.0</v>
      </c>
      <c r="G9192" s="1">
        <v>40.0</v>
      </c>
    </row>
    <row r="9193">
      <c r="A9193" s="1" t="s">
        <v>8</v>
      </c>
      <c r="B9193" s="2">
        <v>44739.0</v>
      </c>
      <c r="C9193" s="3">
        <v>0.695324074074074</v>
      </c>
      <c r="D9193" s="1">
        <v>13.000261</v>
      </c>
      <c r="E9193" s="1">
        <v>80.194408</v>
      </c>
      <c r="F9193" s="1">
        <v>805.0</v>
      </c>
      <c r="G9193" s="1">
        <v>42.0</v>
      </c>
    </row>
    <row r="9194">
      <c r="A9194" s="1" t="s">
        <v>8</v>
      </c>
      <c r="B9194" s="2">
        <v>44739.0</v>
      </c>
      <c r="C9194" s="3">
        <v>0.6953935185185185</v>
      </c>
      <c r="D9194" s="1">
        <v>13.001239</v>
      </c>
      <c r="E9194" s="1">
        <v>80.195583</v>
      </c>
      <c r="F9194" s="1">
        <v>805.0</v>
      </c>
      <c r="G9194" s="1">
        <v>26.0</v>
      </c>
    </row>
    <row r="9195">
      <c r="A9195" s="1" t="s">
        <v>8</v>
      </c>
      <c r="B9195" s="2">
        <v>44739.0</v>
      </c>
      <c r="C9195" s="3">
        <v>0.6955092592592592</v>
      </c>
      <c r="D9195" s="1">
        <v>13.001239</v>
      </c>
      <c r="E9195" s="1">
        <v>80.195583</v>
      </c>
      <c r="F9195" s="1">
        <v>805.0</v>
      </c>
      <c r="G9195" s="1">
        <v>26.0</v>
      </c>
    </row>
    <row r="9196">
      <c r="A9196" s="1" t="s">
        <v>8</v>
      </c>
      <c r="B9196" s="2">
        <v>44739.0</v>
      </c>
      <c r="C9196" s="3">
        <v>0.695787037037037</v>
      </c>
      <c r="D9196" s="1">
        <v>13.001975</v>
      </c>
      <c r="E9196" s="1">
        <v>80.198262</v>
      </c>
      <c r="F9196" s="1">
        <v>805.0</v>
      </c>
      <c r="G9196" s="1">
        <v>47.0</v>
      </c>
    </row>
    <row r="9197">
      <c r="A9197" s="1" t="s">
        <v>7</v>
      </c>
      <c r="B9197" s="2">
        <v>44739.0</v>
      </c>
      <c r="C9197" s="3">
        <v>0.6959837962962963</v>
      </c>
      <c r="D9197" s="1">
        <v>12.709077</v>
      </c>
      <c r="E9197" s="1">
        <v>79.977889</v>
      </c>
      <c r="F9197" s="1">
        <v>2846.0</v>
      </c>
      <c r="G9197" s="1">
        <v>11.0</v>
      </c>
    </row>
    <row r="9198">
      <c r="A9198" s="1" t="s">
        <v>7</v>
      </c>
      <c r="B9198" s="2">
        <v>44739.0</v>
      </c>
      <c r="C9198" s="3">
        <v>0.6960532407407407</v>
      </c>
      <c r="D9198" s="1">
        <v>12.709077</v>
      </c>
      <c r="E9198" s="1">
        <v>79.977889</v>
      </c>
      <c r="F9198" s="1">
        <v>2846.0</v>
      </c>
      <c r="G9198" s="1">
        <v>11.0</v>
      </c>
    </row>
    <row r="9199">
      <c r="A9199" s="1" t="s">
        <v>8</v>
      </c>
      <c r="B9199" s="2">
        <v>44739.0</v>
      </c>
      <c r="C9199" s="3">
        <v>0.6960648148148149</v>
      </c>
      <c r="D9199" s="1">
        <v>13.00202</v>
      </c>
      <c r="E9199" s="1">
        <v>80.200051</v>
      </c>
      <c r="F9199" s="1">
        <v>805.0</v>
      </c>
      <c r="G9199" s="1">
        <v>42.0</v>
      </c>
    </row>
    <row r="9200">
      <c r="A9200" s="1" t="s">
        <v>8</v>
      </c>
      <c r="B9200" s="2">
        <v>44739.0</v>
      </c>
      <c r="C9200" s="3">
        <v>0.6960648148148149</v>
      </c>
      <c r="D9200" s="1">
        <v>13.003831</v>
      </c>
      <c r="E9200" s="1">
        <v>80.200906</v>
      </c>
      <c r="F9200" s="1">
        <v>5339.0</v>
      </c>
      <c r="G9200" s="1">
        <v>48.0</v>
      </c>
    </row>
    <row r="9201">
      <c r="A9201" s="1" t="s">
        <v>9</v>
      </c>
      <c r="B9201" s="2">
        <v>44739.0</v>
      </c>
      <c r="C9201" s="3">
        <v>0.6961226851851852</v>
      </c>
      <c r="D9201" s="1">
        <v>13.003831</v>
      </c>
      <c r="E9201" s="1">
        <v>80.200906</v>
      </c>
      <c r="F9201" s="1">
        <v>5339.0</v>
      </c>
      <c r="G9201" s="1">
        <v>48.0</v>
      </c>
    </row>
    <row r="9202">
      <c r="A9202" s="1" t="s">
        <v>8</v>
      </c>
      <c r="B9202" s="2">
        <v>44739.0</v>
      </c>
      <c r="C9202" s="3">
        <v>0.6961574074074074</v>
      </c>
      <c r="D9202" s="1">
        <v>13.003853</v>
      </c>
      <c r="E9202" s="1">
        <v>80.200926</v>
      </c>
      <c r="F9202" s="1">
        <v>805.0</v>
      </c>
      <c r="G9202" s="1">
        <v>47.0</v>
      </c>
    </row>
    <row r="9203">
      <c r="A9203" s="1" t="s">
        <v>8</v>
      </c>
      <c r="B9203" s="2">
        <v>44739.0</v>
      </c>
      <c r="C9203" s="3">
        <v>0.6964467592592593</v>
      </c>
      <c r="D9203" s="1">
        <v>13.004967</v>
      </c>
      <c r="E9203" s="1">
        <v>80.201294</v>
      </c>
      <c r="F9203" s="1">
        <v>805.0</v>
      </c>
      <c r="G9203" s="1">
        <v>34.0</v>
      </c>
    </row>
    <row r="9204">
      <c r="A9204" s="1" t="s">
        <v>8</v>
      </c>
      <c r="B9204" s="2">
        <v>44739.0</v>
      </c>
      <c r="C9204" s="3">
        <v>0.6967245370370371</v>
      </c>
      <c r="D9204" s="1">
        <v>13.007278</v>
      </c>
      <c r="E9204" s="1">
        <v>80.203613</v>
      </c>
      <c r="F9204" s="1">
        <v>805.0</v>
      </c>
      <c r="G9204" s="1">
        <v>24.0</v>
      </c>
    </row>
    <row r="9205">
      <c r="A9205" s="1" t="s">
        <v>9</v>
      </c>
      <c r="B9205" s="2">
        <v>44739.0</v>
      </c>
      <c r="C9205" s="3">
        <v>0.6968981481481481</v>
      </c>
      <c r="D9205" s="1">
        <v>13.00782</v>
      </c>
      <c r="E9205" s="1">
        <v>80.203699</v>
      </c>
      <c r="F9205" s="1">
        <v>5339.0</v>
      </c>
      <c r="G9205" s="1">
        <v>23.0</v>
      </c>
    </row>
    <row r="9206">
      <c r="A9206" s="1" t="s">
        <v>9</v>
      </c>
      <c r="B9206" s="2">
        <v>44739.0</v>
      </c>
      <c r="C9206" s="3">
        <v>0.6969212962962963</v>
      </c>
      <c r="D9206" s="1">
        <v>13.008403</v>
      </c>
      <c r="E9206" s="1">
        <v>80.20293</v>
      </c>
      <c r="F9206" s="1">
        <v>5339.0</v>
      </c>
      <c r="G9206" s="1">
        <v>39.0</v>
      </c>
    </row>
    <row r="9207">
      <c r="A9207" s="1" t="s">
        <v>9</v>
      </c>
      <c r="B9207" s="2">
        <v>44739.0</v>
      </c>
      <c r="C9207" s="3">
        <v>0.6969328703703703</v>
      </c>
      <c r="D9207" s="1">
        <v>13.008282</v>
      </c>
      <c r="E9207" s="1">
        <v>80.203614</v>
      </c>
      <c r="F9207" s="1">
        <v>805.0</v>
      </c>
      <c r="G9207" s="1">
        <v>28.0</v>
      </c>
    </row>
    <row r="9208">
      <c r="A9208" s="1" t="s">
        <v>8</v>
      </c>
      <c r="B9208" s="2">
        <v>44739.0</v>
      </c>
      <c r="C9208" s="3">
        <v>0.6971296296296297</v>
      </c>
      <c r="D9208" s="1">
        <v>13.007571</v>
      </c>
      <c r="E9208" s="1">
        <v>80.203721</v>
      </c>
      <c r="F9208" s="1">
        <v>5339.0</v>
      </c>
      <c r="G9208" s="1">
        <v>44.0</v>
      </c>
    </row>
    <row r="9209">
      <c r="A9209" s="1" t="s">
        <v>8</v>
      </c>
      <c r="B9209" s="2">
        <v>44739.0</v>
      </c>
      <c r="C9209" s="3">
        <v>0.6972800925925926</v>
      </c>
      <c r="D9209" s="1">
        <v>13.007664</v>
      </c>
      <c r="E9209" s="1">
        <v>80.205877</v>
      </c>
      <c r="F9209" s="1">
        <v>5339.0</v>
      </c>
      <c r="G9209" s="1">
        <v>59.0</v>
      </c>
    </row>
    <row r="9210">
      <c r="A9210" s="1" t="s">
        <v>8</v>
      </c>
      <c r="B9210" s="2">
        <v>44739.0</v>
      </c>
      <c r="C9210" s="3">
        <v>0.6974421296296296</v>
      </c>
      <c r="D9210" s="1">
        <v>13.007664</v>
      </c>
      <c r="E9210" s="1">
        <v>80.205877</v>
      </c>
      <c r="F9210" s="1">
        <v>5339.0</v>
      </c>
      <c r="G9210" s="1">
        <v>59.0</v>
      </c>
    </row>
    <row r="9211">
      <c r="A9211" s="1" t="s">
        <v>8</v>
      </c>
      <c r="B9211" s="2">
        <v>44739.0</v>
      </c>
      <c r="C9211" s="3">
        <v>0.6975810185185185</v>
      </c>
      <c r="D9211" s="1">
        <v>13.007847</v>
      </c>
      <c r="E9211" s="1">
        <v>80.206996</v>
      </c>
      <c r="F9211" s="1">
        <v>805.0</v>
      </c>
      <c r="G9211" s="1">
        <v>43.0</v>
      </c>
    </row>
    <row r="9212">
      <c r="A9212" s="1" t="s">
        <v>8</v>
      </c>
      <c r="B9212" s="2">
        <v>44739.0</v>
      </c>
      <c r="C9212" s="3">
        <v>0.6977662037037037</v>
      </c>
      <c r="D9212" s="1">
        <v>12.697055</v>
      </c>
      <c r="E9212" s="1">
        <v>79.976658</v>
      </c>
      <c r="F9212" s="1">
        <v>2846.0</v>
      </c>
      <c r="G9212" s="1">
        <v>24.0</v>
      </c>
    </row>
    <row r="9213">
      <c r="A9213" s="1" t="s">
        <v>8</v>
      </c>
      <c r="B9213" s="2">
        <v>44739.0</v>
      </c>
      <c r="C9213" s="3">
        <v>0.6978240740740741</v>
      </c>
      <c r="D9213" s="1">
        <v>13.008154</v>
      </c>
      <c r="E9213" s="1">
        <v>80.209241</v>
      </c>
      <c r="F9213" s="1">
        <v>5339.0</v>
      </c>
      <c r="G9213" s="1">
        <v>40.0</v>
      </c>
    </row>
    <row r="9214">
      <c r="A9214" s="1" t="s">
        <v>8</v>
      </c>
      <c r="B9214" s="2">
        <v>44739.0</v>
      </c>
      <c r="C9214" s="3">
        <v>0.6978819444444444</v>
      </c>
      <c r="D9214" s="1">
        <v>13.008726</v>
      </c>
      <c r="E9214" s="1">
        <v>80.210941</v>
      </c>
      <c r="F9214" s="1">
        <v>5339.0</v>
      </c>
      <c r="G9214" s="1">
        <v>40.0</v>
      </c>
    </row>
    <row r="9215">
      <c r="A9215" s="1" t="s">
        <v>8</v>
      </c>
      <c r="B9215" s="2">
        <v>44739.0</v>
      </c>
      <c r="C9215" s="3">
        <v>0.6979166666666666</v>
      </c>
      <c r="D9215" s="1">
        <v>13.008391</v>
      </c>
      <c r="E9215" s="1">
        <v>80.210036</v>
      </c>
      <c r="F9215" s="1">
        <v>805.0</v>
      </c>
      <c r="G9215" s="1">
        <v>45.0</v>
      </c>
    </row>
    <row r="9216">
      <c r="A9216" s="1" t="s">
        <v>8</v>
      </c>
      <c r="B9216" s="2">
        <v>44739.0</v>
      </c>
      <c r="C9216" s="3">
        <v>0.6979513888888889</v>
      </c>
      <c r="D9216" s="1">
        <v>13.008391</v>
      </c>
      <c r="E9216" s="1">
        <v>80.210036</v>
      </c>
      <c r="F9216" s="1">
        <v>805.0</v>
      </c>
      <c r="G9216" s="1">
        <v>45.0</v>
      </c>
    </row>
    <row r="9217">
      <c r="A9217" s="1" t="s">
        <v>8</v>
      </c>
      <c r="B9217" s="2">
        <v>44739.0</v>
      </c>
      <c r="C9217" s="3">
        <v>0.697974537037037</v>
      </c>
      <c r="D9217" s="1">
        <v>13.008988</v>
      </c>
      <c r="E9217" s="1">
        <v>80.211646</v>
      </c>
      <c r="F9217" s="1">
        <v>805.0</v>
      </c>
      <c r="G9217" s="1">
        <v>45.0</v>
      </c>
    </row>
    <row r="9218">
      <c r="A9218" s="1" t="s">
        <v>8</v>
      </c>
      <c r="B9218" s="2">
        <v>44739.0</v>
      </c>
      <c r="C9218" s="3">
        <v>0.6980324074074075</v>
      </c>
      <c r="D9218" s="1">
        <v>13.009315</v>
      </c>
      <c r="E9218" s="1">
        <v>80.21251</v>
      </c>
      <c r="F9218" s="1">
        <v>5339.0</v>
      </c>
      <c r="G9218" s="1">
        <v>43.0</v>
      </c>
    </row>
    <row r="9219">
      <c r="A9219" s="1" t="s">
        <v>8</v>
      </c>
      <c r="B9219" s="2">
        <v>44739.0</v>
      </c>
      <c r="C9219" s="3">
        <v>0.6980439814814815</v>
      </c>
      <c r="D9219" s="1">
        <v>13.008988</v>
      </c>
      <c r="E9219" s="1">
        <v>80.211646</v>
      </c>
      <c r="F9219" s="1">
        <v>805.0</v>
      </c>
      <c r="G9219" s="1">
        <v>45.0</v>
      </c>
    </row>
    <row r="9220">
      <c r="A9220" s="1" t="s">
        <v>8</v>
      </c>
      <c r="B9220" s="2">
        <v>44739.0</v>
      </c>
      <c r="C9220" s="3">
        <v>0.6980902777777778</v>
      </c>
      <c r="D9220" s="1">
        <v>13.008988</v>
      </c>
      <c r="E9220" s="1">
        <v>80.211646</v>
      </c>
      <c r="F9220" s="1">
        <v>805.0</v>
      </c>
      <c r="G9220" s="1">
        <v>45.0</v>
      </c>
    </row>
    <row r="9221">
      <c r="A9221" s="1" t="s">
        <v>8</v>
      </c>
      <c r="B9221" s="2">
        <v>44739.0</v>
      </c>
      <c r="C9221" s="3">
        <v>0.6981481481481482</v>
      </c>
      <c r="D9221" s="1">
        <v>13.009315</v>
      </c>
      <c r="E9221" s="1">
        <v>80.21251</v>
      </c>
      <c r="F9221" s="1">
        <v>5339.0</v>
      </c>
      <c r="G9221" s="1">
        <v>43.0</v>
      </c>
    </row>
    <row r="9222">
      <c r="A9222" s="1" t="s">
        <v>8</v>
      </c>
      <c r="B9222" s="2">
        <v>44739.0</v>
      </c>
      <c r="C9222" s="3">
        <v>0.6981712962962963</v>
      </c>
      <c r="D9222" s="1">
        <v>13.009315</v>
      </c>
      <c r="E9222" s="1">
        <v>80.21251</v>
      </c>
      <c r="F9222" s="1">
        <v>5339.0</v>
      </c>
      <c r="G9222" s="1">
        <v>43.0</v>
      </c>
    </row>
    <row r="9223">
      <c r="A9223" s="1" t="s">
        <v>8</v>
      </c>
      <c r="B9223" s="2">
        <v>44739.0</v>
      </c>
      <c r="C9223" s="3">
        <v>0.6981828703703704</v>
      </c>
      <c r="D9223" s="1">
        <v>13.009644</v>
      </c>
      <c r="E9223" s="1">
        <v>80.213437</v>
      </c>
      <c r="F9223" s="1">
        <v>805.0</v>
      </c>
      <c r="G9223" s="1">
        <v>46.0</v>
      </c>
    </row>
    <row r="9224">
      <c r="A9224" s="1" t="s">
        <v>8</v>
      </c>
      <c r="B9224" s="2">
        <v>44739.0</v>
      </c>
      <c r="C9224" s="3">
        <v>0.6982060185185185</v>
      </c>
      <c r="D9224" s="1">
        <v>13.009315</v>
      </c>
      <c r="E9224" s="1">
        <v>80.21251</v>
      </c>
      <c r="F9224" s="1">
        <v>5339.0</v>
      </c>
      <c r="G9224" s="1">
        <v>43.0</v>
      </c>
    </row>
    <row r="9225">
      <c r="A9225" s="1" t="s">
        <v>8</v>
      </c>
      <c r="B9225" s="2">
        <v>44739.0</v>
      </c>
      <c r="C9225" s="3">
        <v>0.6986805555555555</v>
      </c>
      <c r="D9225" s="1">
        <v>13.011047</v>
      </c>
      <c r="E9225" s="1">
        <v>80.217328</v>
      </c>
      <c r="F9225" s="1">
        <v>5339.0</v>
      </c>
      <c r="G9225" s="1">
        <v>41.0</v>
      </c>
    </row>
    <row r="9226">
      <c r="A9226" s="1" t="s">
        <v>8</v>
      </c>
      <c r="B9226" s="2">
        <v>44739.0</v>
      </c>
      <c r="C9226" s="3">
        <v>0.6993518518518519</v>
      </c>
      <c r="D9226" s="1">
        <v>13.013332</v>
      </c>
      <c r="E9226" s="1">
        <v>80.222463</v>
      </c>
      <c r="F9226" s="1">
        <v>5339.0</v>
      </c>
      <c r="G9226" s="1">
        <v>8.0</v>
      </c>
    </row>
    <row r="9227">
      <c r="A9227" s="1" t="s">
        <v>8</v>
      </c>
      <c r="B9227" s="2">
        <v>44739.0</v>
      </c>
      <c r="C9227" s="3">
        <v>0.6993865740740741</v>
      </c>
      <c r="D9227" s="1">
        <v>13.013332</v>
      </c>
      <c r="E9227" s="1">
        <v>80.222463</v>
      </c>
      <c r="F9227" s="1">
        <v>5339.0</v>
      </c>
      <c r="G9227" s="1">
        <v>8.0</v>
      </c>
    </row>
    <row r="9228">
      <c r="A9228" s="1" t="s">
        <v>8</v>
      </c>
      <c r="B9228" s="2">
        <v>44739.0</v>
      </c>
      <c r="C9228" s="3">
        <v>0.6993981481481482</v>
      </c>
      <c r="D9228" s="1">
        <v>13.013332</v>
      </c>
      <c r="E9228" s="1">
        <v>80.222463</v>
      </c>
      <c r="F9228" s="1">
        <v>5339.0</v>
      </c>
      <c r="G9228" s="1">
        <v>8.0</v>
      </c>
    </row>
    <row r="9229">
      <c r="A9229" s="1" t="s">
        <v>8</v>
      </c>
      <c r="B9229" s="2">
        <v>44739.0</v>
      </c>
      <c r="C9229" s="3">
        <v>0.6999305555555555</v>
      </c>
      <c r="D9229" s="1">
        <v>12.688698</v>
      </c>
      <c r="E9229" s="1">
        <v>79.982613</v>
      </c>
      <c r="F9229" s="1">
        <v>2846.0</v>
      </c>
      <c r="G9229" s="1">
        <v>34.0</v>
      </c>
    </row>
    <row r="9230">
      <c r="A9230" s="1" t="s">
        <v>8</v>
      </c>
      <c r="B9230" s="2">
        <v>44739.0</v>
      </c>
      <c r="C9230" s="3">
        <v>0.7000694444444444</v>
      </c>
      <c r="D9230" s="1">
        <v>13.014609</v>
      </c>
      <c r="E9230" s="1">
        <v>80.224082</v>
      </c>
      <c r="F9230" s="1">
        <v>5339.0</v>
      </c>
      <c r="G9230" s="1">
        <v>26.0</v>
      </c>
    </row>
    <row r="9231">
      <c r="A9231" s="1" t="s">
        <v>10</v>
      </c>
      <c r="B9231" s="2">
        <v>44739.0</v>
      </c>
      <c r="C9231" s="3">
        <v>0.7003125</v>
      </c>
      <c r="D9231" s="1">
        <v>12.688698</v>
      </c>
      <c r="E9231" s="1">
        <v>79.982613</v>
      </c>
      <c r="F9231" s="1">
        <v>2846.0</v>
      </c>
      <c r="G9231" s="1">
        <v>34.0</v>
      </c>
    </row>
    <row r="9232">
      <c r="A9232" s="1" t="s">
        <v>8</v>
      </c>
      <c r="B9232" s="2">
        <v>44739.0</v>
      </c>
      <c r="C9232" s="3">
        <v>0.7004861111111111</v>
      </c>
      <c r="D9232" s="1">
        <v>13.015447</v>
      </c>
      <c r="E9232" s="1">
        <v>80.225308</v>
      </c>
      <c r="F9232" s="1">
        <v>805.0</v>
      </c>
      <c r="G9232" s="1">
        <v>0.0</v>
      </c>
    </row>
    <row r="9233">
      <c r="A9233" s="1" t="s">
        <v>8</v>
      </c>
      <c r="B9233" s="2">
        <v>44739.0</v>
      </c>
      <c r="C9233" s="3">
        <v>0.7009143518518518</v>
      </c>
      <c r="D9233" s="1">
        <v>13.01446</v>
      </c>
      <c r="E9233" s="1">
        <v>80.226096</v>
      </c>
      <c r="F9233" s="1">
        <v>805.0</v>
      </c>
      <c r="G9233" s="1">
        <v>28.0</v>
      </c>
    </row>
    <row r="9234">
      <c r="A9234" s="1" t="s">
        <v>7</v>
      </c>
      <c r="B9234" s="2">
        <v>44739.0</v>
      </c>
      <c r="C9234" s="3">
        <v>0.7010300925925926</v>
      </c>
      <c r="D9234" s="1">
        <v>13.019873</v>
      </c>
      <c r="E9234" s="1">
        <v>80.224656</v>
      </c>
      <c r="F9234" s="1">
        <v>5339.0</v>
      </c>
      <c r="G9234" s="1">
        <v>18.0</v>
      </c>
    </row>
    <row r="9235">
      <c r="A9235" s="1" t="s">
        <v>10</v>
      </c>
      <c r="B9235" s="2">
        <v>44739.0</v>
      </c>
      <c r="C9235" s="3">
        <v>0.7016898148148148</v>
      </c>
      <c r="D9235" s="1">
        <v>12.682008</v>
      </c>
      <c r="E9235" s="1">
        <v>79.982206</v>
      </c>
      <c r="F9235" s="1">
        <v>2846.0</v>
      </c>
      <c r="G9235" s="1">
        <v>22.0</v>
      </c>
    </row>
    <row r="9236">
      <c r="A9236" s="1" t="s">
        <v>8</v>
      </c>
      <c r="B9236" s="2">
        <v>44739.0</v>
      </c>
      <c r="C9236" s="3">
        <v>0.7017939814814815</v>
      </c>
      <c r="D9236" s="1">
        <v>13.024254</v>
      </c>
      <c r="E9236" s="1">
        <v>80.228402</v>
      </c>
      <c r="F9236" s="1">
        <v>5339.0</v>
      </c>
      <c r="G9236" s="1">
        <v>0.0</v>
      </c>
    </row>
    <row r="9237">
      <c r="A9237" s="1" t="s">
        <v>8</v>
      </c>
      <c r="B9237" s="2">
        <v>44739.0</v>
      </c>
      <c r="C9237" s="3">
        <v>0.7023148148148148</v>
      </c>
      <c r="D9237" s="1">
        <v>13.008068</v>
      </c>
      <c r="E9237" s="1">
        <v>80.23439</v>
      </c>
      <c r="F9237" s="1">
        <v>805.0</v>
      </c>
      <c r="G9237" s="1">
        <v>25.0</v>
      </c>
    </row>
    <row r="9238">
      <c r="A9238" s="1" t="s">
        <v>8</v>
      </c>
      <c r="B9238" s="2">
        <v>44739.0</v>
      </c>
      <c r="C9238" s="3">
        <v>0.7023379629629629</v>
      </c>
      <c r="D9238" s="1">
        <v>13.008068</v>
      </c>
      <c r="E9238" s="1">
        <v>80.23439</v>
      </c>
      <c r="F9238" s="1">
        <v>805.0</v>
      </c>
      <c r="G9238" s="1">
        <v>25.0</v>
      </c>
    </row>
    <row r="9239">
      <c r="A9239" s="1" t="s">
        <v>8</v>
      </c>
      <c r="B9239" s="2">
        <v>44739.0</v>
      </c>
      <c r="C9239" s="3">
        <v>0.7045486111111111</v>
      </c>
      <c r="D9239" s="1">
        <v>13.026001</v>
      </c>
      <c r="E9239" s="1">
        <v>80.231065</v>
      </c>
      <c r="F9239" s="1">
        <v>5339.0</v>
      </c>
      <c r="G9239" s="1">
        <v>0.0</v>
      </c>
    </row>
    <row r="9240">
      <c r="A9240" s="1" t="s">
        <v>8</v>
      </c>
      <c r="B9240" s="2">
        <v>44739.0</v>
      </c>
      <c r="C9240" s="3">
        <v>0.7046296296296296</v>
      </c>
      <c r="D9240" s="1">
        <v>12.667342</v>
      </c>
      <c r="E9240" s="1">
        <v>79.971926</v>
      </c>
      <c r="F9240" s="1">
        <v>2846.0</v>
      </c>
      <c r="G9240" s="1">
        <v>54.0</v>
      </c>
    </row>
    <row r="9241">
      <c r="A9241" s="1" t="s">
        <v>8</v>
      </c>
      <c r="B9241" s="2">
        <v>44739.0</v>
      </c>
      <c r="C9241" s="3">
        <v>0.7046412037037038</v>
      </c>
      <c r="D9241" s="1">
        <v>12.667342</v>
      </c>
      <c r="E9241" s="1">
        <v>79.971926</v>
      </c>
      <c r="F9241" s="1">
        <v>2846.0</v>
      </c>
      <c r="G9241" s="1">
        <v>54.0</v>
      </c>
    </row>
    <row r="9242">
      <c r="A9242" s="1" t="s">
        <v>8</v>
      </c>
      <c r="B9242" s="2">
        <v>44739.0</v>
      </c>
      <c r="C9242" s="3">
        <v>0.7048032407407407</v>
      </c>
      <c r="D9242" s="1">
        <v>12.667342</v>
      </c>
      <c r="E9242" s="1">
        <v>79.971926</v>
      </c>
      <c r="F9242" s="1">
        <v>2846.0</v>
      </c>
      <c r="G9242" s="1">
        <v>54.0</v>
      </c>
    </row>
    <row r="9243">
      <c r="A9243" s="1" t="s">
        <v>7</v>
      </c>
      <c r="B9243" s="2">
        <v>44739.0</v>
      </c>
      <c r="C9243" s="3">
        <v>0.7055902777777778</v>
      </c>
      <c r="D9243" s="1">
        <v>13.006878</v>
      </c>
      <c r="E9243" s="1">
        <v>80.251355</v>
      </c>
      <c r="F9243" s="1">
        <v>805.0</v>
      </c>
      <c r="G9243" s="1">
        <v>0.0</v>
      </c>
    </row>
    <row r="9244">
      <c r="A9244" s="1" t="s">
        <v>8</v>
      </c>
      <c r="B9244" s="2">
        <v>44739.0</v>
      </c>
      <c r="C9244" s="3">
        <v>0.7056828703703704</v>
      </c>
      <c r="D9244" s="1">
        <v>13.006878</v>
      </c>
      <c r="E9244" s="1">
        <v>80.251355</v>
      </c>
      <c r="F9244" s="1">
        <v>805.0</v>
      </c>
      <c r="G9244" s="1">
        <v>0.0</v>
      </c>
    </row>
    <row r="9245">
      <c r="A9245" s="1" t="s">
        <v>7</v>
      </c>
      <c r="B9245" s="2">
        <v>44739.0</v>
      </c>
      <c r="C9245" s="3">
        <v>0.705775462962963</v>
      </c>
      <c r="D9245" s="1">
        <v>13.006878</v>
      </c>
      <c r="E9245" s="1">
        <v>80.251355</v>
      </c>
      <c r="F9245" s="1">
        <v>805.0</v>
      </c>
      <c r="G9245" s="1">
        <v>0.0</v>
      </c>
    </row>
    <row r="9246">
      <c r="A9246" s="1" t="s">
        <v>8</v>
      </c>
      <c r="B9246" s="2">
        <v>44739.0</v>
      </c>
      <c r="C9246" s="3">
        <v>0.7060185185185185</v>
      </c>
      <c r="D9246" s="1">
        <v>13.028736</v>
      </c>
      <c r="E9246" s="1">
        <v>80.236238</v>
      </c>
      <c r="F9246" s="1">
        <v>5339.0</v>
      </c>
      <c r="G9246" s="1">
        <v>54.0</v>
      </c>
    </row>
    <row r="9247">
      <c r="A9247" s="1" t="s">
        <v>8</v>
      </c>
      <c r="B9247" s="2">
        <v>44739.0</v>
      </c>
      <c r="C9247" s="3">
        <v>0.7060300925925926</v>
      </c>
      <c r="D9247" s="1">
        <v>13.03</v>
      </c>
      <c r="E9247" s="1">
        <v>80.237779</v>
      </c>
      <c r="F9247" s="1">
        <v>5339.0</v>
      </c>
      <c r="G9247" s="1">
        <v>41.0</v>
      </c>
    </row>
    <row r="9248">
      <c r="A9248" s="1" t="s">
        <v>8</v>
      </c>
      <c r="B9248" s="2">
        <v>44739.0</v>
      </c>
      <c r="C9248" s="3">
        <v>0.7063078703703703</v>
      </c>
      <c r="D9248" s="1">
        <v>13.03</v>
      </c>
      <c r="E9248" s="1">
        <v>80.237779</v>
      </c>
      <c r="F9248" s="1">
        <v>5339.0</v>
      </c>
      <c r="G9248" s="1">
        <v>41.0</v>
      </c>
    </row>
    <row r="9249">
      <c r="A9249" s="1" t="s">
        <v>8</v>
      </c>
      <c r="B9249" s="2">
        <v>44739.0</v>
      </c>
      <c r="C9249" s="3">
        <v>0.7069791666666667</v>
      </c>
      <c r="D9249" s="1">
        <v>12.655936</v>
      </c>
      <c r="E9249" s="1">
        <v>79.95152</v>
      </c>
      <c r="F9249" s="1">
        <v>2846.0</v>
      </c>
      <c r="G9249" s="1">
        <v>37.0</v>
      </c>
    </row>
    <row r="9250">
      <c r="A9250" s="1" t="s">
        <v>9</v>
      </c>
      <c r="B9250" s="2">
        <v>44739.0</v>
      </c>
      <c r="C9250" s="3">
        <v>0.7070023148148148</v>
      </c>
      <c r="D9250" s="1">
        <v>13.032642</v>
      </c>
      <c r="E9250" s="1">
        <v>80.242692</v>
      </c>
      <c r="F9250" s="1">
        <v>5339.0</v>
      </c>
      <c r="G9250" s="1">
        <v>33.0</v>
      </c>
    </row>
    <row r="9251">
      <c r="A9251" s="1" t="s">
        <v>8</v>
      </c>
      <c r="B9251" s="2">
        <v>44739.0</v>
      </c>
      <c r="C9251" s="3">
        <v>0.707488425925926</v>
      </c>
      <c r="D9251" s="1">
        <v>12.656686</v>
      </c>
      <c r="E9251" s="1">
        <v>79.948955</v>
      </c>
      <c r="F9251" s="1">
        <v>2846.0</v>
      </c>
      <c r="G9251" s="1">
        <v>19.0</v>
      </c>
    </row>
    <row r="9252">
      <c r="A9252" s="1" t="s">
        <v>7</v>
      </c>
      <c r="B9252" s="2">
        <v>44739.0</v>
      </c>
      <c r="C9252" s="3">
        <v>0.7080439814814815</v>
      </c>
      <c r="D9252" s="1">
        <v>13.008742</v>
      </c>
      <c r="E9252" s="1">
        <v>80.259011</v>
      </c>
      <c r="F9252" s="1">
        <v>805.0</v>
      </c>
      <c r="G9252" s="1">
        <v>22.0</v>
      </c>
    </row>
    <row r="9253">
      <c r="A9253" s="1" t="s">
        <v>7</v>
      </c>
      <c r="B9253" s="2">
        <v>44739.0</v>
      </c>
      <c r="C9253" s="3">
        <v>0.7082407407407407</v>
      </c>
      <c r="D9253" s="1">
        <v>12.65796</v>
      </c>
      <c r="E9253" s="1">
        <v>79.944185</v>
      </c>
      <c r="F9253" s="1">
        <v>2846.0</v>
      </c>
      <c r="G9253" s="1">
        <v>49.0</v>
      </c>
    </row>
    <row r="9254">
      <c r="A9254" s="1" t="s">
        <v>8</v>
      </c>
      <c r="B9254" s="2">
        <v>44739.0</v>
      </c>
      <c r="C9254" s="3">
        <v>0.7084027777777778</v>
      </c>
      <c r="D9254" s="1">
        <v>13.009616</v>
      </c>
      <c r="E9254" s="1">
        <v>80.259032</v>
      </c>
      <c r="F9254" s="1">
        <v>805.0</v>
      </c>
      <c r="G9254" s="1">
        <v>37.0</v>
      </c>
    </row>
    <row r="9255">
      <c r="A9255" s="1" t="s">
        <v>8</v>
      </c>
      <c r="B9255" s="2">
        <v>44739.0</v>
      </c>
      <c r="C9255" s="3">
        <v>0.7084375</v>
      </c>
      <c r="D9255" s="1">
        <v>13.011717</v>
      </c>
      <c r="E9255" s="1">
        <v>80.259098</v>
      </c>
      <c r="F9255" s="1">
        <v>805.0</v>
      </c>
      <c r="G9255" s="1">
        <v>57.0</v>
      </c>
    </row>
    <row r="9256">
      <c r="A9256" s="1" t="s">
        <v>7</v>
      </c>
      <c r="B9256" s="2">
        <v>44739.0</v>
      </c>
      <c r="C9256" s="3">
        <v>0.7090972222222223</v>
      </c>
      <c r="D9256" s="1">
        <v>12.649088</v>
      </c>
      <c r="E9256" s="1">
        <v>79.941085</v>
      </c>
      <c r="F9256" s="1">
        <v>2846.0</v>
      </c>
      <c r="G9256" s="1">
        <v>56.0</v>
      </c>
    </row>
    <row r="9257">
      <c r="A9257" s="1" t="s">
        <v>10</v>
      </c>
      <c r="B9257" s="2">
        <v>44739.0</v>
      </c>
      <c r="C9257" s="3">
        <v>0.7092939814814815</v>
      </c>
      <c r="D9257" s="1">
        <v>13.018173</v>
      </c>
      <c r="E9257" s="1">
        <v>80.260874</v>
      </c>
      <c r="F9257" s="1">
        <v>805.0</v>
      </c>
      <c r="G9257" s="1">
        <v>37.0</v>
      </c>
    </row>
    <row r="9258">
      <c r="A9258" s="1" t="s">
        <v>10</v>
      </c>
      <c r="B9258" s="2">
        <v>44739.0</v>
      </c>
      <c r="C9258" s="3">
        <v>0.7095254629629629</v>
      </c>
      <c r="D9258" s="1">
        <v>13.019347</v>
      </c>
      <c r="E9258" s="1">
        <v>80.261752</v>
      </c>
      <c r="F9258" s="1">
        <v>805.0</v>
      </c>
      <c r="G9258" s="1">
        <v>8.0</v>
      </c>
    </row>
    <row r="9259">
      <c r="A9259" s="1" t="s">
        <v>8</v>
      </c>
      <c r="B9259" s="2">
        <v>44739.0</v>
      </c>
      <c r="C9259" s="3">
        <v>0.710949074074074</v>
      </c>
      <c r="D9259" s="1">
        <v>13.022941</v>
      </c>
      <c r="E9259" s="1">
        <v>80.263797</v>
      </c>
      <c r="F9259" s="1">
        <v>805.0</v>
      </c>
      <c r="G9259" s="1">
        <v>19.0</v>
      </c>
    </row>
    <row r="9260">
      <c r="A9260" s="1" t="s">
        <v>8</v>
      </c>
      <c r="B9260" s="2">
        <v>44739.0</v>
      </c>
      <c r="C9260" s="3">
        <v>0.710949074074074</v>
      </c>
      <c r="D9260" s="1">
        <v>13.022941</v>
      </c>
      <c r="E9260" s="1">
        <v>80.263797</v>
      </c>
      <c r="F9260" s="1">
        <v>805.0</v>
      </c>
      <c r="G9260" s="1">
        <v>19.0</v>
      </c>
    </row>
    <row r="9261">
      <c r="A9261" s="1" t="s">
        <v>8</v>
      </c>
      <c r="B9261" s="2">
        <v>44739.0</v>
      </c>
      <c r="C9261" s="3">
        <v>0.7114583333333333</v>
      </c>
      <c r="D9261" s="1">
        <v>12.625002</v>
      </c>
      <c r="E9261" s="1">
        <v>79.929106</v>
      </c>
      <c r="F9261" s="1">
        <v>2846.0</v>
      </c>
      <c r="G9261" s="1">
        <v>57.0</v>
      </c>
    </row>
    <row r="9262">
      <c r="A9262" s="1" t="s">
        <v>7</v>
      </c>
      <c r="B9262" s="2">
        <v>44739.0</v>
      </c>
      <c r="C9262" s="3">
        <v>0.7118518518518518</v>
      </c>
      <c r="D9262" s="1">
        <v>12.62235</v>
      </c>
      <c r="E9262" s="1">
        <v>79.927943</v>
      </c>
      <c r="F9262" s="1">
        <v>2846.0</v>
      </c>
      <c r="G9262" s="1">
        <v>58.0</v>
      </c>
    </row>
    <row r="9263">
      <c r="A9263" s="1" t="s">
        <v>8</v>
      </c>
      <c r="B9263" s="2">
        <v>44739.0</v>
      </c>
      <c r="C9263" s="3">
        <v>0.711875</v>
      </c>
      <c r="D9263" s="1">
        <v>13.048081</v>
      </c>
      <c r="E9263" s="1">
        <v>80.249002</v>
      </c>
      <c r="F9263" s="1">
        <v>5339.0</v>
      </c>
      <c r="G9263" s="1">
        <v>27.0</v>
      </c>
    </row>
    <row r="9264">
      <c r="A9264" s="1" t="s">
        <v>8</v>
      </c>
      <c r="B9264" s="2">
        <v>44739.0</v>
      </c>
      <c r="C9264" s="3">
        <v>0.7119560185185185</v>
      </c>
      <c r="D9264" s="1">
        <v>12.62235</v>
      </c>
      <c r="E9264" s="1">
        <v>79.927943</v>
      </c>
      <c r="F9264" s="1">
        <v>2846.0</v>
      </c>
      <c r="G9264" s="1">
        <v>58.0</v>
      </c>
    </row>
    <row r="9265">
      <c r="A9265" s="1" t="s">
        <v>8</v>
      </c>
      <c r="B9265" s="2">
        <v>44739.0</v>
      </c>
      <c r="C9265" s="3">
        <v>0.7119560185185185</v>
      </c>
      <c r="D9265" s="1">
        <v>12.619565</v>
      </c>
      <c r="E9265" s="1">
        <v>79.927048</v>
      </c>
      <c r="F9265" s="1">
        <v>2846.0</v>
      </c>
      <c r="G9265" s="1">
        <v>59.0</v>
      </c>
    </row>
    <row r="9266">
      <c r="A9266" s="1" t="s">
        <v>7</v>
      </c>
      <c r="B9266" s="2">
        <v>44739.0</v>
      </c>
      <c r="C9266" s="3">
        <v>0.7126388888888889</v>
      </c>
      <c r="D9266" s="1">
        <v>12.611587</v>
      </c>
      <c r="E9266" s="1">
        <v>79.923688</v>
      </c>
      <c r="F9266" s="1">
        <v>2846.0</v>
      </c>
      <c r="G9266" s="1">
        <v>58.0</v>
      </c>
    </row>
    <row r="9267">
      <c r="A9267" s="1" t="s">
        <v>7</v>
      </c>
      <c r="B9267" s="2">
        <v>44739.0</v>
      </c>
      <c r="C9267" s="3">
        <v>0.7134837962962963</v>
      </c>
      <c r="D9267" s="1">
        <v>12.602688</v>
      </c>
      <c r="E9267" s="1">
        <v>79.920282</v>
      </c>
      <c r="F9267" s="1">
        <v>2846.0</v>
      </c>
      <c r="G9267" s="1">
        <v>49.0</v>
      </c>
    </row>
    <row r="9268">
      <c r="A9268" s="1" t="s">
        <v>8</v>
      </c>
      <c r="B9268" s="2">
        <v>44739.0</v>
      </c>
      <c r="C9268" s="3">
        <v>0.7135763888888889</v>
      </c>
      <c r="D9268" s="1">
        <v>12.603998</v>
      </c>
      <c r="E9268" s="1">
        <v>79.92049</v>
      </c>
      <c r="F9268" s="1">
        <v>2846.0</v>
      </c>
      <c r="G9268" s="1">
        <v>55.0</v>
      </c>
    </row>
    <row r="9269">
      <c r="A9269" s="1" t="s">
        <v>10</v>
      </c>
      <c r="B9269" s="2">
        <v>44739.0</v>
      </c>
      <c r="C9269" s="3">
        <v>0.7137268518518518</v>
      </c>
      <c r="D9269" s="1">
        <v>13.056572</v>
      </c>
      <c r="E9269" s="1">
        <v>80.257873</v>
      </c>
      <c r="F9269" s="1">
        <v>5339.0</v>
      </c>
      <c r="G9269" s="1">
        <v>14.0</v>
      </c>
    </row>
    <row r="9270">
      <c r="A9270" s="1" t="s">
        <v>10</v>
      </c>
      <c r="B9270" s="2">
        <v>44739.0</v>
      </c>
      <c r="C9270" s="3">
        <v>0.7141435185185185</v>
      </c>
      <c r="D9270" s="1">
        <v>13.029295</v>
      </c>
      <c r="E9270" s="1">
        <v>80.26608</v>
      </c>
      <c r="F9270" s="1">
        <v>805.0</v>
      </c>
      <c r="G9270" s="1">
        <v>9.0</v>
      </c>
    </row>
    <row r="9271">
      <c r="A9271" s="1" t="s">
        <v>8</v>
      </c>
      <c r="B9271" s="2">
        <v>44739.0</v>
      </c>
      <c r="C9271" s="3">
        <v>0.7144097222222222</v>
      </c>
      <c r="D9271" s="1">
        <v>12.595911</v>
      </c>
      <c r="E9271" s="1">
        <v>79.919556</v>
      </c>
      <c r="F9271" s="1">
        <v>2846.0</v>
      </c>
      <c r="G9271" s="1">
        <v>58.0</v>
      </c>
    </row>
    <row r="9272">
      <c r="A9272" s="1" t="s">
        <v>10</v>
      </c>
      <c r="B9272" s="2">
        <v>44739.0</v>
      </c>
      <c r="C9272" s="3">
        <v>0.7145023148148149</v>
      </c>
      <c r="D9272" s="1">
        <v>13.029253</v>
      </c>
      <c r="E9272" s="1">
        <v>80.266449</v>
      </c>
      <c r="F9272" s="1">
        <v>805.0</v>
      </c>
      <c r="G9272" s="1">
        <v>2.0</v>
      </c>
    </row>
    <row r="9273">
      <c r="A9273" s="1" t="s">
        <v>8</v>
      </c>
      <c r="B9273" s="2">
        <v>44739.0</v>
      </c>
      <c r="C9273" s="3">
        <v>0.7145601851851852</v>
      </c>
      <c r="D9273" s="1">
        <v>13.054302</v>
      </c>
      <c r="E9273" s="1">
        <v>80.260492</v>
      </c>
      <c r="F9273" s="1">
        <v>5339.0</v>
      </c>
      <c r="G9273" s="1">
        <v>25.0</v>
      </c>
    </row>
    <row r="9274">
      <c r="A9274" s="1" t="s">
        <v>7</v>
      </c>
      <c r="B9274" s="2">
        <v>44739.0</v>
      </c>
      <c r="C9274" s="3">
        <v>0.7146527777777778</v>
      </c>
      <c r="D9274" s="1">
        <v>12.58881</v>
      </c>
      <c r="E9274" s="1">
        <v>79.919428</v>
      </c>
      <c r="F9274" s="1">
        <v>2846.0</v>
      </c>
      <c r="G9274" s="1">
        <v>53.0</v>
      </c>
    </row>
    <row r="9275">
      <c r="A9275" s="1" t="s">
        <v>8</v>
      </c>
      <c r="B9275" s="2">
        <v>44739.0</v>
      </c>
      <c r="C9275" s="3">
        <v>0.7147569444444445</v>
      </c>
      <c r="D9275" s="1">
        <v>13.054126</v>
      </c>
      <c r="E9275" s="1">
        <v>80.261798</v>
      </c>
      <c r="F9275" s="1">
        <v>5339.0</v>
      </c>
      <c r="G9275" s="1">
        <v>30.0</v>
      </c>
    </row>
    <row r="9276">
      <c r="A9276" s="1" t="s">
        <v>8</v>
      </c>
      <c r="B9276" s="2">
        <v>44739.0</v>
      </c>
      <c r="C9276" s="3">
        <v>0.715</v>
      </c>
      <c r="D9276" s="1">
        <v>13.053907</v>
      </c>
      <c r="E9276" s="1">
        <v>80.263636</v>
      </c>
      <c r="F9276" s="1">
        <v>5339.0</v>
      </c>
      <c r="G9276" s="1">
        <v>34.0</v>
      </c>
    </row>
    <row r="9277">
      <c r="A9277" s="1" t="s">
        <v>8</v>
      </c>
      <c r="B9277" s="2">
        <v>44739.0</v>
      </c>
      <c r="C9277" s="3">
        <v>0.7152662037037038</v>
      </c>
      <c r="D9277" s="1">
        <v>13.05382</v>
      </c>
      <c r="E9277" s="1">
        <v>80.264525</v>
      </c>
      <c r="F9277" s="1">
        <v>5339.0</v>
      </c>
      <c r="G9277" s="1">
        <v>36.0</v>
      </c>
    </row>
    <row r="9278">
      <c r="A9278" s="1" t="s">
        <v>8</v>
      </c>
      <c r="B9278" s="2">
        <v>44739.0</v>
      </c>
      <c r="C9278" s="3">
        <v>0.7153356481481481</v>
      </c>
      <c r="D9278" s="1">
        <v>13.05382</v>
      </c>
      <c r="E9278" s="1">
        <v>80.264525</v>
      </c>
      <c r="F9278" s="1">
        <v>5339.0</v>
      </c>
      <c r="G9278" s="1">
        <v>36.0</v>
      </c>
    </row>
    <row r="9279">
      <c r="A9279" s="1" t="s">
        <v>7</v>
      </c>
      <c r="B9279" s="2">
        <v>44739.0</v>
      </c>
      <c r="C9279" s="3">
        <v>0.716574074074074</v>
      </c>
      <c r="D9279" s="1">
        <v>12.566566</v>
      </c>
      <c r="E9279" s="1">
        <v>79.914785</v>
      </c>
      <c r="F9279" s="1">
        <v>2846.0</v>
      </c>
      <c r="G9279" s="1">
        <v>54.0</v>
      </c>
    </row>
    <row r="9280">
      <c r="A9280" s="1" t="s">
        <v>10</v>
      </c>
      <c r="B9280" s="2">
        <v>44739.0</v>
      </c>
      <c r="C9280" s="3">
        <v>0.7165972222222222</v>
      </c>
      <c r="D9280" s="1">
        <v>13.05341</v>
      </c>
      <c r="E9280" s="1">
        <v>80.268766</v>
      </c>
      <c r="F9280" s="1">
        <v>5339.0</v>
      </c>
      <c r="G9280" s="1">
        <v>6.0</v>
      </c>
    </row>
    <row r="9281">
      <c r="A9281" s="1" t="s">
        <v>7</v>
      </c>
      <c r="B9281" s="2">
        <v>44739.0</v>
      </c>
      <c r="C9281" s="3">
        <v>0.7182523148148148</v>
      </c>
      <c r="D9281" s="1">
        <v>12.557285</v>
      </c>
      <c r="E9281" s="1">
        <v>79.90972</v>
      </c>
      <c r="F9281" s="1">
        <v>2846.0</v>
      </c>
      <c r="G9281" s="1">
        <v>54.0</v>
      </c>
    </row>
    <row r="9282">
      <c r="A9282" s="1" t="s">
        <v>8</v>
      </c>
      <c r="B9282" s="2">
        <v>44739.0</v>
      </c>
      <c r="C9282" s="3">
        <v>0.7184027777777777</v>
      </c>
      <c r="D9282" s="1">
        <v>12.557285</v>
      </c>
      <c r="E9282" s="1">
        <v>79.90972</v>
      </c>
      <c r="F9282" s="1">
        <v>2846.0</v>
      </c>
      <c r="G9282" s="1">
        <v>54.0</v>
      </c>
    </row>
    <row r="9283">
      <c r="A9283" s="1" t="s">
        <v>10</v>
      </c>
      <c r="B9283" s="2">
        <v>44739.0</v>
      </c>
      <c r="C9283" s="3">
        <v>0.7185648148148148</v>
      </c>
      <c r="D9283" s="1">
        <v>13.053499</v>
      </c>
      <c r="E9283" s="1">
        <v>80.27374</v>
      </c>
      <c r="F9283" s="1">
        <v>5339.0</v>
      </c>
      <c r="G9283" s="1">
        <v>20.0</v>
      </c>
    </row>
    <row r="9284">
      <c r="A9284" s="1" t="s">
        <v>10</v>
      </c>
      <c r="B9284" s="2">
        <v>44739.0</v>
      </c>
      <c r="C9284" s="3">
        <v>0.7190393518518519</v>
      </c>
      <c r="D9284" s="1">
        <v>13.055686</v>
      </c>
      <c r="E9284" s="1">
        <v>80.273827</v>
      </c>
      <c r="F9284" s="1">
        <v>5339.0</v>
      </c>
      <c r="G9284" s="1">
        <v>25.0</v>
      </c>
    </row>
    <row r="9285">
      <c r="A9285" s="1" t="s">
        <v>10</v>
      </c>
      <c r="B9285" s="2">
        <v>44739.0</v>
      </c>
      <c r="C9285" s="3">
        <v>0.7190972222222223</v>
      </c>
      <c r="D9285" s="1">
        <v>13.055686</v>
      </c>
      <c r="E9285" s="1">
        <v>80.273827</v>
      </c>
      <c r="F9285" s="1">
        <v>5339.0</v>
      </c>
      <c r="G9285" s="1">
        <v>25.0</v>
      </c>
    </row>
    <row r="9286">
      <c r="A9286" s="1" t="s">
        <v>8</v>
      </c>
      <c r="B9286" s="2">
        <v>44739.0</v>
      </c>
      <c r="C9286" s="3">
        <v>0.7192824074074075</v>
      </c>
      <c r="D9286" s="1">
        <v>13.041006</v>
      </c>
      <c r="E9286" s="1">
        <v>80.268134</v>
      </c>
      <c r="F9286" s="1">
        <v>805.0</v>
      </c>
      <c r="G9286" s="1">
        <v>16.0</v>
      </c>
    </row>
    <row r="9287">
      <c r="A9287" s="1" t="s">
        <v>8</v>
      </c>
      <c r="B9287" s="2">
        <v>44739.0</v>
      </c>
      <c r="C9287" s="3">
        <v>0.7193402777777778</v>
      </c>
      <c r="D9287" s="1">
        <v>13.041006</v>
      </c>
      <c r="E9287" s="1">
        <v>80.268134</v>
      </c>
      <c r="F9287" s="1">
        <v>805.0</v>
      </c>
      <c r="G9287" s="1">
        <v>16.0</v>
      </c>
    </row>
    <row r="9288">
      <c r="A9288" s="1" t="s">
        <v>8</v>
      </c>
      <c r="B9288" s="2">
        <v>44739.0</v>
      </c>
      <c r="C9288" s="3">
        <v>0.719375</v>
      </c>
      <c r="D9288" s="1">
        <v>13.041006</v>
      </c>
      <c r="E9288" s="1">
        <v>80.268134</v>
      </c>
      <c r="F9288" s="1">
        <v>805.0</v>
      </c>
      <c r="G9288" s="1">
        <v>16.0</v>
      </c>
    </row>
    <row r="9289">
      <c r="A9289" s="1" t="s">
        <v>7</v>
      </c>
      <c r="B9289" s="2">
        <v>44739.0</v>
      </c>
      <c r="C9289" s="3">
        <v>0.7194560185185185</v>
      </c>
      <c r="D9289" s="1">
        <v>12.540369</v>
      </c>
      <c r="E9289" s="1">
        <v>79.904412</v>
      </c>
      <c r="F9289" s="1">
        <v>2846.0</v>
      </c>
      <c r="G9289" s="1">
        <v>57.0</v>
      </c>
    </row>
    <row r="9290">
      <c r="A9290" s="1" t="s">
        <v>8</v>
      </c>
      <c r="B9290" s="2">
        <v>44739.0</v>
      </c>
      <c r="C9290" s="3">
        <v>0.7195601851851852</v>
      </c>
      <c r="D9290" s="1">
        <v>12.540369</v>
      </c>
      <c r="E9290" s="1">
        <v>79.904412</v>
      </c>
      <c r="F9290" s="1">
        <v>2846.0</v>
      </c>
      <c r="G9290" s="1">
        <v>57.0</v>
      </c>
    </row>
    <row r="9291">
      <c r="A9291" s="1" t="s">
        <v>8</v>
      </c>
      <c r="B9291" s="2">
        <v>44739.0</v>
      </c>
      <c r="C9291" s="3">
        <v>0.7195717592592593</v>
      </c>
      <c r="D9291" s="1">
        <v>13.041006</v>
      </c>
      <c r="E9291" s="1">
        <v>80.268134</v>
      </c>
      <c r="F9291" s="1">
        <v>805.0</v>
      </c>
      <c r="G9291" s="1">
        <v>16.0</v>
      </c>
    </row>
    <row r="9292">
      <c r="A9292" s="1" t="s">
        <v>10</v>
      </c>
      <c r="B9292" s="2">
        <v>44739.0</v>
      </c>
      <c r="C9292" s="3">
        <v>0.7198148148148148</v>
      </c>
      <c r="D9292" s="1">
        <v>13.043997</v>
      </c>
      <c r="E9292" s="1">
        <v>80.26711</v>
      </c>
      <c r="F9292" s="1">
        <v>805.0</v>
      </c>
      <c r="G9292" s="1">
        <v>27.0</v>
      </c>
    </row>
    <row r="9293">
      <c r="A9293" s="1" t="s">
        <v>8</v>
      </c>
      <c r="B9293" s="2">
        <v>44739.0</v>
      </c>
      <c r="C9293" s="3">
        <v>0.719837962962963</v>
      </c>
      <c r="D9293" s="1">
        <v>12.536524</v>
      </c>
      <c r="E9293" s="1">
        <v>79.902835</v>
      </c>
      <c r="F9293" s="1">
        <v>2846.0</v>
      </c>
      <c r="G9293" s="1">
        <v>56.0</v>
      </c>
    </row>
    <row r="9294">
      <c r="A9294" s="1" t="s">
        <v>10</v>
      </c>
      <c r="B9294" s="2">
        <v>44739.0</v>
      </c>
      <c r="C9294" s="3">
        <v>0.7201620370370371</v>
      </c>
      <c r="D9294" s="1">
        <v>13.058882</v>
      </c>
      <c r="E9294" s="1">
        <v>80.274136</v>
      </c>
      <c r="F9294" s="1">
        <v>5339.0</v>
      </c>
      <c r="G9294" s="1">
        <v>8.0</v>
      </c>
    </row>
    <row r="9295">
      <c r="A9295" s="1" t="s">
        <v>10</v>
      </c>
      <c r="B9295" s="2">
        <v>44739.0</v>
      </c>
      <c r="C9295" s="3">
        <v>0.7206828703703704</v>
      </c>
      <c r="D9295" s="1">
        <v>13.060549</v>
      </c>
      <c r="E9295" s="1">
        <v>80.274373</v>
      </c>
      <c r="F9295" s="1">
        <v>5339.0</v>
      </c>
      <c r="G9295" s="1">
        <v>4.0</v>
      </c>
    </row>
    <row r="9296">
      <c r="A9296" s="1" t="s">
        <v>7</v>
      </c>
      <c r="B9296" s="2">
        <v>44739.0</v>
      </c>
      <c r="C9296" s="3">
        <v>0.7210300925925925</v>
      </c>
      <c r="D9296" s="1">
        <v>12.527151</v>
      </c>
      <c r="E9296" s="1">
        <v>79.898102</v>
      </c>
      <c r="F9296" s="1">
        <v>2846.0</v>
      </c>
      <c r="G9296" s="1">
        <v>56.0</v>
      </c>
    </row>
    <row r="9297">
      <c r="A9297" s="1" t="s">
        <v>7</v>
      </c>
      <c r="B9297" s="2">
        <v>44739.0</v>
      </c>
      <c r="C9297" s="3">
        <v>0.7211805555555556</v>
      </c>
      <c r="D9297" s="1">
        <v>12.522094</v>
      </c>
      <c r="E9297" s="1">
        <v>79.895659</v>
      </c>
      <c r="F9297" s="1">
        <v>2846.0</v>
      </c>
      <c r="G9297" s="1">
        <v>57.0</v>
      </c>
    </row>
    <row r="9298">
      <c r="A9298" s="1" t="s">
        <v>8</v>
      </c>
      <c r="B9298" s="2">
        <v>44739.0</v>
      </c>
      <c r="C9298" s="3">
        <v>0.7212268518518519</v>
      </c>
      <c r="D9298" s="1">
        <v>12.522094</v>
      </c>
      <c r="E9298" s="1">
        <v>79.895659</v>
      </c>
      <c r="F9298" s="1">
        <v>2846.0</v>
      </c>
      <c r="G9298" s="1">
        <v>57.0</v>
      </c>
    </row>
    <row r="9299">
      <c r="A9299" s="1" t="s">
        <v>10</v>
      </c>
      <c r="B9299" s="2">
        <v>44739.0</v>
      </c>
      <c r="C9299" s="3">
        <v>0.7215162037037037</v>
      </c>
      <c r="D9299" s="1">
        <v>13.061418</v>
      </c>
      <c r="E9299" s="1">
        <v>80.274407</v>
      </c>
      <c r="F9299" s="1">
        <v>5339.0</v>
      </c>
      <c r="G9299" s="1">
        <v>21.0</v>
      </c>
    </row>
    <row r="9300">
      <c r="A9300" s="1" t="s">
        <v>10</v>
      </c>
      <c r="B9300" s="2">
        <v>44739.0</v>
      </c>
      <c r="C9300" s="3">
        <v>0.7223148148148149</v>
      </c>
      <c r="D9300" s="1">
        <v>13.064366</v>
      </c>
      <c r="E9300" s="1">
        <v>80.274028</v>
      </c>
      <c r="F9300" s="1">
        <v>5339.0</v>
      </c>
      <c r="G9300" s="1">
        <v>8.0</v>
      </c>
    </row>
    <row r="9301">
      <c r="A9301" s="1" t="s">
        <v>10</v>
      </c>
      <c r="B9301" s="2">
        <v>44739.0</v>
      </c>
      <c r="C9301" s="3">
        <v>0.7226388888888889</v>
      </c>
      <c r="D9301" s="1">
        <v>13.064366</v>
      </c>
      <c r="E9301" s="1">
        <v>80.274028</v>
      </c>
      <c r="F9301" s="1">
        <v>5339.0</v>
      </c>
      <c r="G9301" s="1">
        <v>8.0</v>
      </c>
    </row>
    <row r="9302">
      <c r="A9302" s="1" t="s">
        <v>10</v>
      </c>
      <c r="B9302" s="2">
        <v>44739.0</v>
      </c>
      <c r="C9302" s="3">
        <v>0.7226851851851852</v>
      </c>
      <c r="D9302" s="1">
        <v>13.053411</v>
      </c>
      <c r="E9302" s="1">
        <v>80.26381</v>
      </c>
      <c r="F9302" s="1">
        <v>805.0</v>
      </c>
      <c r="G9302" s="1">
        <v>15.0</v>
      </c>
    </row>
    <row r="9303">
      <c r="A9303" s="1" t="s">
        <v>10</v>
      </c>
      <c r="B9303" s="2">
        <v>44739.0</v>
      </c>
      <c r="C9303" s="3">
        <v>0.723275462962963</v>
      </c>
      <c r="D9303" s="1">
        <v>13.054378</v>
      </c>
      <c r="E9303" s="1">
        <v>80.264055</v>
      </c>
      <c r="F9303" s="1">
        <v>805.0</v>
      </c>
      <c r="G9303" s="1">
        <v>17.0</v>
      </c>
    </row>
    <row r="9304">
      <c r="A9304" s="1" t="s">
        <v>10</v>
      </c>
      <c r="B9304" s="2">
        <v>44739.0</v>
      </c>
      <c r="C9304" s="3">
        <v>0.7254050925925926</v>
      </c>
      <c r="D9304" s="1">
        <v>13.068403</v>
      </c>
      <c r="E9304" s="1">
        <v>80.268666</v>
      </c>
      <c r="F9304" s="1">
        <v>5339.0</v>
      </c>
      <c r="G9304" s="1">
        <v>25.0</v>
      </c>
    </row>
    <row r="9305">
      <c r="A9305" s="1" t="s">
        <v>10</v>
      </c>
      <c r="B9305" s="2">
        <v>44739.0</v>
      </c>
      <c r="C9305" s="3">
        <v>0.7266087962962963</v>
      </c>
      <c r="D9305" s="1">
        <v>13.071218</v>
      </c>
      <c r="E9305" s="1">
        <v>80.264902</v>
      </c>
      <c r="F9305" s="1">
        <v>5339.0</v>
      </c>
      <c r="G9305" s="1">
        <v>23.0</v>
      </c>
    </row>
    <row r="9306">
      <c r="A9306" s="1" t="s">
        <v>10</v>
      </c>
      <c r="B9306" s="2">
        <v>44739.0</v>
      </c>
      <c r="C9306" s="3">
        <v>0.7266319444444445</v>
      </c>
      <c r="D9306" s="1">
        <v>13.071218</v>
      </c>
      <c r="E9306" s="1">
        <v>80.264902</v>
      </c>
      <c r="F9306" s="1">
        <v>5339.0</v>
      </c>
      <c r="G9306" s="1">
        <v>23.0</v>
      </c>
    </row>
    <row r="9307">
      <c r="A9307" s="1" t="s">
        <v>10</v>
      </c>
      <c r="B9307" s="2">
        <v>44739.0</v>
      </c>
      <c r="C9307" s="3">
        <v>0.7269097222222223</v>
      </c>
      <c r="D9307" s="1">
        <v>13.066887</v>
      </c>
      <c r="E9307" s="1">
        <v>80.268459</v>
      </c>
      <c r="F9307" s="1">
        <v>805.0</v>
      </c>
      <c r="G9307" s="1">
        <v>23.0</v>
      </c>
    </row>
    <row r="9308">
      <c r="A9308" s="1" t="s">
        <v>10</v>
      </c>
      <c r="B9308" s="2">
        <v>44739.0</v>
      </c>
      <c r="C9308" s="3">
        <v>0.7269791666666666</v>
      </c>
      <c r="D9308" s="1">
        <v>13.072211</v>
      </c>
      <c r="E9308" s="1">
        <v>80.263761</v>
      </c>
      <c r="F9308" s="1">
        <v>5339.0</v>
      </c>
      <c r="G9308" s="1">
        <v>30.0</v>
      </c>
    </row>
    <row r="9309">
      <c r="A9309" s="1" t="s">
        <v>8</v>
      </c>
      <c r="B9309" s="2">
        <v>44739.0</v>
      </c>
      <c r="C9309" s="3">
        <v>0.7271180555555555</v>
      </c>
      <c r="D9309" s="1">
        <v>13.072452</v>
      </c>
      <c r="E9309" s="1">
        <v>80.263179</v>
      </c>
      <c r="F9309" s="1">
        <v>5339.0</v>
      </c>
      <c r="G9309" s="1">
        <v>12.0</v>
      </c>
    </row>
    <row r="9310">
      <c r="A9310" s="1" t="s">
        <v>8</v>
      </c>
      <c r="B9310" s="2">
        <v>44739.0</v>
      </c>
      <c r="C9310" s="3">
        <v>0.7271412037037037</v>
      </c>
      <c r="D9310" s="1">
        <v>13.072452</v>
      </c>
      <c r="E9310" s="1">
        <v>80.263179</v>
      </c>
      <c r="F9310" s="1">
        <v>5339.0</v>
      </c>
      <c r="G9310" s="1">
        <v>12.0</v>
      </c>
    </row>
    <row r="9311">
      <c r="A9311" s="1" t="s">
        <v>8</v>
      </c>
      <c r="B9311" s="2">
        <v>44739.0</v>
      </c>
      <c r="C9311" s="3">
        <v>0.7271875</v>
      </c>
      <c r="D9311" s="1">
        <v>13.072452</v>
      </c>
      <c r="E9311" s="1">
        <v>80.263179</v>
      </c>
      <c r="F9311" s="1">
        <v>5339.0</v>
      </c>
      <c r="G9311" s="1">
        <v>12.0</v>
      </c>
    </row>
    <row r="9312">
      <c r="A9312" s="1" t="s">
        <v>10</v>
      </c>
      <c r="B9312" s="2">
        <v>44739.0</v>
      </c>
      <c r="C9312" s="3">
        <v>0.7273263888888889</v>
      </c>
      <c r="D9312" s="1">
        <v>13.068474</v>
      </c>
      <c r="E9312" s="1">
        <v>80.268598</v>
      </c>
      <c r="F9312" s="1">
        <v>805.0</v>
      </c>
      <c r="G9312" s="1">
        <v>22.0</v>
      </c>
    </row>
    <row r="9313">
      <c r="A9313" s="1" t="s">
        <v>10</v>
      </c>
      <c r="B9313" s="2">
        <v>44739.0</v>
      </c>
      <c r="C9313" s="3">
        <v>0.7277777777777777</v>
      </c>
      <c r="D9313" s="1">
        <v>13.068999</v>
      </c>
      <c r="E9313" s="1">
        <v>80.267176</v>
      </c>
      <c r="F9313" s="1">
        <v>805.0</v>
      </c>
      <c r="G9313" s="1">
        <v>14.0</v>
      </c>
    </row>
    <row r="9314">
      <c r="A9314" s="1" t="s">
        <v>10</v>
      </c>
      <c r="B9314" s="2">
        <v>44739.0</v>
      </c>
      <c r="C9314" s="3">
        <v>0.7307291666666667</v>
      </c>
      <c r="D9314" s="1">
        <v>13.06751</v>
      </c>
      <c r="E9314" s="1">
        <v>80.255004</v>
      </c>
      <c r="F9314" s="1">
        <v>5339.0</v>
      </c>
      <c r="G9314" s="1">
        <v>4.0</v>
      </c>
    </row>
    <row r="9315">
      <c r="A9315" s="1" t="s">
        <v>9</v>
      </c>
      <c r="B9315" s="2">
        <v>44739.0</v>
      </c>
      <c r="C9315" s="3">
        <v>0.731550925925926</v>
      </c>
      <c r="D9315" s="1">
        <v>13.067151</v>
      </c>
      <c r="E9315" s="1">
        <v>80.253781</v>
      </c>
      <c r="F9315" s="1">
        <v>5339.0</v>
      </c>
      <c r="G9315" s="1">
        <v>32.0</v>
      </c>
    </row>
    <row r="9316">
      <c r="A9316" s="1" t="s">
        <v>9</v>
      </c>
      <c r="B9316" s="2">
        <v>44739.0</v>
      </c>
      <c r="C9316" s="3">
        <v>0.7318287037037037</v>
      </c>
      <c r="D9316" s="1">
        <v>13.068118</v>
      </c>
      <c r="E9316" s="1">
        <v>80.252498</v>
      </c>
      <c r="F9316" s="1">
        <v>5339.0</v>
      </c>
      <c r="G9316" s="1">
        <v>27.0</v>
      </c>
    </row>
    <row r="9317">
      <c r="A9317" s="1" t="s">
        <v>8</v>
      </c>
      <c r="B9317" s="2">
        <v>44739.0</v>
      </c>
      <c r="C9317" s="3">
        <v>0.7324189814814814</v>
      </c>
      <c r="D9317" s="1">
        <v>13.06766</v>
      </c>
      <c r="E9317" s="1">
        <v>80.255134</v>
      </c>
      <c r="F9317" s="1">
        <v>805.0</v>
      </c>
      <c r="G9317" s="1">
        <v>0.0</v>
      </c>
    </row>
    <row r="9318">
      <c r="A9318" s="1" t="s">
        <v>8</v>
      </c>
      <c r="B9318" s="2">
        <v>44739.0</v>
      </c>
      <c r="C9318" s="3">
        <v>0.7324421296296296</v>
      </c>
      <c r="D9318" s="1">
        <v>13.06766</v>
      </c>
      <c r="E9318" s="1">
        <v>80.255134</v>
      </c>
      <c r="F9318" s="1">
        <v>805.0</v>
      </c>
      <c r="G9318" s="1">
        <v>0.0</v>
      </c>
    </row>
    <row r="9319">
      <c r="A9319" s="1" t="s">
        <v>8</v>
      </c>
      <c r="B9319" s="2">
        <v>44739.0</v>
      </c>
      <c r="C9319" s="3">
        <v>0.7325810185185185</v>
      </c>
      <c r="D9319" s="1">
        <v>13.067515</v>
      </c>
      <c r="E9319" s="1">
        <v>80.255074</v>
      </c>
      <c r="F9319" s="1">
        <v>805.0</v>
      </c>
      <c r="G9319" s="1">
        <v>0.0</v>
      </c>
    </row>
    <row r="9320">
      <c r="A9320" s="1" t="s">
        <v>8</v>
      </c>
      <c r="B9320" s="2">
        <v>44739.0</v>
      </c>
      <c r="C9320" s="3">
        <v>0.7353240740740741</v>
      </c>
      <c r="D9320" s="1">
        <v>13.065645</v>
      </c>
      <c r="E9320" s="1">
        <v>80.247829</v>
      </c>
      <c r="F9320" s="1">
        <v>5339.0</v>
      </c>
      <c r="G9320" s="1">
        <v>17.0</v>
      </c>
    </row>
    <row r="9321">
      <c r="A9321" s="1" t="s">
        <v>10</v>
      </c>
      <c r="B9321" s="2">
        <v>44739.0</v>
      </c>
      <c r="C9321" s="3">
        <v>0.7357986111111111</v>
      </c>
      <c r="D9321" s="1">
        <v>13.064144</v>
      </c>
      <c r="E9321" s="1">
        <v>80.249126</v>
      </c>
      <c r="F9321" s="1">
        <v>5339.0</v>
      </c>
      <c r="G9321" s="1">
        <v>28.0</v>
      </c>
    </row>
    <row r="9322">
      <c r="A9322" s="1" t="s">
        <v>10</v>
      </c>
      <c r="B9322" s="2">
        <v>44739.0</v>
      </c>
      <c r="C9322" s="3">
        <v>0.7373032407407407</v>
      </c>
      <c r="D9322" s="1">
        <v>13.064499</v>
      </c>
      <c r="E9322" s="1">
        <v>80.247835</v>
      </c>
      <c r="F9322" s="1">
        <v>805.0</v>
      </c>
      <c r="G9322" s="1">
        <v>0.0</v>
      </c>
    </row>
    <row r="9323">
      <c r="A9323" s="1" t="s">
        <v>7</v>
      </c>
      <c r="B9323" s="2">
        <v>44740.0</v>
      </c>
      <c r="C9323" s="3">
        <v>0.28715277777777776</v>
      </c>
      <c r="D9323" s="1">
        <v>12.439145</v>
      </c>
      <c r="E9323" s="1">
        <v>79.835391</v>
      </c>
      <c r="F9323" s="1">
        <v>2846.0</v>
      </c>
      <c r="G9323" s="1">
        <v>17.0</v>
      </c>
    </row>
    <row r="9324">
      <c r="A9324" s="1" t="s">
        <v>7</v>
      </c>
      <c r="B9324" s="2">
        <v>44740.0</v>
      </c>
      <c r="C9324" s="3">
        <v>0.2874421296296296</v>
      </c>
      <c r="D9324" s="1">
        <v>12.444161</v>
      </c>
      <c r="E9324" s="1">
        <v>79.837616</v>
      </c>
      <c r="F9324" s="1">
        <v>2846.0</v>
      </c>
      <c r="G9324" s="1">
        <v>52.0</v>
      </c>
    </row>
    <row r="9325">
      <c r="A9325" s="1" t="s">
        <v>7</v>
      </c>
      <c r="B9325" s="2">
        <v>44740.0</v>
      </c>
      <c r="C9325" s="3">
        <v>0.29082175925925924</v>
      </c>
      <c r="D9325" s="1">
        <v>12.470143</v>
      </c>
      <c r="E9325" s="1">
        <v>79.853145</v>
      </c>
      <c r="F9325" s="1">
        <v>2846.0</v>
      </c>
      <c r="G9325" s="1">
        <v>58.0</v>
      </c>
    </row>
    <row r="9326">
      <c r="A9326" s="1" t="s">
        <v>7</v>
      </c>
      <c r="B9326" s="2">
        <v>44740.0</v>
      </c>
      <c r="C9326" s="3">
        <v>0.29203703703703704</v>
      </c>
      <c r="D9326" s="1">
        <v>12.491785</v>
      </c>
      <c r="E9326" s="1">
        <v>79.868229</v>
      </c>
      <c r="F9326" s="1">
        <v>2846.0</v>
      </c>
      <c r="G9326" s="1">
        <v>58.0</v>
      </c>
    </row>
    <row r="9327">
      <c r="A9327" s="1" t="s">
        <v>7</v>
      </c>
      <c r="B9327" s="2">
        <v>44740.0</v>
      </c>
      <c r="C9327" s="3">
        <v>0.29215277777777776</v>
      </c>
      <c r="D9327" s="1">
        <v>12.495046</v>
      </c>
      <c r="E9327" s="1">
        <v>79.87119</v>
      </c>
      <c r="F9327" s="1">
        <v>2846.0</v>
      </c>
      <c r="G9327" s="1">
        <v>55.0</v>
      </c>
    </row>
    <row r="9328">
      <c r="A9328" s="1" t="s">
        <v>10</v>
      </c>
      <c r="B9328" s="2">
        <v>44740.0</v>
      </c>
      <c r="C9328" s="3">
        <v>0.2933912037037037</v>
      </c>
      <c r="D9328" s="1">
        <v>13.063884</v>
      </c>
      <c r="E9328" s="1">
        <v>80.249929</v>
      </c>
      <c r="F9328" s="1">
        <v>5339.0</v>
      </c>
      <c r="G9328" s="1">
        <v>22.0</v>
      </c>
    </row>
    <row r="9329">
      <c r="A9329" s="1" t="s">
        <v>7</v>
      </c>
      <c r="B9329" s="2">
        <v>44740.0</v>
      </c>
      <c r="C9329" s="3">
        <v>0.2937962962962963</v>
      </c>
      <c r="D9329" s="1">
        <v>12.510092</v>
      </c>
      <c r="E9329" s="1">
        <v>79.882648</v>
      </c>
      <c r="F9329" s="1">
        <v>2846.0</v>
      </c>
      <c r="G9329" s="1">
        <v>58.0</v>
      </c>
    </row>
    <row r="9330">
      <c r="A9330" s="1" t="s">
        <v>7</v>
      </c>
      <c r="B9330" s="2">
        <v>44740.0</v>
      </c>
      <c r="C9330" s="3">
        <v>0.2940277777777778</v>
      </c>
      <c r="D9330" s="1">
        <v>12.514977</v>
      </c>
      <c r="E9330" s="1">
        <v>79.885664</v>
      </c>
      <c r="F9330" s="1">
        <v>2846.0</v>
      </c>
      <c r="G9330" s="1">
        <v>58.0</v>
      </c>
    </row>
    <row r="9331">
      <c r="A9331" s="1" t="s">
        <v>8</v>
      </c>
      <c r="B9331" s="2">
        <v>44740.0</v>
      </c>
      <c r="C9331" s="3">
        <v>0.2959027777777778</v>
      </c>
      <c r="D9331" s="1">
        <v>12.51021</v>
      </c>
      <c r="E9331" s="1">
        <v>79.885747</v>
      </c>
      <c r="F9331" s="1">
        <v>2846.0</v>
      </c>
      <c r="G9331" s="1">
        <v>31.0</v>
      </c>
    </row>
    <row r="9332">
      <c r="A9332" s="1" t="s">
        <v>8</v>
      </c>
      <c r="B9332" s="2">
        <v>44740.0</v>
      </c>
      <c r="C9332" s="3">
        <v>0.2959375</v>
      </c>
      <c r="D9332" s="1">
        <v>12.51021</v>
      </c>
      <c r="E9332" s="1">
        <v>79.885747</v>
      </c>
      <c r="F9332" s="1">
        <v>2846.0</v>
      </c>
      <c r="G9332" s="1">
        <v>31.0</v>
      </c>
    </row>
    <row r="9333">
      <c r="A9333" s="1" t="s">
        <v>10</v>
      </c>
      <c r="B9333" s="2">
        <v>44740.0</v>
      </c>
      <c r="C9333" s="3">
        <v>0.30008101851851854</v>
      </c>
      <c r="D9333" s="1">
        <v>13.071751</v>
      </c>
      <c r="E9333" s="1">
        <v>80.264377</v>
      </c>
      <c r="F9333" s="1">
        <v>5339.0</v>
      </c>
      <c r="G9333" s="1">
        <v>27.0</v>
      </c>
    </row>
    <row r="9334">
      <c r="A9334" s="1" t="s">
        <v>8</v>
      </c>
      <c r="B9334" s="2">
        <v>44740.0</v>
      </c>
      <c r="C9334" s="3">
        <v>0.30236111111111114</v>
      </c>
      <c r="D9334" s="1">
        <v>13.06697</v>
      </c>
      <c r="E9334" s="1">
        <v>80.268582</v>
      </c>
      <c r="F9334" s="1">
        <v>805.0</v>
      </c>
      <c r="G9334" s="1">
        <v>25.0</v>
      </c>
    </row>
    <row r="9335">
      <c r="A9335" s="1" t="s">
        <v>8</v>
      </c>
      <c r="B9335" s="2">
        <v>44740.0</v>
      </c>
      <c r="C9335" s="3">
        <v>0.3029861111111111</v>
      </c>
      <c r="D9335" s="1">
        <v>13.068061</v>
      </c>
      <c r="E9335" s="1">
        <v>80.272223</v>
      </c>
      <c r="F9335" s="1">
        <v>5339.0</v>
      </c>
      <c r="G9335" s="1">
        <v>32.0</v>
      </c>
    </row>
    <row r="9336">
      <c r="A9336" s="1" t="s">
        <v>8</v>
      </c>
      <c r="B9336" s="2">
        <v>44740.0</v>
      </c>
      <c r="C9336" s="3">
        <v>0.3030555555555556</v>
      </c>
      <c r="D9336" s="1">
        <v>13.067466</v>
      </c>
      <c r="E9336" s="1">
        <v>80.272893</v>
      </c>
      <c r="F9336" s="1">
        <v>5339.0</v>
      </c>
      <c r="G9336" s="1">
        <v>36.0</v>
      </c>
    </row>
    <row r="9337">
      <c r="A9337" s="1" t="s">
        <v>10</v>
      </c>
      <c r="B9337" s="2">
        <v>44740.0</v>
      </c>
      <c r="C9337" s="3">
        <v>0.3032638888888889</v>
      </c>
      <c r="D9337" s="1">
        <v>13.066561</v>
      </c>
      <c r="E9337" s="1">
        <v>80.273734</v>
      </c>
      <c r="F9337" s="1">
        <v>5339.0</v>
      </c>
      <c r="G9337" s="1">
        <v>20.0</v>
      </c>
    </row>
    <row r="9338">
      <c r="A9338" s="1" t="s">
        <v>10</v>
      </c>
      <c r="B9338" s="2">
        <v>44740.0</v>
      </c>
      <c r="C9338" s="3">
        <v>0.3034375</v>
      </c>
      <c r="D9338" s="1">
        <v>13.065986</v>
      </c>
      <c r="E9338" s="1">
        <v>80.273746</v>
      </c>
      <c r="F9338" s="1">
        <v>5339.0</v>
      </c>
      <c r="G9338" s="1">
        <v>17.0</v>
      </c>
    </row>
    <row r="9339">
      <c r="A9339" s="1" t="s">
        <v>10</v>
      </c>
      <c r="B9339" s="2">
        <v>44740.0</v>
      </c>
      <c r="C9339" s="3">
        <v>0.303599537037037</v>
      </c>
      <c r="D9339" s="1">
        <v>13.064784</v>
      </c>
      <c r="E9339" s="1">
        <v>80.273866</v>
      </c>
      <c r="F9339" s="1">
        <v>5339.0</v>
      </c>
      <c r="G9339" s="1">
        <v>18.0</v>
      </c>
    </row>
    <row r="9340">
      <c r="A9340" s="1" t="s">
        <v>10</v>
      </c>
      <c r="B9340" s="2">
        <v>44740.0</v>
      </c>
      <c r="C9340" s="3">
        <v>0.3048032407407407</v>
      </c>
      <c r="D9340" s="1">
        <v>13.061082</v>
      </c>
      <c r="E9340" s="1">
        <v>80.274357</v>
      </c>
      <c r="F9340" s="1">
        <v>5339.0</v>
      </c>
      <c r="G9340" s="1">
        <v>6.0</v>
      </c>
    </row>
    <row r="9341">
      <c r="A9341" s="1" t="s">
        <v>10</v>
      </c>
      <c r="B9341" s="2">
        <v>44740.0</v>
      </c>
      <c r="C9341" s="3">
        <v>0.30592592592592593</v>
      </c>
      <c r="D9341" s="1">
        <v>13.058969</v>
      </c>
      <c r="E9341" s="1">
        <v>80.274197</v>
      </c>
      <c r="F9341" s="1">
        <v>5339.0</v>
      </c>
      <c r="G9341" s="1">
        <v>16.0</v>
      </c>
    </row>
    <row r="9342">
      <c r="A9342" s="1" t="s">
        <v>10</v>
      </c>
      <c r="B9342" s="2">
        <v>44740.0</v>
      </c>
      <c r="C9342" s="3">
        <v>0.3074074074074074</v>
      </c>
      <c r="D9342" s="1">
        <v>13.054151</v>
      </c>
      <c r="E9342" s="1">
        <v>80.273796</v>
      </c>
      <c r="F9342" s="1">
        <v>5339.0</v>
      </c>
      <c r="G9342" s="1">
        <v>18.0</v>
      </c>
    </row>
    <row r="9343">
      <c r="A9343" s="1" t="s">
        <v>10</v>
      </c>
      <c r="B9343" s="2">
        <v>44740.0</v>
      </c>
      <c r="C9343" s="3">
        <v>0.30765046296296295</v>
      </c>
      <c r="D9343" s="1">
        <v>13.058711</v>
      </c>
      <c r="E9343" s="1">
        <v>80.2655</v>
      </c>
      <c r="F9343" s="1">
        <v>805.0</v>
      </c>
      <c r="G9343" s="1">
        <v>21.0</v>
      </c>
    </row>
    <row r="9344">
      <c r="A9344" s="1" t="s">
        <v>10</v>
      </c>
      <c r="B9344" s="2">
        <v>44740.0</v>
      </c>
      <c r="C9344" s="3">
        <v>0.3086574074074074</v>
      </c>
      <c r="D9344" s="1">
        <v>13.053391</v>
      </c>
      <c r="E9344" s="1">
        <v>80.269859</v>
      </c>
      <c r="F9344" s="1">
        <v>5339.0</v>
      </c>
      <c r="G9344" s="1">
        <v>22.0</v>
      </c>
    </row>
    <row r="9345">
      <c r="A9345" s="1" t="s">
        <v>10</v>
      </c>
      <c r="B9345" s="2">
        <v>44740.0</v>
      </c>
      <c r="C9345" s="3">
        <v>0.3098958333333333</v>
      </c>
      <c r="D9345" s="1">
        <v>13.049002</v>
      </c>
      <c r="E9345" s="1">
        <v>80.26494</v>
      </c>
      <c r="F9345" s="1">
        <v>805.0</v>
      </c>
      <c r="G9345" s="1">
        <v>30.0</v>
      </c>
    </row>
    <row r="9346">
      <c r="A9346" s="1" t="s">
        <v>7</v>
      </c>
      <c r="B9346" s="2">
        <v>44740.0</v>
      </c>
      <c r="C9346" s="3">
        <v>0.31298611111111113</v>
      </c>
      <c r="D9346" s="1">
        <v>12.651586</v>
      </c>
      <c r="E9346" s="1">
        <v>79.940315</v>
      </c>
      <c r="F9346" s="1">
        <v>2846.0</v>
      </c>
      <c r="G9346" s="1">
        <v>57.0</v>
      </c>
    </row>
    <row r="9347">
      <c r="A9347" s="1" t="s">
        <v>8</v>
      </c>
      <c r="B9347" s="2">
        <v>44740.0</v>
      </c>
      <c r="C9347" s="3">
        <v>0.31399305555555557</v>
      </c>
      <c r="D9347" s="1">
        <v>12.657987</v>
      </c>
      <c r="E9347" s="1">
        <v>79.945356</v>
      </c>
      <c r="F9347" s="1">
        <v>2846.0</v>
      </c>
      <c r="G9347" s="1">
        <v>32.0</v>
      </c>
    </row>
    <row r="9348">
      <c r="A9348" s="1" t="s">
        <v>8</v>
      </c>
      <c r="B9348" s="2">
        <v>44740.0</v>
      </c>
      <c r="C9348" s="3">
        <v>0.3144212962962963</v>
      </c>
      <c r="D9348" s="1">
        <v>12.657453</v>
      </c>
      <c r="E9348" s="1">
        <v>79.947258</v>
      </c>
      <c r="F9348" s="1">
        <v>2846.0</v>
      </c>
      <c r="G9348" s="1">
        <v>40.0</v>
      </c>
    </row>
    <row r="9349">
      <c r="A9349" s="1" t="s">
        <v>7</v>
      </c>
      <c r="B9349" s="2">
        <v>44740.0</v>
      </c>
      <c r="C9349" s="3">
        <v>0.31483796296296296</v>
      </c>
      <c r="D9349" s="1">
        <v>12.655977</v>
      </c>
      <c r="E9349" s="1">
        <v>79.953212</v>
      </c>
      <c r="F9349" s="1">
        <v>2846.0</v>
      </c>
      <c r="G9349" s="1">
        <v>57.0</v>
      </c>
    </row>
    <row r="9350">
      <c r="A9350" s="1" t="s">
        <v>8</v>
      </c>
      <c r="B9350" s="2">
        <v>44740.0</v>
      </c>
      <c r="C9350" s="3">
        <v>0.3151157407407407</v>
      </c>
      <c r="D9350" s="1">
        <v>13.039649</v>
      </c>
      <c r="E9350" s="1">
        <v>80.247084</v>
      </c>
      <c r="F9350" s="1">
        <v>5339.0</v>
      </c>
      <c r="G9350" s="1">
        <v>11.0</v>
      </c>
    </row>
    <row r="9351">
      <c r="A9351" s="1" t="s">
        <v>8</v>
      </c>
      <c r="B9351" s="2">
        <v>44740.0</v>
      </c>
      <c r="C9351" s="3">
        <v>0.3151736111111111</v>
      </c>
      <c r="D9351" s="1">
        <v>13.039055</v>
      </c>
      <c r="E9351" s="1">
        <v>80.246948</v>
      </c>
      <c r="F9351" s="1">
        <v>5339.0</v>
      </c>
      <c r="G9351" s="1">
        <v>33.0</v>
      </c>
    </row>
    <row r="9352">
      <c r="A9352" s="1" t="s">
        <v>7</v>
      </c>
      <c r="B9352" s="2">
        <v>44740.0</v>
      </c>
      <c r="C9352" s="3">
        <v>0.3151851851851852</v>
      </c>
      <c r="D9352" s="1">
        <v>12.658062</v>
      </c>
      <c r="E9352" s="1">
        <v>79.958653</v>
      </c>
      <c r="F9352" s="1">
        <v>2846.0</v>
      </c>
      <c r="G9352" s="1">
        <v>53.0</v>
      </c>
    </row>
    <row r="9353">
      <c r="A9353" s="1" t="s">
        <v>8</v>
      </c>
      <c r="B9353" s="2">
        <v>44740.0</v>
      </c>
      <c r="C9353" s="3">
        <v>0.3164814814814815</v>
      </c>
      <c r="D9353" s="1">
        <v>13.031896</v>
      </c>
      <c r="E9353" s="1">
        <v>80.241595</v>
      </c>
      <c r="F9353" s="1">
        <v>5339.0</v>
      </c>
      <c r="G9353" s="1">
        <v>53.0</v>
      </c>
    </row>
    <row r="9354">
      <c r="A9354" s="1" t="s">
        <v>8</v>
      </c>
      <c r="B9354" s="2">
        <v>44740.0</v>
      </c>
      <c r="C9354" s="3">
        <v>0.31703703703703706</v>
      </c>
      <c r="D9354" s="1">
        <v>13.022936</v>
      </c>
      <c r="E9354" s="1">
        <v>80.263833</v>
      </c>
      <c r="F9354" s="1">
        <v>805.0</v>
      </c>
      <c r="G9354" s="1">
        <v>31.0</v>
      </c>
    </row>
    <row r="9355">
      <c r="A9355" s="1" t="s">
        <v>8</v>
      </c>
      <c r="B9355" s="2">
        <v>44740.0</v>
      </c>
      <c r="C9355" s="3">
        <v>0.31712962962962965</v>
      </c>
      <c r="D9355" s="1">
        <v>13.022153</v>
      </c>
      <c r="E9355" s="1">
        <v>80.26346</v>
      </c>
      <c r="F9355" s="1">
        <v>805.0</v>
      </c>
      <c r="G9355" s="1">
        <v>35.0</v>
      </c>
    </row>
    <row r="9356">
      <c r="A9356" s="1" t="s">
        <v>7</v>
      </c>
      <c r="B9356" s="2">
        <v>44740.0</v>
      </c>
      <c r="C9356" s="3">
        <v>0.31734953703703705</v>
      </c>
      <c r="D9356" s="1">
        <v>12.669085</v>
      </c>
      <c r="E9356" s="1">
        <v>79.974</v>
      </c>
      <c r="F9356" s="1">
        <v>2846.0</v>
      </c>
      <c r="G9356" s="1">
        <v>57.0</v>
      </c>
    </row>
    <row r="9357">
      <c r="A9357" s="1" t="s">
        <v>8</v>
      </c>
      <c r="B9357" s="2">
        <v>44740.0</v>
      </c>
      <c r="C9357" s="3">
        <v>0.3182175925925926</v>
      </c>
      <c r="D9357" s="1">
        <v>13.03083</v>
      </c>
      <c r="E9357" s="1">
        <v>80.239413</v>
      </c>
      <c r="F9357" s="1">
        <v>5339.0</v>
      </c>
      <c r="G9357" s="1">
        <v>32.0</v>
      </c>
    </row>
    <row r="9358">
      <c r="A9358" s="1" t="s">
        <v>8</v>
      </c>
      <c r="B9358" s="2">
        <v>44740.0</v>
      </c>
      <c r="C9358" s="3">
        <v>0.3182523148148148</v>
      </c>
      <c r="D9358" s="1">
        <v>13.03083</v>
      </c>
      <c r="E9358" s="1">
        <v>80.239413</v>
      </c>
      <c r="F9358" s="1">
        <v>5339.0</v>
      </c>
      <c r="G9358" s="1">
        <v>32.0</v>
      </c>
    </row>
    <row r="9359">
      <c r="A9359" s="1" t="s">
        <v>8</v>
      </c>
      <c r="B9359" s="2">
        <v>44740.0</v>
      </c>
      <c r="C9359" s="3">
        <v>0.3189699074074074</v>
      </c>
      <c r="D9359" s="1">
        <v>13.026225</v>
      </c>
      <c r="E9359" s="1">
        <v>80.23222</v>
      </c>
      <c r="F9359" s="1">
        <v>5339.0</v>
      </c>
      <c r="G9359" s="1">
        <v>29.0</v>
      </c>
    </row>
    <row r="9360">
      <c r="A9360" s="1" t="s">
        <v>8</v>
      </c>
      <c r="B9360" s="2">
        <v>44740.0</v>
      </c>
      <c r="C9360" s="3">
        <v>0.3194444444444444</v>
      </c>
      <c r="D9360" s="1">
        <v>13.012434</v>
      </c>
      <c r="E9360" s="1">
        <v>80.259267</v>
      </c>
      <c r="F9360" s="1">
        <v>805.0</v>
      </c>
      <c r="G9360" s="1">
        <v>43.0</v>
      </c>
    </row>
    <row r="9361">
      <c r="A9361" s="1" t="s">
        <v>7</v>
      </c>
      <c r="B9361" s="2">
        <v>44740.0</v>
      </c>
      <c r="C9361" s="3">
        <v>0.32056712962962963</v>
      </c>
      <c r="D9361" s="1">
        <v>13.022496</v>
      </c>
      <c r="E9361" s="1">
        <v>80.226765</v>
      </c>
      <c r="F9361" s="1">
        <v>5339.0</v>
      </c>
      <c r="G9361" s="1">
        <v>48.0</v>
      </c>
    </row>
    <row r="9362">
      <c r="A9362" s="1" t="s">
        <v>7</v>
      </c>
      <c r="B9362" s="2">
        <v>44740.0</v>
      </c>
      <c r="C9362" s="3">
        <v>0.32077546296296294</v>
      </c>
      <c r="D9362" s="1">
        <v>13.020427</v>
      </c>
      <c r="E9362" s="1">
        <v>80.225146</v>
      </c>
      <c r="F9362" s="1">
        <v>5339.0</v>
      </c>
      <c r="G9362" s="1">
        <v>52.0</v>
      </c>
    </row>
    <row r="9363">
      <c r="A9363" s="1" t="s">
        <v>9</v>
      </c>
      <c r="B9363" s="2">
        <v>44740.0</v>
      </c>
      <c r="C9363" s="3">
        <v>0.3209490740740741</v>
      </c>
      <c r="D9363" s="1">
        <v>12.684843</v>
      </c>
      <c r="E9363" s="1">
        <v>79.98347</v>
      </c>
      <c r="F9363" s="1">
        <v>2846.0</v>
      </c>
      <c r="G9363" s="1">
        <v>28.0</v>
      </c>
    </row>
    <row r="9364">
      <c r="A9364" s="1" t="s">
        <v>8</v>
      </c>
      <c r="B9364" s="2">
        <v>44740.0</v>
      </c>
      <c r="C9364" s="3">
        <v>0.3209837962962963</v>
      </c>
      <c r="D9364" s="1">
        <v>13.017892</v>
      </c>
      <c r="E9364" s="1">
        <v>80.224881</v>
      </c>
      <c r="F9364" s="1">
        <v>5339.0</v>
      </c>
      <c r="G9364" s="1">
        <v>56.0</v>
      </c>
    </row>
    <row r="9365">
      <c r="A9365" s="1" t="s">
        <v>9</v>
      </c>
      <c r="B9365" s="2">
        <v>44740.0</v>
      </c>
      <c r="C9365" s="3">
        <v>0.32113425925925926</v>
      </c>
      <c r="D9365" s="1">
        <v>13.016788</v>
      </c>
      <c r="E9365" s="1">
        <v>80.225365</v>
      </c>
      <c r="F9365" s="1">
        <v>5339.0</v>
      </c>
      <c r="G9365" s="1">
        <v>44.0</v>
      </c>
    </row>
    <row r="9366">
      <c r="A9366" s="1" t="s">
        <v>8</v>
      </c>
      <c r="B9366" s="2">
        <v>44740.0</v>
      </c>
      <c r="C9366" s="3">
        <v>0.3216087962962963</v>
      </c>
      <c r="D9366" s="1">
        <v>13.01259</v>
      </c>
      <c r="E9366" s="1">
        <v>80.226909</v>
      </c>
      <c r="F9366" s="1">
        <v>5339.0</v>
      </c>
      <c r="G9366" s="1">
        <v>56.0</v>
      </c>
    </row>
    <row r="9367">
      <c r="A9367" s="1" t="s">
        <v>7</v>
      </c>
      <c r="B9367" s="2">
        <v>44740.0</v>
      </c>
      <c r="C9367" s="3">
        <v>0.32166666666666666</v>
      </c>
      <c r="D9367" s="1">
        <v>13.011259</v>
      </c>
      <c r="E9367" s="1">
        <v>80.227456</v>
      </c>
      <c r="F9367" s="1">
        <v>5339.0</v>
      </c>
      <c r="G9367" s="1">
        <v>53.0</v>
      </c>
    </row>
    <row r="9368">
      <c r="A9368" s="1" t="s">
        <v>8</v>
      </c>
      <c r="B9368" s="2">
        <v>44740.0</v>
      </c>
      <c r="C9368" s="3">
        <v>0.3222453703703704</v>
      </c>
      <c r="D9368" s="1">
        <v>13.010917</v>
      </c>
      <c r="E9368" s="1">
        <v>80.224545</v>
      </c>
      <c r="F9368" s="1">
        <v>5339.0</v>
      </c>
      <c r="G9368" s="1">
        <v>47.0</v>
      </c>
    </row>
    <row r="9369">
      <c r="A9369" s="1" t="s">
        <v>8</v>
      </c>
      <c r="B9369" s="2">
        <v>44740.0</v>
      </c>
      <c r="C9369" s="3">
        <v>0.3235648148148148</v>
      </c>
      <c r="D9369" s="1">
        <v>13.006687</v>
      </c>
      <c r="E9369" s="1">
        <v>80.24572</v>
      </c>
      <c r="F9369" s="1">
        <v>805.0</v>
      </c>
      <c r="G9369" s="1">
        <v>36.0</v>
      </c>
    </row>
    <row r="9370">
      <c r="A9370" s="1" t="s">
        <v>8</v>
      </c>
      <c r="B9370" s="2">
        <v>44740.0</v>
      </c>
      <c r="C9370" s="3">
        <v>0.3236111111111111</v>
      </c>
      <c r="D9370" s="1">
        <v>13.006687</v>
      </c>
      <c r="E9370" s="1">
        <v>80.24572</v>
      </c>
      <c r="F9370" s="1">
        <v>805.0</v>
      </c>
      <c r="G9370" s="1">
        <v>36.0</v>
      </c>
    </row>
    <row r="9371">
      <c r="A9371" s="1" t="s">
        <v>8</v>
      </c>
      <c r="B9371" s="2">
        <v>44740.0</v>
      </c>
      <c r="C9371" s="3">
        <v>0.32363425925925926</v>
      </c>
      <c r="D9371" s="1">
        <v>13.006687</v>
      </c>
      <c r="E9371" s="1">
        <v>80.24572</v>
      </c>
      <c r="F9371" s="1">
        <v>805.0</v>
      </c>
      <c r="G9371" s="1">
        <v>36.0</v>
      </c>
    </row>
    <row r="9372">
      <c r="A9372" s="1" t="s">
        <v>8</v>
      </c>
      <c r="B9372" s="2">
        <v>44740.0</v>
      </c>
      <c r="C9372" s="3">
        <v>0.32363425925925926</v>
      </c>
      <c r="D9372" s="1">
        <v>12.692103</v>
      </c>
      <c r="E9372" s="1">
        <v>79.980047</v>
      </c>
      <c r="F9372" s="1">
        <v>2846.0</v>
      </c>
      <c r="G9372" s="1">
        <v>32.0</v>
      </c>
    </row>
    <row r="9373">
      <c r="A9373" s="1" t="s">
        <v>7</v>
      </c>
      <c r="B9373" s="2">
        <v>44740.0</v>
      </c>
      <c r="C9373" s="3">
        <v>0.3236805555555556</v>
      </c>
      <c r="D9373" s="1">
        <v>13.008442</v>
      </c>
      <c r="E9373" s="1">
        <v>80.210375</v>
      </c>
      <c r="F9373" s="1">
        <v>5339.0</v>
      </c>
      <c r="G9373" s="1">
        <v>52.0</v>
      </c>
    </row>
    <row r="9374">
      <c r="A9374" s="1" t="s">
        <v>7</v>
      </c>
      <c r="B9374" s="2">
        <v>44740.0</v>
      </c>
      <c r="C9374" s="3">
        <v>0.3237962962962963</v>
      </c>
      <c r="D9374" s="1">
        <v>13.008079</v>
      </c>
      <c r="E9374" s="1">
        <v>80.209078</v>
      </c>
      <c r="F9374" s="1">
        <v>5339.0</v>
      </c>
      <c r="G9374" s="1">
        <v>51.0</v>
      </c>
    </row>
    <row r="9375">
      <c r="A9375" s="1" t="s">
        <v>8</v>
      </c>
      <c r="B9375" s="2">
        <v>44740.0</v>
      </c>
      <c r="C9375" s="3">
        <v>0.323912037037037</v>
      </c>
      <c r="D9375" s="1">
        <v>13.007862</v>
      </c>
      <c r="E9375" s="1">
        <v>80.207812</v>
      </c>
      <c r="F9375" s="1">
        <v>5339.0</v>
      </c>
      <c r="G9375" s="1">
        <v>51.0</v>
      </c>
    </row>
    <row r="9376">
      <c r="A9376" s="1" t="s">
        <v>8</v>
      </c>
      <c r="B9376" s="2">
        <v>44740.0</v>
      </c>
      <c r="C9376" s="3">
        <v>0.3244097222222222</v>
      </c>
      <c r="D9376" s="1">
        <v>13.006894</v>
      </c>
      <c r="E9376" s="1">
        <v>80.240015</v>
      </c>
      <c r="F9376" s="1">
        <v>805.0</v>
      </c>
      <c r="G9376" s="1">
        <v>0.0</v>
      </c>
    </row>
    <row r="9377">
      <c r="A9377" s="1" t="s">
        <v>8</v>
      </c>
      <c r="B9377" s="2">
        <v>44740.0</v>
      </c>
      <c r="C9377" s="3">
        <v>0.32450231481481484</v>
      </c>
      <c r="D9377" s="1">
        <v>13.005699</v>
      </c>
      <c r="E9377" s="1">
        <v>80.202343</v>
      </c>
      <c r="F9377" s="1">
        <v>5339.0</v>
      </c>
      <c r="G9377" s="1">
        <v>46.0</v>
      </c>
    </row>
    <row r="9378">
      <c r="A9378" s="1" t="s">
        <v>8</v>
      </c>
      <c r="B9378" s="2">
        <v>44740.0</v>
      </c>
      <c r="C9378" s="3">
        <v>0.3245486111111111</v>
      </c>
      <c r="D9378" s="1">
        <v>12.694437</v>
      </c>
      <c r="E9378" s="1">
        <v>79.978488</v>
      </c>
      <c r="F9378" s="1">
        <v>2846.0</v>
      </c>
      <c r="G9378" s="1">
        <v>0.0</v>
      </c>
    </row>
    <row r="9379">
      <c r="A9379" s="1" t="s">
        <v>8</v>
      </c>
      <c r="B9379" s="2">
        <v>44740.0</v>
      </c>
      <c r="C9379" s="3">
        <v>0.32461805555555556</v>
      </c>
      <c r="D9379" s="1">
        <v>13.004864</v>
      </c>
      <c r="E9379" s="1">
        <v>80.201438</v>
      </c>
      <c r="F9379" s="1">
        <v>5339.0</v>
      </c>
      <c r="G9379" s="1">
        <v>47.0</v>
      </c>
    </row>
    <row r="9380">
      <c r="A9380" s="1" t="s">
        <v>8</v>
      </c>
      <c r="B9380" s="2">
        <v>44740.0</v>
      </c>
      <c r="C9380" s="3">
        <v>0.32466435185185183</v>
      </c>
      <c r="D9380" s="1">
        <v>13.003717</v>
      </c>
      <c r="E9380" s="1">
        <v>80.20097</v>
      </c>
      <c r="F9380" s="1">
        <v>5339.0</v>
      </c>
      <c r="G9380" s="1">
        <v>44.0</v>
      </c>
    </row>
    <row r="9381">
      <c r="A9381" s="1" t="s">
        <v>7</v>
      </c>
      <c r="B9381" s="2">
        <v>44740.0</v>
      </c>
      <c r="C9381" s="3">
        <v>0.3247453703703704</v>
      </c>
      <c r="D9381" s="1">
        <v>13.007508</v>
      </c>
      <c r="E9381" s="1">
        <v>80.236841</v>
      </c>
      <c r="F9381" s="1">
        <v>805.0</v>
      </c>
      <c r="G9381" s="1">
        <v>49.0</v>
      </c>
    </row>
    <row r="9382">
      <c r="A9382" s="1" t="s">
        <v>8</v>
      </c>
      <c r="B9382" s="2">
        <v>44740.0</v>
      </c>
      <c r="C9382" s="3">
        <v>0.3247800925925926</v>
      </c>
      <c r="D9382" s="1">
        <v>13.002753</v>
      </c>
      <c r="E9382" s="1">
        <v>80.200735</v>
      </c>
      <c r="F9382" s="1">
        <v>5339.0</v>
      </c>
      <c r="G9382" s="1">
        <v>35.0</v>
      </c>
    </row>
    <row r="9383">
      <c r="A9383" s="1" t="s">
        <v>8</v>
      </c>
      <c r="B9383" s="2">
        <v>44740.0</v>
      </c>
      <c r="C9383" s="3">
        <v>0.32480324074074074</v>
      </c>
      <c r="D9383" s="1">
        <v>13.007508</v>
      </c>
      <c r="E9383" s="1">
        <v>80.236841</v>
      </c>
      <c r="F9383" s="1">
        <v>805.0</v>
      </c>
      <c r="G9383" s="1">
        <v>49.0</v>
      </c>
    </row>
    <row r="9384">
      <c r="A9384" s="1" t="s">
        <v>8</v>
      </c>
      <c r="B9384" s="2">
        <v>44740.0</v>
      </c>
      <c r="C9384" s="3">
        <v>0.32488425925925923</v>
      </c>
      <c r="D9384" s="1">
        <v>13.002032</v>
      </c>
      <c r="E9384" s="1">
        <v>80.200209</v>
      </c>
      <c r="F9384" s="1">
        <v>5339.0</v>
      </c>
      <c r="G9384" s="1">
        <v>41.0</v>
      </c>
    </row>
    <row r="9385">
      <c r="A9385" s="1" t="s">
        <v>8</v>
      </c>
      <c r="B9385" s="2">
        <v>44740.0</v>
      </c>
      <c r="C9385" s="3">
        <v>0.32503472222222224</v>
      </c>
      <c r="D9385" s="1">
        <v>13.001752</v>
      </c>
      <c r="E9385" s="1">
        <v>80.199153</v>
      </c>
      <c r="F9385" s="1">
        <v>5339.0</v>
      </c>
      <c r="G9385" s="1">
        <v>44.0</v>
      </c>
    </row>
    <row r="9386">
      <c r="A9386" s="1" t="s">
        <v>8</v>
      </c>
      <c r="B9386" s="2">
        <v>44740.0</v>
      </c>
      <c r="C9386" s="3">
        <v>0.32511574074074073</v>
      </c>
      <c r="D9386" s="1">
        <v>13.001927</v>
      </c>
      <c r="E9386" s="1">
        <v>80.198044</v>
      </c>
      <c r="F9386" s="1">
        <v>5339.0</v>
      </c>
      <c r="G9386" s="1">
        <v>44.0</v>
      </c>
    </row>
    <row r="9387">
      <c r="A9387" s="1" t="s">
        <v>8</v>
      </c>
      <c r="B9387" s="2">
        <v>44740.0</v>
      </c>
      <c r="C9387" s="3">
        <v>0.32516203703703705</v>
      </c>
      <c r="D9387" s="1">
        <v>13.001927</v>
      </c>
      <c r="E9387" s="1">
        <v>80.198044</v>
      </c>
      <c r="F9387" s="1">
        <v>5339.0</v>
      </c>
      <c r="G9387" s="1">
        <v>44.0</v>
      </c>
    </row>
    <row r="9388">
      <c r="A9388" s="1" t="s">
        <v>7</v>
      </c>
      <c r="B9388" s="2">
        <v>44740.0</v>
      </c>
      <c r="C9388" s="3">
        <v>0.3253009259259259</v>
      </c>
      <c r="D9388" s="1">
        <v>13.007754</v>
      </c>
      <c r="E9388" s="1">
        <v>80.235554</v>
      </c>
      <c r="F9388" s="1">
        <v>805.0</v>
      </c>
      <c r="G9388" s="1">
        <v>45.0</v>
      </c>
    </row>
    <row r="9389">
      <c r="A9389" s="1" t="s">
        <v>8</v>
      </c>
      <c r="B9389" s="2">
        <v>44740.0</v>
      </c>
      <c r="C9389" s="3">
        <v>0.32534722222222223</v>
      </c>
      <c r="D9389" s="1">
        <v>12.69764</v>
      </c>
      <c r="E9389" s="1">
        <v>79.975734</v>
      </c>
      <c r="F9389" s="1">
        <v>2846.0</v>
      </c>
      <c r="G9389" s="1">
        <v>30.0</v>
      </c>
    </row>
    <row r="9390">
      <c r="A9390" s="1" t="s">
        <v>8</v>
      </c>
      <c r="B9390" s="2">
        <v>44740.0</v>
      </c>
      <c r="C9390" s="3">
        <v>0.3255208333333333</v>
      </c>
      <c r="D9390" s="1">
        <v>13.000956</v>
      </c>
      <c r="E9390" s="1">
        <v>80.195476</v>
      </c>
      <c r="F9390" s="1">
        <v>5339.0</v>
      </c>
      <c r="G9390" s="1">
        <v>45.0</v>
      </c>
    </row>
    <row r="9391">
      <c r="A9391" s="1" t="s">
        <v>7</v>
      </c>
      <c r="B9391" s="2">
        <v>44740.0</v>
      </c>
      <c r="C9391" s="3">
        <v>0.32555555555555554</v>
      </c>
      <c r="D9391" s="1">
        <v>13.000956</v>
      </c>
      <c r="E9391" s="1">
        <v>80.195476</v>
      </c>
      <c r="F9391" s="1">
        <v>5339.0</v>
      </c>
      <c r="G9391" s="1">
        <v>45.0</v>
      </c>
    </row>
    <row r="9392">
      <c r="A9392" s="1" t="s">
        <v>8</v>
      </c>
      <c r="B9392" s="2">
        <v>44740.0</v>
      </c>
      <c r="C9392" s="3">
        <v>0.32559027777777777</v>
      </c>
      <c r="D9392" s="1">
        <v>13.000164</v>
      </c>
      <c r="E9392" s="1">
        <v>80.194499</v>
      </c>
      <c r="F9392" s="1">
        <v>5339.0</v>
      </c>
      <c r="G9392" s="1">
        <v>52.0</v>
      </c>
    </row>
    <row r="9393">
      <c r="A9393" s="1" t="s">
        <v>8</v>
      </c>
      <c r="B9393" s="2">
        <v>44740.0</v>
      </c>
      <c r="C9393" s="3">
        <v>0.3256134259259259</v>
      </c>
      <c r="D9393" s="1">
        <v>13.000164</v>
      </c>
      <c r="E9393" s="1">
        <v>80.194499</v>
      </c>
      <c r="F9393" s="1">
        <v>5339.0</v>
      </c>
      <c r="G9393" s="1">
        <v>52.0</v>
      </c>
    </row>
    <row r="9394">
      <c r="A9394" s="1" t="s">
        <v>8</v>
      </c>
      <c r="B9394" s="2">
        <v>44740.0</v>
      </c>
      <c r="C9394" s="3">
        <v>0.3258333333333333</v>
      </c>
      <c r="D9394" s="1">
        <v>13.009147</v>
      </c>
      <c r="E9394" s="1">
        <v>80.228468</v>
      </c>
      <c r="F9394" s="1">
        <v>805.0</v>
      </c>
      <c r="G9394" s="1">
        <v>44.0</v>
      </c>
    </row>
    <row r="9395">
      <c r="A9395" s="1" t="s">
        <v>7</v>
      </c>
      <c r="B9395" s="2">
        <v>44740.0</v>
      </c>
      <c r="C9395" s="3">
        <v>0.32590277777777776</v>
      </c>
      <c r="D9395" s="1">
        <v>12.998621</v>
      </c>
      <c r="E9395" s="1">
        <v>80.192487</v>
      </c>
      <c r="F9395" s="1">
        <v>5339.0</v>
      </c>
      <c r="G9395" s="1">
        <v>48.0</v>
      </c>
    </row>
    <row r="9396">
      <c r="A9396" s="1" t="s">
        <v>10</v>
      </c>
      <c r="B9396" s="2">
        <v>44740.0</v>
      </c>
      <c r="C9396" s="3">
        <v>0.32622685185185185</v>
      </c>
      <c r="D9396" s="1">
        <v>12.697514</v>
      </c>
      <c r="E9396" s="1">
        <v>79.974872</v>
      </c>
      <c r="F9396" s="1">
        <v>2846.0</v>
      </c>
      <c r="G9396" s="1">
        <v>33.0</v>
      </c>
    </row>
    <row r="9397">
      <c r="A9397" s="1" t="s">
        <v>10</v>
      </c>
      <c r="B9397" s="2">
        <v>44740.0</v>
      </c>
      <c r="C9397" s="3">
        <v>0.3263888888888889</v>
      </c>
      <c r="D9397" s="1">
        <v>12.697514</v>
      </c>
      <c r="E9397" s="1">
        <v>79.974872</v>
      </c>
      <c r="F9397" s="1">
        <v>2846.0</v>
      </c>
      <c r="G9397" s="1">
        <v>33.0</v>
      </c>
    </row>
    <row r="9398">
      <c r="A9398" s="1" t="s">
        <v>8</v>
      </c>
      <c r="B9398" s="2">
        <v>44740.0</v>
      </c>
      <c r="C9398" s="3">
        <v>0.32653935185185184</v>
      </c>
      <c r="D9398" s="1">
        <v>13.011452</v>
      </c>
      <c r="E9398" s="1">
        <v>80.223173</v>
      </c>
      <c r="F9398" s="1">
        <v>805.0</v>
      </c>
      <c r="G9398" s="1">
        <v>22.0</v>
      </c>
    </row>
    <row r="9399">
      <c r="A9399" s="1" t="s">
        <v>8</v>
      </c>
      <c r="B9399" s="2">
        <v>44740.0</v>
      </c>
      <c r="C9399" s="3">
        <v>0.3266087962962963</v>
      </c>
      <c r="D9399" s="1">
        <v>13.011452</v>
      </c>
      <c r="E9399" s="1">
        <v>80.223173</v>
      </c>
      <c r="F9399" s="1">
        <v>805.0</v>
      </c>
      <c r="G9399" s="1">
        <v>22.0</v>
      </c>
    </row>
    <row r="9400">
      <c r="A9400" s="1" t="s">
        <v>7</v>
      </c>
      <c r="B9400" s="2">
        <v>44740.0</v>
      </c>
      <c r="C9400" s="3">
        <v>0.3268171296296296</v>
      </c>
      <c r="D9400" s="1">
        <v>12.995565</v>
      </c>
      <c r="E9400" s="1">
        <v>80.188726</v>
      </c>
      <c r="F9400" s="1">
        <v>5339.0</v>
      </c>
      <c r="G9400" s="1">
        <v>38.0</v>
      </c>
    </row>
    <row r="9401">
      <c r="A9401" s="1" t="s">
        <v>8</v>
      </c>
      <c r="B9401" s="2">
        <v>44740.0</v>
      </c>
      <c r="C9401" s="3">
        <v>0.3273726851851852</v>
      </c>
      <c r="D9401" s="1">
        <v>12.993429</v>
      </c>
      <c r="E9401" s="1">
        <v>80.184504</v>
      </c>
      <c r="F9401" s="1">
        <v>5339.0</v>
      </c>
      <c r="G9401" s="1">
        <v>44.0</v>
      </c>
    </row>
    <row r="9402">
      <c r="A9402" s="1" t="s">
        <v>7</v>
      </c>
      <c r="B9402" s="2">
        <v>44740.0</v>
      </c>
      <c r="C9402" s="3">
        <v>0.3276967592592593</v>
      </c>
      <c r="D9402" s="1">
        <v>12.700073</v>
      </c>
      <c r="E9402" s="1">
        <v>79.96839</v>
      </c>
      <c r="F9402" s="1">
        <v>2846.0</v>
      </c>
      <c r="G9402" s="1">
        <v>14.0</v>
      </c>
    </row>
    <row r="9403">
      <c r="A9403" s="1" t="s">
        <v>7</v>
      </c>
      <c r="B9403" s="2">
        <v>44740.0</v>
      </c>
      <c r="C9403" s="3">
        <v>0.3278125</v>
      </c>
      <c r="D9403" s="1">
        <v>12.990434</v>
      </c>
      <c r="E9403" s="1">
        <v>80.180216</v>
      </c>
      <c r="F9403" s="1">
        <v>5339.0</v>
      </c>
      <c r="G9403" s="1">
        <v>51.0</v>
      </c>
    </row>
    <row r="9404">
      <c r="A9404" s="1" t="s">
        <v>8</v>
      </c>
      <c r="B9404" s="2">
        <v>44740.0</v>
      </c>
      <c r="C9404" s="3">
        <v>0.3278587962962963</v>
      </c>
      <c r="D9404" s="1">
        <v>12.990434</v>
      </c>
      <c r="E9404" s="1">
        <v>80.180216</v>
      </c>
      <c r="F9404" s="1">
        <v>5339.0</v>
      </c>
      <c r="G9404" s="1">
        <v>51.0</v>
      </c>
    </row>
    <row r="9405">
      <c r="A9405" s="1" t="s">
        <v>7</v>
      </c>
      <c r="B9405" s="2">
        <v>44740.0</v>
      </c>
      <c r="C9405" s="3">
        <v>0.3281597222222222</v>
      </c>
      <c r="D9405" s="1">
        <v>12.988424</v>
      </c>
      <c r="E9405" s="1">
        <v>80.177684</v>
      </c>
      <c r="F9405" s="1">
        <v>5339.0</v>
      </c>
      <c r="G9405" s="1">
        <v>51.0</v>
      </c>
    </row>
    <row r="9406">
      <c r="A9406" s="1" t="s">
        <v>8</v>
      </c>
      <c r="B9406" s="2">
        <v>44740.0</v>
      </c>
      <c r="C9406" s="3">
        <v>0.3282291666666667</v>
      </c>
      <c r="D9406" s="1">
        <v>13.008876</v>
      </c>
      <c r="E9406" s="1">
        <v>80.211543</v>
      </c>
      <c r="F9406" s="1">
        <v>805.0</v>
      </c>
      <c r="G9406" s="1">
        <v>56.0</v>
      </c>
    </row>
    <row r="9407">
      <c r="A9407" s="1" t="s">
        <v>8</v>
      </c>
      <c r="B9407" s="2">
        <v>44740.0</v>
      </c>
      <c r="C9407" s="3">
        <v>0.3284722222222222</v>
      </c>
      <c r="D9407" s="1">
        <v>13.006934</v>
      </c>
      <c r="E9407" s="1">
        <v>80.204349</v>
      </c>
      <c r="F9407" s="1">
        <v>805.0</v>
      </c>
      <c r="G9407" s="1">
        <v>28.0</v>
      </c>
    </row>
    <row r="9408">
      <c r="A9408" s="1" t="s">
        <v>8</v>
      </c>
      <c r="B9408" s="2">
        <v>44740.0</v>
      </c>
      <c r="C9408" s="3">
        <v>0.32859953703703704</v>
      </c>
      <c r="D9408" s="1">
        <v>12.986213</v>
      </c>
      <c r="E9408" s="1">
        <v>80.174502</v>
      </c>
      <c r="F9408" s="1">
        <v>5339.0</v>
      </c>
      <c r="G9408" s="1">
        <v>39.0</v>
      </c>
    </row>
    <row r="9409">
      <c r="A9409" s="1" t="s">
        <v>8</v>
      </c>
      <c r="B9409" s="2">
        <v>44740.0</v>
      </c>
      <c r="C9409" s="3">
        <v>0.3290740740740741</v>
      </c>
      <c r="D9409" s="1">
        <v>13.00332</v>
      </c>
      <c r="E9409" s="1">
        <v>80.200822</v>
      </c>
      <c r="F9409" s="1">
        <v>805.0</v>
      </c>
      <c r="G9409" s="1">
        <v>48.0</v>
      </c>
    </row>
    <row r="9410">
      <c r="A9410" s="1" t="s">
        <v>8</v>
      </c>
      <c r="B9410" s="2">
        <v>44740.0</v>
      </c>
      <c r="C9410" s="3">
        <v>0.3291203703703704</v>
      </c>
      <c r="D9410" s="1">
        <v>12.984164</v>
      </c>
      <c r="E9410" s="1">
        <v>80.171374</v>
      </c>
      <c r="F9410" s="1">
        <v>5339.0</v>
      </c>
      <c r="G9410" s="1">
        <v>37.0</v>
      </c>
    </row>
    <row r="9411">
      <c r="A9411" s="1" t="s">
        <v>8</v>
      </c>
      <c r="B9411" s="2">
        <v>44740.0</v>
      </c>
      <c r="C9411" s="3">
        <v>0.32916666666666666</v>
      </c>
      <c r="D9411" s="1">
        <v>13.00332</v>
      </c>
      <c r="E9411" s="1">
        <v>80.200822</v>
      </c>
      <c r="F9411" s="1">
        <v>805.0</v>
      </c>
      <c r="G9411" s="1">
        <v>48.0</v>
      </c>
    </row>
    <row r="9412">
      <c r="A9412" s="1" t="s">
        <v>8</v>
      </c>
      <c r="B9412" s="2">
        <v>44740.0</v>
      </c>
      <c r="C9412" s="3">
        <v>0.3291898148148148</v>
      </c>
      <c r="D9412" s="1">
        <v>13.00332</v>
      </c>
      <c r="E9412" s="1">
        <v>80.200822</v>
      </c>
      <c r="F9412" s="1">
        <v>805.0</v>
      </c>
      <c r="G9412" s="1">
        <v>48.0</v>
      </c>
    </row>
    <row r="9413">
      <c r="A9413" s="1" t="s">
        <v>8</v>
      </c>
      <c r="B9413" s="2">
        <v>44740.0</v>
      </c>
      <c r="C9413" s="3">
        <v>0.3293171296296296</v>
      </c>
      <c r="D9413" s="1">
        <v>12.983008</v>
      </c>
      <c r="E9413" s="1">
        <v>80.16944</v>
      </c>
      <c r="F9413" s="1">
        <v>5339.0</v>
      </c>
      <c r="G9413" s="1">
        <v>49.0</v>
      </c>
    </row>
    <row r="9414">
      <c r="A9414" s="1" t="s">
        <v>8</v>
      </c>
      <c r="B9414" s="2">
        <v>44740.0</v>
      </c>
      <c r="C9414" s="3">
        <v>0.3293171296296296</v>
      </c>
      <c r="D9414" s="1">
        <v>13.001853</v>
      </c>
      <c r="E9414" s="1">
        <v>80.199957</v>
      </c>
      <c r="F9414" s="1">
        <v>805.0</v>
      </c>
      <c r="G9414" s="1">
        <v>41.0</v>
      </c>
    </row>
    <row r="9415">
      <c r="A9415" s="1" t="s">
        <v>8</v>
      </c>
      <c r="B9415" s="2">
        <v>44740.0</v>
      </c>
      <c r="C9415" s="3">
        <v>0.32958333333333334</v>
      </c>
      <c r="D9415" s="1">
        <v>12.981748</v>
      </c>
      <c r="E9415" s="1">
        <v>80.167348</v>
      </c>
      <c r="F9415" s="1">
        <v>5339.0</v>
      </c>
      <c r="G9415" s="1">
        <v>48.0</v>
      </c>
    </row>
    <row r="9416">
      <c r="A9416" s="1" t="s">
        <v>7</v>
      </c>
      <c r="B9416" s="2">
        <v>44740.0</v>
      </c>
      <c r="C9416" s="3">
        <v>0.3296412037037037</v>
      </c>
      <c r="D9416" s="1">
        <v>13.001885</v>
      </c>
      <c r="E9416" s="1">
        <v>80.196737</v>
      </c>
      <c r="F9416" s="1">
        <v>805.0</v>
      </c>
      <c r="G9416" s="1">
        <v>45.0</v>
      </c>
    </row>
    <row r="9417">
      <c r="A9417" s="1" t="s">
        <v>7</v>
      </c>
      <c r="B9417" s="2">
        <v>44740.0</v>
      </c>
      <c r="C9417" s="3">
        <v>0.3298263888888889</v>
      </c>
      <c r="D9417" s="1">
        <v>13.000861</v>
      </c>
      <c r="E9417" s="1">
        <v>80.195309</v>
      </c>
      <c r="F9417" s="1">
        <v>805.0</v>
      </c>
      <c r="G9417" s="1">
        <v>55.0</v>
      </c>
    </row>
    <row r="9418">
      <c r="A9418" s="1" t="s">
        <v>7</v>
      </c>
      <c r="B9418" s="2">
        <v>44740.0</v>
      </c>
      <c r="C9418" s="3">
        <v>0.3299884259259259</v>
      </c>
      <c r="D9418" s="1">
        <v>12.999476</v>
      </c>
      <c r="E9418" s="1">
        <v>80.193532</v>
      </c>
      <c r="F9418" s="1">
        <v>805.0</v>
      </c>
      <c r="G9418" s="1">
        <v>46.0</v>
      </c>
    </row>
    <row r="9419">
      <c r="A9419" s="1" t="s">
        <v>8</v>
      </c>
      <c r="B9419" s="2">
        <v>44740.0</v>
      </c>
      <c r="C9419" s="3">
        <v>0.33011574074074074</v>
      </c>
      <c r="D9419" s="1">
        <v>12.999476</v>
      </c>
      <c r="E9419" s="1">
        <v>80.193532</v>
      </c>
      <c r="F9419" s="1">
        <v>805.0</v>
      </c>
      <c r="G9419" s="1">
        <v>46.0</v>
      </c>
    </row>
    <row r="9420">
      <c r="A9420" s="1" t="s">
        <v>8</v>
      </c>
      <c r="B9420" s="2">
        <v>44740.0</v>
      </c>
      <c r="C9420" s="3">
        <v>0.3304166666666667</v>
      </c>
      <c r="D9420" s="1">
        <v>12.979922</v>
      </c>
      <c r="E9420" s="1">
        <v>80.163126</v>
      </c>
      <c r="F9420" s="1">
        <v>5339.0</v>
      </c>
      <c r="G9420" s="1">
        <v>19.0</v>
      </c>
    </row>
    <row r="9421">
      <c r="A9421" s="1" t="s">
        <v>8</v>
      </c>
      <c r="B9421" s="2">
        <v>44740.0</v>
      </c>
      <c r="C9421" s="3">
        <v>0.3305092592592593</v>
      </c>
      <c r="D9421" s="1">
        <v>12.99698</v>
      </c>
      <c r="E9421" s="1">
        <v>80.190484</v>
      </c>
      <c r="F9421" s="1">
        <v>805.0</v>
      </c>
      <c r="G9421" s="1">
        <v>45.0</v>
      </c>
    </row>
    <row r="9422">
      <c r="A9422" s="1" t="s">
        <v>8</v>
      </c>
      <c r="B9422" s="2">
        <v>44740.0</v>
      </c>
      <c r="C9422" s="3">
        <v>0.33064814814814814</v>
      </c>
      <c r="D9422" s="1">
        <v>12.99601</v>
      </c>
      <c r="E9422" s="1">
        <v>80.189424</v>
      </c>
      <c r="F9422" s="1">
        <v>805.0</v>
      </c>
      <c r="G9422" s="1">
        <v>22.0</v>
      </c>
    </row>
    <row r="9423">
      <c r="A9423" s="1" t="s">
        <v>9</v>
      </c>
      <c r="B9423" s="2">
        <v>44740.0</v>
      </c>
      <c r="C9423" s="3">
        <v>0.3308449074074074</v>
      </c>
      <c r="D9423" s="1">
        <v>12.995378</v>
      </c>
      <c r="E9423" s="1">
        <v>80.188376</v>
      </c>
      <c r="F9423" s="1">
        <v>805.0</v>
      </c>
      <c r="G9423" s="1">
        <v>36.0</v>
      </c>
    </row>
    <row r="9424">
      <c r="A9424" s="1" t="s">
        <v>8</v>
      </c>
      <c r="B9424" s="2">
        <v>44740.0</v>
      </c>
      <c r="C9424" s="3">
        <v>0.33109953703703704</v>
      </c>
      <c r="D9424" s="1">
        <v>12.994074</v>
      </c>
      <c r="E9424" s="1">
        <v>80.185794</v>
      </c>
      <c r="F9424" s="1">
        <v>805.0</v>
      </c>
      <c r="G9424" s="1">
        <v>24.0</v>
      </c>
    </row>
    <row r="9425">
      <c r="A9425" s="1" t="s">
        <v>7</v>
      </c>
      <c r="B9425" s="2">
        <v>44740.0</v>
      </c>
      <c r="C9425" s="3">
        <v>0.3311458333333333</v>
      </c>
      <c r="D9425" s="1">
        <v>12.727248</v>
      </c>
      <c r="E9425" s="1">
        <v>79.982495</v>
      </c>
      <c r="F9425" s="1">
        <v>2846.0</v>
      </c>
      <c r="G9425" s="1">
        <v>43.0</v>
      </c>
    </row>
    <row r="9426">
      <c r="A9426" s="1" t="s">
        <v>8</v>
      </c>
      <c r="B9426" s="2">
        <v>44740.0</v>
      </c>
      <c r="C9426" s="3">
        <v>0.3312037037037037</v>
      </c>
      <c r="D9426" s="1">
        <v>12.975936</v>
      </c>
      <c r="E9426" s="1">
        <v>80.1571</v>
      </c>
      <c r="F9426" s="1">
        <v>5339.0</v>
      </c>
      <c r="G9426" s="1">
        <v>45.0</v>
      </c>
    </row>
    <row r="9427">
      <c r="A9427" s="1" t="s">
        <v>7</v>
      </c>
      <c r="B9427" s="2">
        <v>44740.0</v>
      </c>
      <c r="C9427" s="3">
        <v>0.33130787037037035</v>
      </c>
      <c r="D9427" s="1">
        <v>12.993488</v>
      </c>
      <c r="E9427" s="1">
        <v>80.184669</v>
      </c>
      <c r="F9427" s="1">
        <v>805.0</v>
      </c>
      <c r="G9427" s="1">
        <v>42.0</v>
      </c>
    </row>
    <row r="9428">
      <c r="A9428" s="1" t="s">
        <v>7</v>
      </c>
      <c r="B9428" s="2">
        <v>44740.0</v>
      </c>
      <c r="C9428" s="3">
        <v>0.33145833333333335</v>
      </c>
      <c r="D9428" s="1">
        <v>12.992473</v>
      </c>
      <c r="E9428" s="1">
        <v>80.182909</v>
      </c>
      <c r="F9428" s="1">
        <v>805.0</v>
      </c>
      <c r="G9428" s="1">
        <v>50.0</v>
      </c>
    </row>
    <row r="9429">
      <c r="A9429" s="1" t="s">
        <v>8</v>
      </c>
      <c r="B9429" s="2">
        <v>44740.0</v>
      </c>
      <c r="C9429" s="3">
        <v>0.33145833333333335</v>
      </c>
      <c r="D9429" s="1">
        <v>12.7326</v>
      </c>
      <c r="E9429" s="1">
        <v>79.983072</v>
      </c>
      <c r="F9429" s="1">
        <v>2846.0</v>
      </c>
      <c r="G9429" s="1">
        <v>56.0</v>
      </c>
    </row>
    <row r="9430">
      <c r="A9430" s="1" t="s">
        <v>8</v>
      </c>
      <c r="B9430" s="2">
        <v>44740.0</v>
      </c>
      <c r="C9430" s="3">
        <v>0.33152777777777775</v>
      </c>
      <c r="D9430" s="1">
        <v>12.974425</v>
      </c>
      <c r="E9430" s="1">
        <v>80.154864</v>
      </c>
      <c r="F9430" s="1">
        <v>5339.0</v>
      </c>
      <c r="G9430" s="1">
        <v>27.0</v>
      </c>
    </row>
    <row r="9431">
      <c r="A9431" s="1" t="s">
        <v>8</v>
      </c>
      <c r="B9431" s="2">
        <v>44740.0</v>
      </c>
      <c r="C9431" s="3">
        <v>0.3317939814814815</v>
      </c>
      <c r="D9431" s="1">
        <v>12.973327</v>
      </c>
      <c r="E9431" s="1">
        <v>80.153158</v>
      </c>
      <c r="F9431" s="1">
        <v>5339.0</v>
      </c>
      <c r="G9431" s="1">
        <v>47.0</v>
      </c>
    </row>
    <row r="9432">
      <c r="A9432" s="1" t="s">
        <v>8</v>
      </c>
      <c r="B9432" s="2">
        <v>44740.0</v>
      </c>
      <c r="C9432" s="3">
        <v>0.33185185185185184</v>
      </c>
      <c r="D9432" s="1">
        <v>12.972681</v>
      </c>
      <c r="E9432" s="1">
        <v>80.152197</v>
      </c>
      <c r="F9432" s="1">
        <v>5339.0</v>
      </c>
      <c r="G9432" s="1">
        <v>38.0</v>
      </c>
    </row>
    <row r="9433">
      <c r="A9433" s="1" t="s">
        <v>9</v>
      </c>
      <c r="B9433" s="2">
        <v>44740.0</v>
      </c>
      <c r="C9433" s="3">
        <v>0.331875</v>
      </c>
      <c r="D9433" s="1">
        <v>12.989959</v>
      </c>
      <c r="E9433" s="1">
        <v>80.179632</v>
      </c>
      <c r="F9433" s="1">
        <v>805.0</v>
      </c>
      <c r="G9433" s="1">
        <v>43.0</v>
      </c>
    </row>
    <row r="9434">
      <c r="A9434" s="1" t="s">
        <v>7</v>
      </c>
      <c r="B9434" s="2">
        <v>44740.0</v>
      </c>
      <c r="C9434" s="3">
        <v>0.3320138888888889</v>
      </c>
      <c r="D9434" s="1">
        <v>12.736103</v>
      </c>
      <c r="E9434" s="1">
        <v>79.986861</v>
      </c>
      <c r="F9434" s="1">
        <v>2846.0</v>
      </c>
      <c r="G9434" s="1">
        <v>59.0</v>
      </c>
    </row>
    <row r="9435">
      <c r="A9435" s="1" t="s">
        <v>8</v>
      </c>
      <c r="B9435" s="2">
        <v>44740.0</v>
      </c>
      <c r="C9435" s="3">
        <v>0.3322453703703704</v>
      </c>
      <c r="D9435" s="1">
        <v>12.971351</v>
      </c>
      <c r="E9435" s="1">
        <v>80.151035</v>
      </c>
      <c r="F9435" s="1">
        <v>5339.0</v>
      </c>
      <c r="G9435" s="1">
        <v>31.0</v>
      </c>
    </row>
    <row r="9436">
      <c r="A9436" s="1" t="s">
        <v>7</v>
      </c>
      <c r="B9436" s="2">
        <v>44740.0</v>
      </c>
      <c r="C9436" s="3">
        <v>0.33260416666666665</v>
      </c>
      <c r="D9436" s="1">
        <v>12.986215</v>
      </c>
      <c r="E9436" s="1">
        <v>80.174512</v>
      </c>
      <c r="F9436" s="1">
        <v>805.0</v>
      </c>
      <c r="G9436" s="1">
        <v>53.0</v>
      </c>
    </row>
    <row r="9437">
      <c r="A9437" s="1" t="s">
        <v>7</v>
      </c>
      <c r="B9437" s="2">
        <v>44740.0</v>
      </c>
      <c r="C9437" s="3">
        <v>0.3327777777777778</v>
      </c>
      <c r="D9437" s="1">
        <v>12.984902</v>
      </c>
      <c r="E9437" s="1">
        <v>80.172583</v>
      </c>
      <c r="F9437" s="1">
        <v>805.0</v>
      </c>
      <c r="G9437" s="1">
        <v>55.0</v>
      </c>
    </row>
    <row r="9438">
      <c r="A9438" s="1" t="s">
        <v>7</v>
      </c>
      <c r="B9438" s="2">
        <v>44740.0</v>
      </c>
      <c r="C9438" s="3">
        <v>0.33297453703703705</v>
      </c>
      <c r="D9438" s="1">
        <v>12.983807</v>
      </c>
      <c r="E9438" s="1">
        <v>80.170728</v>
      </c>
      <c r="F9438" s="1">
        <v>805.0</v>
      </c>
      <c r="G9438" s="1">
        <v>53.0</v>
      </c>
    </row>
    <row r="9439">
      <c r="A9439" s="1" t="s">
        <v>7</v>
      </c>
      <c r="B9439" s="2">
        <v>44740.0</v>
      </c>
      <c r="C9439" s="3">
        <v>0.33315972222222223</v>
      </c>
      <c r="D9439" s="1">
        <v>12.98271</v>
      </c>
      <c r="E9439" s="1">
        <v>80.168886</v>
      </c>
      <c r="F9439" s="1">
        <v>805.0</v>
      </c>
      <c r="G9439" s="1">
        <v>59.0</v>
      </c>
    </row>
    <row r="9440">
      <c r="A9440" s="1" t="s">
        <v>8</v>
      </c>
      <c r="B9440" s="2">
        <v>44740.0</v>
      </c>
      <c r="C9440" s="3">
        <v>0.3332523148148148</v>
      </c>
      <c r="D9440" s="1">
        <v>12.964663</v>
      </c>
      <c r="E9440" s="1">
        <v>80.147799</v>
      </c>
      <c r="F9440" s="1">
        <v>5339.0</v>
      </c>
      <c r="G9440" s="1">
        <v>43.0</v>
      </c>
    </row>
    <row r="9441">
      <c r="A9441" s="1" t="s">
        <v>7</v>
      </c>
      <c r="B9441" s="2">
        <v>44740.0</v>
      </c>
      <c r="C9441" s="3">
        <v>0.33336805555555554</v>
      </c>
      <c r="D9441" s="1">
        <v>12.98271</v>
      </c>
      <c r="E9441" s="1">
        <v>80.168886</v>
      </c>
      <c r="F9441" s="1">
        <v>805.0</v>
      </c>
      <c r="G9441" s="1">
        <v>59.0</v>
      </c>
    </row>
    <row r="9442">
      <c r="A9442" s="1" t="s">
        <v>7</v>
      </c>
      <c r="B9442" s="2">
        <v>44740.0</v>
      </c>
      <c r="C9442" s="3">
        <v>0.3337847222222222</v>
      </c>
      <c r="D9442" s="1">
        <v>12.979826</v>
      </c>
      <c r="E9442" s="1">
        <v>80.16284</v>
      </c>
      <c r="F9442" s="1">
        <v>805.0</v>
      </c>
      <c r="G9442" s="1">
        <v>54.0</v>
      </c>
    </row>
    <row r="9443">
      <c r="A9443" s="1" t="s">
        <v>8</v>
      </c>
      <c r="B9443" s="2">
        <v>44740.0</v>
      </c>
      <c r="C9443" s="3">
        <v>0.33383101851851854</v>
      </c>
      <c r="D9443" s="1">
        <v>12.74772</v>
      </c>
      <c r="E9443" s="1">
        <v>79.995875</v>
      </c>
      <c r="F9443" s="1">
        <v>2846.0</v>
      </c>
      <c r="G9443" s="1">
        <v>46.0</v>
      </c>
    </row>
    <row r="9444">
      <c r="A9444" s="1" t="s">
        <v>8</v>
      </c>
      <c r="B9444" s="2">
        <v>44740.0</v>
      </c>
      <c r="C9444" s="3">
        <v>0.33449074074074076</v>
      </c>
      <c r="D9444" s="1">
        <v>12.754471</v>
      </c>
      <c r="E9444" s="1">
        <v>80.000805</v>
      </c>
      <c r="F9444" s="1">
        <v>2846.0</v>
      </c>
      <c r="G9444" s="1">
        <v>53.0</v>
      </c>
    </row>
    <row r="9445">
      <c r="A9445" s="1" t="s">
        <v>7</v>
      </c>
      <c r="B9445" s="2">
        <v>44740.0</v>
      </c>
      <c r="C9445" s="3">
        <v>0.33466435185185184</v>
      </c>
      <c r="D9445" s="1">
        <v>12.754471</v>
      </c>
      <c r="E9445" s="1">
        <v>80.000805</v>
      </c>
      <c r="F9445" s="1">
        <v>2846.0</v>
      </c>
      <c r="G9445" s="1">
        <v>53.0</v>
      </c>
    </row>
    <row r="9446">
      <c r="A9446" s="1" t="s">
        <v>8</v>
      </c>
      <c r="B9446" s="2">
        <v>44740.0</v>
      </c>
      <c r="C9446" s="3">
        <v>0.3347800925925926</v>
      </c>
      <c r="D9446" s="1">
        <v>12.756688</v>
      </c>
      <c r="E9446" s="1">
        <v>80.002042</v>
      </c>
      <c r="F9446" s="1">
        <v>2846.0</v>
      </c>
      <c r="G9446" s="1">
        <v>51.0</v>
      </c>
    </row>
    <row r="9447">
      <c r="A9447" s="1" t="s">
        <v>8</v>
      </c>
      <c r="B9447" s="2">
        <v>44740.0</v>
      </c>
      <c r="C9447" s="3">
        <v>0.33479166666666665</v>
      </c>
      <c r="D9447" s="1">
        <v>12.756688</v>
      </c>
      <c r="E9447" s="1">
        <v>80.002042</v>
      </c>
      <c r="F9447" s="1">
        <v>2846.0</v>
      </c>
      <c r="G9447" s="1">
        <v>51.0</v>
      </c>
    </row>
    <row r="9448">
      <c r="A9448" s="1" t="s">
        <v>8</v>
      </c>
      <c r="B9448" s="2">
        <v>44740.0</v>
      </c>
      <c r="C9448" s="3">
        <v>0.33489583333333334</v>
      </c>
      <c r="D9448" s="1">
        <v>12.756688</v>
      </c>
      <c r="E9448" s="1">
        <v>80.002042</v>
      </c>
      <c r="F9448" s="1">
        <v>2846.0</v>
      </c>
      <c r="G9448" s="1">
        <v>51.0</v>
      </c>
    </row>
    <row r="9449">
      <c r="A9449" s="1" t="s">
        <v>8</v>
      </c>
      <c r="B9449" s="2">
        <v>44740.0</v>
      </c>
      <c r="C9449" s="3">
        <v>0.3350925925925926</v>
      </c>
      <c r="D9449" s="1">
        <v>12.971791</v>
      </c>
      <c r="E9449" s="1">
        <v>80.151348</v>
      </c>
      <c r="F9449" s="1">
        <v>805.0</v>
      </c>
      <c r="G9449" s="1">
        <v>23.0</v>
      </c>
    </row>
    <row r="9450">
      <c r="A9450" s="1" t="s">
        <v>7</v>
      </c>
      <c r="B9450" s="2">
        <v>44740.0</v>
      </c>
      <c r="C9450" s="3">
        <v>0.3358101851851852</v>
      </c>
      <c r="D9450" s="1">
        <v>12.762574</v>
      </c>
      <c r="E9450" s="1">
        <v>80.003827</v>
      </c>
      <c r="F9450" s="1">
        <v>2846.0</v>
      </c>
      <c r="G9450" s="1">
        <v>44.0</v>
      </c>
    </row>
    <row r="9451">
      <c r="A9451" s="1" t="s">
        <v>8</v>
      </c>
      <c r="B9451" s="2">
        <v>44740.0</v>
      </c>
      <c r="C9451" s="3">
        <v>0.33641203703703704</v>
      </c>
      <c r="D9451" s="1">
        <v>12.950557</v>
      </c>
      <c r="E9451" s="1">
        <v>80.139767</v>
      </c>
      <c r="F9451" s="1">
        <v>5339.0</v>
      </c>
      <c r="G9451" s="1">
        <v>15.0</v>
      </c>
    </row>
    <row r="9452">
      <c r="A9452" s="1" t="s">
        <v>8</v>
      </c>
      <c r="B9452" s="2">
        <v>44740.0</v>
      </c>
      <c r="C9452" s="3">
        <v>0.33685185185185185</v>
      </c>
      <c r="D9452" s="1">
        <v>12.96198</v>
      </c>
      <c r="E9452" s="1">
        <v>80.14635</v>
      </c>
      <c r="F9452" s="1">
        <v>805.0</v>
      </c>
      <c r="G9452" s="1">
        <v>12.0</v>
      </c>
    </row>
    <row r="9453">
      <c r="A9453" s="1" t="s">
        <v>8</v>
      </c>
      <c r="B9453" s="2">
        <v>44740.0</v>
      </c>
      <c r="C9453" s="3">
        <v>0.33689814814814817</v>
      </c>
      <c r="D9453" s="1">
        <v>12.947158</v>
      </c>
      <c r="E9453" s="1">
        <v>80.137069</v>
      </c>
      <c r="F9453" s="1">
        <v>5339.0</v>
      </c>
      <c r="G9453" s="1">
        <v>56.0</v>
      </c>
    </row>
    <row r="9454">
      <c r="A9454" s="1" t="s">
        <v>8</v>
      </c>
      <c r="B9454" s="2">
        <v>44740.0</v>
      </c>
      <c r="C9454" s="3">
        <v>0.33775462962962965</v>
      </c>
      <c r="D9454" s="1">
        <v>12.938928</v>
      </c>
      <c r="E9454" s="1">
        <v>80.129619</v>
      </c>
      <c r="F9454" s="1">
        <v>5339.0</v>
      </c>
      <c r="G9454" s="1">
        <v>56.0</v>
      </c>
    </row>
    <row r="9455">
      <c r="A9455" s="1" t="s">
        <v>8</v>
      </c>
      <c r="B9455" s="2">
        <v>44740.0</v>
      </c>
      <c r="C9455" s="3">
        <v>0.3380787037037037</v>
      </c>
      <c r="D9455" s="1">
        <v>12.936032</v>
      </c>
      <c r="E9455" s="1">
        <v>80.127149</v>
      </c>
      <c r="F9455" s="1">
        <v>5339.0</v>
      </c>
      <c r="G9455" s="1">
        <v>49.0</v>
      </c>
    </row>
    <row r="9456">
      <c r="A9456" s="1" t="s">
        <v>8</v>
      </c>
      <c r="B9456" s="2">
        <v>44740.0</v>
      </c>
      <c r="C9456" s="3">
        <v>0.3382986111111111</v>
      </c>
      <c r="D9456" s="1">
        <v>12.934141</v>
      </c>
      <c r="E9456" s="1">
        <v>80.125377</v>
      </c>
      <c r="F9456" s="1">
        <v>5339.0</v>
      </c>
      <c r="G9456" s="1">
        <v>56.0</v>
      </c>
    </row>
    <row r="9457">
      <c r="A9457" s="1" t="s">
        <v>8</v>
      </c>
      <c r="B9457" s="2">
        <v>44740.0</v>
      </c>
      <c r="C9457" s="3">
        <v>0.3385185185185185</v>
      </c>
      <c r="D9457" s="1">
        <v>12.786956</v>
      </c>
      <c r="E9457" s="1">
        <v>80.015038</v>
      </c>
      <c r="F9457" s="1">
        <v>2846.0</v>
      </c>
      <c r="G9457" s="1">
        <v>52.0</v>
      </c>
    </row>
    <row r="9458">
      <c r="A9458" s="1" t="s">
        <v>8</v>
      </c>
      <c r="B9458" s="2">
        <v>44740.0</v>
      </c>
      <c r="C9458" s="3">
        <v>0.3385763888888889</v>
      </c>
      <c r="D9458" s="1">
        <v>12.791535</v>
      </c>
      <c r="E9458" s="1">
        <v>80.017781</v>
      </c>
      <c r="F9458" s="1">
        <v>2846.0</v>
      </c>
      <c r="G9458" s="1">
        <v>48.0</v>
      </c>
    </row>
    <row r="9459">
      <c r="A9459" s="1" t="s">
        <v>8</v>
      </c>
      <c r="B9459" s="2">
        <v>44740.0</v>
      </c>
      <c r="C9459" s="3">
        <v>0.3390856481481481</v>
      </c>
      <c r="D9459" s="1">
        <v>12.931468</v>
      </c>
      <c r="E9459" s="1">
        <v>80.122737</v>
      </c>
      <c r="F9459" s="1">
        <v>5339.0</v>
      </c>
      <c r="G9459" s="1">
        <v>21.0</v>
      </c>
    </row>
    <row r="9460">
      <c r="A9460" s="1" t="s">
        <v>8</v>
      </c>
      <c r="B9460" s="2">
        <v>44740.0</v>
      </c>
      <c r="C9460" s="3">
        <v>0.3390972222222222</v>
      </c>
      <c r="D9460" s="1">
        <v>12.931128</v>
      </c>
      <c r="E9460" s="1">
        <v>80.122382</v>
      </c>
      <c r="F9460" s="1">
        <v>5339.0</v>
      </c>
      <c r="G9460" s="1">
        <v>24.0</v>
      </c>
    </row>
    <row r="9461">
      <c r="A9461" s="1" t="s">
        <v>8</v>
      </c>
      <c r="B9461" s="2">
        <v>44740.0</v>
      </c>
      <c r="C9461" s="3">
        <v>0.3393287037037037</v>
      </c>
      <c r="D9461" s="1">
        <v>12.929925</v>
      </c>
      <c r="E9461" s="1">
        <v>80.121193</v>
      </c>
      <c r="F9461" s="1">
        <v>5339.0</v>
      </c>
      <c r="G9461" s="1">
        <v>38.0</v>
      </c>
    </row>
    <row r="9462">
      <c r="A9462" s="1" t="s">
        <v>8</v>
      </c>
      <c r="B9462" s="2">
        <v>44740.0</v>
      </c>
      <c r="C9462" s="3">
        <v>0.3397337962962963</v>
      </c>
      <c r="D9462" s="1">
        <v>12.927439</v>
      </c>
      <c r="E9462" s="1">
        <v>80.118694</v>
      </c>
      <c r="F9462" s="1">
        <v>5339.0</v>
      </c>
      <c r="G9462" s="1">
        <v>56.0</v>
      </c>
    </row>
    <row r="9463">
      <c r="A9463" s="1" t="s">
        <v>8</v>
      </c>
      <c r="B9463" s="2">
        <v>44740.0</v>
      </c>
      <c r="C9463" s="3">
        <v>0.3397685185185185</v>
      </c>
      <c r="D9463" s="1">
        <v>12.799068</v>
      </c>
      <c r="E9463" s="1">
        <v>80.02271</v>
      </c>
      <c r="F9463" s="1">
        <v>2846.0</v>
      </c>
      <c r="G9463" s="1">
        <v>59.0</v>
      </c>
    </row>
    <row r="9464">
      <c r="A9464" s="1" t="s">
        <v>8</v>
      </c>
      <c r="B9464" s="2">
        <v>44740.0</v>
      </c>
      <c r="C9464" s="3">
        <v>0.3398263888888889</v>
      </c>
      <c r="D9464" s="1">
        <v>12.926752</v>
      </c>
      <c r="E9464" s="1">
        <v>80.117995</v>
      </c>
      <c r="F9464" s="1">
        <v>5339.0</v>
      </c>
      <c r="G9464" s="1">
        <v>33.0</v>
      </c>
    </row>
    <row r="9465">
      <c r="A9465" s="1" t="s">
        <v>8</v>
      </c>
      <c r="B9465" s="2">
        <v>44740.0</v>
      </c>
      <c r="C9465" s="3">
        <v>0.339837962962963</v>
      </c>
      <c r="D9465" s="1">
        <v>12.950249</v>
      </c>
      <c r="E9465" s="1">
        <v>80.139447</v>
      </c>
      <c r="F9465" s="1">
        <v>805.0</v>
      </c>
      <c r="G9465" s="1">
        <v>32.0</v>
      </c>
    </row>
    <row r="9466">
      <c r="A9466" s="1" t="s">
        <v>8</v>
      </c>
      <c r="B9466" s="2">
        <v>44740.0</v>
      </c>
      <c r="C9466" s="3">
        <v>0.3400347222222222</v>
      </c>
      <c r="D9466" s="1">
        <v>12.925129</v>
      </c>
      <c r="E9466" s="1">
        <v>80.116323</v>
      </c>
      <c r="F9466" s="1">
        <v>5339.0</v>
      </c>
      <c r="G9466" s="1">
        <v>50.0</v>
      </c>
    </row>
    <row r="9467">
      <c r="A9467" s="1" t="s">
        <v>8</v>
      </c>
      <c r="B9467" s="2">
        <v>44740.0</v>
      </c>
      <c r="C9467" s="3">
        <v>0.34011574074074075</v>
      </c>
      <c r="D9467" s="1">
        <v>12.925129</v>
      </c>
      <c r="E9467" s="1">
        <v>80.116323</v>
      </c>
      <c r="F9467" s="1">
        <v>5339.0</v>
      </c>
      <c r="G9467" s="1">
        <v>50.0</v>
      </c>
    </row>
    <row r="9468">
      <c r="A9468" s="1" t="s">
        <v>7</v>
      </c>
      <c r="B9468" s="2">
        <v>44740.0</v>
      </c>
      <c r="C9468" s="3">
        <v>0.34019675925925924</v>
      </c>
      <c r="D9468" s="1">
        <v>12.92426</v>
      </c>
      <c r="E9468" s="1">
        <v>80.115437</v>
      </c>
      <c r="F9468" s="1">
        <v>5339.0</v>
      </c>
      <c r="G9468" s="1">
        <v>49.0</v>
      </c>
    </row>
    <row r="9469">
      <c r="A9469" s="1" t="s">
        <v>7</v>
      </c>
      <c r="B9469" s="2">
        <v>44740.0</v>
      </c>
      <c r="C9469" s="3">
        <v>0.3402777777777778</v>
      </c>
      <c r="D9469" s="1">
        <v>12.923265</v>
      </c>
      <c r="E9469" s="1">
        <v>80.114498</v>
      </c>
      <c r="F9469" s="1">
        <v>5339.0</v>
      </c>
      <c r="G9469" s="1">
        <v>54.0</v>
      </c>
    </row>
    <row r="9470">
      <c r="A9470" s="1" t="s">
        <v>7</v>
      </c>
      <c r="B9470" s="2">
        <v>44740.0</v>
      </c>
      <c r="C9470" s="3">
        <v>0.34063657407407405</v>
      </c>
      <c r="D9470" s="1">
        <v>12.920688</v>
      </c>
      <c r="E9470" s="1">
        <v>80.111868</v>
      </c>
      <c r="F9470" s="1">
        <v>5339.0</v>
      </c>
      <c r="G9470" s="1">
        <v>57.0</v>
      </c>
    </row>
    <row r="9471">
      <c r="A9471" s="1" t="s">
        <v>8</v>
      </c>
      <c r="B9471" s="2">
        <v>44740.0</v>
      </c>
      <c r="C9471" s="3">
        <v>0.34065972222222224</v>
      </c>
      <c r="D9471" s="1">
        <v>12.944326</v>
      </c>
      <c r="E9471" s="1">
        <v>80.134872</v>
      </c>
      <c r="F9471" s="1">
        <v>805.0</v>
      </c>
      <c r="G9471" s="1">
        <v>48.0</v>
      </c>
    </row>
    <row r="9472">
      <c r="A9472" s="1" t="s">
        <v>8</v>
      </c>
      <c r="B9472" s="2">
        <v>44740.0</v>
      </c>
      <c r="C9472" s="3">
        <v>0.34065972222222224</v>
      </c>
      <c r="D9472" s="1">
        <v>12.944326</v>
      </c>
      <c r="E9472" s="1">
        <v>80.134872</v>
      </c>
      <c r="F9472" s="1">
        <v>805.0</v>
      </c>
      <c r="G9472" s="1">
        <v>48.0</v>
      </c>
    </row>
    <row r="9473">
      <c r="A9473" s="1" t="s">
        <v>8</v>
      </c>
      <c r="B9473" s="2">
        <v>44740.0</v>
      </c>
      <c r="C9473" s="3">
        <v>0.3406712962962963</v>
      </c>
      <c r="D9473" s="1">
        <v>12.944326</v>
      </c>
      <c r="E9473" s="1">
        <v>80.134872</v>
      </c>
      <c r="F9473" s="1">
        <v>805.0</v>
      </c>
      <c r="G9473" s="1">
        <v>48.0</v>
      </c>
    </row>
    <row r="9474">
      <c r="A9474" s="1" t="s">
        <v>8</v>
      </c>
      <c r="B9474" s="2">
        <v>44740.0</v>
      </c>
      <c r="C9474" s="3">
        <v>0.3407175925925926</v>
      </c>
      <c r="D9474" s="1">
        <v>12.944326</v>
      </c>
      <c r="E9474" s="1">
        <v>80.134872</v>
      </c>
      <c r="F9474" s="1">
        <v>805.0</v>
      </c>
      <c r="G9474" s="1">
        <v>48.0</v>
      </c>
    </row>
    <row r="9475">
      <c r="A9475" s="1" t="s">
        <v>8</v>
      </c>
      <c r="B9475" s="2">
        <v>44740.0</v>
      </c>
      <c r="C9475" s="3">
        <v>0.34074074074074073</v>
      </c>
      <c r="D9475" s="1">
        <v>12.944326</v>
      </c>
      <c r="E9475" s="1">
        <v>80.134872</v>
      </c>
      <c r="F9475" s="1">
        <v>805.0</v>
      </c>
      <c r="G9475" s="1">
        <v>48.0</v>
      </c>
    </row>
    <row r="9476">
      <c r="A9476" s="1" t="s">
        <v>8</v>
      </c>
      <c r="B9476" s="2">
        <v>44740.0</v>
      </c>
      <c r="C9476" s="3">
        <v>0.34131944444444445</v>
      </c>
      <c r="D9476" s="1">
        <v>12.94139</v>
      </c>
      <c r="E9476" s="1">
        <v>80.132047</v>
      </c>
      <c r="F9476" s="1">
        <v>805.0</v>
      </c>
      <c r="G9476" s="1">
        <v>34.0</v>
      </c>
    </row>
    <row r="9477">
      <c r="A9477" s="1" t="s">
        <v>7</v>
      </c>
      <c r="B9477" s="2">
        <v>44740.0</v>
      </c>
      <c r="C9477" s="3">
        <v>0.3416087962962963</v>
      </c>
      <c r="D9477" s="1">
        <v>12.816038</v>
      </c>
      <c r="E9477" s="1">
        <v>80.03381</v>
      </c>
      <c r="F9477" s="1">
        <v>2846.0</v>
      </c>
      <c r="G9477" s="1">
        <v>57.0</v>
      </c>
    </row>
    <row r="9478">
      <c r="A9478" s="1" t="s">
        <v>8</v>
      </c>
      <c r="B9478" s="2">
        <v>44740.0</v>
      </c>
      <c r="C9478" s="3">
        <v>0.3421296296296296</v>
      </c>
      <c r="D9478" s="1">
        <v>12.821199</v>
      </c>
      <c r="E9478" s="1">
        <v>80.037459</v>
      </c>
      <c r="F9478" s="1">
        <v>2846.0</v>
      </c>
      <c r="G9478" s="1">
        <v>24.0</v>
      </c>
    </row>
    <row r="9479">
      <c r="A9479" s="1" t="s">
        <v>8</v>
      </c>
      <c r="B9479" s="2">
        <v>44740.0</v>
      </c>
      <c r="C9479" s="3">
        <v>0.3425925925925926</v>
      </c>
      <c r="D9479" s="1">
        <v>12.908292</v>
      </c>
      <c r="E9479" s="1">
        <v>80.097969</v>
      </c>
      <c r="F9479" s="1">
        <v>5339.0</v>
      </c>
      <c r="G9479" s="1">
        <v>28.0</v>
      </c>
    </row>
    <row r="9480">
      <c r="A9480" s="1" t="s">
        <v>7</v>
      </c>
      <c r="B9480" s="2">
        <v>44740.0</v>
      </c>
      <c r="C9480" s="3">
        <v>0.34261574074074075</v>
      </c>
      <c r="D9480" s="1">
        <v>12.824669</v>
      </c>
      <c r="E9480" s="1">
        <v>80.039908</v>
      </c>
      <c r="F9480" s="1">
        <v>2846.0</v>
      </c>
      <c r="G9480" s="1">
        <v>54.0</v>
      </c>
    </row>
    <row r="9481">
      <c r="A9481" s="1" t="s">
        <v>7</v>
      </c>
      <c r="B9481" s="2">
        <v>44740.0</v>
      </c>
      <c r="C9481" s="3">
        <v>0.34278935185185183</v>
      </c>
      <c r="D9481" s="1">
        <v>12.82587</v>
      </c>
      <c r="E9481" s="1">
        <v>80.040748</v>
      </c>
      <c r="F9481" s="1">
        <v>2846.0</v>
      </c>
      <c r="G9481" s="1">
        <v>58.0</v>
      </c>
    </row>
    <row r="9482">
      <c r="A9482" s="1" t="s">
        <v>8</v>
      </c>
      <c r="B9482" s="2">
        <v>44740.0</v>
      </c>
      <c r="C9482" s="3">
        <v>0.34291666666666665</v>
      </c>
      <c r="D9482" s="1">
        <v>12.939132</v>
      </c>
      <c r="E9482" s="1">
        <v>80.129807</v>
      </c>
      <c r="F9482" s="1">
        <v>805.0</v>
      </c>
      <c r="G9482" s="1">
        <v>44.0</v>
      </c>
    </row>
    <row r="9483">
      <c r="A9483" s="1" t="s">
        <v>8</v>
      </c>
      <c r="B9483" s="2">
        <v>44740.0</v>
      </c>
      <c r="C9483" s="3">
        <v>0.34291666666666665</v>
      </c>
      <c r="D9483" s="1">
        <v>12.939132</v>
      </c>
      <c r="E9483" s="1">
        <v>80.129807</v>
      </c>
      <c r="F9483" s="1">
        <v>805.0</v>
      </c>
      <c r="G9483" s="1">
        <v>44.0</v>
      </c>
    </row>
    <row r="9484">
      <c r="A9484" s="1" t="s">
        <v>7</v>
      </c>
      <c r="B9484" s="2">
        <v>44740.0</v>
      </c>
      <c r="C9484" s="3">
        <v>0.34305555555555556</v>
      </c>
      <c r="D9484" s="1">
        <v>12.828929</v>
      </c>
      <c r="E9484" s="1">
        <v>80.043827</v>
      </c>
      <c r="F9484" s="1">
        <v>2846.0</v>
      </c>
      <c r="G9484" s="1">
        <v>58.0</v>
      </c>
    </row>
    <row r="9485">
      <c r="A9485" s="1" t="s">
        <v>7</v>
      </c>
      <c r="B9485" s="2">
        <v>44740.0</v>
      </c>
      <c r="C9485" s="3">
        <v>0.3433333333333333</v>
      </c>
      <c r="D9485" s="1">
        <v>12.939132</v>
      </c>
      <c r="E9485" s="1">
        <v>80.129807</v>
      </c>
      <c r="F9485" s="1">
        <v>805.0</v>
      </c>
      <c r="G9485" s="1">
        <v>44.0</v>
      </c>
    </row>
    <row r="9486">
      <c r="A9486" s="1" t="s">
        <v>8</v>
      </c>
      <c r="B9486" s="2">
        <v>44740.0</v>
      </c>
      <c r="C9486" s="3">
        <v>0.3435185185185185</v>
      </c>
      <c r="D9486" s="1">
        <v>12.939132</v>
      </c>
      <c r="E9486" s="1">
        <v>80.129807</v>
      </c>
      <c r="F9486" s="1">
        <v>805.0</v>
      </c>
      <c r="G9486" s="1">
        <v>44.0</v>
      </c>
    </row>
    <row r="9487">
      <c r="A9487" s="1" t="s">
        <v>7</v>
      </c>
      <c r="B9487" s="2">
        <v>44740.0</v>
      </c>
      <c r="C9487" s="3">
        <v>0.34413194444444445</v>
      </c>
      <c r="D9487" s="1">
        <v>12.922838</v>
      </c>
      <c r="E9487" s="1">
        <v>80.114044</v>
      </c>
      <c r="F9487" s="1">
        <v>805.0</v>
      </c>
      <c r="G9487" s="1">
        <v>58.0</v>
      </c>
    </row>
    <row r="9488">
      <c r="A9488" s="1" t="s">
        <v>7</v>
      </c>
      <c r="B9488" s="2">
        <v>44740.0</v>
      </c>
      <c r="C9488" s="3">
        <v>0.34423611111111113</v>
      </c>
      <c r="D9488" s="1">
        <v>12.92179</v>
      </c>
      <c r="E9488" s="1">
        <v>80.113014</v>
      </c>
      <c r="F9488" s="1">
        <v>805.0</v>
      </c>
      <c r="G9488" s="1">
        <v>58.0</v>
      </c>
    </row>
    <row r="9489">
      <c r="A9489" s="1" t="s">
        <v>7</v>
      </c>
      <c r="B9489" s="2">
        <v>44740.0</v>
      </c>
      <c r="C9489" s="3">
        <v>0.3444675925925926</v>
      </c>
      <c r="D9489" s="1">
        <v>12.919805</v>
      </c>
      <c r="E9489" s="1">
        <v>80.110834</v>
      </c>
      <c r="F9489" s="1">
        <v>805.0</v>
      </c>
      <c r="G9489" s="1">
        <v>58.0</v>
      </c>
    </row>
    <row r="9490">
      <c r="A9490" s="1" t="s">
        <v>8</v>
      </c>
      <c r="B9490" s="2">
        <v>44740.0</v>
      </c>
      <c r="C9490" s="3">
        <v>0.34456018518518516</v>
      </c>
      <c r="D9490" s="1">
        <v>12.898639</v>
      </c>
      <c r="E9490" s="1">
        <v>80.090524</v>
      </c>
      <c r="F9490" s="1">
        <v>5339.0</v>
      </c>
      <c r="G9490" s="1">
        <v>56.0</v>
      </c>
    </row>
    <row r="9491">
      <c r="A9491" s="1" t="s">
        <v>7</v>
      </c>
      <c r="B9491" s="2">
        <v>44740.0</v>
      </c>
      <c r="C9491" s="3">
        <v>0.3446990740740741</v>
      </c>
      <c r="D9491" s="1">
        <v>12.917964</v>
      </c>
      <c r="E9491" s="1">
        <v>80.108516</v>
      </c>
      <c r="F9491" s="1">
        <v>805.0</v>
      </c>
      <c r="G9491" s="1">
        <v>57.0</v>
      </c>
    </row>
    <row r="9492">
      <c r="A9492" s="1" t="s">
        <v>9</v>
      </c>
      <c r="B9492" s="2">
        <v>44740.0</v>
      </c>
      <c r="C9492" s="3">
        <v>0.34476851851851853</v>
      </c>
      <c r="D9492" s="1">
        <v>12.89718</v>
      </c>
      <c r="E9492" s="1">
        <v>80.089396</v>
      </c>
      <c r="F9492" s="1">
        <v>5339.0</v>
      </c>
      <c r="G9492" s="1">
        <v>33.0</v>
      </c>
    </row>
    <row r="9493">
      <c r="A9493" s="1" t="s">
        <v>7</v>
      </c>
      <c r="B9493" s="2">
        <v>44740.0</v>
      </c>
      <c r="C9493" s="3">
        <v>0.3450347222222222</v>
      </c>
      <c r="D9493" s="1">
        <v>12.894643</v>
      </c>
      <c r="E9493" s="1">
        <v>80.087555</v>
      </c>
      <c r="F9493" s="1">
        <v>5339.0</v>
      </c>
      <c r="G9493" s="1">
        <v>48.0</v>
      </c>
    </row>
    <row r="9494">
      <c r="A9494" s="1" t="s">
        <v>7</v>
      </c>
      <c r="B9494" s="2">
        <v>44740.0</v>
      </c>
      <c r="C9494" s="3">
        <v>0.3458912037037037</v>
      </c>
      <c r="D9494" s="1">
        <v>12.885369</v>
      </c>
      <c r="E9494" s="1">
        <v>80.082734</v>
      </c>
      <c r="F9494" s="1">
        <v>5339.0</v>
      </c>
      <c r="G9494" s="1">
        <v>57.0</v>
      </c>
    </row>
    <row r="9495">
      <c r="A9495" s="1" t="s">
        <v>8</v>
      </c>
      <c r="B9495" s="2">
        <v>44740.0</v>
      </c>
      <c r="C9495" s="3">
        <v>0.34600694444444446</v>
      </c>
      <c r="D9495" s="1">
        <v>12.883964</v>
      </c>
      <c r="E9495" s="1">
        <v>80.082246</v>
      </c>
      <c r="F9495" s="1">
        <v>5339.0</v>
      </c>
      <c r="G9495" s="1">
        <v>46.0</v>
      </c>
    </row>
    <row r="9496">
      <c r="A9496" s="1" t="s">
        <v>8</v>
      </c>
      <c r="B9496" s="2">
        <v>44740.0</v>
      </c>
      <c r="C9496" s="3">
        <v>0.3463888888888889</v>
      </c>
      <c r="D9496" s="1">
        <v>12.881426</v>
      </c>
      <c r="E9496" s="1">
        <v>80.081244</v>
      </c>
      <c r="F9496" s="1">
        <v>5339.0</v>
      </c>
      <c r="G9496" s="1">
        <v>33.0</v>
      </c>
    </row>
    <row r="9497">
      <c r="A9497" s="1" t="s">
        <v>8</v>
      </c>
      <c r="B9497" s="2">
        <v>44740.0</v>
      </c>
      <c r="C9497" s="3">
        <v>0.3467939814814815</v>
      </c>
      <c r="D9497" s="1">
        <v>12.847124</v>
      </c>
      <c r="E9497" s="1">
        <v>80.062524</v>
      </c>
      <c r="F9497" s="1">
        <v>2846.0</v>
      </c>
      <c r="G9497" s="1">
        <v>34.0</v>
      </c>
    </row>
    <row r="9498">
      <c r="A9498" s="1" t="s">
        <v>8</v>
      </c>
      <c r="B9498" s="2">
        <v>44740.0</v>
      </c>
      <c r="C9498" s="3">
        <v>0.34703703703703703</v>
      </c>
      <c r="D9498" s="1">
        <v>12.906867</v>
      </c>
      <c r="E9498" s="1">
        <v>80.096773</v>
      </c>
      <c r="F9498" s="1">
        <v>805.0</v>
      </c>
      <c r="G9498" s="1">
        <v>53.0</v>
      </c>
    </row>
    <row r="9499">
      <c r="A9499" s="1" t="s">
        <v>8</v>
      </c>
      <c r="B9499" s="2">
        <v>44740.0</v>
      </c>
      <c r="C9499" s="3">
        <v>0.3470949074074074</v>
      </c>
      <c r="D9499" s="1">
        <v>12.847124</v>
      </c>
      <c r="E9499" s="1">
        <v>80.062524</v>
      </c>
      <c r="F9499" s="1">
        <v>2846.0</v>
      </c>
      <c r="G9499" s="1">
        <v>34.0</v>
      </c>
    </row>
    <row r="9500">
      <c r="A9500" s="1" t="s">
        <v>8</v>
      </c>
      <c r="B9500" s="2">
        <v>44740.0</v>
      </c>
      <c r="C9500" s="3">
        <v>0.3474421296296296</v>
      </c>
      <c r="D9500" s="1">
        <v>12.850934</v>
      </c>
      <c r="E9500" s="1">
        <v>80.065313</v>
      </c>
      <c r="F9500" s="1">
        <v>2846.0</v>
      </c>
      <c r="G9500" s="1">
        <v>37.0</v>
      </c>
    </row>
    <row r="9501">
      <c r="A9501" s="1" t="s">
        <v>8</v>
      </c>
      <c r="B9501" s="2">
        <v>44740.0</v>
      </c>
      <c r="C9501" s="3">
        <v>0.3478587962962963</v>
      </c>
      <c r="D9501" s="1">
        <v>12.85391</v>
      </c>
      <c r="E9501" s="1">
        <v>80.067486</v>
      </c>
      <c r="F9501" s="1">
        <v>2846.0</v>
      </c>
      <c r="G9501" s="1">
        <v>32.0</v>
      </c>
    </row>
    <row r="9502">
      <c r="A9502" s="1" t="s">
        <v>8</v>
      </c>
      <c r="B9502" s="2">
        <v>44740.0</v>
      </c>
      <c r="C9502" s="3">
        <v>0.3478587962962963</v>
      </c>
      <c r="D9502" s="1">
        <v>12.903263</v>
      </c>
      <c r="E9502" s="1">
        <v>80.094011</v>
      </c>
      <c r="F9502" s="1">
        <v>805.0</v>
      </c>
      <c r="G9502" s="1">
        <v>47.0</v>
      </c>
    </row>
    <row r="9503">
      <c r="A9503" s="1" t="s">
        <v>8</v>
      </c>
      <c r="B9503" s="2">
        <v>44740.0</v>
      </c>
      <c r="C9503" s="3">
        <v>0.34824074074074074</v>
      </c>
      <c r="D9503" s="1">
        <v>12.855184</v>
      </c>
      <c r="E9503" s="1">
        <v>80.068447</v>
      </c>
      <c r="F9503" s="1">
        <v>2846.0</v>
      </c>
      <c r="G9503" s="1">
        <v>44.0</v>
      </c>
    </row>
    <row r="9504">
      <c r="A9504" s="1" t="s">
        <v>8</v>
      </c>
      <c r="B9504" s="2">
        <v>44740.0</v>
      </c>
      <c r="C9504" s="3">
        <v>0.34858796296296296</v>
      </c>
      <c r="D9504" s="1">
        <v>12.897398</v>
      </c>
      <c r="E9504" s="1">
        <v>80.089571</v>
      </c>
      <c r="F9504" s="1">
        <v>805.0</v>
      </c>
      <c r="G9504" s="1">
        <v>13.0</v>
      </c>
    </row>
    <row r="9505">
      <c r="A9505" s="1" t="s">
        <v>8</v>
      </c>
      <c r="B9505" s="2">
        <v>44740.0</v>
      </c>
      <c r="C9505" s="3">
        <v>0.3488541666666667</v>
      </c>
      <c r="D9505" s="1">
        <v>12.860845</v>
      </c>
      <c r="E9505" s="1">
        <v>80.072628</v>
      </c>
      <c r="F9505" s="1">
        <v>2846.0</v>
      </c>
      <c r="G9505" s="1">
        <v>28.0</v>
      </c>
    </row>
    <row r="9506">
      <c r="A9506" s="1" t="s">
        <v>8</v>
      </c>
      <c r="B9506" s="2">
        <v>44740.0</v>
      </c>
      <c r="C9506" s="3">
        <v>0.3489467592592593</v>
      </c>
      <c r="D9506" s="1">
        <v>12.895443</v>
      </c>
      <c r="E9506" s="1">
        <v>80.088109</v>
      </c>
      <c r="F9506" s="1">
        <v>805.0</v>
      </c>
      <c r="G9506" s="1">
        <v>42.0</v>
      </c>
    </row>
    <row r="9507">
      <c r="A9507" s="1" t="s">
        <v>8</v>
      </c>
      <c r="B9507" s="2">
        <v>44740.0</v>
      </c>
      <c r="C9507" s="3">
        <v>0.34936342592592595</v>
      </c>
      <c r="D9507" s="1">
        <v>12.863151</v>
      </c>
      <c r="E9507" s="1">
        <v>80.073753</v>
      </c>
      <c r="F9507" s="1">
        <v>2846.0</v>
      </c>
      <c r="G9507" s="1">
        <v>26.0</v>
      </c>
    </row>
    <row r="9508">
      <c r="A9508" s="1" t="s">
        <v>8</v>
      </c>
      <c r="B9508" s="2">
        <v>44740.0</v>
      </c>
      <c r="C9508" s="3">
        <v>0.3495023148148148</v>
      </c>
      <c r="D9508" s="1">
        <v>12.864494</v>
      </c>
      <c r="E9508" s="1">
        <v>80.074293</v>
      </c>
      <c r="F9508" s="1">
        <v>2846.0</v>
      </c>
      <c r="G9508" s="1">
        <v>41.0</v>
      </c>
    </row>
    <row r="9509">
      <c r="A9509" s="1" t="s">
        <v>7</v>
      </c>
      <c r="B9509" s="2">
        <v>44740.0</v>
      </c>
      <c r="C9509" s="3">
        <v>0.34975694444444444</v>
      </c>
      <c r="D9509" s="1">
        <v>12.888529</v>
      </c>
      <c r="E9509" s="1">
        <v>80.083997</v>
      </c>
      <c r="F9509" s="1">
        <v>805.0</v>
      </c>
      <c r="G9509" s="1">
        <v>57.0</v>
      </c>
    </row>
    <row r="9510">
      <c r="A9510" s="1" t="s">
        <v>8</v>
      </c>
      <c r="B9510" s="2">
        <v>44740.0</v>
      </c>
      <c r="C9510" s="3">
        <v>0.3497800925925926</v>
      </c>
      <c r="D9510" s="1">
        <v>12.866124</v>
      </c>
      <c r="E9510" s="1">
        <v>80.074914</v>
      </c>
      <c r="F9510" s="1">
        <v>2846.0</v>
      </c>
      <c r="G9510" s="1">
        <v>42.0</v>
      </c>
    </row>
    <row r="9511">
      <c r="A9511" s="1" t="s">
        <v>8</v>
      </c>
      <c r="B9511" s="2">
        <v>44740.0</v>
      </c>
      <c r="C9511" s="3">
        <v>0.3499305555555556</v>
      </c>
      <c r="D9511" s="1">
        <v>12.885859</v>
      </c>
      <c r="E9511" s="1">
        <v>80.082894</v>
      </c>
      <c r="F9511" s="1">
        <v>805.0</v>
      </c>
      <c r="G9511" s="1">
        <v>50.0</v>
      </c>
    </row>
    <row r="9512">
      <c r="A9512" s="1" t="s">
        <v>8</v>
      </c>
      <c r="B9512" s="2">
        <v>44740.0</v>
      </c>
      <c r="C9512" s="3">
        <v>0.35002314814814817</v>
      </c>
      <c r="D9512" s="1">
        <v>12.869113</v>
      </c>
      <c r="E9512" s="1">
        <v>80.076056</v>
      </c>
      <c r="F9512" s="1">
        <v>2846.0</v>
      </c>
      <c r="G9512" s="1">
        <v>43.0</v>
      </c>
    </row>
    <row r="9513">
      <c r="A9513" s="1" t="s">
        <v>8</v>
      </c>
      <c r="B9513" s="2">
        <v>44740.0</v>
      </c>
      <c r="C9513" s="3">
        <v>0.350150462962963</v>
      </c>
      <c r="D9513" s="1">
        <v>12.869113</v>
      </c>
      <c r="E9513" s="1">
        <v>80.076056</v>
      </c>
      <c r="F9513" s="1">
        <v>2846.0</v>
      </c>
      <c r="G9513" s="1">
        <v>43.0</v>
      </c>
    </row>
    <row r="9514">
      <c r="A9514" s="1" t="s">
        <v>8</v>
      </c>
      <c r="B9514" s="2">
        <v>44740.0</v>
      </c>
      <c r="C9514" s="3">
        <v>0.3501851851851852</v>
      </c>
      <c r="D9514" s="1">
        <v>12.869113</v>
      </c>
      <c r="E9514" s="1">
        <v>80.076056</v>
      </c>
      <c r="F9514" s="1">
        <v>2846.0</v>
      </c>
      <c r="G9514" s="1">
        <v>43.0</v>
      </c>
    </row>
    <row r="9515">
      <c r="A9515" s="1" t="s">
        <v>8</v>
      </c>
      <c r="B9515" s="2">
        <v>44740.0</v>
      </c>
      <c r="C9515" s="3">
        <v>0.3503125</v>
      </c>
      <c r="D9515" s="1">
        <v>12.870878</v>
      </c>
      <c r="E9515" s="1">
        <v>80.076778</v>
      </c>
      <c r="F9515" s="1">
        <v>2846.0</v>
      </c>
      <c r="G9515" s="1">
        <v>51.0</v>
      </c>
    </row>
    <row r="9516">
      <c r="A9516" s="1" t="s">
        <v>8</v>
      </c>
      <c r="B9516" s="2">
        <v>44740.0</v>
      </c>
      <c r="C9516" s="3">
        <v>0.35041666666666665</v>
      </c>
      <c r="D9516" s="1">
        <v>12.872822</v>
      </c>
      <c r="E9516" s="1">
        <v>80.077507</v>
      </c>
      <c r="F9516" s="1">
        <v>2846.0</v>
      </c>
      <c r="G9516" s="1">
        <v>51.0</v>
      </c>
    </row>
    <row r="9517">
      <c r="A9517" s="1" t="s">
        <v>8</v>
      </c>
      <c r="B9517" s="2">
        <v>44740.0</v>
      </c>
      <c r="C9517" s="3">
        <v>0.3504513888888889</v>
      </c>
      <c r="D9517" s="1">
        <v>12.872822</v>
      </c>
      <c r="E9517" s="1">
        <v>80.077507</v>
      </c>
      <c r="F9517" s="1">
        <v>2846.0</v>
      </c>
      <c r="G9517" s="1">
        <v>51.0</v>
      </c>
    </row>
    <row r="9518">
      <c r="A9518" s="1" t="s">
        <v>8</v>
      </c>
      <c r="B9518" s="2">
        <v>44740.0</v>
      </c>
      <c r="C9518" s="3">
        <v>0.35050925925925924</v>
      </c>
      <c r="D9518" s="1">
        <v>12.872822</v>
      </c>
      <c r="E9518" s="1">
        <v>80.077507</v>
      </c>
      <c r="F9518" s="1">
        <v>2846.0</v>
      </c>
      <c r="G9518" s="1">
        <v>51.0</v>
      </c>
    </row>
    <row r="9519">
      <c r="A9519" s="1" t="s">
        <v>8</v>
      </c>
      <c r="B9519" s="2">
        <v>44740.0</v>
      </c>
      <c r="C9519" s="3">
        <v>0.3505787037037037</v>
      </c>
      <c r="D9519" s="1">
        <v>12.881474</v>
      </c>
      <c r="E9519" s="1">
        <v>80.081264</v>
      </c>
      <c r="F9519" s="1">
        <v>805.0</v>
      </c>
      <c r="G9519" s="1">
        <v>34.0</v>
      </c>
    </row>
    <row r="9520">
      <c r="A9520" s="1" t="s">
        <v>8</v>
      </c>
      <c r="B9520" s="2">
        <v>44740.0</v>
      </c>
      <c r="C9520" s="3">
        <v>0.3505902777777778</v>
      </c>
      <c r="D9520" s="1">
        <v>12.874393</v>
      </c>
      <c r="E9520" s="1">
        <v>80.078126</v>
      </c>
      <c r="F9520" s="1">
        <v>2846.0</v>
      </c>
      <c r="G9520" s="1">
        <v>42.0</v>
      </c>
    </row>
    <row r="9521">
      <c r="A9521" s="1" t="s">
        <v>8</v>
      </c>
      <c r="B9521" s="2">
        <v>44740.0</v>
      </c>
      <c r="C9521" s="3">
        <v>0.3518865740740741</v>
      </c>
      <c r="D9521" s="1">
        <v>12.87841</v>
      </c>
      <c r="E9521" s="1">
        <v>80.082392</v>
      </c>
      <c r="F9521" s="1">
        <v>805.0</v>
      </c>
      <c r="G9521" s="1">
        <v>36.0</v>
      </c>
    </row>
    <row r="9522">
      <c r="A9522" s="1" t="s">
        <v>10</v>
      </c>
      <c r="B9522" s="2">
        <v>44740.0</v>
      </c>
      <c r="C9522" s="3">
        <v>0.44416666666666665</v>
      </c>
      <c r="D9522" s="1">
        <v>12.87385</v>
      </c>
      <c r="E9522" s="1">
        <v>80.085014</v>
      </c>
      <c r="F9522" s="1">
        <v>805.0</v>
      </c>
      <c r="G9522" s="1">
        <v>0.0</v>
      </c>
    </row>
    <row r="9523">
      <c r="A9523" s="1" t="s">
        <v>10</v>
      </c>
      <c r="B9523" s="2">
        <v>44740.0</v>
      </c>
      <c r="C9523" s="3">
        <v>0.4558101851851852</v>
      </c>
      <c r="D9523" s="1">
        <v>12.875591</v>
      </c>
      <c r="E9523" s="1">
        <v>80.08422</v>
      </c>
      <c r="F9523" s="1">
        <v>805.0</v>
      </c>
      <c r="G9523" s="1">
        <v>16.0</v>
      </c>
    </row>
    <row r="9524">
      <c r="A9524" s="1" t="s">
        <v>10</v>
      </c>
      <c r="B9524" s="2">
        <v>44740.0</v>
      </c>
      <c r="C9524" s="3">
        <v>0.45587962962962963</v>
      </c>
      <c r="D9524" s="1">
        <v>12.875798</v>
      </c>
      <c r="E9524" s="1">
        <v>80.083774</v>
      </c>
      <c r="F9524" s="1">
        <v>805.0</v>
      </c>
      <c r="G9524" s="1">
        <v>14.0</v>
      </c>
    </row>
    <row r="9525">
      <c r="A9525" s="1" t="s">
        <v>10</v>
      </c>
      <c r="B9525" s="2">
        <v>44740.0</v>
      </c>
      <c r="C9525" s="3">
        <v>0.4562037037037037</v>
      </c>
      <c r="D9525" s="1">
        <v>12.876064</v>
      </c>
      <c r="E9525" s="1">
        <v>80.083179</v>
      </c>
      <c r="F9525" s="1">
        <v>805.0</v>
      </c>
      <c r="G9525" s="1">
        <v>9.0</v>
      </c>
    </row>
    <row r="9526">
      <c r="A9526" s="1" t="s">
        <v>10</v>
      </c>
      <c r="B9526" s="2">
        <v>44740.0</v>
      </c>
      <c r="C9526" s="3">
        <v>0.6255902777777778</v>
      </c>
      <c r="D9526" s="1">
        <v>12.876161</v>
      </c>
      <c r="E9526" s="1">
        <v>80.083183</v>
      </c>
      <c r="F9526" s="1">
        <v>805.0</v>
      </c>
      <c r="G9526" s="1">
        <v>4.0</v>
      </c>
    </row>
    <row r="9527">
      <c r="A9527" s="1" t="s">
        <v>10</v>
      </c>
      <c r="B9527" s="2">
        <v>44740.0</v>
      </c>
      <c r="C9527" s="3">
        <v>0.6256481481481482</v>
      </c>
      <c r="D9527" s="1">
        <v>12.876161</v>
      </c>
      <c r="E9527" s="1">
        <v>80.083183</v>
      </c>
      <c r="F9527" s="1">
        <v>805.0</v>
      </c>
      <c r="G9527" s="1">
        <v>4.0</v>
      </c>
    </row>
    <row r="9528">
      <c r="A9528" s="1" t="s">
        <v>10</v>
      </c>
      <c r="B9528" s="2">
        <v>44740.0</v>
      </c>
      <c r="C9528" s="3">
        <v>0.6256828703703704</v>
      </c>
      <c r="D9528" s="1">
        <v>12.876161</v>
      </c>
      <c r="E9528" s="1">
        <v>80.083183</v>
      </c>
      <c r="F9528" s="1">
        <v>805.0</v>
      </c>
      <c r="G9528" s="1">
        <v>4.0</v>
      </c>
    </row>
    <row r="9529">
      <c r="A9529" s="1" t="s">
        <v>8</v>
      </c>
      <c r="B9529" s="2">
        <v>44740.0</v>
      </c>
      <c r="C9529" s="3">
        <v>0.6727083333333334</v>
      </c>
      <c r="D9529" s="1">
        <v>12.885239</v>
      </c>
      <c r="E9529" s="1">
        <v>80.082371</v>
      </c>
      <c r="F9529" s="1">
        <v>5339.0</v>
      </c>
      <c r="G9529" s="1">
        <v>46.0</v>
      </c>
    </row>
    <row r="9530">
      <c r="A9530" s="1" t="s">
        <v>7</v>
      </c>
      <c r="B9530" s="2">
        <v>44740.0</v>
      </c>
      <c r="C9530" s="3">
        <v>0.6728819444444445</v>
      </c>
      <c r="D9530" s="1">
        <v>12.884925</v>
      </c>
      <c r="E9530" s="1">
        <v>80.082099</v>
      </c>
      <c r="F9530" s="1">
        <v>805.0</v>
      </c>
      <c r="G9530" s="1">
        <v>46.0</v>
      </c>
    </row>
    <row r="9531">
      <c r="A9531" s="1" t="s">
        <v>8</v>
      </c>
      <c r="B9531" s="2">
        <v>44740.0</v>
      </c>
      <c r="C9531" s="3">
        <v>0.6728819444444445</v>
      </c>
      <c r="D9531" s="1">
        <v>12.884925</v>
      </c>
      <c r="E9531" s="1">
        <v>80.082099</v>
      </c>
      <c r="F9531" s="1">
        <v>805.0</v>
      </c>
      <c r="G9531" s="1">
        <v>46.0</v>
      </c>
    </row>
    <row r="9532">
      <c r="A9532" s="1" t="s">
        <v>7</v>
      </c>
      <c r="B9532" s="2">
        <v>44740.0</v>
      </c>
      <c r="C9532" s="3">
        <v>0.6731365740740741</v>
      </c>
      <c r="D9532" s="1">
        <v>12.888369</v>
      </c>
      <c r="E9532" s="1">
        <v>80.083772</v>
      </c>
      <c r="F9532" s="1">
        <v>805.0</v>
      </c>
      <c r="G9532" s="1">
        <v>46.0</v>
      </c>
    </row>
    <row r="9533">
      <c r="A9533" s="1" t="s">
        <v>7</v>
      </c>
      <c r="B9533" s="2">
        <v>44740.0</v>
      </c>
      <c r="C9533" s="3">
        <v>0.6733217592592593</v>
      </c>
      <c r="D9533" s="1">
        <v>12.890192</v>
      </c>
      <c r="E9533" s="1">
        <v>80.084546</v>
      </c>
      <c r="F9533" s="1">
        <v>805.0</v>
      </c>
      <c r="G9533" s="1">
        <v>59.0</v>
      </c>
    </row>
    <row r="9534">
      <c r="A9534" s="1" t="s">
        <v>7</v>
      </c>
      <c r="B9534" s="2">
        <v>44740.0</v>
      </c>
      <c r="C9534" s="3">
        <v>0.6733333333333333</v>
      </c>
      <c r="D9534" s="1">
        <v>12.890643</v>
      </c>
      <c r="E9534" s="1">
        <v>80.084783</v>
      </c>
      <c r="F9534" s="1">
        <v>5339.0</v>
      </c>
      <c r="G9534" s="1">
        <v>55.0</v>
      </c>
    </row>
    <row r="9535">
      <c r="A9535" s="1" t="s">
        <v>8</v>
      </c>
      <c r="B9535" s="2">
        <v>44740.0</v>
      </c>
      <c r="C9535" s="3">
        <v>0.6734953703703703</v>
      </c>
      <c r="D9535" s="1">
        <v>12.892287</v>
      </c>
      <c r="E9535" s="1">
        <v>80.085593</v>
      </c>
      <c r="F9535" s="1">
        <v>805.0</v>
      </c>
      <c r="G9535" s="1">
        <v>54.0</v>
      </c>
    </row>
    <row r="9536">
      <c r="A9536" s="1" t="s">
        <v>8</v>
      </c>
      <c r="B9536" s="2">
        <v>44740.0</v>
      </c>
      <c r="C9536" s="3">
        <v>0.6736921296296297</v>
      </c>
      <c r="D9536" s="1">
        <v>12.893725</v>
      </c>
      <c r="E9536" s="1">
        <v>80.086675</v>
      </c>
      <c r="F9536" s="1">
        <v>5339.0</v>
      </c>
      <c r="G9536" s="1">
        <v>47.0</v>
      </c>
    </row>
    <row r="9537">
      <c r="A9537" s="1" t="s">
        <v>7</v>
      </c>
      <c r="B9537" s="2">
        <v>44740.0</v>
      </c>
      <c r="C9537" s="3">
        <v>0.6738425925925926</v>
      </c>
      <c r="D9537" s="1">
        <v>12.874823</v>
      </c>
      <c r="E9537" s="1">
        <v>80.078654</v>
      </c>
      <c r="F9537" s="1">
        <v>2846.0</v>
      </c>
      <c r="G9537" s="1">
        <v>57.0</v>
      </c>
    </row>
    <row r="9538">
      <c r="A9538" s="1" t="s">
        <v>8</v>
      </c>
      <c r="B9538" s="2">
        <v>44740.0</v>
      </c>
      <c r="C9538" s="3">
        <v>0.6739814814814815</v>
      </c>
      <c r="D9538" s="1">
        <v>12.89571</v>
      </c>
      <c r="E9538" s="1">
        <v>80.08813</v>
      </c>
      <c r="F9538" s="1">
        <v>805.0</v>
      </c>
      <c r="G9538" s="1">
        <v>55.0</v>
      </c>
    </row>
    <row r="9539">
      <c r="A9539" s="1" t="s">
        <v>8</v>
      </c>
      <c r="B9539" s="2">
        <v>44740.0</v>
      </c>
      <c r="C9539" s="3">
        <v>0.6742708333333334</v>
      </c>
      <c r="D9539" s="1">
        <v>12.899129</v>
      </c>
      <c r="E9539" s="1">
        <v>80.090676</v>
      </c>
      <c r="F9539" s="1">
        <v>805.0</v>
      </c>
      <c r="G9539" s="1">
        <v>55.0</v>
      </c>
    </row>
    <row r="9540">
      <c r="A9540" s="1" t="s">
        <v>8</v>
      </c>
      <c r="B9540" s="2">
        <v>44740.0</v>
      </c>
      <c r="C9540" s="3">
        <v>0.6744560185185186</v>
      </c>
      <c r="D9540" s="1">
        <v>12.900935</v>
      </c>
      <c r="E9540" s="1">
        <v>80.092042</v>
      </c>
      <c r="F9540" s="1">
        <v>805.0</v>
      </c>
      <c r="G9540" s="1">
        <v>59.0</v>
      </c>
    </row>
    <row r="9541">
      <c r="A9541" s="1" t="s">
        <v>8</v>
      </c>
      <c r="B9541" s="2">
        <v>44740.0</v>
      </c>
      <c r="C9541" s="3">
        <v>0.6747222222222222</v>
      </c>
      <c r="D9541" s="1">
        <v>12.902714</v>
      </c>
      <c r="E9541" s="1">
        <v>80.093419</v>
      </c>
      <c r="F9541" s="1">
        <v>805.0</v>
      </c>
      <c r="G9541" s="1">
        <v>47.0</v>
      </c>
    </row>
    <row r="9542">
      <c r="A9542" s="1" t="s">
        <v>8</v>
      </c>
      <c r="B9542" s="2">
        <v>44740.0</v>
      </c>
      <c r="C9542" s="3">
        <v>0.6749421296296296</v>
      </c>
      <c r="D9542" s="1">
        <v>12.866396</v>
      </c>
      <c r="E9542" s="1">
        <v>80.075314</v>
      </c>
      <c r="F9542" s="1">
        <v>2846.0</v>
      </c>
      <c r="G9542" s="1">
        <v>22.0</v>
      </c>
    </row>
    <row r="9543">
      <c r="A9543" s="1" t="s">
        <v>8</v>
      </c>
      <c r="B9543" s="2">
        <v>44740.0</v>
      </c>
      <c r="C9543" s="3">
        <v>0.6752199074074074</v>
      </c>
      <c r="D9543" s="1">
        <v>12.905368</v>
      </c>
      <c r="E9543" s="1">
        <v>80.095548</v>
      </c>
      <c r="F9543" s="1">
        <v>805.0</v>
      </c>
      <c r="G9543" s="1">
        <v>8.0</v>
      </c>
    </row>
    <row r="9544">
      <c r="A9544" s="1" t="s">
        <v>8</v>
      </c>
      <c r="B9544" s="2">
        <v>44740.0</v>
      </c>
      <c r="C9544" s="3">
        <v>0.6753125</v>
      </c>
      <c r="D9544" s="1">
        <v>12.90624</v>
      </c>
      <c r="E9544" s="1">
        <v>80.095978</v>
      </c>
      <c r="F9544" s="1">
        <v>5339.0</v>
      </c>
      <c r="G9544" s="1">
        <v>47.0</v>
      </c>
    </row>
    <row r="9545">
      <c r="A9545" s="1" t="s">
        <v>8</v>
      </c>
      <c r="B9545" s="2">
        <v>44740.0</v>
      </c>
      <c r="C9545" s="3">
        <v>0.6753819444444444</v>
      </c>
      <c r="D9545" s="1">
        <v>12.862361</v>
      </c>
      <c r="E9545" s="1">
        <v>80.073744</v>
      </c>
      <c r="F9545" s="1">
        <v>2846.0</v>
      </c>
      <c r="G9545" s="1">
        <v>55.0</v>
      </c>
    </row>
    <row r="9546">
      <c r="A9546" s="1" t="s">
        <v>8</v>
      </c>
      <c r="B9546" s="2">
        <v>44740.0</v>
      </c>
      <c r="C9546" s="3">
        <v>0.6755787037037037</v>
      </c>
      <c r="D9546" s="1">
        <v>12.907803</v>
      </c>
      <c r="E9546" s="1">
        <v>80.097363</v>
      </c>
      <c r="F9546" s="1">
        <v>805.0</v>
      </c>
      <c r="G9546" s="1">
        <v>61.0</v>
      </c>
    </row>
    <row r="9547">
      <c r="A9547" s="1" t="s">
        <v>8</v>
      </c>
      <c r="B9547" s="2">
        <v>44740.0</v>
      </c>
      <c r="C9547" s="3">
        <v>0.6756134259259259</v>
      </c>
      <c r="D9547" s="1">
        <v>12.908524</v>
      </c>
      <c r="E9547" s="1">
        <v>80.097762</v>
      </c>
      <c r="F9547" s="1">
        <v>5339.0</v>
      </c>
      <c r="G9547" s="1">
        <v>44.0</v>
      </c>
    </row>
    <row r="9548">
      <c r="A9548" s="1" t="s">
        <v>8</v>
      </c>
      <c r="B9548" s="2">
        <v>44740.0</v>
      </c>
      <c r="C9548" s="3">
        <v>0.675625</v>
      </c>
      <c r="D9548" s="1">
        <v>12.908524</v>
      </c>
      <c r="E9548" s="1">
        <v>80.097762</v>
      </c>
      <c r="F9548" s="1">
        <v>5339.0</v>
      </c>
      <c r="G9548" s="1">
        <v>44.0</v>
      </c>
    </row>
    <row r="9549">
      <c r="A9549" s="1" t="s">
        <v>8</v>
      </c>
      <c r="B9549" s="2">
        <v>44740.0</v>
      </c>
      <c r="C9549" s="3">
        <v>0.675625</v>
      </c>
      <c r="D9549" s="1">
        <v>12.908524</v>
      </c>
      <c r="E9549" s="1">
        <v>80.097762</v>
      </c>
      <c r="F9549" s="1">
        <v>5339.0</v>
      </c>
      <c r="G9549" s="1">
        <v>44.0</v>
      </c>
    </row>
    <row r="9550">
      <c r="A9550" s="1" t="s">
        <v>8</v>
      </c>
      <c r="B9550" s="2">
        <v>44740.0</v>
      </c>
      <c r="C9550" s="3">
        <v>0.675775462962963</v>
      </c>
      <c r="D9550" s="1">
        <v>12.909245</v>
      </c>
      <c r="E9550" s="1">
        <v>80.098792</v>
      </c>
      <c r="F9550" s="1">
        <v>805.0</v>
      </c>
      <c r="G9550" s="1">
        <v>41.0</v>
      </c>
    </row>
    <row r="9551">
      <c r="A9551" s="1" t="s">
        <v>8</v>
      </c>
      <c r="B9551" s="2">
        <v>44740.0</v>
      </c>
      <c r="C9551" s="3">
        <v>0.6758796296296297</v>
      </c>
      <c r="D9551" s="1">
        <v>12.910088</v>
      </c>
      <c r="E9551" s="1">
        <v>80.10009</v>
      </c>
      <c r="F9551" s="1">
        <v>5339.0</v>
      </c>
      <c r="G9551" s="1">
        <v>40.0</v>
      </c>
    </row>
    <row r="9552">
      <c r="A9552" s="1" t="s">
        <v>8</v>
      </c>
      <c r="B9552" s="2">
        <v>44740.0</v>
      </c>
      <c r="C9552" s="3">
        <v>0.6759375</v>
      </c>
      <c r="D9552" s="1">
        <v>12.910088</v>
      </c>
      <c r="E9552" s="1">
        <v>80.10009</v>
      </c>
      <c r="F9552" s="1">
        <v>5339.0</v>
      </c>
      <c r="G9552" s="1">
        <v>40.0</v>
      </c>
    </row>
    <row r="9553">
      <c r="A9553" s="1" t="s">
        <v>8</v>
      </c>
      <c r="B9553" s="2">
        <v>44740.0</v>
      </c>
      <c r="C9553" s="3">
        <v>0.6759606481481482</v>
      </c>
      <c r="D9553" s="1">
        <v>12.910088</v>
      </c>
      <c r="E9553" s="1">
        <v>80.10009</v>
      </c>
      <c r="F9553" s="1">
        <v>5339.0</v>
      </c>
      <c r="G9553" s="1">
        <v>40.0</v>
      </c>
    </row>
    <row r="9554">
      <c r="A9554" s="1" t="s">
        <v>8</v>
      </c>
      <c r="B9554" s="2">
        <v>44740.0</v>
      </c>
      <c r="C9554" s="3">
        <v>0.6766435185185186</v>
      </c>
      <c r="D9554" s="1">
        <v>12.913396</v>
      </c>
      <c r="E9554" s="1">
        <v>80.101523</v>
      </c>
      <c r="F9554" s="1">
        <v>805.0</v>
      </c>
      <c r="G9554" s="1">
        <v>53.0</v>
      </c>
    </row>
    <row r="9555">
      <c r="A9555" s="1" t="s">
        <v>7</v>
      </c>
      <c r="B9555" s="2">
        <v>44740.0</v>
      </c>
      <c r="C9555" s="3">
        <v>0.6768287037037037</v>
      </c>
      <c r="D9555" s="1">
        <v>12.915402</v>
      </c>
      <c r="E9555" s="1">
        <v>80.102526</v>
      </c>
      <c r="F9555" s="1">
        <v>805.0</v>
      </c>
      <c r="G9555" s="1">
        <v>53.0</v>
      </c>
    </row>
    <row r="9556">
      <c r="A9556" s="1" t="s">
        <v>7</v>
      </c>
      <c r="B9556" s="2">
        <v>44740.0</v>
      </c>
      <c r="C9556" s="3">
        <v>0.676875</v>
      </c>
      <c r="D9556" s="1">
        <v>12.85329</v>
      </c>
      <c r="E9556" s="1">
        <v>80.067296</v>
      </c>
      <c r="F9556" s="1">
        <v>2846.0</v>
      </c>
      <c r="G9556" s="1">
        <v>57.0</v>
      </c>
    </row>
    <row r="9557">
      <c r="A9557" s="1" t="s">
        <v>8</v>
      </c>
      <c r="B9557" s="2">
        <v>44740.0</v>
      </c>
      <c r="C9557" s="3">
        <v>0.6769328703703704</v>
      </c>
      <c r="D9557" s="1">
        <v>12.915774</v>
      </c>
      <c r="E9557" s="1">
        <v>80.104371</v>
      </c>
      <c r="F9557" s="1">
        <v>805.0</v>
      </c>
      <c r="G9557" s="1">
        <v>54.0</v>
      </c>
    </row>
    <row r="9558">
      <c r="A9558" s="1" t="s">
        <v>8</v>
      </c>
      <c r="B9558" s="2">
        <v>44740.0</v>
      </c>
      <c r="C9558" s="3">
        <v>0.6773726851851852</v>
      </c>
      <c r="D9558" s="1">
        <v>12.916758</v>
      </c>
      <c r="E9558" s="1">
        <v>80.106608</v>
      </c>
      <c r="F9558" s="1">
        <v>805.0</v>
      </c>
      <c r="G9558" s="1">
        <v>0.0</v>
      </c>
    </row>
    <row r="9559">
      <c r="A9559" s="1" t="s">
        <v>8</v>
      </c>
      <c r="B9559" s="2">
        <v>44740.0</v>
      </c>
      <c r="C9559" s="3">
        <v>0.6775694444444444</v>
      </c>
      <c r="D9559" s="1">
        <v>12.917137</v>
      </c>
      <c r="E9559" s="1">
        <v>80.107341</v>
      </c>
      <c r="F9559" s="1">
        <v>805.0</v>
      </c>
      <c r="G9559" s="1">
        <v>32.0</v>
      </c>
    </row>
    <row r="9560">
      <c r="A9560" s="1" t="s">
        <v>8</v>
      </c>
      <c r="B9560" s="2">
        <v>44740.0</v>
      </c>
      <c r="C9560" s="3">
        <v>0.6777777777777778</v>
      </c>
      <c r="D9560" s="1">
        <v>12.917763</v>
      </c>
      <c r="E9560" s="1">
        <v>80.10822</v>
      </c>
      <c r="F9560" s="1">
        <v>805.0</v>
      </c>
      <c r="G9560" s="1">
        <v>31.0</v>
      </c>
    </row>
    <row r="9561">
      <c r="A9561" s="1" t="s">
        <v>7</v>
      </c>
      <c r="B9561" s="2">
        <v>44740.0</v>
      </c>
      <c r="C9561" s="3">
        <v>0.6780208333333333</v>
      </c>
      <c r="D9561" s="1">
        <v>12.918905</v>
      </c>
      <c r="E9561" s="1">
        <v>80.109627</v>
      </c>
      <c r="F9561" s="1">
        <v>805.0</v>
      </c>
      <c r="G9561" s="1">
        <v>51.0</v>
      </c>
    </row>
    <row r="9562">
      <c r="A9562" s="1" t="s">
        <v>8</v>
      </c>
      <c r="B9562" s="2">
        <v>44740.0</v>
      </c>
      <c r="C9562" s="3">
        <v>0.6780671296296297</v>
      </c>
      <c r="D9562" s="1">
        <v>12.920067</v>
      </c>
      <c r="E9562" s="1">
        <v>80.111057</v>
      </c>
      <c r="F9562" s="1">
        <v>805.0</v>
      </c>
      <c r="G9562" s="1">
        <v>47.0</v>
      </c>
    </row>
    <row r="9563">
      <c r="A9563" s="1" t="s">
        <v>8</v>
      </c>
      <c r="B9563" s="2">
        <v>44740.0</v>
      </c>
      <c r="C9563" s="3">
        <v>0.6781134259259259</v>
      </c>
      <c r="D9563" s="1">
        <v>12.920067</v>
      </c>
      <c r="E9563" s="1">
        <v>80.111057</v>
      </c>
      <c r="F9563" s="1">
        <v>805.0</v>
      </c>
      <c r="G9563" s="1">
        <v>47.0</v>
      </c>
    </row>
    <row r="9564">
      <c r="A9564" s="1" t="s">
        <v>8</v>
      </c>
      <c r="B9564" s="2">
        <v>44740.0</v>
      </c>
      <c r="C9564" s="3">
        <v>0.6784837962962963</v>
      </c>
      <c r="D9564" s="1">
        <v>12.922708</v>
      </c>
      <c r="E9564" s="1">
        <v>80.113789</v>
      </c>
      <c r="F9564" s="1">
        <v>805.0</v>
      </c>
      <c r="G9564" s="1">
        <v>29.0</v>
      </c>
    </row>
    <row r="9565">
      <c r="A9565" s="1" t="s">
        <v>7</v>
      </c>
      <c r="B9565" s="2">
        <v>44740.0</v>
      </c>
      <c r="C9565" s="3">
        <v>0.6786689814814815</v>
      </c>
      <c r="D9565" s="1">
        <v>12.923406</v>
      </c>
      <c r="E9565" s="1">
        <v>80.11447</v>
      </c>
      <c r="F9565" s="1">
        <v>805.0</v>
      </c>
      <c r="G9565" s="1">
        <v>27.0</v>
      </c>
    </row>
    <row r="9566">
      <c r="A9566" s="1" t="s">
        <v>8</v>
      </c>
      <c r="B9566" s="2">
        <v>44740.0</v>
      </c>
      <c r="C9566" s="3">
        <v>0.6787731481481482</v>
      </c>
      <c r="D9566" s="1">
        <v>12.92438</v>
      </c>
      <c r="E9566" s="1">
        <v>80.11545</v>
      </c>
      <c r="F9566" s="1">
        <v>805.0</v>
      </c>
      <c r="G9566" s="1">
        <v>44.0</v>
      </c>
    </row>
    <row r="9567">
      <c r="A9567" s="1" t="s">
        <v>9</v>
      </c>
      <c r="B9567" s="2">
        <v>44740.0</v>
      </c>
      <c r="C9567" s="3">
        <v>0.6789467592592593</v>
      </c>
      <c r="D9567" s="1">
        <v>12.925812</v>
      </c>
      <c r="E9567" s="1">
        <v>80.11692</v>
      </c>
      <c r="F9567" s="1">
        <v>805.0</v>
      </c>
      <c r="G9567" s="1">
        <v>46.0</v>
      </c>
    </row>
    <row r="9568">
      <c r="A9568" s="1" t="s">
        <v>8</v>
      </c>
      <c r="B9568" s="2">
        <v>44740.0</v>
      </c>
      <c r="C9568" s="3">
        <v>0.679375</v>
      </c>
      <c r="D9568" s="1">
        <v>12.927401</v>
      </c>
      <c r="E9568" s="1">
        <v>80.118477</v>
      </c>
      <c r="F9568" s="1">
        <v>805.0</v>
      </c>
      <c r="G9568" s="1">
        <v>30.0</v>
      </c>
    </row>
    <row r="9569">
      <c r="A9569" s="1" t="s">
        <v>8</v>
      </c>
      <c r="B9569" s="2">
        <v>44740.0</v>
      </c>
      <c r="C9569" s="3">
        <v>0.6796527777777778</v>
      </c>
      <c r="D9569" s="1">
        <v>12.840422</v>
      </c>
      <c r="E9569" s="1">
        <v>80.056222</v>
      </c>
      <c r="F9569" s="1">
        <v>2846.0</v>
      </c>
      <c r="G9569" s="1">
        <v>27.0</v>
      </c>
    </row>
    <row r="9570">
      <c r="A9570" s="1" t="s">
        <v>8</v>
      </c>
      <c r="B9570" s="2">
        <v>44740.0</v>
      </c>
      <c r="C9570" s="3">
        <v>0.6799768518518519</v>
      </c>
      <c r="D9570" s="1">
        <v>12.929922</v>
      </c>
      <c r="E9570" s="1">
        <v>80.121008</v>
      </c>
      <c r="F9570" s="1">
        <v>805.0</v>
      </c>
      <c r="G9570" s="1">
        <v>14.0</v>
      </c>
    </row>
    <row r="9571">
      <c r="A9571" s="1" t="s">
        <v>7</v>
      </c>
      <c r="B9571" s="2">
        <v>44740.0</v>
      </c>
      <c r="C9571" s="3">
        <v>0.680162037037037</v>
      </c>
      <c r="D9571" s="1">
        <v>12.838324</v>
      </c>
      <c r="E9571" s="1">
        <v>80.054006</v>
      </c>
      <c r="F9571" s="1">
        <v>2846.0</v>
      </c>
      <c r="G9571" s="1">
        <v>45.0</v>
      </c>
    </row>
    <row r="9572">
      <c r="A9572" s="1" t="s">
        <v>8</v>
      </c>
      <c r="B9572" s="2">
        <v>44740.0</v>
      </c>
      <c r="C9572" s="3">
        <v>0.680625</v>
      </c>
      <c r="D9572" s="1">
        <v>12.833551</v>
      </c>
      <c r="E9572" s="1">
        <v>80.048984</v>
      </c>
      <c r="F9572" s="1">
        <v>2846.0</v>
      </c>
      <c r="G9572" s="1">
        <v>57.0</v>
      </c>
    </row>
    <row r="9573">
      <c r="A9573" s="1" t="s">
        <v>8</v>
      </c>
      <c r="B9573" s="2">
        <v>44740.0</v>
      </c>
      <c r="C9573" s="3">
        <v>0.6807175925925926</v>
      </c>
      <c r="D9573" s="1">
        <v>12.934241</v>
      </c>
      <c r="E9573" s="1">
        <v>80.125342</v>
      </c>
      <c r="F9573" s="1">
        <v>805.0</v>
      </c>
      <c r="G9573" s="1">
        <v>37.0</v>
      </c>
    </row>
    <row r="9574">
      <c r="A9574" s="1" t="s">
        <v>8</v>
      </c>
      <c r="B9574" s="2">
        <v>44740.0</v>
      </c>
      <c r="C9574" s="3">
        <v>0.6807175925925926</v>
      </c>
      <c r="D9574" s="1">
        <v>12.934241</v>
      </c>
      <c r="E9574" s="1">
        <v>80.125342</v>
      </c>
      <c r="F9574" s="1">
        <v>805.0</v>
      </c>
      <c r="G9574" s="1">
        <v>37.0</v>
      </c>
    </row>
    <row r="9575">
      <c r="A9575" s="1" t="s">
        <v>8</v>
      </c>
      <c r="B9575" s="2">
        <v>44740.0</v>
      </c>
      <c r="C9575" s="3">
        <v>0.6809722222222222</v>
      </c>
      <c r="D9575" s="1">
        <v>12.93598</v>
      </c>
      <c r="E9575" s="1">
        <v>80.126876</v>
      </c>
      <c r="F9575" s="1">
        <v>805.0</v>
      </c>
      <c r="G9575" s="1">
        <v>21.0</v>
      </c>
    </row>
    <row r="9576">
      <c r="A9576" s="1" t="s">
        <v>8</v>
      </c>
      <c r="B9576" s="2">
        <v>44740.0</v>
      </c>
      <c r="C9576" s="3">
        <v>0.6810763888888889</v>
      </c>
      <c r="D9576" s="1">
        <v>12.830347</v>
      </c>
      <c r="E9576" s="1">
        <v>80.045593</v>
      </c>
      <c r="F9576" s="1">
        <v>2846.0</v>
      </c>
      <c r="G9576" s="1">
        <v>50.0</v>
      </c>
    </row>
    <row r="9577">
      <c r="A9577" s="1" t="s">
        <v>8</v>
      </c>
      <c r="B9577" s="2">
        <v>44740.0</v>
      </c>
      <c r="C9577" s="3">
        <v>0.6810995370370371</v>
      </c>
      <c r="D9577" s="1">
        <v>12.93598</v>
      </c>
      <c r="E9577" s="1">
        <v>80.126876</v>
      </c>
      <c r="F9577" s="1">
        <v>805.0</v>
      </c>
      <c r="G9577" s="1">
        <v>21.0</v>
      </c>
    </row>
    <row r="9578">
      <c r="A9578" s="1" t="s">
        <v>7</v>
      </c>
      <c r="B9578" s="2">
        <v>44740.0</v>
      </c>
      <c r="C9578" s="3">
        <v>0.6812847222222222</v>
      </c>
      <c r="D9578" s="1">
        <v>12.835181</v>
      </c>
      <c r="E9578" s="1">
        <v>80.050677</v>
      </c>
      <c r="F9578" s="1">
        <v>2846.0</v>
      </c>
      <c r="G9578" s="1">
        <v>58.0</v>
      </c>
    </row>
    <row r="9579">
      <c r="A9579" s="1" t="s">
        <v>7</v>
      </c>
      <c r="B9579" s="2">
        <v>44740.0</v>
      </c>
      <c r="C9579" s="3">
        <v>0.681400462962963</v>
      </c>
      <c r="D9579" s="1">
        <v>12.938052</v>
      </c>
      <c r="E9579" s="1">
        <v>80.128726</v>
      </c>
      <c r="F9579" s="1">
        <v>805.0</v>
      </c>
      <c r="G9579" s="1">
        <v>45.0</v>
      </c>
    </row>
    <row r="9580">
      <c r="A9580" s="1" t="s">
        <v>9</v>
      </c>
      <c r="B9580" s="2">
        <v>44740.0</v>
      </c>
      <c r="C9580" s="3">
        <v>0.6814351851851852</v>
      </c>
      <c r="D9580" s="1">
        <v>12.938052</v>
      </c>
      <c r="E9580" s="1">
        <v>80.128726</v>
      </c>
      <c r="F9580" s="1">
        <v>805.0</v>
      </c>
      <c r="G9580" s="1">
        <v>45.0</v>
      </c>
    </row>
    <row r="9581">
      <c r="A9581" s="1" t="s">
        <v>8</v>
      </c>
      <c r="B9581" s="2">
        <v>44740.0</v>
      </c>
      <c r="C9581" s="3">
        <v>0.6815856481481481</v>
      </c>
      <c r="D9581" s="1">
        <v>12.939742</v>
      </c>
      <c r="E9581" s="1">
        <v>80.13019</v>
      </c>
      <c r="F9581" s="1">
        <v>805.0</v>
      </c>
      <c r="G9581" s="1">
        <v>53.0</v>
      </c>
    </row>
    <row r="9582">
      <c r="A9582" s="1" t="s">
        <v>8</v>
      </c>
      <c r="B9582" s="2">
        <v>44740.0</v>
      </c>
      <c r="C9582" s="3">
        <v>0.681863425925926</v>
      </c>
      <c r="D9582" s="1">
        <v>12.823222</v>
      </c>
      <c r="E9582" s="1">
        <v>80.039158</v>
      </c>
      <c r="F9582" s="1">
        <v>2846.0</v>
      </c>
      <c r="G9582" s="1">
        <v>56.0</v>
      </c>
    </row>
    <row r="9583">
      <c r="A9583" s="1" t="s">
        <v>8</v>
      </c>
      <c r="B9583" s="2">
        <v>44740.0</v>
      </c>
      <c r="C9583" s="3">
        <v>0.6820833333333334</v>
      </c>
      <c r="D9583" s="1">
        <v>12.941177</v>
      </c>
      <c r="E9583" s="1">
        <v>80.13169</v>
      </c>
      <c r="F9583" s="1">
        <v>5339.0</v>
      </c>
      <c r="G9583" s="1">
        <v>41.0</v>
      </c>
    </row>
    <row r="9584">
      <c r="A9584" s="1" t="s">
        <v>8</v>
      </c>
      <c r="B9584" s="2">
        <v>44740.0</v>
      </c>
      <c r="C9584" s="3">
        <v>0.6821180555555556</v>
      </c>
      <c r="D9584" s="1">
        <v>12.942479</v>
      </c>
      <c r="E9584" s="1">
        <v>80.132937</v>
      </c>
      <c r="F9584" s="1">
        <v>805.0</v>
      </c>
      <c r="G9584" s="1">
        <v>24.0</v>
      </c>
    </row>
    <row r="9585">
      <c r="A9585" s="1" t="s">
        <v>8</v>
      </c>
      <c r="B9585" s="2">
        <v>44740.0</v>
      </c>
      <c r="C9585" s="3">
        <v>0.6821180555555556</v>
      </c>
      <c r="D9585" s="1">
        <v>12.942479</v>
      </c>
      <c r="E9585" s="1">
        <v>80.132937</v>
      </c>
      <c r="F9585" s="1">
        <v>805.0</v>
      </c>
      <c r="G9585" s="1">
        <v>24.0</v>
      </c>
    </row>
    <row r="9586">
      <c r="A9586" s="1" t="s">
        <v>8</v>
      </c>
      <c r="B9586" s="2">
        <v>44740.0</v>
      </c>
      <c r="C9586" s="3">
        <v>0.6822106481481481</v>
      </c>
      <c r="D9586" s="1">
        <v>12.942479</v>
      </c>
      <c r="E9586" s="1">
        <v>80.132937</v>
      </c>
      <c r="F9586" s="1">
        <v>805.0</v>
      </c>
      <c r="G9586" s="1">
        <v>24.0</v>
      </c>
    </row>
    <row r="9587">
      <c r="A9587" s="1" t="s">
        <v>8</v>
      </c>
      <c r="B9587" s="2">
        <v>44740.0</v>
      </c>
      <c r="C9587" s="3">
        <v>0.6822916666666666</v>
      </c>
      <c r="D9587" s="1">
        <v>12.943065</v>
      </c>
      <c r="E9587" s="1">
        <v>80.133612</v>
      </c>
      <c r="F9587" s="1">
        <v>805.0</v>
      </c>
      <c r="G9587" s="1">
        <v>26.0</v>
      </c>
    </row>
    <row r="9588">
      <c r="A9588" s="1" t="s">
        <v>9</v>
      </c>
      <c r="B9588" s="2">
        <v>44740.0</v>
      </c>
      <c r="C9588" s="3">
        <v>0.6823148148148148</v>
      </c>
      <c r="D9588" s="1">
        <v>12.942035</v>
      </c>
      <c r="E9588" s="1">
        <v>80.132581</v>
      </c>
      <c r="F9588" s="1">
        <v>5339.0</v>
      </c>
      <c r="G9588" s="1">
        <v>26.0</v>
      </c>
    </row>
    <row r="9589">
      <c r="A9589" s="1" t="s">
        <v>8</v>
      </c>
      <c r="B9589" s="2">
        <v>44740.0</v>
      </c>
      <c r="C9589" s="3">
        <v>0.6824189814814815</v>
      </c>
      <c r="D9589" s="1">
        <v>12.943065</v>
      </c>
      <c r="E9589" s="1">
        <v>80.133612</v>
      </c>
      <c r="F9589" s="1">
        <v>805.0</v>
      </c>
      <c r="G9589" s="1">
        <v>26.0</v>
      </c>
    </row>
    <row r="9590">
      <c r="A9590" s="1" t="s">
        <v>8</v>
      </c>
      <c r="B9590" s="2">
        <v>44740.0</v>
      </c>
      <c r="C9590" s="3">
        <v>0.6824421296296296</v>
      </c>
      <c r="D9590" s="1">
        <v>12.943065</v>
      </c>
      <c r="E9590" s="1">
        <v>80.133612</v>
      </c>
      <c r="F9590" s="1">
        <v>805.0</v>
      </c>
      <c r="G9590" s="1">
        <v>26.0</v>
      </c>
    </row>
    <row r="9591">
      <c r="A9591" s="1" t="s">
        <v>8</v>
      </c>
      <c r="B9591" s="2">
        <v>44740.0</v>
      </c>
      <c r="C9591" s="3">
        <v>0.6824768518518518</v>
      </c>
      <c r="D9591" s="1">
        <v>12.943929</v>
      </c>
      <c r="E9591" s="1">
        <v>80.13444</v>
      </c>
      <c r="F9591" s="1">
        <v>805.0</v>
      </c>
      <c r="G9591" s="1">
        <v>35.0</v>
      </c>
    </row>
    <row r="9592">
      <c r="A9592" s="1" t="s">
        <v>8</v>
      </c>
      <c r="B9592" s="2">
        <v>44740.0</v>
      </c>
      <c r="C9592" s="3">
        <v>0.6824768518518518</v>
      </c>
      <c r="D9592" s="1">
        <v>12.943929</v>
      </c>
      <c r="E9592" s="1">
        <v>80.13444</v>
      </c>
      <c r="F9592" s="1">
        <v>805.0</v>
      </c>
      <c r="G9592" s="1">
        <v>35.0</v>
      </c>
    </row>
    <row r="9593">
      <c r="A9593" s="1" t="s">
        <v>8</v>
      </c>
      <c r="B9593" s="2">
        <v>44740.0</v>
      </c>
      <c r="C9593" s="3">
        <v>0.6828356481481481</v>
      </c>
      <c r="D9593" s="1">
        <v>12.944396</v>
      </c>
      <c r="E9593" s="1">
        <v>80.134828</v>
      </c>
      <c r="F9593" s="1">
        <v>5339.0</v>
      </c>
      <c r="G9593" s="1">
        <v>37.0</v>
      </c>
    </row>
    <row r="9594">
      <c r="A9594" s="1" t="s">
        <v>8</v>
      </c>
      <c r="B9594" s="2">
        <v>44740.0</v>
      </c>
      <c r="C9594" s="3">
        <v>0.6828935185185185</v>
      </c>
      <c r="D9594" s="1">
        <v>12.945935</v>
      </c>
      <c r="E9594" s="1">
        <v>80.135976</v>
      </c>
      <c r="F9594" s="1">
        <v>805.0</v>
      </c>
      <c r="G9594" s="1">
        <v>43.0</v>
      </c>
    </row>
    <row r="9595">
      <c r="A9595" s="1" t="s">
        <v>8</v>
      </c>
      <c r="B9595" s="2">
        <v>44740.0</v>
      </c>
      <c r="C9595" s="3">
        <v>0.6829976851851852</v>
      </c>
      <c r="D9595" s="1">
        <v>12.945416</v>
      </c>
      <c r="E9595" s="1">
        <v>80.135599</v>
      </c>
      <c r="F9595" s="1">
        <v>5339.0</v>
      </c>
      <c r="G9595" s="1">
        <v>13.0</v>
      </c>
    </row>
    <row r="9596">
      <c r="A9596" s="1" t="s">
        <v>7</v>
      </c>
      <c r="B9596" s="2">
        <v>44740.0</v>
      </c>
      <c r="C9596" s="3">
        <v>0.6830671296296297</v>
      </c>
      <c r="D9596" s="1">
        <v>12.947294</v>
      </c>
      <c r="E9596" s="1">
        <v>80.136994</v>
      </c>
      <c r="F9596" s="1">
        <v>805.0</v>
      </c>
      <c r="G9596" s="1">
        <v>43.0</v>
      </c>
    </row>
    <row r="9597">
      <c r="A9597" s="1" t="s">
        <v>7</v>
      </c>
      <c r="B9597" s="2">
        <v>44740.0</v>
      </c>
      <c r="C9597" s="3">
        <v>0.6832175925925926</v>
      </c>
      <c r="D9597" s="1">
        <v>12.816849</v>
      </c>
      <c r="E9597" s="1">
        <v>80.034635</v>
      </c>
      <c r="F9597" s="1">
        <v>2846.0</v>
      </c>
      <c r="G9597" s="1">
        <v>41.0</v>
      </c>
    </row>
    <row r="9598">
      <c r="A9598" s="1" t="s">
        <v>8</v>
      </c>
      <c r="B9598" s="2">
        <v>44740.0</v>
      </c>
      <c r="C9598" s="3">
        <v>0.6835648148148148</v>
      </c>
      <c r="D9598" s="1">
        <v>12.948956</v>
      </c>
      <c r="E9598" s="1">
        <v>80.138235</v>
      </c>
      <c r="F9598" s="1">
        <v>5339.0</v>
      </c>
      <c r="G9598" s="1">
        <v>44.0</v>
      </c>
    </row>
    <row r="9599">
      <c r="A9599" s="1" t="s">
        <v>8</v>
      </c>
      <c r="B9599" s="2">
        <v>44740.0</v>
      </c>
      <c r="C9599" s="3">
        <v>0.683587962962963</v>
      </c>
      <c r="D9599" s="1">
        <v>12.948956</v>
      </c>
      <c r="E9599" s="1">
        <v>80.138235</v>
      </c>
      <c r="F9599" s="1">
        <v>5339.0</v>
      </c>
      <c r="G9599" s="1">
        <v>44.0</v>
      </c>
    </row>
    <row r="9600">
      <c r="A9600" s="1" t="s">
        <v>8</v>
      </c>
      <c r="B9600" s="2">
        <v>44740.0</v>
      </c>
      <c r="C9600" s="3">
        <v>0.683599537037037</v>
      </c>
      <c r="D9600" s="1">
        <v>12.948956</v>
      </c>
      <c r="E9600" s="1">
        <v>80.138235</v>
      </c>
      <c r="F9600" s="1">
        <v>5339.0</v>
      </c>
      <c r="G9600" s="1">
        <v>44.0</v>
      </c>
    </row>
    <row r="9601">
      <c r="A9601" s="1" t="s">
        <v>8</v>
      </c>
      <c r="B9601" s="2">
        <v>44740.0</v>
      </c>
      <c r="C9601" s="3">
        <v>0.683599537037037</v>
      </c>
      <c r="D9601" s="1">
        <v>12.948956</v>
      </c>
      <c r="E9601" s="1">
        <v>80.138235</v>
      </c>
      <c r="F9601" s="1">
        <v>5339.0</v>
      </c>
      <c r="G9601" s="1">
        <v>44.0</v>
      </c>
    </row>
    <row r="9602">
      <c r="A9602" s="1" t="s">
        <v>8</v>
      </c>
      <c r="B9602" s="2">
        <v>44740.0</v>
      </c>
      <c r="C9602" s="3">
        <v>0.6836111111111111</v>
      </c>
      <c r="D9602" s="1">
        <v>12.948956</v>
      </c>
      <c r="E9602" s="1">
        <v>80.138235</v>
      </c>
      <c r="F9602" s="1">
        <v>5339.0</v>
      </c>
      <c r="G9602" s="1">
        <v>44.0</v>
      </c>
    </row>
    <row r="9603">
      <c r="A9603" s="1" t="s">
        <v>8</v>
      </c>
      <c r="B9603" s="2">
        <v>44740.0</v>
      </c>
      <c r="C9603" s="3">
        <v>0.6836226851851852</v>
      </c>
      <c r="D9603" s="1">
        <v>12.948956</v>
      </c>
      <c r="E9603" s="1">
        <v>80.138235</v>
      </c>
      <c r="F9603" s="1">
        <v>5339.0</v>
      </c>
      <c r="G9603" s="1">
        <v>44.0</v>
      </c>
    </row>
    <row r="9604">
      <c r="A9604" s="1" t="s">
        <v>8</v>
      </c>
      <c r="B9604" s="2">
        <v>44740.0</v>
      </c>
      <c r="C9604" s="3">
        <v>0.6836689814814815</v>
      </c>
      <c r="D9604" s="1">
        <v>12.950444</v>
      </c>
      <c r="E9604" s="1">
        <v>80.139336</v>
      </c>
      <c r="F9604" s="1">
        <v>805.0</v>
      </c>
      <c r="G9604" s="1">
        <v>20.0</v>
      </c>
    </row>
    <row r="9605">
      <c r="A9605" s="1" t="s">
        <v>7</v>
      </c>
      <c r="B9605" s="2">
        <v>44740.0</v>
      </c>
      <c r="C9605" s="3">
        <v>0.6837268518518519</v>
      </c>
      <c r="D9605" s="1">
        <v>12.81015</v>
      </c>
      <c r="E9605" s="1">
        <v>80.03014</v>
      </c>
      <c r="F9605" s="1">
        <v>2846.0</v>
      </c>
      <c r="G9605" s="1">
        <v>57.0</v>
      </c>
    </row>
    <row r="9606">
      <c r="A9606" s="1" t="s">
        <v>8</v>
      </c>
      <c r="B9606" s="2">
        <v>44740.0</v>
      </c>
      <c r="C9606" s="3">
        <v>0.6837962962962963</v>
      </c>
      <c r="D9606" s="1">
        <v>12.951196</v>
      </c>
      <c r="E9606" s="1">
        <v>80.139966</v>
      </c>
      <c r="F9606" s="1">
        <v>805.0</v>
      </c>
      <c r="G9606" s="1">
        <v>28.0</v>
      </c>
    </row>
    <row r="9607">
      <c r="A9607" s="1" t="s">
        <v>8</v>
      </c>
      <c r="B9607" s="2">
        <v>44740.0</v>
      </c>
      <c r="C9607" s="3">
        <v>0.6838078703703704</v>
      </c>
      <c r="D9607" s="1">
        <v>12.951196</v>
      </c>
      <c r="E9607" s="1">
        <v>80.139966</v>
      </c>
      <c r="F9607" s="1">
        <v>805.0</v>
      </c>
      <c r="G9607" s="1">
        <v>28.0</v>
      </c>
    </row>
    <row r="9608">
      <c r="A9608" s="1" t="s">
        <v>8</v>
      </c>
      <c r="B9608" s="2">
        <v>44740.0</v>
      </c>
      <c r="C9608" s="3">
        <v>0.6838310185185185</v>
      </c>
      <c r="D9608" s="1">
        <v>12.951196</v>
      </c>
      <c r="E9608" s="1">
        <v>80.139966</v>
      </c>
      <c r="F9608" s="1">
        <v>805.0</v>
      </c>
      <c r="G9608" s="1">
        <v>28.0</v>
      </c>
    </row>
    <row r="9609">
      <c r="A9609" s="1" t="s">
        <v>7</v>
      </c>
      <c r="B9609" s="2">
        <v>44740.0</v>
      </c>
      <c r="C9609" s="3">
        <v>0.6839120370370371</v>
      </c>
      <c r="D9609" s="1">
        <v>12.808382</v>
      </c>
      <c r="E9609" s="1">
        <v>80.028994</v>
      </c>
      <c r="F9609" s="1">
        <v>2846.0</v>
      </c>
      <c r="G9609" s="1">
        <v>52.0</v>
      </c>
    </row>
    <row r="9610">
      <c r="A9610" s="1" t="s">
        <v>8</v>
      </c>
      <c r="B9610" s="2">
        <v>44740.0</v>
      </c>
      <c r="C9610" s="3">
        <v>0.6840972222222222</v>
      </c>
      <c r="D9610" s="1">
        <v>12.953204</v>
      </c>
      <c r="E9610" s="1">
        <v>80.141463</v>
      </c>
      <c r="F9610" s="1">
        <v>805.0</v>
      </c>
      <c r="G9610" s="1">
        <v>34.0</v>
      </c>
    </row>
    <row r="9611">
      <c r="A9611" s="1" t="s">
        <v>7</v>
      </c>
      <c r="B9611" s="2">
        <v>44740.0</v>
      </c>
      <c r="C9611" s="3">
        <v>0.6845949074074074</v>
      </c>
      <c r="D9611" s="1">
        <v>12.801861</v>
      </c>
      <c r="E9611" s="1">
        <v>80.024723</v>
      </c>
      <c r="F9611" s="1">
        <v>2846.0</v>
      </c>
      <c r="G9611" s="1">
        <v>46.0</v>
      </c>
    </row>
    <row r="9612">
      <c r="A9612" s="1" t="s">
        <v>8</v>
      </c>
      <c r="B9612" s="2">
        <v>44740.0</v>
      </c>
      <c r="C9612" s="3">
        <v>0.6849537037037037</v>
      </c>
      <c r="D9612" s="1">
        <v>12.955808</v>
      </c>
      <c r="E9612" s="1">
        <v>80.142908</v>
      </c>
      <c r="F9612" s="1">
        <v>805.0</v>
      </c>
      <c r="G9612" s="1">
        <v>0.0</v>
      </c>
    </row>
    <row r="9613">
      <c r="A9613" s="1" t="s">
        <v>8</v>
      </c>
      <c r="B9613" s="2">
        <v>44740.0</v>
      </c>
      <c r="C9613" s="3">
        <v>0.6849768518518519</v>
      </c>
      <c r="D9613" s="1">
        <v>12.955808</v>
      </c>
      <c r="E9613" s="1">
        <v>80.142908</v>
      </c>
      <c r="F9613" s="1">
        <v>805.0</v>
      </c>
      <c r="G9613" s="1">
        <v>0.0</v>
      </c>
    </row>
    <row r="9614">
      <c r="A9614" s="1" t="s">
        <v>8</v>
      </c>
      <c r="B9614" s="2">
        <v>44740.0</v>
      </c>
      <c r="C9614" s="3">
        <v>0.6849768518518519</v>
      </c>
      <c r="D9614" s="1">
        <v>12.955808</v>
      </c>
      <c r="E9614" s="1">
        <v>80.142908</v>
      </c>
      <c r="F9614" s="1">
        <v>805.0</v>
      </c>
      <c r="G9614" s="1">
        <v>0.0</v>
      </c>
    </row>
    <row r="9615">
      <c r="A9615" s="1" t="s">
        <v>8</v>
      </c>
      <c r="B9615" s="2">
        <v>44740.0</v>
      </c>
      <c r="C9615" s="3">
        <v>0.6849884259259259</v>
      </c>
      <c r="D9615" s="1">
        <v>12.955808</v>
      </c>
      <c r="E9615" s="1">
        <v>80.142908</v>
      </c>
      <c r="F9615" s="1">
        <v>805.0</v>
      </c>
      <c r="G9615" s="1">
        <v>0.0</v>
      </c>
    </row>
    <row r="9616">
      <c r="A9616" s="1" t="s">
        <v>8</v>
      </c>
      <c r="B9616" s="2">
        <v>44740.0</v>
      </c>
      <c r="C9616" s="3">
        <v>0.6850115740740741</v>
      </c>
      <c r="D9616" s="1">
        <v>12.955808</v>
      </c>
      <c r="E9616" s="1">
        <v>80.142908</v>
      </c>
      <c r="F9616" s="1">
        <v>805.0</v>
      </c>
      <c r="G9616" s="1">
        <v>0.0</v>
      </c>
    </row>
    <row r="9617">
      <c r="A9617" s="1" t="s">
        <v>7</v>
      </c>
      <c r="B9617" s="2">
        <v>44740.0</v>
      </c>
      <c r="C9617" s="3">
        <v>0.6850462962962963</v>
      </c>
      <c r="D9617" s="1">
        <v>12.796745</v>
      </c>
      <c r="E9617" s="1">
        <v>80.021389</v>
      </c>
      <c r="F9617" s="1">
        <v>2846.0</v>
      </c>
      <c r="G9617" s="1">
        <v>51.0</v>
      </c>
    </row>
    <row r="9618">
      <c r="A9618" s="1" t="s">
        <v>7</v>
      </c>
      <c r="B9618" s="2">
        <v>44740.0</v>
      </c>
      <c r="C9618" s="3">
        <v>0.6857291666666666</v>
      </c>
      <c r="D9618" s="1">
        <v>12.79195</v>
      </c>
      <c r="E9618" s="1">
        <v>80.018208</v>
      </c>
      <c r="F9618" s="1">
        <v>2846.0</v>
      </c>
      <c r="G9618" s="1">
        <v>57.0</v>
      </c>
    </row>
    <row r="9619">
      <c r="A9619" s="1" t="s">
        <v>7</v>
      </c>
      <c r="B9619" s="2">
        <v>44740.0</v>
      </c>
      <c r="C9619" s="3">
        <v>0.6861805555555556</v>
      </c>
      <c r="D9619" s="1">
        <v>12.786181</v>
      </c>
      <c r="E9619" s="1">
        <v>80.014739</v>
      </c>
      <c r="F9619" s="1">
        <v>2846.0</v>
      </c>
      <c r="G9619" s="1">
        <v>57.0</v>
      </c>
    </row>
    <row r="9620">
      <c r="A9620" s="1" t="s">
        <v>8</v>
      </c>
      <c r="B9620" s="2">
        <v>44740.0</v>
      </c>
      <c r="C9620" s="3">
        <v>0.6863657407407407</v>
      </c>
      <c r="D9620" s="1">
        <v>12.961002</v>
      </c>
      <c r="E9620" s="1">
        <v>80.145586</v>
      </c>
      <c r="F9620" s="1">
        <v>805.0</v>
      </c>
      <c r="G9620" s="1">
        <v>0.0</v>
      </c>
    </row>
    <row r="9621">
      <c r="A9621" s="1" t="s">
        <v>8</v>
      </c>
      <c r="B9621" s="2">
        <v>44740.0</v>
      </c>
      <c r="C9621" s="3">
        <v>0.6865972222222222</v>
      </c>
      <c r="D9621" s="1">
        <v>12.961276</v>
      </c>
      <c r="E9621" s="1">
        <v>80.145682</v>
      </c>
      <c r="F9621" s="1">
        <v>805.0</v>
      </c>
      <c r="G9621" s="1">
        <v>22.0</v>
      </c>
    </row>
    <row r="9622">
      <c r="A9622" s="1" t="s">
        <v>7</v>
      </c>
      <c r="B9622" s="2">
        <v>44740.0</v>
      </c>
      <c r="C9622" s="3">
        <v>0.6867824074074074</v>
      </c>
      <c r="D9622" s="1">
        <v>12.962387</v>
      </c>
      <c r="E9622" s="1">
        <v>80.146364</v>
      </c>
      <c r="F9622" s="1">
        <v>805.0</v>
      </c>
      <c r="G9622" s="1">
        <v>42.0</v>
      </c>
    </row>
    <row r="9623">
      <c r="A9623" s="1" t="s">
        <v>7</v>
      </c>
      <c r="B9623" s="2">
        <v>44740.0</v>
      </c>
      <c r="C9623" s="3">
        <v>0.6870486111111112</v>
      </c>
      <c r="D9623" s="1">
        <v>12.965774</v>
      </c>
      <c r="E9623" s="1">
        <v>80.148307</v>
      </c>
      <c r="F9623" s="1">
        <v>805.0</v>
      </c>
      <c r="G9623" s="1">
        <v>48.0</v>
      </c>
    </row>
    <row r="9624">
      <c r="A9624" s="1" t="s">
        <v>8</v>
      </c>
      <c r="B9624" s="2">
        <v>44740.0</v>
      </c>
      <c r="C9624" s="3">
        <v>0.6881712962962963</v>
      </c>
      <c r="D9624" s="1">
        <v>12.975778</v>
      </c>
      <c r="E9624" s="1">
        <v>80.156685</v>
      </c>
      <c r="F9624" s="1">
        <v>805.0</v>
      </c>
      <c r="G9624" s="1">
        <v>45.0</v>
      </c>
    </row>
    <row r="9625">
      <c r="A9625" s="1" t="s">
        <v>7</v>
      </c>
      <c r="B9625" s="2">
        <v>44740.0</v>
      </c>
      <c r="C9625" s="3">
        <v>0.6884027777777778</v>
      </c>
      <c r="D9625" s="1">
        <v>12.976668</v>
      </c>
      <c r="E9625" s="1">
        <v>80.158</v>
      </c>
      <c r="F9625" s="1">
        <v>805.0</v>
      </c>
      <c r="G9625" s="1">
        <v>46.0</v>
      </c>
    </row>
    <row r="9626">
      <c r="A9626" s="1" t="s">
        <v>8</v>
      </c>
      <c r="B9626" s="2">
        <v>44740.0</v>
      </c>
      <c r="C9626" s="3">
        <v>0.6887152777777777</v>
      </c>
      <c r="D9626" s="1">
        <v>12.97919</v>
      </c>
      <c r="E9626" s="1">
        <v>80.161652</v>
      </c>
      <c r="F9626" s="1">
        <v>805.0</v>
      </c>
      <c r="G9626" s="1">
        <v>57.0</v>
      </c>
    </row>
    <row r="9627">
      <c r="A9627" s="1" t="s">
        <v>7</v>
      </c>
      <c r="B9627" s="2">
        <v>44740.0</v>
      </c>
      <c r="C9627" s="3">
        <v>0.6889120370370371</v>
      </c>
      <c r="D9627" s="1">
        <v>12.760503</v>
      </c>
      <c r="E9627" s="1">
        <v>80.003512</v>
      </c>
      <c r="F9627" s="1">
        <v>2846.0</v>
      </c>
      <c r="G9627" s="1">
        <v>31.0</v>
      </c>
    </row>
    <row r="9628">
      <c r="A9628" s="1" t="s">
        <v>7</v>
      </c>
      <c r="B9628" s="2">
        <v>44740.0</v>
      </c>
      <c r="C9628" s="3">
        <v>0.6892824074074074</v>
      </c>
      <c r="D9628" s="1">
        <v>12.757414</v>
      </c>
      <c r="E9628" s="1">
        <v>80.002583</v>
      </c>
      <c r="F9628" s="1">
        <v>2846.0</v>
      </c>
      <c r="G9628" s="1">
        <v>49.0</v>
      </c>
    </row>
    <row r="9629">
      <c r="A9629" s="1" t="s">
        <v>8</v>
      </c>
      <c r="B9629" s="2">
        <v>44740.0</v>
      </c>
      <c r="C9629" s="3">
        <v>0.6895370370370371</v>
      </c>
      <c r="D9629" s="1">
        <v>12.9842</v>
      </c>
      <c r="E9629" s="1">
        <v>80.171294</v>
      </c>
      <c r="F9629" s="1">
        <v>805.0</v>
      </c>
      <c r="G9629" s="1">
        <v>55.0</v>
      </c>
    </row>
    <row r="9630">
      <c r="A9630" s="1" t="s">
        <v>8</v>
      </c>
      <c r="B9630" s="2">
        <v>44740.0</v>
      </c>
      <c r="C9630" s="3">
        <v>0.6895370370370371</v>
      </c>
      <c r="D9630" s="1">
        <v>12.9842</v>
      </c>
      <c r="E9630" s="1">
        <v>80.171294</v>
      </c>
      <c r="F9630" s="1">
        <v>805.0</v>
      </c>
      <c r="G9630" s="1">
        <v>55.0</v>
      </c>
    </row>
    <row r="9631">
      <c r="A9631" s="1" t="s">
        <v>8</v>
      </c>
      <c r="B9631" s="2">
        <v>44740.0</v>
      </c>
      <c r="C9631" s="3">
        <v>0.6895601851851851</v>
      </c>
      <c r="D9631" s="1">
        <v>12.9842</v>
      </c>
      <c r="E9631" s="1">
        <v>80.171294</v>
      </c>
      <c r="F9631" s="1">
        <v>805.0</v>
      </c>
      <c r="G9631" s="1">
        <v>55.0</v>
      </c>
    </row>
    <row r="9632">
      <c r="A9632" s="1" t="s">
        <v>8</v>
      </c>
      <c r="B9632" s="2">
        <v>44740.0</v>
      </c>
      <c r="C9632" s="3">
        <v>0.6895717592592593</v>
      </c>
      <c r="D9632" s="1">
        <v>12.9842</v>
      </c>
      <c r="E9632" s="1">
        <v>80.171294</v>
      </c>
      <c r="F9632" s="1">
        <v>805.0</v>
      </c>
      <c r="G9632" s="1">
        <v>55.0</v>
      </c>
    </row>
    <row r="9633">
      <c r="A9633" s="1" t="s">
        <v>8</v>
      </c>
      <c r="B9633" s="2">
        <v>44740.0</v>
      </c>
      <c r="C9633" s="3">
        <v>0.6895717592592593</v>
      </c>
      <c r="D9633" s="1">
        <v>12.9842</v>
      </c>
      <c r="E9633" s="1">
        <v>80.171294</v>
      </c>
      <c r="F9633" s="1">
        <v>805.0</v>
      </c>
      <c r="G9633" s="1">
        <v>55.0</v>
      </c>
    </row>
    <row r="9634">
      <c r="A9634" s="1" t="s">
        <v>8</v>
      </c>
      <c r="B9634" s="2">
        <v>44740.0</v>
      </c>
      <c r="C9634" s="3">
        <v>0.6895717592592593</v>
      </c>
      <c r="D9634" s="1">
        <v>12.9842</v>
      </c>
      <c r="E9634" s="1">
        <v>80.171294</v>
      </c>
      <c r="F9634" s="1">
        <v>805.0</v>
      </c>
      <c r="G9634" s="1">
        <v>55.0</v>
      </c>
    </row>
    <row r="9635">
      <c r="A9635" s="1" t="s">
        <v>8</v>
      </c>
      <c r="B9635" s="2">
        <v>44740.0</v>
      </c>
      <c r="C9635" s="3">
        <v>0.6897222222222222</v>
      </c>
      <c r="D9635" s="1">
        <v>12.985229</v>
      </c>
      <c r="E9635" s="1">
        <v>80.172892</v>
      </c>
      <c r="F9635" s="1">
        <v>805.0</v>
      </c>
      <c r="G9635" s="1">
        <v>50.0</v>
      </c>
    </row>
    <row r="9636">
      <c r="A9636" s="1" t="s">
        <v>7</v>
      </c>
      <c r="B9636" s="2">
        <v>44740.0</v>
      </c>
      <c r="C9636" s="3">
        <v>0.6897916666666667</v>
      </c>
      <c r="D9636" s="1">
        <v>12.75352</v>
      </c>
      <c r="E9636" s="1">
        <v>80.000399</v>
      </c>
      <c r="F9636" s="1">
        <v>2846.0</v>
      </c>
      <c r="G9636" s="1">
        <v>57.0</v>
      </c>
    </row>
    <row r="9637">
      <c r="A9637" s="1" t="s">
        <v>8</v>
      </c>
      <c r="B9637" s="2">
        <v>44740.0</v>
      </c>
      <c r="C9637" s="3">
        <v>0.6897916666666667</v>
      </c>
      <c r="D9637" s="1">
        <v>12.985229</v>
      </c>
      <c r="E9637" s="1">
        <v>80.172892</v>
      </c>
      <c r="F9637" s="1">
        <v>805.0</v>
      </c>
      <c r="G9637" s="1">
        <v>50.0</v>
      </c>
    </row>
    <row r="9638">
      <c r="A9638" s="1" t="s">
        <v>8</v>
      </c>
      <c r="B9638" s="2">
        <v>44740.0</v>
      </c>
      <c r="C9638" s="3">
        <v>0.6898842592592592</v>
      </c>
      <c r="D9638" s="1">
        <v>12.985936</v>
      </c>
      <c r="E9638" s="1">
        <v>80.173953</v>
      </c>
      <c r="F9638" s="1">
        <v>805.0</v>
      </c>
      <c r="G9638" s="1">
        <v>15.0</v>
      </c>
    </row>
    <row r="9639">
      <c r="A9639" s="1" t="s">
        <v>7</v>
      </c>
      <c r="B9639" s="2">
        <v>44740.0</v>
      </c>
      <c r="C9639" s="3">
        <v>0.6900115740740741</v>
      </c>
      <c r="D9639" s="1">
        <v>12.981726</v>
      </c>
      <c r="E9639" s="1">
        <v>80.167124</v>
      </c>
      <c r="F9639" s="1">
        <v>5339.0</v>
      </c>
      <c r="G9639" s="1">
        <v>46.0</v>
      </c>
    </row>
    <row r="9640">
      <c r="A9640" s="1" t="s">
        <v>8</v>
      </c>
      <c r="B9640" s="2">
        <v>44740.0</v>
      </c>
      <c r="C9640" s="3">
        <v>0.6900694444444444</v>
      </c>
      <c r="D9640" s="1">
        <v>12.986469</v>
      </c>
      <c r="E9640" s="1">
        <v>80.174737</v>
      </c>
      <c r="F9640" s="1">
        <v>805.0</v>
      </c>
      <c r="G9640" s="1">
        <v>28.0</v>
      </c>
    </row>
    <row r="9641">
      <c r="A9641" s="1" t="s">
        <v>8</v>
      </c>
      <c r="B9641" s="2">
        <v>44740.0</v>
      </c>
      <c r="C9641" s="3">
        <v>0.6906365740740741</v>
      </c>
      <c r="D9641" s="1">
        <v>12.989008</v>
      </c>
      <c r="E9641" s="1">
        <v>80.178223</v>
      </c>
      <c r="F9641" s="1">
        <v>805.0</v>
      </c>
      <c r="G9641" s="1">
        <v>25.0</v>
      </c>
    </row>
    <row r="9642">
      <c r="A9642" s="1" t="s">
        <v>8</v>
      </c>
      <c r="B9642" s="2">
        <v>44740.0</v>
      </c>
      <c r="C9642" s="3">
        <v>0.6908333333333333</v>
      </c>
      <c r="D9642" s="1">
        <v>12.743011</v>
      </c>
      <c r="E9642" s="1">
        <v>79.99245</v>
      </c>
      <c r="F9642" s="1">
        <v>2846.0</v>
      </c>
      <c r="G9642" s="1">
        <v>22.0</v>
      </c>
    </row>
    <row r="9643">
      <c r="A9643" s="1" t="s">
        <v>8</v>
      </c>
      <c r="B9643" s="2">
        <v>44740.0</v>
      </c>
      <c r="C9643" s="3">
        <v>0.6908449074074074</v>
      </c>
      <c r="D9643" s="1">
        <v>12.98587</v>
      </c>
      <c r="E9643" s="1">
        <v>80.173828</v>
      </c>
      <c r="F9643" s="1">
        <v>5339.0</v>
      </c>
      <c r="G9643" s="1">
        <v>18.0</v>
      </c>
    </row>
    <row r="9644">
      <c r="A9644" s="1" t="s">
        <v>8</v>
      </c>
      <c r="B9644" s="2">
        <v>44740.0</v>
      </c>
      <c r="C9644" s="3">
        <v>0.6909606481481482</v>
      </c>
      <c r="D9644" s="1">
        <v>12.989419</v>
      </c>
      <c r="E9644" s="1">
        <v>80.178711</v>
      </c>
      <c r="F9644" s="1">
        <v>805.0</v>
      </c>
      <c r="G9644" s="1">
        <v>18.0</v>
      </c>
    </row>
    <row r="9645">
      <c r="A9645" s="1" t="s">
        <v>8</v>
      </c>
      <c r="B9645" s="2">
        <v>44740.0</v>
      </c>
      <c r="C9645" s="3">
        <v>0.6909953703703704</v>
      </c>
      <c r="D9645" s="1">
        <v>12.985939</v>
      </c>
      <c r="E9645" s="1">
        <v>80.173956</v>
      </c>
      <c r="F9645" s="1">
        <v>5339.0</v>
      </c>
      <c r="G9645" s="1">
        <v>0.0</v>
      </c>
    </row>
    <row r="9646">
      <c r="A9646" s="1" t="s">
        <v>7</v>
      </c>
      <c r="B9646" s="2">
        <v>44740.0</v>
      </c>
      <c r="C9646" s="3">
        <v>0.6919328703703703</v>
      </c>
      <c r="D9646" s="1">
        <v>12.993822</v>
      </c>
      <c r="E9646" s="1">
        <v>80.185135</v>
      </c>
      <c r="F9646" s="1">
        <v>805.0</v>
      </c>
      <c r="G9646" s="1">
        <v>0.0</v>
      </c>
    </row>
    <row r="9647">
      <c r="A9647" s="1" t="s">
        <v>7</v>
      </c>
      <c r="B9647" s="2">
        <v>44740.0</v>
      </c>
      <c r="C9647" s="3">
        <v>0.692037037037037</v>
      </c>
      <c r="D9647" s="1">
        <v>12.738256</v>
      </c>
      <c r="E9647" s="1">
        <v>79.988637</v>
      </c>
      <c r="F9647" s="1">
        <v>2846.0</v>
      </c>
      <c r="G9647" s="1">
        <v>57.0</v>
      </c>
    </row>
    <row r="9648">
      <c r="A9648" s="1" t="s">
        <v>7</v>
      </c>
      <c r="B9648" s="2">
        <v>44740.0</v>
      </c>
      <c r="C9648" s="3">
        <v>0.6923611111111111</v>
      </c>
      <c r="D9648" s="1">
        <v>12.734658</v>
      </c>
      <c r="E9648" s="1">
        <v>79.985686</v>
      </c>
      <c r="F9648" s="1">
        <v>2846.0</v>
      </c>
      <c r="G9648" s="1">
        <v>54.0</v>
      </c>
    </row>
    <row r="9649">
      <c r="A9649" s="1" t="s">
        <v>8</v>
      </c>
      <c r="B9649" s="2">
        <v>44740.0</v>
      </c>
      <c r="C9649" s="3">
        <v>0.6924537037037037</v>
      </c>
      <c r="D9649" s="1">
        <v>12.995417</v>
      </c>
      <c r="E9649" s="1">
        <v>80.188247</v>
      </c>
      <c r="F9649" s="1">
        <v>805.0</v>
      </c>
      <c r="G9649" s="1">
        <v>55.0</v>
      </c>
    </row>
    <row r="9650">
      <c r="A9650" s="1" t="s">
        <v>8</v>
      </c>
      <c r="B9650" s="2">
        <v>44740.0</v>
      </c>
      <c r="C9650" s="3">
        <v>0.6924768518518518</v>
      </c>
      <c r="D9650" s="1">
        <v>12.995417</v>
      </c>
      <c r="E9650" s="1">
        <v>80.188247</v>
      </c>
      <c r="F9650" s="1">
        <v>805.0</v>
      </c>
      <c r="G9650" s="1">
        <v>55.0</v>
      </c>
    </row>
    <row r="9651">
      <c r="A9651" s="1" t="s">
        <v>8</v>
      </c>
      <c r="B9651" s="2">
        <v>44740.0</v>
      </c>
      <c r="C9651" s="3">
        <v>0.6926388888888889</v>
      </c>
      <c r="D9651" s="1">
        <v>12.99594</v>
      </c>
      <c r="E9651" s="1">
        <v>80.189134</v>
      </c>
      <c r="F9651" s="1">
        <v>805.0</v>
      </c>
      <c r="G9651" s="1">
        <v>15.0</v>
      </c>
    </row>
    <row r="9652">
      <c r="A9652" s="1" t="s">
        <v>8</v>
      </c>
      <c r="B9652" s="2">
        <v>44740.0</v>
      </c>
      <c r="C9652" s="3">
        <v>0.6928472222222222</v>
      </c>
      <c r="D9652" s="1">
        <v>12.996803</v>
      </c>
      <c r="E9652" s="1">
        <v>80.190118</v>
      </c>
      <c r="F9652" s="1">
        <v>805.0</v>
      </c>
      <c r="G9652" s="1">
        <v>45.0</v>
      </c>
    </row>
    <row r="9653">
      <c r="A9653" s="1" t="s">
        <v>9</v>
      </c>
      <c r="B9653" s="2">
        <v>44740.0</v>
      </c>
      <c r="C9653" s="3">
        <v>0.6930902777777778</v>
      </c>
      <c r="D9653" s="1">
        <v>12.997994</v>
      </c>
      <c r="E9653" s="1">
        <v>80.191607</v>
      </c>
      <c r="F9653" s="1">
        <v>805.0</v>
      </c>
      <c r="G9653" s="1">
        <v>43.0</v>
      </c>
    </row>
    <row r="9654">
      <c r="A9654" s="1" t="s">
        <v>8</v>
      </c>
      <c r="B9654" s="2">
        <v>44740.0</v>
      </c>
      <c r="C9654" s="3">
        <v>0.6934375</v>
      </c>
      <c r="D9654" s="1">
        <v>13.000116</v>
      </c>
      <c r="E9654" s="1">
        <v>80.194268</v>
      </c>
      <c r="F9654" s="1">
        <v>805.0</v>
      </c>
      <c r="G9654" s="1">
        <v>42.0</v>
      </c>
    </row>
    <row r="9655">
      <c r="A9655" s="1" t="s">
        <v>8</v>
      </c>
      <c r="B9655" s="2">
        <v>44740.0</v>
      </c>
      <c r="C9655" s="3">
        <v>0.6934722222222223</v>
      </c>
      <c r="D9655" s="1">
        <v>13.000116</v>
      </c>
      <c r="E9655" s="1">
        <v>80.194268</v>
      </c>
      <c r="F9655" s="1">
        <v>805.0</v>
      </c>
      <c r="G9655" s="1">
        <v>42.0</v>
      </c>
    </row>
    <row r="9656">
      <c r="A9656" s="1" t="s">
        <v>8</v>
      </c>
      <c r="B9656" s="2">
        <v>44740.0</v>
      </c>
      <c r="C9656" s="3">
        <v>0.6935416666666666</v>
      </c>
      <c r="D9656" s="1">
        <v>13.000116</v>
      </c>
      <c r="E9656" s="1">
        <v>80.194268</v>
      </c>
      <c r="F9656" s="1">
        <v>805.0</v>
      </c>
      <c r="G9656" s="1">
        <v>42.0</v>
      </c>
    </row>
    <row r="9657">
      <c r="A9657" s="1" t="s">
        <v>7</v>
      </c>
      <c r="B9657" s="2">
        <v>44740.0</v>
      </c>
      <c r="C9657" s="3">
        <v>0.6936226851851852</v>
      </c>
      <c r="D9657" s="1">
        <v>12.72314</v>
      </c>
      <c r="E9657" s="1">
        <v>79.981744</v>
      </c>
      <c r="F9657" s="1">
        <v>2846.0</v>
      </c>
      <c r="G9657" s="1">
        <v>33.0</v>
      </c>
    </row>
    <row r="9658">
      <c r="A9658" s="1" t="s">
        <v>8</v>
      </c>
      <c r="B9658" s="2">
        <v>44740.0</v>
      </c>
      <c r="C9658" s="3">
        <v>0.6939699074074074</v>
      </c>
      <c r="D9658" s="1">
        <v>13.002069</v>
      </c>
      <c r="E9658" s="1">
        <v>80.19762</v>
      </c>
      <c r="F9658" s="1">
        <v>805.0</v>
      </c>
      <c r="G9658" s="1">
        <v>39.0</v>
      </c>
    </row>
    <row r="9659">
      <c r="A9659" s="1" t="s">
        <v>9</v>
      </c>
      <c r="B9659" s="2">
        <v>44740.0</v>
      </c>
      <c r="C9659" s="3">
        <v>0.6940277777777778</v>
      </c>
      <c r="D9659" s="1">
        <v>13.002069</v>
      </c>
      <c r="E9659" s="1">
        <v>80.19762</v>
      </c>
      <c r="F9659" s="1">
        <v>805.0</v>
      </c>
      <c r="G9659" s="1">
        <v>39.0</v>
      </c>
    </row>
    <row r="9660">
      <c r="A9660" s="1" t="s">
        <v>8</v>
      </c>
      <c r="B9660" s="2">
        <v>44740.0</v>
      </c>
      <c r="C9660" s="3">
        <v>0.6941666666666667</v>
      </c>
      <c r="D9660" s="1">
        <v>13.001797</v>
      </c>
      <c r="E9660" s="1">
        <v>80.199182</v>
      </c>
      <c r="F9660" s="1">
        <v>805.0</v>
      </c>
      <c r="G9660" s="1">
        <v>37.0</v>
      </c>
    </row>
    <row r="9661">
      <c r="A9661" s="1" t="s">
        <v>9</v>
      </c>
      <c r="B9661" s="2">
        <v>44740.0</v>
      </c>
      <c r="C9661" s="3">
        <v>0.6942476851851852</v>
      </c>
      <c r="D9661" s="1">
        <v>12.721558</v>
      </c>
      <c r="E9661" s="1">
        <v>79.981409</v>
      </c>
      <c r="F9661" s="1">
        <v>2846.0</v>
      </c>
      <c r="G9661" s="1">
        <v>45.0</v>
      </c>
    </row>
    <row r="9662">
      <c r="A9662" s="1" t="s">
        <v>9</v>
      </c>
      <c r="B9662" s="2">
        <v>44740.0</v>
      </c>
      <c r="C9662" s="3">
        <v>0.6944907407407407</v>
      </c>
      <c r="D9662" s="1">
        <v>13.003926</v>
      </c>
      <c r="E9662" s="1">
        <v>80.200945</v>
      </c>
      <c r="F9662" s="1">
        <v>805.0</v>
      </c>
      <c r="G9662" s="1">
        <v>34.0</v>
      </c>
    </row>
    <row r="9663">
      <c r="A9663" s="1" t="s">
        <v>8</v>
      </c>
      <c r="B9663" s="2">
        <v>44740.0</v>
      </c>
      <c r="C9663" s="3">
        <v>0.6952083333333333</v>
      </c>
      <c r="D9663" s="1">
        <v>12.712486</v>
      </c>
      <c r="E9663" s="1">
        <v>79.97969</v>
      </c>
      <c r="F9663" s="1">
        <v>2846.0</v>
      </c>
      <c r="G9663" s="1">
        <v>56.0</v>
      </c>
    </row>
    <row r="9664">
      <c r="A9664" s="1" t="s">
        <v>8</v>
      </c>
      <c r="B9664" s="2">
        <v>44740.0</v>
      </c>
      <c r="C9664" s="3">
        <v>0.6952199074074074</v>
      </c>
      <c r="D9664" s="1">
        <v>13.007413</v>
      </c>
      <c r="E9664" s="1">
        <v>80.203657</v>
      </c>
      <c r="F9664" s="1">
        <v>805.0</v>
      </c>
      <c r="G9664" s="1">
        <v>41.0</v>
      </c>
    </row>
    <row r="9665">
      <c r="A9665" s="1" t="s">
        <v>8</v>
      </c>
      <c r="B9665" s="2">
        <v>44740.0</v>
      </c>
      <c r="C9665" s="3">
        <v>0.6957638888888888</v>
      </c>
      <c r="D9665" s="1">
        <v>13.007703</v>
      </c>
      <c r="E9665" s="1">
        <v>80.206225</v>
      </c>
      <c r="F9665" s="1">
        <v>805.0</v>
      </c>
      <c r="G9665" s="1">
        <v>53.0</v>
      </c>
    </row>
    <row r="9666">
      <c r="A9666" s="1" t="s">
        <v>8</v>
      </c>
      <c r="B9666" s="2">
        <v>44740.0</v>
      </c>
      <c r="C9666" s="3">
        <v>0.6958333333333333</v>
      </c>
      <c r="D9666" s="1">
        <v>12.703723</v>
      </c>
      <c r="E9666" s="1">
        <v>79.97681</v>
      </c>
      <c r="F9666" s="1">
        <v>2846.0</v>
      </c>
      <c r="G9666" s="1">
        <v>44.0</v>
      </c>
    </row>
    <row r="9667">
      <c r="A9667" s="1" t="s">
        <v>8</v>
      </c>
      <c r="B9667" s="2">
        <v>44740.0</v>
      </c>
      <c r="C9667" s="3">
        <v>0.6959375</v>
      </c>
      <c r="D9667" s="1">
        <v>13.008052</v>
      </c>
      <c r="E9667" s="1">
        <v>80.208519</v>
      </c>
      <c r="F9667" s="1">
        <v>805.0</v>
      </c>
      <c r="G9667" s="1">
        <v>59.0</v>
      </c>
    </row>
    <row r="9668">
      <c r="A9668" s="1" t="s">
        <v>8</v>
      </c>
      <c r="B9668" s="2">
        <v>44740.0</v>
      </c>
      <c r="C9668" s="3">
        <v>0.6960763888888889</v>
      </c>
      <c r="D9668" s="1">
        <v>13.001288</v>
      </c>
      <c r="E9668" s="1">
        <v>80.195685</v>
      </c>
      <c r="F9668" s="1">
        <v>5339.0</v>
      </c>
      <c r="G9668" s="1">
        <v>0.0</v>
      </c>
    </row>
    <row r="9669">
      <c r="A9669" s="1" t="s">
        <v>8</v>
      </c>
      <c r="B9669" s="2">
        <v>44740.0</v>
      </c>
      <c r="C9669" s="3">
        <v>0.6960879629629629</v>
      </c>
      <c r="D9669" s="1">
        <v>13.008627</v>
      </c>
      <c r="E9669" s="1">
        <v>80.21077</v>
      </c>
      <c r="F9669" s="1">
        <v>805.0</v>
      </c>
      <c r="G9669" s="1">
        <v>51.0</v>
      </c>
    </row>
    <row r="9670">
      <c r="A9670" s="1" t="s">
        <v>8</v>
      </c>
      <c r="B9670" s="2">
        <v>44740.0</v>
      </c>
      <c r="C9670" s="3">
        <v>0.6962847222222223</v>
      </c>
      <c r="D9670" s="1">
        <v>13.009353</v>
      </c>
      <c r="E9670" s="1">
        <v>80.21271</v>
      </c>
      <c r="F9670" s="1">
        <v>805.0</v>
      </c>
      <c r="G9670" s="1">
        <v>47.0</v>
      </c>
    </row>
    <row r="9671">
      <c r="A9671" s="1" t="s">
        <v>8</v>
      </c>
      <c r="B9671" s="2">
        <v>44740.0</v>
      </c>
      <c r="C9671" s="3">
        <v>0.6965972222222222</v>
      </c>
      <c r="D9671" s="1">
        <v>13.009883</v>
      </c>
      <c r="E9671" s="1">
        <v>80.21412</v>
      </c>
      <c r="F9671" s="1">
        <v>805.0</v>
      </c>
      <c r="G9671" s="1">
        <v>38.0</v>
      </c>
    </row>
    <row r="9672">
      <c r="A9672" s="1" t="s">
        <v>8</v>
      </c>
      <c r="B9672" s="2">
        <v>44740.0</v>
      </c>
      <c r="C9672" s="3">
        <v>0.6972916666666666</v>
      </c>
      <c r="D9672" s="1">
        <v>13.012139</v>
      </c>
      <c r="E9672" s="1">
        <v>80.220627</v>
      </c>
      <c r="F9672" s="1">
        <v>805.0</v>
      </c>
      <c r="G9672" s="1">
        <v>0.0</v>
      </c>
    </row>
    <row r="9673">
      <c r="A9673" s="1" t="s">
        <v>8</v>
      </c>
      <c r="B9673" s="2">
        <v>44740.0</v>
      </c>
      <c r="C9673" s="3">
        <v>0.6975231481481482</v>
      </c>
      <c r="D9673" s="1">
        <v>13.012328</v>
      </c>
      <c r="E9673" s="1">
        <v>80.221166</v>
      </c>
      <c r="F9673" s="1">
        <v>805.0</v>
      </c>
      <c r="G9673" s="1">
        <v>18.0</v>
      </c>
    </row>
    <row r="9674">
      <c r="A9674" s="1" t="s">
        <v>8</v>
      </c>
      <c r="B9674" s="2">
        <v>44740.0</v>
      </c>
      <c r="C9674" s="3">
        <v>0.6983217592592592</v>
      </c>
      <c r="D9674" s="1">
        <v>13.015183</v>
      </c>
      <c r="E9674" s="1">
        <v>80.224897</v>
      </c>
      <c r="F9674" s="1">
        <v>805.0</v>
      </c>
      <c r="G9674" s="1">
        <v>0.0</v>
      </c>
    </row>
    <row r="9675">
      <c r="A9675" s="1" t="s">
        <v>8</v>
      </c>
      <c r="B9675" s="2">
        <v>44740.0</v>
      </c>
      <c r="C9675" s="3">
        <v>0.6987384259259259</v>
      </c>
      <c r="D9675" s="1">
        <v>13.015452</v>
      </c>
      <c r="E9675" s="1">
        <v>80.225358</v>
      </c>
      <c r="F9675" s="1">
        <v>805.0</v>
      </c>
      <c r="G9675" s="1">
        <v>18.0</v>
      </c>
    </row>
    <row r="9676">
      <c r="A9676" s="1" t="s">
        <v>8</v>
      </c>
      <c r="B9676" s="2">
        <v>44740.0</v>
      </c>
      <c r="C9676" s="3">
        <v>0.6988310185185185</v>
      </c>
      <c r="D9676" s="1">
        <v>12.694266</v>
      </c>
      <c r="E9676" s="1">
        <v>79.978666</v>
      </c>
      <c r="F9676" s="1">
        <v>2846.0</v>
      </c>
      <c r="G9676" s="1">
        <v>28.0</v>
      </c>
    </row>
    <row r="9677">
      <c r="A9677" s="1" t="s">
        <v>8</v>
      </c>
      <c r="B9677" s="2">
        <v>44740.0</v>
      </c>
      <c r="C9677" s="3">
        <v>0.6989236111111111</v>
      </c>
      <c r="D9677" s="1">
        <v>13.014759</v>
      </c>
      <c r="E9677" s="1">
        <v>80.226012</v>
      </c>
      <c r="F9677" s="1">
        <v>805.0</v>
      </c>
      <c r="G9677" s="1">
        <v>32.0</v>
      </c>
    </row>
    <row r="9678">
      <c r="A9678" s="1" t="s">
        <v>8</v>
      </c>
      <c r="B9678" s="2">
        <v>44740.0</v>
      </c>
      <c r="C9678" s="3">
        <v>0.6991435185185185</v>
      </c>
      <c r="D9678" s="1">
        <v>13.01348</v>
      </c>
      <c r="E9678" s="1">
        <v>80.226505</v>
      </c>
      <c r="F9678" s="1">
        <v>805.0</v>
      </c>
      <c r="G9678" s="1">
        <v>33.0</v>
      </c>
    </row>
    <row r="9679">
      <c r="A9679" s="1" t="s">
        <v>8</v>
      </c>
      <c r="B9679" s="2">
        <v>44740.0</v>
      </c>
      <c r="C9679" s="3">
        <v>0.6996064814814815</v>
      </c>
      <c r="D9679" s="1">
        <v>13.009454</v>
      </c>
      <c r="E9679" s="1">
        <v>80.228182</v>
      </c>
      <c r="F9679" s="1">
        <v>805.0</v>
      </c>
      <c r="G9679" s="1">
        <v>41.0</v>
      </c>
    </row>
    <row r="9680">
      <c r="A9680" s="1" t="s">
        <v>8</v>
      </c>
      <c r="B9680" s="2">
        <v>44740.0</v>
      </c>
      <c r="C9680" s="3">
        <v>0.700162037037037</v>
      </c>
      <c r="D9680" s="1">
        <v>12.693881</v>
      </c>
      <c r="E9680" s="1">
        <v>79.979155</v>
      </c>
      <c r="F9680" s="1">
        <v>2846.0</v>
      </c>
      <c r="G9680" s="1">
        <v>0.0</v>
      </c>
    </row>
    <row r="9681">
      <c r="A9681" s="1" t="s">
        <v>8</v>
      </c>
      <c r="B9681" s="2">
        <v>44740.0</v>
      </c>
      <c r="C9681" s="3">
        <v>0.7002893518518518</v>
      </c>
      <c r="D9681" s="1">
        <v>13.007912</v>
      </c>
      <c r="E9681" s="1">
        <v>80.234941</v>
      </c>
      <c r="F9681" s="1">
        <v>805.0</v>
      </c>
      <c r="G9681" s="1">
        <v>17.0</v>
      </c>
    </row>
    <row r="9682">
      <c r="A9682" s="1" t="s">
        <v>8</v>
      </c>
      <c r="B9682" s="2">
        <v>44740.0</v>
      </c>
      <c r="C9682" s="3">
        <v>0.7013657407407408</v>
      </c>
      <c r="D9682" s="1">
        <v>13.006942</v>
      </c>
      <c r="E9682" s="1">
        <v>80.23981</v>
      </c>
      <c r="F9682" s="1">
        <v>805.0</v>
      </c>
      <c r="G9682" s="1">
        <v>22.0</v>
      </c>
    </row>
    <row r="9683">
      <c r="A9683" s="1" t="s">
        <v>8</v>
      </c>
      <c r="B9683" s="2">
        <v>44740.0</v>
      </c>
      <c r="C9683" s="3">
        <v>0.7016782407407407</v>
      </c>
      <c r="D9683" s="1">
        <v>12.683041</v>
      </c>
      <c r="E9683" s="1">
        <v>79.982964</v>
      </c>
      <c r="F9683" s="1">
        <v>2846.0</v>
      </c>
      <c r="G9683" s="1">
        <v>10.0</v>
      </c>
    </row>
    <row r="9684">
      <c r="A9684" s="1" t="s">
        <v>9</v>
      </c>
      <c r="B9684" s="2">
        <v>44740.0</v>
      </c>
      <c r="C9684" s="3">
        <v>0.7017476851851852</v>
      </c>
      <c r="D9684" s="1">
        <v>12.683041</v>
      </c>
      <c r="E9684" s="1">
        <v>79.982964</v>
      </c>
      <c r="F9684" s="1">
        <v>2846.0</v>
      </c>
      <c r="G9684" s="1">
        <v>10.0</v>
      </c>
    </row>
    <row r="9685">
      <c r="A9685" s="1" t="s">
        <v>8</v>
      </c>
      <c r="B9685" s="2">
        <v>44740.0</v>
      </c>
      <c r="C9685" s="3">
        <v>0.7027430555555556</v>
      </c>
      <c r="D9685" s="1">
        <v>13.006756</v>
      </c>
      <c r="E9685" s="1">
        <v>80.247877</v>
      </c>
      <c r="F9685" s="1">
        <v>805.0</v>
      </c>
      <c r="G9685" s="1">
        <v>0.0</v>
      </c>
    </row>
    <row r="9686">
      <c r="A9686" s="1" t="s">
        <v>8</v>
      </c>
      <c r="B9686" s="2">
        <v>44740.0</v>
      </c>
      <c r="C9686" s="3">
        <v>0.7033449074074074</v>
      </c>
      <c r="D9686" s="1">
        <v>13.006842</v>
      </c>
      <c r="E9686" s="1">
        <v>80.250909</v>
      </c>
      <c r="F9686" s="1">
        <v>805.0</v>
      </c>
      <c r="G9686" s="1">
        <v>17.0</v>
      </c>
    </row>
    <row r="9687">
      <c r="A9687" s="1" t="s">
        <v>8</v>
      </c>
      <c r="B9687" s="2">
        <v>44740.0</v>
      </c>
      <c r="C9687" s="3">
        <v>0.7033680555555556</v>
      </c>
      <c r="D9687" s="1">
        <v>13.006842</v>
      </c>
      <c r="E9687" s="1">
        <v>80.250909</v>
      </c>
      <c r="F9687" s="1">
        <v>805.0</v>
      </c>
      <c r="G9687" s="1">
        <v>17.0</v>
      </c>
    </row>
    <row r="9688">
      <c r="A9688" s="1" t="s">
        <v>8</v>
      </c>
      <c r="B9688" s="2">
        <v>44740.0</v>
      </c>
      <c r="C9688" s="3">
        <v>0.7033680555555556</v>
      </c>
      <c r="D9688" s="1">
        <v>13.006842</v>
      </c>
      <c r="E9688" s="1">
        <v>80.250909</v>
      </c>
      <c r="F9688" s="1">
        <v>805.0</v>
      </c>
      <c r="G9688" s="1">
        <v>17.0</v>
      </c>
    </row>
    <row r="9689">
      <c r="A9689" s="1" t="s">
        <v>8</v>
      </c>
      <c r="B9689" s="2">
        <v>44740.0</v>
      </c>
      <c r="C9689" s="3">
        <v>0.7033796296296296</v>
      </c>
      <c r="D9689" s="1">
        <v>13.006842</v>
      </c>
      <c r="E9689" s="1">
        <v>80.250909</v>
      </c>
      <c r="F9689" s="1">
        <v>805.0</v>
      </c>
      <c r="G9689" s="1">
        <v>17.0</v>
      </c>
    </row>
    <row r="9690">
      <c r="A9690" s="1" t="s">
        <v>8</v>
      </c>
      <c r="B9690" s="2">
        <v>44740.0</v>
      </c>
      <c r="C9690" s="3">
        <v>0.7036921296296297</v>
      </c>
      <c r="D9690" s="1">
        <v>13.006851</v>
      </c>
      <c r="E9690" s="1">
        <v>80.251545</v>
      </c>
      <c r="F9690" s="1">
        <v>805.0</v>
      </c>
      <c r="G9690" s="1">
        <v>26.0</v>
      </c>
    </row>
    <row r="9691">
      <c r="A9691" s="1" t="s">
        <v>8</v>
      </c>
      <c r="B9691" s="2">
        <v>44740.0</v>
      </c>
      <c r="C9691" s="3">
        <v>0.7038425925925926</v>
      </c>
      <c r="D9691" s="1">
        <v>13.006602</v>
      </c>
      <c r="E9691" s="1">
        <v>80.252794</v>
      </c>
      <c r="F9691" s="1">
        <v>805.0</v>
      </c>
      <c r="G9691" s="1">
        <v>28.0</v>
      </c>
    </row>
    <row r="9692">
      <c r="A9692" s="1" t="s">
        <v>8</v>
      </c>
      <c r="B9692" s="2">
        <v>44740.0</v>
      </c>
      <c r="C9692" s="3">
        <v>0.7044097222222222</v>
      </c>
      <c r="D9692" s="1">
        <v>13.026367</v>
      </c>
      <c r="E9692" s="1">
        <v>80.232523</v>
      </c>
      <c r="F9692" s="1">
        <v>5339.0</v>
      </c>
      <c r="G9692" s="1">
        <v>33.0</v>
      </c>
    </row>
    <row r="9693">
      <c r="A9693" s="1" t="s">
        <v>7</v>
      </c>
      <c r="B9693" s="2">
        <v>44740.0</v>
      </c>
      <c r="C9693" s="3">
        <v>0.7049421296296297</v>
      </c>
      <c r="D9693" s="1">
        <v>12.669329</v>
      </c>
      <c r="E9693" s="1">
        <v>79.97449</v>
      </c>
      <c r="F9693" s="1">
        <v>2846.0</v>
      </c>
      <c r="G9693" s="1">
        <v>48.0</v>
      </c>
    </row>
    <row r="9694">
      <c r="A9694" s="1" t="s">
        <v>7</v>
      </c>
      <c r="B9694" s="2">
        <v>44740.0</v>
      </c>
      <c r="C9694" s="3">
        <v>0.7051157407407408</v>
      </c>
      <c r="D9694" s="1">
        <v>12.667956</v>
      </c>
      <c r="E9694" s="1">
        <v>79.972744</v>
      </c>
      <c r="F9694" s="1">
        <v>2846.0</v>
      </c>
      <c r="G9694" s="1">
        <v>57.0</v>
      </c>
    </row>
    <row r="9695">
      <c r="A9695" s="1" t="s">
        <v>8</v>
      </c>
      <c r="B9695" s="2">
        <v>44740.0</v>
      </c>
      <c r="C9695" s="3">
        <v>0.7051157407407408</v>
      </c>
      <c r="D9695" s="1">
        <v>13.00679</v>
      </c>
      <c r="E9695" s="1">
        <v>80.257327</v>
      </c>
      <c r="F9695" s="1">
        <v>805.0</v>
      </c>
      <c r="G9695" s="1">
        <v>0.0</v>
      </c>
    </row>
    <row r="9696">
      <c r="A9696" s="1" t="s">
        <v>8</v>
      </c>
      <c r="B9696" s="2">
        <v>44740.0</v>
      </c>
      <c r="C9696" s="3">
        <v>0.7058449074074075</v>
      </c>
      <c r="D9696" s="1">
        <v>13.030601</v>
      </c>
      <c r="E9696" s="1">
        <v>80.238815</v>
      </c>
      <c r="F9696" s="1">
        <v>5339.0</v>
      </c>
      <c r="G9696" s="1">
        <v>0.0</v>
      </c>
    </row>
    <row r="9697">
      <c r="A9697" s="1" t="s">
        <v>8</v>
      </c>
      <c r="B9697" s="2">
        <v>44740.0</v>
      </c>
      <c r="C9697" s="3">
        <v>0.7058449074074075</v>
      </c>
      <c r="D9697" s="1">
        <v>13.030601</v>
      </c>
      <c r="E9697" s="1">
        <v>80.238815</v>
      </c>
      <c r="F9697" s="1">
        <v>5339.0</v>
      </c>
      <c r="G9697" s="1">
        <v>0.0</v>
      </c>
    </row>
    <row r="9698">
      <c r="A9698" s="1" t="s">
        <v>8</v>
      </c>
      <c r="B9698" s="2">
        <v>44740.0</v>
      </c>
      <c r="C9698" s="3">
        <v>0.7058680555555555</v>
      </c>
      <c r="D9698" s="1">
        <v>13.007516</v>
      </c>
      <c r="E9698" s="1">
        <v>80.258624</v>
      </c>
      <c r="F9698" s="1">
        <v>805.0</v>
      </c>
      <c r="G9698" s="1">
        <v>12.0</v>
      </c>
    </row>
    <row r="9699">
      <c r="A9699" s="1" t="s">
        <v>7</v>
      </c>
      <c r="B9699" s="2">
        <v>44740.0</v>
      </c>
      <c r="C9699" s="3">
        <v>0.7059375</v>
      </c>
      <c r="D9699" s="1">
        <v>12.661689</v>
      </c>
      <c r="E9699" s="1">
        <v>79.967107</v>
      </c>
      <c r="F9699" s="1">
        <v>2846.0</v>
      </c>
      <c r="G9699" s="1">
        <v>0.0</v>
      </c>
    </row>
    <row r="9700">
      <c r="A9700" s="1" t="s">
        <v>8</v>
      </c>
      <c r="B9700" s="2">
        <v>44740.0</v>
      </c>
      <c r="C9700" s="3">
        <v>0.7059837962962963</v>
      </c>
      <c r="D9700" s="1">
        <v>13.030601</v>
      </c>
      <c r="E9700" s="1">
        <v>80.238815</v>
      </c>
      <c r="F9700" s="1">
        <v>5339.0</v>
      </c>
      <c r="G9700" s="1">
        <v>0.0</v>
      </c>
    </row>
    <row r="9701">
      <c r="A9701" s="1" t="s">
        <v>7</v>
      </c>
      <c r="B9701" s="2">
        <v>44740.0</v>
      </c>
      <c r="C9701" s="3">
        <v>0.7061342592592592</v>
      </c>
      <c r="D9701" s="1">
        <v>13.008275</v>
      </c>
      <c r="E9701" s="1">
        <v>80.258987</v>
      </c>
      <c r="F9701" s="1">
        <v>805.0</v>
      </c>
      <c r="G9701" s="1">
        <v>26.0</v>
      </c>
    </row>
    <row r="9702">
      <c r="A9702" s="1" t="s">
        <v>7</v>
      </c>
      <c r="B9702" s="2">
        <v>44740.0</v>
      </c>
      <c r="C9702" s="3">
        <v>0.7063425925925926</v>
      </c>
      <c r="D9702" s="1">
        <v>13.008924</v>
      </c>
      <c r="E9702" s="1">
        <v>80.259069</v>
      </c>
      <c r="F9702" s="1">
        <v>805.0</v>
      </c>
      <c r="G9702" s="1">
        <v>17.0</v>
      </c>
    </row>
    <row r="9703">
      <c r="A9703" s="1" t="s">
        <v>7</v>
      </c>
      <c r="B9703" s="2">
        <v>44740.0</v>
      </c>
      <c r="C9703" s="3">
        <v>0.7070023148148148</v>
      </c>
      <c r="D9703" s="1">
        <v>12.657693</v>
      </c>
      <c r="E9703" s="1">
        <v>79.958743</v>
      </c>
      <c r="F9703" s="1">
        <v>2846.0</v>
      </c>
      <c r="G9703" s="1">
        <v>40.0</v>
      </c>
    </row>
    <row r="9704">
      <c r="A9704" s="1" t="s">
        <v>7</v>
      </c>
      <c r="B9704" s="2">
        <v>44740.0</v>
      </c>
      <c r="C9704" s="3">
        <v>0.7083333333333334</v>
      </c>
      <c r="D9704" s="1">
        <v>12.656314</v>
      </c>
      <c r="E9704" s="1">
        <v>79.95022</v>
      </c>
      <c r="F9704" s="1">
        <v>2846.0</v>
      </c>
      <c r="G9704" s="1">
        <v>40.0</v>
      </c>
    </row>
    <row r="9705">
      <c r="A9705" s="1" t="s">
        <v>8</v>
      </c>
      <c r="B9705" s="2">
        <v>44740.0</v>
      </c>
      <c r="C9705" s="3">
        <v>0.709224537037037</v>
      </c>
      <c r="D9705" s="1">
        <v>13.023215</v>
      </c>
      <c r="E9705" s="1">
        <v>80.263957</v>
      </c>
      <c r="F9705" s="1">
        <v>805.0</v>
      </c>
      <c r="G9705" s="1">
        <v>25.0</v>
      </c>
    </row>
    <row r="9706">
      <c r="A9706" s="1" t="s">
        <v>7</v>
      </c>
      <c r="B9706" s="2">
        <v>44740.0</v>
      </c>
      <c r="C9706" s="3">
        <v>0.710474537037037</v>
      </c>
      <c r="D9706" s="1">
        <v>12.644586</v>
      </c>
      <c r="E9706" s="1">
        <v>79.939157</v>
      </c>
      <c r="F9706" s="1">
        <v>2846.0</v>
      </c>
      <c r="G9706" s="1">
        <v>57.0</v>
      </c>
    </row>
    <row r="9707">
      <c r="A9707" s="1" t="s">
        <v>10</v>
      </c>
      <c r="B9707" s="2">
        <v>44740.0</v>
      </c>
      <c r="C9707" s="3">
        <v>0.7110532407407407</v>
      </c>
      <c r="D9707" s="1">
        <v>13.02798</v>
      </c>
      <c r="E9707" s="1">
        <v>80.263622</v>
      </c>
      <c r="F9707" s="1">
        <v>805.0</v>
      </c>
      <c r="G9707" s="1">
        <v>29.0</v>
      </c>
    </row>
    <row r="9708">
      <c r="A9708" s="1" t="s">
        <v>7</v>
      </c>
      <c r="B9708" s="2">
        <v>44740.0</v>
      </c>
      <c r="C9708" s="3">
        <v>0.711550925925926</v>
      </c>
      <c r="D9708" s="1">
        <v>12.62838</v>
      </c>
      <c r="E9708" s="1">
        <v>79.930557</v>
      </c>
      <c r="F9708" s="1">
        <v>2846.0</v>
      </c>
      <c r="G9708" s="1">
        <v>34.0</v>
      </c>
    </row>
    <row r="9709">
      <c r="A9709" s="1" t="s">
        <v>8</v>
      </c>
      <c r="B9709" s="2">
        <v>44740.0</v>
      </c>
      <c r="C9709" s="3">
        <v>0.7119560185185185</v>
      </c>
      <c r="D9709" s="1">
        <v>13.04152</v>
      </c>
      <c r="E9709" s="1">
        <v>80.247299</v>
      </c>
      <c r="F9709" s="1">
        <v>5339.0</v>
      </c>
      <c r="G9709" s="1">
        <v>28.0</v>
      </c>
    </row>
    <row r="9710">
      <c r="A9710" s="1" t="s">
        <v>7</v>
      </c>
      <c r="B9710" s="2">
        <v>44740.0</v>
      </c>
      <c r="C9710" s="3">
        <v>0.7121527777777777</v>
      </c>
      <c r="D9710" s="1">
        <v>12.620448</v>
      </c>
      <c r="E9710" s="1">
        <v>79.927271</v>
      </c>
      <c r="F9710" s="1">
        <v>2846.0</v>
      </c>
      <c r="G9710" s="1">
        <v>57.0</v>
      </c>
    </row>
    <row r="9711">
      <c r="A9711" s="1" t="s">
        <v>7</v>
      </c>
      <c r="B9711" s="2">
        <v>44740.0</v>
      </c>
      <c r="C9711" s="3">
        <v>0.7126736111111112</v>
      </c>
      <c r="D9711" s="1">
        <v>12.61593</v>
      </c>
      <c r="E9711" s="1">
        <v>79.926056</v>
      </c>
      <c r="F9711" s="1">
        <v>2846.0</v>
      </c>
      <c r="G9711" s="1">
        <v>47.0</v>
      </c>
    </row>
    <row r="9712">
      <c r="A9712" s="1" t="s">
        <v>10</v>
      </c>
      <c r="B9712" s="2">
        <v>44740.0</v>
      </c>
      <c r="C9712" s="3">
        <v>0.7127083333333334</v>
      </c>
      <c r="D9712" s="1">
        <v>13.031011</v>
      </c>
      <c r="E9712" s="1">
        <v>80.266813</v>
      </c>
      <c r="F9712" s="1">
        <v>805.0</v>
      </c>
      <c r="G9712" s="1">
        <v>28.0</v>
      </c>
    </row>
    <row r="9713">
      <c r="A9713" s="1" t="s">
        <v>8</v>
      </c>
      <c r="B9713" s="2">
        <v>44740.0</v>
      </c>
      <c r="C9713" s="3">
        <v>0.7130324074074074</v>
      </c>
      <c r="D9713" s="1">
        <v>12.614036</v>
      </c>
      <c r="E9713" s="1">
        <v>79.92508</v>
      </c>
      <c r="F9713" s="1">
        <v>2846.0</v>
      </c>
      <c r="G9713" s="1">
        <v>59.0</v>
      </c>
    </row>
    <row r="9714">
      <c r="A9714" s="1" t="s">
        <v>7</v>
      </c>
      <c r="B9714" s="2">
        <v>44740.0</v>
      </c>
      <c r="C9714" s="3">
        <v>0.7139930555555556</v>
      </c>
      <c r="D9714" s="1">
        <v>12.602691</v>
      </c>
      <c r="E9714" s="1">
        <v>79.920253</v>
      </c>
      <c r="F9714" s="1">
        <v>2846.0</v>
      </c>
      <c r="G9714" s="1">
        <v>55.0</v>
      </c>
    </row>
    <row r="9715">
      <c r="A9715" s="1" t="s">
        <v>8</v>
      </c>
      <c r="B9715" s="2">
        <v>44740.0</v>
      </c>
      <c r="C9715" s="3">
        <v>0.7140856481481481</v>
      </c>
      <c r="D9715" s="1">
        <v>13.050193</v>
      </c>
      <c r="E9715" s="1">
        <v>80.249821</v>
      </c>
      <c r="F9715" s="1">
        <v>5339.0</v>
      </c>
      <c r="G9715" s="1">
        <v>35.0</v>
      </c>
    </row>
    <row r="9716">
      <c r="A9716" s="1" t="s">
        <v>7</v>
      </c>
      <c r="B9716" s="2">
        <v>44740.0</v>
      </c>
      <c r="C9716" s="3">
        <v>0.714375</v>
      </c>
      <c r="D9716" s="1">
        <v>12.600361</v>
      </c>
      <c r="E9716" s="1">
        <v>79.92001</v>
      </c>
      <c r="F9716" s="1">
        <v>2846.0</v>
      </c>
      <c r="G9716" s="1">
        <v>57.0</v>
      </c>
    </row>
    <row r="9717">
      <c r="A9717" s="1" t="s">
        <v>7</v>
      </c>
      <c r="B9717" s="2">
        <v>44740.0</v>
      </c>
      <c r="C9717" s="3">
        <v>0.7146412037037037</v>
      </c>
      <c r="D9717" s="1">
        <v>12.593306</v>
      </c>
      <c r="E9717" s="1">
        <v>79.919271</v>
      </c>
      <c r="F9717" s="1">
        <v>2846.0</v>
      </c>
      <c r="G9717" s="1">
        <v>55.0</v>
      </c>
    </row>
    <row r="9718">
      <c r="A9718" s="1" t="s">
        <v>8</v>
      </c>
      <c r="B9718" s="2">
        <v>44740.0</v>
      </c>
      <c r="C9718" s="3">
        <v>0.7148032407407408</v>
      </c>
      <c r="D9718" s="1">
        <v>13.053973</v>
      </c>
      <c r="E9718" s="1">
        <v>80.253133</v>
      </c>
      <c r="F9718" s="1">
        <v>5339.0</v>
      </c>
      <c r="G9718" s="1">
        <v>0.0</v>
      </c>
    </row>
    <row r="9719">
      <c r="A9719" s="1" t="s">
        <v>8</v>
      </c>
      <c r="B9719" s="2">
        <v>44740.0</v>
      </c>
      <c r="C9719" s="3">
        <v>0.7148148148148148</v>
      </c>
      <c r="D9719" s="1">
        <v>13.053973</v>
      </c>
      <c r="E9719" s="1">
        <v>80.253133</v>
      </c>
      <c r="F9719" s="1">
        <v>5339.0</v>
      </c>
      <c r="G9719" s="1">
        <v>0.0</v>
      </c>
    </row>
    <row r="9720">
      <c r="A9720" s="1" t="s">
        <v>10</v>
      </c>
      <c r="B9720" s="2">
        <v>44740.0</v>
      </c>
      <c r="C9720" s="3">
        <v>0.7158796296296296</v>
      </c>
      <c r="D9720" s="1">
        <v>13.037452</v>
      </c>
      <c r="E9720" s="1">
        <v>80.267571</v>
      </c>
      <c r="F9720" s="1">
        <v>805.0</v>
      </c>
      <c r="G9720" s="1">
        <v>7.0</v>
      </c>
    </row>
    <row r="9721">
      <c r="A9721" s="1" t="s">
        <v>8</v>
      </c>
      <c r="B9721" s="2">
        <v>44740.0</v>
      </c>
      <c r="C9721" s="3">
        <v>0.7160185185185185</v>
      </c>
      <c r="D9721" s="1">
        <v>13.057551</v>
      </c>
      <c r="E9721" s="1">
        <v>80.257682</v>
      </c>
      <c r="F9721" s="1">
        <v>5339.0</v>
      </c>
      <c r="G9721" s="1">
        <v>6.0</v>
      </c>
    </row>
    <row r="9722">
      <c r="A9722" s="1" t="s">
        <v>8</v>
      </c>
      <c r="B9722" s="2">
        <v>44740.0</v>
      </c>
      <c r="C9722" s="3">
        <v>0.7160532407407407</v>
      </c>
      <c r="D9722" s="1">
        <v>13.057029</v>
      </c>
      <c r="E9722" s="1">
        <v>80.2578</v>
      </c>
      <c r="F9722" s="1">
        <v>5339.0</v>
      </c>
      <c r="G9722" s="1">
        <v>23.0</v>
      </c>
    </row>
    <row r="9723">
      <c r="A9723" s="1" t="s">
        <v>8</v>
      </c>
      <c r="B9723" s="2">
        <v>44740.0</v>
      </c>
      <c r="C9723" s="3">
        <v>0.7160763888888889</v>
      </c>
      <c r="D9723" s="1">
        <v>13.057029</v>
      </c>
      <c r="E9723" s="1">
        <v>80.2578</v>
      </c>
      <c r="F9723" s="1">
        <v>5339.0</v>
      </c>
      <c r="G9723" s="1">
        <v>23.0</v>
      </c>
    </row>
    <row r="9724">
      <c r="A9724" s="1" t="s">
        <v>10</v>
      </c>
      <c r="B9724" s="2">
        <v>44740.0</v>
      </c>
      <c r="C9724" s="3">
        <v>0.7161574074074074</v>
      </c>
      <c r="D9724" s="1">
        <v>13.038425</v>
      </c>
      <c r="E9724" s="1">
        <v>80.267617</v>
      </c>
      <c r="F9724" s="1">
        <v>805.0</v>
      </c>
      <c r="G9724" s="1">
        <v>25.0</v>
      </c>
    </row>
    <row r="9725">
      <c r="A9725" s="1" t="s">
        <v>8</v>
      </c>
      <c r="B9725" s="2">
        <v>44740.0</v>
      </c>
      <c r="C9725" s="3">
        <v>0.7169444444444445</v>
      </c>
      <c r="D9725" s="1">
        <v>13.05471</v>
      </c>
      <c r="E9725" s="1">
        <v>80.254722</v>
      </c>
      <c r="F9725" s="1">
        <v>5339.0</v>
      </c>
      <c r="G9725" s="1">
        <v>18.0</v>
      </c>
    </row>
    <row r="9726">
      <c r="A9726" s="1" t="s">
        <v>10</v>
      </c>
      <c r="B9726" s="2">
        <v>44740.0</v>
      </c>
      <c r="C9726" s="3">
        <v>0.7181481481481482</v>
      </c>
      <c r="D9726" s="1">
        <v>13.05389</v>
      </c>
      <c r="E9726" s="1">
        <v>80.263786</v>
      </c>
      <c r="F9726" s="1">
        <v>5339.0</v>
      </c>
      <c r="G9726" s="1">
        <v>27.0</v>
      </c>
    </row>
    <row r="9727">
      <c r="A9727" s="1" t="s">
        <v>8</v>
      </c>
      <c r="B9727" s="2">
        <v>44740.0</v>
      </c>
      <c r="C9727" s="3">
        <v>0.7185763888888889</v>
      </c>
      <c r="D9727" s="1">
        <v>13.048301</v>
      </c>
      <c r="E9727" s="1">
        <v>80.265702</v>
      </c>
      <c r="F9727" s="1">
        <v>805.0</v>
      </c>
      <c r="G9727" s="1">
        <v>23.0</v>
      </c>
    </row>
    <row r="9728">
      <c r="A9728" s="1" t="s">
        <v>8</v>
      </c>
      <c r="B9728" s="2">
        <v>44740.0</v>
      </c>
      <c r="C9728" s="3">
        <v>0.718599537037037</v>
      </c>
      <c r="D9728" s="1">
        <v>13.048301</v>
      </c>
      <c r="E9728" s="1">
        <v>80.265702</v>
      </c>
      <c r="F9728" s="1">
        <v>805.0</v>
      </c>
      <c r="G9728" s="1">
        <v>23.0</v>
      </c>
    </row>
    <row r="9729">
      <c r="A9729" s="1" t="s">
        <v>8</v>
      </c>
      <c r="B9729" s="2">
        <v>44740.0</v>
      </c>
      <c r="C9729" s="3">
        <v>0.7186342592592593</v>
      </c>
      <c r="D9729" s="1">
        <v>13.048301</v>
      </c>
      <c r="E9729" s="1">
        <v>80.265702</v>
      </c>
      <c r="F9729" s="1">
        <v>805.0</v>
      </c>
      <c r="G9729" s="1">
        <v>23.0</v>
      </c>
    </row>
    <row r="9730">
      <c r="A9730" s="1" t="s">
        <v>8</v>
      </c>
      <c r="B9730" s="2">
        <v>44740.0</v>
      </c>
      <c r="C9730" s="3">
        <v>0.7186458333333333</v>
      </c>
      <c r="D9730" s="1">
        <v>13.048301</v>
      </c>
      <c r="E9730" s="1">
        <v>80.265702</v>
      </c>
      <c r="F9730" s="1">
        <v>805.0</v>
      </c>
      <c r="G9730" s="1">
        <v>23.0</v>
      </c>
    </row>
    <row r="9731">
      <c r="A9731" s="1" t="s">
        <v>8</v>
      </c>
      <c r="B9731" s="2">
        <v>44740.0</v>
      </c>
      <c r="C9731" s="3">
        <v>0.7186458333333333</v>
      </c>
      <c r="D9731" s="1">
        <v>13.048301</v>
      </c>
      <c r="E9731" s="1">
        <v>80.265702</v>
      </c>
      <c r="F9731" s="1">
        <v>805.0</v>
      </c>
      <c r="G9731" s="1">
        <v>23.0</v>
      </c>
    </row>
    <row r="9732">
      <c r="A9732" s="1" t="s">
        <v>7</v>
      </c>
      <c r="B9732" s="2">
        <v>44740.0</v>
      </c>
      <c r="C9732" s="3">
        <v>0.7193287037037037</v>
      </c>
      <c r="D9732" s="1">
        <v>12.539264</v>
      </c>
      <c r="E9732" s="1">
        <v>79.904219</v>
      </c>
      <c r="F9732" s="1">
        <v>2846.0</v>
      </c>
      <c r="G9732" s="1">
        <v>56.0</v>
      </c>
    </row>
    <row r="9733">
      <c r="A9733" s="1" t="s">
        <v>7</v>
      </c>
      <c r="B9733" s="2">
        <v>44740.0</v>
      </c>
      <c r="C9733" s="3">
        <v>0.7196643518518518</v>
      </c>
      <c r="D9733" s="1">
        <v>12.535393</v>
      </c>
      <c r="E9733" s="1">
        <v>79.902234</v>
      </c>
      <c r="F9733" s="1">
        <v>2846.0</v>
      </c>
      <c r="G9733" s="1">
        <v>58.0</v>
      </c>
    </row>
    <row r="9734">
      <c r="A9734" s="1" t="s">
        <v>7</v>
      </c>
      <c r="B9734" s="2">
        <v>44740.0</v>
      </c>
      <c r="C9734" s="3">
        <v>0.7196759259259259</v>
      </c>
      <c r="D9734" s="1">
        <v>12.534183</v>
      </c>
      <c r="E9734" s="1">
        <v>79.901518</v>
      </c>
      <c r="F9734" s="1">
        <v>2846.0</v>
      </c>
      <c r="G9734" s="1">
        <v>52.0</v>
      </c>
    </row>
    <row r="9735">
      <c r="A9735" s="1" t="s">
        <v>10</v>
      </c>
      <c r="B9735" s="2">
        <v>44740.0</v>
      </c>
      <c r="C9735" s="3">
        <v>0.7199652777777777</v>
      </c>
      <c r="D9735" s="1">
        <v>13.053459</v>
      </c>
      <c r="E9735" s="1">
        <v>80.268524</v>
      </c>
      <c r="F9735" s="1">
        <v>5339.0</v>
      </c>
      <c r="G9735" s="1">
        <v>0.0</v>
      </c>
    </row>
    <row r="9736">
      <c r="A9736" s="1" t="s">
        <v>10</v>
      </c>
      <c r="B9736" s="2">
        <v>44740.0</v>
      </c>
      <c r="C9736" s="3">
        <v>0.7201620370370371</v>
      </c>
      <c r="D9736" s="1">
        <v>13.053358</v>
      </c>
      <c r="E9736" s="1">
        <v>80.269407</v>
      </c>
      <c r="F9736" s="1">
        <v>5339.0</v>
      </c>
      <c r="G9736" s="1">
        <v>4.0</v>
      </c>
    </row>
    <row r="9737">
      <c r="A9737" s="1" t="s">
        <v>7</v>
      </c>
      <c r="B9737" s="2">
        <v>44740.0</v>
      </c>
      <c r="C9737" s="3">
        <v>0.7206365740740741</v>
      </c>
      <c r="D9737" s="1">
        <v>12.530033</v>
      </c>
      <c r="E9737" s="1">
        <v>79.899632</v>
      </c>
      <c r="F9737" s="1">
        <v>2846.0</v>
      </c>
      <c r="G9737" s="1">
        <v>37.0</v>
      </c>
    </row>
    <row r="9738">
      <c r="A9738" s="1" t="s">
        <v>7</v>
      </c>
      <c r="B9738" s="2">
        <v>44740.0</v>
      </c>
      <c r="C9738" s="3">
        <v>0.7209027777777778</v>
      </c>
      <c r="D9738" s="1">
        <v>12.524116</v>
      </c>
      <c r="E9738" s="1">
        <v>79.89675</v>
      </c>
      <c r="F9738" s="1">
        <v>2846.0</v>
      </c>
      <c r="G9738" s="1">
        <v>55.0</v>
      </c>
    </row>
    <row r="9739">
      <c r="A9739" s="1" t="s">
        <v>8</v>
      </c>
      <c r="B9739" s="2">
        <v>44740.0</v>
      </c>
      <c r="C9739" s="3">
        <v>0.7209606481481482</v>
      </c>
      <c r="D9739" s="1">
        <v>13.055159</v>
      </c>
      <c r="E9739" s="1">
        <v>80.264319</v>
      </c>
      <c r="F9739" s="1">
        <v>805.0</v>
      </c>
      <c r="G9739" s="1">
        <v>16.0</v>
      </c>
    </row>
    <row r="9740">
      <c r="A9740" s="1" t="s">
        <v>8</v>
      </c>
      <c r="B9740" s="2">
        <v>44740.0</v>
      </c>
      <c r="C9740" s="3">
        <v>0.7209953703703704</v>
      </c>
      <c r="D9740" s="1">
        <v>13.055159</v>
      </c>
      <c r="E9740" s="1">
        <v>80.264319</v>
      </c>
      <c r="F9740" s="1">
        <v>805.0</v>
      </c>
      <c r="G9740" s="1">
        <v>16.0</v>
      </c>
    </row>
    <row r="9741">
      <c r="A9741" s="1" t="s">
        <v>8</v>
      </c>
      <c r="B9741" s="2">
        <v>44740.0</v>
      </c>
      <c r="C9741" s="3">
        <v>0.7209953703703704</v>
      </c>
      <c r="D9741" s="1">
        <v>13.055159</v>
      </c>
      <c r="E9741" s="1">
        <v>80.264319</v>
      </c>
      <c r="F9741" s="1">
        <v>805.0</v>
      </c>
      <c r="G9741" s="1">
        <v>16.0</v>
      </c>
    </row>
    <row r="9742">
      <c r="A9742" s="1" t="s">
        <v>8</v>
      </c>
      <c r="B9742" s="2">
        <v>44740.0</v>
      </c>
      <c r="C9742" s="3">
        <v>0.7210185185185185</v>
      </c>
      <c r="D9742" s="1">
        <v>13.055159</v>
      </c>
      <c r="E9742" s="1">
        <v>80.264319</v>
      </c>
      <c r="F9742" s="1">
        <v>805.0</v>
      </c>
      <c r="G9742" s="1">
        <v>16.0</v>
      </c>
    </row>
    <row r="9743">
      <c r="A9743" s="1" t="s">
        <v>8</v>
      </c>
      <c r="B9743" s="2">
        <v>44740.0</v>
      </c>
      <c r="C9743" s="3">
        <v>0.7210185185185185</v>
      </c>
      <c r="D9743" s="1">
        <v>13.055159</v>
      </c>
      <c r="E9743" s="1">
        <v>80.264319</v>
      </c>
      <c r="F9743" s="1">
        <v>805.0</v>
      </c>
      <c r="G9743" s="1">
        <v>16.0</v>
      </c>
    </row>
    <row r="9744">
      <c r="A9744" s="1" t="s">
        <v>10</v>
      </c>
      <c r="B9744" s="2">
        <v>44740.0</v>
      </c>
      <c r="C9744" s="3">
        <v>0.7212268518518519</v>
      </c>
      <c r="D9744" s="1">
        <v>13.053242</v>
      </c>
      <c r="E9744" s="1">
        <v>80.27134</v>
      </c>
      <c r="F9744" s="1">
        <v>5339.0</v>
      </c>
      <c r="G9744" s="1">
        <v>10.0</v>
      </c>
    </row>
    <row r="9745">
      <c r="A9745" s="1" t="s">
        <v>10</v>
      </c>
      <c r="B9745" s="2">
        <v>44740.0</v>
      </c>
      <c r="C9745" s="3">
        <v>0.7215625</v>
      </c>
      <c r="D9745" s="1">
        <v>13.053112</v>
      </c>
      <c r="E9745" s="1">
        <v>80.27209</v>
      </c>
      <c r="F9745" s="1">
        <v>5339.0</v>
      </c>
      <c r="G9745" s="1">
        <v>9.0</v>
      </c>
    </row>
    <row r="9746">
      <c r="A9746" s="1" t="s">
        <v>10</v>
      </c>
      <c r="B9746" s="2">
        <v>44740.0</v>
      </c>
      <c r="C9746" s="3">
        <v>0.7216898148148149</v>
      </c>
      <c r="D9746" s="1">
        <v>13.053072</v>
      </c>
      <c r="E9746" s="1">
        <v>80.272275</v>
      </c>
      <c r="F9746" s="1">
        <v>5339.0</v>
      </c>
      <c r="G9746" s="1">
        <v>4.0</v>
      </c>
    </row>
    <row r="9747">
      <c r="A9747" s="1" t="s">
        <v>10</v>
      </c>
      <c r="B9747" s="2">
        <v>44740.0</v>
      </c>
      <c r="C9747" s="3">
        <v>0.7223842592592593</v>
      </c>
      <c r="D9747" s="1">
        <v>13.05932</v>
      </c>
      <c r="E9747" s="1">
        <v>80.26546</v>
      </c>
      <c r="F9747" s="1">
        <v>805.0</v>
      </c>
      <c r="G9747" s="1">
        <v>7.0</v>
      </c>
    </row>
    <row r="9748">
      <c r="A9748" s="1" t="s">
        <v>10</v>
      </c>
      <c r="B9748" s="2">
        <v>44740.0</v>
      </c>
      <c r="C9748" s="3">
        <v>0.7224421296296296</v>
      </c>
      <c r="D9748" s="1">
        <v>13.05945</v>
      </c>
      <c r="E9748" s="1">
        <v>80.265557</v>
      </c>
      <c r="F9748" s="1">
        <v>805.0</v>
      </c>
      <c r="G9748" s="1">
        <v>0.0</v>
      </c>
    </row>
    <row r="9749">
      <c r="A9749" s="1" t="s">
        <v>10</v>
      </c>
      <c r="B9749" s="2">
        <v>44740.0</v>
      </c>
      <c r="C9749" s="3">
        <v>0.7229282407407407</v>
      </c>
      <c r="D9749" s="1">
        <v>12.510959</v>
      </c>
      <c r="E9749" s="1">
        <v>79.885241</v>
      </c>
      <c r="F9749" s="1">
        <v>2846.0</v>
      </c>
      <c r="G9749" s="1">
        <v>24.0</v>
      </c>
    </row>
    <row r="9750">
      <c r="A9750" s="1" t="s">
        <v>10</v>
      </c>
      <c r="B9750" s="2">
        <v>44740.0</v>
      </c>
      <c r="C9750" s="3">
        <v>0.723275462962963</v>
      </c>
      <c r="D9750" s="1">
        <v>13.062217</v>
      </c>
      <c r="E9750" s="1">
        <v>80.266488</v>
      </c>
      <c r="F9750" s="1">
        <v>805.0</v>
      </c>
      <c r="G9750" s="1">
        <v>32.0</v>
      </c>
    </row>
    <row r="9751">
      <c r="A9751" s="1" t="s">
        <v>10</v>
      </c>
      <c r="B9751" s="2">
        <v>44740.0</v>
      </c>
      <c r="C9751" s="3">
        <v>0.7233564814814815</v>
      </c>
      <c r="D9751" s="1">
        <v>13.056082</v>
      </c>
      <c r="E9751" s="1">
        <v>80.273873</v>
      </c>
      <c r="F9751" s="1">
        <v>5339.0</v>
      </c>
      <c r="G9751" s="1">
        <v>16.0</v>
      </c>
    </row>
    <row r="9752">
      <c r="A9752" s="1" t="s">
        <v>10</v>
      </c>
      <c r="B9752" s="2">
        <v>44740.0</v>
      </c>
      <c r="C9752" s="3">
        <v>0.7240162037037037</v>
      </c>
      <c r="D9752" s="1">
        <v>12.509194</v>
      </c>
      <c r="E9752" s="1">
        <v>79.884838</v>
      </c>
      <c r="F9752" s="1">
        <v>2846.0</v>
      </c>
      <c r="G9752" s="1">
        <v>10.0</v>
      </c>
    </row>
    <row r="9753">
      <c r="A9753" s="1" t="s">
        <v>10</v>
      </c>
      <c r="B9753" s="2">
        <v>44740.0</v>
      </c>
      <c r="C9753" s="3">
        <v>0.7244675925925926</v>
      </c>
      <c r="D9753" s="1">
        <v>13.058839</v>
      </c>
      <c r="E9753" s="1">
        <v>80.274151</v>
      </c>
      <c r="F9753" s="1">
        <v>5339.0</v>
      </c>
      <c r="G9753" s="1">
        <v>4.0</v>
      </c>
    </row>
    <row r="9754">
      <c r="A9754" s="1" t="s">
        <v>10</v>
      </c>
      <c r="B9754" s="2">
        <v>44740.0</v>
      </c>
      <c r="C9754" s="3">
        <v>0.7251273148148148</v>
      </c>
      <c r="D9754" s="1">
        <v>13.060327</v>
      </c>
      <c r="E9754" s="1">
        <v>80.274324</v>
      </c>
      <c r="F9754" s="1">
        <v>5339.0</v>
      </c>
      <c r="G9754" s="1">
        <v>19.0</v>
      </c>
    </row>
    <row r="9755">
      <c r="A9755" s="1" t="s">
        <v>8</v>
      </c>
      <c r="B9755" s="2">
        <v>44740.0</v>
      </c>
      <c r="C9755" s="3">
        <v>0.7253935185185185</v>
      </c>
      <c r="D9755" s="1">
        <v>13.066271</v>
      </c>
      <c r="E9755" s="1">
        <v>80.26813</v>
      </c>
      <c r="F9755" s="1">
        <v>805.0</v>
      </c>
      <c r="G9755" s="1">
        <v>9.0</v>
      </c>
    </row>
    <row r="9756">
      <c r="A9756" s="1" t="s">
        <v>8</v>
      </c>
      <c r="B9756" s="2">
        <v>44740.0</v>
      </c>
      <c r="C9756" s="3">
        <v>0.7254050925925926</v>
      </c>
      <c r="D9756" s="1">
        <v>13.066357</v>
      </c>
      <c r="E9756" s="1">
        <v>80.268217</v>
      </c>
      <c r="F9756" s="1">
        <v>805.0</v>
      </c>
      <c r="G9756" s="1">
        <v>6.0</v>
      </c>
    </row>
    <row r="9757">
      <c r="A9757" s="1" t="s">
        <v>10</v>
      </c>
      <c r="B9757" s="2">
        <v>44740.0</v>
      </c>
      <c r="C9757" s="3">
        <v>0.7264814814814815</v>
      </c>
      <c r="D9757" s="1">
        <v>13.063388</v>
      </c>
      <c r="E9757" s="1">
        <v>80.274105</v>
      </c>
      <c r="F9757" s="1">
        <v>5339.0</v>
      </c>
      <c r="G9757" s="1">
        <v>14.0</v>
      </c>
    </row>
    <row r="9758">
      <c r="A9758" s="1" t="s">
        <v>10</v>
      </c>
      <c r="B9758" s="2">
        <v>44740.0</v>
      </c>
      <c r="C9758" s="3">
        <v>0.7274421296296296</v>
      </c>
      <c r="D9758" s="1">
        <v>13.069622</v>
      </c>
      <c r="E9758" s="1">
        <v>80.266525</v>
      </c>
      <c r="F9758" s="1">
        <v>805.0</v>
      </c>
      <c r="G9758" s="1">
        <v>20.0</v>
      </c>
    </row>
    <row r="9759">
      <c r="A9759" s="1" t="s">
        <v>8</v>
      </c>
      <c r="B9759" s="2">
        <v>44740.0</v>
      </c>
      <c r="C9759" s="3">
        <v>0.7285416666666666</v>
      </c>
      <c r="D9759" s="1">
        <v>13.068126</v>
      </c>
      <c r="E9759" s="1">
        <v>80.271843</v>
      </c>
      <c r="F9759" s="1">
        <v>5339.0</v>
      </c>
      <c r="G9759" s="1">
        <v>2.0</v>
      </c>
    </row>
    <row r="9760">
      <c r="A9760" s="1" t="s">
        <v>10</v>
      </c>
      <c r="B9760" s="2">
        <v>44740.0</v>
      </c>
      <c r="C9760" s="3">
        <v>0.7301157407407407</v>
      </c>
      <c r="D9760" s="1">
        <v>13.066748</v>
      </c>
      <c r="E9760" s="1">
        <v>80.268436</v>
      </c>
      <c r="F9760" s="1">
        <v>5339.0</v>
      </c>
      <c r="G9760" s="1">
        <v>13.0</v>
      </c>
    </row>
    <row r="9761">
      <c r="A9761" s="1" t="s">
        <v>10</v>
      </c>
      <c r="B9761" s="2">
        <v>44740.0</v>
      </c>
      <c r="C9761" s="3">
        <v>0.7307291666666667</v>
      </c>
      <c r="D9761" s="1">
        <v>13.068453</v>
      </c>
      <c r="E9761" s="1">
        <v>80.26854</v>
      </c>
      <c r="F9761" s="1">
        <v>5339.0</v>
      </c>
      <c r="G9761" s="1">
        <v>22.0</v>
      </c>
    </row>
    <row r="9762">
      <c r="A9762" s="1" t="s">
        <v>10</v>
      </c>
      <c r="B9762" s="2">
        <v>44740.0</v>
      </c>
      <c r="C9762" s="3">
        <v>0.7309837962962963</v>
      </c>
      <c r="D9762" s="1">
        <v>13.068748</v>
      </c>
      <c r="E9762" s="1">
        <v>80.267777</v>
      </c>
      <c r="F9762" s="1">
        <v>5339.0</v>
      </c>
      <c r="G9762" s="1">
        <v>20.0</v>
      </c>
    </row>
    <row r="9763">
      <c r="A9763" s="1" t="s">
        <v>10</v>
      </c>
      <c r="B9763" s="2">
        <v>44740.0</v>
      </c>
      <c r="C9763" s="3">
        <v>0.7325</v>
      </c>
      <c r="D9763" s="1">
        <v>13.071105</v>
      </c>
      <c r="E9763" s="1">
        <v>80.265019</v>
      </c>
      <c r="F9763" s="1">
        <v>5339.0</v>
      </c>
      <c r="G9763" s="1">
        <v>20.0</v>
      </c>
    </row>
    <row r="9764">
      <c r="A9764" s="1" t="s">
        <v>8</v>
      </c>
      <c r="B9764" s="2">
        <v>44740.0</v>
      </c>
      <c r="C9764" s="3">
        <v>0.7334027777777777</v>
      </c>
      <c r="D9764" s="1">
        <v>13.072967</v>
      </c>
      <c r="E9764" s="1">
        <v>80.261541</v>
      </c>
      <c r="F9764" s="1">
        <v>5339.0</v>
      </c>
      <c r="G9764" s="1">
        <v>22.0</v>
      </c>
    </row>
    <row r="9765">
      <c r="A9765" s="1" t="s">
        <v>9</v>
      </c>
      <c r="B9765" s="2">
        <v>44740.0</v>
      </c>
      <c r="C9765" s="3">
        <v>0.7334375</v>
      </c>
      <c r="D9765" s="1">
        <v>13.072967</v>
      </c>
      <c r="E9765" s="1">
        <v>80.261541</v>
      </c>
      <c r="F9765" s="1">
        <v>5339.0</v>
      </c>
      <c r="G9765" s="1">
        <v>22.0</v>
      </c>
    </row>
    <row r="9766">
      <c r="A9766" s="1" t="s">
        <v>8</v>
      </c>
      <c r="B9766" s="2">
        <v>44740.0</v>
      </c>
      <c r="C9766" s="3">
        <v>0.7339236111111112</v>
      </c>
      <c r="D9766" s="1">
        <v>13.072706</v>
      </c>
      <c r="E9766" s="1">
        <v>80.26044</v>
      </c>
      <c r="F9766" s="1">
        <v>5339.0</v>
      </c>
      <c r="G9766" s="1">
        <v>33.0</v>
      </c>
    </row>
    <row r="9767">
      <c r="A9767" s="1" t="s">
        <v>8</v>
      </c>
      <c r="B9767" s="2">
        <v>44740.0</v>
      </c>
      <c r="C9767" s="3">
        <v>0.7340277777777777</v>
      </c>
      <c r="D9767" s="1">
        <v>13.067597</v>
      </c>
      <c r="E9767" s="1">
        <v>80.24959</v>
      </c>
      <c r="F9767" s="1">
        <v>805.0</v>
      </c>
      <c r="G9767" s="1">
        <v>7.0</v>
      </c>
    </row>
    <row r="9768">
      <c r="A9768" s="1" t="s">
        <v>10</v>
      </c>
      <c r="B9768" s="2">
        <v>44740.0</v>
      </c>
      <c r="C9768" s="3">
        <v>0.7356018518518519</v>
      </c>
      <c r="D9768" s="1">
        <v>13.064443</v>
      </c>
      <c r="E9768" s="1">
        <v>80.247956</v>
      </c>
      <c r="F9768" s="1">
        <v>805.0</v>
      </c>
      <c r="G9768" s="1">
        <v>0.0</v>
      </c>
    </row>
    <row r="9769">
      <c r="A9769" s="1" t="s">
        <v>8</v>
      </c>
      <c r="B9769" s="2">
        <v>44740.0</v>
      </c>
      <c r="C9769" s="3">
        <v>0.7357407407407407</v>
      </c>
      <c r="D9769" s="1">
        <v>13.067655</v>
      </c>
      <c r="E9769" s="1">
        <v>80.255068</v>
      </c>
      <c r="F9769" s="1">
        <v>5339.0</v>
      </c>
      <c r="G9769" s="1">
        <v>9.0</v>
      </c>
    </row>
    <row r="9770">
      <c r="A9770" s="1" t="s">
        <v>8</v>
      </c>
      <c r="B9770" s="2">
        <v>44740.0</v>
      </c>
      <c r="C9770" s="3">
        <v>0.7357407407407407</v>
      </c>
      <c r="D9770" s="1">
        <v>13.067655</v>
      </c>
      <c r="E9770" s="1">
        <v>80.255068</v>
      </c>
      <c r="F9770" s="1">
        <v>5339.0</v>
      </c>
      <c r="G9770" s="1">
        <v>9.0</v>
      </c>
    </row>
    <row r="9771">
      <c r="A9771" s="1" t="s">
        <v>10</v>
      </c>
      <c r="B9771" s="2">
        <v>44740.0</v>
      </c>
      <c r="C9771" s="3">
        <v>0.7358217592592593</v>
      </c>
      <c r="D9771" s="1">
        <v>13.064196</v>
      </c>
      <c r="E9771" s="1">
        <v>80.24903</v>
      </c>
      <c r="F9771" s="1">
        <v>805.0</v>
      </c>
      <c r="G9771" s="1">
        <v>0.0</v>
      </c>
    </row>
    <row r="9772">
      <c r="A9772" s="1" t="s">
        <v>8</v>
      </c>
      <c r="B9772" s="2">
        <v>44740.0</v>
      </c>
      <c r="C9772" s="3">
        <v>0.7359375</v>
      </c>
      <c r="D9772" s="1">
        <v>13.067158</v>
      </c>
      <c r="E9772" s="1">
        <v>80.254669</v>
      </c>
      <c r="F9772" s="1">
        <v>5339.0</v>
      </c>
      <c r="G9772" s="1">
        <v>24.0</v>
      </c>
    </row>
    <row r="9773">
      <c r="A9773" s="1" t="s">
        <v>8</v>
      </c>
      <c r="B9773" s="2">
        <v>44740.0</v>
      </c>
      <c r="C9773" s="3">
        <v>0.7359722222222222</v>
      </c>
      <c r="D9773" s="1">
        <v>13.067158</v>
      </c>
      <c r="E9773" s="1">
        <v>80.254669</v>
      </c>
      <c r="F9773" s="1">
        <v>5339.0</v>
      </c>
      <c r="G9773" s="1">
        <v>24.0</v>
      </c>
    </row>
    <row r="9774">
      <c r="A9774" s="1" t="s">
        <v>10</v>
      </c>
      <c r="B9774" s="2">
        <v>44740.0</v>
      </c>
      <c r="C9774" s="3">
        <v>0.74</v>
      </c>
      <c r="D9774" s="1">
        <v>13.065482</v>
      </c>
      <c r="E9774" s="1">
        <v>80.247833</v>
      </c>
      <c r="F9774" s="1">
        <v>5339.0</v>
      </c>
      <c r="G9774" s="1">
        <v>20.0</v>
      </c>
    </row>
    <row r="9775">
      <c r="A9775" s="1" t="s">
        <v>10</v>
      </c>
      <c r="B9775" s="2">
        <v>44740.0</v>
      </c>
      <c r="C9775" s="3">
        <v>0.7401504629629629</v>
      </c>
      <c r="D9775" s="1">
        <v>13.064619</v>
      </c>
      <c r="E9775" s="1">
        <v>80.24779</v>
      </c>
      <c r="F9775" s="1">
        <v>5339.0</v>
      </c>
      <c r="G9775" s="1">
        <v>12.0</v>
      </c>
    </row>
    <row r="9776">
      <c r="A9776" s="1" t="s">
        <v>10</v>
      </c>
      <c r="B9776" s="2">
        <v>44740.0</v>
      </c>
      <c r="C9776" s="3">
        <v>0.7403703703703703</v>
      </c>
      <c r="D9776" s="1">
        <v>13.064509</v>
      </c>
      <c r="E9776" s="1">
        <v>80.247955</v>
      </c>
      <c r="F9776" s="1">
        <v>5339.0</v>
      </c>
      <c r="G9776" s="1">
        <v>9.0</v>
      </c>
    </row>
    <row r="9777">
      <c r="A9777" s="1" t="s">
        <v>7</v>
      </c>
      <c r="B9777" s="2">
        <v>44741.0</v>
      </c>
      <c r="C9777" s="3">
        <v>0.2861574074074074</v>
      </c>
      <c r="D9777" s="1">
        <v>12.439111</v>
      </c>
      <c r="E9777" s="1">
        <v>79.835376</v>
      </c>
      <c r="F9777" s="1">
        <v>2846.0</v>
      </c>
      <c r="G9777" s="1">
        <v>17.0</v>
      </c>
    </row>
    <row r="9778">
      <c r="A9778" s="1" t="s">
        <v>7</v>
      </c>
      <c r="B9778" s="2">
        <v>44741.0</v>
      </c>
      <c r="C9778" s="3">
        <v>0.2866087962962963</v>
      </c>
      <c r="D9778" s="1">
        <v>12.444381</v>
      </c>
      <c r="E9778" s="1">
        <v>79.837717</v>
      </c>
      <c r="F9778" s="1">
        <v>2846.0</v>
      </c>
      <c r="G9778" s="1">
        <v>57.0</v>
      </c>
    </row>
    <row r="9779">
      <c r="A9779" s="1" t="s">
        <v>8</v>
      </c>
      <c r="B9779" s="2">
        <v>44741.0</v>
      </c>
      <c r="C9779" s="3">
        <v>0.28730324074074076</v>
      </c>
      <c r="D9779" s="1">
        <v>12.451217</v>
      </c>
      <c r="E9779" s="1">
        <v>79.840232</v>
      </c>
      <c r="F9779" s="1">
        <v>2846.0</v>
      </c>
      <c r="G9779" s="1">
        <v>58.0</v>
      </c>
    </row>
    <row r="9780">
      <c r="A9780" s="1" t="s">
        <v>7</v>
      </c>
      <c r="B9780" s="2">
        <v>44741.0</v>
      </c>
      <c r="C9780" s="3">
        <v>0.2893865740740741</v>
      </c>
      <c r="D9780" s="1">
        <v>12.474942</v>
      </c>
      <c r="E9780" s="1">
        <v>79.857277</v>
      </c>
      <c r="F9780" s="1">
        <v>2846.0</v>
      </c>
      <c r="G9780" s="1">
        <v>57.0</v>
      </c>
    </row>
    <row r="9781">
      <c r="A9781" s="1" t="s">
        <v>7</v>
      </c>
      <c r="B9781" s="2">
        <v>44741.0</v>
      </c>
      <c r="C9781" s="3">
        <v>0.29041666666666666</v>
      </c>
      <c r="D9781" s="1">
        <v>12.486078</v>
      </c>
      <c r="E9781" s="1">
        <v>79.864186</v>
      </c>
      <c r="F9781" s="1">
        <v>2846.0</v>
      </c>
      <c r="G9781" s="1">
        <v>58.0</v>
      </c>
    </row>
    <row r="9782">
      <c r="A9782" s="1" t="s">
        <v>8</v>
      </c>
      <c r="B9782" s="2">
        <v>44741.0</v>
      </c>
      <c r="C9782" s="3">
        <v>0.29202546296296295</v>
      </c>
      <c r="D9782" s="1">
        <v>12.496291</v>
      </c>
      <c r="E9782" s="1">
        <v>79.872184</v>
      </c>
      <c r="F9782" s="1">
        <v>2846.0</v>
      </c>
      <c r="G9782" s="1">
        <v>32.0</v>
      </c>
    </row>
    <row r="9783">
      <c r="A9783" s="1" t="s">
        <v>7</v>
      </c>
      <c r="B9783" s="2">
        <v>44741.0</v>
      </c>
      <c r="C9783" s="3">
        <v>0.2921412037037037</v>
      </c>
      <c r="D9783" s="1">
        <v>12.499958</v>
      </c>
      <c r="E9783" s="1">
        <v>79.875101</v>
      </c>
      <c r="F9783" s="1">
        <v>2846.0</v>
      </c>
      <c r="G9783" s="1">
        <v>59.0</v>
      </c>
    </row>
    <row r="9784">
      <c r="A9784" s="1" t="s">
        <v>7</v>
      </c>
      <c r="B9784" s="2">
        <v>44741.0</v>
      </c>
      <c r="C9784" s="3">
        <v>0.2935185185185185</v>
      </c>
      <c r="D9784" s="1">
        <v>12.513273</v>
      </c>
      <c r="E9784" s="1">
        <v>79.884043</v>
      </c>
      <c r="F9784" s="1">
        <v>2846.0</v>
      </c>
      <c r="G9784" s="1">
        <v>58.0</v>
      </c>
    </row>
    <row r="9785">
      <c r="A9785" s="1" t="s">
        <v>7</v>
      </c>
      <c r="B9785" s="2">
        <v>44741.0</v>
      </c>
      <c r="C9785" s="3">
        <v>0.2938425925925926</v>
      </c>
      <c r="D9785" s="1">
        <v>12.51661</v>
      </c>
      <c r="E9785" s="1">
        <v>79.888998</v>
      </c>
      <c r="F9785" s="1">
        <v>2846.0</v>
      </c>
      <c r="G9785" s="1">
        <v>64.0</v>
      </c>
    </row>
    <row r="9786">
      <c r="A9786" s="1" t="s">
        <v>8</v>
      </c>
      <c r="B9786" s="2">
        <v>44741.0</v>
      </c>
      <c r="C9786" s="3">
        <v>0.29768518518518516</v>
      </c>
      <c r="D9786" s="1">
        <v>13.062756</v>
      </c>
      <c r="E9786" s="1">
        <v>80.244694</v>
      </c>
      <c r="F9786" s="1">
        <v>5339.0</v>
      </c>
      <c r="G9786" s="1">
        <v>48.0</v>
      </c>
    </row>
    <row r="9787">
      <c r="A9787" s="1" t="s">
        <v>8</v>
      </c>
      <c r="B9787" s="2">
        <v>44741.0</v>
      </c>
      <c r="C9787" s="3">
        <v>0.2977199074074074</v>
      </c>
      <c r="D9787" s="1">
        <v>13.063488</v>
      </c>
      <c r="E9787" s="1">
        <v>80.243763</v>
      </c>
      <c r="F9787" s="1">
        <v>5339.0</v>
      </c>
      <c r="G9787" s="1">
        <v>32.0</v>
      </c>
    </row>
    <row r="9788">
      <c r="A9788" s="1" t="s">
        <v>8</v>
      </c>
      <c r="B9788" s="2">
        <v>44741.0</v>
      </c>
      <c r="C9788" s="3">
        <v>0.2977314814814815</v>
      </c>
      <c r="D9788" s="1">
        <v>13.063488</v>
      </c>
      <c r="E9788" s="1">
        <v>80.243763</v>
      </c>
      <c r="F9788" s="1">
        <v>5339.0</v>
      </c>
      <c r="G9788" s="1">
        <v>32.0</v>
      </c>
    </row>
    <row r="9789">
      <c r="A9789" s="1" t="s">
        <v>7</v>
      </c>
      <c r="B9789" s="2">
        <v>44741.0</v>
      </c>
      <c r="C9789" s="3">
        <v>0.29863425925925924</v>
      </c>
      <c r="D9789" s="1">
        <v>12.518622</v>
      </c>
      <c r="E9789" s="1">
        <v>79.889062</v>
      </c>
      <c r="F9789" s="1">
        <v>2846.0</v>
      </c>
      <c r="G9789" s="1">
        <v>60.0</v>
      </c>
    </row>
    <row r="9790">
      <c r="A9790" s="1" t="s">
        <v>7</v>
      </c>
      <c r="B9790" s="2">
        <v>44741.0</v>
      </c>
      <c r="C9790" s="3">
        <v>0.29864583333333333</v>
      </c>
      <c r="D9790" s="1">
        <v>13.067275</v>
      </c>
      <c r="E9790" s="1">
        <v>80.246248</v>
      </c>
      <c r="F9790" s="1">
        <v>5339.0</v>
      </c>
      <c r="G9790" s="1">
        <v>54.0</v>
      </c>
    </row>
    <row r="9791">
      <c r="A9791" s="1" t="s">
        <v>7</v>
      </c>
      <c r="B9791" s="2">
        <v>44741.0</v>
      </c>
      <c r="C9791" s="3">
        <v>0.2988310185185185</v>
      </c>
      <c r="D9791" s="1">
        <v>12.518111</v>
      </c>
      <c r="E9791" s="1">
        <v>79.891506</v>
      </c>
      <c r="F9791" s="1">
        <v>2846.0</v>
      </c>
      <c r="G9791" s="1">
        <v>50.0</v>
      </c>
    </row>
    <row r="9792">
      <c r="A9792" s="1" t="s">
        <v>8</v>
      </c>
      <c r="B9792" s="2">
        <v>44741.0</v>
      </c>
      <c r="C9792" s="3">
        <v>0.2991550925925926</v>
      </c>
      <c r="D9792" s="1">
        <v>13.067674</v>
      </c>
      <c r="E9792" s="1">
        <v>80.249803</v>
      </c>
      <c r="F9792" s="1">
        <v>5339.0</v>
      </c>
      <c r="G9792" s="1">
        <v>31.0</v>
      </c>
    </row>
    <row r="9793">
      <c r="A9793" s="1" t="s">
        <v>8</v>
      </c>
      <c r="B9793" s="2">
        <v>44741.0</v>
      </c>
      <c r="C9793" s="3">
        <v>0.29921296296296296</v>
      </c>
      <c r="D9793" s="1">
        <v>13.067674</v>
      </c>
      <c r="E9793" s="1">
        <v>80.249803</v>
      </c>
      <c r="F9793" s="1">
        <v>5339.0</v>
      </c>
      <c r="G9793" s="1">
        <v>31.0</v>
      </c>
    </row>
    <row r="9794">
      <c r="A9794" s="1" t="s">
        <v>8</v>
      </c>
      <c r="B9794" s="2">
        <v>44741.0</v>
      </c>
      <c r="C9794" s="3">
        <v>0.29922453703703705</v>
      </c>
      <c r="D9794" s="1">
        <v>13.067539</v>
      </c>
      <c r="E9794" s="1">
        <v>80.250574</v>
      </c>
      <c r="F9794" s="1">
        <v>5339.0</v>
      </c>
      <c r="G9794" s="1">
        <v>32.0</v>
      </c>
    </row>
    <row r="9795">
      <c r="A9795" s="1" t="s">
        <v>8</v>
      </c>
      <c r="B9795" s="2">
        <v>44741.0</v>
      </c>
      <c r="C9795" s="3">
        <v>0.2992708333333333</v>
      </c>
      <c r="D9795" s="1">
        <v>13.067539</v>
      </c>
      <c r="E9795" s="1">
        <v>80.250574</v>
      </c>
      <c r="F9795" s="1">
        <v>5339.0</v>
      </c>
      <c r="G9795" s="1">
        <v>32.0</v>
      </c>
    </row>
    <row r="9796">
      <c r="A9796" s="1" t="s">
        <v>8</v>
      </c>
      <c r="B9796" s="2">
        <v>44741.0</v>
      </c>
      <c r="C9796" s="3">
        <v>0.2992824074074074</v>
      </c>
      <c r="D9796" s="1">
        <v>13.067539</v>
      </c>
      <c r="E9796" s="1">
        <v>80.250574</v>
      </c>
      <c r="F9796" s="1">
        <v>5339.0</v>
      </c>
      <c r="G9796" s="1">
        <v>32.0</v>
      </c>
    </row>
    <row r="9797">
      <c r="A9797" s="1" t="s">
        <v>7</v>
      </c>
      <c r="B9797" s="2">
        <v>44741.0</v>
      </c>
      <c r="C9797" s="3">
        <v>0.29964120370370373</v>
      </c>
      <c r="D9797" s="1">
        <v>12.525706</v>
      </c>
      <c r="E9797" s="1">
        <v>79.897235</v>
      </c>
      <c r="F9797" s="1">
        <v>2846.0</v>
      </c>
      <c r="G9797" s="1">
        <v>58.0</v>
      </c>
    </row>
    <row r="9798">
      <c r="A9798" s="1" t="s">
        <v>8</v>
      </c>
      <c r="B9798" s="2">
        <v>44741.0</v>
      </c>
      <c r="C9798" s="3">
        <v>0.2998958333333333</v>
      </c>
      <c r="D9798" s="1">
        <v>13.068329</v>
      </c>
      <c r="E9798" s="1">
        <v>80.252798</v>
      </c>
      <c r="F9798" s="1">
        <v>5339.0</v>
      </c>
      <c r="G9798" s="1">
        <v>21.0</v>
      </c>
    </row>
    <row r="9799">
      <c r="A9799" s="1" t="s">
        <v>8</v>
      </c>
      <c r="B9799" s="2">
        <v>44741.0</v>
      </c>
      <c r="C9799" s="3">
        <v>0.2999074074074074</v>
      </c>
      <c r="D9799" s="1">
        <v>13.068329</v>
      </c>
      <c r="E9799" s="1">
        <v>80.252798</v>
      </c>
      <c r="F9799" s="1">
        <v>5339.0</v>
      </c>
      <c r="G9799" s="1">
        <v>21.0</v>
      </c>
    </row>
    <row r="9800">
      <c r="A9800" s="1" t="s">
        <v>8</v>
      </c>
      <c r="B9800" s="2">
        <v>44741.0</v>
      </c>
      <c r="C9800" s="3">
        <v>0.3014236111111111</v>
      </c>
      <c r="D9800" s="1">
        <v>13.068593</v>
      </c>
      <c r="E9800" s="1">
        <v>80.25782</v>
      </c>
      <c r="F9800" s="1">
        <v>805.0</v>
      </c>
      <c r="G9800" s="1">
        <v>29.0</v>
      </c>
    </row>
    <row r="9801">
      <c r="A9801" s="1" t="s">
        <v>8</v>
      </c>
      <c r="B9801" s="2">
        <v>44741.0</v>
      </c>
      <c r="C9801" s="3">
        <v>0.3014351851851852</v>
      </c>
      <c r="D9801" s="1">
        <v>13.068593</v>
      </c>
      <c r="E9801" s="1">
        <v>80.25782</v>
      </c>
      <c r="F9801" s="1">
        <v>805.0</v>
      </c>
      <c r="G9801" s="1">
        <v>29.0</v>
      </c>
    </row>
    <row r="9802">
      <c r="A9802" s="1" t="s">
        <v>9</v>
      </c>
      <c r="B9802" s="2">
        <v>44741.0</v>
      </c>
      <c r="C9802" s="3">
        <v>0.3025925925925926</v>
      </c>
      <c r="D9802" s="1">
        <v>13.071703</v>
      </c>
      <c r="E9802" s="1">
        <v>80.264569</v>
      </c>
      <c r="F9802" s="1">
        <v>5339.0</v>
      </c>
      <c r="G9802" s="1">
        <v>29.0</v>
      </c>
    </row>
    <row r="9803">
      <c r="A9803" s="1" t="s">
        <v>10</v>
      </c>
      <c r="B9803" s="2">
        <v>44741.0</v>
      </c>
      <c r="C9803" s="3">
        <v>0.30266203703703703</v>
      </c>
      <c r="D9803" s="1">
        <v>13.071703</v>
      </c>
      <c r="E9803" s="1">
        <v>80.264569</v>
      </c>
      <c r="F9803" s="1">
        <v>5339.0</v>
      </c>
      <c r="G9803" s="1">
        <v>29.0</v>
      </c>
    </row>
    <row r="9804">
      <c r="A9804" s="1" t="s">
        <v>7</v>
      </c>
      <c r="B9804" s="2">
        <v>44741.0</v>
      </c>
      <c r="C9804" s="3">
        <v>0.3030787037037037</v>
      </c>
      <c r="D9804" s="1">
        <v>13.067108</v>
      </c>
      <c r="E9804" s="1">
        <v>80.259374</v>
      </c>
      <c r="F9804" s="1">
        <v>805.0</v>
      </c>
      <c r="G9804" s="1">
        <v>28.0</v>
      </c>
    </row>
    <row r="9805">
      <c r="A9805" s="1" t="s">
        <v>8</v>
      </c>
      <c r="B9805" s="2">
        <v>44741.0</v>
      </c>
      <c r="C9805" s="3">
        <v>0.3037037037037037</v>
      </c>
      <c r="D9805" s="1">
        <v>13.066466</v>
      </c>
      <c r="E9805" s="1">
        <v>80.26825</v>
      </c>
      <c r="F9805" s="1">
        <v>805.0</v>
      </c>
      <c r="G9805" s="1">
        <v>26.0</v>
      </c>
    </row>
    <row r="9806">
      <c r="A9806" s="1" t="s">
        <v>8</v>
      </c>
      <c r="B9806" s="2">
        <v>44741.0</v>
      </c>
      <c r="C9806" s="3">
        <v>0.30451388888888886</v>
      </c>
      <c r="D9806" s="1">
        <v>13.067215</v>
      </c>
      <c r="E9806" s="1">
        <v>80.270338</v>
      </c>
      <c r="F9806" s="1">
        <v>805.0</v>
      </c>
      <c r="G9806" s="1">
        <v>33.0</v>
      </c>
    </row>
    <row r="9807">
      <c r="A9807" s="1" t="s">
        <v>8</v>
      </c>
      <c r="B9807" s="2">
        <v>44741.0</v>
      </c>
      <c r="C9807" s="3">
        <v>0.3045717592592593</v>
      </c>
      <c r="D9807" s="1">
        <v>13.067997</v>
      </c>
      <c r="E9807" s="1">
        <v>80.272293</v>
      </c>
      <c r="F9807" s="1">
        <v>5339.0</v>
      </c>
      <c r="G9807" s="1">
        <v>30.0</v>
      </c>
    </row>
    <row r="9808">
      <c r="A9808" s="1" t="s">
        <v>8</v>
      </c>
      <c r="B9808" s="2">
        <v>44741.0</v>
      </c>
      <c r="C9808" s="3">
        <v>0.30466435185185187</v>
      </c>
      <c r="D9808" s="1">
        <v>13.067416</v>
      </c>
      <c r="E9808" s="1">
        <v>80.273028</v>
      </c>
      <c r="F9808" s="1">
        <v>5339.0</v>
      </c>
      <c r="G9808" s="1">
        <v>38.0</v>
      </c>
    </row>
    <row r="9809">
      <c r="A9809" s="1" t="s">
        <v>10</v>
      </c>
      <c r="B9809" s="2">
        <v>44741.0</v>
      </c>
      <c r="C9809" s="3">
        <v>0.3068518518518519</v>
      </c>
      <c r="D9809" s="1">
        <v>13.061167</v>
      </c>
      <c r="E9809" s="1">
        <v>80.274382</v>
      </c>
      <c r="F9809" s="1">
        <v>5339.0</v>
      </c>
      <c r="G9809" s="1">
        <v>0.0</v>
      </c>
    </row>
    <row r="9810">
      <c r="A9810" s="1" t="s">
        <v>10</v>
      </c>
      <c r="B9810" s="2">
        <v>44741.0</v>
      </c>
      <c r="C9810" s="3">
        <v>0.30756944444444445</v>
      </c>
      <c r="D9810" s="1">
        <v>13.058472</v>
      </c>
      <c r="E9810" s="1">
        <v>80.265477</v>
      </c>
      <c r="F9810" s="1">
        <v>805.0</v>
      </c>
      <c r="G9810" s="1">
        <v>18.0</v>
      </c>
    </row>
    <row r="9811">
      <c r="A9811" s="1" t="s">
        <v>10</v>
      </c>
      <c r="B9811" s="2">
        <v>44741.0</v>
      </c>
      <c r="C9811" s="3">
        <v>0.30789351851851854</v>
      </c>
      <c r="D9811" s="1">
        <v>13.056106</v>
      </c>
      <c r="E9811" s="1">
        <v>80.273926</v>
      </c>
      <c r="F9811" s="1">
        <v>5339.0</v>
      </c>
      <c r="G9811" s="1">
        <v>0.0</v>
      </c>
    </row>
    <row r="9812">
      <c r="A9812" s="1" t="s">
        <v>10</v>
      </c>
      <c r="B9812" s="2">
        <v>44741.0</v>
      </c>
      <c r="C9812" s="3">
        <v>0.3087152777777778</v>
      </c>
      <c r="D9812" s="1">
        <v>13.053473</v>
      </c>
      <c r="E9812" s="1">
        <v>80.273756</v>
      </c>
      <c r="F9812" s="1">
        <v>5339.0</v>
      </c>
      <c r="G9812" s="1">
        <v>25.0</v>
      </c>
    </row>
    <row r="9813">
      <c r="A9813" s="1" t="s">
        <v>10</v>
      </c>
      <c r="B9813" s="2">
        <v>44741.0</v>
      </c>
      <c r="C9813" s="3">
        <v>0.3098263888888889</v>
      </c>
      <c r="D9813" s="1">
        <v>13.053261</v>
      </c>
      <c r="E9813" s="1">
        <v>80.270679</v>
      </c>
      <c r="F9813" s="1">
        <v>5339.0</v>
      </c>
      <c r="G9813" s="1">
        <v>23.0</v>
      </c>
    </row>
    <row r="9814">
      <c r="A9814" s="1" t="s">
        <v>10</v>
      </c>
      <c r="B9814" s="2">
        <v>44741.0</v>
      </c>
      <c r="C9814" s="3">
        <v>0.31</v>
      </c>
      <c r="D9814" s="1">
        <v>13.053388</v>
      </c>
      <c r="E9814" s="1">
        <v>80.26962</v>
      </c>
      <c r="F9814" s="1">
        <v>5339.0</v>
      </c>
      <c r="G9814" s="1">
        <v>20.0</v>
      </c>
    </row>
    <row r="9815">
      <c r="A9815" s="1" t="s">
        <v>10</v>
      </c>
      <c r="B9815" s="2">
        <v>44741.0</v>
      </c>
      <c r="C9815" s="3">
        <v>0.3101851851851852</v>
      </c>
      <c r="D9815" s="1">
        <v>13.048988</v>
      </c>
      <c r="E9815" s="1">
        <v>80.264837</v>
      </c>
      <c r="F9815" s="1">
        <v>805.0</v>
      </c>
      <c r="G9815" s="1">
        <v>39.0</v>
      </c>
    </row>
    <row r="9816">
      <c r="A9816" s="1" t="s">
        <v>8</v>
      </c>
      <c r="B9816" s="2">
        <v>44741.0</v>
      </c>
      <c r="C9816" s="3">
        <v>0.3115625</v>
      </c>
      <c r="D9816" s="1">
        <v>13.042616</v>
      </c>
      <c r="E9816" s="1">
        <v>80.268034</v>
      </c>
      <c r="F9816" s="1">
        <v>805.0</v>
      </c>
      <c r="G9816" s="1">
        <v>40.0</v>
      </c>
    </row>
    <row r="9817">
      <c r="A9817" s="1" t="s">
        <v>8</v>
      </c>
      <c r="B9817" s="2">
        <v>44741.0</v>
      </c>
      <c r="C9817" s="3">
        <v>0.3125925925925926</v>
      </c>
      <c r="D9817" s="1">
        <v>13.054625</v>
      </c>
      <c r="E9817" s="1">
        <v>80.255753</v>
      </c>
      <c r="F9817" s="1">
        <v>5339.0</v>
      </c>
      <c r="G9817" s="1">
        <v>41.0</v>
      </c>
    </row>
    <row r="9818">
      <c r="A9818" s="1" t="s">
        <v>8</v>
      </c>
      <c r="B9818" s="2">
        <v>44741.0</v>
      </c>
      <c r="C9818" s="3">
        <v>0.3129282407407407</v>
      </c>
      <c r="D9818" s="1">
        <v>13.054153</v>
      </c>
      <c r="E9818" s="1">
        <v>80.253542</v>
      </c>
      <c r="F9818" s="1">
        <v>5339.0</v>
      </c>
      <c r="G9818" s="1">
        <v>39.0</v>
      </c>
    </row>
    <row r="9819">
      <c r="A9819" s="1" t="s">
        <v>10</v>
      </c>
      <c r="B9819" s="2">
        <v>44741.0</v>
      </c>
      <c r="C9819" s="3">
        <v>0.31319444444444444</v>
      </c>
      <c r="D9819" s="1">
        <v>13.03713</v>
      </c>
      <c r="E9819" s="1">
        <v>80.267674</v>
      </c>
      <c r="F9819" s="1">
        <v>805.0</v>
      </c>
      <c r="G9819" s="1">
        <v>7.0</v>
      </c>
    </row>
    <row r="9820">
      <c r="A9820" s="1" t="s">
        <v>8</v>
      </c>
      <c r="B9820" s="2">
        <v>44741.0</v>
      </c>
      <c r="C9820" s="3">
        <v>0.31353009259259257</v>
      </c>
      <c r="D9820" s="1">
        <v>13.049494</v>
      </c>
      <c r="E9820" s="1">
        <v>80.249805</v>
      </c>
      <c r="F9820" s="1">
        <v>5339.0</v>
      </c>
      <c r="G9820" s="1">
        <v>60.0</v>
      </c>
    </row>
    <row r="9821">
      <c r="A9821" s="1" t="s">
        <v>7</v>
      </c>
      <c r="B9821" s="2">
        <v>44741.0</v>
      </c>
      <c r="C9821" s="3">
        <v>0.3138310185185185</v>
      </c>
      <c r="D9821" s="1">
        <v>12.656706</v>
      </c>
      <c r="E9821" s="1">
        <v>79.95521</v>
      </c>
      <c r="F9821" s="1">
        <v>2846.0</v>
      </c>
      <c r="G9821" s="1">
        <v>54.0</v>
      </c>
    </row>
    <row r="9822">
      <c r="A9822" s="1" t="s">
        <v>8</v>
      </c>
      <c r="B9822" s="2">
        <v>44741.0</v>
      </c>
      <c r="C9822" s="3">
        <v>0.31395833333333334</v>
      </c>
      <c r="D9822" s="1">
        <v>13.045525</v>
      </c>
      <c r="E9822" s="1">
        <v>80.248268</v>
      </c>
      <c r="F9822" s="1">
        <v>5339.0</v>
      </c>
      <c r="G9822" s="1">
        <v>26.0</v>
      </c>
    </row>
    <row r="9823">
      <c r="A9823" s="1" t="s">
        <v>7</v>
      </c>
      <c r="B9823" s="2">
        <v>44741.0</v>
      </c>
      <c r="C9823" s="3">
        <v>0.31494212962962964</v>
      </c>
      <c r="D9823" s="1">
        <v>12.659487</v>
      </c>
      <c r="E9823" s="1">
        <v>79.963027</v>
      </c>
      <c r="F9823" s="1">
        <v>2846.0</v>
      </c>
      <c r="G9823" s="1">
        <v>52.0</v>
      </c>
    </row>
    <row r="9824">
      <c r="A9824" s="1" t="s">
        <v>8</v>
      </c>
      <c r="B9824" s="2">
        <v>44741.0</v>
      </c>
      <c r="C9824" s="3">
        <v>0.31516203703703705</v>
      </c>
      <c r="D9824" s="1">
        <v>13.040832</v>
      </c>
      <c r="E9824" s="1">
        <v>80.24726</v>
      </c>
      <c r="F9824" s="1">
        <v>5339.0</v>
      </c>
      <c r="G9824" s="1">
        <v>43.0</v>
      </c>
    </row>
    <row r="9825">
      <c r="A9825" s="1" t="s">
        <v>7</v>
      </c>
      <c r="B9825" s="2">
        <v>44741.0</v>
      </c>
      <c r="C9825" s="3">
        <v>0.3154282407407407</v>
      </c>
      <c r="D9825" s="1">
        <v>12.662537</v>
      </c>
      <c r="E9825" s="1">
        <v>79.967515</v>
      </c>
      <c r="F9825" s="1">
        <v>2846.0</v>
      </c>
      <c r="G9825" s="1">
        <v>41.0</v>
      </c>
    </row>
    <row r="9826">
      <c r="A9826" s="1" t="s">
        <v>7</v>
      </c>
      <c r="B9826" s="2">
        <v>44741.0</v>
      </c>
      <c r="C9826" s="3">
        <v>0.31599537037037034</v>
      </c>
      <c r="D9826" s="1">
        <v>12.666624</v>
      </c>
      <c r="E9826" s="1">
        <v>79.970842</v>
      </c>
      <c r="F9826" s="1">
        <v>2846.0</v>
      </c>
      <c r="G9826" s="1">
        <v>59.0</v>
      </c>
    </row>
    <row r="9827">
      <c r="A9827" s="1" t="s">
        <v>8</v>
      </c>
      <c r="B9827" s="2">
        <v>44741.0</v>
      </c>
      <c r="C9827" s="3">
        <v>0.31627314814814816</v>
      </c>
      <c r="D9827" s="1">
        <v>13.034822</v>
      </c>
      <c r="E9827" s="1">
        <v>80.24583</v>
      </c>
      <c r="F9827" s="1">
        <v>5339.0</v>
      </c>
      <c r="G9827" s="1">
        <v>23.0</v>
      </c>
    </row>
    <row r="9828">
      <c r="A9828" s="1" t="s">
        <v>10</v>
      </c>
      <c r="B9828" s="2">
        <v>44741.0</v>
      </c>
      <c r="C9828" s="3">
        <v>0.3163310185185185</v>
      </c>
      <c r="D9828" s="1">
        <v>13.025027</v>
      </c>
      <c r="E9828" s="1">
        <v>80.265221</v>
      </c>
      <c r="F9828" s="1">
        <v>805.0</v>
      </c>
      <c r="G9828" s="1">
        <v>26.0</v>
      </c>
    </row>
    <row r="9829">
      <c r="A9829" s="1" t="s">
        <v>8</v>
      </c>
      <c r="B9829" s="2">
        <v>44741.0</v>
      </c>
      <c r="C9829" s="3">
        <v>0.3165277777777778</v>
      </c>
      <c r="D9829" s="1">
        <v>13.033798</v>
      </c>
      <c r="E9829" s="1">
        <v>80.24445</v>
      </c>
      <c r="F9829" s="1">
        <v>5339.0</v>
      </c>
      <c r="G9829" s="1">
        <v>37.0</v>
      </c>
    </row>
    <row r="9830">
      <c r="A9830" s="1" t="s">
        <v>8</v>
      </c>
      <c r="B9830" s="2">
        <v>44741.0</v>
      </c>
      <c r="C9830" s="3">
        <v>0.31827546296296294</v>
      </c>
      <c r="D9830" s="1">
        <v>13.030956</v>
      </c>
      <c r="E9830" s="1">
        <v>80.239701</v>
      </c>
      <c r="F9830" s="1">
        <v>5339.0</v>
      </c>
      <c r="G9830" s="1">
        <v>28.0</v>
      </c>
    </row>
    <row r="9831">
      <c r="A9831" s="1" t="s">
        <v>8</v>
      </c>
      <c r="B9831" s="2">
        <v>44741.0</v>
      </c>
      <c r="C9831" s="3">
        <v>0.3184606481481482</v>
      </c>
      <c r="D9831" s="1">
        <v>12.677815</v>
      </c>
      <c r="E9831" s="1">
        <v>79.979427</v>
      </c>
      <c r="F9831" s="1">
        <v>2846.0</v>
      </c>
      <c r="G9831" s="1">
        <v>26.0</v>
      </c>
    </row>
    <row r="9832">
      <c r="A9832" s="1" t="s">
        <v>8</v>
      </c>
      <c r="B9832" s="2">
        <v>44741.0</v>
      </c>
      <c r="C9832" s="3">
        <v>0.3193171296296296</v>
      </c>
      <c r="D9832" s="1">
        <v>13.026529</v>
      </c>
      <c r="E9832" s="1">
        <v>80.232931</v>
      </c>
      <c r="F9832" s="1">
        <v>5339.0</v>
      </c>
      <c r="G9832" s="1">
        <v>26.0</v>
      </c>
    </row>
    <row r="9833">
      <c r="A9833" s="1" t="s">
        <v>8</v>
      </c>
      <c r="B9833" s="2">
        <v>44741.0</v>
      </c>
      <c r="C9833" s="3">
        <v>0.31971064814814815</v>
      </c>
      <c r="D9833" s="1">
        <v>12.687113</v>
      </c>
      <c r="E9833" s="1">
        <v>79.983063</v>
      </c>
      <c r="F9833" s="1">
        <v>2846.0</v>
      </c>
      <c r="G9833" s="1">
        <v>29.0</v>
      </c>
    </row>
    <row r="9834">
      <c r="A9834" s="1" t="s">
        <v>8</v>
      </c>
      <c r="B9834" s="2">
        <v>44741.0</v>
      </c>
      <c r="C9834" s="3">
        <v>0.31972222222222224</v>
      </c>
      <c r="D9834" s="1">
        <v>12.687113</v>
      </c>
      <c r="E9834" s="1">
        <v>79.983063</v>
      </c>
      <c r="F9834" s="1">
        <v>2846.0</v>
      </c>
      <c r="G9834" s="1">
        <v>29.0</v>
      </c>
    </row>
    <row r="9835">
      <c r="A9835" s="1" t="s">
        <v>8</v>
      </c>
      <c r="B9835" s="2">
        <v>44741.0</v>
      </c>
      <c r="C9835" s="3">
        <v>0.3197337962962963</v>
      </c>
      <c r="D9835" s="1">
        <v>12.687113</v>
      </c>
      <c r="E9835" s="1">
        <v>79.983063</v>
      </c>
      <c r="F9835" s="1">
        <v>2846.0</v>
      </c>
      <c r="G9835" s="1">
        <v>29.0</v>
      </c>
    </row>
    <row r="9836">
      <c r="A9836" s="1" t="s">
        <v>8</v>
      </c>
      <c r="B9836" s="2">
        <v>44741.0</v>
      </c>
      <c r="C9836" s="3">
        <v>0.3197453703703704</v>
      </c>
      <c r="D9836" s="1">
        <v>12.687113</v>
      </c>
      <c r="E9836" s="1">
        <v>79.983063</v>
      </c>
      <c r="F9836" s="1">
        <v>2846.0</v>
      </c>
      <c r="G9836" s="1">
        <v>29.0</v>
      </c>
    </row>
    <row r="9837">
      <c r="A9837" s="1" t="s">
        <v>10</v>
      </c>
      <c r="B9837" s="2">
        <v>44741.0</v>
      </c>
      <c r="C9837" s="3">
        <v>0.3200462962962963</v>
      </c>
      <c r="D9837" s="1">
        <v>13.007809</v>
      </c>
      <c r="E9837" s="1">
        <v>80.259341</v>
      </c>
      <c r="F9837" s="1">
        <v>805.0</v>
      </c>
      <c r="G9837" s="1">
        <v>27.0</v>
      </c>
    </row>
    <row r="9838">
      <c r="A9838" s="1" t="s">
        <v>10</v>
      </c>
      <c r="B9838" s="2">
        <v>44741.0</v>
      </c>
      <c r="C9838" s="3">
        <v>0.3201736111111111</v>
      </c>
      <c r="D9838" s="1">
        <v>13.007386</v>
      </c>
      <c r="E9838" s="1">
        <v>80.259254</v>
      </c>
      <c r="F9838" s="1">
        <v>805.0</v>
      </c>
      <c r="G9838" s="1">
        <v>18.0</v>
      </c>
    </row>
    <row r="9839">
      <c r="A9839" s="1" t="s">
        <v>8</v>
      </c>
      <c r="B9839" s="2">
        <v>44741.0</v>
      </c>
      <c r="C9839" s="3">
        <v>0.3206712962962963</v>
      </c>
      <c r="D9839" s="1">
        <v>13.022817</v>
      </c>
      <c r="E9839" s="1">
        <v>80.227033</v>
      </c>
      <c r="F9839" s="1">
        <v>5339.0</v>
      </c>
      <c r="G9839" s="1">
        <v>46.0</v>
      </c>
    </row>
    <row r="9840">
      <c r="A9840" s="1" t="s">
        <v>8</v>
      </c>
      <c r="B9840" s="2">
        <v>44741.0</v>
      </c>
      <c r="C9840" s="3">
        <v>0.321400462962963</v>
      </c>
      <c r="D9840" s="1">
        <v>13.019963</v>
      </c>
      <c r="E9840" s="1">
        <v>80.2248</v>
      </c>
      <c r="F9840" s="1">
        <v>5339.0</v>
      </c>
      <c r="G9840" s="1">
        <v>19.0</v>
      </c>
    </row>
    <row r="9841">
      <c r="A9841" s="1" t="s">
        <v>8</v>
      </c>
      <c r="B9841" s="2">
        <v>44741.0</v>
      </c>
      <c r="C9841" s="3">
        <v>0.3214930555555556</v>
      </c>
      <c r="D9841" s="1">
        <v>13.019307</v>
      </c>
      <c r="E9841" s="1">
        <v>80.224498</v>
      </c>
      <c r="F9841" s="1">
        <v>5339.0</v>
      </c>
      <c r="G9841" s="1">
        <v>36.0</v>
      </c>
    </row>
    <row r="9842">
      <c r="A9842" s="1" t="s">
        <v>9</v>
      </c>
      <c r="B9842" s="2">
        <v>44741.0</v>
      </c>
      <c r="C9842" s="3">
        <v>0.3215046296296296</v>
      </c>
      <c r="D9842" s="1">
        <v>13.019307</v>
      </c>
      <c r="E9842" s="1">
        <v>80.224498</v>
      </c>
      <c r="F9842" s="1">
        <v>5339.0</v>
      </c>
      <c r="G9842" s="1">
        <v>36.0</v>
      </c>
    </row>
    <row r="9843">
      <c r="A9843" s="1" t="s">
        <v>8</v>
      </c>
      <c r="B9843" s="2">
        <v>44741.0</v>
      </c>
      <c r="C9843" s="3">
        <v>0.3219444444444444</v>
      </c>
      <c r="D9843" s="1">
        <v>12.691487</v>
      </c>
      <c r="E9843" s="1">
        <v>79.980614</v>
      </c>
      <c r="F9843" s="1">
        <v>2846.0</v>
      </c>
      <c r="G9843" s="1">
        <v>11.0</v>
      </c>
    </row>
    <row r="9844">
      <c r="A9844" s="1" t="s">
        <v>8</v>
      </c>
      <c r="B9844" s="2">
        <v>44741.0</v>
      </c>
      <c r="C9844" s="3">
        <v>0.3221759259259259</v>
      </c>
      <c r="D9844" s="1">
        <v>13.01364</v>
      </c>
      <c r="E9844" s="1">
        <v>80.226532</v>
      </c>
      <c r="F9844" s="1">
        <v>5339.0</v>
      </c>
      <c r="G9844" s="1">
        <v>45.0</v>
      </c>
    </row>
    <row r="9845">
      <c r="A9845" s="1" t="s">
        <v>7</v>
      </c>
      <c r="B9845" s="2">
        <v>44741.0</v>
      </c>
      <c r="C9845" s="3">
        <v>0.3224074074074074</v>
      </c>
      <c r="D9845" s="1">
        <v>13.011687</v>
      </c>
      <c r="E9845" s="1">
        <v>80.227282</v>
      </c>
      <c r="F9845" s="1">
        <v>5339.0</v>
      </c>
      <c r="G9845" s="1">
        <v>47.0</v>
      </c>
    </row>
    <row r="9846">
      <c r="A9846" s="1" t="s">
        <v>8</v>
      </c>
      <c r="B9846" s="2">
        <v>44741.0</v>
      </c>
      <c r="C9846" s="3">
        <v>0.3228935185185185</v>
      </c>
      <c r="D9846" s="1">
        <v>13.006692</v>
      </c>
      <c r="E9846" s="1">
        <v>80.251494</v>
      </c>
      <c r="F9846" s="1">
        <v>805.0</v>
      </c>
      <c r="G9846" s="1">
        <v>22.0</v>
      </c>
    </row>
    <row r="9847">
      <c r="A9847" s="1" t="s">
        <v>8</v>
      </c>
      <c r="B9847" s="2">
        <v>44741.0</v>
      </c>
      <c r="C9847" s="3">
        <v>0.3229976851851852</v>
      </c>
      <c r="D9847" s="1">
        <v>13.010548</v>
      </c>
      <c r="E9847" s="1">
        <v>80.225335</v>
      </c>
      <c r="F9847" s="1">
        <v>5339.0</v>
      </c>
      <c r="G9847" s="1">
        <v>47.0</v>
      </c>
    </row>
    <row r="9848">
      <c r="A9848" s="1" t="s">
        <v>8</v>
      </c>
      <c r="B9848" s="2">
        <v>44741.0</v>
      </c>
      <c r="C9848" s="3">
        <v>0.32341435185185186</v>
      </c>
      <c r="D9848" s="1">
        <v>13.01155</v>
      </c>
      <c r="E9848" s="1">
        <v>80.222886</v>
      </c>
      <c r="F9848" s="1">
        <v>5339.0</v>
      </c>
      <c r="G9848" s="1">
        <v>25.0</v>
      </c>
    </row>
    <row r="9849">
      <c r="A9849" s="1" t="s">
        <v>8</v>
      </c>
      <c r="B9849" s="2">
        <v>44741.0</v>
      </c>
      <c r="C9849" s="3">
        <v>0.3239699074074074</v>
      </c>
      <c r="D9849" s="1">
        <v>13.012044</v>
      </c>
      <c r="E9849" s="1">
        <v>80.220649</v>
      </c>
      <c r="F9849" s="1">
        <v>5339.0</v>
      </c>
      <c r="G9849" s="1">
        <v>27.0</v>
      </c>
    </row>
    <row r="9850">
      <c r="A9850" s="1" t="s">
        <v>8</v>
      </c>
      <c r="B9850" s="2">
        <v>44741.0</v>
      </c>
      <c r="C9850" s="3">
        <v>0.324224537037037</v>
      </c>
      <c r="D9850" s="1">
        <v>13.011204</v>
      </c>
      <c r="E9850" s="1">
        <v>80.218039</v>
      </c>
      <c r="F9850" s="1">
        <v>5339.0</v>
      </c>
      <c r="G9850" s="1">
        <v>44.0</v>
      </c>
    </row>
    <row r="9851">
      <c r="A9851" s="1" t="s">
        <v>8</v>
      </c>
      <c r="B9851" s="2">
        <v>44741.0</v>
      </c>
      <c r="C9851" s="3">
        <v>0.3254166666666667</v>
      </c>
      <c r="D9851" s="1">
        <v>13.007865</v>
      </c>
      <c r="E9851" s="1">
        <v>80.207788</v>
      </c>
      <c r="F9851" s="1">
        <v>5339.0</v>
      </c>
      <c r="G9851" s="1">
        <v>41.0</v>
      </c>
    </row>
    <row r="9852">
      <c r="A9852" s="1" t="s">
        <v>9</v>
      </c>
      <c r="B9852" s="2">
        <v>44741.0</v>
      </c>
      <c r="C9852" s="3">
        <v>0.32568287037037036</v>
      </c>
      <c r="D9852" s="1">
        <v>13.006618</v>
      </c>
      <c r="E9852" s="1">
        <v>80.242103</v>
      </c>
      <c r="F9852" s="1">
        <v>805.0</v>
      </c>
      <c r="G9852" s="1">
        <v>38.0</v>
      </c>
    </row>
    <row r="9853">
      <c r="A9853" s="1" t="s">
        <v>8</v>
      </c>
      <c r="B9853" s="2">
        <v>44741.0</v>
      </c>
      <c r="C9853" s="3">
        <v>0.32631944444444444</v>
      </c>
      <c r="D9853" s="1">
        <v>13.007192</v>
      </c>
      <c r="E9853" s="1">
        <v>80.238119</v>
      </c>
      <c r="F9853" s="1">
        <v>805.0</v>
      </c>
      <c r="G9853" s="1">
        <v>36.0</v>
      </c>
    </row>
    <row r="9854">
      <c r="A9854" s="1" t="s">
        <v>8</v>
      </c>
      <c r="B9854" s="2">
        <v>44741.0</v>
      </c>
      <c r="C9854" s="3">
        <v>0.3266203703703704</v>
      </c>
      <c r="D9854" s="1">
        <v>13.002487</v>
      </c>
      <c r="E9854" s="1">
        <v>80.200559</v>
      </c>
      <c r="F9854" s="1">
        <v>5339.0</v>
      </c>
      <c r="G9854" s="1">
        <v>42.0</v>
      </c>
    </row>
    <row r="9855">
      <c r="A9855" s="1" t="s">
        <v>7</v>
      </c>
      <c r="B9855" s="2">
        <v>44741.0</v>
      </c>
      <c r="C9855" s="3">
        <v>0.3267361111111111</v>
      </c>
      <c r="D9855" s="1">
        <v>12.704413</v>
      </c>
      <c r="E9855" s="1">
        <v>79.97291</v>
      </c>
      <c r="F9855" s="1">
        <v>2846.0</v>
      </c>
      <c r="G9855" s="1">
        <v>55.0</v>
      </c>
    </row>
    <row r="9856">
      <c r="A9856" s="1" t="s">
        <v>8</v>
      </c>
      <c r="B9856" s="2">
        <v>44741.0</v>
      </c>
      <c r="C9856" s="3">
        <v>0.3267824074074074</v>
      </c>
      <c r="D9856" s="1">
        <v>12.708491</v>
      </c>
      <c r="E9856" s="1">
        <v>79.976977</v>
      </c>
      <c r="F9856" s="1">
        <v>2846.0</v>
      </c>
      <c r="G9856" s="1">
        <v>49.0</v>
      </c>
    </row>
    <row r="9857">
      <c r="A9857" s="1" t="s">
        <v>7</v>
      </c>
      <c r="B9857" s="2">
        <v>44741.0</v>
      </c>
      <c r="C9857" s="3">
        <v>0.32788194444444446</v>
      </c>
      <c r="D9857" s="1">
        <v>12.715553</v>
      </c>
      <c r="E9857" s="1">
        <v>79.980476</v>
      </c>
      <c r="F9857" s="1">
        <v>2846.0</v>
      </c>
      <c r="G9857" s="1">
        <v>57.0</v>
      </c>
    </row>
    <row r="9858">
      <c r="A9858" s="1" t="s">
        <v>8</v>
      </c>
      <c r="B9858" s="2">
        <v>44741.0</v>
      </c>
      <c r="C9858" s="3">
        <v>0.3279861111111111</v>
      </c>
      <c r="D9858" s="1">
        <v>12.721326</v>
      </c>
      <c r="E9858" s="1">
        <v>79.981228</v>
      </c>
      <c r="F9858" s="1">
        <v>2846.0</v>
      </c>
      <c r="G9858" s="1">
        <v>57.0</v>
      </c>
    </row>
    <row r="9859">
      <c r="A9859" s="1" t="s">
        <v>8</v>
      </c>
      <c r="B9859" s="2">
        <v>44741.0</v>
      </c>
      <c r="C9859" s="3">
        <v>0.32832175925925927</v>
      </c>
      <c r="D9859" s="1">
        <v>13.011814</v>
      </c>
      <c r="E9859" s="1">
        <v>80.221998</v>
      </c>
      <c r="F9859" s="1">
        <v>805.0</v>
      </c>
      <c r="G9859" s="1">
        <v>29.0</v>
      </c>
    </row>
    <row r="9860">
      <c r="A9860" s="1" t="s">
        <v>8</v>
      </c>
      <c r="B9860" s="2">
        <v>44741.0</v>
      </c>
      <c r="C9860" s="3">
        <v>0.3287615740740741</v>
      </c>
      <c r="D9860" s="1">
        <v>12.995445</v>
      </c>
      <c r="E9860" s="1">
        <v>80.188386</v>
      </c>
      <c r="F9860" s="1">
        <v>5339.0</v>
      </c>
      <c r="G9860" s="1">
        <v>33.0</v>
      </c>
    </row>
    <row r="9861">
      <c r="A9861" s="1" t="s">
        <v>7</v>
      </c>
      <c r="B9861" s="2">
        <v>44741.0</v>
      </c>
      <c r="C9861" s="3">
        <v>0.32916666666666666</v>
      </c>
      <c r="D9861" s="1">
        <v>12.725129</v>
      </c>
      <c r="E9861" s="1">
        <v>79.982073</v>
      </c>
      <c r="F9861" s="1">
        <v>2846.0</v>
      </c>
      <c r="G9861" s="1">
        <v>34.0</v>
      </c>
    </row>
    <row r="9862">
      <c r="A9862" s="1" t="s">
        <v>8</v>
      </c>
      <c r="B9862" s="2">
        <v>44741.0</v>
      </c>
      <c r="C9862" s="3">
        <v>0.329375</v>
      </c>
      <c r="D9862" s="1">
        <v>13.009253</v>
      </c>
      <c r="E9862" s="1">
        <v>80.212523</v>
      </c>
      <c r="F9862" s="1">
        <v>805.0</v>
      </c>
      <c r="G9862" s="1">
        <v>39.0</v>
      </c>
    </row>
    <row r="9863">
      <c r="A9863" s="1" t="s">
        <v>8</v>
      </c>
      <c r="B9863" s="2">
        <v>44741.0</v>
      </c>
      <c r="C9863" s="3">
        <v>0.3299884259259259</v>
      </c>
      <c r="D9863" s="1">
        <v>12.731467</v>
      </c>
      <c r="E9863" s="1">
        <v>79.982808</v>
      </c>
      <c r="F9863" s="1">
        <v>2846.0</v>
      </c>
      <c r="G9863" s="1">
        <v>57.0</v>
      </c>
    </row>
    <row r="9864">
      <c r="A9864" s="1" t="s">
        <v>8</v>
      </c>
      <c r="B9864" s="2">
        <v>44741.0</v>
      </c>
      <c r="C9864" s="3">
        <v>0.3304050925925926</v>
      </c>
      <c r="D9864" s="1">
        <v>12.731467</v>
      </c>
      <c r="E9864" s="1">
        <v>79.982808</v>
      </c>
      <c r="F9864" s="1">
        <v>2846.0</v>
      </c>
      <c r="G9864" s="1">
        <v>57.0</v>
      </c>
    </row>
    <row r="9865">
      <c r="A9865" s="1" t="s">
        <v>8</v>
      </c>
      <c r="B9865" s="2">
        <v>44741.0</v>
      </c>
      <c r="C9865" s="3">
        <v>0.3305092592592593</v>
      </c>
      <c r="D9865" s="1">
        <v>13.00563</v>
      </c>
      <c r="E9865" s="1">
        <v>80.20217</v>
      </c>
      <c r="F9865" s="1">
        <v>805.0</v>
      </c>
      <c r="G9865" s="1">
        <v>35.0</v>
      </c>
    </row>
    <row r="9866">
      <c r="A9866" s="1" t="s">
        <v>10</v>
      </c>
      <c r="B9866" s="2">
        <v>44741.0</v>
      </c>
      <c r="C9866" s="3">
        <v>0.33068287037037036</v>
      </c>
      <c r="D9866" s="1">
        <v>12.743027</v>
      </c>
      <c r="E9866" s="1">
        <v>79.992035</v>
      </c>
      <c r="F9866" s="1">
        <v>2846.0</v>
      </c>
      <c r="G9866" s="1">
        <v>36.0</v>
      </c>
    </row>
    <row r="9867">
      <c r="A9867" s="1" t="s">
        <v>8</v>
      </c>
      <c r="B9867" s="2">
        <v>44741.0</v>
      </c>
      <c r="C9867" s="3">
        <v>0.3307060185185185</v>
      </c>
      <c r="D9867" s="1">
        <v>13.003966</v>
      </c>
      <c r="E9867" s="1">
        <v>80.201079</v>
      </c>
      <c r="F9867" s="1">
        <v>805.0</v>
      </c>
      <c r="G9867" s="1">
        <v>46.0</v>
      </c>
    </row>
    <row r="9868">
      <c r="A9868" s="1" t="s">
        <v>8</v>
      </c>
      <c r="B9868" s="2">
        <v>44741.0</v>
      </c>
      <c r="C9868" s="3">
        <v>0.3307175925925926</v>
      </c>
      <c r="D9868" s="1">
        <v>12.984914</v>
      </c>
      <c r="E9868" s="1">
        <v>80.172534</v>
      </c>
      <c r="F9868" s="1">
        <v>5339.0</v>
      </c>
      <c r="G9868" s="1">
        <v>40.0</v>
      </c>
    </row>
    <row r="9869">
      <c r="A9869" s="1" t="s">
        <v>8</v>
      </c>
      <c r="B9869" s="2">
        <v>44741.0</v>
      </c>
      <c r="C9869" s="3">
        <v>0.3307291666666667</v>
      </c>
      <c r="D9869" s="1">
        <v>13.003966</v>
      </c>
      <c r="E9869" s="1">
        <v>80.201079</v>
      </c>
      <c r="F9869" s="1">
        <v>805.0</v>
      </c>
      <c r="G9869" s="1">
        <v>46.0</v>
      </c>
    </row>
    <row r="9870">
      <c r="A9870" s="1" t="s">
        <v>8</v>
      </c>
      <c r="B9870" s="2">
        <v>44741.0</v>
      </c>
      <c r="C9870" s="3">
        <v>0.33090277777777777</v>
      </c>
      <c r="D9870" s="1">
        <v>12.984363</v>
      </c>
      <c r="E9870" s="1">
        <v>80.171667</v>
      </c>
      <c r="F9870" s="1">
        <v>5339.0</v>
      </c>
      <c r="G9870" s="1">
        <v>41.0</v>
      </c>
    </row>
    <row r="9871">
      <c r="A9871" s="1" t="s">
        <v>8</v>
      </c>
      <c r="B9871" s="2">
        <v>44741.0</v>
      </c>
      <c r="C9871" s="3">
        <v>0.3309259259259259</v>
      </c>
      <c r="D9871" s="1">
        <v>13.002116</v>
      </c>
      <c r="E9871" s="1">
        <v>80.200354</v>
      </c>
      <c r="F9871" s="1">
        <v>805.0</v>
      </c>
      <c r="G9871" s="1">
        <v>35.0</v>
      </c>
    </row>
    <row r="9872">
      <c r="A9872" s="1" t="s">
        <v>8</v>
      </c>
      <c r="B9872" s="2">
        <v>44741.0</v>
      </c>
      <c r="C9872" s="3">
        <v>0.3309837962962963</v>
      </c>
      <c r="D9872" s="1">
        <v>12.983796</v>
      </c>
      <c r="E9872" s="1">
        <v>80.170746</v>
      </c>
      <c r="F9872" s="1">
        <v>5339.0</v>
      </c>
      <c r="G9872" s="1">
        <v>41.0</v>
      </c>
    </row>
    <row r="9873">
      <c r="A9873" s="1" t="s">
        <v>8</v>
      </c>
      <c r="B9873" s="2">
        <v>44741.0</v>
      </c>
      <c r="C9873" s="3">
        <v>0.33099537037037036</v>
      </c>
      <c r="D9873" s="1">
        <v>13.002116</v>
      </c>
      <c r="E9873" s="1">
        <v>80.200354</v>
      </c>
      <c r="F9873" s="1">
        <v>805.0</v>
      </c>
      <c r="G9873" s="1">
        <v>35.0</v>
      </c>
    </row>
    <row r="9874">
      <c r="A9874" s="1" t="s">
        <v>7</v>
      </c>
      <c r="B9874" s="2">
        <v>44741.0</v>
      </c>
      <c r="C9874" s="3">
        <v>0.33109953703703704</v>
      </c>
      <c r="D9874" s="1">
        <v>12.744155</v>
      </c>
      <c r="E9874" s="1">
        <v>79.992978</v>
      </c>
      <c r="F9874" s="1">
        <v>2846.0</v>
      </c>
      <c r="G9874" s="1">
        <v>38.0</v>
      </c>
    </row>
    <row r="9875">
      <c r="A9875" s="1" t="s">
        <v>7</v>
      </c>
      <c r="B9875" s="2">
        <v>44741.0</v>
      </c>
      <c r="C9875" s="3">
        <v>0.33113425925925927</v>
      </c>
      <c r="D9875" s="1">
        <v>13.001742</v>
      </c>
      <c r="E9875" s="1">
        <v>80.199435</v>
      </c>
      <c r="F9875" s="1">
        <v>805.0</v>
      </c>
      <c r="G9875" s="1">
        <v>41.0</v>
      </c>
    </row>
    <row r="9876">
      <c r="A9876" s="1" t="s">
        <v>8</v>
      </c>
      <c r="B9876" s="2">
        <v>44741.0</v>
      </c>
      <c r="C9876" s="3">
        <v>0.33113425925925927</v>
      </c>
      <c r="D9876" s="1">
        <v>12.983284</v>
      </c>
      <c r="E9876" s="1">
        <v>80.169871</v>
      </c>
      <c r="F9876" s="1">
        <v>5339.0</v>
      </c>
      <c r="G9876" s="1">
        <v>38.0</v>
      </c>
    </row>
    <row r="9877">
      <c r="A9877" s="1" t="s">
        <v>7</v>
      </c>
      <c r="B9877" s="2">
        <v>44741.0</v>
      </c>
      <c r="C9877" s="3">
        <v>0.3313425925925926</v>
      </c>
      <c r="D9877" s="1">
        <v>13.001917</v>
      </c>
      <c r="E9877" s="1">
        <v>80.196793</v>
      </c>
      <c r="F9877" s="1">
        <v>805.0</v>
      </c>
      <c r="G9877" s="1">
        <v>52.0</v>
      </c>
    </row>
    <row r="9878">
      <c r="A9878" s="1" t="s">
        <v>7</v>
      </c>
      <c r="B9878" s="2">
        <v>44741.0</v>
      </c>
      <c r="C9878" s="3">
        <v>0.33152777777777775</v>
      </c>
      <c r="D9878" s="1">
        <v>12.749418</v>
      </c>
      <c r="E9878" s="1">
        <v>79.997304</v>
      </c>
      <c r="F9878" s="1">
        <v>2846.0</v>
      </c>
      <c r="G9878" s="1">
        <v>58.0</v>
      </c>
    </row>
    <row r="9879">
      <c r="A9879" s="1" t="s">
        <v>7</v>
      </c>
      <c r="B9879" s="2">
        <v>44741.0</v>
      </c>
      <c r="C9879" s="3">
        <v>0.33175925925925925</v>
      </c>
      <c r="D9879" s="1">
        <v>12.998382</v>
      </c>
      <c r="E9879" s="1">
        <v>80.192169</v>
      </c>
      <c r="F9879" s="1">
        <v>805.0</v>
      </c>
      <c r="G9879" s="1">
        <v>57.0</v>
      </c>
    </row>
    <row r="9880">
      <c r="A9880" s="1" t="s">
        <v>7</v>
      </c>
      <c r="B9880" s="2">
        <v>44741.0</v>
      </c>
      <c r="C9880" s="3">
        <v>0.3318055555555556</v>
      </c>
      <c r="D9880" s="1">
        <v>12.749418</v>
      </c>
      <c r="E9880" s="1">
        <v>79.997304</v>
      </c>
      <c r="F9880" s="1">
        <v>2846.0</v>
      </c>
      <c r="G9880" s="1">
        <v>58.0</v>
      </c>
    </row>
    <row r="9881">
      <c r="A9881" s="1" t="s">
        <v>8</v>
      </c>
      <c r="B9881" s="2">
        <v>44741.0</v>
      </c>
      <c r="C9881" s="3">
        <v>0.3318055555555556</v>
      </c>
      <c r="D9881" s="1">
        <v>12.980095</v>
      </c>
      <c r="E9881" s="1">
        <v>80.163802</v>
      </c>
      <c r="F9881" s="1">
        <v>5339.0</v>
      </c>
      <c r="G9881" s="1">
        <v>43.0</v>
      </c>
    </row>
    <row r="9882">
      <c r="A9882" s="1" t="s">
        <v>8</v>
      </c>
      <c r="B9882" s="2">
        <v>44741.0</v>
      </c>
      <c r="C9882" s="3">
        <v>0.3319675925925926</v>
      </c>
      <c r="D9882" s="1">
        <v>12.996505</v>
      </c>
      <c r="E9882" s="1">
        <v>80.189895</v>
      </c>
      <c r="F9882" s="1">
        <v>805.0</v>
      </c>
      <c r="G9882" s="1">
        <v>58.0</v>
      </c>
    </row>
    <row r="9883">
      <c r="A9883" s="1" t="s">
        <v>8</v>
      </c>
      <c r="B9883" s="2">
        <v>44741.0</v>
      </c>
      <c r="C9883" s="3">
        <v>0.3320138888888889</v>
      </c>
      <c r="D9883" s="1">
        <v>12.996505</v>
      </c>
      <c r="E9883" s="1">
        <v>80.189895</v>
      </c>
      <c r="F9883" s="1">
        <v>805.0</v>
      </c>
      <c r="G9883" s="1">
        <v>58.0</v>
      </c>
    </row>
    <row r="9884">
      <c r="A9884" s="1" t="s">
        <v>8</v>
      </c>
      <c r="B9884" s="2">
        <v>44741.0</v>
      </c>
      <c r="C9884" s="3">
        <v>0.3320949074074074</v>
      </c>
      <c r="D9884" s="1">
        <v>12.995717</v>
      </c>
      <c r="E9884" s="1">
        <v>80.188967</v>
      </c>
      <c r="F9884" s="1">
        <v>805.0</v>
      </c>
      <c r="G9884" s="1">
        <v>36.0</v>
      </c>
    </row>
    <row r="9885">
      <c r="A9885" s="1" t="s">
        <v>7</v>
      </c>
      <c r="B9885" s="2">
        <v>44741.0</v>
      </c>
      <c r="C9885" s="3">
        <v>0.3321296296296296</v>
      </c>
      <c r="D9885" s="1">
        <v>12.755259</v>
      </c>
      <c r="E9885" s="1">
        <v>80.001253</v>
      </c>
      <c r="F9885" s="1">
        <v>2846.0</v>
      </c>
      <c r="G9885" s="1">
        <v>49.0</v>
      </c>
    </row>
    <row r="9886">
      <c r="A9886" s="1" t="s">
        <v>8</v>
      </c>
      <c r="B9886" s="2">
        <v>44741.0</v>
      </c>
      <c r="C9886" s="3">
        <v>0.33217592592592593</v>
      </c>
      <c r="D9886" s="1">
        <v>12.995717</v>
      </c>
      <c r="E9886" s="1">
        <v>80.188967</v>
      </c>
      <c r="F9886" s="1">
        <v>805.0</v>
      </c>
      <c r="G9886" s="1">
        <v>36.0</v>
      </c>
    </row>
    <row r="9887">
      <c r="A9887" s="1" t="s">
        <v>8</v>
      </c>
      <c r="B9887" s="2">
        <v>44741.0</v>
      </c>
      <c r="C9887" s="3">
        <v>0.332349537037037</v>
      </c>
      <c r="D9887" s="1">
        <v>12.99495</v>
      </c>
      <c r="E9887" s="1">
        <v>80.18748</v>
      </c>
      <c r="F9887" s="1">
        <v>805.0</v>
      </c>
      <c r="G9887" s="1">
        <v>33.0</v>
      </c>
    </row>
    <row r="9888">
      <c r="A9888" s="1" t="s">
        <v>8</v>
      </c>
      <c r="B9888" s="2">
        <v>44741.0</v>
      </c>
      <c r="C9888" s="3">
        <v>0.3323726851851852</v>
      </c>
      <c r="D9888" s="1">
        <v>12.757666</v>
      </c>
      <c r="E9888" s="1">
        <v>80.002397</v>
      </c>
      <c r="F9888" s="1">
        <v>2846.0</v>
      </c>
      <c r="G9888" s="1">
        <v>53.0</v>
      </c>
    </row>
    <row r="9889">
      <c r="A9889" s="1" t="s">
        <v>8</v>
      </c>
      <c r="B9889" s="2">
        <v>44741.0</v>
      </c>
      <c r="C9889" s="3">
        <v>0.33244212962962966</v>
      </c>
      <c r="D9889" s="1">
        <v>12.758887</v>
      </c>
      <c r="E9889" s="1">
        <v>80.002757</v>
      </c>
      <c r="F9889" s="1">
        <v>2846.0</v>
      </c>
      <c r="G9889" s="1">
        <v>44.0</v>
      </c>
    </row>
    <row r="9890">
      <c r="A9890" s="1" t="s">
        <v>8</v>
      </c>
      <c r="B9890" s="2">
        <v>44741.0</v>
      </c>
      <c r="C9890" s="3">
        <v>0.3325810185185185</v>
      </c>
      <c r="D9890" s="1">
        <v>12.759668</v>
      </c>
      <c r="E9890" s="1">
        <v>80.002989</v>
      </c>
      <c r="F9890" s="1">
        <v>2846.0</v>
      </c>
      <c r="G9890" s="1">
        <v>26.0</v>
      </c>
    </row>
    <row r="9891">
      <c r="A9891" s="1" t="s">
        <v>8</v>
      </c>
      <c r="B9891" s="2">
        <v>44741.0</v>
      </c>
      <c r="C9891" s="3">
        <v>0.3326388888888889</v>
      </c>
      <c r="D9891" s="1">
        <v>12.994109</v>
      </c>
      <c r="E9891" s="1">
        <v>80.185881</v>
      </c>
      <c r="F9891" s="1">
        <v>805.0</v>
      </c>
      <c r="G9891" s="1">
        <v>23.0</v>
      </c>
    </row>
    <row r="9892">
      <c r="A9892" s="1" t="s">
        <v>8</v>
      </c>
      <c r="B9892" s="2">
        <v>44741.0</v>
      </c>
      <c r="C9892" s="3">
        <v>0.3328587962962963</v>
      </c>
      <c r="D9892" s="1">
        <v>12.993404</v>
      </c>
      <c r="E9892" s="1">
        <v>80.184542</v>
      </c>
      <c r="F9892" s="1">
        <v>805.0</v>
      </c>
      <c r="G9892" s="1">
        <v>41.0</v>
      </c>
    </row>
    <row r="9893">
      <c r="A9893" s="1" t="s">
        <v>8</v>
      </c>
      <c r="B9893" s="2">
        <v>44741.0</v>
      </c>
      <c r="C9893" s="3">
        <v>0.33305555555555555</v>
      </c>
      <c r="D9893" s="1">
        <v>12.974089</v>
      </c>
      <c r="E9893" s="1">
        <v>80.154343</v>
      </c>
      <c r="F9893" s="1">
        <v>5339.0</v>
      </c>
      <c r="G9893" s="1">
        <v>23.0</v>
      </c>
    </row>
    <row r="9894">
      <c r="A9894" s="1" t="s">
        <v>8</v>
      </c>
      <c r="B9894" s="2">
        <v>44741.0</v>
      </c>
      <c r="C9894" s="3">
        <v>0.33305555555555555</v>
      </c>
      <c r="D9894" s="1">
        <v>12.974089</v>
      </c>
      <c r="E9894" s="1">
        <v>80.154343</v>
      </c>
      <c r="F9894" s="1">
        <v>5339.0</v>
      </c>
      <c r="G9894" s="1">
        <v>23.0</v>
      </c>
    </row>
    <row r="9895">
      <c r="A9895" s="1" t="s">
        <v>8</v>
      </c>
      <c r="B9895" s="2">
        <v>44741.0</v>
      </c>
      <c r="C9895" s="3">
        <v>0.33315972222222223</v>
      </c>
      <c r="D9895" s="1">
        <v>12.76108</v>
      </c>
      <c r="E9895" s="1">
        <v>80.003408</v>
      </c>
      <c r="F9895" s="1">
        <v>2846.0</v>
      </c>
      <c r="G9895" s="1">
        <v>22.0</v>
      </c>
    </row>
    <row r="9896">
      <c r="A9896" s="1" t="s">
        <v>8</v>
      </c>
      <c r="B9896" s="2">
        <v>44741.0</v>
      </c>
      <c r="C9896" s="3">
        <v>0.3332060185185185</v>
      </c>
      <c r="D9896" s="1">
        <v>12.973695</v>
      </c>
      <c r="E9896" s="1">
        <v>80.15376</v>
      </c>
      <c r="F9896" s="1">
        <v>5339.0</v>
      </c>
      <c r="G9896" s="1">
        <v>31.0</v>
      </c>
    </row>
    <row r="9897">
      <c r="A9897" s="1" t="s">
        <v>8</v>
      </c>
      <c r="B9897" s="2">
        <v>44741.0</v>
      </c>
      <c r="C9897" s="3">
        <v>0.3333333333333333</v>
      </c>
      <c r="D9897" s="1">
        <v>12.991097</v>
      </c>
      <c r="E9897" s="1">
        <v>80.181051</v>
      </c>
      <c r="F9897" s="1">
        <v>805.0</v>
      </c>
      <c r="G9897" s="1">
        <v>40.0</v>
      </c>
    </row>
    <row r="9898">
      <c r="A9898" s="1" t="s">
        <v>8</v>
      </c>
      <c r="B9898" s="2">
        <v>44741.0</v>
      </c>
      <c r="C9898" s="3">
        <v>0.3335532407407407</v>
      </c>
      <c r="D9898" s="1">
        <v>12.971922</v>
      </c>
      <c r="E9898" s="1">
        <v>80.151425</v>
      </c>
      <c r="F9898" s="1">
        <v>5339.0</v>
      </c>
      <c r="G9898" s="1">
        <v>32.0</v>
      </c>
    </row>
    <row r="9899">
      <c r="A9899" s="1" t="s">
        <v>8</v>
      </c>
      <c r="B9899" s="2">
        <v>44741.0</v>
      </c>
      <c r="C9899" s="3">
        <v>0.33425925925925926</v>
      </c>
      <c r="D9899" s="1">
        <v>12.987416</v>
      </c>
      <c r="E9899" s="1">
        <v>80.176225</v>
      </c>
      <c r="F9899" s="1">
        <v>805.0</v>
      </c>
      <c r="G9899" s="1">
        <v>36.0</v>
      </c>
    </row>
    <row r="9900">
      <c r="A9900" s="1" t="s">
        <v>7</v>
      </c>
      <c r="B9900" s="2">
        <v>44741.0</v>
      </c>
      <c r="C9900" s="3">
        <v>0.33439814814814817</v>
      </c>
      <c r="D9900" s="1">
        <v>12.986735</v>
      </c>
      <c r="E9900" s="1">
        <v>80.17528</v>
      </c>
      <c r="F9900" s="1">
        <v>805.0</v>
      </c>
      <c r="G9900" s="1">
        <v>44.0</v>
      </c>
    </row>
    <row r="9901">
      <c r="A9901" s="1" t="s">
        <v>8</v>
      </c>
      <c r="B9901" s="2">
        <v>44741.0</v>
      </c>
      <c r="C9901" s="3">
        <v>0.3358333333333333</v>
      </c>
      <c r="D9901" s="1">
        <v>12.959245</v>
      </c>
      <c r="E9901" s="1">
        <v>80.144855</v>
      </c>
      <c r="F9901" s="1">
        <v>5339.0</v>
      </c>
      <c r="G9901" s="1">
        <v>35.0</v>
      </c>
    </row>
    <row r="9902">
      <c r="A9902" s="1" t="s">
        <v>8</v>
      </c>
      <c r="B9902" s="2">
        <v>44741.0</v>
      </c>
      <c r="C9902" s="3">
        <v>0.3360185185185185</v>
      </c>
      <c r="D9902" s="1">
        <v>12.958413</v>
      </c>
      <c r="E9902" s="1">
        <v>80.144395</v>
      </c>
      <c r="F9902" s="1">
        <v>5339.0</v>
      </c>
      <c r="G9902" s="1">
        <v>37.0</v>
      </c>
    </row>
    <row r="9903">
      <c r="A9903" s="1" t="s">
        <v>8</v>
      </c>
      <c r="B9903" s="2">
        <v>44741.0</v>
      </c>
      <c r="C9903" s="3">
        <v>0.3361226851851852</v>
      </c>
      <c r="D9903" s="1">
        <v>12.979352</v>
      </c>
      <c r="E9903" s="1">
        <v>80.161987</v>
      </c>
      <c r="F9903" s="1">
        <v>805.0</v>
      </c>
      <c r="G9903" s="1">
        <v>41.0</v>
      </c>
    </row>
    <row r="9904">
      <c r="A9904" s="1" t="s">
        <v>8</v>
      </c>
      <c r="B9904" s="2">
        <v>44741.0</v>
      </c>
      <c r="C9904" s="3">
        <v>0.3362615740740741</v>
      </c>
      <c r="D9904" s="1">
        <v>12.979352</v>
      </c>
      <c r="E9904" s="1">
        <v>80.161987</v>
      </c>
      <c r="F9904" s="1">
        <v>805.0</v>
      </c>
      <c r="G9904" s="1">
        <v>41.0</v>
      </c>
    </row>
    <row r="9905">
      <c r="A9905" s="1" t="s">
        <v>8</v>
      </c>
      <c r="B9905" s="2">
        <v>44741.0</v>
      </c>
      <c r="C9905" s="3">
        <v>0.3363657407407407</v>
      </c>
      <c r="D9905" s="1">
        <v>12.97799</v>
      </c>
      <c r="E9905" s="1">
        <v>80.16008</v>
      </c>
      <c r="F9905" s="1">
        <v>805.0</v>
      </c>
      <c r="G9905" s="1">
        <v>48.0</v>
      </c>
    </row>
    <row r="9906">
      <c r="A9906" s="1" t="s">
        <v>7</v>
      </c>
      <c r="B9906" s="2">
        <v>44741.0</v>
      </c>
      <c r="C9906" s="3">
        <v>0.33640046296296294</v>
      </c>
      <c r="D9906" s="1">
        <v>12.791856</v>
      </c>
      <c r="E9906" s="1">
        <v>80.017987</v>
      </c>
      <c r="F9906" s="1">
        <v>2846.0</v>
      </c>
      <c r="G9906" s="1">
        <v>57.0</v>
      </c>
    </row>
    <row r="9907">
      <c r="A9907" s="1" t="s">
        <v>8</v>
      </c>
      <c r="B9907" s="2">
        <v>44741.0</v>
      </c>
      <c r="C9907" s="3">
        <v>0.3364814814814815</v>
      </c>
      <c r="D9907" s="1">
        <v>12.97731</v>
      </c>
      <c r="E9907" s="1">
        <v>80.159053</v>
      </c>
      <c r="F9907" s="1">
        <v>805.0</v>
      </c>
      <c r="G9907" s="1">
        <v>48.0</v>
      </c>
    </row>
    <row r="9908">
      <c r="A9908" s="1" t="s">
        <v>8</v>
      </c>
      <c r="B9908" s="2">
        <v>44741.0</v>
      </c>
      <c r="C9908" s="3">
        <v>0.3368287037037037</v>
      </c>
      <c r="D9908" s="1">
        <v>12.975273</v>
      </c>
      <c r="E9908" s="1">
        <v>80.155964</v>
      </c>
      <c r="F9908" s="1">
        <v>805.0</v>
      </c>
      <c r="G9908" s="1">
        <v>50.0</v>
      </c>
    </row>
    <row r="9909">
      <c r="A9909" s="1" t="s">
        <v>8</v>
      </c>
      <c r="B9909" s="2">
        <v>44741.0</v>
      </c>
      <c r="C9909" s="3">
        <v>0.3370023148148148</v>
      </c>
      <c r="D9909" s="1">
        <v>12.973955</v>
      </c>
      <c r="E9909" s="1">
        <v>80.15411</v>
      </c>
      <c r="F9909" s="1">
        <v>805.0</v>
      </c>
      <c r="G9909" s="1">
        <v>46.0</v>
      </c>
    </row>
    <row r="9910">
      <c r="A9910" s="1" t="s">
        <v>7</v>
      </c>
      <c r="B9910" s="2">
        <v>44741.0</v>
      </c>
      <c r="C9910" s="3">
        <v>0.3372800925925926</v>
      </c>
      <c r="D9910" s="1">
        <v>12.803772</v>
      </c>
      <c r="E9910" s="1">
        <v>80.025792</v>
      </c>
      <c r="F9910" s="1">
        <v>2846.0</v>
      </c>
      <c r="G9910" s="1">
        <v>57.0</v>
      </c>
    </row>
    <row r="9911">
      <c r="A9911" s="1" t="s">
        <v>8</v>
      </c>
      <c r="B9911" s="2">
        <v>44741.0</v>
      </c>
      <c r="C9911" s="3">
        <v>0.3373263888888889</v>
      </c>
      <c r="D9911" s="1">
        <v>12.803772</v>
      </c>
      <c r="E9911" s="1">
        <v>80.025792</v>
      </c>
      <c r="F9911" s="1">
        <v>2846.0</v>
      </c>
      <c r="G9911" s="1">
        <v>57.0</v>
      </c>
    </row>
    <row r="9912">
      <c r="A9912" s="1" t="s">
        <v>8</v>
      </c>
      <c r="B9912" s="2">
        <v>44741.0</v>
      </c>
      <c r="C9912" s="3">
        <v>0.33743055555555557</v>
      </c>
      <c r="D9912" s="1">
        <v>12.97189</v>
      </c>
      <c r="E9912" s="1">
        <v>80.151325</v>
      </c>
      <c r="F9912" s="1">
        <v>805.0</v>
      </c>
      <c r="G9912" s="1">
        <v>42.0</v>
      </c>
    </row>
    <row r="9913">
      <c r="A9913" s="1" t="s">
        <v>8</v>
      </c>
      <c r="B9913" s="2">
        <v>44741.0</v>
      </c>
      <c r="C9913" s="3">
        <v>0.33747685185185183</v>
      </c>
      <c r="D9913" s="1">
        <v>12.970844</v>
      </c>
      <c r="E9913" s="1">
        <v>80.150743</v>
      </c>
      <c r="F9913" s="1">
        <v>805.0</v>
      </c>
      <c r="G9913" s="1">
        <v>48.0</v>
      </c>
    </row>
    <row r="9914">
      <c r="A9914" s="1" t="s">
        <v>7</v>
      </c>
      <c r="B9914" s="2">
        <v>44741.0</v>
      </c>
      <c r="C9914" s="3">
        <v>0.33806712962962965</v>
      </c>
      <c r="D9914" s="1">
        <v>12.809088</v>
      </c>
      <c r="E9914" s="1">
        <v>80.029208</v>
      </c>
      <c r="F9914" s="1">
        <v>2846.0</v>
      </c>
      <c r="G9914" s="1">
        <v>48.0</v>
      </c>
    </row>
    <row r="9915">
      <c r="A9915" s="1" t="s">
        <v>7</v>
      </c>
      <c r="B9915" s="2">
        <v>44741.0</v>
      </c>
      <c r="C9915" s="3">
        <v>0.33880787037037036</v>
      </c>
      <c r="D9915" s="1">
        <v>12.815113</v>
      </c>
      <c r="E9915" s="1">
        <v>80.033188</v>
      </c>
      <c r="F9915" s="1">
        <v>2846.0</v>
      </c>
      <c r="G9915" s="1">
        <v>58.0</v>
      </c>
    </row>
    <row r="9916">
      <c r="A9916" s="1" t="s">
        <v>8</v>
      </c>
      <c r="B9916" s="2">
        <v>44741.0</v>
      </c>
      <c r="C9916" s="3">
        <v>0.3390162037037037</v>
      </c>
      <c r="D9916" s="1">
        <v>12.821086</v>
      </c>
      <c r="E9916" s="1">
        <v>80.037373</v>
      </c>
      <c r="F9916" s="1">
        <v>2846.0</v>
      </c>
      <c r="G9916" s="1">
        <v>53.0</v>
      </c>
    </row>
    <row r="9917">
      <c r="A9917" s="1" t="s">
        <v>7</v>
      </c>
      <c r="B9917" s="2">
        <v>44741.0</v>
      </c>
      <c r="C9917" s="3">
        <v>0.33921296296296294</v>
      </c>
      <c r="D9917" s="1">
        <v>12.959758</v>
      </c>
      <c r="E9917" s="1">
        <v>80.145099</v>
      </c>
      <c r="F9917" s="1">
        <v>805.0</v>
      </c>
      <c r="G9917" s="1">
        <v>54.0</v>
      </c>
    </row>
    <row r="9918">
      <c r="A9918" s="1" t="s">
        <v>7</v>
      </c>
      <c r="B9918" s="2">
        <v>44741.0</v>
      </c>
      <c r="C9918" s="3">
        <v>0.3395138888888889</v>
      </c>
      <c r="D9918" s="1">
        <v>12.825826</v>
      </c>
      <c r="E9918" s="1">
        <v>80.040727</v>
      </c>
      <c r="F9918" s="1">
        <v>2846.0</v>
      </c>
      <c r="G9918" s="1">
        <v>55.0</v>
      </c>
    </row>
    <row r="9919">
      <c r="A9919" s="1" t="s">
        <v>8</v>
      </c>
      <c r="B9919" s="2">
        <v>44741.0</v>
      </c>
      <c r="C9919" s="3">
        <v>0.3396412037037037</v>
      </c>
      <c r="D9919" s="1">
        <v>12.825826</v>
      </c>
      <c r="E9919" s="1">
        <v>80.040727</v>
      </c>
      <c r="F9919" s="1">
        <v>2846.0</v>
      </c>
      <c r="G9919" s="1">
        <v>55.0</v>
      </c>
    </row>
    <row r="9920">
      <c r="A9920" s="1" t="s">
        <v>8</v>
      </c>
      <c r="B9920" s="2">
        <v>44741.0</v>
      </c>
      <c r="C9920" s="3">
        <v>0.3397222222222222</v>
      </c>
      <c r="D9920" s="1">
        <v>12.956681</v>
      </c>
      <c r="E9920" s="1">
        <v>80.143366</v>
      </c>
      <c r="F9920" s="1">
        <v>805.0</v>
      </c>
      <c r="G9920" s="1">
        <v>31.0</v>
      </c>
    </row>
    <row r="9921">
      <c r="A9921" s="1" t="s">
        <v>8</v>
      </c>
      <c r="B9921" s="2">
        <v>44741.0</v>
      </c>
      <c r="C9921" s="3">
        <v>0.33993055555555557</v>
      </c>
      <c r="D9921" s="1">
        <v>12.94472</v>
      </c>
      <c r="E9921" s="1">
        <v>80.135156</v>
      </c>
      <c r="F9921" s="1">
        <v>5339.0</v>
      </c>
      <c r="G9921" s="1">
        <v>50.0</v>
      </c>
    </row>
    <row r="9922">
      <c r="A9922" s="1" t="s">
        <v>7</v>
      </c>
      <c r="B9922" s="2">
        <v>44741.0</v>
      </c>
      <c r="C9922" s="3">
        <v>0.34047453703703706</v>
      </c>
      <c r="D9922" s="1">
        <v>12.83171</v>
      </c>
      <c r="E9922" s="1">
        <v>80.046734</v>
      </c>
      <c r="F9922" s="1">
        <v>2846.0</v>
      </c>
      <c r="G9922" s="1">
        <v>49.0</v>
      </c>
    </row>
    <row r="9923">
      <c r="A9923" s="1" t="s">
        <v>8</v>
      </c>
      <c r="B9923" s="2">
        <v>44741.0</v>
      </c>
      <c r="C9923" s="3">
        <v>0.34063657407407405</v>
      </c>
      <c r="D9923" s="1">
        <v>12.942229</v>
      </c>
      <c r="E9923" s="1">
        <v>80.132876</v>
      </c>
      <c r="F9923" s="1">
        <v>5339.0</v>
      </c>
      <c r="G9923" s="1">
        <v>26.0</v>
      </c>
    </row>
    <row r="9924">
      <c r="A9924" s="1" t="s">
        <v>8</v>
      </c>
      <c r="B9924" s="2">
        <v>44741.0</v>
      </c>
      <c r="C9924" s="3">
        <v>0.3411689814814815</v>
      </c>
      <c r="D9924" s="1">
        <v>12.938435</v>
      </c>
      <c r="E9924" s="1">
        <v>80.129192</v>
      </c>
      <c r="F9924" s="1">
        <v>5339.0</v>
      </c>
      <c r="G9924" s="1">
        <v>46.0</v>
      </c>
    </row>
    <row r="9925">
      <c r="A9925" s="1" t="s">
        <v>7</v>
      </c>
      <c r="B9925" s="2">
        <v>44741.0</v>
      </c>
      <c r="C9925" s="3">
        <v>0.34119212962962964</v>
      </c>
      <c r="D9925" s="1">
        <v>12.836426</v>
      </c>
      <c r="E9925" s="1">
        <v>80.051647</v>
      </c>
      <c r="F9925" s="1">
        <v>2846.0</v>
      </c>
      <c r="G9925" s="1">
        <v>59.0</v>
      </c>
    </row>
    <row r="9926">
      <c r="A9926" s="1" t="s">
        <v>8</v>
      </c>
      <c r="B9926" s="2">
        <v>44741.0</v>
      </c>
      <c r="C9926" s="3">
        <v>0.3413888888888889</v>
      </c>
      <c r="D9926" s="1">
        <v>12.840404</v>
      </c>
      <c r="E9926" s="1">
        <v>80.055805</v>
      </c>
      <c r="F9926" s="1">
        <v>2846.0</v>
      </c>
      <c r="G9926" s="1">
        <v>48.0</v>
      </c>
    </row>
    <row r="9927">
      <c r="A9927" s="1" t="s">
        <v>9</v>
      </c>
      <c r="B9927" s="2">
        <v>44741.0</v>
      </c>
      <c r="C9927" s="3">
        <v>0.3417824074074074</v>
      </c>
      <c r="D9927" s="1">
        <v>12.935704</v>
      </c>
      <c r="E9927" s="1">
        <v>80.126829</v>
      </c>
      <c r="F9927" s="1">
        <v>5339.0</v>
      </c>
      <c r="G9927" s="1">
        <v>31.0</v>
      </c>
    </row>
    <row r="9928">
      <c r="A9928" s="1" t="s">
        <v>8</v>
      </c>
      <c r="B9928" s="2">
        <v>44741.0</v>
      </c>
      <c r="C9928" s="3">
        <v>0.3423263888888889</v>
      </c>
      <c r="D9928" s="1">
        <v>12.949891</v>
      </c>
      <c r="E9928" s="1">
        <v>80.139093</v>
      </c>
      <c r="F9928" s="1">
        <v>805.0</v>
      </c>
      <c r="G9928" s="1">
        <v>36.0</v>
      </c>
    </row>
    <row r="9929">
      <c r="A9929" s="1" t="s">
        <v>8</v>
      </c>
      <c r="B9929" s="2">
        <v>44741.0</v>
      </c>
      <c r="C9929" s="3">
        <v>0.3424189814814815</v>
      </c>
      <c r="D9929" s="1">
        <v>12.931389</v>
      </c>
      <c r="E9929" s="1">
        <v>80.12262</v>
      </c>
      <c r="F9929" s="1">
        <v>5339.0</v>
      </c>
      <c r="G9929" s="1">
        <v>30.0</v>
      </c>
    </row>
    <row r="9930">
      <c r="A9930" s="1" t="s">
        <v>8</v>
      </c>
      <c r="B9930" s="2">
        <v>44741.0</v>
      </c>
      <c r="C9930" s="3">
        <v>0.34260416666666665</v>
      </c>
      <c r="D9930" s="1">
        <v>12.930846</v>
      </c>
      <c r="E9930" s="1">
        <v>80.122054</v>
      </c>
      <c r="F9930" s="1">
        <v>5339.0</v>
      </c>
      <c r="G9930" s="1">
        <v>31.0</v>
      </c>
    </row>
    <row r="9931">
      <c r="A9931" s="1" t="s">
        <v>8</v>
      </c>
      <c r="B9931" s="2">
        <v>44741.0</v>
      </c>
      <c r="C9931" s="3">
        <v>0.3428703703703704</v>
      </c>
      <c r="D9931" s="1">
        <v>12.92894</v>
      </c>
      <c r="E9931" s="1">
        <v>80.120132</v>
      </c>
      <c r="F9931" s="1">
        <v>5339.0</v>
      </c>
      <c r="G9931" s="1">
        <v>45.0</v>
      </c>
    </row>
    <row r="9932">
      <c r="A9932" s="1" t="s">
        <v>8</v>
      </c>
      <c r="B9932" s="2">
        <v>44741.0</v>
      </c>
      <c r="C9932" s="3">
        <v>0.34302083333333333</v>
      </c>
      <c r="D9932" s="1">
        <v>12.847477</v>
      </c>
      <c r="E9932" s="1">
        <v>80.062774</v>
      </c>
      <c r="F9932" s="1">
        <v>2846.0</v>
      </c>
      <c r="G9932" s="1">
        <v>44.0</v>
      </c>
    </row>
    <row r="9933">
      <c r="A9933" s="1" t="s">
        <v>8</v>
      </c>
      <c r="B9933" s="2">
        <v>44741.0</v>
      </c>
      <c r="C9933" s="3">
        <v>0.3430787037037037</v>
      </c>
      <c r="D9933" s="1">
        <v>12.928135</v>
      </c>
      <c r="E9933" s="1">
        <v>80.119322</v>
      </c>
      <c r="F9933" s="1">
        <v>5339.0</v>
      </c>
      <c r="G9933" s="1">
        <v>42.0</v>
      </c>
    </row>
    <row r="9934">
      <c r="A9934" s="1" t="s">
        <v>7</v>
      </c>
      <c r="B9934" s="2">
        <v>44741.0</v>
      </c>
      <c r="C9934" s="3">
        <v>0.34325231481481483</v>
      </c>
      <c r="D9934" s="1">
        <v>12.943368</v>
      </c>
      <c r="E9934" s="1">
        <v>80.134026</v>
      </c>
      <c r="F9934" s="1">
        <v>805.0</v>
      </c>
      <c r="G9934" s="1">
        <v>47.0</v>
      </c>
    </row>
    <row r="9935">
      <c r="A9935" s="1" t="s">
        <v>8</v>
      </c>
      <c r="B9935" s="2">
        <v>44741.0</v>
      </c>
      <c r="C9935" s="3">
        <v>0.34349537037037037</v>
      </c>
      <c r="D9935" s="1">
        <v>12.850057</v>
      </c>
      <c r="E9935" s="1">
        <v>80.06466</v>
      </c>
      <c r="F9935" s="1">
        <v>2846.0</v>
      </c>
      <c r="G9935" s="1">
        <v>24.0</v>
      </c>
    </row>
    <row r="9936">
      <c r="A9936" s="1" t="s">
        <v>8</v>
      </c>
      <c r="B9936" s="2">
        <v>44741.0</v>
      </c>
      <c r="C9936" s="3">
        <v>0.3435185185185185</v>
      </c>
      <c r="D9936" s="1">
        <v>12.924906</v>
      </c>
      <c r="E9936" s="1">
        <v>80.11611</v>
      </c>
      <c r="F9936" s="1">
        <v>5339.0</v>
      </c>
      <c r="G9936" s="1">
        <v>52.0</v>
      </c>
    </row>
    <row r="9937">
      <c r="A9937" s="1" t="s">
        <v>8</v>
      </c>
      <c r="B9937" s="2">
        <v>44741.0</v>
      </c>
      <c r="C9937" s="3">
        <v>0.3436458333333333</v>
      </c>
      <c r="D9937" s="1">
        <v>12.940342</v>
      </c>
      <c r="E9937" s="1">
        <v>80.130885</v>
      </c>
      <c r="F9937" s="1">
        <v>805.0</v>
      </c>
      <c r="G9937" s="1">
        <v>57.0</v>
      </c>
    </row>
    <row r="9938">
      <c r="A9938" s="1" t="s">
        <v>8</v>
      </c>
      <c r="B9938" s="2">
        <v>44741.0</v>
      </c>
      <c r="C9938" s="3">
        <v>0.3436689814814815</v>
      </c>
      <c r="D9938" s="1">
        <v>12.851553</v>
      </c>
      <c r="E9938" s="1">
        <v>80.06574</v>
      </c>
      <c r="F9938" s="1">
        <v>2846.0</v>
      </c>
      <c r="G9938" s="1">
        <v>40.0</v>
      </c>
    </row>
    <row r="9939">
      <c r="A9939" s="1" t="s">
        <v>7</v>
      </c>
      <c r="B9939" s="2">
        <v>44741.0</v>
      </c>
      <c r="C9939" s="3">
        <v>0.34368055555555554</v>
      </c>
      <c r="D9939" s="1">
        <v>12.923171</v>
      </c>
      <c r="E9939" s="1">
        <v>80.114396</v>
      </c>
      <c r="F9939" s="1">
        <v>5339.0</v>
      </c>
      <c r="G9939" s="1">
        <v>48.0</v>
      </c>
    </row>
    <row r="9940">
      <c r="A9940" s="1" t="s">
        <v>7</v>
      </c>
      <c r="B9940" s="2">
        <v>44741.0</v>
      </c>
      <c r="C9940" s="3">
        <v>0.3440856481481481</v>
      </c>
      <c r="D9940" s="1">
        <v>12.920519</v>
      </c>
      <c r="E9940" s="1">
        <v>80.111634</v>
      </c>
      <c r="F9940" s="1">
        <v>5339.0</v>
      </c>
      <c r="G9940" s="1">
        <v>52.0</v>
      </c>
    </row>
    <row r="9941">
      <c r="A9941" s="1" t="s">
        <v>8</v>
      </c>
      <c r="B9941" s="2">
        <v>44741.0</v>
      </c>
      <c r="C9941" s="3">
        <v>0.34412037037037035</v>
      </c>
      <c r="D9941" s="1">
        <v>12.852398</v>
      </c>
      <c r="E9941" s="1">
        <v>80.066354</v>
      </c>
      <c r="F9941" s="1">
        <v>2846.0</v>
      </c>
      <c r="G9941" s="1">
        <v>37.0</v>
      </c>
    </row>
    <row r="9942">
      <c r="A9942" s="1" t="s">
        <v>7</v>
      </c>
      <c r="B9942" s="2">
        <v>44741.0</v>
      </c>
      <c r="C9942" s="3">
        <v>0.3443287037037037</v>
      </c>
      <c r="D9942" s="1">
        <v>12.856854</v>
      </c>
      <c r="E9942" s="1">
        <v>80.069734</v>
      </c>
      <c r="F9942" s="1">
        <v>2846.0</v>
      </c>
      <c r="G9942" s="1">
        <v>57.0</v>
      </c>
    </row>
    <row r="9943">
      <c r="A9943" s="1" t="s">
        <v>8</v>
      </c>
      <c r="B9943" s="2">
        <v>44741.0</v>
      </c>
      <c r="C9943" s="3">
        <v>0.3446180555555556</v>
      </c>
      <c r="D9943" s="1">
        <v>12.934919</v>
      </c>
      <c r="E9943" s="1">
        <v>80.126076</v>
      </c>
      <c r="F9943" s="1">
        <v>805.0</v>
      </c>
      <c r="G9943" s="1">
        <v>48.0</v>
      </c>
    </row>
    <row r="9944">
      <c r="A9944" s="1" t="s">
        <v>8</v>
      </c>
      <c r="B9944" s="2">
        <v>44741.0</v>
      </c>
      <c r="C9944" s="3">
        <v>0.3446412037037037</v>
      </c>
      <c r="D9944" s="1">
        <v>12.859186</v>
      </c>
      <c r="E9944" s="1">
        <v>80.071503</v>
      </c>
      <c r="F9944" s="1">
        <v>2846.0</v>
      </c>
      <c r="G9944" s="1">
        <v>57.0</v>
      </c>
    </row>
    <row r="9945">
      <c r="A9945" s="1" t="s">
        <v>7</v>
      </c>
      <c r="B9945" s="2">
        <v>44741.0</v>
      </c>
      <c r="C9945" s="3">
        <v>0.3446875</v>
      </c>
      <c r="D9945" s="1">
        <v>12.86036</v>
      </c>
      <c r="E9945" s="1">
        <v>80.072304</v>
      </c>
      <c r="F9945" s="1">
        <v>2846.0</v>
      </c>
      <c r="G9945" s="1">
        <v>55.0</v>
      </c>
    </row>
    <row r="9946">
      <c r="A9946" s="1" t="s">
        <v>8</v>
      </c>
      <c r="B9946" s="2">
        <v>44741.0</v>
      </c>
      <c r="C9946" s="3">
        <v>0.3447222222222222</v>
      </c>
      <c r="D9946" s="1">
        <v>12.934919</v>
      </c>
      <c r="E9946" s="1">
        <v>80.126076</v>
      </c>
      <c r="F9946" s="1">
        <v>805.0</v>
      </c>
      <c r="G9946" s="1">
        <v>48.0</v>
      </c>
    </row>
    <row r="9947">
      <c r="A9947" s="1" t="s">
        <v>8</v>
      </c>
      <c r="B9947" s="2">
        <v>44741.0</v>
      </c>
      <c r="C9947" s="3">
        <v>0.34479166666666666</v>
      </c>
      <c r="D9947" s="1">
        <v>12.86036</v>
      </c>
      <c r="E9947" s="1">
        <v>80.072304</v>
      </c>
      <c r="F9947" s="1">
        <v>2846.0</v>
      </c>
      <c r="G9947" s="1">
        <v>55.0</v>
      </c>
    </row>
    <row r="9948">
      <c r="A9948" s="1" t="s">
        <v>8</v>
      </c>
      <c r="B9948" s="2">
        <v>44741.0</v>
      </c>
      <c r="C9948" s="3">
        <v>0.34524305555555557</v>
      </c>
      <c r="D9948" s="1">
        <v>12.915052</v>
      </c>
      <c r="E9948" s="1">
        <v>80.103602</v>
      </c>
      <c r="F9948" s="1">
        <v>5339.0</v>
      </c>
      <c r="G9948" s="1">
        <v>54.0</v>
      </c>
    </row>
    <row r="9949">
      <c r="A9949" s="1" t="s">
        <v>8</v>
      </c>
      <c r="B9949" s="2">
        <v>44741.0</v>
      </c>
      <c r="C9949" s="3">
        <v>0.3453125</v>
      </c>
      <c r="D9949" s="1">
        <v>12.914329</v>
      </c>
      <c r="E9949" s="1">
        <v>80.102481</v>
      </c>
      <c r="F9949" s="1">
        <v>5339.0</v>
      </c>
      <c r="G9949" s="1">
        <v>50.0</v>
      </c>
    </row>
    <row r="9950">
      <c r="A9950" s="1" t="s">
        <v>8</v>
      </c>
      <c r="B9950" s="2">
        <v>44741.0</v>
      </c>
      <c r="C9950" s="3">
        <v>0.34546296296296297</v>
      </c>
      <c r="D9950" s="1">
        <v>12.913484</v>
      </c>
      <c r="E9950" s="1">
        <v>80.10167</v>
      </c>
      <c r="F9950" s="1">
        <v>5339.0</v>
      </c>
      <c r="G9950" s="1">
        <v>44.0</v>
      </c>
    </row>
    <row r="9951">
      <c r="A9951" s="1" t="s">
        <v>10</v>
      </c>
      <c r="B9951" s="2">
        <v>44741.0</v>
      </c>
      <c r="C9951" s="3">
        <v>0.34554398148148147</v>
      </c>
      <c r="D9951" s="1">
        <v>12.863287</v>
      </c>
      <c r="E9951" s="1">
        <v>80.07379</v>
      </c>
      <c r="F9951" s="1">
        <v>2846.0</v>
      </c>
      <c r="G9951" s="1">
        <v>0.0</v>
      </c>
    </row>
    <row r="9952">
      <c r="A9952" s="1" t="s">
        <v>8</v>
      </c>
      <c r="B9952" s="2">
        <v>44741.0</v>
      </c>
      <c r="C9952" s="3">
        <v>0.3456828703703704</v>
      </c>
      <c r="D9952" s="1">
        <v>12.930415</v>
      </c>
      <c r="E9952" s="1">
        <v>80.12168</v>
      </c>
      <c r="F9952" s="1">
        <v>805.0</v>
      </c>
      <c r="G9952" s="1">
        <v>35.0</v>
      </c>
    </row>
    <row r="9953">
      <c r="A9953" s="1" t="s">
        <v>7</v>
      </c>
      <c r="B9953" s="2">
        <v>44741.0</v>
      </c>
      <c r="C9953" s="3">
        <v>0.3462037037037037</v>
      </c>
      <c r="D9953" s="1">
        <v>12.867597</v>
      </c>
      <c r="E9953" s="1">
        <v>80.075488</v>
      </c>
      <c r="F9953" s="1">
        <v>2846.0</v>
      </c>
      <c r="G9953" s="1">
        <v>53.0</v>
      </c>
    </row>
    <row r="9954">
      <c r="A9954" s="1" t="s">
        <v>8</v>
      </c>
      <c r="B9954" s="2">
        <v>44741.0</v>
      </c>
      <c r="C9954" s="3">
        <v>0.34627314814814814</v>
      </c>
      <c r="D9954" s="1">
        <v>12.927357</v>
      </c>
      <c r="E9954" s="1">
        <v>80.118502</v>
      </c>
      <c r="F9954" s="1">
        <v>805.0</v>
      </c>
      <c r="G9954" s="1">
        <v>22.0</v>
      </c>
    </row>
    <row r="9955">
      <c r="A9955" s="1" t="s">
        <v>8</v>
      </c>
      <c r="B9955" s="2">
        <v>44741.0</v>
      </c>
      <c r="C9955" s="3">
        <v>0.34628472222222223</v>
      </c>
      <c r="D9955" s="1">
        <v>12.927357</v>
      </c>
      <c r="E9955" s="1">
        <v>80.118502</v>
      </c>
      <c r="F9955" s="1">
        <v>805.0</v>
      </c>
      <c r="G9955" s="1">
        <v>22.0</v>
      </c>
    </row>
    <row r="9956">
      <c r="A9956" s="1" t="s">
        <v>7</v>
      </c>
      <c r="B9956" s="2">
        <v>44741.0</v>
      </c>
      <c r="C9956" s="3">
        <v>0.34640046296296295</v>
      </c>
      <c r="D9956" s="1">
        <v>12.87028</v>
      </c>
      <c r="E9956" s="1">
        <v>80.076533</v>
      </c>
      <c r="F9956" s="1">
        <v>2846.0</v>
      </c>
      <c r="G9956" s="1">
        <v>58.0</v>
      </c>
    </row>
    <row r="9957">
      <c r="A9957" s="1" t="s">
        <v>7</v>
      </c>
      <c r="B9957" s="2">
        <v>44741.0</v>
      </c>
      <c r="C9957" s="3">
        <v>0.34664351851851855</v>
      </c>
      <c r="D9957" s="1">
        <v>12.872982</v>
      </c>
      <c r="E9957" s="1">
        <v>80.077592</v>
      </c>
      <c r="F9957" s="1">
        <v>2846.0</v>
      </c>
      <c r="G9957" s="1">
        <v>55.0</v>
      </c>
    </row>
    <row r="9958">
      <c r="A9958" s="1" t="s">
        <v>7</v>
      </c>
      <c r="B9958" s="2">
        <v>44741.0</v>
      </c>
      <c r="C9958" s="3">
        <v>0.3467939814814815</v>
      </c>
      <c r="D9958" s="1">
        <v>12.874189</v>
      </c>
      <c r="E9958" s="1">
        <v>80.078064</v>
      </c>
      <c r="F9958" s="1">
        <v>2846.0</v>
      </c>
      <c r="G9958" s="1">
        <v>47.0</v>
      </c>
    </row>
    <row r="9959">
      <c r="A9959" s="1" t="s">
        <v>7</v>
      </c>
      <c r="B9959" s="2">
        <v>44741.0</v>
      </c>
      <c r="C9959" s="3">
        <v>0.3468287037037037</v>
      </c>
      <c r="D9959" s="1">
        <v>12.874189</v>
      </c>
      <c r="E9959" s="1">
        <v>80.078064</v>
      </c>
      <c r="F9959" s="1">
        <v>2846.0</v>
      </c>
      <c r="G9959" s="1">
        <v>47.0</v>
      </c>
    </row>
    <row r="9960">
      <c r="A9960" s="1" t="s">
        <v>7</v>
      </c>
      <c r="B9960" s="2">
        <v>44741.0</v>
      </c>
      <c r="C9960" s="3">
        <v>0.34686342592592595</v>
      </c>
      <c r="D9960" s="1">
        <v>12.875364</v>
      </c>
      <c r="E9960" s="1">
        <v>80.078534</v>
      </c>
      <c r="F9960" s="1">
        <v>2846.0</v>
      </c>
      <c r="G9960" s="1">
        <v>52.0</v>
      </c>
    </row>
    <row r="9961">
      <c r="A9961" s="1" t="s">
        <v>8</v>
      </c>
      <c r="B9961" s="2">
        <v>44741.0</v>
      </c>
      <c r="C9961" s="3">
        <v>0.34695601851851854</v>
      </c>
      <c r="D9961" s="1">
        <v>12.875364</v>
      </c>
      <c r="E9961" s="1">
        <v>80.078534</v>
      </c>
      <c r="F9961" s="1">
        <v>2846.0</v>
      </c>
      <c r="G9961" s="1">
        <v>52.0</v>
      </c>
    </row>
    <row r="9962">
      <c r="A9962" s="1" t="s">
        <v>8</v>
      </c>
      <c r="B9962" s="2">
        <v>44741.0</v>
      </c>
      <c r="C9962" s="3">
        <v>0.34703703703703703</v>
      </c>
      <c r="D9962" s="1">
        <v>12.87654</v>
      </c>
      <c r="E9962" s="1">
        <v>80.078934</v>
      </c>
      <c r="F9962" s="1">
        <v>2846.0</v>
      </c>
      <c r="G9962" s="1">
        <v>49.0</v>
      </c>
    </row>
    <row r="9963">
      <c r="A9963" s="1" t="s">
        <v>8</v>
      </c>
      <c r="B9963" s="2">
        <v>44741.0</v>
      </c>
      <c r="C9963" s="3">
        <v>0.3471412037037037</v>
      </c>
      <c r="D9963" s="1">
        <v>12.877689</v>
      </c>
      <c r="E9963" s="1">
        <v>80.079364</v>
      </c>
      <c r="F9963" s="1">
        <v>2846.0</v>
      </c>
      <c r="G9963" s="1">
        <v>43.0</v>
      </c>
    </row>
    <row r="9964">
      <c r="A9964" s="1" t="s">
        <v>7</v>
      </c>
      <c r="B9964" s="2">
        <v>44741.0</v>
      </c>
      <c r="C9964" s="3">
        <v>0.34725694444444444</v>
      </c>
      <c r="D9964" s="1">
        <v>12.927357</v>
      </c>
      <c r="E9964" s="1">
        <v>80.118502</v>
      </c>
      <c r="F9964" s="1">
        <v>805.0</v>
      </c>
      <c r="G9964" s="1">
        <v>22.0</v>
      </c>
    </row>
    <row r="9965">
      <c r="A9965" s="1" t="s">
        <v>8</v>
      </c>
      <c r="B9965" s="2">
        <v>44741.0</v>
      </c>
      <c r="C9965" s="3">
        <v>0.34738425925925925</v>
      </c>
      <c r="D9965" s="1">
        <v>12.919602</v>
      </c>
      <c r="E9965" s="1">
        <v>80.110571</v>
      </c>
      <c r="F9965" s="1">
        <v>805.0</v>
      </c>
      <c r="G9965" s="1">
        <v>56.0</v>
      </c>
    </row>
    <row r="9966">
      <c r="A9966" s="1" t="s">
        <v>9</v>
      </c>
      <c r="B9966" s="2">
        <v>44741.0</v>
      </c>
      <c r="C9966" s="3">
        <v>0.3476736111111111</v>
      </c>
      <c r="D9966" s="1">
        <v>12.90425</v>
      </c>
      <c r="E9966" s="1">
        <v>80.094865</v>
      </c>
      <c r="F9966" s="1">
        <v>5339.0</v>
      </c>
      <c r="G9966" s="1">
        <v>32.0</v>
      </c>
    </row>
    <row r="9967">
      <c r="A9967" s="1" t="s">
        <v>9</v>
      </c>
      <c r="B9967" s="2">
        <v>44741.0</v>
      </c>
      <c r="C9967" s="3">
        <v>0.34778935185185184</v>
      </c>
      <c r="D9967" s="1">
        <v>12.903468</v>
      </c>
      <c r="E9967" s="1">
        <v>80.094213</v>
      </c>
      <c r="F9967" s="1">
        <v>5339.0</v>
      </c>
      <c r="G9967" s="1">
        <v>40.0</v>
      </c>
    </row>
    <row r="9968">
      <c r="A9968" s="1" t="s">
        <v>8</v>
      </c>
      <c r="B9968" s="2">
        <v>44741.0</v>
      </c>
      <c r="C9968" s="3">
        <v>0.34802083333333333</v>
      </c>
      <c r="D9968" s="1">
        <v>12.917104</v>
      </c>
      <c r="E9968" s="1">
        <v>80.107378</v>
      </c>
      <c r="F9968" s="1">
        <v>805.0</v>
      </c>
      <c r="G9968" s="1">
        <v>16.0</v>
      </c>
    </row>
    <row r="9969">
      <c r="A9969" s="1" t="s">
        <v>8</v>
      </c>
      <c r="B9969" s="2">
        <v>44741.0</v>
      </c>
      <c r="C9969" s="3">
        <v>0.34802083333333333</v>
      </c>
      <c r="D9969" s="1">
        <v>12.901682</v>
      </c>
      <c r="E9969" s="1">
        <v>80.092831</v>
      </c>
      <c r="F9969" s="1">
        <v>5339.0</v>
      </c>
      <c r="G9969" s="1">
        <v>49.0</v>
      </c>
    </row>
    <row r="9970">
      <c r="A9970" s="1" t="s">
        <v>8</v>
      </c>
      <c r="B9970" s="2">
        <v>44741.0</v>
      </c>
      <c r="C9970" s="3">
        <v>0.34803240740740743</v>
      </c>
      <c r="D9970" s="1">
        <v>12.917104</v>
      </c>
      <c r="E9970" s="1">
        <v>80.107378</v>
      </c>
      <c r="F9970" s="1">
        <v>805.0</v>
      </c>
      <c r="G9970" s="1">
        <v>16.0</v>
      </c>
    </row>
    <row r="9971">
      <c r="A9971" s="1" t="s">
        <v>8</v>
      </c>
      <c r="B9971" s="2">
        <v>44741.0</v>
      </c>
      <c r="C9971" s="3">
        <v>0.3481828703703704</v>
      </c>
      <c r="D9971" s="1">
        <v>12.916538</v>
      </c>
      <c r="E9971" s="1">
        <v>80.106303</v>
      </c>
      <c r="F9971" s="1">
        <v>805.0</v>
      </c>
      <c r="G9971" s="1">
        <v>44.0</v>
      </c>
    </row>
    <row r="9972">
      <c r="A9972" s="1" t="s">
        <v>8</v>
      </c>
      <c r="B9972" s="2">
        <v>44741.0</v>
      </c>
      <c r="C9972" s="3">
        <v>0.3484027777777778</v>
      </c>
      <c r="D9972" s="1">
        <v>12.898977</v>
      </c>
      <c r="E9972" s="1">
        <v>80.090809</v>
      </c>
      <c r="F9972" s="1">
        <v>5339.0</v>
      </c>
      <c r="G9972" s="1">
        <v>59.0</v>
      </c>
    </row>
    <row r="9973">
      <c r="A9973" s="1" t="s">
        <v>8</v>
      </c>
      <c r="B9973" s="2">
        <v>44741.0</v>
      </c>
      <c r="C9973" s="3">
        <v>0.34847222222222224</v>
      </c>
      <c r="D9973" s="1">
        <v>12.915559</v>
      </c>
      <c r="E9973" s="1">
        <v>80.104525</v>
      </c>
      <c r="F9973" s="1">
        <v>805.0</v>
      </c>
      <c r="G9973" s="1">
        <v>57.0</v>
      </c>
    </row>
    <row r="9974">
      <c r="A9974" s="1" t="s">
        <v>7</v>
      </c>
      <c r="B9974" s="2">
        <v>44741.0</v>
      </c>
      <c r="C9974" s="3">
        <v>0.34881944444444446</v>
      </c>
      <c r="D9974" s="1">
        <v>12.89539</v>
      </c>
      <c r="E9974" s="1">
        <v>80.088068</v>
      </c>
      <c r="F9974" s="1">
        <v>5339.0</v>
      </c>
      <c r="G9974" s="1">
        <v>57.0</v>
      </c>
    </row>
    <row r="9975">
      <c r="A9975" s="1" t="s">
        <v>7</v>
      </c>
      <c r="B9975" s="2">
        <v>44741.0</v>
      </c>
      <c r="C9975" s="3">
        <v>0.34903935185185186</v>
      </c>
      <c r="D9975" s="1">
        <v>12.893051</v>
      </c>
      <c r="E9975" s="1">
        <v>80.086268</v>
      </c>
      <c r="F9975" s="1">
        <v>5339.0</v>
      </c>
      <c r="G9975" s="1">
        <v>58.0</v>
      </c>
    </row>
    <row r="9976">
      <c r="A9976" s="1" t="s">
        <v>8</v>
      </c>
      <c r="B9976" s="2">
        <v>44741.0</v>
      </c>
      <c r="C9976" s="3">
        <v>0.3492476851851852</v>
      </c>
      <c r="D9976" s="1">
        <v>12.909275</v>
      </c>
      <c r="E9976" s="1">
        <v>80.099128</v>
      </c>
      <c r="F9976" s="1">
        <v>805.0</v>
      </c>
      <c r="G9976" s="1">
        <v>53.0</v>
      </c>
    </row>
    <row r="9977">
      <c r="A9977" s="1" t="s">
        <v>7</v>
      </c>
      <c r="B9977" s="2">
        <v>44741.0</v>
      </c>
      <c r="C9977" s="3">
        <v>0.34925925925925927</v>
      </c>
      <c r="D9977" s="1">
        <v>12.890521</v>
      </c>
      <c r="E9977" s="1">
        <v>80.084803</v>
      </c>
      <c r="F9977" s="1">
        <v>5339.0</v>
      </c>
      <c r="G9977" s="1">
        <v>58.0</v>
      </c>
    </row>
    <row r="9978">
      <c r="A9978" s="1" t="s">
        <v>8</v>
      </c>
      <c r="B9978" s="2">
        <v>44741.0</v>
      </c>
      <c r="C9978" s="3">
        <v>0.34931712962962963</v>
      </c>
      <c r="D9978" s="1">
        <v>12.908061</v>
      </c>
      <c r="E9978" s="1">
        <v>80.097738</v>
      </c>
      <c r="F9978" s="1">
        <v>805.0</v>
      </c>
      <c r="G9978" s="1">
        <v>44.0</v>
      </c>
    </row>
    <row r="9979">
      <c r="A9979" s="1" t="s">
        <v>7</v>
      </c>
      <c r="B9979" s="2">
        <v>44741.0</v>
      </c>
      <c r="C9979" s="3">
        <v>0.34953703703703703</v>
      </c>
      <c r="D9979" s="1">
        <v>12.887802</v>
      </c>
      <c r="E9979" s="1">
        <v>80.083686</v>
      </c>
      <c r="F9979" s="1">
        <v>5339.0</v>
      </c>
      <c r="G9979" s="1">
        <v>57.0</v>
      </c>
    </row>
    <row r="9980">
      <c r="A9980" s="1" t="s">
        <v>8</v>
      </c>
      <c r="B9980" s="2">
        <v>44741.0</v>
      </c>
      <c r="C9980" s="3">
        <v>0.3495949074074074</v>
      </c>
      <c r="D9980" s="1">
        <v>12.907094</v>
      </c>
      <c r="E9980" s="1">
        <v>80.097003</v>
      </c>
      <c r="F9980" s="1">
        <v>805.0</v>
      </c>
      <c r="G9980" s="1">
        <v>14.0</v>
      </c>
    </row>
    <row r="9981">
      <c r="A9981" s="1" t="s">
        <v>8</v>
      </c>
      <c r="B9981" s="2">
        <v>44741.0</v>
      </c>
      <c r="C9981" s="3">
        <v>0.3495949074074074</v>
      </c>
      <c r="D9981" s="1">
        <v>12.907094</v>
      </c>
      <c r="E9981" s="1">
        <v>80.097003</v>
      </c>
      <c r="F9981" s="1">
        <v>805.0</v>
      </c>
      <c r="G9981" s="1">
        <v>14.0</v>
      </c>
    </row>
    <row r="9982">
      <c r="A9982" s="1" t="s">
        <v>7</v>
      </c>
      <c r="B9982" s="2">
        <v>44741.0</v>
      </c>
      <c r="C9982" s="3">
        <v>0.3497337962962963</v>
      </c>
      <c r="D9982" s="1">
        <v>12.886458</v>
      </c>
      <c r="E9982" s="1">
        <v>80.083135</v>
      </c>
      <c r="F9982" s="1">
        <v>5339.0</v>
      </c>
      <c r="G9982" s="1">
        <v>57.0</v>
      </c>
    </row>
    <row r="9983">
      <c r="A9983" s="1" t="s">
        <v>8</v>
      </c>
      <c r="B9983" s="2">
        <v>44741.0</v>
      </c>
      <c r="C9983" s="3">
        <v>0.3514583333333333</v>
      </c>
      <c r="D9983" s="1">
        <v>12.878891</v>
      </c>
      <c r="E9983" s="1">
        <v>80.080997</v>
      </c>
      <c r="F9983" s="1">
        <v>5339.0</v>
      </c>
      <c r="G9983" s="1">
        <v>22.0</v>
      </c>
    </row>
    <row r="9984">
      <c r="A9984" s="1" t="s">
        <v>8</v>
      </c>
      <c r="B9984" s="2">
        <v>44741.0</v>
      </c>
      <c r="C9984" s="3">
        <v>0.3514699074074074</v>
      </c>
      <c r="D9984" s="1">
        <v>12.878891</v>
      </c>
      <c r="E9984" s="1">
        <v>80.080997</v>
      </c>
      <c r="F9984" s="1">
        <v>5339.0</v>
      </c>
      <c r="G9984" s="1">
        <v>22.0</v>
      </c>
    </row>
    <row r="9985">
      <c r="A9985" s="1" t="s">
        <v>8</v>
      </c>
      <c r="B9985" s="2">
        <v>44741.0</v>
      </c>
      <c r="C9985" s="3">
        <v>0.3526851851851852</v>
      </c>
      <c r="D9985" s="1">
        <v>12.889896</v>
      </c>
      <c r="E9985" s="1">
        <v>80.084566</v>
      </c>
      <c r="F9985" s="1">
        <v>805.0</v>
      </c>
      <c r="G9985" s="1">
        <v>45.0</v>
      </c>
    </row>
    <row r="9986">
      <c r="A9986" s="1" t="s">
        <v>7</v>
      </c>
      <c r="B9986" s="2">
        <v>44741.0</v>
      </c>
      <c r="C9986" s="3">
        <v>0.35283564814814816</v>
      </c>
      <c r="D9986" s="1">
        <v>12.886598</v>
      </c>
      <c r="E9986" s="1">
        <v>80.08322</v>
      </c>
      <c r="F9986" s="1">
        <v>805.0</v>
      </c>
      <c r="G9986" s="1">
        <v>59.0</v>
      </c>
    </row>
    <row r="9987">
      <c r="A9987" s="1" t="s">
        <v>8</v>
      </c>
      <c r="B9987" s="2">
        <v>44741.0</v>
      </c>
      <c r="C9987" s="3">
        <v>0.3534259259259259</v>
      </c>
      <c r="D9987" s="1">
        <v>12.881131</v>
      </c>
      <c r="E9987" s="1">
        <v>80.081088</v>
      </c>
      <c r="F9987" s="1">
        <v>805.0</v>
      </c>
      <c r="G9987" s="1">
        <v>38.0</v>
      </c>
    </row>
    <row r="9988">
      <c r="A9988" s="1" t="s">
        <v>10</v>
      </c>
      <c r="B9988" s="2">
        <v>44741.0</v>
      </c>
      <c r="C9988" s="3">
        <v>0.35520833333333335</v>
      </c>
      <c r="D9988" s="1">
        <v>12.876372</v>
      </c>
      <c r="E9988" s="1">
        <v>80.084234</v>
      </c>
      <c r="F9988" s="1">
        <v>805.0</v>
      </c>
      <c r="G9988" s="1">
        <v>19.0</v>
      </c>
    </row>
    <row r="9989">
      <c r="A9989" s="1" t="s">
        <v>10</v>
      </c>
      <c r="B9989" s="2">
        <v>44741.0</v>
      </c>
      <c r="C9989" s="3">
        <v>0.6369328703703704</v>
      </c>
      <c r="D9989" s="1">
        <v>12.876063</v>
      </c>
      <c r="E9989" s="1">
        <v>80.083349</v>
      </c>
      <c r="F9989" s="1">
        <v>5339.0</v>
      </c>
      <c r="G9989" s="1">
        <v>12.0</v>
      </c>
    </row>
    <row r="9990">
      <c r="A9990" s="1" t="s">
        <v>8</v>
      </c>
      <c r="B9990" s="2">
        <v>44741.0</v>
      </c>
      <c r="C9990" s="3">
        <v>0.6721990740740741</v>
      </c>
      <c r="D9990" s="1">
        <v>12.877916</v>
      </c>
      <c r="E9990" s="1">
        <v>80.083497</v>
      </c>
      <c r="F9990" s="1">
        <v>805.0</v>
      </c>
      <c r="G9990" s="1">
        <v>45.0</v>
      </c>
    </row>
    <row r="9991">
      <c r="A9991" s="1" t="s">
        <v>7</v>
      </c>
      <c r="B9991" s="2">
        <v>44741.0</v>
      </c>
      <c r="C9991" s="3">
        <v>0.6754398148148149</v>
      </c>
      <c r="D9991" s="1">
        <v>12.877015</v>
      </c>
      <c r="E9991" s="1">
        <v>80.07955</v>
      </c>
      <c r="F9991" s="1">
        <v>2846.0</v>
      </c>
      <c r="G9991" s="1">
        <v>47.0</v>
      </c>
    </row>
    <row r="9992">
      <c r="A9992" s="1" t="s">
        <v>8</v>
      </c>
      <c r="B9992" s="2">
        <v>44741.0</v>
      </c>
      <c r="C9992" s="3">
        <v>0.6759490740740741</v>
      </c>
      <c r="D9992" s="1">
        <v>12.881903</v>
      </c>
      <c r="E9992" s="1">
        <v>80.080869</v>
      </c>
      <c r="F9992" s="1">
        <v>805.0</v>
      </c>
      <c r="G9992" s="1">
        <v>45.0</v>
      </c>
    </row>
    <row r="9993">
      <c r="A9993" s="1" t="s">
        <v>8</v>
      </c>
      <c r="B9993" s="2">
        <v>44741.0</v>
      </c>
      <c r="C9993" s="3">
        <v>0.6759953703703704</v>
      </c>
      <c r="D9993" s="1">
        <v>12.871679</v>
      </c>
      <c r="E9993" s="1">
        <v>80.077327</v>
      </c>
      <c r="F9993" s="1">
        <v>2846.0</v>
      </c>
      <c r="G9993" s="1">
        <v>57.0</v>
      </c>
    </row>
    <row r="9994">
      <c r="A9994" s="1" t="s">
        <v>7</v>
      </c>
      <c r="B9994" s="2">
        <v>44741.0</v>
      </c>
      <c r="C9994" s="3">
        <v>0.6765740740740741</v>
      </c>
      <c r="D9994" s="1">
        <v>12.887564</v>
      </c>
      <c r="E9994" s="1">
        <v>80.083485</v>
      </c>
      <c r="F9994" s="1">
        <v>805.0</v>
      </c>
      <c r="G9994" s="1">
        <v>56.0</v>
      </c>
    </row>
    <row r="9995">
      <c r="A9995" s="1" t="s">
        <v>7</v>
      </c>
      <c r="B9995" s="2">
        <v>44741.0</v>
      </c>
      <c r="C9995" s="3">
        <v>0.6767592592592593</v>
      </c>
      <c r="D9995" s="1">
        <v>12.890264</v>
      </c>
      <c r="E9995" s="1">
        <v>80.084596</v>
      </c>
      <c r="F9995" s="1">
        <v>805.0</v>
      </c>
      <c r="G9995" s="1">
        <v>58.0</v>
      </c>
    </row>
    <row r="9996">
      <c r="A9996" s="1" t="s">
        <v>8</v>
      </c>
      <c r="B9996" s="2">
        <v>44741.0</v>
      </c>
      <c r="C9996" s="3">
        <v>0.6767939814814815</v>
      </c>
      <c r="D9996" s="1">
        <v>12.863905</v>
      </c>
      <c r="E9996" s="1">
        <v>80.074336</v>
      </c>
      <c r="F9996" s="1">
        <v>2846.0</v>
      </c>
      <c r="G9996" s="1">
        <v>49.0</v>
      </c>
    </row>
    <row r="9997">
      <c r="A9997" s="1" t="s">
        <v>7</v>
      </c>
      <c r="B9997" s="2">
        <v>44741.0</v>
      </c>
      <c r="C9997" s="3">
        <v>0.6769328703703704</v>
      </c>
      <c r="D9997" s="1">
        <v>12.89159</v>
      </c>
      <c r="E9997" s="1">
        <v>80.085191</v>
      </c>
      <c r="F9997" s="1">
        <v>805.0</v>
      </c>
      <c r="G9997" s="1">
        <v>58.0</v>
      </c>
    </row>
    <row r="9998">
      <c r="A9998" s="1" t="s">
        <v>8</v>
      </c>
      <c r="B9998" s="2">
        <v>44741.0</v>
      </c>
      <c r="C9998" s="3">
        <v>0.6778472222222223</v>
      </c>
      <c r="D9998" s="1">
        <v>12.860005</v>
      </c>
      <c r="E9998" s="1">
        <v>80.072353</v>
      </c>
      <c r="F9998" s="1">
        <v>2846.0</v>
      </c>
      <c r="G9998" s="1">
        <v>21.0</v>
      </c>
    </row>
    <row r="9999">
      <c r="A9999" s="1" t="s">
        <v>8</v>
      </c>
      <c r="B9999" s="2">
        <v>44741.0</v>
      </c>
      <c r="C9999" s="3">
        <v>0.6781712962962962</v>
      </c>
      <c r="D9999" s="1">
        <v>12.85797</v>
      </c>
      <c r="E9999" s="1">
        <v>80.070886</v>
      </c>
      <c r="F9999" s="1">
        <v>2846.0</v>
      </c>
      <c r="G9999" s="1">
        <v>43.0</v>
      </c>
    </row>
    <row r="10000">
      <c r="A10000" s="1" t="s">
        <v>8</v>
      </c>
      <c r="B10000" s="2">
        <v>44741.0</v>
      </c>
      <c r="C10000" s="3">
        <v>0.6782175925925926</v>
      </c>
      <c r="D10000" s="1">
        <v>12.905368</v>
      </c>
      <c r="E10000" s="1">
        <v>80.095375</v>
      </c>
      <c r="F10000" s="1">
        <v>805.0</v>
      </c>
      <c r="G10000" s="1">
        <v>52.0</v>
      </c>
    </row>
    <row r="10001">
      <c r="A10001" s="1" t="s">
        <v>8</v>
      </c>
      <c r="B10001" s="2">
        <v>44741.0</v>
      </c>
      <c r="C10001" s="3">
        <v>0.6783217592592593</v>
      </c>
      <c r="D10001" s="1">
        <v>12.905368</v>
      </c>
      <c r="E10001" s="1">
        <v>80.095375</v>
      </c>
      <c r="F10001" s="1">
        <v>805.0</v>
      </c>
      <c r="G10001" s="1">
        <v>52.0</v>
      </c>
    </row>
    <row r="10002">
      <c r="A10002" s="1" t="s">
        <v>8</v>
      </c>
      <c r="B10002" s="2">
        <v>44741.0</v>
      </c>
      <c r="C10002" s="3">
        <v>0.6786226851851852</v>
      </c>
      <c r="D10002" s="1">
        <v>12.85463</v>
      </c>
      <c r="E10002" s="1">
        <v>80.068354</v>
      </c>
      <c r="F10002" s="1">
        <v>2846.0</v>
      </c>
      <c r="G10002" s="1">
        <v>41.0</v>
      </c>
    </row>
    <row r="10003">
      <c r="A10003" s="1" t="s">
        <v>8</v>
      </c>
      <c r="B10003" s="2">
        <v>44741.0</v>
      </c>
      <c r="C10003" s="3">
        <v>0.67875</v>
      </c>
      <c r="D10003" s="1">
        <v>12.853706</v>
      </c>
      <c r="E10003" s="1">
        <v>80.067674</v>
      </c>
      <c r="F10003" s="1">
        <v>2846.0</v>
      </c>
      <c r="G10003" s="1">
        <v>49.0</v>
      </c>
    </row>
    <row r="10004">
      <c r="A10004" s="1" t="s">
        <v>7</v>
      </c>
      <c r="B10004" s="2">
        <v>44741.0</v>
      </c>
      <c r="C10004" s="3">
        <v>0.6787615740740741</v>
      </c>
      <c r="D10004" s="1">
        <v>12.89368</v>
      </c>
      <c r="E10004" s="1">
        <v>80.08662</v>
      </c>
      <c r="F10004" s="1">
        <v>5339.0</v>
      </c>
      <c r="G10004" s="1">
        <v>55.0</v>
      </c>
    </row>
    <row r="10005">
      <c r="A10005" s="1" t="s">
        <v>8</v>
      </c>
      <c r="B10005" s="2">
        <v>44741.0</v>
      </c>
      <c r="C10005" s="3">
        <v>0.6789814814814815</v>
      </c>
      <c r="D10005" s="1">
        <v>12.907564</v>
      </c>
      <c r="E10005" s="1">
        <v>80.097022</v>
      </c>
      <c r="F10005" s="1">
        <v>805.0</v>
      </c>
      <c r="G10005" s="1">
        <v>55.0</v>
      </c>
    </row>
    <row r="10006">
      <c r="A10006" s="1" t="s">
        <v>7</v>
      </c>
      <c r="B10006" s="2">
        <v>44741.0</v>
      </c>
      <c r="C10006" s="3">
        <v>0.6791550925925925</v>
      </c>
      <c r="D10006" s="1">
        <v>12.849222</v>
      </c>
      <c r="E10006" s="1">
        <v>80.064406</v>
      </c>
      <c r="F10006" s="1">
        <v>2846.0</v>
      </c>
      <c r="G10006" s="1">
        <v>57.0</v>
      </c>
    </row>
    <row r="10007">
      <c r="A10007" s="1" t="s">
        <v>8</v>
      </c>
      <c r="B10007" s="2">
        <v>44741.0</v>
      </c>
      <c r="C10007" s="3">
        <v>0.6797800925925926</v>
      </c>
      <c r="D10007" s="1">
        <v>12.914162</v>
      </c>
      <c r="E10007" s="1">
        <v>80.101635</v>
      </c>
      <c r="F10007" s="1">
        <v>805.0</v>
      </c>
      <c r="G10007" s="1">
        <v>46.0</v>
      </c>
    </row>
    <row r="10008">
      <c r="A10008" s="1" t="s">
        <v>8</v>
      </c>
      <c r="B10008" s="2">
        <v>44741.0</v>
      </c>
      <c r="C10008" s="3">
        <v>0.6799884259259259</v>
      </c>
      <c r="D10008" s="1">
        <v>12.915636</v>
      </c>
      <c r="E10008" s="1">
        <v>80.103231</v>
      </c>
      <c r="F10008" s="1">
        <v>805.0</v>
      </c>
      <c r="G10008" s="1">
        <v>56.0</v>
      </c>
    </row>
    <row r="10009">
      <c r="A10009" s="1" t="s">
        <v>8</v>
      </c>
      <c r="B10009" s="2">
        <v>44741.0</v>
      </c>
      <c r="C10009" s="3">
        <v>0.6800347222222223</v>
      </c>
      <c r="D10009" s="1">
        <v>12.916078</v>
      </c>
      <c r="E10009" s="1">
        <v>80.105379</v>
      </c>
      <c r="F10009" s="1">
        <v>805.0</v>
      </c>
      <c r="G10009" s="1">
        <v>54.0</v>
      </c>
    </row>
    <row r="10010">
      <c r="A10010" s="1" t="s">
        <v>8</v>
      </c>
      <c r="B10010" s="2">
        <v>44741.0</v>
      </c>
      <c r="C10010" s="3">
        <v>0.6804513888888889</v>
      </c>
      <c r="D10010" s="1">
        <v>12.917292</v>
      </c>
      <c r="E10010" s="1">
        <v>80.107637</v>
      </c>
      <c r="F10010" s="1">
        <v>805.0</v>
      </c>
      <c r="G10010" s="1">
        <v>38.0</v>
      </c>
    </row>
    <row r="10011">
      <c r="A10011" s="1" t="s">
        <v>8</v>
      </c>
      <c r="B10011" s="2">
        <v>44741.0</v>
      </c>
      <c r="C10011" s="3">
        <v>0.6806597222222223</v>
      </c>
      <c r="D10011" s="1">
        <v>12.841798</v>
      </c>
      <c r="E10011" s="1">
        <v>80.057671</v>
      </c>
      <c r="F10011" s="1">
        <v>2846.0</v>
      </c>
      <c r="G10011" s="1">
        <v>49.0</v>
      </c>
    </row>
    <row r="10012">
      <c r="A10012" s="1" t="s">
        <v>8</v>
      </c>
      <c r="B10012" s="2">
        <v>44741.0</v>
      </c>
      <c r="C10012" s="3">
        <v>0.6806712962962963</v>
      </c>
      <c r="D10012" s="1">
        <v>12.841798</v>
      </c>
      <c r="E10012" s="1">
        <v>80.057671</v>
      </c>
      <c r="F10012" s="1">
        <v>2846.0</v>
      </c>
      <c r="G10012" s="1">
        <v>49.0</v>
      </c>
    </row>
    <row r="10013">
      <c r="A10013" s="1" t="s">
        <v>8</v>
      </c>
      <c r="B10013" s="2">
        <v>44741.0</v>
      </c>
      <c r="C10013" s="3">
        <v>0.6808564814814815</v>
      </c>
      <c r="D10013" s="1">
        <v>12.91945</v>
      </c>
      <c r="E10013" s="1">
        <v>80.110343</v>
      </c>
      <c r="F10013" s="1">
        <v>805.0</v>
      </c>
      <c r="G10013" s="1">
        <v>46.0</v>
      </c>
    </row>
    <row r="10014">
      <c r="A10014" s="1" t="s">
        <v>8</v>
      </c>
      <c r="B10014" s="2">
        <v>44741.0</v>
      </c>
      <c r="C10014" s="3">
        <v>0.6810300925925926</v>
      </c>
      <c r="D10014" s="1">
        <v>12.920714</v>
      </c>
      <c r="E10014" s="1">
        <v>80.111785</v>
      </c>
      <c r="F10014" s="1">
        <v>805.0</v>
      </c>
      <c r="G10014" s="1">
        <v>45.0</v>
      </c>
    </row>
    <row r="10015">
      <c r="A10015" s="1" t="s">
        <v>8</v>
      </c>
      <c r="B10015" s="2">
        <v>44741.0</v>
      </c>
      <c r="C10015" s="3">
        <v>0.6811111111111111</v>
      </c>
      <c r="D10015" s="1">
        <v>12.909707</v>
      </c>
      <c r="E10015" s="1">
        <v>80.099645</v>
      </c>
      <c r="F10015" s="1">
        <v>5339.0</v>
      </c>
      <c r="G10015" s="1">
        <v>35.0</v>
      </c>
    </row>
    <row r="10016">
      <c r="A10016" s="1" t="s">
        <v>8</v>
      </c>
      <c r="B10016" s="2">
        <v>44741.0</v>
      </c>
      <c r="C10016" s="3">
        <v>0.6812384259259259</v>
      </c>
      <c r="D10016" s="1">
        <v>12.910242</v>
      </c>
      <c r="E10016" s="1">
        <v>80.100533</v>
      </c>
      <c r="F10016" s="1">
        <v>5339.0</v>
      </c>
      <c r="G10016" s="1">
        <v>35.0</v>
      </c>
    </row>
    <row r="10017">
      <c r="A10017" s="1" t="s">
        <v>8</v>
      </c>
      <c r="B10017" s="2">
        <v>44741.0</v>
      </c>
      <c r="C10017" s="3">
        <v>0.6812962962962963</v>
      </c>
      <c r="D10017" s="1">
        <v>12.910242</v>
      </c>
      <c r="E10017" s="1">
        <v>80.100533</v>
      </c>
      <c r="F10017" s="1">
        <v>5339.0</v>
      </c>
      <c r="G10017" s="1">
        <v>35.0</v>
      </c>
    </row>
    <row r="10018">
      <c r="A10018" s="1" t="s">
        <v>7</v>
      </c>
      <c r="B10018" s="2">
        <v>44741.0</v>
      </c>
      <c r="C10018" s="3">
        <v>0.6814467592592592</v>
      </c>
      <c r="D10018" s="1">
        <v>12.923043</v>
      </c>
      <c r="E10018" s="1">
        <v>80.114162</v>
      </c>
      <c r="F10018" s="1">
        <v>805.0</v>
      </c>
      <c r="G10018" s="1">
        <v>26.0</v>
      </c>
    </row>
    <row r="10019">
      <c r="A10019" s="1" t="s">
        <v>8</v>
      </c>
      <c r="B10019" s="2">
        <v>44741.0</v>
      </c>
      <c r="C10019" s="3">
        <v>0.6814699074074074</v>
      </c>
      <c r="D10019" s="1">
        <v>12.923742</v>
      </c>
      <c r="E10019" s="1">
        <v>80.114841</v>
      </c>
      <c r="F10019" s="1">
        <v>805.0</v>
      </c>
      <c r="G10019" s="1">
        <v>37.0</v>
      </c>
    </row>
    <row r="10020">
      <c r="A10020" s="1" t="s">
        <v>8</v>
      </c>
      <c r="B10020" s="2">
        <v>44741.0</v>
      </c>
      <c r="C10020" s="3">
        <v>0.6816087962962963</v>
      </c>
      <c r="D10020" s="1">
        <v>12.923742</v>
      </c>
      <c r="E10020" s="1">
        <v>80.114841</v>
      </c>
      <c r="F10020" s="1">
        <v>805.0</v>
      </c>
      <c r="G10020" s="1">
        <v>37.0</v>
      </c>
    </row>
    <row r="10021">
      <c r="A10021" s="1" t="s">
        <v>7</v>
      </c>
      <c r="B10021" s="2">
        <v>44741.0</v>
      </c>
      <c r="C10021" s="3">
        <v>0.6817824074074074</v>
      </c>
      <c r="D10021" s="1">
        <v>12.832899</v>
      </c>
      <c r="E10021" s="1">
        <v>80.048243</v>
      </c>
      <c r="F10021" s="1">
        <v>2846.0</v>
      </c>
      <c r="G10021" s="1">
        <v>57.0</v>
      </c>
    </row>
    <row r="10022">
      <c r="A10022" s="1" t="s">
        <v>7</v>
      </c>
      <c r="B10022" s="2">
        <v>44741.0</v>
      </c>
      <c r="C10022" s="3">
        <v>0.6819560185185185</v>
      </c>
      <c r="D10022" s="1">
        <v>12.915646</v>
      </c>
      <c r="E10022" s="1">
        <v>80.103656</v>
      </c>
      <c r="F10022" s="1">
        <v>5339.0</v>
      </c>
      <c r="G10022" s="1">
        <v>55.0</v>
      </c>
    </row>
    <row r="10023">
      <c r="A10023" s="1" t="s">
        <v>8</v>
      </c>
      <c r="B10023" s="2">
        <v>44741.0</v>
      </c>
      <c r="C10023" s="3">
        <v>0.6819907407407407</v>
      </c>
      <c r="D10023" s="1">
        <v>12.92709</v>
      </c>
      <c r="E10023" s="1">
        <v>80.118214</v>
      </c>
      <c r="F10023" s="1">
        <v>805.0</v>
      </c>
      <c r="G10023" s="1">
        <v>39.0</v>
      </c>
    </row>
    <row r="10024">
      <c r="A10024" s="1" t="s">
        <v>7</v>
      </c>
      <c r="B10024" s="2">
        <v>44741.0</v>
      </c>
      <c r="C10024" s="3">
        <v>0.6823032407407408</v>
      </c>
      <c r="D10024" s="1">
        <v>12.827908</v>
      </c>
      <c r="E10024" s="1">
        <v>80.042981</v>
      </c>
      <c r="F10024" s="1">
        <v>2846.0</v>
      </c>
      <c r="G10024" s="1">
        <v>57.0</v>
      </c>
    </row>
    <row r="10025">
      <c r="A10025" s="1" t="s">
        <v>8</v>
      </c>
      <c r="B10025" s="2">
        <v>44741.0</v>
      </c>
      <c r="C10025" s="3">
        <v>0.6825925925925926</v>
      </c>
      <c r="D10025" s="1">
        <v>12.929798</v>
      </c>
      <c r="E10025" s="1">
        <v>80.120845</v>
      </c>
      <c r="F10025" s="1">
        <v>805.0</v>
      </c>
      <c r="G10025" s="1">
        <v>21.0</v>
      </c>
    </row>
    <row r="10026">
      <c r="A10026" s="1" t="s">
        <v>7</v>
      </c>
      <c r="B10026" s="2">
        <v>44741.0</v>
      </c>
      <c r="C10026" s="3">
        <v>0.6827546296296296</v>
      </c>
      <c r="D10026" s="1">
        <v>12.824255</v>
      </c>
      <c r="E10026" s="1">
        <v>80.03984</v>
      </c>
      <c r="F10026" s="1">
        <v>2846.0</v>
      </c>
      <c r="G10026" s="1">
        <v>46.0</v>
      </c>
    </row>
    <row r="10027">
      <c r="A10027" s="1" t="s">
        <v>8</v>
      </c>
      <c r="B10027" s="2">
        <v>44741.0</v>
      </c>
      <c r="C10027" s="3">
        <v>0.6828240740740741</v>
      </c>
      <c r="D10027" s="1">
        <v>12.824255</v>
      </c>
      <c r="E10027" s="1">
        <v>80.03984</v>
      </c>
      <c r="F10027" s="1">
        <v>2846.0</v>
      </c>
      <c r="G10027" s="1">
        <v>46.0</v>
      </c>
    </row>
    <row r="10028">
      <c r="A10028" s="1" t="s">
        <v>8</v>
      </c>
      <c r="B10028" s="2">
        <v>44741.0</v>
      </c>
      <c r="C10028" s="3">
        <v>0.6828472222222223</v>
      </c>
      <c r="D10028" s="1">
        <v>12.930585</v>
      </c>
      <c r="E10028" s="1">
        <v>80.121692</v>
      </c>
      <c r="F10028" s="1">
        <v>805.0</v>
      </c>
      <c r="G10028" s="1">
        <v>42.0</v>
      </c>
    </row>
    <row r="10029">
      <c r="A10029" s="1" t="s">
        <v>8</v>
      </c>
      <c r="B10029" s="2">
        <v>44741.0</v>
      </c>
      <c r="C10029" s="3">
        <v>0.6829050925925926</v>
      </c>
      <c r="D10029" s="1">
        <v>12.931552</v>
      </c>
      <c r="E10029" s="1">
        <v>80.122598</v>
      </c>
      <c r="F10029" s="1">
        <v>805.0</v>
      </c>
      <c r="G10029" s="1">
        <v>23.0</v>
      </c>
    </row>
    <row r="10030">
      <c r="A10030" s="1" t="s">
        <v>9</v>
      </c>
      <c r="B10030" s="2">
        <v>44741.0</v>
      </c>
      <c r="C10030" s="3">
        <v>0.6834606481481481</v>
      </c>
      <c r="D10030" s="1">
        <v>12.934599</v>
      </c>
      <c r="E10030" s="1">
        <v>80.125702</v>
      </c>
      <c r="F10030" s="1">
        <v>805.0</v>
      </c>
      <c r="G10030" s="1">
        <v>15.0</v>
      </c>
    </row>
    <row r="10031">
      <c r="A10031" s="1" t="s">
        <v>8</v>
      </c>
      <c r="B10031" s="2">
        <v>44741.0</v>
      </c>
      <c r="C10031" s="3">
        <v>0.6835416666666667</v>
      </c>
      <c r="D10031" s="1">
        <v>12.921942</v>
      </c>
      <c r="E10031" s="1">
        <v>80.113072</v>
      </c>
      <c r="F10031" s="1">
        <v>5339.0</v>
      </c>
      <c r="G10031" s="1">
        <v>52.0</v>
      </c>
    </row>
    <row r="10032">
      <c r="A10032" s="1" t="s">
        <v>8</v>
      </c>
      <c r="B10032" s="2">
        <v>44741.0</v>
      </c>
      <c r="C10032" s="3">
        <v>0.6838194444444444</v>
      </c>
      <c r="D10032" s="1">
        <v>12.924971</v>
      </c>
      <c r="E10032" s="1">
        <v>80.11609</v>
      </c>
      <c r="F10032" s="1">
        <v>5339.0</v>
      </c>
      <c r="G10032" s="1">
        <v>54.0</v>
      </c>
    </row>
    <row r="10033">
      <c r="A10033" s="1" t="s">
        <v>8</v>
      </c>
      <c r="B10033" s="2">
        <v>44741.0</v>
      </c>
      <c r="C10033" s="3">
        <v>0.6838657407407407</v>
      </c>
      <c r="D10033" s="1">
        <v>12.936165</v>
      </c>
      <c r="E10033" s="1">
        <v>80.127044</v>
      </c>
      <c r="F10033" s="1">
        <v>805.0</v>
      </c>
      <c r="G10033" s="1">
        <v>15.0</v>
      </c>
    </row>
    <row r="10034">
      <c r="A10034" s="1" t="s">
        <v>8</v>
      </c>
      <c r="B10034" s="2">
        <v>44741.0</v>
      </c>
      <c r="C10034" s="3">
        <v>0.6839004629629629</v>
      </c>
      <c r="D10034" s="1">
        <v>12.936165</v>
      </c>
      <c r="E10034" s="1">
        <v>80.127044</v>
      </c>
      <c r="F10034" s="1">
        <v>805.0</v>
      </c>
      <c r="G10034" s="1">
        <v>15.0</v>
      </c>
    </row>
    <row r="10035">
      <c r="A10035" s="1" t="s">
        <v>8</v>
      </c>
      <c r="B10035" s="2">
        <v>44741.0</v>
      </c>
      <c r="C10035" s="3">
        <v>0.6839004629629629</v>
      </c>
      <c r="D10035" s="1">
        <v>12.936165</v>
      </c>
      <c r="E10035" s="1">
        <v>80.127044</v>
      </c>
      <c r="F10035" s="1">
        <v>805.0</v>
      </c>
      <c r="G10035" s="1">
        <v>15.0</v>
      </c>
    </row>
    <row r="10036">
      <c r="A10036" s="1" t="s">
        <v>8</v>
      </c>
      <c r="B10036" s="2">
        <v>44741.0</v>
      </c>
      <c r="C10036" s="3">
        <v>0.6840625</v>
      </c>
      <c r="D10036" s="1">
        <v>12.937018</v>
      </c>
      <c r="E10036" s="1">
        <v>80.127822</v>
      </c>
      <c r="F10036" s="1">
        <v>805.0</v>
      </c>
      <c r="G10036" s="1">
        <v>48.0</v>
      </c>
    </row>
    <row r="10037">
      <c r="A10037" s="1" t="s">
        <v>9</v>
      </c>
      <c r="B10037" s="2">
        <v>44741.0</v>
      </c>
      <c r="C10037" s="3">
        <v>0.6842476851851852</v>
      </c>
      <c r="D10037" s="1">
        <v>12.938454</v>
      </c>
      <c r="E10037" s="1">
        <v>80.129081</v>
      </c>
      <c r="F10037" s="1">
        <v>805.0</v>
      </c>
      <c r="G10037" s="1">
        <v>49.0</v>
      </c>
    </row>
    <row r="10038">
      <c r="A10038" s="1" t="s">
        <v>8</v>
      </c>
      <c r="B10038" s="2">
        <v>44741.0</v>
      </c>
      <c r="C10038" s="3">
        <v>0.6844560185185186</v>
      </c>
      <c r="D10038" s="1">
        <v>12.819174</v>
      </c>
      <c r="E10038" s="1">
        <v>80.036309</v>
      </c>
      <c r="F10038" s="1">
        <v>2846.0</v>
      </c>
      <c r="G10038" s="1">
        <v>36.0</v>
      </c>
    </row>
    <row r="10039">
      <c r="A10039" s="1" t="s">
        <v>8</v>
      </c>
      <c r="B10039" s="2">
        <v>44741.0</v>
      </c>
      <c r="C10039" s="3">
        <v>0.6845023148148148</v>
      </c>
      <c r="D10039" s="1">
        <v>12.928405</v>
      </c>
      <c r="E10039" s="1">
        <v>80.119548</v>
      </c>
      <c r="F10039" s="1">
        <v>5339.0</v>
      </c>
      <c r="G10039" s="1">
        <v>19.0</v>
      </c>
    </row>
    <row r="10040">
      <c r="A10040" s="1" t="s">
        <v>8</v>
      </c>
      <c r="B10040" s="2">
        <v>44741.0</v>
      </c>
      <c r="C10040" s="3">
        <v>0.6846527777777778</v>
      </c>
      <c r="D10040" s="1">
        <v>12.942248</v>
      </c>
      <c r="E10040" s="1">
        <v>80.132698</v>
      </c>
      <c r="F10040" s="1">
        <v>805.0</v>
      </c>
      <c r="G10040" s="1">
        <v>7.0</v>
      </c>
    </row>
    <row r="10041">
      <c r="A10041" s="1" t="s">
        <v>8</v>
      </c>
      <c r="B10041" s="2">
        <v>44741.0</v>
      </c>
      <c r="C10041" s="3">
        <v>0.6847222222222222</v>
      </c>
      <c r="D10041" s="1">
        <v>12.942248</v>
      </c>
      <c r="E10041" s="1">
        <v>80.132698</v>
      </c>
      <c r="F10041" s="1">
        <v>805.0</v>
      </c>
      <c r="G10041" s="1">
        <v>7.0</v>
      </c>
    </row>
    <row r="10042">
      <c r="A10042" s="1" t="s">
        <v>8</v>
      </c>
      <c r="B10042" s="2">
        <v>44741.0</v>
      </c>
      <c r="C10042" s="3">
        <v>0.6847800925925925</v>
      </c>
      <c r="D10042" s="1">
        <v>12.942248</v>
      </c>
      <c r="E10042" s="1">
        <v>80.132698</v>
      </c>
      <c r="F10042" s="1">
        <v>805.0</v>
      </c>
      <c r="G10042" s="1">
        <v>7.0</v>
      </c>
    </row>
    <row r="10043">
      <c r="A10043" s="1" t="s">
        <v>8</v>
      </c>
      <c r="B10043" s="2">
        <v>44741.0</v>
      </c>
      <c r="C10043" s="3">
        <v>0.6848148148148148</v>
      </c>
      <c r="D10043" s="1">
        <v>12.942248</v>
      </c>
      <c r="E10043" s="1">
        <v>80.132698</v>
      </c>
      <c r="F10043" s="1">
        <v>805.0</v>
      </c>
      <c r="G10043" s="1">
        <v>7.0</v>
      </c>
    </row>
    <row r="10044">
      <c r="A10044" s="1" t="s">
        <v>8</v>
      </c>
      <c r="B10044" s="2">
        <v>44741.0</v>
      </c>
      <c r="C10044" s="3">
        <v>0.6848726851851852</v>
      </c>
      <c r="D10044" s="1">
        <v>12.929692</v>
      </c>
      <c r="E10044" s="1">
        <v>80.120795</v>
      </c>
      <c r="F10044" s="1">
        <v>5339.0</v>
      </c>
      <c r="G10044" s="1">
        <v>18.0</v>
      </c>
    </row>
    <row r="10045">
      <c r="A10045" s="1" t="s">
        <v>8</v>
      </c>
      <c r="B10045" s="2">
        <v>44741.0</v>
      </c>
      <c r="C10045" s="3">
        <v>0.6848842592592592</v>
      </c>
      <c r="D10045" s="1">
        <v>12.94276</v>
      </c>
      <c r="E10045" s="1">
        <v>80.13326</v>
      </c>
      <c r="F10045" s="1">
        <v>805.0</v>
      </c>
      <c r="G10045" s="1">
        <v>20.0</v>
      </c>
    </row>
    <row r="10046">
      <c r="A10046" s="1" t="s">
        <v>7</v>
      </c>
      <c r="B10046" s="2">
        <v>44741.0</v>
      </c>
      <c r="C10046" s="3">
        <v>0.6852314814814815</v>
      </c>
      <c r="D10046" s="1">
        <v>12.812447</v>
      </c>
      <c r="E10046" s="1">
        <v>80.031572</v>
      </c>
      <c r="F10046" s="1">
        <v>2846.0</v>
      </c>
      <c r="G10046" s="1">
        <v>59.0</v>
      </c>
    </row>
    <row r="10047">
      <c r="A10047" s="1" t="s">
        <v>8</v>
      </c>
      <c r="B10047" s="2">
        <v>44741.0</v>
      </c>
      <c r="C10047" s="3">
        <v>0.685324074074074</v>
      </c>
      <c r="D10047" s="1">
        <v>12.931368</v>
      </c>
      <c r="E10047" s="1">
        <v>80.122502</v>
      </c>
      <c r="F10047" s="1">
        <v>5339.0</v>
      </c>
      <c r="G10047" s="1">
        <v>29.0</v>
      </c>
    </row>
    <row r="10048">
      <c r="A10048" s="1" t="s">
        <v>8</v>
      </c>
      <c r="B10048" s="2">
        <v>44741.0</v>
      </c>
      <c r="C10048" s="3">
        <v>0.6853356481481482</v>
      </c>
      <c r="D10048" s="1">
        <v>12.931368</v>
      </c>
      <c r="E10048" s="1">
        <v>80.122502</v>
      </c>
      <c r="F10048" s="1">
        <v>5339.0</v>
      </c>
      <c r="G10048" s="1">
        <v>29.0</v>
      </c>
    </row>
    <row r="10049">
      <c r="A10049" s="1" t="s">
        <v>8</v>
      </c>
      <c r="B10049" s="2">
        <v>44741.0</v>
      </c>
      <c r="C10049" s="3">
        <v>0.6853356481481482</v>
      </c>
      <c r="D10049" s="1">
        <v>12.931368</v>
      </c>
      <c r="E10049" s="1">
        <v>80.122502</v>
      </c>
      <c r="F10049" s="1">
        <v>5339.0</v>
      </c>
      <c r="G10049" s="1">
        <v>29.0</v>
      </c>
    </row>
    <row r="10050">
      <c r="A10050" s="1" t="s">
        <v>7</v>
      </c>
      <c r="B10050" s="2">
        <v>44741.0</v>
      </c>
      <c r="C10050" s="3">
        <v>0.6853819444444444</v>
      </c>
      <c r="D10050" s="1">
        <v>12.946864</v>
      </c>
      <c r="E10050" s="1">
        <v>80.136749</v>
      </c>
      <c r="F10050" s="1">
        <v>805.0</v>
      </c>
      <c r="G10050" s="1">
        <v>55.0</v>
      </c>
    </row>
    <row r="10051">
      <c r="A10051" s="1" t="s">
        <v>7</v>
      </c>
      <c r="B10051" s="2">
        <v>44741.0</v>
      </c>
      <c r="C10051" s="3">
        <v>0.6854166666666667</v>
      </c>
      <c r="D10051" s="1">
        <v>12.946864</v>
      </c>
      <c r="E10051" s="1">
        <v>80.136749</v>
      </c>
      <c r="F10051" s="1">
        <v>805.0</v>
      </c>
      <c r="G10051" s="1">
        <v>55.0</v>
      </c>
    </row>
    <row r="10052">
      <c r="A10052" s="1" t="s">
        <v>8</v>
      </c>
      <c r="B10052" s="2">
        <v>44741.0</v>
      </c>
      <c r="C10052" s="3">
        <v>0.6856828703703703</v>
      </c>
      <c r="D10052" s="1">
        <v>12.932978</v>
      </c>
      <c r="E10052" s="1">
        <v>80.124135</v>
      </c>
      <c r="F10052" s="1">
        <v>5339.0</v>
      </c>
      <c r="G10052" s="1">
        <v>35.0</v>
      </c>
    </row>
    <row r="10053">
      <c r="A10053" s="1" t="s">
        <v>8</v>
      </c>
      <c r="B10053" s="2">
        <v>44741.0</v>
      </c>
      <c r="C10053" s="3">
        <v>0.6857638888888888</v>
      </c>
      <c r="D10053" s="1">
        <v>12.934082</v>
      </c>
      <c r="E10053" s="1">
        <v>80.125232</v>
      </c>
      <c r="F10053" s="1">
        <v>5339.0</v>
      </c>
      <c r="G10053" s="1">
        <v>45.0</v>
      </c>
    </row>
    <row r="10054">
      <c r="A10054" s="1" t="s">
        <v>7</v>
      </c>
      <c r="B10054" s="2">
        <v>44741.0</v>
      </c>
      <c r="C10054" s="3">
        <v>0.6862384259259259</v>
      </c>
      <c r="D10054" s="1">
        <v>12.801882</v>
      </c>
      <c r="E10054" s="1">
        <v>80.024746</v>
      </c>
      <c r="F10054" s="1">
        <v>2846.0</v>
      </c>
      <c r="G10054" s="1">
        <v>56.0</v>
      </c>
    </row>
    <row r="10055">
      <c r="A10055" s="1" t="s">
        <v>7</v>
      </c>
      <c r="B10055" s="2">
        <v>44741.0</v>
      </c>
      <c r="C10055" s="3">
        <v>0.6866435185185186</v>
      </c>
      <c r="D10055" s="1">
        <v>12.800054</v>
      </c>
      <c r="E10055" s="1">
        <v>80.023561</v>
      </c>
      <c r="F10055" s="1">
        <v>2846.0</v>
      </c>
      <c r="G10055" s="1">
        <v>56.0</v>
      </c>
    </row>
    <row r="10056">
      <c r="A10056" s="1" t="s">
        <v>7</v>
      </c>
      <c r="B10056" s="2">
        <v>44741.0</v>
      </c>
      <c r="C10056" s="3">
        <v>0.6868171296296296</v>
      </c>
      <c r="D10056" s="1">
        <v>12.950731</v>
      </c>
      <c r="E10056" s="1">
        <v>80.13968</v>
      </c>
      <c r="F10056" s="1">
        <v>805.0</v>
      </c>
      <c r="G10056" s="1">
        <v>21.0</v>
      </c>
    </row>
    <row r="10057">
      <c r="A10057" s="1" t="s">
        <v>7</v>
      </c>
      <c r="B10057" s="2">
        <v>44741.0</v>
      </c>
      <c r="C10057" s="3">
        <v>0.6871643518518519</v>
      </c>
      <c r="D10057" s="1">
        <v>12.93907</v>
      </c>
      <c r="E10057" s="1">
        <v>80.129672</v>
      </c>
      <c r="F10057" s="1">
        <v>5339.0</v>
      </c>
      <c r="G10057" s="1">
        <v>57.0</v>
      </c>
    </row>
    <row r="10058">
      <c r="A10058" s="1" t="s">
        <v>7</v>
      </c>
      <c r="B10058" s="2">
        <v>44741.0</v>
      </c>
      <c r="C10058" s="3">
        <v>0.6874768518518518</v>
      </c>
      <c r="D10058" s="1">
        <v>12.789351</v>
      </c>
      <c r="E10058" s="1">
        <v>80.016647</v>
      </c>
      <c r="F10058" s="1">
        <v>2846.0</v>
      </c>
      <c r="G10058" s="1">
        <v>57.0</v>
      </c>
    </row>
    <row r="10059">
      <c r="A10059" s="1" t="s">
        <v>7</v>
      </c>
      <c r="B10059" s="2">
        <v>44741.0</v>
      </c>
      <c r="C10059" s="3">
        <v>0.6880324074074075</v>
      </c>
      <c r="D10059" s="1">
        <v>12.781678</v>
      </c>
      <c r="E10059" s="1">
        <v>80.012498</v>
      </c>
      <c r="F10059" s="1">
        <v>2846.0</v>
      </c>
      <c r="G10059" s="1">
        <v>58.0</v>
      </c>
    </row>
    <row r="10060">
      <c r="A10060" s="1" t="s">
        <v>7</v>
      </c>
      <c r="B10060" s="2">
        <v>44741.0</v>
      </c>
      <c r="C10060" s="3">
        <v>0.688113425925926</v>
      </c>
      <c r="D10060" s="1">
        <v>12.781678</v>
      </c>
      <c r="E10060" s="1">
        <v>80.012498</v>
      </c>
      <c r="F10060" s="1">
        <v>2846.0</v>
      </c>
      <c r="G10060" s="1">
        <v>58.0</v>
      </c>
    </row>
    <row r="10061">
      <c r="A10061" s="1" t="s">
        <v>8</v>
      </c>
      <c r="B10061" s="2">
        <v>44741.0</v>
      </c>
      <c r="C10061" s="3">
        <v>0.6882986111111111</v>
      </c>
      <c r="D10061" s="1">
        <v>12.779666</v>
      </c>
      <c r="E10061" s="1">
        <v>80.011619</v>
      </c>
      <c r="F10061" s="1">
        <v>2846.0</v>
      </c>
      <c r="G10061" s="1">
        <v>57.0</v>
      </c>
    </row>
    <row r="10062">
      <c r="A10062" s="1" t="s">
        <v>8</v>
      </c>
      <c r="B10062" s="2">
        <v>44741.0</v>
      </c>
      <c r="C10062" s="3">
        <v>0.6883912037037037</v>
      </c>
      <c r="D10062" s="1">
        <v>12.960464</v>
      </c>
      <c r="E10062" s="1">
        <v>80.145179</v>
      </c>
      <c r="F10062" s="1">
        <v>805.0</v>
      </c>
      <c r="G10062" s="1">
        <v>21.0</v>
      </c>
    </row>
    <row r="10063">
      <c r="A10063" s="1" t="s">
        <v>8</v>
      </c>
      <c r="B10063" s="2">
        <v>44741.0</v>
      </c>
      <c r="C10063" s="3">
        <v>0.6884490740740741</v>
      </c>
      <c r="D10063" s="1">
        <v>12.948966</v>
      </c>
      <c r="E10063" s="1">
        <v>80.138254</v>
      </c>
      <c r="F10063" s="1">
        <v>5339.0</v>
      </c>
      <c r="G10063" s="1">
        <v>46.0</v>
      </c>
    </row>
    <row r="10064">
      <c r="A10064" s="1" t="s">
        <v>7</v>
      </c>
      <c r="B10064" s="2">
        <v>44741.0</v>
      </c>
      <c r="C10064" s="3">
        <v>0.6884606481481481</v>
      </c>
      <c r="D10064" s="1">
        <v>12.960464</v>
      </c>
      <c r="E10064" s="1">
        <v>80.145179</v>
      </c>
      <c r="F10064" s="1">
        <v>805.0</v>
      </c>
      <c r="G10064" s="1">
        <v>21.0</v>
      </c>
    </row>
    <row r="10065">
      <c r="A10065" s="1" t="s">
        <v>8</v>
      </c>
      <c r="B10065" s="2">
        <v>44741.0</v>
      </c>
      <c r="C10065" s="3">
        <v>0.68875</v>
      </c>
      <c r="D10065" s="1">
        <v>12.95033</v>
      </c>
      <c r="E10065" s="1">
        <v>80.139386</v>
      </c>
      <c r="F10065" s="1">
        <v>5339.0</v>
      </c>
      <c r="G10065" s="1">
        <v>46.0</v>
      </c>
    </row>
    <row r="10066">
      <c r="A10066" s="1" t="s">
        <v>8</v>
      </c>
      <c r="B10066" s="2">
        <v>44741.0</v>
      </c>
      <c r="C10066" s="3">
        <v>0.6889583333333333</v>
      </c>
      <c r="D10066" s="1">
        <v>12.951435</v>
      </c>
      <c r="E10066" s="1">
        <v>80.14023</v>
      </c>
      <c r="F10066" s="1">
        <v>5339.0</v>
      </c>
      <c r="G10066" s="1">
        <v>27.0</v>
      </c>
    </row>
    <row r="10067">
      <c r="A10067" s="1" t="s">
        <v>9</v>
      </c>
      <c r="B10067" s="2">
        <v>44741.0</v>
      </c>
      <c r="C10067" s="3">
        <v>0.6890046296296296</v>
      </c>
      <c r="D10067" s="1">
        <v>12.952274</v>
      </c>
      <c r="E10067" s="1">
        <v>80.140856</v>
      </c>
      <c r="F10067" s="1">
        <v>5339.0</v>
      </c>
      <c r="G10067" s="1">
        <v>27.0</v>
      </c>
    </row>
    <row r="10068">
      <c r="A10068" s="1" t="s">
        <v>9</v>
      </c>
      <c r="B10068" s="2">
        <v>44741.0</v>
      </c>
      <c r="C10068" s="3">
        <v>0.6890856481481481</v>
      </c>
      <c r="D10068" s="1">
        <v>12.952274</v>
      </c>
      <c r="E10068" s="1">
        <v>80.140856</v>
      </c>
      <c r="F10068" s="1">
        <v>5339.0</v>
      </c>
      <c r="G10068" s="1">
        <v>27.0</v>
      </c>
    </row>
    <row r="10069">
      <c r="A10069" s="1" t="s">
        <v>8</v>
      </c>
      <c r="B10069" s="2">
        <v>44741.0</v>
      </c>
      <c r="C10069" s="3">
        <v>0.6894444444444444</v>
      </c>
      <c r="D10069" s="1">
        <v>12.769234</v>
      </c>
      <c r="E10069" s="1">
        <v>80.006953</v>
      </c>
      <c r="F10069" s="1">
        <v>2846.0</v>
      </c>
      <c r="G10069" s="1">
        <v>41.0</v>
      </c>
    </row>
    <row r="10070">
      <c r="A10070" s="1" t="s">
        <v>8</v>
      </c>
      <c r="B10070" s="2">
        <v>44741.0</v>
      </c>
      <c r="C10070" s="3">
        <v>0.6895138888888889</v>
      </c>
      <c r="D10070" s="1">
        <v>12.971646</v>
      </c>
      <c r="E10070" s="1">
        <v>80.151137</v>
      </c>
      <c r="F10070" s="1">
        <v>805.0</v>
      </c>
      <c r="G10070" s="1">
        <v>57.0</v>
      </c>
    </row>
    <row r="10071">
      <c r="A10071" s="1" t="s">
        <v>7</v>
      </c>
      <c r="B10071" s="2">
        <v>44741.0</v>
      </c>
      <c r="C10071" s="3">
        <v>0.6899305555555556</v>
      </c>
      <c r="D10071" s="1">
        <v>12.97452</v>
      </c>
      <c r="E10071" s="1">
        <v>80.154914</v>
      </c>
      <c r="F10071" s="1">
        <v>805.0</v>
      </c>
      <c r="G10071" s="1">
        <v>60.0</v>
      </c>
    </row>
    <row r="10072">
      <c r="A10072" s="1" t="s">
        <v>10</v>
      </c>
      <c r="B10072" s="2">
        <v>44741.0</v>
      </c>
      <c r="C10072" s="3">
        <v>0.6902083333333333</v>
      </c>
      <c r="D10072" s="1">
        <v>12.763056</v>
      </c>
      <c r="E10072" s="1">
        <v>80.004185</v>
      </c>
      <c r="F10072" s="1">
        <v>2846.0</v>
      </c>
      <c r="G10072" s="1">
        <v>18.0</v>
      </c>
    </row>
    <row r="10073">
      <c r="A10073" s="1" t="s">
        <v>7</v>
      </c>
      <c r="B10073" s="2">
        <v>44741.0</v>
      </c>
      <c r="C10073" s="3">
        <v>0.6905208333333334</v>
      </c>
      <c r="D10073" s="1">
        <v>12.977899</v>
      </c>
      <c r="E10073" s="1">
        <v>80.159876</v>
      </c>
      <c r="F10073" s="1">
        <v>805.0</v>
      </c>
      <c r="G10073" s="1">
        <v>55.0</v>
      </c>
    </row>
    <row r="10074">
      <c r="A10074" s="1" t="s">
        <v>7</v>
      </c>
      <c r="B10074" s="2">
        <v>44741.0</v>
      </c>
      <c r="C10074" s="3">
        <v>0.6908564814814815</v>
      </c>
      <c r="D10074" s="1">
        <v>12.760095</v>
      </c>
      <c r="E10074" s="1">
        <v>80.003425</v>
      </c>
      <c r="F10074" s="1">
        <v>2846.0</v>
      </c>
      <c r="G10074" s="1">
        <v>0.0</v>
      </c>
    </row>
    <row r="10075">
      <c r="A10075" s="1" t="s">
        <v>10</v>
      </c>
      <c r="B10075" s="2">
        <v>44741.0</v>
      </c>
      <c r="C10075" s="3">
        <v>0.6910300925925926</v>
      </c>
      <c r="D10075" s="1">
        <v>12.759259</v>
      </c>
      <c r="E10075" s="1">
        <v>80.003159</v>
      </c>
      <c r="F10075" s="1">
        <v>2846.0</v>
      </c>
      <c r="G10075" s="1">
        <v>33.0</v>
      </c>
    </row>
    <row r="10076">
      <c r="A10076" s="1" t="s">
        <v>10</v>
      </c>
      <c r="B10076" s="2">
        <v>44741.0</v>
      </c>
      <c r="C10076" s="3">
        <v>0.6910995370370371</v>
      </c>
      <c r="D10076" s="1">
        <v>12.759259</v>
      </c>
      <c r="E10076" s="1">
        <v>80.003159</v>
      </c>
      <c r="F10076" s="1">
        <v>2846.0</v>
      </c>
      <c r="G10076" s="1">
        <v>33.0</v>
      </c>
    </row>
    <row r="10077">
      <c r="A10077" s="1" t="s">
        <v>8</v>
      </c>
      <c r="B10077" s="2">
        <v>44741.0</v>
      </c>
      <c r="C10077" s="3">
        <v>0.6911689814814815</v>
      </c>
      <c r="D10077" s="1">
        <v>12.982359</v>
      </c>
      <c r="E10077" s="1">
        <v>80.168167</v>
      </c>
      <c r="F10077" s="1">
        <v>805.0</v>
      </c>
      <c r="G10077" s="1">
        <v>58.0</v>
      </c>
    </row>
    <row r="10078">
      <c r="A10078" s="1" t="s">
        <v>8</v>
      </c>
      <c r="B10078" s="2">
        <v>44741.0</v>
      </c>
      <c r="C10078" s="3">
        <v>0.6912037037037037</v>
      </c>
      <c r="D10078" s="1">
        <v>12.982359</v>
      </c>
      <c r="E10078" s="1">
        <v>80.168167</v>
      </c>
      <c r="F10078" s="1">
        <v>805.0</v>
      </c>
      <c r="G10078" s="1">
        <v>58.0</v>
      </c>
    </row>
    <row r="10079">
      <c r="A10079" s="1" t="s">
        <v>9</v>
      </c>
      <c r="B10079" s="2">
        <v>44741.0</v>
      </c>
      <c r="C10079" s="3">
        <v>0.6914814814814815</v>
      </c>
      <c r="D10079" s="1">
        <v>12.983578</v>
      </c>
      <c r="E10079" s="1">
        <v>80.170207</v>
      </c>
      <c r="F10079" s="1">
        <v>805.0</v>
      </c>
      <c r="G10079" s="1">
        <v>58.0</v>
      </c>
    </row>
    <row r="10080">
      <c r="A10080" s="1" t="s">
        <v>10</v>
      </c>
      <c r="B10080" s="2">
        <v>44741.0</v>
      </c>
      <c r="C10080" s="3">
        <v>0.6917592592592593</v>
      </c>
      <c r="D10080" s="1">
        <v>12.985698</v>
      </c>
      <c r="E10080" s="1">
        <v>80.173587</v>
      </c>
      <c r="F10080" s="1">
        <v>805.0</v>
      </c>
      <c r="G10080" s="1">
        <v>28.0</v>
      </c>
    </row>
    <row r="10081">
      <c r="A10081" s="1" t="s">
        <v>7</v>
      </c>
      <c r="B10081" s="2">
        <v>44741.0</v>
      </c>
      <c r="C10081" s="3">
        <v>0.6921180555555555</v>
      </c>
      <c r="D10081" s="1">
        <v>12.75382</v>
      </c>
      <c r="E10081" s="1">
        <v>80.000581</v>
      </c>
      <c r="F10081" s="1">
        <v>2846.0</v>
      </c>
      <c r="G10081" s="1">
        <v>41.0</v>
      </c>
    </row>
    <row r="10082">
      <c r="A10082" s="1" t="s">
        <v>8</v>
      </c>
      <c r="B10082" s="2">
        <v>44741.0</v>
      </c>
      <c r="C10082" s="3">
        <v>0.6925694444444445</v>
      </c>
      <c r="D10082" s="1">
        <v>12.988382</v>
      </c>
      <c r="E10082" s="1">
        <v>80.177427</v>
      </c>
      <c r="F10082" s="1">
        <v>805.0</v>
      </c>
      <c r="G10082" s="1">
        <v>45.0</v>
      </c>
    </row>
    <row r="10083">
      <c r="A10083" s="1" t="s">
        <v>8</v>
      </c>
      <c r="B10083" s="2">
        <v>44741.0</v>
      </c>
      <c r="C10083" s="3">
        <v>0.6930092592592593</v>
      </c>
      <c r="D10083" s="1">
        <v>12.989043</v>
      </c>
      <c r="E10083" s="1">
        <v>80.178242</v>
      </c>
      <c r="F10083" s="1">
        <v>805.0</v>
      </c>
      <c r="G10083" s="1">
        <v>10.0</v>
      </c>
    </row>
    <row r="10084">
      <c r="A10084" s="1" t="s">
        <v>8</v>
      </c>
      <c r="B10084" s="2">
        <v>44741.0</v>
      </c>
      <c r="C10084" s="3">
        <v>0.6942939814814815</v>
      </c>
      <c r="D10084" s="1">
        <v>12.733876</v>
      </c>
      <c r="E10084" s="1">
        <v>79.984613</v>
      </c>
      <c r="F10084" s="1">
        <v>2846.0</v>
      </c>
      <c r="G10084" s="1">
        <v>51.0</v>
      </c>
    </row>
    <row r="10085">
      <c r="A10085" s="1" t="s">
        <v>8</v>
      </c>
      <c r="B10085" s="2">
        <v>44741.0</v>
      </c>
      <c r="C10085" s="3">
        <v>0.6944560185185186</v>
      </c>
      <c r="D10085" s="1">
        <v>12.733876</v>
      </c>
      <c r="E10085" s="1">
        <v>79.984613</v>
      </c>
      <c r="F10085" s="1">
        <v>2846.0</v>
      </c>
      <c r="G10085" s="1">
        <v>51.0</v>
      </c>
    </row>
    <row r="10086">
      <c r="A10086" s="1" t="s">
        <v>8</v>
      </c>
      <c r="B10086" s="2">
        <v>44741.0</v>
      </c>
      <c r="C10086" s="3">
        <v>0.6946296296296296</v>
      </c>
      <c r="D10086" s="1">
        <v>12.995806</v>
      </c>
      <c r="E10086" s="1">
        <v>80.188903</v>
      </c>
      <c r="F10086" s="1">
        <v>805.0</v>
      </c>
      <c r="G10086" s="1">
        <v>0.0</v>
      </c>
    </row>
    <row r="10087">
      <c r="A10087" s="1" t="s">
        <v>8</v>
      </c>
      <c r="B10087" s="2">
        <v>44741.0</v>
      </c>
      <c r="C10087" s="3">
        <v>0.6947453703703703</v>
      </c>
      <c r="D10087" s="1">
        <v>12.995806</v>
      </c>
      <c r="E10087" s="1">
        <v>80.188903</v>
      </c>
      <c r="F10087" s="1">
        <v>805.0</v>
      </c>
      <c r="G10087" s="1">
        <v>0.0</v>
      </c>
    </row>
    <row r="10088">
      <c r="A10088" s="1" t="s">
        <v>8</v>
      </c>
      <c r="B10088" s="2">
        <v>44741.0</v>
      </c>
      <c r="C10088" s="3">
        <v>0.6948611111111112</v>
      </c>
      <c r="D10088" s="1">
        <v>12.995806</v>
      </c>
      <c r="E10088" s="1">
        <v>80.188903</v>
      </c>
      <c r="F10088" s="1">
        <v>805.0</v>
      </c>
      <c r="G10088" s="1">
        <v>0.0</v>
      </c>
    </row>
    <row r="10089">
      <c r="A10089" s="1" t="s">
        <v>8</v>
      </c>
      <c r="B10089" s="2">
        <v>44741.0</v>
      </c>
      <c r="C10089" s="3">
        <v>0.6951851851851852</v>
      </c>
      <c r="D10089" s="1">
        <v>12.997297</v>
      </c>
      <c r="E10089" s="1">
        <v>80.190681</v>
      </c>
      <c r="F10089" s="1">
        <v>805.0</v>
      </c>
      <c r="G10089" s="1">
        <v>41.0</v>
      </c>
    </row>
    <row r="10090">
      <c r="A10090" s="1" t="s">
        <v>8</v>
      </c>
      <c r="B10090" s="2">
        <v>44741.0</v>
      </c>
      <c r="C10090" s="3">
        <v>0.6953819444444445</v>
      </c>
      <c r="D10090" s="1">
        <v>12.72417</v>
      </c>
      <c r="E10090" s="1">
        <v>79.982128</v>
      </c>
      <c r="F10090" s="1">
        <v>2846.0</v>
      </c>
      <c r="G10090" s="1">
        <v>0.0</v>
      </c>
    </row>
    <row r="10091">
      <c r="A10091" s="1" t="s">
        <v>8</v>
      </c>
      <c r="B10091" s="2">
        <v>44741.0</v>
      </c>
      <c r="C10091" s="3">
        <v>0.6954513888888889</v>
      </c>
      <c r="D10091" s="1">
        <v>12.999293</v>
      </c>
      <c r="E10091" s="1">
        <v>80.193225</v>
      </c>
      <c r="F10091" s="1">
        <v>805.0</v>
      </c>
      <c r="G10091" s="1">
        <v>37.0</v>
      </c>
    </row>
    <row r="10092">
      <c r="A10092" s="1" t="s">
        <v>8</v>
      </c>
      <c r="B10092" s="2">
        <v>44741.0</v>
      </c>
      <c r="C10092" s="3">
        <v>0.6955324074074074</v>
      </c>
      <c r="D10092" s="1">
        <v>12.999293</v>
      </c>
      <c r="E10092" s="1">
        <v>80.193225</v>
      </c>
      <c r="F10092" s="1">
        <v>805.0</v>
      </c>
      <c r="G10092" s="1">
        <v>37.0</v>
      </c>
    </row>
    <row r="10093">
      <c r="A10093" s="1" t="s">
        <v>8</v>
      </c>
      <c r="B10093" s="2">
        <v>44741.0</v>
      </c>
      <c r="C10093" s="3">
        <v>0.695625</v>
      </c>
      <c r="D10093" s="1">
        <v>12.999293</v>
      </c>
      <c r="E10093" s="1">
        <v>80.193225</v>
      </c>
      <c r="F10093" s="1">
        <v>805.0</v>
      </c>
      <c r="G10093" s="1">
        <v>37.0</v>
      </c>
    </row>
    <row r="10094">
      <c r="A10094" s="1" t="s">
        <v>7</v>
      </c>
      <c r="B10094" s="2">
        <v>44741.0</v>
      </c>
      <c r="C10094" s="3">
        <v>0.6957407407407408</v>
      </c>
      <c r="D10094" s="1">
        <v>12.723708</v>
      </c>
      <c r="E10094" s="1">
        <v>79.981975</v>
      </c>
      <c r="F10094" s="1">
        <v>2846.0</v>
      </c>
      <c r="G10094" s="1">
        <v>24.0</v>
      </c>
    </row>
    <row r="10095">
      <c r="A10095" s="1" t="s">
        <v>8</v>
      </c>
      <c r="B10095" s="2">
        <v>44741.0</v>
      </c>
      <c r="C10095" s="3">
        <v>0.6958796296296297</v>
      </c>
      <c r="D10095" s="1">
        <v>13.001448</v>
      </c>
      <c r="E10095" s="1">
        <v>80.195917</v>
      </c>
      <c r="F10095" s="1">
        <v>805.0</v>
      </c>
      <c r="G10095" s="1">
        <v>41.0</v>
      </c>
    </row>
    <row r="10096">
      <c r="A10096" s="1" t="s">
        <v>8</v>
      </c>
      <c r="B10096" s="2">
        <v>44741.0</v>
      </c>
      <c r="C10096" s="3">
        <v>0.6959375</v>
      </c>
      <c r="D10096" s="1">
        <v>13.001448</v>
      </c>
      <c r="E10096" s="1">
        <v>80.195917</v>
      </c>
      <c r="F10096" s="1">
        <v>805.0</v>
      </c>
      <c r="G10096" s="1">
        <v>41.0</v>
      </c>
    </row>
    <row r="10097">
      <c r="A10097" s="1" t="s">
        <v>8</v>
      </c>
      <c r="B10097" s="2">
        <v>44741.0</v>
      </c>
      <c r="C10097" s="3">
        <v>0.6959375</v>
      </c>
      <c r="D10097" s="1">
        <v>13.001448</v>
      </c>
      <c r="E10097" s="1">
        <v>80.195917</v>
      </c>
      <c r="F10097" s="1">
        <v>805.0</v>
      </c>
      <c r="G10097" s="1">
        <v>41.0</v>
      </c>
    </row>
    <row r="10098">
      <c r="A10098" s="1" t="s">
        <v>8</v>
      </c>
      <c r="B10098" s="2">
        <v>44741.0</v>
      </c>
      <c r="C10098" s="3">
        <v>0.6959722222222222</v>
      </c>
      <c r="D10098" s="1">
        <v>13.001448</v>
      </c>
      <c r="E10098" s="1">
        <v>80.195917</v>
      </c>
      <c r="F10098" s="1">
        <v>805.0</v>
      </c>
      <c r="G10098" s="1">
        <v>41.0</v>
      </c>
    </row>
    <row r="10099">
      <c r="A10099" s="1" t="s">
        <v>8</v>
      </c>
      <c r="B10099" s="2">
        <v>44741.0</v>
      </c>
      <c r="C10099" s="3">
        <v>0.6962731481481481</v>
      </c>
      <c r="D10099" s="1">
        <v>13.001904</v>
      </c>
      <c r="E10099" s="1">
        <v>80.19982</v>
      </c>
      <c r="F10099" s="1">
        <v>805.0</v>
      </c>
      <c r="G10099" s="1">
        <v>58.0</v>
      </c>
    </row>
    <row r="10100">
      <c r="A10100" s="1" t="s">
        <v>8</v>
      </c>
      <c r="B10100" s="2">
        <v>44741.0</v>
      </c>
      <c r="C10100" s="3">
        <v>0.6968171296296296</v>
      </c>
      <c r="D10100" s="1">
        <v>12.988151</v>
      </c>
      <c r="E10100" s="1">
        <v>80.177082</v>
      </c>
      <c r="F10100" s="1">
        <v>5339.0</v>
      </c>
      <c r="G10100" s="1">
        <v>41.0</v>
      </c>
    </row>
    <row r="10101">
      <c r="A10101" s="1" t="s">
        <v>8</v>
      </c>
      <c r="B10101" s="2">
        <v>44741.0</v>
      </c>
      <c r="C10101" s="3">
        <v>0.6968402777777778</v>
      </c>
      <c r="D10101" s="1">
        <v>13.005667</v>
      </c>
      <c r="E10101" s="1">
        <v>80.201937</v>
      </c>
      <c r="F10101" s="1">
        <v>805.0</v>
      </c>
      <c r="G10101" s="1">
        <v>43.0</v>
      </c>
    </row>
    <row r="10102">
      <c r="A10102" s="1" t="s">
        <v>7</v>
      </c>
      <c r="B10102" s="2">
        <v>44741.0</v>
      </c>
      <c r="C10102" s="3">
        <v>0.6970486111111112</v>
      </c>
      <c r="D10102" s="1">
        <v>12.711641</v>
      </c>
      <c r="E10102" s="1">
        <v>79.97901</v>
      </c>
      <c r="F10102" s="1">
        <v>2846.0</v>
      </c>
      <c r="G10102" s="1">
        <v>57.0</v>
      </c>
    </row>
    <row r="10103">
      <c r="A10103" s="1" t="s">
        <v>8</v>
      </c>
      <c r="B10103" s="2">
        <v>44741.0</v>
      </c>
      <c r="C10103" s="3">
        <v>0.6974074074074074</v>
      </c>
      <c r="D10103" s="1">
        <v>13.008133</v>
      </c>
      <c r="E10103" s="1">
        <v>80.202797</v>
      </c>
      <c r="F10103" s="1">
        <v>805.0</v>
      </c>
      <c r="G10103" s="1">
        <v>35.0</v>
      </c>
    </row>
    <row r="10104">
      <c r="A10104" s="1" t="s">
        <v>8</v>
      </c>
      <c r="B10104" s="2">
        <v>44741.0</v>
      </c>
      <c r="C10104" s="3">
        <v>0.6977083333333334</v>
      </c>
      <c r="D10104" s="1">
        <v>13.007608</v>
      </c>
      <c r="E10104" s="1">
        <v>80.204168</v>
      </c>
      <c r="F10104" s="1">
        <v>805.0</v>
      </c>
      <c r="G10104" s="1">
        <v>57.0</v>
      </c>
    </row>
    <row r="10105">
      <c r="A10105" s="1" t="s">
        <v>8</v>
      </c>
      <c r="B10105" s="2">
        <v>44741.0</v>
      </c>
      <c r="C10105" s="3">
        <v>0.6978356481481481</v>
      </c>
      <c r="D10105" s="1">
        <v>12.702926</v>
      </c>
      <c r="E10105" s="1">
        <v>79.976619</v>
      </c>
      <c r="F10105" s="1">
        <v>2846.0</v>
      </c>
      <c r="G10105" s="1">
        <v>44.0</v>
      </c>
    </row>
    <row r="10106">
      <c r="A10106" s="1" t="s">
        <v>8</v>
      </c>
      <c r="B10106" s="2">
        <v>44741.0</v>
      </c>
      <c r="C10106" s="3">
        <v>0.6980902777777778</v>
      </c>
      <c r="D10106" s="1">
        <v>13.008568</v>
      </c>
      <c r="E10106" s="1">
        <v>80.210506</v>
      </c>
      <c r="F10106" s="1">
        <v>805.0</v>
      </c>
      <c r="G10106" s="1">
        <v>49.0</v>
      </c>
    </row>
    <row r="10107">
      <c r="A10107" s="1" t="s">
        <v>8</v>
      </c>
      <c r="B10107" s="2">
        <v>44741.0</v>
      </c>
      <c r="C10107" s="3">
        <v>0.6983217592592592</v>
      </c>
      <c r="D10107" s="1">
        <v>13.009233</v>
      </c>
      <c r="E10107" s="1">
        <v>80.212391</v>
      </c>
      <c r="F10107" s="1">
        <v>805.0</v>
      </c>
      <c r="G10107" s="1">
        <v>48.0</v>
      </c>
    </row>
    <row r="10108">
      <c r="A10108" s="1" t="s">
        <v>8</v>
      </c>
      <c r="B10108" s="2">
        <v>44741.0</v>
      </c>
      <c r="C10108" s="3">
        <v>0.6984953703703703</v>
      </c>
      <c r="D10108" s="1">
        <v>13.010091</v>
      </c>
      <c r="E10108" s="1">
        <v>80.214525</v>
      </c>
      <c r="F10108" s="1">
        <v>805.0</v>
      </c>
      <c r="G10108" s="1">
        <v>47.0</v>
      </c>
    </row>
    <row r="10109">
      <c r="A10109" s="1" t="s">
        <v>8</v>
      </c>
      <c r="B10109" s="2">
        <v>44741.0</v>
      </c>
      <c r="C10109" s="3">
        <v>0.6987962962962962</v>
      </c>
      <c r="D10109" s="1">
        <v>13.010996</v>
      </c>
      <c r="E10109" s="1">
        <v>80.217244</v>
      </c>
      <c r="F10109" s="1">
        <v>805.0</v>
      </c>
      <c r="G10109" s="1">
        <v>32.0</v>
      </c>
    </row>
    <row r="10110">
      <c r="A10110" s="1" t="s">
        <v>8</v>
      </c>
      <c r="B10110" s="2">
        <v>44741.0</v>
      </c>
      <c r="C10110" s="3">
        <v>0.6992592592592592</v>
      </c>
      <c r="D10110" s="1">
        <v>12.697293</v>
      </c>
      <c r="E10110" s="1">
        <v>79.976546</v>
      </c>
      <c r="F10110" s="1">
        <v>2846.0</v>
      </c>
      <c r="G10110" s="1">
        <v>10.0</v>
      </c>
    </row>
    <row r="10111">
      <c r="A10111" s="1" t="s">
        <v>9</v>
      </c>
      <c r="B10111" s="2">
        <v>44741.0</v>
      </c>
      <c r="C10111" s="3">
        <v>0.6995023148148148</v>
      </c>
      <c r="D10111" s="1">
        <v>12.995244</v>
      </c>
      <c r="E10111" s="1">
        <v>80.187874</v>
      </c>
      <c r="F10111" s="1">
        <v>5339.0</v>
      </c>
      <c r="G10111" s="1">
        <v>46.0</v>
      </c>
    </row>
    <row r="10112">
      <c r="A10112" s="1" t="s">
        <v>8</v>
      </c>
      <c r="B10112" s="2">
        <v>44741.0</v>
      </c>
      <c r="C10112" s="3">
        <v>0.7011111111111111</v>
      </c>
      <c r="D10112" s="1">
        <v>13.001883</v>
      </c>
      <c r="E10112" s="1">
        <v>80.198616</v>
      </c>
      <c r="F10112" s="1">
        <v>5339.0</v>
      </c>
      <c r="G10112" s="1">
        <v>50.0</v>
      </c>
    </row>
    <row r="10113">
      <c r="A10113" s="1" t="s">
        <v>10</v>
      </c>
      <c r="B10113" s="2">
        <v>44741.0</v>
      </c>
      <c r="C10113" s="3">
        <v>0.7011574074074074</v>
      </c>
      <c r="D10113" s="1">
        <v>12.689588</v>
      </c>
      <c r="E10113" s="1">
        <v>79.982341</v>
      </c>
      <c r="F10113" s="1">
        <v>2846.0</v>
      </c>
      <c r="G10113" s="1">
        <v>38.0</v>
      </c>
    </row>
    <row r="10114">
      <c r="A10114" s="1" t="s">
        <v>9</v>
      </c>
      <c r="B10114" s="2">
        <v>44741.0</v>
      </c>
      <c r="C10114" s="3">
        <v>0.701400462962963</v>
      </c>
      <c r="D10114" s="1">
        <v>13.002528</v>
      </c>
      <c r="E10114" s="1">
        <v>80.200557</v>
      </c>
      <c r="F10114" s="1">
        <v>5339.0</v>
      </c>
      <c r="G10114" s="1">
        <v>56.0</v>
      </c>
    </row>
    <row r="10115">
      <c r="A10115" s="1" t="s">
        <v>8</v>
      </c>
      <c r="B10115" s="2">
        <v>44741.0</v>
      </c>
      <c r="C10115" s="3">
        <v>0.7016782407407407</v>
      </c>
      <c r="D10115" s="1">
        <v>13.015347</v>
      </c>
      <c r="E10115" s="1">
        <v>80.225671</v>
      </c>
      <c r="F10115" s="1">
        <v>805.0</v>
      </c>
      <c r="G10115" s="1">
        <v>13.0</v>
      </c>
    </row>
    <row r="10116">
      <c r="A10116" s="1" t="s">
        <v>8</v>
      </c>
      <c r="B10116" s="2">
        <v>44741.0</v>
      </c>
      <c r="C10116" s="3">
        <v>0.7018402777777778</v>
      </c>
      <c r="D10116" s="1">
        <v>13.015016</v>
      </c>
      <c r="E10116" s="1">
        <v>80.225891</v>
      </c>
      <c r="F10116" s="1">
        <v>805.0</v>
      </c>
      <c r="G10116" s="1">
        <v>0.0</v>
      </c>
    </row>
    <row r="10117">
      <c r="A10117" s="1" t="s">
        <v>8</v>
      </c>
      <c r="B10117" s="2">
        <v>44741.0</v>
      </c>
      <c r="C10117" s="3">
        <v>0.7021064814814815</v>
      </c>
      <c r="D10117" s="1">
        <v>13.015016</v>
      </c>
      <c r="E10117" s="1">
        <v>80.225891</v>
      </c>
      <c r="F10117" s="1">
        <v>805.0</v>
      </c>
      <c r="G10117" s="1">
        <v>0.0</v>
      </c>
    </row>
    <row r="10118">
      <c r="A10118" s="1" t="s">
        <v>8</v>
      </c>
      <c r="B10118" s="2">
        <v>44741.0</v>
      </c>
      <c r="C10118" s="3">
        <v>0.7024768518518518</v>
      </c>
      <c r="D10118" s="1">
        <v>13.012774</v>
      </c>
      <c r="E10118" s="1">
        <v>80.226818</v>
      </c>
      <c r="F10118" s="1">
        <v>805.0</v>
      </c>
      <c r="G10118" s="1">
        <v>46.0</v>
      </c>
    </row>
    <row r="10119">
      <c r="A10119" s="1" t="s">
        <v>8</v>
      </c>
      <c r="B10119" s="2">
        <v>44741.0</v>
      </c>
      <c r="C10119" s="3">
        <v>0.7025</v>
      </c>
      <c r="D10119" s="1">
        <v>13.007624</v>
      </c>
      <c r="E10119" s="1">
        <v>80.204434</v>
      </c>
      <c r="F10119" s="1">
        <v>5339.0</v>
      </c>
      <c r="G10119" s="1">
        <v>41.0</v>
      </c>
    </row>
    <row r="10120">
      <c r="A10120" s="1" t="s">
        <v>8</v>
      </c>
      <c r="B10120" s="2">
        <v>44741.0</v>
      </c>
      <c r="C10120" s="3">
        <v>0.7025</v>
      </c>
      <c r="D10120" s="1">
        <v>12.683099</v>
      </c>
      <c r="E10120" s="1">
        <v>79.982936</v>
      </c>
      <c r="F10120" s="1">
        <v>2846.0</v>
      </c>
      <c r="G10120" s="1">
        <v>22.0</v>
      </c>
    </row>
    <row r="10121">
      <c r="A10121" s="1" t="s">
        <v>8</v>
      </c>
      <c r="B10121" s="2">
        <v>44741.0</v>
      </c>
      <c r="C10121" s="3">
        <v>0.7035300925925926</v>
      </c>
      <c r="D10121" s="1">
        <v>13.009714</v>
      </c>
      <c r="E10121" s="1">
        <v>80.21366</v>
      </c>
      <c r="F10121" s="1">
        <v>5339.0</v>
      </c>
      <c r="G10121" s="1">
        <v>35.0</v>
      </c>
    </row>
    <row r="10122">
      <c r="A10122" s="1" t="s">
        <v>8</v>
      </c>
      <c r="B10122" s="2">
        <v>44741.0</v>
      </c>
      <c r="C10122" s="3">
        <v>0.7042708333333333</v>
      </c>
      <c r="D10122" s="1">
        <v>13.007081</v>
      </c>
      <c r="E10122" s="1">
        <v>80.23923</v>
      </c>
      <c r="F10122" s="1">
        <v>805.0</v>
      </c>
      <c r="G10122" s="1">
        <v>30.0</v>
      </c>
    </row>
    <row r="10123">
      <c r="A10123" s="1" t="s">
        <v>8</v>
      </c>
      <c r="B10123" s="2">
        <v>44741.0</v>
      </c>
      <c r="C10123" s="3">
        <v>0.7044444444444444</v>
      </c>
      <c r="D10123" s="1">
        <v>13.010646</v>
      </c>
      <c r="E10123" s="1">
        <v>80.216572</v>
      </c>
      <c r="F10123" s="1">
        <v>5339.0</v>
      </c>
      <c r="G10123" s="1">
        <v>37.0</v>
      </c>
    </row>
    <row r="10124">
      <c r="A10124" s="1" t="s">
        <v>8</v>
      </c>
      <c r="B10124" s="2">
        <v>44741.0</v>
      </c>
      <c r="C10124" s="3">
        <v>0.7045023148148148</v>
      </c>
      <c r="D10124" s="1">
        <v>13.012337</v>
      </c>
      <c r="E10124" s="1">
        <v>80.220962</v>
      </c>
      <c r="F10124" s="1">
        <v>5339.0</v>
      </c>
      <c r="G10124" s="1">
        <v>23.0</v>
      </c>
    </row>
    <row r="10125">
      <c r="A10125" s="1" t="s">
        <v>7</v>
      </c>
      <c r="B10125" s="2">
        <v>44741.0</v>
      </c>
      <c r="C10125" s="3">
        <v>0.7051388888888889</v>
      </c>
      <c r="D10125" s="1">
        <v>12.671399</v>
      </c>
      <c r="E10125" s="1">
        <v>79.976093</v>
      </c>
      <c r="F10125" s="1">
        <v>2846.0</v>
      </c>
      <c r="G10125" s="1">
        <v>48.0</v>
      </c>
    </row>
    <row r="10126">
      <c r="A10126" s="1" t="s">
        <v>8</v>
      </c>
      <c r="B10126" s="2">
        <v>44741.0</v>
      </c>
      <c r="C10126" s="3">
        <v>0.7056597222222222</v>
      </c>
      <c r="D10126" s="1">
        <v>12.667957</v>
      </c>
      <c r="E10126" s="1">
        <v>79.972725</v>
      </c>
      <c r="F10126" s="1">
        <v>2846.0</v>
      </c>
      <c r="G10126" s="1">
        <v>54.0</v>
      </c>
    </row>
    <row r="10127">
      <c r="A10127" s="1" t="s">
        <v>7</v>
      </c>
      <c r="B10127" s="2">
        <v>44741.0</v>
      </c>
      <c r="C10127" s="3">
        <v>0.7066203703703704</v>
      </c>
      <c r="D10127" s="1">
        <v>12.66263</v>
      </c>
      <c r="E10127" s="1">
        <v>79.967663</v>
      </c>
      <c r="F10127" s="1">
        <v>2846.0</v>
      </c>
      <c r="G10127" s="1">
        <v>24.0</v>
      </c>
    </row>
    <row r="10128">
      <c r="A10128" s="1" t="s">
        <v>8</v>
      </c>
      <c r="B10128" s="2">
        <v>44741.0</v>
      </c>
      <c r="C10128" s="3">
        <v>0.7068171296296296</v>
      </c>
      <c r="D10128" s="1">
        <v>13.00677</v>
      </c>
      <c r="E10128" s="1">
        <v>80.247851</v>
      </c>
      <c r="F10128" s="1">
        <v>805.0</v>
      </c>
      <c r="G10128" s="1">
        <v>0.0</v>
      </c>
    </row>
    <row r="10129">
      <c r="A10129" s="1" t="s">
        <v>8</v>
      </c>
      <c r="B10129" s="2">
        <v>44741.0</v>
      </c>
      <c r="C10129" s="3">
        <v>0.7084375</v>
      </c>
      <c r="D10129" s="1">
        <v>12.656299</v>
      </c>
      <c r="E10129" s="1">
        <v>79.950334</v>
      </c>
      <c r="F10129" s="1">
        <v>2846.0</v>
      </c>
      <c r="G10129" s="1">
        <v>40.0</v>
      </c>
    </row>
    <row r="10130">
      <c r="A10130" s="1" t="s">
        <v>7</v>
      </c>
      <c r="B10130" s="2">
        <v>44741.0</v>
      </c>
      <c r="C10130" s="3">
        <v>0.7089351851851852</v>
      </c>
      <c r="D10130" s="1">
        <v>12.656745</v>
      </c>
      <c r="E10130" s="1">
        <v>79.94878</v>
      </c>
      <c r="F10130" s="1">
        <v>2846.0</v>
      </c>
      <c r="G10130" s="1">
        <v>33.0</v>
      </c>
    </row>
    <row r="10131">
      <c r="A10131" s="1" t="s">
        <v>8</v>
      </c>
      <c r="B10131" s="2">
        <v>44741.0</v>
      </c>
      <c r="C10131" s="3">
        <v>0.7091203703703703</v>
      </c>
      <c r="D10131" s="1">
        <v>13.006703</v>
      </c>
      <c r="E10131" s="1">
        <v>80.256965</v>
      </c>
      <c r="F10131" s="1">
        <v>805.0</v>
      </c>
      <c r="G10131" s="1">
        <v>0.0</v>
      </c>
    </row>
    <row r="10132">
      <c r="A10132" s="1" t="s">
        <v>10</v>
      </c>
      <c r="B10132" s="2">
        <v>44741.0</v>
      </c>
      <c r="C10132" s="3">
        <v>0.7091782407407408</v>
      </c>
      <c r="D10132" s="1">
        <v>13.006703</v>
      </c>
      <c r="E10132" s="1">
        <v>80.256965</v>
      </c>
      <c r="F10132" s="1">
        <v>805.0</v>
      </c>
      <c r="G10132" s="1">
        <v>0.0</v>
      </c>
    </row>
    <row r="10133">
      <c r="A10133" s="1" t="s">
        <v>8</v>
      </c>
      <c r="B10133" s="2">
        <v>44741.0</v>
      </c>
      <c r="C10133" s="3">
        <v>0.7098726851851852</v>
      </c>
      <c r="D10133" s="1">
        <v>13.026091</v>
      </c>
      <c r="E10133" s="1">
        <v>80.231568</v>
      </c>
      <c r="F10133" s="1">
        <v>5339.0</v>
      </c>
      <c r="G10133" s="1">
        <v>19.0</v>
      </c>
    </row>
    <row r="10134">
      <c r="A10134" s="1" t="s">
        <v>8</v>
      </c>
      <c r="B10134" s="2">
        <v>44741.0</v>
      </c>
      <c r="C10134" s="3">
        <v>0.7103703703703703</v>
      </c>
      <c r="D10134" s="1">
        <v>12.653199</v>
      </c>
      <c r="E10134" s="1">
        <v>79.942339</v>
      </c>
      <c r="F10134" s="1">
        <v>2846.0</v>
      </c>
      <c r="G10134" s="1">
        <v>50.0</v>
      </c>
    </row>
    <row r="10135">
      <c r="A10135" s="1" t="s">
        <v>8</v>
      </c>
      <c r="B10135" s="2">
        <v>44741.0</v>
      </c>
      <c r="C10135" s="3">
        <v>0.7103703703703703</v>
      </c>
      <c r="D10135" s="1">
        <v>13.027327</v>
      </c>
      <c r="E10135" s="1">
        <v>80.234213</v>
      </c>
      <c r="F10135" s="1">
        <v>5339.0</v>
      </c>
      <c r="G10135" s="1">
        <v>33.0</v>
      </c>
    </row>
    <row r="10136">
      <c r="A10136" s="1" t="s">
        <v>8</v>
      </c>
      <c r="B10136" s="2">
        <v>44741.0</v>
      </c>
      <c r="C10136" s="3">
        <v>0.7106944444444444</v>
      </c>
      <c r="D10136" s="1">
        <v>12.643432</v>
      </c>
      <c r="E10136" s="1">
        <v>79.938473</v>
      </c>
      <c r="F10136" s="1">
        <v>2846.0</v>
      </c>
      <c r="G10136" s="1">
        <v>58.0</v>
      </c>
    </row>
    <row r="10137">
      <c r="A10137" s="1" t="s">
        <v>8</v>
      </c>
      <c r="B10137" s="2">
        <v>44741.0</v>
      </c>
      <c r="C10137" s="3">
        <v>0.7107291666666666</v>
      </c>
      <c r="D10137" s="1">
        <v>13.007576</v>
      </c>
      <c r="E10137" s="1">
        <v>80.258672</v>
      </c>
      <c r="F10137" s="1">
        <v>805.0</v>
      </c>
      <c r="G10137" s="1">
        <v>0.0</v>
      </c>
    </row>
    <row r="10138">
      <c r="A10138" s="1" t="s">
        <v>10</v>
      </c>
      <c r="B10138" s="2">
        <v>44741.0</v>
      </c>
      <c r="C10138" s="3">
        <v>0.7113773148148148</v>
      </c>
      <c r="D10138" s="1">
        <v>12.639746</v>
      </c>
      <c r="E10138" s="1">
        <v>79.936281</v>
      </c>
      <c r="F10138" s="1">
        <v>2846.0</v>
      </c>
      <c r="G10138" s="1">
        <v>49.0</v>
      </c>
    </row>
    <row r="10139">
      <c r="A10139" s="1" t="s">
        <v>8</v>
      </c>
      <c r="B10139" s="2">
        <v>44741.0</v>
      </c>
      <c r="C10139" s="3">
        <v>0.7121527777777777</v>
      </c>
      <c r="D10139" s="1">
        <v>13.032113</v>
      </c>
      <c r="E10139" s="1">
        <v>80.241847</v>
      </c>
      <c r="F10139" s="1">
        <v>5339.0</v>
      </c>
      <c r="G10139" s="1">
        <v>40.0</v>
      </c>
    </row>
    <row r="10140">
      <c r="A10140" s="1" t="s">
        <v>8</v>
      </c>
      <c r="B10140" s="2">
        <v>44741.0</v>
      </c>
      <c r="C10140" s="3">
        <v>0.7121527777777777</v>
      </c>
      <c r="D10140" s="1">
        <v>13.020326</v>
      </c>
      <c r="E10140" s="1">
        <v>80.26264</v>
      </c>
      <c r="F10140" s="1">
        <v>805.0</v>
      </c>
      <c r="G10140" s="1">
        <v>6.0</v>
      </c>
    </row>
    <row r="10141">
      <c r="A10141" s="1" t="s">
        <v>10</v>
      </c>
      <c r="B10141" s="2">
        <v>44741.0</v>
      </c>
      <c r="C10141" s="3">
        <v>0.7122222222222222</v>
      </c>
      <c r="D10141" s="1">
        <v>13.020769</v>
      </c>
      <c r="E10141" s="1">
        <v>80.262803</v>
      </c>
      <c r="F10141" s="1">
        <v>805.0</v>
      </c>
      <c r="G10141" s="1">
        <v>23.0</v>
      </c>
    </row>
    <row r="10142">
      <c r="A10142" s="1" t="s">
        <v>10</v>
      </c>
      <c r="B10142" s="2">
        <v>44741.0</v>
      </c>
      <c r="C10142" s="3">
        <v>0.7124074074074074</v>
      </c>
      <c r="D10142" s="1">
        <v>13.021272</v>
      </c>
      <c r="E10142" s="1">
        <v>80.26296</v>
      </c>
      <c r="F10142" s="1">
        <v>805.0</v>
      </c>
      <c r="G10142" s="1">
        <v>16.0</v>
      </c>
    </row>
    <row r="10143">
      <c r="A10143" s="1" t="s">
        <v>7</v>
      </c>
      <c r="B10143" s="2">
        <v>44741.0</v>
      </c>
      <c r="C10143" s="3">
        <v>0.7128703703703704</v>
      </c>
      <c r="D10143" s="1">
        <v>12.624598</v>
      </c>
      <c r="E10143" s="1">
        <v>79.928901</v>
      </c>
      <c r="F10143" s="1">
        <v>2846.0</v>
      </c>
      <c r="G10143" s="1">
        <v>57.0</v>
      </c>
    </row>
    <row r="10144">
      <c r="A10144" s="1" t="s">
        <v>9</v>
      </c>
      <c r="B10144" s="2">
        <v>44741.0</v>
      </c>
      <c r="C10144" s="3">
        <v>0.713912037037037</v>
      </c>
      <c r="D10144" s="1">
        <v>12.624598</v>
      </c>
      <c r="E10144" s="1">
        <v>79.928901</v>
      </c>
      <c r="F10144" s="1">
        <v>2846.0</v>
      </c>
      <c r="G10144" s="1">
        <v>57.0</v>
      </c>
    </row>
    <row r="10145">
      <c r="A10145" s="1" t="s">
        <v>7</v>
      </c>
      <c r="B10145" s="2">
        <v>44741.0</v>
      </c>
      <c r="C10145" s="3">
        <v>0.7149537037037037</v>
      </c>
      <c r="D10145" s="1">
        <v>12.60703</v>
      </c>
      <c r="E10145" s="1">
        <v>79.921315</v>
      </c>
      <c r="F10145" s="1">
        <v>2846.0</v>
      </c>
      <c r="G10145" s="1">
        <v>43.0</v>
      </c>
    </row>
    <row r="10146">
      <c r="A10146" s="1" t="s">
        <v>10</v>
      </c>
      <c r="B10146" s="2">
        <v>44741.0</v>
      </c>
      <c r="C10146" s="3">
        <v>0.7152083333333333</v>
      </c>
      <c r="D10146" s="1">
        <v>13.028762</v>
      </c>
      <c r="E10146" s="1">
        <v>80.263831</v>
      </c>
      <c r="F10146" s="1">
        <v>805.0</v>
      </c>
      <c r="G10146" s="1">
        <v>34.0</v>
      </c>
    </row>
    <row r="10147">
      <c r="A10147" s="1" t="s">
        <v>8</v>
      </c>
      <c r="B10147" s="2">
        <v>44741.0</v>
      </c>
      <c r="C10147" s="3">
        <v>0.715300925925926</v>
      </c>
      <c r="D10147" s="1">
        <v>13.042161</v>
      </c>
      <c r="E10147" s="1">
        <v>80.247461</v>
      </c>
      <c r="F10147" s="1">
        <v>5339.0</v>
      </c>
      <c r="G10147" s="1">
        <v>16.0</v>
      </c>
    </row>
    <row r="10148">
      <c r="A10148" s="1" t="s">
        <v>7</v>
      </c>
      <c r="B10148" s="2">
        <v>44741.0</v>
      </c>
      <c r="C10148" s="3">
        <v>0.7153703703703703</v>
      </c>
      <c r="D10148" s="1">
        <v>12.601009</v>
      </c>
      <c r="E10148" s="1">
        <v>79.92011</v>
      </c>
      <c r="F10148" s="1">
        <v>2846.0</v>
      </c>
      <c r="G10148" s="1">
        <v>57.0</v>
      </c>
    </row>
    <row r="10149">
      <c r="A10149" s="1" t="s">
        <v>8</v>
      </c>
      <c r="B10149" s="2">
        <v>44741.0</v>
      </c>
      <c r="C10149" s="3">
        <v>0.7154976851851852</v>
      </c>
      <c r="D10149" s="1">
        <v>13.043065</v>
      </c>
      <c r="E10149" s="1">
        <v>80.247639</v>
      </c>
      <c r="F10149" s="1">
        <v>5339.0</v>
      </c>
      <c r="G10149" s="1">
        <v>27.0</v>
      </c>
    </row>
    <row r="10150">
      <c r="A10150" s="1" t="s">
        <v>7</v>
      </c>
      <c r="B10150" s="2">
        <v>44741.0</v>
      </c>
      <c r="C10150" s="3">
        <v>0.7155439814814815</v>
      </c>
      <c r="D10150" s="1">
        <v>12.596659</v>
      </c>
      <c r="E10150" s="1">
        <v>79.919625</v>
      </c>
      <c r="F10150" s="1">
        <v>2846.0</v>
      </c>
      <c r="G10150" s="1">
        <v>57.0</v>
      </c>
    </row>
    <row r="10151">
      <c r="A10151" s="1" t="s">
        <v>8</v>
      </c>
      <c r="B10151" s="2">
        <v>44741.0</v>
      </c>
      <c r="C10151" s="3">
        <v>0.7162847222222222</v>
      </c>
      <c r="D10151" s="1">
        <v>13.048036</v>
      </c>
      <c r="E10151" s="1">
        <v>80.249242</v>
      </c>
      <c r="F10151" s="1">
        <v>5339.0</v>
      </c>
      <c r="G10151" s="1">
        <v>36.0</v>
      </c>
    </row>
    <row r="10152">
      <c r="A10152" s="1" t="s">
        <v>8</v>
      </c>
      <c r="B10152" s="2">
        <v>44741.0</v>
      </c>
      <c r="C10152" s="3">
        <v>0.7164351851851852</v>
      </c>
      <c r="D10152" s="1">
        <v>13.049375</v>
      </c>
      <c r="E10152" s="1">
        <v>80.249729</v>
      </c>
      <c r="F10152" s="1">
        <v>5339.0</v>
      </c>
      <c r="G10152" s="1">
        <v>36.0</v>
      </c>
    </row>
    <row r="10153">
      <c r="A10153" s="1" t="s">
        <v>7</v>
      </c>
      <c r="B10153" s="2">
        <v>44741.0</v>
      </c>
      <c r="C10153" s="3">
        <v>0.7188078703703704</v>
      </c>
      <c r="D10153" s="1">
        <v>12.565832</v>
      </c>
      <c r="E10153" s="1">
        <v>79.914593</v>
      </c>
      <c r="F10153" s="1">
        <v>2846.0</v>
      </c>
      <c r="G10153" s="1">
        <v>56.0</v>
      </c>
    </row>
    <row r="10154">
      <c r="A10154" s="1" t="s">
        <v>10</v>
      </c>
      <c r="B10154" s="2">
        <v>44741.0</v>
      </c>
      <c r="C10154" s="3">
        <v>0.7207754629629629</v>
      </c>
      <c r="D10154" s="1">
        <v>13.05371</v>
      </c>
      <c r="E10154" s="1">
        <v>80.266175</v>
      </c>
      <c r="F10154" s="1">
        <v>5339.0</v>
      </c>
      <c r="G10154" s="1">
        <v>31.0</v>
      </c>
    </row>
    <row r="10155">
      <c r="A10155" s="1" t="s">
        <v>8</v>
      </c>
      <c r="B10155" s="2">
        <v>44741.0</v>
      </c>
      <c r="C10155" s="3">
        <v>0.721099537037037</v>
      </c>
      <c r="D10155" s="1">
        <v>13.040786</v>
      </c>
      <c r="E10155" s="1">
        <v>80.268094</v>
      </c>
      <c r="F10155" s="1">
        <v>805.0</v>
      </c>
      <c r="G10155" s="1">
        <v>22.0</v>
      </c>
    </row>
    <row r="10156">
      <c r="A10156" s="1" t="s">
        <v>8</v>
      </c>
      <c r="B10156" s="2">
        <v>44741.0</v>
      </c>
      <c r="C10156" s="3">
        <v>0.721099537037037</v>
      </c>
      <c r="D10156" s="1">
        <v>13.040786</v>
      </c>
      <c r="E10156" s="1">
        <v>80.268094</v>
      </c>
      <c r="F10156" s="1">
        <v>805.0</v>
      </c>
      <c r="G10156" s="1">
        <v>22.0</v>
      </c>
    </row>
    <row r="10157">
      <c r="A10157" s="1" t="s">
        <v>10</v>
      </c>
      <c r="B10157" s="2">
        <v>44741.0</v>
      </c>
      <c r="C10157" s="3">
        <v>0.7215625</v>
      </c>
      <c r="D10157" s="1">
        <v>13.04154</v>
      </c>
      <c r="E10157" s="1">
        <v>80.268169</v>
      </c>
      <c r="F10157" s="1">
        <v>805.0</v>
      </c>
      <c r="G10157" s="1">
        <v>8.0</v>
      </c>
    </row>
    <row r="10158">
      <c r="A10158" s="1" t="s">
        <v>10</v>
      </c>
      <c r="B10158" s="2">
        <v>44741.0</v>
      </c>
      <c r="C10158" s="3">
        <v>0.7223263888888889</v>
      </c>
      <c r="D10158" s="1">
        <v>13.053373</v>
      </c>
      <c r="E10158" s="1">
        <v>80.269884</v>
      </c>
      <c r="F10158" s="1">
        <v>5339.0</v>
      </c>
      <c r="G10158" s="1">
        <v>15.0</v>
      </c>
    </row>
    <row r="10159">
      <c r="A10159" s="1" t="s">
        <v>10</v>
      </c>
      <c r="B10159" s="2">
        <v>44741.0</v>
      </c>
      <c r="C10159" s="3">
        <v>0.7226851851851852</v>
      </c>
      <c r="D10159" s="1">
        <v>13.053258</v>
      </c>
      <c r="E10159" s="1">
        <v>80.271243</v>
      </c>
      <c r="F10159" s="1">
        <v>5339.0</v>
      </c>
      <c r="G10159" s="1">
        <v>18.0</v>
      </c>
    </row>
    <row r="10160">
      <c r="A10160" s="1" t="s">
        <v>10</v>
      </c>
      <c r="B10160" s="2">
        <v>44741.0</v>
      </c>
      <c r="C10160" s="3">
        <v>0.7230092592592593</v>
      </c>
      <c r="D10160" s="1">
        <v>13.053167</v>
      </c>
      <c r="E10160" s="1">
        <v>80.27187</v>
      </c>
      <c r="F10160" s="1">
        <v>5339.0</v>
      </c>
      <c r="G10160" s="1">
        <v>0.0</v>
      </c>
    </row>
    <row r="10161">
      <c r="A10161" s="1" t="s">
        <v>10</v>
      </c>
      <c r="B10161" s="2">
        <v>44741.0</v>
      </c>
      <c r="C10161" s="3">
        <v>0.7247916666666666</v>
      </c>
      <c r="D10161" s="1">
        <v>13.05422</v>
      </c>
      <c r="E10161" s="1">
        <v>80.273795</v>
      </c>
      <c r="F10161" s="1">
        <v>5339.0</v>
      </c>
      <c r="G10161" s="1">
        <v>11.0</v>
      </c>
    </row>
    <row r="10162">
      <c r="A10162" s="1" t="s">
        <v>10</v>
      </c>
      <c r="B10162" s="2">
        <v>44741.0</v>
      </c>
      <c r="C10162" s="3">
        <v>0.7262268518518519</v>
      </c>
      <c r="D10162" s="1">
        <v>13.05815</v>
      </c>
      <c r="E10162" s="1">
        <v>80.274142</v>
      </c>
      <c r="F10162" s="1">
        <v>5339.0</v>
      </c>
      <c r="G10162" s="1">
        <v>12.0</v>
      </c>
    </row>
    <row r="10163">
      <c r="A10163" s="1" t="s">
        <v>10</v>
      </c>
      <c r="B10163" s="2">
        <v>44741.0</v>
      </c>
      <c r="C10163" s="3">
        <v>0.7262847222222222</v>
      </c>
      <c r="D10163" s="1">
        <v>13.059073</v>
      </c>
      <c r="E10163" s="1">
        <v>80.265435</v>
      </c>
      <c r="F10163" s="1">
        <v>805.0</v>
      </c>
      <c r="G10163" s="1">
        <v>0.0</v>
      </c>
    </row>
    <row r="10164">
      <c r="A10164" s="1" t="s">
        <v>10</v>
      </c>
      <c r="B10164" s="2">
        <v>44741.0</v>
      </c>
      <c r="C10164" s="3">
        <v>0.7273148148148149</v>
      </c>
      <c r="D10164" s="1">
        <v>13.060672</v>
      </c>
      <c r="E10164" s="1">
        <v>80.274376</v>
      </c>
      <c r="F10164" s="1">
        <v>5339.0</v>
      </c>
      <c r="G10164" s="1">
        <v>11.0</v>
      </c>
    </row>
    <row r="10165">
      <c r="A10165" s="1" t="s">
        <v>10</v>
      </c>
      <c r="B10165" s="2">
        <v>44741.0</v>
      </c>
      <c r="C10165" s="3">
        <v>0.7276967592592593</v>
      </c>
      <c r="D10165" s="1">
        <v>13.061079</v>
      </c>
      <c r="E10165" s="1">
        <v>80.274444</v>
      </c>
      <c r="F10165" s="1">
        <v>5339.0</v>
      </c>
      <c r="G10165" s="1">
        <v>0.0</v>
      </c>
    </row>
    <row r="10166">
      <c r="A10166" s="1" t="s">
        <v>10</v>
      </c>
      <c r="B10166" s="2">
        <v>44741.0</v>
      </c>
      <c r="C10166" s="3">
        <v>0.7282060185185185</v>
      </c>
      <c r="D10166" s="1">
        <v>13.062839</v>
      </c>
      <c r="E10166" s="1">
        <v>80.274245</v>
      </c>
      <c r="F10166" s="1">
        <v>5339.0</v>
      </c>
      <c r="G10166" s="1">
        <v>26.0</v>
      </c>
    </row>
    <row r="10167">
      <c r="A10167" s="1" t="s">
        <v>8</v>
      </c>
      <c r="B10167" s="2">
        <v>44741.0</v>
      </c>
      <c r="C10167" s="3">
        <v>0.7286574074074074</v>
      </c>
      <c r="D10167" s="1">
        <v>13.065543</v>
      </c>
      <c r="E10167" s="1">
        <v>80.267395</v>
      </c>
      <c r="F10167" s="1">
        <v>805.0</v>
      </c>
      <c r="G10167" s="1">
        <v>13.0</v>
      </c>
    </row>
    <row r="10168">
      <c r="A10168" s="1" t="s">
        <v>10</v>
      </c>
      <c r="B10168" s="2">
        <v>44741.0</v>
      </c>
      <c r="C10168" s="3">
        <v>0.7295949074074074</v>
      </c>
      <c r="D10168" s="1">
        <v>13.06773</v>
      </c>
      <c r="E10168" s="1">
        <v>80.272412</v>
      </c>
      <c r="F10168" s="1">
        <v>5339.0</v>
      </c>
      <c r="G10168" s="1">
        <v>30.0</v>
      </c>
    </row>
    <row r="10169">
      <c r="A10169" s="1" t="s">
        <v>8</v>
      </c>
      <c r="B10169" s="2">
        <v>44741.0</v>
      </c>
      <c r="C10169" s="3">
        <v>0.7297685185185185</v>
      </c>
      <c r="D10169" s="1">
        <v>13.068127</v>
      </c>
      <c r="E10169" s="1">
        <v>80.271856</v>
      </c>
      <c r="F10169" s="1">
        <v>5339.0</v>
      </c>
      <c r="G10169" s="1">
        <v>11.0</v>
      </c>
    </row>
    <row r="10170">
      <c r="A10170" s="1" t="s">
        <v>10</v>
      </c>
      <c r="B10170" s="2">
        <v>44741.0</v>
      </c>
      <c r="C10170" s="3">
        <v>0.7311805555555555</v>
      </c>
      <c r="D10170" s="1">
        <v>13.068345</v>
      </c>
      <c r="E10170" s="1">
        <v>80.268994</v>
      </c>
      <c r="F10170" s="1">
        <v>5339.0</v>
      </c>
      <c r="G10170" s="1">
        <v>23.0</v>
      </c>
    </row>
    <row r="10171">
      <c r="A10171" s="1" t="s">
        <v>9</v>
      </c>
      <c r="B10171" s="2">
        <v>44741.0</v>
      </c>
      <c r="C10171" s="3">
        <v>0.7324652777777778</v>
      </c>
      <c r="D10171" s="1">
        <v>13.071149</v>
      </c>
      <c r="E10171" s="1">
        <v>80.265017</v>
      </c>
      <c r="F10171" s="1">
        <v>5339.0</v>
      </c>
      <c r="G10171" s="1">
        <v>6.0</v>
      </c>
    </row>
    <row r="10172">
      <c r="A10172" s="1" t="s">
        <v>8</v>
      </c>
      <c r="B10172" s="2">
        <v>44741.0</v>
      </c>
      <c r="C10172" s="3">
        <v>0.7340393518518519</v>
      </c>
      <c r="D10172" s="1">
        <v>13.070916</v>
      </c>
      <c r="E10172" s="1">
        <v>80.258405</v>
      </c>
      <c r="F10172" s="1">
        <v>5339.0</v>
      </c>
      <c r="G10172" s="1">
        <v>27.0</v>
      </c>
    </row>
    <row r="10173">
      <c r="A10173" s="1" t="s">
        <v>8</v>
      </c>
      <c r="B10173" s="2">
        <v>44741.0</v>
      </c>
      <c r="C10173" s="3">
        <v>0.7340393518518519</v>
      </c>
      <c r="D10173" s="1">
        <v>13.070916</v>
      </c>
      <c r="E10173" s="1">
        <v>80.258405</v>
      </c>
      <c r="F10173" s="1">
        <v>5339.0</v>
      </c>
      <c r="G10173" s="1">
        <v>27.0</v>
      </c>
    </row>
    <row r="10174">
      <c r="A10174" s="1" t="s">
        <v>8</v>
      </c>
      <c r="B10174" s="2">
        <v>44741.0</v>
      </c>
      <c r="C10174" s="3">
        <v>0.7340509259259259</v>
      </c>
      <c r="D10174" s="1">
        <v>13.070916</v>
      </c>
      <c r="E10174" s="1">
        <v>80.258405</v>
      </c>
      <c r="F10174" s="1">
        <v>5339.0</v>
      </c>
      <c r="G10174" s="1">
        <v>27.0</v>
      </c>
    </row>
    <row r="10175">
      <c r="A10175" s="1" t="s">
        <v>8</v>
      </c>
      <c r="B10175" s="2">
        <v>44741.0</v>
      </c>
      <c r="C10175" s="3">
        <v>0.7340509259259259</v>
      </c>
      <c r="D10175" s="1">
        <v>13.070916</v>
      </c>
      <c r="E10175" s="1">
        <v>80.258405</v>
      </c>
      <c r="F10175" s="1">
        <v>5339.0</v>
      </c>
      <c r="G10175" s="1">
        <v>27.0</v>
      </c>
    </row>
    <row r="10176">
      <c r="A10176" s="1" t="s">
        <v>8</v>
      </c>
      <c r="B10176" s="2">
        <v>44741.0</v>
      </c>
      <c r="C10176" s="3">
        <v>0.7345486111111111</v>
      </c>
      <c r="D10176" s="1">
        <v>13.069516</v>
      </c>
      <c r="E10176" s="1">
        <v>80.256958</v>
      </c>
      <c r="F10176" s="1">
        <v>5339.0</v>
      </c>
      <c r="G10176" s="1">
        <v>17.0</v>
      </c>
    </row>
    <row r="10177">
      <c r="A10177" s="1" t="s">
        <v>7</v>
      </c>
      <c r="B10177" s="2">
        <v>44742.0</v>
      </c>
      <c r="C10177" s="3">
        <v>0.28737268518518516</v>
      </c>
      <c r="D10177" s="1">
        <v>12.448854</v>
      </c>
      <c r="E10177" s="1">
        <v>79.839123</v>
      </c>
      <c r="F10177" s="1">
        <v>2846.0</v>
      </c>
      <c r="G10177" s="1">
        <v>57.0</v>
      </c>
    </row>
    <row r="10178">
      <c r="A10178" s="1" t="s">
        <v>7</v>
      </c>
      <c r="B10178" s="2">
        <v>44742.0</v>
      </c>
      <c r="C10178" s="3">
        <v>0.28854166666666664</v>
      </c>
      <c r="D10178" s="1">
        <v>12.461318</v>
      </c>
      <c r="E10178" s="1">
        <v>79.846774</v>
      </c>
      <c r="F10178" s="1">
        <v>2846.0</v>
      </c>
      <c r="G10178" s="1">
        <v>58.0</v>
      </c>
    </row>
    <row r="10179">
      <c r="A10179" s="1" t="s">
        <v>7</v>
      </c>
      <c r="B10179" s="2">
        <v>44742.0</v>
      </c>
      <c r="C10179" s="3">
        <v>0.2893634259259259</v>
      </c>
      <c r="D10179" s="1">
        <v>12.471921</v>
      </c>
      <c r="E10179" s="1">
        <v>79.854645</v>
      </c>
      <c r="F10179" s="1">
        <v>2846.0</v>
      </c>
      <c r="G10179" s="1">
        <v>58.0</v>
      </c>
    </row>
    <row r="10180">
      <c r="A10180" s="1" t="s">
        <v>7</v>
      </c>
      <c r="B10180" s="2">
        <v>44742.0</v>
      </c>
      <c r="C10180" s="3">
        <v>0.2901388888888889</v>
      </c>
      <c r="D10180" s="1">
        <v>12.477705</v>
      </c>
      <c r="E10180" s="1">
        <v>79.859196</v>
      </c>
      <c r="F10180" s="1">
        <v>2846.0</v>
      </c>
      <c r="G10180" s="1">
        <v>58.0</v>
      </c>
    </row>
    <row r="10181">
      <c r="A10181" s="1" t="s">
        <v>7</v>
      </c>
      <c r="B10181" s="2">
        <v>44742.0</v>
      </c>
      <c r="C10181" s="3">
        <v>0.2909837962962963</v>
      </c>
      <c r="D10181" s="1">
        <v>12.488916</v>
      </c>
      <c r="E10181" s="1">
        <v>79.866009</v>
      </c>
      <c r="F10181" s="1">
        <v>2846.0</v>
      </c>
      <c r="G10181" s="1">
        <v>57.0</v>
      </c>
    </row>
    <row r="10182">
      <c r="A10182" s="1" t="s">
        <v>7</v>
      </c>
      <c r="B10182" s="2">
        <v>44742.0</v>
      </c>
      <c r="C10182" s="3">
        <v>0.2913773148148148</v>
      </c>
      <c r="D10182" s="1">
        <v>12.488916</v>
      </c>
      <c r="E10182" s="1">
        <v>79.866009</v>
      </c>
      <c r="F10182" s="1">
        <v>2846.0</v>
      </c>
      <c r="G10182" s="1">
        <v>57.0</v>
      </c>
    </row>
    <row r="10183">
      <c r="A10183" s="1" t="s">
        <v>7</v>
      </c>
      <c r="B10183" s="2">
        <v>44742.0</v>
      </c>
      <c r="C10183" s="3">
        <v>0.2915277777777778</v>
      </c>
      <c r="D10183" s="1">
        <v>12.494551</v>
      </c>
      <c r="E10183" s="1">
        <v>79.870703</v>
      </c>
      <c r="F10183" s="1">
        <v>2846.0</v>
      </c>
      <c r="G10183" s="1">
        <v>58.0</v>
      </c>
    </row>
    <row r="10184">
      <c r="A10184" s="1" t="s">
        <v>7</v>
      </c>
      <c r="B10184" s="2">
        <v>44742.0</v>
      </c>
      <c r="C10184" s="3">
        <v>0.29162037037037036</v>
      </c>
      <c r="D10184" s="1">
        <v>12.494551</v>
      </c>
      <c r="E10184" s="1">
        <v>79.870703</v>
      </c>
      <c r="F10184" s="1">
        <v>2846.0</v>
      </c>
      <c r="G10184" s="1">
        <v>58.0</v>
      </c>
    </row>
    <row r="10185">
      <c r="A10185" s="1" t="s">
        <v>10</v>
      </c>
      <c r="B10185" s="2">
        <v>44742.0</v>
      </c>
      <c r="C10185" s="3">
        <v>0.29269675925925925</v>
      </c>
      <c r="D10185" s="1">
        <v>13.064097</v>
      </c>
      <c r="E10185" s="1">
        <v>80.249313</v>
      </c>
      <c r="F10185" s="1">
        <v>5339.0</v>
      </c>
      <c r="G10185" s="1">
        <v>17.0</v>
      </c>
    </row>
    <row r="10186">
      <c r="A10186" s="1" t="s">
        <v>8</v>
      </c>
      <c r="B10186" s="2">
        <v>44742.0</v>
      </c>
      <c r="C10186" s="3">
        <v>0.293275462962963</v>
      </c>
      <c r="D10186" s="1">
        <v>12.510959</v>
      </c>
      <c r="E10186" s="1">
        <v>79.882988</v>
      </c>
      <c r="F10186" s="1">
        <v>2846.0</v>
      </c>
      <c r="G10186" s="1">
        <v>35.0</v>
      </c>
    </row>
    <row r="10187">
      <c r="A10187" s="1" t="s">
        <v>7</v>
      </c>
      <c r="B10187" s="2">
        <v>44742.0</v>
      </c>
      <c r="C10187" s="3">
        <v>0.2936111111111111</v>
      </c>
      <c r="D10187" s="1">
        <v>12.51316</v>
      </c>
      <c r="E10187" s="1">
        <v>79.883966</v>
      </c>
      <c r="F10187" s="1">
        <v>2846.0</v>
      </c>
      <c r="G10187" s="1">
        <v>58.0</v>
      </c>
    </row>
    <row r="10188">
      <c r="A10188" s="1" t="s">
        <v>7</v>
      </c>
      <c r="B10188" s="2">
        <v>44742.0</v>
      </c>
      <c r="C10188" s="3">
        <v>0.2938425925925926</v>
      </c>
      <c r="D10188" s="1">
        <v>12.51586</v>
      </c>
      <c r="E10188" s="1">
        <v>79.887446</v>
      </c>
      <c r="F10188" s="1">
        <v>2846.0</v>
      </c>
      <c r="G10188" s="1">
        <v>62.0</v>
      </c>
    </row>
    <row r="10189">
      <c r="A10189" s="1" t="s">
        <v>10</v>
      </c>
      <c r="B10189" s="2">
        <v>44742.0</v>
      </c>
      <c r="C10189" s="3">
        <v>0.29409722222222223</v>
      </c>
      <c r="D10189" s="1">
        <v>13.061984</v>
      </c>
      <c r="E10189" s="1">
        <v>80.245806</v>
      </c>
      <c r="F10189" s="1">
        <v>5339.0</v>
      </c>
      <c r="G10189" s="1">
        <v>37.0</v>
      </c>
    </row>
    <row r="10190">
      <c r="A10190" s="1" t="s">
        <v>10</v>
      </c>
      <c r="B10190" s="2">
        <v>44742.0</v>
      </c>
      <c r="C10190" s="3">
        <v>0.2947800925925926</v>
      </c>
      <c r="D10190" s="1">
        <v>12.51433</v>
      </c>
      <c r="E10190" s="1">
        <v>79.888104</v>
      </c>
      <c r="F10190" s="1">
        <v>2846.0</v>
      </c>
      <c r="G10190" s="1">
        <v>55.0</v>
      </c>
    </row>
    <row r="10191">
      <c r="A10191" s="1" t="s">
        <v>10</v>
      </c>
      <c r="B10191" s="2">
        <v>44742.0</v>
      </c>
      <c r="C10191" s="3">
        <v>0.29574074074074075</v>
      </c>
      <c r="D10191" s="1">
        <v>12.510247</v>
      </c>
      <c r="E10191" s="1">
        <v>79.888194</v>
      </c>
      <c r="F10191" s="1">
        <v>2846.0</v>
      </c>
      <c r="G10191" s="1">
        <v>48.0</v>
      </c>
    </row>
    <row r="10192">
      <c r="A10192" s="1" t="s">
        <v>8</v>
      </c>
      <c r="B10192" s="2">
        <v>44742.0</v>
      </c>
      <c r="C10192" s="3">
        <v>0.29746527777777776</v>
      </c>
      <c r="D10192" s="1">
        <v>12.511171</v>
      </c>
      <c r="E10192" s="1">
        <v>79.885212</v>
      </c>
      <c r="F10192" s="1">
        <v>2846.0</v>
      </c>
      <c r="G10192" s="1">
        <v>27.0</v>
      </c>
    </row>
    <row r="10193">
      <c r="A10193" s="1" t="s">
        <v>7</v>
      </c>
      <c r="B10193" s="2">
        <v>44742.0</v>
      </c>
      <c r="C10193" s="3">
        <v>0.29824074074074075</v>
      </c>
      <c r="D10193" s="1">
        <v>12.518224</v>
      </c>
      <c r="E10193" s="1">
        <v>79.887978</v>
      </c>
      <c r="F10193" s="1">
        <v>2846.0</v>
      </c>
      <c r="G10193" s="1">
        <v>59.0</v>
      </c>
    </row>
    <row r="10194">
      <c r="A10194" s="1" t="s">
        <v>10</v>
      </c>
      <c r="B10194" s="2">
        <v>44742.0</v>
      </c>
      <c r="C10194" s="3">
        <v>0.3025347222222222</v>
      </c>
      <c r="D10194" s="1">
        <v>13.066171</v>
      </c>
      <c r="E10194" s="1">
        <v>80.273739</v>
      </c>
      <c r="F10194" s="1">
        <v>5339.0</v>
      </c>
      <c r="G10194" s="1">
        <v>26.0</v>
      </c>
    </row>
    <row r="10195">
      <c r="A10195" s="1" t="s">
        <v>10</v>
      </c>
      <c r="B10195" s="2">
        <v>44742.0</v>
      </c>
      <c r="C10195" s="3">
        <v>0.3033912037037037</v>
      </c>
      <c r="D10195" s="1">
        <v>13.063866</v>
      </c>
      <c r="E10195" s="1">
        <v>80.274013</v>
      </c>
      <c r="F10195" s="1">
        <v>5339.0</v>
      </c>
      <c r="G10195" s="1">
        <v>24.0</v>
      </c>
    </row>
    <row r="10196">
      <c r="A10196" s="1" t="s">
        <v>10</v>
      </c>
      <c r="B10196" s="2">
        <v>44742.0</v>
      </c>
      <c r="C10196" s="3">
        <v>0.3055555555555556</v>
      </c>
      <c r="D10196" s="1">
        <v>13.056918</v>
      </c>
      <c r="E10196" s="1">
        <v>80.27393</v>
      </c>
      <c r="F10196" s="1">
        <v>5339.0</v>
      </c>
      <c r="G10196" s="1">
        <v>22.0</v>
      </c>
    </row>
    <row r="10197">
      <c r="A10197" s="1" t="s">
        <v>10</v>
      </c>
      <c r="B10197" s="2">
        <v>44742.0</v>
      </c>
      <c r="C10197" s="3">
        <v>0.30724537037037036</v>
      </c>
      <c r="D10197" s="1">
        <v>13.053109</v>
      </c>
      <c r="E10197" s="1">
        <v>80.271888</v>
      </c>
      <c r="F10197" s="1">
        <v>5339.0</v>
      </c>
      <c r="G10197" s="1">
        <v>6.0</v>
      </c>
    </row>
    <row r="10198">
      <c r="A10198" s="1" t="s">
        <v>10</v>
      </c>
      <c r="B10198" s="2">
        <v>44742.0</v>
      </c>
      <c r="C10198" s="3">
        <v>0.3074074074074074</v>
      </c>
      <c r="D10198" s="1">
        <v>13.05318</v>
      </c>
      <c r="E10198" s="1">
        <v>80.271499</v>
      </c>
      <c r="F10198" s="1">
        <v>5339.0</v>
      </c>
      <c r="G10198" s="1">
        <v>21.0</v>
      </c>
    </row>
    <row r="10199">
      <c r="A10199" s="1" t="s">
        <v>10</v>
      </c>
      <c r="B10199" s="2">
        <v>44742.0</v>
      </c>
      <c r="C10199" s="3">
        <v>0.30787037037037035</v>
      </c>
      <c r="D10199" s="1">
        <v>13.053394</v>
      </c>
      <c r="E10199" s="1">
        <v>80.26949</v>
      </c>
      <c r="F10199" s="1">
        <v>5339.0</v>
      </c>
      <c r="G10199" s="1">
        <v>17.0</v>
      </c>
    </row>
    <row r="10200">
      <c r="A10200" s="1" t="s">
        <v>8</v>
      </c>
      <c r="B10200" s="2">
        <v>44742.0</v>
      </c>
      <c r="C10200" s="3">
        <v>0.31015046296296295</v>
      </c>
      <c r="D10200" s="1">
        <v>13.054621</v>
      </c>
      <c r="E10200" s="1">
        <v>80.255468</v>
      </c>
      <c r="F10200" s="1">
        <v>5339.0</v>
      </c>
      <c r="G10200" s="1">
        <v>52.0</v>
      </c>
    </row>
    <row r="10201">
      <c r="A10201" s="1" t="s">
        <v>8</v>
      </c>
      <c r="B10201" s="2">
        <v>44742.0</v>
      </c>
      <c r="C10201" s="3">
        <v>0.3108680555555556</v>
      </c>
      <c r="D10201" s="1">
        <v>13.052081</v>
      </c>
      <c r="E10201" s="1">
        <v>80.250754</v>
      </c>
      <c r="F10201" s="1">
        <v>5339.0</v>
      </c>
      <c r="G10201" s="1">
        <v>33.0</v>
      </c>
    </row>
    <row r="10202">
      <c r="A10202" s="1" t="s">
        <v>9</v>
      </c>
      <c r="B10202" s="2">
        <v>44742.0</v>
      </c>
      <c r="C10202" s="3">
        <v>0.3111689814814815</v>
      </c>
      <c r="D10202" s="1">
        <v>13.049277</v>
      </c>
      <c r="E10202" s="1">
        <v>80.249793</v>
      </c>
      <c r="F10202" s="1">
        <v>5339.0</v>
      </c>
      <c r="G10202" s="1">
        <v>40.0</v>
      </c>
    </row>
    <row r="10203">
      <c r="A10203" s="1" t="s">
        <v>8</v>
      </c>
      <c r="B10203" s="2">
        <v>44742.0</v>
      </c>
      <c r="C10203" s="3">
        <v>0.3112037037037037</v>
      </c>
      <c r="D10203" s="1">
        <v>13.050096</v>
      </c>
      <c r="E10203" s="1">
        <v>80.264106</v>
      </c>
      <c r="F10203" s="1">
        <v>805.0</v>
      </c>
      <c r="G10203" s="1">
        <v>40.0</v>
      </c>
    </row>
    <row r="10204">
      <c r="A10204" s="1" t="s">
        <v>8</v>
      </c>
      <c r="B10204" s="2">
        <v>44742.0</v>
      </c>
      <c r="C10204" s="3">
        <v>0.31256944444444446</v>
      </c>
      <c r="D10204" s="1">
        <v>13.044824</v>
      </c>
      <c r="E10204" s="1">
        <v>80.266777</v>
      </c>
      <c r="F10204" s="1">
        <v>805.0</v>
      </c>
      <c r="G10204" s="1">
        <v>22.0</v>
      </c>
    </row>
    <row r="10205">
      <c r="A10205" s="1" t="s">
        <v>8</v>
      </c>
      <c r="B10205" s="2">
        <v>44742.0</v>
      </c>
      <c r="C10205" s="3">
        <v>0.3127662037037037</v>
      </c>
      <c r="D10205" s="1">
        <v>12.656797</v>
      </c>
      <c r="E10205" s="1">
        <v>79.949513</v>
      </c>
      <c r="F10205" s="1">
        <v>2846.0</v>
      </c>
      <c r="G10205" s="1">
        <v>46.0</v>
      </c>
    </row>
    <row r="10206">
      <c r="A10206" s="1" t="s">
        <v>7</v>
      </c>
      <c r="B10206" s="2">
        <v>44742.0</v>
      </c>
      <c r="C10206" s="3">
        <v>0.3128125</v>
      </c>
      <c r="D10206" s="1">
        <v>13.043944</v>
      </c>
      <c r="E10206" s="1">
        <v>80.247946</v>
      </c>
      <c r="F10206" s="1">
        <v>5339.0</v>
      </c>
      <c r="G10206" s="1">
        <v>34.0</v>
      </c>
    </row>
    <row r="10207">
      <c r="A10207" s="1" t="s">
        <v>7</v>
      </c>
      <c r="B10207" s="2">
        <v>44742.0</v>
      </c>
      <c r="C10207" s="3">
        <v>0.3130787037037037</v>
      </c>
      <c r="D10207" s="1">
        <v>12.656022</v>
      </c>
      <c r="E10207" s="1">
        <v>79.953417</v>
      </c>
      <c r="F10207" s="1">
        <v>2846.0</v>
      </c>
      <c r="G10207" s="1">
        <v>56.0</v>
      </c>
    </row>
    <row r="10208">
      <c r="A10208" s="1" t="s">
        <v>8</v>
      </c>
      <c r="B10208" s="2">
        <v>44742.0</v>
      </c>
      <c r="C10208" s="3">
        <v>0.3131712962962963</v>
      </c>
      <c r="D10208" s="1">
        <v>13.044757</v>
      </c>
      <c r="E10208" s="1">
        <v>80.248091</v>
      </c>
      <c r="F10208" s="1">
        <v>5339.0</v>
      </c>
      <c r="G10208" s="1">
        <v>31.0</v>
      </c>
    </row>
    <row r="10209">
      <c r="A10209" s="1" t="s">
        <v>9</v>
      </c>
      <c r="B10209" s="2">
        <v>44742.0</v>
      </c>
      <c r="C10209" s="3">
        <v>0.313599537037037</v>
      </c>
      <c r="D10209" s="1">
        <v>12.656022</v>
      </c>
      <c r="E10209" s="1">
        <v>79.953417</v>
      </c>
      <c r="F10209" s="1">
        <v>2846.0</v>
      </c>
      <c r="G10209" s="1">
        <v>56.0</v>
      </c>
    </row>
    <row r="10210">
      <c r="A10210" s="1" t="s">
        <v>9</v>
      </c>
      <c r="B10210" s="2">
        <v>44742.0</v>
      </c>
      <c r="C10210" s="3">
        <v>0.3143518518518518</v>
      </c>
      <c r="D10210" s="1">
        <v>12.658704</v>
      </c>
      <c r="E10210" s="1">
        <v>79.960993</v>
      </c>
      <c r="F10210" s="1">
        <v>2846.0</v>
      </c>
      <c r="G10210" s="1">
        <v>37.0</v>
      </c>
    </row>
    <row r="10211">
      <c r="A10211" s="1" t="s">
        <v>8</v>
      </c>
      <c r="B10211" s="2">
        <v>44742.0</v>
      </c>
      <c r="C10211" s="3">
        <v>0.31502314814814814</v>
      </c>
      <c r="D10211" s="1">
        <v>13.033633</v>
      </c>
      <c r="E10211" s="1">
        <v>80.24418</v>
      </c>
      <c r="F10211" s="1">
        <v>5339.0</v>
      </c>
      <c r="G10211" s="1">
        <v>42.0</v>
      </c>
    </row>
    <row r="10212">
      <c r="A10212" s="1" t="s">
        <v>9</v>
      </c>
      <c r="B10212" s="2">
        <v>44742.0</v>
      </c>
      <c r="C10212" s="3">
        <v>0.31505787037037036</v>
      </c>
      <c r="D10212" s="1">
        <v>13.033633</v>
      </c>
      <c r="E10212" s="1">
        <v>80.24418</v>
      </c>
      <c r="F10212" s="1">
        <v>5339.0</v>
      </c>
      <c r="G10212" s="1">
        <v>42.0</v>
      </c>
    </row>
    <row r="10213">
      <c r="A10213" s="1" t="s">
        <v>10</v>
      </c>
      <c r="B10213" s="2">
        <v>44742.0</v>
      </c>
      <c r="C10213" s="3">
        <v>0.3156365740740741</v>
      </c>
      <c r="D10213" s="1">
        <v>13.033056</v>
      </c>
      <c r="E10213" s="1">
        <v>80.267712</v>
      </c>
      <c r="F10213" s="1">
        <v>805.0</v>
      </c>
      <c r="G10213" s="1">
        <v>9.0</v>
      </c>
    </row>
    <row r="10214">
      <c r="A10214" s="1" t="s">
        <v>8</v>
      </c>
      <c r="B10214" s="2">
        <v>44742.0</v>
      </c>
      <c r="C10214" s="3">
        <v>0.31601851851851853</v>
      </c>
      <c r="D10214" s="1">
        <v>13.030969</v>
      </c>
      <c r="E10214" s="1">
        <v>80.239641</v>
      </c>
      <c r="F10214" s="1">
        <v>5339.0</v>
      </c>
      <c r="G10214" s="1">
        <v>30.0</v>
      </c>
    </row>
    <row r="10215">
      <c r="A10215" s="1" t="s">
        <v>8</v>
      </c>
      <c r="B10215" s="2">
        <v>44742.0</v>
      </c>
      <c r="C10215" s="3">
        <v>0.31675925925925924</v>
      </c>
      <c r="D10215" s="1">
        <v>13.026565</v>
      </c>
      <c r="E10215" s="1">
        <v>80.233084</v>
      </c>
      <c r="F10215" s="1">
        <v>5339.0</v>
      </c>
      <c r="G10215" s="1">
        <v>41.0</v>
      </c>
    </row>
    <row r="10216">
      <c r="A10216" s="1" t="s">
        <v>8</v>
      </c>
      <c r="B10216" s="2">
        <v>44742.0</v>
      </c>
      <c r="C10216" s="3">
        <v>0.3168287037037037</v>
      </c>
      <c r="D10216" s="1">
        <v>13.026565</v>
      </c>
      <c r="E10216" s="1">
        <v>80.233084</v>
      </c>
      <c r="F10216" s="1">
        <v>5339.0</v>
      </c>
      <c r="G10216" s="1">
        <v>41.0</v>
      </c>
    </row>
    <row r="10217">
      <c r="A10217" s="1" t="s">
        <v>8</v>
      </c>
      <c r="B10217" s="2">
        <v>44742.0</v>
      </c>
      <c r="C10217" s="3">
        <v>0.3168402777777778</v>
      </c>
      <c r="D10217" s="1">
        <v>13.026181</v>
      </c>
      <c r="E10217" s="1">
        <v>80.232156</v>
      </c>
      <c r="F10217" s="1">
        <v>5339.0</v>
      </c>
      <c r="G10217" s="1">
        <v>36.0</v>
      </c>
    </row>
    <row r="10218">
      <c r="A10218" s="1" t="s">
        <v>8</v>
      </c>
      <c r="B10218" s="2">
        <v>44742.0</v>
      </c>
      <c r="C10218" s="3">
        <v>0.316875</v>
      </c>
      <c r="D10218" s="1">
        <v>13.026181</v>
      </c>
      <c r="E10218" s="1">
        <v>80.232156</v>
      </c>
      <c r="F10218" s="1">
        <v>5339.0</v>
      </c>
      <c r="G10218" s="1">
        <v>36.0</v>
      </c>
    </row>
    <row r="10219">
      <c r="A10219" s="1" t="s">
        <v>8</v>
      </c>
      <c r="B10219" s="2">
        <v>44742.0</v>
      </c>
      <c r="C10219" s="3">
        <v>0.3169328703703704</v>
      </c>
      <c r="D10219" s="1">
        <v>13.026181</v>
      </c>
      <c r="E10219" s="1">
        <v>80.232156</v>
      </c>
      <c r="F10219" s="1">
        <v>5339.0</v>
      </c>
      <c r="G10219" s="1">
        <v>36.0</v>
      </c>
    </row>
    <row r="10220">
      <c r="A10220" s="1" t="s">
        <v>10</v>
      </c>
      <c r="B10220" s="2">
        <v>44742.0</v>
      </c>
      <c r="C10220" s="3">
        <v>0.31755787037037037</v>
      </c>
      <c r="D10220" s="1">
        <v>12.678856</v>
      </c>
      <c r="E10220" s="1">
        <v>79.980171</v>
      </c>
      <c r="F10220" s="1">
        <v>2846.0</v>
      </c>
      <c r="G10220" s="1">
        <v>37.0</v>
      </c>
    </row>
    <row r="10221">
      <c r="A10221" s="1" t="s">
        <v>8</v>
      </c>
      <c r="B10221" s="2">
        <v>44742.0</v>
      </c>
      <c r="C10221" s="3">
        <v>0.318125</v>
      </c>
      <c r="D10221" s="1">
        <v>13.017576</v>
      </c>
      <c r="E10221" s="1">
        <v>80.225015</v>
      </c>
      <c r="F10221" s="1">
        <v>5339.0</v>
      </c>
      <c r="G10221" s="1">
        <v>53.0</v>
      </c>
    </row>
    <row r="10222">
      <c r="A10222" s="1" t="s">
        <v>8</v>
      </c>
      <c r="B10222" s="2">
        <v>44742.0</v>
      </c>
      <c r="C10222" s="3">
        <v>0.31828703703703703</v>
      </c>
      <c r="D10222" s="1">
        <v>13.016402</v>
      </c>
      <c r="E10222" s="1">
        <v>80.225498</v>
      </c>
      <c r="F10222" s="1">
        <v>5339.0</v>
      </c>
      <c r="G10222" s="1">
        <v>46.0</v>
      </c>
    </row>
    <row r="10223">
      <c r="A10223" s="1" t="s">
        <v>9</v>
      </c>
      <c r="B10223" s="2">
        <v>44742.0</v>
      </c>
      <c r="C10223" s="3">
        <v>0.3185763888888889</v>
      </c>
      <c r="D10223" s="1">
        <v>13.013416</v>
      </c>
      <c r="E10223" s="1">
        <v>80.226624</v>
      </c>
      <c r="F10223" s="1">
        <v>5339.0</v>
      </c>
      <c r="G10223" s="1">
        <v>45.0</v>
      </c>
    </row>
    <row r="10224">
      <c r="A10224" s="1" t="s">
        <v>8</v>
      </c>
      <c r="B10224" s="2">
        <v>44742.0</v>
      </c>
      <c r="C10224" s="3">
        <v>0.31885416666666666</v>
      </c>
      <c r="D10224" s="1">
        <v>13.011309</v>
      </c>
      <c r="E10224" s="1">
        <v>80.227415</v>
      </c>
      <c r="F10224" s="1">
        <v>5339.0</v>
      </c>
      <c r="G10224" s="1">
        <v>50.0</v>
      </c>
    </row>
    <row r="10225">
      <c r="A10225" s="1" t="s">
        <v>8</v>
      </c>
      <c r="B10225" s="2">
        <v>44742.0</v>
      </c>
      <c r="C10225" s="3">
        <v>0.31939814814814815</v>
      </c>
      <c r="D10225" s="1">
        <v>13.010466</v>
      </c>
      <c r="E10225" s="1">
        <v>80.225474</v>
      </c>
      <c r="F10225" s="1">
        <v>5339.0</v>
      </c>
      <c r="G10225" s="1">
        <v>49.0</v>
      </c>
    </row>
    <row r="10226">
      <c r="A10226" s="1" t="s">
        <v>10</v>
      </c>
      <c r="B10226" s="2">
        <v>44742.0</v>
      </c>
      <c r="C10226" s="3">
        <v>0.31971064814814815</v>
      </c>
      <c r="D10226" s="1">
        <v>12.688354</v>
      </c>
      <c r="E10226" s="1">
        <v>79.982801</v>
      </c>
      <c r="F10226" s="1">
        <v>2846.0</v>
      </c>
      <c r="G10226" s="1">
        <v>34.0</v>
      </c>
    </row>
    <row r="10227">
      <c r="A10227" s="1" t="s">
        <v>8</v>
      </c>
      <c r="B10227" s="2">
        <v>44742.0</v>
      </c>
      <c r="C10227" s="3">
        <v>0.3204050925925926</v>
      </c>
      <c r="D10227" s="1">
        <v>13.012062</v>
      </c>
      <c r="E10227" s="1">
        <v>80.220917</v>
      </c>
      <c r="F10227" s="1">
        <v>5339.0</v>
      </c>
      <c r="G10227" s="1">
        <v>27.0</v>
      </c>
    </row>
    <row r="10228">
      <c r="A10228" s="1" t="s">
        <v>8</v>
      </c>
      <c r="B10228" s="2">
        <v>44742.0</v>
      </c>
      <c r="C10228" s="3">
        <v>0.3204513888888889</v>
      </c>
      <c r="D10228" s="1">
        <v>13.011796</v>
      </c>
      <c r="E10228" s="1">
        <v>80.219974</v>
      </c>
      <c r="F10228" s="1">
        <v>5339.0</v>
      </c>
      <c r="G10228" s="1">
        <v>39.0</v>
      </c>
    </row>
    <row r="10229">
      <c r="A10229" s="1" t="s">
        <v>8</v>
      </c>
      <c r="B10229" s="2">
        <v>44742.0</v>
      </c>
      <c r="C10229" s="3">
        <v>0.32101851851851854</v>
      </c>
      <c r="D10229" s="1">
        <v>13.009736</v>
      </c>
      <c r="E10229" s="1">
        <v>80.213832</v>
      </c>
      <c r="F10229" s="1">
        <v>5339.0</v>
      </c>
      <c r="G10229" s="1">
        <v>60.0</v>
      </c>
    </row>
    <row r="10230">
      <c r="A10230" s="1" t="s">
        <v>8</v>
      </c>
      <c r="B10230" s="2">
        <v>44742.0</v>
      </c>
      <c r="C10230" s="3">
        <v>0.3215277777777778</v>
      </c>
      <c r="D10230" s="1">
        <v>13.008072</v>
      </c>
      <c r="E10230" s="1">
        <v>80.209103</v>
      </c>
      <c r="F10230" s="1">
        <v>5339.0</v>
      </c>
      <c r="G10230" s="1">
        <v>42.0</v>
      </c>
    </row>
    <row r="10231">
      <c r="A10231" s="1" t="s">
        <v>8</v>
      </c>
      <c r="B10231" s="2">
        <v>44742.0</v>
      </c>
      <c r="C10231" s="3">
        <v>0.32158564814814816</v>
      </c>
      <c r="D10231" s="1">
        <v>13.008072</v>
      </c>
      <c r="E10231" s="1">
        <v>80.209103</v>
      </c>
      <c r="F10231" s="1">
        <v>5339.0</v>
      </c>
      <c r="G10231" s="1">
        <v>42.0</v>
      </c>
    </row>
    <row r="10232">
      <c r="A10232" s="1" t="s">
        <v>8</v>
      </c>
      <c r="B10232" s="2">
        <v>44742.0</v>
      </c>
      <c r="C10232" s="3">
        <v>0.32175925925925924</v>
      </c>
      <c r="D10232" s="1">
        <v>13.007702</v>
      </c>
      <c r="E10232" s="1">
        <v>80.206964</v>
      </c>
      <c r="F10232" s="1">
        <v>5339.0</v>
      </c>
      <c r="G10232" s="1">
        <v>43.0</v>
      </c>
    </row>
    <row r="10233">
      <c r="A10233" s="1" t="s">
        <v>8</v>
      </c>
      <c r="B10233" s="2">
        <v>44742.0</v>
      </c>
      <c r="C10233" s="3">
        <v>0.32211805555555556</v>
      </c>
      <c r="D10233" s="1">
        <v>13.006669</v>
      </c>
      <c r="E10233" s="1">
        <v>80.203892</v>
      </c>
      <c r="F10233" s="1">
        <v>5339.0</v>
      </c>
      <c r="G10233" s="1">
        <v>48.0</v>
      </c>
    </row>
    <row r="10234">
      <c r="A10234" s="1" t="s">
        <v>10</v>
      </c>
      <c r="B10234" s="2">
        <v>44742.0</v>
      </c>
      <c r="C10234" s="3">
        <v>0.3221643518518518</v>
      </c>
      <c r="D10234" s="1">
        <v>13.006122</v>
      </c>
      <c r="E10234" s="1">
        <v>80.2031</v>
      </c>
      <c r="F10234" s="1">
        <v>5339.0</v>
      </c>
      <c r="G10234" s="1">
        <v>27.0</v>
      </c>
    </row>
    <row r="10235">
      <c r="A10235" s="1" t="s">
        <v>8</v>
      </c>
      <c r="B10235" s="2">
        <v>44742.0</v>
      </c>
      <c r="C10235" s="3">
        <v>0.3224652777777778</v>
      </c>
      <c r="D10235" s="1">
        <v>13.005413</v>
      </c>
      <c r="E10235" s="1">
        <v>80.201881</v>
      </c>
      <c r="F10235" s="1">
        <v>5339.0</v>
      </c>
      <c r="G10235" s="1">
        <v>37.0</v>
      </c>
    </row>
    <row r="10236">
      <c r="A10236" s="1" t="s">
        <v>8</v>
      </c>
      <c r="B10236" s="2">
        <v>44742.0</v>
      </c>
      <c r="C10236" s="3">
        <v>0.3227083333333333</v>
      </c>
      <c r="D10236" s="1">
        <v>13.003466</v>
      </c>
      <c r="E10236" s="1">
        <v>80.200894</v>
      </c>
      <c r="F10236" s="1">
        <v>5339.0</v>
      </c>
      <c r="G10236" s="1">
        <v>45.0</v>
      </c>
    </row>
    <row r="10237">
      <c r="A10237" s="1" t="s">
        <v>10</v>
      </c>
      <c r="B10237" s="2">
        <v>44742.0</v>
      </c>
      <c r="C10237" s="3">
        <v>0.32307870370370373</v>
      </c>
      <c r="D10237" s="1">
        <v>12.69761</v>
      </c>
      <c r="E10237" s="1">
        <v>79.975548</v>
      </c>
      <c r="F10237" s="1">
        <v>2846.0</v>
      </c>
      <c r="G10237" s="1">
        <v>29.0</v>
      </c>
    </row>
    <row r="10238">
      <c r="A10238" s="1" t="s">
        <v>8</v>
      </c>
      <c r="B10238" s="2">
        <v>44742.0</v>
      </c>
      <c r="C10238" s="3">
        <v>0.3232175925925926</v>
      </c>
      <c r="D10238" s="1">
        <v>13.001871</v>
      </c>
      <c r="E10238" s="1">
        <v>80.196668</v>
      </c>
      <c r="F10238" s="1">
        <v>5339.0</v>
      </c>
      <c r="G10238" s="1">
        <v>42.0</v>
      </c>
    </row>
    <row r="10239">
      <c r="A10239" s="1" t="s">
        <v>8</v>
      </c>
      <c r="B10239" s="2">
        <v>44742.0</v>
      </c>
      <c r="C10239" s="3">
        <v>0.32329861111111113</v>
      </c>
      <c r="D10239" s="1">
        <v>13.006445</v>
      </c>
      <c r="E10239" s="1">
        <v>80.256666</v>
      </c>
      <c r="F10239" s="1">
        <v>805.0</v>
      </c>
      <c r="G10239" s="1">
        <v>30.0</v>
      </c>
    </row>
    <row r="10240">
      <c r="A10240" s="1" t="s">
        <v>8</v>
      </c>
      <c r="B10240" s="2">
        <v>44742.0</v>
      </c>
      <c r="C10240" s="3">
        <v>0.32341435185185186</v>
      </c>
      <c r="D10240" s="1">
        <v>13.001243</v>
      </c>
      <c r="E10240" s="1">
        <v>80.195788</v>
      </c>
      <c r="F10240" s="1">
        <v>5339.0</v>
      </c>
      <c r="G10240" s="1">
        <v>44.0</v>
      </c>
    </row>
    <row r="10241">
      <c r="A10241" s="1" t="s">
        <v>8</v>
      </c>
      <c r="B10241" s="2">
        <v>44742.0</v>
      </c>
      <c r="C10241" s="3">
        <v>0.32349537037037035</v>
      </c>
      <c r="D10241" s="1">
        <v>13.000481</v>
      </c>
      <c r="E10241" s="1">
        <v>80.194822</v>
      </c>
      <c r="F10241" s="1">
        <v>5339.0</v>
      </c>
      <c r="G10241" s="1">
        <v>50.0</v>
      </c>
    </row>
    <row r="10242">
      <c r="A10242" s="1" t="s">
        <v>8</v>
      </c>
      <c r="B10242" s="2">
        <v>44742.0</v>
      </c>
      <c r="C10242" s="3">
        <v>0.3236111111111111</v>
      </c>
      <c r="D10242" s="1">
        <v>13.006503</v>
      </c>
      <c r="E10242" s="1">
        <v>80.253779</v>
      </c>
      <c r="F10242" s="1">
        <v>805.0</v>
      </c>
      <c r="G10242" s="1">
        <v>43.0</v>
      </c>
    </row>
    <row r="10243">
      <c r="A10243" s="1" t="s">
        <v>7</v>
      </c>
      <c r="B10243" s="2">
        <v>44742.0</v>
      </c>
      <c r="C10243" s="3">
        <v>0.3236921296296296</v>
      </c>
      <c r="D10243" s="1">
        <v>12.9988</v>
      </c>
      <c r="E10243" s="1">
        <v>80.19274</v>
      </c>
      <c r="F10243" s="1">
        <v>5339.0</v>
      </c>
      <c r="G10243" s="1">
        <v>49.0</v>
      </c>
    </row>
    <row r="10244">
      <c r="A10244" s="1" t="s">
        <v>7</v>
      </c>
      <c r="B10244" s="2">
        <v>44742.0</v>
      </c>
      <c r="C10244" s="3">
        <v>0.32386574074074076</v>
      </c>
      <c r="D10244" s="1">
        <v>12.997969</v>
      </c>
      <c r="E10244" s="1">
        <v>80.191724</v>
      </c>
      <c r="F10244" s="1">
        <v>5339.0</v>
      </c>
      <c r="G10244" s="1">
        <v>55.0</v>
      </c>
    </row>
    <row r="10245">
      <c r="A10245" s="1" t="s">
        <v>10</v>
      </c>
      <c r="B10245" s="2">
        <v>44742.0</v>
      </c>
      <c r="C10245" s="3">
        <v>0.323912037037037</v>
      </c>
      <c r="D10245" s="1">
        <v>12.6975</v>
      </c>
      <c r="E10245" s="1">
        <v>79.971804</v>
      </c>
      <c r="F10245" s="1">
        <v>2846.0</v>
      </c>
      <c r="G10245" s="1">
        <v>30.0</v>
      </c>
    </row>
    <row r="10246">
      <c r="A10246" s="1" t="s">
        <v>8</v>
      </c>
      <c r="B10246" s="2">
        <v>44742.0</v>
      </c>
      <c r="C10246" s="3">
        <v>0.3240625</v>
      </c>
      <c r="D10246" s="1">
        <v>13.006689</v>
      </c>
      <c r="E10246" s="1">
        <v>80.251524</v>
      </c>
      <c r="F10246" s="1">
        <v>805.0</v>
      </c>
      <c r="G10246" s="1">
        <v>30.0</v>
      </c>
    </row>
    <row r="10247">
      <c r="A10247" s="1" t="s">
        <v>7</v>
      </c>
      <c r="B10247" s="2">
        <v>44742.0</v>
      </c>
      <c r="C10247" s="3">
        <v>0.32535879629629627</v>
      </c>
      <c r="D10247" s="1">
        <v>12.702598</v>
      </c>
      <c r="E10247" s="1">
        <v>79.970514</v>
      </c>
      <c r="F10247" s="1">
        <v>2846.0</v>
      </c>
      <c r="G10247" s="1">
        <v>45.0</v>
      </c>
    </row>
    <row r="10248">
      <c r="A10248" s="1" t="s">
        <v>8</v>
      </c>
      <c r="B10248" s="2">
        <v>44742.0</v>
      </c>
      <c r="C10248" s="3">
        <v>0.3254861111111111</v>
      </c>
      <c r="D10248" s="1">
        <v>12.994419</v>
      </c>
      <c r="E10248" s="1">
        <v>80.186373</v>
      </c>
      <c r="F10248" s="1">
        <v>5339.0</v>
      </c>
      <c r="G10248" s="1">
        <v>22.0</v>
      </c>
    </row>
    <row r="10249">
      <c r="A10249" s="1" t="s">
        <v>8</v>
      </c>
      <c r="B10249" s="2">
        <v>44742.0</v>
      </c>
      <c r="C10249" s="3">
        <v>0.32556712962962964</v>
      </c>
      <c r="D10249" s="1">
        <v>12.994419</v>
      </c>
      <c r="E10249" s="1">
        <v>80.186373</v>
      </c>
      <c r="F10249" s="1">
        <v>5339.0</v>
      </c>
      <c r="G10249" s="1">
        <v>22.0</v>
      </c>
    </row>
    <row r="10250">
      <c r="A10250" s="1" t="s">
        <v>8</v>
      </c>
      <c r="B10250" s="2">
        <v>44742.0</v>
      </c>
      <c r="C10250" s="3">
        <v>0.32569444444444445</v>
      </c>
      <c r="D10250" s="1">
        <v>12.993775</v>
      </c>
      <c r="E10250" s="1">
        <v>80.185126</v>
      </c>
      <c r="F10250" s="1">
        <v>5339.0</v>
      </c>
      <c r="G10250" s="1">
        <v>32.0</v>
      </c>
    </row>
    <row r="10251">
      <c r="A10251" s="1" t="s">
        <v>7</v>
      </c>
      <c r="B10251" s="2">
        <v>44742.0</v>
      </c>
      <c r="C10251" s="3">
        <v>0.3257060185185185</v>
      </c>
      <c r="D10251" s="1">
        <v>12.705921</v>
      </c>
      <c r="E10251" s="1">
        <v>79.974903</v>
      </c>
      <c r="F10251" s="1">
        <v>2846.0</v>
      </c>
      <c r="G10251" s="1">
        <v>59.0</v>
      </c>
    </row>
    <row r="10252">
      <c r="A10252" s="1" t="s">
        <v>8</v>
      </c>
      <c r="B10252" s="2">
        <v>44742.0</v>
      </c>
      <c r="C10252" s="3">
        <v>0.32622685185185185</v>
      </c>
      <c r="D10252" s="1">
        <v>12.710714</v>
      </c>
      <c r="E10252" s="1">
        <v>79.978262</v>
      </c>
      <c r="F10252" s="1">
        <v>2846.0</v>
      </c>
      <c r="G10252" s="1">
        <v>44.0</v>
      </c>
    </row>
    <row r="10253">
      <c r="A10253" s="1" t="s">
        <v>8</v>
      </c>
      <c r="B10253" s="2">
        <v>44742.0</v>
      </c>
      <c r="C10253" s="3">
        <v>0.3269212962962963</v>
      </c>
      <c r="D10253" s="1">
        <v>12.989611</v>
      </c>
      <c r="E10253" s="1">
        <v>80.179157</v>
      </c>
      <c r="F10253" s="1">
        <v>5339.0</v>
      </c>
      <c r="G10253" s="1">
        <v>23.0</v>
      </c>
    </row>
    <row r="10254">
      <c r="A10254" s="1" t="s">
        <v>8</v>
      </c>
      <c r="B10254" s="2">
        <v>44742.0</v>
      </c>
      <c r="C10254" s="3">
        <v>0.32729166666666665</v>
      </c>
      <c r="D10254" s="1">
        <v>12.987972</v>
      </c>
      <c r="E10254" s="1">
        <v>80.176954</v>
      </c>
      <c r="F10254" s="1">
        <v>5339.0</v>
      </c>
      <c r="G10254" s="1">
        <v>36.0</v>
      </c>
    </row>
    <row r="10255">
      <c r="A10255" s="1" t="s">
        <v>8</v>
      </c>
      <c r="B10255" s="2">
        <v>44742.0</v>
      </c>
      <c r="C10255" s="3">
        <v>0.32751157407407405</v>
      </c>
      <c r="D10255" s="1">
        <v>12.986823</v>
      </c>
      <c r="E10255" s="1">
        <v>80.175347</v>
      </c>
      <c r="F10255" s="1">
        <v>5339.0</v>
      </c>
      <c r="G10255" s="1">
        <v>43.0</v>
      </c>
    </row>
    <row r="10256">
      <c r="A10256" s="1" t="s">
        <v>8</v>
      </c>
      <c r="B10256" s="2">
        <v>44742.0</v>
      </c>
      <c r="C10256" s="3">
        <v>0.3279166666666667</v>
      </c>
      <c r="D10256" s="1">
        <v>12.725696</v>
      </c>
      <c r="E10256" s="1">
        <v>79.98218</v>
      </c>
      <c r="F10256" s="1">
        <v>2846.0</v>
      </c>
      <c r="G10256" s="1">
        <v>42.0</v>
      </c>
    </row>
    <row r="10257">
      <c r="A10257" s="1" t="s">
        <v>7</v>
      </c>
      <c r="B10257" s="2">
        <v>44742.0</v>
      </c>
      <c r="C10257" s="3">
        <v>0.3279976851851852</v>
      </c>
      <c r="D10257" s="1">
        <v>12.984222</v>
      </c>
      <c r="E10257" s="1">
        <v>80.171404</v>
      </c>
      <c r="F10257" s="1">
        <v>5339.0</v>
      </c>
      <c r="G10257" s="1">
        <v>53.0</v>
      </c>
    </row>
    <row r="10258">
      <c r="A10258" s="1" t="s">
        <v>7</v>
      </c>
      <c r="B10258" s="2">
        <v>44742.0</v>
      </c>
      <c r="C10258" s="3">
        <v>0.3282175925925926</v>
      </c>
      <c r="D10258" s="1">
        <v>12.729437</v>
      </c>
      <c r="E10258" s="1">
        <v>79.982664</v>
      </c>
      <c r="F10258" s="1">
        <v>2846.0</v>
      </c>
      <c r="G10258" s="1">
        <v>50.0</v>
      </c>
    </row>
    <row r="10259">
      <c r="A10259" s="1" t="s">
        <v>7</v>
      </c>
      <c r="B10259" s="2">
        <v>44742.0</v>
      </c>
      <c r="C10259" s="3">
        <v>0.3283564814814815</v>
      </c>
      <c r="D10259" s="1">
        <v>13.00825</v>
      </c>
      <c r="E10259" s="1">
        <v>80.233009</v>
      </c>
      <c r="F10259" s="1">
        <v>805.0</v>
      </c>
      <c r="G10259" s="1">
        <v>59.0</v>
      </c>
    </row>
    <row r="10260">
      <c r="A10260" s="1" t="s">
        <v>8</v>
      </c>
      <c r="B10260" s="2">
        <v>44742.0</v>
      </c>
      <c r="C10260" s="3">
        <v>0.3283564814814815</v>
      </c>
      <c r="D10260" s="1">
        <v>12.982238</v>
      </c>
      <c r="E10260" s="1">
        <v>80.168073</v>
      </c>
      <c r="F10260" s="1">
        <v>5339.0</v>
      </c>
      <c r="G10260" s="1">
        <v>45.0</v>
      </c>
    </row>
    <row r="10261">
      <c r="A10261" s="1" t="s">
        <v>7</v>
      </c>
      <c r="B10261" s="2">
        <v>44742.0</v>
      </c>
      <c r="C10261" s="3">
        <v>0.3286689814814815</v>
      </c>
      <c r="D10261" s="1">
        <v>13.009117</v>
      </c>
      <c r="E10261" s="1">
        <v>80.228579</v>
      </c>
      <c r="F10261" s="1">
        <v>805.0</v>
      </c>
      <c r="G10261" s="1">
        <v>58.0</v>
      </c>
    </row>
    <row r="10262">
      <c r="A10262" s="1" t="s">
        <v>8</v>
      </c>
      <c r="B10262" s="2">
        <v>44742.0</v>
      </c>
      <c r="C10262" s="3">
        <v>0.32880787037037035</v>
      </c>
      <c r="D10262" s="1">
        <v>12.732037</v>
      </c>
      <c r="E10262" s="1">
        <v>79.982883</v>
      </c>
      <c r="F10262" s="1">
        <v>2846.0</v>
      </c>
      <c r="G10262" s="1">
        <v>52.0</v>
      </c>
    </row>
    <row r="10263">
      <c r="A10263" s="1" t="s">
        <v>7</v>
      </c>
      <c r="B10263" s="2">
        <v>44742.0</v>
      </c>
      <c r="C10263" s="3">
        <v>0.3288888888888889</v>
      </c>
      <c r="D10263" s="1">
        <v>13.010274</v>
      </c>
      <c r="E10263" s="1">
        <v>80.225838</v>
      </c>
      <c r="F10263" s="1">
        <v>805.0</v>
      </c>
      <c r="G10263" s="1">
        <v>58.0</v>
      </c>
    </row>
    <row r="10264">
      <c r="A10264" s="1" t="s">
        <v>8</v>
      </c>
      <c r="B10264" s="2">
        <v>44742.0</v>
      </c>
      <c r="C10264" s="3">
        <v>0.32905092592592594</v>
      </c>
      <c r="D10264" s="1">
        <v>13.010862</v>
      </c>
      <c r="E10264" s="1">
        <v>80.224598</v>
      </c>
      <c r="F10264" s="1">
        <v>805.0</v>
      </c>
      <c r="G10264" s="1">
        <v>51.0</v>
      </c>
    </row>
    <row r="10265">
      <c r="A10265" s="1" t="s">
        <v>8</v>
      </c>
      <c r="B10265" s="2">
        <v>44742.0</v>
      </c>
      <c r="C10265" s="3">
        <v>0.32917824074074076</v>
      </c>
      <c r="D10265" s="1">
        <v>13.011287</v>
      </c>
      <c r="E10265" s="1">
        <v>80.223497</v>
      </c>
      <c r="F10265" s="1">
        <v>805.0</v>
      </c>
      <c r="G10265" s="1">
        <v>42.0</v>
      </c>
    </row>
    <row r="10266">
      <c r="A10266" s="1" t="s">
        <v>7</v>
      </c>
      <c r="B10266" s="2">
        <v>44742.0</v>
      </c>
      <c r="C10266" s="3">
        <v>0.32917824074074076</v>
      </c>
      <c r="D10266" s="1">
        <v>12.979241</v>
      </c>
      <c r="E10266" s="1">
        <v>80.161864</v>
      </c>
      <c r="F10266" s="1">
        <v>5339.0</v>
      </c>
      <c r="G10266" s="1">
        <v>50.0</v>
      </c>
    </row>
    <row r="10267">
      <c r="A10267" s="1" t="s">
        <v>8</v>
      </c>
      <c r="B10267" s="2">
        <v>44742.0</v>
      </c>
      <c r="C10267" s="3">
        <v>0.3292824074074074</v>
      </c>
      <c r="D10267" s="1">
        <v>13.011704</v>
      </c>
      <c r="E10267" s="1">
        <v>80.222395</v>
      </c>
      <c r="F10267" s="1">
        <v>805.0</v>
      </c>
      <c r="G10267" s="1">
        <v>40.0</v>
      </c>
    </row>
    <row r="10268">
      <c r="A10268" s="1" t="s">
        <v>8</v>
      </c>
      <c r="B10268" s="2">
        <v>44742.0</v>
      </c>
      <c r="C10268" s="3">
        <v>0.33</v>
      </c>
      <c r="D10268" s="1">
        <v>13.011286</v>
      </c>
      <c r="E10268" s="1">
        <v>80.218252</v>
      </c>
      <c r="F10268" s="1">
        <v>805.0</v>
      </c>
      <c r="G10268" s="1">
        <v>40.0</v>
      </c>
    </row>
    <row r="10269">
      <c r="A10269" s="1" t="s">
        <v>8</v>
      </c>
      <c r="B10269" s="2">
        <v>44742.0</v>
      </c>
      <c r="C10269" s="3">
        <v>0.33003472222222224</v>
      </c>
      <c r="D10269" s="1">
        <v>12.97397</v>
      </c>
      <c r="E10269" s="1">
        <v>80.154184</v>
      </c>
      <c r="F10269" s="1">
        <v>5339.0</v>
      </c>
      <c r="G10269" s="1">
        <v>34.0</v>
      </c>
    </row>
    <row r="10270">
      <c r="A10270" s="1" t="s">
        <v>7</v>
      </c>
      <c r="B10270" s="2">
        <v>44742.0</v>
      </c>
      <c r="C10270" s="3">
        <v>0.33023148148148146</v>
      </c>
      <c r="D10270" s="1">
        <v>12.744712</v>
      </c>
      <c r="E10270" s="1">
        <v>79.993444</v>
      </c>
      <c r="F10270" s="1">
        <v>2846.0</v>
      </c>
      <c r="G10270" s="1">
        <v>45.0</v>
      </c>
    </row>
    <row r="10271">
      <c r="A10271" s="1" t="s">
        <v>8</v>
      </c>
      <c r="B10271" s="2">
        <v>44742.0</v>
      </c>
      <c r="C10271" s="3">
        <v>0.33023148148148146</v>
      </c>
      <c r="D10271" s="1">
        <v>12.973398</v>
      </c>
      <c r="E10271" s="1">
        <v>80.153323</v>
      </c>
      <c r="F10271" s="1">
        <v>5339.0</v>
      </c>
      <c r="G10271" s="1">
        <v>45.0</v>
      </c>
    </row>
    <row r="10272">
      <c r="A10272" s="1" t="s">
        <v>8</v>
      </c>
      <c r="B10272" s="2">
        <v>44742.0</v>
      </c>
      <c r="C10272" s="3">
        <v>0.33033564814814814</v>
      </c>
      <c r="D10272" s="1">
        <v>12.972737</v>
      </c>
      <c r="E10272" s="1">
        <v>80.15232</v>
      </c>
      <c r="F10272" s="1">
        <v>5339.0</v>
      </c>
      <c r="G10272" s="1">
        <v>49.0</v>
      </c>
    </row>
    <row r="10273">
      <c r="A10273" s="1" t="s">
        <v>8</v>
      </c>
      <c r="B10273" s="2">
        <v>44742.0</v>
      </c>
      <c r="C10273" s="3">
        <v>0.33047453703703705</v>
      </c>
      <c r="D10273" s="1">
        <v>13.009407</v>
      </c>
      <c r="E10273" s="1">
        <v>80.212986</v>
      </c>
      <c r="F10273" s="1">
        <v>805.0</v>
      </c>
      <c r="G10273" s="1">
        <v>41.0</v>
      </c>
    </row>
    <row r="10274">
      <c r="A10274" s="1" t="s">
        <v>8</v>
      </c>
      <c r="B10274" s="2">
        <v>44742.0</v>
      </c>
      <c r="C10274" s="3">
        <v>0.3305324074074074</v>
      </c>
      <c r="D10274" s="1">
        <v>12.97147</v>
      </c>
      <c r="E10274" s="1">
        <v>80.151132</v>
      </c>
      <c r="F10274" s="1">
        <v>5339.0</v>
      </c>
      <c r="G10274" s="1">
        <v>32.0</v>
      </c>
    </row>
    <row r="10275">
      <c r="A10275" s="1" t="s">
        <v>9</v>
      </c>
      <c r="B10275" s="2">
        <v>44742.0</v>
      </c>
      <c r="C10275" s="3">
        <v>0.33067129629629627</v>
      </c>
      <c r="D10275" s="1">
        <v>12.970695</v>
      </c>
      <c r="E10275" s="1">
        <v>80.150733</v>
      </c>
      <c r="F10275" s="1">
        <v>5339.0</v>
      </c>
      <c r="G10275" s="1">
        <v>32.0</v>
      </c>
    </row>
    <row r="10276">
      <c r="A10276" s="1" t="s">
        <v>7</v>
      </c>
      <c r="B10276" s="2">
        <v>44742.0</v>
      </c>
      <c r="C10276" s="3">
        <v>0.33086805555555554</v>
      </c>
      <c r="D10276" s="1">
        <v>13.008001</v>
      </c>
      <c r="E10276" s="1">
        <v>80.20861</v>
      </c>
      <c r="F10276" s="1">
        <v>805.0</v>
      </c>
      <c r="G10276" s="1">
        <v>51.0</v>
      </c>
    </row>
    <row r="10277">
      <c r="A10277" s="1" t="s">
        <v>8</v>
      </c>
      <c r="B10277" s="2">
        <v>44742.0</v>
      </c>
      <c r="C10277" s="3">
        <v>0.3309490740740741</v>
      </c>
      <c r="D10277" s="1">
        <v>13.008001</v>
      </c>
      <c r="E10277" s="1">
        <v>80.20861</v>
      </c>
      <c r="F10277" s="1">
        <v>805.0</v>
      </c>
      <c r="G10277" s="1">
        <v>51.0</v>
      </c>
    </row>
    <row r="10278">
      <c r="A10278" s="1" t="s">
        <v>8</v>
      </c>
      <c r="B10278" s="2">
        <v>44742.0</v>
      </c>
      <c r="C10278" s="3">
        <v>0.3310763888888889</v>
      </c>
      <c r="D10278" s="1">
        <v>12.968238</v>
      </c>
      <c r="E10278" s="1">
        <v>80.149578</v>
      </c>
      <c r="F10278" s="1">
        <v>5339.0</v>
      </c>
      <c r="G10278" s="1">
        <v>37.0</v>
      </c>
    </row>
    <row r="10279">
      <c r="A10279" s="1" t="s">
        <v>7</v>
      </c>
      <c r="B10279" s="2">
        <v>44742.0</v>
      </c>
      <c r="C10279" s="3">
        <v>0.3311458333333333</v>
      </c>
      <c r="D10279" s="1">
        <v>12.755106</v>
      </c>
      <c r="E10279" s="1">
        <v>80.00122</v>
      </c>
      <c r="F10279" s="1">
        <v>2846.0</v>
      </c>
      <c r="G10279" s="1">
        <v>57.0</v>
      </c>
    </row>
    <row r="10280">
      <c r="A10280" s="1" t="s">
        <v>8</v>
      </c>
      <c r="B10280" s="2">
        <v>44742.0</v>
      </c>
      <c r="C10280" s="3">
        <v>0.3311458333333333</v>
      </c>
      <c r="D10280" s="1">
        <v>12.968238</v>
      </c>
      <c r="E10280" s="1">
        <v>80.149578</v>
      </c>
      <c r="F10280" s="1">
        <v>5339.0</v>
      </c>
      <c r="G10280" s="1">
        <v>37.0</v>
      </c>
    </row>
    <row r="10281">
      <c r="A10281" s="1" t="s">
        <v>8</v>
      </c>
      <c r="B10281" s="2">
        <v>44742.0</v>
      </c>
      <c r="C10281" s="3">
        <v>0.3315162037037037</v>
      </c>
      <c r="D10281" s="1">
        <v>12.966499</v>
      </c>
      <c r="E10281" s="1">
        <v>80.148774</v>
      </c>
      <c r="F10281" s="1">
        <v>5339.0</v>
      </c>
      <c r="G10281" s="1">
        <v>19.0</v>
      </c>
    </row>
    <row r="10282">
      <c r="A10282" s="1" t="s">
        <v>7</v>
      </c>
      <c r="B10282" s="2">
        <v>44742.0</v>
      </c>
      <c r="C10282" s="3">
        <v>0.33194444444444443</v>
      </c>
      <c r="D10282" s="1">
        <v>12.963662</v>
      </c>
      <c r="E10282" s="1">
        <v>80.14722</v>
      </c>
      <c r="F10282" s="1">
        <v>5339.0</v>
      </c>
      <c r="G10282" s="1">
        <v>55.0</v>
      </c>
    </row>
    <row r="10283">
      <c r="A10283" s="1" t="s">
        <v>8</v>
      </c>
      <c r="B10283" s="2">
        <v>44742.0</v>
      </c>
      <c r="C10283" s="3">
        <v>0.3321412037037037</v>
      </c>
      <c r="D10283" s="1">
        <v>12.760896</v>
      </c>
      <c r="E10283" s="1">
        <v>80.00337</v>
      </c>
      <c r="F10283" s="1">
        <v>2846.0</v>
      </c>
      <c r="G10283" s="1">
        <v>22.0</v>
      </c>
    </row>
    <row r="10284">
      <c r="A10284" s="1" t="s">
        <v>8</v>
      </c>
      <c r="B10284" s="2">
        <v>44742.0</v>
      </c>
      <c r="C10284" s="3">
        <v>0.3323263888888889</v>
      </c>
      <c r="D10284" s="1">
        <v>13.001887</v>
      </c>
      <c r="E10284" s="1">
        <v>80.200077</v>
      </c>
      <c r="F10284" s="1">
        <v>805.0</v>
      </c>
      <c r="G10284" s="1">
        <v>49.0</v>
      </c>
    </row>
    <row r="10285">
      <c r="A10285" s="1" t="s">
        <v>8</v>
      </c>
      <c r="B10285" s="2">
        <v>44742.0</v>
      </c>
      <c r="C10285" s="3">
        <v>0.3323263888888889</v>
      </c>
      <c r="D10285" s="1">
        <v>12.96004</v>
      </c>
      <c r="E10285" s="1">
        <v>80.145248</v>
      </c>
      <c r="F10285" s="1">
        <v>5339.0</v>
      </c>
      <c r="G10285" s="1">
        <v>47.0</v>
      </c>
    </row>
    <row r="10286">
      <c r="A10286" s="1" t="s">
        <v>8</v>
      </c>
      <c r="B10286" s="2">
        <v>44742.0</v>
      </c>
      <c r="C10286" s="3">
        <v>0.33244212962962966</v>
      </c>
      <c r="D10286" s="1">
        <v>12.959061</v>
      </c>
      <c r="E10286" s="1">
        <v>80.144703</v>
      </c>
      <c r="F10286" s="1">
        <v>5339.0</v>
      </c>
      <c r="G10286" s="1">
        <v>41.0</v>
      </c>
    </row>
    <row r="10287">
      <c r="A10287" s="1" t="s">
        <v>7</v>
      </c>
      <c r="B10287" s="2">
        <v>44742.0</v>
      </c>
      <c r="C10287" s="3">
        <v>0.33266203703703706</v>
      </c>
      <c r="D10287" s="1">
        <v>12.76639</v>
      </c>
      <c r="E10287" s="1">
        <v>80.005364</v>
      </c>
      <c r="F10287" s="1">
        <v>2846.0</v>
      </c>
      <c r="G10287" s="1">
        <v>58.0</v>
      </c>
    </row>
    <row r="10288">
      <c r="A10288" s="1" t="s">
        <v>8</v>
      </c>
      <c r="B10288" s="2">
        <v>44742.0</v>
      </c>
      <c r="C10288" s="3">
        <v>0.33266203703703706</v>
      </c>
      <c r="D10288" s="1">
        <v>12.957036</v>
      </c>
      <c r="E10288" s="1">
        <v>80.14368</v>
      </c>
      <c r="F10288" s="1">
        <v>5339.0</v>
      </c>
      <c r="G10288" s="1">
        <v>42.0</v>
      </c>
    </row>
    <row r="10289">
      <c r="A10289" s="1" t="s">
        <v>8</v>
      </c>
      <c r="B10289" s="2">
        <v>44742.0</v>
      </c>
      <c r="C10289" s="3">
        <v>0.3327893518518519</v>
      </c>
      <c r="D10289" s="1">
        <v>12.956229</v>
      </c>
      <c r="E10289" s="1">
        <v>80.143262</v>
      </c>
      <c r="F10289" s="1">
        <v>5339.0</v>
      </c>
      <c r="G10289" s="1">
        <v>29.0</v>
      </c>
    </row>
    <row r="10290">
      <c r="A10290" s="1" t="s">
        <v>8</v>
      </c>
      <c r="B10290" s="2">
        <v>44742.0</v>
      </c>
      <c r="C10290" s="3">
        <v>0.33283564814814814</v>
      </c>
      <c r="D10290" s="1">
        <v>12.955547</v>
      </c>
      <c r="E10290" s="1">
        <v>80.142908</v>
      </c>
      <c r="F10290" s="1">
        <v>5339.0</v>
      </c>
      <c r="G10290" s="1">
        <v>30.0</v>
      </c>
    </row>
    <row r="10291">
      <c r="A10291" s="1" t="s">
        <v>8</v>
      </c>
      <c r="B10291" s="2">
        <v>44742.0</v>
      </c>
      <c r="C10291" s="3">
        <v>0.33297453703703705</v>
      </c>
      <c r="D10291" s="1">
        <v>12.954803</v>
      </c>
      <c r="E10291" s="1">
        <v>80.142522</v>
      </c>
      <c r="F10291" s="1">
        <v>5339.0</v>
      </c>
      <c r="G10291" s="1">
        <v>33.0</v>
      </c>
    </row>
    <row r="10292">
      <c r="A10292" s="1" t="s">
        <v>8</v>
      </c>
      <c r="B10292" s="2">
        <v>44742.0</v>
      </c>
      <c r="C10292" s="3">
        <v>0.3330324074074074</v>
      </c>
      <c r="D10292" s="1">
        <v>12.954803</v>
      </c>
      <c r="E10292" s="1">
        <v>80.142522</v>
      </c>
      <c r="F10292" s="1">
        <v>5339.0</v>
      </c>
      <c r="G10292" s="1">
        <v>33.0</v>
      </c>
    </row>
    <row r="10293">
      <c r="A10293" s="1" t="s">
        <v>9</v>
      </c>
      <c r="B10293" s="2">
        <v>44742.0</v>
      </c>
      <c r="C10293" s="3">
        <v>0.3330902777777778</v>
      </c>
      <c r="D10293" s="1">
        <v>12.9541</v>
      </c>
      <c r="E10293" s="1">
        <v>80.142132</v>
      </c>
      <c r="F10293" s="1">
        <v>5339.0</v>
      </c>
      <c r="G10293" s="1">
        <v>31.0</v>
      </c>
    </row>
    <row r="10294">
      <c r="A10294" s="1" t="s">
        <v>7</v>
      </c>
      <c r="B10294" s="2">
        <v>44742.0</v>
      </c>
      <c r="C10294" s="3">
        <v>0.33310185185185187</v>
      </c>
      <c r="D10294" s="1">
        <v>12.99837</v>
      </c>
      <c r="E10294" s="1">
        <v>80.192177</v>
      </c>
      <c r="F10294" s="1">
        <v>805.0</v>
      </c>
      <c r="G10294" s="1">
        <v>52.0</v>
      </c>
    </row>
    <row r="10295">
      <c r="A10295" s="1" t="s">
        <v>7</v>
      </c>
      <c r="B10295" s="2">
        <v>44742.0</v>
      </c>
      <c r="C10295" s="3">
        <v>0.3332638888888889</v>
      </c>
      <c r="D10295" s="1">
        <v>12.997565</v>
      </c>
      <c r="E10295" s="1">
        <v>80.191154</v>
      </c>
      <c r="F10295" s="1">
        <v>805.0</v>
      </c>
      <c r="G10295" s="1">
        <v>51.0</v>
      </c>
    </row>
    <row r="10296">
      <c r="A10296" s="1" t="s">
        <v>7</v>
      </c>
      <c r="B10296" s="2">
        <v>44742.0</v>
      </c>
      <c r="C10296" s="3">
        <v>0.3333333333333333</v>
      </c>
      <c r="D10296" s="1">
        <v>12.996725</v>
      </c>
      <c r="E10296" s="1">
        <v>80.19014</v>
      </c>
      <c r="F10296" s="1">
        <v>805.0</v>
      </c>
      <c r="G10296" s="1">
        <v>51.0</v>
      </c>
    </row>
    <row r="10297">
      <c r="A10297" s="1" t="s">
        <v>7</v>
      </c>
      <c r="B10297" s="2">
        <v>44742.0</v>
      </c>
      <c r="C10297" s="3">
        <v>0.33359953703703704</v>
      </c>
      <c r="D10297" s="1">
        <v>12.779</v>
      </c>
      <c r="E10297" s="1">
        <v>80.011226</v>
      </c>
      <c r="F10297" s="1">
        <v>2846.0</v>
      </c>
      <c r="G10297" s="1">
        <v>57.0</v>
      </c>
    </row>
    <row r="10298">
      <c r="A10298" s="1" t="s">
        <v>10</v>
      </c>
      <c r="B10298" s="2">
        <v>44742.0</v>
      </c>
      <c r="C10298" s="3">
        <v>0.33380787037037035</v>
      </c>
      <c r="D10298" s="1">
        <v>12.995087</v>
      </c>
      <c r="E10298" s="1">
        <v>80.18781</v>
      </c>
      <c r="F10298" s="1">
        <v>805.0</v>
      </c>
      <c r="G10298" s="1">
        <v>32.0</v>
      </c>
    </row>
    <row r="10299">
      <c r="A10299" s="1" t="s">
        <v>8</v>
      </c>
      <c r="B10299" s="2">
        <v>44742.0</v>
      </c>
      <c r="C10299" s="3">
        <v>0.3340162037037037</v>
      </c>
      <c r="D10299" s="1">
        <v>12.951001</v>
      </c>
      <c r="E10299" s="1">
        <v>80.14005</v>
      </c>
      <c r="F10299" s="1">
        <v>5339.0</v>
      </c>
      <c r="G10299" s="1">
        <v>24.0</v>
      </c>
    </row>
    <row r="10300">
      <c r="A10300" s="1" t="s">
        <v>8</v>
      </c>
      <c r="B10300" s="2">
        <v>44742.0</v>
      </c>
      <c r="C10300" s="3">
        <v>0.33412037037037035</v>
      </c>
      <c r="D10300" s="1">
        <v>12.950461</v>
      </c>
      <c r="E10300" s="1">
        <v>80.139634</v>
      </c>
      <c r="F10300" s="1">
        <v>5339.0</v>
      </c>
      <c r="G10300" s="1">
        <v>31.0</v>
      </c>
    </row>
    <row r="10301">
      <c r="A10301" s="1" t="s">
        <v>9</v>
      </c>
      <c r="B10301" s="2">
        <v>44742.0</v>
      </c>
      <c r="C10301" s="3">
        <v>0.334212962962963</v>
      </c>
      <c r="D10301" s="1">
        <v>12.785581</v>
      </c>
      <c r="E10301" s="1">
        <v>80.014251</v>
      </c>
      <c r="F10301" s="1">
        <v>2846.0</v>
      </c>
      <c r="G10301" s="1">
        <v>57.0</v>
      </c>
    </row>
    <row r="10302">
      <c r="A10302" s="1" t="s">
        <v>8</v>
      </c>
      <c r="B10302" s="2">
        <v>44742.0</v>
      </c>
      <c r="C10302" s="3">
        <v>0.334525462962963</v>
      </c>
      <c r="D10302" s="1">
        <v>12.993905</v>
      </c>
      <c r="E10302" s="1">
        <v>80.18548</v>
      </c>
      <c r="F10302" s="1">
        <v>805.0</v>
      </c>
      <c r="G10302" s="1">
        <v>41.0</v>
      </c>
    </row>
    <row r="10303">
      <c r="A10303" s="1" t="s">
        <v>8</v>
      </c>
      <c r="B10303" s="2">
        <v>44742.0</v>
      </c>
      <c r="C10303" s="3">
        <v>0.3345486111111111</v>
      </c>
      <c r="D10303" s="1">
        <v>12.947676</v>
      </c>
      <c r="E10303" s="1">
        <v>80.137406</v>
      </c>
      <c r="F10303" s="1">
        <v>5339.0</v>
      </c>
      <c r="G10303" s="1">
        <v>29.0</v>
      </c>
    </row>
    <row r="10304">
      <c r="A10304" s="1" t="s">
        <v>8</v>
      </c>
      <c r="B10304" s="2">
        <v>44742.0</v>
      </c>
      <c r="C10304" s="3">
        <v>0.3345601851851852</v>
      </c>
      <c r="D10304" s="1">
        <v>12.948385</v>
      </c>
      <c r="E10304" s="1">
        <v>80.137904</v>
      </c>
      <c r="F10304" s="1">
        <v>5339.0</v>
      </c>
      <c r="G10304" s="1">
        <v>39.0</v>
      </c>
    </row>
    <row r="10305">
      <c r="A10305" s="1" t="s">
        <v>8</v>
      </c>
      <c r="B10305" s="2">
        <v>44742.0</v>
      </c>
      <c r="C10305" s="3">
        <v>0.33488425925925924</v>
      </c>
      <c r="D10305" s="1">
        <v>12.990406</v>
      </c>
      <c r="E10305" s="1">
        <v>80.180235</v>
      </c>
      <c r="F10305" s="1">
        <v>805.0</v>
      </c>
      <c r="G10305" s="1">
        <v>43.0</v>
      </c>
    </row>
    <row r="10306">
      <c r="A10306" s="1" t="s">
        <v>8</v>
      </c>
      <c r="B10306" s="2">
        <v>44742.0</v>
      </c>
      <c r="C10306" s="3">
        <v>0.3349537037037037</v>
      </c>
      <c r="D10306" s="1">
        <v>12.947676</v>
      </c>
      <c r="E10306" s="1">
        <v>80.137406</v>
      </c>
      <c r="F10306" s="1">
        <v>5339.0</v>
      </c>
      <c r="G10306" s="1">
        <v>29.0</v>
      </c>
    </row>
    <row r="10307">
      <c r="A10307" s="1" t="s">
        <v>8</v>
      </c>
      <c r="B10307" s="2">
        <v>44742.0</v>
      </c>
      <c r="C10307" s="3">
        <v>0.3350462962962963</v>
      </c>
      <c r="D10307" s="1">
        <v>12.989089</v>
      </c>
      <c r="E10307" s="1">
        <v>80.178572</v>
      </c>
      <c r="F10307" s="1">
        <v>805.0</v>
      </c>
      <c r="G10307" s="1">
        <v>40.0</v>
      </c>
    </row>
    <row r="10308">
      <c r="A10308" s="1" t="s">
        <v>8</v>
      </c>
      <c r="B10308" s="2">
        <v>44742.0</v>
      </c>
      <c r="C10308" s="3">
        <v>0.3350578703703704</v>
      </c>
      <c r="D10308" s="1">
        <v>12.989089</v>
      </c>
      <c r="E10308" s="1">
        <v>80.178572</v>
      </c>
      <c r="F10308" s="1">
        <v>805.0</v>
      </c>
      <c r="G10308" s="1">
        <v>40.0</v>
      </c>
    </row>
    <row r="10309">
      <c r="A10309" s="1" t="s">
        <v>7</v>
      </c>
      <c r="B10309" s="2">
        <v>44742.0</v>
      </c>
      <c r="C10309" s="3">
        <v>0.3354050925925926</v>
      </c>
      <c r="D10309" s="1">
        <v>12.94243</v>
      </c>
      <c r="E10309" s="1">
        <v>80.133153</v>
      </c>
      <c r="F10309" s="1">
        <v>5339.0</v>
      </c>
      <c r="G10309" s="1">
        <v>52.0</v>
      </c>
    </row>
    <row r="10310">
      <c r="A10310" s="1" t="s">
        <v>8</v>
      </c>
      <c r="B10310" s="2">
        <v>44742.0</v>
      </c>
      <c r="C10310" s="3">
        <v>0.33545138888888887</v>
      </c>
      <c r="D10310" s="1">
        <v>12.94243</v>
      </c>
      <c r="E10310" s="1">
        <v>80.133153</v>
      </c>
      <c r="F10310" s="1">
        <v>5339.0</v>
      </c>
      <c r="G10310" s="1">
        <v>52.0</v>
      </c>
    </row>
    <row r="10311">
      <c r="A10311" s="1" t="s">
        <v>9</v>
      </c>
      <c r="B10311" s="2">
        <v>44742.0</v>
      </c>
      <c r="C10311" s="3">
        <v>0.3355902777777778</v>
      </c>
      <c r="D10311" s="1">
        <v>12.796829</v>
      </c>
      <c r="E10311" s="1">
        <v>80.021255</v>
      </c>
      <c r="F10311" s="1">
        <v>2846.0</v>
      </c>
      <c r="G10311" s="1">
        <v>58.0</v>
      </c>
    </row>
    <row r="10312">
      <c r="A10312" s="1" t="s">
        <v>8</v>
      </c>
      <c r="B10312" s="2">
        <v>44742.0</v>
      </c>
      <c r="C10312" s="3">
        <v>0.335625</v>
      </c>
      <c r="D10312" s="1">
        <v>12.940559</v>
      </c>
      <c r="E10312" s="1">
        <v>80.131201</v>
      </c>
      <c r="F10312" s="1">
        <v>5339.0</v>
      </c>
      <c r="G10312" s="1">
        <v>49.0</v>
      </c>
    </row>
    <row r="10313">
      <c r="A10313" s="1" t="s">
        <v>8</v>
      </c>
      <c r="B10313" s="2">
        <v>44742.0</v>
      </c>
      <c r="C10313" s="3">
        <v>0.3361689814814815</v>
      </c>
      <c r="D10313" s="1">
        <v>12.936846</v>
      </c>
      <c r="E10313" s="1">
        <v>80.127846</v>
      </c>
      <c r="F10313" s="1">
        <v>5339.0</v>
      </c>
      <c r="G10313" s="1">
        <v>32.0</v>
      </c>
    </row>
    <row r="10314">
      <c r="A10314" s="1" t="s">
        <v>7</v>
      </c>
      <c r="B10314" s="2">
        <v>44742.0</v>
      </c>
      <c r="C10314" s="3">
        <v>0.3362847222222222</v>
      </c>
      <c r="D10314" s="1">
        <v>12.802896</v>
      </c>
      <c r="E10314" s="1">
        <v>80.025234</v>
      </c>
      <c r="F10314" s="1">
        <v>2846.0</v>
      </c>
      <c r="G10314" s="1">
        <v>57.0</v>
      </c>
    </row>
    <row r="10315">
      <c r="A10315" s="1" t="s">
        <v>7</v>
      </c>
      <c r="B10315" s="2">
        <v>44742.0</v>
      </c>
      <c r="C10315" s="3">
        <v>0.33645833333333336</v>
      </c>
      <c r="D10315" s="1">
        <v>12.989089</v>
      </c>
      <c r="E10315" s="1">
        <v>80.178572</v>
      </c>
      <c r="F10315" s="1">
        <v>805.0</v>
      </c>
      <c r="G10315" s="1">
        <v>40.0</v>
      </c>
    </row>
    <row r="10316">
      <c r="A10316" s="1" t="s">
        <v>7</v>
      </c>
      <c r="B10316" s="2">
        <v>44742.0</v>
      </c>
      <c r="C10316" s="3">
        <v>0.33671296296296294</v>
      </c>
      <c r="D10316" s="1">
        <v>12.982481</v>
      </c>
      <c r="E10316" s="1">
        <v>80.168434</v>
      </c>
      <c r="F10316" s="1">
        <v>805.0</v>
      </c>
      <c r="G10316" s="1">
        <v>58.0</v>
      </c>
    </row>
    <row r="10317">
      <c r="A10317" s="1" t="s">
        <v>8</v>
      </c>
      <c r="B10317" s="2">
        <v>44742.0</v>
      </c>
      <c r="C10317" s="3">
        <v>0.3369097222222222</v>
      </c>
      <c r="D10317" s="1">
        <v>12.935743</v>
      </c>
      <c r="E10317" s="1">
        <v>80.12686</v>
      </c>
      <c r="F10317" s="1">
        <v>5339.0</v>
      </c>
      <c r="G10317" s="1">
        <v>33.0</v>
      </c>
    </row>
    <row r="10318">
      <c r="A10318" s="1" t="s">
        <v>7</v>
      </c>
      <c r="B10318" s="2">
        <v>44742.0</v>
      </c>
      <c r="C10318" s="3">
        <v>0.33694444444444444</v>
      </c>
      <c r="D10318" s="1">
        <v>12.981719</v>
      </c>
      <c r="E10318" s="1">
        <v>80.167196</v>
      </c>
      <c r="F10318" s="1">
        <v>805.0</v>
      </c>
      <c r="G10318" s="1">
        <v>49.0</v>
      </c>
    </row>
    <row r="10319">
      <c r="A10319" s="1" t="s">
        <v>8</v>
      </c>
      <c r="B10319" s="2">
        <v>44742.0</v>
      </c>
      <c r="C10319" s="3">
        <v>0.3371180555555556</v>
      </c>
      <c r="D10319" s="1">
        <v>12.933182</v>
      </c>
      <c r="E10319" s="1">
        <v>80.124418</v>
      </c>
      <c r="F10319" s="1">
        <v>5339.0</v>
      </c>
      <c r="G10319" s="1">
        <v>54.0</v>
      </c>
    </row>
    <row r="10320">
      <c r="A10320" s="1" t="s">
        <v>7</v>
      </c>
      <c r="B10320" s="2">
        <v>44742.0</v>
      </c>
      <c r="C10320" s="3">
        <v>0.33717592592592593</v>
      </c>
      <c r="D10320" s="1">
        <v>12.816153</v>
      </c>
      <c r="E10320" s="1">
        <v>80.033944</v>
      </c>
      <c r="F10320" s="1">
        <v>2846.0</v>
      </c>
      <c r="G10320" s="1">
        <v>57.0</v>
      </c>
    </row>
    <row r="10321">
      <c r="A10321" s="1" t="s">
        <v>8</v>
      </c>
      <c r="B10321" s="2">
        <v>44742.0</v>
      </c>
      <c r="C10321" s="3">
        <v>0.33730324074074075</v>
      </c>
      <c r="D10321" s="1">
        <v>12.980553</v>
      </c>
      <c r="E10321" s="1">
        <v>80.16495</v>
      </c>
      <c r="F10321" s="1">
        <v>805.0</v>
      </c>
      <c r="G10321" s="1">
        <v>58.0</v>
      </c>
    </row>
    <row r="10322">
      <c r="A10322" s="1" t="s">
        <v>8</v>
      </c>
      <c r="B10322" s="2">
        <v>44742.0</v>
      </c>
      <c r="C10322" s="3">
        <v>0.33769675925925924</v>
      </c>
      <c r="D10322" s="1">
        <v>12.930037</v>
      </c>
      <c r="E10322" s="1">
        <v>80.121344</v>
      </c>
      <c r="F10322" s="1">
        <v>5339.0</v>
      </c>
      <c r="G10322" s="1">
        <v>42.0</v>
      </c>
    </row>
    <row r="10323">
      <c r="A10323" s="1" t="s">
        <v>7</v>
      </c>
      <c r="B10323" s="2">
        <v>44742.0</v>
      </c>
      <c r="C10323" s="3">
        <v>0.33782407407407405</v>
      </c>
      <c r="D10323" s="1">
        <v>12.976998</v>
      </c>
      <c r="E10323" s="1">
        <v>80.158622</v>
      </c>
      <c r="F10323" s="1">
        <v>805.0</v>
      </c>
      <c r="G10323" s="1">
        <v>55.0</v>
      </c>
    </row>
    <row r="10324">
      <c r="A10324" s="1" t="s">
        <v>9</v>
      </c>
      <c r="B10324" s="2">
        <v>44742.0</v>
      </c>
      <c r="C10324" s="3">
        <v>0.33796296296296297</v>
      </c>
      <c r="D10324" s="1">
        <v>12.928412</v>
      </c>
      <c r="E10324" s="1">
        <v>80.119619</v>
      </c>
      <c r="F10324" s="1">
        <v>5339.0</v>
      </c>
      <c r="G10324" s="1">
        <v>52.0</v>
      </c>
    </row>
    <row r="10325">
      <c r="A10325" s="1" t="s">
        <v>7</v>
      </c>
      <c r="B10325" s="2">
        <v>44742.0</v>
      </c>
      <c r="C10325" s="3">
        <v>0.33800925925925923</v>
      </c>
      <c r="D10325" s="1">
        <v>12.822289</v>
      </c>
      <c r="E10325" s="1">
        <v>80.038268</v>
      </c>
      <c r="F10325" s="1">
        <v>2846.0</v>
      </c>
      <c r="G10325" s="1">
        <v>57.0</v>
      </c>
    </row>
    <row r="10326">
      <c r="A10326" s="1" t="s">
        <v>7</v>
      </c>
      <c r="B10326" s="2">
        <v>44742.0</v>
      </c>
      <c r="C10326" s="3">
        <v>0.33800925925925923</v>
      </c>
      <c r="D10326" s="1">
        <v>12.976199</v>
      </c>
      <c r="E10326" s="1">
        <v>80.157384</v>
      </c>
      <c r="F10326" s="1">
        <v>805.0</v>
      </c>
      <c r="G10326" s="1">
        <v>56.0</v>
      </c>
    </row>
    <row r="10327">
      <c r="A10327" s="1" t="s">
        <v>7</v>
      </c>
      <c r="B10327" s="2">
        <v>44742.0</v>
      </c>
      <c r="C10327" s="3">
        <v>0.3382523148148148</v>
      </c>
      <c r="D10327" s="1">
        <v>12.825875</v>
      </c>
      <c r="E10327" s="1">
        <v>80.040812</v>
      </c>
      <c r="F10327" s="1">
        <v>2846.0</v>
      </c>
      <c r="G10327" s="1">
        <v>58.0</v>
      </c>
    </row>
    <row r="10328">
      <c r="A10328" s="1" t="s">
        <v>7</v>
      </c>
      <c r="B10328" s="2">
        <v>44742.0</v>
      </c>
      <c r="C10328" s="3">
        <v>0.3383217592592593</v>
      </c>
      <c r="D10328" s="1">
        <v>12.825875</v>
      </c>
      <c r="E10328" s="1">
        <v>80.040812</v>
      </c>
      <c r="F10328" s="1">
        <v>2846.0</v>
      </c>
      <c r="G10328" s="1">
        <v>58.0</v>
      </c>
    </row>
    <row r="10329">
      <c r="A10329" s="1" t="s">
        <v>7</v>
      </c>
      <c r="B10329" s="2">
        <v>44742.0</v>
      </c>
      <c r="C10329" s="3">
        <v>0.33914351851851854</v>
      </c>
      <c r="D10329" s="1">
        <v>12.830746</v>
      </c>
      <c r="E10329" s="1">
        <v>80.045762</v>
      </c>
      <c r="F10329" s="1">
        <v>2846.0</v>
      </c>
      <c r="G10329" s="1">
        <v>26.0</v>
      </c>
    </row>
    <row r="10330">
      <c r="A10330" s="1" t="s">
        <v>7</v>
      </c>
      <c r="B10330" s="2">
        <v>44742.0</v>
      </c>
      <c r="C10330" s="3">
        <v>0.3394097222222222</v>
      </c>
      <c r="D10330" s="1">
        <v>12.919377</v>
      </c>
      <c r="E10330" s="1">
        <v>80.110307</v>
      </c>
      <c r="F10330" s="1">
        <v>5339.0</v>
      </c>
      <c r="G10330" s="1">
        <v>57.0</v>
      </c>
    </row>
    <row r="10331">
      <c r="A10331" s="1" t="s">
        <v>8</v>
      </c>
      <c r="B10331" s="2">
        <v>44742.0</v>
      </c>
      <c r="C10331" s="3">
        <v>0.33998842592592593</v>
      </c>
      <c r="D10331" s="1">
        <v>12.965512</v>
      </c>
      <c r="E10331" s="1">
        <v>80.148291</v>
      </c>
      <c r="F10331" s="1">
        <v>805.0</v>
      </c>
      <c r="G10331" s="1">
        <v>22.0</v>
      </c>
    </row>
    <row r="10332">
      <c r="A10332" s="1" t="s">
        <v>8</v>
      </c>
      <c r="B10332" s="2">
        <v>44742.0</v>
      </c>
      <c r="C10332" s="3">
        <v>0.34023148148148147</v>
      </c>
      <c r="D10332" s="1">
        <v>12.964124</v>
      </c>
      <c r="E10332" s="1">
        <v>80.147498</v>
      </c>
      <c r="F10332" s="1">
        <v>805.0</v>
      </c>
      <c r="G10332" s="1">
        <v>33.0</v>
      </c>
    </row>
    <row r="10333">
      <c r="A10333" s="1" t="s">
        <v>8</v>
      </c>
      <c r="B10333" s="2">
        <v>44742.0</v>
      </c>
      <c r="C10333" s="3">
        <v>0.3402777777777778</v>
      </c>
      <c r="D10333" s="1">
        <v>12.914999</v>
      </c>
      <c r="E10333" s="1">
        <v>80.10352</v>
      </c>
      <c r="F10333" s="1">
        <v>5339.0</v>
      </c>
      <c r="G10333" s="1">
        <v>53.0</v>
      </c>
    </row>
    <row r="10334">
      <c r="A10334" s="1" t="s">
        <v>8</v>
      </c>
      <c r="B10334" s="2">
        <v>44742.0</v>
      </c>
      <c r="C10334" s="3">
        <v>0.34032407407407406</v>
      </c>
      <c r="D10334" s="1">
        <v>12.963166</v>
      </c>
      <c r="E10334" s="1">
        <v>80.146956</v>
      </c>
      <c r="F10334" s="1">
        <v>805.0</v>
      </c>
      <c r="G10334" s="1">
        <v>50.0</v>
      </c>
    </row>
    <row r="10335">
      <c r="A10335" s="1" t="s">
        <v>8</v>
      </c>
      <c r="B10335" s="2">
        <v>44742.0</v>
      </c>
      <c r="C10335" s="3">
        <v>0.34042824074074074</v>
      </c>
      <c r="D10335" s="1">
        <v>12.91431</v>
      </c>
      <c r="E10335" s="1">
        <v>80.102476</v>
      </c>
      <c r="F10335" s="1">
        <v>5339.0</v>
      </c>
      <c r="G10335" s="1">
        <v>43.0</v>
      </c>
    </row>
    <row r="10336">
      <c r="A10336" s="1" t="s">
        <v>8</v>
      </c>
      <c r="B10336" s="2">
        <v>44742.0</v>
      </c>
      <c r="C10336" s="3">
        <v>0.34064814814814814</v>
      </c>
      <c r="D10336" s="1">
        <v>12.912512</v>
      </c>
      <c r="E10336" s="1">
        <v>80.101508</v>
      </c>
      <c r="F10336" s="1">
        <v>5339.0</v>
      </c>
      <c r="G10336" s="1">
        <v>44.0</v>
      </c>
    </row>
    <row r="10337">
      <c r="A10337" s="1" t="s">
        <v>8</v>
      </c>
      <c r="B10337" s="2">
        <v>44742.0</v>
      </c>
      <c r="C10337" s="3">
        <v>0.3406712962962963</v>
      </c>
      <c r="D10337" s="1">
        <v>12.842756</v>
      </c>
      <c r="E10337" s="1">
        <v>80.058276</v>
      </c>
      <c r="F10337" s="1">
        <v>2846.0</v>
      </c>
      <c r="G10337" s="1">
        <v>48.0</v>
      </c>
    </row>
    <row r="10338">
      <c r="A10338" s="1" t="s">
        <v>7</v>
      </c>
      <c r="B10338" s="2">
        <v>44742.0</v>
      </c>
      <c r="C10338" s="3">
        <v>0.34144675925925927</v>
      </c>
      <c r="D10338" s="1">
        <v>12.95868</v>
      </c>
      <c r="E10338" s="1">
        <v>80.144564</v>
      </c>
      <c r="F10338" s="1">
        <v>805.0</v>
      </c>
      <c r="G10338" s="1">
        <v>53.0</v>
      </c>
    </row>
    <row r="10339">
      <c r="A10339" s="1" t="s">
        <v>8</v>
      </c>
      <c r="B10339" s="2">
        <v>44742.0</v>
      </c>
      <c r="C10339" s="3">
        <v>0.34177083333333336</v>
      </c>
      <c r="D10339" s="1">
        <v>12.957057</v>
      </c>
      <c r="E10339" s="1">
        <v>80.143798</v>
      </c>
      <c r="F10339" s="1">
        <v>805.0</v>
      </c>
      <c r="G10339" s="1">
        <v>15.0</v>
      </c>
    </row>
    <row r="10340">
      <c r="A10340" s="1" t="s">
        <v>8</v>
      </c>
      <c r="B10340" s="2">
        <v>44742.0</v>
      </c>
      <c r="C10340" s="3">
        <v>0.3417824074074074</v>
      </c>
      <c r="D10340" s="1">
        <v>12.956647</v>
      </c>
      <c r="E10340" s="1">
        <v>80.143609</v>
      </c>
      <c r="F10340" s="1">
        <v>805.0</v>
      </c>
      <c r="G10340" s="1">
        <v>21.0</v>
      </c>
    </row>
    <row r="10341">
      <c r="A10341" s="1" t="s">
        <v>8</v>
      </c>
      <c r="B10341" s="2">
        <v>44742.0</v>
      </c>
      <c r="C10341" s="3">
        <v>0.34185185185185185</v>
      </c>
      <c r="D10341" s="1">
        <v>12.908073</v>
      </c>
      <c r="E10341" s="1">
        <v>80.097799</v>
      </c>
      <c r="F10341" s="1">
        <v>5339.0</v>
      </c>
      <c r="G10341" s="1">
        <v>41.0</v>
      </c>
    </row>
    <row r="10342">
      <c r="A10342" s="1" t="s">
        <v>8</v>
      </c>
      <c r="B10342" s="2">
        <v>44742.0</v>
      </c>
      <c r="C10342" s="3">
        <v>0.3421180555555556</v>
      </c>
      <c r="D10342" s="1">
        <v>12.846565</v>
      </c>
      <c r="E10342" s="1">
        <v>80.062121</v>
      </c>
      <c r="F10342" s="1">
        <v>2846.0</v>
      </c>
      <c r="G10342" s="1">
        <v>35.0</v>
      </c>
    </row>
    <row r="10343">
      <c r="A10343" s="1" t="s">
        <v>8</v>
      </c>
      <c r="B10343" s="2">
        <v>44742.0</v>
      </c>
      <c r="C10343" s="3">
        <v>0.3423726851851852</v>
      </c>
      <c r="D10343" s="1">
        <v>12.85185</v>
      </c>
      <c r="E10343" s="1">
        <v>80.06599</v>
      </c>
      <c r="F10343" s="1">
        <v>2846.0</v>
      </c>
      <c r="G10343" s="1">
        <v>45.0</v>
      </c>
    </row>
    <row r="10344">
      <c r="A10344" s="1" t="s">
        <v>8</v>
      </c>
      <c r="B10344" s="2">
        <v>44742.0</v>
      </c>
      <c r="C10344" s="3">
        <v>0.3423726851851852</v>
      </c>
      <c r="D10344" s="1">
        <v>12.903856</v>
      </c>
      <c r="E10344" s="1">
        <v>80.094589</v>
      </c>
      <c r="F10344" s="1">
        <v>5339.0</v>
      </c>
      <c r="G10344" s="1">
        <v>45.0</v>
      </c>
    </row>
    <row r="10345">
      <c r="A10345" s="1" t="s">
        <v>8</v>
      </c>
      <c r="B10345" s="2">
        <v>44742.0</v>
      </c>
      <c r="C10345" s="3">
        <v>0.34243055555555557</v>
      </c>
      <c r="D10345" s="1">
        <v>12.85185</v>
      </c>
      <c r="E10345" s="1">
        <v>80.06599</v>
      </c>
      <c r="F10345" s="1">
        <v>2846.0</v>
      </c>
      <c r="G10345" s="1">
        <v>45.0</v>
      </c>
    </row>
    <row r="10346">
      <c r="A10346" s="1" t="s">
        <v>8</v>
      </c>
      <c r="B10346" s="2">
        <v>44742.0</v>
      </c>
      <c r="C10346" s="3">
        <v>0.342662037037037</v>
      </c>
      <c r="D10346" s="1">
        <v>12.955244</v>
      </c>
      <c r="E10346" s="1">
        <v>80.14282</v>
      </c>
      <c r="F10346" s="1">
        <v>805.0</v>
      </c>
      <c r="G10346" s="1">
        <v>17.0</v>
      </c>
    </row>
    <row r="10347">
      <c r="A10347" s="1" t="s">
        <v>8</v>
      </c>
      <c r="B10347" s="2">
        <v>44742.0</v>
      </c>
      <c r="C10347" s="3">
        <v>0.34274305555555556</v>
      </c>
      <c r="D10347" s="1">
        <v>12.954639</v>
      </c>
      <c r="E10347" s="1">
        <v>80.142463</v>
      </c>
      <c r="F10347" s="1">
        <v>805.0</v>
      </c>
      <c r="G10347" s="1">
        <v>36.0</v>
      </c>
    </row>
    <row r="10348">
      <c r="A10348" s="1" t="s">
        <v>7</v>
      </c>
      <c r="B10348" s="2">
        <v>44742.0</v>
      </c>
      <c r="C10348" s="3">
        <v>0.34284722222222225</v>
      </c>
      <c r="D10348" s="1">
        <v>12.899703</v>
      </c>
      <c r="E10348" s="1">
        <v>80.0913</v>
      </c>
      <c r="F10348" s="1">
        <v>5339.0</v>
      </c>
      <c r="G10348" s="1">
        <v>57.0</v>
      </c>
    </row>
    <row r="10349">
      <c r="A10349" s="1" t="s">
        <v>8</v>
      </c>
      <c r="B10349" s="2">
        <v>44742.0</v>
      </c>
      <c r="C10349" s="3">
        <v>0.3428819444444444</v>
      </c>
      <c r="D10349" s="1">
        <v>12.855764</v>
      </c>
      <c r="E10349" s="1">
        <v>80.068866</v>
      </c>
      <c r="F10349" s="1">
        <v>2846.0</v>
      </c>
      <c r="G10349" s="1">
        <v>49.0</v>
      </c>
    </row>
    <row r="10350">
      <c r="A10350" s="1" t="s">
        <v>7</v>
      </c>
      <c r="B10350" s="2">
        <v>44742.0</v>
      </c>
      <c r="C10350" s="3">
        <v>0.34297453703703706</v>
      </c>
      <c r="D10350" s="1">
        <v>12.856816</v>
      </c>
      <c r="E10350" s="1">
        <v>80.069662</v>
      </c>
      <c r="F10350" s="1">
        <v>2846.0</v>
      </c>
      <c r="G10350" s="1">
        <v>54.0</v>
      </c>
    </row>
    <row r="10351">
      <c r="A10351" s="1" t="s">
        <v>8</v>
      </c>
      <c r="B10351" s="2">
        <v>44742.0</v>
      </c>
      <c r="C10351" s="3">
        <v>0.3433333333333333</v>
      </c>
      <c r="D10351" s="1">
        <v>12.86029</v>
      </c>
      <c r="E10351" s="1">
        <v>80.07227</v>
      </c>
      <c r="F10351" s="1">
        <v>2846.0</v>
      </c>
      <c r="G10351" s="1">
        <v>52.0</v>
      </c>
    </row>
    <row r="10352">
      <c r="A10352" s="1" t="s">
        <v>8</v>
      </c>
      <c r="B10352" s="2">
        <v>44742.0</v>
      </c>
      <c r="C10352" s="3">
        <v>0.3437847222222222</v>
      </c>
      <c r="D10352" s="1">
        <v>12.950469</v>
      </c>
      <c r="E10352" s="1">
        <v>80.139655</v>
      </c>
      <c r="F10352" s="1">
        <v>805.0</v>
      </c>
      <c r="G10352" s="1">
        <v>34.0</v>
      </c>
    </row>
    <row r="10353">
      <c r="A10353" s="1" t="s">
        <v>8</v>
      </c>
      <c r="B10353" s="2">
        <v>44742.0</v>
      </c>
      <c r="C10353" s="3">
        <v>0.34392361111111114</v>
      </c>
      <c r="D10353" s="1">
        <v>12.896802</v>
      </c>
      <c r="E10353" s="1">
        <v>80.089104</v>
      </c>
      <c r="F10353" s="1">
        <v>5339.0</v>
      </c>
      <c r="G10353" s="1">
        <v>23.0</v>
      </c>
    </row>
    <row r="10354">
      <c r="A10354" s="1" t="s">
        <v>8</v>
      </c>
      <c r="B10354" s="2">
        <v>44742.0</v>
      </c>
      <c r="C10354" s="3">
        <v>0.3439699074074074</v>
      </c>
      <c r="D10354" s="1">
        <v>12.949693</v>
      </c>
      <c r="E10354" s="1">
        <v>80.13899</v>
      </c>
      <c r="F10354" s="1">
        <v>805.0</v>
      </c>
      <c r="G10354" s="1">
        <v>43.0</v>
      </c>
    </row>
    <row r="10355">
      <c r="A10355" s="1" t="s">
        <v>8</v>
      </c>
      <c r="B10355" s="2">
        <v>44742.0</v>
      </c>
      <c r="C10355" s="3">
        <v>0.34412037037037035</v>
      </c>
      <c r="D10355" s="1">
        <v>12.895421</v>
      </c>
      <c r="E10355" s="1">
        <v>80.088077</v>
      </c>
      <c r="F10355" s="1">
        <v>5339.0</v>
      </c>
      <c r="G10355" s="1">
        <v>43.0</v>
      </c>
    </row>
    <row r="10356">
      <c r="A10356" s="1" t="s">
        <v>8</v>
      </c>
      <c r="B10356" s="2">
        <v>44742.0</v>
      </c>
      <c r="C10356" s="3">
        <v>0.34414351851851854</v>
      </c>
      <c r="D10356" s="1">
        <v>12.895421</v>
      </c>
      <c r="E10356" s="1">
        <v>80.088077</v>
      </c>
      <c r="F10356" s="1">
        <v>5339.0</v>
      </c>
      <c r="G10356" s="1">
        <v>43.0</v>
      </c>
    </row>
    <row r="10357">
      <c r="A10357" s="1" t="s">
        <v>8</v>
      </c>
      <c r="B10357" s="2">
        <v>44742.0</v>
      </c>
      <c r="C10357" s="3">
        <v>0.3443171296296296</v>
      </c>
      <c r="D10357" s="1">
        <v>12.946932</v>
      </c>
      <c r="E10357" s="1">
        <v>80.136887</v>
      </c>
      <c r="F10357" s="1">
        <v>805.0</v>
      </c>
      <c r="G10357" s="1">
        <v>43.0</v>
      </c>
    </row>
    <row r="10358">
      <c r="A10358" s="1" t="s">
        <v>8</v>
      </c>
      <c r="B10358" s="2">
        <v>44742.0</v>
      </c>
      <c r="C10358" s="3">
        <v>0.3443171296296296</v>
      </c>
      <c r="D10358" s="1">
        <v>12.893782</v>
      </c>
      <c r="E10358" s="1">
        <v>80.086853</v>
      </c>
      <c r="F10358" s="1">
        <v>5339.0</v>
      </c>
      <c r="G10358" s="1">
        <v>40.0</v>
      </c>
    </row>
    <row r="10359">
      <c r="A10359" s="1" t="s">
        <v>8</v>
      </c>
      <c r="B10359" s="2">
        <v>44742.0</v>
      </c>
      <c r="C10359" s="3">
        <v>0.3443865740740741</v>
      </c>
      <c r="D10359" s="1">
        <v>12.892975</v>
      </c>
      <c r="E10359" s="1">
        <v>80.086229</v>
      </c>
      <c r="F10359" s="1">
        <v>5339.0</v>
      </c>
      <c r="G10359" s="1">
        <v>40.0</v>
      </c>
    </row>
    <row r="10360">
      <c r="A10360" s="1" t="s">
        <v>8</v>
      </c>
      <c r="B10360" s="2">
        <v>44742.0</v>
      </c>
      <c r="C10360" s="3">
        <v>0.34445601851851854</v>
      </c>
      <c r="D10360" s="1">
        <v>12.945155</v>
      </c>
      <c r="E10360" s="1">
        <v>80.135528</v>
      </c>
      <c r="F10360" s="1">
        <v>805.0</v>
      </c>
      <c r="G10360" s="1">
        <v>36.0</v>
      </c>
    </row>
    <row r="10361">
      <c r="A10361" s="1" t="s">
        <v>8</v>
      </c>
      <c r="B10361" s="2">
        <v>44742.0</v>
      </c>
      <c r="C10361" s="3">
        <v>0.3444675925925926</v>
      </c>
      <c r="D10361" s="1">
        <v>12.868492</v>
      </c>
      <c r="E10361" s="1">
        <v>80.075868</v>
      </c>
      <c r="F10361" s="1">
        <v>2846.0</v>
      </c>
      <c r="G10361" s="1">
        <v>44.0</v>
      </c>
    </row>
    <row r="10362">
      <c r="A10362" s="1" t="s">
        <v>8</v>
      </c>
      <c r="B10362" s="2">
        <v>44742.0</v>
      </c>
      <c r="C10362" s="3">
        <v>0.34456018518518516</v>
      </c>
      <c r="D10362" s="1">
        <v>12.86948</v>
      </c>
      <c r="E10362" s="1">
        <v>80.076264</v>
      </c>
      <c r="F10362" s="1">
        <v>2846.0</v>
      </c>
      <c r="G10362" s="1">
        <v>42.0</v>
      </c>
    </row>
    <row r="10363">
      <c r="A10363" s="1" t="s">
        <v>8</v>
      </c>
      <c r="B10363" s="2">
        <v>44742.0</v>
      </c>
      <c r="C10363" s="3">
        <v>0.3449305555555556</v>
      </c>
      <c r="D10363" s="1">
        <v>12.943222</v>
      </c>
      <c r="E10363" s="1">
        <v>80.134009</v>
      </c>
      <c r="F10363" s="1">
        <v>805.0</v>
      </c>
      <c r="G10363" s="1">
        <v>32.0</v>
      </c>
    </row>
    <row r="10364">
      <c r="A10364" s="1" t="s">
        <v>8</v>
      </c>
      <c r="B10364" s="2">
        <v>44742.0</v>
      </c>
      <c r="C10364" s="3">
        <v>0.3449537037037037</v>
      </c>
      <c r="D10364" s="1">
        <v>12.943222</v>
      </c>
      <c r="E10364" s="1">
        <v>80.134009</v>
      </c>
      <c r="F10364" s="1">
        <v>805.0</v>
      </c>
      <c r="G10364" s="1">
        <v>32.0</v>
      </c>
    </row>
    <row r="10365">
      <c r="A10365" s="1" t="s">
        <v>8</v>
      </c>
      <c r="B10365" s="2">
        <v>44742.0</v>
      </c>
      <c r="C10365" s="3">
        <v>0.3449652777777778</v>
      </c>
      <c r="D10365" s="1">
        <v>12.943222</v>
      </c>
      <c r="E10365" s="1">
        <v>80.134009</v>
      </c>
      <c r="F10365" s="1">
        <v>805.0</v>
      </c>
      <c r="G10365" s="1">
        <v>32.0</v>
      </c>
    </row>
    <row r="10366">
      <c r="A10366" s="1" t="s">
        <v>8</v>
      </c>
      <c r="B10366" s="2">
        <v>44742.0</v>
      </c>
      <c r="C10366" s="3">
        <v>0.34498842592592593</v>
      </c>
      <c r="D10366" s="1">
        <v>12.873237</v>
      </c>
      <c r="E10366" s="1">
        <v>80.077713</v>
      </c>
      <c r="F10366" s="1">
        <v>2846.0</v>
      </c>
      <c r="G10366" s="1">
        <v>57.0</v>
      </c>
    </row>
    <row r="10367">
      <c r="A10367" s="1" t="s">
        <v>8</v>
      </c>
      <c r="B10367" s="2">
        <v>44742.0</v>
      </c>
      <c r="C10367" s="3">
        <v>0.3452314814814815</v>
      </c>
      <c r="D10367" s="1">
        <v>12.87555</v>
      </c>
      <c r="E10367" s="1">
        <v>80.078558</v>
      </c>
      <c r="F10367" s="1">
        <v>2846.0</v>
      </c>
      <c r="G10367" s="1">
        <v>44.0</v>
      </c>
    </row>
    <row r="10368">
      <c r="A10368" s="1" t="s">
        <v>8</v>
      </c>
      <c r="B10368" s="2">
        <v>44742.0</v>
      </c>
      <c r="C10368" s="3">
        <v>0.34533564814814816</v>
      </c>
      <c r="D10368" s="1">
        <v>12.941507</v>
      </c>
      <c r="E10368" s="1">
        <v>80.13219</v>
      </c>
      <c r="F10368" s="1">
        <v>805.0</v>
      </c>
      <c r="G10368" s="1">
        <v>35.0</v>
      </c>
    </row>
    <row r="10369">
      <c r="A10369" s="1" t="s">
        <v>8</v>
      </c>
      <c r="B10369" s="2">
        <v>44742.0</v>
      </c>
      <c r="C10369" s="3">
        <v>0.34550925925925924</v>
      </c>
      <c r="D10369" s="1">
        <v>12.883245</v>
      </c>
      <c r="E10369" s="1">
        <v>80.082005</v>
      </c>
      <c r="F10369" s="1">
        <v>5339.0</v>
      </c>
      <c r="G10369" s="1">
        <v>50.0</v>
      </c>
    </row>
    <row r="10370">
      <c r="A10370" s="1" t="s">
        <v>8</v>
      </c>
      <c r="B10370" s="2">
        <v>44742.0</v>
      </c>
      <c r="C10370" s="3">
        <v>0.3455787037037037</v>
      </c>
      <c r="D10370" s="1">
        <v>12.940303</v>
      </c>
      <c r="E10370" s="1">
        <v>80.130942</v>
      </c>
      <c r="F10370" s="1">
        <v>805.0</v>
      </c>
      <c r="G10370" s="1">
        <v>36.0</v>
      </c>
    </row>
    <row r="10371">
      <c r="A10371" s="1" t="s">
        <v>8</v>
      </c>
      <c r="B10371" s="2">
        <v>44742.0</v>
      </c>
      <c r="C10371" s="3">
        <v>0.34649305555555554</v>
      </c>
      <c r="D10371" s="1">
        <v>12.935425</v>
      </c>
      <c r="E10371" s="1">
        <v>80.126565</v>
      </c>
      <c r="F10371" s="1">
        <v>805.0</v>
      </c>
      <c r="G10371" s="1">
        <v>52.0</v>
      </c>
    </row>
    <row r="10372">
      <c r="A10372" s="1" t="s">
        <v>7</v>
      </c>
      <c r="B10372" s="2">
        <v>44742.0</v>
      </c>
      <c r="C10372" s="3">
        <v>0.3465972222222222</v>
      </c>
      <c r="D10372" s="1">
        <v>12.93434</v>
      </c>
      <c r="E10372" s="1">
        <v>80.125552</v>
      </c>
      <c r="F10372" s="1">
        <v>805.0</v>
      </c>
      <c r="G10372" s="1">
        <v>61.0</v>
      </c>
    </row>
    <row r="10373">
      <c r="A10373" s="1" t="s">
        <v>8</v>
      </c>
      <c r="B10373" s="2">
        <v>44742.0</v>
      </c>
      <c r="C10373" s="3">
        <v>0.3475578703703704</v>
      </c>
      <c r="D10373" s="1">
        <v>12.930511</v>
      </c>
      <c r="E10373" s="1">
        <v>80.121792</v>
      </c>
      <c r="F10373" s="1">
        <v>805.0</v>
      </c>
      <c r="G10373" s="1">
        <v>31.0</v>
      </c>
    </row>
    <row r="10374">
      <c r="A10374" s="1" t="s">
        <v>8</v>
      </c>
      <c r="B10374" s="2">
        <v>44742.0</v>
      </c>
      <c r="C10374" s="3">
        <v>0.34792824074074075</v>
      </c>
      <c r="D10374" s="1">
        <v>12.927581</v>
      </c>
      <c r="E10374" s="1">
        <v>80.118776</v>
      </c>
      <c r="F10374" s="1">
        <v>805.0</v>
      </c>
      <c r="G10374" s="1">
        <v>35.0</v>
      </c>
    </row>
    <row r="10375">
      <c r="A10375" s="1" t="s">
        <v>8</v>
      </c>
      <c r="B10375" s="2">
        <v>44742.0</v>
      </c>
      <c r="C10375" s="3">
        <v>0.34804398148148147</v>
      </c>
      <c r="D10375" s="1">
        <v>12.926927</v>
      </c>
      <c r="E10375" s="1">
        <v>80.118128</v>
      </c>
      <c r="F10375" s="1">
        <v>805.0</v>
      </c>
      <c r="G10375" s="1">
        <v>34.0</v>
      </c>
    </row>
    <row r="10376">
      <c r="A10376" s="1" t="s">
        <v>8</v>
      </c>
      <c r="B10376" s="2">
        <v>44742.0</v>
      </c>
      <c r="C10376" s="3">
        <v>0.34806712962962966</v>
      </c>
      <c r="D10376" s="1">
        <v>12.926927</v>
      </c>
      <c r="E10376" s="1">
        <v>80.118128</v>
      </c>
      <c r="F10376" s="1">
        <v>805.0</v>
      </c>
      <c r="G10376" s="1">
        <v>34.0</v>
      </c>
    </row>
    <row r="10377">
      <c r="A10377" s="1" t="s">
        <v>8</v>
      </c>
      <c r="B10377" s="2">
        <v>44742.0</v>
      </c>
      <c r="C10377" s="3">
        <v>0.34813657407407406</v>
      </c>
      <c r="D10377" s="1">
        <v>12.926927</v>
      </c>
      <c r="E10377" s="1">
        <v>80.118128</v>
      </c>
      <c r="F10377" s="1">
        <v>805.0</v>
      </c>
      <c r="G10377" s="1">
        <v>34.0</v>
      </c>
    </row>
    <row r="10378">
      <c r="A10378" s="1" t="s">
        <v>8</v>
      </c>
      <c r="B10378" s="2">
        <v>44742.0</v>
      </c>
      <c r="C10378" s="3">
        <v>0.3481944444444444</v>
      </c>
      <c r="D10378" s="1">
        <v>12.926339</v>
      </c>
      <c r="E10378" s="1">
        <v>80.117543</v>
      </c>
      <c r="F10378" s="1">
        <v>805.0</v>
      </c>
      <c r="G10378" s="1">
        <v>0.0</v>
      </c>
    </row>
    <row r="10379">
      <c r="A10379" s="1" t="s">
        <v>8</v>
      </c>
      <c r="B10379" s="2">
        <v>44742.0</v>
      </c>
      <c r="C10379" s="3">
        <v>0.3485300925925926</v>
      </c>
      <c r="D10379" s="1">
        <v>12.92452</v>
      </c>
      <c r="E10379" s="1">
        <v>80.115709</v>
      </c>
      <c r="F10379" s="1">
        <v>805.0</v>
      </c>
      <c r="G10379" s="1">
        <v>45.0</v>
      </c>
    </row>
    <row r="10380">
      <c r="A10380" s="1" t="s">
        <v>7</v>
      </c>
      <c r="B10380" s="2">
        <v>44742.0</v>
      </c>
      <c r="C10380" s="3">
        <v>0.3491666666666667</v>
      </c>
      <c r="D10380" s="1">
        <v>12.922563</v>
      </c>
      <c r="E10380" s="1">
        <v>80.113786</v>
      </c>
      <c r="F10380" s="1">
        <v>805.0</v>
      </c>
      <c r="G10380" s="1">
        <v>33.0</v>
      </c>
    </row>
    <row r="10381">
      <c r="A10381" s="1" t="s">
        <v>7</v>
      </c>
      <c r="B10381" s="2">
        <v>44742.0</v>
      </c>
      <c r="C10381" s="3">
        <v>0.3496064814814815</v>
      </c>
      <c r="D10381" s="1">
        <v>12.919455</v>
      </c>
      <c r="E10381" s="1">
        <v>80.110417</v>
      </c>
      <c r="F10381" s="1">
        <v>805.0</v>
      </c>
      <c r="G10381" s="1">
        <v>52.0</v>
      </c>
    </row>
    <row r="10382">
      <c r="A10382" s="1" t="s">
        <v>8</v>
      </c>
      <c r="B10382" s="2">
        <v>44742.0</v>
      </c>
      <c r="C10382" s="3">
        <v>0.34966435185185185</v>
      </c>
      <c r="D10382" s="1">
        <v>12.918598</v>
      </c>
      <c r="E10382" s="1">
        <v>80.109345</v>
      </c>
      <c r="F10382" s="1">
        <v>805.0</v>
      </c>
      <c r="G10382" s="1">
        <v>53.0</v>
      </c>
    </row>
    <row r="10383">
      <c r="A10383" s="1" t="s">
        <v>8</v>
      </c>
      <c r="B10383" s="2">
        <v>44742.0</v>
      </c>
      <c r="C10383" s="3">
        <v>0.3497337962962963</v>
      </c>
      <c r="D10383" s="1">
        <v>12.918598</v>
      </c>
      <c r="E10383" s="1">
        <v>80.109345</v>
      </c>
      <c r="F10383" s="1">
        <v>805.0</v>
      </c>
      <c r="G10383" s="1">
        <v>53.0</v>
      </c>
    </row>
    <row r="10384">
      <c r="A10384" s="1" t="s">
        <v>8</v>
      </c>
      <c r="B10384" s="2">
        <v>44742.0</v>
      </c>
      <c r="C10384" s="3">
        <v>0.3501388888888889</v>
      </c>
      <c r="D10384" s="1">
        <v>12.916489</v>
      </c>
      <c r="E10384" s="1">
        <v>80.106293</v>
      </c>
      <c r="F10384" s="1">
        <v>805.0</v>
      </c>
      <c r="G10384" s="1">
        <v>47.0</v>
      </c>
    </row>
    <row r="10385">
      <c r="A10385" s="1" t="s">
        <v>8</v>
      </c>
      <c r="B10385" s="2">
        <v>44742.0</v>
      </c>
      <c r="C10385" s="3">
        <v>0.3510300925925926</v>
      </c>
      <c r="D10385" s="1">
        <v>12.911319</v>
      </c>
      <c r="E10385" s="1">
        <v>80.101354</v>
      </c>
      <c r="F10385" s="1">
        <v>805.0</v>
      </c>
      <c r="G10385" s="1">
        <v>38.0</v>
      </c>
    </row>
    <row r="10386">
      <c r="A10386" s="1" t="s">
        <v>7</v>
      </c>
      <c r="B10386" s="2">
        <v>44742.0</v>
      </c>
      <c r="C10386" s="3">
        <v>0.3511111111111111</v>
      </c>
      <c r="D10386" s="1">
        <v>12.910268</v>
      </c>
      <c r="E10386" s="1">
        <v>80.100884</v>
      </c>
      <c r="F10386" s="1">
        <v>805.0</v>
      </c>
      <c r="G10386" s="1">
        <v>48.0</v>
      </c>
    </row>
    <row r="10387">
      <c r="A10387" s="1" t="s">
        <v>8</v>
      </c>
      <c r="B10387" s="2">
        <v>44742.0</v>
      </c>
      <c r="C10387" s="3">
        <v>0.35119212962962965</v>
      </c>
      <c r="D10387" s="1">
        <v>12.909568</v>
      </c>
      <c r="E10387" s="1">
        <v>80.099709</v>
      </c>
      <c r="F10387" s="1">
        <v>805.0</v>
      </c>
      <c r="G10387" s="1">
        <v>55.0</v>
      </c>
    </row>
    <row r="10388">
      <c r="A10388" s="1" t="s">
        <v>8</v>
      </c>
      <c r="B10388" s="2">
        <v>44742.0</v>
      </c>
      <c r="C10388" s="3">
        <v>0.35130787037037037</v>
      </c>
      <c r="D10388" s="1">
        <v>12.909063</v>
      </c>
      <c r="E10388" s="1">
        <v>80.098775</v>
      </c>
      <c r="F10388" s="1">
        <v>805.0</v>
      </c>
      <c r="G10388" s="1">
        <v>32.0</v>
      </c>
    </row>
    <row r="10389">
      <c r="A10389" s="1" t="s">
        <v>8</v>
      </c>
      <c r="B10389" s="2">
        <v>44742.0</v>
      </c>
      <c r="C10389" s="3">
        <v>0.35130787037037037</v>
      </c>
      <c r="D10389" s="1">
        <v>12.909063</v>
      </c>
      <c r="E10389" s="1">
        <v>80.098775</v>
      </c>
      <c r="F10389" s="1">
        <v>805.0</v>
      </c>
      <c r="G10389" s="1">
        <v>32.0</v>
      </c>
    </row>
    <row r="10390">
      <c r="A10390" s="1" t="s">
        <v>7</v>
      </c>
      <c r="B10390" s="2">
        <v>44742.0</v>
      </c>
      <c r="C10390" s="3">
        <v>0.3542708333333333</v>
      </c>
      <c r="D10390" s="1">
        <v>12.891502</v>
      </c>
      <c r="E10390" s="1">
        <v>80.085269</v>
      </c>
      <c r="F10390" s="1">
        <v>805.0</v>
      </c>
      <c r="G10390" s="1">
        <v>45.0</v>
      </c>
    </row>
    <row r="10391">
      <c r="A10391" s="1" t="s">
        <v>7</v>
      </c>
      <c r="B10391" s="2">
        <v>44742.0</v>
      </c>
      <c r="C10391" s="3">
        <v>0.3545023148148148</v>
      </c>
      <c r="D10391" s="1">
        <v>12.888877</v>
      </c>
      <c r="E10391" s="1">
        <v>80.084147</v>
      </c>
      <c r="F10391" s="1">
        <v>805.0</v>
      </c>
      <c r="G10391" s="1">
        <v>58.0</v>
      </c>
    </row>
    <row r="10392">
      <c r="A10392" s="1" t="s">
        <v>8</v>
      </c>
      <c r="B10392" s="2">
        <v>44742.0</v>
      </c>
      <c r="C10392" s="3">
        <v>0.3549421296296296</v>
      </c>
      <c r="D10392" s="1">
        <v>12.884829</v>
      </c>
      <c r="E10392" s="1">
        <v>80.082473</v>
      </c>
      <c r="F10392" s="1">
        <v>805.0</v>
      </c>
      <c r="G10392" s="1">
        <v>52.0</v>
      </c>
    </row>
    <row r="10393">
      <c r="A10393" s="1" t="s">
        <v>8</v>
      </c>
      <c r="B10393" s="2">
        <v>44742.0</v>
      </c>
      <c r="C10393" s="3">
        <v>0.6719560185185185</v>
      </c>
      <c r="D10393" s="1">
        <v>12.878154</v>
      </c>
      <c r="E10393" s="1">
        <v>80.082779</v>
      </c>
      <c r="F10393" s="1">
        <v>805.0</v>
      </c>
      <c r="G10393" s="1">
        <v>56.0</v>
      </c>
    </row>
    <row r="10394">
      <c r="A10394" s="1" t="s">
        <v>10</v>
      </c>
      <c r="B10394" s="2">
        <v>44742.0</v>
      </c>
      <c r="C10394" s="3">
        <v>0.6723842592592593</v>
      </c>
      <c r="D10394" s="1">
        <v>12.876866</v>
      </c>
      <c r="E10394" s="1">
        <v>80.08435</v>
      </c>
      <c r="F10394" s="1">
        <v>2846.0</v>
      </c>
      <c r="G10394" s="1">
        <v>18.0</v>
      </c>
    </row>
    <row r="10395">
      <c r="A10395" s="1" t="s">
        <v>7</v>
      </c>
      <c r="B10395" s="2">
        <v>44742.0</v>
      </c>
      <c r="C10395" s="3">
        <v>0.6734259259259259</v>
      </c>
      <c r="D10395" s="1">
        <v>12.884767</v>
      </c>
      <c r="E10395" s="1">
        <v>80.081986</v>
      </c>
      <c r="F10395" s="1">
        <v>805.0</v>
      </c>
      <c r="G10395" s="1">
        <v>52.0</v>
      </c>
    </row>
    <row r="10396">
      <c r="A10396" s="1" t="s">
        <v>7</v>
      </c>
      <c r="B10396" s="2">
        <v>44742.0</v>
      </c>
      <c r="C10396" s="3">
        <v>0.673587962962963</v>
      </c>
      <c r="D10396" s="1">
        <v>12.887155</v>
      </c>
      <c r="E10396" s="1">
        <v>80.083275</v>
      </c>
      <c r="F10396" s="1">
        <v>805.0</v>
      </c>
      <c r="G10396" s="1">
        <v>57.0</v>
      </c>
    </row>
    <row r="10397">
      <c r="A10397" s="1" t="s">
        <v>7</v>
      </c>
      <c r="B10397" s="2">
        <v>44742.0</v>
      </c>
      <c r="C10397" s="3">
        <v>0.673587962962963</v>
      </c>
      <c r="D10397" s="1">
        <v>12.881778</v>
      </c>
      <c r="E10397" s="1">
        <v>80.080816</v>
      </c>
      <c r="F10397" s="1">
        <v>5339.0</v>
      </c>
      <c r="G10397" s="1">
        <v>25.0</v>
      </c>
    </row>
    <row r="10398">
      <c r="A10398" s="1" t="s">
        <v>7</v>
      </c>
      <c r="B10398" s="2">
        <v>44742.0</v>
      </c>
      <c r="C10398" s="3">
        <v>0.6736574074074074</v>
      </c>
      <c r="D10398" s="1">
        <v>12.878076</v>
      </c>
      <c r="E10398" s="1">
        <v>80.079845</v>
      </c>
      <c r="F10398" s="1">
        <v>2846.0</v>
      </c>
      <c r="G10398" s="1">
        <v>42.0</v>
      </c>
    </row>
    <row r="10399">
      <c r="A10399" s="1" t="s">
        <v>7</v>
      </c>
      <c r="B10399" s="2">
        <v>44742.0</v>
      </c>
      <c r="C10399" s="3">
        <v>0.6736689814814815</v>
      </c>
      <c r="D10399" s="1">
        <v>12.88851</v>
      </c>
      <c r="E10399" s="1">
        <v>80.08382</v>
      </c>
      <c r="F10399" s="1">
        <v>805.0</v>
      </c>
      <c r="G10399" s="1">
        <v>57.0</v>
      </c>
    </row>
    <row r="10400">
      <c r="A10400" s="1" t="s">
        <v>7</v>
      </c>
      <c r="B10400" s="2">
        <v>44742.0</v>
      </c>
      <c r="C10400" s="3">
        <v>0.6738425925925926</v>
      </c>
      <c r="D10400" s="1">
        <v>12.88998</v>
      </c>
      <c r="E10400" s="1">
        <v>80.084429</v>
      </c>
      <c r="F10400" s="1">
        <v>5339.0</v>
      </c>
      <c r="G10400" s="1">
        <v>58.0</v>
      </c>
    </row>
    <row r="10401">
      <c r="A10401" s="1" t="s">
        <v>7</v>
      </c>
      <c r="B10401" s="2">
        <v>44742.0</v>
      </c>
      <c r="C10401" s="3">
        <v>0.6742013888888889</v>
      </c>
      <c r="D10401" s="1">
        <v>12.894917</v>
      </c>
      <c r="E10401" s="1">
        <v>80.087563</v>
      </c>
      <c r="F10401" s="1">
        <v>5339.0</v>
      </c>
      <c r="G10401" s="1">
        <v>54.0</v>
      </c>
    </row>
    <row r="10402">
      <c r="A10402" s="1" t="s">
        <v>8</v>
      </c>
      <c r="B10402" s="2">
        <v>44742.0</v>
      </c>
      <c r="C10402" s="3">
        <v>0.6743865740740741</v>
      </c>
      <c r="D10402" s="1">
        <v>12.895958</v>
      </c>
      <c r="E10402" s="1">
        <v>80.088362</v>
      </c>
      <c r="F10402" s="1">
        <v>5339.0</v>
      </c>
      <c r="G10402" s="1">
        <v>48.0</v>
      </c>
    </row>
    <row r="10403">
      <c r="A10403" s="1" t="s">
        <v>8</v>
      </c>
      <c r="B10403" s="2">
        <v>44742.0</v>
      </c>
      <c r="C10403" s="3">
        <v>0.6745601851851852</v>
      </c>
      <c r="D10403" s="1">
        <v>12.897056</v>
      </c>
      <c r="E10403" s="1">
        <v>80.089125</v>
      </c>
      <c r="F10403" s="1">
        <v>805.0</v>
      </c>
      <c r="G10403" s="1">
        <v>46.0</v>
      </c>
    </row>
    <row r="10404">
      <c r="A10404" s="1" t="s">
        <v>7</v>
      </c>
      <c r="B10404" s="2">
        <v>44742.0</v>
      </c>
      <c r="C10404" s="3">
        <v>0.6748958333333334</v>
      </c>
      <c r="D10404" s="1">
        <v>12.865648</v>
      </c>
      <c r="E10404" s="1">
        <v>80.07501</v>
      </c>
      <c r="F10404" s="1">
        <v>2846.0</v>
      </c>
      <c r="G10404" s="1">
        <v>44.0</v>
      </c>
    </row>
    <row r="10405">
      <c r="A10405" s="1" t="s">
        <v>8</v>
      </c>
      <c r="B10405" s="2">
        <v>44742.0</v>
      </c>
      <c r="C10405" s="3">
        <v>0.6749074074074074</v>
      </c>
      <c r="D10405" s="1">
        <v>12.90008</v>
      </c>
      <c r="E10405" s="1">
        <v>80.09138</v>
      </c>
      <c r="F10405" s="1">
        <v>805.0</v>
      </c>
      <c r="G10405" s="1">
        <v>52.0</v>
      </c>
    </row>
    <row r="10406">
      <c r="A10406" s="1" t="s">
        <v>8</v>
      </c>
      <c r="B10406" s="2">
        <v>44742.0</v>
      </c>
      <c r="C10406" s="3">
        <v>0.6749537037037037</v>
      </c>
      <c r="D10406" s="1">
        <v>12.901131</v>
      </c>
      <c r="E10406" s="1">
        <v>80.092191</v>
      </c>
      <c r="F10406" s="1">
        <v>805.0</v>
      </c>
      <c r="G10406" s="1">
        <v>47.0</v>
      </c>
    </row>
    <row r="10407">
      <c r="A10407" s="1" t="s">
        <v>8</v>
      </c>
      <c r="B10407" s="2">
        <v>44742.0</v>
      </c>
      <c r="C10407" s="3">
        <v>0.6749768518518519</v>
      </c>
      <c r="D10407" s="1">
        <v>12.901131</v>
      </c>
      <c r="E10407" s="1">
        <v>80.092191</v>
      </c>
      <c r="F10407" s="1">
        <v>805.0</v>
      </c>
      <c r="G10407" s="1">
        <v>47.0</v>
      </c>
    </row>
    <row r="10408">
      <c r="A10408" s="1" t="s">
        <v>8</v>
      </c>
      <c r="B10408" s="2">
        <v>44742.0</v>
      </c>
      <c r="C10408" s="3">
        <v>0.675</v>
      </c>
      <c r="D10408" s="1">
        <v>12.900928</v>
      </c>
      <c r="E10408" s="1">
        <v>80.092086</v>
      </c>
      <c r="F10408" s="1">
        <v>5339.0</v>
      </c>
      <c r="G10408" s="1">
        <v>51.0</v>
      </c>
    </row>
    <row r="10409">
      <c r="A10409" s="1" t="s">
        <v>8</v>
      </c>
      <c r="B10409" s="2">
        <v>44742.0</v>
      </c>
      <c r="C10409" s="3">
        <v>0.6750694444444445</v>
      </c>
      <c r="D10409" s="1">
        <v>12.901764</v>
      </c>
      <c r="E10409" s="1">
        <v>80.092707</v>
      </c>
      <c r="F10409" s="1">
        <v>5339.0</v>
      </c>
      <c r="G10409" s="1">
        <v>40.0</v>
      </c>
    </row>
    <row r="10410">
      <c r="A10410" s="1" t="s">
        <v>8</v>
      </c>
      <c r="B10410" s="2">
        <v>44742.0</v>
      </c>
      <c r="C10410" s="3">
        <v>0.6752314814814815</v>
      </c>
      <c r="D10410" s="1">
        <v>12.902715</v>
      </c>
      <c r="E10410" s="1">
        <v>80.093349</v>
      </c>
      <c r="F10410" s="1">
        <v>805.0</v>
      </c>
      <c r="G10410" s="1">
        <v>44.0</v>
      </c>
    </row>
    <row r="10411">
      <c r="A10411" s="1" t="s">
        <v>7</v>
      </c>
      <c r="B10411" s="2">
        <v>44742.0</v>
      </c>
      <c r="C10411" s="3">
        <v>0.6757638888888889</v>
      </c>
      <c r="D10411" s="1">
        <v>12.858855</v>
      </c>
      <c r="E10411" s="1">
        <v>80.071499</v>
      </c>
      <c r="F10411" s="1">
        <v>2846.0</v>
      </c>
      <c r="G10411" s="1">
        <v>42.0</v>
      </c>
    </row>
    <row r="10412">
      <c r="A10412" s="1" t="s">
        <v>8</v>
      </c>
      <c r="B10412" s="2">
        <v>44742.0</v>
      </c>
      <c r="C10412" s="3">
        <v>0.6758680555555555</v>
      </c>
      <c r="D10412" s="1">
        <v>12.90737</v>
      </c>
      <c r="E10412" s="1">
        <v>80.096901</v>
      </c>
      <c r="F10412" s="1">
        <v>5339.0</v>
      </c>
      <c r="G10412" s="1">
        <v>60.0</v>
      </c>
    </row>
    <row r="10413">
      <c r="A10413" s="1" t="s">
        <v>8</v>
      </c>
      <c r="B10413" s="2">
        <v>44742.0</v>
      </c>
      <c r="C10413" s="3">
        <v>0.676238425925926</v>
      </c>
      <c r="D10413" s="1">
        <v>12.9101</v>
      </c>
      <c r="E10413" s="1">
        <v>80.100137</v>
      </c>
      <c r="F10413" s="1">
        <v>5339.0</v>
      </c>
      <c r="G10413" s="1">
        <v>45.0</v>
      </c>
    </row>
    <row r="10414">
      <c r="A10414" s="1" t="s">
        <v>8</v>
      </c>
      <c r="B10414" s="2">
        <v>44742.0</v>
      </c>
      <c r="C10414" s="3">
        <v>0.676886574074074</v>
      </c>
      <c r="D10414" s="1">
        <v>12.91447</v>
      </c>
      <c r="E10414" s="1">
        <v>80.101721</v>
      </c>
      <c r="F10414" s="1">
        <v>5339.0</v>
      </c>
      <c r="G10414" s="1">
        <v>43.0</v>
      </c>
    </row>
    <row r="10415">
      <c r="A10415" s="1" t="s">
        <v>8</v>
      </c>
      <c r="B10415" s="2">
        <v>44742.0</v>
      </c>
      <c r="C10415" s="3">
        <v>0.6769097222222222</v>
      </c>
      <c r="D10415" s="1">
        <v>12.915107</v>
      </c>
      <c r="E10415" s="1">
        <v>80.102122</v>
      </c>
      <c r="F10415" s="1">
        <v>805.0</v>
      </c>
      <c r="G10415" s="1">
        <v>56.0</v>
      </c>
    </row>
    <row r="10416">
      <c r="A10416" s="1" t="s">
        <v>8</v>
      </c>
      <c r="B10416" s="2">
        <v>44742.0</v>
      </c>
      <c r="C10416" s="3">
        <v>0.6769907407407407</v>
      </c>
      <c r="D10416" s="1">
        <v>12.915107</v>
      </c>
      <c r="E10416" s="1">
        <v>80.102122</v>
      </c>
      <c r="F10416" s="1">
        <v>805.0</v>
      </c>
      <c r="G10416" s="1">
        <v>56.0</v>
      </c>
    </row>
    <row r="10417">
      <c r="A10417" s="1" t="s">
        <v>7</v>
      </c>
      <c r="B10417" s="2">
        <v>44742.0</v>
      </c>
      <c r="C10417" s="3">
        <v>0.6771412037037037</v>
      </c>
      <c r="D10417" s="1">
        <v>12.915831</v>
      </c>
      <c r="E10417" s="1">
        <v>80.104651</v>
      </c>
      <c r="F10417" s="1">
        <v>805.0</v>
      </c>
      <c r="G10417" s="1">
        <v>55.0</v>
      </c>
    </row>
    <row r="10418">
      <c r="A10418" s="1" t="s">
        <v>7</v>
      </c>
      <c r="B10418" s="2">
        <v>44742.0</v>
      </c>
      <c r="C10418" s="3">
        <v>0.6772337962962963</v>
      </c>
      <c r="D10418" s="1">
        <v>12.916067</v>
      </c>
      <c r="E10418" s="1">
        <v>80.105337</v>
      </c>
      <c r="F10418" s="1">
        <v>5339.0</v>
      </c>
      <c r="G10418" s="1">
        <v>57.0</v>
      </c>
    </row>
    <row r="10419">
      <c r="A10419" s="1" t="s">
        <v>8</v>
      </c>
      <c r="B10419" s="2">
        <v>44742.0</v>
      </c>
      <c r="C10419" s="3">
        <v>0.6774537037037037</v>
      </c>
      <c r="D10419" s="1">
        <v>12.91734</v>
      </c>
      <c r="E10419" s="1">
        <v>80.107726</v>
      </c>
      <c r="F10419" s="1">
        <v>5339.0</v>
      </c>
      <c r="G10419" s="1">
        <v>50.0</v>
      </c>
    </row>
    <row r="10420">
      <c r="A10420" s="1" t="s">
        <v>8</v>
      </c>
      <c r="B10420" s="2">
        <v>44742.0</v>
      </c>
      <c r="C10420" s="3">
        <v>0.677488425925926</v>
      </c>
      <c r="D10420" s="1">
        <v>12.917714</v>
      </c>
      <c r="E10420" s="1">
        <v>80.108142</v>
      </c>
      <c r="F10420" s="1">
        <v>805.0</v>
      </c>
      <c r="G10420" s="1">
        <v>38.0</v>
      </c>
    </row>
    <row r="10421">
      <c r="A10421" s="1" t="s">
        <v>8</v>
      </c>
      <c r="B10421" s="2">
        <v>44742.0</v>
      </c>
      <c r="C10421" s="3">
        <v>0.6776504629629629</v>
      </c>
      <c r="D10421" s="1">
        <v>12.918404</v>
      </c>
      <c r="E10421" s="1">
        <v>80.108961</v>
      </c>
      <c r="F10421" s="1">
        <v>805.0</v>
      </c>
      <c r="G10421" s="1">
        <v>41.0</v>
      </c>
    </row>
    <row r="10422">
      <c r="A10422" s="1" t="s">
        <v>7</v>
      </c>
      <c r="B10422" s="2">
        <v>44742.0</v>
      </c>
      <c r="C10422" s="3">
        <v>0.6777314814814814</v>
      </c>
      <c r="D10422" s="1">
        <v>12.919122</v>
      </c>
      <c r="E10422" s="1">
        <v>80.109875</v>
      </c>
      <c r="F10422" s="1">
        <v>805.0</v>
      </c>
      <c r="G10422" s="1">
        <v>51.0</v>
      </c>
    </row>
    <row r="10423">
      <c r="A10423" s="1" t="s">
        <v>8</v>
      </c>
      <c r="B10423" s="2">
        <v>44742.0</v>
      </c>
      <c r="C10423" s="3">
        <v>0.6778472222222223</v>
      </c>
      <c r="D10423" s="1">
        <v>12.919481</v>
      </c>
      <c r="E10423" s="1">
        <v>80.110387</v>
      </c>
      <c r="F10423" s="1">
        <v>5339.0</v>
      </c>
      <c r="G10423" s="1">
        <v>49.0</v>
      </c>
    </row>
    <row r="10424">
      <c r="A10424" s="1" t="s">
        <v>8</v>
      </c>
      <c r="B10424" s="2">
        <v>44742.0</v>
      </c>
      <c r="C10424" s="3">
        <v>0.6778472222222223</v>
      </c>
      <c r="D10424" s="1">
        <v>12.919968</v>
      </c>
      <c r="E10424" s="1">
        <v>80.110944</v>
      </c>
      <c r="F10424" s="1">
        <v>805.0</v>
      </c>
      <c r="G10424" s="1">
        <v>51.0</v>
      </c>
    </row>
    <row r="10425">
      <c r="A10425" s="1" t="s">
        <v>7</v>
      </c>
      <c r="B10425" s="2">
        <v>44742.0</v>
      </c>
      <c r="C10425" s="3">
        <v>0.6779513888888888</v>
      </c>
      <c r="D10425" s="1">
        <v>12.920319</v>
      </c>
      <c r="E10425" s="1">
        <v>80.111379</v>
      </c>
      <c r="F10425" s="1">
        <v>5339.0</v>
      </c>
      <c r="G10425" s="1">
        <v>51.0</v>
      </c>
    </row>
    <row r="10426">
      <c r="A10426" s="1" t="s">
        <v>7</v>
      </c>
      <c r="B10426" s="2">
        <v>44742.0</v>
      </c>
      <c r="C10426" s="3">
        <v>0.6780439814814815</v>
      </c>
      <c r="D10426" s="1">
        <v>12.920802</v>
      </c>
      <c r="E10426" s="1">
        <v>80.11185</v>
      </c>
      <c r="F10426" s="1">
        <v>805.0</v>
      </c>
      <c r="G10426" s="1">
        <v>47.0</v>
      </c>
    </row>
    <row r="10427">
      <c r="A10427" s="1" t="s">
        <v>7</v>
      </c>
      <c r="B10427" s="2">
        <v>44742.0</v>
      </c>
      <c r="C10427" s="3">
        <v>0.6782291666666667</v>
      </c>
      <c r="D10427" s="1">
        <v>12.922134</v>
      </c>
      <c r="E10427" s="1">
        <v>80.11325</v>
      </c>
      <c r="F10427" s="1">
        <v>5339.0</v>
      </c>
      <c r="G10427" s="1">
        <v>55.0</v>
      </c>
    </row>
    <row r="10428">
      <c r="A10428" s="1" t="s">
        <v>7</v>
      </c>
      <c r="B10428" s="2">
        <v>44742.0</v>
      </c>
      <c r="C10428" s="3">
        <v>0.6783564814814815</v>
      </c>
      <c r="D10428" s="1">
        <v>12.923604</v>
      </c>
      <c r="E10428" s="1">
        <v>80.114685</v>
      </c>
      <c r="F10428" s="1">
        <v>805.0</v>
      </c>
      <c r="G10428" s="1">
        <v>50.0</v>
      </c>
    </row>
    <row r="10429">
      <c r="A10429" s="1" t="s">
        <v>8</v>
      </c>
      <c r="B10429" s="2">
        <v>44742.0</v>
      </c>
      <c r="C10429" s="3">
        <v>0.6783796296296296</v>
      </c>
      <c r="D10429" s="1">
        <v>12.924108</v>
      </c>
      <c r="E10429" s="1">
        <v>80.115197</v>
      </c>
      <c r="F10429" s="1">
        <v>5339.0</v>
      </c>
      <c r="G10429" s="1">
        <v>52.0</v>
      </c>
    </row>
    <row r="10430">
      <c r="A10430" s="1" t="s">
        <v>8</v>
      </c>
      <c r="B10430" s="2">
        <v>44742.0</v>
      </c>
      <c r="C10430" s="3">
        <v>0.6785763888888889</v>
      </c>
      <c r="D10430" s="1">
        <v>12.847754</v>
      </c>
      <c r="E10430" s="1">
        <v>80.063266</v>
      </c>
      <c r="F10430" s="1">
        <v>2846.0</v>
      </c>
      <c r="G10430" s="1">
        <v>48.0</v>
      </c>
    </row>
    <row r="10431">
      <c r="A10431" s="1" t="s">
        <v>8</v>
      </c>
      <c r="B10431" s="2">
        <v>44742.0</v>
      </c>
      <c r="C10431" s="3">
        <v>0.678587962962963</v>
      </c>
      <c r="D10431" s="1">
        <v>12.925408</v>
      </c>
      <c r="E10431" s="1">
        <v>80.116502</v>
      </c>
      <c r="F10431" s="1">
        <v>805.0</v>
      </c>
      <c r="G10431" s="1">
        <v>52.0</v>
      </c>
    </row>
    <row r="10432">
      <c r="A10432" s="1" t="s">
        <v>8</v>
      </c>
      <c r="B10432" s="2">
        <v>44742.0</v>
      </c>
      <c r="C10432" s="3">
        <v>0.678587962962963</v>
      </c>
      <c r="D10432" s="1">
        <v>12.924982</v>
      </c>
      <c r="E10432" s="1">
        <v>80.116068</v>
      </c>
      <c r="F10432" s="1">
        <v>5339.0</v>
      </c>
      <c r="G10432" s="1">
        <v>48.0</v>
      </c>
    </row>
    <row r="10433">
      <c r="A10433" s="1" t="s">
        <v>8</v>
      </c>
      <c r="B10433" s="2">
        <v>44742.0</v>
      </c>
      <c r="C10433" s="3">
        <v>0.6791203703703703</v>
      </c>
      <c r="D10433" s="1">
        <v>12.838737</v>
      </c>
      <c r="E10433" s="1">
        <v>80.054387</v>
      </c>
      <c r="F10433" s="1">
        <v>2846.0</v>
      </c>
      <c r="G10433" s="1">
        <v>43.0</v>
      </c>
    </row>
    <row r="10434">
      <c r="A10434" s="1" t="s">
        <v>8</v>
      </c>
      <c r="B10434" s="2">
        <v>44742.0</v>
      </c>
      <c r="C10434" s="3">
        <v>0.6793171296296296</v>
      </c>
      <c r="D10434" s="1">
        <v>12.926109</v>
      </c>
      <c r="E10434" s="1">
        <v>80.117224</v>
      </c>
      <c r="F10434" s="1">
        <v>805.0</v>
      </c>
      <c r="G10434" s="1">
        <v>21.0</v>
      </c>
    </row>
    <row r="10435">
      <c r="A10435" s="1" t="s">
        <v>8</v>
      </c>
      <c r="B10435" s="2">
        <v>44742.0</v>
      </c>
      <c r="C10435" s="3">
        <v>0.679375</v>
      </c>
      <c r="D10435" s="1">
        <v>12.927037</v>
      </c>
      <c r="E10435" s="1">
        <v>80.11815</v>
      </c>
      <c r="F10435" s="1">
        <v>5339.0</v>
      </c>
      <c r="G10435" s="1">
        <v>18.0</v>
      </c>
    </row>
    <row r="10436">
      <c r="A10436" s="1" t="s">
        <v>8</v>
      </c>
      <c r="B10436" s="2">
        <v>44742.0</v>
      </c>
      <c r="C10436" s="3">
        <v>0.6794560185185186</v>
      </c>
      <c r="D10436" s="1">
        <v>12.927465</v>
      </c>
      <c r="E10436" s="1">
        <v>80.118592</v>
      </c>
      <c r="F10436" s="1">
        <v>5339.0</v>
      </c>
      <c r="G10436" s="1">
        <v>31.0</v>
      </c>
    </row>
    <row r="10437">
      <c r="A10437" s="1" t="s">
        <v>8</v>
      </c>
      <c r="B10437" s="2">
        <v>44742.0</v>
      </c>
      <c r="C10437" s="3">
        <v>0.6794791666666666</v>
      </c>
      <c r="D10437" s="1">
        <v>12.927465</v>
      </c>
      <c r="E10437" s="1">
        <v>80.118592</v>
      </c>
      <c r="F10437" s="1">
        <v>5339.0</v>
      </c>
      <c r="G10437" s="1">
        <v>31.0</v>
      </c>
    </row>
    <row r="10438">
      <c r="A10438" s="1" t="s">
        <v>8</v>
      </c>
      <c r="B10438" s="2">
        <v>44742.0</v>
      </c>
      <c r="C10438" s="3">
        <v>0.679525462962963</v>
      </c>
      <c r="D10438" s="1">
        <v>12.926109</v>
      </c>
      <c r="E10438" s="1">
        <v>80.117224</v>
      </c>
      <c r="F10438" s="1">
        <v>805.0</v>
      </c>
      <c r="G10438" s="1">
        <v>21.0</v>
      </c>
    </row>
    <row r="10439">
      <c r="A10439" s="1" t="s">
        <v>7</v>
      </c>
      <c r="B10439" s="2">
        <v>44742.0</v>
      </c>
      <c r="C10439" s="3">
        <v>0.679537037037037</v>
      </c>
      <c r="D10439" s="1">
        <v>12.833927</v>
      </c>
      <c r="E10439" s="1">
        <v>80.049296</v>
      </c>
      <c r="F10439" s="1">
        <v>2846.0</v>
      </c>
      <c r="G10439" s="1">
        <v>58.0</v>
      </c>
    </row>
    <row r="10440">
      <c r="A10440" s="1" t="s">
        <v>8</v>
      </c>
      <c r="B10440" s="2">
        <v>44742.0</v>
      </c>
      <c r="C10440" s="3">
        <v>0.6796527777777778</v>
      </c>
      <c r="D10440" s="1">
        <v>12.928944</v>
      </c>
      <c r="E10440" s="1">
        <v>80.120048</v>
      </c>
      <c r="F10440" s="1">
        <v>805.0</v>
      </c>
      <c r="G10440" s="1">
        <v>36.0</v>
      </c>
    </row>
    <row r="10441">
      <c r="A10441" s="1" t="s">
        <v>8</v>
      </c>
      <c r="B10441" s="2">
        <v>44742.0</v>
      </c>
      <c r="C10441" s="3">
        <v>0.6799305555555556</v>
      </c>
      <c r="D10441" s="1">
        <v>12.831912</v>
      </c>
      <c r="E10441" s="1">
        <v>80.04718</v>
      </c>
      <c r="F10441" s="1">
        <v>2846.0</v>
      </c>
      <c r="G10441" s="1">
        <v>55.0</v>
      </c>
    </row>
    <row r="10442">
      <c r="A10442" s="1" t="s">
        <v>8</v>
      </c>
      <c r="B10442" s="2">
        <v>44742.0</v>
      </c>
      <c r="C10442" s="3">
        <v>0.6804050925925926</v>
      </c>
      <c r="D10442" s="1">
        <v>12.828791</v>
      </c>
      <c r="E10442" s="1">
        <v>80.04389</v>
      </c>
      <c r="F10442" s="1">
        <v>2846.0</v>
      </c>
      <c r="G10442" s="1">
        <v>49.0</v>
      </c>
    </row>
    <row r="10443">
      <c r="A10443" s="1" t="s">
        <v>8</v>
      </c>
      <c r="B10443" s="2">
        <v>44742.0</v>
      </c>
      <c r="C10443" s="3">
        <v>0.6804976851851852</v>
      </c>
      <c r="D10443" s="1">
        <v>12.930917</v>
      </c>
      <c r="E10443" s="1">
        <v>80.122021</v>
      </c>
      <c r="F10443" s="1">
        <v>805.0</v>
      </c>
      <c r="G10443" s="1">
        <v>42.0</v>
      </c>
    </row>
    <row r="10444">
      <c r="A10444" s="1" t="s">
        <v>7</v>
      </c>
      <c r="B10444" s="2">
        <v>44742.0</v>
      </c>
      <c r="C10444" s="3">
        <v>0.6805555555555556</v>
      </c>
      <c r="D10444" s="1">
        <v>12.828791</v>
      </c>
      <c r="E10444" s="1">
        <v>80.04389</v>
      </c>
      <c r="F10444" s="1">
        <v>2846.0</v>
      </c>
      <c r="G10444" s="1">
        <v>49.0</v>
      </c>
    </row>
    <row r="10445">
      <c r="A10445" s="1" t="s">
        <v>8</v>
      </c>
      <c r="B10445" s="2">
        <v>44742.0</v>
      </c>
      <c r="C10445" s="3">
        <v>0.6805787037037037</v>
      </c>
      <c r="D10445" s="1">
        <v>12.931846</v>
      </c>
      <c r="E10445" s="1">
        <v>80.122973</v>
      </c>
      <c r="F10445" s="1">
        <v>5339.0</v>
      </c>
      <c r="G10445" s="1">
        <v>35.0</v>
      </c>
    </row>
    <row r="10446">
      <c r="A10446" s="1" t="s">
        <v>7</v>
      </c>
      <c r="B10446" s="2">
        <v>44742.0</v>
      </c>
      <c r="C10446" s="3">
        <v>0.6807175925925926</v>
      </c>
      <c r="D10446" s="1">
        <v>12.824631</v>
      </c>
      <c r="E10446" s="1">
        <v>80.040117</v>
      </c>
      <c r="F10446" s="1">
        <v>2846.0</v>
      </c>
      <c r="G10446" s="1">
        <v>57.0</v>
      </c>
    </row>
    <row r="10447">
      <c r="A10447" s="1" t="s">
        <v>9</v>
      </c>
      <c r="B10447" s="2">
        <v>44742.0</v>
      </c>
      <c r="C10447" s="3">
        <v>0.6809837962962964</v>
      </c>
      <c r="D10447" s="1">
        <v>12.933845</v>
      </c>
      <c r="E10447" s="1">
        <v>80.124968</v>
      </c>
      <c r="F10447" s="1">
        <v>5339.0</v>
      </c>
      <c r="G10447" s="1">
        <v>50.0</v>
      </c>
    </row>
    <row r="10448">
      <c r="A10448" s="1" t="s">
        <v>8</v>
      </c>
      <c r="B10448" s="2">
        <v>44742.0</v>
      </c>
      <c r="C10448" s="3">
        <v>0.6816435185185186</v>
      </c>
      <c r="D10448" s="1">
        <v>12.821544</v>
      </c>
      <c r="E10448" s="1">
        <v>80.037975</v>
      </c>
      <c r="F10448" s="1">
        <v>2846.0</v>
      </c>
      <c r="G10448" s="1">
        <v>16.0</v>
      </c>
    </row>
    <row r="10449">
      <c r="A10449" s="1" t="s">
        <v>8</v>
      </c>
      <c r="B10449" s="2">
        <v>44742.0</v>
      </c>
      <c r="C10449" s="3">
        <v>0.6816782407407408</v>
      </c>
      <c r="D10449" s="1">
        <v>12.821544</v>
      </c>
      <c r="E10449" s="1">
        <v>80.037975</v>
      </c>
      <c r="F10449" s="1">
        <v>2846.0</v>
      </c>
      <c r="G10449" s="1">
        <v>16.0</v>
      </c>
    </row>
    <row r="10450">
      <c r="A10450" s="1" t="s">
        <v>8</v>
      </c>
      <c r="B10450" s="2">
        <v>44742.0</v>
      </c>
      <c r="C10450" s="3">
        <v>0.6818402777777778</v>
      </c>
      <c r="D10450" s="1">
        <v>12.936191</v>
      </c>
      <c r="E10450" s="1">
        <v>80.127114</v>
      </c>
      <c r="F10450" s="1">
        <v>5339.0</v>
      </c>
      <c r="G10450" s="1">
        <v>33.0</v>
      </c>
    </row>
    <row r="10451">
      <c r="A10451" s="1" t="s">
        <v>8</v>
      </c>
      <c r="B10451" s="2">
        <v>44742.0</v>
      </c>
      <c r="C10451" s="3">
        <v>0.6819791666666667</v>
      </c>
      <c r="D10451" s="1">
        <v>12.936622</v>
      </c>
      <c r="E10451" s="1">
        <v>80.127512</v>
      </c>
      <c r="F10451" s="1">
        <v>805.0</v>
      </c>
      <c r="G10451" s="1">
        <v>39.0</v>
      </c>
    </row>
    <row r="10452">
      <c r="A10452" s="1" t="s">
        <v>8</v>
      </c>
      <c r="B10452" s="2">
        <v>44742.0</v>
      </c>
      <c r="C10452" s="3">
        <v>0.6819907407407407</v>
      </c>
      <c r="D10452" s="1">
        <v>12.936191</v>
      </c>
      <c r="E10452" s="1">
        <v>80.127114</v>
      </c>
      <c r="F10452" s="1">
        <v>5339.0</v>
      </c>
      <c r="G10452" s="1">
        <v>33.0</v>
      </c>
    </row>
    <row r="10453">
      <c r="A10453" s="1" t="s">
        <v>8</v>
      </c>
      <c r="B10453" s="2">
        <v>44742.0</v>
      </c>
      <c r="C10453" s="3">
        <v>0.6820486111111111</v>
      </c>
      <c r="D10453" s="1">
        <v>12.936622</v>
      </c>
      <c r="E10453" s="1">
        <v>80.127512</v>
      </c>
      <c r="F10453" s="1">
        <v>805.0</v>
      </c>
      <c r="G10453" s="1">
        <v>39.0</v>
      </c>
    </row>
    <row r="10454">
      <c r="A10454" s="1" t="s">
        <v>8</v>
      </c>
      <c r="B10454" s="2">
        <v>44742.0</v>
      </c>
      <c r="C10454" s="3">
        <v>0.6821527777777778</v>
      </c>
      <c r="D10454" s="1">
        <v>12.819184</v>
      </c>
      <c r="E10454" s="1">
        <v>80.036291</v>
      </c>
      <c r="F10454" s="1">
        <v>2846.0</v>
      </c>
      <c r="G10454" s="1">
        <v>17.0</v>
      </c>
    </row>
    <row r="10455">
      <c r="A10455" s="1" t="s">
        <v>7</v>
      </c>
      <c r="B10455" s="2">
        <v>44742.0</v>
      </c>
      <c r="C10455" s="3">
        <v>0.6825347222222222</v>
      </c>
      <c r="D10455" s="1">
        <v>12.940676</v>
      </c>
      <c r="E10455" s="1">
        <v>80.131189</v>
      </c>
      <c r="F10455" s="1">
        <v>805.0</v>
      </c>
      <c r="G10455" s="1">
        <v>58.0</v>
      </c>
    </row>
    <row r="10456">
      <c r="A10456" s="1" t="s">
        <v>7</v>
      </c>
      <c r="B10456" s="2">
        <v>44742.0</v>
      </c>
      <c r="C10456" s="3">
        <v>0.6827430555555556</v>
      </c>
      <c r="D10456" s="1">
        <v>12.942723</v>
      </c>
      <c r="E10456" s="1">
        <v>80.133308</v>
      </c>
      <c r="F10456" s="1">
        <v>805.0</v>
      </c>
      <c r="G10456" s="1">
        <v>58.0</v>
      </c>
    </row>
    <row r="10457">
      <c r="A10457" s="1" t="s">
        <v>8</v>
      </c>
      <c r="B10457" s="2">
        <v>44742.0</v>
      </c>
      <c r="C10457" s="3">
        <v>0.6827777777777778</v>
      </c>
      <c r="D10457" s="1">
        <v>12.94377</v>
      </c>
      <c r="E10457" s="1">
        <v>80.134342</v>
      </c>
      <c r="F10457" s="1">
        <v>805.0</v>
      </c>
      <c r="G10457" s="1">
        <v>58.0</v>
      </c>
    </row>
    <row r="10458">
      <c r="A10458" s="1" t="s">
        <v>7</v>
      </c>
      <c r="B10458" s="2">
        <v>44742.0</v>
      </c>
      <c r="C10458" s="3">
        <v>0.6828356481481481</v>
      </c>
      <c r="D10458" s="1">
        <v>12.816077</v>
      </c>
      <c r="E10458" s="1">
        <v>80.034008</v>
      </c>
      <c r="F10458" s="1">
        <v>2846.0</v>
      </c>
      <c r="G10458" s="1">
        <v>47.0</v>
      </c>
    </row>
    <row r="10459">
      <c r="A10459" s="1" t="s">
        <v>7</v>
      </c>
      <c r="B10459" s="2">
        <v>44742.0</v>
      </c>
      <c r="C10459" s="3">
        <v>0.6830787037037037</v>
      </c>
      <c r="D10459" s="1">
        <v>12.94377</v>
      </c>
      <c r="E10459" s="1">
        <v>80.134342</v>
      </c>
      <c r="F10459" s="1">
        <v>805.0</v>
      </c>
      <c r="G10459" s="1">
        <v>58.0</v>
      </c>
    </row>
    <row r="10460">
      <c r="A10460" s="1" t="s">
        <v>8</v>
      </c>
      <c r="B10460" s="2">
        <v>44742.0</v>
      </c>
      <c r="C10460" s="3">
        <v>0.683136574074074</v>
      </c>
      <c r="D10460" s="1">
        <v>12.947109</v>
      </c>
      <c r="E10460" s="1">
        <v>80.136927</v>
      </c>
      <c r="F10460" s="1">
        <v>805.0</v>
      </c>
      <c r="G10460" s="1">
        <v>51.0</v>
      </c>
    </row>
    <row r="10461">
      <c r="A10461" s="1" t="s">
        <v>7</v>
      </c>
      <c r="B10461" s="2">
        <v>44742.0</v>
      </c>
      <c r="C10461" s="3">
        <v>0.6833564814814815</v>
      </c>
      <c r="D10461" s="1">
        <v>12.94903</v>
      </c>
      <c r="E10461" s="1">
        <v>80.138302</v>
      </c>
      <c r="F10461" s="1">
        <v>805.0</v>
      </c>
      <c r="G10461" s="1">
        <v>60.0</v>
      </c>
    </row>
    <row r="10462">
      <c r="A10462" s="1" t="s">
        <v>8</v>
      </c>
      <c r="B10462" s="2">
        <v>44742.0</v>
      </c>
      <c r="C10462" s="3">
        <v>0.6834953703703703</v>
      </c>
      <c r="D10462" s="1">
        <v>12.80846</v>
      </c>
      <c r="E10462" s="1">
        <v>80.029003</v>
      </c>
      <c r="F10462" s="1">
        <v>2846.0</v>
      </c>
      <c r="G10462" s="1">
        <v>57.0</v>
      </c>
    </row>
    <row r="10463">
      <c r="A10463" s="1" t="s">
        <v>9</v>
      </c>
      <c r="B10463" s="2">
        <v>44742.0</v>
      </c>
      <c r="C10463" s="3">
        <v>0.6837615740740741</v>
      </c>
      <c r="D10463" s="1">
        <v>12.950243</v>
      </c>
      <c r="E10463" s="1">
        <v>80.139275</v>
      </c>
      <c r="F10463" s="1">
        <v>5339.0</v>
      </c>
      <c r="G10463" s="1">
        <v>16.0</v>
      </c>
    </row>
    <row r="10464">
      <c r="A10464" s="1" t="s">
        <v>8</v>
      </c>
      <c r="B10464" s="2">
        <v>44742.0</v>
      </c>
      <c r="C10464" s="3">
        <v>0.6839467592592593</v>
      </c>
      <c r="D10464" s="1">
        <v>12.951204</v>
      </c>
      <c r="E10464" s="1">
        <v>80.140018</v>
      </c>
      <c r="F10464" s="1">
        <v>805.0</v>
      </c>
      <c r="G10464" s="1">
        <v>37.0</v>
      </c>
    </row>
    <row r="10465">
      <c r="A10465" s="1" t="s">
        <v>8</v>
      </c>
      <c r="B10465" s="2">
        <v>44742.0</v>
      </c>
      <c r="C10465" s="3">
        <v>0.6839699074074074</v>
      </c>
      <c r="D10465" s="1">
        <v>12.951046</v>
      </c>
      <c r="E10465" s="1">
        <v>80.139911</v>
      </c>
      <c r="F10465" s="1">
        <v>5339.0</v>
      </c>
      <c r="G10465" s="1">
        <v>37.0</v>
      </c>
    </row>
    <row r="10466">
      <c r="A10466" s="1" t="s">
        <v>8</v>
      </c>
      <c r="B10466" s="2">
        <v>44742.0</v>
      </c>
      <c r="C10466" s="3">
        <v>0.6839930555555556</v>
      </c>
      <c r="D10466" s="1">
        <v>12.951204</v>
      </c>
      <c r="E10466" s="1">
        <v>80.140018</v>
      </c>
      <c r="F10466" s="1">
        <v>805.0</v>
      </c>
      <c r="G10466" s="1">
        <v>37.0</v>
      </c>
    </row>
    <row r="10467">
      <c r="A10467" s="1" t="s">
        <v>8</v>
      </c>
      <c r="B10467" s="2">
        <v>44742.0</v>
      </c>
      <c r="C10467" s="3">
        <v>0.6840393518518518</v>
      </c>
      <c r="D10467" s="1">
        <v>12.951204</v>
      </c>
      <c r="E10467" s="1">
        <v>80.140018</v>
      </c>
      <c r="F10467" s="1">
        <v>805.0</v>
      </c>
      <c r="G10467" s="1">
        <v>37.0</v>
      </c>
    </row>
    <row r="10468">
      <c r="A10468" s="1" t="s">
        <v>7</v>
      </c>
      <c r="B10468" s="2">
        <v>44742.0</v>
      </c>
      <c r="C10468" s="3">
        <v>0.6841550925925926</v>
      </c>
      <c r="D10468" s="1">
        <v>12.801511</v>
      </c>
      <c r="E10468" s="1">
        <v>80.024464</v>
      </c>
      <c r="F10468" s="1">
        <v>2846.0</v>
      </c>
      <c r="G10468" s="1">
        <v>49.0</v>
      </c>
    </row>
    <row r="10469">
      <c r="A10469" s="1" t="s">
        <v>8</v>
      </c>
      <c r="B10469" s="2">
        <v>44742.0</v>
      </c>
      <c r="C10469" s="3">
        <v>0.6842013888888889</v>
      </c>
      <c r="D10469" s="1">
        <v>12.952602</v>
      </c>
      <c r="E10469" s="1">
        <v>80.141061</v>
      </c>
      <c r="F10469" s="1">
        <v>805.0</v>
      </c>
      <c r="G10469" s="1">
        <v>45.0</v>
      </c>
    </row>
    <row r="10470">
      <c r="A10470" s="1" t="s">
        <v>8</v>
      </c>
      <c r="B10470" s="2">
        <v>44742.0</v>
      </c>
      <c r="C10470" s="3">
        <v>0.6842476851851852</v>
      </c>
      <c r="D10470" s="1">
        <v>12.953924</v>
      </c>
      <c r="E10470" s="1">
        <v>80.141897</v>
      </c>
      <c r="F10470" s="1">
        <v>5339.0</v>
      </c>
      <c r="G10470" s="1">
        <v>49.0</v>
      </c>
    </row>
    <row r="10471">
      <c r="A10471" s="1" t="s">
        <v>7</v>
      </c>
      <c r="B10471" s="2">
        <v>44742.0</v>
      </c>
      <c r="C10471" s="3">
        <v>0.6842824074074074</v>
      </c>
      <c r="D10471" s="1">
        <v>12.952602</v>
      </c>
      <c r="E10471" s="1">
        <v>80.141061</v>
      </c>
      <c r="F10471" s="1">
        <v>805.0</v>
      </c>
      <c r="G10471" s="1">
        <v>45.0</v>
      </c>
    </row>
    <row r="10472">
      <c r="A10472" s="1" t="s">
        <v>7</v>
      </c>
      <c r="B10472" s="2">
        <v>44742.0</v>
      </c>
      <c r="C10472" s="3">
        <v>0.6843518518518519</v>
      </c>
      <c r="D10472" s="1">
        <v>12.953633</v>
      </c>
      <c r="E10472" s="1">
        <v>80.141688</v>
      </c>
      <c r="F10472" s="1">
        <v>805.0</v>
      </c>
      <c r="G10472" s="1">
        <v>51.0</v>
      </c>
    </row>
    <row r="10473">
      <c r="A10473" s="1" t="s">
        <v>8</v>
      </c>
      <c r="B10473" s="2">
        <v>44742.0</v>
      </c>
      <c r="C10473" s="3">
        <v>0.6848032407407407</v>
      </c>
      <c r="D10473" s="1">
        <v>12.956</v>
      </c>
      <c r="E10473" s="1">
        <v>80.142819</v>
      </c>
      <c r="F10473" s="1">
        <v>805.0</v>
      </c>
      <c r="G10473" s="1">
        <v>12.0</v>
      </c>
    </row>
    <row r="10474">
      <c r="A10474" s="1" t="s">
        <v>8</v>
      </c>
      <c r="B10474" s="2">
        <v>44742.0</v>
      </c>
      <c r="C10474" s="3">
        <v>0.6848842592592592</v>
      </c>
      <c r="D10474" s="1">
        <v>12.956483</v>
      </c>
      <c r="E10474" s="1">
        <v>80.143125</v>
      </c>
      <c r="F10474" s="1">
        <v>805.0</v>
      </c>
      <c r="G10474" s="1">
        <v>32.0</v>
      </c>
    </row>
    <row r="10475">
      <c r="A10475" s="1" t="s">
        <v>8</v>
      </c>
      <c r="B10475" s="2">
        <v>44742.0</v>
      </c>
      <c r="C10475" s="3">
        <v>0.6849074074074074</v>
      </c>
      <c r="D10475" s="1">
        <v>12.956483</v>
      </c>
      <c r="E10475" s="1">
        <v>80.143125</v>
      </c>
      <c r="F10475" s="1">
        <v>805.0</v>
      </c>
      <c r="G10475" s="1">
        <v>32.0</v>
      </c>
    </row>
    <row r="10476">
      <c r="A10476" s="1" t="s">
        <v>8</v>
      </c>
      <c r="B10476" s="2">
        <v>44742.0</v>
      </c>
      <c r="C10476" s="3">
        <v>0.6849884259259259</v>
      </c>
      <c r="D10476" s="1">
        <v>12.957286</v>
      </c>
      <c r="E10476" s="1">
        <v>80.143587</v>
      </c>
      <c r="F10476" s="1">
        <v>805.0</v>
      </c>
      <c r="G10476" s="1">
        <v>39.0</v>
      </c>
    </row>
    <row r="10477">
      <c r="A10477" s="1" t="s">
        <v>8</v>
      </c>
      <c r="B10477" s="2">
        <v>44742.0</v>
      </c>
      <c r="C10477" s="3">
        <v>0.6850231481481481</v>
      </c>
      <c r="D10477" s="1">
        <v>12.957286</v>
      </c>
      <c r="E10477" s="1">
        <v>80.143587</v>
      </c>
      <c r="F10477" s="1">
        <v>805.0</v>
      </c>
      <c r="G10477" s="1">
        <v>39.0</v>
      </c>
    </row>
    <row r="10478">
      <c r="A10478" s="1" t="s">
        <v>7</v>
      </c>
      <c r="B10478" s="2">
        <v>44742.0</v>
      </c>
      <c r="C10478" s="3">
        <v>0.6851388888888889</v>
      </c>
      <c r="D10478" s="1">
        <v>12.793408</v>
      </c>
      <c r="E10478" s="1">
        <v>80.019151</v>
      </c>
      <c r="F10478" s="1">
        <v>2846.0</v>
      </c>
      <c r="G10478" s="1">
        <v>39.0</v>
      </c>
    </row>
    <row r="10479">
      <c r="A10479" s="1" t="s">
        <v>8</v>
      </c>
      <c r="B10479" s="2">
        <v>44742.0</v>
      </c>
      <c r="C10479" s="3">
        <v>0.6852546296296296</v>
      </c>
      <c r="D10479" s="1">
        <v>12.958731</v>
      </c>
      <c r="E10479" s="1">
        <v>80.14429</v>
      </c>
      <c r="F10479" s="1">
        <v>805.0</v>
      </c>
      <c r="G10479" s="1">
        <v>35.0</v>
      </c>
    </row>
    <row r="10480">
      <c r="A10480" s="1" t="s">
        <v>10</v>
      </c>
      <c r="B10480" s="2">
        <v>44742.0</v>
      </c>
      <c r="C10480" s="3">
        <v>0.6853472222222222</v>
      </c>
      <c r="D10480" s="1">
        <v>12.959594</v>
      </c>
      <c r="E10480" s="1">
        <v>80.14473</v>
      </c>
      <c r="F10480" s="1">
        <v>805.0</v>
      </c>
      <c r="G10480" s="1">
        <v>36.0</v>
      </c>
    </row>
    <row r="10481">
      <c r="A10481" s="1" t="s">
        <v>9</v>
      </c>
      <c r="B10481" s="2">
        <v>44742.0</v>
      </c>
      <c r="C10481" s="3">
        <v>0.6856481481481481</v>
      </c>
      <c r="D10481" s="1">
        <v>12.960699</v>
      </c>
      <c r="E10481" s="1">
        <v>80.145298</v>
      </c>
      <c r="F10481" s="1">
        <v>805.0</v>
      </c>
      <c r="G10481" s="1">
        <v>33.0</v>
      </c>
    </row>
    <row r="10482">
      <c r="A10482" s="1" t="s">
        <v>8</v>
      </c>
      <c r="B10482" s="2">
        <v>44742.0</v>
      </c>
      <c r="C10482" s="3">
        <v>0.6857060185185185</v>
      </c>
      <c r="D10482" s="1">
        <v>12.78603</v>
      </c>
      <c r="E10482" s="1">
        <v>80.014679</v>
      </c>
      <c r="F10482" s="1">
        <v>2846.0</v>
      </c>
      <c r="G10482" s="1">
        <v>57.0</v>
      </c>
    </row>
    <row r="10483">
      <c r="A10483" s="1" t="s">
        <v>8</v>
      </c>
      <c r="B10483" s="2">
        <v>44742.0</v>
      </c>
      <c r="C10483" s="3">
        <v>0.685787037037037</v>
      </c>
      <c r="D10483" s="1">
        <v>12.960978</v>
      </c>
      <c r="E10483" s="1">
        <v>80.145539</v>
      </c>
      <c r="F10483" s="1">
        <v>5339.0</v>
      </c>
      <c r="G10483" s="1">
        <v>36.0</v>
      </c>
    </row>
    <row r="10484">
      <c r="A10484" s="1" t="s">
        <v>8</v>
      </c>
      <c r="B10484" s="2">
        <v>44742.0</v>
      </c>
      <c r="C10484" s="3">
        <v>0.6858101851851852</v>
      </c>
      <c r="D10484" s="1">
        <v>12.962969</v>
      </c>
      <c r="E10484" s="1">
        <v>80.146536</v>
      </c>
      <c r="F10484" s="1">
        <v>805.0</v>
      </c>
      <c r="G10484" s="1">
        <v>55.0</v>
      </c>
    </row>
    <row r="10485">
      <c r="A10485" s="1" t="s">
        <v>7</v>
      </c>
      <c r="B10485" s="2">
        <v>44742.0</v>
      </c>
      <c r="C10485" s="3">
        <v>0.6861805555555556</v>
      </c>
      <c r="D10485" s="1">
        <v>12.963546</v>
      </c>
      <c r="E10485" s="1">
        <v>80.146931</v>
      </c>
      <c r="F10485" s="1">
        <v>5339.0</v>
      </c>
      <c r="G10485" s="1">
        <v>25.0</v>
      </c>
    </row>
    <row r="10486">
      <c r="A10486" s="1" t="s">
        <v>7</v>
      </c>
      <c r="B10486" s="2">
        <v>44742.0</v>
      </c>
      <c r="C10486" s="3">
        <v>0.6862152777777778</v>
      </c>
      <c r="D10486" s="1">
        <v>12.781928</v>
      </c>
      <c r="E10486" s="1">
        <v>80.01262</v>
      </c>
      <c r="F10486" s="1">
        <v>2846.0</v>
      </c>
      <c r="G10486" s="1">
        <v>58.0</v>
      </c>
    </row>
    <row r="10487">
      <c r="A10487" s="1" t="s">
        <v>7</v>
      </c>
      <c r="B10487" s="2">
        <v>44742.0</v>
      </c>
      <c r="C10487" s="3">
        <v>0.6863657407407407</v>
      </c>
      <c r="D10487" s="1">
        <v>12.779792</v>
      </c>
      <c r="E10487" s="1">
        <v>80.011677</v>
      </c>
      <c r="F10487" s="1">
        <v>2846.0</v>
      </c>
      <c r="G10487" s="1">
        <v>57.0</v>
      </c>
    </row>
    <row r="10488">
      <c r="A10488" s="1" t="s">
        <v>8</v>
      </c>
      <c r="B10488" s="2">
        <v>44742.0</v>
      </c>
      <c r="C10488" s="3">
        <v>0.686400462962963</v>
      </c>
      <c r="D10488" s="1">
        <v>12.779792</v>
      </c>
      <c r="E10488" s="1">
        <v>80.011677</v>
      </c>
      <c r="F10488" s="1">
        <v>2846.0</v>
      </c>
      <c r="G10488" s="1">
        <v>57.0</v>
      </c>
    </row>
    <row r="10489">
      <c r="A10489" s="1" t="s">
        <v>7</v>
      </c>
      <c r="B10489" s="2">
        <v>44742.0</v>
      </c>
      <c r="C10489" s="3">
        <v>0.6864467592592592</v>
      </c>
      <c r="D10489" s="1">
        <v>12.968807</v>
      </c>
      <c r="E10489" s="1">
        <v>80.149713</v>
      </c>
      <c r="F10489" s="1">
        <v>805.0</v>
      </c>
      <c r="G10489" s="1">
        <v>58.0</v>
      </c>
    </row>
    <row r="10490">
      <c r="A10490" s="1" t="s">
        <v>7</v>
      </c>
      <c r="B10490" s="2">
        <v>44742.0</v>
      </c>
      <c r="C10490" s="3">
        <v>0.6864930555555555</v>
      </c>
      <c r="D10490" s="1">
        <v>12.966596</v>
      </c>
      <c r="E10490" s="1">
        <v>80.148708</v>
      </c>
      <c r="F10490" s="1">
        <v>5339.0</v>
      </c>
      <c r="G10490" s="1">
        <v>54.0</v>
      </c>
    </row>
    <row r="10491">
      <c r="A10491" s="1" t="s">
        <v>7</v>
      </c>
      <c r="B10491" s="2">
        <v>44742.0</v>
      </c>
      <c r="C10491" s="3">
        <v>0.6866087962962963</v>
      </c>
      <c r="D10491" s="1">
        <v>12.968523</v>
      </c>
      <c r="E10491" s="1">
        <v>80.149632</v>
      </c>
      <c r="F10491" s="1">
        <v>5339.0</v>
      </c>
      <c r="G10491" s="1">
        <v>57.0</v>
      </c>
    </row>
    <row r="10492">
      <c r="A10492" s="1" t="s">
        <v>8</v>
      </c>
      <c r="B10492" s="2">
        <v>44742.0</v>
      </c>
      <c r="C10492" s="3">
        <v>0.6866435185185186</v>
      </c>
      <c r="D10492" s="1">
        <v>12.775522</v>
      </c>
      <c r="E10492" s="1">
        <v>80.009851</v>
      </c>
      <c r="F10492" s="1">
        <v>2846.0</v>
      </c>
      <c r="G10492" s="1">
        <v>58.0</v>
      </c>
    </row>
    <row r="10493">
      <c r="A10493" s="1" t="s">
        <v>7</v>
      </c>
      <c r="B10493" s="2">
        <v>44742.0</v>
      </c>
      <c r="C10493" s="3">
        <v>0.6866782407407407</v>
      </c>
      <c r="D10493" s="1">
        <v>12.968523</v>
      </c>
      <c r="E10493" s="1">
        <v>80.149632</v>
      </c>
      <c r="F10493" s="1">
        <v>5339.0</v>
      </c>
      <c r="G10493" s="1">
        <v>57.0</v>
      </c>
    </row>
    <row r="10494">
      <c r="A10494" s="1" t="s">
        <v>8</v>
      </c>
      <c r="B10494" s="2">
        <v>44742.0</v>
      </c>
      <c r="C10494" s="3">
        <v>0.6867939814814815</v>
      </c>
      <c r="D10494" s="1">
        <v>12.775522</v>
      </c>
      <c r="E10494" s="1">
        <v>80.009851</v>
      </c>
      <c r="F10494" s="1">
        <v>2846.0</v>
      </c>
      <c r="G10494" s="1">
        <v>58.0</v>
      </c>
    </row>
    <row r="10495">
      <c r="A10495" s="1" t="s">
        <v>7</v>
      </c>
      <c r="B10495" s="2">
        <v>44742.0</v>
      </c>
      <c r="C10495" s="3">
        <v>0.6870486111111112</v>
      </c>
      <c r="D10495" s="1">
        <v>12.972369</v>
      </c>
      <c r="E10495" s="1">
        <v>80.151738</v>
      </c>
      <c r="F10495" s="1">
        <v>5339.0</v>
      </c>
      <c r="G10495" s="1">
        <v>57.0</v>
      </c>
    </row>
    <row r="10496">
      <c r="A10496" s="1" t="s">
        <v>8</v>
      </c>
      <c r="B10496" s="2">
        <v>44742.0</v>
      </c>
      <c r="C10496" s="3">
        <v>0.6872222222222222</v>
      </c>
      <c r="D10496" s="1">
        <v>12.973698</v>
      </c>
      <c r="E10496" s="1">
        <v>80.15369</v>
      </c>
      <c r="F10496" s="1">
        <v>5339.0</v>
      </c>
      <c r="G10496" s="1">
        <v>58.0</v>
      </c>
    </row>
    <row r="10497">
      <c r="A10497" s="1" t="s">
        <v>7</v>
      </c>
      <c r="B10497" s="2">
        <v>44742.0</v>
      </c>
      <c r="C10497" s="3">
        <v>0.6872685185185186</v>
      </c>
      <c r="D10497" s="1">
        <v>12.975957</v>
      </c>
      <c r="E10497" s="1">
        <v>80.156861</v>
      </c>
      <c r="F10497" s="1">
        <v>805.0</v>
      </c>
      <c r="G10497" s="1">
        <v>57.0</v>
      </c>
    </row>
    <row r="10498">
      <c r="A10498" s="1" t="s">
        <v>8</v>
      </c>
      <c r="B10498" s="2">
        <v>44742.0</v>
      </c>
      <c r="C10498" s="3">
        <v>0.6873611111111111</v>
      </c>
      <c r="D10498" s="1">
        <v>12.768699</v>
      </c>
      <c r="E10498" s="1">
        <v>80.006645</v>
      </c>
      <c r="F10498" s="1">
        <v>2846.0</v>
      </c>
      <c r="G10498" s="1">
        <v>51.0</v>
      </c>
    </row>
    <row r="10499">
      <c r="A10499" s="1" t="s">
        <v>7</v>
      </c>
      <c r="B10499" s="2">
        <v>44742.0</v>
      </c>
      <c r="C10499" s="3">
        <v>0.6874305555555555</v>
      </c>
      <c r="D10499" s="1">
        <v>12.975072</v>
      </c>
      <c r="E10499" s="1">
        <v>80.155631</v>
      </c>
      <c r="F10499" s="1">
        <v>5339.0</v>
      </c>
      <c r="G10499" s="1">
        <v>60.0</v>
      </c>
    </row>
    <row r="10500">
      <c r="A10500" s="1" t="s">
        <v>7</v>
      </c>
      <c r="B10500" s="2">
        <v>44742.0</v>
      </c>
      <c r="C10500" s="3">
        <v>0.6875694444444445</v>
      </c>
      <c r="D10500" s="1">
        <v>12.978521</v>
      </c>
      <c r="E10500" s="1">
        <v>80.160634</v>
      </c>
      <c r="F10500" s="1">
        <v>805.0</v>
      </c>
      <c r="G10500" s="1">
        <v>56.0</v>
      </c>
    </row>
    <row r="10501">
      <c r="A10501" s="1" t="s">
        <v>7</v>
      </c>
      <c r="B10501" s="2">
        <v>44742.0</v>
      </c>
      <c r="C10501" s="3">
        <v>0.687650462962963</v>
      </c>
      <c r="D10501" s="1">
        <v>12.766781</v>
      </c>
      <c r="E10501" s="1">
        <v>80.005743</v>
      </c>
      <c r="F10501" s="1">
        <v>2846.0</v>
      </c>
      <c r="G10501" s="1">
        <v>54.0</v>
      </c>
    </row>
    <row r="10502">
      <c r="A10502" s="1" t="s">
        <v>7</v>
      </c>
      <c r="B10502" s="2">
        <v>44742.0</v>
      </c>
      <c r="C10502" s="3">
        <v>0.6876967592592592</v>
      </c>
      <c r="D10502" s="1">
        <v>12.977441</v>
      </c>
      <c r="E10502" s="1">
        <v>80.159127</v>
      </c>
      <c r="F10502" s="1">
        <v>5339.0</v>
      </c>
      <c r="G10502" s="1">
        <v>56.0</v>
      </c>
    </row>
    <row r="10503">
      <c r="A10503" s="1" t="s">
        <v>7</v>
      </c>
      <c r="B10503" s="2">
        <v>44742.0</v>
      </c>
      <c r="C10503" s="3">
        <v>0.6877314814814814</v>
      </c>
      <c r="D10503" s="1">
        <v>12.979282</v>
      </c>
      <c r="E10503" s="1">
        <v>80.161701</v>
      </c>
      <c r="F10503" s="1">
        <v>805.0</v>
      </c>
      <c r="G10503" s="1">
        <v>57.0</v>
      </c>
    </row>
    <row r="10504">
      <c r="A10504" s="1" t="s">
        <v>8</v>
      </c>
      <c r="B10504" s="2">
        <v>44742.0</v>
      </c>
      <c r="C10504" s="3">
        <v>0.6877777777777778</v>
      </c>
      <c r="D10504" s="1">
        <v>12.764837</v>
      </c>
      <c r="E10504" s="1">
        <v>80.004934</v>
      </c>
      <c r="F10504" s="1">
        <v>2846.0</v>
      </c>
      <c r="G10504" s="1">
        <v>53.0</v>
      </c>
    </row>
    <row r="10505">
      <c r="A10505" s="1" t="s">
        <v>7</v>
      </c>
      <c r="B10505" s="2">
        <v>44742.0</v>
      </c>
      <c r="C10505" s="3">
        <v>0.6879976851851852</v>
      </c>
      <c r="D10505" s="1">
        <v>12.980046</v>
      </c>
      <c r="E10505" s="1">
        <v>80.163139</v>
      </c>
      <c r="F10505" s="1">
        <v>805.0</v>
      </c>
      <c r="G10505" s="1">
        <v>58.0</v>
      </c>
    </row>
    <row r="10506">
      <c r="A10506" s="1" t="s">
        <v>7</v>
      </c>
      <c r="B10506" s="2">
        <v>44742.0</v>
      </c>
      <c r="C10506" s="3">
        <v>0.6880324074074075</v>
      </c>
      <c r="D10506" s="1">
        <v>12.979952</v>
      </c>
      <c r="E10506" s="1">
        <v>80.162916</v>
      </c>
      <c r="F10506" s="1">
        <v>5339.0</v>
      </c>
      <c r="G10506" s="1">
        <v>58.0</v>
      </c>
    </row>
    <row r="10507">
      <c r="A10507" s="1" t="s">
        <v>7</v>
      </c>
      <c r="B10507" s="2">
        <v>44742.0</v>
      </c>
      <c r="C10507" s="3">
        <v>0.6883217592592593</v>
      </c>
      <c r="D10507" s="1">
        <v>12.982278</v>
      </c>
      <c r="E10507" s="1">
        <v>80.167961</v>
      </c>
      <c r="F10507" s="1">
        <v>805.0</v>
      </c>
      <c r="G10507" s="1">
        <v>58.0</v>
      </c>
    </row>
    <row r="10508">
      <c r="A10508" s="1" t="s">
        <v>8</v>
      </c>
      <c r="B10508" s="2">
        <v>44742.0</v>
      </c>
      <c r="C10508" s="3">
        <v>0.6884490740740741</v>
      </c>
      <c r="D10508" s="1">
        <v>12.983116</v>
      </c>
      <c r="E10508" s="1">
        <v>80.169372</v>
      </c>
      <c r="F10508" s="1">
        <v>805.0</v>
      </c>
      <c r="G10508" s="1">
        <v>58.0</v>
      </c>
    </row>
    <row r="10509">
      <c r="A10509" s="1" t="s">
        <v>8</v>
      </c>
      <c r="B10509" s="2">
        <v>44742.0</v>
      </c>
      <c r="C10509" s="3">
        <v>0.6885763888888888</v>
      </c>
      <c r="D10509" s="1">
        <v>12.982804</v>
      </c>
      <c r="E10509" s="1">
        <v>80.168901</v>
      </c>
      <c r="F10509" s="1">
        <v>5339.0</v>
      </c>
      <c r="G10509" s="1">
        <v>58.0</v>
      </c>
    </row>
    <row r="10510">
      <c r="A10510" s="1" t="s">
        <v>8</v>
      </c>
      <c r="B10510" s="2">
        <v>44742.0</v>
      </c>
      <c r="C10510" s="3">
        <v>0.6886342592592593</v>
      </c>
      <c r="D10510" s="1">
        <v>12.984192</v>
      </c>
      <c r="E10510" s="1">
        <v>80.171233</v>
      </c>
      <c r="F10510" s="1">
        <v>805.0</v>
      </c>
      <c r="G10510" s="1">
        <v>50.0</v>
      </c>
    </row>
    <row r="10511">
      <c r="A10511" s="1" t="s">
        <v>7</v>
      </c>
      <c r="B10511" s="2">
        <v>44742.0</v>
      </c>
      <c r="C10511" s="3">
        <v>0.6887731481481482</v>
      </c>
      <c r="D10511" s="1">
        <v>12.985034</v>
      </c>
      <c r="E10511" s="1">
        <v>80.172596</v>
      </c>
      <c r="F10511" s="1">
        <v>805.0</v>
      </c>
      <c r="G10511" s="1">
        <v>39.0</v>
      </c>
    </row>
    <row r="10512">
      <c r="A10512" s="1" t="s">
        <v>8</v>
      </c>
      <c r="B10512" s="2">
        <v>44742.0</v>
      </c>
      <c r="C10512" s="3">
        <v>0.6888078703703704</v>
      </c>
      <c r="D10512" s="1">
        <v>12.983994</v>
      </c>
      <c r="E10512" s="1">
        <v>80.170916</v>
      </c>
      <c r="F10512" s="1">
        <v>5339.0</v>
      </c>
      <c r="G10512" s="1">
        <v>62.0</v>
      </c>
    </row>
    <row r="10513">
      <c r="A10513" s="1" t="s">
        <v>8</v>
      </c>
      <c r="B10513" s="2">
        <v>44742.0</v>
      </c>
      <c r="C10513" s="3">
        <v>0.6888657407407407</v>
      </c>
      <c r="D10513" s="1">
        <v>12.98514</v>
      </c>
      <c r="E10513" s="1">
        <v>80.172722</v>
      </c>
      <c r="F10513" s="1">
        <v>5339.0</v>
      </c>
      <c r="G10513" s="1">
        <v>45.0</v>
      </c>
    </row>
    <row r="10514">
      <c r="A10514" s="1" t="s">
        <v>8</v>
      </c>
      <c r="B10514" s="2">
        <v>44742.0</v>
      </c>
      <c r="C10514" s="3">
        <v>0.6888888888888889</v>
      </c>
      <c r="D10514" s="1">
        <v>12.98514</v>
      </c>
      <c r="E10514" s="1">
        <v>80.172722</v>
      </c>
      <c r="F10514" s="1">
        <v>5339.0</v>
      </c>
      <c r="G10514" s="1">
        <v>45.0</v>
      </c>
    </row>
    <row r="10515">
      <c r="A10515" s="1" t="s">
        <v>7</v>
      </c>
      <c r="B10515" s="2">
        <v>44742.0</v>
      </c>
      <c r="C10515" s="3">
        <v>0.6890162037037038</v>
      </c>
      <c r="D10515" s="1">
        <v>12.758243</v>
      </c>
      <c r="E10515" s="1">
        <v>80.002829</v>
      </c>
      <c r="F10515" s="1">
        <v>2846.0</v>
      </c>
      <c r="G10515" s="1">
        <v>44.0</v>
      </c>
    </row>
    <row r="10516">
      <c r="A10516" s="1" t="s">
        <v>7</v>
      </c>
      <c r="B10516" s="2">
        <v>44742.0</v>
      </c>
      <c r="C10516" s="3">
        <v>0.6890740740740741</v>
      </c>
      <c r="D10516" s="1">
        <v>12.758243</v>
      </c>
      <c r="E10516" s="1">
        <v>80.002829</v>
      </c>
      <c r="F10516" s="1">
        <v>2846.0</v>
      </c>
      <c r="G10516" s="1">
        <v>44.0</v>
      </c>
    </row>
    <row r="10517">
      <c r="A10517" s="1" t="s">
        <v>8</v>
      </c>
      <c r="B10517" s="2">
        <v>44742.0</v>
      </c>
      <c r="C10517" s="3">
        <v>0.6891782407407407</v>
      </c>
      <c r="D10517" s="1">
        <v>12.98721</v>
      </c>
      <c r="E10517" s="1">
        <v>80.175746</v>
      </c>
      <c r="F10517" s="1">
        <v>805.0</v>
      </c>
      <c r="G10517" s="1">
        <v>41.0</v>
      </c>
    </row>
    <row r="10518">
      <c r="A10518" s="1" t="s">
        <v>7</v>
      </c>
      <c r="B10518" s="2">
        <v>44742.0</v>
      </c>
      <c r="C10518" s="3">
        <v>0.6892476851851852</v>
      </c>
      <c r="D10518" s="1">
        <v>12.756425</v>
      </c>
      <c r="E10518" s="1">
        <v>80.00216</v>
      </c>
      <c r="F10518" s="1">
        <v>2846.0</v>
      </c>
      <c r="G10518" s="1">
        <v>52.0</v>
      </c>
    </row>
    <row r="10519">
      <c r="A10519" s="1" t="s">
        <v>8</v>
      </c>
      <c r="B10519" s="2">
        <v>44742.0</v>
      </c>
      <c r="C10519" s="3">
        <v>0.6892939814814815</v>
      </c>
      <c r="D10519" s="1">
        <v>12.986746</v>
      </c>
      <c r="E10519" s="1">
        <v>80.175081</v>
      </c>
      <c r="F10519" s="1">
        <v>5339.0</v>
      </c>
      <c r="G10519" s="1">
        <v>25.0</v>
      </c>
    </row>
    <row r="10520">
      <c r="A10520" s="1" t="s">
        <v>8</v>
      </c>
      <c r="B10520" s="2">
        <v>44742.0</v>
      </c>
      <c r="C10520" s="3">
        <v>0.6894097222222222</v>
      </c>
      <c r="D10520" s="1">
        <v>12.987293</v>
      </c>
      <c r="E10520" s="1">
        <v>80.175848</v>
      </c>
      <c r="F10520" s="1">
        <v>5339.0</v>
      </c>
      <c r="G10520" s="1">
        <v>22.0</v>
      </c>
    </row>
    <row r="10521">
      <c r="A10521" s="1" t="s">
        <v>8</v>
      </c>
      <c r="B10521" s="2">
        <v>44742.0</v>
      </c>
      <c r="C10521" s="3">
        <v>0.6896296296296296</v>
      </c>
      <c r="D10521" s="1">
        <v>12.98807</v>
      </c>
      <c r="E10521" s="1">
        <v>80.176956</v>
      </c>
      <c r="F10521" s="1">
        <v>5339.0</v>
      </c>
      <c r="G10521" s="1">
        <v>33.0</v>
      </c>
    </row>
    <row r="10522">
      <c r="A10522" s="1" t="s">
        <v>8</v>
      </c>
      <c r="B10522" s="2">
        <v>44742.0</v>
      </c>
      <c r="C10522" s="3">
        <v>0.6896643518518518</v>
      </c>
      <c r="D10522" s="1">
        <v>12.98971</v>
      </c>
      <c r="E10522" s="1">
        <v>80.179165</v>
      </c>
      <c r="F10522" s="1">
        <v>805.0</v>
      </c>
      <c r="G10522" s="1">
        <v>35.0</v>
      </c>
    </row>
    <row r="10523">
      <c r="A10523" s="1" t="s">
        <v>8</v>
      </c>
      <c r="B10523" s="2">
        <v>44742.0</v>
      </c>
      <c r="C10523" s="3">
        <v>0.6897685185185185</v>
      </c>
      <c r="D10523" s="1">
        <v>12.990524</v>
      </c>
      <c r="E10523" s="1">
        <v>80.18019</v>
      </c>
      <c r="F10523" s="1">
        <v>805.0</v>
      </c>
      <c r="G10523" s="1">
        <v>45.0</v>
      </c>
    </row>
    <row r="10524">
      <c r="A10524" s="1" t="s">
        <v>7</v>
      </c>
      <c r="B10524" s="2">
        <v>44742.0</v>
      </c>
      <c r="C10524" s="3">
        <v>0.6898032407407407</v>
      </c>
      <c r="D10524" s="1">
        <v>12.750915</v>
      </c>
      <c r="E10524" s="1">
        <v>79.998689</v>
      </c>
      <c r="F10524" s="1">
        <v>2846.0</v>
      </c>
      <c r="G10524" s="1">
        <v>58.0</v>
      </c>
    </row>
    <row r="10525">
      <c r="A10525" s="1" t="s">
        <v>8</v>
      </c>
      <c r="B10525" s="2">
        <v>44742.0</v>
      </c>
      <c r="C10525" s="3">
        <v>0.6898611111111111</v>
      </c>
      <c r="D10525" s="1">
        <v>12.989081</v>
      </c>
      <c r="E10525" s="1">
        <v>80.178301</v>
      </c>
      <c r="F10525" s="1">
        <v>5339.0</v>
      </c>
      <c r="G10525" s="1">
        <v>39.0</v>
      </c>
    </row>
    <row r="10526">
      <c r="A10526" s="1" t="s">
        <v>7</v>
      </c>
      <c r="B10526" s="2">
        <v>44742.0</v>
      </c>
      <c r="C10526" s="3">
        <v>0.6901157407407408</v>
      </c>
      <c r="D10526" s="1">
        <v>12.750915</v>
      </c>
      <c r="E10526" s="1">
        <v>79.998689</v>
      </c>
      <c r="F10526" s="1">
        <v>2846.0</v>
      </c>
      <c r="G10526" s="1">
        <v>58.0</v>
      </c>
    </row>
    <row r="10527">
      <c r="A10527" s="1" t="s">
        <v>7</v>
      </c>
      <c r="B10527" s="2">
        <v>44742.0</v>
      </c>
      <c r="C10527" s="3">
        <v>0.6909027777777778</v>
      </c>
      <c r="D10527" s="1">
        <v>12.994314</v>
      </c>
      <c r="E10527" s="1">
        <v>80.186034</v>
      </c>
      <c r="F10527" s="1">
        <v>805.0</v>
      </c>
      <c r="G10527" s="1">
        <v>38.0</v>
      </c>
    </row>
    <row r="10528">
      <c r="A10528" s="1" t="s">
        <v>7</v>
      </c>
      <c r="B10528" s="2">
        <v>44742.0</v>
      </c>
      <c r="C10528" s="3">
        <v>0.6909606481481482</v>
      </c>
      <c r="D10528" s="1">
        <v>12.994017</v>
      </c>
      <c r="E10528" s="1">
        <v>80.185349</v>
      </c>
      <c r="F10528" s="1">
        <v>5339.0</v>
      </c>
      <c r="G10528" s="1">
        <v>21.0</v>
      </c>
    </row>
    <row r="10529">
      <c r="A10529" s="1" t="s">
        <v>7</v>
      </c>
      <c r="B10529" s="2">
        <v>44742.0</v>
      </c>
      <c r="C10529" s="3">
        <v>0.6909722222222222</v>
      </c>
      <c r="D10529" s="1">
        <v>12.994314</v>
      </c>
      <c r="E10529" s="1">
        <v>80.186034</v>
      </c>
      <c r="F10529" s="1">
        <v>805.0</v>
      </c>
      <c r="G10529" s="1">
        <v>38.0</v>
      </c>
    </row>
    <row r="10530">
      <c r="A10530" s="1" t="s">
        <v>8</v>
      </c>
      <c r="B10530" s="2">
        <v>44742.0</v>
      </c>
      <c r="C10530" s="3">
        <v>0.6913773148148148</v>
      </c>
      <c r="D10530" s="1">
        <v>12.99565</v>
      </c>
      <c r="E10530" s="1">
        <v>80.188478</v>
      </c>
      <c r="F10530" s="1">
        <v>5339.0</v>
      </c>
      <c r="G10530" s="1">
        <v>0.0</v>
      </c>
    </row>
    <row r="10531">
      <c r="A10531" s="1" t="s">
        <v>8</v>
      </c>
      <c r="B10531" s="2">
        <v>44742.0</v>
      </c>
      <c r="C10531" s="3">
        <v>0.6914930555555555</v>
      </c>
      <c r="D10531" s="1">
        <v>12.995814</v>
      </c>
      <c r="E10531" s="1">
        <v>80.188761</v>
      </c>
      <c r="F10531" s="1">
        <v>5339.0</v>
      </c>
      <c r="G10531" s="1">
        <v>12.0</v>
      </c>
    </row>
    <row r="10532">
      <c r="A10532" s="1" t="s">
        <v>8</v>
      </c>
      <c r="B10532" s="2">
        <v>44742.0</v>
      </c>
      <c r="C10532" s="3">
        <v>0.6914930555555555</v>
      </c>
      <c r="D10532" s="1">
        <v>12.995841</v>
      </c>
      <c r="E10532" s="1">
        <v>80.188971</v>
      </c>
      <c r="F10532" s="1">
        <v>805.0</v>
      </c>
      <c r="G10532" s="1">
        <v>11.0</v>
      </c>
    </row>
    <row r="10533">
      <c r="A10533" s="1" t="s">
        <v>8</v>
      </c>
      <c r="B10533" s="2">
        <v>44742.0</v>
      </c>
      <c r="C10533" s="3">
        <v>0.6915046296296297</v>
      </c>
      <c r="D10533" s="1">
        <v>12.995841</v>
      </c>
      <c r="E10533" s="1">
        <v>80.188971</v>
      </c>
      <c r="F10533" s="1">
        <v>805.0</v>
      </c>
      <c r="G10533" s="1">
        <v>11.0</v>
      </c>
    </row>
    <row r="10534">
      <c r="A10534" s="1" t="s">
        <v>8</v>
      </c>
      <c r="B10534" s="2">
        <v>44742.0</v>
      </c>
      <c r="C10534" s="3">
        <v>0.6915046296296297</v>
      </c>
      <c r="D10534" s="1">
        <v>12.995841</v>
      </c>
      <c r="E10534" s="1">
        <v>80.188971</v>
      </c>
      <c r="F10534" s="1">
        <v>805.0</v>
      </c>
      <c r="G10534" s="1">
        <v>11.0</v>
      </c>
    </row>
    <row r="10535">
      <c r="A10535" s="1" t="s">
        <v>8</v>
      </c>
      <c r="B10535" s="2">
        <v>44742.0</v>
      </c>
      <c r="C10535" s="3">
        <v>0.6915046296296297</v>
      </c>
      <c r="D10535" s="1">
        <v>12.995841</v>
      </c>
      <c r="E10535" s="1">
        <v>80.188971</v>
      </c>
      <c r="F10535" s="1">
        <v>805.0</v>
      </c>
      <c r="G10535" s="1">
        <v>11.0</v>
      </c>
    </row>
    <row r="10536">
      <c r="A10536" s="1" t="s">
        <v>7</v>
      </c>
      <c r="B10536" s="2">
        <v>44742.0</v>
      </c>
      <c r="C10536" s="3">
        <v>0.6915740740740741</v>
      </c>
      <c r="D10536" s="1">
        <v>12.740604</v>
      </c>
      <c r="E10536" s="1">
        <v>79.990446</v>
      </c>
      <c r="F10536" s="1">
        <v>2846.0</v>
      </c>
      <c r="G10536" s="1">
        <v>37.0</v>
      </c>
    </row>
    <row r="10537">
      <c r="A10537" s="1" t="s">
        <v>8</v>
      </c>
      <c r="B10537" s="2">
        <v>44742.0</v>
      </c>
      <c r="C10537" s="3">
        <v>0.6916782407407407</v>
      </c>
      <c r="D10537" s="1">
        <v>12.9964</v>
      </c>
      <c r="E10537" s="1">
        <v>80.189559</v>
      </c>
      <c r="F10537" s="1">
        <v>5339.0</v>
      </c>
      <c r="G10537" s="1">
        <v>33.0</v>
      </c>
    </row>
    <row r="10538">
      <c r="A10538" s="1" t="s">
        <v>8</v>
      </c>
      <c r="B10538" s="2">
        <v>44742.0</v>
      </c>
      <c r="C10538" s="3">
        <v>0.6916898148148148</v>
      </c>
      <c r="D10538" s="1">
        <v>12.996446</v>
      </c>
      <c r="E10538" s="1">
        <v>80.189718</v>
      </c>
      <c r="F10538" s="1">
        <v>805.0</v>
      </c>
      <c r="G10538" s="1">
        <v>31.0</v>
      </c>
    </row>
    <row r="10539">
      <c r="A10539" s="1" t="s">
        <v>8</v>
      </c>
      <c r="B10539" s="2">
        <v>44742.0</v>
      </c>
      <c r="C10539" s="3">
        <v>0.6917824074074074</v>
      </c>
      <c r="D10539" s="1">
        <v>12.9964</v>
      </c>
      <c r="E10539" s="1">
        <v>80.189559</v>
      </c>
      <c r="F10539" s="1">
        <v>5339.0</v>
      </c>
      <c r="G10539" s="1">
        <v>33.0</v>
      </c>
    </row>
    <row r="10540">
      <c r="A10540" s="1" t="s">
        <v>8</v>
      </c>
      <c r="B10540" s="2">
        <v>44742.0</v>
      </c>
      <c r="C10540" s="3">
        <v>0.6918402777777778</v>
      </c>
      <c r="D10540" s="1">
        <v>12.997352</v>
      </c>
      <c r="E10540" s="1">
        <v>80.190695</v>
      </c>
      <c r="F10540" s="1">
        <v>5339.0</v>
      </c>
      <c r="G10540" s="1">
        <v>41.0</v>
      </c>
    </row>
    <row r="10541">
      <c r="A10541" s="1" t="s">
        <v>8</v>
      </c>
      <c r="B10541" s="2">
        <v>44742.0</v>
      </c>
      <c r="C10541" s="3">
        <v>0.691863425925926</v>
      </c>
      <c r="D10541" s="1">
        <v>12.99756</v>
      </c>
      <c r="E10541" s="1">
        <v>80.190996</v>
      </c>
      <c r="F10541" s="1">
        <v>805.0</v>
      </c>
      <c r="G10541" s="1">
        <v>37.0</v>
      </c>
    </row>
    <row r="10542">
      <c r="A10542" s="1" t="s">
        <v>8</v>
      </c>
      <c r="B10542" s="2">
        <v>44742.0</v>
      </c>
      <c r="C10542" s="3">
        <v>0.6921875</v>
      </c>
      <c r="D10542" s="1">
        <v>12.998343</v>
      </c>
      <c r="E10542" s="1">
        <v>80.191961</v>
      </c>
      <c r="F10542" s="1">
        <v>5339.0</v>
      </c>
      <c r="G10542" s="1">
        <v>38.0</v>
      </c>
    </row>
    <row r="10543">
      <c r="A10543" s="1" t="s">
        <v>8</v>
      </c>
      <c r="B10543" s="2">
        <v>44742.0</v>
      </c>
      <c r="C10543" s="3">
        <v>0.6922222222222222</v>
      </c>
      <c r="D10543" s="1">
        <v>12.732891</v>
      </c>
      <c r="E10543" s="1">
        <v>79.983545</v>
      </c>
      <c r="F10543" s="1">
        <v>2846.0</v>
      </c>
      <c r="G10543" s="1">
        <v>57.0</v>
      </c>
    </row>
    <row r="10544">
      <c r="A10544" s="1" t="s">
        <v>8</v>
      </c>
      <c r="B10544" s="2">
        <v>44742.0</v>
      </c>
      <c r="C10544" s="3">
        <v>0.6923263888888889</v>
      </c>
      <c r="D10544" s="1">
        <v>12.99965</v>
      </c>
      <c r="E10544" s="1">
        <v>80.193626</v>
      </c>
      <c r="F10544" s="1">
        <v>805.0</v>
      </c>
      <c r="G10544" s="1">
        <v>43.0</v>
      </c>
    </row>
    <row r="10545">
      <c r="A10545" s="1" t="s">
        <v>8</v>
      </c>
      <c r="B10545" s="2">
        <v>44742.0</v>
      </c>
      <c r="C10545" s="3">
        <v>0.692349537037037</v>
      </c>
      <c r="D10545" s="1">
        <v>12.999402</v>
      </c>
      <c r="E10545" s="1">
        <v>80.193356</v>
      </c>
      <c r="F10545" s="1">
        <v>5339.0</v>
      </c>
      <c r="G10545" s="1">
        <v>39.0</v>
      </c>
    </row>
    <row r="10546">
      <c r="A10546" s="1" t="s">
        <v>8</v>
      </c>
      <c r="B10546" s="2">
        <v>44742.0</v>
      </c>
      <c r="C10546" s="3">
        <v>0.6924768518518518</v>
      </c>
      <c r="D10546" s="1">
        <v>13.000648</v>
      </c>
      <c r="E10546" s="1">
        <v>80.194872</v>
      </c>
      <c r="F10546" s="1">
        <v>805.0</v>
      </c>
      <c r="G10546" s="1">
        <v>35.0</v>
      </c>
    </row>
    <row r="10547">
      <c r="A10547" s="1" t="s">
        <v>8</v>
      </c>
      <c r="B10547" s="2">
        <v>44742.0</v>
      </c>
      <c r="C10547" s="3">
        <v>0.692650462962963</v>
      </c>
      <c r="D10547" s="1">
        <v>13.001963</v>
      </c>
      <c r="E10547" s="1">
        <v>80.196651</v>
      </c>
      <c r="F10547" s="1">
        <v>805.0</v>
      </c>
      <c r="G10547" s="1">
        <v>39.0</v>
      </c>
    </row>
    <row r="10548">
      <c r="A10548" s="1" t="s">
        <v>8</v>
      </c>
      <c r="B10548" s="2">
        <v>44742.0</v>
      </c>
      <c r="C10548" s="3">
        <v>0.6928472222222222</v>
      </c>
      <c r="D10548" s="1">
        <v>13.002093</v>
      </c>
      <c r="E10548" s="1">
        <v>80.197277</v>
      </c>
      <c r="F10548" s="1">
        <v>5339.0</v>
      </c>
      <c r="G10548" s="1">
        <v>45.0</v>
      </c>
    </row>
    <row r="10549">
      <c r="A10549" s="1" t="s">
        <v>8</v>
      </c>
      <c r="B10549" s="2">
        <v>44742.0</v>
      </c>
      <c r="C10549" s="3">
        <v>0.6929050925925926</v>
      </c>
      <c r="D10549" s="1">
        <v>12.724601</v>
      </c>
      <c r="E10549" s="1">
        <v>79.982092</v>
      </c>
      <c r="F10549" s="1">
        <v>2846.0</v>
      </c>
      <c r="G10549" s="1">
        <v>32.0</v>
      </c>
    </row>
    <row r="10550">
      <c r="A10550" s="1" t="s">
        <v>8</v>
      </c>
      <c r="B10550" s="2">
        <v>44742.0</v>
      </c>
      <c r="C10550" s="3">
        <v>0.6929050925925926</v>
      </c>
      <c r="D10550" s="1">
        <v>13.002093</v>
      </c>
      <c r="E10550" s="1">
        <v>80.197277</v>
      </c>
      <c r="F10550" s="1">
        <v>5339.0</v>
      </c>
      <c r="G10550" s="1">
        <v>45.0</v>
      </c>
    </row>
    <row r="10551">
      <c r="A10551" s="1" t="s">
        <v>8</v>
      </c>
      <c r="B10551" s="2">
        <v>44742.0</v>
      </c>
      <c r="C10551" s="3">
        <v>0.6930787037037037</v>
      </c>
      <c r="D10551" s="1">
        <v>13.002344</v>
      </c>
      <c r="E10551" s="1">
        <v>80.20043</v>
      </c>
      <c r="F10551" s="1">
        <v>805.0</v>
      </c>
      <c r="G10551" s="1">
        <v>52.0</v>
      </c>
    </row>
    <row r="10552">
      <c r="A10552" s="1" t="s">
        <v>8</v>
      </c>
      <c r="B10552" s="2">
        <v>44742.0</v>
      </c>
      <c r="C10552" s="3">
        <v>0.6933217592592592</v>
      </c>
      <c r="D10552" s="1">
        <v>13.004248</v>
      </c>
      <c r="E10552" s="1">
        <v>80.201009</v>
      </c>
      <c r="F10552" s="1">
        <v>805.0</v>
      </c>
      <c r="G10552" s="1">
        <v>16.0</v>
      </c>
    </row>
    <row r="10553">
      <c r="A10553" s="1" t="s">
        <v>8</v>
      </c>
      <c r="B10553" s="2">
        <v>44742.0</v>
      </c>
      <c r="C10553" s="3">
        <v>0.693599537037037</v>
      </c>
      <c r="D10553" s="1">
        <v>13.006144</v>
      </c>
      <c r="E10553" s="1">
        <v>80.20281</v>
      </c>
      <c r="F10553" s="1">
        <v>805.0</v>
      </c>
      <c r="G10553" s="1">
        <v>49.0</v>
      </c>
    </row>
    <row r="10554">
      <c r="A10554" s="1" t="s">
        <v>8</v>
      </c>
      <c r="B10554" s="2">
        <v>44742.0</v>
      </c>
      <c r="C10554" s="3">
        <v>0.6937847222222222</v>
      </c>
      <c r="D10554" s="1">
        <v>13.005907</v>
      </c>
      <c r="E10554" s="1">
        <v>80.202406</v>
      </c>
      <c r="F10554" s="1">
        <v>5339.0</v>
      </c>
      <c r="G10554" s="1">
        <v>48.0</v>
      </c>
    </row>
    <row r="10555">
      <c r="A10555" s="1" t="s">
        <v>7</v>
      </c>
      <c r="B10555" s="2">
        <v>44742.0</v>
      </c>
      <c r="C10555" s="3">
        <v>0.6943402777777777</v>
      </c>
      <c r="D10555" s="1">
        <v>13.00754</v>
      </c>
      <c r="E10555" s="1">
        <v>80.203711</v>
      </c>
      <c r="F10555" s="1">
        <v>5339.0</v>
      </c>
      <c r="G10555" s="1">
        <v>46.0</v>
      </c>
    </row>
    <row r="10556">
      <c r="A10556" s="1" t="s">
        <v>8</v>
      </c>
      <c r="B10556" s="2">
        <v>44742.0</v>
      </c>
      <c r="C10556" s="3">
        <v>0.6944097222222222</v>
      </c>
      <c r="D10556" s="1">
        <v>13.007686</v>
      </c>
      <c r="E10556" s="1">
        <v>80.205928</v>
      </c>
      <c r="F10556" s="1">
        <v>805.0</v>
      </c>
      <c r="G10556" s="1">
        <v>61.0</v>
      </c>
    </row>
    <row r="10557">
      <c r="A10557" s="1" t="s">
        <v>8</v>
      </c>
      <c r="B10557" s="2">
        <v>44742.0</v>
      </c>
      <c r="C10557" s="3">
        <v>0.694675925925926</v>
      </c>
      <c r="D10557" s="1">
        <v>13.008319</v>
      </c>
      <c r="E10557" s="1">
        <v>80.209792</v>
      </c>
      <c r="F10557" s="1">
        <v>805.0</v>
      </c>
      <c r="G10557" s="1">
        <v>45.0</v>
      </c>
    </row>
    <row r="10558">
      <c r="A10558" s="1" t="s">
        <v>8</v>
      </c>
      <c r="B10558" s="2">
        <v>44742.0</v>
      </c>
      <c r="C10558" s="3">
        <v>0.6948726851851852</v>
      </c>
      <c r="D10558" s="1">
        <v>13.008606</v>
      </c>
      <c r="E10558" s="1">
        <v>80.210664</v>
      </c>
      <c r="F10558" s="1">
        <v>5339.0</v>
      </c>
      <c r="G10558" s="1">
        <v>46.0</v>
      </c>
    </row>
    <row r="10559">
      <c r="A10559" s="1" t="s">
        <v>8</v>
      </c>
      <c r="B10559" s="2">
        <v>44742.0</v>
      </c>
      <c r="C10559" s="3">
        <v>0.6948958333333334</v>
      </c>
      <c r="D10559" s="1">
        <v>13.008877</v>
      </c>
      <c r="E10559" s="1">
        <v>80.211429</v>
      </c>
      <c r="F10559" s="1">
        <v>805.0</v>
      </c>
      <c r="G10559" s="1">
        <v>35.0</v>
      </c>
    </row>
    <row r="10560">
      <c r="A10560" s="1" t="s">
        <v>7</v>
      </c>
      <c r="B10560" s="2">
        <v>44742.0</v>
      </c>
      <c r="C10560" s="3">
        <v>0.6950347222222222</v>
      </c>
      <c r="D10560" s="1">
        <v>12.70647</v>
      </c>
      <c r="E10560" s="1">
        <v>79.977412</v>
      </c>
      <c r="F10560" s="1">
        <v>2846.0</v>
      </c>
      <c r="G10560" s="1">
        <v>54.0</v>
      </c>
    </row>
    <row r="10561">
      <c r="A10561" s="1" t="s">
        <v>8</v>
      </c>
      <c r="B10561" s="2">
        <v>44742.0</v>
      </c>
      <c r="C10561" s="3">
        <v>0.6950810185185186</v>
      </c>
      <c r="D10561" s="1">
        <v>13.009204</v>
      </c>
      <c r="E10561" s="1">
        <v>80.21233</v>
      </c>
      <c r="F10561" s="1">
        <v>5339.0</v>
      </c>
      <c r="G10561" s="1">
        <v>39.0</v>
      </c>
    </row>
    <row r="10562">
      <c r="A10562" s="1" t="s">
        <v>7</v>
      </c>
      <c r="B10562" s="2">
        <v>44742.0</v>
      </c>
      <c r="C10562" s="3">
        <v>0.6953587962962963</v>
      </c>
      <c r="D10562" s="1">
        <v>13.009735</v>
      </c>
      <c r="E10562" s="1">
        <v>80.213704</v>
      </c>
      <c r="F10562" s="1">
        <v>5339.0</v>
      </c>
      <c r="G10562" s="1">
        <v>34.0</v>
      </c>
    </row>
    <row r="10563">
      <c r="A10563" s="1" t="s">
        <v>7</v>
      </c>
      <c r="B10563" s="2">
        <v>44742.0</v>
      </c>
      <c r="C10563" s="3">
        <v>0.6953935185185185</v>
      </c>
      <c r="D10563" s="1">
        <v>12.70507</v>
      </c>
      <c r="E10563" s="1">
        <v>79.977088</v>
      </c>
      <c r="F10563" s="1">
        <v>2846.0</v>
      </c>
      <c r="G10563" s="1">
        <v>59.0</v>
      </c>
    </row>
    <row r="10564">
      <c r="A10564" s="1" t="s">
        <v>8</v>
      </c>
      <c r="B10564" s="2">
        <v>44742.0</v>
      </c>
      <c r="C10564" s="3">
        <v>0.6954513888888889</v>
      </c>
      <c r="D10564" s="1">
        <v>13.010161</v>
      </c>
      <c r="E10564" s="1">
        <v>80.21507</v>
      </c>
      <c r="F10564" s="1">
        <v>5339.0</v>
      </c>
      <c r="G10564" s="1">
        <v>39.0</v>
      </c>
    </row>
    <row r="10565">
      <c r="A10565" s="1" t="s">
        <v>7</v>
      </c>
      <c r="B10565" s="2">
        <v>44742.0</v>
      </c>
      <c r="C10565" s="3">
        <v>0.6955671296296296</v>
      </c>
      <c r="D10565" s="1">
        <v>13.010161</v>
      </c>
      <c r="E10565" s="1">
        <v>80.21507</v>
      </c>
      <c r="F10565" s="1">
        <v>5339.0</v>
      </c>
      <c r="G10565" s="1">
        <v>39.0</v>
      </c>
    </row>
    <row r="10566">
      <c r="A10566" s="1" t="s">
        <v>8</v>
      </c>
      <c r="B10566" s="2">
        <v>44742.0</v>
      </c>
      <c r="C10566" s="3">
        <v>0.6956481481481481</v>
      </c>
      <c r="D10566" s="1">
        <v>13.01077</v>
      </c>
      <c r="E10566" s="1">
        <v>80.216829</v>
      </c>
      <c r="F10566" s="1">
        <v>5339.0</v>
      </c>
      <c r="G10566" s="1">
        <v>55.0</v>
      </c>
    </row>
    <row r="10567">
      <c r="A10567" s="1" t="s">
        <v>8</v>
      </c>
      <c r="B10567" s="2">
        <v>44742.0</v>
      </c>
      <c r="C10567" s="3">
        <v>0.6958333333333333</v>
      </c>
      <c r="D10567" s="1">
        <v>13.01077</v>
      </c>
      <c r="E10567" s="1">
        <v>80.216829</v>
      </c>
      <c r="F10567" s="1">
        <v>5339.0</v>
      </c>
      <c r="G10567" s="1">
        <v>55.0</v>
      </c>
    </row>
    <row r="10568">
      <c r="A10568" s="1" t="s">
        <v>8</v>
      </c>
      <c r="B10568" s="2">
        <v>44742.0</v>
      </c>
      <c r="C10568" s="3">
        <v>0.6960763888888889</v>
      </c>
      <c r="D10568" s="1">
        <v>13.012204</v>
      </c>
      <c r="E10568" s="1">
        <v>80.220699</v>
      </c>
      <c r="F10568" s="1">
        <v>5339.0</v>
      </c>
      <c r="G10568" s="1">
        <v>28.0</v>
      </c>
    </row>
    <row r="10569">
      <c r="A10569" s="1" t="s">
        <v>8</v>
      </c>
      <c r="B10569" s="2">
        <v>44742.0</v>
      </c>
      <c r="C10569" s="3">
        <v>0.6960879629629629</v>
      </c>
      <c r="D10569" s="1">
        <v>13.010318</v>
      </c>
      <c r="E10569" s="1">
        <v>80.215851</v>
      </c>
      <c r="F10569" s="1">
        <v>805.0</v>
      </c>
      <c r="G10569" s="1">
        <v>43.0</v>
      </c>
    </row>
    <row r="10570">
      <c r="A10570" s="1" t="s">
        <v>8</v>
      </c>
      <c r="B10570" s="2">
        <v>44742.0</v>
      </c>
      <c r="C10570" s="3">
        <v>0.6970717592592592</v>
      </c>
      <c r="D10570" s="1">
        <v>13.016477</v>
      </c>
      <c r="E10570" s="1">
        <v>80.225323</v>
      </c>
      <c r="F10570" s="1">
        <v>5339.0</v>
      </c>
      <c r="G10570" s="1">
        <v>44.0</v>
      </c>
    </row>
    <row r="10571">
      <c r="A10571" s="1" t="s">
        <v>8</v>
      </c>
      <c r="B10571" s="2">
        <v>44742.0</v>
      </c>
      <c r="C10571" s="3">
        <v>0.6971527777777777</v>
      </c>
      <c r="D10571" s="1">
        <v>13.0184</v>
      </c>
      <c r="E10571" s="1">
        <v>80.224574</v>
      </c>
      <c r="F10571" s="1">
        <v>5339.0</v>
      </c>
      <c r="G10571" s="1">
        <v>44.0</v>
      </c>
    </row>
    <row r="10572">
      <c r="A10572" s="1" t="s">
        <v>8</v>
      </c>
      <c r="B10572" s="2">
        <v>44742.0</v>
      </c>
      <c r="C10572" s="3">
        <v>0.6972453703703704</v>
      </c>
      <c r="D10572" s="1">
        <v>13.0184</v>
      </c>
      <c r="E10572" s="1">
        <v>80.224574</v>
      </c>
      <c r="F10572" s="1">
        <v>5339.0</v>
      </c>
      <c r="G10572" s="1">
        <v>44.0</v>
      </c>
    </row>
    <row r="10573">
      <c r="A10573" s="1" t="s">
        <v>8</v>
      </c>
      <c r="B10573" s="2">
        <v>44742.0</v>
      </c>
      <c r="C10573" s="3">
        <v>0.6974768518518518</v>
      </c>
      <c r="D10573" s="1">
        <v>13.019941</v>
      </c>
      <c r="E10573" s="1">
        <v>80.22469</v>
      </c>
      <c r="F10573" s="1">
        <v>5339.0</v>
      </c>
      <c r="G10573" s="1">
        <v>36.0</v>
      </c>
    </row>
    <row r="10574">
      <c r="A10574" s="1" t="s">
        <v>8</v>
      </c>
      <c r="B10574" s="2">
        <v>44742.0</v>
      </c>
      <c r="C10574" s="3">
        <v>0.6975347222222222</v>
      </c>
      <c r="D10574" s="1">
        <v>13.014918</v>
      </c>
      <c r="E10574" s="1">
        <v>80.225962</v>
      </c>
      <c r="F10574" s="1">
        <v>805.0</v>
      </c>
      <c r="G10574" s="1">
        <v>0.0</v>
      </c>
    </row>
    <row r="10575">
      <c r="A10575" s="1" t="s">
        <v>8</v>
      </c>
      <c r="B10575" s="2">
        <v>44742.0</v>
      </c>
      <c r="C10575" s="3">
        <v>0.6976041666666667</v>
      </c>
      <c r="D10575" s="1">
        <v>13.014918</v>
      </c>
      <c r="E10575" s="1">
        <v>80.225962</v>
      </c>
      <c r="F10575" s="1">
        <v>805.0</v>
      </c>
      <c r="G10575" s="1">
        <v>0.0</v>
      </c>
    </row>
    <row r="10576">
      <c r="A10576" s="1" t="s">
        <v>7</v>
      </c>
      <c r="B10576" s="2">
        <v>44742.0</v>
      </c>
      <c r="C10576" s="3">
        <v>0.697662037037037</v>
      </c>
      <c r="D10576" s="1">
        <v>13.014105</v>
      </c>
      <c r="E10576" s="1">
        <v>80.22627</v>
      </c>
      <c r="F10576" s="1">
        <v>805.0</v>
      </c>
      <c r="G10576" s="1">
        <v>38.0</v>
      </c>
    </row>
    <row r="10577">
      <c r="A10577" s="1" t="s">
        <v>8</v>
      </c>
      <c r="B10577" s="2">
        <v>44742.0</v>
      </c>
      <c r="C10577" s="3">
        <v>0.6976736111111111</v>
      </c>
      <c r="D10577" s="1">
        <v>13.014105</v>
      </c>
      <c r="E10577" s="1">
        <v>80.22627</v>
      </c>
      <c r="F10577" s="1">
        <v>805.0</v>
      </c>
      <c r="G10577" s="1">
        <v>38.0</v>
      </c>
    </row>
    <row r="10578">
      <c r="A10578" s="1" t="s">
        <v>7</v>
      </c>
      <c r="B10578" s="2">
        <v>44742.0</v>
      </c>
      <c r="C10578" s="3">
        <v>0.6977662037037037</v>
      </c>
      <c r="D10578" s="1">
        <v>13.014105</v>
      </c>
      <c r="E10578" s="1">
        <v>80.22627</v>
      </c>
      <c r="F10578" s="1">
        <v>805.0</v>
      </c>
      <c r="G10578" s="1">
        <v>38.0</v>
      </c>
    </row>
    <row r="10579">
      <c r="A10579" s="1" t="s">
        <v>8</v>
      </c>
      <c r="B10579" s="2">
        <v>44742.0</v>
      </c>
      <c r="C10579" s="3">
        <v>0.6978472222222222</v>
      </c>
      <c r="D10579" s="1">
        <v>13.012192</v>
      </c>
      <c r="E10579" s="1">
        <v>80.227056</v>
      </c>
      <c r="F10579" s="1">
        <v>805.0</v>
      </c>
      <c r="G10579" s="1">
        <v>54.0</v>
      </c>
    </row>
    <row r="10580">
      <c r="A10580" s="1" t="s">
        <v>8</v>
      </c>
      <c r="B10580" s="2">
        <v>44742.0</v>
      </c>
      <c r="C10580" s="3">
        <v>0.6978587962962963</v>
      </c>
      <c r="D10580" s="1">
        <v>13.022532</v>
      </c>
      <c r="E10580" s="1">
        <v>80.226676</v>
      </c>
      <c r="F10580" s="1">
        <v>5339.0</v>
      </c>
      <c r="G10580" s="1">
        <v>43.0</v>
      </c>
    </row>
    <row r="10581">
      <c r="A10581" s="1" t="s">
        <v>7</v>
      </c>
      <c r="B10581" s="2">
        <v>44742.0</v>
      </c>
      <c r="C10581" s="3">
        <v>0.6979282407407408</v>
      </c>
      <c r="D10581" s="1">
        <v>13.012192</v>
      </c>
      <c r="E10581" s="1">
        <v>80.227056</v>
      </c>
      <c r="F10581" s="1">
        <v>805.0</v>
      </c>
      <c r="G10581" s="1">
        <v>54.0</v>
      </c>
    </row>
    <row r="10582">
      <c r="A10582" s="1" t="s">
        <v>8</v>
      </c>
      <c r="B10582" s="2">
        <v>44742.0</v>
      </c>
      <c r="C10582" s="3">
        <v>0.697974537037037</v>
      </c>
      <c r="D10582" s="1">
        <v>13.023966</v>
      </c>
      <c r="E10582" s="1">
        <v>80.228022</v>
      </c>
      <c r="F10582" s="1">
        <v>5339.0</v>
      </c>
      <c r="G10582" s="1">
        <v>42.0</v>
      </c>
    </row>
    <row r="10583">
      <c r="A10583" s="1" t="s">
        <v>8</v>
      </c>
      <c r="B10583" s="2">
        <v>44742.0</v>
      </c>
      <c r="C10583" s="3">
        <v>0.697974537037037</v>
      </c>
      <c r="D10583" s="1">
        <v>13.023966</v>
      </c>
      <c r="E10583" s="1">
        <v>80.228022</v>
      </c>
      <c r="F10583" s="1">
        <v>5339.0</v>
      </c>
      <c r="G10583" s="1">
        <v>42.0</v>
      </c>
    </row>
    <row r="10584">
      <c r="A10584" s="1" t="s">
        <v>8</v>
      </c>
      <c r="B10584" s="2">
        <v>44742.0</v>
      </c>
      <c r="C10584" s="3">
        <v>0.698125</v>
      </c>
      <c r="D10584" s="1">
        <v>12.693432</v>
      </c>
      <c r="E10584" s="1">
        <v>79.979417</v>
      </c>
      <c r="F10584" s="1">
        <v>2846.0</v>
      </c>
      <c r="G10584" s="1">
        <v>30.0</v>
      </c>
    </row>
    <row r="10585">
      <c r="A10585" s="1" t="s">
        <v>7</v>
      </c>
      <c r="B10585" s="2">
        <v>44742.0</v>
      </c>
      <c r="C10585" s="3">
        <v>0.6982407407407407</v>
      </c>
      <c r="D10585" s="1">
        <v>13.008958</v>
      </c>
      <c r="E10585" s="1">
        <v>80.229363</v>
      </c>
      <c r="F10585" s="1">
        <v>805.0</v>
      </c>
      <c r="G10585" s="1">
        <v>51.0</v>
      </c>
    </row>
    <row r="10586">
      <c r="A10586" s="1" t="s">
        <v>8</v>
      </c>
      <c r="B10586" s="2">
        <v>44742.0</v>
      </c>
      <c r="C10586" s="3">
        <v>0.6988078703703704</v>
      </c>
      <c r="D10586" s="1">
        <v>13.008064</v>
      </c>
      <c r="E10586" s="1">
        <v>80.234098</v>
      </c>
      <c r="F10586" s="1">
        <v>805.0</v>
      </c>
      <c r="G10586" s="1">
        <v>0.0</v>
      </c>
    </row>
    <row r="10587">
      <c r="A10587" s="1" t="s">
        <v>8</v>
      </c>
      <c r="B10587" s="2">
        <v>44742.0</v>
      </c>
      <c r="C10587" s="3">
        <v>0.6988194444444444</v>
      </c>
      <c r="D10587" s="1">
        <v>13.008064</v>
      </c>
      <c r="E10587" s="1">
        <v>80.234098</v>
      </c>
      <c r="F10587" s="1">
        <v>805.0</v>
      </c>
      <c r="G10587" s="1">
        <v>0.0</v>
      </c>
    </row>
    <row r="10588">
      <c r="A10588" s="1" t="s">
        <v>8</v>
      </c>
      <c r="B10588" s="2">
        <v>44742.0</v>
      </c>
      <c r="C10588" s="3">
        <v>0.6989351851851852</v>
      </c>
      <c r="D10588" s="1">
        <v>12.689316</v>
      </c>
      <c r="E10588" s="1">
        <v>79.982411</v>
      </c>
      <c r="F10588" s="1">
        <v>2846.0</v>
      </c>
      <c r="G10588" s="1">
        <v>34.0</v>
      </c>
    </row>
    <row r="10589">
      <c r="A10589" s="1" t="s">
        <v>8</v>
      </c>
      <c r="B10589" s="2">
        <v>44742.0</v>
      </c>
      <c r="C10589" s="3">
        <v>0.6989467592592593</v>
      </c>
      <c r="D10589" s="1">
        <v>13.007949</v>
      </c>
      <c r="E10589" s="1">
        <v>80.234647</v>
      </c>
      <c r="F10589" s="1">
        <v>805.0</v>
      </c>
      <c r="G10589" s="1">
        <v>28.0</v>
      </c>
    </row>
    <row r="10590">
      <c r="A10590" s="1" t="s">
        <v>8</v>
      </c>
      <c r="B10590" s="2">
        <v>44742.0</v>
      </c>
      <c r="C10590" s="3">
        <v>0.6991087962962963</v>
      </c>
      <c r="D10590" s="1">
        <v>13.025963</v>
      </c>
      <c r="E10590" s="1">
        <v>80.231132</v>
      </c>
      <c r="F10590" s="1">
        <v>5339.0</v>
      </c>
      <c r="G10590" s="1">
        <v>21.0</v>
      </c>
    </row>
    <row r="10591">
      <c r="A10591" s="1" t="s">
        <v>8</v>
      </c>
      <c r="B10591" s="2">
        <v>44742.0</v>
      </c>
      <c r="C10591" s="3">
        <v>0.6991319444444445</v>
      </c>
      <c r="D10591" s="1">
        <v>13.025963</v>
      </c>
      <c r="E10591" s="1">
        <v>80.231132</v>
      </c>
      <c r="F10591" s="1">
        <v>5339.0</v>
      </c>
      <c r="G10591" s="1">
        <v>21.0</v>
      </c>
    </row>
    <row r="10592">
      <c r="A10592" s="1" t="s">
        <v>8</v>
      </c>
      <c r="B10592" s="2">
        <v>44742.0</v>
      </c>
      <c r="C10592" s="3">
        <v>0.6997916666666667</v>
      </c>
      <c r="D10592" s="1">
        <v>13.02654</v>
      </c>
      <c r="E10592" s="1">
        <v>80.232716</v>
      </c>
      <c r="F10592" s="1">
        <v>5339.0</v>
      </c>
      <c r="G10592" s="1">
        <v>0.0</v>
      </c>
    </row>
    <row r="10593">
      <c r="A10593" s="1" t="s">
        <v>8</v>
      </c>
      <c r="B10593" s="2">
        <v>44742.0</v>
      </c>
      <c r="C10593" s="3">
        <v>0.7000578703703704</v>
      </c>
      <c r="D10593" s="1">
        <v>13.026774</v>
      </c>
      <c r="E10593" s="1">
        <v>80.233219</v>
      </c>
      <c r="F10593" s="1">
        <v>5339.0</v>
      </c>
      <c r="G10593" s="1">
        <v>29.0</v>
      </c>
    </row>
    <row r="10594">
      <c r="A10594" s="1" t="s">
        <v>8</v>
      </c>
      <c r="B10594" s="2">
        <v>44742.0</v>
      </c>
      <c r="C10594" s="3">
        <v>0.7014467592592593</v>
      </c>
      <c r="D10594" s="1">
        <v>13.006774</v>
      </c>
      <c r="E10594" s="1">
        <v>80.247805</v>
      </c>
      <c r="F10594" s="1">
        <v>805.0</v>
      </c>
      <c r="G10594" s="1">
        <v>0.0</v>
      </c>
    </row>
    <row r="10595">
      <c r="A10595" s="1" t="s">
        <v>8</v>
      </c>
      <c r="B10595" s="2">
        <v>44742.0</v>
      </c>
      <c r="C10595" s="3">
        <v>0.7026736111111112</v>
      </c>
      <c r="D10595" s="1">
        <v>12.677489</v>
      </c>
      <c r="E10595" s="1">
        <v>79.979322</v>
      </c>
      <c r="F10595" s="1">
        <v>2846.0</v>
      </c>
      <c r="G10595" s="1">
        <v>33.0</v>
      </c>
    </row>
    <row r="10596">
      <c r="A10596" s="1" t="s">
        <v>8</v>
      </c>
      <c r="B10596" s="2">
        <v>44742.0</v>
      </c>
      <c r="C10596" s="3">
        <v>0.7032638888888889</v>
      </c>
      <c r="D10596" s="1">
        <v>13.033025</v>
      </c>
      <c r="E10596" s="1">
        <v>80.243243</v>
      </c>
      <c r="F10596" s="1">
        <v>5339.0</v>
      </c>
      <c r="G10596" s="1">
        <v>34.0</v>
      </c>
    </row>
    <row r="10597">
      <c r="A10597" s="1" t="s">
        <v>9</v>
      </c>
      <c r="B10597" s="2">
        <v>44742.0</v>
      </c>
      <c r="C10597" s="3">
        <v>0.7034259259259259</v>
      </c>
      <c r="D10597" s="1">
        <v>13.006867</v>
      </c>
      <c r="E10597" s="1">
        <v>80.251424</v>
      </c>
      <c r="F10597" s="1">
        <v>805.0</v>
      </c>
      <c r="G10597" s="1">
        <v>0.0</v>
      </c>
    </row>
    <row r="10598">
      <c r="A10598" s="1" t="s">
        <v>7</v>
      </c>
      <c r="B10598" s="2">
        <v>44742.0</v>
      </c>
      <c r="C10598" s="3">
        <v>0.7034375</v>
      </c>
      <c r="D10598" s="1">
        <v>13.006867</v>
      </c>
      <c r="E10598" s="1">
        <v>80.251424</v>
      </c>
      <c r="F10598" s="1">
        <v>805.0</v>
      </c>
      <c r="G10598" s="1">
        <v>0.0</v>
      </c>
    </row>
    <row r="10599">
      <c r="A10599" s="1" t="s">
        <v>8</v>
      </c>
      <c r="B10599" s="2">
        <v>44742.0</v>
      </c>
      <c r="C10599" s="3">
        <v>0.7034375</v>
      </c>
      <c r="D10599" s="1">
        <v>13.033684</v>
      </c>
      <c r="E10599" s="1">
        <v>80.244092</v>
      </c>
      <c r="F10599" s="1">
        <v>5339.0</v>
      </c>
      <c r="G10599" s="1">
        <v>38.0</v>
      </c>
    </row>
    <row r="10600">
      <c r="A10600" s="1" t="s">
        <v>7</v>
      </c>
      <c r="B10600" s="2">
        <v>44742.0</v>
      </c>
      <c r="C10600" s="3">
        <v>0.7035532407407408</v>
      </c>
      <c r="D10600" s="1">
        <v>13.033684</v>
      </c>
      <c r="E10600" s="1">
        <v>80.244092</v>
      </c>
      <c r="F10600" s="1">
        <v>5339.0</v>
      </c>
      <c r="G10600" s="1">
        <v>38.0</v>
      </c>
    </row>
    <row r="10601">
      <c r="A10601" s="1" t="s">
        <v>8</v>
      </c>
      <c r="B10601" s="2">
        <v>44742.0</v>
      </c>
      <c r="C10601" s="3">
        <v>0.7039467592592593</v>
      </c>
      <c r="D10601" s="1">
        <v>13.006617</v>
      </c>
      <c r="E10601" s="1">
        <v>80.255654</v>
      </c>
      <c r="F10601" s="1">
        <v>805.0</v>
      </c>
      <c r="G10601" s="1">
        <v>60.0</v>
      </c>
    </row>
    <row r="10602">
      <c r="A10602" s="1" t="s">
        <v>10</v>
      </c>
      <c r="B10602" s="2">
        <v>44742.0</v>
      </c>
      <c r="C10602" s="3">
        <v>0.7039699074074074</v>
      </c>
      <c r="D10602" s="1">
        <v>13.006617</v>
      </c>
      <c r="E10602" s="1">
        <v>80.255654</v>
      </c>
      <c r="F10602" s="1">
        <v>805.0</v>
      </c>
      <c r="G10602" s="1">
        <v>60.0</v>
      </c>
    </row>
    <row r="10603">
      <c r="A10603" s="1" t="s">
        <v>10</v>
      </c>
      <c r="B10603" s="2">
        <v>44742.0</v>
      </c>
      <c r="C10603" s="3">
        <v>0.7042013888888888</v>
      </c>
      <c r="D10603" s="1">
        <v>13.03814</v>
      </c>
      <c r="E10603" s="1">
        <v>80.246625</v>
      </c>
      <c r="F10603" s="1">
        <v>5339.0</v>
      </c>
      <c r="G10603" s="1">
        <v>0.0</v>
      </c>
    </row>
    <row r="10604">
      <c r="A10604" s="1" t="s">
        <v>8</v>
      </c>
      <c r="B10604" s="2">
        <v>44742.0</v>
      </c>
      <c r="C10604" s="3">
        <v>0.7044675925925926</v>
      </c>
      <c r="D10604" s="1">
        <v>13.038633</v>
      </c>
      <c r="E10604" s="1">
        <v>80.246744</v>
      </c>
      <c r="F10604" s="1">
        <v>5339.0</v>
      </c>
      <c r="G10604" s="1">
        <v>0.0</v>
      </c>
    </row>
    <row r="10605">
      <c r="A10605" s="1" t="s">
        <v>9</v>
      </c>
      <c r="B10605" s="2">
        <v>44742.0</v>
      </c>
      <c r="C10605" s="3">
        <v>0.705300925925926</v>
      </c>
      <c r="D10605" s="1">
        <v>13.041834</v>
      </c>
      <c r="E10605" s="1">
        <v>80.247325</v>
      </c>
      <c r="F10605" s="1">
        <v>5339.0</v>
      </c>
      <c r="G10605" s="1">
        <v>0.0</v>
      </c>
    </row>
    <row r="10606">
      <c r="A10606" s="1" t="s">
        <v>8</v>
      </c>
      <c r="B10606" s="2">
        <v>44742.0</v>
      </c>
      <c r="C10606" s="3">
        <v>0.7053125</v>
      </c>
      <c r="D10606" s="1">
        <v>13.010692</v>
      </c>
      <c r="E10606" s="1">
        <v>80.259089</v>
      </c>
      <c r="F10606" s="1">
        <v>805.0</v>
      </c>
      <c r="G10606" s="1">
        <v>14.0</v>
      </c>
    </row>
    <row r="10607">
      <c r="A10607" s="1" t="s">
        <v>8</v>
      </c>
      <c r="B10607" s="2">
        <v>44742.0</v>
      </c>
      <c r="C10607" s="3">
        <v>0.7060300925925926</v>
      </c>
      <c r="D10607" s="1">
        <v>13.0448</v>
      </c>
      <c r="E10607" s="1">
        <v>80.247885</v>
      </c>
      <c r="F10607" s="1">
        <v>5339.0</v>
      </c>
      <c r="G10607" s="1">
        <v>0.0</v>
      </c>
    </row>
    <row r="10608">
      <c r="A10608" s="1" t="s">
        <v>8</v>
      </c>
      <c r="B10608" s="2">
        <v>44742.0</v>
      </c>
      <c r="C10608" s="3">
        <v>0.7065046296296297</v>
      </c>
      <c r="D10608" s="1">
        <v>13.046227</v>
      </c>
      <c r="E10608" s="1">
        <v>80.248127</v>
      </c>
      <c r="F10608" s="1">
        <v>5339.0</v>
      </c>
      <c r="G10608" s="1">
        <v>19.0</v>
      </c>
    </row>
    <row r="10609">
      <c r="A10609" s="1" t="s">
        <v>8</v>
      </c>
      <c r="B10609" s="2">
        <v>44742.0</v>
      </c>
      <c r="C10609" s="3">
        <v>0.7069560185185185</v>
      </c>
      <c r="D10609" s="1">
        <v>12.659762</v>
      </c>
      <c r="E10609" s="1">
        <v>79.964133</v>
      </c>
      <c r="F10609" s="1">
        <v>2846.0</v>
      </c>
      <c r="G10609" s="1">
        <v>16.0</v>
      </c>
    </row>
    <row r="10610">
      <c r="A10610" s="1" t="s">
        <v>9</v>
      </c>
      <c r="B10610" s="2">
        <v>44742.0</v>
      </c>
      <c r="C10610" s="3">
        <v>0.7070138888888889</v>
      </c>
      <c r="D10610" s="1">
        <v>13.050872</v>
      </c>
      <c r="E10610" s="1">
        <v>80.249972</v>
      </c>
      <c r="F10610" s="1">
        <v>5339.0</v>
      </c>
      <c r="G10610" s="1">
        <v>43.0</v>
      </c>
    </row>
    <row r="10611">
      <c r="A10611" s="1" t="s">
        <v>9</v>
      </c>
      <c r="B10611" s="2">
        <v>44742.0</v>
      </c>
      <c r="C10611" s="3">
        <v>0.7072569444444444</v>
      </c>
      <c r="D10611" s="1">
        <v>13.050872</v>
      </c>
      <c r="E10611" s="1">
        <v>80.249972</v>
      </c>
      <c r="F10611" s="1">
        <v>5339.0</v>
      </c>
      <c r="G10611" s="1">
        <v>43.0</v>
      </c>
    </row>
    <row r="10612">
      <c r="A10612" s="1" t="s">
        <v>8</v>
      </c>
      <c r="B10612" s="2">
        <v>44742.0</v>
      </c>
      <c r="C10612" s="3">
        <v>0.707650462962963</v>
      </c>
      <c r="D10612" s="1">
        <v>12.656307</v>
      </c>
      <c r="E10612" s="1">
        <v>79.950119</v>
      </c>
      <c r="F10612" s="1">
        <v>2846.0</v>
      </c>
      <c r="G10612" s="1">
        <v>35.0</v>
      </c>
    </row>
    <row r="10613">
      <c r="A10613" s="1" t="s">
        <v>8</v>
      </c>
      <c r="B10613" s="2">
        <v>44742.0</v>
      </c>
      <c r="C10613" s="3">
        <v>0.708136574074074</v>
      </c>
      <c r="D10613" s="1">
        <v>13.055172</v>
      </c>
      <c r="E10613" s="1">
        <v>80.254738</v>
      </c>
      <c r="F10613" s="1">
        <v>5339.0</v>
      </c>
      <c r="G10613" s="1">
        <v>10.0</v>
      </c>
    </row>
    <row r="10614">
      <c r="A10614" s="1" t="s">
        <v>8</v>
      </c>
      <c r="B10614" s="2">
        <v>44742.0</v>
      </c>
      <c r="C10614" s="3">
        <v>0.7083333333333334</v>
      </c>
      <c r="D10614" s="1">
        <v>13.055609</v>
      </c>
      <c r="E10614" s="1">
        <v>80.255331</v>
      </c>
      <c r="F10614" s="1">
        <v>5339.0</v>
      </c>
      <c r="G10614" s="1">
        <v>20.0</v>
      </c>
    </row>
    <row r="10615">
      <c r="A10615" s="1" t="s">
        <v>8</v>
      </c>
      <c r="B10615" s="2">
        <v>44742.0</v>
      </c>
      <c r="C10615" s="3">
        <v>0.7083564814814814</v>
      </c>
      <c r="D10615" s="1">
        <v>13.055609</v>
      </c>
      <c r="E10615" s="1">
        <v>80.255331</v>
      </c>
      <c r="F10615" s="1">
        <v>5339.0</v>
      </c>
      <c r="G10615" s="1">
        <v>20.0</v>
      </c>
    </row>
    <row r="10616">
      <c r="A10616" s="1" t="s">
        <v>7</v>
      </c>
      <c r="B10616" s="2">
        <v>44742.0</v>
      </c>
      <c r="C10616" s="3">
        <v>0.7084375</v>
      </c>
      <c r="D10616" s="1">
        <v>12.657456</v>
      </c>
      <c r="E10616" s="1">
        <v>79.94617</v>
      </c>
      <c r="F10616" s="1">
        <v>2846.0</v>
      </c>
      <c r="G10616" s="1">
        <v>33.0</v>
      </c>
    </row>
    <row r="10617">
      <c r="A10617" s="1" t="s">
        <v>8</v>
      </c>
      <c r="B10617" s="2">
        <v>44742.0</v>
      </c>
      <c r="C10617" s="3">
        <v>0.7089351851851852</v>
      </c>
      <c r="D10617" s="1">
        <v>12.654924</v>
      </c>
      <c r="E10617" s="1">
        <v>79.941985</v>
      </c>
      <c r="F10617" s="1">
        <v>2846.0</v>
      </c>
      <c r="G10617" s="1">
        <v>57.0</v>
      </c>
    </row>
    <row r="10618">
      <c r="A10618" s="1" t="s">
        <v>10</v>
      </c>
      <c r="B10618" s="2">
        <v>44742.0</v>
      </c>
      <c r="C10618" s="3">
        <v>0.7089467592592592</v>
      </c>
      <c r="D10618" s="1">
        <v>13.057531</v>
      </c>
      <c r="E10618" s="1">
        <v>80.257679</v>
      </c>
      <c r="F10618" s="1">
        <v>5339.0</v>
      </c>
      <c r="G10618" s="1">
        <v>1.0</v>
      </c>
    </row>
    <row r="10619">
      <c r="A10619" s="1" t="s">
        <v>10</v>
      </c>
      <c r="B10619" s="2">
        <v>44742.0</v>
      </c>
      <c r="C10619" s="3">
        <v>0.7091782407407408</v>
      </c>
      <c r="D10619" s="1">
        <v>13.056979</v>
      </c>
      <c r="E10619" s="1">
        <v>80.257771</v>
      </c>
      <c r="F10619" s="1">
        <v>5339.0</v>
      </c>
      <c r="G10619" s="1">
        <v>13.0</v>
      </c>
    </row>
    <row r="10620">
      <c r="A10620" s="1" t="s">
        <v>7</v>
      </c>
      <c r="B10620" s="2">
        <v>44742.0</v>
      </c>
      <c r="C10620" s="3">
        <v>0.709224537037037</v>
      </c>
      <c r="D10620" s="1">
        <v>12.650468</v>
      </c>
      <c r="E10620" s="1">
        <v>79.941526</v>
      </c>
      <c r="F10620" s="1">
        <v>2846.0</v>
      </c>
      <c r="G10620" s="1">
        <v>46.0</v>
      </c>
    </row>
    <row r="10621">
      <c r="A10621" s="1" t="s">
        <v>8</v>
      </c>
      <c r="B10621" s="2">
        <v>44742.0</v>
      </c>
      <c r="C10621" s="3">
        <v>0.7101041666666666</v>
      </c>
      <c r="D10621" s="1">
        <v>13.054329</v>
      </c>
      <c r="E10621" s="1">
        <v>80.259907</v>
      </c>
      <c r="F10621" s="1">
        <v>5339.0</v>
      </c>
      <c r="G10621" s="1">
        <v>8.0</v>
      </c>
    </row>
    <row r="10622">
      <c r="A10622" s="1" t="s">
        <v>8</v>
      </c>
      <c r="B10622" s="2">
        <v>44742.0</v>
      </c>
      <c r="C10622" s="3">
        <v>0.7102314814814815</v>
      </c>
      <c r="D10622" s="1">
        <v>13.054271</v>
      </c>
      <c r="E10622" s="1">
        <v>80.260392</v>
      </c>
      <c r="F10622" s="1">
        <v>5339.0</v>
      </c>
      <c r="G10622" s="1">
        <v>19.0</v>
      </c>
    </row>
    <row r="10623">
      <c r="A10623" s="1" t="s">
        <v>8</v>
      </c>
      <c r="B10623" s="2">
        <v>44742.0</v>
      </c>
      <c r="C10623" s="3">
        <v>0.7103472222222222</v>
      </c>
      <c r="D10623" s="1">
        <v>13.054271</v>
      </c>
      <c r="E10623" s="1">
        <v>80.260392</v>
      </c>
      <c r="F10623" s="1">
        <v>5339.0</v>
      </c>
      <c r="G10623" s="1">
        <v>19.0</v>
      </c>
    </row>
    <row r="10624">
      <c r="A10624" s="1" t="s">
        <v>8</v>
      </c>
      <c r="B10624" s="2">
        <v>44742.0</v>
      </c>
      <c r="C10624" s="3">
        <v>0.7106828703703704</v>
      </c>
      <c r="D10624" s="1">
        <v>13.054013</v>
      </c>
      <c r="E10624" s="1">
        <v>80.262672</v>
      </c>
      <c r="F10624" s="1">
        <v>5339.0</v>
      </c>
      <c r="G10624" s="1">
        <v>32.0</v>
      </c>
    </row>
    <row r="10625">
      <c r="A10625" s="1" t="s">
        <v>8</v>
      </c>
      <c r="B10625" s="2">
        <v>44742.0</v>
      </c>
      <c r="C10625" s="3">
        <v>0.7118055555555556</v>
      </c>
      <c r="D10625" s="1">
        <v>13.021823</v>
      </c>
      <c r="E10625" s="1">
        <v>80.263194</v>
      </c>
      <c r="F10625" s="1">
        <v>805.0</v>
      </c>
      <c r="G10625" s="1">
        <v>33.0</v>
      </c>
    </row>
    <row r="10626">
      <c r="A10626" s="1" t="s">
        <v>8</v>
      </c>
      <c r="B10626" s="2">
        <v>44742.0</v>
      </c>
      <c r="C10626" s="3">
        <v>0.7118055555555556</v>
      </c>
      <c r="D10626" s="1">
        <v>13.021823</v>
      </c>
      <c r="E10626" s="1">
        <v>80.263194</v>
      </c>
      <c r="F10626" s="1">
        <v>805.0</v>
      </c>
      <c r="G10626" s="1">
        <v>33.0</v>
      </c>
    </row>
    <row r="10627">
      <c r="A10627" s="1" t="s">
        <v>8</v>
      </c>
      <c r="B10627" s="2">
        <v>44742.0</v>
      </c>
      <c r="C10627" s="3">
        <v>0.7118171296296296</v>
      </c>
      <c r="D10627" s="1">
        <v>13.021823</v>
      </c>
      <c r="E10627" s="1">
        <v>80.263194</v>
      </c>
      <c r="F10627" s="1">
        <v>805.0</v>
      </c>
      <c r="G10627" s="1">
        <v>33.0</v>
      </c>
    </row>
    <row r="10628">
      <c r="A10628" s="1" t="s">
        <v>8</v>
      </c>
      <c r="B10628" s="2">
        <v>44742.0</v>
      </c>
      <c r="C10628" s="3">
        <v>0.7118518518518518</v>
      </c>
      <c r="D10628" s="1">
        <v>13.021823</v>
      </c>
      <c r="E10628" s="1">
        <v>80.263194</v>
      </c>
      <c r="F10628" s="1">
        <v>805.0</v>
      </c>
      <c r="G10628" s="1">
        <v>33.0</v>
      </c>
    </row>
    <row r="10629">
      <c r="A10629" s="1" t="s">
        <v>8</v>
      </c>
      <c r="B10629" s="2">
        <v>44742.0</v>
      </c>
      <c r="C10629" s="3">
        <v>0.7119675925925926</v>
      </c>
      <c r="D10629" s="1">
        <v>12.644461</v>
      </c>
      <c r="E10629" s="1">
        <v>79.93912</v>
      </c>
      <c r="F10629" s="1">
        <v>2846.0</v>
      </c>
      <c r="G10629" s="1">
        <v>58.0</v>
      </c>
    </row>
    <row r="10630">
      <c r="A10630" s="1" t="s">
        <v>7</v>
      </c>
      <c r="B10630" s="2">
        <v>44742.0</v>
      </c>
      <c r="C10630" s="3">
        <v>0.7123148148148148</v>
      </c>
      <c r="D10630" s="1">
        <v>12.621138</v>
      </c>
      <c r="E10630" s="1">
        <v>79.927407</v>
      </c>
      <c r="F10630" s="1">
        <v>2846.0</v>
      </c>
      <c r="G10630" s="1">
        <v>59.0</v>
      </c>
    </row>
    <row r="10631">
      <c r="A10631" s="1" t="s">
        <v>10</v>
      </c>
      <c r="B10631" s="2">
        <v>44742.0</v>
      </c>
      <c r="C10631" s="3">
        <v>0.714386574074074</v>
      </c>
      <c r="D10631" s="1">
        <v>13.053512</v>
      </c>
      <c r="E10631" s="1">
        <v>80.268103</v>
      </c>
      <c r="F10631" s="1">
        <v>5339.0</v>
      </c>
      <c r="G10631" s="1">
        <v>2.0</v>
      </c>
    </row>
    <row r="10632">
      <c r="A10632" s="1" t="s">
        <v>7</v>
      </c>
      <c r="B10632" s="2">
        <v>44742.0</v>
      </c>
      <c r="C10632" s="3">
        <v>0.7146990740740741</v>
      </c>
      <c r="D10632" s="1">
        <v>12.6041</v>
      </c>
      <c r="E10632" s="1">
        <v>79.9205</v>
      </c>
      <c r="F10632" s="1">
        <v>2846.0</v>
      </c>
      <c r="G10632" s="1">
        <v>38.0</v>
      </c>
    </row>
    <row r="10633">
      <c r="A10633" s="1" t="s">
        <v>10</v>
      </c>
      <c r="B10633" s="2">
        <v>44742.0</v>
      </c>
      <c r="C10633" s="3">
        <v>0.714837962962963</v>
      </c>
      <c r="D10633" s="1">
        <v>13.053512</v>
      </c>
      <c r="E10633" s="1">
        <v>80.268103</v>
      </c>
      <c r="F10633" s="1">
        <v>5339.0</v>
      </c>
      <c r="G10633" s="1">
        <v>2.0</v>
      </c>
    </row>
    <row r="10634">
      <c r="A10634" s="1" t="s">
        <v>8</v>
      </c>
      <c r="B10634" s="2">
        <v>44742.0</v>
      </c>
      <c r="C10634" s="3">
        <v>0.7153587962962963</v>
      </c>
      <c r="D10634" s="1">
        <v>12.584302</v>
      </c>
      <c r="E10634" s="1">
        <v>79.919358</v>
      </c>
      <c r="F10634" s="1">
        <v>2846.0</v>
      </c>
      <c r="G10634" s="1">
        <v>52.0</v>
      </c>
    </row>
    <row r="10635">
      <c r="A10635" s="1" t="s">
        <v>10</v>
      </c>
      <c r="B10635" s="2">
        <v>44742.0</v>
      </c>
      <c r="C10635" s="3">
        <v>0.7171064814814815</v>
      </c>
      <c r="D10635" s="1">
        <v>13.033162</v>
      </c>
      <c r="E10635" s="1">
        <v>80.267684</v>
      </c>
      <c r="F10635" s="1">
        <v>805.0</v>
      </c>
      <c r="G10635" s="1">
        <v>3.0</v>
      </c>
    </row>
    <row r="10636">
      <c r="A10636" s="1" t="s">
        <v>8</v>
      </c>
      <c r="B10636" s="2">
        <v>44742.0</v>
      </c>
      <c r="C10636" s="3">
        <v>0.7198726851851852</v>
      </c>
      <c r="D10636" s="1">
        <v>13.039442</v>
      </c>
      <c r="E10636" s="1">
        <v>80.267742</v>
      </c>
      <c r="F10636" s="1">
        <v>805.0</v>
      </c>
      <c r="G10636" s="1">
        <v>21.0</v>
      </c>
    </row>
    <row r="10637">
      <c r="A10637" s="1" t="s">
        <v>8</v>
      </c>
      <c r="B10637" s="2">
        <v>44742.0</v>
      </c>
      <c r="C10637" s="3">
        <v>0.7198726851851852</v>
      </c>
      <c r="D10637" s="1">
        <v>13.039442</v>
      </c>
      <c r="E10637" s="1">
        <v>80.267742</v>
      </c>
      <c r="F10637" s="1">
        <v>805.0</v>
      </c>
      <c r="G10637" s="1">
        <v>21.0</v>
      </c>
    </row>
    <row r="10638">
      <c r="A10638" s="1" t="s">
        <v>8</v>
      </c>
      <c r="B10638" s="2">
        <v>44742.0</v>
      </c>
      <c r="C10638" s="3">
        <v>0.7199768518518519</v>
      </c>
      <c r="D10638" s="1">
        <v>13.040018</v>
      </c>
      <c r="E10638" s="1">
        <v>80.267878</v>
      </c>
      <c r="F10638" s="1">
        <v>805.0</v>
      </c>
      <c r="G10638" s="1">
        <v>12.0</v>
      </c>
    </row>
    <row r="10639">
      <c r="A10639" s="1" t="s">
        <v>8</v>
      </c>
      <c r="B10639" s="2">
        <v>44742.0</v>
      </c>
      <c r="C10639" s="3">
        <v>0.7201157407407407</v>
      </c>
      <c r="D10639" s="1">
        <v>13.040018</v>
      </c>
      <c r="E10639" s="1">
        <v>80.267878</v>
      </c>
      <c r="F10639" s="1">
        <v>805.0</v>
      </c>
      <c r="G10639" s="1">
        <v>12.0</v>
      </c>
    </row>
    <row r="10640">
      <c r="A10640" s="1" t="s">
        <v>8</v>
      </c>
      <c r="B10640" s="2">
        <v>44742.0</v>
      </c>
      <c r="C10640" s="3">
        <v>0.7201157407407407</v>
      </c>
      <c r="D10640" s="1">
        <v>13.040018</v>
      </c>
      <c r="E10640" s="1">
        <v>80.267878</v>
      </c>
      <c r="F10640" s="1">
        <v>805.0</v>
      </c>
      <c r="G10640" s="1">
        <v>12.0</v>
      </c>
    </row>
    <row r="10641">
      <c r="A10641" s="1" t="s">
        <v>10</v>
      </c>
      <c r="B10641" s="2">
        <v>44742.0</v>
      </c>
      <c r="C10641" s="3">
        <v>0.7217592592592592</v>
      </c>
      <c r="D10641" s="1">
        <v>13.048134</v>
      </c>
      <c r="E10641" s="1">
        <v>80.265863</v>
      </c>
      <c r="F10641" s="1">
        <v>805.0</v>
      </c>
      <c r="G10641" s="1">
        <v>22.0</v>
      </c>
    </row>
    <row r="10642">
      <c r="A10642" s="1" t="s">
        <v>10</v>
      </c>
      <c r="B10642" s="2">
        <v>44742.0</v>
      </c>
      <c r="C10642" s="3">
        <v>0.7251273148148148</v>
      </c>
      <c r="D10642" s="1">
        <v>13.058465</v>
      </c>
      <c r="E10642" s="1">
        <v>80.265402</v>
      </c>
      <c r="F10642" s="1">
        <v>805.0</v>
      </c>
      <c r="G10642" s="1">
        <v>0.0</v>
      </c>
    </row>
    <row r="10643">
      <c r="A10643" s="1" t="s">
        <v>10</v>
      </c>
      <c r="B10643" s="2">
        <v>44742.0</v>
      </c>
      <c r="C10643" s="3">
        <v>0.7266898148148148</v>
      </c>
      <c r="D10643" s="1">
        <v>13.065975</v>
      </c>
      <c r="E10643" s="1">
        <v>80.273776</v>
      </c>
      <c r="F10643" s="1">
        <v>5339.0</v>
      </c>
      <c r="G10643" s="1">
        <v>13.0</v>
      </c>
    </row>
    <row r="10644">
      <c r="A10644" s="1" t="s">
        <v>8</v>
      </c>
      <c r="B10644" s="2">
        <v>44742.0</v>
      </c>
      <c r="C10644" s="3">
        <v>0.7276041666666667</v>
      </c>
      <c r="D10644" s="1">
        <v>13.06757</v>
      </c>
      <c r="E10644" s="1">
        <v>80.270721</v>
      </c>
      <c r="F10644" s="1">
        <v>5339.0</v>
      </c>
      <c r="G10644" s="1">
        <v>29.0</v>
      </c>
    </row>
    <row r="10645">
      <c r="A10645" s="1" t="s">
        <v>8</v>
      </c>
      <c r="B10645" s="2">
        <v>44742.0</v>
      </c>
      <c r="C10645" s="3">
        <v>0.7282060185185185</v>
      </c>
      <c r="D10645" s="1">
        <v>13.067086</v>
      </c>
      <c r="E10645" s="1">
        <v>80.268664</v>
      </c>
      <c r="F10645" s="1">
        <v>5339.0</v>
      </c>
      <c r="G10645" s="1">
        <v>28.0</v>
      </c>
    </row>
    <row r="10646">
      <c r="A10646" s="1" t="s">
        <v>8</v>
      </c>
      <c r="B10646" s="2">
        <v>44742.0</v>
      </c>
      <c r="C10646" s="3">
        <v>0.7292476851851852</v>
      </c>
      <c r="D10646" s="1">
        <v>13.069055</v>
      </c>
      <c r="E10646" s="1">
        <v>80.267115</v>
      </c>
      <c r="F10646" s="1">
        <v>5339.0</v>
      </c>
      <c r="G10646" s="1">
        <v>28.0</v>
      </c>
    </row>
    <row r="10647">
      <c r="A10647" s="1" t="s">
        <v>10</v>
      </c>
      <c r="B10647" s="2">
        <v>44742.0</v>
      </c>
      <c r="C10647" s="3">
        <v>0.7292824074074075</v>
      </c>
      <c r="D10647" s="1">
        <v>13.069055</v>
      </c>
      <c r="E10647" s="1">
        <v>80.267115</v>
      </c>
      <c r="F10647" s="1">
        <v>5339.0</v>
      </c>
      <c r="G10647" s="1">
        <v>28.0</v>
      </c>
    </row>
    <row r="10648">
      <c r="A10648" s="1" t="s">
        <v>10</v>
      </c>
      <c r="B10648" s="2">
        <v>44742.0</v>
      </c>
      <c r="C10648" s="3">
        <v>0.7300810185185185</v>
      </c>
      <c r="D10648" s="1">
        <v>13.068273</v>
      </c>
      <c r="E10648" s="1">
        <v>80.269261</v>
      </c>
      <c r="F10648" s="1">
        <v>805.0</v>
      </c>
      <c r="G10648" s="1">
        <v>7.0</v>
      </c>
    </row>
    <row r="10649">
      <c r="A10649" s="1" t="s">
        <v>10</v>
      </c>
      <c r="B10649" s="2">
        <v>44742.0</v>
      </c>
      <c r="C10649" s="3">
        <v>0.7314583333333333</v>
      </c>
      <c r="D10649" s="1">
        <v>13.073042</v>
      </c>
      <c r="E10649" s="1">
        <v>80.2613</v>
      </c>
      <c r="F10649" s="1">
        <v>5339.0</v>
      </c>
      <c r="G10649" s="1">
        <v>5.0</v>
      </c>
    </row>
    <row r="10650">
      <c r="A10650" s="1" t="s">
        <v>8</v>
      </c>
      <c r="B10650" s="2">
        <v>44742.0</v>
      </c>
      <c r="C10650" s="3">
        <v>0.7316203703703704</v>
      </c>
      <c r="D10650" s="1">
        <v>13.073002</v>
      </c>
      <c r="E10650" s="1">
        <v>80.260804</v>
      </c>
      <c r="F10650" s="1">
        <v>5339.0</v>
      </c>
      <c r="G10650" s="1">
        <v>19.0</v>
      </c>
    </row>
    <row r="10651">
      <c r="A10651" s="1" t="s">
        <v>8</v>
      </c>
      <c r="B10651" s="2">
        <v>44742.0</v>
      </c>
      <c r="C10651" s="3">
        <v>0.732037037037037</v>
      </c>
      <c r="D10651" s="1">
        <v>13.071184</v>
      </c>
      <c r="E10651" s="1">
        <v>80.258735</v>
      </c>
      <c r="F10651" s="1">
        <v>5339.0</v>
      </c>
      <c r="G10651" s="1">
        <v>34.0</v>
      </c>
    </row>
    <row r="10652">
      <c r="A10652" s="1" t="s">
        <v>8</v>
      </c>
      <c r="B10652" s="2">
        <v>44742.0</v>
      </c>
      <c r="C10652" s="3">
        <v>0.7322685185185185</v>
      </c>
      <c r="D10652" s="1">
        <v>13.070101</v>
      </c>
      <c r="E10652" s="1">
        <v>80.257572</v>
      </c>
      <c r="F10652" s="1">
        <v>5339.0</v>
      </c>
      <c r="G10652" s="1">
        <v>30.0</v>
      </c>
    </row>
    <row r="10653">
      <c r="A10653" s="1" t="s">
        <v>8</v>
      </c>
      <c r="B10653" s="2">
        <v>44742.0</v>
      </c>
      <c r="C10653" s="3">
        <v>0.7342824074074074</v>
      </c>
      <c r="D10653" s="1">
        <v>13.06697</v>
      </c>
      <c r="E10653" s="1">
        <v>80.253886</v>
      </c>
      <c r="F10653" s="1">
        <v>5339.0</v>
      </c>
      <c r="G10653" s="1">
        <v>20.0</v>
      </c>
    </row>
    <row r="10654">
      <c r="A10654" s="1" t="s">
        <v>8</v>
      </c>
      <c r="B10654" s="2">
        <v>44742.0</v>
      </c>
      <c r="C10654" s="3">
        <v>0.7344328703703704</v>
      </c>
      <c r="D10654" s="1">
        <v>13.068276</v>
      </c>
      <c r="E10654" s="1">
        <v>80.25278</v>
      </c>
      <c r="F10654" s="1">
        <v>5339.0</v>
      </c>
      <c r="G10654" s="1">
        <v>32.0</v>
      </c>
    </row>
    <row r="10655">
      <c r="A10655" s="1" t="s">
        <v>8</v>
      </c>
      <c r="B10655" s="2">
        <v>44742.0</v>
      </c>
      <c r="C10655" s="3">
        <v>0.7366666666666667</v>
      </c>
      <c r="D10655" s="1">
        <v>13.066758</v>
      </c>
      <c r="E10655" s="1">
        <v>80.254233</v>
      </c>
      <c r="F10655" s="1">
        <v>805.0</v>
      </c>
      <c r="G10655" s="1">
        <v>19.0</v>
      </c>
    </row>
    <row r="10656">
      <c r="A10656" s="1" t="s">
        <v>8</v>
      </c>
      <c r="B10656" s="2">
        <v>44742.0</v>
      </c>
      <c r="C10656" s="3">
        <v>0.7366898148148148</v>
      </c>
      <c r="D10656" s="1">
        <v>13.066758</v>
      </c>
      <c r="E10656" s="1">
        <v>80.254233</v>
      </c>
      <c r="F10656" s="1">
        <v>805.0</v>
      </c>
      <c r="G10656" s="1">
        <v>19.0</v>
      </c>
    </row>
    <row r="10657">
      <c r="A10657" s="1" t="s">
        <v>8</v>
      </c>
      <c r="B10657" s="2">
        <v>44742.0</v>
      </c>
      <c r="C10657" s="3">
        <v>0.7366898148148148</v>
      </c>
      <c r="D10657" s="1">
        <v>13.066758</v>
      </c>
      <c r="E10657" s="1">
        <v>80.254233</v>
      </c>
      <c r="F10657" s="1">
        <v>805.0</v>
      </c>
      <c r="G10657" s="1">
        <v>19.0</v>
      </c>
    </row>
    <row r="10658">
      <c r="A10658" s="1" t="s">
        <v>8</v>
      </c>
      <c r="B10658" s="2">
        <v>44742.0</v>
      </c>
      <c r="C10658" s="3">
        <v>0.736724537037037</v>
      </c>
      <c r="D10658" s="1">
        <v>13.067113</v>
      </c>
      <c r="E10658" s="1">
        <v>80.253764</v>
      </c>
      <c r="F10658" s="1">
        <v>805.0</v>
      </c>
      <c r="G10658" s="1">
        <v>30.0</v>
      </c>
    </row>
    <row r="10659">
      <c r="A10659" s="1" t="s">
        <v>8</v>
      </c>
      <c r="B10659" s="2">
        <v>44742.0</v>
      </c>
      <c r="C10659" s="3">
        <v>0.737025462962963</v>
      </c>
      <c r="D10659" s="1">
        <v>13.068208</v>
      </c>
      <c r="E10659" s="1">
        <v>80.252806</v>
      </c>
      <c r="F10659" s="1">
        <v>805.0</v>
      </c>
      <c r="G10659" s="1">
        <v>24.0</v>
      </c>
    </row>
    <row r="10660">
      <c r="A10660" s="1" t="s">
        <v>8</v>
      </c>
      <c r="B10660" s="2">
        <v>44742.0</v>
      </c>
      <c r="C10660" s="3">
        <v>0.7375</v>
      </c>
      <c r="D10660" s="1">
        <v>13.066118</v>
      </c>
      <c r="E10660" s="1">
        <v>80.247882</v>
      </c>
      <c r="F10660" s="1">
        <v>5339.0</v>
      </c>
      <c r="G10660" s="1">
        <v>27.0</v>
      </c>
    </row>
    <row r="10661">
      <c r="A10661" s="1" t="s">
        <v>8</v>
      </c>
      <c r="B10661" s="2">
        <v>44742.0</v>
      </c>
      <c r="C10661" s="3">
        <v>0.7375231481481481</v>
      </c>
      <c r="D10661" s="1">
        <v>13.066118</v>
      </c>
      <c r="E10661" s="1">
        <v>80.247882</v>
      </c>
      <c r="F10661" s="1">
        <v>5339.0</v>
      </c>
      <c r="G10661" s="1">
        <v>27.0</v>
      </c>
    </row>
    <row r="10662">
      <c r="A10662" s="1" t="s">
        <v>8</v>
      </c>
      <c r="B10662" s="2">
        <v>44742.0</v>
      </c>
      <c r="C10662" s="3">
        <v>0.7375462962962963</v>
      </c>
      <c r="D10662" s="1">
        <v>13.066118</v>
      </c>
      <c r="E10662" s="1">
        <v>80.247882</v>
      </c>
      <c r="F10662" s="1">
        <v>5339.0</v>
      </c>
      <c r="G10662" s="1">
        <v>27.0</v>
      </c>
    </row>
    <row r="10663">
      <c r="A10663" s="1" t="s">
        <v>10</v>
      </c>
      <c r="B10663" s="2">
        <v>44742.0</v>
      </c>
      <c r="C10663" s="3">
        <v>0.737824074074074</v>
      </c>
      <c r="D10663" s="1">
        <v>13.064467</v>
      </c>
      <c r="E10663" s="1">
        <v>80.247912</v>
      </c>
      <c r="F10663" s="1">
        <v>5339.0</v>
      </c>
      <c r="G10663" s="1">
        <v>9.0</v>
      </c>
    </row>
    <row r="10664">
      <c r="A10664" s="1" t="s">
        <v>9</v>
      </c>
      <c r="B10664" s="2">
        <v>44742.0</v>
      </c>
      <c r="C10664" s="3">
        <v>0.7380208333333333</v>
      </c>
      <c r="D10664" s="1">
        <v>13.064142</v>
      </c>
      <c r="E10664" s="1">
        <v>80.249317</v>
      </c>
      <c r="F10664" s="1">
        <v>5339.0</v>
      </c>
      <c r="G10664" s="1">
        <v>32.0</v>
      </c>
    </row>
    <row r="10665">
      <c r="A10665" s="1" t="s">
        <v>10</v>
      </c>
      <c r="B10665" s="2">
        <v>44742.0</v>
      </c>
      <c r="C10665" s="3">
        <v>0.7412384259259259</v>
      </c>
      <c r="D10665" s="1">
        <v>13.064138</v>
      </c>
      <c r="E10665" s="1">
        <v>80.249137</v>
      </c>
      <c r="F10665" s="1">
        <v>805.0</v>
      </c>
      <c r="G10665" s="1">
        <v>25.0</v>
      </c>
    </row>
    <row r="10666">
      <c r="A10666" s="1" t="s">
        <v>10</v>
      </c>
      <c r="B10666" s="2">
        <v>44742.0</v>
      </c>
      <c r="C10666" s="3">
        <v>0.7413657407407407</v>
      </c>
      <c r="D10666" s="1">
        <v>13.063836</v>
      </c>
      <c r="E10666" s="1">
        <v>80.250179</v>
      </c>
      <c r="F10666" s="1">
        <v>805.0</v>
      </c>
      <c r="G10666" s="1">
        <v>25.0</v>
      </c>
    </row>
    <row r="10667">
      <c r="A10667" s="1" t="s">
        <v>8</v>
      </c>
      <c r="B10667" s="2">
        <v>44743.0</v>
      </c>
      <c r="C10667" s="3">
        <v>0.28988425925925926</v>
      </c>
      <c r="D10667" s="1">
        <v>12.448613</v>
      </c>
      <c r="E10667" s="1">
        <v>79.839083</v>
      </c>
      <c r="F10667" s="1">
        <v>2846.0</v>
      </c>
      <c r="G10667" s="1">
        <v>57.0</v>
      </c>
    </row>
    <row r="10668">
      <c r="A10668" s="1" t="s">
        <v>8</v>
      </c>
      <c r="B10668" s="2">
        <v>44743.0</v>
      </c>
      <c r="C10668" s="3">
        <v>0.2903125</v>
      </c>
      <c r="D10668" s="1">
        <v>12.4538</v>
      </c>
      <c r="E10668" s="1">
        <v>79.841718</v>
      </c>
      <c r="F10668" s="1">
        <v>2846.0</v>
      </c>
      <c r="G10668" s="1">
        <v>57.0</v>
      </c>
    </row>
    <row r="10669">
      <c r="A10669" s="1" t="s">
        <v>7</v>
      </c>
      <c r="B10669" s="2">
        <v>44743.0</v>
      </c>
      <c r="C10669" s="3">
        <v>0.290474537037037</v>
      </c>
      <c r="D10669" s="1">
        <v>12.457381</v>
      </c>
      <c r="E10669" s="1">
        <v>79.844009</v>
      </c>
      <c r="F10669" s="1">
        <v>2846.0</v>
      </c>
      <c r="G10669" s="1">
        <v>51.0</v>
      </c>
    </row>
    <row r="10670">
      <c r="A10670" s="1" t="s">
        <v>7</v>
      </c>
      <c r="B10670" s="2">
        <v>44743.0</v>
      </c>
      <c r="C10670" s="3">
        <v>0.2914583333333333</v>
      </c>
      <c r="D10670" s="1">
        <v>12.465766</v>
      </c>
      <c r="E10670" s="1">
        <v>79.849913</v>
      </c>
      <c r="F10670" s="1">
        <v>2846.0</v>
      </c>
      <c r="G10670" s="1">
        <v>58.0</v>
      </c>
    </row>
    <row r="10671">
      <c r="A10671" s="1" t="s">
        <v>7</v>
      </c>
      <c r="B10671" s="2">
        <v>44743.0</v>
      </c>
      <c r="C10671" s="3">
        <v>0.2919097222222222</v>
      </c>
      <c r="D10671" s="1">
        <v>12.471584</v>
      </c>
      <c r="E10671" s="1">
        <v>79.854389</v>
      </c>
      <c r="F10671" s="1">
        <v>2846.0</v>
      </c>
      <c r="G10671" s="1">
        <v>57.0</v>
      </c>
    </row>
    <row r="10672">
      <c r="A10672" s="1" t="s">
        <v>7</v>
      </c>
      <c r="B10672" s="2">
        <v>44743.0</v>
      </c>
      <c r="C10672" s="3">
        <v>0.2941550925925926</v>
      </c>
      <c r="D10672" s="1">
        <v>12.495235</v>
      </c>
      <c r="E10672" s="1">
        <v>79.8713</v>
      </c>
      <c r="F10672" s="1">
        <v>2846.0</v>
      </c>
      <c r="G10672" s="1">
        <v>57.0</v>
      </c>
    </row>
    <row r="10673">
      <c r="A10673" s="1" t="s">
        <v>7</v>
      </c>
      <c r="B10673" s="2">
        <v>44743.0</v>
      </c>
      <c r="C10673" s="3">
        <v>0.29619212962962965</v>
      </c>
      <c r="D10673" s="1">
        <v>12.513088</v>
      </c>
      <c r="E10673" s="1">
        <v>79.883913</v>
      </c>
      <c r="F10673" s="1">
        <v>2846.0</v>
      </c>
      <c r="G10673" s="1">
        <v>59.0</v>
      </c>
    </row>
    <row r="10674">
      <c r="A10674" s="1" t="s">
        <v>7</v>
      </c>
      <c r="B10674" s="2">
        <v>44743.0</v>
      </c>
      <c r="C10674" s="3">
        <v>0.2964583333333333</v>
      </c>
      <c r="D10674" s="1">
        <v>12.516515</v>
      </c>
      <c r="E10674" s="1">
        <v>79.888815</v>
      </c>
      <c r="F10674" s="1">
        <v>2846.0</v>
      </c>
      <c r="G10674" s="1">
        <v>63.0</v>
      </c>
    </row>
    <row r="10675">
      <c r="A10675" s="1" t="s">
        <v>7</v>
      </c>
      <c r="B10675" s="2">
        <v>44743.0</v>
      </c>
      <c r="C10675" s="3">
        <v>0.29702546296296295</v>
      </c>
      <c r="D10675" s="1">
        <v>12.515584</v>
      </c>
      <c r="E10675" s="1">
        <v>79.88863</v>
      </c>
      <c r="F10675" s="1">
        <v>2846.0</v>
      </c>
      <c r="G10675" s="1">
        <v>51.0</v>
      </c>
    </row>
    <row r="10676">
      <c r="A10676" s="1" t="s">
        <v>9</v>
      </c>
      <c r="B10676" s="2">
        <v>44743.0</v>
      </c>
      <c r="C10676" s="3">
        <v>0.29802083333333335</v>
      </c>
      <c r="D10676" s="1">
        <v>12.5102</v>
      </c>
      <c r="E10676" s="1">
        <v>79.885222</v>
      </c>
      <c r="F10676" s="1">
        <v>2846.0</v>
      </c>
      <c r="G10676" s="1">
        <v>22.0</v>
      </c>
    </row>
    <row r="10677">
      <c r="A10677" s="1" t="s">
        <v>10</v>
      </c>
      <c r="B10677" s="2">
        <v>44743.0</v>
      </c>
      <c r="C10677" s="3">
        <v>0.2983564814814815</v>
      </c>
      <c r="D10677" s="1">
        <v>12.510212</v>
      </c>
      <c r="E10677" s="1">
        <v>79.886133</v>
      </c>
      <c r="F10677" s="1">
        <v>2846.0</v>
      </c>
      <c r="G10677" s="1">
        <v>43.0</v>
      </c>
    </row>
    <row r="10678">
      <c r="A10678" s="1" t="s">
        <v>8</v>
      </c>
      <c r="B10678" s="2">
        <v>44743.0</v>
      </c>
      <c r="C10678" s="3">
        <v>0.29921296296296296</v>
      </c>
      <c r="D10678" s="1">
        <v>13.070175</v>
      </c>
      <c r="E10678" s="1">
        <v>80.257559</v>
      </c>
      <c r="F10678" s="1">
        <v>5339.0</v>
      </c>
      <c r="G10678" s="1">
        <v>41.0</v>
      </c>
    </row>
    <row r="10679">
      <c r="A10679" s="1" t="s">
        <v>8</v>
      </c>
      <c r="B10679" s="2">
        <v>44743.0</v>
      </c>
      <c r="C10679" s="3">
        <v>0.2992476851851852</v>
      </c>
      <c r="D10679" s="1">
        <v>13.070175</v>
      </c>
      <c r="E10679" s="1">
        <v>80.257559</v>
      </c>
      <c r="F10679" s="1">
        <v>5339.0</v>
      </c>
      <c r="G10679" s="1">
        <v>41.0</v>
      </c>
    </row>
    <row r="10680">
      <c r="A10680" s="1" t="s">
        <v>7</v>
      </c>
      <c r="B10680" s="2">
        <v>44743.0</v>
      </c>
      <c r="C10680" s="3">
        <v>0.300775462962963</v>
      </c>
      <c r="D10680" s="1">
        <v>12.518269</v>
      </c>
      <c r="E10680" s="1">
        <v>79.88801</v>
      </c>
      <c r="F10680" s="1">
        <v>2846.0</v>
      </c>
      <c r="G10680" s="1">
        <v>63.0</v>
      </c>
    </row>
    <row r="10681">
      <c r="A10681" s="1" t="s">
        <v>7</v>
      </c>
      <c r="B10681" s="2">
        <v>44743.0</v>
      </c>
      <c r="C10681" s="3">
        <v>0.30082175925925925</v>
      </c>
      <c r="D10681" s="1">
        <v>12.518269</v>
      </c>
      <c r="E10681" s="1">
        <v>79.88801</v>
      </c>
      <c r="F10681" s="1">
        <v>2846.0</v>
      </c>
      <c r="G10681" s="1">
        <v>63.0</v>
      </c>
    </row>
    <row r="10682">
      <c r="A10682" s="1" t="s">
        <v>7</v>
      </c>
      <c r="B10682" s="2">
        <v>44743.0</v>
      </c>
      <c r="C10682" s="3">
        <v>0.30092592592592593</v>
      </c>
      <c r="D10682" s="1">
        <v>12.518054</v>
      </c>
      <c r="E10682" s="1">
        <v>79.88983</v>
      </c>
      <c r="F10682" s="1">
        <v>2846.0</v>
      </c>
      <c r="G10682" s="1">
        <v>60.0</v>
      </c>
    </row>
    <row r="10683">
      <c r="A10683" s="1" t="s">
        <v>10</v>
      </c>
      <c r="B10683" s="2">
        <v>44743.0</v>
      </c>
      <c r="C10683" s="3">
        <v>0.3009953703703704</v>
      </c>
      <c r="D10683" s="1">
        <v>13.068806</v>
      </c>
      <c r="E10683" s="1">
        <v>80.25609</v>
      </c>
      <c r="F10683" s="1">
        <v>805.0</v>
      </c>
      <c r="G10683" s="1">
        <v>27.0</v>
      </c>
    </row>
    <row r="10684">
      <c r="A10684" s="1" t="s">
        <v>7</v>
      </c>
      <c r="B10684" s="2">
        <v>44743.0</v>
      </c>
      <c r="C10684" s="3">
        <v>0.3010300925925926</v>
      </c>
      <c r="D10684" s="1">
        <v>12.517953</v>
      </c>
      <c r="E10684" s="1">
        <v>79.891338</v>
      </c>
      <c r="F10684" s="1">
        <v>2846.0</v>
      </c>
      <c r="G10684" s="1">
        <v>55.0</v>
      </c>
    </row>
    <row r="10685">
      <c r="A10685" s="1" t="s">
        <v>7</v>
      </c>
      <c r="B10685" s="2">
        <v>44743.0</v>
      </c>
      <c r="C10685" s="3">
        <v>0.3017476851851852</v>
      </c>
      <c r="D10685" s="1">
        <v>12.523451</v>
      </c>
      <c r="E10685" s="1">
        <v>79.896227</v>
      </c>
      <c r="F10685" s="1">
        <v>2846.0</v>
      </c>
      <c r="G10685" s="1">
        <v>57.0</v>
      </c>
    </row>
    <row r="10686">
      <c r="A10686" s="1" t="s">
        <v>8</v>
      </c>
      <c r="B10686" s="2">
        <v>44743.0</v>
      </c>
      <c r="C10686" s="3">
        <v>0.3017592592592593</v>
      </c>
      <c r="D10686" s="1">
        <v>13.068475</v>
      </c>
      <c r="E10686" s="1">
        <v>80.268829</v>
      </c>
      <c r="F10686" s="1">
        <v>5339.0</v>
      </c>
      <c r="G10686" s="1">
        <v>32.0</v>
      </c>
    </row>
    <row r="10687">
      <c r="A10687" s="1" t="s">
        <v>7</v>
      </c>
      <c r="B10687" s="2">
        <v>44743.0</v>
      </c>
      <c r="C10687" s="3">
        <v>0.3020023148148148</v>
      </c>
      <c r="D10687" s="1">
        <v>12.525059</v>
      </c>
      <c r="E10687" s="1">
        <v>79.896935</v>
      </c>
      <c r="F10687" s="1">
        <v>2846.0</v>
      </c>
      <c r="G10687" s="1">
        <v>58.0</v>
      </c>
    </row>
    <row r="10688">
      <c r="A10688" s="1" t="s">
        <v>10</v>
      </c>
      <c r="B10688" s="2">
        <v>44743.0</v>
      </c>
      <c r="C10688" s="3">
        <v>0.30314814814814817</v>
      </c>
      <c r="D10688" s="1">
        <v>13.065009</v>
      </c>
      <c r="E10688" s="1">
        <v>80.273864</v>
      </c>
      <c r="F10688" s="1">
        <v>5339.0</v>
      </c>
      <c r="G10688" s="1">
        <v>24.0</v>
      </c>
    </row>
    <row r="10689">
      <c r="A10689" s="1" t="s">
        <v>8</v>
      </c>
      <c r="B10689" s="2">
        <v>44743.0</v>
      </c>
      <c r="C10689" s="3">
        <v>0.30344907407407407</v>
      </c>
      <c r="D10689" s="1">
        <v>12.53673</v>
      </c>
      <c r="E10689" s="1">
        <v>79.902802</v>
      </c>
      <c r="F10689" s="1">
        <v>2846.0</v>
      </c>
      <c r="G10689" s="1">
        <v>58.0</v>
      </c>
    </row>
    <row r="10690">
      <c r="A10690" s="1" t="s">
        <v>10</v>
      </c>
      <c r="B10690" s="2">
        <v>44743.0</v>
      </c>
      <c r="C10690" s="3">
        <v>0.30461805555555554</v>
      </c>
      <c r="D10690" s="1">
        <v>13.060419</v>
      </c>
      <c r="E10690" s="1">
        <v>80.274301</v>
      </c>
      <c r="F10690" s="1">
        <v>5339.0</v>
      </c>
      <c r="G10690" s="1">
        <v>28.0</v>
      </c>
    </row>
    <row r="10691">
      <c r="A10691" s="1" t="s">
        <v>10</v>
      </c>
      <c r="B10691" s="2">
        <v>44743.0</v>
      </c>
      <c r="C10691" s="3">
        <v>0.30644675925925924</v>
      </c>
      <c r="D10691" s="1">
        <v>13.053664</v>
      </c>
      <c r="E10691" s="1">
        <v>80.273737</v>
      </c>
      <c r="F10691" s="1">
        <v>5339.0</v>
      </c>
      <c r="G10691" s="1">
        <v>13.0</v>
      </c>
    </row>
    <row r="10692">
      <c r="A10692" s="1" t="s">
        <v>10</v>
      </c>
      <c r="B10692" s="2">
        <v>44743.0</v>
      </c>
      <c r="C10692" s="3">
        <v>0.3078472222222222</v>
      </c>
      <c r="D10692" s="1">
        <v>13.053394</v>
      </c>
      <c r="E10692" s="1">
        <v>80.269851</v>
      </c>
      <c r="F10692" s="1">
        <v>5339.0</v>
      </c>
      <c r="G10692" s="1">
        <v>20.0</v>
      </c>
    </row>
    <row r="10693">
      <c r="A10693" s="1" t="s">
        <v>10</v>
      </c>
      <c r="B10693" s="2">
        <v>44743.0</v>
      </c>
      <c r="C10693" s="3">
        <v>0.3085300925925926</v>
      </c>
      <c r="D10693" s="1">
        <v>13.053532</v>
      </c>
      <c r="E10693" s="1">
        <v>80.268089</v>
      </c>
      <c r="F10693" s="1">
        <v>5339.0</v>
      </c>
      <c r="G10693" s="1">
        <v>17.0</v>
      </c>
    </row>
    <row r="10694">
      <c r="A10694" s="1" t="s">
        <v>10</v>
      </c>
      <c r="B10694" s="2">
        <v>44743.0</v>
      </c>
      <c r="C10694" s="3">
        <v>0.3089236111111111</v>
      </c>
      <c r="D10694" s="1">
        <v>13.056256</v>
      </c>
      <c r="E10694" s="1">
        <v>80.264672</v>
      </c>
      <c r="F10694" s="1">
        <v>805.0</v>
      </c>
      <c r="G10694" s="1">
        <v>24.0</v>
      </c>
    </row>
    <row r="10695">
      <c r="A10695" s="1" t="s">
        <v>10</v>
      </c>
      <c r="B10695" s="2">
        <v>44743.0</v>
      </c>
      <c r="C10695" s="3">
        <v>0.30953703703703705</v>
      </c>
      <c r="D10695" s="1">
        <v>13.053602</v>
      </c>
      <c r="E10695" s="1">
        <v>80.264029</v>
      </c>
      <c r="F10695" s="1">
        <v>805.0</v>
      </c>
      <c r="G10695" s="1">
        <v>20.0</v>
      </c>
    </row>
    <row r="10696">
      <c r="A10696" s="1" t="s">
        <v>8</v>
      </c>
      <c r="B10696" s="2">
        <v>44743.0</v>
      </c>
      <c r="C10696" s="3">
        <v>0.31113425925925925</v>
      </c>
      <c r="D10696" s="1">
        <v>13.05153</v>
      </c>
      <c r="E10696" s="1">
        <v>80.250305</v>
      </c>
      <c r="F10696" s="1">
        <v>5339.0</v>
      </c>
      <c r="G10696" s="1">
        <v>51.0</v>
      </c>
    </row>
    <row r="10697">
      <c r="A10697" s="1" t="s">
        <v>8</v>
      </c>
      <c r="B10697" s="2">
        <v>44743.0</v>
      </c>
      <c r="C10697" s="3">
        <v>0.31122685185185184</v>
      </c>
      <c r="D10697" s="1">
        <v>13.05153</v>
      </c>
      <c r="E10697" s="1">
        <v>80.250305</v>
      </c>
      <c r="F10697" s="1">
        <v>5339.0</v>
      </c>
      <c r="G10697" s="1">
        <v>51.0</v>
      </c>
    </row>
    <row r="10698">
      <c r="A10698" s="1" t="s">
        <v>7</v>
      </c>
      <c r="B10698" s="2">
        <v>44743.0</v>
      </c>
      <c r="C10698" s="3">
        <v>0.3125810185185185</v>
      </c>
      <c r="D10698" s="1">
        <v>13.04262</v>
      </c>
      <c r="E10698" s="1">
        <v>80.247653</v>
      </c>
      <c r="F10698" s="1">
        <v>5339.0</v>
      </c>
      <c r="G10698" s="1">
        <v>50.0</v>
      </c>
    </row>
    <row r="10699">
      <c r="A10699" s="1" t="s">
        <v>7</v>
      </c>
      <c r="B10699" s="2">
        <v>44743.0</v>
      </c>
      <c r="C10699" s="3">
        <v>0.3128009259259259</v>
      </c>
      <c r="D10699" s="1">
        <v>12.642754</v>
      </c>
      <c r="E10699" s="1">
        <v>79.937906</v>
      </c>
      <c r="F10699" s="1">
        <v>2846.0</v>
      </c>
      <c r="G10699" s="1">
        <v>58.0</v>
      </c>
    </row>
    <row r="10700">
      <c r="A10700" s="1" t="s">
        <v>10</v>
      </c>
      <c r="B10700" s="2">
        <v>44743.0</v>
      </c>
      <c r="C10700" s="3">
        <v>0.31353009259259257</v>
      </c>
      <c r="D10700" s="1">
        <v>13.036751</v>
      </c>
      <c r="E10700" s="1">
        <v>80.267756</v>
      </c>
      <c r="F10700" s="1">
        <v>805.0</v>
      </c>
      <c r="G10700" s="1">
        <v>18.0</v>
      </c>
    </row>
    <row r="10701">
      <c r="A10701" s="1" t="s">
        <v>10</v>
      </c>
      <c r="B10701" s="2">
        <v>44743.0</v>
      </c>
      <c r="C10701" s="3">
        <v>0.3138078703703704</v>
      </c>
      <c r="D10701" s="1">
        <v>13.035882</v>
      </c>
      <c r="E10701" s="1">
        <v>80.246241</v>
      </c>
      <c r="F10701" s="1">
        <v>5339.0</v>
      </c>
      <c r="G10701" s="1">
        <v>28.0</v>
      </c>
    </row>
    <row r="10702">
      <c r="A10702" s="1" t="s">
        <v>8</v>
      </c>
      <c r="B10702" s="2">
        <v>44743.0</v>
      </c>
      <c r="C10702" s="3">
        <v>0.3143518518518518</v>
      </c>
      <c r="D10702" s="1">
        <v>12.657922</v>
      </c>
      <c r="E10702" s="1">
        <v>79.945616</v>
      </c>
      <c r="F10702" s="1">
        <v>2846.0</v>
      </c>
      <c r="G10702" s="1">
        <v>57.0</v>
      </c>
    </row>
    <row r="10703">
      <c r="A10703" s="1" t="s">
        <v>10</v>
      </c>
      <c r="B10703" s="2">
        <v>44743.0</v>
      </c>
      <c r="C10703" s="3">
        <v>0.31444444444444447</v>
      </c>
      <c r="D10703" s="1">
        <v>13.033285</v>
      </c>
      <c r="E10703" s="1">
        <v>80.267792</v>
      </c>
      <c r="F10703" s="1">
        <v>805.0</v>
      </c>
      <c r="G10703" s="1">
        <v>27.0</v>
      </c>
    </row>
    <row r="10704">
      <c r="A10704" s="1" t="s">
        <v>9</v>
      </c>
      <c r="B10704" s="2">
        <v>44743.0</v>
      </c>
      <c r="C10704" s="3">
        <v>0.31482638888888886</v>
      </c>
      <c r="D10704" s="1">
        <v>12.65632</v>
      </c>
      <c r="E10704" s="1">
        <v>79.951177</v>
      </c>
      <c r="F10704" s="1">
        <v>2846.0</v>
      </c>
      <c r="G10704" s="1">
        <v>52.0</v>
      </c>
    </row>
    <row r="10705">
      <c r="A10705" s="1" t="s">
        <v>7</v>
      </c>
      <c r="B10705" s="2">
        <v>44743.0</v>
      </c>
      <c r="C10705" s="3">
        <v>0.3148726851851852</v>
      </c>
      <c r="D10705" s="1">
        <v>12.65632</v>
      </c>
      <c r="E10705" s="1">
        <v>79.951177</v>
      </c>
      <c r="F10705" s="1">
        <v>2846.0</v>
      </c>
      <c r="G10705" s="1">
        <v>52.0</v>
      </c>
    </row>
    <row r="10706">
      <c r="A10706" s="1" t="s">
        <v>7</v>
      </c>
      <c r="B10706" s="2">
        <v>44743.0</v>
      </c>
      <c r="C10706" s="3">
        <v>0.3150115740740741</v>
      </c>
      <c r="D10706" s="1">
        <v>13.033562</v>
      </c>
      <c r="E10706" s="1">
        <v>80.244198</v>
      </c>
      <c r="F10706" s="1">
        <v>5339.0</v>
      </c>
      <c r="G10706" s="1">
        <v>53.0</v>
      </c>
    </row>
    <row r="10707">
      <c r="A10707" s="1" t="s">
        <v>7</v>
      </c>
      <c r="B10707" s="2">
        <v>44743.0</v>
      </c>
      <c r="C10707" s="3">
        <v>0.3151388888888889</v>
      </c>
      <c r="D10707" s="1">
        <v>13.032765</v>
      </c>
      <c r="E10707" s="1">
        <v>80.243154</v>
      </c>
      <c r="F10707" s="1">
        <v>5339.0</v>
      </c>
      <c r="G10707" s="1">
        <v>51.0</v>
      </c>
    </row>
    <row r="10708">
      <c r="A10708" s="1" t="s">
        <v>7</v>
      </c>
      <c r="B10708" s="2">
        <v>44743.0</v>
      </c>
      <c r="C10708" s="3">
        <v>0.31527777777777777</v>
      </c>
      <c r="D10708" s="1">
        <v>12.657155</v>
      </c>
      <c r="E10708" s="1">
        <v>79.956658</v>
      </c>
      <c r="F10708" s="1">
        <v>2846.0</v>
      </c>
      <c r="G10708" s="1">
        <v>57.0</v>
      </c>
    </row>
    <row r="10709">
      <c r="A10709" s="1" t="s">
        <v>7</v>
      </c>
      <c r="B10709" s="2">
        <v>44743.0</v>
      </c>
      <c r="C10709" s="3">
        <v>0.3153472222222222</v>
      </c>
      <c r="D10709" s="1">
        <v>12.657155</v>
      </c>
      <c r="E10709" s="1">
        <v>79.956658</v>
      </c>
      <c r="F10709" s="1">
        <v>2846.0</v>
      </c>
      <c r="G10709" s="1">
        <v>57.0</v>
      </c>
    </row>
    <row r="10710">
      <c r="A10710" s="1" t="s">
        <v>8</v>
      </c>
      <c r="B10710" s="2">
        <v>44743.0</v>
      </c>
      <c r="C10710" s="3">
        <v>0.31583333333333335</v>
      </c>
      <c r="D10710" s="1">
        <v>13.033562</v>
      </c>
      <c r="E10710" s="1">
        <v>80.244198</v>
      </c>
      <c r="F10710" s="1">
        <v>5339.0</v>
      </c>
      <c r="G10710" s="1">
        <v>53.0</v>
      </c>
    </row>
    <row r="10711">
      <c r="A10711" s="1" t="s">
        <v>7</v>
      </c>
      <c r="B10711" s="2">
        <v>44743.0</v>
      </c>
      <c r="C10711" s="3">
        <v>0.316087962962963</v>
      </c>
      <c r="D10711" s="1">
        <v>12.659422</v>
      </c>
      <c r="E10711" s="1">
        <v>79.963062</v>
      </c>
      <c r="F10711" s="1">
        <v>2846.0</v>
      </c>
      <c r="G10711" s="1">
        <v>53.0</v>
      </c>
    </row>
    <row r="10712">
      <c r="A10712" s="1" t="s">
        <v>8</v>
      </c>
      <c r="B10712" s="2">
        <v>44743.0</v>
      </c>
      <c r="C10712" s="3">
        <v>0.3163425925925926</v>
      </c>
      <c r="D10712" s="1">
        <v>13.028005</v>
      </c>
      <c r="E10712" s="1">
        <v>80.235513</v>
      </c>
      <c r="F10712" s="1">
        <v>5339.0</v>
      </c>
      <c r="G10712" s="1">
        <v>55.0</v>
      </c>
    </row>
    <row r="10713">
      <c r="A10713" s="1" t="s">
        <v>8</v>
      </c>
      <c r="B10713" s="2">
        <v>44743.0</v>
      </c>
      <c r="C10713" s="3">
        <v>0.3163888888888889</v>
      </c>
      <c r="D10713" s="1">
        <v>13.028005</v>
      </c>
      <c r="E10713" s="1">
        <v>80.235513</v>
      </c>
      <c r="F10713" s="1">
        <v>5339.0</v>
      </c>
      <c r="G10713" s="1">
        <v>55.0</v>
      </c>
    </row>
    <row r="10714">
      <c r="A10714" s="1" t="s">
        <v>10</v>
      </c>
      <c r="B10714" s="2">
        <v>44743.0</v>
      </c>
      <c r="C10714" s="3">
        <v>0.3165046296296296</v>
      </c>
      <c r="D10714" s="1">
        <v>12.659422</v>
      </c>
      <c r="E10714" s="1">
        <v>79.963062</v>
      </c>
      <c r="F10714" s="1">
        <v>2846.0</v>
      </c>
      <c r="G10714" s="1">
        <v>53.0</v>
      </c>
    </row>
    <row r="10715">
      <c r="A10715" s="1" t="s">
        <v>8</v>
      </c>
      <c r="B10715" s="2">
        <v>44743.0</v>
      </c>
      <c r="C10715" s="3">
        <v>0.31702546296296297</v>
      </c>
      <c r="D10715" s="1">
        <v>13.026168</v>
      </c>
      <c r="E10715" s="1">
        <v>80.232169</v>
      </c>
      <c r="F10715" s="1">
        <v>5339.0</v>
      </c>
      <c r="G10715" s="1">
        <v>40.0</v>
      </c>
    </row>
    <row r="10716">
      <c r="A10716" s="1" t="s">
        <v>7</v>
      </c>
      <c r="B10716" s="2">
        <v>44743.0</v>
      </c>
      <c r="C10716" s="3">
        <v>0.31710648148148146</v>
      </c>
      <c r="D10716" s="1">
        <v>12.66267</v>
      </c>
      <c r="E10716" s="1">
        <v>79.967609</v>
      </c>
      <c r="F10716" s="1">
        <v>2846.0</v>
      </c>
      <c r="G10716" s="1">
        <v>47.0</v>
      </c>
    </row>
    <row r="10717">
      <c r="A10717" s="1" t="s">
        <v>7</v>
      </c>
      <c r="B10717" s="2">
        <v>44743.0</v>
      </c>
      <c r="C10717" s="3">
        <v>0.31747685185185187</v>
      </c>
      <c r="D10717" s="1">
        <v>12.667861</v>
      </c>
      <c r="E10717" s="1">
        <v>79.972439</v>
      </c>
      <c r="F10717" s="1">
        <v>2846.0</v>
      </c>
      <c r="G10717" s="1">
        <v>58.0</v>
      </c>
    </row>
    <row r="10718">
      <c r="A10718" s="1" t="s">
        <v>7</v>
      </c>
      <c r="B10718" s="2">
        <v>44743.0</v>
      </c>
      <c r="C10718" s="3">
        <v>0.3178587962962963</v>
      </c>
      <c r="D10718" s="1">
        <v>12.671912</v>
      </c>
      <c r="E10718" s="1">
        <v>79.976167</v>
      </c>
      <c r="F10718" s="1">
        <v>2846.0</v>
      </c>
      <c r="G10718" s="1">
        <v>45.0</v>
      </c>
    </row>
    <row r="10719">
      <c r="A10719" s="1" t="s">
        <v>10</v>
      </c>
      <c r="B10719" s="2">
        <v>44743.0</v>
      </c>
      <c r="C10719" s="3">
        <v>0.3178587962962963</v>
      </c>
      <c r="D10719" s="1">
        <v>13.024641</v>
      </c>
      <c r="E10719" s="1">
        <v>80.229112</v>
      </c>
      <c r="F10719" s="1">
        <v>5339.0</v>
      </c>
      <c r="G10719" s="1">
        <v>4.0</v>
      </c>
    </row>
    <row r="10720">
      <c r="A10720" s="1" t="s">
        <v>8</v>
      </c>
      <c r="B10720" s="2">
        <v>44743.0</v>
      </c>
      <c r="C10720" s="3">
        <v>0.3182175925925926</v>
      </c>
      <c r="D10720" s="1">
        <v>13.022931</v>
      </c>
      <c r="E10720" s="1">
        <v>80.227109</v>
      </c>
      <c r="F10720" s="1">
        <v>5339.0</v>
      </c>
      <c r="G10720" s="1">
        <v>45.0</v>
      </c>
    </row>
    <row r="10721">
      <c r="A10721" s="1" t="s">
        <v>9</v>
      </c>
      <c r="B10721" s="2">
        <v>44743.0</v>
      </c>
      <c r="C10721" s="3">
        <v>0.31828703703703703</v>
      </c>
      <c r="D10721" s="1">
        <v>13.022931</v>
      </c>
      <c r="E10721" s="1">
        <v>80.227109</v>
      </c>
      <c r="F10721" s="1">
        <v>5339.0</v>
      </c>
      <c r="G10721" s="1">
        <v>45.0</v>
      </c>
    </row>
    <row r="10722">
      <c r="A10722" s="1" t="s">
        <v>8</v>
      </c>
      <c r="B10722" s="2">
        <v>44743.0</v>
      </c>
      <c r="C10722" s="3">
        <v>0.31871527777777775</v>
      </c>
      <c r="D10722" s="1">
        <v>13.019396</v>
      </c>
      <c r="E10722" s="1">
        <v>80.224495</v>
      </c>
      <c r="F10722" s="1">
        <v>5339.0</v>
      </c>
      <c r="G10722" s="1">
        <v>47.0</v>
      </c>
    </row>
    <row r="10723">
      <c r="A10723" s="1" t="s">
        <v>8</v>
      </c>
      <c r="B10723" s="2">
        <v>44743.0</v>
      </c>
      <c r="C10723" s="3">
        <v>0.3188773148148148</v>
      </c>
      <c r="D10723" s="1">
        <v>13.017263</v>
      </c>
      <c r="E10723" s="1">
        <v>80.225154</v>
      </c>
      <c r="F10723" s="1">
        <v>5339.0</v>
      </c>
      <c r="G10723" s="1">
        <v>42.0</v>
      </c>
    </row>
    <row r="10724">
      <c r="A10724" s="1" t="s">
        <v>8</v>
      </c>
      <c r="B10724" s="2">
        <v>44743.0</v>
      </c>
      <c r="C10724" s="3">
        <v>0.31935185185185183</v>
      </c>
      <c r="D10724" s="1">
        <v>13.014651</v>
      </c>
      <c r="E10724" s="1">
        <v>80.226112</v>
      </c>
      <c r="F10724" s="1">
        <v>5339.0</v>
      </c>
      <c r="G10724" s="1">
        <v>27.0</v>
      </c>
    </row>
    <row r="10725">
      <c r="A10725" s="1" t="s">
        <v>8</v>
      </c>
      <c r="B10725" s="2">
        <v>44743.0</v>
      </c>
      <c r="C10725" s="3">
        <v>0.3193634259259259</v>
      </c>
      <c r="D10725" s="1">
        <v>13.014651</v>
      </c>
      <c r="E10725" s="1">
        <v>80.226112</v>
      </c>
      <c r="F10725" s="1">
        <v>5339.0</v>
      </c>
      <c r="G10725" s="1">
        <v>27.0</v>
      </c>
    </row>
    <row r="10726">
      <c r="A10726" s="1" t="s">
        <v>8</v>
      </c>
      <c r="B10726" s="2">
        <v>44743.0</v>
      </c>
      <c r="C10726" s="3">
        <v>0.31952546296296297</v>
      </c>
      <c r="D10726" s="1">
        <v>13.013928</v>
      </c>
      <c r="E10726" s="1">
        <v>80.226393</v>
      </c>
      <c r="F10726" s="1">
        <v>5339.0</v>
      </c>
      <c r="G10726" s="1">
        <v>35.0</v>
      </c>
    </row>
    <row r="10727">
      <c r="A10727" s="1" t="s">
        <v>8</v>
      </c>
      <c r="B10727" s="2">
        <v>44743.0</v>
      </c>
      <c r="C10727" s="3">
        <v>0.3196412037037037</v>
      </c>
      <c r="D10727" s="1">
        <v>12.680722</v>
      </c>
      <c r="E10727" s="1">
        <v>79.981294</v>
      </c>
      <c r="F10727" s="1">
        <v>2846.0</v>
      </c>
      <c r="G10727" s="1">
        <v>40.0</v>
      </c>
    </row>
    <row r="10728">
      <c r="A10728" s="1" t="s">
        <v>8</v>
      </c>
      <c r="B10728" s="2">
        <v>44743.0</v>
      </c>
      <c r="C10728" s="3">
        <v>0.3208449074074074</v>
      </c>
      <c r="D10728" s="1">
        <v>13.011451</v>
      </c>
      <c r="E10728" s="1">
        <v>80.22313</v>
      </c>
      <c r="F10728" s="1">
        <v>5339.0</v>
      </c>
      <c r="G10728" s="1">
        <v>33.0</v>
      </c>
    </row>
    <row r="10729">
      <c r="A10729" s="1" t="s">
        <v>8</v>
      </c>
      <c r="B10729" s="2">
        <v>44743.0</v>
      </c>
      <c r="C10729" s="3">
        <v>0.3211111111111111</v>
      </c>
      <c r="D10729" s="1">
        <v>13.011806</v>
      </c>
      <c r="E10729" s="1">
        <v>80.222227</v>
      </c>
      <c r="F10729" s="1">
        <v>5339.0</v>
      </c>
      <c r="G10729" s="1">
        <v>34.0</v>
      </c>
    </row>
    <row r="10730">
      <c r="A10730" s="1" t="s">
        <v>8</v>
      </c>
      <c r="B10730" s="2">
        <v>44743.0</v>
      </c>
      <c r="C10730" s="3">
        <v>0.32121527777777775</v>
      </c>
      <c r="D10730" s="1">
        <v>13.011987</v>
      </c>
      <c r="E10730" s="1">
        <v>80.220644</v>
      </c>
      <c r="F10730" s="1">
        <v>5339.0</v>
      </c>
      <c r="G10730" s="1">
        <v>36.0</v>
      </c>
    </row>
    <row r="10731">
      <c r="A10731" s="1" t="s">
        <v>8</v>
      </c>
      <c r="B10731" s="2">
        <v>44743.0</v>
      </c>
      <c r="C10731" s="3">
        <v>0.32133101851851853</v>
      </c>
      <c r="D10731" s="1">
        <v>13.011712</v>
      </c>
      <c r="E10731" s="1">
        <v>80.219693</v>
      </c>
      <c r="F10731" s="1">
        <v>5339.0</v>
      </c>
      <c r="G10731" s="1">
        <v>39.0</v>
      </c>
    </row>
    <row r="10732">
      <c r="A10732" s="1" t="s">
        <v>8</v>
      </c>
      <c r="B10732" s="2">
        <v>44743.0</v>
      </c>
      <c r="C10732" s="3">
        <v>0.321875</v>
      </c>
      <c r="D10732" s="1">
        <v>13.010165</v>
      </c>
      <c r="E10732" s="1">
        <v>80.215432</v>
      </c>
      <c r="F10732" s="1">
        <v>5339.0</v>
      </c>
      <c r="G10732" s="1">
        <v>47.0</v>
      </c>
    </row>
    <row r="10733">
      <c r="A10733" s="1" t="s">
        <v>8</v>
      </c>
      <c r="B10733" s="2">
        <v>44743.0</v>
      </c>
      <c r="C10733" s="3">
        <v>0.3219675925925926</v>
      </c>
      <c r="D10733" s="1">
        <v>13.009916</v>
      </c>
      <c r="E10733" s="1">
        <v>80.214235</v>
      </c>
      <c r="F10733" s="1">
        <v>5339.0</v>
      </c>
      <c r="G10733" s="1">
        <v>48.0</v>
      </c>
    </row>
    <row r="10734">
      <c r="A10734" s="1" t="s">
        <v>10</v>
      </c>
      <c r="B10734" s="2">
        <v>44743.0</v>
      </c>
      <c r="C10734" s="3">
        <v>0.32208333333333333</v>
      </c>
      <c r="D10734" s="1">
        <v>12.690696</v>
      </c>
      <c r="E10734" s="1">
        <v>79.980635</v>
      </c>
      <c r="F10734" s="1">
        <v>2846.0</v>
      </c>
      <c r="G10734" s="1">
        <v>0.0</v>
      </c>
    </row>
    <row r="10735">
      <c r="A10735" s="1" t="s">
        <v>8</v>
      </c>
      <c r="B10735" s="2">
        <v>44743.0</v>
      </c>
      <c r="C10735" s="3">
        <v>0.3221527777777778</v>
      </c>
      <c r="D10735" s="1">
        <v>13.009017</v>
      </c>
      <c r="E10735" s="1">
        <v>80.211966</v>
      </c>
      <c r="F10735" s="1">
        <v>5339.0</v>
      </c>
      <c r="G10735" s="1">
        <v>43.0</v>
      </c>
    </row>
    <row r="10736">
      <c r="A10736" s="1" t="s">
        <v>7</v>
      </c>
      <c r="B10736" s="2">
        <v>44743.0</v>
      </c>
      <c r="C10736" s="3">
        <v>0.3224074074074074</v>
      </c>
      <c r="D10736" s="1">
        <v>13.008264</v>
      </c>
      <c r="E10736" s="1">
        <v>80.209878</v>
      </c>
      <c r="F10736" s="1">
        <v>5339.0</v>
      </c>
      <c r="G10736" s="1">
        <v>51.0</v>
      </c>
    </row>
    <row r="10737">
      <c r="A10737" s="1" t="s">
        <v>8</v>
      </c>
      <c r="B10737" s="2">
        <v>44743.0</v>
      </c>
      <c r="C10737" s="3">
        <v>0.32255787037037037</v>
      </c>
      <c r="D10737" s="1">
        <v>13.007983</v>
      </c>
      <c r="E10737" s="1">
        <v>80.208514</v>
      </c>
      <c r="F10737" s="1">
        <v>5339.0</v>
      </c>
      <c r="G10737" s="1">
        <v>55.0</v>
      </c>
    </row>
    <row r="10738">
      <c r="A10738" s="1" t="s">
        <v>9</v>
      </c>
      <c r="B10738" s="2">
        <v>44743.0</v>
      </c>
      <c r="C10738" s="3">
        <v>0.3234722222222222</v>
      </c>
      <c r="D10738" s="1">
        <v>13.00361</v>
      </c>
      <c r="E10738" s="1">
        <v>80.200919</v>
      </c>
      <c r="F10738" s="1">
        <v>5339.0</v>
      </c>
      <c r="G10738" s="1">
        <v>51.0</v>
      </c>
    </row>
    <row r="10739">
      <c r="A10739" s="1" t="s">
        <v>7</v>
      </c>
      <c r="B10739" s="2">
        <v>44743.0</v>
      </c>
      <c r="C10739" s="3">
        <v>0.3237847222222222</v>
      </c>
      <c r="D10739" s="1">
        <v>13.001865</v>
      </c>
      <c r="E10739" s="1">
        <v>80.198273</v>
      </c>
      <c r="F10739" s="1">
        <v>5339.0</v>
      </c>
      <c r="G10739" s="1">
        <v>52.0</v>
      </c>
    </row>
    <row r="10740">
      <c r="A10740" s="1" t="s">
        <v>8</v>
      </c>
      <c r="B10740" s="2">
        <v>44743.0</v>
      </c>
      <c r="C10740" s="3">
        <v>0.3238773148148148</v>
      </c>
      <c r="D10740" s="1">
        <v>12.69765</v>
      </c>
      <c r="E10740" s="1">
        <v>79.976323</v>
      </c>
      <c r="F10740" s="1">
        <v>2846.0</v>
      </c>
      <c r="G10740" s="1">
        <v>20.0</v>
      </c>
    </row>
    <row r="10741">
      <c r="A10741" s="1" t="s">
        <v>8</v>
      </c>
      <c r="B10741" s="2">
        <v>44743.0</v>
      </c>
      <c r="C10741" s="3">
        <v>0.3242361111111111</v>
      </c>
      <c r="D10741" s="1">
        <v>13.000674</v>
      </c>
      <c r="E10741" s="1">
        <v>80.195147</v>
      </c>
      <c r="F10741" s="1">
        <v>5339.0</v>
      </c>
      <c r="G10741" s="1">
        <v>40.0</v>
      </c>
    </row>
    <row r="10742">
      <c r="A10742" s="1" t="s">
        <v>8</v>
      </c>
      <c r="B10742" s="2">
        <v>44743.0</v>
      </c>
      <c r="C10742" s="3">
        <v>0.3245138888888889</v>
      </c>
      <c r="D10742" s="1">
        <v>12.999304</v>
      </c>
      <c r="E10742" s="1">
        <v>80.193412</v>
      </c>
      <c r="F10742" s="1">
        <v>5339.0</v>
      </c>
      <c r="G10742" s="1">
        <v>44.0</v>
      </c>
    </row>
    <row r="10743">
      <c r="A10743" s="1" t="s">
        <v>8</v>
      </c>
      <c r="B10743" s="2">
        <v>44743.0</v>
      </c>
      <c r="C10743" s="3">
        <v>0.3253009259259259</v>
      </c>
      <c r="D10743" s="1">
        <v>13.00651</v>
      </c>
      <c r="E10743" s="1">
        <v>80.25438</v>
      </c>
      <c r="F10743" s="1">
        <v>805.0</v>
      </c>
      <c r="G10743" s="1">
        <v>48.0</v>
      </c>
    </row>
    <row r="10744">
      <c r="A10744" s="1" t="s">
        <v>8</v>
      </c>
      <c r="B10744" s="2">
        <v>44743.0</v>
      </c>
      <c r="C10744" s="3">
        <v>0.3254513888888889</v>
      </c>
      <c r="D10744" s="1">
        <v>12.698294</v>
      </c>
      <c r="E10744" s="1">
        <v>79.970462</v>
      </c>
      <c r="F10744" s="1">
        <v>2846.0</v>
      </c>
      <c r="G10744" s="1">
        <v>40.0</v>
      </c>
    </row>
    <row r="10745">
      <c r="A10745" s="1" t="s">
        <v>7</v>
      </c>
      <c r="B10745" s="2">
        <v>44743.0</v>
      </c>
      <c r="C10745" s="3">
        <v>0.32564814814814813</v>
      </c>
      <c r="D10745" s="1">
        <v>12.994912</v>
      </c>
      <c r="E10745" s="1">
        <v>80.187354</v>
      </c>
      <c r="F10745" s="1">
        <v>5339.0</v>
      </c>
      <c r="G10745" s="1">
        <v>57.0</v>
      </c>
    </row>
    <row r="10746">
      <c r="A10746" s="1" t="s">
        <v>8</v>
      </c>
      <c r="B10746" s="2">
        <v>44743.0</v>
      </c>
      <c r="C10746" s="3">
        <v>0.3258449074074074</v>
      </c>
      <c r="D10746" s="1">
        <v>13.006569</v>
      </c>
      <c r="E10746" s="1">
        <v>80.251704</v>
      </c>
      <c r="F10746" s="1">
        <v>805.0</v>
      </c>
      <c r="G10746" s="1">
        <v>19.0</v>
      </c>
    </row>
    <row r="10747">
      <c r="A10747" s="1" t="s">
        <v>8</v>
      </c>
      <c r="B10747" s="2">
        <v>44743.0</v>
      </c>
      <c r="C10747" s="3">
        <v>0.32663194444444443</v>
      </c>
      <c r="D10747" s="1">
        <v>12.993453</v>
      </c>
      <c r="E10747" s="1">
        <v>80.184609</v>
      </c>
      <c r="F10747" s="1">
        <v>5339.0</v>
      </c>
      <c r="G10747" s="1">
        <v>41.0</v>
      </c>
    </row>
    <row r="10748">
      <c r="A10748" s="1" t="s">
        <v>7</v>
      </c>
      <c r="B10748" s="2">
        <v>44743.0</v>
      </c>
      <c r="C10748" s="3">
        <v>0.32734953703703706</v>
      </c>
      <c r="D10748" s="1">
        <v>12.705926</v>
      </c>
      <c r="E10748" s="1">
        <v>79.974914</v>
      </c>
      <c r="F10748" s="1">
        <v>2846.0</v>
      </c>
      <c r="G10748" s="1">
        <v>58.0</v>
      </c>
    </row>
    <row r="10749">
      <c r="A10749" s="1" t="s">
        <v>7</v>
      </c>
      <c r="B10749" s="2">
        <v>44743.0</v>
      </c>
      <c r="C10749" s="3">
        <v>0.3274074074074074</v>
      </c>
      <c r="D10749" s="1">
        <v>12.987598</v>
      </c>
      <c r="E10749" s="1">
        <v>80.17638</v>
      </c>
      <c r="F10749" s="1">
        <v>5339.0</v>
      </c>
      <c r="G10749" s="1">
        <v>58.0</v>
      </c>
    </row>
    <row r="10750">
      <c r="A10750" s="1" t="s">
        <v>7</v>
      </c>
      <c r="B10750" s="2">
        <v>44743.0</v>
      </c>
      <c r="C10750" s="3">
        <v>0.32753472222222224</v>
      </c>
      <c r="D10750" s="1">
        <v>12.986705</v>
      </c>
      <c r="E10750" s="1">
        <v>80.175199</v>
      </c>
      <c r="F10750" s="1">
        <v>5339.0</v>
      </c>
      <c r="G10750" s="1">
        <v>58.0</v>
      </c>
    </row>
    <row r="10751">
      <c r="A10751" s="1" t="s">
        <v>8</v>
      </c>
      <c r="B10751" s="2">
        <v>44743.0</v>
      </c>
      <c r="C10751" s="3">
        <v>0.32774305555555555</v>
      </c>
      <c r="D10751" s="1">
        <v>12.985041</v>
      </c>
      <c r="E10751" s="1">
        <v>80.17274</v>
      </c>
      <c r="F10751" s="1">
        <v>5339.0</v>
      </c>
      <c r="G10751" s="1">
        <v>57.0</v>
      </c>
    </row>
    <row r="10752">
      <c r="A10752" s="1" t="s">
        <v>7</v>
      </c>
      <c r="B10752" s="2">
        <v>44743.0</v>
      </c>
      <c r="C10752" s="3">
        <v>0.3278935185185185</v>
      </c>
      <c r="D10752" s="1">
        <v>12.9843</v>
      </c>
      <c r="E10752" s="1">
        <v>80.171565</v>
      </c>
      <c r="F10752" s="1">
        <v>5339.0</v>
      </c>
      <c r="G10752" s="1">
        <v>48.0</v>
      </c>
    </row>
    <row r="10753">
      <c r="A10753" s="1" t="s">
        <v>8</v>
      </c>
      <c r="B10753" s="2">
        <v>44743.0</v>
      </c>
      <c r="C10753" s="3">
        <v>0.32806712962962964</v>
      </c>
      <c r="D10753" s="1">
        <v>13.006663</v>
      </c>
      <c r="E10753" s="1">
        <v>80.245656</v>
      </c>
      <c r="F10753" s="1">
        <v>805.0</v>
      </c>
      <c r="G10753" s="1">
        <v>27.0</v>
      </c>
    </row>
    <row r="10754">
      <c r="A10754" s="1" t="s">
        <v>7</v>
      </c>
      <c r="B10754" s="2">
        <v>44743.0</v>
      </c>
      <c r="C10754" s="3">
        <v>0.3280787037037037</v>
      </c>
      <c r="D10754" s="1">
        <v>12.982895</v>
      </c>
      <c r="E10754" s="1">
        <v>80.169272</v>
      </c>
      <c r="F10754" s="1">
        <v>5339.0</v>
      </c>
      <c r="G10754" s="1">
        <v>56.0</v>
      </c>
    </row>
    <row r="10755">
      <c r="A10755" s="1" t="s">
        <v>8</v>
      </c>
      <c r="B10755" s="2">
        <v>44743.0</v>
      </c>
      <c r="C10755" s="3">
        <v>0.3280902777777778</v>
      </c>
      <c r="D10755" s="1">
        <v>13.006641</v>
      </c>
      <c r="E10755" s="1">
        <v>80.244578</v>
      </c>
      <c r="F10755" s="1">
        <v>805.0</v>
      </c>
      <c r="G10755" s="1">
        <v>24.0</v>
      </c>
    </row>
    <row r="10756">
      <c r="A10756" s="1" t="s">
        <v>7</v>
      </c>
      <c r="B10756" s="2">
        <v>44743.0</v>
      </c>
      <c r="C10756" s="3">
        <v>0.32818287037037036</v>
      </c>
      <c r="D10756" s="1">
        <v>12.982158</v>
      </c>
      <c r="E10756" s="1">
        <v>80.167985</v>
      </c>
      <c r="F10756" s="1">
        <v>5339.0</v>
      </c>
      <c r="G10756" s="1">
        <v>56.0</v>
      </c>
    </row>
    <row r="10757">
      <c r="A10757" s="1" t="s">
        <v>7</v>
      </c>
      <c r="B10757" s="2">
        <v>44743.0</v>
      </c>
      <c r="C10757" s="3">
        <v>0.32851851851851854</v>
      </c>
      <c r="D10757" s="1">
        <v>13.006594</v>
      </c>
      <c r="E10757" s="1">
        <v>80.242576</v>
      </c>
      <c r="F10757" s="1">
        <v>805.0</v>
      </c>
      <c r="G10757" s="1">
        <v>34.0</v>
      </c>
    </row>
    <row r="10758">
      <c r="A10758" s="1" t="s">
        <v>8</v>
      </c>
      <c r="B10758" s="2">
        <v>44743.0</v>
      </c>
      <c r="C10758" s="3">
        <v>0.3285532407407407</v>
      </c>
      <c r="D10758" s="1">
        <v>12.980228</v>
      </c>
      <c r="E10758" s="1">
        <v>80.164183</v>
      </c>
      <c r="F10758" s="1">
        <v>5339.0</v>
      </c>
      <c r="G10758" s="1">
        <v>52.0</v>
      </c>
    </row>
    <row r="10759">
      <c r="A10759" s="1" t="s">
        <v>8</v>
      </c>
      <c r="B10759" s="2">
        <v>44743.0</v>
      </c>
      <c r="C10759" s="3">
        <v>0.32861111111111113</v>
      </c>
      <c r="D10759" s="1">
        <v>12.979903</v>
      </c>
      <c r="E10759" s="1">
        <v>80.163072</v>
      </c>
      <c r="F10759" s="1">
        <v>5339.0</v>
      </c>
      <c r="G10759" s="1">
        <v>36.0</v>
      </c>
    </row>
    <row r="10760">
      <c r="A10760" s="1" t="s">
        <v>7</v>
      </c>
      <c r="B10760" s="2">
        <v>44743.0</v>
      </c>
      <c r="C10760" s="3">
        <v>0.32886574074074076</v>
      </c>
      <c r="D10760" s="1">
        <v>12.97945</v>
      </c>
      <c r="E10760" s="1">
        <v>80.162199</v>
      </c>
      <c r="F10760" s="1">
        <v>5339.0</v>
      </c>
      <c r="G10760" s="1">
        <v>42.0</v>
      </c>
    </row>
    <row r="10761">
      <c r="A10761" s="1" t="s">
        <v>7</v>
      </c>
      <c r="B10761" s="2">
        <v>44743.0</v>
      </c>
      <c r="C10761" s="3">
        <v>0.3290625</v>
      </c>
      <c r="D10761" s="1">
        <v>12.977933</v>
      </c>
      <c r="E10761" s="1">
        <v>80.160051</v>
      </c>
      <c r="F10761" s="1">
        <v>5339.0</v>
      </c>
      <c r="G10761" s="1">
        <v>55.0</v>
      </c>
    </row>
    <row r="10762">
      <c r="A10762" s="1" t="s">
        <v>8</v>
      </c>
      <c r="B10762" s="2">
        <v>44743.0</v>
      </c>
      <c r="C10762" s="3">
        <v>0.329224537037037</v>
      </c>
      <c r="D10762" s="1">
        <v>12.724509</v>
      </c>
      <c r="E10762" s="1">
        <v>79.981826</v>
      </c>
      <c r="F10762" s="1">
        <v>2846.0</v>
      </c>
      <c r="G10762" s="1">
        <v>27.0</v>
      </c>
    </row>
    <row r="10763">
      <c r="A10763" s="1" t="s">
        <v>8</v>
      </c>
      <c r="B10763" s="2">
        <v>44743.0</v>
      </c>
      <c r="C10763" s="3">
        <v>0.3292361111111111</v>
      </c>
      <c r="D10763" s="1">
        <v>12.976341</v>
      </c>
      <c r="E10763" s="1">
        <v>80.157653</v>
      </c>
      <c r="F10763" s="1">
        <v>5339.0</v>
      </c>
      <c r="G10763" s="1">
        <v>55.0</v>
      </c>
    </row>
    <row r="10764">
      <c r="A10764" s="1" t="s">
        <v>8</v>
      </c>
      <c r="B10764" s="2">
        <v>44743.0</v>
      </c>
      <c r="C10764" s="3">
        <v>0.3292824074074074</v>
      </c>
      <c r="D10764" s="1">
        <v>13.006854</v>
      </c>
      <c r="E10764" s="1">
        <v>80.23984</v>
      </c>
      <c r="F10764" s="1">
        <v>805.0</v>
      </c>
      <c r="G10764" s="1">
        <v>26.0</v>
      </c>
    </row>
    <row r="10765">
      <c r="A10765" s="1" t="s">
        <v>8</v>
      </c>
      <c r="B10765" s="2">
        <v>44743.0</v>
      </c>
      <c r="C10765" s="3">
        <v>0.3292824074074074</v>
      </c>
      <c r="D10765" s="1">
        <v>12.976341</v>
      </c>
      <c r="E10765" s="1">
        <v>80.157653</v>
      </c>
      <c r="F10765" s="1">
        <v>5339.0</v>
      </c>
      <c r="G10765" s="1">
        <v>55.0</v>
      </c>
    </row>
    <row r="10766">
      <c r="A10766" s="1" t="s">
        <v>8</v>
      </c>
      <c r="B10766" s="2">
        <v>44743.0</v>
      </c>
      <c r="C10766" s="3">
        <v>0.3293055555555556</v>
      </c>
      <c r="D10766" s="1">
        <v>12.97561</v>
      </c>
      <c r="E10766" s="1">
        <v>80.156559</v>
      </c>
      <c r="F10766" s="1">
        <v>5339.0</v>
      </c>
      <c r="G10766" s="1">
        <v>46.0</v>
      </c>
    </row>
    <row r="10767">
      <c r="A10767" s="1" t="s">
        <v>8</v>
      </c>
      <c r="B10767" s="2">
        <v>44743.0</v>
      </c>
      <c r="C10767" s="3">
        <v>0.3294560185185185</v>
      </c>
      <c r="D10767" s="1">
        <v>12.975004</v>
      </c>
      <c r="E10767" s="1">
        <v>80.155698</v>
      </c>
      <c r="F10767" s="1">
        <v>5339.0</v>
      </c>
      <c r="G10767" s="1">
        <v>37.0</v>
      </c>
    </row>
    <row r="10768">
      <c r="A10768" s="1" t="s">
        <v>8</v>
      </c>
      <c r="B10768" s="2">
        <v>44743.0</v>
      </c>
      <c r="C10768" s="3">
        <v>0.32966435185185183</v>
      </c>
      <c r="D10768" s="1">
        <v>13.007456</v>
      </c>
      <c r="E10768" s="1">
        <v>80.237029</v>
      </c>
      <c r="F10768" s="1">
        <v>805.0</v>
      </c>
      <c r="G10768" s="1">
        <v>40.0</v>
      </c>
    </row>
    <row r="10769">
      <c r="A10769" s="1" t="s">
        <v>8</v>
      </c>
      <c r="B10769" s="2">
        <v>44743.0</v>
      </c>
      <c r="C10769" s="3">
        <v>0.3296875</v>
      </c>
      <c r="D10769" s="1">
        <v>12.974077</v>
      </c>
      <c r="E10769" s="1">
        <v>80.154355</v>
      </c>
      <c r="F10769" s="1">
        <v>5339.0</v>
      </c>
      <c r="G10769" s="1">
        <v>30.0</v>
      </c>
    </row>
    <row r="10770">
      <c r="A10770" s="1" t="s">
        <v>8</v>
      </c>
      <c r="B10770" s="2">
        <v>44743.0</v>
      </c>
      <c r="C10770" s="3">
        <v>0.32969907407407406</v>
      </c>
      <c r="D10770" s="1">
        <v>13.007456</v>
      </c>
      <c r="E10770" s="1">
        <v>80.237029</v>
      </c>
      <c r="F10770" s="1">
        <v>805.0</v>
      </c>
      <c r="G10770" s="1">
        <v>40.0</v>
      </c>
    </row>
    <row r="10771">
      <c r="A10771" s="1" t="s">
        <v>7</v>
      </c>
      <c r="B10771" s="2">
        <v>44743.0</v>
      </c>
      <c r="C10771" s="3">
        <v>0.32979166666666665</v>
      </c>
      <c r="D10771" s="1">
        <v>12.728792</v>
      </c>
      <c r="E10771" s="1">
        <v>79.982667</v>
      </c>
      <c r="F10771" s="1">
        <v>2846.0</v>
      </c>
      <c r="G10771" s="1">
        <v>59.0</v>
      </c>
    </row>
    <row r="10772">
      <c r="A10772" s="1" t="s">
        <v>8</v>
      </c>
      <c r="B10772" s="2">
        <v>44743.0</v>
      </c>
      <c r="C10772" s="3">
        <v>0.3298726851851852</v>
      </c>
      <c r="D10772" s="1">
        <v>13.007828</v>
      </c>
      <c r="E10772" s="1">
        <v>80.235144</v>
      </c>
      <c r="F10772" s="1">
        <v>805.0</v>
      </c>
      <c r="G10772" s="1">
        <v>34.0</v>
      </c>
    </row>
    <row r="10773">
      <c r="A10773" s="1" t="s">
        <v>8</v>
      </c>
      <c r="B10773" s="2">
        <v>44743.0</v>
      </c>
      <c r="C10773" s="3">
        <v>0.32991898148148147</v>
      </c>
      <c r="D10773" s="1">
        <v>12.7317</v>
      </c>
      <c r="E10773" s="1">
        <v>79.982856</v>
      </c>
      <c r="F10773" s="1">
        <v>2846.0</v>
      </c>
      <c r="G10773" s="1">
        <v>58.0</v>
      </c>
    </row>
    <row r="10774">
      <c r="A10774" s="1" t="s">
        <v>8</v>
      </c>
      <c r="B10774" s="2">
        <v>44743.0</v>
      </c>
      <c r="C10774" s="3">
        <v>0.3299884259259259</v>
      </c>
      <c r="D10774" s="1">
        <v>13.008144</v>
      </c>
      <c r="E10774" s="1">
        <v>80.233573</v>
      </c>
      <c r="F10774" s="1">
        <v>805.0</v>
      </c>
      <c r="G10774" s="1">
        <v>45.0</v>
      </c>
    </row>
    <row r="10775">
      <c r="A10775" s="1" t="s">
        <v>8</v>
      </c>
      <c r="B10775" s="2">
        <v>44743.0</v>
      </c>
      <c r="C10775" s="3">
        <v>0.3300810185185185</v>
      </c>
      <c r="D10775" s="1">
        <v>13.008467</v>
      </c>
      <c r="E10775" s="1">
        <v>80.231813</v>
      </c>
      <c r="F10775" s="1">
        <v>805.0</v>
      </c>
      <c r="G10775" s="1">
        <v>48.0</v>
      </c>
    </row>
    <row r="10776">
      <c r="A10776" s="1" t="s">
        <v>8</v>
      </c>
      <c r="B10776" s="2">
        <v>44743.0</v>
      </c>
      <c r="C10776" s="3">
        <v>0.33013888888888887</v>
      </c>
      <c r="D10776" s="1">
        <v>13.008467</v>
      </c>
      <c r="E10776" s="1">
        <v>80.231813</v>
      </c>
      <c r="F10776" s="1">
        <v>805.0</v>
      </c>
      <c r="G10776" s="1">
        <v>48.0</v>
      </c>
    </row>
    <row r="10777">
      <c r="A10777" s="1" t="s">
        <v>7</v>
      </c>
      <c r="B10777" s="2">
        <v>44743.0</v>
      </c>
      <c r="C10777" s="3">
        <v>0.3301851851851852</v>
      </c>
      <c r="D10777" s="1">
        <v>12.734927</v>
      </c>
      <c r="E10777" s="1">
        <v>79.985533</v>
      </c>
      <c r="F10777" s="1">
        <v>2846.0</v>
      </c>
      <c r="G10777" s="1">
        <v>60.0</v>
      </c>
    </row>
    <row r="10778">
      <c r="A10778" s="1" t="s">
        <v>8</v>
      </c>
      <c r="B10778" s="2">
        <v>44743.0</v>
      </c>
      <c r="C10778" s="3">
        <v>0.33024305555555555</v>
      </c>
      <c r="D10778" s="1">
        <v>13.008837</v>
      </c>
      <c r="E10778" s="1">
        <v>80.22993</v>
      </c>
      <c r="F10778" s="1">
        <v>805.0</v>
      </c>
      <c r="G10778" s="1">
        <v>41.0</v>
      </c>
    </row>
    <row r="10779">
      <c r="A10779" s="1" t="s">
        <v>8</v>
      </c>
      <c r="B10779" s="2">
        <v>44743.0</v>
      </c>
      <c r="C10779" s="3">
        <v>0.33037037037037037</v>
      </c>
      <c r="D10779" s="1">
        <v>13.008837</v>
      </c>
      <c r="E10779" s="1">
        <v>80.22993</v>
      </c>
      <c r="F10779" s="1">
        <v>805.0</v>
      </c>
      <c r="G10779" s="1">
        <v>41.0</v>
      </c>
    </row>
    <row r="10780">
      <c r="A10780" s="1" t="s">
        <v>7</v>
      </c>
      <c r="B10780" s="2">
        <v>44743.0</v>
      </c>
      <c r="C10780" s="3">
        <v>0.3304398148148148</v>
      </c>
      <c r="D10780" s="1">
        <v>12.737044</v>
      </c>
      <c r="E10780" s="1">
        <v>79.98752</v>
      </c>
      <c r="F10780" s="1">
        <v>2846.0</v>
      </c>
      <c r="G10780" s="1">
        <v>56.0</v>
      </c>
    </row>
    <row r="10781">
      <c r="A10781" s="1" t="s">
        <v>8</v>
      </c>
      <c r="B10781" s="2">
        <v>44743.0</v>
      </c>
      <c r="C10781" s="3">
        <v>0.33060185185185187</v>
      </c>
      <c r="D10781" s="1">
        <v>12.968709</v>
      </c>
      <c r="E10781" s="1">
        <v>80.149744</v>
      </c>
      <c r="F10781" s="1">
        <v>5339.0</v>
      </c>
      <c r="G10781" s="1">
        <v>42.0</v>
      </c>
    </row>
    <row r="10782">
      <c r="A10782" s="1" t="s">
        <v>8</v>
      </c>
      <c r="B10782" s="2">
        <v>44743.0</v>
      </c>
      <c r="C10782" s="3">
        <v>0.33068287037037036</v>
      </c>
      <c r="D10782" s="1">
        <v>12.968</v>
      </c>
      <c r="E10782" s="1">
        <v>80.149432</v>
      </c>
      <c r="F10782" s="1">
        <v>5339.0</v>
      </c>
      <c r="G10782" s="1">
        <v>27.0</v>
      </c>
    </row>
    <row r="10783">
      <c r="A10783" s="1" t="s">
        <v>8</v>
      </c>
      <c r="B10783" s="2">
        <v>44743.0</v>
      </c>
      <c r="C10783" s="3">
        <v>0.3307407407407407</v>
      </c>
      <c r="D10783" s="1">
        <v>13.009747</v>
      </c>
      <c r="E10783" s="1">
        <v>80.226946</v>
      </c>
      <c r="F10783" s="1">
        <v>805.0</v>
      </c>
      <c r="G10783" s="1">
        <v>42.0</v>
      </c>
    </row>
    <row r="10784">
      <c r="A10784" s="1" t="s">
        <v>8</v>
      </c>
      <c r="B10784" s="2">
        <v>44743.0</v>
      </c>
      <c r="C10784" s="3">
        <v>0.3310416666666667</v>
      </c>
      <c r="D10784" s="1">
        <v>13.011127</v>
      </c>
      <c r="E10784" s="1">
        <v>80.223868</v>
      </c>
      <c r="F10784" s="1">
        <v>805.0</v>
      </c>
      <c r="G10784" s="1">
        <v>17.0</v>
      </c>
    </row>
    <row r="10785">
      <c r="A10785" s="1" t="s">
        <v>8</v>
      </c>
      <c r="B10785" s="2">
        <v>44743.0</v>
      </c>
      <c r="C10785" s="3">
        <v>0.3310648148148148</v>
      </c>
      <c r="D10785" s="1">
        <v>13.011127</v>
      </c>
      <c r="E10785" s="1">
        <v>80.223868</v>
      </c>
      <c r="F10785" s="1">
        <v>805.0</v>
      </c>
      <c r="G10785" s="1">
        <v>17.0</v>
      </c>
    </row>
    <row r="10786">
      <c r="A10786" s="1" t="s">
        <v>8</v>
      </c>
      <c r="B10786" s="2">
        <v>44743.0</v>
      </c>
      <c r="C10786" s="3">
        <v>0.3310648148148148</v>
      </c>
      <c r="D10786" s="1">
        <v>13.011127</v>
      </c>
      <c r="E10786" s="1">
        <v>80.223868</v>
      </c>
      <c r="F10786" s="1">
        <v>805.0</v>
      </c>
      <c r="G10786" s="1">
        <v>17.0</v>
      </c>
    </row>
    <row r="10787">
      <c r="A10787" s="1" t="s">
        <v>8</v>
      </c>
      <c r="B10787" s="2">
        <v>44743.0</v>
      </c>
      <c r="C10787" s="3">
        <v>0.3310763888888889</v>
      </c>
      <c r="D10787" s="1">
        <v>13.011127</v>
      </c>
      <c r="E10787" s="1">
        <v>80.223868</v>
      </c>
      <c r="F10787" s="1">
        <v>805.0</v>
      </c>
      <c r="G10787" s="1">
        <v>17.0</v>
      </c>
    </row>
    <row r="10788">
      <c r="A10788" s="1" t="s">
        <v>8</v>
      </c>
      <c r="B10788" s="2">
        <v>44743.0</v>
      </c>
      <c r="C10788" s="3">
        <v>0.33123842592592595</v>
      </c>
      <c r="D10788" s="1">
        <v>12.966563</v>
      </c>
      <c r="E10788" s="1">
        <v>80.148777</v>
      </c>
      <c r="F10788" s="1">
        <v>5339.0</v>
      </c>
      <c r="G10788" s="1">
        <v>36.0</v>
      </c>
    </row>
    <row r="10789">
      <c r="A10789" s="1" t="s">
        <v>8</v>
      </c>
      <c r="B10789" s="2">
        <v>44743.0</v>
      </c>
      <c r="C10789" s="3">
        <v>0.3313425925925926</v>
      </c>
      <c r="D10789" s="1">
        <v>13.011765</v>
      </c>
      <c r="E10789" s="1">
        <v>80.222231</v>
      </c>
      <c r="F10789" s="1">
        <v>805.0</v>
      </c>
      <c r="G10789" s="1">
        <v>25.0</v>
      </c>
    </row>
    <row r="10790">
      <c r="A10790" s="1" t="s">
        <v>8</v>
      </c>
      <c r="B10790" s="2">
        <v>44743.0</v>
      </c>
      <c r="C10790" s="3">
        <v>0.33141203703703703</v>
      </c>
      <c r="D10790" s="1">
        <v>12.965121</v>
      </c>
      <c r="E10790" s="1">
        <v>80.148062</v>
      </c>
      <c r="F10790" s="1">
        <v>5339.0</v>
      </c>
      <c r="G10790" s="1">
        <v>26.0</v>
      </c>
    </row>
    <row r="10791">
      <c r="A10791" s="1" t="s">
        <v>7</v>
      </c>
      <c r="B10791" s="2">
        <v>44743.0</v>
      </c>
      <c r="C10791" s="3">
        <v>0.3315625</v>
      </c>
      <c r="D10791" s="1">
        <v>12.743672</v>
      </c>
      <c r="E10791" s="1">
        <v>79.992584</v>
      </c>
      <c r="F10791" s="1">
        <v>2846.0</v>
      </c>
      <c r="G10791" s="1">
        <v>28.0</v>
      </c>
    </row>
    <row r="10792">
      <c r="A10792" s="1" t="s">
        <v>8</v>
      </c>
      <c r="B10792" s="2">
        <v>44743.0</v>
      </c>
      <c r="C10792" s="3">
        <v>0.33217592592592593</v>
      </c>
      <c r="D10792" s="1">
        <v>13.011112</v>
      </c>
      <c r="E10792" s="1">
        <v>80.217835</v>
      </c>
      <c r="F10792" s="1">
        <v>805.0</v>
      </c>
      <c r="G10792" s="1">
        <v>43.0</v>
      </c>
    </row>
    <row r="10793">
      <c r="A10793" s="1" t="s">
        <v>8</v>
      </c>
      <c r="B10793" s="2">
        <v>44743.0</v>
      </c>
      <c r="C10793" s="3">
        <v>0.33244212962962966</v>
      </c>
      <c r="D10793" s="1">
        <v>13.009826</v>
      </c>
      <c r="E10793" s="1">
        <v>80.214027</v>
      </c>
      <c r="F10793" s="1">
        <v>805.0</v>
      </c>
      <c r="G10793" s="1">
        <v>55.0</v>
      </c>
    </row>
    <row r="10794">
      <c r="A10794" s="1" t="s">
        <v>8</v>
      </c>
      <c r="B10794" s="2">
        <v>44743.0</v>
      </c>
      <c r="C10794" s="3">
        <v>0.3324652777777778</v>
      </c>
      <c r="D10794" s="1">
        <v>13.009826</v>
      </c>
      <c r="E10794" s="1">
        <v>80.214027</v>
      </c>
      <c r="F10794" s="1">
        <v>805.0</v>
      </c>
      <c r="G10794" s="1">
        <v>55.0</v>
      </c>
    </row>
    <row r="10795">
      <c r="A10795" s="1" t="s">
        <v>8</v>
      </c>
      <c r="B10795" s="2">
        <v>44743.0</v>
      </c>
      <c r="C10795" s="3">
        <v>0.3324884259259259</v>
      </c>
      <c r="D10795" s="1">
        <v>13.008995</v>
      </c>
      <c r="E10795" s="1">
        <v>80.211912</v>
      </c>
      <c r="F10795" s="1">
        <v>805.0</v>
      </c>
      <c r="G10795" s="1">
        <v>58.0</v>
      </c>
    </row>
    <row r="10796">
      <c r="A10796" s="1" t="s">
        <v>8</v>
      </c>
      <c r="B10796" s="2">
        <v>44743.0</v>
      </c>
      <c r="C10796" s="3">
        <v>0.33251157407407406</v>
      </c>
      <c r="D10796" s="1">
        <v>12.957326</v>
      </c>
      <c r="E10796" s="1">
        <v>80.143794</v>
      </c>
      <c r="F10796" s="1">
        <v>5339.0</v>
      </c>
      <c r="G10796" s="1">
        <v>41.0</v>
      </c>
    </row>
    <row r="10797">
      <c r="A10797" s="1" t="s">
        <v>7</v>
      </c>
      <c r="B10797" s="2">
        <v>44743.0</v>
      </c>
      <c r="C10797" s="3">
        <v>0.33266203703703706</v>
      </c>
      <c r="D10797" s="1">
        <v>12.754725</v>
      </c>
      <c r="E10797" s="1">
        <v>80.000964</v>
      </c>
      <c r="F10797" s="1">
        <v>2846.0</v>
      </c>
      <c r="G10797" s="1">
        <v>58.0</v>
      </c>
    </row>
    <row r="10798">
      <c r="A10798" s="1" t="s">
        <v>7</v>
      </c>
      <c r="B10798" s="2">
        <v>44743.0</v>
      </c>
      <c r="C10798" s="3">
        <v>0.33275462962962965</v>
      </c>
      <c r="D10798" s="1">
        <v>13.008222</v>
      </c>
      <c r="E10798" s="1">
        <v>80.209667</v>
      </c>
      <c r="F10798" s="1">
        <v>805.0</v>
      </c>
      <c r="G10798" s="1">
        <v>49.0</v>
      </c>
    </row>
    <row r="10799">
      <c r="A10799" s="1" t="s">
        <v>8</v>
      </c>
      <c r="B10799" s="2">
        <v>44743.0</v>
      </c>
      <c r="C10799" s="3">
        <v>0.3328587962962963</v>
      </c>
      <c r="D10799" s="1">
        <v>13.007846</v>
      </c>
      <c r="E10799" s="1">
        <v>80.207624</v>
      </c>
      <c r="F10799" s="1">
        <v>805.0</v>
      </c>
      <c r="G10799" s="1">
        <v>56.0</v>
      </c>
    </row>
    <row r="10800">
      <c r="A10800" s="1" t="s">
        <v>8</v>
      </c>
      <c r="B10800" s="2">
        <v>44743.0</v>
      </c>
      <c r="C10800" s="3">
        <v>0.3331365740740741</v>
      </c>
      <c r="D10800" s="1">
        <v>13.007462</v>
      </c>
      <c r="E10800" s="1">
        <v>80.205674</v>
      </c>
      <c r="F10800" s="1">
        <v>805.0</v>
      </c>
      <c r="G10800" s="1">
        <v>34.0</v>
      </c>
    </row>
    <row r="10801">
      <c r="A10801" s="1" t="s">
        <v>8</v>
      </c>
      <c r="B10801" s="2">
        <v>44743.0</v>
      </c>
      <c r="C10801" s="3">
        <v>0.33368055555555554</v>
      </c>
      <c r="D10801" s="1">
        <v>12.76442</v>
      </c>
      <c r="E10801" s="1">
        <v>80.004491</v>
      </c>
      <c r="F10801" s="1">
        <v>2846.0</v>
      </c>
      <c r="G10801" s="1">
        <v>44.0</v>
      </c>
    </row>
    <row r="10802">
      <c r="A10802" s="1" t="s">
        <v>8</v>
      </c>
      <c r="B10802" s="2">
        <v>44743.0</v>
      </c>
      <c r="C10802" s="3">
        <v>0.33368055555555554</v>
      </c>
      <c r="D10802" s="1">
        <v>12.952513</v>
      </c>
      <c r="E10802" s="1">
        <v>80.141126</v>
      </c>
      <c r="F10802" s="1">
        <v>5339.0</v>
      </c>
      <c r="G10802" s="1">
        <v>16.0</v>
      </c>
    </row>
    <row r="10803">
      <c r="A10803" s="1" t="s">
        <v>8</v>
      </c>
      <c r="B10803" s="2">
        <v>44743.0</v>
      </c>
      <c r="C10803" s="3">
        <v>0.33371527777777776</v>
      </c>
      <c r="D10803" s="1">
        <v>12.952044</v>
      </c>
      <c r="E10803" s="1">
        <v>80.140783</v>
      </c>
      <c r="F10803" s="1">
        <v>5339.0</v>
      </c>
      <c r="G10803" s="1">
        <v>28.0</v>
      </c>
    </row>
    <row r="10804">
      <c r="A10804" s="1" t="s">
        <v>8</v>
      </c>
      <c r="B10804" s="2">
        <v>44743.0</v>
      </c>
      <c r="C10804" s="3">
        <v>0.33381944444444445</v>
      </c>
      <c r="D10804" s="1">
        <v>13.003478</v>
      </c>
      <c r="E10804" s="1">
        <v>80.200887</v>
      </c>
      <c r="F10804" s="1">
        <v>805.0</v>
      </c>
      <c r="G10804" s="1">
        <v>45.0</v>
      </c>
    </row>
    <row r="10805">
      <c r="A10805" s="1" t="s">
        <v>8</v>
      </c>
      <c r="B10805" s="2">
        <v>44743.0</v>
      </c>
      <c r="C10805" s="3">
        <v>0.334212962962963</v>
      </c>
      <c r="D10805" s="1">
        <v>13.001769</v>
      </c>
      <c r="E10805" s="1">
        <v>80.198707</v>
      </c>
      <c r="F10805" s="1">
        <v>805.0</v>
      </c>
      <c r="G10805" s="1">
        <v>32.0</v>
      </c>
    </row>
    <row r="10806">
      <c r="A10806" s="1" t="s">
        <v>8</v>
      </c>
      <c r="B10806" s="2">
        <v>44743.0</v>
      </c>
      <c r="C10806" s="3">
        <v>0.3342361111111111</v>
      </c>
      <c r="D10806" s="1">
        <v>12.950759</v>
      </c>
      <c r="E10806" s="1">
        <v>80.13981</v>
      </c>
      <c r="F10806" s="1">
        <v>5339.0</v>
      </c>
      <c r="G10806" s="1">
        <v>18.0</v>
      </c>
    </row>
    <row r="10807">
      <c r="A10807" s="1" t="s">
        <v>9</v>
      </c>
      <c r="B10807" s="2">
        <v>44743.0</v>
      </c>
      <c r="C10807" s="3">
        <v>0.3342939814814815</v>
      </c>
      <c r="D10807" s="1">
        <v>12.95025</v>
      </c>
      <c r="E10807" s="1">
        <v>80.13942</v>
      </c>
      <c r="F10807" s="1">
        <v>5339.0</v>
      </c>
      <c r="G10807" s="1">
        <v>33.0</v>
      </c>
    </row>
    <row r="10808">
      <c r="A10808" s="1" t="s">
        <v>7</v>
      </c>
      <c r="B10808" s="2">
        <v>44743.0</v>
      </c>
      <c r="C10808" s="3">
        <v>0.3343055555555556</v>
      </c>
      <c r="D10808" s="1">
        <v>13.001769</v>
      </c>
      <c r="E10808" s="1">
        <v>80.198707</v>
      </c>
      <c r="F10808" s="1">
        <v>805.0</v>
      </c>
      <c r="G10808" s="1">
        <v>32.0</v>
      </c>
    </row>
    <row r="10809">
      <c r="A10809" s="1" t="s">
        <v>9</v>
      </c>
      <c r="B10809" s="2">
        <v>44743.0</v>
      </c>
      <c r="C10809" s="3">
        <v>0.33434027777777775</v>
      </c>
      <c r="D10809" s="1">
        <v>12.769793</v>
      </c>
      <c r="E10809" s="1">
        <v>80.006995</v>
      </c>
      <c r="F10809" s="1">
        <v>2846.0</v>
      </c>
      <c r="G10809" s="1">
        <v>58.0</v>
      </c>
    </row>
    <row r="10810">
      <c r="A10810" s="1" t="s">
        <v>8</v>
      </c>
      <c r="B10810" s="2">
        <v>44743.0</v>
      </c>
      <c r="C10810" s="3">
        <v>0.33436342592592594</v>
      </c>
      <c r="D10810" s="1">
        <v>13.001769</v>
      </c>
      <c r="E10810" s="1">
        <v>80.198707</v>
      </c>
      <c r="F10810" s="1">
        <v>805.0</v>
      </c>
      <c r="G10810" s="1">
        <v>32.0</v>
      </c>
    </row>
    <row r="10811">
      <c r="A10811" s="1" t="s">
        <v>8</v>
      </c>
      <c r="B10811" s="2">
        <v>44743.0</v>
      </c>
      <c r="C10811" s="3">
        <v>0.3346875</v>
      </c>
      <c r="D10811" s="1">
        <v>13.001024</v>
      </c>
      <c r="E10811" s="1">
        <v>80.19561</v>
      </c>
      <c r="F10811" s="1">
        <v>805.0</v>
      </c>
      <c r="G10811" s="1">
        <v>43.0</v>
      </c>
    </row>
    <row r="10812">
      <c r="A10812" s="1" t="s">
        <v>8</v>
      </c>
      <c r="B10812" s="2">
        <v>44743.0</v>
      </c>
      <c r="C10812" s="3">
        <v>0.3347337962962963</v>
      </c>
      <c r="D10812" s="1">
        <v>12.947076</v>
      </c>
      <c r="E10812" s="1">
        <v>80.136981</v>
      </c>
      <c r="F10812" s="1">
        <v>5339.0</v>
      </c>
      <c r="G10812" s="1">
        <v>43.0</v>
      </c>
    </row>
    <row r="10813">
      <c r="A10813" s="1" t="s">
        <v>7</v>
      </c>
      <c r="B10813" s="2">
        <v>44743.0</v>
      </c>
      <c r="C10813" s="3">
        <v>0.3348611111111111</v>
      </c>
      <c r="D10813" s="1">
        <v>13.001024</v>
      </c>
      <c r="E10813" s="1">
        <v>80.19561</v>
      </c>
      <c r="F10813" s="1">
        <v>805.0</v>
      </c>
      <c r="G10813" s="1">
        <v>43.0</v>
      </c>
    </row>
    <row r="10814">
      <c r="A10814" s="1" t="s">
        <v>7</v>
      </c>
      <c r="B10814" s="2">
        <v>44743.0</v>
      </c>
      <c r="C10814" s="3">
        <v>0.33502314814814815</v>
      </c>
      <c r="D10814" s="1">
        <v>12.776391</v>
      </c>
      <c r="E10814" s="1">
        <v>80.010051</v>
      </c>
      <c r="F10814" s="1">
        <v>2846.0</v>
      </c>
      <c r="G10814" s="1">
        <v>57.0</v>
      </c>
    </row>
    <row r="10815">
      <c r="A10815" s="1" t="s">
        <v>9</v>
      </c>
      <c r="B10815" s="2">
        <v>44743.0</v>
      </c>
      <c r="C10815" s="3">
        <v>0.33510416666666665</v>
      </c>
      <c r="D10815" s="1">
        <v>12.998489</v>
      </c>
      <c r="E10815" s="1">
        <v>80.19231</v>
      </c>
      <c r="F10815" s="1">
        <v>805.0</v>
      </c>
      <c r="G10815" s="1">
        <v>56.0</v>
      </c>
    </row>
    <row r="10816">
      <c r="A10816" s="1" t="s">
        <v>8</v>
      </c>
      <c r="B10816" s="2">
        <v>44743.0</v>
      </c>
      <c r="C10816" s="3">
        <v>0.3357523148148148</v>
      </c>
      <c r="D10816" s="1">
        <v>12.941196</v>
      </c>
      <c r="E10816" s="1">
        <v>80.131819</v>
      </c>
      <c r="F10816" s="1">
        <v>5339.0</v>
      </c>
      <c r="G10816" s="1">
        <v>35.0</v>
      </c>
    </row>
    <row r="10817">
      <c r="A10817" s="1" t="s">
        <v>8</v>
      </c>
      <c r="B10817" s="2">
        <v>44743.0</v>
      </c>
      <c r="C10817" s="3">
        <v>0.3358333333333333</v>
      </c>
      <c r="D10817" s="1">
        <v>12.940499</v>
      </c>
      <c r="E10817" s="1">
        <v>80.131117</v>
      </c>
      <c r="F10817" s="1">
        <v>5339.0</v>
      </c>
      <c r="G10817" s="1">
        <v>40.0</v>
      </c>
    </row>
    <row r="10818">
      <c r="A10818" s="1" t="s">
        <v>8</v>
      </c>
      <c r="B10818" s="2">
        <v>44743.0</v>
      </c>
      <c r="C10818" s="3">
        <v>0.33596064814814813</v>
      </c>
      <c r="D10818" s="1">
        <v>12.93983</v>
      </c>
      <c r="E10818" s="1">
        <v>80.130467</v>
      </c>
      <c r="F10818" s="1">
        <v>5339.0</v>
      </c>
      <c r="G10818" s="1">
        <v>36.0</v>
      </c>
    </row>
    <row r="10819">
      <c r="A10819" s="1" t="s">
        <v>8</v>
      </c>
      <c r="B10819" s="2">
        <v>44743.0</v>
      </c>
      <c r="C10819" s="3">
        <v>0.33609953703703704</v>
      </c>
      <c r="D10819" s="1">
        <v>12.939094</v>
      </c>
      <c r="E10819" s="1">
        <v>80.129825</v>
      </c>
      <c r="F10819" s="1">
        <v>5339.0</v>
      </c>
      <c r="G10819" s="1">
        <v>42.0</v>
      </c>
    </row>
    <row r="10820">
      <c r="A10820" s="1" t="s">
        <v>8</v>
      </c>
      <c r="B10820" s="2">
        <v>44743.0</v>
      </c>
      <c r="C10820" s="3">
        <v>0.33622685185185186</v>
      </c>
      <c r="D10820" s="1">
        <v>12.938311</v>
      </c>
      <c r="E10820" s="1">
        <v>80.129101</v>
      </c>
      <c r="F10820" s="1">
        <v>5339.0</v>
      </c>
      <c r="G10820" s="1">
        <v>33.0</v>
      </c>
    </row>
    <row r="10821">
      <c r="A10821" s="1" t="s">
        <v>8</v>
      </c>
      <c r="B10821" s="2">
        <v>44743.0</v>
      </c>
      <c r="C10821" s="3">
        <v>0.33625</v>
      </c>
      <c r="D10821" s="1">
        <v>12.994088</v>
      </c>
      <c r="E10821" s="1">
        <v>80.185802</v>
      </c>
      <c r="F10821" s="1">
        <v>805.0</v>
      </c>
      <c r="G10821" s="1">
        <v>16.0</v>
      </c>
    </row>
    <row r="10822">
      <c r="A10822" s="1" t="s">
        <v>7</v>
      </c>
      <c r="B10822" s="2">
        <v>44743.0</v>
      </c>
      <c r="C10822" s="3">
        <v>0.3364699074074074</v>
      </c>
      <c r="D10822" s="1">
        <v>12.993584</v>
      </c>
      <c r="E10822" s="1">
        <v>80.184848</v>
      </c>
      <c r="F10822" s="1">
        <v>805.0</v>
      </c>
      <c r="G10822" s="1">
        <v>31.0</v>
      </c>
    </row>
    <row r="10823">
      <c r="A10823" s="1" t="s">
        <v>8</v>
      </c>
      <c r="B10823" s="2">
        <v>44743.0</v>
      </c>
      <c r="C10823" s="3">
        <v>0.3364814814814815</v>
      </c>
      <c r="D10823" s="1">
        <v>12.993584</v>
      </c>
      <c r="E10823" s="1">
        <v>80.184848</v>
      </c>
      <c r="F10823" s="1">
        <v>805.0</v>
      </c>
      <c r="G10823" s="1">
        <v>31.0</v>
      </c>
    </row>
    <row r="10824">
      <c r="A10824" s="1" t="s">
        <v>9</v>
      </c>
      <c r="B10824" s="2">
        <v>44743.0</v>
      </c>
      <c r="C10824" s="3">
        <v>0.3364814814814815</v>
      </c>
      <c r="D10824" s="1">
        <v>12.936595</v>
      </c>
      <c r="E10824" s="1">
        <v>80.127597</v>
      </c>
      <c r="F10824" s="1">
        <v>5339.0</v>
      </c>
      <c r="G10824" s="1">
        <v>32.0</v>
      </c>
    </row>
    <row r="10825">
      <c r="A10825" s="1" t="s">
        <v>9</v>
      </c>
      <c r="B10825" s="2">
        <v>44743.0</v>
      </c>
      <c r="C10825" s="3">
        <v>0.33672453703703703</v>
      </c>
      <c r="D10825" s="1">
        <v>12.935268</v>
      </c>
      <c r="E10825" s="1">
        <v>80.126412</v>
      </c>
      <c r="F10825" s="1">
        <v>5339.0</v>
      </c>
      <c r="G10825" s="1">
        <v>44.0</v>
      </c>
    </row>
    <row r="10826">
      <c r="A10826" s="1" t="s">
        <v>8</v>
      </c>
      <c r="B10826" s="2">
        <v>44743.0</v>
      </c>
      <c r="C10826" s="3">
        <v>0.3370138888888889</v>
      </c>
      <c r="D10826" s="1">
        <v>12.933782</v>
      </c>
      <c r="E10826" s="1">
        <v>80.125014</v>
      </c>
      <c r="F10826" s="1">
        <v>5339.0</v>
      </c>
      <c r="G10826" s="1">
        <v>48.0</v>
      </c>
    </row>
    <row r="10827">
      <c r="A10827" s="1" t="s">
        <v>8</v>
      </c>
      <c r="B10827" s="2">
        <v>44743.0</v>
      </c>
      <c r="C10827" s="3">
        <v>0.3375694444444444</v>
      </c>
      <c r="D10827" s="1">
        <v>12.931252</v>
      </c>
      <c r="E10827" s="1">
        <v>80.122579</v>
      </c>
      <c r="F10827" s="1">
        <v>5339.0</v>
      </c>
      <c r="G10827" s="1">
        <v>24.0</v>
      </c>
    </row>
    <row r="10828">
      <c r="A10828" s="1" t="s">
        <v>8</v>
      </c>
      <c r="B10828" s="2">
        <v>44743.0</v>
      </c>
      <c r="C10828" s="3">
        <v>0.337662037037037</v>
      </c>
      <c r="D10828" s="1">
        <v>12.930753</v>
      </c>
      <c r="E10828" s="1">
        <v>80.122036</v>
      </c>
      <c r="F10828" s="1">
        <v>5339.0</v>
      </c>
      <c r="G10828" s="1">
        <v>32.0</v>
      </c>
    </row>
    <row r="10829">
      <c r="A10829" s="1" t="s">
        <v>8</v>
      </c>
      <c r="B10829" s="2">
        <v>44743.0</v>
      </c>
      <c r="C10829" s="3">
        <v>0.33774305555555556</v>
      </c>
      <c r="D10829" s="1">
        <v>12.930062</v>
      </c>
      <c r="E10829" s="1">
        <v>80.121363</v>
      </c>
      <c r="F10829" s="1">
        <v>5339.0</v>
      </c>
      <c r="G10829" s="1">
        <v>43.0</v>
      </c>
    </row>
    <row r="10830">
      <c r="A10830" s="1" t="s">
        <v>8</v>
      </c>
      <c r="B10830" s="2">
        <v>44743.0</v>
      </c>
      <c r="C10830" s="3">
        <v>0.33775462962962965</v>
      </c>
      <c r="D10830" s="1">
        <v>12.989289</v>
      </c>
      <c r="E10830" s="1">
        <v>80.178742</v>
      </c>
      <c r="F10830" s="1">
        <v>805.0</v>
      </c>
      <c r="G10830" s="1">
        <v>28.0</v>
      </c>
    </row>
    <row r="10831">
      <c r="A10831" s="1" t="s">
        <v>8</v>
      </c>
      <c r="B10831" s="2">
        <v>44743.0</v>
      </c>
      <c r="C10831" s="3">
        <v>0.3377777777777778</v>
      </c>
      <c r="D10831" s="1">
        <v>12.989289</v>
      </c>
      <c r="E10831" s="1">
        <v>80.178742</v>
      </c>
      <c r="F10831" s="1">
        <v>805.0</v>
      </c>
      <c r="G10831" s="1">
        <v>28.0</v>
      </c>
    </row>
    <row r="10832">
      <c r="A10832" s="1" t="s">
        <v>8</v>
      </c>
      <c r="B10832" s="2">
        <v>44743.0</v>
      </c>
      <c r="C10832" s="3">
        <v>0.33782407407407405</v>
      </c>
      <c r="D10832" s="1">
        <v>12.98831</v>
      </c>
      <c r="E10832" s="1">
        <v>80.177451</v>
      </c>
      <c r="F10832" s="1">
        <v>805.0</v>
      </c>
      <c r="G10832" s="1">
        <v>51.0</v>
      </c>
    </row>
    <row r="10833">
      <c r="A10833" s="1" t="s">
        <v>8</v>
      </c>
      <c r="B10833" s="2">
        <v>44743.0</v>
      </c>
      <c r="C10833" s="3">
        <v>0.33847222222222223</v>
      </c>
      <c r="D10833" s="1">
        <v>12.986525</v>
      </c>
      <c r="E10833" s="1">
        <v>80.174982</v>
      </c>
      <c r="F10833" s="1">
        <v>805.0</v>
      </c>
      <c r="G10833" s="1">
        <v>7.0</v>
      </c>
    </row>
    <row r="10834">
      <c r="A10834" s="1" t="s">
        <v>7</v>
      </c>
      <c r="B10834" s="2">
        <v>44743.0</v>
      </c>
      <c r="C10834" s="3">
        <v>0.3386342592592593</v>
      </c>
      <c r="D10834" s="1">
        <v>12.98593</v>
      </c>
      <c r="E10834" s="1">
        <v>80.174106</v>
      </c>
      <c r="F10834" s="1">
        <v>805.0</v>
      </c>
      <c r="G10834" s="1">
        <v>39.0</v>
      </c>
    </row>
    <row r="10835">
      <c r="A10835" s="1" t="s">
        <v>7</v>
      </c>
      <c r="B10835" s="2">
        <v>44743.0</v>
      </c>
      <c r="C10835" s="3">
        <v>0.33877314814814813</v>
      </c>
      <c r="D10835" s="1">
        <v>12.8163</v>
      </c>
      <c r="E10835" s="1">
        <v>80.033982</v>
      </c>
      <c r="F10835" s="1">
        <v>2846.0</v>
      </c>
      <c r="G10835" s="1">
        <v>57.0</v>
      </c>
    </row>
    <row r="10836">
      <c r="A10836" s="1" t="s">
        <v>8</v>
      </c>
      <c r="B10836" s="2">
        <v>44743.0</v>
      </c>
      <c r="C10836" s="3">
        <v>0.33890046296296295</v>
      </c>
      <c r="D10836" s="1">
        <v>12.983586</v>
      </c>
      <c r="E10836" s="1">
        <v>80.170407</v>
      </c>
      <c r="F10836" s="1">
        <v>805.0</v>
      </c>
      <c r="G10836" s="1">
        <v>55.0</v>
      </c>
    </row>
    <row r="10837">
      <c r="A10837" s="1" t="s">
        <v>7</v>
      </c>
      <c r="B10837" s="2">
        <v>44743.0</v>
      </c>
      <c r="C10837" s="3">
        <v>0.3389583333333333</v>
      </c>
      <c r="D10837" s="1">
        <v>12.983586</v>
      </c>
      <c r="E10837" s="1">
        <v>80.170407</v>
      </c>
      <c r="F10837" s="1">
        <v>805.0</v>
      </c>
      <c r="G10837" s="1">
        <v>55.0</v>
      </c>
    </row>
    <row r="10838">
      <c r="A10838" s="1" t="s">
        <v>8</v>
      </c>
      <c r="B10838" s="2">
        <v>44743.0</v>
      </c>
      <c r="C10838" s="3">
        <v>0.3389583333333333</v>
      </c>
      <c r="D10838" s="1">
        <v>12.923229</v>
      </c>
      <c r="E10838" s="1">
        <v>80.11439</v>
      </c>
      <c r="F10838" s="1">
        <v>5339.0</v>
      </c>
      <c r="G10838" s="1">
        <v>13.0</v>
      </c>
    </row>
    <row r="10839">
      <c r="A10839" s="1" t="s">
        <v>8</v>
      </c>
      <c r="B10839" s="2">
        <v>44743.0</v>
      </c>
      <c r="C10839" s="3">
        <v>0.3389699074074074</v>
      </c>
      <c r="D10839" s="1">
        <v>12.923229</v>
      </c>
      <c r="E10839" s="1">
        <v>80.11439</v>
      </c>
      <c r="F10839" s="1">
        <v>5339.0</v>
      </c>
      <c r="G10839" s="1">
        <v>13.0</v>
      </c>
    </row>
    <row r="10840">
      <c r="A10840" s="1" t="s">
        <v>8</v>
      </c>
      <c r="B10840" s="2">
        <v>44743.0</v>
      </c>
      <c r="C10840" s="3">
        <v>0.3389814814814815</v>
      </c>
      <c r="D10840" s="1">
        <v>12.923229</v>
      </c>
      <c r="E10840" s="1">
        <v>80.11439</v>
      </c>
      <c r="F10840" s="1">
        <v>5339.0</v>
      </c>
      <c r="G10840" s="1">
        <v>13.0</v>
      </c>
    </row>
    <row r="10841">
      <c r="A10841" s="1" t="s">
        <v>8</v>
      </c>
      <c r="B10841" s="2">
        <v>44743.0</v>
      </c>
      <c r="C10841" s="3">
        <v>0.33925925925925926</v>
      </c>
      <c r="D10841" s="1">
        <v>12.921263</v>
      </c>
      <c r="E10841" s="1">
        <v>80.112408</v>
      </c>
      <c r="F10841" s="1">
        <v>5339.0</v>
      </c>
      <c r="G10841" s="1">
        <v>49.0</v>
      </c>
    </row>
    <row r="10842">
      <c r="A10842" s="1" t="s">
        <v>7</v>
      </c>
      <c r="B10842" s="2">
        <v>44743.0</v>
      </c>
      <c r="C10842" s="3">
        <v>0.3396064814814815</v>
      </c>
      <c r="D10842" s="1">
        <v>12.821818</v>
      </c>
      <c r="E10842" s="1">
        <v>80.037905</v>
      </c>
      <c r="F10842" s="1">
        <v>2846.0</v>
      </c>
      <c r="G10842" s="1">
        <v>53.0</v>
      </c>
    </row>
    <row r="10843">
      <c r="A10843" s="1" t="s">
        <v>7</v>
      </c>
      <c r="B10843" s="2">
        <v>44743.0</v>
      </c>
      <c r="C10843" s="3">
        <v>0.3396875</v>
      </c>
      <c r="D10843" s="1">
        <v>12.91858</v>
      </c>
      <c r="E10843" s="1">
        <v>80.109283</v>
      </c>
      <c r="F10843" s="1">
        <v>5339.0</v>
      </c>
      <c r="G10843" s="1">
        <v>58.0</v>
      </c>
    </row>
    <row r="10844">
      <c r="A10844" s="1" t="s">
        <v>7</v>
      </c>
      <c r="B10844" s="2">
        <v>44743.0</v>
      </c>
      <c r="C10844" s="3">
        <v>0.3400578703703704</v>
      </c>
      <c r="D10844" s="1">
        <v>12.827574</v>
      </c>
      <c r="E10844" s="1">
        <v>80.042391</v>
      </c>
      <c r="F10844" s="1">
        <v>2846.0</v>
      </c>
      <c r="G10844" s="1">
        <v>58.0</v>
      </c>
    </row>
    <row r="10845">
      <c r="A10845" s="1" t="s">
        <v>7</v>
      </c>
      <c r="B10845" s="2">
        <v>44743.0</v>
      </c>
      <c r="C10845" s="3">
        <v>0.34024305555555556</v>
      </c>
      <c r="D10845" s="1">
        <v>12.916206</v>
      </c>
      <c r="E10845" s="1">
        <v>80.105735</v>
      </c>
      <c r="F10845" s="1">
        <v>5339.0</v>
      </c>
      <c r="G10845" s="1">
        <v>49.0</v>
      </c>
    </row>
    <row r="10846">
      <c r="A10846" s="1" t="s">
        <v>7</v>
      </c>
      <c r="B10846" s="2">
        <v>44743.0</v>
      </c>
      <c r="C10846" s="3">
        <v>0.34032407407407406</v>
      </c>
      <c r="D10846" s="1">
        <v>12.979814</v>
      </c>
      <c r="E10846" s="1">
        <v>80.162857</v>
      </c>
      <c r="F10846" s="1">
        <v>805.0</v>
      </c>
      <c r="G10846" s="1">
        <v>23.0</v>
      </c>
    </row>
    <row r="10847">
      <c r="A10847" s="1" t="s">
        <v>7</v>
      </c>
      <c r="B10847" s="2">
        <v>44743.0</v>
      </c>
      <c r="C10847" s="3">
        <v>0.34052083333333333</v>
      </c>
      <c r="D10847" s="1">
        <v>12.978955</v>
      </c>
      <c r="E10847" s="1">
        <v>80.16147</v>
      </c>
      <c r="F10847" s="1">
        <v>805.0</v>
      </c>
      <c r="G10847" s="1">
        <v>57.0</v>
      </c>
    </row>
    <row r="10848">
      <c r="A10848" s="1" t="s">
        <v>8</v>
      </c>
      <c r="B10848" s="2">
        <v>44743.0</v>
      </c>
      <c r="C10848" s="3">
        <v>0.34064814814814814</v>
      </c>
      <c r="D10848" s="1">
        <v>12.913381</v>
      </c>
      <c r="E10848" s="1">
        <v>80.101639</v>
      </c>
      <c r="F10848" s="1">
        <v>5339.0</v>
      </c>
      <c r="G10848" s="1">
        <v>43.0</v>
      </c>
    </row>
    <row r="10849">
      <c r="A10849" s="1" t="s">
        <v>8</v>
      </c>
      <c r="B10849" s="2">
        <v>44743.0</v>
      </c>
      <c r="C10849" s="3">
        <v>0.3407175925925926</v>
      </c>
      <c r="D10849" s="1">
        <v>12.913381</v>
      </c>
      <c r="E10849" s="1">
        <v>80.101639</v>
      </c>
      <c r="F10849" s="1">
        <v>5339.0</v>
      </c>
      <c r="G10849" s="1">
        <v>43.0</v>
      </c>
    </row>
    <row r="10850">
      <c r="A10850" s="1" t="s">
        <v>8</v>
      </c>
      <c r="B10850" s="2">
        <v>44743.0</v>
      </c>
      <c r="C10850" s="3">
        <v>0.34074074074074073</v>
      </c>
      <c r="D10850" s="1">
        <v>12.913381</v>
      </c>
      <c r="E10850" s="1">
        <v>80.101639</v>
      </c>
      <c r="F10850" s="1">
        <v>5339.0</v>
      </c>
      <c r="G10850" s="1">
        <v>43.0</v>
      </c>
    </row>
    <row r="10851">
      <c r="A10851" s="1" t="s">
        <v>7</v>
      </c>
      <c r="B10851" s="2">
        <v>44743.0</v>
      </c>
      <c r="C10851" s="3">
        <v>0.34076388888888887</v>
      </c>
      <c r="D10851" s="1">
        <v>12.97764</v>
      </c>
      <c r="E10851" s="1">
        <v>80.159613</v>
      </c>
      <c r="F10851" s="1">
        <v>805.0</v>
      </c>
      <c r="G10851" s="1">
        <v>58.0</v>
      </c>
    </row>
    <row r="10852">
      <c r="A10852" s="1" t="s">
        <v>8</v>
      </c>
      <c r="B10852" s="2">
        <v>44743.0</v>
      </c>
      <c r="C10852" s="3">
        <v>0.34078703703703705</v>
      </c>
      <c r="D10852" s="1">
        <v>12.912301</v>
      </c>
      <c r="E10852" s="1">
        <v>80.10152</v>
      </c>
      <c r="F10852" s="1">
        <v>5339.0</v>
      </c>
      <c r="G10852" s="1">
        <v>40.0</v>
      </c>
    </row>
    <row r="10853">
      <c r="A10853" s="1" t="s">
        <v>8</v>
      </c>
      <c r="B10853" s="2">
        <v>44743.0</v>
      </c>
      <c r="C10853" s="3">
        <v>0.3407986111111111</v>
      </c>
      <c r="D10853" s="1">
        <v>12.976342</v>
      </c>
      <c r="E10853" s="1">
        <v>80.157632</v>
      </c>
      <c r="F10853" s="1">
        <v>805.0</v>
      </c>
      <c r="G10853" s="1">
        <v>58.0</v>
      </c>
    </row>
    <row r="10854">
      <c r="A10854" s="1" t="s">
        <v>8</v>
      </c>
      <c r="B10854" s="2">
        <v>44743.0</v>
      </c>
      <c r="C10854" s="3">
        <v>0.3407986111111111</v>
      </c>
      <c r="D10854" s="1">
        <v>12.912301</v>
      </c>
      <c r="E10854" s="1">
        <v>80.10152</v>
      </c>
      <c r="F10854" s="1">
        <v>5339.0</v>
      </c>
      <c r="G10854" s="1">
        <v>40.0</v>
      </c>
    </row>
    <row r="10855">
      <c r="A10855" s="1" t="s">
        <v>10</v>
      </c>
      <c r="B10855" s="2">
        <v>44743.0</v>
      </c>
      <c r="C10855" s="3">
        <v>0.34099537037037037</v>
      </c>
      <c r="D10855" s="1">
        <v>12.975095</v>
      </c>
      <c r="E10855" s="1">
        <v>80.155797</v>
      </c>
      <c r="F10855" s="1">
        <v>805.0</v>
      </c>
      <c r="G10855" s="1">
        <v>58.0</v>
      </c>
    </row>
    <row r="10856">
      <c r="A10856" s="1" t="s">
        <v>9</v>
      </c>
      <c r="B10856" s="2">
        <v>44743.0</v>
      </c>
      <c r="C10856" s="3">
        <v>0.3413425925925926</v>
      </c>
      <c r="D10856" s="1">
        <v>12.908243</v>
      </c>
      <c r="E10856" s="1">
        <v>80.097951</v>
      </c>
      <c r="F10856" s="1">
        <v>5339.0</v>
      </c>
      <c r="G10856" s="1">
        <v>43.0</v>
      </c>
    </row>
    <row r="10857">
      <c r="A10857" s="1" t="s">
        <v>8</v>
      </c>
      <c r="B10857" s="2">
        <v>44743.0</v>
      </c>
      <c r="C10857" s="3">
        <v>0.3414351851851852</v>
      </c>
      <c r="D10857" s="1">
        <v>12.840171</v>
      </c>
      <c r="E10857" s="1">
        <v>80.055563</v>
      </c>
      <c r="F10857" s="1">
        <v>2846.0</v>
      </c>
      <c r="G10857" s="1">
        <v>48.0</v>
      </c>
    </row>
    <row r="10858">
      <c r="A10858" s="1" t="s">
        <v>8</v>
      </c>
      <c r="B10858" s="2">
        <v>44743.0</v>
      </c>
      <c r="C10858" s="3">
        <v>0.3414583333333333</v>
      </c>
      <c r="D10858" s="1">
        <v>12.971804</v>
      </c>
      <c r="E10858" s="1">
        <v>80.151332</v>
      </c>
      <c r="F10858" s="1">
        <v>805.0</v>
      </c>
      <c r="G10858" s="1">
        <v>23.0</v>
      </c>
    </row>
    <row r="10859">
      <c r="A10859" s="1" t="s">
        <v>8</v>
      </c>
      <c r="B10859" s="2">
        <v>44743.0</v>
      </c>
      <c r="C10859" s="3">
        <v>0.3414699074074074</v>
      </c>
      <c r="D10859" s="1">
        <v>12.907478</v>
      </c>
      <c r="E10859" s="1">
        <v>80.097319</v>
      </c>
      <c r="F10859" s="1">
        <v>5339.0</v>
      </c>
      <c r="G10859" s="1">
        <v>34.0</v>
      </c>
    </row>
    <row r="10860">
      <c r="A10860" s="1" t="s">
        <v>8</v>
      </c>
      <c r="B10860" s="2">
        <v>44743.0</v>
      </c>
      <c r="C10860" s="3">
        <v>0.3414814814814815</v>
      </c>
      <c r="D10860" s="1">
        <v>12.907478</v>
      </c>
      <c r="E10860" s="1">
        <v>80.097319</v>
      </c>
      <c r="F10860" s="1">
        <v>5339.0</v>
      </c>
      <c r="G10860" s="1">
        <v>34.0</v>
      </c>
    </row>
    <row r="10861">
      <c r="A10861" s="1" t="s">
        <v>8</v>
      </c>
      <c r="B10861" s="2">
        <v>44743.0</v>
      </c>
      <c r="C10861" s="3">
        <v>0.3415162037037037</v>
      </c>
      <c r="D10861" s="1">
        <v>12.840984</v>
      </c>
      <c r="E10861" s="1">
        <v>80.056411</v>
      </c>
      <c r="F10861" s="1">
        <v>2846.0</v>
      </c>
      <c r="G10861" s="1">
        <v>47.0</v>
      </c>
    </row>
    <row r="10862">
      <c r="A10862" s="1" t="s">
        <v>9</v>
      </c>
      <c r="B10862" s="2">
        <v>44743.0</v>
      </c>
      <c r="C10862" s="3">
        <v>0.34274305555555556</v>
      </c>
      <c r="D10862" s="1">
        <v>12.904596</v>
      </c>
      <c r="E10862" s="1">
        <v>80.095131</v>
      </c>
      <c r="F10862" s="1">
        <v>5339.0</v>
      </c>
      <c r="G10862" s="1">
        <v>31.0</v>
      </c>
    </row>
    <row r="10863">
      <c r="A10863" s="1" t="s">
        <v>7</v>
      </c>
      <c r="B10863" s="2">
        <v>44743.0</v>
      </c>
      <c r="C10863" s="3">
        <v>0.3429513888888889</v>
      </c>
      <c r="D10863" s="1">
        <v>12.84651</v>
      </c>
      <c r="E10863" s="1">
        <v>80.062075</v>
      </c>
      <c r="F10863" s="1">
        <v>2846.0</v>
      </c>
      <c r="G10863" s="1">
        <v>35.0</v>
      </c>
    </row>
    <row r="10864">
      <c r="A10864" s="1" t="s">
        <v>7</v>
      </c>
      <c r="B10864" s="2">
        <v>44743.0</v>
      </c>
      <c r="C10864" s="3">
        <v>0.34327546296296296</v>
      </c>
      <c r="D10864" s="1">
        <v>12.84651</v>
      </c>
      <c r="E10864" s="1">
        <v>80.062075</v>
      </c>
      <c r="F10864" s="1">
        <v>2846.0</v>
      </c>
      <c r="G10864" s="1">
        <v>35.0</v>
      </c>
    </row>
    <row r="10865">
      <c r="A10865" s="1" t="s">
        <v>8</v>
      </c>
      <c r="B10865" s="2">
        <v>44743.0</v>
      </c>
      <c r="C10865" s="3">
        <v>0.34380787037037036</v>
      </c>
      <c r="D10865" s="1">
        <v>12.855281</v>
      </c>
      <c r="E10865" s="1">
        <v>80.068522</v>
      </c>
      <c r="F10865" s="1">
        <v>2846.0</v>
      </c>
      <c r="G10865" s="1">
        <v>53.0</v>
      </c>
    </row>
    <row r="10866">
      <c r="A10866" s="1" t="s">
        <v>7</v>
      </c>
      <c r="B10866" s="2">
        <v>44743.0</v>
      </c>
      <c r="C10866" s="3">
        <v>0.34391203703703704</v>
      </c>
      <c r="D10866" s="1">
        <v>12.855281</v>
      </c>
      <c r="E10866" s="1">
        <v>80.068522</v>
      </c>
      <c r="F10866" s="1">
        <v>2846.0</v>
      </c>
      <c r="G10866" s="1">
        <v>53.0</v>
      </c>
    </row>
    <row r="10867">
      <c r="A10867" s="1" t="s">
        <v>8</v>
      </c>
      <c r="B10867" s="2">
        <v>44743.0</v>
      </c>
      <c r="C10867" s="3">
        <v>0.34414351851851854</v>
      </c>
      <c r="D10867" s="1">
        <v>12.961874</v>
      </c>
      <c r="E10867" s="1">
        <v>80.146294</v>
      </c>
      <c r="F10867" s="1">
        <v>805.0</v>
      </c>
      <c r="G10867" s="1">
        <v>17.0</v>
      </c>
    </row>
    <row r="10868">
      <c r="A10868" s="1" t="s">
        <v>7</v>
      </c>
      <c r="B10868" s="2">
        <v>44743.0</v>
      </c>
      <c r="C10868" s="3">
        <v>0.3441782407407407</v>
      </c>
      <c r="D10868" s="1">
        <v>12.858712</v>
      </c>
      <c r="E10868" s="1">
        <v>80.071155</v>
      </c>
      <c r="F10868" s="1">
        <v>2846.0</v>
      </c>
      <c r="G10868" s="1">
        <v>57.0</v>
      </c>
    </row>
    <row r="10869">
      <c r="A10869" s="1" t="s">
        <v>8</v>
      </c>
      <c r="B10869" s="2">
        <v>44743.0</v>
      </c>
      <c r="C10869" s="3">
        <v>0.3442824074074074</v>
      </c>
      <c r="D10869" s="1">
        <v>12.961874</v>
      </c>
      <c r="E10869" s="1">
        <v>80.146294</v>
      </c>
      <c r="F10869" s="1">
        <v>805.0</v>
      </c>
      <c r="G10869" s="1">
        <v>17.0</v>
      </c>
    </row>
    <row r="10870">
      <c r="A10870" s="1" t="s">
        <v>8</v>
      </c>
      <c r="B10870" s="2">
        <v>44743.0</v>
      </c>
      <c r="C10870" s="3">
        <v>0.3443865740740741</v>
      </c>
      <c r="D10870" s="1">
        <v>12.961102</v>
      </c>
      <c r="E10870" s="1">
        <v>80.145844</v>
      </c>
      <c r="F10870" s="1">
        <v>805.0</v>
      </c>
      <c r="G10870" s="1">
        <v>28.0</v>
      </c>
    </row>
    <row r="10871">
      <c r="A10871" s="1" t="s">
        <v>7</v>
      </c>
      <c r="B10871" s="2">
        <v>44743.0</v>
      </c>
      <c r="C10871" s="3">
        <v>0.34444444444444444</v>
      </c>
      <c r="D10871" s="1">
        <v>12.89196</v>
      </c>
      <c r="E10871" s="1">
        <v>80.085508</v>
      </c>
      <c r="F10871" s="1">
        <v>5339.0</v>
      </c>
      <c r="G10871" s="1">
        <v>49.0</v>
      </c>
    </row>
    <row r="10872">
      <c r="A10872" s="1" t="s">
        <v>7</v>
      </c>
      <c r="B10872" s="2">
        <v>44743.0</v>
      </c>
      <c r="C10872" s="3">
        <v>0.3445138888888889</v>
      </c>
      <c r="D10872" s="1">
        <v>12.960092</v>
      </c>
      <c r="E10872" s="1">
        <v>80.145271</v>
      </c>
      <c r="F10872" s="1">
        <v>805.0</v>
      </c>
      <c r="G10872" s="1">
        <v>39.0</v>
      </c>
    </row>
    <row r="10873">
      <c r="A10873" s="1" t="s">
        <v>8</v>
      </c>
      <c r="B10873" s="2">
        <v>44743.0</v>
      </c>
      <c r="C10873" s="3">
        <v>0.3450578703703704</v>
      </c>
      <c r="D10873" s="1">
        <v>12.884378</v>
      </c>
      <c r="E10873" s="1">
        <v>80.082325</v>
      </c>
      <c r="F10873" s="1">
        <v>5339.0</v>
      </c>
      <c r="G10873" s="1">
        <v>38.0</v>
      </c>
    </row>
    <row r="10874">
      <c r="A10874" s="1" t="s">
        <v>8</v>
      </c>
      <c r="B10874" s="2">
        <v>44743.0</v>
      </c>
      <c r="C10874" s="3">
        <v>0.34543981481481484</v>
      </c>
      <c r="D10874" s="1">
        <v>12.86694</v>
      </c>
      <c r="E10874" s="1">
        <v>80.075167</v>
      </c>
      <c r="F10874" s="1">
        <v>2846.0</v>
      </c>
      <c r="G10874" s="1">
        <v>16.0</v>
      </c>
    </row>
    <row r="10875">
      <c r="A10875" s="1" t="s">
        <v>8</v>
      </c>
      <c r="B10875" s="2">
        <v>44743.0</v>
      </c>
      <c r="C10875" s="3">
        <v>0.34546296296296297</v>
      </c>
      <c r="D10875" s="1">
        <v>12.952658</v>
      </c>
      <c r="E10875" s="1">
        <v>80.141301</v>
      </c>
      <c r="F10875" s="1">
        <v>805.0</v>
      </c>
      <c r="G10875" s="1">
        <v>27.0</v>
      </c>
    </row>
    <row r="10876">
      <c r="A10876" s="1" t="s">
        <v>8</v>
      </c>
      <c r="B10876" s="2">
        <v>44743.0</v>
      </c>
      <c r="C10876" s="3">
        <v>0.34552083333333333</v>
      </c>
      <c r="D10876" s="1">
        <v>12.86694</v>
      </c>
      <c r="E10876" s="1">
        <v>80.075167</v>
      </c>
      <c r="F10876" s="1">
        <v>2846.0</v>
      </c>
      <c r="G10876" s="1">
        <v>16.0</v>
      </c>
    </row>
    <row r="10877">
      <c r="A10877" s="1" t="s">
        <v>7</v>
      </c>
      <c r="B10877" s="2">
        <v>44743.0</v>
      </c>
      <c r="C10877" s="3">
        <v>0.34574074074074074</v>
      </c>
      <c r="D10877" s="1">
        <v>12.952022</v>
      </c>
      <c r="E10877" s="1">
        <v>80.140786</v>
      </c>
      <c r="F10877" s="1">
        <v>805.0</v>
      </c>
      <c r="G10877" s="1">
        <v>18.0</v>
      </c>
    </row>
    <row r="10878">
      <c r="A10878" s="1" t="s">
        <v>7</v>
      </c>
      <c r="B10878" s="2">
        <v>44743.0</v>
      </c>
      <c r="C10878" s="3">
        <v>0.34597222222222224</v>
      </c>
      <c r="D10878" s="1">
        <v>12.872287</v>
      </c>
      <c r="E10878" s="1">
        <v>80.077312</v>
      </c>
      <c r="F10878" s="1">
        <v>2846.0</v>
      </c>
      <c r="G10878" s="1">
        <v>56.0</v>
      </c>
    </row>
    <row r="10879">
      <c r="A10879" s="1" t="s">
        <v>7</v>
      </c>
      <c r="B10879" s="2">
        <v>44743.0</v>
      </c>
      <c r="C10879" s="3">
        <v>0.3460300925925926</v>
      </c>
      <c r="D10879" s="1">
        <v>12.949886</v>
      </c>
      <c r="E10879" s="1">
        <v>80.139142</v>
      </c>
      <c r="F10879" s="1">
        <v>805.0</v>
      </c>
      <c r="G10879" s="1">
        <v>43.0</v>
      </c>
    </row>
    <row r="10880">
      <c r="A10880" s="1" t="s">
        <v>8</v>
      </c>
      <c r="B10880" s="2">
        <v>44743.0</v>
      </c>
      <c r="C10880" s="3">
        <v>0.3460648148148148</v>
      </c>
      <c r="D10880" s="1">
        <v>12.872287</v>
      </c>
      <c r="E10880" s="1">
        <v>80.077312</v>
      </c>
      <c r="F10880" s="1">
        <v>2846.0</v>
      </c>
      <c r="G10880" s="1">
        <v>56.0</v>
      </c>
    </row>
    <row r="10881">
      <c r="A10881" s="1" t="s">
        <v>8</v>
      </c>
      <c r="B10881" s="2">
        <v>44743.0</v>
      </c>
      <c r="C10881" s="3">
        <v>0.34609953703703705</v>
      </c>
      <c r="D10881" s="1">
        <v>12.949886</v>
      </c>
      <c r="E10881" s="1">
        <v>80.139142</v>
      </c>
      <c r="F10881" s="1">
        <v>805.0</v>
      </c>
      <c r="G10881" s="1">
        <v>43.0</v>
      </c>
    </row>
    <row r="10882">
      <c r="A10882" s="1" t="s">
        <v>8</v>
      </c>
      <c r="B10882" s="2">
        <v>44743.0</v>
      </c>
      <c r="C10882" s="3">
        <v>0.3463310185185185</v>
      </c>
      <c r="D10882" s="1">
        <v>12.946546</v>
      </c>
      <c r="E10882" s="1">
        <v>80.13663</v>
      </c>
      <c r="F10882" s="1">
        <v>805.0</v>
      </c>
      <c r="G10882" s="1">
        <v>53.0</v>
      </c>
    </row>
    <row r="10883">
      <c r="A10883" s="1" t="s">
        <v>8</v>
      </c>
      <c r="B10883" s="2">
        <v>44743.0</v>
      </c>
      <c r="C10883" s="3">
        <v>0.34640046296296295</v>
      </c>
      <c r="D10883" s="1">
        <v>12.874665</v>
      </c>
      <c r="E10883" s="1">
        <v>80.07822</v>
      </c>
      <c r="F10883" s="1">
        <v>2846.0</v>
      </c>
      <c r="G10883" s="1">
        <v>42.0</v>
      </c>
    </row>
    <row r="10884">
      <c r="A10884" s="1" t="s">
        <v>8</v>
      </c>
      <c r="B10884" s="2">
        <v>44743.0</v>
      </c>
      <c r="C10884" s="3">
        <v>0.3469675925925926</v>
      </c>
      <c r="D10884" s="1">
        <v>12.942879</v>
      </c>
      <c r="E10884" s="1">
        <v>80.133671</v>
      </c>
      <c r="F10884" s="1">
        <v>805.0</v>
      </c>
      <c r="G10884" s="1">
        <v>23.0</v>
      </c>
    </row>
    <row r="10885">
      <c r="A10885" s="1" t="s">
        <v>8</v>
      </c>
      <c r="B10885" s="2">
        <v>44743.0</v>
      </c>
      <c r="C10885" s="3">
        <v>0.34697916666666667</v>
      </c>
      <c r="D10885" s="1">
        <v>12.942879</v>
      </c>
      <c r="E10885" s="1">
        <v>80.133671</v>
      </c>
      <c r="F10885" s="1">
        <v>805.0</v>
      </c>
      <c r="G10885" s="1">
        <v>23.0</v>
      </c>
    </row>
    <row r="10886">
      <c r="A10886" s="1" t="s">
        <v>8</v>
      </c>
      <c r="B10886" s="2">
        <v>44743.0</v>
      </c>
      <c r="C10886" s="3">
        <v>0.3474189814814815</v>
      </c>
      <c r="D10886" s="1">
        <v>12.942236</v>
      </c>
      <c r="E10886" s="1">
        <v>80.132924</v>
      </c>
      <c r="F10886" s="1">
        <v>805.0</v>
      </c>
      <c r="G10886" s="1">
        <v>31.0</v>
      </c>
    </row>
    <row r="10887">
      <c r="A10887" s="1" t="s">
        <v>8</v>
      </c>
      <c r="B10887" s="2">
        <v>44743.0</v>
      </c>
      <c r="C10887" s="3">
        <v>0.3475</v>
      </c>
      <c r="D10887" s="1">
        <v>12.942236</v>
      </c>
      <c r="E10887" s="1">
        <v>80.132924</v>
      </c>
      <c r="F10887" s="1">
        <v>805.0</v>
      </c>
      <c r="G10887" s="1">
        <v>31.0</v>
      </c>
    </row>
    <row r="10888">
      <c r="A10888" s="1" t="s">
        <v>8</v>
      </c>
      <c r="B10888" s="2">
        <v>44743.0</v>
      </c>
      <c r="C10888" s="3">
        <v>0.34752314814814816</v>
      </c>
      <c r="D10888" s="1">
        <v>12.942236</v>
      </c>
      <c r="E10888" s="1">
        <v>80.132924</v>
      </c>
      <c r="F10888" s="1">
        <v>805.0</v>
      </c>
      <c r="G10888" s="1">
        <v>31.0</v>
      </c>
    </row>
    <row r="10889">
      <c r="A10889" s="1" t="s">
        <v>8</v>
      </c>
      <c r="B10889" s="2">
        <v>44743.0</v>
      </c>
      <c r="C10889" s="3">
        <v>0.3475925925925926</v>
      </c>
      <c r="D10889" s="1">
        <v>12.941382</v>
      </c>
      <c r="E10889" s="1">
        <v>80.132061</v>
      </c>
      <c r="F10889" s="1">
        <v>805.0</v>
      </c>
      <c r="G10889" s="1">
        <v>30.0</v>
      </c>
    </row>
    <row r="10890">
      <c r="A10890" s="1" t="s">
        <v>8</v>
      </c>
      <c r="B10890" s="2">
        <v>44743.0</v>
      </c>
      <c r="C10890" s="3">
        <v>0.348125</v>
      </c>
      <c r="D10890" s="1">
        <v>12.937871</v>
      </c>
      <c r="E10890" s="1">
        <v>80.128708</v>
      </c>
      <c r="F10890" s="1">
        <v>805.0</v>
      </c>
      <c r="G10890" s="1">
        <v>41.0</v>
      </c>
    </row>
    <row r="10891">
      <c r="A10891" s="1" t="s">
        <v>10</v>
      </c>
      <c r="B10891" s="2">
        <v>44743.0</v>
      </c>
      <c r="C10891" s="3">
        <v>0.34828703703703706</v>
      </c>
      <c r="D10891" s="1">
        <v>12.87589</v>
      </c>
      <c r="E10891" s="1">
        <v>80.083717</v>
      </c>
      <c r="F10891" s="1">
        <v>5339.0</v>
      </c>
      <c r="G10891" s="1">
        <v>0.0</v>
      </c>
    </row>
    <row r="10892">
      <c r="A10892" s="1" t="s">
        <v>8</v>
      </c>
      <c r="B10892" s="2">
        <v>44743.0</v>
      </c>
      <c r="C10892" s="3">
        <v>0.34836805555555556</v>
      </c>
      <c r="D10892" s="1">
        <v>12.936709</v>
      </c>
      <c r="E10892" s="1">
        <v>80.127709</v>
      </c>
      <c r="F10892" s="1">
        <v>805.0</v>
      </c>
      <c r="G10892" s="1">
        <v>34.0</v>
      </c>
    </row>
    <row r="10893">
      <c r="A10893" s="1" t="s">
        <v>8</v>
      </c>
      <c r="B10893" s="2">
        <v>44743.0</v>
      </c>
      <c r="C10893" s="3">
        <v>0.34847222222222224</v>
      </c>
      <c r="D10893" s="1">
        <v>12.935493</v>
      </c>
      <c r="E10893" s="1">
        <v>80.12665</v>
      </c>
      <c r="F10893" s="1">
        <v>805.0</v>
      </c>
      <c r="G10893" s="1">
        <v>45.0</v>
      </c>
    </row>
    <row r="10894">
      <c r="A10894" s="1" t="s">
        <v>8</v>
      </c>
      <c r="B10894" s="2">
        <v>44743.0</v>
      </c>
      <c r="C10894" s="3">
        <v>0.34850694444444447</v>
      </c>
      <c r="D10894" s="1">
        <v>12.935493</v>
      </c>
      <c r="E10894" s="1">
        <v>80.12665</v>
      </c>
      <c r="F10894" s="1">
        <v>805.0</v>
      </c>
      <c r="G10894" s="1">
        <v>45.0</v>
      </c>
    </row>
    <row r="10895">
      <c r="A10895" s="1" t="s">
        <v>8</v>
      </c>
      <c r="B10895" s="2">
        <v>44743.0</v>
      </c>
      <c r="C10895" s="3">
        <v>0.3490740740740741</v>
      </c>
      <c r="D10895" s="1">
        <v>12.931952</v>
      </c>
      <c r="E10895" s="1">
        <v>80.123293</v>
      </c>
      <c r="F10895" s="1">
        <v>805.0</v>
      </c>
      <c r="G10895" s="1">
        <v>17.0</v>
      </c>
    </row>
    <row r="10896">
      <c r="A10896" s="1" t="s">
        <v>8</v>
      </c>
      <c r="B10896" s="2">
        <v>44743.0</v>
      </c>
      <c r="C10896" s="3">
        <v>0.3494097222222222</v>
      </c>
      <c r="D10896" s="1">
        <v>12.931205</v>
      </c>
      <c r="E10896" s="1">
        <v>80.122502</v>
      </c>
      <c r="F10896" s="1">
        <v>805.0</v>
      </c>
      <c r="G10896" s="1">
        <v>32.0</v>
      </c>
    </row>
    <row r="10897">
      <c r="A10897" s="1" t="s">
        <v>8</v>
      </c>
      <c r="B10897" s="2">
        <v>44743.0</v>
      </c>
      <c r="C10897" s="3">
        <v>0.3495138888888889</v>
      </c>
      <c r="D10897" s="1">
        <v>12.931205</v>
      </c>
      <c r="E10897" s="1">
        <v>80.122502</v>
      </c>
      <c r="F10897" s="1">
        <v>805.0</v>
      </c>
      <c r="G10897" s="1">
        <v>32.0</v>
      </c>
    </row>
    <row r="10898">
      <c r="A10898" s="1" t="s">
        <v>8</v>
      </c>
      <c r="B10898" s="2">
        <v>44743.0</v>
      </c>
      <c r="C10898" s="3">
        <v>0.3496064814814815</v>
      </c>
      <c r="D10898" s="1">
        <v>12.930037</v>
      </c>
      <c r="E10898" s="1">
        <v>80.121303</v>
      </c>
      <c r="F10898" s="1">
        <v>805.0</v>
      </c>
      <c r="G10898" s="1">
        <v>44.0</v>
      </c>
    </row>
    <row r="10899">
      <c r="A10899" s="1" t="s">
        <v>8</v>
      </c>
      <c r="B10899" s="2">
        <v>44743.0</v>
      </c>
      <c r="C10899" s="3">
        <v>0.3497800925925926</v>
      </c>
      <c r="D10899" s="1">
        <v>12.928616</v>
      </c>
      <c r="E10899" s="1">
        <v>80.119789</v>
      </c>
      <c r="F10899" s="1">
        <v>805.0</v>
      </c>
      <c r="G10899" s="1">
        <v>58.0</v>
      </c>
    </row>
    <row r="10900">
      <c r="A10900" s="1" t="s">
        <v>8</v>
      </c>
      <c r="B10900" s="2">
        <v>44743.0</v>
      </c>
      <c r="C10900" s="3">
        <v>0.3503587962962963</v>
      </c>
      <c r="D10900" s="1">
        <v>12.924602</v>
      </c>
      <c r="E10900" s="1">
        <v>80.115777</v>
      </c>
      <c r="F10900" s="1">
        <v>805.0</v>
      </c>
      <c r="G10900" s="1">
        <v>62.0</v>
      </c>
    </row>
    <row r="10901">
      <c r="A10901" s="1" t="s">
        <v>8</v>
      </c>
      <c r="B10901" s="2">
        <v>44743.0</v>
      </c>
      <c r="C10901" s="3">
        <v>0.35055555555555556</v>
      </c>
      <c r="D10901" s="1">
        <v>12.923254</v>
      </c>
      <c r="E10901" s="1">
        <v>80.114477</v>
      </c>
      <c r="F10901" s="1">
        <v>805.0</v>
      </c>
      <c r="G10901" s="1">
        <v>14.0</v>
      </c>
    </row>
    <row r="10902">
      <c r="A10902" s="1" t="s">
        <v>8</v>
      </c>
      <c r="B10902" s="2">
        <v>44743.0</v>
      </c>
      <c r="C10902" s="3">
        <v>0.350625</v>
      </c>
      <c r="D10902" s="1">
        <v>12.923254</v>
      </c>
      <c r="E10902" s="1">
        <v>80.114477</v>
      </c>
      <c r="F10902" s="1">
        <v>805.0</v>
      </c>
      <c r="G10902" s="1">
        <v>14.0</v>
      </c>
    </row>
    <row r="10903">
      <c r="A10903" s="1" t="s">
        <v>7</v>
      </c>
      <c r="B10903" s="2">
        <v>44743.0</v>
      </c>
      <c r="C10903" s="3">
        <v>0.3508449074074074</v>
      </c>
      <c r="D10903" s="1">
        <v>12.92287</v>
      </c>
      <c r="E10903" s="1">
        <v>80.114091</v>
      </c>
      <c r="F10903" s="1">
        <v>805.0</v>
      </c>
      <c r="G10903" s="1">
        <v>27.0</v>
      </c>
    </row>
    <row r="10904">
      <c r="A10904" s="1" t="s">
        <v>7</v>
      </c>
      <c r="B10904" s="2">
        <v>44743.0</v>
      </c>
      <c r="C10904" s="3">
        <v>0.35105324074074074</v>
      </c>
      <c r="D10904" s="1">
        <v>12.921619</v>
      </c>
      <c r="E10904" s="1">
        <v>80.112835</v>
      </c>
      <c r="F10904" s="1">
        <v>805.0</v>
      </c>
      <c r="G10904" s="1">
        <v>50.0</v>
      </c>
    </row>
    <row r="10905">
      <c r="A10905" s="1" t="s">
        <v>8</v>
      </c>
      <c r="B10905" s="2">
        <v>44743.0</v>
      </c>
      <c r="C10905" s="3">
        <v>0.3515509259259259</v>
      </c>
      <c r="D10905" s="1">
        <v>12.918621</v>
      </c>
      <c r="E10905" s="1">
        <v>80.109386</v>
      </c>
      <c r="F10905" s="1">
        <v>805.0</v>
      </c>
      <c r="G10905" s="1">
        <v>57.0</v>
      </c>
    </row>
    <row r="10906">
      <c r="A10906" s="1" t="s">
        <v>8</v>
      </c>
      <c r="B10906" s="2">
        <v>44743.0</v>
      </c>
      <c r="C10906" s="3">
        <v>0.3519675925925926</v>
      </c>
      <c r="D10906" s="1">
        <v>12.91705</v>
      </c>
      <c r="E10906" s="1">
        <v>80.107304</v>
      </c>
      <c r="F10906" s="1">
        <v>805.0</v>
      </c>
      <c r="G10906" s="1">
        <v>5.0</v>
      </c>
    </row>
    <row r="10907">
      <c r="A10907" s="1" t="s">
        <v>8</v>
      </c>
      <c r="B10907" s="2">
        <v>44743.0</v>
      </c>
      <c r="C10907" s="3">
        <v>0.35203703703703704</v>
      </c>
      <c r="D10907" s="1">
        <v>12.91705</v>
      </c>
      <c r="E10907" s="1">
        <v>80.107304</v>
      </c>
      <c r="F10907" s="1">
        <v>805.0</v>
      </c>
      <c r="G10907" s="1">
        <v>5.0</v>
      </c>
    </row>
    <row r="10908">
      <c r="A10908" s="1" t="s">
        <v>9</v>
      </c>
      <c r="B10908" s="2">
        <v>44743.0</v>
      </c>
      <c r="C10908" s="3">
        <v>0.3522222222222222</v>
      </c>
      <c r="D10908" s="1">
        <v>12.916496</v>
      </c>
      <c r="E10908" s="1">
        <v>80.10625</v>
      </c>
      <c r="F10908" s="1">
        <v>805.0</v>
      </c>
      <c r="G10908" s="1">
        <v>46.0</v>
      </c>
    </row>
    <row r="10909">
      <c r="A10909" s="1" t="s">
        <v>8</v>
      </c>
      <c r="B10909" s="2">
        <v>44743.0</v>
      </c>
      <c r="C10909" s="3">
        <v>0.35313657407407406</v>
      </c>
      <c r="D10909" s="1">
        <v>12.909711</v>
      </c>
      <c r="E10909" s="1">
        <v>80.100045</v>
      </c>
      <c r="F10909" s="1">
        <v>805.0</v>
      </c>
      <c r="G10909" s="1">
        <v>36.0</v>
      </c>
    </row>
    <row r="10910">
      <c r="A10910" s="1" t="s">
        <v>8</v>
      </c>
      <c r="B10910" s="2">
        <v>44743.0</v>
      </c>
      <c r="C10910" s="3">
        <v>0.35434027777777777</v>
      </c>
      <c r="D10910" s="1">
        <v>12.906366</v>
      </c>
      <c r="E10910" s="1">
        <v>80.096482</v>
      </c>
      <c r="F10910" s="1">
        <v>805.0</v>
      </c>
      <c r="G10910" s="1">
        <v>16.0</v>
      </c>
    </row>
    <row r="10911">
      <c r="A10911" s="1" t="s">
        <v>8</v>
      </c>
      <c r="B10911" s="2">
        <v>44743.0</v>
      </c>
      <c r="C10911" s="3">
        <v>0.35445601851851855</v>
      </c>
      <c r="D10911" s="1">
        <v>12.905765</v>
      </c>
      <c r="E10911" s="1">
        <v>80.095987</v>
      </c>
      <c r="F10911" s="1">
        <v>805.0</v>
      </c>
      <c r="G10911" s="1">
        <v>20.0</v>
      </c>
    </row>
    <row r="10912">
      <c r="A10912" s="1" t="s">
        <v>7</v>
      </c>
      <c r="B10912" s="2">
        <v>44743.0</v>
      </c>
      <c r="C10912" s="3">
        <v>0.35561342592592593</v>
      </c>
      <c r="D10912" s="1">
        <v>12.898195</v>
      </c>
      <c r="E10912" s="1">
        <v>80.090174</v>
      </c>
      <c r="F10912" s="1">
        <v>805.0</v>
      </c>
      <c r="G10912" s="1">
        <v>40.0</v>
      </c>
    </row>
    <row r="10913">
      <c r="A10913" s="1" t="s">
        <v>8</v>
      </c>
      <c r="B10913" s="2">
        <v>44743.0</v>
      </c>
      <c r="C10913" s="3">
        <v>0.35653935185185187</v>
      </c>
      <c r="D10913" s="1">
        <v>12.89313</v>
      </c>
      <c r="E10913" s="1">
        <v>80.086339</v>
      </c>
      <c r="F10913" s="1">
        <v>805.0</v>
      </c>
      <c r="G10913" s="1">
        <v>13.0</v>
      </c>
    </row>
    <row r="10914">
      <c r="A10914" s="1" t="s">
        <v>8</v>
      </c>
      <c r="B10914" s="2">
        <v>44743.0</v>
      </c>
      <c r="C10914" s="3">
        <v>0.35694444444444445</v>
      </c>
      <c r="D10914" s="1">
        <v>12.892304</v>
      </c>
      <c r="E10914" s="1">
        <v>80.08572</v>
      </c>
      <c r="F10914" s="1">
        <v>805.0</v>
      </c>
      <c r="G10914" s="1">
        <v>22.0</v>
      </c>
    </row>
    <row r="10915">
      <c r="A10915" s="1" t="s">
        <v>8</v>
      </c>
      <c r="B10915" s="2">
        <v>44743.0</v>
      </c>
      <c r="C10915" s="3">
        <v>0.3572337962962963</v>
      </c>
      <c r="D10915" s="1">
        <v>12.889051</v>
      </c>
      <c r="E10915" s="1">
        <v>80.084201</v>
      </c>
      <c r="F10915" s="1">
        <v>805.0</v>
      </c>
      <c r="G10915" s="1">
        <v>53.0</v>
      </c>
    </row>
    <row r="10916">
      <c r="A10916" s="1" t="s">
        <v>8</v>
      </c>
      <c r="B10916" s="2">
        <v>44743.0</v>
      </c>
      <c r="C10916" s="3">
        <v>0.3573148148148148</v>
      </c>
      <c r="D10916" s="1">
        <v>12.889051</v>
      </c>
      <c r="E10916" s="1">
        <v>80.084201</v>
      </c>
      <c r="F10916" s="1">
        <v>805.0</v>
      </c>
      <c r="G10916" s="1">
        <v>53.0</v>
      </c>
    </row>
    <row r="10917">
      <c r="A10917" s="1" t="s">
        <v>8</v>
      </c>
      <c r="B10917" s="2">
        <v>44743.0</v>
      </c>
      <c r="C10917" s="3">
        <v>0.35738425925925926</v>
      </c>
      <c r="D10917" s="1">
        <v>12.887049</v>
      </c>
      <c r="E10917" s="1">
        <v>80.083382</v>
      </c>
      <c r="F10917" s="1">
        <v>805.0</v>
      </c>
      <c r="G10917" s="1">
        <v>53.0</v>
      </c>
    </row>
    <row r="10918">
      <c r="A10918" s="1" t="s">
        <v>8</v>
      </c>
      <c r="B10918" s="2">
        <v>44743.0</v>
      </c>
      <c r="C10918" s="3">
        <v>0.3576273148148148</v>
      </c>
      <c r="D10918" s="1">
        <v>12.885281</v>
      </c>
      <c r="E10918" s="1">
        <v>80.082671</v>
      </c>
      <c r="F10918" s="1">
        <v>805.0</v>
      </c>
      <c r="G10918" s="1">
        <v>42.0</v>
      </c>
    </row>
    <row r="10919">
      <c r="A10919" s="1" t="s">
        <v>8</v>
      </c>
      <c r="B10919" s="2">
        <v>44743.0</v>
      </c>
      <c r="C10919" s="3">
        <v>0.35766203703703703</v>
      </c>
      <c r="D10919" s="1">
        <v>12.885281</v>
      </c>
      <c r="E10919" s="1">
        <v>80.082671</v>
      </c>
      <c r="F10919" s="1">
        <v>805.0</v>
      </c>
      <c r="G10919" s="1">
        <v>42.0</v>
      </c>
    </row>
    <row r="10920">
      <c r="A10920" s="1" t="s">
        <v>8</v>
      </c>
      <c r="B10920" s="2">
        <v>44743.0</v>
      </c>
      <c r="C10920" s="3">
        <v>0.3576736111111111</v>
      </c>
      <c r="D10920" s="1">
        <v>12.885281</v>
      </c>
      <c r="E10920" s="1">
        <v>80.082671</v>
      </c>
      <c r="F10920" s="1">
        <v>805.0</v>
      </c>
      <c r="G10920" s="1">
        <v>42.0</v>
      </c>
    </row>
    <row r="10921">
      <c r="A10921" s="1" t="s">
        <v>8</v>
      </c>
      <c r="B10921" s="2">
        <v>44743.0</v>
      </c>
      <c r="C10921" s="3">
        <v>0.35769675925925926</v>
      </c>
      <c r="D10921" s="1">
        <v>12.885281</v>
      </c>
      <c r="E10921" s="1">
        <v>80.082671</v>
      </c>
      <c r="F10921" s="1">
        <v>805.0</v>
      </c>
      <c r="G10921" s="1">
        <v>42.0</v>
      </c>
    </row>
    <row r="10922">
      <c r="A10922" s="1" t="s">
        <v>8</v>
      </c>
      <c r="B10922" s="2">
        <v>44743.0</v>
      </c>
      <c r="C10922" s="3">
        <v>0.35769675925925926</v>
      </c>
      <c r="D10922" s="1">
        <v>12.885281</v>
      </c>
      <c r="E10922" s="1">
        <v>80.082671</v>
      </c>
      <c r="F10922" s="1">
        <v>805.0</v>
      </c>
      <c r="G10922" s="1">
        <v>42.0</v>
      </c>
    </row>
    <row r="10923">
      <c r="A10923" s="1" t="s">
        <v>10</v>
      </c>
      <c r="B10923" s="2">
        <v>44743.0</v>
      </c>
      <c r="C10923" s="3">
        <v>0.3616087962962963</v>
      </c>
      <c r="D10923" s="1">
        <v>12.876186</v>
      </c>
      <c r="E10923" s="1">
        <v>80.084154</v>
      </c>
      <c r="F10923" s="1">
        <v>805.0</v>
      </c>
      <c r="G10923" s="1">
        <v>0.0</v>
      </c>
    </row>
    <row r="10924">
      <c r="A10924" s="1" t="s">
        <v>10</v>
      </c>
      <c r="B10924" s="2">
        <v>44743.0</v>
      </c>
      <c r="C10924" s="3">
        <v>0.3640509259259259</v>
      </c>
      <c r="D10924" s="1">
        <v>12.875968</v>
      </c>
      <c r="E10924" s="1">
        <v>80.083027</v>
      </c>
      <c r="F10924" s="1">
        <v>805.0</v>
      </c>
      <c r="G10924" s="1">
        <v>0.0</v>
      </c>
    </row>
    <row r="10925">
      <c r="A10925" s="1" t="s">
        <v>8</v>
      </c>
      <c r="B10925" s="2">
        <v>44743.0</v>
      </c>
      <c r="C10925" s="3">
        <v>0.672974537037037</v>
      </c>
      <c r="D10925" s="1">
        <v>12.875854</v>
      </c>
      <c r="E10925" s="1">
        <v>80.083766</v>
      </c>
      <c r="F10925" s="1">
        <v>805.0</v>
      </c>
      <c r="G10925" s="1">
        <v>0.0</v>
      </c>
    </row>
    <row r="10926">
      <c r="A10926" s="1" t="s">
        <v>8</v>
      </c>
      <c r="B10926" s="2">
        <v>44743.0</v>
      </c>
      <c r="C10926" s="3">
        <v>0.672974537037037</v>
      </c>
      <c r="D10926" s="1">
        <v>12.875854</v>
      </c>
      <c r="E10926" s="1">
        <v>80.083766</v>
      </c>
      <c r="F10926" s="1">
        <v>805.0</v>
      </c>
      <c r="G10926" s="1">
        <v>0.0</v>
      </c>
    </row>
    <row r="10927">
      <c r="A10927" s="1" t="s">
        <v>8</v>
      </c>
      <c r="B10927" s="2">
        <v>44743.0</v>
      </c>
      <c r="C10927" s="3">
        <v>0.6729976851851852</v>
      </c>
      <c r="D10927" s="1">
        <v>12.875854</v>
      </c>
      <c r="E10927" s="1">
        <v>80.083766</v>
      </c>
      <c r="F10927" s="1">
        <v>805.0</v>
      </c>
      <c r="G10927" s="1">
        <v>0.0</v>
      </c>
    </row>
    <row r="10928">
      <c r="A10928" s="1" t="s">
        <v>8</v>
      </c>
      <c r="B10928" s="2">
        <v>44743.0</v>
      </c>
      <c r="C10928" s="3">
        <v>0.6730092592592593</v>
      </c>
      <c r="D10928" s="1">
        <v>12.875854</v>
      </c>
      <c r="E10928" s="1">
        <v>80.083766</v>
      </c>
      <c r="F10928" s="1">
        <v>805.0</v>
      </c>
      <c r="G10928" s="1">
        <v>0.0</v>
      </c>
    </row>
    <row r="10929">
      <c r="A10929" s="1" t="s">
        <v>8</v>
      </c>
      <c r="B10929" s="2">
        <v>44743.0</v>
      </c>
      <c r="C10929" s="3">
        <v>0.6730208333333333</v>
      </c>
      <c r="D10929" s="1">
        <v>12.875854</v>
      </c>
      <c r="E10929" s="1">
        <v>80.083766</v>
      </c>
      <c r="F10929" s="1">
        <v>805.0</v>
      </c>
      <c r="G10929" s="1">
        <v>0.0</v>
      </c>
    </row>
    <row r="10930">
      <c r="A10930" s="1" t="s">
        <v>8</v>
      </c>
      <c r="B10930" s="2">
        <v>44743.0</v>
      </c>
      <c r="C10930" s="3">
        <v>0.6730671296296297</v>
      </c>
      <c r="D10930" s="1">
        <v>12.878378</v>
      </c>
      <c r="E10930" s="1">
        <v>80.082114</v>
      </c>
      <c r="F10930" s="1">
        <v>2846.0</v>
      </c>
      <c r="G10930" s="1">
        <v>57.0</v>
      </c>
    </row>
    <row r="10931">
      <c r="A10931" s="1" t="s">
        <v>9</v>
      </c>
      <c r="B10931" s="2">
        <v>44743.0</v>
      </c>
      <c r="C10931" s="3">
        <v>0.6736805555555555</v>
      </c>
      <c r="D10931" s="1">
        <v>12.87533</v>
      </c>
      <c r="E10931" s="1">
        <v>80.07882</v>
      </c>
      <c r="F10931" s="1">
        <v>2846.0</v>
      </c>
      <c r="G10931" s="1">
        <v>50.0</v>
      </c>
    </row>
    <row r="10932">
      <c r="A10932" s="1" t="s">
        <v>8</v>
      </c>
      <c r="B10932" s="2">
        <v>44743.0</v>
      </c>
      <c r="C10932" s="3">
        <v>0.674074074074074</v>
      </c>
      <c r="D10932" s="1">
        <v>12.881826</v>
      </c>
      <c r="E10932" s="1">
        <v>80.080841</v>
      </c>
      <c r="F10932" s="1">
        <v>805.0</v>
      </c>
      <c r="G10932" s="1">
        <v>30.0</v>
      </c>
    </row>
    <row r="10933">
      <c r="A10933" s="1" t="s">
        <v>7</v>
      </c>
      <c r="B10933" s="2">
        <v>44743.0</v>
      </c>
      <c r="C10933" s="3">
        <v>0.674212962962963</v>
      </c>
      <c r="D10933" s="1">
        <v>12.871129</v>
      </c>
      <c r="E10933" s="1">
        <v>80.07709</v>
      </c>
      <c r="F10933" s="1">
        <v>2846.0</v>
      </c>
      <c r="G10933" s="1">
        <v>56.0</v>
      </c>
    </row>
    <row r="10934">
      <c r="A10934" s="1" t="s">
        <v>7</v>
      </c>
      <c r="B10934" s="2">
        <v>44743.0</v>
      </c>
      <c r="C10934" s="3">
        <v>0.6744097222222222</v>
      </c>
      <c r="D10934" s="1">
        <v>12.871129</v>
      </c>
      <c r="E10934" s="1">
        <v>80.07709</v>
      </c>
      <c r="F10934" s="1">
        <v>2846.0</v>
      </c>
      <c r="G10934" s="1">
        <v>56.0</v>
      </c>
    </row>
    <row r="10935">
      <c r="A10935" s="1" t="s">
        <v>8</v>
      </c>
      <c r="B10935" s="2">
        <v>44743.0</v>
      </c>
      <c r="C10935" s="3">
        <v>0.6744791666666666</v>
      </c>
      <c r="D10935" s="1">
        <v>12.869766</v>
      </c>
      <c r="E10935" s="1">
        <v>80.076567</v>
      </c>
      <c r="F10935" s="1">
        <v>2846.0</v>
      </c>
      <c r="G10935" s="1">
        <v>57.0</v>
      </c>
    </row>
    <row r="10936">
      <c r="A10936" s="1" t="s">
        <v>9</v>
      </c>
      <c r="B10936" s="2">
        <v>44743.0</v>
      </c>
      <c r="C10936" s="3">
        <v>0.6744907407407408</v>
      </c>
      <c r="D10936" s="1">
        <v>12.867262</v>
      </c>
      <c r="E10936" s="1">
        <v>80.07556</v>
      </c>
      <c r="F10936" s="1">
        <v>2846.0</v>
      </c>
      <c r="G10936" s="1">
        <v>40.0</v>
      </c>
    </row>
    <row r="10937">
      <c r="A10937" s="1" t="s">
        <v>8</v>
      </c>
      <c r="B10937" s="2">
        <v>44743.0</v>
      </c>
      <c r="C10937" s="3">
        <v>0.6745717592592593</v>
      </c>
      <c r="D10937" s="1">
        <v>12.881826</v>
      </c>
      <c r="E10937" s="1">
        <v>80.080841</v>
      </c>
      <c r="F10937" s="1">
        <v>805.0</v>
      </c>
      <c r="G10937" s="1">
        <v>30.0</v>
      </c>
    </row>
    <row r="10938">
      <c r="A10938" s="1" t="s">
        <v>8</v>
      </c>
      <c r="B10938" s="2">
        <v>44743.0</v>
      </c>
      <c r="C10938" s="3">
        <v>0.6746412037037037</v>
      </c>
      <c r="D10938" s="1">
        <v>12.866534</v>
      </c>
      <c r="E10938" s="1">
        <v>80.07526</v>
      </c>
      <c r="F10938" s="1">
        <v>2846.0</v>
      </c>
      <c r="G10938" s="1">
        <v>29.0</v>
      </c>
    </row>
    <row r="10939">
      <c r="A10939" s="1" t="s">
        <v>7</v>
      </c>
      <c r="B10939" s="2">
        <v>44743.0</v>
      </c>
      <c r="C10939" s="3">
        <v>0.6746527777777778</v>
      </c>
      <c r="D10939" s="1">
        <v>12.892304</v>
      </c>
      <c r="E10939" s="1">
        <v>80.085585</v>
      </c>
      <c r="F10939" s="1">
        <v>805.0</v>
      </c>
      <c r="G10939" s="1">
        <v>53.0</v>
      </c>
    </row>
    <row r="10940">
      <c r="A10940" s="1" t="s">
        <v>8</v>
      </c>
      <c r="B10940" s="2">
        <v>44743.0</v>
      </c>
      <c r="C10940" s="3">
        <v>0.6750115740740741</v>
      </c>
      <c r="D10940" s="1">
        <v>12.895756</v>
      </c>
      <c r="E10940" s="1">
        <v>80.08812</v>
      </c>
      <c r="F10940" s="1">
        <v>805.0</v>
      </c>
      <c r="G10940" s="1">
        <v>49.0</v>
      </c>
    </row>
    <row r="10941">
      <c r="A10941" s="1" t="s">
        <v>8</v>
      </c>
      <c r="B10941" s="2">
        <v>44743.0</v>
      </c>
      <c r="C10941" s="3">
        <v>0.6751157407407408</v>
      </c>
      <c r="D10941" s="1">
        <v>12.896855</v>
      </c>
      <c r="E10941" s="1">
        <v>80.08894</v>
      </c>
      <c r="F10941" s="1">
        <v>805.0</v>
      </c>
      <c r="G10941" s="1">
        <v>50.0</v>
      </c>
    </row>
    <row r="10942">
      <c r="A10942" s="1" t="s">
        <v>8</v>
      </c>
      <c r="B10942" s="2">
        <v>44743.0</v>
      </c>
      <c r="C10942" s="3">
        <v>0.675150462962963</v>
      </c>
      <c r="D10942" s="1">
        <v>12.896855</v>
      </c>
      <c r="E10942" s="1">
        <v>80.08894</v>
      </c>
      <c r="F10942" s="1">
        <v>805.0</v>
      </c>
      <c r="G10942" s="1">
        <v>50.0</v>
      </c>
    </row>
    <row r="10943">
      <c r="A10943" s="1" t="s">
        <v>7</v>
      </c>
      <c r="B10943" s="2">
        <v>44743.0</v>
      </c>
      <c r="C10943" s="3">
        <v>0.6752893518518519</v>
      </c>
      <c r="D10943" s="1">
        <v>12.860907</v>
      </c>
      <c r="E10943" s="1">
        <v>80.072893</v>
      </c>
      <c r="F10943" s="1">
        <v>2846.0</v>
      </c>
      <c r="G10943" s="1">
        <v>55.0</v>
      </c>
    </row>
    <row r="10944">
      <c r="A10944" s="1" t="s">
        <v>8</v>
      </c>
      <c r="B10944" s="2">
        <v>44743.0</v>
      </c>
      <c r="C10944" s="3">
        <v>0.6755555555555556</v>
      </c>
      <c r="D10944" s="1">
        <v>12.90122</v>
      </c>
      <c r="E10944" s="1">
        <v>80.092215</v>
      </c>
      <c r="F10944" s="1">
        <v>805.0</v>
      </c>
      <c r="G10944" s="1">
        <v>56.0</v>
      </c>
    </row>
    <row r="10945">
      <c r="A10945" s="1" t="s">
        <v>8</v>
      </c>
      <c r="B10945" s="2">
        <v>44743.0</v>
      </c>
      <c r="C10945" s="3">
        <v>0.6756481481481481</v>
      </c>
      <c r="D10945" s="1">
        <v>12.859816</v>
      </c>
      <c r="E10945" s="1">
        <v>80.07218</v>
      </c>
      <c r="F10945" s="1">
        <v>2846.0</v>
      </c>
      <c r="G10945" s="1">
        <v>51.0</v>
      </c>
    </row>
    <row r="10946">
      <c r="A10946" s="1" t="s">
        <v>8</v>
      </c>
      <c r="B10946" s="2">
        <v>44743.0</v>
      </c>
      <c r="C10946" s="3">
        <v>0.6756712962962963</v>
      </c>
      <c r="D10946" s="1">
        <v>12.902278</v>
      </c>
      <c r="E10946" s="1">
        <v>80.092998</v>
      </c>
      <c r="F10946" s="1">
        <v>805.0</v>
      </c>
      <c r="G10946" s="1">
        <v>37.0</v>
      </c>
    </row>
    <row r="10947">
      <c r="A10947" s="1" t="s">
        <v>8</v>
      </c>
      <c r="B10947" s="2">
        <v>44743.0</v>
      </c>
      <c r="C10947" s="3">
        <v>0.6757638888888889</v>
      </c>
      <c r="D10947" s="1">
        <v>12.85533</v>
      </c>
      <c r="E10947" s="1">
        <v>80.068731</v>
      </c>
      <c r="F10947" s="1">
        <v>2846.0</v>
      </c>
      <c r="G10947" s="1">
        <v>58.0</v>
      </c>
    </row>
    <row r="10948">
      <c r="A10948" s="1" t="s">
        <v>8</v>
      </c>
      <c r="B10948" s="2">
        <v>44743.0</v>
      </c>
      <c r="C10948" s="3">
        <v>0.6757986111111111</v>
      </c>
      <c r="D10948" s="1">
        <v>12.902972</v>
      </c>
      <c r="E10948" s="1">
        <v>80.093512</v>
      </c>
      <c r="F10948" s="1">
        <v>805.0</v>
      </c>
      <c r="G10948" s="1">
        <v>39.0</v>
      </c>
    </row>
    <row r="10949">
      <c r="A10949" s="1" t="s">
        <v>8</v>
      </c>
      <c r="B10949" s="2">
        <v>44743.0</v>
      </c>
      <c r="C10949" s="3">
        <v>0.6759143518518519</v>
      </c>
      <c r="D10949" s="1">
        <v>12.85533</v>
      </c>
      <c r="E10949" s="1">
        <v>80.068731</v>
      </c>
      <c r="F10949" s="1">
        <v>2846.0</v>
      </c>
      <c r="G10949" s="1">
        <v>58.0</v>
      </c>
    </row>
    <row r="10950">
      <c r="A10950" s="1" t="s">
        <v>7</v>
      </c>
      <c r="B10950" s="2">
        <v>44743.0</v>
      </c>
      <c r="C10950" s="3">
        <v>0.6761921296296296</v>
      </c>
      <c r="D10950" s="1">
        <v>12.85308</v>
      </c>
      <c r="E10950" s="1">
        <v>80.067104</v>
      </c>
      <c r="F10950" s="1">
        <v>2846.0</v>
      </c>
      <c r="G10950" s="1">
        <v>50.0</v>
      </c>
    </row>
    <row r="10951">
      <c r="A10951" s="1" t="s">
        <v>8</v>
      </c>
      <c r="B10951" s="2">
        <v>44743.0</v>
      </c>
      <c r="C10951" s="3">
        <v>0.6764583333333334</v>
      </c>
      <c r="D10951" s="1">
        <v>12.848823</v>
      </c>
      <c r="E10951" s="1">
        <v>80.064005</v>
      </c>
      <c r="F10951" s="1">
        <v>2846.0</v>
      </c>
      <c r="G10951" s="1">
        <v>52.0</v>
      </c>
    </row>
    <row r="10952">
      <c r="A10952" s="1" t="s">
        <v>7</v>
      </c>
      <c r="B10952" s="2">
        <v>44743.0</v>
      </c>
      <c r="C10952" s="3">
        <v>0.6765277777777777</v>
      </c>
      <c r="D10952" s="1">
        <v>12.907711</v>
      </c>
      <c r="E10952" s="1">
        <v>80.097119</v>
      </c>
      <c r="F10952" s="1">
        <v>805.0</v>
      </c>
      <c r="G10952" s="1">
        <v>56.0</v>
      </c>
    </row>
    <row r="10953">
      <c r="A10953" s="1" t="s">
        <v>8</v>
      </c>
      <c r="B10953" s="2">
        <v>44743.0</v>
      </c>
      <c r="C10953" s="3">
        <v>0.6772222222222222</v>
      </c>
      <c r="D10953" s="1">
        <v>12.912761</v>
      </c>
      <c r="E10953" s="1">
        <v>80.101431</v>
      </c>
      <c r="F10953" s="1">
        <v>805.0</v>
      </c>
      <c r="G10953" s="1">
        <v>44.0</v>
      </c>
    </row>
    <row r="10954">
      <c r="A10954" s="1" t="s">
        <v>9</v>
      </c>
      <c r="B10954" s="2">
        <v>44743.0</v>
      </c>
      <c r="C10954" s="3">
        <v>0.6772569444444444</v>
      </c>
      <c r="D10954" s="1">
        <v>12.912761</v>
      </c>
      <c r="E10954" s="1">
        <v>80.101431</v>
      </c>
      <c r="F10954" s="1">
        <v>805.0</v>
      </c>
      <c r="G10954" s="1">
        <v>44.0</v>
      </c>
    </row>
    <row r="10955">
      <c r="A10955" s="1" t="s">
        <v>8</v>
      </c>
      <c r="B10955" s="2">
        <v>44743.0</v>
      </c>
      <c r="C10955" s="3">
        <v>0.6774768518518518</v>
      </c>
      <c r="D10955" s="1">
        <v>12.915092</v>
      </c>
      <c r="E10955" s="1">
        <v>80.102125</v>
      </c>
      <c r="F10955" s="1">
        <v>805.0</v>
      </c>
      <c r="G10955" s="1">
        <v>58.0</v>
      </c>
    </row>
    <row r="10956">
      <c r="A10956" s="1" t="s">
        <v>7</v>
      </c>
      <c r="B10956" s="2">
        <v>44743.0</v>
      </c>
      <c r="C10956" s="3">
        <v>0.6776388888888889</v>
      </c>
      <c r="D10956" s="1">
        <v>12.915852</v>
      </c>
      <c r="E10956" s="1">
        <v>80.104805</v>
      </c>
      <c r="F10956" s="1">
        <v>805.0</v>
      </c>
      <c r="G10956" s="1">
        <v>58.0</v>
      </c>
    </row>
    <row r="10957">
      <c r="A10957" s="1" t="s">
        <v>8</v>
      </c>
      <c r="B10957" s="2">
        <v>44743.0</v>
      </c>
      <c r="C10957" s="3">
        <v>0.6778240740740741</v>
      </c>
      <c r="D10957" s="1">
        <v>12.916522</v>
      </c>
      <c r="E10957" s="1">
        <v>80.106137</v>
      </c>
      <c r="F10957" s="1">
        <v>805.0</v>
      </c>
      <c r="G10957" s="1">
        <v>52.0</v>
      </c>
    </row>
    <row r="10958">
      <c r="A10958" s="1" t="s">
        <v>8</v>
      </c>
      <c r="B10958" s="2">
        <v>44743.0</v>
      </c>
      <c r="C10958" s="3">
        <v>0.6781712962962962</v>
      </c>
      <c r="D10958" s="1">
        <v>12.919007</v>
      </c>
      <c r="E10958" s="1">
        <v>80.109702</v>
      </c>
      <c r="F10958" s="1">
        <v>805.0</v>
      </c>
      <c r="G10958" s="1">
        <v>57.0</v>
      </c>
    </row>
    <row r="10959">
      <c r="A10959" s="1" t="s">
        <v>7</v>
      </c>
      <c r="B10959" s="2">
        <v>44743.0</v>
      </c>
      <c r="C10959" s="3">
        <v>0.6783564814814815</v>
      </c>
      <c r="D10959" s="1">
        <v>12.840066</v>
      </c>
      <c r="E10959" s="1">
        <v>80.055767</v>
      </c>
      <c r="F10959" s="1">
        <v>2846.0</v>
      </c>
      <c r="G10959" s="1">
        <v>56.0</v>
      </c>
    </row>
    <row r="10960">
      <c r="A10960" s="1" t="s">
        <v>8</v>
      </c>
      <c r="B10960" s="2">
        <v>44743.0</v>
      </c>
      <c r="C10960" s="3">
        <v>0.6784722222222223</v>
      </c>
      <c r="D10960" s="1">
        <v>12.921801</v>
      </c>
      <c r="E10960" s="1">
        <v>80.112853</v>
      </c>
      <c r="F10960" s="1">
        <v>805.0</v>
      </c>
      <c r="G10960" s="1">
        <v>51.0</v>
      </c>
    </row>
    <row r="10961">
      <c r="A10961" s="1" t="s">
        <v>8</v>
      </c>
      <c r="B10961" s="2">
        <v>44743.0</v>
      </c>
      <c r="C10961" s="3">
        <v>0.6785648148148148</v>
      </c>
      <c r="D10961" s="1">
        <v>12.840066</v>
      </c>
      <c r="E10961" s="1">
        <v>80.055767</v>
      </c>
      <c r="F10961" s="1">
        <v>2846.0</v>
      </c>
      <c r="G10961" s="1">
        <v>56.0</v>
      </c>
    </row>
    <row r="10962">
      <c r="A10962" s="1" t="s">
        <v>8</v>
      </c>
      <c r="B10962" s="2">
        <v>44743.0</v>
      </c>
      <c r="C10962" s="3">
        <v>0.6787615740740741</v>
      </c>
      <c r="D10962" s="1">
        <v>12.923794</v>
      </c>
      <c r="E10962" s="1">
        <v>80.114849</v>
      </c>
      <c r="F10962" s="1">
        <v>805.0</v>
      </c>
      <c r="G10962" s="1">
        <v>57.0</v>
      </c>
    </row>
    <row r="10963">
      <c r="A10963" s="1" t="s">
        <v>8</v>
      </c>
      <c r="B10963" s="2">
        <v>44743.0</v>
      </c>
      <c r="C10963" s="3">
        <v>0.6789004629629629</v>
      </c>
      <c r="D10963" s="1">
        <v>12.924788</v>
      </c>
      <c r="E10963" s="1">
        <v>80.115864</v>
      </c>
      <c r="F10963" s="1">
        <v>805.0</v>
      </c>
      <c r="G10963" s="1">
        <v>53.0</v>
      </c>
    </row>
    <row r="10964">
      <c r="A10964" s="1" t="s">
        <v>8</v>
      </c>
      <c r="B10964" s="2">
        <v>44743.0</v>
      </c>
      <c r="C10964" s="3">
        <v>0.6791087962962963</v>
      </c>
      <c r="D10964" s="1">
        <v>12.835608</v>
      </c>
      <c r="E10964" s="1">
        <v>80.051084</v>
      </c>
      <c r="F10964" s="1">
        <v>2846.0</v>
      </c>
      <c r="G10964" s="1">
        <v>52.0</v>
      </c>
    </row>
    <row r="10965">
      <c r="A10965" s="1" t="s">
        <v>8</v>
      </c>
      <c r="B10965" s="2">
        <v>44743.0</v>
      </c>
      <c r="C10965" s="3">
        <v>0.6793981481481481</v>
      </c>
      <c r="D10965" s="1">
        <v>12.831591</v>
      </c>
      <c r="E10965" s="1">
        <v>80.046861</v>
      </c>
      <c r="F10965" s="1">
        <v>2846.0</v>
      </c>
      <c r="G10965" s="1">
        <v>56.0</v>
      </c>
    </row>
    <row r="10966">
      <c r="A10966" s="1" t="s">
        <v>8</v>
      </c>
      <c r="B10966" s="2">
        <v>44743.0</v>
      </c>
      <c r="C10966" s="3">
        <v>0.6795833333333333</v>
      </c>
      <c r="D10966" s="1">
        <v>12.92723</v>
      </c>
      <c r="E10966" s="1">
        <v>80.118325</v>
      </c>
      <c r="F10966" s="1">
        <v>805.0</v>
      </c>
      <c r="G10966" s="1">
        <v>19.0</v>
      </c>
    </row>
    <row r="10967">
      <c r="A10967" s="1" t="s">
        <v>8</v>
      </c>
      <c r="B10967" s="2">
        <v>44743.0</v>
      </c>
      <c r="C10967" s="3">
        <v>0.6801157407407408</v>
      </c>
      <c r="D10967" s="1">
        <v>12.930262</v>
      </c>
      <c r="E10967" s="1">
        <v>80.121278</v>
      </c>
      <c r="F10967" s="1">
        <v>805.0</v>
      </c>
      <c r="G10967" s="1">
        <v>31.0</v>
      </c>
    </row>
    <row r="10968">
      <c r="A10968" s="1" t="s">
        <v>8</v>
      </c>
      <c r="B10968" s="2">
        <v>44743.0</v>
      </c>
      <c r="C10968" s="3">
        <v>0.6801157407407408</v>
      </c>
      <c r="D10968" s="1">
        <v>12.930262</v>
      </c>
      <c r="E10968" s="1">
        <v>80.121278</v>
      </c>
      <c r="F10968" s="1">
        <v>805.0</v>
      </c>
      <c r="G10968" s="1">
        <v>31.0</v>
      </c>
    </row>
    <row r="10969">
      <c r="A10969" s="1" t="s">
        <v>8</v>
      </c>
      <c r="B10969" s="2">
        <v>44743.0</v>
      </c>
      <c r="C10969" s="3">
        <v>0.6801967592592593</v>
      </c>
      <c r="D10969" s="1">
        <v>12.930757</v>
      </c>
      <c r="E10969" s="1">
        <v>80.12185</v>
      </c>
      <c r="F10969" s="1">
        <v>805.0</v>
      </c>
      <c r="G10969" s="1">
        <v>23.0</v>
      </c>
    </row>
    <row r="10970">
      <c r="A10970" s="1" t="s">
        <v>8</v>
      </c>
      <c r="B10970" s="2">
        <v>44743.0</v>
      </c>
      <c r="C10970" s="3">
        <v>0.6805902777777778</v>
      </c>
      <c r="D10970" s="1">
        <v>12.8291</v>
      </c>
      <c r="E10970" s="1">
        <v>80.044236</v>
      </c>
      <c r="F10970" s="1">
        <v>2846.0</v>
      </c>
      <c r="G10970" s="1">
        <v>44.0</v>
      </c>
    </row>
    <row r="10971">
      <c r="A10971" s="1" t="s">
        <v>7</v>
      </c>
      <c r="B10971" s="2">
        <v>44743.0</v>
      </c>
      <c r="C10971" s="3">
        <v>0.6807407407407408</v>
      </c>
      <c r="D10971" s="1">
        <v>12.825192</v>
      </c>
      <c r="E10971" s="1">
        <v>80.040462</v>
      </c>
      <c r="F10971" s="1">
        <v>2846.0</v>
      </c>
      <c r="G10971" s="1">
        <v>57.0</v>
      </c>
    </row>
    <row r="10972">
      <c r="A10972" s="1" t="s">
        <v>8</v>
      </c>
      <c r="B10972" s="2">
        <v>44743.0</v>
      </c>
      <c r="C10972" s="3">
        <v>0.6807986111111111</v>
      </c>
      <c r="D10972" s="1">
        <v>12.934055</v>
      </c>
      <c r="E10972" s="1">
        <v>80.125169</v>
      </c>
      <c r="F10972" s="1">
        <v>805.0</v>
      </c>
      <c r="G10972" s="1">
        <v>41.0</v>
      </c>
    </row>
    <row r="10973">
      <c r="A10973" s="1" t="s">
        <v>8</v>
      </c>
      <c r="B10973" s="2">
        <v>44743.0</v>
      </c>
      <c r="C10973" s="3">
        <v>0.6808680555555555</v>
      </c>
      <c r="D10973" s="1">
        <v>12.934055</v>
      </c>
      <c r="E10973" s="1">
        <v>80.125169</v>
      </c>
      <c r="F10973" s="1">
        <v>805.0</v>
      </c>
      <c r="G10973" s="1">
        <v>41.0</v>
      </c>
    </row>
    <row r="10974">
      <c r="A10974" s="1" t="s">
        <v>8</v>
      </c>
      <c r="B10974" s="2">
        <v>44743.0</v>
      </c>
      <c r="C10974" s="3">
        <v>0.6816203703703704</v>
      </c>
      <c r="D10974" s="1">
        <v>12.935765</v>
      </c>
      <c r="E10974" s="1">
        <v>80.126726</v>
      </c>
      <c r="F10974" s="1">
        <v>805.0</v>
      </c>
      <c r="G10974" s="1">
        <v>6.0</v>
      </c>
    </row>
    <row r="10975">
      <c r="A10975" s="1" t="s">
        <v>8</v>
      </c>
      <c r="B10975" s="2">
        <v>44743.0</v>
      </c>
      <c r="C10975" s="3">
        <v>0.6817476851851851</v>
      </c>
      <c r="D10975" s="1">
        <v>12.936523</v>
      </c>
      <c r="E10975" s="1">
        <v>80.127404</v>
      </c>
      <c r="F10975" s="1">
        <v>805.0</v>
      </c>
      <c r="G10975" s="1">
        <v>35.0</v>
      </c>
    </row>
    <row r="10976">
      <c r="A10976" s="1" t="s">
        <v>8</v>
      </c>
      <c r="B10976" s="2">
        <v>44743.0</v>
      </c>
      <c r="C10976" s="3">
        <v>0.681863425925926</v>
      </c>
      <c r="D10976" s="1">
        <v>12.936523</v>
      </c>
      <c r="E10976" s="1">
        <v>80.127404</v>
      </c>
      <c r="F10976" s="1">
        <v>805.0</v>
      </c>
      <c r="G10976" s="1">
        <v>35.0</v>
      </c>
    </row>
    <row r="10977">
      <c r="A10977" s="1" t="s">
        <v>8</v>
      </c>
      <c r="B10977" s="2">
        <v>44743.0</v>
      </c>
      <c r="C10977" s="3">
        <v>0.6819328703703704</v>
      </c>
      <c r="D10977" s="1">
        <v>12.93781</v>
      </c>
      <c r="E10977" s="1">
        <v>80.128517</v>
      </c>
      <c r="F10977" s="1">
        <v>805.0</v>
      </c>
      <c r="G10977" s="1">
        <v>44.0</v>
      </c>
    </row>
    <row r="10978">
      <c r="A10978" s="1" t="s">
        <v>7</v>
      </c>
      <c r="B10978" s="2">
        <v>44743.0</v>
      </c>
      <c r="C10978" s="3">
        <v>0.6822685185185186</v>
      </c>
      <c r="D10978" s="1">
        <v>12.941078</v>
      </c>
      <c r="E10978" s="1">
        <v>80.131548</v>
      </c>
      <c r="F10978" s="1">
        <v>805.0</v>
      </c>
      <c r="G10978" s="1">
        <v>57.0</v>
      </c>
    </row>
    <row r="10979">
      <c r="A10979" s="1" t="s">
        <v>8</v>
      </c>
      <c r="B10979" s="2">
        <v>44743.0</v>
      </c>
      <c r="C10979" s="3">
        <v>0.6826157407407407</v>
      </c>
      <c r="D10979" s="1">
        <v>12.821701</v>
      </c>
      <c r="E10979" s="1">
        <v>80.038037</v>
      </c>
      <c r="F10979" s="1">
        <v>2846.0</v>
      </c>
      <c r="G10979" s="1">
        <v>37.0</v>
      </c>
    </row>
    <row r="10980">
      <c r="A10980" s="1" t="s">
        <v>8</v>
      </c>
      <c r="B10980" s="2">
        <v>44743.0</v>
      </c>
      <c r="C10980" s="3">
        <v>0.6829282407407408</v>
      </c>
      <c r="D10980" s="1">
        <v>12.942398</v>
      </c>
      <c r="E10980" s="1">
        <v>80.13291</v>
      </c>
      <c r="F10980" s="1">
        <v>805.0</v>
      </c>
      <c r="G10980" s="1">
        <v>15.0</v>
      </c>
    </row>
    <row r="10981">
      <c r="A10981" s="1" t="s">
        <v>8</v>
      </c>
      <c r="B10981" s="2">
        <v>44743.0</v>
      </c>
      <c r="C10981" s="3">
        <v>0.682974537037037</v>
      </c>
      <c r="D10981" s="1">
        <v>12.806064</v>
      </c>
      <c r="E10981" s="1">
        <v>80.027432</v>
      </c>
      <c r="F10981" s="1">
        <v>2846.0</v>
      </c>
      <c r="G10981" s="1">
        <v>56.0</v>
      </c>
    </row>
    <row r="10982">
      <c r="A10982" s="1" t="s">
        <v>7</v>
      </c>
      <c r="B10982" s="2">
        <v>44743.0</v>
      </c>
      <c r="C10982" s="3">
        <v>0.6831712962962962</v>
      </c>
      <c r="D10982" s="1">
        <v>12.94444</v>
      </c>
      <c r="E10982" s="1">
        <v>80.134849</v>
      </c>
      <c r="F10982" s="1">
        <v>805.0</v>
      </c>
      <c r="G10982" s="1">
        <v>54.0</v>
      </c>
    </row>
    <row r="10983">
      <c r="A10983" s="1" t="s">
        <v>8</v>
      </c>
      <c r="B10983" s="2">
        <v>44743.0</v>
      </c>
      <c r="C10983" s="3">
        <v>0.6834143518518518</v>
      </c>
      <c r="D10983" s="1">
        <v>12.946308</v>
      </c>
      <c r="E10983" s="1">
        <v>80.136297</v>
      </c>
      <c r="F10983" s="1">
        <v>805.0</v>
      </c>
      <c r="G10983" s="1">
        <v>56.0</v>
      </c>
    </row>
    <row r="10984">
      <c r="A10984" s="1" t="s">
        <v>7</v>
      </c>
      <c r="B10984" s="2">
        <v>44743.0</v>
      </c>
      <c r="C10984" s="3">
        <v>0.6836111111111111</v>
      </c>
      <c r="D10984" s="1">
        <v>12.947822</v>
      </c>
      <c r="E10984" s="1">
        <v>80.137402</v>
      </c>
      <c r="F10984" s="1">
        <v>805.0</v>
      </c>
      <c r="G10984" s="1">
        <v>46.0</v>
      </c>
    </row>
    <row r="10985">
      <c r="A10985" s="1" t="s">
        <v>7</v>
      </c>
      <c r="B10985" s="2">
        <v>44743.0</v>
      </c>
      <c r="C10985" s="3">
        <v>0.6838425925925926</v>
      </c>
      <c r="D10985" s="1">
        <v>12.80173</v>
      </c>
      <c r="E10985" s="1">
        <v>80.024602</v>
      </c>
      <c r="F10985" s="1">
        <v>2846.0</v>
      </c>
      <c r="G10985" s="1">
        <v>44.0</v>
      </c>
    </row>
    <row r="10986">
      <c r="A10986" s="1" t="s">
        <v>7</v>
      </c>
      <c r="B10986" s="2">
        <v>44743.0</v>
      </c>
      <c r="C10986" s="3">
        <v>0.6842824074074074</v>
      </c>
      <c r="D10986" s="1">
        <v>12.795028</v>
      </c>
      <c r="E10986" s="1">
        <v>80.020186</v>
      </c>
      <c r="F10986" s="1">
        <v>2846.0</v>
      </c>
      <c r="G10986" s="1">
        <v>58.0</v>
      </c>
    </row>
    <row r="10987">
      <c r="A10987" s="1" t="s">
        <v>8</v>
      </c>
      <c r="B10987" s="2">
        <v>44743.0</v>
      </c>
      <c r="C10987" s="3">
        <v>0.6842939814814815</v>
      </c>
      <c r="D10987" s="1">
        <v>12.950236</v>
      </c>
      <c r="E10987" s="1">
        <v>80.139258</v>
      </c>
      <c r="F10987" s="1">
        <v>805.0</v>
      </c>
      <c r="G10987" s="1">
        <v>8.0</v>
      </c>
    </row>
    <row r="10988">
      <c r="A10988" s="1" t="s">
        <v>8</v>
      </c>
      <c r="B10988" s="2">
        <v>44743.0</v>
      </c>
      <c r="C10988" s="3">
        <v>0.6842939814814815</v>
      </c>
      <c r="D10988" s="1">
        <v>12.950236</v>
      </c>
      <c r="E10988" s="1">
        <v>80.139258</v>
      </c>
      <c r="F10988" s="1">
        <v>805.0</v>
      </c>
      <c r="G10988" s="1">
        <v>8.0</v>
      </c>
    </row>
    <row r="10989">
      <c r="A10989" s="1" t="s">
        <v>7</v>
      </c>
      <c r="B10989" s="2">
        <v>44743.0</v>
      </c>
      <c r="C10989" s="3">
        <v>0.6844791666666666</v>
      </c>
      <c r="D10989" s="1">
        <v>12.791353</v>
      </c>
      <c r="E10989" s="1">
        <v>80.017811</v>
      </c>
      <c r="F10989" s="1">
        <v>2846.0</v>
      </c>
      <c r="G10989" s="1">
        <v>58.0</v>
      </c>
    </row>
    <row r="10990">
      <c r="A10990" s="1" t="s">
        <v>9</v>
      </c>
      <c r="B10990" s="2">
        <v>44743.0</v>
      </c>
      <c r="C10990" s="3">
        <v>0.684837962962963</v>
      </c>
      <c r="D10990" s="1">
        <v>12.791353</v>
      </c>
      <c r="E10990" s="1">
        <v>80.017811</v>
      </c>
      <c r="F10990" s="1">
        <v>2846.0</v>
      </c>
      <c r="G10990" s="1">
        <v>58.0</v>
      </c>
    </row>
    <row r="10991">
      <c r="A10991" s="1" t="s">
        <v>7</v>
      </c>
      <c r="B10991" s="2">
        <v>44743.0</v>
      </c>
      <c r="C10991" s="3">
        <v>0.6854166666666667</v>
      </c>
      <c r="D10991" s="1">
        <v>12.783527</v>
      </c>
      <c r="E10991" s="1">
        <v>80.013382</v>
      </c>
      <c r="F10991" s="1">
        <v>2846.0</v>
      </c>
      <c r="G10991" s="1">
        <v>55.0</v>
      </c>
    </row>
    <row r="10992">
      <c r="A10992" s="1" t="s">
        <v>8</v>
      </c>
      <c r="B10992" s="2">
        <v>44743.0</v>
      </c>
      <c r="C10992" s="3">
        <v>0.6854629629629629</v>
      </c>
      <c r="D10992" s="1">
        <v>12.955826</v>
      </c>
      <c r="E10992" s="1">
        <v>80.142861</v>
      </c>
      <c r="F10992" s="1">
        <v>805.0</v>
      </c>
      <c r="G10992" s="1">
        <v>0.0</v>
      </c>
    </row>
    <row r="10993">
      <c r="A10993" s="1" t="s">
        <v>8</v>
      </c>
      <c r="B10993" s="2">
        <v>44743.0</v>
      </c>
      <c r="C10993" s="3">
        <v>0.6856712962962963</v>
      </c>
      <c r="D10993" s="1">
        <v>12.956384</v>
      </c>
      <c r="E10993" s="1">
        <v>80.143173</v>
      </c>
      <c r="F10993" s="1">
        <v>805.0</v>
      </c>
      <c r="G10993" s="1">
        <v>25.0</v>
      </c>
    </row>
    <row r="10994">
      <c r="A10994" s="1" t="s">
        <v>9</v>
      </c>
      <c r="B10994" s="2">
        <v>44743.0</v>
      </c>
      <c r="C10994" s="3">
        <v>0.6860416666666667</v>
      </c>
      <c r="D10994" s="1">
        <v>12.958703</v>
      </c>
      <c r="E10994" s="1">
        <v>80.1443</v>
      </c>
      <c r="F10994" s="1">
        <v>805.0</v>
      </c>
      <c r="G10994" s="1">
        <v>39.0</v>
      </c>
    </row>
    <row r="10995">
      <c r="A10995" s="1" t="s">
        <v>8</v>
      </c>
      <c r="B10995" s="2">
        <v>44743.0</v>
      </c>
      <c r="C10995" s="3">
        <v>0.6862037037037036</v>
      </c>
      <c r="D10995" s="1">
        <v>12.960047</v>
      </c>
      <c r="E10995" s="1">
        <v>80.144972</v>
      </c>
      <c r="F10995" s="1">
        <v>805.0</v>
      </c>
      <c r="G10995" s="1">
        <v>28.0</v>
      </c>
    </row>
    <row r="10996">
      <c r="A10996" s="1" t="s">
        <v>7</v>
      </c>
      <c r="B10996" s="2">
        <v>44743.0</v>
      </c>
      <c r="C10996" s="3">
        <v>0.6862268518518518</v>
      </c>
      <c r="D10996" s="1">
        <v>12.773639</v>
      </c>
      <c r="E10996" s="1">
        <v>80.008996</v>
      </c>
      <c r="F10996" s="1">
        <v>2846.0</v>
      </c>
      <c r="G10996" s="1">
        <v>58.0</v>
      </c>
    </row>
    <row r="10997">
      <c r="A10997" s="1" t="s">
        <v>7</v>
      </c>
      <c r="B10997" s="2">
        <v>44743.0</v>
      </c>
      <c r="C10997" s="3">
        <v>0.6864351851851852</v>
      </c>
      <c r="D10997" s="1">
        <v>12.962694</v>
      </c>
      <c r="E10997" s="1">
        <v>80.146443</v>
      </c>
      <c r="F10997" s="1">
        <v>805.0</v>
      </c>
      <c r="G10997" s="1">
        <v>51.0</v>
      </c>
    </row>
    <row r="10998">
      <c r="A10998" s="1" t="s">
        <v>7</v>
      </c>
      <c r="B10998" s="2">
        <v>44743.0</v>
      </c>
      <c r="C10998" s="3">
        <v>0.6864930555555555</v>
      </c>
      <c r="D10998" s="1">
        <v>12.771643</v>
      </c>
      <c r="E10998" s="1">
        <v>80.00808</v>
      </c>
      <c r="F10998" s="1">
        <v>2846.0</v>
      </c>
      <c r="G10998" s="1">
        <v>58.0</v>
      </c>
    </row>
    <row r="10999">
      <c r="A10999" s="1" t="s">
        <v>7</v>
      </c>
      <c r="B10999" s="2">
        <v>44743.0</v>
      </c>
      <c r="C10999" s="3">
        <v>0.6866087962962963</v>
      </c>
      <c r="D10999" s="1">
        <v>12.964188</v>
      </c>
      <c r="E10999" s="1">
        <v>80.14741</v>
      </c>
      <c r="F10999" s="1">
        <v>805.0</v>
      </c>
      <c r="G10999" s="1">
        <v>53.0</v>
      </c>
    </row>
    <row r="11000">
      <c r="A11000" s="1" t="s">
        <v>8</v>
      </c>
      <c r="B11000" s="2">
        <v>44743.0</v>
      </c>
      <c r="C11000" s="3">
        <v>0.6866782407407407</v>
      </c>
      <c r="D11000" s="1">
        <v>12.769672</v>
      </c>
      <c r="E11000" s="1">
        <v>80.007122</v>
      </c>
      <c r="F11000" s="1">
        <v>2846.0</v>
      </c>
      <c r="G11000" s="1">
        <v>58.0</v>
      </c>
    </row>
    <row r="11001">
      <c r="A11001" s="1" t="s">
        <v>8</v>
      </c>
      <c r="B11001" s="2">
        <v>44743.0</v>
      </c>
      <c r="C11001" s="3">
        <v>0.6867013888888889</v>
      </c>
      <c r="D11001" s="1">
        <v>12.964188</v>
      </c>
      <c r="E11001" s="1">
        <v>80.14741</v>
      </c>
      <c r="F11001" s="1">
        <v>805.0</v>
      </c>
      <c r="G11001" s="1">
        <v>53.0</v>
      </c>
    </row>
    <row r="11002">
      <c r="A11002" s="1" t="s">
        <v>7</v>
      </c>
      <c r="B11002" s="2">
        <v>44743.0</v>
      </c>
      <c r="C11002" s="3">
        <v>0.6868402777777778</v>
      </c>
      <c r="D11002" s="1">
        <v>12.96621</v>
      </c>
      <c r="E11002" s="1">
        <v>80.148519</v>
      </c>
      <c r="F11002" s="1">
        <v>805.0</v>
      </c>
      <c r="G11002" s="1">
        <v>56.0</v>
      </c>
    </row>
    <row r="11003">
      <c r="A11003" s="1" t="s">
        <v>8</v>
      </c>
      <c r="B11003" s="2">
        <v>44743.0</v>
      </c>
      <c r="C11003" s="3">
        <v>0.686886574074074</v>
      </c>
      <c r="D11003" s="1">
        <v>12.765944</v>
      </c>
      <c r="E11003" s="1">
        <v>80.00537</v>
      </c>
      <c r="F11003" s="1">
        <v>2846.0</v>
      </c>
      <c r="G11003" s="1">
        <v>51.0</v>
      </c>
    </row>
    <row r="11004">
      <c r="A11004" s="1" t="s">
        <v>7</v>
      </c>
      <c r="B11004" s="2">
        <v>44743.0</v>
      </c>
      <c r="C11004" s="3">
        <v>0.6871412037037037</v>
      </c>
      <c r="D11004" s="1">
        <v>12.970154</v>
      </c>
      <c r="E11004" s="1">
        <v>80.15036</v>
      </c>
      <c r="F11004" s="1">
        <v>805.0</v>
      </c>
      <c r="G11004" s="1">
        <v>55.0</v>
      </c>
    </row>
    <row r="11005">
      <c r="A11005" s="1" t="s">
        <v>8</v>
      </c>
      <c r="B11005" s="2">
        <v>44743.0</v>
      </c>
      <c r="C11005" s="3">
        <v>0.687349537037037</v>
      </c>
      <c r="D11005" s="1">
        <v>12.763135</v>
      </c>
      <c r="E11005" s="1">
        <v>80.004176</v>
      </c>
      <c r="F11005" s="1">
        <v>2846.0</v>
      </c>
      <c r="G11005" s="1">
        <v>35.0</v>
      </c>
    </row>
    <row r="11006">
      <c r="A11006" s="1" t="s">
        <v>7</v>
      </c>
      <c r="B11006" s="2">
        <v>44743.0</v>
      </c>
      <c r="C11006" s="3">
        <v>0.6873842592592593</v>
      </c>
      <c r="D11006" s="1">
        <v>12.972192</v>
      </c>
      <c r="E11006" s="1">
        <v>80.151504</v>
      </c>
      <c r="F11006" s="1">
        <v>805.0</v>
      </c>
      <c r="G11006" s="1">
        <v>59.0</v>
      </c>
    </row>
    <row r="11007">
      <c r="A11007" s="1" t="s">
        <v>8</v>
      </c>
      <c r="B11007" s="2">
        <v>44743.0</v>
      </c>
      <c r="C11007" s="3">
        <v>0.6875694444444445</v>
      </c>
      <c r="D11007" s="1">
        <v>12.97346</v>
      </c>
      <c r="E11007" s="1">
        <v>80.153301</v>
      </c>
      <c r="F11007" s="1">
        <v>805.0</v>
      </c>
      <c r="G11007" s="1">
        <v>58.0</v>
      </c>
    </row>
    <row r="11008">
      <c r="A11008" s="1" t="s">
        <v>7</v>
      </c>
      <c r="B11008" s="2">
        <v>44743.0</v>
      </c>
      <c r="C11008" s="3">
        <v>0.6879050925925926</v>
      </c>
      <c r="D11008" s="1">
        <v>12.975999</v>
      </c>
      <c r="E11008" s="1">
        <v>80.15699</v>
      </c>
      <c r="F11008" s="1">
        <v>805.0</v>
      </c>
      <c r="G11008" s="1">
        <v>45.0</v>
      </c>
    </row>
    <row r="11009">
      <c r="A11009" s="1" t="s">
        <v>7</v>
      </c>
      <c r="B11009" s="2">
        <v>44743.0</v>
      </c>
      <c r="C11009" s="3">
        <v>0.6880208333333333</v>
      </c>
      <c r="D11009" s="1">
        <v>12.760074</v>
      </c>
      <c r="E11009" s="1">
        <v>80.00339</v>
      </c>
      <c r="F11009" s="1">
        <v>2846.0</v>
      </c>
      <c r="G11009" s="1">
        <v>12.0</v>
      </c>
    </row>
    <row r="11010">
      <c r="A11010" s="1" t="s">
        <v>7</v>
      </c>
      <c r="B11010" s="2">
        <v>44743.0</v>
      </c>
      <c r="C11010" s="3">
        <v>0.6882638888888889</v>
      </c>
      <c r="D11010" s="1">
        <v>12.759731</v>
      </c>
      <c r="E11010" s="1">
        <v>80.003302</v>
      </c>
      <c r="F11010" s="1">
        <v>2846.0</v>
      </c>
      <c r="G11010" s="1">
        <v>24.0</v>
      </c>
    </row>
    <row r="11011">
      <c r="A11011" s="1" t="s">
        <v>8</v>
      </c>
      <c r="B11011" s="2">
        <v>44743.0</v>
      </c>
      <c r="C11011" s="3">
        <v>0.6885532407407408</v>
      </c>
      <c r="D11011" s="1">
        <v>12.980195</v>
      </c>
      <c r="E11011" s="1">
        <v>80.163788</v>
      </c>
      <c r="F11011" s="1">
        <v>805.0</v>
      </c>
      <c r="G11011" s="1">
        <v>60.0</v>
      </c>
    </row>
    <row r="11012">
      <c r="A11012" s="1" t="s">
        <v>8</v>
      </c>
      <c r="B11012" s="2">
        <v>44743.0</v>
      </c>
      <c r="C11012" s="3">
        <v>0.6885648148148148</v>
      </c>
      <c r="D11012" s="1">
        <v>12.978242</v>
      </c>
      <c r="E11012" s="1">
        <v>80.160309</v>
      </c>
      <c r="F11012" s="1">
        <v>805.0</v>
      </c>
      <c r="G11012" s="1">
        <v>55.0</v>
      </c>
    </row>
    <row r="11013">
      <c r="A11013" s="1" t="s">
        <v>7</v>
      </c>
      <c r="B11013" s="2">
        <v>44743.0</v>
      </c>
      <c r="C11013" s="3">
        <v>0.6889120370370371</v>
      </c>
      <c r="D11013" s="1">
        <v>12.982152</v>
      </c>
      <c r="E11013" s="1">
        <v>80.167761</v>
      </c>
      <c r="F11013" s="1">
        <v>805.0</v>
      </c>
      <c r="G11013" s="1">
        <v>58.0</v>
      </c>
    </row>
    <row r="11014">
      <c r="A11014" s="1" t="s">
        <v>8</v>
      </c>
      <c r="B11014" s="2">
        <v>44743.0</v>
      </c>
      <c r="C11014" s="3">
        <v>0.6889930555555556</v>
      </c>
      <c r="D11014" s="1">
        <v>12.982152</v>
      </c>
      <c r="E11014" s="1">
        <v>80.167761</v>
      </c>
      <c r="F11014" s="1">
        <v>805.0</v>
      </c>
      <c r="G11014" s="1">
        <v>58.0</v>
      </c>
    </row>
    <row r="11015">
      <c r="A11015" s="1" t="s">
        <v>8</v>
      </c>
      <c r="B11015" s="2">
        <v>44743.0</v>
      </c>
      <c r="C11015" s="3">
        <v>0.6896064814814815</v>
      </c>
      <c r="D11015" s="1">
        <v>12.986114</v>
      </c>
      <c r="E11015" s="1">
        <v>80.174177</v>
      </c>
      <c r="F11015" s="1">
        <v>805.0</v>
      </c>
      <c r="G11015" s="1">
        <v>8.0</v>
      </c>
    </row>
    <row r="11016">
      <c r="A11016" s="1" t="s">
        <v>9</v>
      </c>
      <c r="B11016" s="2">
        <v>44743.0</v>
      </c>
      <c r="C11016" s="3">
        <v>0.6896296296296296</v>
      </c>
      <c r="D11016" s="1">
        <v>12.986114</v>
      </c>
      <c r="E11016" s="1">
        <v>80.174177</v>
      </c>
      <c r="F11016" s="1">
        <v>805.0</v>
      </c>
      <c r="G11016" s="1">
        <v>8.0</v>
      </c>
    </row>
    <row r="11017">
      <c r="A11017" s="1" t="s">
        <v>7</v>
      </c>
      <c r="B11017" s="2">
        <v>44743.0</v>
      </c>
      <c r="C11017" s="3">
        <v>0.6900925925925926</v>
      </c>
      <c r="D11017" s="1">
        <v>12.742855</v>
      </c>
      <c r="E11017" s="1">
        <v>79.992301</v>
      </c>
      <c r="F11017" s="1">
        <v>2846.0</v>
      </c>
      <c r="G11017" s="1">
        <v>7.0</v>
      </c>
    </row>
    <row r="11018">
      <c r="A11018" s="1" t="s">
        <v>8</v>
      </c>
      <c r="B11018" s="2">
        <v>44743.0</v>
      </c>
      <c r="C11018" s="3">
        <v>0.6906018518518519</v>
      </c>
      <c r="D11018" s="1">
        <v>12.988779</v>
      </c>
      <c r="E11018" s="1">
        <v>80.177934</v>
      </c>
      <c r="F11018" s="1">
        <v>805.0</v>
      </c>
      <c r="G11018" s="1">
        <v>16.0</v>
      </c>
    </row>
    <row r="11019">
      <c r="A11019" s="1" t="s">
        <v>7</v>
      </c>
      <c r="B11019" s="2">
        <v>44743.0</v>
      </c>
      <c r="C11019" s="3">
        <v>0.6906134259259259</v>
      </c>
      <c r="D11019" s="1">
        <v>12.740726</v>
      </c>
      <c r="E11019" s="1">
        <v>79.990462</v>
      </c>
      <c r="F11019" s="1">
        <v>2846.0</v>
      </c>
      <c r="G11019" s="1">
        <v>47.0</v>
      </c>
    </row>
    <row r="11020">
      <c r="A11020" s="1" t="s">
        <v>8</v>
      </c>
      <c r="B11020" s="2">
        <v>44743.0</v>
      </c>
      <c r="C11020" s="3">
        <v>0.690775462962963</v>
      </c>
      <c r="D11020" s="1">
        <v>12.988779</v>
      </c>
      <c r="E11020" s="1">
        <v>80.177934</v>
      </c>
      <c r="F11020" s="1">
        <v>805.0</v>
      </c>
      <c r="G11020" s="1">
        <v>16.0</v>
      </c>
    </row>
    <row r="11021">
      <c r="A11021" s="1" t="s">
        <v>8</v>
      </c>
      <c r="B11021" s="2">
        <v>44743.0</v>
      </c>
      <c r="C11021" s="3">
        <v>0.6910763888888889</v>
      </c>
      <c r="D11021" s="1">
        <v>12.98957</v>
      </c>
      <c r="E11021" s="1">
        <v>80.178844</v>
      </c>
      <c r="F11021" s="1">
        <v>805.0</v>
      </c>
      <c r="G11021" s="1">
        <v>30.0</v>
      </c>
    </row>
    <row r="11022">
      <c r="A11022" s="1" t="s">
        <v>7</v>
      </c>
      <c r="B11022" s="2">
        <v>44743.0</v>
      </c>
      <c r="C11022" s="3">
        <v>0.6911342592592593</v>
      </c>
      <c r="D11022" s="1">
        <v>12.735294</v>
      </c>
      <c r="E11022" s="1">
        <v>79.986353</v>
      </c>
      <c r="F11022" s="1">
        <v>2846.0</v>
      </c>
      <c r="G11022" s="1">
        <v>58.0</v>
      </c>
    </row>
    <row r="11023">
      <c r="A11023" s="1" t="s">
        <v>8</v>
      </c>
      <c r="B11023" s="2">
        <v>44743.0</v>
      </c>
      <c r="C11023" s="3">
        <v>0.6913194444444445</v>
      </c>
      <c r="D11023" s="1">
        <v>12.732029</v>
      </c>
      <c r="E11023" s="1">
        <v>79.98318</v>
      </c>
      <c r="F11023" s="1">
        <v>2846.0</v>
      </c>
      <c r="G11023" s="1">
        <v>57.0</v>
      </c>
    </row>
    <row r="11024">
      <c r="A11024" s="1" t="s">
        <v>7</v>
      </c>
      <c r="B11024" s="2">
        <v>44743.0</v>
      </c>
      <c r="C11024" s="3">
        <v>0.692037037037037</v>
      </c>
      <c r="D11024" s="1">
        <v>12.993917</v>
      </c>
      <c r="E11024" s="1">
        <v>80.185232</v>
      </c>
      <c r="F11024" s="1">
        <v>805.0</v>
      </c>
      <c r="G11024" s="1">
        <v>0.0</v>
      </c>
    </row>
    <row r="11025">
      <c r="A11025" s="1" t="s">
        <v>7</v>
      </c>
      <c r="B11025" s="2">
        <v>44743.0</v>
      </c>
      <c r="C11025" s="3">
        <v>0.6923611111111111</v>
      </c>
      <c r="D11025" s="1">
        <v>12.995029</v>
      </c>
      <c r="E11025" s="1">
        <v>80.187455</v>
      </c>
      <c r="F11025" s="1">
        <v>805.0</v>
      </c>
      <c r="G11025" s="1">
        <v>58.0</v>
      </c>
    </row>
    <row r="11026">
      <c r="A11026" s="1" t="s">
        <v>7</v>
      </c>
      <c r="B11026" s="2">
        <v>44743.0</v>
      </c>
      <c r="C11026" s="3">
        <v>0.6936458333333333</v>
      </c>
      <c r="D11026" s="1">
        <v>12.721029</v>
      </c>
      <c r="E11026" s="1">
        <v>79.98129</v>
      </c>
      <c r="F11026" s="1">
        <v>2846.0</v>
      </c>
      <c r="G11026" s="1">
        <v>48.0</v>
      </c>
    </row>
    <row r="11027">
      <c r="A11027" s="1" t="s">
        <v>7</v>
      </c>
      <c r="B11027" s="2">
        <v>44743.0</v>
      </c>
      <c r="C11027" s="3">
        <v>0.6943171296296297</v>
      </c>
      <c r="D11027" s="1">
        <v>12.716672</v>
      </c>
      <c r="E11027" s="1">
        <v>79.980847</v>
      </c>
      <c r="F11027" s="1">
        <v>2846.0</v>
      </c>
      <c r="G11027" s="1">
        <v>58.0</v>
      </c>
    </row>
    <row r="11028">
      <c r="A11028" s="1" t="s">
        <v>8</v>
      </c>
      <c r="B11028" s="2">
        <v>44743.0</v>
      </c>
      <c r="C11028" s="3">
        <v>0.6943402777777777</v>
      </c>
      <c r="D11028" s="1">
        <v>13.001926</v>
      </c>
      <c r="E11028" s="1">
        <v>80.196542</v>
      </c>
      <c r="F11028" s="1">
        <v>805.0</v>
      </c>
      <c r="G11028" s="1">
        <v>33.0</v>
      </c>
    </row>
    <row r="11029">
      <c r="A11029" s="1" t="s">
        <v>8</v>
      </c>
      <c r="B11029" s="2">
        <v>44743.0</v>
      </c>
      <c r="C11029" s="3">
        <v>0.6944444444444444</v>
      </c>
      <c r="D11029" s="1">
        <v>13.001926</v>
      </c>
      <c r="E11029" s="1">
        <v>80.196542</v>
      </c>
      <c r="F11029" s="1">
        <v>805.0</v>
      </c>
      <c r="G11029" s="1">
        <v>33.0</v>
      </c>
    </row>
    <row r="11030">
      <c r="A11030" s="1" t="s">
        <v>8</v>
      </c>
      <c r="B11030" s="2">
        <v>44743.0</v>
      </c>
      <c r="C11030" s="3">
        <v>0.6944907407407407</v>
      </c>
      <c r="D11030" s="1">
        <v>13.001926</v>
      </c>
      <c r="E11030" s="1">
        <v>80.196542</v>
      </c>
      <c r="F11030" s="1">
        <v>805.0</v>
      </c>
      <c r="G11030" s="1">
        <v>33.0</v>
      </c>
    </row>
    <row r="11031">
      <c r="A11031" s="1" t="s">
        <v>7</v>
      </c>
      <c r="B11031" s="2">
        <v>44743.0</v>
      </c>
      <c r="C11031" s="3">
        <v>0.6945254629629629</v>
      </c>
      <c r="D11031" s="1">
        <v>12.70909</v>
      </c>
      <c r="E11031" s="1">
        <v>79.977905</v>
      </c>
      <c r="F11031" s="1">
        <v>2846.0</v>
      </c>
      <c r="G11031" s="1">
        <v>13.0</v>
      </c>
    </row>
    <row r="11032">
      <c r="A11032" s="1" t="s">
        <v>7</v>
      </c>
      <c r="B11032" s="2">
        <v>44743.0</v>
      </c>
      <c r="C11032" s="3">
        <v>0.6947685185185185</v>
      </c>
      <c r="D11032" s="1">
        <v>12.70909</v>
      </c>
      <c r="E11032" s="1">
        <v>79.977905</v>
      </c>
      <c r="F11032" s="1">
        <v>2846.0</v>
      </c>
      <c r="G11032" s="1">
        <v>13.0</v>
      </c>
    </row>
    <row r="11033">
      <c r="A11033" s="1" t="s">
        <v>8</v>
      </c>
      <c r="B11033" s="2">
        <v>44743.0</v>
      </c>
      <c r="C11033" s="3">
        <v>0.6949305555555556</v>
      </c>
      <c r="D11033" s="1">
        <v>13.003741</v>
      </c>
      <c r="E11033" s="1">
        <v>80.200896</v>
      </c>
      <c r="F11033" s="1">
        <v>805.0</v>
      </c>
      <c r="G11033" s="1">
        <v>33.0</v>
      </c>
    </row>
    <row r="11034">
      <c r="A11034" s="1" t="s">
        <v>8</v>
      </c>
      <c r="B11034" s="2">
        <v>44743.0</v>
      </c>
      <c r="C11034" s="3">
        <v>0.6949652777777777</v>
      </c>
      <c r="D11034" s="1">
        <v>13.003741</v>
      </c>
      <c r="E11034" s="1">
        <v>80.200896</v>
      </c>
      <c r="F11034" s="1">
        <v>805.0</v>
      </c>
      <c r="G11034" s="1">
        <v>33.0</v>
      </c>
    </row>
    <row r="11035">
      <c r="A11035" s="1" t="s">
        <v>8</v>
      </c>
      <c r="B11035" s="2">
        <v>44743.0</v>
      </c>
      <c r="C11035" s="3">
        <v>0.6950578703703704</v>
      </c>
      <c r="D11035" s="1">
        <v>13.003741</v>
      </c>
      <c r="E11035" s="1">
        <v>80.200896</v>
      </c>
      <c r="F11035" s="1">
        <v>805.0</v>
      </c>
      <c r="G11035" s="1">
        <v>33.0</v>
      </c>
    </row>
    <row r="11036">
      <c r="A11036" s="1" t="s">
        <v>7</v>
      </c>
      <c r="B11036" s="2">
        <v>44743.0</v>
      </c>
      <c r="C11036" s="3">
        <v>0.6953935185185185</v>
      </c>
      <c r="D11036" s="1">
        <v>13.00608</v>
      </c>
      <c r="E11036" s="1">
        <v>80.202649</v>
      </c>
      <c r="F11036" s="1">
        <v>805.0</v>
      </c>
      <c r="G11036" s="1">
        <v>45.0</v>
      </c>
    </row>
    <row r="11037">
      <c r="A11037" s="1" t="s">
        <v>10</v>
      </c>
      <c r="B11037" s="2">
        <v>44743.0</v>
      </c>
      <c r="C11037" s="3">
        <v>0.6954861111111111</v>
      </c>
      <c r="D11037" s="1">
        <v>12.703778</v>
      </c>
      <c r="E11037" s="1">
        <v>79.976822</v>
      </c>
      <c r="F11037" s="1">
        <v>2846.0</v>
      </c>
      <c r="G11037" s="1">
        <v>57.0</v>
      </c>
    </row>
    <row r="11038">
      <c r="A11038" s="1" t="s">
        <v>8</v>
      </c>
      <c r="B11038" s="2">
        <v>44743.0</v>
      </c>
      <c r="C11038" s="3">
        <v>0.6957291666666666</v>
      </c>
      <c r="D11038" s="1">
        <v>13.008418</v>
      </c>
      <c r="E11038" s="1">
        <v>80.203337</v>
      </c>
      <c r="F11038" s="1">
        <v>805.0</v>
      </c>
      <c r="G11038" s="1">
        <v>37.0</v>
      </c>
    </row>
    <row r="11039">
      <c r="A11039" s="1" t="s">
        <v>8</v>
      </c>
      <c r="B11039" s="2">
        <v>44743.0</v>
      </c>
      <c r="C11039" s="3">
        <v>0.6960069444444444</v>
      </c>
      <c r="D11039" s="1">
        <v>13.007681</v>
      </c>
      <c r="E11039" s="1">
        <v>80.205888</v>
      </c>
      <c r="F11039" s="1">
        <v>805.0</v>
      </c>
      <c r="G11039" s="1">
        <v>63.0</v>
      </c>
    </row>
    <row r="11040">
      <c r="A11040" s="1" t="s">
        <v>8</v>
      </c>
      <c r="B11040" s="2">
        <v>44743.0</v>
      </c>
      <c r="C11040" s="3">
        <v>0.6964930555555555</v>
      </c>
      <c r="D11040" s="1">
        <v>13.008362</v>
      </c>
      <c r="E11040" s="1">
        <v>80.209954</v>
      </c>
      <c r="F11040" s="1">
        <v>805.0</v>
      </c>
      <c r="G11040" s="1">
        <v>48.0</v>
      </c>
    </row>
    <row r="11041">
      <c r="A11041" s="1" t="s">
        <v>8</v>
      </c>
      <c r="B11041" s="2">
        <v>44743.0</v>
      </c>
      <c r="C11041" s="3">
        <v>0.6967708333333333</v>
      </c>
      <c r="D11041" s="1">
        <v>13.009589</v>
      </c>
      <c r="E11041" s="1">
        <v>80.21334</v>
      </c>
      <c r="F11041" s="1">
        <v>805.0</v>
      </c>
      <c r="G11041" s="1">
        <v>38.0</v>
      </c>
    </row>
    <row r="11042">
      <c r="A11042" s="1" t="s">
        <v>7</v>
      </c>
      <c r="B11042" s="2">
        <v>44743.0</v>
      </c>
      <c r="C11042" s="3">
        <v>0.6968981481481481</v>
      </c>
      <c r="D11042" s="1">
        <v>13.009589</v>
      </c>
      <c r="E11042" s="1">
        <v>80.21334</v>
      </c>
      <c r="F11042" s="1">
        <v>805.0</v>
      </c>
      <c r="G11042" s="1">
        <v>38.0</v>
      </c>
    </row>
    <row r="11043">
      <c r="A11043" s="1" t="s">
        <v>9</v>
      </c>
      <c r="B11043" s="2">
        <v>44743.0</v>
      </c>
      <c r="C11043" s="3">
        <v>0.6970023148148148</v>
      </c>
      <c r="D11043" s="1">
        <v>12.694578</v>
      </c>
      <c r="E11043" s="1">
        <v>79.978413</v>
      </c>
      <c r="F11043" s="1">
        <v>2846.0</v>
      </c>
      <c r="G11043" s="1">
        <v>31.0</v>
      </c>
    </row>
    <row r="11044">
      <c r="A11044" s="1" t="s">
        <v>8</v>
      </c>
      <c r="B11044" s="2">
        <v>44743.0</v>
      </c>
      <c r="C11044" s="3">
        <v>0.6970949074074074</v>
      </c>
      <c r="D11044" s="1">
        <v>13.009589</v>
      </c>
      <c r="E11044" s="1">
        <v>80.21334</v>
      </c>
      <c r="F11044" s="1">
        <v>805.0</v>
      </c>
      <c r="G11044" s="1">
        <v>38.0</v>
      </c>
    </row>
    <row r="11045">
      <c r="A11045" s="1" t="s">
        <v>10</v>
      </c>
      <c r="B11045" s="2">
        <v>44743.0</v>
      </c>
      <c r="C11045" s="3">
        <v>0.6971527777777777</v>
      </c>
      <c r="D11045" s="1">
        <v>12.694578</v>
      </c>
      <c r="E11045" s="1">
        <v>79.978413</v>
      </c>
      <c r="F11045" s="1">
        <v>2846.0</v>
      </c>
      <c r="G11045" s="1">
        <v>31.0</v>
      </c>
    </row>
    <row r="11046">
      <c r="A11046" s="1" t="s">
        <v>8</v>
      </c>
      <c r="B11046" s="2">
        <v>44743.0</v>
      </c>
      <c r="C11046" s="3">
        <v>0.6972337962962963</v>
      </c>
      <c r="D11046" s="1">
        <v>13.010507</v>
      </c>
      <c r="E11046" s="1">
        <v>80.216275</v>
      </c>
      <c r="F11046" s="1">
        <v>805.0</v>
      </c>
      <c r="G11046" s="1">
        <v>42.0</v>
      </c>
    </row>
    <row r="11047">
      <c r="A11047" s="1" t="s">
        <v>8</v>
      </c>
      <c r="B11047" s="2">
        <v>44743.0</v>
      </c>
      <c r="C11047" s="3">
        <v>0.6975</v>
      </c>
      <c r="D11047" s="1">
        <v>13.011984</v>
      </c>
      <c r="E11047" s="1">
        <v>80.220107</v>
      </c>
      <c r="F11047" s="1">
        <v>805.0</v>
      </c>
      <c r="G11047" s="1">
        <v>43.0</v>
      </c>
    </row>
    <row r="11048">
      <c r="A11048" s="1" t="s">
        <v>8</v>
      </c>
      <c r="B11048" s="2">
        <v>44743.0</v>
      </c>
      <c r="C11048" s="3">
        <v>0.6977662037037037</v>
      </c>
      <c r="D11048" s="1">
        <v>12.691383</v>
      </c>
      <c r="E11048" s="1">
        <v>79.980702</v>
      </c>
      <c r="F11048" s="1">
        <v>2846.0</v>
      </c>
      <c r="G11048" s="1">
        <v>24.0</v>
      </c>
    </row>
    <row r="11049">
      <c r="A11049" s="1" t="s">
        <v>10</v>
      </c>
      <c r="B11049" s="2">
        <v>44743.0</v>
      </c>
      <c r="C11049" s="3">
        <v>0.6980787037037037</v>
      </c>
      <c r="D11049" s="1">
        <v>13.014497</v>
      </c>
      <c r="E11049" s="1">
        <v>80.224032</v>
      </c>
      <c r="F11049" s="1">
        <v>805.0</v>
      </c>
      <c r="G11049" s="1">
        <v>33.0</v>
      </c>
    </row>
    <row r="11050">
      <c r="A11050" s="1" t="s">
        <v>10</v>
      </c>
      <c r="B11050" s="2">
        <v>44743.0</v>
      </c>
      <c r="C11050" s="3">
        <v>0.6983217592592592</v>
      </c>
      <c r="D11050" s="1">
        <v>12.689158</v>
      </c>
      <c r="E11050" s="1">
        <v>79.982423</v>
      </c>
      <c r="F11050" s="1">
        <v>2846.0</v>
      </c>
      <c r="G11050" s="1">
        <v>39.0</v>
      </c>
    </row>
    <row r="11051">
      <c r="A11051" s="1" t="s">
        <v>8</v>
      </c>
      <c r="B11051" s="2">
        <v>44743.0</v>
      </c>
      <c r="C11051" s="3">
        <v>0.6984953703703703</v>
      </c>
      <c r="D11051" s="1">
        <v>12.687717</v>
      </c>
      <c r="E11051" s="1">
        <v>79.982942</v>
      </c>
      <c r="F11051" s="1">
        <v>2846.0</v>
      </c>
      <c r="G11051" s="1">
        <v>33.0</v>
      </c>
    </row>
    <row r="11052">
      <c r="A11052" s="1" t="s">
        <v>8</v>
      </c>
      <c r="B11052" s="2">
        <v>44743.0</v>
      </c>
      <c r="C11052" s="3">
        <v>0.6986111111111111</v>
      </c>
      <c r="D11052" s="1">
        <v>13.015489</v>
      </c>
      <c r="E11052" s="1">
        <v>80.22538</v>
      </c>
      <c r="F11052" s="1">
        <v>805.0</v>
      </c>
      <c r="G11052" s="1">
        <v>14.0</v>
      </c>
    </row>
    <row r="11053">
      <c r="A11053" s="1" t="s">
        <v>8</v>
      </c>
      <c r="B11053" s="2">
        <v>44743.0</v>
      </c>
      <c r="C11053" s="3">
        <v>0.6988310185185185</v>
      </c>
      <c r="D11053" s="1">
        <v>13.015064</v>
      </c>
      <c r="E11053" s="1">
        <v>80.225942</v>
      </c>
      <c r="F11053" s="1">
        <v>805.0</v>
      </c>
      <c r="G11053" s="1">
        <v>0.0</v>
      </c>
    </row>
    <row r="11054">
      <c r="A11054" s="1" t="s">
        <v>8</v>
      </c>
      <c r="B11054" s="2">
        <v>44743.0</v>
      </c>
      <c r="C11054" s="3">
        <v>0.6989236111111111</v>
      </c>
      <c r="D11054" s="1">
        <v>13.015064</v>
      </c>
      <c r="E11054" s="1">
        <v>80.225942</v>
      </c>
      <c r="F11054" s="1">
        <v>805.0</v>
      </c>
      <c r="G11054" s="1">
        <v>0.0</v>
      </c>
    </row>
    <row r="11055">
      <c r="A11055" s="1" t="s">
        <v>8</v>
      </c>
      <c r="B11055" s="2">
        <v>44743.0</v>
      </c>
      <c r="C11055" s="3">
        <v>0.6989930555555556</v>
      </c>
      <c r="D11055" s="1">
        <v>13.014421</v>
      </c>
      <c r="E11055" s="1">
        <v>80.226201</v>
      </c>
      <c r="F11055" s="1">
        <v>805.0</v>
      </c>
      <c r="G11055" s="1">
        <v>24.0</v>
      </c>
    </row>
    <row r="11056">
      <c r="A11056" s="1" t="s">
        <v>8</v>
      </c>
      <c r="B11056" s="2">
        <v>44743.0</v>
      </c>
      <c r="C11056" s="3">
        <v>0.6994675925925926</v>
      </c>
      <c r="D11056" s="1">
        <v>13.012034</v>
      </c>
      <c r="E11056" s="1">
        <v>80.227125</v>
      </c>
      <c r="F11056" s="1">
        <v>805.0</v>
      </c>
      <c r="G11056" s="1">
        <v>34.0</v>
      </c>
    </row>
    <row r="11057">
      <c r="A11057" s="1" t="s">
        <v>7</v>
      </c>
      <c r="B11057" s="2">
        <v>44743.0</v>
      </c>
      <c r="C11057" s="3">
        <v>0.6995254629629629</v>
      </c>
      <c r="D11057" s="1">
        <v>13.012034</v>
      </c>
      <c r="E11057" s="1">
        <v>80.227125</v>
      </c>
      <c r="F11057" s="1">
        <v>805.0</v>
      </c>
      <c r="G11057" s="1">
        <v>34.0</v>
      </c>
    </row>
    <row r="11058">
      <c r="A11058" s="1" t="s">
        <v>8</v>
      </c>
      <c r="B11058" s="2">
        <v>44743.0</v>
      </c>
      <c r="C11058" s="3">
        <v>0.6996412037037038</v>
      </c>
      <c r="D11058" s="1">
        <v>13.010751</v>
      </c>
      <c r="E11058" s="1">
        <v>80.227684</v>
      </c>
      <c r="F11058" s="1">
        <v>805.0</v>
      </c>
      <c r="G11058" s="1">
        <v>27.0</v>
      </c>
    </row>
    <row r="11059">
      <c r="A11059" s="1" t="s">
        <v>8</v>
      </c>
      <c r="B11059" s="2">
        <v>44743.0</v>
      </c>
      <c r="C11059" s="3">
        <v>0.699675925925926</v>
      </c>
      <c r="D11059" s="1">
        <v>13.010751</v>
      </c>
      <c r="E11059" s="1">
        <v>80.227684</v>
      </c>
      <c r="F11059" s="1">
        <v>805.0</v>
      </c>
      <c r="G11059" s="1">
        <v>27.0</v>
      </c>
    </row>
    <row r="11060">
      <c r="A11060" s="1" t="s">
        <v>8</v>
      </c>
      <c r="B11060" s="2">
        <v>44743.0</v>
      </c>
      <c r="C11060" s="3">
        <v>0.6997337962962963</v>
      </c>
      <c r="D11060" s="1">
        <v>13.009415</v>
      </c>
      <c r="E11060" s="1">
        <v>80.228213</v>
      </c>
      <c r="F11060" s="1">
        <v>805.0</v>
      </c>
      <c r="G11060" s="1">
        <v>37.0</v>
      </c>
    </row>
    <row r="11061">
      <c r="A11061" s="1" t="s">
        <v>8</v>
      </c>
      <c r="B11061" s="2">
        <v>44743.0</v>
      </c>
      <c r="C11061" s="3">
        <v>0.7002430555555555</v>
      </c>
      <c r="D11061" s="1">
        <v>13.008522</v>
      </c>
      <c r="E11061" s="1">
        <v>80.231907</v>
      </c>
      <c r="F11061" s="1">
        <v>805.0</v>
      </c>
      <c r="G11061" s="1">
        <v>49.0</v>
      </c>
    </row>
    <row r="11062">
      <c r="A11062" s="1" t="s">
        <v>8</v>
      </c>
      <c r="B11062" s="2">
        <v>44743.0</v>
      </c>
      <c r="C11062" s="3">
        <v>0.7018634259259259</v>
      </c>
      <c r="D11062" s="1">
        <v>13.007167</v>
      </c>
      <c r="E11062" s="1">
        <v>80.23865</v>
      </c>
      <c r="F11062" s="1">
        <v>805.0</v>
      </c>
      <c r="G11062" s="1">
        <v>19.0</v>
      </c>
    </row>
    <row r="11063">
      <c r="A11063" s="1" t="s">
        <v>8</v>
      </c>
      <c r="B11063" s="2">
        <v>44743.0</v>
      </c>
      <c r="C11063" s="3">
        <v>0.7020833333333333</v>
      </c>
      <c r="D11063" s="1">
        <v>13.007022</v>
      </c>
      <c r="E11063" s="1">
        <v>80.239417</v>
      </c>
      <c r="F11063" s="1">
        <v>805.0</v>
      </c>
      <c r="G11063" s="1">
        <v>27.0</v>
      </c>
    </row>
    <row r="11064">
      <c r="A11064" s="1" t="s">
        <v>7</v>
      </c>
      <c r="B11064" s="2">
        <v>44743.0</v>
      </c>
      <c r="C11064" s="3">
        <v>0.7026736111111112</v>
      </c>
      <c r="D11064" s="1">
        <v>12.672617</v>
      </c>
      <c r="E11064" s="1">
        <v>79.976395</v>
      </c>
      <c r="F11064" s="1">
        <v>2846.0</v>
      </c>
      <c r="G11064" s="1">
        <v>41.0</v>
      </c>
    </row>
    <row r="11065">
      <c r="A11065" s="1" t="s">
        <v>7</v>
      </c>
      <c r="B11065" s="2">
        <v>44743.0</v>
      </c>
      <c r="C11065" s="3">
        <v>0.7028240740740741</v>
      </c>
      <c r="D11065" s="1">
        <v>12.667511</v>
      </c>
      <c r="E11065" s="1">
        <v>79.972176</v>
      </c>
      <c r="F11065" s="1">
        <v>2846.0</v>
      </c>
      <c r="G11065" s="1">
        <v>51.0</v>
      </c>
    </row>
    <row r="11066">
      <c r="A11066" s="1" t="s">
        <v>9</v>
      </c>
      <c r="B11066" s="2">
        <v>44743.0</v>
      </c>
      <c r="C11066" s="3">
        <v>0.7033101851851852</v>
      </c>
      <c r="D11066" s="1">
        <v>12.662781</v>
      </c>
      <c r="E11066" s="1">
        <v>79.967752</v>
      </c>
      <c r="F11066" s="1">
        <v>2846.0</v>
      </c>
      <c r="G11066" s="1">
        <v>52.0</v>
      </c>
    </row>
    <row r="11067">
      <c r="A11067" s="1" t="s">
        <v>8</v>
      </c>
      <c r="B11067" s="2">
        <v>44743.0</v>
      </c>
      <c r="C11067" s="3">
        <v>0.703761574074074</v>
      </c>
      <c r="D11067" s="1">
        <v>12.662781</v>
      </c>
      <c r="E11067" s="1">
        <v>79.967752</v>
      </c>
      <c r="F11067" s="1">
        <v>2846.0</v>
      </c>
      <c r="G11067" s="1">
        <v>52.0</v>
      </c>
    </row>
    <row r="11068">
      <c r="A11068" s="1" t="s">
        <v>8</v>
      </c>
      <c r="B11068" s="2">
        <v>44743.0</v>
      </c>
      <c r="C11068" s="3">
        <v>0.7049189814814815</v>
      </c>
      <c r="D11068" s="1">
        <v>13.006906</v>
      </c>
      <c r="E11068" s="1">
        <v>80.251098</v>
      </c>
      <c r="F11068" s="1">
        <v>805.0</v>
      </c>
      <c r="G11068" s="1">
        <v>10.0</v>
      </c>
    </row>
    <row r="11069">
      <c r="A11069" s="1" t="s">
        <v>8</v>
      </c>
      <c r="B11069" s="2">
        <v>44743.0</v>
      </c>
      <c r="C11069" s="3">
        <v>0.7049652777777777</v>
      </c>
      <c r="D11069" s="1">
        <v>12.657406</v>
      </c>
      <c r="E11069" s="1">
        <v>79.957989</v>
      </c>
      <c r="F11069" s="1">
        <v>2846.0</v>
      </c>
      <c r="G11069" s="1">
        <v>24.0</v>
      </c>
    </row>
    <row r="11070">
      <c r="A11070" s="1" t="s">
        <v>8</v>
      </c>
      <c r="B11070" s="2">
        <v>44743.0</v>
      </c>
      <c r="C11070" s="3">
        <v>0.705</v>
      </c>
      <c r="D11070" s="1">
        <v>12.655836</v>
      </c>
      <c r="E11070" s="1">
        <v>79.95346</v>
      </c>
      <c r="F11070" s="1">
        <v>2846.0</v>
      </c>
      <c r="G11070" s="1">
        <v>55.0</v>
      </c>
    </row>
    <row r="11071">
      <c r="A11071" s="1" t="s">
        <v>8</v>
      </c>
      <c r="B11071" s="2">
        <v>44743.0</v>
      </c>
      <c r="C11071" s="3">
        <v>0.7050115740740741</v>
      </c>
      <c r="D11071" s="1">
        <v>13.006767</v>
      </c>
      <c r="E11071" s="1">
        <v>80.251802</v>
      </c>
      <c r="F11071" s="1">
        <v>805.0</v>
      </c>
      <c r="G11071" s="1">
        <v>15.0</v>
      </c>
    </row>
    <row r="11072">
      <c r="A11072" s="1" t="s">
        <v>8</v>
      </c>
      <c r="B11072" s="2">
        <v>44743.0</v>
      </c>
      <c r="C11072" s="3">
        <v>0.7050115740740741</v>
      </c>
      <c r="D11072" s="1">
        <v>12.655836</v>
      </c>
      <c r="E11072" s="1">
        <v>79.95346</v>
      </c>
      <c r="F11072" s="1">
        <v>2846.0</v>
      </c>
      <c r="G11072" s="1">
        <v>55.0</v>
      </c>
    </row>
    <row r="11073">
      <c r="A11073" s="1" t="s">
        <v>8</v>
      </c>
      <c r="B11073" s="2">
        <v>44743.0</v>
      </c>
      <c r="C11073" s="3">
        <v>0.7050347222222222</v>
      </c>
      <c r="D11073" s="1">
        <v>12.655836</v>
      </c>
      <c r="E11073" s="1">
        <v>79.95346</v>
      </c>
      <c r="F11073" s="1">
        <v>2846.0</v>
      </c>
      <c r="G11073" s="1">
        <v>55.0</v>
      </c>
    </row>
    <row r="11074">
      <c r="A11074" s="1" t="s">
        <v>8</v>
      </c>
      <c r="B11074" s="2">
        <v>44743.0</v>
      </c>
      <c r="C11074" s="3">
        <v>0.7052546296296296</v>
      </c>
      <c r="D11074" s="1">
        <v>13.006647</v>
      </c>
      <c r="E11074" s="1">
        <v>80.252135</v>
      </c>
      <c r="F11074" s="1">
        <v>805.0</v>
      </c>
      <c r="G11074" s="1">
        <v>8.0</v>
      </c>
    </row>
    <row r="11075">
      <c r="A11075" s="1" t="s">
        <v>8</v>
      </c>
      <c r="B11075" s="2">
        <v>44743.0</v>
      </c>
      <c r="C11075" s="3">
        <v>0.7052777777777778</v>
      </c>
      <c r="D11075" s="1">
        <v>13.006647</v>
      </c>
      <c r="E11075" s="1">
        <v>80.252135</v>
      </c>
      <c r="F11075" s="1">
        <v>805.0</v>
      </c>
      <c r="G11075" s="1">
        <v>8.0</v>
      </c>
    </row>
    <row r="11076">
      <c r="A11076" s="1" t="s">
        <v>10</v>
      </c>
      <c r="B11076" s="2">
        <v>44743.0</v>
      </c>
      <c r="C11076" s="3">
        <v>0.705300925925926</v>
      </c>
      <c r="D11076" s="1">
        <v>13.006647</v>
      </c>
      <c r="E11076" s="1">
        <v>80.252135</v>
      </c>
      <c r="F11076" s="1">
        <v>805.0</v>
      </c>
      <c r="G11076" s="1">
        <v>8.0</v>
      </c>
    </row>
    <row r="11077">
      <c r="A11077" s="1" t="s">
        <v>8</v>
      </c>
      <c r="B11077" s="2">
        <v>44743.0</v>
      </c>
      <c r="C11077" s="3">
        <v>0.7054282407407407</v>
      </c>
      <c r="D11077" s="1">
        <v>12.656428</v>
      </c>
      <c r="E11077" s="1">
        <v>79.949791</v>
      </c>
      <c r="F11077" s="1">
        <v>2846.0</v>
      </c>
      <c r="G11077" s="1">
        <v>36.0</v>
      </c>
    </row>
    <row r="11078">
      <c r="A11078" s="1" t="s">
        <v>8</v>
      </c>
      <c r="B11078" s="2">
        <v>44743.0</v>
      </c>
      <c r="C11078" s="3">
        <v>0.7055092592592592</v>
      </c>
      <c r="D11078" s="1">
        <v>12.656428</v>
      </c>
      <c r="E11078" s="1">
        <v>79.949791</v>
      </c>
      <c r="F11078" s="1">
        <v>2846.0</v>
      </c>
      <c r="G11078" s="1">
        <v>36.0</v>
      </c>
    </row>
    <row r="11079">
      <c r="A11079" s="1" t="s">
        <v>7</v>
      </c>
      <c r="B11079" s="2">
        <v>44743.0</v>
      </c>
      <c r="C11079" s="3">
        <v>0.7059027777777778</v>
      </c>
      <c r="D11079" s="1">
        <v>12.656428</v>
      </c>
      <c r="E11079" s="1">
        <v>79.949791</v>
      </c>
      <c r="F11079" s="1">
        <v>2846.0</v>
      </c>
      <c r="G11079" s="1">
        <v>36.0</v>
      </c>
    </row>
    <row r="11080">
      <c r="A11080" s="1" t="s">
        <v>7</v>
      </c>
      <c r="B11080" s="2">
        <v>44743.0</v>
      </c>
      <c r="C11080" s="3">
        <v>0.7064699074074074</v>
      </c>
      <c r="D11080" s="1">
        <v>12.657445</v>
      </c>
      <c r="E11080" s="1">
        <v>79.942677</v>
      </c>
      <c r="F11080" s="1">
        <v>2846.0</v>
      </c>
      <c r="G11080" s="1">
        <v>58.0</v>
      </c>
    </row>
    <row r="11081">
      <c r="A11081" s="1" t="s">
        <v>8</v>
      </c>
      <c r="B11081" s="2">
        <v>44743.0</v>
      </c>
      <c r="C11081" s="3">
        <v>0.7066550925925926</v>
      </c>
      <c r="D11081" s="1">
        <v>13.006792</v>
      </c>
      <c r="E11081" s="1">
        <v>80.257327</v>
      </c>
      <c r="F11081" s="1">
        <v>805.0</v>
      </c>
      <c r="G11081" s="1">
        <v>0.0</v>
      </c>
    </row>
    <row r="11082">
      <c r="A11082" s="1" t="s">
        <v>9</v>
      </c>
      <c r="B11082" s="2">
        <v>44743.0</v>
      </c>
      <c r="C11082" s="3">
        <v>0.7072222222222222</v>
      </c>
      <c r="D11082" s="1">
        <v>13.007042</v>
      </c>
      <c r="E11082" s="1">
        <v>80.258054</v>
      </c>
      <c r="F11082" s="1">
        <v>805.0</v>
      </c>
      <c r="G11082" s="1">
        <v>31.0</v>
      </c>
    </row>
    <row r="11083">
      <c r="A11083" s="1" t="s">
        <v>8</v>
      </c>
      <c r="B11083" s="2">
        <v>44743.0</v>
      </c>
      <c r="C11083" s="3">
        <v>0.7078472222222222</v>
      </c>
      <c r="D11083" s="1">
        <v>13.00881</v>
      </c>
      <c r="E11083" s="1">
        <v>80.259012</v>
      </c>
      <c r="F11083" s="1">
        <v>805.0</v>
      </c>
      <c r="G11083" s="1">
        <v>18.0</v>
      </c>
    </row>
    <row r="11084">
      <c r="A11084" s="1" t="s">
        <v>8</v>
      </c>
      <c r="B11084" s="2">
        <v>44743.0</v>
      </c>
      <c r="C11084" s="3">
        <v>0.7082175925925925</v>
      </c>
      <c r="D11084" s="1">
        <v>13.012024</v>
      </c>
      <c r="E11084" s="1">
        <v>80.259111</v>
      </c>
      <c r="F11084" s="1">
        <v>805.0</v>
      </c>
      <c r="G11084" s="1">
        <v>59.0</v>
      </c>
    </row>
    <row r="11085">
      <c r="A11085" s="1" t="s">
        <v>8</v>
      </c>
      <c r="B11085" s="2">
        <v>44743.0</v>
      </c>
      <c r="C11085" s="3">
        <v>0.708287037037037</v>
      </c>
      <c r="D11085" s="1">
        <v>13.014367</v>
      </c>
      <c r="E11085" s="1">
        <v>80.25921</v>
      </c>
      <c r="F11085" s="1">
        <v>805.0</v>
      </c>
      <c r="G11085" s="1">
        <v>58.0</v>
      </c>
    </row>
    <row r="11086">
      <c r="A11086" s="1" t="s">
        <v>7</v>
      </c>
      <c r="B11086" s="2">
        <v>44743.0</v>
      </c>
      <c r="C11086" s="3">
        <v>0.7089814814814814</v>
      </c>
      <c r="D11086" s="1">
        <v>12.629708</v>
      </c>
      <c r="E11086" s="1">
        <v>79.931121</v>
      </c>
      <c r="F11086" s="1">
        <v>2846.0</v>
      </c>
      <c r="G11086" s="1">
        <v>7.0</v>
      </c>
    </row>
    <row r="11087">
      <c r="A11087" s="1" t="s">
        <v>8</v>
      </c>
      <c r="B11087" s="2">
        <v>44743.0</v>
      </c>
      <c r="C11087" s="3">
        <v>0.7090625</v>
      </c>
      <c r="D11087" s="1">
        <v>12.629708</v>
      </c>
      <c r="E11087" s="1">
        <v>79.931121</v>
      </c>
      <c r="F11087" s="1">
        <v>2846.0</v>
      </c>
      <c r="G11087" s="1">
        <v>7.0</v>
      </c>
    </row>
    <row r="11088">
      <c r="A11088" s="1" t="s">
        <v>7</v>
      </c>
      <c r="B11088" s="2">
        <v>44743.0</v>
      </c>
      <c r="C11088" s="3">
        <v>0.7097106481481481</v>
      </c>
      <c r="D11088" s="1">
        <v>12.629708</v>
      </c>
      <c r="E11088" s="1">
        <v>79.931121</v>
      </c>
      <c r="F11088" s="1">
        <v>2846.0</v>
      </c>
      <c r="G11088" s="1">
        <v>7.0</v>
      </c>
    </row>
    <row r="11089">
      <c r="A11089" s="1" t="s">
        <v>8</v>
      </c>
      <c r="B11089" s="2">
        <v>44743.0</v>
      </c>
      <c r="C11089" s="3">
        <v>0.710324074074074</v>
      </c>
      <c r="D11089" s="1">
        <v>13.021164</v>
      </c>
      <c r="E11089" s="1">
        <v>80.26294</v>
      </c>
      <c r="F11089" s="1">
        <v>805.0</v>
      </c>
      <c r="G11089" s="1">
        <v>10.0</v>
      </c>
    </row>
    <row r="11090">
      <c r="A11090" s="1" t="s">
        <v>7</v>
      </c>
      <c r="B11090" s="2">
        <v>44743.0</v>
      </c>
      <c r="C11090" s="3">
        <v>0.7105902777777777</v>
      </c>
      <c r="D11090" s="1">
        <v>12.616134</v>
      </c>
      <c r="E11090" s="1">
        <v>79.92609</v>
      </c>
      <c r="F11090" s="1">
        <v>2846.0</v>
      </c>
      <c r="G11090" s="1">
        <v>47.0</v>
      </c>
    </row>
    <row r="11091">
      <c r="A11091" s="1" t="s">
        <v>9</v>
      </c>
      <c r="B11091" s="2">
        <v>44743.0</v>
      </c>
      <c r="C11091" s="3">
        <v>0.7107175925925926</v>
      </c>
      <c r="D11091" s="1">
        <v>12.616134</v>
      </c>
      <c r="E11091" s="1">
        <v>79.92609</v>
      </c>
      <c r="F11091" s="1">
        <v>2846.0</v>
      </c>
      <c r="G11091" s="1">
        <v>47.0</v>
      </c>
    </row>
    <row r="11092">
      <c r="A11092" s="1" t="s">
        <v>8</v>
      </c>
      <c r="B11092" s="2">
        <v>44743.0</v>
      </c>
      <c r="C11092" s="3">
        <v>0.7121990740740741</v>
      </c>
      <c r="D11092" s="1">
        <v>12.602873</v>
      </c>
      <c r="E11092" s="1">
        <v>79.920261</v>
      </c>
      <c r="F11092" s="1">
        <v>2846.0</v>
      </c>
      <c r="G11092" s="1">
        <v>51.0</v>
      </c>
    </row>
    <row r="11093">
      <c r="A11093" s="1" t="s">
        <v>7</v>
      </c>
      <c r="B11093" s="2">
        <v>44743.0</v>
      </c>
      <c r="C11093" s="3">
        <v>0.7127199074074074</v>
      </c>
      <c r="D11093" s="1">
        <v>12.589023</v>
      </c>
      <c r="E11093" s="1">
        <v>79.919352</v>
      </c>
      <c r="F11093" s="1">
        <v>2846.0</v>
      </c>
      <c r="G11093" s="1">
        <v>57.0</v>
      </c>
    </row>
    <row r="11094">
      <c r="A11094" s="1" t="s">
        <v>8</v>
      </c>
      <c r="B11094" s="2">
        <v>44743.0</v>
      </c>
      <c r="C11094" s="3">
        <v>0.7141319444444445</v>
      </c>
      <c r="D11094" s="1">
        <v>13.02925</v>
      </c>
      <c r="E11094" s="1">
        <v>80.266478</v>
      </c>
      <c r="F11094" s="1">
        <v>805.0</v>
      </c>
      <c r="G11094" s="1">
        <v>1.0</v>
      </c>
    </row>
    <row r="11095">
      <c r="A11095" s="1" t="s">
        <v>8</v>
      </c>
      <c r="B11095" s="2">
        <v>44743.0</v>
      </c>
      <c r="C11095" s="3">
        <v>0.7141319444444445</v>
      </c>
      <c r="D11095" s="1">
        <v>12.575338</v>
      </c>
      <c r="E11095" s="1">
        <v>79.916943</v>
      </c>
      <c r="F11095" s="1">
        <v>2846.0</v>
      </c>
      <c r="G11095" s="1">
        <v>56.0</v>
      </c>
    </row>
    <row r="11096">
      <c r="A11096" s="1" t="s">
        <v>8</v>
      </c>
      <c r="B11096" s="2">
        <v>44743.0</v>
      </c>
      <c r="C11096" s="3">
        <v>0.7141435185185185</v>
      </c>
      <c r="D11096" s="1">
        <v>13.02925</v>
      </c>
      <c r="E11096" s="1">
        <v>80.266478</v>
      </c>
      <c r="F11096" s="1">
        <v>805.0</v>
      </c>
      <c r="G11096" s="1">
        <v>1.0</v>
      </c>
    </row>
    <row r="11097">
      <c r="A11097" s="1" t="s">
        <v>8</v>
      </c>
      <c r="B11097" s="2">
        <v>44743.0</v>
      </c>
      <c r="C11097" s="3">
        <v>0.7142013888888888</v>
      </c>
      <c r="D11097" s="1">
        <v>13.02925</v>
      </c>
      <c r="E11097" s="1">
        <v>80.266478</v>
      </c>
      <c r="F11097" s="1">
        <v>805.0</v>
      </c>
      <c r="G11097" s="1">
        <v>1.0</v>
      </c>
    </row>
    <row r="11098">
      <c r="A11098" s="1" t="s">
        <v>8</v>
      </c>
      <c r="B11098" s="2">
        <v>44743.0</v>
      </c>
      <c r="C11098" s="3">
        <v>0.7142013888888888</v>
      </c>
      <c r="D11098" s="1">
        <v>13.02925</v>
      </c>
      <c r="E11098" s="1">
        <v>80.266478</v>
      </c>
      <c r="F11098" s="1">
        <v>805.0</v>
      </c>
      <c r="G11098" s="1">
        <v>1.0</v>
      </c>
    </row>
    <row r="11099">
      <c r="A11099" s="1" t="s">
        <v>8</v>
      </c>
      <c r="B11099" s="2">
        <v>44743.0</v>
      </c>
      <c r="C11099" s="3">
        <v>0.714224537037037</v>
      </c>
      <c r="D11099" s="1">
        <v>13.02925</v>
      </c>
      <c r="E11099" s="1">
        <v>80.266478</v>
      </c>
      <c r="F11099" s="1">
        <v>805.0</v>
      </c>
      <c r="G11099" s="1">
        <v>1.0</v>
      </c>
    </row>
    <row r="11100">
      <c r="A11100" s="1" t="s">
        <v>8</v>
      </c>
      <c r="B11100" s="2">
        <v>44743.0</v>
      </c>
      <c r="C11100" s="3">
        <v>0.7142361111111111</v>
      </c>
      <c r="D11100" s="1">
        <v>13.02925</v>
      </c>
      <c r="E11100" s="1">
        <v>80.266478</v>
      </c>
      <c r="F11100" s="1">
        <v>805.0</v>
      </c>
      <c r="G11100" s="1">
        <v>1.0</v>
      </c>
    </row>
    <row r="11101">
      <c r="A11101" s="1" t="s">
        <v>7</v>
      </c>
      <c r="B11101" s="2">
        <v>44743.0</v>
      </c>
      <c r="C11101" s="3">
        <v>0.7146296296296296</v>
      </c>
      <c r="D11101" s="1">
        <v>12.566449</v>
      </c>
      <c r="E11101" s="1">
        <v>79.914735</v>
      </c>
      <c r="F11101" s="1">
        <v>2846.0</v>
      </c>
      <c r="G11101" s="1">
        <v>53.0</v>
      </c>
    </row>
    <row r="11102">
      <c r="A11102" s="1" t="s">
        <v>7</v>
      </c>
      <c r="B11102" s="2">
        <v>44743.0</v>
      </c>
      <c r="C11102" s="3">
        <v>0.715</v>
      </c>
      <c r="D11102" s="1">
        <v>12.562478</v>
      </c>
      <c r="E11102" s="1">
        <v>79.912772</v>
      </c>
      <c r="F11102" s="1">
        <v>2846.0</v>
      </c>
      <c r="G11102" s="1">
        <v>53.0</v>
      </c>
    </row>
    <row r="11103">
      <c r="A11103" s="1" t="s">
        <v>7</v>
      </c>
      <c r="B11103" s="2">
        <v>44743.0</v>
      </c>
      <c r="C11103" s="3">
        <v>0.7157175925925926</v>
      </c>
      <c r="D11103" s="1">
        <v>12.554343</v>
      </c>
      <c r="E11103" s="1">
        <v>79.908117</v>
      </c>
      <c r="F11103" s="1">
        <v>2846.0</v>
      </c>
      <c r="G11103" s="1">
        <v>58.0</v>
      </c>
    </row>
    <row r="11104">
      <c r="A11104" s="1" t="s">
        <v>7</v>
      </c>
      <c r="B11104" s="2">
        <v>44743.0</v>
      </c>
      <c r="C11104" s="3">
        <v>0.7159606481481482</v>
      </c>
      <c r="D11104" s="1">
        <v>12.554343</v>
      </c>
      <c r="E11104" s="1">
        <v>79.908117</v>
      </c>
      <c r="F11104" s="1">
        <v>2846.0</v>
      </c>
      <c r="G11104" s="1">
        <v>58.0</v>
      </c>
    </row>
    <row r="11105">
      <c r="A11105" s="1" t="s">
        <v>8</v>
      </c>
      <c r="B11105" s="2">
        <v>44743.0</v>
      </c>
      <c r="C11105" s="3">
        <v>0.7170486111111111</v>
      </c>
      <c r="D11105" s="1">
        <v>12.54092</v>
      </c>
      <c r="E11105" s="1">
        <v>79.904469</v>
      </c>
      <c r="F11105" s="1">
        <v>2846.0</v>
      </c>
      <c r="G11105" s="1">
        <v>51.0</v>
      </c>
    </row>
    <row r="11106">
      <c r="A11106" s="1" t="s">
        <v>8</v>
      </c>
      <c r="B11106" s="2">
        <v>44743.0</v>
      </c>
      <c r="C11106" s="3">
        <v>0.7177314814814815</v>
      </c>
      <c r="D11106" s="1">
        <v>13.036378</v>
      </c>
      <c r="E11106" s="1">
        <v>80.267669</v>
      </c>
      <c r="F11106" s="1">
        <v>805.0</v>
      </c>
      <c r="G11106" s="1">
        <v>0.0</v>
      </c>
    </row>
    <row r="11107">
      <c r="A11107" s="1" t="s">
        <v>8</v>
      </c>
      <c r="B11107" s="2">
        <v>44743.0</v>
      </c>
      <c r="C11107" s="3">
        <v>0.7177430555555555</v>
      </c>
      <c r="D11107" s="1">
        <v>13.036378</v>
      </c>
      <c r="E11107" s="1">
        <v>80.267669</v>
      </c>
      <c r="F11107" s="1">
        <v>805.0</v>
      </c>
      <c r="G11107" s="1">
        <v>0.0</v>
      </c>
    </row>
    <row r="11108">
      <c r="A11108" s="1" t="s">
        <v>7</v>
      </c>
      <c r="B11108" s="2">
        <v>44743.0</v>
      </c>
      <c r="C11108" s="3">
        <v>0.7179513888888889</v>
      </c>
      <c r="D11108" s="1">
        <v>12.531924</v>
      </c>
      <c r="E11108" s="1">
        <v>79.900524</v>
      </c>
      <c r="F11108" s="1">
        <v>2846.0</v>
      </c>
      <c r="G11108" s="1">
        <v>54.0</v>
      </c>
    </row>
    <row r="11109">
      <c r="A11109" s="1" t="s">
        <v>8</v>
      </c>
      <c r="B11109" s="2">
        <v>44743.0</v>
      </c>
      <c r="C11109" s="3">
        <v>0.718599537037037</v>
      </c>
      <c r="D11109" s="1">
        <v>13.039862</v>
      </c>
      <c r="E11109" s="1">
        <v>80.267819</v>
      </c>
      <c r="F11109" s="1">
        <v>805.0</v>
      </c>
      <c r="G11109" s="1">
        <v>16.0</v>
      </c>
    </row>
    <row r="11110">
      <c r="A11110" s="1" t="s">
        <v>8</v>
      </c>
      <c r="B11110" s="2">
        <v>44743.0</v>
      </c>
      <c r="C11110" s="3">
        <v>0.7186111111111111</v>
      </c>
      <c r="D11110" s="1">
        <v>13.039862</v>
      </c>
      <c r="E11110" s="1">
        <v>80.267819</v>
      </c>
      <c r="F11110" s="1">
        <v>805.0</v>
      </c>
      <c r="G11110" s="1">
        <v>16.0</v>
      </c>
    </row>
    <row r="11111">
      <c r="A11111" s="1" t="s">
        <v>8</v>
      </c>
      <c r="B11111" s="2">
        <v>44743.0</v>
      </c>
      <c r="C11111" s="3">
        <v>0.7188194444444445</v>
      </c>
      <c r="D11111" s="1">
        <v>13.040571</v>
      </c>
      <c r="E11111" s="1">
        <v>80.268051</v>
      </c>
      <c r="F11111" s="1">
        <v>805.0</v>
      </c>
      <c r="G11111" s="1">
        <v>18.0</v>
      </c>
    </row>
    <row r="11112">
      <c r="A11112" s="1" t="s">
        <v>10</v>
      </c>
      <c r="B11112" s="2">
        <v>44743.0</v>
      </c>
      <c r="C11112" s="3">
        <v>0.72</v>
      </c>
      <c r="D11112" s="1">
        <v>13.047084</v>
      </c>
      <c r="E11112" s="1">
        <v>80.266261</v>
      </c>
      <c r="F11112" s="1">
        <v>805.0</v>
      </c>
      <c r="G11112" s="1">
        <v>14.0</v>
      </c>
    </row>
    <row r="11113">
      <c r="A11113" s="1" t="s">
        <v>10</v>
      </c>
      <c r="B11113" s="2">
        <v>44743.0</v>
      </c>
      <c r="C11113" s="3">
        <v>0.7208449074074074</v>
      </c>
      <c r="D11113" s="1">
        <v>13.048888</v>
      </c>
      <c r="E11113" s="1">
        <v>80.264798</v>
      </c>
      <c r="F11113" s="1">
        <v>805.0</v>
      </c>
      <c r="G11113" s="1">
        <v>0.0</v>
      </c>
    </row>
    <row r="11114">
      <c r="A11114" s="1" t="s">
        <v>10</v>
      </c>
      <c r="B11114" s="2">
        <v>44743.0</v>
      </c>
      <c r="C11114" s="3">
        <v>0.7228356481481482</v>
      </c>
      <c r="D11114" s="1">
        <v>13.056388</v>
      </c>
      <c r="E11114" s="1">
        <v>80.264486</v>
      </c>
      <c r="F11114" s="1">
        <v>805.0</v>
      </c>
      <c r="G11114" s="1">
        <v>20.0</v>
      </c>
    </row>
    <row r="11115">
      <c r="A11115" s="1" t="s">
        <v>10</v>
      </c>
      <c r="B11115" s="2">
        <v>44743.0</v>
      </c>
      <c r="C11115" s="3">
        <v>0.7268981481481481</v>
      </c>
      <c r="D11115" s="1">
        <v>13.066324</v>
      </c>
      <c r="E11115" s="1">
        <v>80.268209</v>
      </c>
      <c r="F11115" s="1">
        <v>805.0</v>
      </c>
      <c r="G11115" s="1">
        <v>11.0</v>
      </c>
    </row>
    <row r="11116">
      <c r="A11116" s="1" t="s">
        <v>10</v>
      </c>
      <c r="B11116" s="2">
        <v>44743.0</v>
      </c>
      <c r="C11116" s="3">
        <v>0.7273495370370371</v>
      </c>
      <c r="D11116" s="1">
        <v>13.068027</v>
      </c>
      <c r="E11116" s="1">
        <v>80.269233</v>
      </c>
      <c r="F11116" s="1">
        <v>805.0</v>
      </c>
      <c r="G11116" s="1">
        <v>12.0</v>
      </c>
    </row>
    <row r="11117">
      <c r="A11117" s="1" t="s">
        <v>10</v>
      </c>
      <c r="B11117" s="2">
        <v>44743.0</v>
      </c>
      <c r="C11117" s="3">
        <v>0.7274884259259259</v>
      </c>
      <c r="D11117" s="1">
        <v>13.068378</v>
      </c>
      <c r="E11117" s="1">
        <v>80.268909</v>
      </c>
      <c r="F11117" s="1">
        <v>805.0</v>
      </c>
      <c r="G11117" s="1">
        <v>25.0</v>
      </c>
    </row>
    <row r="11118">
      <c r="A11118" s="1" t="s">
        <v>10</v>
      </c>
      <c r="B11118" s="2">
        <v>44743.0</v>
      </c>
      <c r="C11118" s="3">
        <v>0.7281134259259259</v>
      </c>
      <c r="D11118" s="1">
        <v>13.069217</v>
      </c>
      <c r="E11118" s="1">
        <v>80.266951</v>
      </c>
      <c r="F11118" s="1">
        <v>805.0</v>
      </c>
      <c r="G11118" s="1">
        <v>5.0</v>
      </c>
    </row>
    <row r="11119">
      <c r="A11119" s="1" t="s">
        <v>10</v>
      </c>
      <c r="B11119" s="2">
        <v>44743.0</v>
      </c>
      <c r="C11119" s="3">
        <v>0.7282407407407407</v>
      </c>
      <c r="D11119" s="1">
        <v>13.069268</v>
      </c>
      <c r="E11119" s="1">
        <v>80.266888</v>
      </c>
      <c r="F11119" s="1">
        <v>805.0</v>
      </c>
      <c r="G11119" s="1">
        <v>14.0</v>
      </c>
    </row>
    <row r="11120">
      <c r="A11120" s="1" t="s">
        <v>10</v>
      </c>
      <c r="B11120" s="2">
        <v>44743.0</v>
      </c>
      <c r="C11120" s="3">
        <v>0.7287152777777778</v>
      </c>
      <c r="D11120" s="1">
        <v>13.07099</v>
      </c>
      <c r="E11120" s="1">
        <v>80.265107</v>
      </c>
      <c r="F11120" s="1">
        <v>805.0</v>
      </c>
      <c r="G11120" s="1">
        <v>19.0</v>
      </c>
    </row>
    <row r="11121">
      <c r="A11121" s="1" t="s">
        <v>8</v>
      </c>
      <c r="B11121" s="2">
        <v>44743.0</v>
      </c>
      <c r="C11121" s="3">
        <v>0.7315625</v>
      </c>
      <c r="D11121" s="1">
        <v>13.071481</v>
      </c>
      <c r="E11121" s="1">
        <v>80.259112</v>
      </c>
      <c r="F11121" s="1">
        <v>805.0</v>
      </c>
      <c r="G11121" s="1">
        <v>17.0</v>
      </c>
    </row>
    <row r="11122">
      <c r="A11122" s="1" t="s">
        <v>8</v>
      </c>
      <c r="B11122" s="2">
        <v>44743.0</v>
      </c>
      <c r="C11122" s="3">
        <v>0.7315856481481482</v>
      </c>
      <c r="D11122" s="1">
        <v>13.070796</v>
      </c>
      <c r="E11122" s="1">
        <v>80.258354</v>
      </c>
      <c r="F11122" s="1">
        <v>805.0</v>
      </c>
      <c r="G11122" s="1">
        <v>30.0</v>
      </c>
    </row>
    <row r="11123">
      <c r="A11123" s="1" t="s">
        <v>8</v>
      </c>
      <c r="B11123" s="2">
        <v>44743.0</v>
      </c>
      <c r="C11123" s="3">
        <v>0.7315972222222222</v>
      </c>
      <c r="D11123" s="1">
        <v>13.070796</v>
      </c>
      <c r="E11123" s="1">
        <v>80.258354</v>
      </c>
      <c r="F11123" s="1">
        <v>805.0</v>
      </c>
      <c r="G11123" s="1">
        <v>30.0</v>
      </c>
    </row>
    <row r="11124">
      <c r="A11124" s="1" t="s">
        <v>10</v>
      </c>
      <c r="B11124" s="2">
        <v>44743.0</v>
      </c>
      <c r="C11124" s="3">
        <v>0.7324768518518519</v>
      </c>
      <c r="D11124" s="1">
        <v>13.073016</v>
      </c>
      <c r="E11124" s="1">
        <v>80.261095</v>
      </c>
      <c r="F11124" s="1">
        <v>5339.0</v>
      </c>
      <c r="G11124" s="1">
        <v>12.0</v>
      </c>
    </row>
    <row r="11125">
      <c r="A11125" s="1" t="s">
        <v>8</v>
      </c>
      <c r="B11125" s="2">
        <v>44743.0</v>
      </c>
      <c r="C11125" s="3">
        <v>0.7349652777777778</v>
      </c>
      <c r="D11125" s="1">
        <v>13.067475</v>
      </c>
      <c r="E11125" s="1">
        <v>80.250295</v>
      </c>
      <c r="F11125" s="1">
        <v>805.0</v>
      </c>
      <c r="G11125" s="1">
        <v>0.0</v>
      </c>
    </row>
    <row r="11126">
      <c r="A11126" s="1" t="s">
        <v>8</v>
      </c>
      <c r="B11126" s="2">
        <v>44743.0</v>
      </c>
      <c r="C11126" s="3">
        <v>0.734988425925926</v>
      </c>
      <c r="D11126" s="1">
        <v>13.067585</v>
      </c>
      <c r="E11126" s="1">
        <v>80.249678</v>
      </c>
      <c r="F11126" s="1">
        <v>805.0</v>
      </c>
      <c r="G11126" s="1">
        <v>11.0</v>
      </c>
    </row>
    <row r="11127">
      <c r="A11127" s="1" t="s">
        <v>8</v>
      </c>
      <c r="B11127" s="2">
        <v>44743.0</v>
      </c>
      <c r="C11127" s="3">
        <v>0.7350462962962963</v>
      </c>
      <c r="D11127" s="1">
        <v>13.067585</v>
      </c>
      <c r="E11127" s="1">
        <v>80.249678</v>
      </c>
      <c r="F11127" s="1">
        <v>805.0</v>
      </c>
      <c r="G11127" s="1">
        <v>11.0</v>
      </c>
    </row>
    <row r="11128">
      <c r="A11128" s="1" t="s">
        <v>8</v>
      </c>
      <c r="B11128" s="2">
        <v>44743.0</v>
      </c>
      <c r="C11128" s="3">
        <v>0.7350462962962963</v>
      </c>
      <c r="D11128" s="1">
        <v>13.067585</v>
      </c>
      <c r="E11128" s="1">
        <v>80.249678</v>
      </c>
      <c r="F11128" s="1">
        <v>805.0</v>
      </c>
      <c r="G11128" s="1">
        <v>11.0</v>
      </c>
    </row>
    <row r="11129">
      <c r="A11129" s="1" t="s">
        <v>9</v>
      </c>
      <c r="B11129" s="2">
        <v>44743.0</v>
      </c>
      <c r="C11129" s="3">
        <v>0.7353703703703703</v>
      </c>
      <c r="D11129" s="1">
        <v>13.067777</v>
      </c>
      <c r="E11129" s="1">
        <v>80.248191</v>
      </c>
      <c r="F11129" s="1">
        <v>805.0</v>
      </c>
      <c r="G11129" s="1">
        <v>20.0</v>
      </c>
    </row>
    <row r="11130">
      <c r="A11130" s="1" t="s">
        <v>10</v>
      </c>
      <c r="B11130" s="2">
        <v>44743.0</v>
      </c>
      <c r="C11130" s="3">
        <v>0.7355208333333333</v>
      </c>
      <c r="D11130" s="1">
        <v>13.063589</v>
      </c>
      <c r="E11130" s="1">
        <v>80.261214</v>
      </c>
      <c r="F11130" s="1">
        <v>5339.0</v>
      </c>
      <c r="G11130" s="1">
        <v>27.0</v>
      </c>
    </row>
    <row r="11131">
      <c r="A11131" s="1" t="s">
        <v>10</v>
      </c>
      <c r="B11131" s="2">
        <v>44743.0</v>
      </c>
      <c r="C11131" s="3">
        <v>0.7357523148148148</v>
      </c>
      <c r="D11131" s="1">
        <v>13.062694</v>
      </c>
      <c r="E11131" s="1">
        <v>80.262512</v>
      </c>
      <c r="F11131" s="1">
        <v>5339.0</v>
      </c>
      <c r="G11131" s="1">
        <v>37.0</v>
      </c>
    </row>
    <row r="11132">
      <c r="A11132" s="1" t="s">
        <v>10</v>
      </c>
      <c r="B11132" s="2">
        <v>44743.0</v>
      </c>
      <c r="C11132" s="3">
        <v>0.7358217592592593</v>
      </c>
      <c r="D11132" s="1">
        <v>13.066243</v>
      </c>
      <c r="E11132" s="1">
        <v>80.247866</v>
      </c>
      <c r="F11132" s="1">
        <v>805.0</v>
      </c>
      <c r="G11132" s="1">
        <v>0.0</v>
      </c>
    </row>
    <row r="11133">
      <c r="A11133" s="1" t="s">
        <v>8</v>
      </c>
      <c r="B11133" s="2">
        <v>44743.0</v>
      </c>
      <c r="C11133" s="3">
        <v>0.73625</v>
      </c>
      <c r="D11133" s="1">
        <v>13.062971</v>
      </c>
      <c r="E11133" s="1">
        <v>80.26395</v>
      </c>
      <c r="F11133" s="1">
        <v>5339.0</v>
      </c>
      <c r="G11133" s="1">
        <v>34.0</v>
      </c>
    </row>
    <row r="11134">
      <c r="A11134" s="1" t="s">
        <v>10</v>
      </c>
      <c r="B11134" s="2">
        <v>44743.0</v>
      </c>
      <c r="C11134" s="3">
        <v>0.7383101851851852</v>
      </c>
      <c r="D11134" s="1">
        <v>13.067407</v>
      </c>
      <c r="E11134" s="1">
        <v>80.268872</v>
      </c>
      <c r="F11134" s="1">
        <v>5339.0</v>
      </c>
      <c r="G11134" s="1">
        <v>6.0</v>
      </c>
    </row>
    <row r="11135">
      <c r="A11135" s="1" t="s">
        <v>8</v>
      </c>
      <c r="B11135" s="2">
        <v>44743.0</v>
      </c>
      <c r="C11135" s="3">
        <v>0.7394097222222222</v>
      </c>
      <c r="D11135" s="1">
        <v>13.068955</v>
      </c>
      <c r="E11135" s="1">
        <v>80.271979</v>
      </c>
      <c r="F11135" s="1">
        <v>5339.0</v>
      </c>
      <c r="G11135" s="1">
        <v>32.0</v>
      </c>
    </row>
    <row r="11136">
      <c r="A11136" s="1" t="s">
        <v>8</v>
      </c>
      <c r="B11136" s="2">
        <v>44743.0</v>
      </c>
      <c r="C11136" s="3">
        <v>0.7403819444444445</v>
      </c>
      <c r="D11136" s="1">
        <v>13.073284</v>
      </c>
      <c r="E11136" s="1">
        <v>80.276</v>
      </c>
      <c r="F11136" s="1">
        <v>5339.0</v>
      </c>
      <c r="G11136" s="1">
        <v>40.0</v>
      </c>
    </row>
    <row r="11137">
      <c r="A11137" s="1" t="s">
        <v>8</v>
      </c>
      <c r="B11137" s="2">
        <v>44743.0</v>
      </c>
      <c r="C11137" s="3">
        <v>0.7405092592592593</v>
      </c>
      <c r="D11137" s="1">
        <v>13.07398</v>
      </c>
      <c r="E11137" s="1">
        <v>80.276724</v>
      </c>
      <c r="F11137" s="1">
        <v>5339.0</v>
      </c>
      <c r="G11137" s="1">
        <v>36.0</v>
      </c>
    </row>
    <row r="11138">
      <c r="A11138" s="1" t="s">
        <v>8</v>
      </c>
      <c r="B11138" s="2">
        <v>44743.0</v>
      </c>
      <c r="C11138" s="3">
        <v>0.7406712962962962</v>
      </c>
      <c r="D11138" s="1">
        <v>13.075188</v>
      </c>
      <c r="E11138" s="1">
        <v>80.27799</v>
      </c>
      <c r="F11138" s="1">
        <v>5339.0</v>
      </c>
      <c r="G11138" s="1">
        <v>36.0</v>
      </c>
    </row>
    <row r="11139">
      <c r="A11139" s="1" t="s">
        <v>8</v>
      </c>
      <c r="B11139" s="2">
        <v>44743.0</v>
      </c>
      <c r="C11139" s="3">
        <v>0.7407407407407407</v>
      </c>
      <c r="D11139" s="1">
        <v>13.075188</v>
      </c>
      <c r="E11139" s="1">
        <v>80.27799</v>
      </c>
      <c r="F11139" s="1">
        <v>5339.0</v>
      </c>
      <c r="G11139" s="1">
        <v>36.0</v>
      </c>
    </row>
    <row r="11140">
      <c r="A11140" s="1" t="s">
        <v>8</v>
      </c>
      <c r="B11140" s="2">
        <v>44743.0</v>
      </c>
      <c r="C11140" s="3">
        <v>0.7408101851851852</v>
      </c>
      <c r="D11140" s="1">
        <v>13.075876</v>
      </c>
      <c r="E11140" s="1">
        <v>80.278608</v>
      </c>
      <c r="F11140" s="1">
        <v>5339.0</v>
      </c>
      <c r="G11140" s="1">
        <v>35.0</v>
      </c>
    </row>
    <row r="11141">
      <c r="A11141" s="1" t="s">
        <v>8</v>
      </c>
      <c r="B11141" s="2">
        <v>44743.0</v>
      </c>
      <c r="C11141" s="3">
        <v>0.7412037037037037</v>
      </c>
      <c r="D11141" s="1">
        <v>13.077959</v>
      </c>
      <c r="E11141" s="1">
        <v>80.280924</v>
      </c>
      <c r="F11141" s="1">
        <v>5339.0</v>
      </c>
      <c r="G11141" s="1">
        <v>40.0</v>
      </c>
    </row>
    <row r="11142">
      <c r="A11142" s="1" t="s">
        <v>8</v>
      </c>
      <c r="B11142" s="2">
        <v>44743.0</v>
      </c>
      <c r="C11142" s="3">
        <v>0.741574074074074</v>
      </c>
      <c r="D11142" s="1">
        <v>13.080255</v>
      </c>
      <c r="E11142" s="1">
        <v>80.280848</v>
      </c>
      <c r="F11142" s="1">
        <v>5339.0</v>
      </c>
      <c r="G11142" s="1">
        <v>30.0</v>
      </c>
    </row>
    <row r="11143">
      <c r="A11143" s="1" t="s">
        <v>8</v>
      </c>
      <c r="B11143" s="2">
        <v>44743.0</v>
      </c>
      <c r="C11143" s="3">
        <v>0.7423726851851852</v>
      </c>
      <c r="D11143" s="1">
        <v>13.079624</v>
      </c>
      <c r="E11143" s="1">
        <v>80.281437</v>
      </c>
      <c r="F11143" s="1">
        <v>5339.0</v>
      </c>
      <c r="G11143" s="1">
        <v>33.0</v>
      </c>
    </row>
    <row r="11144">
      <c r="A11144" s="1" t="s">
        <v>8</v>
      </c>
      <c r="B11144" s="2">
        <v>44743.0</v>
      </c>
      <c r="C11144" s="3">
        <v>0.7424189814814814</v>
      </c>
      <c r="D11144" s="1">
        <v>13.081967</v>
      </c>
      <c r="E11144" s="1">
        <v>80.281396</v>
      </c>
      <c r="F11144" s="1">
        <v>5339.0</v>
      </c>
      <c r="G11144" s="1">
        <v>14.0</v>
      </c>
    </row>
    <row r="11145">
      <c r="A11145" s="1" t="s">
        <v>8</v>
      </c>
      <c r="B11145" s="2">
        <v>44743.0</v>
      </c>
      <c r="C11145" s="3">
        <v>0.7437615740740741</v>
      </c>
      <c r="D11145" s="1">
        <v>13.085483</v>
      </c>
      <c r="E11145" s="1">
        <v>80.284532</v>
      </c>
      <c r="F11145" s="1">
        <v>5339.0</v>
      </c>
      <c r="G11145" s="1">
        <v>0.0</v>
      </c>
    </row>
    <row r="11146">
      <c r="A11146" s="1" t="s">
        <v>8</v>
      </c>
      <c r="B11146" s="2">
        <v>44743.0</v>
      </c>
      <c r="C11146" s="3">
        <v>0.7437615740740741</v>
      </c>
      <c r="D11146" s="1">
        <v>13.085483</v>
      </c>
      <c r="E11146" s="1">
        <v>80.284532</v>
      </c>
      <c r="F11146" s="1">
        <v>5339.0</v>
      </c>
      <c r="G11146" s="1">
        <v>0.0</v>
      </c>
    </row>
    <row r="11147">
      <c r="A11147" s="1" t="s">
        <v>8</v>
      </c>
      <c r="B11147" s="2">
        <v>44743.0</v>
      </c>
      <c r="C11147" s="3">
        <v>0.7438310185185185</v>
      </c>
      <c r="D11147" s="1">
        <v>13.0854</v>
      </c>
      <c r="E11147" s="1">
        <v>80.285317</v>
      </c>
      <c r="F11147" s="1">
        <v>5339.0</v>
      </c>
      <c r="G11147" s="1">
        <v>30.0</v>
      </c>
    </row>
    <row r="11148">
      <c r="A11148" s="1" t="s">
        <v>8</v>
      </c>
      <c r="B11148" s="2">
        <v>44743.0</v>
      </c>
      <c r="C11148" s="3">
        <v>0.7445601851851852</v>
      </c>
      <c r="D11148" s="1">
        <v>13.085596</v>
      </c>
      <c r="E11148" s="1">
        <v>80.288941</v>
      </c>
      <c r="F11148" s="1">
        <v>5339.0</v>
      </c>
      <c r="G11148" s="1">
        <v>35.0</v>
      </c>
    </row>
    <row r="11149">
      <c r="A11149" s="1" t="s">
        <v>8</v>
      </c>
      <c r="B11149" s="2">
        <v>44743.0</v>
      </c>
      <c r="C11149" s="3">
        <v>0.7448032407407408</v>
      </c>
      <c r="D11149" s="1">
        <v>13.087471</v>
      </c>
      <c r="E11149" s="1">
        <v>80.289642</v>
      </c>
      <c r="F11149" s="1">
        <v>5339.0</v>
      </c>
      <c r="G11149" s="1">
        <v>23.0</v>
      </c>
    </row>
    <row r="11150">
      <c r="A11150" s="1" t="s">
        <v>10</v>
      </c>
      <c r="B11150" s="2">
        <v>44743.0</v>
      </c>
      <c r="C11150" s="3">
        <v>0.7475462962962963</v>
      </c>
      <c r="D11150" s="1">
        <v>13.096269</v>
      </c>
      <c r="E11150" s="1">
        <v>80.292877</v>
      </c>
      <c r="F11150" s="1">
        <v>5339.0</v>
      </c>
      <c r="G11150" s="1">
        <v>21.0</v>
      </c>
    </row>
    <row r="11151">
      <c r="A11151" s="1" t="s">
        <v>10</v>
      </c>
      <c r="B11151" s="2">
        <v>44743.0</v>
      </c>
      <c r="C11151" s="3">
        <v>0.7533101851851852</v>
      </c>
      <c r="D11151" s="1">
        <v>13.104725</v>
      </c>
      <c r="E11151" s="1">
        <v>80.285669</v>
      </c>
      <c r="F11151" s="1">
        <v>5339.0</v>
      </c>
      <c r="G11151" s="1">
        <v>7.0</v>
      </c>
    </row>
    <row r="11152">
      <c r="A11152" s="1" t="s">
        <v>8</v>
      </c>
      <c r="B11152" s="2">
        <v>44743.0</v>
      </c>
      <c r="C11152" s="3">
        <v>0.7542013888888889</v>
      </c>
      <c r="D11152" s="1">
        <v>13.105117</v>
      </c>
      <c r="E11152" s="1">
        <v>80.283397</v>
      </c>
      <c r="F11152" s="1">
        <v>5339.0</v>
      </c>
      <c r="G11152" s="1">
        <v>21.0</v>
      </c>
    </row>
    <row r="11153">
      <c r="A11153" s="1" t="s">
        <v>8</v>
      </c>
      <c r="B11153" s="2">
        <v>44743.0</v>
      </c>
      <c r="C11153" s="3">
        <v>0.7547685185185186</v>
      </c>
      <c r="D11153" s="1">
        <v>13.105108</v>
      </c>
      <c r="E11153" s="1">
        <v>80.277926</v>
      </c>
      <c r="F11153" s="1">
        <v>5339.0</v>
      </c>
      <c r="G11153" s="1">
        <v>49.0</v>
      </c>
    </row>
    <row r="11154">
      <c r="A11154" s="1" t="s">
        <v>10</v>
      </c>
      <c r="B11154" s="2">
        <v>44743.0</v>
      </c>
      <c r="C11154" s="3">
        <v>0.7549074074074074</v>
      </c>
      <c r="D11154" s="1">
        <v>13.104413</v>
      </c>
      <c r="E11154" s="1">
        <v>80.275938</v>
      </c>
      <c r="F11154" s="1">
        <v>5339.0</v>
      </c>
      <c r="G11154" s="1">
        <v>17.0</v>
      </c>
    </row>
    <row r="11155">
      <c r="A11155" s="1" t="s">
        <v>10</v>
      </c>
      <c r="B11155" s="2">
        <v>44743.0</v>
      </c>
      <c r="C11155" s="3">
        <v>0.7570254629629629</v>
      </c>
      <c r="D11155" s="1">
        <v>13.102287</v>
      </c>
      <c r="E11155" s="1">
        <v>80.274196</v>
      </c>
      <c r="F11155" s="1">
        <v>5339.0</v>
      </c>
      <c r="G11155" s="1">
        <v>11.0</v>
      </c>
    </row>
    <row r="11156">
      <c r="A11156" s="1" t="s">
        <v>9</v>
      </c>
      <c r="B11156" s="2">
        <v>44743.0</v>
      </c>
      <c r="C11156" s="3">
        <v>0.7586921296296296</v>
      </c>
      <c r="D11156" s="1">
        <v>13.104685</v>
      </c>
      <c r="E11156" s="1">
        <v>80.271207</v>
      </c>
      <c r="F11156" s="1">
        <v>5339.0</v>
      </c>
      <c r="G11156" s="1">
        <v>22.0</v>
      </c>
    </row>
    <row r="11157">
      <c r="A11157" s="1" t="s">
        <v>8</v>
      </c>
      <c r="B11157" s="2">
        <v>44743.0</v>
      </c>
      <c r="C11157" s="3">
        <v>0.7590740740740741</v>
      </c>
      <c r="D11157" s="1">
        <v>13.107768</v>
      </c>
      <c r="E11157" s="1">
        <v>80.268551</v>
      </c>
      <c r="F11157" s="1">
        <v>5339.0</v>
      </c>
      <c r="G11157" s="1">
        <v>52.0</v>
      </c>
    </row>
    <row r="11158">
      <c r="A11158" s="1" t="s">
        <v>10</v>
      </c>
      <c r="B11158" s="2">
        <v>44743.0</v>
      </c>
      <c r="C11158" s="3">
        <v>0.76125</v>
      </c>
      <c r="D11158" s="1">
        <v>13.116388</v>
      </c>
      <c r="E11158" s="1">
        <v>80.26195</v>
      </c>
      <c r="F11158" s="1">
        <v>5339.0</v>
      </c>
      <c r="G11158" s="1">
        <v>21.0</v>
      </c>
    </row>
    <row r="11159">
      <c r="A11159" s="1" t="s">
        <v>10</v>
      </c>
      <c r="B11159" s="2">
        <v>44743.0</v>
      </c>
      <c r="C11159" s="3">
        <v>0.7612962962962962</v>
      </c>
      <c r="D11159" s="1">
        <v>13.117024</v>
      </c>
      <c r="E11159" s="1">
        <v>80.261997</v>
      </c>
      <c r="F11159" s="1">
        <v>5339.0</v>
      </c>
      <c r="G11159" s="1">
        <v>23.0</v>
      </c>
    </row>
    <row r="11160">
      <c r="A11160" s="1" t="s">
        <v>10</v>
      </c>
      <c r="B11160" s="2">
        <v>44743.0</v>
      </c>
      <c r="C11160" s="3">
        <v>0.7636111111111111</v>
      </c>
      <c r="D11160" s="1">
        <v>13.122088</v>
      </c>
      <c r="E11160" s="1">
        <v>80.259237</v>
      </c>
      <c r="F11160" s="1">
        <v>5339.0</v>
      </c>
      <c r="G11160" s="1">
        <v>22.0</v>
      </c>
    </row>
    <row r="11161">
      <c r="A11161" s="1" t="s">
        <v>8</v>
      </c>
      <c r="B11161" s="2">
        <v>44743.0</v>
      </c>
      <c r="C11161" s="3">
        <v>0.7646643518518519</v>
      </c>
      <c r="D11161" s="1">
        <v>13.126975</v>
      </c>
      <c r="E11161" s="1">
        <v>80.259038</v>
      </c>
      <c r="F11161" s="1">
        <v>5339.0</v>
      </c>
      <c r="G11161" s="1">
        <v>26.0</v>
      </c>
    </row>
    <row r="11162">
      <c r="A11162" s="1" t="s">
        <v>8</v>
      </c>
      <c r="B11162" s="2">
        <v>44743.0</v>
      </c>
      <c r="C11162" s="3">
        <v>0.7646759259259259</v>
      </c>
      <c r="D11162" s="1">
        <v>13.126975</v>
      </c>
      <c r="E11162" s="1">
        <v>80.259038</v>
      </c>
      <c r="F11162" s="1">
        <v>5339.0</v>
      </c>
      <c r="G11162" s="1">
        <v>26.0</v>
      </c>
    </row>
    <row r="11163">
      <c r="A11163" s="1" t="s">
        <v>10</v>
      </c>
      <c r="B11163" s="2">
        <v>44743.0</v>
      </c>
      <c r="C11163" s="3">
        <v>0.7655324074074074</v>
      </c>
      <c r="D11163" s="1">
        <v>13.130494</v>
      </c>
      <c r="E11163" s="1">
        <v>80.258818</v>
      </c>
      <c r="F11163" s="1">
        <v>5339.0</v>
      </c>
      <c r="G11163" s="1">
        <v>0.0</v>
      </c>
    </row>
    <row r="11164">
      <c r="A11164" s="1" t="s">
        <v>10</v>
      </c>
      <c r="B11164" s="2">
        <v>44743.0</v>
      </c>
      <c r="C11164" s="3">
        <v>0.7658796296296296</v>
      </c>
      <c r="D11164" s="1">
        <v>13.131331</v>
      </c>
      <c r="E11164" s="1">
        <v>80.258731</v>
      </c>
      <c r="F11164" s="1">
        <v>5339.0</v>
      </c>
      <c r="G11164" s="1">
        <v>11.0</v>
      </c>
    </row>
    <row r="11165">
      <c r="A11165" s="1" t="s">
        <v>10</v>
      </c>
      <c r="B11165" s="2">
        <v>44743.0</v>
      </c>
      <c r="C11165" s="3">
        <v>0.7679398148148148</v>
      </c>
      <c r="D11165" s="1">
        <v>13.131492</v>
      </c>
      <c r="E11165" s="1">
        <v>80.253595</v>
      </c>
      <c r="F11165" s="1">
        <v>5339.0</v>
      </c>
      <c r="G11165" s="1">
        <v>24.0</v>
      </c>
    </row>
    <row r="11166">
      <c r="A11166" s="1" t="s">
        <v>10</v>
      </c>
      <c r="B11166" s="2">
        <v>44743.0</v>
      </c>
      <c r="C11166" s="3">
        <v>0.7693981481481481</v>
      </c>
      <c r="D11166" s="1">
        <v>13.133394</v>
      </c>
      <c r="E11166" s="1">
        <v>80.252853</v>
      </c>
      <c r="F11166" s="1">
        <v>5339.0</v>
      </c>
      <c r="G11166" s="1">
        <v>13.0</v>
      </c>
    </row>
    <row r="11167">
      <c r="A11167" s="1" t="s">
        <v>10</v>
      </c>
      <c r="B11167" s="2">
        <v>44743.0</v>
      </c>
      <c r="C11167" s="3">
        <v>0.8250810185185186</v>
      </c>
      <c r="D11167" s="1">
        <v>13.136414</v>
      </c>
      <c r="E11167" s="1">
        <v>80.255261</v>
      </c>
      <c r="F11167" s="1">
        <v>5339.0</v>
      </c>
      <c r="G11167" s="1">
        <v>14.0</v>
      </c>
    </row>
    <row r="11168">
      <c r="A11168" s="1" t="s">
        <v>10</v>
      </c>
      <c r="B11168" s="2">
        <v>44743.0</v>
      </c>
      <c r="C11168" s="3">
        <v>0.8298726851851852</v>
      </c>
      <c r="D11168" s="1">
        <v>13.121268</v>
      </c>
      <c r="E11168" s="1">
        <v>80.26578</v>
      </c>
      <c r="F11168" s="1">
        <v>5339.0</v>
      </c>
      <c r="G11168" s="1">
        <v>28.0</v>
      </c>
    </row>
    <row r="11169">
      <c r="A11169" s="1" t="s">
        <v>10</v>
      </c>
      <c r="B11169" s="2">
        <v>44743.0</v>
      </c>
      <c r="C11169" s="3">
        <v>0.8301157407407408</v>
      </c>
      <c r="D11169" s="1">
        <v>13.119989</v>
      </c>
      <c r="E11169" s="1">
        <v>80.265774</v>
      </c>
      <c r="F11169" s="1">
        <v>5339.0</v>
      </c>
      <c r="G11169" s="1">
        <v>20.0</v>
      </c>
    </row>
    <row r="11170">
      <c r="A11170" s="1" t="s">
        <v>8</v>
      </c>
      <c r="B11170" s="2">
        <v>44743.0</v>
      </c>
      <c r="C11170" s="3">
        <v>0.8326273148148148</v>
      </c>
      <c r="D11170" s="1">
        <v>13.107324</v>
      </c>
      <c r="E11170" s="1">
        <v>80.269068</v>
      </c>
      <c r="F11170" s="1">
        <v>5339.0</v>
      </c>
      <c r="G11170" s="1">
        <v>44.0</v>
      </c>
    </row>
    <row r="11171">
      <c r="A11171" s="1" t="s">
        <v>8</v>
      </c>
      <c r="B11171" s="2">
        <v>44743.0</v>
      </c>
      <c r="C11171" s="3">
        <v>0.8345370370370371</v>
      </c>
      <c r="D11171" s="1">
        <v>13.10556</v>
      </c>
      <c r="E11171" s="1">
        <v>80.279634</v>
      </c>
      <c r="F11171" s="1">
        <v>5339.0</v>
      </c>
      <c r="G11171" s="1">
        <v>31.0</v>
      </c>
    </row>
    <row r="11172">
      <c r="A11172" s="1" t="s">
        <v>8</v>
      </c>
      <c r="B11172" s="2">
        <v>44743.0</v>
      </c>
      <c r="C11172" s="3">
        <v>0.8347222222222223</v>
      </c>
      <c r="D11172" s="1">
        <v>13.10554</v>
      </c>
      <c r="E11172" s="1">
        <v>80.280917</v>
      </c>
      <c r="F11172" s="1">
        <v>5339.0</v>
      </c>
      <c r="G11172" s="1">
        <v>31.0</v>
      </c>
    </row>
    <row r="11173">
      <c r="A11173" s="1" t="s">
        <v>8</v>
      </c>
      <c r="B11173" s="2">
        <v>44743.0</v>
      </c>
      <c r="C11173" s="3">
        <v>0.8347453703703703</v>
      </c>
      <c r="D11173" s="1">
        <v>13.10554</v>
      </c>
      <c r="E11173" s="1">
        <v>80.280917</v>
      </c>
      <c r="F11173" s="1">
        <v>5339.0</v>
      </c>
      <c r="G11173" s="1">
        <v>31.0</v>
      </c>
    </row>
    <row r="11174">
      <c r="A11174" s="1" t="s">
        <v>8</v>
      </c>
      <c r="B11174" s="2">
        <v>44743.0</v>
      </c>
      <c r="C11174" s="3">
        <v>0.8349537037037037</v>
      </c>
      <c r="D11174" s="1">
        <v>13.105418</v>
      </c>
      <c r="E11174" s="1">
        <v>80.2821</v>
      </c>
      <c r="F11174" s="1">
        <v>5339.0</v>
      </c>
      <c r="G11174" s="1">
        <v>28.0</v>
      </c>
    </row>
    <row r="11175">
      <c r="A11175" s="1" t="s">
        <v>8</v>
      </c>
      <c r="B11175" s="2">
        <v>44743.0</v>
      </c>
      <c r="C11175" s="3">
        <v>0.8349884259259259</v>
      </c>
      <c r="D11175" s="1">
        <v>13.105418</v>
      </c>
      <c r="E11175" s="1">
        <v>80.2821</v>
      </c>
      <c r="F11175" s="1">
        <v>5339.0</v>
      </c>
      <c r="G11175" s="1">
        <v>28.0</v>
      </c>
    </row>
    <row r="11176">
      <c r="A11176" s="1" t="s">
        <v>8</v>
      </c>
      <c r="B11176" s="2">
        <v>44743.0</v>
      </c>
      <c r="C11176" s="3">
        <v>0.8387268518518518</v>
      </c>
      <c r="D11176" s="1">
        <v>13.105803</v>
      </c>
      <c r="E11176" s="1">
        <v>80.293722</v>
      </c>
      <c r="F11176" s="1">
        <v>5339.0</v>
      </c>
      <c r="G11176" s="1">
        <v>30.0</v>
      </c>
    </row>
    <row r="11177">
      <c r="A11177" s="1" t="s">
        <v>8</v>
      </c>
      <c r="B11177" s="2">
        <v>44743.0</v>
      </c>
      <c r="C11177" s="3">
        <v>0.8395601851851852</v>
      </c>
      <c r="D11177" s="1">
        <v>13.100271</v>
      </c>
      <c r="E11177" s="1">
        <v>80.294208</v>
      </c>
      <c r="F11177" s="1">
        <v>5339.0</v>
      </c>
      <c r="G11177" s="1">
        <v>28.0</v>
      </c>
    </row>
    <row r="11178">
      <c r="A11178" s="1" t="s">
        <v>8</v>
      </c>
      <c r="B11178" s="2">
        <v>44743.0</v>
      </c>
      <c r="C11178" s="3">
        <v>0.8395833333333333</v>
      </c>
      <c r="D11178" s="1">
        <v>13.100271</v>
      </c>
      <c r="E11178" s="1">
        <v>80.294208</v>
      </c>
      <c r="F11178" s="1">
        <v>5339.0</v>
      </c>
      <c r="G11178" s="1">
        <v>28.0</v>
      </c>
    </row>
    <row r="11179">
      <c r="A11179" s="1" t="s">
        <v>8</v>
      </c>
      <c r="B11179" s="2">
        <v>44743.0</v>
      </c>
      <c r="C11179" s="3">
        <v>0.8396064814814815</v>
      </c>
      <c r="D11179" s="1">
        <v>13.099301</v>
      </c>
      <c r="E11179" s="1">
        <v>80.293927</v>
      </c>
      <c r="F11179" s="1">
        <v>5339.0</v>
      </c>
      <c r="G11179" s="1">
        <v>27.0</v>
      </c>
    </row>
    <row r="11180">
      <c r="A11180" s="1" t="s">
        <v>8</v>
      </c>
      <c r="B11180" s="2">
        <v>44743.0</v>
      </c>
      <c r="C11180" s="3">
        <v>0.8396643518518518</v>
      </c>
      <c r="D11180" s="1">
        <v>13.099301</v>
      </c>
      <c r="E11180" s="1">
        <v>80.293927</v>
      </c>
      <c r="F11180" s="1">
        <v>5339.0</v>
      </c>
      <c r="G11180" s="1">
        <v>27.0</v>
      </c>
    </row>
    <row r="11181">
      <c r="A11181" s="1" t="s">
        <v>8</v>
      </c>
      <c r="B11181" s="2">
        <v>44743.0</v>
      </c>
      <c r="C11181" s="3">
        <v>0.8396990740740741</v>
      </c>
      <c r="D11181" s="1">
        <v>13.099301</v>
      </c>
      <c r="E11181" s="1">
        <v>80.293927</v>
      </c>
      <c r="F11181" s="1">
        <v>5339.0</v>
      </c>
      <c r="G11181" s="1">
        <v>27.0</v>
      </c>
    </row>
    <row r="11182">
      <c r="A11182" s="1" t="s">
        <v>8</v>
      </c>
      <c r="B11182" s="2">
        <v>44743.0</v>
      </c>
      <c r="C11182" s="3">
        <v>0.8437152777777778</v>
      </c>
      <c r="D11182" s="1">
        <v>13.085287</v>
      </c>
      <c r="E11182" s="1">
        <v>80.284974</v>
      </c>
      <c r="F11182" s="1">
        <v>5339.0</v>
      </c>
      <c r="G11182" s="1">
        <v>20.0</v>
      </c>
    </row>
    <row r="11183">
      <c r="A11183" s="1" t="s">
        <v>8</v>
      </c>
      <c r="B11183" s="2">
        <v>44743.0</v>
      </c>
      <c r="C11183" s="3">
        <v>0.8437268518518518</v>
      </c>
      <c r="D11183" s="1">
        <v>13.085287</v>
      </c>
      <c r="E11183" s="1">
        <v>80.284974</v>
      </c>
      <c r="F11183" s="1">
        <v>5339.0</v>
      </c>
      <c r="G11183" s="1">
        <v>20.0</v>
      </c>
    </row>
    <row r="11184">
      <c r="A11184" s="1" t="s">
        <v>8</v>
      </c>
      <c r="B11184" s="2">
        <v>44743.0</v>
      </c>
      <c r="C11184" s="3">
        <v>0.8451851851851852</v>
      </c>
      <c r="D11184" s="1">
        <v>13.079494</v>
      </c>
      <c r="E11184" s="1">
        <v>80.281607</v>
      </c>
      <c r="F11184" s="1">
        <v>5339.0</v>
      </c>
      <c r="G11184" s="1">
        <v>25.0</v>
      </c>
    </row>
    <row r="11185">
      <c r="A11185" s="1" t="s">
        <v>8</v>
      </c>
      <c r="B11185" s="2">
        <v>44743.0</v>
      </c>
      <c r="C11185" s="3">
        <v>0.8451851851851852</v>
      </c>
      <c r="D11185" s="1">
        <v>13.079494</v>
      </c>
      <c r="E11185" s="1">
        <v>80.281607</v>
      </c>
      <c r="F11185" s="1">
        <v>5339.0</v>
      </c>
      <c r="G11185" s="1">
        <v>25.0</v>
      </c>
    </row>
    <row r="11186">
      <c r="A11186" s="1" t="s">
        <v>8</v>
      </c>
      <c r="B11186" s="2">
        <v>44743.0</v>
      </c>
      <c r="C11186" s="3">
        <v>0.8452199074074074</v>
      </c>
      <c r="D11186" s="1">
        <v>13.079494</v>
      </c>
      <c r="E11186" s="1">
        <v>80.281607</v>
      </c>
      <c r="F11186" s="1">
        <v>5339.0</v>
      </c>
      <c r="G11186" s="1">
        <v>25.0</v>
      </c>
    </row>
    <row r="11187">
      <c r="A11187" s="1" t="s">
        <v>8</v>
      </c>
      <c r="B11187" s="2">
        <v>44743.0</v>
      </c>
      <c r="C11187" s="3">
        <v>0.8452893518518518</v>
      </c>
      <c r="D11187" s="1">
        <v>13.079494</v>
      </c>
      <c r="E11187" s="1">
        <v>80.281607</v>
      </c>
      <c r="F11187" s="1">
        <v>5339.0</v>
      </c>
      <c r="G11187" s="1">
        <v>25.0</v>
      </c>
    </row>
    <row r="11188">
      <c r="A11188" s="1" t="s">
        <v>8</v>
      </c>
      <c r="B11188" s="2">
        <v>44743.0</v>
      </c>
      <c r="C11188" s="3">
        <v>0.8453240740740741</v>
      </c>
      <c r="D11188" s="1">
        <v>13.079494</v>
      </c>
      <c r="E11188" s="1">
        <v>80.281607</v>
      </c>
      <c r="F11188" s="1">
        <v>5339.0</v>
      </c>
      <c r="G11188" s="1">
        <v>25.0</v>
      </c>
    </row>
    <row r="11189">
      <c r="A11189" s="1" t="s">
        <v>8</v>
      </c>
      <c r="B11189" s="2">
        <v>44743.0</v>
      </c>
      <c r="C11189" s="3">
        <v>0.8470601851851852</v>
      </c>
      <c r="D11189" s="1">
        <v>13.071809</v>
      </c>
      <c r="E11189" s="1">
        <v>80.2746</v>
      </c>
      <c r="F11189" s="1">
        <v>5339.0</v>
      </c>
      <c r="G11189" s="1">
        <v>0.0</v>
      </c>
    </row>
    <row r="11190">
      <c r="A11190" s="1" t="s">
        <v>8</v>
      </c>
      <c r="B11190" s="2">
        <v>44743.0</v>
      </c>
      <c r="C11190" s="3">
        <v>0.8484375</v>
      </c>
      <c r="D11190" s="1">
        <v>13.068337</v>
      </c>
      <c r="E11190" s="1">
        <v>80.271764</v>
      </c>
      <c r="F11190" s="1">
        <v>5339.0</v>
      </c>
      <c r="G11190" s="1">
        <v>12.0</v>
      </c>
    </row>
    <row r="11191">
      <c r="A11191" s="1" t="s">
        <v>8</v>
      </c>
      <c r="B11191" s="2">
        <v>44743.0</v>
      </c>
      <c r="C11191" s="3">
        <v>0.8486574074074074</v>
      </c>
      <c r="D11191" s="1">
        <v>13.068176</v>
      </c>
      <c r="E11191" s="1">
        <v>80.271503</v>
      </c>
      <c r="F11191" s="1">
        <v>5339.0</v>
      </c>
      <c r="G11191" s="1">
        <v>0.0</v>
      </c>
    </row>
    <row r="11192">
      <c r="A11192" s="1" t="s">
        <v>8</v>
      </c>
      <c r="B11192" s="2">
        <v>44743.0</v>
      </c>
      <c r="C11192" s="3">
        <v>0.8487152777777778</v>
      </c>
      <c r="D11192" s="1">
        <v>13.067975</v>
      </c>
      <c r="E11192" s="1">
        <v>80.271202</v>
      </c>
      <c r="F11192" s="1">
        <v>5339.0</v>
      </c>
      <c r="G11192" s="1">
        <v>12.0</v>
      </c>
    </row>
    <row r="11193">
      <c r="A11193" s="1" t="s">
        <v>8</v>
      </c>
      <c r="B11193" s="2">
        <v>44743.0</v>
      </c>
      <c r="C11193" s="3">
        <v>0.850462962962963</v>
      </c>
      <c r="D11193" s="1">
        <v>13.062369</v>
      </c>
      <c r="E11193" s="1">
        <v>80.263464</v>
      </c>
      <c r="F11193" s="1">
        <v>5339.0</v>
      </c>
      <c r="G11193" s="1">
        <v>10.0</v>
      </c>
    </row>
    <row r="11194">
      <c r="A11194" s="1" t="s">
        <v>8</v>
      </c>
      <c r="B11194" s="2">
        <v>44743.0</v>
      </c>
      <c r="C11194" s="3">
        <v>0.8519444444444444</v>
      </c>
      <c r="D11194" s="1">
        <v>13.064348</v>
      </c>
      <c r="E11194" s="1">
        <v>80.259004</v>
      </c>
      <c r="F11194" s="1">
        <v>5339.0</v>
      </c>
      <c r="G11194" s="1">
        <v>21.0</v>
      </c>
    </row>
    <row r="11195">
      <c r="A11195" s="1" t="s">
        <v>8</v>
      </c>
      <c r="B11195" s="2">
        <v>44743.0</v>
      </c>
      <c r="C11195" s="3">
        <v>0.8520486111111111</v>
      </c>
      <c r="D11195" s="1">
        <v>13.064348</v>
      </c>
      <c r="E11195" s="1">
        <v>80.259004</v>
      </c>
      <c r="F11195" s="1">
        <v>5339.0</v>
      </c>
      <c r="G11195" s="1">
        <v>21.0</v>
      </c>
    </row>
    <row r="11196">
      <c r="A11196" s="1" t="s">
        <v>8</v>
      </c>
      <c r="B11196" s="2">
        <v>44743.0</v>
      </c>
      <c r="C11196" s="3">
        <v>0.8521875</v>
      </c>
      <c r="D11196" s="1">
        <v>13.064892</v>
      </c>
      <c r="E11196" s="1">
        <v>80.258177</v>
      </c>
      <c r="F11196" s="1">
        <v>5339.0</v>
      </c>
      <c r="G11196" s="1">
        <v>26.0</v>
      </c>
    </row>
    <row r="11197">
      <c r="A11197" s="1" t="s">
        <v>8</v>
      </c>
      <c r="B11197" s="2">
        <v>44743.0</v>
      </c>
      <c r="C11197" s="3">
        <v>0.8535300925925926</v>
      </c>
      <c r="D11197" s="1">
        <v>13.066866</v>
      </c>
      <c r="E11197" s="1">
        <v>80.254351</v>
      </c>
      <c r="F11197" s="1">
        <v>5339.0</v>
      </c>
      <c r="G11197" s="1">
        <v>8.0</v>
      </c>
    </row>
    <row r="11198">
      <c r="A11198" s="1" t="s">
        <v>8</v>
      </c>
      <c r="B11198" s="2">
        <v>44743.0</v>
      </c>
      <c r="C11198" s="3">
        <v>0.8545486111111111</v>
      </c>
      <c r="D11198" s="1">
        <v>13.067575</v>
      </c>
      <c r="E11198" s="1">
        <v>80.249719</v>
      </c>
      <c r="F11198" s="1">
        <v>5339.0</v>
      </c>
      <c r="G11198" s="1">
        <v>27.0</v>
      </c>
    </row>
    <row r="11199">
      <c r="A11199" s="1" t="s">
        <v>8</v>
      </c>
      <c r="B11199" s="2">
        <v>44743.0</v>
      </c>
      <c r="C11199" s="3">
        <v>0.8545717592592592</v>
      </c>
      <c r="D11199" s="1">
        <v>13.067575</v>
      </c>
      <c r="E11199" s="1">
        <v>80.249719</v>
      </c>
      <c r="F11199" s="1">
        <v>5339.0</v>
      </c>
      <c r="G11199" s="1">
        <v>27.0</v>
      </c>
    </row>
    <row r="11200">
      <c r="A11200" s="1" t="s">
        <v>8</v>
      </c>
      <c r="B11200" s="2">
        <v>44743.0</v>
      </c>
      <c r="C11200" s="3">
        <v>0.8545833333333334</v>
      </c>
      <c r="D11200" s="1">
        <v>13.067575</v>
      </c>
      <c r="E11200" s="1">
        <v>80.249719</v>
      </c>
      <c r="F11200" s="1">
        <v>5339.0</v>
      </c>
      <c r="G11200" s="1">
        <v>27.0</v>
      </c>
    </row>
    <row r="11201">
      <c r="A11201" s="1" t="s">
        <v>8</v>
      </c>
      <c r="B11201" s="2">
        <v>44743.0</v>
      </c>
      <c r="C11201" s="3">
        <v>0.8547685185185185</v>
      </c>
      <c r="D11201" s="1">
        <v>13.067724</v>
      </c>
      <c r="E11201" s="1">
        <v>80.248822</v>
      </c>
      <c r="F11201" s="1">
        <v>5339.0</v>
      </c>
      <c r="G11201" s="1">
        <v>30.0</v>
      </c>
    </row>
    <row r="11202">
      <c r="A11202" s="1" t="s">
        <v>7</v>
      </c>
      <c r="B11202" s="2">
        <v>44775.0</v>
      </c>
      <c r="C11202" s="3">
        <v>0.28930555555555554</v>
      </c>
      <c r="D11202" s="1">
        <v>12.470655</v>
      </c>
      <c r="E11202" s="1">
        <v>79.853561</v>
      </c>
      <c r="F11202" s="1">
        <v>2846.0</v>
      </c>
      <c r="G11202" s="1">
        <v>57.0</v>
      </c>
    </row>
    <row r="11203">
      <c r="A11203" s="1" t="s">
        <v>7</v>
      </c>
      <c r="B11203" s="2">
        <v>44775.0</v>
      </c>
      <c r="C11203" s="3">
        <v>0.2894791666666667</v>
      </c>
      <c r="D11203" s="1">
        <v>12.47511</v>
      </c>
      <c r="E11203" s="1">
        <v>79.857391</v>
      </c>
      <c r="F11203" s="1">
        <v>2846.0</v>
      </c>
      <c r="G11203" s="1">
        <v>58.0</v>
      </c>
    </row>
    <row r="11204">
      <c r="A11204" s="1" t="s">
        <v>7</v>
      </c>
      <c r="B11204" s="2">
        <v>44775.0</v>
      </c>
      <c r="C11204" s="3">
        <v>0.2896412037037037</v>
      </c>
      <c r="D11204" s="1">
        <v>12.476233</v>
      </c>
      <c r="E11204" s="1">
        <v>79.858346</v>
      </c>
      <c r="F11204" s="1">
        <v>2846.0</v>
      </c>
      <c r="G11204" s="1">
        <v>58.0</v>
      </c>
    </row>
    <row r="11205">
      <c r="A11205" s="1" t="s">
        <v>7</v>
      </c>
      <c r="B11205" s="2">
        <v>44775.0</v>
      </c>
      <c r="C11205" s="3">
        <v>0.2930439814814815</v>
      </c>
      <c r="D11205" s="1">
        <v>12.511645</v>
      </c>
      <c r="E11205" s="1">
        <v>79.883304</v>
      </c>
      <c r="F11205" s="1">
        <v>2846.0</v>
      </c>
      <c r="G11205" s="1">
        <v>54.0</v>
      </c>
    </row>
    <row r="11206">
      <c r="A11206" s="1" t="s">
        <v>7</v>
      </c>
      <c r="B11206" s="2">
        <v>44775.0</v>
      </c>
      <c r="C11206" s="3">
        <v>0.29332175925925924</v>
      </c>
      <c r="D11206" s="1">
        <v>12.511645</v>
      </c>
      <c r="E11206" s="1">
        <v>79.883304</v>
      </c>
      <c r="F11206" s="1">
        <v>2846.0</v>
      </c>
      <c r="G11206" s="1">
        <v>54.0</v>
      </c>
    </row>
    <row r="11207">
      <c r="A11207" s="1" t="s">
        <v>7</v>
      </c>
      <c r="B11207" s="2">
        <v>44775.0</v>
      </c>
      <c r="C11207" s="3">
        <v>0.29366898148148146</v>
      </c>
      <c r="D11207" s="1">
        <v>12.516375</v>
      </c>
      <c r="E11207" s="1">
        <v>79.888541</v>
      </c>
      <c r="F11207" s="1">
        <v>2846.0</v>
      </c>
      <c r="G11207" s="1">
        <v>62.0</v>
      </c>
    </row>
    <row r="11208">
      <c r="A11208" s="1" t="s">
        <v>7</v>
      </c>
      <c r="B11208" s="2">
        <v>44775.0</v>
      </c>
      <c r="C11208" s="3">
        <v>0.2942361111111111</v>
      </c>
      <c r="D11208" s="1">
        <v>12.515944</v>
      </c>
      <c r="E11208" s="1">
        <v>79.88855</v>
      </c>
      <c r="F11208" s="1">
        <v>2846.0</v>
      </c>
      <c r="G11208" s="1">
        <v>45.0</v>
      </c>
    </row>
    <row r="11209">
      <c r="A11209" s="1" t="s">
        <v>8</v>
      </c>
      <c r="B11209" s="2">
        <v>44775.0</v>
      </c>
      <c r="C11209" s="3">
        <v>0.2947106481481481</v>
      </c>
      <c r="D11209" s="1">
        <v>12.515944</v>
      </c>
      <c r="E11209" s="1">
        <v>79.88855</v>
      </c>
      <c r="F11209" s="1">
        <v>2846.0</v>
      </c>
      <c r="G11209" s="1">
        <v>45.0</v>
      </c>
    </row>
    <row r="11210">
      <c r="A11210" s="1" t="s">
        <v>8</v>
      </c>
      <c r="B11210" s="2">
        <v>44775.0</v>
      </c>
      <c r="C11210" s="3">
        <v>0.29533564814814817</v>
      </c>
      <c r="D11210" s="1">
        <v>12.510598</v>
      </c>
      <c r="E11210" s="1">
        <v>79.885078</v>
      </c>
      <c r="F11210" s="1">
        <v>2846.0</v>
      </c>
      <c r="G11210" s="1">
        <v>18.0</v>
      </c>
    </row>
    <row r="11211">
      <c r="A11211" s="1" t="s">
        <v>10</v>
      </c>
      <c r="B11211" s="2">
        <v>44775.0</v>
      </c>
      <c r="C11211" s="3">
        <v>0.2965393518518519</v>
      </c>
      <c r="D11211" s="1">
        <v>12.508924</v>
      </c>
      <c r="E11211" s="1">
        <v>79.889384</v>
      </c>
      <c r="F11211" s="1">
        <v>2846.0</v>
      </c>
      <c r="G11211" s="1">
        <v>15.0</v>
      </c>
    </row>
    <row r="11212">
      <c r="A11212" s="1" t="s">
        <v>10</v>
      </c>
      <c r="B11212" s="2">
        <v>44775.0</v>
      </c>
      <c r="C11212" s="3">
        <v>0.2966550925925926</v>
      </c>
      <c r="D11212" s="1">
        <v>12.508893</v>
      </c>
      <c r="E11212" s="1">
        <v>79.88478</v>
      </c>
      <c r="F11212" s="1">
        <v>2846.0</v>
      </c>
      <c r="G11212" s="1">
        <v>19.0</v>
      </c>
    </row>
    <row r="11213">
      <c r="A11213" s="1" t="s">
        <v>8</v>
      </c>
      <c r="B11213" s="2">
        <v>44775.0</v>
      </c>
      <c r="C11213" s="3">
        <v>0.29703703703703704</v>
      </c>
      <c r="D11213" s="1">
        <v>13.063793</v>
      </c>
      <c r="E11213" s="1">
        <v>80.250789</v>
      </c>
      <c r="F11213" s="1">
        <v>5339.0</v>
      </c>
      <c r="G11213" s="1">
        <v>10.0</v>
      </c>
    </row>
    <row r="11214">
      <c r="A11214" s="1" t="s">
        <v>7</v>
      </c>
      <c r="B11214" s="2">
        <v>44775.0</v>
      </c>
      <c r="C11214" s="3">
        <v>0.2982060185185185</v>
      </c>
      <c r="D11214" s="1">
        <v>12.512419</v>
      </c>
      <c r="E11214" s="1">
        <v>79.886168</v>
      </c>
      <c r="F11214" s="1">
        <v>2846.0</v>
      </c>
      <c r="G11214" s="1">
        <v>40.0</v>
      </c>
    </row>
    <row r="11215">
      <c r="A11215" s="1" t="s">
        <v>7</v>
      </c>
      <c r="B11215" s="2">
        <v>44775.0</v>
      </c>
      <c r="C11215" s="3">
        <v>0.29898148148148146</v>
      </c>
      <c r="D11215" s="1">
        <v>12.515386</v>
      </c>
      <c r="E11215" s="1">
        <v>79.888596</v>
      </c>
      <c r="F11215" s="1">
        <v>2846.0</v>
      </c>
      <c r="G11215" s="1">
        <v>46.0</v>
      </c>
    </row>
    <row r="11216">
      <c r="A11216" s="1" t="s">
        <v>8</v>
      </c>
      <c r="B11216" s="2">
        <v>44775.0</v>
      </c>
      <c r="C11216" s="3">
        <v>0.2995023148148148</v>
      </c>
      <c r="D11216" s="1">
        <v>13.067685</v>
      </c>
      <c r="E11216" s="1">
        <v>80.249649</v>
      </c>
      <c r="F11216" s="1">
        <v>3143.0</v>
      </c>
      <c r="G11216" s="1">
        <v>27.0</v>
      </c>
    </row>
    <row r="11217">
      <c r="A11217" s="1" t="s">
        <v>8</v>
      </c>
      <c r="B11217" s="2">
        <v>44775.0</v>
      </c>
      <c r="C11217" s="3">
        <v>0.30040509259259257</v>
      </c>
      <c r="D11217" s="1">
        <v>13.063793</v>
      </c>
      <c r="E11217" s="1">
        <v>80.250789</v>
      </c>
      <c r="F11217" s="1">
        <v>5339.0</v>
      </c>
      <c r="G11217" s="1">
        <v>10.0</v>
      </c>
    </row>
    <row r="11218">
      <c r="A11218" s="1" t="s">
        <v>8</v>
      </c>
      <c r="B11218" s="2">
        <v>44775.0</v>
      </c>
      <c r="C11218" s="3">
        <v>0.30052083333333335</v>
      </c>
      <c r="D11218" s="1">
        <v>13.063793</v>
      </c>
      <c r="E11218" s="1">
        <v>80.250789</v>
      </c>
      <c r="F11218" s="1">
        <v>5339.0</v>
      </c>
      <c r="G11218" s="1">
        <v>10.0</v>
      </c>
    </row>
    <row r="11219">
      <c r="A11219" s="1" t="s">
        <v>8</v>
      </c>
      <c r="B11219" s="2">
        <v>44775.0</v>
      </c>
      <c r="C11219" s="3">
        <v>0.3005439814814815</v>
      </c>
      <c r="D11219" s="1">
        <v>13.063793</v>
      </c>
      <c r="E11219" s="1">
        <v>80.250789</v>
      </c>
      <c r="F11219" s="1">
        <v>5339.0</v>
      </c>
      <c r="G11219" s="1">
        <v>10.0</v>
      </c>
    </row>
    <row r="11220">
      <c r="A11220" s="1" t="s">
        <v>8</v>
      </c>
      <c r="B11220" s="2">
        <v>44775.0</v>
      </c>
      <c r="C11220" s="3">
        <v>0.30378472222222225</v>
      </c>
      <c r="D11220" s="1">
        <v>13.066762</v>
      </c>
      <c r="E11220" s="1">
        <v>80.268456</v>
      </c>
      <c r="F11220" s="1">
        <v>3143.0</v>
      </c>
      <c r="G11220" s="1">
        <v>30.0</v>
      </c>
    </row>
    <row r="11221">
      <c r="A11221" s="1" t="s">
        <v>8</v>
      </c>
      <c r="B11221" s="2">
        <v>44775.0</v>
      </c>
      <c r="C11221" s="3">
        <v>0.3038310185185185</v>
      </c>
      <c r="D11221" s="1">
        <v>13.067491</v>
      </c>
      <c r="E11221" s="1">
        <v>80.268927</v>
      </c>
      <c r="F11221" s="1">
        <v>3143.0</v>
      </c>
      <c r="G11221" s="1">
        <v>31.0</v>
      </c>
    </row>
    <row r="11222">
      <c r="A11222" s="1" t="s">
        <v>8</v>
      </c>
      <c r="B11222" s="2">
        <v>44775.0</v>
      </c>
      <c r="C11222" s="3">
        <v>0.3041087962962963</v>
      </c>
      <c r="D11222" s="1">
        <v>13.067962</v>
      </c>
      <c r="E11222" s="1">
        <v>80.272368</v>
      </c>
      <c r="F11222" s="1">
        <v>5339.0</v>
      </c>
      <c r="G11222" s="1">
        <v>29.0</v>
      </c>
    </row>
    <row r="11223">
      <c r="A11223" s="1" t="s">
        <v>10</v>
      </c>
      <c r="B11223" s="2">
        <v>44775.0</v>
      </c>
      <c r="C11223" s="3">
        <v>0.30471064814814813</v>
      </c>
      <c r="D11223" s="1">
        <v>13.065441</v>
      </c>
      <c r="E11223" s="1">
        <v>80.27377</v>
      </c>
      <c r="F11223" s="1">
        <v>5339.0</v>
      </c>
      <c r="G11223" s="1">
        <v>23.0</v>
      </c>
    </row>
    <row r="11224">
      <c r="A11224" s="1" t="s">
        <v>10</v>
      </c>
      <c r="B11224" s="2">
        <v>44775.0</v>
      </c>
      <c r="C11224" s="3">
        <v>0.3073032407407407</v>
      </c>
      <c r="D11224" s="1">
        <v>13.059587</v>
      </c>
      <c r="E11224" s="1">
        <v>80.27424</v>
      </c>
      <c r="F11224" s="1">
        <v>5339.0</v>
      </c>
      <c r="G11224" s="1">
        <v>12.0</v>
      </c>
    </row>
    <row r="11225">
      <c r="A11225" s="1" t="s">
        <v>8</v>
      </c>
      <c r="B11225" s="2">
        <v>44775.0</v>
      </c>
      <c r="C11225" s="3">
        <v>0.31072916666666667</v>
      </c>
      <c r="D11225" s="1">
        <v>13.049591</v>
      </c>
      <c r="E11225" s="1">
        <v>80.264066</v>
      </c>
      <c r="F11225" s="1">
        <v>3143.0</v>
      </c>
      <c r="G11225" s="1">
        <v>34.0</v>
      </c>
    </row>
    <row r="11226">
      <c r="A11226" s="1" t="s">
        <v>8</v>
      </c>
      <c r="B11226" s="2">
        <v>44775.0</v>
      </c>
      <c r="C11226" s="3">
        <v>0.31072916666666667</v>
      </c>
      <c r="D11226" s="1">
        <v>13.049591</v>
      </c>
      <c r="E11226" s="1">
        <v>80.264066</v>
      </c>
      <c r="F11226" s="1">
        <v>3143.0</v>
      </c>
      <c r="G11226" s="1">
        <v>34.0</v>
      </c>
    </row>
    <row r="11227">
      <c r="A11227" s="1" t="s">
        <v>10</v>
      </c>
      <c r="B11227" s="2">
        <v>44775.0</v>
      </c>
      <c r="C11227" s="3">
        <v>0.31090277777777775</v>
      </c>
      <c r="D11227" s="1">
        <v>13.053537</v>
      </c>
      <c r="E11227" s="1">
        <v>80.267677</v>
      </c>
      <c r="F11227" s="1">
        <v>5339.0</v>
      </c>
      <c r="G11227" s="1">
        <v>25.0</v>
      </c>
    </row>
    <row r="11228">
      <c r="A11228" s="1" t="s">
        <v>8</v>
      </c>
      <c r="B11228" s="2">
        <v>44775.0</v>
      </c>
      <c r="C11228" s="3">
        <v>0.3123726851851852</v>
      </c>
      <c r="D11228" s="1">
        <v>13.042917</v>
      </c>
      <c r="E11228" s="1">
        <v>80.267853</v>
      </c>
      <c r="F11228" s="1">
        <v>3143.0</v>
      </c>
      <c r="G11228" s="1">
        <v>30.0</v>
      </c>
    </row>
    <row r="11229">
      <c r="A11229" s="1" t="s">
        <v>7</v>
      </c>
      <c r="B11229" s="2">
        <v>44775.0</v>
      </c>
      <c r="C11229" s="3">
        <v>0.31309027777777776</v>
      </c>
      <c r="D11229" s="1">
        <v>12.658395</v>
      </c>
      <c r="E11229" s="1">
        <v>79.94311</v>
      </c>
      <c r="F11229" s="1">
        <v>2846.0</v>
      </c>
      <c r="G11229" s="1">
        <v>58.0</v>
      </c>
    </row>
    <row r="11230">
      <c r="A11230" s="1" t="s">
        <v>8</v>
      </c>
      <c r="B11230" s="2">
        <v>44775.0</v>
      </c>
      <c r="C11230" s="3">
        <v>0.31320601851851854</v>
      </c>
      <c r="D11230" s="1">
        <v>13.052991</v>
      </c>
      <c r="E11230" s="1">
        <v>80.251918</v>
      </c>
      <c r="F11230" s="1">
        <v>5339.0</v>
      </c>
      <c r="G11230" s="1">
        <v>47.0</v>
      </c>
    </row>
    <row r="11231">
      <c r="A11231" s="1" t="s">
        <v>8</v>
      </c>
      <c r="B11231" s="2">
        <v>44775.0</v>
      </c>
      <c r="C11231" s="3">
        <v>0.31327546296296294</v>
      </c>
      <c r="D11231" s="1">
        <v>13.052991</v>
      </c>
      <c r="E11231" s="1">
        <v>80.251918</v>
      </c>
      <c r="F11231" s="1">
        <v>5339.0</v>
      </c>
      <c r="G11231" s="1">
        <v>47.0</v>
      </c>
    </row>
    <row r="11232">
      <c r="A11232" s="1" t="s">
        <v>8</v>
      </c>
      <c r="B11232" s="2">
        <v>44775.0</v>
      </c>
      <c r="C11232" s="3">
        <v>0.3136805555555556</v>
      </c>
      <c r="D11232" s="1">
        <v>12.656623</v>
      </c>
      <c r="E11232" s="1">
        <v>79.950131</v>
      </c>
      <c r="F11232" s="1">
        <v>2846.0</v>
      </c>
      <c r="G11232" s="1">
        <v>55.0</v>
      </c>
    </row>
    <row r="11233">
      <c r="A11233" s="1" t="s">
        <v>10</v>
      </c>
      <c r="B11233" s="2">
        <v>44775.0</v>
      </c>
      <c r="C11233" s="3">
        <v>0.31504629629629627</v>
      </c>
      <c r="D11233" s="1">
        <v>13.034827</v>
      </c>
      <c r="E11233" s="1">
        <v>80.268077</v>
      </c>
      <c r="F11233" s="1">
        <v>3143.0</v>
      </c>
      <c r="G11233" s="1">
        <v>23.0</v>
      </c>
    </row>
    <row r="11234">
      <c r="A11234" s="1" t="s">
        <v>8</v>
      </c>
      <c r="B11234" s="2">
        <v>44775.0</v>
      </c>
      <c r="C11234" s="3">
        <v>0.3151388888888889</v>
      </c>
      <c r="D11234" s="1">
        <v>13.0397</v>
      </c>
      <c r="E11234" s="1">
        <v>80.247064</v>
      </c>
      <c r="F11234" s="1">
        <v>5339.0</v>
      </c>
      <c r="G11234" s="1">
        <v>38.0</v>
      </c>
    </row>
    <row r="11235">
      <c r="A11235" s="1" t="s">
        <v>8</v>
      </c>
      <c r="B11235" s="2">
        <v>44775.0</v>
      </c>
      <c r="C11235" s="3">
        <v>0.31525462962962963</v>
      </c>
      <c r="D11235" s="1">
        <v>13.038964</v>
      </c>
      <c r="E11235" s="1">
        <v>80.246909</v>
      </c>
      <c r="F11235" s="1">
        <v>5339.0</v>
      </c>
      <c r="G11235" s="1">
        <v>25.0</v>
      </c>
    </row>
    <row r="11236">
      <c r="A11236" s="1" t="s">
        <v>8</v>
      </c>
      <c r="B11236" s="2">
        <v>44775.0</v>
      </c>
      <c r="C11236" s="3">
        <v>0.31526620370370373</v>
      </c>
      <c r="D11236" s="1">
        <v>13.038964</v>
      </c>
      <c r="E11236" s="1">
        <v>80.246909</v>
      </c>
      <c r="F11236" s="1">
        <v>5339.0</v>
      </c>
      <c r="G11236" s="1">
        <v>25.0</v>
      </c>
    </row>
    <row r="11237">
      <c r="A11237" s="1" t="s">
        <v>8</v>
      </c>
      <c r="B11237" s="2">
        <v>44775.0</v>
      </c>
      <c r="C11237" s="3">
        <v>0.31527777777777777</v>
      </c>
      <c r="D11237" s="1">
        <v>13.038964</v>
      </c>
      <c r="E11237" s="1">
        <v>80.246909</v>
      </c>
      <c r="F11237" s="1">
        <v>5339.0</v>
      </c>
      <c r="G11237" s="1">
        <v>25.0</v>
      </c>
    </row>
    <row r="11238">
      <c r="A11238" s="1" t="s">
        <v>8</v>
      </c>
      <c r="B11238" s="2">
        <v>44775.0</v>
      </c>
      <c r="C11238" s="3">
        <v>0.3163078703703704</v>
      </c>
      <c r="D11238" s="1">
        <v>13.03454</v>
      </c>
      <c r="E11238" s="1">
        <v>80.245394</v>
      </c>
      <c r="F11238" s="1">
        <v>5339.0</v>
      </c>
      <c r="G11238" s="1">
        <v>32.0</v>
      </c>
    </row>
    <row r="11239">
      <c r="A11239" s="1" t="s">
        <v>8</v>
      </c>
      <c r="B11239" s="2">
        <v>44775.0</v>
      </c>
      <c r="C11239" s="3">
        <v>0.31635416666666666</v>
      </c>
      <c r="D11239" s="1">
        <v>13.03454</v>
      </c>
      <c r="E11239" s="1">
        <v>80.245394</v>
      </c>
      <c r="F11239" s="1">
        <v>5339.0</v>
      </c>
      <c r="G11239" s="1">
        <v>32.0</v>
      </c>
    </row>
    <row r="11240">
      <c r="A11240" s="1" t="s">
        <v>8</v>
      </c>
      <c r="B11240" s="2">
        <v>44775.0</v>
      </c>
      <c r="C11240" s="3">
        <v>0.31827546296296294</v>
      </c>
      <c r="D11240" s="1">
        <v>13.020318</v>
      </c>
      <c r="E11240" s="1">
        <v>80.263016</v>
      </c>
      <c r="F11240" s="1">
        <v>3143.0</v>
      </c>
      <c r="G11240" s="1">
        <v>9.0</v>
      </c>
    </row>
    <row r="11241">
      <c r="A11241" s="1" t="s">
        <v>8</v>
      </c>
      <c r="B11241" s="2">
        <v>44775.0</v>
      </c>
      <c r="C11241" s="3">
        <v>0.31895833333333334</v>
      </c>
      <c r="D11241" s="1">
        <v>13.027455</v>
      </c>
      <c r="E11241" s="1">
        <v>80.234564</v>
      </c>
      <c r="F11241" s="1">
        <v>5339.0</v>
      </c>
      <c r="G11241" s="1">
        <v>43.0</v>
      </c>
    </row>
    <row r="11242">
      <c r="A11242" s="1" t="s">
        <v>8</v>
      </c>
      <c r="B11242" s="2">
        <v>44775.0</v>
      </c>
      <c r="C11242" s="3">
        <v>0.31935185185185183</v>
      </c>
      <c r="D11242" s="1">
        <v>13.026052</v>
      </c>
      <c r="E11242" s="1">
        <v>80.231696</v>
      </c>
      <c r="F11242" s="1">
        <v>5339.0</v>
      </c>
      <c r="G11242" s="1">
        <v>37.0</v>
      </c>
    </row>
    <row r="11243">
      <c r="A11243" s="1" t="s">
        <v>8</v>
      </c>
      <c r="B11243" s="2">
        <v>44775.0</v>
      </c>
      <c r="C11243" s="3">
        <v>0.3198611111111111</v>
      </c>
      <c r="D11243" s="1">
        <v>12.686224</v>
      </c>
      <c r="E11243" s="1">
        <v>79.983451</v>
      </c>
      <c r="F11243" s="1">
        <v>2846.0</v>
      </c>
      <c r="G11243" s="1">
        <v>33.0</v>
      </c>
    </row>
    <row r="11244">
      <c r="A11244" s="1" t="s">
        <v>8</v>
      </c>
      <c r="B11244" s="2">
        <v>44775.0</v>
      </c>
      <c r="C11244" s="3">
        <v>0.3203125</v>
      </c>
      <c r="D11244" s="1">
        <v>12.689636</v>
      </c>
      <c r="E11244" s="1">
        <v>79.982305</v>
      </c>
      <c r="F11244" s="1">
        <v>2846.0</v>
      </c>
      <c r="G11244" s="1">
        <v>40.0</v>
      </c>
    </row>
    <row r="11245">
      <c r="A11245" s="1" t="s">
        <v>8</v>
      </c>
      <c r="B11245" s="2">
        <v>44775.0</v>
      </c>
      <c r="C11245" s="3">
        <v>0.3203587962962963</v>
      </c>
      <c r="D11245" s="1">
        <v>13.02359</v>
      </c>
      <c r="E11245" s="1">
        <v>80.227804</v>
      </c>
      <c r="F11245" s="1">
        <v>5339.0</v>
      </c>
      <c r="G11245" s="1">
        <v>35.0</v>
      </c>
    </row>
    <row r="11246">
      <c r="A11246" s="1" t="s">
        <v>8</v>
      </c>
      <c r="B11246" s="2">
        <v>44775.0</v>
      </c>
      <c r="C11246" s="3">
        <v>0.32136574074074076</v>
      </c>
      <c r="D11246" s="1">
        <v>13.016182</v>
      </c>
      <c r="E11246" s="1">
        <v>80.225581</v>
      </c>
      <c r="F11246" s="1">
        <v>5339.0</v>
      </c>
      <c r="G11246" s="1">
        <v>36.0</v>
      </c>
    </row>
    <row r="11247">
      <c r="A11247" s="1" t="s">
        <v>8</v>
      </c>
      <c r="B11247" s="2">
        <v>44775.0</v>
      </c>
      <c r="C11247" s="3">
        <v>0.32241898148148146</v>
      </c>
      <c r="D11247" s="1">
        <v>12.692005</v>
      </c>
      <c r="E11247" s="1">
        <v>79.980144</v>
      </c>
      <c r="F11247" s="1">
        <v>2846.0</v>
      </c>
      <c r="G11247" s="1">
        <v>24.0</v>
      </c>
    </row>
    <row r="11248">
      <c r="A11248" s="1" t="s">
        <v>8</v>
      </c>
      <c r="B11248" s="2">
        <v>44775.0</v>
      </c>
      <c r="C11248" s="3">
        <v>0.32243055555555555</v>
      </c>
      <c r="D11248" s="1">
        <v>12.692005</v>
      </c>
      <c r="E11248" s="1">
        <v>79.980144</v>
      </c>
      <c r="F11248" s="1">
        <v>2846.0</v>
      </c>
      <c r="G11248" s="1">
        <v>24.0</v>
      </c>
    </row>
    <row r="11249">
      <c r="A11249" s="1" t="s">
        <v>8</v>
      </c>
      <c r="B11249" s="2">
        <v>44775.0</v>
      </c>
      <c r="C11249" s="3">
        <v>0.32261574074074073</v>
      </c>
      <c r="D11249" s="1">
        <v>12.693327</v>
      </c>
      <c r="E11249" s="1">
        <v>79.979445</v>
      </c>
      <c r="F11249" s="1">
        <v>2846.0</v>
      </c>
      <c r="G11249" s="1">
        <v>33.0</v>
      </c>
    </row>
    <row r="11250">
      <c r="A11250" s="1" t="s">
        <v>10</v>
      </c>
      <c r="B11250" s="2">
        <v>44775.0</v>
      </c>
      <c r="C11250" s="3">
        <v>0.3228125</v>
      </c>
      <c r="D11250" s="1">
        <v>12.693327</v>
      </c>
      <c r="E11250" s="1">
        <v>79.979445</v>
      </c>
      <c r="F11250" s="1">
        <v>2846.0</v>
      </c>
      <c r="G11250" s="1">
        <v>33.0</v>
      </c>
    </row>
    <row r="11251">
      <c r="A11251" s="1" t="s">
        <v>8</v>
      </c>
      <c r="B11251" s="2">
        <v>44775.0</v>
      </c>
      <c r="C11251" s="3">
        <v>0.3231712962962963</v>
      </c>
      <c r="D11251" s="1">
        <v>13.006418</v>
      </c>
      <c r="E11251" s="1">
        <v>80.256906</v>
      </c>
      <c r="F11251" s="1">
        <v>3143.0</v>
      </c>
      <c r="G11251" s="1">
        <v>23.0</v>
      </c>
    </row>
    <row r="11252">
      <c r="A11252" s="1" t="s">
        <v>10</v>
      </c>
      <c r="B11252" s="2">
        <v>44775.0</v>
      </c>
      <c r="C11252" s="3">
        <v>0.32329861111111113</v>
      </c>
      <c r="D11252" s="1">
        <v>13.006462</v>
      </c>
      <c r="E11252" s="1">
        <v>80.256048</v>
      </c>
      <c r="F11252" s="1">
        <v>3143.0</v>
      </c>
      <c r="G11252" s="1">
        <v>38.0</v>
      </c>
    </row>
    <row r="11253">
      <c r="A11253" s="1" t="s">
        <v>8</v>
      </c>
      <c r="B11253" s="2">
        <v>44775.0</v>
      </c>
      <c r="C11253" s="3">
        <v>0.3233101851851852</v>
      </c>
      <c r="D11253" s="1">
        <v>13.011677</v>
      </c>
      <c r="E11253" s="1">
        <v>80.219359</v>
      </c>
      <c r="F11253" s="1">
        <v>5339.0</v>
      </c>
      <c r="G11253" s="1">
        <v>44.0</v>
      </c>
    </row>
    <row r="11254">
      <c r="A11254" s="1" t="s">
        <v>7</v>
      </c>
      <c r="B11254" s="2">
        <v>44775.0</v>
      </c>
      <c r="C11254" s="3">
        <v>0.3234490740740741</v>
      </c>
      <c r="D11254" s="1">
        <v>13.006509</v>
      </c>
      <c r="E11254" s="1">
        <v>80.255116</v>
      </c>
      <c r="F11254" s="1">
        <v>3143.0</v>
      </c>
      <c r="G11254" s="1">
        <v>38.0</v>
      </c>
    </row>
    <row r="11255">
      <c r="A11255" s="1" t="s">
        <v>8</v>
      </c>
      <c r="B11255" s="2">
        <v>44775.0</v>
      </c>
      <c r="C11255" s="3">
        <v>0.32364583333333335</v>
      </c>
      <c r="D11255" s="1">
        <v>13.006516</v>
      </c>
      <c r="E11255" s="1">
        <v>80.252578</v>
      </c>
      <c r="F11255" s="1">
        <v>3143.0</v>
      </c>
      <c r="G11255" s="1">
        <v>50.0</v>
      </c>
    </row>
    <row r="11256">
      <c r="A11256" s="1" t="s">
        <v>7</v>
      </c>
      <c r="B11256" s="2">
        <v>44775.0</v>
      </c>
      <c r="C11256" s="3">
        <v>0.323912037037037</v>
      </c>
      <c r="D11256" s="1">
        <v>13.006805</v>
      </c>
      <c r="E11256" s="1">
        <v>80.250769</v>
      </c>
      <c r="F11256" s="1">
        <v>3143.0</v>
      </c>
      <c r="G11256" s="1">
        <v>48.0</v>
      </c>
    </row>
    <row r="11257">
      <c r="A11257" s="1" t="s">
        <v>8</v>
      </c>
      <c r="B11257" s="2">
        <v>44775.0</v>
      </c>
      <c r="C11257" s="3">
        <v>0.3241550925925926</v>
      </c>
      <c r="D11257" s="1">
        <v>12.697483</v>
      </c>
      <c r="E11257" s="1">
        <v>79.974535</v>
      </c>
      <c r="F11257" s="1">
        <v>2846.0</v>
      </c>
      <c r="G11257" s="1">
        <v>34.0</v>
      </c>
    </row>
    <row r="11258">
      <c r="A11258" s="1" t="s">
        <v>8</v>
      </c>
      <c r="B11258" s="2">
        <v>44775.0</v>
      </c>
      <c r="C11258" s="3">
        <v>0.3242013888888889</v>
      </c>
      <c r="D11258" s="1">
        <v>12.697483</v>
      </c>
      <c r="E11258" s="1">
        <v>79.974535</v>
      </c>
      <c r="F11258" s="1">
        <v>2846.0</v>
      </c>
      <c r="G11258" s="1">
        <v>34.0</v>
      </c>
    </row>
    <row r="11259">
      <c r="A11259" s="1" t="s">
        <v>8</v>
      </c>
      <c r="B11259" s="2">
        <v>44775.0</v>
      </c>
      <c r="C11259" s="3">
        <v>0.324212962962963</v>
      </c>
      <c r="D11259" s="1">
        <v>12.697483</v>
      </c>
      <c r="E11259" s="1">
        <v>79.974535</v>
      </c>
      <c r="F11259" s="1">
        <v>2846.0</v>
      </c>
      <c r="G11259" s="1">
        <v>34.0</v>
      </c>
    </row>
    <row r="11260">
      <c r="A11260" s="1" t="s">
        <v>8</v>
      </c>
      <c r="B11260" s="2">
        <v>44775.0</v>
      </c>
      <c r="C11260" s="3">
        <v>0.324224537037037</v>
      </c>
      <c r="D11260" s="1">
        <v>12.697483</v>
      </c>
      <c r="E11260" s="1">
        <v>79.974535</v>
      </c>
      <c r="F11260" s="1">
        <v>2846.0</v>
      </c>
      <c r="G11260" s="1">
        <v>34.0</v>
      </c>
    </row>
    <row r="11261">
      <c r="A11261" s="1" t="s">
        <v>8</v>
      </c>
      <c r="B11261" s="2">
        <v>44775.0</v>
      </c>
      <c r="C11261" s="3">
        <v>0.324224537037037</v>
      </c>
      <c r="D11261" s="1">
        <v>12.697483</v>
      </c>
      <c r="E11261" s="1">
        <v>79.974535</v>
      </c>
      <c r="F11261" s="1">
        <v>2846.0</v>
      </c>
      <c r="G11261" s="1">
        <v>34.0</v>
      </c>
    </row>
    <row r="11262">
      <c r="A11262" s="1" t="s">
        <v>8</v>
      </c>
      <c r="B11262" s="2">
        <v>44775.0</v>
      </c>
      <c r="C11262" s="3">
        <v>0.3242476851851852</v>
      </c>
      <c r="D11262" s="1">
        <v>12.697321</v>
      </c>
      <c r="E11262" s="1">
        <v>79.97369</v>
      </c>
      <c r="F11262" s="1">
        <v>2846.0</v>
      </c>
      <c r="G11262" s="1">
        <v>27.0</v>
      </c>
    </row>
    <row r="11263">
      <c r="A11263" s="1" t="s">
        <v>8</v>
      </c>
      <c r="B11263" s="2">
        <v>44775.0</v>
      </c>
      <c r="C11263" s="3">
        <v>0.32461805555555556</v>
      </c>
      <c r="D11263" s="1">
        <v>13.006698</v>
      </c>
      <c r="E11263" s="1">
        <v>80.246141</v>
      </c>
      <c r="F11263" s="1">
        <v>3143.0</v>
      </c>
      <c r="G11263" s="1">
        <v>37.0</v>
      </c>
    </row>
    <row r="11264">
      <c r="A11264" s="1" t="s">
        <v>8</v>
      </c>
      <c r="B11264" s="2">
        <v>44775.0</v>
      </c>
      <c r="C11264" s="3">
        <v>0.32466435185185183</v>
      </c>
      <c r="D11264" s="1">
        <v>12.697224</v>
      </c>
      <c r="E11264" s="1">
        <v>79.972482</v>
      </c>
      <c r="F11264" s="1">
        <v>2846.0</v>
      </c>
      <c r="G11264" s="1">
        <v>13.0</v>
      </c>
    </row>
    <row r="11265">
      <c r="A11265" s="1" t="s">
        <v>7</v>
      </c>
      <c r="B11265" s="2">
        <v>44775.0</v>
      </c>
      <c r="C11265" s="3">
        <v>0.3260763888888889</v>
      </c>
      <c r="D11265" s="1">
        <v>13.00747</v>
      </c>
      <c r="E11265" s="1">
        <v>80.237104</v>
      </c>
      <c r="F11265" s="1">
        <v>3143.0</v>
      </c>
      <c r="G11265" s="1">
        <v>41.0</v>
      </c>
    </row>
    <row r="11266">
      <c r="A11266" s="1" t="s">
        <v>7</v>
      </c>
      <c r="B11266" s="2">
        <v>44775.0</v>
      </c>
      <c r="C11266" s="3">
        <v>0.326400462962963</v>
      </c>
      <c r="D11266" s="1">
        <v>13.008272</v>
      </c>
      <c r="E11266" s="1">
        <v>80.232847</v>
      </c>
      <c r="F11266" s="1">
        <v>3143.0</v>
      </c>
      <c r="G11266" s="1">
        <v>58.0</v>
      </c>
    </row>
    <row r="11267">
      <c r="A11267" s="1" t="s">
        <v>7</v>
      </c>
      <c r="B11267" s="2">
        <v>44775.0</v>
      </c>
      <c r="C11267" s="3">
        <v>0.32665509259259257</v>
      </c>
      <c r="D11267" s="1">
        <v>13.008852</v>
      </c>
      <c r="E11267" s="1">
        <v>80.229937</v>
      </c>
      <c r="F11267" s="1">
        <v>3143.0</v>
      </c>
      <c r="G11267" s="1">
        <v>57.0</v>
      </c>
    </row>
    <row r="11268">
      <c r="A11268" s="1" t="s">
        <v>7</v>
      </c>
      <c r="B11268" s="2">
        <v>44775.0</v>
      </c>
      <c r="C11268" s="3">
        <v>0.3267476851851852</v>
      </c>
      <c r="D11268" s="1">
        <v>13.009155</v>
      </c>
      <c r="E11268" s="1">
        <v>80.22847</v>
      </c>
      <c r="F11268" s="1">
        <v>3143.0</v>
      </c>
      <c r="G11268" s="1">
        <v>58.0</v>
      </c>
    </row>
    <row r="11269">
      <c r="A11269" s="1" t="s">
        <v>8</v>
      </c>
      <c r="B11269" s="2">
        <v>44775.0</v>
      </c>
      <c r="C11269" s="3">
        <v>0.327025462962963</v>
      </c>
      <c r="D11269" s="1">
        <v>13.010285</v>
      </c>
      <c r="E11269" s="1">
        <v>80.22583</v>
      </c>
      <c r="F11269" s="1">
        <v>3143.0</v>
      </c>
      <c r="G11269" s="1">
        <v>46.0</v>
      </c>
    </row>
    <row r="11270">
      <c r="A11270" s="1" t="s">
        <v>8</v>
      </c>
      <c r="B11270" s="2">
        <v>44775.0</v>
      </c>
      <c r="C11270" s="3">
        <v>0.3272800925925926</v>
      </c>
      <c r="D11270" s="1">
        <v>13.000318</v>
      </c>
      <c r="E11270" s="1">
        <v>80.194632</v>
      </c>
      <c r="F11270" s="1">
        <v>5339.0</v>
      </c>
      <c r="G11270" s="1">
        <v>46.0</v>
      </c>
    </row>
    <row r="11271">
      <c r="A11271" s="1" t="s">
        <v>8</v>
      </c>
      <c r="B11271" s="2">
        <v>44775.0</v>
      </c>
      <c r="C11271" s="3">
        <v>0.3275</v>
      </c>
      <c r="D11271" s="1">
        <v>12.999042</v>
      </c>
      <c r="E11271" s="1">
        <v>80.192983</v>
      </c>
      <c r="F11271" s="1">
        <v>5339.0</v>
      </c>
      <c r="G11271" s="1">
        <v>34.0</v>
      </c>
    </row>
    <row r="11272">
      <c r="A11272" s="1" t="s">
        <v>8</v>
      </c>
      <c r="B11272" s="2">
        <v>44775.0</v>
      </c>
      <c r="C11272" s="3">
        <v>0.3276851851851852</v>
      </c>
      <c r="D11272" s="1">
        <v>13.012177</v>
      </c>
      <c r="E11272" s="1">
        <v>80.221065</v>
      </c>
      <c r="F11272" s="1">
        <v>3143.0</v>
      </c>
      <c r="G11272" s="1">
        <v>22.0</v>
      </c>
    </row>
    <row r="11273">
      <c r="A11273" s="1" t="s">
        <v>9</v>
      </c>
      <c r="B11273" s="2">
        <v>44775.0</v>
      </c>
      <c r="C11273" s="3">
        <v>0.32775462962962965</v>
      </c>
      <c r="D11273" s="1">
        <v>12.703409</v>
      </c>
      <c r="E11273" s="1">
        <v>79.971568</v>
      </c>
      <c r="F11273" s="1">
        <v>2846.0</v>
      </c>
      <c r="G11273" s="1">
        <v>18.0</v>
      </c>
    </row>
    <row r="11274">
      <c r="A11274" s="1" t="s">
        <v>8</v>
      </c>
      <c r="B11274" s="2">
        <v>44775.0</v>
      </c>
      <c r="C11274" s="3">
        <v>0.32783564814814814</v>
      </c>
      <c r="D11274" s="1">
        <v>13.011976</v>
      </c>
      <c r="E11274" s="1">
        <v>80.220331</v>
      </c>
      <c r="F11274" s="1">
        <v>3143.0</v>
      </c>
      <c r="G11274" s="1">
        <v>33.0</v>
      </c>
    </row>
    <row r="11275">
      <c r="A11275" s="1" t="s">
        <v>8</v>
      </c>
      <c r="B11275" s="2">
        <v>44775.0</v>
      </c>
      <c r="C11275" s="3">
        <v>0.3279166666666667</v>
      </c>
      <c r="D11275" s="1">
        <v>13.011637</v>
      </c>
      <c r="E11275" s="1">
        <v>80.219286</v>
      </c>
      <c r="F11275" s="1">
        <v>3143.0</v>
      </c>
      <c r="G11275" s="1">
        <v>43.0</v>
      </c>
    </row>
    <row r="11276">
      <c r="A11276" s="1" t="s">
        <v>8</v>
      </c>
      <c r="B11276" s="2">
        <v>44775.0</v>
      </c>
      <c r="C11276" s="3">
        <v>0.3280092592592593</v>
      </c>
      <c r="D11276" s="1">
        <v>12.996501</v>
      </c>
      <c r="E11276" s="1">
        <v>80.189832</v>
      </c>
      <c r="F11276" s="1">
        <v>5339.0</v>
      </c>
      <c r="G11276" s="1">
        <v>47.0</v>
      </c>
    </row>
    <row r="11277">
      <c r="A11277" s="1" t="s">
        <v>8</v>
      </c>
      <c r="B11277" s="2">
        <v>44775.0</v>
      </c>
      <c r="C11277" s="3">
        <v>0.3280902777777778</v>
      </c>
      <c r="D11277" s="1">
        <v>12.995737</v>
      </c>
      <c r="E11277" s="1">
        <v>80.188892</v>
      </c>
      <c r="F11277" s="1">
        <v>5339.0</v>
      </c>
      <c r="G11277" s="1">
        <v>49.0</v>
      </c>
    </row>
    <row r="11278">
      <c r="A11278" s="1" t="s">
        <v>7</v>
      </c>
      <c r="B11278" s="2">
        <v>44775.0</v>
      </c>
      <c r="C11278" s="3">
        <v>0.32819444444444446</v>
      </c>
      <c r="D11278" s="1">
        <v>13.010833</v>
      </c>
      <c r="E11278" s="1">
        <v>80.21703</v>
      </c>
      <c r="F11278" s="1">
        <v>3143.0</v>
      </c>
      <c r="G11278" s="1">
        <v>53.0</v>
      </c>
    </row>
    <row r="11279">
      <c r="A11279" s="1" t="s">
        <v>8</v>
      </c>
      <c r="B11279" s="2">
        <v>44775.0</v>
      </c>
      <c r="C11279" s="3">
        <v>0.32827546296296295</v>
      </c>
      <c r="D11279" s="1">
        <v>13.010274</v>
      </c>
      <c r="E11279" s="1">
        <v>80.215869</v>
      </c>
      <c r="F11279" s="1">
        <v>3143.0</v>
      </c>
      <c r="G11279" s="1">
        <v>49.0</v>
      </c>
    </row>
    <row r="11280">
      <c r="A11280" s="1" t="s">
        <v>8</v>
      </c>
      <c r="B11280" s="2">
        <v>44775.0</v>
      </c>
      <c r="C11280" s="3">
        <v>0.32832175925925927</v>
      </c>
      <c r="D11280" s="1">
        <v>13.010274</v>
      </c>
      <c r="E11280" s="1">
        <v>80.215869</v>
      </c>
      <c r="F11280" s="1">
        <v>3143.0</v>
      </c>
      <c r="G11280" s="1">
        <v>49.0</v>
      </c>
    </row>
    <row r="11281">
      <c r="A11281" s="1" t="s">
        <v>9</v>
      </c>
      <c r="B11281" s="2">
        <v>44775.0</v>
      </c>
      <c r="C11281" s="3">
        <v>0.32840277777777777</v>
      </c>
      <c r="D11281" s="1">
        <v>13.01006</v>
      </c>
      <c r="E11281" s="1">
        <v>80.214693</v>
      </c>
      <c r="F11281" s="1">
        <v>3143.0</v>
      </c>
      <c r="G11281" s="1">
        <v>46.0</v>
      </c>
    </row>
    <row r="11282">
      <c r="A11282" s="1" t="s">
        <v>8</v>
      </c>
      <c r="B11282" s="2">
        <v>44775.0</v>
      </c>
      <c r="C11282" s="3">
        <v>0.32864583333333336</v>
      </c>
      <c r="D11282" s="1">
        <v>13.00923</v>
      </c>
      <c r="E11282" s="1">
        <v>80.212392</v>
      </c>
      <c r="F11282" s="1">
        <v>3143.0</v>
      </c>
      <c r="G11282" s="1">
        <v>43.0</v>
      </c>
    </row>
    <row r="11283">
      <c r="A11283" s="1" t="s">
        <v>8</v>
      </c>
      <c r="B11283" s="2">
        <v>44775.0</v>
      </c>
      <c r="C11283" s="3">
        <v>0.3286574074074074</v>
      </c>
      <c r="D11283" s="1">
        <v>13.00923</v>
      </c>
      <c r="E11283" s="1">
        <v>80.212392</v>
      </c>
      <c r="F11283" s="1">
        <v>3143.0</v>
      </c>
      <c r="G11283" s="1">
        <v>43.0</v>
      </c>
    </row>
    <row r="11284">
      <c r="A11284" s="1" t="s">
        <v>7</v>
      </c>
      <c r="B11284" s="2">
        <v>44775.0</v>
      </c>
      <c r="C11284" s="3">
        <v>0.32881944444444444</v>
      </c>
      <c r="D11284" s="1">
        <v>13.008878</v>
      </c>
      <c r="E11284" s="1">
        <v>80.211548</v>
      </c>
      <c r="F11284" s="1">
        <v>3143.0</v>
      </c>
      <c r="G11284" s="1">
        <v>32.0</v>
      </c>
    </row>
    <row r="11285">
      <c r="A11285" s="1" t="s">
        <v>8</v>
      </c>
      <c r="B11285" s="2">
        <v>44775.0</v>
      </c>
      <c r="C11285" s="3">
        <v>0.3289814814814815</v>
      </c>
      <c r="D11285" s="1">
        <v>12.994038</v>
      </c>
      <c r="E11285" s="1">
        <v>80.185654</v>
      </c>
      <c r="F11285" s="1">
        <v>5339.0</v>
      </c>
      <c r="G11285" s="1">
        <v>22.0</v>
      </c>
    </row>
    <row r="11286">
      <c r="A11286" s="1" t="s">
        <v>8</v>
      </c>
      <c r="B11286" s="2">
        <v>44775.0</v>
      </c>
      <c r="C11286" s="3">
        <v>0.3289930555555556</v>
      </c>
      <c r="D11286" s="1">
        <v>12.994038</v>
      </c>
      <c r="E11286" s="1">
        <v>80.185654</v>
      </c>
      <c r="F11286" s="1">
        <v>5339.0</v>
      </c>
      <c r="G11286" s="1">
        <v>22.0</v>
      </c>
    </row>
    <row r="11287">
      <c r="A11287" s="1" t="s">
        <v>8</v>
      </c>
      <c r="B11287" s="2">
        <v>44775.0</v>
      </c>
      <c r="C11287" s="3">
        <v>0.32902777777777775</v>
      </c>
      <c r="D11287" s="1">
        <v>13.008091</v>
      </c>
      <c r="E11287" s="1">
        <v>80.209247</v>
      </c>
      <c r="F11287" s="1">
        <v>3143.0</v>
      </c>
      <c r="G11287" s="1">
        <v>50.0</v>
      </c>
    </row>
    <row r="11288">
      <c r="A11288" s="1" t="s">
        <v>8</v>
      </c>
      <c r="B11288" s="2">
        <v>44775.0</v>
      </c>
      <c r="C11288" s="3">
        <v>0.32913194444444444</v>
      </c>
      <c r="D11288" s="1">
        <v>13.007871</v>
      </c>
      <c r="E11288" s="1">
        <v>80.207923</v>
      </c>
      <c r="F11288" s="1">
        <v>3143.0</v>
      </c>
      <c r="G11288" s="1">
        <v>46.0</v>
      </c>
    </row>
    <row r="11289">
      <c r="A11289" s="1" t="s">
        <v>9</v>
      </c>
      <c r="B11289" s="2">
        <v>44775.0</v>
      </c>
      <c r="C11289" s="3">
        <v>0.329212962962963</v>
      </c>
      <c r="D11289" s="1">
        <v>13.007737</v>
      </c>
      <c r="E11289" s="1">
        <v>80.20694</v>
      </c>
      <c r="F11289" s="1">
        <v>3143.0</v>
      </c>
      <c r="G11289" s="1">
        <v>41.0</v>
      </c>
    </row>
    <row r="11290">
      <c r="A11290" s="1" t="s">
        <v>7</v>
      </c>
      <c r="B11290" s="2">
        <v>44775.0</v>
      </c>
      <c r="C11290" s="3">
        <v>0.3294675925925926</v>
      </c>
      <c r="D11290" s="1">
        <v>13.007304</v>
      </c>
      <c r="E11290" s="1">
        <v>80.20519</v>
      </c>
      <c r="F11290" s="1">
        <v>3143.0</v>
      </c>
      <c r="G11290" s="1">
        <v>48.0</v>
      </c>
    </row>
    <row r="11291">
      <c r="A11291" s="1" t="s">
        <v>8</v>
      </c>
      <c r="B11291" s="2">
        <v>44775.0</v>
      </c>
      <c r="C11291" s="3">
        <v>0.32949074074074075</v>
      </c>
      <c r="D11291" s="1">
        <v>13.007304</v>
      </c>
      <c r="E11291" s="1">
        <v>80.20519</v>
      </c>
      <c r="F11291" s="1">
        <v>3143.0</v>
      </c>
      <c r="G11291" s="1">
        <v>48.0</v>
      </c>
    </row>
    <row r="11292">
      <c r="A11292" s="1" t="s">
        <v>8</v>
      </c>
      <c r="B11292" s="2">
        <v>44775.0</v>
      </c>
      <c r="C11292" s="3">
        <v>0.32967592592592593</v>
      </c>
      <c r="D11292" s="1">
        <v>12.990346</v>
      </c>
      <c r="E11292" s="1">
        <v>80.180055</v>
      </c>
      <c r="F11292" s="1">
        <v>5339.0</v>
      </c>
      <c r="G11292" s="1">
        <v>48.0</v>
      </c>
    </row>
    <row r="11293">
      <c r="A11293" s="1" t="s">
        <v>8</v>
      </c>
      <c r="B11293" s="2">
        <v>44775.0</v>
      </c>
      <c r="C11293" s="3">
        <v>0.32981481481481484</v>
      </c>
      <c r="D11293" s="1">
        <v>13.005716</v>
      </c>
      <c r="E11293" s="1">
        <v>80.202408</v>
      </c>
      <c r="F11293" s="1">
        <v>3143.0</v>
      </c>
      <c r="G11293" s="1">
        <v>36.0</v>
      </c>
    </row>
    <row r="11294">
      <c r="A11294" s="1" t="s">
        <v>7</v>
      </c>
      <c r="B11294" s="2">
        <v>44775.0</v>
      </c>
      <c r="C11294" s="3">
        <v>0.32991898148148147</v>
      </c>
      <c r="D11294" s="1">
        <v>13.005006</v>
      </c>
      <c r="E11294" s="1">
        <v>80.201531</v>
      </c>
      <c r="F11294" s="1">
        <v>3143.0</v>
      </c>
      <c r="G11294" s="1">
        <v>45.0</v>
      </c>
    </row>
    <row r="11295">
      <c r="A11295" s="1" t="s">
        <v>8</v>
      </c>
      <c r="B11295" s="2">
        <v>44775.0</v>
      </c>
      <c r="C11295" s="3">
        <v>0.32994212962962965</v>
      </c>
      <c r="D11295" s="1">
        <v>13.005006</v>
      </c>
      <c r="E11295" s="1">
        <v>80.201531</v>
      </c>
      <c r="F11295" s="1">
        <v>3143.0</v>
      </c>
      <c r="G11295" s="1">
        <v>45.0</v>
      </c>
    </row>
    <row r="11296">
      <c r="A11296" s="1" t="s">
        <v>9</v>
      </c>
      <c r="B11296" s="2">
        <v>44775.0</v>
      </c>
      <c r="C11296" s="3">
        <v>0.3299768518518518</v>
      </c>
      <c r="D11296" s="1">
        <v>13.005006</v>
      </c>
      <c r="E11296" s="1">
        <v>80.201531</v>
      </c>
      <c r="F11296" s="1">
        <v>3143.0</v>
      </c>
      <c r="G11296" s="1">
        <v>45.0</v>
      </c>
    </row>
    <row r="11297">
      <c r="A11297" s="1" t="s">
        <v>8</v>
      </c>
      <c r="B11297" s="2">
        <v>44775.0</v>
      </c>
      <c r="C11297" s="3">
        <v>0.33012731481481483</v>
      </c>
      <c r="D11297" s="1">
        <v>13.002539</v>
      </c>
      <c r="E11297" s="1">
        <v>80.200689</v>
      </c>
      <c r="F11297" s="1">
        <v>3143.0</v>
      </c>
      <c r="G11297" s="1">
        <v>42.0</v>
      </c>
    </row>
    <row r="11298">
      <c r="A11298" s="1" t="s">
        <v>8</v>
      </c>
      <c r="B11298" s="2">
        <v>44775.0</v>
      </c>
      <c r="C11298" s="3">
        <v>0.33012731481481483</v>
      </c>
      <c r="D11298" s="1">
        <v>12.708316</v>
      </c>
      <c r="E11298" s="1">
        <v>79.97683</v>
      </c>
      <c r="F11298" s="1">
        <v>2846.0</v>
      </c>
      <c r="G11298" s="1">
        <v>14.0</v>
      </c>
    </row>
    <row r="11299">
      <c r="A11299" s="1" t="s">
        <v>8</v>
      </c>
      <c r="B11299" s="2">
        <v>44775.0</v>
      </c>
      <c r="C11299" s="3">
        <v>0.33016203703703706</v>
      </c>
      <c r="D11299" s="1">
        <v>12.987786</v>
      </c>
      <c r="E11299" s="1">
        <v>80.176666</v>
      </c>
      <c r="F11299" s="1">
        <v>5339.0</v>
      </c>
      <c r="G11299" s="1">
        <v>37.0</v>
      </c>
    </row>
    <row r="11300">
      <c r="A11300" s="1" t="s">
        <v>8</v>
      </c>
      <c r="B11300" s="2">
        <v>44775.0</v>
      </c>
      <c r="C11300" s="3">
        <v>0.3302662037037037</v>
      </c>
      <c r="D11300" s="1">
        <v>13.001824</v>
      </c>
      <c r="E11300" s="1">
        <v>80.199969</v>
      </c>
      <c r="F11300" s="1">
        <v>3143.0</v>
      </c>
      <c r="G11300" s="1">
        <v>41.0</v>
      </c>
    </row>
    <row r="11301">
      <c r="A11301" s="1" t="s">
        <v>8</v>
      </c>
      <c r="B11301" s="2">
        <v>44775.0</v>
      </c>
      <c r="C11301" s="3">
        <v>0.33032407407407405</v>
      </c>
      <c r="D11301" s="1">
        <v>12.987268</v>
      </c>
      <c r="E11301" s="1">
        <v>80.175867</v>
      </c>
      <c r="F11301" s="1">
        <v>5339.0</v>
      </c>
      <c r="G11301" s="1">
        <v>38.0</v>
      </c>
    </row>
    <row r="11302">
      <c r="A11302" s="1" t="s">
        <v>8</v>
      </c>
      <c r="B11302" s="2">
        <v>44775.0</v>
      </c>
      <c r="C11302" s="3">
        <v>0.3303587962962963</v>
      </c>
      <c r="D11302" s="1">
        <v>12.710376</v>
      </c>
      <c r="E11302" s="1">
        <v>79.978062</v>
      </c>
      <c r="F11302" s="1">
        <v>2846.0</v>
      </c>
      <c r="G11302" s="1">
        <v>35.0</v>
      </c>
    </row>
    <row r="11303">
      <c r="A11303" s="1" t="s">
        <v>8</v>
      </c>
      <c r="B11303" s="2">
        <v>44775.0</v>
      </c>
      <c r="C11303" s="3">
        <v>0.33069444444444446</v>
      </c>
      <c r="D11303" s="1">
        <v>13.001446</v>
      </c>
      <c r="E11303" s="1">
        <v>80.196075</v>
      </c>
      <c r="F11303" s="1">
        <v>3143.0</v>
      </c>
      <c r="G11303" s="1">
        <v>25.0</v>
      </c>
    </row>
    <row r="11304">
      <c r="A11304" s="1" t="s">
        <v>8</v>
      </c>
      <c r="B11304" s="2">
        <v>44775.0</v>
      </c>
      <c r="C11304" s="3">
        <v>0.3309375</v>
      </c>
      <c r="D11304" s="1">
        <v>13.00043</v>
      </c>
      <c r="E11304" s="1">
        <v>80.194771</v>
      </c>
      <c r="F11304" s="1">
        <v>3143.0</v>
      </c>
      <c r="G11304" s="1">
        <v>42.0</v>
      </c>
    </row>
    <row r="11305">
      <c r="A11305" s="1" t="s">
        <v>7</v>
      </c>
      <c r="B11305" s="2">
        <v>44775.0</v>
      </c>
      <c r="C11305" s="3">
        <v>0.33118055555555553</v>
      </c>
      <c r="D11305" s="1">
        <v>12.982296</v>
      </c>
      <c r="E11305" s="1">
        <v>80.168165</v>
      </c>
      <c r="F11305" s="1">
        <v>5339.0</v>
      </c>
      <c r="G11305" s="1">
        <v>51.0</v>
      </c>
    </row>
    <row r="11306">
      <c r="A11306" s="1" t="s">
        <v>8</v>
      </c>
      <c r="B11306" s="2">
        <v>44775.0</v>
      </c>
      <c r="C11306" s="3">
        <v>0.33125</v>
      </c>
      <c r="D11306" s="1">
        <v>12.716897</v>
      </c>
      <c r="E11306" s="1">
        <v>79.980741</v>
      </c>
      <c r="F11306" s="1">
        <v>2846.0</v>
      </c>
      <c r="G11306" s="1">
        <v>40.0</v>
      </c>
    </row>
    <row r="11307">
      <c r="A11307" s="1" t="s">
        <v>7</v>
      </c>
      <c r="B11307" s="2">
        <v>44775.0</v>
      </c>
      <c r="C11307" s="3">
        <v>0.33133101851851854</v>
      </c>
      <c r="D11307" s="1">
        <v>12.981594</v>
      </c>
      <c r="E11307" s="1">
        <v>80.16704</v>
      </c>
      <c r="F11307" s="1">
        <v>5339.0</v>
      </c>
      <c r="G11307" s="1">
        <v>51.0</v>
      </c>
    </row>
    <row r="11308">
      <c r="A11308" s="1" t="s">
        <v>8</v>
      </c>
      <c r="B11308" s="2">
        <v>44775.0</v>
      </c>
      <c r="C11308" s="3">
        <v>0.3313425925925926</v>
      </c>
      <c r="D11308" s="1">
        <v>12.998475</v>
      </c>
      <c r="E11308" s="1">
        <v>80.192294</v>
      </c>
      <c r="F11308" s="1">
        <v>3143.0</v>
      </c>
      <c r="G11308" s="1">
        <v>43.0</v>
      </c>
    </row>
    <row r="11309">
      <c r="A11309" s="1" t="s">
        <v>8</v>
      </c>
      <c r="B11309" s="2">
        <v>44775.0</v>
      </c>
      <c r="C11309" s="3">
        <v>0.33164351851851853</v>
      </c>
      <c r="D11309" s="1">
        <v>12.99591</v>
      </c>
      <c r="E11309" s="1">
        <v>80.18918</v>
      </c>
      <c r="F11309" s="1">
        <v>3143.0</v>
      </c>
      <c r="G11309" s="1">
        <v>57.0</v>
      </c>
    </row>
    <row r="11310">
      <c r="A11310" s="1" t="s">
        <v>8</v>
      </c>
      <c r="B11310" s="2">
        <v>44775.0</v>
      </c>
      <c r="C11310" s="3">
        <v>0.3317013888888889</v>
      </c>
      <c r="D11310" s="1">
        <v>12.99591</v>
      </c>
      <c r="E11310" s="1">
        <v>80.18918</v>
      </c>
      <c r="F11310" s="1">
        <v>3143.0</v>
      </c>
      <c r="G11310" s="1">
        <v>57.0</v>
      </c>
    </row>
    <row r="11311">
      <c r="A11311" s="1" t="s">
        <v>8</v>
      </c>
      <c r="B11311" s="2">
        <v>44775.0</v>
      </c>
      <c r="C11311" s="3">
        <v>0.3318055555555556</v>
      </c>
      <c r="D11311" s="1">
        <v>12.979844</v>
      </c>
      <c r="E11311" s="1">
        <v>80.163016</v>
      </c>
      <c r="F11311" s="1">
        <v>5339.0</v>
      </c>
      <c r="G11311" s="1">
        <v>24.0</v>
      </c>
    </row>
    <row r="11312">
      <c r="A11312" s="1" t="s">
        <v>8</v>
      </c>
      <c r="B11312" s="2">
        <v>44775.0</v>
      </c>
      <c r="C11312" s="3">
        <v>0.3320023148148148</v>
      </c>
      <c r="D11312" s="1">
        <v>12.978949</v>
      </c>
      <c r="E11312" s="1">
        <v>80.161449</v>
      </c>
      <c r="F11312" s="1">
        <v>5339.0</v>
      </c>
      <c r="G11312" s="1">
        <v>43.0</v>
      </c>
    </row>
    <row r="11313">
      <c r="A11313" s="1" t="s">
        <v>7</v>
      </c>
      <c r="B11313" s="2">
        <v>44775.0</v>
      </c>
      <c r="C11313" s="3">
        <v>0.3320601851851852</v>
      </c>
      <c r="D11313" s="1">
        <v>12.994215</v>
      </c>
      <c r="E11313" s="1">
        <v>80.186056</v>
      </c>
      <c r="F11313" s="1">
        <v>3143.0</v>
      </c>
      <c r="G11313" s="1">
        <v>58.0</v>
      </c>
    </row>
    <row r="11314">
      <c r="A11314" s="1" t="s">
        <v>8</v>
      </c>
      <c r="B11314" s="2">
        <v>44775.0</v>
      </c>
      <c r="C11314" s="3">
        <v>0.3321064814814815</v>
      </c>
      <c r="D11314" s="1">
        <v>12.978949</v>
      </c>
      <c r="E11314" s="1">
        <v>80.161449</v>
      </c>
      <c r="F11314" s="1">
        <v>5339.0</v>
      </c>
      <c r="G11314" s="1">
        <v>43.0</v>
      </c>
    </row>
    <row r="11315">
      <c r="A11315" s="1" t="s">
        <v>7</v>
      </c>
      <c r="B11315" s="2">
        <v>44775.0</v>
      </c>
      <c r="C11315" s="3">
        <v>0.33238425925925924</v>
      </c>
      <c r="D11315" s="1">
        <v>12.991991</v>
      </c>
      <c r="E11315" s="1">
        <v>80.182175</v>
      </c>
      <c r="F11315" s="1">
        <v>3143.0</v>
      </c>
      <c r="G11315" s="1">
        <v>58.0</v>
      </c>
    </row>
    <row r="11316">
      <c r="A11316" s="1" t="s">
        <v>8</v>
      </c>
      <c r="B11316" s="2">
        <v>44775.0</v>
      </c>
      <c r="C11316" s="3">
        <v>0.3327777777777778</v>
      </c>
      <c r="D11316" s="1">
        <v>12.989514</v>
      </c>
      <c r="E11316" s="1">
        <v>80.179107</v>
      </c>
      <c r="F11316" s="1">
        <v>3143.0</v>
      </c>
      <c r="G11316" s="1">
        <v>31.0</v>
      </c>
    </row>
    <row r="11317">
      <c r="A11317" s="1" t="s">
        <v>8</v>
      </c>
      <c r="B11317" s="2">
        <v>44775.0</v>
      </c>
      <c r="C11317" s="3">
        <v>0.33295138888888887</v>
      </c>
      <c r="D11317" s="1">
        <v>12.988936</v>
      </c>
      <c r="E11317" s="1">
        <v>80.178402</v>
      </c>
      <c r="F11317" s="1">
        <v>3143.0</v>
      </c>
      <c r="G11317" s="1">
        <v>38.0</v>
      </c>
    </row>
    <row r="11318">
      <c r="A11318" s="1" t="s">
        <v>8</v>
      </c>
      <c r="B11318" s="2">
        <v>44775.0</v>
      </c>
      <c r="C11318" s="3">
        <v>0.33361111111111114</v>
      </c>
      <c r="D11318" s="1">
        <v>12.97085</v>
      </c>
      <c r="E11318" s="1">
        <v>80.150787</v>
      </c>
      <c r="F11318" s="1">
        <v>5339.0</v>
      </c>
      <c r="G11318" s="1">
        <v>37.0</v>
      </c>
    </row>
    <row r="11319">
      <c r="A11319" s="1" t="s">
        <v>8</v>
      </c>
      <c r="B11319" s="2">
        <v>44775.0</v>
      </c>
      <c r="C11319" s="3">
        <v>0.3337615740740741</v>
      </c>
      <c r="D11319" s="1">
        <v>12.969999</v>
      </c>
      <c r="E11319" s="1">
        <v>80.150378</v>
      </c>
      <c r="F11319" s="1">
        <v>5339.0</v>
      </c>
      <c r="G11319" s="1">
        <v>34.0</v>
      </c>
    </row>
    <row r="11320">
      <c r="A11320" s="1" t="s">
        <v>8</v>
      </c>
      <c r="B11320" s="2">
        <v>44775.0</v>
      </c>
      <c r="C11320" s="3">
        <v>0.33380787037037035</v>
      </c>
      <c r="D11320" s="1">
        <v>12.969999</v>
      </c>
      <c r="E11320" s="1">
        <v>80.150378</v>
      </c>
      <c r="F11320" s="1">
        <v>5339.0</v>
      </c>
      <c r="G11320" s="1">
        <v>34.0</v>
      </c>
    </row>
    <row r="11321">
      <c r="A11321" s="1" t="s">
        <v>8</v>
      </c>
      <c r="B11321" s="2">
        <v>44775.0</v>
      </c>
      <c r="C11321" s="3">
        <v>0.33386574074074077</v>
      </c>
      <c r="D11321" s="1">
        <v>12.985994</v>
      </c>
      <c r="E11321" s="1">
        <v>80.174165</v>
      </c>
      <c r="F11321" s="1">
        <v>3143.0</v>
      </c>
      <c r="G11321" s="1">
        <v>39.0</v>
      </c>
    </row>
    <row r="11322">
      <c r="A11322" s="1" t="s">
        <v>8</v>
      </c>
      <c r="B11322" s="2">
        <v>44775.0</v>
      </c>
      <c r="C11322" s="3">
        <v>0.33405092592592595</v>
      </c>
      <c r="D11322" s="1">
        <v>12.984872</v>
      </c>
      <c r="E11322" s="1">
        <v>80.172502</v>
      </c>
      <c r="F11322" s="1">
        <v>3143.0</v>
      </c>
      <c r="G11322" s="1">
        <v>43.0</v>
      </c>
    </row>
    <row r="11323">
      <c r="A11323" s="1" t="s">
        <v>8</v>
      </c>
      <c r="B11323" s="2">
        <v>44775.0</v>
      </c>
      <c r="C11323" s="3">
        <v>0.334212962962963</v>
      </c>
      <c r="D11323" s="1">
        <v>12.984329</v>
      </c>
      <c r="E11323" s="1">
        <v>80.171608</v>
      </c>
      <c r="F11323" s="1">
        <v>3143.0</v>
      </c>
      <c r="G11323" s="1">
        <v>40.0</v>
      </c>
    </row>
    <row r="11324">
      <c r="A11324" s="1" t="s">
        <v>8</v>
      </c>
      <c r="B11324" s="2">
        <v>44775.0</v>
      </c>
      <c r="C11324" s="3">
        <v>0.334525462962963</v>
      </c>
      <c r="D11324" s="1">
        <v>12.982388</v>
      </c>
      <c r="E11324" s="1">
        <v>80.168349</v>
      </c>
      <c r="F11324" s="1">
        <v>3143.0</v>
      </c>
      <c r="G11324" s="1">
        <v>57.0</v>
      </c>
    </row>
    <row r="11325">
      <c r="A11325" s="1" t="s">
        <v>7</v>
      </c>
      <c r="B11325" s="2">
        <v>44775.0</v>
      </c>
      <c r="C11325" s="3">
        <v>0.33461805555555557</v>
      </c>
      <c r="D11325" s="1">
        <v>12.982388</v>
      </c>
      <c r="E11325" s="1">
        <v>80.168349</v>
      </c>
      <c r="F11325" s="1">
        <v>3143.0</v>
      </c>
      <c r="G11325" s="1">
        <v>57.0</v>
      </c>
    </row>
    <row r="11326">
      <c r="A11326" s="1" t="s">
        <v>8</v>
      </c>
      <c r="B11326" s="2">
        <v>44775.0</v>
      </c>
      <c r="C11326" s="3">
        <v>0.33480324074074075</v>
      </c>
      <c r="D11326" s="1">
        <v>12.981069</v>
      </c>
      <c r="E11326" s="1">
        <v>80.166135</v>
      </c>
      <c r="F11326" s="1">
        <v>3143.0</v>
      </c>
      <c r="G11326" s="1">
        <v>45.0</v>
      </c>
    </row>
    <row r="11327">
      <c r="A11327" s="1" t="s">
        <v>8</v>
      </c>
      <c r="B11327" s="2">
        <v>44775.0</v>
      </c>
      <c r="C11327" s="3">
        <v>0.3351851851851852</v>
      </c>
      <c r="D11327" s="1">
        <v>12.979723</v>
      </c>
      <c r="E11327" s="1">
        <v>80.162642</v>
      </c>
      <c r="F11327" s="1">
        <v>3143.0</v>
      </c>
      <c r="G11327" s="1">
        <v>36.0</v>
      </c>
    </row>
    <row r="11328">
      <c r="A11328" s="1" t="s">
        <v>8</v>
      </c>
      <c r="B11328" s="2">
        <v>44775.0</v>
      </c>
      <c r="C11328" s="3">
        <v>0.3352199074074074</v>
      </c>
      <c r="D11328" s="1">
        <v>12.965469</v>
      </c>
      <c r="E11328" s="1">
        <v>80.148297</v>
      </c>
      <c r="F11328" s="1">
        <v>5339.0</v>
      </c>
      <c r="G11328" s="1">
        <v>20.0</v>
      </c>
    </row>
    <row r="11329">
      <c r="A11329" s="1" t="s">
        <v>8</v>
      </c>
      <c r="B11329" s="2">
        <v>44775.0</v>
      </c>
      <c r="C11329" s="3">
        <v>0.33542824074074074</v>
      </c>
      <c r="D11329" s="1">
        <v>12.964096</v>
      </c>
      <c r="E11329" s="1">
        <v>80.147504</v>
      </c>
      <c r="F11329" s="1">
        <v>5339.0</v>
      </c>
      <c r="G11329" s="1">
        <v>39.0</v>
      </c>
    </row>
    <row r="11330">
      <c r="A11330" s="1" t="s">
        <v>8</v>
      </c>
      <c r="B11330" s="2">
        <v>44775.0</v>
      </c>
      <c r="C11330" s="3">
        <v>0.33555555555555555</v>
      </c>
      <c r="D11330" s="1">
        <v>12.963152</v>
      </c>
      <c r="E11330" s="1">
        <v>80.146964</v>
      </c>
      <c r="F11330" s="1">
        <v>5339.0</v>
      </c>
      <c r="G11330" s="1">
        <v>44.0</v>
      </c>
    </row>
    <row r="11331">
      <c r="A11331" s="1" t="s">
        <v>8</v>
      </c>
      <c r="B11331" s="2">
        <v>44775.0</v>
      </c>
      <c r="C11331" s="3">
        <v>0.3356365740740741</v>
      </c>
      <c r="D11331" s="1">
        <v>12.977349</v>
      </c>
      <c r="E11331" s="1">
        <v>80.159166</v>
      </c>
      <c r="F11331" s="1">
        <v>3143.0</v>
      </c>
      <c r="G11331" s="1">
        <v>46.0</v>
      </c>
    </row>
    <row r="11332">
      <c r="A11332" s="1" t="s">
        <v>8</v>
      </c>
      <c r="B11332" s="2">
        <v>44775.0</v>
      </c>
      <c r="C11332" s="3">
        <v>0.3357060185185185</v>
      </c>
      <c r="D11332" s="1">
        <v>12.724495</v>
      </c>
      <c r="E11332" s="1">
        <v>79.981725</v>
      </c>
      <c r="F11332" s="1">
        <v>2846.0</v>
      </c>
      <c r="G11332" s="1">
        <v>12.0</v>
      </c>
    </row>
    <row r="11333">
      <c r="A11333" s="1" t="s">
        <v>8</v>
      </c>
      <c r="B11333" s="2">
        <v>44775.0</v>
      </c>
      <c r="C11333" s="3">
        <v>0.3358101851851852</v>
      </c>
      <c r="D11333" s="1">
        <v>12.724495</v>
      </c>
      <c r="E11333" s="1">
        <v>79.981725</v>
      </c>
      <c r="F11333" s="1">
        <v>2846.0</v>
      </c>
      <c r="G11333" s="1">
        <v>12.0</v>
      </c>
    </row>
    <row r="11334">
      <c r="A11334" s="1" t="s">
        <v>8</v>
      </c>
      <c r="B11334" s="2">
        <v>44775.0</v>
      </c>
      <c r="C11334" s="3">
        <v>0.3360648148148148</v>
      </c>
      <c r="D11334" s="1">
        <v>12.724495</v>
      </c>
      <c r="E11334" s="1">
        <v>79.981725</v>
      </c>
      <c r="F11334" s="1">
        <v>2846.0</v>
      </c>
      <c r="G11334" s="1">
        <v>12.0</v>
      </c>
    </row>
    <row r="11335">
      <c r="A11335" s="1" t="s">
        <v>8</v>
      </c>
      <c r="B11335" s="2">
        <v>44775.0</v>
      </c>
      <c r="C11335" s="3">
        <v>0.3361689814814815</v>
      </c>
      <c r="D11335" s="1">
        <v>12.726566</v>
      </c>
      <c r="E11335" s="1">
        <v>79.982346</v>
      </c>
      <c r="F11335" s="1">
        <v>2846.0</v>
      </c>
      <c r="G11335" s="1">
        <v>29.0</v>
      </c>
    </row>
    <row r="11336">
      <c r="A11336" s="1" t="s">
        <v>8</v>
      </c>
      <c r="B11336" s="2">
        <v>44775.0</v>
      </c>
      <c r="C11336" s="3">
        <v>0.3365162037037037</v>
      </c>
      <c r="D11336" s="1">
        <v>12.730052</v>
      </c>
      <c r="E11336" s="1">
        <v>79.982707</v>
      </c>
      <c r="F11336" s="1">
        <v>2846.0</v>
      </c>
      <c r="G11336" s="1">
        <v>37.0</v>
      </c>
    </row>
    <row r="11337">
      <c r="A11337" s="1" t="s">
        <v>7</v>
      </c>
      <c r="B11337" s="2">
        <v>44775.0</v>
      </c>
      <c r="C11337" s="3">
        <v>0.3368287037037037</v>
      </c>
      <c r="D11337" s="1">
        <v>12.733098</v>
      </c>
      <c r="E11337" s="1">
        <v>79.983335</v>
      </c>
      <c r="F11337" s="1">
        <v>2846.0</v>
      </c>
      <c r="G11337" s="1">
        <v>52.0</v>
      </c>
    </row>
    <row r="11338">
      <c r="A11338" s="1" t="s">
        <v>8</v>
      </c>
      <c r="B11338" s="2">
        <v>44775.0</v>
      </c>
      <c r="C11338" s="3">
        <v>0.33694444444444444</v>
      </c>
      <c r="D11338" s="1">
        <v>12.958395</v>
      </c>
      <c r="E11338" s="1">
        <v>80.144365</v>
      </c>
      <c r="F11338" s="1">
        <v>5339.0</v>
      </c>
      <c r="G11338" s="1">
        <v>52.0</v>
      </c>
    </row>
    <row r="11339">
      <c r="A11339" s="1" t="s">
        <v>8</v>
      </c>
      <c r="B11339" s="2">
        <v>44775.0</v>
      </c>
      <c r="C11339" s="3">
        <v>0.3371296296296296</v>
      </c>
      <c r="D11339" s="1">
        <v>12.956237</v>
      </c>
      <c r="E11339" s="1">
        <v>80.143248</v>
      </c>
      <c r="F11339" s="1">
        <v>5339.0</v>
      </c>
      <c r="G11339" s="1">
        <v>40.0</v>
      </c>
    </row>
    <row r="11340">
      <c r="A11340" s="1" t="s">
        <v>7</v>
      </c>
      <c r="B11340" s="2">
        <v>44775.0</v>
      </c>
      <c r="C11340" s="3">
        <v>0.3374421296296296</v>
      </c>
      <c r="D11340" s="1">
        <v>12.738287</v>
      </c>
      <c r="E11340" s="1">
        <v>79.988411</v>
      </c>
      <c r="F11340" s="1">
        <v>2846.0</v>
      </c>
      <c r="G11340" s="1">
        <v>57.0</v>
      </c>
    </row>
    <row r="11341">
      <c r="A11341" s="1" t="s">
        <v>9</v>
      </c>
      <c r="B11341" s="2">
        <v>44775.0</v>
      </c>
      <c r="C11341" s="3">
        <v>0.3379976851851852</v>
      </c>
      <c r="D11341" s="1">
        <v>12.963284</v>
      </c>
      <c r="E11341" s="1">
        <v>80.147073</v>
      </c>
      <c r="F11341" s="1">
        <v>3143.0</v>
      </c>
      <c r="G11341" s="1">
        <v>47.0</v>
      </c>
    </row>
    <row r="11342">
      <c r="A11342" s="1" t="s">
        <v>8</v>
      </c>
      <c r="B11342" s="2">
        <v>44775.0</v>
      </c>
      <c r="C11342" s="3">
        <v>0.3382986111111111</v>
      </c>
      <c r="D11342" s="1">
        <v>12.952286</v>
      </c>
      <c r="E11342" s="1">
        <v>80.140948</v>
      </c>
      <c r="F11342" s="1">
        <v>5339.0</v>
      </c>
      <c r="G11342" s="1">
        <v>19.0</v>
      </c>
    </row>
    <row r="11343">
      <c r="A11343" s="1" t="s">
        <v>8</v>
      </c>
      <c r="B11343" s="2">
        <v>44775.0</v>
      </c>
      <c r="C11343" s="3">
        <v>0.3385185185185185</v>
      </c>
      <c r="D11343" s="1">
        <v>12.961342</v>
      </c>
      <c r="E11343" s="1">
        <v>80.146018</v>
      </c>
      <c r="F11343" s="1">
        <v>3143.0</v>
      </c>
      <c r="G11343" s="1">
        <v>30.0</v>
      </c>
    </row>
    <row r="11344">
      <c r="A11344" s="1" t="s">
        <v>7</v>
      </c>
      <c r="B11344" s="2">
        <v>44775.0</v>
      </c>
      <c r="C11344" s="3">
        <v>0.3392824074074074</v>
      </c>
      <c r="D11344" s="1">
        <v>12.945014</v>
      </c>
      <c r="E11344" s="1">
        <v>80.135433</v>
      </c>
      <c r="F11344" s="1">
        <v>5339.0</v>
      </c>
      <c r="G11344" s="1">
        <v>51.0</v>
      </c>
    </row>
    <row r="11345">
      <c r="A11345" s="1" t="s">
        <v>8</v>
      </c>
      <c r="B11345" s="2">
        <v>44775.0</v>
      </c>
      <c r="C11345" s="3">
        <v>0.3394212962962963</v>
      </c>
      <c r="D11345" s="1">
        <v>12.956332</v>
      </c>
      <c r="E11345" s="1">
        <v>80.143386</v>
      </c>
      <c r="F11345" s="1">
        <v>3143.0</v>
      </c>
      <c r="G11345" s="1">
        <v>15.0</v>
      </c>
    </row>
    <row r="11346">
      <c r="A11346" s="1" t="s">
        <v>8</v>
      </c>
      <c r="B11346" s="2">
        <v>44775.0</v>
      </c>
      <c r="C11346" s="3">
        <v>0.33949074074074076</v>
      </c>
      <c r="D11346" s="1">
        <v>12.955779</v>
      </c>
      <c r="E11346" s="1">
        <v>80.143054</v>
      </c>
      <c r="F11346" s="1">
        <v>3143.0</v>
      </c>
      <c r="G11346" s="1">
        <v>33.0</v>
      </c>
    </row>
    <row r="11347">
      <c r="A11347" s="1" t="s">
        <v>8</v>
      </c>
      <c r="B11347" s="2">
        <v>44775.0</v>
      </c>
      <c r="C11347" s="3">
        <v>0.3395949074074074</v>
      </c>
      <c r="D11347" s="1">
        <v>12.954953</v>
      </c>
      <c r="E11347" s="1">
        <v>80.142602</v>
      </c>
      <c r="F11347" s="1">
        <v>3143.0</v>
      </c>
      <c r="G11347" s="1">
        <v>38.0</v>
      </c>
    </row>
    <row r="11348">
      <c r="A11348" s="1" t="s">
        <v>7</v>
      </c>
      <c r="B11348" s="2">
        <v>44775.0</v>
      </c>
      <c r="C11348" s="3">
        <v>0.33967592592592594</v>
      </c>
      <c r="D11348" s="1">
        <v>12.746347</v>
      </c>
      <c r="E11348" s="1">
        <v>79.994792</v>
      </c>
      <c r="F11348" s="1">
        <v>2846.0</v>
      </c>
      <c r="G11348" s="1">
        <v>57.0</v>
      </c>
    </row>
    <row r="11349">
      <c r="A11349" s="1" t="s">
        <v>8</v>
      </c>
      <c r="B11349" s="2">
        <v>44775.0</v>
      </c>
      <c r="C11349" s="3">
        <v>0.33993055555555557</v>
      </c>
      <c r="D11349" s="1">
        <v>12.746347</v>
      </c>
      <c r="E11349" s="1">
        <v>79.994792</v>
      </c>
      <c r="F11349" s="1">
        <v>2846.0</v>
      </c>
      <c r="G11349" s="1">
        <v>57.0</v>
      </c>
    </row>
    <row r="11350">
      <c r="A11350" s="1" t="s">
        <v>10</v>
      </c>
      <c r="B11350" s="2">
        <v>44775.0</v>
      </c>
      <c r="C11350" s="3">
        <v>0.3403935185185185</v>
      </c>
      <c r="D11350" s="1">
        <v>12.952024</v>
      </c>
      <c r="E11350" s="1">
        <v>80.140788</v>
      </c>
      <c r="F11350" s="1">
        <v>3143.0</v>
      </c>
      <c r="G11350" s="1">
        <v>26.0</v>
      </c>
    </row>
    <row r="11351">
      <c r="A11351" s="1" t="s">
        <v>8</v>
      </c>
      <c r="B11351" s="2">
        <v>44775.0</v>
      </c>
      <c r="C11351" s="3">
        <v>0.34046296296296297</v>
      </c>
      <c r="D11351" s="1">
        <v>12.76108</v>
      </c>
      <c r="E11351" s="1">
        <v>80.003438</v>
      </c>
      <c r="F11351" s="1">
        <v>2846.0</v>
      </c>
      <c r="G11351" s="1">
        <v>31.0</v>
      </c>
    </row>
    <row r="11352">
      <c r="A11352" s="1" t="s">
        <v>8</v>
      </c>
      <c r="B11352" s="2">
        <v>44775.0</v>
      </c>
      <c r="C11352" s="3">
        <v>0.34118055555555554</v>
      </c>
      <c r="D11352" s="1">
        <v>12.95055</v>
      </c>
      <c r="E11352" s="1">
        <v>80.139767</v>
      </c>
      <c r="F11352" s="1">
        <v>3143.0</v>
      </c>
      <c r="G11352" s="1">
        <v>0.0</v>
      </c>
    </row>
    <row r="11353">
      <c r="A11353" s="1" t="s">
        <v>8</v>
      </c>
      <c r="B11353" s="2">
        <v>44775.0</v>
      </c>
      <c r="C11353" s="3">
        <v>0.3413657407407407</v>
      </c>
      <c r="D11353" s="1">
        <v>12.949474</v>
      </c>
      <c r="E11353" s="1">
        <v>80.138851</v>
      </c>
      <c r="F11353" s="1">
        <v>3143.0</v>
      </c>
      <c r="G11353" s="1">
        <v>42.0</v>
      </c>
    </row>
    <row r="11354">
      <c r="A11354" s="1" t="s">
        <v>8</v>
      </c>
      <c r="B11354" s="2">
        <v>44775.0</v>
      </c>
      <c r="C11354" s="3">
        <v>0.34144675925925927</v>
      </c>
      <c r="D11354" s="1">
        <v>12.948588</v>
      </c>
      <c r="E11354" s="1">
        <v>80.1381</v>
      </c>
      <c r="F11354" s="1">
        <v>3143.0</v>
      </c>
      <c r="G11354" s="1">
        <v>49.0</v>
      </c>
    </row>
    <row r="11355">
      <c r="A11355" s="1" t="s">
        <v>7</v>
      </c>
      <c r="B11355" s="2">
        <v>44775.0</v>
      </c>
      <c r="C11355" s="3">
        <v>0.34172453703703703</v>
      </c>
      <c r="D11355" s="1">
        <v>12.94624</v>
      </c>
      <c r="E11355" s="1">
        <v>80.136386</v>
      </c>
      <c r="F11355" s="1">
        <v>3143.0</v>
      </c>
      <c r="G11355" s="1">
        <v>58.0</v>
      </c>
    </row>
    <row r="11356">
      <c r="A11356" s="1" t="s">
        <v>7</v>
      </c>
      <c r="B11356" s="2">
        <v>44775.0</v>
      </c>
      <c r="C11356" s="3">
        <v>0.34197916666666667</v>
      </c>
      <c r="D11356" s="1">
        <v>12.94394</v>
      </c>
      <c r="E11356" s="1">
        <v>80.134572</v>
      </c>
      <c r="F11356" s="1">
        <v>3143.0</v>
      </c>
      <c r="G11356" s="1">
        <v>57.0</v>
      </c>
    </row>
    <row r="11357">
      <c r="A11357" s="1" t="s">
        <v>8</v>
      </c>
      <c r="B11357" s="2">
        <v>44775.0</v>
      </c>
      <c r="C11357" s="3">
        <v>0.34216435185185184</v>
      </c>
      <c r="D11357" s="1">
        <v>12.92992</v>
      </c>
      <c r="E11357" s="1">
        <v>80.121207</v>
      </c>
      <c r="F11357" s="1">
        <v>5339.0</v>
      </c>
      <c r="G11357" s="1">
        <v>32.0</v>
      </c>
    </row>
    <row r="11358">
      <c r="A11358" s="1" t="s">
        <v>7</v>
      </c>
      <c r="B11358" s="2">
        <v>44775.0</v>
      </c>
      <c r="C11358" s="3">
        <v>0.3425462962962963</v>
      </c>
      <c r="D11358" s="1">
        <v>12.941934</v>
      </c>
      <c r="E11358" s="1">
        <v>80.132599</v>
      </c>
      <c r="F11358" s="1">
        <v>3143.0</v>
      </c>
      <c r="G11358" s="1">
        <v>40.0</v>
      </c>
    </row>
    <row r="11359">
      <c r="A11359" s="1" t="s">
        <v>7</v>
      </c>
      <c r="B11359" s="2">
        <v>44775.0</v>
      </c>
      <c r="C11359" s="3">
        <v>0.34270833333333334</v>
      </c>
      <c r="D11359" s="1">
        <v>12.94106</v>
      </c>
      <c r="E11359" s="1">
        <v>80.131693</v>
      </c>
      <c r="F11359" s="1">
        <v>3143.0</v>
      </c>
      <c r="G11359" s="1">
        <v>55.0</v>
      </c>
    </row>
    <row r="11360">
      <c r="A11360" s="1" t="s">
        <v>8</v>
      </c>
      <c r="B11360" s="2">
        <v>44775.0</v>
      </c>
      <c r="C11360" s="3">
        <v>0.3428125</v>
      </c>
      <c r="D11360" s="1">
        <v>12.940004</v>
      </c>
      <c r="E11360" s="1">
        <v>80.130622</v>
      </c>
      <c r="F11360" s="1">
        <v>3143.0</v>
      </c>
      <c r="G11360" s="1">
        <v>57.0</v>
      </c>
    </row>
    <row r="11361">
      <c r="A11361" s="1" t="s">
        <v>7</v>
      </c>
      <c r="B11361" s="2">
        <v>44775.0</v>
      </c>
      <c r="C11361" s="3">
        <v>0.34324074074074074</v>
      </c>
      <c r="D11361" s="1">
        <v>12.924846</v>
      </c>
      <c r="E11361" s="1">
        <v>80.116042</v>
      </c>
      <c r="F11361" s="1">
        <v>5339.0</v>
      </c>
      <c r="G11361" s="1">
        <v>46.0</v>
      </c>
    </row>
    <row r="11362">
      <c r="A11362" s="1" t="s">
        <v>7</v>
      </c>
      <c r="B11362" s="2">
        <v>44775.0</v>
      </c>
      <c r="C11362" s="3">
        <v>0.3434143518518519</v>
      </c>
      <c r="D11362" s="1">
        <v>12.923</v>
      </c>
      <c r="E11362" s="1">
        <v>80.114197</v>
      </c>
      <c r="F11362" s="1">
        <v>5339.0</v>
      </c>
      <c r="G11362" s="1">
        <v>53.0</v>
      </c>
    </row>
    <row r="11363">
      <c r="A11363" s="1" t="s">
        <v>7</v>
      </c>
      <c r="B11363" s="2">
        <v>44775.0</v>
      </c>
      <c r="C11363" s="3">
        <v>0.3438425925925926</v>
      </c>
      <c r="D11363" s="1">
        <v>12.919331</v>
      </c>
      <c r="E11363" s="1">
        <v>80.110261</v>
      </c>
      <c r="F11363" s="1">
        <v>5339.0</v>
      </c>
      <c r="G11363" s="1">
        <v>54.0</v>
      </c>
    </row>
    <row r="11364">
      <c r="A11364" s="1" t="s">
        <v>7</v>
      </c>
      <c r="B11364" s="2">
        <v>44775.0</v>
      </c>
      <c r="C11364" s="3">
        <v>0.3441087962962963</v>
      </c>
      <c r="D11364" s="1">
        <v>12.932457</v>
      </c>
      <c r="E11364" s="1">
        <v>80.1237</v>
      </c>
      <c r="F11364" s="1">
        <v>3143.0</v>
      </c>
      <c r="G11364" s="1">
        <v>59.0</v>
      </c>
    </row>
    <row r="11365">
      <c r="A11365" s="1" t="s">
        <v>7</v>
      </c>
      <c r="B11365" s="2">
        <v>44775.0</v>
      </c>
      <c r="C11365" s="3">
        <v>0.34444444444444444</v>
      </c>
      <c r="D11365" s="1">
        <v>12.930305</v>
      </c>
      <c r="E11365" s="1">
        <v>80.121617</v>
      </c>
      <c r="F11365" s="1">
        <v>3143.0</v>
      </c>
      <c r="G11365" s="1">
        <v>55.0</v>
      </c>
    </row>
    <row r="11366">
      <c r="A11366" s="1" t="s">
        <v>8</v>
      </c>
      <c r="B11366" s="2">
        <v>44775.0</v>
      </c>
      <c r="C11366" s="3">
        <v>0.34458333333333335</v>
      </c>
      <c r="D11366" s="1">
        <v>12.91697</v>
      </c>
      <c r="E11366" s="1">
        <v>80.107171</v>
      </c>
      <c r="F11366" s="1">
        <v>5339.0</v>
      </c>
      <c r="G11366" s="1">
        <v>22.0</v>
      </c>
    </row>
    <row r="11367">
      <c r="A11367" s="1" t="s">
        <v>8</v>
      </c>
      <c r="B11367" s="2">
        <v>44775.0</v>
      </c>
      <c r="C11367" s="3">
        <v>0.34479166666666666</v>
      </c>
      <c r="D11367" s="1">
        <v>12.927451</v>
      </c>
      <c r="E11367" s="1">
        <v>80.118667</v>
      </c>
      <c r="F11367" s="1">
        <v>3143.0</v>
      </c>
      <c r="G11367" s="1">
        <v>46.0</v>
      </c>
    </row>
    <row r="11368">
      <c r="A11368" s="1" t="s">
        <v>7</v>
      </c>
      <c r="B11368" s="2">
        <v>44775.0</v>
      </c>
      <c r="C11368" s="3">
        <v>0.34524305555555557</v>
      </c>
      <c r="D11368" s="1">
        <v>12.924754</v>
      </c>
      <c r="E11368" s="1">
        <v>80.115959</v>
      </c>
      <c r="F11368" s="1">
        <v>3143.0</v>
      </c>
      <c r="G11368" s="1">
        <v>42.0</v>
      </c>
    </row>
    <row r="11369">
      <c r="A11369" s="1" t="s">
        <v>8</v>
      </c>
      <c r="B11369" s="2">
        <v>44775.0</v>
      </c>
      <c r="C11369" s="3">
        <v>0.34532407407407406</v>
      </c>
      <c r="D11369" s="1">
        <v>12.91252</v>
      </c>
      <c r="E11369" s="1">
        <v>80.101563</v>
      </c>
      <c r="F11369" s="1">
        <v>5339.0</v>
      </c>
      <c r="G11369" s="1">
        <v>38.0</v>
      </c>
    </row>
    <row r="11370">
      <c r="A11370" s="1" t="s">
        <v>8</v>
      </c>
      <c r="B11370" s="2">
        <v>44775.0</v>
      </c>
      <c r="C11370" s="3">
        <v>0.3458333333333333</v>
      </c>
      <c r="D11370" s="1">
        <v>12.922887</v>
      </c>
      <c r="E11370" s="1">
        <v>80.114138</v>
      </c>
      <c r="F11370" s="1">
        <v>3143.0</v>
      </c>
      <c r="G11370" s="1">
        <v>31.0</v>
      </c>
    </row>
    <row r="11371">
      <c r="A11371" s="1" t="s">
        <v>7</v>
      </c>
      <c r="B11371" s="2">
        <v>44775.0</v>
      </c>
      <c r="C11371" s="3">
        <v>0.34596064814814814</v>
      </c>
      <c r="D11371" s="1">
        <v>12.921244</v>
      </c>
      <c r="E11371" s="1">
        <v>80.112467</v>
      </c>
      <c r="F11371" s="1">
        <v>3143.0</v>
      </c>
      <c r="G11371" s="1">
        <v>53.0</v>
      </c>
    </row>
    <row r="11372">
      <c r="A11372" s="1" t="s">
        <v>8</v>
      </c>
      <c r="B11372" s="2">
        <v>44775.0</v>
      </c>
      <c r="C11372" s="3">
        <v>0.3460185185185185</v>
      </c>
      <c r="D11372" s="1">
        <v>12.921244</v>
      </c>
      <c r="E11372" s="1">
        <v>80.112467</v>
      </c>
      <c r="F11372" s="1">
        <v>3143.0</v>
      </c>
      <c r="G11372" s="1">
        <v>53.0</v>
      </c>
    </row>
    <row r="11373">
      <c r="A11373" s="1" t="s">
        <v>7</v>
      </c>
      <c r="B11373" s="2">
        <v>44775.0</v>
      </c>
      <c r="C11373" s="3">
        <v>0.34630787037037036</v>
      </c>
      <c r="D11373" s="1">
        <v>12.918341</v>
      </c>
      <c r="E11373" s="1">
        <v>80.109081</v>
      </c>
      <c r="F11373" s="1">
        <v>3143.0</v>
      </c>
      <c r="G11373" s="1">
        <v>58.0</v>
      </c>
    </row>
    <row r="11374">
      <c r="A11374" s="1" t="s">
        <v>7</v>
      </c>
      <c r="B11374" s="2">
        <v>44775.0</v>
      </c>
      <c r="C11374" s="3">
        <v>0.34685185185185186</v>
      </c>
      <c r="D11374" s="1">
        <v>12.916332</v>
      </c>
      <c r="E11374" s="1">
        <v>80.106046</v>
      </c>
      <c r="F11374" s="1">
        <v>3143.0</v>
      </c>
      <c r="G11374" s="1">
        <v>53.0</v>
      </c>
    </row>
    <row r="11375">
      <c r="A11375" s="1" t="s">
        <v>8</v>
      </c>
      <c r="B11375" s="2">
        <v>44775.0</v>
      </c>
      <c r="C11375" s="3">
        <v>0.34716435185185185</v>
      </c>
      <c r="D11375" s="1">
        <v>12.914128</v>
      </c>
      <c r="E11375" s="1">
        <v>80.102202</v>
      </c>
      <c r="F11375" s="1">
        <v>3143.0</v>
      </c>
      <c r="G11375" s="1">
        <v>58.0</v>
      </c>
    </row>
    <row r="11376">
      <c r="A11376" s="1" t="s">
        <v>7</v>
      </c>
      <c r="B11376" s="2">
        <v>44775.0</v>
      </c>
      <c r="C11376" s="3">
        <v>0.3471875</v>
      </c>
      <c r="D11376" s="1">
        <v>12.914128</v>
      </c>
      <c r="E11376" s="1">
        <v>80.102202</v>
      </c>
      <c r="F11376" s="1">
        <v>3143.0</v>
      </c>
      <c r="G11376" s="1">
        <v>58.0</v>
      </c>
    </row>
    <row r="11377">
      <c r="A11377" s="1" t="s">
        <v>8</v>
      </c>
      <c r="B11377" s="2">
        <v>44775.0</v>
      </c>
      <c r="C11377" s="3">
        <v>0.34979166666666667</v>
      </c>
      <c r="D11377" s="1">
        <v>12.900048</v>
      </c>
      <c r="E11377" s="1">
        <v>80.091652</v>
      </c>
      <c r="F11377" s="1">
        <v>5339.0</v>
      </c>
      <c r="G11377" s="1">
        <v>41.0</v>
      </c>
    </row>
    <row r="11378">
      <c r="A11378" s="1" t="s">
        <v>8</v>
      </c>
      <c r="B11378" s="2">
        <v>44775.0</v>
      </c>
      <c r="C11378" s="3">
        <v>0.35006944444444443</v>
      </c>
      <c r="D11378" s="1">
        <v>12.897356</v>
      </c>
      <c r="E11378" s="1">
        <v>80.08954</v>
      </c>
      <c r="F11378" s="1">
        <v>5339.0</v>
      </c>
      <c r="G11378" s="1">
        <v>33.0</v>
      </c>
    </row>
    <row r="11379">
      <c r="A11379" s="1" t="s">
        <v>8</v>
      </c>
      <c r="B11379" s="2">
        <v>44775.0</v>
      </c>
      <c r="C11379" s="3">
        <v>0.3502314814814815</v>
      </c>
      <c r="D11379" s="1">
        <v>12.8967</v>
      </c>
      <c r="E11379" s="1">
        <v>80.089071</v>
      </c>
      <c r="F11379" s="1">
        <v>5339.0</v>
      </c>
      <c r="G11379" s="1">
        <v>27.0</v>
      </c>
    </row>
    <row r="11380">
      <c r="A11380" s="1" t="s">
        <v>8</v>
      </c>
      <c r="B11380" s="2">
        <v>44775.0</v>
      </c>
      <c r="C11380" s="3">
        <v>0.3509143518518518</v>
      </c>
      <c r="D11380" s="1">
        <v>12.905254</v>
      </c>
      <c r="E11380" s="1">
        <v>80.095636</v>
      </c>
      <c r="F11380" s="1">
        <v>3143.0</v>
      </c>
      <c r="G11380" s="1">
        <v>18.0</v>
      </c>
    </row>
    <row r="11381">
      <c r="A11381" s="1" t="s">
        <v>7</v>
      </c>
      <c r="B11381" s="2">
        <v>44775.0</v>
      </c>
      <c r="C11381" s="3">
        <v>0.3509953703703704</v>
      </c>
      <c r="D11381" s="1">
        <v>12.891513</v>
      </c>
      <c r="E11381" s="1">
        <v>80.08532</v>
      </c>
      <c r="F11381" s="1">
        <v>5339.0</v>
      </c>
      <c r="G11381" s="1">
        <v>48.0</v>
      </c>
    </row>
    <row r="11382">
      <c r="A11382" s="1" t="s">
        <v>7</v>
      </c>
      <c r="B11382" s="2">
        <v>44775.0</v>
      </c>
      <c r="C11382" s="3">
        <v>0.35131944444444446</v>
      </c>
      <c r="D11382" s="1">
        <v>12.887563</v>
      </c>
      <c r="E11382" s="1">
        <v>80.083618</v>
      </c>
      <c r="F11382" s="1">
        <v>5339.0</v>
      </c>
      <c r="G11382" s="1">
        <v>57.0</v>
      </c>
    </row>
    <row r="11383">
      <c r="A11383" s="1" t="s">
        <v>7</v>
      </c>
      <c r="B11383" s="2">
        <v>44775.0</v>
      </c>
      <c r="C11383" s="3">
        <v>0.3515972222222222</v>
      </c>
      <c r="D11383" s="1">
        <v>12.901196</v>
      </c>
      <c r="E11383" s="1">
        <v>80.092467</v>
      </c>
      <c r="F11383" s="1">
        <v>3143.0</v>
      </c>
      <c r="G11383" s="1">
        <v>47.0</v>
      </c>
    </row>
    <row r="11384">
      <c r="A11384" s="1" t="s">
        <v>8</v>
      </c>
      <c r="B11384" s="2">
        <v>44775.0</v>
      </c>
      <c r="C11384" s="3">
        <v>0.3517013888888889</v>
      </c>
      <c r="D11384" s="1">
        <v>12.900217</v>
      </c>
      <c r="E11384" s="1">
        <v>80.091751</v>
      </c>
      <c r="F11384" s="1">
        <v>3143.0</v>
      </c>
      <c r="G11384" s="1">
        <v>51.0</v>
      </c>
    </row>
    <row r="11385">
      <c r="A11385" s="1" t="s">
        <v>7</v>
      </c>
      <c r="B11385" s="2">
        <v>44775.0</v>
      </c>
      <c r="C11385" s="3">
        <v>0.3524074074074074</v>
      </c>
      <c r="D11385" s="1">
        <v>12.895248</v>
      </c>
      <c r="E11385" s="1">
        <v>80.087966</v>
      </c>
      <c r="F11385" s="1">
        <v>3143.0</v>
      </c>
      <c r="G11385" s="1">
        <v>51.0</v>
      </c>
    </row>
    <row r="11386">
      <c r="A11386" s="1" t="s">
        <v>8</v>
      </c>
      <c r="B11386" s="2">
        <v>44775.0</v>
      </c>
      <c r="C11386" s="3">
        <v>0.3525</v>
      </c>
      <c r="D11386" s="1">
        <v>12.894202</v>
      </c>
      <c r="E11386" s="1">
        <v>80.087204</v>
      </c>
      <c r="F11386" s="1">
        <v>3143.0</v>
      </c>
      <c r="G11386" s="1">
        <v>52.0</v>
      </c>
    </row>
    <row r="11387">
      <c r="A11387" s="1" t="s">
        <v>7</v>
      </c>
      <c r="B11387" s="2">
        <v>44775.0</v>
      </c>
      <c r="C11387" s="3">
        <v>0.3527199074074074</v>
      </c>
      <c r="D11387" s="1">
        <v>12.892542</v>
      </c>
      <c r="E11387" s="1">
        <v>80.085974</v>
      </c>
      <c r="F11387" s="1">
        <v>3143.0</v>
      </c>
      <c r="G11387" s="1">
        <v>34.0</v>
      </c>
    </row>
    <row r="11388">
      <c r="A11388" s="1" t="s">
        <v>7</v>
      </c>
      <c r="B11388" s="2">
        <v>44775.0</v>
      </c>
      <c r="C11388" s="3">
        <v>0.3528472222222222</v>
      </c>
      <c r="D11388" s="1">
        <v>12.891564</v>
      </c>
      <c r="E11388" s="1">
        <v>80.085324</v>
      </c>
      <c r="F11388" s="1">
        <v>3143.0</v>
      </c>
      <c r="G11388" s="1">
        <v>52.0</v>
      </c>
    </row>
    <row r="11389">
      <c r="A11389" s="1" t="s">
        <v>8</v>
      </c>
      <c r="B11389" s="2">
        <v>44775.0</v>
      </c>
      <c r="C11389" s="3">
        <v>0.35354166666666664</v>
      </c>
      <c r="D11389" s="1">
        <v>12.883489</v>
      </c>
      <c r="E11389" s="1">
        <v>80.08209</v>
      </c>
      <c r="F11389" s="1">
        <v>3143.0</v>
      </c>
      <c r="G11389" s="1">
        <v>55.0</v>
      </c>
    </row>
    <row r="11390">
      <c r="A11390" s="1" t="s">
        <v>8</v>
      </c>
      <c r="B11390" s="2">
        <v>44775.0</v>
      </c>
      <c r="C11390" s="3">
        <v>0.35363425925925923</v>
      </c>
      <c r="D11390" s="1">
        <v>12.878424</v>
      </c>
      <c r="E11390" s="1">
        <v>80.082346</v>
      </c>
      <c r="F11390" s="1">
        <v>5339.0</v>
      </c>
      <c r="G11390" s="1">
        <v>31.0</v>
      </c>
    </row>
    <row r="11391">
      <c r="A11391" s="1" t="s">
        <v>8</v>
      </c>
      <c r="B11391" s="2">
        <v>44775.0</v>
      </c>
      <c r="C11391" s="3">
        <v>0.3552199074074074</v>
      </c>
      <c r="D11391" s="1">
        <v>12.877834</v>
      </c>
      <c r="E11391" s="1">
        <v>80.083948</v>
      </c>
      <c r="F11391" s="1">
        <v>3143.0</v>
      </c>
      <c r="G11391" s="1">
        <v>45.0</v>
      </c>
    </row>
    <row r="11392">
      <c r="A11392" s="1" t="s">
        <v>8</v>
      </c>
      <c r="B11392" s="2">
        <v>44775.0</v>
      </c>
      <c r="C11392" s="3">
        <v>0.4938194444444444</v>
      </c>
      <c r="D11392" s="1">
        <v>13.049622</v>
      </c>
      <c r="E11392" s="1">
        <v>80.088471</v>
      </c>
      <c r="F11392" s="1">
        <v>805.0</v>
      </c>
      <c r="G11392" s="1">
        <v>37.0</v>
      </c>
    </row>
    <row r="11393">
      <c r="A11393" s="1" t="s">
        <v>8</v>
      </c>
      <c r="B11393" s="2">
        <v>44775.0</v>
      </c>
      <c r="C11393" s="3">
        <v>0.49385416666666665</v>
      </c>
      <c r="D11393" s="1">
        <v>13.049622</v>
      </c>
      <c r="E11393" s="1">
        <v>80.088471</v>
      </c>
      <c r="F11393" s="1">
        <v>805.0</v>
      </c>
      <c r="G11393" s="1">
        <v>37.0</v>
      </c>
    </row>
    <row r="11394">
      <c r="A11394" s="1" t="s">
        <v>8</v>
      </c>
      <c r="B11394" s="2">
        <v>44775.0</v>
      </c>
      <c r="C11394" s="3">
        <v>0.49422453703703706</v>
      </c>
      <c r="D11394" s="1">
        <v>13.048648</v>
      </c>
      <c r="E11394" s="1">
        <v>80.086395</v>
      </c>
      <c r="F11394" s="1">
        <v>805.0</v>
      </c>
      <c r="G11394" s="1">
        <v>23.0</v>
      </c>
    </row>
    <row r="11395">
      <c r="A11395" s="1" t="s">
        <v>8</v>
      </c>
      <c r="B11395" s="2">
        <v>44775.0</v>
      </c>
      <c r="C11395" s="3">
        <v>0.49429398148148146</v>
      </c>
      <c r="D11395" s="1">
        <v>13.048648</v>
      </c>
      <c r="E11395" s="1">
        <v>80.086395</v>
      </c>
      <c r="F11395" s="1">
        <v>805.0</v>
      </c>
      <c r="G11395" s="1">
        <v>23.0</v>
      </c>
    </row>
    <row r="11396">
      <c r="A11396" s="1" t="s">
        <v>8</v>
      </c>
      <c r="B11396" s="2">
        <v>44775.0</v>
      </c>
      <c r="C11396" s="3">
        <v>0.49453703703703705</v>
      </c>
      <c r="D11396" s="1">
        <v>13.046622</v>
      </c>
      <c r="E11396" s="1">
        <v>80.085198</v>
      </c>
      <c r="F11396" s="1">
        <v>805.0</v>
      </c>
      <c r="G11396" s="1">
        <v>28.0</v>
      </c>
    </row>
    <row r="11397">
      <c r="A11397" s="1" t="s">
        <v>8</v>
      </c>
      <c r="B11397" s="2">
        <v>44775.0</v>
      </c>
      <c r="C11397" s="3">
        <v>0.49635416666666665</v>
      </c>
      <c r="D11397" s="1">
        <v>13.033537</v>
      </c>
      <c r="E11397" s="1">
        <v>80.089222</v>
      </c>
      <c r="F11397" s="1">
        <v>805.0</v>
      </c>
      <c r="G11397" s="1">
        <v>55.0</v>
      </c>
    </row>
    <row r="11398">
      <c r="A11398" s="1" t="s">
        <v>7</v>
      </c>
      <c r="B11398" s="2">
        <v>44775.0</v>
      </c>
      <c r="C11398" s="3">
        <v>0.49743055555555554</v>
      </c>
      <c r="D11398" s="1">
        <v>13.025154</v>
      </c>
      <c r="E11398" s="1">
        <v>80.09228</v>
      </c>
      <c r="F11398" s="1">
        <v>805.0</v>
      </c>
      <c r="G11398" s="1">
        <v>33.0</v>
      </c>
    </row>
    <row r="11399">
      <c r="A11399" s="1" t="s">
        <v>7</v>
      </c>
      <c r="B11399" s="2">
        <v>44775.0</v>
      </c>
      <c r="C11399" s="3">
        <v>0.49765046296296295</v>
      </c>
      <c r="D11399" s="1">
        <v>13.022804</v>
      </c>
      <c r="E11399" s="1">
        <v>80.09315</v>
      </c>
      <c r="F11399" s="1">
        <v>805.0</v>
      </c>
      <c r="G11399" s="1">
        <v>58.0</v>
      </c>
    </row>
    <row r="11400">
      <c r="A11400" s="1" t="s">
        <v>7</v>
      </c>
      <c r="B11400" s="2">
        <v>44775.0</v>
      </c>
      <c r="C11400" s="3">
        <v>0.49822916666666667</v>
      </c>
      <c r="D11400" s="1">
        <v>13.015844</v>
      </c>
      <c r="E11400" s="1">
        <v>80.094822</v>
      </c>
      <c r="F11400" s="1">
        <v>805.0</v>
      </c>
      <c r="G11400" s="1">
        <v>58.0</v>
      </c>
    </row>
    <row r="11401">
      <c r="A11401" s="1" t="s">
        <v>7</v>
      </c>
      <c r="B11401" s="2">
        <v>44775.0</v>
      </c>
      <c r="C11401" s="3">
        <v>0.49930555555555556</v>
      </c>
      <c r="D11401" s="1">
        <v>13.002242</v>
      </c>
      <c r="E11401" s="1">
        <v>80.089521</v>
      </c>
      <c r="F11401" s="1">
        <v>805.0</v>
      </c>
      <c r="G11401" s="1">
        <v>58.0</v>
      </c>
    </row>
    <row r="11402">
      <c r="A11402" s="1" t="s">
        <v>7</v>
      </c>
      <c r="B11402" s="2">
        <v>44775.0</v>
      </c>
      <c r="C11402" s="3">
        <v>0.4996875</v>
      </c>
      <c r="D11402" s="1">
        <v>12.998141</v>
      </c>
      <c r="E11402" s="1">
        <v>80.08794</v>
      </c>
      <c r="F11402" s="1">
        <v>805.0</v>
      </c>
      <c r="G11402" s="1">
        <v>57.0</v>
      </c>
    </row>
    <row r="11403">
      <c r="A11403" s="1" t="s">
        <v>7</v>
      </c>
      <c r="B11403" s="2">
        <v>44775.0</v>
      </c>
      <c r="C11403" s="3">
        <v>0.5000231481481482</v>
      </c>
      <c r="D11403" s="1">
        <v>12.995246</v>
      </c>
      <c r="E11403" s="1">
        <v>80.087699</v>
      </c>
      <c r="F11403" s="1">
        <v>805.0</v>
      </c>
      <c r="G11403" s="1">
        <v>58.0</v>
      </c>
    </row>
    <row r="11404">
      <c r="A11404" s="1" t="s">
        <v>7</v>
      </c>
      <c r="B11404" s="2">
        <v>44775.0</v>
      </c>
      <c r="C11404" s="3">
        <v>0.5007986111111111</v>
      </c>
      <c r="D11404" s="1">
        <v>12.98437</v>
      </c>
      <c r="E11404" s="1">
        <v>80.089636</v>
      </c>
      <c r="F11404" s="1">
        <v>805.0</v>
      </c>
      <c r="G11404" s="1">
        <v>58.0</v>
      </c>
    </row>
    <row r="11405">
      <c r="A11405" s="1" t="s">
        <v>7</v>
      </c>
      <c r="B11405" s="2">
        <v>44775.0</v>
      </c>
      <c r="C11405" s="3">
        <v>0.5011689814814815</v>
      </c>
      <c r="D11405" s="1">
        <v>12.979712</v>
      </c>
      <c r="E11405" s="1">
        <v>80.089904</v>
      </c>
      <c r="F11405" s="1">
        <v>805.0</v>
      </c>
      <c r="G11405" s="1">
        <v>57.0</v>
      </c>
    </row>
    <row r="11406">
      <c r="A11406" s="1" t="s">
        <v>7</v>
      </c>
      <c r="B11406" s="2">
        <v>44775.0</v>
      </c>
      <c r="C11406" s="3">
        <v>0.5012962962962964</v>
      </c>
      <c r="D11406" s="1">
        <v>12.979712</v>
      </c>
      <c r="E11406" s="1">
        <v>80.089904</v>
      </c>
      <c r="F11406" s="1">
        <v>805.0</v>
      </c>
      <c r="G11406" s="1">
        <v>57.0</v>
      </c>
    </row>
    <row r="11407">
      <c r="A11407" s="1" t="s">
        <v>7</v>
      </c>
      <c r="B11407" s="2">
        <v>44775.0</v>
      </c>
      <c r="C11407" s="3">
        <v>0.5020949074074074</v>
      </c>
      <c r="D11407" s="1">
        <v>12.969159</v>
      </c>
      <c r="E11407" s="1">
        <v>80.090167</v>
      </c>
      <c r="F11407" s="1">
        <v>805.0</v>
      </c>
      <c r="G11407" s="1">
        <v>58.0</v>
      </c>
    </row>
    <row r="11408">
      <c r="A11408" s="1" t="s">
        <v>7</v>
      </c>
      <c r="B11408" s="2">
        <v>44775.0</v>
      </c>
      <c r="C11408" s="3">
        <v>0.5025925925925926</v>
      </c>
      <c r="D11408" s="1">
        <v>12.96447</v>
      </c>
      <c r="E11408" s="1">
        <v>80.090306</v>
      </c>
      <c r="F11408" s="1">
        <v>805.0</v>
      </c>
      <c r="G11408" s="1">
        <v>58.0</v>
      </c>
    </row>
    <row r="11409">
      <c r="A11409" s="1" t="s">
        <v>7</v>
      </c>
      <c r="B11409" s="2">
        <v>44775.0</v>
      </c>
      <c r="C11409" s="3">
        <v>0.6598032407407407</v>
      </c>
      <c r="D11409" s="1">
        <v>12.956322</v>
      </c>
      <c r="E11409" s="1">
        <v>80.090282</v>
      </c>
      <c r="F11409" s="1">
        <v>805.0</v>
      </c>
      <c r="G11409" s="1">
        <v>9.0</v>
      </c>
    </row>
    <row r="11410">
      <c r="A11410" s="1" t="s">
        <v>7</v>
      </c>
      <c r="B11410" s="2">
        <v>44775.0</v>
      </c>
      <c r="C11410" s="3">
        <v>0.6601041666666667</v>
      </c>
      <c r="D11410" s="1">
        <v>12.955299</v>
      </c>
      <c r="E11410" s="1">
        <v>80.089766</v>
      </c>
      <c r="F11410" s="1">
        <v>805.0</v>
      </c>
      <c r="G11410" s="1">
        <v>11.0</v>
      </c>
    </row>
    <row r="11411">
      <c r="A11411" s="1" t="s">
        <v>8</v>
      </c>
      <c r="B11411" s="2">
        <v>44775.0</v>
      </c>
      <c r="C11411" s="3">
        <v>0.6601388888888889</v>
      </c>
      <c r="D11411" s="1">
        <v>12.955299</v>
      </c>
      <c r="E11411" s="1">
        <v>80.089766</v>
      </c>
      <c r="F11411" s="1">
        <v>805.0</v>
      </c>
      <c r="G11411" s="1">
        <v>11.0</v>
      </c>
    </row>
    <row r="11412">
      <c r="A11412" s="1" t="s">
        <v>7</v>
      </c>
      <c r="B11412" s="2">
        <v>44775.0</v>
      </c>
      <c r="C11412" s="3">
        <v>0.6604976851851851</v>
      </c>
      <c r="D11412" s="1">
        <v>12.952345</v>
      </c>
      <c r="E11412" s="1">
        <v>80.088575</v>
      </c>
      <c r="F11412" s="1">
        <v>805.0</v>
      </c>
      <c r="G11412" s="1">
        <v>59.0</v>
      </c>
    </row>
    <row r="11413">
      <c r="A11413" s="1" t="s">
        <v>7</v>
      </c>
      <c r="B11413" s="2">
        <v>44775.0</v>
      </c>
      <c r="C11413" s="3">
        <v>0.6608449074074074</v>
      </c>
      <c r="D11413" s="1">
        <v>12.948021</v>
      </c>
      <c r="E11413" s="1">
        <v>80.086952</v>
      </c>
      <c r="F11413" s="1">
        <v>805.0</v>
      </c>
      <c r="G11413" s="1">
        <v>57.0</v>
      </c>
    </row>
    <row r="11414">
      <c r="A11414" s="1" t="s">
        <v>7</v>
      </c>
      <c r="B11414" s="2">
        <v>44775.0</v>
      </c>
      <c r="C11414" s="3">
        <v>0.6613078703703704</v>
      </c>
      <c r="D11414" s="1">
        <v>12.943645</v>
      </c>
      <c r="E11414" s="1">
        <v>80.085272</v>
      </c>
      <c r="F11414" s="1">
        <v>805.0</v>
      </c>
      <c r="G11414" s="1">
        <v>57.0</v>
      </c>
    </row>
    <row r="11415">
      <c r="A11415" s="1" t="s">
        <v>9</v>
      </c>
      <c r="B11415" s="2">
        <v>44775.0</v>
      </c>
      <c r="C11415" s="3">
        <v>0.6617361111111111</v>
      </c>
      <c r="D11415" s="1">
        <v>12.936944</v>
      </c>
      <c r="E11415" s="1">
        <v>80.082781</v>
      </c>
      <c r="F11415" s="1">
        <v>805.0</v>
      </c>
      <c r="G11415" s="1">
        <v>57.0</v>
      </c>
    </row>
    <row r="11416">
      <c r="A11416" s="1" t="s">
        <v>7</v>
      </c>
      <c r="B11416" s="2">
        <v>44775.0</v>
      </c>
      <c r="C11416" s="3">
        <v>0.6638078703703704</v>
      </c>
      <c r="D11416" s="1">
        <v>12.926361</v>
      </c>
      <c r="E11416" s="1">
        <v>80.078841</v>
      </c>
      <c r="F11416" s="1">
        <v>805.0</v>
      </c>
      <c r="G11416" s="1">
        <v>57.0</v>
      </c>
    </row>
    <row r="11417">
      <c r="A11417" s="1" t="s">
        <v>7</v>
      </c>
      <c r="B11417" s="2">
        <v>44775.0</v>
      </c>
      <c r="C11417" s="3">
        <v>0.6650578703703703</v>
      </c>
      <c r="D11417" s="1">
        <v>12.906147</v>
      </c>
      <c r="E11417" s="1">
        <v>80.072385</v>
      </c>
      <c r="F11417" s="1">
        <v>805.0</v>
      </c>
      <c r="G11417" s="1">
        <v>58.0</v>
      </c>
    </row>
    <row r="11418">
      <c r="A11418" s="1" t="s">
        <v>7</v>
      </c>
      <c r="B11418" s="2">
        <v>44775.0</v>
      </c>
      <c r="C11418" s="3">
        <v>0.6665625</v>
      </c>
      <c r="D11418" s="1">
        <v>12.888434</v>
      </c>
      <c r="E11418" s="1">
        <v>80.073161</v>
      </c>
      <c r="F11418" s="1">
        <v>805.0</v>
      </c>
      <c r="G11418" s="1">
        <v>53.0</v>
      </c>
    </row>
    <row r="11419">
      <c r="A11419" s="1" t="s">
        <v>10</v>
      </c>
      <c r="B11419" s="2">
        <v>44775.0</v>
      </c>
      <c r="C11419" s="3">
        <v>0.6694675925925926</v>
      </c>
      <c r="D11419" s="1">
        <v>12.877258</v>
      </c>
      <c r="E11419" s="1">
        <v>80.08468</v>
      </c>
      <c r="F11419" s="1">
        <v>805.0</v>
      </c>
      <c r="G11419" s="1">
        <v>0.0</v>
      </c>
    </row>
    <row r="11420">
      <c r="A11420" s="1" t="s">
        <v>10</v>
      </c>
      <c r="B11420" s="2">
        <v>44775.0</v>
      </c>
      <c r="C11420" s="3">
        <v>0.6699189814814814</v>
      </c>
      <c r="D11420" s="1">
        <v>12.87611</v>
      </c>
      <c r="E11420" s="1">
        <v>80.084125</v>
      </c>
      <c r="F11420" s="1">
        <v>805.0</v>
      </c>
      <c r="G11420" s="1">
        <v>17.0</v>
      </c>
    </row>
    <row r="11421">
      <c r="A11421" s="1" t="s">
        <v>10</v>
      </c>
      <c r="B11421" s="2">
        <v>44775.0</v>
      </c>
      <c r="C11421" s="3">
        <v>0.681863425925926</v>
      </c>
      <c r="D11421" s="1">
        <v>12.875269</v>
      </c>
      <c r="E11421" s="1">
        <v>80.084768</v>
      </c>
      <c r="F11421" s="1">
        <v>5339.0</v>
      </c>
      <c r="G11421" s="1">
        <v>4.0</v>
      </c>
    </row>
    <row r="11422">
      <c r="A11422" s="1" t="s">
        <v>8</v>
      </c>
      <c r="B11422" s="2">
        <v>44775.0</v>
      </c>
      <c r="C11422" s="3">
        <v>0.692037037037037</v>
      </c>
      <c r="D11422" s="1">
        <v>12.877779</v>
      </c>
      <c r="E11422" s="1">
        <v>80.083849</v>
      </c>
      <c r="F11422" s="1">
        <v>2846.0</v>
      </c>
      <c r="G11422" s="1">
        <v>39.0</v>
      </c>
    </row>
    <row r="11423">
      <c r="A11423" s="1" t="s">
        <v>10</v>
      </c>
      <c r="B11423" s="2">
        <v>44775.0</v>
      </c>
      <c r="C11423" s="3">
        <v>0.6922685185185186</v>
      </c>
      <c r="D11423" s="1">
        <v>12.8788</v>
      </c>
      <c r="E11423" s="1">
        <v>80.080921</v>
      </c>
      <c r="F11423" s="1">
        <v>2846.0</v>
      </c>
      <c r="G11423" s="1">
        <v>12.0</v>
      </c>
    </row>
    <row r="11424">
      <c r="A11424" s="1" t="s">
        <v>7</v>
      </c>
      <c r="B11424" s="2">
        <v>44775.0</v>
      </c>
      <c r="C11424" s="3">
        <v>0.6928819444444444</v>
      </c>
      <c r="D11424" s="1">
        <v>12.87549</v>
      </c>
      <c r="E11424" s="1">
        <v>80.078863</v>
      </c>
      <c r="F11424" s="1">
        <v>2846.0</v>
      </c>
      <c r="G11424" s="1">
        <v>58.0</v>
      </c>
    </row>
    <row r="11425">
      <c r="A11425" s="1" t="s">
        <v>7</v>
      </c>
      <c r="B11425" s="2">
        <v>44775.0</v>
      </c>
      <c r="C11425" s="3">
        <v>0.6929166666666666</v>
      </c>
      <c r="D11425" s="1">
        <v>12.87549</v>
      </c>
      <c r="E11425" s="1">
        <v>80.078863</v>
      </c>
      <c r="F11425" s="1">
        <v>2846.0</v>
      </c>
      <c r="G11425" s="1">
        <v>58.0</v>
      </c>
    </row>
    <row r="11426">
      <c r="A11426" s="1" t="s">
        <v>7</v>
      </c>
      <c r="B11426" s="2">
        <v>44775.0</v>
      </c>
      <c r="C11426" s="3">
        <v>0.6934837962962963</v>
      </c>
      <c r="D11426" s="1">
        <v>12.884311</v>
      </c>
      <c r="E11426" s="1">
        <v>80.081823</v>
      </c>
      <c r="F11426" s="1">
        <v>3143.0</v>
      </c>
      <c r="G11426" s="1">
        <v>47.0</v>
      </c>
    </row>
    <row r="11427">
      <c r="A11427" s="1" t="s">
        <v>7</v>
      </c>
      <c r="B11427" s="2">
        <v>44775.0</v>
      </c>
      <c r="C11427" s="3">
        <v>0.6935648148148148</v>
      </c>
      <c r="D11427" s="1">
        <v>12.885268</v>
      </c>
      <c r="E11427" s="1">
        <v>80.08111</v>
      </c>
      <c r="F11427" s="1">
        <v>3143.0</v>
      </c>
      <c r="G11427" s="1">
        <v>48.0</v>
      </c>
    </row>
    <row r="11428">
      <c r="A11428" s="1" t="s">
        <v>8</v>
      </c>
      <c r="B11428" s="2">
        <v>44775.0</v>
      </c>
      <c r="C11428" s="3">
        <v>0.6939583333333333</v>
      </c>
      <c r="D11428" s="1">
        <v>12.874284</v>
      </c>
      <c r="E11428" s="1">
        <v>80.07834</v>
      </c>
      <c r="F11428" s="1">
        <v>2846.0</v>
      </c>
      <c r="G11428" s="1">
        <v>0.0</v>
      </c>
    </row>
    <row r="11429">
      <c r="A11429" s="1" t="s">
        <v>8</v>
      </c>
      <c r="B11429" s="2">
        <v>44775.0</v>
      </c>
      <c r="C11429" s="3">
        <v>0.6948148148148148</v>
      </c>
      <c r="D11429" s="1">
        <v>12.884403</v>
      </c>
      <c r="E11429" s="1">
        <v>80.081887</v>
      </c>
      <c r="F11429" s="1">
        <v>5339.0</v>
      </c>
      <c r="G11429" s="1">
        <v>41.0</v>
      </c>
    </row>
    <row r="11430">
      <c r="A11430" s="1" t="s">
        <v>7</v>
      </c>
      <c r="B11430" s="2">
        <v>44775.0</v>
      </c>
      <c r="C11430" s="3">
        <v>0.6950115740740741</v>
      </c>
      <c r="D11430" s="1">
        <v>12.897817</v>
      </c>
      <c r="E11430" s="1">
        <v>80.070362</v>
      </c>
      <c r="F11430" s="1">
        <v>3143.0</v>
      </c>
      <c r="G11430" s="1">
        <v>56.0</v>
      </c>
    </row>
    <row r="11431">
      <c r="A11431" s="1" t="s">
        <v>7</v>
      </c>
      <c r="B11431" s="2">
        <v>44775.0</v>
      </c>
      <c r="C11431" s="3">
        <v>0.6951851851851852</v>
      </c>
      <c r="D11431" s="1">
        <v>12.899276</v>
      </c>
      <c r="E11431" s="1">
        <v>80.070411</v>
      </c>
      <c r="F11431" s="1">
        <v>3143.0</v>
      </c>
      <c r="G11431" s="1">
        <v>57.0</v>
      </c>
    </row>
    <row r="11432">
      <c r="A11432" s="1" t="s">
        <v>9</v>
      </c>
      <c r="B11432" s="2">
        <v>44775.0</v>
      </c>
      <c r="C11432" s="3">
        <v>0.6951851851851852</v>
      </c>
      <c r="D11432" s="1">
        <v>12.859688</v>
      </c>
      <c r="E11432" s="1">
        <v>80.072266</v>
      </c>
      <c r="F11432" s="1">
        <v>2846.0</v>
      </c>
      <c r="G11432" s="1">
        <v>28.0</v>
      </c>
    </row>
    <row r="11433">
      <c r="A11433" s="1" t="s">
        <v>8</v>
      </c>
      <c r="B11433" s="2">
        <v>44775.0</v>
      </c>
      <c r="C11433" s="3">
        <v>0.695300925925926</v>
      </c>
      <c r="D11433" s="1">
        <v>12.889303</v>
      </c>
      <c r="E11433" s="1">
        <v>80.084182</v>
      </c>
      <c r="F11433" s="1">
        <v>5339.0</v>
      </c>
      <c r="G11433" s="1">
        <v>48.0</v>
      </c>
    </row>
    <row r="11434">
      <c r="A11434" s="1" t="s">
        <v>8</v>
      </c>
      <c r="B11434" s="2">
        <v>44775.0</v>
      </c>
      <c r="C11434" s="3">
        <v>0.6953587962962963</v>
      </c>
      <c r="D11434" s="1">
        <v>12.889303</v>
      </c>
      <c r="E11434" s="1">
        <v>80.084182</v>
      </c>
      <c r="F11434" s="1">
        <v>5339.0</v>
      </c>
      <c r="G11434" s="1">
        <v>48.0</v>
      </c>
    </row>
    <row r="11435">
      <c r="A11435" s="1" t="s">
        <v>8</v>
      </c>
      <c r="B11435" s="2">
        <v>44775.0</v>
      </c>
      <c r="C11435" s="3">
        <v>0.6956365740740741</v>
      </c>
      <c r="D11435" s="1">
        <v>12.856468</v>
      </c>
      <c r="E11435" s="1">
        <v>80.069717</v>
      </c>
      <c r="F11435" s="1">
        <v>2846.0</v>
      </c>
      <c r="G11435" s="1">
        <v>42.0</v>
      </c>
    </row>
    <row r="11436">
      <c r="A11436" s="1" t="s">
        <v>7</v>
      </c>
      <c r="B11436" s="2">
        <v>44775.0</v>
      </c>
      <c r="C11436" s="3">
        <v>0.695775462962963</v>
      </c>
      <c r="D11436" s="1">
        <v>12.906381</v>
      </c>
      <c r="E11436" s="1">
        <v>80.072069</v>
      </c>
      <c r="F11436" s="1">
        <v>3143.0</v>
      </c>
      <c r="G11436" s="1">
        <v>59.0</v>
      </c>
    </row>
    <row r="11437">
      <c r="A11437" s="1" t="s">
        <v>8</v>
      </c>
      <c r="B11437" s="2">
        <v>44775.0</v>
      </c>
      <c r="C11437" s="3">
        <v>0.6961574074074074</v>
      </c>
      <c r="D11437" s="1">
        <v>12.894821</v>
      </c>
      <c r="E11437" s="1">
        <v>80.087478</v>
      </c>
      <c r="F11437" s="1">
        <v>5339.0</v>
      </c>
      <c r="G11437" s="1">
        <v>30.0</v>
      </c>
    </row>
    <row r="11438">
      <c r="A11438" s="1" t="s">
        <v>7</v>
      </c>
      <c r="B11438" s="2">
        <v>44775.0</v>
      </c>
      <c r="C11438" s="3">
        <v>0.6961805555555556</v>
      </c>
      <c r="D11438" s="1">
        <v>12.851159</v>
      </c>
      <c r="E11438" s="1">
        <v>80.065813</v>
      </c>
      <c r="F11438" s="1">
        <v>2846.0</v>
      </c>
      <c r="G11438" s="1">
        <v>56.0</v>
      </c>
    </row>
    <row r="11439">
      <c r="A11439" s="1" t="s">
        <v>8</v>
      </c>
      <c r="B11439" s="2">
        <v>44775.0</v>
      </c>
      <c r="C11439" s="3">
        <v>0.6961921296296296</v>
      </c>
      <c r="D11439" s="1">
        <v>12.894821</v>
      </c>
      <c r="E11439" s="1">
        <v>80.087478</v>
      </c>
      <c r="F11439" s="1">
        <v>5339.0</v>
      </c>
      <c r="G11439" s="1">
        <v>30.0</v>
      </c>
    </row>
    <row r="11440">
      <c r="A11440" s="1" t="s">
        <v>10</v>
      </c>
      <c r="B11440" s="2">
        <v>44775.0</v>
      </c>
      <c r="C11440" s="3">
        <v>0.6965162037037037</v>
      </c>
      <c r="D11440" s="1">
        <v>12.875819</v>
      </c>
      <c r="E11440" s="1">
        <v>80.083989</v>
      </c>
      <c r="F11440" s="1">
        <v>805.0</v>
      </c>
      <c r="G11440" s="1">
        <v>0.0</v>
      </c>
    </row>
    <row r="11441">
      <c r="A11441" s="1" t="s">
        <v>8</v>
      </c>
      <c r="B11441" s="2">
        <v>44775.0</v>
      </c>
      <c r="C11441" s="3">
        <v>0.6966782407407407</v>
      </c>
      <c r="D11441" s="1">
        <v>12.89943</v>
      </c>
      <c r="E11441" s="1">
        <v>80.090962</v>
      </c>
      <c r="F11441" s="1">
        <v>5339.0</v>
      </c>
      <c r="G11441" s="1">
        <v>51.0</v>
      </c>
    </row>
    <row r="11442">
      <c r="A11442" s="1" t="s">
        <v>8</v>
      </c>
      <c r="B11442" s="2">
        <v>44775.0</v>
      </c>
      <c r="C11442" s="3">
        <v>0.6969907407407407</v>
      </c>
      <c r="D11442" s="1">
        <v>12.901486</v>
      </c>
      <c r="E11442" s="1">
        <v>80.092442</v>
      </c>
      <c r="F11442" s="1">
        <v>5339.0</v>
      </c>
      <c r="G11442" s="1">
        <v>51.0</v>
      </c>
    </row>
    <row r="11443">
      <c r="A11443" s="1" t="s">
        <v>8</v>
      </c>
      <c r="B11443" s="2">
        <v>44775.0</v>
      </c>
      <c r="C11443" s="3">
        <v>0.6970833333333334</v>
      </c>
      <c r="D11443" s="1">
        <v>12.902472</v>
      </c>
      <c r="E11443" s="1">
        <v>80.093207</v>
      </c>
      <c r="F11443" s="1">
        <v>5339.0</v>
      </c>
      <c r="G11443" s="1">
        <v>43.0</v>
      </c>
    </row>
    <row r="11444">
      <c r="A11444" s="1" t="s">
        <v>8</v>
      </c>
      <c r="B11444" s="2">
        <v>44775.0</v>
      </c>
      <c r="C11444" s="3">
        <v>0.6974537037037037</v>
      </c>
      <c r="D11444" s="1">
        <v>12.845127</v>
      </c>
      <c r="E11444" s="1">
        <v>80.061208</v>
      </c>
      <c r="F11444" s="1">
        <v>2846.0</v>
      </c>
      <c r="G11444" s="1">
        <v>39.0</v>
      </c>
    </row>
    <row r="11445">
      <c r="A11445" s="1" t="s">
        <v>8</v>
      </c>
      <c r="B11445" s="2">
        <v>44775.0</v>
      </c>
      <c r="C11445" s="3">
        <v>0.6977083333333334</v>
      </c>
      <c r="D11445" s="1">
        <v>12.916512</v>
      </c>
      <c r="E11445" s="1">
        <v>80.079451</v>
      </c>
      <c r="F11445" s="1">
        <v>3143.0</v>
      </c>
      <c r="G11445" s="1">
        <v>41.0</v>
      </c>
    </row>
    <row r="11446">
      <c r="A11446" s="1" t="s">
        <v>8</v>
      </c>
      <c r="B11446" s="2">
        <v>44775.0</v>
      </c>
      <c r="C11446" s="3">
        <v>0.6983333333333334</v>
      </c>
      <c r="D11446" s="1">
        <v>12.880812</v>
      </c>
      <c r="E11446" s="1">
        <v>80.080584</v>
      </c>
      <c r="F11446" s="1">
        <v>805.0</v>
      </c>
      <c r="G11446" s="1">
        <v>17.0</v>
      </c>
    </row>
    <row r="11447">
      <c r="A11447" s="1" t="s">
        <v>8</v>
      </c>
      <c r="B11447" s="2">
        <v>44775.0</v>
      </c>
      <c r="C11447" s="3">
        <v>0.6984490740740741</v>
      </c>
      <c r="D11447" s="1">
        <v>12.881101</v>
      </c>
      <c r="E11447" s="1">
        <v>80.080585</v>
      </c>
      <c r="F11447" s="1">
        <v>805.0</v>
      </c>
      <c r="G11447" s="1">
        <v>10.0</v>
      </c>
    </row>
    <row r="11448">
      <c r="A11448" s="1" t="s">
        <v>8</v>
      </c>
      <c r="B11448" s="2">
        <v>44775.0</v>
      </c>
      <c r="C11448" s="3">
        <v>0.6985300925925926</v>
      </c>
      <c r="D11448" s="1">
        <v>12.881101</v>
      </c>
      <c r="E11448" s="1">
        <v>80.080585</v>
      </c>
      <c r="F11448" s="1">
        <v>805.0</v>
      </c>
      <c r="G11448" s="1">
        <v>10.0</v>
      </c>
    </row>
    <row r="11449">
      <c r="A11449" s="1" t="s">
        <v>8</v>
      </c>
      <c r="B11449" s="2">
        <v>44775.0</v>
      </c>
      <c r="C11449" s="3">
        <v>0.698587962962963</v>
      </c>
      <c r="D11449" s="1">
        <v>12.881101</v>
      </c>
      <c r="E11449" s="1">
        <v>80.080585</v>
      </c>
      <c r="F11449" s="1">
        <v>805.0</v>
      </c>
      <c r="G11449" s="1">
        <v>10.0</v>
      </c>
    </row>
    <row r="11450">
      <c r="A11450" s="1" t="s">
        <v>8</v>
      </c>
      <c r="B11450" s="2">
        <v>44775.0</v>
      </c>
      <c r="C11450" s="3">
        <v>0.6988310185185185</v>
      </c>
      <c r="D11450" s="1">
        <v>12.919664</v>
      </c>
      <c r="E11450" s="1">
        <v>80.086076</v>
      </c>
      <c r="F11450" s="1">
        <v>3143.0</v>
      </c>
      <c r="G11450" s="1">
        <v>32.0</v>
      </c>
    </row>
    <row r="11451">
      <c r="A11451" s="1" t="s">
        <v>8</v>
      </c>
      <c r="B11451" s="2">
        <v>44775.0</v>
      </c>
      <c r="C11451" s="3">
        <v>0.6989467592592593</v>
      </c>
      <c r="D11451" s="1">
        <v>12.91539</v>
      </c>
      <c r="E11451" s="1">
        <v>80.102553</v>
      </c>
      <c r="F11451" s="1">
        <v>5339.0</v>
      </c>
      <c r="G11451" s="1">
        <v>51.0</v>
      </c>
    </row>
    <row r="11452">
      <c r="A11452" s="1" t="s">
        <v>8</v>
      </c>
      <c r="B11452" s="2">
        <v>44775.0</v>
      </c>
      <c r="C11452" s="3">
        <v>0.6989699074074074</v>
      </c>
      <c r="D11452" s="1">
        <v>12.840838</v>
      </c>
      <c r="E11452" s="1">
        <v>80.056681</v>
      </c>
      <c r="F11452" s="1">
        <v>2846.0</v>
      </c>
      <c r="G11452" s="1">
        <v>16.0</v>
      </c>
    </row>
    <row r="11453">
      <c r="A11453" s="1" t="s">
        <v>8</v>
      </c>
      <c r="B11453" s="2">
        <v>44775.0</v>
      </c>
      <c r="C11453" s="3">
        <v>0.6990046296296296</v>
      </c>
      <c r="D11453" s="1">
        <v>12.883393</v>
      </c>
      <c r="E11453" s="1">
        <v>80.081392</v>
      </c>
      <c r="F11453" s="1">
        <v>805.0</v>
      </c>
      <c r="G11453" s="1">
        <v>47.0</v>
      </c>
    </row>
    <row r="11454">
      <c r="A11454" s="1" t="s">
        <v>8</v>
      </c>
      <c r="B11454" s="2">
        <v>44775.0</v>
      </c>
      <c r="C11454" s="3">
        <v>0.699224537037037</v>
      </c>
      <c r="D11454" s="1">
        <v>12.920186</v>
      </c>
      <c r="E11454" s="1">
        <v>80.088095</v>
      </c>
      <c r="F11454" s="1">
        <v>3143.0</v>
      </c>
      <c r="G11454" s="1">
        <v>38.0</v>
      </c>
    </row>
    <row r="11455">
      <c r="A11455" s="1" t="s">
        <v>8</v>
      </c>
      <c r="B11455" s="2">
        <v>44775.0</v>
      </c>
      <c r="C11455" s="3">
        <v>0.6992476851851852</v>
      </c>
      <c r="D11455" s="1">
        <v>12.885774</v>
      </c>
      <c r="E11455" s="1">
        <v>80.082711</v>
      </c>
      <c r="F11455" s="1">
        <v>805.0</v>
      </c>
      <c r="G11455" s="1">
        <v>31.0</v>
      </c>
    </row>
    <row r="11456">
      <c r="A11456" s="1" t="s">
        <v>7</v>
      </c>
      <c r="B11456" s="2">
        <v>44775.0</v>
      </c>
      <c r="C11456" s="3">
        <v>0.6992939814814815</v>
      </c>
      <c r="D11456" s="1">
        <v>12.837674</v>
      </c>
      <c r="E11456" s="1">
        <v>80.053285</v>
      </c>
      <c r="F11456" s="1">
        <v>2846.0</v>
      </c>
      <c r="G11456" s="1">
        <v>50.0</v>
      </c>
    </row>
    <row r="11457">
      <c r="A11457" s="1" t="s">
        <v>8</v>
      </c>
      <c r="B11457" s="2">
        <v>44775.0</v>
      </c>
      <c r="C11457" s="3">
        <v>0.6994675925925926</v>
      </c>
      <c r="D11457" s="1">
        <v>12.887542</v>
      </c>
      <c r="E11457" s="1">
        <v>80.083447</v>
      </c>
      <c r="F11457" s="1">
        <v>805.0</v>
      </c>
      <c r="G11457" s="1">
        <v>54.0</v>
      </c>
    </row>
    <row r="11458">
      <c r="A11458" s="1" t="s">
        <v>7</v>
      </c>
      <c r="B11458" s="2">
        <v>44775.0</v>
      </c>
      <c r="C11458" s="3">
        <v>0.6994907407407407</v>
      </c>
      <c r="D11458" s="1">
        <v>12.837674</v>
      </c>
      <c r="E11458" s="1">
        <v>80.053285</v>
      </c>
      <c r="F11458" s="1">
        <v>2846.0</v>
      </c>
      <c r="G11458" s="1">
        <v>50.0</v>
      </c>
    </row>
    <row r="11459">
      <c r="A11459" s="1" t="s">
        <v>8</v>
      </c>
      <c r="B11459" s="2">
        <v>44775.0</v>
      </c>
      <c r="C11459" s="3">
        <v>0.6999189814814815</v>
      </c>
      <c r="D11459" s="1">
        <v>12.8912</v>
      </c>
      <c r="E11459" s="1">
        <v>80.084984</v>
      </c>
      <c r="F11459" s="1">
        <v>805.0</v>
      </c>
      <c r="G11459" s="1">
        <v>52.0</v>
      </c>
    </row>
    <row r="11460">
      <c r="A11460" s="1" t="s">
        <v>8</v>
      </c>
      <c r="B11460" s="2">
        <v>44775.0</v>
      </c>
      <c r="C11460" s="3">
        <v>0.7000115740740741</v>
      </c>
      <c r="D11460" s="1">
        <v>12.919053</v>
      </c>
      <c r="E11460" s="1">
        <v>80.109816</v>
      </c>
      <c r="F11460" s="1">
        <v>5339.0</v>
      </c>
      <c r="G11460" s="1">
        <v>51.0</v>
      </c>
    </row>
    <row r="11461">
      <c r="A11461" s="1" t="s">
        <v>8</v>
      </c>
      <c r="B11461" s="2">
        <v>44775.0</v>
      </c>
      <c r="C11461" s="3">
        <v>0.7000462962962963</v>
      </c>
      <c r="D11461" s="1">
        <v>12.893067</v>
      </c>
      <c r="E11461" s="1">
        <v>80.086119</v>
      </c>
      <c r="F11461" s="1">
        <v>805.0</v>
      </c>
      <c r="G11461" s="1">
        <v>56.0</v>
      </c>
    </row>
    <row r="11462">
      <c r="A11462" s="1" t="s">
        <v>7</v>
      </c>
      <c r="B11462" s="2">
        <v>44775.0</v>
      </c>
      <c r="C11462" s="3">
        <v>0.7001157407407408</v>
      </c>
      <c r="D11462" s="1">
        <v>12.919883</v>
      </c>
      <c r="E11462" s="1">
        <v>80.110882</v>
      </c>
      <c r="F11462" s="1">
        <v>5339.0</v>
      </c>
      <c r="G11462" s="1">
        <v>52.0</v>
      </c>
    </row>
    <row r="11463">
      <c r="A11463" s="1" t="s">
        <v>8</v>
      </c>
      <c r="B11463" s="2">
        <v>44775.0</v>
      </c>
      <c r="C11463" s="3">
        <v>0.7001388888888889</v>
      </c>
      <c r="D11463" s="1">
        <v>12.894886</v>
      </c>
      <c r="E11463" s="1">
        <v>80.087456</v>
      </c>
      <c r="F11463" s="1">
        <v>805.0</v>
      </c>
      <c r="G11463" s="1">
        <v>59.0</v>
      </c>
    </row>
    <row r="11464">
      <c r="A11464" s="1" t="s">
        <v>8</v>
      </c>
      <c r="B11464" s="2">
        <v>44775.0</v>
      </c>
      <c r="C11464" s="3">
        <v>0.7001851851851851</v>
      </c>
      <c r="D11464" s="1">
        <v>12.92185</v>
      </c>
      <c r="E11464" s="1">
        <v>80.093537</v>
      </c>
      <c r="F11464" s="1">
        <v>3143.0</v>
      </c>
      <c r="G11464" s="1">
        <v>22.0</v>
      </c>
    </row>
    <row r="11465">
      <c r="A11465" s="1" t="s">
        <v>8</v>
      </c>
      <c r="B11465" s="2">
        <v>44775.0</v>
      </c>
      <c r="C11465" s="3">
        <v>0.7002199074074074</v>
      </c>
      <c r="D11465" s="1">
        <v>12.920778</v>
      </c>
      <c r="E11465" s="1">
        <v>80.111828</v>
      </c>
      <c r="F11465" s="1">
        <v>5339.0</v>
      </c>
      <c r="G11465" s="1">
        <v>49.0</v>
      </c>
    </row>
    <row r="11466">
      <c r="A11466" s="1" t="s">
        <v>7</v>
      </c>
      <c r="B11466" s="2">
        <v>44775.0</v>
      </c>
      <c r="C11466" s="3">
        <v>0.7003587962962963</v>
      </c>
      <c r="D11466" s="1">
        <v>12.921676</v>
      </c>
      <c r="E11466" s="1">
        <v>80.112741</v>
      </c>
      <c r="F11466" s="1">
        <v>5339.0</v>
      </c>
      <c r="G11466" s="1">
        <v>53.0</v>
      </c>
    </row>
    <row r="11467">
      <c r="A11467" s="1" t="s">
        <v>7</v>
      </c>
      <c r="B11467" s="2">
        <v>44775.0</v>
      </c>
      <c r="C11467" s="3">
        <v>0.7004050925925925</v>
      </c>
      <c r="D11467" s="1">
        <v>12.827584</v>
      </c>
      <c r="E11467" s="1">
        <v>80.042689</v>
      </c>
      <c r="F11467" s="1">
        <v>2846.0</v>
      </c>
      <c r="G11467" s="1">
        <v>57.0</v>
      </c>
    </row>
    <row r="11468">
      <c r="A11468" s="1" t="s">
        <v>8</v>
      </c>
      <c r="B11468" s="2">
        <v>44775.0</v>
      </c>
      <c r="C11468" s="3">
        <v>0.700462962962963</v>
      </c>
      <c r="D11468" s="1">
        <v>12.896752</v>
      </c>
      <c r="E11468" s="1">
        <v>80.088874</v>
      </c>
      <c r="F11468" s="1">
        <v>805.0</v>
      </c>
      <c r="G11468" s="1">
        <v>57.0</v>
      </c>
    </row>
    <row r="11469">
      <c r="A11469" s="1" t="s">
        <v>8</v>
      </c>
      <c r="B11469" s="2">
        <v>44775.0</v>
      </c>
      <c r="C11469" s="3">
        <v>0.7005208333333334</v>
      </c>
      <c r="D11469" s="1">
        <v>12.898565</v>
      </c>
      <c r="E11469" s="1">
        <v>80.090208</v>
      </c>
      <c r="F11469" s="1">
        <v>805.0</v>
      </c>
      <c r="G11469" s="1">
        <v>56.0</v>
      </c>
    </row>
    <row r="11470">
      <c r="A11470" s="1" t="s">
        <v>8</v>
      </c>
      <c r="B11470" s="2">
        <v>44775.0</v>
      </c>
      <c r="C11470" s="3">
        <v>0.7006712962962963</v>
      </c>
      <c r="D11470" s="1">
        <v>12.827584</v>
      </c>
      <c r="E11470" s="1">
        <v>80.042689</v>
      </c>
      <c r="F11470" s="1">
        <v>2846.0</v>
      </c>
      <c r="G11470" s="1">
        <v>57.0</v>
      </c>
    </row>
    <row r="11471">
      <c r="A11471" s="1" t="s">
        <v>8</v>
      </c>
      <c r="B11471" s="2">
        <v>44775.0</v>
      </c>
      <c r="C11471" s="3">
        <v>0.7008333333333333</v>
      </c>
      <c r="D11471" s="1">
        <v>12.823001</v>
      </c>
      <c r="E11471" s="1">
        <v>80.039043</v>
      </c>
      <c r="F11471" s="1">
        <v>2846.0</v>
      </c>
      <c r="G11471" s="1">
        <v>58.0</v>
      </c>
    </row>
    <row r="11472">
      <c r="A11472" s="1" t="s">
        <v>8</v>
      </c>
      <c r="B11472" s="2">
        <v>44775.0</v>
      </c>
      <c r="C11472" s="3">
        <v>0.7009027777777778</v>
      </c>
      <c r="D11472" s="1">
        <v>12.902201</v>
      </c>
      <c r="E11472" s="1">
        <v>80.092985</v>
      </c>
      <c r="F11472" s="1">
        <v>805.0</v>
      </c>
      <c r="G11472" s="1">
        <v>44.0</v>
      </c>
    </row>
    <row r="11473">
      <c r="A11473" s="1" t="s">
        <v>8</v>
      </c>
      <c r="B11473" s="2">
        <v>44775.0</v>
      </c>
      <c r="C11473" s="3">
        <v>0.7010069444444444</v>
      </c>
      <c r="D11473" s="1">
        <v>12.902201</v>
      </c>
      <c r="E11473" s="1">
        <v>80.092985</v>
      </c>
      <c r="F11473" s="1">
        <v>805.0</v>
      </c>
      <c r="G11473" s="1">
        <v>44.0</v>
      </c>
    </row>
    <row r="11474">
      <c r="A11474" s="1" t="s">
        <v>7</v>
      </c>
      <c r="B11474" s="2">
        <v>44775.0</v>
      </c>
      <c r="C11474" s="3">
        <v>0.7011805555555556</v>
      </c>
      <c r="D11474" s="1">
        <v>12.90366</v>
      </c>
      <c r="E11474" s="1">
        <v>80.094067</v>
      </c>
      <c r="F11474" s="1">
        <v>805.0</v>
      </c>
      <c r="G11474" s="1">
        <v>41.0</v>
      </c>
    </row>
    <row r="11475">
      <c r="A11475" s="1" t="s">
        <v>9</v>
      </c>
      <c r="B11475" s="2">
        <v>44775.0</v>
      </c>
      <c r="C11475" s="3">
        <v>0.7012037037037037</v>
      </c>
      <c r="D11475" s="1">
        <v>12.90366</v>
      </c>
      <c r="E11475" s="1">
        <v>80.094067</v>
      </c>
      <c r="F11475" s="1">
        <v>805.0</v>
      </c>
      <c r="G11475" s="1">
        <v>41.0</v>
      </c>
    </row>
    <row r="11476">
      <c r="A11476" s="1" t="s">
        <v>8</v>
      </c>
      <c r="B11476" s="2">
        <v>44775.0</v>
      </c>
      <c r="C11476" s="3">
        <v>0.7014583333333333</v>
      </c>
      <c r="D11476" s="1">
        <v>12.906862</v>
      </c>
      <c r="E11476" s="1">
        <v>80.096439</v>
      </c>
      <c r="F11476" s="1">
        <v>805.0</v>
      </c>
      <c r="G11476" s="1">
        <v>47.0</v>
      </c>
    </row>
    <row r="11477">
      <c r="A11477" s="1" t="s">
        <v>8</v>
      </c>
      <c r="B11477" s="2">
        <v>44775.0</v>
      </c>
      <c r="C11477" s="3">
        <v>0.7019328703703703</v>
      </c>
      <c r="D11477" s="1">
        <v>12.909476</v>
      </c>
      <c r="E11477" s="1">
        <v>80.099024</v>
      </c>
      <c r="F11477" s="1">
        <v>805.0</v>
      </c>
      <c r="G11477" s="1">
        <v>39.0</v>
      </c>
    </row>
    <row r="11478">
      <c r="A11478" s="1" t="s">
        <v>10</v>
      </c>
      <c r="B11478" s="2">
        <v>44775.0</v>
      </c>
      <c r="C11478" s="3">
        <v>0.7019560185185185</v>
      </c>
      <c r="D11478" s="1">
        <v>12.924909</v>
      </c>
      <c r="E11478" s="1">
        <v>80.099972</v>
      </c>
      <c r="F11478" s="1">
        <v>3143.0</v>
      </c>
      <c r="G11478" s="1">
        <v>9.0</v>
      </c>
    </row>
    <row r="11479">
      <c r="A11479" s="1" t="s">
        <v>7</v>
      </c>
      <c r="B11479" s="2">
        <v>44775.0</v>
      </c>
      <c r="C11479" s="3">
        <v>0.7024652777777778</v>
      </c>
      <c r="D11479" s="1">
        <v>12.912097</v>
      </c>
      <c r="E11479" s="1">
        <v>80.101375</v>
      </c>
      <c r="F11479" s="1">
        <v>805.0</v>
      </c>
      <c r="G11479" s="1">
        <v>30.0</v>
      </c>
    </row>
    <row r="11480">
      <c r="A11480" s="1" t="s">
        <v>8</v>
      </c>
      <c r="B11480" s="2">
        <v>44775.0</v>
      </c>
      <c r="C11480" s="3">
        <v>0.702662037037037</v>
      </c>
      <c r="D11480" s="1">
        <v>12.913726</v>
      </c>
      <c r="E11480" s="1">
        <v>80.101547</v>
      </c>
      <c r="F11480" s="1">
        <v>805.0</v>
      </c>
      <c r="G11480" s="1">
        <v>48.0</v>
      </c>
    </row>
    <row r="11481">
      <c r="A11481" s="1" t="s">
        <v>8</v>
      </c>
      <c r="B11481" s="2">
        <v>44775.0</v>
      </c>
      <c r="C11481" s="3">
        <v>0.7027430555555556</v>
      </c>
      <c r="D11481" s="1">
        <v>12.915572</v>
      </c>
      <c r="E11481" s="1">
        <v>80.102923</v>
      </c>
      <c r="F11481" s="1">
        <v>805.0</v>
      </c>
      <c r="G11481" s="1">
        <v>61.0</v>
      </c>
    </row>
    <row r="11482">
      <c r="A11482" s="1" t="s">
        <v>8</v>
      </c>
      <c r="B11482" s="2">
        <v>44775.0</v>
      </c>
      <c r="C11482" s="3">
        <v>0.7028356481481481</v>
      </c>
      <c r="D11482" s="1">
        <v>12.915572</v>
      </c>
      <c r="E11482" s="1">
        <v>80.102923</v>
      </c>
      <c r="F11482" s="1">
        <v>805.0</v>
      </c>
      <c r="G11482" s="1">
        <v>61.0</v>
      </c>
    </row>
    <row r="11483">
      <c r="A11483" s="1" t="s">
        <v>8</v>
      </c>
      <c r="B11483" s="2">
        <v>44775.0</v>
      </c>
      <c r="C11483" s="3">
        <v>0.7029861111111111</v>
      </c>
      <c r="D11483" s="1">
        <v>12.916028</v>
      </c>
      <c r="E11483" s="1">
        <v>80.105252</v>
      </c>
      <c r="F11483" s="1">
        <v>805.0</v>
      </c>
      <c r="G11483" s="1">
        <v>57.0</v>
      </c>
    </row>
    <row r="11484">
      <c r="A11484" s="1" t="s">
        <v>8</v>
      </c>
      <c r="B11484" s="2">
        <v>44775.0</v>
      </c>
      <c r="C11484" s="3">
        <v>0.7031481481481482</v>
      </c>
      <c r="D11484" s="1">
        <v>12.925568</v>
      </c>
      <c r="E11484" s="1">
        <v>80.10445</v>
      </c>
      <c r="F11484" s="1">
        <v>3143.0</v>
      </c>
      <c r="G11484" s="1">
        <v>10.0</v>
      </c>
    </row>
    <row r="11485">
      <c r="A11485" s="1" t="s">
        <v>8</v>
      </c>
      <c r="B11485" s="2">
        <v>44775.0</v>
      </c>
      <c r="C11485" s="3">
        <v>0.7033680555555556</v>
      </c>
      <c r="D11485" s="1">
        <v>12.933526</v>
      </c>
      <c r="E11485" s="1">
        <v>80.124668</v>
      </c>
      <c r="F11485" s="1">
        <v>5339.0</v>
      </c>
      <c r="G11485" s="1">
        <v>43.0</v>
      </c>
    </row>
    <row r="11486">
      <c r="A11486" s="1" t="s">
        <v>8</v>
      </c>
      <c r="B11486" s="2">
        <v>44775.0</v>
      </c>
      <c r="C11486" s="3">
        <v>0.7033796296296296</v>
      </c>
      <c r="D11486" s="1">
        <v>12.91784</v>
      </c>
      <c r="E11486" s="1">
        <v>80.108308</v>
      </c>
      <c r="F11486" s="1">
        <v>805.0</v>
      </c>
      <c r="G11486" s="1">
        <v>36.0</v>
      </c>
    </row>
    <row r="11487">
      <c r="A11487" s="1" t="s">
        <v>8</v>
      </c>
      <c r="B11487" s="2">
        <v>44775.0</v>
      </c>
      <c r="C11487" s="3">
        <v>0.703738425925926</v>
      </c>
      <c r="D11487" s="1">
        <v>12.91997</v>
      </c>
      <c r="E11487" s="1">
        <v>80.110951</v>
      </c>
      <c r="F11487" s="1">
        <v>805.0</v>
      </c>
      <c r="G11487" s="1">
        <v>46.0</v>
      </c>
    </row>
    <row r="11488">
      <c r="A11488" s="1" t="s">
        <v>8</v>
      </c>
      <c r="B11488" s="2">
        <v>44775.0</v>
      </c>
      <c r="C11488" s="3">
        <v>0.7037962962962963</v>
      </c>
      <c r="D11488" s="1">
        <v>12.91997</v>
      </c>
      <c r="E11488" s="1">
        <v>80.110951</v>
      </c>
      <c r="F11488" s="1">
        <v>805.0</v>
      </c>
      <c r="G11488" s="1">
        <v>46.0</v>
      </c>
    </row>
    <row r="11489">
      <c r="A11489" s="1" t="s">
        <v>7</v>
      </c>
      <c r="B11489" s="2">
        <v>44775.0</v>
      </c>
      <c r="C11489" s="3">
        <v>0.7041782407407408</v>
      </c>
      <c r="D11489" s="1">
        <v>12.793707</v>
      </c>
      <c r="E11489" s="1">
        <v>80.019379</v>
      </c>
      <c r="F11489" s="1">
        <v>2846.0</v>
      </c>
      <c r="G11489" s="1">
        <v>47.0</v>
      </c>
    </row>
    <row r="11490">
      <c r="A11490" s="1" t="s">
        <v>8</v>
      </c>
      <c r="B11490" s="2">
        <v>44775.0</v>
      </c>
      <c r="C11490" s="3">
        <v>0.7047106481481481</v>
      </c>
      <c r="D11490" s="1">
        <v>12.926421</v>
      </c>
      <c r="E11490" s="1">
        <v>80.117504</v>
      </c>
      <c r="F11490" s="1">
        <v>805.0</v>
      </c>
      <c r="G11490" s="1">
        <v>22.0</v>
      </c>
    </row>
    <row r="11491">
      <c r="A11491" s="1" t="s">
        <v>8</v>
      </c>
      <c r="B11491" s="2">
        <v>44775.0</v>
      </c>
      <c r="C11491" s="3">
        <v>0.705324074074074</v>
      </c>
      <c r="D11491" s="1">
        <v>12.781106</v>
      </c>
      <c r="E11491" s="1">
        <v>80.012291</v>
      </c>
      <c r="F11491" s="1">
        <v>2846.0</v>
      </c>
      <c r="G11491" s="1">
        <v>58.0</v>
      </c>
    </row>
    <row r="11492">
      <c r="A11492" s="1" t="s">
        <v>8</v>
      </c>
      <c r="B11492" s="2">
        <v>44775.0</v>
      </c>
      <c r="C11492" s="3">
        <v>0.705925925925926</v>
      </c>
      <c r="D11492" s="1">
        <v>12.946317</v>
      </c>
      <c r="E11492" s="1">
        <v>80.13633</v>
      </c>
      <c r="F11492" s="1">
        <v>5339.0</v>
      </c>
      <c r="G11492" s="1">
        <v>39.0</v>
      </c>
    </row>
    <row r="11493">
      <c r="A11493" s="1" t="s">
        <v>9</v>
      </c>
      <c r="B11493" s="2">
        <v>44775.0</v>
      </c>
      <c r="C11493" s="3">
        <v>0.7060069444444445</v>
      </c>
      <c r="D11493" s="1">
        <v>12.929868</v>
      </c>
      <c r="E11493" s="1">
        <v>80.113879</v>
      </c>
      <c r="F11493" s="1">
        <v>3143.0</v>
      </c>
      <c r="G11493" s="1">
        <v>24.0</v>
      </c>
    </row>
    <row r="11494">
      <c r="A11494" s="1" t="s">
        <v>8</v>
      </c>
      <c r="B11494" s="2">
        <v>44775.0</v>
      </c>
      <c r="C11494" s="3">
        <v>0.706099537037037</v>
      </c>
      <c r="D11494" s="1">
        <v>12.931245</v>
      </c>
      <c r="E11494" s="1">
        <v>80.122316</v>
      </c>
      <c r="F11494" s="1">
        <v>805.0</v>
      </c>
      <c r="G11494" s="1">
        <v>4.0</v>
      </c>
    </row>
    <row r="11495">
      <c r="A11495" s="1" t="s">
        <v>8</v>
      </c>
      <c r="B11495" s="2">
        <v>44775.0</v>
      </c>
      <c r="C11495" s="3">
        <v>0.7062037037037037</v>
      </c>
      <c r="D11495" s="1">
        <v>12.931245</v>
      </c>
      <c r="E11495" s="1">
        <v>80.122316</v>
      </c>
      <c r="F11495" s="1">
        <v>805.0</v>
      </c>
      <c r="G11495" s="1">
        <v>4.0</v>
      </c>
    </row>
    <row r="11496">
      <c r="A11496" s="1" t="s">
        <v>7</v>
      </c>
      <c r="B11496" s="2">
        <v>44775.0</v>
      </c>
      <c r="C11496" s="3">
        <v>0.7063078703703703</v>
      </c>
      <c r="D11496" s="1">
        <v>12.769164</v>
      </c>
      <c r="E11496" s="1">
        <v>80.006918</v>
      </c>
      <c r="F11496" s="1">
        <v>2846.0</v>
      </c>
      <c r="G11496" s="1">
        <v>57.0</v>
      </c>
    </row>
    <row r="11497">
      <c r="A11497" s="1" t="s">
        <v>8</v>
      </c>
      <c r="B11497" s="2">
        <v>44775.0</v>
      </c>
      <c r="C11497" s="3">
        <v>0.7063194444444445</v>
      </c>
      <c r="D11497" s="1">
        <v>12.93138</v>
      </c>
      <c r="E11497" s="1">
        <v>80.122436</v>
      </c>
      <c r="F11497" s="1">
        <v>805.0</v>
      </c>
      <c r="G11497" s="1">
        <v>19.0</v>
      </c>
    </row>
    <row r="11498">
      <c r="A11498" s="1" t="s">
        <v>8</v>
      </c>
      <c r="B11498" s="2">
        <v>44775.0</v>
      </c>
      <c r="C11498" s="3">
        <v>0.7065856481481482</v>
      </c>
      <c r="D11498" s="1">
        <v>12.950953</v>
      </c>
      <c r="E11498" s="1">
        <v>80.139865</v>
      </c>
      <c r="F11498" s="1">
        <v>5339.0</v>
      </c>
      <c r="G11498" s="1">
        <v>41.0</v>
      </c>
    </row>
    <row r="11499">
      <c r="A11499" s="1" t="s">
        <v>8</v>
      </c>
      <c r="B11499" s="2">
        <v>44775.0</v>
      </c>
      <c r="C11499" s="3">
        <v>0.7066319444444444</v>
      </c>
      <c r="D11499" s="1">
        <v>12.931962</v>
      </c>
      <c r="E11499" s="1">
        <v>80.123062</v>
      </c>
      <c r="F11499" s="1">
        <v>805.0</v>
      </c>
      <c r="G11499" s="1">
        <v>32.0</v>
      </c>
    </row>
    <row r="11500">
      <c r="A11500" s="1" t="s">
        <v>8</v>
      </c>
      <c r="B11500" s="2">
        <v>44775.0</v>
      </c>
      <c r="C11500" s="3">
        <v>0.7067129629629629</v>
      </c>
      <c r="D11500" s="1">
        <v>12.930441</v>
      </c>
      <c r="E11500" s="1">
        <v>80.118132</v>
      </c>
      <c r="F11500" s="1">
        <v>3143.0</v>
      </c>
      <c r="G11500" s="1">
        <v>35.0</v>
      </c>
    </row>
    <row r="11501">
      <c r="A11501" s="1" t="s">
        <v>8</v>
      </c>
      <c r="B11501" s="2">
        <v>44775.0</v>
      </c>
      <c r="C11501" s="3">
        <v>0.7068402777777778</v>
      </c>
      <c r="D11501" s="1">
        <v>12.952512</v>
      </c>
      <c r="E11501" s="1">
        <v>80.14106</v>
      </c>
      <c r="F11501" s="1">
        <v>5339.0</v>
      </c>
      <c r="G11501" s="1">
        <v>38.0</v>
      </c>
    </row>
    <row r="11502">
      <c r="A11502" s="1" t="s">
        <v>8</v>
      </c>
      <c r="B11502" s="2">
        <v>44775.0</v>
      </c>
      <c r="C11502" s="3">
        <v>0.7068865740740741</v>
      </c>
      <c r="D11502" s="1">
        <v>12.934337</v>
      </c>
      <c r="E11502" s="1">
        <v>80.125368</v>
      </c>
      <c r="F11502" s="1">
        <v>805.0</v>
      </c>
      <c r="G11502" s="1">
        <v>37.0</v>
      </c>
    </row>
    <row r="11503">
      <c r="A11503" s="1" t="s">
        <v>8</v>
      </c>
      <c r="B11503" s="2">
        <v>44775.0</v>
      </c>
      <c r="C11503" s="3">
        <v>0.7069791666666667</v>
      </c>
      <c r="D11503" s="1">
        <v>12.934337</v>
      </c>
      <c r="E11503" s="1">
        <v>80.125368</v>
      </c>
      <c r="F11503" s="1">
        <v>805.0</v>
      </c>
      <c r="G11503" s="1">
        <v>37.0</v>
      </c>
    </row>
    <row r="11504">
      <c r="A11504" s="1" t="s">
        <v>10</v>
      </c>
      <c r="B11504" s="2">
        <v>44775.0</v>
      </c>
      <c r="C11504" s="3">
        <v>0.7070833333333333</v>
      </c>
      <c r="D11504" s="1">
        <v>12.930078</v>
      </c>
      <c r="E11504" s="1">
        <v>80.121057</v>
      </c>
      <c r="F11504" s="1">
        <v>3143.0</v>
      </c>
      <c r="G11504" s="1">
        <v>12.0</v>
      </c>
    </row>
    <row r="11505">
      <c r="A11505" s="1" t="s">
        <v>8</v>
      </c>
      <c r="B11505" s="2">
        <v>44775.0</v>
      </c>
      <c r="C11505" s="3">
        <v>0.7072685185185185</v>
      </c>
      <c r="D11505" s="1">
        <v>12.936426</v>
      </c>
      <c r="E11505" s="1">
        <v>80.12719</v>
      </c>
      <c r="F11505" s="1">
        <v>805.0</v>
      </c>
      <c r="G11505" s="1">
        <v>30.0</v>
      </c>
    </row>
    <row r="11506">
      <c r="A11506" s="1" t="s">
        <v>8</v>
      </c>
      <c r="B11506" s="2">
        <v>44775.0</v>
      </c>
      <c r="C11506" s="3">
        <v>0.707488425925926</v>
      </c>
      <c r="D11506" s="1">
        <v>12.93748</v>
      </c>
      <c r="E11506" s="1">
        <v>80.128136</v>
      </c>
      <c r="F11506" s="1">
        <v>805.0</v>
      </c>
      <c r="G11506" s="1">
        <v>36.0</v>
      </c>
    </row>
    <row r="11507">
      <c r="A11507" s="1" t="s">
        <v>8</v>
      </c>
      <c r="B11507" s="2">
        <v>44775.0</v>
      </c>
      <c r="C11507" s="3">
        <v>0.7077662037037037</v>
      </c>
      <c r="D11507" s="1">
        <v>12.931245</v>
      </c>
      <c r="E11507" s="1">
        <v>80.122303</v>
      </c>
      <c r="F11507" s="1">
        <v>3143.0</v>
      </c>
      <c r="G11507" s="1">
        <v>10.0</v>
      </c>
    </row>
    <row r="11508">
      <c r="A11508" s="1" t="s">
        <v>8</v>
      </c>
      <c r="B11508" s="2">
        <v>44775.0</v>
      </c>
      <c r="C11508" s="3">
        <v>0.7080324074074074</v>
      </c>
      <c r="D11508" s="1">
        <v>12.932796</v>
      </c>
      <c r="E11508" s="1">
        <v>80.123924</v>
      </c>
      <c r="F11508" s="1">
        <v>3143.0</v>
      </c>
      <c r="G11508" s="1">
        <v>47.0</v>
      </c>
    </row>
    <row r="11509">
      <c r="A11509" s="1" t="s">
        <v>8</v>
      </c>
      <c r="B11509" s="2">
        <v>44775.0</v>
      </c>
      <c r="C11509" s="3">
        <v>0.7080787037037037</v>
      </c>
      <c r="D11509" s="1">
        <v>12.94157</v>
      </c>
      <c r="E11509" s="1">
        <v>80.132008</v>
      </c>
      <c r="F11509" s="1">
        <v>805.0</v>
      </c>
      <c r="G11509" s="1">
        <v>44.0</v>
      </c>
    </row>
    <row r="11510">
      <c r="A11510" s="1" t="s">
        <v>9</v>
      </c>
      <c r="B11510" s="2">
        <v>44775.0</v>
      </c>
      <c r="C11510" s="3">
        <v>0.7081828703703704</v>
      </c>
      <c r="D11510" s="1">
        <v>12.942417</v>
      </c>
      <c r="E11510" s="1">
        <v>80.132855</v>
      </c>
      <c r="F11510" s="1">
        <v>805.0</v>
      </c>
      <c r="G11510" s="1">
        <v>0.0</v>
      </c>
    </row>
    <row r="11511">
      <c r="A11511" s="1" t="s">
        <v>7</v>
      </c>
      <c r="B11511" s="2">
        <v>44775.0</v>
      </c>
      <c r="C11511" s="3">
        <v>0.7085532407407408</v>
      </c>
      <c r="D11511" s="1">
        <v>12.943165</v>
      </c>
      <c r="E11511" s="1">
        <v>80.133687</v>
      </c>
      <c r="F11511" s="1">
        <v>805.0</v>
      </c>
      <c r="G11511" s="1">
        <v>35.0</v>
      </c>
    </row>
    <row r="11512">
      <c r="A11512" s="1" t="s">
        <v>8</v>
      </c>
      <c r="B11512" s="2">
        <v>44775.0</v>
      </c>
      <c r="C11512" s="3">
        <v>0.7085763888888889</v>
      </c>
      <c r="D11512" s="1">
        <v>12.955934</v>
      </c>
      <c r="E11512" s="1">
        <v>80.143038</v>
      </c>
      <c r="F11512" s="1">
        <v>5339.0</v>
      </c>
      <c r="G11512" s="1">
        <v>11.0</v>
      </c>
    </row>
    <row r="11513">
      <c r="A11513" s="1" t="s">
        <v>8</v>
      </c>
      <c r="B11513" s="2">
        <v>44775.0</v>
      </c>
      <c r="C11513" s="3">
        <v>0.7087962962962963</v>
      </c>
      <c r="D11513" s="1">
        <v>12.93662</v>
      </c>
      <c r="E11513" s="1">
        <v>80.127437</v>
      </c>
      <c r="F11513" s="1">
        <v>3143.0</v>
      </c>
      <c r="G11513" s="1">
        <v>20.0</v>
      </c>
    </row>
    <row r="11514">
      <c r="A11514" s="1" t="s">
        <v>7</v>
      </c>
      <c r="B11514" s="2">
        <v>44775.0</v>
      </c>
      <c r="C11514" s="3">
        <v>0.7088310185185185</v>
      </c>
      <c r="D11514" s="1">
        <v>12.944405</v>
      </c>
      <c r="E11514" s="1">
        <v>80.134776</v>
      </c>
      <c r="F11514" s="1">
        <v>805.0</v>
      </c>
      <c r="G11514" s="1">
        <v>42.0</v>
      </c>
    </row>
    <row r="11515">
      <c r="A11515" s="1" t="s">
        <v>8</v>
      </c>
      <c r="B11515" s="2">
        <v>44775.0</v>
      </c>
      <c r="C11515" s="3">
        <v>0.7088310185185185</v>
      </c>
      <c r="D11515" s="1">
        <v>12.93662</v>
      </c>
      <c r="E11515" s="1">
        <v>80.127437</v>
      </c>
      <c r="F11515" s="1">
        <v>3143.0</v>
      </c>
      <c r="G11515" s="1">
        <v>20.0</v>
      </c>
    </row>
    <row r="11516">
      <c r="A11516" s="1" t="s">
        <v>8</v>
      </c>
      <c r="B11516" s="2">
        <v>44775.0</v>
      </c>
      <c r="C11516" s="3">
        <v>0.7088310185185185</v>
      </c>
      <c r="D11516" s="1">
        <v>12.93662</v>
      </c>
      <c r="E11516" s="1">
        <v>80.127437</v>
      </c>
      <c r="F11516" s="1">
        <v>3143.0</v>
      </c>
      <c r="G11516" s="1">
        <v>20.0</v>
      </c>
    </row>
    <row r="11517">
      <c r="A11517" s="1" t="s">
        <v>7</v>
      </c>
      <c r="B11517" s="2">
        <v>44775.0</v>
      </c>
      <c r="C11517" s="3">
        <v>0.7089351851851852</v>
      </c>
      <c r="D11517" s="1">
        <v>12.753903</v>
      </c>
      <c r="E11517" s="1">
        <v>80.000714</v>
      </c>
      <c r="F11517" s="1">
        <v>2846.0</v>
      </c>
      <c r="G11517" s="1">
        <v>57.0</v>
      </c>
    </row>
    <row r="11518">
      <c r="A11518" s="1" t="s">
        <v>7</v>
      </c>
      <c r="B11518" s="2">
        <v>44775.0</v>
      </c>
      <c r="C11518" s="3">
        <v>0.7089583333333334</v>
      </c>
      <c r="D11518" s="1">
        <v>12.946169</v>
      </c>
      <c r="E11518" s="1">
        <v>80.136168</v>
      </c>
      <c r="F11518" s="1">
        <v>805.0</v>
      </c>
      <c r="G11518" s="1">
        <v>59.0</v>
      </c>
    </row>
    <row r="11519">
      <c r="A11519" s="1" t="s">
        <v>8</v>
      </c>
      <c r="B11519" s="2">
        <v>44775.0</v>
      </c>
      <c r="C11519" s="3">
        <v>0.7091782407407408</v>
      </c>
      <c r="D11519" s="1">
        <v>12.948076</v>
      </c>
      <c r="E11519" s="1">
        <v>80.13753</v>
      </c>
      <c r="F11519" s="1">
        <v>805.0</v>
      </c>
      <c r="G11519" s="1">
        <v>57.0</v>
      </c>
    </row>
    <row r="11520">
      <c r="A11520" s="1" t="s">
        <v>8</v>
      </c>
      <c r="B11520" s="2">
        <v>44775.0</v>
      </c>
      <c r="C11520" s="3">
        <v>0.7092476851851852</v>
      </c>
      <c r="D11520" s="1">
        <v>12.938799</v>
      </c>
      <c r="E11520" s="1">
        <v>80.129314</v>
      </c>
      <c r="F11520" s="1">
        <v>3143.0</v>
      </c>
      <c r="G11520" s="1">
        <v>49.0</v>
      </c>
    </row>
    <row r="11521">
      <c r="A11521" s="1" t="s">
        <v>8</v>
      </c>
      <c r="B11521" s="2">
        <v>44775.0</v>
      </c>
      <c r="C11521" s="3">
        <v>0.7092939814814815</v>
      </c>
      <c r="D11521" s="1">
        <v>12.949923</v>
      </c>
      <c r="E11521" s="1">
        <v>80.138992</v>
      </c>
      <c r="F11521" s="1">
        <v>805.0</v>
      </c>
      <c r="G11521" s="1">
        <v>57.0</v>
      </c>
    </row>
    <row r="11522">
      <c r="A11522" s="1" t="s">
        <v>8</v>
      </c>
      <c r="B11522" s="2">
        <v>44775.0</v>
      </c>
      <c r="C11522" s="3">
        <v>0.7092939814814815</v>
      </c>
      <c r="D11522" s="1">
        <v>12.949923</v>
      </c>
      <c r="E11522" s="1">
        <v>80.138992</v>
      </c>
      <c r="F11522" s="1">
        <v>805.0</v>
      </c>
      <c r="G11522" s="1">
        <v>57.0</v>
      </c>
    </row>
    <row r="11523">
      <c r="A11523" s="1" t="s">
        <v>8</v>
      </c>
      <c r="B11523" s="2">
        <v>44775.0</v>
      </c>
      <c r="C11523" s="3">
        <v>0.7099305555555555</v>
      </c>
      <c r="D11523" s="1">
        <v>12.963058</v>
      </c>
      <c r="E11523" s="1">
        <v>80.146819</v>
      </c>
      <c r="F11523" s="1">
        <v>5339.0</v>
      </c>
      <c r="G11523" s="1">
        <v>32.0</v>
      </c>
    </row>
    <row r="11524">
      <c r="A11524" s="1" t="s">
        <v>10</v>
      </c>
      <c r="B11524" s="2">
        <v>44775.0</v>
      </c>
      <c r="C11524" s="3">
        <v>0.7099652777777777</v>
      </c>
      <c r="D11524" s="1">
        <v>12.742765</v>
      </c>
      <c r="E11524" s="1">
        <v>79.992274</v>
      </c>
      <c r="F11524" s="1">
        <v>2846.0</v>
      </c>
      <c r="G11524" s="1">
        <v>0.0</v>
      </c>
    </row>
    <row r="11525">
      <c r="A11525" s="1" t="s">
        <v>8</v>
      </c>
      <c r="B11525" s="2">
        <v>44775.0</v>
      </c>
      <c r="C11525" s="3">
        <v>0.7100578703703704</v>
      </c>
      <c r="D11525" s="1">
        <v>12.943455</v>
      </c>
      <c r="E11525" s="1">
        <v>80.13397</v>
      </c>
      <c r="F11525" s="1">
        <v>3143.0</v>
      </c>
      <c r="G11525" s="1">
        <v>36.0</v>
      </c>
    </row>
    <row r="11526">
      <c r="A11526" s="1" t="s">
        <v>8</v>
      </c>
      <c r="B11526" s="2">
        <v>44775.0</v>
      </c>
      <c r="C11526" s="3">
        <v>0.7101273148148148</v>
      </c>
      <c r="D11526" s="1">
        <v>12.742587</v>
      </c>
      <c r="E11526" s="1">
        <v>79.992112</v>
      </c>
      <c r="F11526" s="1">
        <v>2846.0</v>
      </c>
      <c r="G11526" s="1">
        <v>21.0</v>
      </c>
    </row>
    <row r="11527">
      <c r="A11527" s="1" t="s">
        <v>8</v>
      </c>
      <c r="B11527" s="2">
        <v>44775.0</v>
      </c>
      <c r="C11527" s="3">
        <v>0.7101620370370371</v>
      </c>
      <c r="D11527" s="1">
        <v>12.954999</v>
      </c>
      <c r="E11527" s="1">
        <v>80.14243</v>
      </c>
      <c r="F11527" s="1">
        <v>805.0</v>
      </c>
      <c r="G11527" s="1">
        <v>27.0</v>
      </c>
    </row>
    <row r="11528">
      <c r="A11528" s="1" t="s">
        <v>8</v>
      </c>
      <c r="B11528" s="2">
        <v>44775.0</v>
      </c>
      <c r="C11528" s="3">
        <v>0.7101851851851851</v>
      </c>
      <c r="D11528" s="1">
        <v>12.944417</v>
      </c>
      <c r="E11528" s="1">
        <v>80.134837</v>
      </c>
      <c r="F11528" s="1">
        <v>3143.0</v>
      </c>
      <c r="G11528" s="1">
        <v>40.0</v>
      </c>
    </row>
    <row r="11529">
      <c r="A11529" s="1" t="s">
        <v>9</v>
      </c>
      <c r="B11529" s="2">
        <v>44775.0</v>
      </c>
      <c r="C11529" s="3">
        <v>0.7102662037037037</v>
      </c>
      <c r="D11529" s="1">
        <v>12.944417</v>
      </c>
      <c r="E11529" s="1">
        <v>80.134837</v>
      </c>
      <c r="F11529" s="1">
        <v>3143.0</v>
      </c>
      <c r="G11529" s="1">
        <v>40.0</v>
      </c>
    </row>
    <row r="11530">
      <c r="A11530" s="1" t="s">
        <v>8</v>
      </c>
      <c r="B11530" s="2">
        <v>44775.0</v>
      </c>
      <c r="C11530" s="3">
        <v>0.7104398148148148</v>
      </c>
      <c r="D11530" s="1">
        <v>12.956071</v>
      </c>
      <c r="E11530" s="1">
        <v>80.143019</v>
      </c>
      <c r="F11530" s="1">
        <v>805.0</v>
      </c>
      <c r="G11530" s="1">
        <v>12.0</v>
      </c>
    </row>
    <row r="11531">
      <c r="A11531" s="1" t="s">
        <v>7</v>
      </c>
      <c r="B11531" s="2">
        <v>44775.0</v>
      </c>
      <c r="C11531" s="3">
        <v>0.710462962962963</v>
      </c>
      <c r="D11531" s="1">
        <v>12.742587</v>
      </c>
      <c r="E11531" s="1">
        <v>79.992112</v>
      </c>
      <c r="F11531" s="1">
        <v>2846.0</v>
      </c>
      <c r="G11531" s="1">
        <v>21.0</v>
      </c>
    </row>
    <row r="11532">
      <c r="A11532" s="1" t="s">
        <v>8</v>
      </c>
      <c r="B11532" s="2">
        <v>44775.0</v>
      </c>
      <c r="C11532" s="3">
        <v>0.7108333333333333</v>
      </c>
      <c r="D11532" s="1">
        <v>12.736069</v>
      </c>
      <c r="E11532" s="1">
        <v>79.987064</v>
      </c>
      <c r="F11532" s="1">
        <v>2846.0</v>
      </c>
      <c r="G11532" s="1">
        <v>57.0</v>
      </c>
    </row>
    <row r="11533">
      <c r="A11533" s="1" t="s">
        <v>7</v>
      </c>
      <c r="B11533" s="2">
        <v>44775.0</v>
      </c>
      <c r="C11533" s="3">
        <v>0.7114583333333333</v>
      </c>
      <c r="D11533" s="1">
        <v>12.731103</v>
      </c>
      <c r="E11533" s="1">
        <v>79.983088</v>
      </c>
      <c r="F11533" s="1">
        <v>2846.0</v>
      </c>
      <c r="G11533" s="1">
        <v>58.0</v>
      </c>
    </row>
    <row r="11534">
      <c r="A11534" s="1" t="s">
        <v>8</v>
      </c>
      <c r="B11534" s="2">
        <v>44775.0</v>
      </c>
      <c r="C11534" s="3">
        <v>0.7121296296296297</v>
      </c>
      <c r="D11534" s="1">
        <v>12.974357</v>
      </c>
      <c r="E11534" s="1">
        <v>80.154674</v>
      </c>
      <c r="F11534" s="1">
        <v>5339.0</v>
      </c>
      <c r="G11534" s="1">
        <v>49.0</v>
      </c>
    </row>
    <row r="11535">
      <c r="A11535" s="1" t="s">
        <v>8</v>
      </c>
      <c r="B11535" s="2">
        <v>44775.0</v>
      </c>
      <c r="C11535" s="3">
        <v>0.7121990740740741</v>
      </c>
      <c r="D11535" s="1">
        <v>12.953708</v>
      </c>
      <c r="E11535" s="1">
        <v>80.141801</v>
      </c>
      <c r="F11535" s="1">
        <v>3143.0</v>
      </c>
      <c r="G11535" s="1">
        <v>37.0</v>
      </c>
    </row>
    <row r="11536">
      <c r="A11536" s="1" t="s">
        <v>10</v>
      </c>
      <c r="B11536" s="2">
        <v>44775.0</v>
      </c>
      <c r="C11536" s="3">
        <v>0.7122222222222222</v>
      </c>
      <c r="D11536" s="1">
        <v>12.953708</v>
      </c>
      <c r="E11536" s="1">
        <v>80.141801</v>
      </c>
      <c r="F11536" s="1">
        <v>3143.0</v>
      </c>
      <c r="G11536" s="1">
        <v>37.0</v>
      </c>
    </row>
    <row r="11537">
      <c r="A11537" s="1" t="s">
        <v>8</v>
      </c>
      <c r="B11537" s="2">
        <v>44775.0</v>
      </c>
      <c r="C11537" s="3">
        <v>0.7126967592592592</v>
      </c>
      <c r="D11537" s="1">
        <v>12.962058</v>
      </c>
      <c r="E11537" s="1">
        <v>80.14619</v>
      </c>
      <c r="F11537" s="1">
        <v>805.0</v>
      </c>
      <c r="G11537" s="1">
        <v>31.0</v>
      </c>
    </row>
    <row r="11538">
      <c r="A11538" s="1" t="s">
        <v>8</v>
      </c>
      <c r="B11538" s="2">
        <v>44775.0</v>
      </c>
      <c r="C11538" s="3">
        <v>0.7129861111111111</v>
      </c>
      <c r="D11538" s="1">
        <v>12.965141</v>
      </c>
      <c r="E11538" s="1">
        <v>80.14795</v>
      </c>
      <c r="F11538" s="1">
        <v>805.0</v>
      </c>
      <c r="G11538" s="1">
        <v>44.0</v>
      </c>
    </row>
    <row r="11539">
      <c r="A11539" s="1" t="s">
        <v>8</v>
      </c>
      <c r="B11539" s="2">
        <v>44775.0</v>
      </c>
      <c r="C11539" s="3">
        <v>0.7132407407407407</v>
      </c>
      <c r="D11539" s="1">
        <v>12.980383</v>
      </c>
      <c r="E11539" s="1">
        <v>80.164476</v>
      </c>
      <c r="F11539" s="1">
        <v>5339.0</v>
      </c>
      <c r="G11539" s="1">
        <v>38.0</v>
      </c>
    </row>
    <row r="11540">
      <c r="A11540" s="1" t="s">
        <v>7</v>
      </c>
      <c r="B11540" s="2">
        <v>44775.0</v>
      </c>
      <c r="C11540" s="3">
        <v>0.7132523148148148</v>
      </c>
      <c r="D11540" s="1">
        <v>12.966857</v>
      </c>
      <c r="E11540" s="1">
        <v>80.148849</v>
      </c>
      <c r="F11540" s="1">
        <v>805.0</v>
      </c>
      <c r="G11540" s="1">
        <v>43.0</v>
      </c>
    </row>
    <row r="11541">
      <c r="A11541" s="1" t="s">
        <v>7</v>
      </c>
      <c r="B11541" s="2">
        <v>44775.0</v>
      </c>
      <c r="C11541" s="3">
        <v>0.7132523148148148</v>
      </c>
      <c r="D11541" s="1">
        <v>12.957068</v>
      </c>
      <c r="E11541" s="1">
        <v>80.143538</v>
      </c>
      <c r="F11541" s="1">
        <v>3143.0</v>
      </c>
      <c r="G11541" s="1">
        <v>24.0</v>
      </c>
    </row>
    <row r="11542">
      <c r="A11542" s="1" t="s">
        <v>7</v>
      </c>
      <c r="B11542" s="2">
        <v>44775.0</v>
      </c>
      <c r="C11542" s="3">
        <v>0.7135300925925926</v>
      </c>
      <c r="D11542" s="1">
        <v>12.97042</v>
      </c>
      <c r="E11542" s="1">
        <v>80.150505</v>
      </c>
      <c r="F11542" s="1">
        <v>805.0</v>
      </c>
      <c r="G11542" s="1">
        <v>57.0</v>
      </c>
    </row>
    <row r="11543">
      <c r="A11543" s="1" t="s">
        <v>8</v>
      </c>
      <c r="B11543" s="2">
        <v>44775.0</v>
      </c>
      <c r="C11543" s="3">
        <v>0.713599537037037</v>
      </c>
      <c r="D11543" s="1">
        <v>12.983763</v>
      </c>
      <c r="E11543" s="1">
        <v>80.170556</v>
      </c>
      <c r="F11543" s="1">
        <v>5339.0</v>
      </c>
      <c r="G11543" s="1">
        <v>43.0</v>
      </c>
    </row>
    <row r="11544">
      <c r="A11544" s="1" t="s">
        <v>8</v>
      </c>
      <c r="B11544" s="2">
        <v>44775.0</v>
      </c>
      <c r="C11544" s="3">
        <v>0.7136689814814815</v>
      </c>
      <c r="D11544" s="1">
        <v>12.97042</v>
      </c>
      <c r="E11544" s="1">
        <v>80.150505</v>
      </c>
      <c r="F11544" s="1">
        <v>805.0</v>
      </c>
      <c r="G11544" s="1">
        <v>57.0</v>
      </c>
    </row>
    <row r="11545">
      <c r="A11545" s="1" t="s">
        <v>8</v>
      </c>
      <c r="B11545" s="2">
        <v>44775.0</v>
      </c>
      <c r="C11545" s="3">
        <v>0.7137152777777778</v>
      </c>
      <c r="D11545" s="1">
        <v>12.972407</v>
      </c>
      <c r="E11545" s="1">
        <v>80.151742</v>
      </c>
      <c r="F11545" s="1">
        <v>805.0</v>
      </c>
      <c r="G11545" s="1">
        <v>58.0</v>
      </c>
    </row>
    <row r="11546">
      <c r="A11546" s="1" t="s">
        <v>7</v>
      </c>
      <c r="B11546" s="2">
        <v>44775.0</v>
      </c>
      <c r="C11546" s="3">
        <v>0.7138425925925926</v>
      </c>
      <c r="D11546" s="1">
        <v>12.707189</v>
      </c>
      <c r="E11546" s="1">
        <v>79.976336</v>
      </c>
      <c r="F11546" s="1">
        <v>2846.0</v>
      </c>
      <c r="G11546" s="1">
        <v>57.0</v>
      </c>
    </row>
    <row r="11547">
      <c r="A11547" s="1" t="s">
        <v>7</v>
      </c>
      <c r="B11547" s="2">
        <v>44775.0</v>
      </c>
      <c r="C11547" s="3">
        <v>0.7139583333333334</v>
      </c>
      <c r="D11547" s="1">
        <v>12.973747</v>
      </c>
      <c r="E11547" s="1">
        <v>80.153696</v>
      </c>
      <c r="F11547" s="1">
        <v>805.0</v>
      </c>
      <c r="G11547" s="1">
        <v>59.0</v>
      </c>
    </row>
    <row r="11548">
      <c r="A11548" s="1" t="s">
        <v>7</v>
      </c>
      <c r="B11548" s="2">
        <v>44775.0</v>
      </c>
      <c r="C11548" s="3">
        <v>0.7143518518518519</v>
      </c>
      <c r="D11548" s="1">
        <v>12.976265</v>
      </c>
      <c r="E11548" s="1">
        <v>80.157341</v>
      </c>
      <c r="F11548" s="1">
        <v>805.0</v>
      </c>
      <c r="G11548" s="1">
        <v>53.0</v>
      </c>
    </row>
    <row r="11549">
      <c r="A11549" s="1" t="s">
        <v>7</v>
      </c>
      <c r="B11549" s="2">
        <v>44775.0</v>
      </c>
      <c r="C11549" s="3">
        <v>0.7146412037037037</v>
      </c>
      <c r="D11549" s="1">
        <v>12.977511</v>
      </c>
      <c r="E11549" s="1">
        <v>80.159248</v>
      </c>
      <c r="F11549" s="1">
        <v>805.0</v>
      </c>
      <c r="G11549" s="1">
        <v>59.0</v>
      </c>
    </row>
    <row r="11550">
      <c r="A11550" s="1" t="s">
        <v>10</v>
      </c>
      <c r="B11550" s="2">
        <v>44775.0</v>
      </c>
      <c r="C11550" s="3">
        <v>0.7147222222222223</v>
      </c>
      <c r="D11550" s="1">
        <v>12.699842</v>
      </c>
      <c r="E11550" s="1">
        <v>79.968744</v>
      </c>
      <c r="F11550" s="1">
        <v>2846.0</v>
      </c>
      <c r="G11550" s="1">
        <v>10.0</v>
      </c>
    </row>
    <row r="11551">
      <c r="A11551" s="1" t="s">
        <v>8</v>
      </c>
      <c r="B11551" s="2">
        <v>44775.0</v>
      </c>
      <c r="C11551" s="3">
        <v>0.715</v>
      </c>
      <c r="D11551" s="1">
        <v>12.699645</v>
      </c>
      <c r="E11551" s="1">
        <v>79.968847</v>
      </c>
      <c r="F11551" s="1">
        <v>2846.0</v>
      </c>
      <c r="G11551" s="1">
        <v>11.0</v>
      </c>
    </row>
    <row r="11552">
      <c r="A11552" s="1" t="s">
        <v>7</v>
      </c>
      <c r="B11552" s="2">
        <v>44775.0</v>
      </c>
      <c r="C11552" s="3">
        <v>0.7150115740740741</v>
      </c>
      <c r="D11552" s="1">
        <v>12.980072</v>
      </c>
      <c r="E11552" s="1">
        <v>80.163252</v>
      </c>
      <c r="F11552" s="1">
        <v>805.0</v>
      </c>
      <c r="G11552" s="1">
        <v>55.0</v>
      </c>
    </row>
    <row r="11553">
      <c r="A11553" s="1" t="s">
        <v>8</v>
      </c>
      <c r="B11553" s="2">
        <v>44775.0</v>
      </c>
      <c r="C11553" s="3">
        <v>0.7150810185185185</v>
      </c>
      <c r="D11553" s="1">
        <v>12.960919</v>
      </c>
      <c r="E11553" s="1">
        <v>80.145644</v>
      </c>
      <c r="F11553" s="1">
        <v>3143.0</v>
      </c>
      <c r="G11553" s="1">
        <v>0.0</v>
      </c>
    </row>
    <row r="11554">
      <c r="A11554" s="1" t="s">
        <v>8</v>
      </c>
      <c r="B11554" s="2">
        <v>44775.0</v>
      </c>
      <c r="C11554" s="3">
        <v>0.7152893518518518</v>
      </c>
      <c r="D11554" s="1">
        <v>12.961734</v>
      </c>
      <c r="E11554" s="1">
        <v>80.146067</v>
      </c>
      <c r="F11554" s="1">
        <v>3143.0</v>
      </c>
      <c r="G11554" s="1">
        <v>37.0</v>
      </c>
    </row>
    <row r="11555">
      <c r="A11555" s="1" t="s">
        <v>8</v>
      </c>
      <c r="B11555" s="2">
        <v>44775.0</v>
      </c>
      <c r="C11555" s="3">
        <v>0.7157407407407408</v>
      </c>
      <c r="D11555" s="1">
        <v>12.98443</v>
      </c>
      <c r="E11555" s="1">
        <v>80.171658</v>
      </c>
      <c r="F11555" s="1">
        <v>805.0</v>
      </c>
      <c r="G11555" s="1">
        <v>57.0</v>
      </c>
    </row>
    <row r="11556">
      <c r="A11556" s="1" t="s">
        <v>8</v>
      </c>
      <c r="B11556" s="2">
        <v>44775.0</v>
      </c>
      <c r="C11556" s="3">
        <v>0.7157407407407408</v>
      </c>
      <c r="D11556" s="1">
        <v>12.98443</v>
      </c>
      <c r="E11556" s="1">
        <v>80.171658</v>
      </c>
      <c r="F11556" s="1">
        <v>805.0</v>
      </c>
      <c r="G11556" s="1">
        <v>57.0</v>
      </c>
    </row>
    <row r="11557">
      <c r="A11557" s="1" t="s">
        <v>8</v>
      </c>
      <c r="B11557" s="2">
        <v>44775.0</v>
      </c>
      <c r="C11557" s="3">
        <v>0.7157523148148148</v>
      </c>
      <c r="D11557" s="1">
        <v>12.98443</v>
      </c>
      <c r="E11557" s="1">
        <v>80.171658</v>
      </c>
      <c r="F11557" s="1">
        <v>805.0</v>
      </c>
      <c r="G11557" s="1">
        <v>57.0</v>
      </c>
    </row>
    <row r="11558">
      <c r="A11558" s="1" t="s">
        <v>8</v>
      </c>
      <c r="B11558" s="2">
        <v>44775.0</v>
      </c>
      <c r="C11558" s="3">
        <v>0.7158101851851851</v>
      </c>
      <c r="D11558" s="1">
        <v>12.991419</v>
      </c>
      <c r="E11558" s="1">
        <v>80.181335</v>
      </c>
      <c r="F11558" s="1">
        <v>5339.0</v>
      </c>
      <c r="G11558" s="1">
        <v>49.0</v>
      </c>
    </row>
    <row r="11559">
      <c r="A11559" s="1" t="s">
        <v>8</v>
      </c>
      <c r="B11559" s="2">
        <v>44775.0</v>
      </c>
      <c r="C11559" s="3">
        <v>0.7158333333333333</v>
      </c>
      <c r="D11559" s="1">
        <v>12.985687</v>
      </c>
      <c r="E11559" s="1">
        <v>80.173554</v>
      </c>
      <c r="F11559" s="1">
        <v>805.0</v>
      </c>
      <c r="G11559" s="1">
        <v>43.0</v>
      </c>
    </row>
    <row r="11560">
      <c r="A11560" s="1" t="s">
        <v>8</v>
      </c>
      <c r="B11560" s="2">
        <v>44775.0</v>
      </c>
      <c r="C11560" s="3">
        <v>0.7160069444444445</v>
      </c>
      <c r="D11560" s="1">
        <v>12.986376</v>
      </c>
      <c r="E11560" s="1">
        <v>80.174565</v>
      </c>
      <c r="F11560" s="1">
        <v>805.0</v>
      </c>
      <c r="G11560" s="1">
        <v>18.0</v>
      </c>
    </row>
    <row r="11561">
      <c r="A11561" s="1" t="s">
        <v>8</v>
      </c>
      <c r="B11561" s="2">
        <v>44775.0</v>
      </c>
      <c r="C11561" s="3">
        <v>0.716550925925926</v>
      </c>
      <c r="D11561" s="1">
        <v>12.988604</v>
      </c>
      <c r="E11561" s="1">
        <v>80.177651</v>
      </c>
      <c r="F11561" s="1">
        <v>805.0</v>
      </c>
      <c r="G11561" s="1">
        <v>38.0</v>
      </c>
    </row>
    <row r="11562">
      <c r="A11562" s="1" t="s">
        <v>7</v>
      </c>
      <c r="B11562" s="2">
        <v>44775.0</v>
      </c>
      <c r="C11562" s="3">
        <v>0.7167245370370371</v>
      </c>
      <c r="D11562" s="1">
        <v>12.989179</v>
      </c>
      <c r="E11562" s="1">
        <v>80.178362</v>
      </c>
      <c r="F11562" s="1">
        <v>805.0</v>
      </c>
      <c r="G11562" s="1">
        <v>5.0</v>
      </c>
    </row>
    <row r="11563">
      <c r="A11563" s="1" t="s">
        <v>8</v>
      </c>
      <c r="B11563" s="2">
        <v>44775.0</v>
      </c>
      <c r="C11563" s="3">
        <v>0.7167476851851852</v>
      </c>
      <c r="D11563" s="1">
        <v>12.989179</v>
      </c>
      <c r="E11563" s="1">
        <v>80.178362</v>
      </c>
      <c r="F11563" s="1">
        <v>805.0</v>
      </c>
      <c r="G11563" s="1">
        <v>5.0</v>
      </c>
    </row>
    <row r="11564">
      <c r="A11564" s="1" t="s">
        <v>8</v>
      </c>
      <c r="B11564" s="2">
        <v>44775.0</v>
      </c>
      <c r="C11564" s="3">
        <v>0.7179861111111111</v>
      </c>
      <c r="D11564" s="1">
        <v>12.993653</v>
      </c>
      <c r="E11564" s="1">
        <v>80.18484</v>
      </c>
      <c r="F11564" s="1">
        <v>805.0</v>
      </c>
      <c r="G11564" s="1">
        <v>0.0</v>
      </c>
    </row>
    <row r="11565">
      <c r="A11565" s="1" t="s">
        <v>8</v>
      </c>
      <c r="B11565" s="2">
        <v>44775.0</v>
      </c>
      <c r="C11565" s="3">
        <v>0.7186805555555555</v>
      </c>
      <c r="D11565" s="1">
        <v>12.995836</v>
      </c>
      <c r="E11565" s="1">
        <v>80.188995</v>
      </c>
      <c r="F11565" s="1">
        <v>805.0</v>
      </c>
      <c r="G11565" s="1">
        <v>0.0</v>
      </c>
    </row>
    <row r="11566">
      <c r="A11566" s="1" t="s">
        <v>8</v>
      </c>
      <c r="B11566" s="2">
        <v>44775.0</v>
      </c>
      <c r="C11566" s="3">
        <v>0.718761574074074</v>
      </c>
      <c r="D11566" s="1">
        <v>12.995836</v>
      </c>
      <c r="E11566" s="1">
        <v>80.188995</v>
      </c>
      <c r="F11566" s="1">
        <v>805.0</v>
      </c>
      <c r="G11566" s="1">
        <v>0.0</v>
      </c>
    </row>
    <row r="11567">
      <c r="A11567" s="1" t="s">
        <v>8</v>
      </c>
      <c r="B11567" s="2">
        <v>44775.0</v>
      </c>
      <c r="C11567" s="3">
        <v>0.7188078703703704</v>
      </c>
      <c r="D11567" s="1">
        <v>12.995836</v>
      </c>
      <c r="E11567" s="1">
        <v>80.188995</v>
      </c>
      <c r="F11567" s="1">
        <v>805.0</v>
      </c>
      <c r="G11567" s="1">
        <v>0.0</v>
      </c>
    </row>
    <row r="11568">
      <c r="A11568" s="1" t="s">
        <v>8</v>
      </c>
      <c r="B11568" s="2">
        <v>44775.0</v>
      </c>
      <c r="C11568" s="3">
        <v>0.7188541666666667</v>
      </c>
      <c r="D11568" s="1">
        <v>12.995836</v>
      </c>
      <c r="E11568" s="1">
        <v>80.188995</v>
      </c>
      <c r="F11568" s="1">
        <v>805.0</v>
      </c>
      <c r="G11568" s="1">
        <v>0.0</v>
      </c>
    </row>
    <row r="11569">
      <c r="A11569" s="1" t="s">
        <v>8</v>
      </c>
      <c r="B11569" s="2">
        <v>44775.0</v>
      </c>
      <c r="C11569" s="3">
        <v>0.7189236111111111</v>
      </c>
      <c r="D11569" s="1">
        <v>12.996431</v>
      </c>
      <c r="E11569" s="1">
        <v>80.189715</v>
      </c>
      <c r="F11569" s="1">
        <v>805.0</v>
      </c>
      <c r="G11569" s="1">
        <v>38.0</v>
      </c>
    </row>
    <row r="11570">
      <c r="A11570" s="1" t="s">
        <v>8</v>
      </c>
      <c r="B11570" s="2">
        <v>44775.0</v>
      </c>
      <c r="C11570" s="3">
        <v>0.7190393518518519</v>
      </c>
      <c r="D11570" s="1">
        <v>12.996431</v>
      </c>
      <c r="E11570" s="1">
        <v>80.189715</v>
      </c>
      <c r="F11570" s="1">
        <v>805.0</v>
      </c>
      <c r="G11570" s="1">
        <v>38.0</v>
      </c>
    </row>
    <row r="11571">
      <c r="A11571" s="1" t="s">
        <v>8</v>
      </c>
      <c r="B11571" s="2">
        <v>44775.0</v>
      </c>
      <c r="C11571" s="3">
        <v>0.7198958333333333</v>
      </c>
      <c r="D11571" s="1">
        <v>13.001172</v>
      </c>
      <c r="E11571" s="1">
        <v>80.195501</v>
      </c>
      <c r="F11571" s="1">
        <v>805.0</v>
      </c>
      <c r="G11571" s="1">
        <v>0.0</v>
      </c>
    </row>
    <row r="11572">
      <c r="A11572" s="1" t="s">
        <v>8</v>
      </c>
      <c r="B11572" s="2">
        <v>44775.0</v>
      </c>
      <c r="C11572" s="3">
        <v>0.7200694444444444</v>
      </c>
      <c r="D11572" s="1">
        <v>13.001213</v>
      </c>
      <c r="E11572" s="1">
        <v>80.195572</v>
      </c>
      <c r="F11572" s="1">
        <v>805.0</v>
      </c>
      <c r="G11572" s="1">
        <v>6.0</v>
      </c>
    </row>
    <row r="11573">
      <c r="A11573" s="1" t="s">
        <v>7</v>
      </c>
      <c r="B11573" s="2">
        <v>44775.0</v>
      </c>
      <c r="C11573" s="3">
        <v>0.7203125</v>
      </c>
      <c r="D11573" s="1">
        <v>13.001735</v>
      </c>
      <c r="E11573" s="1">
        <v>80.196233</v>
      </c>
      <c r="F11573" s="1">
        <v>805.0</v>
      </c>
      <c r="G11573" s="1">
        <v>24.0</v>
      </c>
    </row>
    <row r="11574">
      <c r="A11574" s="1" t="s">
        <v>8</v>
      </c>
      <c r="B11574" s="2">
        <v>44775.0</v>
      </c>
      <c r="C11574" s="3">
        <v>0.7204050925925926</v>
      </c>
      <c r="D11574" s="1">
        <v>13.001735</v>
      </c>
      <c r="E11574" s="1">
        <v>80.196233</v>
      </c>
      <c r="F11574" s="1">
        <v>805.0</v>
      </c>
      <c r="G11574" s="1">
        <v>24.0</v>
      </c>
    </row>
    <row r="11575">
      <c r="A11575" s="1" t="s">
        <v>8</v>
      </c>
      <c r="B11575" s="2">
        <v>44775.0</v>
      </c>
      <c r="C11575" s="3">
        <v>0.7206481481481481</v>
      </c>
      <c r="D11575" s="1">
        <v>13.001838</v>
      </c>
      <c r="E11575" s="1">
        <v>80.199573</v>
      </c>
      <c r="F11575" s="1">
        <v>805.0</v>
      </c>
      <c r="G11575" s="1">
        <v>48.0</v>
      </c>
    </row>
    <row r="11576">
      <c r="A11576" s="1" t="s">
        <v>8</v>
      </c>
      <c r="B11576" s="2">
        <v>44775.0</v>
      </c>
      <c r="C11576" s="3">
        <v>0.7206828703703704</v>
      </c>
      <c r="D11576" s="1">
        <v>13.007707</v>
      </c>
      <c r="E11576" s="1">
        <v>80.20614</v>
      </c>
      <c r="F11576" s="1">
        <v>5339.0</v>
      </c>
      <c r="G11576" s="1">
        <v>49.0</v>
      </c>
    </row>
    <row r="11577">
      <c r="A11577" s="1" t="s">
        <v>8</v>
      </c>
      <c r="B11577" s="2">
        <v>44775.0</v>
      </c>
      <c r="C11577" s="3">
        <v>0.7207407407407408</v>
      </c>
      <c r="D11577" s="1">
        <v>13.001838</v>
      </c>
      <c r="E11577" s="1">
        <v>80.199573</v>
      </c>
      <c r="F11577" s="1">
        <v>805.0</v>
      </c>
      <c r="G11577" s="1">
        <v>48.0</v>
      </c>
    </row>
    <row r="11578">
      <c r="A11578" s="1" t="s">
        <v>8</v>
      </c>
      <c r="B11578" s="2">
        <v>44775.0</v>
      </c>
      <c r="C11578" s="3">
        <v>0.7208449074074074</v>
      </c>
      <c r="D11578" s="1">
        <v>13.003525</v>
      </c>
      <c r="E11578" s="1">
        <v>80.200853</v>
      </c>
      <c r="F11578" s="1">
        <v>805.0</v>
      </c>
      <c r="G11578" s="1">
        <v>59.0</v>
      </c>
    </row>
    <row r="11579">
      <c r="A11579" s="1" t="s">
        <v>7</v>
      </c>
      <c r="B11579" s="2">
        <v>44775.0</v>
      </c>
      <c r="C11579" s="3">
        <v>0.7213425925925926</v>
      </c>
      <c r="D11579" s="1">
        <v>13.006771</v>
      </c>
      <c r="E11579" s="1">
        <v>80.20337</v>
      </c>
      <c r="F11579" s="1">
        <v>805.0</v>
      </c>
      <c r="G11579" s="1">
        <v>41.0</v>
      </c>
    </row>
    <row r="11580">
      <c r="A11580" s="1" t="s">
        <v>8</v>
      </c>
      <c r="B11580" s="2">
        <v>44775.0</v>
      </c>
      <c r="C11580" s="3">
        <v>0.7213773148148148</v>
      </c>
      <c r="D11580" s="1">
        <v>13.009313</v>
      </c>
      <c r="E11580" s="1">
        <v>80.212601</v>
      </c>
      <c r="F11580" s="1">
        <v>5339.0</v>
      </c>
      <c r="G11580" s="1">
        <v>35.0</v>
      </c>
    </row>
    <row r="11581">
      <c r="A11581" s="1" t="s">
        <v>8</v>
      </c>
      <c r="B11581" s="2">
        <v>44775.0</v>
      </c>
      <c r="C11581" s="3">
        <v>0.7218287037037037</v>
      </c>
      <c r="D11581" s="1">
        <v>13.010144</v>
      </c>
      <c r="E11581" s="1">
        <v>80.214798</v>
      </c>
      <c r="F11581" s="1">
        <v>5339.0</v>
      </c>
      <c r="G11581" s="1">
        <v>27.0</v>
      </c>
    </row>
    <row r="11582">
      <c r="A11582" s="1" t="s">
        <v>7</v>
      </c>
      <c r="B11582" s="2">
        <v>44775.0</v>
      </c>
      <c r="C11582" s="3">
        <v>0.7218402777777778</v>
      </c>
      <c r="D11582" s="1">
        <v>13.007674</v>
      </c>
      <c r="E11582" s="1">
        <v>80.205511</v>
      </c>
      <c r="F11582" s="1">
        <v>805.0</v>
      </c>
      <c r="G11582" s="1">
        <v>61.0</v>
      </c>
    </row>
    <row r="11583">
      <c r="A11583" s="1" t="s">
        <v>8</v>
      </c>
      <c r="B11583" s="2">
        <v>44775.0</v>
      </c>
      <c r="C11583" s="3">
        <v>0.7218634259259259</v>
      </c>
      <c r="D11583" s="1">
        <v>13.007674</v>
      </c>
      <c r="E11583" s="1">
        <v>80.205511</v>
      </c>
      <c r="F11583" s="1">
        <v>805.0</v>
      </c>
      <c r="G11583" s="1">
        <v>61.0</v>
      </c>
    </row>
    <row r="11584">
      <c r="A11584" s="1" t="s">
        <v>8</v>
      </c>
      <c r="B11584" s="2">
        <v>44775.0</v>
      </c>
      <c r="C11584" s="3">
        <v>0.7220601851851852</v>
      </c>
      <c r="D11584" s="1">
        <v>13.007976</v>
      </c>
      <c r="E11584" s="1">
        <v>80.207952</v>
      </c>
      <c r="F11584" s="1">
        <v>805.0</v>
      </c>
      <c r="G11584" s="1">
        <v>59.0</v>
      </c>
    </row>
    <row r="11585">
      <c r="A11585" s="1" t="s">
        <v>8</v>
      </c>
      <c r="B11585" s="2">
        <v>44775.0</v>
      </c>
      <c r="C11585" s="3">
        <v>0.7222337962962962</v>
      </c>
      <c r="D11585" s="1">
        <v>13.008353</v>
      </c>
      <c r="E11585" s="1">
        <v>80.209945</v>
      </c>
      <c r="F11585" s="1">
        <v>805.0</v>
      </c>
      <c r="G11585" s="1">
        <v>45.0</v>
      </c>
    </row>
    <row r="11586">
      <c r="A11586" s="1" t="s">
        <v>10</v>
      </c>
      <c r="B11586" s="2">
        <v>44775.0</v>
      </c>
      <c r="C11586" s="3">
        <v>0.7222800925925926</v>
      </c>
      <c r="D11586" s="1">
        <v>12.97431</v>
      </c>
      <c r="E11586" s="1">
        <v>80.135313</v>
      </c>
      <c r="F11586" s="1">
        <v>3143.0</v>
      </c>
      <c r="G11586" s="1">
        <v>8.0</v>
      </c>
    </row>
    <row r="11587">
      <c r="A11587" s="1" t="s">
        <v>8</v>
      </c>
      <c r="B11587" s="2">
        <v>44775.0</v>
      </c>
      <c r="C11587" s="3">
        <v>0.7223958333333333</v>
      </c>
      <c r="D11587" s="1">
        <v>13.0091</v>
      </c>
      <c r="E11587" s="1">
        <v>80.212014</v>
      </c>
      <c r="F11587" s="1">
        <v>805.0</v>
      </c>
      <c r="G11587" s="1">
        <v>59.0</v>
      </c>
    </row>
    <row r="11588">
      <c r="A11588" s="1" t="s">
        <v>8</v>
      </c>
      <c r="B11588" s="2">
        <v>44775.0</v>
      </c>
      <c r="C11588" s="3">
        <v>0.7225</v>
      </c>
      <c r="D11588" s="1">
        <v>13.009881</v>
      </c>
      <c r="E11588" s="1">
        <v>80.214001</v>
      </c>
      <c r="F11588" s="1">
        <v>805.0</v>
      </c>
      <c r="G11588" s="1">
        <v>49.0</v>
      </c>
    </row>
    <row r="11589">
      <c r="A11589" s="1" t="s">
        <v>9</v>
      </c>
      <c r="B11589" s="2">
        <v>44775.0</v>
      </c>
      <c r="C11589" s="3">
        <v>0.7225810185185185</v>
      </c>
      <c r="D11589" s="1">
        <v>13.009881</v>
      </c>
      <c r="E11589" s="1">
        <v>80.214001</v>
      </c>
      <c r="F11589" s="1">
        <v>805.0</v>
      </c>
      <c r="G11589" s="1">
        <v>49.0</v>
      </c>
    </row>
    <row r="11590">
      <c r="A11590" s="1" t="s">
        <v>10</v>
      </c>
      <c r="B11590" s="2">
        <v>44775.0</v>
      </c>
      <c r="C11590" s="3">
        <v>0.7226041666666667</v>
      </c>
      <c r="D11590" s="1">
        <v>12.974388</v>
      </c>
      <c r="E11590" s="1">
        <v>80.135237</v>
      </c>
      <c r="F11590" s="1">
        <v>3143.0</v>
      </c>
      <c r="G11590" s="1">
        <v>0.0</v>
      </c>
    </row>
    <row r="11591">
      <c r="A11591" s="1" t="s">
        <v>8</v>
      </c>
      <c r="B11591" s="2">
        <v>44775.0</v>
      </c>
      <c r="C11591" s="3">
        <v>0.7228125</v>
      </c>
      <c r="D11591" s="1">
        <v>13.010254</v>
      </c>
      <c r="E11591" s="1">
        <v>80.215494</v>
      </c>
      <c r="F11591" s="1">
        <v>805.0</v>
      </c>
      <c r="G11591" s="1">
        <v>35.0</v>
      </c>
    </row>
    <row r="11592">
      <c r="A11592" s="1" t="s">
        <v>10</v>
      </c>
      <c r="B11592" s="2">
        <v>44775.0</v>
      </c>
      <c r="C11592" s="3">
        <v>0.723275462962963</v>
      </c>
      <c r="D11592" s="1">
        <v>12.97708</v>
      </c>
      <c r="E11592" s="1">
        <v>80.135655</v>
      </c>
      <c r="F11592" s="1">
        <v>3143.0</v>
      </c>
      <c r="G11592" s="1">
        <v>30.0</v>
      </c>
    </row>
    <row r="11593">
      <c r="A11593" s="1" t="s">
        <v>8</v>
      </c>
      <c r="B11593" s="2">
        <v>44775.0</v>
      </c>
      <c r="C11593" s="3">
        <v>0.723287037037037</v>
      </c>
      <c r="D11593" s="1">
        <v>13.01177</v>
      </c>
      <c r="E11593" s="1">
        <v>80.219473</v>
      </c>
      <c r="F11593" s="1">
        <v>805.0</v>
      </c>
      <c r="G11593" s="1">
        <v>41.0</v>
      </c>
    </row>
    <row r="11594">
      <c r="A11594" s="1" t="s">
        <v>8</v>
      </c>
      <c r="B11594" s="2">
        <v>44775.0</v>
      </c>
      <c r="C11594" s="3">
        <v>0.723287037037037</v>
      </c>
      <c r="D11594" s="1">
        <v>13.01177</v>
      </c>
      <c r="E11594" s="1">
        <v>80.219473</v>
      </c>
      <c r="F11594" s="1">
        <v>805.0</v>
      </c>
      <c r="G11594" s="1">
        <v>41.0</v>
      </c>
    </row>
    <row r="11595">
      <c r="A11595" s="1" t="s">
        <v>8</v>
      </c>
      <c r="B11595" s="2">
        <v>44775.0</v>
      </c>
      <c r="C11595" s="3">
        <v>0.7233101851851852</v>
      </c>
      <c r="D11595" s="1">
        <v>13.01177</v>
      </c>
      <c r="E11595" s="1">
        <v>80.219473</v>
      </c>
      <c r="F11595" s="1">
        <v>805.0</v>
      </c>
      <c r="G11595" s="1">
        <v>41.0</v>
      </c>
    </row>
    <row r="11596">
      <c r="A11596" s="1" t="s">
        <v>8</v>
      </c>
      <c r="B11596" s="2">
        <v>44775.0</v>
      </c>
      <c r="C11596" s="3">
        <v>0.7233912037037037</v>
      </c>
      <c r="D11596" s="1">
        <v>13.012261</v>
      </c>
      <c r="E11596" s="1">
        <v>80.22092</v>
      </c>
      <c r="F11596" s="1">
        <v>805.0</v>
      </c>
      <c r="G11596" s="1">
        <v>22.0</v>
      </c>
    </row>
    <row r="11597">
      <c r="A11597" s="1" t="s">
        <v>8</v>
      </c>
      <c r="B11597" s="2">
        <v>44775.0</v>
      </c>
      <c r="C11597" s="3">
        <v>0.7234837962962963</v>
      </c>
      <c r="D11597" s="1">
        <v>13.012261</v>
      </c>
      <c r="E11597" s="1">
        <v>80.22092</v>
      </c>
      <c r="F11597" s="1">
        <v>805.0</v>
      </c>
      <c r="G11597" s="1">
        <v>22.0</v>
      </c>
    </row>
    <row r="11598">
      <c r="A11598" s="1" t="s">
        <v>8</v>
      </c>
      <c r="B11598" s="2">
        <v>44775.0</v>
      </c>
      <c r="C11598" s="3">
        <v>0.7235532407407408</v>
      </c>
      <c r="D11598" s="1">
        <v>13.012261</v>
      </c>
      <c r="E11598" s="1">
        <v>80.22092</v>
      </c>
      <c r="F11598" s="1">
        <v>805.0</v>
      </c>
      <c r="G11598" s="1">
        <v>22.0</v>
      </c>
    </row>
    <row r="11599">
      <c r="A11599" s="1" t="s">
        <v>10</v>
      </c>
      <c r="B11599" s="2">
        <v>44775.0</v>
      </c>
      <c r="C11599" s="3">
        <v>0.7235763888888889</v>
      </c>
      <c r="D11599" s="1">
        <v>13.014627</v>
      </c>
      <c r="E11599" s="1">
        <v>80.224068</v>
      </c>
      <c r="F11599" s="1">
        <v>5339.0</v>
      </c>
      <c r="G11599" s="1">
        <v>24.0</v>
      </c>
    </row>
    <row r="11600">
      <c r="A11600" s="1" t="s">
        <v>10</v>
      </c>
      <c r="B11600" s="2">
        <v>44775.0</v>
      </c>
      <c r="C11600" s="3">
        <v>0.7241319444444444</v>
      </c>
      <c r="D11600" s="1">
        <v>12.981769</v>
      </c>
      <c r="E11600" s="1">
        <v>80.138011</v>
      </c>
      <c r="F11600" s="1">
        <v>3143.0</v>
      </c>
      <c r="G11600" s="1">
        <v>24.0</v>
      </c>
    </row>
    <row r="11601">
      <c r="A11601" s="1" t="s">
        <v>8</v>
      </c>
      <c r="B11601" s="2">
        <v>44775.0</v>
      </c>
      <c r="C11601" s="3">
        <v>0.7241319444444444</v>
      </c>
      <c r="D11601" s="1">
        <v>13.013601</v>
      </c>
      <c r="E11601" s="1">
        <v>80.222988</v>
      </c>
      <c r="F11601" s="1">
        <v>805.0</v>
      </c>
      <c r="G11601" s="1">
        <v>42.0</v>
      </c>
    </row>
    <row r="11602">
      <c r="A11602" s="1" t="s">
        <v>8</v>
      </c>
      <c r="B11602" s="2">
        <v>44775.0</v>
      </c>
      <c r="C11602" s="3">
        <v>0.7242361111111111</v>
      </c>
      <c r="D11602" s="1">
        <v>13.014902</v>
      </c>
      <c r="E11602" s="1">
        <v>80.224534</v>
      </c>
      <c r="F11602" s="1">
        <v>805.0</v>
      </c>
      <c r="G11602" s="1">
        <v>42.0</v>
      </c>
    </row>
    <row r="11603">
      <c r="A11603" s="1" t="s">
        <v>8</v>
      </c>
      <c r="B11603" s="2">
        <v>44775.0</v>
      </c>
      <c r="C11603" s="3">
        <v>0.7243287037037037</v>
      </c>
      <c r="D11603" s="1">
        <v>13.01562</v>
      </c>
      <c r="E11603" s="1">
        <v>80.22514</v>
      </c>
      <c r="F11603" s="1">
        <v>5339.0</v>
      </c>
      <c r="G11603" s="1">
        <v>26.0</v>
      </c>
    </row>
    <row r="11604">
      <c r="A11604" s="1" t="s">
        <v>8</v>
      </c>
      <c r="B11604" s="2">
        <v>44775.0</v>
      </c>
      <c r="C11604" s="3">
        <v>0.7243518518518518</v>
      </c>
      <c r="D11604" s="1">
        <v>13.015408</v>
      </c>
      <c r="E11604" s="1">
        <v>80.225136</v>
      </c>
      <c r="F11604" s="1">
        <v>805.0</v>
      </c>
      <c r="G11604" s="1">
        <v>14.0</v>
      </c>
    </row>
    <row r="11605">
      <c r="A11605" s="1" t="s">
        <v>8</v>
      </c>
      <c r="B11605" s="2">
        <v>44775.0</v>
      </c>
      <c r="C11605" s="3">
        <v>0.7247800925925926</v>
      </c>
      <c r="D11605" s="1">
        <v>13.013874</v>
      </c>
      <c r="E11605" s="1">
        <v>80.226352</v>
      </c>
      <c r="F11605" s="1">
        <v>805.0</v>
      </c>
      <c r="G11605" s="1">
        <v>38.0</v>
      </c>
    </row>
    <row r="11606">
      <c r="A11606" s="1" t="s">
        <v>10</v>
      </c>
      <c r="B11606" s="2">
        <v>44775.0</v>
      </c>
      <c r="C11606" s="3">
        <v>0.7248611111111111</v>
      </c>
      <c r="D11606" s="1">
        <v>12.983764</v>
      </c>
      <c r="E11606" s="1">
        <v>80.140103</v>
      </c>
      <c r="F11606" s="1">
        <v>3143.0</v>
      </c>
      <c r="G11606" s="1">
        <v>10.0</v>
      </c>
    </row>
    <row r="11607">
      <c r="A11607" s="1" t="s">
        <v>10</v>
      </c>
      <c r="B11607" s="2">
        <v>44775.0</v>
      </c>
      <c r="C11607" s="3">
        <v>0.7249189814814815</v>
      </c>
      <c r="D11607" s="1">
        <v>12.983764</v>
      </c>
      <c r="E11607" s="1">
        <v>80.140103</v>
      </c>
      <c r="F11607" s="1">
        <v>3143.0</v>
      </c>
      <c r="G11607" s="1">
        <v>10.0</v>
      </c>
    </row>
    <row r="11608">
      <c r="A11608" s="1" t="s">
        <v>8</v>
      </c>
      <c r="B11608" s="2">
        <v>44775.0</v>
      </c>
      <c r="C11608" s="3">
        <v>0.7249768518518519</v>
      </c>
      <c r="D11608" s="1">
        <v>13.019849</v>
      </c>
      <c r="E11608" s="1">
        <v>80.224605</v>
      </c>
      <c r="F11608" s="1">
        <v>5339.0</v>
      </c>
      <c r="G11608" s="1">
        <v>21.0</v>
      </c>
    </row>
    <row r="11609">
      <c r="A11609" s="1" t="s">
        <v>8</v>
      </c>
      <c r="B11609" s="2">
        <v>44775.0</v>
      </c>
      <c r="C11609" s="3">
        <v>0.7249884259259259</v>
      </c>
      <c r="D11609" s="1">
        <v>13.019849</v>
      </c>
      <c r="E11609" s="1">
        <v>80.224605</v>
      </c>
      <c r="F11609" s="1">
        <v>5339.0</v>
      </c>
      <c r="G11609" s="1">
        <v>21.0</v>
      </c>
    </row>
    <row r="11610">
      <c r="A11610" s="1" t="s">
        <v>7</v>
      </c>
      <c r="B11610" s="2">
        <v>44775.0</v>
      </c>
      <c r="C11610" s="3">
        <v>0.7250578703703704</v>
      </c>
      <c r="D11610" s="1">
        <v>13.012742</v>
      </c>
      <c r="E11610" s="1">
        <v>80.226807</v>
      </c>
      <c r="F11610" s="1">
        <v>805.0</v>
      </c>
      <c r="G11610" s="1">
        <v>26.0</v>
      </c>
    </row>
    <row r="11611">
      <c r="A11611" s="1" t="s">
        <v>10</v>
      </c>
      <c r="B11611" s="2">
        <v>44775.0</v>
      </c>
      <c r="C11611" s="3">
        <v>0.7254861111111112</v>
      </c>
      <c r="D11611" s="1">
        <v>12.985244</v>
      </c>
      <c r="E11611" s="1">
        <v>80.141436</v>
      </c>
      <c r="F11611" s="1">
        <v>3143.0</v>
      </c>
      <c r="G11611" s="1">
        <v>12.0</v>
      </c>
    </row>
    <row r="11612">
      <c r="A11612" s="1" t="s">
        <v>8</v>
      </c>
      <c r="B11612" s="2">
        <v>44775.0</v>
      </c>
      <c r="C11612" s="3">
        <v>0.7255902777777777</v>
      </c>
      <c r="D11612" s="1">
        <v>13.023347</v>
      </c>
      <c r="E11612" s="1">
        <v>80.227367</v>
      </c>
      <c r="F11612" s="1">
        <v>5339.0</v>
      </c>
      <c r="G11612" s="1">
        <v>38.0</v>
      </c>
    </row>
    <row r="11613">
      <c r="A11613" s="1" t="s">
        <v>8</v>
      </c>
      <c r="B11613" s="2">
        <v>44775.0</v>
      </c>
      <c r="C11613" s="3">
        <v>0.726400462962963</v>
      </c>
      <c r="D11613" s="1">
        <v>13.024742</v>
      </c>
      <c r="E11613" s="1">
        <v>80.22903</v>
      </c>
      <c r="F11613" s="1">
        <v>5339.0</v>
      </c>
      <c r="G11613" s="1">
        <v>28.0</v>
      </c>
    </row>
    <row r="11614">
      <c r="A11614" s="1" t="s">
        <v>8</v>
      </c>
      <c r="B11614" s="2">
        <v>44775.0</v>
      </c>
      <c r="C11614" s="3">
        <v>0.7275</v>
      </c>
      <c r="D11614" s="1">
        <v>13.007013</v>
      </c>
      <c r="E11614" s="1">
        <v>80.239402</v>
      </c>
      <c r="F11614" s="1">
        <v>805.0</v>
      </c>
      <c r="G11614" s="1">
        <v>21.0</v>
      </c>
    </row>
    <row r="11615">
      <c r="A11615" s="1" t="s">
        <v>8</v>
      </c>
      <c r="B11615" s="2">
        <v>44775.0</v>
      </c>
      <c r="C11615" s="3">
        <v>0.7279282407407407</v>
      </c>
      <c r="D11615" s="1">
        <v>13.006702</v>
      </c>
      <c r="E11615" s="1">
        <v>80.241125</v>
      </c>
      <c r="F11615" s="1">
        <v>805.0</v>
      </c>
      <c r="G11615" s="1">
        <v>24.0</v>
      </c>
    </row>
    <row r="11616">
      <c r="A11616" s="1" t="s">
        <v>10</v>
      </c>
      <c r="B11616" s="2">
        <v>44775.0</v>
      </c>
      <c r="C11616" s="3">
        <v>0.7280324074074074</v>
      </c>
      <c r="D11616" s="1">
        <v>12.981619</v>
      </c>
      <c r="E11616" s="1">
        <v>80.139386</v>
      </c>
      <c r="F11616" s="1">
        <v>3143.0</v>
      </c>
      <c r="G11616" s="1">
        <v>0.0</v>
      </c>
    </row>
    <row r="11617">
      <c r="A11617" s="1" t="s">
        <v>8</v>
      </c>
      <c r="B11617" s="2">
        <v>44775.0</v>
      </c>
      <c r="C11617" s="3">
        <v>0.7280439814814815</v>
      </c>
      <c r="D11617" s="1">
        <v>13.027578</v>
      </c>
      <c r="E11617" s="1">
        <v>80.234602</v>
      </c>
      <c r="F11617" s="1">
        <v>5339.0</v>
      </c>
      <c r="G11617" s="1">
        <v>34.0</v>
      </c>
    </row>
    <row r="11618">
      <c r="A11618" s="1" t="s">
        <v>8</v>
      </c>
      <c r="B11618" s="2">
        <v>44775.0</v>
      </c>
      <c r="C11618" s="3">
        <v>0.7281134259259259</v>
      </c>
      <c r="D11618" s="1">
        <v>13.027578</v>
      </c>
      <c r="E11618" s="1">
        <v>80.234602</v>
      </c>
      <c r="F11618" s="1">
        <v>5339.0</v>
      </c>
      <c r="G11618" s="1">
        <v>34.0</v>
      </c>
    </row>
    <row r="11619">
      <c r="A11619" s="1" t="s">
        <v>8</v>
      </c>
      <c r="B11619" s="2">
        <v>44775.0</v>
      </c>
      <c r="C11619" s="3">
        <v>0.728275462962963</v>
      </c>
      <c r="D11619" s="1">
        <v>13.028664</v>
      </c>
      <c r="E11619" s="1">
        <v>80.23617</v>
      </c>
      <c r="F11619" s="1">
        <v>5339.0</v>
      </c>
      <c r="G11619" s="1">
        <v>46.0</v>
      </c>
    </row>
    <row r="11620">
      <c r="A11620" s="1" t="s">
        <v>10</v>
      </c>
      <c r="B11620" s="2">
        <v>44775.0</v>
      </c>
      <c r="C11620" s="3">
        <v>0.728738425925926</v>
      </c>
      <c r="D11620" s="1">
        <v>12.981704</v>
      </c>
      <c r="E11620" s="1">
        <v>80.13808</v>
      </c>
      <c r="F11620" s="1">
        <v>3143.0</v>
      </c>
      <c r="G11620" s="1">
        <v>27.0</v>
      </c>
    </row>
    <row r="11621">
      <c r="A11621" s="1" t="s">
        <v>8</v>
      </c>
      <c r="B11621" s="2">
        <v>44775.0</v>
      </c>
      <c r="C11621" s="3">
        <v>0.7288657407407407</v>
      </c>
      <c r="D11621" s="1">
        <v>13.030785</v>
      </c>
      <c r="E11621" s="1">
        <v>80.239096</v>
      </c>
      <c r="F11621" s="1">
        <v>5339.0</v>
      </c>
      <c r="G11621" s="1">
        <v>34.0</v>
      </c>
    </row>
    <row r="11622">
      <c r="A11622" s="1" t="s">
        <v>10</v>
      </c>
      <c r="B11622" s="2">
        <v>44775.0</v>
      </c>
      <c r="C11622" s="3">
        <v>0.7289930555555556</v>
      </c>
      <c r="D11622" s="1">
        <v>12.981769</v>
      </c>
      <c r="E11622" s="1">
        <v>80.13768</v>
      </c>
      <c r="F11622" s="1">
        <v>3143.0</v>
      </c>
      <c r="G11622" s="1">
        <v>0.0</v>
      </c>
    </row>
    <row r="11623">
      <c r="A11623" s="1" t="s">
        <v>10</v>
      </c>
      <c r="B11623" s="2">
        <v>44775.0</v>
      </c>
      <c r="C11623" s="3">
        <v>0.7293171296296296</v>
      </c>
      <c r="D11623" s="1">
        <v>12.981136</v>
      </c>
      <c r="E11623" s="1">
        <v>80.137302</v>
      </c>
      <c r="F11623" s="1">
        <v>3143.0</v>
      </c>
      <c r="G11623" s="1">
        <v>16.0</v>
      </c>
    </row>
    <row r="11624">
      <c r="A11624" s="1" t="s">
        <v>7</v>
      </c>
      <c r="B11624" s="2">
        <v>44775.0</v>
      </c>
      <c r="C11624" s="3">
        <v>0.729525462962963</v>
      </c>
      <c r="D11624" s="1">
        <v>13.006802</v>
      </c>
      <c r="E11624" s="1">
        <v>80.24716</v>
      </c>
      <c r="F11624" s="1">
        <v>805.0</v>
      </c>
      <c r="G11624" s="1">
        <v>25.0</v>
      </c>
    </row>
    <row r="11625">
      <c r="A11625" s="1" t="s">
        <v>8</v>
      </c>
      <c r="B11625" s="2">
        <v>44775.0</v>
      </c>
      <c r="C11625" s="3">
        <v>0.7298958333333333</v>
      </c>
      <c r="D11625" s="1">
        <v>12.62367</v>
      </c>
      <c r="E11625" s="1">
        <v>79.928463</v>
      </c>
      <c r="F11625" s="1">
        <v>2846.0</v>
      </c>
      <c r="G11625" s="1">
        <v>58.0</v>
      </c>
    </row>
    <row r="11626">
      <c r="A11626" s="1" t="s">
        <v>8</v>
      </c>
      <c r="B11626" s="2">
        <v>44775.0</v>
      </c>
      <c r="C11626" s="3">
        <v>0.7303703703703703</v>
      </c>
      <c r="D11626" s="1">
        <v>13.006816</v>
      </c>
      <c r="E11626" s="1">
        <v>80.251628</v>
      </c>
      <c r="F11626" s="1">
        <v>805.0</v>
      </c>
      <c r="G11626" s="1">
        <v>17.0</v>
      </c>
    </row>
    <row r="11627">
      <c r="A11627" s="1" t="s">
        <v>10</v>
      </c>
      <c r="B11627" s="2">
        <v>44775.0</v>
      </c>
      <c r="C11627" s="3">
        <v>0.7303935185185185</v>
      </c>
      <c r="D11627" s="1">
        <v>12.976427</v>
      </c>
      <c r="E11627" s="1">
        <v>80.135552</v>
      </c>
      <c r="F11627" s="1">
        <v>3143.0</v>
      </c>
      <c r="G11627" s="1">
        <v>13.0</v>
      </c>
    </row>
    <row r="11628">
      <c r="A11628" s="1" t="s">
        <v>7</v>
      </c>
      <c r="B11628" s="2">
        <v>44775.0</v>
      </c>
      <c r="C11628" s="3">
        <v>0.7309027777777778</v>
      </c>
      <c r="D11628" s="1">
        <v>12.611467</v>
      </c>
      <c r="E11628" s="1">
        <v>79.923623</v>
      </c>
      <c r="F11628" s="1">
        <v>2846.0</v>
      </c>
      <c r="G11628" s="1">
        <v>58.0</v>
      </c>
    </row>
    <row r="11629">
      <c r="A11629" s="1" t="s">
        <v>7</v>
      </c>
      <c r="B11629" s="2">
        <v>44775.0</v>
      </c>
      <c r="C11629" s="3">
        <v>0.7313425925925926</v>
      </c>
      <c r="D11629" s="1">
        <v>12.611467</v>
      </c>
      <c r="E11629" s="1">
        <v>79.923623</v>
      </c>
      <c r="F11629" s="1">
        <v>2846.0</v>
      </c>
      <c r="G11629" s="1">
        <v>58.0</v>
      </c>
    </row>
    <row r="11630">
      <c r="A11630" s="1" t="s">
        <v>8</v>
      </c>
      <c r="B11630" s="2">
        <v>44775.0</v>
      </c>
      <c r="C11630" s="3">
        <v>0.7319328703703704</v>
      </c>
      <c r="D11630" s="1">
        <v>13.007581</v>
      </c>
      <c r="E11630" s="1">
        <v>80.258696</v>
      </c>
      <c r="F11630" s="1">
        <v>805.0</v>
      </c>
      <c r="G11630" s="1">
        <v>0.0</v>
      </c>
    </row>
    <row r="11631">
      <c r="A11631" s="1" t="s">
        <v>8</v>
      </c>
      <c r="B11631" s="2">
        <v>44775.0</v>
      </c>
      <c r="C11631" s="3">
        <v>0.732037037037037</v>
      </c>
      <c r="D11631" s="1">
        <v>13.007732</v>
      </c>
      <c r="E11631" s="1">
        <v>80.258789</v>
      </c>
      <c r="F11631" s="1">
        <v>805.0</v>
      </c>
      <c r="G11631" s="1">
        <v>17.0</v>
      </c>
    </row>
    <row r="11632">
      <c r="A11632" s="1" t="s">
        <v>7</v>
      </c>
      <c r="B11632" s="2">
        <v>44775.0</v>
      </c>
      <c r="C11632" s="3">
        <v>0.7320949074074075</v>
      </c>
      <c r="D11632" s="1">
        <v>12.598448</v>
      </c>
      <c r="E11632" s="1">
        <v>79.91982</v>
      </c>
      <c r="F11632" s="1">
        <v>2846.0</v>
      </c>
      <c r="G11632" s="1">
        <v>58.0</v>
      </c>
    </row>
    <row r="11633">
      <c r="A11633" s="1" t="s">
        <v>7</v>
      </c>
      <c r="B11633" s="2">
        <v>44775.0</v>
      </c>
      <c r="C11633" s="3">
        <v>0.7321296296296296</v>
      </c>
      <c r="D11633" s="1">
        <v>13.007732</v>
      </c>
      <c r="E11633" s="1">
        <v>80.258789</v>
      </c>
      <c r="F11633" s="1">
        <v>805.0</v>
      </c>
      <c r="G11633" s="1">
        <v>17.0</v>
      </c>
    </row>
    <row r="11634">
      <c r="A11634" s="1" t="s">
        <v>10</v>
      </c>
      <c r="B11634" s="2">
        <v>44775.0</v>
      </c>
      <c r="C11634" s="3">
        <v>0.732199074074074</v>
      </c>
      <c r="D11634" s="1">
        <v>12.976434</v>
      </c>
      <c r="E11634" s="1">
        <v>80.132755</v>
      </c>
      <c r="F11634" s="1">
        <v>3143.0</v>
      </c>
      <c r="G11634" s="1">
        <v>23.0</v>
      </c>
    </row>
    <row r="11635">
      <c r="A11635" s="1" t="s">
        <v>8</v>
      </c>
      <c r="B11635" s="2">
        <v>44775.0</v>
      </c>
      <c r="C11635" s="3">
        <v>0.7323263888888889</v>
      </c>
      <c r="D11635" s="1">
        <v>13.009576</v>
      </c>
      <c r="E11635" s="1">
        <v>80.259088</v>
      </c>
      <c r="F11635" s="1">
        <v>805.0</v>
      </c>
      <c r="G11635" s="1">
        <v>38.0</v>
      </c>
    </row>
    <row r="11636">
      <c r="A11636" s="1" t="s">
        <v>9</v>
      </c>
      <c r="B11636" s="2">
        <v>44775.0</v>
      </c>
      <c r="C11636" s="3">
        <v>0.7326273148148148</v>
      </c>
      <c r="D11636" s="1">
        <v>13.011636</v>
      </c>
      <c r="E11636" s="1">
        <v>80.259112</v>
      </c>
      <c r="F11636" s="1">
        <v>805.0</v>
      </c>
      <c r="G11636" s="1">
        <v>55.0</v>
      </c>
    </row>
    <row r="11637">
      <c r="A11637" s="1" t="s">
        <v>7</v>
      </c>
      <c r="B11637" s="2">
        <v>44775.0</v>
      </c>
      <c r="C11637" s="3">
        <v>0.732662037037037</v>
      </c>
      <c r="D11637" s="1">
        <v>12.59126</v>
      </c>
      <c r="E11637" s="1">
        <v>79.919315</v>
      </c>
      <c r="F11637" s="1">
        <v>2846.0</v>
      </c>
      <c r="G11637" s="1">
        <v>58.0</v>
      </c>
    </row>
    <row r="11638">
      <c r="A11638" s="1" t="s">
        <v>7</v>
      </c>
      <c r="B11638" s="2">
        <v>44775.0</v>
      </c>
      <c r="C11638" s="3">
        <v>0.7328125</v>
      </c>
      <c r="D11638" s="1">
        <v>12.5898</v>
      </c>
      <c r="E11638" s="1">
        <v>79.919388</v>
      </c>
      <c r="F11638" s="1">
        <v>2846.0</v>
      </c>
      <c r="G11638" s="1">
        <v>58.0</v>
      </c>
    </row>
    <row r="11639">
      <c r="A11639" s="1" t="s">
        <v>8</v>
      </c>
      <c r="B11639" s="2">
        <v>44775.0</v>
      </c>
      <c r="C11639" s="3">
        <v>0.7328240740740741</v>
      </c>
      <c r="D11639" s="1">
        <v>13.01402</v>
      </c>
      <c r="E11639" s="1">
        <v>80.259194</v>
      </c>
      <c r="F11639" s="1">
        <v>805.0</v>
      </c>
      <c r="G11639" s="1">
        <v>58.0</v>
      </c>
    </row>
    <row r="11640">
      <c r="A11640" s="1" t="s">
        <v>10</v>
      </c>
      <c r="B11640" s="2">
        <v>44775.0</v>
      </c>
      <c r="C11640" s="3">
        <v>0.7330902777777778</v>
      </c>
      <c r="D11640" s="1">
        <v>12.979275</v>
      </c>
      <c r="E11640" s="1">
        <v>80.129411</v>
      </c>
      <c r="F11640" s="1">
        <v>3143.0</v>
      </c>
      <c r="G11640" s="1">
        <v>18.0</v>
      </c>
    </row>
    <row r="11641">
      <c r="A11641" s="1" t="s">
        <v>7</v>
      </c>
      <c r="B11641" s="2">
        <v>44775.0</v>
      </c>
      <c r="C11641" s="3">
        <v>0.7333564814814815</v>
      </c>
      <c r="D11641" s="1">
        <v>12.583949</v>
      </c>
      <c r="E11641" s="1">
        <v>79.919371</v>
      </c>
      <c r="F11641" s="1">
        <v>2846.0</v>
      </c>
      <c r="G11641" s="1">
        <v>58.0</v>
      </c>
    </row>
    <row r="11642">
      <c r="A11642" s="1" t="s">
        <v>7</v>
      </c>
      <c r="B11642" s="2">
        <v>44775.0</v>
      </c>
      <c r="C11642" s="3">
        <v>0.7334837962962963</v>
      </c>
      <c r="D11642" s="1">
        <v>12.583949</v>
      </c>
      <c r="E11642" s="1">
        <v>79.919371</v>
      </c>
      <c r="F11642" s="1">
        <v>2846.0</v>
      </c>
      <c r="G11642" s="1">
        <v>58.0</v>
      </c>
    </row>
    <row r="11643">
      <c r="A11643" s="1" t="s">
        <v>8</v>
      </c>
      <c r="B11643" s="2">
        <v>44775.0</v>
      </c>
      <c r="C11643" s="3">
        <v>0.7340509259259259</v>
      </c>
      <c r="D11643" s="1">
        <v>12.5758</v>
      </c>
      <c r="E11643" s="1">
        <v>79.917114</v>
      </c>
      <c r="F11643" s="1">
        <v>2846.0</v>
      </c>
      <c r="G11643" s="1">
        <v>58.0</v>
      </c>
    </row>
    <row r="11644">
      <c r="A11644" s="1" t="s">
        <v>10</v>
      </c>
      <c r="B11644" s="2">
        <v>44775.0</v>
      </c>
      <c r="C11644" s="3">
        <v>0.7342824074074074</v>
      </c>
      <c r="D11644" s="1">
        <v>12.981451</v>
      </c>
      <c r="E11644" s="1">
        <v>80.129244</v>
      </c>
      <c r="F11644" s="1">
        <v>3143.0</v>
      </c>
      <c r="G11644" s="1">
        <v>7.0</v>
      </c>
    </row>
    <row r="11645">
      <c r="A11645" s="1" t="s">
        <v>9</v>
      </c>
      <c r="B11645" s="2">
        <v>44775.0</v>
      </c>
      <c r="C11645" s="3">
        <v>0.7342939814814815</v>
      </c>
      <c r="D11645" s="1">
        <v>13.019924</v>
      </c>
      <c r="E11645" s="1">
        <v>80.262376</v>
      </c>
      <c r="F11645" s="1">
        <v>805.0</v>
      </c>
      <c r="G11645" s="1">
        <v>19.0</v>
      </c>
    </row>
    <row r="11646">
      <c r="A11646" s="1" t="s">
        <v>8</v>
      </c>
      <c r="B11646" s="2">
        <v>44775.0</v>
      </c>
      <c r="C11646" s="3">
        <v>0.7345486111111111</v>
      </c>
      <c r="D11646" s="1">
        <v>12.568733</v>
      </c>
      <c r="E11646" s="1">
        <v>79.915445</v>
      </c>
      <c r="F11646" s="1">
        <v>2846.0</v>
      </c>
      <c r="G11646" s="1">
        <v>57.0</v>
      </c>
    </row>
    <row r="11647">
      <c r="A11647" s="1" t="s">
        <v>7</v>
      </c>
      <c r="B11647" s="2">
        <v>44775.0</v>
      </c>
      <c r="C11647" s="3">
        <v>0.734849537037037</v>
      </c>
      <c r="D11647" s="1">
        <v>12.565075</v>
      </c>
      <c r="E11647" s="1">
        <v>79.914343</v>
      </c>
      <c r="F11647" s="1">
        <v>2846.0</v>
      </c>
      <c r="G11647" s="1">
        <v>51.0</v>
      </c>
    </row>
    <row r="11648">
      <c r="A11648" s="1" t="s">
        <v>7</v>
      </c>
      <c r="B11648" s="2">
        <v>44775.0</v>
      </c>
      <c r="C11648" s="3">
        <v>0.7366087962962963</v>
      </c>
      <c r="D11648" s="1">
        <v>12.544946</v>
      </c>
      <c r="E11648" s="1">
        <v>79.905306</v>
      </c>
      <c r="F11648" s="1">
        <v>2846.0</v>
      </c>
      <c r="G11648" s="1">
        <v>58.0</v>
      </c>
    </row>
    <row r="11649">
      <c r="A11649" s="1" t="s">
        <v>10</v>
      </c>
      <c r="B11649" s="2">
        <v>44775.0</v>
      </c>
      <c r="C11649" s="3">
        <v>0.7367013888888889</v>
      </c>
      <c r="D11649" s="1">
        <v>12.984733</v>
      </c>
      <c r="E11649" s="1">
        <v>80.123899</v>
      </c>
      <c r="F11649" s="1">
        <v>3143.0</v>
      </c>
      <c r="G11649" s="1">
        <v>16.0</v>
      </c>
    </row>
    <row r="11650">
      <c r="A11650" s="1" t="s">
        <v>9</v>
      </c>
      <c r="B11650" s="2">
        <v>44775.0</v>
      </c>
      <c r="C11650" s="3">
        <v>0.7368981481481481</v>
      </c>
      <c r="D11650" s="1">
        <v>12.984999</v>
      </c>
      <c r="E11650" s="1">
        <v>80.123421</v>
      </c>
      <c r="F11650" s="1">
        <v>3143.0</v>
      </c>
      <c r="G11650" s="1">
        <v>12.0</v>
      </c>
    </row>
    <row r="11651">
      <c r="A11651" s="1" t="s">
        <v>7</v>
      </c>
      <c r="B11651" s="2">
        <v>44775.0</v>
      </c>
      <c r="C11651" s="3">
        <v>0.7371180555555555</v>
      </c>
      <c r="D11651" s="1">
        <v>12.537852</v>
      </c>
      <c r="E11651" s="1">
        <v>79.903718</v>
      </c>
      <c r="F11651" s="1">
        <v>2846.0</v>
      </c>
      <c r="G11651" s="1">
        <v>58.0</v>
      </c>
    </row>
    <row r="11652">
      <c r="A11652" s="1" t="s">
        <v>7</v>
      </c>
      <c r="B11652" s="2">
        <v>44775.0</v>
      </c>
      <c r="C11652" s="3">
        <v>0.7373842592592592</v>
      </c>
      <c r="D11652" s="1">
        <v>12.537852</v>
      </c>
      <c r="E11652" s="1">
        <v>79.903718</v>
      </c>
      <c r="F11652" s="1">
        <v>2846.0</v>
      </c>
      <c r="G11652" s="1">
        <v>58.0</v>
      </c>
    </row>
    <row r="11653">
      <c r="A11653" s="1" t="s">
        <v>8</v>
      </c>
      <c r="B11653" s="2">
        <v>44775.0</v>
      </c>
      <c r="C11653" s="3">
        <v>0.7377083333333333</v>
      </c>
      <c r="D11653" s="1">
        <v>13.054792</v>
      </c>
      <c r="E11653" s="1">
        <v>80.254307</v>
      </c>
      <c r="F11653" s="1">
        <v>5339.0</v>
      </c>
      <c r="G11653" s="1">
        <v>34.0</v>
      </c>
    </row>
    <row r="11654">
      <c r="A11654" s="1" t="s">
        <v>8</v>
      </c>
      <c r="B11654" s="2">
        <v>44775.0</v>
      </c>
      <c r="C11654" s="3">
        <v>0.7379398148148149</v>
      </c>
      <c r="D11654" s="1">
        <v>13.056312</v>
      </c>
      <c r="E11654" s="1">
        <v>80.256341</v>
      </c>
      <c r="F11654" s="1">
        <v>5339.0</v>
      </c>
      <c r="G11654" s="1">
        <v>30.0</v>
      </c>
    </row>
    <row r="11655">
      <c r="A11655" s="1" t="s">
        <v>8</v>
      </c>
      <c r="B11655" s="2">
        <v>44775.0</v>
      </c>
      <c r="C11655" s="3">
        <v>0.7379513888888889</v>
      </c>
      <c r="D11655" s="1">
        <v>13.056312</v>
      </c>
      <c r="E11655" s="1">
        <v>80.256341</v>
      </c>
      <c r="F11655" s="1">
        <v>5339.0</v>
      </c>
      <c r="G11655" s="1">
        <v>30.0</v>
      </c>
    </row>
    <row r="11656">
      <c r="A11656" s="1" t="s">
        <v>8</v>
      </c>
      <c r="B11656" s="2">
        <v>44775.0</v>
      </c>
      <c r="C11656" s="3">
        <v>0.7385069444444444</v>
      </c>
      <c r="D11656" s="1">
        <v>13.029533</v>
      </c>
      <c r="E11656" s="1">
        <v>80.266559</v>
      </c>
      <c r="F11656" s="1">
        <v>805.0</v>
      </c>
      <c r="G11656" s="1">
        <v>20.0</v>
      </c>
    </row>
    <row r="11657">
      <c r="A11657" s="1" t="s">
        <v>8</v>
      </c>
      <c r="B11657" s="2">
        <v>44775.0</v>
      </c>
      <c r="C11657" s="3">
        <v>0.7385416666666667</v>
      </c>
      <c r="D11657" s="1">
        <v>12.98872</v>
      </c>
      <c r="E11657" s="1">
        <v>80.117623</v>
      </c>
      <c r="F11657" s="1">
        <v>3143.0</v>
      </c>
      <c r="G11657" s="1">
        <v>25.0</v>
      </c>
    </row>
    <row r="11658">
      <c r="A11658" s="1" t="s">
        <v>10</v>
      </c>
      <c r="B11658" s="2">
        <v>44775.0</v>
      </c>
      <c r="C11658" s="3">
        <v>0.7388310185185185</v>
      </c>
      <c r="D11658" s="1">
        <v>13.056595</v>
      </c>
      <c r="E11658" s="1">
        <v>80.257853</v>
      </c>
      <c r="F11658" s="1">
        <v>5339.0</v>
      </c>
      <c r="G11658" s="1">
        <v>13.0</v>
      </c>
    </row>
    <row r="11659">
      <c r="A11659" s="1" t="s">
        <v>10</v>
      </c>
      <c r="B11659" s="2">
        <v>44775.0</v>
      </c>
      <c r="C11659" s="3">
        <v>0.738912037037037</v>
      </c>
      <c r="D11659" s="1">
        <v>13.056278</v>
      </c>
      <c r="E11659" s="1">
        <v>80.257889</v>
      </c>
      <c r="F11659" s="1">
        <v>5339.0</v>
      </c>
      <c r="G11659" s="1">
        <v>18.0</v>
      </c>
    </row>
    <row r="11660">
      <c r="A11660" s="1" t="s">
        <v>9</v>
      </c>
      <c r="B11660" s="2">
        <v>44775.0</v>
      </c>
      <c r="C11660" s="3">
        <v>0.7392939814814815</v>
      </c>
      <c r="D11660" s="1">
        <v>12.992091</v>
      </c>
      <c r="E11660" s="1">
        <v>80.114919</v>
      </c>
      <c r="F11660" s="1">
        <v>3143.0</v>
      </c>
      <c r="G11660" s="1">
        <v>31.0</v>
      </c>
    </row>
    <row r="11661">
      <c r="A11661" s="1" t="s">
        <v>8</v>
      </c>
      <c r="B11661" s="2">
        <v>44775.0</v>
      </c>
      <c r="C11661" s="3">
        <v>0.7393402777777778</v>
      </c>
      <c r="D11661" s="1">
        <v>12.52031</v>
      </c>
      <c r="E11661" s="1">
        <v>79.893919</v>
      </c>
      <c r="F11661" s="1">
        <v>2846.0</v>
      </c>
      <c r="G11661" s="1">
        <v>57.0</v>
      </c>
    </row>
    <row r="11662">
      <c r="A11662" s="1" t="s">
        <v>7</v>
      </c>
      <c r="B11662" s="2">
        <v>44775.0</v>
      </c>
      <c r="C11662" s="3">
        <v>0.7397222222222222</v>
      </c>
      <c r="D11662" s="1">
        <v>12.522506</v>
      </c>
      <c r="E11662" s="1">
        <v>79.895898</v>
      </c>
      <c r="F11662" s="1">
        <v>2846.0</v>
      </c>
      <c r="G11662" s="1">
        <v>58.0</v>
      </c>
    </row>
    <row r="11663">
      <c r="A11663" s="1" t="s">
        <v>8</v>
      </c>
      <c r="B11663" s="2">
        <v>44775.0</v>
      </c>
      <c r="C11663" s="3">
        <v>0.7399768518518518</v>
      </c>
      <c r="D11663" s="1">
        <v>12.995747</v>
      </c>
      <c r="E11663" s="1">
        <v>80.110453</v>
      </c>
      <c r="F11663" s="1">
        <v>3143.0</v>
      </c>
      <c r="G11663" s="1">
        <v>43.0</v>
      </c>
    </row>
    <row r="11664">
      <c r="A11664" s="1" t="s">
        <v>10</v>
      </c>
      <c r="B11664" s="2">
        <v>44775.0</v>
      </c>
      <c r="C11664" s="3">
        <v>0.7416666666666667</v>
      </c>
      <c r="D11664" s="1">
        <v>12.99795</v>
      </c>
      <c r="E11664" s="1">
        <v>80.100683</v>
      </c>
      <c r="F11664" s="1">
        <v>3143.0</v>
      </c>
      <c r="G11664" s="1">
        <v>5.0</v>
      </c>
    </row>
    <row r="11665">
      <c r="A11665" s="1" t="s">
        <v>10</v>
      </c>
      <c r="B11665" s="2">
        <v>44775.0</v>
      </c>
      <c r="C11665" s="3">
        <v>0.742037037037037</v>
      </c>
      <c r="D11665" s="1">
        <v>13.053275</v>
      </c>
      <c r="E11665" s="1">
        <v>80.270344</v>
      </c>
      <c r="F11665" s="1">
        <v>5339.0</v>
      </c>
      <c r="G11665" s="1">
        <v>21.0</v>
      </c>
    </row>
    <row r="11666">
      <c r="A11666" s="1" t="s">
        <v>8</v>
      </c>
      <c r="B11666" s="2">
        <v>44775.0</v>
      </c>
      <c r="C11666" s="3">
        <v>0.7420601851851852</v>
      </c>
      <c r="D11666" s="1">
        <v>13.036681</v>
      </c>
      <c r="E11666" s="1">
        <v>80.267572</v>
      </c>
      <c r="F11666" s="1">
        <v>805.0</v>
      </c>
      <c r="G11666" s="1">
        <v>9.0</v>
      </c>
    </row>
    <row r="11667">
      <c r="A11667" s="1" t="s">
        <v>8</v>
      </c>
      <c r="B11667" s="2">
        <v>44775.0</v>
      </c>
      <c r="C11667" s="3">
        <v>0.7420717592592593</v>
      </c>
      <c r="D11667" s="1">
        <v>13.036681</v>
      </c>
      <c r="E11667" s="1">
        <v>80.267572</v>
      </c>
      <c r="F11667" s="1">
        <v>805.0</v>
      </c>
      <c r="G11667" s="1">
        <v>9.0</v>
      </c>
    </row>
    <row r="11668">
      <c r="A11668" s="1" t="s">
        <v>8</v>
      </c>
      <c r="B11668" s="2">
        <v>44775.0</v>
      </c>
      <c r="C11668" s="3">
        <v>0.7420717592592593</v>
      </c>
      <c r="D11668" s="1">
        <v>13.036681</v>
      </c>
      <c r="E11668" s="1">
        <v>80.267572</v>
      </c>
      <c r="F11668" s="1">
        <v>805.0</v>
      </c>
      <c r="G11668" s="1">
        <v>9.0</v>
      </c>
    </row>
    <row r="11669">
      <c r="A11669" s="1" t="s">
        <v>10</v>
      </c>
      <c r="B11669" s="2">
        <v>44775.0</v>
      </c>
      <c r="C11669" s="3">
        <v>0.742175925925926</v>
      </c>
      <c r="D11669" s="1">
        <v>13.053239</v>
      </c>
      <c r="E11669" s="1">
        <v>80.270755</v>
      </c>
      <c r="F11669" s="1">
        <v>5339.0</v>
      </c>
      <c r="G11669" s="1">
        <v>0.0</v>
      </c>
    </row>
    <row r="11670">
      <c r="A11670" s="1" t="s">
        <v>10</v>
      </c>
      <c r="B11670" s="2">
        <v>44775.0</v>
      </c>
      <c r="C11670" s="3">
        <v>0.742199074074074</v>
      </c>
      <c r="D11670" s="1">
        <v>13.037406</v>
      </c>
      <c r="E11670" s="1">
        <v>80.267574</v>
      </c>
      <c r="F11670" s="1">
        <v>805.0</v>
      </c>
      <c r="G11670" s="1">
        <v>22.0</v>
      </c>
    </row>
    <row r="11671">
      <c r="A11671" s="1" t="s">
        <v>10</v>
      </c>
      <c r="B11671" s="2">
        <v>44775.0</v>
      </c>
      <c r="C11671" s="3">
        <v>0.7422685185185185</v>
      </c>
      <c r="D11671" s="1">
        <v>12.997822</v>
      </c>
      <c r="E11671" s="1">
        <v>80.097867</v>
      </c>
      <c r="F11671" s="1">
        <v>3143.0</v>
      </c>
      <c r="G11671" s="1">
        <v>19.0</v>
      </c>
    </row>
    <row r="11672">
      <c r="A11672" s="1" t="s">
        <v>10</v>
      </c>
      <c r="B11672" s="2">
        <v>44775.0</v>
      </c>
      <c r="C11672" s="3">
        <v>0.7423032407407407</v>
      </c>
      <c r="D11672" s="1">
        <v>13.053208</v>
      </c>
      <c r="E11672" s="1">
        <v>80.270954</v>
      </c>
      <c r="F11672" s="1">
        <v>5339.0</v>
      </c>
      <c r="G11672" s="1">
        <v>16.0</v>
      </c>
    </row>
    <row r="11673">
      <c r="A11673" s="1" t="s">
        <v>10</v>
      </c>
      <c r="B11673" s="2">
        <v>44775.0</v>
      </c>
      <c r="C11673" s="3">
        <v>0.7423263888888889</v>
      </c>
      <c r="D11673" s="1">
        <v>13.037406</v>
      </c>
      <c r="E11673" s="1">
        <v>80.267574</v>
      </c>
      <c r="F11673" s="1">
        <v>805.0</v>
      </c>
      <c r="G11673" s="1">
        <v>22.0</v>
      </c>
    </row>
    <row r="11674">
      <c r="A11674" s="1" t="s">
        <v>10</v>
      </c>
      <c r="B11674" s="2">
        <v>44775.0</v>
      </c>
      <c r="C11674" s="3">
        <v>0.7423611111111111</v>
      </c>
      <c r="D11674" s="1">
        <v>13.037406</v>
      </c>
      <c r="E11674" s="1">
        <v>80.267574</v>
      </c>
      <c r="F11674" s="1">
        <v>805.0</v>
      </c>
      <c r="G11674" s="1">
        <v>22.0</v>
      </c>
    </row>
    <row r="11675">
      <c r="A11675" s="1" t="s">
        <v>10</v>
      </c>
      <c r="B11675" s="2">
        <v>44775.0</v>
      </c>
      <c r="C11675" s="3">
        <v>0.7424537037037037</v>
      </c>
      <c r="D11675" s="1">
        <v>12.998152</v>
      </c>
      <c r="E11675" s="1">
        <v>80.097012</v>
      </c>
      <c r="F11675" s="1">
        <v>3143.0</v>
      </c>
      <c r="G11675" s="1">
        <v>23.0</v>
      </c>
    </row>
    <row r="11676">
      <c r="A11676" s="1" t="s">
        <v>10</v>
      </c>
      <c r="B11676" s="2">
        <v>44775.0</v>
      </c>
      <c r="C11676" s="3">
        <v>0.7426388888888888</v>
      </c>
      <c r="D11676" s="1">
        <v>13.038534</v>
      </c>
      <c r="E11676" s="1">
        <v>80.267644</v>
      </c>
      <c r="F11676" s="1">
        <v>805.0</v>
      </c>
      <c r="G11676" s="1">
        <v>23.0</v>
      </c>
    </row>
    <row r="11677">
      <c r="A11677" s="1" t="s">
        <v>10</v>
      </c>
      <c r="B11677" s="2">
        <v>44775.0</v>
      </c>
      <c r="C11677" s="3">
        <v>0.742662037037037</v>
      </c>
      <c r="D11677" s="1">
        <v>12.998238</v>
      </c>
      <c r="E11677" s="1">
        <v>80.096634</v>
      </c>
      <c r="F11677" s="1">
        <v>3143.0</v>
      </c>
      <c r="G11677" s="1">
        <v>0.0</v>
      </c>
    </row>
    <row r="11678">
      <c r="A11678" s="1" t="s">
        <v>10</v>
      </c>
      <c r="B11678" s="2">
        <v>44775.0</v>
      </c>
      <c r="C11678" s="3">
        <v>0.7428935185185185</v>
      </c>
      <c r="D11678" s="1">
        <v>13.05296</v>
      </c>
      <c r="E11678" s="1">
        <v>80.272702</v>
      </c>
      <c r="F11678" s="1">
        <v>5339.0</v>
      </c>
      <c r="G11678" s="1">
        <v>0.0</v>
      </c>
    </row>
    <row r="11679">
      <c r="A11679" s="1" t="s">
        <v>10</v>
      </c>
      <c r="B11679" s="2">
        <v>44775.0</v>
      </c>
      <c r="C11679" s="3">
        <v>0.7430555555555556</v>
      </c>
      <c r="D11679" s="1">
        <v>13.052946</v>
      </c>
      <c r="E11679" s="1">
        <v>80.272792</v>
      </c>
      <c r="F11679" s="1">
        <v>5339.0</v>
      </c>
      <c r="G11679" s="1">
        <v>10.0</v>
      </c>
    </row>
    <row r="11680">
      <c r="A11680" s="1" t="s">
        <v>10</v>
      </c>
      <c r="B11680" s="2">
        <v>44775.0</v>
      </c>
      <c r="C11680" s="3">
        <v>0.7435763888888889</v>
      </c>
      <c r="D11680" s="1">
        <v>13.052813</v>
      </c>
      <c r="E11680" s="1">
        <v>80.273599</v>
      </c>
      <c r="F11680" s="1">
        <v>5339.0</v>
      </c>
      <c r="G11680" s="1">
        <v>7.0</v>
      </c>
    </row>
    <row r="11681">
      <c r="A11681" s="1" t="s">
        <v>10</v>
      </c>
      <c r="B11681" s="2">
        <v>44775.0</v>
      </c>
      <c r="C11681" s="3">
        <v>0.74375</v>
      </c>
      <c r="D11681" s="1">
        <v>13.054591</v>
      </c>
      <c r="E11681" s="1">
        <v>80.273792</v>
      </c>
      <c r="F11681" s="1">
        <v>5339.0</v>
      </c>
      <c r="G11681" s="1">
        <v>22.0</v>
      </c>
    </row>
    <row r="11682">
      <c r="A11682" s="1" t="s">
        <v>10</v>
      </c>
      <c r="B11682" s="2">
        <v>44775.0</v>
      </c>
      <c r="C11682" s="3">
        <v>0.7443981481481482</v>
      </c>
      <c r="D11682" s="1">
        <v>13.056659</v>
      </c>
      <c r="E11682" s="1">
        <v>80.2739</v>
      </c>
      <c r="F11682" s="1">
        <v>5339.0</v>
      </c>
      <c r="G11682" s="1">
        <v>10.0</v>
      </c>
    </row>
    <row r="11683">
      <c r="A11683" s="1" t="s">
        <v>10</v>
      </c>
      <c r="B11683" s="2">
        <v>44775.0</v>
      </c>
      <c r="C11683" s="3">
        <v>0.7450462962962963</v>
      </c>
      <c r="D11683" s="1">
        <v>13.049296</v>
      </c>
      <c r="E11683" s="1">
        <v>80.264089</v>
      </c>
      <c r="F11683" s="1">
        <v>805.0</v>
      </c>
      <c r="G11683" s="1">
        <v>21.0</v>
      </c>
    </row>
    <row r="11684">
      <c r="A11684" s="1" t="s">
        <v>9</v>
      </c>
      <c r="B11684" s="2">
        <v>44775.0</v>
      </c>
      <c r="C11684" s="3">
        <v>0.7450694444444445</v>
      </c>
      <c r="D11684" s="1">
        <v>13.006124</v>
      </c>
      <c r="E11684" s="1">
        <v>80.100374</v>
      </c>
      <c r="F11684" s="1">
        <v>3143.0</v>
      </c>
      <c r="G11684" s="1">
        <v>34.0</v>
      </c>
    </row>
    <row r="11685">
      <c r="A11685" s="1" t="s">
        <v>10</v>
      </c>
      <c r="B11685" s="2">
        <v>44775.0</v>
      </c>
      <c r="C11685" s="3">
        <v>0.7451157407407407</v>
      </c>
      <c r="D11685" s="1">
        <v>13.057404</v>
      </c>
      <c r="E11685" s="1">
        <v>80.273961</v>
      </c>
      <c r="F11685" s="1">
        <v>5339.0</v>
      </c>
      <c r="G11685" s="1">
        <v>0.0</v>
      </c>
    </row>
    <row r="11686">
      <c r="A11686" s="1" t="s">
        <v>10</v>
      </c>
      <c r="B11686" s="2">
        <v>44775.0</v>
      </c>
      <c r="C11686" s="3">
        <v>0.7452546296296296</v>
      </c>
      <c r="D11686" s="1">
        <v>13.05764</v>
      </c>
      <c r="E11686" s="1">
        <v>80.273998</v>
      </c>
      <c r="F11686" s="1">
        <v>5339.0</v>
      </c>
      <c r="G11686" s="1">
        <v>13.0</v>
      </c>
    </row>
    <row r="11687">
      <c r="A11687" s="1" t="s">
        <v>8</v>
      </c>
      <c r="B11687" s="2">
        <v>44775.0</v>
      </c>
      <c r="C11687" s="3">
        <v>0.7452546296296296</v>
      </c>
      <c r="D11687" s="1">
        <v>13.006802</v>
      </c>
      <c r="E11687" s="1">
        <v>80.100461</v>
      </c>
      <c r="F11687" s="1">
        <v>3143.0</v>
      </c>
      <c r="G11687" s="1">
        <v>12.0</v>
      </c>
    </row>
    <row r="11688">
      <c r="A11688" s="1" t="s">
        <v>10</v>
      </c>
      <c r="B11688" s="2">
        <v>44775.0</v>
      </c>
      <c r="C11688" s="3">
        <v>0.7454282407407408</v>
      </c>
      <c r="D11688" s="1">
        <v>13.058117</v>
      </c>
      <c r="E11688" s="1">
        <v>80.274014</v>
      </c>
      <c r="F11688" s="1">
        <v>5339.0</v>
      </c>
      <c r="G11688" s="1">
        <v>11.0</v>
      </c>
    </row>
    <row r="11689">
      <c r="A11689" s="1" t="s">
        <v>10</v>
      </c>
      <c r="B11689" s="2">
        <v>44775.0</v>
      </c>
      <c r="C11689" s="3">
        <v>0.7454861111111111</v>
      </c>
      <c r="D11689" s="1">
        <v>13.058492</v>
      </c>
      <c r="E11689" s="1">
        <v>80.274077</v>
      </c>
      <c r="F11689" s="1">
        <v>5339.0</v>
      </c>
      <c r="G11689" s="1">
        <v>17.0</v>
      </c>
    </row>
    <row r="11690">
      <c r="A11690" s="1" t="s">
        <v>10</v>
      </c>
      <c r="B11690" s="2">
        <v>44775.0</v>
      </c>
      <c r="C11690" s="3">
        <v>0.7458912037037037</v>
      </c>
      <c r="D11690" s="1">
        <v>13.059395</v>
      </c>
      <c r="E11690" s="1">
        <v>80.274195</v>
      </c>
      <c r="F11690" s="1">
        <v>5339.0</v>
      </c>
      <c r="G11690" s="1">
        <v>16.0</v>
      </c>
    </row>
    <row r="11691">
      <c r="A11691" s="1" t="s">
        <v>10</v>
      </c>
      <c r="B11691" s="2">
        <v>44775.0</v>
      </c>
      <c r="C11691" s="3">
        <v>0.7467708333333334</v>
      </c>
      <c r="D11691" s="1">
        <v>13.061681</v>
      </c>
      <c r="E11691" s="1">
        <v>80.274316</v>
      </c>
      <c r="F11691" s="1">
        <v>5339.0</v>
      </c>
      <c r="G11691" s="1">
        <v>19.0</v>
      </c>
    </row>
    <row r="11692">
      <c r="A11692" s="1" t="s">
        <v>10</v>
      </c>
      <c r="B11692" s="2">
        <v>44775.0</v>
      </c>
      <c r="C11692" s="3">
        <v>0.7468518518518519</v>
      </c>
      <c r="D11692" s="1">
        <v>13.062299</v>
      </c>
      <c r="E11692" s="1">
        <v>80.274231</v>
      </c>
      <c r="F11692" s="1">
        <v>5339.0</v>
      </c>
      <c r="G11692" s="1">
        <v>17.0</v>
      </c>
    </row>
    <row r="11693">
      <c r="A11693" s="1" t="s">
        <v>10</v>
      </c>
      <c r="B11693" s="2">
        <v>44775.0</v>
      </c>
      <c r="C11693" s="3">
        <v>0.7476736111111111</v>
      </c>
      <c r="D11693" s="1">
        <v>13.065214</v>
      </c>
      <c r="E11693" s="1">
        <v>80.273819</v>
      </c>
      <c r="F11693" s="1">
        <v>5339.0</v>
      </c>
      <c r="G11693" s="1">
        <v>7.0</v>
      </c>
    </row>
    <row r="11694">
      <c r="A11694" s="1" t="s">
        <v>10</v>
      </c>
      <c r="B11694" s="2">
        <v>44775.0</v>
      </c>
      <c r="C11694" s="3">
        <v>0.7480902777777778</v>
      </c>
      <c r="D11694" s="1">
        <v>13.065487</v>
      </c>
      <c r="E11694" s="1">
        <v>80.273773</v>
      </c>
      <c r="F11694" s="1">
        <v>5339.0</v>
      </c>
      <c r="G11694" s="1">
        <v>4.0</v>
      </c>
    </row>
    <row r="11695">
      <c r="A11695" s="1" t="s">
        <v>8</v>
      </c>
      <c r="B11695" s="2">
        <v>44775.0</v>
      </c>
      <c r="C11695" s="3">
        <v>0.7481481481481481</v>
      </c>
      <c r="D11695" s="1">
        <v>13.022402</v>
      </c>
      <c r="E11695" s="1">
        <v>80.106718</v>
      </c>
      <c r="F11695" s="1">
        <v>3143.0</v>
      </c>
      <c r="G11695" s="1">
        <v>15.0</v>
      </c>
    </row>
    <row r="11696">
      <c r="A11696" s="1" t="s">
        <v>8</v>
      </c>
      <c r="B11696" s="2">
        <v>44775.0</v>
      </c>
      <c r="C11696" s="3">
        <v>0.7487731481481481</v>
      </c>
      <c r="D11696" s="1">
        <v>13.067303</v>
      </c>
      <c r="E11696" s="1">
        <v>80.272982</v>
      </c>
      <c r="F11696" s="1">
        <v>5339.0</v>
      </c>
      <c r="G11696" s="1">
        <v>31.0</v>
      </c>
    </row>
    <row r="11697">
      <c r="A11697" s="1" t="s">
        <v>8</v>
      </c>
      <c r="B11697" s="2">
        <v>44775.0</v>
      </c>
      <c r="C11697" s="3">
        <v>0.7495949074074074</v>
      </c>
      <c r="D11697" s="1">
        <v>13.067686</v>
      </c>
      <c r="E11697" s="1">
        <v>80.270845</v>
      </c>
      <c r="F11697" s="1">
        <v>5339.0</v>
      </c>
      <c r="G11697" s="1">
        <v>29.0</v>
      </c>
    </row>
    <row r="11698">
      <c r="A11698" s="1" t="s">
        <v>8</v>
      </c>
      <c r="B11698" s="2">
        <v>44775.0</v>
      </c>
      <c r="C11698" s="3">
        <v>0.7496296296296296</v>
      </c>
      <c r="D11698" s="1">
        <v>13.059791</v>
      </c>
      <c r="E11698" s="1">
        <v>80.265487</v>
      </c>
      <c r="F11698" s="1">
        <v>805.0</v>
      </c>
      <c r="G11698" s="1">
        <v>16.0</v>
      </c>
    </row>
    <row r="11699">
      <c r="A11699" s="1" t="s">
        <v>8</v>
      </c>
      <c r="B11699" s="2">
        <v>44775.0</v>
      </c>
      <c r="C11699" s="3">
        <v>0.7496296296296296</v>
      </c>
      <c r="D11699" s="1">
        <v>13.059791</v>
      </c>
      <c r="E11699" s="1">
        <v>80.265487</v>
      </c>
      <c r="F11699" s="1">
        <v>805.0</v>
      </c>
      <c r="G11699" s="1">
        <v>16.0</v>
      </c>
    </row>
    <row r="11700">
      <c r="A11700" s="1" t="s">
        <v>10</v>
      </c>
      <c r="B11700" s="2">
        <v>44775.0</v>
      </c>
      <c r="C11700" s="3">
        <v>0.7498726851851852</v>
      </c>
      <c r="D11700" s="1">
        <v>13.060925</v>
      </c>
      <c r="E11700" s="1">
        <v>80.265176</v>
      </c>
      <c r="F11700" s="1">
        <v>805.0</v>
      </c>
      <c r="G11700" s="1">
        <v>20.0</v>
      </c>
    </row>
    <row r="11701">
      <c r="A11701" s="1" t="s">
        <v>10</v>
      </c>
      <c r="B11701" s="2">
        <v>44775.0</v>
      </c>
      <c r="C11701" s="3">
        <v>0.7507986111111111</v>
      </c>
      <c r="D11701" s="1">
        <v>13.068641</v>
      </c>
      <c r="E11701" s="1">
        <v>80.268068</v>
      </c>
      <c r="F11701" s="1">
        <v>5339.0</v>
      </c>
      <c r="G11701" s="1">
        <v>28.0</v>
      </c>
    </row>
    <row r="11702">
      <c r="A11702" s="1" t="s">
        <v>10</v>
      </c>
      <c r="B11702" s="2">
        <v>44775.0</v>
      </c>
      <c r="C11702" s="3">
        <v>0.7510416666666667</v>
      </c>
      <c r="D11702" s="1">
        <v>13.068753</v>
      </c>
      <c r="E11702" s="1">
        <v>80.26776</v>
      </c>
      <c r="F11702" s="1">
        <v>5339.0</v>
      </c>
      <c r="G11702" s="1">
        <v>7.0</v>
      </c>
    </row>
    <row r="11703">
      <c r="A11703" s="1" t="s">
        <v>10</v>
      </c>
      <c r="B11703" s="2">
        <v>44775.0</v>
      </c>
      <c r="C11703" s="3">
        <v>0.7511226851851852</v>
      </c>
      <c r="D11703" s="1">
        <v>13.068753</v>
      </c>
      <c r="E11703" s="1">
        <v>80.26776</v>
      </c>
      <c r="F11703" s="1">
        <v>5339.0</v>
      </c>
      <c r="G11703" s="1">
        <v>7.0</v>
      </c>
    </row>
    <row r="11704">
      <c r="A11704" s="1" t="s">
        <v>10</v>
      </c>
      <c r="B11704" s="2">
        <v>44775.0</v>
      </c>
      <c r="C11704" s="3">
        <v>0.75125</v>
      </c>
      <c r="D11704" s="1">
        <v>13.069456</v>
      </c>
      <c r="E11704" s="1">
        <v>80.266794</v>
      </c>
      <c r="F11704" s="1">
        <v>5339.0</v>
      </c>
      <c r="G11704" s="1">
        <v>24.0</v>
      </c>
    </row>
    <row r="11705">
      <c r="A11705" s="1" t="s">
        <v>10</v>
      </c>
      <c r="B11705" s="2">
        <v>44775.0</v>
      </c>
      <c r="C11705" s="3">
        <v>0.7514004629629629</v>
      </c>
      <c r="D11705" s="1">
        <v>13.06977</v>
      </c>
      <c r="E11705" s="1">
        <v>80.266474</v>
      </c>
      <c r="F11705" s="1">
        <v>5339.0</v>
      </c>
      <c r="G11705" s="1">
        <v>11.0</v>
      </c>
    </row>
    <row r="11706">
      <c r="A11706" s="1" t="s">
        <v>10</v>
      </c>
      <c r="B11706" s="2">
        <v>44775.0</v>
      </c>
      <c r="C11706" s="3">
        <v>0.7524074074074074</v>
      </c>
      <c r="D11706" s="1">
        <v>13.040454</v>
      </c>
      <c r="E11706" s="1">
        <v>80.114099</v>
      </c>
      <c r="F11706" s="1">
        <v>3143.0</v>
      </c>
      <c r="G11706" s="1">
        <v>11.0</v>
      </c>
    </row>
    <row r="11707">
      <c r="A11707" s="1" t="s">
        <v>10</v>
      </c>
      <c r="B11707" s="2">
        <v>44775.0</v>
      </c>
      <c r="C11707" s="3">
        <v>0.752662037037037</v>
      </c>
      <c r="D11707" s="1">
        <v>13.041417</v>
      </c>
      <c r="E11707" s="1">
        <v>80.11467</v>
      </c>
      <c r="F11707" s="1">
        <v>3143.0</v>
      </c>
      <c r="G11707" s="1">
        <v>18.0</v>
      </c>
    </row>
    <row r="11708">
      <c r="A11708" s="1" t="s">
        <v>10</v>
      </c>
      <c r="B11708" s="2">
        <v>44775.0</v>
      </c>
      <c r="C11708" s="3">
        <v>0.7527083333333333</v>
      </c>
      <c r="D11708" s="1">
        <v>13.041417</v>
      </c>
      <c r="E11708" s="1">
        <v>80.11467</v>
      </c>
      <c r="F11708" s="1">
        <v>3143.0</v>
      </c>
      <c r="G11708" s="1">
        <v>18.0</v>
      </c>
    </row>
    <row r="11709">
      <c r="A11709" s="1" t="s">
        <v>8</v>
      </c>
      <c r="B11709" s="2">
        <v>44775.0</v>
      </c>
      <c r="C11709" s="3">
        <v>0.7549189814814815</v>
      </c>
      <c r="D11709" s="1">
        <v>13.046692</v>
      </c>
      <c r="E11709" s="1">
        <v>80.11938</v>
      </c>
      <c r="F11709" s="1">
        <v>3143.0</v>
      </c>
      <c r="G11709" s="1">
        <v>44.0</v>
      </c>
    </row>
    <row r="11710">
      <c r="A11710" s="1" t="s">
        <v>8</v>
      </c>
      <c r="B11710" s="2">
        <v>44775.0</v>
      </c>
      <c r="C11710" s="3">
        <v>0.7549768518518518</v>
      </c>
      <c r="D11710" s="1">
        <v>13.046692</v>
      </c>
      <c r="E11710" s="1">
        <v>80.11938</v>
      </c>
      <c r="F11710" s="1">
        <v>3143.0</v>
      </c>
      <c r="G11710" s="1">
        <v>44.0</v>
      </c>
    </row>
    <row r="11711">
      <c r="A11711" s="1" t="s">
        <v>7</v>
      </c>
      <c r="B11711" s="2">
        <v>44775.0</v>
      </c>
      <c r="C11711" s="3">
        <v>0.7551388888888889</v>
      </c>
      <c r="D11711" s="1">
        <v>13.048124</v>
      </c>
      <c r="E11711" s="1">
        <v>80.120365</v>
      </c>
      <c r="F11711" s="1">
        <v>3143.0</v>
      </c>
      <c r="G11711" s="1">
        <v>0.0</v>
      </c>
    </row>
    <row r="11712">
      <c r="A11712" s="1" t="s">
        <v>8</v>
      </c>
      <c r="B11712" s="2">
        <v>44775.0</v>
      </c>
      <c r="C11712" s="3">
        <v>0.7552546296296296</v>
      </c>
      <c r="D11712" s="1">
        <v>13.048435</v>
      </c>
      <c r="E11712" s="1">
        <v>80.120556</v>
      </c>
      <c r="F11712" s="1">
        <v>3143.0</v>
      </c>
      <c r="G11712" s="1">
        <v>28.0</v>
      </c>
    </row>
    <row r="11713">
      <c r="A11713" s="1" t="s">
        <v>7</v>
      </c>
      <c r="B11713" s="2">
        <v>44775.0</v>
      </c>
      <c r="C11713" s="3">
        <v>0.7565625</v>
      </c>
      <c r="D11713" s="1">
        <v>13.055061</v>
      </c>
      <c r="E11713" s="1">
        <v>80.120356</v>
      </c>
      <c r="F11713" s="1">
        <v>3143.0</v>
      </c>
      <c r="G11713" s="1">
        <v>28.0</v>
      </c>
    </row>
    <row r="11714">
      <c r="A11714" s="1" t="s">
        <v>7</v>
      </c>
      <c r="B11714" s="2">
        <v>44775.0</v>
      </c>
      <c r="C11714" s="3">
        <v>0.7566666666666667</v>
      </c>
      <c r="D11714" s="1">
        <v>13.055061</v>
      </c>
      <c r="E11714" s="1">
        <v>80.120356</v>
      </c>
      <c r="F11714" s="1">
        <v>3143.0</v>
      </c>
      <c r="G11714" s="1">
        <v>28.0</v>
      </c>
    </row>
    <row r="11715">
      <c r="A11715" s="1" t="s">
        <v>7</v>
      </c>
      <c r="B11715" s="2">
        <v>44775.0</v>
      </c>
      <c r="C11715" s="3">
        <v>0.7569444444444444</v>
      </c>
      <c r="D11715" s="1">
        <v>13.055887</v>
      </c>
      <c r="E11715" s="1">
        <v>80.11796</v>
      </c>
      <c r="F11715" s="1">
        <v>3143.0</v>
      </c>
      <c r="G11715" s="1">
        <v>51.0</v>
      </c>
    </row>
    <row r="11716">
      <c r="A11716" s="1" t="s">
        <v>7</v>
      </c>
      <c r="B11716" s="2">
        <v>44775.0</v>
      </c>
      <c r="C11716" s="3">
        <v>0.7579861111111111</v>
      </c>
      <c r="D11716" s="1">
        <v>13.057075</v>
      </c>
      <c r="E11716" s="1">
        <v>80.106302</v>
      </c>
      <c r="F11716" s="1">
        <v>3143.0</v>
      </c>
      <c r="G11716" s="1">
        <v>55.0</v>
      </c>
    </row>
    <row r="11717">
      <c r="A11717" s="1" t="s">
        <v>8</v>
      </c>
      <c r="B11717" s="2">
        <v>44775.0</v>
      </c>
      <c r="C11717" s="3">
        <v>0.7613194444444444</v>
      </c>
      <c r="D11717" s="1">
        <v>13.072812</v>
      </c>
      <c r="E11717" s="1">
        <v>80.260586</v>
      </c>
      <c r="F11717" s="1">
        <v>5339.0</v>
      </c>
      <c r="G11717" s="1">
        <v>22.0</v>
      </c>
    </row>
    <row r="11718">
      <c r="A11718" s="1" t="s">
        <v>8</v>
      </c>
      <c r="B11718" s="2">
        <v>44775.0</v>
      </c>
      <c r="C11718" s="3">
        <v>0.7614004629629629</v>
      </c>
      <c r="D11718" s="1">
        <v>13.072326</v>
      </c>
      <c r="E11718" s="1">
        <v>80.260002</v>
      </c>
      <c r="F11718" s="1">
        <v>5339.0</v>
      </c>
      <c r="G11718" s="1">
        <v>34.0</v>
      </c>
    </row>
    <row r="11719">
      <c r="A11719" s="1" t="s">
        <v>8</v>
      </c>
      <c r="B11719" s="2">
        <v>44775.0</v>
      </c>
      <c r="C11719" s="3">
        <v>0.7620138888888889</v>
      </c>
      <c r="D11719" s="1">
        <v>13.069884</v>
      </c>
      <c r="E11719" s="1">
        <v>80.257361</v>
      </c>
      <c r="F11719" s="1">
        <v>5339.0</v>
      </c>
      <c r="G11719" s="1">
        <v>34.0</v>
      </c>
    </row>
    <row r="11720">
      <c r="A11720" s="1" t="s">
        <v>8</v>
      </c>
      <c r="B11720" s="2">
        <v>44775.0</v>
      </c>
      <c r="C11720" s="3">
        <v>0.7620833333333333</v>
      </c>
      <c r="D11720" s="1">
        <v>13.06927</v>
      </c>
      <c r="E11720" s="1">
        <v>80.25673</v>
      </c>
      <c r="F11720" s="1">
        <v>5339.0</v>
      </c>
      <c r="G11720" s="1">
        <v>31.0</v>
      </c>
    </row>
    <row r="11721">
      <c r="A11721" s="1" t="s">
        <v>7</v>
      </c>
      <c r="B11721" s="2">
        <v>44775.0</v>
      </c>
      <c r="C11721" s="3">
        <v>0.7634143518518518</v>
      </c>
      <c r="D11721" s="1">
        <v>13.02625</v>
      </c>
      <c r="E11721" s="1">
        <v>80.091937</v>
      </c>
      <c r="F11721" s="1">
        <v>3143.0</v>
      </c>
      <c r="G11721" s="1">
        <v>29.0</v>
      </c>
    </row>
    <row r="11722">
      <c r="A11722" s="1" t="s">
        <v>7</v>
      </c>
      <c r="B11722" s="2">
        <v>44775.0</v>
      </c>
      <c r="C11722" s="3">
        <v>0.7635763888888889</v>
      </c>
      <c r="D11722" s="1">
        <v>13.025729</v>
      </c>
      <c r="E11722" s="1">
        <v>80.092115</v>
      </c>
      <c r="F11722" s="1">
        <v>3143.0</v>
      </c>
      <c r="G11722" s="1">
        <v>14.0</v>
      </c>
    </row>
    <row r="11723">
      <c r="A11723" s="1" t="s">
        <v>8</v>
      </c>
      <c r="B11723" s="2">
        <v>44775.0</v>
      </c>
      <c r="C11723" s="3">
        <v>0.7635763888888889</v>
      </c>
      <c r="D11723" s="1">
        <v>13.067299</v>
      </c>
      <c r="E11723" s="1">
        <v>80.251493</v>
      </c>
      <c r="F11723" s="1">
        <v>5339.0</v>
      </c>
      <c r="G11723" s="1">
        <v>27.0</v>
      </c>
    </row>
    <row r="11724">
      <c r="A11724" s="1" t="s">
        <v>8</v>
      </c>
      <c r="B11724" s="2">
        <v>44775.0</v>
      </c>
      <c r="C11724" s="3">
        <v>0.7635879629629629</v>
      </c>
      <c r="D11724" s="1">
        <v>13.067299</v>
      </c>
      <c r="E11724" s="1">
        <v>80.251493</v>
      </c>
      <c r="F11724" s="1">
        <v>5339.0</v>
      </c>
      <c r="G11724" s="1">
        <v>27.0</v>
      </c>
    </row>
    <row r="11725">
      <c r="A11725" s="1" t="s">
        <v>8</v>
      </c>
      <c r="B11725" s="2">
        <v>44775.0</v>
      </c>
      <c r="C11725" s="3">
        <v>0.7635879629629629</v>
      </c>
      <c r="D11725" s="1">
        <v>13.067299</v>
      </c>
      <c r="E11725" s="1">
        <v>80.251493</v>
      </c>
      <c r="F11725" s="1">
        <v>5339.0</v>
      </c>
      <c r="G11725" s="1">
        <v>27.0</v>
      </c>
    </row>
    <row r="11726">
      <c r="A11726" s="1" t="s">
        <v>7</v>
      </c>
      <c r="B11726" s="2">
        <v>44775.0</v>
      </c>
      <c r="C11726" s="3">
        <v>0.7641203703703704</v>
      </c>
      <c r="D11726" s="1">
        <v>13.020326</v>
      </c>
      <c r="E11726" s="1">
        <v>80.094074</v>
      </c>
      <c r="F11726" s="1">
        <v>3143.0</v>
      </c>
      <c r="G11726" s="1">
        <v>58.0</v>
      </c>
    </row>
    <row r="11727">
      <c r="A11727" s="1" t="s">
        <v>8</v>
      </c>
      <c r="B11727" s="2">
        <v>44775.0</v>
      </c>
      <c r="C11727" s="3">
        <v>0.7642361111111111</v>
      </c>
      <c r="D11727" s="1">
        <v>13.067168</v>
      </c>
      <c r="E11727" s="1">
        <v>80.247874</v>
      </c>
      <c r="F11727" s="1">
        <v>5339.0</v>
      </c>
      <c r="G11727" s="1">
        <v>34.0</v>
      </c>
    </row>
    <row r="11728">
      <c r="A11728" s="1" t="s">
        <v>7</v>
      </c>
      <c r="B11728" s="2">
        <v>44775.0</v>
      </c>
      <c r="C11728" s="3">
        <v>0.7642708333333333</v>
      </c>
      <c r="D11728" s="1">
        <v>13.018122</v>
      </c>
      <c r="E11728" s="1">
        <v>80.094868</v>
      </c>
      <c r="F11728" s="1">
        <v>3143.0</v>
      </c>
      <c r="G11728" s="1">
        <v>59.0</v>
      </c>
    </row>
    <row r="11729">
      <c r="A11729" s="1" t="s">
        <v>7</v>
      </c>
      <c r="B11729" s="2">
        <v>44775.0</v>
      </c>
      <c r="C11729" s="3">
        <v>0.7643171296296296</v>
      </c>
      <c r="D11729" s="1">
        <v>13.018122</v>
      </c>
      <c r="E11729" s="1">
        <v>80.094868</v>
      </c>
      <c r="F11729" s="1">
        <v>3143.0</v>
      </c>
      <c r="G11729" s="1">
        <v>59.0</v>
      </c>
    </row>
    <row r="11730">
      <c r="A11730" s="1" t="s">
        <v>7</v>
      </c>
      <c r="B11730" s="2">
        <v>44775.0</v>
      </c>
      <c r="C11730" s="3">
        <v>0.7652662037037037</v>
      </c>
      <c r="D11730" s="1">
        <v>13.007169</v>
      </c>
      <c r="E11730" s="1">
        <v>80.091387</v>
      </c>
      <c r="F11730" s="1">
        <v>3143.0</v>
      </c>
      <c r="G11730" s="1">
        <v>57.0</v>
      </c>
    </row>
    <row r="11731">
      <c r="A11731" s="1" t="s">
        <v>8</v>
      </c>
      <c r="B11731" s="2">
        <v>44775.0</v>
      </c>
      <c r="C11731" s="3">
        <v>0.7654166666666666</v>
      </c>
      <c r="D11731" s="1">
        <v>13.066792</v>
      </c>
      <c r="E11731" s="1">
        <v>80.254196</v>
      </c>
      <c r="F11731" s="1">
        <v>805.0</v>
      </c>
      <c r="G11731" s="1">
        <v>0.0</v>
      </c>
    </row>
    <row r="11732">
      <c r="A11732" s="1" t="s">
        <v>8</v>
      </c>
      <c r="B11732" s="2">
        <v>44775.0</v>
      </c>
      <c r="C11732" s="3">
        <v>0.7654282407407408</v>
      </c>
      <c r="D11732" s="1">
        <v>13.066792</v>
      </c>
      <c r="E11732" s="1">
        <v>80.254196</v>
      </c>
      <c r="F11732" s="1">
        <v>805.0</v>
      </c>
      <c r="G11732" s="1">
        <v>0.0</v>
      </c>
    </row>
    <row r="11733">
      <c r="A11733" s="1" t="s">
        <v>8</v>
      </c>
      <c r="B11733" s="2">
        <v>44775.0</v>
      </c>
      <c r="C11733" s="3">
        <v>0.7654282407407408</v>
      </c>
      <c r="D11733" s="1">
        <v>13.066792</v>
      </c>
      <c r="E11733" s="1">
        <v>80.254196</v>
      </c>
      <c r="F11733" s="1">
        <v>805.0</v>
      </c>
      <c r="G11733" s="1">
        <v>0.0</v>
      </c>
    </row>
    <row r="11734">
      <c r="A11734" s="1" t="s">
        <v>10</v>
      </c>
      <c r="B11734" s="2">
        <v>44775.0</v>
      </c>
      <c r="C11734" s="3">
        <v>0.7654976851851852</v>
      </c>
      <c r="D11734" s="1">
        <v>13.063869</v>
      </c>
      <c r="E11734" s="1">
        <v>80.250106</v>
      </c>
      <c r="F11734" s="1">
        <v>5339.0</v>
      </c>
      <c r="G11734" s="1">
        <v>9.0</v>
      </c>
    </row>
    <row r="11735">
      <c r="A11735" s="1" t="s">
        <v>7</v>
      </c>
      <c r="B11735" s="2">
        <v>44775.0</v>
      </c>
      <c r="C11735" s="3">
        <v>0.7661805555555555</v>
      </c>
      <c r="D11735" s="1">
        <v>12.99617</v>
      </c>
      <c r="E11735" s="1">
        <v>80.087621</v>
      </c>
      <c r="F11735" s="1">
        <v>3143.0</v>
      </c>
      <c r="G11735" s="1">
        <v>54.0</v>
      </c>
    </row>
    <row r="11736">
      <c r="A11736" s="1" t="s">
        <v>7</v>
      </c>
      <c r="B11736" s="2">
        <v>44775.0</v>
      </c>
      <c r="C11736" s="3">
        <v>0.7664004629629629</v>
      </c>
      <c r="D11736" s="1">
        <v>12.993975</v>
      </c>
      <c r="E11736" s="1">
        <v>80.087974</v>
      </c>
      <c r="F11736" s="1">
        <v>3143.0</v>
      </c>
      <c r="G11736" s="1">
        <v>56.0</v>
      </c>
    </row>
    <row r="11737">
      <c r="A11737" s="1" t="s">
        <v>7</v>
      </c>
      <c r="B11737" s="2">
        <v>44775.0</v>
      </c>
      <c r="C11737" s="3">
        <v>0.7666435185185185</v>
      </c>
      <c r="D11737" s="1">
        <v>12.989486</v>
      </c>
      <c r="E11737" s="1">
        <v>80.089361</v>
      </c>
      <c r="F11737" s="1">
        <v>3143.0</v>
      </c>
      <c r="G11737" s="1">
        <v>58.0</v>
      </c>
    </row>
    <row r="11738">
      <c r="A11738" s="1" t="s">
        <v>7</v>
      </c>
      <c r="B11738" s="2">
        <v>44775.0</v>
      </c>
      <c r="C11738" s="3">
        <v>0.7670717592592593</v>
      </c>
      <c r="D11738" s="1">
        <v>12.984834</v>
      </c>
      <c r="E11738" s="1">
        <v>80.089672</v>
      </c>
      <c r="F11738" s="1">
        <v>3143.0</v>
      </c>
      <c r="G11738" s="1">
        <v>58.0</v>
      </c>
    </row>
    <row r="11739">
      <c r="A11739" s="1" t="s">
        <v>8</v>
      </c>
      <c r="B11739" s="2">
        <v>44775.0</v>
      </c>
      <c r="C11739" s="3">
        <v>0.7671064814814815</v>
      </c>
      <c r="D11739" s="1">
        <v>13.065573</v>
      </c>
      <c r="E11739" s="1">
        <v>80.247882</v>
      </c>
      <c r="F11739" s="1">
        <v>805.0</v>
      </c>
      <c r="G11739" s="1">
        <v>24.0</v>
      </c>
    </row>
    <row r="11740">
      <c r="A11740" s="1" t="s">
        <v>8</v>
      </c>
      <c r="B11740" s="2">
        <v>44775.0</v>
      </c>
      <c r="C11740" s="3">
        <v>0.7671064814814815</v>
      </c>
      <c r="D11740" s="1">
        <v>13.065573</v>
      </c>
      <c r="E11740" s="1">
        <v>80.247882</v>
      </c>
      <c r="F11740" s="1">
        <v>805.0</v>
      </c>
      <c r="G11740" s="1">
        <v>24.0</v>
      </c>
    </row>
    <row r="11741">
      <c r="A11741" s="1" t="s">
        <v>10</v>
      </c>
      <c r="B11741" s="2">
        <v>44775.0</v>
      </c>
      <c r="C11741" s="3">
        <v>0.7679976851851852</v>
      </c>
      <c r="D11741" s="1">
        <v>13.063975</v>
      </c>
      <c r="E11741" s="1">
        <v>80.249709</v>
      </c>
      <c r="F11741" s="1">
        <v>805.0</v>
      </c>
      <c r="G11741" s="1">
        <v>14.0</v>
      </c>
    </row>
    <row r="11742">
      <c r="A11742" s="1" t="s">
        <v>7</v>
      </c>
      <c r="B11742" s="2">
        <v>44775.0</v>
      </c>
      <c r="C11742" s="3">
        <v>0.7680555555555556</v>
      </c>
      <c r="D11742" s="1">
        <v>12.973181</v>
      </c>
      <c r="E11742" s="1">
        <v>80.090063</v>
      </c>
      <c r="F11742" s="1">
        <v>3143.0</v>
      </c>
      <c r="G11742" s="1">
        <v>58.0</v>
      </c>
    </row>
    <row r="11743">
      <c r="A11743" s="1" t="s">
        <v>7</v>
      </c>
      <c r="B11743" s="2">
        <v>44775.0</v>
      </c>
      <c r="C11743" s="3">
        <v>0.7691550925925926</v>
      </c>
      <c r="D11743" s="1">
        <v>12.958966</v>
      </c>
      <c r="E11743" s="1">
        <v>80.090552</v>
      </c>
      <c r="F11743" s="1">
        <v>3143.0</v>
      </c>
      <c r="G11743" s="1">
        <v>58.0</v>
      </c>
    </row>
    <row r="11744">
      <c r="A11744" s="1" t="s">
        <v>7</v>
      </c>
      <c r="B11744" s="2">
        <v>44775.0</v>
      </c>
      <c r="C11744" s="3">
        <v>0.7701273148148148</v>
      </c>
      <c r="D11744" s="1">
        <v>12.947864</v>
      </c>
      <c r="E11744" s="1">
        <v>80.086828</v>
      </c>
      <c r="F11744" s="1">
        <v>3143.0</v>
      </c>
      <c r="G11744" s="1">
        <v>58.0</v>
      </c>
    </row>
    <row r="11745">
      <c r="A11745" s="1" t="s">
        <v>7</v>
      </c>
      <c r="B11745" s="2">
        <v>44775.0</v>
      </c>
      <c r="C11745" s="3">
        <v>0.7725462962962963</v>
      </c>
      <c r="D11745" s="1">
        <v>12.928713</v>
      </c>
      <c r="E11745" s="1">
        <v>80.079696</v>
      </c>
      <c r="F11745" s="1">
        <v>3143.0</v>
      </c>
      <c r="G11745" s="1">
        <v>45.0</v>
      </c>
    </row>
    <row r="11746">
      <c r="A11746" s="1" t="s">
        <v>7</v>
      </c>
      <c r="B11746" s="2">
        <v>44775.0</v>
      </c>
      <c r="C11746" s="3">
        <v>0.7729166666666667</v>
      </c>
      <c r="D11746" s="1">
        <v>12.924514</v>
      </c>
      <c r="E11746" s="1">
        <v>80.078151</v>
      </c>
      <c r="F11746" s="1">
        <v>3143.0</v>
      </c>
      <c r="G11746" s="1">
        <v>58.0</v>
      </c>
    </row>
    <row r="11747">
      <c r="A11747" s="1" t="s">
        <v>7</v>
      </c>
      <c r="B11747" s="2">
        <v>44775.0</v>
      </c>
      <c r="C11747" s="3">
        <v>0.7732638888888889</v>
      </c>
      <c r="D11747" s="1">
        <v>12.92004</v>
      </c>
      <c r="E11747" s="1">
        <v>80.076766</v>
      </c>
      <c r="F11747" s="1">
        <v>3143.0</v>
      </c>
      <c r="G11747" s="1">
        <v>58.0</v>
      </c>
    </row>
    <row r="11748">
      <c r="A11748" s="1" t="s">
        <v>7</v>
      </c>
      <c r="B11748" s="2">
        <v>44775.0</v>
      </c>
      <c r="C11748" s="3">
        <v>0.7736458333333334</v>
      </c>
      <c r="D11748" s="1">
        <v>12.91545</v>
      </c>
      <c r="E11748" s="1">
        <v>80.075353</v>
      </c>
      <c r="F11748" s="1">
        <v>3143.0</v>
      </c>
      <c r="G11748" s="1">
        <v>55.0</v>
      </c>
    </row>
    <row r="11749">
      <c r="A11749" s="1" t="s">
        <v>7</v>
      </c>
      <c r="B11749" s="2">
        <v>44775.0</v>
      </c>
      <c r="C11749" s="3">
        <v>0.7738078703703704</v>
      </c>
      <c r="D11749" s="1">
        <v>12.913228</v>
      </c>
      <c r="E11749" s="1">
        <v>80.074625</v>
      </c>
      <c r="F11749" s="1">
        <v>3143.0</v>
      </c>
      <c r="G11749" s="1">
        <v>57.0</v>
      </c>
    </row>
    <row r="11750">
      <c r="A11750" s="1" t="s">
        <v>7</v>
      </c>
      <c r="B11750" s="2">
        <v>44776.0</v>
      </c>
      <c r="C11750" s="3">
        <v>0.2658101851851852</v>
      </c>
      <c r="D11750" s="1">
        <v>12.885437</v>
      </c>
      <c r="E11750" s="1">
        <v>80.080661</v>
      </c>
      <c r="F11750" s="1">
        <v>3143.0</v>
      </c>
      <c r="G11750" s="1">
        <v>50.0</v>
      </c>
    </row>
    <row r="11751">
      <c r="A11751" s="1" t="s">
        <v>7</v>
      </c>
      <c r="B11751" s="2">
        <v>44776.0</v>
      </c>
      <c r="C11751" s="3">
        <v>0.26697916666666666</v>
      </c>
      <c r="D11751" s="1">
        <v>12.885884</v>
      </c>
      <c r="E11751" s="1">
        <v>80.079387</v>
      </c>
      <c r="F11751" s="1">
        <v>3143.0</v>
      </c>
      <c r="G11751" s="1">
        <v>54.0</v>
      </c>
    </row>
    <row r="11752">
      <c r="A11752" s="1" t="s">
        <v>7</v>
      </c>
      <c r="B11752" s="2">
        <v>44776.0</v>
      </c>
      <c r="C11752" s="3">
        <v>0.2674768518518518</v>
      </c>
      <c r="D11752" s="1">
        <v>12.898197</v>
      </c>
      <c r="E11752" s="1">
        <v>80.070348</v>
      </c>
      <c r="F11752" s="1">
        <v>3143.0</v>
      </c>
      <c r="G11752" s="1">
        <v>58.0</v>
      </c>
    </row>
    <row r="11753">
      <c r="A11753" s="1" t="s">
        <v>7</v>
      </c>
      <c r="B11753" s="2">
        <v>44776.0</v>
      </c>
      <c r="C11753" s="3">
        <v>0.26885416666666667</v>
      </c>
      <c r="D11753" s="1">
        <v>12.914987</v>
      </c>
      <c r="E11753" s="1">
        <v>80.074885</v>
      </c>
      <c r="F11753" s="1">
        <v>3143.0</v>
      </c>
      <c r="G11753" s="1">
        <v>57.0</v>
      </c>
    </row>
    <row r="11754">
      <c r="A11754" s="1" t="s">
        <v>7</v>
      </c>
      <c r="B11754" s="2">
        <v>44776.0</v>
      </c>
      <c r="C11754" s="3">
        <v>0.2693402777777778</v>
      </c>
      <c r="D11754" s="1">
        <v>12.92059</v>
      </c>
      <c r="E11754" s="1">
        <v>80.076617</v>
      </c>
      <c r="F11754" s="1">
        <v>3143.0</v>
      </c>
      <c r="G11754" s="1">
        <v>54.0</v>
      </c>
    </row>
    <row r="11755">
      <c r="A11755" s="1" t="s">
        <v>7</v>
      </c>
      <c r="B11755" s="2">
        <v>44776.0</v>
      </c>
      <c r="C11755" s="3">
        <v>0.2697569444444444</v>
      </c>
      <c r="D11755" s="1">
        <v>12.925629</v>
      </c>
      <c r="E11755" s="1">
        <v>80.078223</v>
      </c>
      <c r="F11755" s="1">
        <v>3143.0</v>
      </c>
      <c r="G11755" s="1">
        <v>52.0</v>
      </c>
    </row>
    <row r="11756">
      <c r="A11756" s="1" t="s">
        <v>7</v>
      </c>
      <c r="B11756" s="2">
        <v>44776.0</v>
      </c>
      <c r="C11756" s="3">
        <v>0.2715162037037037</v>
      </c>
      <c r="D11756" s="1">
        <v>12.939609</v>
      </c>
      <c r="E11756" s="1">
        <v>80.083414</v>
      </c>
      <c r="F11756" s="1">
        <v>3143.0</v>
      </c>
      <c r="G11756" s="1">
        <v>53.0</v>
      </c>
    </row>
    <row r="11757">
      <c r="A11757" s="1" t="s">
        <v>7</v>
      </c>
      <c r="B11757" s="2">
        <v>44776.0</v>
      </c>
      <c r="C11757" s="3">
        <v>0.2717361111111111</v>
      </c>
      <c r="D11757" s="1">
        <v>12.941624</v>
      </c>
      <c r="E11757" s="1">
        <v>80.08413</v>
      </c>
      <c r="F11757" s="1">
        <v>3143.0</v>
      </c>
      <c r="G11757" s="1">
        <v>52.0</v>
      </c>
    </row>
    <row r="11758">
      <c r="A11758" s="1" t="s">
        <v>7</v>
      </c>
      <c r="B11758" s="2">
        <v>44776.0</v>
      </c>
      <c r="C11758" s="3">
        <v>0.2720601851851852</v>
      </c>
      <c r="D11758" s="1">
        <v>12.945842</v>
      </c>
      <c r="E11758" s="1">
        <v>80.085748</v>
      </c>
      <c r="F11758" s="1">
        <v>3143.0</v>
      </c>
      <c r="G11758" s="1">
        <v>56.0</v>
      </c>
    </row>
    <row r="11759">
      <c r="A11759" s="1" t="s">
        <v>7</v>
      </c>
      <c r="B11759" s="2">
        <v>44776.0</v>
      </c>
      <c r="C11759" s="3">
        <v>0.2755787037037037</v>
      </c>
      <c r="D11759" s="1">
        <v>12.988776</v>
      </c>
      <c r="E11759" s="1">
        <v>80.089101</v>
      </c>
      <c r="F11759" s="1">
        <v>3143.0</v>
      </c>
      <c r="G11759" s="1">
        <v>56.0</v>
      </c>
    </row>
    <row r="11760">
      <c r="A11760" s="1" t="s">
        <v>7</v>
      </c>
      <c r="B11760" s="2">
        <v>44776.0</v>
      </c>
      <c r="C11760" s="3">
        <v>0.2758912037037037</v>
      </c>
      <c r="D11760" s="1">
        <v>12.991186</v>
      </c>
      <c r="E11760" s="1">
        <v>80.088702</v>
      </c>
      <c r="F11760" s="1">
        <v>3143.0</v>
      </c>
      <c r="G11760" s="1">
        <v>58.0</v>
      </c>
    </row>
    <row r="11761">
      <c r="A11761" s="1" t="s">
        <v>7</v>
      </c>
      <c r="B11761" s="2">
        <v>44776.0</v>
      </c>
      <c r="C11761" s="3">
        <v>0.27627314814814813</v>
      </c>
      <c r="D11761" s="1">
        <v>12.995275</v>
      </c>
      <c r="E11761" s="1">
        <v>80.087382</v>
      </c>
      <c r="F11761" s="1">
        <v>3143.0</v>
      </c>
      <c r="G11761" s="1">
        <v>53.0</v>
      </c>
    </row>
    <row r="11762">
      <c r="A11762" s="1" t="s">
        <v>7</v>
      </c>
      <c r="B11762" s="2">
        <v>44776.0</v>
      </c>
      <c r="C11762" s="3">
        <v>0.2764351851851852</v>
      </c>
      <c r="D11762" s="1">
        <v>12.997539</v>
      </c>
      <c r="E11762" s="1">
        <v>80.087449</v>
      </c>
      <c r="F11762" s="1">
        <v>3143.0</v>
      </c>
      <c r="G11762" s="1">
        <v>59.0</v>
      </c>
    </row>
    <row r="11763">
      <c r="A11763" s="1" t="s">
        <v>7</v>
      </c>
      <c r="B11763" s="2">
        <v>44776.0</v>
      </c>
      <c r="C11763" s="3">
        <v>0.2771875</v>
      </c>
      <c r="D11763" s="1">
        <v>13.006006</v>
      </c>
      <c r="E11763" s="1">
        <v>80.090617</v>
      </c>
      <c r="F11763" s="1">
        <v>3143.0</v>
      </c>
      <c r="G11763" s="1">
        <v>58.0</v>
      </c>
    </row>
    <row r="11764">
      <c r="A11764" s="1" t="s">
        <v>7</v>
      </c>
      <c r="B11764" s="2">
        <v>44776.0</v>
      </c>
      <c r="C11764" s="3">
        <v>0.2774189814814815</v>
      </c>
      <c r="D11764" s="1">
        <v>13.010409</v>
      </c>
      <c r="E11764" s="1">
        <v>80.092278</v>
      </c>
      <c r="F11764" s="1">
        <v>3143.0</v>
      </c>
      <c r="G11764" s="1">
        <v>56.0</v>
      </c>
    </row>
    <row r="11765">
      <c r="A11765" s="1" t="s">
        <v>7</v>
      </c>
      <c r="B11765" s="2">
        <v>44776.0</v>
      </c>
      <c r="C11765" s="3">
        <v>0.27892361111111114</v>
      </c>
      <c r="D11765" s="1">
        <v>13.027979</v>
      </c>
      <c r="E11765" s="1">
        <v>80.090813</v>
      </c>
      <c r="F11765" s="1">
        <v>3143.0</v>
      </c>
      <c r="G11765" s="1">
        <v>57.0</v>
      </c>
    </row>
    <row r="11766">
      <c r="A11766" s="1" t="s">
        <v>7</v>
      </c>
      <c r="B11766" s="2">
        <v>44776.0</v>
      </c>
      <c r="C11766" s="3">
        <v>0.27922453703703703</v>
      </c>
      <c r="D11766" s="1">
        <v>13.030153</v>
      </c>
      <c r="E11766" s="1">
        <v>80.089989</v>
      </c>
      <c r="F11766" s="1">
        <v>3143.0</v>
      </c>
      <c r="G11766" s="1">
        <v>59.0</v>
      </c>
    </row>
    <row r="11767">
      <c r="A11767" s="1" t="s">
        <v>7</v>
      </c>
      <c r="B11767" s="2">
        <v>44776.0</v>
      </c>
      <c r="C11767" s="3">
        <v>0.27975694444444443</v>
      </c>
      <c r="D11767" s="1">
        <v>13.036834</v>
      </c>
      <c r="E11767" s="1">
        <v>80.087544</v>
      </c>
      <c r="F11767" s="1">
        <v>3143.0</v>
      </c>
      <c r="G11767" s="1">
        <v>58.0</v>
      </c>
    </row>
    <row r="11768">
      <c r="A11768" s="1" t="s">
        <v>7</v>
      </c>
      <c r="B11768" s="2">
        <v>44776.0</v>
      </c>
      <c r="C11768" s="3">
        <v>0.2800925925925926</v>
      </c>
      <c r="D11768" s="1">
        <v>13.041406</v>
      </c>
      <c r="E11768" s="1">
        <v>80.086149</v>
      </c>
      <c r="F11768" s="1">
        <v>3143.0</v>
      </c>
      <c r="G11768" s="1">
        <v>57.0</v>
      </c>
    </row>
    <row r="11769">
      <c r="A11769" s="1" t="s">
        <v>8</v>
      </c>
      <c r="B11769" s="2">
        <v>44776.0</v>
      </c>
      <c r="C11769" s="3">
        <v>0.28347222222222224</v>
      </c>
      <c r="D11769" s="1">
        <v>13.056582</v>
      </c>
      <c r="E11769" s="1">
        <v>80.097428</v>
      </c>
      <c r="F11769" s="1">
        <v>3143.0</v>
      </c>
      <c r="G11769" s="1">
        <v>10.0</v>
      </c>
    </row>
    <row r="11770">
      <c r="A11770" s="1" t="s">
        <v>8</v>
      </c>
      <c r="B11770" s="2">
        <v>44776.0</v>
      </c>
      <c r="C11770" s="3">
        <v>0.2835416666666667</v>
      </c>
      <c r="D11770" s="1">
        <v>13.056582</v>
      </c>
      <c r="E11770" s="1">
        <v>80.097428</v>
      </c>
      <c r="F11770" s="1">
        <v>3143.0</v>
      </c>
      <c r="G11770" s="1">
        <v>10.0</v>
      </c>
    </row>
    <row r="11771">
      <c r="A11771" s="1" t="s">
        <v>9</v>
      </c>
      <c r="B11771" s="2">
        <v>44776.0</v>
      </c>
      <c r="C11771" s="3">
        <v>0.28355324074074073</v>
      </c>
      <c r="D11771" s="1">
        <v>13.056582</v>
      </c>
      <c r="E11771" s="1">
        <v>80.097428</v>
      </c>
      <c r="F11771" s="1">
        <v>3143.0</v>
      </c>
      <c r="G11771" s="1">
        <v>10.0</v>
      </c>
    </row>
    <row r="11772">
      <c r="A11772" s="1" t="s">
        <v>10</v>
      </c>
      <c r="B11772" s="2">
        <v>44776.0</v>
      </c>
      <c r="C11772" s="3">
        <v>0.28597222222222224</v>
      </c>
      <c r="D11772" s="1">
        <v>13.054858</v>
      </c>
      <c r="E11772" s="1">
        <v>80.121505</v>
      </c>
      <c r="F11772" s="1">
        <v>3143.0</v>
      </c>
      <c r="G11772" s="1">
        <v>40.0</v>
      </c>
    </row>
    <row r="11773">
      <c r="A11773" s="1" t="s">
        <v>7</v>
      </c>
      <c r="B11773" s="2">
        <v>44776.0</v>
      </c>
      <c r="C11773" s="3">
        <v>0.28651620370370373</v>
      </c>
      <c r="D11773" s="1">
        <v>12.453738</v>
      </c>
      <c r="E11773" s="1">
        <v>79.841646</v>
      </c>
      <c r="F11773" s="1">
        <v>2846.0</v>
      </c>
      <c r="G11773" s="1">
        <v>53.0</v>
      </c>
    </row>
    <row r="11774">
      <c r="A11774" s="1" t="s">
        <v>7</v>
      </c>
      <c r="B11774" s="2">
        <v>44776.0</v>
      </c>
      <c r="C11774" s="3">
        <v>0.28953703703703704</v>
      </c>
      <c r="D11774" s="1">
        <v>12.481961</v>
      </c>
      <c r="E11774" s="1">
        <v>79.86106</v>
      </c>
      <c r="F11774" s="1">
        <v>2846.0</v>
      </c>
      <c r="G11774" s="1">
        <v>53.0</v>
      </c>
    </row>
    <row r="11775">
      <c r="A11775" s="1" t="s">
        <v>7</v>
      </c>
      <c r="B11775" s="2">
        <v>44776.0</v>
      </c>
      <c r="C11775" s="3">
        <v>0.2932986111111111</v>
      </c>
      <c r="D11775" s="1">
        <v>12.516441</v>
      </c>
      <c r="E11775" s="1">
        <v>79.888519</v>
      </c>
      <c r="F11775" s="1">
        <v>2846.0</v>
      </c>
      <c r="G11775" s="1">
        <v>63.0</v>
      </c>
    </row>
    <row r="11776">
      <c r="A11776" s="1" t="s">
        <v>7</v>
      </c>
      <c r="B11776" s="2">
        <v>44776.0</v>
      </c>
      <c r="C11776" s="3">
        <v>0.29399305555555555</v>
      </c>
      <c r="D11776" s="1">
        <v>12.515016</v>
      </c>
      <c r="E11776" s="1">
        <v>79.888589</v>
      </c>
      <c r="F11776" s="1">
        <v>2846.0</v>
      </c>
      <c r="G11776" s="1">
        <v>49.0</v>
      </c>
    </row>
    <row r="11777">
      <c r="A11777" s="1" t="s">
        <v>8</v>
      </c>
      <c r="B11777" s="2">
        <v>44776.0</v>
      </c>
      <c r="C11777" s="3">
        <v>0.2944791666666667</v>
      </c>
      <c r="D11777" s="1">
        <v>12.515016</v>
      </c>
      <c r="E11777" s="1">
        <v>79.888589</v>
      </c>
      <c r="F11777" s="1">
        <v>2846.0</v>
      </c>
      <c r="G11777" s="1">
        <v>49.0</v>
      </c>
    </row>
    <row r="11778">
      <c r="A11778" s="1" t="s">
        <v>8</v>
      </c>
      <c r="B11778" s="2">
        <v>44776.0</v>
      </c>
      <c r="C11778" s="3">
        <v>0.2948263888888889</v>
      </c>
      <c r="D11778" s="1">
        <v>12.510209</v>
      </c>
      <c r="E11778" s="1">
        <v>79.885114</v>
      </c>
      <c r="F11778" s="1">
        <v>2846.0</v>
      </c>
      <c r="G11778" s="1">
        <v>14.0</v>
      </c>
    </row>
    <row r="11779">
      <c r="A11779" s="1" t="s">
        <v>8</v>
      </c>
      <c r="B11779" s="2">
        <v>44776.0</v>
      </c>
      <c r="C11779" s="3">
        <v>0.29497685185185185</v>
      </c>
      <c r="D11779" s="1">
        <v>12.510209</v>
      </c>
      <c r="E11779" s="1">
        <v>79.885114</v>
      </c>
      <c r="F11779" s="1">
        <v>2846.0</v>
      </c>
      <c r="G11779" s="1">
        <v>14.0</v>
      </c>
    </row>
    <row r="11780">
      <c r="A11780" s="1" t="s">
        <v>10</v>
      </c>
      <c r="B11780" s="2">
        <v>44776.0</v>
      </c>
      <c r="C11780" s="3">
        <v>0.2963078703703704</v>
      </c>
      <c r="D11780" s="1">
        <v>12.508834</v>
      </c>
      <c r="E11780" s="1">
        <v>79.885792</v>
      </c>
      <c r="F11780" s="1">
        <v>2846.0</v>
      </c>
      <c r="G11780" s="1">
        <v>36.0</v>
      </c>
    </row>
    <row r="11781">
      <c r="A11781" s="1" t="s">
        <v>10</v>
      </c>
      <c r="B11781" s="2">
        <v>44776.0</v>
      </c>
      <c r="C11781" s="3">
        <v>0.2967939814814815</v>
      </c>
      <c r="D11781" s="1">
        <v>13.063174</v>
      </c>
      <c r="E11781" s="1">
        <v>80.247692</v>
      </c>
      <c r="F11781" s="1">
        <v>5339.0</v>
      </c>
      <c r="G11781" s="1">
        <v>23.0</v>
      </c>
    </row>
    <row r="11782">
      <c r="A11782" s="1" t="s">
        <v>8</v>
      </c>
      <c r="B11782" s="2">
        <v>44776.0</v>
      </c>
      <c r="C11782" s="3">
        <v>0.29739583333333336</v>
      </c>
      <c r="D11782" s="1">
        <v>13.061526</v>
      </c>
      <c r="E11782" s="1">
        <v>80.246826</v>
      </c>
      <c r="F11782" s="1">
        <v>5339.0</v>
      </c>
      <c r="G11782" s="1">
        <v>22.0</v>
      </c>
    </row>
    <row r="11783">
      <c r="A11783" s="1" t="s">
        <v>8</v>
      </c>
      <c r="B11783" s="2">
        <v>44776.0</v>
      </c>
      <c r="C11783" s="3">
        <v>0.2974074074074074</v>
      </c>
      <c r="D11783" s="1">
        <v>13.061526</v>
      </c>
      <c r="E11783" s="1">
        <v>80.246826</v>
      </c>
      <c r="F11783" s="1">
        <v>5339.0</v>
      </c>
      <c r="G11783" s="1">
        <v>22.0</v>
      </c>
    </row>
    <row r="11784">
      <c r="A11784" s="1" t="s">
        <v>7</v>
      </c>
      <c r="B11784" s="2">
        <v>44776.0</v>
      </c>
      <c r="C11784" s="3">
        <v>0.2988078703703704</v>
      </c>
      <c r="D11784" s="1">
        <v>12.518584</v>
      </c>
      <c r="E11784" s="1">
        <v>79.889135</v>
      </c>
      <c r="F11784" s="1">
        <v>2846.0</v>
      </c>
      <c r="G11784" s="1">
        <v>60.0</v>
      </c>
    </row>
    <row r="11785">
      <c r="A11785" s="1" t="s">
        <v>8</v>
      </c>
      <c r="B11785" s="2">
        <v>44776.0</v>
      </c>
      <c r="C11785" s="3">
        <v>0.2989236111111111</v>
      </c>
      <c r="D11785" s="1">
        <v>13.06703</v>
      </c>
      <c r="E11785" s="1">
        <v>80.246164</v>
      </c>
      <c r="F11785" s="1">
        <v>5339.0</v>
      </c>
      <c r="G11785" s="1">
        <v>36.0</v>
      </c>
    </row>
    <row r="11786">
      <c r="A11786" s="1" t="s">
        <v>7</v>
      </c>
      <c r="B11786" s="2">
        <v>44776.0</v>
      </c>
      <c r="C11786" s="3">
        <v>0.2989583333333333</v>
      </c>
      <c r="D11786" s="1">
        <v>12.518584</v>
      </c>
      <c r="E11786" s="1">
        <v>79.889135</v>
      </c>
      <c r="F11786" s="1">
        <v>2846.0</v>
      </c>
      <c r="G11786" s="1">
        <v>60.0</v>
      </c>
    </row>
    <row r="11787">
      <c r="A11787" s="1" t="s">
        <v>8</v>
      </c>
      <c r="B11787" s="2">
        <v>44776.0</v>
      </c>
      <c r="C11787" s="3">
        <v>0.29899305555555555</v>
      </c>
      <c r="D11787" s="1">
        <v>13.067824</v>
      </c>
      <c r="E11787" s="1">
        <v>80.246541</v>
      </c>
      <c r="F11787" s="1">
        <v>5339.0</v>
      </c>
      <c r="G11787" s="1">
        <v>29.0</v>
      </c>
    </row>
    <row r="11788">
      <c r="A11788" s="1" t="s">
        <v>7</v>
      </c>
      <c r="B11788" s="2">
        <v>44776.0</v>
      </c>
      <c r="C11788" s="3">
        <v>0.30127314814814815</v>
      </c>
      <c r="D11788" s="1">
        <v>12.538115</v>
      </c>
      <c r="E11788" s="1">
        <v>79.903683</v>
      </c>
      <c r="F11788" s="1">
        <v>2846.0</v>
      </c>
      <c r="G11788" s="1">
        <v>54.0</v>
      </c>
    </row>
    <row r="11789">
      <c r="A11789" s="1" t="s">
        <v>8</v>
      </c>
      <c r="B11789" s="2">
        <v>44776.0</v>
      </c>
      <c r="C11789" s="3">
        <v>0.30135416666666665</v>
      </c>
      <c r="D11789" s="1">
        <v>13.070219</v>
      </c>
      <c r="E11789" s="1">
        <v>80.25759</v>
      </c>
      <c r="F11789" s="1">
        <v>5339.0</v>
      </c>
      <c r="G11789" s="1">
        <v>34.0</v>
      </c>
    </row>
    <row r="11790">
      <c r="A11790" s="1" t="s">
        <v>8</v>
      </c>
      <c r="B11790" s="2">
        <v>44776.0</v>
      </c>
      <c r="C11790" s="3">
        <v>0.30136574074074074</v>
      </c>
      <c r="D11790" s="1">
        <v>13.070219</v>
      </c>
      <c r="E11790" s="1">
        <v>80.25759</v>
      </c>
      <c r="F11790" s="1">
        <v>5339.0</v>
      </c>
      <c r="G11790" s="1">
        <v>34.0</v>
      </c>
    </row>
    <row r="11791">
      <c r="A11791" s="1" t="s">
        <v>10</v>
      </c>
      <c r="B11791" s="2">
        <v>44776.0</v>
      </c>
      <c r="C11791" s="3">
        <v>0.3019791666666667</v>
      </c>
      <c r="D11791" s="1">
        <v>13.071539</v>
      </c>
      <c r="E11791" s="1">
        <v>80.259111</v>
      </c>
      <c r="F11791" s="1">
        <v>5339.0</v>
      </c>
      <c r="G11791" s="1">
        <v>0.0</v>
      </c>
    </row>
    <row r="11792">
      <c r="A11792" s="1" t="s">
        <v>10</v>
      </c>
      <c r="B11792" s="2">
        <v>44776.0</v>
      </c>
      <c r="C11792" s="3">
        <v>0.3023263888888889</v>
      </c>
      <c r="D11792" s="1">
        <v>13.034436</v>
      </c>
      <c r="E11792" s="1">
        <v>80.111863</v>
      </c>
      <c r="F11792" s="1">
        <v>3143.0</v>
      </c>
      <c r="G11792" s="1">
        <v>37.0</v>
      </c>
    </row>
    <row r="11793">
      <c r="A11793" s="1" t="s">
        <v>7</v>
      </c>
      <c r="B11793" s="2">
        <v>44776.0</v>
      </c>
      <c r="C11793" s="3">
        <v>0.3027314814814815</v>
      </c>
      <c r="D11793" s="1">
        <v>13.06409</v>
      </c>
      <c r="E11793" s="1">
        <v>80.265338</v>
      </c>
      <c r="F11793" s="1">
        <v>805.0</v>
      </c>
      <c r="G11793" s="1">
        <v>49.0</v>
      </c>
    </row>
    <row r="11794">
      <c r="A11794" s="1" t="s">
        <v>8</v>
      </c>
      <c r="B11794" s="2">
        <v>44776.0</v>
      </c>
      <c r="C11794" s="3">
        <v>0.30280092592592595</v>
      </c>
      <c r="D11794" s="1">
        <v>13.072462</v>
      </c>
      <c r="E11794" s="1">
        <v>80.263459</v>
      </c>
      <c r="F11794" s="1">
        <v>5339.0</v>
      </c>
      <c r="G11794" s="1">
        <v>22.0</v>
      </c>
    </row>
    <row r="11795">
      <c r="A11795" s="1" t="s">
        <v>8</v>
      </c>
      <c r="B11795" s="2">
        <v>44776.0</v>
      </c>
      <c r="C11795" s="3">
        <v>0.303125</v>
      </c>
      <c r="D11795" s="1">
        <v>13.067098</v>
      </c>
      <c r="E11795" s="1">
        <v>80.268643</v>
      </c>
      <c r="F11795" s="1">
        <v>805.0</v>
      </c>
      <c r="G11795" s="1">
        <v>36.0</v>
      </c>
    </row>
    <row r="11796">
      <c r="A11796" s="1" t="s">
        <v>10</v>
      </c>
      <c r="B11796" s="2">
        <v>44776.0</v>
      </c>
      <c r="C11796" s="3">
        <v>0.30377314814814815</v>
      </c>
      <c r="D11796" s="1">
        <v>13.069027</v>
      </c>
      <c r="E11796" s="1">
        <v>80.267259</v>
      </c>
      <c r="F11796" s="1">
        <v>5339.0</v>
      </c>
      <c r="G11796" s="1">
        <v>35.0</v>
      </c>
    </row>
    <row r="11797">
      <c r="A11797" s="1" t="s">
        <v>8</v>
      </c>
      <c r="B11797" s="2">
        <v>44776.0</v>
      </c>
      <c r="C11797" s="3">
        <v>0.30443287037037037</v>
      </c>
      <c r="D11797" s="1">
        <v>13.068174</v>
      </c>
      <c r="E11797" s="1">
        <v>80.271321</v>
      </c>
      <c r="F11797" s="1">
        <v>5339.0</v>
      </c>
      <c r="G11797" s="1">
        <v>26.0</v>
      </c>
    </row>
    <row r="11798">
      <c r="A11798" s="1" t="s">
        <v>10</v>
      </c>
      <c r="B11798" s="2">
        <v>44776.0</v>
      </c>
      <c r="C11798" s="3">
        <v>0.30451388888888886</v>
      </c>
      <c r="D11798" s="1">
        <v>13.063591</v>
      </c>
      <c r="E11798" s="1">
        <v>80.26741</v>
      </c>
      <c r="F11798" s="1">
        <v>805.0</v>
      </c>
      <c r="G11798" s="1">
        <v>23.0</v>
      </c>
    </row>
    <row r="11799">
      <c r="A11799" s="1" t="s">
        <v>10</v>
      </c>
      <c r="B11799" s="2">
        <v>44776.0</v>
      </c>
      <c r="C11799" s="3">
        <v>0.30583333333333335</v>
      </c>
      <c r="D11799" s="1">
        <v>13.063866</v>
      </c>
      <c r="E11799" s="1">
        <v>80.274117</v>
      </c>
      <c r="F11799" s="1">
        <v>5339.0</v>
      </c>
      <c r="G11799" s="1">
        <v>19.0</v>
      </c>
    </row>
    <row r="11800">
      <c r="A11800" s="1" t="s">
        <v>10</v>
      </c>
      <c r="B11800" s="2">
        <v>44776.0</v>
      </c>
      <c r="C11800" s="3">
        <v>0.3058796296296296</v>
      </c>
      <c r="D11800" s="1">
        <v>13.063866</v>
      </c>
      <c r="E11800" s="1">
        <v>80.274117</v>
      </c>
      <c r="F11800" s="1">
        <v>5339.0</v>
      </c>
      <c r="G11800" s="1">
        <v>19.0</v>
      </c>
    </row>
    <row r="11801">
      <c r="A11801" s="1" t="s">
        <v>8</v>
      </c>
      <c r="B11801" s="2">
        <v>44776.0</v>
      </c>
      <c r="C11801" s="3">
        <v>0.3079513888888889</v>
      </c>
      <c r="D11801" s="1">
        <v>13.012796</v>
      </c>
      <c r="E11801" s="1">
        <v>80.102539</v>
      </c>
      <c r="F11801" s="1">
        <v>3143.0</v>
      </c>
      <c r="G11801" s="1">
        <v>13.0</v>
      </c>
    </row>
    <row r="11802">
      <c r="A11802" s="1" t="s">
        <v>8</v>
      </c>
      <c r="B11802" s="2">
        <v>44776.0</v>
      </c>
      <c r="C11802" s="3">
        <v>0.30811342592592594</v>
      </c>
      <c r="D11802" s="1">
        <v>13.012432</v>
      </c>
      <c r="E11802" s="1">
        <v>80.102436</v>
      </c>
      <c r="F11802" s="1">
        <v>3143.0</v>
      </c>
      <c r="G11802" s="1">
        <v>15.0</v>
      </c>
    </row>
    <row r="11803">
      <c r="A11803" s="1" t="s">
        <v>10</v>
      </c>
      <c r="B11803" s="2">
        <v>44776.0</v>
      </c>
      <c r="C11803" s="3">
        <v>0.3099074074074074</v>
      </c>
      <c r="D11803" s="1">
        <v>13.05334</v>
      </c>
      <c r="E11803" s="1">
        <v>80.2708</v>
      </c>
      <c r="F11803" s="1">
        <v>5339.0</v>
      </c>
      <c r="G11803" s="1">
        <v>27.0</v>
      </c>
    </row>
    <row r="11804">
      <c r="A11804" s="1" t="s">
        <v>10</v>
      </c>
      <c r="B11804" s="2">
        <v>44776.0</v>
      </c>
      <c r="C11804" s="3">
        <v>0.3100462962962963</v>
      </c>
      <c r="D11804" s="1">
        <v>13.053374</v>
      </c>
      <c r="E11804" s="1">
        <v>80.270312</v>
      </c>
      <c r="F11804" s="1">
        <v>5339.0</v>
      </c>
      <c r="G11804" s="1">
        <v>21.0</v>
      </c>
    </row>
    <row r="11805">
      <c r="A11805" s="1" t="s">
        <v>10</v>
      </c>
      <c r="B11805" s="2">
        <v>44776.0</v>
      </c>
      <c r="C11805" s="3">
        <v>0.31017361111111114</v>
      </c>
      <c r="D11805" s="1">
        <v>13.053401</v>
      </c>
      <c r="E11805" s="1">
        <v>80.269701</v>
      </c>
      <c r="F11805" s="1">
        <v>5339.0</v>
      </c>
      <c r="G11805" s="1">
        <v>19.0</v>
      </c>
    </row>
    <row r="11806">
      <c r="A11806" s="1" t="s">
        <v>10</v>
      </c>
      <c r="B11806" s="2">
        <v>44776.0</v>
      </c>
      <c r="C11806" s="3">
        <v>0.31082175925925926</v>
      </c>
      <c r="D11806" s="1">
        <v>13.047719</v>
      </c>
      <c r="E11806" s="1">
        <v>80.266258</v>
      </c>
      <c r="F11806" s="1">
        <v>805.0</v>
      </c>
      <c r="G11806" s="1">
        <v>21.0</v>
      </c>
    </row>
    <row r="11807">
      <c r="A11807" s="1" t="s">
        <v>8</v>
      </c>
      <c r="B11807" s="2">
        <v>44776.0</v>
      </c>
      <c r="C11807" s="3">
        <v>0.31225694444444446</v>
      </c>
      <c r="D11807" s="1">
        <v>13.054342</v>
      </c>
      <c r="E11807" s="1">
        <v>80.258774</v>
      </c>
      <c r="F11807" s="1">
        <v>5339.0</v>
      </c>
      <c r="G11807" s="1">
        <v>43.0</v>
      </c>
    </row>
    <row r="11808">
      <c r="A11808" s="1" t="s">
        <v>8</v>
      </c>
      <c r="B11808" s="2">
        <v>44776.0</v>
      </c>
      <c r="C11808" s="3">
        <v>0.3126273148148148</v>
      </c>
      <c r="D11808" s="1">
        <v>12.657916</v>
      </c>
      <c r="E11808" s="1">
        <v>79.945656</v>
      </c>
      <c r="F11808" s="1">
        <v>2846.0</v>
      </c>
      <c r="G11808" s="1">
        <v>51.0</v>
      </c>
    </row>
    <row r="11809">
      <c r="A11809" s="1" t="s">
        <v>8</v>
      </c>
      <c r="B11809" s="2">
        <v>44776.0</v>
      </c>
      <c r="C11809" s="3">
        <v>0.31267361111111114</v>
      </c>
      <c r="D11809" s="1">
        <v>12.657916</v>
      </c>
      <c r="E11809" s="1">
        <v>79.945656</v>
      </c>
      <c r="F11809" s="1">
        <v>2846.0</v>
      </c>
      <c r="G11809" s="1">
        <v>51.0</v>
      </c>
    </row>
    <row r="11810">
      <c r="A11810" s="1" t="s">
        <v>8</v>
      </c>
      <c r="B11810" s="2">
        <v>44776.0</v>
      </c>
      <c r="C11810" s="3">
        <v>0.3141087962962963</v>
      </c>
      <c r="D11810" s="1">
        <v>12.658643</v>
      </c>
      <c r="E11810" s="1">
        <v>79.959485</v>
      </c>
      <c r="F11810" s="1">
        <v>2846.0</v>
      </c>
      <c r="G11810" s="1">
        <v>22.0</v>
      </c>
    </row>
    <row r="11811">
      <c r="A11811" s="1" t="s">
        <v>8</v>
      </c>
      <c r="B11811" s="2">
        <v>44776.0</v>
      </c>
      <c r="C11811" s="3">
        <v>0.31417824074074074</v>
      </c>
      <c r="D11811" s="1">
        <v>12.658649</v>
      </c>
      <c r="E11811" s="1">
        <v>79.960053</v>
      </c>
      <c r="F11811" s="1">
        <v>2846.0</v>
      </c>
      <c r="G11811" s="1">
        <v>21.0</v>
      </c>
    </row>
    <row r="11812">
      <c r="A11812" s="1" t="s">
        <v>8</v>
      </c>
      <c r="B11812" s="2">
        <v>44776.0</v>
      </c>
      <c r="C11812" s="3">
        <v>0.3142361111111111</v>
      </c>
      <c r="D11812" s="1">
        <v>12.658609</v>
      </c>
      <c r="E11812" s="1">
        <v>79.960806</v>
      </c>
      <c r="F11812" s="1">
        <v>2846.0</v>
      </c>
      <c r="G11812" s="1">
        <v>36.0</v>
      </c>
    </row>
    <row r="11813">
      <c r="A11813" s="1" t="s">
        <v>8</v>
      </c>
      <c r="B11813" s="2">
        <v>44776.0</v>
      </c>
      <c r="C11813" s="3">
        <v>0.314375</v>
      </c>
      <c r="D11813" s="1">
        <v>12.9963</v>
      </c>
      <c r="E11813" s="1">
        <v>80.108912</v>
      </c>
      <c r="F11813" s="1">
        <v>3143.0</v>
      </c>
      <c r="G11813" s="1">
        <v>23.0</v>
      </c>
    </row>
    <row r="11814">
      <c r="A11814" s="1" t="s">
        <v>8</v>
      </c>
      <c r="B11814" s="2">
        <v>44776.0</v>
      </c>
      <c r="C11814" s="3">
        <v>0.31461805555555555</v>
      </c>
      <c r="D11814" s="1">
        <v>13.043964</v>
      </c>
      <c r="E11814" s="1">
        <v>80.247907</v>
      </c>
      <c r="F11814" s="1">
        <v>5339.0</v>
      </c>
      <c r="G11814" s="1">
        <v>41.0</v>
      </c>
    </row>
    <row r="11815">
      <c r="A11815" s="1" t="s">
        <v>8</v>
      </c>
      <c r="B11815" s="2">
        <v>44776.0</v>
      </c>
      <c r="C11815" s="3">
        <v>0.31472222222222224</v>
      </c>
      <c r="D11815" s="1">
        <v>12.993455</v>
      </c>
      <c r="E11815" s="1">
        <v>80.11333</v>
      </c>
      <c r="F11815" s="1">
        <v>3143.0</v>
      </c>
      <c r="G11815" s="1">
        <v>38.0</v>
      </c>
    </row>
    <row r="11816">
      <c r="A11816" s="1" t="s">
        <v>7</v>
      </c>
      <c r="B11816" s="2">
        <v>44776.0</v>
      </c>
      <c r="C11816" s="3">
        <v>0.31484953703703705</v>
      </c>
      <c r="D11816" s="1">
        <v>12.660624</v>
      </c>
      <c r="E11816" s="1">
        <v>79.965765</v>
      </c>
      <c r="F11816" s="1">
        <v>2846.0</v>
      </c>
      <c r="G11816" s="1">
        <v>57.0</v>
      </c>
    </row>
    <row r="11817">
      <c r="A11817" s="1" t="s">
        <v>8</v>
      </c>
      <c r="B11817" s="2">
        <v>44776.0</v>
      </c>
      <c r="C11817" s="3">
        <v>0.3151851851851852</v>
      </c>
      <c r="D11817" s="1">
        <v>12.991605</v>
      </c>
      <c r="E11817" s="1">
        <v>80.115355</v>
      </c>
      <c r="F11817" s="1">
        <v>3143.0</v>
      </c>
      <c r="G11817" s="1">
        <v>41.0</v>
      </c>
    </row>
    <row r="11818">
      <c r="A11818" s="1" t="s">
        <v>8</v>
      </c>
      <c r="B11818" s="2">
        <v>44776.0</v>
      </c>
      <c r="C11818" s="3">
        <v>0.3152314814814815</v>
      </c>
      <c r="D11818" s="1">
        <v>13.042422</v>
      </c>
      <c r="E11818" s="1">
        <v>80.247645</v>
      </c>
      <c r="F11818" s="1">
        <v>5339.0</v>
      </c>
      <c r="G11818" s="1">
        <v>25.0</v>
      </c>
    </row>
    <row r="11819">
      <c r="A11819" s="1" t="s">
        <v>8</v>
      </c>
      <c r="B11819" s="2">
        <v>44776.0</v>
      </c>
      <c r="C11819" s="3">
        <v>0.3156712962962963</v>
      </c>
      <c r="D11819" s="1">
        <v>12.666599</v>
      </c>
      <c r="E11819" s="1">
        <v>79.970864</v>
      </c>
      <c r="F11819" s="1">
        <v>2846.0</v>
      </c>
      <c r="G11819" s="1">
        <v>51.0</v>
      </c>
    </row>
    <row r="11820">
      <c r="A11820" s="1" t="s">
        <v>10</v>
      </c>
      <c r="B11820" s="2">
        <v>44776.0</v>
      </c>
      <c r="C11820" s="3">
        <v>0.31582175925925926</v>
      </c>
      <c r="D11820" s="1">
        <v>13.026243</v>
      </c>
      <c r="E11820" s="1">
        <v>80.265978</v>
      </c>
      <c r="F11820" s="1">
        <v>805.0</v>
      </c>
      <c r="G11820" s="1">
        <v>14.0</v>
      </c>
    </row>
    <row r="11821">
      <c r="A11821" s="1" t="s">
        <v>10</v>
      </c>
      <c r="B11821" s="2">
        <v>44776.0</v>
      </c>
      <c r="C11821" s="3">
        <v>0.3160648148148148</v>
      </c>
      <c r="D11821" s="1">
        <v>12.987286</v>
      </c>
      <c r="E11821" s="1">
        <v>80.118714</v>
      </c>
      <c r="F11821" s="1">
        <v>3143.0</v>
      </c>
      <c r="G11821" s="1">
        <v>31.0</v>
      </c>
    </row>
    <row r="11822">
      <c r="A11822" s="1" t="s">
        <v>8</v>
      </c>
      <c r="B11822" s="2">
        <v>44776.0</v>
      </c>
      <c r="C11822" s="3">
        <v>0.31644675925925925</v>
      </c>
      <c r="D11822" s="1">
        <v>13.039769</v>
      </c>
      <c r="E11822" s="1">
        <v>80.247151</v>
      </c>
      <c r="F11822" s="1">
        <v>5339.0</v>
      </c>
      <c r="G11822" s="1">
        <v>10.0</v>
      </c>
    </row>
    <row r="11823">
      <c r="A11823" s="1" t="s">
        <v>8</v>
      </c>
      <c r="B11823" s="2">
        <v>44776.0</v>
      </c>
      <c r="C11823" s="3">
        <v>0.3167476851851852</v>
      </c>
      <c r="D11823" s="1">
        <v>12.984765</v>
      </c>
      <c r="E11823" s="1">
        <v>80.122052</v>
      </c>
      <c r="F11823" s="1">
        <v>3143.0</v>
      </c>
      <c r="G11823" s="1">
        <v>25.0</v>
      </c>
    </row>
    <row r="11824">
      <c r="A11824" s="1" t="s">
        <v>8</v>
      </c>
      <c r="B11824" s="2">
        <v>44776.0</v>
      </c>
      <c r="C11824" s="3">
        <v>0.31730324074074073</v>
      </c>
      <c r="D11824" s="1">
        <v>13.034412</v>
      </c>
      <c r="E11824" s="1">
        <v>80.245196</v>
      </c>
      <c r="F11824" s="1">
        <v>5339.0</v>
      </c>
      <c r="G11824" s="1">
        <v>43.0</v>
      </c>
    </row>
    <row r="11825">
      <c r="A11825" s="1" t="s">
        <v>8</v>
      </c>
      <c r="B11825" s="2">
        <v>44776.0</v>
      </c>
      <c r="C11825" s="3">
        <v>0.3173958333333333</v>
      </c>
      <c r="D11825" s="1">
        <v>13.034412</v>
      </c>
      <c r="E11825" s="1">
        <v>80.245196</v>
      </c>
      <c r="F11825" s="1">
        <v>5339.0</v>
      </c>
      <c r="G11825" s="1">
        <v>43.0</v>
      </c>
    </row>
    <row r="11826">
      <c r="A11826" s="1" t="s">
        <v>8</v>
      </c>
      <c r="B11826" s="2">
        <v>44776.0</v>
      </c>
      <c r="C11826" s="3">
        <v>0.31752314814814814</v>
      </c>
      <c r="D11826" s="1">
        <v>13.033458</v>
      </c>
      <c r="E11826" s="1">
        <v>80.243929</v>
      </c>
      <c r="F11826" s="1">
        <v>5339.0</v>
      </c>
      <c r="G11826" s="1">
        <v>36.0</v>
      </c>
    </row>
    <row r="11827">
      <c r="A11827" s="1" t="s">
        <v>9</v>
      </c>
      <c r="B11827" s="2">
        <v>44776.0</v>
      </c>
      <c r="C11827" s="3">
        <v>0.31754629629629627</v>
      </c>
      <c r="D11827" s="1">
        <v>12.675987</v>
      </c>
      <c r="E11827" s="1">
        <v>79.978098</v>
      </c>
      <c r="F11827" s="1">
        <v>2846.0</v>
      </c>
      <c r="G11827" s="1">
        <v>34.0</v>
      </c>
    </row>
    <row r="11828">
      <c r="A11828" s="1" t="s">
        <v>8</v>
      </c>
      <c r="B11828" s="2">
        <v>44776.0</v>
      </c>
      <c r="C11828" s="3">
        <v>0.3184490740740741</v>
      </c>
      <c r="D11828" s="1">
        <v>13.030887</v>
      </c>
      <c r="E11828" s="1">
        <v>80.23962</v>
      </c>
      <c r="F11828" s="1">
        <v>5339.0</v>
      </c>
      <c r="G11828" s="1">
        <v>24.0</v>
      </c>
    </row>
    <row r="11829">
      <c r="A11829" s="1" t="s">
        <v>8</v>
      </c>
      <c r="B11829" s="2">
        <v>44776.0</v>
      </c>
      <c r="C11829" s="3">
        <v>0.3184606481481482</v>
      </c>
      <c r="D11829" s="1">
        <v>13.030887</v>
      </c>
      <c r="E11829" s="1">
        <v>80.23962</v>
      </c>
      <c r="F11829" s="1">
        <v>5339.0</v>
      </c>
      <c r="G11829" s="1">
        <v>24.0</v>
      </c>
    </row>
    <row r="11830">
      <c r="A11830" s="1" t="s">
        <v>8</v>
      </c>
      <c r="B11830" s="2">
        <v>44776.0</v>
      </c>
      <c r="C11830" s="3">
        <v>0.31873842592592594</v>
      </c>
      <c r="D11830" s="1">
        <v>13.029957</v>
      </c>
      <c r="E11830" s="1">
        <v>80.23786</v>
      </c>
      <c r="F11830" s="1">
        <v>5339.0</v>
      </c>
      <c r="G11830" s="1">
        <v>38.0</v>
      </c>
    </row>
    <row r="11831">
      <c r="A11831" s="1" t="s">
        <v>8</v>
      </c>
      <c r="B11831" s="2">
        <v>44776.0</v>
      </c>
      <c r="C11831" s="3">
        <v>0.3190625</v>
      </c>
      <c r="D11831" s="1">
        <v>13.028227</v>
      </c>
      <c r="E11831" s="1">
        <v>80.235774</v>
      </c>
      <c r="F11831" s="1">
        <v>5339.0</v>
      </c>
      <c r="G11831" s="1">
        <v>39.0</v>
      </c>
    </row>
    <row r="11832">
      <c r="A11832" s="1" t="s">
        <v>8</v>
      </c>
      <c r="B11832" s="2">
        <v>44776.0</v>
      </c>
      <c r="C11832" s="3">
        <v>0.31916666666666665</v>
      </c>
      <c r="D11832" s="1">
        <v>13.028227</v>
      </c>
      <c r="E11832" s="1">
        <v>80.235774</v>
      </c>
      <c r="F11832" s="1">
        <v>5339.0</v>
      </c>
      <c r="G11832" s="1">
        <v>39.0</v>
      </c>
    </row>
    <row r="11833">
      <c r="A11833" s="1" t="s">
        <v>10</v>
      </c>
      <c r="B11833" s="2">
        <v>44776.0</v>
      </c>
      <c r="C11833" s="3">
        <v>0.31971064814814815</v>
      </c>
      <c r="D11833" s="1">
        <v>12.976708</v>
      </c>
      <c r="E11833" s="1">
        <v>80.132699</v>
      </c>
      <c r="F11833" s="1">
        <v>3143.0</v>
      </c>
      <c r="G11833" s="1">
        <v>34.0</v>
      </c>
    </row>
    <row r="11834">
      <c r="A11834" s="1" t="s">
        <v>8</v>
      </c>
      <c r="B11834" s="2">
        <v>44776.0</v>
      </c>
      <c r="C11834" s="3">
        <v>0.3200925925925926</v>
      </c>
      <c r="D11834" s="1">
        <v>13.026554</v>
      </c>
      <c r="E11834" s="1">
        <v>80.233068</v>
      </c>
      <c r="F11834" s="1">
        <v>5339.0</v>
      </c>
      <c r="G11834" s="1">
        <v>21.0</v>
      </c>
    </row>
    <row r="11835">
      <c r="A11835" s="1" t="s">
        <v>8</v>
      </c>
      <c r="B11835" s="2">
        <v>44776.0</v>
      </c>
      <c r="C11835" s="3">
        <v>0.3201273148148148</v>
      </c>
      <c r="D11835" s="1">
        <v>12.685695</v>
      </c>
      <c r="E11835" s="1">
        <v>79.983441</v>
      </c>
      <c r="F11835" s="1">
        <v>2846.0</v>
      </c>
      <c r="G11835" s="1">
        <v>37.0</v>
      </c>
    </row>
    <row r="11836">
      <c r="A11836" s="1" t="s">
        <v>8</v>
      </c>
      <c r="B11836" s="2">
        <v>44776.0</v>
      </c>
      <c r="C11836" s="3">
        <v>0.32013888888888886</v>
      </c>
      <c r="D11836" s="1">
        <v>13.026554</v>
      </c>
      <c r="E11836" s="1">
        <v>80.233068</v>
      </c>
      <c r="F11836" s="1">
        <v>5339.0</v>
      </c>
      <c r="G11836" s="1">
        <v>21.0</v>
      </c>
    </row>
    <row r="11837">
      <c r="A11837" s="1" t="s">
        <v>10</v>
      </c>
      <c r="B11837" s="2">
        <v>44776.0</v>
      </c>
      <c r="C11837" s="3">
        <v>0.32016203703703705</v>
      </c>
      <c r="D11837" s="1">
        <v>12.975029</v>
      </c>
      <c r="E11837" s="1">
        <v>80.132744</v>
      </c>
      <c r="F11837" s="1">
        <v>3143.0</v>
      </c>
      <c r="G11837" s="1">
        <v>16.0</v>
      </c>
    </row>
    <row r="11838">
      <c r="A11838" s="1" t="s">
        <v>8</v>
      </c>
      <c r="B11838" s="2">
        <v>44776.0</v>
      </c>
      <c r="C11838" s="3">
        <v>0.32028935185185187</v>
      </c>
      <c r="D11838" s="1">
        <v>12.686509</v>
      </c>
      <c r="E11838" s="1">
        <v>79.983246</v>
      </c>
      <c r="F11838" s="1">
        <v>2846.0</v>
      </c>
      <c r="G11838" s="1">
        <v>30.0</v>
      </c>
    </row>
    <row r="11839">
      <c r="A11839" s="1" t="s">
        <v>8</v>
      </c>
      <c r="B11839" s="2">
        <v>44776.0</v>
      </c>
      <c r="C11839" s="3">
        <v>0.32037037037037036</v>
      </c>
      <c r="D11839" s="1">
        <v>12.686509</v>
      </c>
      <c r="E11839" s="1">
        <v>79.983246</v>
      </c>
      <c r="F11839" s="1">
        <v>2846.0</v>
      </c>
      <c r="G11839" s="1">
        <v>30.0</v>
      </c>
    </row>
    <row r="11840">
      <c r="A11840" s="1" t="s">
        <v>10</v>
      </c>
      <c r="B11840" s="2">
        <v>44776.0</v>
      </c>
      <c r="C11840" s="3">
        <v>0.32038194444444446</v>
      </c>
      <c r="D11840" s="1">
        <v>13.007348</v>
      </c>
      <c r="E11840" s="1">
        <v>80.259249</v>
      </c>
      <c r="F11840" s="1">
        <v>805.0</v>
      </c>
      <c r="G11840" s="1">
        <v>6.0</v>
      </c>
    </row>
    <row r="11841">
      <c r="A11841" s="1" t="s">
        <v>8</v>
      </c>
      <c r="B11841" s="2">
        <v>44776.0</v>
      </c>
      <c r="C11841" s="3">
        <v>0.3203935185185185</v>
      </c>
      <c r="D11841" s="1">
        <v>13.025774</v>
      </c>
      <c r="E11841" s="1">
        <v>80.230636</v>
      </c>
      <c r="F11841" s="1">
        <v>5339.0</v>
      </c>
      <c r="G11841" s="1">
        <v>40.0</v>
      </c>
    </row>
    <row r="11842">
      <c r="A11842" s="1" t="s">
        <v>8</v>
      </c>
      <c r="B11842" s="2">
        <v>44776.0</v>
      </c>
      <c r="C11842" s="3">
        <v>0.3206597222222222</v>
      </c>
      <c r="D11842" s="1">
        <v>12.687867</v>
      </c>
      <c r="E11842" s="1">
        <v>79.982918</v>
      </c>
      <c r="F11842" s="1">
        <v>2846.0</v>
      </c>
      <c r="G11842" s="1">
        <v>31.0</v>
      </c>
    </row>
    <row r="11843">
      <c r="A11843" s="1" t="s">
        <v>8</v>
      </c>
      <c r="B11843" s="2">
        <v>44776.0</v>
      </c>
      <c r="C11843" s="3">
        <v>0.32077546296296294</v>
      </c>
      <c r="D11843" s="1">
        <v>12.688511</v>
      </c>
      <c r="E11843" s="1">
        <v>79.982714</v>
      </c>
      <c r="F11843" s="1">
        <v>2846.0</v>
      </c>
      <c r="G11843" s="1">
        <v>26.0</v>
      </c>
    </row>
    <row r="11844">
      <c r="A11844" s="1" t="s">
        <v>8</v>
      </c>
      <c r="B11844" s="2">
        <v>44776.0</v>
      </c>
      <c r="C11844" s="3">
        <v>0.32155092592592593</v>
      </c>
      <c r="D11844" s="1">
        <v>13.006453</v>
      </c>
      <c r="E11844" s="1">
        <v>80.256312</v>
      </c>
      <c r="F11844" s="1">
        <v>805.0</v>
      </c>
      <c r="G11844" s="1">
        <v>34.0</v>
      </c>
    </row>
    <row r="11845">
      <c r="A11845" s="1" t="s">
        <v>8</v>
      </c>
      <c r="B11845" s="2">
        <v>44776.0</v>
      </c>
      <c r="C11845" s="3">
        <v>0.3222453703703704</v>
      </c>
      <c r="D11845" s="1">
        <v>13.01534</v>
      </c>
      <c r="E11845" s="1">
        <v>80.225855</v>
      </c>
      <c r="F11845" s="1">
        <v>5339.0</v>
      </c>
      <c r="G11845" s="1">
        <v>12.0</v>
      </c>
    </row>
    <row r="11846">
      <c r="A11846" s="1" t="s">
        <v>8</v>
      </c>
      <c r="B11846" s="2">
        <v>44776.0</v>
      </c>
      <c r="C11846" s="3">
        <v>0.32225694444444447</v>
      </c>
      <c r="D11846" s="1">
        <v>13.01534</v>
      </c>
      <c r="E11846" s="1">
        <v>80.225855</v>
      </c>
      <c r="F11846" s="1">
        <v>5339.0</v>
      </c>
      <c r="G11846" s="1">
        <v>12.0</v>
      </c>
    </row>
    <row r="11847">
      <c r="A11847" s="1" t="s">
        <v>8</v>
      </c>
      <c r="B11847" s="2">
        <v>44776.0</v>
      </c>
      <c r="C11847" s="3">
        <v>0.3223958333333333</v>
      </c>
      <c r="D11847" s="1">
        <v>13.014488</v>
      </c>
      <c r="E11847" s="1">
        <v>80.226196</v>
      </c>
      <c r="F11847" s="1">
        <v>5339.0</v>
      </c>
      <c r="G11847" s="1">
        <v>32.0</v>
      </c>
    </row>
    <row r="11848">
      <c r="A11848" s="1" t="s">
        <v>8</v>
      </c>
      <c r="B11848" s="2">
        <v>44776.0</v>
      </c>
      <c r="C11848" s="3">
        <v>0.3227777777777778</v>
      </c>
      <c r="D11848" s="1">
        <v>13.0116</v>
      </c>
      <c r="E11848" s="1">
        <v>80.227314</v>
      </c>
      <c r="F11848" s="1">
        <v>5339.0</v>
      </c>
      <c r="G11848" s="1">
        <v>44.0</v>
      </c>
    </row>
    <row r="11849">
      <c r="A11849" s="1" t="s">
        <v>8</v>
      </c>
      <c r="B11849" s="2">
        <v>44776.0</v>
      </c>
      <c r="C11849" s="3">
        <v>0.32287037037037036</v>
      </c>
      <c r="D11849" s="1">
        <v>13.0116</v>
      </c>
      <c r="E11849" s="1">
        <v>80.227314</v>
      </c>
      <c r="F11849" s="1">
        <v>5339.0</v>
      </c>
      <c r="G11849" s="1">
        <v>44.0</v>
      </c>
    </row>
    <row r="11850">
      <c r="A11850" s="1" t="s">
        <v>8</v>
      </c>
      <c r="B11850" s="2">
        <v>44776.0</v>
      </c>
      <c r="C11850" s="3">
        <v>0.3232523148148148</v>
      </c>
      <c r="D11850" s="1">
        <v>13.00675</v>
      </c>
      <c r="E11850" s="1">
        <v>80.251045</v>
      </c>
      <c r="F11850" s="1">
        <v>805.0</v>
      </c>
      <c r="G11850" s="1">
        <v>30.0</v>
      </c>
    </row>
    <row r="11851">
      <c r="A11851" s="1" t="s">
        <v>8</v>
      </c>
      <c r="B11851" s="2">
        <v>44776.0</v>
      </c>
      <c r="C11851" s="3">
        <v>0.3233564814814815</v>
      </c>
      <c r="D11851" s="1">
        <v>13.00677</v>
      </c>
      <c r="E11851" s="1">
        <v>80.250131</v>
      </c>
      <c r="F11851" s="1">
        <v>805.0</v>
      </c>
      <c r="G11851" s="1">
        <v>37.0</v>
      </c>
    </row>
    <row r="11852">
      <c r="A11852" s="1" t="s">
        <v>8</v>
      </c>
      <c r="B11852" s="2">
        <v>44776.0</v>
      </c>
      <c r="C11852" s="3">
        <v>0.32384259259259257</v>
      </c>
      <c r="D11852" s="1">
        <v>13.011269</v>
      </c>
      <c r="E11852" s="1">
        <v>80.223665</v>
      </c>
      <c r="F11852" s="1">
        <v>5339.0</v>
      </c>
      <c r="G11852" s="1">
        <v>39.0</v>
      </c>
    </row>
    <row r="11853">
      <c r="A11853" s="1" t="s">
        <v>8</v>
      </c>
      <c r="B11853" s="2">
        <v>44776.0</v>
      </c>
      <c r="C11853" s="3">
        <v>0.32447916666666665</v>
      </c>
      <c r="D11853" s="1">
        <v>13.010962</v>
      </c>
      <c r="E11853" s="1">
        <v>80.217344</v>
      </c>
      <c r="F11853" s="1">
        <v>5339.0</v>
      </c>
      <c r="G11853" s="1">
        <v>38.0</v>
      </c>
    </row>
    <row r="11854">
      <c r="A11854" s="1" t="s">
        <v>8</v>
      </c>
      <c r="B11854" s="2">
        <v>44776.0</v>
      </c>
      <c r="C11854" s="3">
        <v>0.32525462962962964</v>
      </c>
      <c r="D11854" s="1">
        <v>13.006671</v>
      </c>
      <c r="E11854" s="1">
        <v>80.244934</v>
      </c>
      <c r="F11854" s="1">
        <v>805.0</v>
      </c>
      <c r="G11854" s="1">
        <v>39.0</v>
      </c>
    </row>
    <row r="11855">
      <c r="A11855" s="1" t="s">
        <v>8</v>
      </c>
      <c r="B11855" s="2">
        <v>44776.0</v>
      </c>
      <c r="C11855" s="3">
        <v>0.32528935185185187</v>
      </c>
      <c r="D11855" s="1">
        <v>13.006671</v>
      </c>
      <c r="E11855" s="1">
        <v>80.244934</v>
      </c>
      <c r="F11855" s="1">
        <v>805.0</v>
      </c>
      <c r="G11855" s="1">
        <v>39.0</v>
      </c>
    </row>
    <row r="11856">
      <c r="A11856" s="1" t="s">
        <v>8</v>
      </c>
      <c r="B11856" s="2">
        <v>44776.0</v>
      </c>
      <c r="C11856" s="3">
        <v>0.3253009259259259</v>
      </c>
      <c r="D11856" s="1">
        <v>13.006671</v>
      </c>
      <c r="E11856" s="1">
        <v>80.244934</v>
      </c>
      <c r="F11856" s="1">
        <v>805.0</v>
      </c>
      <c r="G11856" s="1">
        <v>39.0</v>
      </c>
    </row>
    <row r="11857">
      <c r="A11857" s="1" t="s">
        <v>8</v>
      </c>
      <c r="B11857" s="2">
        <v>44776.0</v>
      </c>
      <c r="C11857" s="3">
        <v>0.32533564814814814</v>
      </c>
      <c r="D11857" s="1">
        <v>13.006648</v>
      </c>
      <c r="E11857" s="1">
        <v>80.244084</v>
      </c>
      <c r="F11857" s="1">
        <v>805.0</v>
      </c>
      <c r="G11857" s="1">
        <v>27.0</v>
      </c>
    </row>
    <row r="11858">
      <c r="A11858" s="1" t="s">
        <v>7</v>
      </c>
      <c r="B11858" s="2">
        <v>44776.0</v>
      </c>
      <c r="C11858" s="3">
        <v>0.3269328703703704</v>
      </c>
      <c r="D11858" s="1">
        <v>13.008298</v>
      </c>
      <c r="E11858" s="1">
        <v>80.232858</v>
      </c>
      <c r="F11858" s="1">
        <v>805.0</v>
      </c>
      <c r="G11858" s="1">
        <v>62.0</v>
      </c>
    </row>
    <row r="11859">
      <c r="A11859" s="1" t="s">
        <v>10</v>
      </c>
      <c r="B11859" s="2">
        <v>44776.0</v>
      </c>
      <c r="C11859" s="3">
        <v>0.32716435185185183</v>
      </c>
      <c r="D11859" s="1">
        <v>12.979509</v>
      </c>
      <c r="E11859" s="1">
        <v>80.136409</v>
      </c>
      <c r="F11859" s="1">
        <v>3143.0</v>
      </c>
      <c r="G11859" s="1">
        <v>23.0</v>
      </c>
    </row>
    <row r="11860">
      <c r="A11860" s="1" t="s">
        <v>7</v>
      </c>
      <c r="B11860" s="2">
        <v>44776.0</v>
      </c>
      <c r="C11860" s="3">
        <v>0.32760416666666664</v>
      </c>
      <c r="D11860" s="1">
        <v>12.706619</v>
      </c>
      <c r="E11860" s="1">
        <v>79.975668</v>
      </c>
      <c r="F11860" s="1">
        <v>2846.0</v>
      </c>
      <c r="G11860" s="1">
        <v>60.0</v>
      </c>
    </row>
    <row r="11861">
      <c r="A11861" s="1" t="s">
        <v>7</v>
      </c>
      <c r="B11861" s="2">
        <v>44776.0</v>
      </c>
      <c r="C11861" s="3">
        <v>0.32762731481481483</v>
      </c>
      <c r="D11861" s="1">
        <v>12.708542</v>
      </c>
      <c r="E11861" s="1">
        <v>79.976981</v>
      </c>
      <c r="F11861" s="1">
        <v>2846.0</v>
      </c>
      <c r="G11861" s="1">
        <v>59.0</v>
      </c>
    </row>
    <row r="11862">
      <c r="A11862" s="1" t="s">
        <v>7</v>
      </c>
      <c r="B11862" s="2">
        <v>44776.0</v>
      </c>
      <c r="C11862" s="3">
        <v>0.3277199074074074</v>
      </c>
      <c r="D11862" s="1">
        <v>12.708542</v>
      </c>
      <c r="E11862" s="1">
        <v>79.976981</v>
      </c>
      <c r="F11862" s="1">
        <v>2846.0</v>
      </c>
      <c r="G11862" s="1">
        <v>59.0</v>
      </c>
    </row>
    <row r="11863">
      <c r="A11863" s="1" t="s">
        <v>10</v>
      </c>
      <c r="B11863" s="2">
        <v>44776.0</v>
      </c>
      <c r="C11863" s="3">
        <v>0.3278125</v>
      </c>
      <c r="D11863" s="1">
        <v>12.977145</v>
      </c>
      <c r="E11863" s="1">
        <v>80.135698</v>
      </c>
      <c r="F11863" s="1">
        <v>3143.0</v>
      </c>
      <c r="G11863" s="1">
        <v>25.0</v>
      </c>
    </row>
    <row r="11864">
      <c r="A11864" s="1" t="s">
        <v>7</v>
      </c>
      <c r="B11864" s="2">
        <v>44776.0</v>
      </c>
      <c r="C11864" s="3">
        <v>0.3278587962962963</v>
      </c>
      <c r="D11864" s="1">
        <v>12.71046</v>
      </c>
      <c r="E11864" s="1">
        <v>79.978123</v>
      </c>
      <c r="F11864" s="1">
        <v>2846.0</v>
      </c>
      <c r="G11864" s="1">
        <v>50.0</v>
      </c>
    </row>
    <row r="11865">
      <c r="A11865" s="1" t="s">
        <v>8</v>
      </c>
      <c r="B11865" s="2">
        <v>44776.0</v>
      </c>
      <c r="C11865" s="3">
        <v>0.32792824074074073</v>
      </c>
      <c r="D11865" s="1">
        <v>13.000474</v>
      </c>
      <c r="E11865" s="1">
        <v>80.194807</v>
      </c>
      <c r="F11865" s="1">
        <v>5339.0</v>
      </c>
      <c r="G11865" s="1">
        <v>40.0</v>
      </c>
    </row>
    <row r="11866">
      <c r="A11866" s="1" t="s">
        <v>8</v>
      </c>
      <c r="B11866" s="2">
        <v>44776.0</v>
      </c>
      <c r="C11866" s="3">
        <v>0.32795138888888886</v>
      </c>
      <c r="D11866" s="1">
        <v>13.000474</v>
      </c>
      <c r="E11866" s="1">
        <v>80.194807</v>
      </c>
      <c r="F11866" s="1">
        <v>5339.0</v>
      </c>
      <c r="G11866" s="1">
        <v>40.0</v>
      </c>
    </row>
    <row r="11867">
      <c r="A11867" s="1" t="s">
        <v>7</v>
      </c>
      <c r="B11867" s="2">
        <v>44776.0</v>
      </c>
      <c r="C11867" s="3">
        <v>0.32805555555555554</v>
      </c>
      <c r="D11867" s="1">
        <v>12.71046</v>
      </c>
      <c r="E11867" s="1">
        <v>79.978123</v>
      </c>
      <c r="F11867" s="1">
        <v>2846.0</v>
      </c>
      <c r="G11867" s="1">
        <v>50.0</v>
      </c>
    </row>
    <row r="11868">
      <c r="A11868" s="1" t="s">
        <v>8</v>
      </c>
      <c r="B11868" s="2">
        <v>44776.0</v>
      </c>
      <c r="C11868" s="3">
        <v>0.3283912037037037</v>
      </c>
      <c r="D11868" s="1">
        <v>13.012056</v>
      </c>
      <c r="E11868" s="1">
        <v>80.221465</v>
      </c>
      <c r="F11868" s="1">
        <v>805.0</v>
      </c>
      <c r="G11868" s="1">
        <v>25.0</v>
      </c>
    </row>
    <row r="11869">
      <c r="A11869" s="1" t="s">
        <v>7</v>
      </c>
      <c r="B11869" s="2">
        <v>44776.0</v>
      </c>
      <c r="C11869" s="3">
        <v>0.3287962962962963</v>
      </c>
      <c r="D11869" s="1">
        <v>12.721577</v>
      </c>
      <c r="E11869" s="1">
        <v>79.981253</v>
      </c>
      <c r="F11869" s="1">
        <v>2846.0</v>
      </c>
      <c r="G11869" s="1">
        <v>56.0</v>
      </c>
    </row>
    <row r="11870">
      <c r="A11870" s="1" t="s">
        <v>8</v>
      </c>
      <c r="B11870" s="2">
        <v>44776.0</v>
      </c>
      <c r="C11870" s="3">
        <v>0.3291087962962963</v>
      </c>
      <c r="D11870" s="1">
        <v>12.995634</v>
      </c>
      <c r="E11870" s="1">
        <v>80.188729</v>
      </c>
      <c r="F11870" s="1">
        <v>5339.0</v>
      </c>
      <c r="G11870" s="1">
        <v>28.0</v>
      </c>
    </row>
    <row r="11871">
      <c r="A11871" s="1" t="s">
        <v>8</v>
      </c>
      <c r="B11871" s="2">
        <v>44776.0</v>
      </c>
      <c r="C11871" s="3">
        <v>0.3294675925925926</v>
      </c>
      <c r="D11871" s="1">
        <v>13.009282</v>
      </c>
      <c r="E11871" s="1">
        <v>80.212663</v>
      </c>
      <c r="F11871" s="1">
        <v>805.0</v>
      </c>
      <c r="G11871" s="1">
        <v>43.0</v>
      </c>
    </row>
    <row r="11872">
      <c r="A11872" s="1" t="s">
        <v>8</v>
      </c>
      <c r="B11872" s="2">
        <v>44776.0</v>
      </c>
      <c r="C11872" s="3">
        <v>0.3298263888888889</v>
      </c>
      <c r="D11872" s="1">
        <v>13.008152</v>
      </c>
      <c r="E11872" s="1">
        <v>80.209522</v>
      </c>
      <c r="F11872" s="1">
        <v>805.0</v>
      </c>
      <c r="G11872" s="1">
        <v>40.0</v>
      </c>
    </row>
    <row r="11873">
      <c r="A11873" s="1" t="s">
        <v>8</v>
      </c>
      <c r="B11873" s="2">
        <v>44776.0</v>
      </c>
      <c r="C11873" s="3">
        <v>0.32989583333333333</v>
      </c>
      <c r="D11873" s="1">
        <v>13.008152</v>
      </c>
      <c r="E11873" s="1">
        <v>80.209522</v>
      </c>
      <c r="F11873" s="1">
        <v>805.0</v>
      </c>
      <c r="G11873" s="1">
        <v>40.0</v>
      </c>
    </row>
    <row r="11874">
      <c r="A11874" s="1" t="s">
        <v>7</v>
      </c>
      <c r="B11874" s="2">
        <v>44776.0</v>
      </c>
      <c r="C11874" s="3">
        <v>0.3303125</v>
      </c>
      <c r="D11874" s="1">
        <v>12.727064</v>
      </c>
      <c r="E11874" s="1">
        <v>79.98247</v>
      </c>
      <c r="F11874" s="1">
        <v>2846.0</v>
      </c>
      <c r="G11874" s="1">
        <v>52.0</v>
      </c>
    </row>
    <row r="11875">
      <c r="A11875" s="1" t="s">
        <v>7</v>
      </c>
      <c r="B11875" s="2">
        <v>44776.0</v>
      </c>
      <c r="C11875" s="3">
        <v>0.33033564814814814</v>
      </c>
      <c r="D11875" s="1">
        <v>13.007156</v>
      </c>
      <c r="E11875" s="1">
        <v>80.2048</v>
      </c>
      <c r="F11875" s="1">
        <v>805.0</v>
      </c>
      <c r="G11875" s="1">
        <v>45.0</v>
      </c>
    </row>
    <row r="11876">
      <c r="A11876" s="1" t="s">
        <v>8</v>
      </c>
      <c r="B11876" s="2">
        <v>44776.0</v>
      </c>
      <c r="C11876" s="3">
        <v>0.33033564814814814</v>
      </c>
      <c r="D11876" s="1">
        <v>12.991452</v>
      </c>
      <c r="E11876" s="1">
        <v>80.181447</v>
      </c>
      <c r="F11876" s="1">
        <v>5339.0</v>
      </c>
      <c r="G11876" s="1">
        <v>43.0</v>
      </c>
    </row>
    <row r="11877">
      <c r="A11877" s="1" t="s">
        <v>8</v>
      </c>
      <c r="B11877" s="2">
        <v>44776.0</v>
      </c>
      <c r="C11877" s="3">
        <v>0.33037037037037037</v>
      </c>
      <c r="D11877" s="1">
        <v>13.007156</v>
      </c>
      <c r="E11877" s="1">
        <v>80.2048</v>
      </c>
      <c r="F11877" s="1">
        <v>805.0</v>
      </c>
      <c r="G11877" s="1">
        <v>45.0</v>
      </c>
    </row>
    <row r="11878">
      <c r="A11878" s="1" t="s">
        <v>8</v>
      </c>
      <c r="B11878" s="2">
        <v>44776.0</v>
      </c>
      <c r="C11878" s="3">
        <v>0.33060185185185187</v>
      </c>
      <c r="D11878" s="1">
        <v>12.990122</v>
      </c>
      <c r="E11878" s="1">
        <v>80.179814</v>
      </c>
      <c r="F11878" s="1">
        <v>5339.0</v>
      </c>
      <c r="G11878" s="1">
        <v>34.0</v>
      </c>
    </row>
    <row r="11879">
      <c r="A11879" s="1" t="s">
        <v>8</v>
      </c>
      <c r="B11879" s="2">
        <v>44776.0</v>
      </c>
      <c r="C11879" s="3">
        <v>0.3307175925925926</v>
      </c>
      <c r="D11879" s="1">
        <v>12.98956</v>
      </c>
      <c r="E11879" s="1">
        <v>80.179098</v>
      </c>
      <c r="F11879" s="1">
        <v>5339.0</v>
      </c>
      <c r="G11879" s="1">
        <v>32.0</v>
      </c>
    </row>
    <row r="11880">
      <c r="A11880" s="1" t="s">
        <v>8</v>
      </c>
      <c r="B11880" s="2">
        <v>44776.0</v>
      </c>
      <c r="C11880" s="3">
        <v>0.3309375</v>
      </c>
      <c r="D11880" s="1">
        <v>13.001966</v>
      </c>
      <c r="E11880" s="1">
        <v>80.200205</v>
      </c>
      <c r="F11880" s="1">
        <v>805.0</v>
      </c>
      <c r="G11880" s="1">
        <v>46.0</v>
      </c>
    </row>
    <row r="11881">
      <c r="A11881" s="1" t="s">
        <v>10</v>
      </c>
      <c r="B11881" s="2">
        <v>44776.0</v>
      </c>
      <c r="C11881" s="3">
        <v>0.3309375</v>
      </c>
      <c r="D11881" s="1">
        <v>12.971781</v>
      </c>
      <c r="E11881" s="1">
        <v>80.1412</v>
      </c>
      <c r="F11881" s="1">
        <v>3143.0</v>
      </c>
      <c r="G11881" s="1">
        <v>0.0</v>
      </c>
    </row>
    <row r="11882">
      <c r="A11882" s="1" t="s">
        <v>7</v>
      </c>
      <c r="B11882" s="2">
        <v>44776.0</v>
      </c>
      <c r="C11882" s="3">
        <v>0.33111111111111113</v>
      </c>
      <c r="D11882" s="1">
        <v>12.735475</v>
      </c>
      <c r="E11882" s="1">
        <v>79.986254</v>
      </c>
      <c r="F11882" s="1">
        <v>2846.0</v>
      </c>
      <c r="G11882" s="1">
        <v>57.0</v>
      </c>
    </row>
    <row r="11883">
      <c r="A11883" s="1" t="s">
        <v>10</v>
      </c>
      <c r="B11883" s="2">
        <v>44776.0</v>
      </c>
      <c r="C11883" s="3">
        <v>0.33135416666666667</v>
      </c>
      <c r="D11883" s="1">
        <v>12.971743</v>
      </c>
      <c r="E11883" s="1">
        <v>80.141558</v>
      </c>
      <c r="F11883" s="1">
        <v>3143.0</v>
      </c>
      <c r="G11883" s="1">
        <v>0.0</v>
      </c>
    </row>
    <row r="11884">
      <c r="A11884" s="1" t="s">
        <v>10</v>
      </c>
      <c r="B11884" s="2">
        <v>44776.0</v>
      </c>
      <c r="C11884" s="3">
        <v>0.33155092592592594</v>
      </c>
      <c r="D11884" s="1">
        <v>12.971555</v>
      </c>
      <c r="E11884" s="1">
        <v>80.142403</v>
      </c>
      <c r="F11884" s="1">
        <v>3143.0</v>
      </c>
      <c r="G11884" s="1">
        <v>22.0</v>
      </c>
    </row>
    <row r="11885">
      <c r="A11885" s="1" t="s">
        <v>8</v>
      </c>
      <c r="B11885" s="2">
        <v>44776.0</v>
      </c>
      <c r="C11885" s="3">
        <v>0.3317361111111111</v>
      </c>
      <c r="D11885" s="1">
        <v>12.985951</v>
      </c>
      <c r="E11885" s="1">
        <v>80.174018</v>
      </c>
      <c r="F11885" s="1">
        <v>5339.0</v>
      </c>
      <c r="G11885" s="1">
        <v>32.0</v>
      </c>
    </row>
    <row r="11886">
      <c r="A11886" s="1" t="s">
        <v>9</v>
      </c>
      <c r="B11886" s="2">
        <v>44776.0</v>
      </c>
      <c r="C11886" s="3">
        <v>0.3319212962962963</v>
      </c>
      <c r="D11886" s="1">
        <v>12.985503</v>
      </c>
      <c r="E11886" s="1">
        <v>80.173347</v>
      </c>
      <c r="F11886" s="1">
        <v>5339.0</v>
      </c>
      <c r="G11886" s="1">
        <v>33.0</v>
      </c>
    </row>
    <row r="11887">
      <c r="A11887" s="1" t="s">
        <v>8</v>
      </c>
      <c r="B11887" s="2">
        <v>44776.0</v>
      </c>
      <c r="C11887" s="3">
        <v>0.3324652777777778</v>
      </c>
      <c r="D11887" s="1">
        <v>12.997741</v>
      </c>
      <c r="E11887" s="1">
        <v>80.191396</v>
      </c>
      <c r="F11887" s="1">
        <v>805.0</v>
      </c>
      <c r="G11887" s="1">
        <v>46.0</v>
      </c>
    </row>
    <row r="11888">
      <c r="A11888" s="1" t="s">
        <v>8</v>
      </c>
      <c r="B11888" s="2">
        <v>44776.0</v>
      </c>
      <c r="C11888" s="3">
        <v>0.33273148148148146</v>
      </c>
      <c r="D11888" s="1">
        <v>12.996993</v>
      </c>
      <c r="E11888" s="1">
        <v>80.190473</v>
      </c>
      <c r="F11888" s="1">
        <v>805.0</v>
      </c>
      <c r="G11888" s="1">
        <v>50.0</v>
      </c>
    </row>
    <row r="11889">
      <c r="A11889" s="1" t="s">
        <v>9</v>
      </c>
      <c r="B11889" s="2">
        <v>44776.0</v>
      </c>
      <c r="C11889" s="3">
        <v>0.33315972222222223</v>
      </c>
      <c r="D11889" s="1">
        <v>12.994411</v>
      </c>
      <c r="E11889" s="1">
        <v>80.18641</v>
      </c>
      <c r="F11889" s="1">
        <v>805.0</v>
      </c>
      <c r="G11889" s="1">
        <v>34.0</v>
      </c>
    </row>
    <row r="11890">
      <c r="A11890" s="1" t="s">
        <v>8</v>
      </c>
      <c r="B11890" s="2">
        <v>44776.0</v>
      </c>
      <c r="C11890" s="3">
        <v>0.3336689814814815</v>
      </c>
      <c r="D11890" s="1">
        <v>12.992479</v>
      </c>
      <c r="E11890" s="1">
        <v>80.182887</v>
      </c>
      <c r="F11890" s="1">
        <v>805.0</v>
      </c>
      <c r="G11890" s="1">
        <v>56.0</v>
      </c>
    </row>
    <row r="11891">
      <c r="A11891" s="1" t="s">
        <v>7</v>
      </c>
      <c r="B11891" s="2">
        <v>44776.0</v>
      </c>
      <c r="C11891" s="3">
        <v>0.33380787037037035</v>
      </c>
      <c r="D11891" s="1">
        <v>12.748324</v>
      </c>
      <c r="E11891" s="1">
        <v>79.996393</v>
      </c>
      <c r="F11891" s="1">
        <v>2846.0</v>
      </c>
      <c r="G11891" s="1">
        <v>58.0</v>
      </c>
    </row>
    <row r="11892">
      <c r="A11892" s="1" t="s">
        <v>8</v>
      </c>
      <c r="B11892" s="2">
        <v>44776.0</v>
      </c>
      <c r="C11892" s="3">
        <v>0.3338773148148148</v>
      </c>
      <c r="D11892" s="1">
        <v>12.979691</v>
      </c>
      <c r="E11892" s="1">
        <v>80.162594</v>
      </c>
      <c r="F11892" s="1">
        <v>5339.0</v>
      </c>
      <c r="G11892" s="1">
        <v>21.0</v>
      </c>
    </row>
    <row r="11893">
      <c r="A11893" s="1" t="s">
        <v>8</v>
      </c>
      <c r="B11893" s="2">
        <v>44776.0</v>
      </c>
      <c r="C11893" s="3">
        <v>0.33395833333333336</v>
      </c>
      <c r="D11893" s="1">
        <v>12.991306</v>
      </c>
      <c r="E11893" s="1">
        <v>80.181298</v>
      </c>
      <c r="F11893" s="1">
        <v>805.0</v>
      </c>
      <c r="G11893" s="1">
        <v>47.0</v>
      </c>
    </row>
    <row r="11894">
      <c r="A11894" s="1" t="s">
        <v>8</v>
      </c>
      <c r="B11894" s="2">
        <v>44776.0</v>
      </c>
      <c r="C11894" s="3">
        <v>0.3339699074074074</v>
      </c>
      <c r="D11894" s="1">
        <v>12.979332</v>
      </c>
      <c r="E11894" s="1">
        <v>80.161953</v>
      </c>
      <c r="F11894" s="1">
        <v>5339.0</v>
      </c>
      <c r="G11894" s="1">
        <v>31.0</v>
      </c>
    </row>
    <row r="11895">
      <c r="A11895" s="1" t="s">
        <v>7</v>
      </c>
      <c r="B11895" s="2">
        <v>44776.0</v>
      </c>
      <c r="C11895" s="3">
        <v>0.3342939814814815</v>
      </c>
      <c r="D11895" s="1">
        <v>12.748324</v>
      </c>
      <c r="E11895" s="1">
        <v>79.996393</v>
      </c>
      <c r="F11895" s="1">
        <v>2846.0</v>
      </c>
      <c r="G11895" s="1">
        <v>58.0</v>
      </c>
    </row>
    <row r="11896">
      <c r="A11896" s="1" t="s">
        <v>7</v>
      </c>
      <c r="B11896" s="2">
        <v>44776.0</v>
      </c>
      <c r="C11896" s="3">
        <v>0.3344212962962963</v>
      </c>
      <c r="D11896" s="1">
        <v>12.756269</v>
      </c>
      <c r="E11896" s="1">
        <v>80.001894</v>
      </c>
      <c r="F11896" s="1">
        <v>2846.0</v>
      </c>
      <c r="G11896" s="1">
        <v>58.0</v>
      </c>
    </row>
    <row r="11897">
      <c r="A11897" s="1" t="s">
        <v>8</v>
      </c>
      <c r="B11897" s="2">
        <v>44776.0</v>
      </c>
      <c r="C11897" s="3">
        <v>0.33471064814814816</v>
      </c>
      <c r="D11897" s="1">
        <v>12.975463</v>
      </c>
      <c r="E11897" s="1">
        <v>80.156268</v>
      </c>
      <c r="F11897" s="1">
        <v>5339.0</v>
      </c>
      <c r="G11897" s="1">
        <v>42.0</v>
      </c>
    </row>
    <row r="11898">
      <c r="A11898" s="1" t="s">
        <v>8</v>
      </c>
      <c r="B11898" s="2">
        <v>44776.0</v>
      </c>
      <c r="C11898" s="3">
        <v>0.33491898148148147</v>
      </c>
      <c r="D11898" s="1">
        <v>12.975463</v>
      </c>
      <c r="E11898" s="1">
        <v>80.156268</v>
      </c>
      <c r="F11898" s="1">
        <v>5339.0</v>
      </c>
      <c r="G11898" s="1">
        <v>42.0</v>
      </c>
    </row>
    <row r="11899">
      <c r="A11899" s="1" t="s">
        <v>8</v>
      </c>
      <c r="B11899" s="2">
        <v>44776.0</v>
      </c>
      <c r="C11899" s="3">
        <v>0.33493055555555556</v>
      </c>
      <c r="D11899" s="1">
        <v>12.970932</v>
      </c>
      <c r="E11899" s="1">
        <v>80.150801</v>
      </c>
      <c r="F11899" s="1">
        <v>3143.0</v>
      </c>
      <c r="G11899" s="1">
        <v>40.0</v>
      </c>
    </row>
    <row r="11900">
      <c r="A11900" s="1" t="s">
        <v>8</v>
      </c>
      <c r="B11900" s="2">
        <v>44776.0</v>
      </c>
      <c r="C11900" s="3">
        <v>0.33493055555555556</v>
      </c>
      <c r="D11900" s="1">
        <v>12.989422</v>
      </c>
      <c r="E11900" s="1">
        <v>80.178997</v>
      </c>
      <c r="F11900" s="1">
        <v>805.0</v>
      </c>
      <c r="G11900" s="1">
        <v>29.0</v>
      </c>
    </row>
    <row r="11901">
      <c r="A11901" s="1" t="s">
        <v>8</v>
      </c>
      <c r="B11901" s="2">
        <v>44776.0</v>
      </c>
      <c r="C11901" s="3">
        <v>0.3350694444444444</v>
      </c>
      <c r="D11901" s="1">
        <v>12.969394</v>
      </c>
      <c r="E11901" s="1">
        <v>80.150073</v>
      </c>
      <c r="F11901" s="1">
        <v>3143.0</v>
      </c>
      <c r="G11901" s="1">
        <v>44.0</v>
      </c>
    </row>
    <row r="11902">
      <c r="A11902" s="1" t="s">
        <v>8</v>
      </c>
      <c r="B11902" s="2">
        <v>44776.0</v>
      </c>
      <c r="C11902" s="3">
        <v>0.3350810185185185</v>
      </c>
      <c r="D11902" s="1">
        <v>12.988498</v>
      </c>
      <c r="E11902" s="1">
        <v>80.177713</v>
      </c>
      <c r="F11902" s="1">
        <v>805.0</v>
      </c>
      <c r="G11902" s="1">
        <v>48.0</v>
      </c>
    </row>
    <row r="11903">
      <c r="A11903" s="1" t="s">
        <v>8</v>
      </c>
      <c r="B11903" s="2">
        <v>44776.0</v>
      </c>
      <c r="C11903" s="3">
        <v>0.3351388888888889</v>
      </c>
      <c r="D11903" s="1">
        <v>12.967698</v>
      </c>
      <c r="E11903" s="1">
        <v>80.149262</v>
      </c>
      <c r="F11903" s="1">
        <v>3143.0</v>
      </c>
      <c r="G11903" s="1">
        <v>45.0</v>
      </c>
    </row>
    <row r="11904">
      <c r="A11904" s="1" t="s">
        <v>9</v>
      </c>
      <c r="B11904" s="2">
        <v>44776.0</v>
      </c>
      <c r="C11904" s="3">
        <v>0.3351388888888889</v>
      </c>
      <c r="D11904" s="1">
        <v>12.988498</v>
      </c>
      <c r="E11904" s="1">
        <v>80.177713</v>
      </c>
      <c r="F11904" s="1">
        <v>805.0</v>
      </c>
      <c r="G11904" s="1">
        <v>48.0</v>
      </c>
    </row>
    <row r="11905">
      <c r="A11905" s="1" t="s">
        <v>8</v>
      </c>
      <c r="B11905" s="2">
        <v>44776.0</v>
      </c>
      <c r="C11905" s="3">
        <v>0.3353587962962963</v>
      </c>
      <c r="D11905" s="1">
        <v>12.986514</v>
      </c>
      <c r="E11905" s="1">
        <v>80.174917</v>
      </c>
      <c r="F11905" s="1">
        <v>805.0</v>
      </c>
      <c r="G11905" s="1">
        <v>43.0</v>
      </c>
    </row>
    <row r="11906">
      <c r="A11906" s="1" t="s">
        <v>7</v>
      </c>
      <c r="B11906" s="2">
        <v>44776.0</v>
      </c>
      <c r="C11906" s="3">
        <v>0.33547453703703706</v>
      </c>
      <c r="D11906" s="1">
        <v>12.966012</v>
      </c>
      <c r="E11906" s="1">
        <v>80.148506</v>
      </c>
      <c r="F11906" s="1">
        <v>3143.0</v>
      </c>
      <c r="G11906" s="1">
        <v>39.0</v>
      </c>
    </row>
    <row r="11907">
      <c r="A11907" s="1" t="s">
        <v>8</v>
      </c>
      <c r="B11907" s="2">
        <v>44776.0</v>
      </c>
      <c r="C11907" s="3">
        <v>0.3357175925925926</v>
      </c>
      <c r="D11907" s="1">
        <v>12.984719</v>
      </c>
      <c r="E11907" s="1">
        <v>80.172246</v>
      </c>
      <c r="F11907" s="1">
        <v>805.0</v>
      </c>
      <c r="G11907" s="1">
        <v>36.0</v>
      </c>
    </row>
    <row r="11908">
      <c r="A11908" s="1" t="s">
        <v>8</v>
      </c>
      <c r="B11908" s="2">
        <v>44776.0</v>
      </c>
      <c r="C11908" s="3">
        <v>0.33574074074074073</v>
      </c>
      <c r="D11908" s="1">
        <v>12.962214</v>
      </c>
      <c r="E11908" s="1">
        <v>80.14643</v>
      </c>
      <c r="F11908" s="1">
        <v>3143.0</v>
      </c>
      <c r="G11908" s="1">
        <v>60.0</v>
      </c>
    </row>
    <row r="11909">
      <c r="A11909" s="1" t="s">
        <v>8</v>
      </c>
      <c r="B11909" s="2">
        <v>44776.0</v>
      </c>
      <c r="C11909" s="3">
        <v>0.33608796296296295</v>
      </c>
      <c r="D11909" s="1">
        <v>12.984016</v>
      </c>
      <c r="E11909" s="1">
        <v>80.171044</v>
      </c>
      <c r="F11909" s="1">
        <v>805.0</v>
      </c>
      <c r="G11909" s="1">
        <v>36.0</v>
      </c>
    </row>
    <row r="11910">
      <c r="A11910" s="1" t="s">
        <v>8</v>
      </c>
      <c r="B11910" s="2">
        <v>44776.0</v>
      </c>
      <c r="C11910" s="3">
        <v>0.3362037037037037</v>
      </c>
      <c r="D11910" s="1">
        <v>12.9584</v>
      </c>
      <c r="E11910" s="1">
        <v>80.144363</v>
      </c>
      <c r="F11910" s="1">
        <v>3143.0</v>
      </c>
      <c r="G11910" s="1">
        <v>44.0</v>
      </c>
    </row>
    <row r="11911">
      <c r="A11911" s="1" t="s">
        <v>7</v>
      </c>
      <c r="B11911" s="2">
        <v>44776.0</v>
      </c>
      <c r="C11911" s="3">
        <v>0.33621527777777777</v>
      </c>
      <c r="D11911" s="1">
        <v>12.983007</v>
      </c>
      <c r="E11911" s="1">
        <v>80.169302</v>
      </c>
      <c r="F11911" s="1">
        <v>805.0</v>
      </c>
      <c r="G11911" s="1">
        <v>50.0</v>
      </c>
    </row>
    <row r="11912">
      <c r="A11912" s="1" t="s">
        <v>8</v>
      </c>
      <c r="B11912" s="2">
        <v>44776.0</v>
      </c>
      <c r="C11912" s="3">
        <v>0.3362615740740741</v>
      </c>
      <c r="D11912" s="1">
        <v>12.9584</v>
      </c>
      <c r="E11912" s="1">
        <v>80.144363</v>
      </c>
      <c r="F11912" s="1">
        <v>3143.0</v>
      </c>
      <c r="G11912" s="1">
        <v>44.0</v>
      </c>
    </row>
    <row r="11913">
      <c r="A11913" s="1" t="s">
        <v>8</v>
      </c>
      <c r="B11913" s="2">
        <v>44776.0</v>
      </c>
      <c r="C11913" s="3">
        <v>0.3362962962962963</v>
      </c>
      <c r="D11913" s="1">
        <v>12.981954</v>
      </c>
      <c r="E11913" s="1">
        <v>80.167589</v>
      </c>
      <c r="F11913" s="1">
        <v>805.0</v>
      </c>
      <c r="G11913" s="1">
        <v>45.0</v>
      </c>
    </row>
    <row r="11914">
      <c r="A11914" s="1" t="s">
        <v>8</v>
      </c>
      <c r="B11914" s="2">
        <v>44776.0</v>
      </c>
      <c r="C11914" s="3">
        <v>0.3363541666666667</v>
      </c>
      <c r="D11914" s="1">
        <v>12.981954</v>
      </c>
      <c r="E11914" s="1">
        <v>80.167589</v>
      </c>
      <c r="F11914" s="1">
        <v>805.0</v>
      </c>
      <c r="G11914" s="1">
        <v>45.0</v>
      </c>
    </row>
    <row r="11915">
      <c r="A11915" s="1" t="s">
        <v>8</v>
      </c>
      <c r="B11915" s="2">
        <v>44776.0</v>
      </c>
      <c r="C11915" s="3">
        <v>0.3363773148148148</v>
      </c>
      <c r="D11915" s="1">
        <v>12.981954</v>
      </c>
      <c r="E11915" s="1">
        <v>80.167589</v>
      </c>
      <c r="F11915" s="1">
        <v>805.0</v>
      </c>
      <c r="G11915" s="1">
        <v>45.0</v>
      </c>
    </row>
    <row r="11916">
      <c r="A11916" s="1" t="s">
        <v>8</v>
      </c>
      <c r="B11916" s="2">
        <v>44776.0</v>
      </c>
      <c r="C11916" s="3">
        <v>0.3364699074074074</v>
      </c>
      <c r="D11916" s="1">
        <v>12.98124</v>
      </c>
      <c r="E11916" s="1">
        <v>80.166422</v>
      </c>
      <c r="F11916" s="1">
        <v>805.0</v>
      </c>
      <c r="G11916" s="1">
        <v>33.0</v>
      </c>
    </row>
    <row r="11917">
      <c r="A11917" s="1" t="s">
        <v>7</v>
      </c>
      <c r="B11917" s="2">
        <v>44776.0</v>
      </c>
      <c r="C11917" s="3">
        <v>0.33671296296296294</v>
      </c>
      <c r="D11917" s="1">
        <v>12.9805</v>
      </c>
      <c r="E11917" s="1">
        <v>80.165029</v>
      </c>
      <c r="F11917" s="1">
        <v>805.0</v>
      </c>
      <c r="G11917" s="1">
        <v>47.0</v>
      </c>
    </row>
    <row r="11918">
      <c r="A11918" s="1" t="s">
        <v>8</v>
      </c>
      <c r="B11918" s="2">
        <v>44776.0</v>
      </c>
      <c r="C11918" s="3">
        <v>0.3368055555555556</v>
      </c>
      <c r="D11918" s="1">
        <v>12.76339</v>
      </c>
      <c r="E11918" s="1">
        <v>80.004101</v>
      </c>
      <c r="F11918" s="1">
        <v>2846.0</v>
      </c>
      <c r="G11918" s="1">
        <v>28.0</v>
      </c>
    </row>
    <row r="11919">
      <c r="A11919" s="1" t="s">
        <v>8</v>
      </c>
      <c r="B11919" s="2">
        <v>44776.0</v>
      </c>
      <c r="C11919" s="3">
        <v>0.33707175925925925</v>
      </c>
      <c r="D11919" s="1">
        <v>12.979543</v>
      </c>
      <c r="E11919" s="1">
        <v>80.162211</v>
      </c>
      <c r="F11919" s="1">
        <v>805.0</v>
      </c>
      <c r="G11919" s="1">
        <v>39.0</v>
      </c>
    </row>
    <row r="11920">
      <c r="A11920" s="1" t="s">
        <v>8</v>
      </c>
      <c r="B11920" s="2">
        <v>44776.0</v>
      </c>
      <c r="C11920" s="3">
        <v>0.3371064814814815</v>
      </c>
      <c r="D11920" s="1">
        <v>12.952991</v>
      </c>
      <c r="E11920" s="1">
        <v>80.141445</v>
      </c>
      <c r="F11920" s="1">
        <v>3143.0</v>
      </c>
      <c r="G11920" s="1">
        <v>11.0</v>
      </c>
    </row>
    <row r="11921">
      <c r="A11921" s="1" t="s">
        <v>8</v>
      </c>
      <c r="B11921" s="2">
        <v>44776.0</v>
      </c>
      <c r="C11921" s="3">
        <v>0.3372685185185185</v>
      </c>
      <c r="D11921" s="1">
        <v>12.978576</v>
      </c>
      <c r="E11921" s="1">
        <v>80.160856</v>
      </c>
      <c r="F11921" s="1">
        <v>805.0</v>
      </c>
      <c r="G11921" s="1">
        <v>49.0</v>
      </c>
    </row>
    <row r="11922">
      <c r="A11922" s="1" t="s">
        <v>7</v>
      </c>
      <c r="B11922" s="2">
        <v>44776.0</v>
      </c>
      <c r="C11922" s="3">
        <v>0.33743055555555557</v>
      </c>
      <c r="D11922" s="1">
        <v>12.977574</v>
      </c>
      <c r="E11922" s="1">
        <v>80.159441</v>
      </c>
      <c r="F11922" s="1">
        <v>805.0</v>
      </c>
      <c r="G11922" s="1">
        <v>54.0</v>
      </c>
    </row>
    <row r="11923">
      <c r="A11923" s="1" t="s">
        <v>8</v>
      </c>
      <c r="B11923" s="2">
        <v>44776.0</v>
      </c>
      <c r="C11923" s="3">
        <v>0.33751157407407406</v>
      </c>
      <c r="D11923" s="1">
        <v>12.977574</v>
      </c>
      <c r="E11923" s="1">
        <v>80.159441</v>
      </c>
      <c r="F11923" s="1">
        <v>805.0</v>
      </c>
      <c r="G11923" s="1">
        <v>54.0</v>
      </c>
    </row>
    <row r="11924">
      <c r="A11924" s="1" t="s">
        <v>8</v>
      </c>
      <c r="B11924" s="2">
        <v>44776.0</v>
      </c>
      <c r="C11924" s="3">
        <v>0.33775462962962965</v>
      </c>
      <c r="D11924" s="1">
        <v>12.976364</v>
      </c>
      <c r="E11924" s="1">
        <v>80.157587</v>
      </c>
      <c r="F11924" s="1">
        <v>805.0</v>
      </c>
      <c r="G11924" s="1">
        <v>53.0</v>
      </c>
    </row>
    <row r="11925">
      <c r="A11925" s="1" t="s">
        <v>8</v>
      </c>
      <c r="B11925" s="2">
        <v>44776.0</v>
      </c>
      <c r="C11925" s="3">
        <v>0.3378703703703704</v>
      </c>
      <c r="D11925" s="1">
        <v>12.950602</v>
      </c>
      <c r="E11925" s="1">
        <v>80.139737</v>
      </c>
      <c r="F11925" s="1">
        <v>3143.0</v>
      </c>
      <c r="G11925" s="1">
        <v>0.0</v>
      </c>
    </row>
    <row r="11926">
      <c r="A11926" s="1" t="s">
        <v>8</v>
      </c>
      <c r="B11926" s="2">
        <v>44776.0</v>
      </c>
      <c r="C11926" s="3">
        <v>0.33795138888888887</v>
      </c>
      <c r="D11926" s="1">
        <v>12.974412</v>
      </c>
      <c r="E11926" s="1">
        <v>80.154809</v>
      </c>
      <c r="F11926" s="1">
        <v>805.0</v>
      </c>
      <c r="G11926" s="1">
        <v>28.0</v>
      </c>
    </row>
    <row r="11927">
      <c r="A11927" s="1" t="s">
        <v>8</v>
      </c>
      <c r="B11927" s="2">
        <v>44776.0</v>
      </c>
      <c r="C11927" s="3">
        <v>0.3379861111111111</v>
      </c>
      <c r="D11927" s="1">
        <v>12.974412</v>
      </c>
      <c r="E11927" s="1">
        <v>80.154809</v>
      </c>
      <c r="F11927" s="1">
        <v>805.0</v>
      </c>
      <c r="G11927" s="1">
        <v>28.0</v>
      </c>
    </row>
    <row r="11928">
      <c r="A11928" s="1" t="s">
        <v>8</v>
      </c>
      <c r="B11928" s="2">
        <v>44776.0</v>
      </c>
      <c r="C11928" s="3">
        <v>0.33827546296296296</v>
      </c>
      <c r="D11928" s="1">
        <v>12.972913</v>
      </c>
      <c r="E11928" s="1">
        <v>80.152526</v>
      </c>
      <c r="F11928" s="1">
        <v>805.0</v>
      </c>
      <c r="G11928" s="1">
        <v>38.0</v>
      </c>
    </row>
    <row r="11929">
      <c r="A11929" s="1" t="s">
        <v>7</v>
      </c>
      <c r="B11929" s="2">
        <v>44776.0</v>
      </c>
      <c r="C11929" s="3">
        <v>0.3386574074074074</v>
      </c>
      <c r="D11929" s="1">
        <v>12.949029</v>
      </c>
      <c r="E11929" s="1">
        <v>80.138514</v>
      </c>
      <c r="F11929" s="1">
        <v>3143.0</v>
      </c>
      <c r="G11929" s="1">
        <v>49.0</v>
      </c>
    </row>
    <row r="11930">
      <c r="A11930" s="1" t="s">
        <v>7</v>
      </c>
      <c r="B11930" s="2">
        <v>44776.0</v>
      </c>
      <c r="C11930" s="3">
        <v>0.33875</v>
      </c>
      <c r="D11930" s="1">
        <v>12.947382</v>
      </c>
      <c r="E11930" s="1">
        <v>80.137297</v>
      </c>
      <c r="F11930" s="1">
        <v>3143.0</v>
      </c>
      <c r="G11930" s="1">
        <v>32.0</v>
      </c>
    </row>
    <row r="11931">
      <c r="A11931" s="1" t="s">
        <v>7</v>
      </c>
      <c r="B11931" s="2">
        <v>44776.0</v>
      </c>
      <c r="C11931" s="3">
        <v>0.3388773148148148</v>
      </c>
      <c r="D11931" s="1">
        <v>12.947149</v>
      </c>
      <c r="E11931" s="1">
        <v>80.1371</v>
      </c>
      <c r="F11931" s="1">
        <v>3143.0</v>
      </c>
      <c r="G11931" s="1">
        <v>19.0</v>
      </c>
    </row>
    <row r="11932">
      <c r="A11932" s="1" t="s">
        <v>8</v>
      </c>
      <c r="B11932" s="2">
        <v>44776.0</v>
      </c>
      <c r="C11932" s="3">
        <v>0.3389583333333333</v>
      </c>
      <c r="D11932" s="1">
        <v>12.970135</v>
      </c>
      <c r="E11932" s="1">
        <v>80.150447</v>
      </c>
      <c r="F11932" s="1">
        <v>805.0</v>
      </c>
      <c r="G11932" s="1">
        <v>21.0</v>
      </c>
    </row>
    <row r="11933">
      <c r="A11933" s="1" t="s">
        <v>8</v>
      </c>
      <c r="B11933" s="2">
        <v>44776.0</v>
      </c>
      <c r="C11933" s="3">
        <v>0.3389699074074074</v>
      </c>
      <c r="D11933" s="1">
        <v>12.970135</v>
      </c>
      <c r="E11933" s="1">
        <v>80.150447</v>
      </c>
      <c r="F11933" s="1">
        <v>805.0</v>
      </c>
      <c r="G11933" s="1">
        <v>21.0</v>
      </c>
    </row>
    <row r="11934">
      <c r="A11934" s="1" t="s">
        <v>8</v>
      </c>
      <c r="B11934" s="2">
        <v>44776.0</v>
      </c>
      <c r="C11934" s="3">
        <v>0.3395138888888889</v>
      </c>
      <c r="D11934" s="1">
        <v>12.954504</v>
      </c>
      <c r="E11934" s="1">
        <v>80.142302</v>
      </c>
      <c r="F11934" s="1">
        <v>5339.0</v>
      </c>
      <c r="G11934" s="1">
        <v>47.0</v>
      </c>
    </row>
    <row r="11935">
      <c r="A11935" s="1" t="s">
        <v>7</v>
      </c>
      <c r="B11935" s="2">
        <v>44776.0</v>
      </c>
      <c r="C11935" s="3">
        <v>0.3398611111111111</v>
      </c>
      <c r="D11935" s="1">
        <v>12.942188</v>
      </c>
      <c r="E11935" s="1">
        <v>80.132876</v>
      </c>
      <c r="F11935" s="1">
        <v>3143.0</v>
      </c>
      <c r="G11935" s="1">
        <v>31.0</v>
      </c>
    </row>
    <row r="11936">
      <c r="A11936" s="1" t="s">
        <v>8</v>
      </c>
      <c r="B11936" s="2">
        <v>44776.0</v>
      </c>
      <c r="C11936" s="3">
        <v>0.33989583333333334</v>
      </c>
      <c r="D11936" s="1">
        <v>12.950729</v>
      </c>
      <c r="E11936" s="1">
        <v>80.139792</v>
      </c>
      <c r="F11936" s="1">
        <v>5339.0</v>
      </c>
      <c r="G11936" s="1">
        <v>24.0</v>
      </c>
    </row>
    <row r="11937">
      <c r="A11937" s="1" t="s">
        <v>8</v>
      </c>
      <c r="B11937" s="2">
        <v>44776.0</v>
      </c>
      <c r="C11937" s="3">
        <v>0.3399074074074074</v>
      </c>
      <c r="D11937" s="1">
        <v>12.950729</v>
      </c>
      <c r="E11937" s="1">
        <v>80.139792</v>
      </c>
      <c r="F11937" s="1">
        <v>5339.0</v>
      </c>
      <c r="G11937" s="1">
        <v>24.0</v>
      </c>
    </row>
    <row r="11938">
      <c r="A11938" s="1" t="s">
        <v>8</v>
      </c>
      <c r="B11938" s="2">
        <v>44776.0</v>
      </c>
      <c r="C11938" s="3">
        <v>0.34</v>
      </c>
      <c r="D11938" s="1">
        <v>12.950729</v>
      </c>
      <c r="E11938" s="1">
        <v>80.139792</v>
      </c>
      <c r="F11938" s="1">
        <v>5339.0</v>
      </c>
      <c r="G11938" s="1">
        <v>24.0</v>
      </c>
    </row>
    <row r="11939">
      <c r="A11939" s="1" t="s">
        <v>7</v>
      </c>
      <c r="B11939" s="2">
        <v>44776.0</v>
      </c>
      <c r="C11939" s="3">
        <v>0.34019675925925924</v>
      </c>
      <c r="D11939" s="1">
        <v>12.964655</v>
      </c>
      <c r="E11939" s="1">
        <v>80.147797</v>
      </c>
      <c r="F11939" s="1">
        <v>805.0</v>
      </c>
      <c r="G11939" s="1">
        <v>42.0</v>
      </c>
    </row>
    <row r="11940">
      <c r="A11940" s="1" t="s">
        <v>8</v>
      </c>
      <c r="B11940" s="2">
        <v>44776.0</v>
      </c>
      <c r="C11940" s="3">
        <v>0.34021990740740743</v>
      </c>
      <c r="D11940" s="1">
        <v>12.804988</v>
      </c>
      <c r="E11940" s="1">
        <v>80.026575</v>
      </c>
      <c r="F11940" s="1">
        <v>2846.0</v>
      </c>
      <c r="G11940" s="1">
        <v>57.0</v>
      </c>
    </row>
    <row r="11941">
      <c r="A11941" s="1" t="s">
        <v>10</v>
      </c>
      <c r="B11941" s="2">
        <v>44776.0</v>
      </c>
      <c r="C11941" s="3">
        <v>0.34028935185185183</v>
      </c>
      <c r="D11941" s="1">
        <v>12.964655</v>
      </c>
      <c r="E11941" s="1">
        <v>80.147797</v>
      </c>
      <c r="F11941" s="1">
        <v>805.0</v>
      </c>
      <c r="G11941" s="1">
        <v>42.0</v>
      </c>
    </row>
    <row r="11942">
      <c r="A11942" s="1" t="s">
        <v>7</v>
      </c>
      <c r="B11942" s="2">
        <v>44776.0</v>
      </c>
      <c r="C11942" s="3">
        <v>0.3409375</v>
      </c>
      <c r="D11942" s="1">
        <v>12.810714</v>
      </c>
      <c r="E11942" s="1">
        <v>80.030252</v>
      </c>
      <c r="F11942" s="1">
        <v>2846.0</v>
      </c>
      <c r="G11942" s="1">
        <v>52.0</v>
      </c>
    </row>
    <row r="11943">
      <c r="A11943" s="1" t="s">
        <v>8</v>
      </c>
      <c r="B11943" s="2">
        <v>44776.0</v>
      </c>
      <c r="C11943" s="3">
        <v>0.3411226851851852</v>
      </c>
      <c r="D11943" s="1">
        <v>12.958405</v>
      </c>
      <c r="E11943" s="1">
        <v>80.144369</v>
      </c>
      <c r="F11943" s="1">
        <v>805.0</v>
      </c>
      <c r="G11943" s="1">
        <v>53.0</v>
      </c>
    </row>
    <row r="11944">
      <c r="A11944" s="1" t="s">
        <v>7</v>
      </c>
      <c r="B11944" s="2">
        <v>44776.0</v>
      </c>
      <c r="C11944" s="3">
        <v>0.34122685185185186</v>
      </c>
      <c r="D11944" s="1">
        <v>12.812661</v>
      </c>
      <c r="E11944" s="1">
        <v>80.031511</v>
      </c>
      <c r="F11944" s="1">
        <v>2846.0</v>
      </c>
      <c r="G11944" s="1">
        <v>57.0</v>
      </c>
    </row>
    <row r="11945">
      <c r="A11945" s="1" t="s">
        <v>7</v>
      </c>
      <c r="B11945" s="2">
        <v>44776.0</v>
      </c>
      <c r="C11945" s="3">
        <v>0.3413310185185185</v>
      </c>
      <c r="D11945" s="1">
        <v>12.812661</v>
      </c>
      <c r="E11945" s="1">
        <v>80.031511</v>
      </c>
      <c r="F11945" s="1">
        <v>2846.0</v>
      </c>
      <c r="G11945" s="1">
        <v>57.0</v>
      </c>
    </row>
    <row r="11946">
      <c r="A11946" s="1" t="s">
        <v>7</v>
      </c>
      <c r="B11946" s="2">
        <v>44776.0</v>
      </c>
      <c r="C11946" s="3">
        <v>0.34203703703703703</v>
      </c>
      <c r="D11946" s="1">
        <v>12.812661</v>
      </c>
      <c r="E11946" s="1">
        <v>80.031511</v>
      </c>
      <c r="F11946" s="1">
        <v>2846.0</v>
      </c>
      <c r="G11946" s="1">
        <v>57.0</v>
      </c>
    </row>
    <row r="11947">
      <c r="A11947" s="1" t="s">
        <v>10</v>
      </c>
      <c r="B11947" s="2">
        <v>44776.0</v>
      </c>
      <c r="C11947" s="3">
        <v>0.34221064814814817</v>
      </c>
      <c r="D11947" s="1">
        <v>12.930675</v>
      </c>
      <c r="E11947" s="1">
        <v>80.116785</v>
      </c>
      <c r="F11947" s="1">
        <v>3143.0</v>
      </c>
      <c r="G11947" s="1">
        <v>24.0</v>
      </c>
    </row>
    <row r="11948">
      <c r="A11948" s="1" t="s">
        <v>7</v>
      </c>
      <c r="B11948" s="2">
        <v>44776.0</v>
      </c>
      <c r="C11948" s="3">
        <v>0.34229166666666666</v>
      </c>
      <c r="D11948" s="1">
        <v>12.824305</v>
      </c>
      <c r="E11948" s="1">
        <v>80.039691</v>
      </c>
      <c r="F11948" s="1">
        <v>2846.0</v>
      </c>
      <c r="G11948" s="1">
        <v>56.0</v>
      </c>
    </row>
    <row r="11949">
      <c r="A11949" s="1" t="s">
        <v>7</v>
      </c>
      <c r="B11949" s="2">
        <v>44776.0</v>
      </c>
      <c r="C11949" s="3">
        <v>0.3425925925925926</v>
      </c>
      <c r="D11949" s="1">
        <v>12.827677</v>
      </c>
      <c r="E11949" s="1">
        <v>80.042487</v>
      </c>
      <c r="F11949" s="1">
        <v>2846.0</v>
      </c>
      <c r="G11949" s="1">
        <v>58.0</v>
      </c>
    </row>
    <row r="11950">
      <c r="A11950" s="1" t="s">
        <v>8</v>
      </c>
      <c r="B11950" s="2">
        <v>44776.0</v>
      </c>
      <c r="C11950" s="3">
        <v>0.3437037037037037</v>
      </c>
      <c r="D11950" s="1">
        <v>12.945086</v>
      </c>
      <c r="E11950" s="1">
        <v>80.135457</v>
      </c>
      <c r="F11950" s="1">
        <v>805.0</v>
      </c>
      <c r="G11950" s="1">
        <v>58.0</v>
      </c>
    </row>
    <row r="11951">
      <c r="A11951" s="1" t="s">
        <v>7</v>
      </c>
      <c r="B11951" s="2">
        <v>44776.0</v>
      </c>
      <c r="C11951" s="3">
        <v>0.3437615740740741</v>
      </c>
      <c r="D11951" s="1">
        <v>12.945086</v>
      </c>
      <c r="E11951" s="1">
        <v>80.135457</v>
      </c>
      <c r="F11951" s="1">
        <v>805.0</v>
      </c>
      <c r="G11951" s="1">
        <v>58.0</v>
      </c>
    </row>
    <row r="11952">
      <c r="A11952" s="1" t="s">
        <v>7</v>
      </c>
      <c r="B11952" s="2">
        <v>44776.0</v>
      </c>
      <c r="C11952" s="3">
        <v>0.3438773148148148</v>
      </c>
      <c r="D11952" s="1">
        <v>12.943378</v>
      </c>
      <c r="E11952" s="1">
        <v>80.134065</v>
      </c>
      <c r="F11952" s="1">
        <v>805.0</v>
      </c>
      <c r="G11952" s="1">
        <v>58.0</v>
      </c>
    </row>
    <row r="11953">
      <c r="A11953" s="1" t="s">
        <v>7</v>
      </c>
      <c r="B11953" s="2">
        <v>44776.0</v>
      </c>
      <c r="C11953" s="3">
        <v>0.34402777777777777</v>
      </c>
      <c r="D11953" s="1">
        <v>12.94178</v>
      </c>
      <c r="E11953" s="1">
        <v>80.132422</v>
      </c>
      <c r="F11953" s="1">
        <v>805.0</v>
      </c>
      <c r="G11953" s="1">
        <v>58.0</v>
      </c>
    </row>
    <row r="11954">
      <c r="A11954" s="1" t="s">
        <v>8</v>
      </c>
      <c r="B11954" s="2">
        <v>44776.0</v>
      </c>
      <c r="C11954" s="3">
        <v>0.34445601851851854</v>
      </c>
      <c r="D11954" s="1">
        <v>12.938379</v>
      </c>
      <c r="E11954" s="1">
        <v>80.129137</v>
      </c>
      <c r="F11954" s="1">
        <v>805.0</v>
      </c>
      <c r="G11954" s="1">
        <v>46.0</v>
      </c>
    </row>
    <row r="11955">
      <c r="A11955" s="1" t="s">
        <v>8</v>
      </c>
      <c r="B11955" s="2">
        <v>44776.0</v>
      </c>
      <c r="C11955" s="3">
        <v>0.34465277777777775</v>
      </c>
      <c r="D11955" s="1">
        <v>12.937266</v>
      </c>
      <c r="E11955" s="1">
        <v>80.128179</v>
      </c>
      <c r="F11955" s="1">
        <v>805.0</v>
      </c>
      <c r="G11955" s="1">
        <v>36.0</v>
      </c>
    </row>
    <row r="11956">
      <c r="A11956" s="1" t="s">
        <v>8</v>
      </c>
      <c r="B11956" s="2">
        <v>44776.0</v>
      </c>
      <c r="C11956" s="3">
        <v>0.3453587962962963</v>
      </c>
      <c r="D11956" s="1">
        <v>12.921009</v>
      </c>
      <c r="E11956" s="1">
        <v>80.112186</v>
      </c>
      <c r="F11956" s="1">
        <v>5339.0</v>
      </c>
      <c r="G11956" s="1">
        <v>42.0</v>
      </c>
    </row>
    <row r="11957">
      <c r="A11957" s="1" t="s">
        <v>8</v>
      </c>
      <c r="B11957" s="2">
        <v>44776.0</v>
      </c>
      <c r="C11957" s="3">
        <v>0.34550925925925924</v>
      </c>
      <c r="D11957" s="1">
        <v>12.934719</v>
      </c>
      <c r="E11957" s="1">
        <v>80.12591</v>
      </c>
      <c r="F11957" s="1">
        <v>805.0</v>
      </c>
      <c r="G11957" s="1">
        <v>55.0</v>
      </c>
    </row>
    <row r="11958">
      <c r="A11958" s="1" t="s">
        <v>8</v>
      </c>
      <c r="B11958" s="2">
        <v>44776.0</v>
      </c>
      <c r="C11958" s="3">
        <v>0.3456018518518518</v>
      </c>
      <c r="D11958" s="1">
        <v>12.934719</v>
      </c>
      <c r="E11958" s="1">
        <v>80.12591</v>
      </c>
      <c r="F11958" s="1">
        <v>805.0</v>
      </c>
      <c r="G11958" s="1">
        <v>55.0</v>
      </c>
    </row>
    <row r="11959">
      <c r="A11959" s="1" t="s">
        <v>8</v>
      </c>
      <c r="B11959" s="2">
        <v>44776.0</v>
      </c>
      <c r="C11959" s="3">
        <v>0.3457986111111111</v>
      </c>
      <c r="D11959" s="1">
        <v>12.93303</v>
      </c>
      <c r="E11959" s="1">
        <v>80.124273</v>
      </c>
      <c r="F11959" s="1">
        <v>805.0</v>
      </c>
      <c r="G11959" s="1">
        <v>58.0</v>
      </c>
    </row>
    <row r="11960">
      <c r="A11960" s="1" t="s">
        <v>8</v>
      </c>
      <c r="B11960" s="2">
        <v>44776.0</v>
      </c>
      <c r="C11960" s="3">
        <v>0.3457986111111111</v>
      </c>
      <c r="D11960" s="1">
        <v>12.93303</v>
      </c>
      <c r="E11960" s="1">
        <v>80.124273</v>
      </c>
      <c r="F11960" s="1">
        <v>805.0</v>
      </c>
      <c r="G11960" s="1">
        <v>58.0</v>
      </c>
    </row>
    <row r="11961">
      <c r="A11961" s="1" t="s">
        <v>8</v>
      </c>
      <c r="B11961" s="2">
        <v>44776.0</v>
      </c>
      <c r="C11961" s="3">
        <v>0.3458333333333333</v>
      </c>
      <c r="D11961" s="1">
        <v>12.845969</v>
      </c>
      <c r="E11961" s="1">
        <v>80.061589</v>
      </c>
      <c r="F11961" s="1">
        <v>2846.0</v>
      </c>
      <c r="G11961" s="1">
        <v>14.0</v>
      </c>
    </row>
    <row r="11962">
      <c r="A11962" s="1" t="s">
        <v>9</v>
      </c>
      <c r="B11962" s="2">
        <v>44776.0</v>
      </c>
      <c r="C11962" s="3">
        <v>0.34585648148148146</v>
      </c>
      <c r="D11962" s="1">
        <v>12.846482</v>
      </c>
      <c r="E11962" s="1">
        <v>80.062049</v>
      </c>
      <c r="F11962" s="1">
        <v>2846.0</v>
      </c>
      <c r="G11962" s="1">
        <v>35.0</v>
      </c>
    </row>
    <row r="11963">
      <c r="A11963" s="1" t="s">
        <v>8</v>
      </c>
      <c r="B11963" s="2">
        <v>44776.0</v>
      </c>
      <c r="C11963" s="3">
        <v>0.34599537037037037</v>
      </c>
      <c r="D11963" s="1">
        <v>12.931629</v>
      </c>
      <c r="E11963" s="1">
        <v>80.122869</v>
      </c>
      <c r="F11963" s="1">
        <v>805.0</v>
      </c>
      <c r="G11963" s="1">
        <v>40.0</v>
      </c>
    </row>
    <row r="11964">
      <c r="A11964" s="1" t="s">
        <v>8</v>
      </c>
      <c r="B11964" s="2">
        <v>44776.0</v>
      </c>
      <c r="C11964" s="3">
        <v>0.34630787037037036</v>
      </c>
      <c r="D11964" s="1">
        <v>12.925546</v>
      </c>
      <c r="E11964" s="1">
        <v>80.104398</v>
      </c>
      <c r="F11964" s="1">
        <v>3143.0</v>
      </c>
      <c r="G11964" s="1">
        <v>9.0</v>
      </c>
    </row>
    <row r="11965">
      <c r="A11965" s="1" t="s">
        <v>8</v>
      </c>
      <c r="B11965" s="2">
        <v>44776.0</v>
      </c>
      <c r="C11965" s="3">
        <v>0.34630787037037036</v>
      </c>
      <c r="D11965" s="1">
        <v>12.925546</v>
      </c>
      <c r="E11965" s="1">
        <v>80.104398</v>
      </c>
      <c r="F11965" s="1">
        <v>3143.0</v>
      </c>
      <c r="G11965" s="1">
        <v>9.0</v>
      </c>
    </row>
    <row r="11966">
      <c r="A11966" s="1" t="s">
        <v>8</v>
      </c>
      <c r="B11966" s="2">
        <v>44776.0</v>
      </c>
      <c r="C11966" s="3">
        <v>0.34651620370370373</v>
      </c>
      <c r="D11966" s="1">
        <v>12.928058</v>
      </c>
      <c r="E11966" s="1">
        <v>80.119279</v>
      </c>
      <c r="F11966" s="1">
        <v>805.0</v>
      </c>
      <c r="G11966" s="1">
        <v>51.0</v>
      </c>
    </row>
    <row r="11967">
      <c r="A11967" s="1" t="s">
        <v>7</v>
      </c>
      <c r="B11967" s="2">
        <v>44776.0</v>
      </c>
      <c r="C11967" s="3">
        <v>0.3465740740740741</v>
      </c>
      <c r="D11967" s="1">
        <v>12.851152</v>
      </c>
      <c r="E11967" s="1">
        <v>80.065509</v>
      </c>
      <c r="F11967" s="1">
        <v>2846.0</v>
      </c>
      <c r="G11967" s="1">
        <v>47.0</v>
      </c>
    </row>
    <row r="11968">
      <c r="A11968" s="1" t="s">
        <v>7</v>
      </c>
      <c r="B11968" s="2">
        <v>44776.0</v>
      </c>
      <c r="C11968" s="3">
        <v>0.3467013888888889</v>
      </c>
      <c r="D11968" s="1">
        <v>12.852189</v>
      </c>
      <c r="E11968" s="1">
        <v>80.06626</v>
      </c>
      <c r="F11968" s="1">
        <v>2846.0</v>
      </c>
      <c r="G11968" s="1">
        <v>52.0</v>
      </c>
    </row>
    <row r="11969">
      <c r="A11969" s="1" t="s">
        <v>8</v>
      </c>
      <c r="B11969" s="2">
        <v>44776.0</v>
      </c>
      <c r="C11969" s="3">
        <v>0.3469212962962963</v>
      </c>
      <c r="D11969" s="1">
        <v>12.913285</v>
      </c>
      <c r="E11969" s="1">
        <v>80.101629</v>
      </c>
      <c r="F11969" s="1">
        <v>5339.0</v>
      </c>
      <c r="G11969" s="1">
        <v>35.0</v>
      </c>
    </row>
    <row r="11970">
      <c r="A11970" s="1" t="s">
        <v>8</v>
      </c>
      <c r="B11970" s="2">
        <v>44776.0</v>
      </c>
      <c r="C11970" s="3">
        <v>0.34694444444444444</v>
      </c>
      <c r="D11970" s="1">
        <v>12.926555</v>
      </c>
      <c r="E11970" s="1">
        <v>80.117748</v>
      </c>
      <c r="F11970" s="1">
        <v>805.0</v>
      </c>
      <c r="G11970" s="1">
        <v>11.0</v>
      </c>
    </row>
    <row r="11971">
      <c r="A11971" s="1" t="s">
        <v>7</v>
      </c>
      <c r="B11971" s="2">
        <v>44776.0</v>
      </c>
      <c r="C11971" s="3">
        <v>0.34702546296296294</v>
      </c>
      <c r="D11971" s="1">
        <v>12.855678</v>
      </c>
      <c r="E11971" s="1">
        <v>80.068833</v>
      </c>
      <c r="F11971" s="1">
        <v>2846.0</v>
      </c>
      <c r="G11971" s="1">
        <v>57.0</v>
      </c>
    </row>
    <row r="11972">
      <c r="A11972" s="1" t="s">
        <v>7</v>
      </c>
      <c r="B11972" s="2">
        <v>44776.0</v>
      </c>
      <c r="C11972" s="3">
        <v>0.34708333333333335</v>
      </c>
      <c r="D11972" s="1">
        <v>12.925715</v>
      </c>
      <c r="E11972" s="1">
        <v>80.116892</v>
      </c>
      <c r="F11972" s="1">
        <v>805.0</v>
      </c>
      <c r="G11972" s="1">
        <v>44.0</v>
      </c>
    </row>
    <row r="11973">
      <c r="A11973" s="1" t="s">
        <v>8</v>
      </c>
      <c r="B11973" s="2">
        <v>44776.0</v>
      </c>
      <c r="C11973" s="3">
        <v>0.34726851851851853</v>
      </c>
      <c r="D11973" s="1">
        <v>12.924731</v>
      </c>
      <c r="E11973" s="1">
        <v>80.099706</v>
      </c>
      <c r="F11973" s="1">
        <v>3143.0</v>
      </c>
      <c r="G11973" s="1">
        <v>0.0</v>
      </c>
    </row>
    <row r="11974">
      <c r="A11974" s="1" t="s">
        <v>7</v>
      </c>
      <c r="B11974" s="2">
        <v>44776.0</v>
      </c>
      <c r="C11974" s="3">
        <v>0.3474652777777778</v>
      </c>
      <c r="D11974" s="1">
        <v>12.860382</v>
      </c>
      <c r="E11974" s="1">
        <v>80.072362</v>
      </c>
      <c r="F11974" s="1">
        <v>2846.0</v>
      </c>
      <c r="G11974" s="1">
        <v>57.0</v>
      </c>
    </row>
    <row r="11975">
      <c r="A11975" s="1" t="s">
        <v>7</v>
      </c>
      <c r="B11975" s="2">
        <v>44776.0</v>
      </c>
      <c r="C11975" s="3">
        <v>0.34805555555555556</v>
      </c>
      <c r="D11975" s="1">
        <v>12.866003</v>
      </c>
      <c r="E11975" s="1">
        <v>80.074894</v>
      </c>
      <c r="F11975" s="1">
        <v>2846.0</v>
      </c>
      <c r="G11975" s="1">
        <v>51.0</v>
      </c>
    </row>
    <row r="11976">
      <c r="A11976" s="1" t="s">
        <v>8</v>
      </c>
      <c r="B11976" s="2">
        <v>44776.0</v>
      </c>
      <c r="C11976" s="3">
        <v>0.3483912037037037</v>
      </c>
      <c r="D11976" s="1">
        <v>12.917057</v>
      </c>
      <c r="E11976" s="1">
        <v>80.107354</v>
      </c>
      <c r="F11976" s="1">
        <v>805.0</v>
      </c>
      <c r="G11976" s="1">
        <v>21.0</v>
      </c>
    </row>
    <row r="11977">
      <c r="A11977" s="1" t="s">
        <v>8</v>
      </c>
      <c r="B11977" s="2">
        <v>44776.0</v>
      </c>
      <c r="C11977" s="3">
        <v>0.3484375</v>
      </c>
      <c r="D11977" s="1">
        <v>12.869859</v>
      </c>
      <c r="E11977" s="1">
        <v>80.076404</v>
      </c>
      <c r="F11977" s="1">
        <v>2846.0</v>
      </c>
      <c r="G11977" s="1">
        <v>57.0</v>
      </c>
    </row>
    <row r="11978">
      <c r="A11978" s="1" t="s">
        <v>8</v>
      </c>
      <c r="B11978" s="2">
        <v>44776.0</v>
      </c>
      <c r="C11978" s="3">
        <v>0.34866898148148145</v>
      </c>
      <c r="D11978" s="1">
        <v>12.872428</v>
      </c>
      <c r="E11978" s="1">
        <v>80.077417</v>
      </c>
      <c r="F11978" s="1">
        <v>2846.0</v>
      </c>
      <c r="G11978" s="1">
        <v>57.0</v>
      </c>
    </row>
    <row r="11979">
      <c r="A11979" s="1" t="s">
        <v>8</v>
      </c>
      <c r="B11979" s="2">
        <v>44776.0</v>
      </c>
      <c r="C11979" s="3">
        <v>0.34880787037037037</v>
      </c>
      <c r="D11979" s="1">
        <v>12.874793</v>
      </c>
      <c r="E11979" s="1">
        <v>80.078293</v>
      </c>
      <c r="F11979" s="1">
        <v>2846.0</v>
      </c>
      <c r="G11979" s="1">
        <v>48.0</v>
      </c>
    </row>
    <row r="11980">
      <c r="A11980" s="1" t="s">
        <v>7</v>
      </c>
      <c r="B11980" s="2">
        <v>44776.0</v>
      </c>
      <c r="C11980" s="3">
        <v>0.34890046296296295</v>
      </c>
      <c r="D11980" s="1">
        <v>12.914362</v>
      </c>
      <c r="E11980" s="1">
        <v>80.102556</v>
      </c>
      <c r="F11980" s="1">
        <v>805.0</v>
      </c>
      <c r="G11980" s="1">
        <v>44.0</v>
      </c>
    </row>
    <row r="11981">
      <c r="A11981" s="1" t="s">
        <v>8</v>
      </c>
      <c r="B11981" s="2">
        <v>44776.0</v>
      </c>
      <c r="C11981" s="3">
        <v>0.34987268518518516</v>
      </c>
      <c r="D11981" s="1">
        <v>12.909113</v>
      </c>
      <c r="E11981" s="1">
        <v>80.098942</v>
      </c>
      <c r="F11981" s="1">
        <v>805.0</v>
      </c>
      <c r="G11981" s="1">
        <v>0.0</v>
      </c>
    </row>
    <row r="11982">
      <c r="A11982" s="1" t="s">
        <v>8</v>
      </c>
      <c r="B11982" s="2">
        <v>44776.0</v>
      </c>
      <c r="C11982" s="3">
        <v>0.350474537037037</v>
      </c>
      <c r="D11982" s="1">
        <v>12.91836</v>
      </c>
      <c r="E11982" s="1">
        <v>80.0818</v>
      </c>
      <c r="F11982" s="1">
        <v>3143.0</v>
      </c>
      <c r="G11982" s="1">
        <v>0.0</v>
      </c>
    </row>
    <row r="11983">
      <c r="A11983" s="1" t="s">
        <v>10</v>
      </c>
      <c r="B11983" s="2">
        <v>44776.0</v>
      </c>
      <c r="C11983" s="3">
        <v>0.3504976851851852</v>
      </c>
      <c r="D11983" s="1">
        <v>12.906508</v>
      </c>
      <c r="E11983" s="1">
        <v>80.096601</v>
      </c>
      <c r="F11983" s="1">
        <v>805.0</v>
      </c>
      <c r="G11983" s="1">
        <v>7.0</v>
      </c>
    </row>
    <row r="11984">
      <c r="A11984" s="1" t="s">
        <v>8</v>
      </c>
      <c r="B11984" s="2">
        <v>44776.0</v>
      </c>
      <c r="C11984" s="3">
        <v>0.3507175925925926</v>
      </c>
      <c r="D11984" s="1">
        <v>12.902359</v>
      </c>
      <c r="E11984" s="1">
        <v>80.093245</v>
      </c>
      <c r="F11984" s="1">
        <v>5339.0</v>
      </c>
      <c r="G11984" s="1">
        <v>30.0</v>
      </c>
    </row>
    <row r="11985">
      <c r="A11985" s="1" t="s">
        <v>8</v>
      </c>
      <c r="B11985" s="2">
        <v>44776.0</v>
      </c>
      <c r="C11985" s="3">
        <v>0.3515162037037037</v>
      </c>
      <c r="D11985" s="1">
        <v>12.904322</v>
      </c>
      <c r="E11985" s="1">
        <v>80.094972</v>
      </c>
      <c r="F11985" s="1">
        <v>805.0</v>
      </c>
      <c r="G11985" s="1">
        <v>41.0</v>
      </c>
    </row>
    <row r="11986">
      <c r="A11986" s="1" t="s">
        <v>8</v>
      </c>
      <c r="B11986" s="2">
        <v>44776.0</v>
      </c>
      <c r="C11986" s="3">
        <v>0.353125</v>
      </c>
      <c r="D11986" s="1">
        <v>12.886116</v>
      </c>
      <c r="E11986" s="1">
        <v>80.083013</v>
      </c>
      <c r="F11986" s="1">
        <v>5339.0</v>
      </c>
      <c r="G11986" s="1">
        <v>47.0</v>
      </c>
    </row>
    <row r="11987">
      <c r="A11987" s="1" t="s">
        <v>7</v>
      </c>
      <c r="B11987" s="2">
        <v>44776.0</v>
      </c>
      <c r="C11987" s="3">
        <v>0.3531712962962963</v>
      </c>
      <c r="D11987" s="1">
        <v>12.893843</v>
      </c>
      <c r="E11987" s="1">
        <v>80.08689</v>
      </c>
      <c r="F11987" s="1">
        <v>805.0</v>
      </c>
      <c r="G11987" s="1">
        <v>56.0</v>
      </c>
    </row>
    <row r="11988">
      <c r="A11988" s="1" t="s">
        <v>8</v>
      </c>
      <c r="B11988" s="2">
        <v>44776.0</v>
      </c>
      <c r="C11988" s="3">
        <v>0.35388888888888886</v>
      </c>
      <c r="D11988" s="1">
        <v>12.885604</v>
      </c>
      <c r="E11988" s="1">
        <v>80.082832</v>
      </c>
      <c r="F11988" s="1">
        <v>805.0</v>
      </c>
      <c r="G11988" s="1">
        <v>58.0</v>
      </c>
    </row>
    <row r="11989">
      <c r="A11989" s="1" t="s">
        <v>10</v>
      </c>
      <c r="B11989" s="2">
        <v>44776.0</v>
      </c>
      <c r="C11989" s="3">
        <v>0.3539236111111111</v>
      </c>
      <c r="D11989" s="1">
        <v>12.8803</v>
      </c>
      <c r="E11989" s="1">
        <v>80.080758</v>
      </c>
      <c r="F11989" s="1">
        <v>5339.0</v>
      </c>
      <c r="G11989" s="1">
        <v>32.0</v>
      </c>
    </row>
    <row r="11990">
      <c r="A11990" s="1" t="s">
        <v>7</v>
      </c>
      <c r="B11990" s="2">
        <v>44776.0</v>
      </c>
      <c r="C11990" s="3">
        <v>0.35435185185185186</v>
      </c>
      <c r="D11990" s="1">
        <v>12.889438</v>
      </c>
      <c r="E11990" s="1">
        <v>80.072084</v>
      </c>
      <c r="F11990" s="1">
        <v>3143.0</v>
      </c>
      <c r="G11990" s="1">
        <v>58.0</v>
      </c>
    </row>
    <row r="11991">
      <c r="A11991" s="1" t="s">
        <v>8</v>
      </c>
      <c r="B11991" s="2">
        <v>44776.0</v>
      </c>
      <c r="C11991" s="3">
        <v>0.3546875</v>
      </c>
      <c r="D11991" s="1">
        <v>12.887177</v>
      </c>
      <c r="E11991" s="1">
        <v>80.076016</v>
      </c>
      <c r="F11991" s="1">
        <v>3143.0</v>
      </c>
      <c r="G11991" s="1">
        <v>58.0</v>
      </c>
    </row>
    <row r="11992">
      <c r="A11992" s="1" t="s">
        <v>7</v>
      </c>
      <c r="B11992" s="2">
        <v>44776.0</v>
      </c>
      <c r="C11992" s="3">
        <v>0.35502314814814817</v>
      </c>
      <c r="D11992" s="1">
        <v>12.885888</v>
      </c>
      <c r="E11992" s="1">
        <v>80.080219</v>
      </c>
      <c r="F11992" s="1">
        <v>3143.0</v>
      </c>
      <c r="G11992" s="1">
        <v>52.0</v>
      </c>
    </row>
    <row r="11993">
      <c r="A11993" s="1" t="s">
        <v>8</v>
      </c>
      <c r="B11993" s="2">
        <v>44776.0</v>
      </c>
      <c r="C11993" s="3">
        <v>0.3552199074074074</v>
      </c>
      <c r="D11993" s="1">
        <v>12.878925</v>
      </c>
      <c r="E11993" s="1">
        <v>80.08085</v>
      </c>
      <c r="F11993" s="1">
        <v>805.0</v>
      </c>
      <c r="G11993" s="1">
        <v>13.0</v>
      </c>
    </row>
    <row r="11994">
      <c r="A11994" s="1" t="s">
        <v>8</v>
      </c>
      <c r="B11994" s="2">
        <v>44776.0</v>
      </c>
      <c r="C11994" s="3">
        <v>0.3552199074074074</v>
      </c>
      <c r="D11994" s="1">
        <v>12.878925</v>
      </c>
      <c r="E11994" s="1">
        <v>80.08085</v>
      </c>
      <c r="F11994" s="1">
        <v>805.0</v>
      </c>
      <c r="G11994" s="1">
        <v>13.0</v>
      </c>
    </row>
    <row r="11995">
      <c r="A11995" s="1" t="s">
        <v>8</v>
      </c>
      <c r="B11995" s="2">
        <v>44776.0</v>
      </c>
      <c r="C11995" s="3">
        <v>0.3552199074074074</v>
      </c>
      <c r="D11995" s="1">
        <v>12.878925</v>
      </c>
      <c r="E11995" s="1">
        <v>80.08085</v>
      </c>
      <c r="F11995" s="1">
        <v>805.0</v>
      </c>
      <c r="G11995" s="1">
        <v>13.0</v>
      </c>
    </row>
    <row r="11996">
      <c r="A11996" s="1" t="s">
        <v>8</v>
      </c>
      <c r="B11996" s="2">
        <v>44776.0</v>
      </c>
      <c r="C11996" s="3">
        <v>0.3552430555555556</v>
      </c>
      <c r="D11996" s="1">
        <v>12.878925</v>
      </c>
      <c r="E11996" s="1">
        <v>80.08085</v>
      </c>
      <c r="F11996" s="1">
        <v>805.0</v>
      </c>
      <c r="G11996" s="1">
        <v>13.0</v>
      </c>
    </row>
    <row r="11997">
      <c r="A11997" s="1" t="s">
        <v>8</v>
      </c>
      <c r="B11997" s="2">
        <v>44776.0</v>
      </c>
      <c r="C11997" s="3">
        <v>0.3552430555555556</v>
      </c>
      <c r="D11997" s="1">
        <v>12.878925</v>
      </c>
      <c r="E11997" s="1">
        <v>80.08085</v>
      </c>
      <c r="F11997" s="1">
        <v>805.0</v>
      </c>
      <c r="G11997" s="1">
        <v>13.0</v>
      </c>
    </row>
    <row r="11998">
      <c r="A11998" s="1" t="s">
        <v>10</v>
      </c>
      <c r="B11998" s="2">
        <v>44776.0</v>
      </c>
      <c r="C11998" s="3">
        <v>0.35659722222222223</v>
      </c>
      <c r="D11998" s="1">
        <v>12.876041</v>
      </c>
      <c r="E11998" s="1">
        <v>80.08407</v>
      </c>
      <c r="F11998" s="1">
        <v>805.0</v>
      </c>
      <c r="G11998" s="1">
        <v>18.0</v>
      </c>
    </row>
    <row r="11999">
      <c r="A11999" s="1" t="s">
        <v>7</v>
      </c>
      <c r="B11999" s="2">
        <v>44776.0</v>
      </c>
      <c r="C11999" s="3">
        <v>0.691863425925926</v>
      </c>
      <c r="D11999" s="1">
        <v>12.876411</v>
      </c>
      <c r="E11999" s="1">
        <v>80.079196</v>
      </c>
      <c r="F11999" s="1">
        <v>2846.0</v>
      </c>
      <c r="G11999" s="1">
        <v>54.0</v>
      </c>
    </row>
    <row r="12000">
      <c r="A12000" s="1" t="s">
        <v>7</v>
      </c>
      <c r="B12000" s="2">
        <v>44776.0</v>
      </c>
      <c r="C12000" s="3">
        <v>0.6922685185185186</v>
      </c>
      <c r="D12000" s="1">
        <v>12.870981</v>
      </c>
      <c r="E12000" s="1">
        <v>80.077</v>
      </c>
      <c r="F12000" s="1">
        <v>2846.0</v>
      </c>
      <c r="G12000" s="1">
        <v>57.0</v>
      </c>
    </row>
    <row r="12001">
      <c r="A12001" s="1" t="s">
        <v>8</v>
      </c>
      <c r="B12001" s="2">
        <v>44776.0</v>
      </c>
      <c r="C12001" s="3">
        <v>0.6922800925925926</v>
      </c>
      <c r="D12001" s="1">
        <v>12.885039</v>
      </c>
      <c r="E12001" s="1">
        <v>80.082189</v>
      </c>
      <c r="F12001" s="1">
        <v>805.0</v>
      </c>
      <c r="G12001" s="1">
        <v>47.0</v>
      </c>
    </row>
    <row r="12002">
      <c r="A12002" s="1" t="s">
        <v>8</v>
      </c>
      <c r="B12002" s="2">
        <v>44776.0</v>
      </c>
      <c r="C12002" s="3">
        <v>0.6923263888888889</v>
      </c>
      <c r="D12002" s="1">
        <v>12.885039</v>
      </c>
      <c r="E12002" s="1">
        <v>80.082189</v>
      </c>
      <c r="F12002" s="1">
        <v>805.0</v>
      </c>
      <c r="G12002" s="1">
        <v>47.0</v>
      </c>
    </row>
    <row r="12003">
      <c r="A12003" s="1" t="s">
        <v>7</v>
      </c>
      <c r="B12003" s="2">
        <v>44776.0</v>
      </c>
      <c r="C12003" s="3">
        <v>0.6925</v>
      </c>
      <c r="D12003" s="1">
        <v>12.870981</v>
      </c>
      <c r="E12003" s="1">
        <v>80.077</v>
      </c>
      <c r="F12003" s="1">
        <v>2846.0</v>
      </c>
      <c r="G12003" s="1">
        <v>57.0</v>
      </c>
    </row>
    <row r="12004">
      <c r="A12004" s="1" t="s">
        <v>7</v>
      </c>
      <c r="B12004" s="2">
        <v>44776.0</v>
      </c>
      <c r="C12004" s="3">
        <v>0.6926273148148148</v>
      </c>
      <c r="D12004" s="1">
        <v>12.8848</v>
      </c>
      <c r="E12004" s="1">
        <v>80.081666</v>
      </c>
      <c r="F12004" s="1">
        <v>3143.0</v>
      </c>
      <c r="G12004" s="1">
        <v>49.0</v>
      </c>
    </row>
    <row r="12005">
      <c r="A12005" s="1" t="s">
        <v>7</v>
      </c>
      <c r="B12005" s="2">
        <v>44776.0</v>
      </c>
      <c r="C12005" s="3">
        <v>0.692650462962963</v>
      </c>
      <c r="D12005" s="1">
        <v>12.888468</v>
      </c>
      <c r="E12005" s="1">
        <v>80.083868</v>
      </c>
      <c r="F12005" s="1">
        <v>805.0</v>
      </c>
      <c r="G12005" s="1">
        <v>59.0</v>
      </c>
    </row>
    <row r="12006">
      <c r="A12006" s="1" t="s">
        <v>8</v>
      </c>
      <c r="B12006" s="2">
        <v>44776.0</v>
      </c>
      <c r="C12006" s="3">
        <v>0.6926967592592592</v>
      </c>
      <c r="D12006" s="1">
        <v>12.888468</v>
      </c>
      <c r="E12006" s="1">
        <v>80.083868</v>
      </c>
      <c r="F12006" s="1">
        <v>805.0</v>
      </c>
      <c r="G12006" s="1">
        <v>59.0</v>
      </c>
    </row>
    <row r="12007">
      <c r="A12007" s="1" t="s">
        <v>7</v>
      </c>
      <c r="B12007" s="2">
        <v>44776.0</v>
      </c>
      <c r="C12007" s="3">
        <v>0.6927662037037037</v>
      </c>
      <c r="D12007" s="1">
        <v>12.885475</v>
      </c>
      <c r="E12007" s="1">
        <v>80.080544</v>
      </c>
      <c r="F12007" s="1">
        <v>3143.0</v>
      </c>
      <c r="G12007" s="1">
        <v>54.0</v>
      </c>
    </row>
    <row r="12008">
      <c r="A12008" s="1" t="s">
        <v>8</v>
      </c>
      <c r="B12008" s="2">
        <v>44776.0</v>
      </c>
      <c r="C12008" s="3">
        <v>0.6928356481481481</v>
      </c>
      <c r="D12008" s="1">
        <v>12.889742</v>
      </c>
      <c r="E12008" s="1">
        <v>80.084367</v>
      </c>
      <c r="F12008" s="1">
        <v>805.0</v>
      </c>
      <c r="G12008" s="1">
        <v>50.0</v>
      </c>
    </row>
    <row r="12009">
      <c r="A12009" s="1" t="s">
        <v>7</v>
      </c>
      <c r="B12009" s="2">
        <v>44776.0</v>
      </c>
      <c r="C12009" s="3">
        <v>0.6929282407407408</v>
      </c>
      <c r="D12009" s="1">
        <v>12.890809</v>
      </c>
      <c r="E12009" s="1">
        <v>80.08482</v>
      </c>
      <c r="F12009" s="1">
        <v>805.0</v>
      </c>
      <c r="G12009" s="1">
        <v>45.0</v>
      </c>
    </row>
    <row r="12010">
      <c r="A12010" s="1" t="s">
        <v>8</v>
      </c>
      <c r="B12010" s="2">
        <v>44776.0</v>
      </c>
      <c r="C12010" s="3">
        <v>0.6930439814814815</v>
      </c>
      <c r="D12010" s="1">
        <v>12.89124</v>
      </c>
      <c r="E12010" s="1">
        <v>80.084989</v>
      </c>
      <c r="F12010" s="1">
        <v>5339.0</v>
      </c>
      <c r="G12010" s="1">
        <v>43.0</v>
      </c>
    </row>
    <row r="12011">
      <c r="A12011" s="1" t="s">
        <v>8</v>
      </c>
      <c r="B12011" s="2">
        <v>44776.0</v>
      </c>
      <c r="C12011" s="3">
        <v>0.6930787037037037</v>
      </c>
      <c r="D12011" s="1">
        <v>12.866759</v>
      </c>
      <c r="E12011" s="1">
        <v>80.075458</v>
      </c>
      <c r="F12011" s="1">
        <v>2846.0</v>
      </c>
      <c r="G12011" s="1">
        <v>15.0</v>
      </c>
    </row>
    <row r="12012">
      <c r="A12012" s="1" t="s">
        <v>7</v>
      </c>
      <c r="B12012" s="2">
        <v>44776.0</v>
      </c>
      <c r="C12012" s="3">
        <v>0.6932175925925926</v>
      </c>
      <c r="D12012" s="1">
        <v>12.86691</v>
      </c>
      <c r="E12012" s="1">
        <v>80.075491</v>
      </c>
      <c r="F12012" s="1">
        <v>2846.0</v>
      </c>
      <c r="G12012" s="1">
        <v>0.0</v>
      </c>
    </row>
    <row r="12013">
      <c r="A12013" s="1" t="s">
        <v>8</v>
      </c>
      <c r="B12013" s="2">
        <v>44776.0</v>
      </c>
      <c r="C12013" s="3">
        <v>0.6934953703703703</v>
      </c>
      <c r="D12013" s="1">
        <v>12.896582</v>
      </c>
      <c r="E12013" s="1">
        <v>80.088808</v>
      </c>
      <c r="F12013" s="1">
        <v>805.0</v>
      </c>
      <c r="G12013" s="1">
        <v>57.0</v>
      </c>
    </row>
    <row r="12014">
      <c r="A12014" s="1" t="s">
        <v>7</v>
      </c>
      <c r="B12014" s="2">
        <v>44776.0</v>
      </c>
      <c r="C12014" s="3">
        <v>0.6935069444444445</v>
      </c>
      <c r="D12014" s="1">
        <v>12.86335</v>
      </c>
      <c r="E12014" s="1">
        <v>80.074111</v>
      </c>
      <c r="F12014" s="1">
        <v>2846.0</v>
      </c>
      <c r="G12014" s="1">
        <v>57.0</v>
      </c>
    </row>
    <row r="12015">
      <c r="A12015" s="1" t="s">
        <v>8</v>
      </c>
      <c r="B12015" s="2">
        <v>44776.0</v>
      </c>
      <c r="C12015" s="3">
        <v>0.6935763888888888</v>
      </c>
      <c r="D12015" s="1">
        <v>12.897728</v>
      </c>
      <c r="E12015" s="1">
        <v>80.089631</v>
      </c>
      <c r="F12015" s="1">
        <v>805.0</v>
      </c>
      <c r="G12015" s="1">
        <v>55.0</v>
      </c>
    </row>
    <row r="12016">
      <c r="A12016" s="1" t="s">
        <v>8</v>
      </c>
      <c r="B12016" s="2">
        <v>44776.0</v>
      </c>
      <c r="C12016" s="3">
        <v>0.693587962962963</v>
      </c>
      <c r="D12016" s="1">
        <v>12.897728</v>
      </c>
      <c r="E12016" s="1">
        <v>80.089631</v>
      </c>
      <c r="F12016" s="1">
        <v>805.0</v>
      </c>
      <c r="G12016" s="1">
        <v>55.0</v>
      </c>
    </row>
    <row r="12017">
      <c r="A12017" s="1" t="s">
        <v>8</v>
      </c>
      <c r="B12017" s="2">
        <v>44776.0</v>
      </c>
      <c r="C12017" s="3">
        <v>0.693599537037037</v>
      </c>
      <c r="D12017" s="1">
        <v>12.894877</v>
      </c>
      <c r="E12017" s="1">
        <v>80.087509</v>
      </c>
      <c r="F12017" s="1">
        <v>5339.0</v>
      </c>
      <c r="G12017" s="1">
        <v>42.0</v>
      </c>
    </row>
    <row r="12018">
      <c r="A12018" s="1" t="s">
        <v>8</v>
      </c>
      <c r="B12018" s="2">
        <v>44776.0</v>
      </c>
      <c r="C12018" s="3">
        <v>0.6937268518518519</v>
      </c>
      <c r="D12018" s="1">
        <v>12.898895</v>
      </c>
      <c r="E12018" s="1">
        <v>80.090506</v>
      </c>
      <c r="F12018" s="1">
        <v>805.0</v>
      </c>
      <c r="G12018" s="1">
        <v>57.0</v>
      </c>
    </row>
    <row r="12019">
      <c r="A12019" s="1" t="s">
        <v>9</v>
      </c>
      <c r="B12019" s="2">
        <v>44776.0</v>
      </c>
      <c r="C12019" s="3">
        <v>0.6937384259259259</v>
      </c>
      <c r="D12019" s="1">
        <v>12.895669</v>
      </c>
      <c r="E12019" s="1">
        <v>80.088118</v>
      </c>
      <c r="F12019" s="1">
        <v>5339.0</v>
      </c>
      <c r="G12019" s="1">
        <v>37.0</v>
      </c>
    </row>
    <row r="12020">
      <c r="A12020" s="1" t="s">
        <v>8</v>
      </c>
      <c r="B12020" s="2">
        <v>44776.0</v>
      </c>
      <c r="C12020" s="3">
        <v>0.6943634259259259</v>
      </c>
      <c r="D12020" s="1">
        <v>12.901988</v>
      </c>
      <c r="E12020" s="1">
        <v>80.092882</v>
      </c>
      <c r="F12020" s="1">
        <v>5339.0</v>
      </c>
      <c r="G12020" s="1">
        <v>50.0</v>
      </c>
    </row>
    <row r="12021">
      <c r="A12021" s="1" t="s">
        <v>7</v>
      </c>
      <c r="B12021" s="2">
        <v>44776.0</v>
      </c>
      <c r="C12021" s="3">
        <v>0.6945023148148148</v>
      </c>
      <c r="D12021" s="1">
        <v>12.901328</v>
      </c>
      <c r="E12021" s="1">
        <v>80.070799</v>
      </c>
      <c r="F12021" s="1">
        <v>3143.0</v>
      </c>
      <c r="G12021" s="1">
        <v>57.0</v>
      </c>
    </row>
    <row r="12022">
      <c r="A12022" s="1" t="s">
        <v>7</v>
      </c>
      <c r="B12022" s="2">
        <v>44776.0</v>
      </c>
      <c r="C12022" s="3">
        <v>0.6946180555555556</v>
      </c>
      <c r="D12022" s="1">
        <v>12.902745</v>
      </c>
      <c r="E12022" s="1">
        <v>80.071108</v>
      </c>
      <c r="F12022" s="1">
        <v>3143.0</v>
      </c>
      <c r="G12022" s="1">
        <v>57.0</v>
      </c>
    </row>
    <row r="12023">
      <c r="A12023" s="1" t="s">
        <v>7</v>
      </c>
      <c r="B12023" s="2">
        <v>44776.0</v>
      </c>
      <c r="C12023" s="3">
        <v>0.694699074074074</v>
      </c>
      <c r="D12023" s="1">
        <v>12.904164</v>
      </c>
      <c r="E12023" s="1">
        <v>80.071406</v>
      </c>
      <c r="F12023" s="1">
        <v>3143.0</v>
      </c>
      <c r="G12023" s="1">
        <v>58.0</v>
      </c>
    </row>
    <row r="12024">
      <c r="A12024" s="1" t="s">
        <v>7</v>
      </c>
      <c r="B12024" s="2">
        <v>44776.0</v>
      </c>
      <c r="C12024" s="3">
        <v>0.6947569444444445</v>
      </c>
      <c r="D12024" s="1">
        <v>12.860163</v>
      </c>
      <c r="E12024" s="1">
        <v>80.07245</v>
      </c>
      <c r="F12024" s="1">
        <v>2846.0</v>
      </c>
      <c r="G12024" s="1">
        <v>0.0</v>
      </c>
    </row>
    <row r="12025">
      <c r="A12025" s="1" t="s">
        <v>7</v>
      </c>
      <c r="B12025" s="2">
        <v>44776.0</v>
      </c>
      <c r="C12025" s="3">
        <v>0.6951967592592593</v>
      </c>
      <c r="D12025" s="1">
        <v>12.85164</v>
      </c>
      <c r="E12025" s="1">
        <v>80.066077</v>
      </c>
      <c r="F12025" s="1">
        <v>2846.0</v>
      </c>
      <c r="G12025" s="1">
        <v>58.0</v>
      </c>
    </row>
    <row r="12026">
      <c r="A12026" s="1" t="s">
        <v>8</v>
      </c>
      <c r="B12026" s="2">
        <v>44776.0</v>
      </c>
      <c r="C12026" s="3">
        <v>0.6956018518518519</v>
      </c>
      <c r="D12026" s="1">
        <v>12.85164</v>
      </c>
      <c r="E12026" s="1">
        <v>80.066077</v>
      </c>
      <c r="F12026" s="1">
        <v>2846.0</v>
      </c>
      <c r="G12026" s="1">
        <v>58.0</v>
      </c>
    </row>
    <row r="12027">
      <c r="A12027" s="1" t="s">
        <v>8</v>
      </c>
      <c r="B12027" s="2">
        <v>44776.0</v>
      </c>
      <c r="C12027" s="3">
        <v>0.6960416666666667</v>
      </c>
      <c r="D12027" s="1">
        <v>12.912432</v>
      </c>
      <c r="E12027" s="1">
        <v>80.101373</v>
      </c>
      <c r="F12027" s="1">
        <v>5339.0</v>
      </c>
      <c r="G12027" s="1">
        <v>32.0</v>
      </c>
    </row>
    <row r="12028">
      <c r="A12028" s="1" t="s">
        <v>8</v>
      </c>
      <c r="B12028" s="2">
        <v>44776.0</v>
      </c>
      <c r="C12028" s="3">
        <v>0.6961689814814814</v>
      </c>
      <c r="D12028" s="1">
        <v>12.913454</v>
      </c>
      <c r="E12028" s="1">
        <v>80.101549</v>
      </c>
      <c r="F12028" s="1">
        <v>805.0</v>
      </c>
      <c r="G12028" s="1">
        <v>48.0</v>
      </c>
    </row>
    <row r="12029">
      <c r="A12029" s="1" t="s">
        <v>7</v>
      </c>
      <c r="B12029" s="2">
        <v>44776.0</v>
      </c>
      <c r="C12029" s="3">
        <v>0.6974652777777778</v>
      </c>
      <c r="D12029" s="1">
        <v>12.918861</v>
      </c>
      <c r="E12029" s="1">
        <v>80.109559</v>
      </c>
      <c r="F12029" s="1">
        <v>805.0</v>
      </c>
      <c r="G12029" s="1">
        <v>58.0</v>
      </c>
    </row>
    <row r="12030">
      <c r="A12030" s="1" t="s">
        <v>8</v>
      </c>
      <c r="B12030" s="2">
        <v>44776.0</v>
      </c>
      <c r="C12030" s="3">
        <v>0.697511574074074</v>
      </c>
      <c r="D12030" s="1">
        <v>12.919772</v>
      </c>
      <c r="E12030" s="1">
        <v>80.110716</v>
      </c>
      <c r="F12030" s="1">
        <v>805.0</v>
      </c>
      <c r="G12030" s="1">
        <v>58.0</v>
      </c>
    </row>
    <row r="12031">
      <c r="A12031" s="1" t="s">
        <v>8</v>
      </c>
      <c r="B12031" s="2">
        <v>44776.0</v>
      </c>
      <c r="C12031" s="3">
        <v>0.6976041666666667</v>
      </c>
      <c r="D12031" s="1">
        <v>12.920779</v>
      </c>
      <c r="E12031" s="1">
        <v>80.111794</v>
      </c>
      <c r="F12031" s="1">
        <v>805.0</v>
      </c>
      <c r="G12031" s="1">
        <v>56.0</v>
      </c>
    </row>
    <row r="12032">
      <c r="A12032" s="1" t="s">
        <v>7</v>
      </c>
      <c r="B12032" s="2">
        <v>44776.0</v>
      </c>
      <c r="C12032" s="3">
        <v>0.6976967592592592</v>
      </c>
      <c r="D12032" s="1">
        <v>12.919974</v>
      </c>
      <c r="E12032" s="1">
        <v>80.110975</v>
      </c>
      <c r="F12032" s="1">
        <v>5339.0</v>
      </c>
      <c r="G12032" s="1">
        <v>51.0</v>
      </c>
    </row>
    <row r="12033">
      <c r="A12033" s="1" t="s">
        <v>8</v>
      </c>
      <c r="B12033" s="2">
        <v>44776.0</v>
      </c>
      <c r="C12033" s="3">
        <v>0.6978125</v>
      </c>
      <c r="D12033" s="1">
        <v>12.841537</v>
      </c>
      <c r="E12033" s="1">
        <v>80.05734</v>
      </c>
      <c r="F12033" s="1">
        <v>2846.0</v>
      </c>
      <c r="G12033" s="1">
        <v>51.0</v>
      </c>
    </row>
    <row r="12034">
      <c r="A12034" s="1" t="s">
        <v>8</v>
      </c>
      <c r="B12034" s="2">
        <v>44776.0</v>
      </c>
      <c r="C12034" s="3">
        <v>0.6980439814814815</v>
      </c>
      <c r="D12034" s="1">
        <v>12.923408</v>
      </c>
      <c r="E12034" s="1">
        <v>80.114466</v>
      </c>
      <c r="F12034" s="1">
        <v>805.0</v>
      </c>
      <c r="G12034" s="1">
        <v>34.0</v>
      </c>
    </row>
    <row r="12035">
      <c r="A12035" s="1" t="s">
        <v>7</v>
      </c>
      <c r="B12035" s="2">
        <v>44776.0</v>
      </c>
      <c r="C12035" s="3">
        <v>0.6980555555555555</v>
      </c>
      <c r="D12035" s="1">
        <v>12.840273</v>
      </c>
      <c r="E12035" s="1">
        <v>80.055981</v>
      </c>
      <c r="F12035" s="1">
        <v>2846.0</v>
      </c>
      <c r="G12035" s="1">
        <v>43.0</v>
      </c>
    </row>
    <row r="12036">
      <c r="A12036" s="1" t="s">
        <v>7</v>
      </c>
      <c r="B12036" s="2">
        <v>44776.0</v>
      </c>
      <c r="C12036" s="3">
        <v>0.698125</v>
      </c>
      <c r="D12036" s="1">
        <v>12.840273</v>
      </c>
      <c r="E12036" s="1">
        <v>80.055981</v>
      </c>
      <c r="F12036" s="1">
        <v>2846.0</v>
      </c>
      <c r="G12036" s="1">
        <v>43.0</v>
      </c>
    </row>
    <row r="12037">
      <c r="A12037" s="1" t="s">
        <v>8</v>
      </c>
      <c r="B12037" s="2">
        <v>44776.0</v>
      </c>
      <c r="C12037" s="3">
        <v>0.6981481481481482</v>
      </c>
      <c r="D12037" s="1">
        <v>12.838904</v>
      </c>
      <c r="E12037" s="1">
        <v>80.054501</v>
      </c>
      <c r="F12037" s="1">
        <v>2846.0</v>
      </c>
      <c r="G12037" s="1">
        <v>56.0</v>
      </c>
    </row>
    <row r="12038">
      <c r="A12038" s="1" t="s">
        <v>8</v>
      </c>
      <c r="B12038" s="2">
        <v>44776.0</v>
      </c>
      <c r="C12038" s="3">
        <v>0.698275462962963</v>
      </c>
      <c r="D12038" s="1">
        <v>12.92494</v>
      </c>
      <c r="E12038" s="1">
        <v>80.116003</v>
      </c>
      <c r="F12038" s="1">
        <v>805.0</v>
      </c>
      <c r="G12038" s="1">
        <v>41.0</v>
      </c>
    </row>
    <row r="12039">
      <c r="A12039" s="1" t="s">
        <v>8</v>
      </c>
      <c r="B12039" s="2">
        <v>44776.0</v>
      </c>
      <c r="C12039" s="3">
        <v>0.698287037037037</v>
      </c>
      <c r="D12039" s="1">
        <v>12.838904</v>
      </c>
      <c r="E12039" s="1">
        <v>80.054501</v>
      </c>
      <c r="F12039" s="1">
        <v>2846.0</v>
      </c>
      <c r="G12039" s="1">
        <v>56.0</v>
      </c>
    </row>
    <row r="12040">
      <c r="A12040" s="1" t="s">
        <v>7</v>
      </c>
      <c r="B12040" s="2">
        <v>44776.0</v>
      </c>
      <c r="C12040" s="3">
        <v>0.6984953703703703</v>
      </c>
      <c r="D12040" s="1">
        <v>12.837436</v>
      </c>
      <c r="E12040" s="1">
        <v>80.052983</v>
      </c>
      <c r="F12040" s="1">
        <v>2846.0</v>
      </c>
      <c r="G12040" s="1">
        <v>54.0</v>
      </c>
    </row>
    <row r="12041">
      <c r="A12041" s="1" t="s">
        <v>8</v>
      </c>
      <c r="B12041" s="2">
        <v>44776.0</v>
      </c>
      <c r="C12041" s="3">
        <v>0.698599537037037</v>
      </c>
      <c r="D12041" s="1">
        <v>12.835825</v>
      </c>
      <c r="E12041" s="1">
        <v>80.05131</v>
      </c>
      <c r="F12041" s="1">
        <v>2846.0</v>
      </c>
      <c r="G12041" s="1">
        <v>56.0</v>
      </c>
    </row>
    <row r="12042">
      <c r="A12042" s="1" t="s">
        <v>8</v>
      </c>
      <c r="B12042" s="2">
        <v>44776.0</v>
      </c>
      <c r="C12042" s="3">
        <v>0.6987847222222222</v>
      </c>
      <c r="D12042" s="1">
        <v>12.834127</v>
      </c>
      <c r="E12042" s="1">
        <v>80.049587</v>
      </c>
      <c r="F12042" s="1">
        <v>2846.0</v>
      </c>
      <c r="G12042" s="1">
        <v>56.0</v>
      </c>
    </row>
    <row r="12043">
      <c r="A12043" s="1" t="s">
        <v>7</v>
      </c>
      <c r="B12043" s="2">
        <v>44776.0</v>
      </c>
      <c r="C12043" s="3">
        <v>0.6989814814814815</v>
      </c>
      <c r="D12043" s="1">
        <v>12.834127</v>
      </c>
      <c r="E12043" s="1">
        <v>80.049587</v>
      </c>
      <c r="F12043" s="1">
        <v>2846.0</v>
      </c>
      <c r="G12043" s="1">
        <v>56.0</v>
      </c>
    </row>
    <row r="12044">
      <c r="A12044" s="1" t="s">
        <v>8</v>
      </c>
      <c r="B12044" s="2">
        <v>44776.0</v>
      </c>
      <c r="C12044" s="3">
        <v>0.6994328703703704</v>
      </c>
      <c r="D12044" s="1">
        <v>12.921985</v>
      </c>
      <c r="E12044" s="1">
        <v>80.094133</v>
      </c>
      <c r="F12044" s="1">
        <v>3143.0</v>
      </c>
      <c r="G12044" s="1">
        <v>34.0</v>
      </c>
    </row>
    <row r="12045">
      <c r="A12045" s="1" t="s">
        <v>7</v>
      </c>
      <c r="B12045" s="2">
        <v>44776.0</v>
      </c>
      <c r="C12045" s="3">
        <v>0.6995254629629629</v>
      </c>
      <c r="D12045" s="1">
        <v>12.829547</v>
      </c>
      <c r="E12045" s="1">
        <v>80.044733</v>
      </c>
      <c r="F12045" s="1">
        <v>2846.0</v>
      </c>
      <c r="G12045" s="1">
        <v>57.0</v>
      </c>
    </row>
    <row r="12046">
      <c r="A12046" s="1" t="s">
        <v>8</v>
      </c>
      <c r="B12046" s="2">
        <v>44776.0</v>
      </c>
      <c r="C12046" s="3">
        <v>0.6997916666666667</v>
      </c>
      <c r="D12046" s="1">
        <v>12.826178</v>
      </c>
      <c r="E12046" s="1">
        <v>80.041254</v>
      </c>
      <c r="F12046" s="1">
        <v>2846.0</v>
      </c>
      <c r="G12046" s="1">
        <v>57.0</v>
      </c>
    </row>
    <row r="12047">
      <c r="A12047" s="1" t="s">
        <v>8</v>
      </c>
      <c r="B12047" s="2">
        <v>44776.0</v>
      </c>
      <c r="C12047" s="3">
        <v>0.6998032407407407</v>
      </c>
      <c r="D12047" s="1">
        <v>12.930528</v>
      </c>
      <c r="E12047" s="1">
        <v>80.121652</v>
      </c>
      <c r="F12047" s="1">
        <v>805.0</v>
      </c>
      <c r="G12047" s="1">
        <v>33.0</v>
      </c>
    </row>
    <row r="12048">
      <c r="A12048" s="1" t="s">
        <v>8</v>
      </c>
      <c r="B12048" s="2">
        <v>44776.0</v>
      </c>
      <c r="C12048" s="3">
        <v>0.7003356481481482</v>
      </c>
      <c r="D12048" s="1">
        <v>12.923552</v>
      </c>
      <c r="E12048" s="1">
        <v>80.097479</v>
      </c>
      <c r="F12048" s="1">
        <v>3143.0</v>
      </c>
      <c r="G12048" s="1">
        <v>15.0</v>
      </c>
    </row>
    <row r="12049">
      <c r="A12049" s="1" t="s">
        <v>8</v>
      </c>
      <c r="B12049" s="2">
        <v>44776.0</v>
      </c>
      <c r="C12049" s="3">
        <v>0.7010995370370371</v>
      </c>
      <c r="D12049" s="1">
        <v>12.935773</v>
      </c>
      <c r="E12049" s="1">
        <v>80.12662</v>
      </c>
      <c r="F12049" s="1">
        <v>805.0</v>
      </c>
      <c r="G12049" s="1">
        <v>36.0</v>
      </c>
    </row>
    <row r="12050">
      <c r="A12050" s="1" t="s">
        <v>8</v>
      </c>
      <c r="B12050" s="2">
        <v>44776.0</v>
      </c>
      <c r="C12050" s="3">
        <v>0.701412037037037</v>
      </c>
      <c r="D12050" s="1">
        <v>12.937142</v>
      </c>
      <c r="E12050" s="1">
        <v>80.127871</v>
      </c>
      <c r="F12050" s="1">
        <v>805.0</v>
      </c>
      <c r="G12050" s="1">
        <v>45.0</v>
      </c>
    </row>
    <row r="12051">
      <c r="A12051" s="1" t="s">
        <v>7</v>
      </c>
      <c r="B12051" s="2">
        <v>44776.0</v>
      </c>
      <c r="C12051" s="3">
        <v>0.7016666666666667</v>
      </c>
      <c r="D12051" s="1">
        <v>12.819339</v>
      </c>
      <c r="E12051" s="1">
        <v>80.0364</v>
      </c>
      <c r="F12051" s="1">
        <v>2846.0</v>
      </c>
      <c r="G12051" s="1">
        <v>48.0</v>
      </c>
    </row>
    <row r="12052">
      <c r="A12052" s="1" t="s">
        <v>8</v>
      </c>
      <c r="B12052" s="2">
        <v>44776.0</v>
      </c>
      <c r="C12052" s="3">
        <v>0.7016782407407407</v>
      </c>
      <c r="D12052" s="1">
        <v>12.925632</v>
      </c>
      <c r="E12052" s="1">
        <v>80.102995</v>
      </c>
      <c r="F12052" s="1">
        <v>3143.0</v>
      </c>
      <c r="G12052" s="1">
        <v>26.0</v>
      </c>
    </row>
    <row r="12053">
      <c r="A12053" s="1" t="s">
        <v>7</v>
      </c>
      <c r="B12053" s="2">
        <v>44776.0</v>
      </c>
      <c r="C12053" s="3">
        <v>0.7021064814814815</v>
      </c>
      <c r="D12053" s="1">
        <v>12.813266</v>
      </c>
      <c r="E12053" s="1">
        <v>80.032125</v>
      </c>
      <c r="F12053" s="1">
        <v>2846.0</v>
      </c>
      <c r="G12053" s="1">
        <v>57.0</v>
      </c>
    </row>
    <row r="12054">
      <c r="A12054" s="1" t="s">
        <v>8</v>
      </c>
      <c r="B12054" s="2">
        <v>44776.0</v>
      </c>
      <c r="C12054" s="3">
        <v>0.7026041666666667</v>
      </c>
      <c r="D12054" s="1">
        <v>12.942807</v>
      </c>
      <c r="E12054" s="1">
        <v>80.13337</v>
      </c>
      <c r="F12054" s="1">
        <v>805.0</v>
      </c>
      <c r="G12054" s="1">
        <v>24.0</v>
      </c>
    </row>
    <row r="12055">
      <c r="A12055" s="1" t="s">
        <v>8</v>
      </c>
      <c r="B12055" s="2">
        <v>44776.0</v>
      </c>
      <c r="C12055" s="3">
        <v>0.7028819444444444</v>
      </c>
      <c r="D12055" s="1">
        <v>12.944822</v>
      </c>
      <c r="E12055" s="1">
        <v>80.135112</v>
      </c>
      <c r="F12055" s="1">
        <v>805.0</v>
      </c>
      <c r="G12055" s="1">
        <v>42.0</v>
      </c>
    </row>
    <row r="12056">
      <c r="A12056" s="1" t="s">
        <v>8</v>
      </c>
      <c r="B12056" s="2">
        <v>44776.0</v>
      </c>
      <c r="C12056" s="3">
        <v>0.7030324074074074</v>
      </c>
      <c r="D12056" s="1">
        <v>12.945712</v>
      </c>
      <c r="E12056" s="1">
        <v>80.135869</v>
      </c>
      <c r="F12056" s="1">
        <v>805.0</v>
      </c>
      <c r="G12056" s="1">
        <v>52.0</v>
      </c>
    </row>
    <row r="12057">
      <c r="A12057" s="1" t="s">
        <v>7</v>
      </c>
      <c r="B12057" s="2">
        <v>44776.0</v>
      </c>
      <c r="C12057" s="3">
        <v>0.7031481481481482</v>
      </c>
      <c r="D12057" s="1">
        <v>12.946748</v>
      </c>
      <c r="E12057" s="1">
        <v>80.136673</v>
      </c>
      <c r="F12057" s="1">
        <v>805.0</v>
      </c>
      <c r="G12057" s="1">
        <v>50.0</v>
      </c>
    </row>
    <row r="12058">
      <c r="A12058" s="1" t="s">
        <v>8</v>
      </c>
      <c r="B12058" s="2">
        <v>44776.0</v>
      </c>
      <c r="C12058" s="3">
        <v>0.7032175925925926</v>
      </c>
      <c r="D12058" s="1">
        <v>12.947851</v>
      </c>
      <c r="E12058" s="1">
        <v>80.137432</v>
      </c>
      <c r="F12058" s="1">
        <v>805.0</v>
      </c>
      <c r="G12058" s="1">
        <v>57.0</v>
      </c>
    </row>
    <row r="12059">
      <c r="A12059" s="1" t="s">
        <v>7</v>
      </c>
      <c r="B12059" s="2">
        <v>44776.0</v>
      </c>
      <c r="C12059" s="3">
        <v>0.7033680555555556</v>
      </c>
      <c r="D12059" s="1">
        <v>12.948958</v>
      </c>
      <c r="E12059" s="1">
        <v>80.138236</v>
      </c>
      <c r="F12059" s="1">
        <v>805.0</v>
      </c>
      <c r="G12059" s="1">
        <v>49.0</v>
      </c>
    </row>
    <row r="12060">
      <c r="A12060" s="1" t="s">
        <v>8</v>
      </c>
      <c r="B12060" s="2">
        <v>44776.0</v>
      </c>
      <c r="C12060" s="3">
        <v>0.7034490740740741</v>
      </c>
      <c r="D12060" s="1">
        <v>12.949969</v>
      </c>
      <c r="E12060" s="1">
        <v>80.139058</v>
      </c>
      <c r="F12060" s="1">
        <v>805.0</v>
      </c>
      <c r="G12060" s="1">
        <v>50.0</v>
      </c>
    </row>
    <row r="12061">
      <c r="A12061" s="1" t="s">
        <v>8</v>
      </c>
      <c r="B12061" s="2">
        <v>44776.0</v>
      </c>
      <c r="C12061" s="3">
        <v>0.7034722222222223</v>
      </c>
      <c r="D12061" s="1">
        <v>12.949969</v>
      </c>
      <c r="E12061" s="1">
        <v>80.139058</v>
      </c>
      <c r="F12061" s="1">
        <v>805.0</v>
      </c>
      <c r="G12061" s="1">
        <v>50.0</v>
      </c>
    </row>
    <row r="12062">
      <c r="A12062" s="1" t="s">
        <v>8</v>
      </c>
      <c r="B12062" s="2">
        <v>44776.0</v>
      </c>
      <c r="C12062" s="3">
        <v>0.7034837962962963</v>
      </c>
      <c r="D12062" s="1">
        <v>12.949969</v>
      </c>
      <c r="E12062" s="1">
        <v>80.139058</v>
      </c>
      <c r="F12062" s="1">
        <v>805.0</v>
      </c>
      <c r="G12062" s="1">
        <v>50.0</v>
      </c>
    </row>
    <row r="12063">
      <c r="A12063" s="1" t="s">
        <v>8</v>
      </c>
      <c r="B12063" s="2">
        <v>44776.0</v>
      </c>
      <c r="C12063" s="3">
        <v>0.7037268518518518</v>
      </c>
      <c r="D12063" s="1">
        <v>12.943553</v>
      </c>
      <c r="E12063" s="1">
        <v>80.134129</v>
      </c>
      <c r="F12063" s="1">
        <v>5339.0</v>
      </c>
      <c r="G12063" s="1">
        <v>37.0</v>
      </c>
    </row>
    <row r="12064">
      <c r="A12064" s="1" t="s">
        <v>10</v>
      </c>
      <c r="B12064" s="2">
        <v>44776.0</v>
      </c>
      <c r="C12064" s="3">
        <v>0.7038541666666667</v>
      </c>
      <c r="D12064" s="1">
        <v>12.927221</v>
      </c>
      <c r="E12064" s="1">
        <v>80.109053</v>
      </c>
      <c r="F12064" s="1">
        <v>3143.0</v>
      </c>
      <c r="G12064" s="1">
        <v>16.0</v>
      </c>
    </row>
    <row r="12065">
      <c r="A12065" s="1" t="s">
        <v>7</v>
      </c>
      <c r="B12065" s="2">
        <v>44776.0</v>
      </c>
      <c r="C12065" s="3">
        <v>0.7048958333333334</v>
      </c>
      <c r="D12065" s="1">
        <v>12.781168</v>
      </c>
      <c r="E12065" s="1">
        <v>80.012314</v>
      </c>
      <c r="F12065" s="1">
        <v>2846.0</v>
      </c>
      <c r="G12065" s="1">
        <v>57.0</v>
      </c>
    </row>
    <row r="12066">
      <c r="A12066" s="1" t="s">
        <v>9</v>
      </c>
      <c r="B12066" s="2">
        <v>44776.0</v>
      </c>
      <c r="C12066" s="3">
        <v>0.7049074074074074</v>
      </c>
      <c r="D12066" s="1">
        <v>12.781168</v>
      </c>
      <c r="E12066" s="1">
        <v>80.012314</v>
      </c>
      <c r="F12066" s="1">
        <v>2846.0</v>
      </c>
      <c r="G12066" s="1">
        <v>57.0</v>
      </c>
    </row>
    <row r="12067">
      <c r="A12067" s="1" t="s">
        <v>7</v>
      </c>
      <c r="B12067" s="2">
        <v>44776.0</v>
      </c>
      <c r="C12067" s="3">
        <v>0.7055671296296296</v>
      </c>
      <c r="D12067" s="1">
        <v>12.774866</v>
      </c>
      <c r="E12067" s="1">
        <v>80.00957</v>
      </c>
      <c r="F12067" s="1">
        <v>2846.0</v>
      </c>
      <c r="G12067" s="1">
        <v>57.0</v>
      </c>
    </row>
    <row r="12068">
      <c r="A12068" s="1" t="s">
        <v>8</v>
      </c>
      <c r="B12068" s="2">
        <v>44776.0</v>
      </c>
      <c r="C12068" s="3">
        <v>0.7056365740740741</v>
      </c>
      <c r="D12068" s="1">
        <v>12.95407</v>
      </c>
      <c r="E12068" s="1">
        <v>80.142016</v>
      </c>
      <c r="F12068" s="1">
        <v>5339.0</v>
      </c>
      <c r="G12068" s="1">
        <v>31.0</v>
      </c>
    </row>
    <row r="12069">
      <c r="A12069" s="1" t="s">
        <v>10</v>
      </c>
      <c r="B12069" s="2">
        <v>44776.0</v>
      </c>
      <c r="C12069" s="3">
        <v>0.705949074074074</v>
      </c>
      <c r="D12069" s="1">
        <v>12.930562</v>
      </c>
      <c r="E12069" s="1">
        <v>80.116222</v>
      </c>
      <c r="F12069" s="1">
        <v>3143.0</v>
      </c>
      <c r="G12069" s="1">
        <v>39.0</v>
      </c>
    </row>
    <row r="12070">
      <c r="A12070" s="1" t="s">
        <v>7</v>
      </c>
      <c r="B12070" s="2">
        <v>44776.0</v>
      </c>
      <c r="C12070" s="3">
        <v>0.7060648148148149</v>
      </c>
      <c r="D12070" s="1">
        <v>12.769618</v>
      </c>
      <c r="E12070" s="1">
        <v>80.007078</v>
      </c>
      <c r="F12070" s="1">
        <v>2846.0</v>
      </c>
      <c r="G12070" s="1">
        <v>43.0</v>
      </c>
    </row>
    <row r="12071">
      <c r="A12071" s="1" t="s">
        <v>8</v>
      </c>
      <c r="B12071" s="2">
        <v>44776.0</v>
      </c>
      <c r="C12071" s="3">
        <v>0.7062152777777778</v>
      </c>
      <c r="D12071" s="1">
        <v>12.95985</v>
      </c>
      <c r="E12071" s="1">
        <v>80.14499</v>
      </c>
      <c r="F12071" s="1">
        <v>805.0</v>
      </c>
      <c r="G12071" s="1">
        <v>46.0</v>
      </c>
    </row>
    <row r="12072">
      <c r="A12072" s="1" t="s">
        <v>8</v>
      </c>
      <c r="B12072" s="2">
        <v>44776.0</v>
      </c>
      <c r="C12072" s="3">
        <v>0.7064467592592593</v>
      </c>
      <c r="D12072" s="1">
        <v>12.769618</v>
      </c>
      <c r="E12072" s="1">
        <v>80.007078</v>
      </c>
      <c r="F12072" s="1">
        <v>2846.0</v>
      </c>
      <c r="G12072" s="1">
        <v>43.0</v>
      </c>
    </row>
    <row r="12073">
      <c r="A12073" s="1" t="s">
        <v>8</v>
      </c>
      <c r="B12073" s="2">
        <v>44776.0</v>
      </c>
      <c r="C12073" s="3">
        <v>0.7067824074074074</v>
      </c>
      <c r="D12073" s="1">
        <v>12.763166</v>
      </c>
      <c r="E12073" s="1">
        <v>80.004264</v>
      </c>
      <c r="F12073" s="1">
        <v>2846.0</v>
      </c>
      <c r="G12073" s="1">
        <v>7.0</v>
      </c>
    </row>
    <row r="12074">
      <c r="A12074" s="1" t="s">
        <v>8</v>
      </c>
      <c r="B12074" s="2">
        <v>44776.0</v>
      </c>
      <c r="C12074" s="3">
        <v>0.7067824074074074</v>
      </c>
      <c r="D12074" s="1">
        <v>12.763166</v>
      </c>
      <c r="E12074" s="1">
        <v>80.004264</v>
      </c>
      <c r="F12074" s="1">
        <v>2846.0</v>
      </c>
      <c r="G12074" s="1">
        <v>7.0</v>
      </c>
    </row>
    <row r="12075">
      <c r="A12075" s="1" t="s">
        <v>8</v>
      </c>
      <c r="B12075" s="2">
        <v>44776.0</v>
      </c>
      <c r="C12075" s="3">
        <v>0.7070601851851852</v>
      </c>
      <c r="D12075" s="1">
        <v>12.930281</v>
      </c>
      <c r="E12075" s="1">
        <v>80.121261</v>
      </c>
      <c r="F12075" s="1">
        <v>3143.0</v>
      </c>
      <c r="G12075" s="1">
        <v>18.0</v>
      </c>
    </row>
    <row r="12076">
      <c r="A12076" s="1" t="s">
        <v>10</v>
      </c>
      <c r="B12076" s="2">
        <v>44776.0</v>
      </c>
      <c r="C12076" s="3">
        <v>0.7073726851851851</v>
      </c>
      <c r="D12076" s="1">
        <v>12.761548</v>
      </c>
      <c r="E12076" s="1">
        <v>80.003717</v>
      </c>
      <c r="F12076" s="1">
        <v>2846.0</v>
      </c>
      <c r="G12076" s="1">
        <v>7.0</v>
      </c>
    </row>
    <row r="12077">
      <c r="A12077" s="1" t="s">
        <v>7</v>
      </c>
      <c r="B12077" s="2">
        <v>44776.0</v>
      </c>
      <c r="C12077" s="3">
        <v>0.7075462962962963</v>
      </c>
      <c r="D12077" s="1">
        <v>12.932205</v>
      </c>
      <c r="E12077" s="1">
        <v>80.123356</v>
      </c>
      <c r="F12077" s="1">
        <v>3143.0</v>
      </c>
      <c r="G12077" s="1">
        <v>32.0</v>
      </c>
    </row>
    <row r="12078">
      <c r="A12078" s="1" t="s">
        <v>8</v>
      </c>
      <c r="B12078" s="2">
        <v>44776.0</v>
      </c>
      <c r="C12078" s="3">
        <v>0.7079050925925926</v>
      </c>
      <c r="D12078" s="1">
        <v>12.759356</v>
      </c>
      <c r="E12078" s="1">
        <v>80.003187</v>
      </c>
      <c r="F12078" s="1">
        <v>2846.0</v>
      </c>
      <c r="G12078" s="1">
        <v>38.0</v>
      </c>
    </row>
    <row r="12079">
      <c r="A12079" s="1" t="s">
        <v>8</v>
      </c>
      <c r="B12079" s="2">
        <v>44776.0</v>
      </c>
      <c r="C12079" s="3">
        <v>0.7080208333333333</v>
      </c>
      <c r="D12079" s="1">
        <v>12.757553</v>
      </c>
      <c r="E12079" s="1">
        <v>80.002631</v>
      </c>
      <c r="F12079" s="1">
        <v>2846.0</v>
      </c>
      <c r="G12079" s="1">
        <v>51.0</v>
      </c>
    </row>
    <row r="12080">
      <c r="A12080" s="1" t="s">
        <v>8</v>
      </c>
      <c r="B12080" s="2">
        <v>44776.0</v>
      </c>
      <c r="C12080" s="3">
        <v>0.7082638888888889</v>
      </c>
      <c r="D12080" s="1">
        <v>12.962127</v>
      </c>
      <c r="E12080" s="1">
        <v>80.14626</v>
      </c>
      <c r="F12080" s="1">
        <v>805.0</v>
      </c>
      <c r="G12080" s="1">
        <v>47.0</v>
      </c>
    </row>
    <row r="12081">
      <c r="A12081" s="1" t="s">
        <v>8</v>
      </c>
      <c r="B12081" s="2">
        <v>44776.0</v>
      </c>
      <c r="C12081" s="3">
        <v>0.7084027777777778</v>
      </c>
      <c r="D12081" s="1">
        <v>12.96333</v>
      </c>
      <c r="E12081" s="1">
        <v>80.146943</v>
      </c>
      <c r="F12081" s="1">
        <v>805.0</v>
      </c>
      <c r="G12081" s="1">
        <v>61.0</v>
      </c>
    </row>
    <row r="12082">
      <c r="A12082" s="1" t="s">
        <v>8</v>
      </c>
      <c r="B12082" s="2">
        <v>44776.0</v>
      </c>
      <c r="C12082" s="3">
        <v>0.7084143518518519</v>
      </c>
      <c r="D12082" s="1">
        <v>12.964576</v>
      </c>
      <c r="E12082" s="1">
        <v>80.147656</v>
      </c>
      <c r="F12082" s="1">
        <v>805.0</v>
      </c>
      <c r="G12082" s="1">
        <v>52.0</v>
      </c>
    </row>
    <row r="12083">
      <c r="A12083" s="1" t="s">
        <v>8</v>
      </c>
      <c r="B12083" s="2">
        <v>44776.0</v>
      </c>
      <c r="C12083" s="3">
        <v>0.708587962962963</v>
      </c>
      <c r="D12083" s="1">
        <v>12.96097</v>
      </c>
      <c r="E12083" s="1">
        <v>80.14567</v>
      </c>
      <c r="F12083" s="1">
        <v>5339.0</v>
      </c>
      <c r="G12083" s="1">
        <v>20.0</v>
      </c>
    </row>
    <row r="12084">
      <c r="A12084" s="1" t="s">
        <v>7</v>
      </c>
      <c r="B12084" s="2">
        <v>44776.0</v>
      </c>
      <c r="C12084" s="3">
        <v>0.7086458333333333</v>
      </c>
      <c r="D12084" s="1">
        <v>12.751752</v>
      </c>
      <c r="E12084" s="1">
        <v>79.99923</v>
      </c>
      <c r="F12084" s="1">
        <v>2846.0</v>
      </c>
      <c r="G12084" s="1">
        <v>57.0</v>
      </c>
    </row>
    <row r="12085">
      <c r="A12085" s="1" t="s">
        <v>8</v>
      </c>
      <c r="B12085" s="2">
        <v>44776.0</v>
      </c>
      <c r="C12085" s="3">
        <v>0.7086689814814815</v>
      </c>
      <c r="D12085" s="1">
        <v>12.9362</v>
      </c>
      <c r="E12085" s="1">
        <v>80.12708</v>
      </c>
      <c r="F12085" s="1">
        <v>3143.0</v>
      </c>
      <c r="G12085" s="1">
        <v>22.0</v>
      </c>
    </row>
    <row r="12086">
      <c r="A12086" s="1" t="s">
        <v>7</v>
      </c>
      <c r="B12086" s="2">
        <v>44776.0</v>
      </c>
      <c r="C12086" s="3">
        <v>0.7089467592592592</v>
      </c>
      <c r="D12086" s="1">
        <v>12.969751</v>
      </c>
      <c r="E12086" s="1">
        <v>80.150239</v>
      </c>
      <c r="F12086" s="1">
        <v>805.0</v>
      </c>
      <c r="G12086" s="1">
        <v>58.0</v>
      </c>
    </row>
    <row r="12087">
      <c r="A12087" s="1" t="s">
        <v>7</v>
      </c>
      <c r="B12087" s="2">
        <v>44776.0</v>
      </c>
      <c r="C12087" s="3">
        <v>0.7091782407407408</v>
      </c>
      <c r="D12087" s="1">
        <v>12.940449</v>
      </c>
      <c r="E12087" s="1">
        <v>80.130972</v>
      </c>
      <c r="F12087" s="1">
        <v>3143.0</v>
      </c>
      <c r="G12087" s="1">
        <v>59.0</v>
      </c>
    </row>
    <row r="12088">
      <c r="A12088" s="1" t="s">
        <v>8</v>
      </c>
      <c r="B12088" s="2">
        <v>44776.0</v>
      </c>
      <c r="C12088" s="3">
        <v>0.709224537037037</v>
      </c>
      <c r="D12088" s="1">
        <v>12.973171</v>
      </c>
      <c r="E12088" s="1">
        <v>80.152868</v>
      </c>
      <c r="F12088" s="1">
        <v>805.0</v>
      </c>
      <c r="G12088" s="1">
        <v>58.0</v>
      </c>
    </row>
    <row r="12089">
      <c r="A12089" s="1" t="s">
        <v>7</v>
      </c>
      <c r="B12089" s="2">
        <v>44776.0</v>
      </c>
      <c r="C12089" s="3">
        <v>0.7097222222222223</v>
      </c>
      <c r="D12089" s="1">
        <v>12.976524</v>
      </c>
      <c r="E12089" s="1">
        <v>80.157806</v>
      </c>
      <c r="F12089" s="1">
        <v>805.0</v>
      </c>
      <c r="G12089" s="1">
        <v>56.0</v>
      </c>
    </row>
    <row r="12090">
      <c r="A12090" s="1" t="s">
        <v>7</v>
      </c>
      <c r="B12090" s="2">
        <v>44776.0</v>
      </c>
      <c r="C12090" s="3">
        <v>0.7098611111111112</v>
      </c>
      <c r="D12090" s="1">
        <v>12.977333</v>
      </c>
      <c r="E12090" s="1">
        <v>80.159038</v>
      </c>
      <c r="F12090" s="1">
        <v>805.0</v>
      </c>
      <c r="G12090" s="1">
        <v>57.0</v>
      </c>
    </row>
    <row r="12091">
      <c r="A12091" s="1" t="s">
        <v>8</v>
      </c>
      <c r="B12091" s="2">
        <v>44776.0</v>
      </c>
      <c r="C12091" s="3">
        <v>0.7099305555555555</v>
      </c>
      <c r="D12091" s="1">
        <v>12.942639</v>
      </c>
      <c r="E12091" s="1">
        <v>80.133199</v>
      </c>
      <c r="F12091" s="1">
        <v>3143.0</v>
      </c>
      <c r="G12091" s="1">
        <v>23.0</v>
      </c>
    </row>
    <row r="12092">
      <c r="A12092" s="1" t="s">
        <v>7</v>
      </c>
      <c r="B12092" s="2">
        <v>44776.0</v>
      </c>
      <c r="C12092" s="3">
        <v>0.71</v>
      </c>
      <c r="D12092" s="1">
        <v>12.741646</v>
      </c>
      <c r="E12092" s="1">
        <v>79.991256</v>
      </c>
      <c r="F12092" s="1">
        <v>2846.0</v>
      </c>
      <c r="G12092" s="1">
        <v>41.0</v>
      </c>
    </row>
    <row r="12093">
      <c r="A12093" s="1" t="s">
        <v>7</v>
      </c>
      <c r="B12093" s="2">
        <v>44776.0</v>
      </c>
      <c r="C12093" s="3">
        <v>0.71</v>
      </c>
      <c r="D12093" s="1">
        <v>12.978175</v>
      </c>
      <c r="E12093" s="1">
        <v>80.160244</v>
      </c>
      <c r="F12093" s="1">
        <v>805.0</v>
      </c>
      <c r="G12093" s="1">
        <v>56.0</v>
      </c>
    </row>
    <row r="12094">
      <c r="A12094" s="1" t="s">
        <v>8</v>
      </c>
      <c r="B12094" s="2">
        <v>44776.0</v>
      </c>
      <c r="C12094" s="3">
        <v>0.7101967592592593</v>
      </c>
      <c r="D12094" s="1">
        <v>12.943922</v>
      </c>
      <c r="E12094" s="1">
        <v>80.134484</v>
      </c>
      <c r="F12094" s="1">
        <v>3143.0</v>
      </c>
      <c r="G12094" s="1">
        <v>44.0</v>
      </c>
    </row>
    <row r="12095">
      <c r="A12095" s="1" t="s">
        <v>8</v>
      </c>
      <c r="B12095" s="2">
        <v>44776.0</v>
      </c>
      <c r="C12095" s="3">
        <v>0.7102199074074074</v>
      </c>
      <c r="D12095" s="1">
        <v>12.944823</v>
      </c>
      <c r="E12095" s="1">
        <v>80.135144</v>
      </c>
      <c r="F12095" s="1">
        <v>3143.0</v>
      </c>
      <c r="G12095" s="1">
        <v>41.0</v>
      </c>
    </row>
    <row r="12096">
      <c r="A12096" s="1" t="s">
        <v>8</v>
      </c>
      <c r="B12096" s="2">
        <v>44776.0</v>
      </c>
      <c r="C12096" s="3">
        <v>0.7102546296296296</v>
      </c>
      <c r="D12096" s="1">
        <v>12.738492</v>
      </c>
      <c r="E12096" s="1">
        <v>79.988735</v>
      </c>
      <c r="F12096" s="1">
        <v>2846.0</v>
      </c>
      <c r="G12096" s="1">
        <v>57.0</v>
      </c>
    </row>
    <row r="12097">
      <c r="A12097" s="1" t="s">
        <v>8</v>
      </c>
      <c r="B12097" s="2">
        <v>44776.0</v>
      </c>
      <c r="C12097" s="3">
        <v>0.7103587962962963</v>
      </c>
      <c r="D12097" s="1">
        <v>12.945686</v>
      </c>
      <c r="E12097" s="1">
        <v>80.135809</v>
      </c>
      <c r="F12097" s="1">
        <v>3143.0</v>
      </c>
      <c r="G12097" s="1">
        <v>42.0</v>
      </c>
    </row>
    <row r="12098">
      <c r="A12098" s="1" t="s">
        <v>8</v>
      </c>
      <c r="B12098" s="2">
        <v>44776.0</v>
      </c>
      <c r="C12098" s="3">
        <v>0.7104282407407407</v>
      </c>
      <c r="D12098" s="1">
        <v>12.945686</v>
      </c>
      <c r="E12098" s="1">
        <v>80.135809</v>
      </c>
      <c r="F12098" s="1">
        <v>3143.0</v>
      </c>
      <c r="G12098" s="1">
        <v>42.0</v>
      </c>
    </row>
    <row r="12099">
      <c r="A12099" s="1" t="s">
        <v>7</v>
      </c>
      <c r="B12099" s="2">
        <v>44776.0</v>
      </c>
      <c r="C12099" s="3">
        <v>0.7111921296296296</v>
      </c>
      <c r="D12099" s="1">
        <v>12.734803</v>
      </c>
      <c r="E12099" s="1">
        <v>79.985865</v>
      </c>
      <c r="F12099" s="1">
        <v>2846.0</v>
      </c>
      <c r="G12099" s="1">
        <v>58.0</v>
      </c>
    </row>
    <row r="12100">
      <c r="A12100" s="1" t="s">
        <v>10</v>
      </c>
      <c r="B12100" s="2">
        <v>44776.0</v>
      </c>
      <c r="C12100" s="3">
        <v>0.7112731481481481</v>
      </c>
      <c r="D12100" s="1">
        <v>12.72674</v>
      </c>
      <c r="E12100" s="1">
        <v>79.98259</v>
      </c>
      <c r="F12100" s="1">
        <v>2846.0</v>
      </c>
      <c r="G12100" s="1">
        <v>57.0</v>
      </c>
    </row>
    <row r="12101">
      <c r="A12101" s="1" t="s">
        <v>8</v>
      </c>
      <c r="B12101" s="2">
        <v>44776.0</v>
      </c>
      <c r="C12101" s="3">
        <v>0.7117708333333334</v>
      </c>
      <c r="D12101" s="1">
        <v>12.98142</v>
      </c>
      <c r="E12101" s="1">
        <v>80.166618</v>
      </c>
      <c r="F12101" s="1">
        <v>805.0</v>
      </c>
      <c r="G12101" s="1">
        <v>0.0</v>
      </c>
    </row>
    <row r="12102">
      <c r="A12102" s="1" t="s">
        <v>8</v>
      </c>
      <c r="B12102" s="2">
        <v>44776.0</v>
      </c>
      <c r="C12102" s="3">
        <v>0.7118518518518518</v>
      </c>
      <c r="D12102" s="1">
        <v>12.953278</v>
      </c>
      <c r="E12102" s="1">
        <v>80.141571</v>
      </c>
      <c r="F12102" s="1">
        <v>3143.0</v>
      </c>
      <c r="G12102" s="1">
        <v>42.0</v>
      </c>
    </row>
    <row r="12103">
      <c r="A12103" s="1" t="s">
        <v>8</v>
      </c>
      <c r="B12103" s="2">
        <v>44776.0</v>
      </c>
      <c r="C12103" s="3">
        <v>0.7119560185185185</v>
      </c>
      <c r="D12103" s="1">
        <v>12.954267</v>
      </c>
      <c r="E12103" s="1">
        <v>80.142091</v>
      </c>
      <c r="F12103" s="1">
        <v>3143.0</v>
      </c>
      <c r="G12103" s="1">
        <v>40.0</v>
      </c>
    </row>
    <row r="12104">
      <c r="A12104" s="1" t="s">
        <v>8</v>
      </c>
      <c r="B12104" s="2">
        <v>44776.0</v>
      </c>
      <c r="C12104" s="3">
        <v>0.7124305555555556</v>
      </c>
      <c r="D12104" s="1">
        <v>12.72412</v>
      </c>
      <c r="E12104" s="1">
        <v>79.982157</v>
      </c>
      <c r="F12104" s="1">
        <v>2846.0</v>
      </c>
      <c r="G12104" s="1">
        <v>5.0</v>
      </c>
    </row>
    <row r="12105">
      <c r="A12105" s="1" t="s">
        <v>8</v>
      </c>
      <c r="B12105" s="2">
        <v>44776.0</v>
      </c>
      <c r="C12105" s="3">
        <v>0.7127893518518519</v>
      </c>
      <c r="D12105" s="1">
        <v>12.72412</v>
      </c>
      <c r="E12105" s="1">
        <v>79.982157</v>
      </c>
      <c r="F12105" s="1">
        <v>2846.0</v>
      </c>
      <c r="G12105" s="1">
        <v>5.0</v>
      </c>
    </row>
    <row r="12106">
      <c r="A12106" s="1" t="s">
        <v>8</v>
      </c>
      <c r="B12106" s="2">
        <v>44776.0</v>
      </c>
      <c r="C12106" s="3">
        <v>0.7131944444444445</v>
      </c>
      <c r="D12106" s="1">
        <v>12.99081</v>
      </c>
      <c r="E12106" s="1">
        <v>80.180581</v>
      </c>
      <c r="F12106" s="1">
        <v>805.0</v>
      </c>
      <c r="G12106" s="1">
        <v>57.0</v>
      </c>
    </row>
    <row r="12107">
      <c r="A12107" s="1" t="s">
        <v>7</v>
      </c>
      <c r="B12107" s="2">
        <v>44776.0</v>
      </c>
      <c r="C12107" s="3">
        <v>0.7132523148148148</v>
      </c>
      <c r="D12107" s="1">
        <v>12.99081</v>
      </c>
      <c r="E12107" s="1">
        <v>80.180581</v>
      </c>
      <c r="F12107" s="1">
        <v>805.0</v>
      </c>
      <c r="G12107" s="1">
        <v>57.0</v>
      </c>
    </row>
    <row r="12108">
      <c r="A12108" s="1" t="s">
        <v>8</v>
      </c>
      <c r="B12108" s="2">
        <v>44776.0</v>
      </c>
      <c r="C12108" s="3">
        <v>0.7132638888888889</v>
      </c>
      <c r="D12108" s="1">
        <v>12.958192</v>
      </c>
      <c r="E12108" s="1">
        <v>80.144196</v>
      </c>
      <c r="F12108" s="1">
        <v>3143.0</v>
      </c>
      <c r="G12108" s="1">
        <v>36.0</v>
      </c>
    </row>
    <row r="12109">
      <c r="A12109" s="1" t="s">
        <v>7</v>
      </c>
      <c r="B12109" s="2">
        <v>44776.0</v>
      </c>
      <c r="C12109" s="3">
        <v>0.713287037037037</v>
      </c>
      <c r="D12109" s="1">
        <v>12.99081</v>
      </c>
      <c r="E12109" s="1">
        <v>80.180581</v>
      </c>
      <c r="F12109" s="1">
        <v>805.0</v>
      </c>
      <c r="G12109" s="1">
        <v>57.0</v>
      </c>
    </row>
    <row r="12110">
      <c r="A12110" s="1" t="s">
        <v>7</v>
      </c>
      <c r="B12110" s="2">
        <v>44776.0</v>
      </c>
      <c r="C12110" s="3">
        <v>0.7134837962962963</v>
      </c>
      <c r="D12110" s="1">
        <v>12.714842</v>
      </c>
      <c r="E12110" s="1">
        <v>79.98043</v>
      </c>
      <c r="F12110" s="1">
        <v>2846.0</v>
      </c>
      <c r="G12110" s="1">
        <v>58.0</v>
      </c>
    </row>
    <row r="12111">
      <c r="A12111" s="1" t="s">
        <v>8</v>
      </c>
      <c r="B12111" s="2">
        <v>44776.0</v>
      </c>
      <c r="C12111" s="3">
        <v>0.7135416666666666</v>
      </c>
      <c r="D12111" s="1">
        <v>12.986857</v>
      </c>
      <c r="E12111" s="1">
        <v>80.175235</v>
      </c>
      <c r="F12111" s="1">
        <v>5339.0</v>
      </c>
      <c r="G12111" s="1">
        <v>38.0</v>
      </c>
    </row>
    <row r="12112">
      <c r="A12112" s="1" t="s">
        <v>8</v>
      </c>
      <c r="B12112" s="2">
        <v>44776.0</v>
      </c>
      <c r="C12112" s="3">
        <v>0.7140277777777778</v>
      </c>
      <c r="D12112" s="1">
        <v>12.708847</v>
      </c>
      <c r="E12112" s="1">
        <v>79.977364</v>
      </c>
      <c r="F12112" s="1">
        <v>2846.0</v>
      </c>
      <c r="G12112" s="1">
        <v>54.0</v>
      </c>
    </row>
    <row r="12113">
      <c r="A12113" s="1" t="s">
        <v>8</v>
      </c>
      <c r="B12113" s="2">
        <v>44776.0</v>
      </c>
      <c r="C12113" s="3">
        <v>0.7140740740740741</v>
      </c>
      <c r="D12113" s="1">
        <v>12.99258</v>
      </c>
      <c r="E12113" s="1">
        <v>80.182909</v>
      </c>
      <c r="F12113" s="1">
        <v>805.0</v>
      </c>
      <c r="G12113" s="1">
        <v>56.0</v>
      </c>
    </row>
    <row r="12114">
      <c r="A12114" s="1" t="s">
        <v>8</v>
      </c>
      <c r="B12114" s="2">
        <v>44776.0</v>
      </c>
      <c r="C12114" s="3">
        <v>0.714375</v>
      </c>
      <c r="D12114" s="1">
        <v>12.961192</v>
      </c>
      <c r="E12114" s="1">
        <v>80.145768</v>
      </c>
      <c r="F12114" s="1">
        <v>3143.0</v>
      </c>
      <c r="G12114" s="1">
        <v>25.0</v>
      </c>
    </row>
    <row r="12115">
      <c r="A12115" s="1" t="s">
        <v>8</v>
      </c>
      <c r="B12115" s="2">
        <v>44776.0</v>
      </c>
      <c r="C12115" s="3">
        <v>0.7145138888888889</v>
      </c>
      <c r="D12115" s="1">
        <v>12.962511</v>
      </c>
      <c r="E12115" s="1">
        <v>80.146478</v>
      </c>
      <c r="F12115" s="1">
        <v>3143.0</v>
      </c>
      <c r="G12115" s="1">
        <v>34.0</v>
      </c>
    </row>
    <row r="12116">
      <c r="A12116" s="1" t="s">
        <v>8</v>
      </c>
      <c r="B12116" s="2">
        <v>44776.0</v>
      </c>
      <c r="C12116" s="3">
        <v>0.7149884259259259</v>
      </c>
      <c r="D12116" s="1">
        <v>12.98999</v>
      </c>
      <c r="E12116" s="1">
        <v>80.179468</v>
      </c>
      <c r="F12116" s="1">
        <v>5339.0</v>
      </c>
      <c r="G12116" s="1">
        <v>34.0</v>
      </c>
    </row>
    <row r="12117">
      <c r="A12117" s="1" t="s">
        <v>8</v>
      </c>
      <c r="B12117" s="2">
        <v>44776.0</v>
      </c>
      <c r="C12117" s="3">
        <v>0.715</v>
      </c>
      <c r="D12117" s="1">
        <v>12.98999</v>
      </c>
      <c r="E12117" s="1">
        <v>80.179468</v>
      </c>
      <c r="F12117" s="1">
        <v>5339.0</v>
      </c>
      <c r="G12117" s="1">
        <v>34.0</v>
      </c>
    </row>
    <row r="12118">
      <c r="A12118" s="1" t="s">
        <v>8</v>
      </c>
      <c r="B12118" s="2">
        <v>44776.0</v>
      </c>
      <c r="C12118" s="3">
        <v>0.7151620370370371</v>
      </c>
      <c r="D12118" s="1">
        <v>12.991235</v>
      </c>
      <c r="E12118" s="1">
        <v>80.181015</v>
      </c>
      <c r="F12118" s="1">
        <v>5339.0</v>
      </c>
      <c r="G12118" s="1">
        <v>42.0</v>
      </c>
    </row>
    <row r="12119">
      <c r="A12119" s="1" t="s">
        <v>8</v>
      </c>
      <c r="B12119" s="2">
        <v>44776.0</v>
      </c>
      <c r="C12119" s="3">
        <v>0.7153125</v>
      </c>
      <c r="D12119" s="1">
        <v>12.991935</v>
      </c>
      <c r="E12119" s="1">
        <v>80.181918</v>
      </c>
      <c r="F12119" s="1">
        <v>5339.0</v>
      </c>
      <c r="G12119" s="1">
        <v>46.0</v>
      </c>
    </row>
    <row r="12120">
      <c r="A12120" s="1" t="s">
        <v>8</v>
      </c>
      <c r="B12120" s="2">
        <v>44776.0</v>
      </c>
      <c r="C12120" s="3">
        <v>0.7158912037037037</v>
      </c>
      <c r="D12120" s="1">
        <v>12.994035</v>
      </c>
      <c r="E12120" s="1">
        <v>80.185422</v>
      </c>
      <c r="F12120" s="1">
        <v>5339.0</v>
      </c>
      <c r="G12120" s="1">
        <v>25.0</v>
      </c>
    </row>
    <row r="12121">
      <c r="A12121" s="1" t="s">
        <v>8</v>
      </c>
      <c r="B12121" s="2">
        <v>44776.0</v>
      </c>
      <c r="C12121" s="3">
        <v>0.716099537037037</v>
      </c>
      <c r="D12121" s="1">
        <v>12.994629</v>
      </c>
      <c r="E12121" s="1">
        <v>80.18659</v>
      </c>
      <c r="F12121" s="1">
        <v>5339.0</v>
      </c>
      <c r="G12121" s="1">
        <v>36.0</v>
      </c>
    </row>
    <row r="12122">
      <c r="A12122" s="1" t="s">
        <v>8</v>
      </c>
      <c r="B12122" s="2">
        <v>44776.0</v>
      </c>
      <c r="C12122" s="3">
        <v>0.7167129629629629</v>
      </c>
      <c r="D12122" s="1">
        <v>12.699975</v>
      </c>
      <c r="E12122" s="1">
        <v>79.968773</v>
      </c>
      <c r="F12122" s="1">
        <v>2846.0</v>
      </c>
      <c r="G12122" s="1">
        <v>0.0</v>
      </c>
    </row>
    <row r="12123">
      <c r="A12123" s="1" t="s">
        <v>8</v>
      </c>
      <c r="B12123" s="2">
        <v>44776.0</v>
      </c>
      <c r="C12123" s="3">
        <v>0.7168634259259259</v>
      </c>
      <c r="D12123" s="1">
        <v>13.002057</v>
      </c>
      <c r="E12123" s="1">
        <v>80.197091</v>
      </c>
      <c r="F12123" s="1">
        <v>805.0</v>
      </c>
      <c r="G12123" s="1">
        <v>43.0</v>
      </c>
    </row>
    <row r="12124">
      <c r="A12124" s="1" t="s">
        <v>8</v>
      </c>
      <c r="B12124" s="2">
        <v>44776.0</v>
      </c>
      <c r="C12124" s="3">
        <v>0.7172453703703704</v>
      </c>
      <c r="D12124" s="1">
        <v>13.002456</v>
      </c>
      <c r="E12124" s="1">
        <v>80.200548</v>
      </c>
      <c r="F12124" s="1">
        <v>805.0</v>
      </c>
      <c r="G12124" s="1">
        <v>45.0</v>
      </c>
    </row>
    <row r="12125">
      <c r="A12125" s="1" t="s">
        <v>10</v>
      </c>
      <c r="B12125" s="2">
        <v>44776.0</v>
      </c>
      <c r="C12125" s="3">
        <v>0.7173611111111111</v>
      </c>
      <c r="D12125" s="1">
        <v>12.699975</v>
      </c>
      <c r="E12125" s="1">
        <v>79.968773</v>
      </c>
      <c r="F12125" s="1">
        <v>2846.0</v>
      </c>
      <c r="G12125" s="1">
        <v>0.0</v>
      </c>
    </row>
    <row r="12126">
      <c r="A12126" s="1" t="s">
        <v>8</v>
      </c>
      <c r="B12126" s="2">
        <v>44776.0</v>
      </c>
      <c r="C12126" s="3">
        <v>0.7174884259259259</v>
      </c>
      <c r="D12126" s="1">
        <v>13.00461</v>
      </c>
      <c r="E12126" s="1">
        <v>80.201166</v>
      </c>
      <c r="F12126" s="1">
        <v>805.0</v>
      </c>
      <c r="G12126" s="1">
        <v>38.0</v>
      </c>
    </row>
    <row r="12127">
      <c r="A12127" s="1" t="s">
        <v>8</v>
      </c>
      <c r="B12127" s="2">
        <v>44776.0</v>
      </c>
      <c r="C12127" s="3">
        <v>0.7175810185185185</v>
      </c>
      <c r="D12127" s="1">
        <v>12.699975</v>
      </c>
      <c r="E12127" s="1">
        <v>79.968773</v>
      </c>
      <c r="F12127" s="1">
        <v>2846.0</v>
      </c>
      <c r="G12127" s="1">
        <v>0.0</v>
      </c>
    </row>
    <row r="12128">
      <c r="A12128" s="1" t="s">
        <v>8</v>
      </c>
      <c r="B12128" s="2">
        <v>44776.0</v>
      </c>
      <c r="C12128" s="3">
        <v>0.7177546296296297</v>
      </c>
      <c r="D12128" s="1">
        <v>13.006717</v>
      </c>
      <c r="E12128" s="1">
        <v>80.203352</v>
      </c>
      <c r="F12128" s="1">
        <v>805.0</v>
      </c>
      <c r="G12128" s="1">
        <v>30.0</v>
      </c>
    </row>
    <row r="12129">
      <c r="A12129" s="1" t="s">
        <v>8</v>
      </c>
      <c r="B12129" s="2">
        <v>44776.0</v>
      </c>
      <c r="C12129" s="3">
        <v>0.7178587962962963</v>
      </c>
      <c r="D12129" s="1">
        <v>13.006717</v>
      </c>
      <c r="E12129" s="1">
        <v>80.203352</v>
      </c>
      <c r="F12129" s="1">
        <v>805.0</v>
      </c>
      <c r="G12129" s="1">
        <v>30.0</v>
      </c>
    </row>
    <row r="12130">
      <c r="A12130" s="1" t="s">
        <v>10</v>
      </c>
      <c r="B12130" s="2">
        <v>44776.0</v>
      </c>
      <c r="C12130" s="3">
        <v>0.718287037037037</v>
      </c>
      <c r="D12130" s="1">
        <v>12.971198</v>
      </c>
      <c r="E12130" s="1">
        <v>80.143453</v>
      </c>
      <c r="F12130" s="1">
        <v>3143.0</v>
      </c>
      <c r="G12130" s="1">
        <v>14.0</v>
      </c>
    </row>
    <row r="12131">
      <c r="A12131" s="1" t="s">
        <v>8</v>
      </c>
      <c r="B12131" s="2">
        <v>44776.0</v>
      </c>
      <c r="C12131" s="3">
        <v>0.718599537037037</v>
      </c>
      <c r="D12131" s="1">
        <v>12.696664</v>
      </c>
      <c r="E12131" s="1">
        <v>79.97708</v>
      </c>
      <c r="F12131" s="1">
        <v>2846.0</v>
      </c>
      <c r="G12131" s="1">
        <v>9.0</v>
      </c>
    </row>
    <row r="12132">
      <c r="A12132" s="1" t="s">
        <v>8</v>
      </c>
      <c r="B12132" s="2">
        <v>44776.0</v>
      </c>
      <c r="C12132" s="3">
        <v>0.7192476851851852</v>
      </c>
      <c r="D12132" s="1">
        <v>13.009333</v>
      </c>
      <c r="E12132" s="1">
        <v>80.212716</v>
      </c>
      <c r="F12132" s="1">
        <v>805.0</v>
      </c>
      <c r="G12132" s="1">
        <v>35.0</v>
      </c>
    </row>
    <row r="12133">
      <c r="A12133" s="1" t="s">
        <v>8</v>
      </c>
      <c r="B12133" s="2">
        <v>44776.0</v>
      </c>
      <c r="C12133" s="3">
        <v>0.7193287037037037</v>
      </c>
      <c r="D12133" s="1">
        <v>13.002603</v>
      </c>
      <c r="E12133" s="1">
        <v>80.200587</v>
      </c>
      <c r="F12133" s="1">
        <v>5339.0</v>
      </c>
      <c r="G12133" s="1">
        <v>40.0</v>
      </c>
    </row>
    <row r="12134">
      <c r="A12134" s="1" t="s">
        <v>9</v>
      </c>
      <c r="B12134" s="2">
        <v>44776.0</v>
      </c>
      <c r="C12134" s="3">
        <v>0.7193518518518518</v>
      </c>
      <c r="D12134" s="1">
        <v>13.009697</v>
      </c>
      <c r="E12134" s="1">
        <v>80.213607</v>
      </c>
      <c r="F12134" s="1">
        <v>805.0</v>
      </c>
      <c r="G12134" s="1">
        <v>36.0</v>
      </c>
    </row>
    <row r="12135">
      <c r="A12135" s="1" t="s">
        <v>8</v>
      </c>
      <c r="B12135" s="2">
        <v>44776.0</v>
      </c>
      <c r="C12135" s="3">
        <v>0.7197337962962963</v>
      </c>
      <c r="D12135" s="1">
        <v>13.010766</v>
      </c>
      <c r="E12135" s="1">
        <v>80.216848</v>
      </c>
      <c r="F12135" s="1">
        <v>805.0</v>
      </c>
      <c r="G12135" s="1">
        <v>25.0</v>
      </c>
    </row>
    <row r="12136">
      <c r="A12136" s="1" t="s">
        <v>8</v>
      </c>
      <c r="B12136" s="2">
        <v>44776.0</v>
      </c>
      <c r="C12136" s="3">
        <v>0.7199884259259259</v>
      </c>
      <c r="D12136" s="1">
        <v>13.011471</v>
      </c>
      <c r="E12136" s="1">
        <v>80.218502</v>
      </c>
      <c r="F12136" s="1">
        <v>805.0</v>
      </c>
      <c r="G12136" s="1">
        <v>39.0</v>
      </c>
    </row>
    <row r="12137">
      <c r="A12137" s="1" t="s">
        <v>7</v>
      </c>
      <c r="B12137" s="2">
        <v>44776.0</v>
      </c>
      <c r="C12137" s="3">
        <v>0.7221875</v>
      </c>
      <c r="D12137" s="1">
        <v>13.010738</v>
      </c>
      <c r="E12137" s="1">
        <v>80.227663</v>
      </c>
      <c r="F12137" s="1">
        <v>805.0</v>
      </c>
      <c r="G12137" s="1">
        <v>49.0</v>
      </c>
    </row>
    <row r="12138">
      <c r="A12138" s="1" t="s">
        <v>8</v>
      </c>
      <c r="B12138" s="2">
        <v>44776.0</v>
      </c>
      <c r="C12138" s="3">
        <v>0.7221875</v>
      </c>
      <c r="D12138" s="1">
        <v>13.010738</v>
      </c>
      <c r="E12138" s="1">
        <v>80.227663</v>
      </c>
      <c r="F12138" s="1">
        <v>805.0</v>
      </c>
      <c r="G12138" s="1">
        <v>49.0</v>
      </c>
    </row>
    <row r="12139">
      <c r="A12139" s="1" t="s">
        <v>8</v>
      </c>
      <c r="B12139" s="2">
        <v>44776.0</v>
      </c>
      <c r="C12139" s="3">
        <v>0.7223263888888889</v>
      </c>
      <c r="D12139" s="1">
        <v>13.010198</v>
      </c>
      <c r="E12139" s="1">
        <v>80.215304</v>
      </c>
      <c r="F12139" s="1">
        <v>5339.0</v>
      </c>
      <c r="G12139" s="1">
        <v>27.0</v>
      </c>
    </row>
    <row r="12140">
      <c r="A12140" s="1" t="s">
        <v>8</v>
      </c>
      <c r="B12140" s="2">
        <v>44776.0</v>
      </c>
      <c r="C12140" s="3">
        <v>0.7223958333333333</v>
      </c>
      <c r="D12140" s="1">
        <v>13.009052</v>
      </c>
      <c r="E12140" s="1">
        <v>80.22889</v>
      </c>
      <c r="F12140" s="1">
        <v>805.0</v>
      </c>
      <c r="G12140" s="1">
        <v>44.0</v>
      </c>
    </row>
    <row r="12141">
      <c r="A12141" s="1" t="s">
        <v>10</v>
      </c>
      <c r="B12141" s="2">
        <v>44776.0</v>
      </c>
      <c r="C12141" s="3">
        <v>0.7228125</v>
      </c>
      <c r="D12141" s="1">
        <v>12.975822</v>
      </c>
      <c r="E12141" s="1">
        <v>80.135449</v>
      </c>
      <c r="F12141" s="1">
        <v>3143.0</v>
      </c>
      <c r="G12141" s="1">
        <v>7.0</v>
      </c>
    </row>
    <row r="12142">
      <c r="A12142" s="1" t="s">
        <v>10</v>
      </c>
      <c r="B12142" s="2">
        <v>44776.0</v>
      </c>
      <c r="C12142" s="3">
        <v>0.723113425925926</v>
      </c>
      <c r="D12142" s="1">
        <v>12.976828</v>
      </c>
      <c r="E12142" s="1">
        <v>80.135592</v>
      </c>
      <c r="F12142" s="1">
        <v>3143.0</v>
      </c>
      <c r="G12142" s="1">
        <v>21.0</v>
      </c>
    </row>
    <row r="12143">
      <c r="A12143" s="1" t="s">
        <v>10</v>
      </c>
      <c r="B12143" s="2">
        <v>44776.0</v>
      </c>
      <c r="C12143" s="3">
        <v>0.7233680555555555</v>
      </c>
      <c r="D12143" s="1">
        <v>12.977782</v>
      </c>
      <c r="E12143" s="1">
        <v>80.135804</v>
      </c>
      <c r="F12143" s="1">
        <v>3143.0</v>
      </c>
      <c r="G12143" s="1">
        <v>25.0</v>
      </c>
    </row>
    <row r="12144">
      <c r="A12144" s="1" t="s">
        <v>8</v>
      </c>
      <c r="B12144" s="2">
        <v>44776.0</v>
      </c>
      <c r="C12144" s="3">
        <v>0.7244791666666667</v>
      </c>
      <c r="D12144" s="1">
        <v>13.006662</v>
      </c>
      <c r="E12144" s="1">
        <v>80.242317</v>
      </c>
      <c r="F12144" s="1">
        <v>805.0</v>
      </c>
      <c r="G12144" s="1">
        <v>30.0</v>
      </c>
    </row>
    <row r="12145">
      <c r="A12145" s="1" t="s">
        <v>8</v>
      </c>
      <c r="B12145" s="2">
        <v>44776.0</v>
      </c>
      <c r="C12145" s="3">
        <v>0.7247106481481481</v>
      </c>
      <c r="D12145" s="1">
        <v>13.016129</v>
      </c>
      <c r="E12145" s="1">
        <v>80.225384</v>
      </c>
      <c r="F12145" s="1">
        <v>5339.0</v>
      </c>
      <c r="G12145" s="1">
        <v>0.0</v>
      </c>
    </row>
    <row r="12146">
      <c r="A12146" s="1" t="s">
        <v>10</v>
      </c>
      <c r="B12146" s="2">
        <v>44776.0</v>
      </c>
      <c r="C12146" s="3">
        <v>0.7250810185185185</v>
      </c>
      <c r="D12146" s="1">
        <v>12.983954</v>
      </c>
      <c r="E12146" s="1">
        <v>80.14028</v>
      </c>
      <c r="F12146" s="1">
        <v>3143.0</v>
      </c>
      <c r="G12146" s="1">
        <v>25.0</v>
      </c>
    </row>
    <row r="12147">
      <c r="A12147" s="1" t="s">
        <v>8</v>
      </c>
      <c r="B12147" s="2">
        <v>44776.0</v>
      </c>
      <c r="C12147" s="3">
        <v>0.7257870370370371</v>
      </c>
      <c r="D12147" s="1">
        <v>12.986638</v>
      </c>
      <c r="E12147" s="1">
        <v>80.142079</v>
      </c>
      <c r="F12147" s="1">
        <v>3143.0</v>
      </c>
      <c r="G12147" s="1">
        <v>16.0</v>
      </c>
    </row>
    <row r="12148">
      <c r="A12148" s="1" t="s">
        <v>8</v>
      </c>
      <c r="B12148" s="2">
        <v>44776.0</v>
      </c>
      <c r="C12148" s="3">
        <v>0.7262384259259259</v>
      </c>
      <c r="D12148" s="1">
        <v>13.00675</v>
      </c>
      <c r="E12148" s="1">
        <v>80.248266</v>
      </c>
      <c r="F12148" s="1">
        <v>805.0</v>
      </c>
      <c r="G12148" s="1">
        <v>26.0</v>
      </c>
    </row>
    <row r="12149">
      <c r="A12149" s="1" t="s">
        <v>10</v>
      </c>
      <c r="B12149" s="2">
        <v>44776.0</v>
      </c>
      <c r="C12149" s="3">
        <v>0.7272800925925926</v>
      </c>
      <c r="D12149" s="1">
        <v>12.983548</v>
      </c>
      <c r="E12149" s="1">
        <v>80.140088</v>
      </c>
      <c r="F12149" s="1">
        <v>3143.0</v>
      </c>
      <c r="G12149" s="1">
        <v>27.0</v>
      </c>
    </row>
    <row r="12150">
      <c r="A12150" s="1" t="s">
        <v>8</v>
      </c>
      <c r="B12150" s="2">
        <v>44776.0</v>
      </c>
      <c r="C12150" s="3">
        <v>0.7275925925925926</v>
      </c>
      <c r="D12150" s="1">
        <v>13.006572</v>
      </c>
      <c r="E12150" s="1">
        <v>80.254456</v>
      </c>
      <c r="F12150" s="1">
        <v>805.0</v>
      </c>
      <c r="G12150" s="1">
        <v>41.0</v>
      </c>
    </row>
    <row r="12151">
      <c r="A12151" s="1" t="s">
        <v>10</v>
      </c>
      <c r="B12151" s="2">
        <v>44776.0</v>
      </c>
      <c r="C12151" s="3">
        <v>0.7276388888888888</v>
      </c>
      <c r="D12151" s="1">
        <v>12.981866</v>
      </c>
      <c r="E12151" s="1">
        <v>80.139482</v>
      </c>
      <c r="F12151" s="1">
        <v>3143.0</v>
      </c>
      <c r="G12151" s="1">
        <v>24.0</v>
      </c>
    </row>
    <row r="12152">
      <c r="A12152" s="1" t="s">
        <v>8</v>
      </c>
      <c r="B12152" s="2">
        <v>44776.0</v>
      </c>
      <c r="C12152" s="3">
        <v>0.7277777777777777</v>
      </c>
      <c r="D12152" s="1">
        <v>13.006617</v>
      </c>
      <c r="E12152" s="1">
        <v>80.255506</v>
      </c>
      <c r="F12152" s="1">
        <v>805.0</v>
      </c>
      <c r="G12152" s="1">
        <v>40.0</v>
      </c>
    </row>
    <row r="12153">
      <c r="A12153" s="1" t="s">
        <v>8</v>
      </c>
      <c r="B12153" s="2">
        <v>44776.0</v>
      </c>
      <c r="C12153" s="3">
        <v>0.7280902777777778</v>
      </c>
      <c r="D12153" s="1">
        <v>13.026606</v>
      </c>
      <c r="E12153" s="1">
        <v>80.232993</v>
      </c>
      <c r="F12153" s="1">
        <v>5339.0</v>
      </c>
      <c r="G12153" s="1">
        <v>26.0</v>
      </c>
    </row>
    <row r="12154">
      <c r="A12154" s="1" t="s">
        <v>8</v>
      </c>
      <c r="B12154" s="2">
        <v>44776.0</v>
      </c>
      <c r="C12154" s="3">
        <v>0.7281018518518518</v>
      </c>
      <c r="D12154" s="1">
        <v>13.026606</v>
      </c>
      <c r="E12154" s="1">
        <v>80.232993</v>
      </c>
      <c r="F12154" s="1">
        <v>5339.0</v>
      </c>
      <c r="G12154" s="1">
        <v>26.0</v>
      </c>
    </row>
    <row r="12155">
      <c r="A12155" s="1" t="s">
        <v>8</v>
      </c>
      <c r="B12155" s="2">
        <v>44776.0</v>
      </c>
      <c r="C12155" s="3">
        <v>0.7294328703703704</v>
      </c>
      <c r="D12155" s="1">
        <v>13.006774</v>
      </c>
      <c r="E12155" s="1">
        <v>80.257461</v>
      </c>
      <c r="F12155" s="1">
        <v>805.0</v>
      </c>
      <c r="G12155" s="1">
        <v>14.0</v>
      </c>
    </row>
    <row r="12156">
      <c r="A12156" s="1" t="s">
        <v>8</v>
      </c>
      <c r="B12156" s="2">
        <v>44776.0</v>
      </c>
      <c r="C12156" s="3">
        <v>0.7294444444444445</v>
      </c>
      <c r="D12156" s="1">
        <v>13.00694</v>
      </c>
      <c r="E12156" s="1">
        <v>80.257943</v>
      </c>
      <c r="F12156" s="1">
        <v>805.0</v>
      </c>
      <c r="G12156" s="1">
        <v>25.0</v>
      </c>
    </row>
    <row r="12157">
      <c r="A12157" s="1" t="s">
        <v>8</v>
      </c>
      <c r="B12157" s="2">
        <v>44776.0</v>
      </c>
      <c r="C12157" s="3">
        <v>0.7294907407407407</v>
      </c>
      <c r="D12157" s="1">
        <v>13.00694</v>
      </c>
      <c r="E12157" s="1">
        <v>80.257943</v>
      </c>
      <c r="F12157" s="1">
        <v>805.0</v>
      </c>
      <c r="G12157" s="1">
        <v>25.0</v>
      </c>
    </row>
    <row r="12158">
      <c r="A12158" s="1" t="s">
        <v>8</v>
      </c>
      <c r="B12158" s="2">
        <v>44776.0</v>
      </c>
      <c r="C12158" s="3">
        <v>0.7294907407407407</v>
      </c>
      <c r="D12158" s="1">
        <v>13.00694</v>
      </c>
      <c r="E12158" s="1">
        <v>80.257943</v>
      </c>
      <c r="F12158" s="1">
        <v>805.0</v>
      </c>
      <c r="G12158" s="1">
        <v>25.0</v>
      </c>
    </row>
    <row r="12159">
      <c r="A12159" s="1" t="s">
        <v>10</v>
      </c>
      <c r="B12159" s="2">
        <v>44776.0</v>
      </c>
      <c r="C12159" s="3">
        <v>0.7299421296296297</v>
      </c>
      <c r="D12159" s="1">
        <v>12.975214</v>
      </c>
      <c r="E12159" s="1">
        <v>80.1354</v>
      </c>
      <c r="F12159" s="1">
        <v>3143.0</v>
      </c>
      <c r="G12159" s="1">
        <v>9.0</v>
      </c>
    </row>
    <row r="12160">
      <c r="A12160" s="1" t="s">
        <v>7</v>
      </c>
      <c r="B12160" s="2">
        <v>44776.0</v>
      </c>
      <c r="C12160" s="3">
        <v>0.7305671296296297</v>
      </c>
      <c r="D12160" s="1">
        <v>13.010581</v>
      </c>
      <c r="E12160" s="1">
        <v>80.259095</v>
      </c>
      <c r="F12160" s="1">
        <v>805.0</v>
      </c>
      <c r="G12160" s="1">
        <v>42.0</v>
      </c>
    </row>
    <row r="12161">
      <c r="A12161" s="1" t="s">
        <v>8</v>
      </c>
      <c r="B12161" s="2">
        <v>44776.0</v>
      </c>
      <c r="C12161" s="3">
        <v>0.730925925925926</v>
      </c>
      <c r="D12161" s="1">
        <v>13.032205</v>
      </c>
      <c r="E12161" s="1">
        <v>80.241997</v>
      </c>
      <c r="F12161" s="1">
        <v>5339.0</v>
      </c>
      <c r="G12161" s="1">
        <v>23.0</v>
      </c>
    </row>
    <row r="12162">
      <c r="A12162" s="1" t="s">
        <v>8</v>
      </c>
      <c r="B12162" s="2">
        <v>44776.0</v>
      </c>
      <c r="C12162" s="3">
        <v>0.7311111111111112</v>
      </c>
      <c r="D12162" s="1">
        <v>13.032776</v>
      </c>
      <c r="E12162" s="1">
        <v>80.242928</v>
      </c>
      <c r="F12162" s="1">
        <v>5339.0</v>
      </c>
      <c r="G12162" s="1">
        <v>33.0</v>
      </c>
    </row>
    <row r="12163">
      <c r="A12163" s="1" t="s">
        <v>10</v>
      </c>
      <c r="B12163" s="2">
        <v>44776.0</v>
      </c>
      <c r="C12163" s="3">
        <v>0.73125</v>
      </c>
      <c r="D12163" s="1">
        <v>13.033439</v>
      </c>
      <c r="E12163" s="1">
        <v>80.243761</v>
      </c>
      <c r="F12163" s="1">
        <v>5339.0</v>
      </c>
      <c r="G12163" s="1">
        <v>28.0</v>
      </c>
    </row>
    <row r="12164">
      <c r="A12164" s="1" t="s">
        <v>7</v>
      </c>
      <c r="B12164" s="2">
        <v>44776.0</v>
      </c>
      <c r="C12164" s="3">
        <v>0.7314467592592593</v>
      </c>
      <c r="D12164" s="1">
        <v>12.655662</v>
      </c>
      <c r="E12164" s="1">
        <v>79.941925</v>
      </c>
      <c r="F12164" s="1">
        <v>2846.0</v>
      </c>
      <c r="G12164" s="1">
        <v>51.0</v>
      </c>
    </row>
    <row r="12165">
      <c r="A12165" s="1" t="s">
        <v>7</v>
      </c>
      <c r="B12165" s="2">
        <v>44776.0</v>
      </c>
      <c r="C12165" s="3">
        <v>0.7321527777777778</v>
      </c>
      <c r="D12165" s="1">
        <v>12.649055</v>
      </c>
      <c r="E12165" s="1">
        <v>79.941122</v>
      </c>
      <c r="F12165" s="1">
        <v>2846.0</v>
      </c>
      <c r="G12165" s="1">
        <v>58.0</v>
      </c>
    </row>
    <row r="12166">
      <c r="A12166" s="1" t="s">
        <v>8</v>
      </c>
      <c r="B12166" s="2">
        <v>44776.0</v>
      </c>
      <c r="C12166" s="3">
        <v>0.7326041666666666</v>
      </c>
      <c r="D12166" s="1">
        <v>12.977131</v>
      </c>
      <c r="E12166" s="1">
        <v>80.131628</v>
      </c>
      <c r="F12166" s="1">
        <v>3143.0</v>
      </c>
      <c r="G12166" s="1">
        <v>25.0</v>
      </c>
    </row>
    <row r="12167">
      <c r="A12167" s="1" t="s">
        <v>10</v>
      </c>
      <c r="B12167" s="2">
        <v>44776.0</v>
      </c>
      <c r="C12167" s="3">
        <v>0.7328587962962962</v>
      </c>
      <c r="D12167" s="1">
        <v>13.022759</v>
      </c>
      <c r="E12167" s="1">
        <v>80.263721</v>
      </c>
      <c r="F12167" s="1">
        <v>805.0</v>
      </c>
      <c r="G12167" s="1">
        <v>29.0</v>
      </c>
    </row>
    <row r="12168">
      <c r="A12168" s="1" t="s">
        <v>7</v>
      </c>
      <c r="B12168" s="2">
        <v>44776.0</v>
      </c>
      <c r="C12168" s="3">
        <v>0.7334375</v>
      </c>
      <c r="D12168" s="1">
        <v>12.644744</v>
      </c>
      <c r="E12168" s="1">
        <v>79.939305</v>
      </c>
      <c r="F12168" s="1">
        <v>2846.0</v>
      </c>
      <c r="G12168" s="1">
        <v>58.0</v>
      </c>
    </row>
    <row r="12169">
      <c r="A12169" s="1" t="s">
        <v>8</v>
      </c>
      <c r="B12169" s="2">
        <v>44776.0</v>
      </c>
      <c r="C12169" s="3">
        <v>0.7335416666666666</v>
      </c>
      <c r="D12169" s="1">
        <v>12.644744</v>
      </c>
      <c r="E12169" s="1">
        <v>79.939305</v>
      </c>
      <c r="F12169" s="1">
        <v>2846.0</v>
      </c>
      <c r="G12169" s="1">
        <v>58.0</v>
      </c>
    </row>
    <row r="12170">
      <c r="A12170" s="1" t="s">
        <v>10</v>
      </c>
      <c r="B12170" s="2">
        <v>44776.0</v>
      </c>
      <c r="C12170" s="3">
        <v>0.7335879629629629</v>
      </c>
      <c r="D12170" s="1">
        <v>12.980098</v>
      </c>
      <c r="E12170" s="1">
        <v>80.129048</v>
      </c>
      <c r="F12170" s="1">
        <v>3143.0</v>
      </c>
      <c r="G12170" s="1">
        <v>16.0</v>
      </c>
    </row>
    <row r="12171">
      <c r="A12171" s="1" t="s">
        <v>10</v>
      </c>
      <c r="B12171" s="2">
        <v>44776.0</v>
      </c>
      <c r="C12171" s="3">
        <v>0.7341087962962963</v>
      </c>
      <c r="D12171" s="1">
        <v>13.026425</v>
      </c>
      <c r="E12171" s="1">
        <v>80.264786</v>
      </c>
      <c r="F12171" s="1">
        <v>805.0</v>
      </c>
      <c r="G12171" s="1">
        <v>25.0</v>
      </c>
    </row>
    <row r="12172">
      <c r="A12172" s="1" t="s">
        <v>8</v>
      </c>
      <c r="B12172" s="2">
        <v>44776.0</v>
      </c>
      <c r="C12172" s="3">
        <v>0.7346990740740741</v>
      </c>
      <c r="D12172" s="1">
        <v>13.042526</v>
      </c>
      <c r="E12172" s="1">
        <v>80.247535</v>
      </c>
      <c r="F12172" s="1">
        <v>5339.0</v>
      </c>
      <c r="G12172" s="1">
        <v>20.0</v>
      </c>
    </row>
    <row r="12173">
      <c r="A12173" s="1" t="s">
        <v>10</v>
      </c>
      <c r="B12173" s="2">
        <v>44776.0</v>
      </c>
      <c r="C12173" s="3">
        <v>0.7347337962962963</v>
      </c>
      <c r="D12173" s="1">
        <v>12.983038</v>
      </c>
      <c r="E12173" s="1">
        <v>80.128645</v>
      </c>
      <c r="F12173" s="1">
        <v>3143.0</v>
      </c>
      <c r="G12173" s="1">
        <v>5.0</v>
      </c>
    </row>
    <row r="12174">
      <c r="A12174" s="1" t="s">
        <v>7</v>
      </c>
      <c r="B12174" s="2">
        <v>44776.0</v>
      </c>
      <c r="C12174" s="3">
        <v>0.7348148148148148</v>
      </c>
      <c r="D12174" s="1">
        <v>12.619951</v>
      </c>
      <c r="E12174" s="1">
        <v>79.927156</v>
      </c>
      <c r="F12174" s="1">
        <v>2846.0</v>
      </c>
      <c r="G12174" s="1">
        <v>57.0</v>
      </c>
    </row>
    <row r="12175">
      <c r="A12175" s="1" t="s">
        <v>10</v>
      </c>
      <c r="B12175" s="2">
        <v>44776.0</v>
      </c>
      <c r="C12175" s="3">
        <v>0.7351851851851852</v>
      </c>
      <c r="D12175" s="1">
        <v>12.98344</v>
      </c>
      <c r="E12175" s="1">
        <v>80.126182</v>
      </c>
      <c r="F12175" s="1">
        <v>3143.0</v>
      </c>
      <c r="G12175" s="1">
        <v>21.0</v>
      </c>
    </row>
    <row r="12176">
      <c r="A12176" s="1" t="s">
        <v>7</v>
      </c>
      <c r="B12176" s="2">
        <v>44776.0</v>
      </c>
      <c r="C12176" s="3">
        <v>0.7352777777777778</v>
      </c>
      <c r="D12176" s="1">
        <v>12.615716</v>
      </c>
      <c r="E12176" s="1">
        <v>79.926004</v>
      </c>
      <c r="F12176" s="1">
        <v>2846.0</v>
      </c>
      <c r="G12176" s="1">
        <v>58.0</v>
      </c>
    </row>
    <row r="12177">
      <c r="A12177" s="1" t="s">
        <v>8</v>
      </c>
      <c r="B12177" s="2">
        <v>44776.0</v>
      </c>
      <c r="C12177" s="3">
        <v>0.7357754629629629</v>
      </c>
      <c r="D12177" s="1">
        <v>13.047834</v>
      </c>
      <c r="E12177" s="1">
        <v>80.249044</v>
      </c>
      <c r="F12177" s="1">
        <v>5339.0</v>
      </c>
      <c r="G12177" s="1">
        <v>37.0</v>
      </c>
    </row>
    <row r="12178">
      <c r="A12178" s="1" t="s">
        <v>8</v>
      </c>
      <c r="B12178" s="2">
        <v>44776.0</v>
      </c>
      <c r="C12178" s="3">
        <v>0.7360763888888889</v>
      </c>
      <c r="D12178" s="1">
        <v>13.051869</v>
      </c>
      <c r="E12178" s="1">
        <v>80.250491</v>
      </c>
      <c r="F12178" s="1">
        <v>5339.0</v>
      </c>
      <c r="G12178" s="1">
        <v>35.0</v>
      </c>
    </row>
    <row r="12179">
      <c r="A12179" s="1" t="s">
        <v>8</v>
      </c>
      <c r="B12179" s="2">
        <v>44776.0</v>
      </c>
      <c r="C12179" s="3">
        <v>0.73625</v>
      </c>
      <c r="D12179" s="1">
        <v>13.052439</v>
      </c>
      <c r="E12179" s="1">
        <v>80.25113</v>
      </c>
      <c r="F12179" s="1">
        <v>5339.0</v>
      </c>
      <c r="G12179" s="1">
        <v>33.0</v>
      </c>
    </row>
    <row r="12180">
      <c r="A12180" s="1" t="s">
        <v>8</v>
      </c>
      <c r="B12180" s="2">
        <v>44776.0</v>
      </c>
      <c r="C12180" s="3">
        <v>0.7362962962962963</v>
      </c>
      <c r="D12180" s="1">
        <v>13.053077</v>
      </c>
      <c r="E12180" s="1">
        <v>80.25198</v>
      </c>
      <c r="F12180" s="1">
        <v>5339.0</v>
      </c>
      <c r="G12180" s="1">
        <v>41.0</v>
      </c>
    </row>
    <row r="12181">
      <c r="A12181" s="1" t="s">
        <v>8</v>
      </c>
      <c r="B12181" s="2">
        <v>44776.0</v>
      </c>
      <c r="C12181" s="3">
        <v>0.7364699074074074</v>
      </c>
      <c r="D12181" s="1">
        <v>12.60258</v>
      </c>
      <c r="E12181" s="1">
        <v>79.920273</v>
      </c>
      <c r="F12181" s="1">
        <v>2846.0</v>
      </c>
      <c r="G12181" s="1">
        <v>58.0</v>
      </c>
    </row>
    <row r="12182">
      <c r="A12182" s="1" t="s">
        <v>8</v>
      </c>
      <c r="B12182" s="2">
        <v>44776.0</v>
      </c>
      <c r="C12182" s="3">
        <v>0.736550925925926</v>
      </c>
      <c r="D12182" s="1">
        <v>12.98526</v>
      </c>
      <c r="E12182" s="1">
        <v>80.120964</v>
      </c>
      <c r="F12182" s="1">
        <v>3143.0</v>
      </c>
      <c r="G12182" s="1">
        <v>23.0</v>
      </c>
    </row>
    <row r="12183">
      <c r="A12183" s="1" t="s">
        <v>9</v>
      </c>
      <c r="B12183" s="2">
        <v>44776.0</v>
      </c>
      <c r="C12183" s="3">
        <v>0.736875</v>
      </c>
      <c r="D12183" s="1">
        <v>13.055323</v>
      </c>
      <c r="E12183" s="1">
        <v>80.25497</v>
      </c>
      <c r="F12183" s="1">
        <v>5339.0</v>
      </c>
      <c r="G12183" s="1">
        <v>38.0</v>
      </c>
    </row>
    <row r="12184">
      <c r="A12184" s="1" t="s">
        <v>8</v>
      </c>
      <c r="B12184" s="2">
        <v>44776.0</v>
      </c>
      <c r="C12184" s="3">
        <v>0.7376967592592593</v>
      </c>
      <c r="D12184" s="1">
        <v>13.033938</v>
      </c>
      <c r="E12184" s="1">
        <v>80.267864</v>
      </c>
      <c r="F12184" s="1">
        <v>805.0</v>
      </c>
      <c r="G12184" s="1">
        <v>19.0</v>
      </c>
    </row>
    <row r="12185">
      <c r="A12185" s="1" t="s">
        <v>8</v>
      </c>
      <c r="B12185" s="2">
        <v>44776.0</v>
      </c>
      <c r="C12185" s="3">
        <v>0.7377546296296297</v>
      </c>
      <c r="D12185" s="1">
        <v>12.990083</v>
      </c>
      <c r="E12185" s="1">
        <v>80.116651</v>
      </c>
      <c r="F12185" s="1">
        <v>3143.0</v>
      </c>
      <c r="G12185" s="1">
        <v>26.0</v>
      </c>
    </row>
    <row r="12186">
      <c r="A12186" s="1" t="s">
        <v>8</v>
      </c>
      <c r="B12186" s="2">
        <v>44776.0</v>
      </c>
      <c r="C12186" s="3">
        <v>0.7377777777777778</v>
      </c>
      <c r="D12186" s="1">
        <v>12.990587</v>
      </c>
      <c r="E12186" s="1">
        <v>80.116257</v>
      </c>
      <c r="F12186" s="1">
        <v>3143.0</v>
      </c>
      <c r="G12186" s="1">
        <v>27.0</v>
      </c>
    </row>
    <row r="12187">
      <c r="A12187" s="1" t="s">
        <v>7</v>
      </c>
      <c r="B12187" s="2">
        <v>44776.0</v>
      </c>
      <c r="C12187" s="3">
        <v>0.7378935185185185</v>
      </c>
      <c r="D12187" s="1">
        <v>12.583756</v>
      </c>
      <c r="E12187" s="1">
        <v>79.919344</v>
      </c>
      <c r="F12187" s="1">
        <v>2846.0</v>
      </c>
      <c r="G12187" s="1">
        <v>57.0</v>
      </c>
    </row>
    <row r="12188">
      <c r="A12188" s="1" t="s">
        <v>8</v>
      </c>
      <c r="B12188" s="2">
        <v>44776.0</v>
      </c>
      <c r="C12188" s="3">
        <v>0.7379166666666667</v>
      </c>
      <c r="D12188" s="1">
        <v>12.991123</v>
      </c>
      <c r="E12188" s="1">
        <v>80.115733</v>
      </c>
      <c r="F12188" s="1">
        <v>3143.0</v>
      </c>
      <c r="G12188" s="1">
        <v>30.0</v>
      </c>
    </row>
    <row r="12189">
      <c r="A12189" s="1" t="s">
        <v>10</v>
      </c>
      <c r="B12189" s="2">
        <v>44776.0</v>
      </c>
      <c r="C12189" s="3">
        <v>0.7380787037037037</v>
      </c>
      <c r="D12189" s="1">
        <v>13.056616</v>
      </c>
      <c r="E12189" s="1">
        <v>80.257827</v>
      </c>
      <c r="F12189" s="1">
        <v>5339.0</v>
      </c>
      <c r="G12189" s="1">
        <v>0.0</v>
      </c>
    </row>
    <row r="12190">
      <c r="A12190" s="1" t="s">
        <v>10</v>
      </c>
      <c r="B12190" s="2">
        <v>44776.0</v>
      </c>
      <c r="C12190" s="3">
        <v>0.7381597222222223</v>
      </c>
      <c r="D12190" s="1">
        <v>13.035993</v>
      </c>
      <c r="E12190" s="1">
        <v>80.267792</v>
      </c>
      <c r="F12190" s="1">
        <v>805.0</v>
      </c>
      <c r="G12190" s="1">
        <v>22.0</v>
      </c>
    </row>
    <row r="12191">
      <c r="A12191" s="1" t="s">
        <v>8</v>
      </c>
      <c r="B12191" s="2">
        <v>44776.0</v>
      </c>
      <c r="C12191" s="3">
        <v>0.740011574074074</v>
      </c>
      <c r="D12191" s="1">
        <v>12.997559</v>
      </c>
      <c r="E12191" s="1">
        <v>80.105382</v>
      </c>
      <c r="F12191" s="1">
        <v>3143.0</v>
      </c>
      <c r="G12191" s="1">
        <v>41.0</v>
      </c>
    </row>
    <row r="12192">
      <c r="A12192" s="1" t="s">
        <v>10</v>
      </c>
      <c r="B12192" s="2">
        <v>44776.0</v>
      </c>
      <c r="C12192" s="3">
        <v>0.7403125</v>
      </c>
      <c r="D12192" s="1">
        <v>13.038726</v>
      </c>
      <c r="E12192" s="1">
        <v>80.267625</v>
      </c>
      <c r="F12192" s="1">
        <v>805.0</v>
      </c>
      <c r="G12192" s="1">
        <v>22.0</v>
      </c>
    </row>
    <row r="12193">
      <c r="A12193" s="1" t="s">
        <v>8</v>
      </c>
      <c r="B12193" s="2">
        <v>44776.0</v>
      </c>
      <c r="C12193" s="3">
        <v>0.7408912037037036</v>
      </c>
      <c r="D12193" s="1">
        <v>13.040738</v>
      </c>
      <c r="E12193" s="1">
        <v>80.268119</v>
      </c>
      <c r="F12193" s="1">
        <v>805.0</v>
      </c>
      <c r="G12193" s="1">
        <v>25.0</v>
      </c>
    </row>
    <row r="12194">
      <c r="A12194" s="1" t="s">
        <v>8</v>
      </c>
      <c r="B12194" s="2">
        <v>44776.0</v>
      </c>
      <c r="C12194" s="3">
        <v>0.7409143518518518</v>
      </c>
      <c r="D12194" s="1">
        <v>13.041533</v>
      </c>
      <c r="E12194" s="1">
        <v>80.268204</v>
      </c>
      <c r="F12194" s="1">
        <v>805.0</v>
      </c>
      <c r="G12194" s="1">
        <v>37.0</v>
      </c>
    </row>
    <row r="12195">
      <c r="A12195" s="1" t="s">
        <v>8</v>
      </c>
      <c r="B12195" s="2">
        <v>44776.0</v>
      </c>
      <c r="C12195" s="3">
        <v>0.7409837962962963</v>
      </c>
      <c r="D12195" s="1">
        <v>13.041533</v>
      </c>
      <c r="E12195" s="1">
        <v>80.268204</v>
      </c>
      <c r="F12195" s="1">
        <v>805.0</v>
      </c>
      <c r="G12195" s="1">
        <v>37.0</v>
      </c>
    </row>
    <row r="12196">
      <c r="A12196" s="1" t="s">
        <v>8</v>
      </c>
      <c r="B12196" s="2">
        <v>44776.0</v>
      </c>
      <c r="C12196" s="3">
        <v>0.7414004629629629</v>
      </c>
      <c r="D12196" s="1">
        <v>13.044354</v>
      </c>
      <c r="E12196" s="1">
        <v>80.266934</v>
      </c>
      <c r="F12196" s="1">
        <v>805.0</v>
      </c>
      <c r="G12196" s="1">
        <v>29.0</v>
      </c>
    </row>
    <row r="12197">
      <c r="A12197" s="1" t="s">
        <v>10</v>
      </c>
      <c r="B12197" s="2">
        <v>44776.0</v>
      </c>
      <c r="C12197" s="3">
        <v>0.7414236111111111</v>
      </c>
      <c r="D12197" s="1">
        <v>12.99764</v>
      </c>
      <c r="E12197" s="1">
        <v>80.099318</v>
      </c>
      <c r="F12197" s="1">
        <v>3143.0</v>
      </c>
      <c r="G12197" s="1">
        <v>31.0</v>
      </c>
    </row>
    <row r="12198">
      <c r="A12198" s="1" t="s">
        <v>10</v>
      </c>
      <c r="B12198" s="2">
        <v>44776.0</v>
      </c>
      <c r="C12198" s="3">
        <v>0.741712962962963</v>
      </c>
      <c r="D12198" s="1">
        <v>13.046047</v>
      </c>
      <c r="E12198" s="1">
        <v>80.266507</v>
      </c>
      <c r="F12198" s="1">
        <v>805.0</v>
      </c>
      <c r="G12198" s="1">
        <v>34.0</v>
      </c>
    </row>
    <row r="12199">
      <c r="A12199" s="1" t="s">
        <v>10</v>
      </c>
      <c r="B12199" s="2">
        <v>44776.0</v>
      </c>
      <c r="C12199" s="3">
        <v>0.7418171296296296</v>
      </c>
      <c r="D12199" s="1">
        <v>13.053202</v>
      </c>
      <c r="E12199" s="1">
        <v>80.271086</v>
      </c>
      <c r="F12199" s="1">
        <v>5339.0</v>
      </c>
      <c r="G12199" s="1">
        <v>8.0</v>
      </c>
    </row>
    <row r="12200">
      <c r="A12200" s="1" t="s">
        <v>10</v>
      </c>
      <c r="B12200" s="2">
        <v>44776.0</v>
      </c>
      <c r="C12200" s="3">
        <v>0.7422106481481482</v>
      </c>
      <c r="D12200" s="1">
        <v>13.053046</v>
      </c>
      <c r="E12200" s="1">
        <v>80.272216</v>
      </c>
      <c r="F12200" s="1">
        <v>5339.0</v>
      </c>
      <c r="G12200" s="1">
        <v>17.0</v>
      </c>
    </row>
    <row r="12201">
      <c r="A12201" s="1" t="s">
        <v>10</v>
      </c>
      <c r="B12201" s="2">
        <v>44776.0</v>
      </c>
      <c r="C12201" s="3">
        <v>0.7425</v>
      </c>
      <c r="D12201" s="1">
        <v>13.052977</v>
      </c>
      <c r="E12201" s="1">
        <v>80.272652</v>
      </c>
      <c r="F12201" s="1">
        <v>5339.0</v>
      </c>
      <c r="G12201" s="1">
        <v>0.0</v>
      </c>
    </row>
    <row r="12202">
      <c r="A12202" s="1" t="s">
        <v>10</v>
      </c>
      <c r="B12202" s="2">
        <v>44776.0</v>
      </c>
      <c r="C12202" s="3">
        <v>0.7425231481481481</v>
      </c>
      <c r="D12202" s="1">
        <v>12.99842</v>
      </c>
      <c r="E12202" s="1">
        <v>80.096576</v>
      </c>
      <c r="F12202" s="1">
        <v>3143.0</v>
      </c>
      <c r="G12202" s="1">
        <v>8.0</v>
      </c>
    </row>
    <row r="12203">
      <c r="A12203" s="1" t="s">
        <v>10</v>
      </c>
      <c r="B12203" s="2">
        <v>44776.0</v>
      </c>
      <c r="C12203" s="3">
        <v>0.7428356481481482</v>
      </c>
      <c r="D12203" s="1">
        <v>13.048936</v>
      </c>
      <c r="E12203" s="1">
        <v>80.264652</v>
      </c>
      <c r="F12203" s="1">
        <v>805.0</v>
      </c>
      <c r="G12203" s="1">
        <v>33.0</v>
      </c>
    </row>
    <row r="12204">
      <c r="A12204" s="1" t="s">
        <v>10</v>
      </c>
      <c r="B12204" s="2">
        <v>44776.0</v>
      </c>
      <c r="C12204" s="3">
        <v>0.7429166666666667</v>
      </c>
      <c r="D12204" s="1">
        <v>13.049397</v>
      </c>
      <c r="E12204" s="1">
        <v>80.264039</v>
      </c>
      <c r="F12204" s="1">
        <v>805.0</v>
      </c>
      <c r="G12204" s="1">
        <v>26.0</v>
      </c>
    </row>
    <row r="12205">
      <c r="A12205" s="1" t="s">
        <v>10</v>
      </c>
      <c r="B12205" s="2">
        <v>44776.0</v>
      </c>
      <c r="C12205" s="3">
        <v>0.7434953703703704</v>
      </c>
      <c r="D12205" s="1">
        <v>13.055199</v>
      </c>
      <c r="E12205" s="1">
        <v>80.273788</v>
      </c>
      <c r="F12205" s="1">
        <v>5339.0</v>
      </c>
      <c r="G12205" s="1">
        <v>16.0</v>
      </c>
    </row>
    <row r="12206">
      <c r="A12206" s="1" t="s">
        <v>10</v>
      </c>
      <c r="B12206" s="2">
        <v>44776.0</v>
      </c>
      <c r="C12206" s="3">
        <v>0.7435069444444444</v>
      </c>
      <c r="D12206" s="1">
        <v>13.00245</v>
      </c>
      <c r="E12206" s="1">
        <v>80.0986</v>
      </c>
      <c r="F12206" s="1">
        <v>3143.0</v>
      </c>
      <c r="G12206" s="1">
        <v>40.0</v>
      </c>
    </row>
    <row r="12207">
      <c r="A12207" s="1" t="s">
        <v>10</v>
      </c>
      <c r="B12207" s="2">
        <v>44776.0</v>
      </c>
      <c r="C12207" s="3">
        <v>0.7436111111111111</v>
      </c>
      <c r="D12207" s="1">
        <v>13.055686</v>
      </c>
      <c r="E12207" s="1">
        <v>80.27383</v>
      </c>
      <c r="F12207" s="1">
        <v>5339.0</v>
      </c>
      <c r="G12207" s="1">
        <v>13.0</v>
      </c>
    </row>
    <row r="12208">
      <c r="A12208" s="1" t="s">
        <v>8</v>
      </c>
      <c r="B12208" s="2">
        <v>44776.0</v>
      </c>
      <c r="C12208" s="3">
        <v>0.7448958333333333</v>
      </c>
      <c r="D12208" s="1">
        <v>13.05667</v>
      </c>
      <c r="E12208" s="1">
        <v>80.26458</v>
      </c>
      <c r="F12208" s="1">
        <v>805.0</v>
      </c>
      <c r="G12208" s="1">
        <v>21.0</v>
      </c>
    </row>
    <row r="12209">
      <c r="A12209" s="1" t="s">
        <v>10</v>
      </c>
      <c r="B12209" s="2">
        <v>44776.0</v>
      </c>
      <c r="C12209" s="3">
        <v>0.7457870370370371</v>
      </c>
      <c r="D12209" s="1">
        <v>13.061578</v>
      </c>
      <c r="E12209" s="1">
        <v>80.274347</v>
      </c>
      <c r="F12209" s="1">
        <v>5339.0</v>
      </c>
      <c r="G12209" s="1">
        <v>0.0</v>
      </c>
    </row>
    <row r="12210">
      <c r="A12210" s="1" t="s">
        <v>10</v>
      </c>
      <c r="B12210" s="2">
        <v>44776.0</v>
      </c>
      <c r="C12210" s="3">
        <v>0.7458564814814815</v>
      </c>
      <c r="D12210" s="1">
        <v>13.06055</v>
      </c>
      <c r="E12210" s="1">
        <v>80.265341</v>
      </c>
      <c r="F12210" s="1">
        <v>805.0</v>
      </c>
      <c r="G12210" s="1">
        <v>27.0</v>
      </c>
    </row>
    <row r="12211">
      <c r="A12211" s="1" t="s">
        <v>10</v>
      </c>
      <c r="B12211" s="2">
        <v>44776.0</v>
      </c>
      <c r="C12211" s="3">
        <v>0.7462962962962963</v>
      </c>
      <c r="D12211" s="1">
        <v>13.063182</v>
      </c>
      <c r="E12211" s="1">
        <v>80.274127</v>
      </c>
      <c r="F12211" s="1">
        <v>5339.0</v>
      </c>
      <c r="G12211" s="1">
        <v>15.0</v>
      </c>
    </row>
    <row r="12212">
      <c r="A12212" s="1" t="s">
        <v>10</v>
      </c>
      <c r="B12212" s="2">
        <v>44776.0</v>
      </c>
      <c r="C12212" s="3">
        <v>0.7470717592592593</v>
      </c>
      <c r="D12212" s="1">
        <v>13.063351</v>
      </c>
      <c r="E12212" s="1">
        <v>80.267267</v>
      </c>
      <c r="F12212" s="1">
        <v>805.0</v>
      </c>
      <c r="G12212" s="1">
        <v>15.0</v>
      </c>
    </row>
    <row r="12213">
      <c r="A12213" s="1" t="s">
        <v>10</v>
      </c>
      <c r="B12213" s="2">
        <v>44776.0</v>
      </c>
      <c r="C12213" s="3">
        <v>0.7473032407407407</v>
      </c>
      <c r="D12213" s="1">
        <v>13.065871</v>
      </c>
      <c r="E12213" s="1">
        <v>80.273791</v>
      </c>
      <c r="F12213" s="1">
        <v>5339.0</v>
      </c>
      <c r="G12213" s="1">
        <v>20.0</v>
      </c>
    </row>
    <row r="12214">
      <c r="A12214" s="1" t="s">
        <v>10</v>
      </c>
      <c r="B12214" s="2">
        <v>44776.0</v>
      </c>
      <c r="C12214" s="3">
        <v>0.7509143518518518</v>
      </c>
      <c r="D12214" s="1">
        <v>13.069585</v>
      </c>
      <c r="E12214" s="1">
        <v>80.266652</v>
      </c>
      <c r="F12214" s="1">
        <v>5339.0</v>
      </c>
      <c r="G12214" s="1">
        <v>23.0</v>
      </c>
    </row>
    <row r="12215">
      <c r="A12215" s="1" t="s">
        <v>10</v>
      </c>
      <c r="B12215" s="2">
        <v>44776.0</v>
      </c>
      <c r="C12215" s="3">
        <v>0.7510763888888888</v>
      </c>
      <c r="D12215" s="1">
        <v>13.063395</v>
      </c>
      <c r="E12215" s="1">
        <v>80.261579</v>
      </c>
      <c r="F12215" s="1">
        <v>805.0</v>
      </c>
      <c r="G12215" s="1">
        <v>19.0</v>
      </c>
    </row>
    <row r="12216">
      <c r="A12216" s="1" t="s">
        <v>10</v>
      </c>
      <c r="B12216" s="2">
        <v>44776.0</v>
      </c>
      <c r="C12216" s="3">
        <v>0.7511921296296297</v>
      </c>
      <c r="D12216" s="1">
        <v>13.070332</v>
      </c>
      <c r="E12216" s="1">
        <v>80.265845</v>
      </c>
      <c r="F12216" s="1">
        <v>5339.0</v>
      </c>
      <c r="G12216" s="1">
        <v>21.0</v>
      </c>
    </row>
    <row r="12217">
      <c r="A12217" s="1" t="s">
        <v>9</v>
      </c>
      <c r="B12217" s="2">
        <v>44776.0</v>
      </c>
      <c r="C12217" s="3">
        <v>0.7525925925925926</v>
      </c>
      <c r="D12217" s="1">
        <v>13.072187</v>
      </c>
      <c r="E12217" s="1">
        <v>80.259846</v>
      </c>
      <c r="F12217" s="1">
        <v>5339.0</v>
      </c>
      <c r="G12217" s="1">
        <v>35.0</v>
      </c>
    </row>
    <row r="12218">
      <c r="A12218" s="1" t="s">
        <v>10</v>
      </c>
      <c r="B12218" s="2">
        <v>44776.0</v>
      </c>
      <c r="C12218" s="3">
        <v>0.7526388888888889</v>
      </c>
      <c r="D12218" s="1">
        <v>13.066335</v>
      </c>
      <c r="E12218" s="1">
        <v>80.255786</v>
      </c>
      <c r="F12218" s="1">
        <v>805.0</v>
      </c>
      <c r="G12218" s="1">
        <v>31.0</v>
      </c>
    </row>
    <row r="12219">
      <c r="A12219" s="1" t="s">
        <v>8</v>
      </c>
      <c r="B12219" s="2">
        <v>44776.0</v>
      </c>
      <c r="C12219" s="3">
        <v>0.7533101851851852</v>
      </c>
      <c r="D12219" s="1">
        <v>13.069402</v>
      </c>
      <c r="E12219" s="1">
        <v>80.256849</v>
      </c>
      <c r="F12219" s="1">
        <v>5339.0</v>
      </c>
      <c r="G12219" s="1">
        <v>25.0</v>
      </c>
    </row>
    <row r="12220">
      <c r="A12220" s="1" t="s">
        <v>8</v>
      </c>
      <c r="B12220" s="2">
        <v>44776.0</v>
      </c>
      <c r="C12220" s="3">
        <v>0.7533217592592593</v>
      </c>
      <c r="D12220" s="1">
        <v>13.070032</v>
      </c>
      <c r="E12220" s="1">
        <v>80.257502</v>
      </c>
      <c r="F12220" s="1">
        <v>5339.0</v>
      </c>
      <c r="G12220" s="1">
        <v>43.0</v>
      </c>
    </row>
    <row r="12221">
      <c r="A12221" s="1" t="s">
        <v>8</v>
      </c>
      <c r="B12221" s="2">
        <v>44776.0</v>
      </c>
      <c r="C12221" s="3">
        <v>0.7544097222222222</v>
      </c>
      <c r="D12221" s="1">
        <v>13.068199</v>
      </c>
      <c r="E12221" s="1">
        <v>80.252852</v>
      </c>
      <c r="F12221" s="1">
        <v>805.0</v>
      </c>
      <c r="G12221" s="1">
        <v>30.0</v>
      </c>
    </row>
    <row r="12222">
      <c r="A12222" s="1" t="s">
        <v>8</v>
      </c>
      <c r="B12222" s="2">
        <v>44776.0</v>
      </c>
      <c r="C12222" s="3">
        <v>0.7544444444444445</v>
      </c>
      <c r="D12222" s="1">
        <v>13.068199</v>
      </c>
      <c r="E12222" s="1">
        <v>80.252852</v>
      </c>
      <c r="F12222" s="1">
        <v>805.0</v>
      </c>
      <c r="G12222" s="1">
        <v>30.0</v>
      </c>
    </row>
    <row r="12223">
      <c r="A12223" s="1" t="s">
        <v>8</v>
      </c>
      <c r="B12223" s="2">
        <v>44776.0</v>
      </c>
      <c r="C12223" s="3">
        <v>0.7546875</v>
      </c>
      <c r="D12223" s="1">
        <v>13.067392</v>
      </c>
      <c r="E12223" s="1">
        <v>80.252064</v>
      </c>
      <c r="F12223" s="1">
        <v>805.0</v>
      </c>
      <c r="G12223" s="1">
        <v>25.0</v>
      </c>
    </row>
    <row r="12224">
      <c r="A12224" s="1" t="s">
        <v>8</v>
      </c>
      <c r="B12224" s="2">
        <v>44776.0</v>
      </c>
      <c r="C12224" s="3">
        <v>0.7548032407407408</v>
      </c>
      <c r="D12224" s="1">
        <v>13.067779</v>
      </c>
      <c r="E12224" s="1">
        <v>80.253303</v>
      </c>
      <c r="F12224" s="1">
        <v>5339.0</v>
      </c>
      <c r="G12224" s="1">
        <v>38.0</v>
      </c>
    </row>
    <row r="12225">
      <c r="A12225" s="1" t="s">
        <v>8</v>
      </c>
      <c r="B12225" s="2">
        <v>44776.0</v>
      </c>
      <c r="C12225" s="3">
        <v>0.7550925925925925</v>
      </c>
      <c r="D12225" s="1">
        <v>13.0479</v>
      </c>
      <c r="E12225" s="1">
        <v>80.120304</v>
      </c>
      <c r="F12225" s="1">
        <v>3143.0</v>
      </c>
      <c r="G12225" s="1">
        <v>47.0</v>
      </c>
    </row>
    <row r="12226">
      <c r="A12226" s="1" t="s">
        <v>8</v>
      </c>
      <c r="B12226" s="2">
        <v>44776.0</v>
      </c>
      <c r="C12226" s="3">
        <v>0.7552777777777778</v>
      </c>
      <c r="D12226" s="1">
        <v>13.06763</v>
      </c>
      <c r="E12226" s="1">
        <v>80.249232</v>
      </c>
      <c r="F12226" s="1">
        <v>805.0</v>
      </c>
      <c r="G12226" s="1">
        <v>20.0</v>
      </c>
    </row>
    <row r="12227">
      <c r="A12227" s="1" t="s">
        <v>8</v>
      </c>
      <c r="B12227" s="2">
        <v>44776.0</v>
      </c>
      <c r="C12227" s="3">
        <v>0.7553125</v>
      </c>
      <c r="D12227" s="1">
        <v>13.050077</v>
      </c>
      <c r="E12227" s="1">
        <v>80.12162</v>
      </c>
      <c r="F12227" s="1">
        <v>3143.0</v>
      </c>
      <c r="G12227" s="1">
        <v>45.0</v>
      </c>
    </row>
    <row r="12228">
      <c r="A12228" s="1" t="s">
        <v>10</v>
      </c>
      <c r="B12228" s="2">
        <v>44776.0</v>
      </c>
      <c r="C12228" s="3">
        <v>0.7558217592592592</v>
      </c>
      <c r="D12228" s="1">
        <v>13.064904</v>
      </c>
      <c r="E12228" s="1">
        <v>80.247809</v>
      </c>
      <c r="F12228" s="1">
        <v>805.0</v>
      </c>
      <c r="G12228" s="1">
        <v>28.0</v>
      </c>
    </row>
    <row r="12229">
      <c r="A12229" s="1" t="s">
        <v>7</v>
      </c>
      <c r="B12229" s="2">
        <v>44776.0</v>
      </c>
      <c r="C12229" s="3">
        <v>0.7577314814814815</v>
      </c>
      <c r="D12229" s="1">
        <v>13.057194</v>
      </c>
      <c r="E12229" s="1">
        <v>80.103909</v>
      </c>
      <c r="F12229" s="1">
        <v>3143.0</v>
      </c>
      <c r="G12229" s="1">
        <v>57.0</v>
      </c>
    </row>
    <row r="12230">
      <c r="A12230" s="1" t="s">
        <v>7</v>
      </c>
      <c r="B12230" s="2">
        <v>44776.0</v>
      </c>
      <c r="C12230" s="3">
        <v>0.7580787037037037</v>
      </c>
      <c r="D12230" s="1">
        <v>13.05683</v>
      </c>
      <c r="E12230" s="1">
        <v>80.099499</v>
      </c>
      <c r="F12230" s="1">
        <v>3143.0</v>
      </c>
      <c r="G12230" s="1">
        <v>59.0</v>
      </c>
    </row>
    <row r="12231">
      <c r="A12231" s="1" t="s">
        <v>8</v>
      </c>
      <c r="B12231" s="2">
        <v>44776.0</v>
      </c>
      <c r="C12231" s="3">
        <v>0.7614814814814815</v>
      </c>
      <c r="D12231" s="1">
        <v>13.037968</v>
      </c>
      <c r="E12231" s="1">
        <v>80.087676</v>
      </c>
      <c r="F12231" s="1">
        <v>3143.0</v>
      </c>
      <c r="G12231" s="1">
        <v>43.0</v>
      </c>
    </row>
    <row r="12232">
      <c r="A12232" s="1" t="s">
        <v>7</v>
      </c>
      <c r="B12232" s="2">
        <v>44776.0</v>
      </c>
      <c r="C12232" s="3">
        <v>0.7665277777777778</v>
      </c>
      <c r="D12232" s="1">
        <v>13.022918</v>
      </c>
      <c r="E12232" s="1">
        <v>80.093149</v>
      </c>
      <c r="F12232" s="1">
        <v>3143.0</v>
      </c>
      <c r="G12232" s="1">
        <v>45.0</v>
      </c>
    </row>
    <row r="12233">
      <c r="A12233" s="1" t="s">
        <v>7</v>
      </c>
      <c r="B12233" s="2">
        <v>44776.0</v>
      </c>
      <c r="C12233" s="3">
        <v>0.7681134259259259</v>
      </c>
      <c r="D12233" s="1">
        <v>13.003827</v>
      </c>
      <c r="E12233" s="1">
        <v>80.090124</v>
      </c>
      <c r="F12233" s="1">
        <v>3143.0</v>
      </c>
      <c r="G12233" s="1">
        <v>58.0</v>
      </c>
    </row>
    <row r="12234">
      <c r="A12234" s="1" t="s">
        <v>8</v>
      </c>
      <c r="B12234" s="2">
        <v>44776.0</v>
      </c>
      <c r="C12234" s="3">
        <v>0.7688541666666666</v>
      </c>
      <c r="D12234" s="1">
        <v>12.99523</v>
      </c>
      <c r="E12234" s="1">
        <v>80.087685</v>
      </c>
      <c r="F12234" s="1">
        <v>3143.0</v>
      </c>
      <c r="G12234" s="1">
        <v>54.0</v>
      </c>
    </row>
    <row r="12235">
      <c r="A12235" s="1" t="s">
        <v>7</v>
      </c>
      <c r="B12235" s="2">
        <v>44776.0</v>
      </c>
      <c r="C12235" s="3">
        <v>0.7689930555555555</v>
      </c>
      <c r="D12235" s="1">
        <v>12.99523</v>
      </c>
      <c r="E12235" s="1">
        <v>80.087685</v>
      </c>
      <c r="F12235" s="1">
        <v>3143.0</v>
      </c>
      <c r="G12235" s="1">
        <v>54.0</v>
      </c>
    </row>
    <row r="12236">
      <c r="A12236" s="1" t="s">
        <v>7</v>
      </c>
      <c r="B12236" s="2">
        <v>44776.0</v>
      </c>
      <c r="C12236" s="3">
        <v>0.7725462962962963</v>
      </c>
      <c r="D12236" s="1">
        <v>12.951641</v>
      </c>
      <c r="E12236" s="1">
        <v>80.088286</v>
      </c>
      <c r="F12236" s="1">
        <v>3143.0</v>
      </c>
      <c r="G12236" s="1">
        <v>58.0</v>
      </c>
    </row>
    <row r="12237">
      <c r="A12237" s="1" t="s">
        <v>7</v>
      </c>
      <c r="B12237" s="2">
        <v>44776.0</v>
      </c>
      <c r="C12237" s="3">
        <v>0.7731134259259259</v>
      </c>
      <c r="D12237" s="1">
        <v>12.943062</v>
      </c>
      <c r="E12237" s="1">
        <v>80.085078</v>
      </c>
      <c r="F12237" s="1">
        <v>3143.0</v>
      </c>
      <c r="G12237" s="1">
        <v>57.0</v>
      </c>
    </row>
    <row r="12238">
      <c r="A12238" s="1" t="s">
        <v>7</v>
      </c>
      <c r="B12238" s="2">
        <v>44776.0</v>
      </c>
      <c r="C12238" s="3">
        <v>0.773900462962963</v>
      </c>
      <c r="D12238" s="1">
        <v>12.934541</v>
      </c>
      <c r="E12238" s="1">
        <v>80.081901</v>
      </c>
      <c r="F12238" s="1">
        <v>3143.0</v>
      </c>
      <c r="G12238" s="1">
        <v>52.0</v>
      </c>
    </row>
    <row r="12239">
      <c r="A12239" s="1" t="s">
        <v>8</v>
      </c>
      <c r="B12239" s="2">
        <v>44776.0</v>
      </c>
      <c r="C12239" s="3">
        <v>0.7747222222222222</v>
      </c>
      <c r="D12239" s="1">
        <v>12.930224</v>
      </c>
      <c r="E12239" s="1">
        <v>80.080118</v>
      </c>
      <c r="F12239" s="1">
        <v>3143.0</v>
      </c>
      <c r="G12239" s="1">
        <v>0.0</v>
      </c>
    </row>
    <row r="12240">
      <c r="A12240" s="1" t="s">
        <v>8</v>
      </c>
      <c r="B12240" s="2">
        <v>44776.0</v>
      </c>
      <c r="C12240" s="3">
        <v>0.7749884259259259</v>
      </c>
      <c r="D12240" s="1">
        <v>12.929308</v>
      </c>
      <c r="E12240" s="1">
        <v>80.07987</v>
      </c>
      <c r="F12240" s="1">
        <v>3143.0</v>
      </c>
      <c r="G12240" s="1">
        <v>33.0</v>
      </c>
    </row>
    <row r="12241">
      <c r="A12241" s="1" t="s">
        <v>7</v>
      </c>
      <c r="B12241" s="2">
        <v>44776.0</v>
      </c>
      <c r="C12241" s="3">
        <v>0.7753356481481481</v>
      </c>
      <c r="D12241" s="1">
        <v>12.926046</v>
      </c>
      <c r="E12241" s="1">
        <v>80.078749</v>
      </c>
      <c r="F12241" s="1">
        <v>3143.0</v>
      </c>
      <c r="G12241" s="1">
        <v>47.0</v>
      </c>
    </row>
    <row r="12242">
      <c r="A12242" s="1" t="s">
        <v>7</v>
      </c>
      <c r="B12242" s="2">
        <v>44776.0</v>
      </c>
      <c r="C12242" s="3">
        <v>0.7764236111111111</v>
      </c>
      <c r="D12242" s="1">
        <v>12.913855</v>
      </c>
      <c r="E12242" s="1">
        <v>80.074834</v>
      </c>
      <c r="F12242" s="1">
        <v>3143.0</v>
      </c>
      <c r="G12242" s="1">
        <v>57.0</v>
      </c>
    </row>
    <row r="12243">
      <c r="A12243" s="1" t="s">
        <v>7</v>
      </c>
      <c r="B12243" s="2">
        <v>44776.0</v>
      </c>
      <c r="C12243" s="3">
        <v>0.7769328703703704</v>
      </c>
      <c r="D12243" s="1">
        <v>12.907777</v>
      </c>
      <c r="E12243" s="1">
        <v>80.072872</v>
      </c>
      <c r="F12243" s="1">
        <v>3143.0</v>
      </c>
      <c r="G12243" s="1">
        <v>56.0</v>
      </c>
    </row>
    <row r="12244">
      <c r="A12244" s="1" t="s">
        <v>7</v>
      </c>
      <c r="B12244" s="2">
        <v>44776.0</v>
      </c>
      <c r="C12244" s="3">
        <v>0.7772916666666667</v>
      </c>
      <c r="D12244" s="1">
        <v>12.903533</v>
      </c>
      <c r="E12244" s="1">
        <v>80.071615</v>
      </c>
      <c r="F12244" s="1">
        <v>3143.0</v>
      </c>
      <c r="G12244" s="1">
        <v>57.0</v>
      </c>
    </row>
    <row r="12245">
      <c r="A12245" s="1" t="s">
        <v>7</v>
      </c>
      <c r="B12245" s="2">
        <v>44776.0</v>
      </c>
      <c r="C12245" s="3">
        <v>0.7774652777777777</v>
      </c>
      <c r="D12245" s="1">
        <v>12.901419</v>
      </c>
      <c r="E12245" s="1">
        <v>80.071177</v>
      </c>
      <c r="F12245" s="1">
        <v>3143.0</v>
      </c>
      <c r="G12245" s="1">
        <v>57.0</v>
      </c>
    </row>
    <row r="12246">
      <c r="A12246" s="1" t="s">
        <v>7</v>
      </c>
      <c r="B12246" s="2">
        <v>44776.0</v>
      </c>
      <c r="C12246" s="3">
        <v>0.7777662037037038</v>
      </c>
      <c r="D12246" s="1">
        <v>12.899286</v>
      </c>
      <c r="E12246" s="1">
        <v>80.070776</v>
      </c>
      <c r="F12246" s="1">
        <v>3143.0</v>
      </c>
      <c r="G12246" s="1">
        <v>56.0</v>
      </c>
    </row>
    <row r="12247">
      <c r="A12247" s="1" t="s">
        <v>7</v>
      </c>
      <c r="B12247" s="2">
        <v>44776.0</v>
      </c>
      <c r="C12247" s="3">
        <v>0.7781134259259259</v>
      </c>
      <c r="D12247" s="1">
        <v>12.894828</v>
      </c>
      <c r="E12247" s="1">
        <v>80.070762</v>
      </c>
      <c r="F12247" s="1">
        <v>3143.0</v>
      </c>
      <c r="G12247" s="1">
        <v>54.0</v>
      </c>
    </row>
    <row r="12248">
      <c r="A12248" s="1" t="s">
        <v>8</v>
      </c>
      <c r="B12248" s="2">
        <v>44776.0</v>
      </c>
      <c r="C12248" s="3">
        <v>0.7802662037037037</v>
      </c>
      <c r="D12248" s="1">
        <v>12.879966</v>
      </c>
      <c r="E12248" s="1">
        <v>80.08063</v>
      </c>
      <c r="F12248" s="1">
        <v>3143.0</v>
      </c>
      <c r="G12248" s="1">
        <v>22.0</v>
      </c>
    </row>
    <row r="12249">
      <c r="A12249" s="1" t="s">
        <v>7</v>
      </c>
      <c r="B12249" s="2">
        <v>44777.0</v>
      </c>
      <c r="C12249" s="3">
        <v>0.26015046296296296</v>
      </c>
      <c r="D12249" s="1">
        <v>12.882704</v>
      </c>
      <c r="E12249" s="1">
        <v>80.081336</v>
      </c>
      <c r="F12249" s="1">
        <v>3143.0</v>
      </c>
      <c r="G12249" s="1">
        <v>56.0</v>
      </c>
    </row>
    <row r="12250">
      <c r="A12250" s="1" t="s">
        <v>7</v>
      </c>
      <c r="B12250" s="2">
        <v>44777.0</v>
      </c>
      <c r="C12250" s="3">
        <v>0.26028935185185187</v>
      </c>
      <c r="D12250" s="1">
        <v>12.883988</v>
      </c>
      <c r="E12250" s="1">
        <v>80.081824</v>
      </c>
      <c r="F12250" s="1">
        <v>3143.0</v>
      </c>
      <c r="G12250" s="1">
        <v>52.0</v>
      </c>
    </row>
    <row r="12251">
      <c r="A12251" s="1" t="s">
        <v>7</v>
      </c>
      <c r="B12251" s="2">
        <v>44777.0</v>
      </c>
      <c r="C12251" s="3">
        <v>0.2632291666666667</v>
      </c>
      <c r="D12251" s="1">
        <v>12.913294</v>
      </c>
      <c r="E12251" s="1">
        <v>80.074316</v>
      </c>
      <c r="F12251" s="1">
        <v>3143.0</v>
      </c>
      <c r="G12251" s="1">
        <v>59.0</v>
      </c>
    </row>
    <row r="12252">
      <c r="A12252" s="1" t="s">
        <v>7</v>
      </c>
      <c r="B12252" s="2">
        <v>44777.0</v>
      </c>
      <c r="C12252" s="3">
        <v>0.26364583333333336</v>
      </c>
      <c r="D12252" s="1">
        <v>12.91886</v>
      </c>
      <c r="E12252" s="1">
        <v>80.076115</v>
      </c>
      <c r="F12252" s="1">
        <v>3143.0</v>
      </c>
      <c r="G12252" s="1">
        <v>58.0</v>
      </c>
    </row>
    <row r="12253">
      <c r="A12253" s="1" t="s">
        <v>7</v>
      </c>
      <c r="B12253" s="2">
        <v>44777.0</v>
      </c>
      <c r="C12253" s="3">
        <v>0.2637731481481482</v>
      </c>
      <c r="D12253" s="1">
        <v>12.91886</v>
      </c>
      <c r="E12253" s="1">
        <v>80.076115</v>
      </c>
      <c r="F12253" s="1">
        <v>3143.0</v>
      </c>
      <c r="G12253" s="1">
        <v>58.0</v>
      </c>
    </row>
    <row r="12254">
      <c r="A12254" s="1" t="s">
        <v>7</v>
      </c>
      <c r="B12254" s="2">
        <v>44777.0</v>
      </c>
      <c r="C12254" s="3">
        <v>0.2670138888888889</v>
      </c>
      <c r="D12254" s="1">
        <v>12.932895</v>
      </c>
      <c r="E12254" s="1">
        <v>80.080876</v>
      </c>
      <c r="F12254" s="1">
        <v>3143.0</v>
      </c>
      <c r="G12254" s="1">
        <v>37.0</v>
      </c>
    </row>
    <row r="12255">
      <c r="A12255" s="1" t="s">
        <v>7</v>
      </c>
      <c r="B12255" s="2">
        <v>44777.0</v>
      </c>
      <c r="C12255" s="3">
        <v>0.26773148148148146</v>
      </c>
      <c r="D12255" s="1">
        <v>12.942055</v>
      </c>
      <c r="E12255" s="1">
        <v>80.084283</v>
      </c>
      <c r="F12255" s="1">
        <v>3143.0</v>
      </c>
      <c r="G12255" s="1">
        <v>58.0</v>
      </c>
    </row>
    <row r="12256">
      <c r="A12256" s="1" t="s">
        <v>7</v>
      </c>
      <c r="B12256" s="2">
        <v>44777.0</v>
      </c>
      <c r="C12256" s="3">
        <v>0.2680439814814815</v>
      </c>
      <c r="D12256" s="1">
        <v>12.944819</v>
      </c>
      <c r="E12256" s="1">
        <v>80.085351</v>
      </c>
      <c r="F12256" s="1">
        <v>3143.0</v>
      </c>
      <c r="G12256" s="1">
        <v>57.0</v>
      </c>
    </row>
    <row r="12257">
      <c r="A12257" s="1" t="s">
        <v>7</v>
      </c>
      <c r="B12257" s="2">
        <v>44777.0</v>
      </c>
      <c r="C12257" s="3">
        <v>0.26868055555555553</v>
      </c>
      <c r="D12257" s="1">
        <v>12.952947</v>
      </c>
      <c r="E12257" s="1">
        <v>80.088432</v>
      </c>
      <c r="F12257" s="1">
        <v>3143.0</v>
      </c>
      <c r="G12257" s="1">
        <v>55.0</v>
      </c>
    </row>
    <row r="12258">
      <c r="A12258" s="1" t="s">
        <v>7</v>
      </c>
      <c r="B12258" s="2">
        <v>44777.0</v>
      </c>
      <c r="C12258" s="3">
        <v>0.2713425925925926</v>
      </c>
      <c r="D12258" s="1">
        <v>12.98601</v>
      </c>
      <c r="E12258" s="1">
        <v>80.089269</v>
      </c>
      <c r="F12258" s="1">
        <v>3143.0</v>
      </c>
      <c r="G12258" s="1">
        <v>57.0</v>
      </c>
    </row>
    <row r="12259">
      <c r="A12259" s="1" t="s">
        <v>7</v>
      </c>
      <c r="B12259" s="2">
        <v>44777.0</v>
      </c>
      <c r="C12259" s="3">
        <v>0.2715856481481482</v>
      </c>
      <c r="D12259" s="1">
        <v>12.988927</v>
      </c>
      <c r="E12259" s="1">
        <v>80.089089</v>
      </c>
      <c r="F12259" s="1">
        <v>3143.0</v>
      </c>
      <c r="G12259" s="1">
        <v>58.0</v>
      </c>
    </row>
    <row r="12260">
      <c r="A12260" s="1" t="s">
        <v>7</v>
      </c>
      <c r="B12260" s="2">
        <v>44777.0</v>
      </c>
      <c r="C12260" s="3">
        <v>0.2721875</v>
      </c>
      <c r="D12260" s="1">
        <v>12.995896</v>
      </c>
      <c r="E12260" s="1">
        <v>80.087277</v>
      </c>
      <c r="F12260" s="1">
        <v>3143.0</v>
      </c>
      <c r="G12260" s="1">
        <v>58.0</v>
      </c>
    </row>
    <row r="12261">
      <c r="A12261" s="1" t="s">
        <v>7</v>
      </c>
      <c r="B12261" s="2">
        <v>44777.0</v>
      </c>
      <c r="C12261" s="3">
        <v>0.27324074074074073</v>
      </c>
      <c r="D12261" s="1">
        <v>13.008381</v>
      </c>
      <c r="E12261" s="1">
        <v>80.091544</v>
      </c>
      <c r="F12261" s="1">
        <v>3143.0</v>
      </c>
      <c r="G12261" s="1">
        <v>59.0</v>
      </c>
    </row>
    <row r="12262">
      <c r="A12262" s="1" t="s">
        <v>7</v>
      </c>
      <c r="B12262" s="2">
        <v>44777.0</v>
      </c>
      <c r="C12262" s="3">
        <v>0.2758333333333333</v>
      </c>
      <c r="D12262" s="1">
        <v>13.040047</v>
      </c>
      <c r="E12262" s="1">
        <v>80.086552</v>
      </c>
      <c r="F12262" s="1">
        <v>3143.0</v>
      </c>
      <c r="G12262" s="1">
        <v>58.0</v>
      </c>
    </row>
    <row r="12263">
      <c r="A12263" s="1" t="s">
        <v>7</v>
      </c>
      <c r="B12263" s="2">
        <v>44777.0</v>
      </c>
      <c r="C12263" s="3">
        <v>0.2760532407407407</v>
      </c>
      <c r="D12263" s="1">
        <v>13.041444</v>
      </c>
      <c r="E12263" s="1">
        <v>80.08616</v>
      </c>
      <c r="F12263" s="1">
        <v>3143.0</v>
      </c>
      <c r="G12263" s="1">
        <v>57.0</v>
      </c>
    </row>
    <row r="12264">
      <c r="A12264" s="1" t="s">
        <v>7</v>
      </c>
      <c r="B12264" s="2">
        <v>44777.0</v>
      </c>
      <c r="C12264" s="3">
        <v>0.2761458333333333</v>
      </c>
      <c r="D12264" s="1">
        <v>13.042861</v>
      </c>
      <c r="E12264" s="1">
        <v>80.085766</v>
      </c>
      <c r="F12264" s="1">
        <v>3143.0</v>
      </c>
      <c r="G12264" s="1">
        <v>58.0</v>
      </c>
    </row>
    <row r="12265">
      <c r="A12265" s="1" t="s">
        <v>7</v>
      </c>
      <c r="B12265" s="2">
        <v>44777.0</v>
      </c>
      <c r="C12265" s="3">
        <v>0.2785648148148148</v>
      </c>
      <c r="D12265" s="1">
        <v>13.056124</v>
      </c>
      <c r="E12265" s="1">
        <v>80.094338</v>
      </c>
      <c r="F12265" s="1">
        <v>3143.0</v>
      </c>
      <c r="G12265" s="1">
        <v>57.0</v>
      </c>
    </row>
    <row r="12266">
      <c r="A12266" s="1" t="s">
        <v>8</v>
      </c>
      <c r="B12266" s="2">
        <v>44777.0</v>
      </c>
      <c r="C12266" s="3">
        <v>0.2793865740740741</v>
      </c>
      <c r="D12266" s="1">
        <v>13.056546</v>
      </c>
      <c r="E12266" s="1">
        <v>80.097259</v>
      </c>
      <c r="F12266" s="1">
        <v>3143.0</v>
      </c>
      <c r="G12266" s="1">
        <v>13.0</v>
      </c>
    </row>
    <row r="12267">
      <c r="A12267" s="1" t="s">
        <v>8</v>
      </c>
      <c r="B12267" s="2">
        <v>44777.0</v>
      </c>
      <c r="C12267" s="3">
        <v>0.2793865740740741</v>
      </c>
      <c r="D12267" s="1">
        <v>13.056546</v>
      </c>
      <c r="E12267" s="1">
        <v>80.097259</v>
      </c>
      <c r="F12267" s="1">
        <v>3143.0</v>
      </c>
      <c r="G12267" s="1">
        <v>13.0</v>
      </c>
    </row>
    <row r="12268">
      <c r="A12268" s="1" t="s">
        <v>8</v>
      </c>
      <c r="B12268" s="2">
        <v>44777.0</v>
      </c>
      <c r="C12268" s="3">
        <v>0.2793981481481482</v>
      </c>
      <c r="D12268" s="1">
        <v>13.056546</v>
      </c>
      <c r="E12268" s="1">
        <v>80.097259</v>
      </c>
      <c r="F12268" s="1">
        <v>3143.0</v>
      </c>
      <c r="G12268" s="1">
        <v>13.0</v>
      </c>
    </row>
    <row r="12269">
      <c r="A12269" s="1" t="s">
        <v>7</v>
      </c>
      <c r="B12269" s="2">
        <v>44777.0</v>
      </c>
      <c r="C12269" s="3">
        <v>0.2796180555555556</v>
      </c>
      <c r="D12269" s="1">
        <v>13.056707</v>
      </c>
      <c r="E12269" s="1">
        <v>80.09813</v>
      </c>
      <c r="F12269" s="1">
        <v>3143.0</v>
      </c>
      <c r="G12269" s="1">
        <v>32.0</v>
      </c>
    </row>
    <row r="12270">
      <c r="A12270" s="1" t="s">
        <v>8</v>
      </c>
      <c r="B12270" s="2">
        <v>44777.0</v>
      </c>
      <c r="C12270" s="3">
        <v>0.27966435185185184</v>
      </c>
      <c r="D12270" s="1">
        <v>13.057145</v>
      </c>
      <c r="E12270" s="1">
        <v>80.099983</v>
      </c>
      <c r="F12270" s="1">
        <v>3143.0</v>
      </c>
      <c r="G12270" s="1">
        <v>51.0</v>
      </c>
    </row>
    <row r="12271">
      <c r="A12271" s="1" t="s">
        <v>7</v>
      </c>
      <c r="B12271" s="2">
        <v>44777.0</v>
      </c>
      <c r="C12271" s="3">
        <v>0.27989583333333334</v>
      </c>
      <c r="D12271" s="1">
        <v>13.057409</v>
      </c>
      <c r="E12271" s="1">
        <v>80.101935</v>
      </c>
      <c r="F12271" s="1">
        <v>3143.0</v>
      </c>
      <c r="G12271" s="1">
        <v>49.0</v>
      </c>
    </row>
    <row r="12272">
      <c r="A12272" s="1" t="s">
        <v>7</v>
      </c>
      <c r="B12272" s="2">
        <v>44777.0</v>
      </c>
      <c r="C12272" s="3">
        <v>0.2870138888888889</v>
      </c>
      <c r="D12272" s="1">
        <v>12.442142</v>
      </c>
      <c r="E12272" s="1">
        <v>79.83678</v>
      </c>
      <c r="F12272" s="1">
        <v>2846.0</v>
      </c>
      <c r="G12272" s="1">
        <v>55.0</v>
      </c>
    </row>
    <row r="12273">
      <c r="A12273" s="1" t="s">
        <v>7</v>
      </c>
      <c r="B12273" s="2">
        <v>44777.0</v>
      </c>
      <c r="C12273" s="3">
        <v>0.2874305555555556</v>
      </c>
      <c r="D12273" s="1">
        <v>12.449005</v>
      </c>
      <c r="E12273" s="1">
        <v>79.839255</v>
      </c>
      <c r="F12273" s="1">
        <v>2846.0</v>
      </c>
      <c r="G12273" s="1">
        <v>57.0</v>
      </c>
    </row>
    <row r="12274">
      <c r="A12274" s="1" t="s">
        <v>7</v>
      </c>
      <c r="B12274" s="2">
        <v>44777.0</v>
      </c>
      <c r="C12274" s="3">
        <v>0.2881944444444444</v>
      </c>
      <c r="D12274" s="1">
        <v>12.455447</v>
      </c>
      <c r="E12274" s="1">
        <v>79.842642</v>
      </c>
      <c r="F12274" s="1">
        <v>2846.0</v>
      </c>
      <c r="G12274" s="1">
        <v>58.0</v>
      </c>
    </row>
    <row r="12275">
      <c r="A12275" s="1" t="s">
        <v>8</v>
      </c>
      <c r="B12275" s="2">
        <v>44777.0</v>
      </c>
      <c r="C12275" s="3">
        <v>0.2883101851851852</v>
      </c>
      <c r="D12275" s="1">
        <v>12.461451</v>
      </c>
      <c r="E12275" s="1">
        <v>79.846884</v>
      </c>
      <c r="F12275" s="1">
        <v>2846.0</v>
      </c>
      <c r="G12275" s="1">
        <v>58.0</v>
      </c>
    </row>
    <row r="12276">
      <c r="A12276" s="1" t="s">
        <v>8</v>
      </c>
      <c r="B12276" s="2">
        <v>44777.0</v>
      </c>
      <c r="C12276" s="3">
        <v>0.29033564814814816</v>
      </c>
      <c r="D12276" s="1">
        <v>12.472627</v>
      </c>
      <c r="E12276" s="1">
        <v>79.855262</v>
      </c>
      <c r="F12276" s="1">
        <v>2846.0</v>
      </c>
      <c r="G12276" s="1">
        <v>51.0</v>
      </c>
    </row>
    <row r="12277">
      <c r="A12277" s="1" t="s">
        <v>8</v>
      </c>
      <c r="B12277" s="2">
        <v>44777.0</v>
      </c>
      <c r="C12277" s="3">
        <v>0.29072916666666665</v>
      </c>
      <c r="D12277" s="1">
        <v>12.484454</v>
      </c>
      <c r="E12277" s="1">
        <v>79.862988</v>
      </c>
      <c r="F12277" s="1">
        <v>2846.0</v>
      </c>
      <c r="G12277" s="1">
        <v>58.0</v>
      </c>
    </row>
    <row r="12278">
      <c r="A12278" s="1" t="s">
        <v>8</v>
      </c>
      <c r="B12278" s="2">
        <v>44777.0</v>
      </c>
      <c r="C12278" s="3">
        <v>0.290787037037037</v>
      </c>
      <c r="D12278" s="1">
        <v>12.485621</v>
      </c>
      <c r="E12278" s="1">
        <v>79.863857</v>
      </c>
      <c r="F12278" s="1">
        <v>2846.0</v>
      </c>
      <c r="G12278" s="1">
        <v>56.0</v>
      </c>
    </row>
    <row r="12279">
      <c r="A12279" s="1" t="s">
        <v>7</v>
      </c>
      <c r="B12279" s="2">
        <v>44777.0</v>
      </c>
      <c r="C12279" s="3">
        <v>0.2910185185185185</v>
      </c>
      <c r="D12279" s="1">
        <v>12.487584</v>
      </c>
      <c r="E12279" s="1">
        <v>79.865145</v>
      </c>
      <c r="F12279" s="1">
        <v>2846.0</v>
      </c>
      <c r="G12279" s="1">
        <v>51.0</v>
      </c>
    </row>
    <row r="12280">
      <c r="A12280" s="1" t="s">
        <v>7</v>
      </c>
      <c r="B12280" s="2">
        <v>44777.0</v>
      </c>
      <c r="C12280" s="3">
        <v>0.2916782407407407</v>
      </c>
      <c r="D12280" s="1">
        <v>12.490002</v>
      </c>
      <c r="E12280" s="1">
        <v>79.866759</v>
      </c>
      <c r="F12280" s="1">
        <v>2846.0</v>
      </c>
      <c r="G12280" s="1">
        <v>58.0</v>
      </c>
    </row>
    <row r="12281">
      <c r="A12281" s="1" t="s">
        <v>7</v>
      </c>
      <c r="B12281" s="2">
        <v>44777.0</v>
      </c>
      <c r="C12281" s="3">
        <v>0.291875</v>
      </c>
      <c r="D12281" s="1">
        <v>12.495527</v>
      </c>
      <c r="E12281" s="1">
        <v>79.87157</v>
      </c>
      <c r="F12281" s="1">
        <v>2846.0</v>
      </c>
      <c r="G12281" s="1">
        <v>52.0</v>
      </c>
    </row>
    <row r="12282">
      <c r="A12282" s="1" t="s">
        <v>7</v>
      </c>
      <c r="B12282" s="2">
        <v>44777.0</v>
      </c>
      <c r="C12282" s="3">
        <v>0.29332175925925924</v>
      </c>
      <c r="D12282" s="1">
        <v>12.507777</v>
      </c>
      <c r="E12282" s="1">
        <v>79.881295</v>
      </c>
      <c r="F12282" s="1">
        <v>2846.0</v>
      </c>
      <c r="G12282" s="1">
        <v>58.0</v>
      </c>
    </row>
    <row r="12283">
      <c r="A12283" s="1" t="s">
        <v>7</v>
      </c>
      <c r="B12283" s="2">
        <v>44777.0</v>
      </c>
      <c r="C12283" s="3">
        <v>0.29368055555555556</v>
      </c>
      <c r="D12283" s="1">
        <v>12.514082</v>
      </c>
      <c r="E12283" s="1">
        <v>79.884531</v>
      </c>
      <c r="F12283" s="1">
        <v>2846.0</v>
      </c>
      <c r="G12283" s="1">
        <v>52.0</v>
      </c>
    </row>
    <row r="12284">
      <c r="A12284" s="1" t="s">
        <v>7</v>
      </c>
      <c r="B12284" s="2">
        <v>44777.0</v>
      </c>
      <c r="C12284" s="3">
        <v>0.2945949074074074</v>
      </c>
      <c r="D12284" s="1">
        <v>12.518531</v>
      </c>
      <c r="E12284" s="1">
        <v>79.888932</v>
      </c>
      <c r="F12284" s="1">
        <v>2846.0</v>
      </c>
      <c r="G12284" s="1">
        <v>53.0</v>
      </c>
    </row>
    <row r="12285">
      <c r="A12285" s="1" t="s">
        <v>9</v>
      </c>
      <c r="B12285" s="2">
        <v>44777.0</v>
      </c>
      <c r="C12285" s="3">
        <v>0.29474537037037035</v>
      </c>
      <c r="D12285" s="1">
        <v>12.51457</v>
      </c>
      <c r="E12285" s="1">
        <v>79.888332</v>
      </c>
      <c r="F12285" s="1">
        <v>2846.0</v>
      </c>
      <c r="G12285" s="1">
        <v>56.0</v>
      </c>
    </row>
    <row r="12286">
      <c r="A12286" s="1" t="s">
        <v>9</v>
      </c>
      <c r="B12286" s="2">
        <v>44777.0</v>
      </c>
      <c r="C12286" s="3">
        <v>0.2949537037037037</v>
      </c>
      <c r="D12286" s="1">
        <v>12.51457</v>
      </c>
      <c r="E12286" s="1">
        <v>79.888332</v>
      </c>
      <c r="F12286" s="1">
        <v>2846.0</v>
      </c>
      <c r="G12286" s="1">
        <v>56.0</v>
      </c>
    </row>
    <row r="12287">
      <c r="A12287" s="1" t="s">
        <v>10</v>
      </c>
      <c r="B12287" s="2">
        <v>44777.0</v>
      </c>
      <c r="C12287" s="3">
        <v>0.2958912037037037</v>
      </c>
      <c r="D12287" s="1">
        <v>13.0633</v>
      </c>
      <c r="E12287" s="1">
        <v>80.247702</v>
      </c>
      <c r="F12287" s="1">
        <v>5339.0</v>
      </c>
      <c r="G12287" s="1">
        <v>27.0</v>
      </c>
    </row>
    <row r="12288">
      <c r="A12288" s="1" t="s">
        <v>8</v>
      </c>
      <c r="B12288" s="2">
        <v>44777.0</v>
      </c>
      <c r="C12288" s="3">
        <v>0.29667824074074073</v>
      </c>
      <c r="D12288" s="1">
        <v>13.061694</v>
      </c>
      <c r="E12288" s="1">
        <v>80.247544</v>
      </c>
      <c r="F12288" s="1">
        <v>805.0</v>
      </c>
      <c r="G12288" s="1">
        <v>35.0</v>
      </c>
    </row>
    <row r="12289">
      <c r="A12289" s="1" t="s">
        <v>8</v>
      </c>
      <c r="B12289" s="2">
        <v>44777.0</v>
      </c>
      <c r="C12289" s="3">
        <v>0.29802083333333335</v>
      </c>
      <c r="D12289" s="1">
        <v>13.066331</v>
      </c>
      <c r="E12289" s="1">
        <v>80.244932</v>
      </c>
      <c r="F12289" s="1">
        <v>5339.0</v>
      </c>
      <c r="G12289" s="1">
        <v>36.0</v>
      </c>
    </row>
    <row r="12290">
      <c r="A12290" s="1" t="s">
        <v>8</v>
      </c>
      <c r="B12290" s="2">
        <v>44777.0</v>
      </c>
      <c r="C12290" s="3">
        <v>0.29814814814814816</v>
      </c>
      <c r="D12290" s="1">
        <v>13.066909</v>
      </c>
      <c r="E12290" s="1">
        <v>80.246104</v>
      </c>
      <c r="F12290" s="1">
        <v>805.0</v>
      </c>
      <c r="G12290" s="1">
        <v>35.0</v>
      </c>
    </row>
    <row r="12291">
      <c r="A12291" s="1" t="s">
        <v>10</v>
      </c>
      <c r="B12291" s="2">
        <v>44777.0</v>
      </c>
      <c r="C12291" s="3">
        <v>0.29863425925925924</v>
      </c>
      <c r="D12291" s="1">
        <v>13.044393</v>
      </c>
      <c r="E12291" s="1">
        <v>80.115568</v>
      </c>
      <c r="F12291" s="1">
        <v>3143.0</v>
      </c>
      <c r="G12291" s="1">
        <v>18.0</v>
      </c>
    </row>
    <row r="12292">
      <c r="A12292" s="1" t="s">
        <v>7</v>
      </c>
      <c r="B12292" s="2">
        <v>44777.0</v>
      </c>
      <c r="C12292" s="3">
        <v>0.29922453703703705</v>
      </c>
      <c r="D12292" s="1">
        <v>12.51852</v>
      </c>
      <c r="E12292" s="1">
        <v>79.88833</v>
      </c>
      <c r="F12292" s="1">
        <v>2846.0</v>
      </c>
      <c r="G12292" s="1">
        <v>60.0</v>
      </c>
    </row>
    <row r="12293">
      <c r="A12293" s="1" t="s">
        <v>7</v>
      </c>
      <c r="B12293" s="2">
        <v>44777.0</v>
      </c>
      <c r="C12293" s="3">
        <v>0.2992708333333333</v>
      </c>
      <c r="D12293" s="1">
        <v>12.51852</v>
      </c>
      <c r="E12293" s="1">
        <v>79.88833</v>
      </c>
      <c r="F12293" s="1">
        <v>2846.0</v>
      </c>
      <c r="G12293" s="1">
        <v>60.0</v>
      </c>
    </row>
    <row r="12294">
      <c r="A12294" s="1" t="s">
        <v>10</v>
      </c>
      <c r="B12294" s="2">
        <v>44777.0</v>
      </c>
      <c r="C12294" s="3">
        <v>0.2998958333333333</v>
      </c>
      <c r="D12294" s="1">
        <v>13.067491</v>
      </c>
      <c r="E12294" s="1">
        <v>80.25485</v>
      </c>
      <c r="F12294" s="1">
        <v>805.0</v>
      </c>
      <c r="G12294" s="1">
        <v>33.0</v>
      </c>
    </row>
    <row r="12295">
      <c r="A12295" s="1" t="s">
        <v>8</v>
      </c>
      <c r="B12295" s="2">
        <v>44777.0</v>
      </c>
      <c r="C12295" s="3">
        <v>0.30119212962962966</v>
      </c>
      <c r="D12295" s="1">
        <v>13.073142</v>
      </c>
      <c r="E12295" s="1">
        <v>80.261586</v>
      </c>
      <c r="F12295" s="1">
        <v>5339.0</v>
      </c>
      <c r="G12295" s="1">
        <v>25.0</v>
      </c>
    </row>
    <row r="12296">
      <c r="A12296" s="1" t="s">
        <v>8</v>
      </c>
      <c r="B12296" s="2">
        <v>44777.0</v>
      </c>
      <c r="C12296" s="3">
        <v>0.3013078703703704</v>
      </c>
      <c r="D12296" s="1">
        <v>13.072912</v>
      </c>
      <c r="E12296" s="1">
        <v>80.262257</v>
      </c>
      <c r="F12296" s="1">
        <v>5339.0</v>
      </c>
      <c r="G12296" s="1">
        <v>27.0</v>
      </c>
    </row>
    <row r="12297">
      <c r="A12297" s="1" t="s">
        <v>8</v>
      </c>
      <c r="B12297" s="2">
        <v>44777.0</v>
      </c>
      <c r="C12297" s="3">
        <v>0.3013194444444444</v>
      </c>
      <c r="D12297" s="1">
        <v>13.072912</v>
      </c>
      <c r="E12297" s="1">
        <v>80.262257</v>
      </c>
      <c r="F12297" s="1">
        <v>5339.0</v>
      </c>
      <c r="G12297" s="1">
        <v>27.0</v>
      </c>
    </row>
    <row r="12298">
      <c r="A12298" s="1" t="s">
        <v>8</v>
      </c>
      <c r="B12298" s="2">
        <v>44777.0</v>
      </c>
      <c r="C12298" s="3">
        <v>0.3013194444444444</v>
      </c>
      <c r="D12298" s="1">
        <v>13.072912</v>
      </c>
      <c r="E12298" s="1">
        <v>80.262257</v>
      </c>
      <c r="F12298" s="1">
        <v>5339.0</v>
      </c>
      <c r="G12298" s="1">
        <v>27.0</v>
      </c>
    </row>
    <row r="12299">
      <c r="A12299" s="1" t="s">
        <v>8</v>
      </c>
      <c r="B12299" s="2">
        <v>44777.0</v>
      </c>
      <c r="C12299" s="3">
        <v>0.30135416666666665</v>
      </c>
      <c r="D12299" s="1">
        <v>13.072912</v>
      </c>
      <c r="E12299" s="1">
        <v>80.262257</v>
      </c>
      <c r="F12299" s="1">
        <v>5339.0</v>
      </c>
      <c r="G12299" s="1">
        <v>27.0</v>
      </c>
    </row>
    <row r="12300">
      <c r="A12300" s="1" t="s">
        <v>7</v>
      </c>
      <c r="B12300" s="2">
        <v>44777.0</v>
      </c>
      <c r="C12300" s="3">
        <v>0.3018287037037037</v>
      </c>
      <c r="D12300" s="1">
        <v>13.062426</v>
      </c>
      <c r="E12300" s="1">
        <v>80.26327</v>
      </c>
      <c r="F12300" s="1">
        <v>805.0</v>
      </c>
      <c r="G12300" s="1">
        <v>31.0</v>
      </c>
    </row>
    <row r="12301">
      <c r="A12301" s="1" t="s">
        <v>8</v>
      </c>
      <c r="B12301" s="2">
        <v>44777.0</v>
      </c>
      <c r="C12301" s="3">
        <v>0.3020833333333333</v>
      </c>
      <c r="D12301" s="1">
        <v>13.064968</v>
      </c>
      <c r="E12301" s="1">
        <v>80.26644</v>
      </c>
      <c r="F12301" s="1">
        <v>805.0</v>
      </c>
      <c r="G12301" s="1">
        <v>45.0</v>
      </c>
    </row>
    <row r="12302">
      <c r="A12302" s="1" t="s">
        <v>10</v>
      </c>
      <c r="B12302" s="2">
        <v>44777.0</v>
      </c>
      <c r="C12302" s="3">
        <v>0.3032638888888889</v>
      </c>
      <c r="D12302" s="1">
        <v>13.03413</v>
      </c>
      <c r="E12302" s="1">
        <v>80.111697</v>
      </c>
      <c r="F12302" s="1">
        <v>3143.0</v>
      </c>
      <c r="G12302" s="1">
        <v>39.0</v>
      </c>
    </row>
    <row r="12303">
      <c r="A12303" s="1" t="s">
        <v>10</v>
      </c>
      <c r="B12303" s="2">
        <v>44777.0</v>
      </c>
      <c r="C12303" s="3">
        <v>0.30417824074074074</v>
      </c>
      <c r="D12303" s="1">
        <v>13.063038</v>
      </c>
      <c r="E12303" s="1">
        <v>80.267276</v>
      </c>
      <c r="F12303" s="1">
        <v>805.0</v>
      </c>
      <c r="G12303" s="1">
        <v>0.0</v>
      </c>
    </row>
    <row r="12304">
      <c r="A12304" s="1" t="s">
        <v>8</v>
      </c>
      <c r="B12304" s="2">
        <v>44777.0</v>
      </c>
      <c r="C12304" s="3">
        <v>0.30462962962962964</v>
      </c>
      <c r="D12304" s="1">
        <v>13.064984</v>
      </c>
      <c r="E12304" s="1">
        <v>80.267638</v>
      </c>
      <c r="F12304" s="1">
        <v>805.0</v>
      </c>
      <c r="G12304" s="1">
        <v>31.0</v>
      </c>
    </row>
    <row r="12305">
      <c r="A12305" s="1" t="s">
        <v>10</v>
      </c>
      <c r="B12305" s="2">
        <v>44777.0</v>
      </c>
      <c r="C12305" s="3">
        <v>0.3059027777777778</v>
      </c>
      <c r="D12305" s="1">
        <v>13.060798</v>
      </c>
      <c r="E12305" s="1">
        <v>80.27435</v>
      </c>
      <c r="F12305" s="1">
        <v>5339.0</v>
      </c>
      <c r="G12305" s="1">
        <v>19.0</v>
      </c>
    </row>
    <row r="12306">
      <c r="A12306" s="1" t="s">
        <v>10</v>
      </c>
      <c r="B12306" s="2">
        <v>44777.0</v>
      </c>
      <c r="C12306" s="3">
        <v>0.3073263888888889</v>
      </c>
      <c r="D12306" s="1">
        <v>13.055004</v>
      </c>
      <c r="E12306" s="1">
        <v>80.273788</v>
      </c>
      <c r="F12306" s="1">
        <v>5339.0</v>
      </c>
      <c r="G12306" s="1">
        <v>16.0</v>
      </c>
    </row>
    <row r="12307">
      <c r="A12307" s="1" t="s">
        <v>10</v>
      </c>
      <c r="B12307" s="2">
        <v>44777.0</v>
      </c>
      <c r="C12307" s="3">
        <v>0.30833333333333335</v>
      </c>
      <c r="D12307" s="1">
        <v>13.052919</v>
      </c>
      <c r="E12307" s="1">
        <v>80.273463</v>
      </c>
      <c r="F12307" s="1">
        <v>5339.0</v>
      </c>
      <c r="G12307" s="1">
        <v>14.0</v>
      </c>
    </row>
    <row r="12308">
      <c r="A12308" s="1" t="s">
        <v>8</v>
      </c>
      <c r="B12308" s="2">
        <v>44777.0</v>
      </c>
      <c r="C12308" s="3">
        <v>0.3086574074074074</v>
      </c>
      <c r="D12308" s="1">
        <v>13.002352</v>
      </c>
      <c r="E12308" s="1">
        <v>80.098569</v>
      </c>
      <c r="F12308" s="1">
        <v>3143.0</v>
      </c>
      <c r="G12308" s="1">
        <v>41.0</v>
      </c>
    </row>
    <row r="12309">
      <c r="A12309" s="1" t="s">
        <v>10</v>
      </c>
      <c r="B12309" s="2">
        <v>44777.0</v>
      </c>
      <c r="C12309" s="3">
        <v>0.30909722222222225</v>
      </c>
      <c r="D12309" s="1">
        <v>13.05332</v>
      </c>
      <c r="E12309" s="1">
        <v>80.27101</v>
      </c>
      <c r="F12309" s="1">
        <v>5339.0</v>
      </c>
      <c r="G12309" s="1">
        <v>27.0</v>
      </c>
    </row>
    <row r="12310">
      <c r="A12310" s="1" t="s">
        <v>10</v>
      </c>
      <c r="B12310" s="2">
        <v>44777.0</v>
      </c>
      <c r="C12310" s="3">
        <v>0.3091203703703704</v>
      </c>
      <c r="D12310" s="1">
        <v>13.051812</v>
      </c>
      <c r="E12310" s="1">
        <v>80.263961</v>
      </c>
      <c r="F12310" s="1">
        <v>805.0</v>
      </c>
      <c r="G12310" s="1">
        <v>25.0</v>
      </c>
    </row>
    <row r="12311">
      <c r="A12311" s="1" t="s">
        <v>10</v>
      </c>
      <c r="B12311" s="2">
        <v>44777.0</v>
      </c>
      <c r="C12311" s="3">
        <v>0.30930555555555556</v>
      </c>
      <c r="D12311" s="1">
        <v>13.053419</v>
      </c>
      <c r="E12311" s="1">
        <v>80.269768</v>
      </c>
      <c r="F12311" s="1">
        <v>5339.0</v>
      </c>
      <c r="G12311" s="1">
        <v>22.0</v>
      </c>
    </row>
    <row r="12312">
      <c r="A12312" s="1" t="s">
        <v>10</v>
      </c>
      <c r="B12312" s="2">
        <v>44777.0</v>
      </c>
      <c r="C12312" s="3">
        <v>0.3095486111111111</v>
      </c>
      <c r="D12312" s="1">
        <v>13.049074</v>
      </c>
      <c r="E12312" s="1">
        <v>80.264735</v>
      </c>
      <c r="F12312" s="1">
        <v>805.0</v>
      </c>
      <c r="G12312" s="1">
        <v>36.0</v>
      </c>
    </row>
    <row r="12313">
      <c r="A12313" s="1" t="s">
        <v>10</v>
      </c>
      <c r="B12313" s="2">
        <v>44777.0</v>
      </c>
      <c r="C12313" s="3">
        <v>0.31006944444444445</v>
      </c>
      <c r="D12313" s="1">
        <v>13.053584</v>
      </c>
      <c r="E12313" s="1">
        <v>80.267783</v>
      </c>
      <c r="F12313" s="1">
        <v>5339.0</v>
      </c>
      <c r="G12313" s="1">
        <v>28.0</v>
      </c>
    </row>
    <row r="12314">
      <c r="A12314" s="1" t="s">
        <v>10</v>
      </c>
      <c r="B12314" s="2">
        <v>44777.0</v>
      </c>
      <c r="C12314" s="3">
        <v>0.31126157407407407</v>
      </c>
      <c r="D12314" s="1">
        <v>12.997659</v>
      </c>
      <c r="E12314" s="1">
        <v>80.105229</v>
      </c>
      <c r="F12314" s="1">
        <v>3143.0</v>
      </c>
      <c r="G12314" s="1">
        <v>46.0</v>
      </c>
    </row>
    <row r="12315">
      <c r="A12315" s="1" t="s">
        <v>9</v>
      </c>
      <c r="B12315" s="2">
        <v>44777.0</v>
      </c>
      <c r="C12315" s="3">
        <v>0.31159722222222225</v>
      </c>
      <c r="D12315" s="1">
        <v>12.996479</v>
      </c>
      <c r="E12315" s="1">
        <v>80.108591</v>
      </c>
      <c r="F12315" s="1">
        <v>3143.0</v>
      </c>
      <c r="G12315" s="1">
        <v>48.0</v>
      </c>
    </row>
    <row r="12316">
      <c r="A12316" s="1" t="s">
        <v>8</v>
      </c>
      <c r="B12316" s="2">
        <v>44777.0</v>
      </c>
      <c r="C12316" s="3">
        <v>0.31189814814814815</v>
      </c>
      <c r="D12316" s="1">
        <v>12.995928</v>
      </c>
      <c r="E12316" s="1">
        <v>80.110223</v>
      </c>
      <c r="F12316" s="1">
        <v>3143.0</v>
      </c>
      <c r="G12316" s="1">
        <v>27.0</v>
      </c>
    </row>
    <row r="12317">
      <c r="A12317" s="1" t="s">
        <v>8</v>
      </c>
      <c r="B12317" s="2">
        <v>44777.0</v>
      </c>
      <c r="C12317" s="3">
        <v>0.3124074074074074</v>
      </c>
      <c r="D12317" s="1">
        <v>13.053873</v>
      </c>
      <c r="E12317" s="1">
        <v>80.253156</v>
      </c>
      <c r="F12317" s="1">
        <v>5339.0</v>
      </c>
      <c r="G12317" s="1">
        <v>38.0</v>
      </c>
    </row>
    <row r="12318">
      <c r="A12318" s="1" t="s">
        <v>8</v>
      </c>
      <c r="B12318" s="2">
        <v>44777.0</v>
      </c>
      <c r="C12318" s="3">
        <v>0.31244212962962964</v>
      </c>
      <c r="D12318" s="1">
        <v>12.993095</v>
      </c>
      <c r="E12318" s="1">
        <v>80.113859</v>
      </c>
      <c r="F12318" s="1">
        <v>3143.0</v>
      </c>
      <c r="G12318" s="1">
        <v>38.0</v>
      </c>
    </row>
    <row r="12319">
      <c r="A12319" s="1" t="s">
        <v>7</v>
      </c>
      <c r="B12319" s="2">
        <v>44777.0</v>
      </c>
      <c r="C12319" s="3">
        <v>0.31288194444444445</v>
      </c>
      <c r="D12319" s="1">
        <v>12.658101</v>
      </c>
      <c r="E12319" s="1">
        <v>79.942026</v>
      </c>
      <c r="F12319" s="1">
        <v>2846.0</v>
      </c>
      <c r="G12319" s="1">
        <v>58.0</v>
      </c>
    </row>
    <row r="12320">
      <c r="A12320" s="1" t="s">
        <v>7</v>
      </c>
      <c r="B12320" s="2">
        <v>44777.0</v>
      </c>
      <c r="C12320" s="3">
        <v>0.3129166666666667</v>
      </c>
      <c r="D12320" s="1">
        <v>13.050428</v>
      </c>
      <c r="E12320" s="1">
        <v>80.249972</v>
      </c>
      <c r="F12320" s="1">
        <v>5339.0</v>
      </c>
      <c r="G12320" s="1">
        <v>53.0</v>
      </c>
    </row>
    <row r="12321">
      <c r="A12321" s="1" t="s">
        <v>7</v>
      </c>
      <c r="B12321" s="2">
        <v>44777.0</v>
      </c>
      <c r="C12321" s="3">
        <v>0.3129282407407407</v>
      </c>
      <c r="D12321" s="1">
        <v>12.658101</v>
      </c>
      <c r="E12321" s="1">
        <v>79.942026</v>
      </c>
      <c r="F12321" s="1">
        <v>2846.0</v>
      </c>
      <c r="G12321" s="1">
        <v>58.0</v>
      </c>
    </row>
    <row r="12322">
      <c r="A12322" s="1" t="s">
        <v>8</v>
      </c>
      <c r="B12322" s="2">
        <v>44777.0</v>
      </c>
      <c r="C12322" s="3">
        <v>0.3131597222222222</v>
      </c>
      <c r="D12322" s="1">
        <v>12.65779</v>
      </c>
      <c r="E12322" s="1">
        <v>79.94607</v>
      </c>
      <c r="F12322" s="1">
        <v>2846.0</v>
      </c>
      <c r="G12322" s="1">
        <v>45.0</v>
      </c>
    </row>
    <row r="12323">
      <c r="A12323" s="1" t="s">
        <v>7</v>
      </c>
      <c r="B12323" s="2">
        <v>44777.0</v>
      </c>
      <c r="C12323" s="3">
        <v>0.3134953703703704</v>
      </c>
      <c r="D12323" s="1">
        <v>13.045614</v>
      </c>
      <c r="E12323" s="1">
        <v>80.248228</v>
      </c>
      <c r="F12323" s="1">
        <v>5339.0</v>
      </c>
      <c r="G12323" s="1">
        <v>53.0</v>
      </c>
    </row>
    <row r="12324">
      <c r="A12324" s="1" t="s">
        <v>7</v>
      </c>
      <c r="B12324" s="2">
        <v>44777.0</v>
      </c>
      <c r="C12324" s="3">
        <v>0.31375</v>
      </c>
      <c r="D12324" s="1">
        <v>13.041553</v>
      </c>
      <c r="E12324" s="1">
        <v>80.247452</v>
      </c>
      <c r="F12324" s="1">
        <v>5339.0</v>
      </c>
      <c r="G12324" s="1">
        <v>54.0</v>
      </c>
    </row>
    <row r="12325">
      <c r="A12325" s="1" t="s">
        <v>7</v>
      </c>
      <c r="B12325" s="2">
        <v>44777.0</v>
      </c>
      <c r="C12325" s="3">
        <v>0.3137847222222222</v>
      </c>
      <c r="D12325" s="1">
        <v>12.656009</v>
      </c>
      <c r="E12325" s="1">
        <v>79.953259</v>
      </c>
      <c r="F12325" s="1">
        <v>2846.0</v>
      </c>
      <c r="G12325" s="1">
        <v>57.0</v>
      </c>
    </row>
    <row r="12326">
      <c r="A12326" s="1" t="s">
        <v>10</v>
      </c>
      <c r="B12326" s="2">
        <v>44777.0</v>
      </c>
      <c r="C12326" s="3">
        <v>0.3145833333333333</v>
      </c>
      <c r="D12326" s="1">
        <v>12.98479</v>
      </c>
      <c r="E12326" s="1">
        <v>80.122064</v>
      </c>
      <c r="F12326" s="1">
        <v>3143.0</v>
      </c>
      <c r="G12326" s="1">
        <v>13.0</v>
      </c>
    </row>
    <row r="12327">
      <c r="A12327" s="1" t="s">
        <v>7</v>
      </c>
      <c r="B12327" s="2">
        <v>44777.0</v>
      </c>
      <c r="C12327" s="3">
        <v>0.31484953703703705</v>
      </c>
      <c r="D12327" s="1">
        <v>12.658847</v>
      </c>
      <c r="E12327" s="1">
        <v>79.959771</v>
      </c>
      <c r="F12327" s="1">
        <v>2846.0</v>
      </c>
      <c r="G12327" s="1">
        <v>15.0</v>
      </c>
    </row>
    <row r="12328">
      <c r="A12328" s="1" t="s">
        <v>8</v>
      </c>
      <c r="B12328" s="2">
        <v>44777.0</v>
      </c>
      <c r="C12328" s="3">
        <v>0.315</v>
      </c>
      <c r="D12328" s="1">
        <v>13.034742</v>
      </c>
      <c r="E12328" s="1">
        <v>80.245715</v>
      </c>
      <c r="F12328" s="1">
        <v>5339.0</v>
      </c>
      <c r="G12328" s="1">
        <v>32.0</v>
      </c>
    </row>
    <row r="12329">
      <c r="A12329" s="1" t="s">
        <v>8</v>
      </c>
      <c r="B12329" s="2">
        <v>44777.0</v>
      </c>
      <c r="C12329" s="3">
        <v>0.31504629629629627</v>
      </c>
      <c r="D12329" s="1">
        <v>13.034742</v>
      </c>
      <c r="E12329" s="1">
        <v>80.245715</v>
      </c>
      <c r="F12329" s="1">
        <v>5339.0</v>
      </c>
      <c r="G12329" s="1">
        <v>32.0</v>
      </c>
    </row>
    <row r="12330">
      <c r="A12330" s="1" t="s">
        <v>8</v>
      </c>
      <c r="B12330" s="2">
        <v>44777.0</v>
      </c>
      <c r="C12330" s="3">
        <v>0.31506944444444446</v>
      </c>
      <c r="D12330" s="1">
        <v>13.034276</v>
      </c>
      <c r="E12330" s="1">
        <v>80.245074</v>
      </c>
      <c r="F12330" s="1">
        <v>5339.0</v>
      </c>
      <c r="G12330" s="1">
        <v>26.0</v>
      </c>
    </row>
    <row r="12331">
      <c r="A12331" s="1" t="s">
        <v>10</v>
      </c>
      <c r="B12331" s="2">
        <v>44777.0</v>
      </c>
      <c r="C12331" s="3">
        <v>0.31515046296296295</v>
      </c>
      <c r="D12331" s="1">
        <v>12.984608</v>
      </c>
      <c r="E12331" s="1">
        <v>80.124215</v>
      </c>
      <c r="F12331" s="1">
        <v>3143.0</v>
      </c>
      <c r="G12331" s="1">
        <v>18.0</v>
      </c>
    </row>
    <row r="12332">
      <c r="A12332" s="1" t="s">
        <v>8</v>
      </c>
      <c r="B12332" s="2">
        <v>44777.0</v>
      </c>
      <c r="C12332" s="3">
        <v>0.31605324074074076</v>
      </c>
      <c r="D12332" s="1">
        <v>13.03099</v>
      </c>
      <c r="E12332" s="1">
        <v>80.239794</v>
      </c>
      <c r="F12332" s="1">
        <v>5339.0</v>
      </c>
      <c r="G12332" s="1">
        <v>27.0</v>
      </c>
    </row>
    <row r="12333">
      <c r="A12333" s="1" t="s">
        <v>10</v>
      </c>
      <c r="B12333" s="2">
        <v>44777.0</v>
      </c>
      <c r="C12333" s="3">
        <v>0.31644675925925925</v>
      </c>
      <c r="D12333" s="1">
        <v>12.664174</v>
      </c>
      <c r="E12333" s="1">
        <v>79.968508</v>
      </c>
      <c r="F12333" s="1">
        <v>2846.0</v>
      </c>
      <c r="G12333" s="1">
        <v>57.0</v>
      </c>
    </row>
    <row r="12334">
      <c r="A12334" s="1" t="s">
        <v>10</v>
      </c>
      <c r="B12334" s="2">
        <v>44777.0</v>
      </c>
      <c r="C12334" s="3">
        <v>0.31655092592592593</v>
      </c>
      <c r="D12334" s="1">
        <v>12.981535</v>
      </c>
      <c r="E12334" s="1">
        <v>80.129269</v>
      </c>
      <c r="F12334" s="1">
        <v>3143.0</v>
      </c>
      <c r="G12334" s="1">
        <v>28.0</v>
      </c>
    </row>
    <row r="12335">
      <c r="A12335" s="1" t="s">
        <v>10</v>
      </c>
      <c r="B12335" s="2">
        <v>44777.0</v>
      </c>
      <c r="C12335" s="3">
        <v>0.31688657407407406</v>
      </c>
      <c r="D12335" s="1">
        <v>12.979598</v>
      </c>
      <c r="E12335" s="1">
        <v>80.129048</v>
      </c>
      <c r="F12335" s="1">
        <v>3143.0</v>
      </c>
      <c r="G12335" s="1">
        <v>18.0</v>
      </c>
    </row>
    <row r="12336">
      <c r="A12336" s="1" t="s">
        <v>10</v>
      </c>
      <c r="B12336" s="2">
        <v>44777.0</v>
      </c>
      <c r="C12336" s="3">
        <v>0.31747685185185187</v>
      </c>
      <c r="D12336" s="1">
        <v>12.977287</v>
      </c>
      <c r="E12336" s="1">
        <v>80.131371</v>
      </c>
      <c r="F12336" s="1">
        <v>3143.0</v>
      </c>
      <c r="G12336" s="1">
        <v>33.0</v>
      </c>
    </row>
    <row r="12337">
      <c r="A12337" s="1" t="s">
        <v>8</v>
      </c>
      <c r="B12337" s="2">
        <v>44777.0</v>
      </c>
      <c r="C12337" s="3">
        <v>0.31756944444444446</v>
      </c>
      <c r="D12337" s="1">
        <v>13.026188</v>
      </c>
      <c r="E12337" s="1">
        <v>80.232129</v>
      </c>
      <c r="F12337" s="1">
        <v>5339.0</v>
      </c>
      <c r="G12337" s="1">
        <v>34.0</v>
      </c>
    </row>
    <row r="12338">
      <c r="A12338" s="1" t="s">
        <v>8</v>
      </c>
      <c r="B12338" s="2">
        <v>44777.0</v>
      </c>
      <c r="C12338" s="3">
        <v>0.3176388888888889</v>
      </c>
      <c r="D12338" s="1">
        <v>12.667278</v>
      </c>
      <c r="E12338" s="1">
        <v>79.971748</v>
      </c>
      <c r="F12338" s="1">
        <v>2846.0</v>
      </c>
      <c r="G12338" s="1">
        <v>57.0</v>
      </c>
    </row>
    <row r="12339">
      <c r="A12339" s="1" t="s">
        <v>7</v>
      </c>
      <c r="B12339" s="2">
        <v>44777.0</v>
      </c>
      <c r="C12339" s="3">
        <v>0.31827546296296294</v>
      </c>
      <c r="D12339" s="1">
        <v>13.022396</v>
      </c>
      <c r="E12339" s="1">
        <v>80.226636</v>
      </c>
      <c r="F12339" s="1">
        <v>5339.0</v>
      </c>
      <c r="G12339" s="1">
        <v>50.0</v>
      </c>
    </row>
    <row r="12340">
      <c r="A12340" s="1" t="s">
        <v>10</v>
      </c>
      <c r="B12340" s="2">
        <v>44777.0</v>
      </c>
      <c r="C12340" s="3">
        <v>0.31876157407407407</v>
      </c>
      <c r="D12340" s="1">
        <v>12.679369</v>
      </c>
      <c r="E12340" s="1">
        <v>79.98054</v>
      </c>
      <c r="F12340" s="1">
        <v>2846.0</v>
      </c>
      <c r="G12340" s="1">
        <v>46.0</v>
      </c>
    </row>
    <row r="12341">
      <c r="A12341" s="1" t="s">
        <v>8</v>
      </c>
      <c r="B12341" s="2">
        <v>44777.0</v>
      </c>
      <c r="C12341" s="3">
        <v>0.31894675925925925</v>
      </c>
      <c r="D12341" s="1">
        <v>13.016975</v>
      </c>
      <c r="E12341" s="1">
        <v>80.225251</v>
      </c>
      <c r="F12341" s="1">
        <v>5339.0</v>
      </c>
      <c r="G12341" s="1">
        <v>42.0</v>
      </c>
    </row>
    <row r="12342">
      <c r="A12342" s="1" t="s">
        <v>8</v>
      </c>
      <c r="B12342" s="2">
        <v>44777.0</v>
      </c>
      <c r="C12342" s="3">
        <v>0.319224537037037</v>
      </c>
      <c r="D12342" s="1">
        <v>13.015164</v>
      </c>
      <c r="E12342" s="1">
        <v>80.225942</v>
      </c>
      <c r="F12342" s="1">
        <v>5339.0</v>
      </c>
      <c r="G12342" s="1">
        <v>39.0</v>
      </c>
    </row>
    <row r="12343">
      <c r="A12343" s="1" t="s">
        <v>8</v>
      </c>
      <c r="B12343" s="2">
        <v>44777.0</v>
      </c>
      <c r="C12343" s="3">
        <v>0.31928240740740743</v>
      </c>
      <c r="D12343" s="1">
        <v>13.014177</v>
      </c>
      <c r="E12343" s="1">
        <v>80.226304</v>
      </c>
      <c r="F12343" s="1">
        <v>5339.0</v>
      </c>
      <c r="G12343" s="1">
        <v>44.0</v>
      </c>
    </row>
    <row r="12344">
      <c r="A12344" s="1" t="s">
        <v>10</v>
      </c>
      <c r="B12344" s="2">
        <v>44777.0</v>
      </c>
      <c r="C12344" s="3">
        <v>0.3200810185185185</v>
      </c>
      <c r="D12344" s="1">
        <v>12.981713</v>
      </c>
      <c r="E12344" s="1">
        <v>80.138297</v>
      </c>
      <c r="F12344" s="1">
        <v>3143.0</v>
      </c>
      <c r="G12344" s="1">
        <v>24.0</v>
      </c>
    </row>
    <row r="12345">
      <c r="A12345" s="1" t="s">
        <v>8</v>
      </c>
      <c r="B12345" s="2">
        <v>44777.0</v>
      </c>
      <c r="C12345" s="3">
        <v>0.3200810185185185</v>
      </c>
      <c r="D12345" s="1">
        <v>13.010026</v>
      </c>
      <c r="E12345" s="1">
        <v>80.226553</v>
      </c>
      <c r="F12345" s="1">
        <v>5339.0</v>
      </c>
      <c r="G12345" s="1">
        <v>35.0</v>
      </c>
    </row>
    <row r="12346">
      <c r="A12346" s="1" t="s">
        <v>8</v>
      </c>
      <c r="B12346" s="2">
        <v>44777.0</v>
      </c>
      <c r="C12346" s="3">
        <v>0.3210300925925926</v>
      </c>
      <c r="D12346" s="1">
        <v>13.01201</v>
      </c>
      <c r="E12346" s="1">
        <v>80.220566</v>
      </c>
      <c r="F12346" s="1">
        <v>5339.0</v>
      </c>
      <c r="G12346" s="1">
        <v>31.0</v>
      </c>
    </row>
    <row r="12347">
      <c r="A12347" s="1" t="s">
        <v>8</v>
      </c>
      <c r="B12347" s="2">
        <v>44777.0</v>
      </c>
      <c r="C12347" s="3">
        <v>0.32155092592592593</v>
      </c>
      <c r="D12347" s="1">
        <v>13.010212</v>
      </c>
      <c r="E12347" s="1">
        <v>80.215646</v>
      </c>
      <c r="F12347" s="1">
        <v>5339.0</v>
      </c>
      <c r="G12347" s="1">
        <v>42.0</v>
      </c>
    </row>
    <row r="12348">
      <c r="A12348" s="1" t="s">
        <v>8</v>
      </c>
      <c r="B12348" s="2">
        <v>44777.0</v>
      </c>
      <c r="C12348" s="3">
        <v>0.32188657407407406</v>
      </c>
      <c r="D12348" s="1">
        <v>12.692385</v>
      </c>
      <c r="E12348" s="1">
        <v>79.979843</v>
      </c>
      <c r="F12348" s="1">
        <v>2846.0</v>
      </c>
      <c r="G12348" s="1">
        <v>33.0</v>
      </c>
    </row>
    <row r="12349">
      <c r="A12349" s="1" t="s">
        <v>8</v>
      </c>
      <c r="B12349" s="2">
        <v>44777.0</v>
      </c>
      <c r="C12349" s="3">
        <v>0.3219560185185185</v>
      </c>
      <c r="D12349" s="1">
        <v>13.009173</v>
      </c>
      <c r="E12349" s="1">
        <v>80.212294</v>
      </c>
      <c r="F12349" s="1">
        <v>5339.0</v>
      </c>
      <c r="G12349" s="1">
        <v>48.0</v>
      </c>
    </row>
    <row r="12350">
      <c r="A12350" s="1" t="s">
        <v>9</v>
      </c>
      <c r="B12350" s="2">
        <v>44777.0</v>
      </c>
      <c r="C12350" s="3">
        <v>0.32207175925925924</v>
      </c>
      <c r="D12350" s="1">
        <v>12.693154</v>
      </c>
      <c r="E12350" s="1">
        <v>79.979452</v>
      </c>
      <c r="F12350" s="1">
        <v>2846.0</v>
      </c>
      <c r="G12350" s="1">
        <v>31.0</v>
      </c>
    </row>
    <row r="12351">
      <c r="A12351" s="1" t="s">
        <v>7</v>
      </c>
      <c r="B12351" s="2">
        <v>44777.0</v>
      </c>
      <c r="C12351" s="3">
        <v>0.32234953703703706</v>
      </c>
      <c r="D12351" s="1">
        <v>13.008113</v>
      </c>
      <c r="E12351" s="1">
        <v>80.209237</v>
      </c>
      <c r="F12351" s="1">
        <v>5339.0</v>
      </c>
      <c r="G12351" s="1">
        <v>45.0</v>
      </c>
    </row>
    <row r="12352">
      <c r="A12352" s="1" t="s">
        <v>8</v>
      </c>
      <c r="B12352" s="2">
        <v>44777.0</v>
      </c>
      <c r="C12352" s="3">
        <v>0.32244212962962965</v>
      </c>
      <c r="D12352" s="1">
        <v>13.007891</v>
      </c>
      <c r="E12352" s="1">
        <v>80.20795</v>
      </c>
      <c r="F12352" s="1">
        <v>5339.0</v>
      </c>
      <c r="G12352" s="1">
        <v>53.0</v>
      </c>
    </row>
    <row r="12353">
      <c r="A12353" s="1" t="s">
        <v>8</v>
      </c>
      <c r="B12353" s="2">
        <v>44777.0</v>
      </c>
      <c r="C12353" s="3">
        <v>0.32297453703703705</v>
      </c>
      <c r="D12353" s="1">
        <v>13.006005</v>
      </c>
      <c r="E12353" s="1">
        <v>80.202929</v>
      </c>
      <c r="F12353" s="1">
        <v>5339.0</v>
      </c>
      <c r="G12353" s="1">
        <v>36.0</v>
      </c>
    </row>
    <row r="12354">
      <c r="A12354" s="1" t="s">
        <v>8</v>
      </c>
      <c r="B12354" s="2">
        <v>44777.0</v>
      </c>
      <c r="C12354" s="3">
        <v>0.32329861111111113</v>
      </c>
      <c r="D12354" s="1">
        <v>13.00432</v>
      </c>
      <c r="E12354" s="1">
        <v>80.201168</v>
      </c>
      <c r="F12354" s="1">
        <v>5339.0</v>
      </c>
      <c r="G12354" s="1">
        <v>28.0</v>
      </c>
    </row>
    <row r="12355">
      <c r="A12355" s="1" t="s">
        <v>8</v>
      </c>
      <c r="B12355" s="2">
        <v>44777.0</v>
      </c>
      <c r="C12355" s="3">
        <v>0.3234837962962963</v>
      </c>
      <c r="D12355" s="1">
        <v>13.003605</v>
      </c>
      <c r="E12355" s="1">
        <v>80.200953</v>
      </c>
      <c r="F12355" s="1">
        <v>5339.0</v>
      </c>
      <c r="G12355" s="1">
        <v>27.0</v>
      </c>
    </row>
    <row r="12356">
      <c r="A12356" s="1" t="s">
        <v>8</v>
      </c>
      <c r="B12356" s="2">
        <v>44777.0</v>
      </c>
      <c r="C12356" s="3">
        <v>0.3240277777777778</v>
      </c>
      <c r="D12356" s="1">
        <v>13.002005</v>
      </c>
      <c r="E12356" s="1">
        <v>80.197717</v>
      </c>
      <c r="F12356" s="1">
        <v>5339.0</v>
      </c>
      <c r="G12356" s="1">
        <v>43.0</v>
      </c>
    </row>
    <row r="12357">
      <c r="A12357" s="1" t="s">
        <v>8</v>
      </c>
      <c r="B12357" s="2">
        <v>44777.0</v>
      </c>
      <c r="C12357" s="3">
        <v>0.32484953703703706</v>
      </c>
      <c r="D12357" s="1">
        <v>12.999084</v>
      </c>
      <c r="E12357" s="1">
        <v>80.19304</v>
      </c>
      <c r="F12357" s="1">
        <v>5339.0</v>
      </c>
      <c r="G12357" s="1">
        <v>49.0</v>
      </c>
    </row>
    <row r="12358">
      <c r="A12358" s="1" t="s">
        <v>9</v>
      </c>
      <c r="B12358" s="2">
        <v>44777.0</v>
      </c>
      <c r="C12358" s="3">
        <v>0.32484953703703706</v>
      </c>
      <c r="D12358" s="1">
        <v>12.999084</v>
      </c>
      <c r="E12358" s="1">
        <v>80.19304</v>
      </c>
      <c r="F12358" s="1">
        <v>5339.0</v>
      </c>
      <c r="G12358" s="1">
        <v>49.0</v>
      </c>
    </row>
    <row r="12359">
      <c r="A12359" s="1" t="s">
        <v>8</v>
      </c>
      <c r="B12359" s="2">
        <v>44777.0</v>
      </c>
      <c r="C12359" s="3">
        <v>0.3249884259259259</v>
      </c>
      <c r="D12359" s="1">
        <v>12.998377</v>
      </c>
      <c r="E12359" s="1">
        <v>80.192144</v>
      </c>
      <c r="F12359" s="1">
        <v>5339.0</v>
      </c>
      <c r="G12359" s="1">
        <v>40.0</v>
      </c>
    </row>
    <row r="12360">
      <c r="A12360" s="1" t="s">
        <v>10</v>
      </c>
      <c r="B12360" s="2">
        <v>44777.0</v>
      </c>
      <c r="C12360" s="3">
        <v>0.32501157407407405</v>
      </c>
      <c r="D12360" s="1">
        <v>12.98053</v>
      </c>
      <c r="E12360" s="1">
        <v>80.136855</v>
      </c>
      <c r="F12360" s="1">
        <v>3143.0</v>
      </c>
      <c r="G12360" s="1">
        <v>28.0</v>
      </c>
    </row>
    <row r="12361">
      <c r="A12361" s="1" t="s">
        <v>10</v>
      </c>
      <c r="B12361" s="2">
        <v>44777.0</v>
      </c>
      <c r="C12361" s="3">
        <v>0.3253125</v>
      </c>
      <c r="D12361" s="1">
        <v>12.976164</v>
      </c>
      <c r="E12361" s="1">
        <v>80.135502</v>
      </c>
      <c r="F12361" s="1">
        <v>3143.0</v>
      </c>
      <c r="G12361" s="1">
        <v>23.0</v>
      </c>
    </row>
    <row r="12362">
      <c r="A12362" s="1" t="s">
        <v>7</v>
      </c>
      <c r="B12362" s="2">
        <v>44777.0</v>
      </c>
      <c r="C12362" s="3">
        <v>0.3253240740740741</v>
      </c>
      <c r="D12362" s="1">
        <v>12.996294</v>
      </c>
      <c r="E12362" s="1">
        <v>80.189649</v>
      </c>
      <c r="F12362" s="1">
        <v>5339.0</v>
      </c>
      <c r="G12362" s="1">
        <v>48.0</v>
      </c>
    </row>
    <row r="12363">
      <c r="A12363" s="1" t="s">
        <v>8</v>
      </c>
      <c r="B12363" s="2">
        <v>44777.0</v>
      </c>
      <c r="C12363" s="3">
        <v>0.3254861111111111</v>
      </c>
      <c r="D12363" s="1">
        <v>13.006656</v>
      </c>
      <c r="E12363" s="1">
        <v>80.243974</v>
      </c>
      <c r="F12363" s="1">
        <v>805.0</v>
      </c>
      <c r="G12363" s="1">
        <v>35.0</v>
      </c>
    </row>
    <row r="12364">
      <c r="A12364" s="1" t="s">
        <v>8</v>
      </c>
      <c r="B12364" s="2">
        <v>44777.0</v>
      </c>
      <c r="C12364" s="3">
        <v>0.32586805555555554</v>
      </c>
      <c r="D12364" s="1">
        <v>12.702567</v>
      </c>
      <c r="E12364" s="1">
        <v>79.970473</v>
      </c>
      <c r="F12364" s="1">
        <v>2846.0</v>
      </c>
      <c r="G12364" s="1">
        <v>49.0</v>
      </c>
    </row>
    <row r="12365">
      <c r="A12365" s="1" t="s">
        <v>8</v>
      </c>
      <c r="B12365" s="2">
        <v>44777.0</v>
      </c>
      <c r="C12365" s="3">
        <v>0.32618055555555553</v>
      </c>
      <c r="D12365" s="1">
        <v>12.994157</v>
      </c>
      <c r="E12365" s="1">
        <v>80.185831</v>
      </c>
      <c r="F12365" s="1">
        <v>5339.0</v>
      </c>
      <c r="G12365" s="1">
        <v>30.0</v>
      </c>
    </row>
    <row r="12366">
      <c r="A12366" s="1" t="s">
        <v>8</v>
      </c>
      <c r="B12366" s="2">
        <v>44777.0</v>
      </c>
      <c r="C12366" s="3">
        <v>0.32621527777777776</v>
      </c>
      <c r="D12366" s="1">
        <v>12.994157</v>
      </c>
      <c r="E12366" s="1">
        <v>80.185831</v>
      </c>
      <c r="F12366" s="1">
        <v>5339.0</v>
      </c>
      <c r="G12366" s="1">
        <v>30.0</v>
      </c>
    </row>
    <row r="12367">
      <c r="A12367" s="1" t="s">
        <v>8</v>
      </c>
      <c r="B12367" s="2">
        <v>44777.0</v>
      </c>
      <c r="C12367" s="3">
        <v>0.32621527777777776</v>
      </c>
      <c r="D12367" s="1">
        <v>12.994157</v>
      </c>
      <c r="E12367" s="1">
        <v>80.185831</v>
      </c>
      <c r="F12367" s="1">
        <v>5339.0</v>
      </c>
      <c r="G12367" s="1">
        <v>30.0</v>
      </c>
    </row>
    <row r="12368">
      <c r="A12368" s="1" t="s">
        <v>8</v>
      </c>
      <c r="B12368" s="2">
        <v>44777.0</v>
      </c>
      <c r="C12368" s="3">
        <v>0.32621527777777776</v>
      </c>
      <c r="D12368" s="1">
        <v>12.994157</v>
      </c>
      <c r="E12368" s="1">
        <v>80.185831</v>
      </c>
      <c r="F12368" s="1">
        <v>5339.0</v>
      </c>
      <c r="G12368" s="1">
        <v>30.0</v>
      </c>
    </row>
    <row r="12369">
      <c r="A12369" s="1" t="s">
        <v>8</v>
      </c>
      <c r="B12369" s="2">
        <v>44777.0</v>
      </c>
      <c r="C12369" s="3">
        <v>0.3262731481481482</v>
      </c>
      <c r="D12369" s="1">
        <v>12.707013</v>
      </c>
      <c r="E12369" s="1">
        <v>79.976034</v>
      </c>
      <c r="F12369" s="1">
        <v>2846.0</v>
      </c>
      <c r="G12369" s="1">
        <v>63.0</v>
      </c>
    </row>
    <row r="12370">
      <c r="A12370" s="1" t="s">
        <v>8</v>
      </c>
      <c r="B12370" s="2">
        <v>44777.0</v>
      </c>
      <c r="C12370" s="3">
        <v>0.3264699074074074</v>
      </c>
      <c r="D12370" s="1">
        <v>12.993319</v>
      </c>
      <c r="E12370" s="1">
        <v>80.184299</v>
      </c>
      <c r="F12370" s="1">
        <v>5339.0</v>
      </c>
      <c r="G12370" s="1">
        <v>42.0</v>
      </c>
    </row>
    <row r="12371">
      <c r="A12371" s="1" t="s">
        <v>8</v>
      </c>
      <c r="B12371" s="2">
        <v>44777.0</v>
      </c>
      <c r="C12371" s="3">
        <v>0.32663194444444443</v>
      </c>
      <c r="D12371" s="1">
        <v>12.992758</v>
      </c>
      <c r="E12371" s="1">
        <v>80.183357</v>
      </c>
      <c r="F12371" s="1">
        <v>5339.0</v>
      </c>
      <c r="G12371" s="1">
        <v>36.0</v>
      </c>
    </row>
    <row r="12372">
      <c r="A12372" s="1" t="s">
        <v>8</v>
      </c>
      <c r="B12372" s="2">
        <v>44777.0</v>
      </c>
      <c r="C12372" s="3">
        <v>0.32666666666666666</v>
      </c>
      <c r="D12372" s="1">
        <v>13.00777</v>
      </c>
      <c r="E12372" s="1">
        <v>80.235608</v>
      </c>
      <c r="F12372" s="1">
        <v>805.0</v>
      </c>
      <c r="G12372" s="1">
        <v>34.0</v>
      </c>
    </row>
    <row r="12373">
      <c r="A12373" s="1" t="s">
        <v>8</v>
      </c>
      <c r="B12373" s="2">
        <v>44777.0</v>
      </c>
      <c r="C12373" s="3">
        <v>0.32667824074074076</v>
      </c>
      <c r="D12373" s="1">
        <v>13.00777</v>
      </c>
      <c r="E12373" s="1">
        <v>80.235608</v>
      </c>
      <c r="F12373" s="1">
        <v>805.0</v>
      </c>
      <c r="G12373" s="1">
        <v>34.0</v>
      </c>
    </row>
    <row r="12374">
      <c r="A12374" s="1" t="s">
        <v>7</v>
      </c>
      <c r="B12374" s="2">
        <v>44777.0</v>
      </c>
      <c r="C12374" s="3">
        <v>0.3269212962962963</v>
      </c>
      <c r="D12374" s="1">
        <v>13.008134</v>
      </c>
      <c r="E12374" s="1">
        <v>80.233738</v>
      </c>
      <c r="F12374" s="1">
        <v>805.0</v>
      </c>
      <c r="G12374" s="1">
        <v>51.0</v>
      </c>
    </row>
    <row r="12375">
      <c r="A12375" s="1" t="s">
        <v>8</v>
      </c>
      <c r="B12375" s="2">
        <v>44777.0</v>
      </c>
      <c r="C12375" s="3">
        <v>0.3269560185185185</v>
      </c>
      <c r="D12375" s="1">
        <v>13.008134</v>
      </c>
      <c r="E12375" s="1">
        <v>80.233738</v>
      </c>
      <c r="F12375" s="1">
        <v>805.0</v>
      </c>
      <c r="G12375" s="1">
        <v>51.0</v>
      </c>
    </row>
    <row r="12376">
      <c r="A12376" s="1" t="s">
        <v>7</v>
      </c>
      <c r="B12376" s="2">
        <v>44777.0</v>
      </c>
      <c r="C12376" s="3">
        <v>0.3270486111111111</v>
      </c>
      <c r="D12376" s="1">
        <v>12.989917</v>
      </c>
      <c r="E12376" s="1">
        <v>80.179543</v>
      </c>
      <c r="F12376" s="1">
        <v>5339.0</v>
      </c>
      <c r="G12376" s="1">
        <v>55.0</v>
      </c>
    </row>
    <row r="12377">
      <c r="A12377" s="1" t="s">
        <v>8</v>
      </c>
      <c r="B12377" s="2">
        <v>44777.0</v>
      </c>
      <c r="C12377" s="3">
        <v>0.3271527777777778</v>
      </c>
      <c r="D12377" s="1">
        <v>12.989041</v>
      </c>
      <c r="E12377" s="1">
        <v>80.178452</v>
      </c>
      <c r="F12377" s="1">
        <v>5339.0</v>
      </c>
      <c r="G12377" s="1">
        <v>55.0</v>
      </c>
    </row>
    <row r="12378">
      <c r="A12378" s="1" t="s">
        <v>8</v>
      </c>
      <c r="B12378" s="2">
        <v>44777.0</v>
      </c>
      <c r="C12378" s="3">
        <v>0.32730324074074074</v>
      </c>
      <c r="D12378" s="1">
        <v>13.008876</v>
      </c>
      <c r="E12378" s="1">
        <v>80.229916</v>
      </c>
      <c r="F12378" s="1">
        <v>805.0</v>
      </c>
      <c r="G12378" s="1">
        <v>45.0</v>
      </c>
    </row>
    <row r="12379">
      <c r="A12379" s="1" t="s">
        <v>7</v>
      </c>
      <c r="B12379" s="2">
        <v>44777.0</v>
      </c>
      <c r="C12379" s="3">
        <v>0.32739583333333333</v>
      </c>
      <c r="D12379" s="1">
        <v>12.718978</v>
      </c>
      <c r="E12379" s="1">
        <v>79.980931</v>
      </c>
      <c r="F12379" s="1">
        <v>2846.0</v>
      </c>
      <c r="G12379" s="1">
        <v>58.0</v>
      </c>
    </row>
    <row r="12380">
      <c r="A12380" s="1" t="s">
        <v>8</v>
      </c>
      <c r="B12380" s="2">
        <v>44777.0</v>
      </c>
      <c r="C12380" s="3">
        <v>0.3275462962962963</v>
      </c>
      <c r="D12380" s="1">
        <v>12.986733</v>
      </c>
      <c r="E12380" s="1">
        <v>80.17515</v>
      </c>
      <c r="F12380" s="1">
        <v>5339.0</v>
      </c>
      <c r="G12380" s="1">
        <v>46.0</v>
      </c>
    </row>
    <row r="12381">
      <c r="A12381" s="1" t="s">
        <v>8</v>
      </c>
      <c r="B12381" s="2">
        <v>44777.0</v>
      </c>
      <c r="C12381" s="3">
        <v>0.3278125</v>
      </c>
      <c r="D12381" s="1">
        <v>12.985137</v>
      </c>
      <c r="E12381" s="1">
        <v>80.172839</v>
      </c>
      <c r="F12381" s="1">
        <v>5339.0</v>
      </c>
      <c r="G12381" s="1">
        <v>43.0</v>
      </c>
    </row>
    <row r="12382">
      <c r="A12382" s="1" t="s">
        <v>10</v>
      </c>
      <c r="B12382" s="2">
        <v>44777.0</v>
      </c>
      <c r="C12382" s="3">
        <v>0.3282407407407407</v>
      </c>
      <c r="D12382" s="1">
        <v>12.971556</v>
      </c>
      <c r="E12382" s="1">
        <v>80.142556</v>
      </c>
      <c r="F12382" s="1">
        <v>3143.0</v>
      </c>
      <c r="G12382" s="1">
        <v>19.0</v>
      </c>
    </row>
    <row r="12383">
      <c r="A12383" s="1" t="s">
        <v>8</v>
      </c>
      <c r="B12383" s="2">
        <v>44777.0</v>
      </c>
      <c r="C12383" s="3">
        <v>0.3282523148148148</v>
      </c>
      <c r="D12383" s="1">
        <v>12.983588</v>
      </c>
      <c r="E12383" s="1">
        <v>80.170327</v>
      </c>
      <c r="F12383" s="1">
        <v>5339.0</v>
      </c>
      <c r="G12383" s="1">
        <v>36.0</v>
      </c>
    </row>
    <row r="12384">
      <c r="A12384" s="1" t="s">
        <v>8</v>
      </c>
      <c r="B12384" s="2">
        <v>44777.0</v>
      </c>
      <c r="C12384" s="3">
        <v>0.32841435185185186</v>
      </c>
      <c r="D12384" s="1">
        <v>12.98256</v>
      </c>
      <c r="E12384" s="1">
        <v>80.16857</v>
      </c>
      <c r="F12384" s="1">
        <v>5339.0</v>
      </c>
      <c r="G12384" s="1">
        <v>40.0</v>
      </c>
    </row>
    <row r="12385">
      <c r="A12385" s="1" t="s">
        <v>10</v>
      </c>
      <c r="B12385" s="2">
        <v>44777.0</v>
      </c>
      <c r="C12385" s="3">
        <v>0.3286921296296296</v>
      </c>
      <c r="D12385" s="1">
        <v>12.971346</v>
      </c>
      <c r="E12385" s="1">
        <v>80.143234</v>
      </c>
      <c r="F12385" s="1">
        <v>3143.0</v>
      </c>
      <c r="G12385" s="1">
        <v>12.0</v>
      </c>
    </row>
    <row r="12386">
      <c r="A12386" s="1" t="s">
        <v>8</v>
      </c>
      <c r="B12386" s="2">
        <v>44777.0</v>
      </c>
      <c r="C12386" s="3">
        <v>0.32873842592592595</v>
      </c>
      <c r="D12386" s="1">
        <v>13.011801</v>
      </c>
      <c r="E12386" s="1">
        <v>80.219714</v>
      </c>
      <c r="F12386" s="1">
        <v>805.0</v>
      </c>
      <c r="G12386" s="1">
        <v>59.0</v>
      </c>
    </row>
    <row r="12387">
      <c r="A12387" s="1" t="s">
        <v>8</v>
      </c>
      <c r="B12387" s="2">
        <v>44777.0</v>
      </c>
      <c r="C12387" s="3">
        <v>0.3287731481481482</v>
      </c>
      <c r="D12387" s="1">
        <v>13.011801</v>
      </c>
      <c r="E12387" s="1">
        <v>80.219714</v>
      </c>
      <c r="F12387" s="1">
        <v>805.0</v>
      </c>
      <c r="G12387" s="1">
        <v>59.0</v>
      </c>
    </row>
    <row r="12388">
      <c r="A12388" s="1" t="s">
        <v>7</v>
      </c>
      <c r="B12388" s="2">
        <v>44777.0</v>
      </c>
      <c r="C12388" s="3">
        <v>0.3288425925925926</v>
      </c>
      <c r="D12388" s="1">
        <v>13.01135</v>
      </c>
      <c r="E12388" s="1">
        <v>80.218376</v>
      </c>
      <c r="F12388" s="1">
        <v>805.0</v>
      </c>
      <c r="G12388" s="1">
        <v>51.0</v>
      </c>
    </row>
    <row r="12389">
      <c r="A12389" s="1" t="s">
        <v>7</v>
      </c>
      <c r="B12389" s="2">
        <v>44777.0</v>
      </c>
      <c r="C12389" s="3">
        <v>0.3291203703703704</v>
      </c>
      <c r="D12389" s="1">
        <v>12.979394</v>
      </c>
      <c r="E12389" s="1">
        <v>80.162156</v>
      </c>
      <c r="F12389" s="1">
        <v>5339.0</v>
      </c>
      <c r="G12389" s="1">
        <v>50.0</v>
      </c>
    </row>
    <row r="12390">
      <c r="A12390" s="1" t="s">
        <v>7</v>
      </c>
      <c r="B12390" s="2">
        <v>44777.0</v>
      </c>
      <c r="C12390" s="3">
        <v>0.32915509259259257</v>
      </c>
      <c r="D12390" s="1">
        <v>13.010341</v>
      </c>
      <c r="E12390" s="1">
        <v>80.215954</v>
      </c>
      <c r="F12390" s="1">
        <v>805.0</v>
      </c>
      <c r="G12390" s="1">
        <v>41.0</v>
      </c>
    </row>
    <row r="12391">
      <c r="A12391" s="1" t="s">
        <v>7</v>
      </c>
      <c r="B12391" s="2">
        <v>44777.0</v>
      </c>
      <c r="C12391" s="3">
        <v>0.3291898148148148</v>
      </c>
      <c r="D12391" s="1">
        <v>12.978612</v>
      </c>
      <c r="E12391" s="1">
        <v>80.161025</v>
      </c>
      <c r="F12391" s="1">
        <v>5339.0</v>
      </c>
      <c r="G12391" s="1">
        <v>56.0</v>
      </c>
    </row>
    <row r="12392">
      <c r="A12392" s="1" t="s">
        <v>8</v>
      </c>
      <c r="B12392" s="2">
        <v>44777.0</v>
      </c>
      <c r="C12392" s="3">
        <v>0.3295486111111111</v>
      </c>
      <c r="D12392" s="1">
        <v>12.976572</v>
      </c>
      <c r="E12392" s="1">
        <v>80.157908</v>
      </c>
      <c r="F12392" s="1">
        <v>5339.0</v>
      </c>
      <c r="G12392" s="1">
        <v>45.0</v>
      </c>
    </row>
    <row r="12393">
      <c r="A12393" s="1" t="s">
        <v>8</v>
      </c>
      <c r="B12393" s="2">
        <v>44777.0</v>
      </c>
      <c r="C12393" s="3">
        <v>0.3296064814814815</v>
      </c>
      <c r="D12393" s="1">
        <v>13.008895</v>
      </c>
      <c r="E12393" s="1">
        <v>80.211627</v>
      </c>
      <c r="F12393" s="1">
        <v>805.0</v>
      </c>
      <c r="G12393" s="1">
        <v>34.0</v>
      </c>
    </row>
    <row r="12394">
      <c r="A12394" s="1" t="s">
        <v>8</v>
      </c>
      <c r="B12394" s="2">
        <v>44777.0</v>
      </c>
      <c r="C12394" s="3">
        <v>0.3297453703703704</v>
      </c>
      <c r="D12394" s="1">
        <v>13.008256</v>
      </c>
      <c r="E12394" s="1">
        <v>80.209851</v>
      </c>
      <c r="F12394" s="1">
        <v>805.0</v>
      </c>
      <c r="G12394" s="1">
        <v>38.0</v>
      </c>
    </row>
    <row r="12395">
      <c r="A12395" s="1" t="s">
        <v>8</v>
      </c>
      <c r="B12395" s="2">
        <v>44777.0</v>
      </c>
      <c r="C12395" s="3">
        <v>0.32979166666666665</v>
      </c>
      <c r="D12395" s="1">
        <v>13.008256</v>
      </c>
      <c r="E12395" s="1">
        <v>80.209851</v>
      </c>
      <c r="F12395" s="1">
        <v>805.0</v>
      </c>
      <c r="G12395" s="1">
        <v>38.0</v>
      </c>
    </row>
    <row r="12396">
      <c r="A12396" s="1" t="s">
        <v>8</v>
      </c>
      <c r="B12396" s="2">
        <v>44777.0</v>
      </c>
      <c r="C12396" s="3">
        <v>0.32988425925925924</v>
      </c>
      <c r="D12396" s="1">
        <v>12.733068</v>
      </c>
      <c r="E12396" s="1">
        <v>79.983287</v>
      </c>
      <c r="F12396" s="1">
        <v>2846.0</v>
      </c>
      <c r="G12396" s="1">
        <v>50.0</v>
      </c>
    </row>
    <row r="12397">
      <c r="A12397" s="1" t="s">
        <v>10</v>
      </c>
      <c r="B12397" s="2">
        <v>44777.0</v>
      </c>
      <c r="C12397" s="3">
        <v>0.32991898148148147</v>
      </c>
      <c r="D12397" s="1">
        <v>12.970704</v>
      </c>
      <c r="E12397" s="1">
        <v>80.144959</v>
      </c>
      <c r="F12397" s="1">
        <v>3143.0</v>
      </c>
      <c r="G12397" s="1">
        <v>12.0</v>
      </c>
    </row>
    <row r="12398">
      <c r="A12398" s="1" t="s">
        <v>8</v>
      </c>
      <c r="B12398" s="2">
        <v>44777.0</v>
      </c>
      <c r="C12398" s="3">
        <v>0.33002314814814815</v>
      </c>
      <c r="D12398" s="1">
        <v>13.007852</v>
      </c>
      <c r="E12398" s="1">
        <v>80.207716</v>
      </c>
      <c r="F12398" s="1">
        <v>805.0</v>
      </c>
      <c r="G12398" s="1">
        <v>41.0</v>
      </c>
    </row>
    <row r="12399">
      <c r="A12399" s="1" t="s">
        <v>8</v>
      </c>
      <c r="B12399" s="2">
        <v>44777.0</v>
      </c>
      <c r="C12399" s="3">
        <v>0.33010416666666664</v>
      </c>
      <c r="D12399" s="1">
        <v>13.007679</v>
      </c>
      <c r="E12399" s="1">
        <v>80.206605</v>
      </c>
      <c r="F12399" s="1">
        <v>805.0</v>
      </c>
      <c r="G12399" s="1">
        <v>41.0</v>
      </c>
    </row>
    <row r="12400">
      <c r="A12400" s="1" t="s">
        <v>8</v>
      </c>
      <c r="B12400" s="2">
        <v>44777.0</v>
      </c>
      <c r="C12400" s="3">
        <v>0.33025462962962965</v>
      </c>
      <c r="D12400" s="1">
        <v>12.736739</v>
      </c>
      <c r="E12400" s="1">
        <v>79.987293</v>
      </c>
      <c r="F12400" s="1">
        <v>2846.0</v>
      </c>
      <c r="G12400" s="1">
        <v>60.0</v>
      </c>
    </row>
    <row r="12401">
      <c r="A12401" s="1" t="s">
        <v>7</v>
      </c>
      <c r="B12401" s="2">
        <v>44777.0</v>
      </c>
      <c r="C12401" s="3">
        <v>0.3304166666666667</v>
      </c>
      <c r="D12401" s="1">
        <v>13.006926</v>
      </c>
      <c r="E12401" s="1">
        <v>80.204338</v>
      </c>
      <c r="F12401" s="1">
        <v>805.0</v>
      </c>
      <c r="G12401" s="1">
        <v>46.0</v>
      </c>
    </row>
    <row r="12402">
      <c r="A12402" s="1" t="s">
        <v>7</v>
      </c>
      <c r="B12402" s="2">
        <v>44777.0</v>
      </c>
      <c r="C12402" s="3">
        <v>0.3305439814814815</v>
      </c>
      <c r="D12402" s="1">
        <v>12.73792</v>
      </c>
      <c r="E12402" s="1">
        <v>79.988146</v>
      </c>
      <c r="F12402" s="1">
        <v>2846.0</v>
      </c>
      <c r="G12402" s="1">
        <v>57.0</v>
      </c>
    </row>
    <row r="12403">
      <c r="A12403" s="1" t="s">
        <v>8</v>
      </c>
      <c r="B12403" s="2">
        <v>44777.0</v>
      </c>
      <c r="C12403" s="3">
        <v>0.33087962962962963</v>
      </c>
      <c r="D12403" s="1">
        <v>13.003707</v>
      </c>
      <c r="E12403" s="1">
        <v>80.20102</v>
      </c>
      <c r="F12403" s="1">
        <v>805.0</v>
      </c>
      <c r="G12403" s="1">
        <v>46.0</v>
      </c>
    </row>
    <row r="12404">
      <c r="A12404" s="1" t="s">
        <v>8</v>
      </c>
      <c r="B12404" s="2">
        <v>44777.0</v>
      </c>
      <c r="C12404" s="3">
        <v>0.33091435185185186</v>
      </c>
      <c r="D12404" s="1">
        <v>12.742678</v>
      </c>
      <c r="E12404" s="1">
        <v>79.99175</v>
      </c>
      <c r="F12404" s="1">
        <v>2846.0</v>
      </c>
      <c r="G12404" s="1">
        <v>36.0</v>
      </c>
    </row>
    <row r="12405">
      <c r="A12405" s="1" t="s">
        <v>7</v>
      </c>
      <c r="B12405" s="2">
        <v>44777.0</v>
      </c>
      <c r="C12405" s="3">
        <v>0.33122685185185186</v>
      </c>
      <c r="D12405" s="1">
        <v>13.001816</v>
      </c>
      <c r="E12405" s="1">
        <v>80.198865</v>
      </c>
      <c r="F12405" s="1">
        <v>805.0</v>
      </c>
      <c r="G12405" s="1">
        <v>50.0</v>
      </c>
    </row>
    <row r="12406">
      <c r="A12406" s="1" t="s">
        <v>7</v>
      </c>
      <c r="B12406" s="2">
        <v>44777.0</v>
      </c>
      <c r="C12406" s="3">
        <v>0.3317361111111111</v>
      </c>
      <c r="D12406" s="1">
        <v>12.745439</v>
      </c>
      <c r="E12406" s="1">
        <v>79.994035</v>
      </c>
      <c r="F12406" s="1">
        <v>2846.0</v>
      </c>
      <c r="G12406" s="1">
        <v>53.0</v>
      </c>
    </row>
    <row r="12407">
      <c r="A12407" s="1" t="s">
        <v>8</v>
      </c>
      <c r="B12407" s="2">
        <v>44777.0</v>
      </c>
      <c r="C12407" s="3">
        <v>0.3318287037037037</v>
      </c>
      <c r="D12407" s="1">
        <v>12.999838</v>
      </c>
      <c r="E12407" s="1">
        <v>80.193964</v>
      </c>
      <c r="F12407" s="1">
        <v>805.0</v>
      </c>
      <c r="G12407" s="1">
        <v>48.0</v>
      </c>
    </row>
    <row r="12408">
      <c r="A12408" s="1" t="s">
        <v>9</v>
      </c>
      <c r="B12408" s="2">
        <v>44777.0</v>
      </c>
      <c r="C12408" s="3">
        <v>0.331875</v>
      </c>
      <c r="D12408" s="1">
        <v>12.999838</v>
      </c>
      <c r="E12408" s="1">
        <v>80.193964</v>
      </c>
      <c r="F12408" s="1">
        <v>805.0</v>
      </c>
      <c r="G12408" s="1">
        <v>48.0</v>
      </c>
    </row>
    <row r="12409">
      <c r="A12409" s="1" t="s">
        <v>9</v>
      </c>
      <c r="B12409" s="2">
        <v>44777.0</v>
      </c>
      <c r="C12409" s="3">
        <v>0.3319097222222222</v>
      </c>
      <c r="D12409" s="1">
        <v>12.999838</v>
      </c>
      <c r="E12409" s="1">
        <v>80.193964</v>
      </c>
      <c r="F12409" s="1">
        <v>805.0</v>
      </c>
      <c r="G12409" s="1">
        <v>48.0</v>
      </c>
    </row>
    <row r="12410">
      <c r="A12410" s="1" t="s">
        <v>7</v>
      </c>
      <c r="B12410" s="2">
        <v>44777.0</v>
      </c>
      <c r="C12410" s="3">
        <v>0.33208333333333334</v>
      </c>
      <c r="D12410" s="1">
        <v>12.998438</v>
      </c>
      <c r="E12410" s="1">
        <v>80.19222</v>
      </c>
      <c r="F12410" s="1">
        <v>805.0</v>
      </c>
      <c r="G12410" s="1">
        <v>47.0</v>
      </c>
    </row>
    <row r="12411">
      <c r="A12411" s="1" t="s">
        <v>8</v>
      </c>
      <c r="B12411" s="2">
        <v>44777.0</v>
      </c>
      <c r="C12411" s="3">
        <v>0.3321527777777778</v>
      </c>
      <c r="D12411" s="1">
        <v>12.998438</v>
      </c>
      <c r="E12411" s="1">
        <v>80.19222</v>
      </c>
      <c r="F12411" s="1">
        <v>805.0</v>
      </c>
      <c r="G12411" s="1">
        <v>47.0</v>
      </c>
    </row>
    <row r="12412">
      <c r="A12412" s="1" t="s">
        <v>7</v>
      </c>
      <c r="B12412" s="2">
        <v>44777.0</v>
      </c>
      <c r="C12412" s="3">
        <v>0.33239583333333333</v>
      </c>
      <c r="D12412" s="1">
        <v>12.751058</v>
      </c>
      <c r="E12412" s="1">
        <v>79.998554</v>
      </c>
      <c r="F12412" s="1">
        <v>2846.0</v>
      </c>
      <c r="G12412" s="1">
        <v>58.0</v>
      </c>
    </row>
    <row r="12413">
      <c r="A12413" s="1" t="s">
        <v>8</v>
      </c>
      <c r="B12413" s="2">
        <v>44777.0</v>
      </c>
      <c r="C12413" s="3">
        <v>0.33274305555555556</v>
      </c>
      <c r="D12413" s="1">
        <v>12.757332</v>
      </c>
      <c r="E12413" s="1">
        <v>80.002306</v>
      </c>
      <c r="F12413" s="1">
        <v>2846.0</v>
      </c>
      <c r="G12413" s="1">
        <v>57.0</v>
      </c>
    </row>
    <row r="12414">
      <c r="A12414" s="1" t="s">
        <v>8</v>
      </c>
      <c r="B12414" s="2">
        <v>44777.0</v>
      </c>
      <c r="C12414" s="3">
        <v>0.33283564814814814</v>
      </c>
      <c r="D12414" s="1">
        <v>12.757332</v>
      </c>
      <c r="E12414" s="1">
        <v>80.002306</v>
      </c>
      <c r="F12414" s="1">
        <v>2846.0</v>
      </c>
      <c r="G12414" s="1">
        <v>57.0</v>
      </c>
    </row>
    <row r="12415">
      <c r="A12415" s="1" t="s">
        <v>8</v>
      </c>
      <c r="B12415" s="2">
        <v>44777.0</v>
      </c>
      <c r="C12415" s="3">
        <v>0.33284722222222224</v>
      </c>
      <c r="D12415" s="1">
        <v>12.969621</v>
      </c>
      <c r="E12415" s="1">
        <v>80.150193</v>
      </c>
      <c r="F12415" s="1">
        <v>3143.0</v>
      </c>
      <c r="G12415" s="1">
        <v>26.0</v>
      </c>
    </row>
    <row r="12416">
      <c r="A12416" s="1" t="s">
        <v>8</v>
      </c>
      <c r="B12416" s="2">
        <v>44777.0</v>
      </c>
      <c r="C12416" s="3">
        <v>0.3330787037037037</v>
      </c>
      <c r="D12416" s="1">
        <v>12.968215</v>
      </c>
      <c r="E12416" s="1">
        <v>80.149489</v>
      </c>
      <c r="F12416" s="1">
        <v>3143.0</v>
      </c>
      <c r="G12416" s="1">
        <v>42.0</v>
      </c>
    </row>
    <row r="12417">
      <c r="A12417" s="1" t="s">
        <v>10</v>
      </c>
      <c r="B12417" s="2">
        <v>44777.0</v>
      </c>
      <c r="C12417" s="3">
        <v>0.3332638888888889</v>
      </c>
      <c r="D12417" s="1">
        <v>12.760728</v>
      </c>
      <c r="E12417" s="1">
        <v>80.003311</v>
      </c>
      <c r="F12417" s="1">
        <v>2846.0</v>
      </c>
      <c r="G12417" s="1">
        <v>1.0</v>
      </c>
    </row>
    <row r="12418">
      <c r="A12418" s="1" t="s">
        <v>8</v>
      </c>
      <c r="B12418" s="2">
        <v>44777.0</v>
      </c>
      <c r="C12418" s="3">
        <v>0.33328703703703705</v>
      </c>
      <c r="D12418" s="1">
        <v>12.994147</v>
      </c>
      <c r="E12418" s="1">
        <v>80.185956</v>
      </c>
      <c r="F12418" s="1">
        <v>805.0</v>
      </c>
      <c r="G12418" s="1">
        <v>26.0</v>
      </c>
    </row>
    <row r="12419">
      <c r="A12419" s="1" t="s">
        <v>8</v>
      </c>
      <c r="B12419" s="2">
        <v>44777.0</v>
      </c>
      <c r="C12419" s="3">
        <v>0.33328703703703705</v>
      </c>
      <c r="D12419" s="1">
        <v>12.994147</v>
      </c>
      <c r="E12419" s="1">
        <v>80.185956</v>
      </c>
      <c r="F12419" s="1">
        <v>805.0</v>
      </c>
      <c r="G12419" s="1">
        <v>26.0</v>
      </c>
    </row>
    <row r="12420">
      <c r="A12420" s="1" t="s">
        <v>8</v>
      </c>
      <c r="B12420" s="2">
        <v>44777.0</v>
      </c>
      <c r="C12420" s="3">
        <v>0.33337962962962964</v>
      </c>
      <c r="D12420" s="1">
        <v>12.99385</v>
      </c>
      <c r="E12420" s="1">
        <v>80.185354</v>
      </c>
      <c r="F12420" s="1">
        <v>805.0</v>
      </c>
      <c r="G12420" s="1">
        <v>30.0</v>
      </c>
    </row>
    <row r="12421">
      <c r="A12421" s="1" t="s">
        <v>8</v>
      </c>
      <c r="B12421" s="2">
        <v>44777.0</v>
      </c>
      <c r="C12421" s="3">
        <v>0.3338541666666667</v>
      </c>
      <c r="D12421" s="1">
        <v>12.991344</v>
      </c>
      <c r="E12421" s="1">
        <v>80.181308</v>
      </c>
      <c r="F12421" s="1">
        <v>805.0</v>
      </c>
      <c r="G12421" s="1">
        <v>50.0</v>
      </c>
    </row>
    <row r="12422">
      <c r="A12422" s="1" t="s">
        <v>7</v>
      </c>
      <c r="B12422" s="2">
        <v>44777.0</v>
      </c>
      <c r="C12422" s="3">
        <v>0.3340740740740741</v>
      </c>
      <c r="D12422" s="1">
        <v>12.764372</v>
      </c>
      <c r="E12422" s="1">
        <v>80.004501</v>
      </c>
      <c r="F12422" s="1">
        <v>2846.0</v>
      </c>
      <c r="G12422" s="1">
        <v>50.0</v>
      </c>
    </row>
    <row r="12423">
      <c r="A12423" s="1" t="s">
        <v>7</v>
      </c>
      <c r="B12423" s="2">
        <v>44777.0</v>
      </c>
      <c r="C12423" s="3">
        <v>0.334212962962963</v>
      </c>
      <c r="D12423" s="1">
        <v>12.765622</v>
      </c>
      <c r="E12423" s="1">
        <v>80.005024</v>
      </c>
      <c r="F12423" s="1">
        <v>2846.0</v>
      </c>
      <c r="G12423" s="1">
        <v>58.0</v>
      </c>
    </row>
    <row r="12424">
      <c r="A12424" s="1" t="s">
        <v>8</v>
      </c>
      <c r="B12424" s="2">
        <v>44777.0</v>
      </c>
      <c r="C12424" s="3">
        <v>0.3342361111111111</v>
      </c>
      <c r="D12424" s="1">
        <v>12.962138</v>
      </c>
      <c r="E12424" s="1">
        <v>80.146382</v>
      </c>
      <c r="F12424" s="1">
        <v>3143.0</v>
      </c>
      <c r="G12424" s="1">
        <v>24.0</v>
      </c>
    </row>
    <row r="12425">
      <c r="A12425" s="1" t="s">
        <v>8</v>
      </c>
      <c r="B12425" s="2">
        <v>44777.0</v>
      </c>
      <c r="C12425" s="3">
        <v>0.33461805555555557</v>
      </c>
      <c r="D12425" s="1">
        <v>12.988111</v>
      </c>
      <c r="E12425" s="1">
        <v>80.177137</v>
      </c>
      <c r="F12425" s="1">
        <v>805.0</v>
      </c>
      <c r="G12425" s="1">
        <v>38.0</v>
      </c>
    </row>
    <row r="12426">
      <c r="A12426" s="1" t="s">
        <v>8</v>
      </c>
      <c r="B12426" s="2">
        <v>44777.0</v>
      </c>
      <c r="C12426" s="3">
        <v>0.3346296296296296</v>
      </c>
      <c r="D12426" s="1">
        <v>12.956125</v>
      </c>
      <c r="E12426" s="1">
        <v>80.143193</v>
      </c>
      <c r="F12426" s="1">
        <v>5339.0</v>
      </c>
      <c r="G12426" s="1">
        <v>26.0</v>
      </c>
    </row>
    <row r="12427">
      <c r="A12427" s="1" t="s">
        <v>8</v>
      </c>
      <c r="B12427" s="2">
        <v>44777.0</v>
      </c>
      <c r="C12427" s="3">
        <v>0.33480324074074075</v>
      </c>
      <c r="D12427" s="1">
        <v>12.958086</v>
      </c>
      <c r="E12427" s="1">
        <v>80.144205</v>
      </c>
      <c r="F12427" s="1">
        <v>3143.0</v>
      </c>
      <c r="G12427" s="1">
        <v>32.0</v>
      </c>
    </row>
    <row r="12428">
      <c r="A12428" s="1" t="s">
        <v>8</v>
      </c>
      <c r="B12428" s="2">
        <v>44777.0</v>
      </c>
      <c r="C12428" s="3">
        <v>0.33511574074074074</v>
      </c>
      <c r="D12428" s="1">
        <v>12.955901</v>
      </c>
      <c r="E12428" s="1">
        <v>80.143078</v>
      </c>
      <c r="F12428" s="1">
        <v>3143.0</v>
      </c>
      <c r="G12428" s="1">
        <v>36.0</v>
      </c>
    </row>
    <row r="12429">
      <c r="A12429" s="1" t="s">
        <v>8</v>
      </c>
      <c r="B12429" s="2">
        <v>44777.0</v>
      </c>
      <c r="C12429" s="3">
        <v>0.3353009259259259</v>
      </c>
      <c r="D12429" s="1">
        <v>12.954908</v>
      </c>
      <c r="E12429" s="1">
        <v>80.142561</v>
      </c>
      <c r="F12429" s="1">
        <v>3143.0</v>
      </c>
      <c r="G12429" s="1">
        <v>52.0</v>
      </c>
    </row>
    <row r="12430">
      <c r="A12430" s="1" t="s">
        <v>7</v>
      </c>
      <c r="B12430" s="2">
        <v>44777.0</v>
      </c>
      <c r="C12430" s="3">
        <v>0.33541666666666664</v>
      </c>
      <c r="D12430" s="1">
        <v>12.780266</v>
      </c>
      <c r="E12430" s="1">
        <v>80.011759</v>
      </c>
      <c r="F12430" s="1">
        <v>2846.0</v>
      </c>
      <c r="G12430" s="1">
        <v>58.0</v>
      </c>
    </row>
    <row r="12431">
      <c r="A12431" s="1" t="s">
        <v>8</v>
      </c>
      <c r="B12431" s="2">
        <v>44777.0</v>
      </c>
      <c r="C12431" s="3">
        <v>0.33565972222222223</v>
      </c>
      <c r="D12431" s="1">
        <v>12.983895</v>
      </c>
      <c r="E12431" s="1">
        <v>80.170894</v>
      </c>
      <c r="F12431" s="1">
        <v>805.0</v>
      </c>
      <c r="G12431" s="1">
        <v>40.0</v>
      </c>
    </row>
    <row r="12432">
      <c r="A12432" s="1" t="s">
        <v>8</v>
      </c>
      <c r="B12432" s="2">
        <v>44777.0</v>
      </c>
      <c r="C12432" s="3">
        <v>0.33568287037037037</v>
      </c>
      <c r="D12432" s="1">
        <v>12.983895</v>
      </c>
      <c r="E12432" s="1">
        <v>80.170894</v>
      </c>
      <c r="F12432" s="1">
        <v>805.0</v>
      </c>
      <c r="G12432" s="1">
        <v>40.0</v>
      </c>
    </row>
    <row r="12433">
      <c r="A12433" s="1" t="s">
        <v>8</v>
      </c>
      <c r="B12433" s="2">
        <v>44777.0</v>
      </c>
      <c r="C12433" s="3">
        <v>0.33611111111111114</v>
      </c>
      <c r="D12433" s="1">
        <v>12.981768</v>
      </c>
      <c r="E12433" s="1">
        <v>80.16736</v>
      </c>
      <c r="F12433" s="1">
        <v>805.0</v>
      </c>
      <c r="G12433" s="1">
        <v>40.0</v>
      </c>
    </row>
    <row r="12434">
      <c r="A12434" s="1" t="s">
        <v>7</v>
      </c>
      <c r="B12434" s="2">
        <v>44777.0</v>
      </c>
      <c r="C12434" s="3">
        <v>0.3362384259259259</v>
      </c>
      <c r="D12434" s="1">
        <v>12.981768</v>
      </c>
      <c r="E12434" s="1">
        <v>80.16736</v>
      </c>
      <c r="F12434" s="1">
        <v>805.0</v>
      </c>
      <c r="G12434" s="1">
        <v>40.0</v>
      </c>
    </row>
    <row r="12435">
      <c r="A12435" s="1" t="s">
        <v>8</v>
      </c>
      <c r="B12435" s="2">
        <v>44777.0</v>
      </c>
      <c r="C12435" s="3">
        <v>0.3365625</v>
      </c>
      <c r="D12435" s="1">
        <v>12.980153</v>
      </c>
      <c r="E12435" s="1">
        <v>80.163828</v>
      </c>
      <c r="F12435" s="1">
        <v>805.0</v>
      </c>
      <c r="G12435" s="1">
        <v>49.0</v>
      </c>
    </row>
    <row r="12436">
      <c r="A12436" s="1" t="s">
        <v>8</v>
      </c>
      <c r="B12436" s="2">
        <v>44777.0</v>
      </c>
      <c r="C12436" s="3">
        <v>0.3368287037037037</v>
      </c>
      <c r="D12436" s="1">
        <v>12.951084</v>
      </c>
      <c r="E12436" s="1">
        <v>80.14003</v>
      </c>
      <c r="F12436" s="1">
        <v>3143.0</v>
      </c>
      <c r="G12436" s="1">
        <v>4.0</v>
      </c>
    </row>
    <row r="12437">
      <c r="A12437" s="1" t="s">
        <v>9</v>
      </c>
      <c r="B12437" s="2">
        <v>44777.0</v>
      </c>
      <c r="C12437" s="3">
        <v>0.3369097222222222</v>
      </c>
      <c r="D12437" s="1">
        <v>12.978831</v>
      </c>
      <c r="E12437" s="1">
        <v>80.161284</v>
      </c>
      <c r="F12437" s="1">
        <v>805.0</v>
      </c>
      <c r="G12437" s="1">
        <v>45.0</v>
      </c>
    </row>
    <row r="12438">
      <c r="A12438" s="1" t="s">
        <v>8</v>
      </c>
      <c r="B12438" s="2">
        <v>44777.0</v>
      </c>
      <c r="C12438" s="3">
        <v>0.33699074074074076</v>
      </c>
      <c r="D12438" s="1">
        <v>12.947826</v>
      </c>
      <c r="E12438" s="1">
        <v>80.137543</v>
      </c>
      <c r="F12438" s="1">
        <v>5339.0</v>
      </c>
      <c r="G12438" s="1">
        <v>48.0</v>
      </c>
    </row>
    <row r="12439">
      <c r="A12439" s="1" t="s">
        <v>8</v>
      </c>
      <c r="B12439" s="2">
        <v>44777.0</v>
      </c>
      <c r="C12439" s="3">
        <v>0.337025462962963</v>
      </c>
      <c r="D12439" s="1">
        <v>12.978118</v>
      </c>
      <c r="E12439" s="1">
        <v>80.16029</v>
      </c>
      <c r="F12439" s="1">
        <v>805.0</v>
      </c>
      <c r="G12439" s="1">
        <v>48.0</v>
      </c>
    </row>
    <row r="12440">
      <c r="A12440" s="1" t="s">
        <v>8</v>
      </c>
      <c r="B12440" s="2">
        <v>44777.0</v>
      </c>
      <c r="C12440" s="3">
        <v>0.33721064814814816</v>
      </c>
      <c r="D12440" s="1">
        <v>12.949107</v>
      </c>
      <c r="E12440" s="1">
        <v>80.138597</v>
      </c>
      <c r="F12440" s="1">
        <v>3143.0</v>
      </c>
      <c r="G12440" s="1">
        <v>34.0</v>
      </c>
    </row>
    <row r="12441">
      <c r="A12441" s="1" t="s">
        <v>8</v>
      </c>
      <c r="B12441" s="2">
        <v>44777.0</v>
      </c>
      <c r="C12441" s="3">
        <v>0.3372685185185185</v>
      </c>
      <c r="D12441" s="1">
        <v>12.976766</v>
      </c>
      <c r="E12441" s="1">
        <v>80.158245</v>
      </c>
      <c r="F12441" s="1">
        <v>805.0</v>
      </c>
      <c r="G12441" s="1">
        <v>49.0</v>
      </c>
    </row>
    <row r="12442">
      <c r="A12442" s="1" t="s">
        <v>8</v>
      </c>
      <c r="B12442" s="2">
        <v>44777.0</v>
      </c>
      <c r="C12442" s="3">
        <v>0.3373263888888889</v>
      </c>
      <c r="D12442" s="1">
        <v>12.944854</v>
      </c>
      <c r="E12442" s="1">
        <v>80.13525</v>
      </c>
      <c r="F12442" s="1">
        <v>5339.0</v>
      </c>
      <c r="G12442" s="1">
        <v>54.0</v>
      </c>
    </row>
    <row r="12443">
      <c r="A12443" s="1" t="s">
        <v>8</v>
      </c>
      <c r="B12443" s="2">
        <v>44777.0</v>
      </c>
      <c r="C12443" s="3">
        <v>0.33740740740740743</v>
      </c>
      <c r="D12443" s="1">
        <v>12.795443</v>
      </c>
      <c r="E12443" s="1">
        <v>80.020277</v>
      </c>
      <c r="F12443" s="1">
        <v>2846.0</v>
      </c>
      <c r="G12443" s="1">
        <v>38.0</v>
      </c>
    </row>
    <row r="12444">
      <c r="A12444" s="1" t="s">
        <v>8</v>
      </c>
      <c r="B12444" s="2">
        <v>44777.0</v>
      </c>
      <c r="C12444" s="3">
        <v>0.3380324074074074</v>
      </c>
      <c r="D12444" s="1">
        <v>12.973124</v>
      </c>
      <c r="E12444" s="1">
        <v>80.152921</v>
      </c>
      <c r="F12444" s="1">
        <v>805.0</v>
      </c>
      <c r="G12444" s="1">
        <v>0.0</v>
      </c>
    </row>
    <row r="12445">
      <c r="A12445" s="1" t="s">
        <v>8</v>
      </c>
      <c r="B12445" s="2">
        <v>44777.0</v>
      </c>
      <c r="C12445" s="3">
        <v>0.3380787037037037</v>
      </c>
      <c r="D12445" s="1">
        <v>12.973124</v>
      </c>
      <c r="E12445" s="1">
        <v>80.152921</v>
      </c>
      <c r="F12445" s="1">
        <v>805.0</v>
      </c>
      <c r="G12445" s="1">
        <v>0.0</v>
      </c>
    </row>
    <row r="12446">
      <c r="A12446" s="1" t="s">
        <v>8</v>
      </c>
      <c r="B12446" s="2">
        <v>44777.0</v>
      </c>
      <c r="C12446" s="3">
        <v>0.3383449074074074</v>
      </c>
      <c r="D12446" s="1">
        <v>12.971911</v>
      </c>
      <c r="E12446" s="1">
        <v>80.151412</v>
      </c>
      <c r="F12446" s="1">
        <v>805.0</v>
      </c>
      <c r="G12446" s="1">
        <v>21.0</v>
      </c>
    </row>
    <row r="12447">
      <c r="A12447" s="1" t="s">
        <v>8</v>
      </c>
      <c r="B12447" s="2">
        <v>44777.0</v>
      </c>
      <c r="C12447" s="3">
        <v>0.3383912037037037</v>
      </c>
      <c r="D12447" s="1">
        <v>12.942566</v>
      </c>
      <c r="E12447" s="1">
        <v>80.133322</v>
      </c>
      <c r="F12447" s="1">
        <v>3143.0</v>
      </c>
      <c r="G12447" s="1">
        <v>22.0</v>
      </c>
    </row>
    <row r="12448">
      <c r="A12448" s="1" t="s">
        <v>8</v>
      </c>
      <c r="B12448" s="2">
        <v>44777.0</v>
      </c>
      <c r="C12448" s="3">
        <v>0.3384259259259259</v>
      </c>
      <c r="D12448" s="1">
        <v>12.97124</v>
      </c>
      <c r="E12448" s="1">
        <v>80.151004</v>
      </c>
      <c r="F12448" s="1">
        <v>805.0</v>
      </c>
      <c r="G12448" s="1">
        <v>26.0</v>
      </c>
    </row>
    <row r="12449">
      <c r="A12449" s="1" t="s">
        <v>8</v>
      </c>
      <c r="B12449" s="2">
        <v>44777.0</v>
      </c>
      <c r="C12449" s="3">
        <v>0.33850694444444446</v>
      </c>
      <c r="D12449" s="1">
        <v>12.942016</v>
      </c>
      <c r="E12449" s="1">
        <v>80.13273</v>
      </c>
      <c r="F12449" s="1">
        <v>3143.0</v>
      </c>
      <c r="G12449" s="1">
        <v>37.0</v>
      </c>
    </row>
    <row r="12450">
      <c r="A12450" s="1" t="s">
        <v>7</v>
      </c>
      <c r="B12450" s="2">
        <v>44777.0</v>
      </c>
      <c r="C12450" s="3">
        <v>0.3388425925925926</v>
      </c>
      <c r="D12450" s="1">
        <v>12.814574</v>
      </c>
      <c r="E12450" s="1">
        <v>80.032795</v>
      </c>
      <c r="F12450" s="1">
        <v>2846.0</v>
      </c>
      <c r="G12450" s="1">
        <v>58.0</v>
      </c>
    </row>
    <row r="12451">
      <c r="A12451" s="1" t="s">
        <v>8</v>
      </c>
      <c r="B12451" s="2">
        <v>44777.0</v>
      </c>
      <c r="C12451" s="3">
        <v>0.3389351851851852</v>
      </c>
      <c r="D12451" s="1">
        <v>12.93937</v>
      </c>
      <c r="E12451" s="1">
        <v>80.130075</v>
      </c>
      <c r="F12451" s="1">
        <v>3143.0</v>
      </c>
      <c r="G12451" s="1">
        <v>36.0</v>
      </c>
    </row>
    <row r="12452">
      <c r="A12452" s="1" t="s">
        <v>8</v>
      </c>
      <c r="B12452" s="2">
        <v>44777.0</v>
      </c>
      <c r="C12452" s="3">
        <v>0.3391550925925926</v>
      </c>
      <c r="D12452" s="1">
        <v>12.937859</v>
      </c>
      <c r="E12452" s="1">
        <v>80.128726</v>
      </c>
      <c r="F12452" s="1">
        <v>3143.0</v>
      </c>
      <c r="G12452" s="1">
        <v>39.0</v>
      </c>
    </row>
    <row r="12453">
      <c r="A12453" s="1" t="s">
        <v>8</v>
      </c>
      <c r="B12453" s="2">
        <v>44777.0</v>
      </c>
      <c r="C12453" s="3">
        <v>0.33927083333333335</v>
      </c>
      <c r="D12453" s="1">
        <v>12.82016</v>
      </c>
      <c r="E12453" s="1">
        <v>80.036718</v>
      </c>
      <c r="F12453" s="1">
        <v>2846.0</v>
      </c>
      <c r="G12453" s="1">
        <v>54.0</v>
      </c>
    </row>
    <row r="12454">
      <c r="A12454" s="1" t="s">
        <v>8</v>
      </c>
      <c r="B12454" s="2">
        <v>44777.0</v>
      </c>
      <c r="C12454" s="3">
        <v>0.33939814814814817</v>
      </c>
      <c r="D12454" s="1">
        <v>12.966049</v>
      </c>
      <c r="E12454" s="1">
        <v>80.148535</v>
      </c>
      <c r="F12454" s="1">
        <v>805.0</v>
      </c>
      <c r="G12454" s="1">
        <v>35.0</v>
      </c>
    </row>
    <row r="12455">
      <c r="A12455" s="1" t="s">
        <v>8</v>
      </c>
      <c r="B12455" s="2">
        <v>44777.0</v>
      </c>
      <c r="C12455" s="3">
        <v>0.33939814814814817</v>
      </c>
      <c r="D12455" s="1">
        <v>12.966049</v>
      </c>
      <c r="E12455" s="1">
        <v>80.148535</v>
      </c>
      <c r="F12455" s="1">
        <v>805.0</v>
      </c>
      <c r="G12455" s="1">
        <v>35.0</v>
      </c>
    </row>
    <row r="12456">
      <c r="A12456" s="1" t="s">
        <v>8</v>
      </c>
      <c r="B12456" s="2">
        <v>44777.0</v>
      </c>
      <c r="C12456" s="3">
        <v>0.3397337962962963</v>
      </c>
      <c r="D12456" s="1">
        <v>12.936025</v>
      </c>
      <c r="E12456" s="1">
        <v>80.127116</v>
      </c>
      <c r="F12456" s="1">
        <v>3143.0</v>
      </c>
      <c r="G12456" s="1">
        <v>25.0</v>
      </c>
    </row>
    <row r="12457">
      <c r="A12457" s="1" t="s">
        <v>7</v>
      </c>
      <c r="B12457" s="2">
        <v>44777.0</v>
      </c>
      <c r="C12457" s="3">
        <v>0.3398263888888889</v>
      </c>
      <c r="D12457" s="1">
        <v>12.963326</v>
      </c>
      <c r="E12457" s="1">
        <v>80.147052</v>
      </c>
      <c r="F12457" s="1">
        <v>805.0</v>
      </c>
      <c r="G12457" s="1">
        <v>53.0</v>
      </c>
    </row>
    <row r="12458">
      <c r="A12458" s="1" t="s">
        <v>8</v>
      </c>
      <c r="B12458" s="2">
        <v>44777.0</v>
      </c>
      <c r="C12458" s="3">
        <v>0.339849537037037</v>
      </c>
      <c r="D12458" s="1">
        <v>12.962037</v>
      </c>
      <c r="E12458" s="1">
        <v>80.146326</v>
      </c>
      <c r="F12458" s="1">
        <v>805.0</v>
      </c>
      <c r="G12458" s="1">
        <v>52.0</v>
      </c>
    </row>
    <row r="12459">
      <c r="A12459" s="1" t="s">
        <v>8</v>
      </c>
      <c r="B12459" s="2">
        <v>44777.0</v>
      </c>
      <c r="C12459" s="3">
        <v>0.3400347222222222</v>
      </c>
      <c r="D12459" s="1">
        <v>12.961167</v>
      </c>
      <c r="E12459" s="1">
        <v>80.145886</v>
      </c>
      <c r="F12459" s="1">
        <v>805.0</v>
      </c>
      <c r="G12459" s="1">
        <v>39.0</v>
      </c>
    </row>
    <row r="12460">
      <c r="A12460" s="1" t="s">
        <v>8</v>
      </c>
      <c r="B12460" s="2">
        <v>44777.0</v>
      </c>
      <c r="C12460" s="3">
        <v>0.3400462962962963</v>
      </c>
      <c r="D12460" s="1">
        <v>12.961167</v>
      </c>
      <c r="E12460" s="1">
        <v>80.145886</v>
      </c>
      <c r="F12460" s="1">
        <v>805.0</v>
      </c>
      <c r="G12460" s="1">
        <v>39.0</v>
      </c>
    </row>
    <row r="12461">
      <c r="A12461" s="1" t="s">
        <v>8</v>
      </c>
      <c r="B12461" s="2">
        <v>44777.0</v>
      </c>
      <c r="C12461" s="3">
        <v>0.3400578703703704</v>
      </c>
      <c r="D12461" s="1">
        <v>12.933978</v>
      </c>
      <c r="E12461" s="1">
        <v>80.12522</v>
      </c>
      <c r="F12461" s="1">
        <v>3143.0</v>
      </c>
      <c r="G12461" s="1">
        <v>47.0</v>
      </c>
    </row>
    <row r="12462">
      <c r="A12462" s="1" t="s">
        <v>8</v>
      </c>
      <c r="B12462" s="2">
        <v>44777.0</v>
      </c>
      <c r="C12462" s="3">
        <v>0.3400810185185185</v>
      </c>
      <c r="D12462" s="1">
        <v>12.960185</v>
      </c>
      <c r="E12462" s="1">
        <v>80.145344</v>
      </c>
      <c r="F12462" s="1">
        <v>805.0</v>
      </c>
      <c r="G12462" s="1">
        <v>45.0</v>
      </c>
    </row>
    <row r="12463">
      <c r="A12463" s="1" t="s">
        <v>8</v>
      </c>
      <c r="B12463" s="2">
        <v>44777.0</v>
      </c>
      <c r="C12463" s="3">
        <v>0.3401388888888889</v>
      </c>
      <c r="D12463" s="1">
        <v>12.931504</v>
      </c>
      <c r="E12463" s="1">
        <v>80.122772</v>
      </c>
      <c r="F12463" s="1">
        <v>5339.0</v>
      </c>
      <c r="G12463" s="1">
        <v>44.0</v>
      </c>
    </row>
    <row r="12464">
      <c r="A12464" s="1" t="s">
        <v>8</v>
      </c>
      <c r="B12464" s="2">
        <v>44777.0</v>
      </c>
      <c r="C12464" s="3">
        <v>0.34023148148148147</v>
      </c>
      <c r="D12464" s="1">
        <v>12.930805</v>
      </c>
      <c r="E12464" s="1">
        <v>80.122052</v>
      </c>
      <c r="F12464" s="1">
        <v>5339.0</v>
      </c>
      <c r="G12464" s="1">
        <v>36.0</v>
      </c>
    </row>
    <row r="12465">
      <c r="A12465" s="1" t="s">
        <v>7</v>
      </c>
      <c r="B12465" s="2">
        <v>44777.0</v>
      </c>
      <c r="C12465" s="3">
        <v>0.34076388888888887</v>
      </c>
      <c r="D12465" s="1">
        <v>12.830827</v>
      </c>
      <c r="E12465" s="1">
        <v>80.045823</v>
      </c>
      <c r="F12465" s="1">
        <v>2846.0</v>
      </c>
      <c r="G12465" s="1">
        <v>52.0</v>
      </c>
    </row>
    <row r="12466">
      <c r="A12466" s="1" t="s">
        <v>8</v>
      </c>
      <c r="B12466" s="2">
        <v>44777.0</v>
      </c>
      <c r="C12466" s="3">
        <v>0.34091435185185187</v>
      </c>
      <c r="D12466" s="1">
        <v>12.931769</v>
      </c>
      <c r="E12466" s="1">
        <v>80.123</v>
      </c>
      <c r="F12466" s="1">
        <v>3143.0</v>
      </c>
      <c r="G12466" s="1">
        <v>17.0</v>
      </c>
    </row>
    <row r="12467">
      <c r="A12467" s="1" t="s">
        <v>8</v>
      </c>
      <c r="B12467" s="2">
        <v>44777.0</v>
      </c>
      <c r="C12467" s="3">
        <v>0.3409259259259259</v>
      </c>
      <c r="D12467" s="1">
        <v>12.931769</v>
      </c>
      <c r="E12467" s="1">
        <v>80.123</v>
      </c>
      <c r="F12467" s="1">
        <v>3143.0</v>
      </c>
      <c r="G12467" s="1">
        <v>17.0</v>
      </c>
    </row>
    <row r="12468">
      <c r="A12468" s="1" t="s">
        <v>8</v>
      </c>
      <c r="B12468" s="2">
        <v>44777.0</v>
      </c>
      <c r="C12468" s="3">
        <v>0.3409375</v>
      </c>
      <c r="D12468" s="1">
        <v>12.931769</v>
      </c>
      <c r="E12468" s="1">
        <v>80.123</v>
      </c>
      <c r="F12468" s="1">
        <v>3143.0</v>
      </c>
      <c r="G12468" s="1">
        <v>17.0</v>
      </c>
    </row>
    <row r="12469">
      <c r="A12469" s="1" t="s">
        <v>8</v>
      </c>
      <c r="B12469" s="2">
        <v>44777.0</v>
      </c>
      <c r="C12469" s="3">
        <v>0.3409375</v>
      </c>
      <c r="D12469" s="1">
        <v>12.931769</v>
      </c>
      <c r="E12469" s="1">
        <v>80.123</v>
      </c>
      <c r="F12469" s="1">
        <v>3143.0</v>
      </c>
      <c r="G12469" s="1">
        <v>17.0</v>
      </c>
    </row>
    <row r="12470">
      <c r="A12470" s="1" t="s">
        <v>8</v>
      </c>
      <c r="B12470" s="2">
        <v>44777.0</v>
      </c>
      <c r="C12470" s="3">
        <v>0.3409490740740741</v>
      </c>
      <c r="D12470" s="1">
        <v>12.931769</v>
      </c>
      <c r="E12470" s="1">
        <v>80.123</v>
      </c>
      <c r="F12470" s="1">
        <v>3143.0</v>
      </c>
      <c r="G12470" s="1">
        <v>17.0</v>
      </c>
    </row>
    <row r="12471">
      <c r="A12471" s="1" t="s">
        <v>8</v>
      </c>
      <c r="B12471" s="2">
        <v>44777.0</v>
      </c>
      <c r="C12471" s="3">
        <v>0.34100694444444446</v>
      </c>
      <c r="D12471" s="1">
        <v>12.92707</v>
      </c>
      <c r="E12471" s="1">
        <v>80.118271</v>
      </c>
      <c r="F12471" s="1">
        <v>5339.0</v>
      </c>
      <c r="G12471" s="1">
        <v>46.0</v>
      </c>
    </row>
    <row r="12472">
      <c r="A12472" s="1" t="s">
        <v>8</v>
      </c>
      <c r="B12472" s="2">
        <v>44777.0</v>
      </c>
      <c r="C12472" s="3">
        <v>0.3410185185185185</v>
      </c>
      <c r="D12472" s="1">
        <v>12.931394</v>
      </c>
      <c r="E12472" s="1">
        <v>80.122604</v>
      </c>
      <c r="F12472" s="1">
        <v>3143.0</v>
      </c>
      <c r="G12472" s="1">
        <v>28.0</v>
      </c>
    </row>
    <row r="12473">
      <c r="A12473" s="1" t="s">
        <v>9</v>
      </c>
      <c r="B12473" s="2">
        <v>44777.0</v>
      </c>
      <c r="C12473" s="3">
        <v>0.3410300925925926</v>
      </c>
      <c r="D12473" s="1">
        <v>12.953977</v>
      </c>
      <c r="E12473" s="1">
        <v>80.142029</v>
      </c>
      <c r="F12473" s="1">
        <v>805.0</v>
      </c>
      <c r="G12473" s="1">
        <v>34.0</v>
      </c>
    </row>
    <row r="12474">
      <c r="A12474" s="1" t="s">
        <v>8</v>
      </c>
      <c r="B12474" s="2">
        <v>44777.0</v>
      </c>
      <c r="C12474" s="3">
        <v>0.3410763888888889</v>
      </c>
      <c r="D12474" s="1">
        <v>12.930918</v>
      </c>
      <c r="E12474" s="1">
        <v>80.122141</v>
      </c>
      <c r="F12474" s="1">
        <v>3143.0</v>
      </c>
      <c r="G12474" s="1">
        <v>0.0</v>
      </c>
    </row>
    <row r="12475">
      <c r="A12475" s="1" t="s">
        <v>8</v>
      </c>
      <c r="B12475" s="2">
        <v>44777.0</v>
      </c>
      <c r="C12475" s="3">
        <v>0.3413310185185185</v>
      </c>
      <c r="D12475" s="1">
        <v>12.839959</v>
      </c>
      <c r="E12475" s="1">
        <v>80.055369</v>
      </c>
      <c r="F12475" s="1">
        <v>2846.0</v>
      </c>
      <c r="G12475" s="1">
        <v>52.0</v>
      </c>
    </row>
    <row r="12476">
      <c r="A12476" s="1" t="s">
        <v>10</v>
      </c>
      <c r="B12476" s="2">
        <v>44777.0</v>
      </c>
      <c r="C12476" s="3">
        <v>0.34180555555555553</v>
      </c>
      <c r="D12476" s="1">
        <v>12.93005</v>
      </c>
      <c r="E12476" s="1">
        <v>80.121306</v>
      </c>
      <c r="F12476" s="1">
        <v>3143.0</v>
      </c>
      <c r="G12476" s="1">
        <v>3.0</v>
      </c>
    </row>
    <row r="12477">
      <c r="A12477" s="1" t="s">
        <v>8</v>
      </c>
      <c r="B12477" s="2">
        <v>44777.0</v>
      </c>
      <c r="C12477" s="3">
        <v>0.34239583333333334</v>
      </c>
      <c r="D12477" s="1">
        <v>12.930293</v>
      </c>
      <c r="E12477" s="1">
        <v>80.119032</v>
      </c>
      <c r="F12477" s="1">
        <v>3143.0</v>
      </c>
      <c r="G12477" s="1">
        <v>48.0</v>
      </c>
    </row>
    <row r="12478">
      <c r="A12478" s="1" t="s">
        <v>7</v>
      </c>
      <c r="B12478" s="2">
        <v>44777.0</v>
      </c>
      <c r="C12478" s="3">
        <v>0.3425462962962963</v>
      </c>
      <c r="D12478" s="1">
        <v>12.918597</v>
      </c>
      <c r="E12478" s="1">
        <v>80.109307</v>
      </c>
      <c r="F12478" s="1">
        <v>5339.0</v>
      </c>
      <c r="G12478" s="1">
        <v>58.0</v>
      </c>
    </row>
    <row r="12479">
      <c r="A12479" s="1" t="s">
        <v>8</v>
      </c>
      <c r="B12479" s="2">
        <v>44777.0</v>
      </c>
      <c r="C12479" s="3">
        <v>0.34355324074074073</v>
      </c>
      <c r="D12479" s="1">
        <v>12.846814</v>
      </c>
      <c r="E12479" s="1">
        <v>80.062289</v>
      </c>
      <c r="F12479" s="1">
        <v>2846.0</v>
      </c>
      <c r="G12479" s="1">
        <v>44.0</v>
      </c>
    </row>
    <row r="12480">
      <c r="A12480" s="1" t="s">
        <v>8</v>
      </c>
      <c r="B12480" s="2">
        <v>44777.0</v>
      </c>
      <c r="C12480" s="3">
        <v>0.34359953703703705</v>
      </c>
      <c r="D12480" s="1">
        <v>12.949956</v>
      </c>
      <c r="E12480" s="1">
        <v>80.13919</v>
      </c>
      <c r="F12480" s="1">
        <v>805.0</v>
      </c>
      <c r="G12480" s="1">
        <v>38.0</v>
      </c>
    </row>
    <row r="12481">
      <c r="A12481" s="1" t="s">
        <v>8</v>
      </c>
      <c r="B12481" s="2">
        <v>44777.0</v>
      </c>
      <c r="C12481" s="3">
        <v>0.3436342592592593</v>
      </c>
      <c r="D12481" s="1">
        <v>12.915006</v>
      </c>
      <c r="E12481" s="1">
        <v>80.103497</v>
      </c>
      <c r="F12481" s="1">
        <v>5339.0</v>
      </c>
      <c r="G12481" s="1">
        <v>50.0</v>
      </c>
    </row>
    <row r="12482">
      <c r="A12482" s="1" t="s">
        <v>7</v>
      </c>
      <c r="B12482" s="2">
        <v>44777.0</v>
      </c>
      <c r="C12482" s="3">
        <v>0.3436574074074074</v>
      </c>
      <c r="D12482" s="1">
        <v>12.851357</v>
      </c>
      <c r="E12482" s="1">
        <v>80.065671</v>
      </c>
      <c r="F12482" s="1">
        <v>2846.0</v>
      </c>
      <c r="G12482" s="1">
        <v>57.0</v>
      </c>
    </row>
    <row r="12483">
      <c r="A12483" s="1" t="s">
        <v>8</v>
      </c>
      <c r="B12483" s="2">
        <v>44777.0</v>
      </c>
      <c r="C12483" s="3">
        <v>0.34375</v>
      </c>
      <c r="D12483" s="1">
        <v>12.914351</v>
      </c>
      <c r="E12483" s="1">
        <v>80.102496</v>
      </c>
      <c r="F12483" s="1">
        <v>5339.0</v>
      </c>
      <c r="G12483" s="1">
        <v>45.0</v>
      </c>
    </row>
    <row r="12484">
      <c r="A12484" s="1" t="s">
        <v>8</v>
      </c>
      <c r="B12484" s="2">
        <v>44777.0</v>
      </c>
      <c r="C12484" s="3">
        <v>0.3438773148148148</v>
      </c>
      <c r="D12484" s="1">
        <v>12.9377</v>
      </c>
      <c r="E12484" s="1">
        <v>80.12854</v>
      </c>
      <c r="F12484" s="1">
        <v>805.0</v>
      </c>
      <c r="G12484" s="1">
        <v>41.0</v>
      </c>
    </row>
    <row r="12485">
      <c r="A12485" s="1" t="s">
        <v>7</v>
      </c>
      <c r="B12485" s="2">
        <v>44777.0</v>
      </c>
      <c r="C12485" s="3">
        <v>0.3438888888888889</v>
      </c>
      <c r="D12485" s="1">
        <v>12.853728</v>
      </c>
      <c r="E12485" s="1">
        <v>80.067387</v>
      </c>
      <c r="F12485" s="1">
        <v>2846.0</v>
      </c>
      <c r="G12485" s="1">
        <v>58.0</v>
      </c>
    </row>
    <row r="12486">
      <c r="A12486" s="1" t="s">
        <v>7</v>
      </c>
      <c r="B12486" s="2">
        <v>44777.0</v>
      </c>
      <c r="C12486" s="3">
        <v>0.34471064814814817</v>
      </c>
      <c r="D12486" s="1">
        <v>12.934</v>
      </c>
      <c r="E12486" s="1">
        <v>80.12524</v>
      </c>
      <c r="F12486" s="1">
        <v>805.0</v>
      </c>
      <c r="G12486" s="1">
        <v>61.0</v>
      </c>
    </row>
    <row r="12487">
      <c r="A12487" s="1" t="s">
        <v>8</v>
      </c>
      <c r="B12487" s="2">
        <v>44777.0</v>
      </c>
      <c r="C12487" s="3">
        <v>0.34476851851851853</v>
      </c>
      <c r="D12487" s="1">
        <v>12.934</v>
      </c>
      <c r="E12487" s="1">
        <v>80.12524</v>
      </c>
      <c r="F12487" s="1">
        <v>805.0</v>
      </c>
      <c r="G12487" s="1">
        <v>61.0</v>
      </c>
    </row>
    <row r="12488">
      <c r="A12488" s="1" t="s">
        <v>8</v>
      </c>
      <c r="B12488" s="2">
        <v>44777.0</v>
      </c>
      <c r="C12488" s="3">
        <v>0.34528935185185183</v>
      </c>
      <c r="D12488" s="1">
        <v>12.862242</v>
      </c>
      <c r="E12488" s="1">
        <v>80.07341</v>
      </c>
      <c r="F12488" s="1">
        <v>2846.0</v>
      </c>
      <c r="G12488" s="1">
        <v>45.0</v>
      </c>
    </row>
    <row r="12489">
      <c r="A12489" s="1" t="s">
        <v>8</v>
      </c>
      <c r="B12489" s="2">
        <v>44777.0</v>
      </c>
      <c r="C12489" s="3">
        <v>0.3453587962962963</v>
      </c>
      <c r="D12489" s="1">
        <v>12.905344</v>
      </c>
      <c r="E12489" s="1">
        <v>80.095717</v>
      </c>
      <c r="F12489" s="1">
        <v>5339.0</v>
      </c>
      <c r="G12489" s="1">
        <v>22.0</v>
      </c>
    </row>
    <row r="12490">
      <c r="A12490" s="1" t="s">
        <v>8</v>
      </c>
      <c r="B12490" s="2">
        <v>44777.0</v>
      </c>
      <c r="C12490" s="3">
        <v>0.3453703703703704</v>
      </c>
      <c r="D12490" s="1">
        <v>12.905344</v>
      </c>
      <c r="E12490" s="1">
        <v>80.095717</v>
      </c>
      <c r="F12490" s="1">
        <v>5339.0</v>
      </c>
      <c r="G12490" s="1">
        <v>22.0</v>
      </c>
    </row>
    <row r="12491">
      <c r="A12491" s="1" t="s">
        <v>8</v>
      </c>
      <c r="B12491" s="2">
        <v>44777.0</v>
      </c>
      <c r="C12491" s="3">
        <v>0.3454861111111111</v>
      </c>
      <c r="D12491" s="1">
        <v>12.866371</v>
      </c>
      <c r="E12491" s="1">
        <v>80.075052</v>
      </c>
      <c r="F12491" s="1">
        <v>2846.0</v>
      </c>
      <c r="G12491" s="1">
        <v>45.0</v>
      </c>
    </row>
    <row r="12492">
      <c r="A12492" s="1" t="s">
        <v>8</v>
      </c>
      <c r="B12492" s="2">
        <v>44777.0</v>
      </c>
      <c r="C12492" s="3">
        <v>0.3456134259259259</v>
      </c>
      <c r="D12492" s="1">
        <v>12.866371</v>
      </c>
      <c r="E12492" s="1">
        <v>80.075052</v>
      </c>
      <c r="F12492" s="1">
        <v>2846.0</v>
      </c>
      <c r="G12492" s="1">
        <v>45.0</v>
      </c>
    </row>
    <row r="12493">
      <c r="A12493" s="1" t="s">
        <v>8</v>
      </c>
      <c r="B12493" s="2">
        <v>44777.0</v>
      </c>
      <c r="C12493" s="3">
        <v>0.3458333333333333</v>
      </c>
      <c r="D12493" s="1">
        <v>12.866371</v>
      </c>
      <c r="E12493" s="1">
        <v>80.075052</v>
      </c>
      <c r="F12493" s="1">
        <v>2846.0</v>
      </c>
      <c r="G12493" s="1">
        <v>45.0</v>
      </c>
    </row>
    <row r="12494">
      <c r="A12494" s="1" t="s">
        <v>8</v>
      </c>
      <c r="B12494" s="2">
        <v>44777.0</v>
      </c>
      <c r="C12494" s="3">
        <v>0.34600694444444446</v>
      </c>
      <c r="D12494" s="1">
        <v>12.870784</v>
      </c>
      <c r="E12494" s="1">
        <v>80.076754</v>
      </c>
      <c r="F12494" s="1">
        <v>2846.0</v>
      </c>
      <c r="G12494" s="1">
        <v>51.0</v>
      </c>
    </row>
    <row r="12495">
      <c r="A12495" s="1" t="s">
        <v>7</v>
      </c>
      <c r="B12495" s="2">
        <v>44777.0</v>
      </c>
      <c r="C12495" s="3">
        <v>0.3461342592592593</v>
      </c>
      <c r="D12495" s="1">
        <v>12.872053</v>
      </c>
      <c r="E12495" s="1">
        <v>80.077226</v>
      </c>
      <c r="F12495" s="1">
        <v>2846.0</v>
      </c>
      <c r="G12495" s="1">
        <v>55.0</v>
      </c>
    </row>
    <row r="12496">
      <c r="A12496" s="1" t="s">
        <v>8</v>
      </c>
      <c r="B12496" s="2">
        <v>44777.0</v>
      </c>
      <c r="C12496" s="3">
        <v>0.34649305555555554</v>
      </c>
      <c r="D12496" s="1">
        <v>12.897238</v>
      </c>
      <c r="E12496" s="1">
        <v>80.089428</v>
      </c>
      <c r="F12496" s="1">
        <v>5339.0</v>
      </c>
      <c r="G12496" s="1">
        <v>27.0</v>
      </c>
    </row>
    <row r="12497">
      <c r="A12497" s="1" t="s">
        <v>8</v>
      </c>
      <c r="B12497" s="2">
        <v>44777.0</v>
      </c>
      <c r="C12497" s="3">
        <v>0.34650462962962963</v>
      </c>
      <c r="D12497" s="1">
        <v>12.872053</v>
      </c>
      <c r="E12497" s="1">
        <v>80.077226</v>
      </c>
      <c r="F12497" s="1">
        <v>2846.0</v>
      </c>
      <c r="G12497" s="1">
        <v>55.0</v>
      </c>
    </row>
    <row r="12498">
      <c r="A12498" s="1" t="s">
        <v>9</v>
      </c>
      <c r="B12498" s="2">
        <v>44777.0</v>
      </c>
      <c r="C12498" s="3">
        <v>0.3466550925925926</v>
      </c>
      <c r="D12498" s="1">
        <v>12.932043</v>
      </c>
      <c r="E12498" s="1">
        <v>80.123306</v>
      </c>
      <c r="F12498" s="1">
        <v>805.0</v>
      </c>
      <c r="G12498" s="1">
        <v>30.0</v>
      </c>
    </row>
    <row r="12499">
      <c r="A12499" s="1" t="s">
        <v>8</v>
      </c>
      <c r="B12499" s="2">
        <v>44777.0</v>
      </c>
      <c r="C12499" s="3">
        <v>0.34684027777777776</v>
      </c>
      <c r="D12499" s="1">
        <v>12.925623</v>
      </c>
      <c r="E12499" s="1">
        <v>80.116793</v>
      </c>
      <c r="F12499" s="1">
        <v>805.0</v>
      </c>
      <c r="G12499" s="1">
        <v>36.0</v>
      </c>
    </row>
    <row r="12500">
      <c r="A12500" s="1" t="s">
        <v>7</v>
      </c>
      <c r="B12500" s="2">
        <v>44777.0</v>
      </c>
      <c r="C12500" s="3">
        <v>0.3471064814814815</v>
      </c>
      <c r="D12500" s="1">
        <v>12.923474</v>
      </c>
      <c r="E12500" s="1">
        <v>80.114673</v>
      </c>
      <c r="F12500" s="1">
        <v>805.0</v>
      </c>
      <c r="G12500" s="1">
        <v>55.0</v>
      </c>
    </row>
    <row r="12501">
      <c r="A12501" s="1" t="s">
        <v>8</v>
      </c>
      <c r="B12501" s="2">
        <v>44777.0</v>
      </c>
      <c r="C12501" s="3">
        <v>0.3471180555555556</v>
      </c>
      <c r="D12501" s="1">
        <v>12.923474</v>
      </c>
      <c r="E12501" s="1">
        <v>80.114673</v>
      </c>
      <c r="F12501" s="1">
        <v>805.0</v>
      </c>
      <c r="G12501" s="1">
        <v>55.0</v>
      </c>
    </row>
    <row r="12502">
      <c r="A12502" s="1" t="s">
        <v>7</v>
      </c>
      <c r="B12502" s="2">
        <v>44777.0</v>
      </c>
      <c r="C12502" s="3">
        <v>0.3474652777777778</v>
      </c>
      <c r="D12502" s="1">
        <v>12.920445</v>
      </c>
      <c r="E12502" s="1">
        <v>80.111592</v>
      </c>
      <c r="F12502" s="1">
        <v>805.0</v>
      </c>
      <c r="G12502" s="1">
        <v>58.0</v>
      </c>
    </row>
    <row r="12503">
      <c r="A12503" s="1" t="s">
        <v>8</v>
      </c>
      <c r="B12503" s="2">
        <v>44777.0</v>
      </c>
      <c r="C12503" s="3">
        <v>0.34752314814814816</v>
      </c>
      <c r="D12503" s="1">
        <v>12.888986</v>
      </c>
      <c r="E12503" s="1">
        <v>80.084226</v>
      </c>
      <c r="F12503" s="1">
        <v>5339.0</v>
      </c>
      <c r="G12503" s="1">
        <v>56.0</v>
      </c>
    </row>
    <row r="12504">
      <c r="A12504" s="1" t="s">
        <v>7</v>
      </c>
      <c r="B12504" s="2">
        <v>44777.0</v>
      </c>
      <c r="C12504" s="3">
        <v>0.3476273148148148</v>
      </c>
      <c r="D12504" s="1">
        <v>12.918599</v>
      </c>
      <c r="E12504" s="1">
        <v>80.109384</v>
      </c>
      <c r="F12504" s="1">
        <v>805.0</v>
      </c>
      <c r="G12504" s="1">
        <v>49.0</v>
      </c>
    </row>
    <row r="12505">
      <c r="A12505" s="1" t="s">
        <v>8</v>
      </c>
      <c r="B12505" s="2">
        <v>44777.0</v>
      </c>
      <c r="C12505" s="3">
        <v>0.34770833333333334</v>
      </c>
      <c r="D12505" s="1">
        <v>12.918599</v>
      </c>
      <c r="E12505" s="1">
        <v>80.109384</v>
      </c>
      <c r="F12505" s="1">
        <v>805.0</v>
      </c>
      <c r="G12505" s="1">
        <v>49.0</v>
      </c>
    </row>
    <row r="12506">
      <c r="A12506" s="1" t="s">
        <v>7</v>
      </c>
      <c r="B12506" s="2">
        <v>44777.0</v>
      </c>
      <c r="C12506" s="3">
        <v>0.3477546296296296</v>
      </c>
      <c r="D12506" s="1">
        <v>12.886363</v>
      </c>
      <c r="E12506" s="1">
        <v>80.083147</v>
      </c>
      <c r="F12506" s="1">
        <v>5339.0</v>
      </c>
      <c r="G12506" s="1">
        <v>56.0</v>
      </c>
    </row>
    <row r="12507">
      <c r="A12507" s="1" t="s">
        <v>8</v>
      </c>
      <c r="B12507" s="2">
        <v>44777.0</v>
      </c>
      <c r="C12507" s="3">
        <v>0.34792824074074075</v>
      </c>
      <c r="D12507" s="1">
        <v>12.917098</v>
      </c>
      <c r="E12507" s="1">
        <v>80.107453</v>
      </c>
      <c r="F12507" s="1">
        <v>805.0</v>
      </c>
      <c r="G12507" s="1">
        <v>48.0</v>
      </c>
    </row>
    <row r="12508">
      <c r="A12508" s="1" t="s">
        <v>7</v>
      </c>
      <c r="B12508" s="2">
        <v>44777.0</v>
      </c>
      <c r="C12508" s="3">
        <v>0.34805555555555556</v>
      </c>
      <c r="D12508" s="1">
        <v>12.916455</v>
      </c>
      <c r="E12508" s="1">
        <v>80.106261</v>
      </c>
      <c r="F12508" s="1">
        <v>805.0</v>
      </c>
      <c r="G12508" s="1">
        <v>57.0</v>
      </c>
    </row>
    <row r="12509">
      <c r="A12509" s="1" t="s">
        <v>8</v>
      </c>
      <c r="B12509" s="2">
        <v>44777.0</v>
      </c>
      <c r="C12509" s="3">
        <v>0.3485416666666667</v>
      </c>
      <c r="D12509" s="1">
        <v>12.924396</v>
      </c>
      <c r="E12509" s="1">
        <v>80.098888</v>
      </c>
      <c r="F12509" s="1">
        <v>3143.0</v>
      </c>
      <c r="G12509" s="1">
        <v>31.0</v>
      </c>
    </row>
    <row r="12510">
      <c r="A12510" s="1" t="s">
        <v>8</v>
      </c>
      <c r="B12510" s="2">
        <v>44777.0</v>
      </c>
      <c r="C12510" s="3">
        <v>0.3487615740740741</v>
      </c>
      <c r="D12510" s="1">
        <v>12.911093</v>
      </c>
      <c r="E12510" s="1">
        <v>80.101297</v>
      </c>
      <c r="F12510" s="1">
        <v>805.0</v>
      </c>
      <c r="G12510" s="1">
        <v>38.0</v>
      </c>
    </row>
    <row r="12511">
      <c r="A12511" s="1" t="s">
        <v>8</v>
      </c>
      <c r="B12511" s="2">
        <v>44777.0</v>
      </c>
      <c r="C12511" s="3">
        <v>0.34877314814814814</v>
      </c>
      <c r="D12511" s="1">
        <v>12.923394</v>
      </c>
      <c r="E12511" s="1">
        <v>80.097323</v>
      </c>
      <c r="F12511" s="1">
        <v>3143.0</v>
      </c>
      <c r="G12511" s="1">
        <v>33.0</v>
      </c>
    </row>
    <row r="12512">
      <c r="A12512" s="1" t="s">
        <v>8</v>
      </c>
      <c r="B12512" s="2">
        <v>44777.0</v>
      </c>
      <c r="C12512" s="3">
        <v>0.3489699074074074</v>
      </c>
      <c r="D12512" s="1">
        <v>12.909548</v>
      </c>
      <c r="E12512" s="1">
        <v>80.099728</v>
      </c>
      <c r="F12512" s="1">
        <v>805.0</v>
      </c>
      <c r="G12512" s="1">
        <v>40.0</v>
      </c>
    </row>
    <row r="12513">
      <c r="A12513" s="1" t="s">
        <v>8</v>
      </c>
      <c r="B12513" s="2">
        <v>44777.0</v>
      </c>
      <c r="C12513" s="3">
        <v>0.3490972222222222</v>
      </c>
      <c r="D12513" s="1">
        <v>12.909021</v>
      </c>
      <c r="E12513" s="1">
        <v>80.09879</v>
      </c>
      <c r="F12513" s="1">
        <v>805.0</v>
      </c>
      <c r="G12513" s="1">
        <v>43.0</v>
      </c>
    </row>
    <row r="12514">
      <c r="A12514" s="1" t="s">
        <v>8</v>
      </c>
      <c r="B12514" s="2">
        <v>44777.0</v>
      </c>
      <c r="C12514" s="3">
        <v>0.3491782407407407</v>
      </c>
      <c r="D12514" s="1">
        <v>12.90829</v>
      </c>
      <c r="E12514" s="1">
        <v>80.09799</v>
      </c>
      <c r="F12514" s="1">
        <v>805.0</v>
      </c>
      <c r="G12514" s="1">
        <v>36.0</v>
      </c>
    </row>
    <row r="12515">
      <c r="A12515" s="1" t="s">
        <v>10</v>
      </c>
      <c r="B12515" s="2">
        <v>44777.0</v>
      </c>
      <c r="C12515" s="3">
        <v>0.350162037037037</v>
      </c>
      <c r="D12515" s="1">
        <v>12.921123</v>
      </c>
      <c r="E12515" s="1">
        <v>80.090821</v>
      </c>
      <c r="F12515" s="1">
        <v>3143.0</v>
      </c>
      <c r="G12515" s="1">
        <v>52.0</v>
      </c>
    </row>
    <row r="12516">
      <c r="A12516" s="1" t="s">
        <v>8</v>
      </c>
      <c r="B12516" s="2">
        <v>44777.0</v>
      </c>
      <c r="C12516" s="3">
        <v>0.35020833333333334</v>
      </c>
      <c r="D12516" s="1">
        <v>12.904153</v>
      </c>
      <c r="E12516" s="1">
        <v>80.094812</v>
      </c>
      <c r="F12516" s="1">
        <v>805.0</v>
      </c>
      <c r="G12516" s="1">
        <v>29.0</v>
      </c>
    </row>
    <row r="12517">
      <c r="A12517" s="1" t="s">
        <v>8</v>
      </c>
      <c r="B12517" s="2">
        <v>44777.0</v>
      </c>
      <c r="C12517" s="3">
        <v>0.35032407407407407</v>
      </c>
      <c r="D12517" s="1">
        <v>12.903403</v>
      </c>
      <c r="E12517" s="1">
        <v>80.094184</v>
      </c>
      <c r="F12517" s="1">
        <v>805.0</v>
      </c>
      <c r="G12517" s="1">
        <v>44.0</v>
      </c>
    </row>
    <row r="12518">
      <c r="A12518" s="1" t="s">
        <v>8</v>
      </c>
      <c r="B12518" s="2">
        <v>44777.0</v>
      </c>
      <c r="C12518" s="3">
        <v>0.350474537037037</v>
      </c>
      <c r="D12518" s="1">
        <v>12.920827</v>
      </c>
      <c r="E12518" s="1">
        <v>80.089594</v>
      </c>
      <c r="F12518" s="1">
        <v>3143.0</v>
      </c>
      <c r="G12518" s="1">
        <v>19.0</v>
      </c>
    </row>
    <row r="12519">
      <c r="A12519" s="1" t="s">
        <v>8</v>
      </c>
      <c r="B12519" s="2">
        <v>44777.0</v>
      </c>
      <c r="C12519" s="3">
        <v>0.3506134259259259</v>
      </c>
      <c r="D12519" s="1">
        <v>12.920603</v>
      </c>
      <c r="E12519" s="1">
        <v>80.088929</v>
      </c>
      <c r="F12519" s="1">
        <v>3143.0</v>
      </c>
      <c r="G12519" s="1">
        <v>36.0</v>
      </c>
    </row>
    <row r="12520">
      <c r="A12520" s="1" t="s">
        <v>8</v>
      </c>
      <c r="B12520" s="2">
        <v>44777.0</v>
      </c>
      <c r="C12520" s="3">
        <v>0.35094907407407405</v>
      </c>
      <c r="D12520" s="1">
        <v>12.91969</v>
      </c>
      <c r="E12520" s="1">
        <v>80.086902</v>
      </c>
      <c r="F12520" s="1">
        <v>3143.0</v>
      </c>
      <c r="G12520" s="1">
        <v>31.0</v>
      </c>
    </row>
    <row r="12521">
      <c r="A12521" s="1" t="s">
        <v>8</v>
      </c>
      <c r="B12521" s="2">
        <v>44777.0</v>
      </c>
      <c r="C12521" s="3">
        <v>0.35105324074074074</v>
      </c>
      <c r="D12521" s="1">
        <v>12.919588</v>
      </c>
      <c r="E12521" s="1">
        <v>80.08586</v>
      </c>
      <c r="F12521" s="1">
        <v>3143.0</v>
      </c>
      <c r="G12521" s="1">
        <v>48.0</v>
      </c>
    </row>
    <row r="12522">
      <c r="A12522" s="1" t="s">
        <v>8</v>
      </c>
      <c r="B12522" s="2">
        <v>44777.0</v>
      </c>
      <c r="C12522" s="3">
        <v>0.3516087962962963</v>
      </c>
      <c r="D12522" s="1">
        <v>12.89601</v>
      </c>
      <c r="E12522" s="1">
        <v>80.088511</v>
      </c>
      <c r="F12522" s="1">
        <v>805.0</v>
      </c>
      <c r="G12522" s="1">
        <v>42.0</v>
      </c>
    </row>
    <row r="12523">
      <c r="A12523" s="1" t="s">
        <v>7</v>
      </c>
      <c r="B12523" s="2">
        <v>44777.0</v>
      </c>
      <c r="C12523" s="3">
        <v>0.3519791666666667</v>
      </c>
      <c r="D12523" s="1">
        <v>12.89388</v>
      </c>
      <c r="E12523" s="1">
        <v>80.086916</v>
      </c>
      <c r="F12523" s="1">
        <v>805.0</v>
      </c>
      <c r="G12523" s="1">
        <v>46.0</v>
      </c>
    </row>
    <row r="12524">
      <c r="A12524" s="1" t="s">
        <v>8</v>
      </c>
      <c r="B12524" s="2">
        <v>44777.0</v>
      </c>
      <c r="C12524" s="3">
        <v>0.3519907407407407</v>
      </c>
      <c r="D12524" s="1">
        <v>12.918076</v>
      </c>
      <c r="E12524" s="1">
        <v>80.081093</v>
      </c>
      <c r="F12524" s="1">
        <v>3143.0</v>
      </c>
      <c r="G12524" s="1">
        <v>21.0</v>
      </c>
    </row>
    <row r="12525">
      <c r="A12525" s="1" t="s">
        <v>8</v>
      </c>
      <c r="B12525" s="2">
        <v>44777.0</v>
      </c>
      <c r="C12525" s="3">
        <v>0.3519907407407407</v>
      </c>
      <c r="D12525" s="1">
        <v>12.918076</v>
      </c>
      <c r="E12525" s="1">
        <v>80.081093</v>
      </c>
      <c r="F12525" s="1">
        <v>3143.0</v>
      </c>
      <c r="G12525" s="1">
        <v>21.0</v>
      </c>
    </row>
    <row r="12526">
      <c r="A12526" s="1" t="s">
        <v>7</v>
      </c>
      <c r="B12526" s="2">
        <v>44777.0</v>
      </c>
      <c r="C12526" s="3">
        <v>0.35366898148148146</v>
      </c>
      <c r="D12526" s="1">
        <v>12.910966</v>
      </c>
      <c r="E12526" s="1">
        <v>80.074026</v>
      </c>
      <c r="F12526" s="1">
        <v>3143.0</v>
      </c>
      <c r="G12526" s="1">
        <v>40.0</v>
      </c>
    </row>
    <row r="12527">
      <c r="A12527" s="1" t="s">
        <v>8</v>
      </c>
      <c r="B12527" s="2">
        <v>44777.0</v>
      </c>
      <c r="C12527" s="3">
        <v>0.35475694444444444</v>
      </c>
      <c r="D12527" s="1">
        <v>12.878882</v>
      </c>
      <c r="E12527" s="1">
        <v>80.081049</v>
      </c>
      <c r="F12527" s="1">
        <v>805.0</v>
      </c>
      <c r="G12527" s="1">
        <v>22.0</v>
      </c>
    </row>
    <row r="12528">
      <c r="A12528" s="1" t="s">
        <v>8</v>
      </c>
      <c r="B12528" s="2">
        <v>44777.0</v>
      </c>
      <c r="C12528" s="3">
        <v>0.35476851851851854</v>
      </c>
      <c r="D12528" s="1">
        <v>12.878882</v>
      </c>
      <c r="E12528" s="1">
        <v>80.081049</v>
      </c>
      <c r="F12528" s="1">
        <v>805.0</v>
      </c>
      <c r="G12528" s="1">
        <v>22.0</v>
      </c>
    </row>
    <row r="12529">
      <c r="A12529" s="1" t="s">
        <v>8</v>
      </c>
      <c r="B12529" s="2">
        <v>44777.0</v>
      </c>
      <c r="C12529" s="3">
        <v>0.3547800925925926</v>
      </c>
      <c r="D12529" s="1">
        <v>12.878882</v>
      </c>
      <c r="E12529" s="1">
        <v>80.081049</v>
      </c>
      <c r="F12529" s="1">
        <v>805.0</v>
      </c>
      <c r="G12529" s="1">
        <v>22.0</v>
      </c>
    </row>
    <row r="12530">
      <c r="A12530" s="1" t="s">
        <v>8</v>
      </c>
      <c r="B12530" s="2">
        <v>44777.0</v>
      </c>
      <c r="C12530" s="3">
        <v>0.35479166666666667</v>
      </c>
      <c r="D12530" s="1">
        <v>12.878882</v>
      </c>
      <c r="E12530" s="1">
        <v>80.081049</v>
      </c>
      <c r="F12530" s="1">
        <v>805.0</v>
      </c>
      <c r="G12530" s="1">
        <v>22.0</v>
      </c>
    </row>
    <row r="12531">
      <c r="A12531" s="1" t="s">
        <v>8</v>
      </c>
      <c r="B12531" s="2">
        <v>44777.0</v>
      </c>
      <c r="C12531" s="3">
        <v>0.35479166666666667</v>
      </c>
      <c r="D12531" s="1">
        <v>12.878882</v>
      </c>
      <c r="E12531" s="1">
        <v>80.081049</v>
      </c>
      <c r="F12531" s="1">
        <v>805.0</v>
      </c>
      <c r="G12531" s="1">
        <v>22.0</v>
      </c>
    </row>
    <row r="12532">
      <c r="A12532" s="1" t="s">
        <v>7</v>
      </c>
      <c r="B12532" s="2">
        <v>44777.0</v>
      </c>
      <c r="C12532" s="3">
        <v>0.3554398148148148</v>
      </c>
      <c r="D12532" s="1">
        <v>12.88912</v>
      </c>
      <c r="E12532" s="1">
        <v>80.072371</v>
      </c>
      <c r="F12532" s="1">
        <v>3143.0</v>
      </c>
      <c r="G12532" s="1">
        <v>59.0</v>
      </c>
    </row>
    <row r="12533">
      <c r="A12533" s="1" t="s">
        <v>7</v>
      </c>
      <c r="B12533" s="2">
        <v>44777.0</v>
      </c>
      <c r="C12533" s="3">
        <v>0.3559375</v>
      </c>
      <c r="D12533" s="1">
        <v>12.886267</v>
      </c>
      <c r="E12533" s="1">
        <v>80.07911</v>
      </c>
      <c r="F12533" s="1">
        <v>3143.0</v>
      </c>
      <c r="G12533" s="1">
        <v>55.0</v>
      </c>
    </row>
    <row r="12534">
      <c r="A12534" s="1" t="s">
        <v>10</v>
      </c>
      <c r="B12534" s="2">
        <v>44777.0</v>
      </c>
      <c r="C12534" s="3">
        <v>0.35712962962962963</v>
      </c>
      <c r="D12534" s="1">
        <v>12.875677</v>
      </c>
      <c r="E12534" s="1">
        <v>80.083829</v>
      </c>
      <c r="F12534" s="1">
        <v>805.0</v>
      </c>
      <c r="G12534" s="1">
        <v>7.0</v>
      </c>
    </row>
    <row r="12535">
      <c r="A12535" s="1" t="s">
        <v>10</v>
      </c>
      <c r="B12535" s="2">
        <v>44777.0</v>
      </c>
      <c r="C12535" s="3">
        <v>0.6251388888888889</v>
      </c>
      <c r="D12535" s="1">
        <v>12.876085</v>
      </c>
      <c r="E12535" s="1">
        <v>80.083302</v>
      </c>
      <c r="F12535" s="1">
        <v>3143.0</v>
      </c>
      <c r="G12535" s="1">
        <v>9.0</v>
      </c>
    </row>
    <row r="12536">
      <c r="A12536" s="1" t="s">
        <v>10</v>
      </c>
      <c r="B12536" s="2">
        <v>44777.0</v>
      </c>
      <c r="C12536" s="3">
        <v>0.6882638888888889</v>
      </c>
      <c r="D12536" s="1">
        <v>12.875828</v>
      </c>
      <c r="E12536" s="1">
        <v>80.083773</v>
      </c>
      <c r="F12536" s="1">
        <v>805.0</v>
      </c>
      <c r="G12536" s="1">
        <v>1.0</v>
      </c>
    </row>
    <row r="12537">
      <c r="A12537" s="1" t="s">
        <v>10</v>
      </c>
      <c r="B12537" s="2">
        <v>44777.0</v>
      </c>
      <c r="C12537" s="3">
        <v>0.6888657407407407</v>
      </c>
      <c r="D12537" s="1">
        <v>12.875569</v>
      </c>
      <c r="E12537" s="1">
        <v>80.083652</v>
      </c>
      <c r="F12537" s="1">
        <v>2846.0</v>
      </c>
      <c r="G12537" s="1">
        <v>3.0</v>
      </c>
    </row>
    <row r="12538">
      <c r="A12538" s="1" t="s">
        <v>10</v>
      </c>
      <c r="B12538" s="2">
        <v>44777.0</v>
      </c>
      <c r="C12538" s="3">
        <v>0.6912615740740741</v>
      </c>
      <c r="D12538" s="1">
        <v>12.875954</v>
      </c>
      <c r="E12538" s="1">
        <v>80.084033</v>
      </c>
      <c r="F12538" s="1">
        <v>805.0</v>
      </c>
      <c r="G12538" s="1">
        <v>0.0</v>
      </c>
    </row>
    <row r="12539">
      <c r="A12539" s="1" t="s">
        <v>8</v>
      </c>
      <c r="B12539" s="2">
        <v>44777.0</v>
      </c>
      <c r="C12539" s="3">
        <v>0.6918287037037038</v>
      </c>
      <c r="D12539" s="1">
        <v>12.877718</v>
      </c>
      <c r="E12539" s="1">
        <v>80.084051</v>
      </c>
      <c r="F12539" s="1">
        <v>805.0</v>
      </c>
      <c r="G12539" s="1">
        <v>34.0</v>
      </c>
    </row>
    <row r="12540">
      <c r="A12540" s="1" t="s">
        <v>10</v>
      </c>
      <c r="B12540" s="2">
        <v>44777.0</v>
      </c>
      <c r="C12540" s="3">
        <v>0.6922569444444444</v>
      </c>
      <c r="D12540" s="1">
        <v>12.879334</v>
      </c>
      <c r="E12540" s="1">
        <v>80.08003</v>
      </c>
      <c r="F12540" s="1">
        <v>3143.0</v>
      </c>
      <c r="G12540" s="1">
        <v>11.0</v>
      </c>
    </row>
    <row r="12541">
      <c r="A12541" s="1" t="s">
        <v>7</v>
      </c>
      <c r="B12541" s="2">
        <v>44777.0</v>
      </c>
      <c r="C12541" s="3">
        <v>0.6926388888888889</v>
      </c>
      <c r="D12541" s="1">
        <v>12.87566</v>
      </c>
      <c r="E12541" s="1">
        <v>80.078944</v>
      </c>
      <c r="F12541" s="1">
        <v>2846.0</v>
      </c>
      <c r="G12541" s="1">
        <v>59.0</v>
      </c>
    </row>
    <row r="12542">
      <c r="A12542" s="1" t="s">
        <v>7</v>
      </c>
      <c r="B12542" s="2">
        <v>44777.0</v>
      </c>
      <c r="C12542" s="3">
        <v>0.6926967592592592</v>
      </c>
      <c r="D12542" s="1">
        <v>12.886812</v>
      </c>
      <c r="E12542" s="1">
        <v>80.083129</v>
      </c>
      <c r="F12542" s="1">
        <v>5339.0</v>
      </c>
      <c r="G12542" s="1">
        <v>49.0</v>
      </c>
    </row>
    <row r="12543">
      <c r="A12543" s="1" t="s">
        <v>7</v>
      </c>
      <c r="B12543" s="2">
        <v>44777.0</v>
      </c>
      <c r="C12543" s="3">
        <v>0.6929976851851852</v>
      </c>
      <c r="D12543" s="1">
        <v>12.883105</v>
      </c>
      <c r="E12543" s="1">
        <v>80.081432</v>
      </c>
      <c r="F12543" s="1">
        <v>3143.0</v>
      </c>
      <c r="G12543" s="1">
        <v>51.0</v>
      </c>
    </row>
    <row r="12544">
      <c r="A12544" s="1" t="s">
        <v>8</v>
      </c>
      <c r="B12544" s="2">
        <v>44777.0</v>
      </c>
      <c r="C12544" s="3">
        <v>0.6931018518518518</v>
      </c>
      <c r="D12544" s="1">
        <v>12.870241</v>
      </c>
      <c r="E12544" s="1">
        <v>80.076744</v>
      </c>
      <c r="F12544" s="1">
        <v>2846.0</v>
      </c>
      <c r="G12544" s="1">
        <v>58.0</v>
      </c>
    </row>
    <row r="12545">
      <c r="A12545" s="1" t="s">
        <v>7</v>
      </c>
      <c r="B12545" s="2">
        <v>44777.0</v>
      </c>
      <c r="C12545" s="3">
        <v>0.693136574074074</v>
      </c>
      <c r="D12545" s="1">
        <v>12.885239</v>
      </c>
      <c r="E12545" s="1">
        <v>80.080986</v>
      </c>
      <c r="F12545" s="1">
        <v>3143.0</v>
      </c>
      <c r="G12545" s="1">
        <v>54.0</v>
      </c>
    </row>
    <row r="12546">
      <c r="A12546" s="1" t="s">
        <v>8</v>
      </c>
      <c r="B12546" s="2">
        <v>44777.0</v>
      </c>
      <c r="C12546" s="3">
        <v>0.6933333333333334</v>
      </c>
      <c r="D12546" s="1">
        <v>12.892861</v>
      </c>
      <c r="E12546" s="1">
        <v>80.086</v>
      </c>
      <c r="F12546" s="1">
        <v>5339.0</v>
      </c>
      <c r="G12546" s="1">
        <v>45.0</v>
      </c>
    </row>
    <row r="12547">
      <c r="A12547" s="1" t="s">
        <v>8</v>
      </c>
      <c r="B12547" s="2">
        <v>44777.0</v>
      </c>
      <c r="C12547" s="3">
        <v>0.6937384259259259</v>
      </c>
      <c r="D12547" s="1">
        <v>12.896633</v>
      </c>
      <c r="E12547" s="1">
        <v>80.088856</v>
      </c>
      <c r="F12547" s="1">
        <v>5339.0</v>
      </c>
      <c r="G12547" s="1">
        <v>51.0</v>
      </c>
    </row>
    <row r="12548">
      <c r="A12548" s="1" t="s">
        <v>8</v>
      </c>
      <c r="B12548" s="2">
        <v>44777.0</v>
      </c>
      <c r="C12548" s="3">
        <v>0.6937962962962962</v>
      </c>
      <c r="D12548" s="1">
        <v>12.864855</v>
      </c>
      <c r="E12548" s="1">
        <v>80.074668</v>
      </c>
      <c r="F12548" s="1">
        <v>2846.0</v>
      </c>
      <c r="G12548" s="1">
        <v>45.0</v>
      </c>
    </row>
    <row r="12549">
      <c r="A12549" s="1" t="s">
        <v>7</v>
      </c>
      <c r="B12549" s="2">
        <v>44777.0</v>
      </c>
      <c r="C12549" s="3">
        <v>0.6940393518518518</v>
      </c>
      <c r="D12549" s="1">
        <v>12.889412</v>
      </c>
      <c r="E12549" s="1">
        <v>80.071719</v>
      </c>
      <c r="F12549" s="1">
        <v>3143.0</v>
      </c>
      <c r="G12549" s="1">
        <v>52.0</v>
      </c>
    </row>
    <row r="12550">
      <c r="A12550" s="1" t="s">
        <v>8</v>
      </c>
      <c r="B12550" s="2">
        <v>44777.0</v>
      </c>
      <c r="C12550" s="3">
        <v>0.6943055555555555</v>
      </c>
      <c r="D12550" s="1">
        <v>12.901397</v>
      </c>
      <c r="E12550" s="1">
        <v>80.092377</v>
      </c>
      <c r="F12550" s="1">
        <v>5339.0</v>
      </c>
      <c r="G12550" s="1">
        <v>54.0</v>
      </c>
    </row>
    <row r="12551">
      <c r="A12551" s="1" t="s">
        <v>8</v>
      </c>
      <c r="B12551" s="2">
        <v>44777.0</v>
      </c>
      <c r="C12551" s="3">
        <v>0.6945023148148148</v>
      </c>
      <c r="D12551" s="1">
        <v>12.902373</v>
      </c>
      <c r="E12551" s="1">
        <v>80.093127</v>
      </c>
      <c r="F12551" s="1">
        <v>5339.0</v>
      </c>
      <c r="G12551" s="1">
        <v>47.0</v>
      </c>
    </row>
    <row r="12552">
      <c r="A12552" s="1" t="s">
        <v>9</v>
      </c>
      <c r="B12552" s="2">
        <v>44777.0</v>
      </c>
      <c r="C12552" s="3">
        <v>0.6955324074074074</v>
      </c>
      <c r="D12552" s="1">
        <v>12.854744</v>
      </c>
      <c r="E12552" s="1">
        <v>80.068378</v>
      </c>
      <c r="F12552" s="1">
        <v>2846.0</v>
      </c>
      <c r="G12552" s="1">
        <v>53.0</v>
      </c>
    </row>
    <row r="12553">
      <c r="A12553" s="1" t="s">
        <v>7</v>
      </c>
      <c r="B12553" s="2">
        <v>44777.0</v>
      </c>
      <c r="C12553" s="3">
        <v>0.6957986111111111</v>
      </c>
      <c r="D12553" s="1">
        <v>12.853626</v>
      </c>
      <c r="E12553" s="1">
        <v>80.067497</v>
      </c>
      <c r="F12553" s="1">
        <v>2846.0</v>
      </c>
      <c r="G12553" s="1">
        <v>59.0</v>
      </c>
    </row>
    <row r="12554">
      <c r="A12554" s="1" t="s">
        <v>9</v>
      </c>
      <c r="B12554" s="2">
        <v>44777.0</v>
      </c>
      <c r="C12554" s="3">
        <v>0.6960069444444444</v>
      </c>
      <c r="D12554" s="1">
        <v>12.850026</v>
      </c>
      <c r="E12554" s="1">
        <v>80.064968</v>
      </c>
      <c r="F12554" s="1">
        <v>2846.0</v>
      </c>
      <c r="G12554" s="1">
        <v>57.0</v>
      </c>
    </row>
    <row r="12555">
      <c r="A12555" s="1" t="s">
        <v>7</v>
      </c>
      <c r="B12555" s="2">
        <v>44777.0</v>
      </c>
      <c r="C12555" s="3">
        <v>0.6961458333333334</v>
      </c>
      <c r="D12555" s="1">
        <v>12.848906</v>
      </c>
      <c r="E12555" s="1">
        <v>80.064111</v>
      </c>
      <c r="F12555" s="1">
        <v>2846.0</v>
      </c>
      <c r="G12555" s="1">
        <v>50.0</v>
      </c>
    </row>
    <row r="12556">
      <c r="A12556" s="1" t="s">
        <v>8</v>
      </c>
      <c r="B12556" s="2">
        <v>44777.0</v>
      </c>
      <c r="C12556" s="3">
        <v>0.6962152777777778</v>
      </c>
      <c r="D12556" s="1">
        <v>12.848906</v>
      </c>
      <c r="E12556" s="1">
        <v>80.064111</v>
      </c>
      <c r="F12556" s="1">
        <v>2846.0</v>
      </c>
      <c r="G12556" s="1">
        <v>50.0</v>
      </c>
    </row>
    <row r="12557">
      <c r="A12557" s="1" t="s">
        <v>8</v>
      </c>
      <c r="B12557" s="2">
        <v>44777.0</v>
      </c>
      <c r="C12557" s="3">
        <v>0.6964467592592593</v>
      </c>
      <c r="D12557" s="1">
        <v>12.880735</v>
      </c>
      <c r="E12557" s="1">
        <v>80.080571</v>
      </c>
      <c r="F12557" s="1">
        <v>805.0</v>
      </c>
      <c r="G12557" s="1">
        <v>37.0</v>
      </c>
    </row>
    <row r="12558">
      <c r="A12558" s="1" t="s">
        <v>8</v>
      </c>
      <c r="B12558" s="2">
        <v>44777.0</v>
      </c>
      <c r="C12558" s="3">
        <v>0.6967708333333333</v>
      </c>
      <c r="D12558" s="1">
        <v>12.883328</v>
      </c>
      <c r="E12558" s="1">
        <v>80.081406</v>
      </c>
      <c r="F12558" s="1">
        <v>805.0</v>
      </c>
      <c r="G12558" s="1">
        <v>40.0</v>
      </c>
    </row>
    <row r="12559">
      <c r="A12559" s="1" t="s">
        <v>8</v>
      </c>
      <c r="B12559" s="2">
        <v>44777.0</v>
      </c>
      <c r="C12559" s="3">
        <v>0.6969328703703703</v>
      </c>
      <c r="D12559" s="1">
        <v>12.88428</v>
      </c>
      <c r="E12559" s="1">
        <v>80.081792</v>
      </c>
      <c r="F12559" s="1">
        <v>805.0</v>
      </c>
      <c r="G12559" s="1">
        <v>41.0</v>
      </c>
    </row>
    <row r="12560">
      <c r="A12560" s="1" t="s">
        <v>8</v>
      </c>
      <c r="B12560" s="2">
        <v>44777.0</v>
      </c>
      <c r="C12560" s="3">
        <v>0.697025462962963</v>
      </c>
      <c r="D12560" s="1">
        <v>12.845507</v>
      </c>
      <c r="E12560" s="1">
        <v>80.061438</v>
      </c>
      <c r="F12560" s="1">
        <v>2846.0</v>
      </c>
      <c r="G12560" s="1">
        <v>40.0</v>
      </c>
    </row>
    <row r="12561">
      <c r="A12561" s="1" t="s">
        <v>7</v>
      </c>
      <c r="B12561" s="2">
        <v>44777.0</v>
      </c>
      <c r="C12561" s="3">
        <v>0.6971875</v>
      </c>
      <c r="D12561" s="1">
        <v>12.915938</v>
      </c>
      <c r="E12561" s="1">
        <v>80.104885</v>
      </c>
      <c r="F12561" s="1">
        <v>5339.0</v>
      </c>
      <c r="G12561" s="1">
        <v>50.0</v>
      </c>
    </row>
    <row r="12562">
      <c r="A12562" s="1" t="s">
        <v>9</v>
      </c>
      <c r="B12562" s="2">
        <v>44777.0</v>
      </c>
      <c r="C12562" s="3">
        <v>0.6972453703703704</v>
      </c>
      <c r="D12562" s="1">
        <v>12.915938</v>
      </c>
      <c r="E12562" s="1">
        <v>80.104885</v>
      </c>
      <c r="F12562" s="1">
        <v>5339.0</v>
      </c>
      <c r="G12562" s="1">
        <v>50.0</v>
      </c>
    </row>
    <row r="12563">
      <c r="A12563" s="1" t="s">
        <v>7</v>
      </c>
      <c r="B12563" s="2">
        <v>44777.0</v>
      </c>
      <c r="C12563" s="3">
        <v>0.6973263888888889</v>
      </c>
      <c r="D12563" s="1">
        <v>12.887445</v>
      </c>
      <c r="E12563" s="1">
        <v>80.083424</v>
      </c>
      <c r="F12563" s="1">
        <v>805.0</v>
      </c>
      <c r="G12563" s="1">
        <v>58.0</v>
      </c>
    </row>
    <row r="12564">
      <c r="A12564" s="1" t="s">
        <v>10</v>
      </c>
      <c r="B12564" s="2">
        <v>44777.0</v>
      </c>
      <c r="C12564" s="3">
        <v>0.6975578703703704</v>
      </c>
      <c r="D12564" s="1">
        <v>12.918378</v>
      </c>
      <c r="E12564" s="1">
        <v>80.081695</v>
      </c>
      <c r="F12564" s="1">
        <v>3143.0</v>
      </c>
      <c r="G12564" s="1">
        <v>20.0</v>
      </c>
    </row>
    <row r="12565">
      <c r="A12565" s="1" t="s">
        <v>8</v>
      </c>
      <c r="B12565" s="2">
        <v>44777.0</v>
      </c>
      <c r="C12565" s="3">
        <v>0.6979513888888889</v>
      </c>
      <c r="D12565" s="1">
        <v>12.895107</v>
      </c>
      <c r="E12565" s="1">
        <v>80.087664</v>
      </c>
      <c r="F12565" s="1">
        <v>805.0</v>
      </c>
      <c r="G12565" s="1">
        <v>58.0</v>
      </c>
    </row>
    <row r="12566">
      <c r="A12566" s="1" t="s">
        <v>8</v>
      </c>
      <c r="B12566" s="2">
        <v>44777.0</v>
      </c>
      <c r="C12566" s="3">
        <v>0.6980324074074075</v>
      </c>
      <c r="D12566" s="1">
        <v>12.89626</v>
      </c>
      <c r="E12566" s="1">
        <v>80.088559</v>
      </c>
      <c r="F12566" s="1">
        <v>805.0</v>
      </c>
      <c r="G12566" s="1">
        <v>54.0</v>
      </c>
    </row>
    <row r="12567">
      <c r="A12567" s="1" t="s">
        <v>7</v>
      </c>
      <c r="B12567" s="2">
        <v>44777.0</v>
      </c>
      <c r="C12567" s="3">
        <v>0.6982638888888889</v>
      </c>
      <c r="D12567" s="1">
        <v>12.92229</v>
      </c>
      <c r="E12567" s="1">
        <v>80.113366</v>
      </c>
      <c r="F12567" s="1">
        <v>5339.0</v>
      </c>
      <c r="G12567" s="1">
        <v>58.0</v>
      </c>
    </row>
    <row r="12568">
      <c r="A12568" s="1" t="s">
        <v>8</v>
      </c>
      <c r="B12568" s="2">
        <v>44777.0</v>
      </c>
      <c r="C12568" s="3">
        <v>0.698287037037037</v>
      </c>
      <c r="D12568" s="1">
        <v>12.89858</v>
      </c>
      <c r="E12568" s="1">
        <v>80.090248</v>
      </c>
      <c r="F12568" s="1">
        <v>805.0</v>
      </c>
      <c r="G12568" s="1">
        <v>57.0</v>
      </c>
    </row>
    <row r="12569">
      <c r="A12569" s="1" t="s">
        <v>9</v>
      </c>
      <c r="B12569" s="2">
        <v>44777.0</v>
      </c>
      <c r="C12569" s="3">
        <v>0.6983912037037037</v>
      </c>
      <c r="D12569" s="1">
        <v>12.899567</v>
      </c>
      <c r="E12569" s="1">
        <v>80.091005</v>
      </c>
      <c r="F12569" s="1">
        <v>805.0</v>
      </c>
      <c r="G12569" s="1">
        <v>46.0</v>
      </c>
    </row>
    <row r="12570">
      <c r="A12570" s="1" t="s">
        <v>8</v>
      </c>
      <c r="B12570" s="2">
        <v>44777.0</v>
      </c>
      <c r="C12570" s="3">
        <v>0.6984375</v>
      </c>
      <c r="D12570" s="1">
        <v>12.923369</v>
      </c>
      <c r="E12570" s="1">
        <v>80.114443</v>
      </c>
      <c r="F12570" s="1">
        <v>5339.0</v>
      </c>
      <c r="G12570" s="1">
        <v>50.0</v>
      </c>
    </row>
    <row r="12571">
      <c r="A12571" s="1" t="s">
        <v>7</v>
      </c>
      <c r="B12571" s="2">
        <v>44777.0</v>
      </c>
      <c r="C12571" s="3">
        <v>0.69875</v>
      </c>
      <c r="D12571" s="1">
        <v>12.836473</v>
      </c>
      <c r="E12571" s="1">
        <v>80.051979</v>
      </c>
      <c r="F12571" s="1">
        <v>2846.0</v>
      </c>
      <c r="G12571" s="1">
        <v>59.0</v>
      </c>
    </row>
    <row r="12572">
      <c r="A12572" s="1" t="s">
        <v>8</v>
      </c>
      <c r="B12572" s="2">
        <v>44777.0</v>
      </c>
      <c r="C12572" s="3">
        <v>0.6987962962962962</v>
      </c>
      <c r="D12572" s="1">
        <v>12.901808</v>
      </c>
      <c r="E12572" s="1">
        <v>80.092709</v>
      </c>
      <c r="F12572" s="1">
        <v>805.0</v>
      </c>
      <c r="G12572" s="1">
        <v>61.0</v>
      </c>
    </row>
    <row r="12573">
      <c r="A12573" s="1" t="s">
        <v>8</v>
      </c>
      <c r="B12573" s="2">
        <v>44777.0</v>
      </c>
      <c r="C12573" s="3">
        <v>0.6988888888888889</v>
      </c>
      <c r="D12573" s="1">
        <v>12.902974</v>
      </c>
      <c r="E12573" s="1">
        <v>80.093566</v>
      </c>
      <c r="F12573" s="1">
        <v>805.0</v>
      </c>
      <c r="G12573" s="1">
        <v>52.0</v>
      </c>
    </row>
    <row r="12574">
      <c r="A12574" s="1" t="s">
        <v>7</v>
      </c>
      <c r="B12574" s="2">
        <v>44777.0</v>
      </c>
      <c r="C12574" s="3">
        <v>0.6990625</v>
      </c>
      <c r="D12574" s="1">
        <v>12.904021</v>
      </c>
      <c r="E12574" s="1">
        <v>80.094363</v>
      </c>
      <c r="F12574" s="1">
        <v>805.0</v>
      </c>
      <c r="G12574" s="1">
        <v>50.0</v>
      </c>
    </row>
    <row r="12575">
      <c r="A12575" s="1" t="s">
        <v>8</v>
      </c>
      <c r="B12575" s="2">
        <v>44777.0</v>
      </c>
      <c r="C12575" s="3">
        <v>0.6991898148148148</v>
      </c>
      <c r="D12575" s="1">
        <v>12.906161</v>
      </c>
      <c r="E12575" s="1">
        <v>80.095956</v>
      </c>
      <c r="F12575" s="1">
        <v>805.0</v>
      </c>
      <c r="G12575" s="1">
        <v>54.0</v>
      </c>
    </row>
    <row r="12576">
      <c r="A12576" s="1" t="s">
        <v>8</v>
      </c>
      <c r="B12576" s="2">
        <v>44777.0</v>
      </c>
      <c r="C12576" s="3">
        <v>0.6992939814814815</v>
      </c>
      <c r="D12576" s="1">
        <v>12.906161</v>
      </c>
      <c r="E12576" s="1">
        <v>80.095956</v>
      </c>
      <c r="F12576" s="1">
        <v>805.0</v>
      </c>
      <c r="G12576" s="1">
        <v>54.0</v>
      </c>
    </row>
    <row r="12577">
      <c r="A12577" s="1" t="s">
        <v>8</v>
      </c>
      <c r="B12577" s="2">
        <v>44777.0</v>
      </c>
      <c r="C12577" s="3">
        <v>0.6998148148148148</v>
      </c>
      <c r="D12577" s="1">
        <v>12.909463</v>
      </c>
      <c r="E12577" s="1">
        <v>80.099044</v>
      </c>
      <c r="F12577" s="1">
        <v>805.0</v>
      </c>
      <c r="G12577" s="1">
        <v>33.0</v>
      </c>
    </row>
    <row r="12578">
      <c r="A12578" s="1" t="s">
        <v>8</v>
      </c>
      <c r="B12578" s="2">
        <v>44777.0</v>
      </c>
      <c r="C12578" s="3">
        <v>0.6998726851851852</v>
      </c>
      <c r="D12578" s="1">
        <v>12.909463</v>
      </c>
      <c r="E12578" s="1">
        <v>80.099044</v>
      </c>
      <c r="F12578" s="1">
        <v>805.0</v>
      </c>
      <c r="G12578" s="1">
        <v>33.0</v>
      </c>
    </row>
    <row r="12579">
      <c r="A12579" s="1" t="s">
        <v>8</v>
      </c>
      <c r="B12579" s="2">
        <v>44777.0</v>
      </c>
      <c r="C12579" s="3">
        <v>0.7002777777777778</v>
      </c>
      <c r="D12579" s="1">
        <v>12.92696</v>
      </c>
      <c r="E12579" s="1">
        <v>80.118104</v>
      </c>
      <c r="F12579" s="1">
        <v>5339.0</v>
      </c>
      <c r="G12579" s="1">
        <v>7.0</v>
      </c>
    </row>
    <row r="12580">
      <c r="A12580" s="1" t="s">
        <v>8</v>
      </c>
      <c r="B12580" s="2">
        <v>44777.0</v>
      </c>
      <c r="C12580" s="3">
        <v>0.7003703703703704</v>
      </c>
      <c r="D12580" s="1">
        <v>12.928423</v>
      </c>
      <c r="E12580" s="1">
        <v>80.119547</v>
      </c>
      <c r="F12580" s="1">
        <v>5339.0</v>
      </c>
      <c r="G12580" s="1">
        <v>43.0</v>
      </c>
    </row>
    <row r="12581">
      <c r="A12581" s="1" t="s">
        <v>7</v>
      </c>
      <c r="B12581" s="2">
        <v>44777.0</v>
      </c>
      <c r="C12581" s="3">
        <v>0.7007523148148148</v>
      </c>
      <c r="D12581" s="1">
        <v>12.819998</v>
      </c>
      <c r="E12581" s="1">
        <v>80.036856</v>
      </c>
      <c r="F12581" s="1">
        <v>2846.0</v>
      </c>
      <c r="G12581" s="1">
        <v>47.0</v>
      </c>
    </row>
    <row r="12582">
      <c r="A12582" s="1" t="s">
        <v>8</v>
      </c>
      <c r="B12582" s="2">
        <v>44777.0</v>
      </c>
      <c r="C12582" s="3">
        <v>0.7009375</v>
      </c>
      <c r="D12582" s="1">
        <v>12.913036</v>
      </c>
      <c r="E12582" s="1">
        <v>80.101485</v>
      </c>
      <c r="F12582" s="1">
        <v>805.0</v>
      </c>
      <c r="G12582" s="1">
        <v>46.0</v>
      </c>
    </row>
    <row r="12583">
      <c r="A12583" s="1" t="s">
        <v>7</v>
      </c>
      <c r="B12583" s="2">
        <v>44777.0</v>
      </c>
      <c r="C12583" s="3">
        <v>0.7009606481481482</v>
      </c>
      <c r="D12583" s="1">
        <v>12.913036</v>
      </c>
      <c r="E12583" s="1">
        <v>80.101485</v>
      </c>
      <c r="F12583" s="1">
        <v>805.0</v>
      </c>
      <c r="G12583" s="1">
        <v>46.0</v>
      </c>
    </row>
    <row r="12584">
      <c r="A12584" s="1" t="s">
        <v>8</v>
      </c>
      <c r="B12584" s="2">
        <v>44777.0</v>
      </c>
      <c r="C12584" s="3">
        <v>0.7010185185185185</v>
      </c>
      <c r="D12584" s="1">
        <v>12.923994</v>
      </c>
      <c r="E12584" s="1">
        <v>80.09813</v>
      </c>
      <c r="F12584" s="1">
        <v>3143.0</v>
      </c>
      <c r="G12584" s="1">
        <v>22.0</v>
      </c>
    </row>
    <row r="12585">
      <c r="A12585" s="1" t="s">
        <v>8</v>
      </c>
      <c r="B12585" s="2">
        <v>44777.0</v>
      </c>
      <c r="C12585" s="3">
        <v>0.7011921296296296</v>
      </c>
      <c r="D12585" s="1">
        <v>12.915396</v>
      </c>
      <c r="E12585" s="1">
        <v>80.102541</v>
      </c>
      <c r="F12585" s="1">
        <v>805.0</v>
      </c>
      <c r="G12585" s="1">
        <v>53.0</v>
      </c>
    </row>
    <row r="12586">
      <c r="A12586" s="1" t="s">
        <v>7</v>
      </c>
      <c r="B12586" s="2">
        <v>44777.0</v>
      </c>
      <c r="C12586" s="3">
        <v>0.7012962962962963</v>
      </c>
      <c r="D12586" s="1">
        <v>12.915705</v>
      </c>
      <c r="E12586" s="1">
        <v>80.103892</v>
      </c>
      <c r="F12586" s="1">
        <v>805.0</v>
      </c>
      <c r="G12586" s="1">
        <v>55.0</v>
      </c>
    </row>
    <row r="12587">
      <c r="A12587" s="1" t="s">
        <v>7</v>
      </c>
      <c r="B12587" s="2">
        <v>44777.0</v>
      </c>
      <c r="C12587" s="3">
        <v>0.701412037037037</v>
      </c>
      <c r="D12587" s="1">
        <v>12.916071</v>
      </c>
      <c r="E12587" s="1">
        <v>80.105235</v>
      </c>
      <c r="F12587" s="1">
        <v>805.0</v>
      </c>
      <c r="G12587" s="1">
        <v>51.0</v>
      </c>
    </row>
    <row r="12588">
      <c r="A12588" s="1" t="s">
        <v>7</v>
      </c>
      <c r="B12588" s="2">
        <v>44777.0</v>
      </c>
      <c r="C12588" s="3">
        <v>0.7014814814814815</v>
      </c>
      <c r="D12588" s="1">
        <v>12.916071</v>
      </c>
      <c r="E12588" s="1">
        <v>80.105235</v>
      </c>
      <c r="F12588" s="1">
        <v>805.0</v>
      </c>
      <c r="G12588" s="1">
        <v>51.0</v>
      </c>
    </row>
    <row r="12589">
      <c r="A12589" s="1" t="s">
        <v>7</v>
      </c>
      <c r="B12589" s="2">
        <v>44777.0</v>
      </c>
      <c r="C12589" s="3">
        <v>0.7015856481481482</v>
      </c>
      <c r="D12589" s="1">
        <v>12.818983</v>
      </c>
      <c r="E12589" s="1">
        <v>80.036111</v>
      </c>
      <c r="F12589" s="1">
        <v>2846.0</v>
      </c>
      <c r="G12589" s="1">
        <v>52.0</v>
      </c>
    </row>
    <row r="12590">
      <c r="A12590" s="1" t="s">
        <v>8</v>
      </c>
      <c r="B12590" s="2">
        <v>44777.0</v>
      </c>
      <c r="C12590" s="3">
        <v>0.7016435185185185</v>
      </c>
      <c r="D12590" s="1">
        <v>12.932685</v>
      </c>
      <c r="E12590" s="1">
        <v>80.123825</v>
      </c>
      <c r="F12590" s="1">
        <v>5339.0</v>
      </c>
      <c r="G12590" s="1">
        <v>40.0</v>
      </c>
    </row>
    <row r="12591">
      <c r="A12591" s="1" t="s">
        <v>8</v>
      </c>
      <c r="B12591" s="2">
        <v>44777.0</v>
      </c>
      <c r="C12591" s="3">
        <v>0.7018402777777778</v>
      </c>
      <c r="D12591" s="1">
        <v>12.918294</v>
      </c>
      <c r="E12591" s="1">
        <v>80.108849</v>
      </c>
      <c r="F12591" s="1">
        <v>805.0</v>
      </c>
      <c r="G12591" s="1">
        <v>54.0</v>
      </c>
    </row>
    <row r="12592">
      <c r="A12592" s="1" t="s">
        <v>7</v>
      </c>
      <c r="B12592" s="2">
        <v>44777.0</v>
      </c>
      <c r="C12592" s="3">
        <v>0.7020949074074074</v>
      </c>
      <c r="D12592" s="1">
        <v>12.920902</v>
      </c>
      <c r="E12592" s="1">
        <v>80.111894</v>
      </c>
      <c r="F12592" s="1">
        <v>805.0</v>
      </c>
      <c r="G12592" s="1">
        <v>58.0</v>
      </c>
    </row>
    <row r="12593">
      <c r="A12593" s="1" t="s">
        <v>8</v>
      </c>
      <c r="B12593" s="2">
        <v>44777.0</v>
      </c>
      <c r="C12593" s="3">
        <v>0.7021180555555555</v>
      </c>
      <c r="D12593" s="1">
        <v>12.920902</v>
      </c>
      <c r="E12593" s="1">
        <v>80.111894</v>
      </c>
      <c r="F12593" s="1">
        <v>805.0</v>
      </c>
      <c r="G12593" s="1">
        <v>58.0</v>
      </c>
    </row>
    <row r="12594">
      <c r="A12594" s="1" t="s">
        <v>9</v>
      </c>
      <c r="B12594" s="2">
        <v>44777.0</v>
      </c>
      <c r="C12594" s="3">
        <v>0.7021990740740741</v>
      </c>
      <c r="D12594" s="1">
        <v>12.818983</v>
      </c>
      <c r="E12594" s="1">
        <v>80.036111</v>
      </c>
      <c r="F12594" s="1">
        <v>2846.0</v>
      </c>
      <c r="G12594" s="1">
        <v>52.0</v>
      </c>
    </row>
    <row r="12595">
      <c r="A12595" s="1" t="s">
        <v>7</v>
      </c>
      <c r="B12595" s="2">
        <v>44777.0</v>
      </c>
      <c r="C12595" s="3">
        <v>0.7023263888888889</v>
      </c>
      <c r="D12595" s="1">
        <v>12.92284</v>
      </c>
      <c r="E12595" s="1">
        <v>80.11392</v>
      </c>
      <c r="F12595" s="1">
        <v>805.0</v>
      </c>
      <c r="G12595" s="1">
        <v>57.0</v>
      </c>
    </row>
    <row r="12596">
      <c r="A12596" s="1" t="s">
        <v>8</v>
      </c>
      <c r="B12596" s="2">
        <v>44777.0</v>
      </c>
      <c r="C12596" s="3">
        <v>0.7023842592592593</v>
      </c>
      <c r="D12596" s="1">
        <v>12.92284</v>
      </c>
      <c r="E12596" s="1">
        <v>80.11392</v>
      </c>
      <c r="F12596" s="1">
        <v>805.0</v>
      </c>
      <c r="G12596" s="1">
        <v>57.0</v>
      </c>
    </row>
    <row r="12597">
      <c r="A12597" s="1" t="s">
        <v>8</v>
      </c>
      <c r="B12597" s="2">
        <v>44777.0</v>
      </c>
      <c r="C12597" s="3">
        <v>0.7035416666666666</v>
      </c>
      <c r="D12597" s="1">
        <v>12.802243</v>
      </c>
      <c r="E12597" s="1">
        <v>80.025039</v>
      </c>
      <c r="F12597" s="1">
        <v>2846.0</v>
      </c>
      <c r="G12597" s="1">
        <v>43.0</v>
      </c>
    </row>
    <row r="12598">
      <c r="A12598" s="1" t="s">
        <v>7</v>
      </c>
      <c r="B12598" s="2">
        <v>44777.0</v>
      </c>
      <c r="C12598" s="3">
        <v>0.7039120370370371</v>
      </c>
      <c r="D12598" s="1">
        <v>12.790643</v>
      </c>
      <c r="E12598" s="1">
        <v>80.017454</v>
      </c>
      <c r="F12598" s="1">
        <v>2846.0</v>
      </c>
      <c r="G12598" s="1">
        <v>57.0</v>
      </c>
    </row>
    <row r="12599">
      <c r="A12599" s="1" t="s">
        <v>7</v>
      </c>
      <c r="B12599" s="2">
        <v>44777.0</v>
      </c>
      <c r="C12599" s="3">
        <v>0.7039236111111111</v>
      </c>
      <c r="D12599" s="1">
        <v>12.944728</v>
      </c>
      <c r="E12599" s="1">
        <v>80.135113</v>
      </c>
      <c r="F12599" s="1">
        <v>5339.0</v>
      </c>
      <c r="G12599" s="1">
        <v>57.0</v>
      </c>
    </row>
    <row r="12600">
      <c r="A12600" s="1" t="s">
        <v>7</v>
      </c>
      <c r="B12600" s="2">
        <v>44777.0</v>
      </c>
      <c r="C12600" s="3">
        <v>0.7043518518518519</v>
      </c>
      <c r="D12600" s="1">
        <v>12.949447</v>
      </c>
      <c r="E12600" s="1">
        <v>80.138655</v>
      </c>
      <c r="F12600" s="1">
        <v>5339.0</v>
      </c>
      <c r="G12600" s="1">
        <v>57.0</v>
      </c>
    </row>
    <row r="12601">
      <c r="A12601" s="1" t="s">
        <v>8</v>
      </c>
      <c r="B12601" s="2">
        <v>44777.0</v>
      </c>
      <c r="C12601" s="3">
        <v>0.7049305555555555</v>
      </c>
      <c r="D12601" s="1">
        <v>12.782974</v>
      </c>
      <c r="E12601" s="1">
        <v>80.013138</v>
      </c>
      <c r="F12601" s="1">
        <v>2846.0</v>
      </c>
      <c r="G12601" s="1">
        <v>58.0</v>
      </c>
    </row>
    <row r="12602">
      <c r="A12602" s="1" t="s">
        <v>8</v>
      </c>
      <c r="B12602" s="2">
        <v>44777.0</v>
      </c>
      <c r="C12602" s="3">
        <v>0.7055439814814815</v>
      </c>
      <c r="D12602" s="1">
        <v>12.776278</v>
      </c>
      <c r="E12602" s="1">
        <v>80.010195</v>
      </c>
      <c r="F12602" s="1">
        <v>2846.0</v>
      </c>
      <c r="G12602" s="1">
        <v>58.0</v>
      </c>
    </row>
    <row r="12603">
      <c r="A12603" s="1" t="s">
        <v>9</v>
      </c>
      <c r="B12603" s="2">
        <v>44777.0</v>
      </c>
      <c r="C12603" s="3">
        <v>0.7056481481481481</v>
      </c>
      <c r="D12603" s="1">
        <v>12.770949</v>
      </c>
      <c r="E12603" s="1">
        <v>80.007804</v>
      </c>
      <c r="F12603" s="1">
        <v>2846.0</v>
      </c>
      <c r="G12603" s="1">
        <v>54.0</v>
      </c>
    </row>
    <row r="12604">
      <c r="A12604" s="1" t="s">
        <v>8</v>
      </c>
      <c r="B12604" s="2">
        <v>44777.0</v>
      </c>
      <c r="C12604" s="3">
        <v>0.7060416666666667</v>
      </c>
      <c r="D12604" s="1">
        <v>12.76981</v>
      </c>
      <c r="E12604" s="1">
        <v>80.007249</v>
      </c>
      <c r="F12604" s="1">
        <v>2846.0</v>
      </c>
      <c r="G12604" s="1">
        <v>51.0</v>
      </c>
    </row>
    <row r="12605">
      <c r="A12605" s="1" t="s">
        <v>8</v>
      </c>
      <c r="B12605" s="2">
        <v>44777.0</v>
      </c>
      <c r="C12605" s="3">
        <v>0.7061921296296296</v>
      </c>
      <c r="D12605" s="1">
        <v>12.931271</v>
      </c>
      <c r="E12605" s="1">
        <v>80.122354</v>
      </c>
      <c r="F12605" s="1">
        <v>805.0</v>
      </c>
      <c r="G12605" s="1">
        <v>22.0</v>
      </c>
    </row>
    <row r="12606">
      <c r="A12606" s="1" t="s">
        <v>8</v>
      </c>
      <c r="B12606" s="2">
        <v>44777.0</v>
      </c>
      <c r="C12606" s="3">
        <v>0.7062037037037037</v>
      </c>
      <c r="D12606" s="1">
        <v>12.93069</v>
      </c>
      <c r="E12606" s="1">
        <v>80.116758</v>
      </c>
      <c r="F12606" s="1">
        <v>3143.0</v>
      </c>
      <c r="G12606" s="1">
        <v>32.0</v>
      </c>
    </row>
    <row r="12607">
      <c r="A12607" s="1" t="s">
        <v>8</v>
      </c>
      <c r="B12607" s="2">
        <v>44777.0</v>
      </c>
      <c r="C12607" s="3">
        <v>0.70625</v>
      </c>
      <c r="D12607" s="1">
        <v>12.956299</v>
      </c>
      <c r="E12607" s="1">
        <v>80.143179</v>
      </c>
      <c r="F12607" s="1">
        <v>5339.0</v>
      </c>
      <c r="G12607" s="1">
        <v>22.0</v>
      </c>
    </row>
    <row r="12608">
      <c r="A12608" s="1" t="s">
        <v>8</v>
      </c>
      <c r="B12608" s="2">
        <v>44777.0</v>
      </c>
      <c r="C12608" s="3">
        <v>0.7062731481481481</v>
      </c>
      <c r="D12608" s="1">
        <v>12.956299</v>
      </c>
      <c r="E12608" s="1">
        <v>80.143179</v>
      </c>
      <c r="F12608" s="1">
        <v>5339.0</v>
      </c>
      <c r="G12608" s="1">
        <v>22.0</v>
      </c>
    </row>
    <row r="12609">
      <c r="A12609" s="1" t="s">
        <v>8</v>
      </c>
      <c r="B12609" s="2">
        <v>44777.0</v>
      </c>
      <c r="C12609" s="3">
        <v>0.7062847222222223</v>
      </c>
      <c r="D12609" s="1">
        <v>12.932027</v>
      </c>
      <c r="E12609" s="1">
        <v>80.12313</v>
      </c>
      <c r="F12609" s="1">
        <v>805.0</v>
      </c>
      <c r="G12609" s="1">
        <v>31.0</v>
      </c>
    </row>
    <row r="12610">
      <c r="A12610" s="1" t="s">
        <v>8</v>
      </c>
      <c r="B12610" s="2">
        <v>44777.0</v>
      </c>
      <c r="C12610" s="3">
        <v>0.7063310185185185</v>
      </c>
      <c r="D12610" s="1">
        <v>12.932027</v>
      </c>
      <c r="E12610" s="1">
        <v>80.12313</v>
      </c>
      <c r="F12610" s="1">
        <v>805.0</v>
      </c>
      <c r="G12610" s="1">
        <v>31.0</v>
      </c>
    </row>
    <row r="12611">
      <c r="A12611" s="1" t="s">
        <v>8</v>
      </c>
      <c r="B12611" s="2">
        <v>44777.0</v>
      </c>
      <c r="C12611" s="3">
        <v>0.7063541666666666</v>
      </c>
      <c r="D12611" s="1">
        <v>12.95692</v>
      </c>
      <c r="E12611" s="1">
        <v>80.143521</v>
      </c>
      <c r="F12611" s="1">
        <v>5339.0</v>
      </c>
      <c r="G12611" s="1">
        <v>28.0</v>
      </c>
    </row>
    <row r="12612">
      <c r="A12612" s="1" t="s">
        <v>8</v>
      </c>
      <c r="B12612" s="2">
        <v>44777.0</v>
      </c>
      <c r="C12612" s="3">
        <v>0.7063657407407408</v>
      </c>
      <c r="D12612" s="1">
        <v>12.95692</v>
      </c>
      <c r="E12612" s="1">
        <v>80.143521</v>
      </c>
      <c r="F12612" s="1">
        <v>5339.0</v>
      </c>
      <c r="G12612" s="1">
        <v>28.0</v>
      </c>
    </row>
    <row r="12613">
      <c r="A12613" s="1" t="s">
        <v>10</v>
      </c>
      <c r="B12613" s="2">
        <v>44777.0</v>
      </c>
      <c r="C12613" s="3">
        <v>0.7067129629629629</v>
      </c>
      <c r="D12613" s="1">
        <v>12.763462</v>
      </c>
      <c r="E12613" s="1">
        <v>80.004343</v>
      </c>
      <c r="F12613" s="1">
        <v>2846.0</v>
      </c>
      <c r="G12613" s="1">
        <v>59.0</v>
      </c>
    </row>
    <row r="12614">
      <c r="A12614" s="1" t="s">
        <v>8</v>
      </c>
      <c r="B12614" s="2">
        <v>44777.0</v>
      </c>
      <c r="C12614" s="3">
        <v>0.7072222222222222</v>
      </c>
      <c r="D12614" s="1">
        <v>12.759979</v>
      </c>
      <c r="E12614" s="1">
        <v>80.003385</v>
      </c>
      <c r="F12614" s="1">
        <v>2846.0</v>
      </c>
      <c r="G12614" s="1">
        <v>17.0</v>
      </c>
    </row>
    <row r="12615">
      <c r="A12615" s="1" t="s">
        <v>8</v>
      </c>
      <c r="B12615" s="2">
        <v>44777.0</v>
      </c>
      <c r="C12615" s="3">
        <v>0.7072569444444444</v>
      </c>
      <c r="D12615" s="1">
        <v>12.759277</v>
      </c>
      <c r="E12615" s="1">
        <v>80.003159</v>
      </c>
      <c r="F12615" s="1">
        <v>2846.0</v>
      </c>
      <c r="G12615" s="1">
        <v>36.0</v>
      </c>
    </row>
    <row r="12616">
      <c r="A12616" s="1" t="s">
        <v>8</v>
      </c>
      <c r="B12616" s="2">
        <v>44777.0</v>
      </c>
      <c r="C12616" s="3">
        <v>0.7073379629629629</v>
      </c>
      <c r="D12616" s="1">
        <v>12.759277</v>
      </c>
      <c r="E12616" s="1">
        <v>80.003159</v>
      </c>
      <c r="F12616" s="1">
        <v>2846.0</v>
      </c>
      <c r="G12616" s="1">
        <v>36.0</v>
      </c>
    </row>
    <row r="12617">
      <c r="A12617" s="1" t="s">
        <v>8</v>
      </c>
      <c r="B12617" s="2">
        <v>44777.0</v>
      </c>
      <c r="C12617" s="3">
        <v>0.707650462962963</v>
      </c>
      <c r="D12617" s="1">
        <v>12.756142</v>
      </c>
      <c r="E12617" s="1">
        <v>80.002076</v>
      </c>
      <c r="F12617" s="1">
        <v>2846.0</v>
      </c>
      <c r="G12617" s="1">
        <v>45.0</v>
      </c>
    </row>
    <row r="12618">
      <c r="A12618" s="1" t="s">
        <v>8</v>
      </c>
      <c r="B12618" s="2">
        <v>44777.0</v>
      </c>
      <c r="C12618" s="3">
        <v>0.7076851851851852</v>
      </c>
      <c r="D12618" s="1">
        <v>12.962444</v>
      </c>
      <c r="E12618" s="1">
        <v>80.146322</v>
      </c>
      <c r="F12618" s="1">
        <v>5339.0</v>
      </c>
      <c r="G12618" s="1">
        <v>41.0</v>
      </c>
    </row>
    <row r="12619">
      <c r="A12619" s="1" t="s">
        <v>8</v>
      </c>
      <c r="B12619" s="2">
        <v>44777.0</v>
      </c>
      <c r="C12619" s="3">
        <v>0.7077430555555555</v>
      </c>
      <c r="D12619" s="1">
        <v>12.935881</v>
      </c>
      <c r="E12619" s="1">
        <v>80.126754</v>
      </c>
      <c r="F12619" s="1">
        <v>805.0</v>
      </c>
      <c r="G12619" s="1">
        <v>8.0</v>
      </c>
    </row>
    <row r="12620">
      <c r="A12620" s="1" t="s">
        <v>8</v>
      </c>
      <c r="B12620" s="2">
        <v>44777.0</v>
      </c>
      <c r="C12620" s="3">
        <v>0.7077546296296297</v>
      </c>
      <c r="D12620" s="1">
        <v>12.755356</v>
      </c>
      <c r="E12620" s="1">
        <v>80.001641</v>
      </c>
      <c r="F12620" s="1">
        <v>2846.0</v>
      </c>
      <c r="G12620" s="1">
        <v>38.0</v>
      </c>
    </row>
    <row r="12621">
      <c r="A12621" s="1" t="s">
        <v>8</v>
      </c>
      <c r="B12621" s="2">
        <v>44777.0</v>
      </c>
      <c r="C12621" s="3">
        <v>0.7077662037037037</v>
      </c>
      <c r="D12621" s="1">
        <v>12.93632</v>
      </c>
      <c r="E12621" s="1">
        <v>80.127194</v>
      </c>
      <c r="F12621" s="1">
        <v>805.0</v>
      </c>
      <c r="G12621" s="1">
        <v>0.0</v>
      </c>
    </row>
    <row r="12622">
      <c r="A12622" s="1" t="s">
        <v>8</v>
      </c>
      <c r="B12622" s="2">
        <v>44777.0</v>
      </c>
      <c r="C12622" s="3">
        <v>0.7079050925925926</v>
      </c>
      <c r="D12622" s="1">
        <v>12.93632</v>
      </c>
      <c r="E12622" s="1">
        <v>80.127194</v>
      </c>
      <c r="F12622" s="1">
        <v>805.0</v>
      </c>
      <c r="G12622" s="1">
        <v>0.0</v>
      </c>
    </row>
    <row r="12623">
      <c r="A12623" s="1" t="s">
        <v>7</v>
      </c>
      <c r="B12623" s="2">
        <v>44777.0</v>
      </c>
      <c r="C12623" s="3">
        <v>0.7080902777777778</v>
      </c>
      <c r="D12623" s="1">
        <v>12.938503</v>
      </c>
      <c r="E12623" s="1">
        <v>80.129086</v>
      </c>
      <c r="F12623" s="1">
        <v>805.0</v>
      </c>
      <c r="G12623" s="1">
        <v>0.0</v>
      </c>
    </row>
    <row r="12624">
      <c r="A12624" s="1" t="s">
        <v>7</v>
      </c>
      <c r="B12624" s="2">
        <v>44777.0</v>
      </c>
      <c r="C12624" s="3">
        <v>0.7081018518518518</v>
      </c>
      <c r="D12624" s="1">
        <v>12.753214</v>
      </c>
      <c r="E12624" s="1">
        <v>80.000248</v>
      </c>
      <c r="F12624" s="1">
        <v>2846.0</v>
      </c>
      <c r="G12624" s="1">
        <v>60.0</v>
      </c>
    </row>
    <row r="12625">
      <c r="A12625" s="1" t="s">
        <v>7</v>
      </c>
      <c r="B12625" s="2">
        <v>44777.0</v>
      </c>
      <c r="C12625" s="3">
        <v>0.7084143518518519</v>
      </c>
      <c r="D12625" s="1">
        <v>12.749614</v>
      </c>
      <c r="E12625" s="1">
        <v>79.997725</v>
      </c>
      <c r="F12625" s="1">
        <v>2846.0</v>
      </c>
      <c r="G12625" s="1">
        <v>58.0</v>
      </c>
    </row>
    <row r="12626">
      <c r="A12626" s="1" t="s">
        <v>8</v>
      </c>
      <c r="B12626" s="2">
        <v>44777.0</v>
      </c>
      <c r="C12626" s="3">
        <v>0.7084490740740741</v>
      </c>
      <c r="D12626" s="1">
        <v>12.941658</v>
      </c>
      <c r="E12626" s="1">
        <v>80.13212</v>
      </c>
      <c r="F12626" s="1">
        <v>805.0</v>
      </c>
      <c r="G12626" s="1">
        <v>56.0</v>
      </c>
    </row>
    <row r="12627">
      <c r="A12627" s="1" t="s">
        <v>8</v>
      </c>
      <c r="B12627" s="2">
        <v>44777.0</v>
      </c>
      <c r="C12627" s="3">
        <v>0.7087152777777778</v>
      </c>
      <c r="D12627" s="1">
        <v>12.932673</v>
      </c>
      <c r="E12627" s="1">
        <v>80.123793</v>
      </c>
      <c r="F12627" s="1">
        <v>3143.0</v>
      </c>
      <c r="G12627" s="1">
        <v>37.0</v>
      </c>
    </row>
    <row r="12628">
      <c r="A12628" s="1" t="s">
        <v>8</v>
      </c>
      <c r="B12628" s="2">
        <v>44777.0</v>
      </c>
      <c r="C12628" s="3">
        <v>0.708738425925926</v>
      </c>
      <c r="D12628" s="1">
        <v>12.943814</v>
      </c>
      <c r="E12628" s="1">
        <v>80.134344</v>
      </c>
      <c r="F12628" s="1">
        <v>805.0</v>
      </c>
      <c r="G12628" s="1">
        <v>51.0</v>
      </c>
    </row>
    <row r="12629">
      <c r="A12629" s="1" t="s">
        <v>7</v>
      </c>
      <c r="B12629" s="2">
        <v>44777.0</v>
      </c>
      <c r="C12629" s="3">
        <v>0.70875</v>
      </c>
      <c r="D12629" s="1">
        <v>12.745026</v>
      </c>
      <c r="E12629" s="1">
        <v>79.994041</v>
      </c>
      <c r="F12629" s="1">
        <v>2846.0</v>
      </c>
      <c r="G12629" s="1">
        <v>58.0</v>
      </c>
    </row>
    <row r="12630">
      <c r="A12630" s="1" t="s">
        <v>7</v>
      </c>
      <c r="B12630" s="2">
        <v>44777.0</v>
      </c>
      <c r="C12630" s="3">
        <v>0.7088541666666667</v>
      </c>
      <c r="D12630" s="1">
        <v>12.973599</v>
      </c>
      <c r="E12630" s="1">
        <v>80.153527</v>
      </c>
      <c r="F12630" s="1">
        <v>5339.0</v>
      </c>
      <c r="G12630" s="1">
        <v>58.0</v>
      </c>
    </row>
    <row r="12631">
      <c r="A12631" s="1" t="s">
        <v>7</v>
      </c>
      <c r="B12631" s="2">
        <v>44777.0</v>
      </c>
      <c r="C12631" s="3">
        <v>0.7088657407407407</v>
      </c>
      <c r="D12631" s="1">
        <v>12.944973</v>
      </c>
      <c r="E12631" s="1">
        <v>80.135237</v>
      </c>
      <c r="F12631" s="1">
        <v>805.0</v>
      </c>
      <c r="G12631" s="1">
        <v>57.0</v>
      </c>
    </row>
    <row r="12632">
      <c r="A12632" s="1" t="s">
        <v>8</v>
      </c>
      <c r="B12632" s="2">
        <v>44777.0</v>
      </c>
      <c r="C12632" s="3">
        <v>0.7089351851851852</v>
      </c>
      <c r="D12632" s="1">
        <v>12.974478</v>
      </c>
      <c r="E12632" s="1">
        <v>80.154822</v>
      </c>
      <c r="F12632" s="1">
        <v>5339.0</v>
      </c>
      <c r="G12632" s="1">
        <v>63.0</v>
      </c>
    </row>
    <row r="12633">
      <c r="A12633" s="1" t="s">
        <v>9</v>
      </c>
      <c r="B12633" s="2">
        <v>44777.0</v>
      </c>
      <c r="C12633" s="3">
        <v>0.7089583333333334</v>
      </c>
      <c r="D12633" s="1">
        <v>12.974478</v>
      </c>
      <c r="E12633" s="1">
        <v>80.154822</v>
      </c>
      <c r="F12633" s="1">
        <v>5339.0</v>
      </c>
      <c r="G12633" s="1">
        <v>63.0</v>
      </c>
    </row>
    <row r="12634">
      <c r="A12634" s="1" t="s">
        <v>8</v>
      </c>
      <c r="B12634" s="2">
        <v>44777.0</v>
      </c>
      <c r="C12634" s="3">
        <v>0.7089930555555556</v>
      </c>
      <c r="D12634" s="1">
        <v>12.944973</v>
      </c>
      <c r="E12634" s="1">
        <v>80.135237</v>
      </c>
      <c r="F12634" s="1">
        <v>805.0</v>
      </c>
      <c r="G12634" s="1">
        <v>57.0</v>
      </c>
    </row>
    <row r="12635">
      <c r="A12635" s="1" t="s">
        <v>8</v>
      </c>
      <c r="B12635" s="2">
        <v>44777.0</v>
      </c>
      <c r="C12635" s="3">
        <v>0.7090625</v>
      </c>
      <c r="D12635" s="1">
        <v>12.946425</v>
      </c>
      <c r="E12635" s="1">
        <v>80.136352</v>
      </c>
      <c r="F12635" s="1">
        <v>805.0</v>
      </c>
      <c r="G12635" s="1">
        <v>42.0</v>
      </c>
    </row>
    <row r="12636">
      <c r="A12636" s="1" t="s">
        <v>8</v>
      </c>
      <c r="B12636" s="2">
        <v>44777.0</v>
      </c>
      <c r="C12636" s="3">
        <v>0.7091087962962963</v>
      </c>
      <c r="D12636" s="1">
        <v>12.946425</v>
      </c>
      <c r="E12636" s="1">
        <v>80.136352</v>
      </c>
      <c r="F12636" s="1">
        <v>805.0</v>
      </c>
      <c r="G12636" s="1">
        <v>42.0</v>
      </c>
    </row>
    <row r="12637">
      <c r="A12637" s="1" t="s">
        <v>8</v>
      </c>
      <c r="B12637" s="2">
        <v>44777.0</v>
      </c>
      <c r="C12637" s="3">
        <v>0.7091435185185185</v>
      </c>
      <c r="D12637" s="1">
        <v>12.975823</v>
      </c>
      <c r="E12637" s="1">
        <v>80.156725</v>
      </c>
      <c r="F12637" s="1">
        <v>5339.0</v>
      </c>
      <c r="G12637" s="1">
        <v>44.0</v>
      </c>
    </row>
    <row r="12638">
      <c r="A12638" s="1" t="s">
        <v>8</v>
      </c>
      <c r="B12638" s="2">
        <v>44777.0</v>
      </c>
      <c r="C12638" s="3">
        <v>0.7092708333333333</v>
      </c>
      <c r="D12638" s="1">
        <v>12.976451</v>
      </c>
      <c r="E12638" s="1">
        <v>80.157656</v>
      </c>
      <c r="F12638" s="1">
        <v>5339.0</v>
      </c>
      <c r="G12638" s="1">
        <v>40.0</v>
      </c>
    </row>
    <row r="12639">
      <c r="A12639" s="1" t="s">
        <v>7</v>
      </c>
      <c r="B12639" s="2">
        <v>44777.0</v>
      </c>
      <c r="C12639" s="3">
        <v>0.7093055555555555</v>
      </c>
      <c r="D12639" s="1">
        <v>12.947536</v>
      </c>
      <c r="E12639" s="1">
        <v>80.13719</v>
      </c>
      <c r="F12639" s="1">
        <v>805.0</v>
      </c>
      <c r="G12639" s="1">
        <v>0.0</v>
      </c>
    </row>
    <row r="12640">
      <c r="A12640" s="1" t="s">
        <v>8</v>
      </c>
      <c r="B12640" s="2">
        <v>44777.0</v>
      </c>
      <c r="C12640" s="3">
        <v>0.7096412037037036</v>
      </c>
      <c r="D12640" s="1">
        <v>12.978557</v>
      </c>
      <c r="E12640" s="1">
        <v>80.160786</v>
      </c>
      <c r="F12640" s="1">
        <v>5339.0</v>
      </c>
      <c r="G12640" s="1">
        <v>53.0</v>
      </c>
    </row>
    <row r="12641">
      <c r="A12641" s="1" t="s">
        <v>8</v>
      </c>
      <c r="B12641" s="2">
        <v>44777.0</v>
      </c>
      <c r="C12641" s="3">
        <v>0.7098032407407407</v>
      </c>
      <c r="D12641" s="1">
        <v>12.940066</v>
      </c>
      <c r="E12641" s="1">
        <v>80.130553</v>
      </c>
      <c r="F12641" s="1">
        <v>3143.0</v>
      </c>
      <c r="G12641" s="1">
        <v>57.0</v>
      </c>
    </row>
    <row r="12642">
      <c r="A12642" s="1" t="s">
        <v>8</v>
      </c>
      <c r="B12642" s="2">
        <v>44777.0</v>
      </c>
      <c r="C12642" s="3">
        <v>0.7101157407407407</v>
      </c>
      <c r="D12642" s="1">
        <v>12.943007</v>
      </c>
      <c r="E12642" s="1">
        <v>80.133563</v>
      </c>
      <c r="F12642" s="1">
        <v>3143.0</v>
      </c>
      <c r="G12642" s="1">
        <v>51.0</v>
      </c>
    </row>
    <row r="12643">
      <c r="A12643" s="1" t="s">
        <v>8</v>
      </c>
      <c r="B12643" s="2">
        <v>44777.0</v>
      </c>
      <c r="C12643" s="3">
        <v>0.7103703703703703</v>
      </c>
      <c r="D12643" s="1">
        <v>12.944529</v>
      </c>
      <c r="E12643" s="1">
        <v>80.134916</v>
      </c>
      <c r="F12643" s="1">
        <v>3143.0</v>
      </c>
      <c r="G12643" s="1">
        <v>47.0</v>
      </c>
    </row>
    <row r="12644">
      <c r="A12644" s="1" t="s">
        <v>8</v>
      </c>
      <c r="B12644" s="2">
        <v>44777.0</v>
      </c>
      <c r="C12644" s="3">
        <v>0.7103935185185185</v>
      </c>
      <c r="D12644" s="1">
        <v>12.952137</v>
      </c>
      <c r="E12644" s="1">
        <v>80.140747</v>
      </c>
      <c r="F12644" s="1">
        <v>805.0</v>
      </c>
      <c r="G12644" s="1">
        <v>23.0</v>
      </c>
    </row>
    <row r="12645">
      <c r="A12645" s="1" t="s">
        <v>7</v>
      </c>
      <c r="B12645" s="2">
        <v>44777.0</v>
      </c>
      <c r="C12645" s="3">
        <v>0.7104976851851852</v>
      </c>
      <c r="D12645" s="1">
        <v>12.983951</v>
      </c>
      <c r="E12645" s="1">
        <v>80.170858</v>
      </c>
      <c r="F12645" s="1">
        <v>5339.0</v>
      </c>
      <c r="G12645" s="1">
        <v>57.0</v>
      </c>
    </row>
    <row r="12646">
      <c r="A12646" s="1" t="s">
        <v>8</v>
      </c>
      <c r="B12646" s="2">
        <v>44777.0</v>
      </c>
      <c r="C12646" s="3">
        <v>0.7106365740740741</v>
      </c>
      <c r="D12646" s="1">
        <v>12.95456</v>
      </c>
      <c r="E12646" s="1">
        <v>80.142224</v>
      </c>
      <c r="F12646" s="1">
        <v>805.0</v>
      </c>
      <c r="G12646" s="1">
        <v>38.0</v>
      </c>
    </row>
    <row r="12647">
      <c r="A12647" s="1" t="s">
        <v>8</v>
      </c>
      <c r="B12647" s="2">
        <v>44777.0</v>
      </c>
      <c r="C12647" s="3">
        <v>0.7106944444444444</v>
      </c>
      <c r="D12647" s="1">
        <v>12.95456</v>
      </c>
      <c r="E12647" s="1">
        <v>80.142224</v>
      </c>
      <c r="F12647" s="1">
        <v>805.0</v>
      </c>
      <c r="G12647" s="1">
        <v>38.0</v>
      </c>
    </row>
    <row r="12648">
      <c r="A12648" s="1" t="s">
        <v>8</v>
      </c>
      <c r="B12648" s="2">
        <v>44777.0</v>
      </c>
      <c r="C12648" s="3">
        <v>0.7107060185185186</v>
      </c>
      <c r="D12648" s="1">
        <v>12.95456</v>
      </c>
      <c r="E12648" s="1">
        <v>80.142224</v>
      </c>
      <c r="F12648" s="1">
        <v>805.0</v>
      </c>
      <c r="G12648" s="1">
        <v>38.0</v>
      </c>
    </row>
    <row r="12649">
      <c r="A12649" s="1" t="s">
        <v>8</v>
      </c>
      <c r="B12649" s="2">
        <v>44777.0</v>
      </c>
      <c r="C12649" s="3">
        <v>0.7107407407407408</v>
      </c>
      <c r="D12649" s="1">
        <v>12.985039</v>
      </c>
      <c r="E12649" s="1">
        <v>80.172595</v>
      </c>
      <c r="F12649" s="1">
        <v>5339.0</v>
      </c>
      <c r="G12649" s="1">
        <v>35.0</v>
      </c>
    </row>
    <row r="12650">
      <c r="A12650" s="1" t="s">
        <v>7</v>
      </c>
      <c r="B12650" s="2">
        <v>44777.0</v>
      </c>
      <c r="C12650" s="3">
        <v>0.7109837962962963</v>
      </c>
      <c r="D12650" s="1">
        <v>12.738236</v>
      </c>
      <c r="E12650" s="1">
        <v>79.988577</v>
      </c>
      <c r="F12650" s="1">
        <v>2846.0</v>
      </c>
      <c r="G12650" s="1">
        <v>58.0</v>
      </c>
    </row>
    <row r="12651">
      <c r="A12651" s="1" t="s">
        <v>8</v>
      </c>
      <c r="B12651" s="2">
        <v>44777.0</v>
      </c>
      <c r="C12651" s="3">
        <v>0.711550925925926</v>
      </c>
      <c r="D12651" s="1">
        <v>12.986782</v>
      </c>
      <c r="E12651" s="1">
        <v>80.17514</v>
      </c>
      <c r="F12651" s="1">
        <v>5339.0</v>
      </c>
      <c r="G12651" s="1">
        <v>32.0</v>
      </c>
    </row>
    <row r="12652">
      <c r="A12652" s="1" t="s">
        <v>8</v>
      </c>
      <c r="B12652" s="2">
        <v>44777.0</v>
      </c>
      <c r="C12652" s="3">
        <v>0.7116666666666667</v>
      </c>
      <c r="D12652" s="1">
        <v>12.987393</v>
      </c>
      <c r="E12652" s="1">
        <v>80.175971</v>
      </c>
      <c r="F12652" s="1">
        <v>5339.0</v>
      </c>
      <c r="G12652" s="1">
        <v>41.0</v>
      </c>
    </row>
    <row r="12653">
      <c r="A12653" s="1" t="s">
        <v>8</v>
      </c>
      <c r="B12653" s="2">
        <v>44777.0</v>
      </c>
      <c r="C12653" s="3">
        <v>0.7117361111111111</v>
      </c>
      <c r="D12653" s="1">
        <v>12.956539</v>
      </c>
      <c r="E12653" s="1">
        <v>80.143245</v>
      </c>
      <c r="F12653" s="1">
        <v>805.0</v>
      </c>
      <c r="G12653" s="1">
        <v>30.0</v>
      </c>
    </row>
    <row r="12654">
      <c r="A12654" s="1" t="s">
        <v>8</v>
      </c>
      <c r="B12654" s="2">
        <v>44777.0</v>
      </c>
      <c r="C12654" s="3">
        <v>0.7118634259259259</v>
      </c>
      <c r="D12654" s="1">
        <v>12.956539</v>
      </c>
      <c r="E12654" s="1">
        <v>80.143245</v>
      </c>
      <c r="F12654" s="1">
        <v>805.0</v>
      </c>
      <c r="G12654" s="1">
        <v>30.0</v>
      </c>
    </row>
    <row r="12655">
      <c r="A12655" s="1" t="s">
        <v>8</v>
      </c>
      <c r="B12655" s="2">
        <v>44777.0</v>
      </c>
      <c r="C12655" s="3">
        <v>0.7119791666666667</v>
      </c>
      <c r="D12655" s="1">
        <v>12.953441</v>
      </c>
      <c r="E12655" s="1">
        <v>80.141649</v>
      </c>
      <c r="F12655" s="1">
        <v>3143.0</v>
      </c>
      <c r="G12655" s="1">
        <v>29.0</v>
      </c>
    </row>
    <row r="12656">
      <c r="A12656" s="1" t="s">
        <v>8</v>
      </c>
      <c r="B12656" s="2">
        <v>44777.0</v>
      </c>
      <c r="C12656" s="3">
        <v>0.7123379629629629</v>
      </c>
      <c r="D12656" s="1">
        <v>12.960626</v>
      </c>
      <c r="E12656" s="1">
        <v>80.14528</v>
      </c>
      <c r="F12656" s="1">
        <v>805.0</v>
      </c>
      <c r="G12656" s="1">
        <v>29.0</v>
      </c>
    </row>
    <row r="12657">
      <c r="A12657" s="1" t="s">
        <v>8</v>
      </c>
      <c r="B12657" s="2">
        <v>44777.0</v>
      </c>
      <c r="C12657" s="3">
        <v>0.7123958333333333</v>
      </c>
      <c r="D12657" s="1">
        <v>12.960626</v>
      </c>
      <c r="E12657" s="1">
        <v>80.14528</v>
      </c>
      <c r="F12657" s="1">
        <v>805.0</v>
      </c>
      <c r="G12657" s="1">
        <v>29.0</v>
      </c>
    </row>
    <row r="12658">
      <c r="A12658" s="1" t="s">
        <v>8</v>
      </c>
      <c r="B12658" s="2">
        <v>44777.0</v>
      </c>
      <c r="C12658" s="3">
        <v>0.7124421296296296</v>
      </c>
      <c r="D12658" s="1">
        <v>12.962166</v>
      </c>
      <c r="E12658" s="1">
        <v>80.146155</v>
      </c>
      <c r="F12658" s="1">
        <v>805.0</v>
      </c>
      <c r="G12658" s="1">
        <v>46.0</v>
      </c>
    </row>
    <row r="12659">
      <c r="A12659" s="1" t="s">
        <v>8</v>
      </c>
      <c r="B12659" s="2">
        <v>44777.0</v>
      </c>
      <c r="C12659" s="3">
        <v>0.7125</v>
      </c>
      <c r="D12659" s="1">
        <v>12.962166</v>
      </c>
      <c r="E12659" s="1">
        <v>80.146155</v>
      </c>
      <c r="F12659" s="1">
        <v>805.0</v>
      </c>
      <c r="G12659" s="1">
        <v>46.0</v>
      </c>
    </row>
    <row r="12660">
      <c r="A12660" s="1" t="s">
        <v>8</v>
      </c>
      <c r="B12660" s="2">
        <v>44777.0</v>
      </c>
      <c r="C12660" s="3">
        <v>0.7125</v>
      </c>
      <c r="D12660" s="1">
        <v>12.962166</v>
      </c>
      <c r="E12660" s="1">
        <v>80.146155</v>
      </c>
      <c r="F12660" s="1">
        <v>805.0</v>
      </c>
      <c r="G12660" s="1">
        <v>46.0</v>
      </c>
    </row>
    <row r="12661">
      <c r="A12661" s="1" t="s">
        <v>8</v>
      </c>
      <c r="B12661" s="2">
        <v>44777.0</v>
      </c>
      <c r="C12661" s="3">
        <v>0.7125115740740741</v>
      </c>
      <c r="D12661" s="1">
        <v>12.962166</v>
      </c>
      <c r="E12661" s="1">
        <v>80.146155</v>
      </c>
      <c r="F12661" s="1">
        <v>805.0</v>
      </c>
      <c r="G12661" s="1">
        <v>46.0</v>
      </c>
    </row>
    <row r="12662">
      <c r="A12662" s="1" t="s">
        <v>8</v>
      </c>
      <c r="B12662" s="2">
        <v>44777.0</v>
      </c>
      <c r="C12662" s="3">
        <v>0.7125231481481481</v>
      </c>
      <c r="D12662" s="1">
        <v>12.962166</v>
      </c>
      <c r="E12662" s="1">
        <v>80.146155</v>
      </c>
      <c r="F12662" s="1">
        <v>805.0</v>
      </c>
      <c r="G12662" s="1">
        <v>46.0</v>
      </c>
    </row>
    <row r="12663">
      <c r="A12663" s="1" t="s">
        <v>8</v>
      </c>
      <c r="B12663" s="2">
        <v>44777.0</v>
      </c>
      <c r="C12663" s="3">
        <v>0.7125578703703703</v>
      </c>
      <c r="D12663" s="1">
        <v>12.989525</v>
      </c>
      <c r="E12663" s="1">
        <v>80.178679</v>
      </c>
      <c r="F12663" s="1">
        <v>5339.0</v>
      </c>
      <c r="G12663" s="1">
        <v>14.0</v>
      </c>
    </row>
    <row r="12664">
      <c r="A12664" s="1" t="s">
        <v>8</v>
      </c>
      <c r="B12664" s="2">
        <v>44777.0</v>
      </c>
      <c r="C12664" s="3">
        <v>0.7126157407407407</v>
      </c>
      <c r="D12664" s="1">
        <v>12.989909</v>
      </c>
      <c r="E12664" s="1">
        <v>80.179292</v>
      </c>
      <c r="F12664" s="1">
        <v>5339.0</v>
      </c>
      <c r="G12664" s="1">
        <v>38.0</v>
      </c>
    </row>
    <row r="12665">
      <c r="A12665" s="1" t="s">
        <v>7</v>
      </c>
      <c r="B12665" s="2">
        <v>44777.0</v>
      </c>
      <c r="C12665" s="3">
        <v>0.7127314814814815</v>
      </c>
      <c r="D12665" s="1">
        <v>12.990621</v>
      </c>
      <c r="E12665" s="1">
        <v>80.180224</v>
      </c>
      <c r="F12665" s="1">
        <v>5339.0</v>
      </c>
      <c r="G12665" s="1">
        <v>45.0</v>
      </c>
    </row>
    <row r="12666">
      <c r="A12666" s="1" t="s">
        <v>8</v>
      </c>
      <c r="B12666" s="2">
        <v>44777.0</v>
      </c>
      <c r="C12666" s="3">
        <v>0.7127893518518519</v>
      </c>
      <c r="D12666" s="1">
        <v>12.990621</v>
      </c>
      <c r="E12666" s="1">
        <v>80.180224</v>
      </c>
      <c r="F12666" s="1">
        <v>5339.0</v>
      </c>
      <c r="G12666" s="1">
        <v>45.0</v>
      </c>
    </row>
    <row r="12667">
      <c r="A12667" s="1" t="s">
        <v>8</v>
      </c>
      <c r="B12667" s="2">
        <v>44777.0</v>
      </c>
      <c r="C12667" s="3">
        <v>0.7128935185185186</v>
      </c>
      <c r="D12667" s="1">
        <v>12.964711</v>
      </c>
      <c r="E12667" s="1">
        <v>80.147716</v>
      </c>
      <c r="F12667" s="1">
        <v>805.0</v>
      </c>
      <c r="G12667" s="1">
        <v>52.0</v>
      </c>
    </row>
    <row r="12668">
      <c r="A12668" s="1" t="s">
        <v>8</v>
      </c>
      <c r="B12668" s="2">
        <v>44777.0</v>
      </c>
      <c r="C12668" s="3">
        <v>0.7132060185185185</v>
      </c>
      <c r="D12668" s="1">
        <v>12.955969</v>
      </c>
      <c r="E12668" s="1">
        <v>80.142984</v>
      </c>
      <c r="F12668" s="1">
        <v>3143.0</v>
      </c>
      <c r="G12668" s="1">
        <v>5.0</v>
      </c>
    </row>
    <row r="12669">
      <c r="A12669" s="1" t="s">
        <v>8</v>
      </c>
      <c r="B12669" s="2">
        <v>44777.0</v>
      </c>
      <c r="C12669" s="3">
        <v>0.7132175925925925</v>
      </c>
      <c r="D12669" s="1">
        <v>12.955969</v>
      </c>
      <c r="E12669" s="1">
        <v>80.142984</v>
      </c>
      <c r="F12669" s="1">
        <v>3143.0</v>
      </c>
      <c r="G12669" s="1">
        <v>5.0</v>
      </c>
    </row>
    <row r="12670">
      <c r="A12670" s="1" t="s">
        <v>10</v>
      </c>
      <c r="B12670" s="2">
        <v>44777.0</v>
      </c>
      <c r="C12670" s="3">
        <v>0.7133564814814815</v>
      </c>
      <c r="D12670" s="1">
        <v>12.724762</v>
      </c>
      <c r="E12670" s="1">
        <v>79.982264</v>
      </c>
      <c r="F12670" s="1">
        <v>2846.0</v>
      </c>
      <c r="G12670" s="1">
        <v>2.0</v>
      </c>
    </row>
    <row r="12671">
      <c r="A12671" s="1" t="s">
        <v>7</v>
      </c>
      <c r="B12671" s="2">
        <v>44777.0</v>
      </c>
      <c r="C12671" s="3">
        <v>0.7135185185185186</v>
      </c>
      <c r="D12671" s="1">
        <v>12.957941</v>
      </c>
      <c r="E12671" s="1">
        <v>80.144036</v>
      </c>
      <c r="F12671" s="1">
        <v>3143.0</v>
      </c>
      <c r="G12671" s="1">
        <v>41.0</v>
      </c>
    </row>
    <row r="12672">
      <c r="A12672" s="1" t="s">
        <v>8</v>
      </c>
      <c r="B12672" s="2">
        <v>44777.0</v>
      </c>
      <c r="C12672" s="3">
        <v>0.7136342592592593</v>
      </c>
      <c r="D12672" s="1">
        <v>12.993881</v>
      </c>
      <c r="E12672" s="1">
        <v>80.185168</v>
      </c>
      <c r="F12672" s="1">
        <v>5339.0</v>
      </c>
      <c r="G12672" s="1">
        <v>14.0</v>
      </c>
    </row>
    <row r="12673">
      <c r="A12673" s="1" t="s">
        <v>8</v>
      </c>
      <c r="B12673" s="2">
        <v>44777.0</v>
      </c>
      <c r="C12673" s="3">
        <v>0.7136458333333333</v>
      </c>
      <c r="D12673" s="1">
        <v>12.993881</v>
      </c>
      <c r="E12673" s="1">
        <v>80.185168</v>
      </c>
      <c r="F12673" s="1">
        <v>5339.0</v>
      </c>
      <c r="G12673" s="1">
        <v>14.0</v>
      </c>
    </row>
    <row r="12674">
      <c r="A12674" s="1" t="s">
        <v>10</v>
      </c>
      <c r="B12674" s="2">
        <v>44777.0</v>
      </c>
      <c r="C12674" s="3">
        <v>0.713738425925926</v>
      </c>
      <c r="D12674" s="1">
        <v>12.724762</v>
      </c>
      <c r="E12674" s="1">
        <v>79.982264</v>
      </c>
      <c r="F12674" s="1">
        <v>2846.0</v>
      </c>
      <c r="G12674" s="1">
        <v>2.0</v>
      </c>
    </row>
    <row r="12675">
      <c r="A12675" s="1" t="s">
        <v>8</v>
      </c>
      <c r="B12675" s="2">
        <v>44777.0</v>
      </c>
      <c r="C12675" s="3">
        <v>0.7138078703703704</v>
      </c>
      <c r="D12675" s="1">
        <v>12.973482</v>
      </c>
      <c r="E12675" s="1">
        <v>80.153314</v>
      </c>
      <c r="F12675" s="1">
        <v>805.0</v>
      </c>
      <c r="G12675" s="1">
        <v>58.0</v>
      </c>
    </row>
    <row r="12676">
      <c r="A12676" s="1" t="s">
        <v>8</v>
      </c>
      <c r="B12676" s="2">
        <v>44777.0</v>
      </c>
      <c r="C12676" s="3">
        <v>0.7138888888888889</v>
      </c>
      <c r="D12676" s="1">
        <v>12.974749</v>
      </c>
      <c r="E12676" s="1">
        <v>80.155198</v>
      </c>
      <c r="F12676" s="1">
        <v>805.0</v>
      </c>
      <c r="G12676" s="1">
        <v>58.0</v>
      </c>
    </row>
    <row r="12677">
      <c r="A12677" s="1" t="s">
        <v>8</v>
      </c>
      <c r="B12677" s="2">
        <v>44777.0</v>
      </c>
      <c r="C12677" s="3">
        <v>0.7139583333333334</v>
      </c>
      <c r="D12677" s="1">
        <v>12.974749</v>
      </c>
      <c r="E12677" s="1">
        <v>80.155198</v>
      </c>
      <c r="F12677" s="1">
        <v>805.0</v>
      </c>
      <c r="G12677" s="1">
        <v>58.0</v>
      </c>
    </row>
    <row r="12678">
      <c r="A12678" s="1" t="s">
        <v>8</v>
      </c>
      <c r="B12678" s="2">
        <v>44777.0</v>
      </c>
      <c r="C12678" s="3">
        <v>0.7139930555555556</v>
      </c>
      <c r="D12678" s="1">
        <v>12.974749</v>
      </c>
      <c r="E12678" s="1">
        <v>80.155198</v>
      </c>
      <c r="F12678" s="1">
        <v>805.0</v>
      </c>
      <c r="G12678" s="1">
        <v>58.0</v>
      </c>
    </row>
    <row r="12679">
      <c r="A12679" s="1" t="s">
        <v>7</v>
      </c>
      <c r="B12679" s="2">
        <v>44777.0</v>
      </c>
      <c r="C12679" s="3">
        <v>0.7140740740740741</v>
      </c>
      <c r="D12679" s="1">
        <v>12.995853</v>
      </c>
      <c r="E12679" s="1">
        <v>80.18895</v>
      </c>
      <c r="F12679" s="1">
        <v>5339.0</v>
      </c>
      <c r="G12679" s="1">
        <v>54.0</v>
      </c>
    </row>
    <row r="12680">
      <c r="A12680" s="1" t="s">
        <v>7</v>
      </c>
      <c r="B12680" s="2">
        <v>44777.0</v>
      </c>
      <c r="C12680" s="3">
        <v>0.7141319444444445</v>
      </c>
      <c r="D12680" s="1">
        <v>12.976</v>
      </c>
      <c r="E12680" s="1">
        <v>80.156992</v>
      </c>
      <c r="F12680" s="1">
        <v>805.0</v>
      </c>
      <c r="G12680" s="1">
        <v>46.0</v>
      </c>
    </row>
    <row r="12681">
      <c r="A12681" s="1" t="s">
        <v>8</v>
      </c>
      <c r="B12681" s="2">
        <v>44777.0</v>
      </c>
      <c r="C12681" s="3">
        <v>0.714224537037037</v>
      </c>
      <c r="D12681" s="1">
        <v>12.996667</v>
      </c>
      <c r="E12681" s="1">
        <v>80.189961</v>
      </c>
      <c r="F12681" s="1">
        <v>5339.0</v>
      </c>
      <c r="G12681" s="1">
        <v>42.0</v>
      </c>
    </row>
    <row r="12682">
      <c r="A12682" s="1" t="s">
        <v>7</v>
      </c>
      <c r="B12682" s="2">
        <v>44777.0</v>
      </c>
      <c r="C12682" s="3">
        <v>0.7142361111111111</v>
      </c>
      <c r="D12682" s="1">
        <v>12.723181</v>
      </c>
      <c r="E12682" s="1">
        <v>79.981732</v>
      </c>
      <c r="F12682" s="1">
        <v>2846.0</v>
      </c>
      <c r="G12682" s="1">
        <v>35.0</v>
      </c>
    </row>
    <row r="12683">
      <c r="A12683" s="1" t="s">
        <v>7</v>
      </c>
      <c r="B12683" s="2">
        <v>44777.0</v>
      </c>
      <c r="C12683" s="3">
        <v>0.7143171296296297</v>
      </c>
      <c r="D12683" s="1">
        <v>12.977033</v>
      </c>
      <c r="E12683" s="1">
        <v>80.158506</v>
      </c>
      <c r="F12683" s="1">
        <v>805.0</v>
      </c>
      <c r="G12683" s="1">
        <v>48.0</v>
      </c>
    </row>
    <row r="12684">
      <c r="A12684" s="1" t="s">
        <v>7</v>
      </c>
      <c r="B12684" s="2">
        <v>44777.0</v>
      </c>
      <c r="C12684" s="3">
        <v>0.7143518518518519</v>
      </c>
      <c r="D12684" s="1">
        <v>12.719524</v>
      </c>
      <c r="E12684" s="1">
        <v>79.98116</v>
      </c>
      <c r="F12684" s="1">
        <v>2846.0</v>
      </c>
      <c r="G12684" s="1">
        <v>60.0</v>
      </c>
    </row>
    <row r="12685">
      <c r="A12685" s="1" t="s">
        <v>9</v>
      </c>
      <c r="B12685" s="2">
        <v>44777.0</v>
      </c>
      <c r="C12685" s="3">
        <v>0.7144097222222222</v>
      </c>
      <c r="D12685" s="1">
        <v>12.964481</v>
      </c>
      <c r="E12685" s="1">
        <v>80.147544</v>
      </c>
      <c r="F12685" s="1">
        <v>3143.0</v>
      </c>
      <c r="G12685" s="1">
        <v>24.0</v>
      </c>
    </row>
    <row r="12686">
      <c r="A12686" s="1" t="s">
        <v>7</v>
      </c>
      <c r="B12686" s="2">
        <v>44777.0</v>
      </c>
      <c r="C12686" s="3">
        <v>0.7146412037037037</v>
      </c>
      <c r="D12686" s="1">
        <v>12.979484</v>
      </c>
      <c r="E12686" s="1">
        <v>80.162049</v>
      </c>
      <c r="F12686" s="1">
        <v>805.0</v>
      </c>
      <c r="G12686" s="1">
        <v>56.0</v>
      </c>
    </row>
    <row r="12687">
      <c r="A12687" s="1" t="s">
        <v>7</v>
      </c>
      <c r="B12687" s="2">
        <v>44777.0</v>
      </c>
      <c r="C12687" s="3">
        <v>0.7147453703703703</v>
      </c>
      <c r="D12687" s="1">
        <v>12.713877</v>
      </c>
      <c r="E12687" s="1">
        <v>79.980188</v>
      </c>
      <c r="F12687" s="1">
        <v>2846.0</v>
      </c>
      <c r="G12687" s="1">
        <v>57.0</v>
      </c>
    </row>
    <row r="12688">
      <c r="A12688" s="1" t="s">
        <v>7</v>
      </c>
      <c r="B12688" s="2">
        <v>44777.0</v>
      </c>
      <c r="C12688" s="3">
        <v>0.7148263888888889</v>
      </c>
      <c r="D12688" s="1">
        <v>12.980289</v>
      </c>
      <c r="E12688" s="1">
        <v>80.164068</v>
      </c>
      <c r="F12688" s="1">
        <v>805.0</v>
      </c>
      <c r="G12688" s="1">
        <v>57.0</v>
      </c>
    </row>
    <row r="12689">
      <c r="A12689" s="1" t="s">
        <v>7</v>
      </c>
      <c r="B12689" s="2">
        <v>44777.0</v>
      </c>
      <c r="C12689" s="3">
        <v>0.7151273148148148</v>
      </c>
      <c r="D12689" s="1">
        <v>12.982362</v>
      </c>
      <c r="E12689" s="1">
        <v>80.168161</v>
      </c>
      <c r="F12689" s="1">
        <v>805.0</v>
      </c>
      <c r="G12689" s="1">
        <v>58.0</v>
      </c>
    </row>
    <row r="12690">
      <c r="A12690" s="1" t="s">
        <v>8</v>
      </c>
      <c r="B12690" s="2">
        <v>44777.0</v>
      </c>
      <c r="C12690" s="3">
        <v>0.7154861111111112</v>
      </c>
      <c r="D12690" s="1">
        <v>12.98464</v>
      </c>
      <c r="E12690" s="1">
        <v>80.171973</v>
      </c>
      <c r="F12690" s="1">
        <v>805.0</v>
      </c>
      <c r="G12690" s="1">
        <v>56.0</v>
      </c>
    </row>
    <row r="12691">
      <c r="A12691" s="1" t="s">
        <v>8</v>
      </c>
      <c r="B12691" s="2">
        <v>44777.0</v>
      </c>
      <c r="C12691" s="3">
        <v>0.7156134259259259</v>
      </c>
      <c r="D12691" s="1">
        <v>12.985748</v>
      </c>
      <c r="E12691" s="1">
        <v>80.173626</v>
      </c>
      <c r="F12691" s="1">
        <v>805.0</v>
      </c>
      <c r="G12691" s="1">
        <v>40.0</v>
      </c>
    </row>
    <row r="12692">
      <c r="A12692" s="1" t="s">
        <v>7</v>
      </c>
      <c r="B12692" s="2">
        <v>44777.0</v>
      </c>
      <c r="C12692" s="3">
        <v>0.7156712962962963</v>
      </c>
      <c r="D12692" s="1">
        <v>12.708675</v>
      </c>
      <c r="E12692" s="1">
        <v>79.977262</v>
      </c>
      <c r="F12692" s="1">
        <v>2846.0</v>
      </c>
      <c r="G12692" s="1">
        <v>42.0</v>
      </c>
    </row>
    <row r="12693">
      <c r="A12693" s="1" t="s">
        <v>8</v>
      </c>
      <c r="B12693" s="2">
        <v>44777.0</v>
      </c>
      <c r="C12693" s="3">
        <v>0.7157291666666666</v>
      </c>
      <c r="D12693" s="1">
        <v>12.985748</v>
      </c>
      <c r="E12693" s="1">
        <v>80.173626</v>
      </c>
      <c r="F12693" s="1">
        <v>805.0</v>
      </c>
      <c r="G12693" s="1">
        <v>40.0</v>
      </c>
    </row>
    <row r="12694">
      <c r="A12694" s="1" t="s">
        <v>8</v>
      </c>
      <c r="B12694" s="2">
        <v>44777.0</v>
      </c>
      <c r="C12694" s="3">
        <v>0.7163888888888889</v>
      </c>
      <c r="D12694" s="1">
        <v>13.001854</v>
      </c>
      <c r="E12694" s="1">
        <v>80.198818</v>
      </c>
      <c r="F12694" s="1">
        <v>5339.0</v>
      </c>
      <c r="G12694" s="1">
        <v>57.0</v>
      </c>
    </row>
    <row r="12695">
      <c r="A12695" s="1" t="s">
        <v>10</v>
      </c>
      <c r="B12695" s="2">
        <v>44777.0</v>
      </c>
      <c r="C12695" s="3">
        <v>0.7164351851851852</v>
      </c>
      <c r="D12695" s="1">
        <v>12.969696</v>
      </c>
      <c r="E12695" s="1">
        <v>80.14746</v>
      </c>
      <c r="F12695" s="1">
        <v>3143.0</v>
      </c>
      <c r="G12695" s="1">
        <v>5.0</v>
      </c>
    </row>
    <row r="12696">
      <c r="A12696" s="1" t="s">
        <v>8</v>
      </c>
      <c r="B12696" s="2">
        <v>44777.0</v>
      </c>
      <c r="C12696" s="3">
        <v>0.7166319444444444</v>
      </c>
      <c r="D12696" s="1">
        <v>13.002896</v>
      </c>
      <c r="E12696" s="1">
        <v>80.200699</v>
      </c>
      <c r="F12696" s="1">
        <v>5339.0</v>
      </c>
      <c r="G12696" s="1">
        <v>43.0</v>
      </c>
    </row>
    <row r="12697">
      <c r="A12697" s="1" t="s">
        <v>10</v>
      </c>
      <c r="B12697" s="2">
        <v>44777.0</v>
      </c>
      <c r="C12697" s="3">
        <v>0.7166666666666667</v>
      </c>
      <c r="D12697" s="1">
        <v>12.970257</v>
      </c>
      <c r="E12697" s="1">
        <v>80.147024</v>
      </c>
      <c r="F12697" s="1">
        <v>3143.0</v>
      </c>
      <c r="G12697" s="1">
        <v>24.0</v>
      </c>
    </row>
    <row r="12698">
      <c r="A12698" s="1" t="s">
        <v>8</v>
      </c>
      <c r="B12698" s="2">
        <v>44777.0</v>
      </c>
      <c r="C12698" s="3">
        <v>0.7170486111111111</v>
      </c>
      <c r="D12698" s="1">
        <v>13.004964</v>
      </c>
      <c r="E12698" s="1">
        <v>80.201323</v>
      </c>
      <c r="F12698" s="1">
        <v>5339.0</v>
      </c>
      <c r="G12698" s="1">
        <v>34.0</v>
      </c>
    </row>
    <row r="12699">
      <c r="A12699" s="1" t="s">
        <v>8</v>
      </c>
      <c r="B12699" s="2">
        <v>44777.0</v>
      </c>
      <c r="C12699" s="3">
        <v>0.7174884259259259</v>
      </c>
      <c r="D12699" s="1">
        <v>12.990594</v>
      </c>
      <c r="E12699" s="1">
        <v>80.18023</v>
      </c>
      <c r="F12699" s="1">
        <v>805.0</v>
      </c>
      <c r="G12699" s="1">
        <v>40.0</v>
      </c>
    </row>
    <row r="12700">
      <c r="A12700" s="1" t="s">
        <v>8</v>
      </c>
      <c r="B12700" s="2">
        <v>44777.0</v>
      </c>
      <c r="C12700" s="3">
        <v>0.7178125</v>
      </c>
      <c r="D12700" s="1">
        <v>13.007527</v>
      </c>
      <c r="E12700" s="1">
        <v>80.203424</v>
      </c>
      <c r="F12700" s="1">
        <v>5339.0</v>
      </c>
      <c r="G12700" s="1">
        <v>36.0</v>
      </c>
    </row>
    <row r="12701">
      <c r="A12701" s="1" t="s">
        <v>9</v>
      </c>
      <c r="B12701" s="2">
        <v>44777.0</v>
      </c>
      <c r="C12701" s="3">
        <v>0.7181018518518518</v>
      </c>
      <c r="D12701" s="1">
        <v>13.007662</v>
      </c>
      <c r="E12701" s="1">
        <v>80.20583</v>
      </c>
      <c r="F12701" s="1">
        <v>5339.0</v>
      </c>
      <c r="G12701" s="1">
        <v>48.0</v>
      </c>
    </row>
    <row r="12702">
      <c r="A12702" s="1" t="s">
        <v>7</v>
      </c>
      <c r="B12702" s="2">
        <v>44777.0</v>
      </c>
      <c r="C12702" s="3">
        <v>0.7186342592592593</v>
      </c>
      <c r="D12702" s="1">
        <v>12.993774</v>
      </c>
      <c r="E12702" s="1">
        <v>80.184983</v>
      </c>
      <c r="F12702" s="1">
        <v>805.0</v>
      </c>
      <c r="G12702" s="1">
        <v>9.0</v>
      </c>
    </row>
    <row r="12703">
      <c r="A12703" s="1" t="s">
        <v>8</v>
      </c>
      <c r="B12703" s="2">
        <v>44777.0</v>
      </c>
      <c r="C12703" s="3">
        <v>0.7186458333333333</v>
      </c>
      <c r="D12703" s="1">
        <v>13.008693</v>
      </c>
      <c r="E12703" s="1">
        <v>80.210904</v>
      </c>
      <c r="F12703" s="1">
        <v>5339.0</v>
      </c>
      <c r="G12703" s="1">
        <v>33.0</v>
      </c>
    </row>
    <row r="12704">
      <c r="A12704" s="1" t="s">
        <v>8</v>
      </c>
      <c r="B12704" s="2">
        <v>44777.0</v>
      </c>
      <c r="C12704" s="3">
        <v>0.7194212962962963</v>
      </c>
      <c r="D12704" s="1">
        <v>13.011275</v>
      </c>
      <c r="E12704" s="1">
        <v>80.218079</v>
      </c>
      <c r="F12704" s="1">
        <v>5339.0</v>
      </c>
      <c r="G12704" s="1">
        <v>42.0</v>
      </c>
    </row>
    <row r="12705">
      <c r="A12705" s="1" t="s">
        <v>8</v>
      </c>
      <c r="B12705" s="2">
        <v>44777.0</v>
      </c>
      <c r="C12705" s="3">
        <v>0.7195370370370371</v>
      </c>
      <c r="D12705" s="1">
        <v>13.011673</v>
      </c>
      <c r="E12705" s="1">
        <v>80.219216</v>
      </c>
      <c r="F12705" s="1">
        <v>5339.0</v>
      </c>
      <c r="G12705" s="1">
        <v>51.0</v>
      </c>
    </row>
    <row r="12706">
      <c r="A12706" s="1" t="s">
        <v>8</v>
      </c>
      <c r="B12706" s="2">
        <v>44777.0</v>
      </c>
      <c r="C12706" s="3">
        <v>0.7199074074074074</v>
      </c>
      <c r="D12706" s="1">
        <v>12.99639</v>
      </c>
      <c r="E12706" s="1">
        <v>80.189621</v>
      </c>
      <c r="F12706" s="1">
        <v>805.0</v>
      </c>
      <c r="G12706" s="1">
        <v>33.0</v>
      </c>
    </row>
    <row r="12707">
      <c r="A12707" s="1" t="s">
        <v>8</v>
      </c>
      <c r="B12707" s="2">
        <v>44777.0</v>
      </c>
      <c r="C12707" s="3">
        <v>0.7200231481481482</v>
      </c>
      <c r="D12707" s="1">
        <v>13.013125</v>
      </c>
      <c r="E12707" s="1">
        <v>80.222213</v>
      </c>
      <c r="F12707" s="1">
        <v>5339.0</v>
      </c>
      <c r="G12707" s="1">
        <v>34.0</v>
      </c>
    </row>
    <row r="12708">
      <c r="A12708" s="1" t="s">
        <v>8</v>
      </c>
      <c r="B12708" s="2">
        <v>44777.0</v>
      </c>
      <c r="C12708" s="3">
        <v>0.7201504629629629</v>
      </c>
      <c r="D12708" s="1">
        <v>13.013735</v>
      </c>
      <c r="E12708" s="1">
        <v>80.222936</v>
      </c>
      <c r="F12708" s="1">
        <v>5339.0</v>
      </c>
      <c r="G12708" s="1">
        <v>36.0</v>
      </c>
    </row>
    <row r="12709">
      <c r="A12709" s="1" t="s">
        <v>8</v>
      </c>
      <c r="B12709" s="2">
        <v>44777.0</v>
      </c>
      <c r="C12709" s="3">
        <v>0.7206944444444444</v>
      </c>
      <c r="D12709" s="1">
        <v>13.001128</v>
      </c>
      <c r="E12709" s="1">
        <v>80.195471</v>
      </c>
      <c r="F12709" s="1">
        <v>805.0</v>
      </c>
      <c r="G12709" s="1">
        <v>17.0</v>
      </c>
    </row>
    <row r="12710">
      <c r="A12710" s="1" t="s">
        <v>8</v>
      </c>
      <c r="B12710" s="2">
        <v>44777.0</v>
      </c>
      <c r="C12710" s="3">
        <v>0.7207754629629629</v>
      </c>
      <c r="D12710" s="1">
        <v>13.001128</v>
      </c>
      <c r="E12710" s="1">
        <v>80.195471</v>
      </c>
      <c r="F12710" s="1">
        <v>805.0</v>
      </c>
      <c r="G12710" s="1">
        <v>17.0</v>
      </c>
    </row>
    <row r="12711">
      <c r="A12711" s="1" t="s">
        <v>7</v>
      </c>
      <c r="B12711" s="2">
        <v>44777.0</v>
      </c>
      <c r="C12711" s="3">
        <v>0.7209837962962963</v>
      </c>
      <c r="D12711" s="1">
        <v>13.001741</v>
      </c>
      <c r="E12711" s="1">
        <v>80.196277</v>
      </c>
      <c r="F12711" s="1">
        <v>805.0</v>
      </c>
      <c r="G12711" s="1">
        <v>36.0</v>
      </c>
    </row>
    <row r="12712">
      <c r="A12712" s="1" t="s">
        <v>8</v>
      </c>
      <c r="B12712" s="2">
        <v>44777.0</v>
      </c>
      <c r="C12712" s="3">
        <v>0.7210300925925925</v>
      </c>
      <c r="D12712" s="1">
        <v>13.002011</v>
      </c>
      <c r="E12712" s="1">
        <v>80.198015</v>
      </c>
      <c r="F12712" s="1">
        <v>805.0</v>
      </c>
      <c r="G12712" s="1">
        <v>49.0</v>
      </c>
    </row>
    <row r="12713">
      <c r="A12713" s="1" t="s">
        <v>10</v>
      </c>
      <c r="B12713" s="2">
        <v>44777.0</v>
      </c>
      <c r="C12713" s="3">
        <v>0.7211226851851852</v>
      </c>
      <c r="D12713" s="1">
        <v>12.974093</v>
      </c>
      <c r="E12713" s="1">
        <v>80.135698</v>
      </c>
      <c r="F12713" s="1">
        <v>3143.0</v>
      </c>
      <c r="G12713" s="1">
        <v>0.0</v>
      </c>
    </row>
    <row r="12714">
      <c r="A12714" s="1" t="s">
        <v>8</v>
      </c>
      <c r="B12714" s="2">
        <v>44777.0</v>
      </c>
      <c r="C12714" s="3">
        <v>0.7211921296296296</v>
      </c>
      <c r="D12714" s="1">
        <v>13.017599</v>
      </c>
      <c r="E12714" s="1">
        <v>80.2249</v>
      </c>
      <c r="F12714" s="1">
        <v>5339.0</v>
      </c>
      <c r="G12714" s="1">
        <v>38.0</v>
      </c>
    </row>
    <row r="12715">
      <c r="A12715" s="1" t="s">
        <v>8</v>
      </c>
      <c r="B12715" s="2">
        <v>44777.0</v>
      </c>
      <c r="C12715" s="3">
        <v>0.7211921296296296</v>
      </c>
      <c r="D12715" s="1">
        <v>13.001945</v>
      </c>
      <c r="E12715" s="1">
        <v>80.199989</v>
      </c>
      <c r="F12715" s="1">
        <v>805.0</v>
      </c>
      <c r="G12715" s="1">
        <v>43.0</v>
      </c>
    </row>
    <row r="12716">
      <c r="A12716" s="1" t="s">
        <v>7</v>
      </c>
      <c r="B12716" s="2">
        <v>44777.0</v>
      </c>
      <c r="C12716" s="3">
        <v>0.7218634259259259</v>
      </c>
      <c r="D12716" s="1">
        <v>13.006389</v>
      </c>
      <c r="E12716" s="1">
        <v>80.203054</v>
      </c>
      <c r="F12716" s="1">
        <v>805.0</v>
      </c>
      <c r="G12716" s="1">
        <v>46.0</v>
      </c>
    </row>
    <row r="12717">
      <c r="A12717" s="1" t="s">
        <v>10</v>
      </c>
      <c r="B12717" s="2">
        <v>44777.0</v>
      </c>
      <c r="C12717" s="3">
        <v>0.7218634259259259</v>
      </c>
      <c r="D12717" s="1">
        <v>12.975186</v>
      </c>
      <c r="E12717" s="1">
        <v>80.135331</v>
      </c>
      <c r="F12717" s="1">
        <v>3143.0</v>
      </c>
      <c r="G12717" s="1">
        <v>27.0</v>
      </c>
    </row>
    <row r="12718">
      <c r="A12718" s="1" t="s">
        <v>8</v>
      </c>
      <c r="B12718" s="2">
        <v>44777.0</v>
      </c>
      <c r="C12718" s="3">
        <v>0.7219212962962963</v>
      </c>
      <c r="D12718" s="1">
        <v>13.019758</v>
      </c>
      <c r="E12718" s="1">
        <v>80.224592</v>
      </c>
      <c r="F12718" s="1">
        <v>5339.0</v>
      </c>
      <c r="G12718" s="1">
        <v>16.0</v>
      </c>
    </row>
    <row r="12719">
      <c r="A12719" s="1" t="s">
        <v>8</v>
      </c>
      <c r="B12719" s="2">
        <v>44777.0</v>
      </c>
      <c r="C12719" s="3">
        <v>0.7220833333333333</v>
      </c>
      <c r="D12719" s="1">
        <v>13.020965</v>
      </c>
      <c r="E12719" s="1">
        <v>80.225487</v>
      </c>
      <c r="F12719" s="1">
        <v>5339.0</v>
      </c>
      <c r="G12719" s="1">
        <v>38.0</v>
      </c>
    </row>
    <row r="12720">
      <c r="A12720" s="1" t="s">
        <v>8</v>
      </c>
      <c r="B12720" s="2">
        <v>44777.0</v>
      </c>
      <c r="C12720" s="3">
        <v>0.7222222222222222</v>
      </c>
      <c r="D12720" s="1">
        <v>13.007772</v>
      </c>
      <c r="E12720" s="1">
        <v>80.202791</v>
      </c>
      <c r="F12720" s="1">
        <v>805.0</v>
      </c>
      <c r="G12720" s="1">
        <v>36.0</v>
      </c>
    </row>
    <row r="12721">
      <c r="A12721" s="1" t="s">
        <v>10</v>
      </c>
      <c r="B12721" s="2">
        <v>44777.0</v>
      </c>
      <c r="C12721" s="3">
        <v>0.7225347222222223</v>
      </c>
      <c r="D12721" s="1">
        <v>12.979581</v>
      </c>
      <c r="E12721" s="1">
        <v>80.136392</v>
      </c>
      <c r="F12721" s="1">
        <v>3143.0</v>
      </c>
      <c r="G12721" s="1">
        <v>22.0</v>
      </c>
    </row>
    <row r="12722">
      <c r="A12722" s="1" t="s">
        <v>8</v>
      </c>
      <c r="B12722" s="2">
        <v>44777.0</v>
      </c>
      <c r="C12722" s="3">
        <v>0.7225694444444445</v>
      </c>
      <c r="D12722" s="1">
        <v>13.007865</v>
      </c>
      <c r="E12722" s="1">
        <v>80.207323</v>
      </c>
      <c r="F12722" s="1">
        <v>805.0</v>
      </c>
      <c r="G12722" s="1">
        <v>54.0</v>
      </c>
    </row>
    <row r="12723">
      <c r="A12723" s="1" t="s">
        <v>8</v>
      </c>
      <c r="B12723" s="2">
        <v>44777.0</v>
      </c>
      <c r="C12723" s="3">
        <v>0.722662037037037</v>
      </c>
      <c r="D12723" s="1">
        <v>13.007865</v>
      </c>
      <c r="E12723" s="1">
        <v>80.207323</v>
      </c>
      <c r="F12723" s="1">
        <v>805.0</v>
      </c>
      <c r="G12723" s="1">
        <v>54.0</v>
      </c>
    </row>
    <row r="12724">
      <c r="A12724" s="1" t="s">
        <v>8</v>
      </c>
      <c r="B12724" s="2">
        <v>44777.0</v>
      </c>
      <c r="C12724" s="3">
        <v>0.7230092592592593</v>
      </c>
      <c r="D12724" s="1">
        <v>13.008614</v>
      </c>
      <c r="E12724" s="1">
        <v>80.210689</v>
      </c>
      <c r="F12724" s="1">
        <v>805.0</v>
      </c>
      <c r="G12724" s="1">
        <v>40.0</v>
      </c>
    </row>
    <row r="12725">
      <c r="A12725" s="1" t="s">
        <v>8</v>
      </c>
      <c r="B12725" s="2">
        <v>44777.0</v>
      </c>
      <c r="C12725" s="3">
        <v>0.7230555555555556</v>
      </c>
      <c r="D12725" s="1">
        <v>13.009241</v>
      </c>
      <c r="E12725" s="1">
        <v>80.212349</v>
      </c>
      <c r="F12725" s="1">
        <v>805.0</v>
      </c>
      <c r="G12725" s="1">
        <v>35.0</v>
      </c>
    </row>
    <row r="12726">
      <c r="A12726" s="1" t="s">
        <v>8</v>
      </c>
      <c r="B12726" s="2">
        <v>44777.0</v>
      </c>
      <c r="C12726" s="3">
        <v>0.7234722222222222</v>
      </c>
      <c r="D12726" s="1">
        <v>13.010207</v>
      </c>
      <c r="E12726" s="1">
        <v>80.215355</v>
      </c>
      <c r="F12726" s="1">
        <v>805.0</v>
      </c>
      <c r="G12726" s="1">
        <v>48.0</v>
      </c>
    </row>
    <row r="12727">
      <c r="A12727" s="1" t="s">
        <v>8</v>
      </c>
      <c r="B12727" s="2">
        <v>44777.0</v>
      </c>
      <c r="C12727" s="3">
        <v>0.7240277777777778</v>
      </c>
      <c r="D12727" s="1">
        <v>13.012166</v>
      </c>
      <c r="E12727" s="1">
        <v>80.220696</v>
      </c>
      <c r="F12727" s="1">
        <v>805.0</v>
      </c>
      <c r="G12727" s="1">
        <v>30.0</v>
      </c>
    </row>
    <row r="12728">
      <c r="A12728" s="1" t="s">
        <v>8</v>
      </c>
      <c r="B12728" s="2">
        <v>44777.0</v>
      </c>
      <c r="C12728" s="3">
        <v>0.7241782407407408</v>
      </c>
      <c r="D12728" s="1">
        <v>13.012331</v>
      </c>
      <c r="E12728" s="1">
        <v>80.221185</v>
      </c>
      <c r="F12728" s="1">
        <v>805.0</v>
      </c>
      <c r="G12728" s="1">
        <v>0.0</v>
      </c>
    </row>
    <row r="12729">
      <c r="A12729" s="1" t="s">
        <v>8</v>
      </c>
      <c r="B12729" s="2">
        <v>44777.0</v>
      </c>
      <c r="C12729" s="3">
        <v>0.7246064814814814</v>
      </c>
      <c r="D12729" s="1">
        <v>13.025932</v>
      </c>
      <c r="E12729" s="1">
        <v>80.231026</v>
      </c>
      <c r="F12729" s="1">
        <v>5339.0</v>
      </c>
      <c r="G12729" s="1">
        <v>0.0</v>
      </c>
    </row>
    <row r="12730">
      <c r="A12730" s="1" t="s">
        <v>8</v>
      </c>
      <c r="B12730" s="2">
        <v>44777.0</v>
      </c>
      <c r="C12730" s="3">
        <v>0.725</v>
      </c>
      <c r="D12730" s="1">
        <v>13.025932</v>
      </c>
      <c r="E12730" s="1">
        <v>80.231026</v>
      </c>
      <c r="F12730" s="1">
        <v>5339.0</v>
      </c>
      <c r="G12730" s="1">
        <v>0.0</v>
      </c>
    </row>
    <row r="12731">
      <c r="A12731" s="1" t="s">
        <v>8</v>
      </c>
      <c r="B12731" s="2">
        <v>44777.0</v>
      </c>
      <c r="C12731" s="3">
        <v>0.7250231481481482</v>
      </c>
      <c r="D12731" s="1">
        <v>13.025932</v>
      </c>
      <c r="E12731" s="1">
        <v>80.231026</v>
      </c>
      <c r="F12731" s="1">
        <v>5339.0</v>
      </c>
      <c r="G12731" s="1">
        <v>0.0</v>
      </c>
    </row>
    <row r="12732">
      <c r="A12732" s="1" t="s">
        <v>8</v>
      </c>
      <c r="B12732" s="2">
        <v>44777.0</v>
      </c>
      <c r="C12732" s="3">
        <v>0.7252314814814815</v>
      </c>
      <c r="D12732" s="1">
        <v>13.015462</v>
      </c>
      <c r="E12732" s="1">
        <v>80.225492</v>
      </c>
      <c r="F12732" s="1">
        <v>805.0</v>
      </c>
      <c r="G12732" s="1">
        <v>8.0</v>
      </c>
    </row>
    <row r="12733">
      <c r="A12733" s="1" t="s">
        <v>8</v>
      </c>
      <c r="B12733" s="2">
        <v>44777.0</v>
      </c>
      <c r="C12733" s="3">
        <v>0.7252662037037036</v>
      </c>
      <c r="D12733" s="1">
        <v>13.028218</v>
      </c>
      <c r="E12733" s="1">
        <v>80.235612</v>
      </c>
      <c r="F12733" s="1">
        <v>5339.0</v>
      </c>
      <c r="G12733" s="1">
        <v>40.0</v>
      </c>
    </row>
    <row r="12734">
      <c r="A12734" s="1" t="s">
        <v>8</v>
      </c>
      <c r="B12734" s="2">
        <v>44777.0</v>
      </c>
      <c r="C12734" s="3">
        <v>0.7253703703703703</v>
      </c>
      <c r="D12734" s="1">
        <v>13.01503</v>
      </c>
      <c r="E12734" s="1">
        <v>80.22593</v>
      </c>
      <c r="F12734" s="1">
        <v>805.0</v>
      </c>
      <c r="G12734" s="1">
        <v>20.0</v>
      </c>
    </row>
    <row r="12735">
      <c r="A12735" s="1" t="s">
        <v>8</v>
      </c>
      <c r="B12735" s="2">
        <v>44777.0</v>
      </c>
      <c r="C12735" s="3">
        <v>0.7255092592592592</v>
      </c>
      <c r="D12735" s="1">
        <v>13.014143</v>
      </c>
      <c r="E12735" s="1">
        <v>80.226304</v>
      </c>
      <c r="F12735" s="1">
        <v>805.0</v>
      </c>
      <c r="G12735" s="1">
        <v>26.0</v>
      </c>
    </row>
    <row r="12736">
      <c r="A12736" s="1" t="s">
        <v>8</v>
      </c>
      <c r="B12736" s="2">
        <v>44777.0</v>
      </c>
      <c r="C12736" s="3">
        <v>0.7255092592592592</v>
      </c>
      <c r="D12736" s="1">
        <v>12.987704</v>
      </c>
      <c r="E12736" s="1">
        <v>80.14203</v>
      </c>
      <c r="F12736" s="1">
        <v>3143.0</v>
      </c>
      <c r="G12736" s="1">
        <v>0.0</v>
      </c>
    </row>
    <row r="12737">
      <c r="A12737" s="1" t="s">
        <v>8</v>
      </c>
      <c r="B12737" s="2">
        <v>44777.0</v>
      </c>
      <c r="C12737" s="3">
        <v>0.7261226851851852</v>
      </c>
      <c r="D12737" s="1">
        <v>13.010152</v>
      </c>
      <c r="E12737" s="1">
        <v>80.227914</v>
      </c>
      <c r="F12737" s="1">
        <v>805.0</v>
      </c>
      <c r="G12737" s="1">
        <v>34.0</v>
      </c>
    </row>
    <row r="12738">
      <c r="A12738" s="1" t="s">
        <v>8</v>
      </c>
      <c r="B12738" s="2">
        <v>44777.0</v>
      </c>
      <c r="C12738" s="3">
        <v>0.72625</v>
      </c>
      <c r="D12738" s="1">
        <v>13.009157</v>
      </c>
      <c r="E12738" s="1">
        <v>80.228761</v>
      </c>
      <c r="F12738" s="1">
        <v>805.0</v>
      </c>
      <c r="G12738" s="1">
        <v>35.0</v>
      </c>
    </row>
    <row r="12739">
      <c r="A12739" s="1" t="s">
        <v>10</v>
      </c>
      <c r="B12739" s="2">
        <v>44777.0</v>
      </c>
      <c r="C12739" s="3">
        <v>0.7264699074074074</v>
      </c>
      <c r="D12739" s="1">
        <v>12.983994</v>
      </c>
      <c r="E12739" s="1">
        <v>80.140372</v>
      </c>
      <c r="F12739" s="1">
        <v>3143.0</v>
      </c>
      <c r="G12739" s="1">
        <v>28.0</v>
      </c>
    </row>
    <row r="12740">
      <c r="A12740" s="1" t="s">
        <v>10</v>
      </c>
      <c r="B12740" s="2">
        <v>44777.0</v>
      </c>
      <c r="C12740" s="3">
        <v>0.7272453703703704</v>
      </c>
      <c r="D12740" s="1">
        <v>12.981643</v>
      </c>
      <c r="E12740" s="1">
        <v>80.138297</v>
      </c>
      <c r="F12740" s="1">
        <v>3143.0</v>
      </c>
      <c r="G12740" s="1">
        <v>22.0</v>
      </c>
    </row>
    <row r="12741">
      <c r="A12741" s="1" t="s">
        <v>8</v>
      </c>
      <c r="B12741" s="2">
        <v>44777.0</v>
      </c>
      <c r="C12741" s="3">
        <v>0.729375</v>
      </c>
      <c r="D12741" s="1">
        <v>13.006891</v>
      </c>
      <c r="E12741" s="1">
        <v>80.240069</v>
      </c>
      <c r="F12741" s="1">
        <v>805.0</v>
      </c>
      <c r="G12741" s="1">
        <v>22.0</v>
      </c>
    </row>
    <row r="12742">
      <c r="A12742" s="1" t="s">
        <v>7</v>
      </c>
      <c r="B12742" s="2">
        <v>44777.0</v>
      </c>
      <c r="C12742" s="3">
        <v>0.7295601851851852</v>
      </c>
      <c r="D12742" s="1">
        <v>12.651492</v>
      </c>
      <c r="E12742" s="1">
        <v>79.941899</v>
      </c>
      <c r="F12742" s="1">
        <v>2846.0</v>
      </c>
      <c r="G12742" s="1">
        <v>47.0</v>
      </c>
    </row>
    <row r="12743">
      <c r="A12743" s="1" t="s">
        <v>7</v>
      </c>
      <c r="B12743" s="2">
        <v>44777.0</v>
      </c>
      <c r="C12743" s="3">
        <v>0.7297685185185185</v>
      </c>
      <c r="D12743" s="1">
        <v>12.651492</v>
      </c>
      <c r="E12743" s="1">
        <v>79.941899</v>
      </c>
      <c r="F12743" s="1">
        <v>2846.0</v>
      </c>
      <c r="G12743" s="1">
        <v>47.0</v>
      </c>
    </row>
    <row r="12744">
      <c r="A12744" s="1" t="s">
        <v>7</v>
      </c>
      <c r="B12744" s="2">
        <v>44777.0</v>
      </c>
      <c r="C12744" s="3">
        <v>0.7301504629629629</v>
      </c>
      <c r="D12744" s="1">
        <v>12.645134</v>
      </c>
      <c r="E12744" s="1">
        <v>79.939478</v>
      </c>
      <c r="F12744" s="1">
        <v>2846.0</v>
      </c>
      <c r="G12744" s="1">
        <v>58.0</v>
      </c>
    </row>
    <row r="12745">
      <c r="A12745" s="1" t="s">
        <v>10</v>
      </c>
      <c r="B12745" s="2">
        <v>44777.0</v>
      </c>
      <c r="C12745" s="3">
        <v>0.7302546296296296</v>
      </c>
      <c r="D12745" s="1">
        <v>12.974631</v>
      </c>
      <c r="E12745" s="1">
        <v>80.134267</v>
      </c>
      <c r="F12745" s="1">
        <v>3143.0</v>
      </c>
      <c r="G12745" s="1">
        <v>33.0</v>
      </c>
    </row>
    <row r="12746">
      <c r="A12746" s="1" t="s">
        <v>10</v>
      </c>
      <c r="B12746" s="2">
        <v>44777.0</v>
      </c>
      <c r="C12746" s="3">
        <v>0.7303009259259259</v>
      </c>
      <c r="D12746" s="1">
        <v>12.974754</v>
      </c>
      <c r="E12746" s="1">
        <v>80.133446</v>
      </c>
      <c r="F12746" s="1">
        <v>3143.0</v>
      </c>
      <c r="G12746" s="1">
        <v>11.0</v>
      </c>
    </row>
    <row r="12747">
      <c r="A12747" s="1" t="s">
        <v>8</v>
      </c>
      <c r="B12747" s="2">
        <v>44777.0</v>
      </c>
      <c r="C12747" s="3">
        <v>0.7306018518518519</v>
      </c>
      <c r="D12747" s="1">
        <v>13.00677</v>
      </c>
      <c r="E12747" s="1">
        <v>80.247181</v>
      </c>
      <c r="F12747" s="1">
        <v>805.0</v>
      </c>
      <c r="G12747" s="1">
        <v>32.0</v>
      </c>
    </row>
    <row r="12748">
      <c r="A12748" s="1" t="s">
        <v>8</v>
      </c>
      <c r="B12748" s="2">
        <v>44777.0</v>
      </c>
      <c r="C12748" s="3">
        <v>0.7306828703703704</v>
      </c>
      <c r="D12748" s="1">
        <v>12.97507</v>
      </c>
      <c r="E12748" s="1">
        <v>80.13266</v>
      </c>
      <c r="F12748" s="1">
        <v>3143.0</v>
      </c>
      <c r="G12748" s="1">
        <v>21.0</v>
      </c>
    </row>
    <row r="12749">
      <c r="A12749" s="1" t="s">
        <v>10</v>
      </c>
      <c r="B12749" s="2">
        <v>44777.0</v>
      </c>
      <c r="C12749" s="3">
        <v>0.7307754629629629</v>
      </c>
      <c r="D12749" s="1">
        <v>12.97507</v>
      </c>
      <c r="E12749" s="1">
        <v>80.13266</v>
      </c>
      <c r="F12749" s="1">
        <v>3143.0</v>
      </c>
      <c r="G12749" s="1">
        <v>21.0</v>
      </c>
    </row>
    <row r="12750">
      <c r="A12750" s="1" t="s">
        <v>10</v>
      </c>
      <c r="B12750" s="2">
        <v>44777.0</v>
      </c>
      <c r="C12750" s="3">
        <v>0.7317476851851852</v>
      </c>
      <c r="D12750" s="1">
        <v>12.979022</v>
      </c>
      <c r="E12750" s="1">
        <v>80.129656</v>
      </c>
      <c r="F12750" s="1">
        <v>3143.0</v>
      </c>
      <c r="G12750" s="1">
        <v>36.0</v>
      </c>
    </row>
    <row r="12751">
      <c r="A12751" s="1" t="s">
        <v>7</v>
      </c>
      <c r="B12751" s="2">
        <v>44777.0</v>
      </c>
      <c r="C12751" s="3">
        <v>0.7321643518518518</v>
      </c>
      <c r="D12751" s="1">
        <v>12.626421</v>
      </c>
      <c r="E12751" s="1">
        <v>79.929698</v>
      </c>
      <c r="F12751" s="1">
        <v>2846.0</v>
      </c>
      <c r="G12751" s="1">
        <v>58.0</v>
      </c>
    </row>
    <row r="12752">
      <c r="A12752" s="1" t="s">
        <v>8</v>
      </c>
      <c r="B12752" s="2">
        <v>44777.0</v>
      </c>
      <c r="C12752" s="3">
        <v>0.7323032407407407</v>
      </c>
      <c r="D12752" s="1">
        <v>13.006938</v>
      </c>
      <c r="E12752" s="1">
        <v>80.251224</v>
      </c>
      <c r="F12752" s="1">
        <v>805.0</v>
      </c>
      <c r="G12752" s="1">
        <v>12.0</v>
      </c>
    </row>
    <row r="12753">
      <c r="A12753" s="1" t="s">
        <v>10</v>
      </c>
      <c r="B12753" s="2">
        <v>44777.0</v>
      </c>
      <c r="C12753" s="3">
        <v>0.7323842592592592</v>
      </c>
      <c r="D12753" s="1">
        <v>12.982526</v>
      </c>
      <c r="E12753" s="1">
        <v>80.129096</v>
      </c>
      <c r="F12753" s="1">
        <v>3143.0</v>
      </c>
      <c r="G12753" s="1">
        <v>17.0</v>
      </c>
    </row>
    <row r="12754">
      <c r="A12754" s="1" t="s">
        <v>7</v>
      </c>
      <c r="B12754" s="2">
        <v>44777.0</v>
      </c>
      <c r="C12754" s="3">
        <v>0.7323958333333334</v>
      </c>
      <c r="D12754" s="1">
        <v>12.624133</v>
      </c>
      <c r="E12754" s="1">
        <v>79.928704</v>
      </c>
      <c r="F12754" s="1">
        <v>2846.0</v>
      </c>
      <c r="G12754" s="1">
        <v>58.0</v>
      </c>
    </row>
    <row r="12755">
      <c r="A12755" s="1" t="s">
        <v>7</v>
      </c>
      <c r="B12755" s="2">
        <v>44777.0</v>
      </c>
      <c r="C12755" s="3">
        <v>0.7325347222222223</v>
      </c>
      <c r="D12755" s="1">
        <v>12.624133</v>
      </c>
      <c r="E12755" s="1">
        <v>79.928704</v>
      </c>
      <c r="F12755" s="1">
        <v>2846.0</v>
      </c>
      <c r="G12755" s="1">
        <v>58.0</v>
      </c>
    </row>
    <row r="12756">
      <c r="A12756" s="1" t="s">
        <v>8</v>
      </c>
      <c r="B12756" s="2">
        <v>44777.0</v>
      </c>
      <c r="C12756" s="3">
        <v>0.7326157407407408</v>
      </c>
      <c r="D12756" s="1">
        <v>13.006604</v>
      </c>
      <c r="E12756" s="1">
        <v>80.252439</v>
      </c>
      <c r="F12756" s="1">
        <v>805.0</v>
      </c>
      <c r="G12756" s="1">
        <v>17.0</v>
      </c>
    </row>
    <row r="12757">
      <c r="A12757" s="1" t="s">
        <v>8</v>
      </c>
      <c r="B12757" s="2">
        <v>44777.0</v>
      </c>
      <c r="C12757" s="3">
        <v>0.7328356481481482</v>
      </c>
      <c r="D12757" s="1">
        <v>12.98313</v>
      </c>
      <c r="E12757" s="1">
        <v>80.128249</v>
      </c>
      <c r="F12757" s="1">
        <v>3143.0</v>
      </c>
      <c r="G12757" s="1">
        <v>17.0</v>
      </c>
    </row>
    <row r="12758">
      <c r="A12758" s="1" t="s">
        <v>8</v>
      </c>
      <c r="B12758" s="2">
        <v>44777.0</v>
      </c>
      <c r="C12758" s="3">
        <v>0.7328587962962962</v>
      </c>
      <c r="D12758" s="1">
        <v>12.98313</v>
      </c>
      <c r="E12758" s="1">
        <v>80.128249</v>
      </c>
      <c r="F12758" s="1">
        <v>3143.0</v>
      </c>
      <c r="G12758" s="1">
        <v>17.0</v>
      </c>
    </row>
    <row r="12759">
      <c r="A12759" s="1" t="s">
        <v>8</v>
      </c>
      <c r="B12759" s="2">
        <v>44777.0</v>
      </c>
      <c r="C12759" s="3">
        <v>0.7328587962962962</v>
      </c>
      <c r="D12759" s="1">
        <v>12.98313</v>
      </c>
      <c r="E12759" s="1">
        <v>80.128249</v>
      </c>
      <c r="F12759" s="1">
        <v>3143.0</v>
      </c>
      <c r="G12759" s="1">
        <v>17.0</v>
      </c>
    </row>
    <row r="12760">
      <c r="A12760" s="1" t="s">
        <v>8</v>
      </c>
      <c r="B12760" s="2">
        <v>44777.0</v>
      </c>
      <c r="C12760" s="3">
        <v>0.7329398148148148</v>
      </c>
      <c r="D12760" s="1">
        <v>12.983254</v>
      </c>
      <c r="E12760" s="1">
        <v>80.127314</v>
      </c>
      <c r="F12760" s="1">
        <v>3143.0</v>
      </c>
      <c r="G12760" s="1">
        <v>22.0</v>
      </c>
    </row>
    <row r="12761">
      <c r="A12761" s="1" t="s">
        <v>7</v>
      </c>
      <c r="B12761" s="2">
        <v>44777.0</v>
      </c>
      <c r="C12761" s="3">
        <v>0.7329976851851852</v>
      </c>
      <c r="D12761" s="1">
        <v>12.617487</v>
      </c>
      <c r="E12761" s="1">
        <v>79.926547</v>
      </c>
      <c r="F12761" s="1">
        <v>2846.0</v>
      </c>
      <c r="G12761" s="1">
        <v>58.0</v>
      </c>
    </row>
    <row r="12762">
      <c r="A12762" s="1" t="s">
        <v>8</v>
      </c>
      <c r="B12762" s="2">
        <v>44777.0</v>
      </c>
      <c r="C12762" s="3">
        <v>0.7330324074074074</v>
      </c>
      <c r="D12762" s="1">
        <v>12.983254</v>
      </c>
      <c r="E12762" s="1">
        <v>80.127314</v>
      </c>
      <c r="F12762" s="1">
        <v>3143.0</v>
      </c>
      <c r="G12762" s="1">
        <v>22.0</v>
      </c>
    </row>
    <row r="12763">
      <c r="A12763" s="1" t="s">
        <v>8</v>
      </c>
      <c r="B12763" s="2">
        <v>44777.0</v>
      </c>
      <c r="C12763" s="3">
        <v>0.7330439814814815</v>
      </c>
      <c r="D12763" s="1">
        <v>12.983254</v>
      </c>
      <c r="E12763" s="1">
        <v>80.127314</v>
      </c>
      <c r="F12763" s="1">
        <v>3143.0</v>
      </c>
      <c r="G12763" s="1">
        <v>22.0</v>
      </c>
    </row>
    <row r="12764">
      <c r="A12764" s="1" t="s">
        <v>8</v>
      </c>
      <c r="B12764" s="2">
        <v>44777.0</v>
      </c>
      <c r="C12764" s="3">
        <v>0.7330671296296296</v>
      </c>
      <c r="D12764" s="1">
        <v>12.983254</v>
      </c>
      <c r="E12764" s="1">
        <v>80.127314</v>
      </c>
      <c r="F12764" s="1">
        <v>3143.0</v>
      </c>
      <c r="G12764" s="1">
        <v>22.0</v>
      </c>
    </row>
    <row r="12765">
      <c r="A12765" s="1" t="s">
        <v>8</v>
      </c>
      <c r="B12765" s="2">
        <v>44777.0</v>
      </c>
      <c r="C12765" s="3">
        <v>0.7330902777777778</v>
      </c>
      <c r="D12765" s="1">
        <v>12.983254</v>
      </c>
      <c r="E12765" s="1">
        <v>80.127314</v>
      </c>
      <c r="F12765" s="1">
        <v>3143.0</v>
      </c>
      <c r="G12765" s="1">
        <v>22.0</v>
      </c>
    </row>
    <row r="12766">
      <c r="A12766" s="1" t="s">
        <v>8</v>
      </c>
      <c r="B12766" s="2">
        <v>44777.0</v>
      </c>
      <c r="C12766" s="3">
        <v>0.7330902777777778</v>
      </c>
      <c r="D12766" s="1">
        <v>12.983254</v>
      </c>
      <c r="E12766" s="1">
        <v>80.127314</v>
      </c>
      <c r="F12766" s="1">
        <v>3143.0</v>
      </c>
      <c r="G12766" s="1">
        <v>22.0</v>
      </c>
    </row>
    <row r="12767">
      <c r="A12767" s="1" t="s">
        <v>8</v>
      </c>
      <c r="B12767" s="2">
        <v>44777.0</v>
      </c>
      <c r="C12767" s="3">
        <v>0.7331018518518518</v>
      </c>
      <c r="D12767" s="1">
        <v>12.983384</v>
      </c>
      <c r="E12767" s="1">
        <v>80.126537</v>
      </c>
      <c r="F12767" s="1">
        <v>3143.0</v>
      </c>
      <c r="G12767" s="1">
        <v>18.0</v>
      </c>
    </row>
    <row r="12768">
      <c r="A12768" s="1" t="s">
        <v>10</v>
      </c>
      <c r="B12768" s="2">
        <v>44777.0</v>
      </c>
      <c r="C12768" s="3">
        <v>0.7335300925925926</v>
      </c>
      <c r="D12768" s="1">
        <v>12.984244</v>
      </c>
      <c r="E12768" s="1">
        <v>80.1246</v>
      </c>
      <c r="F12768" s="1">
        <v>3143.0</v>
      </c>
      <c r="G12768" s="1">
        <v>26.0</v>
      </c>
    </row>
    <row r="12769">
      <c r="A12769" s="1" t="s">
        <v>8</v>
      </c>
      <c r="B12769" s="2">
        <v>44777.0</v>
      </c>
      <c r="C12769" s="3">
        <v>0.7336111111111111</v>
      </c>
      <c r="D12769" s="1">
        <v>12.611394</v>
      </c>
      <c r="E12769" s="1">
        <v>79.923573</v>
      </c>
      <c r="F12769" s="1">
        <v>2846.0</v>
      </c>
      <c r="G12769" s="1">
        <v>58.0</v>
      </c>
    </row>
    <row r="12770">
      <c r="A12770" s="1" t="s">
        <v>8</v>
      </c>
      <c r="B12770" s="2">
        <v>44777.0</v>
      </c>
      <c r="C12770" s="3">
        <v>0.7348148148148148</v>
      </c>
      <c r="D12770" s="1">
        <v>13.007786</v>
      </c>
      <c r="E12770" s="1">
        <v>80.258744</v>
      </c>
      <c r="F12770" s="1">
        <v>805.0</v>
      </c>
      <c r="G12770" s="1">
        <v>19.0</v>
      </c>
    </row>
    <row r="12771">
      <c r="A12771" s="1" t="s">
        <v>7</v>
      </c>
      <c r="B12771" s="2">
        <v>44777.0</v>
      </c>
      <c r="C12771" s="3">
        <v>0.7352083333333334</v>
      </c>
      <c r="D12771" s="1">
        <v>13.009591</v>
      </c>
      <c r="E12771" s="1">
        <v>80.259037</v>
      </c>
      <c r="F12771" s="1">
        <v>805.0</v>
      </c>
      <c r="G12771" s="1">
        <v>41.0</v>
      </c>
    </row>
    <row r="12772">
      <c r="A12772" s="1" t="s">
        <v>8</v>
      </c>
      <c r="B12772" s="2">
        <v>44777.0</v>
      </c>
      <c r="C12772" s="3">
        <v>0.7353240740740741</v>
      </c>
      <c r="D12772" s="1">
        <v>13.04379</v>
      </c>
      <c r="E12772" s="1">
        <v>80.247695</v>
      </c>
      <c r="F12772" s="1">
        <v>5339.0</v>
      </c>
      <c r="G12772" s="1">
        <v>30.0</v>
      </c>
    </row>
    <row r="12773">
      <c r="A12773" s="1" t="s">
        <v>7</v>
      </c>
      <c r="B12773" s="2">
        <v>44777.0</v>
      </c>
      <c r="C12773" s="3">
        <v>0.7355787037037037</v>
      </c>
      <c r="D12773" s="1">
        <v>12.600891</v>
      </c>
      <c r="E12773" s="1">
        <v>79.92005</v>
      </c>
      <c r="F12773" s="1">
        <v>2846.0</v>
      </c>
      <c r="G12773" s="1">
        <v>56.0</v>
      </c>
    </row>
    <row r="12774">
      <c r="A12774" s="1" t="s">
        <v>7</v>
      </c>
      <c r="B12774" s="2">
        <v>44777.0</v>
      </c>
      <c r="C12774" s="3">
        <v>0.7368518518518519</v>
      </c>
      <c r="D12774" s="1">
        <v>12.574491</v>
      </c>
      <c r="E12774" s="1">
        <v>79.916826</v>
      </c>
      <c r="F12774" s="1">
        <v>2846.0</v>
      </c>
      <c r="G12774" s="1">
        <v>58.0</v>
      </c>
    </row>
    <row r="12775">
      <c r="A12775" s="1" t="s">
        <v>7</v>
      </c>
      <c r="B12775" s="2">
        <v>44777.0</v>
      </c>
      <c r="C12775" s="3">
        <v>0.7368981481481481</v>
      </c>
      <c r="D12775" s="1">
        <v>13.047238</v>
      </c>
      <c r="E12775" s="1">
        <v>80.248471</v>
      </c>
      <c r="F12775" s="1">
        <v>5339.0</v>
      </c>
      <c r="G12775" s="1">
        <v>19.0</v>
      </c>
    </row>
    <row r="12776">
      <c r="A12776" s="1" t="s">
        <v>8</v>
      </c>
      <c r="B12776" s="2">
        <v>44777.0</v>
      </c>
      <c r="C12776" s="3">
        <v>0.7373842592592592</v>
      </c>
      <c r="D12776" s="1">
        <v>13.018797</v>
      </c>
      <c r="E12776" s="1">
        <v>80.261258</v>
      </c>
      <c r="F12776" s="1">
        <v>805.0</v>
      </c>
      <c r="G12776" s="1">
        <v>2.0</v>
      </c>
    </row>
    <row r="12777">
      <c r="A12777" s="1" t="s">
        <v>8</v>
      </c>
      <c r="B12777" s="2">
        <v>44777.0</v>
      </c>
      <c r="C12777" s="3">
        <v>0.7373842592592592</v>
      </c>
      <c r="D12777" s="1">
        <v>13.018797</v>
      </c>
      <c r="E12777" s="1">
        <v>80.261258</v>
      </c>
      <c r="F12777" s="1">
        <v>805.0</v>
      </c>
      <c r="G12777" s="1">
        <v>2.0</v>
      </c>
    </row>
    <row r="12778">
      <c r="A12778" s="1" t="s">
        <v>8</v>
      </c>
      <c r="B12778" s="2">
        <v>44777.0</v>
      </c>
      <c r="C12778" s="3">
        <v>0.7381944444444445</v>
      </c>
      <c r="D12778" s="1">
        <v>13.055557</v>
      </c>
      <c r="E12778" s="1">
        <v>80.255326</v>
      </c>
      <c r="F12778" s="1">
        <v>5339.0</v>
      </c>
      <c r="G12778" s="1">
        <v>30.0</v>
      </c>
    </row>
    <row r="12779">
      <c r="A12779" s="1" t="s">
        <v>8</v>
      </c>
      <c r="B12779" s="2">
        <v>44777.0</v>
      </c>
      <c r="C12779" s="3">
        <v>0.7381944444444445</v>
      </c>
      <c r="D12779" s="1">
        <v>13.055557</v>
      </c>
      <c r="E12779" s="1">
        <v>80.255326</v>
      </c>
      <c r="F12779" s="1">
        <v>5339.0</v>
      </c>
      <c r="G12779" s="1">
        <v>30.0</v>
      </c>
    </row>
    <row r="12780">
      <c r="A12780" s="1" t="s">
        <v>8</v>
      </c>
      <c r="B12780" s="2">
        <v>44777.0</v>
      </c>
      <c r="C12780" s="3">
        <v>0.7383680555555555</v>
      </c>
      <c r="D12780" s="1">
        <v>13.022102</v>
      </c>
      <c r="E12780" s="1">
        <v>80.263322</v>
      </c>
      <c r="F12780" s="1">
        <v>805.0</v>
      </c>
      <c r="G12780" s="1">
        <v>31.0</v>
      </c>
    </row>
    <row r="12781">
      <c r="A12781" s="1" t="s">
        <v>8</v>
      </c>
      <c r="B12781" s="2">
        <v>44777.0</v>
      </c>
      <c r="C12781" s="3">
        <v>0.7383680555555555</v>
      </c>
      <c r="D12781" s="1">
        <v>13.022102</v>
      </c>
      <c r="E12781" s="1">
        <v>80.263322</v>
      </c>
      <c r="F12781" s="1">
        <v>805.0</v>
      </c>
      <c r="G12781" s="1">
        <v>31.0</v>
      </c>
    </row>
    <row r="12782">
      <c r="A12782" s="1" t="s">
        <v>8</v>
      </c>
      <c r="B12782" s="2">
        <v>44777.0</v>
      </c>
      <c r="C12782" s="3">
        <v>0.7383796296296297</v>
      </c>
      <c r="D12782" s="1">
        <v>13.022102</v>
      </c>
      <c r="E12782" s="1">
        <v>80.263322</v>
      </c>
      <c r="F12782" s="1">
        <v>805.0</v>
      </c>
      <c r="G12782" s="1">
        <v>31.0</v>
      </c>
    </row>
    <row r="12783">
      <c r="A12783" s="1" t="s">
        <v>8</v>
      </c>
      <c r="B12783" s="2">
        <v>44777.0</v>
      </c>
      <c r="C12783" s="3">
        <v>0.7384143518518519</v>
      </c>
      <c r="D12783" s="1">
        <v>13.022102</v>
      </c>
      <c r="E12783" s="1">
        <v>80.263322</v>
      </c>
      <c r="F12783" s="1">
        <v>805.0</v>
      </c>
      <c r="G12783" s="1">
        <v>31.0</v>
      </c>
    </row>
    <row r="12784">
      <c r="A12784" s="1" t="s">
        <v>8</v>
      </c>
      <c r="B12784" s="2">
        <v>44777.0</v>
      </c>
      <c r="C12784" s="3">
        <v>0.7388078703703703</v>
      </c>
      <c r="D12784" s="1">
        <v>12.998577</v>
      </c>
      <c r="E12784" s="1">
        <v>80.10165</v>
      </c>
      <c r="F12784" s="1">
        <v>3143.0</v>
      </c>
      <c r="G12784" s="1">
        <v>24.0</v>
      </c>
    </row>
    <row r="12785">
      <c r="A12785" s="1" t="s">
        <v>7</v>
      </c>
      <c r="B12785" s="2">
        <v>44777.0</v>
      </c>
      <c r="C12785" s="3">
        <v>0.7390046296296297</v>
      </c>
      <c r="D12785" s="1">
        <v>12.559975</v>
      </c>
      <c r="E12785" s="1">
        <v>79.911307</v>
      </c>
      <c r="F12785" s="1">
        <v>2846.0</v>
      </c>
      <c r="G12785" s="1">
        <v>58.0</v>
      </c>
    </row>
    <row r="12786">
      <c r="A12786" s="1" t="s">
        <v>8</v>
      </c>
      <c r="B12786" s="2">
        <v>44777.0</v>
      </c>
      <c r="C12786" s="3">
        <v>0.7390393518518519</v>
      </c>
      <c r="D12786" s="1">
        <v>12.559975</v>
      </c>
      <c r="E12786" s="1">
        <v>79.911307</v>
      </c>
      <c r="F12786" s="1">
        <v>2846.0</v>
      </c>
      <c r="G12786" s="1">
        <v>58.0</v>
      </c>
    </row>
    <row r="12787">
      <c r="A12787" s="1" t="s">
        <v>10</v>
      </c>
      <c r="B12787" s="2">
        <v>44777.0</v>
      </c>
      <c r="C12787" s="3">
        <v>0.7392939814814815</v>
      </c>
      <c r="D12787" s="1">
        <v>13.026255</v>
      </c>
      <c r="E12787" s="1">
        <v>80.26575</v>
      </c>
      <c r="F12787" s="1">
        <v>805.0</v>
      </c>
      <c r="G12787" s="1">
        <v>9.0</v>
      </c>
    </row>
    <row r="12788">
      <c r="A12788" s="1" t="s">
        <v>10</v>
      </c>
      <c r="B12788" s="2">
        <v>44777.0</v>
      </c>
      <c r="C12788" s="3">
        <v>0.7397453703703704</v>
      </c>
      <c r="D12788" s="1">
        <v>12.54427</v>
      </c>
      <c r="E12788" s="1">
        <v>79.905196</v>
      </c>
      <c r="F12788" s="1">
        <v>2846.0</v>
      </c>
      <c r="G12788" s="1">
        <v>34.0</v>
      </c>
    </row>
    <row r="12789">
      <c r="A12789" s="1" t="s">
        <v>8</v>
      </c>
      <c r="B12789" s="2">
        <v>44777.0</v>
      </c>
      <c r="C12789" s="3">
        <v>0.7397685185185185</v>
      </c>
      <c r="D12789" s="1">
        <v>13.055936</v>
      </c>
      <c r="E12789" s="1">
        <v>80.255984</v>
      </c>
      <c r="F12789" s="1">
        <v>5339.0</v>
      </c>
      <c r="G12789" s="1">
        <v>24.0</v>
      </c>
    </row>
    <row r="12790">
      <c r="A12790" s="1" t="s">
        <v>8</v>
      </c>
      <c r="B12790" s="2">
        <v>44777.0</v>
      </c>
      <c r="C12790" s="3">
        <v>0.7397800925925926</v>
      </c>
      <c r="D12790" s="1">
        <v>13.055936</v>
      </c>
      <c r="E12790" s="1">
        <v>80.255984</v>
      </c>
      <c r="F12790" s="1">
        <v>5339.0</v>
      </c>
      <c r="G12790" s="1">
        <v>24.0</v>
      </c>
    </row>
    <row r="12791">
      <c r="A12791" s="1" t="s">
        <v>8</v>
      </c>
      <c r="B12791" s="2">
        <v>44777.0</v>
      </c>
      <c r="C12791" s="3">
        <v>0.7397916666666666</v>
      </c>
      <c r="D12791" s="1">
        <v>13.055936</v>
      </c>
      <c r="E12791" s="1">
        <v>80.255984</v>
      </c>
      <c r="F12791" s="1">
        <v>5339.0</v>
      </c>
      <c r="G12791" s="1">
        <v>24.0</v>
      </c>
    </row>
    <row r="12792">
      <c r="A12792" s="1" t="s">
        <v>10</v>
      </c>
      <c r="B12792" s="2">
        <v>44777.0</v>
      </c>
      <c r="C12792" s="3">
        <v>0.74</v>
      </c>
      <c r="D12792" s="1">
        <v>12.998149</v>
      </c>
      <c r="E12792" s="1">
        <v>80.096909</v>
      </c>
      <c r="F12792" s="1">
        <v>3143.0</v>
      </c>
      <c r="G12792" s="1">
        <v>0.0</v>
      </c>
    </row>
    <row r="12793">
      <c r="A12793" s="1" t="s">
        <v>9</v>
      </c>
      <c r="B12793" s="2">
        <v>44777.0</v>
      </c>
      <c r="C12793" s="3">
        <v>0.7402662037037037</v>
      </c>
      <c r="D12793" s="1">
        <v>13.054598</v>
      </c>
      <c r="E12793" s="1">
        <v>80.256383</v>
      </c>
      <c r="F12793" s="1">
        <v>5339.0</v>
      </c>
      <c r="G12793" s="1">
        <v>40.0</v>
      </c>
    </row>
    <row r="12794">
      <c r="A12794" s="1" t="s">
        <v>8</v>
      </c>
      <c r="B12794" s="2">
        <v>44777.0</v>
      </c>
      <c r="C12794" s="3">
        <v>0.740462962962963</v>
      </c>
      <c r="D12794" s="1">
        <v>12.998282</v>
      </c>
      <c r="E12794" s="1">
        <v>80.096551</v>
      </c>
      <c r="F12794" s="1">
        <v>3143.0</v>
      </c>
      <c r="G12794" s="1">
        <v>7.0</v>
      </c>
    </row>
    <row r="12795">
      <c r="A12795" s="1" t="s">
        <v>8</v>
      </c>
      <c r="B12795" s="2">
        <v>44777.0</v>
      </c>
      <c r="C12795" s="3">
        <v>0.7405092592592593</v>
      </c>
      <c r="D12795" s="1">
        <v>12.54195</v>
      </c>
      <c r="E12795" s="1">
        <v>79.904676</v>
      </c>
      <c r="F12795" s="1">
        <v>2846.0</v>
      </c>
      <c r="G12795" s="1">
        <v>45.0</v>
      </c>
    </row>
    <row r="12796">
      <c r="A12796" s="1" t="s">
        <v>8</v>
      </c>
      <c r="B12796" s="2">
        <v>44777.0</v>
      </c>
      <c r="C12796" s="3">
        <v>0.7405671296296297</v>
      </c>
      <c r="D12796" s="1">
        <v>12.53787</v>
      </c>
      <c r="E12796" s="1">
        <v>79.903666</v>
      </c>
      <c r="F12796" s="1">
        <v>2846.0</v>
      </c>
      <c r="G12796" s="1">
        <v>56.0</v>
      </c>
    </row>
    <row r="12797">
      <c r="A12797" s="1" t="s">
        <v>9</v>
      </c>
      <c r="B12797" s="2">
        <v>44777.0</v>
      </c>
      <c r="C12797" s="3">
        <v>0.7408333333333333</v>
      </c>
      <c r="D12797" s="1">
        <v>12.999266</v>
      </c>
      <c r="E12797" s="1">
        <v>80.096942</v>
      </c>
      <c r="F12797" s="1">
        <v>3143.0</v>
      </c>
      <c r="G12797" s="1">
        <v>18.0</v>
      </c>
    </row>
    <row r="12798">
      <c r="A12798" s="1" t="s">
        <v>8</v>
      </c>
      <c r="B12798" s="2">
        <v>44777.0</v>
      </c>
      <c r="C12798" s="3">
        <v>0.7409490740740741</v>
      </c>
      <c r="D12798" s="1">
        <v>13.000243</v>
      </c>
      <c r="E12798" s="1">
        <v>80.097502</v>
      </c>
      <c r="F12798" s="1">
        <v>3143.0</v>
      </c>
      <c r="G12798" s="1">
        <v>30.0</v>
      </c>
    </row>
    <row r="12799">
      <c r="A12799" s="1" t="s">
        <v>10</v>
      </c>
      <c r="B12799" s="2">
        <v>44777.0</v>
      </c>
      <c r="C12799" s="3">
        <v>0.7409722222222223</v>
      </c>
      <c r="D12799" s="1">
        <v>13.000243</v>
      </c>
      <c r="E12799" s="1">
        <v>80.097502</v>
      </c>
      <c r="F12799" s="1">
        <v>3143.0</v>
      </c>
      <c r="G12799" s="1">
        <v>30.0</v>
      </c>
    </row>
    <row r="12800">
      <c r="A12800" s="1" t="s">
        <v>8</v>
      </c>
      <c r="B12800" s="2">
        <v>44777.0</v>
      </c>
      <c r="C12800" s="3">
        <v>0.7411111111111112</v>
      </c>
      <c r="D12800" s="1">
        <v>13.05391</v>
      </c>
      <c r="E12800" s="1">
        <v>80.263528</v>
      </c>
      <c r="F12800" s="1">
        <v>5339.0</v>
      </c>
      <c r="G12800" s="1">
        <v>41.0</v>
      </c>
    </row>
    <row r="12801">
      <c r="A12801" s="1" t="s">
        <v>8</v>
      </c>
      <c r="B12801" s="2">
        <v>44777.0</v>
      </c>
      <c r="C12801" s="3">
        <v>0.7413310185185186</v>
      </c>
      <c r="D12801" s="1">
        <v>13.053756</v>
      </c>
      <c r="E12801" s="1">
        <v>80.265461</v>
      </c>
      <c r="F12801" s="1">
        <v>5339.0</v>
      </c>
      <c r="G12801" s="1">
        <v>38.0</v>
      </c>
    </row>
    <row r="12802">
      <c r="A12802" s="1" t="s">
        <v>10</v>
      </c>
      <c r="B12802" s="2">
        <v>44777.0</v>
      </c>
      <c r="C12802" s="3">
        <v>0.7416898148148148</v>
      </c>
      <c r="D12802" s="1">
        <v>13.05362</v>
      </c>
      <c r="E12802" s="1">
        <v>80.266963</v>
      </c>
      <c r="F12802" s="1">
        <v>5339.0</v>
      </c>
      <c r="G12802" s="1">
        <v>6.0</v>
      </c>
    </row>
    <row r="12803">
      <c r="A12803" s="1" t="s">
        <v>10</v>
      </c>
      <c r="B12803" s="2">
        <v>44777.0</v>
      </c>
      <c r="C12803" s="3">
        <v>0.7418518518518519</v>
      </c>
      <c r="D12803" s="1">
        <v>13.030419</v>
      </c>
      <c r="E12803" s="1">
        <v>80.266678</v>
      </c>
      <c r="F12803" s="1">
        <v>805.0</v>
      </c>
      <c r="G12803" s="1">
        <v>31.0</v>
      </c>
    </row>
    <row r="12804">
      <c r="A12804" s="1" t="s">
        <v>10</v>
      </c>
      <c r="B12804" s="2">
        <v>44777.0</v>
      </c>
      <c r="C12804" s="3">
        <v>0.7420138888888889</v>
      </c>
      <c r="D12804" s="1">
        <v>13.032359</v>
      </c>
      <c r="E12804" s="1">
        <v>80.267248</v>
      </c>
      <c r="F12804" s="1">
        <v>805.0</v>
      </c>
      <c r="G12804" s="1">
        <v>0.0</v>
      </c>
    </row>
    <row r="12805">
      <c r="A12805" s="1" t="s">
        <v>10</v>
      </c>
      <c r="B12805" s="2">
        <v>44777.0</v>
      </c>
      <c r="C12805" s="3">
        <v>0.7422106481481482</v>
      </c>
      <c r="D12805" s="1">
        <v>13.004292</v>
      </c>
      <c r="E12805" s="1">
        <v>80.099959</v>
      </c>
      <c r="F12805" s="1">
        <v>3143.0</v>
      </c>
      <c r="G12805" s="1">
        <v>29.0</v>
      </c>
    </row>
    <row r="12806">
      <c r="A12806" s="1" t="s">
        <v>10</v>
      </c>
      <c r="B12806" s="2">
        <v>44777.0</v>
      </c>
      <c r="C12806" s="3">
        <v>0.7431597222222223</v>
      </c>
      <c r="D12806" s="1">
        <v>13.053179</v>
      </c>
      <c r="E12806" s="1">
        <v>80.27106</v>
      </c>
      <c r="F12806" s="1">
        <v>5339.0</v>
      </c>
      <c r="G12806" s="1">
        <v>15.0</v>
      </c>
    </row>
    <row r="12807">
      <c r="A12807" s="1" t="s">
        <v>10</v>
      </c>
      <c r="B12807" s="2">
        <v>44777.0</v>
      </c>
      <c r="C12807" s="3">
        <v>0.7438541666666667</v>
      </c>
      <c r="D12807" s="1">
        <v>13.052908</v>
      </c>
      <c r="E12807" s="1">
        <v>80.272404</v>
      </c>
      <c r="F12807" s="1">
        <v>5339.0</v>
      </c>
      <c r="G12807" s="1">
        <v>17.0</v>
      </c>
    </row>
    <row r="12808">
      <c r="A12808" s="1" t="s">
        <v>10</v>
      </c>
      <c r="B12808" s="2">
        <v>44777.0</v>
      </c>
      <c r="C12808" s="3">
        <v>0.7444212962962963</v>
      </c>
      <c r="D12808" s="1">
        <v>13.037179</v>
      </c>
      <c r="E12808" s="1">
        <v>80.26753</v>
      </c>
      <c r="F12808" s="1">
        <v>805.0</v>
      </c>
      <c r="G12808" s="1">
        <v>24.0</v>
      </c>
    </row>
    <row r="12809">
      <c r="A12809" s="1" t="s">
        <v>10</v>
      </c>
      <c r="B12809" s="2">
        <v>44777.0</v>
      </c>
      <c r="C12809" s="3">
        <v>0.7446180555555556</v>
      </c>
      <c r="D12809" s="1">
        <v>13.037973</v>
      </c>
      <c r="E12809" s="1">
        <v>80.267647</v>
      </c>
      <c r="F12809" s="1">
        <v>805.0</v>
      </c>
      <c r="G12809" s="1">
        <v>21.0</v>
      </c>
    </row>
    <row r="12810">
      <c r="A12810" s="1" t="s">
        <v>10</v>
      </c>
      <c r="B12810" s="2">
        <v>44777.0</v>
      </c>
      <c r="C12810" s="3">
        <v>0.7451273148148149</v>
      </c>
      <c r="D12810" s="1">
        <v>13.039851</v>
      </c>
      <c r="E12810" s="1">
        <v>80.267823</v>
      </c>
      <c r="F12810" s="1">
        <v>805.0</v>
      </c>
      <c r="G12810" s="1">
        <v>17.0</v>
      </c>
    </row>
    <row r="12811">
      <c r="A12811" s="1" t="s">
        <v>8</v>
      </c>
      <c r="B12811" s="2">
        <v>44777.0</v>
      </c>
      <c r="C12811" s="3">
        <v>0.7455092592592593</v>
      </c>
      <c r="D12811" s="1">
        <v>13.041076</v>
      </c>
      <c r="E12811" s="1">
        <v>80.268158</v>
      </c>
      <c r="F12811" s="1">
        <v>805.0</v>
      </c>
      <c r="G12811" s="1">
        <v>16.0</v>
      </c>
    </row>
    <row r="12812">
      <c r="A12812" s="1" t="s">
        <v>8</v>
      </c>
      <c r="B12812" s="2">
        <v>44777.0</v>
      </c>
      <c r="C12812" s="3">
        <v>0.7455671296296297</v>
      </c>
      <c r="D12812" s="1">
        <v>13.020292</v>
      </c>
      <c r="E12812" s="1">
        <v>80.104777</v>
      </c>
      <c r="F12812" s="1">
        <v>3143.0</v>
      </c>
      <c r="G12812" s="1">
        <v>18.0</v>
      </c>
    </row>
    <row r="12813">
      <c r="A12813" s="1" t="s">
        <v>10</v>
      </c>
      <c r="B12813" s="2">
        <v>44777.0</v>
      </c>
      <c r="C12813" s="3">
        <v>0.7457870370370371</v>
      </c>
      <c r="D12813" s="1">
        <v>13.057628</v>
      </c>
      <c r="E12813" s="1">
        <v>80.274027</v>
      </c>
      <c r="F12813" s="1">
        <v>5339.0</v>
      </c>
      <c r="G12813" s="1">
        <v>24.0</v>
      </c>
    </row>
    <row r="12814">
      <c r="A12814" s="1" t="s">
        <v>10</v>
      </c>
      <c r="B12814" s="2">
        <v>44777.0</v>
      </c>
      <c r="C12814" s="3">
        <v>0.7460185185185185</v>
      </c>
      <c r="D12814" s="1">
        <v>13.058628</v>
      </c>
      <c r="E12814" s="1">
        <v>80.274146</v>
      </c>
      <c r="F12814" s="1">
        <v>5339.0</v>
      </c>
      <c r="G12814" s="1">
        <v>12.0</v>
      </c>
    </row>
    <row r="12815">
      <c r="A12815" s="1" t="s">
        <v>10</v>
      </c>
      <c r="B12815" s="2">
        <v>44777.0</v>
      </c>
      <c r="C12815" s="3">
        <v>0.7462268518518519</v>
      </c>
      <c r="D12815" s="1">
        <v>13.059318</v>
      </c>
      <c r="E12815" s="1">
        <v>80.274203</v>
      </c>
      <c r="F12815" s="1">
        <v>5339.0</v>
      </c>
      <c r="G12815" s="1">
        <v>25.0</v>
      </c>
    </row>
    <row r="12816">
      <c r="A12816" s="1" t="s">
        <v>10</v>
      </c>
      <c r="B12816" s="2">
        <v>44777.0</v>
      </c>
      <c r="C12816" s="3">
        <v>0.7462847222222222</v>
      </c>
      <c r="D12816" s="1">
        <v>13.059756</v>
      </c>
      <c r="E12816" s="1">
        <v>80.274253</v>
      </c>
      <c r="F12816" s="1">
        <v>5339.0</v>
      </c>
      <c r="G12816" s="1">
        <v>10.0</v>
      </c>
    </row>
    <row r="12817">
      <c r="A12817" s="1" t="s">
        <v>10</v>
      </c>
      <c r="B12817" s="2">
        <v>44777.0</v>
      </c>
      <c r="C12817" s="3">
        <v>0.7470023148148148</v>
      </c>
      <c r="D12817" s="1">
        <v>13.048116</v>
      </c>
      <c r="E12817" s="1">
        <v>80.265912</v>
      </c>
      <c r="F12817" s="1">
        <v>805.0</v>
      </c>
      <c r="G12817" s="1">
        <v>12.0</v>
      </c>
    </row>
    <row r="12818">
      <c r="A12818" s="1" t="s">
        <v>10</v>
      </c>
      <c r="B12818" s="2">
        <v>44777.0</v>
      </c>
      <c r="C12818" s="3">
        <v>0.7470138888888889</v>
      </c>
      <c r="D12818" s="1">
        <v>13.027358</v>
      </c>
      <c r="E12818" s="1">
        <v>80.110936</v>
      </c>
      <c r="F12818" s="1">
        <v>3143.0</v>
      </c>
      <c r="G12818" s="1">
        <v>25.0</v>
      </c>
    </row>
    <row r="12819">
      <c r="A12819" s="1" t="s">
        <v>10</v>
      </c>
      <c r="B12819" s="2">
        <v>44777.0</v>
      </c>
      <c r="C12819" s="3">
        <v>0.7472222222222222</v>
      </c>
      <c r="D12819" s="1">
        <v>13.063336</v>
      </c>
      <c r="E12819" s="1">
        <v>80.27417</v>
      </c>
      <c r="F12819" s="1">
        <v>5339.0</v>
      </c>
      <c r="G12819" s="1">
        <v>19.0</v>
      </c>
    </row>
    <row r="12820">
      <c r="A12820" s="1" t="s">
        <v>10</v>
      </c>
      <c r="B12820" s="2">
        <v>44777.0</v>
      </c>
      <c r="C12820" s="3">
        <v>0.7473726851851852</v>
      </c>
      <c r="D12820" s="1">
        <v>13.028964</v>
      </c>
      <c r="E12820" s="1">
        <v>80.111251</v>
      </c>
      <c r="F12820" s="1">
        <v>3143.0</v>
      </c>
      <c r="G12820" s="1">
        <v>19.0</v>
      </c>
    </row>
    <row r="12821">
      <c r="A12821" s="1" t="s">
        <v>10</v>
      </c>
      <c r="B12821" s="2">
        <v>44777.0</v>
      </c>
      <c r="C12821" s="3">
        <v>0.7484375</v>
      </c>
      <c r="D12821" s="1">
        <v>13.065234</v>
      </c>
      <c r="E12821" s="1">
        <v>80.273857</v>
      </c>
      <c r="F12821" s="1">
        <v>5339.0</v>
      </c>
      <c r="G12821" s="1">
        <v>0.0</v>
      </c>
    </row>
    <row r="12822">
      <c r="A12822" s="1" t="s">
        <v>8</v>
      </c>
      <c r="B12822" s="2">
        <v>44777.0</v>
      </c>
      <c r="C12822" s="3">
        <v>0.7488541666666667</v>
      </c>
      <c r="D12822" s="1">
        <v>13.054802</v>
      </c>
      <c r="E12822" s="1">
        <v>80.264184</v>
      </c>
      <c r="F12822" s="1">
        <v>805.0</v>
      </c>
      <c r="G12822" s="1">
        <v>22.0</v>
      </c>
    </row>
    <row r="12823">
      <c r="A12823" s="1" t="s">
        <v>10</v>
      </c>
      <c r="B12823" s="2">
        <v>44777.0</v>
      </c>
      <c r="C12823" s="3">
        <v>0.749525462962963</v>
      </c>
      <c r="D12823" s="1">
        <v>13.039475</v>
      </c>
      <c r="E12823" s="1">
        <v>80.113663</v>
      </c>
      <c r="F12823" s="1">
        <v>3143.0</v>
      </c>
      <c r="G12823" s="1">
        <v>11.0</v>
      </c>
    </row>
    <row r="12824">
      <c r="A12824" s="1" t="s">
        <v>10</v>
      </c>
      <c r="B12824" s="2">
        <v>44777.0</v>
      </c>
      <c r="C12824" s="3">
        <v>0.7495833333333334</v>
      </c>
      <c r="D12824" s="1">
        <v>13.039475</v>
      </c>
      <c r="E12824" s="1">
        <v>80.113663</v>
      </c>
      <c r="F12824" s="1">
        <v>3143.0</v>
      </c>
      <c r="G12824" s="1">
        <v>11.0</v>
      </c>
    </row>
    <row r="12825">
      <c r="A12825" s="1" t="s">
        <v>8</v>
      </c>
      <c r="B12825" s="2">
        <v>44777.0</v>
      </c>
      <c r="C12825" s="3">
        <v>0.749837962962963</v>
      </c>
      <c r="D12825" s="1">
        <v>13.068025</v>
      </c>
      <c r="E12825" s="1">
        <v>80.271384</v>
      </c>
      <c r="F12825" s="1">
        <v>5339.0</v>
      </c>
      <c r="G12825" s="1">
        <v>19.0</v>
      </c>
    </row>
    <row r="12826">
      <c r="A12826" s="1" t="s">
        <v>10</v>
      </c>
      <c r="B12826" s="2">
        <v>44777.0</v>
      </c>
      <c r="C12826" s="3">
        <v>0.7503125</v>
      </c>
      <c r="D12826" s="1">
        <v>13.042259</v>
      </c>
      <c r="E12826" s="1">
        <v>80.115087</v>
      </c>
      <c r="F12826" s="1">
        <v>3143.0</v>
      </c>
      <c r="G12826" s="1">
        <v>40.0</v>
      </c>
    </row>
    <row r="12827">
      <c r="A12827" s="1" t="s">
        <v>10</v>
      </c>
      <c r="B12827" s="2">
        <v>44777.0</v>
      </c>
      <c r="C12827" s="3">
        <v>0.7515625</v>
      </c>
      <c r="D12827" s="1">
        <v>13.068943</v>
      </c>
      <c r="E12827" s="1">
        <v>80.267336</v>
      </c>
      <c r="F12827" s="1">
        <v>5339.0</v>
      </c>
      <c r="G12827" s="1">
        <v>28.0</v>
      </c>
    </row>
    <row r="12828">
      <c r="A12828" s="1" t="s">
        <v>10</v>
      </c>
      <c r="B12828" s="2">
        <v>44777.0</v>
      </c>
      <c r="C12828" s="3">
        <v>0.7516435185185185</v>
      </c>
      <c r="D12828" s="1">
        <v>13.069339</v>
      </c>
      <c r="E12828" s="1">
        <v>80.266901</v>
      </c>
      <c r="F12828" s="1">
        <v>5339.0</v>
      </c>
      <c r="G12828" s="1">
        <v>19.0</v>
      </c>
    </row>
    <row r="12829">
      <c r="A12829" s="1" t="s">
        <v>10</v>
      </c>
      <c r="B12829" s="2">
        <v>44777.0</v>
      </c>
      <c r="C12829" s="3">
        <v>0.7519444444444444</v>
      </c>
      <c r="D12829" s="1">
        <v>13.069924</v>
      </c>
      <c r="E12829" s="1">
        <v>80.266234</v>
      </c>
      <c r="F12829" s="1">
        <v>5339.0</v>
      </c>
      <c r="G12829" s="1">
        <v>26.0</v>
      </c>
    </row>
    <row r="12830">
      <c r="A12830" s="1" t="s">
        <v>8</v>
      </c>
      <c r="B12830" s="2">
        <v>44777.0</v>
      </c>
      <c r="C12830" s="3">
        <v>0.7525578703703704</v>
      </c>
      <c r="D12830" s="1">
        <v>13.045018</v>
      </c>
      <c r="E12830" s="1">
        <v>80.115601</v>
      </c>
      <c r="F12830" s="1">
        <v>3143.0</v>
      </c>
      <c r="G12830" s="1">
        <v>6.0</v>
      </c>
    </row>
    <row r="12831">
      <c r="A12831" s="1" t="s">
        <v>8</v>
      </c>
      <c r="B12831" s="2">
        <v>44777.0</v>
      </c>
      <c r="C12831" s="3">
        <v>0.7527199074074075</v>
      </c>
      <c r="D12831" s="1">
        <v>13.045074</v>
      </c>
      <c r="E12831" s="1">
        <v>80.116252</v>
      </c>
      <c r="F12831" s="1">
        <v>3143.0</v>
      </c>
      <c r="G12831" s="1">
        <v>24.0</v>
      </c>
    </row>
    <row r="12832">
      <c r="A12832" s="1" t="s">
        <v>8</v>
      </c>
      <c r="B12832" s="2">
        <v>44777.0</v>
      </c>
      <c r="C12832" s="3">
        <v>0.7536921296296296</v>
      </c>
      <c r="D12832" s="1">
        <v>13.07129</v>
      </c>
      <c r="E12832" s="1">
        <v>80.258941</v>
      </c>
      <c r="F12832" s="1">
        <v>5339.0</v>
      </c>
      <c r="G12832" s="1">
        <v>26.0</v>
      </c>
    </row>
    <row r="12833">
      <c r="A12833" s="1" t="s">
        <v>8</v>
      </c>
      <c r="B12833" s="2">
        <v>44777.0</v>
      </c>
      <c r="C12833" s="3">
        <v>0.7543055555555556</v>
      </c>
      <c r="D12833" s="1">
        <v>13.068295</v>
      </c>
      <c r="E12833" s="1">
        <v>80.255715</v>
      </c>
      <c r="F12833" s="1">
        <v>5339.0</v>
      </c>
      <c r="G12833" s="1">
        <v>38.0</v>
      </c>
    </row>
    <row r="12834">
      <c r="A12834" s="1" t="s">
        <v>10</v>
      </c>
      <c r="B12834" s="2">
        <v>44777.0</v>
      </c>
      <c r="C12834" s="3">
        <v>0.7552430555555556</v>
      </c>
      <c r="D12834" s="1">
        <v>13.066865</v>
      </c>
      <c r="E12834" s="1">
        <v>80.254314</v>
      </c>
      <c r="F12834" s="1">
        <v>5339.0</v>
      </c>
      <c r="G12834" s="1">
        <v>16.0</v>
      </c>
    </row>
    <row r="12835">
      <c r="A12835" s="1" t="s">
        <v>8</v>
      </c>
      <c r="B12835" s="2">
        <v>44777.0</v>
      </c>
      <c r="C12835" s="3">
        <v>0.7554166666666666</v>
      </c>
      <c r="D12835" s="1">
        <v>13.066906</v>
      </c>
      <c r="E12835" s="1">
        <v>80.253973</v>
      </c>
      <c r="F12835" s="1">
        <v>5339.0</v>
      </c>
      <c r="G12835" s="1">
        <v>17.0</v>
      </c>
    </row>
    <row r="12836">
      <c r="A12836" s="1" t="s">
        <v>7</v>
      </c>
      <c r="B12836" s="2">
        <v>44777.0</v>
      </c>
      <c r="C12836" s="3">
        <v>0.7555671296296296</v>
      </c>
      <c r="D12836" s="1">
        <v>13.056484</v>
      </c>
      <c r="E12836" s="1">
        <v>80.11604</v>
      </c>
      <c r="F12836" s="1">
        <v>3143.0</v>
      </c>
      <c r="G12836" s="1">
        <v>57.0</v>
      </c>
    </row>
    <row r="12837">
      <c r="A12837" s="1" t="s">
        <v>8</v>
      </c>
      <c r="B12837" s="2">
        <v>44777.0</v>
      </c>
      <c r="C12837" s="3">
        <v>0.755625</v>
      </c>
      <c r="D12837" s="1">
        <v>13.067966</v>
      </c>
      <c r="E12837" s="1">
        <v>80.253169</v>
      </c>
      <c r="F12837" s="1">
        <v>5339.0</v>
      </c>
      <c r="G12837" s="1">
        <v>32.0</v>
      </c>
    </row>
    <row r="12838">
      <c r="A12838" s="1" t="s">
        <v>8</v>
      </c>
      <c r="B12838" s="2">
        <v>44777.0</v>
      </c>
      <c r="C12838" s="3">
        <v>0.7568981481481482</v>
      </c>
      <c r="D12838" s="1">
        <v>13.062136</v>
      </c>
      <c r="E12838" s="1">
        <v>80.263221</v>
      </c>
      <c r="F12838" s="1">
        <v>805.0</v>
      </c>
      <c r="G12838" s="1">
        <v>0.0</v>
      </c>
    </row>
    <row r="12839">
      <c r="A12839" s="1" t="s">
        <v>8</v>
      </c>
      <c r="B12839" s="2">
        <v>44777.0</v>
      </c>
      <c r="C12839" s="3">
        <v>0.7569212962962963</v>
      </c>
      <c r="D12839" s="1">
        <v>13.062136</v>
      </c>
      <c r="E12839" s="1">
        <v>80.263221</v>
      </c>
      <c r="F12839" s="1">
        <v>805.0</v>
      </c>
      <c r="G12839" s="1">
        <v>0.0</v>
      </c>
    </row>
    <row r="12840">
      <c r="A12840" s="1" t="s">
        <v>8</v>
      </c>
      <c r="B12840" s="2">
        <v>44777.0</v>
      </c>
      <c r="C12840" s="3">
        <v>0.7569212962962963</v>
      </c>
      <c r="D12840" s="1">
        <v>13.062136</v>
      </c>
      <c r="E12840" s="1">
        <v>80.263221</v>
      </c>
      <c r="F12840" s="1">
        <v>805.0</v>
      </c>
      <c r="G12840" s="1">
        <v>0.0</v>
      </c>
    </row>
    <row r="12841">
      <c r="A12841" s="1" t="s">
        <v>8</v>
      </c>
      <c r="B12841" s="2">
        <v>44777.0</v>
      </c>
      <c r="C12841" s="3">
        <v>0.7569212962962963</v>
      </c>
      <c r="D12841" s="1">
        <v>13.062136</v>
      </c>
      <c r="E12841" s="1">
        <v>80.263221</v>
      </c>
      <c r="F12841" s="1">
        <v>805.0</v>
      </c>
      <c r="G12841" s="1">
        <v>0.0</v>
      </c>
    </row>
    <row r="12842">
      <c r="A12842" s="1" t="s">
        <v>8</v>
      </c>
      <c r="B12842" s="2">
        <v>44777.0</v>
      </c>
      <c r="C12842" s="3">
        <v>0.7569444444444444</v>
      </c>
      <c r="D12842" s="1">
        <v>13.062136</v>
      </c>
      <c r="E12842" s="1">
        <v>80.263221</v>
      </c>
      <c r="F12842" s="1">
        <v>805.0</v>
      </c>
      <c r="G12842" s="1">
        <v>0.0</v>
      </c>
    </row>
    <row r="12843">
      <c r="A12843" s="1" t="s">
        <v>8</v>
      </c>
      <c r="B12843" s="2">
        <v>44777.0</v>
      </c>
      <c r="C12843" s="3">
        <v>0.7570486111111111</v>
      </c>
      <c r="D12843" s="1">
        <v>13.065371</v>
      </c>
      <c r="E12843" s="1">
        <v>80.247771</v>
      </c>
      <c r="F12843" s="1">
        <v>5339.0</v>
      </c>
      <c r="G12843" s="1">
        <v>26.0</v>
      </c>
    </row>
    <row r="12844">
      <c r="A12844" s="1" t="s">
        <v>8</v>
      </c>
      <c r="B12844" s="2">
        <v>44777.0</v>
      </c>
      <c r="C12844" s="3">
        <v>0.7570486111111111</v>
      </c>
      <c r="D12844" s="1">
        <v>13.065371</v>
      </c>
      <c r="E12844" s="1">
        <v>80.247771</v>
      </c>
      <c r="F12844" s="1">
        <v>5339.0</v>
      </c>
      <c r="G12844" s="1">
        <v>26.0</v>
      </c>
    </row>
    <row r="12845">
      <c r="A12845" s="1" t="s">
        <v>8</v>
      </c>
      <c r="B12845" s="2">
        <v>44777.0</v>
      </c>
      <c r="C12845" s="3">
        <v>0.7570486111111111</v>
      </c>
      <c r="D12845" s="1">
        <v>13.062136</v>
      </c>
      <c r="E12845" s="1">
        <v>80.263221</v>
      </c>
      <c r="F12845" s="1">
        <v>805.0</v>
      </c>
      <c r="G12845" s="1">
        <v>0.0</v>
      </c>
    </row>
    <row r="12846">
      <c r="A12846" s="1" t="s">
        <v>8</v>
      </c>
      <c r="B12846" s="2">
        <v>44777.0</v>
      </c>
      <c r="C12846" s="3">
        <v>0.7570833333333333</v>
      </c>
      <c r="D12846" s="1">
        <v>13.062136</v>
      </c>
      <c r="E12846" s="1">
        <v>80.263221</v>
      </c>
      <c r="F12846" s="1">
        <v>805.0</v>
      </c>
      <c r="G12846" s="1">
        <v>0.0</v>
      </c>
    </row>
    <row r="12847">
      <c r="A12847" s="1" t="s">
        <v>10</v>
      </c>
      <c r="B12847" s="2">
        <v>44777.0</v>
      </c>
      <c r="C12847" s="3">
        <v>0.7578125</v>
      </c>
      <c r="D12847" s="1">
        <v>13.064052</v>
      </c>
      <c r="E12847" s="1">
        <v>80.249345</v>
      </c>
      <c r="F12847" s="1">
        <v>5339.0</v>
      </c>
      <c r="G12847" s="1">
        <v>13.0</v>
      </c>
    </row>
    <row r="12848">
      <c r="A12848" s="1" t="s">
        <v>10</v>
      </c>
      <c r="B12848" s="2">
        <v>44777.0</v>
      </c>
      <c r="C12848" s="3">
        <v>0.7578587962962963</v>
      </c>
      <c r="D12848" s="1">
        <v>13.063852</v>
      </c>
      <c r="E12848" s="1">
        <v>80.249656</v>
      </c>
      <c r="F12848" s="1">
        <v>5339.0</v>
      </c>
      <c r="G12848" s="1">
        <v>13.0</v>
      </c>
    </row>
    <row r="12849">
      <c r="A12849" s="1" t="s">
        <v>10</v>
      </c>
      <c r="B12849" s="2">
        <v>44777.0</v>
      </c>
      <c r="C12849" s="3">
        <v>0.7581481481481481</v>
      </c>
      <c r="D12849" s="1">
        <v>13.063798</v>
      </c>
      <c r="E12849" s="1">
        <v>80.250091</v>
      </c>
      <c r="F12849" s="1">
        <v>5339.0</v>
      </c>
      <c r="G12849" s="1">
        <v>7.0</v>
      </c>
    </row>
    <row r="12850">
      <c r="A12850" s="1" t="s">
        <v>10</v>
      </c>
      <c r="B12850" s="2">
        <v>44777.0</v>
      </c>
      <c r="C12850" s="3">
        <v>0.7583912037037037</v>
      </c>
      <c r="D12850" s="1">
        <v>13.051826</v>
      </c>
      <c r="E12850" s="1">
        <v>80.08971</v>
      </c>
      <c r="F12850" s="1">
        <v>3143.0</v>
      </c>
      <c r="G12850" s="1">
        <v>7.0</v>
      </c>
    </row>
    <row r="12851">
      <c r="A12851" s="1" t="s">
        <v>8</v>
      </c>
      <c r="B12851" s="2">
        <v>44777.0</v>
      </c>
      <c r="C12851" s="3">
        <v>0.7604513888888889</v>
      </c>
      <c r="D12851" s="1">
        <v>13.048053</v>
      </c>
      <c r="E12851" s="1">
        <v>80.086059</v>
      </c>
      <c r="F12851" s="1">
        <v>3143.0</v>
      </c>
      <c r="G12851" s="1">
        <v>38.0</v>
      </c>
    </row>
    <row r="12852">
      <c r="A12852" s="1" t="s">
        <v>8</v>
      </c>
      <c r="B12852" s="2">
        <v>44777.0</v>
      </c>
      <c r="C12852" s="3">
        <v>0.7607638888888889</v>
      </c>
      <c r="D12852" s="1">
        <v>13.06677</v>
      </c>
      <c r="E12852" s="1">
        <v>80.254269</v>
      </c>
      <c r="F12852" s="1">
        <v>805.0</v>
      </c>
      <c r="G12852" s="1">
        <v>6.0</v>
      </c>
    </row>
    <row r="12853">
      <c r="A12853" s="1" t="s">
        <v>10</v>
      </c>
      <c r="B12853" s="2">
        <v>44777.0</v>
      </c>
      <c r="C12853" s="3">
        <v>0.7620023148148148</v>
      </c>
      <c r="D12853" s="1">
        <v>13.064426</v>
      </c>
      <c r="E12853" s="1">
        <v>80.248204</v>
      </c>
      <c r="F12853" s="1">
        <v>805.0</v>
      </c>
      <c r="G12853" s="1">
        <v>12.0</v>
      </c>
    </row>
    <row r="12854">
      <c r="A12854" s="1" t="s">
        <v>7</v>
      </c>
      <c r="B12854" s="2">
        <v>44777.0</v>
      </c>
      <c r="C12854" s="3">
        <v>0.7641203703703704</v>
      </c>
      <c r="D12854" s="1">
        <v>13.027178</v>
      </c>
      <c r="E12854" s="1">
        <v>80.091572</v>
      </c>
      <c r="F12854" s="1">
        <v>3143.0</v>
      </c>
      <c r="G12854" s="1">
        <v>36.0</v>
      </c>
    </row>
    <row r="12855">
      <c r="A12855" s="1" t="s">
        <v>7</v>
      </c>
      <c r="B12855" s="2">
        <v>44777.0</v>
      </c>
      <c r="C12855" s="3">
        <v>0.7653472222222222</v>
      </c>
      <c r="D12855" s="1">
        <v>13.014124</v>
      </c>
      <c r="E12855" s="1">
        <v>80.094112</v>
      </c>
      <c r="F12855" s="1">
        <v>3143.0</v>
      </c>
      <c r="G12855" s="1">
        <v>58.0</v>
      </c>
    </row>
    <row r="12856">
      <c r="A12856" s="1" t="s">
        <v>7</v>
      </c>
      <c r="B12856" s="2">
        <v>44777.0</v>
      </c>
      <c r="C12856" s="3">
        <v>0.7655092592592593</v>
      </c>
      <c r="D12856" s="1">
        <v>13.011965</v>
      </c>
      <c r="E12856" s="1">
        <v>80.093246</v>
      </c>
      <c r="F12856" s="1">
        <v>3143.0</v>
      </c>
      <c r="G12856" s="1">
        <v>58.0</v>
      </c>
    </row>
    <row r="12857">
      <c r="A12857" s="1" t="s">
        <v>7</v>
      </c>
      <c r="B12857" s="2">
        <v>44777.0</v>
      </c>
      <c r="C12857" s="3">
        <v>0.7661111111111111</v>
      </c>
      <c r="D12857" s="1">
        <v>13.005438</v>
      </c>
      <c r="E12857" s="1">
        <v>80.090715</v>
      </c>
      <c r="F12857" s="1">
        <v>3143.0</v>
      </c>
      <c r="G12857" s="1">
        <v>58.0</v>
      </c>
    </row>
    <row r="12858">
      <c r="A12858" s="1" t="s">
        <v>7</v>
      </c>
      <c r="B12858" s="2">
        <v>44777.0</v>
      </c>
      <c r="C12858" s="3">
        <v>0.7662962962962963</v>
      </c>
      <c r="D12858" s="1">
        <v>13.003109</v>
      </c>
      <c r="E12858" s="1">
        <v>80.089807</v>
      </c>
      <c r="F12858" s="1">
        <v>3143.0</v>
      </c>
      <c r="G12858" s="1">
        <v>58.0</v>
      </c>
    </row>
    <row r="12859">
      <c r="A12859" s="1" t="s">
        <v>7</v>
      </c>
      <c r="B12859" s="2">
        <v>44777.0</v>
      </c>
      <c r="C12859" s="3">
        <v>0.7664583333333334</v>
      </c>
      <c r="D12859" s="1">
        <v>13.000944</v>
      </c>
      <c r="E12859" s="1">
        <v>80.088964</v>
      </c>
      <c r="F12859" s="1">
        <v>3143.0</v>
      </c>
      <c r="G12859" s="1">
        <v>56.0</v>
      </c>
    </row>
    <row r="12860">
      <c r="A12860" s="1" t="s">
        <v>7</v>
      </c>
      <c r="B12860" s="2">
        <v>44777.0</v>
      </c>
      <c r="C12860" s="3">
        <v>0.7666087962962963</v>
      </c>
      <c r="D12860" s="1">
        <v>12.998755</v>
      </c>
      <c r="E12860" s="1">
        <v>80.088105</v>
      </c>
      <c r="F12860" s="1">
        <v>3143.0</v>
      </c>
      <c r="G12860" s="1">
        <v>58.0</v>
      </c>
    </row>
    <row r="12861">
      <c r="A12861" s="1" t="s">
        <v>7</v>
      </c>
      <c r="B12861" s="2">
        <v>44777.0</v>
      </c>
      <c r="C12861" s="3">
        <v>0.7673611111111112</v>
      </c>
      <c r="D12861" s="1">
        <v>12.989829</v>
      </c>
      <c r="E12861" s="1">
        <v>80.089311</v>
      </c>
      <c r="F12861" s="1">
        <v>3143.0</v>
      </c>
      <c r="G12861" s="1">
        <v>55.0</v>
      </c>
    </row>
    <row r="12862">
      <c r="A12862" s="1" t="s">
        <v>7</v>
      </c>
      <c r="B12862" s="2">
        <v>44777.0</v>
      </c>
      <c r="C12862" s="3">
        <v>0.7692245370370371</v>
      </c>
      <c r="D12862" s="1">
        <v>12.966538</v>
      </c>
      <c r="E12862" s="1">
        <v>80.090229</v>
      </c>
      <c r="F12862" s="1">
        <v>3143.0</v>
      </c>
      <c r="G12862" s="1">
        <v>58.0</v>
      </c>
    </row>
    <row r="12863">
      <c r="A12863" s="1" t="s">
        <v>7</v>
      </c>
      <c r="B12863" s="2">
        <v>44777.0</v>
      </c>
      <c r="C12863" s="3">
        <v>0.7694791666666667</v>
      </c>
      <c r="D12863" s="1">
        <v>12.964179</v>
      </c>
      <c r="E12863" s="1">
        <v>80.090319</v>
      </c>
      <c r="F12863" s="1">
        <v>3143.0</v>
      </c>
      <c r="G12863" s="1">
        <v>58.0</v>
      </c>
    </row>
    <row r="12864">
      <c r="A12864" s="1" t="s">
        <v>7</v>
      </c>
      <c r="B12864" s="2">
        <v>44777.0</v>
      </c>
      <c r="C12864" s="3">
        <v>0.7699768518518518</v>
      </c>
      <c r="D12864" s="1">
        <v>12.95717</v>
      </c>
      <c r="E12864" s="1">
        <v>80.090307</v>
      </c>
      <c r="F12864" s="1">
        <v>3143.0</v>
      </c>
      <c r="G12864" s="1">
        <v>59.0</v>
      </c>
    </row>
    <row r="12865">
      <c r="A12865" s="1" t="s">
        <v>7</v>
      </c>
      <c r="B12865" s="2">
        <v>44777.0</v>
      </c>
      <c r="C12865" s="3">
        <v>0.7736342592592592</v>
      </c>
      <c r="D12865" s="1">
        <v>12.9293</v>
      </c>
      <c r="E12865" s="1">
        <v>80.079884</v>
      </c>
      <c r="F12865" s="1">
        <v>3143.0</v>
      </c>
      <c r="G12865" s="1">
        <v>29.0</v>
      </c>
    </row>
    <row r="12866">
      <c r="A12866" s="1" t="s">
        <v>7</v>
      </c>
      <c r="B12866" s="2">
        <v>44777.0</v>
      </c>
      <c r="C12866" s="3">
        <v>0.7744444444444445</v>
      </c>
      <c r="D12866" s="1">
        <v>12.91907</v>
      </c>
      <c r="E12866" s="1">
        <v>80.076514</v>
      </c>
      <c r="F12866" s="1">
        <v>3143.0</v>
      </c>
      <c r="G12866" s="1">
        <v>58.0</v>
      </c>
    </row>
    <row r="12867">
      <c r="A12867" s="1" t="s">
        <v>7</v>
      </c>
      <c r="B12867" s="2">
        <v>44777.0</v>
      </c>
      <c r="C12867" s="3">
        <v>0.7748032407407407</v>
      </c>
      <c r="D12867" s="1">
        <v>12.916834</v>
      </c>
      <c r="E12867" s="1">
        <v>80.075841</v>
      </c>
      <c r="F12867" s="1">
        <v>3143.0</v>
      </c>
      <c r="G12867" s="1">
        <v>56.0</v>
      </c>
    </row>
    <row r="12868">
      <c r="A12868" s="1" t="s">
        <v>7</v>
      </c>
      <c r="B12868" s="2">
        <v>44777.0</v>
      </c>
      <c r="C12868" s="3">
        <v>0.7754745370370371</v>
      </c>
      <c r="D12868" s="1">
        <v>12.90777</v>
      </c>
      <c r="E12868" s="1">
        <v>80.07285</v>
      </c>
      <c r="F12868" s="1">
        <v>3143.0</v>
      </c>
      <c r="G12868" s="1">
        <v>57.0</v>
      </c>
    </row>
    <row r="12869">
      <c r="A12869" s="1" t="s">
        <v>7</v>
      </c>
      <c r="B12869" s="2">
        <v>44777.0</v>
      </c>
      <c r="C12869" s="3">
        <v>0.7759722222222222</v>
      </c>
      <c r="D12869" s="1">
        <v>12.901198</v>
      </c>
      <c r="E12869" s="1">
        <v>80.071109</v>
      </c>
      <c r="F12869" s="1">
        <v>3143.0</v>
      </c>
      <c r="G12869" s="1">
        <v>57.0</v>
      </c>
    </row>
    <row r="12870">
      <c r="A12870" s="1" t="s">
        <v>7</v>
      </c>
      <c r="B12870" s="2">
        <v>44777.0</v>
      </c>
      <c r="C12870" s="3">
        <v>0.77625</v>
      </c>
      <c r="D12870" s="1">
        <v>12.898916</v>
      </c>
      <c r="E12870" s="1">
        <v>80.070678</v>
      </c>
      <c r="F12870" s="1">
        <v>3143.0</v>
      </c>
      <c r="G12870" s="1">
        <v>58.0</v>
      </c>
    </row>
    <row r="12871">
      <c r="A12871" s="1" t="s">
        <v>7</v>
      </c>
      <c r="B12871" s="2">
        <v>44777.0</v>
      </c>
      <c r="C12871" s="3">
        <v>0.7770601851851852</v>
      </c>
      <c r="D12871" s="1">
        <v>12.888327</v>
      </c>
      <c r="E12871" s="1">
        <v>80.073329</v>
      </c>
      <c r="F12871" s="1">
        <v>3143.0</v>
      </c>
      <c r="G12871" s="1">
        <v>57.0</v>
      </c>
    </row>
    <row r="12872">
      <c r="A12872" s="1" t="s">
        <v>7</v>
      </c>
      <c r="B12872" s="2">
        <v>44777.0</v>
      </c>
      <c r="C12872" s="3">
        <v>0.7771527777777778</v>
      </c>
      <c r="D12872" s="1">
        <v>12.888327</v>
      </c>
      <c r="E12872" s="1">
        <v>80.073329</v>
      </c>
      <c r="F12872" s="1">
        <v>3143.0</v>
      </c>
      <c r="G12872" s="1">
        <v>57.0</v>
      </c>
    </row>
    <row r="12873">
      <c r="A12873" s="1" t="s">
        <v>7</v>
      </c>
      <c r="B12873" s="2">
        <v>44777.0</v>
      </c>
      <c r="C12873" s="3">
        <v>0.7775</v>
      </c>
      <c r="D12873" s="1">
        <v>12.886615</v>
      </c>
      <c r="E12873" s="1">
        <v>80.077851</v>
      </c>
      <c r="F12873" s="1">
        <v>3143.0</v>
      </c>
      <c r="G12873" s="1">
        <v>56.0</v>
      </c>
    </row>
    <row r="12874">
      <c r="A12874" s="1" t="s">
        <v>7</v>
      </c>
      <c r="B12874" s="2">
        <v>44778.0</v>
      </c>
      <c r="C12874" s="3">
        <v>0.2624074074074074</v>
      </c>
      <c r="D12874" s="1">
        <v>12.886383</v>
      </c>
      <c r="E12874" s="1">
        <v>80.077569</v>
      </c>
      <c r="F12874" s="1">
        <v>3143.0</v>
      </c>
      <c r="G12874" s="1">
        <v>53.0</v>
      </c>
    </row>
    <row r="12875">
      <c r="A12875" s="1" t="s">
        <v>7</v>
      </c>
      <c r="B12875" s="2">
        <v>44778.0</v>
      </c>
      <c r="C12875" s="3">
        <v>0.2635763888888889</v>
      </c>
      <c r="D12875" s="1">
        <v>12.896294</v>
      </c>
      <c r="E12875" s="1">
        <v>80.070416</v>
      </c>
      <c r="F12875" s="1">
        <v>3143.0</v>
      </c>
      <c r="G12875" s="1">
        <v>58.0</v>
      </c>
    </row>
    <row r="12876">
      <c r="A12876" s="1" t="s">
        <v>7</v>
      </c>
      <c r="B12876" s="2">
        <v>44778.0</v>
      </c>
      <c r="C12876" s="3">
        <v>0.2641203703703704</v>
      </c>
      <c r="D12876" s="1">
        <v>12.903069</v>
      </c>
      <c r="E12876" s="1">
        <v>80.071194</v>
      </c>
      <c r="F12876" s="1">
        <v>3143.0</v>
      </c>
      <c r="G12876" s="1">
        <v>50.0</v>
      </c>
    </row>
    <row r="12877">
      <c r="A12877" s="1" t="s">
        <v>7</v>
      </c>
      <c r="B12877" s="2">
        <v>44778.0</v>
      </c>
      <c r="C12877" s="3">
        <v>0.2655439814814815</v>
      </c>
      <c r="D12877" s="1">
        <v>12.918928</v>
      </c>
      <c r="E12877" s="1">
        <v>80.076166</v>
      </c>
      <c r="F12877" s="1">
        <v>3143.0</v>
      </c>
      <c r="G12877" s="1">
        <v>58.0</v>
      </c>
    </row>
    <row r="12878">
      <c r="A12878" s="1" t="s">
        <v>7</v>
      </c>
      <c r="B12878" s="2">
        <v>44778.0</v>
      </c>
      <c r="C12878" s="3">
        <v>0.26609953703703704</v>
      </c>
      <c r="D12878" s="1">
        <v>12.925654</v>
      </c>
      <c r="E12878" s="1">
        <v>80.078245</v>
      </c>
      <c r="F12878" s="1">
        <v>3143.0</v>
      </c>
      <c r="G12878" s="1">
        <v>54.0</v>
      </c>
    </row>
    <row r="12879">
      <c r="A12879" s="1" t="s">
        <v>7</v>
      </c>
      <c r="B12879" s="2">
        <v>44778.0</v>
      </c>
      <c r="C12879" s="3">
        <v>0.26872685185185186</v>
      </c>
      <c r="D12879" s="1">
        <v>12.951186</v>
      </c>
      <c r="E12879" s="1">
        <v>80.087768</v>
      </c>
      <c r="F12879" s="1">
        <v>3143.0</v>
      </c>
      <c r="G12879" s="1">
        <v>53.0</v>
      </c>
    </row>
    <row r="12880">
      <c r="A12880" s="1" t="s">
        <v>7</v>
      </c>
      <c r="B12880" s="2">
        <v>44778.0</v>
      </c>
      <c r="C12880" s="3">
        <v>0.26890046296296294</v>
      </c>
      <c r="D12880" s="1">
        <v>12.952409</v>
      </c>
      <c r="E12880" s="1">
        <v>80.088233</v>
      </c>
      <c r="F12880" s="1">
        <v>3143.0</v>
      </c>
      <c r="G12880" s="1">
        <v>51.0</v>
      </c>
    </row>
    <row r="12881">
      <c r="A12881" s="1" t="s">
        <v>7</v>
      </c>
      <c r="B12881" s="2">
        <v>44778.0</v>
      </c>
      <c r="C12881" s="3">
        <v>0.27038194444444447</v>
      </c>
      <c r="D12881" s="1">
        <v>12.970475</v>
      </c>
      <c r="E12881" s="1">
        <v>80.089838</v>
      </c>
      <c r="F12881" s="1">
        <v>3143.0</v>
      </c>
      <c r="G12881" s="1">
        <v>59.0</v>
      </c>
    </row>
    <row r="12882">
      <c r="A12882" s="1" t="s">
        <v>7</v>
      </c>
      <c r="B12882" s="2">
        <v>44778.0</v>
      </c>
      <c r="C12882" s="3">
        <v>0.27194444444444443</v>
      </c>
      <c r="D12882" s="1">
        <v>12.988934</v>
      </c>
      <c r="E12882" s="1">
        <v>80.089109</v>
      </c>
      <c r="F12882" s="1">
        <v>3143.0</v>
      </c>
      <c r="G12882" s="1">
        <v>56.0</v>
      </c>
    </row>
    <row r="12883">
      <c r="A12883" s="1" t="s">
        <v>7</v>
      </c>
      <c r="B12883" s="2">
        <v>44778.0</v>
      </c>
      <c r="C12883" s="3">
        <v>0.2723148148148148</v>
      </c>
      <c r="D12883" s="1">
        <v>12.994433</v>
      </c>
      <c r="E12883" s="1">
        <v>80.087532</v>
      </c>
      <c r="F12883" s="1">
        <v>3143.0</v>
      </c>
      <c r="G12883" s="1">
        <v>55.0</v>
      </c>
    </row>
    <row r="12884">
      <c r="A12884" s="1" t="s">
        <v>7</v>
      </c>
      <c r="B12884" s="2">
        <v>44778.0</v>
      </c>
      <c r="C12884" s="3">
        <v>0.27318287037037037</v>
      </c>
      <c r="D12884" s="1">
        <v>13.004104</v>
      </c>
      <c r="E12884" s="1">
        <v>80.089876</v>
      </c>
      <c r="F12884" s="1">
        <v>3143.0</v>
      </c>
      <c r="G12884" s="1">
        <v>54.0</v>
      </c>
    </row>
    <row r="12885">
      <c r="A12885" s="1" t="s">
        <v>7</v>
      </c>
      <c r="B12885" s="2">
        <v>44778.0</v>
      </c>
      <c r="C12885" s="3">
        <v>0.2733333333333333</v>
      </c>
      <c r="D12885" s="1">
        <v>13.006532</v>
      </c>
      <c r="E12885" s="1">
        <v>80.090786</v>
      </c>
      <c r="F12885" s="1">
        <v>3143.0</v>
      </c>
      <c r="G12885" s="1">
        <v>52.0</v>
      </c>
    </row>
    <row r="12886">
      <c r="A12886" s="1" t="s">
        <v>7</v>
      </c>
      <c r="B12886" s="2">
        <v>44778.0</v>
      </c>
      <c r="C12886" s="3">
        <v>0.2734259259259259</v>
      </c>
      <c r="D12886" s="1">
        <v>13.006532</v>
      </c>
      <c r="E12886" s="1">
        <v>80.090786</v>
      </c>
      <c r="F12886" s="1">
        <v>3143.0</v>
      </c>
      <c r="G12886" s="1">
        <v>52.0</v>
      </c>
    </row>
    <row r="12887">
      <c r="A12887" s="1" t="s">
        <v>7</v>
      </c>
      <c r="B12887" s="2">
        <v>44778.0</v>
      </c>
      <c r="C12887" s="3">
        <v>0.2739699074074074</v>
      </c>
      <c r="D12887" s="1">
        <v>13.012676</v>
      </c>
      <c r="E12887" s="1">
        <v>80.093195</v>
      </c>
      <c r="F12887" s="1">
        <v>3143.0</v>
      </c>
      <c r="G12887" s="1">
        <v>50.0</v>
      </c>
    </row>
    <row r="12888">
      <c r="A12888" s="1" t="s">
        <v>7</v>
      </c>
      <c r="B12888" s="2">
        <v>44778.0</v>
      </c>
      <c r="C12888" s="3">
        <v>0.2740046296296296</v>
      </c>
      <c r="D12888" s="1">
        <v>13.012676</v>
      </c>
      <c r="E12888" s="1">
        <v>80.093195</v>
      </c>
      <c r="F12888" s="1">
        <v>3143.0</v>
      </c>
      <c r="G12888" s="1">
        <v>50.0</v>
      </c>
    </row>
    <row r="12889">
      <c r="A12889" s="1" t="s">
        <v>7</v>
      </c>
      <c r="B12889" s="2">
        <v>44778.0</v>
      </c>
      <c r="C12889" s="3">
        <v>0.27417824074074076</v>
      </c>
      <c r="D12889" s="1">
        <v>13.015105</v>
      </c>
      <c r="E12889" s="1">
        <v>80.094124</v>
      </c>
      <c r="F12889" s="1">
        <v>3143.0</v>
      </c>
      <c r="G12889" s="1">
        <v>51.0</v>
      </c>
    </row>
    <row r="12890">
      <c r="A12890" s="1" t="s">
        <v>7</v>
      </c>
      <c r="B12890" s="2">
        <v>44778.0</v>
      </c>
      <c r="C12890" s="3">
        <v>0.274849537037037</v>
      </c>
      <c r="D12890" s="1">
        <v>13.022643</v>
      </c>
      <c r="E12890" s="1">
        <v>80.092824</v>
      </c>
      <c r="F12890" s="1">
        <v>3143.0</v>
      </c>
      <c r="G12890" s="1">
        <v>54.0</v>
      </c>
    </row>
    <row r="12891">
      <c r="A12891" s="1" t="s">
        <v>7</v>
      </c>
      <c r="B12891" s="2">
        <v>44778.0</v>
      </c>
      <c r="C12891" s="3">
        <v>0.28221064814814817</v>
      </c>
      <c r="D12891" s="1">
        <v>13.044038</v>
      </c>
      <c r="E12891" s="1">
        <v>80.085356</v>
      </c>
      <c r="F12891" s="1">
        <v>3143.0</v>
      </c>
      <c r="G12891" s="1">
        <v>52.0</v>
      </c>
    </row>
    <row r="12892">
      <c r="A12892" s="1" t="s">
        <v>7</v>
      </c>
      <c r="B12892" s="2">
        <v>44778.0</v>
      </c>
      <c r="C12892" s="3">
        <v>0.2867476851851852</v>
      </c>
      <c r="D12892" s="1">
        <v>13.056892</v>
      </c>
      <c r="E12892" s="1">
        <v>80.109571</v>
      </c>
      <c r="F12892" s="1">
        <v>3143.0</v>
      </c>
      <c r="G12892" s="1">
        <v>50.0</v>
      </c>
    </row>
    <row r="12893">
      <c r="A12893" s="1" t="s">
        <v>8</v>
      </c>
      <c r="B12893" s="2">
        <v>44778.0</v>
      </c>
      <c r="C12893" s="3">
        <v>0.28730324074074076</v>
      </c>
      <c r="D12893" s="1">
        <v>13.056719</v>
      </c>
      <c r="E12893" s="1">
        <v>80.115619</v>
      </c>
      <c r="F12893" s="1">
        <v>3143.0</v>
      </c>
      <c r="G12893" s="1">
        <v>36.0</v>
      </c>
    </row>
    <row r="12894">
      <c r="A12894" s="1" t="s">
        <v>8</v>
      </c>
      <c r="B12894" s="2">
        <v>44778.0</v>
      </c>
      <c r="C12894" s="3">
        <v>0.2893287037037037</v>
      </c>
      <c r="D12894" s="1">
        <v>12.474684</v>
      </c>
      <c r="E12894" s="1">
        <v>79.85705</v>
      </c>
      <c r="F12894" s="1">
        <v>2846.0</v>
      </c>
      <c r="G12894" s="1">
        <v>58.0</v>
      </c>
    </row>
    <row r="12895">
      <c r="A12895" s="1" t="s">
        <v>7</v>
      </c>
      <c r="B12895" s="2">
        <v>44778.0</v>
      </c>
      <c r="C12895" s="3">
        <v>0.29141203703703705</v>
      </c>
      <c r="D12895" s="1">
        <v>12.491494</v>
      </c>
      <c r="E12895" s="1">
        <v>79.867905</v>
      </c>
      <c r="F12895" s="1">
        <v>2846.0</v>
      </c>
      <c r="G12895" s="1">
        <v>39.0</v>
      </c>
    </row>
    <row r="12896">
      <c r="A12896" s="1" t="s">
        <v>7</v>
      </c>
      <c r="B12896" s="2">
        <v>44778.0</v>
      </c>
      <c r="C12896" s="3">
        <v>0.29226851851851854</v>
      </c>
      <c r="D12896" s="1">
        <v>12.502285</v>
      </c>
      <c r="E12896" s="1">
        <v>79.876979</v>
      </c>
      <c r="F12896" s="1">
        <v>2846.0</v>
      </c>
      <c r="G12896" s="1">
        <v>58.0</v>
      </c>
    </row>
    <row r="12897">
      <c r="A12897" s="1" t="s">
        <v>7</v>
      </c>
      <c r="B12897" s="2">
        <v>44778.0</v>
      </c>
      <c r="C12897" s="3">
        <v>0.2935763888888889</v>
      </c>
      <c r="D12897" s="1">
        <v>12.513323</v>
      </c>
      <c r="E12897" s="1">
        <v>79.884016</v>
      </c>
      <c r="F12897" s="1">
        <v>2846.0</v>
      </c>
      <c r="G12897" s="1">
        <v>58.0</v>
      </c>
    </row>
    <row r="12898">
      <c r="A12898" s="1" t="s">
        <v>7</v>
      </c>
      <c r="B12898" s="2">
        <v>44778.0</v>
      </c>
      <c r="C12898" s="3">
        <v>0.29369212962962965</v>
      </c>
      <c r="D12898" s="1">
        <v>12.516633</v>
      </c>
      <c r="E12898" s="1">
        <v>79.889042</v>
      </c>
      <c r="F12898" s="1">
        <v>2846.0</v>
      </c>
      <c r="G12898" s="1">
        <v>63.0</v>
      </c>
    </row>
    <row r="12899">
      <c r="A12899" s="1" t="s">
        <v>10</v>
      </c>
      <c r="B12899" s="2">
        <v>44778.0</v>
      </c>
      <c r="C12899" s="3">
        <v>0.29591435185185183</v>
      </c>
      <c r="D12899" s="1">
        <v>13.063764</v>
      </c>
      <c r="E12899" s="1">
        <v>80.250321</v>
      </c>
      <c r="F12899" s="1">
        <v>805.0</v>
      </c>
      <c r="G12899" s="1">
        <v>12.0</v>
      </c>
    </row>
    <row r="12900">
      <c r="A12900" s="1" t="s">
        <v>8</v>
      </c>
      <c r="B12900" s="2">
        <v>44778.0</v>
      </c>
      <c r="C12900" s="3">
        <v>0.2965625</v>
      </c>
      <c r="D12900" s="1">
        <v>12.508898</v>
      </c>
      <c r="E12900" s="1">
        <v>79.886825</v>
      </c>
      <c r="F12900" s="1">
        <v>2846.0</v>
      </c>
      <c r="G12900" s="1">
        <v>35.0</v>
      </c>
    </row>
    <row r="12901">
      <c r="A12901" s="1" t="s">
        <v>8</v>
      </c>
      <c r="B12901" s="2">
        <v>44778.0</v>
      </c>
      <c r="C12901" s="3">
        <v>0.29662037037037037</v>
      </c>
      <c r="D12901" s="1">
        <v>12.508928</v>
      </c>
      <c r="E12901" s="1">
        <v>79.888695</v>
      </c>
      <c r="F12901" s="1">
        <v>2846.0</v>
      </c>
      <c r="G12901" s="1">
        <v>31.0</v>
      </c>
    </row>
    <row r="12902">
      <c r="A12902" s="1" t="s">
        <v>10</v>
      </c>
      <c r="B12902" s="2">
        <v>44778.0</v>
      </c>
      <c r="C12902" s="3">
        <v>0.2969791666666667</v>
      </c>
      <c r="D12902" s="1">
        <v>13.063737</v>
      </c>
      <c r="E12902" s="1">
        <v>80.250966</v>
      </c>
      <c r="F12902" s="1">
        <v>5339.0</v>
      </c>
      <c r="G12902" s="1">
        <v>0.0</v>
      </c>
    </row>
    <row r="12903">
      <c r="A12903" s="1" t="s">
        <v>7</v>
      </c>
      <c r="B12903" s="2">
        <v>44778.0</v>
      </c>
      <c r="C12903" s="3">
        <v>0.29844907407407406</v>
      </c>
      <c r="D12903" s="1">
        <v>12.511352</v>
      </c>
      <c r="E12903" s="1">
        <v>79.8853</v>
      </c>
      <c r="F12903" s="1">
        <v>2846.0</v>
      </c>
      <c r="G12903" s="1">
        <v>25.0</v>
      </c>
    </row>
    <row r="12904">
      <c r="A12904" s="1" t="s">
        <v>7</v>
      </c>
      <c r="B12904" s="2">
        <v>44778.0</v>
      </c>
      <c r="C12904" s="3">
        <v>0.2991435185185185</v>
      </c>
      <c r="D12904" s="1">
        <v>12.515202</v>
      </c>
      <c r="E12904" s="1">
        <v>79.888588</v>
      </c>
      <c r="F12904" s="1">
        <v>2846.0</v>
      </c>
      <c r="G12904" s="1">
        <v>51.0</v>
      </c>
    </row>
    <row r="12905">
      <c r="A12905" s="1" t="s">
        <v>7</v>
      </c>
      <c r="B12905" s="2">
        <v>44778.0</v>
      </c>
      <c r="C12905" s="3">
        <v>0.29921296296296296</v>
      </c>
      <c r="D12905" s="1">
        <v>12.517789</v>
      </c>
      <c r="E12905" s="1">
        <v>79.890247</v>
      </c>
      <c r="F12905" s="1">
        <v>2846.0</v>
      </c>
      <c r="G12905" s="1">
        <v>58.0</v>
      </c>
    </row>
    <row r="12906">
      <c r="A12906" s="1" t="s">
        <v>7</v>
      </c>
      <c r="B12906" s="2">
        <v>44778.0</v>
      </c>
      <c r="C12906" s="3">
        <v>0.2997916666666667</v>
      </c>
      <c r="D12906" s="1">
        <v>12.522376</v>
      </c>
      <c r="E12906" s="1">
        <v>79.895658</v>
      </c>
      <c r="F12906" s="1">
        <v>2846.0</v>
      </c>
      <c r="G12906" s="1">
        <v>57.0</v>
      </c>
    </row>
    <row r="12907">
      <c r="A12907" s="1" t="s">
        <v>10</v>
      </c>
      <c r="B12907" s="2">
        <v>44778.0</v>
      </c>
      <c r="C12907" s="3">
        <v>0.3003125</v>
      </c>
      <c r="D12907" s="1">
        <v>13.063737</v>
      </c>
      <c r="E12907" s="1">
        <v>80.250966</v>
      </c>
      <c r="F12907" s="1">
        <v>5339.0</v>
      </c>
      <c r="G12907" s="1">
        <v>0.0</v>
      </c>
    </row>
    <row r="12908">
      <c r="A12908" s="1" t="s">
        <v>8</v>
      </c>
      <c r="B12908" s="2">
        <v>44778.0</v>
      </c>
      <c r="C12908" s="3">
        <v>0.3008449074074074</v>
      </c>
      <c r="D12908" s="1">
        <v>13.063737</v>
      </c>
      <c r="E12908" s="1">
        <v>80.250966</v>
      </c>
      <c r="F12908" s="1">
        <v>5339.0</v>
      </c>
      <c r="G12908" s="1">
        <v>0.0</v>
      </c>
    </row>
    <row r="12909">
      <c r="A12909" s="1" t="s">
        <v>8</v>
      </c>
      <c r="B12909" s="2">
        <v>44778.0</v>
      </c>
      <c r="C12909" s="3">
        <v>0.3008564814814815</v>
      </c>
      <c r="D12909" s="1">
        <v>13.063737</v>
      </c>
      <c r="E12909" s="1">
        <v>80.250966</v>
      </c>
      <c r="F12909" s="1">
        <v>5339.0</v>
      </c>
      <c r="G12909" s="1">
        <v>0.0</v>
      </c>
    </row>
    <row r="12910">
      <c r="A12910" s="1" t="s">
        <v>8</v>
      </c>
      <c r="B12910" s="2">
        <v>44778.0</v>
      </c>
      <c r="C12910" s="3">
        <v>0.30086805555555557</v>
      </c>
      <c r="D12910" s="1">
        <v>13.063737</v>
      </c>
      <c r="E12910" s="1">
        <v>80.250966</v>
      </c>
      <c r="F12910" s="1">
        <v>5339.0</v>
      </c>
      <c r="G12910" s="1">
        <v>0.0</v>
      </c>
    </row>
    <row r="12911">
      <c r="A12911" s="1" t="s">
        <v>8</v>
      </c>
      <c r="B12911" s="2">
        <v>44778.0</v>
      </c>
      <c r="C12911" s="3">
        <v>0.30092592592592593</v>
      </c>
      <c r="D12911" s="1">
        <v>13.063737</v>
      </c>
      <c r="E12911" s="1">
        <v>80.250966</v>
      </c>
      <c r="F12911" s="1">
        <v>5339.0</v>
      </c>
      <c r="G12911" s="1">
        <v>0.0</v>
      </c>
    </row>
    <row r="12912">
      <c r="A12912" s="1" t="s">
        <v>8</v>
      </c>
      <c r="B12912" s="2">
        <v>44778.0</v>
      </c>
      <c r="C12912" s="3">
        <v>0.3009375</v>
      </c>
      <c r="D12912" s="1">
        <v>13.063737</v>
      </c>
      <c r="E12912" s="1">
        <v>80.250966</v>
      </c>
      <c r="F12912" s="1">
        <v>5339.0</v>
      </c>
      <c r="G12912" s="1">
        <v>0.0</v>
      </c>
    </row>
    <row r="12913">
      <c r="A12913" s="1" t="s">
        <v>8</v>
      </c>
      <c r="B12913" s="2">
        <v>44778.0</v>
      </c>
      <c r="C12913" s="3">
        <v>0.30094907407407406</v>
      </c>
      <c r="D12913" s="1">
        <v>13.063737</v>
      </c>
      <c r="E12913" s="1">
        <v>80.250966</v>
      </c>
      <c r="F12913" s="1">
        <v>5339.0</v>
      </c>
      <c r="G12913" s="1">
        <v>0.0</v>
      </c>
    </row>
    <row r="12914">
      <c r="A12914" s="1" t="s">
        <v>10</v>
      </c>
      <c r="B12914" s="2">
        <v>44778.0</v>
      </c>
      <c r="C12914" s="3">
        <v>0.3025925925925926</v>
      </c>
      <c r="D12914" s="1">
        <v>13.07236</v>
      </c>
      <c r="E12914" s="1">
        <v>80.263606</v>
      </c>
      <c r="F12914" s="1">
        <v>5339.0</v>
      </c>
      <c r="G12914" s="1">
        <v>27.0</v>
      </c>
    </row>
    <row r="12915">
      <c r="A12915" s="1" t="s">
        <v>7</v>
      </c>
      <c r="B12915" s="2">
        <v>44778.0</v>
      </c>
      <c r="C12915" s="3">
        <v>0.30269675925925926</v>
      </c>
      <c r="D12915" s="1">
        <v>12.545156</v>
      </c>
      <c r="E12915" s="1">
        <v>79.90513</v>
      </c>
      <c r="F12915" s="1">
        <v>2846.0</v>
      </c>
      <c r="G12915" s="1">
        <v>44.0</v>
      </c>
    </row>
    <row r="12916">
      <c r="A12916" s="1" t="s">
        <v>10</v>
      </c>
      <c r="B12916" s="2">
        <v>44778.0</v>
      </c>
      <c r="C12916" s="3">
        <v>0.3033564814814815</v>
      </c>
      <c r="D12916" s="1">
        <v>13.029091</v>
      </c>
      <c r="E12916" s="1">
        <v>80.111318</v>
      </c>
      <c r="F12916" s="1">
        <v>3143.0</v>
      </c>
      <c r="G12916" s="1">
        <v>28.0</v>
      </c>
    </row>
    <row r="12917">
      <c r="A12917" s="1" t="s">
        <v>9</v>
      </c>
      <c r="B12917" s="2">
        <v>44778.0</v>
      </c>
      <c r="C12917" s="3">
        <v>0.3039351851851852</v>
      </c>
      <c r="D12917" s="1">
        <v>13.068431</v>
      </c>
      <c r="E12917" s="1">
        <v>80.269058</v>
      </c>
      <c r="F12917" s="1">
        <v>805.0</v>
      </c>
      <c r="G12917" s="1">
        <v>40.0</v>
      </c>
    </row>
    <row r="12918">
      <c r="A12918" s="1" t="s">
        <v>10</v>
      </c>
      <c r="B12918" s="2">
        <v>44778.0</v>
      </c>
      <c r="C12918" s="3">
        <v>0.3049884259259259</v>
      </c>
      <c r="D12918" s="1">
        <v>13.063854</v>
      </c>
      <c r="E12918" s="1">
        <v>80.267428</v>
      </c>
      <c r="F12918" s="1">
        <v>805.0</v>
      </c>
      <c r="G12918" s="1">
        <v>33.0</v>
      </c>
    </row>
    <row r="12919">
      <c r="A12919" s="1" t="s">
        <v>10</v>
      </c>
      <c r="B12919" s="2">
        <v>44778.0</v>
      </c>
      <c r="C12919" s="3">
        <v>0.3058101851851852</v>
      </c>
      <c r="D12919" s="1">
        <v>13.06333</v>
      </c>
      <c r="E12919" s="1">
        <v>80.274001</v>
      </c>
      <c r="F12919" s="1">
        <v>5339.0</v>
      </c>
      <c r="G12919" s="1">
        <v>0.0</v>
      </c>
    </row>
    <row r="12920">
      <c r="A12920" s="1" t="s">
        <v>10</v>
      </c>
      <c r="B12920" s="2">
        <v>44778.0</v>
      </c>
      <c r="C12920" s="3">
        <v>0.30699074074074073</v>
      </c>
      <c r="D12920" s="1">
        <v>13.059779</v>
      </c>
      <c r="E12920" s="1">
        <v>80.274206</v>
      </c>
      <c r="F12920" s="1">
        <v>5339.0</v>
      </c>
      <c r="G12920" s="1">
        <v>0.0</v>
      </c>
    </row>
    <row r="12921">
      <c r="A12921" s="1" t="s">
        <v>8</v>
      </c>
      <c r="B12921" s="2">
        <v>44778.0</v>
      </c>
      <c r="C12921" s="3">
        <v>0.3071759259259259</v>
      </c>
      <c r="D12921" s="1">
        <v>12.598301</v>
      </c>
      <c r="E12921" s="1">
        <v>79.919674</v>
      </c>
      <c r="F12921" s="1">
        <v>2846.0</v>
      </c>
      <c r="G12921" s="1">
        <v>58.0</v>
      </c>
    </row>
    <row r="12922">
      <c r="A12922" s="1" t="s">
        <v>7</v>
      </c>
      <c r="B12922" s="2">
        <v>44778.0</v>
      </c>
      <c r="C12922" s="3">
        <v>0.3073842592592593</v>
      </c>
      <c r="D12922" s="1">
        <v>12.605163</v>
      </c>
      <c r="E12922" s="1">
        <v>79.92061</v>
      </c>
      <c r="F12922" s="1">
        <v>2846.0</v>
      </c>
      <c r="G12922" s="1">
        <v>44.0</v>
      </c>
    </row>
    <row r="12923">
      <c r="A12923" s="1" t="s">
        <v>10</v>
      </c>
      <c r="B12923" s="2">
        <v>44778.0</v>
      </c>
      <c r="C12923" s="3">
        <v>0.30788194444444444</v>
      </c>
      <c r="D12923" s="1">
        <v>13.055747</v>
      </c>
      <c r="E12923" s="1">
        <v>80.273821</v>
      </c>
      <c r="F12923" s="1">
        <v>5339.0</v>
      </c>
      <c r="G12923" s="1">
        <v>27.0</v>
      </c>
    </row>
    <row r="12924">
      <c r="A12924" s="1" t="s">
        <v>7</v>
      </c>
      <c r="B12924" s="2">
        <v>44778.0</v>
      </c>
      <c r="C12924" s="3">
        <v>0.3083564814814815</v>
      </c>
      <c r="D12924" s="1">
        <v>12.611569</v>
      </c>
      <c r="E12924" s="1">
        <v>79.923482</v>
      </c>
      <c r="F12924" s="1">
        <v>2846.0</v>
      </c>
      <c r="G12924" s="1">
        <v>57.0</v>
      </c>
    </row>
    <row r="12925">
      <c r="A12925" s="1" t="s">
        <v>10</v>
      </c>
      <c r="B12925" s="2">
        <v>44778.0</v>
      </c>
      <c r="C12925" s="3">
        <v>0.3086689814814815</v>
      </c>
      <c r="D12925" s="1">
        <v>13.052908</v>
      </c>
      <c r="E12925" s="1">
        <v>80.273306</v>
      </c>
      <c r="F12925" s="1">
        <v>5339.0</v>
      </c>
      <c r="G12925" s="1">
        <v>26.0</v>
      </c>
    </row>
    <row r="12926">
      <c r="A12926" s="1" t="s">
        <v>10</v>
      </c>
      <c r="B12926" s="2">
        <v>44778.0</v>
      </c>
      <c r="C12926" s="3">
        <v>0.3095486111111111</v>
      </c>
      <c r="D12926" s="1">
        <v>13.053319</v>
      </c>
      <c r="E12926" s="1">
        <v>80.270427</v>
      </c>
      <c r="F12926" s="1">
        <v>5339.0</v>
      </c>
      <c r="G12926" s="1">
        <v>16.0</v>
      </c>
    </row>
    <row r="12927">
      <c r="A12927" s="1" t="s">
        <v>7</v>
      </c>
      <c r="B12927" s="2">
        <v>44778.0</v>
      </c>
      <c r="C12927" s="3">
        <v>0.31025462962962963</v>
      </c>
      <c r="D12927" s="1">
        <v>12.634517</v>
      </c>
      <c r="E12927" s="1">
        <v>79.932956</v>
      </c>
      <c r="F12927" s="1">
        <v>2846.0</v>
      </c>
      <c r="G12927" s="1">
        <v>53.0</v>
      </c>
    </row>
    <row r="12928">
      <c r="A12928" s="1" t="s">
        <v>10</v>
      </c>
      <c r="B12928" s="2">
        <v>44778.0</v>
      </c>
      <c r="C12928" s="3">
        <v>0.310625</v>
      </c>
      <c r="D12928" s="1">
        <v>13.049124</v>
      </c>
      <c r="E12928" s="1">
        <v>80.26458</v>
      </c>
      <c r="F12928" s="1">
        <v>805.0</v>
      </c>
      <c r="G12928" s="1">
        <v>23.0</v>
      </c>
    </row>
    <row r="12929">
      <c r="A12929" s="1" t="s">
        <v>10</v>
      </c>
      <c r="B12929" s="2">
        <v>44778.0</v>
      </c>
      <c r="C12929" s="3">
        <v>0.31083333333333335</v>
      </c>
      <c r="D12929" s="1">
        <v>13.048858</v>
      </c>
      <c r="E12929" s="1">
        <v>80.265234</v>
      </c>
      <c r="F12929" s="1">
        <v>805.0</v>
      </c>
      <c r="G12929" s="1">
        <v>26.0</v>
      </c>
    </row>
    <row r="12930">
      <c r="A12930" s="1" t="s">
        <v>10</v>
      </c>
      <c r="B12930" s="2">
        <v>44778.0</v>
      </c>
      <c r="C12930" s="3">
        <v>0.3108680555555556</v>
      </c>
      <c r="D12930" s="1">
        <v>12.998282</v>
      </c>
      <c r="E12930" s="1">
        <v>80.10133</v>
      </c>
      <c r="F12930" s="1">
        <v>3143.0</v>
      </c>
      <c r="G12930" s="1">
        <v>21.0</v>
      </c>
    </row>
    <row r="12931">
      <c r="A12931" s="1" t="s">
        <v>10</v>
      </c>
      <c r="B12931" s="2">
        <v>44778.0</v>
      </c>
      <c r="C12931" s="3">
        <v>0.31114583333333334</v>
      </c>
      <c r="D12931" s="1">
        <v>13.047575</v>
      </c>
      <c r="E12931" s="1">
        <v>80.266321</v>
      </c>
      <c r="F12931" s="1">
        <v>805.0</v>
      </c>
      <c r="G12931" s="1">
        <v>19.0</v>
      </c>
    </row>
    <row r="12932">
      <c r="A12932" s="1" t="s">
        <v>7</v>
      </c>
      <c r="B12932" s="2">
        <v>44778.0</v>
      </c>
      <c r="C12932" s="3">
        <v>0.3117013888888889</v>
      </c>
      <c r="D12932" s="1">
        <v>12.646625</v>
      </c>
      <c r="E12932" s="1">
        <v>79.940154</v>
      </c>
      <c r="F12932" s="1">
        <v>2846.0</v>
      </c>
      <c r="G12932" s="1">
        <v>54.0</v>
      </c>
    </row>
    <row r="12933">
      <c r="A12933" s="1" t="s">
        <v>8</v>
      </c>
      <c r="B12933" s="2">
        <v>44778.0</v>
      </c>
      <c r="C12933" s="3">
        <v>0.31175925925925924</v>
      </c>
      <c r="D12933" s="1">
        <v>13.054118</v>
      </c>
      <c r="E12933" s="1">
        <v>80.261279</v>
      </c>
      <c r="F12933" s="1">
        <v>5339.0</v>
      </c>
      <c r="G12933" s="1">
        <v>23.0</v>
      </c>
    </row>
    <row r="12934">
      <c r="A12934" s="1" t="s">
        <v>7</v>
      </c>
      <c r="B12934" s="2">
        <v>44778.0</v>
      </c>
      <c r="C12934" s="3">
        <v>0.31202546296296296</v>
      </c>
      <c r="D12934" s="1">
        <v>12.653324</v>
      </c>
      <c r="E12934" s="1">
        <v>79.940105</v>
      </c>
      <c r="F12934" s="1">
        <v>2846.0</v>
      </c>
      <c r="G12934" s="1">
        <v>57.0</v>
      </c>
    </row>
    <row r="12935">
      <c r="A12935" s="1" t="s">
        <v>10</v>
      </c>
      <c r="B12935" s="2">
        <v>44778.0</v>
      </c>
      <c r="C12935" s="3">
        <v>0.31297453703703704</v>
      </c>
      <c r="D12935" s="1">
        <v>12.992997</v>
      </c>
      <c r="E12935" s="1">
        <v>80.11402</v>
      </c>
      <c r="F12935" s="1">
        <v>3143.0</v>
      </c>
      <c r="G12935" s="1">
        <v>34.0</v>
      </c>
    </row>
    <row r="12936">
      <c r="A12936" s="1" t="s">
        <v>8</v>
      </c>
      <c r="B12936" s="2">
        <v>44778.0</v>
      </c>
      <c r="C12936" s="3">
        <v>0.31299768518518517</v>
      </c>
      <c r="D12936" s="1">
        <v>12.657476</v>
      </c>
      <c r="E12936" s="1">
        <v>79.947229</v>
      </c>
      <c r="F12936" s="1">
        <v>2846.0</v>
      </c>
      <c r="G12936" s="1">
        <v>44.0</v>
      </c>
    </row>
    <row r="12937">
      <c r="A12937" s="1" t="s">
        <v>8</v>
      </c>
      <c r="B12937" s="2">
        <v>44778.0</v>
      </c>
      <c r="C12937" s="3">
        <v>0.3130671296296296</v>
      </c>
      <c r="D12937" s="1">
        <v>12.657151</v>
      </c>
      <c r="E12937" s="1">
        <v>79.948366</v>
      </c>
      <c r="F12937" s="1">
        <v>2846.0</v>
      </c>
      <c r="G12937" s="1">
        <v>40.0</v>
      </c>
    </row>
    <row r="12938">
      <c r="A12938" s="1" t="s">
        <v>8</v>
      </c>
      <c r="B12938" s="2">
        <v>44778.0</v>
      </c>
      <c r="C12938" s="3">
        <v>0.3132175925925926</v>
      </c>
      <c r="D12938" s="1">
        <v>12.657151</v>
      </c>
      <c r="E12938" s="1">
        <v>79.948366</v>
      </c>
      <c r="F12938" s="1">
        <v>2846.0</v>
      </c>
      <c r="G12938" s="1">
        <v>40.0</v>
      </c>
    </row>
    <row r="12939">
      <c r="A12939" s="1" t="s">
        <v>8</v>
      </c>
      <c r="B12939" s="2">
        <v>44778.0</v>
      </c>
      <c r="C12939" s="3">
        <v>0.31324074074074076</v>
      </c>
      <c r="D12939" s="1">
        <v>12.991034</v>
      </c>
      <c r="E12939" s="1">
        <v>80.115909</v>
      </c>
      <c r="F12939" s="1">
        <v>3143.0</v>
      </c>
      <c r="G12939" s="1">
        <v>43.0</v>
      </c>
    </row>
    <row r="12940">
      <c r="A12940" s="1" t="s">
        <v>8</v>
      </c>
      <c r="B12940" s="2">
        <v>44778.0</v>
      </c>
      <c r="C12940" s="3">
        <v>0.3134375</v>
      </c>
      <c r="D12940" s="1">
        <v>13.051675</v>
      </c>
      <c r="E12940" s="1">
        <v>80.250362</v>
      </c>
      <c r="F12940" s="1">
        <v>5339.0</v>
      </c>
      <c r="G12940" s="1">
        <v>47.0</v>
      </c>
    </row>
    <row r="12941">
      <c r="A12941" s="1" t="s">
        <v>8</v>
      </c>
      <c r="B12941" s="2">
        <v>44778.0</v>
      </c>
      <c r="C12941" s="3">
        <v>0.3136111111111111</v>
      </c>
      <c r="D12941" s="1">
        <v>12.656067</v>
      </c>
      <c r="E12941" s="1">
        <v>79.952124</v>
      </c>
      <c r="F12941" s="1">
        <v>2846.0</v>
      </c>
      <c r="G12941" s="1">
        <v>49.0</v>
      </c>
    </row>
    <row r="12942">
      <c r="A12942" s="1" t="s">
        <v>7</v>
      </c>
      <c r="B12942" s="2">
        <v>44778.0</v>
      </c>
      <c r="C12942" s="3">
        <v>0.31421296296296297</v>
      </c>
      <c r="D12942" s="1">
        <v>12.656019</v>
      </c>
      <c r="E12942" s="1">
        <v>79.953317</v>
      </c>
      <c r="F12942" s="1">
        <v>2846.0</v>
      </c>
      <c r="G12942" s="1">
        <v>37.0</v>
      </c>
    </row>
    <row r="12943">
      <c r="A12943" s="1" t="s">
        <v>8</v>
      </c>
      <c r="B12943" s="2">
        <v>44778.0</v>
      </c>
      <c r="C12943" s="3">
        <v>0.3143402777777778</v>
      </c>
      <c r="D12943" s="1">
        <v>13.048234</v>
      </c>
      <c r="E12943" s="1">
        <v>80.24949</v>
      </c>
      <c r="F12943" s="1">
        <v>5339.0</v>
      </c>
      <c r="G12943" s="1">
        <v>47.0</v>
      </c>
    </row>
    <row r="12944">
      <c r="A12944" s="1" t="s">
        <v>8</v>
      </c>
      <c r="B12944" s="2">
        <v>44778.0</v>
      </c>
      <c r="C12944" s="3">
        <v>0.3147337962962963</v>
      </c>
      <c r="D12944" s="1">
        <v>13.042389</v>
      </c>
      <c r="E12944" s="1">
        <v>80.247572</v>
      </c>
      <c r="F12944" s="1">
        <v>5339.0</v>
      </c>
      <c r="G12944" s="1">
        <v>40.0</v>
      </c>
    </row>
    <row r="12945">
      <c r="A12945" s="1" t="s">
        <v>10</v>
      </c>
      <c r="B12945" s="2">
        <v>44778.0</v>
      </c>
      <c r="C12945" s="3">
        <v>0.31524305555555554</v>
      </c>
      <c r="D12945" s="1">
        <v>12.984628</v>
      </c>
      <c r="E12945" s="1">
        <v>80.121685</v>
      </c>
      <c r="F12945" s="1">
        <v>3143.0</v>
      </c>
      <c r="G12945" s="1">
        <v>0.0</v>
      </c>
    </row>
    <row r="12946">
      <c r="A12946" s="1" t="s">
        <v>10</v>
      </c>
      <c r="B12946" s="2">
        <v>44778.0</v>
      </c>
      <c r="C12946" s="3">
        <v>0.31574074074074077</v>
      </c>
      <c r="D12946" s="1">
        <v>12.984767</v>
      </c>
      <c r="E12946" s="1">
        <v>80.123984</v>
      </c>
      <c r="F12946" s="1">
        <v>3143.0</v>
      </c>
      <c r="G12946" s="1">
        <v>13.0</v>
      </c>
    </row>
    <row r="12947">
      <c r="A12947" s="1" t="s">
        <v>8</v>
      </c>
      <c r="B12947" s="2">
        <v>44778.0</v>
      </c>
      <c r="C12947" s="3">
        <v>0.31599537037037034</v>
      </c>
      <c r="D12947" s="1">
        <v>13.035344</v>
      </c>
      <c r="E12947" s="1">
        <v>80.246094</v>
      </c>
      <c r="F12947" s="1">
        <v>5339.0</v>
      </c>
      <c r="G12947" s="1">
        <v>22.0</v>
      </c>
    </row>
    <row r="12948">
      <c r="A12948" s="1" t="s">
        <v>7</v>
      </c>
      <c r="B12948" s="2">
        <v>44778.0</v>
      </c>
      <c r="C12948" s="3">
        <v>0.31666666666666665</v>
      </c>
      <c r="D12948" s="1">
        <v>13.032241</v>
      </c>
      <c r="E12948" s="1">
        <v>80.242242</v>
      </c>
      <c r="F12948" s="1">
        <v>5339.0</v>
      </c>
      <c r="G12948" s="1">
        <v>54.0</v>
      </c>
    </row>
    <row r="12949">
      <c r="A12949" s="1" t="s">
        <v>10</v>
      </c>
      <c r="B12949" s="2">
        <v>44778.0</v>
      </c>
      <c r="C12949" s="3">
        <v>0.3180439814814815</v>
      </c>
      <c r="D12949" s="1">
        <v>12.676048</v>
      </c>
      <c r="E12949" s="1">
        <v>79.978136</v>
      </c>
      <c r="F12949" s="1">
        <v>2846.0</v>
      </c>
      <c r="G12949" s="1">
        <v>38.0</v>
      </c>
    </row>
    <row r="12950">
      <c r="A12950" s="1" t="s">
        <v>8</v>
      </c>
      <c r="B12950" s="2">
        <v>44778.0</v>
      </c>
      <c r="C12950" s="3">
        <v>0.31818287037037035</v>
      </c>
      <c r="D12950" s="1">
        <v>12.678883</v>
      </c>
      <c r="E12950" s="1">
        <v>79.980214</v>
      </c>
      <c r="F12950" s="1">
        <v>2846.0</v>
      </c>
      <c r="G12950" s="1">
        <v>30.0</v>
      </c>
    </row>
    <row r="12951">
      <c r="A12951" s="1" t="s">
        <v>8</v>
      </c>
      <c r="B12951" s="2">
        <v>44778.0</v>
      </c>
      <c r="C12951" s="3">
        <v>0.31820601851851854</v>
      </c>
      <c r="D12951" s="1">
        <v>13.030821</v>
      </c>
      <c r="E12951" s="1">
        <v>80.239489</v>
      </c>
      <c r="F12951" s="1">
        <v>5339.0</v>
      </c>
      <c r="G12951" s="1">
        <v>33.0</v>
      </c>
    </row>
    <row r="12952">
      <c r="A12952" s="1" t="s">
        <v>7</v>
      </c>
      <c r="B12952" s="2">
        <v>44778.0</v>
      </c>
      <c r="C12952" s="3">
        <v>0.3191550925925926</v>
      </c>
      <c r="D12952" s="1">
        <v>13.025926</v>
      </c>
      <c r="E12952" s="1">
        <v>80.231077</v>
      </c>
      <c r="F12952" s="1">
        <v>5339.0</v>
      </c>
      <c r="G12952" s="1">
        <v>48.0</v>
      </c>
    </row>
    <row r="12953">
      <c r="A12953" s="1" t="s">
        <v>10</v>
      </c>
      <c r="B12953" s="2">
        <v>44778.0</v>
      </c>
      <c r="C12953" s="3">
        <v>0.32046296296296295</v>
      </c>
      <c r="D12953" s="1">
        <v>13.020122</v>
      </c>
      <c r="E12953" s="1">
        <v>80.224918</v>
      </c>
      <c r="F12953" s="1">
        <v>5339.0</v>
      </c>
      <c r="G12953" s="1">
        <v>32.0</v>
      </c>
    </row>
    <row r="12954">
      <c r="A12954" s="1" t="s">
        <v>8</v>
      </c>
      <c r="B12954" s="2">
        <v>44778.0</v>
      </c>
      <c r="C12954" s="3">
        <v>0.3206365740740741</v>
      </c>
      <c r="D12954" s="1">
        <v>13.018324</v>
      </c>
      <c r="E12954" s="1">
        <v>80.224696</v>
      </c>
      <c r="F12954" s="1">
        <v>5339.0</v>
      </c>
      <c r="G12954" s="1">
        <v>42.0</v>
      </c>
    </row>
    <row r="12955">
      <c r="A12955" s="1" t="s">
        <v>9</v>
      </c>
      <c r="B12955" s="2">
        <v>44778.0</v>
      </c>
      <c r="C12955" s="3">
        <v>0.32081018518518517</v>
      </c>
      <c r="D12955" s="1">
        <v>13.017326</v>
      </c>
      <c r="E12955" s="1">
        <v>80.225101</v>
      </c>
      <c r="F12955" s="1">
        <v>5339.0</v>
      </c>
      <c r="G12955" s="1">
        <v>42.0</v>
      </c>
    </row>
    <row r="12956">
      <c r="A12956" s="1" t="s">
        <v>8</v>
      </c>
      <c r="B12956" s="2">
        <v>44778.0</v>
      </c>
      <c r="C12956" s="3">
        <v>0.3211921296296296</v>
      </c>
      <c r="D12956" s="1">
        <v>13.015061</v>
      </c>
      <c r="E12956" s="1">
        <v>80.225989</v>
      </c>
      <c r="F12956" s="1">
        <v>5339.0</v>
      </c>
      <c r="G12956" s="1">
        <v>21.0</v>
      </c>
    </row>
    <row r="12957">
      <c r="A12957" s="1" t="s">
        <v>8</v>
      </c>
      <c r="B12957" s="2">
        <v>44778.0</v>
      </c>
      <c r="C12957" s="3">
        <v>0.3212037037037037</v>
      </c>
      <c r="D12957" s="1">
        <v>13.015061</v>
      </c>
      <c r="E12957" s="1">
        <v>80.225989</v>
      </c>
      <c r="F12957" s="1">
        <v>5339.0</v>
      </c>
      <c r="G12957" s="1">
        <v>21.0</v>
      </c>
    </row>
    <row r="12958">
      <c r="A12958" s="1" t="s">
        <v>8</v>
      </c>
      <c r="B12958" s="2">
        <v>44778.0</v>
      </c>
      <c r="C12958" s="3">
        <v>0.3217476851851852</v>
      </c>
      <c r="D12958" s="1">
        <v>13.012469</v>
      </c>
      <c r="E12958" s="1">
        <v>80.226984</v>
      </c>
      <c r="F12958" s="1">
        <v>5339.0</v>
      </c>
      <c r="G12958" s="1">
        <v>28.0</v>
      </c>
    </row>
    <row r="12959">
      <c r="A12959" s="1" t="s">
        <v>10</v>
      </c>
      <c r="B12959" s="2">
        <v>44778.0</v>
      </c>
      <c r="C12959" s="3">
        <v>0.32189814814814816</v>
      </c>
      <c r="D12959" s="1">
        <v>12.686688</v>
      </c>
      <c r="E12959" s="1">
        <v>79.983125</v>
      </c>
      <c r="F12959" s="1">
        <v>2846.0</v>
      </c>
      <c r="G12959" s="1">
        <v>22.0</v>
      </c>
    </row>
    <row r="12960">
      <c r="A12960" s="1" t="s">
        <v>10</v>
      </c>
      <c r="B12960" s="2">
        <v>44778.0</v>
      </c>
      <c r="C12960" s="3">
        <v>0.3221875</v>
      </c>
      <c r="D12960" s="1">
        <v>12.982466</v>
      </c>
      <c r="E12960" s="1">
        <v>80.13959</v>
      </c>
      <c r="F12960" s="1">
        <v>3143.0</v>
      </c>
      <c r="G12960" s="1">
        <v>27.0</v>
      </c>
    </row>
    <row r="12961">
      <c r="A12961" s="1" t="s">
        <v>10</v>
      </c>
      <c r="B12961" s="2">
        <v>44778.0</v>
      </c>
      <c r="C12961" s="3">
        <v>0.32252314814814814</v>
      </c>
      <c r="D12961" s="1">
        <v>12.98389</v>
      </c>
      <c r="E12961" s="1">
        <v>80.140194</v>
      </c>
      <c r="F12961" s="1">
        <v>3143.0</v>
      </c>
      <c r="G12961" s="1">
        <v>23.0</v>
      </c>
    </row>
    <row r="12962">
      <c r="A12962" s="1" t="s">
        <v>8</v>
      </c>
      <c r="B12962" s="2">
        <v>44778.0</v>
      </c>
      <c r="C12962" s="3">
        <v>0.3228125</v>
      </c>
      <c r="D12962" s="1">
        <v>12.686688</v>
      </c>
      <c r="E12962" s="1">
        <v>79.983125</v>
      </c>
      <c r="F12962" s="1">
        <v>2846.0</v>
      </c>
      <c r="G12962" s="1">
        <v>22.0</v>
      </c>
    </row>
    <row r="12963">
      <c r="A12963" s="1" t="s">
        <v>8</v>
      </c>
      <c r="B12963" s="2">
        <v>44778.0</v>
      </c>
      <c r="C12963" s="3">
        <v>0.3230439814814815</v>
      </c>
      <c r="D12963" s="1">
        <v>13.012134</v>
      </c>
      <c r="E12963" s="1">
        <v>80.221025</v>
      </c>
      <c r="F12963" s="1">
        <v>5339.0</v>
      </c>
      <c r="G12963" s="1">
        <v>23.0</v>
      </c>
    </row>
    <row r="12964">
      <c r="A12964" s="1" t="s">
        <v>8</v>
      </c>
      <c r="B12964" s="2">
        <v>44778.0</v>
      </c>
      <c r="C12964" s="3">
        <v>0.3233564814814815</v>
      </c>
      <c r="D12964" s="1">
        <v>13.006468</v>
      </c>
      <c r="E12964" s="1">
        <v>80.255855</v>
      </c>
      <c r="F12964" s="1">
        <v>805.0</v>
      </c>
      <c r="G12964" s="1">
        <v>32.0</v>
      </c>
    </row>
    <row r="12965">
      <c r="A12965" s="1" t="s">
        <v>8</v>
      </c>
      <c r="B12965" s="2">
        <v>44778.0</v>
      </c>
      <c r="C12965" s="3">
        <v>0.3234490740740741</v>
      </c>
      <c r="D12965" s="1">
        <v>13.011249</v>
      </c>
      <c r="E12965" s="1">
        <v>80.218108</v>
      </c>
      <c r="F12965" s="1">
        <v>5339.0</v>
      </c>
      <c r="G12965" s="1">
        <v>48.0</v>
      </c>
    </row>
    <row r="12966">
      <c r="A12966" s="1" t="s">
        <v>10</v>
      </c>
      <c r="B12966" s="2">
        <v>44778.0</v>
      </c>
      <c r="C12966" s="3">
        <v>0.32349537037037035</v>
      </c>
      <c r="D12966" s="1">
        <v>12.686688</v>
      </c>
      <c r="E12966" s="1">
        <v>79.983125</v>
      </c>
      <c r="F12966" s="1">
        <v>2846.0</v>
      </c>
      <c r="G12966" s="1">
        <v>22.0</v>
      </c>
    </row>
    <row r="12967">
      <c r="A12967" s="1" t="s">
        <v>8</v>
      </c>
      <c r="B12967" s="2">
        <v>44778.0</v>
      </c>
      <c r="C12967" s="3">
        <v>0.32435185185185184</v>
      </c>
      <c r="D12967" s="1">
        <v>13.011249</v>
      </c>
      <c r="E12967" s="1">
        <v>80.218108</v>
      </c>
      <c r="F12967" s="1">
        <v>5339.0</v>
      </c>
      <c r="G12967" s="1">
        <v>48.0</v>
      </c>
    </row>
    <row r="12968">
      <c r="A12968" s="1" t="s">
        <v>10</v>
      </c>
      <c r="B12968" s="2">
        <v>44778.0</v>
      </c>
      <c r="C12968" s="3">
        <v>0.3246527777777778</v>
      </c>
      <c r="D12968" s="1">
        <v>12.985868</v>
      </c>
      <c r="E12968" s="1">
        <v>80.141919</v>
      </c>
      <c r="F12968" s="1">
        <v>3143.0</v>
      </c>
      <c r="G12968" s="1">
        <v>11.0</v>
      </c>
    </row>
    <row r="12969">
      <c r="A12969" s="1" t="s">
        <v>8</v>
      </c>
      <c r="B12969" s="2">
        <v>44778.0</v>
      </c>
      <c r="C12969" s="3">
        <v>0.32524305555555555</v>
      </c>
      <c r="D12969" s="1">
        <v>13.006747</v>
      </c>
      <c r="E12969" s="1">
        <v>80.250106</v>
      </c>
      <c r="F12969" s="1">
        <v>805.0</v>
      </c>
      <c r="G12969" s="1">
        <v>35.0</v>
      </c>
    </row>
    <row r="12970">
      <c r="A12970" s="1" t="s">
        <v>7</v>
      </c>
      <c r="B12970" s="2">
        <v>44778.0</v>
      </c>
      <c r="C12970" s="3">
        <v>0.32538194444444446</v>
      </c>
      <c r="D12970" s="1">
        <v>13.011249</v>
      </c>
      <c r="E12970" s="1">
        <v>80.218108</v>
      </c>
      <c r="F12970" s="1">
        <v>5339.0</v>
      </c>
      <c r="G12970" s="1">
        <v>48.0</v>
      </c>
    </row>
    <row r="12971">
      <c r="A12971" s="1" t="s">
        <v>7</v>
      </c>
      <c r="B12971" s="2">
        <v>44778.0</v>
      </c>
      <c r="C12971" s="3">
        <v>0.3254050925925926</v>
      </c>
      <c r="D12971" s="1">
        <v>13.011249</v>
      </c>
      <c r="E12971" s="1">
        <v>80.218108</v>
      </c>
      <c r="F12971" s="1">
        <v>5339.0</v>
      </c>
      <c r="G12971" s="1">
        <v>48.0</v>
      </c>
    </row>
    <row r="12972">
      <c r="A12972" s="1" t="s">
        <v>7</v>
      </c>
      <c r="B12972" s="2">
        <v>44778.0</v>
      </c>
      <c r="C12972" s="3">
        <v>0.3258564814814815</v>
      </c>
      <c r="D12972" s="1">
        <v>13.011249</v>
      </c>
      <c r="E12972" s="1">
        <v>80.218108</v>
      </c>
      <c r="F12972" s="1">
        <v>5339.0</v>
      </c>
      <c r="G12972" s="1">
        <v>48.0</v>
      </c>
    </row>
    <row r="12973">
      <c r="A12973" s="1" t="s">
        <v>10</v>
      </c>
      <c r="B12973" s="2">
        <v>44778.0</v>
      </c>
      <c r="C12973" s="3">
        <v>0.3258564814814815</v>
      </c>
      <c r="D12973" s="1">
        <v>13.006635</v>
      </c>
      <c r="E12973" s="1">
        <v>80.247548</v>
      </c>
      <c r="F12973" s="1">
        <v>805.0</v>
      </c>
      <c r="G12973" s="1">
        <v>0.0</v>
      </c>
    </row>
    <row r="12974">
      <c r="A12974" s="1" t="s">
        <v>7</v>
      </c>
      <c r="B12974" s="2">
        <v>44778.0</v>
      </c>
      <c r="C12974" s="3">
        <v>0.32587962962962963</v>
      </c>
      <c r="D12974" s="1">
        <v>13.011249</v>
      </c>
      <c r="E12974" s="1">
        <v>80.218108</v>
      </c>
      <c r="F12974" s="1">
        <v>5339.0</v>
      </c>
      <c r="G12974" s="1">
        <v>48.0</v>
      </c>
    </row>
    <row r="12975">
      <c r="A12975" s="1" t="s">
        <v>7</v>
      </c>
      <c r="B12975" s="2">
        <v>44778.0</v>
      </c>
      <c r="C12975" s="3">
        <v>0.3259722222222222</v>
      </c>
      <c r="D12975" s="1">
        <v>13.011249</v>
      </c>
      <c r="E12975" s="1">
        <v>80.218108</v>
      </c>
      <c r="F12975" s="1">
        <v>5339.0</v>
      </c>
      <c r="G12975" s="1">
        <v>48.0</v>
      </c>
    </row>
    <row r="12976">
      <c r="A12976" s="1" t="s">
        <v>7</v>
      </c>
      <c r="B12976" s="2">
        <v>44778.0</v>
      </c>
      <c r="C12976" s="3">
        <v>0.32618055555555553</v>
      </c>
      <c r="D12976" s="1">
        <v>13.011249</v>
      </c>
      <c r="E12976" s="1">
        <v>80.218108</v>
      </c>
      <c r="F12976" s="1">
        <v>5339.0</v>
      </c>
      <c r="G12976" s="1">
        <v>48.0</v>
      </c>
    </row>
    <row r="12977">
      <c r="A12977" s="1" t="s">
        <v>7</v>
      </c>
      <c r="B12977" s="2">
        <v>44778.0</v>
      </c>
      <c r="C12977" s="3">
        <v>0.32665509259259257</v>
      </c>
      <c r="D12977" s="1">
        <v>13.011249</v>
      </c>
      <c r="E12977" s="1">
        <v>80.218108</v>
      </c>
      <c r="F12977" s="1">
        <v>5339.0</v>
      </c>
      <c r="G12977" s="1">
        <v>48.0</v>
      </c>
    </row>
    <row r="12978">
      <c r="A12978" s="1" t="s">
        <v>7</v>
      </c>
      <c r="B12978" s="2">
        <v>44778.0</v>
      </c>
      <c r="C12978" s="3">
        <v>0.326724537037037</v>
      </c>
      <c r="D12978" s="1">
        <v>12.705012</v>
      </c>
      <c r="E12978" s="1">
        <v>79.973685</v>
      </c>
      <c r="F12978" s="1">
        <v>2846.0</v>
      </c>
      <c r="G12978" s="1">
        <v>59.0</v>
      </c>
    </row>
    <row r="12979">
      <c r="A12979" s="1" t="s">
        <v>7</v>
      </c>
      <c r="B12979" s="2">
        <v>44778.0</v>
      </c>
      <c r="C12979" s="3">
        <v>0.3271875</v>
      </c>
      <c r="D12979" s="1">
        <v>12.709702</v>
      </c>
      <c r="E12979" s="1">
        <v>79.977636</v>
      </c>
      <c r="F12979" s="1">
        <v>2846.0</v>
      </c>
      <c r="G12979" s="1">
        <v>55.0</v>
      </c>
    </row>
    <row r="12980">
      <c r="A12980" s="1" t="s">
        <v>7</v>
      </c>
      <c r="B12980" s="2">
        <v>44778.0</v>
      </c>
      <c r="C12980" s="3">
        <v>0.32763888888888887</v>
      </c>
      <c r="D12980" s="1">
        <v>12.714693</v>
      </c>
      <c r="E12980" s="1">
        <v>79.980222</v>
      </c>
      <c r="F12980" s="1">
        <v>2846.0</v>
      </c>
      <c r="G12980" s="1">
        <v>57.0</v>
      </c>
    </row>
    <row r="12981">
      <c r="A12981" s="1" t="s">
        <v>8</v>
      </c>
      <c r="B12981" s="2">
        <v>44778.0</v>
      </c>
      <c r="C12981" s="3">
        <v>0.3277777777777778</v>
      </c>
      <c r="D12981" s="1">
        <v>12.716096</v>
      </c>
      <c r="E12981" s="1">
        <v>79.9806</v>
      </c>
      <c r="F12981" s="1">
        <v>2846.0</v>
      </c>
      <c r="G12981" s="1">
        <v>56.0</v>
      </c>
    </row>
    <row r="12982">
      <c r="A12982" s="1" t="s">
        <v>8</v>
      </c>
      <c r="B12982" s="2">
        <v>44778.0</v>
      </c>
      <c r="C12982" s="3">
        <v>0.32797453703703705</v>
      </c>
      <c r="D12982" s="1">
        <v>12.716096</v>
      </c>
      <c r="E12982" s="1">
        <v>79.9806</v>
      </c>
      <c r="F12982" s="1">
        <v>2846.0</v>
      </c>
      <c r="G12982" s="1">
        <v>56.0</v>
      </c>
    </row>
    <row r="12983">
      <c r="A12983" s="1" t="s">
        <v>7</v>
      </c>
      <c r="B12983" s="2">
        <v>44778.0</v>
      </c>
      <c r="C12983" s="3">
        <v>0.3282407407407407</v>
      </c>
      <c r="D12983" s="1">
        <v>12.992651</v>
      </c>
      <c r="E12983" s="1">
        <v>80.183128</v>
      </c>
      <c r="F12983" s="1">
        <v>5339.0</v>
      </c>
      <c r="G12983" s="1">
        <v>54.0</v>
      </c>
    </row>
    <row r="12984">
      <c r="A12984" s="1" t="s">
        <v>8</v>
      </c>
      <c r="B12984" s="2">
        <v>44778.0</v>
      </c>
      <c r="C12984" s="3">
        <v>0.32837962962962963</v>
      </c>
      <c r="D12984" s="1">
        <v>13.008807</v>
      </c>
      <c r="E12984" s="1">
        <v>80.230179</v>
      </c>
      <c r="F12984" s="1">
        <v>805.0</v>
      </c>
      <c r="G12984" s="1">
        <v>47.0</v>
      </c>
    </row>
    <row r="12985">
      <c r="A12985" s="1" t="s">
        <v>8</v>
      </c>
      <c r="B12985" s="2">
        <v>44778.0</v>
      </c>
      <c r="C12985" s="3">
        <v>0.3284490740740741</v>
      </c>
      <c r="D12985" s="1">
        <v>13.008807</v>
      </c>
      <c r="E12985" s="1">
        <v>80.230179</v>
      </c>
      <c r="F12985" s="1">
        <v>805.0</v>
      </c>
      <c r="G12985" s="1">
        <v>47.0</v>
      </c>
    </row>
    <row r="12986">
      <c r="A12986" s="1" t="s">
        <v>8</v>
      </c>
      <c r="B12986" s="2">
        <v>44778.0</v>
      </c>
      <c r="C12986" s="3">
        <v>0.3288773148148148</v>
      </c>
      <c r="D12986" s="1">
        <v>13.010299</v>
      </c>
      <c r="E12986" s="1">
        <v>80.225897</v>
      </c>
      <c r="F12986" s="1">
        <v>805.0</v>
      </c>
      <c r="G12986" s="1">
        <v>41.0</v>
      </c>
    </row>
    <row r="12987">
      <c r="A12987" s="1" t="s">
        <v>8</v>
      </c>
      <c r="B12987" s="2">
        <v>44778.0</v>
      </c>
      <c r="C12987" s="3">
        <v>0.3290162037037037</v>
      </c>
      <c r="D12987" s="1">
        <v>13.010732</v>
      </c>
      <c r="E12987" s="1">
        <v>80.22498</v>
      </c>
      <c r="F12987" s="1">
        <v>805.0</v>
      </c>
      <c r="G12987" s="1">
        <v>36.0</v>
      </c>
    </row>
    <row r="12988">
      <c r="A12988" s="1" t="s">
        <v>7</v>
      </c>
      <c r="B12988" s="2">
        <v>44778.0</v>
      </c>
      <c r="C12988" s="3">
        <v>0.32913194444444444</v>
      </c>
      <c r="D12988" s="1">
        <v>12.726377</v>
      </c>
      <c r="E12988" s="1">
        <v>79.982328</v>
      </c>
      <c r="F12988" s="1">
        <v>2846.0</v>
      </c>
      <c r="G12988" s="1">
        <v>45.0</v>
      </c>
    </row>
    <row r="12989">
      <c r="A12989" s="1" t="s">
        <v>8</v>
      </c>
      <c r="B12989" s="2">
        <v>44778.0</v>
      </c>
      <c r="C12989" s="3">
        <v>0.32917824074074076</v>
      </c>
      <c r="D12989" s="1">
        <v>12.726377</v>
      </c>
      <c r="E12989" s="1">
        <v>79.982328</v>
      </c>
      <c r="F12989" s="1">
        <v>2846.0</v>
      </c>
      <c r="G12989" s="1">
        <v>45.0</v>
      </c>
    </row>
    <row r="12990">
      <c r="A12990" s="1" t="s">
        <v>8</v>
      </c>
      <c r="B12990" s="2">
        <v>44778.0</v>
      </c>
      <c r="C12990" s="3">
        <v>0.3297453703703704</v>
      </c>
      <c r="D12990" s="1">
        <v>13.011491</v>
      </c>
      <c r="E12990" s="1">
        <v>80.223149</v>
      </c>
      <c r="F12990" s="1">
        <v>805.0</v>
      </c>
      <c r="G12990" s="1">
        <v>29.0</v>
      </c>
    </row>
    <row r="12991">
      <c r="A12991" s="1" t="s">
        <v>8</v>
      </c>
      <c r="B12991" s="2">
        <v>44778.0</v>
      </c>
      <c r="C12991" s="3">
        <v>0.3298726851851852</v>
      </c>
      <c r="D12991" s="1">
        <v>13.011887</v>
      </c>
      <c r="E12991" s="1">
        <v>80.221873</v>
      </c>
      <c r="F12991" s="1">
        <v>805.0</v>
      </c>
      <c r="G12991" s="1">
        <v>37.0</v>
      </c>
    </row>
    <row r="12992">
      <c r="A12992" s="1" t="s">
        <v>7</v>
      </c>
      <c r="B12992" s="2">
        <v>44778.0</v>
      </c>
      <c r="C12992" s="3">
        <v>0.3299074074074074</v>
      </c>
      <c r="D12992" s="1">
        <v>12.730396</v>
      </c>
      <c r="E12992" s="1">
        <v>79.982706</v>
      </c>
      <c r="F12992" s="1">
        <v>2846.0</v>
      </c>
      <c r="G12992" s="1">
        <v>54.0</v>
      </c>
    </row>
    <row r="12993">
      <c r="A12993" s="1" t="s">
        <v>8</v>
      </c>
      <c r="B12993" s="2">
        <v>44778.0</v>
      </c>
      <c r="C12993" s="3">
        <v>0.33</v>
      </c>
      <c r="D12993" s="1">
        <v>13.012106</v>
      </c>
      <c r="E12993" s="1">
        <v>80.220883</v>
      </c>
      <c r="F12993" s="1">
        <v>805.0</v>
      </c>
      <c r="G12993" s="1">
        <v>34.0</v>
      </c>
    </row>
    <row r="12994">
      <c r="A12994" s="1" t="s">
        <v>7</v>
      </c>
      <c r="B12994" s="2">
        <v>44778.0</v>
      </c>
      <c r="C12994" s="3">
        <v>0.3300462962962963</v>
      </c>
      <c r="D12994" s="1">
        <v>12.982974</v>
      </c>
      <c r="E12994" s="1">
        <v>80.16928</v>
      </c>
      <c r="F12994" s="1">
        <v>5339.0</v>
      </c>
      <c r="G12994" s="1">
        <v>57.0</v>
      </c>
    </row>
    <row r="12995">
      <c r="A12995" s="1" t="s">
        <v>7</v>
      </c>
      <c r="B12995" s="2">
        <v>44778.0</v>
      </c>
      <c r="C12995" s="3">
        <v>0.33012731481481483</v>
      </c>
      <c r="D12995" s="1">
        <v>12.730396</v>
      </c>
      <c r="E12995" s="1">
        <v>79.982706</v>
      </c>
      <c r="F12995" s="1">
        <v>2846.0</v>
      </c>
      <c r="G12995" s="1">
        <v>54.0</v>
      </c>
    </row>
    <row r="12996">
      <c r="A12996" s="1" t="s">
        <v>7</v>
      </c>
      <c r="B12996" s="2">
        <v>44778.0</v>
      </c>
      <c r="C12996" s="3">
        <v>0.33015046296296297</v>
      </c>
      <c r="D12996" s="1">
        <v>12.982226</v>
      </c>
      <c r="E12996" s="1">
        <v>80.168006</v>
      </c>
      <c r="F12996" s="1">
        <v>5339.0</v>
      </c>
      <c r="G12996" s="1">
        <v>57.0</v>
      </c>
    </row>
    <row r="12997">
      <c r="A12997" s="1" t="s">
        <v>7</v>
      </c>
      <c r="B12997" s="2">
        <v>44778.0</v>
      </c>
      <c r="C12997" s="3">
        <v>0.3302199074074074</v>
      </c>
      <c r="D12997" s="1">
        <v>13.011664</v>
      </c>
      <c r="E12997" s="1">
        <v>80.219324</v>
      </c>
      <c r="F12997" s="1">
        <v>805.0</v>
      </c>
      <c r="G12997" s="1">
        <v>51.0</v>
      </c>
    </row>
    <row r="12998">
      <c r="A12998" s="1" t="s">
        <v>8</v>
      </c>
      <c r="B12998" s="2">
        <v>44778.0</v>
      </c>
      <c r="C12998" s="3">
        <v>0.3303125</v>
      </c>
      <c r="D12998" s="1">
        <v>13.01092</v>
      </c>
      <c r="E12998" s="1">
        <v>80.217292</v>
      </c>
      <c r="F12998" s="1">
        <v>805.0</v>
      </c>
      <c r="G12998" s="1">
        <v>50.0</v>
      </c>
    </row>
    <row r="12999">
      <c r="A12999" s="1" t="s">
        <v>7</v>
      </c>
      <c r="B12999" s="2">
        <v>44778.0</v>
      </c>
      <c r="C12999" s="3">
        <v>0.33034722222222224</v>
      </c>
      <c r="D12999" s="1">
        <v>12.981442</v>
      </c>
      <c r="E12999" s="1">
        <v>80.166803</v>
      </c>
      <c r="F12999" s="1">
        <v>5339.0</v>
      </c>
      <c r="G12999" s="1">
        <v>54.0</v>
      </c>
    </row>
    <row r="13000">
      <c r="A13000" s="1" t="s">
        <v>7</v>
      </c>
      <c r="B13000" s="2">
        <v>44778.0</v>
      </c>
      <c r="C13000" s="3">
        <v>0.33042824074074073</v>
      </c>
      <c r="D13000" s="1">
        <v>12.98072</v>
      </c>
      <c r="E13000" s="1">
        <v>80.165562</v>
      </c>
      <c r="F13000" s="1">
        <v>5339.0</v>
      </c>
      <c r="G13000" s="1">
        <v>57.0</v>
      </c>
    </row>
    <row r="13001">
      <c r="A13001" s="1" t="s">
        <v>7</v>
      </c>
      <c r="B13001" s="2">
        <v>44778.0</v>
      </c>
      <c r="C13001" s="3">
        <v>0.3305208333333333</v>
      </c>
      <c r="D13001" s="1">
        <v>12.980216</v>
      </c>
      <c r="E13001" s="1">
        <v>80.164167</v>
      </c>
      <c r="F13001" s="1">
        <v>5339.0</v>
      </c>
      <c r="G13001" s="1">
        <v>56.0</v>
      </c>
    </row>
    <row r="13002">
      <c r="A13002" s="1" t="s">
        <v>8</v>
      </c>
      <c r="B13002" s="2">
        <v>44778.0</v>
      </c>
      <c r="C13002" s="3">
        <v>0.33055555555555555</v>
      </c>
      <c r="D13002" s="1">
        <v>13.010208</v>
      </c>
      <c r="E13002" s="1">
        <v>80.215671</v>
      </c>
      <c r="F13002" s="1">
        <v>805.0</v>
      </c>
      <c r="G13002" s="1">
        <v>39.0</v>
      </c>
    </row>
    <row r="13003">
      <c r="A13003" s="1" t="s">
        <v>8</v>
      </c>
      <c r="B13003" s="2">
        <v>44778.0</v>
      </c>
      <c r="C13003" s="3">
        <v>0.3306134259259259</v>
      </c>
      <c r="D13003" s="1">
        <v>12.741028</v>
      </c>
      <c r="E13003" s="1">
        <v>79.990449</v>
      </c>
      <c r="F13003" s="1">
        <v>2846.0</v>
      </c>
      <c r="G13003" s="1">
        <v>58.0</v>
      </c>
    </row>
    <row r="13004">
      <c r="A13004" s="1" t="s">
        <v>7</v>
      </c>
      <c r="B13004" s="2">
        <v>44778.0</v>
      </c>
      <c r="C13004" s="3">
        <v>0.33067129629629627</v>
      </c>
      <c r="D13004" s="1">
        <v>12.979807</v>
      </c>
      <c r="E13004" s="1">
        <v>80.162817</v>
      </c>
      <c r="F13004" s="1">
        <v>5339.0</v>
      </c>
      <c r="G13004" s="1">
        <v>55.0</v>
      </c>
    </row>
    <row r="13005">
      <c r="A13005" s="1" t="s">
        <v>8</v>
      </c>
      <c r="B13005" s="2">
        <v>44778.0</v>
      </c>
      <c r="C13005" s="3">
        <v>0.33069444444444446</v>
      </c>
      <c r="D13005" s="1">
        <v>12.739901</v>
      </c>
      <c r="E13005" s="1">
        <v>79.989551</v>
      </c>
      <c r="F13005" s="1">
        <v>2846.0</v>
      </c>
      <c r="G13005" s="1">
        <v>58.0</v>
      </c>
    </row>
    <row r="13006">
      <c r="A13006" s="1" t="s">
        <v>7</v>
      </c>
      <c r="B13006" s="2">
        <v>44778.0</v>
      </c>
      <c r="C13006" s="3">
        <v>0.33109953703703704</v>
      </c>
      <c r="D13006" s="1">
        <v>13.008404</v>
      </c>
      <c r="E13006" s="1">
        <v>80.210202</v>
      </c>
      <c r="F13006" s="1">
        <v>805.0</v>
      </c>
      <c r="G13006" s="1">
        <v>56.0</v>
      </c>
    </row>
    <row r="13007">
      <c r="A13007" s="1" t="s">
        <v>8</v>
      </c>
      <c r="B13007" s="2">
        <v>44778.0</v>
      </c>
      <c r="C13007" s="3">
        <v>0.3311689814814815</v>
      </c>
      <c r="D13007" s="1">
        <v>13.007965</v>
      </c>
      <c r="E13007" s="1">
        <v>80.208326</v>
      </c>
      <c r="F13007" s="1">
        <v>805.0</v>
      </c>
      <c r="G13007" s="1">
        <v>56.0</v>
      </c>
    </row>
    <row r="13008">
      <c r="A13008" s="1" t="s">
        <v>8</v>
      </c>
      <c r="B13008" s="2">
        <v>44778.0</v>
      </c>
      <c r="C13008" s="3">
        <v>0.33145833333333335</v>
      </c>
      <c r="D13008" s="1">
        <v>13.007439</v>
      </c>
      <c r="E13008" s="1">
        <v>80.205609</v>
      </c>
      <c r="F13008" s="1">
        <v>805.0</v>
      </c>
      <c r="G13008" s="1">
        <v>48.0</v>
      </c>
    </row>
    <row r="13009">
      <c r="A13009" s="1" t="s">
        <v>8</v>
      </c>
      <c r="B13009" s="2">
        <v>44778.0</v>
      </c>
      <c r="C13009" s="3">
        <v>0.3317013888888889</v>
      </c>
      <c r="D13009" s="1">
        <v>13.006361</v>
      </c>
      <c r="E13009" s="1">
        <v>80.203486</v>
      </c>
      <c r="F13009" s="1">
        <v>805.0</v>
      </c>
      <c r="G13009" s="1">
        <v>45.0</v>
      </c>
    </row>
    <row r="13010">
      <c r="A13010" s="1" t="s">
        <v>8</v>
      </c>
      <c r="B13010" s="2">
        <v>44778.0</v>
      </c>
      <c r="C13010" s="3">
        <v>0.33207175925925925</v>
      </c>
      <c r="D13010" s="1">
        <v>13.004466</v>
      </c>
      <c r="E13010" s="1">
        <v>80.201257</v>
      </c>
      <c r="F13010" s="1">
        <v>805.0</v>
      </c>
      <c r="G13010" s="1">
        <v>46.0</v>
      </c>
    </row>
    <row r="13011">
      <c r="A13011" s="1" t="s">
        <v>8</v>
      </c>
      <c r="B13011" s="2">
        <v>44778.0</v>
      </c>
      <c r="C13011" s="3">
        <v>0.3323263888888889</v>
      </c>
      <c r="D13011" s="1">
        <v>13.001748</v>
      </c>
      <c r="E13011" s="1">
        <v>80.199599</v>
      </c>
      <c r="F13011" s="1">
        <v>805.0</v>
      </c>
      <c r="G13011" s="1">
        <v>45.0</v>
      </c>
    </row>
    <row r="13012">
      <c r="A13012" s="1" t="s">
        <v>7</v>
      </c>
      <c r="B13012" s="2">
        <v>44778.0</v>
      </c>
      <c r="C13012" s="3">
        <v>0.3324884259259259</v>
      </c>
      <c r="D13012" s="1">
        <v>12.753668</v>
      </c>
      <c r="E13012" s="1">
        <v>80.000246</v>
      </c>
      <c r="F13012" s="1">
        <v>2846.0</v>
      </c>
      <c r="G13012" s="1">
        <v>58.0</v>
      </c>
    </row>
    <row r="13013">
      <c r="A13013" s="1" t="s">
        <v>8</v>
      </c>
      <c r="B13013" s="2">
        <v>44778.0</v>
      </c>
      <c r="C13013" s="3">
        <v>0.3329050925925926</v>
      </c>
      <c r="D13013" s="1">
        <v>13.00106</v>
      </c>
      <c r="E13013" s="1">
        <v>80.195572</v>
      </c>
      <c r="F13013" s="1">
        <v>805.0</v>
      </c>
      <c r="G13013" s="1">
        <v>40.0</v>
      </c>
    </row>
    <row r="13014">
      <c r="A13014" s="1" t="s">
        <v>8</v>
      </c>
      <c r="B13014" s="2">
        <v>44778.0</v>
      </c>
      <c r="C13014" s="3">
        <v>0.3330902777777778</v>
      </c>
      <c r="D13014" s="1">
        <v>12.966371</v>
      </c>
      <c r="E13014" s="1">
        <v>80.14872</v>
      </c>
      <c r="F13014" s="1">
        <v>5339.0</v>
      </c>
      <c r="G13014" s="1">
        <v>23.0</v>
      </c>
    </row>
    <row r="13015">
      <c r="A13015" s="1" t="s">
        <v>8</v>
      </c>
      <c r="B13015" s="2">
        <v>44778.0</v>
      </c>
      <c r="C13015" s="3">
        <v>0.3330902777777778</v>
      </c>
      <c r="D13015" s="1">
        <v>13.000337</v>
      </c>
      <c r="E13015" s="1">
        <v>80.194646</v>
      </c>
      <c r="F13015" s="1">
        <v>805.0</v>
      </c>
      <c r="G13015" s="1">
        <v>51.0</v>
      </c>
    </row>
    <row r="13016">
      <c r="A13016" s="1" t="s">
        <v>8</v>
      </c>
      <c r="B13016" s="2">
        <v>44778.0</v>
      </c>
      <c r="C13016" s="3">
        <v>0.33310185185185187</v>
      </c>
      <c r="D13016" s="1">
        <v>12.966371</v>
      </c>
      <c r="E13016" s="1">
        <v>80.14872</v>
      </c>
      <c r="F13016" s="1">
        <v>5339.0</v>
      </c>
      <c r="G13016" s="1">
        <v>23.0</v>
      </c>
    </row>
    <row r="13017">
      <c r="A13017" s="1" t="s">
        <v>8</v>
      </c>
      <c r="B13017" s="2">
        <v>44778.0</v>
      </c>
      <c r="C13017" s="3">
        <v>0.33310185185185187</v>
      </c>
      <c r="D13017" s="1">
        <v>12.966371</v>
      </c>
      <c r="E13017" s="1">
        <v>80.14872</v>
      </c>
      <c r="F13017" s="1">
        <v>5339.0</v>
      </c>
      <c r="G13017" s="1">
        <v>23.0</v>
      </c>
    </row>
    <row r="13018">
      <c r="A13018" s="1" t="s">
        <v>8</v>
      </c>
      <c r="B13018" s="2">
        <v>44778.0</v>
      </c>
      <c r="C13018" s="3">
        <v>0.3331134259259259</v>
      </c>
      <c r="D13018" s="1">
        <v>12.966371</v>
      </c>
      <c r="E13018" s="1">
        <v>80.14872</v>
      </c>
      <c r="F13018" s="1">
        <v>5339.0</v>
      </c>
      <c r="G13018" s="1">
        <v>23.0</v>
      </c>
    </row>
    <row r="13019">
      <c r="A13019" s="1" t="s">
        <v>8</v>
      </c>
      <c r="B13019" s="2">
        <v>44778.0</v>
      </c>
      <c r="C13019" s="3">
        <v>0.33339120370370373</v>
      </c>
      <c r="D13019" s="1">
        <v>12.970207</v>
      </c>
      <c r="E13019" s="1">
        <v>80.150476</v>
      </c>
      <c r="F13019" s="1">
        <v>3143.0</v>
      </c>
      <c r="G13019" s="1">
        <v>52.0</v>
      </c>
    </row>
    <row r="13020">
      <c r="A13020" s="1" t="s">
        <v>8</v>
      </c>
      <c r="B13020" s="2">
        <v>44778.0</v>
      </c>
      <c r="C13020" s="3">
        <v>0.33339120370370373</v>
      </c>
      <c r="D13020" s="1">
        <v>12.970207</v>
      </c>
      <c r="E13020" s="1">
        <v>80.150476</v>
      </c>
      <c r="F13020" s="1">
        <v>3143.0</v>
      </c>
      <c r="G13020" s="1">
        <v>52.0</v>
      </c>
    </row>
    <row r="13021">
      <c r="A13021" s="1" t="s">
        <v>8</v>
      </c>
      <c r="B13021" s="2">
        <v>44778.0</v>
      </c>
      <c r="C13021" s="3">
        <v>0.33340277777777777</v>
      </c>
      <c r="D13021" s="1">
        <v>12.970207</v>
      </c>
      <c r="E13021" s="1">
        <v>80.150476</v>
      </c>
      <c r="F13021" s="1">
        <v>3143.0</v>
      </c>
      <c r="G13021" s="1">
        <v>52.0</v>
      </c>
    </row>
    <row r="13022">
      <c r="A13022" s="1" t="s">
        <v>8</v>
      </c>
      <c r="B13022" s="2">
        <v>44778.0</v>
      </c>
      <c r="C13022" s="3">
        <v>0.3334722222222222</v>
      </c>
      <c r="D13022" s="1">
        <v>12.997772</v>
      </c>
      <c r="E13022" s="1">
        <v>80.191438</v>
      </c>
      <c r="F13022" s="1">
        <v>805.0</v>
      </c>
      <c r="G13022" s="1">
        <v>51.0</v>
      </c>
    </row>
    <row r="13023">
      <c r="A13023" s="1" t="s">
        <v>8</v>
      </c>
      <c r="B13023" s="2">
        <v>44778.0</v>
      </c>
      <c r="C13023" s="3">
        <v>0.33386574074074077</v>
      </c>
      <c r="D13023" s="1">
        <v>12.995882</v>
      </c>
      <c r="E13023" s="1">
        <v>80.189301</v>
      </c>
      <c r="F13023" s="1">
        <v>805.0</v>
      </c>
      <c r="G13023" s="1">
        <v>20.0</v>
      </c>
    </row>
    <row r="13024">
      <c r="A13024" s="1" t="s">
        <v>8</v>
      </c>
      <c r="B13024" s="2">
        <v>44778.0</v>
      </c>
      <c r="C13024" s="3">
        <v>0.3339699074074074</v>
      </c>
      <c r="D13024" s="1">
        <v>12.995522</v>
      </c>
      <c r="E13024" s="1">
        <v>80.188661</v>
      </c>
      <c r="F13024" s="1">
        <v>805.0</v>
      </c>
      <c r="G13024" s="1">
        <v>30.0</v>
      </c>
    </row>
    <row r="13025">
      <c r="A13025" s="1" t="s">
        <v>7</v>
      </c>
      <c r="B13025" s="2">
        <v>44778.0</v>
      </c>
      <c r="C13025" s="3">
        <v>0.3341550925925926</v>
      </c>
      <c r="D13025" s="1">
        <v>12.767482</v>
      </c>
      <c r="E13025" s="1">
        <v>80.00588</v>
      </c>
      <c r="F13025" s="1">
        <v>2846.0</v>
      </c>
      <c r="G13025" s="1">
        <v>57.0</v>
      </c>
    </row>
    <row r="13026">
      <c r="A13026" s="1" t="s">
        <v>8</v>
      </c>
      <c r="B13026" s="2">
        <v>44778.0</v>
      </c>
      <c r="C13026" s="3">
        <v>0.33416666666666667</v>
      </c>
      <c r="D13026" s="1">
        <v>12.957613</v>
      </c>
      <c r="E13026" s="1">
        <v>80.143955</v>
      </c>
      <c r="F13026" s="1">
        <v>5339.0</v>
      </c>
      <c r="G13026" s="1">
        <v>45.0</v>
      </c>
    </row>
    <row r="13027">
      <c r="A13027" s="1" t="s">
        <v>8</v>
      </c>
      <c r="B13027" s="2">
        <v>44778.0</v>
      </c>
      <c r="C13027" s="3">
        <v>0.3344560185185185</v>
      </c>
      <c r="D13027" s="1">
        <v>12.955263</v>
      </c>
      <c r="E13027" s="1">
        <v>80.14279</v>
      </c>
      <c r="F13027" s="1">
        <v>5339.0</v>
      </c>
      <c r="G13027" s="1">
        <v>37.0</v>
      </c>
    </row>
    <row r="13028">
      <c r="A13028" s="1" t="s">
        <v>8</v>
      </c>
      <c r="B13028" s="2">
        <v>44778.0</v>
      </c>
      <c r="C13028" s="3">
        <v>0.3345023148148148</v>
      </c>
      <c r="D13028" s="1">
        <v>12.955263</v>
      </c>
      <c r="E13028" s="1">
        <v>80.14279</v>
      </c>
      <c r="F13028" s="1">
        <v>5339.0</v>
      </c>
      <c r="G13028" s="1">
        <v>37.0</v>
      </c>
    </row>
    <row r="13029">
      <c r="A13029" s="1" t="s">
        <v>8</v>
      </c>
      <c r="B13029" s="2">
        <v>44778.0</v>
      </c>
      <c r="C13029" s="3">
        <v>0.33479166666666665</v>
      </c>
      <c r="D13029" s="1">
        <v>12.959737</v>
      </c>
      <c r="E13029" s="1">
        <v>80.145127</v>
      </c>
      <c r="F13029" s="1">
        <v>3143.0</v>
      </c>
      <c r="G13029" s="1">
        <v>44.0</v>
      </c>
    </row>
    <row r="13030">
      <c r="A13030" s="1" t="s">
        <v>7</v>
      </c>
      <c r="B13030" s="2">
        <v>44778.0</v>
      </c>
      <c r="C13030" s="3">
        <v>0.3351736111111111</v>
      </c>
      <c r="D13030" s="1">
        <v>12.992512</v>
      </c>
      <c r="E13030" s="1">
        <v>80.182917</v>
      </c>
      <c r="F13030" s="1">
        <v>805.0</v>
      </c>
      <c r="G13030" s="1">
        <v>56.0</v>
      </c>
    </row>
    <row r="13031">
      <c r="A13031" s="1" t="s">
        <v>8</v>
      </c>
      <c r="B13031" s="2">
        <v>44778.0</v>
      </c>
      <c r="C13031" s="3">
        <v>0.3353587962962963</v>
      </c>
      <c r="D13031" s="1">
        <v>12.956371</v>
      </c>
      <c r="E13031" s="1">
        <v>80.143427</v>
      </c>
      <c r="F13031" s="1">
        <v>3143.0</v>
      </c>
      <c r="G13031" s="1">
        <v>10.0</v>
      </c>
    </row>
    <row r="13032">
      <c r="A13032" s="1" t="s">
        <v>8</v>
      </c>
      <c r="B13032" s="2">
        <v>44778.0</v>
      </c>
      <c r="C13032" s="3">
        <v>0.3353935185185185</v>
      </c>
      <c r="D13032" s="1">
        <v>12.956371</v>
      </c>
      <c r="E13032" s="1">
        <v>80.143427</v>
      </c>
      <c r="F13032" s="1">
        <v>3143.0</v>
      </c>
      <c r="G13032" s="1">
        <v>10.0</v>
      </c>
    </row>
    <row r="13033">
      <c r="A13033" s="1" t="s">
        <v>8</v>
      </c>
      <c r="B13033" s="2">
        <v>44778.0</v>
      </c>
      <c r="C13033" s="3">
        <v>0.3353935185185185</v>
      </c>
      <c r="D13033" s="1">
        <v>12.99063</v>
      </c>
      <c r="E13033" s="1">
        <v>80.180447</v>
      </c>
      <c r="F13033" s="1">
        <v>805.0</v>
      </c>
      <c r="G13033" s="1">
        <v>58.0</v>
      </c>
    </row>
    <row r="13034">
      <c r="A13034" s="1" t="s">
        <v>8</v>
      </c>
      <c r="B13034" s="2">
        <v>44778.0</v>
      </c>
      <c r="C13034" s="3">
        <v>0.3353935185185185</v>
      </c>
      <c r="D13034" s="1">
        <v>12.951791</v>
      </c>
      <c r="E13034" s="1">
        <v>80.140636</v>
      </c>
      <c r="F13034" s="1">
        <v>5339.0</v>
      </c>
      <c r="G13034" s="1">
        <v>25.0</v>
      </c>
    </row>
    <row r="13035">
      <c r="A13035" s="1" t="s">
        <v>7</v>
      </c>
      <c r="B13035" s="2">
        <v>44778.0</v>
      </c>
      <c r="C13035" s="3">
        <v>0.33546296296296296</v>
      </c>
      <c r="D13035" s="1">
        <v>12.98977</v>
      </c>
      <c r="E13035" s="1">
        <v>80.179357</v>
      </c>
      <c r="F13035" s="1">
        <v>805.0</v>
      </c>
      <c r="G13035" s="1">
        <v>52.0</v>
      </c>
    </row>
    <row r="13036">
      <c r="A13036" s="1" t="s">
        <v>8</v>
      </c>
      <c r="B13036" s="2">
        <v>44778.0</v>
      </c>
      <c r="C13036" s="3">
        <v>0.3357060185185185</v>
      </c>
      <c r="D13036" s="1">
        <v>12.988177</v>
      </c>
      <c r="E13036" s="1">
        <v>80.177238</v>
      </c>
      <c r="F13036" s="1">
        <v>805.0</v>
      </c>
      <c r="G13036" s="1">
        <v>56.0</v>
      </c>
    </row>
    <row r="13037">
      <c r="A13037" s="1" t="s">
        <v>8</v>
      </c>
      <c r="B13037" s="2">
        <v>44778.0</v>
      </c>
      <c r="C13037" s="3">
        <v>0.33608796296296295</v>
      </c>
      <c r="D13037" s="1">
        <v>12.98605</v>
      </c>
      <c r="E13037" s="1">
        <v>80.174212</v>
      </c>
      <c r="F13037" s="1">
        <v>805.0</v>
      </c>
      <c r="G13037" s="1">
        <v>38.0</v>
      </c>
    </row>
    <row r="13038">
      <c r="A13038" s="1" t="s">
        <v>8</v>
      </c>
      <c r="B13038" s="2">
        <v>44778.0</v>
      </c>
      <c r="C13038" s="3">
        <v>0.3362615740740741</v>
      </c>
      <c r="D13038" s="1">
        <v>12.950373</v>
      </c>
      <c r="E13038" s="1">
        <v>80.139572</v>
      </c>
      <c r="F13038" s="1">
        <v>5339.0</v>
      </c>
      <c r="G13038" s="1">
        <v>25.0</v>
      </c>
    </row>
    <row r="13039">
      <c r="A13039" s="1" t="s">
        <v>8</v>
      </c>
      <c r="B13039" s="2">
        <v>44778.0</v>
      </c>
      <c r="C13039" s="3">
        <v>0.3362847222222222</v>
      </c>
      <c r="D13039" s="1">
        <v>12.950373</v>
      </c>
      <c r="E13039" s="1">
        <v>80.139572</v>
      </c>
      <c r="F13039" s="1">
        <v>5339.0</v>
      </c>
      <c r="G13039" s="1">
        <v>25.0</v>
      </c>
    </row>
    <row r="13040">
      <c r="A13040" s="1" t="s">
        <v>8</v>
      </c>
      <c r="B13040" s="2">
        <v>44778.0</v>
      </c>
      <c r="C13040" s="3">
        <v>0.3363888888888889</v>
      </c>
      <c r="D13040" s="1">
        <v>12.984342</v>
      </c>
      <c r="E13040" s="1">
        <v>80.171608</v>
      </c>
      <c r="F13040" s="1">
        <v>805.0</v>
      </c>
      <c r="G13040" s="1">
        <v>46.0</v>
      </c>
    </row>
    <row r="13041">
      <c r="A13041" s="1" t="s">
        <v>8</v>
      </c>
      <c r="B13041" s="2">
        <v>44778.0</v>
      </c>
      <c r="C13041" s="3">
        <v>0.33641203703703704</v>
      </c>
      <c r="D13041" s="1">
        <v>12.951264</v>
      </c>
      <c r="E13041" s="1">
        <v>80.140234</v>
      </c>
      <c r="F13041" s="1">
        <v>3143.0</v>
      </c>
      <c r="G13041" s="1">
        <v>6.0</v>
      </c>
    </row>
    <row r="13042">
      <c r="A13042" s="1" t="s">
        <v>8</v>
      </c>
      <c r="B13042" s="2">
        <v>44778.0</v>
      </c>
      <c r="C13042" s="3">
        <v>0.33642361111111113</v>
      </c>
      <c r="D13042" s="1">
        <v>12.951264</v>
      </c>
      <c r="E13042" s="1">
        <v>80.140234</v>
      </c>
      <c r="F13042" s="1">
        <v>3143.0</v>
      </c>
      <c r="G13042" s="1">
        <v>6.0</v>
      </c>
    </row>
    <row r="13043">
      <c r="A13043" s="1" t="s">
        <v>8</v>
      </c>
      <c r="B13043" s="2">
        <v>44778.0</v>
      </c>
      <c r="C13043" s="3">
        <v>0.33645833333333336</v>
      </c>
      <c r="D13043" s="1">
        <v>12.794783</v>
      </c>
      <c r="E13043" s="1">
        <v>80.019843</v>
      </c>
      <c r="F13043" s="1">
        <v>2846.0</v>
      </c>
      <c r="G13043" s="1">
        <v>53.0</v>
      </c>
    </row>
    <row r="13044">
      <c r="A13044" s="1" t="s">
        <v>8</v>
      </c>
      <c r="B13044" s="2">
        <v>44778.0</v>
      </c>
      <c r="C13044" s="3">
        <v>0.33645833333333336</v>
      </c>
      <c r="D13044" s="1">
        <v>12.951264</v>
      </c>
      <c r="E13044" s="1">
        <v>80.140234</v>
      </c>
      <c r="F13044" s="1">
        <v>3143.0</v>
      </c>
      <c r="G13044" s="1">
        <v>6.0</v>
      </c>
    </row>
    <row r="13045">
      <c r="A13045" s="1" t="s">
        <v>8</v>
      </c>
      <c r="B13045" s="2">
        <v>44778.0</v>
      </c>
      <c r="C13045" s="3">
        <v>0.3365856481481482</v>
      </c>
      <c r="D13045" s="1">
        <v>12.983798</v>
      </c>
      <c r="E13045" s="1">
        <v>80.170694</v>
      </c>
      <c r="F13045" s="1">
        <v>805.0</v>
      </c>
      <c r="G13045" s="1">
        <v>39.0</v>
      </c>
    </row>
    <row r="13046">
      <c r="A13046" s="1" t="s">
        <v>8</v>
      </c>
      <c r="B13046" s="2">
        <v>44778.0</v>
      </c>
      <c r="C13046" s="3">
        <v>0.3365972222222222</v>
      </c>
      <c r="D13046" s="1">
        <v>12.95087</v>
      </c>
      <c r="E13046" s="1">
        <v>80.139939</v>
      </c>
      <c r="F13046" s="1">
        <v>3143.0</v>
      </c>
      <c r="G13046" s="1">
        <v>20.0</v>
      </c>
    </row>
    <row r="13047">
      <c r="A13047" s="1" t="s">
        <v>7</v>
      </c>
      <c r="B13047" s="2">
        <v>44778.0</v>
      </c>
      <c r="C13047" s="3">
        <v>0.3367939814814815</v>
      </c>
      <c r="D13047" s="1">
        <v>12.982624</v>
      </c>
      <c r="E13047" s="1">
        <v>80.168745</v>
      </c>
      <c r="F13047" s="1">
        <v>805.0</v>
      </c>
      <c r="G13047" s="1">
        <v>49.0</v>
      </c>
    </row>
    <row r="13048">
      <c r="A13048" s="1" t="s">
        <v>8</v>
      </c>
      <c r="B13048" s="2">
        <v>44778.0</v>
      </c>
      <c r="C13048" s="3">
        <v>0.3368171296296296</v>
      </c>
      <c r="D13048" s="1">
        <v>12.946743</v>
      </c>
      <c r="E13048" s="1">
        <v>80.13674</v>
      </c>
      <c r="F13048" s="1">
        <v>5339.0</v>
      </c>
      <c r="G13048" s="1">
        <v>55.0</v>
      </c>
    </row>
    <row r="13049">
      <c r="A13049" s="1" t="s">
        <v>7</v>
      </c>
      <c r="B13049" s="2">
        <v>44778.0</v>
      </c>
      <c r="C13049" s="3">
        <v>0.33689814814814817</v>
      </c>
      <c r="D13049" s="1">
        <v>12.98189</v>
      </c>
      <c r="E13049" s="1">
        <v>80.167538</v>
      </c>
      <c r="F13049" s="1">
        <v>805.0</v>
      </c>
      <c r="G13049" s="1">
        <v>57.0</v>
      </c>
    </row>
    <row r="13050">
      <c r="A13050" s="1" t="s">
        <v>8</v>
      </c>
      <c r="B13050" s="2">
        <v>44778.0</v>
      </c>
      <c r="C13050" s="3">
        <v>0.3376388888888889</v>
      </c>
      <c r="D13050" s="1">
        <v>12.945982</v>
      </c>
      <c r="E13050" s="1">
        <v>80.13618</v>
      </c>
      <c r="F13050" s="1">
        <v>3143.0</v>
      </c>
      <c r="G13050" s="1">
        <v>46.0</v>
      </c>
    </row>
    <row r="13051">
      <c r="A13051" s="1" t="s">
        <v>7</v>
      </c>
      <c r="B13051" s="2">
        <v>44778.0</v>
      </c>
      <c r="C13051" s="3">
        <v>0.337662037037037</v>
      </c>
      <c r="D13051" s="1">
        <v>12.979658</v>
      </c>
      <c r="E13051" s="1">
        <v>80.162546</v>
      </c>
      <c r="F13051" s="1">
        <v>805.0</v>
      </c>
      <c r="G13051" s="1">
        <v>53.0</v>
      </c>
    </row>
    <row r="13052">
      <c r="A13052" s="1" t="s">
        <v>8</v>
      </c>
      <c r="B13052" s="2">
        <v>44778.0</v>
      </c>
      <c r="C13052" s="3">
        <v>0.3378009259259259</v>
      </c>
      <c r="D13052" s="1">
        <v>12.80548</v>
      </c>
      <c r="E13052" s="1">
        <v>80.026892</v>
      </c>
      <c r="F13052" s="1">
        <v>2846.0</v>
      </c>
      <c r="G13052" s="1">
        <v>57.0</v>
      </c>
    </row>
    <row r="13053">
      <c r="A13053" s="1" t="s">
        <v>8</v>
      </c>
      <c r="B13053" s="2">
        <v>44778.0</v>
      </c>
      <c r="C13053" s="3">
        <v>0.33782407407407405</v>
      </c>
      <c r="D13053" s="1">
        <v>12.944389</v>
      </c>
      <c r="E13053" s="1">
        <v>80.134914</v>
      </c>
      <c r="F13053" s="1">
        <v>3143.0</v>
      </c>
      <c r="G13053" s="1">
        <v>45.0</v>
      </c>
    </row>
    <row r="13054">
      <c r="A13054" s="1" t="s">
        <v>8</v>
      </c>
      <c r="B13054" s="2">
        <v>44778.0</v>
      </c>
      <c r="C13054" s="3">
        <v>0.33784722222222224</v>
      </c>
      <c r="D13054" s="1">
        <v>12.937717</v>
      </c>
      <c r="E13054" s="1">
        <v>80.128571</v>
      </c>
      <c r="F13054" s="1">
        <v>5339.0</v>
      </c>
      <c r="G13054" s="1">
        <v>54.0</v>
      </c>
    </row>
    <row r="13055">
      <c r="A13055" s="1" t="s">
        <v>7</v>
      </c>
      <c r="B13055" s="2">
        <v>44778.0</v>
      </c>
      <c r="C13055" s="3">
        <v>0.3380208333333333</v>
      </c>
      <c r="D13055" s="1">
        <v>12.980115</v>
      </c>
      <c r="E13055" s="1">
        <v>80.163909</v>
      </c>
      <c r="F13055" s="1">
        <v>805.0</v>
      </c>
      <c r="G13055" s="1">
        <v>53.0</v>
      </c>
    </row>
    <row r="13056">
      <c r="A13056" s="1" t="s">
        <v>8</v>
      </c>
      <c r="B13056" s="2">
        <v>44778.0</v>
      </c>
      <c r="C13056" s="3">
        <v>0.33813657407407405</v>
      </c>
      <c r="D13056" s="1">
        <v>12.94146</v>
      </c>
      <c r="E13056" s="1">
        <v>80.132157</v>
      </c>
      <c r="F13056" s="1">
        <v>3143.0</v>
      </c>
      <c r="G13056" s="1">
        <v>50.0</v>
      </c>
    </row>
    <row r="13057">
      <c r="A13057" s="1" t="s">
        <v>7</v>
      </c>
      <c r="B13057" s="2">
        <v>44778.0</v>
      </c>
      <c r="C13057" s="3">
        <v>0.3383217592592593</v>
      </c>
      <c r="D13057" s="1">
        <v>12.93993</v>
      </c>
      <c r="E13057" s="1">
        <v>80.130558</v>
      </c>
      <c r="F13057" s="1">
        <v>3143.0</v>
      </c>
      <c r="G13057" s="1">
        <v>50.0</v>
      </c>
    </row>
    <row r="13058">
      <c r="A13058" s="1" t="s">
        <v>7</v>
      </c>
      <c r="B13058" s="2">
        <v>44778.0</v>
      </c>
      <c r="C13058" s="3">
        <v>0.3384375</v>
      </c>
      <c r="D13058" s="1">
        <v>12.809186</v>
      </c>
      <c r="E13058" s="1">
        <v>80.029233</v>
      </c>
      <c r="F13058" s="1">
        <v>2846.0</v>
      </c>
      <c r="G13058" s="1">
        <v>49.0</v>
      </c>
    </row>
    <row r="13059">
      <c r="A13059" s="1" t="s">
        <v>8</v>
      </c>
      <c r="B13059" s="2">
        <v>44778.0</v>
      </c>
      <c r="C13059" s="3">
        <v>0.3384375</v>
      </c>
      <c r="D13059" s="1">
        <v>12.93993</v>
      </c>
      <c r="E13059" s="1">
        <v>80.130558</v>
      </c>
      <c r="F13059" s="1">
        <v>3143.0</v>
      </c>
      <c r="G13059" s="1">
        <v>50.0</v>
      </c>
    </row>
    <row r="13060">
      <c r="A13060" s="1" t="s">
        <v>8</v>
      </c>
      <c r="B13060" s="2">
        <v>44778.0</v>
      </c>
      <c r="C13060" s="3">
        <v>0.3385416666666667</v>
      </c>
      <c r="D13060" s="1">
        <v>12.93569</v>
      </c>
      <c r="E13060" s="1">
        <v>80.126819</v>
      </c>
      <c r="F13060" s="1">
        <v>5339.0</v>
      </c>
      <c r="G13060" s="1">
        <v>31.0</v>
      </c>
    </row>
    <row r="13061">
      <c r="A13061" s="1" t="s">
        <v>8</v>
      </c>
      <c r="B13061" s="2">
        <v>44778.0</v>
      </c>
      <c r="C13061" s="3">
        <v>0.33869212962962963</v>
      </c>
      <c r="D13061" s="1">
        <v>12.934306</v>
      </c>
      <c r="E13061" s="1">
        <v>80.12554</v>
      </c>
      <c r="F13061" s="1">
        <v>5339.0</v>
      </c>
      <c r="G13061" s="1">
        <v>44.0</v>
      </c>
    </row>
    <row r="13062">
      <c r="A13062" s="1" t="s">
        <v>7</v>
      </c>
      <c r="B13062" s="2">
        <v>44778.0</v>
      </c>
      <c r="C13062" s="3">
        <v>0.3388541666666667</v>
      </c>
      <c r="D13062" s="1">
        <v>12.815387</v>
      </c>
      <c r="E13062" s="1">
        <v>80.033324</v>
      </c>
      <c r="F13062" s="1">
        <v>2846.0</v>
      </c>
      <c r="G13062" s="1">
        <v>58.0</v>
      </c>
    </row>
    <row r="13063">
      <c r="A13063" s="1" t="s">
        <v>8</v>
      </c>
      <c r="B13063" s="2">
        <v>44778.0</v>
      </c>
      <c r="C13063" s="3">
        <v>0.33891203703703704</v>
      </c>
      <c r="D13063" s="1">
        <v>12.818971</v>
      </c>
      <c r="E13063" s="1">
        <v>80.03587</v>
      </c>
      <c r="F13063" s="1">
        <v>2846.0</v>
      </c>
      <c r="G13063" s="1">
        <v>58.0</v>
      </c>
    </row>
    <row r="13064">
      <c r="A13064" s="1" t="s">
        <v>8</v>
      </c>
      <c r="B13064" s="2">
        <v>44778.0</v>
      </c>
      <c r="C13064" s="3">
        <v>0.33894675925925927</v>
      </c>
      <c r="D13064" s="1">
        <v>12.936209</v>
      </c>
      <c r="E13064" s="1">
        <v>80.127345</v>
      </c>
      <c r="F13064" s="1">
        <v>3143.0</v>
      </c>
      <c r="G13064" s="1">
        <v>20.0</v>
      </c>
    </row>
    <row r="13065">
      <c r="A13065" s="1" t="s">
        <v>8</v>
      </c>
      <c r="B13065" s="2">
        <v>44778.0</v>
      </c>
      <c r="C13065" s="3">
        <v>0.3391087962962963</v>
      </c>
      <c r="D13065" s="1">
        <v>12.935267</v>
      </c>
      <c r="E13065" s="1">
        <v>80.126416</v>
      </c>
      <c r="F13065" s="1">
        <v>3143.0</v>
      </c>
      <c r="G13065" s="1">
        <v>37.0</v>
      </c>
    </row>
    <row r="13066">
      <c r="A13066" s="1" t="s">
        <v>8</v>
      </c>
      <c r="B13066" s="2">
        <v>44778.0</v>
      </c>
      <c r="C13066" s="3">
        <v>0.3391550925925926</v>
      </c>
      <c r="D13066" s="1">
        <v>12.935267</v>
      </c>
      <c r="E13066" s="1">
        <v>80.126416</v>
      </c>
      <c r="F13066" s="1">
        <v>3143.0</v>
      </c>
      <c r="G13066" s="1">
        <v>37.0</v>
      </c>
    </row>
    <row r="13067">
      <c r="A13067" s="1" t="s">
        <v>8</v>
      </c>
      <c r="B13067" s="2">
        <v>44778.0</v>
      </c>
      <c r="C13067" s="3">
        <v>0.33934027777777775</v>
      </c>
      <c r="D13067" s="1">
        <v>12.934</v>
      </c>
      <c r="E13067" s="1">
        <v>80.12525</v>
      </c>
      <c r="F13067" s="1">
        <v>3143.0</v>
      </c>
      <c r="G13067" s="1">
        <v>49.0</v>
      </c>
    </row>
    <row r="13068">
      <c r="A13068" s="1" t="s">
        <v>8</v>
      </c>
      <c r="B13068" s="2">
        <v>44778.0</v>
      </c>
      <c r="C13068" s="3">
        <v>0.33944444444444444</v>
      </c>
      <c r="D13068" s="1">
        <v>12.97188</v>
      </c>
      <c r="E13068" s="1">
        <v>80.151377</v>
      </c>
      <c r="F13068" s="1">
        <v>805.0</v>
      </c>
      <c r="G13068" s="1">
        <v>10.0</v>
      </c>
    </row>
    <row r="13069">
      <c r="A13069" s="1" t="s">
        <v>8</v>
      </c>
      <c r="B13069" s="2">
        <v>44778.0</v>
      </c>
      <c r="C13069" s="3">
        <v>0.33945601851851853</v>
      </c>
      <c r="D13069" s="1">
        <v>12.97188</v>
      </c>
      <c r="E13069" s="1">
        <v>80.151377</v>
      </c>
      <c r="F13069" s="1">
        <v>805.0</v>
      </c>
      <c r="G13069" s="1">
        <v>10.0</v>
      </c>
    </row>
    <row r="13070">
      <c r="A13070" s="1" t="s">
        <v>8</v>
      </c>
      <c r="B13070" s="2">
        <v>44778.0</v>
      </c>
      <c r="C13070" s="3">
        <v>0.339537037037037</v>
      </c>
      <c r="D13070" s="1">
        <v>12.971426</v>
      </c>
      <c r="E13070" s="1">
        <v>80.151106</v>
      </c>
      <c r="F13070" s="1">
        <v>805.0</v>
      </c>
      <c r="G13070" s="1">
        <v>30.0</v>
      </c>
    </row>
    <row r="13071">
      <c r="A13071" s="1" t="s">
        <v>8</v>
      </c>
      <c r="B13071" s="2">
        <v>44778.0</v>
      </c>
      <c r="C13071" s="3">
        <v>0.33956018518518516</v>
      </c>
      <c r="D13071" s="1">
        <v>12.971426</v>
      </c>
      <c r="E13071" s="1">
        <v>80.151106</v>
      </c>
      <c r="F13071" s="1">
        <v>805.0</v>
      </c>
      <c r="G13071" s="1">
        <v>30.0</v>
      </c>
    </row>
    <row r="13072">
      <c r="A13072" s="1" t="s">
        <v>8</v>
      </c>
      <c r="B13072" s="2">
        <v>44778.0</v>
      </c>
      <c r="C13072" s="3">
        <v>0.33957175925925925</v>
      </c>
      <c r="D13072" s="1">
        <v>12.971426</v>
      </c>
      <c r="E13072" s="1">
        <v>80.151106</v>
      </c>
      <c r="F13072" s="1">
        <v>805.0</v>
      </c>
      <c r="G13072" s="1">
        <v>30.0</v>
      </c>
    </row>
    <row r="13073">
      <c r="A13073" s="1" t="s">
        <v>8</v>
      </c>
      <c r="B13073" s="2">
        <v>44778.0</v>
      </c>
      <c r="C13073" s="3">
        <v>0.33967592592592594</v>
      </c>
      <c r="D13073" s="1">
        <v>12.929656</v>
      </c>
      <c r="E13073" s="1">
        <v>80.120953</v>
      </c>
      <c r="F13073" s="1">
        <v>5339.0</v>
      </c>
      <c r="G13073" s="1">
        <v>45.0</v>
      </c>
    </row>
    <row r="13074">
      <c r="A13074" s="1" t="s">
        <v>7</v>
      </c>
      <c r="B13074" s="2">
        <v>44778.0</v>
      </c>
      <c r="C13074" s="3">
        <v>0.33980324074074075</v>
      </c>
      <c r="D13074" s="1">
        <v>12.825981</v>
      </c>
      <c r="E13074" s="1">
        <v>80.040844</v>
      </c>
      <c r="F13074" s="1">
        <v>2846.0</v>
      </c>
      <c r="G13074" s="1">
        <v>57.0</v>
      </c>
    </row>
    <row r="13075">
      <c r="A13075" s="1" t="s">
        <v>8</v>
      </c>
      <c r="B13075" s="2">
        <v>44778.0</v>
      </c>
      <c r="C13075" s="3">
        <v>0.3400578703703704</v>
      </c>
      <c r="D13075" s="1">
        <v>12.927567</v>
      </c>
      <c r="E13075" s="1">
        <v>80.118772</v>
      </c>
      <c r="F13075" s="1">
        <v>5339.0</v>
      </c>
      <c r="G13075" s="1">
        <v>23.0</v>
      </c>
    </row>
    <row r="13076">
      <c r="A13076" s="1" t="s">
        <v>7</v>
      </c>
      <c r="B13076" s="2">
        <v>44778.0</v>
      </c>
      <c r="C13076" s="3">
        <v>0.3400925925925926</v>
      </c>
      <c r="D13076" s="1">
        <v>12.830106</v>
      </c>
      <c r="E13076" s="1">
        <v>80.045002</v>
      </c>
      <c r="F13076" s="1">
        <v>2846.0</v>
      </c>
      <c r="G13076" s="1">
        <v>53.0</v>
      </c>
    </row>
    <row r="13077">
      <c r="A13077" s="1" t="s">
        <v>8</v>
      </c>
      <c r="B13077" s="2">
        <v>44778.0</v>
      </c>
      <c r="C13077" s="3">
        <v>0.3403009259259259</v>
      </c>
      <c r="D13077" s="1">
        <v>12.831834</v>
      </c>
      <c r="E13077" s="1">
        <v>80.046855</v>
      </c>
      <c r="F13077" s="1">
        <v>2846.0</v>
      </c>
      <c r="G13077" s="1">
        <v>50.0</v>
      </c>
    </row>
    <row r="13078">
      <c r="A13078" s="1" t="s">
        <v>8</v>
      </c>
      <c r="B13078" s="2">
        <v>44778.0</v>
      </c>
      <c r="C13078" s="3">
        <v>0.3403703703703704</v>
      </c>
      <c r="D13078" s="1">
        <v>12.92615</v>
      </c>
      <c r="E13078" s="1">
        <v>80.117342</v>
      </c>
      <c r="F13078" s="1">
        <v>5339.0</v>
      </c>
      <c r="G13078" s="1">
        <v>25.0</v>
      </c>
    </row>
    <row r="13079">
      <c r="A13079" s="1" t="s">
        <v>8</v>
      </c>
      <c r="B13079" s="2">
        <v>44778.0</v>
      </c>
      <c r="C13079" s="3">
        <v>0.3403819444444444</v>
      </c>
      <c r="D13079" s="1">
        <v>12.92615</v>
      </c>
      <c r="E13079" s="1">
        <v>80.117342</v>
      </c>
      <c r="F13079" s="1">
        <v>5339.0</v>
      </c>
      <c r="G13079" s="1">
        <v>25.0</v>
      </c>
    </row>
    <row r="13080">
      <c r="A13080" s="1" t="s">
        <v>8</v>
      </c>
      <c r="B13080" s="2">
        <v>44778.0</v>
      </c>
      <c r="C13080" s="3">
        <v>0.34041666666666665</v>
      </c>
      <c r="D13080" s="1">
        <v>12.92615</v>
      </c>
      <c r="E13080" s="1">
        <v>80.117342</v>
      </c>
      <c r="F13080" s="1">
        <v>5339.0</v>
      </c>
      <c r="G13080" s="1">
        <v>25.0</v>
      </c>
    </row>
    <row r="13081">
      <c r="A13081" s="1" t="s">
        <v>8</v>
      </c>
      <c r="B13081" s="2">
        <v>44778.0</v>
      </c>
      <c r="C13081" s="3">
        <v>0.34069444444444447</v>
      </c>
      <c r="D13081" s="1">
        <v>12.965679</v>
      </c>
      <c r="E13081" s="1">
        <v>80.148424</v>
      </c>
      <c r="F13081" s="1">
        <v>805.0</v>
      </c>
      <c r="G13081" s="1">
        <v>20.0</v>
      </c>
    </row>
    <row r="13082">
      <c r="A13082" s="1" t="s">
        <v>8</v>
      </c>
      <c r="B13082" s="2">
        <v>44778.0</v>
      </c>
      <c r="C13082" s="3">
        <v>0.3407175925925926</v>
      </c>
      <c r="D13082" s="1">
        <v>12.965679</v>
      </c>
      <c r="E13082" s="1">
        <v>80.148424</v>
      </c>
      <c r="F13082" s="1">
        <v>805.0</v>
      </c>
      <c r="G13082" s="1">
        <v>20.0</v>
      </c>
    </row>
    <row r="13083">
      <c r="A13083" s="1" t="s">
        <v>10</v>
      </c>
      <c r="B13083" s="2">
        <v>44778.0</v>
      </c>
      <c r="C13083" s="3">
        <v>0.3409375</v>
      </c>
      <c r="D13083" s="1">
        <v>12.930439</v>
      </c>
      <c r="E13083" s="1">
        <v>80.115434</v>
      </c>
      <c r="F13083" s="1">
        <v>3143.0</v>
      </c>
      <c r="G13083" s="1">
        <v>32.0</v>
      </c>
    </row>
    <row r="13084">
      <c r="A13084" s="1" t="s">
        <v>8</v>
      </c>
      <c r="B13084" s="2">
        <v>44778.0</v>
      </c>
      <c r="C13084" s="3">
        <v>0.3410763888888889</v>
      </c>
      <c r="D13084" s="1">
        <v>12.922547</v>
      </c>
      <c r="E13084" s="1">
        <v>80.113756</v>
      </c>
      <c r="F13084" s="1">
        <v>5339.0</v>
      </c>
      <c r="G13084" s="1">
        <v>35.0</v>
      </c>
    </row>
    <row r="13085">
      <c r="A13085" s="1" t="s">
        <v>8</v>
      </c>
      <c r="B13085" s="2">
        <v>44778.0</v>
      </c>
      <c r="C13085" s="3">
        <v>0.3411111111111111</v>
      </c>
      <c r="D13085" s="1">
        <v>12.963154</v>
      </c>
      <c r="E13085" s="1">
        <v>80.146988</v>
      </c>
      <c r="F13085" s="1">
        <v>805.0</v>
      </c>
      <c r="G13085" s="1">
        <v>51.0</v>
      </c>
    </row>
    <row r="13086">
      <c r="A13086" s="1" t="s">
        <v>8</v>
      </c>
      <c r="B13086" s="2">
        <v>44778.0</v>
      </c>
      <c r="C13086" s="3">
        <v>0.34118055555555554</v>
      </c>
      <c r="D13086" s="1">
        <v>12.921877</v>
      </c>
      <c r="E13086" s="1">
        <v>80.113084</v>
      </c>
      <c r="F13086" s="1">
        <v>5339.0</v>
      </c>
      <c r="G13086" s="1">
        <v>38.0</v>
      </c>
    </row>
    <row r="13087">
      <c r="A13087" s="1" t="s">
        <v>7</v>
      </c>
      <c r="B13087" s="2">
        <v>44778.0</v>
      </c>
      <c r="C13087" s="3">
        <v>0.34119212962962964</v>
      </c>
      <c r="D13087" s="1">
        <v>12.837829</v>
      </c>
      <c r="E13087" s="1">
        <v>80.053159</v>
      </c>
      <c r="F13087" s="1">
        <v>2846.0</v>
      </c>
      <c r="G13087" s="1">
        <v>58.0</v>
      </c>
    </row>
    <row r="13088">
      <c r="A13088" s="1" t="s">
        <v>8</v>
      </c>
      <c r="B13088" s="2">
        <v>44778.0</v>
      </c>
      <c r="C13088" s="3">
        <v>0.34120370370370373</v>
      </c>
      <c r="D13088" s="1">
        <v>12.837829</v>
      </c>
      <c r="E13088" s="1">
        <v>80.053159</v>
      </c>
      <c r="F13088" s="1">
        <v>2846.0</v>
      </c>
      <c r="G13088" s="1">
        <v>58.0</v>
      </c>
    </row>
    <row r="13089">
      <c r="A13089" s="1" t="s">
        <v>8</v>
      </c>
      <c r="B13089" s="2">
        <v>44778.0</v>
      </c>
      <c r="C13089" s="3">
        <v>0.3413888888888889</v>
      </c>
      <c r="D13089" s="1">
        <v>12.840842</v>
      </c>
      <c r="E13089" s="1">
        <v>80.05627</v>
      </c>
      <c r="F13089" s="1">
        <v>2846.0</v>
      </c>
      <c r="G13089" s="1">
        <v>55.0</v>
      </c>
    </row>
    <row r="13090">
      <c r="A13090" s="1" t="s">
        <v>8</v>
      </c>
      <c r="B13090" s="2">
        <v>44778.0</v>
      </c>
      <c r="C13090" s="3">
        <v>0.34140046296296295</v>
      </c>
      <c r="D13090" s="1">
        <v>12.920537</v>
      </c>
      <c r="E13090" s="1">
        <v>80.111704</v>
      </c>
      <c r="F13090" s="1">
        <v>5339.0</v>
      </c>
      <c r="G13090" s="1">
        <v>44.0</v>
      </c>
    </row>
    <row r="13091">
      <c r="A13091" s="1" t="s">
        <v>8</v>
      </c>
      <c r="B13091" s="2">
        <v>44778.0</v>
      </c>
      <c r="C13091" s="3">
        <v>0.3414814814814815</v>
      </c>
      <c r="D13091" s="1">
        <v>12.841855</v>
      </c>
      <c r="E13091" s="1">
        <v>80.057328</v>
      </c>
      <c r="F13091" s="1">
        <v>2846.0</v>
      </c>
      <c r="G13091" s="1">
        <v>57.0</v>
      </c>
    </row>
    <row r="13092">
      <c r="A13092" s="1" t="s">
        <v>8</v>
      </c>
      <c r="B13092" s="2">
        <v>44778.0</v>
      </c>
      <c r="C13092" s="3">
        <v>0.34155092592592595</v>
      </c>
      <c r="D13092" s="1">
        <v>12.841855</v>
      </c>
      <c r="E13092" s="1">
        <v>80.057328</v>
      </c>
      <c r="F13092" s="1">
        <v>2846.0</v>
      </c>
      <c r="G13092" s="1">
        <v>57.0</v>
      </c>
    </row>
    <row r="13093">
      <c r="A13093" s="1" t="s">
        <v>7</v>
      </c>
      <c r="B13093" s="2">
        <v>44778.0</v>
      </c>
      <c r="C13093" s="3">
        <v>0.3415972222222222</v>
      </c>
      <c r="D13093" s="1">
        <v>12.957837</v>
      </c>
      <c r="E13093" s="1">
        <v>80.144089</v>
      </c>
      <c r="F13093" s="1">
        <v>805.0</v>
      </c>
      <c r="G13093" s="1">
        <v>58.0</v>
      </c>
    </row>
    <row r="13094">
      <c r="A13094" s="1" t="s">
        <v>8</v>
      </c>
      <c r="B13094" s="2">
        <v>44778.0</v>
      </c>
      <c r="C13094" s="3">
        <v>0.34180555555555553</v>
      </c>
      <c r="D13094" s="1">
        <v>12.956708</v>
      </c>
      <c r="E13094" s="1">
        <v>80.143532</v>
      </c>
      <c r="F13094" s="1">
        <v>805.0</v>
      </c>
      <c r="G13094" s="1">
        <v>0.0</v>
      </c>
    </row>
    <row r="13095">
      <c r="A13095" s="1" t="s">
        <v>8</v>
      </c>
      <c r="B13095" s="2">
        <v>44778.0</v>
      </c>
      <c r="C13095" s="3">
        <v>0.34193287037037035</v>
      </c>
      <c r="D13095" s="1">
        <v>12.954601</v>
      </c>
      <c r="E13095" s="1">
        <v>80.14242</v>
      </c>
      <c r="F13095" s="1">
        <v>805.0</v>
      </c>
      <c r="G13095" s="1">
        <v>38.0</v>
      </c>
    </row>
    <row r="13096">
      <c r="A13096" s="1" t="s">
        <v>7</v>
      </c>
      <c r="B13096" s="2">
        <v>44778.0</v>
      </c>
      <c r="C13096" s="3">
        <v>0.3427777777777778</v>
      </c>
      <c r="D13096" s="1">
        <v>12.84828</v>
      </c>
      <c r="E13096" s="1">
        <v>80.063418</v>
      </c>
      <c r="F13096" s="1">
        <v>2846.0</v>
      </c>
      <c r="G13096" s="1">
        <v>60.0</v>
      </c>
    </row>
    <row r="13097">
      <c r="A13097" s="1" t="s">
        <v>8</v>
      </c>
      <c r="B13097" s="2">
        <v>44778.0</v>
      </c>
      <c r="C13097" s="3">
        <v>0.34302083333333333</v>
      </c>
      <c r="D13097" s="1">
        <v>12.950815</v>
      </c>
      <c r="E13097" s="1">
        <v>80.139918</v>
      </c>
      <c r="F13097" s="1">
        <v>805.0</v>
      </c>
      <c r="G13097" s="1">
        <v>19.0</v>
      </c>
    </row>
    <row r="13098">
      <c r="A13098" s="1" t="s">
        <v>8</v>
      </c>
      <c r="B13098" s="2">
        <v>44778.0</v>
      </c>
      <c r="C13098" s="3">
        <v>0.3430324074074074</v>
      </c>
      <c r="D13098" s="1">
        <v>12.9504</v>
      </c>
      <c r="E13098" s="1">
        <v>80.139623</v>
      </c>
      <c r="F13098" s="1">
        <v>805.0</v>
      </c>
      <c r="G13098" s="1">
        <v>23.0</v>
      </c>
    </row>
    <row r="13099">
      <c r="A13099" s="1" t="s">
        <v>8</v>
      </c>
      <c r="B13099" s="2">
        <v>44778.0</v>
      </c>
      <c r="C13099" s="3">
        <v>0.3431828703703704</v>
      </c>
      <c r="D13099" s="1">
        <v>12.852049</v>
      </c>
      <c r="E13099" s="1">
        <v>80.066178</v>
      </c>
      <c r="F13099" s="1">
        <v>2846.0</v>
      </c>
      <c r="G13099" s="1">
        <v>35.0</v>
      </c>
    </row>
    <row r="13100">
      <c r="A13100" s="1" t="s">
        <v>8</v>
      </c>
      <c r="B13100" s="2">
        <v>44778.0</v>
      </c>
      <c r="C13100" s="3">
        <v>0.3433449074074074</v>
      </c>
      <c r="D13100" s="1">
        <v>12.949171</v>
      </c>
      <c r="E13100" s="1">
        <v>80.138539</v>
      </c>
      <c r="F13100" s="1">
        <v>805.0</v>
      </c>
      <c r="G13100" s="1">
        <v>36.0</v>
      </c>
    </row>
    <row r="13101">
      <c r="A13101" s="1" t="s">
        <v>7</v>
      </c>
      <c r="B13101" s="2">
        <v>44778.0</v>
      </c>
      <c r="C13101" s="3">
        <v>0.3436689814814815</v>
      </c>
      <c r="D13101" s="1">
        <v>12.855809</v>
      </c>
      <c r="E13101" s="1">
        <v>80.0689</v>
      </c>
      <c r="F13101" s="1">
        <v>2846.0</v>
      </c>
      <c r="G13101" s="1">
        <v>55.0</v>
      </c>
    </row>
    <row r="13102">
      <c r="A13102" s="1" t="s">
        <v>8</v>
      </c>
      <c r="B13102" s="2">
        <v>44778.0</v>
      </c>
      <c r="C13102" s="3">
        <v>0.3437037037037037</v>
      </c>
      <c r="D13102" s="1">
        <v>12.946611</v>
      </c>
      <c r="E13102" s="1">
        <v>80.136652</v>
      </c>
      <c r="F13102" s="1">
        <v>805.0</v>
      </c>
      <c r="G13102" s="1">
        <v>45.0</v>
      </c>
    </row>
    <row r="13103">
      <c r="A13103" s="1" t="s">
        <v>7</v>
      </c>
      <c r="B13103" s="2">
        <v>44778.0</v>
      </c>
      <c r="C13103" s="3">
        <v>0.34375</v>
      </c>
      <c r="D13103" s="1">
        <v>12.855809</v>
      </c>
      <c r="E13103" s="1">
        <v>80.0689</v>
      </c>
      <c r="F13103" s="1">
        <v>2846.0</v>
      </c>
      <c r="G13103" s="1">
        <v>55.0</v>
      </c>
    </row>
    <row r="13104">
      <c r="A13104" s="1" t="s">
        <v>8</v>
      </c>
      <c r="B13104" s="2">
        <v>44778.0</v>
      </c>
      <c r="C13104" s="3">
        <v>0.3437847222222222</v>
      </c>
      <c r="D13104" s="1">
        <v>12.945717</v>
      </c>
      <c r="E13104" s="1">
        <v>80.135947</v>
      </c>
      <c r="F13104" s="1">
        <v>805.0</v>
      </c>
      <c r="G13104" s="1">
        <v>43.0</v>
      </c>
    </row>
    <row r="13105">
      <c r="A13105" s="1" t="s">
        <v>8</v>
      </c>
      <c r="B13105" s="2">
        <v>44778.0</v>
      </c>
      <c r="C13105" s="3">
        <v>0.3439699074074074</v>
      </c>
      <c r="D13105" s="1">
        <v>12.944045</v>
      </c>
      <c r="E13105" s="1">
        <v>80.134622</v>
      </c>
      <c r="F13105" s="1">
        <v>805.0</v>
      </c>
      <c r="G13105" s="1">
        <v>37.0</v>
      </c>
    </row>
    <row r="13106">
      <c r="A13106" s="1" t="s">
        <v>8</v>
      </c>
      <c r="B13106" s="2">
        <v>44778.0</v>
      </c>
      <c r="C13106" s="3">
        <v>0.3441782407407407</v>
      </c>
      <c r="D13106" s="1">
        <v>12.943266</v>
      </c>
      <c r="E13106" s="1">
        <v>80.134002</v>
      </c>
      <c r="F13106" s="1">
        <v>805.0</v>
      </c>
      <c r="G13106" s="1">
        <v>43.0</v>
      </c>
    </row>
    <row r="13107">
      <c r="A13107" s="1" t="s">
        <v>8</v>
      </c>
      <c r="B13107" s="2">
        <v>44778.0</v>
      </c>
      <c r="C13107" s="3">
        <v>0.3445138888888889</v>
      </c>
      <c r="D13107" s="1">
        <v>12.940597</v>
      </c>
      <c r="E13107" s="1">
        <v>80.131245</v>
      </c>
      <c r="F13107" s="1">
        <v>805.0</v>
      </c>
      <c r="G13107" s="1">
        <v>53.0</v>
      </c>
    </row>
    <row r="13108">
      <c r="A13108" s="1" t="s">
        <v>8</v>
      </c>
      <c r="B13108" s="2">
        <v>44778.0</v>
      </c>
      <c r="C13108" s="3">
        <v>0.34456018518518516</v>
      </c>
      <c r="D13108" s="1">
        <v>12.939635</v>
      </c>
      <c r="E13108" s="1">
        <v>80.130292</v>
      </c>
      <c r="F13108" s="1">
        <v>805.0</v>
      </c>
      <c r="G13108" s="1">
        <v>48.0</v>
      </c>
    </row>
    <row r="13109">
      <c r="A13109" s="1" t="s">
        <v>8</v>
      </c>
      <c r="B13109" s="2">
        <v>44778.0</v>
      </c>
      <c r="C13109" s="3">
        <v>0.3448148148148148</v>
      </c>
      <c r="D13109" s="1">
        <v>12.937938</v>
      </c>
      <c r="E13109" s="1">
        <v>80.128774</v>
      </c>
      <c r="F13109" s="1">
        <v>805.0</v>
      </c>
      <c r="G13109" s="1">
        <v>44.0</v>
      </c>
    </row>
    <row r="13110">
      <c r="A13110" s="1" t="s">
        <v>8</v>
      </c>
      <c r="B13110" s="2">
        <v>44778.0</v>
      </c>
      <c r="C13110" s="3">
        <v>0.34501157407407407</v>
      </c>
      <c r="D13110" s="1">
        <v>12.936352</v>
      </c>
      <c r="E13110" s="1">
        <v>80.127461</v>
      </c>
      <c r="F13110" s="1">
        <v>805.0</v>
      </c>
      <c r="G13110" s="1">
        <v>43.0</v>
      </c>
    </row>
    <row r="13111">
      <c r="A13111" s="1" t="s">
        <v>7</v>
      </c>
      <c r="B13111" s="2">
        <v>44778.0</v>
      </c>
      <c r="C13111" s="3">
        <v>0.34530092592592593</v>
      </c>
      <c r="D13111" s="1">
        <v>12.866651</v>
      </c>
      <c r="E13111" s="1">
        <v>80.075094</v>
      </c>
      <c r="F13111" s="1">
        <v>2846.0</v>
      </c>
      <c r="G13111" s="1">
        <v>23.0</v>
      </c>
    </row>
    <row r="13112">
      <c r="A13112" s="1" t="s">
        <v>10</v>
      </c>
      <c r="B13112" s="2">
        <v>44778.0</v>
      </c>
      <c r="C13112" s="3">
        <v>0.34532407407407406</v>
      </c>
      <c r="D13112" s="1">
        <v>12.925676</v>
      </c>
      <c r="E13112" s="1">
        <v>80.1022</v>
      </c>
      <c r="F13112" s="1">
        <v>3143.0</v>
      </c>
      <c r="G13112" s="1">
        <v>28.0</v>
      </c>
    </row>
    <row r="13113">
      <c r="A13113" s="1" t="s">
        <v>8</v>
      </c>
      <c r="B13113" s="2">
        <v>44778.0</v>
      </c>
      <c r="C13113" s="3">
        <v>0.34534722222222225</v>
      </c>
      <c r="D13113" s="1">
        <v>12.866651</v>
      </c>
      <c r="E13113" s="1">
        <v>80.075094</v>
      </c>
      <c r="F13113" s="1">
        <v>2846.0</v>
      </c>
      <c r="G13113" s="1">
        <v>23.0</v>
      </c>
    </row>
    <row r="13114">
      <c r="A13114" s="1" t="s">
        <v>10</v>
      </c>
      <c r="B13114" s="2">
        <v>44778.0</v>
      </c>
      <c r="C13114" s="3">
        <v>0.3453819444444444</v>
      </c>
      <c r="D13114" s="1">
        <v>12.925529</v>
      </c>
      <c r="E13114" s="1">
        <v>80.101573</v>
      </c>
      <c r="F13114" s="1">
        <v>3143.0</v>
      </c>
      <c r="G13114" s="1">
        <v>22.0</v>
      </c>
    </row>
    <row r="13115">
      <c r="A13115" s="1" t="s">
        <v>7</v>
      </c>
      <c r="B13115" s="2">
        <v>44778.0</v>
      </c>
      <c r="C13115" s="3">
        <v>0.3454050925925926</v>
      </c>
      <c r="D13115" s="1">
        <v>12.93359</v>
      </c>
      <c r="E13115" s="1">
        <v>80.124839</v>
      </c>
      <c r="F13115" s="1">
        <v>805.0</v>
      </c>
      <c r="G13115" s="1">
        <v>58.0</v>
      </c>
    </row>
    <row r="13116">
      <c r="A13116" s="1" t="s">
        <v>8</v>
      </c>
      <c r="B13116" s="2">
        <v>44778.0</v>
      </c>
      <c r="C13116" s="3">
        <v>0.3454050925925926</v>
      </c>
      <c r="D13116" s="1">
        <v>12.93359</v>
      </c>
      <c r="E13116" s="1">
        <v>80.124839</v>
      </c>
      <c r="F13116" s="1">
        <v>805.0</v>
      </c>
      <c r="G13116" s="1">
        <v>58.0</v>
      </c>
    </row>
    <row r="13117">
      <c r="A13117" s="1" t="s">
        <v>7</v>
      </c>
      <c r="B13117" s="2">
        <v>44778.0</v>
      </c>
      <c r="C13117" s="3">
        <v>0.3454861111111111</v>
      </c>
      <c r="D13117" s="1">
        <v>12.869686</v>
      </c>
      <c r="E13117" s="1">
        <v>80.076331</v>
      </c>
      <c r="F13117" s="1">
        <v>2846.0</v>
      </c>
      <c r="G13117" s="1">
        <v>53.0</v>
      </c>
    </row>
    <row r="13118">
      <c r="A13118" s="1" t="s">
        <v>8</v>
      </c>
      <c r="B13118" s="2">
        <v>44778.0</v>
      </c>
      <c r="C13118" s="3">
        <v>0.34605324074074073</v>
      </c>
      <c r="D13118" s="1">
        <v>12.93116</v>
      </c>
      <c r="E13118" s="1">
        <v>80.122364</v>
      </c>
      <c r="F13118" s="1">
        <v>805.0</v>
      </c>
      <c r="G13118" s="1">
        <v>26.0</v>
      </c>
    </row>
    <row r="13119">
      <c r="A13119" s="1" t="s">
        <v>8</v>
      </c>
      <c r="B13119" s="2">
        <v>44778.0</v>
      </c>
      <c r="C13119" s="3">
        <v>0.3460648148148148</v>
      </c>
      <c r="D13119" s="1">
        <v>12.93116</v>
      </c>
      <c r="E13119" s="1">
        <v>80.122364</v>
      </c>
      <c r="F13119" s="1">
        <v>805.0</v>
      </c>
      <c r="G13119" s="1">
        <v>26.0</v>
      </c>
    </row>
    <row r="13120">
      <c r="A13120" s="1" t="s">
        <v>8</v>
      </c>
      <c r="B13120" s="2">
        <v>44778.0</v>
      </c>
      <c r="C13120" s="3">
        <v>0.34607638888888886</v>
      </c>
      <c r="D13120" s="1">
        <v>12.93116</v>
      </c>
      <c r="E13120" s="1">
        <v>80.122364</v>
      </c>
      <c r="F13120" s="1">
        <v>805.0</v>
      </c>
      <c r="G13120" s="1">
        <v>26.0</v>
      </c>
    </row>
    <row r="13121">
      <c r="A13121" s="1" t="s">
        <v>8</v>
      </c>
      <c r="B13121" s="2">
        <v>44778.0</v>
      </c>
      <c r="C13121" s="3">
        <v>0.3463425925925926</v>
      </c>
      <c r="D13121" s="1">
        <v>12.923923</v>
      </c>
      <c r="E13121" s="1">
        <v>80.098115</v>
      </c>
      <c r="F13121" s="1">
        <v>3143.0</v>
      </c>
      <c r="G13121" s="1">
        <v>48.0</v>
      </c>
    </row>
    <row r="13122">
      <c r="A13122" s="1" t="s">
        <v>8</v>
      </c>
      <c r="B13122" s="2">
        <v>44778.0</v>
      </c>
      <c r="C13122" s="3">
        <v>0.34726851851851853</v>
      </c>
      <c r="D13122" s="1">
        <v>12.904686</v>
      </c>
      <c r="E13122" s="1">
        <v>80.095194</v>
      </c>
      <c r="F13122" s="1">
        <v>5339.0</v>
      </c>
      <c r="G13122" s="1">
        <v>26.0</v>
      </c>
    </row>
    <row r="13123">
      <c r="A13123" s="1" t="s">
        <v>7</v>
      </c>
      <c r="B13123" s="2">
        <v>44778.0</v>
      </c>
      <c r="C13123" s="3">
        <v>0.347337962962963</v>
      </c>
      <c r="D13123" s="1">
        <v>12.92613</v>
      </c>
      <c r="E13123" s="1">
        <v>80.117347</v>
      </c>
      <c r="F13123" s="1">
        <v>805.0</v>
      </c>
      <c r="G13123" s="1">
        <v>36.0</v>
      </c>
    </row>
    <row r="13124">
      <c r="A13124" s="1" t="s">
        <v>8</v>
      </c>
      <c r="B13124" s="2">
        <v>44778.0</v>
      </c>
      <c r="C13124" s="3">
        <v>0.34738425925925925</v>
      </c>
      <c r="D13124" s="1">
        <v>12.904053</v>
      </c>
      <c r="E13124" s="1">
        <v>80.094712</v>
      </c>
      <c r="F13124" s="1">
        <v>5339.0</v>
      </c>
      <c r="G13124" s="1">
        <v>34.0</v>
      </c>
    </row>
    <row r="13125">
      <c r="A13125" s="1" t="s">
        <v>8</v>
      </c>
      <c r="B13125" s="2">
        <v>44778.0</v>
      </c>
      <c r="C13125" s="3">
        <v>0.3475925925925926</v>
      </c>
      <c r="D13125" s="1">
        <v>12.903335</v>
      </c>
      <c r="E13125" s="1">
        <v>80.094104</v>
      </c>
      <c r="F13125" s="1">
        <v>5339.0</v>
      </c>
      <c r="G13125" s="1">
        <v>40.0</v>
      </c>
    </row>
    <row r="13126">
      <c r="A13126" s="1" t="s">
        <v>8</v>
      </c>
      <c r="B13126" s="2">
        <v>44778.0</v>
      </c>
      <c r="C13126" s="3">
        <v>0.3480787037037037</v>
      </c>
      <c r="D13126" s="1">
        <v>12.898708</v>
      </c>
      <c r="E13126" s="1">
        <v>80.0905</v>
      </c>
      <c r="F13126" s="1">
        <v>5339.0</v>
      </c>
      <c r="G13126" s="1">
        <v>49.0</v>
      </c>
    </row>
    <row r="13127">
      <c r="A13127" s="1" t="s">
        <v>8</v>
      </c>
      <c r="B13127" s="2">
        <v>44778.0</v>
      </c>
      <c r="C13127" s="3">
        <v>0.3481828703703704</v>
      </c>
      <c r="D13127" s="1">
        <v>12.897798</v>
      </c>
      <c r="E13127" s="1">
        <v>80.089813</v>
      </c>
      <c r="F13127" s="1">
        <v>5339.0</v>
      </c>
      <c r="G13127" s="1">
        <v>36.0</v>
      </c>
    </row>
    <row r="13128">
      <c r="A13128" s="1" t="s">
        <v>10</v>
      </c>
      <c r="B13128" s="2">
        <v>44778.0</v>
      </c>
      <c r="C13128" s="3">
        <v>0.3481944444444444</v>
      </c>
      <c r="D13128" s="1">
        <v>12.920322</v>
      </c>
      <c r="E13128" s="1">
        <v>80.088508</v>
      </c>
      <c r="F13128" s="1">
        <v>3143.0</v>
      </c>
      <c r="G13128" s="1">
        <v>15.0</v>
      </c>
    </row>
    <row r="13129">
      <c r="A13129" s="1" t="s">
        <v>7</v>
      </c>
      <c r="B13129" s="2">
        <v>44778.0</v>
      </c>
      <c r="C13129" s="3">
        <v>0.34828703703703706</v>
      </c>
      <c r="D13129" s="1">
        <v>12.920137</v>
      </c>
      <c r="E13129" s="1">
        <v>80.111249</v>
      </c>
      <c r="F13129" s="1">
        <v>805.0</v>
      </c>
      <c r="G13129" s="1">
        <v>59.0</v>
      </c>
    </row>
    <row r="13130">
      <c r="A13130" s="1" t="s">
        <v>7</v>
      </c>
      <c r="B13130" s="2">
        <v>44778.0</v>
      </c>
      <c r="C13130" s="3">
        <v>0.3485648148148148</v>
      </c>
      <c r="D13130" s="1">
        <v>12.918922</v>
      </c>
      <c r="E13130" s="1">
        <v>80.109752</v>
      </c>
      <c r="F13130" s="1">
        <v>805.0</v>
      </c>
      <c r="G13130" s="1">
        <v>58.0</v>
      </c>
    </row>
    <row r="13131">
      <c r="A13131" s="1" t="s">
        <v>7</v>
      </c>
      <c r="B13131" s="2">
        <v>44778.0</v>
      </c>
      <c r="C13131" s="3">
        <v>0.3489583333333333</v>
      </c>
      <c r="D13131" s="1">
        <v>12.892657</v>
      </c>
      <c r="E13131" s="1">
        <v>80.085954</v>
      </c>
      <c r="F13131" s="1">
        <v>5339.0</v>
      </c>
      <c r="G13131" s="1">
        <v>48.0</v>
      </c>
    </row>
    <row r="13132">
      <c r="A13132" s="1" t="s">
        <v>8</v>
      </c>
      <c r="B13132" s="2">
        <v>44778.0</v>
      </c>
      <c r="C13132" s="3">
        <v>0.34900462962962964</v>
      </c>
      <c r="D13132" s="1">
        <v>12.891552</v>
      </c>
      <c r="E13132" s="1">
        <v>80.08529</v>
      </c>
      <c r="F13132" s="1">
        <v>5339.0</v>
      </c>
      <c r="G13132" s="1">
        <v>52.0</v>
      </c>
    </row>
    <row r="13133">
      <c r="A13133" s="1" t="s">
        <v>8</v>
      </c>
      <c r="B13133" s="2">
        <v>44778.0</v>
      </c>
      <c r="C13133" s="3">
        <v>0.3497106481481482</v>
      </c>
      <c r="D13133" s="1">
        <v>12.915615</v>
      </c>
      <c r="E13133" s="1">
        <v>80.078487</v>
      </c>
      <c r="F13133" s="1">
        <v>3143.0</v>
      </c>
      <c r="G13133" s="1">
        <v>45.0</v>
      </c>
    </row>
    <row r="13134">
      <c r="A13134" s="1" t="s">
        <v>8</v>
      </c>
      <c r="B13134" s="2">
        <v>44778.0</v>
      </c>
      <c r="C13134" s="3">
        <v>0.34975694444444444</v>
      </c>
      <c r="D13134" s="1">
        <v>12.912588</v>
      </c>
      <c r="E13134" s="1">
        <v>80.101536</v>
      </c>
      <c r="F13134" s="1">
        <v>805.0</v>
      </c>
      <c r="G13134" s="1">
        <v>56.0</v>
      </c>
    </row>
    <row r="13135">
      <c r="A13135" s="1" t="s">
        <v>8</v>
      </c>
      <c r="B13135" s="2">
        <v>44778.0</v>
      </c>
      <c r="C13135" s="3">
        <v>0.349837962962963</v>
      </c>
      <c r="D13135" s="1">
        <v>12.912588</v>
      </c>
      <c r="E13135" s="1">
        <v>80.101536</v>
      </c>
      <c r="F13135" s="1">
        <v>805.0</v>
      </c>
      <c r="G13135" s="1">
        <v>56.0</v>
      </c>
    </row>
    <row r="13136">
      <c r="A13136" s="1" t="s">
        <v>7</v>
      </c>
      <c r="B13136" s="2">
        <v>44778.0</v>
      </c>
      <c r="C13136" s="3">
        <v>0.3512962962962963</v>
      </c>
      <c r="D13136" s="1">
        <v>12.906537</v>
      </c>
      <c r="E13136" s="1">
        <v>80.072475</v>
      </c>
      <c r="F13136" s="1">
        <v>3143.0</v>
      </c>
      <c r="G13136" s="1">
        <v>54.0</v>
      </c>
    </row>
    <row r="13137">
      <c r="A13137" s="1" t="s">
        <v>10</v>
      </c>
      <c r="B13137" s="2">
        <v>44778.0</v>
      </c>
      <c r="C13137" s="3">
        <v>0.3522106481481482</v>
      </c>
      <c r="D13137" s="1">
        <v>12.876436</v>
      </c>
      <c r="E13137" s="1">
        <v>80.084287</v>
      </c>
      <c r="F13137" s="1">
        <v>5339.0</v>
      </c>
      <c r="G13137" s="1">
        <v>22.0</v>
      </c>
    </row>
    <row r="13138">
      <c r="A13138" s="1" t="s">
        <v>7</v>
      </c>
      <c r="B13138" s="2">
        <v>44778.0</v>
      </c>
      <c r="C13138" s="3">
        <v>0.3528472222222222</v>
      </c>
      <c r="D13138" s="1">
        <v>12.889527</v>
      </c>
      <c r="E13138" s="1">
        <v>80.072022</v>
      </c>
      <c r="F13138" s="1">
        <v>3143.0</v>
      </c>
      <c r="G13138" s="1">
        <v>57.0</v>
      </c>
    </row>
    <row r="13139">
      <c r="A13139" s="1" t="s">
        <v>8</v>
      </c>
      <c r="B13139" s="2">
        <v>44778.0</v>
      </c>
      <c r="C13139" s="3">
        <v>0.3530671296296296</v>
      </c>
      <c r="D13139" s="1">
        <v>12.905228</v>
      </c>
      <c r="E13139" s="1">
        <v>80.095594</v>
      </c>
      <c r="F13139" s="1">
        <v>805.0</v>
      </c>
      <c r="G13139" s="1">
        <v>32.0</v>
      </c>
    </row>
    <row r="13140">
      <c r="A13140" s="1" t="s">
        <v>8</v>
      </c>
      <c r="B13140" s="2">
        <v>44778.0</v>
      </c>
      <c r="C13140" s="3">
        <v>0.35324074074074074</v>
      </c>
      <c r="D13140" s="1">
        <v>12.903799</v>
      </c>
      <c r="E13140" s="1">
        <v>80.094557</v>
      </c>
      <c r="F13140" s="1">
        <v>805.0</v>
      </c>
      <c r="G13140" s="1">
        <v>50.0</v>
      </c>
    </row>
    <row r="13141">
      <c r="A13141" s="1" t="s">
        <v>8</v>
      </c>
      <c r="B13141" s="2">
        <v>44778.0</v>
      </c>
      <c r="C13141" s="3">
        <v>0.3547106481481481</v>
      </c>
      <c r="D13141" s="1">
        <v>12.8788</v>
      </c>
      <c r="E13141" s="1">
        <v>80.081169</v>
      </c>
      <c r="F13141" s="1">
        <v>3143.0</v>
      </c>
      <c r="G13141" s="1">
        <v>30.0</v>
      </c>
    </row>
    <row r="13142">
      <c r="A13142" s="1" t="s">
        <v>7</v>
      </c>
      <c r="B13142" s="2">
        <v>44778.0</v>
      </c>
      <c r="C13142" s="3">
        <v>0.35519675925925925</v>
      </c>
      <c r="D13142" s="1">
        <v>12.891206</v>
      </c>
      <c r="E13142" s="1">
        <v>80.085128</v>
      </c>
      <c r="F13142" s="1">
        <v>805.0</v>
      </c>
      <c r="G13142" s="1">
        <v>51.0</v>
      </c>
    </row>
    <row r="13143">
      <c r="A13143" s="1" t="s">
        <v>8</v>
      </c>
      <c r="B13143" s="2">
        <v>44778.0</v>
      </c>
      <c r="C13143" s="3">
        <v>0.3552777777777778</v>
      </c>
      <c r="D13143" s="1">
        <v>12.891206</v>
      </c>
      <c r="E13143" s="1">
        <v>80.085128</v>
      </c>
      <c r="F13143" s="1">
        <v>805.0</v>
      </c>
      <c r="G13143" s="1">
        <v>51.0</v>
      </c>
    </row>
    <row r="13144">
      <c r="A13144" s="1" t="s">
        <v>8</v>
      </c>
      <c r="B13144" s="2">
        <v>44778.0</v>
      </c>
      <c r="C13144" s="3">
        <v>0.35528935185185184</v>
      </c>
      <c r="D13144" s="1">
        <v>12.891206</v>
      </c>
      <c r="E13144" s="1">
        <v>80.085128</v>
      </c>
      <c r="F13144" s="1">
        <v>805.0</v>
      </c>
      <c r="G13144" s="1">
        <v>51.0</v>
      </c>
    </row>
    <row r="13145">
      <c r="A13145" s="1" t="s">
        <v>8</v>
      </c>
      <c r="B13145" s="2">
        <v>44778.0</v>
      </c>
      <c r="C13145" s="3">
        <v>0.35616898148148146</v>
      </c>
      <c r="D13145" s="1">
        <v>12.881883</v>
      </c>
      <c r="E13145" s="1">
        <v>80.081442</v>
      </c>
      <c r="F13145" s="1">
        <v>805.0</v>
      </c>
      <c r="G13145" s="1">
        <v>30.0</v>
      </c>
    </row>
    <row r="13146">
      <c r="A13146" s="1" t="s">
        <v>10</v>
      </c>
      <c r="B13146" s="2">
        <v>44778.0</v>
      </c>
      <c r="C13146" s="3">
        <v>0.35876157407407405</v>
      </c>
      <c r="D13146" s="1">
        <v>12.876131</v>
      </c>
      <c r="E13146" s="1">
        <v>80.083123</v>
      </c>
      <c r="F13146" s="1">
        <v>805.0</v>
      </c>
      <c r="G13146" s="1">
        <v>6.0</v>
      </c>
    </row>
    <row r="13147">
      <c r="A13147" s="1" t="s">
        <v>10</v>
      </c>
      <c r="B13147" s="2">
        <v>44778.0</v>
      </c>
      <c r="C13147" s="3">
        <v>0.6303356481481481</v>
      </c>
      <c r="D13147" s="1">
        <v>12.875988</v>
      </c>
      <c r="E13147" s="1">
        <v>80.083495</v>
      </c>
      <c r="F13147" s="1">
        <v>5339.0</v>
      </c>
      <c r="G13147" s="1">
        <v>5.0</v>
      </c>
    </row>
    <row r="13148">
      <c r="A13148" s="1" t="s">
        <v>10</v>
      </c>
      <c r="B13148" s="2">
        <v>44778.0</v>
      </c>
      <c r="C13148" s="3">
        <v>0.6365972222222223</v>
      </c>
      <c r="D13148" s="1">
        <v>12.875463</v>
      </c>
      <c r="E13148" s="1">
        <v>80.084548</v>
      </c>
      <c r="F13148" s="1">
        <v>2846.0</v>
      </c>
      <c r="G13148" s="1">
        <v>0.0</v>
      </c>
    </row>
    <row r="13149">
      <c r="A13149" s="1" t="s">
        <v>10</v>
      </c>
      <c r="B13149" s="2">
        <v>44778.0</v>
      </c>
      <c r="C13149" s="3">
        <v>0.6905324074074074</v>
      </c>
      <c r="D13149" s="1">
        <v>12.878791</v>
      </c>
      <c r="E13149" s="1">
        <v>80.081063</v>
      </c>
      <c r="F13149" s="1">
        <v>805.0</v>
      </c>
      <c r="G13149" s="1">
        <v>14.0</v>
      </c>
    </row>
    <row r="13150">
      <c r="A13150" s="1" t="s">
        <v>8</v>
      </c>
      <c r="B13150" s="2">
        <v>44778.0</v>
      </c>
      <c r="C13150" s="3">
        <v>0.6908912037037037</v>
      </c>
      <c r="D13150" s="1">
        <v>12.87984</v>
      </c>
      <c r="E13150" s="1">
        <v>80.08026</v>
      </c>
      <c r="F13150" s="1">
        <v>805.0</v>
      </c>
      <c r="G13150" s="1">
        <v>32.0</v>
      </c>
    </row>
    <row r="13151">
      <c r="A13151" s="1" t="s">
        <v>8</v>
      </c>
      <c r="B13151" s="2">
        <v>44778.0</v>
      </c>
      <c r="C13151" s="3">
        <v>0.6909259259259259</v>
      </c>
      <c r="D13151" s="1">
        <v>12.87984</v>
      </c>
      <c r="E13151" s="1">
        <v>80.08026</v>
      </c>
      <c r="F13151" s="1">
        <v>805.0</v>
      </c>
      <c r="G13151" s="1">
        <v>32.0</v>
      </c>
    </row>
    <row r="13152">
      <c r="A13152" s="1" t="s">
        <v>8</v>
      </c>
      <c r="B13152" s="2">
        <v>44778.0</v>
      </c>
      <c r="C13152" s="3">
        <v>0.6917592592592593</v>
      </c>
      <c r="D13152" s="1">
        <v>12.885355</v>
      </c>
      <c r="E13152" s="1">
        <v>80.082456</v>
      </c>
      <c r="F13152" s="1">
        <v>805.0</v>
      </c>
      <c r="G13152" s="1">
        <v>45.0</v>
      </c>
    </row>
    <row r="13153">
      <c r="A13153" s="1" t="s">
        <v>8</v>
      </c>
      <c r="B13153" s="2">
        <v>44778.0</v>
      </c>
      <c r="C13153" s="3">
        <v>0.691875</v>
      </c>
      <c r="D13153" s="1">
        <v>12.86504</v>
      </c>
      <c r="E13153" s="1">
        <v>80.074794</v>
      </c>
      <c r="F13153" s="1">
        <v>2846.0</v>
      </c>
      <c r="G13153" s="1">
        <v>39.0</v>
      </c>
    </row>
    <row r="13154">
      <c r="A13154" s="1" t="s">
        <v>7</v>
      </c>
      <c r="B13154" s="2">
        <v>44778.0</v>
      </c>
      <c r="C13154" s="3">
        <v>0.6920023148148148</v>
      </c>
      <c r="D13154" s="1">
        <v>12.889013</v>
      </c>
      <c r="E13154" s="1">
        <v>80.071989</v>
      </c>
      <c r="F13154" s="1">
        <v>3143.0</v>
      </c>
      <c r="G13154" s="1">
        <v>58.0</v>
      </c>
    </row>
    <row r="13155">
      <c r="A13155" s="1" t="s">
        <v>8</v>
      </c>
      <c r="B13155" s="2">
        <v>44778.0</v>
      </c>
      <c r="C13155" s="3">
        <v>0.6920023148148148</v>
      </c>
      <c r="D13155" s="1">
        <v>12.86404</v>
      </c>
      <c r="E13155" s="1">
        <v>80.074394</v>
      </c>
      <c r="F13155" s="1">
        <v>2846.0</v>
      </c>
      <c r="G13155" s="1">
        <v>44.0</v>
      </c>
    </row>
    <row r="13156">
      <c r="A13156" s="1" t="s">
        <v>7</v>
      </c>
      <c r="B13156" s="2">
        <v>44778.0</v>
      </c>
      <c r="C13156" s="3">
        <v>0.6921064814814815</v>
      </c>
      <c r="D13156" s="1">
        <v>12.889068</v>
      </c>
      <c r="E13156" s="1">
        <v>80.084099</v>
      </c>
      <c r="F13156" s="1">
        <v>805.0</v>
      </c>
      <c r="G13156" s="1">
        <v>56.0</v>
      </c>
    </row>
    <row r="13157">
      <c r="A13157" s="1" t="s">
        <v>7</v>
      </c>
      <c r="B13157" s="2">
        <v>44778.0</v>
      </c>
      <c r="C13157" s="3">
        <v>0.6921296296296297</v>
      </c>
      <c r="D13157" s="1">
        <v>12.889907</v>
      </c>
      <c r="E13157" s="1">
        <v>80.084396</v>
      </c>
      <c r="F13157" s="1">
        <v>5339.0</v>
      </c>
      <c r="G13157" s="1">
        <v>51.0</v>
      </c>
    </row>
    <row r="13158">
      <c r="A13158" s="1" t="s">
        <v>8</v>
      </c>
      <c r="B13158" s="2">
        <v>44778.0</v>
      </c>
      <c r="C13158" s="3">
        <v>0.6922222222222222</v>
      </c>
      <c r="D13158" s="1">
        <v>12.891126</v>
      </c>
      <c r="E13158" s="1">
        <v>80.084939</v>
      </c>
      <c r="F13158" s="1">
        <v>5339.0</v>
      </c>
      <c r="G13158" s="1">
        <v>54.0</v>
      </c>
    </row>
    <row r="13159">
      <c r="A13159" s="1" t="s">
        <v>8</v>
      </c>
      <c r="B13159" s="2">
        <v>44778.0</v>
      </c>
      <c r="C13159" s="3">
        <v>0.6922569444444444</v>
      </c>
      <c r="D13159" s="1">
        <v>12.890314</v>
      </c>
      <c r="E13159" s="1">
        <v>80.084612</v>
      </c>
      <c r="F13159" s="1">
        <v>805.0</v>
      </c>
      <c r="G13159" s="1">
        <v>51.0</v>
      </c>
    </row>
    <row r="13160">
      <c r="A13160" s="1" t="s">
        <v>8</v>
      </c>
      <c r="B13160" s="2">
        <v>44778.0</v>
      </c>
      <c r="C13160" s="3">
        <v>0.6925347222222222</v>
      </c>
      <c r="D13160" s="1">
        <v>12.893067</v>
      </c>
      <c r="E13160" s="1">
        <v>80.086148</v>
      </c>
      <c r="F13160" s="1">
        <v>805.0</v>
      </c>
      <c r="G13160" s="1">
        <v>35.0</v>
      </c>
    </row>
    <row r="13161">
      <c r="A13161" s="1" t="s">
        <v>7</v>
      </c>
      <c r="B13161" s="2">
        <v>44778.0</v>
      </c>
      <c r="C13161" s="3">
        <v>0.692650462962963</v>
      </c>
      <c r="D13161" s="1">
        <v>12.897283</v>
      </c>
      <c r="E13161" s="1">
        <v>80.070318</v>
      </c>
      <c r="F13161" s="1">
        <v>3143.0</v>
      </c>
      <c r="G13161" s="1">
        <v>57.0</v>
      </c>
    </row>
    <row r="13162">
      <c r="A13162" s="1" t="s">
        <v>8</v>
      </c>
      <c r="B13162" s="2">
        <v>44778.0</v>
      </c>
      <c r="C13162" s="3">
        <v>0.6926851851851852</v>
      </c>
      <c r="D13162" s="1">
        <v>12.894701</v>
      </c>
      <c r="E13162" s="1">
        <v>80.087387</v>
      </c>
      <c r="F13162" s="1">
        <v>5339.0</v>
      </c>
      <c r="G13162" s="1">
        <v>45.0</v>
      </c>
    </row>
    <row r="13163">
      <c r="A13163" s="1" t="s">
        <v>8</v>
      </c>
      <c r="B13163" s="2">
        <v>44778.0</v>
      </c>
      <c r="C13163" s="3">
        <v>0.6928587962962963</v>
      </c>
      <c r="D13163" s="1">
        <v>12.896041</v>
      </c>
      <c r="E13163" s="1">
        <v>80.088369</v>
      </c>
      <c r="F13163" s="1">
        <v>805.0</v>
      </c>
      <c r="G13163" s="1">
        <v>46.0</v>
      </c>
    </row>
    <row r="13164">
      <c r="A13164" s="1" t="s">
        <v>8</v>
      </c>
      <c r="B13164" s="2">
        <v>44778.0</v>
      </c>
      <c r="C13164" s="3">
        <v>0.6928819444444444</v>
      </c>
      <c r="D13164" s="1">
        <v>12.896446</v>
      </c>
      <c r="E13164" s="1">
        <v>80.088703</v>
      </c>
      <c r="F13164" s="1">
        <v>5339.0</v>
      </c>
      <c r="G13164" s="1">
        <v>44.0</v>
      </c>
    </row>
    <row r="13165">
      <c r="A13165" s="1" t="s">
        <v>7</v>
      </c>
      <c r="B13165" s="2">
        <v>44778.0</v>
      </c>
      <c r="C13165" s="3">
        <v>0.6929166666666666</v>
      </c>
      <c r="D13165" s="1">
        <v>12.900328</v>
      </c>
      <c r="E13165" s="1">
        <v>80.070551</v>
      </c>
      <c r="F13165" s="1">
        <v>3143.0</v>
      </c>
      <c r="G13165" s="1">
        <v>57.0</v>
      </c>
    </row>
    <row r="13166">
      <c r="A13166" s="1" t="s">
        <v>8</v>
      </c>
      <c r="B13166" s="2">
        <v>44778.0</v>
      </c>
      <c r="C13166" s="3">
        <v>0.6929976851851852</v>
      </c>
      <c r="D13166" s="1">
        <v>12.89693</v>
      </c>
      <c r="E13166" s="1">
        <v>80.089041</v>
      </c>
      <c r="F13166" s="1">
        <v>805.0</v>
      </c>
      <c r="G13166" s="1">
        <v>45.0</v>
      </c>
    </row>
    <row r="13167">
      <c r="A13167" s="1" t="s">
        <v>8</v>
      </c>
      <c r="B13167" s="2">
        <v>44778.0</v>
      </c>
      <c r="C13167" s="3">
        <v>0.6930787037037037</v>
      </c>
      <c r="D13167" s="1">
        <v>12.89693</v>
      </c>
      <c r="E13167" s="1">
        <v>80.089041</v>
      </c>
      <c r="F13167" s="1">
        <v>805.0</v>
      </c>
      <c r="G13167" s="1">
        <v>45.0</v>
      </c>
    </row>
    <row r="13168">
      <c r="A13168" s="1" t="s">
        <v>7</v>
      </c>
      <c r="B13168" s="2">
        <v>44778.0</v>
      </c>
      <c r="C13168" s="3">
        <v>0.6932638888888889</v>
      </c>
      <c r="D13168" s="1">
        <v>12.895976</v>
      </c>
      <c r="E13168" s="1">
        <v>80.07038</v>
      </c>
      <c r="F13168" s="1">
        <v>3143.0</v>
      </c>
      <c r="G13168" s="1">
        <v>57.0</v>
      </c>
    </row>
    <row r="13169">
      <c r="A13169" s="1" t="s">
        <v>8</v>
      </c>
      <c r="B13169" s="2">
        <v>44778.0</v>
      </c>
      <c r="C13169" s="3">
        <v>0.6934027777777778</v>
      </c>
      <c r="D13169" s="1">
        <v>12.857275</v>
      </c>
      <c r="E13169" s="1">
        <v>80.070348</v>
      </c>
      <c r="F13169" s="1">
        <v>2846.0</v>
      </c>
      <c r="G13169" s="1">
        <v>59.0</v>
      </c>
    </row>
    <row r="13170">
      <c r="A13170" s="1" t="s">
        <v>8</v>
      </c>
      <c r="B13170" s="2">
        <v>44778.0</v>
      </c>
      <c r="C13170" s="3">
        <v>0.6934837962962963</v>
      </c>
      <c r="D13170" s="1">
        <v>12.901204</v>
      </c>
      <c r="E13170" s="1">
        <v>80.092235</v>
      </c>
      <c r="F13170" s="1">
        <v>805.0</v>
      </c>
      <c r="G13170" s="1">
        <v>55.0</v>
      </c>
    </row>
    <row r="13171">
      <c r="A13171" s="1" t="s">
        <v>8</v>
      </c>
      <c r="B13171" s="2">
        <v>44778.0</v>
      </c>
      <c r="C13171" s="3">
        <v>0.6936805555555555</v>
      </c>
      <c r="D13171" s="1">
        <v>12.903017</v>
      </c>
      <c r="E13171" s="1">
        <v>80.093551</v>
      </c>
      <c r="F13171" s="1">
        <v>5339.0</v>
      </c>
      <c r="G13171" s="1">
        <v>37.0</v>
      </c>
    </row>
    <row r="13172">
      <c r="A13172" s="1" t="s">
        <v>8</v>
      </c>
      <c r="B13172" s="2">
        <v>44778.0</v>
      </c>
      <c r="C13172" s="3">
        <v>0.69375</v>
      </c>
      <c r="D13172" s="1">
        <v>12.903017</v>
      </c>
      <c r="E13172" s="1">
        <v>80.093551</v>
      </c>
      <c r="F13172" s="1">
        <v>5339.0</v>
      </c>
      <c r="G13172" s="1">
        <v>37.0</v>
      </c>
    </row>
    <row r="13173">
      <c r="A13173" s="1" t="s">
        <v>9</v>
      </c>
      <c r="B13173" s="2">
        <v>44778.0</v>
      </c>
      <c r="C13173" s="3">
        <v>0.6938425925925926</v>
      </c>
      <c r="D13173" s="1">
        <v>12.852458</v>
      </c>
      <c r="E13173" s="1">
        <v>80.066731</v>
      </c>
      <c r="F13173" s="1">
        <v>2846.0</v>
      </c>
      <c r="G13173" s="1">
        <v>58.0</v>
      </c>
    </row>
    <row r="13174">
      <c r="A13174" s="1" t="s">
        <v>8</v>
      </c>
      <c r="B13174" s="2">
        <v>44778.0</v>
      </c>
      <c r="C13174" s="3">
        <v>0.6938657407407407</v>
      </c>
      <c r="D13174" s="1">
        <v>12.903821</v>
      </c>
      <c r="E13174" s="1">
        <v>80.094166</v>
      </c>
      <c r="F13174" s="1">
        <v>5339.0</v>
      </c>
      <c r="G13174" s="1">
        <v>38.0</v>
      </c>
    </row>
    <row r="13175">
      <c r="A13175" s="1" t="s">
        <v>8</v>
      </c>
      <c r="B13175" s="2">
        <v>44778.0</v>
      </c>
      <c r="C13175" s="3">
        <v>0.6940509259259259</v>
      </c>
      <c r="D13175" s="1">
        <v>12.905833</v>
      </c>
      <c r="E13175" s="1">
        <v>80.095887</v>
      </c>
      <c r="F13175" s="1">
        <v>805.0</v>
      </c>
      <c r="G13175" s="1">
        <v>47.0</v>
      </c>
    </row>
    <row r="13176">
      <c r="A13176" s="1" t="s">
        <v>7</v>
      </c>
      <c r="B13176" s="2">
        <v>44778.0</v>
      </c>
      <c r="C13176" s="3">
        <v>0.694224537037037</v>
      </c>
      <c r="D13176" s="1">
        <v>12.906622</v>
      </c>
      <c r="E13176" s="1">
        <v>80.096436</v>
      </c>
      <c r="F13176" s="1">
        <v>805.0</v>
      </c>
      <c r="G13176" s="1">
        <v>38.0</v>
      </c>
    </row>
    <row r="13177">
      <c r="A13177" s="1" t="s">
        <v>8</v>
      </c>
      <c r="B13177" s="2">
        <v>44778.0</v>
      </c>
      <c r="C13177" s="3">
        <v>0.6943287037037037</v>
      </c>
      <c r="D13177" s="1">
        <v>12.90701</v>
      </c>
      <c r="E13177" s="1">
        <v>80.096568</v>
      </c>
      <c r="F13177" s="1">
        <v>5339.0</v>
      </c>
      <c r="G13177" s="1">
        <v>38.0</v>
      </c>
    </row>
    <row r="13178">
      <c r="A13178" s="1" t="s">
        <v>8</v>
      </c>
      <c r="B13178" s="2">
        <v>44778.0</v>
      </c>
      <c r="C13178" s="3">
        <v>0.6955555555555556</v>
      </c>
      <c r="D13178" s="1">
        <v>12.912149</v>
      </c>
      <c r="E13178" s="1">
        <v>80.101399</v>
      </c>
      <c r="F13178" s="1">
        <v>805.0</v>
      </c>
      <c r="G13178" s="1">
        <v>33.0</v>
      </c>
    </row>
    <row r="13179">
      <c r="A13179" s="1" t="s">
        <v>8</v>
      </c>
      <c r="B13179" s="2">
        <v>44778.0</v>
      </c>
      <c r="C13179" s="3">
        <v>0.6956134259259259</v>
      </c>
      <c r="D13179" s="1">
        <v>12.911422</v>
      </c>
      <c r="E13179" s="1">
        <v>80.101212</v>
      </c>
      <c r="F13179" s="1">
        <v>5339.0</v>
      </c>
      <c r="G13179" s="1">
        <v>12.0</v>
      </c>
    </row>
    <row r="13180">
      <c r="A13180" s="1" t="s">
        <v>8</v>
      </c>
      <c r="B13180" s="2">
        <v>44778.0</v>
      </c>
      <c r="C13180" s="3">
        <v>0.6956944444444444</v>
      </c>
      <c r="D13180" s="1">
        <v>12.917053</v>
      </c>
      <c r="E13180" s="1">
        <v>80.079965</v>
      </c>
      <c r="F13180" s="1">
        <v>3143.0</v>
      </c>
      <c r="G13180" s="1">
        <v>21.0</v>
      </c>
    </row>
    <row r="13181">
      <c r="A13181" s="1" t="s">
        <v>8</v>
      </c>
      <c r="B13181" s="2">
        <v>44778.0</v>
      </c>
      <c r="C13181" s="3">
        <v>0.695787037037037</v>
      </c>
      <c r="D13181" s="1">
        <v>12.843568</v>
      </c>
      <c r="E13181" s="1">
        <v>80.05955</v>
      </c>
      <c r="F13181" s="1">
        <v>2846.0</v>
      </c>
      <c r="G13181" s="1">
        <v>19.0</v>
      </c>
    </row>
    <row r="13182">
      <c r="A13182" s="1" t="s">
        <v>8</v>
      </c>
      <c r="B13182" s="2">
        <v>44778.0</v>
      </c>
      <c r="C13182" s="3">
        <v>0.6959027777777778</v>
      </c>
      <c r="D13182" s="1">
        <v>12.915456</v>
      </c>
      <c r="E13182" s="1">
        <v>80.10263</v>
      </c>
      <c r="F13182" s="1">
        <v>805.0</v>
      </c>
      <c r="G13182" s="1">
        <v>61.0</v>
      </c>
    </row>
    <row r="13183">
      <c r="A13183" s="1" t="s">
        <v>7</v>
      </c>
      <c r="B13183" s="2">
        <v>44778.0</v>
      </c>
      <c r="C13183" s="3">
        <v>0.6961458333333334</v>
      </c>
      <c r="D13183" s="1">
        <v>12.915518</v>
      </c>
      <c r="E13183" s="1">
        <v>80.102744</v>
      </c>
      <c r="F13183" s="1">
        <v>5339.0</v>
      </c>
      <c r="G13183" s="1">
        <v>49.0</v>
      </c>
    </row>
    <row r="13184">
      <c r="A13184" s="1" t="s">
        <v>8</v>
      </c>
      <c r="B13184" s="2">
        <v>44778.0</v>
      </c>
      <c r="C13184" s="3">
        <v>0.6962037037037037</v>
      </c>
      <c r="D13184" s="1">
        <v>12.915851</v>
      </c>
      <c r="E13184" s="1">
        <v>80.10489</v>
      </c>
      <c r="F13184" s="1">
        <v>5339.0</v>
      </c>
      <c r="G13184" s="1">
        <v>56.0</v>
      </c>
    </row>
    <row r="13185">
      <c r="A13185" s="1" t="s">
        <v>8</v>
      </c>
      <c r="B13185" s="2">
        <v>44778.0</v>
      </c>
      <c r="C13185" s="3">
        <v>0.6963310185185185</v>
      </c>
      <c r="D13185" s="1">
        <v>12.839938</v>
      </c>
      <c r="E13185" s="1">
        <v>80.055674</v>
      </c>
      <c r="F13185" s="1">
        <v>2846.0</v>
      </c>
      <c r="G13185" s="1">
        <v>49.0</v>
      </c>
    </row>
    <row r="13186">
      <c r="A13186" s="1" t="s">
        <v>8</v>
      </c>
      <c r="B13186" s="2">
        <v>44778.0</v>
      </c>
      <c r="C13186" s="3">
        <v>0.6966550925925926</v>
      </c>
      <c r="D13186" s="1">
        <v>12.917114</v>
      </c>
      <c r="E13186" s="1">
        <v>80.107271</v>
      </c>
      <c r="F13186" s="1">
        <v>805.0</v>
      </c>
      <c r="G13186" s="1">
        <v>22.0</v>
      </c>
    </row>
    <row r="13187">
      <c r="A13187" s="1" t="s">
        <v>8</v>
      </c>
      <c r="B13187" s="2">
        <v>44778.0</v>
      </c>
      <c r="C13187" s="3">
        <v>0.6967129629629629</v>
      </c>
      <c r="D13187" s="1">
        <v>12.916671</v>
      </c>
      <c r="E13187" s="1">
        <v>80.106476</v>
      </c>
      <c r="F13187" s="1">
        <v>5339.0</v>
      </c>
      <c r="G13187" s="1">
        <v>0.0</v>
      </c>
    </row>
    <row r="13188">
      <c r="A13188" s="1" t="s">
        <v>8</v>
      </c>
      <c r="B13188" s="2">
        <v>44778.0</v>
      </c>
      <c r="C13188" s="3">
        <v>0.6967245370370371</v>
      </c>
      <c r="D13188" s="1">
        <v>12.916805</v>
      </c>
      <c r="E13188" s="1">
        <v>80.106673</v>
      </c>
      <c r="F13188" s="1">
        <v>5339.0</v>
      </c>
      <c r="G13188" s="1">
        <v>22.0</v>
      </c>
    </row>
    <row r="13189">
      <c r="A13189" s="1" t="s">
        <v>7</v>
      </c>
      <c r="B13189" s="2">
        <v>44778.0</v>
      </c>
      <c r="C13189" s="3">
        <v>0.6968981481481481</v>
      </c>
      <c r="D13189" s="1">
        <v>12.83622</v>
      </c>
      <c r="E13189" s="1">
        <v>80.051813</v>
      </c>
      <c r="F13189" s="1">
        <v>2846.0</v>
      </c>
      <c r="G13189" s="1">
        <v>57.0</v>
      </c>
    </row>
    <row r="13190">
      <c r="A13190" s="1" t="s">
        <v>8</v>
      </c>
      <c r="B13190" s="2">
        <v>44778.0</v>
      </c>
      <c r="C13190" s="3">
        <v>0.697037037037037</v>
      </c>
      <c r="D13190" s="1">
        <v>12.919516</v>
      </c>
      <c r="E13190" s="1">
        <v>80.110379</v>
      </c>
      <c r="F13190" s="1">
        <v>805.0</v>
      </c>
      <c r="G13190" s="1">
        <v>45.0</v>
      </c>
    </row>
    <row r="13191">
      <c r="A13191" s="1" t="s">
        <v>7</v>
      </c>
      <c r="B13191" s="2">
        <v>44778.0</v>
      </c>
      <c r="C13191" s="3">
        <v>0.6971990740740741</v>
      </c>
      <c r="D13191" s="1">
        <v>12.833301</v>
      </c>
      <c r="E13191" s="1">
        <v>80.048677</v>
      </c>
      <c r="F13191" s="1">
        <v>2846.0</v>
      </c>
      <c r="G13191" s="1">
        <v>57.0</v>
      </c>
    </row>
    <row r="13192">
      <c r="A13192" s="1" t="s">
        <v>8</v>
      </c>
      <c r="B13192" s="2">
        <v>44778.0</v>
      </c>
      <c r="C13192" s="3">
        <v>0.6974189814814815</v>
      </c>
      <c r="D13192" s="1">
        <v>12.919281</v>
      </c>
      <c r="E13192" s="1">
        <v>80.110074</v>
      </c>
      <c r="F13192" s="1">
        <v>5339.0</v>
      </c>
      <c r="G13192" s="1">
        <v>38.0</v>
      </c>
    </row>
    <row r="13193">
      <c r="A13193" s="1" t="s">
        <v>7</v>
      </c>
      <c r="B13193" s="2">
        <v>44778.0</v>
      </c>
      <c r="C13193" s="3">
        <v>0.6975694444444445</v>
      </c>
      <c r="D13193" s="1">
        <v>12.923231</v>
      </c>
      <c r="E13193" s="1">
        <v>80.11425</v>
      </c>
      <c r="F13193" s="1">
        <v>805.0</v>
      </c>
      <c r="G13193" s="1">
        <v>41.0</v>
      </c>
    </row>
    <row r="13194">
      <c r="A13194" s="1" t="s">
        <v>8</v>
      </c>
      <c r="B13194" s="2">
        <v>44778.0</v>
      </c>
      <c r="C13194" s="3">
        <v>0.6977546296296296</v>
      </c>
      <c r="D13194" s="1">
        <v>12.924592</v>
      </c>
      <c r="E13194" s="1">
        <v>80.11564</v>
      </c>
      <c r="F13194" s="1">
        <v>805.0</v>
      </c>
      <c r="G13194" s="1">
        <v>61.0</v>
      </c>
    </row>
    <row r="13195">
      <c r="A13195" s="1" t="s">
        <v>8</v>
      </c>
      <c r="B13195" s="2">
        <v>44778.0</v>
      </c>
      <c r="C13195" s="3">
        <v>0.6978125</v>
      </c>
      <c r="D13195" s="1">
        <v>12.924592</v>
      </c>
      <c r="E13195" s="1">
        <v>80.11564</v>
      </c>
      <c r="F13195" s="1">
        <v>805.0</v>
      </c>
      <c r="G13195" s="1">
        <v>61.0</v>
      </c>
    </row>
    <row r="13196">
      <c r="A13196" s="1" t="s">
        <v>7</v>
      </c>
      <c r="B13196" s="2">
        <v>44778.0</v>
      </c>
      <c r="C13196" s="3">
        <v>0.6978472222222222</v>
      </c>
      <c r="D13196" s="1">
        <v>12.828218</v>
      </c>
      <c r="E13196" s="1">
        <v>80.043361</v>
      </c>
      <c r="F13196" s="1">
        <v>2846.0</v>
      </c>
      <c r="G13196" s="1">
        <v>58.0</v>
      </c>
    </row>
    <row r="13197">
      <c r="A13197" s="1" t="s">
        <v>7</v>
      </c>
      <c r="B13197" s="2">
        <v>44778.0</v>
      </c>
      <c r="C13197" s="3">
        <v>0.6982407407407407</v>
      </c>
      <c r="D13197" s="1">
        <v>12.823778</v>
      </c>
      <c r="E13197" s="1">
        <v>80.039555</v>
      </c>
      <c r="F13197" s="1">
        <v>2846.0</v>
      </c>
      <c r="G13197" s="1">
        <v>57.0</v>
      </c>
    </row>
    <row r="13198">
      <c r="A13198" s="1" t="s">
        <v>7</v>
      </c>
      <c r="B13198" s="2">
        <v>44778.0</v>
      </c>
      <c r="C13198" s="3">
        <v>0.6984953703703703</v>
      </c>
      <c r="D13198" s="1">
        <v>12.822587</v>
      </c>
      <c r="E13198" s="1">
        <v>80.038715</v>
      </c>
      <c r="F13198" s="1">
        <v>2846.0</v>
      </c>
      <c r="G13198" s="1">
        <v>55.0</v>
      </c>
    </row>
    <row r="13199">
      <c r="A13199" s="1" t="s">
        <v>8</v>
      </c>
      <c r="B13199" s="2">
        <v>44778.0</v>
      </c>
      <c r="C13199" s="3">
        <v>0.6992013888888889</v>
      </c>
      <c r="D13199" s="1">
        <v>12.927649</v>
      </c>
      <c r="E13199" s="1">
        <v>80.11874</v>
      </c>
      <c r="F13199" s="1">
        <v>805.0</v>
      </c>
      <c r="G13199" s="1">
        <v>28.0</v>
      </c>
    </row>
    <row r="13200">
      <c r="A13200" s="1" t="s">
        <v>8</v>
      </c>
      <c r="B13200" s="2">
        <v>44778.0</v>
      </c>
      <c r="C13200" s="3">
        <v>0.6992361111111111</v>
      </c>
      <c r="D13200" s="1">
        <v>12.927649</v>
      </c>
      <c r="E13200" s="1">
        <v>80.11874</v>
      </c>
      <c r="F13200" s="1">
        <v>805.0</v>
      </c>
      <c r="G13200" s="1">
        <v>28.0</v>
      </c>
    </row>
    <row r="13201">
      <c r="A13201" s="1" t="s">
        <v>7</v>
      </c>
      <c r="B13201" s="2">
        <v>44778.0</v>
      </c>
      <c r="C13201" s="3">
        <v>0.700150462962963</v>
      </c>
      <c r="D13201" s="1">
        <v>12.804292</v>
      </c>
      <c r="E13201" s="1">
        <v>80.026329</v>
      </c>
      <c r="F13201" s="1">
        <v>2846.0</v>
      </c>
      <c r="G13201" s="1">
        <v>58.0</v>
      </c>
    </row>
    <row r="13202">
      <c r="A13202" s="1" t="s">
        <v>7</v>
      </c>
      <c r="B13202" s="2">
        <v>44778.0</v>
      </c>
      <c r="C13202" s="3">
        <v>0.7007986111111111</v>
      </c>
      <c r="D13202" s="1">
        <v>12.931628</v>
      </c>
      <c r="E13202" s="1">
        <v>80.122704</v>
      </c>
      <c r="F13202" s="1">
        <v>5339.0</v>
      </c>
      <c r="G13202" s="1">
        <v>0.0</v>
      </c>
    </row>
    <row r="13203">
      <c r="A13203" s="1" t="s">
        <v>10</v>
      </c>
      <c r="B13203" s="2">
        <v>44778.0</v>
      </c>
      <c r="C13203" s="3">
        <v>0.7008101851851852</v>
      </c>
      <c r="D13203" s="1">
        <v>12.936069</v>
      </c>
      <c r="E13203" s="1">
        <v>80.126901</v>
      </c>
      <c r="F13203" s="1">
        <v>805.0</v>
      </c>
      <c r="G13203" s="1">
        <v>11.0</v>
      </c>
    </row>
    <row r="13204">
      <c r="A13204" s="1" t="s">
        <v>7</v>
      </c>
      <c r="B13204" s="2">
        <v>44778.0</v>
      </c>
      <c r="C13204" s="3">
        <v>0.7009722222222222</v>
      </c>
      <c r="D13204" s="1">
        <v>12.936743</v>
      </c>
      <c r="E13204" s="1">
        <v>80.127527</v>
      </c>
      <c r="F13204" s="1">
        <v>805.0</v>
      </c>
      <c r="G13204" s="1">
        <v>36.0</v>
      </c>
    </row>
    <row r="13205">
      <c r="A13205" s="1" t="s">
        <v>7</v>
      </c>
      <c r="B13205" s="2">
        <v>44778.0</v>
      </c>
      <c r="C13205" s="3">
        <v>0.7013657407407408</v>
      </c>
      <c r="D13205" s="1">
        <v>12.939789</v>
      </c>
      <c r="E13205" s="1">
        <v>80.130236</v>
      </c>
      <c r="F13205" s="1">
        <v>805.0</v>
      </c>
      <c r="G13205" s="1">
        <v>58.0</v>
      </c>
    </row>
    <row r="13206">
      <c r="A13206" s="1" t="s">
        <v>8</v>
      </c>
      <c r="B13206" s="2">
        <v>44778.0</v>
      </c>
      <c r="C13206" s="3">
        <v>0.7013773148148148</v>
      </c>
      <c r="D13206" s="1">
        <v>12.795339</v>
      </c>
      <c r="E13206" s="1">
        <v>80.020438</v>
      </c>
      <c r="F13206" s="1">
        <v>2846.0</v>
      </c>
      <c r="G13206" s="1">
        <v>34.0</v>
      </c>
    </row>
    <row r="13207">
      <c r="A13207" s="1" t="s">
        <v>8</v>
      </c>
      <c r="B13207" s="2">
        <v>44778.0</v>
      </c>
      <c r="C13207" s="3">
        <v>0.701400462962963</v>
      </c>
      <c r="D13207" s="1">
        <v>12.939789</v>
      </c>
      <c r="E13207" s="1">
        <v>80.130236</v>
      </c>
      <c r="F13207" s="1">
        <v>805.0</v>
      </c>
      <c r="G13207" s="1">
        <v>58.0</v>
      </c>
    </row>
    <row r="13208">
      <c r="A13208" s="1" t="s">
        <v>7</v>
      </c>
      <c r="B13208" s="2">
        <v>44778.0</v>
      </c>
      <c r="C13208" s="3">
        <v>0.702037037037037</v>
      </c>
      <c r="D13208" s="1">
        <v>12.936827</v>
      </c>
      <c r="E13208" s="1">
        <v>80.127682</v>
      </c>
      <c r="F13208" s="1">
        <v>5339.0</v>
      </c>
      <c r="G13208" s="1">
        <v>49.0</v>
      </c>
    </row>
    <row r="13209">
      <c r="A13209" s="1" t="s">
        <v>8</v>
      </c>
      <c r="B13209" s="2">
        <v>44778.0</v>
      </c>
      <c r="C13209" s="3">
        <v>0.7020717592592592</v>
      </c>
      <c r="D13209" s="1">
        <v>12.945975</v>
      </c>
      <c r="E13209" s="1">
        <v>80.13603</v>
      </c>
      <c r="F13209" s="1">
        <v>805.0</v>
      </c>
      <c r="G13209" s="1">
        <v>54.0</v>
      </c>
    </row>
    <row r="13210">
      <c r="A13210" s="1" t="s">
        <v>8</v>
      </c>
      <c r="B13210" s="2">
        <v>44778.0</v>
      </c>
      <c r="C13210" s="3">
        <v>0.7021643518518519</v>
      </c>
      <c r="D13210" s="1">
        <v>12.938594</v>
      </c>
      <c r="E13210" s="1">
        <v>80.129202</v>
      </c>
      <c r="F13210" s="1">
        <v>5339.0</v>
      </c>
      <c r="G13210" s="1">
        <v>61.0</v>
      </c>
    </row>
    <row r="13211">
      <c r="A13211" s="1" t="s">
        <v>8</v>
      </c>
      <c r="B13211" s="2">
        <v>44778.0</v>
      </c>
      <c r="C13211" s="3">
        <v>0.7022916666666666</v>
      </c>
      <c r="D13211" s="1">
        <v>12.947488</v>
      </c>
      <c r="E13211" s="1">
        <v>80.137165</v>
      </c>
      <c r="F13211" s="1">
        <v>805.0</v>
      </c>
      <c r="G13211" s="1">
        <v>42.0</v>
      </c>
    </row>
    <row r="13212">
      <c r="A13212" s="1" t="s">
        <v>8</v>
      </c>
      <c r="B13212" s="2">
        <v>44778.0</v>
      </c>
      <c r="C13212" s="3">
        <v>0.7025694444444445</v>
      </c>
      <c r="D13212" s="1">
        <v>12.942124</v>
      </c>
      <c r="E13212" s="1">
        <v>80.132652</v>
      </c>
      <c r="F13212" s="1">
        <v>5339.0</v>
      </c>
      <c r="G13212" s="1">
        <v>59.0</v>
      </c>
    </row>
    <row r="13213">
      <c r="A13213" s="1" t="s">
        <v>8</v>
      </c>
      <c r="B13213" s="2">
        <v>44778.0</v>
      </c>
      <c r="C13213" s="3">
        <v>0.702962962962963</v>
      </c>
      <c r="D13213" s="1">
        <v>12.951246</v>
      </c>
      <c r="E13213" s="1">
        <v>80.140065</v>
      </c>
      <c r="F13213" s="1">
        <v>805.0</v>
      </c>
      <c r="G13213" s="1">
        <v>19.0</v>
      </c>
    </row>
    <row r="13214">
      <c r="A13214" s="1" t="s">
        <v>8</v>
      </c>
      <c r="B13214" s="2">
        <v>44778.0</v>
      </c>
      <c r="C13214" s="3">
        <v>0.7035069444444444</v>
      </c>
      <c r="D13214" s="1">
        <v>12.772787</v>
      </c>
      <c r="E13214" s="1">
        <v>80.008621</v>
      </c>
      <c r="F13214" s="1">
        <v>2846.0</v>
      </c>
      <c r="G13214" s="1">
        <v>57.0</v>
      </c>
    </row>
    <row r="13215">
      <c r="A13215" s="1" t="s">
        <v>8</v>
      </c>
      <c r="B13215" s="2">
        <v>44778.0</v>
      </c>
      <c r="C13215" s="3">
        <v>0.7035416666666666</v>
      </c>
      <c r="D13215" s="1">
        <v>12.772787</v>
      </c>
      <c r="E13215" s="1">
        <v>80.008621</v>
      </c>
      <c r="F13215" s="1">
        <v>2846.0</v>
      </c>
      <c r="G13215" s="1">
        <v>57.0</v>
      </c>
    </row>
    <row r="13216">
      <c r="A13216" s="1" t="s">
        <v>8</v>
      </c>
      <c r="B13216" s="2">
        <v>44778.0</v>
      </c>
      <c r="C13216" s="3">
        <v>0.7036574074074075</v>
      </c>
      <c r="D13216" s="1">
        <v>12.950204</v>
      </c>
      <c r="E13216" s="1">
        <v>80.139272</v>
      </c>
      <c r="F13216" s="1">
        <v>5339.0</v>
      </c>
      <c r="G13216" s="1">
        <v>0.0</v>
      </c>
    </row>
    <row r="13217">
      <c r="A13217" s="1" t="s">
        <v>8</v>
      </c>
      <c r="B13217" s="2">
        <v>44778.0</v>
      </c>
      <c r="C13217" s="3">
        <v>0.7036574074074075</v>
      </c>
      <c r="D13217" s="1">
        <v>12.950204</v>
      </c>
      <c r="E13217" s="1">
        <v>80.139272</v>
      </c>
      <c r="F13217" s="1">
        <v>5339.0</v>
      </c>
      <c r="G13217" s="1">
        <v>0.0</v>
      </c>
    </row>
    <row r="13218">
      <c r="A13218" s="1" t="s">
        <v>8</v>
      </c>
      <c r="B13218" s="2">
        <v>44778.0</v>
      </c>
      <c r="C13218" s="3">
        <v>0.703761574074074</v>
      </c>
      <c r="D13218" s="1">
        <v>12.770982</v>
      </c>
      <c r="E13218" s="1">
        <v>80.007796</v>
      </c>
      <c r="F13218" s="1">
        <v>2846.0</v>
      </c>
      <c r="G13218" s="1">
        <v>52.0</v>
      </c>
    </row>
    <row r="13219">
      <c r="A13219" s="1" t="s">
        <v>8</v>
      </c>
      <c r="B13219" s="2">
        <v>44778.0</v>
      </c>
      <c r="C13219" s="3">
        <v>0.7041319444444445</v>
      </c>
      <c r="D13219" s="1">
        <v>12.76938</v>
      </c>
      <c r="E13219" s="1">
        <v>80.006994</v>
      </c>
      <c r="F13219" s="1">
        <v>2846.0</v>
      </c>
      <c r="G13219" s="1">
        <v>38.0</v>
      </c>
    </row>
    <row r="13220">
      <c r="A13220" s="1" t="s">
        <v>8</v>
      </c>
      <c r="B13220" s="2">
        <v>44778.0</v>
      </c>
      <c r="C13220" s="3">
        <v>0.7046643518518518</v>
      </c>
      <c r="D13220" s="1">
        <v>12.956104</v>
      </c>
      <c r="E13220" s="1">
        <v>80.143036</v>
      </c>
      <c r="F13220" s="1">
        <v>805.0</v>
      </c>
      <c r="G13220" s="1">
        <v>0.0</v>
      </c>
    </row>
    <row r="13221">
      <c r="A13221" s="1" t="s">
        <v>7</v>
      </c>
      <c r="B13221" s="2">
        <v>44778.0</v>
      </c>
      <c r="C13221" s="3">
        <v>0.7050925925925926</v>
      </c>
      <c r="D13221" s="1">
        <v>12.760194</v>
      </c>
      <c r="E13221" s="1">
        <v>80.003446</v>
      </c>
      <c r="F13221" s="1">
        <v>2846.0</v>
      </c>
      <c r="G13221" s="1">
        <v>0.0</v>
      </c>
    </row>
    <row r="13222">
      <c r="A13222" s="1" t="s">
        <v>8</v>
      </c>
      <c r="B13222" s="2">
        <v>44778.0</v>
      </c>
      <c r="C13222" s="3">
        <v>0.7051273148148148</v>
      </c>
      <c r="D13222" s="1">
        <v>12.959204</v>
      </c>
      <c r="E13222" s="1">
        <v>80.144544</v>
      </c>
      <c r="F13222" s="1">
        <v>805.0</v>
      </c>
      <c r="G13222" s="1">
        <v>39.0</v>
      </c>
    </row>
    <row r="13223">
      <c r="A13223" s="1" t="s">
        <v>7</v>
      </c>
      <c r="B13223" s="2">
        <v>44778.0</v>
      </c>
      <c r="C13223" s="3">
        <v>0.7051851851851851</v>
      </c>
      <c r="D13223" s="1">
        <v>12.760162</v>
      </c>
      <c r="E13223" s="1">
        <v>80.003437</v>
      </c>
      <c r="F13223" s="1">
        <v>2846.0</v>
      </c>
      <c r="G13223" s="1">
        <v>0.0</v>
      </c>
    </row>
    <row r="13224">
      <c r="A13224" s="1" t="s">
        <v>8</v>
      </c>
      <c r="B13224" s="2">
        <v>44778.0</v>
      </c>
      <c r="C13224" s="3">
        <v>0.7052777777777778</v>
      </c>
      <c r="D13224" s="1">
        <v>12.955911</v>
      </c>
      <c r="E13224" s="1">
        <v>80.142907</v>
      </c>
      <c r="F13224" s="1">
        <v>5339.0</v>
      </c>
      <c r="G13224" s="1">
        <v>15.0</v>
      </c>
    </row>
    <row r="13225">
      <c r="A13225" s="1" t="s">
        <v>8</v>
      </c>
      <c r="B13225" s="2">
        <v>44778.0</v>
      </c>
      <c r="C13225" s="3">
        <v>0.7053703703703704</v>
      </c>
      <c r="D13225" s="1">
        <v>12.955911</v>
      </c>
      <c r="E13225" s="1">
        <v>80.142907</v>
      </c>
      <c r="F13225" s="1">
        <v>5339.0</v>
      </c>
      <c r="G13225" s="1">
        <v>15.0</v>
      </c>
    </row>
    <row r="13226">
      <c r="A13226" s="1" t="s">
        <v>8</v>
      </c>
      <c r="B13226" s="2">
        <v>44778.0</v>
      </c>
      <c r="C13226" s="3">
        <v>0.7053819444444445</v>
      </c>
      <c r="D13226" s="1">
        <v>12.96124</v>
      </c>
      <c r="E13226" s="1">
        <v>80.145642</v>
      </c>
      <c r="F13226" s="1">
        <v>805.0</v>
      </c>
      <c r="G13226" s="1">
        <v>42.0</v>
      </c>
    </row>
    <row r="13227">
      <c r="A13227" s="1" t="s">
        <v>8</v>
      </c>
      <c r="B13227" s="2">
        <v>44778.0</v>
      </c>
      <c r="C13227" s="3">
        <v>0.7055324074074074</v>
      </c>
      <c r="D13227" s="1">
        <v>12.96124</v>
      </c>
      <c r="E13227" s="1">
        <v>80.145642</v>
      </c>
      <c r="F13227" s="1">
        <v>805.0</v>
      </c>
      <c r="G13227" s="1">
        <v>42.0</v>
      </c>
    </row>
    <row r="13228">
      <c r="A13228" s="1" t="s">
        <v>8</v>
      </c>
      <c r="B13228" s="2">
        <v>44778.0</v>
      </c>
      <c r="C13228" s="3">
        <v>0.7056828703703704</v>
      </c>
      <c r="D13228" s="1">
        <v>12.962784</v>
      </c>
      <c r="E13228" s="1">
        <v>80.14649</v>
      </c>
      <c r="F13228" s="1">
        <v>805.0</v>
      </c>
      <c r="G13228" s="1">
        <v>46.0</v>
      </c>
    </row>
    <row r="13229">
      <c r="A13229" s="1" t="s">
        <v>7</v>
      </c>
      <c r="B13229" s="2">
        <v>44778.0</v>
      </c>
      <c r="C13229" s="3">
        <v>0.7057175925925926</v>
      </c>
      <c r="D13229" s="1">
        <v>12.757266</v>
      </c>
      <c r="E13229" s="1">
        <v>80.00251</v>
      </c>
      <c r="F13229" s="1">
        <v>2846.0</v>
      </c>
      <c r="G13229" s="1">
        <v>56.0</v>
      </c>
    </row>
    <row r="13230">
      <c r="A13230" s="1" t="s">
        <v>7</v>
      </c>
      <c r="B13230" s="2">
        <v>44778.0</v>
      </c>
      <c r="C13230" s="3">
        <v>0.7059722222222222</v>
      </c>
      <c r="D13230" s="1">
        <v>12.753315</v>
      </c>
      <c r="E13230" s="1">
        <v>80.000274</v>
      </c>
      <c r="F13230" s="1">
        <v>2846.0</v>
      </c>
      <c r="G13230" s="1">
        <v>58.0</v>
      </c>
    </row>
    <row r="13231">
      <c r="A13231" s="1" t="s">
        <v>7</v>
      </c>
      <c r="B13231" s="2">
        <v>44778.0</v>
      </c>
      <c r="C13231" s="3">
        <v>0.7061574074074074</v>
      </c>
      <c r="D13231" s="1">
        <v>12.966978</v>
      </c>
      <c r="E13231" s="1">
        <v>80.148908</v>
      </c>
      <c r="F13231" s="1">
        <v>805.0</v>
      </c>
      <c r="G13231" s="1">
        <v>44.0</v>
      </c>
    </row>
    <row r="13232">
      <c r="A13232" s="1" t="s">
        <v>8</v>
      </c>
      <c r="B13232" s="2">
        <v>44778.0</v>
      </c>
      <c r="C13232" s="3">
        <v>0.7064351851851852</v>
      </c>
      <c r="D13232" s="1">
        <v>12.747865</v>
      </c>
      <c r="E13232" s="1">
        <v>79.996284</v>
      </c>
      <c r="F13232" s="1">
        <v>2846.0</v>
      </c>
      <c r="G13232" s="1">
        <v>58.0</v>
      </c>
    </row>
    <row r="13233">
      <c r="A13233" s="1" t="s">
        <v>8</v>
      </c>
      <c r="B13233" s="2">
        <v>44778.0</v>
      </c>
      <c r="C13233" s="3">
        <v>0.7065393518518519</v>
      </c>
      <c r="D13233" s="1">
        <v>12.970787</v>
      </c>
      <c r="E13233" s="1">
        <v>80.15074</v>
      </c>
      <c r="F13233" s="1">
        <v>805.0</v>
      </c>
      <c r="G13233" s="1">
        <v>58.0</v>
      </c>
    </row>
    <row r="13234">
      <c r="A13234" s="1" t="s">
        <v>8</v>
      </c>
      <c r="B13234" s="2">
        <v>44778.0</v>
      </c>
      <c r="C13234" s="3">
        <v>0.7065509259259259</v>
      </c>
      <c r="D13234" s="1">
        <v>12.970787</v>
      </c>
      <c r="E13234" s="1">
        <v>80.15074</v>
      </c>
      <c r="F13234" s="1">
        <v>805.0</v>
      </c>
      <c r="G13234" s="1">
        <v>58.0</v>
      </c>
    </row>
    <row r="13235">
      <c r="A13235" s="1" t="s">
        <v>7</v>
      </c>
      <c r="B13235" s="2">
        <v>44778.0</v>
      </c>
      <c r="C13235" s="3">
        <v>0.706875</v>
      </c>
      <c r="D13235" s="1">
        <v>12.973816</v>
      </c>
      <c r="E13235" s="1">
        <v>80.153832</v>
      </c>
      <c r="F13235" s="1">
        <v>805.0</v>
      </c>
      <c r="G13235" s="1">
        <v>58.0</v>
      </c>
    </row>
    <row r="13236">
      <c r="A13236" s="1" t="s">
        <v>7</v>
      </c>
      <c r="B13236" s="2">
        <v>44778.0</v>
      </c>
      <c r="C13236" s="3">
        <v>0.7069328703703703</v>
      </c>
      <c r="D13236" s="1">
        <v>12.966976</v>
      </c>
      <c r="E13236" s="1">
        <v>80.148891</v>
      </c>
      <c r="F13236" s="1">
        <v>5339.0</v>
      </c>
      <c r="G13236" s="1">
        <v>56.0</v>
      </c>
    </row>
    <row r="13237">
      <c r="A13237" s="1" t="s">
        <v>8</v>
      </c>
      <c r="B13237" s="2">
        <v>44778.0</v>
      </c>
      <c r="C13237" s="3">
        <v>0.7070601851851852</v>
      </c>
      <c r="D13237" s="1">
        <v>12.975047</v>
      </c>
      <c r="E13237" s="1">
        <v>80.155577</v>
      </c>
      <c r="F13237" s="1">
        <v>805.0</v>
      </c>
      <c r="G13237" s="1">
        <v>47.0</v>
      </c>
    </row>
    <row r="13238">
      <c r="A13238" s="1" t="s">
        <v>7</v>
      </c>
      <c r="B13238" s="2">
        <v>44778.0</v>
      </c>
      <c r="C13238" s="3">
        <v>0.7071296296296297</v>
      </c>
      <c r="D13238" s="1">
        <v>12.976032</v>
      </c>
      <c r="E13238" s="1">
        <v>80.157031</v>
      </c>
      <c r="F13238" s="1">
        <v>805.0</v>
      </c>
      <c r="G13238" s="1">
        <v>47.0</v>
      </c>
    </row>
    <row r="13239">
      <c r="A13239" s="1" t="s">
        <v>7</v>
      </c>
      <c r="B13239" s="2">
        <v>44778.0</v>
      </c>
      <c r="C13239" s="3">
        <v>0.7072222222222222</v>
      </c>
      <c r="D13239" s="1">
        <v>12.933432</v>
      </c>
      <c r="E13239" s="1">
        <v>80.124526</v>
      </c>
      <c r="F13239" s="1">
        <v>3143.0</v>
      </c>
      <c r="G13239" s="1">
        <v>52.0</v>
      </c>
    </row>
    <row r="13240">
      <c r="A13240" s="1" t="s">
        <v>7</v>
      </c>
      <c r="B13240" s="2">
        <v>44778.0</v>
      </c>
      <c r="C13240" s="3">
        <v>0.7072685185185185</v>
      </c>
      <c r="D13240" s="1">
        <v>12.746155</v>
      </c>
      <c r="E13240" s="1">
        <v>79.9949</v>
      </c>
      <c r="F13240" s="1">
        <v>2846.0</v>
      </c>
      <c r="G13240" s="1">
        <v>57.0</v>
      </c>
    </row>
    <row r="13241">
      <c r="A13241" s="1" t="s">
        <v>8</v>
      </c>
      <c r="B13241" s="2">
        <v>44778.0</v>
      </c>
      <c r="C13241" s="3">
        <v>0.7072916666666667</v>
      </c>
      <c r="D13241" s="1">
        <v>12.933432</v>
      </c>
      <c r="E13241" s="1">
        <v>80.124526</v>
      </c>
      <c r="F13241" s="1">
        <v>3143.0</v>
      </c>
      <c r="G13241" s="1">
        <v>52.0</v>
      </c>
    </row>
    <row r="13242">
      <c r="A13242" s="1" t="s">
        <v>8</v>
      </c>
      <c r="B13242" s="2">
        <v>44778.0</v>
      </c>
      <c r="C13242" s="3">
        <v>0.7073148148148148</v>
      </c>
      <c r="D13242" s="1">
        <v>12.977035</v>
      </c>
      <c r="E13242" s="1">
        <v>80.158556</v>
      </c>
      <c r="F13242" s="1">
        <v>805.0</v>
      </c>
      <c r="G13242" s="1">
        <v>52.0</v>
      </c>
    </row>
    <row r="13243">
      <c r="A13243" s="1" t="s">
        <v>7</v>
      </c>
      <c r="B13243" s="2">
        <v>44778.0</v>
      </c>
      <c r="C13243" s="3">
        <v>0.7073842592592593</v>
      </c>
      <c r="D13243" s="1">
        <v>12.977035</v>
      </c>
      <c r="E13243" s="1">
        <v>80.158556</v>
      </c>
      <c r="F13243" s="1">
        <v>805.0</v>
      </c>
      <c r="G13243" s="1">
        <v>52.0</v>
      </c>
    </row>
    <row r="13244">
      <c r="A13244" s="1" t="s">
        <v>8</v>
      </c>
      <c r="B13244" s="2">
        <v>44778.0</v>
      </c>
      <c r="C13244" s="3">
        <v>0.7073842592592593</v>
      </c>
      <c r="D13244" s="1">
        <v>12.971226</v>
      </c>
      <c r="E13244" s="1">
        <v>80.150891</v>
      </c>
      <c r="F13244" s="1">
        <v>5339.0</v>
      </c>
      <c r="G13244" s="1">
        <v>58.0</v>
      </c>
    </row>
    <row r="13245">
      <c r="A13245" s="1" t="s">
        <v>8</v>
      </c>
      <c r="B13245" s="2">
        <v>44778.0</v>
      </c>
      <c r="C13245" s="3">
        <v>0.7075231481481481</v>
      </c>
      <c r="D13245" s="1">
        <v>12.978376</v>
      </c>
      <c r="E13245" s="1">
        <v>80.160483</v>
      </c>
      <c r="F13245" s="1">
        <v>805.0</v>
      </c>
      <c r="G13245" s="1">
        <v>57.0</v>
      </c>
    </row>
    <row r="13246">
      <c r="A13246" s="1" t="s">
        <v>7</v>
      </c>
      <c r="B13246" s="2">
        <v>44778.0</v>
      </c>
      <c r="C13246" s="3">
        <v>0.7079050925925926</v>
      </c>
      <c r="D13246" s="1">
        <v>12.976752</v>
      </c>
      <c r="E13246" s="1">
        <v>80.158067</v>
      </c>
      <c r="F13246" s="1">
        <v>5339.0</v>
      </c>
      <c r="G13246" s="1">
        <v>45.0</v>
      </c>
    </row>
    <row r="13247">
      <c r="A13247" s="1" t="s">
        <v>7</v>
      </c>
      <c r="B13247" s="2">
        <v>44778.0</v>
      </c>
      <c r="C13247" s="3">
        <v>0.707974537037037</v>
      </c>
      <c r="D13247" s="1">
        <v>12.976752</v>
      </c>
      <c r="E13247" s="1">
        <v>80.158067</v>
      </c>
      <c r="F13247" s="1">
        <v>5339.0</v>
      </c>
      <c r="G13247" s="1">
        <v>45.0</v>
      </c>
    </row>
    <row r="13248">
      <c r="A13248" s="1" t="s">
        <v>7</v>
      </c>
      <c r="B13248" s="2">
        <v>44778.0</v>
      </c>
      <c r="C13248" s="3">
        <v>0.7082175925925925</v>
      </c>
      <c r="D13248" s="1">
        <v>12.977936</v>
      </c>
      <c r="E13248" s="1">
        <v>80.159877</v>
      </c>
      <c r="F13248" s="1">
        <v>5339.0</v>
      </c>
      <c r="G13248" s="1">
        <v>53.0</v>
      </c>
    </row>
    <row r="13249">
      <c r="A13249" s="1" t="s">
        <v>8</v>
      </c>
      <c r="B13249" s="2">
        <v>44778.0</v>
      </c>
      <c r="C13249" s="3">
        <v>0.7082291666666667</v>
      </c>
      <c r="D13249" s="1">
        <v>12.937403</v>
      </c>
      <c r="E13249" s="1">
        <v>80.128178</v>
      </c>
      <c r="F13249" s="1">
        <v>3143.0</v>
      </c>
      <c r="G13249" s="1">
        <v>50.0</v>
      </c>
    </row>
    <row r="13250">
      <c r="A13250" s="1" t="s">
        <v>7</v>
      </c>
      <c r="B13250" s="2">
        <v>44778.0</v>
      </c>
      <c r="C13250" s="3">
        <v>0.7083564814814814</v>
      </c>
      <c r="D13250" s="1">
        <v>12.739121</v>
      </c>
      <c r="E13250" s="1">
        <v>79.989252</v>
      </c>
      <c r="F13250" s="1">
        <v>2846.0</v>
      </c>
      <c r="G13250" s="1">
        <v>57.0</v>
      </c>
    </row>
    <row r="13251">
      <c r="A13251" s="1" t="s">
        <v>8</v>
      </c>
      <c r="B13251" s="2">
        <v>44778.0</v>
      </c>
      <c r="C13251" s="3">
        <v>0.7090625</v>
      </c>
      <c r="D13251" s="1">
        <v>12.985433</v>
      </c>
      <c r="E13251" s="1">
        <v>80.173133</v>
      </c>
      <c r="F13251" s="1">
        <v>805.0</v>
      </c>
      <c r="G13251" s="1">
        <v>0.0</v>
      </c>
    </row>
    <row r="13252">
      <c r="A13252" s="1" t="s">
        <v>8</v>
      </c>
      <c r="B13252" s="2">
        <v>44778.0</v>
      </c>
      <c r="C13252" s="3">
        <v>0.7099074074074074</v>
      </c>
      <c r="D13252" s="1">
        <v>12.948144</v>
      </c>
      <c r="E13252" s="1">
        <v>80.137604</v>
      </c>
      <c r="F13252" s="1">
        <v>3143.0</v>
      </c>
      <c r="G13252" s="1">
        <v>28.0</v>
      </c>
    </row>
    <row r="13253">
      <c r="A13253" s="1" t="s">
        <v>8</v>
      </c>
      <c r="B13253" s="2">
        <v>44778.0</v>
      </c>
      <c r="C13253" s="3">
        <v>0.7101388888888889</v>
      </c>
      <c r="D13253" s="1">
        <v>12.988309</v>
      </c>
      <c r="E13253" s="1">
        <v>80.177186</v>
      </c>
      <c r="F13253" s="1">
        <v>805.0</v>
      </c>
      <c r="G13253" s="1">
        <v>40.0</v>
      </c>
    </row>
    <row r="13254">
      <c r="A13254" s="1" t="s">
        <v>8</v>
      </c>
      <c r="B13254" s="2">
        <v>44778.0</v>
      </c>
      <c r="C13254" s="3">
        <v>0.7101851851851851</v>
      </c>
      <c r="D13254" s="1">
        <v>12.987078</v>
      </c>
      <c r="E13254" s="1">
        <v>80.17552</v>
      </c>
      <c r="F13254" s="1">
        <v>5339.0</v>
      </c>
      <c r="G13254" s="1">
        <v>13.0</v>
      </c>
    </row>
    <row r="13255">
      <c r="A13255" s="1" t="s">
        <v>8</v>
      </c>
      <c r="B13255" s="2">
        <v>44778.0</v>
      </c>
      <c r="C13255" s="3">
        <v>0.7101851851851851</v>
      </c>
      <c r="D13255" s="1">
        <v>12.987078</v>
      </c>
      <c r="E13255" s="1">
        <v>80.17552</v>
      </c>
      <c r="F13255" s="1">
        <v>5339.0</v>
      </c>
      <c r="G13255" s="1">
        <v>13.0</v>
      </c>
    </row>
    <row r="13256">
      <c r="A13256" s="1" t="s">
        <v>8</v>
      </c>
      <c r="B13256" s="2">
        <v>44778.0</v>
      </c>
      <c r="C13256" s="3">
        <v>0.7102199074074074</v>
      </c>
      <c r="D13256" s="1">
        <v>12.988309</v>
      </c>
      <c r="E13256" s="1">
        <v>80.177186</v>
      </c>
      <c r="F13256" s="1">
        <v>805.0</v>
      </c>
      <c r="G13256" s="1">
        <v>40.0</v>
      </c>
    </row>
    <row r="13257">
      <c r="A13257" s="1" t="s">
        <v>8</v>
      </c>
      <c r="B13257" s="2">
        <v>44778.0</v>
      </c>
      <c r="C13257" s="3">
        <v>0.7102546296296296</v>
      </c>
      <c r="D13257" s="1">
        <v>12.988309</v>
      </c>
      <c r="E13257" s="1">
        <v>80.177186</v>
      </c>
      <c r="F13257" s="1">
        <v>805.0</v>
      </c>
      <c r="G13257" s="1">
        <v>40.0</v>
      </c>
    </row>
    <row r="13258">
      <c r="A13258" s="1" t="s">
        <v>8</v>
      </c>
      <c r="B13258" s="2">
        <v>44778.0</v>
      </c>
      <c r="C13258" s="3">
        <v>0.7103587962962963</v>
      </c>
      <c r="D13258" s="1">
        <v>12.989456</v>
      </c>
      <c r="E13258" s="1">
        <v>80.178674</v>
      </c>
      <c r="F13258" s="1">
        <v>805.0</v>
      </c>
      <c r="G13258" s="1">
        <v>43.0</v>
      </c>
    </row>
    <row r="13259">
      <c r="A13259" s="1" t="s">
        <v>8</v>
      </c>
      <c r="B13259" s="2">
        <v>44778.0</v>
      </c>
      <c r="C13259" s="3">
        <v>0.7108217592592593</v>
      </c>
      <c r="D13259" s="1">
        <v>12.991187</v>
      </c>
      <c r="E13259" s="1">
        <v>80.18094</v>
      </c>
      <c r="F13259" s="1">
        <v>805.0</v>
      </c>
      <c r="G13259" s="1">
        <v>33.0</v>
      </c>
    </row>
    <row r="13260">
      <c r="A13260" s="1" t="s">
        <v>8</v>
      </c>
      <c r="B13260" s="2">
        <v>44778.0</v>
      </c>
      <c r="C13260" s="3">
        <v>0.7109722222222222</v>
      </c>
      <c r="D13260" s="1">
        <v>12.724096</v>
      </c>
      <c r="E13260" s="1">
        <v>79.982104</v>
      </c>
      <c r="F13260" s="1">
        <v>2846.0</v>
      </c>
      <c r="G13260" s="1">
        <v>0.0</v>
      </c>
    </row>
    <row r="13261">
      <c r="A13261" s="1" t="s">
        <v>8</v>
      </c>
      <c r="B13261" s="2">
        <v>44778.0</v>
      </c>
      <c r="C13261" s="3">
        <v>0.711400462962963</v>
      </c>
      <c r="D13261" s="1">
        <v>12.989213</v>
      </c>
      <c r="E13261" s="1">
        <v>80.178333</v>
      </c>
      <c r="F13261" s="1">
        <v>5339.0</v>
      </c>
      <c r="G13261" s="1">
        <v>0.0</v>
      </c>
    </row>
    <row r="13262">
      <c r="A13262" s="1" t="s">
        <v>8</v>
      </c>
      <c r="B13262" s="2">
        <v>44778.0</v>
      </c>
      <c r="C13262" s="3">
        <v>0.7115046296296297</v>
      </c>
      <c r="D13262" s="1">
        <v>12.989213</v>
      </c>
      <c r="E13262" s="1">
        <v>80.178333</v>
      </c>
      <c r="F13262" s="1">
        <v>5339.0</v>
      </c>
      <c r="G13262" s="1">
        <v>0.0</v>
      </c>
    </row>
    <row r="13263">
      <c r="A13263" s="1" t="s">
        <v>8</v>
      </c>
      <c r="B13263" s="2">
        <v>44778.0</v>
      </c>
      <c r="C13263" s="3">
        <v>0.7117361111111111</v>
      </c>
      <c r="D13263" s="1">
        <v>12.989213</v>
      </c>
      <c r="E13263" s="1">
        <v>80.178333</v>
      </c>
      <c r="F13263" s="1">
        <v>5339.0</v>
      </c>
      <c r="G13263" s="1">
        <v>0.0</v>
      </c>
    </row>
    <row r="13264">
      <c r="A13264" s="1" t="s">
        <v>8</v>
      </c>
      <c r="B13264" s="2">
        <v>44778.0</v>
      </c>
      <c r="C13264" s="3">
        <v>0.7119675925925926</v>
      </c>
      <c r="D13264" s="1">
        <v>12.993747</v>
      </c>
      <c r="E13264" s="1">
        <v>80.184933</v>
      </c>
      <c r="F13264" s="1">
        <v>805.0</v>
      </c>
      <c r="G13264" s="1">
        <v>14.0</v>
      </c>
    </row>
    <row r="13265">
      <c r="A13265" s="1" t="s">
        <v>8</v>
      </c>
      <c r="B13265" s="2">
        <v>44778.0</v>
      </c>
      <c r="C13265" s="3">
        <v>0.7120486111111111</v>
      </c>
      <c r="D13265" s="1">
        <v>12.99014</v>
      </c>
      <c r="E13265" s="1">
        <v>80.179615</v>
      </c>
      <c r="F13265" s="1">
        <v>5339.0</v>
      </c>
      <c r="G13265" s="1">
        <v>38.0</v>
      </c>
    </row>
    <row r="13266">
      <c r="A13266" s="1" t="s">
        <v>8</v>
      </c>
      <c r="B13266" s="2">
        <v>44778.0</v>
      </c>
      <c r="C13266" s="3">
        <v>0.7124189814814815</v>
      </c>
      <c r="D13266" s="1">
        <v>12.995191</v>
      </c>
      <c r="E13266" s="1">
        <v>80.187761</v>
      </c>
      <c r="F13266" s="1">
        <v>805.0</v>
      </c>
      <c r="G13266" s="1">
        <v>52.0</v>
      </c>
    </row>
    <row r="13267">
      <c r="A13267" s="1" t="s">
        <v>8</v>
      </c>
      <c r="B13267" s="2">
        <v>44778.0</v>
      </c>
      <c r="C13267" s="3">
        <v>0.7126157407407407</v>
      </c>
      <c r="D13267" s="1">
        <v>12.995766</v>
      </c>
      <c r="E13267" s="1">
        <v>80.188856</v>
      </c>
      <c r="F13267" s="1">
        <v>805.0</v>
      </c>
      <c r="G13267" s="1">
        <v>0.0</v>
      </c>
    </row>
    <row r="13268">
      <c r="A13268" s="1" t="s">
        <v>8</v>
      </c>
      <c r="B13268" s="2">
        <v>44778.0</v>
      </c>
      <c r="C13268" s="3">
        <v>0.7126273148148148</v>
      </c>
      <c r="D13268" s="1">
        <v>12.699772</v>
      </c>
      <c r="E13268" s="1">
        <v>79.968752</v>
      </c>
      <c r="F13268" s="1">
        <v>2846.0</v>
      </c>
      <c r="G13268" s="1">
        <v>14.0</v>
      </c>
    </row>
    <row r="13269">
      <c r="A13269" s="1" t="s">
        <v>10</v>
      </c>
      <c r="B13269" s="2">
        <v>44778.0</v>
      </c>
      <c r="C13269" s="3">
        <v>0.7133101851851852</v>
      </c>
      <c r="D13269" s="1">
        <v>12.959839</v>
      </c>
      <c r="E13269" s="1">
        <v>80.144913</v>
      </c>
      <c r="F13269" s="1">
        <v>3143.0</v>
      </c>
      <c r="G13269" s="1">
        <v>9.0</v>
      </c>
    </row>
    <row r="13270">
      <c r="A13270" s="1" t="s">
        <v>8</v>
      </c>
      <c r="B13270" s="2">
        <v>44778.0</v>
      </c>
      <c r="C13270" s="3">
        <v>0.7133912037037037</v>
      </c>
      <c r="D13270" s="1">
        <v>12.998423</v>
      </c>
      <c r="E13270" s="1">
        <v>80.192077</v>
      </c>
      <c r="F13270" s="1">
        <v>805.0</v>
      </c>
      <c r="G13270" s="1">
        <v>40.0</v>
      </c>
    </row>
    <row r="13271">
      <c r="A13271" s="1" t="s">
        <v>8</v>
      </c>
      <c r="B13271" s="2">
        <v>44778.0</v>
      </c>
      <c r="C13271" s="3">
        <v>0.7133912037037037</v>
      </c>
      <c r="D13271" s="1">
        <v>12.998423</v>
      </c>
      <c r="E13271" s="1">
        <v>80.192077</v>
      </c>
      <c r="F13271" s="1">
        <v>805.0</v>
      </c>
      <c r="G13271" s="1">
        <v>40.0</v>
      </c>
    </row>
    <row r="13272">
      <c r="A13272" s="1" t="s">
        <v>8</v>
      </c>
      <c r="B13272" s="2">
        <v>44778.0</v>
      </c>
      <c r="C13272" s="3">
        <v>0.7134143518518519</v>
      </c>
      <c r="D13272" s="1">
        <v>12.998423</v>
      </c>
      <c r="E13272" s="1">
        <v>80.192077</v>
      </c>
      <c r="F13272" s="1">
        <v>805.0</v>
      </c>
      <c r="G13272" s="1">
        <v>40.0</v>
      </c>
    </row>
    <row r="13273">
      <c r="A13273" s="1" t="s">
        <v>8</v>
      </c>
      <c r="B13273" s="2">
        <v>44778.0</v>
      </c>
      <c r="C13273" s="3">
        <v>0.7135300925925926</v>
      </c>
      <c r="D13273" s="1">
        <v>12.998978</v>
      </c>
      <c r="E13273" s="1">
        <v>80.192744</v>
      </c>
      <c r="F13273" s="1">
        <v>805.0</v>
      </c>
      <c r="G13273" s="1">
        <v>28.0</v>
      </c>
    </row>
    <row r="13274">
      <c r="A13274" s="1" t="s">
        <v>8</v>
      </c>
      <c r="B13274" s="2">
        <v>44778.0</v>
      </c>
      <c r="C13274" s="3">
        <v>0.7136574074074075</v>
      </c>
      <c r="D13274" s="1">
        <v>12.697212</v>
      </c>
      <c r="E13274" s="1">
        <v>79.972847</v>
      </c>
      <c r="F13274" s="1">
        <v>2846.0</v>
      </c>
      <c r="G13274" s="1">
        <v>0.0</v>
      </c>
    </row>
    <row r="13275">
      <c r="A13275" s="1" t="s">
        <v>9</v>
      </c>
      <c r="B13275" s="2">
        <v>44778.0</v>
      </c>
      <c r="C13275" s="3">
        <v>0.7143055555555555</v>
      </c>
      <c r="D13275" s="1">
        <v>13.001406</v>
      </c>
      <c r="E13275" s="1">
        <v>80.1958</v>
      </c>
      <c r="F13275" s="1">
        <v>805.0</v>
      </c>
      <c r="G13275" s="1">
        <v>28.0</v>
      </c>
    </row>
    <row r="13276">
      <c r="A13276" s="1" t="s">
        <v>8</v>
      </c>
      <c r="B13276" s="2">
        <v>44778.0</v>
      </c>
      <c r="C13276" s="3">
        <v>0.7144212962962962</v>
      </c>
      <c r="D13276" s="1">
        <v>13.000572</v>
      </c>
      <c r="E13276" s="1">
        <v>80.194806</v>
      </c>
      <c r="F13276" s="1">
        <v>5339.0</v>
      </c>
      <c r="G13276" s="1">
        <v>12.0</v>
      </c>
    </row>
    <row r="13277">
      <c r="A13277" s="1" t="s">
        <v>8</v>
      </c>
      <c r="B13277" s="2">
        <v>44778.0</v>
      </c>
      <c r="C13277" s="3">
        <v>0.7144212962962962</v>
      </c>
      <c r="D13277" s="1">
        <v>13.000572</v>
      </c>
      <c r="E13277" s="1">
        <v>80.194806</v>
      </c>
      <c r="F13277" s="1">
        <v>5339.0</v>
      </c>
      <c r="G13277" s="1">
        <v>12.0</v>
      </c>
    </row>
    <row r="13278">
      <c r="A13278" s="1" t="s">
        <v>10</v>
      </c>
      <c r="B13278" s="2">
        <v>44778.0</v>
      </c>
      <c r="C13278" s="3">
        <v>0.7148726851851852</v>
      </c>
      <c r="D13278" s="1">
        <v>12.69669</v>
      </c>
      <c r="E13278" s="1">
        <v>79.976992</v>
      </c>
      <c r="F13278" s="1">
        <v>2846.0</v>
      </c>
      <c r="G13278" s="1">
        <v>0.0</v>
      </c>
    </row>
    <row r="13279">
      <c r="A13279" s="1" t="s">
        <v>8</v>
      </c>
      <c r="B13279" s="2">
        <v>44778.0</v>
      </c>
      <c r="C13279" s="3">
        <v>0.7149652777777777</v>
      </c>
      <c r="D13279" s="1">
        <v>13.003562</v>
      </c>
      <c r="E13279" s="1">
        <v>80.200848</v>
      </c>
      <c r="F13279" s="1">
        <v>805.0</v>
      </c>
      <c r="G13279" s="1">
        <v>27.0</v>
      </c>
    </row>
    <row r="13280">
      <c r="A13280" s="1" t="s">
        <v>8</v>
      </c>
      <c r="B13280" s="2">
        <v>44778.0</v>
      </c>
      <c r="C13280" s="3">
        <v>0.7149768518518519</v>
      </c>
      <c r="D13280" s="1">
        <v>13.001975</v>
      </c>
      <c r="E13280" s="1">
        <v>80.196638</v>
      </c>
      <c r="F13280" s="1">
        <v>5339.0</v>
      </c>
      <c r="G13280" s="1">
        <v>34.0</v>
      </c>
    </row>
    <row r="13281">
      <c r="A13281" s="1" t="s">
        <v>8</v>
      </c>
      <c r="B13281" s="2">
        <v>44778.0</v>
      </c>
      <c r="C13281" s="3">
        <v>0.7151736111111111</v>
      </c>
      <c r="D13281" s="1">
        <v>13.00436</v>
      </c>
      <c r="E13281" s="1">
        <v>80.201077</v>
      </c>
      <c r="F13281" s="1">
        <v>805.0</v>
      </c>
      <c r="G13281" s="1">
        <v>25.0</v>
      </c>
    </row>
    <row r="13282">
      <c r="A13282" s="1" t="s">
        <v>10</v>
      </c>
      <c r="B13282" s="2">
        <v>44778.0</v>
      </c>
      <c r="C13282" s="3">
        <v>0.7153819444444445</v>
      </c>
      <c r="D13282" s="1">
        <v>12.692365</v>
      </c>
      <c r="E13282" s="1">
        <v>79.979937</v>
      </c>
      <c r="F13282" s="1">
        <v>2846.0</v>
      </c>
      <c r="G13282" s="1">
        <v>35.0</v>
      </c>
    </row>
    <row r="13283">
      <c r="A13283" s="1" t="s">
        <v>8</v>
      </c>
      <c r="B13283" s="2">
        <v>44778.0</v>
      </c>
      <c r="C13283" s="3">
        <v>0.7155208333333334</v>
      </c>
      <c r="D13283" s="1">
        <v>13.003381</v>
      </c>
      <c r="E13283" s="1">
        <v>80.200829</v>
      </c>
      <c r="F13283" s="1">
        <v>5339.0</v>
      </c>
      <c r="G13283" s="1">
        <v>36.0</v>
      </c>
    </row>
    <row r="13284">
      <c r="A13284" s="1" t="s">
        <v>8</v>
      </c>
      <c r="B13284" s="2">
        <v>44778.0</v>
      </c>
      <c r="C13284" s="3">
        <v>0.7156712962962963</v>
      </c>
      <c r="D13284" s="1">
        <v>13.006548</v>
      </c>
      <c r="E13284" s="1">
        <v>80.203188</v>
      </c>
      <c r="F13284" s="1">
        <v>805.0</v>
      </c>
      <c r="G13284" s="1">
        <v>33.0</v>
      </c>
    </row>
    <row r="13285">
      <c r="A13285" s="1" t="s">
        <v>7</v>
      </c>
      <c r="B13285" s="2">
        <v>44778.0</v>
      </c>
      <c r="C13285" s="3">
        <v>0.7158333333333333</v>
      </c>
      <c r="D13285" s="1">
        <v>13.007842</v>
      </c>
      <c r="E13285" s="1">
        <v>80.203676</v>
      </c>
      <c r="F13285" s="1">
        <v>805.0</v>
      </c>
      <c r="G13285" s="1">
        <v>34.0</v>
      </c>
    </row>
    <row r="13286">
      <c r="A13286" s="1" t="s">
        <v>10</v>
      </c>
      <c r="B13286" s="2">
        <v>44778.0</v>
      </c>
      <c r="C13286" s="3">
        <v>0.7158449074074074</v>
      </c>
      <c r="D13286" s="1">
        <v>12.969884</v>
      </c>
      <c r="E13286" s="1">
        <v>80.147302</v>
      </c>
      <c r="F13286" s="1">
        <v>3143.0</v>
      </c>
      <c r="G13286" s="1">
        <v>5.0</v>
      </c>
    </row>
    <row r="13287">
      <c r="A13287" s="1" t="s">
        <v>8</v>
      </c>
      <c r="B13287" s="2">
        <v>44778.0</v>
      </c>
      <c r="C13287" s="3">
        <v>0.7159375</v>
      </c>
      <c r="D13287" s="1">
        <v>13.008098</v>
      </c>
      <c r="E13287" s="1">
        <v>80.202763</v>
      </c>
      <c r="F13287" s="1">
        <v>805.0</v>
      </c>
      <c r="G13287" s="1">
        <v>39.0</v>
      </c>
    </row>
    <row r="13288">
      <c r="A13288" s="1" t="s">
        <v>8</v>
      </c>
      <c r="B13288" s="2">
        <v>44778.0</v>
      </c>
      <c r="C13288" s="3">
        <v>0.7160069444444445</v>
      </c>
      <c r="D13288" s="1">
        <v>13.008098</v>
      </c>
      <c r="E13288" s="1">
        <v>80.202763</v>
      </c>
      <c r="F13288" s="1">
        <v>805.0</v>
      </c>
      <c r="G13288" s="1">
        <v>39.0</v>
      </c>
    </row>
    <row r="13289">
      <c r="A13289" s="1" t="s">
        <v>8</v>
      </c>
      <c r="B13289" s="2">
        <v>44778.0</v>
      </c>
      <c r="C13289" s="3">
        <v>0.7160763888888889</v>
      </c>
      <c r="D13289" s="1">
        <v>13.007632</v>
      </c>
      <c r="E13289" s="1">
        <v>80.204362</v>
      </c>
      <c r="F13289" s="1">
        <v>805.0</v>
      </c>
      <c r="G13289" s="1">
        <v>55.0</v>
      </c>
    </row>
    <row r="13290">
      <c r="A13290" s="1" t="s">
        <v>8</v>
      </c>
      <c r="B13290" s="2">
        <v>44778.0</v>
      </c>
      <c r="C13290" s="3">
        <v>0.7160763888888889</v>
      </c>
      <c r="D13290" s="1">
        <v>13.007632</v>
      </c>
      <c r="E13290" s="1">
        <v>80.204362</v>
      </c>
      <c r="F13290" s="1">
        <v>805.0</v>
      </c>
      <c r="G13290" s="1">
        <v>55.0</v>
      </c>
    </row>
    <row r="13291">
      <c r="A13291" s="1" t="s">
        <v>8</v>
      </c>
      <c r="B13291" s="2">
        <v>44778.0</v>
      </c>
      <c r="C13291" s="3">
        <v>0.7161226851851852</v>
      </c>
      <c r="D13291" s="1">
        <v>13.007632</v>
      </c>
      <c r="E13291" s="1">
        <v>80.204362</v>
      </c>
      <c r="F13291" s="1">
        <v>805.0</v>
      </c>
      <c r="G13291" s="1">
        <v>55.0</v>
      </c>
    </row>
    <row r="13292">
      <c r="A13292" s="1" t="s">
        <v>8</v>
      </c>
      <c r="B13292" s="2">
        <v>44778.0</v>
      </c>
      <c r="C13292" s="3">
        <v>0.716412037037037</v>
      </c>
      <c r="D13292" s="1">
        <v>13.00781</v>
      </c>
      <c r="E13292" s="1">
        <v>80.206577</v>
      </c>
      <c r="F13292" s="1">
        <v>805.0</v>
      </c>
      <c r="G13292" s="1">
        <v>50.0</v>
      </c>
    </row>
    <row r="13293">
      <c r="A13293" s="1" t="s">
        <v>8</v>
      </c>
      <c r="B13293" s="2">
        <v>44778.0</v>
      </c>
      <c r="C13293" s="3">
        <v>0.7165393518518518</v>
      </c>
      <c r="D13293" s="1">
        <v>13.008486</v>
      </c>
      <c r="E13293" s="1">
        <v>80.203096</v>
      </c>
      <c r="F13293" s="1">
        <v>5339.0</v>
      </c>
      <c r="G13293" s="1">
        <v>37.0</v>
      </c>
    </row>
    <row r="13294">
      <c r="A13294" s="1" t="s">
        <v>8</v>
      </c>
      <c r="B13294" s="2">
        <v>44778.0</v>
      </c>
      <c r="C13294" s="3">
        <v>0.7166435185185185</v>
      </c>
      <c r="D13294" s="1">
        <v>13.007571</v>
      </c>
      <c r="E13294" s="1">
        <v>80.203483</v>
      </c>
      <c r="F13294" s="1">
        <v>5339.0</v>
      </c>
      <c r="G13294" s="1">
        <v>45.0</v>
      </c>
    </row>
    <row r="13295">
      <c r="A13295" s="1" t="s">
        <v>8</v>
      </c>
      <c r="B13295" s="2">
        <v>44778.0</v>
      </c>
      <c r="C13295" s="3">
        <v>0.7166666666666667</v>
      </c>
      <c r="D13295" s="1">
        <v>13.007571</v>
      </c>
      <c r="E13295" s="1">
        <v>80.203483</v>
      </c>
      <c r="F13295" s="1">
        <v>5339.0</v>
      </c>
      <c r="G13295" s="1">
        <v>45.0</v>
      </c>
    </row>
    <row r="13296">
      <c r="A13296" s="1" t="s">
        <v>8</v>
      </c>
      <c r="B13296" s="2">
        <v>44778.0</v>
      </c>
      <c r="C13296" s="3">
        <v>0.7166666666666667</v>
      </c>
      <c r="D13296" s="1">
        <v>13.007571</v>
      </c>
      <c r="E13296" s="1">
        <v>80.203483</v>
      </c>
      <c r="F13296" s="1">
        <v>5339.0</v>
      </c>
      <c r="G13296" s="1">
        <v>45.0</v>
      </c>
    </row>
    <row r="13297">
      <c r="A13297" s="1" t="s">
        <v>8</v>
      </c>
      <c r="B13297" s="2">
        <v>44778.0</v>
      </c>
      <c r="C13297" s="3">
        <v>0.7168055555555556</v>
      </c>
      <c r="D13297" s="1">
        <v>13.008982</v>
      </c>
      <c r="E13297" s="1">
        <v>80.211677</v>
      </c>
      <c r="F13297" s="1">
        <v>805.0</v>
      </c>
      <c r="G13297" s="1">
        <v>46.0</v>
      </c>
    </row>
    <row r="13298">
      <c r="A13298" s="1" t="s">
        <v>8</v>
      </c>
      <c r="B13298" s="2">
        <v>44778.0</v>
      </c>
      <c r="C13298" s="3">
        <v>0.7168287037037037</v>
      </c>
      <c r="D13298" s="1">
        <v>13.008982</v>
      </c>
      <c r="E13298" s="1">
        <v>80.211677</v>
      </c>
      <c r="F13298" s="1">
        <v>805.0</v>
      </c>
      <c r="G13298" s="1">
        <v>46.0</v>
      </c>
    </row>
    <row r="13299">
      <c r="A13299" s="1" t="s">
        <v>8</v>
      </c>
      <c r="B13299" s="2">
        <v>44778.0</v>
      </c>
      <c r="C13299" s="3">
        <v>0.717025462962963</v>
      </c>
      <c r="D13299" s="1">
        <v>13.007914</v>
      </c>
      <c r="E13299" s="1">
        <v>80.207504</v>
      </c>
      <c r="F13299" s="1">
        <v>5339.0</v>
      </c>
      <c r="G13299" s="1">
        <v>34.0</v>
      </c>
    </row>
    <row r="13300">
      <c r="A13300" s="1" t="s">
        <v>8</v>
      </c>
      <c r="B13300" s="2">
        <v>44778.0</v>
      </c>
      <c r="C13300" s="3">
        <v>0.7172222222222222</v>
      </c>
      <c r="D13300" s="1">
        <v>13.010184</v>
      </c>
      <c r="E13300" s="1">
        <v>80.215205</v>
      </c>
      <c r="F13300" s="1">
        <v>805.0</v>
      </c>
      <c r="G13300" s="1">
        <v>44.0</v>
      </c>
    </row>
    <row r="13301">
      <c r="A13301" s="1" t="s">
        <v>10</v>
      </c>
      <c r="B13301" s="2">
        <v>44778.0</v>
      </c>
      <c r="C13301" s="3">
        <v>0.7179513888888889</v>
      </c>
      <c r="D13301" s="1">
        <v>12.972376</v>
      </c>
      <c r="E13301" s="1">
        <v>80.139076</v>
      </c>
      <c r="F13301" s="1">
        <v>3143.0</v>
      </c>
      <c r="G13301" s="1">
        <v>20.0</v>
      </c>
    </row>
    <row r="13302">
      <c r="A13302" s="1" t="s">
        <v>10</v>
      </c>
      <c r="B13302" s="2">
        <v>44778.0</v>
      </c>
      <c r="C13302" s="3">
        <v>0.7184606481481481</v>
      </c>
      <c r="D13302" s="1">
        <v>12.972978</v>
      </c>
      <c r="E13302" s="1">
        <v>80.137865</v>
      </c>
      <c r="F13302" s="1">
        <v>3143.0</v>
      </c>
      <c r="G13302" s="1">
        <v>0.0</v>
      </c>
    </row>
    <row r="13303">
      <c r="A13303" s="1" t="s">
        <v>10</v>
      </c>
      <c r="B13303" s="2">
        <v>44778.0</v>
      </c>
      <c r="C13303" s="3">
        <v>0.7186458333333333</v>
      </c>
      <c r="D13303" s="1">
        <v>12.973329</v>
      </c>
      <c r="E13303" s="1">
        <v>80.1369</v>
      </c>
      <c r="F13303" s="1">
        <v>3143.0</v>
      </c>
      <c r="G13303" s="1">
        <v>20.0</v>
      </c>
    </row>
    <row r="13304">
      <c r="A13304" s="1" t="s">
        <v>8</v>
      </c>
      <c r="B13304" s="2">
        <v>44778.0</v>
      </c>
      <c r="C13304" s="3">
        <v>0.7186689814814815</v>
      </c>
      <c r="D13304" s="1">
        <v>13.015087</v>
      </c>
      <c r="E13304" s="1">
        <v>80.224784</v>
      </c>
      <c r="F13304" s="1">
        <v>805.0</v>
      </c>
      <c r="G13304" s="1">
        <v>24.0</v>
      </c>
    </row>
    <row r="13305">
      <c r="A13305" s="1" t="s">
        <v>8</v>
      </c>
      <c r="B13305" s="2">
        <v>44778.0</v>
      </c>
      <c r="C13305" s="3">
        <v>0.7186921296296296</v>
      </c>
      <c r="D13305" s="1">
        <v>13.015087</v>
      </c>
      <c r="E13305" s="1">
        <v>80.224784</v>
      </c>
      <c r="F13305" s="1">
        <v>805.0</v>
      </c>
      <c r="G13305" s="1">
        <v>24.0</v>
      </c>
    </row>
    <row r="13306">
      <c r="A13306" s="1" t="s">
        <v>8</v>
      </c>
      <c r="B13306" s="2">
        <v>44778.0</v>
      </c>
      <c r="C13306" s="3">
        <v>0.7187152777777778</v>
      </c>
      <c r="D13306" s="1">
        <v>13.009475</v>
      </c>
      <c r="E13306" s="1">
        <v>80.212905</v>
      </c>
      <c r="F13306" s="1">
        <v>5339.0</v>
      </c>
      <c r="G13306" s="1">
        <v>25.0</v>
      </c>
    </row>
    <row r="13307">
      <c r="A13307" s="1" t="s">
        <v>8</v>
      </c>
      <c r="B13307" s="2">
        <v>44778.0</v>
      </c>
      <c r="C13307" s="3">
        <v>0.71875</v>
      </c>
      <c r="D13307" s="1">
        <v>13.015087</v>
      </c>
      <c r="E13307" s="1">
        <v>80.224784</v>
      </c>
      <c r="F13307" s="1">
        <v>805.0</v>
      </c>
      <c r="G13307" s="1">
        <v>24.0</v>
      </c>
    </row>
    <row r="13308">
      <c r="A13308" s="1" t="s">
        <v>8</v>
      </c>
      <c r="B13308" s="2">
        <v>44778.0</v>
      </c>
      <c r="C13308" s="3">
        <v>0.718761574074074</v>
      </c>
      <c r="D13308" s="1">
        <v>13.015087</v>
      </c>
      <c r="E13308" s="1">
        <v>80.224784</v>
      </c>
      <c r="F13308" s="1">
        <v>805.0</v>
      </c>
      <c r="G13308" s="1">
        <v>24.0</v>
      </c>
    </row>
    <row r="13309">
      <c r="A13309" s="1" t="s">
        <v>8</v>
      </c>
      <c r="B13309" s="2">
        <v>44778.0</v>
      </c>
      <c r="C13309" s="3">
        <v>0.7188194444444445</v>
      </c>
      <c r="D13309" s="1">
        <v>13.009475</v>
      </c>
      <c r="E13309" s="1">
        <v>80.212905</v>
      </c>
      <c r="F13309" s="1">
        <v>5339.0</v>
      </c>
      <c r="G13309" s="1">
        <v>25.0</v>
      </c>
    </row>
    <row r="13310">
      <c r="A13310" s="1" t="s">
        <v>8</v>
      </c>
      <c r="B13310" s="2">
        <v>44778.0</v>
      </c>
      <c r="C13310" s="3">
        <v>0.7188194444444445</v>
      </c>
      <c r="D13310" s="1">
        <v>13.009475</v>
      </c>
      <c r="E13310" s="1">
        <v>80.212905</v>
      </c>
      <c r="F13310" s="1">
        <v>5339.0</v>
      </c>
      <c r="G13310" s="1">
        <v>25.0</v>
      </c>
    </row>
    <row r="13311">
      <c r="A13311" s="1" t="s">
        <v>8</v>
      </c>
      <c r="B13311" s="2">
        <v>44778.0</v>
      </c>
      <c r="C13311" s="3">
        <v>0.7189236111111111</v>
      </c>
      <c r="D13311" s="1">
        <v>13.009922</v>
      </c>
      <c r="E13311" s="1">
        <v>80.214035</v>
      </c>
      <c r="F13311" s="1">
        <v>5339.0</v>
      </c>
      <c r="G13311" s="1">
        <v>26.0</v>
      </c>
    </row>
    <row r="13312">
      <c r="A13312" s="1" t="s">
        <v>8</v>
      </c>
      <c r="B13312" s="2">
        <v>44778.0</v>
      </c>
      <c r="C13312" s="3">
        <v>0.7189930555555556</v>
      </c>
      <c r="D13312" s="1">
        <v>13.015463</v>
      </c>
      <c r="E13312" s="1">
        <v>80.22543</v>
      </c>
      <c r="F13312" s="1">
        <v>805.0</v>
      </c>
      <c r="G13312" s="1">
        <v>13.0</v>
      </c>
    </row>
    <row r="13313">
      <c r="A13313" s="1" t="s">
        <v>8</v>
      </c>
      <c r="B13313" s="2">
        <v>44778.0</v>
      </c>
      <c r="C13313" s="3">
        <v>0.7190277777777778</v>
      </c>
      <c r="D13313" s="1">
        <v>13.009922</v>
      </c>
      <c r="E13313" s="1">
        <v>80.214035</v>
      </c>
      <c r="F13313" s="1">
        <v>5339.0</v>
      </c>
      <c r="G13313" s="1">
        <v>26.0</v>
      </c>
    </row>
    <row r="13314">
      <c r="A13314" s="1" t="s">
        <v>8</v>
      </c>
      <c r="B13314" s="2">
        <v>44778.0</v>
      </c>
      <c r="C13314" s="3">
        <v>0.7190509259259259</v>
      </c>
      <c r="D13314" s="1">
        <v>13.009922</v>
      </c>
      <c r="E13314" s="1">
        <v>80.214035</v>
      </c>
      <c r="F13314" s="1">
        <v>5339.0</v>
      </c>
      <c r="G13314" s="1">
        <v>26.0</v>
      </c>
    </row>
    <row r="13315">
      <c r="A13315" s="1" t="s">
        <v>8</v>
      </c>
      <c r="B13315" s="2">
        <v>44778.0</v>
      </c>
      <c r="C13315" s="3">
        <v>0.7190625</v>
      </c>
      <c r="D13315" s="1">
        <v>13.009922</v>
      </c>
      <c r="E13315" s="1">
        <v>80.214035</v>
      </c>
      <c r="F13315" s="1">
        <v>5339.0</v>
      </c>
      <c r="G13315" s="1">
        <v>26.0</v>
      </c>
    </row>
    <row r="13316">
      <c r="A13316" s="1" t="s">
        <v>8</v>
      </c>
      <c r="B13316" s="2">
        <v>44778.0</v>
      </c>
      <c r="C13316" s="3">
        <v>0.7191666666666666</v>
      </c>
      <c r="D13316" s="1">
        <v>13.015155</v>
      </c>
      <c r="E13316" s="1">
        <v>80.225837</v>
      </c>
      <c r="F13316" s="1">
        <v>805.0</v>
      </c>
      <c r="G13316" s="1">
        <v>19.0</v>
      </c>
    </row>
    <row r="13317">
      <c r="A13317" s="1" t="s">
        <v>8</v>
      </c>
      <c r="B13317" s="2">
        <v>44778.0</v>
      </c>
      <c r="C13317" s="3">
        <v>0.7192708333333333</v>
      </c>
      <c r="D13317" s="1">
        <v>13.010634</v>
      </c>
      <c r="E13317" s="1">
        <v>80.216422</v>
      </c>
      <c r="F13317" s="1">
        <v>5339.0</v>
      </c>
      <c r="G13317" s="1">
        <v>33.0</v>
      </c>
    </row>
    <row r="13318">
      <c r="A13318" s="1" t="s">
        <v>8</v>
      </c>
      <c r="B13318" s="2">
        <v>44778.0</v>
      </c>
      <c r="C13318" s="3">
        <v>0.7192939814814815</v>
      </c>
      <c r="D13318" s="1">
        <v>13.014209</v>
      </c>
      <c r="E13318" s="1">
        <v>80.226231</v>
      </c>
      <c r="F13318" s="1">
        <v>805.0</v>
      </c>
      <c r="G13318" s="1">
        <v>27.0</v>
      </c>
    </row>
    <row r="13319">
      <c r="A13319" s="1" t="s">
        <v>10</v>
      </c>
      <c r="B13319" s="2">
        <v>44778.0</v>
      </c>
      <c r="C13319" s="3">
        <v>0.7196527777777778</v>
      </c>
      <c r="D13319" s="1">
        <v>12.975142</v>
      </c>
      <c r="E13319" s="1">
        <v>80.135318</v>
      </c>
      <c r="F13319" s="1">
        <v>3143.0</v>
      </c>
      <c r="G13319" s="1">
        <v>20.0</v>
      </c>
    </row>
    <row r="13320">
      <c r="A13320" s="1" t="s">
        <v>8</v>
      </c>
      <c r="B13320" s="2">
        <v>44778.0</v>
      </c>
      <c r="C13320" s="3">
        <v>0.7196643518518518</v>
      </c>
      <c r="D13320" s="1">
        <v>13.011348</v>
      </c>
      <c r="E13320" s="1">
        <v>80.227407</v>
      </c>
      <c r="F13320" s="1">
        <v>805.0</v>
      </c>
      <c r="G13320" s="1">
        <v>35.0</v>
      </c>
    </row>
    <row r="13321">
      <c r="A13321" s="1" t="s">
        <v>10</v>
      </c>
      <c r="B13321" s="2">
        <v>44778.0</v>
      </c>
      <c r="C13321" s="3">
        <v>0.7196875</v>
      </c>
      <c r="D13321" s="1">
        <v>12.975142</v>
      </c>
      <c r="E13321" s="1">
        <v>80.135318</v>
      </c>
      <c r="F13321" s="1">
        <v>3143.0</v>
      </c>
      <c r="G13321" s="1">
        <v>20.0</v>
      </c>
    </row>
    <row r="13322">
      <c r="A13322" s="1" t="s">
        <v>8</v>
      </c>
      <c r="B13322" s="2">
        <v>44778.0</v>
      </c>
      <c r="C13322" s="3">
        <v>0.7200231481481482</v>
      </c>
      <c r="D13322" s="1">
        <v>12.676346</v>
      </c>
      <c r="E13322" s="1">
        <v>79.978495</v>
      </c>
      <c r="F13322" s="1">
        <v>2846.0</v>
      </c>
      <c r="G13322" s="1">
        <v>46.0</v>
      </c>
    </row>
    <row r="13323">
      <c r="A13323" s="1" t="s">
        <v>8</v>
      </c>
      <c r="B13323" s="2">
        <v>44778.0</v>
      </c>
      <c r="C13323" s="3">
        <v>0.7207986111111111</v>
      </c>
      <c r="D13323" s="1">
        <v>13.007958</v>
      </c>
      <c r="E13323" s="1">
        <v>80.234738</v>
      </c>
      <c r="F13323" s="1">
        <v>805.0</v>
      </c>
      <c r="G13323" s="1">
        <v>2.0</v>
      </c>
    </row>
    <row r="13324">
      <c r="A13324" s="1" t="s">
        <v>8</v>
      </c>
      <c r="B13324" s="2">
        <v>44778.0</v>
      </c>
      <c r="C13324" s="3">
        <v>0.7208680555555556</v>
      </c>
      <c r="D13324" s="1">
        <v>13.007958</v>
      </c>
      <c r="E13324" s="1">
        <v>80.234738</v>
      </c>
      <c r="F13324" s="1">
        <v>805.0</v>
      </c>
      <c r="G13324" s="1">
        <v>2.0</v>
      </c>
    </row>
    <row r="13325">
      <c r="A13325" s="1" t="s">
        <v>8</v>
      </c>
      <c r="B13325" s="2">
        <v>44778.0</v>
      </c>
      <c r="C13325" s="3">
        <v>0.7208796296296296</v>
      </c>
      <c r="D13325" s="1">
        <v>13.007958</v>
      </c>
      <c r="E13325" s="1">
        <v>80.234738</v>
      </c>
      <c r="F13325" s="1">
        <v>805.0</v>
      </c>
      <c r="G13325" s="1">
        <v>2.0</v>
      </c>
    </row>
    <row r="13326">
      <c r="A13326" s="1" t="s">
        <v>8</v>
      </c>
      <c r="B13326" s="2">
        <v>44778.0</v>
      </c>
      <c r="C13326" s="3">
        <v>0.7217939814814814</v>
      </c>
      <c r="D13326" s="1">
        <v>13.007295</v>
      </c>
      <c r="E13326" s="1">
        <v>80.238092</v>
      </c>
      <c r="F13326" s="1">
        <v>805.0</v>
      </c>
      <c r="G13326" s="1">
        <v>4.0</v>
      </c>
    </row>
    <row r="13327">
      <c r="A13327" s="1" t="s">
        <v>8</v>
      </c>
      <c r="B13327" s="2">
        <v>44778.0</v>
      </c>
      <c r="C13327" s="3">
        <v>0.7218518518518519</v>
      </c>
      <c r="D13327" s="1">
        <v>13.007242</v>
      </c>
      <c r="E13327" s="1">
        <v>80.23828</v>
      </c>
      <c r="F13327" s="1">
        <v>805.0</v>
      </c>
      <c r="G13327" s="1">
        <v>7.0</v>
      </c>
    </row>
    <row r="13328">
      <c r="A13328" s="1" t="s">
        <v>8</v>
      </c>
      <c r="B13328" s="2">
        <v>44778.0</v>
      </c>
      <c r="C13328" s="3">
        <v>0.7218518518518519</v>
      </c>
      <c r="D13328" s="1">
        <v>13.007242</v>
      </c>
      <c r="E13328" s="1">
        <v>80.23828</v>
      </c>
      <c r="F13328" s="1">
        <v>805.0</v>
      </c>
      <c r="G13328" s="1">
        <v>7.0</v>
      </c>
    </row>
    <row r="13329">
      <c r="A13329" s="1" t="s">
        <v>8</v>
      </c>
      <c r="B13329" s="2">
        <v>44778.0</v>
      </c>
      <c r="C13329" s="3">
        <v>0.7220138888888888</v>
      </c>
      <c r="D13329" s="1">
        <v>13.007082</v>
      </c>
      <c r="E13329" s="1">
        <v>80.239084</v>
      </c>
      <c r="F13329" s="1">
        <v>805.0</v>
      </c>
      <c r="G13329" s="1">
        <v>18.0</v>
      </c>
    </row>
    <row r="13330">
      <c r="A13330" s="1" t="s">
        <v>7</v>
      </c>
      <c r="B13330" s="2">
        <v>44778.0</v>
      </c>
      <c r="C13330" s="3">
        <v>0.7220717592592593</v>
      </c>
      <c r="D13330" s="1">
        <v>12.669038</v>
      </c>
      <c r="E13330" s="1">
        <v>79.974174</v>
      </c>
      <c r="F13330" s="1">
        <v>2846.0</v>
      </c>
      <c r="G13330" s="1">
        <v>37.0</v>
      </c>
    </row>
    <row r="13331">
      <c r="A13331" s="1" t="s">
        <v>8</v>
      </c>
      <c r="B13331" s="2">
        <v>44778.0</v>
      </c>
      <c r="C13331" s="3">
        <v>0.7222569444444444</v>
      </c>
      <c r="D13331" s="1">
        <v>13.022645</v>
      </c>
      <c r="E13331" s="1">
        <v>80.2268</v>
      </c>
      <c r="F13331" s="1">
        <v>5339.0</v>
      </c>
      <c r="G13331" s="1">
        <v>47.0</v>
      </c>
    </row>
    <row r="13332">
      <c r="A13332" s="1" t="s">
        <v>8</v>
      </c>
      <c r="B13332" s="2">
        <v>44778.0</v>
      </c>
      <c r="C13332" s="3">
        <v>0.7224305555555556</v>
      </c>
      <c r="D13332" s="1">
        <v>13.006716</v>
      </c>
      <c r="E13332" s="1">
        <v>80.241087</v>
      </c>
      <c r="F13332" s="1">
        <v>805.0</v>
      </c>
      <c r="G13332" s="1">
        <v>22.0</v>
      </c>
    </row>
    <row r="13333">
      <c r="A13333" s="1" t="s">
        <v>8</v>
      </c>
      <c r="B13333" s="2">
        <v>44778.0</v>
      </c>
      <c r="C13333" s="3">
        <v>0.7229050925925926</v>
      </c>
      <c r="D13333" s="1">
        <v>12.66065</v>
      </c>
      <c r="E13333" s="1">
        <v>79.966044</v>
      </c>
      <c r="F13333" s="1">
        <v>2846.0</v>
      </c>
      <c r="G13333" s="1">
        <v>48.0</v>
      </c>
    </row>
    <row r="13334">
      <c r="A13334" s="1" t="s">
        <v>8</v>
      </c>
      <c r="B13334" s="2">
        <v>44778.0</v>
      </c>
      <c r="C13334" s="3">
        <v>0.723912037037037</v>
      </c>
      <c r="D13334" s="1">
        <v>12.656405</v>
      </c>
      <c r="E13334" s="1">
        <v>79.955053</v>
      </c>
      <c r="F13334" s="1">
        <v>2846.0</v>
      </c>
      <c r="G13334" s="1">
        <v>58.0</v>
      </c>
    </row>
    <row r="13335">
      <c r="A13335" s="1" t="s">
        <v>8</v>
      </c>
      <c r="B13335" s="2">
        <v>44778.0</v>
      </c>
      <c r="C13335" s="3">
        <v>0.7240740740740741</v>
      </c>
      <c r="D13335" s="1">
        <v>13.006788</v>
      </c>
      <c r="E13335" s="1">
        <v>80.247845</v>
      </c>
      <c r="F13335" s="1">
        <v>805.0</v>
      </c>
      <c r="G13335" s="1">
        <v>11.0</v>
      </c>
    </row>
    <row r="13336">
      <c r="A13336" s="1" t="s">
        <v>8</v>
      </c>
      <c r="B13336" s="2">
        <v>44778.0</v>
      </c>
      <c r="C13336" s="3">
        <v>0.7244328703703704</v>
      </c>
      <c r="D13336" s="1">
        <v>13.02906</v>
      </c>
      <c r="E13336" s="1">
        <v>80.236641</v>
      </c>
      <c r="F13336" s="1">
        <v>5339.0</v>
      </c>
      <c r="G13336" s="1">
        <v>34.0</v>
      </c>
    </row>
    <row r="13337">
      <c r="A13337" s="1" t="s">
        <v>8</v>
      </c>
      <c r="B13337" s="2">
        <v>44778.0</v>
      </c>
      <c r="C13337" s="3">
        <v>0.7244560185185185</v>
      </c>
      <c r="D13337" s="1">
        <v>13.02906</v>
      </c>
      <c r="E13337" s="1">
        <v>80.236641</v>
      </c>
      <c r="F13337" s="1">
        <v>5339.0</v>
      </c>
      <c r="G13337" s="1">
        <v>34.0</v>
      </c>
    </row>
    <row r="13338">
      <c r="A13338" s="1" t="s">
        <v>8</v>
      </c>
      <c r="B13338" s="2">
        <v>44778.0</v>
      </c>
      <c r="C13338" s="3">
        <v>0.7252777777777778</v>
      </c>
      <c r="D13338" s="1">
        <v>13.031168</v>
      </c>
      <c r="E13338" s="1">
        <v>80.239933</v>
      </c>
      <c r="F13338" s="1">
        <v>5339.0</v>
      </c>
      <c r="G13338" s="1">
        <v>34.0</v>
      </c>
    </row>
    <row r="13339">
      <c r="A13339" s="1" t="s">
        <v>10</v>
      </c>
      <c r="B13339" s="2">
        <v>44778.0</v>
      </c>
      <c r="C13339" s="3">
        <v>0.7253240740740741</v>
      </c>
      <c r="D13339" s="1">
        <v>12.981546</v>
      </c>
      <c r="E13339" s="1">
        <v>80.138766</v>
      </c>
      <c r="F13339" s="1">
        <v>3143.0</v>
      </c>
      <c r="G13339" s="1">
        <v>14.0</v>
      </c>
    </row>
    <row r="13340">
      <c r="A13340" s="1" t="s">
        <v>8</v>
      </c>
      <c r="B13340" s="2">
        <v>44778.0</v>
      </c>
      <c r="C13340" s="3">
        <v>0.7253703703703703</v>
      </c>
      <c r="D13340" s="1">
        <v>13.00686</v>
      </c>
      <c r="E13340" s="1">
        <v>80.251492</v>
      </c>
      <c r="F13340" s="1">
        <v>805.0</v>
      </c>
      <c r="G13340" s="1">
        <v>0.0</v>
      </c>
    </row>
    <row r="13341">
      <c r="A13341" s="1" t="s">
        <v>8</v>
      </c>
      <c r="B13341" s="2">
        <v>44778.0</v>
      </c>
      <c r="C13341" s="3">
        <v>0.7255671296296297</v>
      </c>
      <c r="D13341" s="1">
        <v>13.032138</v>
      </c>
      <c r="E13341" s="1">
        <v>80.241901</v>
      </c>
      <c r="F13341" s="1">
        <v>5339.0</v>
      </c>
      <c r="G13341" s="1">
        <v>26.0</v>
      </c>
    </row>
    <row r="13342">
      <c r="A13342" s="1" t="s">
        <v>8</v>
      </c>
      <c r="B13342" s="2">
        <v>44778.0</v>
      </c>
      <c r="C13342" s="3">
        <v>0.7255787037037037</v>
      </c>
      <c r="D13342" s="1">
        <v>13.032138</v>
      </c>
      <c r="E13342" s="1">
        <v>80.241901</v>
      </c>
      <c r="F13342" s="1">
        <v>5339.0</v>
      </c>
      <c r="G13342" s="1">
        <v>26.0</v>
      </c>
    </row>
    <row r="13343">
      <c r="A13343" s="1" t="s">
        <v>10</v>
      </c>
      <c r="B13343" s="2">
        <v>44778.0</v>
      </c>
      <c r="C13343" s="3">
        <v>0.7264236111111111</v>
      </c>
      <c r="D13343" s="1">
        <v>12.977185</v>
      </c>
      <c r="E13343" s="1">
        <v>80.135693</v>
      </c>
      <c r="F13343" s="1">
        <v>3143.0</v>
      </c>
      <c r="G13343" s="1">
        <v>18.0</v>
      </c>
    </row>
    <row r="13344">
      <c r="A13344" s="1" t="s">
        <v>8</v>
      </c>
      <c r="B13344" s="2">
        <v>44778.0</v>
      </c>
      <c r="C13344" s="3">
        <v>0.7268518518518519</v>
      </c>
      <c r="D13344" s="1">
        <v>13.035362</v>
      </c>
      <c r="E13344" s="1">
        <v>80.245949</v>
      </c>
      <c r="F13344" s="1">
        <v>5339.0</v>
      </c>
      <c r="G13344" s="1">
        <v>22.0</v>
      </c>
    </row>
    <row r="13345">
      <c r="A13345" s="1" t="s">
        <v>10</v>
      </c>
      <c r="B13345" s="2">
        <v>44778.0</v>
      </c>
      <c r="C13345" s="3">
        <v>0.7273842592592593</v>
      </c>
      <c r="D13345" s="1">
        <v>12.974607</v>
      </c>
      <c r="E13345" s="1">
        <v>80.135262</v>
      </c>
      <c r="F13345" s="1">
        <v>3143.0</v>
      </c>
      <c r="G13345" s="1">
        <v>1.0</v>
      </c>
    </row>
    <row r="13346">
      <c r="A13346" s="1" t="s">
        <v>10</v>
      </c>
      <c r="B13346" s="2">
        <v>44778.0</v>
      </c>
      <c r="C13346" s="3">
        <v>0.727650462962963</v>
      </c>
      <c r="D13346" s="1">
        <v>12.974474</v>
      </c>
      <c r="E13346" s="1">
        <v>80.135178</v>
      </c>
      <c r="F13346" s="1">
        <v>3143.0</v>
      </c>
      <c r="G13346" s="1">
        <v>5.0</v>
      </c>
    </row>
    <row r="13347">
      <c r="A13347" s="1" t="s">
        <v>10</v>
      </c>
      <c r="B13347" s="2">
        <v>44778.0</v>
      </c>
      <c r="C13347" s="3">
        <v>0.7279861111111111</v>
      </c>
      <c r="D13347" s="1">
        <v>12.974708</v>
      </c>
      <c r="E13347" s="1">
        <v>80.133995</v>
      </c>
      <c r="F13347" s="1">
        <v>3143.0</v>
      </c>
      <c r="G13347" s="1">
        <v>11.0</v>
      </c>
    </row>
    <row r="13348">
      <c r="A13348" s="1" t="s">
        <v>7</v>
      </c>
      <c r="B13348" s="2">
        <v>44778.0</v>
      </c>
      <c r="C13348" s="3">
        <v>0.7281134259259259</v>
      </c>
      <c r="D13348" s="1">
        <v>13.008507</v>
      </c>
      <c r="E13348" s="1">
        <v>80.25895</v>
      </c>
      <c r="F13348" s="1">
        <v>805.0</v>
      </c>
      <c r="G13348" s="1">
        <v>13.0</v>
      </c>
    </row>
    <row r="13349">
      <c r="A13349" s="1" t="s">
        <v>10</v>
      </c>
      <c r="B13349" s="2">
        <v>44778.0</v>
      </c>
      <c r="C13349" s="3">
        <v>0.7286921296296296</v>
      </c>
      <c r="D13349" s="1">
        <v>12.976336</v>
      </c>
      <c r="E13349" s="1">
        <v>80.132732</v>
      </c>
      <c r="F13349" s="1">
        <v>3143.0</v>
      </c>
      <c r="G13349" s="1">
        <v>0.0</v>
      </c>
    </row>
    <row r="13350">
      <c r="A13350" s="1" t="s">
        <v>8</v>
      </c>
      <c r="B13350" s="2">
        <v>44778.0</v>
      </c>
      <c r="C13350" s="3">
        <v>0.7287731481481482</v>
      </c>
      <c r="D13350" s="1">
        <v>13.014553</v>
      </c>
      <c r="E13350" s="1">
        <v>80.259198</v>
      </c>
      <c r="F13350" s="1">
        <v>805.0</v>
      </c>
      <c r="G13350" s="1">
        <v>58.0</v>
      </c>
    </row>
    <row r="13351">
      <c r="A13351" s="1" t="s">
        <v>8</v>
      </c>
      <c r="B13351" s="2">
        <v>44778.0</v>
      </c>
      <c r="C13351" s="3">
        <v>0.7287962962962963</v>
      </c>
      <c r="D13351" s="1">
        <v>13.014553</v>
      </c>
      <c r="E13351" s="1">
        <v>80.259198</v>
      </c>
      <c r="F13351" s="1">
        <v>805.0</v>
      </c>
      <c r="G13351" s="1">
        <v>58.0</v>
      </c>
    </row>
    <row r="13352">
      <c r="A13352" s="1" t="s">
        <v>8</v>
      </c>
      <c r="B13352" s="2">
        <v>44778.0</v>
      </c>
      <c r="C13352" s="3">
        <v>0.7288310185185185</v>
      </c>
      <c r="D13352" s="1">
        <v>13.014553</v>
      </c>
      <c r="E13352" s="1">
        <v>80.259198</v>
      </c>
      <c r="F13352" s="1">
        <v>805.0</v>
      </c>
      <c r="G13352" s="1">
        <v>58.0</v>
      </c>
    </row>
    <row r="13353">
      <c r="A13353" s="1" t="s">
        <v>8</v>
      </c>
      <c r="B13353" s="2">
        <v>44778.0</v>
      </c>
      <c r="C13353" s="3">
        <v>0.7288310185185185</v>
      </c>
      <c r="D13353" s="1">
        <v>13.014553</v>
      </c>
      <c r="E13353" s="1">
        <v>80.259198</v>
      </c>
      <c r="F13353" s="1">
        <v>805.0</v>
      </c>
      <c r="G13353" s="1">
        <v>58.0</v>
      </c>
    </row>
    <row r="13354">
      <c r="A13354" s="1" t="s">
        <v>10</v>
      </c>
      <c r="B13354" s="2">
        <v>44778.0</v>
      </c>
      <c r="C13354" s="3">
        <v>0.7303009259259259</v>
      </c>
      <c r="D13354" s="1">
        <v>12.981769</v>
      </c>
      <c r="E13354" s="1">
        <v>80.129272</v>
      </c>
      <c r="F13354" s="1">
        <v>3143.0</v>
      </c>
      <c r="G13354" s="1">
        <v>16.0</v>
      </c>
    </row>
    <row r="13355">
      <c r="A13355" s="1" t="s">
        <v>8</v>
      </c>
      <c r="B13355" s="2">
        <v>44778.0</v>
      </c>
      <c r="C13355" s="3">
        <v>0.7303356481481481</v>
      </c>
      <c r="D13355" s="1">
        <v>13.038987</v>
      </c>
      <c r="E13355" s="1">
        <v>80.246819</v>
      </c>
      <c r="F13355" s="1">
        <v>5339.0</v>
      </c>
      <c r="G13355" s="1">
        <v>17.0</v>
      </c>
    </row>
    <row r="13356">
      <c r="A13356" s="1" t="s">
        <v>8</v>
      </c>
      <c r="B13356" s="2">
        <v>44778.0</v>
      </c>
      <c r="C13356" s="3">
        <v>0.7303356481481481</v>
      </c>
      <c r="D13356" s="1">
        <v>13.021483</v>
      </c>
      <c r="E13356" s="1">
        <v>80.263059</v>
      </c>
      <c r="F13356" s="1">
        <v>805.0</v>
      </c>
      <c r="G13356" s="1">
        <v>28.0</v>
      </c>
    </row>
    <row r="13357">
      <c r="A13357" s="1" t="s">
        <v>8</v>
      </c>
      <c r="B13357" s="2">
        <v>44778.0</v>
      </c>
      <c r="C13357" s="3">
        <v>0.7303356481481481</v>
      </c>
      <c r="D13357" s="1">
        <v>13.021483</v>
      </c>
      <c r="E13357" s="1">
        <v>80.263059</v>
      </c>
      <c r="F13357" s="1">
        <v>805.0</v>
      </c>
      <c r="G13357" s="1">
        <v>28.0</v>
      </c>
    </row>
    <row r="13358">
      <c r="A13358" s="1" t="s">
        <v>8</v>
      </c>
      <c r="B13358" s="2">
        <v>44778.0</v>
      </c>
      <c r="C13358" s="3">
        <v>0.7304282407407408</v>
      </c>
      <c r="D13358" s="1">
        <v>13.039667</v>
      </c>
      <c r="E13358" s="1">
        <v>80.246973</v>
      </c>
      <c r="F13358" s="1">
        <v>5339.0</v>
      </c>
      <c r="G13358" s="1">
        <v>31.0</v>
      </c>
    </row>
    <row r="13359">
      <c r="A13359" s="1" t="s">
        <v>10</v>
      </c>
      <c r="B13359" s="2">
        <v>44778.0</v>
      </c>
      <c r="C13359" s="3">
        <v>0.7305787037037037</v>
      </c>
      <c r="D13359" s="1">
        <v>13.023508</v>
      </c>
      <c r="E13359" s="1">
        <v>80.264072</v>
      </c>
      <c r="F13359" s="1">
        <v>805.0</v>
      </c>
      <c r="G13359" s="1">
        <v>42.0</v>
      </c>
    </row>
    <row r="13360">
      <c r="A13360" s="1" t="s">
        <v>8</v>
      </c>
      <c r="B13360" s="2">
        <v>44778.0</v>
      </c>
      <c r="C13360" s="3">
        <v>0.730625</v>
      </c>
      <c r="D13360" s="1">
        <v>13.04152</v>
      </c>
      <c r="E13360" s="1">
        <v>80.247325</v>
      </c>
      <c r="F13360" s="1">
        <v>5339.0</v>
      </c>
      <c r="G13360" s="1">
        <v>37.0</v>
      </c>
    </row>
    <row r="13361">
      <c r="A13361" s="1" t="s">
        <v>8</v>
      </c>
      <c r="B13361" s="2">
        <v>44778.0</v>
      </c>
      <c r="C13361" s="3">
        <v>0.7306365740740741</v>
      </c>
      <c r="D13361" s="1">
        <v>13.04152</v>
      </c>
      <c r="E13361" s="1">
        <v>80.247325</v>
      </c>
      <c r="F13361" s="1">
        <v>5339.0</v>
      </c>
      <c r="G13361" s="1">
        <v>37.0</v>
      </c>
    </row>
    <row r="13362">
      <c r="A13362" s="1" t="s">
        <v>10</v>
      </c>
      <c r="B13362" s="2">
        <v>44778.0</v>
      </c>
      <c r="C13362" s="3">
        <v>0.7306828703703704</v>
      </c>
      <c r="D13362" s="1">
        <v>12.98254</v>
      </c>
      <c r="E13362" s="1">
        <v>80.12901</v>
      </c>
      <c r="F13362" s="1">
        <v>3143.0</v>
      </c>
      <c r="G13362" s="1">
        <v>19.0</v>
      </c>
    </row>
    <row r="13363">
      <c r="A13363" s="1" t="s">
        <v>10</v>
      </c>
      <c r="B13363" s="2">
        <v>44778.0</v>
      </c>
      <c r="C13363" s="3">
        <v>0.7316319444444445</v>
      </c>
      <c r="D13363" s="1">
        <v>12.983232</v>
      </c>
      <c r="E13363" s="1">
        <v>80.127607</v>
      </c>
      <c r="F13363" s="1">
        <v>3143.0</v>
      </c>
      <c r="G13363" s="1">
        <v>13.0</v>
      </c>
    </row>
    <row r="13364">
      <c r="A13364" s="1" t="s">
        <v>10</v>
      </c>
      <c r="B13364" s="2">
        <v>44778.0</v>
      </c>
      <c r="C13364" s="3">
        <v>0.7316782407407407</v>
      </c>
      <c r="D13364" s="1">
        <v>12.983232</v>
      </c>
      <c r="E13364" s="1">
        <v>80.127607</v>
      </c>
      <c r="F13364" s="1">
        <v>3143.0</v>
      </c>
      <c r="G13364" s="1">
        <v>13.0</v>
      </c>
    </row>
    <row r="13365">
      <c r="A13365" s="1" t="s">
        <v>8</v>
      </c>
      <c r="B13365" s="2">
        <v>44778.0</v>
      </c>
      <c r="C13365" s="3">
        <v>0.731724537037037</v>
      </c>
      <c r="D13365" s="1">
        <v>13.048163</v>
      </c>
      <c r="E13365" s="1">
        <v>80.249342</v>
      </c>
      <c r="F13365" s="1">
        <v>5339.0</v>
      </c>
      <c r="G13365" s="1">
        <v>42.0</v>
      </c>
    </row>
    <row r="13366">
      <c r="A13366" s="1" t="s">
        <v>9</v>
      </c>
      <c r="B13366" s="2">
        <v>44778.0</v>
      </c>
      <c r="C13366" s="3">
        <v>0.7322800925925926</v>
      </c>
      <c r="D13366" s="1">
        <v>13.052791</v>
      </c>
      <c r="E13366" s="1">
        <v>80.251593</v>
      </c>
      <c r="F13366" s="1">
        <v>5339.0</v>
      </c>
      <c r="G13366" s="1">
        <v>42.0</v>
      </c>
    </row>
    <row r="13367">
      <c r="A13367" s="1" t="s">
        <v>8</v>
      </c>
      <c r="B13367" s="2">
        <v>44778.0</v>
      </c>
      <c r="C13367" s="3">
        <v>0.7323263888888889</v>
      </c>
      <c r="D13367" s="1">
        <v>12.984097</v>
      </c>
      <c r="E13367" s="1">
        <v>80.124765</v>
      </c>
      <c r="F13367" s="1">
        <v>3143.0</v>
      </c>
      <c r="G13367" s="1">
        <v>31.0</v>
      </c>
    </row>
    <row r="13368">
      <c r="A13368" s="1" t="s">
        <v>8</v>
      </c>
      <c r="B13368" s="2">
        <v>44778.0</v>
      </c>
      <c r="C13368" s="3">
        <v>0.7327662037037037</v>
      </c>
      <c r="D13368" s="1">
        <v>13.054476</v>
      </c>
      <c r="E13368" s="1">
        <v>80.2539</v>
      </c>
      <c r="F13368" s="1">
        <v>5339.0</v>
      </c>
      <c r="G13368" s="1">
        <v>38.0</v>
      </c>
    </row>
    <row r="13369">
      <c r="A13369" s="1" t="s">
        <v>8</v>
      </c>
      <c r="B13369" s="2">
        <v>44778.0</v>
      </c>
      <c r="C13369" s="3">
        <v>0.7329398148148148</v>
      </c>
      <c r="D13369" s="1">
        <v>13.056159</v>
      </c>
      <c r="E13369" s="1">
        <v>80.256145</v>
      </c>
      <c r="F13369" s="1">
        <v>5339.0</v>
      </c>
      <c r="G13369" s="1">
        <v>27.0</v>
      </c>
    </row>
    <row r="13370">
      <c r="A13370" s="1" t="s">
        <v>8</v>
      </c>
      <c r="B13370" s="2">
        <v>44778.0</v>
      </c>
      <c r="C13370" s="3">
        <v>0.7329398148148148</v>
      </c>
      <c r="D13370" s="1">
        <v>13.056159</v>
      </c>
      <c r="E13370" s="1">
        <v>80.256145</v>
      </c>
      <c r="F13370" s="1">
        <v>5339.0</v>
      </c>
      <c r="G13370" s="1">
        <v>27.0</v>
      </c>
    </row>
    <row r="13371">
      <c r="A13371" s="1" t="s">
        <v>8</v>
      </c>
      <c r="B13371" s="2">
        <v>44778.0</v>
      </c>
      <c r="C13371" s="3">
        <v>0.7329629629629629</v>
      </c>
      <c r="D13371" s="1">
        <v>13.056159</v>
      </c>
      <c r="E13371" s="1">
        <v>80.256145</v>
      </c>
      <c r="F13371" s="1">
        <v>5339.0</v>
      </c>
      <c r="G13371" s="1">
        <v>27.0</v>
      </c>
    </row>
    <row r="13372">
      <c r="A13372" s="1" t="s">
        <v>8</v>
      </c>
      <c r="B13372" s="2">
        <v>44778.0</v>
      </c>
      <c r="C13372" s="3">
        <v>0.7329745370370371</v>
      </c>
      <c r="D13372" s="1">
        <v>13.056159</v>
      </c>
      <c r="E13372" s="1">
        <v>80.256145</v>
      </c>
      <c r="F13372" s="1">
        <v>5339.0</v>
      </c>
      <c r="G13372" s="1">
        <v>27.0</v>
      </c>
    </row>
    <row r="13373">
      <c r="A13373" s="1" t="s">
        <v>8</v>
      </c>
      <c r="B13373" s="2">
        <v>44778.0</v>
      </c>
      <c r="C13373" s="3">
        <v>0.7336111111111111</v>
      </c>
      <c r="D13373" s="1">
        <v>12.986476</v>
      </c>
      <c r="E13373" s="1">
        <v>80.119259</v>
      </c>
      <c r="F13373" s="1">
        <v>3143.0</v>
      </c>
      <c r="G13373" s="1">
        <v>17.0</v>
      </c>
    </row>
    <row r="13374">
      <c r="A13374" s="1" t="s">
        <v>9</v>
      </c>
      <c r="B13374" s="2">
        <v>44778.0</v>
      </c>
      <c r="C13374" s="3">
        <v>0.7337152777777778</v>
      </c>
      <c r="D13374" s="1">
        <v>13.029241</v>
      </c>
      <c r="E13374" s="1">
        <v>80.266473</v>
      </c>
      <c r="F13374" s="1">
        <v>805.0</v>
      </c>
      <c r="G13374" s="1">
        <v>3.0</v>
      </c>
    </row>
    <row r="13375">
      <c r="A13375" s="1" t="s">
        <v>8</v>
      </c>
      <c r="B13375" s="2">
        <v>44778.0</v>
      </c>
      <c r="C13375" s="3">
        <v>0.7343055555555555</v>
      </c>
      <c r="D13375" s="1">
        <v>12.989163</v>
      </c>
      <c r="E13375" s="1">
        <v>80.117302</v>
      </c>
      <c r="F13375" s="1">
        <v>3143.0</v>
      </c>
      <c r="G13375" s="1">
        <v>32.0</v>
      </c>
    </row>
    <row r="13376">
      <c r="A13376" s="1" t="s">
        <v>8</v>
      </c>
      <c r="B13376" s="2">
        <v>44778.0</v>
      </c>
      <c r="C13376" s="3">
        <v>0.7344675925925926</v>
      </c>
      <c r="D13376" s="1">
        <v>12.9899</v>
      </c>
      <c r="E13376" s="1">
        <v>80.116792</v>
      </c>
      <c r="F13376" s="1">
        <v>3143.0</v>
      </c>
      <c r="G13376" s="1">
        <v>13.0</v>
      </c>
    </row>
    <row r="13377">
      <c r="A13377" s="1" t="s">
        <v>10</v>
      </c>
      <c r="B13377" s="2">
        <v>44778.0</v>
      </c>
      <c r="C13377" s="3">
        <v>0.7345138888888889</v>
      </c>
      <c r="D13377" s="1">
        <v>13.032967</v>
      </c>
      <c r="E13377" s="1">
        <v>80.267658</v>
      </c>
      <c r="F13377" s="1">
        <v>805.0</v>
      </c>
      <c r="G13377" s="1">
        <v>7.0</v>
      </c>
    </row>
    <row r="13378">
      <c r="A13378" s="1" t="s">
        <v>8</v>
      </c>
      <c r="B13378" s="2">
        <v>44778.0</v>
      </c>
      <c r="C13378" s="3">
        <v>0.7347916666666666</v>
      </c>
      <c r="D13378" s="1">
        <v>13.05409</v>
      </c>
      <c r="E13378" s="1">
        <v>80.26174</v>
      </c>
      <c r="F13378" s="1">
        <v>5339.0</v>
      </c>
      <c r="G13378" s="1">
        <v>31.0</v>
      </c>
    </row>
    <row r="13379">
      <c r="A13379" s="1" t="s">
        <v>10</v>
      </c>
      <c r="B13379" s="2">
        <v>44778.0</v>
      </c>
      <c r="C13379" s="3">
        <v>0.7350925925925926</v>
      </c>
      <c r="D13379" s="1">
        <v>12.991886</v>
      </c>
      <c r="E13379" s="1">
        <v>80.115094</v>
      </c>
      <c r="F13379" s="1">
        <v>3143.0</v>
      </c>
      <c r="G13379" s="1">
        <v>30.0</v>
      </c>
    </row>
    <row r="13380">
      <c r="A13380" s="1" t="s">
        <v>10</v>
      </c>
      <c r="B13380" s="2">
        <v>44778.0</v>
      </c>
      <c r="C13380" s="3">
        <v>0.7353240740740741</v>
      </c>
      <c r="D13380" s="1">
        <v>13.035783</v>
      </c>
      <c r="E13380" s="1">
        <v>80.267791</v>
      </c>
      <c r="F13380" s="1">
        <v>805.0</v>
      </c>
      <c r="G13380" s="1">
        <v>24.0</v>
      </c>
    </row>
    <row r="13381">
      <c r="A13381" s="1" t="s">
        <v>8</v>
      </c>
      <c r="B13381" s="2">
        <v>44778.0</v>
      </c>
      <c r="C13381" s="3">
        <v>0.7354398148148148</v>
      </c>
      <c r="D13381" s="1">
        <v>12.992772</v>
      </c>
      <c r="E13381" s="1">
        <v>80.114194</v>
      </c>
      <c r="F13381" s="1">
        <v>3143.0</v>
      </c>
      <c r="G13381" s="1">
        <v>19.0</v>
      </c>
    </row>
    <row r="13382">
      <c r="A13382" s="1" t="s">
        <v>8</v>
      </c>
      <c r="B13382" s="2">
        <v>44778.0</v>
      </c>
      <c r="C13382" s="3">
        <v>0.7355671296296297</v>
      </c>
      <c r="D13382" s="1">
        <v>12.993326</v>
      </c>
      <c r="E13382" s="1">
        <v>80.113436</v>
      </c>
      <c r="F13382" s="1">
        <v>3143.0</v>
      </c>
      <c r="G13382" s="1">
        <v>23.0</v>
      </c>
    </row>
    <row r="13383">
      <c r="A13383" s="1" t="s">
        <v>8</v>
      </c>
      <c r="B13383" s="2">
        <v>44778.0</v>
      </c>
      <c r="C13383" s="3">
        <v>0.7356481481481482</v>
      </c>
      <c r="D13383" s="1">
        <v>12.993326</v>
      </c>
      <c r="E13383" s="1">
        <v>80.113436</v>
      </c>
      <c r="F13383" s="1">
        <v>3143.0</v>
      </c>
      <c r="G13383" s="1">
        <v>23.0</v>
      </c>
    </row>
    <row r="13384">
      <c r="A13384" s="1" t="s">
        <v>8</v>
      </c>
      <c r="B13384" s="2">
        <v>44778.0</v>
      </c>
      <c r="C13384" s="3">
        <v>0.7356828703703704</v>
      </c>
      <c r="D13384" s="1">
        <v>12.993858</v>
      </c>
      <c r="E13384" s="1">
        <v>80.112792</v>
      </c>
      <c r="F13384" s="1">
        <v>3143.0</v>
      </c>
      <c r="G13384" s="1">
        <v>21.0</v>
      </c>
    </row>
    <row r="13385">
      <c r="A13385" s="1" t="s">
        <v>8</v>
      </c>
      <c r="B13385" s="2">
        <v>44778.0</v>
      </c>
      <c r="C13385" s="3">
        <v>0.7356828703703704</v>
      </c>
      <c r="D13385" s="1">
        <v>12.993858</v>
      </c>
      <c r="E13385" s="1">
        <v>80.112792</v>
      </c>
      <c r="F13385" s="1">
        <v>3143.0</v>
      </c>
      <c r="G13385" s="1">
        <v>21.0</v>
      </c>
    </row>
    <row r="13386">
      <c r="A13386" s="1" t="s">
        <v>8</v>
      </c>
      <c r="B13386" s="2">
        <v>44778.0</v>
      </c>
      <c r="C13386" s="3">
        <v>0.7357060185185185</v>
      </c>
      <c r="D13386" s="1">
        <v>12.993858</v>
      </c>
      <c r="E13386" s="1">
        <v>80.112792</v>
      </c>
      <c r="F13386" s="1">
        <v>3143.0</v>
      </c>
      <c r="G13386" s="1">
        <v>21.0</v>
      </c>
    </row>
    <row r="13387">
      <c r="A13387" s="1" t="s">
        <v>8</v>
      </c>
      <c r="B13387" s="2">
        <v>44778.0</v>
      </c>
      <c r="C13387" s="3">
        <v>0.7357291666666667</v>
      </c>
      <c r="D13387" s="1">
        <v>12.993858</v>
      </c>
      <c r="E13387" s="1">
        <v>80.112792</v>
      </c>
      <c r="F13387" s="1">
        <v>3143.0</v>
      </c>
      <c r="G13387" s="1">
        <v>21.0</v>
      </c>
    </row>
    <row r="13388">
      <c r="A13388" s="1" t="s">
        <v>8</v>
      </c>
      <c r="B13388" s="2">
        <v>44778.0</v>
      </c>
      <c r="C13388" s="3">
        <v>0.7361805555555555</v>
      </c>
      <c r="D13388" s="1">
        <v>12.995269</v>
      </c>
      <c r="E13388" s="1">
        <v>80.111275</v>
      </c>
      <c r="F13388" s="1">
        <v>3143.0</v>
      </c>
      <c r="G13388" s="1">
        <v>32.0</v>
      </c>
    </row>
    <row r="13389">
      <c r="A13389" s="1" t="s">
        <v>8</v>
      </c>
      <c r="B13389" s="2">
        <v>44778.0</v>
      </c>
      <c r="C13389" s="3">
        <v>0.7362268518518519</v>
      </c>
      <c r="D13389" s="1">
        <v>12.995269</v>
      </c>
      <c r="E13389" s="1">
        <v>80.111275</v>
      </c>
      <c r="F13389" s="1">
        <v>3143.0</v>
      </c>
      <c r="G13389" s="1">
        <v>32.0</v>
      </c>
    </row>
    <row r="13390">
      <c r="A13390" s="1" t="s">
        <v>8</v>
      </c>
      <c r="B13390" s="2">
        <v>44778.0</v>
      </c>
      <c r="C13390" s="3">
        <v>0.73625</v>
      </c>
      <c r="D13390" s="1">
        <v>12.995857</v>
      </c>
      <c r="E13390" s="1">
        <v>80.110257</v>
      </c>
      <c r="F13390" s="1">
        <v>3143.0</v>
      </c>
      <c r="G13390" s="1">
        <v>23.0</v>
      </c>
    </row>
    <row r="13391">
      <c r="A13391" s="1" t="s">
        <v>10</v>
      </c>
      <c r="B13391" s="2">
        <v>44778.0</v>
      </c>
      <c r="C13391" s="3">
        <v>0.736574074074074</v>
      </c>
      <c r="D13391" s="1">
        <v>13.053276</v>
      </c>
      <c r="E13391" s="1">
        <v>80.270425</v>
      </c>
      <c r="F13391" s="1">
        <v>5339.0</v>
      </c>
      <c r="G13391" s="1">
        <v>22.0</v>
      </c>
    </row>
    <row r="13392">
      <c r="A13392" s="1" t="s">
        <v>10</v>
      </c>
      <c r="B13392" s="2">
        <v>44778.0</v>
      </c>
      <c r="C13392" s="3">
        <v>0.7372337962962963</v>
      </c>
      <c r="D13392" s="1">
        <v>13.052999</v>
      </c>
      <c r="E13392" s="1">
        <v>80.272388</v>
      </c>
      <c r="F13392" s="1">
        <v>5339.0</v>
      </c>
      <c r="G13392" s="1">
        <v>12.0</v>
      </c>
    </row>
    <row r="13393">
      <c r="A13393" s="1" t="s">
        <v>10</v>
      </c>
      <c r="B13393" s="2">
        <v>44778.0</v>
      </c>
      <c r="C13393" s="3">
        <v>0.7377083333333333</v>
      </c>
      <c r="D13393" s="1">
        <v>13.043029</v>
      </c>
      <c r="E13393" s="1">
        <v>80.267727</v>
      </c>
      <c r="F13393" s="1">
        <v>805.0</v>
      </c>
      <c r="G13393" s="1">
        <v>21.0</v>
      </c>
    </row>
    <row r="13394">
      <c r="A13394" s="1" t="s">
        <v>10</v>
      </c>
      <c r="B13394" s="2">
        <v>44778.0</v>
      </c>
      <c r="C13394" s="3">
        <v>0.7379513888888889</v>
      </c>
      <c r="D13394" s="1">
        <v>13.053223</v>
      </c>
      <c r="E13394" s="1">
        <v>80.273701</v>
      </c>
      <c r="F13394" s="1">
        <v>5339.0</v>
      </c>
      <c r="G13394" s="1">
        <v>13.0</v>
      </c>
    </row>
    <row r="13395">
      <c r="A13395" s="1" t="s">
        <v>10</v>
      </c>
      <c r="B13395" s="2">
        <v>44778.0</v>
      </c>
      <c r="C13395" s="3">
        <v>0.7382523148148148</v>
      </c>
      <c r="D13395" s="1">
        <v>12.99867</v>
      </c>
      <c r="E13395" s="1">
        <v>80.101881</v>
      </c>
      <c r="F13395" s="1">
        <v>3143.0</v>
      </c>
      <c r="G13395" s="1">
        <v>23.0</v>
      </c>
    </row>
    <row r="13396">
      <c r="A13396" s="1" t="s">
        <v>10</v>
      </c>
      <c r="B13396" s="2">
        <v>44778.0</v>
      </c>
      <c r="C13396" s="3">
        <v>0.7393287037037037</v>
      </c>
      <c r="D13396" s="1">
        <v>12.998148</v>
      </c>
      <c r="E13396" s="1">
        <v>80.097049</v>
      </c>
      <c r="F13396" s="1">
        <v>3143.0</v>
      </c>
      <c r="G13396" s="1">
        <v>19.0</v>
      </c>
    </row>
    <row r="13397">
      <c r="A13397" s="1" t="s">
        <v>10</v>
      </c>
      <c r="B13397" s="2">
        <v>44778.0</v>
      </c>
      <c r="C13397" s="3">
        <v>0.7394560185185185</v>
      </c>
      <c r="D13397" s="1">
        <v>13.058562</v>
      </c>
      <c r="E13397" s="1">
        <v>80.274062</v>
      </c>
      <c r="F13397" s="1">
        <v>5339.0</v>
      </c>
      <c r="G13397" s="1">
        <v>19.0</v>
      </c>
    </row>
    <row r="13398">
      <c r="A13398" s="1" t="s">
        <v>10</v>
      </c>
      <c r="B13398" s="2">
        <v>44778.0</v>
      </c>
      <c r="C13398" s="3">
        <v>0.7396643518518519</v>
      </c>
      <c r="D13398" s="1">
        <v>13.059508</v>
      </c>
      <c r="E13398" s="1">
        <v>80.274196</v>
      </c>
      <c r="F13398" s="1">
        <v>5339.0</v>
      </c>
      <c r="G13398" s="1">
        <v>20.0</v>
      </c>
    </row>
    <row r="13399">
      <c r="A13399" s="1" t="s">
        <v>10</v>
      </c>
      <c r="B13399" s="2">
        <v>44778.0</v>
      </c>
      <c r="C13399" s="3">
        <v>0.7400578703703704</v>
      </c>
      <c r="D13399" s="1">
        <v>12.998768</v>
      </c>
      <c r="E13399" s="1">
        <v>80.096717</v>
      </c>
      <c r="F13399" s="1">
        <v>3143.0</v>
      </c>
      <c r="G13399" s="1">
        <v>23.0</v>
      </c>
    </row>
    <row r="13400">
      <c r="A13400" s="1" t="s">
        <v>8</v>
      </c>
      <c r="B13400" s="2">
        <v>44778.0</v>
      </c>
      <c r="C13400" s="3">
        <v>0.7416435185185185</v>
      </c>
      <c r="D13400" s="1">
        <v>13.054355</v>
      </c>
      <c r="E13400" s="1">
        <v>80.264044</v>
      </c>
      <c r="F13400" s="1">
        <v>805.0</v>
      </c>
      <c r="G13400" s="1">
        <v>21.0</v>
      </c>
    </row>
    <row r="13401">
      <c r="A13401" s="1" t="s">
        <v>8</v>
      </c>
      <c r="B13401" s="2">
        <v>44778.0</v>
      </c>
      <c r="C13401" s="3">
        <v>0.7416782407407407</v>
      </c>
      <c r="D13401" s="1">
        <v>13.054355</v>
      </c>
      <c r="E13401" s="1">
        <v>80.264044</v>
      </c>
      <c r="F13401" s="1">
        <v>805.0</v>
      </c>
      <c r="G13401" s="1">
        <v>21.0</v>
      </c>
    </row>
    <row r="13402">
      <c r="A13402" s="1" t="s">
        <v>10</v>
      </c>
      <c r="B13402" s="2">
        <v>44778.0</v>
      </c>
      <c r="C13402" s="3">
        <v>0.7419444444444444</v>
      </c>
      <c r="D13402" s="1">
        <v>13.06424</v>
      </c>
      <c r="E13402" s="1">
        <v>80.273986</v>
      </c>
      <c r="F13402" s="1">
        <v>5339.0</v>
      </c>
      <c r="G13402" s="1">
        <v>14.0</v>
      </c>
    </row>
    <row r="13403">
      <c r="A13403" s="1" t="s">
        <v>10</v>
      </c>
      <c r="B13403" s="2">
        <v>44778.0</v>
      </c>
      <c r="C13403" s="3">
        <v>0.7430671296296296</v>
      </c>
      <c r="D13403" s="1">
        <v>13.059592</v>
      </c>
      <c r="E13403" s="1">
        <v>80.265478</v>
      </c>
      <c r="F13403" s="1">
        <v>805.0</v>
      </c>
      <c r="G13403" s="1">
        <v>7.0</v>
      </c>
    </row>
    <row r="13404">
      <c r="A13404" s="1" t="s">
        <v>8</v>
      </c>
      <c r="B13404" s="2">
        <v>44778.0</v>
      </c>
      <c r="C13404" s="3">
        <v>0.7443981481481482</v>
      </c>
      <c r="D13404" s="1">
        <v>13.017978</v>
      </c>
      <c r="E13404" s="1">
        <v>80.102646</v>
      </c>
      <c r="F13404" s="1">
        <v>3143.0</v>
      </c>
      <c r="G13404" s="1">
        <v>20.0</v>
      </c>
    </row>
    <row r="13405">
      <c r="A13405" s="1" t="s">
        <v>8</v>
      </c>
      <c r="B13405" s="2">
        <v>44778.0</v>
      </c>
      <c r="C13405" s="3">
        <v>0.7444675925925925</v>
      </c>
      <c r="D13405" s="1">
        <v>13.018868</v>
      </c>
      <c r="E13405" s="1">
        <v>80.103468</v>
      </c>
      <c r="F13405" s="1">
        <v>3143.0</v>
      </c>
      <c r="G13405" s="1">
        <v>37.0</v>
      </c>
    </row>
    <row r="13406">
      <c r="A13406" s="1" t="s">
        <v>8</v>
      </c>
      <c r="B13406" s="2">
        <v>44778.0</v>
      </c>
      <c r="C13406" s="3">
        <v>0.7454050925925926</v>
      </c>
      <c r="D13406" s="1">
        <v>13.023387</v>
      </c>
      <c r="E13406" s="1">
        <v>80.107588</v>
      </c>
      <c r="F13406" s="1">
        <v>3143.0</v>
      </c>
      <c r="G13406" s="1">
        <v>27.0</v>
      </c>
    </row>
    <row r="13407">
      <c r="A13407" s="1" t="s">
        <v>8</v>
      </c>
      <c r="B13407" s="2">
        <v>44778.0</v>
      </c>
      <c r="C13407" s="3">
        <v>0.7454398148148148</v>
      </c>
      <c r="D13407" s="1">
        <v>13.023387</v>
      </c>
      <c r="E13407" s="1">
        <v>80.107588</v>
      </c>
      <c r="F13407" s="1">
        <v>3143.0</v>
      </c>
      <c r="G13407" s="1">
        <v>27.0</v>
      </c>
    </row>
    <row r="13408">
      <c r="A13408" s="1" t="s">
        <v>8</v>
      </c>
      <c r="B13408" s="2">
        <v>44778.0</v>
      </c>
      <c r="C13408" s="3">
        <v>0.7454398148148148</v>
      </c>
      <c r="D13408" s="1">
        <v>13.023387</v>
      </c>
      <c r="E13408" s="1">
        <v>80.107588</v>
      </c>
      <c r="F13408" s="1">
        <v>3143.0</v>
      </c>
      <c r="G13408" s="1">
        <v>27.0</v>
      </c>
    </row>
    <row r="13409">
      <c r="A13409" s="1" t="s">
        <v>8</v>
      </c>
      <c r="B13409" s="2">
        <v>44778.0</v>
      </c>
      <c r="C13409" s="3">
        <v>0.745462962962963</v>
      </c>
      <c r="D13409" s="1">
        <v>13.023387</v>
      </c>
      <c r="E13409" s="1">
        <v>80.107588</v>
      </c>
      <c r="F13409" s="1">
        <v>3143.0</v>
      </c>
      <c r="G13409" s="1">
        <v>27.0</v>
      </c>
    </row>
    <row r="13410">
      <c r="A13410" s="1" t="s">
        <v>8</v>
      </c>
      <c r="B13410" s="2">
        <v>44778.0</v>
      </c>
      <c r="C13410" s="3">
        <v>0.745462962962963</v>
      </c>
      <c r="D13410" s="1">
        <v>13.023387</v>
      </c>
      <c r="E13410" s="1">
        <v>80.107588</v>
      </c>
      <c r="F13410" s="1">
        <v>3143.0</v>
      </c>
      <c r="G13410" s="1">
        <v>27.0</v>
      </c>
    </row>
    <row r="13411">
      <c r="A13411" s="1" t="s">
        <v>8</v>
      </c>
      <c r="B13411" s="2">
        <v>44778.0</v>
      </c>
      <c r="C13411" s="3">
        <v>0.7459027777777778</v>
      </c>
      <c r="D13411" s="1">
        <v>13.065578</v>
      </c>
      <c r="E13411" s="1">
        <v>80.267407</v>
      </c>
      <c r="F13411" s="1">
        <v>805.0</v>
      </c>
      <c r="G13411" s="1">
        <v>12.0</v>
      </c>
    </row>
    <row r="13412">
      <c r="A13412" s="1" t="s">
        <v>8</v>
      </c>
      <c r="B13412" s="2">
        <v>44778.0</v>
      </c>
      <c r="C13412" s="3">
        <v>0.7466666666666667</v>
      </c>
      <c r="D13412" s="1">
        <v>13.072347</v>
      </c>
      <c r="E13412" s="1">
        <v>80.263547</v>
      </c>
      <c r="F13412" s="1">
        <v>5339.0</v>
      </c>
      <c r="G13412" s="1">
        <v>20.0</v>
      </c>
    </row>
    <row r="13413">
      <c r="A13413" s="1" t="s">
        <v>8</v>
      </c>
      <c r="B13413" s="2">
        <v>44778.0</v>
      </c>
      <c r="C13413" s="3">
        <v>0.7467013888888889</v>
      </c>
      <c r="D13413" s="1">
        <v>13.072347</v>
      </c>
      <c r="E13413" s="1">
        <v>80.263547</v>
      </c>
      <c r="F13413" s="1">
        <v>5339.0</v>
      </c>
      <c r="G13413" s="1">
        <v>20.0</v>
      </c>
    </row>
    <row r="13414">
      <c r="A13414" s="1" t="s">
        <v>10</v>
      </c>
      <c r="B13414" s="2">
        <v>44778.0</v>
      </c>
      <c r="C13414" s="3">
        <v>0.7469560185185186</v>
      </c>
      <c r="D13414" s="1">
        <v>13.029902</v>
      </c>
      <c r="E13414" s="1">
        <v>80.111232</v>
      </c>
      <c r="F13414" s="1">
        <v>3143.0</v>
      </c>
      <c r="G13414" s="1">
        <v>16.0</v>
      </c>
    </row>
    <row r="13415">
      <c r="A13415" s="1" t="s">
        <v>9</v>
      </c>
      <c r="B13415" s="2">
        <v>44778.0</v>
      </c>
      <c r="C13415" s="3">
        <v>0.7476157407407408</v>
      </c>
      <c r="D13415" s="1">
        <v>13.072285</v>
      </c>
      <c r="E13415" s="1">
        <v>80.259963</v>
      </c>
      <c r="F13415" s="1">
        <v>5339.0</v>
      </c>
      <c r="G13415" s="1">
        <v>38.0</v>
      </c>
    </row>
    <row r="13416">
      <c r="A13416" s="1" t="s">
        <v>8</v>
      </c>
      <c r="B13416" s="2">
        <v>44778.0</v>
      </c>
      <c r="C13416" s="3">
        <v>0.7479861111111111</v>
      </c>
      <c r="D13416" s="1">
        <v>13.070568</v>
      </c>
      <c r="E13416" s="1">
        <v>80.258078</v>
      </c>
      <c r="F13416" s="1">
        <v>5339.0</v>
      </c>
      <c r="G13416" s="1">
        <v>39.0</v>
      </c>
    </row>
    <row r="13417">
      <c r="A13417" s="1" t="s">
        <v>8</v>
      </c>
      <c r="B13417" s="2">
        <v>44778.0</v>
      </c>
      <c r="C13417" s="3">
        <v>0.7488425925925926</v>
      </c>
      <c r="D13417" s="1">
        <v>13.062154</v>
      </c>
      <c r="E13417" s="1">
        <v>80.263191</v>
      </c>
      <c r="F13417" s="1">
        <v>805.0</v>
      </c>
      <c r="G13417" s="1">
        <v>6.0</v>
      </c>
    </row>
    <row r="13418">
      <c r="A13418" s="1" t="s">
        <v>8</v>
      </c>
      <c r="B13418" s="2">
        <v>44778.0</v>
      </c>
      <c r="C13418" s="3">
        <v>0.7488541666666667</v>
      </c>
      <c r="D13418" s="1">
        <v>13.062154</v>
      </c>
      <c r="E13418" s="1">
        <v>80.263191</v>
      </c>
      <c r="F13418" s="1">
        <v>805.0</v>
      </c>
      <c r="G13418" s="1">
        <v>6.0</v>
      </c>
    </row>
    <row r="13419">
      <c r="A13419" s="1" t="s">
        <v>10</v>
      </c>
      <c r="B13419" s="2">
        <v>44778.0</v>
      </c>
      <c r="C13419" s="3">
        <v>0.7489467592592592</v>
      </c>
      <c r="D13419" s="1">
        <v>13.038574</v>
      </c>
      <c r="E13419" s="1">
        <v>80.113256</v>
      </c>
      <c r="F13419" s="1">
        <v>3143.0</v>
      </c>
      <c r="G13419" s="1">
        <v>23.0</v>
      </c>
    </row>
    <row r="13420">
      <c r="A13420" s="1" t="s">
        <v>9</v>
      </c>
      <c r="B13420" s="2">
        <v>44778.0</v>
      </c>
      <c r="C13420" s="3">
        <v>0.7489699074074074</v>
      </c>
      <c r="D13420" s="1">
        <v>13.066849</v>
      </c>
      <c r="E13420" s="1">
        <v>80.254367</v>
      </c>
      <c r="F13420" s="1">
        <v>5339.0</v>
      </c>
      <c r="G13420" s="1">
        <v>22.0</v>
      </c>
    </row>
    <row r="13421">
      <c r="A13421" s="1" t="s">
        <v>8</v>
      </c>
      <c r="B13421" s="2">
        <v>44778.0</v>
      </c>
      <c r="C13421" s="3">
        <v>0.7490393518518519</v>
      </c>
      <c r="D13421" s="1">
        <v>13.062132</v>
      </c>
      <c r="E13421" s="1">
        <v>80.26281</v>
      </c>
      <c r="F13421" s="1">
        <v>805.0</v>
      </c>
      <c r="G13421" s="1">
        <v>13.0</v>
      </c>
    </row>
    <row r="13422">
      <c r="A13422" s="1" t="s">
        <v>8</v>
      </c>
      <c r="B13422" s="2">
        <v>44778.0</v>
      </c>
      <c r="C13422" s="3">
        <v>0.7490509259259259</v>
      </c>
      <c r="D13422" s="1">
        <v>13.062132</v>
      </c>
      <c r="E13422" s="1">
        <v>80.26281</v>
      </c>
      <c r="F13422" s="1">
        <v>805.0</v>
      </c>
      <c r="G13422" s="1">
        <v>13.0</v>
      </c>
    </row>
    <row r="13423">
      <c r="A13423" s="1" t="s">
        <v>8</v>
      </c>
      <c r="B13423" s="2">
        <v>44778.0</v>
      </c>
      <c r="C13423" s="3">
        <v>0.7490625</v>
      </c>
      <c r="D13423" s="1">
        <v>13.062132</v>
      </c>
      <c r="E13423" s="1">
        <v>80.26281</v>
      </c>
      <c r="F13423" s="1">
        <v>805.0</v>
      </c>
      <c r="G13423" s="1">
        <v>13.0</v>
      </c>
    </row>
    <row r="13424">
      <c r="A13424" s="1" t="s">
        <v>10</v>
      </c>
      <c r="B13424" s="2">
        <v>44778.0</v>
      </c>
      <c r="C13424" s="3">
        <v>0.7492592592592593</v>
      </c>
      <c r="D13424" s="1">
        <v>13.0628</v>
      </c>
      <c r="E13424" s="1">
        <v>80.262247</v>
      </c>
      <c r="F13424" s="1">
        <v>805.0</v>
      </c>
      <c r="G13424" s="1">
        <v>29.0</v>
      </c>
    </row>
    <row r="13425">
      <c r="A13425" s="1" t="s">
        <v>10</v>
      </c>
      <c r="B13425" s="2">
        <v>44778.0</v>
      </c>
      <c r="C13425" s="3">
        <v>0.7498958333333333</v>
      </c>
      <c r="D13425" s="1">
        <v>13.06403</v>
      </c>
      <c r="E13425" s="1">
        <v>80.25946</v>
      </c>
      <c r="F13425" s="1">
        <v>805.0</v>
      </c>
      <c r="G13425" s="1">
        <v>0.0</v>
      </c>
    </row>
    <row r="13426">
      <c r="A13426" s="1" t="s">
        <v>10</v>
      </c>
      <c r="B13426" s="2">
        <v>44778.0</v>
      </c>
      <c r="C13426" s="3">
        <v>0.7512615740740741</v>
      </c>
      <c r="D13426" s="1">
        <v>13.064531</v>
      </c>
      <c r="E13426" s="1">
        <v>80.24783</v>
      </c>
      <c r="F13426" s="1">
        <v>5339.0</v>
      </c>
      <c r="G13426" s="1">
        <v>0.0</v>
      </c>
    </row>
    <row r="13427">
      <c r="A13427" s="1" t="s">
        <v>8</v>
      </c>
      <c r="B13427" s="2">
        <v>44778.0</v>
      </c>
      <c r="C13427" s="3">
        <v>0.7515625</v>
      </c>
      <c r="D13427" s="1">
        <v>13.067212</v>
      </c>
      <c r="E13427" s="1">
        <v>80.254909</v>
      </c>
      <c r="F13427" s="1">
        <v>805.0</v>
      </c>
      <c r="G13427" s="1">
        <v>0.0</v>
      </c>
    </row>
    <row r="13428">
      <c r="A13428" s="1" t="s">
        <v>10</v>
      </c>
      <c r="B13428" s="2">
        <v>44778.0</v>
      </c>
      <c r="C13428" s="3">
        <v>0.7516203703703703</v>
      </c>
      <c r="D13428" s="1">
        <v>13.04294</v>
      </c>
      <c r="E13428" s="1">
        <v>80.115312</v>
      </c>
      <c r="F13428" s="1">
        <v>3143.0</v>
      </c>
      <c r="G13428" s="1">
        <v>0.0</v>
      </c>
    </row>
    <row r="13429">
      <c r="A13429" s="1" t="s">
        <v>8</v>
      </c>
      <c r="B13429" s="2">
        <v>44778.0</v>
      </c>
      <c r="C13429" s="3">
        <v>0.7516203703703703</v>
      </c>
      <c r="D13429" s="1">
        <v>13.067096</v>
      </c>
      <c r="E13429" s="1">
        <v>80.254571</v>
      </c>
      <c r="F13429" s="1">
        <v>805.0</v>
      </c>
      <c r="G13429" s="1">
        <v>18.0</v>
      </c>
    </row>
    <row r="13430">
      <c r="A13430" s="1" t="s">
        <v>8</v>
      </c>
      <c r="B13430" s="2">
        <v>44778.0</v>
      </c>
      <c r="C13430" s="3">
        <v>0.7516319444444445</v>
      </c>
      <c r="D13430" s="1">
        <v>13.067096</v>
      </c>
      <c r="E13430" s="1">
        <v>80.254571</v>
      </c>
      <c r="F13430" s="1">
        <v>805.0</v>
      </c>
      <c r="G13430" s="1">
        <v>18.0</v>
      </c>
    </row>
    <row r="13431">
      <c r="A13431" s="1" t="s">
        <v>8</v>
      </c>
      <c r="B13431" s="2">
        <v>44778.0</v>
      </c>
      <c r="C13431" s="3">
        <v>0.7516319444444445</v>
      </c>
      <c r="D13431" s="1">
        <v>13.067096</v>
      </c>
      <c r="E13431" s="1">
        <v>80.254571</v>
      </c>
      <c r="F13431" s="1">
        <v>805.0</v>
      </c>
      <c r="G13431" s="1">
        <v>18.0</v>
      </c>
    </row>
    <row r="13432">
      <c r="A13432" s="1" t="s">
        <v>8</v>
      </c>
      <c r="B13432" s="2">
        <v>44778.0</v>
      </c>
      <c r="C13432" s="3">
        <v>0.7516435185185185</v>
      </c>
      <c r="D13432" s="1">
        <v>13.067096</v>
      </c>
      <c r="E13432" s="1">
        <v>80.254571</v>
      </c>
      <c r="F13432" s="1">
        <v>805.0</v>
      </c>
      <c r="G13432" s="1">
        <v>18.0</v>
      </c>
    </row>
    <row r="13433">
      <c r="A13433" s="1" t="s">
        <v>10</v>
      </c>
      <c r="B13433" s="2">
        <v>44778.0</v>
      </c>
      <c r="C13433" s="3">
        <v>0.7517013888888889</v>
      </c>
      <c r="D13433" s="1">
        <v>13.043023</v>
      </c>
      <c r="E13433" s="1">
        <v>80.115315</v>
      </c>
      <c r="F13433" s="1">
        <v>3143.0</v>
      </c>
      <c r="G13433" s="1">
        <v>6.0</v>
      </c>
    </row>
    <row r="13434">
      <c r="A13434" s="1" t="s">
        <v>8</v>
      </c>
      <c r="B13434" s="2">
        <v>44778.0</v>
      </c>
      <c r="C13434" s="3">
        <v>0.7518981481481481</v>
      </c>
      <c r="D13434" s="1">
        <v>13.066804</v>
      </c>
      <c r="E13434" s="1">
        <v>80.254248</v>
      </c>
      <c r="F13434" s="1">
        <v>805.0</v>
      </c>
      <c r="G13434" s="1">
        <v>14.0</v>
      </c>
    </row>
    <row r="13435">
      <c r="A13435" s="1" t="s">
        <v>8</v>
      </c>
      <c r="B13435" s="2">
        <v>44778.0</v>
      </c>
      <c r="C13435" s="3">
        <v>0.7518981481481481</v>
      </c>
      <c r="D13435" s="1">
        <v>13.066804</v>
      </c>
      <c r="E13435" s="1">
        <v>80.254248</v>
      </c>
      <c r="F13435" s="1">
        <v>805.0</v>
      </c>
      <c r="G13435" s="1">
        <v>14.0</v>
      </c>
    </row>
    <row r="13436">
      <c r="A13436" s="1" t="s">
        <v>9</v>
      </c>
      <c r="B13436" s="2">
        <v>44778.0</v>
      </c>
      <c r="C13436" s="3">
        <v>0.7523842592592592</v>
      </c>
      <c r="D13436" s="1">
        <v>13.068153</v>
      </c>
      <c r="E13436" s="1">
        <v>80.252944</v>
      </c>
      <c r="F13436" s="1">
        <v>805.0</v>
      </c>
      <c r="G13436" s="1">
        <v>26.0</v>
      </c>
    </row>
    <row r="13437">
      <c r="A13437" s="1" t="s">
        <v>10</v>
      </c>
      <c r="B13437" s="2">
        <v>44778.0</v>
      </c>
      <c r="C13437" s="3">
        <v>0.7529513888888889</v>
      </c>
      <c r="D13437" s="1">
        <v>13.067637</v>
      </c>
      <c r="E13437" s="1">
        <v>80.249382</v>
      </c>
      <c r="F13437" s="1">
        <v>805.0</v>
      </c>
      <c r="G13437" s="1">
        <v>16.0</v>
      </c>
    </row>
    <row r="13438">
      <c r="A13438" s="1" t="s">
        <v>8</v>
      </c>
      <c r="B13438" s="2">
        <v>44778.0</v>
      </c>
      <c r="C13438" s="3">
        <v>0.7532175925925926</v>
      </c>
      <c r="D13438" s="1">
        <v>13.067808</v>
      </c>
      <c r="E13438" s="1">
        <v>80.248305</v>
      </c>
      <c r="F13438" s="1">
        <v>805.0</v>
      </c>
      <c r="G13438" s="1">
        <v>23.0</v>
      </c>
    </row>
    <row r="13439">
      <c r="A13439" s="1" t="s">
        <v>8</v>
      </c>
      <c r="B13439" s="2">
        <v>44778.0</v>
      </c>
      <c r="C13439" s="3">
        <v>0.7547106481481481</v>
      </c>
      <c r="D13439" s="1">
        <v>13.045194</v>
      </c>
      <c r="E13439" s="1">
        <v>80.116631</v>
      </c>
      <c r="F13439" s="1">
        <v>3143.0</v>
      </c>
      <c r="G13439" s="1">
        <v>23.0</v>
      </c>
    </row>
    <row r="13440">
      <c r="A13440" s="1" t="s">
        <v>8</v>
      </c>
      <c r="B13440" s="2">
        <v>44778.0</v>
      </c>
      <c r="C13440" s="3">
        <v>0.7559722222222223</v>
      </c>
      <c r="D13440" s="1">
        <v>13.048465</v>
      </c>
      <c r="E13440" s="1">
        <v>80.120565</v>
      </c>
      <c r="F13440" s="1">
        <v>3143.0</v>
      </c>
      <c r="G13440" s="1">
        <v>23.0</v>
      </c>
    </row>
    <row r="13441">
      <c r="A13441" s="1" t="s">
        <v>10</v>
      </c>
      <c r="B13441" s="2">
        <v>44778.0</v>
      </c>
      <c r="C13441" s="3">
        <v>0.7579050925925926</v>
      </c>
      <c r="D13441" s="1">
        <v>13.056353</v>
      </c>
      <c r="E13441" s="1">
        <v>80.116111</v>
      </c>
      <c r="F13441" s="1">
        <v>3143.0</v>
      </c>
      <c r="G13441" s="1">
        <v>48.0</v>
      </c>
    </row>
    <row r="13442">
      <c r="A13442" s="1" t="s">
        <v>10</v>
      </c>
      <c r="B13442" s="2">
        <v>44778.0</v>
      </c>
      <c r="C13442" s="3">
        <v>0.757974537037037</v>
      </c>
      <c r="D13442" s="1">
        <v>13.056353</v>
      </c>
      <c r="E13442" s="1">
        <v>80.116111</v>
      </c>
      <c r="F13442" s="1">
        <v>3143.0</v>
      </c>
      <c r="G13442" s="1">
        <v>48.0</v>
      </c>
    </row>
    <row r="13443">
      <c r="A13443" s="1" t="s">
        <v>10</v>
      </c>
      <c r="B13443" s="2">
        <v>44778.0</v>
      </c>
      <c r="C13443" s="3">
        <v>0.7580092592592592</v>
      </c>
      <c r="D13443" s="1">
        <v>13.056353</v>
      </c>
      <c r="E13443" s="1">
        <v>80.116111</v>
      </c>
      <c r="F13443" s="1">
        <v>3143.0</v>
      </c>
      <c r="G13443" s="1">
        <v>48.0</v>
      </c>
    </row>
    <row r="13444">
      <c r="A13444" s="1" t="s">
        <v>7</v>
      </c>
      <c r="B13444" s="2">
        <v>44778.0</v>
      </c>
      <c r="C13444" s="3">
        <v>0.7591782407407407</v>
      </c>
      <c r="D13444" s="1">
        <v>13.056619</v>
      </c>
      <c r="E13444" s="1">
        <v>80.110034</v>
      </c>
      <c r="F13444" s="1">
        <v>3143.0</v>
      </c>
      <c r="G13444" s="1">
        <v>24.0</v>
      </c>
    </row>
    <row r="13445">
      <c r="A13445" s="1" t="s">
        <v>7</v>
      </c>
      <c r="B13445" s="2">
        <v>44778.0</v>
      </c>
      <c r="C13445" s="3">
        <v>0.7592129629629629</v>
      </c>
      <c r="D13445" s="1">
        <v>13.056619</v>
      </c>
      <c r="E13445" s="1">
        <v>80.110034</v>
      </c>
      <c r="F13445" s="1">
        <v>3143.0</v>
      </c>
      <c r="G13445" s="1">
        <v>24.0</v>
      </c>
    </row>
    <row r="13446">
      <c r="A13446" s="1" t="s">
        <v>7</v>
      </c>
      <c r="B13446" s="2">
        <v>44778.0</v>
      </c>
      <c r="C13446" s="3">
        <v>0.7593865740740741</v>
      </c>
      <c r="D13446" s="1">
        <v>13.05671</v>
      </c>
      <c r="E13446" s="1">
        <v>80.109487</v>
      </c>
      <c r="F13446" s="1">
        <v>3143.0</v>
      </c>
      <c r="G13446" s="1">
        <v>21.0</v>
      </c>
    </row>
    <row r="13447">
      <c r="A13447" s="1" t="s">
        <v>8</v>
      </c>
      <c r="B13447" s="2">
        <v>44778.0</v>
      </c>
      <c r="C13447" s="3">
        <v>0.7606828703703704</v>
      </c>
      <c r="D13447" s="1">
        <v>13.056586</v>
      </c>
      <c r="E13447" s="1">
        <v>80.098477</v>
      </c>
      <c r="F13447" s="1">
        <v>3143.0</v>
      </c>
      <c r="G13447" s="1">
        <v>17.0</v>
      </c>
    </row>
    <row r="13448">
      <c r="A13448" s="1" t="s">
        <v>8</v>
      </c>
      <c r="B13448" s="2">
        <v>44778.0</v>
      </c>
      <c r="C13448" s="3">
        <v>0.7609027777777778</v>
      </c>
      <c r="D13448" s="1">
        <v>13.056464</v>
      </c>
      <c r="E13448" s="1">
        <v>80.09778</v>
      </c>
      <c r="F13448" s="1">
        <v>3143.0</v>
      </c>
      <c r="G13448" s="1">
        <v>17.0</v>
      </c>
    </row>
    <row r="13449">
      <c r="A13449" s="1" t="s">
        <v>8</v>
      </c>
      <c r="B13449" s="2">
        <v>44778.0</v>
      </c>
      <c r="C13449" s="3">
        <v>0.7642708333333333</v>
      </c>
      <c r="D13449" s="1">
        <v>13.040123</v>
      </c>
      <c r="E13449" s="1">
        <v>80.08697</v>
      </c>
      <c r="F13449" s="1">
        <v>3143.0</v>
      </c>
      <c r="G13449" s="1">
        <v>41.0</v>
      </c>
    </row>
    <row r="13450">
      <c r="A13450" s="1" t="s">
        <v>8</v>
      </c>
      <c r="B13450" s="2">
        <v>44778.0</v>
      </c>
      <c r="C13450" s="3">
        <v>0.765462962962963</v>
      </c>
      <c r="D13450" s="1">
        <v>13.029805</v>
      </c>
      <c r="E13450" s="1">
        <v>80.090582</v>
      </c>
      <c r="F13450" s="1">
        <v>3143.0</v>
      </c>
      <c r="G13450" s="1">
        <v>11.0</v>
      </c>
    </row>
    <row r="13451">
      <c r="A13451" s="1" t="s">
        <v>7</v>
      </c>
      <c r="B13451" s="2">
        <v>44778.0</v>
      </c>
      <c r="C13451" s="3">
        <v>0.7660416666666666</v>
      </c>
      <c r="D13451" s="1">
        <v>13.026326</v>
      </c>
      <c r="E13451" s="1">
        <v>80.091904</v>
      </c>
      <c r="F13451" s="1">
        <v>3143.0</v>
      </c>
      <c r="G13451" s="1">
        <v>31.0</v>
      </c>
    </row>
    <row r="13452">
      <c r="A13452" s="1" t="s">
        <v>8</v>
      </c>
      <c r="B13452" s="2">
        <v>44778.0</v>
      </c>
      <c r="C13452" s="3">
        <v>0.7669560185185185</v>
      </c>
      <c r="D13452" s="1">
        <v>13.017805</v>
      </c>
      <c r="E13452" s="1">
        <v>80.094971</v>
      </c>
      <c r="F13452" s="1">
        <v>3143.0</v>
      </c>
      <c r="G13452" s="1">
        <v>58.0</v>
      </c>
    </row>
    <row r="13453">
      <c r="A13453" s="1" t="s">
        <v>8</v>
      </c>
      <c r="B13453" s="2">
        <v>44778.0</v>
      </c>
      <c r="C13453" s="3">
        <v>0.7670833333333333</v>
      </c>
      <c r="D13453" s="1">
        <v>13.017805</v>
      </c>
      <c r="E13453" s="1">
        <v>80.094971</v>
      </c>
      <c r="F13453" s="1">
        <v>3143.0</v>
      </c>
      <c r="G13453" s="1">
        <v>58.0</v>
      </c>
    </row>
    <row r="13454">
      <c r="A13454" s="1" t="s">
        <v>7</v>
      </c>
      <c r="B13454" s="2">
        <v>44778.0</v>
      </c>
      <c r="C13454" s="3">
        <v>0.7682060185185186</v>
      </c>
      <c r="D13454" s="1">
        <v>13.006906</v>
      </c>
      <c r="E13454" s="1">
        <v>80.091324</v>
      </c>
      <c r="F13454" s="1">
        <v>3143.0</v>
      </c>
      <c r="G13454" s="1">
        <v>44.0</v>
      </c>
    </row>
    <row r="13455">
      <c r="A13455" s="1" t="s">
        <v>7</v>
      </c>
      <c r="B13455" s="2">
        <v>44778.0</v>
      </c>
      <c r="C13455" s="3">
        <v>0.7683333333333333</v>
      </c>
      <c r="D13455" s="1">
        <v>13.005158</v>
      </c>
      <c r="E13455" s="1">
        <v>80.090604</v>
      </c>
      <c r="F13455" s="1">
        <v>3143.0</v>
      </c>
      <c r="G13455" s="1">
        <v>53.0</v>
      </c>
    </row>
    <row r="13456">
      <c r="A13456" s="1" t="s">
        <v>7</v>
      </c>
      <c r="B13456" s="2">
        <v>44778.0</v>
      </c>
      <c r="C13456" s="3">
        <v>0.7684837962962963</v>
      </c>
      <c r="D13456" s="1">
        <v>13.00291</v>
      </c>
      <c r="E13456" s="1">
        <v>80.089741</v>
      </c>
      <c r="F13456" s="1">
        <v>3143.0</v>
      </c>
      <c r="G13456" s="1">
        <v>58.0</v>
      </c>
    </row>
    <row r="13457">
      <c r="A13457" s="1" t="s">
        <v>7</v>
      </c>
      <c r="B13457" s="2">
        <v>44778.0</v>
      </c>
      <c r="C13457" s="3">
        <v>0.7686111111111111</v>
      </c>
      <c r="D13457" s="1">
        <v>13.00291</v>
      </c>
      <c r="E13457" s="1">
        <v>80.089741</v>
      </c>
      <c r="F13457" s="1">
        <v>3143.0</v>
      </c>
      <c r="G13457" s="1">
        <v>58.0</v>
      </c>
    </row>
    <row r="13458">
      <c r="A13458" s="1" t="s">
        <v>7</v>
      </c>
      <c r="B13458" s="2">
        <v>44778.0</v>
      </c>
      <c r="C13458" s="3">
        <v>0.7688541666666666</v>
      </c>
      <c r="D13458" s="1">
        <v>12.998379</v>
      </c>
      <c r="E13458" s="1">
        <v>80.08802</v>
      </c>
      <c r="F13458" s="1">
        <v>3143.0</v>
      </c>
      <c r="G13458" s="1">
        <v>58.0</v>
      </c>
    </row>
    <row r="13459">
      <c r="A13459" s="1" t="s">
        <v>7</v>
      </c>
      <c r="B13459" s="2">
        <v>44778.0</v>
      </c>
      <c r="C13459" s="3">
        <v>0.7689814814814815</v>
      </c>
      <c r="D13459" s="1">
        <v>12.998379</v>
      </c>
      <c r="E13459" s="1">
        <v>80.08802</v>
      </c>
      <c r="F13459" s="1">
        <v>3143.0</v>
      </c>
      <c r="G13459" s="1">
        <v>58.0</v>
      </c>
    </row>
    <row r="13460">
      <c r="A13460" s="1" t="s">
        <v>8</v>
      </c>
      <c r="B13460" s="2">
        <v>44778.0</v>
      </c>
      <c r="C13460" s="3">
        <v>0.7701157407407407</v>
      </c>
      <c r="D13460" s="1">
        <v>12.982136</v>
      </c>
      <c r="E13460" s="1">
        <v>80.089816</v>
      </c>
      <c r="F13460" s="1">
        <v>3143.0</v>
      </c>
      <c r="G13460" s="1">
        <v>58.0</v>
      </c>
    </row>
    <row r="13461">
      <c r="A13461" s="1" t="s">
        <v>7</v>
      </c>
      <c r="B13461" s="2">
        <v>44778.0</v>
      </c>
      <c r="C13461" s="3">
        <v>0.770775462962963</v>
      </c>
      <c r="D13461" s="1">
        <v>12.97504</v>
      </c>
      <c r="E13461" s="1">
        <v>80.090019</v>
      </c>
      <c r="F13461" s="1">
        <v>3143.0</v>
      </c>
      <c r="G13461" s="1">
        <v>57.0</v>
      </c>
    </row>
    <row r="13462">
      <c r="A13462" s="1" t="s">
        <v>7</v>
      </c>
      <c r="B13462" s="2">
        <v>44778.0</v>
      </c>
      <c r="C13462" s="3">
        <v>0.7710532407407408</v>
      </c>
      <c r="D13462" s="1">
        <v>12.970348</v>
      </c>
      <c r="E13462" s="1">
        <v>80.090135</v>
      </c>
      <c r="F13462" s="1">
        <v>3143.0</v>
      </c>
      <c r="G13462" s="1">
        <v>58.0</v>
      </c>
    </row>
    <row r="13463">
      <c r="A13463" s="1" t="s">
        <v>7</v>
      </c>
      <c r="B13463" s="2">
        <v>44778.0</v>
      </c>
      <c r="C13463" s="3">
        <v>0.7714236111111111</v>
      </c>
      <c r="D13463" s="1">
        <v>12.968044</v>
      </c>
      <c r="E13463" s="1">
        <v>80.090206</v>
      </c>
      <c r="F13463" s="1">
        <v>3143.0</v>
      </c>
      <c r="G13463" s="1">
        <v>53.0</v>
      </c>
    </row>
    <row r="13464">
      <c r="A13464" s="1" t="s">
        <v>7</v>
      </c>
      <c r="B13464" s="2">
        <v>44778.0</v>
      </c>
      <c r="C13464" s="3">
        <v>0.7715740740740741</v>
      </c>
      <c r="D13464" s="1">
        <v>12.965982</v>
      </c>
      <c r="E13464" s="1">
        <v>80.090337</v>
      </c>
      <c r="F13464" s="1">
        <v>3143.0</v>
      </c>
      <c r="G13464" s="1">
        <v>59.0</v>
      </c>
    </row>
    <row r="13465">
      <c r="A13465" s="1" t="s">
        <v>7</v>
      </c>
      <c r="B13465" s="2">
        <v>44778.0</v>
      </c>
      <c r="C13465" s="3">
        <v>0.7716898148148148</v>
      </c>
      <c r="D13465" s="1">
        <v>12.963549</v>
      </c>
      <c r="E13465" s="1">
        <v>80.090397</v>
      </c>
      <c r="F13465" s="1">
        <v>3143.0</v>
      </c>
      <c r="G13465" s="1">
        <v>58.0</v>
      </c>
    </row>
    <row r="13466">
      <c r="A13466" s="1" t="s">
        <v>7</v>
      </c>
      <c r="B13466" s="2">
        <v>44778.0</v>
      </c>
      <c r="C13466" s="3">
        <v>0.7719675925925926</v>
      </c>
      <c r="D13466" s="1">
        <v>12.961228</v>
      </c>
      <c r="E13466" s="1">
        <v>80.090497</v>
      </c>
      <c r="F13466" s="1">
        <v>3143.0</v>
      </c>
      <c r="G13466" s="1">
        <v>57.0</v>
      </c>
    </row>
    <row r="13467">
      <c r="A13467" s="1" t="s">
        <v>7</v>
      </c>
      <c r="B13467" s="2">
        <v>44778.0</v>
      </c>
      <c r="C13467" s="3">
        <v>0.7728703703703703</v>
      </c>
      <c r="D13467" s="1">
        <v>12.950124</v>
      </c>
      <c r="E13467" s="1">
        <v>80.087694</v>
      </c>
      <c r="F13467" s="1">
        <v>3143.0</v>
      </c>
      <c r="G13467" s="1">
        <v>56.0</v>
      </c>
    </row>
    <row r="13468">
      <c r="A13468" s="1" t="s">
        <v>7</v>
      </c>
      <c r="B13468" s="2">
        <v>44778.0</v>
      </c>
      <c r="C13468" s="3">
        <v>0.7733564814814815</v>
      </c>
      <c r="D13468" s="1">
        <v>12.943445</v>
      </c>
      <c r="E13468" s="1">
        <v>80.085176</v>
      </c>
      <c r="F13468" s="1">
        <v>3143.0</v>
      </c>
      <c r="G13468" s="1">
        <v>58.0</v>
      </c>
    </row>
    <row r="13469">
      <c r="A13469" s="1" t="s">
        <v>8</v>
      </c>
      <c r="B13469" s="2">
        <v>44778.0</v>
      </c>
      <c r="C13469" s="3">
        <v>0.7734143518518518</v>
      </c>
      <c r="D13469" s="1">
        <v>12.943445</v>
      </c>
      <c r="E13469" s="1">
        <v>80.085176</v>
      </c>
      <c r="F13469" s="1">
        <v>3143.0</v>
      </c>
      <c r="G13469" s="1">
        <v>58.0</v>
      </c>
    </row>
    <row r="13470">
      <c r="A13470" s="1" t="s">
        <v>7</v>
      </c>
      <c r="B13470" s="2">
        <v>44778.0</v>
      </c>
      <c r="C13470" s="3">
        <v>0.7759490740740741</v>
      </c>
      <c r="D13470" s="1">
        <v>12.919413</v>
      </c>
      <c r="E13470" s="1">
        <v>80.076592</v>
      </c>
      <c r="F13470" s="1">
        <v>3143.0</v>
      </c>
      <c r="G13470" s="1">
        <v>58.0</v>
      </c>
    </row>
    <row r="13471">
      <c r="A13471" s="1" t="s">
        <v>7</v>
      </c>
      <c r="B13471" s="2">
        <v>44778.0</v>
      </c>
      <c r="C13471" s="3">
        <v>0.7769328703703704</v>
      </c>
      <c r="D13471" s="1">
        <v>12.908222</v>
      </c>
      <c r="E13471" s="1">
        <v>80.073054</v>
      </c>
      <c r="F13471" s="1">
        <v>3143.0</v>
      </c>
      <c r="G13471" s="1">
        <v>57.0</v>
      </c>
    </row>
    <row r="13472">
      <c r="A13472" s="1" t="s">
        <v>7</v>
      </c>
      <c r="B13472" s="2">
        <v>44778.0</v>
      </c>
      <c r="C13472" s="3">
        <v>0.7770601851851852</v>
      </c>
      <c r="D13472" s="1">
        <v>12.905987</v>
      </c>
      <c r="E13472" s="1">
        <v>80.072338</v>
      </c>
      <c r="F13472" s="1">
        <v>3143.0</v>
      </c>
      <c r="G13472" s="1">
        <v>58.0</v>
      </c>
    </row>
    <row r="13473">
      <c r="A13473" s="1" t="s">
        <v>7</v>
      </c>
      <c r="B13473" s="2">
        <v>44778.0</v>
      </c>
      <c r="C13473" s="3">
        <v>0.7775115740740741</v>
      </c>
      <c r="D13473" s="1">
        <v>12.901447</v>
      </c>
      <c r="E13473" s="1">
        <v>80.071184</v>
      </c>
      <c r="F13473" s="1">
        <v>3143.0</v>
      </c>
      <c r="G13473" s="1">
        <v>58.0</v>
      </c>
    </row>
    <row r="13474">
      <c r="A13474" s="1" t="s">
        <v>7</v>
      </c>
      <c r="B13474" s="2">
        <v>44778.0</v>
      </c>
      <c r="C13474" s="3">
        <v>0.7778587962962963</v>
      </c>
      <c r="D13474" s="1">
        <v>12.896647</v>
      </c>
      <c r="E13474" s="1">
        <v>80.070746</v>
      </c>
      <c r="F13474" s="1">
        <v>3143.0</v>
      </c>
      <c r="G13474" s="1">
        <v>58.0</v>
      </c>
    </row>
    <row r="13475">
      <c r="A13475" s="1" t="s">
        <v>7</v>
      </c>
      <c r="B13475" s="2">
        <v>44778.0</v>
      </c>
      <c r="C13475" s="3">
        <v>0.7780902777777777</v>
      </c>
      <c r="D13475" s="1">
        <v>12.894331</v>
      </c>
      <c r="E13475" s="1">
        <v>80.070804</v>
      </c>
      <c r="F13475" s="1">
        <v>3143.0</v>
      </c>
      <c r="G13475" s="1">
        <v>57.0</v>
      </c>
    </row>
    <row r="13476">
      <c r="A13476" s="1" t="s">
        <v>7</v>
      </c>
      <c r="B13476" s="2">
        <v>44778.0</v>
      </c>
      <c r="C13476" s="3">
        <v>0.7785185185185185</v>
      </c>
      <c r="D13476" s="1">
        <v>12.888622</v>
      </c>
      <c r="E13476" s="1">
        <v>80.072948</v>
      </c>
      <c r="F13476" s="1">
        <v>3143.0</v>
      </c>
      <c r="G13476" s="1">
        <v>61.0</v>
      </c>
    </row>
    <row r="13477">
      <c r="A13477" s="1" t="s">
        <v>7</v>
      </c>
      <c r="B13477" s="2">
        <v>44778.0</v>
      </c>
      <c r="C13477" s="3">
        <v>0.7787384259259259</v>
      </c>
      <c r="D13477" s="1">
        <v>12.887527</v>
      </c>
      <c r="E13477" s="1">
        <v>80.075066</v>
      </c>
      <c r="F13477" s="1">
        <v>3143.0</v>
      </c>
      <c r="G13477" s="1">
        <v>57.0</v>
      </c>
    </row>
    <row r="13478">
      <c r="A13478" s="1" t="s">
        <v>10</v>
      </c>
      <c r="B13478" s="2">
        <v>44779.0</v>
      </c>
      <c r="C13478" s="3">
        <v>0.35260416666666666</v>
      </c>
      <c r="D13478" s="1">
        <v>12.875812</v>
      </c>
      <c r="E13478" s="1">
        <v>80.08381</v>
      </c>
      <c r="F13478" s="1">
        <v>3143.0</v>
      </c>
      <c r="G13478" s="1">
        <v>12.0</v>
      </c>
    </row>
    <row r="13479">
      <c r="A13479" s="1" t="s">
        <v>7</v>
      </c>
      <c r="B13479" s="2">
        <v>44779.0</v>
      </c>
      <c r="C13479" s="3">
        <v>0.3786921296296296</v>
      </c>
      <c r="D13479" s="1">
        <v>12.876086</v>
      </c>
      <c r="E13479" s="1">
        <v>80.079114</v>
      </c>
      <c r="F13479" s="1">
        <v>3143.0</v>
      </c>
      <c r="G13479" s="1">
        <v>50.0</v>
      </c>
    </row>
    <row r="13480">
      <c r="A13480" s="1" t="s">
        <v>8</v>
      </c>
      <c r="B13480" s="2">
        <v>44779.0</v>
      </c>
      <c r="C13480" s="3">
        <v>0.37881944444444443</v>
      </c>
      <c r="D13480" s="1">
        <v>12.874854</v>
      </c>
      <c r="E13480" s="1">
        <v>80.078619</v>
      </c>
      <c r="F13480" s="1">
        <v>3143.0</v>
      </c>
      <c r="G13480" s="1">
        <v>52.0</v>
      </c>
    </row>
    <row r="13481">
      <c r="A13481" s="1" t="s">
        <v>8</v>
      </c>
      <c r="B13481" s="2">
        <v>44779.0</v>
      </c>
      <c r="C13481" s="3">
        <v>0.3807175925925926</v>
      </c>
      <c r="D13481" s="1">
        <v>12.86002</v>
      </c>
      <c r="E13481" s="1">
        <v>80.072277</v>
      </c>
      <c r="F13481" s="1">
        <v>3143.0</v>
      </c>
      <c r="G13481" s="1">
        <v>31.0</v>
      </c>
    </row>
    <row r="13482">
      <c r="A13482" s="1" t="s">
        <v>8</v>
      </c>
      <c r="B13482" s="2">
        <v>44779.0</v>
      </c>
      <c r="C13482" s="3">
        <v>0.38090277777777776</v>
      </c>
      <c r="D13482" s="1">
        <v>12.859338</v>
      </c>
      <c r="E13482" s="1">
        <v>80.071811</v>
      </c>
      <c r="F13482" s="1">
        <v>3143.0</v>
      </c>
      <c r="G13482" s="1">
        <v>35.0</v>
      </c>
    </row>
    <row r="13483">
      <c r="A13483" s="1" t="s">
        <v>8</v>
      </c>
      <c r="B13483" s="2">
        <v>44779.0</v>
      </c>
      <c r="C13483" s="3">
        <v>0.3809722222222222</v>
      </c>
      <c r="D13483" s="1">
        <v>12.858561</v>
      </c>
      <c r="E13483" s="1">
        <v>80.071225</v>
      </c>
      <c r="F13483" s="1">
        <v>3143.0</v>
      </c>
      <c r="G13483" s="1">
        <v>39.0</v>
      </c>
    </row>
    <row r="13484">
      <c r="A13484" s="1" t="s">
        <v>8</v>
      </c>
      <c r="B13484" s="2">
        <v>44779.0</v>
      </c>
      <c r="C13484" s="3">
        <v>0.3811689814814815</v>
      </c>
      <c r="D13484" s="1">
        <v>12.857842</v>
      </c>
      <c r="E13484" s="1">
        <v>80.070664</v>
      </c>
      <c r="F13484" s="1">
        <v>3143.0</v>
      </c>
      <c r="G13484" s="1">
        <v>37.0</v>
      </c>
    </row>
    <row r="13485">
      <c r="A13485" s="1" t="s">
        <v>8</v>
      </c>
      <c r="B13485" s="2">
        <v>44779.0</v>
      </c>
      <c r="C13485" s="3">
        <v>0.3822337962962963</v>
      </c>
      <c r="D13485" s="1">
        <v>12.849784</v>
      </c>
      <c r="E13485" s="1">
        <v>80.064807</v>
      </c>
      <c r="F13485" s="1">
        <v>3143.0</v>
      </c>
      <c r="G13485" s="1">
        <v>37.0</v>
      </c>
    </row>
    <row r="13486">
      <c r="A13486" s="1" t="s">
        <v>8</v>
      </c>
      <c r="B13486" s="2">
        <v>44779.0</v>
      </c>
      <c r="C13486" s="3">
        <v>0.38256944444444446</v>
      </c>
      <c r="D13486" s="1">
        <v>12.847187</v>
      </c>
      <c r="E13486" s="1">
        <v>80.062909</v>
      </c>
      <c r="F13486" s="1">
        <v>3143.0</v>
      </c>
      <c r="G13486" s="1">
        <v>44.0</v>
      </c>
    </row>
    <row r="13487">
      <c r="A13487" s="1" t="s">
        <v>8</v>
      </c>
      <c r="B13487" s="2">
        <v>44779.0</v>
      </c>
      <c r="C13487" s="3">
        <v>0.3830324074074074</v>
      </c>
      <c r="D13487" s="1">
        <v>12.845465</v>
      </c>
      <c r="E13487" s="1">
        <v>80.061421</v>
      </c>
      <c r="F13487" s="1">
        <v>3143.0</v>
      </c>
      <c r="G13487" s="1">
        <v>28.0</v>
      </c>
    </row>
    <row r="13488">
      <c r="A13488" s="1" t="s">
        <v>8</v>
      </c>
      <c r="B13488" s="2">
        <v>44779.0</v>
      </c>
      <c r="C13488" s="3">
        <v>0.384537037037037</v>
      </c>
      <c r="D13488" s="1">
        <v>12.83798</v>
      </c>
      <c r="E13488" s="1">
        <v>80.053609</v>
      </c>
      <c r="F13488" s="1">
        <v>3143.0</v>
      </c>
      <c r="G13488" s="1">
        <v>44.0</v>
      </c>
    </row>
    <row r="13489">
      <c r="A13489" s="1" t="s">
        <v>8</v>
      </c>
      <c r="B13489" s="2">
        <v>44779.0</v>
      </c>
      <c r="C13489" s="3">
        <v>0.3858912037037037</v>
      </c>
      <c r="D13489" s="1">
        <v>12.833262</v>
      </c>
      <c r="E13489" s="1">
        <v>80.048656</v>
      </c>
      <c r="F13489" s="1">
        <v>3143.0</v>
      </c>
      <c r="G13489" s="1">
        <v>44.0</v>
      </c>
    </row>
    <row r="13490">
      <c r="A13490" s="1" t="s">
        <v>7</v>
      </c>
      <c r="B13490" s="2">
        <v>44779.0</v>
      </c>
      <c r="C13490" s="3">
        <v>0.3863888888888889</v>
      </c>
      <c r="D13490" s="1">
        <v>12.822928</v>
      </c>
      <c r="E13490" s="1">
        <v>80.03892</v>
      </c>
      <c r="F13490" s="1">
        <v>3143.0</v>
      </c>
      <c r="G13490" s="1">
        <v>57.0</v>
      </c>
    </row>
    <row r="13491">
      <c r="A13491" s="1" t="s">
        <v>7</v>
      </c>
      <c r="B13491" s="2">
        <v>44779.0</v>
      </c>
      <c r="C13491" s="3">
        <v>0.3869444444444444</v>
      </c>
      <c r="D13491" s="1">
        <v>12.819297</v>
      </c>
      <c r="E13491" s="1">
        <v>80.036342</v>
      </c>
      <c r="F13491" s="1">
        <v>3143.0</v>
      </c>
      <c r="G13491" s="1">
        <v>49.0</v>
      </c>
    </row>
    <row r="13492">
      <c r="A13492" s="1" t="s">
        <v>7</v>
      </c>
      <c r="B13492" s="2">
        <v>44779.0</v>
      </c>
      <c r="C13492" s="3">
        <v>0.38734953703703706</v>
      </c>
      <c r="D13492" s="1">
        <v>12.814688</v>
      </c>
      <c r="E13492" s="1">
        <v>80.033028</v>
      </c>
      <c r="F13492" s="1">
        <v>3143.0</v>
      </c>
      <c r="G13492" s="1">
        <v>57.0</v>
      </c>
    </row>
    <row r="13493">
      <c r="A13493" s="1" t="s">
        <v>7</v>
      </c>
      <c r="B13493" s="2">
        <v>44779.0</v>
      </c>
      <c r="C13493" s="3">
        <v>0.3878009259259259</v>
      </c>
      <c r="D13493" s="1">
        <v>12.809799</v>
      </c>
      <c r="E13493" s="1">
        <v>80.029842</v>
      </c>
      <c r="F13493" s="1">
        <v>3143.0</v>
      </c>
      <c r="G13493" s="1">
        <v>58.0</v>
      </c>
    </row>
    <row r="13494">
      <c r="A13494" s="1" t="s">
        <v>7</v>
      </c>
      <c r="B13494" s="2">
        <v>44779.0</v>
      </c>
      <c r="C13494" s="3">
        <v>0.39166666666666666</v>
      </c>
      <c r="D13494" s="1">
        <v>12.770733</v>
      </c>
      <c r="E13494" s="1">
        <v>80.007632</v>
      </c>
      <c r="F13494" s="1">
        <v>3143.0</v>
      </c>
      <c r="G13494" s="1">
        <v>57.0</v>
      </c>
    </row>
    <row r="13495">
      <c r="A13495" s="1" t="s">
        <v>8</v>
      </c>
      <c r="B13495" s="2">
        <v>44779.0</v>
      </c>
      <c r="C13495" s="3">
        <v>0.3924074074074074</v>
      </c>
      <c r="D13495" s="1">
        <v>12.762795</v>
      </c>
      <c r="E13495" s="1">
        <v>80.004019</v>
      </c>
      <c r="F13495" s="1">
        <v>3143.0</v>
      </c>
      <c r="G13495" s="1">
        <v>53.0</v>
      </c>
    </row>
    <row r="13496">
      <c r="A13496" s="1" t="s">
        <v>7</v>
      </c>
      <c r="B13496" s="2">
        <v>44779.0</v>
      </c>
      <c r="C13496" s="3">
        <v>0.39619212962962963</v>
      </c>
      <c r="D13496" s="1">
        <v>12.737998</v>
      </c>
      <c r="E13496" s="1">
        <v>79.988389</v>
      </c>
      <c r="F13496" s="1">
        <v>3143.0</v>
      </c>
      <c r="G13496" s="1">
        <v>59.0</v>
      </c>
    </row>
    <row r="13497">
      <c r="A13497" s="1" t="s">
        <v>8</v>
      </c>
      <c r="B13497" s="2">
        <v>44779.0</v>
      </c>
      <c r="C13497" s="3">
        <v>0.39947916666666666</v>
      </c>
      <c r="D13497" s="1">
        <v>12.721168</v>
      </c>
      <c r="E13497" s="1">
        <v>79.98132</v>
      </c>
      <c r="F13497" s="1">
        <v>3143.0</v>
      </c>
      <c r="G13497" s="1">
        <v>55.0</v>
      </c>
    </row>
    <row r="13498">
      <c r="A13498" s="1" t="s">
        <v>7</v>
      </c>
      <c r="B13498" s="2">
        <v>44779.0</v>
      </c>
      <c r="C13498" s="3">
        <v>0.4018055555555556</v>
      </c>
      <c r="D13498" s="1">
        <v>12.696362</v>
      </c>
      <c r="E13498" s="1">
        <v>79.966622</v>
      </c>
      <c r="F13498" s="1">
        <v>3143.0</v>
      </c>
      <c r="G13498" s="1">
        <v>57.0</v>
      </c>
    </row>
    <row r="13499">
      <c r="A13499" s="1" t="s">
        <v>7</v>
      </c>
      <c r="B13499" s="2">
        <v>44779.0</v>
      </c>
      <c r="C13499" s="3">
        <v>0.40315972222222224</v>
      </c>
      <c r="D13499" s="1">
        <v>12.684389</v>
      </c>
      <c r="E13499" s="1">
        <v>79.958925</v>
      </c>
      <c r="F13499" s="1">
        <v>3143.0</v>
      </c>
      <c r="G13499" s="1">
        <v>57.0</v>
      </c>
    </row>
    <row r="13500">
      <c r="A13500" s="1" t="s">
        <v>7</v>
      </c>
      <c r="B13500" s="2">
        <v>44779.0</v>
      </c>
      <c r="C13500" s="3">
        <v>0.4036111111111111</v>
      </c>
      <c r="D13500" s="1">
        <v>12.67851</v>
      </c>
      <c r="E13500" s="1">
        <v>79.958564</v>
      </c>
      <c r="F13500" s="1">
        <v>3143.0</v>
      </c>
      <c r="G13500" s="1">
        <v>57.0</v>
      </c>
    </row>
    <row r="13501">
      <c r="A13501" s="1" t="s">
        <v>7</v>
      </c>
      <c r="B13501" s="2">
        <v>44779.0</v>
      </c>
      <c r="C13501" s="3">
        <v>0.4043171296296296</v>
      </c>
      <c r="D13501" s="1">
        <v>12.669746</v>
      </c>
      <c r="E13501" s="1">
        <v>79.958706</v>
      </c>
      <c r="F13501" s="1">
        <v>3143.0</v>
      </c>
      <c r="G13501" s="1">
        <v>58.0</v>
      </c>
    </row>
    <row r="13502">
      <c r="A13502" s="1" t="s">
        <v>7</v>
      </c>
      <c r="B13502" s="2">
        <v>44779.0</v>
      </c>
      <c r="C13502" s="3">
        <v>0.4056018518518518</v>
      </c>
      <c r="D13502" s="1">
        <v>12.656798</v>
      </c>
      <c r="E13502" s="1">
        <v>79.9561</v>
      </c>
      <c r="F13502" s="1">
        <v>3143.0</v>
      </c>
      <c r="G13502" s="1">
        <v>58.0</v>
      </c>
    </row>
    <row r="13503">
      <c r="A13503" s="1" t="s">
        <v>7</v>
      </c>
      <c r="B13503" s="2">
        <v>44779.0</v>
      </c>
      <c r="C13503" s="3">
        <v>0.4057986111111111</v>
      </c>
      <c r="D13503" s="1">
        <v>12.655794</v>
      </c>
      <c r="E13503" s="1">
        <v>79.953295</v>
      </c>
      <c r="F13503" s="1">
        <v>3143.0</v>
      </c>
      <c r="G13503" s="1">
        <v>57.0</v>
      </c>
    </row>
    <row r="13504">
      <c r="A13504" s="1" t="s">
        <v>7</v>
      </c>
      <c r="B13504" s="2">
        <v>44779.0</v>
      </c>
      <c r="C13504" s="3">
        <v>0.40721064814814817</v>
      </c>
      <c r="D13504" s="1">
        <v>12.655097</v>
      </c>
      <c r="E13504" s="1">
        <v>79.942004</v>
      </c>
      <c r="F13504" s="1">
        <v>3143.0</v>
      </c>
      <c r="G13504" s="1">
        <v>58.0</v>
      </c>
    </row>
    <row r="13505">
      <c r="A13505" s="1" t="s">
        <v>7</v>
      </c>
      <c r="B13505" s="2">
        <v>44779.0</v>
      </c>
      <c r="C13505" s="3">
        <v>0.40771990740740743</v>
      </c>
      <c r="D13505" s="1">
        <v>12.648564</v>
      </c>
      <c r="E13505" s="1">
        <v>79.940942</v>
      </c>
      <c r="F13505" s="1">
        <v>3143.0</v>
      </c>
      <c r="G13505" s="1">
        <v>58.0</v>
      </c>
    </row>
    <row r="13506">
      <c r="A13506" s="1" t="s">
        <v>7</v>
      </c>
      <c r="B13506" s="2">
        <v>44779.0</v>
      </c>
      <c r="C13506" s="3">
        <v>0.40934027777777776</v>
      </c>
      <c r="D13506" s="1">
        <v>12.630503</v>
      </c>
      <c r="E13506" s="1">
        <v>79.931481</v>
      </c>
      <c r="F13506" s="1">
        <v>3143.0</v>
      </c>
      <c r="G13506" s="1">
        <v>53.0</v>
      </c>
    </row>
    <row r="13507">
      <c r="A13507" s="1" t="s">
        <v>8</v>
      </c>
      <c r="B13507" s="2">
        <v>44779.0</v>
      </c>
      <c r="C13507" s="3">
        <v>0.4093981481481481</v>
      </c>
      <c r="D13507" s="1">
        <v>12.630503</v>
      </c>
      <c r="E13507" s="1">
        <v>79.931481</v>
      </c>
      <c r="F13507" s="1">
        <v>3143.0</v>
      </c>
      <c r="G13507" s="1">
        <v>53.0</v>
      </c>
    </row>
    <row r="13508">
      <c r="A13508" s="1" t="s">
        <v>8</v>
      </c>
      <c r="B13508" s="2">
        <v>44779.0</v>
      </c>
      <c r="C13508" s="3">
        <v>0.4096064814814815</v>
      </c>
      <c r="D13508" s="1">
        <v>12.628113</v>
      </c>
      <c r="E13508" s="1">
        <v>79.930402</v>
      </c>
      <c r="F13508" s="1">
        <v>3143.0</v>
      </c>
      <c r="G13508" s="1">
        <v>56.0</v>
      </c>
    </row>
    <row r="13509">
      <c r="A13509" s="1" t="s">
        <v>7</v>
      </c>
      <c r="B13509" s="2">
        <v>44779.0</v>
      </c>
      <c r="C13509" s="3">
        <v>0.41086805555555556</v>
      </c>
      <c r="D13509" s="1">
        <v>12.613785</v>
      </c>
      <c r="E13509" s="1">
        <v>79.924952</v>
      </c>
      <c r="F13509" s="1">
        <v>3143.0</v>
      </c>
      <c r="G13509" s="1">
        <v>57.0</v>
      </c>
    </row>
    <row r="13510">
      <c r="A13510" s="1" t="s">
        <v>7</v>
      </c>
      <c r="B13510" s="2">
        <v>44779.0</v>
      </c>
      <c r="C13510" s="3">
        <v>0.41195601851851854</v>
      </c>
      <c r="D13510" s="1">
        <v>12.603083</v>
      </c>
      <c r="E13510" s="1">
        <v>79.920336</v>
      </c>
      <c r="F13510" s="1">
        <v>3143.0</v>
      </c>
      <c r="G13510" s="1">
        <v>53.0</v>
      </c>
    </row>
    <row r="13511">
      <c r="A13511" s="1" t="s">
        <v>7</v>
      </c>
      <c r="B13511" s="2">
        <v>44779.0</v>
      </c>
      <c r="C13511" s="3">
        <v>0.41260416666666666</v>
      </c>
      <c r="D13511" s="1">
        <v>12.594394</v>
      </c>
      <c r="E13511" s="1">
        <v>79.919365</v>
      </c>
      <c r="F13511" s="1">
        <v>3143.0</v>
      </c>
      <c r="G13511" s="1">
        <v>57.0</v>
      </c>
    </row>
    <row r="13512">
      <c r="A13512" s="1" t="s">
        <v>7</v>
      </c>
      <c r="B13512" s="2">
        <v>44779.0</v>
      </c>
      <c r="C13512" s="3">
        <v>0.41270833333333334</v>
      </c>
      <c r="D13512" s="1">
        <v>12.592943</v>
      </c>
      <c r="E13512" s="1">
        <v>79.919242</v>
      </c>
      <c r="F13512" s="1">
        <v>3143.0</v>
      </c>
      <c r="G13512" s="1">
        <v>58.0</v>
      </c>
    </row>
    <row r="13513">
      <c r="A13513" s="1" t="s">
        <v>7</v>
      </c>
      <c r="B13513" s="2">
        <v>44779.0</v>
      </c>
      <c r="C13513" s="3">
        <v>0.4130902777777778</v>
      </c>
      <c r="D13513" s="1">
        <v>12.58856</v>
      </c>
      <c r="E13513" s="1">
        <v>79.919423</v>
      </c>
      <c r="F13513" s="1">
        <v>3143.0</v>
      </c>
      <c r="G13513" s="1">
        <v>56.0</v>
      </c>
    </row>
    <row r="13514">
      <c r="A13514" s="1" t="s">
        <v>7</v>
      </c>
      <c r="B13514" s="2">
        <v>44779.0</v>
      </c>
      <c r="C13514" s="3">
        <v>0.41354166666666664</v>
      </c>
      <c r="D13514" s="1">
        <v>12.582741</v>
      </c>
      <c r="E13514" s="1">
        <v>79.919174</v>
      </c>
      <c r="F13514" s="1">
        <v>3143.0</v>
      </c>
      <c r="G13514" s="1">
        <v>58.0</v>
      </c>
    </row>
    <row r="13515">
      <c r="A13515" s="1" t="s">
        <v>7</v>
      </c>
      <c r="B13515" s="2">
        <v>44779.0</v>
      </c>
      <c r="C13515" s="3">
        <v>0.41386574074074073</v>
      </c>
      <c r="D13515" s="1">
        <v>12.578898</v>
      </c>
      <c r="E13515" s="1">
        <v>79.917862</v>
      </c>
      <c r="F13515" s="1">
        <v>3143.0</v>
      </c>
      <c r="G13515" s="1">
        <v>57.0</v>
      </c>
    </row>
    <row r="13516">
      <c r="A13516" s="1" t="s">
        <v>7</v>
      </c>
      <c r="B13516" s="2">
        <v>44779.0</v>
      </c>
      <c r="C13516" s="3">
        <v>0.4143634259259259</v>
      </c>
      <c r="D13516" s="1">
        <v>12.573214</v>
      </c>
      <c r="E13516" s="1">
        <v>79.916554</v>
      </c>
      <c r="F13516" s="1">
        <v>3143.0</v>
      </c>
      <c r="G13516" s="1">
        <v>57.0</v>
      </c>
    </row>
    <row r="13517">
      <c r="A13517" s="1" t="s">
        <v>8</v>
      </c>
      <c r="B13517" s="2">
        <v>44779.0</v>
      </c>
      <c r="C13517" s="3">
        <v>0.41445601851851854</v>
      </c>
      <c r="D13517" s="1">
        <v>12.571823</v>
      </c>
      <c r="E13517" s="1">
        <v>79.91622</v>
      </c>
      <c r="F13517" s="1">
        <v>3143.0</v>
      </c>
      <c r="G13517" s="1">
        <v>55.0</v>
      </c>
    </row>
    <row r="13518">
      <c r="A13518" s="1" t="s">
        <v>7</v>
      </c>
      <c r="B13518" s="2">
        <v>44779.0</v>
      </c>
      <c r="C13518" s="3">
        <v>0.41467592592592595</v>
      </c>
      <c r="D13518" s="1">
        <v>12.569106</v>
      </c>
      <c r="E13518" s="1">
        <v>79.915522</v>
      </c>
      <c r="F13518" s="1">
        <v>3143.0</v>
      </c>
      <c r="G13518" s="1">
        <v>59.0</v>
      </c>
    </row>
    <row r="13519">
      <c r="A13519" s="1" t="s">
        <v>8</v>
      </c>
      <c r="B13519" s="2">
        <v>44779.0</v>
      </c>
      <c r="C13519" s="3">
        <v>0.4148611111111111</v>
      </c>
      <c r="D13519" s="1">
        <v>12.567744</v>
      </c>
      <c r="E13519" s="1">
        <v>79.915121</v>
      </c>
      <c r="F13519" s="1">
        <v>3143.0</v>
      </c>
      <c r="G13519" s="1">
        <v>56.0</v>
      </c>
    </row>
    <row r="13520">
      <c r="A13520" s="1" t="s">
        <v>7</v>
      </c>
      <c r="B13520" s="2">
        <v>44779.0</v>
      </c>
      <c r="C13520" s="3">
        <v>0.4152199074074074</v>
      </c>
      <c r="D13520" s="1">
        <v>12.564518</v>
      </c>
      <c r="E13520" s="1">
        <v>79.913956</v>
      </c>
      <c r="F13520" s="1">
        <v>3143.0</v>
      </c>
      <c r="G13520" s="1">
        <v>55.0</v>
      </c>
    </row>
    <row r="13521">
      <c r="A13521" s="1" t="s">
        <v>7</v>
      </c>
      <c r="B13521" s="2">
        <v>44779.0</v>
      </c>
      <c r="C13521" s="3">
        <v>0.4156828703703704</v>
      </c>
      <c r="D13521" s="1">
        <v>12.559455</v>
      </c>
      <c r="E13521" s="1">
        <v>79.910997</v>
      </c>
      <c r="F13521" s="1">
        <v>3143.0</v>
      </c>
      <c r="G13521" s="1">
        <v>58.0</v>
      </c>
    </row>
    <row r="13522">
      <c r="A13522" s="1" t="s">
        <v>7</v>
      </c>
      <c r="B13522" s="2">
        <v>44779.0</v>
      </c>
      <c r="C13522" s="3">
        <v>0.4162384259259259</v>
      </c>
      <c r="D13522" s="1">
        <v>12.553238</v>
      </c>
      <c r="E13522" s="1">
        <v>79.907635</v>
      </c>
      <c r="F13522" s="1">
        <v>3143.0</v>
      </c>
      <c r="G13522" s="1">
        <v>58.0</v>
      </c>
    </row>
    <row r="13523">
      <c r="A13523" s="1" t="s">
        <v>7</v>
      </c>
      <c r="B13523" s="2">
        <v>44779.0</v>
      </c>
      <c r="C13523" s="3">
        <v>0.41631944444444446</v>
      </c>
      <c r="D13523" s="1">
        <v>12.551988</v>
      </c>
      <c r="E13523" s="1">
        <v>79.907057</v>
      </c>
      <c r="F13523" s="1">
        <v>3143.0</v>
      </c>
      <c r="G13523" s="1">
        <v>54.0</v>
      </c>
    </row>
    <row r="13524">
      <c r="A13524" s="1" t="s">
        <v>7</v>
      </c>
      <c r="B13524" s="2">
        <v>44779.0</v>
      </c>
      <c r="C13524" s="3">
        <v>0.4166666666666667</v>
      </c>
      <c r="D13524" s="1">
        <v>12.547834</v>
      </c>
      <c r="E13524" s="1">
        <v>79.90579</v>
      </c>
      <c r="F13524" s="1">
        <v>3143.0</v>
      </c>
      <c r="G13524" s="1">
        <v>57.0</v>
      </c>
    </row>
    <row r="13525">
      <c r="A13525" s="1" t="s">
        <v>7</v>
      </c>
      <c r="B13525" s="2">
        <v>44779.0</v>
      </c>
      <c r="C13525" s="3">
        <v>0.4174074074074074</v>
      </c>
      <c r="D13525" s="1">
        <v>12.540095</v>
      </c>
      <c r="E13525" s="1">
        <v>79.904343</v>
      </c>
      <c r="F13525" s="1">
        <v>3143.0</v>
      </c>
      <c r="G13525" s="1">
        <v>57.0</v>
      </c>
    </row>
    <row r="13526">
      <c r="A13526" s="1" t="s">
        <v>8</v>
      </c>
      <c r="B13526" s="2">
        <v>44779.0</v>
      </c>
      <c r="C13526" s="3">
        <v>0.4177546296296296</v>
      </c>
      <c r="D13526" s="1">
        <v>12.536422</v>
      </c>
      <c r="E13526" s="1">
        <v>79.902789</v>
      </c>
      <c r="F13526" s="1">
        <v>3143.0</v>
      </c>
      <c r="G13526" s="1">
        <v>49.0</v>
      </c>
    </row>
    <row r="13527">
      <c r="A13527" s="1" t="s">
        <v>7</v>
      </c>
      <c r="B13527" s="2">
        <v>44779.0</v>
      </c>
      <c r="C13527" s="3">
        <v>0.418125</v>
      </c>
      <c r="D13527" s="1">
        <v>12.531699</v>
      </c>
      <c r="E13527" s="1">
        <v>79.90042</v>
      </c>
      <c r="F13527" s="1">
        <v>3143.0</v>
      </c>
      <c r="G13527" s="1">
        <v>58.0</v>
      </c>
    </row>
    <row r="13528">
      <c r="A13528" s="1" t="s">
        <v>7</v>
      </c>
      <c r="B13528" s="2">
        <v>44779.0</v>
      </c>
      <c r="C13528" s="3">
        <v>0.41944444444444445</v>
      </c>
      <c r="D13528" s="1">
        <v>12.518317</v>
      </c>
      <c r="E13528" s="1">
        <v>79.89198</v>
      </c>
      <c r="F13528" s="1">
        <v>3143.0</v>
      </c>
      <c r="G13528" s="1">
        <v>58.0</v>
      </c>
    </row>
    <row r="13529">
      <c r="A13529" s="1" t="s">
        <v>7</v>
      </c>
      <c r="B13529" s="2">
        <v>44779.0</v>
      </c>
      <c r="C13529" s="3">
        <v>0.4196990740740741</v>
      </c>
      <c r="D13529" s="1">
        <v>12.516638</v>
      </c>
      <c r="E13529" s="1">
        <v>79.889607</v>
      </c>
      <c r="F13529" s="1">
        <v>3143.0</v>
      </c>
      <c r="G13529" s="1">
        <v>57.0</v>
      </c>
    </row>
    <row r="13530">
      <c r="A13530" s="1" t="s">
        <v>7</v>
      </c>
      <c r="B13530" s="2">
        <v>44779.0</v>
      </c>
      <c r="C13530" s="3">
        <v>0.41996527777777776</v>
      </c>
      <c r="D13530" s="1">
        <v>12.51541</v>
      </c>
      <c r="E13530" s="1">
        <v>79.886926</v>
      </c>
      <c r="F13530" s="1">
        <v>3143.0</v>
      </c>
      <c r="G13530" s="1">
        <v>58.0</v>
      </c>
    </row>
    <row r="13531">
      <c r="A13531" s="1" t="s">
        <v>7</v>
      </c>
      <c r="B13531" s="2">
        <v>44779.0</v>
      </c>
      <c r="C13531" s="3">
        <v>0.42055555555555557</v>
      </c>
      <c r="D13531" s="1">
        <v>12.509928</v>
      </c>
      <c r="E13531" s="1">
        <v>79.882721</v>
      </c>
      <c r="F13531" s="1">
        <v>3143.0</v>
      </c>
      <c r="G13531" s="1">
        <v>58.0</v>
      </c>
    </row>
    <row r="13532">
      <c r="A13532" s="1" t="s">
        <v>7</v>
      </c>
      <c r="B13532" s="2">
        <v>44779.0</v>
      </c>
      <c r="C13532" s="3">
        <v>0.42074074074074075</v>
      </c>
      <c r="D13532" s="1">
        <v>12.50718</v>
      </c>
      <c r="E13532" s="1">
        <v>79.88101</v>
      </c>
      <c r="F13532" s="1">
        <v>3143.0</v>
      </c>
      <c r="G13532" s="1">
        <v>58.0</v>
      </c>
    </row>
    <row r="13533">
      <c r="A13533" s="1" t="s">
        <v>7</v>
      </c>
      <c r="B13533" s="2">
        <v>44779.0</v>
      </c>
      <c r="C13533" s="3">
        <v>0.4208796296296296</v>
      </c>
      <c r="D13533" s="1">
        <v>12.506036</v>
      </c>
      <c r="E13533" s="1">
        <v>79.880137</v>
      </c>
      <c r="F13533" s="1">
        <v>3143.0</v>
      </c>
      <c r="G13533" s="1">
        <v>54.0</v>
      </c>
    </row>
    <row r="13534">
      <c r="A13534" s="1" t="s">
        <v>7</v>
      </c>
      <c r="B13534" s="2">
        <v>44779.0</v>
      </c>
      <c r="C13534" s="3">
        <v>0.42189814814814813</v>
      </c>
      <c r="D13534" s="1">
        <v>12.496122</v>
      </c>
      <c r="E13534" s="1">
        <v>79.87224</v>
      </c>
      <c r="F13534" s="1">
        <v>3143.0</v>
      </c>
      <c r="G13534" s="1">
        <v>56.0</v>
      </c>
    </row>
    <row r="13535">
      <c r="A13535" s="1" t="s">
        <v>7</v>
      </c>
      <c r="B13535" s="2">
        <v>44779.0</v>
      </c>
      <c r="C13535" s="3">
        <v>0.42283564814814817</v>
      </c>
      <c r="D13535" s="1">
        <v>12.486987</v>
      </c>
      <c r="E13535" s="1">
        <v>79.864932</v>
      </c>
      <c r="F13535" s="1">
        <v>3143.0</v>
      </c>
      <c r="G13535" s="1">
        <v>58.0</v>
      </c>
    </row>
    <row r="13536">
      <c r="A13536" s="1" t="s">
        <v>7</v>
      </c>
      <c r="B13536" s="2">
        <v>44779.0</v>
      </c>
      <c r="C13536" s="3">
        <v>0.4232175925925926</v>
      </c>
      <c r="D13536" s="1">
        <v>12.482263</v>
      </c>
      <c r="E13536" s="1">
        <v>79.861475</v>
      </c>
      <c r="F13536" s="1">
        <v>3143.0</v>
      </c>
      <c r="G13536" s="1">
        <v>56.0</v>
      </c>
    </row>
    <row r="13537">
      <c r="A13537" s="1" t="s">
        <v>7</v>
      </c>
      <c r="B13537" s="2">
        <v>44779.0</v>
      </c>
      <c r="C13537" s="3">
        <v>0.42703703703703705</v>
      </c>
      <c r="D13537" s="1">
        <v>12.441456</v>
      </c>
      <c r="E13537" s="1">
        <v>79.836615</v>
      </c>
      <c r="F13537" s="1">
        <v>3143.0</v>
      </c>
      <c r="G13537" s="1">
        <v>57.0</v>
      </c>
    </row>
    <row r="13538">
      <c r="A13538" s="1" t="s">
        <v>7</v>
      </c>
      <c r="B13538" s="2">
        <v>44779.0</v>
      </c>
      <c r="C13538" s="3">
        <v>0.4282523148148148</v>
      </c>
      <c r="D13538" s="1">
        <v>12.427514</v>
      </c>
      <c r="E13538" s="1">
        <v>79.83105</v>
      </c>
      <c r="F13538" s="1">
        <v>3143.0</v>
      </c>
      <c r="G13538" s="1">
        <v>58.0</v>
      </c>
    </row>
    <row r="13539">
      <c r="A13539" s="1" t="s">
        <v>7</v>
      </c>
      <c r="B13539" s="2">
        <v>44779.0</v>
      </c>
      <c r="C13539" s="3">
        <v>0.42943287037037037</v>
      </c>
      <c r="D13539" s="1">
        <v>12.414343</v>
      </c>
      <c r="E13539" s="1">
        <v>79.824878</v>
      </c>
      <c r="F13539" s="1">
        <v>3143.0</v>
      </c>
      <c r="G13539" s="1">
        <v>57.0</v>
      </c>
    </row>
    <row r="13540">
      <c r="A13540" s="1" t="s">
        <v>7</v>
      </c>
      <c r="B13540" s="2">
        <v>44779.0</v>
      </c>
      <c r="C13540" s="3">
        <v>0.4296527777777778</v>
      </c>
      <c r="D13540" s="1">
        <v>12.413088</v>
      </c>
      <c r="E13540" s="1">
        <v>79.824121</v>
      </c>
      <c r="F13540" s="1">
        <v>3143.0</v>
      </c>
      <c r="G13540" s="1">
        <v>57.0</v>
      </c>
    </row>
    <row r="13541">
      <c r="A13541" s="1" t="s">
        <v>7</v>
      </c>
      <c r="B13541" s="2">
        <v>44779.0</v>
      </c>
      <c r="C13541" s="3">
        <v>0.4318634259259259</v>
      </c>
      <c r="D13541" s="1">
        <v>12.39803</v>
      </c>
      <c r="E13541" s="1">
        <v>79.808135</v>
      </c>
      <c r="F13541" s="1">
        <v>3143.0</v>
      </c>
      <c r="G13541" s="1">
        <v>58.0</v>
      </c>
    </row>
    <row r="13542">
      <c r="A13542" s="1" t="s">
        <v>7</v>
      </c>
      <c r="B13542" s="2">
        <v>44779.0</v>
      </c>
      <c r="C13542" s="3">
        <v>0.43212962962962964</v>
      </c>
      <c r="D13542" s="1">
        <v>12.392523</v>
      </c>
      <c r="E13542" s="1">
        <v>79.803313</v>
      </c>
      <c r="F13542" s="1">
        <v>3143.0</v>
      </c>
      <c r="G13542" s="1">
        <v>54.0</v>
      </c>
    </row>
    <row r="13543">
      <c r="A13543" s="1" t="s">
        <v>7</v>
      </c>
      <c r="B13543" s="2">
        <v>44779.0</v>
      </c>
      <c r="C13543" s="3">
        <v>0.4323842592592593</v>
      </c>
      <c r="D13543" s="1">
        <v>12.388553</v>
      </c>
      <c r="E13543" s="1">
        <v>79.798976</v>
      </c>
      <c r="F13543" s="1">
        <v>3143.0</v>
      </c>
      <c r="G13543" s="1">
        <v>58.0</v>
      </c>
    </row>
    <row r="13544">
      <c r="A13544" s="1" t="s">
        <v>7</v>
      </c>
      <c r="B13544" s="2">
        <v>44779.0</v>
      </c>
      <c r="C13544" s="3">
        <v>0.43265046296296295</v>
      </c>
      <c r="D13544" s="1">
        <v>12.388553</v>
      </c>
      <c r="E13544" s="1">
        <v>79.798976</v>
      </c>
      <c r="F13544" s="1">
        <v>3143.0</v>
      </c>
      <c r="G13544" s="1">
        <v>58.0</v>
      </c>
    </row>
    <row r="13545">
      <c r="A13545" s="1" t="s">
        <v>7</v>
      </c>
      <c r="B13545" s="2">
        <v>44779.0</v>
      </c>
      <c r="C13545" s="3">
        <v>0.43319444444444444</v>
      </c>
      <c r="D13545" s="1">
        <v>12.3836</v>
      </c>
      <c r="E13545" s="1">
        <v>79.793524</v>
      </c>
      <c r="F13545" s="1">
        <v>3143.0</v>
      </c>
      <c r="G13545" s="1">
        <v>58.0</v>
      </c>
    </row>
    <row r="13546">
      <c r="A13546" s="1" t="s">
        <v>7</v>
      </c>
      <c r="B13546" s="2">
        <v>44779.0</v>
      </c>
      <c r="C13546" s="3">
        <v>0.43550925925925926</v>
      </c>
      <c r="D13546" s="1">
        <v>12.378193</v>
      </c>
      <c r="E13546" s="1">
        <v>79.788615</v>
      </c>
      <c r="F13546" s="1">
        <v>3143.0</v>
      </c>
      <c r="G13546" s="1">
        <v>58.0</v>
      </c>
    </row>
    <row r="13547">
      <c r="A13547" s="1" t="s">
        <v>8</v>
      </c>
      <c r="B13547" s="2">
        <v>44779.0</v>
      </c>
      <c r="C13547" s="3">
        <v>0.43711805555555555</v>
      </c>
      <c r="D13547" s="1">
        <v>12.34417</v>
      </c>
      <c r="E13547" s="1">
        <v>79.78062</v>
      </c>
      <c r="F13547" s="1">
        <v>3143.0</v>
      </c>
      <c r="G13547" s="1">
        <v>49.0</v>
      </c>
    </row>
    <row r="13548">
      <c r="A13548" s="1" t="s">
        <v>7</v>
      </c>
      <c r="B13548" s="2">
        <v>44779.0</v>
      </c>
      <c r="C13548" s="3">
        <v>0.43730324074074073</v>
      </c>
      <c r="D13548" s="1">
        <v>12.342393</v>
      </c>
      <c r="E13548" s="1">
        <v>79.780994</v>
      </c>
      <c r="F13548" s="1">
        <v>3143.0</v>
      </c>
      <c r="G13548" s="1">
        <v>46.0</v>
      </c>
    </row>
    <row r="13549">
      <c r="A13549" s="1" t="s">
        <v>7</v>
      </c>
      <c r="B13549" s="2">
        <v>44779.0</v>
      </c>
      <c r="C13549" s="3">
        <v>0.4374189814814815</v>
      </c>
      <c r="D13549" s="1">
        <v>12.340648</v>
      </c>
      <c r="E13549" s="1">
        <v>79.781379</v>
      </c>
      <c r="F13549" s="1">
        <v>3143.0</v>
      </c>
      <c r="G13549" s="1">
        <v>47.0</v>
      </c>
    </row>
    <row r="13550">
      <c r="A13550" s="1" t="s">
        <v>7</v>
      </c>
      <c r="B13550" s="2">
        <v>44779.0</v>
      </c>
      <c r="C13550" s="3">
        <v>0.43755787037037036</v>
      </c>
      <c r="D13550" s="1">
        <v>12.338685</v>
      </c>
      <c r="E13550" s="1">
        <v>79.781548</v>
      </c>
      <c r="F13550" s="1">
        <v>3143.0</v>
      </c>
      <c r="G13550" s="1">
        <v>57.0</v>
      </c>
    </row>
    <row r="13551">
      <c r="A13551" s="1" t="s">
        <v>7</v>
      </c>
      <c r="B13551" s="2">
        <v>44779.0</v>
      </c>
      <c r="C13551" s="3">
        <v>0.6408333333333334</v>
      </c>
      <c r="D13551" s="1">
        <v>12.350674</v>
      </c>
      <c r="E13551" s="1">
        <v>79.77412</v>
      </c>
      <c r="F13551" s="1">
        <v>3143.0</v>
      </c>
      <c r="G13551" s="1">
        <v>58.0</v>
      </c>
    </row>
    <row r="13552">
      <c r="A13552" s="1" t="s">
        <v>7</v>
      </c>
      <c r="B13552" s="2">
        <v>44779.0</v>
      </c>
      <c r="C13552" s="3">
        <v>0.6415625</v>
      </c>
      <c r="D13552" s="1">
        <v>12.360628</v>
      </c>
      <c r="E13552" s="1">
        <v>79.776332</v>
      </c>
      <c r="F13552" s="1">
        <v>3143.0</v>
      </c>
      <c r="G13552" s="1">
        <v>58.0</v>
      </c>
    </row>
    <row r="13553">
      <c r="A13553" s="1" t="s">
        <v>7</v>
      </c>
      <c r="B13553" s="2">
        <v>44779.0</v>
      </c>
      <c r="C13553" s="3">
        <v>0.6421759259259259</v>
      </c>
      <c r="D13553" s="1">
        <v>12.36748</v>
      </c>
      <c r="E13553" s="1">
        <v>79.77843</v>
      </c>
      <c r="F13553" s="1">
        <v>3143.0</v>
      </c>
      <c r="G13553" s="1">
        <v>59.0</v>
      </c>
    </row>
    <row r="13554">
      <c r="A13554" s="1" t="s">
        <v>7</v>
      </c>
      <c r="B13554" s="2">
        <v>44779.0</v>
      </c>
      <c r="C13554" s="3">
        <v>0.6429050925925925</v>
      </c>
      <c r="D13554" s="1">
        <v>12.375273</v>
      </c>
      <c r="E13554" s="1">
        <v>79.782306</v>
      </c>
      <c r="F13554" s="1">
        <v>3143.0</v>
      </c>
      <c r="G13554" s="1">
        <v>57.0</v>
      </c>
    </row>
    <row r="13555">
      <c r="A13555" s="1" t="s">
        <v>7</v>
      </c>
      <c r="B13555" s="2">
        <v>44779.0</v>
      </c>
      <c r="C13555" s="3">
        <v>0.6431018518518519</v>
      </c>
      <c r="D13555" s="1">
        <v>12.377831</v>
      </c>
      <c r="E13555" s="1">
        <v>79.783756</v>
      </c>
      <c r="F13555" s="1">
        <v>3143.0</v>
      </c>
      <c r="G13555" s="1">
        <v>57.0</v>
      </c>
    </row>
    <row r="13556">
      <c r="A13556" s="1" t="s">
        <v>8</v>
      </c>
      <c r="B13556" s="2">
        <v>44779.0</v>
      </c>
      <c r="C13556" s="3">
        <v>0.6513773148148149</v>
      </c>
      <c r="D13556" s="1">
        <v>12.457574</v>
      </c>
      <c r="E13556" s="1">
        <v>79.841382</v>
      </c>
      <c r="F13556" s="1">
        <v>3143.0</v>
      </c>
      <c r="G13556" s="1">
        <v>45.0</v>
      </c>
    </row>
    <row r="13557">
      <c r="A13557" s="1" t="s">
        <v>8</v>
      </c>
      <c r="B13557" s="2">
        <v>44779.0</v>
      </c>
      <c r="C13557" s="3">
        <v>0.6520949074074074</v>
      </c>
      <c r="D13557" s="1">
        <v>12.463243</v>
      </c>
      <c r="E13557" s="1">
        <v>79.845598</v>
      </c>
      <c r="F13557" s="1">
        <v>3143.0</v>
      </c>
      <c r="G13557" s="1">
        <v>43.0</v>
      </c>
    </row>
    <row r="13558">
      <c r="A13558" s="1" t="s">
        <v>7</v>
      </c>
      <c r="B13558" s="2">
        <v>44779.0</v>
      </c>
      <c r="C13558" s="3">
        <v>0.6562731481481482</v>
      </c>
      <c r="D13558" s="1">
        <v>12.50484</v>
      </c>
      <c r="E13558" s="1">
        <v>79.878991</v>
      </c>
      <c r="F13558" s="1">
        <v>3143.0</v>
      </c>
      <c r="G13558" s="1">
        <v>57.0</v>
      </c>
    </row>
    <row r="13559">
      <c r="A13559" s="1" t="s">
        <v>7</v>
      </c>
      <c r="B13559" s="2">
        <v>44779.0</v>
      </c>
      <c r="C13559" s="3">
        <v>0.6567476851851852</v>
      </c>
      <c r="D13559" s="1">
        <v>12.510613</v>
      </c>
      <c r="E13559" s="1">
        <v>79.882869</v>
      </c>
      <c r="F13559" s="1">
        <v>3143.0</v>
      </c>
      <c r="G13559" s="1">
        <v>57.0</v>
      </c>
    </row>
    <row r="13560">
      <c r="A13560" s="1" t="s">
        <v>7</v>
      </c>
      <c r="B13560" s="2">
        <v>44779.0</v>
      </c>
      <c r="C13560" s="3">
        <v>0.6580439814814815</v>
      </c>
      <c r="D13560" s="1">
        <v>12.5195</v>
      </c>
      <c r="E13560" s="1">
        <v>79.892984</v>
      </c>
      <c r="F13560" s="1">
        <v>3143.0</v>
      </c>
      <c r="G13560" s="1">
        <v>58.0</v>
      </c>
    </row>
    <row r="13561">
      <c r="A13561" s="1" t="s">
        <v>7</v>
      </c>
      <c r="B13561" s="2">
        <v>44779.0</v>
      </c>
      <c r="C13561" s="3">
        <v>0.6588078703703704</v>
      </c>
      <c r="D13561" s="1">
        <v>12.52922</v>
      </c>
      <c r="E13561" s="1">
        <v>79.899021</v>
      </c>
      <c r="F13561" s="1">
        <v>3143.0</v>
      </c>
      <c r="G13561" s="1">
        <v>58.0</v>
      </c>
    </row>
    <row r="13562">
      <c r="A13562" s="1" t="s">
        <v>7</v>
      </c>
      <c r="B13562" s="2">
        <v>44779.0</v>
      </c>
      <c r="C13562" s="3">
        <v>0.6592939814814814</v>
      </c>
      <c r="D13562" s="1">
        <v>12.535395</v>
      </c>
      <c r="E13562" s="1">
        <v>79.902017</v>
      </c>
      <c r="F13562" s="1">
        <v>3143.0</v>
      </c>
      <c r="G13562" s="1">
        <v>57.0</v>
      </c>
    </row>
    <row r="13563">
      <c r="A13563" s="1" t="s">
        <v>7</v>
      </c>
      <c r="B13563" s="2">
        <v>44779.0</v>
      </c>
      <c r="C13563" s="3">
        <v>0.6595138888888888</v>
      </c>
      <c r="D13563" s="1">
        <v>12.537391</v>
      </c>
      <c r="E13563" s="1">
        <v>79.903247</v>
      </c>
      <c r="F13563" s="1">
        <v>3143.0</v>
      </c>
      <c r="G13563" s="1">
        <v>58.0</v>
      </c>
    </row>
    <row r="13564">
      <c r="A13564" s="1" t="s">
        <v>8</v>
      </c>
      <c r="B13564" s="2">
        <v>44779.0</v>
      </c>
      <c r="C13564" s="3">
        <v>0.6603935185185185</v>
      </c>
      <c r="D13564" s="1">
        <v>12.546631</v>
      </c>
      <c r="E13564" s="1">
        <v>79.905431</v>
      </c>
      <c r="F13564" s="1">
        <v>3143.0</v>
      </c>
      <c r="G13564" s="1">
        <v>54.0</v>
      </c>
    </row>
    <row r="13565">
      <c r="A13565" s="1" t="s">
        <v>7</v>
      </c>
      <c r="B13565" s="2">
        <v>44779.0</v>
      </c>
      <c r="C13565" s="3">
        <v>0.6605439814814815</v>
      </c>
      <c r="D13565" s="1">
        <v>12.546631</v>
      </c>
      <c r="E13565" s="1">
        <v>79.905431</v>
      </c>
      <c r="F13565" s="1">
        <v>3143.0</v>
      </c>
      <c r="G13565" s="1">
        <v>54.0</v>
      </c>
    </row>
    <row r="13566">
      <c r="A13566" s="1" t="s">
        <v>7</v>
      </c>
      <c r="B13566" s="2">
        <v>44779.0</v>
      </c>
      <c r="C13566" s="3">
        <v>0.6628935185185185</v>
      </c>
      <c r="D13566" s="1">
        <v>12.57469</v>
      </c>
      <c r="E13566" s="1">
        <v>79.916734</v>
      </c>
      <c r="F13566" s="1">
        <v>3143.0</v>
      </c>
      <c r="G13566" s="1">
        <v>58.0</v>
      </c>
    </row>
    <row r="13567">
      <c r="A13567" s="1" t="s">
        <v>7</v>
      </c>
      <c r="B13567" s="2">
        <v>44779.0</v>
      </c>
      <c r="C13567" s="3">
        <v>0.6631018518518519</v>
      </c>
      <c r="D13567" s="1">
        <v>12.577131</v>
      </c>
      <c r="E13567" s="1">
        <v>79.917199</v>
      </c>
      <c r="F13567" s="1">
        <v>3143.0</v>
      </c>
      <c r="G13567" s="1">
        <v>57.0</v>
      </c>
    </row>
    <row r="13568">
      <c r="A13568" s="1" t="s">
        <v>7</v>
      </c>
      <c r="B13568" s="2">
        <v>44779.0</v>
      </c>
      <c r="C13568" s="3">
        <v>0.6632175925925926</v>
      </c>
      <c r="D13568" s="1">
        <v>12.577131</v>
      </c>
      <c r="E13568" s="1">
        <v>79.917199</v>
      </c>
      <c r="F13568" s="1">
        <v>3143.0</v>
      </c>
      <c r="G13568" s="1">
        <v>57.0</v>
      </c>
    </row>
    <row r="13569">
      <c r="A13569" s="1" t="s">
        <v>7</v>
      </c>
      <c r="B13569" s="2">
        <v>44779.0</v>
      </c>
      <c r="C13569" s="3">
        <v>0.6634027777777778</v>
      </c>
      <c r="D13569" s="1">
        <v>12.579335</v>
      </c>
      <c r="E13569" s="1">
        <v>79.917943</v>
      </c>
      <c r="F13569" s="1">
        <v>3143.0</v>
      </c>
      <c r="G13569" s="1">
        <v>57.0</v>
      </c>
    </row>
    <row r="13570">
      <c r="A13570" s="1" t="s">
        <v>7</v>
      </c>
      <c r="B13570" s="2">
        <v>44779.0</v>
      </c>
      <c r="C13570" s="3">
        <v>0.6635185185185185</v>
      </c>
      <c r="D13570" s="1">
        <v>12.581495</v>
      </c>
      <c r="E13570" s="1">
        <v>79.918811</v>
      </c>
      <c r="F13570" s="1">
        <v>3143.0</v>
      </c>
      <c r="G13570" s="1">
        <v>57.0</v>
      </c>
    </row>
    <row r="13571">
      <c r="A13571" s="1" t="s">
        <v>8</v>
      </c>
      <c r="B13571" s="2">
        <v>44779.0</v>
      </c>
      <c r="C13571" s="3">
        <v>0.6636226851851852</v>
      </c>
      <c r="D13571" s="1">
        <v>12.583943</v>
      </c>
      <c r="E13571" s="1">
        <v>79.919236</v>
      </c>
      <c r="F13571" s="1">
        <v>3143.0</v>
      </c>
      <c r="G13571" s="1">
        <v>58.0</v>
      </c>
    </row>
    <row r="13572">
      <c r="A13572" s="1" t="s">
        <v>7</v>
      </c>
      <c r="B13572" s="2">
        <v>44779.0</v>
      </c>
      <c r="C13572" s="3">
        <v>0.6643518518518519</v>
      </c>
      <c r="D13572" s="1">
        <v>12.590877</v>
      </c>
      <c r="E13572" s="1">
        <v>79.919173</v>
      </c>
      <c r="F13572" s="1">
        <v>3143.0</v>
      </c>
      <c r="G13572" s="1">
        <v>58.0</v>
      </c>
    </row>
    <row r="13573">
      <c r="A13573" s="1" t="s">
        <v>7</v>
      </c>
      <c r="B13573" s="2">
        <v>44779.0</v>
      </c>
      <c r="C13573" s="3">
        <v>0.6650115740740741</v>
      </c>
      <c r="D13573" s="1">
        <v>12.600282</v>
      </c>
      <c r="E13573" s="1">
        <v>79.919867</v>
      </c>
      <c r="F13573" s="1">
        <v>3143.0</v>
      </c>
      <c r="G13573" s="1">
        <v>55.0</v>
      </c>
    </row>
    <row r="13574">
      <c r="A13574" s="1" t="s">
        <v>8</v>
      </c>
      <c r="B13574" s="2">
        <v>44779.0</v>
      </c>
      <c r="C13574" s="3">
        <v>0.665775462962963</v>
      </c>
      <c r="D13574" s="1">
        <v>12.609445</v>
      </c>
      <c r="E13574" s="1">
        <v>79.922285</v>
      </c>
      <c r="F13574" s="1">
        <v>3143.0</v>
      </c>
      <c r="G13574" s="1">
        <v>58.0</v>
      </c>
    </row>
    <row r="13575">
      <c r="A13575" s="1" t="s">
        <v>7</v>
      </c>
      <c r="B13575" s="2">
        <v>44779.0</v>
      </c>
      <c r="C13575" s="3">
        <v>0.6660300925925926</v>
      </c>
      <c r="D13575" s="1">
        <v>12.611469</v>
      </c>
      <c r="E13575" s="1">
        <v>79.923445</v>
      </c>
      <c r="F13575" s="1">
        <v>3143.0</v>
      </c>
      <c r="G13575" s="1">
        <v>57.0</v>
      </c>
    </row>
    <row r="13576">
      <c r="A13576" s="1" t="s">
        <v>8</v>
      </c>
      <c r="B13576" s="2">
        <v>44779.0</v>
      </c>
      <c r="C13576" s="3">
        <v>0.6661226851851851</v>
      </c>
      <c r="D13576" s="1">
        <v>12.61349</v>
      </c>
      <c r="E13576" s="1">
        <v>79.924609</v>
      </c>
      <c r="F13576" s="1">
        <v>3143.0</v>
      </c>
      <c r="G13576" s="1">
        <v>56.0</v>
      </c>
    </row>
    <row r="13577">
      <c r="A13577" s="1" t="s">
        <v>8</v>
      </c>
      <c r="B13577" s="2">
        <v>44779.0</v>
      </c>
      <c r="C13577" s="3">
        <v>0.6662731481481482</v>
      </c>
      <c r="D13577" s="1">
        <v>12.615623</v>
      </c>
      <c r="E13577" s="1">
        <v>79.925759</v>
      </c>
      <c r="F13577" s="1">
        <v>3143.0</v>
      </c>
      <c r="G13577" s="1">
        <v>53.0</v>
      </c>
    </row>
    <row r="13578">
      <c r="A13578" s="1" t="s">
        <v>8</v>
      </c>
      <c r="B13578" s="2">
        <v>44779.0</v>
      </c>
      <c r="C13578" s="3">
        <v>0.667025462962963</v>
      </c>
      <c r="D13578" s="1">
        <v>12.622313</v>
      </c>
      <c r="E13578" s="1">
        <v>79.927763</v>
      </c>
      <c r="F13578" s="1">
        <v>3143.0</v>
      </c>
      <c r="G13578" s="1">
        <v>57.0</v>
      </c>
    </row>
    <row r="13579">
      <c r="A13579" s="1" t="s">
        <v>8</v>
      </c>
      <c r="B13579" s="2">
        <v>44779.0</v>
      </c>
      <c r="C13579" s="3">
        <v>0.6675347222222222</v>
      </c>
      <c r="D13579" s="1">
        <v>12.627832</v>
      </c>
      <c r="E13579" s="1">
        <v>79.930135</v>
      </c>
      <c r="F13579" s="1">
        <v>3143.0</v>
      </c>
      <c r="G13579" s="1">
        <v>43.0</v>
      </c>
    </row>
    <row r="13580">
      <c r="A13580" s="1" t="s">
        <v>8</v>
      </c>
      <c r="B13580" s="2">
        <v>44779.0</v>
      </c>
      <c r="C13580" s="3">
        <v>0.6681018518518519</v>
      </c>
      <c r="D13580" s="1">
        <v>12.632615</v>
      </c>
      <c r="E13580" s="1">
        <v>79.932155</v>
      </c>
      <c r="F13580" s="1">
        <v>3143.0</v>
      </c>
      <c r="G13580" s="1">
        <v>53.0</v>
      </c>
    </row>
    <row r="13581">
      <c r="A13581" s="1" t="s">
        <v>7</v>
      </c>
      <c r="B13581" s="2">
        <v>44779.0</v>
      </c>
      <c r="C13581" s="3">
        <v>0.6682291666666667</v>
      </c>
      <c r="D13581" s="1">
        <v>12.63462</v>
      </c>
      <c r="E13581" s="1">
        <v>79.93301</v>
      </c>
      <c r="F13581" s="1">
        <v>3143.0</v>
      </c>
      <c r="G13581" s="1">
        <v>52.0</v>
      </c>
    </row>
    <row r="13582">
      <c r="A13582" s="1" t="s">
        <v>7</v>
      </c>
      <c r="B13582" s="2">
        <v>44779.0</v>
      </c>
      <c r="C13582" s="3">
        <v>0.6686226851851852</v>
      </c>
      <c r="D13582" s="1">
        <v>12.63834</v>
      </c>
      <c r="E13582" s="1">
        <v>79.935174</v>
      </c>
      <c r="F13582" s="1">
        <v>3143.0</v>
      </c>
      <c r="G13582" s="1">
        <v>55.0</v>
      </c>
    </row>
    <row r="13583">
      <c r="A13583" s="1" t="s">
        <v>8</v>
      </c>
      <c r="B13583" s="2">
        <v>44779.0</v>
      </c>
      <c r="C13583" s="3">
        <v>0.6698032407407407</v>
      </c>
      <c r="D13583" s="1">
        <v>12.651139</v>
      </c>
      <c r="E13583" s="1">
        <v>79.94034</v>
      </c>
      <c r="F13583" s="1">
        <v>3143.0</v>
      </c>
      <c r="G13583" s="1">
        <v>58.0</v>
      </c>
    </row>
    <row r="13584">
      <c r="A13584" s="1" t="s">
        <v>8</v>
      </c>
      <c r="B13584" s="2">
        <v>44779.0</v>
      </c>
      <c r="C13584" s="3">
        <v>0.6699189814814814</v>
      </c>
      <c r="D13584" s="1">
        <v>12.653592</v>
      </c>
      <c r="E13584" s="1">
        <v>79.940063</v>
      </c>
      <c r="F13584" s="1">
        <v>3143.0</v>
      </c>
      <c r="G13584" s="1">
        <v>55.0</v>
      </c>
    </row>
    <row r="13585">
      <c r="A13585" s="1" t="s">
        <v>8</v>
      </c>
      <c r="B13585" s="2">
        <v>44779.0</v>
      </c>
      <c r="C13585" s="3">
        <v>0.6699421296296296</v>
      </c>
      <c r="D13585" s="1">
        <v>12.653592</v>
      </c>
      <c r="E13585" s="1">
        <v>79.940063</v>
      </c>
      <c r="F13585" s="1">
        <v>3143.0</v>
      </c>
      <c r="G13585" s="1">
        <v>55.0</v>
      </c>
    </row>
    <row r="13586">
      <c r="A13586" s="1" t="s">
        <v>7</v>
      </c>
      <c r="B13586" s="2">
        <v>44779.0</v>
      </c>
      <c r="C13586" s="3">
        <v>0.6704166666666667</v>
      </c>
      <c r="D13586" s="1">
        <v>12.657137</v>
      </c>
      <c r="E13586" s="1">
        <v>79.940824</v>
      </c>
      <c r="F13586" s="1">
        <v>3143.0</v>
      </c>
      <c r="G13586" s="1">
        <v>40.0</v>
      </c>
    </row>
    <row r="13587">
      <c r="A13587" s="1" t="s">
        <v>8</v>
      </c>
      <c r="B13587" s="2">
        <v>44779.0</v>
      </c>
      <c r="C13587" s="3">
        <v>0.6705671296296296</v>
      </c>
      <c r="D13587" s="1">
        <v>12.658249</v>
      </c>
      <c r="E13587" s="1">
        <v>79.942442</v>
      </c>
      <c r="F13587" s="1">
        <v>3143.0</v>
      </c>
      <c r="G13587" s="1">
        <v>52.0</v>
      </c>
    </row>
    <row r="13588">
      <c r="A13588" s="1" t="s">
        <v>8</v>
      </c>
      <c r="B13588" s="2">
        <v>44779.0</v>
      </c>
      <c r="C13588" s="3">
        <v>0.6706134259259259</v>
      </c>
      <c r="D13588" s="1">
        <v>12.658249</v>
      </c>
      <c r="E13588" s="1">
        <v>79.942442</v>
      </c>
      <c r="F13588" s="1">
        <v>3143.0</v>
      </c>
      <c r="G13588" s="1">
        <v>52.0</v>
      </c>
    </row>
    <row r="13589">
      <c r="A13589" s="1" t="s">
        <v>7</v>
      </c>
      <c r="B13589" s="2">
        <v>44779.0</v>
      </c>
      <c r="C13589" s="3">
        <v>0.6720023148148148</v>
      </c>
      <c r="D13589" s="1">
        <v>12.657537</v>
      </c>
      <c r="E13589" s="1">
        <v>79.957791</v>
      </c>
      <c r="F13589" s="1">
        <v>3143.0</v>
      </c>
      <c r="G13589" s="1">
        <v>56.0</v>
      </c>
    </row>
    <row r="13590">
      <c r="A13590" s="1" t="s">
        <v>7</v>
      </c>
      <c r="B13590" s="2">
        <v>44779.0</v>
      </c>
      <c r="C13590" s="3">
        <v>0.6740625</v>
      </c>
      <c r="D13590" s="1">
        <v>12.680849</v>
      </c>
      <c r="E13590" s="1">
        <v>79.958404</v>
      </c>
      <c r="F13590" s="1">
        <v>3143.0</v>
      </c>
      <c r="G13590" s="1">
        <v>55.0</v>
      </c>
    </row>
    <row r="13591">
      <c r="A13591" s="1" t="s">
        <v>7</v>
      </c>
      <c r="B13591" s="2">
        <v>44779.0</v>
      </c>
      <c r="C13591" s="3">
        <v>0.6747685185185185</v>
      </c>
      <c r="D13591" s="1">
        <v>12.68791</v>
      </c>
      <c r="E13591" s="1">
        <v>79.95983</v>
      </c>
      <c r="F13591" s="1">
        <v>3143.0</v>
      </c>
      <c r="G13591" s="1">
        <v>59.0</v>
      </c>
    </row>
    <row r="13592">
      <c r="A13592" s="1" t="s">
        <v>7</v>
      </c>
      <c r="B13592" s="2">
        <v>44779.0</v>
      </c>
      <c r="C13592" s="3">
        <v>0.6756018518518518</v>
      </c>
      <c r="D13592" s="1">
        <v>12.69719</v>
      </c>
      <c r="E13592" s="1">
        <v>79.96695</v>
      </c>
      <c r="F13592" s="1">
        <v>3143.0</v>
      </c>
      <c r="G13592" s="1">
        <v>57.0</v>
      </c>
    </row>
    <row r="13593">
      <c r="A13593" s="1" t="s">
        <v>7</v>
      </c>
      <c r="B13593" s="2">
        <v>44779.0</v>
      </c>
      <c r="C13593" s="3">
        <v>0.6758217592592592</v>
      </c>
      <c r="D13593" s="1">
        <v>12.699613</v>
      </c>
      <c r="E13593" s="1">
        <v>79.968324</v>
      </c>
      <c r="F13593" s="1">
        <v>3143.0</v>
      </c>
      <c r="G13593" s="1">
        <v>54.0</v>
      </c>
    </row>
    <row r="13594">
      <c r="A13594" s="1" t="s">
        <v>7</v>
      </c>
      <c r="B13594" s="2">
        <v>44779.0</v>
      </c>
      <c r="C13594" s="3">
        <v>0.6764699074074074</v>
      </c>
      <c r="D13594" s="1">
        <v>12.70484</v>
      </c>
      <c r="E13594" s="1">
        <v>79.973481</v>
      </c>
      <c r="F13594" s="1">
        <v>3143.0</v>
      </c>
      <c r="G13594" s="1">
        <v>0.0</v>
      </c>
    </row>
    <row r="13595">
      <c r="A13595" s="1" t="s">
        <v>7</v>
      </c>
      <c r="B13595" s="2">
        <v>44779.0</v>
      </c>
      <c r="C13595" s="3">
        <v>0.676724537037037</v>
      </c>
      <c r="D13595" s="1">
        <v>12.707177</v>
      </c>
      <c r="E13595" s="1">
        <v>79.976146</v>
      </c>
      <c r="F13595" s="1">
        <v>3143.0</v>
      </c>
      <c r="G13595" s="1">
        <v>58.0</v>
      </c>
    </row>
    <row r="13596">
      <c r="A13596" s="1" t="s">
        <v>7</v>
      </c>
      <c r="B13596" s="2">
        <v>44779.0</v>
      </c>
      <c r="C13596" s="3">
        <v>0.6769212962962963</v>
      </c>
      <c r="D13596" s="1">
        <v>12.709659</v>
      </c>
      <c r="E13596" s="1">
        <v>79.977636</v>
      </c>
      <c r="F13596" s="1">
        <v>3143.0</v>
      </c>
      <c r="G13596" s="1">
        <v>57.0</v>
      </c>
    </row>
    <row r="13597">
      <c r="A13597" s="1" t="s">
        <v>7</v>
      </c>
      <c r="B13597" s="2">
        <v>44779.0</v>
      </c>
      <c r="C13597" s="3">
        <v>0.6772685185185185</v>
      </c>
      <c r="D13597" s="1">
        <v>12.713442</v>
      </c>
      <c r="E13597" s="1">
        <v>79.97986</v>
      </c>
      <c r="F13597" s="1">
        <v>3143.0</v>
      </c>
      <c r="G13597" s="1">
        <v>58.0</v>
      </c>
    </row>
    <row r="13598">
      <c r="A13598" s="1" t="s">
        <v>7</v>
      </c>
      <c r="B13598" s="2">
        <v>44779.0</v>
      </c>
      <c r="C13598" s="3">
        <v>0.6775810185185185</v>
      </c>
      <c r="D13598" s="1">
        <v>12.71624</v>
      </c>
      <c r="E13598" s="1">
        <v>79.980658</v>
      </c>
      <c r="F13598" s="1">
        <v>3143.0</v>
      </c>
      <c r="G13598" s="1">
        <v>56.0</v>
      </c>
    </row>
    <row r="13599">
      <c r="A13599" s="1" t="s">
        <v>8</v>
      </c>
      <c r="B13599" s="2">
        <v>44779.0</v>
      </c>
      <c r="C13599" s="3">
        <v>0.6789467592592593</v>
      </c>
      <c r="D13599" s="1">
        <v>12.725725</v>
      </c>
      <c r="E13599" s="1">
        <v>79.982181</v>
      </c>
      <c r="F13599" s="1">
        <v>3143.0</v>
      </c>
      <c r="G13599" s="1">
        <v>35.0</v>
      </c>
    </row>
    <row r="13600">
      <c r="A13600" s="1" t="s">
        <v>8</v>
      </c>
      <c r="B13600" s="2">
        <v>44779.0</v>
      </c>
      <c r="C13600" s="3">
        <v>0.6790046296296296</v>
      </c>
      <c r="D13600" s="1">
        <v>12.726586</v>
      </c>
      <c r="E13600" s="1">
        <v>79.982354</v>
      </c>
      <c r="F13600" s="1">
        <v>3143.0</v>
      </c>
      <c r="G13600" s="1">
        <v>37.0</v>
      </c>
    </row>
    <row r="13601">
      <c r="A13601" s="1" t="s">
        <v>7</v>
      </c>
      <c r="B13601" s="2">
        <v>44779.0</v>
      </c>
      <c r="C13601" s="3">
        <v>0.6797337962962963</v>
      </c>
      <c r="D13601" s="1">
        <v>12.733739</v>
      </c>
      <c r="E13601" s="1">
        <v>79.983934</v>
      </c>
      <c r="F13601" s="1">
        <v>3143.0</v>
      </c>
      <c r="G13601" s="1">
        <v>52.0</v>
      </c>
    </row>
    <row r="13602">
      <c r="A13602" s="1" t="s">
        <v>7</v>
      </c>
      <c r="B13602" s="2">
        <v>44779.0</v>
      </c>
      <c r="C13602" s="3">
        <v>0.6803472222222222</v>
      </c>
      <c r="D13602" s="1">
        <v>12.738999</v>
      </c>
      <c r="E13602" s="1">
        <v>79.988906</v>
      </c>
      <c r="F13602" s="1">
        <v>3143.0</v>
      </c>
      <c r="G13602" s="1">
        <v>57.0</v>
      </c>
    </row>
    <row r="13603">
      <c r="A13603" s="1" t="s">
        <v>7</v>
      </c>
      <c r="B13603" s="2">
        <v>44779.0</v>
      </c>
      <c r="C13603" s="3">
        <v>0.6813078703703703</v>
      </c>
      <c r="D13603" s="1">
        <v>12.74614</v>
      </c>
      <c r="E13603" s="1">
        <v>79.994591</v>
      </c>
      <c r="F13603" s="1">
        <v>3143.0</v>
      </c>
      <c r="G13603" s="1">
        <v>53.0</v>
      </c>
    </row>
    <row r="13604">
      <c r="A13604" s="1" t="s">
        <v>7</v>
      </c>
      <c r="B13604" s="2">
        <v>44779.0</v>
      </c>
      <c r="C13604" s="3">
        <v>0.6819675925925925</v>
      </c>
      <c r="D13604" s="1">
        <v>12.749656</v>
      </c>
      <c r="E13604" s="1">
        <v>79.997436</v>
      </c>
      <c r="F13604" s="1">
        <v>3143.0</v>
      </c>
      <c r="G13604" s="1">
        <v>58.0</v>
      </c>
    </row>
    <row r="13605">
      <c r="A13605" s="1" t="s">
        <v>7</v>
      </c>
      <c r="B13605" s="2">
        <v>44779.0</v>
      </c>
      <c r="C13605" s="3">
        <v>0.682337962962963</v>
      </c>
      <c r="D13605" s="1">
        <v>12.755098</v>
      </c>
      <c r="E13605" s="1">
        <v>80.001198</v>
      </c>
      <c r="F13605" s="1">
        <v>3143.0</v>
      </c>
      <c r="G13605" s="1">
        <v>54.0</v>
      </c>
    </row>
    <row r="13606">
      <c r="A13606" s="1" t="s">
        <v>7</v>
      </c>
      <c r="B13606" s="2">
        <v>44779.0</v>
      </c>
      <c r="C13606" s="3">
        <v>0.6824768518518518</v>
      </c>
      <c r="D13606" s="1">
        <v>12.757133</v>
      </c>
      <c r="E13606" s="1">
        <v>80.00222</v>
      </c>
      <c r="F13606" s="1">
        <v>3143.0</v>
      </c>
      <c r="G13606" s="1">
        <v>56.0</v>
      </c>
    </row>
    <row r="13607">
      <c r="A13607" s="1" t="s">
        <v>7</v>
      </c>
      <c r="B13607" s="2">
        <v>44779.0</v>
      </c>
      <c r="C13607" s="3">
        <v>0.6838541666666667</v>
      </c>
      <c r="D13607" s="1">
        <v>12.770254</v>
      </c>
      <c r="E13607" s="1">
        <v>80.007216</v>
      </c>
      <c r="F13607" s="1">
        <v>3143.0</v>
      </c>
      <c r="G13607" s="1">
        <v>58.0</v>
      </c>
    </row>
    <row r="13608">
      <c r="A13608" s="1" t="s">
        <v>7</v>
      </c>
      <c r="B13608" s="2">
        <v>44779.0</v>
      </c>
      <c r="C13608" s="3">
        <v>0.6842476851851852</v>
      </c>
      <c r="D13608" s="1">
        <v>12.774494</v>
      </c>
      <c r="E13608" s="1">
        <v>80.009176</v>
      </c>
      <c r="F13608" s="1">
        <v>3143.0</v>
      </c>
      <c r="G13608" s="1">
        <v>58.0</v>
      </c>
    </row>
    <row r="13609">
      <c r="A13609" s="1" t="s">
        <v>8</v>
      </c>
      <c r="B13609" s="2">
        <v>44779.0</v>
      </c>
      <c r="C13609" s="3">
        <v>0.6864351851851852</v>
      </c>
      <c r="D13609" s="1">
        <v>12.796337</v>
      </c>
      <c r="E13609" s="1">
        <v>80.020847</v>
      </c>
      <c r="F13609" s="1">
        <v>3143.0</v>
      </c>
      <c r="G13609" s="1">
        <v>40.0</v>
      </c>
    </row>
    <row r="13610">
      <c r="A13610" s="1" t="s">
        <v>8</v>
      </c>
      <c r="B13610" s="2">
        <v>44779.0</v>
      </c>
      <c r="C13610" s="3">
        <v>0.6871527777777777</v>
      </c>
      <c r="D13610" s="1">
        <v>12.803717</v>
      </c>
      <c r="E13610" s="1">
        <v>80.025709</v>
      </c>
      <c r="F13610" s="1">
        <v>3143.0</v>
      </c>
      <c r="G13610" s="1">
        <v>58.0</v>
      </c>
    </row>
    <row r="13611">
      <c r="A13611" s="1" t="s">
        <v>7</v>
      </c>
      <c r="B13611" s="2">
        <v>44779.0</v>
      </c>
      <c r="C13611" s="3">
        <v>0.6875</v>
      </c>
      <c r="D13611" s="1">
        <v>12.807506</v>
      </c>
      <c r="E13611" s="1">
        <v>80.028169</v>
      </c>
      <c r="F13611" s="1">
        <v>3143.0</v>
      </c>
      <c r="G13611" s="1">
        <v>58.0</v>
      </c>
    </row>
    <row r="13612">
      <c r="A13612" s="1" t="s">
        <v>7</v>
      </c>
      <c r="B13612" s="2">
        <v>44779.0</v>
      </c>
      <c r="C13612" s="3">
        <v>0.6880555555555555</v>
      </c>
      <c r="D13612" s="1">
        <v>12.81313</v>
      </c>
      <c r="E13612" s="1">
        <v>80.031784</v>
      </c>
      <c r="F13612" s="1">
        <v>3143.0</v>
      </c>
      <c r="G13612" s="1">
        <v>59.0</v>
      </c>
    </row>
    <row r="13613">
      <c r="A13613" s="1" t="s">
        <v>7</v>
      </c>
      <c r="B13613" s="2">
        <v>44779.0</v>
      </c>
      <c r="C13613" s="3">
        <v>0.6882870370370371</v>
      </c>
      <c r="D13613" s="1">
        <v>12.814967</v>
      </c>
      <c r="E13613" s="1">
        <v>80.03301</v>
      </c>
      <c r="F13613" s="1">
        <v>3143.0</v>
      </c>
      <c r="G13613" s="1">
        <v>58.0</v>
      </c>
    </row>
    <row r="13614">
      <c r="A13614" s="1" t="s">
        <v>7</v>
      </c>
      <c r="B13614" s="2">
        <v>44779.0</v>
      </c>
      <c r="C13614" s="3">
        <v>0.6889930555555556</v>
      </c>
      <c r="D13614" s="1">
        <v>12.822501</v>
      </c>
      <c r="E13614" s="1">
        <v>80.038371</v>
      </c>
      <c r="F13614" s="1">
        <v>3143.0</v>
      </c>
      <c r="G13614" s="1">
        <v>57.0</v>
      </c>
    </row>
    <row r="13615">
      <c r="A13615" s="1" t="s">
        <v>8</v>
      </c>
      <c r="B13615" s="2">
        <v>44779.0</v>
      </c>
      <c r="C13615" s="3">
        <v>0.6894097222222222</v>
      </c>
      <c r="D13615" s="1">
        <v>12.827717</v>
      </c>
      <c r="E13615" s="1">
        <v>80.042514</v>
      </c>
      <c r="F13615" s="1">
        <v>3143.0</v>
      </c>
      <c r="G13615" s="1">
        <v>57.0</v>
      </c>
    </row>
    <row r="13616">
      <c r="A13616" s="1" t="s">
        <v>7</v>
      </c>
      <c r="B13616" s="2">
        <v>44779.0</v>
      </c>
      <c r="C13616" s="3">
        <v>0.689849537037037</v>
      </c>
      <c r="D13616" s="1">
        <v>12.830399</v>
      </c>
      <c r="E13616" s="1">
        <v>80.045316</v>
      </c>
      <c r="F13616" s="1">
        <v>3143.0</v>
      </c>
      <c r="G13616" s="1">
        <v>39.0</v>
      </c>
    </row>
    <row r="13617">
      <c r="A13617" s="1" t="s">
        <v>8</v>
      </c>
      <c r="B13617" s="2">
        <v>44779.0</v>
      </c>
      <c r="C13617" s="3">
        <v>0.6946296296296296</v>
      </c>
      <c r="D13617" s="1">
        <v>12.857105</v>
      </c>
      <c r="E13617" s="1">
        <v>80.069905</v>
      </c>
      <c r="F13617" s="1">
        <v>3143.0</v>
      </c>
      <c r="G13617" s="1">
        <v>54.0</v>
      </c>
    </row>
    <row r="13618">
      <c r="A13618" s="1" t="s">
        <v>8</v>
      </c>
      <c r="B13618" s="2">
        <v>44779.0</v>
      </c>
      <c r="C13618" s="3">
        <v>0.6960300925925926</v>
      </c>
      <c r="D13618" s="1">
        <v>12.865746</v>
      </c>
      <c r="E13618" s="1">
        <v>80.074743</v>
      </c>
      <c r="F13618" s="1">
        <v>3143.0</v>
      </c>
      <c r="G13618" s="1">
        <v>15.0</v>
      </c>
    </row>
    <row r="13619">
      <c r="A13619" s="1" t="s">
        <v>8</v>
      </c>
      <c r="B13619" s="2">
        <v>44779.0</v>
      </c>
      <c r="C13619" s="3">
        <v>0.6963425925925926</v>
      </c>
      <c r="D13619" s="1">
        <v>12.867796</v>
      </c>
      <c r="E13619" s="1">
        <v>80.075554</v>
      </c>
      <c r="F13619" s="1">
        <v>3143.0</v>
      </c>
      <c r="G13619" s="1">
        <v>34.0</v>
      </c>
    </row>
    <row r="13620">
      <c r="A13620" s="1" t="s">
        <v>10</v>
      </c>
      <c r="B13620" s="2">
        <v>44779.0</v>
      </c>
      <c r="C13620" s="3">
        <v>0.6984375</v>
      </c>
      <c r="D13620" s="1">
        <v>12.879156</v>
      </c>
      <c r="E13620" s="1">
        <v>80.079947</v>
      </c>
      <c r="F13620" s="1">
        <v>3143.0</v>
      </c>
      <c r="G13620" s="1">
        <v>0.0</v>
      </c>
    </row>
    <row r="13621">
      <c r="A13621" s="1" t="s">
        <v>8</v>
      </c>
      <c r="B13621" s="2">
        <v>44779.0</v>
      </c>
      <c r="C13621" s="3">
        <v>0.6994444444444444</v>
      </c>
      <c r="D13621" s="1">
        <v>12.878952</v>
      </c>
      <c r="E13621" s="1">
        <v>80.080761</v>
      </c>
      <c r="F13621" s="1">
        <v>3143.0</v>
      </c>
      <c r="G13621" s="1">
        <v>5.0</v>
      </c>
    </row>
    <row r="13622">
      <c r="A13622" s="1" t="s">
        <v>7</v>
      </c>
      <c r="B13622" s="2">
        <v>44781.0</v>
      </c>
      <c r="C13622" s="3">
        <v>0.26143518518518516</v>
      </c>
      <c r="D13622" s="1">
        <v>12.885929</v>
      </c>
      <c r="E13622" s="1">
        <v>80.079171</v>
      </c>
      <c r="F13622" s="1">
        <v>3143.0</v>
      </c>
      <c r="G13622" s="1">
        <v>59.0</v>
      </c>
    </row>
    <row r="13623">
      <c r="A13623" s="1" t="s">
        <v>7</v>
      </c>
      <c r="B13623" s="2">
        <v>44781.0</v>
      </c>
      <c r="C13623" s="3">
        <v>0.2618287037037037</v>
      </c>
      <c r="D13623" s="1">
        <v>12.887815</v>
      </c>
      <c r="E13623" s="1">
        <v>80.073501</v>
      </c>
      <c r="F13623" s="1">
        <v>3143.0</v>
      </c>
      <c r="G13623" s="1">
        <v>56.0</v>
      </c>
    </row>
    <row r="13624">
      <c r="A13624" s="1" t="s">
        <v>7</v>
      </c>
      <c r="B13624" s="2">
        <v>44781.0</v>
      </c>
      <c r="C13624" s="3">
        <v>0.2634375</v>
      </c>
      <c r="D13624" s="1">
        <v>12.905945</v>
      </c>
      <c r="E13624" s="1">
        <v>80.071957</v>
      </c>
      <c r="F13624" s="1">
        <v>3143.0</v>
      </c>
      <c r="G13624" s="1">
        <v>57.0</v>
      </c>
    </row>
    <row r="13625">
      <c r="A13625" s="1" t="s">
        <v>7</v>
      </c>
      <c r="B13625" s="2">
        <v>44781.0</v>
      </c>
      <c r="C13625" s="3">
        <v>0.2648263888888889</v>
      </c>
      <c r="D13625" s="1">
        <v>12.922612</v>
      </c>
      <c r="E13625" s="1">
        <v>80.077164</v>
      </c>
      <c r="F13625" s="1">
        <v>3143.0</v>
      </c>
      <c r="G13625" s="1">
        <v>56.0</v>
      </c>
    </row>
    <row r="13626">
      <c r="A13626" s="1" t="s">
        <v>7</v>
      </c>
      <c r="B13626" s="2">
        <v>44781.0</v>
      </c>
      <c r="C13626" s="3">
        <v>0.2650925925925926</v>
      </c>
      <c r="D13626" s="1">
        <v>12.925359</v>
      </c>
      <c r="E13626" s="1">
        <v>80.078084</v>
      </c>
      <c r="F13626" s="1">
        <v>3143.0</v>
      </c>
      <c r="G13626" s="1">
        <v>58.0</v>
      </c>
    </row>
    <row r="13627">
      <c r="A13627" s="1" t="s">
        <v>7</v>
      </c>
      <c r="B13627" s="2">
        <v>44781.0</v>
      </c>
      <c r="C13627" s="3">
        <v>0.2652199074074074</v>
      </c>
      <c r="D13627" s="1">
        <v>12.926729</v>
      </c>
      <c r="E13627" s="1">
        <v>80.078587</v>
      </c>
      <c r="F13627" s="1">
        <v>3143.0</v>
      </c>
      <c r="G13627" s="1">
        <v>57.0</v>
      </c>
    </row>
    <row r="13628">
      <c r="A13628" s="1" t="s">
        <v>7</v>
      </c>
      <c r="B13628" s="2">
        <v>44781.0</v>
      </c>
      <c r="C13628" s="3">
        <v>0.2674652777777778</v>
      </c>
      <c r="D13628" s="1">
        <v>12.947059</v>
      </c>
      <c r="E13628" s="1">
        <v>80.086184</v>
      </c>
      <c r="F13628" s="1">
        <v>3143.0</v>
      </c>
      <c r="G13628" s="1">
        <v>58.0</v>
      </c>
    </row>
    <row r="13629">
      <c r="A13629" s="1" t="s">
        <v>7</v>
      </c>
      <c r="B13629" s="2">
        <v>44781.0</v>
      </c>
      <c r="C13629" s="3">
        <v>0.26762731481481483</v>
      </c>
      <c r="D13629" s="1">
        <v>12.949703</v>
      </c>
      <c r="E13629" s="1">
        <v>80.08716</v>
      </c>
      <c r="F13629" s="1">
        <v>3143.0</v>
      </c>
      <c r="G13629" s="1">
        <v>57.0</v>
      </c>
    </row>
    <row r="13630">
      <c r="A13630" s="1" t="s">
        <v>7</v>
      </c>
      <c r="B13630" s="2">
        <v>44781.0</v>
      </c>
      <c r="C13630" s="3">
        <v>0.2700810185185185</v>
      </c>
      <c r="D13630" s="1">
        <v>12.979358</v>
      </c>
      <c r="E13630" s="1">
        <v>80.089608</v>
      </c>
      <c r="F13630" s="1">
        <v>3143.0</v>
      </c>
      <c r="G13630" s="1">
        <v>58.0</v>
      </c>
    </row>
    <row r="13631">
      <c r="A13631" s="1" t="s">
        <v>7</v>
      </c>
      <c r="B13631" s="2">
        <v>44781.0</v>
      </c>
      <c r="C13631" s="3">
        <v>0.27166666666666667</v>
      </c>
      <c r="D13631" s="1">
        <v>12.998911</v>
      </c>
      <c r="E13631" s="1">
        <v>80.0878</v>
      </c>
      <c r="F13631" s="1">
        <v>3143.0</v>
      </c>
      <c r="G13631" s="1">
        <v>57.0</v>
      </c>
    </row>
    <row r="13632">
      <c r="A13632" s="1" t="s">
        <v>7</v>
      </c>
      <c r="B13632" s="2">
        <v>44781.0</v>
      </c>
      <c r="C13632" s="3">
        <v>0.28541666666666665</v>
      </c>
      <c r="D13632" s="1">
        <v>13.030784</v>
      </c>
      <c r="E13632" s="1">
        <v>80.089686</v>
      </c>
      <c r="F13632" s="1">
        <v>3143.0</v>
      </c>
      <c r="G13632" s="1">
        <v>48.0</v>
      </c>
    </row>
    <row r="13633">
      <c r="A13633" s="1" t="s">
        <v>7</v>
      </c>
      <c r="B13633" s="2">
        <v>44781.0</v>
      </c>
      <c r="C13633" s="3">
        <v>0.28587962962962965</v>
      </c>
      <c r="D13633" s="1">
        <v>13.036793</v>
      </c>
      <c r="E13633" s="1">
        <v>80.087557</v>
      </c>
      <c r="F13633" s="1">
        <v>3143.0</v>
      </c>
      <c r="G13633" s="1">
        <v>57.0</v>
      </c>
    </row>
    <row r="13634">
      <c r="A13634" s="1" t="s">
        <v>7</v>
      </c>
      <c r="B13634" s="2">
        <v>44781.0</v>
      </c>
      <c r="C13634" s="3">
        <v>0.2863888888888889</v>
      </c>
      <c r="D13634" s="1">
        <v>13.041237</v>
      </c>
      <c r="E13634" s="1">
        <v>80.086168</v>
      </c>
      <c r="F13634" s="1">
        <v>3143.0</v>
      </c>
      <c r="G13634" s="1">
        <v>57.0</v>
      </c>
    </row>
    <row r="13635">
      <c r="A13635" s="1" t="s">
        <v>7</v>
      </c>
      <c r="B13635" s="2">
        <v>44781.0</v>
      </c>
      <c r="C13635" s="3">
        <v>0.2871412037037037</v>
      </c>
      <c r="D13635" s="1">
        <v>12.452906</v>
      </c>
      <c r="E13635" s="1">
        <v>79.841182</v>
      </c>
      <c r="F13635" s="1">
        <v>2846.0</v>
      </c>
      <c r="G13635" s="1">
        <v>56.0</v>
      </c>
    </row>
    <row r="13636">
      <c r="A13636" s="1" t="s">
        <v>7</v>
      </c>
      <c r="B13636" s="2">
        <v>44781.0</v>
      </c>
      <c r="C13636" s="3">
        <v>0.287962962962963</v>
      </c>
      <c r="D13636" s="1">
        <v>12.46018</v>
      </c>
      <c r="E13636" s="1">
        <v>79.846007</v>
      </c>
      <c r="F13636" s="1">
        <v>2846.0</v>
      </c>
      <c r="G13636" s="1">
        <v>57.0</v>
      </c>
    </row>
    <row r="13637">
      <c r="A13637" s="1" t="s">
        <v>7</v>
      </c>
      <c r="B13637" s="2">
        <v>44781.0</v>
      </c>
      <c r="C13637" s="3">
        <v>0.2889236111111111</v>
      </c>
      <c r="D13637" s="1">
        <v>12.466192</v>
      </c>
      <c r="E13637" s="1">
        <v>79.850167</v>
      </c>
      <c r="F13637" s="1">
        <v>2846.0</v>
      </c>
      <c r="G13637" s="1">
        <v>58.0</v>
      </c>
    </row>
    <row r="13638">
      <c r="A13638" s="1" t="s">
        <v>7</v>
      </c>
      <c r="B13638" s="2">
        <v>44781.0</v>
      </c>
      <c r="C13638" s="3">
        <v>0.2896296296296296</v>
      </c>
      <c r="D13638" s="1">
        <v>12.477493</v>
      </c>
      <c r="E13638" s="1">
        <v>79.85908</v>
      </c>
      <c r="F13638" s="1">
        <v>2846.0</v>
      </c>
      <c r="G13638" s="1">
        <v>55.0</v>
      </c>
    </row>
    <row r="13639">
      <c r="A13639" s="1" t="s">
        <v>7</v>
      </c>
      <c r="B13639" s="2">
        <v>44781.0</v>
      </c>
      <c r="C13639" s="3">
        <v>0.2899421296296296</v>
      </c>
      <c r="D13639" s="1">
        <v>13.057126</v>
      </c>
      <c r="E13639" s="1">
        <v>80.100036</v>
      </c>
      <c r="F13639" s="1">
        <v>3143.0</v>
      </c>
      <c r="G13639" s="1">
        <v>44.0</v>
      </c>
    </row>
    <row r="13640">
      <c r="A13640" s="1" t="s">
        <v>7</v>
      </c>
      <c r="B13640" s="2">
        <v>44781.0</v>
      </c>
      <c r="C13640" s="3">
        <v>0.29041666666666666</v>
      </c>
      <c r="D13640" s="1">
        <v>13.057407</v>
      </c>
      <c r="E13640" s="1">
        <v>80.101605</v>
      </c>
      <c r="F13640" s="1">
        <v>3143.0</v>
      </c>
      <c r="G13640" s="1">
        <v>42.0</v>
      </c>
    </row>
    <row r="13641">
      <c r="A13641" s="1" t="s">
        <v>7</v>
      </c>
      <c r="B13641" s="2">
        <v>44781.0</v>
      </c>
      <c r="C13641" s="3">
        <v>0.29082175925925924</v>
      </c>
      <c r="D13641" s="1">
        <v>12.489377</v>
      </c>
      <c r="E13641" s="1">
        <v>79.866342</v>
      </c>
      <c r="F13641" s="1">
        <v>2846.0</v>
      </c>
      <c r="G13641" s="1">
        <v>56.0</v>
      </c>
    </row>
    <row r="13642">
      <c r="A13642" s="1" t="s">
        <v>7</v>
      </c>
      <c r="B13642" s="2">
        <v>44781.0</v>
      </c>
      <c r="C13642" s="3">
        <v>0.2908449074074074</v>
      </c>
      <c r="D13642" s="1">
        <v>13.056821</v>
      </c>
      <c r="E13642" s="1">
        <v>80.110886</v>
      </c>
      <c r="F13642" s="1">
        <v>3143.0</v>
      </c>
      <c r="G13642" s="1">
        <v>58.0</v>
      </c>
    </row>
    <row r="13643">
      <c r="A13643" s="1" t="s">
        <v>7</v>
      </c>
      <c r="B13643" s="2">
        <v>44781.0</v>
      </c>
      <c r="C13643" s="3">
        <v>0.292974537037037</v>
      </c>
      <c r="D13643" s="1">
        <v>12.511387</v>
      </c>
      <c r="E13643" s="1">
        <v>79.883183</v>
      </c>
      <c r="F13643" s="1">
        <v>2846.0</v>
      </c>
      <c r="G13643" s="1">
        <v>57.0</v>
      </c>
    </row>
    <row r="13644">
      <c r="A13644" s="1" t="s">
        <v>7</v>
      </c>
      <c r="B13644" s="2">
        <v>44781.0</v>
      </c>
      <c r="C13644" s="3">
        <v>0.2932175925925926</v>
      </c>
      <c r="D13644" s="1">
        <v>12.511387</v>
      </c>
      <c r="E13644" s="1">
        <v>79.883183</v>
      </c>
      <c r="F13644" s="1">
        <v>2846.0</v>
      </c>
      <c r="G13644" s="1">
        <v>57.0</v>
      </c>
    </row>
    <row r="13645">
      <c r="A13645" s="1" t="s">
        <v>10</v>
      </c>
      <c r="B13645" s="2">
        <v>44781.0</v>
      </c>
      <c r="C13645" s="3">
        <v>0.2974421296296296</v>
      </c>
      <c r="D13645" s="1">
        <v>13.06731</v>
      </c>
      <c r="E13645" s="1">
        <v>80.254672</v>
      </c>
      <c r="F13645" s="1">
        <v>5339.0</v>
      </c>
      <c r="G13645" s="1">
        <v>33.0</v>
      </c>
    </row>
    <row r="13646">
      <c r="A13646" s="1" t="s">
        <v>8</v>
      </c>
      <c r="B13646" s="2">
        <v>44781.0</v>
      </c>
      <c r="C13646" s="3">
        <v>0.2985763888888889</v>
      </c>
      <c r="D13646" s="1">
        <v>13.061719</v>
      </c>
      <c r="E13646" s="1">
        <v>80.246626</v>
      </c>
      <c r="F13646" s="1">
        <v>805.0</v>
      </c>
      <c r="G13646" s="1">
        <v>28.0</v>
      </c>
    </row>
    <row r="13647">
      <c r="A13647" s="1" t="s">
        <v>10</v>
      </c>
      <c r="B13647" s="2">
        <v>44781.0</v>
      </c>
      <c r="C13647" s="3">
        <v>0.3016435185185185</v>
      </c>
      <c r="D13647" s="1">
        <v>13.03949</v>
      </c>
      <c r="E13647" s="1">
        <v>80.11375</v>
      </c>
      <c r="F13647" s="1">
        <v>3143.0</v>
      </c>
      <c r="G13647" s="1">
        <v>35.0</v>
      </c>
    </row>
    <row r="13648">
      <c r="A13648" s="1" t="s">
        <v>10</v>
      </c>
      <c r="B13648" s="2">
        <v>44781.0</v>
      </c>
      <c r="C13648" s="3">
        <v>0.30202546296296295</v>
      </c>
      <c r="D13648" s="1">
        <v>13.068356</v>
      </c>
      <c r="E13648" s="1">
        <v>80.258056</v>
      </c>
      <c r="F13648" s="1">
        <v>805.0</v>
      </c>
      <c r="G13648" s="1">
        <v>44.0</v>
      </c>
    </row>
    <row r="13649">
      <c r="A13649" s="1" t="s">
        <v>10</v>
      </c>
      <c r="B13649" s="2">
        <v>44781.0</v>
      </c>
      <c r="C13649" s="3">
        <v>0.3021990740740741</v>
      </c>
      <c r="D13649" s="1">
        <v>13.064845</v>
      </c>
      <c r="E13649" s="1">
        <v>80.273908</v>
      </c>
      <c r="F13649" s="1">
        <v>5339.0</v>
      </c>
      <c r="G13649" s="1">
        <v>16.0</v>
      </c>
    </row>
    <row r="13650">
      <c r="A13650" s="1" t="s">
        <v>8</v>
      </c>
      <c r="B13650" s="2">
        <v>44781.0</v>
      </c>
      <c r="C13650" s="3">
        <v>0.30255787037037035</v>
      </c>
      <c r="D13650" s="1">
        <v>13.03391</v>
      </c>
      <c r="E13650" s="1">
        <v>80.111672</v>
      </c>
      <c r="F13650" s="1">
        <v>3143.0</v>
      </c>
      <c r="G13650" s="1">
        <v>41.0</v>
      </c>
    </row>
    <row r="13651">
      <c r="A13651" s="1" t="s">
        <v>8</v>
      </c>
      <c r="B13651" s="2">
        <v>44781.0</v>
      </c>
      <c r="C13651" s="3">
        <v>0.3042824074074074</v>
      </c>
      <c r="D13651" s="1">
        <v>13.068244</v>
      </c>
      <c r="E13651" s="1">
        <v>80.269956</v>
      </c>
      <c r="F13651" s="1">
        <v>805.0</v>
      </c>
      <c r="G13651" s="1">
        <v>29.0</v>
      </c>
    </row>
    <row r="13652">
      <c r="A13652" s="1" t="s">
        <v>8</v>
      </c>
      <c r="B13652" s="2">
        <v>44781.0</v>
      </c>
      <c r="C13652" s="3">
        <v>0.3051157407407407</v>
      </c>
      <c r="D13652" s="1">
        <v>13.065233</v>
      </c>
      <c r="E13652" s="1">
        <v>80.26763</v>
      </c>
      <c r="F13652" s="1">
        <v>805.0</v>
      </c>
      <c r="G13652" s="1">
        <v>39.0</v>
      </c>
    </row>
    <row r="13653">
      <c r="A13653" s="1" t="s">
        <v>10</v>
      </c>
      <c r="B13653" s="2">
        <v>44781.0</v>
      </c>
      <c r="C13653" s="3">
        <v>0.3061226851851852</v>
      </c>
      <c r="D13653" s="1">
        <v>13.055681</v>
      </c>
      <c r="E13653" s="1">
        <v>80.273831</v>
      </c>
      <c r="F13653" s="1">
        <v>5339.0</v>
      </c>
      <c r="G13653" s="1">
        <v>22.0</v>
      </c>
    </row>
    <row r="13654">
      <c r="A13654" s="1" t="s">
        <v>10</v>
      </c>
      <c r="B13654" s="2">
        <v>44781.0</v>
      </c>
      <c r="C13654" s="3">
        <v>0.30636574074074074</v>
      </c>
      <c r="D13654" s="1">
        <v>13.05524</v>
      </c>
      <c r="E13654" s="1">
        <v>80.273811</v>
      </c>
      <c r="F13654" s="1">
        <v>5339.0</v>
      </c>
      <c r="G13654" s="1">
        <v>0.0</v>
      </c>
    </row>
    <row r="13655">
      <c r="A13655" s="1" t="s">
        <v>10</v>
      </c>
      <c r="B13655" s="2">
        <v>44781.0</v>
      </c>
      <c r="C13655" s="3">
        <v>0.30666666666666664</v>
      </c>
      <c r="D13655" s="1">
        <v>13.05376</v>
      </c>
      <c r="E13655" s="1">
        <v>80.273778</v>
      </c>
      <c r="F13655" s="1">
        <v>5339.0</v>
      </c>
      <c r="G13655" s="1">
        <v>13.0</v>
      </c>
    </row>
    <row r="13656">
      <c r="A13656" s="1" t="s">
        <v>10</v>
      </c>
      <c r="B13656" s="2">
        <v>44781.0</v>
      </c>
      <c r="C13656" s="3">
        <v>0.30766203703703704</v>
      </c>
      <c r="D13656" s="1">
        <v>13.053213</v>
      </c>
      <c r="E13656" s="1">
        <v>80.271664</v>
      </c>
      <c r="F13656" s="1">
        <v>5339.0</v>
      </c>
      <c r="G13656" s="1">
        <v>18.0</v>
      </c>
    </row>
    <row r="13657">
      <c r="A13657" s="1" t="s">
        <v>8</v>
      </c>
      <c r="B13657" s="2">
        <v>44781.0</v>
      </c>
      <c r="C13657" s="3">
        <v>0.3091550925925926</v>
      </c>
      <c r="D13657" s="1">
        <v>13.053986</v>
      </c>
      <c r="E13657" s="1">
        <v>80.26405</v>
      </c>
      <c r="F13657" s="1">
        <v>805.0</v>
      </c>
      <c r="G13657" s="1">
        <v>9.0</v>
      </c>
    </row>
    <row r="13658">
      <c r="A13658" s="1" t="s">
        <v>8</v>
      </c>
      <c r="B13658" s="2">
        <v>44781.0</v>
      </c>
      <c r="C13658" s="3">
        <v>0.30916666666666665</v>
      </c>
      <c r="D13658" s="1">
        <v>13.053986</v>
      </c>
      <c r="E13658" s="1">
        <v>80.26405</v>
      </c>
      <c r="F13658" s="1">
        <v>805.0</v>
      </c>
      <c r="G13658" s="1">
        <v>9.0</v>
      </c>
    </row>
    <row r="13659">
      <c r="A13659" s="1" t="s">
        <v>8</v>
      </c>
      <c r="B13659" s="2">
        <v>44781.0</v>
      </c>
      <c r="C13659" s="3">
        <v>0.30917824074074074</v>
      </c>
      <c r="D13659" s="1">
        <v>13.053539</v>
      </c>
      <c r="E13659" s="1">
        <v>80.263958</v>
      </c>
      <c r="F13659" s="1">
        <v>805.0</v>
      </c>
      <c r="G13659" s="1">
        <v>23.0</v>
      </c>
    </row>
    <row r="13660">
      <c r="A13660" s="1" t="s">
        <v>8</v>
      </c>
      <c r="B13660" s="2">
        <v>44781.0</v>
      </c>
      <c r="C13660" s="3">
        <v>0.30918981481481483</v>
      </c>
      <c r="D13660" s="1">
        <v>13.053539</v>
      </c>
      <c r="E13660" s="1">
        <v>80.263958</v>
      </c>
      <c r="F13660" s="1">
        <v>805.0</v>
      </c>
      <c r="G13660" s="1">
        <v>23.0</v>
      </c>
    </row>
    <row r="13661">
      <c r="A13661" s="1" t="s">
        <v>8</v>
      </c>
      <c r="B13661" s="2">
        <v>44781.0</v>
      </c>
      <c r="C13661" s="3">
        <v>0.3092013888888889</v>
      </c>
      <c r="D13661" s="1">
        <v>13.053539</v>
      </c>
      <c r="E13661" s="1">
        <v>80.263958</v>
      </c>
      <c r="F13661" s="1">
        <v>805.0</v>
      </c>
      <c r="G13661" s="1">
        <v>23.0</v>
      </c>
    </row>
    <row r="13662">
      <c r="A13662" s="1" t="s">
        <v>8</v>
      </c>
      <c r="B13662" s="2">
        <v>44781.0</v>
      </c>
      <c r="C13662" s="3">
        <v>0.3108912037037037</v>
      </c>
      <c r="D13662" s="1">
        <v>13.054471</v>
      </c>
      <c r="E13662" s="1">
        <v>80.253999</v>
      </c>
      <c r="F13662" s="1">
        <v>5339.0</v>
      </c>
      <c r="G13662" s="1">
        <v>31.0</v>
      </c>
    </row>
    <row r="13663">
      <c r="A13663" s="1" t="s">
        <v>8</v>
      </c>
      <c r="B13663" s="2">
        <v>44781.0</v>
      </c>
      <c r="C13663" s="3">
        <v>0.3116435185185185</v>
      </c>
      <c r="D13663" s="1">
        <v>12.996561</v>
      </c>
      <c r="E13663" s="1">
        <v>80.108432</v>
      </c>
      <c r="F13663" s="1">
        <v>3143.0</v>
      </c>
      <c r="G13663" s="1">
        <v>45.0</v>
      </c>
    </row>
    <row r="13664">
      <c r="A13664" s="1" t="s">
        <v>8</v>
      </c>
      <c r="B13664" s="2">
        <v>44781.0</v>
      </c>
      <c r="C13664" s="3">
        <v>0.3117476851851852</v>
      </c>
      <c r="D13664" s="1">
        <v>13.049286</v>
      </c>
      <c r="E13664" s="1">
        <v>80.249801</v>
      </c>
      <c r="F13664" s="1">
        <v>5339.0</v>
      </c>
      <c r="G13664" s="1">
        <v>42.0</v>
      </c>
    </row>
    <row r="13665">
      <c r="A13665" s="1" t="s">
        <v>8</v>
      </c>
      <c r="B13665" s="2">
        <v>44781.0</v>
      </c>
      <c r="C13665" s="3">
        <v>0.31181712962962965</v>
      </c>
      <c r="D13665" s="1">
        <v>13.041748</v>
      </c>
      <c r="E13665" s="1">
        <v>80.268225</v>
      </c>
      <c r="F13665" s="1">
        <v>805.0</v>
      </c>
      <c r="G13665" s="1">
        <v>39.0</v>
      </c>
    </row>
    <row r="13666">
      <c r="A13666" s="1" t="s">
        <v>10</v>
      </c>
      <c r="B13666" s="2">
        <v>44781.0</v>
      </c>
      <c r="C13666" s="3">
        <v>0.31200231481481483</v>
      </c>
      <c r="D13666" s="1">
        <v>12.99577</v>
      </c>
      <c r="E13666" s="1">
        <v>80.110545</v>
      </c>
      <c r="F13666" s="1">
        <v>3143.0</v>
      </c>
      <c r="G13666" s="1">
        <v>33.0</v>
      </c>
    </row>
    <row r="13667">
      <c r="A13667" s="1" t="s">
        <v>10</v>
      </c>
      <c r="B13667" s="2">
        <v>44781.0</v>
      </c>
      <c r="C13667" s="3">
        <v>0.31201388888888887</v>
      </c>
      <c r="D13667" s="1">
        <v>13.040143</v>
      </c>
      <c r="E13667" s="1">
        <v>80.267969</v>
      </c>
      <c r="F13667" s="1">
        <v>805.0</v>
      </c>
      <c r="G13667" s="1">
        <v>20.0</v>
      </c>
    </row>
    <row r="13668">
      <c r="A13668" s="1" t="s">
        <v>8</v>
      </c>
      <c r="B13668" s="2">
        <v>44781.0</v>
      </c>
      <c r="C13668" s="3">
        <v>0.3121759259259259</v>
      </c>
      <c r="D13668" s="1">
        <v>12.994618</v>
      </c>
      <c r="E13668" s="1">
        <v>80.112086</v>
      </c>
      <c r="F13668" s="1">
        <v>3143.0</v>
      </c>
      <c r="G13668" s="1">
        <v>41.0</v>
      </c>
    </row>
    <row r="13669">
      <c r="A13669" s="1" t="s">
        <v>8</v>
      </c>
      <c r="B13669" s="2">
        <v>44781.0</v>
      </c>
      <c r="C13669" s="3">
        <v>0.3125925925925926</v>
      </c>
      <c r="D13669" s="1">
        <v>12.993194</v>
      </c>
      <c r="E13669" s="1">
        <v>80.113706</v>
      </c>
      <c r="F13669" s="1">
        <v>3143.0</v>
      </c>
      <c r="G13669" s="1">
        <v>31.0</v>
      </c>
    </row>
    <row r="13670">
      <c r="A13670" s="1" t="s">
        <v>7</v>
      </c>
      <c r="B13670" s="2">
        <v>44781.0</v>
      </c>
      <c r="C13670" s="3">
        <v>0.3126388888888889</v>
      </c>
      <c r="D13670" s="1">
        <v>12.653071</v>
      </c>
      <c r="E13670" s="1">
        <v>79.940129</v>
      </c>
      <c r="F13670" s="1">
        <v>2846.0</v>
      </c>
      <c r="G13670" s="1">
        <v>55.0</v>
      </c>
    </row>
    <row r="13671">
      <c r="A13671" s="1" t="s">
        <v>7</v>
      </c>
      <c r="B13671" s="2">
        <v>44781.0</v>
      </c>
      <c r="C13671" s="3">
        <v>0.31305555555555553</v>
      </c>
      <c r="D13671" s="1">
        <v>12.653071</v>
      </c>
      <c r="E13671" s="1">
        <v>79.940129</v>
      </c>
      <c r="F13671" s="1">
        <v>2846.0</v>
      </c>
      <c r="G13671" s="1">
        <v>55.0</v>
      </c>
    </row>
    <row r="13672">
      <c r="A13672" s="1" t="s">
        <v>7</v>
      </c>
      <c r="B13672" s="2">
        <v>44781.0</v>
      </c>
      <c r="C13672" s="3">
        <v>0.3136689814814815</v>
      </c>
      <c r="D13672" s="1">
        <v>12.657472</v>
      </c>
      <c r="E13672" s="1">
        <v>79.947157</v>
      </c>
      <c r="F13672" s="1">
        <v>2846.0</v>
      </c>
      <c r="G13672" s="1">
        <v>50.0</v>
      </c>
    </row>
    <row r="13673">
      <c r="A13673" s="1" t="s">
        <v>10</v>
      </c>
      <c r="B13673" s="2">
        <v>44781.0</v>
      </c>
      <c r="C13673" s="3">
        <v>0.3140162037037037</v>
      </c>
      <c r="D13673" s="1">
        <v>12.985397</v>
      </c>
      <c r="E13673" s="1">
        <v>80.12084</v>
      </c>
      <c r="F13673" s="1">
        <v>3143.0</v>
      </c>
      <c r="G13673" s="1">
        <v>34.0</v>
      </c>
    </row>
    <row r="13674">
      <c r="A13674" s="1" t="s">
        <v>8</v>
      </c>
      <c r="B13674" s="2">
        <v>44781.0</v>
      </c>
      <c r="C13674" s="3">
        <v>0.3141435185185185</v>
      </c>
      <c r="D13674" s="1">
        <v>12.656018</v>
      </c>
      <c r="E13674" s="1">
        <v>79.953496</v>
      </c>
      <c r="F13674" s="1">
        <v>2846.0</v>
      </c>
      <c r="G13674" s="1">
        <v>57.0</v>
      </c>
    </row>
    <row r="13675">
      <c r="A13675" s="1" t="s">
        <v>7</v>
      </c>
      <c r="B13675" s="2">
        <v>44781.0</v>
      </c>
      <c r="C13675" s="3">
        <v>0.31425925925925924</v>
      </c>
      <c r="D13675" s="1">
        <v>12.656018</v>
      </c>
      <c r="E13675" s="1">
        <v>79.953496</v>
      </c>
      <c r="F13675" s="1">
        <v>2846.0</v>
      </c>
      <c r="G13675" s="1">
        <v>57.0</v>
      </c>
    </row>
    <row r="13676">
      <c r="A13676" s="1" t="s">
        <v>7</v>
      </c>
      <c r="B13676" s="2">
        <v>44781.0</v>
      </c>
      <c r="C13676" s="3">
        <v>0.3143287037037037</v>
      </c>
      <c r="D13676" s="1">
        <v>12.656018</v>
      </c>
      <c r="E13676" s="1">
        <v>79.953496</v>
      </c>
      <c r="F13676" s="1">
        <v>2846.0</v>
      </c>
      <c r="G13676" s="1">
        <v>57.0</v>
      </c>
    </row>
    <row r="13677">
      <c r="A13677" s="1" t="s">
        <v>10</v>
      </c>
      <c r="B13677" s="2">
        <v>44781.0</v>
      </c>
      <c r="C13677" s="3">
        <v>0.31450231481481483</v>
      </c>
      <c r="D13677" s="1">
        <v>12.985057</v>
      </c>
      <c r="E13677" s="1">
        <v>80.123368</v>
      </c>
      <c r="F13677" s="1">
        <v>3143.0</v>
      </c>
      <c r="G13677" s="1">
        <v>35.0</v>
      </c>
    </row>
    <row r="13678">
      <c r="A13678" s="1" t="s">
        <v>7</v>
      </c>
      <c r="B13678" s="2">
        <v>44781.0</v>
      </c>
      <c r="C13678" s="3">
        <v>0.315</v>
      </c>
      <c r="D13678" s="1">
        <v>12.658861</v>
      </c>
      <c r="E13678" s="1">
        <v>79.961508</v>
      </c>
      <c r="F13678" s="1">
        <v>2846.0</v>
      </c>
      <c r="G13678" s="1">
        <v>48.0</v>
      </c>
    </row>
    <row r="13679">
      <c r="A13679" s="1" t="s">
        <v>7</v>
      </c>
      <c r="B13679" s="2">
        <v>44781.0</v>
      </c>
      <c r="C13679" s="3">
        <v>0.3150810185185185</v>
      </c>
      <c r="D13679" s="1">
        <v>12.658861</v>
      </c>
      <c r="E13679" s="1">
        <v>79.961508</v>
      </c>
      <c r="F13679" s="1">
        <v>2846.0</v>
      </c>
      <c r="G13679" s="1">
        <v>48.0</v>
      </c>
    </row>
    <row r="13680">
      <c r="A13680" s="1" t="s">
        <v>8</v>
      </c>
      <c r="B13680" s="2">
        <v>44781.0</v>
      </c>
      <c r="C13680" s="3">
        <v>0.3152314814814815</v>
      </c>
      <c r="D13680" s="1">
        <v>13.033985</v>
      </c>
      <c r="E13680" s="1">
        <v>80.244653</v>
      </c>
      <c r="F13680" s="1">
        <v>5339.0</v>
      </c>
      <c r="G13680" s="1">
        <v>37.0</v>
      </c>
    </row>
    <row r="13681">
      <c r="A13681" s="1" t="s">
        <v>10</v>
      </c>
      <c r="B13681" s="2">
        <v>44781.0</v>
      </c>
      <c r="C13681" s="3">
        <v>0.31538194444444445</v>
      </c>
      <c r="D13681" s="1">
        <v>12.983368</v>
      </c>
      <c r="E13681" s="1">
        <v>80.127207</v>
      </c>
      <c r="F13681" s="1">
        <v>3143.0</v>
      </c>
      <c r="G13681" s="1">
        <v>33.0</v>
      </c>
    </row>
    <row r="13682">
      <c r="A13682" s="1" t="s">
        <v>7</v>
      </c>
      <c r="B13682" s="2">
        <v>44781.0</v>
      </c>
      <c r="C13682" s="3">
        <v>0.3159837962962963</v>
      </c>
      <c r="D13682" s="1">
        <v>12.662589</v>
      </c>
      <c r="E13682" s="1">
        <v>79.967549</v>
      </c>
      <c r="F13682" s="1">
        <v>2846.0</v>
      </c>
      <c r="G13682" s="1">
        <v>43.0</v>
      </c>
    </row>
    <row r="13683">
      <c r="A13683" s="1" t="s">
        <v>8</v>
      </c>
      <c r="B13683" s="2">
        <v>44781.0</v>
      </c>
      <c r="C13683" s="3">
        <v>0.31622685185185184</v>
      </c>
      <c r="D13683" s="1">
        <v>12.665939</v>
      </c>
      <c r="E13683" s="1">
        <v>79.970065</v>
      </c>
      <c r="F13683" s="1">
        <v>2846.0</v>
      </c>
      <c r="G13683" s="1">
        <v>56.0</v>
      </c>
    </row>
    <row r="13684">
      <c r="A13684" s="1" t="s">
        <v>8</v>
      </c>
      <c r="B13684" s="2">
        <v>44781.0</v>
      </c>
      <c r="C13684" s="3">
        <v>0.3163773148148148</v>
      </c>
      <c r="D13684" s="1">
        <v>13.030303</v>
      </c>
      <c r="E13684" s="1">
        <v>80.238464</v>
      </c>
      <c r="F13684" s="1">
        <v>5339.0</v>
      </c>
      <c r="G13684" s="1">
        <v>37.0</v>
      </c>
    </row>
    <row r="13685">
      <c r="A13685" s="1" t="s">
        <v>8</v>
      </c>
      <c r="B13685" s="2">
        <v>44781.0</v>
      </c>
      <c r="C13685" s="3">
        <v>0.316724537037037</v>
      </c>
      <c r="D13685" s="1">
        <v>13.028794</v>
      </c>
      <c r="E13685" s="1">
        <v>80.23638</v>
      </c>
      <c r="F13685" s="1">
        <v>5339.0</v>
      </c>
      <c r="G13685" s="1">
        <v>35.0</v>
      </c>
    </row>
    <row r="13686">
      <c r="A13686" s="1" t="s">
        <v>10</v>
      </c>
      <c r="B13686" s="2">
        <v>44781.0</v>
      </c>
      <c r="C13686" s="3">
        <v>0.31680555555555556</v>
      </c>
      <c r="D13686" s="1">
        <v>12.979435</v>
      </c>
      <c r="E13686" s="1">
        <v>80.129237</v>
      </c>
      <c r="F13686" s="1">
        <v>3143.0</v>
      </c>
      <c r="G13686" s="1">
        <v>25.0</v>
      </c>
    </row>
    <row r="13687">
      <c r="A13687" s="1" t="s">
        <v>8</v>
      </c>
      <c r="B13687" s="2">
        <v>44781.0</v>
      </c>
      <c r="C13687" s="3">
        <v>0.3175925925925926</v>
      </c>
      <c r="D13687" s="1">
        <v>13.02646</v>
      </c>
      <c r="E13687" s="1">
        <v>80.232855</v>
      </c>
      <c r="F13687" s="1">
        <v>5339.0</v>
      </c>
      <c r="G13687" s="1">
        <v>28.0</v>
      </c>
    </row>
    <row r="13688">
      <c r="A13688" s="1" t="s">
        <v>8</v>
      </c>
      <c r="B13688" s="2">
        <v>44781.0</v>
      </c>
      <c r="C13688" s="3">
        <v>0.3176388888888889</v>
      </c>
      <c r="D13688" s="1">
        <v>13.02646</v>
      </c>
      <c r="E13688" s="1">
        <v>80.232855</v>
      </c>
      <c r="F13688" s="1">
        <v>5339.0</v>
      </c>
      <c r="G13688" s="1">
        <v>28.0</v>
      </c>
    </row>
    <row r="13689">
      <c r="A13689" s="1" t="s">
        <v>8</v>
      </c>
      <c r="B13689" s="2">
        <v>44781.0</v>
      </c>
      <c r="C13689" s="3">
        <v>0.3176967592592593</v>
      </c>
      <c r="D13689" s="1">
        <v>13.026176</v>
      </c>
      <c r="E13689" s="1">
        <v>80.232064</v>
      </c>
      <c r="F13689" s="1">
        <v>5339.0</v>
      </c>
      <c r="G13689" s="1">
        <v>29.0</v>
      </c>
    </row>
    <row r="13690">
      <c r="A13690" s="1" t="s">
        <v>8</v>
      </c>
      <c r="B13690" s="2">
        <v>44781.0</v>
      </c>
      <c r="C13690" s="3">
        <v>0.3176967592592593</v>
      </c>
      <c r="D13690" s="1">
        <v>13.026176</v>
      </c>
      <c r="E13690" s="1">
        <v>80.232064</v>
      </c>
      <c r="F13690" s="1">
        <v>5339.0</v>
      </c>
      <c r="G13690" s="1">
        <v>29.0</v>
      </c>
    </row>
    <row r="13691">
      <c r="A13691" s="1" t="s">
        <v>8</v>
      </c>
      <c r="B13691" s="2">
        <v>44781.0</v>
      </c>
      <c r="C13691" s="3">
        <v>0.31797453703703704</v>
      </c>
      <c r="D13691" s="1">
        <v>12.674044</v>
      </c>
      <c r="E13691" s="1">
        <v>79.976692</v>
      </c>
      <c r="F13691" s="1">
        <v>2846.0</v>
      </c>
      <c r="G13691" s="1">
        <v>14.0</v>
      </c>
    </row>
    <row r="13692">
      <c r="A13692" s="1" t="s">
        <v>7</v>
      </c>
      <c r="B13692" s="2">
        <v>44781.0</v>
      </c>
      <c r="C13692" s="3">
        <v>0.3186111111111111</v>
      </c>
      <c r="D13692" s="1">
        <v>13.022337</v>
      </c>
      <c r="E13692" s="1">
        <v>80.226581</v>
      </c>
      <c r="F13692" s="1">
        <v>5339.0</v>
      </c>
      <c r="G13692" s="1">
        <v>51.0</v>
      </c>
    </row>
    <row r="13693">
      <c r="A13693" s="1" t="s">
        <v>8</v>
      </c>
      <c r="B13693" s="2">
        <v>44781.0</v>
      </c>
      <c r="C13693" s="3">
        <v>0.31971064814814815</v>
      </c>
      <c r="D13693" s="1">
        <v>13.015085</v>
      </c>
      <c r="E13693" s="1">
        <v>80.225984</v>
      </c>
      <c r="F13693" s="1">
        <v>5339.0</v>
      </c>
      <c r="G13693" s="1">
        <v>14.0</v>
      </c>
    </row>
    <row r="13694">
      <c r="A13694" s="1" t="s">
        <v>8</v>
      </c>
      <c r="B13694" s="2">
        <v>44781.0</v>
      </c>
      <c r="C13694" s="3">
        <v>0.31971064814814815</v>
      </c>
      <c r="D13694" s="1">
        <v>13.015085</v>
      </c>
      <c r="E13694" s="1">
        <v>80.225984</v>
      </c>
      <c r="F13694" s="1">
        <v>5339.0</v>
      </c>
      <c r="G13694" s="1">
        <v>14.0</v>
      </c>
    </row>
    <row r="13695">
      <c r="A13695" s="1" t="s">
        <v>8</v>
      </c>
      <c r="B13695" s="2">
        <v>44781.0</v>
      </c>
      <c r="C13695" s="3">
        <v>0.31984953703703706</v>
      </c>
      <c r="D13695" s="1">
        <v>13.014543</v>
      </c>
      <c r="E13695" s="1">
        <v>80.226201</v>
      </c>
      <c r="F13695" s="1">
        <v>5339.0</v>
      </c>
      <c r="G13695" s="1">
        <v>29.0</v>
      </c>
    </row>
    <row r="13696">
      <c r="A13696" s="1" t="s">
        <v>8</v>
      </c>
      <c r="B13696" s="2">
        <v>44781.0</v>
      </c>
      <c r="C13696" s="3">
        <v>0.3199074074074074</v>
      </c>
      <c r="D13696" s="1">
        <v>13.013971</v>
      </c>
      <c r="E13696" s="1">
        <v>80.226414</v>
      </c>
      <c r="F13696" s="1">
        <v>5339.0</v>
      </c>
      <c r="G13696" s="1">
        <v>34.0</v>
      </c>
    </row>
    <row r="13697">
      <c r="A13697" s="1" t="s">
        <v>8</v>
      </c>
      <c r="B13697" s="2">
        <v>44781.0</v>
      </c>
      <c r="C13697" s="3">
        <v>0.3200810185185185</v>
      </c>
      <c r="D13697" s="1">
        <v>13.012979</v>
      </c>
      <c r="E13697" s="1">
        <v>80.226772</v>
      </c>
      <c r="F13697" s="1">
        <v>5339.0</v>
      </c>
      <c r="G13697" s="1">
        <v>38.0</v>
      </c>
    </row>
    <row r="13698">
      <c r="A13698" s="1" t="s">
        <v>8</v>
      </c>
      <c r="B13698" s="2">
        <v>44781.0</v>
      </c>
      <c r="C13698" s="3">
        <v>0.3201736111111111</v>
      </c>
      <c r="D13698" s="1">
        <v>13.011964</v>
      </c>
      <c r="E13698" s="1">
        <v>80.227184</v>
      </c>
      <c r="F13698" s="1">
        <v>5339.0</v>
      </c>
      <c r="G13698" s="1">
        <v>38.0</v>
      </c>
    </row>
    <row r="13699">
      <c r="A13699" s="1" t="s">
        <v>8</v>
      </c>
      <c r="B13699" s="2">
        <v>44781.0</v>
      </c>
      <c r="C13699" s="3">
        <v>0.3201851851851852</v>
      </c>
      <c r="D13699" s="1">
        <v>13.011964</v>
      </c>
      <c r="E13699" s="1">
        <v>80.227184</v>
      </c>
      <c r="F13699" s="1">
        <v>5339.0</v>
      </c>
      <c r="G13699" s="1">
        <v>38.0</v>
      </c>
    </row>
    <row r="13700">
      <c r="A13700" s="1" t="s">
        <v>8</v>
      </c>
      <c r="B13700" s="2">
        <v>44781.0</v>
      </c>
      <c r="C13700" s="3">
        <v>0.3205208333333333</v>
      </c>
      <c r="D13700" s="1">
        <v>12.68633</v>
      </c>
      <c r="E13700" s="1">
        <v>79.983379</v>
      </c>
      <c r="F13700" s="1">
        <v>2846.0</v>
      </c>
      <c r="G13700" s="1">
        <v>30.0</v>
      </c>
    </row>
    <row r="13701">
      <c r="A13701" s="1" t="s">
        <v>8</v>
      </c>
      <c r="B13701" s="2">
        <v>44781.0</v>
      </c>
      <c r="C13701" s="3">
        <v>0.32296296296296295</v>
      </c>
      <c r="D13701" s="1">
        <v>13.008357</v>
      </c>
      <c r="E13701" s="1">
        <v>80.210159</v>
      </c>
      <c r="F13701" s="1">
        <v>5339.0</v>
      </c>
      <c r="G13701" s="1">
        <v>48.0</v>
      </c>
    </row>
    <row r="13702">
      <c r="A13702" s="1" t="s">
        <v>8</v>
      </c>
      <c r="B13702" s="2">
        <v>44781.0</v>
      </c>
      <c r="C13702" s="3">
        <v>0.3230208333333333</v>
      </c>
      <c r="D13702" s="1">
        <v>12.691414</v>
      </c>
      <c r="E13702" s="1">
        <v>79.980615</v>
      </c>
      <c r="F13702" s="1">
        <v>2846.0</v>
      </c>
      <c r="G13702" s="1">
        <v>11.0</v>
      </c>
    </row>
    <row r="13703">
      <c r="A13703" s="1" t="s">
        <v>8</v>
      </c>
      <c r="B13703" s="2">
        <v>44781.0</v>
      </c>
      <c r="C13703" s="3">
        <v>0.3233101851851852</v>
      </c>
      <c r="D13703" s="1">
        <v>13.007688</v>
      </c>
      <c r="E13703" s="1">
        <v>80.206846</v>
      </c>
      <c r="F13703" s="1">
        <v>5339.0</v>
      </c>
      <c r="G13703" s="1">
        <v>41.0</v>
      </c>
    </row>
    <row r="13704">
      <c r="A13704" s="1" t="s">
        <v>8</v>
      </c>
      <c r="B13704" s="2">
        <v>44781.0</v>
      </c>
      <c r="C13704" s="3">
        <v>0.32332175925925927</v>
      </c>
      <c r="D13704" s="1">
        <v>13.006453</v>
      </c>
      <c r="E13704" s="1">
        <v>80.256568</v>
      </c>
      <c r="F13704" s="1">
        <v>805.0</v>
      </c>
      <c r="G13704" s="1">
        <v>34.0</v>
      </c>
    </row>
    <row r="13705">
      <c r="A13705" s="1" t="s">
        <v>8</v>
      </c>
      <c r="B13705" s="2">
        <v>44781.0</v>
      </c>
      <c r="C13705" s="3">
        <v>0.32332175925925927</v>
      </c>
      <c r="D13705" s="1">
        <v>13.007688</v>
      </c>
      <c r="E13705" s="1">
        <v>80.206846</v>
      </c>
      <c r="F13705" s="1">
        <v>5339.0</v>
      </c>
      <c r="G13705" s="1">
        <v>41.0</v>
      </c>
    </row>
    <row r="13706">
      <c r="A13706" s="1" t="s">
        <v>8</v>
      </c>
      <c r="B13706" s="2">
        <v>44781.0</v>
      </c>
      <c r="C13706" s="3">
        <v>0.3234722222222222</v>
      </c>
      <c r="D13706" s="1">
        <v>13.006494</v>
      </c>
      <c r="E13706" s="1">
        <v>80.25486</v>
      </c>
      <c r="F13706" s="1">
        <v>805.0</v>
      </c>
      <c r="G13706" s="1">
        <v>43.0</v>
      </c>
    </row>
    <row r="13707">
      <c r="A13707" s="1" t="s">
        <v>8</v>
      </c>
      <c r="B13707" s="2">
        <v>44781.0</v>
      </c>
      <c r="C13707" s="3">
        <v>0.32380787037037034</v>
      </c>
      <c r="D13707" s="1">
        <v>12.692063</v>
      </c>
      <c r="E13707" s="1">
        <v>79.980092</v>
      </c>
      <c r="F13707" s="1">
        <v>2846.0</v>
      </c>
      <c r="G13707" s="1">
        <v>28.0</v>
      </c>
    </row>
    <row r="13708">
      <c r="A13708" s="1" t="s">
        <v>8</v>
      </c>
      <c r="B13708" s="2">
        <v>44781.0</v>
      </c>
      <c r="C13708" s="3">
        <v>0.324212962962963</v>
      </c>
      <c r="D13708" s="1">
        <v>13.002666</v>
      </c>
      <c r="E13708" s="1">
        <v>80.200719</v>
      </c>
      <c r="F13708" s="1">
        <v>5339.0</v>
      </c>
      <c r="G13708" s="1">
        <v>48.0</v>
      </c>
    </row>
    <row r="13709">
      <c r="A13709" s="1" t="s">
        <v>8</v>
      </c>
      <c r="B13709" s="2">
        <v>44781.0</v>
      </c>
      <c r="C13709" s="3">
        <v>0.32481481481481483</v>
      </c>
      <c r="D13709" s="1">
        <v>13.001642</v>
      </c>
      <c r="E13709" s="1">
        <v>80.196336</v>
      </c>
      <c r="F13709" s="1">
        <v>5339.0</v>
      </c>
      <c r="G13709" s="1">
        <v>24.0</v>
      </c>
    </row>
    <row r="13710">
      <c r="A13710" s="1" t="s">
        <v>8</v>
      </c>
      <c r="B13710" s="2">
        <v>44781.0</v>
      </c>
      <c r="C13710" s="3">
        <v>0.32483796296296297</v>
      </c>
      <c r="D13710" s="1">
        <v>13.001642</v>
      </c>
      <c r="E13710" s="1">
        <v>80.196336</v>
      </c>
      <c r="F13710" s="1">
        <v>5339.0</v>
      </c>
      <c r="G13710" s="1">
        <v>24.0</v>
      </c>
    </row>
    <row r="13711">
      <c r="A13711" s="1" t="s">
        <v>8</v>
      </c>
      <c r="B13711" s="2">
        <v>44781.0</v>
      </c>
      <c r="C13711" s="3">
        <v>0.32494212962962965</v>
      </c>
      <c r="D13711" s="1">
        <v>13.001202</v>
      </c>
      <c r="E13711" s="1">
        <v>80.195734</v>
      </c>
      <c r="F13711" s="1">
        <v>5339.0</v>
      </c>
      <c r="G13711" s="1">
        <v>31.0</v>
      </c>
    </row>
    <row r="13712">
      <c r="A13712" s="1" t="s">
        <v>8</v>
      </c>
      <c r="B13712" s="2">
        <v>44781.0</v>
      </c>
      <c r="C13712" s="3">
        <v>0.3259375</v>
      </c>
      <c r="D13712" s="1">
        <v>13.006669</v>
      </c>
      <c r="E13712" s="1">
        <v>80.243609</v>
      </c>
      <c r="F13712" s="1">
        <v>805.0</v>
      </c>
      <c r="G13712" s="1">
        <v>22.0</v>
      </c>
    </row>
    <row r="13713">
      <c r="A13713" s="1" t="s">
        <v>8</v>
      </c>
      <c r="B13713" s="2">
        <v>44781.0</v>
      </c>
      <c r="C13713" s="3">
        <v>0.32680555555555557</v>
      </c>
      <c r="D13713" s="1">
        <v>13.007554</v>
      </c>
      <c r="E13713" s="1">
        <v>80.236626</v>
      </c>
      <c r="F13713" s="1">
        <v>805.0</v>
      </c>
      <c r="G13713" s="1">
        <v>54.0</v>
      </c>
    </row>
    <row r="13714">
      <c r="A13714" s="1" t="s">
        <v>7</v>
      </c>
      <c r="B13714" s="2">
        <v>44781.0</v>
      </c>
      <c r="C13714" s="3">
        <v>0.326875</v>
      </c>
      <c r="D13714" s="1">
        <v>12.701362</v>
      </c>
      <c r="E13714" s="1">
        <v>79.969193</v>
      </c>
      <c r="F13714" s="1">
        <v>2846.0</v>
      </c>
      <c r="G13714" s="1">
        <v>35.0</v>
      </c>
    </row>
    <row r="13715">
      <c r="A13715" s="1" t="s">
        <v>8</v>
      </c>
      <c r="B13715" s="2">
        <v>44781.0</v>
      </c>
      <c r="C13715" s="3">
        <v>0.327037037037037</v>
      </c>
      <c r="D13715" s="1">
        <v>13.00794</v>
      </c>
      <c r="E13715" s="1">
        <v>80.234612</v>
      </c>
      <c r="F13715" s="1">
        <v>805.0</v>
      </c>
      <c r="G13715" s="1">
        <v>42.0</v>
      </c>
    </row>
    <row r="13716">
      <c r="A13716" s="1" t="s">
        <v>8</v>
      </c>
      <c r="B13716" s="2">
        <v>44781.0</v>
      </c>
      <c r="C13716" s="3">
        <v>0.3271759259259259</v>
      </c>
      <c r="D13716" s="1">
        <v>13.008304</v>
      </c>
      <c r="E13716" s="1">
        <v>80.232804</v>
      </c>
      <c r="F13716" s="1">
        <v>805.0</v>
      </c>
      <c r="G13716" s="1">
        <v>54.0</v>
      </c>
    </row>
    <row r="13717">
      <c r="A13717" s="1" t="s">
        <v>7</v>
      </c>
      <c r="B13717" s="2">
        <v>44781.0</v>
      </c>
      <c r="C13717" s="3">
        <v>0.3273726851851852</v>
      </c>
      <c r="D13717" s="1">
        <v>13.008688</v>
      </c>
      <c r="E13717" s="1">
        <v>80.230699</v>
      </c>
      <c r="F13717" s="1">
        <v>805.0</v>
      </c>
      <c r="G13717" s="1">
        <v>45.0</v>
      </c>
    </row>
    <row r="13718">
      <c r="A13718" s="1" t="s">
        <v>8</v>
      </c>
      <c r="B13718" s="2">
        <v>44781.0</v>
      </c>
      <c r="C13718" s="3">
        <v>0.3274074074074074</v>
      </c>
      <c r="D13718" s="1">
        <v>12.993682</v>
      </c>
      <c r="E13718" s="1">
        <v>80.184984</v>
      </c>
      <c r="F13718" s="1">
        <v>5339.0</v>
      </c>
      <c r="G13718" s="1">
        <v>30.0</v>
      </c>
    </row>
    <row r="13719">
      <c r="A13719" s="1" t="s">
        <v>8</v>
      </c>
      <c r="B13719" s="2">
        <v>44781.0</v>
      </c>
      <c r="C13719" s="3">
        <v>0.32743055555555556</v>
      </c>
      <c r="D13719" s="1">
        <v>12.703321</v>
      </c>
      <c r="E13719" s="1">
        <v>79.97151</v>
      </c>
      <c r="F13719" s="1">
        <v>2846.0</v>
      </c>
      <c r="G13719" s="1">
        <v>47.0</v>
      </c>
    </row>
    <row r="13720">
      <c r="A13720" s="1" t="s">
        <v>7</v>
      </c>
      <c r="B13720" s="2">
        <v>44781.0</v>
      </c>
      <c r="C13720" s="3">
        <v>0.3280092592592593</v>
      </c>
      <c r="D13720" s="1">
        <v>12.709826</v>
      </c>
      <c r="E13720" s="1">
        <v>79.977738</v>
      </c>
      <c r="F13720" s="1">
        <v>2846.0</v>
      </c>
      <c r="G13720" s="1">
        <v>45.0</v>
      </c>
    </row>
    <row r="13721">
      <c r="A13721" s="1" t="s">
        <v>8</v>
      </c>
      <c r="B13721" s="2">
        <v>44781.0</v>
      </c>
      <c r="C13721" s="3">
        <v>0.3280439814814815</v>
      </c>
      <c r="D13721" s="1">
        <v>13.011294</v>
      </c>
      <c r="E13721" s="1">
        <v>80.223416</v>
      </c>
      <c r="F13721" s="1">
        <v>805.0</v>
      </c>
      <c r="G13721" s="1">
        <v>15.0</v>
      </c>
    </row>
    <row r="13722">
      <c r="A13722" s="1" t="s">
        <v>7</v>
      </c>
      <c r="B13722" s="2">
        <v>44781.0</v>
      </c>
      <c r="C13722" s="3">
        <v>0.3281712962962963</v>
      </c>
      <c r="D13722" s="1">
        <v>12.709826</v>
      </c>
      <c r="E13722" s="1">
        <v>79.977738</v>
      </c>
      <c r="F13722" s="1">
        <v>2846.0</v>
      </c>
      <c r="G13722" s="1">
        <v>45.0</v>
      </c>
    </row>
    <row r="13723">
      <c r="A13723" s="1" t="s">
        <v>8</v>
      </c>
      <c r="B13723" s="2">
        <v>44781.0</v>
      </c>
      <c r="C13723" s="3">
        <v>0.3283912037037037</v>
      </c>
      <c r="D13723" s="1">
        <v>12.709826</v>
      </c>
      <c r="E13723" s="1">
        <v>79.977738</v>
      </c>
      <c r="F13723" s="1">
        <v>2846.0</v>
      </c>
      <c r="G13723" s="1">
        <v>45.0</v>
      </c>
    </row>
    <row r="13724">
      <c r="A13724" s="1" t="s">
        <v>8</v>
      </c>
      <c r="B13724" s="2">
        <v>44781.0</v>
      </c>
      <c r="C13724" s="3">
        <v>0.32849537037037035</v>
      </c>
      <c r="D13724" s="1">
        <v>13.011734</v>
      </c>
      <c r="E13724" s="1">
        <v>80.222315</v>
      </c>
      <c r="F13724" s="1">
        <v>805.0</v>
      </c>
      <c r="G13724" s="1">
        <v>33.0</v>
      </c>
    </row>
    <row r="13725">
      <c r="A13725" s="1" t="s">
        <v>8</v>
      </c>
      <c r="B13725" s="2">
        <v>44781.0</v>
      </c>
      <c r="C13725" s="3">
        <v>0.3285300925925926</v>
      </c>
      <c r="D13725" s="1">
        <v>12.989594</v>
      </c>
      <c r="E13725" s="1">
        <v>80.179117</v>
      </c>
      <c r="F13725" s="1">
        <v>5339.0</v>
      </c>
      <c r="G13725" s="1">
        <v>21.0</v>
      </c>
    </row>
    <row r="13726">
      <c r="A13726" s="1" t="s">
        <v>8</v>
      </c>
      <c r="B13726" s="2">
        <v>44781.0</v>
      </c>
      <c r="C13726" s="3">
        <v>0.3285648148148148</v>
      </c>
      <c r="D13726" s="1">
        <v>12.989594</v>
      </c>
      <c r="E13726" s="1">
        <v>80.179117</v>
      </c>
      <c r="F13726" s="1">
        <v>5339.0</v>
      </c>
      <c r="G13726" s="1">
        <v>21.0</v>
      </c>
    </row>
    <row r="13727">
      <c r="A13727" s="1" t="s">
        <v>7</v>
      </c>
      <c r="B13727" s="2">
        <v>44781.0</v>
      </c>
      <c r="C13727" s="3">
        <v>0.32868055555555553</v>
      </c>
      <c r="D13727" s="1">
        <v>12.715133</v>
      </c>
      <c r="E13727" s="1">
        <v>79.980376</v>
      </c>
      <c r="F13727" s="1">
        <v>2846.0</v>
      </c>
      <c r="G13727" s="1">
        <v>56.0</v>
      </c>
    </row>
    <row r="13728">
      <c r="A13728" s="1" t="s">
        <v>8</v>
      </c>
      <c r="B13728" s="2">
        <v>44781.0</v>
      </c>
      <c r="C13728" s="3">
        <v>0.32871527777777776</v>
      </c>
      <c r="D13728" s="1">
        <v>13.012121</v>
      </c>
      <c r="E13728" s="1">
        <v>80.221205</v>
      </c>
      <c r="F13728" s="1">
        <v>805.0</v>
      </c>
      <c r="G13728" s="1">
        <v>20.0</v>
      </c>
    </row>
    <row r="13729">
      <c r="A13729" s="1" t="s">
        <v>8</v>
      </c>
      <c r="B13729" s="2">
        <v>44781.0</v>
      </c>
      <c r="C13729" s="3">
        <v>0.32881944444444444</v>
      </c>
      <c r="D13729" s="1">
        <v>12.988673</v>
      </c>
      <c r="E13729" s="1">
        <v>80.177965</v>
      </c>
      <c r="F13729" s="1">
        <v>5339.0</v>
      </c>
      <c r="G13729" s="1">
        <v>35.0</v>
      </c>
    </row>
    <row r="13730">
      <c r="A13730" s="1" t="s">
        <v>7</v>
      </c>
      <c r="B13730" s="2">
        <v>44781.0</v>
      </c>
      <c r="C13730" s="3">
        <v>0.32891203703703703</v>
      </c>
      <c r="D13730" s="1">
        <v>13.011801</v>
      </c>
      <c r="E13730" s="1">
        <v>80.219851</v>
      </c>
      <c r="F13730" s="1">
        <v>805.0</v>
      </c>
      <c r="G13730" s="1">
        <v>45.0</v>
      </c>
    </row>
    <row r="13731">
      <c r="A13731" s="1" t="s">
        <v>8</v>
      </c>
      <c r="B13731" s="2">
        <v>44781.0</v>
      </c>
      <c r="C13731" s="3">
        <v>0.32894675925925926</v>
      </c>
      <c r="D13731" s="1">
        <v>12.988104</v>
      </c>
      <c r="E13731" s="1">
        <v>80.177174</v>
      </c>
      <c r="F13731" s="1">
        <v>5339.0</v>
      </c>
      <c r="G13731" s="1">
        <v>42.0</v>
      </c>
    </row>
    <row r="13732">
      <c r="A13732" s="1" t="s">
        <v>7</v>
      </c>
      <c r="B13732" s="2">
        <v>44781.0</v>
      </c>
      <c r="C13732" s="3">
        <v>0.3292476851851852</v>
      </c>
      <c r="D13732" s="1">
        <v>13.010407</v>
      </c>
      <c r="E13732" s="1">
        <v>80.21613</v>
      </c>
      <c r="F13732" s="1">
        <v>805.0</v>
      </c>
      <c r="G13732" s="1">
        <v>43.0</v>
      </c>
    </row>
    <row r="13733">
      <c r="A13733" s="1" t="s">
        <v>7</v>
      </c>
      <c r="B13733" s="2">
        <v>44781.0</v>
      </c>
      <c r="C13733" s="3">
        <v>0.32939814814814816</v>
      </c>
      <c r="D13733" s="1">
        <v>13.00985</v>
      </c>
      <c r="E13733" s="1">
        <v>80.214106</v>
      </c>
      <c r="F13733" s="1">
        <v>805.0</v>
      </c>
      <c r="G13733" s="1">
        <v>59.0</v>
      </c>
    </row>
    <row r="13734">
      <c r="A13734" s="1" t="s">
        <v>7</v>
      </c>
      <c r="B13734" s="2">
        <v>44781.0</v>
      </c>
      <c r="C13734" s="3">
        <v>0.32959490740740743</v>
      </c>
      <c r="D13734" s="1">
        <v>13.008966</v>
      </c>
      <c r="E13734" s="1">
        <v>80.211876</v>
      </c>
      <c r="F13734" s="1">
        <v>805.0</v>
      </c>
      <c r="G13734" s="1">
        <v>52.0</v>
      </c>
    </row>
    <row r="13735">
      <c r="A13735" s="1" t="s">
        <v>7</v>
      </c>
      <c r="B13735" s="2">
        <v>44781.0</v>
      </c>
      <c r="C13735" s="3">
        <v>0.3296527777777778</v>
      </c>
      <c r="D13735" s="1">
        <v>13.008966</v>
      </c>
      <c r="E13735" s="1">
        <v>80.211876</v>
      </c>
      <c r="F13735" s="1">
        <v>805.0</v>
      </c>
      <c r="G13735" s="1">
        <v>52.0</v>
      </c>
    </row>
    <row r="13736">
      <c r="A13736" s="1" t="s">
        <v>7</v>
      </c>
      <c r="B13736" s="2">
        <v>44781.0</v>
      </c>
      <c r="C13736" s="3">
        <v>0.3297453703703704</v>
      </c>
      <c r="D13736" s="1">
        <v>13.008211</v>
      </c>
      <c r="E13736" s="1">
        <v>80.209751</v>
      </c>
      <c r="F13736" s="1">
        <v>805.0</v>
      </c>
      <c r="G13736" s="1">
        <v>60.0</v>
      </c>
    </row>
    <row r="13737">
      <c r="A13737" s="1" t="s">
        <v>8</v>
      </c>
      <c r="B13737" s="2">
        <v>44781.0</v>
      </c>
      <c r="C13737" s="3">
        <v>0.32979166666666665</v>
      </c>
      <c r="D13737" s="1">
        <v>12.985764</v>
      </c>
      <c r="E13737" s="1">
        <v>80.173812</v>
      </c>
      <c r="F13737" s="1">
        <v>5339.0</v>
      </c>
      <c r="G13737" s="1">
        <v>34.0</v>
      </c>
    </row>
    <row r="13738">
      <c r="A13738" s="1" t="s">
        <v>7</v>
      </c>
      <c r="B13738" s="2">
        <v>44781.0</v>
      </c>
      <c r="C13738" s="3">
        <v>0.3301851851851852</v>
      </c>
      <c r="D13738" s="1">
        <v>12.731483</v>
      </c>
      <c r="E13738" s="1">
        <v>79.982805</v>
      </c>
      <c r="F13738" s="1">
        <v>2846.0</v>
      </c>
      <c r="G13738" s="1">
        <v>50.0</v>
      </c>
    </row>
    <row r="13739">
      <c r="A13739" s="1" t="s">
        <v>7</v>
      </c>
      <c r="B13739" s="2">
        <v>44781.0</v>
      </c>
      <c r="C13739" s="3">
        <v>0.33033564814814814</v>
      </c>
      <c r="D13739" s="1">
        <v>13.006164</v>
      </c>
      <c r="E13739" s="1">
        <v>80.203225</v>
      </c>
      <c r="F13739" s="1">
        <v>805.0</v>
      </c>
      <c r="G13739" s="1">
        <v>46.0</v>
      </c>
    </row>
    <row r="13740">
      <c r="A13740" s="1" t="s">
        <v>8</v>
      </c>
      <c r="B13740" s="2">
        <v>44781.0</v>
      </c>
      <c r="C13740" s="3">
        <v>0.3304398148148148</v>
      </c>
      <c r="D13740" s="1">
        <v>13.005284</v>
      </c>
      <c r="E13740" s="1">
        <v>80.201769</v>
      </c>
      <c r="F13740" s="1">
        <v>805.0</v>
      </c>
      <c r="G13740" s="1">
        <v>44.0</v>
      </c>
    </row>
    <row r="13741">
      <c r="A13741" s="1" t="s">
        <v>8</v>
      </c>
      <c r="B13741" s="2">
        <v>44781.0</v>
      </c>
      <c r="C13741" s="3">
        <v>0.33047453703703705</v>
      </c>
      <c r="D13741" s="1">
        <v>13.005284</v>
      </c>
      <c r="E13741" s="1">
        <v>80.201769</v>
      </c>
      <c r="F13741" s="1">
        <v>805.0</v>
      </c>
      <c r="G13741" s="1">
        <v>44.0</v>
      </c>
    </row>
    <row r="13742">
      <c r="A13742" s="1" t="s">
        <v>8</v>
      </c>
      <c r="B13742" s="2">
        <v>44781.0</v>
      </c>
      <c r="C13742" s="3">
        <v>0.3308333333333333</v>
      </c>
      <c r="D13742" s="1">
        <v>13.002116</v>
      </c>
      <c r="E13742" s="1">
        <v>80.200405</v>
      </c>
      <c r="F13742" s="1">
        <v>805.0</v>
      </c>
      <c r="G13742" s="1">
        <v>49.0</v>
      </c>
    </row>
    <row r="13743">
      <c r="A13743" s="1" t="s">
        <v>7</v>
      </c>
      <c r="B13743" s="2">
        <v>44781.0</v>
      </c>
      <c r="C13743" s="3">
        <v>0.3309837962962963</v>
      </c>
      <c r="D13743" s="1">
        <v>12.731483</v>
      </c>
      <c r="E13743" s="1">
        <v>79.982805</v>
      </c>
      <c r="F13743" s="1">
        <v>2846.0</v>
      </c>
      <c r="G13743" s="1">
        <v>50.0</v>
      </c>
    </row>
    <row r="13744">
      <c r="A13744" s="1" t="s">
        <v>9</v>
      </c>
      <c r="B13744" s="2">
        <v>44781.0</v>
      </c>
      <c r="C13744" s="3">
        <v>0.3310532407407407</v>
      </c>
      <c r="D13744" s="1">
        <v>12.738446</v>
      </c>
      <c r="E13744" s="1">
        <v>79.988514</v>
      </c>
      <c r="F13744" s="1">
        <v>2846.0</v>
      </c>
      <c r="G13744" s="1">
        <v>52.0</v>
      </c>
    </row>
    <row r="13745">
      <c r="A13745" s="1" t="s">
        <v>8</v>
      </c>
      <c r="B13745" s="2">
        <v>44781.0</v>
      </c>
      <c r="C13745" s="3">
        <v>0.3315046296296296</v>
      </c>
      <c r="D13745" s="1">
        <v>13.001743</v>
      </c>
      <c r="E13745" s="1">
        <v>80.19653</v>
      </c>
      <c r="F13745" s="1">
        <v>805.0</v>
      </c>
      <c r="G13745" s="1">
        <v>0.0</v>
      </c>
    </row>
    <row r="13746">
      <c r="A13746" s="1" t="s">
        <v>10</v>
      </c>
      <c r="B13746" s="2">
        <v>44781.0</v>
      </c>
      <c r="C13746" s="3">
        <v>0.33155092592592594</v>
      </c>
      <c r="D13746" s="1">
        <v>12.971318</v>
      </c>
      <c r="E13746" s="1">
        <v>80.146332</v>
      </c>
      <c r="F13746" s="1">
        <v>3143.0</v>
      </c>
      <c r="G13746" s="1">
        <v>6.0</v>
      </c>
    </row>
    <row r="13747">
      <c r="A13747" s="1" t="s">
        <v>10</v>
      </c>
      <c r="B13747" s="2">
        <v>44781.0</v>
      </c>
      <c r="C13747" s="3">
        <v>0.33162037037037034</v>
      </c>
      <c r="D13747" s="1">
        <v>12.971163</v>
      </c>
      <c r="E13747" s="1">
        <v>80.146438</v>
      </c>
      <c r="F13747" s="1">
        <v>3143.0</v>
      </c>
      <c r="G13747" s="1">
        <v>10.0</v>
      </c>
    </row>
    <row r="13748">
      <c r="A13748" s="1" t="s">
        <v>8</v>
      </c>
      <c r="B13748" s="2">
        <v>44781.0</v>
      </c>
      <c r="C13748" s="3">
        <v>0.3318402777777778</v>
      </c>
      <c r="D13748" s="1">
        <v>13.001322</v>
      </c>
      <c r="E13748" s="1">
        <v>80.195958</v>
      </c>
      <c r="F13748" s="1">
        <v>805.0</v>
      </c>
      <c r="G13748" s="1">
        <v>30.0</v>
      </c>
    </row>
    <row r="13749">
      <c r="A13749" s="1" t="s">
        <v>10</v>
      </c>
      <c r="B13749" s="2">
        <v>44781.0</v>
      </c>
      <c r="C13749" s="3">
        <v>0.33211805555555557</v>
      </c>
      <c r="D13749" s="1">
        <v>12.970671</v>
      </c>
      <c r="E13749" s="1">
        <v>80.147257</v>
      </c>
      <c r="F13749" s="1">
        <v>3143.0</v>
      </c>
      <c r="G13749" s="1">
        <v>10.0</v>
      </c>
    </row>
    <row r="13750">
      <c r="A13750" s="1" t="s">
        <v>8</v>
      </c>
      <c r="B13750" s="2">
        <v>44781.0</v>
      </c>
      <c r="C13750" s="3">
        <v>0.3322222222222222</v>
      </c>
      <c r="D13750" s="1">
        <v>12.999351</v>
      </c>
      <c r="E13750" s="1">
        <v>80.19337</v>
      </c>
      <c r="F13750" s="1">
        <v>805.0</v>
      </c>
      <c r="G13750" s="1">
        <v>39.0</v>
      </c>
    </row>
    <row r="13751">
      <c r="A13751" s="1" t="s">
        <v>8</v>
      </c>
      <c r="B13751" s="2">
        <v>44781.0</v>
      </c>
      <c r="C13751" s="3">
        <v>0.3322453703703704</v>
      </c>
      <c r="D13751" s="1">
        <v>12.999351</v>
      </c>
      <c r="E13751" s="1">
        <v>80.19337</v>
      </c>
      <c r="F13751" s="1">
        <v>805.0</v>
      </c>
      <c r="G13751" s="1">
        <v>39.0</v>
      </c>
    </row>
    <row r="13752">
      <c r="A13752" s="1" t="s">
        <v>8</v>
      </c>
      <c r="B13752" s="2">
        <v>44781.0</v>
      </c>
      <c r="C13752" s="3">
        <v>0.3322453703703704</v>
      </c>
      <c r="D13752" s="1">
        <v>12.999351</v>
      </c>
      <c r="E13752" s="1">
        <v>80.19337</v>
      </c>
      <c r="F13752" s="1">
        <v>805.0</v>
      </c>
      <c r="G13752" s="1">
        <v>39.0</v>
      </c>
    </row>
    <row r="13753">
      <c r="A13753" s="1" t="s">
        <v>8</v>
      </c>
      <c r="B13753" s="2">
        <v>44781.0</v>
      </c>
      <c r="C13753" s="3">
        <v>0.33244212962962966</v>
      </c>
      <c r="D13753" s="1">
        <v>12.972714</v>
      </c>
      <c r="E13753" s="1">
        <v>80.152277</v>
      </c>
      <c r="F13753" s="1">
        <v>5339.0</v>
      </c>
      <c r="G13753" s="1">
        <v>42.0</v>
      </c>
    </row>
    <row r="13754">
      <c r="A13754" s="1" t="s">
        <v>8</v>
      </c>
      <c r="B13754" s="2">
        <v>44781.0</v>
      </c>
      <c r="C13754" s="3">
        <v>0.33247685185185183</v>
      </c>
      <c r="D13754" s="1">
        <v>12.997283</v>
      </c>
      <c r="E13754" s="1">
        <v>80.190773</v>
      </c>
      <c r="F13754" s="1">
        <v>805.0</v>
      </c>
      <c r="G13754" s="1">
        <v>43.0</v>
      </c>
    </row>
    <row r="13755">
      <c r="A13755" s="1" t="s">
        <v>8</v>
      </c>
      <c r="B13755" s="2">
        <v>44781.0</v>
      </c>
      <c r="C13755" s="3">
        <v>0.33261574074074074</v>
      </c>
      <c r="D13755" s="1">
        <v>12.997283</v>
      </c>
      <c r="E13755" s="1">
        <v>80.190773</v>
      </c>
      <c r="F13755" s="1">
        <v>805.0</v>
      </c>
      <c r="G13755" s="1">
        <v>43.0</v>
      </c>
    </row>
    <row r="13756">
      <c r="A13756" s="1" t="s">
        <v>8</v>
      </c>
      <c r="B13756" s="2">
        <v>44781.0</v>
      </c>
      <c r="C13756" s="3">
        <v>0.3326851851851852</v>
      </c>
      <c r="D13756" s="1">
        <v>12.99638</v>
      </c>
      <c r="E13756" s="1">
        <v>80.189798</v>
      </c>
      <c r="F13756" s="1">
        <v>805.0</v>
      </c>
      <c r="G13756" s="1">
        <v>34.0</v>
      </c>
    </row>
    <row r="13757">
      <c r="A13757" s="1" t="s">
        <v>8</v>
      </c>
      <c r="B13757" s="2">
        <v>44781.0</v>
      </c>
      <c r="C13757" s="3">
        <v>0.3327777777777778</v>
      </c>
      <c r="D13757" s="1">
        <v>12.99638</v>
      </c>
      <c r="E13757" s="1">
        <v>80.189798</v>
      </c>
      <c r="F13757" s="1">
        <v>805.0</v>
      </c>
      <c r="G13757" s="1">
        <v>34.0</v>
      </c>
    </row>
    <row r="13758">
      <c r="A13758" s="1" t="s">
        <v>8</v>
      </c>
      <c r="B13758" s="2">
        <v>44781.0</v>
      </c>
      <c r="C13758" s="3">
        <v>0.3328125</v>
      </c>
      <c r="D13758" s="1">
        <v>12.99638</v>
      </c>
      <c r="E13758" s="1">
        <v>80.189798</v>
      </c>
      <c r="F13758" s="1">
        <v>805.0</v>
      </c>
      <c r="G13758" s="1">
        <v>34.0</v>
      </c>
    </row>
    <row r="13759">
      <c r="A13759" s="1" t="s">
        <v>8</v>
      </c>
      <c r="B13759" s="2">
        <v>44781.0</v>
      </c>
      <c r="C13759" s="3">
        <v>0.33283564814814814</v>
      </c>
      <c r="D13759" s="1">
        <v>12.99638</v>
      </c>
      <c r="E13759" s="1">
        <v>80.189798</v>
      </c>
      <c r="F13759" s="1">
        <v>805.0</v>
      </c>
      <c r="G13759" s="1">
        <v>34.0</v>
      </c>
    </row>
    <row r="13760">
      <c r="A13760" s="1" t="s">
        <v>7</v>
      </c>
      <c r="B13760" s="2">
        <v>44781.0</v>
      </c>
      <c r="C13760" s="3">
        <v>0.33341435185185186</v>
      </c>
      <c r="D13760" s="1">
        <v>12.751195</v>
      </c>
      <c r="E13760" s="1">
        <v>79.998629</v>
      </c>
      <c r="F13760" s="1">
        <v>2846.0</v>
      </c>
      <c r="G13760" s="1">
        <v>58.0</v>
      </c>
    </row>
    <row r="13761">
      <c r="A13761" s="1" t="s">
        <v>7</v>
      </c>
      <c r="B13761" s="2">
        <v>44781.0</v>
      </c>
      <c r="C13761" s="3">
        <v>0.33349537037037036</v>
      </c>
      <c r="D13761" s="1">
        <v>12.751195</v>
      </c>
      <c r="E13761" s="1">
        <v>79.998629</v>
      </c>
      <c r="F13761" s="1">
        <v>2846.0</v>
      </c>
      <c r="G13761" s="1">
        <v>58.0</v>
      </c>
    </row>
    <row r="13762">
      <c r="A13762" s="1" t="s">
        <v>9</v>
      </c>
      <c r="B13762" s="2">
        <v>44781.0</v>
      </c>
      <c r="C13762" s="3">
        <v>0.33372685185185186</v>
      </c>
      <c r="D13762" s="1">
        <v>12.994204</v>
      </c>
      <c r="E13762" s="1">
        <v>80.18606</v>
      </c>
      <c r="F13762" s="1">
        <v>805.0</v>
      </c>
      <c r="G13762" s="1">
        <v>0.0</v>
      </c>
    </row>
    <row r="13763">
      <c r="A13763" s="1" t="s">
        <v>9</v>
      </c>
      <c r="B13763" s="2">
        <v>44781.0</v>
      </c>
      <c r="C13763" s="3">
        <v>0.33381944444444445</v>
      </c>
      <c r="D13763" s="1">
        <v>12.969415</v>
      </c>
      <c r="E13763" s="1">
        <v>80.150127</v>
      </c>
      <c r="F13763" s="1">
        <v>3143.0</v>
      </c>
      <c r="G13763" s="1">
        <v>42.0</v>
      </c>
    </row>
    <row r="13764">
      <c r="A13764" s="1" t="s">
        <v>8</v>
      </c>
      <c r="B13764" s="2">
        <v>44781.0</v>
      </c>
      <c r="C13764" s="3">
        <v>0.3339699074074074</v>
      </c>
      <c r="D13764" s="1">
        <v>12.993904</v>
      </c>
      <c r="E13764" s="1">
        <v>80.185469</v>
      </c>
      <c r="F13764" s="1">
        <v>805.0</v>
      </c>
      <c r="G13764" s="1">
        <v>27.0</v>
      </c>
    </row>
    <row r="13765">
      <c r="A13765" s="1" t="s">
        <v>8</v>
      </c>
      <c r="B13765" s="2">
        <v>44781.0</v>
      </c>
      <c r="C13765" s="3">
        <v>0.33435185185185184</v>
      </c>
      <c r="D13765" s="1">
        <v>12.966396</v>
      </c>
      <c r="E13765" s="1">
        <v>80.148754</v>
      </c>
      <c r="F13765" s="1">
        <v>3143.0</v>
      </c>
      <c r="G13765" s="1">
        <v>19.0</v>
      </c>
    </row>
    <row r="13766">
      <c r="A13766" s="1" t="s">
        <v>8</v>
      </c>
      <c r="B13766" s="2">
        <v>44781.0</v>
      </c>
      <c r="C13766" s="3">
        <v>0.3344560185185185</v>
      </c>
      <c r="D13766" s="1">
        <v>12.757155</v>
      </c>
      <c r="E13766" s="1">
        <v>80.002271</v>
      </c>
      <c r="F13766" s="1">
        <v>2846.0</v>
      </c>
      <c r="G13766" s="1">
        <v>58.0</v>
      </c>
    </row>
    <row r="13767">
      <c r="A13767" s="1" t="s">
        <v>7</v>
      </c>
      <c r="B13767" s="2">
        <v>44781.0</v>
      </c>
      <c r="C13767" s="3">
        <v>0.3346064814814815</v>
      </c>
      <c r="D13767" s="1">
        <v>12.963832</v>
      </c>
      <c r="E13767" s="1">
        <v>80.147352</v>
      </c>
      <c r="F13767" s="1">
        <v>3143.0</v>
      </c>
      <c r="G13767" s="1">
        <v>54.0</v>
      </c>
    </row>
    <row r="13768">
      <c r="A13768" s="1" t="s">
        <v>8</v>
      </c>
      <c r="B13768" s="2">
        <v>44781.0</v>
      </c>
      <c r="C13768" s="3">
        <v>0.33471064814814816</v>
      </c>
      <c r="D13768" s="1">
        <v>12.963832</v>
      </c>
      <c r="E13768" s="1">
        <v>80.147352</v>
      </c>
      <c r="F13768" s="1">
        <v>3143.0</v>
      </c>
      <c r="G13768" s="1">
        <v>54.0</v>
      </c>
    </row>
    <row r="13769">
      <c r="A13769" s="1" t="s">
        <v>8</v>
      </c>
      <c r="B13769" s="2">
        <v>44781.0</v>
      </c>
      <c r="C13769" s="3">
        <v>0.33471064814814816</v>
      </c>
      <c r="D13769" s="1">
        <v>12.761289</v>
      </c>
      <c r="E13769" s="1">
        <v>80.003466</v>
      </c>
      <c r="F13769" s="1">
        <v>2846.0</v>
      </c>
      <c r="G13769" s="1">
        <v>25.0</v>
      </c>
    </row>
    <row r="13770">
      <c r="A13770" s="1" t="s">
        <v>8</v>
      </c>
      <c r="B13770" s="2">
        <v>44781.0</v>
      </c>
      <c r="C13770" s="3">
        <v>0.3348263888888889</v>
      </c>
      <c r="D13770" s="1">
        <v>12.98984</v>
      </c>
      <c r="E13770" s="1">
        <v>80.179502</v>
      </c>
      <c r="F13770" s="1">
        <v>805.0</v>
      </c>
      <c r="G13770" s="1">
        <v>12.0</v>
      </c>
    </row>
    <row r="13771">
      <c r="A13771" s="1" t="s">
        <v>8</v>
      </c>
      <c r="B13771" s="2">
        <v>44781.0</v>
      </c>
      <c r="C13771" s="3">
        <v>0.33489583333333334</v>
      </c>
      <c r="D13771" s="1">
        <v>12.762548</v>
      </c>
      <c r="E13771" s="1">
        <v>80.003803</v>
      </c>
      <c r="F13771" s="1">
        <v>2846.0</v>
      </c>
      <c r="G13771" s="1">
        <v>13.0</v>
      </c>
    </row>
    <row r="13772">
      <c r="A13772" s="1" t="s">
        <v>8</v>
      </c>
      <c r="B13772" s="2">
        <v>44781.0</v>
      </c>
      <c r="C13772" s="3">
        <v>0.3349421296296296</v>
      </c>
      <c r="D13772" s="1">
        <v>12.961552</v>
      </c>
      <c r="E13772" s="1">
        <v>80.14609</v>
      </c>
      <c r="F13772" s="1">
        <v>3143.0</v>
      </c>
      <c r="G13772" s="1">
        <v>45.0</v>
      </c>
    </row>
    <row r="13773">
      <c r="A13773" s="1" t="s">
        <v>8</v>
      </c>
      <c r="B13773" s="2">
        <v>44781.0</v>
      </c>
      <c r="C13773" s="3">
        <v>0.3350462962962963</v>
      </c>
      <c r="D13773" s="1">
        <v>12.989825</v>
      </c>
      <c r="E13773" s="1">
        <v>80.179474</v>
      </c>
      <c r="F13773" s="1">
        <v>805.0</v>
      </c>
      <c r="G13773" s="1">
        <v>0.0</v>
      </c>
    </row>
    <row r="13774">
      <c r="A13774" s="1" t="s">
        <v>8</v>
      </c>
      <c r="B13774" s="2">
        <v>44781.0</v>
      </c>
      <c r="C13774" s="3">
        <v>0.33512731481481484</v>
      </c>
      <c r="D13774" s="1">
        <v>12.762548</v>
      </c>
      <c r="E13774" s="1">
        <v>80.003803</v>
      </c>
      <c r="F13774" s="1">
        <v>2846.0</v>
      </c>
      <c r="G13774" s="1">
        <v>13.0</v>
      </c>
    </row>
    <row r="13775">
      <c r="A13775" s="1" t="s">
        <v>8</v>
      </c>
      <c r="B13775" s="2">
        <v>44781.0</v>
      </c>
      <c r="C13775" s="3">
        <v>0.3351736111111111</v>
      </c>
      <c r="D13775" s="1">
        <v>12.959417</v>
      </c>
      <c r="E13775" s="1">
        <v>80.14492</v>
      </c>
      <c r="F13775" s="1">
        <v>3143.0</v>
      </c>
      <c r="G13775" s="1">
        <v>41.0</v>
      </c>
    </row>
    <row r="13776">
      <c r="A13776" s="1" t="s">
        <v>8</v>
      </c>
      <c r="B13776" s="2">
        <v>44781.0</v>
      </c>
      <c r="C13776" s="3">
        <v>0.3351736111111111</v>
      </c>
      <c r="D13776" s="1">
        <v>12.762548</v>
      </c>
      <c r="E13776" s="1">
        <v>80.003803</v>
      </c>
      <c r="F13776" s="1">
        <v>2846.0</v>
      </c>
      <c r="G13776" s="1">
        <v>13.0</v>
      </c>
    </row>
    <row r="13777">
      <c r="A13777" s="1" t="s">
        <v>8</v>
      </c>
      <c r="B13777" s="2">
        <v>44781.0</v>
      </c>
      <c r="C13777" s="3">
        <v>0.33524305555555556</v>
      </c>
      <c r="D13777" s="1">
        <v>12.958433</v>
      </c>
      <c r="E13777" s="1">
        <v>80.144406</v>
      </c>
      <c r="F13777" s="1">
        <v>3143.0</v>
      </c>
      <c r="G13777" s="1">
        <v>41.0</v>
      </c>
    </row>
    <row r="13778">
      <c r="A13778" s="1" t="s">
        <v>8</v>
      </c>
      <c r="B13778" s="2">
        <v>44781.0</v>
      </c>
      <c r="C13778" s="3">
        <v>0.3354861111111111</v>
      </c>
      <c r="D13778" s="1">
        <v>12.956899</v>
      </c>
      <c r="E13778" s="1">
        <v>80.143654</v>
      </c>
      <c r="F13778" s="1">
        <v>3143.0</v>
      </c>
      <c r="G13778" s="1">
        <v>30.0</v>
      </c>
    </row>
    <row r="13779">
      <c r="A13779" s="1" t="s">
        <v>8</v>
      </c>
      <c r="B13779" s="2">
        <v>44781.0</v>
      </c>
      <c r="C13779" s="3">
        <v>0.3355787037037037</v>
      </c>
      <c r="D13779" s="1">
        <v>12.956259</v>
      </c>
      <c r="E13779" s="1">
        <v>80.143334</v>
      </c>
      <c r="F13779" s="1">
        <v>3143.0</v>
      </c>
      <c r="G13779" s="1">
        <v>26.0</v>
      </c>
    </row>
    <row r="13780">
      <c r="A13780" s="1" t="s">
        <v>8</v>
      </c>
      <c r="B13780" s="2">
        <v>44781.0</v>
      </c>
      <c r="C13780" s="3">
        <v>0.3356712962962963</v>
      </c>
      <c r="D13780" s="1">
        <v>12.955574</v>
      </c>
      <c r="E13780" s="1">
        <v>80.14297</v>
      </c>
      <c r="F13780" s="1">
        <v>3143.0</v>
      </c>
      <c r="G13780" s="1">
        <v>30.0</v>
      </c>
    </row>
    <row r="13781">
      <c r="A13781" s="1" t="s">
        <v>7</v>
      </c>
      <c r="B13781" s="2">
        <v>44781.0</v>
      </c>
      <c r="C13781" s="3">
        <v>0.33574074074074073</v>
      </c>
      <c r="D13781" s="1">
        <v>12.768611</v>
      </c>
      <c r="E13781" s="1">
        <v>80.006418</v>
      </c>
      <c r="F13781" s="1">
        <v>2846.0</v>
      </c>
      <c r="G13781" s="1">
        <v>58.0</v>
      </c>
    </row>
    <row r="13782">
      <c r="A13782" s="1" t="s">
        <v>8</v>
      </c>
      <c r="B13782" s="2">
        <v>44781.0</v>
      </c>
      <c r="C13782" s="3">
        <v>0.3357523148148148</v>
      </c>
      <c r="D13782" s="1">
        <v>12.986804</v>
      </c>
      <c r="E13782" s="1">
        <v>80.175382</v>
      </c>
      <c r="F13782" s="1">
        <v>805.0</v>
      </c>
      <c r="G13782" s="1">
        <v>0.0</v>
      </c>
    </row>
    <row r="13783">
      <c r="A13783" s="1" t="s">
        <v>8</v>
      </c>
      <c r="B13783" s="2">
        <v>44781.0</v>
      </c>
      <c r="C13783" s="3">
        <v>0.3357523148148148</v>
      </c>
      <c r="D13783" s="1">
        <v>12.986804</v>
      </c>
      <c r="E13783" s="1">
        <v>80.175382</v>
      </c>
      <c r="F13783" s="1">
        <v>805.0</v>
      </c>
      <c r="G13783" s="1">
        <v>0.0</v>
      </c>
    </row>
    <row r="13784">
      <c r="A13784" s="1" t="s">
        <v>8</v>
      </c>
      <c r="B13784" s="2">
        <v>44781.0</v>
      </c>
      <c r="C13784" s="3">
        <v>0.33577546296296296</v>
      </c>
      <c r="D13784" s="1">
        <v>12.954896</v>
      </c>
      <c r="E13784" s="1">
        <v>80.142574</v>
      </c>
      <c r="F13784" s="1">
        <v>3143.0</v>
      </c>
      <c r="G13784" s="1">
        <v>25.0</v>
      </c>
    </row>
    <row r="13785">
      <c r="A13785" s="1" t="s">
        <v>8</v>
      </c>
      <c r="B13785" s="2">
        <v>44781.0</v>
      </c>
      <c r="C13785" s="3">
        <v>0.3358564814814815</v>
      </c>
      <c r="D13785" s="1">
        <v>12.954896</v>
      </c>
      <c r="E13785" s="1">
        <v>80.142574</v>
      </c>
      <c r="F13785" s="1">
        <v>3143.0</v>
      </c>
      <c r="G13785" s="1">
        <v>25.0</v>
      </c>
    </row>
    <row r="13786">
      <c r="A13786" s="1" t="s">
        <v>8</v>
      </c>
      <c r="B13786" s="2">
        <v>44781.0</v>
      </c>
      <c r="C13786" s="3">
        <v>0.3359375</v>
      </c>
      <c r="D13786" s="1">
        <v>12.954319</v>
      </c>
      <c r="E13786" s="1">
        <v>80.142242</v>
      </c>
      <c r="F13786" s="1">
        <v>3143.0</v>
      </c>
      <c r="G13786" s="1">
        <v>27.0</v>
      </c>
    </row>
    <row r="13787">
      <c r="A13787" s="1" t="s">
        <v>8</v>
      </c>
      <c r="B13787" s="2">
        <v>44781.0</v>
      </c>
      <c r="C13787" s="3">
        <v>0.33596064814814813</v>
      </c>
      <c r="D13787" s="1">
        <v>12.954319</v>
      </c>
      <c r="E13787" s="1">
        <v>80.142242</v>
      </c>
      <c r="F13787" s="1">
        <v>3143.0</v>
      </c>
      <c r="G13787" s="1">
        <v>27.0</v>
      </c>
    </row>
    <row r="13788">
      <c r="A13788" s="1" t="s">
        <v>8</v>
      </c>
      <c r="B13788" s="2">
        <v>44781.0</v>
      </c>
      <c r="C13788" s="3">
        <v>0.33600694444444446</v>
      </c>
      <c r="D13788" s="1">
        <v>12.953702</v>
      </c>
      <c r="E13788" s="1">
        <v>80.141916</v>
      </c>
      <c r="F13788" s="1">
        <v>3143.0</v>
      </c>
      <c r="G13788" s="1">
        <v>27.0</v>
      </c>
    </row>
    <row r="13789">
      <c r="A13789" s="1" t="s">
        <v>9</v>
      </c>
      <c r="B13789" s="2">
        <v>44781.0</v>
      </c>
      <c r="C13789" s="3">
        <v>0.33609953703703704</v>
      </c>
      <c r="D13789" s="1">
        <v>12.986633</v>
      </c>
      <c r="E13789" s="1">
        <v>80.17511</v>
      </c>
      <c r="F13789" s="1">
        <v>805.0</v>
      </c>
      <c r="G13789" s="1">
        <v>22.0</v>
      </c>
    </row>
    <row r="13790">
      <c r="A13790" s="1" t="s">
        <v>8</v>
      </c>
      <c r="B13790" s="2">
        <v>44781.0</v>
      </c>
      <c r="C13790" s="3">
        <v>0.3361689814814815</v>
      </c>
      <c r="D13790" s="1">
        <v>12.953111</v>
      </c>
      <c r="E13790" s="1">
        <v>80.141586</v>
      </c>
      <c r="F13790" s="1">
        <v>3143.0</v>
      </c>
      <c r="G13790" s="1">
        <v>20.0</v>
      </c>
    </row>
    <row r="13791">
      <c r="A13791" s="1" t="s">
        <v>8</v>
      </c>
      <c r="B13791" s="2">
        <v>44781.0</v>
      </c>
      <c r="C13791" s="3">
        <v>0.33619212962962963</v>
      </c>
      <c r="D13791" s="1">
        <v>12.953111</v>
      </c>
      <c r="E13791" s="1">
        <v>80.141586</v>
      </c>
      <c r="F13791" s="1">
        <v>3143.0</v>
      </c>
      <c r="G13791" s="1">
        <v>20.0</v>
      </c>
    </row>
    <row r="13792">
      <c r="A13792" s="1" t="s">
        <v>8</v>
      </c>
      <c r="B13792" s="2">
        <v>44781.0</v>
      </c>
      <c r="C13792" s="3">
        <v>0.3362037037037037</v>
      </c>
      <c r="D13792" s="1">
        <v>12.953111</v>
      </c>
      <c r="E13792" s="1">
        <v>80.141586</v>
      </c>
      <c r="F13792" s="1">
        <v>3143.0</v>
      </c>
      <c r="G13792" s="1">
        <v>20.0</v>
      </c>
    </row>
    <row r="13793">
      <c r="A13793" s="1" t="s">
        <v>8</v>
      </c>
      <c r="B13793" s="2">
        <v>44781.0</v>
      </c>
      <c r="C13793" s="3">
        <v>0.3362037037037037</v>
      </c>
      <c r="D13793" s="1">
        <v>12.953111</v>
      </c>
      <c r="E13793" s="1">
        <v>80.141586</v>
      </c>
      <c r="F13793" s="1">
        <v>3143.0</v>
      </c>
      <c r="G13793" s="1">
        <v>20.0</v>
      </c>
    </row>
    <row r="13794">
      <c r="A13794" s="1" t="s">
        <v>8</v>
      </c>
      <c r="B13794" s="2">
        <v>44781.0</v>
      </c>
      <c r="C13794" s="3">
        <v>0.33630787037037035</v>
      </c>
      <c r="D13794" s="1">
        <v>12.985856</v>
      </c>
      <c r="E13794" s="1">
        <v>80.173965</v>
      </c>
      <c r="F13794" s="1">
        <v>805.0</v>
      </c>
      <c r="G13794" s="1">
        <v>37.0</v>
      </c>
    </row>
    <row r="13795">
      <c r="A13795" s="1" t="s">
        <v>8</v>
      </c>
      <c r="B13795" s="2">
        <v>44781.0</v>
      </c>
      <c r="C13795" s="3">
        <v>0.3363425925925926</v>
      </c>
      <c r="D13795" s="1">
        <v>12.985856</v>
      </c>
      <c r="E13795" s="1">
        <v>80.173965</v>
      </c>
      <c r="F13795" s="1">
        <v>805.0</v>
      </c>
      <c r="G13795" s="1">
        <v>37.0</v>
      </c>
    </row>
    <row r="13796">
      <c r="A13796" s="1" t="s">
        <v>7</v>
      </c>
      <c r="B13796" s="2">
        <v>44781.0</v>
      </c>
      <c r="C13796" s="3">
        <v>0.3363888888888889</v>
      </c>
      <c r="D13796" s="1">
        <v>12.775097</v>
      </c>
      <c r="E13796" s="1">
        <v>80.009498</v>
      </c>
      <c r="F13796" s="1">
        <v>2846.0</v>
      </c>
      <c r="G13796" s="1">
        <v>58.0</v>
      </c>
    </row>
    <row r="13797">
      <c r="A13797" s="1" t="s">
        <v>8</v>
      </c>
      <c r="B13797" s="2">
        <v>44781.0</v>
      </c>
      <c r="C13797" s="3">
        <v>0.33640046296296294</v>
      </c>
      <c r="D13797" s="1">
        <v>12.985856</v>
      </c>
      <c r="E13797" s="1">
        <v>80.173965</v>
      </c>
      <c r="F13797" s="1">
        <v>805.0</v>
      </c>
      <c r="G13797" s="1">
        <v>37.0</v>
      </c>
    </row>
    <row r="13798">
      <c r="A13798" s="1" t="s">
        <v>7</v>
      </c>
      <c r="B13798" s="2">
        <v>44781.0</v>
      </c>
      <c r="C13798" s="3">
        <v>0.33653935185185185</v>
      </c>
      <c r="D13798" s="1">
        <v>12.984976</v>
      </c>
      <c r="E13798" s="1">
        <v>80.172657</v>
      </c>
      <c r="F13798" s="1">
        <v>805.0</v>
      </c>
      <c r="G13798" s="1">
        <v>42.0</v>
      </c>
    </row>
    <row r="13799">
      <c r="A13799" s="1" t="s">
        <v>8</v>
      </c>
      <c r="B13799" s="2">
        <v>44781.0</v>
      </c>
      <c r="C13799" s="3">
        <v>0.3365740740740741</v>
      </c>
      <c r="D13799" s="1">
        <v>12.949714</v>
      </c>
      <c r="E13799" s="1">
        <v>80.139076</v>
      </c>
      <c r="F13799" s="1">
        <v>5339.0</v>
      </c>
      <c r="G13799" s="1">
        <v>34.0</v>
      </c>
    </row>
    <row r="13800">
      <c r="A13800" s="1" t="s">
        <v>8</v>
      </c>
      <c r="B13800" s="2">
        <v>44781.0</v>
      </c>
      <c r="C13800" s="3">
        <v>0.33664351851851854</v>
      </c>
      <c r="D13800" s="1">
        <v>12.950658</v>
      </c>
      <c r="E13800" s="1">
        <v>80.139851</v>
      </c>
      <c r="F13800" s="1">
        <v>3143.0</v>
      </c>
      <c r="G13800" s="1">
        <v>34.0</v>
      </c>
    </row>
    <row r="13801">
      <c r="A13801" s="1" t="s">
        <v>7</v>
      </c>
      <c r="B13801" s="2">
        <v>44781.0</v>
      </c>
      <c r="C13801" s="3">
        <v>0.33667824074074076</v>
      </c>
      <c r="D13801" s="1">
        <v>12.984102</v>
      </c>
      <c r="E13801" s="1">
        <v>80.171236</v>
      </c>
      <c r="F13801" s="1">
        <v>805.0</v>
      </c>
      <c r="G13801" s="1">
        <v>47.0</v>
      </c>
    </row>
    <row r="13802">
      <c r="A13802" s="1" t="s">
        <v>8</v>
      </c>
      <c r="B13802" s="2">
        <v>44781.0</v>
      </c>
      <c r="C13802" s="3">
        <v>0.3367013888888889</v>
      </c>
      <c r="D13802" s="1">
        <v>12.949846</v>
      </c>
      <c r="E13802" s="1">
        <v>80.139195</v>
      </c>
      <c r="F13802" s="1">
        <v>3143.0</v>
      </c>
      <c r="G13802" s="1">
        <v>40.0</v>
      </c>
    </row>
    <row r="13803">
      <c r="A13803" s="1" t="s">
        <v>7</v>
      </c>
      <c r="B13803" s="2">
        <v>44781.0</v>
      </c>
      <c r="C13803" s="3">
        <v>0.3367824074074074</v>
      </c>
      <c r="D13803" s="1">
        <v>12.984102</v>
      </c>
      <c r="E13803" s="1">
        <v>80.171236</v>
      </c>
      <c r="F13803" s="1">
        <v>805.0</v>
      </c>
      <c r="G13803" s="1">
        <v>47.0</v>
      </c>
    </row>
    <row r="13804">
      <c r="A13804" s="1" t="s">
        <v>8</v>
      </c>
      <c r="B13804" s="2">
        <v>44781.0</v>
      </c>
      <c r="C13804" s="3">
        <v>0.33695601851851853</v>
      </c>
      <c r="D13804" s="1">
        <v>12.982968</v>
      </c>
      <c r="E13804" s="1">
        <v>80.16935</v>
      </c>
      <c r="F13804" s="1">
        <v>805.0</v>
      </c>
      <c r="G13804" s="1">
        <v>57.0</v>
      </c>
    </row>
    <row r="13805">
      <c r="A13805" s="1" t="s">
        <v>7</v>
      </c>
      <c r="B13805" s="2">
        <v>44781.0</v>
      </c>
      <c r="C13805" s="3">
        <v>0.33740740740740743</v>
      </c>
      <c r="D13805" s="1">
        <v>12.94636</v>
      </c>
      <c r="E13805" s="1">
        <v>80.13649</v>
      </c>
      <c r="F13805" s="1">
        <v>3143.0</v>
      </c>
      <c r="G13805" s="1">
        <v>48.0</v>
      </c>
    </row>
    <row r="13806">
      <c r="A13806" s="1" t="s">
        <v>8</v>
      </c>
      <c r="B13806" s="2">
        <v>44781.0</v>
      </c>
      <c r="C13806" s="3">
        <v>0.3376736111111111</v>
      </c>
      <c r="D13806" s="1">
        <v>12.944446</v>
      </c>
      <c r="E13806" s="1">
        <v>80.134973</v>
      </c>
      <c r="F13806" s="1">
        <v>3143.0</v>
      </c>
      <c r="G13806" s="1">
        <v>37.0</v>
      </c>
    </row>
    <row r="13807">
      <c r="A13807" s="1" t="s">
        <v>7</v>
      </c>
      <c r="B13807" s="2">
        <v>44781.0</v>
      </c>
      <c r="C13807" s="3">
        <v>0.3377199074074074</v>
      </c>
      <c r="D13807" s="1">
        <v>12.78814</v>
      </c>
      <c r="E13807" s="1">
        <v>80.015738</v>
      </c>
      <c r="F13807" s="1">
        <v>2846.0</v>
      </c>
      <c r="G13807" s="1">
        <v>58.0</v>
      </c>
    </row>
    <row r="13808">
      <c r="A13808" s="1" t="s">
        <v>8</v>
      </c>
      <c r="B13808" s="2">
        <v>44781.0</v>
      </c>
      <c r="C13808" s="3">
        <v>0.3377199074074074</v>
      </c>
      <c r="D13808" s="1">
        <v>12.944044</v>
      </c>
      <c r="E13808" s="1">
        <v>80.134675</v>
      </c>
      <c r="F13808" s="1">
        <v>5339.0</v>
      </c>
      <c r="G13808" s="1">
        <v>0.0</v>
      </c>
    </row>
    <row r="13809">
      <c r="A13809" s="1" t="s">
        <v>8</v>
      </c>
      <c r="B13809" s="2">
        <v>44781.0</v>
      </c>
      <c r="C13809" s="3">
        <v>0.33791666666666664</v>
      </c>
      <c r="D13809" s="1">
        <v>12.979914</v>
      </c>
      <c r="E13809" s="1">
        <v>80.163202</v>
      </c>
      <c r="F13809" s="1">
        <v>805.0</v>
      </c>
      <c r="G13809" s="1">
        <v>0.0</v>
      </c>
    </row>
    <row r="13810">
      <c r="A13810" s="1" t="s">
        <v>8</v>
      </c>
      <c r="B13810" s="2">
        <v>44781.0</v>
      </c>
      <c r="C13810" s="3">
        <v>0.3384259259259259</v>
      </c>
      <c r="D13810" s="1">
        <v>12.941822</v>
      </c>
      <c r="E13810" s="1">
        <v>80.132513</v>
      </c>
      <c r="F13810" s="1">
        <v>3143.0</v>
      </c>
      <c r="G13810" s="1">
        <v>34.0</v>
      </c>
    </row>
    <row r="13811">
      <c r="A13811" s="1" t="s">
        <v>8</v>
      </c>
      <c r="B13811" s="2">
        <v>44781.0</v>
      </c>
      <c r="C13811" s="3">
        <v>0.33850694444444446</v>
      </c>
      <c r="D13811" s="1">
        <v>12.941822</v>
      </c>
      <c r="E13811" s="1">
        <v>80.132513</v>
      </c>
      <c r="F13811" s="1">
        <v>3143.0</v>
      </c>
      <c r="G13811" s="1">
        <v>34.0</v>
      </c>
    </row>
    <row r="13812">
      <c r="A13812" s="1" t="s">
        <v>8</v>
      </c>
      <c r="B13812" s="2">
        <v>44781.0</v>
      </c>
      <c r="C13812" s="3">
        <v>0.3385648148148148</v>
      </c>
      <c r="D13812" s="1">
        <v>12.976836</v>
      </c>
      <c r="E13812" s="1">
        <v>80.158335</v>
      </c>
      <c r="F13812" s="1">
        <v>805.0</v>
      </c>
      <c r="G13812" s="1">
        <v>57.0</v>
      </c>
    </row>
    <row r="13813">
      <c r="A13813" s="1" t="s">
        <v>8</v>
      </c>
      <c r="B13813" s="2">
        <v>44781.0</v>
      </c>
      <c r="C13813" s="3">
        <v>0.3385763888888889</v>
      </c>
      <c r="D13813" s="1">
        <v>12.941178</v>
      </c>
      <c r="E13813" s="1">
        <v>80.131804</v>
      </c>
      <c r="F13813" s="1">
        <v>3143.0</v>
      </c>
      <c r="G13813" s="1">
        <v>38.0</v>
      </c>
    </row>
    <row r="13814">
      <c r="A13814" s="1" t="s">
        <v>8</v>
      </c>
      <c r="B13814" s="2">
        <v>44781.0</v>
      </c>
      <c r="C13814" s="3">
        <v>0.3386689814814815</v>
      </c>
      <c r="D13814" s="1">
        <v>12.94113</v>
      </c>
      <c r="E13814" s="1">
        <v>80.131794</v>
      </c>
      <c r="F13814" s="1">
        <v>5339.0</v>
      </c>
      <c r="G13814" s="1">
        <v>42.0</v>
      </c>
    </row>
    <row r="13815">
      <c r="A13815" s="1" t="s">
        <v>8</v>
      </c>
      <c r="B13815" s="2">
        <v>44781.0</v>
      </c>
      <c r="C13815" s="3">
        <v>0.3387615740740741</v>
      </c>
      <c r="D13815" s="1">
        <v>12.940398</v>
      </c>
      <c r="E13815" s="1">
        <v>80.13104</v>
      </c>
      <c r="F13815" s="1">
        <v>5339.0</v>
      </c>
      <c r="G13815" s="1">
        <v>38.0</v>
      </c>
    </row>
    <row r="13816">
      <c r="A13816" s="1" t="s">
        <v>7</v>
      </c>
      <c r="B13816" s="2">
        <v>44781.0</v>
      </c>
      <c r="C13816" s="3">
        <v>0.3388425925925926</v>
      </c>
      <c r="D13816" s="1">
        <v>12.975535</v>
      </c>
      <c r="E13816" s="1">
        <v>80.156366</v>
      </c>
      <c r="F13816" s="1">
        <v>805.0</v>
      </c>
      <c r="G13816" s="1">
        <v>57.0</v>
      </c>
    </row>
    <row r="13817">
      <c r="A13817" s="1" t="s">
        <v>8</v>
      </c>
      <c r="B13817" s="2">
        <v>44781.0</v>
      </c>
      <c r="C13817" s="3">
        <v>0.3388773148148148</v>
      </c>
      <c r="D13817" s="1">
        <v>12.939756</v>
      </c>
      <c r="E13817" s="1">
        <v>80.13041</v>
      </c>
      <c r="F13817" s="1">
        <v>5339.0</v>
      </c>
      <c r="G13817" s="1">
        <v>37.0</v>
      </c>
    </row>
    <row r="13818">
      <c r="A13818" s="1" t="s">
        <v>8</v>
      </c>
      <c r="B13818" s="2">
        <v>44781.0</v>
      </c>
      <c r="C13818" s="3">
        <v>0.33891203703703704</v>
      </c>
      <c r="D13818" s="1">
        <v>12.974346</v>
      </c>
      <c r="E13818" s="1">
        <v>80.154731</v>
      </c>
      <c r="F13818" s="1">
        <v>805.0</v>
      </c>
      <c r="G13818" s="1">
        <v>46.0</v>
      </c>
    </row>
    <row r="13819">
      <c r="A13819" s="1" t="s">
        <v>8</v>
      </c>
      <c r="B13819" s="2">
        <v>44781.0</v>
      </c>
      <c r="C13819" s="3">
        <v>0.33894675925925927</v>
      </c>
      <c r="D13819" s="1">
        <v>12.802313</v>
      </c>
      <c r="E13819" s="1">
        <v>80.024866</v>
      </c>
      <c r="F13819" s="1">
        <v>2846.0</v>
      </c>
      <c r="G13819" s="1">
        <v>58.0</v>
      </c>
    </row>
    <row r="13820">
      <c r="A13820" s="1" t="s">
        <v>9</v>
      </c>
      <c r="B13820" s="2">
        <v>44781.0</v>
      </c>
      <c r="C13820" s="3">
        <v>0.3390856481481481</v>
      </c>
      <c r="D13820" s="1">
        <v>12.938207</v>
      </c>
      <c r="E13820" s="1">
        <v>80.129036</v>
      </c>
      <c r="F13820" s="1">
        <v>5339.0</v>
      </c>
      <c r="G13820" s="1">
        <v>42.0</v>
      </c>
    </row>
    <row r="13821">
      <c r="A13821" s="1" t="s">
        <v>8</v>
      </c>
      <c r="B13821" s="2">
        <v>44781.0</v>
      </c>
      <c r="C13821" s="3">
        <v>0.33925925925925926</v>
      </c>
      <c r="D13821" s="1">
        <v>12.971707</v>
      </c>
      <c r="E13821" s="1">
        <v>80.151218</v>
      </c>
      <c r="F13821" s="1">
        <v>805.0</v>
      </c>
      <c r="G13821" s="1">
        <v>45.0</v>
      </c>
    </row>
    <row r="13822">
      <c r="A13822" s="1" t="s">
        <v>8</v>
      </c>
      <c r="B13822" s="2">
        <v>44781.0</v>
      </c>
      <c r="C13822" s="3">
        <v>0.3393171296296296</v>
      </c>
      <c r="D13822" s="1">
        <v>12.971707</v>
      </c>
      <c r="E13822" s="1">
        <v>80.151218</v>
      </c>
      <c r="F13822" s="1">
        <v>805.0</v>
      </c>
      <c r="G13822" s="1">
        <v>45.0</v>
      </c>
    </row>
    <row r="13823">
      <c r="A13823" s="1" t="s">
        <v>8</v>
      </c>
      <c r="B13823" s="2">
        <v>44781.0</v>
      </c>
      <c r="C13823" s="3">
        <v>0.33949074074074076</v>
      </c>
      <c r="D13823" s="1">
        <v>12.935604</v>
      </c>
      <c r="E13823" s="1">
        <v>80.126757</v>
      </c>
      <c r="F13823" s="1">
        <v>3143.0</v>
      </c>
      <c r="G13823" s="1">
        <v>46.0</v>
      </c>
    </row>
    <row r="13824">
      <c r="A13824" s="1" t="s">
        <v>8</v>
      </c>
      <c r="B13824" s="2">
        <v>44781.0</v>
      </c>
      <c r="C13824" s="3">
        <v>0.3395138888888889</v>
      </c>
      <c r="D13824" s="1">
        <v>12.936608</v>
      </c>
      <c r="E13824" s="1">
        <v>80.127674</v>
      </c>
      <c r="F13824" s="1">
        <v>5339.0</v>
      </c>
      <c r="G13824" s="1">
        <v>30.0</v>
      </c>
    </row>
    <row r="13825">
      <c r="A13825" s="1" t="s">
        <v>7</v>
      </c>
      <c r="B13825" s="2">
        <v>44781.0</v>
      </c>
      <c r="C13825" s="3">
        <v>0.33967592592592594</v>
      </c>
      <c r="D13825" s="1">
        <v>12.935202</v>
      </c>
      <c r="E13825" s="1">
        <v>80.12642</v>
      </c>
      <c r="F13825" s="1">
        <v>5339.0</v>
      </c>
      <c r="G13825" s="1">
        <v>50.0</v>
      </c>
    </row>
    <row r="13826">
      <c r="A13826" s="1" t="s">
        <v>8</v>
      </c>
      <c r="B13826" s="2">
        <v>44781.0</v>
      </c>
      <c r="C13826" s="3">
        <v>0.3396875</v>
      </c>
      <c r="D13826" s="1">
        <v>12.934625</v>
      </c>
      <c r="E13826" s="1">
        <v>80.125866</v>
      </c>
      <c r="F13826" s="1">
        <v>3143.0</v>
      </c>
      <c r="G13826" s="1">
        <v>54.0</v>
      </c>
    </row>
    <row r="13827">
      <c r="A13827" s="1" t="s">
        <v>8</v>
      </c>
      <c r="B13827" s="2">
        <v>44781.0</v>
      </c>
      <c r="C13827" s="3">
        <v>0.3397800925925926</v>
      </c>
      <c r="D13827" s="1">
        <v>12.968421</v>
      </c>
      <c r="E13827" s="1">
        <v>80.149665</v>
      </c>
      <c r="F13827" s="1">
        <v>805.0</v>
      </c>
      <c r="G13827" s="1">
        <v>37.0</v>
      </c>
    </row>
    <row r="13828">
      <c r="A13828" s="1" t="s">
        <v>8</v>
      </c>
      <c r="B13828" s="2">
        <v>44781.0</v>
      </c>
      <c r="C13828" s="3">
        <v>0.33980324074074075</v>
      </c>
      <c r="D13828" s="1">
        <v>12.933745</v>
      </c>
      <c r="E13828" s="1">
        <v>80.125029</v>
      </c>
      <c r="F13828" s="1">
        <v>3143.0</v>
      </c>
      <c r="G13828" s="1">
        <v>41.0</v>
      </c>
    </row>
    <row r="13829">
      <c r="A13829" s="1" t="s">
        <v>8</v>
      </c>
      <c r="B13829" s="2">
        <v>44781.0</v>
      </c>
      <c r="C13829" s="3">
        <v>0.3398726851851852</v>
      </c>
      <c r="D13829" s="1">
        <v>12.93299</v>
      </c>
      <c r="E13829" s="1">
        <v>80.124265</v>
      </c>
      <c r="F13829" s="1">
        <v>3143.0</v>
      </c>
      <c r="G13829" s="1">
        <v>39.0</v>
      </c>
    </row>
    <row r="13830">
      <c r="A13830" s="1" t="s">
        <v>8</v>
      </c>
      <c r="B13830" s="2">
        <v>44781.0</v>
      </c>
      <c r="C13830" s="3">
        <v>0.3398726851851852</v>
      </c>
      <c r="D13830" s="1">
        <v>12.968421</v>
      </c>
      <c r="E13830" s="1">
        <v>80.149665</v>
      </c>
      <c r="F13830" s="1">
        <v>805.0</v>
      </c>
      <c r="G13830" s="1">
        <v>37.0</v>
      </c>
    </row>
    <row r="13831">
      <c r="A13831" s="1" t="s">
        <v>8</v>
      </c>
      <c r="B13831" s="2">
        <v>44781.0</v>
      </c>
      <c r="C13831" s="3">
        <v>0.3399074074074074</v>
      </c>
      <c r="D13831" s="1">
        <v>12.93299</v>
      </c>
      <c r="E13831" s="1">
        <v>80.124265</v>
      </c>
      <c r="F13831" s="1">
        <v>3143.0</v>
      </c>
      <c r="G13831" s="1">
        <v>39.0</v>
      </c>
    </row>
    <row r="13832">
      <c r="A13832" s="1" t="s">
        <v>8</v>
      </c>
      <c r="B13832" s="2">
        <v>44781.0</v>
      </c>
      <c r="C13832" s="3">
        <v>0.34001157407407406</v>
      </c>
      <c r="D13832" s="1">
        <v>12.932452</v>
      </c>
      <c r="E13832" s="1">
        <v>80.123752</v>
      </c>
      <c r="F13832" s="1">
        <v>5339.0</v>
      </c>
      <c r="G13832" s="1">
        <v>44.0</v>
      </c>
    </row>
    <row r="13833">
      <c r="A13833" s="1" t="s">
        <v>8</v>
      </c>
      <c r="B13833" s="2">
        <v>44781.0</v>
      </c>
      <c r="C13833" s="3">
        <v>0.34002314814814816</v>
      </c>
      <c r="D13833" s="1">
        <v>12.965876</v>
      </c>
      <c r="E13833" s="1">
        <v>80.148516</v>
      </c>
      <c r="F13833" s="1">
        <v>805.0</v>
      </c>
      <c r="G13833" s="1">
        <v>38.0</v>
      </c>
    </row>
    <row r="13834">
      <c r="A13834" s="1" t="s">
        <v>7</v>
      </c>
      <c r="B13834" s="2">
        <v>44781.0</v>
      </c>
      <c r="C13834" s="3">
        <v>0.3400925925925926</v>
      </c>
      <c r="D13834" s="1">
        <v>12.812485</v>
      </c>
      <c r="E13834" s="1">
        <v>80.031431</v>
      </c>
      <c r="F13834" s="1">
        <v>2846.0</v>
      </c>
      <c r="G13834" s="1">
        <v>57.0</v>
      </c>
    </row>
    <row r="13835">
      <c r="A13835" s="1" t="s">
        <v>8</v>
      </c>
      <c r="B13835" s="2">
        <v>44781.0</v>
      </c>
      <c r="C13835" s="3">
        <v>0.34011574074074075</v>
      </c>
      <c r="D13835" s="1">
        <v>12.965876</v>
      </c>
      <c r="E13835" s="1">
        <v>80.148516</v>
      </c>
      <c r="F13835" s="1">
        <v>805.0</v>
      </c>
      <c r="G13835" s="1">
        <v>38.0</v>
      </c>
    </row>
    <row r="13836">
      <c r="A13836" s="1" t="s">
        <v>8</v>
      </c>
      <c r="B13836" s="2">
        <v>44781.0</v>
      </c>
      <c r="C13836" s="3">
        <v>0.34055555555555556</v>
      </c>
      <c r="D13836" s="1">
        <v>12.931302</v>
      </c>
      <c r="E13836" s="1">
        <v>80.122572</v>
      </c>
      <c r="F13836" s="1">
        <v>3143.0</v>
      </c>
      <c r="G13836" s="1">
        <v>30.0</v>
      </c>
    </row>
    <row r="13837">
      <c r="A13837" s="1" t="s">
        <v>7</v>
      </c>
      <c r="B13837" s="2">
        <v>44781.0</v>
      </c>
      <c r="C13837" s="3">
        <v>0.34078703703703705</v>
      </c>
      <c r="D13837" s="1">
        <v>12.930725</v>
      </c>
      <c r="E13837" s="1">
        <v>80.122025</v>
      </c>
      <c r="F13837" s="1">
        <v>5339.0</v>
      </c>
      <c r="G13837" s="1">
        <v>38.0</v>
      </c>
    </row>
    <row r="13838">
      <c r="A13838" s="1" t="s">
        <v>7</v>
      </c>
      <c r="B13838" s="2">
        <v>44781.0</v>
      </c>
      <c r="C13838" s="3">
        <v>0.34086805555555555</v>
      </c>
      <c r="D13838" s="1">
        <v>12.822365</v>
      </c>
      <c r="E13838" s="1">
        <v>80.038289</v>
      </c>
      <c r="F13838" s="1">
        <v>2846.0</v>
      </c>
      <c r="G13838" s="1">
        <v>58.0</v>
      </c>
    </row>
    <row r="13839">
      <c r="A13839" s="1" t="s">
        <v>7</v>
      </c>
      <c r="B13839" s="2">
        <v>44781.0</v>
      </c>
      <c r="C13839" s="3">
        <v>0.3411342592592593</v>
      </c>
      <c r="D13839" s="1">
        <v>12.961081</v>
      </c>
      <c r="E13839" s="1">
        <v>80.14585</v>
      </c>
      <c r="F13839" s="1">
        <v>805.0</v>
      </c>
      <c r="G13839" s="1">
        <v>28.0</v>
      </c>
    </row>
    <row r="13840">
      <c r="A13840" s="1" t="s">
        <v>7</v>
      </c>
      <c r="B13840" s="2">
        <v>44781.0</v>
      </c>
      <c r="C13840" s="3">
        <v>0.34121527777777777</v>
      </c>
      <c r="D13840" s="1">
        <v>12.824405</v>
      </c>
      <c r="E13840" s="1">
        <v>80.039734</v>
      </c>
      <c r="F13840" s="1">
        <v>2846.0</v>
      </c>
      <c r="G13840" s="1">
        <v>57.0</v>
      </c>
    </row>
    <row r="13841">
      <c r="A13841" s="1" t="s">
        <v>8</v>
      </c>
      <c r="B13841" s="2">
        <v>44781.0</v>
      </c>
      <c r="C13841" s="3">
        <v>0.34130787037037036</v>
      </c>
      <c r="D13841" s="1">
        <v>12.824405</v>
      </c>
      <c r="E13841" s="1">
        <v>80.039734</v>
      </c>
      <c r="F13841" s="1">
        <v>2846.0</v>
      </c>
      <c r="G13841" s="1">
        <v>57.0</v>
      </c>
    </row>
    <row r="13842">
      <c r="A13842" s="1" t="s">
        <v>8</v>
      </c>
      <c r="B13842" s="2">
        <v>44781.0</v>
      </c>
      <c r="C13842" s="3">
        <v>0.34150462962962963</v>
      </c>
      <c r="D13842" s="1">
        <v>12.95758</v>
      </c>
      <c r="E13842" s="1">
        <v>80.143989</v>
      </c>
      <c r="F13842" s="1">
        <v>805.0</v>
      </c>
      <c r="G13842" s="1">
        <v>58.0</v>
      </c>
    </row>
    <row r="13843">
      <c r="A13843" s="1" t="s">
        <v>8</v>
      </c>
      <c r="B13843" s="2">
        <v>44781.0</v>
      </c>
      <c r="C13843" s="3">
        <v>0.34152777777777776</v>
      </c>
      <c r="D13843" s="1">
        <v>12.955648</v>
      </c>
      <c r="E13843" s="1">
        <v>80.142961</v>
      </c>
      <c r="F13843" s="1">
        <v>805.0</v>
      </c>
      <c r="G13843" s="1">
        <v>46.0</v>
      </c>
    </row>
    <row r="13844">
      <c r="A13844" s="1" t="s">
        <v>8</v>
      </c>
      <c r="B13844" s="2">
        <v>44781.0</v>
      </c>
      <c r="C13844" s="3">
        <v>0.3420949074074074</v>
      </c>
      <c r="D13844" s="1">
        <v>12.952934</v>
      </c>
      <c r="E13844" s="1">
        <v>80.141473</v>
      </c>
      <c r="F13844" s="1">
        <v>805.0</v>
      </c>
      <c r="G13844" s="1">
        <v>20.0</v>
      </c>
    </row>
    <row r="13845">
      <c r="A13845" s="1" t="s">
        <v>8</v>
      </c>
      <c r="B13845" s="2">
        <v>44781.0</v>
      </c>
      <c r="C13845" s="3">
        <v>0.3421064814814815</v>
      </c>
      <c r="D13845" s="1">
        <v>12.952934</v>
      </c>
      <c r="E13845" s="1">
        <v>80.141473</v>
      </c>
      <c r="F13845" s="1">
        <v>805.0</v>
      </c>
      <c r="G13845" s="1">
        <v>20.0</v>
      </c>
    </row>
    <row r="13846">
      <c r="A13846" s="1" t="s">
        <v>8</v>
      </c>
      <c r="B13846" s="2">
        <v>44781.0</v>
      </c>
      <c r="C13846" s="3">
        <v>0.34221064814814817</v>
      </c>
      <c r="D13846" s="1">
        <v>12.952934</v>
      </c>
      <c r="E13846" s="1">
        <v>80.141473</v>
      </c>
      <c r="F13846" s="1">
        <v>805.0</v>
      </c>
      <c r="G13846" s="1">
        <v>20.0</v>
      </c>
    </row>
    <row r="13847">
      <c r="A13847" s="1" t="s">
        <v>8</v>
      </c>
      <c r="B13847" s="2">
        <v>44781.0</v>
      </c>
      <c r="C13847" s="3">
        <v>0.3422453703703704</v>
      </c>
      <c r="D13847" s="1">
        <v>12.952934</v>
      </c>
      <c r="E13847" s="1">
        <v>80.141473</v>
      </c>
      <c r="F13847" s="1">
        <v>805.0</v>
      </c>
      <c r="G13847" s="1">
        <v>20.0</v>
      </c>
    </row>
    <row r="13848">
      <c r="A13848" s="1" t="s">
        <v>8</v>
      </c>
      <c r="B13848" s="2">
        <v>44781.0</v>
      </c>
      <c r="C13848" s="3">
        <v>0.3423611111111111</v>
      </c>
      <c r="D13848" s="1">
        <v>12.925518</v>
      </c>
      <c r="E13848" s="1">
        <v>80.116736</v>
      </c>
      <c r="F13848" s="1">
        <v>5339.0</v>
      </c>
      <c r="G13848" s="1">
        <v>42.0</v>
      </c>
    </row>
    <row r="13849">
      <c r="A13849" s="1" t="s">
        <v>8</v>
      </c>
      <c r="B13849" s="2">
        <v>44781.0</v>
      </c>
      <c r="C13849" s="3">
        <v>0.3424189814814815</v>
      </c>
      <c r="D13849" s="1">
        <v>12.924811</v>
      </c>
      <c r="E13849" s="1">
        <v>80.116011</v>
      </c>
      <c r="F13849" s="1">
        <v>5339.0</v>
      </c>
      <c r="G13849" s="1">
        <v>40.0</v>
      </c>
    </row>
    <row r="13850">
      <c r="A13850" s="1" t="s">
        <v>7</v>
      </c>
      <c r="B13850" s="2">
        <v>44781.0</v>
      </c>
      <c r="C13850" s="3">
        <v>0.3425925925925926</v>
      </c>
      <c r="D13850" s="1">
        <v>12.835471</v>
      </c>
      <c r="E13850" s="1">
        <v>80.050726</v>
      </c>
      <c r="F13850" s="1">
        <v>2846.0</v>
      </c>
      <c r="G13850" s="1">
        <v>58.0</v>
      </c>
    </row>
    <row r="13851">
      <c r="A13851" s="1" t="s">
        <v>7</v>
      </c>
      <c r="B13851" s="2">
        <v>44781.0</v>
      </c>
      <c r="C13851" s="3">
        <v>0.34292824074074074</v>
      </c>
      <c r="D13851" s="1">
        <v>12.948706</v>
      </c>
      <c r="E13851" s="1">
        <v>80.13818</v>
      </c>
      <c r="F13851" s="1">
        <v>805.0</v>
      </c>
      <c r="G13851" s="1">
        <v>55.0</v>
      </c>
    </row>
    <row r="13852">
      <c r="A13852" s="1" t="s">
        <v>8</v>
      </c>
      <c r="B13852" s="2">
        <v>44781.0</v>
      </c>
      <c r="C13852" s="3">
        <v>0.34306712962962965</v>
      </c>
      <c r="D13852" s="1">
        <v>12.946831</v>
      </c>
      <c r="E13852" s="1">
        <v>80.136833</v>
      </c>
      <c r="F13852" s="1">
        <v>805.0</v>
      </c>
      <c r="G13852" s="1">
        <v>57.0</v>
      </c>
    </row>
    <row r="13853">
      <c r="A13853" s="1" t="s">
        <v>8</v>
      </c>
      <c r="B13853" s="2">
        <v>44781.0</v>
      </c>
      <c r="C13853" s="3">
        <v>0.3430787037037037</v>
      </c>
      <c r="D13853" s="1">
        <v>12.922257</v>
      </c>
      <c r="E13853" s="1">
        <v>80.113449</v>
      </c>
      <c r="F13853" s="1">
        <v>5339.0</v>
      </c>
      <c r="G13853" s="1">
        <v>43.0</v>
      </c>
    </row>
    <row r="13854">
      <c r="A13854" s="1" t="s">
        <v>8</v>
      </c>
      <c r="B13854" s="2">
        <v>44781.0</v>
      </c>
      <c r="C13854" s="3">
        <v>0.3432986111111111</v>
      </c>
      <c r="D13854" s="1">
        <v>12.945244</v>
      </c>
      <c r="E13854" s="1">
        <v>80.135592</v>
      </c>
      <c r="F13854" s="1">
        <v>805.0</v>
      </c>
      <c r="G13854" s="1">
        <v>54.0</v>
      </c>
    </row>
    <row r="13855">
      <c r="A13855" s="1" t="s">
        <v>8</v>
      </c>
      <c r="B13855" s="2">
        <v>44781.0</v>
      </c>
      <c r="C13855" s="3">
        <v>0.34357638888888886</v>
      </c>
      <c r="D13855" s="1">
        <v>12.942498</v>
      </c>
      <c r="E13855" s="1">
        <v>80.133292</v>
      </c>
      <c r="F13855" s="1">
        <v>805.0</v>
      </c>
      <c r="G13855" s="1">
        <v>43.0</v>
      </c>
    </row>
    <row r="13856">
      <c r="A13856" s="1" t="s">
        <v>10</v>
      </c>
      <c r="B13856" s="2">
        <v>44781.0</v>
      </c>
      <c r="C13856" s="3">
        <v>0.34391203703703704</v>
      </c>
      <c r="D13856" s="1">
        <v>12.843988</v>
      </c>
      <c r="E13856" s="1">
        <v>80.059556</v>
      </c>
      <c r="F13856" s="1">
        <v>2846.0</v>
      </c>
      <c r="G13856" s="1">
        <v>0.0</v>
      </c>
    </row>
    <row r="13857">
      <c r="A13857" s="1" t="s">
        <v>7</v>
      </c>
      <c r="B13857" s="2">
        <v>44781.0</v>
      </c>
      <c r="C13857" s="3">
        <v>0.34435185185185185</v>
      </c>
      <c r="D13857" s="1">
        <v>12.84613</v>
      </c>
      <c r="E13857" s="1">
        <v>80.061735</v>
      </c>
      <c r="F13857" s="1">
        <v>2846.0</v>
      </c>
      <c r="G13857" s="1">
        <v>23.0</v>
      </c>
    </row>
    <row r="13858">
      <c r="A13858" s="1" t="s">
        <v>7</v>
      </c>
      <c r="B13858" s="2">
        <v>44781.0</v>
      </c>
      <c r="C13858" s="3">
        <v>0.344375</v>
      </c>
      <c r="D13858" s="1">
        <v>12.916376</v>
      </c>
      <c r="E13858" s="1">
        <v>80.106082</v>
      </c>
      <c r="F13858" s="1">
        <v>5339.0</v>
      </c>
      <c r="G13858" s="1">
        <v>42.0</v>
      </c>
    </row>
    <row r="13859">
      <c r="A13859" s="1" t="s">
        <v>8</v>
      </c>
      <c r="B13859" s="2">
        <v>44781.0</v>
      </c>
      <c r="C13859" s="3">
        <v>0.34457175925925926</v>
      </c>
      <c r="D13859" s="1">
        <v>12.848584</v>
      </c>
      <c r="E13859" s="1">
        <v>80.063645</v>
      </c>
      <c r="F13859" s="1">
        <v>2846.0</v>
      </c>
      <c r="G13859" s="1">
        <v>54.0</v>
      </c>
    </row>
    <row r="13860">
      <c r="A13860" s="1" t="s">
        <v>8</v>
      </c>
      <c r="B13860" s="2">
        <v>44781.0</v>
      </c>
      <c r="C13860" s="3">
        <v>0.3448148148148148</v>
      </c>
      <c r="D13860" s="1">
        <v>12.93634</v>
      </c>
      <c r="E13860" s="1">
        <v>80.127405</v>
      </c>
      <c r="F13860" s="1">
        <v>805.0</v>
      </c>
      <c r="G13860" s="1">
        <v>0.0</v>
      </c>
    </row>
    <row r="13861">
      <c r="A13861" s="1" t="s">
        <v>8</v>
      </c>
      <c r="B13861" s="2">
        <v>44781.0</v>
      </c>
      <c r="C13861" s="3">
        <v>0.3449652777777778</v>
      </c>
      <c r="D13861" s="1">
        <v>12.93634</v>
      </c>
      <c r="E13861" s="1">
        <v>80.127405</v>
      </c>
      <c r="F13861" s="1">
        <v>805.0</v>
      </c>
      <c r="G13861" s="1">
        <v>0.0</v>
      </c>
    </row>
    <row r="13862">
      <c r="A13862" s="1" t="s">
        <v>8</v>
      </c>
      <c r="B13862" s="2">
        <v>44781.0</v>
      </c>
      <c r="C13862" s="3">
        <v>0.3450578703703704</v>
      </c>
      <c r="D13862" s="1">
        <v>12.93603</v>
      </c>
      <c r="E13862" s="1">
        <v>80.127206</v>
      </c>
      <c r="F13862" s="1">
        <v>805.0</v>
      </c>
      <c r="G13862" s="1">
        <v>23.0</v>
      </c>
    </row>
    <row r="13863">
      <c r="A13863" s="1" t="s">
        <v>7</v>
      </c>
      <c r="B13863" s="2">
        <v>44781.0</v>
      </c>
      <c r="C13863" s="3">
        <v>0.34521990740740743</v>
      </c>
      <c r="D13863" s="1">
        <v>12.935169</v>
      </c>
      <c r="E13863" s="1">
        <v>80.12635</v>
      </c>
      <c r="F13863" s="1">
        <v>805.0</v>
      </c>
      <c r="G13863" s="1">
        <v>36.0</v>
      </c>
    </row>
    <row r="13864">
      <c r="A13864" s="1" t="s">
        <v>8</v>
      </c>
      <c r="B13864" s="2">
        <v>44781.0</v>
      </c>
      <c r="C13864" s="3">
        <v>0.3452546296296296</v>
      </c>
      <c r="D13864" s="1">
        <v>12.935169</v>
      </c>
      <c r="E13864" s="1">
        <v>80.12635</v>
      </c>
      <c r="F13864" s="1">
        <v>805.0</v>
      </c>
      <c r="G13864" s="1">
        <v>36.0</v>
      </c>
    </row>
    <row r="13865">
      <c r="A13865" s="1" t="s">
        <v>8</v>
      </c>
      <c r="B13865" s="2">
        <v>44781.0</v>
      </c>
      <c r="C13865" s="3">
        <v>0.3454513888888889</v>
      </c>
      <c r="D13865" s="1">
        <v>12.853955</v>
      </c>
      <c r="E13865" s="1">
        <v>80.067537</v>
      </c>
      <c r="F13865" s="1">
        <v>2846.0</v>
      </c>
      <c r="G13865" s="1">
        <v>43.0</v>
      </c>
    </row>
    <row r="13866">
      <c r="A13866" s="1" t="s">
        <v>7</v>
      </c>
      <c r="B13866" s="2">
        <v>44781.0</v>
      </c>
      <c r="C13866" s="3">
        <v>0.3456712962962963</v>
      </c>
      <c r="D13866" s="1">
        <v>12.857449</v>
      </c>
      <c r="E13866" s="1">
        <v>80.07018</v>
      </c>
      <c r="F13866" s="1">
        <v>2846.0</v>
      </c>
      <c r="G13866" s="1">
        <v>57.0</v>
      </c>
    </row>
    <row r="13867">
      <c r="A13867" s="1" t="s">
        <v>8</v>
      </c>
      <c r="B13867" s="2">
        <v>44781.0</v>
      </c>
      <c r="C13867" s="3">
        <v>0.34574074074074074</v>
      </c>
      <c r="D13867" s="1">
        <v>12.931394</v>
      </c>
      <c r="E13867" s="1">
        <v>80.122693</v>
      </c>
      <c r="F13867" s="1">
        <v>805.0</v>
      </c>
      <c r="G13867" s="1">
        <v>18.0</v>
      </c>
    </row>
    <row r="13868">
      <c r="A13868" s="1" t="s">
        <v>7</v>
      </c>
      <c r="B13868" s="2">
        <v>44781.0</v>
      </c>
      <c r="C13868" s="3">
        <v>0.34578703703703706</v>
      </c>
      <c r="D13868" s="1">
        <v>12.857449</v>
      </c>
      <c r="E13868" s="1">
        <v>80.07018</v>
      </c>
      <c r="F13868" s="1">
        <v>2846.0</v>
      </c>
      <c r="G13868" s="1">
        <v>57.0</v>
      </c>
    </row>
    <row r="13869">
      <c r="A13869" s="1" t="s">
        <v>8</v>
      </c>
      <c r="B13869" s="2">
        <v>44781.0</v>
      </c>
      <c r="C13869" s="3">
        <v>0.3459375</v>
      </c>
      <c r="D13869" s="1">
        <v>12.859403</v>
      </c>
      <c r="E13869" s="1">
        <v>80.07169</v>
      </c>
      <c r="F13869" s="1">
        <v>2846.0</v>
      </c>
      <c r="G13869" s="1">
        <v>55.0</v>
      </c>
    </row>
    <row r="13870">
      <c r="A13870" s="1" t="s">
        <v>8</v>
      </c>
      <c r="B13870" s="2">
        <v>44781.0</v>
      </c>
      <c r="C13870" s="3">
        <v>0.3460648148148148</v>
      </c>
      <c r="D13870" s="1">
        <v>12.861009</v>
      </c>
      <c r="E13870" s="1">
        <v>80.072747</v>
      </c>
      <c r="F13870" s="1">
        <v>2846.0</v>
      </c>
      <c r="G13870" s="1">
        <v>40.0</v>
      </c>
    </row>
    <row r="13871">
      <c r="A13871" s="1" t="s">
        <v>8</v>
      </c>
      <c r="B13871" s="2">
        <v>44781.0</v>
      </c>
      <c r="C13871" s="3">
        <v>0.3462037037037037</v>
      </c>
      <c r="D13871" s="1">
        <v>12.925538</v>
      </c>
      <c r="E13871" s="1">
        <v>80.10439</v>
      </c>
      <c r="F13871" s="1">
        <v>3143.0</v>
      </c>
      <c r="G13871" s="1">
        <v>6.0</v>
      </c>
    </row>
    <row r="13872">
      <c r="A13872" s="1" t="s">
        <v>7</v>
      </c>
      <c r="B13872" s="2">
        <v>44781.0</v>
      </c>
      <c r="C13872" s="3">
        <v>0.34658564814814813</v>
      </c>
      <c r="D13872" s="1">
        <v>12.927064</v>
      </c>
      <c r="E13872" s="1">
        <v>80.118265</v>
      </c>
      <c r="F13872" s="1">
        <v>805.0</v>
      </c>
      <c r="G13872" s="1">
        <v>35.0</v>
      </c>
    </row>
    <row r="13873">
      <c r="A13873" s="1" t="s">
        <v>8</v>
      </c>
      <c r="B13873" s="2">
        <v>44781.0</v>
      </c>
      <c r="C13873" s="3">
        <v>0.34673611111111113</v>
      </c>
      <c r="D13873" s="1">
        <v>12.9266</v>
      </c>
      <c r="E13873" s="1">
        <v>80.117814</v>
      </c>
      <c r="F13873" s="1">
        <v>805.0</v>
      </c>
      <c r="G13873" s="1">
        <v>18.0</v>
      </c>
    </row>
    <row r="13874">
      <c r="A13874" s="1" t="s">
        <v>8</v>
      </c>
      <c r="B13874" s="2">
        <v>44781.0</v>
      </c>
      <c r="C13874" s="3">
        <v>0.34686342592592595</v>
      </c>
      <c r="D13874" s="1">
        <v>12.866532</v>
      </c>
      <c r="E13874" s="1">
        <v>80.07503</v>
      </c>
      <c r="F13874" s="1">
        <v>2846.0</v>
      </c>
      <c r="G13874" s="1">
        <v>17.0</v>
      </c>
    </row>
    <row r="13875">
      <c r="A13875" s="1" t="s">
        <v>8</v>
      </c>
      <c r="B13875" s="2">
        <v>44781.0</v>
      </c>
      <c r="C13875" s="3">
        <v>0.3471064814814815</v>
      </c>
      <c r="D13875" s="1">
        <v>12.92432</v>
      </c>
      <c r="E13875" s="1">
        <v>80.115507</v>
      </c>
      <c r="F13875" s="1">
        <v>805.0</v>
      </c>
      <c r="G13875" s="1">
        <v>58.0</v>
      </c>
    </row>
    <row r="13876">
      <c r="A13876" s="1" t="s">
        <v>8</v>
      </c>
      <c r="B13876" s="2">
        <v>44781.0</v>
      </c>
      <c r="C13876" s="3">
        <v>0.3472337962962963</v>
      </c>
      <c r="D13876" s="1">
        <v>12.869361</v>
      </c>
      <c r="E13876" s="1">
        <v>80.076182</v>
      </c>
      <c r="F13876" s="1">
        <v>2846.0</v>
      </c>
      <c r="G13876" s="1">
        <v>50.0</v>
      </c>
    </row>
    <row r="13877">
      <c r="A13877" s="1" t="s">
        <v>7</v>
      </c>
      <c r="B13877" s="2">
        <v>44781.0</v>
      </c>
      <c r="C13877" s="3">
        <v>0.34729166666666667</v>
      </c>
      <c r="D13877" s="1">
        <v>12.922687</v>
      </c>
      <c r="E13877" s="1">
        <v>80.113877</v>
      </c>
      <c r="F13877" s="1">
        <v>805.0</v>
      </c>
      <c r="G13877" s="1">
        <v>54.0</v>
      </c>
    </row>
    <row r="13878">
      <c r="A13878" s="1" t="s">
        <v>7</v>
      </c>
      <c r="B13878" s="2">
        <v>44781.0</v>
      </c>
      <c r="C13878" s="3">
        <v>0.3473148148148148</v>
      </c>
      <c r="D13878" s="1">
        <v>12.869361</v>
      </c>
      <c r="E13878" s="1">
        <v>80.076182</v>
      </c>
      <c r="F13878" s="1">
        <v>2846.0</v>
      </c>
      <c r="G13878" s="1">
        <v>50.0</v>
      </c>
    </row>
    <row r="13879">
      <c r="A13879" s="1" t="s">
        <v>8</v>
      </c>
      <c r="B13879" s="2">
        <v>44781.0</v>
      </c>
      <c r="C13879" s="3">
        <v>0.3473611111111111</v>
      </c>
      <c r="D13879" s="1">
        <v>12.869361</v>
      </c>
      <c r="E13879" s="1">
        <v>80.076182</v>
      </c>
      <c r="F13879" s="1">
        <v>2846.0</v>
      </c>
      <c r="G13879" s="1">
        <v>50.0</v>
      </c>
    </row>
    <row r="13880">
      <c r="A13880" s="1" t="s">
        <v>7</v>
      </c>
      <c r="B13880" s="2">
        <v>44781.0</v>
      </c>
      <c r="C13880" s="3">
        <v>0.3475347222222222</v>
      </c>
      <c r="D13880" s="1">
        <v>12.87119</v>
      </c>
      <c r="E13880" s="1">
        <v>80.076906</v>
      </c>
      <c r="F13880" s="1">
        <v>2846.0</v>
      </c>
      <c r="G13880" s="1">
        <v>54.0</v>
      </c>
    </row>
    <row r="13881">
      <c r="A13881" s="1" t="s">
        <v>8</v>
      </c>
      <c r="B13881" s="2">
        <v>44781.0</v>
      </c>
      <c r="C13881" s="3">
        <v>0.3475347222222222</v>
      </c>
      <c r="D13881" s="1">
        <v>12.920852</v>
      </c>
      <c r="E13881" s="1">
        <v>80.111982</v>
      </c>
      <c r="F13881" s="1">
        <v>805.0</v>
      </c>
      <c r="G13881" s="1">
        <v>32.0</v>
      </c>
    </row>
    <row r="13882">
      <c r="A13882" s="1" t="s">
        <v>7</v>
      </c>
      <c r="B13882" s="2">
        <v>44781.0</v>
      </c>
      <c r="C13882" s="3">
        <v>0.347650462962963</v>
      </c>
      <c r="D13882" s="1">
        <v>12.873207</v>
      </c>
      <c r="E13882" s="1">
        <v>80.077638</v>
      </c>
      <c r="F13882" s="1">
        <v>2846.0</v>
      </c>
      <c r="G13882" s="1">
        <v>53.0</v>
      </c>
    </row>
    <row r="13883">
      <c r="A13883" s="1" t="s">
        <v>7</v>
      </c>
      <c r="B13883" s="2">
        <v>44781.0</v>
      </c>
      <c r="C13883" s="3">
        <v>0.34778935185185184</v>
      </c>
      <c r="D13883" s="1">
        <v>12.875404</v>
      </c>
      <c r="E13883" s="1">
        <v>80.078511</v>
      </c>
      <c r="F13883" s="1">
        <v>2846.0</v>
      </c>
      <c r="G13883" s="1">
        <v>54.0</v>
      </c>
    </row>
    <row r="13884">
      <c r="A13884" s="1" t="s">
        <v>10</v>
      </c>
      <c r="B13884" s="2">
        <v>44781.0</v>
      </c>
      <c r="C13884" s="3">
        <v>0.34815972222222225</v>
      </c>
      <c r="D13884" s="1">
        <v>12.923147</v>
      </c>
      <c r="E13884" s="1">
        <v>80.096913</v>
      </c>
      <c r="F13884" s="1">
        <v>3143.0</v>
      </c>
      <c r="G13884" s="1">
        <v>39.0</v>
      </c>
    </row>
    <row r="13885">
      <c r="A13885" s="1" t="s">
        <v>8</v>
      </c>
      <c r="B13885" s="2">
        <v>44781.0</v>
      </c>
      <c r="C13885" s="3">
        <v>0.3486226851851852</v>
      </c>
      <c r="D13885" s="1">
        <v>12.9225</v>
      </c>
      <c r="E13885" s="1">
        <v>80.095928</v>
      </c>
      <c r="F13885" s="1">
        <v>3143.0</v>
      </c>
      <c r="G13885" s="1">
        <v>8.0</v>
      </c>
    </row>
    <row r="13886">
      <c r="A13886" s="1" t="s">
        <v>10</v>
      </c>
      <c r="B13886" s="2">
        <v>44781.0</v>
      </c>
      <c r="C13886" s="3">
        <v>0.3488541666666667</v>
      </c>
      <c r="D13886" s="1">
        <v>12.921872</v>
      </c>
      <c r="E13886" s="1">
        <v>80.093756</v>
      </c>
      <c r="F13886" s="1">
        <v>3143.0</v>
      </c>
      <c r="G13886" s="1">
        <v>15.0</v>
      </c>
    </row>
    <row r="13887">
      <c r="A13887" s="1" t="s">
        <v>8</v>
      </c>
      <c r="B13887" s="2">
        <v>44781.0</v>
      </c>
      <c r="C13887" s="3">
        <v>0.35106481481481483</v>
      </c>
      <c r="D13887" s="1">
        <v>12.902817</v>
      </c>
      <c r="E13887" s="1">
        <v>80.093717</v>
      </c>
      <c r="F13887" s="1">
        <v>5339.0</v>
      </c>
      <c r="G13887" s="1">
        <v>45.0</v>
      </c>
    </row>
    <row r="13888">
      <c r="A13888" s="1" t="s">
        <v>8</v>
      </c>
      <c r="B13888" s="2">
        <v>44781.0</v>
      </c>
      <c r="C13888" s="3">
        <v>0.35131944444444446</v>
      </c>
      <c r="D13888" s="1">
        <v>12.917076</v>
      </c>
      <c r="E13888" s="1">
        <v>80.080036</v>
      </c>
      <c r="F13888" s="1">
        <v>3143.0</v>
      </c>
      <c r="G13888" s="1">
        <v>40.0</v>
      </c>
    </row>
    <row r="13889">
      <c r="A13889" s="1" t="s">
        <v>7</v>
      </c>
      <c r="B13889" s="2">
        <v>44781.0</v>
      </c>
      <c r="C13889" s="3">
        <v>0.35259259259259257</v>
      </c>
      <c r="D13889" s="1">
        <v>12.892503</v>
      </c>
      <c r="E13889" s="1">
        <v>80.085871</v>
      </c>
      <c r="F13889" s="1">
        <v>5339.0</v>
      </c>
      <c r="G13889" s="1">
        <v>48.0</v>
      </c>
    </row>
    <row r="13890">
      <c r="A13890" s="1" t="s">
        <v>7</v>
      </c>
      <c r="B13890" s="2">
        <v>44781.0</v>
      </c>
      <c r="C13890" s="3">
        <v>0.35310185185185183</v>
      </c>
      <c r="D13890" s="1">
        <v>12.906612</v>
      </c>
      <c r="E13890" s="1">
        <v>80.072494</v>
      </c>
      <c r="F13890" s="1">
        <v>3143.0</v>
      </c>
      <c r="G13890" s="1">
        <v>55.0</v>
      </c>
    </row>
    <row r="13891">
      <c r="A13891" s="1" t="s">
        <v>8</v>
      </c>
      <c r="B13891" s="2">
        <v>44781.0</v>
      </c>
      <c r="C13891" s="3">
        <v>0.35347222222222224</v>
      </c>
      <c r="D13891" s="1">
        <v>12.882654</v>
      </c>
      <c r="E13891" s="1">
        <v>80.081738</v>
      </c>
      <c r="F13891" s="1">
        <v>5339.0</v>
      </c>
      <c r="G13891" s="1">
        <v>48.0</v>
      </c>
    </row>
    <row r="13892">
      <c r="A13892" s="1" t="s">
        <v>8</v>
      </c>
      <c r="B13892" s="2">
        <v>44781.0</v>
      </c>
      <c r="C13892" s="3">
        <v>0.35357638888888887</v>
      </c>
      <c r="D13892" s="1">
        <v>12.881667</v>
      </c>
      <c r="E13892" s="1">
        <v>80.081337</v>
      </c>
      <c r="F13892" s="1">
        <v>5339.0</v>
      </c>
      <c r="G13892" s="1">
        <v>40.0</v>
      </c>
    </row>
    <row r="13893">
      <c r="A13893" s="1" t="s">
        <v>7</v>
      </c>
      <c r="B13893" s="2">
        <v>44781.0</v>
      </c>
      <c r="C13893" s="3">
        <v>0.3545833333333333</v>
      </c>
      <c r="D13893" s="1">
        <v>12.889054</v>
      </c>
      <c r="E13893" s="1">
        <v>80.072438</v>
      </c>
      <c r="F13893" s="1">
        <v>3143.0</v>
      </c>
      <c r="G13893" s="1">
        <v>59.0</v>
      </c>
    </row>
    <row r="13894">
      <c r="A13894" s="1" t="s">
        <v>8</v>
      </c>
      <c r="B13894" s="2">
        <v>44781.0</v>
      </c>
      <c r="C13894" s="3">
        <v>0.3551273148148148</v>
      </c>
      <c r="D13894" s="1">
        <v>12.886378</v>
      </c>
      <c r="E13894" s="1">
        <v>80.07877</v>
      </c>
      <c r="F13894" s="1">
        <v>3143.0</v>
      </c>
      <c r="G13894" s="1">
        <v>55.0</v>
      </c>
    </row>
    <row r="13895">
      <c r="A13895" s="1" t="s">
        <v>8</v>
      </c>
      <c r="B13895" s="2">
        <v>44781.0</v>
      </c>
      <c r="C13895" s="3">
        <v>0.355150462962963</v>
      </c>
      <c r="D13895" s="1">
        <v>12.905432</v>
      </c>
      <c r="E13895" s="1">
        <v>80.095742</v>
      </c>
      <c r="F13895" s="1">
        <v>805.0</v>
      </c>
      <c r="G13895" s="1">
        <v>12.0</v>
      </c>
    </row>
    <row r="13896">
      <c r="A13896" s="1" t="s">
        <v>8</v>
      </c>
      <c r="B13896" s="2">
        <v>44781.0</v>
      </c>
      <c r="C13896" s="3">
        <v>0.3552662037037037</v>
      </c>
      <c r="D13896" s="1">
        <v>12.90505</v>
      </c>
      <c r="E13896" s="1">
        <v>80.095473</v>
      </c>
      <c r="F13896" s="1">
        <v>805.0</v>
      </c>
      <c r="G13896" s="1">
        <v>13.0</v>
      </c>
    </row>
    <row r="13897">
      <c r="A13897" s="1" t="s">
        <v>8</v>
      </c>
      <c r="B13897" s="2">
        <v>44781.0</v>
      </c>
      <c r="C13897" s="3">
        <v>0.3553935185185185</v>
      </c>
      <c r="D13897" s="1">
        <v>12.885741</v>
      </c>
      <c r="E13897" s="1">
        <v>80.080706</v>
      </c>
      <c r="F13897" s="1">
        <v>3143.0</v>
      </c>
      <c r="G13897" s="1">
        <v>51.0</v>
      </c>
    </row>
    <row r="13898">
      <c r="A13898" s="1" t="s">
        <v>8</v>
      </c>
      <c r="B13898" s="2">
        <v>44781.0</v>
      </c>
      <c r="C13898" s="3">
        <v>0.35583333333333333</v>
      </c>
      <c r="D13898" s="1">
        <v>12.901786</v>
      </c>
      <c r="E13898" s="1">
        <v>80.092921</v>
      </c>
      <c r="F13898" s="1">
        <v>805.0</v>
      </c>
      <c r="G13898" s="1">
        <v>51.0</v>
      </c>
    </row>
    <row r="13899">
      <c r="A13899" s="1" t="s">
        <v>8</v>
      </c>
      <c r="B13899" s="2">
        <v>44781.0</v>
      </c>
      <c r="C13899" s="3">
        <v>0.3558912037037037</v>
      </c>
      <c r="D13899" s="1">
        <v>12.901786</v>
      </c>
      <c r="E13899" s="1">
        <v>80.092921</v>
      </c>
      <c r="F13899" s="1">
        <v>805.0</v>
      </c>
      <c r="G13899" s="1">
        <v>51.0</v>
      </c>
    </row>
    <row r="13900">
      <c r="A13900" s="1" t="s">
        <v>8</v>
      </c>
      <c r="B13900" s="2">
        <v>44781.0</v>
      </c>
      <c r="C13900" s="3">
        <v>0.35627314814814814</v>
      </c>
      <c r="D13900" s="1">
        <v>12.898094</v>
      </c>
      <c r="E13900" s="1">
        <v>80.090081</v>
      </c>
      <c r="F13900" s="1">
        <v>805.0</v>
      </c>
      <c r="G13900" s="1">
        <v>57.0</v>
      </c>
    </row>
    <row r="13901">
      <c r="A13901" s="1" t="s">
        <v>8</v>
      </c>
      <c r="B13901" s="2">
        <v>44781.0</v>
      </c>
      <c r="C13901" s="3">
        <v>0.3564699074074074</v>
      </c>
      <c r="D13901" s="1">
        <v>12.896598</v>
      </c>
      <c r="E13901" s="1">
        <v>80.088967</v>
      </c>
      <c r="F13901" s="1">
        <v>805.0</v>
      </c>
      <c r="G13901" s="1">
        <v>34.0</v>
      </c>
    </row>
    <row r="13902">
      <c r="A13902" s="1" t="s">
        <v>8</v>
      </c>
      <c r="B13902" s="2">
        <v>44781.0</v>
      </c>
      <c r="C13902" s="3">
        <v>0.3566898148148148</v>
      </c>
      <c r="D13902" s="1">
        <v>12.895173</v>
      </c>
      <c r="E13902" s="1">
        <v>80.087902</v>
      </c>
      <c r="F13902" s="1">
        <v>805.0</v>
      </c>
      <c r="G13902" s="1">
        <v>55.0</v>
      </c>
    </row>
    <row r="13903">
      <c r="A13903" s="1" t="s">
        <v>8</v>
      </c>
      <c r="B13903" s="2">
        <v>44781.0</v>
      </c>
      <c r="C13903" s="3">
        <v>0.356875</v>
      </c>
      <c r="D13903" s="1">
        <v>12.893384</v>
      </c>
      <c r="E13903" s="1">
        <v>80.086571</v>
      </c>
      <c r="F13903" s="1">
        <v>805.0</v>
      </c>
      <c r="G13903" s="1">
        <v>51.0</v>
      </c>
    </row>
    <row r="13904">
      <c r="A13904" s="1" t="s">
        <v>7</v>
      </c>
      <c r="B13904" s="2">
        <v>44781.0</v>
      </c>
      <c r="C13904" s="3">
        <v>0.3570023148148148</v>
      </c>
      <c r="D13904" s="1">
        <v>12.891778</v>
      </c>
      <c r="E13904" s="1">
        <v>80.085421</v>
      </c>
      <c r="F13904" s="1">
        <v>805.0</v>
      </c>
      <c r="G13904" s="1">
        <v>50.0</v>
      </c>
    </row>
    <row r="13905">
      <c r="A13905" s="1" t="s">
        <v>10</v>
      </c>
      <c r="B13905" s="2">
        <v>44781.0</v>
      </c>
      <c r="C13905" s="3">
        <v>0.35702546296296295</v>
      </c>
      <c r="D13905" s="1">
        <v>12.879319</v>
      </c>
      <c r="E13905" s="1">
        <v>80.080348</v>
      </c>
      <c r="F13905" s="1">
        <v>3143.0</v>
      </c>
      <c r="G13905" s="1">
        <v>13.0</v>
      </c>
    </row>
    <row r="13906">
      <c r="A13906" s="1" t="s">
        <v>8</v>
      </c>
      <c r="B13906" s="2">
        <v>44781.0</v>
      </c>
      <c r="C13906" s="3">
        <v>0.35747685185185185</v>
      </c>
      <c r="D13906" s="1">
        <v>12.87873</v>
      </c>
      <c r="E13906" s="1">
        <v>80.081395</v>
      </c>
      <c r="F13906" s="1">
        <v>3143.0</v>
      </c>
      <c r="G13906" s="1">
        <v>29.0</v>
      </c>
    </row>
    <row r="13907">
      <c r="A13907" s="1" t="s">
        <v>8</v>
      </c>
      <c r="B13907" s="2">
        <v>44781.0</v>
      </c>
      <c r="C13907" s="3">
        <v>0.35878472222222224</v>
      </c>
      <c r="D13907" s="1">
        <v>12.879347</v>
      </c>
      <c r="E13907" s="1">
        <v>80.08039</v>
      </c>
      <c r="F13907" s="1">
        <v>805.0</v>
      </c>
      <c r="G13907" s="1">
        <v>0.0</v>
      </c>
    </row>
    <row r="13908">
      <c r="A13908" s="1" t="s">
        <v>9</v>
      </c>
      <c r="B13908" s="2">
        <v>44781.0</v>
      </c>
      <c r="C13908" s="3">
        <v>0.35881944444444447</v>
      </c>
      <c r="D13908" s="1">
        <v>12.879099</v>
      </c>
      <c r="E13908" s="1">
        <v>80.080374</v>
      </c>
      <c r="F13908" s="1">
        <v>805.0</v>
      </c>
      <c r="G13908" s="1">
        <v>6.0</v>
      </c>
    </row>
    <row r="13909">
      <c r="A13909" s="1" t="s">
        <v>8</v>
      </c>
      <c r="B13909" s="2">
        <v>44781.0</v>
      </c>
      <c r="C13909" s="3">
        <v>0.3589467592592593</v>
      </c>
      <c r="D13909" s="1">
        <v>12.879099</v>
      </c>
      <c r="E13909" s="1">
        <v>80.080374</v>
      </c>
      <c r="F13909" s="1">
        <v>805.0</v>
      </c>
      <c r="G13909" s="1">
        <v>6.0</v>
      </c>
    </row>
    <row r="13910">
      <c r="A13910" s="1" t="s">
        <v>10</v>
      </c>
      <c r="B13910" s="2">
        <v>44781.0</v>
      </c>
      <c r="C13910" s="3">
        <v>0.3595138888888889</v>
      </c>
      <c r="D13910" s="1">
        <v>12.875907</v>
      </c>
      <c r="E13910" s="1">
        <v>80.083613</v>
      </c>
      <c r="F13910" s="1">
        <v>3143.0</v>
      </c>
      <c r="G13910" s="1">
        <v>0.0</v>
      </c>
    </row>
    <row r="13911">
      <c r="A13911" s="1" t="s">
        <v>10</v>
      </c>
      <c r="B13911" s="2">
        <v>44781.0</v>
      </c>
      <c r="C13911" s="3">
        <v>0.35989583333333336</v>
      </c>
      <c r="D13911" s="1">
        <v>12.877462</v>
      </c>
      <c r="E13911" s="1">
        <v>80.084768</v>
      </c>
      <c r="F13911" s="1">
        <v>805.0</v>
      </c>
      <c r="G13911" s="1">
        <v>10.0</v>
      </c>
    </row>
    <row r="13912">
      <c r="A13912" s="1" t="s">
        <v>10</v>
      </c>
      <c r="B13912" s="2">
        <v>44781.0</v>
      </c>
      <c r="C13912" s="3">
        <v>0.436087962962963</v>
      </c>
      <c r="D13912" s="1">
        <v>12.875817</v>
      </c>
      <c r="E13912" s="1">
        <v>80.083892</v>
      </c>
      <c r="F13912" s="1">
        <v>805.0</v>
      </c>
      <c r="G13912" s="1">
        <v>6.0</v>
      </c>
    </row>
    <row r="13913">
      <c r="A13913" s="1" t="s">
        <v>10</v>
      </c>
      <c r="B13913" s="2">
        <v>44781.0</v>
      </c>
      <c r="C13913" s="3">
        <v>0.45447916666666666</v>
      </c>
      <c r="D13913" s="1">
        <v>12.875447</v>
      </c>
      <c r="E13913" s="1">
        <v>80.084724</v>
      </c>
      <c r="F13913" s="1">
        <v>3143.0</v>
      </c>
      <c r="G13913" s="1">
        <v>6.0</v>
      </c>
    </row>
    <row r="13914">
      <c r="A13914" s="1" t="s">
        <v>10</v>
      </c>
      <c r="B13914" s="2">
        <v>44781.0</v>
      </c>
      <c r="C13914" s="3">
        <v>0.493587962962963</v>
      </c>
      <c r="D13914" s="1">
        <v>12.875824</v>
      </c>
      <c r="E13914" s="1">
        <v>80.083902</v>
      </c>
      <c r="F13914" s="1">
        <v>5339.0</v>
      </c>
      <c r="G13914" s="1">
        <v>5.0</v>
      </c>
    </row>
    <row r="13915">
      <c r="A13915" s="1" t="s">
        <v>10</v>
      </c>
      <c r="B13915" s="2">
        <v>44781.0</v>
      </c>
      <c r="C13915" s="3">
        <v>0.49746527777777777</v>
      </c>
      <c r="D13915" s="1">
        <v>12.875127</v>
      </c>
      <c r="E13915" s="1">
        <v>80.083584</v>
      </c>
      <c r="F13915" s="1">
        <v>805.0</v>
      </c>
      <c r="G13915" s="1">
        <v>0.0</v>
      </c>
    </row>
    <row r="13916">
      <c r="A13916" s="1" t="s">
        <v>10</v>
      </c>
      <c r="B13916" s="2">
        <v>44781.0</v>
      </c>
      <c r="C13916" s="3">
        <v>0.4975462962962963</v>
      </c>
      <c r="D13916" s="1">
        <v>12.875326</v>
      </c>
      <c r="E13916" s="1">
        <v>80.08367</v>
      </c>
      <c r="F13916" s="1">
        <v>805.0</v>
      </c>
      <c r="G13916" s="1">
        <v>11.0</v>
      </c>
    </row>
    <row r="13917">
      <c r="A13917" s="1" t="s">
        <v>10</v>
      </c>
      <c r="B13917" s="2">
        <v>44781.0</v>
      </c>
      <c r="C13917" s="3">
        <v>0.5148032407407407</v>
      </c>
      <c r="D13917" s="1">
        <v>12.875091</v>
      </c>
      <c r="E13917" s="1">
        <v>80.08464</v>
      </c>
      <c r="F13917" s="1">
        <v>5339.0</v>
      </c>
      <c r="G13917" s="1">
        <v>12.0</v>
      </c>
    </row>
    <row r="13918">
      <c r="A13918" s="1" t="s">
        <v>10</v>
      </c>
      <c r="B13918" s="2">
        <v>44781.0</v>
      </c>
      <c r="C13918" s="3">
        <v>0.6321296296296296</v>
      </c>
      <c r="D13918" s="1">
        <v>12.875954</v>
      </c>
      <c r="E13918" s="1">
        <v>80.083557</v>
      </c>
      <c r="F13918" s="1">
        <v>3143.0</v>
      </c>
      <c r="G13918" s="1">
        <v>14.0</v>
      </c>
    </row>
    <row r="13919">
      <c r="A13919" s="1" t="s">
        <v>10</v>
      </c>
      <c r="B13919" s="2">
        <v>44781.0</v>
      </c>
      <c r="C13919" s="3">
        <v>0.6324189814814815</v>
      </c>
      <c r="D13919" s="1">
        <v>12.875618</v>
      </c>
      <c r="E13919" s="1">
        <v>80.084196</v>
      </c>
      <c r="F13919" s="1">
        <v>3143.0</v>
      </c>
      <c r="G13919" s="1">
        <v>12.0</v>
      </c>
    </row>
    <row r="13920">
      <c r="A13920" s="1" t="s">
        <v>10</v>
      </c>
      <c r="B13920" s="2">
        <v>44781.0</v>
      </c>
      <c r="C13920" s="3">
        <v>0.6325925925925926</v>
      </c>
      <c r="D13920" s="1">
        <v>12.875442</v>
      </c>
      <c r="E13920" s="1">
        <v>80.084582</v>
      </c>
      <c r="F13920" s="1">
        <v>3143.0</v>
      </c>
      <c r="G13920" s="1">
        <v>5.0</v>
      </c>
    </row>
    <row r="13921">
      <c r="A13921" s="1" t="s">
        <v>8</v>
      </c>
      <c r="B13921" s="2">
        <v>44781.0</v>
      </c>
      <c r="C13921" s="3">
        <v>0.6922685185185186</v>
      </c>
      <c r="D13921" s="1">
        <v>12.882326</v>
      </c>
      <c r="E13921" s="1">
        <v>80.081094</v>
      </c>
      <c r="F13921" s="1">
        <v>805.0</v>
      </c>
      <c r="G13921" s="1">
        <v>37.0</v>
      </c>
    </row>
    <row r="13922">
      <c r="A13922" s="1" t="s">
        <v>8</v>
      </c>
      <c r="B13922" s="2">
        <v>44781.0</v>
      </c>
      <c r="C13922" s="3">
        <v>0.6923611111111111</v>
      </c>
      <c r="D13922" s="1">
        <v>12.88326</v>
      </c>
      <c r="E13922" s="1">
        <v>80.081443</v>
      </c>
      <c r="F13922" s="1">
        <v>805.0</v>
      </c>
      <c r="G13922" s="1">
        <v>44.0</v>
      </c>
    </row>
    <row r="13923">
      <c r="A13923" s="1" t="s">
        <v>7</v>
      </c>
      <c r="B13923" s="2">
        <v>44781.0</v>
      </c>
      <c r="C13923" s="3">
        <v>0.6924537037037037</v>
      </c>
      <c r="D13923" s="1">
        <v>12.876798</v>
      </c>
      <c r="E13923" s="1">
        <v>80.079413</v>
      </c>
      <c r="F13923" s="1">
        <v>2846.0</v>
      </c>
      <c r="G13923" s="1">
        <v>52.0</v>
      </c>
    </row>
    <row r="13924">
      <c r="A13924" s="1" t="s">
        <v>8</v>
      </c>
      <c r="B13924" s="2">
        <v>44781.0</v>
      </c>
      <c r="C13924" s="3">
        <v>0.6925578703703704</v>
      </c>
      <c r="D13924" s="1">
        <v>12.885064</v>
      </c>
      <c r="E13924" s="1">
        <v>80.082232</v>
      </c>
      <c r="F13924" s="1">
        <v>5339.0</v>
      </c>
      <c r="G13924" s="1">
        <v>37.0</v>
      </c>
    </row>
    <row r="13925">
      <c r="A13925" s="1" t="s">
        <v>7</v>
      </c>
      <c r="B13925" s="2">
        <v>44781.0</v>
      </c>
      <c r="C13925" s="3">
        <v>0.692650462962963</v>
      </c>
      <c r="D13925" s="1">
        <v>12.876798</v>
      </c>
      <c r="E13925" s="1">
        <v>80.079413</v>
      </c>
      <c r="F13925" s="1">
        <v>2846.0</v>
      </c>
      <c r="G13925" s="1">
        <v>52.0</v>
      </c>
    </row>
    <row r="13926">
      <c r="A13926" s="1" t="s">
        <v>7</v>
      </c>
      <c r="B13926" s="2">
        <v>44781.0</v>
      </c>
      <c r="C13926" s="3">
        <v>0.6928819444444444</v>
      </c>
      <c r="D13926" s="1">
        <v>12.887068</v>
      </c>
      <c r="E13926" s="1">
        <v>80.083301</v>
      </c>
      <c r="F13926" s="1">
        <v>805.0</v>
      </c>
      <c r="G13926" s="1">
        <v>55.0</v>
      </c>
    </row>
    <row r="13927">
      <c r="A13927" s="1" t="s">
        <v>7</v>
      </c>
      <c r="B13927" s="2">
        <v>44781.0</v>
      </c>
      <c r="C13927" s="3">
        <v>0.6930787037037037</v>
      </c>
      <c r="D13927" s="1">
        <v>12.889817</v>
      </c>
      <c r="E13927" s="1">
        <v>80.084406</v>
      </c>
      <c r="F13927" s="1">
        <v>805.0</v>
      </c>
      <c r="G13927" s="1">
        <v>58.0</v>
      </c>
    </row>
    <row r="13928">
      <c r="A13928" s="1" t="s">
        <v>8</v>
      </c>
      <c r="B13928" s="2">
        <v>44781.0</v>
      </c>
      <c r="C13928" s="3">
        <v>0.6930902777777778</v>
      </c>
      <c r="D13928" s="1">
        <v>12.889052</v>
      </c>
      <c r="E13928" s="1">
        <v>80.084077</v>
      </c>
      <c r="F13928" s="1">
        <v>5339.0</v>
      </c>
      <c r="G13928" s="1">
        <v>50.0</v>
      </c>
    </row>
    <row r="13929">
      <c r="A13929" s="1" t="s">
        <v>9</v>
      </c>
      <c r="B13929" s="2">
        <v>44781.0</v>
      </c>
      <c r="C13929" s="3">
        <v>0.6930902777777778</v>
      </c>
      <c r="D13929" s="1">
        <v>12.889817</v>
      </c>
      <c r="E13929" s="1">
        <v>80.084406</v>
      </c>
      <c r="F13929" s="1">
        <v>805.0</v>
      </c>
      <c r="G13929" s="1">
        <v>58.0</v>
      </c>
    </row>
    <row r="13930">
      <c r="A13930" s="1" t="s">
        <v>7</v>
      </c>
      <c r="B13930" s="2">
        <v>44781.0</v>
      </c>
      <c r="C13930" s="3">
        <v>0.6931597222222222</v>
      </c>
      <c r="D13930" s="1">
        <v>12.871417</v>
      </c>
      <c r="E13930" s="1">
        <v>80.077232</v>
      </c>
      <c r="F13930" s="1">
        <v>2846.0</v>
      </c>
      <c r="G13930" s="1">
        <v>57.0</v>
      </c>
    </row>
    <row r="13931">
      <c r="A13931" s="1" t="s">
        <v>7</v>
      </c>
      <c r="B13931" s="2">
        <v>44781.0</v>
      </c>
      <c r="C13931" s="3">
        <v>0.6932754629629629</v>
      </c>
      <c r="D13931" s="1">
        <v>12.891429</v>
      </c>
      <c r="E13931" s="1">
        <v>80.085079</v>
      </c>
      <c r="F13931" s="1">
        <v>5339.0</v>
      </c>
      <c r="G13931" s="1">
        <v>50.0</v>
      </c>
    </row>
    <row r="13932">
      <c r="A13932" s="1" t="s">
        <v>8</v>
      </c>
      <c r="B13932" s="2">
        <v>44781.0</v>
      </c>
      <c r="C13932" s="3">
        <v>0.6932870370370371</v>
      </c>
      <c r="D13932" s="1">
        <v>12.892374</v>
      </c>
      <c r="E13932" s="1">
        <v>80.085642</v>
      </c>
      <c r="F13932" s="1">
        <v>805.0</v>
      </c>
      <c r="G13932" s="1">
        <v>56.0</v>
      </c>
    </row>
    <row r="13933">
      <c r="A13933" s="1" t="s">
        <v>7</v>
      </c>
      <c r="B13933" s="2">
        <v>44781.0</v>
      </c>
      <c r="C13933" s="3">
        <v>0.6932986111111111</v>
      </c>
      <c r="D13933" s="1">
        <v>12.882164</v>
      </c>
      <c r="E13933" s="1">
        <v>80.081094</v>
      </c>
      <c r="F13933" s="1">
        <v>3143.0</v>
      </c>
      <c r="G13933" s="1">
        <v>47.0</v>
      </c>
    </row>
    <row r="13934">
      <c r="A13934" s="1" t="s">
        <v>7</v>
      </c>
      <c r="B13934" s="2">
        <v>44781.0</v>
      </c>
      <c r="C13934" s="3">
        <v>0.6933564814814814</v>
      </c>
      <c r="D13934" s="1">
        <v>12.892543</v>
      </c>
      <c r="E13934" s="1">
        <v>80.085735</v>
      </c>
      <c r="F13934" s="1">
        <v>5339.0</v>
      </c>
      <c r="G13934" s="1">
        <v>52.0</v>
      </c>
    </row>
    <row r="13935">
      <c r="A13935" s="1" t="s">
        <v>7</v>
      </c>
      <c r="B13935" s="2">
        <v>44781.0</v>
      </c>
      <c r="C13935" s="3">
        <v>0.6933680555555556</v>
      </c>
      <c r="D13935" s="1">
        <v>12.864719</v>
      </c>
      <c r="E13935" s="1">
        <v>80.074572</v>
      </c>
      <c r="F13935" s="1">
        <v>2846.0</v>
      </c>
      <c r="G13935" s="1">
        <v>56.0</v>
      </c>
    </row>
    <row r="13936">
      <c r="A13936" s="1" t="s">
        <v>7</v>
      </c>
      <c r="B13936" s="2">
        <v>44781.0</v>
      </c>
      <c r="C13936" s="3">
        <v>0.6934837962962963</v>
      </c>
      <c r="D13936" s="1">
        <v>12.884208</v>
      </c>
      <c r="E13936" s="1">
        <v>80.081818</v>
      </c>
      <c r="F13936" s="1">
        <v>3143.0</v>
      </c>
      <c r="G13936" s="1">
        <v>51.0</v>
      </c>
    </row>
    <row r="13937">
      <c r="A13937" s="1" t="s">
        <v>8</v>
      </c>
      <c r="B13937" s="2">
        <v>44781.0</v>
      </c>
      <c r="C13937" s="3">
        <v>0.6939930555555556</v>
      </c>
      <c r="D13937" s="1">
        <v>12.859964</v>
      </c>
      <c r="E13937" s="1">
        <v>80.072247</v>
      </c>
      <c r="F13937" s="1">
        <v>2846.0</v>
      </c>
      <c r="G13937" s="1">
        <v>28.0</v>
      </c>
    </row>
    <row r="13938">
      <c r="A13938" s="1" t="s">
        <v>8</v>
      </c>
      <c r="B13938" s="2">
        <v>44781.0</v>
      </c>
      <c r="C13938" s="3">
        <v>0.6942476851851852</v>
      </c>
      <c r="D13938" s="1">
        <v>12.901773</v>
      </c>
      <c r="E13938" s="1">
        <v>80.092704</v>
      </c>
      <c r="F13938" s="1">
        <v>805.0</v>
      </c>
      <c r="G13938" s="1">
        <v>58.0</v>
      </c>
    </row>
    <row r="13939">
      <c r="A13939" s="1" t="s">
        <v>8</v>
      </c>
      <c r="B13939" s="2">
        <v>44781.0</v>
      </c>
      <c r="C13939" s="3">
        <v>0.6945370370370371</v>
      </c>
      <c r="D13939" s="1">
        <v>12.904532</v>
      </c>
      <c r="E13939" s="1">
        <v>80.09473</v>
      </c>
      <c r="F13939" s="1">
        <v>805.0</v>
      </c>
      <c r="G13939" s="1">
        <v>32.0</v>
      </c>
    </row>
    <row r="13940">
      <c r="A13940" s="1" t="s">
        <v>8</v>
      </c>
      <c r="B13940" s="2">
        <v>44781.0</v>
      </c>
      <c r="C13940" s="3">
        <v>0.6945486111111111</v>
      </c>
      <c r="D13940" s="1">
        <v>12.903803</v>
      </c>
      <c r="E13940" s="1">
        <v>80.094213</v>
      </c>
      <c r="F13940" s="1">
        <v>5339.0</v>
      </c>
      <c r="G13940" s="1">
        <v>0.0</v>
      </c>
    </row>
    <row r="13941">
      <c r="A13941" s="1" t="s">
        <v>8</v>
      </c>
      <c r="B13941" s="2">
        <v>44781.0</v>
      </c>
      <c r="C13941" s="3">
        <v>0.6947106481481482</v>
      </c>
      <c r="D13941" s="1">
        <v>12.90536</v>
      </c>
      <c r="E13941" s="1">
        <v>80.095357</v>
      </c>
      <c r="F13941" s="1">
        <v>805.0</v>
      </c>
      <c r="G13941" s="1">
        <v>47.0</v>
      </c>
    </row>
    <row r="13942">
      <c r="A13942" s="1" t="s">
        <v>8</v>
      </c>
      <c r="B13942" s="2">
        <v>44781.0</v>
      </c>
      <c r="C13942" s="3">
        <v>0.6949537037037037</v>
      </c>
      <c r="D13942" s="1">
        <v>12.907201</v>
      </c>
      <c r="E13942" s="1">
        <v>80.096727</v>
      </c>
      <c r="F13942" s="1">
        <v>805.0</v>
      </c>
      <c r="G13942" s="1">
        <v>37.0</v>
      </c>
    </row>
    <row r="13943">
      <c r="A13943" s="1" t="s">
        <v>9</v>
      </c>
      <c r="B13943" s="2">
        <v>44781.0</v>
      </c>
      <c r="C13943" s="3">
        <v>0.6950231481481481</v>
      </c>
      <c r="D13943" s="1">
        <v>12.90789</v>
      </c>
      <c r="E13943" s="1">
        <v>80.097253</v>
      </c>
      <c r="F13943" s="1">
        <v>805.0</v>
      </c>
      <c r="G13943" s="1">
        <v>32.0</v>
      </c>
    </row>
    <row r="13944">
      <c r="A13944" s="1" t="s">
        <v>8</v>
      </c>
      <c r="B13944" s="2">
        <v>44781.0</v>
      </c>
      <c r="C13944" s="3">
        <v>0.6950810185185186</v>
      </c>
      <c r="D13944" s="1">
        <v>12.907369</v>
      </c>
      <c r="E13944" s="1">
        <v>80.096869</v>
      </c>
      <c r="F13944" s="1">
        <v>5339.0</v>
      </c>
      <c r="G13944" s="1">
        <v>35.0</v>
      </c>
    </row>
    <row r="13945">
      <c r="A13945" s="1" t="s">
        <v>8</v>
      </c>
      <c r="B13945" s="2">
        <v>44781.0</v>
      </c>
      <c r="C13945" s="3">
        <v>0.6951273148148148</v>
      </c>
      <c r="D13945" s="1">
        <v>12.851114</v>
      </c>
      <c r="E13945" s="1">
        <v>80.065671</v>
      </c>
      <c r="F13945" s="1">
        <v>2846.0</v>
      </c>
      <c r="G13945" s="1">
        <v>41.0</v>
      </c>
    </row>
    <row r="13946">
      <c r="A13946" s="1" t="s">
        <v>7</v>
      </c>
      <c r="B13946" s="2">
        <v>44781.0</v>
      </c>
      <c r="C13946" s="3">
        <v>0.6954166666666667</v>
      </c>
      <c r="D13946" s="1">
        <v>12.900848</v>
      </c>
      <c r="E13946" s="1">
        <v>80.070699</v>
      </c>
      <c r="F13946" s="1">
        <v>3143.0</v>
      </c>
      <c r="G13946" s="1">
        <v>58.0</v>
      </c>
    </row>
    <row r="13947">
      <c r="A13947" s="1" t="s">
        <v>8</v>
      </c>
      <c r="B13947" s="2">
        <v>44781.0</v>
      </c>
      <c r="C13947" s="3">
        <v>0.6955439814814814</v>
      </c>
      <c r="D13947" s="1">
        <v>12.903122</v>
      </c>
      <c r="E13947" s="1">
        <v>80.071203</v>
      </c>
      <c r="F13947" s="1">
        <v>3143.0</v>
      </c>
      <c r="G13947" s="1">
        <v>56.0</v>
      </c>
    </row>
    <row r="13948">
      <c r="A13948" s="1" t="s">
        <v>8</v>
      </c>
      <c r="B13948" s="2">
        <v>44781.0</v>
      </c>
      <c r="C13948" s="3">
        <v>0.6955555555555556</v>
      </c>
      <c r="D13948" s="1">
        <v>12.909657</v>
      </c>
      <c r="E13948" s="1">
        <v>80.099315</v>
      </c>
      <c r="F13948" s="1">
        <v>5339.0</v>
      </c>
      <c r="G13948" s="1">
        <v>36.0</v>
      </c>
    </row>
    <row r="13949">
      <c r="A13949" s="1" t="s">
        <v>7</v>
      </c>
      <c r="B13949" s="2">
        <v>44781.0</v>
      </c>
      <c r="C13949" s="3">
        <v>0.6967824074074074</v>
      </c>
      <c r="D13949" s="1">
        <v>12.912265</v>
      </c>
      <c r="E13949" s="1">
        <v>80.101384</v>
      </c>
      <c r="F13949" s="1">
        <v>805.0</v>
      </c>
      <c r="G13949" s="1">
        <v>34.0</v>
      </c>
    </row>
    <row r="13950">
      <c r="A13950" s="1" t="s">
        <v>8</v>
      </c>
      <c r="B13950" s="2">
        <v>44781.0</v>
      </c>
      <c r="C13950" s="3">
        <v>0.6973032407407408</v>
      </c>
      <c r="D13950" s="1">
        <v>12.915732</v>
      </c>
      <c r="E13950" s="1">
        <v>80.104094</v>
      </c>
      <c r="F13950" s="1">
        <v>805.0</v>
      </c>
      <c r="G13950" s="1">
        <v>46.0</v>
      </c>
    </row>
    <row r="13951">
      <c r="A13951" s="1" t="s">
        <v>8</v>
      </c>
      <c r="B13951" s="2">
        <v>44781.0</v>
      </c>
      <c r="C13951" s="3">
        <v>0.6973495370370371</v>
      </c>
      <c r="D13951" s="1">
        <v>12.916045</v>
      </c>
      <c r="E13951" s="1">
        <v>80.105271</v>
      </c>
      <c r="F13951" s="1">
        <v>805.0</v>
      </c>
      <c r="G13951" s="1">
        <v>40.0</v>
      </c>
    </row>
    <row r="13952">
      <c r="A13952" s="1" t="s">
        <v>8</v>
      </c>
      <c r="B13952" s="2">
        <v>44781.0</v>
      </c>
      <c r="C13952" s="3">
        <v>0.697511574074074</v>
      </c>
      <c r="D13952" s="1">
        <v>12.846687</v>
      </c>
      <c r="E13952" s="1">
        <v>80.062514</v>
      </c>
      <c r="F13952" s="1">
        <v>2846.0</v>
      </c>
      <c r="G13952" s="1">
        <v>46.0</v>
      </c>
    </row>
    <row r="13953">
      <c r="A13953" s="1" t="s">
        <v>8</v>
      </c>
      <c r="B13953" s="2">
        <v>44781.0</v>
      </c>
      <c r="C13953" s="3">
        <v>0.6975925925925925</v>
      </c>
      <c r="D13953" s="1">
        <v>12.916942</v>
      </c>
      <c r="E13953" s="1">
        <v>80.106954</v>
      </c>
      <c r="F13953" s="1">
        <v>805.0</v>
      </c>
      <c r="G13953" s="1">
        <v>40.0</v>
      </c>
    </row>
    <row r="13954">
      <c r="A13954" s="1" t="s">
        <v>8</v>
      </c>
      <c r="B13954" s="2">
        <v>44781.0</v>
      </c>
      <c r="C13954" s="3">
        <v>0.6976041666666667</v>
      </c>
      <c r="D13954" s="1">
        <v>12.915803</v>
      </c>
      <c r="E13954" s="1">
        <v>80.104388</v>
      </c>
      <c r="F13954" s="1">
        <v>5339.0</v>
      </c>
      <c r="G13954" s="1">
        <v>45.0</v>
      </c>
    </row>
    <row r="13955">
      <c r="A13955" s="1" t="s">
        <v>8</v>
      </c>
      <c r="B13955" s="2">
        <v>44781.0</v>
      </c>
      <c r="C13955" s="3">
        <v>0.6977893518518519</v>
      </c>
      <c r="D13955" s="1">
        <v>12.918154</v>
      </c>
      <c r="E13955" s="1">
        <v>80.108695</v>
      </c>
      <c r="F13955" s="1">
        <v>805.0</v>
      </c>
      <c r="G13955" s="1">
        <v>43.0</v>
      </c>
    </row>
    <row r="13956">
      <c r="A13956" s="1" t="s">
        <v>8</v>
      </c>
      <c r="B13956" s="2">
        <v>44781.0</v>
      </c>
      <c r="C13956" s="3">
        <v>0.6978240740740741</v>
      </c>
      <c r="D13956" s="1">
        <v>12.838859</v>
      </c>
      <c r="E13956" s="1">
        <v>80.054548</v>
      </c>
      <c r="F13956" s="1">
        <v>2846.0</v>
      </c>
      <c r="G13956" s="1">
        <v>55.0</v>
      </c>
    </row>
    <row r="13957">
      <c r="A13957" s="1" t="s">
        <v>7</v>
      </c>
      <c r="B13957" s="2">
        <v>44781.0</v>
      </c>
      <c r="C13957" s="3">
        <v>0.6982175925925926</v>
      </c>
      <c r="D13957" s="1">
        <v>12.920178</v>
      </c>
      <c r="E13957" s="1">
        <v>80.111179</v>
      </c>
      <c r="F13957" s="1">
        <v>805.0</v>
      </c>
      <c r="G13957" s="1">
        <v>51.0</v>
      </c>
    </row>
    <row r="13958">
      <c r="A13958" s="1" t="s">
        <v>7</v>
      </c>
      <c r="B13958" s="2">
        <v>44781.0</v>
      </c>
      <c r="C13958" s="3">
        <v>0.6983564814814814</v>
      </c>
      <c r="D13958" s="1">
        <v>12.922101</v>
      </c>
      <c r="E13958" s="1">
        <v>80.113208</v>
      </c>
      <c r="F13958" s="1">
        <v>805.0</v>
      </c>
      <c r="G13958" s="1">
        <v>55.0</v>
      </c>
    </row>
    <row r="13959">
      <c r="A13959" s="1" t="s">
        <v>8</v>
      </c>
      <c r="B13959" s="2">
        <v>44781.0</v>
      </c>
      <c r="C13959" s="3">
        <v>0.6984490740740741</v>
      </c>
      <c r="D13959" s="1">
        <v>12.922101</v>
      </c>
      <c r="E13959" s="1">
        <v>80.113208</v>
      </c>
      <c r="F13959" s="1">
        <v>805.0</v>
      </c>
      <c r="G13959" s="1">
        <v>55.0</v>
      </c>
    </row>
    <row r="13960">
      <c r="A13960" s="1" t="s">
        <v>8</v>
      </c>
      <c r="B13960" s="2">
        <v>44781.0</v>
      </c>
      <c r="C13960" s="3">
        <v>0.6985069444444445</v>
      </c>
      <c r="D13960" s="1">
        <v>12.923066</v>
      </c>
      <c r="E13960" s="1">
        <v>80.114135</v>
      </c>
      <c r="F13960" s="1">
        <v>805.0</v>
      </c>
      <c r="G13960" s="1">
        <v>46.0</v>
      </c>
    </row>
    <row r="13961">
      <c r="A13961" s="1" t="s">
        <v>8</v>
      </c>
      <c r="B13961" s="2">
        <v>44781.0</v>
      </c>
      <c r="C13961" s="3">
        <v>0.6986574074074074</v>
      </c>
      <c r="D13961" s="1">
        <v>12.923973</v>
      </c>
      <c r="E13961" s="1">
        <v>80.115035</v>
      </c>
      <c r="F13961" s="1">
        <v>805.0</v>
      </c>
      <c r="G13961" s="1">
        <v>50.0</v>
      </c>
    </row>
    <row r="13962">
      <c r="A13962" s="1" t="s">
        <v>7</v>
      </c>
      <c r="B13962" s="2">
        <v>44781.0</v>
      </c>
      <c r="C13962" s="3">
        <v>0.6988194444444444</v>
      </c>
      <c r="D13962" s="1">
        <v>12.832888</v>
      </c>
      <c r="E13962" s="1">
        <v>80.048228</v>
      </c>
      <c r="F13962" s="1">
        <v>2846.0</v>
      </c>
      <c r="G13962" s="1">
        <v>58.0</v>
      </c>
    </row>
    <row r="13963">
      <c r="A13963" s="1" t="s">
        <v>7</v>
      </c>
      <c r="B13963" s="2">
        <v>44781.0</v>
      </c>
      <c r="C13963" s="3">
        <v>0.6989467592592593</v>
      </c>
      <c r="D13963" s="1">
        <v>12.828827</v>
      </c>
      <c r="E13963" s="1">
        <v>80.043971</v>
      </c>
      <c r="F13963" s="1">
        <v>2846.0</v>
      </c>
      <c r="G13963" s="1">
        <v>57.0</v>
      </c>
    </row>
    <row r="13964">
      <c r="A13964" s="1" t="s">
        <v>8</v>
      </c>
      <c r="B13964" s="2">
        <v>44781.0</v>
      </c>
      <c r="C13964" s="3">
        <v>0.6990972222222223</v>
      </c>
      <c r="D13964" s="1">
        <v>12.919715</v>
      </c>
      <c r="E13964" s="1">
        <v>80.110654</v>
      </c>
      <c r="F13964" s="1">
        <v>5339.0</v>
      </c>
      <c r="G13964" s="1">
        <v>50.0</v>
      </c>
    </row>
    <row r="13965">
      <c r="A13965" s="1" t="s">
        <v>7</v>
      </c>
      <c r="B13965" s="2">
        <v>44781.0</v>
      </c>
      <c r="C13965" s="3">
        <v>0.6992013888888889</v>
      </c>
      <c r="D13965" s="1">
        <v>12.827807</v>
      </c>
      <c r="E13965" s="1">
        <v>80.042917</v>
      </c>
      <c r="F13965" s="1">
        <v>2846.0</v>
      </c>
      <c r="G13965" s="1">
        <v>57.0</v>
      </c>
    </row>
    <row r="13966">
      <c r="A13966" s="1" t="s">
        <v>7</v>
      </c>
      <c r="B13966" s="2">
        <v>44781.0</v>
      </c>
      <c r="C13966" s="3">
        <v>0.6994907407407407</v>
      </c>
      <c r="D13966" s="1">
        <v>12.824497</v>
      </c>
      <c r="E13966" s="1">
        <v>80.040034</v>
      </c>
      <c r="F13966" s="1">
        <v>2846.0</v>
      </c>
      <c r="G13966" s="1">
        <v>58.0</v>
      </c>
    </row>
    <row r="13967">
      <c r="A13967" s="1" t="s">
        <v>8</v>
      </c>
      <c r="B13967" s="2">
        <v>44781.0</v>
      </c>
      <c r="C13967" s="3">
        <v>0.6996412037037038</v>
      </c>
      <c r="D13967" s="1">
        <v>12.822207</v>
      </c>
      <c r="E13967" s="1">
        <v>80.038448</v>
      </c>
      <c r="F13967" s="1">
        <v>2846.0</v>
      </c>
      <c r="G13967" s="1">
        <v>40.0</v>
      </c>
    </row>
    <row r="13968">
      <c r="A13968" s="1" t="s">
        <v>8</v>
      </c>
      <c r="B13968" s="2">
        <v>44781.0</v>
      </c>
      <c r="C13968" s="3">
        <v>0.7000347222222222</v>
      </c>
      <c r="D13968" s="1">
        <v>12.819491</v>
      </c>
      <c r="E13968" s="1">
        <v>80.036511</v>
      </c>
      <c r="F13968" s="1">
        <v>2846.0</v>
      </c>
      <c r="G13968" s="1">
        <v>48.0</v>
      </c>
    </row>
    <row r="13969">
      <c r="A13969" s="1" t="s">
        <v>7</v>
      </c>
      <c r="B13969" s="2">
        <v>44781.0</v>
      </c>
      <c r="C13969" s="3">
        <v>0.7003935185185185</v>
      </c>
      <c r="D13969" s="1">
        <v>12.819491</v>
      </c>
      <c r="E13969" s="1">
        <v>80.036511</v>
      </c>
      <c r="F13969" s="1">
        <v>2846.0</v>
      </c>
      <c r="G13969" s="1">
        <v>48.0</v>
      </c>
    </row>
    <row r="13970">
      <c r="A13970" s="1" t="s">
        <v>8</v>
      </c>
      <c r="B13970" s="2">
        <v>44781.0</v>
      </c>
      <c r="C13970" s="3">
        <v>0.7004513888888889</v>
      </c>
      <c r="D13970" s="1">
        <v>12.816257</v>
      </c>
      <c r="E13970" s="1">
        <v>80.034208</v>
      </c>
      <c r="F13970" s="1">
        <v>2846.0</v>
      </c>
      <c r="G13970" s="1">
        <v>57.0</v>
      </c>
    </row>
    <row r="13971">
      <c r="A13971" s="1" t="s">
        <v>7</v>
      </c>
      <c r="B13971" s="2">
        <v>44781.0</v>
      </c>
      <c r="C13971" s="3">
        <v>0.7007175925925926</v>
      </c>
      <c r="D13971" s="1">
        <v>12.814678</v>
      </c>
      <c r="E13971" s="1">
        <v>80.033096</v>
      </c>
      <c r="F13971" s="1">
        <v>2846.0</v>
      </c>
      <c r="G13971" s="1">
        <v>50.0</v>
      </c>
    </row>
    <row r="13972">
      <c r="A13972" s="1" t="s">
        <v>8</v>
      </c>
      <c r="B13972" s="2">
        <v>44781.0</v>
      </c>
      <c r="C13972" s="3">
        <v>0.7007291666666666</v>
      </c>
      <c r="D13972" s="1">
        <v>12.929236</v>
      </c>
      <c r="E13972" s="1">
        <v>80.120367</v>
      </c>
      <c r="F13972" s="1">
        <v>805.0</v>
      </c>
      <c r="G13972" s="1">
        <v>33.0</v>
      </c>
    </row>
    <row r="13973">
      <c r="A13973" s="1" t="s">
        <v>8</v>
      </c>
      <c r="B13973" s="2">
        <v>44781.0</v>
      </c>
      <c r="C13973" s="3">
        <v>0.7010648148148149</v>
      </c>
      <c r="D13973" s="1">
        <v>12.931117</v>
      </c>
      <c r="E13973" s="1">
        <v>80.122232</v>
      </c>
      <c r="F13973" s="1">
        <v>805.0</v>
      </c>
      <c r="G13973" s="1">
        <v>11.0</v>
      </c>
    </row>
    <row r="13974">
      <c r="A13974" s="1" t="s">
        <v>8</v>
      </c>
      <c r="B13974" s="2">
        <v>44781.0</v>
      </c>
      <c r="C13974" s="3">
        <v>0.7010879629629629</v>
      </c>
      <c r="D13974" s="1">
        <v>12.931117</v>
      </c>
      <c r="E13974" s="1">
        <v>80.122232</v>
      </c>
      <c r="F13974" s="1">
        <v>805.0</v>
      </c>
      <c r="G13974" s="1">
        <v>11.0</v>
      </c>
    </row>
    <row r="13975">
      <c r="A13975" s="1" t="s">
        <v>8</v>
      </c>
      <c r="B13975" s="2">
        <v>44781.0</v>
      </c>
      <c r="C13975" s="3">
        <v>0.7010879629629629</v>
      </c>
      <c r="D13975" s="1">
        <v>12.931117</v>
      </c>
      <c r="E13975" s="1">
        <v>80.122232</v>
      </c>
      <c r="F13975" s="1">
        <v>805.0</v>
      </c>
      <c r="G13975" s="1">
        <v>11.0</v>
      </c>
    </row>
    <row r="13976">
      <c r="A13976" s="1" t="s">
        <v>8</v>
      </c>
      <c r="B13976" s="2">
        <v>44781.0</v>
      </c>
      <c r="C13976" s="3">
        <v>0.7011111111111111</v>
      </c>
      <c r="D13976" s="1">
        <v>12.931117</v>
      </c>
      <c r="E13976" s="1">
        <v>80.122232</v>
      </c>
      <c r="F13976" s="1">
        <v>805.0</v>
      </c>
      <c r="G13976" s="1">
        <v>11.0</v>
      </c>
    </row>
    <row r="13977">
      <c r="A13977" s="1" t="s">
        <v>8</v>
      </c>
      <c r="B13977" s="2">
        <v>44781.0</v>
      </c>
      <c r="C13977" s="3">
        <v>0.7012731481481481</v>
      </c>
      <c r="D13977" s="1">
        <v>12.931448</v>
      </c>
      <c r="E13977" s="1">
        <v>80.122576</v>
      </c>
      <c r="F13977" s="1">
        <v>805.0</v>
      </c>
      <c r="G13977" s="1">
        <v>24.0</v>
      </c>
    </row>
    <row r="13978">
      <c r="A13978" s="1" t="s">
        <v>8</v>
      </c>
      <c r="B13978" s="2">
        <v>44781.0</v>
      </c>
      <c r="C13978" s="3">
        <v>0.7013888888888888</v>
      </c>
      <c r="D13978" s="1">
        <v>12.932228</v>
      </c>
      <c r="E13978" s="1">
        <v>80.123364</v>
      </c>
      <c r="F13978" s="1">
        <v>805.0</v>
      </c>
      <c r="G13978" s="1">
        <v>31.0</v>
      </c>
    </row>
    <row r="13979">
      <c r="A13979" s="1" t="s">
        <v>8</v>
      </c>
      <c r="B13979" s="2">
        <v>44781.0</v>
      </c>
      <c r="C13979" s="3">
        <v>0.7014814814814815</v>
      </c>
      <c r="D13979" s="1">
        <v>12.93317</v>
      </c>
      <c r="E13979" s="1">
        <v>80.124302</v>
      </c>
      <c r="F13979" s="1">
        <v>805.0</v>
      </c>
      <c r="G13979" s="1">
        <v>36.0</v>
      </c>
    </row>
    <row r="13980">
      <c r="A13980" s="1" t="s">
        <v>8</v>
      </c>
      <c r="B13980" s="2">
        <v>44781.0</v>
      </c>
      <c r="C13980" s="3">
        <v>0.7015393518518519</v>
      </c>
      <c r="D13980" s="1">
        <v>12.93317</v>
      </c>
      <c r="E13980" s="1">
        <v>80.124302</v>
      </c>
      <c r="F13980" s="1">
        <v>805.0</v>
      </c>
      <c r="G13980" s="1">
        <v>36.0</v>
      </c>
    </row>
    <row r="13981">
      <c r="A13981" s="1" t="s">
        <v>8</v>
      </c>
      <c r="B13981" s="2">
        <v>44781.0</v>
      </c>
      <c r="C13981" s="3">
        <v>0.7015856481481482</v>
      </c>
      <c r="D13981" s="1">
        <v>12.80492</v>
      </c>
      <c r="E13981" s="1">
        <v>80.026714</v>
      </c>
      <c r="F13981" s="1">
        <v>2846.0</v>
      </c>
      <c r="G13981" s="1">
        <v>57.0</v>
      </c>
    </row>
    <row r="13982">
      <c r="A13982" s="1" t="s">
        <v>8</v>
      </c>
      <c r="B13982" s="2">
        <v>44781.0</v>
      </c>
      <c r="C13982" s="3">
        <v>0.7020717592592592</v>
      </c>
      <c r="D13982" s="1">
        <v>12.935669</v>
      </c>
      <c r="E13982" s="1">
        <v>80.126641</v>
      </c>
      <c r="F13982" s="1">
        <v>805.0</v>
      </c>
      <c r="G13982" s="1">
        <v>16.0</v>
      </c>
    </row>
    <row r="13983">
      <c r="A13983" s="1" t="s">
        <v>8</v>
      </c>
      <c r="B13983" s="2">
        <v>44781.0</v>
      </c>
      <c r="C13983" s="3">
        <v>0.7020949074074074</v>
      </c>
      <c r="D13983" s="1">
        <v>12.935669</v>
      </c>
      <c r="E13983" s="1">
        <v>80.126641</v>
      </c>
      <c r="F13983" s="1">
        <v>805.0</v>
      </c>
      <c r="G13983" s="1">
        <v>16.0</v>
      </c>
    </row>
    <row r="13984">
      <c r="A13984" s="1" t="s">
        <v>8</v>
      </c>
      <c r="B13984" s="2">
        <v>44781.0</v>
      </c>
      <c r="C13984" s="3">
        <v>0.7021643518518519</v>
      </c>
      <c r="D13984" s="1">
        <v>12.799415</v>
      </c>
      <c r="E13984" s="1">
        <v>80.023103</v>
      </c>
      <c r="F13984" s="1">
        <v>2846.0</v>
      </c>
      <c r="G13984" s="1">
        <v>58.0</v>
      </c>
    </row>
    <row r="13985">
      <c r="A13985" s="1" t="s">
        <v>8</v>
      </c>
      <c r="B13985" s="2">
        <v>44781.0</v>
      </c>
      <c r="C13985" s="3">
        <v>0.7021759259259259</v>
      </c>
      <c r="D13985" s="1">
        <v>12.935669</v>
      </c>
      <c r="E13985" s="1">
        <v>80.126641</v>
      </c>
      <c r="F13985" s="1">
        <v>805.0</v>
      </c>
      <c r="G13985" s="1">
        <v>16.0</v>
      </c>
    </row>
    <row r="13986">
      <c r="A13986" s="1" t="s">
        <v>8</v>
      </c>
      <c r="B13986" s="2">
        <v>44781.0</v>
      </c>
      <c r="C13986" s="3">
        <v>0.7024421296296296</v>
      </c>
      <c r="D13986" s="1">
        <v>12.926838</v>
      </c>
      <c r="E13986" s="1">
        <v>80.117942</v>
      </c>
      <c r="F13986" s="1">
        <v>5339.0</v>
      </c>
      <c r="G13986" s="1">
        <v>7.0</v>
      </c>
    </row>
    <row r="13987">
      <c r="A13987" s="1" t="s">
        <v>8</v>
      </c>
      <c r="B13987" s="2">
        <v>44781.0</v>
      </c>
      <c r="C13987" s="3">
        <v>0.702488425925926</v>
      </c>
      <c r="D13987" s="1">
        <v>12.937252</v>
      </c>
      <c r="E13987" s="1">
        <v>80.127999</v>
      </c>
      <c r="F13987" s="1">
        <v>805.0</v>
      </c>
      <c r="G13987" s="1">
        <v>40.0</v>
      </c>
    </row>
    <row r="13988">
      <c r="A13988" s="1" t="s">
        <v>8</v>
      </c>
      <c r="B13988" s="2">
        <v>44781.0</v>
      </c>
      <c r="C13988" s="3">
        <v>0.7032523148148148</v>
      </c>
      <c r="D13988" s="1">
        <v>12.931478</v>
      </c>
      <c r="E13988" s="1">
        <v>80.122592</v>
      </c>
      <c r="F13988" s="1">
        <v>5339.0</v>
      </c>
      <c r="G13988" s="1">
        <v>0.0</v>
      </c>
    </row>
    <row r="13989">
      <c r="A13989" s="1" t="s">
        <v>8</v>
      </c>
      <c r="B13989" s="2">
        <v>44781.0</v>
      </c>
      <c r="C13989" s="3">
        <v>0.7033796296296296</v>
      </c>
      <c r="D13989" s="1">
        <v>12.925634</v>
      </c>
      <c r="E13989" s="1">
        <v>80.104752</v>
      </c>
      <c r="F13989" s="1">
        <v>3143.0</v>
      </c>
      <c r="G13989" s="1">
        <v>24.0</v>
      </c>
    </row>
    <row r="13990">
      <c r="A13990" s="1" t="s">
        <v>8</v>
      </c>
      <c r="B13990" s="2">
        <v>44781.0</v>
      </c>
      <c r="C13990" s="3">
        <v>0.7034375</v>
      </c>
      <c r="D13990" s="1">
        <v>12.931756</v>
      </c>
      <c r="E13990" s="1">
        <v>80.122886</v>
      </c>
      <c r="F13990" s="1">
        <v>5339.0</v>
      </c>
      <c r="G13990" s="1">
        <v>25.0</v>
      </c>
    </row>
    <row r="13991">
      <c r="A13991" s="1" t="s">
        <v>7</v>
      </c>
      <c r="B13991" s="2">
        <v>44781.0</v>
      </c>
      <c r="C13991" s="3">
        <v>0.7040393518518518</v>
      </c>
      <c r="D13991" s="1">
        <v>12.935064</v>
      </c>
      <c r="E13991" s="1">
        <v>80.126123</v>
      </c>
      <c r="F13991" s="1">
        <v>5339.0</v>
      </c>
      <c r="G13991" s="1">
        <v>42.0</v>
      </c>
    </row>
    <row r="13992">
      <c r="A13992" s="1" t="s">
        <v>7</v>
      </c>
      <c r="B13992" s="2">
        <v>44781.0</v>
      </c>
      <c r="C13992" s="3">
        <v>0.704224537037037</v>
      </c>
      <c r="D13992" s="1">
        <v>12.936359</v>
      </c>
      <c r="E13992" s="1">
        <v>80.12727</v>
      </c>
      <c r="F13992" s="1">
        <v>5339.0</v>
      </c>
      <c r="G13992" s="1">
        <v>45.0</v>
      </c>
    </row>
    <row r="13993">
      <c r="A13993" s="1" t="s">
        <v>8</v>
      </c>
      <c r="B13993" s="2">
        <v>44781.0</v>
      </c>
      <c r="C13993" s="3">
        <v>0.7043981481481482</v>
      </c>
      <c r="D13993" s="1">
        <v>12.77668</v>
      </c>
      <c r="E13993" s="1">
        <v>80.010365</v>
      </c>
      <c r="F13993" s="1">
        <v>2846.0</v>
      </c>
      <c r="G13993" s="1">
        <v>50.0</v>
      </c>
    </row>
    <row r="13994">
      <c r="A13994" s="1" t="s">
        <v>8</v>
      </c>
      <c r="B13994" s="2">
        <v>44781.0</v>
      </c>
      <c r="C13994" s="3">
        <v>0.7044097222222222</v>
      </c>
      <c r="D13994" s="1">
        <v>12.937879</v>
      </c>
      <c r="E13994" s="1">
        <v>80.128603</v>
      </c>
      <c r="F13994" s="1">
        <v>5339.0</v>
      </c>
      <c r="G13994" s="1">
        <v>52.0</v>
      </c>
    </row>
    <row r="13995">
      <c r="A13995" s="1" t="s">
        <v>8</v>
      </c>
      <c r="B13995" s="2">
        <v>44781.0</v>
      </c>
      <c r="C13995" s="3">
        <v>0.7045370370370371</v>
      </c>
      <c r="D13995" s="1">
        <v>12.939546</v>
      </c>
      <c r="E13995" s="1">
        <v>80.130072</v>
      </c>
      <c r="F13995" s="1">
        <v>5339.0</v>
      </c>
      <c r="G13995" s="1">
        <v>53.0</v>
      </c>
    </row>
    <row r="13996">
      <c r="A13996" s="1" t="s">
        <v>9</v>
      </c>
      <c r="B13996" s="2">
        <v>44781.0</v>
      </c>
      <c r="C13996" s="3">
        <v>0.7047569444444445</v>
      </c>
      <c r="D13996" s="1">
        <v>12.927144</v>
      </c>
      <c r="E13996" s="1">
        <v>80.108906</v>
      </c>
      <c r="F13996" s="1">
        <v>3143.0</v>
      </c>
      <c r="G13996" s="1">
        <v>8.0</v>
      </c>
    </row>
    <row r="13997">
      <c r="A13997" s="1" t="s">
        <v>7</v>
      </c>
      <c r="B13997" s="2">
        <v>44781.0</v>
      </c>
      <c r="C13997" s="3">
        <v>0.7049768518518519</v>
      </c>
      <c r="D13997" s="1">
        <v>12.77668</v>
      </c>
      <c r="E13997" s="1">
        <v>80.010365</v>
      </c>
      <c r="F13997" s="1">
        <v>2846.0</v>
      </c>
      <c r="G13997" s="1">
        <v>50.0</v>
      </c>
    </row>
    <row r="13998">
      <c r="A13998" s="1" t="s">
        <v>7</v>
      </c>
      <c r="B13998" s="2">
        <v>44781.0</v>
      </c>
      <c r="C13998" s="3">
        <v>0.705300925925926</v>
      </c>
      <c r="D13998" s="1">
        <v>12.7683</v>
      </c>
      <c r="E13998" s="1">
        <v>80.006411</v>
      </c>
      <c r="F13998" s="1">
        <v>2846.0</v>
      </c>
      <c r="G13998" s="1">
        <v>58.0</v>
      </c>
    </row>
    <row r="13999">
      <c r="A13999" s="1" t="s">
        <v>7</v>
      </c>
      <c r="B13999" s="2">
        <v>44781.0</v>
      </c>
      <c r="C13999" s="3">
        <v>0.7054282407407407</v>
      </c>
      <c r="D13999" s="1">
        <v>12.947168</v>
      </c>
      <c r="E13999" s="1">
        <v>80.136931</v>
      </c>
      <c r="F13999" s="1">
        <v>805.0</v>
      </c>
      <c r="G13999" s="1">
        <v>5.0</v>
      </c>
    </row>
    <row r="14000">
      <c r="A14000" s="1" t="s">
        <v>8</v>
      </c>
      <c r="B14000" s="2">
        <v>44781.0</v>
      </c>
      <c r="C14000" s="3">
        <v>0.7060185185185185</v>
      </c>
      <c r="D14000" s="1">
        <v>12.950122</v>
      </c>
      <c r="E14000" s="1">
        <v>80.139194</v>
      </c>
      <c r="F14000" s="1">
        <v>805.0</v>
      </c>
      <c r="G14000" s="1">
        <v>0.0</v>
      </c>
    </row>
    <row r="14001">
      <c r="A14001" s="1" t="s">
        <v>8</v>
      </c>
      <c r="B14001" s="2">
        <v>44781.0</v>
      </c>
      <c r="C14001" s="3">
        <v>0.7061689814814814</v>
      </c>
      <c r="D14001" s="1">
        <v>12.950213</v>
      </c>
      <c r="E14001" s="1">
        <v>80.139274</v>
      </c>
      <c r="F14001" s="1">
        <v>805.0</v>
      </c>
      <c r="G14001" s="1">
        <v>11.0</v>
      </c>
    </row>
    <row r="14002">
      <c r="A14002" s="1" t="s">
        <v>8</v>
      </c>
      <c r="B14002" s="2">
        <v>44781.0</v>
      </c>
      <c r="C14002" s="3">
        <v>0.7062037037037037</v>
      </c>
      <c r="D14002" s="1">
        <v>12.950213</v>
      </c>
      <c r="E14002" s="1">
        <v>80.139274</v>
      </c>
      <c r="F14002" s="1">
        <v>805.0</v>
      </c>
      <c r="G14002" s="1">
        <v>11.0</v>
      </c>
    </row>
    <row r="14003">
      <c r="A14003" s="1" t="s">
        <v>8</v>
      </c>
      <c r="B14003" s="2">
        <v>44781.0</v>
      </c>
      <c r="C14003" s="3">
        <v>0.7062847222222223</v>
      </c>
      <c r="D14003" s="1">
        <v>12.950213</v>
      </c>
      <c r="E14003" s="1">
        <v>80.139274</v>
      </c>
      <c r="F14003" s="1">
        <v>805.0</v>
      </c>
      <c r="G14003" s="1">
        <v>11.0</v>
      </c>
    </row>
    <row r="14004">
      <c r="A14004" s="1" t="s">
        <v>10</v>
      </c>
      <c r="B14004" s="2">
        <v>44781.0</v>
      </c>
      <c r="C14004" s="3">
        <v>0.7065856481481482</v>
      </c>
      <c r="D14004" s="1">
        <v>12.930311</v>
      </c>
      <c r="E14004" s="1">
        <v>80.115007</v>
      </c>
      <c r="F14004" s="1">
        <v>3143.0</v>
      </c>
      <c r="G14004" s="1">
        <v>0.0</v>
      </c>
    </row>
    <row r="14005">
      <c r="A14005" s="1" t="s">
        <v>7</v>
      </c>
      <c r="B14005" s="2">
        <v>44781.0</v>
      </c>
      <c r="C14005" s="3">
        <v>0.7069907407407408</v>
      </c>
      <c r="D14005" s="1">
        <v>12.755682</v>
      </c>
      <c r="E14005" s="1">
        <v>80.001801</v>
      </c>
      <c r="F14005" s="1">
        <v>2846.0</v>
      </c>
      <c r="G14005" s="1">
        <v>59.0</v>
      </c>
    </row>
    <row r="14006">
      <c r="A14006" s="1" t="s">
        <v>8</v>
      </c>
      <c r="B14006" s="2">
        <v>44781.0</v>
      </c>
      <c r="C14006" s="3">
        <v>0.7075810185185185</v>
      </c>
      <c r="D14006" s="1">
        <v>12.950101</v>
      </c>
      <c r="E14006" s="1">
        <v>80.13922</v>
      </c>
      <c r="F14006" s="1">
        <v>5339.0</v>
      </c>
      <c r="G14006" s="1">
        <v>0.0</v>
      </c>
    </row>
    <row r="14007">
      <c r="A14007" s="1" t="s">
        <v>8</v>
      </c>
      <c r="B14007" s="2">
        <v>44781.0</v>
      </c>
      <c r="C14007" s="3">
        <v>0.7075810185185185</v>
      </c>
      <c r="D14007" s="1">
        <v>12.950101</v>
      </c>
      <c r="E14007" s="1">
        <v>80.13922</v>
      </c>
      <c r="F14007" s="1">
        <v>5339.0</v>
      </c>
      <c r="G14007" s="1">
        <v>0.0</v>
      </c>
    </row>
    <row r="14008">
      <c r="A14008" s="1" t="s">
        <v>8</v>
      </c>
      <c r="B14008" s="2">
        <v>44781.0</v>
      </c>
      <c r="C14008" s="3">
        <v>0.7075810185185185</v>
      </c>
      <c r="D14008" s="1">
        <v>12.950101</v>
      </c>
      <c r="E14008" s="1">
        <v>80.13922</v>
      </c>
      <c r="F14008" s="1">
        <v>5339.0</v>
      </c>
      <c r="G14008" s="1">
        <v>0.0</v>
      </c>
    </row>
    <row r="14009">
      <c r="A14009" s="1" t="s">
        <v>7</v>
      </c>
      <c r="B14009" s="2">
        <v>44781.0</v>
      </c>
      <c r="C14009" s="3">
        <v>0.7077314814814815</v>
      </c>
      <c r="D14009" s="1">
        <v>12.746626</v>
      </c>
      <c r="E14009" s="1">
        <v>79.995288</v>
      </c>
      <c r="F14009" s="1">
        <v>2846.0</v>
      </c>
      <c r="G14009" s="1">
        <v>58.0</v>
      </c>
    </row>
    <row r="14010">
      <c r="A14010" s="1" t="s">
        <v>8</v>
      </c>
      <c r="B14010" s="2">
        <v>44781.0</v>
      </c>
      <c r="C14010" s="3">
        <v>0.707974537037037</v>
      </c>
      <c r="D14010" s="1">
        <v>12.931528</v>
      </c>
      <c r="E14010" s="1">
        <v>80.122551</v>
      </c>
      <c r="F14010" s="1">
        <v>3143.0</v>
      </c>
      <c r="G14010" s="1">
        <v>0.0</v>
      </c>
    </row>
    <row r="14011">
      <c r="A14011" s="1" t="s">
        <v>7</v>
      </c>
      <c r="B14011" s="2">
        <v>44781.0</v>
      </c>
      <c r="C14011" s="3">
        <v>0.708113425925926</v>
      </c>
      <c r="D14011" s="1">
        <v>12.931563</v>
      </c>
      <c r="E14011" s="1">
        <v>80.122589</v>
      </c>
      <c r="F14011" s="1">
        <v>3143.0</v>
      </c>
      <c r="G14011" s="1">
        <v>7.0</v>
      </c>
    </row>
    <row r="14012">
      <c r="A14012" s="1" t="s">
        <v>8</v>
      </c>
      <c r="B14012" s="2">
        <v>44781.0</v>
      </c>
      <c r="C14012" s="3">
        <v>0.7082175925925925</v>
      </c>
      <c r="D14012" s="1">
        <v>12.960176</v>
      </c>
      <c r="E14012" s="1">
        <v>80.145069</v>
      </c>
      <c r="F14012" s="1">
        <v>805.0</v>
      </c>
      <c r="G14012" s="1">
        <v>6.0</v>
      </c>
    </row>
    <row r="14013">
      <c r="A14013" s="1" t="s">
        <v>8</v>
      </c>
      <c r="B14013" s="2">
        <v>44781.0</v>
      </c>
      <c r="C14013" s="3">
        <v>0.7083333333333334</v>
      </c>
      <c r="D14013" s="1">
        <v>12.960176</v>
      </c>
      <c r="E14013" s="1">
        <v>80.145069</v>
      </c>
      <c r="F14013" s="1">
        <v>805.0</v>
      </c>
      <c r="G14013" s="1">
        <v>6.0</v>
      </c>
    </row>
    <row r="14014">
      <c r="A14014" s="1" t="s">
        <v>8</v>
      </c>
      <c r="B14014" s="2">
        <v>44781.0</v>
      </c>
      <c r="C14014" s="3">
        <v>0.7083333333333334</v>
      </c>
      <c r="D14014" s="1">
        <v>12.960176</v>
      </c>
      <c r="E14014" s="1">
        <v>80.145069</v>
      </c>
      <c r="F14014" s="1">
        <v>805.0</v>
      </c>
      <c r="G14014" s="1">
        <v>6.0</v>
      </c>
    </row>
    <row r="14015">
      <c r="A14015" s="1" t="s">
        <v>8</v>
      </c>
      <c r="B14015" s="2">
        <v>44781.0</v>
      </c>
      <c r="C14015" s="3">
        <v>0.7083564814814814</v>
      </c>
      <c r="D14015" s="1">
        <v>12.93327</v>
      </c>
      <c r="E14015" s="1">
        <v>80.124352</v>
      </c>
      <c r="F14015" s="1">
        <v>3143.0</v>
      </c>
      <c r="G14015" s="1">
        <v>43.0</v>
      </c>
    </row>
    <row r="14016">
      <c r="A14016" s="1" t="s">
        <v>7</v>
      </c>
      <c r="B14016" s="2">
        <v>44781.0</v>
      </c>
      <c r="C14016" s="3">
        <v>0.7084143518518519</v>
      </c>
      <c r="D14016" s="1">
        <v>12.746626</v>
      </c>
      <c r="E14016" s="1">
        <v>79.995288</v>
      </c>
      <c r="F14016" s="1">
        <v>2846.0</v>
      </c>
      <c r="G14016" s="1">
        <v>58.0</v>
      </c>
    </row>
    <row r="14017">
      <c r="A14017" s="1" t="s">
        <v>7</v>
      </c>
      <c r="B14017" s="2">
        <v>44781.0</v>
      </c>
      <c r="C14017" s="3">
        <v>0.7086342592592593</v>
      </c>
      <c r="D14017" s="1">
        <v>12.934647</v>
      </c>
      <c r="E14017" s="1">
        <v>80.125737</v>
      </c>
      <c r="F14017" s="1">
        <v>3143.0</v>
      </c>
      <c r="G14017" s="1">
        <v>55.0</v>
      </c>
    </row>
    <row r="14018">
      <c r="A14018" s="1" t="s">
        <v>8</v>
      </c>
      <c r="B14018" s="2">
        <v>44781.0</v>
      </c>
      <c r="C14018" s="3">
        <v>0.7087962962962963</v>
      </c>
      <c r="D14018" s="1">
        <v>12.93592</v>
      </c>
      <c r="E14018" s="1">
        <v>80.12681</v>
      </c>
      <c r="F14018" s="1">
        <v>3143.0</v>
      </c>
      <c r="G14018" s="1">
        <v>31.0</v>
      </c>
    </row>
    <row r="14019">
      <c r="A14019" s="1" t="s">
        <v>8</v>
      </c>
      <c r="B14019" s="2">
        <v>44781.0</v>
      </c>
      <c r="C14019" s="3">
        <v>0.7088310185185185</v>
      </c>
      <c r="D14019" s="1">
        <v>12.93592</v>
      </c>
      <c r="E14019" s="1">
        <v>80.12681</v>
      </c>
      <c r="F14019" s="1">
        <v>3143.0</v>
      </c>
      <c r="G14019" s="1">
        <v>31.0</v>
      </c>
    </row>
    <row r="14020">
      <c r="A14020" s="1" t="s">
        <v>8</v>
      </c>
      <c r="B14020" s="2">
        <v>44781.0</v>
      </c>
      <c r="C14020" s="3">
        <v>0.7088310185185185</v>
      </c>
      <c r="D14020" s="1">
        <v>12.738773</v>
      </c>
      <c r="E14020" s="1">
        <v>79.988937</v>
      </c>
      <c r="F14020" s="1">
        <v>2846.0</v>
      </c>
      <c r="G14020" s="1">
        <v>58.0</v>
      </c>
    </row>
    <row r="14021">
      <c r="A14021" s="1" t="s">
        <v>8</v>
      </c>
      <c r="B14021" s="2">
        <v>44781.0</v>
      </c>
      <c r="C14021" s="3">
        <v>0.7088541666666667</v>
      </c>
      <c r="D14021" s="1">
        <v>12.93592</v>
      </c>
      <c r="E14021" s="1">
        <v>80.12681</v>
      </c>
      <c r="F14021" s="1">
        <v>3143.0</v>
      </c>
      <c r="G14021" s="1">
        <v>31.0</v>
      </c>
    </row>
    <row r="14022">
      <c r="A14022" s="1" t="s">
        <v>9</v>
      </c>
      <c r="B14022" s="2">
        <v>44781.0</v>
      </c>
      <c r="C14022" s="3">
        <v>0.7089004629629629</v>
      </c>
      <c r="D14022" s="1">
        <v>12.738773</v>
      </c>
      <c r="E14022" s="1">
        <v>79.988937</v>
      </c>
      <c r="F14022" s="1">
        <v>2846.0</v>
      </c>
      <c r="G14022" s="1">
        <v>58.0</v>
      </c>
    </row>
    <row r="14023">
      <c r="A14023" s="1" t="s">
        <v>7</v>
      </c>
      <c r="B14023" s="2">
        <v>44781.0</v>
      </c>
      <c r="C14023" s="3">
        <v>0.709224537037037</v>
      </c>
      <c r="D14023" s="1">
        <v>12.966125</v>
      </c>
      <c r="E14023" s="1">
        <v>80.148495</v>
      </c>
      <c r="F14023" s="1">
        <v>805.0</v>
      </c>
      <c r="G14023" s="1">
        <v>42.0</v>
      </c>
    </row>
    <row r="14024">
      <c r="A14024" s="1" t="s">
        <v>8</v>
      </c>
      <c r="B14024" s="2">
        <v>44781.0</v>
      </c>
      <c r="C14024" s="3">
        <v>0.709224537037037</v>
      </c>
      <c r="D14024" s="1">
        <v>12.95609</v>
      </c>
      <c r="E14024" s="1">
        <v>80.143056</v>
      </c>
      <c r="F14024" s="1">
        <v>5339.0</v>
      </c>
      <c r="G14024" s="1">
        <v>0.0</v>
      </c>
    </row>
    <row r="14025">
      <c r="A14025" s="1" t="s">
        <v>8</v>
      </c>
      <c r="B14025" s="2">
        <v>44781.0</v>
      </c>
      <c r="C14025" s="3">
        <v>0.7095254629629629</v>
      </c>
      <c r="D14025" s="1">
        <v>12.956223</v>
      </c>
      <c r="E14025" s="1">
        <v>80.14311</v>
      </c>
      <c r="F14025" s="1">
        <v>5339.0</v>
      </c>
      <c r="G14025" s="1">
        <v>11.0</v>
      </c>
    </row>
    <row r="14026">
      <c r="A14026" s="1" t="s">
        <v>8</v>
      </c>
      <c r="B14026" s="2">
        <v>44781.0</v>
      </c>
      <c r="C14026" s="3">
        <v>0.7095254629629629</v>
      </c>
      <c r="D14026" s="1">
        <v>12.956223</v>
      </c>
      <c r="E14026" s="1">
        <v>80.14311</v>
      </c>
      <c r="F14026" s="1">
        <v>5339.0</v>
      </c>
      <c r="G14026" s="1">
        <v>11.0</v>
      </c>
    </row>
    <row r="14027">
      <c r="A14027" s="1" t="s">
        <v>7</v>
      </c>
      <c r="B14027" s="2">
        <v>44781.0</v>
      </c>
      <c r="C14027" s="3">
        <v>0.7096296296296296</v>
      </c>
      <c r="D14027" s="1">
        <v>12.73207</v>
      </c>
      <c r="E14027" s="1">
        <v>79.983191</v>
      </c>
      <c r="F14027" s="1">
        <v>2846.0</v>
      </c>
      <c r="G14027" s="1">
        <v>55.0</v>
      </c>
    </row>
    <row r="14028">
      <c r="A14028" s="1" t="s">
        <v>7</v>
      </c>
      <c r="B14028" s="2">
        <v>44781.0</v>
      </c>
      <c r="C14028" s="3">
        <v>0.7096527777777778</v>
      </c>
      <c r="D14028" s="1">
        <v>12.96982</v>
      </c>
      <c r="E14028" s="1">
        <v>80.150251</v>
      </c>
      <c r="F14028" s="1">
        <v>805.0</v>
      </c>
      <c r="G14028" s="1">
        <v>58.0</v>
      </c>
    </row>
    <row r="14029">
      <c r="A14029" s="1" t="s">
        <v>8</v>
      </c>
      <c r="B14029" s="2">
        <v>44781.0</v>
      </c>
      <c r="C14029" s="3">
        <v>0.709837962962963</v>
      </c>
      <c r="D14029" s="1">
        <v>12.958609</v>
      </c>
      <c r="E14029" s="1">
        <v>80.144279</v>
      </c>
      <c r="F14029" s="1">
        <v>5339.0</v>
      </c>
      <c r="G14029" s="1">
        <v>40.0</v>
      </c>
    </row>
    <row r="14030">
      <c r="A14030" s="1" t="s">
        <v>8</v>
      </c>
      <c r="B14030" s="2">
        <v>44781.0</v>
      </c>
      <c r="C14030" s="3">
        <v>0.7100115740740741</v>
      </c>
      <c r="D14030" s="1">
        <v>12.959941</v>
      </c>
      <c r="E14030" s="1">
        <v>80.144978</v>
      </c>
      <c r="F14030" s="1">
        <v>5339.0</v>
      </c>
      <c r="G14030" s="1">
        <v>26.0</v>
      </c>
    </row>
    <row r="14031">
      <c r="A14031" s="1" t="s">
        <v>7</v>
      </c>
      <c r="B14031" s="2">
        <v>44781.0</v>
      </c>
      <c r="C14031" s="3">
        <v>0.710625</v>
      </c>
      <c r="D14031" s="1">
        <v>12.975928</v>
      </c>
      <c r="E14031" s="1">
        <v>80.156886</v>
      </c>
      <c r="F14031" s="1">
        <v>805.0</v>
      </c>
      <c r="G14031" s="1">
        <v>51.0</v>
      </c>
    </row>
    <row r="14032">
      <c r="A14032" s="1" t="s">
        <v>7</v>
      </c>
      <c r="B14032" s="2">
        <v>44781.0</v>
      </c>
      <c r="C14032" s="3">
        <v>0.7111805555555556</v>
      </c>
      <c r="D14032" s="1">
        <v>12.980433</v>
      </c>
      <c r="E14032" s="1">
        <v>80.164626</v>
      </c>
      <c r="F14032" s="1">
        <v>805.0</v>
      </c>
      <c r="G14032" s="1">
        <v>58.0</v>
      </c>
    </row>
    <row r="14033">
      <c r="A14033" s="1" t="s">
        <v>8</v>
      </c>
      <c r="B14033" s="2">
        <v>44781.0</v>
      </c>
      <c r="C14033" s="3">
        <v>0.7112037037037037</v>
      </c>
      <c r="D14033" s="1">
        <v>12.981527</v>
      </c>
      <c r="E14033" s="1">
        <v>80.166733</v>
      </c>
      <c r="F14033" s="1">
        <v>805.0</v>
      </c>
      <c r="G14033" s="1">
        <v>58.0</v>
      </c>
    </row>
    <row r="14034">
      <c r="A14034" s="1" t="s">
        <v>8</v>
      </c>
      <c r="B14034" s="2">
        <v>44781.0</v>
      </c>
      <c r="C14034" s="3">
        <v>0.7113078703703704</v>
      </c>
      <c r="D14034" s="1">
        <v>12.981527</v>
      </c>
      <c r="E14034" s="1">
        <v>80.166733</v>
      </c>
      <c r="F14034" s="1">
        <v>805.0</v>
      </c>
      <c r="G14034" s="1">
        <v>58.0</v>
      </c>
    </row>
    <row r="14035">
      <c r="A14035" s="1" t="s">
        <v>7</v>
      </c>
      <c r="B14035" s="2">
        <v>44781.0</v>
      </c>
      <c r="C14035" s="3">
        <v>0.7113888888888888</v>
      </c>
      <c r="D14035" s="1">
        <v>12.969077</v>
      </c>
      <c r="E14035" s="1">
        <v>80.149956</v>
      </c>
      <c r="F14035" s="1">
        <v>5339.0</v>
      </c>
      <c r="G14035" s="1">
        <v>57.0</v>
      </c>
    </row>
    <row r="14036">
      <c r="A14036" s="1" t="s">
        <v>8</v>
      </c>
      <c r="B14036" s="2">
        <v>44781.0</v>
      </c>
      <c r="C14036" s="3">
        <v>0.7114930555555555</v>
      </c>
      <c r="D14036" s="1">
        <v>12.982725</v>
      </c>
      <c r="E14036" s="1">
        <v>80.168792</v>
      </c>
      <c r="F14036" s="1">
        <v>805.0</v>
      </c>
      <c r="G14036" s="1">
        <v>58.0</v>
      </c>
    </row>
    <row r="14037">
      <c r="A14037" s="1" t="s">
        <v>8</v>
      </c>
      <c r="B14037" s="2">
        <v>44781.0</v>
      </c>
      <c r="C14037" s="3">
        <v>0.7116782407407407</v>
      </c>
      <c r="D14037" s="1">
        <v>12.983925</v>
      </c>
      <c r="E14037" s="1">
        <v>80.17084</v>
      </c>
      <c r="F14037" s="1">
        <v>805.0</v>
      </c>
      <c r="G14037" s="1">
        <v>58.0</v>
      </c>
    </row>
    <row r="14038">
      <c r="A14038" s="1" t="s">
        <v>8</v>
      </c>
      <c r="B14038" s="2">
        <v>44781.0</v>
      </c>
      <c r="C14038" s="3">
        <v>0.7117129629629629</v>
      </c>
      <c r="D14038" s="1">
        <v>12.983925</v>
      </c>
      <c r="E14038" s="1">
        <v>80.17084</v>
      </c>
      <c r="F14038" s="1">
        <v>805.0</v>
      </c>
      <c r="G14038" s="1">
        <v>58.0</v>
      </c>
    </row>
    <row r="14039">
      <c r="A14039" s="1" t="s">
        <v>8</v>
      </c>
      <c r="B14039" s="2">
        <v>44781.0</v>
      </c>
      <c r="C14039" s="3">
        <v>0.7118287037037037</v>
      </c>
      <c r="D14039" s="1">
        <v>12.949944</v>
      </c>
      <c r="E14039" s="1">
        <v>80.139076</v>
      </c>
      <c r="F14039" s="1">
        <v>3143.0</v>
      </c>
      <c r="G14039" s="1">
        <v>27.0</v>
      </c>
    </row>
    <row r="14040">
      <c r="A14040" s="1" t="s">
        <v>8</v>
      </c>
      <c r="B14040" s="2">
        <v>44781.0</v>
      </c>
      <c r="C14040" s="3">
        <v>0.7118402777777778</v>
      </c>
      <c r="D14040" s="1">
        <v>12.949944</v>
      </c>
      <c r="E14040" s="1">
        <v>80.139076</v>
      </c>
      <c r="F14040" s="1">
        <v>3143.0</v>
      </c>
      <c r="G14040" s="1">
        <v>27.0</v>
      </c>
    </row>
    <row r="14041">
      <c r="A14041" s="1" t="s">
        <v>8</v>
      </c>
      <c r="B14041" s="2">
        <v>44781.0</v>
      </c>
      <c r="C14041" s="3">
        <v>0.7118402777777778</v>
      </c>
      <c r="D14041" s="1">
        <v>12.949944</v>
      </c>
      <c r="E14041" s="1">
        <v>80.139076</v>
      </c>
      <c r="F14041" s="1">
        <v>3143.0</v>
      </c>
      <c r="G14041" s="1">
        <v>27.0</v>
      </c>
    </row>
    <row r="14042">
      <c r="A14042" s="1" t="s">
        <v>8</v>
      </c>
      <c r="B14042" s="2">
        <v>44781.0</v>
      </c>
      <c r="C14042" s="3">
        <v>0.7118518518518518</v>
      </c>
      <c r="D14042" s="1">
        <v>12.949944</v>
      </c>
      <c r="E14042" s="1">
        <v>80.139076</v>
      </c>
      <c r="F14042" s="1">
        <v>3143.0</v>
      </c>
      <c r="G14042" s="1">
        <v>27.0</v>
      </c>
    </row>
    <row r="14043">
      <c r="A14043" s="1" t="s">
        <v>7</v>
      </c>
      <c r="B14043" s="2">
        <v>44781.0</v>
      </c>
      <c r="C14043" s="3">
        <v>0.7119097222222223</v>
      </c>
      <c r="D14043" s="1">
        <v>12.974209</v>
      </c>
      <c r="E14043" s="1">
        <v>80.154433</v>
      </c>
      <c r="F14043" s="1">
        <v>5339.0</v>
      </c>
      <c r="G14043" s="1">
        <v>57.0</v>
      </c>
    </row>
    <row r="14044">
      <c r="A14044" s="1" t="s">
        <v>8</v>
      </c>
      <c r="B14044" s="2">
        <v>44781.0</v>
      </c>
      <c r="C14044" s="3">
        <v>0.7119328703703703</v>
      </c>
      <c r="D14044" s="1">
        <v>12.986017</v>
      </c>
      <c r="E14044" s="1">
        <v>80.174044</v>
      </c>
      <c r="F14044" s="1">
        <v>805.0</v>
      </c>
      <c r="G14044" s="1">
        <v>43.0</v>
      </c>
    </row>
    <row r="14045">
      <c r="A14045" s="1" t="s">
        <v>7</v>
      </c>
      <c r="B14045" s="2">
        <v>44781.0</v>
      </c>
      <c r="C14045" s="3">
        <v>0.7120601851851852</v>
      </c>
      <c r="D14045" s="1">
        <v>12.975407</v>
      </c>
      <c r="E14045" s="1">
        <v>80.156106</v>
      </c>
      <c r="F14045" s="1">
        <v>5339.0</v>
      </c>
      <c r="G14045" s="1">
        <v>48.0</v>
      </c>
    </row>
    <row r="14046">
      <c r="A14046" s="1" t="s">
        <v>8</v>
      </c>
      <c r="B14046" s="2">
        <v>44781.0</v>
      </c>
      <c r="C14046" s="3">
        <v>0.7122685185185185</v>
      </c>
      <c r="D14046" s="1">
        <v>12.950382</v>
      </c>
      <c r="E14046" s="1">
        <v>80.139422</v>
      </c>
      <c r="F14046" s="1">
        <v>3143.0</v>
      </c>
      <c r="G14046" s="1">
        <v>18.0</v>
      </c>
    </row>
    <row r="14047">
      <c r="A14047" s="1" t="s">
        <v>8</v>
      </c>
      <c r="B14047" s="2">
        <v>44781.0</v>
      </c>
      <c r="C14047" s="3">
        <v>0.7122800925925926</v>
      </c>
      <c r="D14047" s="1">
        <v>12.950382</v>
      </c>
      <c r="E14047" s="1">
        <v>80.139422</v>
      </c>
      <c r="F14047" s="1">
        <v>3143.0</v>
      </c>
      <c r="G14047" s="1">
        <v>18.0</v>
      </c>
    </row>
    <row r="14048">
      <c r="A14048" s="1" t="s">
        <v>8</v>
      </c>
      <c r="B14048" s="2">
        <v>44781.0</v>
      </c>
      <c r="C14048" s="3">
        <v>0.7124652777777778</v>
      </c>
      <c r="D14048" s="1">
        <v>12.951295</v>
      </c>
      <c r="E14048" s="1">
        <v>80.140127</v>
      </c>
      <c r="F14048" s="1">
        <v>3143.0</v>
      </c>
      <c r="G14048" s="1">
        <v>32.0</v>
      </c>
    </row>
    <row r="14049">
      <c r="A14049" s="1" t="s">
        <v>7</v>
      </c>
      <c r="B14049" s="2">
        <v>44781.0</v>
      </c>
      <c r="C14049" s="3">
        <v>0.7127083333333334</v>
      </c>
      <c r="D14049" s="1">
        <v>12.989582</v>
      </c>
      <c r="E14049" s="1">
        <v>80.178922</v>
      </c>
      <c r="F14049" s="1">
        <v>805.0</v>
      </c>
      <c r="G14049" s="1">
        <v>23.0</v>
      </c>
    </row>
    <row r="14050">
      <c r="A14050" s="1" t="s">
        <v>8</v>
      </c>
      <c r="B14050" s="2">
        <v>44781.0</v>
      </c>
      <c r="C14050" s="3">
        <v>0.7129166666666666</v>
      </c>
      <c r="D14050" s="1">
        <v>12.955023</v>
      </c>
      <c r="E14050" s="1">
        <v>80.142467</v>
      </c>
      <c r="F14050" s="1">
        <v>3143.0</v>
      </c>
      <c r="G14050" s="1">
        <v>36.0</v>
      </c>
    </row>
    <row r="14051">
      <c r="A14051" s="1" t="s">
        <v>8</v>
      </c>
      <c r="B14051" s="2">
        <v>44781.0</v>
      </c>
      <c r="C14051" s="3">
        <v>0.7129976851851851</v>
      </c>
      <c r="D14051" s="1">
        <v>12.955023</v>
      </c>
      <c r="E14051" s="1">
        <v>80.142467</v>
      </c>
      <c r="F14051" s="1">
        <v>3143.0</v>
      </c>
      <c r="G14051" s="1">
        <v>36.0</v>
      </c>
    </row>
    <row r="14052">
      <c r="A14052" s="1" t="s">
        <v>8</v>
      </c>
      <c r="B14052" s="2">
        <v>44781.0</v>
      </c>
      <c r="C14052" s="3">
        <v>0.7133449074074074</v>
      </c>
      <c r="D14052" s="1">
        <v>12.723513</v>
      </c>
      <c r="E14052" s="1">
        <v>79.981857</v>
      </c>
      <c r="F14052" s="1">
        <v>2846.0</v>
      </c>
      <c r="G14052" s="1">
        <v>33.0</v>
      </c>
    </row>
    <row r="14053">
      <c r="A14053" s="1" t="s">
        <v>8</v>
      </c>
      <c r="B14053" s="2">
        <v>44781.0</v>
      </c>
      <c r="C14053" s="3">
        <v>0.7134027777777778</v>
      </c>
      <c r="D14053" s="1">
        <v>12.720028</v>
      </c>
      <c r="E14053" s="1">
        <v>79.981218</v>
      </c>
      <c r="F14053" s="1">
        <v>2846.0</v>
      </c>
      <c r="G14053" s="1">
        <v>55.0</v>
      </c>
    </row>
    <row r="14054">
      <c r="A14054" s="1" t="s">
        <v>8</v>
      </c>
      <c r="B14054" s="2">
        <v>44781.0</v>
      </c>
      <c r="C14054" s="3">
        <v>0.7135300925925926</v>
      </c>
      <c r="D14054" s="1">
        <v>12.993296</v>
      </c>
      <c r="E14054" s="1">
        <v>80.184044</v>
      </c>
      <c r="F14054" s="1">
        <v>805.0</v>
      </c>
      <c r="G14054" s="1">
        <v>5.0</v>
      </c>
    </row>
    <row r="14055">
      <c r="A14055" s="1" t="s">
        <v>7</v>
      </c>
      <c r="B14055" s="2">
        <v>44781.0</v>
      </c>
      <c r="C14055" s="3">
        <v>0.7138425925925926</v>
      </c>
      <c r="D14055" s="1">
        <v>12.993908</v>
      </c>
      <c r="E14055" s="1">
        <v>80.185162</v>
      </c>
      <c r="F14055" s="1">
        <v>805.0</v>
      </c>
      <c r="G14055" s="1">
        <v>19.0</v>
      </c>
    </row>
    <row r="14056">
      <c r="A14056" s="1" t="s">
        <v>7</v>
      </c>
      <c r="B14056" s="2">
        <v>44781.0</v>
      </c>
      <c r="C14056" s="3">
        <v>0.7143287037037037</v>
      </c>
      <c r="D14056" s="1">
        <v>12.711777</v>
      </c>
      <c r="E14056" s="1">
        <v>79.979174</v>
      </c>
      <c r="F14056" s="1">
        <v>2846.0</v>
      </c>
      <c r="G14056" s="1">
        <v>55.0</v>
      </c>
    </row>
    <row r="14057">
      <c r="A14057" s="1" t="s">
        <v>8</v>
      </c>
      <c r="B14057" s="2">
        <v>44781.0</v>
      </c>
      <c r="C14057" s="3">
        <v>0.7144328703703704</v>
      </c>
      <c r="D14057" s="1">
        <v>12.708419</v>
      </c>
      <c r="E14057" s="1">
        <v>79.977096</v>
      </c>
      <c r="F14057" s="1">
        <v>2846.0</v>
      </c>
      <c r="G14057" s="1">
        <v>60.0</v>
      </c>
    </row>
    <row r="14058">
      <c r="A14058" s="1" t="s">
        <v>8</v>
      </c>
      <c r="B14058" s="2">
        <v>44781.0</v>
      </c>
      <c r="C14058" s="3">
        <v>0.7145949074074074</v>
      </c>
      <c r="D14058" s="1">
        <v>12.987623</v>
      </c>
      <c r="E14058" s="1">
        <v>80.176345</v>
      </c>
      <c r="F14058" s="1">
        <v>5339.0</v>
      </c>
      <c r="G14058" s="1">
        <v>35.0</v>
      </c>
    </row>
    <row r="14059">
      <c r="A14059" s="1" t="s">
        <v>8</v>
      </c>
      <c r="B14059" s="2">
        <v>44781.0</v>
      </c>
      <c r="C14059" s="3">
        <v>0.7151736111111111</v>
      </c>
      <c r="D14059" s="1">
        <v>12.990321</v>
      </c>
      <c r="E14059" s="1">
        <v>80.179901</v>
      </c>
      <c r="F14059" s="1">
        <v>5339.0</v>
      </c>
      <c r="G14059" s="1">
        <v>35.0</v>
      </c>
    </row>
    <row r="14060">
      <c r="A14060" s="1" t="s">
        <v>7</v>
      </c>
      <c r="B14060" s="2">
        <v>44781.0</v>
      </c>
      <c r="C14060" s="3">
        <v>0.7154513888888889</v>
      </c>
      <c r="D14060" s="1">
        <v>12.70232</v>
      </c>
      <c r="E14060" s="1">
        <v>79.970539</v>
      </c>
      <c r="F14060" s="1">
        <v>2846.0</v>
      </c>
      <c r="G14060" s="1">
        <v>57.0</v>
      </c>
    </row>
    <row r="14061">
      <c r="A14061" s="1" t="s">
        <v>7</v>
      </c>
      <c r="B14061" s="2">
        <v>44781.0</v>
      </c>
      <c r="C14061" s="3">
        <v>0.7160069444444445</v>
      </c>
      <c r="D14061" s="1">
        <v>13.001195</v>
      </c>
      <c r="E14061" s="1">
        <v>80.195505</v>
      </c>
      <c r="F14061" s="1">
        <v>805.0</v>
      </c>
      <c r="G14061" s="1">
        <v>12.0</v>
      </c>
    </row>
    <row r="14062">
      <c r="A14062" s="1" t="s">
        <v>8</v>
      </c>
      <c r="B14062" s="2">
        <v>44781.0</v>
      </c>
      <c r="C14062" s="3">
        <v>0.7163425925925926</v>
      </c>
      <c r="D14062" s="1">
        <v>12.698342</v>
      </c>
      <c r="E14062" s="1">
        <v>79.970462</v>
      </c>
      <c r="F14062" s="1">
        <v>2846.0</v>
      </c>
      <c r="G14062" s="1">
        <v>42.0</v>
      </c>
    </row>
    <row r="14063">
      <c r="A14063" s="1" t="s">
        <v>8</v>
      </c>
      <c r="B14063" s="2">
        <v>44781.0</v>
      </c>
      <c r="C14063" s="3">
        <v>0.7167245370370371</v>
      </c>
      <c r="D14063" s="1">
        <v>12.961075</v>
      </c>
      <c r="E14063" s="1">
        <v>80.145703</v>
      </c>
      <c r="F14063" s="1">
        <v>3143.0</v>
      </c>
      <c r="G14063" s="1">
        <v>6.0</v>
      </c>
    </row>
    <row r="14064">
      <c r="A14064" s="1" t="s">
        <v>8</v>
      </c>
      <c r="B14064" s="2">
        <v>44781.0</v>
      </c>
      <c r="C14064" s="3">
        <v>0.7168518518518519</v>
      </c>
      <c r="D14064" s="1">
        <v>12.961075</v>
      </c>
      <c r="E14064" s="1">
        <v>80.145703</v>
      </c>
      <c r="F14064" s="1">
        <v>3143.0</v>
      </c>
      <c r="G14064" s="1">
        <v>6.0</v>
      </c>
    </row>
    <row r="14065">
      <c r="A14065" s="1" t="s">
        <v>8</v>
      </c>
      <c r="B14065" s="2">
        <v>44781.0</v>
      </c>
      <c r="C14065" s="3">
        <v>0.7173958333333333</v>
      </c>
      <c r="D14065" s="1">
        <v>13.008467</v>
      </c>
      <c r="E14065" s="1">
        <v>80.2034</v>
      </c>
      <c r="F14065" s="1">
        <v>805.0</v>
      </c>
      <c r="G14065" s="1">
        <v>38.0</v>
      </c>
    </row>
    <row r="14066">
      <c r="A14066" s="1" t="s">
        <v>8</v>
      </c>
      <c r="B14066" s="2">
        <v>44781.0</v>
      </c>
      <c r="C14066" s="3">
        <v>0.7175231481481481</v>
      </c>
      <c r="D14066" s="1">
        <v>13.007538</v>
      </c>
      <c r="E14066" s="1">
        <v>80.203403</v>
      </c>
      <c r="F14066" s="1">
        <v>805.0</v>
      </c>
      <c r="G14066" s="1">
        <v>45.0</v>
      </c>
    </row>
    <row r="14067">
      <c r="A14067" s="1" t="s">
        <v>7</v>
      </c>
      <c r="B14067" s="2">
        <v>44781.0</v>
      </c>
      <c r="C14067" s="3">
        <v>0.717662037037037</v>
      </c>
      <c r="D14067" s="1">
        <v>13.007538</v>
      </c>
      <c r="E14067" s="1">
        <v>80.203403</v>
      </c>
      <c r="F14067" s="1">
        <v>805.0</v>
      </c>
      <c r="G14067" s="1">
        <v>45.0</v>
      </c>
    </row>
    <row r="14068">
      <c r="A14068" s="1" t="s">
        <v>8</v>
      </c>
      <c r="B14068" s="2">
        <v>44781.0</v>
      </c>
      <c r="C14068" s="3">
        <v>0.7178240740740741</v>
      </c>
      <c r="D14068" s="1">
        <v>13.007643</v>
      </c>
      <c r="E14068" s="1">
        <v>80.205579</v>
      </c>
      <c r="F14068" s="1">
        <v>805.0</v>
      </c>
      <c r="G14068" s="1">
        <v>58.0</v>
      </c>
    </row>
    <row r="14069">
      <c r="A14069" s="1" t="s">
        <v>8</v>
      </c>
      <c r="B14069" s="2">
        <v>44781.0</v>
      </c>
      <c r="C14069" s="3">
        <v>0.7182523148148148</v>
      </c>
      <c r="D14069" s="1">
        <v>13.008272</v>
      </c>
      <c r="E14069" s="1">
        <v>80.209633</v>
      </c>
      <c r="F14069" s="1">
        <v>805.0</v>
      </c>
      <c r="G14069" s="1">
        <v>46.0</v>
      </c>
    </row>
    <row r="14070">
      <c r="A14070" s="1" t="s">
        <v>10</v>
      </c>
      <c r="B14070" s="2">
        <v>44781.0</v>
      </c>
      <c r="C14070" s="3">
        <v>0.7183449074074074</v>
      </c>
      <c r="D14070" s="1">
        <v>12.968847</v>
      </c>
      <c r="E14070" s="1">
        <v>80.148029</v>
      </c>
      <c r="F14070" s="1">
        <v>3143.0</v>
      </c>
      <c r="G14070" s="1">
        <v>17.0</v>
      </c>
    </row>
    <row r="14071">
      <c r="A14071" s="1" t="s">
        <v>8</v>
      </c>
      <c r="B14071" s="2">
        <v>44781.0</v>
      </c>
      <c r="C14071" s="3">
        <v>0.7185648148148148</v>
      </c>
      <c r="D14071" s="1">
        <v>13.009464</v>
      </c>
      <c r="E14071" s="1">
        <v>80.213061</v>
      </c>
      <c r="F14071" s="1">
        <v>805.0</v>
      </c>
      <c r="G14071" s="1">
        <v>36.0</v>
      </c>
    </row>
    <row r="14072">
      <c r="A14072" s="1" t="s">
        <v>10</v>
      </c>
      <c r="B14072" s="2">
        <v>44781.0</v>
      </c>
      <c r="C14072" s="3">
        <v>0.7187268518518518</v>
      </c>
      <c r="D14072" s="1">
        <v>12.69432</v>
      </c>
      <c r="E14072" s="1">
        <v>79.978689</v>
      </c>
      <c r="F14072" s="1">
        <v>2846.0</v>
      </c>
      <c r="G14072" s="1">
        <v>28.0</v>
      </c>
    </row>
    <row r="14073">
      <c r="A14073" s="1" t="s">
        <v>7</v>
      </c>
      <c r="B14073" s="2">
        <v>44781.0</v>
      </c>
      <c r="C14073" s="3">
        <v>0.719212962962963</v>
      </c>
      <c r="D14073" s="1">
        <v>13.006556</v>
      </c>
      <c r="E14073" s="1">
        <v>80.203201</v>
      </c>
      <c r="F14073" s="1">
        <v>5339.0</v>
      </c>
      <c r="G14073" s="1">
        <v>52.0</v>
      </c>
    </row>
    <row r="14074">
      <c r="A14074" s="1" t="s">
        <v>8</v>
      </c>
      <c r="B14074" s="2">
        <v>44781.0</v>
      </c>
      <c r="C14074" s="3">
        <v>0.7193055555555555</v>
      </c>
      <c r="D14074" s="1">
        <v>13.008332</v>
      </c>
      <c r="E14074" s="1">
        <v>80.2036</v>
      </c>
      <c r="F14074" s="1">
        <v>5339.0</v>
      </c>
      <c r="G14074" s="1">
        <v>34.0</v>
      </c>
    </row>
    <row r="14075">
      <c r="A14075" s="1" t="s">
        <v>8</v>
      </c>
      <c r="B14075" s="2">
        <v>44781.0</v>
      </c>
      <c r="C14075" s="3">
        <v>0.7194212962962963</v>
      </c>
      <c r="D14075" s="1">
        <v>13.007649</v>
      </c>
      <c r="E14075" s="1">
        <v>80.202829</v>
      </c>
      <c r="F14075" s="1">
        <v>5339.0</v>
      </c>
      <c r="G14075" s="1">
        <v>36.0</v>
      </c>
    </row>
    <row r="14076">
      <c r="A14076" s="1" t="s">
        <v>8</v>
      </c>
      <c r="B14076" s="2">
        <v>44781.0</v>
      </c>
      <c r="C14076" s="3">
        <v>0.7194328703703704</v>
      </c>
      <c r="D14076" s="1">
        <v>13.011816</v>
      </c>
      <c r="E14076" s="1">
        <v>80.219669</v>
      </c>
      <c r="F14076" s="1">
        <v>805.0</v>
      </c>
      <c r="G14076" s="1">
        <v>42.0</v>
      </c>
    </row>
    <row r="14077">
      <c r="A14077" s="1" t="s">
        <v>8</v>
      </c>
      <c r="B14077" s="2">
        <v>44781.0</v>
      </c>
      <c r="C14077" s="3">
        <v>0.7201157407407407</v>
      </c>
      <c r="D14077" s="1">
        <v>13.007985</v>
      </c>
      <c r="E14077" s="1">
        <v>80.208243</v>
      </c>
      <c r="F14077" s="1">
        <v>5339.0</v>
      </c>
      <c r="G14077" s="1">
        <v>42.0</v>
      </c>
    </row>
    <row r="14078">
      <c r="A14078" s="1" t="s">
        <v>8</v>
      </c>
      <c r="B14078" s="2">
        <v>44781.0</v>
      </c>
      <c r="C14078" s="3">
        <v>0.7202314814814815</v>
      </c>
      <c r="D14078" s="1">
        <v>13.015279</v>
      </c>
      <c r="E14078" s="1">
        <v>80.225785</v>
      </c>
      <c r="F14078" s="1">
        <v>805.0</v>
      </c>
      <c r="G14078" s="1">
        <v>21.0</v>
      </c>
    </row>
    <row r="14079">
      <c r="A14079" s="1" t="s">
        <v>8</v>
      </c>
      <c r="B14079" s="2">
        <v>44781.0</v>
      </c>
      <c r="C14079" s="3">
        <v>0.7202314814814815</v>
      </c>
      <c r="D14079" s="1">
        <v>13.015279</v>
      </c>
      <c r="E14079" s="1">
        <v>80.225785</v>
      </c>
      <c r="F14079" s="1">
        <v>805.0</v>
      </c>
      <c r="G14079" s="1">
        <v>21.0</v>
      </c>
    </row>
    <row r="14080">
      <c r="A14080" s="1" t="s">
        <v>8</v>
      </c>
      <c r="B14080" s="2">
        <v>44781.0</v>
      </c>
      <c r="C14080" s="3">
        <v>0.7202546296296296</v>
      </c>
      <c r="D14080" s="1">
        <v>13.008329</v>
      </c>
      <c r="E14080" s="1">
        <v>80.209905</v>
      </c>
      <c r="F14080" s="1">
        <v>5339.0</v>
      </c>
      <c r="G14080" s="1">
        <v>41.0</v>
      </c>
    </row>
    <row r="14081">
      <c r="A14081" s="1" t="s">
        <v>8</v>
      </c>
      <c r="B14081" s="2">
        <v>44781.0</v>
      </c>
      <c r="C14081" s="3">
        <v>0.7203472222222222</v>
      </c>
      <c r="D14081" s="1">
        <v>13.015279</v>
      </c>
      <c r="E14081" s="1">
        <v>80.225785</v>
      </c>
      <c r="F14081" s="1">
        <v>805.0</v>
      </c>
      <c r="G14081" s="1">
        <v>21.0</v>
      </c>
    </row>
    <row r="14082">
      <c r="A14082" s="1" t="s">
        <v>8</v>
      </c>
      <c r="B14082" s="2">
        <v>44781.0</v>
      </c>
      <c r="C14082" s="3">
        <v>0.7204050925925926</v>
      </c>
      <c r="D14082" s="1">
        <v>13.015144</v>
      </c>
      <c r="E14082" s="1">
        <v>80.225858</v>
      </c>
      <c r="F14082" s="1">
        <v>805.0</v>
      </c>
      <c r="G14082" s="1">
        <v>0.0</v>
      </c>
    </row>
    <row r="14083">
      <c r="A14083" s="1" t="s">
        <v>8</v>
      </c>
      <c r="B14083" s="2">
        <v>44781.0</v>
      </c>
      <c r="C14083" s="3">
        <v>0.7205787037037037</v>
      </c>
      <c r="D14083" s="1">
        <v>13.014792</v>
      </c>
      <c r="E14083" s="1">
        <v>80.226001</v>
      </c>
      <c r="F14083" s="1">
        <v>805.0</v>
      </c>
      <c r="G14083" s="1">
        <v>22.0</v>
      </c>
    </row>
    <row r="14084">
      <c r="A14084" s="1" t="s">
        <v>8</v>
      </c>
      <c r="B14084" s="2">
        <v>44781.0</v>
      </c>
      <c r="C14084" s="3">
        <v>0.7207870370370371</v>
      </c>
      <c r="D14084" s="1">
        <v>13.01007</v>
      </c>
      <c r="E14084" s="1">
        <v>80.214539</v>
      </c>
      <c r="F14084" s="1">
        <v>5339.0</v>
      </c>
      <c r="G14084" s="1">
        <v>23.0</v>
      </c>
    </row>
    <row r="14085">
      <c r="A14085" s="1" t="s">
        <v>8</v>
      </c>
      <c r="B14085" s="2">
        <v>44781.0</v>
      </c>
      <c r="C14085" s="3">
        <v>0.7209606481481482</v>
      </c>
      <c r="D14085" s="1">
        <v>13.012057</v>
      </c>
      <c r="E14085" s="1">
        <v>80.227111</v>
      </c>
      <c r="F14085" s="1">
        <v>805.0</v>
      </c>
      <c r="G14085" s="1">
        <v>47.0</v>
      </c>
    </row>
    <row r="14086">
      <c r="A14086" s="1" t="s">
        <v>8</v>
      </c>
      <c r="B14086" s="2">
        <v>44781.0</v>
      </c>
      <c r="C14086" s="3">
        <v>0.7210069444444445</v>
      </c>
      <c r="D14086" s="1">
        <v>13.010263</v>
      </c>
      <c r="E14086" s="1">
        <v>80.215708</v>
      </c>
      <c r="F14086" s="1">
        <v>5339.0</v>
      </c>
      <c r="G14086" s="1">
        <v>31.0</v>
      </c>
    </row>
    <row r="14087">
      <c r="A14087" s="1" t="s">
        <v>9</v>
      </c>
      <c r="B14087" s="2">
        <v>44781.0</v>
      </c>
      <c r="C14087" s="3">
        <v>0.7211689814814815</v>
      </c>
      <c r="D14087" s="1">
        <v>13.010165</v>
      </c>
      <c r="E14087" s="1">
        <v>80.227896</v>
      </c>
      <c r="F14087" s="1">
        <v>805.0</v>
      </c>
      <c r="G14087" s="1">
        <v>39.0</v>
      </c>
    </row>
    <row r="14088">
      <c r="A14088" s="1" t="s">
        <v>8</v>
      </c>
      <c r="B14088" s="2">
        <v>44781.0</v>
      </c>
      <c r="C14088" s="3">
        <v>0.7213310185185186</v>
      </c>
      <c r="D14088" s="1">
        <v>13.010165</v>
      </c>
      <c r="E14088" s="1">
        <v>80.227896</v>
      </c>
      <c r="F14088" s="1">
        <v>805.0</v>
      </c>
      <c r="G14088" s="1">
        <v>39.0</v>
      </c>
    </row>
    <row r="14089">
      <c r="A14089" s="1" t="s">
        <v>8</v>
      </c>
      <c r="B14089" s="2">
        <v>44781.0</v>
      </c>
      <c r="C14089" s="3">
        <v>0.7213425925925926</v>
      </c>
      <c r="D14089" s="1">
        <v>13.009062</v>
      </c>
      <c r="E14089" s="1">
        <v>80.228896</v>
      </c>
      <c r="F14089" s="1">
        <v>805.0</v>
      </c>
      <c r="G14089" s="1">
        <v>40.0</v>
      </c>
    </row>
    <row r="14090">
      <c r="A14090" s="1" t="s">
        <v>8</v>
      </c>
      <c r="B14090" s="2">
        <v>44781.0</v>
      </c>
      <c r="C14090" s="3">
        <v>0.7213425925925926</v>
      </c>
      <c r="D14090" s="1">
        <v>13.009062</v>
      </c>
      <c r="E14090" s="1">
        <v>80.228896</v>
      </c>
      <c r="F14090" s="1">
        <v>805.0</v>
      </c>
      <c r="G14090" s="1">
        <v>40.0</v>
      </c>
    </row>
    <row r="14091">
      <c r="A14091" s="1" t="s">
        <v>10</v>
      </c>
      <c r="B14091" s="2">
        <v>44781.0</v>
      </c>
      <c r="C14091" s="3">
        <v>0.7215856481481482</v>
      </c>
      <c r="D14091" s="1">
        <v>12.684419</v>
      </c>
      <c r="E14091" s="1">
        <v>79.983433</v>
      </c>
      <c r="F14091" s="1">
        <v>2846.0</v>
      </c>
      <c r="G14091" s="1">
        <v>22.0</v>
      </c>
    </row>
    <row r="14092">
      <c r="A14092" s="1" t="s">
        <v>10</v>
      </c>
      <c r="B14092" s="2">
        <v>44781.0</v>
      </c>
      <c r="C14092" s="3">
        <v>0.7216203703703704</v>
      </c>
      <c r="D14092" s="1">
        <v>12.684419</v>
      </c>
      <c r="E14092" s="1">
        <v>79.983433</v>
      </c>
      <c r="F14092" s="1">
        <v>2846.0</v>
      </c>
      <c r="G14092" s="1">
        <v>22.0</v>
      </c>
    </row>
    <row r="14093">
      <c r="A14093" s="1" t="s">
        <v>8</v>
      </c>
      <c r="B14093" s="2">
        <v>44781.0</v>
      </c>
      <c r="C14093" s="3">
        <v>0.7217939814814814</v>
      </c>
      <c r="D14093" s="1">
        <v>13.012495</v>
      </c>
      <c r="E14093" s="1">
        <v>80.221406</v>
      </c>
      <c r="F14093" s="1">
        <v>5339.0</v>
      </c>
      <c r="G14093" s="1">
        <v>40.0</v>
      </c>
    </row>
    <row r="14094">
      <c r="A14094" s="1" t="s">
        <v>10</v>
      </c>
      <c r="B14094" s="2">
        <v>44781.0</v>
      </c>
      <c r="C14094" s="3">
        <v>0.7234606481481481</v>
      </c>
      <c r="D14094" s="1">
        <v>12.974234</v>
      </c>
      <c r="E14094" s="1">
        <v>80.135427</v>
      </c>
      <c r="F14094" s="1">
        <v>3143.0</v>
      </c>
      <c r="G14094" s="1">
        <v>2.0</v>
      </c>
    </row>
    <row r="14095">
      <c r="A14095" s="1" t="s">
        <v>8</v>
      </c>
      <c r="B14095" s="2">
        <v>44781.0</v>
      </c>
      <c r="C14095" s="3">
        <v>0.7234722222222222</v>
      </c>
      <c r="D14095" s="1">
        <v>13.01942</v>
      </c>
      <c r="E14095" s="1">
        <v>80.224418</v>
      </c>
      <c r="F14095" s="1">
        <v>5339.0</v>
      </c>
      <c r="G14095" s="1">
        <v>14.0</v>
      </c>
    </row>
    <row r="14096">
      <c r="A14096" s="1" t="s">
        <v>10</v>
      </c>
      <c r="B14096" s="2">
        <v>44781.0</v>
      </c>
      <c r="C14096" s="3">
        <v>0.7240740740740741</v>
      </c>
      <c r="D14096" s="1">
        <v>12.974681</v>
      </c>
      <c r="E14096" s="1">
        <v>80.135286</v>
      </c>
      <c r="F14096" s="1">
        <v>3143.0</v>
      </c>
      <c r="G14096" s="1">
        <v>20.0</v>
      </c>
    </row>
    <row r="14097">
      <c r="A14097" s="1" t="s">
        <v>8</v>
      </c>
      <c r="B14097" s="2">
        <v>44781.0</v>
      </c>
      <c r="C14097" s="3">
        <v>0.7241550925925926</v>
      </c>
      <c r="D14097" s="1">
        <v>13.006738</v>
      </c>
      <c r="E14097" s="1">
        <v>80.240867</v>
      </c>
      <c r="F14097" s="1">
        <v>805.0</v>
      </c>
      <c r="G14097" s="1">
        <v>16.0</v>
      </c>
    </row>
    <row r="14098">
      <c r="A14098" s="1" t="s">
        <v>8</v>
      </c>
      <c r="B14098" s="2">
        <v>44781.0</v>
      </c>
      <c r="C14098" s="3">
        <v>0.7241666666666666</v>
      </c>
      <c r="D14098" s="1">
        <v>13.006738</v>
      </c>
      <c r="E14098" s="1">
        <v>80.240867</v>
      </c>
      <c r="F14098" s="1">
        <v>805.0</v>
      </c>
      <c r="G14098" s="1">
        <v>16.0</v>
      </c>
    </row>
    <row r="14099">
      <c r="A14099" s="1" t="s">
        <v>8</v>
      </c>
      <c r="B14099" s="2">
        <v>44781.0</v>
      </c>
      <c r="C14099" s="3">
        <v>0.7241898148148148</v>
      </c>
      <c r="D14099" s="1">
        <v>13.006738</v>
      </c>
      <c r="E14099" s="1">
        <v>80.240867</v>
      </c>
      <c r="F14099" s="1">
        <v>805.0</v>
      </c>
      <c r="G14099" s="1">
        <v>16.0</v>
      </c>
    </row>
    <row r="14100">
      <c r="A14100" s="1" t="s">
        <v>8</v>
      </c>
      <c r="B14100" s="2">
        <v>44781.0</v>
      </c>
      <c r="C14100" s="3">
        <v>0.7242708333333333</v>
      </c>
      <c r="D14100" s="1">
        <v>13.006666</v>
      </c>
      <c r="E14100" s="1">
        <v>80.241824</v>
      </c>
      <c r="F14100" s="1">
        <v>805.0</v>
      </c>
      <c r="G14100" s="1">
        <v>22.0</v>
      </c>
    </row>
    <row r="14101">
      <c r="A14101" s="1" t="s">
        <v>10</v>
      </c>
      <c r="B14101" s="2">
        <v>44781.0</v>
      </c>
      <c r="C14101" s="3">
        <v>0.7244097222222222</v>
      </c>
      <c r="D14101" s="1">
        <v>12.976553</v>
      </c>
      <c r="E14101" s="1">
        <v>80.135523</v>
      </c>
      <c r="F14101" s="1">
        <v>3143.0</v>
      </c>
      <c r="G14101" s="1">
        <v>18.0</v>
      </c>
    </row>
    <row r="14102">
      <c r="A14102" s="1" t="s">
        <v>10</v>
      </c>
      <c r="B14102" s="2">
        <v>44781.0</v>
      </c>
      <c r="C14102" s="3">
        <v>0.7248726851851852</v>
      </c>
      <c r="D14102" s="1">
        <v>12.980511</v>
      </c>
      <c r="E14102" s="1">
        <v>80.136835</v>
      </c>
      <c r="F14102" s="1">
        <v>3143.0</v>
      </c>
      <c r="G14102" s="1">
        <v>41.0</v>
      </c>
    </row>
    <row r="14103">
      <c r="A14103" s="1" t="s">
        <v>10</v>
      </c>
      <c r="B14103" s="2">
        <v>44781.0</v>
      </c>
      <c r="C14103" s="3">
        <v>0.7252083333333333</v>
      </c>
      <c r="D14103" s="1">
        <v>12.98169</v>
      </c>
      <c r="E14103" s="1">
        <v>80.138216</v>
      </c>
      <c r="F14103" s="1">
        <v>3143.0</v>
      </c>
      <c r="G14103" s="1">
        <v>26.0</v>
      </c>
    </row>
    <row r="14104">
      <c r="A14104" s="1" t="s">
        <v>10</v>
      </c>
      <c r="B14104" s="2">
        <v>44781.0</v>
      </c>
      <c r="C14104" s="3">
        <v>0.7253587962962963</v>
      </c>
      <c r="D14104" s="1">
        <v>12.98169</v>
      </c>
      <c r="E14104" s="1">
        <v>80.138216</v>
      </c>
      <c r="F14104" s="1">
        <v>3143.0</v>
      </c>
      <c r="G14104" s="1">
        <v>26.0</v>
      </c>
    </row>
    <row r="14105">
      <c r="A14105" s="1" t="s">
        <v>8</v>
      </c>
      <c r="B14105" s="2">
        <v>44781.0</v>
      </c>
      <c r="C14105" s="3">
        <v>0.7260069444444445</v>
      </c>
      <c r="D14105" s="1">
        <v>13.026296</v>
      </c>
      <c r="E14105" s="1">
        <v>80.232222</v>
      </c>
      <c r="F14105" s="1">
        <v>5339.0</v>
      </c>
      <c r="G14105" s="1">
        <v>0.0</v>
      </c>
    </row>
    <row r="14106">
      <c r="A14106" s="1" t="s">
        <v>8</v>
      </c>
      <c r="B14106" s="2">
        <v>44781.0</v>
      </c>
      <c r="C14106" s="3">
        <v>0.7260069444444445</v>
      </c>
      <c r="D14106" s="1">
        <v>13.026296</v>
      </c>
      <c r="E14106" s="1">
        <v>80.232222</v>
      </c>
      <c r="F14106" s="1">
        <v>5339.0</v>
      </c>
      <c r="G14106" s="1">
        <v>0.0</v>
      </c>
    </row>
    <row r="14107">
      <c r="A14107" s="1" t="s">
        <v>8</v>
      </c>
      <c r="B14107" s="2">
        <v>44781.0</v>
      </c>
      <c r="C14107" s="3">
        <v>0.7260185185185185</v>
      </c>
      <c r="D14107" s="1">
        <v>13.026296</v>
      </c>
      <c r="E14107" s="1">
        <v>80.232222</v>
      </c>
      <c r="F14107" s="1">
        <v>5339.0</v>
      </c>
      <c r="G14107" s="1">
        <v>0.0</v>
      </c>
    </row>
    <row r="14108">
      <c r="A14108" s="1" t="s">
        <v>7</v>
      </c>
      <c r="B14108" s="2">
        <v>44781.0</v>
      </c>
      <c r="C14108" s="3">
        <v>0.72625</v>
      </c>
      <c r="D14108" s="1">
        <v>13.006772</v>
      </c>
      <c r="E14108" s="1">
        <v>80.247692</v>
      </c>
      <c r="F14108" s="1">
        <v>805.0</v>
      </c>
      <c r="G14108" s="1">
        <v>16.0</v>
      </c>
    </row>
    <row r="14109">
      <c r="A14109" s="1" t="s">
        <v>8</v>
      </c>
      <c r="B14109" s="2">
        <v>44781.0</v>
      </c>
      <c r="C14109" s="3">
        <v>0.72625</v>
      </c>
      <c r="D14109" s="1">
        <v>13.006772</v>
      </c>
      <c r="E14109" s="1">
        <v>80.247692</v>
      </c>
      <c r="F14109" s="1">
        <v>805.0</v>
      </c>
      <c r="G14109" s="1">
        <v>16.0</v>
      </c>
    </row>
    <row r="14110">
      <c r="A14110" s="1" t="s">
        <v>8</v>
      </c>
      <c r="B14110" s="2">
        <v>44781.0</v>
      </c>
      <c r="C14110" s="3">
        <v>0.7264467592592593</v>
      </c>
      <c r="D14110" s="1">
        <v>13.02764</v>
      </c>
      <c r="E14110" s="1">
        <v>80.234774</v>
      </c>
      <c r="F14110" s="1">
        <v>5339.0</v>
      </c>
      <c r="G14110" s="1">
        <v>24.0</v>
      </c>
    </row>
    <row r="14111">
      <c r="A14111" s="1" t="s">
        <v>8</v>
      </c>
      <c r="B14111" s="2">
        <v>44781.0</v>
      </c>
      <c r="C14111" s="3">
        <v>0.7264583333333333</v>
      </c>
      <c r="D14111" s="1">
        <v>13.02764</v>
      </c>
      <c r="E14111" s="1">
        <v>80.234774</v>
      </c>
      <c r="F14111" s="1">
        <v>5339.0</v>
      </c>
      <c r="G14111" s="1">
        <v>24.0</v>
      </c>
    </row>
    <row r="14112">
      <c r="A14112" s="1" t="s">
        <v>8</v>
      </c>
      <c r="B14112" s="2">
        <v>44781.0</v>
      </c>
      <c r="C14112" s="3">
        <v>0.7272222222222222</v>
      </c>
      <c r="D14112" s="1">
        <v>13.006864</v>
      </c>
      <c r="E14112" s="1">
        <v>80.251404</v>
      </c>
      <c r="F14112" s="1">
        <v>805.0</v>
      </c>
      <c r="G14112" s="1">
        <v>0.0</v>
      </c>
    </row>
    <row r="14113">
      <c r="A14113" s="1" t="s">
        <v>10</v>
      </c>
      <c r="B14113" s="2">
        <v>44781.0</v>
      </c>
      <c r="C14113" s="3">
        <v>0.7274305555555556</v>
      </c>
      <c r="D14113" s="1">
        <v>12.987688</v>
      </c>
      <c r="E14113" s="1">
        <v>80.141922</v>
      </c>
      <c r="F14113" s="1">
        <v>3143.0</v>
      </c>
      <c r="G14113" s="1">
        <v>3.0</v>
      </c>
    </row>
    <row r="14114">
      <c r="A14114" s="1" t="s">
        <v>8</v>
      </c>
      <c r="B14114" s="2">
        <v>44781.0</v>
      </c>
      <c r="C14114" s="3">
        <v>0.7275347222222223</v>
      </c>
      <c r="D14114" s="1">
        <v>13.006864</v>
      </c>
      <c r="E14114" s="1">
        <v>80.251404</v>
      </c>
      <c r="F14114" s="1">
        <v>805.0</v>
      </c>
      <c r="G14114" s="1">
        <v>0.0</v>
      </c>
    </row>
    <row r="14115">
      <c r="A14115" s="1" t="s">
        <v>10</v>
      </c>
      <c r="B14115" s="2">
        <v>44781.0</v>
      </c>
      <c r="C14115" s="3">
        <v>0.7276273148148148</v>
      </c>
      <c r="D14115" s="1">
        <v>12.987685</v>
      </c>
      <c r="E14115" s="1">
        <v>80.141999</v>
      </c>
      <c r="F14115" s="1">
        <v>3143.0</v>
      </c>
      <c r="G14115" s="1">
        <v>0.0</v>
      </c>
    </row>
    <row r="14116">
      <c r="A14116" s="1" t="s">
        <v>8</v>
      </c>
      <c r="B14116" s="2">
        <v>44781.0</v>
      </c>
      <c r="C14116" s="3">
        <v>0.7277199074074074</v>
      </c>
      <c r="D14116" s="1">
        <v>13.006629</v>
      </c>
      <c r="E14116" s="1">
        <v>80.252414</v>
      </c>
      <c r="F14116" s="1">
        <v>805.0</v>
      </c>
      <c r="G14116" s="1">
        <v>32.0</v>
      </c>
    </row>
    <row r="14117">
      <c r="A14117" s="1" t="s">
        <v>10</v>
      </c>
      <c r="B14117" s="2">
        <v>44781.0</v>
      </c>
      <c r="C14117" s="3">
        <v>0.7280902777777778</v>
      </c>
      <c r="D14117" s="1">
        <v>12.986305</v>
      </c>
      <c r="E14117" s="1">
        <v>80.142041</v>
      </c>
      <c r="F14117" s="1">
        <v>3143.0</v>
      </c>
      <c r="G14117" s="1">
        <v>25.0</v>
      </c>
    </row>
    <row r="14118">
      <c r="A14118" s="1" t="s">
        <v>8</v>
      </c>
      <c r="B14118" s="2">
        <v>44781.0</v>
      </c>
      <c r="C14118" s="3">
        <v>0.7284375</v>
      </c>
      <c r="D14118" s="1">
        <v>13.006659</v>
      </c>
      <c r="E14118" s="1">
        <v>80.256791</v>
      </c>
      <c r="F14118" s="1">
        <v>805.0</v>
      </c>
      <c r="G14118" s="1">
        <v>0.0</v>
      </c>
    </row>
    <row r="14119">
      <c r="A14119" s="1" t="s">
        <v>8</v>
      </c>
      <c r="B14119" s="2">
        <v>44781.0</v>
      </c>
      <c r="C14119" s="3">
        <v>0.7285532407407408</v>
      </c>
      <c r="D14119" s="1">
        <v>13.006659</v>
      </c>
      <c r="E14119" s="1">
        <v>80.256791</v>
      </c>
      <c r="F14119" s="1">
        <v>805.0</v>
      </c>
      <c r="G14119" s="1">
        <v>0.0</v>
      </c>
    </row>
    <row r="14120">
      <c r="A14120" s="1" t="s">
        <v>8</v>
      </c>
      <c r="B14120" s="2">
        <v>44781.0</v>
      </c>
      <c r="C14120" s="3">
        <v>0.7285532407407408</v>
      </c>
      <c r="D14120" s="1">
        <v>13.006659</v>
      </c>
      <c r="E14120" s="1">
        <v>80.256791</v>
      </c>
      <c r="F14120" s="1">
        <v>805.0</v>
      </c>
      <c r="G14120" s="1">
        <v>0.0</v>
      </c>
    </row>
    <row r="14121">
      <c r="A14121" s="1" t="s">
        <v>8</v>
      </c>
      <c r="B14121" s="2">
        <v>44781.0</v>
      </c>
      <c r="C14121" s="3">
        <v>0.7285763888888889</v>
      </c>
      <c r="D14121" s="1">
        <v>13.006659</v>
      </c>
      <c r="E14121" s="1">
        <v>80.256791</v>
      </c>
      <c r="F14121" s="1">
        <v>805.0</v>
      </c>
      <c r="G14121" s="1">
        <v>0.0</v>
      </c>
    </row>
    <row r="14122">
      <c r="A14122" s="1" t="s">
        <v>8</v>
      </c>
      <c r="B14122" s="2">
        <v>44781.0</v>
      </c>
      <c r="C14122" s="3">
        <v>0.7285763888888889</v>
      </c>
      <c r="D14122" s="1">
        <v>13.006659</v>
      </c>
      <c r="E14122" s="1">
        <v>80.256791</v>
      </c>
      <c r="F14122" s="1">
        <v>805.0</v>
      </c>
      <c r="G14122" s="1">
        <v>0.0</v>
      </c>
    </row>
    <row r="14123">
      <c r="A14123" s="1" t="s">
        <v>10</v>
      </c>
      <c r="B14123" s="2">
        <v>44781.0</v>
      </c>
      <c r="C14123" s="3">
        <v>0.7286458333333333</v>
      </c>
      <c r="D14123" s="1">
        <v>13.006635</v>
      </c>
      <c r="E14123" s="1">
        <v>80.256934</v>
      </c>
      <c r="F14123" s="1">
        <v>805.0</v>
      </c>
      <c r="G14123" s="1">
        <v>11.0</v>
      </c>
    </row>
    <row r="14124">
      <c r="A14124" s="1" t="s">
        <v>8</v>
      </c>
      <c r="B14124" s="2">
        <v>44781.0</v>
      </c>
      <c r="C14124" s="3">
        <v>0.7288078703703704</v>
      </c>
      <c r="D14124" s="1">
        <v>13.031514</v>
      </c>
      <c r="E14124" s="1">
        <v>80.240596</v>
      </c>
      <c r="F14124" s="1">
        <v>5339.0</v>
      </c>
      <c r="G14124" s="1">
        <v>35.0</v>
      </c>
    </row>
    <row r="14125">
      <c r="A14125" s="1" t="s">
        <v>7</v>
      </c>
      <c r="B14125" s="2">
        <v>44781.0</v>
      </c>
      <c r="C14125" s="3">
        <v>0.7296990740740741</v>
      </c>
      <c r="D14125" s="1">
        <v>13.008883</v>
      </c>
      <c r="E14125" s="1">
        <v>80.259042</v>
      </c>
      <c r="F14125" s="1">
        <v>805.0</v>
      </c>
      <c r="G14125" s="1">
        <v>11.0</v>
      </c>
    </row>
    <row r="14126">
      <c r="A14126" s="1" t="s">
        <v>7</v>
      </c>
      <c r="B14126" s="2">
        <v>44781.0</v>
      </c>
      <c r="C14126" s="3">
        <v>0.729837962962963</v>
      </c>
      <c r="D14126" s="1">
        <v>13.01014</v>
      </c>
      <c r="E14126" s="1">
        <v>80.259089</v>
      </c>
      <c r="F14126" s="1">
        <v>805.0</v>
      </c>
      <c r="G14126" s="1">
        <v>42.0</v>
      </c>
    </row>
    <row r="14127">
      <c r="A14127" s="1" t="s">
        <v>8</v>
      </c>
      <c r="B14127" s="2">
        <v>44781.0</v>
      </c>
      <c r="C14127" s="3">
        <v>0.7299189814814815</v>
      </c>
      <c r="D14127" s="1">
        <v>13.01014</v>
      </c>
      <c r="E14127" s="1">
        <v>80.259089</v>
      </c>
      <c r="F14127" s="1">
        <v>805.0</v>
      </c>
      <c r="G14127" s="1">
        <v>42.0</v>
      </c>
    </row>
    <row r="14128">
      <c r="A14128" s="1" t="s">
        <v>8</v>
      </c>
      <c r="B14128" s="2">
        <v>44781.0</v>
      </c>
      <c r="C14128" s="3">
        <v>0.7304166666666667</v>
      </c>
      <c r="D14128" s="1">
        <v>13.015972</v>
      </c>
      <c r="E14128" s="1">
        <v>80.259482</v>
      </c>
      <c r="F14128" s="1">
        <v>805.0</v>
      </c>
      <c r="G14128" s="1">
        <v>20.0</v>
      </c>
    </row>
    <row r="14129">
      <c r="A14129" s="1" t="s">
        <v>10</v>
      </c>
      <c r="B14129" s="2">
        <v>44781.0</v>
      </c>
      <c r="C14129" s="3">
        <v>0.7305787037037037</v>
      </c>
      <c r="D14129" s="1">
        <v>13.01729</v>
      </c>
      <c r="E14129" s="1">
        <v>80.260314</v>
      </c>
      <c r="F14129" s="1">
        <v>805.0</v>
      </c>
      <c r="G14129" s="1">
        <v>44.0</v>
      </c>
    </row>
    <row r="14130">
      <c r="A14130" s="1" t="s">
        <v>8</v>
      </c>
      <c r="B14130" s="2">
        <v>44781.0</v>
      </c>
      <c r="C14130" s="3">
        <v>0.7318865740740741</v>
      </c>
      <c r="D14130" s="1">
        <v>13.020734</v>
      </c>
      <c r="E14130" s="1">
        <v>80.262813</v>
      </c>
      <c r="F14130" s="1">
        <v>805.0</v>
      </c>
      <c r="G14130" s="1">
        <v>23.0</v>
      </c>
    </row>
    <row r="14131">
      <c r="A14131" s="1" t="s">
        <v>7</v>
      </c>
      <c r="B14131" s="2">
        <v>44781.0</v>
      </c>
      <c r="C14131" s="3">
        <v>0.7319791666666666</v>
      </c>
      <c r="D14131" s="1">
        <v>12.634458</v>
      </c>
      <c r="E14131" s="1">
        <v>79.933178</v>
      </c>
      <c r="F14131" s="1">
        <v>2846.0</v>
      </c>
      <c r="G14131" s="1">
        <v>58.0</v>
      </c>
    </row>
    <row r="14132">
      <c r="A14132" s="1" t="s">
        <v>8</v>
      </c>
      <c r="B14132" s="2">
        <v>44781.0</v>
      </c>
      <c r="C14132" s="3">
        <v>0.7319907407407408</v>
      </c>
      <c r="D14132" s="1">
        <v>13.021515</v>
      </c>
      <c r="E14132" s="1">
        <v>80.263049</v>
      </c>
      <c r="F14132" s="1">
        <v>805.0</v>
      </c>
      <c r="G14132" s="1">
        <v>19.0</v>
      </c>
    </row>
    <row r="14133">
      <c r="A14133" s="1" t="s">
        <v>10</v>
      </c>
      <c r="B14133" s="2">
        <v>44781.0</v>
      </c>
      <c r="C14133" s="3">
        <v>0.7322106481481482</v>
      </c>
      <c r="D14133" s="1">
        <v>12.974564</v>
      </c>
      <c r="E14133" s="1">
        <v>80.134726</v>
      </c>
      <c r="F14133" s="1">
        <v>3143.0</v>
      </c>
      <c r="G14133" s="1">
        <v>22.0</v>
      </c>
    </row>
    <row r="14134">
      <c r="A14134" s="1" t="s">
        <v>8</v>
      </c>
      <c r="B14134" s="2">
        <v>44781.0</v>
      </c>
      <c r="C14134" s="3">
        <v>0.7322222222222222</v>
      </c>
      <c r="D14134" s="1">
        <v>13.0227</v>
      </c>
      <c r="E14134" s="1">
        <v>80.26364</v>
      </c>
      <c r="F14134" s="1">
        <v>805.0</v>
      </c>
      <c r="G14134" s="1">
        <v>35.0</v>
      </c>
    </row>
    <row r="14135">
      <c r="A14135" s="1" t="s">
        <v>7</v>
      </c>
      <c r="B14135" s="2">
        <v>44781.0</v>
      </c>
      <c r="C14135" s="3">
        <v>0.732650462962963</v>
      </c>
      <c r="D14135" s="1">
        <v>12.622588</v>
      </c>
      <c r="E14135" s="1">
        <v>79.92807</v>
      </c>
      <c r="F14135" s="1">
        <v>2846.0</v>
      </c>
      <c r="G14135" s="1">
        <v>58.0</v>
      </c>
    </row>
    <row r="14136">
      <c r="A14136" s="1" t="s">
        <v>7</v>
      </c>
      <c r="B14136" s="2">
        <v>44781.0</v>
      </c>
      <c r="C14136" s="3">
        <v>0.7327314814814815</v>
      </c>
      <c r="D14136" s="1">
        <v>12.619833</v>
      </c>
      <c r="E14136" s="1">
        <v>79.927123</v>
      </c>
      <c r="F14136" s="1">
        <v>2846.0</v>
      </c>
      <c r="G14136" s="1">
        <v>58.0</v>
      </c>
    </row>
    <row r="14137">
      <c r="A14137" s="1" t="s">
        <v>9</v>
      </c>
      <c r="B14137" s="2">
        <v>44781.0</v>
      </c>
      <c r="C14137" s="3">
        <v>0.7328240740740741</v>
      </c>
      <c r="D14137" s="1">
        <v>13.043494</v>
      </c>
      <c r="E14137" s="1">
        <v>80.247688</v>
      </c>
      <c r="F14137" s="1">
        <v>5339.0</v>
      </c>
      <c r="G14137" s="1">
        <v>34.0</v>
      </c>
    </row>
    <row r="14138">
      <c r="A14138" s="1" t="s">
        <v>8</v>
      </c>
      <c r="B14138" s="2">
        <v>44781.0</v>
      </c>
      <c r="C14138" s="3">
        <v>0.7331944444444445</v>
      </c>
      <c r="D14138" s="1">
        <v>12.975823</v>
      </c>
      <c r="E14138" s="1">
        <v>80.132654</v>
      </c>
      <c r="F14138" s="1">
        <v>3143.0</v>
      </c>
      <c r="G14138" s="1">
        <v>26.0</v>
      </c>
    </row>
    <row r="14139">
      <c r="A14139" s="1" t="s">
        <v>7</v>
      </c>
      <c r="B14139" s="2">
        <v>44781.0</v>
      </c>
      <c r="C14139" s="3">
        <v>0.7332291666666667</v>
      </c>
      <c r="D14139" s="1">
        <v>12.614293</v>
      </c>
      <c r="E14139" s="1">
        <v>79.925289</v>
      </c>
      <c r="F14139" s="1">
        <v>2846.0</v>
      </c>
      <c r="G14139" s="1">
        <v>57.0</v>
      </c>
    </row>
    <row r="14140">
      <c r="A14140" s="1" t="s">
        <v>10</v>
      </c>
      <c r="B14140" s="2">
        <v>44781.0</v>
      </c>
      <c r="C14140" s="3">
        <v>0.7333101851851852</v>
      </c>
      <c r="D14140" s="1">
        <v>12.975823</v>
      </c>
      <c r="E14140" s="1">
        <v>80.132654</v>
      </c>
      <c r="F14140" s="1">
        <v>3143.0</v>
      </c>
      <c r="G14140" s="1">
        <v>26.0</v>
      </c>
    </row>
    <row r="14141">
      <c r="A14141" s="1" t="s">
        <v>8</v>
      </c>
      <c r="B14141" s="2">
        <v>44781.0</v>
      </c>
      <c r="C14141" s="3">
        <v>0.733912037037037</v>
      </c>
      <c r="D14141" s="1">
        <v>12.606591</v>
      </c>
      <c r="E14141" s="1">
        <v>79.921116</v>
      </c>
      <c r="F14141" s="1">
        <v>2846.0</v>
      </c>
      <c r="G14141" s="1">
        <v>54.0</v>
      </c>
    </row>
    <row r="14142">
      <c r="A14142" s="1" t="s">
        <v>7</v>
      </c>
      <c r="B14142" s="2">
        <v>44781.0</v>
      </c>
      <c r="C14142" s="3">
        <v>0.7340393518518519</v>
      </c>
      <c r="D14142" s="1">
        <v>12.605401</v>
      </c>
      <c r="E14142" s="1">
        <v>79.920822</v>
      </c>
      <c r="F14142" s="1">
        <v>2846.0</v>
      </c>
      <c r="G14142" s="1">
        <v>46.0</v>
      </c>
    </row>
    <row r="14143">
      <c r="A14143" s="1" t="s">
        <v>8</v>
      </c>
      <c r="B14143" s="2">
        <v>44781.0</v>
      </c>
      <c r="C14143" s="3">
        <v>0.734537037037037</v>
      </c>
      <c r="D14143" s="1">
        <v>13.049211</v>
      </c>
      <c r="E14143" s="1">
        <v>80.24974</v>
      </c>
      <c r="F14143" s="1">
        <v>5339.0</v>
      </c>
      <c r="G14143" s="1">
        <v>42.0</v>
      </c>
    </row>
    <row r="14144">
      <c r="A14144" s="1" t="s">
        <v>8</v>
      </c>
      <c r="B14144" s="2">
        <v>44781.0</v>
      </c>
      <c r="C14144" s="3">
        <v>0.7345949074074074</v>
      </c>
      <c r="D14144" s="1">
        <v>13.051972</v>
      </c>
      <c r="E14144" s="1">
        <v>80.250567</v>
      </c>
      <c r="F14144" s="1">
        <v>5339.0</v>
      </c>
      <c r="G14144" s="1">
        <v>35.0</v>
      </c>
    </row>
    <row r="14145">
      <c r="A14145" s="1" t="s">
        <v>8</v>
      </c>
      <c r="B14145" s="2">
        <v>44781.0</v>
      </c>
      <c r="C14145" s="3">
        <v>0.7346064814814814</v>
      </c>
      <c r="D14145" s="1">
        <v>13.051972</v>
      </c>
      <c r="E14145" s="1">
        <v>80.250567</v>
      </c>
      <c r="F14145" s="1">
        <v>5339.0</v>
      </c>
      <c r="G14145" s="1">
        <v>35.0</v>
      </c>
    </row>
    <row r="14146">
      <c r="A14146" s="1" t="s">
        <v>8</v>
      </c>
      <c r="B14146" s="2">
        <v>44781.0</v>
      </c>
      <c r="C14146" s="3">
        <v>0.7351620370370371</v>
      </c>
      <c r="D14146" s="1">
        <v>13.054074</v>
      </c>
      <c r="E14146" s="1">
        <v>80.253346</v>
      </c>
      <c r="F14146" s="1">
        <v>5339.0</v>
      </c>
      <c r="G14146" s="1">
        <v>32.0</v>
      </c>
    </row>
    <row r="14147">
      <c r="A14147" s="1" t="s">
        <v>10</v>
      </c>
      <c r="B14147" s="2">
        <v>44781.0</v>
      </c>
      <c r="C14147" s="3">
        <v>0.7355092592592593</v>
      </c>
      <c r="D14147" s="1">
        <v>12.982498</v>
      </c>
      <c r="E14147" s="1">
        <v>80.129065</v>
      </c>
      <c r="F14147" s="1">
        <v>3143.0</v>
      </c>
      <c r="G14147" s="1">
        <v>20.0</v>
      </c>
    </row>
    <row r="14148">
      <c r="A14148" s="1" t="s">
        <v>10</v>
      </c>
      <c r="B14148" s="2">
        <v>44781.0</v>
      </c>
      <c r="C14148" s="3">
        <v>0.7358796296296296</v>
      </c>
      <c r="D14148" s="1">
        <v>12.983048</v>
      </c>
      <c r="E14148" s="1">
        <v>80.128579</v>
      </c>
      <c r="F14148" s="1">
        <v>3143.0</v>
      </c>
      <c r="G14148" s="1">
        <v>6.0</v>
      </c>
    </row>
    <row r="14149">
      <c r="A14149" s="1" t="s">
        <v>8</v>
      </c>
      <c r="B14149" s="2">
        <v>44781.0</v>
      </c>
      <c r="C14149" s="3">
        <v>0.7360532407407407</v>
      </c>
      <c r="D14149" s="1">
        <v>12.983179</v>
      </c>
      <c r="E14149" s="1">
        <v>80.12767</v>
      </c>
      <c r="F14149" s="1">
        <v>3143.0</v>
      </c>
      <c r="G14149" s="1">
        <v>19.0</v>
      </c>
    </row>
    <row r="14150">
      <c r="A14150" s="1" t="s">
        <v>10</v>
      </c>
      <c r="B14150" s="2">
        <v>44781.0</v>
      </c>
      <c r="C14150" s="3">
        <v>0.7364351851851851</v>
      </c>
      <c r="D14150" s="1">
        <v>12.983637</v>
      </c>
      <c r="E14150" s="1">
        <v>80.125415</v>
      </c>
      <c r="F14150" s="1">
        <v>3143.0</v>
      </c>
      <c r="G14150" s="1">
        <v>32.0</v>
      </c>
    </row>
    <row r="14151">
      <c r="A14151" s="1" t="s">
        <v>10</v>
      </c>
      <c r="B14151" s="2">
        <v>44781.0</v>
      </c>
      <c r="C14151" s="3">
        <v>0.7364583333333333</v>
      </c>
      <c r="D14151" s="1">
        <v>13.029773</v>
      </c>
      <c r="E14151" s="1">
        <v>80.266592</v>
      </c>
      <c r="F14151" s="1">
        <v>805.0</v>
      </c>
      <c r="G14151" s="1">
        <v>24.0</v>
      </c>
    </row>
    <row r="14152">
      <c r="A14152" s="1" t="s">
        <v>10</v>
      </c>
      <c r="B14152" s="2">
        <v>44781.0</v>
      </c>
      <c r="C14152" s="3">
        <v>0.736724537037037</v>
      </c>
      <c r="D14152" s="1">
        <v>12.984352</v>
      </c>
      <c r="E14152" s="1">
        <v>80.124344</v>
      </c>
      <c r="F14152" s="1">
        <v>3143.0</v>
      </c>
      <c r="G14152" s="1">
        <v>25.0</v>
      </c>
    </row>
    <row r="14153">
      <c r="A14153" s="1" t="s">
        <v>7</v>
      </c>
      <c r="B14153" s="2">
        <v>44781.0</v>
      </c>
      <c r="C14153" s="3">
        <v>0.7368518518518519</v>
      </c>
      <c r="D14153" s="1">
        <v>12.571212</v>
      </c>
      <c r="E14153" s="1">
        <v>79.916081</v>
      </c>
      <c r="F14153" s="1">
        <v>2846.0</v>
      </c>
      <c r="G14153" s="1">
        <v>56.0</v>
      </c>
    </row>
    <row r="14154">
      <c r="A14154" s="1" t="s">
        <v>8</v>
      </c>
      <c r="B14154" s="2">
        <v>44781.0</v>
      </c>
      <c r="C14154" s="3">
        <v>0.7370023148148148</v>
      </c>
      <c r="D14154" s="1">
        <v>12.984992</v>
      </c>
      <c r="E14154" s="1">
        <v>80.123014</v>
      </c>
      <c r="F14154" s="1">
        <v>3143.0</v>
      </c>
      <c r="G14154" s="1">
        <v>27.0</v>
      </c>
    </row>
    <row r="14155">
      <c r="A14155" s="1" t="s">
        <v>10</v>
      </c>
      <c r="B14155" s="2">
        <v>44781.0</v>
      </c>
      <c r="C14155" s="3">
        <v>0.737025462962963</v>
      </c>
      <c r="D14155" s="1">
        <v>13.032758</v>
      </c>
      <c r="E14155" s="1">
        <v>80.267428</v>
      </c>
      <c r="F14155" s="1">
        <v>805.0</v>
      </c>
      <c r="G14155" s="1">
        <v>16.0</v>
      </c>
    </row>
    <row r="14156">
      <c r="A14156" s="1" t="s">
        <v>7</v>
      </c>
      <c r="B14156" s="2">
        <v>44781.0</v>
      </c>
      <c r="C14156" s="3">
        <v>0.7372337962962963</v>
      </c>
      <c r="D14156" s="1">
        <v>12.565819</v>
      </c>
      <c r="E14156" s="1">
        <v>79.914596</v>
      </c>
      <c r="F14156" s="1">
        <v>2846.0</v>
      </c>
      <c r="G14156" s="1">
        <v>54.0</v>
      </c>
    </row>
    <row r="14157">
      <c r="A14157" s="1" t="s">
        <v>8</v>
      </c>
      <c r="B14157" s="2">
        <v>44781.0</v>
      </c>
      <c r="C14157" s="3">
        <v>0.7373842592592592</v>
      </c>
      <c r="D14157" s="1">
        <v>13.055747</v>
      </c>
      <c r="E14157" s="1">
        <v>80.255666</v>
      </c>
      <c r="F14157" s="1">
        <v>5339.0</v>
      </c>
      <c r="G14157" s="1">
        <v>22.0</v>
      </c>
    </row>
    <row r="14158">
      <c r="A14158" s="1" t="s">
        <v>8</v>
      </c>
      <c r="B14158" s="2">
        <v>44781.0</v>
      </c>
      <c r="C14158" s="3">
        <v>0.7375</v>
      </c>
      <c r="D14158" s="1">
        <v>12.98581</v>
      </c>
      <c r="E14158" s="1">
        <v>80.120137</v>
      </c>
      <c r="F14158" s="1">
        <v>3143.0</v>
      </c>
      <c r="G14158" s="1">
        <v>30.0</v>
      </c>
    </row>
    <row r="14159">
      <c r="A14159" s="1" t="s">
        <v>8</v>
      </c>
      <c r="B14159" s="2">
        <v>44781.0</v>
      </c>
      <c r="C14159" s="3">
        <v>0.7375347222222223</v>
      </c>
      <c r="D14159" s="1">
        <v>12.98581</v>
      </c>
      <c r="E14159" s="1">
        <v>80.120137</v>
      </c>
      <c r="F14159" s="1">
        <v>3143.0</v>
      </c>
      <c r="G14159" s="1">
        <v>30.0</v>
      </c>
    </row>
    <row r="14160">
      <c r="A14160" s="1" t="s">
        <v>8</v>
      </c>
      <c r="B14160" s="2">
        <v>44781.0</v>
      </c>
      <c r="C14160" s="3">
        <v>0.7377083333333333</v>
      </c>
      <c r="D14160" s="1">
        <v>12.986518</v>
      </c>
      <c r="E14160" s="1">
        <v>80.119218</v>
      </c>
      <c r="F14160" s="1">
        <v>3143.0</v>
      </c>
      <c r="G14160" s="1">
        <v>10.0</v>
      </c>
    </row>
    <row r="14161">
      <c r="A14161" s="1" t="s">
        <v>7</v>
      </c>
      <c r="B14161" s="2">
        <v>44781.0</v>
      </c>
      <c r="C14161" s="3">
        <v>0.7378587962962962</v>
      </c>
      <c r="D14161" s="1">
        <v>12.559434</v>
      </c>
      <c r="E14161" s="1">
        <v>79.911047</v>
      </c>
      <c r="F14161" s="1">
        <v>2846.0</v>
      </c>
      <c r="G14161" s="1">
        <v>57.0</v>
      </c>
    </row>
    <row r="14162">
      <c r="A14162" s="1" t="s">
        <v>8</v>
      </c>
      <c r="B14162" s="2">
        <v>44781.0</v>
      </c>
      <c r="C14162" s="3">
        <v>0.7379745370370371</v>
      </c>
      <c r="D14162" s="1">
        <v>12.987417</v>
      </c>
      <c r="E14162" s="1">
        <v>80.118552</v>
      </c>
      <c r="F14162" s="1">
        <v>3143.0</v>
      </c>
      <c r="G14162" s="1">
        <v>35.0</v>
      </c>
    </row>
    <row r="14163">
      <c r="A14163" s="1" t="s">
        <v>8</v>
      </c>
      <c r="B14163" s="2">
        <v>44781.0</v>
      </c>
      <c r="C14163" s="3">
        <v>0.7380208333333333</v>
      </c>
      <c r="D14163" s="1">
        <v>12.987417</v>
      </c>
      <c r="E14163" s="1">
        <v>80.118552</v>
      </c>
      <c r="F14163" s="1">
        <v>3143.0</v>
      </c>
      <c r="G14163" s="1">
        <v>35.0</v>
      </c>
    </row>
    <row r="14164">
      <c r="A14164" s="1" t="s">
        <v>8</v>
      </c>
      <c r="B14164" s="2">
        <v>44781.0</v>
      </c>
      <c r="C14164" s="3">
        <v>0.7381018518518518</v>
      </c>
      <c r="D14164" s="1">
        <v>12.988486</v>
      </c>
      <c r="E14164" s="1">
        <v>80.117752</v>
      </c>
      <c r="F14164" s="1">
        <v>3143.0</v>
      </c>
      <c r="G14164" s="1">
        <v>33.0</v>
      </c>
    </row>
    <row r="14165">
      <c r="A14165" s="1" t="s">
        <v>10</v>
      </c>
      <c r="B14165" s="2">
        <v>44781.0</v>
      </c>
      <c r="C14165" s="3">
        <v>0.7383680555555555</v>
      </c>
      <c r="D14165" s="1">
        <v>13.036455</v>
      </c>
      <c r="E14165" s="1">
        <v>80.267648</v>
      </c>
      <c r="F14165" s="1">
        <v>805.0</v>
      </c>
      <c r="G14165" s="1">
        <v>20.0</v>
      </c>
    </row>
    <row r="14166">
      <c r="A14166" s="1" t="s">
        <v>10</v>
      </c>
      <c r="B14166" s="2">
        <v>44781.0</v>
      </c>
      <c r="C14166" s="3">
        <v>0.7384027777777777</v>
      </c>
      <c r="D14166" s="1">
        <v>13.036455</v>
      </c>
      <c r="E14166" s="1">
        <v>80.267648</v>
      </c>
      <c r="F14166" s="1">
        <v>805.0</v>
      </c>
      <c r="G14166" s="1">
        <v>20.0</v>
      </c>
    </row>
    <row r="14167">
      <c r="A14167" s="1" t="s">
        <v>8</v>
      </c>
      <c r="B14167" s="2">
        <v>44781.0</v>
      </c>
      <c r="C14167" s="3">
        <v>0.7385069444444444</v>
      </c>
      <c r="D14167" s="1">
        <v>12.990569</v>
      </c>
      <c r="E14167" s="1">
        <v>80.116263</v>
      </c>
      <c r="F14167" s="1">
        <v>3143.0</v>
      </c>
      <c r="G14167" s="1">
        <v>29.0</v>
      </c>
    </row>
    <row r="14168">
      <c r="A14168" s="1" t="s">
        <v>8</v>
      </c>
      <c r="B14168" s="2">
        <v>44781.0</v>
      </c>
      <c r="C14168" s="3">
        <v>0.7388425925925926</v>
      </c>
      <c r="D14168" s="1">
        <v>12.992258</v>
      </c>
      <c r="E14168" s="1">
        <v>80.114733</v>
      </c>
      <c r="F14168" s="1">
        <v>3143.0</v>
      </c>
      <c r="G14168" s="1">
        <v>27.0</v>
      </c>
    </row>
    <row r="14169">
      <c r="A14169" s="1" t="s">
        <v>7</v>
      </c>
      <c r="B14169" s="2">
        <v>44781.0</v>
      </c>
      <c r="C14169" s="3">
        <v>0.7390509259259259</v>
      </c>
      <c r="D14169" s="1">
        <v>12.551668</v>
      </c>
      <c r="E14169" s="1">
        <v>79.906911</v>
      </c>
      <c r="F14169" s="1">
        <v>2846.0</v>
      </c>
      <c r="G14169" s="1">
        <v>58.0</v>
      </c>
    </row>
    <row r="14170">
      <c r="A14170" s="1" t="s">
        <v>10</v>
      </c>
      <c r="B14170" s="2">
        <v>44781.0</v>
      </c>
      <c r="C14170" s="3">
        <v>0.739386574074074</v>
      </c>
      <c r="D14170" s="1">
        <v>13.053567</v>
      </c>
      <c r="E14170" s="1">
        <v>80.267547</v>
      </c>
      <c r="F14170" s="1">
        <v>5339.0</v>
      </c>
      <c r="G14170" s="1">
        <v>19.0</v>
      </c>
    </row>
    <row r="14171">
      <c r="A14171" s="1" t="s">
        <v>10</v>
      </c>
      <c r="B14171" s="2">
        <v>44781.0</v>
      </c>
      <c r="C14171" s="3">
        <v>0.7394328703703704</v>
      </c>
      <c r="D14171" s="1">
        <v>13.053567</v>
      </c>
      <c r="E14171" s="1">
        <v>80.267547</v>
      </c>
      <c r="F14171" s="1">
        <v>5339.0</v>
      </c>
      <c r="G14171" s="1">
        <v>19.0</v>
      </c>
    </row>
    <row r="14172">
      <c r="A14172" s="1" t="s">
        <v>8</v>
      </c>
      <c r="B14172" s="2">
        <v>44781.0</v>
      </c>
      <c r="C14172" s="3">
        <v>0.7399074074074075</v>
      </c>
      <c r="D14172" s="1">
        <v>12.99601</v>
      </c>
      <c r="E14172" s="1">
        <v>80.109558</v>
      </c>
      <c r="F14172" s="1">
        <v>3143.0</v>
      </c>
      <c r="G14172" s="1">
        <v>20.0</v>
      </c>
    </row>
    <row r="14173">
      <c r="A14173" s="1" t="s">
        <v>10</v>
      </c>
      <c r="B14173" s="2">
        <v>44781.0</v>
      </c>
      <c r="C14173" s="3">
        <v>0.7402546296296296</v>
      </c>
      <c r="D14173" s="1">
        <v>13.053322</v>
      </c>
      <c r="E14173" s="1">
        <v>80.269716</v>
      </c>
      <c r="F14173" s="1">
        <v>5339.0</v>
      </c>
      <c r="G14173" s="1">
        <v>20.0</v>
      </c>
    </row>
    <row r="14174">
      <c r="A14174" s="1" t="s">
        <v>8</v>
      </c>
      <c r="B14174" s="2">
        <v>44781.0</v>
      </c>
      <c r="C14174" s="3">
        <v>0.7402893518518519</v>
      </c>
      <c r="D14174" s="1">
        <v>12.996872</v>
      </c>
      <c r="E14174" s="1">
        <v>80.107177</v>
      </c>
      <c r="F14174" s="1">
        <v>3143.0</v>
      </c>
      <c r="G14174" s="1">
        <v>40.0</v>
      </c>
    </row>
    <row r="14175">
      <c r="A14175" s="1" t="s">
        <v>10</v>
      </c>
      <c r="B14175" s="2">
        <v>44781.0</v>
      </c>
      <c r="C14175" s="3">
        <v>0.7407523148148148</v>
      </c>
      <c r="D14175" s="1">
        <v>12.997597</v>
      </c>
      <c r="E14175" s="1">
        <v>80.105076</v>
      </c>
      <c r="F14175" s="1">
        <v>3143.0</v>
      </c>
      <c r="G14175" s="1">
        <v>35.0</v>
      </c>
    </row>
    <row r="14176">
      <c r="A14176" s="1" t="s">
        <v>8</v>
      </c>
      <c r="B14176" s="2">
        <v>44781.0</v>
      </c>
      <c r="C14176" s="3">
        <v>0.7409259259259259</v>
      </c>
      <c r="D14176" s="1">
        <v>13.044476</v>
      </c>
      <c r="E14176" s="1">
        <v>80.2668</v>
      </c>
      <c r="F14176" s="1">
        <v>805.0</v>
      </c>
      <c r="G14176" s="1">
        <v>20.0</v>
      </c>
    </row>
    <row r="14177">
      <c r="A14177" s="1" t="s">
        <v>8</v>
      </c>
      <c r="B14177" s="2">
        <v>44781.0</v>
      </c>
      <c r="C14177" s="3">
        <v>0.7409259259259259</v>
      </c>
      <c r="D14177" s="1">
        <v>13.044476</v>
      </c>
      <c r="E14177" s="1">
        <v>80.2668</v>
      </c>
      <c r="F14177" s="1">
        <v>805.0</v>
      </c>
      <c r="G14177" s="1">
        <v>20.0</v>
      </c>
    </row>
    <row r="14178">
      <c r="A14178" s="1" t="s">
        <v>7</v>
      </c>
      <c r="B14178" s="2">
        <v>44781.0</v>
      </c>
      <c r="C14178" s="3">
        <v>0.7409375</v>
      </c>
      <c r="D14178" s="1">
        <v>12.527409</v>
      </c>
      <c r="E14178" s="1">
        <v>79.89827</v>
      </c>
      <c r="F14178" s="1">
        <v>2846.0</v>
      </c>
      <c r="G14178" s="1">
        <v>59.0</v>
      </c>
    </row>
    <row r="14179">
      <c r="A14179" s="1" t="s">
        <v>8</v>
      </c>
      <c r="B14179" s="2">
        <v>44781.0</v>
      </c>
      <c r="C14179" s="3">
        <v>0.7409490740740741</v>
      </c>
      <c r="D14179" s="1">
        <v>13.044476</v>
      </c>
      <c r="E14179" s="1">
        <v>80.2668</v>
      </c>
      <c r="F14179" s="1">
        <v>805.0</v>
      </c>
      <c r="G14179" s="1">
        <v>20.0</v>
      </c>
    </row>
    <row r="14180">
      <c r="A14180" s="1" t="s">
        <v>8</v>
      </c>
      <c r="B14180" s="2">
        <v>44781.0</v>
      </c>
      <c r="C14180" s="3">
        <v>0.7409837962962963</v>
      </c>
      <c r="D14180" s="1">
        <v>13.044476</v>
      </c>
      <c r="E14180" s="1">
        <v>80.2668</v>
      </c>
      <c r="F14180" s="1">
        <v>805.0</v>
      </c>
      <c r="G14180" s="1">
        <v>20.0</v>
      </c>
    </row>
    <row r="14181">
      <c r="A14181" s="1" t="s">
        <v>8</v>
      </c>
      <c r="B14181" s="2">
        <v>44781.0</v>
      </c>
      <c r="C14181" s="3">
        <v>0.7409837962962963</v>
      </c>
      <c r="D14181" s="1">
        <v>13.044476</v>
      </c>
      <c r="E14181" s="1">
        <v>80.2668</v>
      </c>
      <c r="F14181" s="1">
        <v>805.0</v>
      </c>
      <c r="G14181" s="1">
        <v>20.0</v>
      </c>
    </row>
    <row r="14182">
      <c r="A14182" s="1" t="s">
        <v>8</v>
      </c>
      <c r="B14182" s="2">
        <v>44781.0</v>
      </c>
      <c r="C14182" s="3">
        <v>0.7409953703703703</v>
      </c>
      <c r="D14182" s="1">
        <v>13.044476</v>
      </c>
      <c r="E14182" s="1">
        <v>80.2668</v>
      </c>
      <c r="F14182" s="1">
        <v>805.0</v>
      </c>
      <c r="G14182" s="1">
        <v>20.0</v>
      </c>
    </row>
    <row r="14183">
      <c r="A14183" s="1" t="s">
        <v>8</v>
      </c>
      <c r="B14183" s="2">
        <v>44781.0</v>
      </c>
      <c r="C14183" s="3">
        <v>0.7410300925925926</v>
      </c>
      <c r="D14183" s="1">
        <v>13.045482</v>
      </c>
      <c r="E14183" s="1">
        <v>80.266603</v>
      </c>
      <c r="F14183" s="1">
        <v>805.0</v>
      </c>
      <c r="G14183" s="1">
        <v>29.0</v>
      </c>
    </row>
    <row r="14184">
      <c r="A14184" s="1" t="s">
        <v>10</v>
      </c>
      <c r="B14184" s="2">
        <v>44781.0</v>
      </c>
      <c r="C14184" s="3">
        <v>0.7413541666666666</v>
      </c>
      <c r="D14184" s="1">
        <v>13.053092</v>
      </c>
      <c r="E14184" s="1">
        <v>80.272005</v>
      </c>
      <c r="F14184" s="1">
        <v>5339.0</v>
      </c>
      <c r="G14184" s="1">
        <v>14.0</v>
      </c>
    </row>
    <row r="14185">
      <c r="A14185" s="1" t="s">
        <v>10</v>
      </c>
      <c r="B14185" s="2">
        <v>44781.0</v>
      </c>
      <c r="C14185" s="3">
        <v>0.7416435185185185</v>
      </c>
      <c r="D14185" s="1">
        <v>12.997918</v>
      </c>
      <c r="E14185" s="1">
        <v>80.100636</v>
      </c>
      <c r="F14185" s="1">
        <v>3143.0</v>
      </c>
      <c r="G14185" s="1">
        <v>0.0</v>
      </c>
    </row>
    <row r="14186">
      <c r="A14186" s="1" t="s">
        <v>10</v>
      </c>
      <c r="B14186" s="2">
        <v>44781.0</v>
      </c>
      <c r="C14186" s="3">
        <v>0.741724537037037</v>
      </c>
      <c r="D14186" s="1">
        <v>13.052994</v>
      </c>
      <c r="E14186" s="1">
        <v>80.272596</v>
      </c>
      <c r="F14186" s="1">
        <v>5339.0</v>
      </c>
      <c r="G14186" s="1">
        <v>18.0</v>
      </c>
    </row>
    <row r="14187">
      <c r="A14187" s="1" t="s">
        <v>10</v>
      </c>
      <c r="B14187" s="2">
        <v>44781.0</v>
      </c>
      <c r="C14187" s="3">
        <v>0.7422800925925926</v>
      </c>
      <c r="D14187" s="1">
        <v>12.997924</v>
      </c>
      <c r="E14187" s="1">
        <v>80.097664</v>
      </c>
      <c r="F14187" s="1">
        <v>3143.0</v>
      </c>
      <c r="G14187" s="1">
        <v>14.0</v>
      </c>
    </row>
    <row r="14188">
      <c r="A14188" s="1" t="s">
        <v>10</v>
      </c>
      <c r="B14188" s="2">
        <v>44781.0</v>
      </c>
      <c r="C14188" s="3">
        <v>0.7425347222222223</v>
      </c>
      <c r="D14188" s="1">
        <v>13.052994</v>
      </c>
      <c r="E14188" s="1">
        <v>80.272596</v>
      </c>
      <c r="F14188" s="1">
        <v>5339.0</v>
      </c>
      <c r="G14188" s="1">
        <v>18.0</v>
      </c>
    </row>
    <row r="14189">
      <c r="A14189" s="1" t="s">
        <v>10</v>
      </c>
      <c r="B14189" s="2">
        <v>44781.0</v>
      </c>
      <c r="C14189" s="3">
        <v>0.7432407407407408</v>
      </c>
      <c r="D14189" s="1">
        <v>13.05698</v>
      </c>
      <c r="E14189" s="1">
        <v>80.273949</v>
      </c>
      <c r="F14189" s="1">
        <v>5339.0</v>
      </c>
      <c r="G14189" s="1">
        <v>14.0</v>
      </c>
    </row>
    <row r="14190">
      <c r="A14190" s="1" t="s">
        <v>10</v>
      </c>
      <c r="B14190" s="2">
        <v>44781.0</v>
      </c>
      <c r="C14190" s="3">
        <v>0.743275462962963</v>
      </c>
      <c r="D14190" s="1">
        <v>13.05698</v>
      </c>
      <c r="E14190" s="1">
        <v>80.273949</v>
      </c>
      <c r="F14190" s="1">
        <v>5339.0</v>
      </c>
      <c r="G14190" s="1">
        <v>14.0</v>
      </c>
    </row>
    <row r="14191">
      <c r="A14191" s="1" t="s">
        <v>10</v>
      </c>
      <c r="B14191" s="2">
        <v>44781.0</v>
      </c>
      <c r="C14191" s="3">
        <v>0.7438194444444445</v>
      </c>
      <c r="D14191" s="1">
        <v>13.059308</v>
      </c>
      <c r="E14191" s="1">
        <v>80.274239</v>
      </c>
      <c r="F14191" s="1">
        <v>5339.0</v>
      </c>
      <c r="G14191" s="1">
        <v>23.0</v>
      </c>
    </row>
    <row r="14192">
      <c r="A14192" s="1" t="s">
        <v>10</v>
      </c>
      <c r="B14192" s="2">
        <v>44781.0</v>
      </c>
      <c r="C14192" s="3">
        <v>0.7442245370370371</v>
      </c>
      <c r="D14192" s="1">
        <v>13.060357</v>
      </c>
      <c r="E14192" s="1">
        <v>80.274298</v>
      </c>
      <c r="F14192" s="1">
        <v>5339.0</v>
      </c>
      <c r="G14192" s="1">
        <v>3.0</v>
      </c>
    </row>
    <row r="14193">
      <c r="A14193" s="1" t="s">
        <v>8</v>
      </c>
      <c r="B14193" s="2">
        <v>44781.0</v>
      </c>
      <c r="C14193" s="3">
        <v>0.7447916666666666</v>
      </c>
      <c r="D14193" s="1">
        <v>13.056375</v>
      </c>
      <c r="E14193" s="1">
        <v>80.26449</v>
      </c>
      <c r="F14193" s="1">
        <v>805.0</v>
      </c>
      <c r="G14193" s="1">
        <v>28.0</v>
      </c>
    </row>
    <row r="14194">
      <c r="A14194" s="1" t="s">
        <v>8</v>
      </c>
      <c r="B14194" s="2">
        <v>44781.0</v>
      </c>
      <c r="C14194" s="3">
        <v>0.7448148148148148</v>
      </c>
      <c r="D14194" s="1">
        <v>13.056375</v>
      </c>
      <c r="E14194" s="1">
        <v>80.26449</v>
      </c>
      <c r="F14194" s="1">
        <v>805.0</v>
      </c>
      <c r="G14194" s="1">
        <v>28.0</v>
      </c>
    </row>
    <row r="14195">
      <c r="A14195" s="1" t="s">
        <v>10</v>
      </c>
      <c r="B14195" s="2">
        <v>44781.0</v>
      </c>
      <c r="C14195" s="3">
        <v>0.745011574074074</v>
      </c>
      <c r="D14195" s="1">
        <v>13.062324</v>
      </c>
      <c r="E14195" s="1">
        <v>80.274238</v>
      </c>
      <c r="F14195" s="1">
        <v>5339.0</v>
      </c>
      <c r="G14195" s="1">
        <v>13.0</v>
      </c>
    </row>
    <row r="14196">
      <c r="A14196" s="1" t="s">
        <v>8</v>
      </c>
      <c r="B14196" s="2">
        <v>44781.0</v>
      </c>
      <c r="C14196" s="3">
        <v>0.7450925925925926</v>
      </c>
      <c r="D14196" s="1">
        <v>13.005476</v>
      </c>
      <c r="E14196" s="1">
        <v>80.100317</v>
      </c>
      <c r="F14196" s="1">
        <v>3143.0</v>
      </c>
      <c r="G14196" s="1">
        <v>25.0</v>
      </c>
    </row>
    <row r="14197">
      <c r="A14197" s="1" t="s">
        <v>10</v>
      </c>
      <c r="B14197" s="2">
        <v>44781.0</v>
      </c>
      <c r="C14197" s="3">
        <v>0.745162037037037</v>
      </c>
      <c r="D14197" s="1">
        <v>13.062939</v>
      </c>
      <c r="E14197" s="1">
        <v>80.274122</v>
      </c>
      <c r="F14197" s="1">
        <v>5339.0</v>
      </c>
      <c r="G14197" s="1">
        <v>13.0</v>
      </c>
    </row>
    <row r="14198">
      <c r="A14198" s="1" t="s">
        <v>10</v>
      </c>
      <c r="B14198" s="2">
        <v>44781.0</v>
      </c>
      <c r="C14198" s="3">
        <v>0.745636574074074</v>
      </c>
      <c r="D14198" s="1">
        <v>13.062939</v>
      </c>
      <c r="E14198" s="1">
        <v>80.274122</v>
      </c>
      <c r="F14198" s="1">
        <v>5339.0</v>
      </c>
      <c r="G14198" s="1">
        <v>13.0</v>
      </c>
    </row>
    <row r="14199">
      <c r="A14199" s="1" t="s">
        <v>10</v>
      </c>
      <c r="B14199" s="2">
        <v>44781.0</v>
      </c>
      <c r="C14199" s="3">
        <v>0.7457291666666667</v>
      </c>
      <c r="D14199" s="1">
        <v>13.065061</v>
      </c>
      <c r="E14199" s="1">
        <v>80.27388</v>
      </c>
      <c r="F14199" s="1">
        <v>5339.0</v>
      </c>
      <c r="G14199" s="1">
        <v>22.0</v>
      </c>
    </row>
    <row r="14200">
      <c r="A14200" s="1" t="s">
        <v>8</v>
      </c>
      <c r="B14200" s="2">
        <v>44781.0</v>
      </c>
      <c r="C14200" s="3">
        <v>0.7474189814814814</v>
      </c>
      <c r="D14200" s="1">
        <v>13.020072</v>
      </c>
      <c r="E14200" s="1">
        <v>80.104586</v>
      </c>
      <c r="F14200" s="1">
        <v>3143.0</v>
      </c>
      <c r="G14200" s="1">
        <v>48.0</v>
      </c>
    </row>
    <row r="14201">
      <c r="A14201" s="1" t="s">
        <v>9</v>
      </c>
      <c r="B14201" s="2">
        <v>44781.0</v>
      </c>
      <c r="C14201" s="3">
        <v>0.7474768518518519</v>
      </c>
      <c r="D14201" s="1">
        <v>13.067032</v>
      </c>
      <c r="E14201" s="1">
        <v>80.270252</v>
      </c>
      <c r="F14201" s="1">
        <v>5339.0</v>
      </c>
      <c r="G14201" s="1">
        <v>32.0</v>
      </c>
    </row>
    <row r="14202">
      <c r="A14202" s="1" t="s">
        <v>8</v>
      </c>
      <c r="B14202" s="2">
        <v>44781.0</v>
      </c>
      <c r="C14202" s="3">
        <v>0.7477777777777778</v>
      </c>
      <c r="D14202" s="1">
        <v>13.023132</v>
      </c>
      <c r="E14202" s="1">
        <v>80.107375</v>
      </c>
      <c r="F14202" s="1">
        <v>3143.0</v>
      </c>
      <c r="G14202" s="1">
        <v>52.0</v>
      </c>
    </row>
    <row r="14203">
      <c r="A14203" s="1" t="s">
        <v>8</v>
      </c>
      <c r="B14203" s="2">
        <v>44781.0</v>
      </c>
      <c r="C14203" s="3">
        <v>0.7480671296296296</v>
      </c>
      <c r="D14203" s="1">
        <v>13.024603</v>
      </c>
      <c r="E14203" s="1">
        <v>80.108702</v>
      </c>
      <c r="F14203" s="1">
        <v>3143.0</v>
      </c>
      <c r="G14203" s="1">
        <v>29.0</v>
      </c>
    </row>
    <row r="14204">
      <c r="A14204" s="1" t="s">
        <v>8</v>
      </c>
      <c r="B14204" s="2">
        <v>44781.0</v>
      </c>
      <c r="C14204" s="3">
        <v>0.7482060185185185</v>
      </c>
      <c r="D14204" s="1">
        <v>13.067602</v>
      </c>
      <c r="E14204" s="1">
        <v>80.270907</v>
      </c>
      <c r="F14204" s="1">
        <v>5339.0</v>
      </c>
      <c r="G14204" s="1">
        <v>27.0</v>
      </c>
    </row>
    <row r="14205">
      <c r="A14205" s="1" t="s">
        <v>8</v>
      </c>
      <c r="B14205" s="2">
        <v>44781.0</v>
      </c>
      <c r="C14205" s="3">
        <v>0.7484143518518519</v>
      </c>
      <c r="D14205" s="1">
        <v>13.067002</v>
      </c>
      <c r="E14205" s="1">
        <v>80.268616</v>
      </c>
      <c r="F14205" s="1">
        <v>5339.0</v>
      </c>
      <c r="G14205" s="1">
        <v>26.0</v>
      </c>
    </row>
    <row r="14206">
      <c r="A14206" s="1" t="s">
        <v>8</v>
      </c>
      <c r="B14206" s="2">
        <v>44781.0</v>
      </c>
      <c r="C14206" s="3">
        <v>0.7484143518518519</v>
      </c>
      <c r="D14206" s="1">
        <v>13.067002</v>
      </c>
      <c r="E14206" s="1">
        <v>80.268616</v>
      </c>
      <c r="F14206" s="1">
        <v>5339.0</v>
      </c>
      <c r="G14206" s="1">
        <v>26.0</v>
      </c>
    </row>
    <row r="14207">
      <c r="A14207" s="1" t="s">
        <v>8</v>
      </c>
      <c r="B14207" s="2">
        <v>44781.0</v>
      </c>
      <c r="C14207" s="3">
        <v>0.7484375</v>
      </c>
      <c r="D14207" s="1">
        <v>13.067002</v>
      </c>
      <c r="E14207" s="1">
        <v>80.268616</v>
      </c>
      <c r="F14207" s="1">
        <v>5339.0</v>
      </c>
      <c r="G14207" s="1">
        <v>26.0</v>
      </c>
    </row>
    <row r="14208">
      <c r="A14208" s="1" t="s">
        <v>8</v>
      </c>
      <c r="B14208" s="2">
        <v>44781.0</v>
      </c>
      <c r="C14208" s="3">
        <v>0.7489699074074074</v>
      </c>
      <c r="D14208" s="1">
        <v>13.066576</v>
      </c>
      <c r="E14208" s="1">
        <v>80.268338</v>
      </c>
      <c r="F14208" s="1">
        <v>805.0</v>
      </c>
      <c r="G14208" s="1">
        <v>23.0</v>
      </c>
    </row>
    <row r="14209">
      <c r="A14209" s="1" t="s">
        <v>8</v>
      </c>
      <c r="B14209" s="2">
        <v>44781.0</v>
      </c>
      <c r="C14209" s="3">
        <v>0.7489699074074074</v>
      </c>
      <c r="D14209" s="1">
        <v>13.066576</v>
      </c>
      <c r="E14209" s="1">
        <v>80.268338</v>
      </c>
      <c r="F14209" s="1">
        <v>805.0</v>
      </c>
      <c r="G14209" s="1">
        <v>23.0</v>
      </c>
    </row>
    <row r="14210">
      <c r="A14210" s="1" t="s">
        <v>8</v>
      </c>
      <c r="B14210" s="2">
        <v>44781.0</v>
      </c>
      <c r="C14210" s="3">
        <v>0.7489930555555555</v>
      </c>
      <c r="D14210" s="1">
        <v>13.066576</v>
      </c>
      <c r="E14210" s="1">
        <v>80.268338</v>
      </c>
      <c r="F14210" s="1">
        <v>805.0</v>
      </c>
      <c r="G14210" s="1">
        <v>23.0</v>
      </c>
    </row>
    <row r="14211">
      <c r="A14211" s="1" t="s">
        <v>10</v>
      </c>
      <c r="B14211" s="2">
        <v>44781.0</v>
      </c>
      <c r="C14211" s="3">
        <v>0.7490972222222222</v>
      </c>
      <c r="D14211" s="1">
        <v>13.030823</v>
      </c>
      <c r="E14211" s="1">
        <v>80.111182</v>
      </c>
      <c r="F14211" s="1">
        <v>3143.0</v>
      </c>
      <c r="G14211" s="1">
        <v>18.0</v>
      </c>
    </row>
    <row r="14212">
      <c r="A14212" s="1" t="s">
        <v>10</v>
      </c>
      <c r="B14212" s="2">
        <v>44781.0</v>
      </c>
      <c r="C14212" s="3">
        <v>0.7496643518518519</v>
      </c>
      <c r="D14212" s="1">
        <v>13.069615</v>
      </c>
      <c r="E14212" s="1">
        <v>80.266563</v>
      </c>
      <c r="F14212" s="1">
        <v>5339.0</v>
      </c>
      <c r="G14212" s="1">
        <v>9.0</v>
      </c>
    </row>
    <row r="14213">
      <c r="A14213" s="1" t="s">
        <v>9</v>
      </c>
      <c r="B14213" s="2">
        <v>44781.0</v>
      </c>
      <c r="C14213" s="3">
        <v>0.7500578703703704</v>
      </c>
      <c r="D14213" s="1">
        <v>13.03466</v>
      </c>
      <c r="E14213" s="1">
        <v>80.111856</v>
      </c>
      <c r="F14213" s="1">
        <v>3143.0</v>
      </c>
      <c r="G14213" s="1">
        <v>22.0</v>
      </c>
    </row>
    <row r="14214">
      <c r="A14214" s="1" t="s">
        <v>10</v>
      </c>
      <c r="B14214" s="2">
        <v>44781.0</v>
      </c>
      <c r="C14214" s="3">
        <v>0.7500578703703704</v>
      </c>
      <c r="D14214" s="1">
        <v>13.070681</v>
      </c>
      <c r="E14214" s="1">
        <v>80.265456</v>
      </c>
      <c r="F14214" s="1">
        <v>5339.0</v>
      </c>
      <c r="G14214" s="1">
        <v>19.0</v>
      </c>
    </row>
    <row r="14215">
      <c r="A14215" s="1" t="s">
        <v>10</v>
      </c>
      <c r="B14215" s="2">
        <v>44781.0</v>
      </c>
      <c r="C14215" s="3">
        <v>0.7502199074074074</v>
      </c>
      <c r="D14215" s="1">
        <v>13.070896</v>
      </c>
      <c r="E14215" s="1">
        <v>80.265222</v>
      </c>
      <c r="F14215" s="1">
        <v>5339.0</v>
      </c>
      <c r="G14215" s="1">
        <v>0.0</v>
      </c>
    </row>
    <row r="14216">
      <c r="A14216" s="1" t="s">
        <v>10</v>
      </c>
      <c r="B14216" s="2">
        <v>44781.0</v>
      </c>
      <c r="C14216" s="3">
        <v>0.7503935185185185</v>
      </c>
      <c r="D14216" s="1">
        <v>13.035599</v>
      </c>
      <c r="E14216" s="1">
        <v>80.112142</v>
      </c>
      <c r="F14216" s="1">
        <v>3143.0</v>
      </c>
      <c r="G14216" s="1">
        <v>35.0</v>
      </c>
    </row>
    <row r="14217">
      <c r="A14217" s="1" t="s">
        <v>9</v>
      </c>
      <c r="B14217" s="2">
        <v>44781.0</v>
      </c>
      <c r="C14217" s="3">
        <v>0.7507870370370371</v>
      </c>
      <c r="D14217" s="1">
        <v>13.037955</v>
      </c>
      <c r="E14217" s="1">
        <v>80.112992</v>
      </c>
      <c r="F14217" s="1">
        <v>3143.0</v>
      </c>
      <c r="G14217" s="1">
        <v>23.0</v>
      </c>
    </row>
    <row r="14218">
      <c r="A14218" s="1" t="s">
        <v>8</v>
      </c>
      <c r="B14218" s="2">
        <v>44781.0</v>
      </c>
      <c r="C14218" s="3">
        <v>0.7509259259259259</v>
      </c>
      <c r="D14218" s="1">
        <v>13.038316</v>
      </c>
      <c r="E14218" s="1">
        <v>80.11316</v>
      </c>
      <c r="F14218" s="1">
        <v>3143.0</v>
      </c>
      <c r="G14218" s="1">
        <v>0.0</v>
      </c>
    </row>
    <row r="14219">
      <c r="A14219" s="1" t="s">
        <v>10</v>
      </c>
      <c r="B14219" s="2">
        <v>44781.0</v>
      </c>
      <c r="C14219" s="3">
        <v>0.7516550925925926</v>
      </c>
      <c r="D14219" s="1">
        <v>13.041427</v>
      </c>
      <c r="E14219" s="1">
        <v>80.114486</v>
      </c>
      <c r="F14219" s="1">
        <v>3143.0</v>
      </c>
      <c r="G14219" s="1">
        <v>18.0</v>
      </c>
    </row>
    <row r="14220">
      <c r="A14220" s="1" t="s">
        <v>8</v>
      </c>
      <c r="B14220" s="2">
        <v>44781.0</v>
      </c>
      <c r="C14220" s="3">
        <v>0.7521527777777778</v>
      </c>
      <c r="D14220" s="1">
        <v>13.072121</v>
      </c>
      <c r="E14220" s="1">
        <v>80.259771</v>
      </c>
      <c r="F14220" s="1">
        <v>5339.0</v>
      </c>
      <c r="G14220" s="1">
        <v>35.0</v>
      </c>
    </row>
    <row r="14221">
      <c r="A14221" s="1" t="s">
        <v>8</v>
      </c>
      <c r="B14221" s="2">
        <v>44781.0</v>
      </c>
      <c r="C14221" s="3">
        <v>0.7525925925925926</v>
      </c>
      <c r="D14221" s="1">
        <v>13.070626</v>
      </c>
      <c r="E14221" s="1">
        <v>80.258177</v>
      </c>
      <c r="F14221" s="1">
        <v>5339.0</v>
      </c>
      <c r="G14221" s="1">
        <v>29.0</v>
      </c>
    </row>
    <row r="14222">
      <c r="A14222" s="1" t="s">
        <v>8</v>
      </c>
      <c r="B14222" s="2">
        <v>44781.0</v>
      </c>
      <c r="C14222" s="3">
        <v>0.7537152777777778</v>
      </c>
      <c r="D14222" s="1">
        <v>13.045107</v>
      </c>
      <c r="E14222" s="1">
        <v>80.116434</v>
      </c>
      <c r="F14222" s="1">
        <v>3143.0</v>
      </c>
      <c r="G14222" s="1">
        <v>19.0</v>
      </c>
    </row>
    <row r="14223">
      <c r="A14223" s="1" t="s">
        <v>8</v>
      </c>
      <c r="B14223" s="2">
        <v>44781.0</v>
      </c>
      <c r="C14223" s="3">
        <v>0.7537962962962963</v>
      </c>
      <c r="D14223" s="1">
        <v>13.045326</v>
      </c>
      <c r="E14223" s="1">
        <v>80.117034</v>
      </c>
      <c r="F14223" s="1">
        <v>3143.0</v>
      </c>
      <c r="G14223" s="1">
        <v>25.0</v>
      </c>
    </row>
    <row r="14224">
      <c r="A14224" s="1" t="s">
        <v>8</v>
      </c>
      <c r="B14224" s="2">
        <v>44781.0</v>
      </c>
      <c r="C14224" s="3">
        <v>0.7542824074074074</v>
      </c>
      <c r="D14224" s="1">
        <v>13.047073</v>
      </c>
      <c r="E14224" s="1">
        <v>80.11968</v>
      </c>
      <c r="F14224" s="1">
        <v>3143.0</v>
      </c>
      <c r="G14224" s="1">
        <v>43.0</v>
      </c>
    </row>
    <row r="14225">
      <c r="A14225" s="1" t="s">
        <v>8</v>
      </c>
      <c r="B14225" s="2">
        <v>44781.0</v>
      </c>
      <c r="C14225" s="3">
        <v>0.7544444444444445</v>
      </c>
      <c r="D14225" s="1">
        <v>13.047978</v>
      </c>
      <c r="E14225" s="1">
        <v>80.120264</v>
      </c>
      <c r="F14225" s="1">
        <v>3143.0</v>
      </c>
      <c r="G14225" s="1">
        <v>0.0</v>
      </c>
    </row>
    <row r="14226">
      <c r="A14226" s="1" t="s">
        <v>10</v>
      </c>
      <c r="B14226" s="2">
        <v>44781.0</v>
      </c>
      <c r="C14226" s="3">
        <v>0.754988425925926</v>
      </c>
      <c r="D14226" s="1">
        <v>13.072698</v>
      </c>
      <c r="E14226" s="1">
        <v>80.262216</v>
      </c>
      <c r="F14226" s="1">
        <v>805.0</v>
      </c>
      <c r="G14226" s="1">
        <v>27.0</v>
      </c>
    </row>
    <row r="14227">
      <c r="A14227" s="1" t="s">
        <v>8</v>
      </c>
      <c r="B14227" s="2">
        <v>44781.0</v>
      </c>
      <c r="C14227" s="3">
        <v>0.755474537037037</v>
      </c>
      <c r="D14227" s="1">
        <v>13.072698</v>
      </c>
      <c r="E14227" s="1">
        <v>80.262216</v>
      </c>
      <c r="F14227" s="1">
        <v>805.0</v>
      </c>
      <c r="G14227" s="1">
        <v>27.0</v>
      </c>
    </row>
    <row r="14228">
      <c r="A14228" s="1" t="s">
        <v>8</v>
      </c>
      <c r="B14228" s="2">
        <v>44781.0</v>
      </c>
      <c r="C14228" s="3">
        <v>0.755474537037037</v>
      </c>
      <c r="D14228" s="1">
        <v>13.072698</v>
      </c>
      <c r="E14228" s="1">
        <v>80.262216</v>
      </c>
      <c r="F14228" s="1">
        <v>805.0</v>
      </c>
      <c r="G14228" s="1">
        <v>27.0</v>
      </c>
    </row>
    <row r="14229">
      <c r="A14229" s="1" t="s">
        <v>8</v>
      </c>
      <c r="B14229" s="2">
        <v>44781.0</v>
      </c>
      <c r="C14229" s="3">
        <v>0.7554861111111111</v>
      </c>
      <c r="D14229" s="1">
        <v>13.072698</v>
      </c>
      <c r="E14229" s="1">
        <v>80.262216</v>
      </c>
      <c r="F14229" s="1">
        <v>805.0</v>
      </c>
      <c r="G14229" s="1">
        <v>27.0</v>
      </c>
    </row>
    <row r="14230">
      <c r="A14230" s="1" t="s">
        <v>8</v>
      </c>
      <c r="B14230" s="2">
        <v>44781.0</v>
      </c>
      <c r="C14230" s="3">
        <v>0.7557291666666667</v>
      </c>
      <c r="D14230" s="1">
        <v>13.072698</v>
      </c>
      <c r="E14230" s="1">
        <v>80.262216</v>
      </c>
      <c r="F14230" s="1">
        <v>805.0</v>
      </c>
      <c r="G14230" s="1">
        <v>27.0</v>
      </c>
    </row>
    <row r="14231">
      <c r="A14231" s="1" t="s">
        <v>8</v>
      </c>
      <c r="B14231" s="2">
        <v>44781.0</v>
      </c>
      <c r="C14231" s="3">
        <v>0.7557291666666667</v>
      </c>
      <c r="D14231" s="1">
        <v>13.054782</v>
      </c>
      <c r="E14231" s="1">
        <v>80.121119</v>
      </c>
      <c r="F14231" s="1">
        <v>3143.0</v>
      </c>
      <c r="G14231" s="1">
        <v>54.0</v>
      </c>
    </row>
    <row r="14232">
      <c r="A14232" s="1" t="s">
        <v>8</v>
      </c>
      <c r="B14232" s="2">
        <v>44781.0</v>
      </c>
      <c r="C14232" s="3">
        <v>0.7557407407407407</v>
      </c>
      <c r="D14232" s="1">
        <v>13.072698</v>
      </c>
      <c r="E14232" s="1">
        <v>80.262216</v>
      </c>
      <c r="F14232" s="1">
        <v>805.0</v>
      </c>
      <c r="G14232" s="1">
        <v>27.0</v>
      </c>
    </row>
    <row r="14233">
      <c r="A14233" s="1" t="s">
        <v>10</v>
      </c>
      <c r="B14233" s="2">
        <v>44781.0</v>
      </c>
      <c r="C14233" s="3">
        <v>0.7561805555555555</v>
      </c>
      <c r="D14233" s="1">
        <v>13.072698</v>
      </c>
      <c r="E14233" s="1">
        <v>80.262216</v>
      </c>
      <c r="F14233" s="1">
        <v>805.0</v>
      </c>
      <c r="G14233" s="1">
        <v>27.0</v>
      </c>
    </row>
    <row r="14234">
      <c r="A14234" s="1" t="s">
        <v>7</v>
      </c>
      <c r="B14234" s="2">
        <v>44781.0</v>
      </c>
      <c r="C14234" s="3">
        <v>0.757962962962963</v>
      </c>
      <c r="D14234" s="1">
        <v>13.057191</v>
      </c>
      <c r="E14234" s="1">
        <v>80.103864</v>
      </c>
      <c r="F14234" s="1">
        <v>3143.0</v>
      </c>
      <c r="G14234" s="1">
        <v>59.0</v>
      </c>
    </row>
    <row r="14235">
      <c r="A14235" s="1" t="s">
        <v>8</v>
      </c>
      <c r="B14235" s="2">
        <v>44781.0</v>
      </c>
      <c r="C14235" s="3">
        <v>0.758912037037037</v>
      </c>
      <c r="D14235" s="1">
        <v>13.055586</v>
      </c>
      <c r="E14235" s="1">
        <v>80.093509</v>
      </c>
      <c r="F14235" s="1">
        <v>3143.0</v>
      </c>
      <c r="G14235" s="1">
        <v>57.0</v>
      </c>
    </row>
    <row r="14236">
      <c r="A14236" s="1" t="s">
        <v>8</v>
      </c>
      <c r="B14236" s="2">
        <v>44781.0</v>
      </c>
      <c r="C14236" s="3">
        <v>0.7590393518518519</v>
      </c>
      <c r="D14236" s="1">
        <v>13.054486</v>
      </c>
      <c r="E14236" s="1">
        <v>80.09141</v>
      </c>
      <c r="F14236" s="1">
        <v>3143.0</v>
      </c>
      <c r="G14236" s="1">
        <v>58.0</v>
      </c>
    </row>
    <row r="14237">
      <c r="A14237" s="1" t="s">
        <v>8</v>
      </c>
      <c r="B14237" s="2">
        <v>44781.0</v>
      </c>
      <c r="C14237" s="3">
        <v>0.7615625</v>
      </c>
      <c r="D14237" s="1">
        <v>13.047366</v>
      </c>
      <c r="E14237" s="1">
        <v>80.085786</v>
      </c>
      <c r="F14237" s="1">
        <v>3143.0</v>
      </c>
      <c r="G14237" s="1">
        <v>28.0</v>
      </c>
    </row>
    <row r="14238">
      <c r="A14238" s="1" t="s">
        <v>8</v>
      </c>
      <c r="B14238" s="2">
        <v>44781.0</v>
      </c>
      <c r="C14238" s="3">
        <v>0.7624074074074074</v>
      </c>
      <c r="D14238" s="1">
        <v>13.041761</v>
      </c>
      <c r="E14238" s="1">
        <v>80.086513</v>
      </c>
      <c r="F14238" s="1">
        <v>3143.0</v>
      </c>
      <c r="G14238" s="1">
        <v>13.0</v>
      </c>
    </row>
    <row r="14239">
      <c r="A14239" s="1" t="s">
        <v>8</v>
      </c>
      <c r="B14239" s="2">
        <v>44781.0</v>
      </c>
      <c r="C14239" s="3">
        <v>0.7626851851851851</v>
      </c>
      <c r="D14239" s="1">
        <v>13.041292</v>
      </c>
      <c r="E14239" s="1">
        <v>80.086623</v>
      </c>
      <c r="F14239" s="1">
        <v>3143.0</v>
      </c>
      <c r="G14239" s="1">
        <v>15.0</v>
      </c>
    </row>
    <row r="14240">
      <c r="A14240" s="1" t="s">
        <v>8</v>
      </c>
      <c r="B14240" s="2">
        <v>44781.0</v>
      </c>
      <c r="C14240" s="3">
        <v>0.7650810185185185</v>
      </c>
      <c r="D14240" s="1">
        <v>13.026005</v>
      </c>
      <c r="E14240" s="1">
        <v>80.092007</v>
      </c>
      <c r="F14240" s="1">
        <v>3143.0</v>
      </c>
      <c r="G14240" s="1">
        <v>18.0</v>
      </c>
    </row>
    <row r="14241">
      <c r="A14241" s="1" t="s">
        <v>7</v>
      </c>
      <c r="B14241" s="2">
        <v>44781.0</v>
      </c>
      <c r="C14241" s="3">
        <v>0.7651388888888889</v>
      </c>
      <c r="D14241" s="1">
        <v>13.026005</v>
      </c>
      <c r="E14241" s="1">
        <v>80.092007</v>
      </c>
      <c r="F14241" s="1">
        <v>3143.0</v>
      </c>
      <c r="G14241" s="1">
        <v>18.0</v>
      </c>
    </row>
    <row r="14242">
      <c r="A14242" s="1" t="s">
        <v>7</v>
      </c>
      <c r="B14242" s="2">
        <v>44781.0</v>
      </c>
      <c r="C14242" s="3">
        <v>0.7663310185185185</v>
      </c>
      <c r="D14242" s="1">
        <v>13.018086</v>
      </c>
      <c r="E14242" s="1">
        <v>80.094892</v>
      </c>
      <c r="F14242" s="1">
        <v>3143.0</v>
      </c>
      <c r="G14242" s="1">
        <v>57.0</v>
      </c>
    </row>
    <row r="14243">
      <c r="A14243" s="1" t="s">
        <v>8</v>
      </c>
      <c r="B14243" s="2">
        <v>44781.0</v>
      </c>
      <c r="C14243" s="3">
        <v>0.7665740740740741</v>
      </c>
      <c r="D14243" s="1">
        <v>13.011296</v>
      </c>
      <c r="E14243" s="1">
        <v>80.092953</v>
      </c>
      <c r="F14243" s="1">
        <v>3143.0</v>
      </c>
      <c r="G14243" s="1">
        <v>58.0</v>
      </c>
    </row>
    <row r="14244">
      <c r="A14244" s="1" t="s">
        <v>7</v>
      </c>
      <c r="B14244" s="2">
        <v>44781.0</v>
      </c>
      <c r="C14244" s="3">
        <v>0.7670601851851852</v>
      </c>
      <c r="D14244" s="1">
        <v>13.006908</v>
      </c>
      <c r="E14244" s="1">
        <v>80.091303</v>
      </c>
      <c r="F14244" s="1">
        <v>3143.0</v>
      </c>
      <c r="G14244" s="1">
        <v>56.0</v>
      </c>
    </row>
    <row r="14245">
      <c r="A14245" s="1" t="s">
        <v>7</v>
      </c>
      <c r="B14245" s="2">
        <v>44781.0</v>
      </c>
      <c r="C14245" s="3">
        <v>0.7671180555555556</v>
      </c>
      <c r="D14245" s="1">
        <v>13.00474</v>
      </c>
      <c r="E14245" s="1">
        <v>80.090469</v>
      </c>
      <c r="F14245" s="1">
        <v>3143.0</v>
      </c>
      <c r="G14245" s="1">
        <v>58.0</v>
      </c>
    </row>
    <row r="14246">
      <c r="A14246" s="1" t="s">
        <v>7</v>
      </c>
      <c r="B14246" s="2">
        <v>44781.0</v>
      </c>
      <c r="C14246" s="3">
        <v>0.7680439814814815</v>
      </c>
      <c r="D14246" s="1">
        <v>12.993568</v>
      </c>
      <c r="E14246" s="1">
        <v>80.088106</v>
      </c>
      <c r="F14246" s="1">
        <v>3143.0</v>
      </c>
      <c r="G14246" s="1">
        <v>59.0</v>
      </c>
    </row>
    <row r="14247">
      <c r="A14247" s="1" t="s">
        <v>7</v>
      </c>
      <c r="B14247" s="2">
        <v>44781.0</v>
      </c>
      <c r="C14247" s="3">
        <v>0.771875</v>
      </c>
      <c r="D14247" s="1">
        <v>12.947371</v>
      </c>
      <c r="E14247" s="1">
        <v>80.086641</v>
      </c>
      <c r="F14247" s="1">
        <v>3143.0</v>
      </c>
      <c r="G14247" s="1">
        <v>59.0</v>
      </c>
    </row>
    <row r="14248">
      <c r="A14248" s="1" t="s">
        <v>7</v>
      </c>
      <c r="B14248" s="2">
        <v>44781.0</v>
      </c>
      <c r="C14248" s="3">
        <v>0.7742476851851852</v>
      </c>
      <c r="D14248" s="1">
        <v>12.930186</v>
      </c>
      <c r="E14248" s="1">
        <v>80.080088</v>
      </c>
      <c r="F14248" s="1">
        <v>3143.0</v>
      </c>
      <c r="G14248" s="1">
        <v>0.0</v>
      </c>
    </row>
    <row r="14249">
      <c r="A14249" s="1" t="s">
        <v>7</v>
      </c>
      <c r="B14249" s="2">
        <v>44781.0</v>
      </c>
      <c r="C14249" s="3">
        <v>0.7747453703703704</v>
      </c>
      <c r="D14249" s="1">
        <v>12.928336</v>
      </c>
      <c r="E14249" s="1">
        <v>80.079586</v>
      </c>
      <c r="F14249" s="1">
        <v>3143.0</v>
      </c>
      <c r="G14249" s="1">
        <v>54.0</v>
      </c>
    </row>
    <row r="14250">
      <c r="A14250" s="1" t="s">
        <v>7</v>
      </c>
      <c r="B14250" s="2">
        <v>44781.0</v>
      </c>
      <c r="C14250" s="3">
        <v>0.7748032407407407</v>
      </c>
      <c r="D14250" s="1">
        <v>12.928336</v>
      </c>
      <c r="E14250" s="1">
        <v>80.079586</v>
      </c>
      <c r="F14250" s="1">
        <v>3143.0</v>
      </c>
      <c r="G14250" s="1">
        <v>54.0</v>
      </c>
    </row>
    <row r="14251">
      <c r="A14251" s="1" t="s">
        <v>7</v>
      </c>
      <c r="B14251" s="2">
        <v>44781.0</v>
      </c>
      <c r="C14251" s="3">
        <v>0.7751388888888889</v>
      </c>
      <c r="D14251" s="1">
        <v>12.923959</v>
      </c>
      <c r="E14251" s="1">
        <v>80.077978</v>
      </c>
      <c r="F14251" s="1">
        <v>3143.0</v>
      </c>
      <c r="G14251" s="1">
        <v>58.0</v>
      </c>
    </row>
    <row r="14252">
      <c r="A14252" s="1" t="s">
        <v>7</v>
      </c>
      <c r="B14252" s="2">
        <v>44781.0</v>
      </c>
      <c r="C14252" s="3">
        <v>0.7772337962962963</v>
      </c>
      <c r="D14252" s="1">
        <v>12.899381</v>
      </c>
      <c r="E14252" s="1">
        <v>80.070747</v>
      </c>
      <c r="F14252" s="1">
        <v>3143.0</v>
      </c>
      <c r="G14252" s="1">
        <v>57.0</v>
      </c>
    </row>
    <row r="14253">
      <c r="A14253" s="1" t="s">
        <v>7</v>
      </c>
      <c r="B14253" s="2">
        <v>44781.0</v>
      </c>
      <c r="C14253" s="3">
        <v>0.7774652777777777</v>
      </c>
      <c r="D14253" s="1">
        <v>12.89703</v>
      </c>
      <c r="E14253" s="1">
        <v>80.070707</v>
      </c>
      <c r="F14253" s="1">
        <v>3143.0</v>
      </c>
      <c r="G14253" s="1">
        <v>58.0</v>
      </c>
    </row>
    <row r="14254">
      <c r="A14254" s="1" t="s">
        <v>7</v>
      </c>
      <c r="B14254" s="2">
        <v>44781.0</v>
      </c>
      <c r="C14254" s="3">
        <v>0.7778472222222222</v>
      </c>
      <c r="D14254" s="1">
        <v>12.8925</v>
      </c>
      <c r="E14254" s="1">
        <v>80.070834</v>
      </c>
      <c r="F14254" s="1">
        <v>3143.0</v>
      </c>
      <c r="G14254" s="1">
        <v>53.0</v>
      </c>
    </row>
    <row r="14255">
      <c r="A14255" s="1" t="s">
        <v>7</v>
      </c>
      <c r="B14255" s="2">
        <v>44781.0</v>
      </c>
      <c r="C14255" s="3">
        <v>0.7781134259259259</v>
      </c>
      <c r="D14255" s="1">
        <v>12.888463</v>
      </c>
      <c r="E14255" s="1">
        <v>80.073134</v>
      </c>
      <c r="F14255" s="1">
        <v>3143.0</v>
      </c>
      <c r="G14255" s="1">
        <v>60.0</v>
      </c>
    </row>
    <row r="14256">
      <c r="A14256" s="1" t="s">
        <v>8</v>
      </c>
      <c r="B14256" s="2">
        <v>44781.0</v>
      </c>
      <c r="C14256" s="3">
        <v>0.7787615740740741</v>
      </c>
      <c r="D14256" s="1">
        <v>12.886054</v>
      </c>
      <c r="E14256" s="1">
        <v>80.079752</v>
      </c>
      <c r="F14256" s="1">
        <v>3143.0</v>
      </c>
      <c r="G14256" s="1">
        <v>57.0</v>
      </c>
    </row>
    <row r="14257">
      <c r="A14257" s="1" t="s">
        <v>8</v>
      </c>
      <c r="B14257" s="2">
        <v>44781.0</v>
      </c>
      <c r="C14257" s="3">
        <v>0.7790046296296296</v>
      </c>
      <c r="D14257" s="1">
        <v>12.88448</v>
      </c>
      <c r="E14257" s="1">
        <v>80.082149</v>
      </c>
      <c r="F14257" s="1">
        <v>3143.0</v>
      </c>
      <c r="G14257" s="1">
        <v>27.0</v>
      </c>
    </row>
    <row r="14258">
      <c r="A14258" s="1" t="s">
        <v>8</v>
      </c>
      <c r="B14258" s="2">
        <v>44781.0</v>
      </c>
      <c r="C14258" s="3">
        <v>0.7800694444444445</v>
      </c>
      <c r="D14258" s="1">
        <v>12.87947</v>
      </c>
      <c r="E14258" s="1">
        <v>80.08043</v>
      </c>
      <c r="F14258" s="1">
        <v>3143.0</v>
      </c>
      <c r="G14258" s="1">
        <v>12.0</v>
      </c>
    </row>
    <row r="14259">
      <c r="A14259" s="1" t="s">
        <v>7</v>
      </c>
      <c r="B14259" s="2">
        <v>44782.0</v>
      </c>
      <c r="C14259" s="3">
        <v>0.2656597222222222</v>
      </c>
      <c r="D14259" s="1">
        <v>12.886006</v>
      </c>
      <c r="E14259" s="1">
        <v>80.078921</v>
      </c>
      <c r="F14259" s="1">
        <v>3143.0</v>
      </c>
      <c r="G14259" s="1">
        <v>58.0</v>
      </c>
    </row>
    <row r="14260">
      <c r="A14260" s="1" t="s">
        <v>7</v>
      </c>
      <c r="B14260" s="2">
        <v>44782.0</v>
      </c>
      <c r="C14260" s="3">
        <v>0.2658449074074074</v>
      </c>
      <c r="D14260" s="1">
        <v>12.886834</v>
      </c>
      <c r="E14260" s="1">
        <v>80.07611</v>
      </c>
      <c r="F14260" s="1">
        <v>3143.0</v>
      </c>
      <c r="G14260" s="1">
        <v>55.0</v>
      </c>
    </row>
    <row r="14261">
      <c r="A14261" s="1" t="s">
        <v>7</v>
      </c>
      <c r="B14261" s="2">
        <v>44782.0</v>
      </c>
      <c r="C14261" s="3">
        <v>0.26810185185185187</v>
      </c>
      <c r="D14261" s="1">
        <v>12.908586</v>
      </c>
      <c r="E14261" s="1">
        <v>80.072829</v>
      </c>
      <c r="F14261" s="1">
        <v>3143.0</v>
      </c>
      <c r="G14261" s="1">
        <v>52.0</v>
      </c>
    </row>
    <row r="14262">
      <c r="A14262" s="1" t="s">
        <v>7</v>
      </c>
      <c r="B14262" s="2">
        <v>44782.0</v>
      </c>
      <c r="C14262" s="3">
        <v>0.26861111111111113</v>
      </c>
      <c r="D14262" s="1">
        <v>12.914678</v>
      </c>
      <c r="E14262" s="1">
        <v>80.074797</v>
      </c>
      <c r="F14262" s="1">
        <v>3143.0</v>
      </c>
      <c r="G14262" s="1">
        <v>51.0</v>
      </c>
    </row>
    <row r="14263">
      <c r="A14263" s="1" t="s">
        <v>7</v>
      </c>
      <c r="B14263" s="2">
        <v>44782.0</v>
      </c>
      <c r="C14263" s="3">
        <v>0.26902777777777775</v>
      </c>
      <c r="D14263" s="1">
        <v>12.918518</v>
      </c>
      <c r="E14263" s="1">
        <v>80.076044</v>
      </c>
      <c r="F14263" s="1">
        <v>3143.0</v>
      </c>
      <c r="G14263" s="1">
        <v>60.0</v>
      </c>
    </row>
    <row r="14264">
      <c r="A14264" s="1" t="s">
        <v>7</v>
      </c>
      <c r="B14264" s="2">
        <v>44782.0</v>
      </c>
      <c r="C14264" s="3">
        <v>0.2711574074074074</v>
      </c>
      <c r="D14264" s="1">
        <v>12.930219</v>
      </c>
      <c r="E14264" s="1">
        <v>80.080035</v>
      </c>
      <c r="F14264" s="1">
        <v>3143.0</v>
      </c>
      <c r="G14264" s="1">
        <v>11.0</v>
      </c>
    </row>
    <row r="14265">
      <c r="A14265" s="1" t="s">
        <v>7</v>
      </c>
      <c r="B14265" s="2">
        <v>44782.0</v>
      </c>
      <c r="C14265" s="3">
        <v>0.27123842592592595</v>
      </c>
      <c r="D14265" s="1">
        <v>12.9313</v>
      </c>
      <c r="E14265" s="1">
        <v>80.080369</v>
      </c>
      <c r="F14265" s="1">
        <v>3143.0</v>
      </c>
      <c r="G14265" s="1">
        <v>44.0</v>
      </c>
    </row>
    <row r="14266">
      <c r="A14266" s="1" t="s">
        <v>7</v>
      </c>
      <c r="B14266" s="2">
        <v>44782.0</v>
      </c>
      <c r="C14266" s="3">
        <v>0.27177083333333335</v>
      </c>
      <c r="D14266" s="1">
        <v>12.937702</v>
      </c>
      <c r="E14266" s="1">
        <v>80.08268</v>
      </c>
      <c r="F14266" s="1">
        <v>3143.0</v>
      </c>
      <c r="G14266" s="1">
        <v>57.0</v>
      </c>
    </row>
    <row r="14267">
      <c r="A14267" s="1" t="s">
        <v>7</v>
      </c>
      <c r="B14267" s="2">
        <v>44782.0</v>
      </c>
      <c r="C14267" s="3">
        <v>0.2734490740740741</v>
      </c>
      <c r="D14267" s="1">
        <v>12.956323</v>
      </c>
      <c r="E14267" s="1">
        <v>80.089659</v>
      </c>
      <c r="F14267" s="1">
        <v>3143.0</v>
      </c>
      <c r="G14267" s="1">
        <v>57.0</v>
      </c>
    </row>
    <row r="14268">
      <c r="A14268" s="1" t="s">
        <v>7</v>
      </c>
      <c r="B14268" s="2">
        <v>44782.0</v>
      </c>
      <c r="C14268" s="3">
        <v>0.2735300925925926</v>
      </c>
      <c r="D14268" s="1">
        <v>12.957718</v>
      </c>
      <c r="E14268" s="1">
        <v>80.090089</v>
      </c>
      <c r="F14268" s="1">
        <v>3143.0</v>
      </c>
      <c r="G14268" s="1">
        <v>57.0</v>
      </c>
    </row>
    <row r="14269">
      <c r="A14269" s="1" t="s">
        <v>7</v>
      </c>
      <c r="B14269" s="2">
        <v>44782.0</v>
      </c>
      <c r="C14269" s="3">
        <v>0.2736574074074074</v>
      </c>
      <c r="D14269" s="1">
        <v>12.959163</v>
      </c>
      <c r="E14269" s="1">
        <v>80.090216</v>
      </c>
      <c r="F14269" s="1">
        <v>3143.0</v>
      </c>
      <c r="G14269" s="1">
        <v>58.0</v>
      </c>
    </row>
    <row r="14270">
      <c r="A14270" s="1" t="s">
        <v>7</v>
      </c>
      <c r="B14270" s="2">
        <v>44782.0</v>
      </c>
      <c r="C14270" s="3">
        <v>0.2753935185185185</v>
      </c>
      <c r="D14270" s="1">
        <v>12.980966</v>
      </c>
      <c r="E14270" s="1">
        <v>80.089584</v>
      </c>
      <c r="F14270" s="1">
        <v>3143.0</v>
      </c>
      <c r="G14270" s="1">
        <v>57.0</v>
      </c>
    </row>
    <row r="14271">
      <c r="A14271" s="1" t="s">
        <v>7</v>
      </c>
      <c r="B14271" s="2">
        <v>44782.0</v>
      </c>
      <c r="C14271" s="3">
        <v>0.27655092592592595</v>
      </c>
      <c r="D14271" s="1">
        <v>12.995156</v>
      </c>
      <c r="E14271" s="1">
        <v>80.087398</v>
      </c>
      <c r="F14271" s="1">
        <v>3143.0</v>
      </c>
      <c r="G14271" s="1">
        <v>53.0</v>
      </c>
    </row>
    <row r="14272">
      <c r="A14272" s="1" t="s">
        <v>7</v>
      </c>
      <c r="B14272" s="2">
        <v>44782.0</v>
      </c>
      <c r="C14272" s="3">
        <v>0.2766898148148148</v>
      </c>
      <c r="D14272" s="1">
        <v>12.996488</v>
      </c>
      <c r="E14272" s="1">
        <v>80.08733</v>
      </c>
      <c r="F14272" s="1">
        <v>3143.0</v>
      </c>
      <c r="G14272" s="1">
        <v>53.0</v>
      </c>
    </row>
    <row r="14273">
      <c r="A14273" s="1" t="s">
        <v>7</v>
      </c>
      <c r="B14273" s="2">
        <v>44782.0</v>
      </c>
      <c r="C14273" s="3">
        <v>0.27677083333333335</v>
      </c>
      <c r="D14273" s="1">
        <v>12.997894</v>
      </c>
      <c r="E14273" s="1">
        <v>80.087492</v>
      </c>
      <c r="F14273" s="1">
        <v>3143.0</v>
      </c>
      <c r="G14273" s="1">
        <v>59.0</v>
      </c>
    </row>
    <row r="14274">
      <c r="A14274" s="1" t="s">
        <v>7</v>
      </c>
      <c r="B14274" s="2">
        <v>44782.0</v>
      </c>
      <c r="C14274" s="3">
        <v>0.2771180555555556</v>
      </c>
      <c r="D14274" s="1">
        <v>13.002009</v>
      </c>
      <c r="E14274" s="1">
        <v>80.089021</v>
      </c>
      <c r="F14274" s="1">
        <v>3143.0</v>
      </c>
      <c r="G14274" s="1">
        <v>57.0</v>
      </c>
    </row>
    <row r="14275">
      <c r="A14275" s="1" t="s">
        <v>7</v>
      </c>
      <c r="B14275" s="2">
        <v>44782.0</v>
      </c>
      <c r="C14275" s="3">
        <v>0.2775</v>
      </c>
      <c r="D14275" s="1">
        <v>13.006052</v>
      </c>
      <c r="E14275" s="1">
        <v>80.090569</v>
      </c>
      <c r="F14275" s="1">
        <v>3143.0</v>
      </c>
      <c r="G14275" s="1">
        <v>57.0</v>
      </c>
    </row>
    <row r="14276">
      <c r="A14276" s="1" t="s">
        <v>7</v>
      </c>
      <c r="B14276" s="2">
        <v>44782.0</v>
      </c>
      <c r="C14276" s="3">
        <v>0.2778009259259259</v>
      </c>
      <c r="D14276" s="1">
        <v>13.010074</v>
      </c>
      <c r="E14276" s="1">
        <v>80.092115</v>
      </c>
      <c r="F14276" s="1">
        <v>3143.0</v>
      </c>
      <c r="G14276" s="1">
        <v>55.0</v>
      </c>
    </row>
    <row r="14277">
      <c r="A14277" s="1" t="s">
        <v>7</v>
      </c>
      <c r="B14277" s="2">
        <v>44782.0</v>
      </c>
      <c r="C14277" s="3">
        <v>0.27796296296296297</v>
      </c>
      <c r="D14277" s="1">
        <v>13.011383</v>
      </c>
      <c r="E14277" s="1">
        <v>80.092586</v>
      </c>
      <c r="F14277" s="1">
        <v>3143.0</v>
      </c>
      <c r="G14277" s="1">
        <v>56.0</v>
      </c>
    </row>
    <row r="14278">
      <c r="A14278" s="1" t="s">
        <v>7</v>
      </c>
      <c r="B14278" s="2">
        <v>44782.0</v>
      </c>
      <c r="C14278" s="3">
        <v>0.27806712962962965</v>
      </c>
      <c r="D14278" s="1">
        <v>13.012704</v>
      </c>
      <c r="E14278" s="1">
        <v>80.093158</v>
      </c>
      <c r="F14278" s="1">
        <v>3143.0</v>
      </c>
      <c r="G14278" s="1">
        <v>56.0</v>
      </c>
    </row>
    <row r="14279">
      <c r="A14279" s="1" t="s">
        <v>7</v>
      </c>
      <c r="B14279" s="2">
        <v>44782.0</v>
      </c>
      <c r="C14279" s="3">
        <v>0.2787962962962963</v>
      </c>
      <c r="D14279" s="1">
        <v>13.01669</v>
      </c>
      <c r="E14279" s="1">
        <v>80.09463</v>
      </c>
      <c r="F14279" s="1">
        <v>3143.0</v>
      </c>
      <c r="G14279" s="1">
        <v>56.0</v>
      </c>
    </row>
    <row r="14280">
      <c r="A14280" s="1" t="s">
        <v>7</v>
      </c>
      <c r="B14280" s="2">
        <v>44782.0</v>
      </c>
      <c r="C14280" s="3">
        <v>0.2788541666666667</v>
      </c>
      <c r="D14280" s="1">
        <v>13.022184</v>
      </c>
      <c r="E14280" s="1">
        <v>80.092976</v>
      </c>
      <c r="F14280" s="1">
        <v>3143.0</v>
      </c>
      <c r="G14280" s="1">
        <v>58.0</v>
      </c>
    </row>
    <row r="14281">
      <c r="A14281" s="1" t="s">
        <v>7</v>
      </c>
      <c r="B14281" s="2">
        <v>44782.0</v>
      </c>
      <c r="C14281" s="3">
        <v>0.2790856481481481</v>
      </c>
      <c r="D14281" s="1">
        <v>13.024922</v>
      </c>
      <c r="E14281" s="1">
        <v>80.091941</v>
      </c>
      <c r="F14281" s="1">
        <v>3143.0</v>
      </c>
      <c r="G14281" s="1">
        <v>59.0</v>
      </c>
    </row>
    <row r="14282">
      <c r="A14282" s="1" t="s">
        <v>7</v>
      </c>
      <c r="B14282" s="2">
        <v>44782.0</v>
      </c>
      <c r="C14282" s="3">
        <v>0.279375</v>
      </c>
      <c r="D14282" s="1">
        <v>13.027547</v>
      </c>
      <c r="E14282" s="1">
        <v>80.090943</v>
      </c>
      <c r="F14282" s="1">
        <v>3143.0</v>
      </c>
      <c r="G14282" s="1">
        <v>53.0</v>
      </c>
    </row>
    <row r="14283">
      <c r="A14283" s="1" t="s">
        <v>7</v>
      </c>
      <c r="B14283" s="2">
        <v>44782.0</v>
      </c>
      <c r="C14283" s="3">
        <v>0.2800694444444444</v>
      </c>
      <c r="D14283" s="1">
        <v>13.035574</v>
      </c>
      <c r="E14283" s="1">
        <v>80.087958</v>
      </c>
      <c r="F14283" s="1">
        <v>3143.0</v>
      </c>
      <c r="G14283" s="1">
        <v>57.0</v>
      </c>
    </row>
    <row r="14284">
      <c r="A14284" s="1" t="s">
        <v>7</v>
      </c>
      <c r="B14284" s="2">
        <v>44782.0</v>
      </c>
      <c r="C14284" s="3">
        <v>0.2803009259259259</v>
      </c>
      <c r="D14284" s="1">
        <v>13.038404</v>
      </c>
      <c r="E14284" s="1">
        <v>80.087007</v>
      </c>
      <c r="F14284" s="1">
        <v>3143.0</v>
      </c>
      <c r="G14284" s="1">
        <v>59.0</v>
      </c>
    </row>
    <row r="14285">
      <c r="A14285" s="1" t="s">
        <v>7</v>
      </c>
      <c r="B14285" s="2">
        <v>44782.0</v>
      </c>
      <c r="C14285" s="3">
        <v>0.28056712962962965</v>
      </c>
      <c r="D14285" s="1">
        <v>13.04261</v>
      </c>
      <c r="E14285" s="1">
        <v>80.085795</v>
      </c>
      <c r="F14285" s="1">
        <v>3143.0</v>
      </c>
      <c r="G14285" s="1">
        <v>56.0</v>
      </c>
    </row>
    <row r="14286">
      <c r="A14286" s="1" t="s">
        <v>7</v>
      </c>
      <c r="B14286" s="2">
        <v>44782.0</v>
      </c>
      <c r="C14286" s="3">
        <v>0.28064814814814815</v>
      </c>
      <c r="D14286" s="1">
        <v>13.04261</v>
      </c>
      <c r="E14286" s="1">
        <v>80.085795</v>
      </c>
      <c r="F14286" s="1">
        <v>3143.0</v>
      </c>
      <c r="G14286" s="1">
        <v>56.0</v>
      </c>
    </row>
    <row r="14287">
      <c r="A14287" s="1" t="s">
        <v>7</v>
      </c>
      <c r="B14287" s="2">
        <v>44782.0</v>
      </c>
      <c r="C14287" s="3">
        <v>0.28631944444444446</v>
      </c>
      <c r="D14287" s="1">
        <v>12.451871</v>
      </c>
      <c r="E14287" s="1">
        <v>79.840603</v>
      </c>
      <c r="F14287" s="1">
        <v>2846.0</v>
      </c>
      <c r="G14287" s="1">
        <v>54.0</v>
      </c>
    </row>
    <row r="14288">
      <c r="A14288" s="1" t="s">
        <v>7</v>
      </c>
      <c r="B14288" s="2">
        <v>44782.0</v>
      </c>
      <c r="C14288" s="3">
        <v>0.28983796296296294</v>
      </c>
      <c r="D14288" s="1">
        <v>12.48542</v>
      </c>
      <c r="E14288" s="1">
        <v>79.863688</v>
      </c>
      <c r="F14288" s="1">
        <v>2846.0</v>
      </c>
      <c r="G14288" s="1">
        <v>54.0</v>
      </c>
    </row>
    <row r="14289">
      <c r="A14289" s="1" t="s">
        <v>7</v>
      </c>
      <c r="B14289" s="2">
        <v>44782.0</v>
      </c>
      <c r="C14289" s="3">
        <v>0.2907986111111111</v>
      </c>
      <c r="D14289" s="1">
        <v>12.492343</v>
      </c>
      <c r="E14289" s="1">
        <v>79.868724</v>
      </c>
      <c r="F14289" s="1">
        <v>2846.0</v>
      </c>
      <c r="G14289" s="1">
        <v>56.0</v>
      </c>
    </row>
    <row r="14290">
      <c r="A14290" s="1" t="s">
        <v>7</v>
      </c>
      <c r="B14290" s="2">
        <v>44782.0</v>
      </c>
      <c r="C14290" s="3">
        <v>0.2925</v>
      </c>
      <c r="D14290" s="1">
        <v>12.511299</v>
      </c>
      <c r="E14290" s="1">
        <v>79.88315</v>
      </c>
      <c r="F14290" s="1">
        <v>2846.0</v>
      </c>
      <c r="G14290" s="1">
        <v>55.0</v>
      </c>
    </row>
    <row r="14291">
      <c r="A14291" s="1" t="s">
        <v>7</v>
      </c>
      <c r="B14291" s="2">
        <v>44782.0</v>
      </c>
      <c r="C14291" s="3">
        <v>0.29280092592592594</v>
      </c>
      <c r="D14291" s="1">
        <v>12.513835</v>
      </c>
      <c r="E14291" s="1">
        <v>79.884335</v>
      </c>
      <c r="F14291" s="1">
        <v>2846.0</v>
      </c>
      <c r="G14291" s="1">
        <v>58.0</v>
      </c>
    </row>
    <row r="14292">
      <c r="A14292" s="1" t="s">
        <v>8</v>
      </c>
      <c r="B14292" s="2">
        <v>44782.0</v>
      </c>
      <c r="C14292" s="3">
        <v>0.2940740740740741</v>
      </c>
      <c r="D14292" s="1">
        <v>12.513128</v>
      </c>
      <c r="E14292" s="1">
        <v>79.886919</v>
      </c>
      <c r="F14292" s="1">
        <v>2846.0</v>
      </c>
      <c r="G14292" s="1">
        <v>55.0</v>
      </c>
    </row>
    <row r="14293">
      <c r="A14293" s="1" t="s">
        <v>8</v>
      </c>
      <c r="B14293" s="2">
        <v>44782.0</v>
      </c>
      <c r="C14293" s="3">
        <v>0.2942361111111111</v>
      </c>
      <c r="D14293" s="1">
        <v>12.512203</v>
      </c>
      <c r="E14293" s="1">
        <v>79.88605</v>
      </c>
      <c r="F14293" s="1">
        <v>2846.0</v>
      </c>
      <c r="G14293" s="1">
        <v>44.0</v>
      </c>
    </row>
    <row r="14294">
      <c r="A14294" s="1" t="s">
        <v>10</v>
      </c>
      <c r="B14294" s="2">
        <v>44782.0</v>
      </c>
      <c r="C14294" s="3">
        <v>0.2944212962962963</v>
      </c>
      <c r="D14294" s="1">
        <v>12.510446</v>
      </c>
      <c r="E14294" s="1">
        <v>79.885046</v>
      </c>
      <c r="F14294" s="1">
        <v>2846.0</v>
      </c>
      <c r="G14294" s="1">
        <v>18.0</v>
      </c>
    </row>
    <row r="14295">
      <c r="A14295" s="1" t="s">
        <v>10</v>
      </c>
      <c r="B14295" s="2">
        <v>44782.0</v>
      </c>
      <c r="C14295" s="3">
        <v>0.2945949074074074</v>
      </c>
      <c r="D14295" s="1">
        <v>12.510446</v>
      </c>
      <c r="E14295" s="1">
        <v>79.885046</v>
      </c>
      <c r="F14295" s="1">
        <v>2846.0</v>
      </c>
      <c r="G14295" s="1">
        <v>18.0</v>
      </c>
    </row>
    <row r="14296">
      <c r="A14296" s="1" t="s">
        <v>10</v>
      </c>
      <c r="B14296" s="2">
        <v>44782.0</v>
      </c>
      <c r="C14296" s="3">
        <v>0.2953935185185185</v>
      </c>
      <c r="D14296" s="1">
        <v>13.064255</v>
      </c>
      <c r="E14296" s="1">
        <v>80.24917</v>
      </c>
      <c r="F14296" s="1">
        <v>5339.0</v>
      </c>
      <c r="G14296" s="1">
        <v>21.0</v>
      </c>
    </row>
    <row r="14297">
      <c r="A14297" s="1" t="s">
        <v>10</v>
      </c>
      <c r="B14297" s="2">
        <v>44782.0</v>
      </c>
      <c r="C14297" s="3">
        <v>0.29560185185185184</v>
      </c>
      <c r="D14297" s="1">
        <v>12.509794</v>
      </c>
      <c r="E14297" s="1">
        <v>79.889502</v>
      </c>
      <c r="F14297" s="1">
        <v>2846.0</v>
      </c>
      <c r="G14297" s="1">
        <v>24.0</v>
      </c>
    </row>
    <row r="14298">
      <c r="A14298" s="1" t="s">
        <v>10</v>
      </c>
      <c r="B14298" s="2">
        <v>44782.0</v>
      </c>
      <c r="C14298" s="3">
        <v>0.2959027777777778</v>
      </c>
      <c r="D14298" s="1">
        <v>13.063047</v>
      </c>
      <c r="E14298" s="1">
        <v>80.247752</v>
      </c>
      <c r="F14298" s="1">
        <v>5339.0</v>
      </c>
      <c r="G14298" s="1">
        <v>13.0</v>
      </c>
    </row>
    <row r="14299">
      <c r="A14299" s="1" t="s">
        <v>8</v>
      </c>
      <c r="B14299" s="2">
        <v>44782.0</v>
      </c>
      <c r="C14299" s="3">
        <v>0.2968287037037037</v>
      </c>
      <c r="D14299" s="1">
        <v>13.063682</v>
      </c>
      <c r="E14299" s="1">
        <v>80.250968</v>
      </c>
      <c r="F14299" s="1">
        <v>805.0</v>
      </c>
      <c r="G14299" s="1">
        <v>0.0</v>
      </c>
    </row>
    <row r="14300">
      <c r="A14300" s="1" t="s">
        <v>9</v>
      </c>
      <c r="B14300" s="2">
        <v>44782.0</v>
      </c>
      <c r="C14300" s="3">
        <v>0.2969675925925926</v>
      </c>
      <c r="D14300" s="1">
        <v>13.063682</v>
      </c>
      <c r="E14300" s="1">
        <v>80.250968</v>
      </c>
      <c r="F14300" s="1">
        <v>805.0</v>
      </c>
      <c r="G14300" s="1">
        <v>0.0</v>
      </c>
    </row>
    <row r="14301">
      <c r="A14301" s="1" t="s">
        <v>10</v>
      </c>
      <c r="B14301" s="2">
        <v>44782.0</v>
      </c>
      <c r="C14301" s="3">
        <v>0.29758101851851854</v>
      </c>
      <c r="D14301" s="1">
        <v>12.510677</v>
      </c>
      <c r="E14301" s="1">
        <v>79.885052</v>
      </c>
      <c r="F14301" s="1">
        <v>2846.0</v>
      </c>
      <c r="G14301" s="1">
        <v>23.0</v>
      </c>
    </row>
    <row r="14302">
      <c r="A14302" s="1" t="s">
        <v>8</v>
      </c>
      <c r="B14302" s="2">
        <v>44782.0</v>
      </c>
      <c r="C14302" s="3">
        <v>0.29777777777777775</v>
      </c>
      <c r="D14302" s="1">
        <v>13.067205</v>
      </c>
      <c r="E14302" s="1">
        <v>80.246289</v>
      </c>
      <c r="F14302" s="1">
        <v>5339.0</v>
      </c>
      <c r="G14302" s="1">
        <v>38.0</v>
      </c>
    </row>
    <row r="14303">
      <c r="A14303" s="1" t="s">
        <v>8</v>
      </c>
      <c r="B14303" s="2">
        <v>44782.0</v>
      </c>
      <c r="C14303" s="3">
        <v>0.29780092592592594</v>
      </c>
      <c r="D14303" s="1">
        <v>13.067205</v>
      </c>
      <c r="E14303" s="1">
        <v>80.246289</v>
      </c>
      <c r="F14303" s="1">
        <v>5339.0</v>
      </c>
      <c r="G14303" s="1">
        <v>38.0</v>
      </c>
    </row>
    <row r="14304">
      <c r="A14304" s="1" t="s">
        <v>10</v>
      </c>
      <c r="B14304" s="2">
        <v>44782.0</v>
      </c>
      <c r="C14304" s="3">
        <v>0.298125</v>
      </c>
      <c r="D14304" s="1">
        <v>13.063682</v>
      </c>
      <c r="E14304" s="1">
        <v>80.250968</v>
      </c>
      <c r="F14304" s="1">
        <v>805.0</v>
      </c>
      <c r="G14304" s="1">
        <v>0.0</v>
      </c>
    </row>
    <row r="14305">
      <c r="A14305" s="1" t="s">
        <v>10</v>
      </c>
      <c r="B14305" s="2">
        <v>44782.0</v>
      </c>
      <c r="C14305" s="3">
        <v>0.29834490740740743</v>
      </c>
      <c r="D14305" s="1">
        <v>13.045456</v>
      </c>
      <c r="E14305" s="1">
        <v>80.117304</v>
      </c>
      <c r="F14305" s="1">
        <v>3143.0</v>
      </c>
      <c r="G14305" s="1">
        <v>19.0</v>
      </c>
    </row>
    <row r="14306">
      <c r="A14306" s="1" t="s">
        <v>8</v>
      </c>
      <c r="B14306" s="2">
        <v>44782.0</v>
      </c>
      <c r="C14306" s="3">
        <v>0.2984837962962963</v>
      </c>
      <c r="D14306" s="1">
        <v>13.063682</v>
      </c>
      <c r="E14306" s="1">
        <v>80.250968</v>
      </c>
      <c r="F14306" s="1">
        <v>805.0</v>
      </c>
      <c r="G14306" s="1">
        <v>0.0</v>
      </c>
    </row>
    <row r="14307">
      <c r="A14307" s="1" t="s">
        <v>8</v>
      </c>
      <c r="B14307" s="2">
        <v>44782.0</v>
      </c>
      <c r="C14307" s="3">
        <v>0.29858796296296297</v>
      </c>
      <c r="D14307" s="1">
        <v>12.517174</v>
      </c>
      <c r="E14307" s="1">
        <v>79.887826</v>
      </c>
      <c r="F14307" s="1">
        <v>2846.0</v>
      </c>
      <c r="G14307" s="1">
        <v>55.0</v>
      </c>
    </row>
    <row r="14308">
      <c r="A14308" s="1" t="s">
        <v>7</v>
      </c>
      <c r="B14308" s="2">
        <v>44782.0</v>
      </c>
      <c r="C14308" s="3">
        <v>0.2987268518518518</v>
      </c>
      <c r="D14308" s="1">
        <v>12.518486</v>
      </c>
      <c r="E14308" s="1">
        <v>79.888285</v>
      </c>
      <c r="F14308" s="1">
        <v>2846.0</v>
      </c>
      <c r="G14308" s="1">
        <v>62.0</v>
      </c>
    </row>
    <row r="14309">
      <c r="A14309" s="1" t="s">
        <v>7</v>
      </c>
      <c r="B14309" s="2">
        <v>44782.0</v>
      </c>
      <c r="C14309" s="3">
        <v>0.29878472222222224</v>
      </c>
      <c r="D14309" s="1">
        <v>12.518486</v>
      </c>
      <c r="E14309" s="1">
        <v>79.888285</v>
      </c>
      <c r="F14309" s="1">
        <v>2846.0</v>
      </c>
      <c r="G14309" s="1">
        <v>62.0</v>
      </c>
    </row>
    <row r="14310">
      <c r="A14310" s="1" t="s">
        <v>7</v>
      </c>
      <c r="B14310" s="2">
        <v>44782.0</v>
      </c>
      <c r="C14310" s="3">
        <v>0.29885416666666664</v>
      </c>
      <c r="D14310" s="1">
        <v>12.518178</v>
      </c>
      <c r="E14310" s="1">
        <v>79.889709</v>
      </c>
      <c r="F14310" s="1">
        <v>2846.0</v>
      </c>
      <c r="G14310" s="1">
        <v>60.0</v>
      </c>
    </row>
    <row r="14311">
      <c r="A14311" s="1" t="s">
        <v>7</v>
      </c>
      <c r="B14311" s="2">
        <v>44782.0</v>
      </c>
      <c r="C14311" s="3">
        <v>0.2999074074074074</v>
      </c>
      <c r="D14311" s="1">
        <v>13.063682</v>
      </c>
      <c r="E14311" s="1">
        <v>80.250968</v>
      </c>
      <c r="F14311" s="1">
        <v>805.0</v>
      </c>
      <c r="G14311" s="1">
        <v>0.0</v>
      </c>
    </row>
    <row r="14312">
      <c r="A14312" s="1" t="s">
        <v>8</v>
      </c>
      <c r="B14312" s="2">
        <v>44782.0</v>
      </c>
      <c r="C14312" s="3">
        <v>0.30033564814814817</v>
      </c>
      <c r="D14312" s="1">
        <v>13.07191</v>
      </c>
      <c r="E14312" s="1">
        <v>80.259484</v>
      </c>
      <c r="F14312" s="1">
        <v>5339.0</v>
      </c>
      <c r="G14312" s="1">
        <v>27.0</v>
      </c>
    </row>
    <row r="14313">
      <c r="A14313" s="1" t="s">
        <v>8</v>
      </c>
      <c r="B14313" s="2">
        <v>44782.0</v>
      </c>
      <c r="C14313" s="3">
        <v>0.30037037037037034</v>
      </c>
      <c r="D14313" s="1">
        <v>13.07191</v>
      </c>
      <c r="E14313" s="1">
        <v>80.259484</v>
      </c>
      <c r="F14313" s="1">
        <v>5339.0</v>
      </c>
      <c r="G14313" s="1">
        <v>27.0</v>
      </c>
    </row>
    <row r="14314">
      <c r="A14314" s="1" t="s">
        <v>10</v>
      </c>
      <c r="B14314" s="2">
        <v>44782.0</v>
      </c>
      <c r="C14314" s="3">
        <v>0.3022685185185185</v>
      </c>
      <c r="D14314" s="1">
        <v>13.068948</v>
      </c>
      <c r="E14314" s="1">
        <v>80.267666</v>
      </c>
      <c r="F14314" s="1">
        <v>5339.0</v>
      </c>
      <c r="G14314" s="1">
        <v>10.0</v>
      </c>
    </row>
    <row r="14315">
      <c r="A14315" s="1" t="s">
        <v>8</v>
      </c>
      <c r="B14315" s="2">
        <v>44782.0</v>
      </c>
      <c r="C14315" s="3">
        <v>0.3023263888888889</v>
      </c>
      <c r="D14315" s="1">
        <v>13.033687</v>
      </c>
      <c r="E14315" s="1">
        <v>80.111638</v>
      </c>
      <c r="F14315" s="1">
        <v>3143.0</v>
      </c>
      <c r="G14315" s="1">
        <v>26.0</v>
      </c>
    </row>
    <row r="14316">
      <c r="A14316" s="1" t="s">
        <v>8</v>
      </c>
      <c r="B14316" s="2">
        <v>44782.0</v>
      </c>
      <c r="C14316" s="3">
        <v>0.30300925925925926</v>
      </c>
      <c r="D14316" s="1">
        <v>13.068414</v>
      </c>
      <c r="E14316" s="1">
        <v>80.269271</v>
      </c>
      <c r="F14316" s="1">
        <v>5339.0</v>
      </c>
      <c r="G14316" s="1">
        <v>26.0</v>
      </c>
    </row>
    <row r="14317">
      <c r="A14317" s="1" t="s">
        <v>10</v>
      </c>
      <c r="B14317" s="2">
        <v>44782.0</v>
      </c>
      <c r="C14317" s="3">
        <v>0.3055324074074074</v>
      </c>
      <c r="D14317" s="1">
        <v>13.060032</v>
      </c>
      <c r="E14317" s="1">
        <v>80.274338</v>
      </c>
      <c r="F14317" s="1">
        <v>5339.0</v>
      </c>
      <c r="G14317" s="1">
        <v>26.0</v>
      </c>
    </row>
    <row r="14318">
      <c r="A14318" s="1" t="s">
        <v>10</v>
      </c>
      <c r="B14318" s="2">
        <v>44782.0</v>
      </c>
      <c r="C14318" s="3">
        <v>0.30668981481481483</v>
      </c>
      <c r="D14318" s="1">
        <v>13.055524</v>
      </c>
      <c r="E14318" s="1">
        <v>80.273885</v>
      </c>
      <c r="F14318" s="1">
        <v>5339.0</v>
      </c>
      <c r="G14318" s="1">
        <v>19.0</v>
      </c>
    </row>
    <row r="14319">
      <c r="A14319" s="1" t="s">
        <v>10</v>
      </c>
      <c r="B14319" s="2">
        <v>44782.0</v>
      </c>
      <c r="C14319" s="3">
        <v>0.30702546296296296</v>
      </c>
      <c r="D14319" s="1">
        <v>13.054594</v>
      </c>
      <c r="E14319" s="1">
        <v>80.273846</v>
      </c>
      <c r="F14319" s="1">
        <v>5339.0</v>
      </c>
      <c r="G14319" s="1">
        <v>26.0</v>
      </c>
    </row>
    <row r="14320">
      <c r="A14320" s="1" t="s">
        <v>10</v>
      </c>
      <c r="B14320" s="2">
        <v>44782.0</v>
      </c>
      <c r="C14320" s="3">
        <v>0.30725694444444446</v>
      </c>
      <c r="D14320" s="1">
        <v>13.053499</v>
      </c>
      <c r="E14320" s="1">
        <v>80.273797</v>
      </c>
      <c r="F14320" s="1">
        <v>5339.0</v>
      </c>
      <c r="G14320" s="1">
        <v>26.0</v>
      </c>
    </row>
    <row r="14321">
      <c r="A14321" s="1" t="s">
        <v>10</v>
      </c>
      <c r="B14321" s="2">
        <v>44782.0</v>
      </c>
      <c r="C14321" s="3">
        <v>0.30745370370370373</v>
      </c>
      <c r="D14321" s="1">
        <v>13.05303</v>
      </c>
      <c r="E14321" s="1">
        <v>80.273772</v>
      </c>
      <c r="F14321" s="1">
        <v>5339.0</v>
      </c>
      <c r="G14321" s="1">
        <v>15.0</v>
      </c>
    </row>
    <row r="14322">
      <c r="A14322" s="1" t="s">
        <v>10</v>
      </c>
      <c r="B14322" s="2">
        <v>44782.0</v>
      </c>
      <c r="C14322" s="3">
        <v>0.3086226851851852</v>
      </c>
      <c r="D14322" s="1">
        <v>13.05344</v>
      </c>
      <c r="E14322" s="1">
        <v>80.269947</v>
      </c>
      <c r="F14322" s="1">
        <v>5339.0</v>
      </c>
      <c r="G14322" s="1">
        <v>22.0</v>
      </c>
    </row>
    <row r="14323">
      <c r="A14323" s="1" t="s">
        <v>10</v>
      </c>
      <c r="B14323" s="2">
        <v>44782.0</v>
      </c>
      <c r="C14323" s="3">
        <v>0.3103125</v>
      </c>
      <c r="D14323" s="1">
        <v>12.997998</v>
      </c>
      <c r="E14323" s="1">
        <v>80.100618</v>
      </c>
      <c r="F14323" s="1">
        <v>3143.0</v>
      </c>
      <c r="G14323" s="1">
        <v>0.0</v>
      </c>
    </row>
    <row r="14324">
      <c r="A14324" s="1" t="s">
        <v>8</v>
      </c>
      <c r="B14324" s="2">
        <v>44782.0</v>
      </c>
      <c r="C14324" s="3">
        <v>0.31072916666666667</v>
      </c>
      <c r="D14324" s="1">
        <v>12.998644</v>
      </c>
      <c r="E14324" s="1">
        <v>80.102567</v>
      </c>
      <c r="F14324" s="1">
        <v>3143.0</v>
      </c>
      <c r="G14324" s="1">
        <v>27.0</v>
      </c>
    </row>
    <row r="14325">
      <c r="A14325" s="1" t="s">
        <v>8</v>
      </c>
      <c r="B14325" s="2">
        <v>44782.0</v>
      </c>
      <c r="C14325" s="3">
        <v>0.3109375</v>
      </c>
      <c r="D14325" s="1">
        <v>12.998063</v>
      </c>
      <c r="E14325" s="1">
        <v>80.10363</v>
      </c>
      <c r="F14325" s="1">
        <v>3143.0</v>
      </c>
      <c r="G14325" s="1">
        <v>21.0</v>
      </c>
    </row>
    <row r="14326">
      <c r="A14326" s="1" t="s">
        <v>8</v>
      </c>
      <c r="B14326" s="2">
        <v>44782.0</v>
      </c>
      <c r="C14326" s="3">
        <v>0.3111111111111111</v>
      </c>
      <c r="D14326" s="1">
        <v>12.997763</v>
      </c>
      <c r="E14326" s="1">
        <v>80.104812</v>
      </c>
      <c r="F14326" s="1">
        <v>3143.0</v>
      </c>
      <c r="G14326" s="1">
        <v>44.0</v>
      </c>
    </row>
    <row r="14327">
      <c r="A14327" s="1" t="s">
        <v>8</v>
      </c>
      <c r="B14327" s="2">
        <v>44782.0</v>
      </c>
      <c r="C14327" s="3">
        <v>0.31135416666666665</v>
      </c>
      <c r="D14327" s="1">
        <v>12.997302</v>
      </c>
      <c r="E14327" s="1">
        <v>80.106441</v>
      </c>
      <c r="F14327" s="1">
        <v>3143.0</v>
      </c>
      <c r="G14327" s="1">
        <v>25.0</v>
      </c>
    </row>
    <row r="14328">
      <c r="A14328" s="1" t="s">
        <v>8</v>
      </c>
      <c r="B14328" s="2">
        <v>44782.0</v>
      </c>
      <c r="C14328" s="3">
        <v>0.31144675925925924</v>
      </c>
      <c r="D14328" s="1">
        <v>12.996822</v>
      </c>
      <c r="E14328" s="1">
        <v>80.107723</v>
      </c>
      <c r="F14328" s="1">
        <v>3143.0</v>
      </c>
      <c r="G14328" s="1">
        <v>38.0</v>
      </c>
    </row>
    <row r="14329">
      <c r="A14329" s="1" t="s">
        <v>8</v>
      </c>
      <c r="B14329" s="2">
        <v>44782.0</v>
      </c>
      <c r="C14329" s="3">
        <v>0.3121412037037037</v>
      </c>
      <c r="D14329" s="1">
        <v>12.995326</v>
      </c>
      <c r="E14329" s="1">
        <v>80.111296</v>
      </c>
      <c r="F14329" s="1">
        <v>3143.0</v>
      </c>
      <c r="G14329" s="1">
        <v>41.0</v>
      </c>
    </row>
    <row r="14330">
      <c r="A14330" s="1" t="s">
        <v>8</v>
      </c>
      <c r="B14330" s="2">
        <v>44782.0</v>
      </c>
      <c r="C14330" s="3">
        <v>0.3125347222222222</v>
      </c>
      <c r="D14330" s="1">
        <v>13.049042</v>
      </c>
      <c r="E14330" s="1">
        <v>80.249767</v>
      </c>
      <c r="F14330" s="1">
        <v>5339.0</v>
      </c>
      <c r="G14330" s="1">
        <v>47.0</v>
      </c>
    </row>
    <row r="14331">
      <c r="A14331" s="1" t="s">
        <v>10</v>
      </c>
      <c r="B14331" s="2">
        <v>44782.0</v>
      </c>
      <c r="C14331" s="3">
        <v>0.3127083333333333</v>
      </c>
      <c r="D14331" s="1">
        <v>12.993163</v>
      </c>
      <c r="E14331" s="1">
        <v>80.113771</v>
      </c>
      <c r="F14331" s="1">
        <v>3143.0</v>
      </c>
      <c r="G14331" s="1">
        <v>30.0</v>
      </c>
    </row>
    <row r="14332">
      <c r="A14332" s="1" t="s">
        <v>8</v>
      </c>
      <c r="B14332" s="2">
        <v>44782.0</v>
      </c>
      <c r="C14332" s="3">
        <v>0.3128356481481481</v>
      </c>
      <c r="D14332" s="1">
        <v>13.045912</v>
      </c>
      <c r="E14332" s="1">
        <v>80.24831</v>
      </c>
      <c r="F14332" s="1">
        <v>5339.0</v>
      </c>
      <c r="G14332" s="1">
        <v>42.0</v>
      </c>
    </row>
    <row r="14333">
      <c r="A14333" s="1" t="s">
        <v>7</v>
      </c>
      <c r="B14333" s="2">
        <v>44782.0</v>
      </c>
      <c r="C14333" s="3">
        <v>0.3130787037037037</v>
      </c>
      <c r="D14333" s="1">
        <v>12.657256</v>
      </c>
      <c r="E14333" s="1">
        <v>79.948121</v>
      </c>
      <c r="F14333" s="1">
        <v>2846.0</v>
      </c>
      <c r="G14333" s="1">
        <v>55.0</v>
      </c>
    </row>
    <row r="14334">
      <c r="A14334" s="1" t="s">
        <v>7</v>
      </c>
      <c r="B14334" s="2">
        <v>44782.0</v>
      </c>
      <c r="C14334" s="3">
        <v>0.31319444444444444</v>
      </c>
      <c r="D14334" s="1">
        <v>12.656079</v>
      </c>
      <c r="E14334" s="1">
        <v>79.952228</v>
      </c>
      <c r="F14334" s="1">
        <v>2846.0</v>
      </c>
      <c r="G14334" s="1">
        <v>58.0</v>
      </c>
    </row>
    <row r="14335">
      <c r="A14335" s="1" t="s">
        <v>7</v>
      </c>
      <c r="B14335" s="2">
        <v>44782.0</v>
      </c>
      <c r="C14335" s="3">
        <v>0.31328703703703703</v>
      </c>
      <c r="D14335" s="1">
        <v>12.65613</v>
      </c>
      <c r="E14335" s="1">
        <v>79.953702</v>
      </c>
      <c r="F14335" s="1">
        <v>2846.0</v>
      </c>
      <c r="G14335" s="1">
        <v>58.0</v>
      </c>
    </row>
    <row r="14336">
      <c r="A14336" s="1" t="s">
        <v>7</v>
      </c>
      <c r="B14336" s="2">
        <v>44782.0</v>
      </c>
      <c r="C14336" s="3">
        <v>0.3134722222222222</v>
      </c>
      <c r="D14336" s="1">
        <v>12.65613</v>
      </c>
      <c r="E14336" s="1">
        <v>79.953702</v>
      </c>
      <c r="F14336" s="1">
        <v>2846.0</v>
      </c>
      <c r="G14336" s="1">
        <v>58.0</v>
      </c>
    </row>
    <row r="14337">
      <c r="A14337" s="1" t="s">
        <v>8</v>
      </c>
      <c r="B14337" s="2">
        <v>44782.0</v>
      </c>
      <c r="C14337" s="3">
        <v>0.3134953703703704</v>
      </c>
      <c r="D14337" s="1">
        <v>13.040455</v>
      </c>
      <c r="E14337" s="1">
        <v>80.247246</v>
      </c>
      <c r="F14337" s="1">
        <v>5339.0</v>
      </c>
      <c r="G14337" s="1">
        <v>31.0</v>
      </c>
    </row>
    <row r="14338">
      <c r="A14338" s="1" t="s">
        <v>8</v>
      </c>
      <c r="B14338" s="2">
        <v>44782.0</v>
      </c>
      <c r="C14338" s="3">
        <v>0.31353009259259257</v>
      </c>
      <c r="D14338" s="1">
        <v>13.040455</v>
      </c>
      <c r="E14338" s="1">
        <v>80.247246</v>
      </c>
      <c r="F14338" s="1">
        <v>5339.0</v>
      </c>
      <c r="G14338" s="1">
        <v>31.0</v>
      </c>
    </row>
    <row r="14339">
      <c r="A14339" s="1" t="s">
        <v>8</v>
      </c>
      <c r="B14339" s="2">
        <v>44782.0</v>
      </c>
      <c r="C14339" s="3">
        <v>0.3135648148148148</v>
      </c>
      <c r="D14339" s="1">
        <v>12.989927</v>
      </c>
      <c r="E14339" s="1">
        <v>80.11683</v>
      </c>
      <c r="F14339" s="1">
        <v>3143.0</v>
      </c>
      <c r="G14339" s="1">
        <v>24.0</v>
      </c>
    </row>
    <row r="14340">
      <c r="A14340" s="1" t="s">
        <v>8</v>
      </c>
      <c r="B14340" s="2">
        <v>44782.0</v>
      </c>
      <c r="C14340" s="3">
        <v>0.3135763888888889</v>
      </c>
      <c r="D14340" s="1">
        <v>12.65613</v>
      </c>
      <c r="E14340" s="1">
        <v>79.953702</v>
      </c>
      <c r="F14340" s="1">
        <v>2846.0</v>
      </c>
      <c r="G14340" s="1">
        <v>58.0</v>
      </c>
    </row>
    <row r="14341">
      <c r="A14341" s="1" t="s">
        <v>8</v>
      </c>
      <c r="B14341" s="2">
        <v>44782.0</v>
      </c>
      <c r="C14341" s="3">
        <v>0.3136689814814815</v>
      </c>
      <c r="D14341" s="1">
        <v>13.039747</v>
      </c>
      <c r="E14341" s="1">
        <v>80.247104</v>
      </c>
      <c r="F14341" s="1">
        <v>5339.0</v>
      </c>
      <c r="G14341" s="1">
        <v>27.0</v>
      </c>
    </row>
    <row r="14342">
      <c r="A14342" s="1" t="s">
        <v>8</v>
      </c>
      <c r="B14342" s="2">
        <v>44782.0</v>
      </c>
      <c r="C14342" s="3">
        <v>0.3143287037037037</v>
      </c>
      <c r="D14342" s="1">
        <v>12.659003</v>
      </c>
      <c r="E14342" s="1">
        <v>79.961819</v>
      </c>
      <c r="F14342" s="1">
        <v>2846.0</v>
      </c>
      <c r="G14342" s="1">
        <v>46.0</v>
      </c>
    </row>
    <row r="14343">
      <c r="A14343" s="1" t="s">
        <v>10</v>
      </c>
      <c r="B14343" s="2">
        <v>44782.0</v>
      </c>
      <c r="C14343" s="3">
        <v>0.3144560185185185</v>
      </c>
      <c r="D14343" s="1">
        <v>12.984618</v>
      </c>
      <c r="E14343" s="1">
        <v>80.121745</v>
      </c>
      <c r="F14343" s="1">
        <v>3143.0</v>
      </c>
      <c r="G14343" s="1">
        <v>24.0</v>
      </c>
    </row>
    <row r="14344">
      <c r="A14344" s="1" t="s">
        <v>10</v>
      </c>
      <c r="B14344" s="2">
        <v>44782.0</v>
      </c>
      <c r="C14344" s="3">
        <v>0.3146643518518519</v>
      </c>
      <c r="D14344" s="1">
        <v>12.985034</v>
      </c>
      <c r="E14344" s="1">
        <v>80.122637</v>
      </c>
      <c r="F14344" s="1">
        <v>3143.0</v>
      </c>
      <c r="G14344" s="1">
        <v>32.0</v>
      </c>
    </row>
    <row r="14345">
      <c r="A14345" s="1" t="s">
        <v>8</v>
      </c>
      <c r="B14345" s="2">
        <v>44782.0</v>
      </c>
      <c r="C14345" s="3">
        <v>0.31494212962962964</v>
      </c>
      <c r="D14345" s="1">
        <v>13.034481</v>
      </c>
      <c r="E14345" s="1">
        <v>80.245348</v>
      </c>
      <c r="F14345" s="1">
        <v>5339.0</v>
      </c>
      <c r="G14345" s="1">
        <v>34.0</v>
      </c>
    </row>
    <row r="14346">
      <c r="A14346" s="1" t="s">
        <v>8</v>
      </c>
      <c r="B14346" s="2">
        <v>44782.0</v>
      </c>
      <c r="C14346" s="3">
        <v>0.3150925925925926</v>
      </c>
      <c r="D14346" s="1">
        <v>12.984057</v>
      </c>
      <c r="E14346" s="1">
        <v>80.124965</v>
      </c>
      <c r="F14346" s="1">
        <v>3143.0</v>
      </c>
      <c r="G14346" s="1">
        <v>41.0</v>
      </c>
    </row>
    <row r="14347">
      <c r="A14347" s="1" t="s">
        <v>10</v>
      </c>
      <c r="B14347" s="2">
        <v>44782.0</v>
      </c>
      <c r="C14347" s="3">
        <v>0.3158796296296296</v>
      </c>
      <c r="D14347" s="1">
        <v>12.98243</v>
      </c>
      <c r="E14347" s="1">
        <v>80.129362</v>
      </c>
      <c r="F14347" s="1">
        <v>3143.0</v>
      </c>
      <c r="G14347" s="1">
        <v>17.0</v>
      </c>
    </row>
    <row r="14348">
      <c r="A14348" s="1" t="s">
        <v>9</v>
      </c>
      <c r="B14348" s="2">
        <v>44782.0</v>
      </c>
      <c r="C14348" s="3">
        <v>0.31601851851851853</v>
      </c>
      <c r="D14348" s="1">
        <v>12.667457</v>
      </c>
      <c r="E14348" s="1">
        <v>79.971931</v>
      </c>
      <c r="F14348" s="1">
        <v>2846.0</v>
      </c>
      <c r="G14348" s="1">
        <v>57.0</v>
      </c>
    </row>
    <row r="14349">
      <c r="A14349" s="1" t="s">
        <v>8</v>
      </c>
      <c r="B14349" s="2">
        <v>44782.0</v>
      </c>
      <c r="C14349" s="3">
        <v>0.31681712962962966</v>
      </c>
      <c r="D14349" s="1">
        <v>13.028337</v>
      </c>
      <c r="E14349" s="1">
        <v>80.235861</v>
      </c>
      <c r="F14349" s="1">
        <v>5339.0</v>
      </c>
      <c r="G14349" s="1">
        <v>45.0</v>
      </c>
    </row>
    <row r="14350">
      <c r="A14350" s="1" t="s">
        <v>8</v>
      </c>
      <c r="B14350" s="2">
        <v>44782.0</v>
      </c>
      <c r="C14350" s="3">
        <v>0.3170138888888889</v>
      </c>
      <c r="D14350" s="1">
        <v>12.977372</v>
      </c>
      <c r="E14350" s="1">
        <v>80.131164</v>
      </c>
      <c r="F14350" s="1">
        <v>3143.0</v>
      </c>
      <c r="G14350" s="1">
        <v>25.0</v>
      </c>
    </row>
    <row r="14351">
      <c r="A14351" s="1" t="s">
        <v>8</v>
      </c>
      <c r="B14351" s="2">
        <v>44782.0</v>
      </c>
      <c r="C14351" s="3">
        <v>0.31707175925925923</v>
      </c>
      <c r="D14351" s="1">
        <v>12.977072</v>
      </c>
      <c r="E14351" s="1">
        <v>80.131881</v>
      </c>
      <c r="F14351" s="1">
        <v>3143.0</v>
      </c>
      <c r="G14351" s="1">
        <v>33.0</v>
      </c>
    </row>
    <row r="14352">
      <c r="A14352" s="1" t="s">
        <v>8</v>
      </c>
      <c r="B14352" s="2">
        <v>44782.0</v>
      </c>
      <c r="C14352" s="3">
        <v>0.3183796296296296</v>
      </c>
      <c r="D14352" s="1">
        <v>13.024229</v>
      </c>
      <c r="E14352" s="1">
        <v>80.228534</v>
      </c>
      <c r="F14352" s="1">
        <v>5339.0</v>
      </c>
      <c r="G14352" s="1">
        <v>32.0</v>
      </c>
    </row>
    <row r="14353">
      <c r="A14353" s="1" t="s">
        <v>8</v>
      </c>
      <c r="B14353" s="2">
        <v>44782.0</v>
      </c>
      <c r="C14353" s="3">
        <v>0.3183912037037037</v>
      </c>
      <c r="D14353" s="1">
        <v>13.024229</v>
      </c>
      <c r="E14353" s="1">
        <v>80.228534</v>
      </c>
      <c r="F14353" s="1">
        <v>5339.0</v>
      </c>
      <c r="G14353" s="1">
        <v>32.0</v>
      </c>
    </row>
    <row r="14354">
      <c r="A14354" s="1" t="s">
        <v>10</v>
      </c>
      <c r="B14354" s="2">
        <v>44782.0</v>
      </c>
      <c r="C14354" s="3">
        <v>0.3185300925925926</v>
      </c>
      <c r="D14354" s="1">
        <v>12.976186</v>
      </c>
      <c r="E14354" s="1">
        <v>80.135484</v>
      </c>
      <c r="F14354" s="1">
        <v>3143.0</v>
      </c>
      <c r="G14354" s="1">
        <v>23.0</v>
      </c>
    </row>
    <row r="14355">
      <c r="A14355" s="1" t="s">
        <v>8</v>
      </c>
      <c r="B14355" s="2">
        <v>44782.0</v>
      </c>
      <c r="C14355" s="3">
        <v>0.31872685185185184</v>
      </c>
      <c r="D14355" s="1">
        <v>13.021972</v>
      </c>
      <c r="E14355" s="1">
        <v>80.226269</v>
      </c>
      <c r="F14355" s="1">
        <v>5339.0</v>
      </c>
      <c r="G14355" s="1">
        <v>43.0</v>
      </c>
    </row>
    <row r="14356">
      <c r="A14356" s="1" t="s">
        <v>8</v>
      </c>
      <c r="B14356" s="2">
        <v>44782.0</v>
      </c>
      <c r="C14356" s="3">
        <v>0.3198611111111111</v>
      </c>
      <c r="D14356" s="1">
        <v>13.015251</v>
      </c>
      <c r="E14356" s="1">
        <v>80.225922</v>
      </c>
      <c r="F14356" s="1">
        <v>5339.0</v>
      </c>
      <c r="G14356" s="1">
        <v>25.0</v>
      </c>
    </row>
    <row r="14357">
      <c r="A14357" s="1" t="s">
        <v>8</v>
      </c>
      <c r="B14357" s="2">
        <v>44782.0</v>
      </c>
      <c r="C14357" s="3">
        <v>0.32002314814814814</v>
      </c>
      <c r="D14357" s="1">
        <v>13.014529</v>
      </c>
      <c r="E14357" s="1">
        <v>80.226186</v>
      </c>
      <c r="F14357" s="1">
        <v>5339.0</v>
      </c>
      <c r="G14357" s="1">
        <v>35.0</v>
      </c>
    </row>
    <row r="14358">
      <c r="A14358" s="1" t="s">
        <v>10</v>
      </c>
      <c r="B14358" s="2">
        <v>44782.0</v>
      </c>
      <c r="C14358" s="3">
        <v>0.32109953703703703</v>
      </c>
      <c r="D14358" s="1">
        <v>12.6914</v>
      </c>
      <c r="E14358" s="1">
        <v>79.980636</v>
      </c>
      <c r="F14358" s="1">
        <v>2846.0</v>
      </c>
      <c r="G14358" s="1">
        <v>15.0</v>
      </c>
    </row>
    <row r="14359">
      <c r="A14359" s="1" t="s">
        <v>8</v>
      </c>
      <c r="B14359" s="2">
        <v>44782.0</v>
      </c>
      <c r="C14359" s="3">
        <v>0.32121527777777775</v>
      </c>
      <c r="D14359" s="1">
        <v>13.011115</v>
      </c>
      <c r="E14359" s="1">
        <v>80.224021</v>
      </c>
      <c r="F14359" s="1">
        <v>5339.0</v>
      </c>
      <c r="G14359" s="1">
        <v>37.0</v>
      </c>
    </row>
    <row r="14360">
      <c r="A14360" s="1" t="s">
        <v>10</v>
      </c>
      <c r="B14360" s="2">
        <v>44782.0</v>
      </c>
      <c r="C14360" s="3">
        <v>0.3219444444444444</v>
      </c>
      <c r="D14360" s="1">
        <v>12.987191</v>
      </c>
      <c r="E14360" s="1">
        <v>80.142064</v>
      </c>
      <c r="F14360" s="1">
        <v>3143.0</v>
      </c>
      <c r="G14360" s="1">
        <v>28.0</v>
      </c>
    </row>
    <row r="14361">
      <c r="A14361" s="1" t="s">
        <v>8</v>
      </c>
      <c r="B14361" s="2">
        <v>44782.0</v>
      </c>
      <c r="C14361" s="3">
        <v>0.3221759259259259</v>
      </c>
      <c r="D14361" s="1">
        <v>13.011317</v>
      </c>
      <c r="E14361" s="1">
        <v>80.218338</v>
      </c>
      <c r="F14361" s="1">
        <v>5339.0</v>
      </c>
      <c r="G14361" s="1">
        <v>46.0</v>
      </c>
    </row>
    <row r="14362">
      <c r="A14362" s="1" t="s">
        <v>8</v>
      </c>
      <c r="B14362" s="2">
        <v>44782.0</v>
      </c>
      <c r="C14362" s="3">
        <v>0.32222222222222224</v>
      </c>
      <c r="D14362" s="1">
        <v>13.010917</v>
      </c>
      <c r="E14362" s="1">
        <v>80.217311</v>
      </c>
      <c r="F14362" s="1">
        <v>5339.0</v>
      </c>
      <c r="G14362" s="1">
        <v>42.0</v>
      </c>
    </row>
    <row r="14363">
      <c r="A14363" s="1" t="s">
        <v>8</v>
      </c>
      <c r="B14363" s="2">
        <v>44782.0</v>
      </c>
      <c r="C14363" s="3">
        <v>0.32261574074074073</v>
      </c>
      <c r="D14363" s="1">
        <v>13.009861</v>
      </c>
      <c r="E14363" s="1">
        <v>80.214108</v>
      </c>
      <c r="F14363" s="1">
        <v>5339.0</v>
      </c>
      <c r="G14363" s="1">
        <v>48.0</v>
      </c>
    </row>
    <row r="14364">
      <c r="A14364" s="1" t="s">
        <v>8</v>
      </c>
      <c r="B14364" s="2">
        <v>44782.0</v>
      </c>
      <c r="C14364" s="3">
        <v>0.3229976851851852</v>
      </c>
      <c r="D14364" s="1">
        <v>13.00823</v>
      </c>
      <c r="E14364" s="1">
        <v>80.209716</v>
      </c>
      <c r="F14364" s="1">
        <v>5339.0</v>
      </c>
      <c r="G14364" s="1">
        <v>47.0</v>
      </c>
    </row>
    <row r="14365">
      <c r="A14365" s="1" t="s">
        <v>9</v>
      </c>
      <c r="B14365" s="2">
        <v>44782.0</v>
      </c>
      <c r="C14365" s="3">
        <v>0.32319444444444445</v>
      </c>
      <c r="D14365" s="1">
        <v>13.007983</v>
      </c>
      <c r="E14365" s="1">
        <v>80.2085</v>
      </c>
      <c r="F14365" s="1">
        <v>5339.0</v>
      </c>
      <c r="G14365" s="1">
        <v>50.0</v>
      </c>
    </row>
    <row r="14366">
      <c r="A14366" s="1" t="s">
        <v>8</v>
      </c>
      <c r="B14366" s="2">
        <v>44782.0</v>
      </c>
      <c r="C14366" s="3">
        <v>0.3236574074074074</v>
      </c>
      <c r="D14366" s="1">
        <v>13.006694</v>
      </c>
      <c r="E14366" s="1">
        <v>80.203905</v>
      </c>
      <c r="F14366" s="1">
        <v>5339.0</v>
      </c>
      <c r="G14366" s="1">
        <v>47.0</v>
      </c>
    </row>
    <row r="14367">
      <c r="A14367" s="1" t="s">
        <v>7</v>
      </c>
      <c r="B14367" s="2">
        <v>44782.0</v>
      </c>
      <c r="C14367" s="3">
        <v>0.3239930555555556</v>
      </c>
      <c r="D14367" s="1">
        <v>13.004838</v>
      </c>
      <c r="E14367" s="1">
        <v>80.201401</v>
      </c>
      <c r="F14367" s="1">
        <v>5339.0</v>
      </c>
      <c r="G14367" s="1">
        <v>46.0</v>
      </c>
    </row>
    <row r="14368">
      <c r="A14368" s="1" t="s">
        <v>8</v>
      </c>
      <c r="B14368" s="2">
        <v>44782.0</v>
      </c>
      <c r="C14368" s="3">
        <v>0.32403935185185184</v>
      </c>
      <c r="D14368" s="1">
        <v>13.003682</v>
      </c>
      <c r="E14368" s="1">
        <v>80.200975</v>
      </c>
      <c r="F14368" s="1">
        <v>5339.0</v>
      </c>
      <c r="G14368" s="1">
        <v>47.0</v>
      </c>
    </row>
    <row r="14369">
      <c r="A14369" s="1" t="s">
        <v>8</v>
      </c>
      <c r="B14369" s="2">
        <v>44782.0</v>
      </c>
      <c r="C14369" s="3">
        <v>0.3241087962962963</v>
      </c>
      <c r="D14369" s="1">
        <v>13.003682</v>
      </c>
      <c r="E14369" s="1">
        <v>80.200975</v>
      </c>
      <c r="F14369" s="1">
        <v>5339.0</v>
      </c>
      <c r="G14369" s="1">
        <v>47.0</v>
      </c>
    </row>
    <row r="14370">
      <c r="A14370" s="1" t="s">
        <v>10</v>
      </c>
      <c r="B14370" s="2">
        <v>44782.0</v>
      </c>
      <c r="C14370" s="3">
        <v>0.3241550925925926</v>
      </c>
      <c r="D14370" s="1">
        <v>12.980857</v>
      </c>
      <c r="E14370" s="1">
        <v>80.13707</v>
      </c>
      <c r="F14370" s="1">
        <v>3143.0</v>
      </c>
      <c r="G14370" s="1">
        <v>29.0</v>
      </c>
    </row>
    <row r="14371">
      <c r="A14371" s="1" t="s">
        <v>7</v>
      </c>
      <c r="B14371" s="2">
        <v>44782.0</v>
      </c>
      <c r="C14371" s="3">
        <v>0.32461805555555556</v>
      </c>
      <c r="D14371" s="1">
        <v>13.001987</v>
      </c>
      <c r="E14371" s="1">
        <v>80.197876</v>
      </c>
      <c r="F14371" s="1">
        <v>5339.0</v>
      </c>
      <c r="G14371" s="1">
        <v>48.0</v>
      </c>
    </row>
    <row r="14372">
      <c r="A14372" s="1" t="s">
        <v>10</v>
      </c>
      <c r="B14372" s="2">
        <v>44782.0</v>
      </c>
      <c r="C14372" s="3">
        <v>0.32488425925925923</v>
      </c>
      <c r="D14372" s="1">
        <v>12.977177</v>
      </c>
      <c r="E14372" s="1">
        <v>80.135708</v>
      </c>
      <c r="F14372" s="1">
        <v>3143.0</v>
      </c>
      <c r="G14372" s="1">
        <v>24.0</v>
      </c>
    </row>
    <row r="14373">
      <c r="A14373" s="1" t="s">
        <v>7</v>
      </c>
      <c r="B14373" s="2">
        <v>44782.0</v>
      </c>
      <c r="C14373" s="3">
        <v>0.32590277777777776</v>
      </c>
      <c r="D14373" s="1">
        <v>12.704599</v>
      </c>
      <c r="E14373" s="1">
        <v>79.973085</v>
      </c>
      <c r="F14373" s="1">
        <v>2846.0</v>
      </c>
      <c r="G14373" s="1">
        <v>53.0</v>
      </c>
    </row>
    <row r="14374">
      <c r="A14374" s="1" t="s">
        <v>8</v>
      </c>
      <c r="B14374" s="2">
        <v>44782.0</v>
      </c>
      <c r="C14374" s="3">
        <v>0.32631944444444444</v>
      </c>
      <c r="D14374" s="1">
        <v>12.706438</v>
      </c>
      <c r="E14374" s="1">
        <v>79.975439</v>
      </c>
      <c r="F14374" s="1">
        <v>2846.0</v>
      </c>
      <c r="G14374" s="1">
        <v>61.0</v>
      </c>
    </row>
    <row r="14375">
      <c r="A14375" s="1" t="s">
        <v>7</v>
      </c>
      <c r="B14375" s="2">
        <v>44782.0</v>
      </c>
      <c r="C14375" s="3">
        <v>0.3266203703703704</v>
      </c>
      <c r="D14375" s="1">
        <v>12.711053</v>
      </c>
      <c r="E14375" s="1">
        <v>79.978453</v>
      </c>
      <c r="F14375" s="1">
        <v>2846.0</v>
      </c>
      <c r="G14375" s="1">
        <v>51.0</v>
      </c>
    </row>
    <row r="14376">
      <c r="A14376" s="1" t="s">
        <v>8</v>
      </c>
      <c r="B14376" s="2">
        <v>44782.0</v>
      </c>
      <c r="C14376" s="3">
        <v>0.3270138888888889</v>
      </c>
      <c r="D14376" s="1">
        <v>12.993498</v>
      </c>
      <c r="E14376" s="1">
        <v>80.184631</v>
      </c>
      <c r="F14376" s="1">
        <v>5339.0</v>
      </c>
      <c r="G14376" s="1">
        <v>39.0</v>
      </c>
    </row>
    <row r="14377">
      <c r="A14377" s="1" t="s">
        <v>7</v>
      </c>
      <c r="B14377" s="2">
        <v>44782.0</v>
      </c>
      <c r="C14377" s="3">
        <v>0.32741898148148146</v>
      </c>
      <c r="D14377" s="1">
        <v>12.990604</v>
      </c>
      <c r="E14377" s="1">
        <v>80.180371</v>
      </c>
      <c r="F14377" s="1">
        <v>5339.0</v>
      </c>
      <c r="G14377" s="1">
        <v>57.0</v>
      </c>
    </row>
    <row r="14378">
      <c r="A14378" s="1" t="s">
        <v>7</v>
      </c>
      <c r="B14378" s="2">
        <v>44782.0</v>
      </c>
      <c r="C14378" s="3">
        <v>0.3274537037037037</v>
      </c>
      <c r="D14378" s="1">
        <v>12.718993</v>
      </c>
      <c r="E14378" s="1">
        <v>79.980993</v>
      </c>
      <c r="F14378" s="1">
        <v>2846.0</v>
      </c>
      <c r="G14378" s="1">
        <v>58.0</v>
      </c>
    </row>
    <row r="14379">
      <c r="A14379" s="1" t="s">
        <v>8</v>
      </c>
      <c r="B14379" s="2">
        <v>44782.0</v>
      </c>
      <c r="C14379" s="3">
        <v>0.3287037037037037</v>
      </c>
      <c r="D14379" s="1">
        <v>13.007865</v>
      </c>
      <c r="E14379" s="1">
        <v>80.234982</v>
      </c>
      <c r="F14379" s="1">
        <v>805.0</v>
      </c>
      <c r="G14379" s="1">
        <v>26.0</v>
      </c>
    </row>
    <row r="14380">
      <c r="A14380" s="1" t="s">
        <v>7</v>
      </c>
      <c r="B14380" s="2">
        <v>44782.0</v>
      </c>
      <c r="C14380" s="3">
        <v>0.3287962962962963</v>
      </c>
      <c r="D14380" s="1">
        <v>12.985952</v>
      </c>
      <c r="E14380" s="1">
        <v>80.174041</v>
      </c>
      <c r="F14380" s="1">
        <v>5339.0</v>
      </c>
      <c r="G14380" s="1">
        <v>56.0</v>
      </c>
    </row>
    <row r="14381">
      <c r="A14381" s="1" t="s">
        <v>7</v>
      </c>
      <c r="B14381" s="2">
        <v>44782.0</v>
      </c>
      <c r="C14381" s="3">
        <v>0.32881944444444444</v>
      </c>
      <c r="D14381" s="1">
        <v>12.72827</v>
      </c>
      <c r="E14381" s="1">
        <v>79.982613</v>
      </c>
      <c r="F14381" s="1">
        <v>2846.0</v>
      </c>
      <c r="G14381" s="1">
        <v>55.0</v>
      </c>
    </row>
    <row r="14382">
      <c r="A14382" s="1" t="s">
        <v>7</v>
      </c>
      <c r="B14382" s="2">
        <v>44782.0</v>
      </c>
      <c r="C14382" s="3">
        <v>0.32914351851851853</v>
      </c>
      <c r="D14382" s="1">
        <v>13.008794</v>
      </c>
      <c r="E14382" s="1">
        <v>80.230312</v>
      </c>
      <c r="F14382" s="1">
        <v>805.0</v>
      </c>
      <c r="G14382" s="1">
        <v>58.0</v>
      </c>
    </row>
    <row r="14383">
      <c r="A14383" s="1" t="s">
        <v>8</v>
      </c>
      <c r="B14383" s="2">
        <v>44782.0</v>
      </c>
      <c r="C14383" s="3">
        <v>0.32915509259259257</v>
      </c>
      <c r="D14383" s="1">
        <v>12.983794</v>
      </c>
      <c r="E14383" s="1">
        <v>80.170722</v>
      </c>
      <c r="F14383" s="1">
        <v>5339.0</v>
      </c>
      <c r="G14383" s="1">
        <v>37.0</v>
      </c>
    </row>
    <row r="14384">
      <c r="A14384" s="1" t="s">
        <v>7</v>
      </c>
      <c r="B14384" s="2">
        <v>44782.0</v>
      </c>
      <c r="C14384" s="3">
        <v>0.32916666666666666</v>
      </c>
      <c r="D14384" s="1">
        <v>12.734439</v>
      </c>
      <c r="E14384" s="1">
        <v>79.984895</v>
      </c>
      <c r="F14384" s="1">
        <v>2846.0</v>
      </c>
      <c r="G14384" s="1">
        <v>58.0</v>
      </c>
    </row>
    <row r="14385">
      <c r="A14385" s="1" t="s">
        <v>7</v>
      </c>
      <c r="B14385" s="2">
        <v>44782.0</v>
      </c>
      <c r="C14385" s="3">
        <v>0.3294675925925926</v>
      </c>
      <c r="D14385" s="1">
        <v>13.009916</v>
      </c>
      <c r="E14385" s="1">
        <v>80.22662</v>
      </c>
      <c r="F14385" s="1">
        <v>805.0</v>
      </c>
      <c r="G14385" s="1">
        <v>49.0</v>
      </c>
    </row>
    <row r="14386">
      <c r="A14386" s="1" t="s">
        <v>7</v>
      </c>
      <c r="B14386" s="2">
        <v>44782.0</v>
      </c>
      <c r="C14386" s="3">
        <v>0.3296527777777778</v>
      </c>
      <c r="D14386" s="1">
        <v>13.010479</v>
      </c>
      <c r="E14386" s="1">
        <v>80.225428</v>
      </c>
      <c r="F14386" s="1">
        <v>805.0</v>
      </c>
      <c r="G14386" s="1">
        <v>53.0</v>
      </c>
    </row>
    <row r="14387">
      <c r="A14387" s="1" t="s">
        <v>7</v>
      </c>
      <c r="B14387" s="2">
        <v>44782.0</v>
      </c>
      <c r="C14387" s="3">
        <v>0.32967592592592593</v>
      </c>
      <c r="D14387" s="1">
        <v>12.981557</v>
      </c>
      <c r="E14387" s="1">
        <v>80.167023</v>
      </c>
      <c r="F14387" s="1">
        <v>5339.0</v>
      </c>
      <c r="G14387" s="1">
        <v>52.0</v>
      </c>
    </row>
    <row r="14388">
      <c r="A14388" s="1" t="s">
        <v>8</v>
      </c>
      <c r="B14388" s="2">
        <v>44782.0</v>
      </c>
      <c r="C14388" s="3">
        <v>0.3298726851851852</v>
      </c>
      <c r="D14388" s="1">
        <v>13.011476</v>
      </c>
      <c r="E14388" s="1">
        <v>80.222978</v>
      </c>
      <c r="F14388" s="1">
        <v>805.0</v>
      </c>
      <c r="G14388" s="1">
        <v>47.0</v>
      </c>
    </row>
    <row r="14389">
      <c r="A14389" s="1" t="s">
        <v>8</v>
      </c>
      <c r="B14389" s="2">
        <v>44782.0</v>
      </c>
      <c r="C14389" s="3">
        <v>0.3302777777777778</v>
      </c>
      <c r="D14389" s="1">
        <v>13.011624</v>
      </c>
      <c r="E14389" s="1">
        <v>80.219338</v>
      </c>
      <c r="F14389" s="1">
        <v>805.0</v>
      </c>
      <c r="G14389" s="1">
        <v>39.0</v>
      </c>
    </row>
    <row r="14390">
      <c r="A14390" s="1" t="s">
        <v>8</v>
      </c>
      <c r="B14390" s="2">
        <v>44782.0</v>
      </c>
      <c r="C14390" s="3">
        <v>0.3303935185185185</v>
      </c>
      <c r="D14390" s="1">
        <v>13.011316</v>
      </c>
      <c r="E14390" s="1">
        <v>80.21841</v>
      </c>
      <c r="F14390" s="1">
        <v>805.0</v>
      </c>
      <c r="G14390" s="1">
        <v>37.0</v>
      </c>
    </row>
    <row r="14391">
      <c r="A14391" s="1" t="s">
        <v>9</v>
      </c>
      <c r="B14391" s="2">
        <v>44782.0</v>
      </c>
      <c r="C14391" s="3">
        <v>0.3305787037037037</v>
      </c>
      <c r="D14391" s="1">
        <v>13.011001</v>
      </c>
      <c r="E14391" s="1">
        <v>80.217512</v>
      </c>
      <c r="F14391" s="1">
        <v>805.0</v>
      </c>
      <c r="G14391" s="1">
        <v>37.0</v>
      </c>
    </row>
    <row r="14392">
      <c r="A14392" s="1" t="s">
        <v>8</v>
      </c>
      <c r="B14392" s="2">
        <v>44782.0</v>
      </c>
      <c r="C14392" s="3">
        <v>0.33091435185185186</v>
      </c>
      <c r="D14392" s="1">
        <v>12.979408</v>
      </c>
      <c r="E14392" s="1">
        <v>80.162157</v>
      </c>
      <c r="F14392" s="1">
        <v>5339.0</v>
      </c>
      <c r="G14392" s="1">
        <v>39.0</v>
      </c>
    </row>
    <row r="14393">
      <c r="A14393" s="1" t="s">
        <v>8</v>
      </c>
      <c r="B14393" s="2">
        <v>44782.0</v>
      </c>
      <c r="C14393" s="3">
        <v>0.3310300925925926</v>
      </c>
      <c r="D14393" s="1">
        <v>13.009665</v>
      </c>
      <c r="E14393" s="1">
        <v>80.213691</v>
      </c>
      <c r="F14393" s="1">
        <v>805.0</v>
      </c>
      <c r="G14393" s="1">
        <v>54.0</v>
      </c>
    </row>
    <row r="14394">
      <c r="A14394" s="1" t="s">
        <v>7</v>
      </c>
      <c r="B14394" s="2">
        <v>44782.0</v>
      </c>
      <c r="C14394" s="3">
        <v>0.33108796296296295</v>
      </c>
      <c r="D14394" s="1">
        <v>12.745493</v>
      </c>
      <c r="E14394" s="1">
        <v>79.994098</v>
      </c>
      <c r="F14394" s="1">
        <v>2846.0</v>
      </c>
      <c r="G14394" s="1">
        <v>52.0</v>
      </c>
    </row>
    <row r="14395">
      <c r="A14395" s="1" t="s">
        <v>7</v>
      </c>
      <c r="B14395" s="2">
        <v>44782.0</v>
      </c>
      <c r="C14395" s="3">
        <v>0.33130787037037035</v>
      </c>
      <c r="D14395" s="1">
        <v>13.008439</v>
      </c>
      <c r="E14395" s="1">
        <v>80.210407</v>
      </c>
      <c r="F14395" s="1">
        <v>805.0</v>
      </c>
      <c r="G14395" s="1">
        <v>50.0</v>
      </c>
    </row>
    <row r="14396">
      <c r="A14396" s="1" t="s">
        <v>8</v>
      </c>
      <c r="B14396" s="2">
        <v>44782.0</v>
      </c>
      <c r="C14396" s="3">
        <v>0.33131944444444444</v>
      </c>
      <c r="D14396" s="1">
        <v>13.008439</v>
      </c>
      <c r="E14396" s="1">
        <v>80.210407</v>
      </c>
      <c r="F14396" s="1">
        <v>805.0</v>
      </c>
      <c r="G14396" s="1">
        <v>50.0</v>
      </c>
    </row>
    <row r="14397">
      <c r="A14397" s="1" t="s">
        <v>8</v>
      </c>
      <c r="B14397" s="2">
        <v>44782.0</v>
      </c>
      <c r="C14397" s="3">
        <v>0.33145833333333335</v>
      </c>
      <c r="D14397" s="1">
        <v>13.008067</v>
      </c>
      <c r="E14397" s="1">
        <v>80.209158</v>
      </c>
      <c r="F14397" s="1">
        <v>805.0</v>
      </c>
      <c r="G14397" s="1">
        <v>48.0</v>
      </c>
    </row>
    <row r="14398">
      <c r="A14398" s="1" t="s">
        <v>8</v>
      </c>
      <c r="B14398" s="2">
        <v>44782.0</v>
      </c>
      <c r="C14398" s="3">
        <v>0.3314814814814815</v>
      </c>
      <c r="D14398" s="1">
        <v>12.976073</v>
      </c>
      <c r="E14398" s="1">
        <v>80.157231</v>
      </c>
      <c r="F14398" s="1">
        <v>5339.0</v>
      </c>
      <c r="G14398" s="1">
        <v>53.0</v>
      </c>
    </row>
    <row r="14399">
      <c r="A14399" s="1" t="s">
        <v>8</v>
      </c>
      <c r="B14399" s="2">
        <v>44782.0</v>
      </c>
      <c r="C14399" s="3">
        <v>0.33165509259259257</v>
      </c>
      <c r="D14399" s="1">
        <v>13.007714</v>
      </c>
      <c r="E14399" s="1">
        <v>80.206936</v>
      </c>
      <c r="F14399" s="1">
        <v>805.0</v>
      </c>
      <c r="G14399" s="1">
        <v>44.0</v>
      </c>
    </row>
    <row r="14400">
      <c r="A14400" s="1" t="s">
        <v>7</v>
      </c>
      <c r="B14400" s="2">
        <v>44782.0</v>
      </c>
      <c r="C14400" s="3">
        <v>0.33174768518518516</v>
      </c>
      <c r="D14400" s="1">
        <v>12.752401</v>
      </c>
      <c r="E14400" s="1">
        <v>79.999493</v>
      </c>
      <c r="F14400" s="1">
        <v>2846.0</v>
      </c>
      <c r="G14400" s="1">
        <v>58.0</v>
      </c>
    </row>
    <row r="14401">
      <c r="A14401" s="1" t="s">
        <v>8</v>
      </c>
      <c r="B14401" s="2">
        <v>44782.0</v>
      </c>
      <c r="C14401" s="3">
        <v>0.3317939814814815</v>
      </c>
      <c r="D14401" s="1">
        <v>12.757108</v>
      </c>
      <c r="E14401" s="1">
        <v>80.002287</v>
      </c>
      <c r="F14401" s="1">
        <v>2846.0</v>
      </c>
      <c r="G14401" s="1">
        <v>59.0</v>
      </c>
    </row>
    <row r="14402">
      <c r="A14402" s="1" t="s">
        <v>10</v>
      </c>
      <c r="B14402" s="2">
        <v>44782.0</v>
      </c>
      <c r="C14402" s="3">
        <v>0.3319212962962963</v>
      </c>
      <c r="D14402" s="1">
        <v>12.971716</v>
      </c>
      <c r="E14402" s="1">
        <v>80.148856</v>
      </c>
      <c r="F14402" s="1">
        <v>3143.0</v>
      </c>
      <c r="G14402" s="1">
        <v>31.0</v>
      </c>
    </row>
    <row r="14403">
      <c r="A14403" s="1" t="s">
        <v>8</v>
      </c>
      <c r="B14403" s="2">
        <v>44782.0</v>
      </c>
      <c r="C14403" s="3">
        <v>0.3319675925925926</v>
      </c>
      <c r="D14403" s="1">
        <v>12.758505</v>
      </c>
      <c r="E14403" s="1">
        <v>80.002697</v>
      </c>
      <c r="F14403" s="1">
        <v>2846.0</v>
      </c>
      <c r="G14403" s="1">
        <v>57.0</v>
      </c>
    </row>
    <row r="14404">
      <c r="A14404" s="1" t="s">
        <v>8</v>
      </c>
      <c r="B14404" s="2">
        <v>44782.0</v>
      </c>
      <c r="C14404" s="3">
        <v>0.3320949074074074</v>
      </c>
      <c r="D14404" s="1">
        <v>13.006954</v>
      </c>
      <c r="E14404" s="1">
        <v>80.204374</v>
      </c>
      <c r="F14404" s="1">
        <v>805.0</v>
      </c>
      <c r="G14404" s="1">
        <v>47.0</v>
      </c>
    </row>
    <row r="14405">
      <c r="A14405" s="1" t="s">
        <v>8</v>
      </c>
      <c r="B14405" s="2">
        <v>44782.0</v>
      </c>
      <c r="C14405" s="3">
        <v>0.3325462962962963</v>
      </c>
      <c r="D14405" s="1">
        <v>13.004863</v>
      </c>
      <c r="E14405" s="1">
        <v>80.20146</v>
      </c>
      <c r="F14405" s="1">
        <v>805.0</v>
      </c>
      <c r="G14405" s="1">
        <v>41.0</v>
      </c>
    </row>
    <row r="14406">
      <c r="A14406" s="1" t="s">
        <v>9</v>
      </c>
      <c r="B14406" s="2">
        <v>44782.0</v>
      </c>
      <c r="C14406" s="3">
        <v>0.33296296296296296</v>
      </c>
      <c r="D14406" s="1">
        <v>12.966638</v>
      </c>
      <c r="E14406" s="1">
        <v>80.148844</v>
      </c>
      <c r="F14406" s="1">
        <v>5339.0</v>
      </c>
      <c r="G14406" s="1">
        <v>31.0</v>
      </c>
    </row>
    <row r="14407">
      <c r="A14407" s="1" t="s">
        <v>7</v>
      </c>
      <c r="B14407" s="2">
        <v>44782.0</v>
      </c>
      <c r="C14407" s="3">
        <v>0.3330208333333333</v>
      </c>
      <c r="D14407" s="1">
        <v>13.00176</v>
      </c>
      <c r="E14407" s="1">
        <v>80.199159</v>
      </c>
      <c r="F14407" s="1">
        <v>805.0</v>
      </c>
      <c r="G14407" s="1">
        <v>39.0</v>
      </c>
    </row>
    <row r="14408">
      <c r="A14408" s="1" t="s">
        <v>8</v>
      </c>
      <c r="B14408" s="2">
        <v>44782.0</v>
      </c>
      <c r="C14408" s="3">
        <v>0.3331134259259259</v>
      </c>
      <c r="D14408" s="1">
        <v>12.965953</v>
      </c>
      <c r="E14408" s="1">
        <v>80.148516</v>
      </c>
      <c r="F14408" s="1">
        <v>5339.0</v>
      </c>
      <c r="G14408" s="1">
        <v>28.0</v>
      </c>
    </row>
    <row r="14409">
      <c r="A14409" s="1" t="s">
        <v>8</v>
      </c>
      <c r="B14409" s="2">
        <v>44782.0</v>
      </c>
      <c r="C14409" s="3">
        <v>0.3331365740740741</v>
      </c>
      <c r="D14409" s="1">
        <v>13.001984</v>
      </c>
      <c r="E14409" s="1">
        <v>80.197953</v>
      </c>
      <c r="F14409" s="1">
        <v>805.0</v>
      </c>
      <c r="G14409" s="1">
        <v>53.0</v>
      </c>
    </row>
    <row r="14410">
      <c r="A14410" s="1" t="s">
        <v>8</v>
      </c>
      <c r="B14410" s="2">
        <v>44782.0</v>
      </c>
      <c r="C14410" s="3">
        <v>0.33318287037037037</v>
      </c>
      <c r="D14410" s="1">
        <v>12.969825</v>
      </c>
      <c r="E14410" s="1">
        <v>80.150329</v>
      </c>
      <c r="F14410" s="1">
        <v>3143.0</v>
      </c>
      <c r="G14410" s="1">
        <v>52.0</v>
      </c>
    </row>
    <row r="14411">
      <c r="A14411" s="1" t="s">
        <v>8</v>
      </c>
      <c r="B14411" s="2">
        <v>44782.0</v>
      </c>
      <c r="C14411" s="3">
        <v>0.33327546296296295</v>
      </c>
      <c r="D14411" s="1">
        <v>12.968522</v>
      </c>
      <c r="E14411" s="1">
        <v>80.149714</v>
      </c>
      <c r="F14411" s="1">
        <v>3143.0</v>
      </c>
      <c r="G14411" s="1">
        <v>44.0</v>
      </c>
    </row>
    <row r="14412">
      <c r="A14412" s="1" t="s">
        <v>8</v>
      </c>
      <c r="B14412" s="2">
        <v>44782.0</v>
      </c>
      <c r="C14412" s="3">
        <v>0.33327546296296295</v>
      </c>
      <c r="D14412" s="1">
        <v>12.968522</v>
      </c>
      <c r="E14412" s="1">
        <v>80.149714</v>
      </c>
      <c r="F14412" s="1">
        <v>3143.0</v>
      </c>
      <c r="G14412" s="1">
        <v>44.0</v>
      </c>
    </row>
    <row r="14413">
      <c r="A14413" s="1" t="s">
        <v>8</v>
      </c>
      <c r="B14413" s="2">
        <v>44782.0</v>
      </c>
      <c r="C14413" s="3">
        <v>0.33327546296296295</v>
      </c>
      <c r="D14413" s="1">
        <v>12.968522</v>
      </c>
      <c r="E14413" s="1">
        <v>80.149714</v>
      </c>
      <c r="F14413" s="1">
        <v>3143.0</v>
      </c>
      <c r="G14413" s="1">
        <v>44.0</v>
      </c>
    </row>
    <row r="14414">
      <c r="A14414" s="1" t="s">
        <v>8</v>
      </c>
      <c r="B14414" s="2">
        <v>44782.0</v>
      </c>
      <c r="C14414" s="3">
        <v>0.33337962962962964</v>
      </c>
      <c r="D14414" s="1">
        <v>12.967775</v>
      </c>
      <c r="E14414" s="1">
        <v>80.149378</v>
      </c>
      <c r="F14414" s="1">
        <v>3143.0</v>
      </c>
      <c r="G14414" s="1">
        <v>0.0</v>
      </c>
    </row>
    <row r="14415">
      <c r="A14415" s="1" t="s">
        <v>8</v>
      </c>
      <c r="B14415" s="2">
        <v>44782.0</v>
      </c>
      <c r="C14415" s="3">
        <v>0.3334490740740741</v>
      </c>
      <c r="D14415" s="1">
        <v>12.967775</v>
      </c>
      <c r="E14415" s="1">
        <v>80.149378</v>
      </c>
      <c r="F14415" s="1">
        <v>3143.0</v>
      </c>
      <c r="G14415" s="1">
        <v>0.0</v>
      </c>
    </row>
    <row r="14416">
      <c r="A14416" s="1" t="s">
        <v>8</v>
      </c>
      <c r="B14416" s="2">
        <v>44782.0</v>
      </c>
      <c r="C14416" s="3">
        <v>0.33346064814814813</v>
      </c>
      <c r="D14416" s="1">
        <v>12.967775</v>
      </c>
      <c r="E14416" s="1">
        <v>80.149378</v>
      </c>
      <c r="F14416" s="1">
        <v>3143.0</v>
      </c>
      <c r="G14416" s="1">
        <v>0.0</v>
      </c>
    </row>
    <row r="14417">
      <c r="A14417" s="1" t="s">
        <v>8</v>
      </c>
      <c r="B14417" s="2">
        <v>44782.0</v>
      </c>
      <c r="C14417" s="3">
        <v>0.33346064814814813</v>
      </c>
      <c r="D14417" s="1">
        <v>12.967775</v>
      </c>
      <c r="E14417" s="1">
        <v>80.149378</v>
      </c>
      <c r="F14417" s="1">
        <v>3143.0</v>
      </c>
      <c r="G14417" s="1">
        <v>0.0</v>
      </c>
    </row>
    <row r="14418">
      <c r="A14418" s="1" t="s">
        <v>7</v>
      </c>
      <c r="B14418" s="2">
        <v>44782.0</v>
      </c>
      <c r="C14418" s="3">
        <v>0.33359953703703704</v>
      </c>
      <c r="D14418" s="1">
        <v>12.761744</v>
      </c>
      <c r="E14418" s="1">
        <v>80.003588</v>
      </c>
      <c r="F14418" s="1">
        <v>2846.0</v>
      </c>
      <c r="G14418" s="1">
        <v>36.0</v>
      </c>
    </row>
    <row r="14419">
      <c r="A14419" s="1" t="s">
        <v>8</v>
      </c>
      <c r="B14419" s="2">
        <v>44782.0</v>
      </c>
      <c r="C14419" s="3">
        <v>0.33359953703703704</v>
      </c>
      <c r="D14419" s="1">
        <v>12.966492</v>
      </c>
      <c r="E14419" s="1">
        <v>80.14881</v>
      </c>
      <c r="F14419" s="1">
        <v>3143.0</v>
      </c>
      <c r="G14419" s="1">
        <v>25.0</v>
      </c>
    </row>
    <row r="14420">
      <c r="A14420" s="1" t="s">
        <v>8</v>
      </c>
      <c r="B14420" s="2">
        <v>44782.0</v>
      </c>
      <c r="C14420" s="3">
        <v>0.33361111111111114</v>
      </c>
      <c r="D14420" s="1">
        <v>12.966492</v>
      </c>
      <c r="E14420" s="1">
        <v>80.14881</v>
      </c>
      <c r="F14420" s="1">
        <v>3143.0</v>
      </c>
      <c r="G14420" s="1">
        <v>25.0</v>
      </c>
    </row>
    <row r="14421">
      <c r="A14421" s="1" t="s">
        <v>8</v>
      </c>
      <c r="B14421" s="2">
        <v>44782.0</v>
      </c>
      <c r="C14421" s="3">
        <v>0.33361111111111114</v>
      </c>
      <c r="D14421" s="1">
        <v>12.966492</v>
      </c>
      <c r="E14421" s="1">
        <v>80.14881</v>
      </c>
      <c r="F14421" s="1">
        <v>3143.0</v>
      </c>
      <c r="G14421" s="1">
        <v>25.0</v>
      </c>
    </row>
    <row r="14422">
      <c r="A14422" s="1" t="s">
        <v>8</v>
      </c>
      <c r="B14422" s="2">
        <v>44782.0</v>
      </c>
      <c r="C14422" s="3">
        <v>0.3336226851851852</v>
      </c>
      <c r="D14422" s="1">
        <v>12.966492</v>
      </c>
      <c r="E14422" s="1">
        <v>80.14881</v>
      </c>
      <c r="F14422" s="1">
        <v>3143.0</v>
      </c>
      <c r="G14422" s="1">
        <v>25.0</v>
      </c>
    </row>
    <row r="14423">
      <c r="A14423" s="1" t="s">
        <v>8</v>
      </c>
      <c r="B14423" s="2">
        <v>44782.0</v>
      </c>
      <c r="C14423" s="3">
        <v>0.3336226851851852</v>
      </c>
      <c r="D14423" s="1">
        <v>12.962006</v>
      </c>
      <c r="E14423" s="1">
        <v>80.146336</v>
      </c>
      <c r="F14423" s="1">
        <v>5339.0</v>
      </c>
      <c r="G14423" s="1">
        <v>49.0</v>
      </c>
    </row>
    <row r="14424">
      <c r="A14424" s="1" t="s">
        <v>8</v>
      </c>
      <c r="B14424" s="2">
        <v>44782.0</v>
      </c>
      <c r="C14424" s="3">
        <v>0.33363425925925927</v>
      </c>
      <c r="D14424" s="1">
        <v>12.999868</v>
      </c>
      <c r="E14424" s="1">
        <v>80.194028</v>
      </c>
      <c r="F14424" s="1">
        <v>805.0</v>
      </c>
      <c r="G14424" s="1">
        <v>47.0</v>
      </c>
    </row>
    <row r="14425">
      <c r="A14425" s="1" t="s">
        <v>8</v>
      </c>
      <c r="B14425" s="2">
        <v>44782.0</v>
      </c>
      <c r="C14425" s="3">
        <v>0.33381944444444445</v>
      </c>
      <c r="D14425" s="1">
        <v>12.9992</v>
      </c>
      <c r="E14425" s="1">
        <v>80.193182</v>
      </c>
      <c r="F14425" s="1">
        <v>805.0</v>
      </c>
      <c r="G14425" s="1">
        <v>40.0</v>
      </c>
    </row>
    <row r="14426">
      <c r="A14426" s="1" t="s">
        <v>8</v>
      </c>
      <c r="B14426" s="2">
        <v>44782.0</v>
      </c>
      <c r="C14426" s="3">
        <v>0.3338773148148148</v>
      </c>
      <c r="D14426" s="1">
        <v>12.998562</v>
      </c>
      <c r="E14426" s="1">
        <v>80.192376</v>
      </c>
      <c r="F14426" s="1">
        <v>805.0</v>
      </c>
      <c r="G14426" s="1">
        <v>41.0</v>
      </c>
    </row>
    <row r="14427">
      <c r="A14427" s="1" t="s">
        <v>8</v>
      </c>
      <c r="B14427" s="2">
        <v>44782.0</v>
      </c>
      <c r="C14427" s="3">
        <v>0.33393518518518517</v>
      </c>
      <c r="D14427" s="1">
        <v>12.958911</v>
      </c>
      <c r="E14427" s="1">
        <v>80.144672</v>
      </c>
      <c r="F14427" s="1">
        <v>5339.0</v>
      </c>
      <c r="G14427" s="1">
        <v>49.0</v>
      </c>
    </row>
    <row r="14428">
      <c r="A14428" s="1" t="s">
        <v>7</v>
      </c>
      <c r="B14428" s="2">
        <v>44782.0</v>
      </c>
      <c r="C14428" s="3">
        <v>0.33394675925925926</v>
      </c>
      <c r="D14428" s="1">
        <v>12.963841</v>
      </c>
      <c r="E14428" s="1">
        <v>80.147345</v>
      </c>
      <c r="F14428" s="1">
        <v>3143.0</v>
      </c>
      <c r="G14428" s="1">
        <v>54.0</v>
      </c>
    </row>
    <row r="14429">
      <c r="A14429" s="1" t="s">
        <v>9</v>
      </c>
      <c r="B14429" s="2">
        <v>44782.0</v>
      </c>
      <c r="C14429" s="3">
        <v>0.3342939814814815</v>
      </c>
      <c r="D14429" s="1">
        <v>12.95624</v>
      </c>
      <c r="E14429" s="1">
        <v>80.143268</v>
      </c>
      <c r="F14429" s="1">
        <v>5339.0</v>
      </c>
      <c r="G14429" s="1">
        <v>26.0</v>
      </c>
    </row>
    <row r="14430">
      <c r="A14430" s="1" t="s">
        <v>8</v>
      </c>
      <c r="B14430" s="2">
        <v>44782.0</v>
      </c>
      <c r="C14430" s="3">
        <v>0.3345138888888889</v>
      </c>
      <c r="D14430" s="1">
        <v>12.95624</v>
      </c>
      <c r="E14430" s="1">
        <v>80.143268</v>
      </c>
      <c r="F14430" s="1">
        <v>5339.0</v>
      </c>
      <c r="G14430" s="1">
        <v>26.0</v>
      </c>
    </row>
    <row r="14431">
      <c r="A14431" s="1" t="s">
        <v>8</v>
      </c>
      <c r="B14431" s="2">
        <v>44782.0</v>
      </c>
      <c r="C14431" s="3">
        <v>0.334849537037037</v>
      </c>
      <c r="D14431" s="1">
        <v>12.994402</v>
      </c>
      <c r="E14431" s="1">
        <v>80.186406</v>
      </c>
      <c r="F14431" s="1">
        <v>805.0</v>
      </c>
      <c r="G14431" s="1">
        <v>20.0</v>
      </c>
    </row>
    <row r="14432">
      <c r="A14432" s="1" t="s">
        <v>8</v>
      </c>
      <c r="B14432" s="2">
        <v>44782.0</v>
      </c>
      <c r="C14432" s="3">
        <v>0.3350462962962963</v>
      </c>
      <c r="D14432" s="1">
        <v>12.961383</v>
      </c>
      <c r="E14432" s="1">
        <v>80.146044</v>
      </c>
      <c r="F14432" s="1">
        <v>3143.0</v>
      </c>
      <c r="G14432" s="1">
        <v>21.0</v>
      </c>
    </row>
    <row r="14433">
      <c r="A14433" s="1" t="s">
        <v>8</v>
      </c>
      <c r="B14433" s="2">
        <v>44782.0</v>
      </c>
      <c r="C14433" s="3">
        <v>0.33512731481481484</v>
      </c>
      <c r="D14433" s="1">
        <v>12.993185</v>
      </c>
      <c r="E14433" s="1">
        <v>80.184125</v>
      </c>
      <c r="F14433" s="1">
        <v>805.0</v>
      </c>
      <c r="G14433" s="1">
        <v>49.0</v>
      </c>
    </row>
    <row r="14434">
      <c r="A14434" s="1" t="s">
        <v>8</v>
      </c>
      <c r="B14434" s="2">
        <v>44782.0</v>
      </c>
      <c r="C14434" s="3">
        <v>0.33515046296296297</v>
      </c>
      <c r="D14434" s="1">
        <v>12.960755</v>
      </c>
      <c r="E14434" s="1">
        <v>80.145698</v>
      </c>
      <c r="F14434" s="1">
        <v>3143.0</v>
      </c>
      <c r="G14434" s="1">
        <v>33.0</v>
      </c>
    </row>
    <row r="14435">
      <c r="A14435" s="1" t="s">
        <v>7</v>
      </c>
      <c r="B14435" s="2">
        <v>44782.0</v>
      </c>
      <c r="C14435" s="3">
        <v>0.33520833333333333</v>
      </c>
      <c r="D14435" s="1">
        <v>12.782313</v>
      </c>
      <c r="E14435" s="1">
        <v>80.012689</v>
      </c>
      <c r="F14435" s="1">
        <v>2846.0</v>
      </c>
      <c r="G14435" s="1">
        <v>54.0</v>
      </c>
    </row>
    <row r="14436">
      <c r="A14436" s="1" t="s">
        <v>8</v>
      </c>
      <c r="B14436" s="2">
        <v>44782.0</v>
      </c>
      <c r="C14436" s="3">
        <v>0.33534722222222224</v>
      </c>
      <c r="D14436" s="1">
        <v>12.992532</v>
      </c>
      <c r="E14436" s="1">
        <v>80.183026</v>
      </c>
      <c r="F14436" s="1">
        <v>805.0</v>
      </c>
      <c r="G14436" s="1">
        <v>52.0</v>
      </c>
    </row>
    <row r="14437">
      <c r="A14437" s="1" t="s">
        <v>8</v>
      </c>
      <c r="B14437" s="2">
        <v>44782.0</v>
      </c>
      <c r="C14437" s="3">
        <v>0.3355208333333333</v>
      </c>
      <c r="D14437" s="1">
        <v>12.957428</v>
      </c>
      <c r="E14437" s="1">
        <v>80.143876</v>
      </c>
      <c r="F14437" s="1">
        <v>3143.0</v>
      </c>
      <c r="G14437" s="1">
        <v>57.0</v>
      </c>
    </row>
    <row r="14438">
      <c r="A14438" s="1" t="s">
        <v>8</v>
      </c>
      <c r="B14438" s="2">
        <v>44782.0</v>
      </c>
      <c r="C14438" s="3">
        <v>0.3355787037037037</v>
      </c>
      <c r="D14438" s="1">
        <v>12.956206</v>
      </c>
      <c r="E14438" s="1">
        <v>80.143215</v>
      </c>
      <c r="F14438" s="1">
        <v>3143.0</v>
      </c>
      <c r="G14438" s="1">
        <v>50.0</v>
      </c>
    </row>
    <row r="14439">
      <c r="A14439" s="1" t="s">
        <v>8</v>
      </c>
      <c r="B14439" s="2">
        <v>44782.0</v>
      </c>
      <c r="C14439" s="3">
        <v>0.3357175925925926</v>
      </c>
      <c r="D14439" s="1">
        <v>12.955333</v>
      </c>
      <c r="E14439" s="1">
        <v>80.142763</v>
      </c>
      <c r="F14439" s="1">
        <v>3143.0</v>
      </c>
      <c r="G14439" s="1">
        <v>0.0</v>
      </c>
    </row>
    <row r="14440">
      <c r="A14440" s="1" t="s">
        <v>8</v>
      </c>
      <c r="B14440" s="2">
        <v>44782.0</v>
      </c>
      <c r="C14440" s="3">
        <v>0.33591435185185187</v>
      </c>
      <c r="D14440" s="1">
        <v>12.953309</v>
      </c>
      <c r="E14440" s="1">
        <v>80.141701</v>
      </c>
      <c r="F14440" s="1">
        <v>3143.0</v>
      </c>
      <c r="G14440" s="1">
        <v>43.0</v>
      </c>
    </row>
    <row r="14441">
      <c r="A14441" s="1" t="s">
        <v>8</v>
      </c>
      <c r="B14441" s="2">
        <v>44782.0</v>
      </c>
      <c r="C14441" s="3">
        <v>0.3359722222222222</v>
      </c>
      <c r="D14441" s="1">
        <v>12.953309</v>
      </c>
      <c r="E14441" s="1">
        <v>80.141701</v>
      </c>
      <c r="F14441" s="1">
        <v>3143.0</v>
      </c>
      <c r="G14441" s="1">
        <v>43.0</v>
      </c>
    </row>
    <row r="14442">
      <c r="A14442" s="1" t="s">
        <v>8</v>
      </c>
      <c r="B14442" s="2">
        <v>44782.0</v>
      </c>
      <c r="C14442" s="3">
        <v>0.3361574074074074</v>
      </c>
      <c r="D14442" s="1">
        <v>12.951903</v>
      </c>
      <c r="E14442" s="1">
        <v>80.140683</v>
      </c>
      <c r="F14442" s="1">
        <v>3143.0</v>
      </c>
      <c r="G14442" s="1">
        <v>39.0</v>
      </c>
    </row>
    <row r="14443">
      <c r="A14443" s="1" t="s">
        <v>7</v>
      </c>
      <c r="B14443" s="2">
        <v>44782.0</v>
      </c>
      <c r="C14443" s="3">
        <v>0.33618055555555554</v>
      </c>
      <c r="D14443" s="1">
        <v>12.787193</v>
      </c>
      <c r="E14443" s="1">
        <v>80.015198</v>
      </c>
      <c r="F14443" s="1">
        <v>2846.0</v>
      </c>
      <c r="G14443" s="1">
        <v>55.0</v>
      </c>
    </row>
    <row r="14444">
      <c r="A14444" s="1" t="s">
        <v>7</v>
      </c>
      <c r="B14444" s="2">
        <v>44782.0</v>
      </c>
      <c r="C14444" s="3">
        <v>0.33630787037037035</v>
      </c>
      <c r="D14444" s="1">
        <v>12.787193</v>
      </c>
      <c r="E14444" s="1">
        <v>80.015198</v>
      </c>
      <c r="F14444" s="1">
        <v>2846.0</v>
      </c>
      <c r="G14444" s="1">
        <v>55.0</v>
      </c>
    </row>
    <row r="14445">
      <c r="A14445" s="1" t="s">
        <v>8</v>
      </c>
      <c r="B14445" s="2">
        <v>44782.0</v>
      </c>
      <c r="C14445" s="3">
        <v>0.33631944444444445</v>
      </c>
      <c r="D14445" s="1">
        <v>12.949882</v>
      </c>
      <c r="E14445" s="1">
        <v>80.139204</v>
      </c>
      <c r="F14445" s="1">
        <v>5339.0</v>
      </c>
      <c r="G14445" s="1">
        <v>34.0</v>
      </c>
    </row>
    <row r="14446">
      <c r="A14446" s="1" t="s">
        <v>8</v>
      </c>
      <c r="B14446" s="2">
        <v>44782.0</v>
      </c>
      <c r="C14446" s="3">
        <v>0.3364699074074074</v>
      </c>
      <c r="D14446" s="1">
        <v>12.989565</v>
      </c>
      <c r="E14446" s="1">
        <v>80.179136</v>
      </c>
      <c r="F14446" s="1">
        <v>805.0</v>
      </c>
      <c r="G14446" s="1">
        <v>16.0</v>
      </c>
    </row>
    <row r="14447">
      <c r="A14447" s="1" t="s">
        <v>7</v>
      </c>
      <c r="B14447" s="2">
        <v>44782.0</v>
      </c>
      <c r="C14447" s="3">
        <v>0.33655092592592595</v>
      </c>
      <c r="D14447" s="1">
        <v>12.948017</v>
      </c>
      <c r="E14447" s="1">
        <v>80.13768</v>
      </c>
      <c r="F14447" s="1">
        <v>5339.0</v>
      </c>
      <c r="G14447" s="1">
        <v>54.0</v>
      </c>
    </row>
    <row r="14448">
      <c r="A14448" s="1" t="s">
        <v>8</v>
      </c>
      <c r="B14448" s="2">
        <v>44782.0</v>
      </c>
      <c r="C14448" s="3">
        <v>0.3365740740740741</v>
      </c>
      <c r="D14448" s="1">
        <v>12.989194</v>
      </c>
      <c r="E14448" s="1">
        <v>80.178655</v>
      </c>
      <c r="F14448" s="1">
        <v>805.0</v>
      </c>
      <c r="G14448" s="1">
        <v>26.0</v>
      </c>
    </row>
    <row r="14449">
      <c r="A14449" s="1" t="s">
        <v>8</v>
      </c>
      <c r="B14449" s="2">
        <v>44782.0</v>
      </c>
      <c r="C14449" s="3">
        <v>0.33664351851851854</v>
      </c>
      <c r="D14449" s="1">
        <v>12.988658</v>
      </c>
      <c r="E14449" s="1">
        <v>80.177934</v>
      </c>
      <c r="F14449" s="1">
        <v>805.0</v>
      </c>
      <c r="G14449" s="1">
        <v>39.0</v>
      </c>
    </row>
    <row r="14450">
      <c r="A14450" s="1" t="s">
        <v>7</v>
      </c>
      <c r="B14450" s="2">
        <v>44782.0</v>
      </c>
      <c r="C14450" s="3">
        <v>0.33697916666666666</v>
      </c>
      <c r="D14450" s="1">
        <v>12.944589</v>
      </c>
      <c r="E14450" s="1">
        <v>80.13506</v>
      </c>
      <c r="F14450" s="1">
        <v>5339.0</v>
      </c>
      <c r="G14450" s="1">
        <v>58.0</v>
      </c>
    </row>
    <row r="14451">
      <c r="A14451" s="1" t="s">
        <v>7</v>
      </c>
      <c r="B14451" s="2">
        <v>44782.0</v>
      </c>
      <c r="C14451" s="3">
        <v>0.33708333333333335</v>
      </c>
      <c r="D14451" s="1">
        <v>12.943464</v>
      </c>
      <c r="E14451" s="1">
        <v>80.13412</v>
      </c>
      <c r="F14451" s="1">
        <v>5339.0</v>
      </c>
      <c r="G14451" s="1">
        <v>58.0</v>
      </c>
    </row>
    <row r="14452">
      <c r="A14452" s="1" t="s">
        <v>8</v>
      </c>
      <c r="B14452" s="2">
        <v>44782.0</v>
      </c>
      <c r="C14452" s="3">
        <v>0.33721064814814816</v>
      </c>
      <c r="D14452" s="1">
        <v>12.946377</v>
      </c>
      <c r="E14452" s="1">
        <v>80.136486</v>
      </c>
      <c r="F14452" s="1">
        <v>3143.0</v>
      </c>
      <c r="G14452" s="1">
        <v>45.0</v>
      </c>
    </row>
    <row r="14453">
      <c r="A14453" s="1" t="s">
        <v>8</v>
      </c>
      <c r="B14453" s="2">
        <v>44782.0</v>
      </c>
      <c r="C14453" s="3">
        <v>0.3372800925925926</v>
      </c>
      <c r="D14453" s="1">
        <v>12.946377</v>
      </c>
      <c r="E14453" s="1">
        <v>80.136486</v>
      </c>
      <c r="F14453" s="1">
        <v>3143.0</v>
      </c>
      <c r="G14453" s="1">
        <v>45.0</v>
      </c>
    </row>
    <row r="14454">
      <c r="A14454" s="1" t="s">
        <v>7</v>
      </c>
      <c r="B14454" s="2">
        <v>44782.0</v>
      </c>
      <c r="C14454" s="3">
        <v>0.33739583333333334</v>
      </c>
      <c r="D14454" s="1">
        <v>12.804208</v>
      </c>
      <c r="E14454" s="1">
        <v>80.026037</v>
      </c>
      <c r="F14454" s="1">
        <v>2846.0</v>
      </c>
      <c r="G14454" s="1">
        <v>57.0</v>
      </c>
    </row>
    <row r="14455">
      <c r="A14455" s="1" t="s">
        <v>7</v>
      </c>
      <c r="B14455" s="2">
        <v>44782.0</v>
      </c>
      <c r="C14455" s="3">
        <v>0.33740740740740743</v>
      </c>
      <c r="D14455" s="1">
        <v>12.940374</v>
      </c>
      <c r="E14455" s="1">
        <v>80.130958</v>
      </c>
      <c r="F14455" s="1">
        <v>5339.0</v>
      </c>
      <c r="G14455" s="1">
        <v>56.0</v>
      </c>
    </row>
    <row r="14456">
      <c r="A14456" s="1" t="s">
        <v>9</v>
      </c>
      <c r="B14456" s="2">
        <v>44782.0</v>
      </c>
      <c r="C14456" s="3">
        <v>0.33743055555555557</v>
      </c>
      <c r="D14456" s="1">
        <v>12.944494</v>
      </c>
      <c r="E14456" s="1">
        <v>80.134969</v>
      </c>
      <c r="F14456" s="1">
        <v>3143.0</v>
      </c>
      <c r="G14456" s="1">
        <v>43.0</v>
      </c>
    </row>
    <row r="14457">
      <c r="A14457" s="1" t="s">
        <v>8</v>
      </c>
      <c r="B14457" s="2">
        <v>44782.0</v>
      </c>
      <c r="C14457" s="3">
        <v>0.3374421296296296</v>
      </c>
      <c r="D14457" s="1">
        <v>12.985708</v>
      </c>
      <c r="E14457" s="1">
        <v>80.173717</v>
      </c>
      <c r="F14457" s="1">
        <v>805.0</v>
      </c>
      <c r="G14457" s="1">
        <v>40.0</v>
      </c>
    </row>
    <row r="14458">
      <c r="A14458" s="1" t="s">
        <v>7</v>
      </c>
      <c r="B14458" s="2">
        <v>44782.0</v>
      </c>
      <c r="C14458" s="3">
        <v>0.33793981481481483</v>
      </c>
      <c r="D14458" s="1">
        <v>12.983044</v>
      </c>
      <c r="E14458" s="1">
        <v>80.169414</v>
      </c>
      <c r="F14458" s="1">
        <v>805.0</v>
      </c>
      <c r="G14458" s="1">
        <v>60.0</v>
      </c>
    </row>
    <row r="14459">
      <c r="A14459" s="1" t="s">
        <v>7</v>
      </c>
      <c r="B14459" s="2">
        <v>44782.0</v>
      </c>
      <c r="C14459" s="3">
        <v>0.33793981481481483</v>
      </c>
      <c r="D14459" s="1">
        <v>12.804208</v>
      </c>
      <c r="E14459" s="1">
        <v>80.026037</v>
      </c>
      <c r="F14459" s="1">
        <v>2846.0</v>
      </c>
      <c r="G14459" s="1">
        <v>57.0</v>
      </c>
    </row>
    <row r="14460">
      <c r="A14460" s="1" t="s">
        <v>8</v>
      </c>
      <c r="B14460" s="2">
        <v>44782.0</v>
      </c>
      <c r="C14460" s="3">
        <v>0.3380324074074074</v>
      </c>
      <c r="D14460" s="1">
        <v>12.982265</v>
      </c>
      <c r="E14460" s="1">
        <v>80.168124</v>
      </c>
      <c r="F14460" s="1">
        <v>805.0</v>
      </c>
      <c r="G14460" s="1">
        <v>57.0</v>
      </c>
    </row>
    <row r="14461">
      <c r="A14461" s="1" t="s">
        <v>8</v>
      </c>
      <c r="B14461" s="2">
        <v>44782.0</v>
      </c>
      <c r="C14461" s="3">
        <v>0.33805555555555555</v>
      </c>
      <c r="D14461" s="1">
        <v>12.941988</v>
      </c>
      <c r="E14461" s="1">
        <v>80.132694</v>
      </c>
      <c r="F14461" s="1">
        <v>3143.0</v>
      </c>
      <c r="G14461" s="1">
        <v>34.0</v>
      </c>
    </row>
    <row r="14462">
      <c r="A14462" s="1" t="s">
        <v>7</v>
      </c>
      <c r="B14462" s="2">
        <v>44782.0</v>
      </c>
      <c r="C14462" s="3">
        <v>0.33814814814814814</v>
      </c>
      <c r="D14462" s="1">
        <v>12.981493</v>
      </c>
      <c r="E14462" s="1">
        <v>80.16687</v>
      </c>
      <c r="F14462" s="1">
        <v>805.0</v>
      </c>
      <c r="G14462" s="1">
        <v>54.0</v>
      </c>
    </row>
    <row r="14463">
      <c r="A14463" s="1" t="s">
        <v>8</v>
      </c>
      <c r="B14463" s="2">
        <v>44782.0</v>
      </c>
      <c r="C14463" s="3">
        <v>0.33819444444444446</v>
      </c>
      <c r="D14463" s="1">
        <v>12.94129</v>
      </c>
      <c r="E14463" s="1">
        <v>80.132009</v>
      </c>
      <c r="F14463" s="1">
        <v>3143.0</v>
      </c>
      <c r="G14463" s="1">
        <v>33.0</v>
      </c>
    </row>
    <row r="14464">
      <c r="A14464" s="1" t="s">
        <v>8</v>
      </c>
      <c r="B14464" s="2">
        <v>44782.0</v>
      </c>
      <c r="C14464" s="3">
        <v>0.33824074074074073</v>
      </c>
      <c r="D14464" s="1">
        <v>12.94129</v>
      </c>
      <c r="E14464" s="1">
        <v>80.132009</v>
      </c>
      <c r="F14464" s="1">
        <v>3143.0</v>
      </c>
      <c r="G14464" s="1">
        <v>33.0</v>
      </c>
    </row>
    <row r="14465">
      <c r="A14465" s="1" t="s">
        <v>7</v>
      </c>
      <c r="B14465" s="2">
        <v>44782.0</v>
      </c>
      <c r="C14465" s="3">
        <v>0.33828703703703705</v>
      </c>
      <c r="D14465" s="1">
        <v>12.980818</v>
      </c>
      <c r="E14465" s="1">
        <v>80.165646</v>
      </c>
      <c r="F14465" s="1">
        <v>805.0</v>
      </c>
      <c r="G14465" s="1">
        <v>57.0</v>
      </c>
    </row>
    <row r="14466">
      <c r="A14466" s="1" t="s">
        <v>7</v>
      </c>
      <c r="B14466" s="2">
        <v>44782.0</v>
      </c>
      <c r="C14466" s="3">
        <v>0.3384259259259259</v>
      </c>
      <c r="D14466" s="1">
        <v>12.980276</v>
      </c>
      <c r="E14466" s="1">
        <v>80.16427</v>
      </c>
      <c r="F14466" s="1">
        <v>805.0</v>
      </c>
      <c r="G14466" s="1">
        <v>56.0</v>
      </c>
    </row>
    <row r="14467">
      <c r="A14467" s="1" t="s">
        <v>7</v>
      </c>
      <c r="B14467" s="2">
        <v>44782.0</v>
      </c>
      <c r="C14467" s="3">
        <v>0.3386226851851852</v>
      </c>
      <c r="D14467" s="1">
        <v>12.979042</v>
      </c>
      <c r="E14467" s="1">
        <v>80.161594</v>
      </c>
      <c r="F14467" s="1">
        <v>805.0</v>
      </c>
      <c r="G14467" s="1">
        <v>58.0</v>
      </c>
    </row>
    <row r="14468">
      <c r="A14468" s="1" t="s">
        <v>8</v>
      </c>
      <c r="B14468" s="2">
        <v>44782.0</v>
      </c>
      <c r="C14468" s="3">
        <v>0.33869212962962963</v>
      </c>
      <c r="D14468" s="1">
        <v>12.934074</v>
      </c>
      <c r="E14468" s="1">
        <v>80.125327</v>
      </c>
      <c r="F14468" s="1">
        <v>5339.0</v>
      </c>
      <c r="G14468" s="1">
        <v>45.0</v>
      </c>
    </row>
    <row r="14469">
      <c r="A14469" s="1" t="s">
        <v>8</v>
      </c>
      <c r="B14469" s="2">
        <v>44782.0</v>
      </c>
      <c r="C14469" s="3">
        <v>0.33902777777777776</v>
      </c>
      <c r="D14469" s="1">
        <v>12.823184</v>
      </c>
      <c r="E14469" s="1">
        <v>80.038897</v>
      </c>
      <c r="F14469" s="1">
        <v>2846.0</v>
      </c>
      <c r="G14469" s="1">
        <v>52.0</v>
      </c>
    </row>
    <row r="14470">
      <c r="A14470" s="1" t="s">
        <v>7</v>
      </c>
      <c r="B14470" s="2">
        <v>44782.0</v>
      </c>
      <c r="C14470" s="3">
        <v>0.3390856481481481</v>
      </c>
      <c r="D14470" s="1">
        <v>12.978171</v>
      </c>
      <c r="E14470" s="1">
        <v>80.160392</v>
      </c>
      <c r="F14470" s="1">
        <v>805.0</v>
      </c>
      <c r="G14470" s="1">
        <v>57.0</v>
      </c>
    </row>
    <row r="14471">
      <c r="A14471" s="1" t="s">
        <v>7</v>
      </c>
      <c r="B14471" s="2">
        <v>44782.0</v>
      </c>
      <c r="C14471" s="3">
        <v>0.3396180555555556</v>
      </c>
      <c r="D14471" s="1">
        <v>12.828495</v>
      </c>
      <c r="E14471" s="1">
        <v>80.043336</v>
      </c>
      <c r="F14471" s="1">
        <v>2846.0</v>
      </c>
      <c r="G14471" s="1">
        <v>58.0</v>
      </c>
    </row>
    <row r="14472">
      <c r="A14472" s="1" t="s">
        <v>8</v>
      </c>
      <c r="B14472" s="2">
        <v>44782.0</v>
      </c>
      <c r="C14472" s="3">
        <v>0.33966435185185184</v>
      </c>
      <c r="D14472" s="1">
        <v>12.935373</v>
      </c>
      <c r="E14472" s="1">
        <v>80.12656</v>
      </c>
      <c r="F14472" s="1">
        <v>3143.0</v>
      </c>
      <c r="G14472" s="1">
        <v>47.0</v>
      </c>
    </row>
    <row r="14473">
      <c r="A14473" s="1" t="s">
        <v>7</v>
      </c>
      <c r="B14473" s="2">
        <v>44782.0</v>
      </c>
      <c r="C14473" s="3">
        <v>0.33988425925925925</v>
      </c>
      <c r="D14473" s="1">
        <v>12.933296</v>
      </c>
      <c r="E14473" s="1">
        <v>80.124532</v>
      </c>
      <c r="F14473" s="1">
        <v>3143.0</v>
      </c>
      <c r="G14473" s="1">
        <v>58.0</v>
      </c>
    </row>
    <row r="14474">
      <c r="A14474" s="1" t="s">
        <v>8</v>
      </c>
      <c r="B14474" s="2">
        <v>44782.0</v>
      </c>
      <c r="C14474" s="3">
        <v>0.3399074074074074</v>
      </c>
      <c r="D14474" s="1">
        <v>12.930119</v>
      </c>
      <c r="E14474" s="1">
        <v>80.121421</v>
      </c>
      <c r="F14474" s="1">
        <v>5339.0</v>
      </c>
      <c r="G14474" s="1">
        <v>40.0</v>
      </c>
    </row>
    <row r="14475">
      <c r="A14475" s="1" t="s">
        <v>8</v>
      </c>
      <c r="B14475" s="2">
        <v>44782.0</v>
      </c>
      <c r="C14475" s="3">
        <v>0.3407523148148148</v>
      </c>
      <c r="D14475" s="1">
        <v>12.967249</v>
      </c>
      <c r="E14475" s="1">
        <v>80.149158</v>
      </c>
      <c r="F14475" s="1">
        <v>805.0</v>
      </c>
      <c r="G14475" s="1">
        <v>35.0</v>
      </c>
    </row>
    <row r="14476">
      <c r="A14476" s="1" t="s">
        <v>7</v>
      </c>
      <c r="B14476" s="2">
        <v>44782.0</v>
      </c>
      <c r="C14476" s="3">
        <v>0.34076388888888887</v>
      </c>
      <c r="D14476" s="1">
        <v>12.837759</v>
      </c>
      <c r="E14476" s="1">
        <v>80.053107</v>
      </c>
      <c r="F14476" s="1">
        <v>2846.0</v>
      </c>
      <c r="G14476" s="1">
        <v>56.0</v>
      </c>
    </row>
    <row r="14477">
      <c r="A14477" s="1" t="s">
        <v>7</v>
      </c>
      <c r="B14477" s="2">
        <v>44782.0</v>
      </c>
      <c r="C14477" s="3">
        <v>0.34076388888888887</v>
      </c>
      <c r="D14477" s="1">
        <v>12.92526</v>
      </c>
      <c r="E14477" s="1">
        <v>80.116434</v>
      </c>
      <c r="F14477" s="1">
        <v>5339.0</v>
      </c>
      <c r="G14477" s="1">
        <v>52.0</v>
      </c>
    </row>
    <row r="14478">
      <c r="A14478" s="1" t="s">
        <v>8</v>
      </c>
      <c r="B14478" s="2">
        <v>44782.0</v>
      </c>
      <c r="C14478" s="3">
        <v>0.3409375</v>
      </c>
      <c r="D14478" s="1">
        <v>12.923335</v>
      </c>
      <c r="E14478" s="1">
        <v>80.11449</v>
      </c>
      <c r="F14478" s="1">
        <v>5339.0</v>
      </c>
      <c r="G14478" s="1">
        <v>50.0</v>
      </c>
    </row>
    <row r="14479">
      <c r="A14479" s="1" t="s">
        <v>8</v>
      </c>
      <c r="B14479" s="2">
        <v>44782.0</v>
      </c>
      <c r="C14479" s="3">
        <v>0.34118055555555554</v>
      </c>
      <c r="D14479" s="1">
        <v>12.963672</v>
      </c>
      <c r="E14479" s="1">
        <v>80.147283</v>
      </c>
      <c r="F14479" s="1">
        <v>805.0</v>
      </c>
      <c r="G14479" s="1">
        <v>58.0</v>
      </c>
    </row>
    <row r="14480">
      <c r="A14480" s="1" t="s">
        <v>7</v>
      </c>
      <c r="B14480" s="2">
        <v>44782.0</v>
      </c>
      <c r="C14480" s="3">
        <v>0.34141203703703704</v>
      </c>
      <c r="D14480" s="1">
        <v>12.961308</v>
      </c>
      <c r="E14480" s="1">
        <v>80.145992</v>
      </c>
      <c r="F14480" s="1">
        <v>805.0</v>
      </c>
      <c r="G14480" s="1">
        <v>49.0</v>
      </c>
    </row>
    <row r="14481">
      <c r="A14481" s="1" t="s">
        <v>8</v>
      </c>
      <c r="B14481" s="2">
        <v>44782.0</v>
      </c>
      <c r="C14481" s="3">
        <v>0.3414583333333333</v>
      </c>
      <c r="D14481" s="1">
        <v>12.961308</v>
      </c>
      <c r="E14481" s="1">
        <v>80.145992</v>
      </c>
      <c r="F14481" s="1">
        <v>805.0</v>
      </c>
      <c r="G14481" s="1">
        <v>49.0</v>
      </c>
    </row>
    <row r="14482">
      <c r="A14482" s="1" t="s">
        <v>7</v>
      </c>
      <c r="B14482" s="2">
        <v>44782.0</v>
      </c>
      <c r="C14482" s="3">
        <v>0.3415972222222222</v>
      </c>
      <c r="D14482" s="1">
        <v>12.961308</v>
      </c>
      <c r="E14482" s="1">
        <v>80.145992</v>
      </c>
      <c r="F14482" s="1">
        <v>805.0</v>
      </c>
      <c r="G14482" s="1">
        <v>49.0</v>
      </c>
    </row>
    <row r="14483">
      <c r="A14483" s="1" t="s">
        <v>7</v>
      </c>
      <c r="B14483" s="2">
        <v>44782.0</v>
      </c>
      <c r="C14483" s="3">
        <v>0.3416087962962963</v>
      </c>
      <c r="D14483" s="1">
        <v>12.92029</v>
      </c>
      <c r="E14483" s="1">
        <v>80.111396</v>
      </c>
      <c r="F14483" s="1">
        <v>5339.0</v>
      </c>
      <c r="G14483" s="1">
        <v>51.0</v>
      </c>
    </row>
    <row r="14484">
      <c r="A14484" s="1" t="s">
        <v>7</v>
      </c>
      <c r="B14484" s="2">
        <v>44782.0</v>
      </c>
      <c r="C14484" s="3">
        <v>0.3416666666666667</v>
      </c>
      <c r="D14484" s="1">
        <v>12.961308</v>
      </c>
      <c r="E14484" s="1">
        <v>80.145992</v>
      </c>
      <c r="F14484" s="1">
        <v>805.0</v>
      </c>
      <c r="G14484" s="1">
        <v>49.0</v>
      </c>
    </row>
    <row r="14485">
      <c r="A14485" s="1" t="s">
        <v>8</v>
      </c>
      <c r="B14485" s="2">
        <v>44782.0</v>
      </c>
      <c r="C14485" s="3">
        <v>0.34172453703703703</v>
      </c>
      <c r="D14485" s="1">
        <v>12.957889</v>
      </c>
      <c r="E14485" s="1">
        <v>80.14417</v>
      </c>
      <c r="F14485" s="1">
        <v>805.0</v>
      </c>
      <c r="G14485" s="1">
        <v>53.0</v>
      </c>
    </row>
    <row r="14486">
      <c r="A14486" s="1" t="s">
        <v>8</v>
      </c>
      <c r="B14486" s="2">
        <v>44782.0</v>
      </c>
      <c r="C14486" s="3">
        <v>0.3419097222222222</v>
      </c>
      <c r="D14486" s="1">
        <v>12.956851</v>
      </c>
      <c r="E14486" s="1">
        <v>80.143626</v>
      </c>
      <c r="F14486" s="1">
        <v>805.0</v>
      </c>
      <c r="G14486" s="1">
        <v>42.0</v>
      </c>
    </row>
    <row r="14487">
      <c r="A14487" s="1" t="s">
        <v>8</v>
      </c>
      <c r="B14487" s="2">
        <v>44782.0</v>
      </c>
      <c r="C14487" s="3">
        <v>0.3420023148148148</v>
      </c>
      <c r="D14487" s="1">
        <v>12.844048</v>
      </c>
      <c r="E14487" s="1">
        <v>80.059645</v>
      </c>
      <c r="F14487" s="1">
        <v>2846.0</v>
      </c>
      <c r="G14487" s="1">
        <v>11.0</v>
      </c>
    </row>
    <row r="14488">
      <c r="A14488" s="1" t="s">
        <v>8</v>
      </c>
      <c r="B14488" s="2">
        <v>44782.0</v>
      </c>
      <c r="C14488" s="3">
        <v>0.34217592592592594</v>
      </c>
      <c r="D14488" s="1">
        <v>12.844048</v>
      </c>
      <c r="E14488" s="1">
        <v>80.059645</v>
      </c>
      <c r="F14488" s="1">
        <v>2846.0</v>
      </c>
      <c r="G14488" s="1">
        <v>11.0</v>
      </c>
    </row>
    <row r="14489">
      <c r="A14489" s="1" t="s">
        <v>9</v>
      </c>
      <c r="B14489" s="2">
        <v>44782.0</v>
      </c>
      <c r="C14489" s="3">
        <v>0.34247685185185184</v>
      </c>
      <c r="D14489" s="1">
        <v>12.913223</v>
      </c>
      <c r="E14489" s="1">
        <v>80.101629</v>
      </c>
      <c r="F14489" s="1">
        <v>5339.0</v>
      </c>
      <c r="G14489" s="1">
        <v>51.0</v>
      </c>
    </row>
    <row r="14490">
      <c r="A14490" s="1" t="s">
        <v>7</v>
      </c>
      <c r="B14490" s="2">
        <v>44782.0</v>
      </c>
      <c r="C14490" s="3">
        <v>0.34252314814814816</v>
      </c>
      <c r="D14490" s="1">
        <v>12.913223</v>
      </c>
      <c r="E14490" s="1">
        <v>80.101629</v>
      </c>
      <c r="F14490" s="1">
        <v>5339.0</v>
      </c>
      <c r="G14490" s="1">
        <v>51.0</v>
      </c>
    </row>
    <row r="14491">
      <c r="A14491" s="1" t="s">
        <v>8</v>
      </c>
      <c r="B14491" s="2">
        <v>44782.0</v>
      </c>
      <c r="C14491" s="3">
        <v>0.3425578703703704</v>
      </c>
      <c r="D14491" s="1">
        <v>12.951911</v>
      </c>
      <c r="E14491" s="1">
        <v>80.140709</v>
      </c>
      <c r="F14491" s="1">
        <v>805.0</v>
      </c>
      <c r="G14491" s="1">
        <v>25.0</v>
      </c>
    </row>
    <row r="14492">
      <c r="A14492" s="1" t="s">
        <v>8</v>
      </c>
      <c r="B14492" s="2">
        <v>44782.0</v>
      </c>
      <c r="C14492" s="3">
        <v>0.3425578703703704</v>
      </c>
      <c r="D14492" s="1">
        <v>12.951911</v>
      </c>
      <c r="E14492" s="1">
        <v>80.140709</v>
      </c>
      <c r="F14492" s="1">
        <v>805.0</v>
      </c>
      <c r="G14492" s="1">
        <v>25.0</v>
      </c>
    </row>
    <row r="14493">
      <c r="A14493" s="1" t="s">
        <v>9</v>
      </c>
      <c r="B14493" s="2">
        <v>44782.0</v>
      </c>
      <c r="C14493" s="3">
        <v>0.34274305555555556</v>
      </c>
      <c r="D14493" s="1">
        <v>12.95131</v>
      </c>
      <c r="E14493" s="1">
        <v>80.140265</v>
      </c>
      <c r="F14493" s="1">
        <v>805.0</v>
      </c>
      <c r="G14493" s="1">
        <v>33.0</v>
      </c>
    </row>
    <row r="14494">
      <c r="A14494" s="1" t="s">
        <v>7</v>
      </c>
      <c r="B14494" s="2">
        <v>44782.0</v>
      </c>
      <c r="C14494" s="3">
        <v>0.34278935185185183</v>
      </c>
      <c r="D14494" s="1">
        <v>12.847605</v>
      </c>
      <c r="E14494" s="1">
        <v>80.062906</v>
      </c>
      <c r="F14494" s="1">
        <v>2846.0</v>
      </c>
      <c r="G14494" s="1">
        <v>50.0</v>
      </c>
    </row>
    <row r="14495">
      <c r="A14495" s="1" t="s">
        <v>8</v>
      </c>
      <c r="B14495" s="2">
        <v>44782.0</v>
      </c>
      <c r="C14495" s="3">
        <v>0.34293981481481484</v>
      </c>
      <c r="D14495" s="1">
        <v>12.848745</v>
      </c>
      <c r="E14495" s="1">
        <v>80.063744</v>
      </c>
      <c r="F14495" s="1">
        <v>2846.0</v>
      </c>
      <c r="G14495" s="1">
        <v>56.0</v>
      </c>
    </row>
    <row r="14496">
      <c r="A14496" s="1" t="s">
        <v>8</v>
      </c>
      <c r="B14496" s="2">
        <v>44782.0</v>
      </c>
      <c r="C14496" s="3">
        <v>0.3431134259259259</v>
      </c>
      <c r="D14496" s="1">
        <v>12.947847</v>
      </c>
      <c r="E14496" s="1">
        <v>80.137564</v>
      </c>
      <c r="F14496" s="1">
        <v>805.0</v>
      </c>
      <c r="G14496" s="1">
        <v>46.0</v>
      </c>
    </row>
    <row r="14497">
      <c r="A14497" s="1" t="s">
        <v>8</v>
      </c>
      <c r="B14497" s="2">
        <v>44782.0</v>
      </c>
      <c r="C14497" s="3">
        <v>0.34336805555555555</v>
      </c>
      <c r="D14497" s="1">
        <v>12.94628</v>
      </c>
      <c r="E14497" s="1">
        <v>80.136381</v>
      </c>
      <c r="F14497" s="1">
        <v>805.0</v>
      </c>
      <c r="G14497" s="1">
        <v>36.0</v>
      </c>
    </row>
    <row r="14498">
      <c r="A14498" s="1" t="s">
        <v>8</v>
      </c>
      <c r="B14498" s="2">
        <v>44782.0</v>
      </c>
      <c r="C14498" s="3">
        <v>0.3435300925925926</v>
      </c>
      <c r="D14498" s="1">
        <v>12.945334</v>
      </c>
      <c r="E14498" s="1">
        <v>80.135686</v>
      </c>
      <c r="F14498" s="1">
        <v>805.0</v>
      </c>
      <c r="G14498" s="1">
        <v>53.0</v>
      </c>
    </row>
    <row r="14499">
      <c r="A14499" s="1" t="s">
        <v>8</v>
      </c>
      <c r="B14499" s="2">
        <v>44782.0</v>
      </c>
      <c r="C14499" s="3">
        <v>0.34358796296296296</v>
      </c>
      <c r="D14499" s="1">
        <v>12.944233</v>
      </c>
      <c r="E14499" s="1">
        <v>80.134821</v>
      </c>
      <c r="F14499" s="1">
        <v>805.0</v>
      </c>
      <c r="G14499" s="1">
        <v>47.0</v>
      </c>
    </row>
    <row r="14500">
      <c r="A14500" s="1" t="s">
        <v>7</v>
      </c>
      <c r="B14500" s="2">
        <v>44782.0</v>
      </c>
      <c r="C14500" s="3">
        <v>0.3436458333333333</v>
      </c>
      <c r="D14500" s="1">
        <v>12.856195</v>
      </c>
      <c r="E14500" s="1">
        <v>80.069215</v>
      </c>
      <c r="F14500" s="1">
        <v>2846.0</v>
      </c>
      <c r="G14500" s="1">
        <v>56.0</v>
      </c>
    </row>
    <row r="14501">
      <c r="A14501" s="1" t="s">
        <v>8</v>
      </c>
      <c r="B14501" s="2">
        <v>44782.0</v>
      </c>
      <c r="C14501" s="3">
        <v>0.34412037037037035</v>
      </c>
      <c r="D14501" s="1">
        <v>12.942334</v>
      </c>
      <c r="E14501" s="1">
        <v>80.133107</v>
      </c>
      <c r="F14501" s="1">
        <v>805.0</v>
      </c>
      <c r="G14501" s="1">
        <v>28.0</v>
      </c>
    </row>
    <row r="14502">
      <c r="A14502" s="1" t="s">
        <v>8</v>
      </c>
      <c r="B14502" s="2">
        <v>44782.0</v>
      </c>
      <c r="C14502" s="3">
        <v>0.3442013888888889</v>
      </c>
      <c r="D14502" s="1">
        <v>12.941749</v>
      </c>
      <c r="E14502" s="1">
        <v>80.132456</v>
      </c>
      <c r="F14502" s="1">
        <v>805.0</v>
      </c>
      <c r="G14502" s="1">
        <v>34.0</v>
      </c>
    </row>
    <row r="14503">
      <c r="A14503" s="1" t="s">
        <v>8</v>
      </c>
      <c r="B14503" s="2">
        <v>44782.0</v>
      </c>
      <c r="C14503" s="3">
        <v>0.34453703703703703</v>
      </c>
      <c r="D14503" s="1">
        <v>12.853124</v>
      </c>
      <c r="E14503" s="1">
        <v>80.066941</v>
      </c>
      <c r="F14503" s="1">
        <v>2846.0</v>
      </c>
      <c r="G14503" s="1">
        <v>50.0</v>
      </c>
    </row>
    <row r="14504">
      <c r="A14504" s="1" t="s">
        <v>8</v>
      </c>
      <c r="B14504" s="2">
        <v>44782.0</v>
      </c>
      <c r="C14504" s="3">
        <v>0.3445486111111111</v>
      </c>
      <c r="D14504" s="1">
        <v>12.860717</v>
      </c>
      <c r="E14504" s="1">
        <v>80.072531</v>
      </c>
      <c r="F14504" s="1">
        <v>2846.0</v>
      </c>
      <c r="G14504" s="1">
        <v>34.0</v>
      </c>
    </row>
    <row r="14505">
      <c r="A14505" s="1" t="s">
        <v>8</v>
      </c>
      <c r="B14505" s="2">
        <v>44782.0</v>
      </c>
      <c r="C14505" s="3">
        <v>0.34456018518518516</v>
      </c>
      <c r="D14505" s="1">
        <v>12.939593</v>
      </c>
      <c r="E14505" s="1">
        <v>80.130266</v>
      </c>
      <c r="F14505" s="1">
        <v>805.0</v>
      </c>
      <c r="G14505" s="1">
        <v>41.0</v>
      </c>
    </row>
    <row r="14506">
      <c r="A14506" s="1" t="s">
        <v>7</v>
      </c>
      <c r="B14506" s="2">
        <v>44782.0</v>
      </c>
      <c r="C14506" s="3">
        <v>0.34506944444444443</v>
      </c>
      <c r="D14506" s="1">
        <v>12.865131</v>
      </c>
      <c r="E14506" s="1">
        <v>80.074563</v>
      </c>
      <c r="F14506" s="1">
        <v>2846.0</v>
      </c>
      <c r="G14506" s="1">
        <v>59.0</v>
      </c>
    </row>
    <row r="14507">
      <c r="A14507" s="1" t="s">
        <v>8</v>
      </c>
      <c r="B14507" s="2">
        <v>44782.0</v>
      </c>
      <c r="C14507" s="3">
        <v>0.3451388888888889</v>
      </c>
      <c r="D14507" s="1">
        <v>12.937084</v>
      </c>
      <c r="E14507" s="1">
        <v>80.128018</v>
      </c>
      <c r="F14507" s="1">
        <v>805.0</v>
      </c>
      <c r="G14507" s="1">
        <v>22.0</v>
      </c>
    </row>
    <row r="14508">
      <c r="A14508" s="1" t="s">
        <v>8</v>
      </c>
      <c r="B14508" s="2">
        <v>44782.0</v>
      </c>
      <c r="C14508" s="3">
        <v>0.3451851851851852</v>
      </c>
      <c r="D14508" s="1">
        <v>12.897138</v>
      </c>
      <c r="E14508" s="1">
        <v>80.089364</v>
      </c>
      <c r="F14508" s="1">
        <v>5339.0</v>
      </c>
      <c r="G14508" s="1">
        <v>26.0</v>
      </c>
    </row>
    <row r="14509">
      <c r="A14509" s="1" t="s">
        <v>7</v>
      </c>
      <c r="B14509" s="2">
        <v>44782.0</v>
      </c>
      <c r="C14509" s="3">
        <v>0.3454976851851852</v>
      </c>
      <c r="D14509" s="1">
        <v>12.870227</v>
      </c>
      <c r="E14509" s="1">
        <v>80.076539</v>
      </c>
      <c r="F14509" s="1">
        <v>2846.0</v>
      </c>
      <c r="G14509" s="1">
        <v>58.0</v>
      </c>
    </row>
    <row r="14510">
      <c r="A14510" s="1" t="s">
        <v>7</v>
      </c>
      <c r="B14510" s="2">
        <v>44782.0</v>
      </c>
      <c r="C14510" s="3">
        <v>0.34550925925925924</v>
      </c>
      <c r="D14510" s="1">
        <v>12.894853</v>
      </c>
      <c r="E14510" s="1">
        <v>80.087681</v>
      </c>
      <c r="F14510" s="1">
        <v>5339.0</v>
      </c>
      <c r="G14510" s="1">
        <v>52.0</v>
      </c>
    </row>
    <row r="14511">
      <c r="A14511" s="1" t="s">
        <v>7</v>
      </c>
      <c r="B14511" s="2">
        <v>44782.0</v>
      </c>
      <c r="C14511" s="3">
        <v>0.34572916666666664</v>
      </c>
      <c r="D14511" s="1">
        <v>12.872947</v>
      </c>
      <c r="E14511" s="1">
        <v>80.077559</v>
      </c>
      <c r="F14511" s="1">
        <v>2846.0</v>
      </c>
      <c r="G14511" s="1">
        <v>56.0</v>
      </c>
    </row>
    <row r="14512">
      <c r="A14512" s="1" t="s">
        <v>8</v>
      </c>
      <c r="B14512" s="2">
        <v>44782.0</v>
      </c>
      <c r="C14512" s="3">
        <v>0.34600694444444446</v>
      </c>
      <c r="D14512" s="1">
        <v>12.92568</v>
      </c>
      <c r="E14512" s="1">
        <v>80.102233</v>
      </c>
      <c r="F14512" s="1">
        <v>3143.0</v>
      </c>
      <c r="G14512" s="1">
        <v>32.0</v>
      </c>
    </row>
    <row r="14513">
      <c r="A14513" s="1" t="s">
        <v>7</v>
      </c>
      <c r="B14513" s="2">
        <v>44782.0</v>
      </c>
      <c r="C14513" s="3">
        <v>0.34605324074074073</v>
      </c>
      <c r="D14513" s="1">
        <v>12.87655</v>
      </c>
      <c r="E14513" s="1">
        <v>80.07892</v>
      </c>
      <c r="F14513" s="1">
        <v>2846.0</v>
      </c>
      <c r="G14513" s="1">
        <v>49.0</v>
      </c>
    </row>
    <row r="14514">
      <c r="A14514" s="1" t="s">
        <v>7</v>
      </c>
      <c r="B14514" s="2">
        <v>44782.0</v>
      </c>
      <c r="C14514" s="3">
        <v>0.34605324074074073</v>
      </c>
      <c r="D14514" s="1">
        <v>12.933837</v>
      </c>
      <c r="E14514" s="1">
        <v>80.125072</v>
      </c>
      <c r="F14514" s="1">
        <v>805.0</v>
      </c>
      <c r="G14514" s="1">
        <v>60.0</v>
      </c>
    </row>
    <row r="14515">
      <c r="A14515" s="1" t="s">
        <v>8</v>
      </c>
      <c r="B14515" s="2">
        <v>44782.0</v>
      </c>
      <c r="C14515" s="3">
        <v>0.3460648148148148</v>
      </c>
      <c r="D14515" s="1">
        <v>12.889364</v>
      </c>
      <c r="E14515" s="1">
        <v>80.084351</v>
      </c>
      <c r="F14515" s="1">
        <v>5339.0</v>
      </c>
      <c r="G14515" s="1">
        <v>55.0</v>
      </c>
    </row>
    <row r="14516">
      <c r="A14516" s="1" t="s">
        <v>8</v>
      </c>
      <c r="B14516" s="2">
        <v>44782.0</v>
      </c>
      <c r="C14516" s="3">
        <v>0.3467476851851852</v>
      </c>
      <c r="D14516" s="1">
        <v>12.931049</v>
      </c>
      <c r="E14516" s="1">
        <v>80.122285</v>
      </c>
      <c r="F14516" s="1">
        <v>805.0</v>
      </c>
      <c r="G14516" s="1">
        <v>30.0</v>
      </c>
    </row>
    <row r="14517">
      <c r="A14517" s="1" t="s">
        <v>10</v>
      </c>
      <c r="B14517" s="2">
        <v>44782.0</v>
      </c>
      <c r="C14517" s="3">
        <v>0.3470138888888889</v>
      </c>
      <c r="D14517" s="1">
        <v>12.924787</v>
      </c>
      <c r="E14517" s="1">
        <v>80.099722</v>
      </c>
      <c r="F14517" s="1">
        <v>3143.0</v>
      </c>
      <c r="G14517" s="1">
        <v>0.0</v>
      </c>
    </row>
    <row r="14518">
      <c r="A14518" s="1" t="s">
        <v>9</v>
      </c>
      <c r="B14518" s="2">
        <v>44782.0</v>
      </c>
      <c r="C14518" s="3">
        <v>0.34724537037037034</v>
      </c>
      <c r="D14518" s="1">
        <v>12.924515</v>
      </c>
      <c r="E14518" s="1">
        <v>80.09909</v>
      </c>
      <c r="F14518" s="1">
        <v>3143.0</v>
      </c>
      <c r="G14518" s="1">
        <v>29.0</v>
      </c>
    </row>
    <row r="14519">
      <c r="A14519" s="1" t="s">
        <v>8</v>
      </c>
      <c r="B14519" s="2">
        <v>44782.0</v>
      </c>
      <c r="C14519" s="3">
        <v>0.3474074074074074</v>
      </c>
      <c r="D14519" s="1">
        <v>12.923359</v>
      </c>
      <c r="E14519" s="1">
        <v>80.097202</v>
      </c>
      <c r="F14519" s="1">
        <v>3143.0</v>
      </c>
      <c r="G14519" s="1">
        <v>49.0</v>
      </c>
    </row>
    <row r="14520">
      <c r="A14520" s="1" t="s">
        <v>8</v>
      </c>
      <c r="B14520" s="2">
        <v>44782.0</v>
      </c>
      <c r="C14520" s="3">
        <v>0.3477777777777778</v>
      </c>
      <c r="D14520" s="1">
        <v>12.923098</v>
      </c>
      <c r="E14520" s="1">
        <v>80.114291</v>
      </c>
      <c r="F14520" s="1">
        <v>805.0</v>
      </c>
      <c r="G14520" s="1">
        <v>15.0</v>
      </c>
    </row>
    <row r="14521">
      <c r="A14521" s="1" t="s">
        <v>8</v>
      </c>
      <c r="B14521" s="2">
        <v>44782.0</v>
      </c>
      <c r="C14521" s="3">
        <v>0.34778935185185184</v>
      </c>
      <c r="D14521" s="1">
        <v>12.923098</v>
      </c>
      <c r="E14521" s="1">
        <v>80.114291</v>
      </c>
      <c r="F14521" s="1">
        <v>805.0</v>
      </c>
      <c r="G14521" s="1">
        <v>15.0</v>
      </c>
    </row>
    <row r="14522">
      <c r="A14522" s="1" t="s">
        <v>10</v>
      </c>
      <c r="B14522" s="2">
        <v>44782.0</v>
      </c>
      <c r="C14522" s="3">
        <v>0.3480902777777778</v>
      </c>
      <c r="D14522" s="1">
        <v>12.922026</v>
      </c>
      <c r="E14522" s="1">
        <v>80.094368</v>
      </c>
      <c r="F14522" s="1">
        <v>3143.0</v>
      </c>
      <c r="G14522" s="1">
        <v>46.0</v>
      </c>
    </row>
    <row r="14523">
      <c r="A14523" s="1" t="s">
        <v>8</v>
      </c>
      <c r="B14523" s="2">
        <v>44782.0</v>
      </c>
      <c r="C14523" s="3">
        <v>0.3481712962962963</v>
      </c>
      <c r="D14523" s="1">
        <v>12.921134</v>
      </c>
      <c r="E14523" s="1">
        <v>80.112297</v>
      </c>
      <c r="F14523" s="1">
        <v>805.0</v>
      </c>
      <c r="G14523" s="1">
        <v>51.0</v>
      </c>
    </row>
    <row r="14524">
      <c r="A14524" s="1" t="s">
        <v>7</v>
      </c>
      <c r="B14524" s="2">
        <v>44782.0</v>
      </c>
      <c r="C14524" s="3">
        <v>0.3488657407407407</v>
      </c>
      <c r="D14524" s="1">
        <v>12.916824</v>
      </c>
      <c r="E14524" s="1">
        <v>80.10693</v>
      </c>
      <c r="F14524" s="1">
        <v>805.0</v>
      </c>
      <c r="G14524" s="1">
        <v>29.0</v>
      </c>
    </row>
    <row r="14525">
      <c r="A14525" s="1" t="s">
        <v>8</v>
      </c>
      <c r="B14525" s="2">
        <v>44782.0</v>
      </c>
      <c r="C14525" s="3">
        <v>0.34980324074074076</v>
      </c>
      <c r="D14525" s="1">
        <v>12.909772</v>
      </c>
      <c r="E14525" s="1">
        <v>80.10016</v>
      </c>
      <c r="F14525" s="1">
        <v>805.0</v>
      </c>
      <c r="G14525" s="1">
        <v>55.0</v>
      </c>
    </row>
    <row r="14526">
      <c r="A14526" s="1" t="s">
        <v>8</v>
      </c>
      <c r="B14526" s="2">
        <v>44782.0</v>
      </c>
      <c r="C14526" s="3">
        <v>0.3498263888888889</v>
      </c>
      <c r="D14526" s="1">
        <v>12.909772</v>
      </c>
      <c r="E14526" s="1">
        <v>80.10016</v>
      </c>
      <c r="F14526" s="1">
        <v>805.0</v>
      </c>
      <c r="G14526" s="1">
        <v>55.0</v>
      </c>
    </row>
    <row r="14527">
      <c r="A14527" s="1" t="s">
        <v>8</v>
      </c>
      <c r="B14527" s="2">
        <v>44782.0</v>
      </c>
      <c r="C14527" s="3">
        <v>0.349837962962963</v>
      </c>
      <c r="D14527" s="1">
        <v>12.909772</v>
      </c>
      <c r="E14527" s="1">
        <v>80.10016</v>
      </c>
      <c r="F14527" s="1">
        <v>805.0</v>
      </c>
      <c r="G14527" s="1">
        <v>55.0</v>
      </c>
    </row>
    <row r="14528">
      <c r="A14528" s="1" t="s">
        <v>8</v>
      </c>
      <c r="B14528" s="2">
        <v>44782.0</v>
      </c>
      <c r="C14528" s="3">
        <v>0.3499421296296296</v>
      </c>
      <c r="D14528" s="1">
        <v>12.919727</v>
      </c>
      <c r="E14528" s="1">
        <v>80.086864</v>
      </c>
      <c r="F14528" s="1">
        <v>3143.0</v>
      </c>
      <c r="G14528" s="1">
        <v>32.0</v>
      </c>
    </row>
    <row r="14529">
      <c r="A14529" s="1" t="s">
        <v>10</v>
      </c>
      <c r="B14529" s="2">
        <v>44782.0</v>
      </c>
      <c r="C14529" s="3">
        <v>0.3499537037037037</v>
      </c>
      <c r="D14529" s="1">
        <v>12.87584</v>
      </c>
      <c r="E14529" s="1">
        <v>80.08392</v>
      </c>
      <c r="F14529" s="1">
        <v>5339.0</v>
      </c>
      <c r="G14529" s="1">
        <v>12.0</v>
      </c>
    </row>
    <row r="14530">
      <c r="A14530" s="1" t="s">
        <v>8</v>
      </c>
      <c r="B14530" s="2">
        <v>44782.0</v>
      </c>
      <c r="C14530" s="3">
        <v>0.34996527777777775</v>
      </c>
      <c r="D14530" s="1">
        <v>12.908813</v>
      </c>
      <c r="E14530" s="1">
        <v>80.098456</v>
      </c>
      <c r="F14530" s="1">
        <v>805.0</v>
      </c>
      <c r="G14530" s="1">
        <v>38.0</v>
      </c>
    </row>
    <row r="14531">
      <c r="A14531" s="1" t="s">
        <v>8</v>
      </c>
      <c r="B14531" s="2">
        <v>44782.0</v>
      </c>
      <c r="C14531" s="3">
        <v>0.35001157407407407</v>
      </c>
      <c r="D14531" s="1">
        <v>12.919727</v>
      </c>
      <c r="E14531" s="1">
        <v>80.086864</v>
      </c>
      <c r="F14531" s="1">
        <v>3143.0</v>
      </c>
      <c r="G14531" s="1">
        <v>32.0</v>
      </c>
    </row>
    <row r="14532">
      <c r="A14532" s="1" t="s">
        <v>8</v>
      </c>
      <c r="B14532" s="2">
        <v>44782.0</v>
      </c>
      <c r="C14532" s="3">
        <v>0.35006944444444443</v>
      </c>
      <c r="D14532" s="1">
        <v>12.919645</v>
      </c>
      <c r="E14532" s="1">
        <v>80.086012</v>
      </c>
      <c r="F14532" s="1">
        <v>3143.0</v>
      </c>
      <c r="G14532" s="1">
        <v>34.0</v>
      </c>
    </row>
    <row r="14533">
      <c r="A14533" s="1" t="s">
        <v>8</v>
      </c>
      <c r="B14533" s="2">
        <v>44782.0</v>
      </c>
      <c r="C14533" s="3">
        <v>0.3501273148148148</v>
      </c>
      <c r="D14533" s="1">
        <v>12.907824</v>
      </c>
      <c r="E14533" s="1">
        <v>80.0976</v>
      </c>
      <c r="F14533" s="1">
        <v>805.0</v>
      </c>
      <c r="G14533" s="1">
        <v>34.0</v>
      </c>
    </row>
    <row r="14534">
      <c r="A14534" s="1" t="s">
        <v>8</v>
      </c>
      <c r="B14534" s="2">
        <v>44782.0</v>
      </c>
      <c r="C14534" s="3">
        <v>0.3501851851851852</v>
      </c>
      <c r="D14534" s="1">
        <v>12.919496</v>
      </c>
      <c r="E14534" s="1">
        <v>80.08511</v>
      </c>
      <c r="F14534" s="1">
        <v>3143.0</v>
      </c>
      <c r="G14534" s="1">
        <v>38.0</v>
      </c>
    </row>
    <row r="14535">
      <c r="A14535" s="1" t="s">
        <v>8</v>
      </c>
      <c r="B14535" s="2">
        <v>44782.0</v>
      </c>
      <c r="C14535" s="3">
        <v>0.35086805555555556</v>
      </c>
      <c r="D14535" s="1">
        <v>12.905327</v>
      </c>
      <c r="E14535" s="1">
        <v>80.095634</v>
      </c>
      <c r="F14535" s="1">
        <v>805.0</v>
      </c>
      <c r="G14535" s="1">
        <v>27.0</v>
      </c>
    </row>
    <row r="14536">
      <c r="A14536" s="1" t="s">
        <v>8</v>
      </c>
      <c r="B14536" s="2">
        <v>44782.0</v>
      </c>
      <c r="C14536" s="3">
        <v>0.35097222222222224</v>
      </c>
      <c r="D14536" s="1">
        <v>12.917307</v>
      </c>
      <c r="E14536" s="1">
        <v>80.080228</v>
      </c>
      <c r="F14536" s="1">
        <v>3143.0</v>
      </c>
      <c r="G14536" s="1">
        <v>35.0</v>
      </c>
    </row>
    <row r="14537">
      <c r="A14537" s="1" t="s">
        <v>10</v>
      </c>
      <c r="B14537" s="2">
        <v>44782.0</v>
      </c>
      <c r="C14537" s="3">
        <v>0.35104166666666664</v>
      </c>
      <c r="D14537" s="1">
        <v>12.917307</v>
      </c>
      <c r="E14537" s="1">
        <v>80.080228</v>
      </c>
      <c r="F14537" s="1">
        <v>3143.0</v>
      </c>
      <c r="G14537" s="1">
        <v>35.0</v>
      </c>
    </row>
    <row r="14538">
      <c r="A14538" s="1" t="s">
        <v>8</v>
      </c>
      <c r="B14538" s="2">
        <v>44782.0</v>
      </c>
      <c r="C14538" s="3">
        <v>0.35225694444444444</v>
      </c>
      <c r="D14538" s="1">
        <v>12.896955</v>
      </c>
      <c r="E14538" s="1">
        <v>80.089199</v>
      </c>
      <c r="F14538" s="1">
        <v>805.0</v>
      </c>
      <c r="G14538" s="1">
        <v>23.0</v>
      </c>
    </row>
    <row r="14539">
      <c r="A14539" s="1" t="s">
        <v>8</v>
      </c>
      <c r="B14539" s="2">
        <v>44782.0</v>
      </c>
      <c r="C14539" s="3">
        <v>0.35226851851851854</v>
      </c>
      <c r="D14539" s="1">
        <v>12.896955</v>
      </c>
      <c r="E14539" s="1">
        <v>80.089199</v>
      </c>
      <c r="F14539" s="1">
        <v>805.0</v>
      </c>
      <c r="G14539" s="1">
        <v>23.0</v>
      </c>
    </row>
    <row r="14540">
      <c r="A14540" s="1" t="s">
        <v>7</v>
      </c>
      <c r="B14540" s="2">
        <v>44782.0</v>
      </c>
      <c r="C14540" s="3">
        <v>0.3525462962962963</v>
      </c>
      <c r="D14540" s="1">
        <v>12.895992</v>
      </c>
      <c r="E14540" s="1">
        <v>80.088522</v>
      </c>
      <c r="F14540" s="1">
        <v>805.0</v>
      </c>
      <c r="G14540" s="1">
        <v>42.0</v>
      </c>
    </row>
    <row r="14541">
      <c r="A14541" s="1" t="s">
        <v>8</v>
      </c>
      <c r="B14541" s="2">
        <v>44782.0</v>
      </c>
      <c r="C14541" s="3">
        <v>0.3526273148148148</v>
      </c>
      <c r="D14541" s="1">
        <v>12.894205</v>
      </c>
      <c r="E14541" s="1">
        <v>80.087186</v>
      </c>
      <c r="F14541" s="1">
        <v>805.0</v>
      </c>
      <c r="G14541" s="1">
        <v>60.0</v>
      </c>
    </row>
    <row r="14542">
      <c r="A14542" s="1" t="s">
        <v>7</v>
      </c>
      <c r="B14542" s="2">
        <v>44782.0</v>
      </c>
      <c r="C14542" s="3">
        <v>0.35324074074074074</v>
      </c>
      <c r="D14542" s="1">
        <v>12.901356</v>
      </c>
      <c r="E14542" s="1">
        <v>80.071126</v>
      </c>
      <c r="F14542" s="1">
        <v>3143.0</v>
      </c>
      <c r="G14542" s="1">
        <v>57.0</v>
      </c>
    </row>
    <row r="14543">
      <c r="A14543" s="1" t="s">
        <v>8</v>
      </c>
      <c r="B14543" s="2">
        <v>44782.0</v>
      </c>
      <c r="C14543" s="3">
        <v>0.35325231481481484</v>
      </c>
      <c r="D14543" s="1">
        <v>12.892215</v>
      </c>
      <c r="E14543" s="1">
        <v>80.085701</v>
      </c>
      <c r="F14543" s="1">
        <v>805.0</v>
      </c>
      <c r="G14543" s="1">
        <v>17.0</v>
      </c>
    </row>
    <row r="14544">
      <c r="A14544" s="1" t="s">
        <v>8</v>
      </c>
      <c r="B14544" s="2">
        <v>44782.0</v>
      </c>
      <c r="C14544" s="3">
        <v>0.35337962962962965</v>
      </c>
      <c r="D14544" s="1">
        <v>12.891423</v>
      </c>
      <c r="E14544" s="1">
        <v>80.085247</v>
      </c>
      <c r="F14544" s="1">
        <v>805.0</v>
      </c>
      <c r="G14544" s="1">
        <v>34.0</v>
      </c>
    </row>
    <row r="14545">
      <c r="A14545" s="1" t="s">
        <v>8</v>
      </c>
      <c r="B14545" s="2">
        <v>44782.0</v>
      </c>
      <c r="C14545" s="3">
        <v>0.35376157407407405</v>
      </c>
      <c r="D14545" s="1">
        <v>12.887997</v>
      </c>
      <c r="E14545" s="1">
        <v>80.08379</v>
      </c>
      <c r="F14545" s="1">
        <v>805.0</v>
      </c>
      <c r="G14545" s="1">
        <v>57.0</v>
      </c>
    </row>
    <row r="14546">
      <c r="A14546" s="1" t="s">
        <v>8</v>
      </c>
      <c r="B14546" s="2">
        <v>44782.0</v>
      </c>
      <c r="C14546" s="3">
        <v>0.35510416666666667</v>
      </c>
      <c r="D14546" s="1">
        <v>12.885085</v>
      </c>
      <c r="E14546" s="1">
        <v>80.081874</v>
      </c>
      <c r="F14546" s="1">
        <v>3143.0</v>
      </c>
      <c r="G14546" s="1">
        <v>26.0</v>
      </c>
    </row>
    <row r="14547">
      <c r="A14547" s="1" t="s">
        <v>8</v>
      </c>
      <c r="B14547" s="2">
        <v>44782.0</v>
      </c>
      <c r="C14547" s="3">
        <v>0.3551273148148148</v>
      </c>
      <c r="D14547" s="1">
        <v>12.885085</v>
      </c>
      <c r="E14547" s="1">
        <v>80.081874</v>
      </c>
      <c r="F14547" s="1">
        <v>3143.0</v>
      </c>
      <c r="G14547" s="1">
        <v>26.0</v>
      </c>
    </row>
    <row r="14548">
      <c r="A14548" s="1" t="s">
        <v>8</v>
      </c>
      <c r="B14548" s="2">
        <v>44782.0</v>
      </c>
      <c r="C14548" s="3">
        <v>0.35530092592592594</v>
      </c>
      <c r="D14548" s="1">
        <v>12.884437</v>
      </c>
      <c r="E14548" s="1">
        <v>80.082186</v>
      </c>
      <c r="F14548" s="1">
        <v>3143.0</v>
      </c>
      <c r="G14548" s="1">
        <v>31.0</v>
      </c>
    </row>
    <row r="14549">
      <c r="A14549" s="1" t="s">
        <v>7</v>
      </c>
      <c r="B14549" s="2">
        <v>44782.0</v>
      </c>
      <c r="C14549" s="3">
        <v>0.35550925925925925</v>
      </c>
      <c r="D14549" s="1">
        <v>12.882513</v>
      </c>
      <c r="E14549" s="1">
        <v>80.081606</v>
      </c>
      <c r="F14549" s="1">
        <v>3143.0</v>
      </c>
      <c r="G14549" s="1">
        <v>60.0</v>
      </c>
    </row>
    <row r="14550">
      <c r="A14550" s="1" t="s">
        <v>7</v>
      </c>
      <c r="B14550" s="2">
        <v>44782.0</v>
      </c>
      <c r="C14550" s="3">
        <v>0.3562962962962963</v>
      </c>
      <c r="D14550" s="1">
        <v>12.878763</v>
      </c>
      <c r="E14550" s="1">
        <v>80.08136</v>
      </c>
      <c r="F14550" s="1">
        <v>805.0</v>
      </c>
      <c r="G14550" s="1">
        <v>29.0</v>
      </c>
    </row>
    <row r="14551">
      <c r="A14551" s="1" t="s">
        <v>8</v>
      </c>
      <c r="B14551" s="2">
        <v>44782.0</v>
      </c>
      <c r="C14551" s="3">
        <v>0.35630787037037037</v>
      </c>
      <c r="D14551" s="1">
        <v>12.878763</v>
      </c>
      <c r="E14551" s="1">
        <v>80.08136</v>
      </c>
      <c r="F14551" s="1">
        <v>805.0</v>
      </c>
      <c r="G14551" s="1">
        <v>29.0</v>
      </c>
    </row>
    <row r="14552">
      <c r="A14552" s="1" t="s">
        <v>10</v>
      </c>
      <c r="B14552" s="2">
        <v>44782.0</v>
      </c>
      <c r="C14552" s="3">
        <v>0.3572106481481481</v>
      </c>
      <c r="D14552" s="1">
        <v>12.876477</v>
      </c>
      <c r="E14552" s="1">
        <v>80.084275</v>
      </c>
      <c r="F14552" s="1">
        <v>805.0</v>
      </c>
      <c r="G14552" s="1">
        <v>24.0</v>
      </c>
    </row>
    <row r="14553">
      <c r="A14553" s="1" t="s">
        <v>8</v>
      </c>
      <c r="B14553" s="2">
        <v>44782.0</v>
      </c>
      <c r="C14553" s="3">
        <v>0.35747685185185185</v>
      </c>
      <c r="D14553" s="1">
        <v>12.878156</v>
      </c>
      <c r="E14553" s="1">
        <v>80.083048</v>
      </c>
      <c r="F14553" s="1">
        <v>3143.0</v>
      </c>
      <c r="G14553" s="1">
        <v>48.0</v>
      </c>
    </row>
    <row r="14554">
      <c r="A14554" s="1" t="s">
        <v>10</v>
      </c>
      <c r="B14554" s="2">
        <v>44782.0</v>
      </c>
      <c r="C14554" s="3">
        <v>0.6372106481481481</v>
      </c>
      <c r="D14554" s="1">
        <v>12.875861</v>
      </c>
      <c r="E14554" s="1">
        <v>80.08299</v>
      </c>
      <c r="F14554" s="1">
        <v>5339.0</v>
      </c>
      <c r="G14554" s="1">
        <v>0.0</v>
      </c>
    </row>
    <row r="14555">
      <c r="A14555" s="1" t="s">
        <v>10</v>
      </c>
      <c r="B14555" s="2">
        <v>44782.0</v>
      </c>
      <c r="C14555" s="3">
        <v>0.6903935185185185</v>
      </c>
      <c r="D14555" s="1">
        <v>12.875669</v>
      </c>
      <c r="E14555" s="1">
        <v>80.083861</v>
      </c>
      <c r="F14555" s="1">
        <v>3143.0</v>
      </c>
      <c r="G14555" s="1">
        <v>4.0</v>
      </c>
    </row>
    <row r="14556">
      <c r="A14556" s="1" t="s">
        <v>10</v>
      </c>
      <c r="B14556" s="2">
        <v>44782.0</v>
      </c>
      <c r="C14556" s="3">
        <v>0.691400462962963</v>
      </c>
      <c r="D14556" s="1">
        <v>12.877151</v>
      </c>
      <c r="E14556" s="1">
        <v>80.08452</v>
      </c>
      <c r="F14556" s="1">
        <v>3143.0</v>
      </c>
      <c r="G14556" s="1">
        <v>8.0</v>
      </c>
    </row>
    <row r="14557">
      <c r="A14557" s="1" t="s">
        <v>10</v>
      </c>
      <c r="B14557" s="2">
        <v>44782.0</v>
      </c>
      <c r="C14557" s="3">
        <v>0.6931944444444444</v>
      </c>
      <c r="D14557" s="1">
        <v>12.881095</v>
      </c>
      <c r="E14557" s="1">
        <v>80.080591</v>
      </c>
      <c r="F14557" s="1">
        <v>5339.0</v>
      </c>
      <c r="G14557" s="1">
        <v>10.0</v>
      </c>
    </row>
    <row r="14558">
      <c r="A14558" s="1" t="s">
        <v>10</v>
      </c>
      <c r="B14558" s="2">
        <v>44782.0</v>
      </c>
      <c r="C14558" s="3">
        <v>0.6934375</v>
      </c>
      <c r="D14558" s="1">
        <v>12.881009</v>
      </c>
      <c r="E14558" s="1">
        <v>80.080602</v>
      </c>
      <c r="F14558" s="1">
        <v>805.0</v>
      </c>
      <c r="G14558" s="1">
        <v>24.0</v>
      </c>
    </row>
    <row r="14559">
      <c r="A14559" s="1" t="s">
        <v>8</v>
      </c>
      <c r="B14559" s="2">
        <v>44782.0</v>
      </c>
      <c r="C14559" s="3">
        <v>0.6940393518518518</v>
      </c>
      <c r="D14559" s="1">
        <v>12.885134</v>
      </c>
      <c r="E14559" s="1">
        <v>80.082236</v>
      </c>
      <c r="F14559" s="1">
        <v>805.0</v>
      </c>
      <c r="G14559" s="1">
        <v>45.0</v>
      </c>
    </row>
    <row r="14560">
      <c r="A14560" s="1" t="s">
        <v>8</v>
      </c>
      <c r="B14560" s="2">
        <v>44782.0</v>
      </c>
      <c r="C14560" s="3">
        <v>0.6940856481481481</v>
      </c>
      <c r="D14560" s="1">
        <v>12.88616</v>
      </c>
      <c r="E14560" s="1">
        <v>80.082895</v>
      </c>
      <c r="F14560" s="1">
        <v>5339.0</v>
      </c>
      <c r="G14560" s="1">
        <v>38.0</v>
      </c>
    </row>
    <row r="14561">
      <c r="A14561" s="1" t="s">
        <v>7</v>
      </c>
      <c r="B14561" s="2">
        <v>44782.0</v>
      </c>
      <c r="C14561" s="3">
        <v>0.6941782407407407</v>
      </c>
      <c r="D14561" s="1">
        <v>12.886057</v>
      </c>
      <c r="E14561" s="1">
        <v>80.082838</v>
      </c>
      <c r="F14561" s="1">
        <v>805.0</v>
      </c>
      <c r="G14561" s="1">
        <v>48.0</v>
      </c>
    </row>
    <row r="14562">
      <c r="A14562" s="1" t="s">
        <v>7</v>
      </c>
      <c r="B14562" s="2">
        <v>44782.0</v>
      </c>
      <c r="C14562" s="3">
        <v>0.6943865740740741</v>
      </c>
      <c r="D14562" s="1">
        <v>12.888669</v>
      </c>
      <c r="E14562" s="1">
        <v>80.083899</v>
      </c>
      <c r="F14562" s="1">
        <v>805.0</v>
      </c>
      <c r="G14562" s="1">
        <v>53.0</v>
      </c>
    </row>
    <row r="14563">
      <c r="A14563" s="1" t="s">
        <v>8</v>
      </c>
      <c r="B14563" s="2">
        <v>44782.0</v>
      </c>
      <c r="C14563" s="3">
        <v>0.6946180555555556</v>
      </c>
      <c r="D14563" s="1">
        <v>12.877193</v>
      </c>
      <c r="E14563" s="1">
        <v>80.079548</v>
      </c>
      <c r="F14563" s="1">
        <v>2846.0</v>
      </c>
      <c r="G14563" s="1">
        <v>48.0</v>
      </c>
    </row>
    <row r="14564">
      <c r="A14564" s="1" t="s">
        <v>7</v>
      </c>
      <c r="B14564" s="2">
        <v>44782.0</v>
      </c>
      <c r="C14564" s="3">
        <v>0.6946412037037037</v>
      </c>
      <c r="D14564" s="1">
        <v>12.890815</v>
      </c>
      <c r="E14564" s="1">
        <v>80.084821</v>
      </c>
      <c r="F14564" s="1">
        <v>805.0</v>
      </c>
      <c r="G14564" s="1">
        <v>53.0</v>
      </c>
    </row>
    <row r="14565">
      <c r="A14565" s="1" t="s">
        <v>7</v>
      </c>
      <c r="B14565" s="2">
        <v>44782.0</v>
      </c>
      <c r="C14565" s="3">
        <v>0.6947106481481482</v>
      </c>
      <c r="D14565" s="1">
        <v>12.89213</v>
      </c>
      <c r="E14565" s="1">
        <v>80.085456</v>
      </c>
      <c r="F14565" s="1">
        <v>805.0</v>
      </c>
      <c r="G14565" s="1">
        <v>55.0</v>
      </c>
    </row>
    <row r="14566">
      <c r="A14566" s="1" t="s">
        <v>8</v>
      </c>
      <c r="B14566" s="2">
        <v>44782.0</v>
      </c>
      <c r="C14566" s="3">
        <v>0.6948032407407407</v>
      </c>
      <c r="D14566" s="1">
        <v>12.89213</v>
      </c>
      <c r="E14566" s="1">
        <v>80.085456</v>
      </c>
      <c r="F14566" s="1">
        <v>805.0</v>
      </c>
      <c r="G14566" s="1">
        <v>55.0</v>
      </c>
    </row>
    <row r="14567">
      <c r="A14567" s="1" t="s">
        <v>8</v>
      </c>
      <c r="B14567" s="2">
        <v>44782.0</v>
      </c>
      <c r="C14567" s="3">
        <v>0.6948726851851852</v>
      </c>
      <c r="D14567" s="1">
        <v>12.894554</v>
      </c>
      <c r="E14567" s="1">
        <v>80.087258</v>
      </c>
      <c r="F14567" s="1">
        <v>5339.0</v>
      </c>
      <c r="G14567" s="1">
        <v>56.0</v>
      </c>
    </row>
    <row r="14568">
      <c r="A14568" s="1" t="s">
        <v>7</v>
      </c>
      <c r="B14568" s="2">
        <v>44782.0</v>
      </c>
      <c r="C14568" s="3">
        <v>0.6950347222222222</v>
      </c>
      <c r="D14568" s="1">
        <v>12.875947</v>
      </c>
      <c r="E14568" s="1">
        <v>80.079047</v>
      </c>
      <c r="F14568" s="1">
        <v>2846.0</v>
      </c>
      <c r="G14568" s="1">
        <v>57.0</v>
      </c>
    </row>
    <row r="14569">
      <c r="A14569" s="1" t="s">
        <v>8</v>
      </c>
      <c r="B14569" s="2">
        <v>44782.0</v>
      </c>
      <c r="C14569" s="3">
        <v>0.6953356481481482</v>
      </c>
      <c r="D14569" s="1">
        <v>12.879407</v>
      </c>
      <c r="E14569" s="1">
        <v>80.080073</v>
      </c>
      <c r="F14569" s="1">
        <v>3143.0</v>
      </c>
      <c r="G14569" s="1">
        <v>0.0</v>
      </c>
    </row>
    <row r="14570">
      <c r="A14570" s="1" t="s">
        <v>8</v>
      </c>
      <c r="B14570" s="2">
        <v>44782.0</v>
      </c>
      <c r="C14570" s="3">
        <v>0.6955787037037037</v>
      </c>
      <c r="D14570" s="1">
        <v>12.868476</v>
      </c>
      <c r="E14570" s="1">
        <v>80.076029</v>
      </c>
      <c r="F14570" s="1">
        <v>2846.0</v>
      </c>
      <c r="G14570" s="1">
        <v>55.0</v>
      </c>
    </row>
    <row r="14571">
      <c r="A14571" s="1" t="s">
        <v>7</v>
      </c>
      <c r="B14571" s="2">
        <v>44782.0</v>
      </c>
      <c r="C14571" s="3">
        <v>0.6958449074074075</v>
      </c>
      <c r="D14571" s="1">
        <v>12.884511</v>
      </c>
      <c r="E14571" s="1">
        <v>80.081827</v>
      </c>
      <c r="F14571" s="1">
        <v>3143.0</v>
      </c>
      <c r="G14571" s="1">
        <v>52.0</v>
      </c>
    </row>
    <row r="14572">
      <c r="A14572" s="1" t="s">
        <v>8</v>
      </c>
      <c r="B14572" s="2">
        <v>44782.0</v>
      </c>
      <c r="C14572" s="3">
        <v>0.6959722222222222</v>
      </c>
      <c r="D14572" s="1">
        <v>12.86554</v>
      </c>
      <c r="E14572" s="1">
        <v>80.074894</v>
      </c>
      <c r="F14572" s="1">
        <v>2846.0</v>
      </c>
      <c r="G14572" s="1">
        <v>40.0</v>
      </c>
    </row>
    <row r="14573">
      <c r="A14573" s="1" t="s">
        <v>8</v>
      </c>
      <c r="B14573" s="2">
        <v>44782.0</v>
      </c>
      <c r="C14573" s="3">
        <v>0.6959837962962963</v>
      </c>
      <c r="D14573" s="1">
        <v>12.90511</v>
      </c>
      <c r="E14573" s="1">
        <v>80.095304</v>
      </c>
      <c r="F14573" s="1">
        <v>5339.0</v>
      </c>
      <c r="G14573" s="1">
        <v>41.0</v>
      </c>
    </row>
    <row r="14574">
      <c r="A14574" s="1" t="s">
        <v>7</v>
      </c>
      <c r="B14574" s="2">
        <v>44782.0</v>
      </c>
      <c r="C14574" s="3">
        <v>0.6960416666666667</v>
      </c>
      <c r="D14574" s="1">
        <v>12.885361</v>
      </c>
      <c r="E14574" s="1">
        <v>80.080821</v>
      </c>
      <c r="F14574" s="1">
        <v>3143.0</v>
      </c>
      <c r="G14574" s="1">
        <v>57.0</v>
      </c>
    </row>
    <row r="14575">
      <c r="A14575" s="1" t="s">
        <v>8</v>
      </c>
      <c r="B14575" s="2">
        <v>44782.0</v>
      </c>
      <c r="C14575" s="3">
        <v>0.6962962962962963</v>
      </c>
      <c r="D14575" s="1">
        <v>12.861336</v>
      </c>
      <c r="E14575" s="1">
        <v>80.073166</v>
      </c>
      <c r="F14575" s="1">
        <v>2846.0</v>
      </c>
      <c r="G14575" s="1">
        <v>28.0</v>
      </c>
    </row>
    <row r="14576">
      <c r="A14576" s="1" t="s">
        <v>8</v>
      </c>
      <c r="B14576" s="2">
        <v>44782.0</v>
      </c>
      <c r="C14576" s="3">
        <v>0.6963773148148148</v>
      </c>
      <c r="D14576" s="1">
        <v>12.906961</v>
      </c>
      <c r="E14576" s="1">
        <v>80.096703</v>
      </c>
      <c r="F14576" s="1">
        <v>805.0</v>
      </c>
      <c r="G14576" s="1">
        <v>38.0</v>
      </c>
    </row>
    <row r="14577">
      <c r="A14577" s="1" t="s">
        <v>8</v>
      </c>
      <c r="B14577" s="2">
        <v>44782.0</v>
      </c>
      <c r="C14577" s="3">
        <v>0.6964583333333333</v>
      </c>
      <c r="D14577" s="1">
        <v>12.860764</v>
      </c>
      <c r="E14577" s="1">
        <v>80.072802</v>
      </c>
      <c r="F14577" s="1">
        <v>2846.0</v>
      </c>
      <c r="G14577" s="1">
        <v>34.0</v>
      </c>
    </row>
    <row r="14578">
      <c r="A14578" s="1" t="s">
        <v>8</v>
      </c>
      <c r="B14578" s="2">
        <v>44782.0</v>
      </c>
      <c r="C14578" s="3">
        <v>0.6964699074074074</v>
      </c>
      <c r="D14578" s="1">
        <v>12.907805</v>
      </c>
      <c r="E14578" s="1">
        <v>80.097359</v>
      </c>
      <c r="F14578" s="1">
        <v>805.0</v>
      </c>
      <c r="G14578" s="1">
        <v>46.0</v>
      </c>
    </row>
    <row r="14579">
      <c r="A14579" s="1" t="s">
        <v>8</v>
      </c>
      <c r="B14579" s="2">
        <v>44782.0</v>
      </c>
      <c r="C14579" s="3">
        <v>0.6967361111111111</v>
      </c>
      <c r="D14579" s="1">
        <v>12.85809</v>
      </c>
      <c r="E14579" s="1">
        <v>80.070858</v>
      </c>
      <c r="F14579" s="1">
        <v>2846.0</v>
      </c>
      <c r="G14579" s="1">
        <v>44.0</v>
      </c>
    </row>
    <row r="14580">
      <c r="A14580" s="1" t="s">
        <v>8</v>
      </c>
      <c r="B14580" s="2">
        <v>44782.0</v>
      </c>
      <c r="C14580" s="3">
        <v>0.6967476851851852</v>
      </c>
      <c r="D14580" s="1">
        <v>12.909151</v>
      </c>
      <c r="E14580" s="1">
        <v>80.098638</v>
      </c>
      <c r="F14580" s="1">
        <v>805.0</v>
      </c>
      <c r="G14580" s="1">
        <v>26.0</v>
      </c>
    </row>
    <row r="14581">
      <c r="A14581" s="1" t="s">
        <v>7</v>
      </c>
      <c r="B14581" s="2">
        <v>44782.0</v>
      </c>
      <c r="C14581" s="3">
        <v>0.696875</v>
      </c>
      <c r="D14581" s="1">
        <v>12.857126</v>
      </c>
      <c r="E14581" s="1">
        <v>80.070097</v>
      </c>
      <c r="F14581" s="1">
        <v>2846.0</v>
      </c>
      <c r="G14581" s="1">
        <v>51.0</v>
      </c>
    </row>
    <row r="14582">
      <c r="A14582" s="1" t="s">
        <v>8</v>
      </c>
      <c r="B14582" s="2">
        <v>44782.0</v>
      </c>
      <c r="C14582" s="3">
        <v>0.6972800925925926</v>
      </c>
      <c r="D14582" s="1">
        <v>12.913018</v>
      </c>
      <c r="E14582" s="1">
        <v>80.101464</v>
      </c>
      <c r="F14582" s="1">
        <v>805.0</v>
      </c>
      <c r="G14582" s="1">
        <v>45.0</v>
      </c>
    </row>
    <row r="14583">
      <c r="A14583" s="1" t="s">
        <v>7</v>
      </c>
      <c r="B14583" s="2">
        <v>44782.0</v>
      </c>
      <c r="C14583" s="3">
        <v>0.6973379629629629</v>
      </c>
      <c r="D14583" s="1">
        <v>12.89551</v>
      </c>
      <c r="E14583" s="1">
        <v>80.070431</v>
      </c>
      <c r="F14583" s="1">
        <v>3143.0</v>
      </c>
      <c r="G14583" s="1">
        <v>59.0</v>
      </c>
    </row>
    <row r="14584">
      <c r="A14584" s="1" t="s">
        <v>8</v>
      </c>
      <c r="B14584" s="2">
        <v>44782.0</v>
      </c>
      <c r="C14584" s="3">
        <v>0.6973379629629629</v>
      </c>
      <c r="D14584" s="1">
        <v>12.913018</v>
      </c>
      <c r="E14584" s="1">
        <v>80.101464</v>
      </c>
      <c r="F14584" s="1">
        <v>805.0</v>
      </c>
      <c r="G14584" s="1">
        <v>45.0</v>
      </c>
    </row>
    <row r="14585">
      <c r="A14585" s="1" t="s">
        <v>8</v>
      </c>
      <c r="B14585" s="2">
        <v>44782.0</v>
      </c>
      <c r="C14585" s="3">
        <v>0.6973726851851851</v>
      </c>
      <c r="D14585" s="1">
        <v>12.914158</v>
      </c>
      <c r="E14585" s="1">
        <v>80.10165</v>
      </c>
      <c r="F14585" s="1">
        <v>805.0</v>
      </c>
      <c r="G14585" s="1">
        <v>50.0</v>
      </c>
    </row>
    <row r="14586">
      <c r="A14586" s="1" t="s">
        <v>7</v>
      </c>
      <c r="B14586" s="2">
        <v>44782.0</v>
      </c>
      <c r="C14586" s="3">
        <v>0.6974305555555556</v>
      </c>
      <c r="D14586" s="1">
        <v>12.851432</v>
      </c>
      <c r="E14586" s="1">
        <v>80.065935</v>
      </c>
      <c r="F14586" s="1">
        <v>2846.0</v>
      </c>
      <c r="G14586" s="1">
        <v>53.0</v>
      </c>
    </row>
    <row r="14587">
      <c r="A14587" s="1" t="s">
        <v>8</v>
      </c>
      <c r="B14587" s="2">
        <v>44782.0</v>
      </c>
      <c r="C14587" s="3">
        <v>0.6974652777777778</v>
      </c>
      <c r="D14587" s="1">
        <v>12.915243</v>
      </c>
      <c r="E14587" s="1">
        <v>80.102288</v>
      </c>
      <c r="F14587" s="1">
        <v>5339.0</v>
      </c>
      <c r="G14587" s="1">
        <v>47.0</v>
      </c>
    </row>
    <row r="14588">
      <c r="A14588" s="1" t="s">
        <v>7</v>
      </c>
      <c r="B14588" s="2">
        <v>44782.0</v>
      </c>
      <c r="C14588" s="3">
        <v>0.6977083333333334</v>
      </c>
      <c r="D14588" s="1">
        <v>12.898528</v>
      </c>
      <c r="E14588" s="1">
        <v>80.070344</v>
      </c>
      <c r="F14588" s="1">
        <v>3143.0</v>
      </c>
      <c r="G14588" s="1">
        <v>57.0</v>
      </c>
    </row>
    <row r="14589">
      <c r="A14589" s="1" t="s">
        <v>7</v>
      </c>
      <c r="B14589" s="2">
        <v>44782.0</v>
      </c>
      <c r="C14589" s="3">
        <v>0.6977662037037037</v>
      </c>
      <c r="D14589" s="1">
        <v>12.915759</v>
      </c>
      <c r="E14589" s="1">
        <v>80.104339</v>
      </c>
      <c r="F14589" s="1">
        <v>805.0</v>
      </c>
      <c r="G14589" s="1">
        <v>41.0</v>
      </c>
    </row>
    <row r="14590">
      <c r="A14590" s="1" t="s">
        <v>8</v>
      </c>
      <c r="B14590" s="2">
        <v>44782.0</v>
      </c>
      <c r="C14590" s="3">
        <v>0.6978587962962963</v>
      </c>
      <c r="D14590" s="1">
        <v>12.916177</v>
      </c>
      <c r="E14590" s="1">
        <v>80.105509</v>
      </c>
      <c r="F14590" s="1">
        <v>805.0</v>
      </c>
      <c r="G14590" s="1">
        <v>54.0</v>
      </c>
    </row>
    <row r="14591">
      <c r="A14591" s="1" t="s">
        <v>8</v>
      </c>
      <c r="B14591" s="2">
        <v>44782.0</v>
      </c>
      <c r="C14591" s="3">
        <v>0.6979282407407408</v>
      </c>
      <c r="D14591" s="1">
        <v>12.916775</v>
      </c>
      <c r="E14591" s="1">
        <v>80.106587</v>
      </c>
      <c r="F14591" s="1">
        <v>5339.0</v>
      </c>
      <c r="G14591" s="1">
        <v>49.0</v>
      </c>
    </row>
    <row r="14592">
      <c r="A14592" s="1" t="s">
        <v>7</v>
      </c>
      <c r="B14592" s="2">
        <v>44782.0</v>
      </c>
      <c r="C14592" s="3">
        <v>0.697974537037037</v>
      </c>
      <c r="D14592" s="1">
        <v>12.902985</v>
      </c>
      <c r="E14592" s="1">
        <v>80.071141</v>
      </c>
      <c r="F14592" s="1">
        <v>3143.0</v>
      </c>
      <c r="G14592" s="1">
        <v>58.0</v>
      </c>
    </row>
    <row r="14593">
      <c r="A14593" s="1" t="s">
        <v>8</v>
      </c>
      <c r="B14593" s="2">
        <v>44782.0</v>
      </c>
      <c r="C14593" s="3">
        <v>0.6980555555555555</v>
      </c>
      <c r="D14593" s="1">
        <v>12.849513</v>
      </c>
      <c r="E14593" s="1">
        <v>80.064611</v>
      </c>
      <c r="F14593" s="1">
        <v>2846.0</v>
      </c>
      <c r="G14593" s="1">
        <v>33.0</v>
      </c>
    </row>
    <row r="14594">
      <c r="A14594" s="1" t="s">
        <v>7</v>
      </c>
      <c r="B14594" s="2">
        <v>44782.0</v>
      </c>
      <c r="C14594" s="3">
        <v>0.698136574074074</v>
      </c>
      <c r="D14594" s="1">
        <v>12.917394</v>
      </c>
      <c r="E14594" s="1">
        <v>80.107712</v>
      </c>
      <c r="F14594" s="1">
        <v>805.0</v>
      </c>
      <c r="G14594" s="1">
        <v>50.0</v>
      </c>
    </row>
    <row r="14595">
      <c r="A14595" s="1" t="s">
        <v>8</v>
      </c>
      <c r="B14595" s="2">
        <v>44782.0</v>
      </c>
      <c r="C14595" s="3">
        <v>0.6982986111111111</v>
      </c>
      <c r="D14595" s="1">
        <v>12.919128</v>
      </c>
      <c r="E14595" s="1">
        <v>80.109816</v>
      </c>
      <c r="F14595" s="1">
        <v>805.0</v>
      </c>
      <c r="G14595" s="1">
        <v>44.0</v>
      </c>
    </row>
    <row r="14596">
      <c r="A14596" s="1" t="s">
        <v>8</v>
      </c>
      <c r="B14596" s="2">
        <v>44782.0</v>
      </c>
      <c r="C14596" s="3">
        <v>0.6983101851851852</v>
      </c>
      <c r="D14596" s="1">
        <v>12.918955</v>
      </c>
      <c r="E14596" s="1">
        <v>80.109653</v>
      </c>
      <c r="F14596" s="1">
        <v>5339.0</v>
      </c>
      <c r="G14596" s="1">
        <v>48.0</v>
      </c>
    </row>
    <row r="14597">
      <c r="A14597" s="1" t="s">
        <v>8</v>
      </c>
      <c r="B14597" s="2">
        <v>44782.0</v>
      </c>
      <c r="C14597" s="3">
        <v>0.6987152777777778</v>
      </c>
      <c r="D14597" s="1">
        <v>12.845635</v>
      </c>
      <c r="E14597" s="1">
        <v>80.061632</v>
      </c>
      <c r="F14597" s="1">
        <v>2846.0</v>
      </c>
      <c r="G14597" s="1">
        <v>27.0</v>
      </c>
    </row>
    <row r="14598">
      <c r="A14598" s="1" t="s">
        <v>8</v>
      </c>
      <c r="B14598" s="2">
        <v>44782.0</v>
      </c>
      <c r="C14598" s="3">
        <v>0.6990972222222223</v>
      </c>
      <c r="D14598" s="1">
        <v>12.923761</v>
      </c>
      <c r="E14598" s="1">
        <v>80.114825</v>
      </c>
      <c r="F14598" s="1">
        <v>5339.0</v>
      </c>
      <c r="G14598" s="1">
        <v>33.0</v>
      </c>
    </row>
    <row r="14599">
      <c r="A14599" s="1" t="s">
        <v>8</v>
      </c>
      <c r="B14599" s="2">
        <v>44782.0</v>
      </c>
      <c r="C14599" s="3">
        <v>0.6999652777777777</v>
      </c>
      <c r="D14599" s="1">
        <v>12.842188</v>
      </c>
      <c r="E14599" s="1">
        <v>80.058082</v>
      </c>
      <c r="F14599" s="1">
        <v>2846.0</v>
      </c>
      <c r="G14599" s="1">
        <v>49.0</v>
      </c>
    </row>
    <row r="14600">
      <c r="A14600" s="1" t="s">
        <v>8</v>
      </c>
      <c r="B14600" s="2">
        <v>44782.0</v>
      </c>
      <c r="C14600" s="3">
        <v>0.6999652777777777</v>
      </c>
      <c r="D14600" s="1">
        <v>12.915961</v>
      </c>
      <c r="E14600" s="1">
        <v>80.078879</v>
      </c>
      <c r="F14600" s="1">
        <v>3143.0</v>
      </c>
      <c r="G14600" s="1">
        <v>46.0</v>
      </c>
    </row>
    <row r="14601">
      <c r="A14601" s="1" t="s">
        <v>8</v>
      </c>
      <c r="B14601" s="2">
        <v>44782.0</v>
      </c>
      <c r="C14601" s="3">
        <v>0.7000231481481481</v>
      </c>
      <c r="D14601" s="1">
        <v>12.842188</v>
      </c>
      <c r="E14601" s="1">
        <v>80.058082</v>
      </c>
      <c r="F14601" s="1">
        <v>2846.0</v>
      </c>
      <c r="G14601" s="1">
        <v>49.0</v>
      </c>
    </row>
    <row r="14602">
      <c r="A14602" s="1" t="s">
        <v>8</v>
      </c>
      <c r="B14602" s="2">
        <v>44782.0</v>
      </c>
      <c r="C14602" s="3">
        <v>0.7007060185185185</v>
      </c>
      <c r="D14602" s="1">
        <v>12.927846</v>
      </c>
      <c r="E14602" s="1">
        <v>80.118951</v>
      </c>
      <c r="F14602" s="1">
        <v>5339.0</v>
      </c>
      <c r="G14602" s="1">
        <v>22.0</v>
      </c>
    </row>
    <row r="14603">
      <c r="A14603" s="1" t="s">
        <v>8</v>
      </c>
      <c r="B14603" s="2">
        <v>44782.0</v>
      </c>
      <c r="C14603" s="3">
        <v>0.7007638888888889</v>
      </c>
      <c r="D14603" s="1">
        <v>12.927672</v>
      </c>
      <c r="E14603" s="1">
        <v>80.11877</v>
      </c>
      <c r="F14603" s="1">
        <v>805.0</v>
      </c>
      <c r="G14603" s="1">
        <v>21.0</v>
      </c>
    </row>
    <row r="14604">
      <c r="A14604" s="1" t="s">
        <v>8</v>
      </c>
      <c r="B14604" s="2">
        <v>44782.0</v>
      </c>
      <c r="C14604" s="3">
        <v>0.700787037037037</v>
      </c>
      <c r="D14604" s="1">
        <v>12.927672</v>
      </c>
      <c r="E14604" s="1">
        <v>80.11877</v>
      </c>
      <c r="F14604" s="1">
        <v>805.0</v>
      </c>
      <c r="G14604" s="1">
        <v>21.0</v>
      </c>
    </row>
    <row r="14605">
      <c r="A14605" s="1" t="s">
        <v>8</v>
      </c>
      <c r="B14605" s="2">
        <v>44782.0</v>
      </c>
      <c r="C14605" s="3">
        <v>0.7008449074074075</v>
      </c>
      <c r="D14605" s="1">
        <v>12.919298</v>
      </c>
      <c r="E14605" s="1">
        <v>80.084323</v>
      </c>
      <c r="F14605" s="1">
        <v>3143.0</v>
      </c>
      <c r="G14605" s="1">
        <v>33.0</v>
      </c>
    </row>
    <row r="14606">
      <c r="A14606" s="1" t="s">
        <v>8</v>
      </c>
      <c r="B14606" s="2">
        <v>44782.0</v>
      </c>
      <c r="C14606" s="3">
        <v>0.7009027777777778</v>
      </c>
      <c r="D14606" s="1">
        <v>12.928181</v>
      </c>
      <c r="E14606" s="1">
        <v>80.119247</v>
      </c>
      <c r="F14606" s="1">
        <v>805.0</v>
      </c>
      <c r="G14606" s="1">
        <v>27.0</v>
      </c>
    </row>
    <row r="14607">
      <c r="A14607" s="1" t="s">
        <v>7</v>
      </c>
      <c r="B14607" s="2">
        <v>44782.0</v>
      </c>
      <c r="C14607" s="3">
        <v>0.7009837962962963</v>
      </c>
      <c r="D14607" s="1">
        <v>12.839681</v>
      </c>
      <c r="E14607" s="1">
        <v>80.055316</v>
      </c>
      <c r="F14607" s="1">
        <v>2846.0</v>
      </c>
      <c r="G14607" s="1">
        <v>47.0</v>
      </c>
    </row>
    <row r="14608">
      <c r="A14608" s="1" t="s">
        <v>8</v>
      </c>
      <c r="B14608" s="2">
        <v>44782.0</v>
      </c>
      <c r="C14608" s="3">
        <v>0.7011111111111111</v>
      </c>
      <c r="D14608" s="1">
        <v>12.835612</v>
      </c>
      <c r="E14608" s="1">
        <v>80.051089</v>
      </c>
      <c r="F14608" s="1">
        <v>2846.0</v>
      </c>
      <c r="G14608" s="1">
        <v>53.0</v>
      </c>
    </row>
    <row r="14609">
      <c r="A14609" s="1" t="s">
        <v>8</v>
      </c>
      <c r="B14609" s="2">
        <v>44782.0</v>
      </c>
      <c r="C14609" s="3">
        <v>0.7011342592592592</v>
      </c>
      <c r="D14609" s="1">
        <v>12.835612</v>
      </c>
      <c r="E14609" s="1">
        <v>80.051089</v>
      </c>
      <c r="F14609" s="1">
        <v>2846.0</v>
      </c>
      <c r="G14609" s="1">
        <v>53.0</v>
      </c>
    </row>
    <row r="14610">
      <c r="A14610" s="1" t="s">
        <v>7</v>
      </c>
      <c r="B14610" s="2">
        <v>44782.0</v>
      </c>
      <c r="C14610" s="3">
        <v>0.701400462962963</v>
      </c>
      <c r="D14610" s="1">
        <v>12.832766</v>
      </c>
      <c r="E14610" s="1">
        <v>80.048167</v>
      </c>
      <c r="F14610" s="1">
        <v>2846.0</v>
      </c>
      <c r="G14610" s="1">
        <v>59.0</v>
      </c>
    </row>
    <row r="14611">
      <c r="A14611" s="1" t="s">
        <v>7</v>
      </c>
      <c r="B14611" s="2">
        <v>44782.0</v>
      </c>
      <c r="C14611" s="3">
        <v>0.7015277777777778</v>
      </c>
      <c r="D14611" s="1">
        <v>12.832766</v>
      </c>
      <c r="E14611" s="1">
        <v>80.048167</v>
      </c>
      <c r="F14611" s="1">
        <v>2846.0</v>
      </c>
      <c r="G14611" s="1">
        <v>59.0</v>
      </c>
    </row>
    <row r="14612">
      <c r="A14612" s="1" t="s">
        <v>8</v>
      </c>
      <c r="B14612" s="2">
        <v>44782.0</v>
      </c>
      <c r="C14612" s="3">
        <v>0.7016319444444444</v>
      </c>
      <c r="D14612" s="1">
        <v>12.932687</v>
      </c>
      <c r="E14612" s="1">
        <v>80.123754</v>
      </c>
      <c r="F14612" s="1">
        <v>5339.0</v>
      </c>
      <c r="G14612" s="1">
        <v>45.0</v>
      </c>
    </row>
    <row r="14613">
      <c r="A14613" s="1" t="s">
        <v>8</v>
      </c>
      <c r="B14613" s="2">
        <v>44782.0</v>
      </c>
      <c r="C14613" s="3">
        <v>0.701875</v>
      </c>
      <c r="D14613" s="1">
        <v>12.934066</v>
      </c>
      <c r="E14613" s="1">
        <v>80.125175</v>
      </c>
      <c r="F14613" s="1">
        <v>5339.0</v>
      </c>
      <c r="G14613" s="1">
        <v>34.0</v>
      </c>
    </row>
    <row r="14614">
      <c r="A14614" s="1" t="s">
        <v>8</v>
      </c>
      <c r="B14614" s="2">
        <v>44782.0</v>
      </c>
      <c r="C14614" s="3">
        <v>0.7018865740740741</v>
      </c>
      <c r="D14614" s="1">
        <v>12.934359</v>
      </c>
      <c r="E14614" s="1">
        <v>80.125348</v>
      </c>
      <c r="F14614" s="1">
        <v>805.0</v>
      </c>
      <c r="G14614" s="1">
        <v>39.0</v>
      </c>
    </row>
    <row r="14615">
      <c r="A14615" s="1" t="s">
        <v>8</v>
      </c>
      <c r="B14615" s="2">
        <v>44782.0</v>
      </c>
      <c r="C14615" s="3">
        <v>0.7018981481481481</v>
      </c>
      <c r="D14615" s="1">
        <v>12.934359</v>
      </c>
      <c r="E14615" s="1">
        <v>80.125348</v>
      </c>
      <c r="F14615" s="1">
        <v>805.0</v>
      </c>
      <c r="G14615" s="1">
        <v>39.0</v>
      </c>
    </row>
    <row r="14616">
      <c r="A14616" s="1" t="s">
        <v>8</v>
      </c>
      <c r="B14616" s="2">
        <v>44782.0</v>
      </c>
      <c r="C14616" s="3">
        <v>0.7018981481481481</v>
      </c>
      <c r="D14616" s="1">
        <v>12.934066</v>
      </c>
      <c r="E14616" s="1">
        <v>80.125175</v>
      </c>
      <c r="F14616" s="1">
        <v>5339.0</v>
      </c>
      <c r="G14616" s="1">
        <v>34.0</v>
      </c>
    </row>
    <row r="14617">
      <c r="A14617" s="1" t="s">
        <v>8</v>
      </c>
      <c r="B14617" s="2">
        <v>44782.0</v>
      </c>
      <c r="C14617" s="3">
        <v>0.7019560185185185</v>
      </c>
      <c r="D14617" s="1">
        <v>12.934066</v>
      </c>
      <c r="E14617" s="1">
        <v>80.125175</v>
      </c>
      <c r="F14617" s="1">
        <v>5339.0</v>
      </c>
      <c r="G14617" s="1">
        <v>34.0</v>
      </c>
    </row>
    <row r="14618">
      <c r="A14618" s="1" t="s">
        <v>8</v>
      </c>
      <c r="B14618" s="2">
        <v>44782.0</v>
      </c>
      <c r="C14618" s="3">
        <v>0.7020023148148148</v>
      </c>
      <c r="D14618" s="1">
        <v>12.934686</v>
      </c>
      <c r="E14618" s="1">
        <v>80.125779</v>
      </c>
      <c r="F14618" s="1">
        <v>5339.0</v>
      </c>
      <c r="G14618" s="1">
        <v>29.0</v>
      </c>
    </row>
    <row r="14619">
      <c r="A14619" s="1" t="s">
        <v>8</v>
      </c>
      <c r="B14619" s="2">
        <v>44782.0</v>
      </c>
      <c r="C14619" s="3">
        <v>0.7020138888888889</v>
      </c>
      <c r="D14619" s="1">
        <v>12.934686</v>
      </c>
      <c r="E14619" s="1">
        <v>80.125779</v>
      </c>
      <c r="F14619" s="1">
        <v>5339.0</v>
      </c>
      <c r="G14619" s="1">
        <v>29.0</v>
      </c>
    </row>
    <row r="14620">
      <c r="A14620" s="1" t="s">
        <v>8</v>
      </c>
      <c r="B14620" s="2">
        <v>44782.0</v>
      </c>
      <c r="C14620" s="3">
        <v>0.7020601851851852</v>
      </c>
      <c r="D14620" s="1">
        <v>12.934906</v>
      </c>
      <c r="E14620" s="1">
        <v>80.125865</v>
      </c>
      <c r="F14620" s="1">
        <v>805.0</v>
      </c>
      <c r="G14620" s="1">
        <v>27.0</v>
      </c>
    </row>
    <row r="14621">
      <c r="A14621" s="1" t="s">
        <v>8</v>
      </c>
      <c r="B14621" s="2">
        <v>44782.0</v>
      </c>
      <c r="C14621" s="3">
        <v>0.7022222222222222</v>
      </c>
      <c r="D14621" s="1">
        <v>12.827281</v>
      </c>
      <c r="E14621" s="1">
        <v>80.042303</v>
      </c>
      <c r="F14621" s="1">
        <v>2846.0</v>
      </c>
      <c r="G14621" s="1">
        <v>53.0</v>
      </c>
    </row>
    <row r="14622">
      <c r="A14622" s="1" t="s">
        <v>7</v>
      </c>
      <c r="B14622" s="2">
        <v>44782.0</v>
      </c>
      <c r="C14622" s="3">
        <v>0.7023495370370371</v>
      </c>
      <c r="D14622" s="1">
        <v>12.825539</v>
      </c>
      <c r="E14622" s="1">
        <v>80.040771</v>
      </c>
      <c r="F14622" s="1">
        <v>2846.0</v>
      </c>
      <c r="G14622" s="1">
        <v>57.0</v>
      </c>
    </row>
    <row r="14623">
      <c r="A14623" s="1" t="s">
        <v>8</v>
      </c>
      <c r="B14623" s="2">
        <v>44782.0</v>
      </c>
      <c r="C14623" s="3">
        <v>0.7031944444444445</v>
      </c>
      <c r="D14623" s="1">
        <v>12.936467</v>
      </c>
      <c r="E14623" s="1">
        <v>80.127367</v>
      </c>
      <c r="F14623" s="1">
        <v>5339.0</v>
      </c>
      <c r="G14623" s="1">
        <v>33.0</v>
      </c>
    </row>
    <row r="14624">
      <c r="A14624" s="1" t="s">
        <v>8</v>
      </c>
      <c r="B14624" s="2">
        <v>44782.0</v>
      </c>
      <c r="C14624" s="3">
        <v>0.7033680555555556</v>
      </c>
      <c r="D14624" s="1">
        <v>12.937664</v>
      </c>
      <c r="E14624" s="1">
        <v>80.12834</v>
      </c>
      <c r="F14624" s="1">
        <v>805.0</v>
      </c>
      <c r="G14624" s="1">
        <v>47.0</v>
      </c>
    </row>
    <row r="14625">
      <c r="A14625" s="1" t="s">
        <v>7</v>
      </c>
      <c r="B14625" s="2">
        <v>44782.0</v>
      </c>
      <c r="C14625" s="3">
        <v>0.7038425925925926</v>
      </c>
      <c r="D14625" s="1">
        <v>12.814874</v>
      </c>
      <c r="E14625" s="1">
        <v>80.033136</v>
      </c>
      <c r="F14625" s="1">
        <v>2846.0</v>
      </c>
      <c r="G14625" s="1">
        <v>58.0</v>
      </c>
    </row>
    <row r="14626">
      <c r="A14626" s="1" t="s">
        <v>8</v>
      </c>
      <c r="B14626" s="2">
        <v>44782.0</v>
      </c>
      <c r="C14626" s="3">
        <v>0.7043402777777777</v>
      </c>
      <c r="D14626" s="1">
        <v>12.942694</v>
      </c>
      <c r="E14626" s="1">
        <v>80.133174</v>
      </c>
      <c r="F14626" s="1">
        <v>805.0</v>
      </c>
      <c r="G14626" s="1">
        <v>29.0</v>
      </c>
    </row>
    <row r="14627">
      <c r="A14627" s="1" t="s">
        <v>7</v>
      </c>
      <c r="B14627" s="2">
        <v>44782.0</v>
      </c>
      <c r="C14627" s="3">
        <v>0.7043981481481482</v>
      </c>
      <c r="D14627" s="1">
        <v>12.805518</v>
      </c>
      <c r="E14627" s="1">
        <v>80.027101</v>
      </c>
      <c r="F14627" s="1">
        <v>2846.0</v>
      </c>
      <c r="G14627" s="1">
        <v>57.0</v>
      </c>
    </row>
    <row r="14628">
      <c r="A14628" s="1" t="s">
        <v>8</v>
      </c>
      <c r="B14628" s="2">
        <v>44782.0</v>
      </c>
      <c r="C14628" s="3">
        <v>0.7050115740740741</v>
      </c>
      <c r="D14628" s="1">
        <v>12.947917</v>
      </c>
      <c r="E14628" s="1">
        <v>80.137427</v>
      </c>
      <c r="F14628" s="1">
        <v>805.0</v>
      </c>
      <c r="G14628" s="1">
        <v>34.0</v>
      </c>
    </row>
    <row r="14629">
      <c r="A14629" s="1" t="s">
        <v>8</v>
      </c>
      <c r="B14629" s="2">
        <v>44782.0</v>
      </c>
      <c r="C14629" s="3">
        <v>0.7052314814814815</v>
      </c>
      <c r="D14629" s="1">
        <v>12.801701</v>
      </c>
      <c r="E14629" s="1">
        <v>80.024627</v>
      </c>
      <c r="F14629" s="1">
        <v>2846.0</v>
      </c>
      <c r="G14629" s="1">
        <v>58.0</v>
      </c>
    </row>
    <row r="14630">
      <c r="A14630" s="1" t="s">
        <v>8</v>
      </c>
      <c r="B14630" s="2">
        <v>44782.0</v>
      </c>
      <c r="C14630" s="3">
        <v>0.7056365740740741</v>
      </c>
      <c r="D14630" s="1">
        <v>12.925584</v>
      </c>
      <c r="E14630" s="1">
        <v>80.104311</v>
      </c>
      <c r="F14630" s="1">
        <v>3143.0</v>
      </c>
      <c r="G14630" s="1">
        <v>0.0</v>
      </c>
    </row>
    <row r="14631">
      <c r="A14631" s="1" t="s">
        <v>8</v>
      </c>
      <c r="B14631" s="2">
        <v>44782.0</v>
      </c>
      <c r="C14631" s="3">
        <v>0.7056365740740741</v>
      </c>
      <c r="D14631" s="1">
        <v>12.925584</v>
      </c>
      <c r="E14631" s="1">
        <v>80.104311</v>
      </c>
      <c r="F14631" s="1">
        <v>3143.0</v>
      </c>
      <c r="G14631" s="1">
        <v>0.0</v>
      </c>
    </row>
    <row r="14632">
      <c r="A14632" s="1" t="s">
        <v>8</v>
      </c>
      <c r="B14632" s="2">
        <v>44782.0</v>
      </c>
      <c r="C14632" s="3">
        <v>0.7059027777777778</v>
      </c>
      <c r="D14632" s="1">
        <v>12.95066</v>
      </c>
      <c r="E14632" s="1">
        <v>80.139523</v>
      </c>
      <c r="F14632" s="1">
        <v>805.0</v>
      </c>
      <c r="G14632" s="1">
        <v>19.0</v>
      </c>
    </row>
    <row r="14633">
      <c r="A14633" s="1" t="s">
        <v>8</v>
      </c>
      <c r="B14633" s="2">
        <v>44782.0</v>
      </c>
      <c r="C14633" s="3">
        <v>0.7059027777777778</v>
      </c>
      <c r="D14633" s="1">
        <v>12.95066</v>
      </c>
      <c r="E14633" s="1">
        <v>80.139523</v>
      </c>
      <c r="F14633" s="1">
        <v>805.0</v>
      </c>
      <c r="G14633" s="1">
        <v>19.0</v>
      </c>
    </row>
    <row r="14634">
      <c r="A14634" s="1" t="s">
        <v>8</v>
      </c>
      <c r="B14634" s="2">
        <v>44782.0</v>
      </c>
      <c r="C14634" s="3">
        <v>0.7059027777777778</v>
      </c>
      <c r="D14634" s="1">
        <v>12.950793</v>
      </c>
      <c r="E14634" s="1">
        <v>80.139752</v>
      </c>
      <c r="F14634" s="1">
        <v>5339.0</v>
      </c>
      <c r="G14634" s="1">
        <v>26.0</v>
      </c>
    </row>
    <row r="14635">
      <c r="A14635" s="1" t="s">
        <v>8</v>
      </c>
      <c r="B14635" s="2">
        <v>44782.0</v>
      </c>
      <c r="C14635" s="3">
        <v>0.705925925925926</v>
      </c>
      <c r="D14635" s="1">
        <v>12.95066</v>
      </c>
      <c r="E14635" s="1">
        <v>80.139523</v>
      </c>
      <c r="F14635" s="1">
        <v>805.0</v>
      </c>
      <c r="G14635" s="1">
        <v>19.0</v>
      </c>
    </row>
    <row r="14636">
      <c r="A14636" s="1" t="s">
        <v>8</v>
      </c>
      <c r="B14636" s="2">
        <v>44782.0</v>
      </c>
      <c r="C14636" s="3">
        <v>0.7062731481481481</v>
      </c>
      <c r="D14636" s="1">
        <v>12.953323</v>
      </c>
      <c r="E14636" s="1">
        <v>80.141579</v>
      </c>
      <c r="F14636" s="1">
        <v>5339.0</v>
      </c>
      <c r="G14636" s="1">
        <v>49.0</v>
      </c>
    </row>
    <row r="14637">
      <c r="A14637" s="1" t="s">
        <v>7</v>
      </c>
      <c r="B14637" s="2">
        <v>44782.0</v>
      </c>
      <c r="C14637" s="3">
        <v>0.7063773148148148</v>
      </c>
      <c r="D14637" s="1">
        <v>12.954446</v>
      </c>
      <c r="E14637" s="1">
        <v>80.142188</v>
      </c>
      <c r="F14637" s="1">
        <v>5339.0</v>
      </c>
      <c r="G14637" s="1">
        <v>51.0</v>
      </c>
    </row>
    <row r="14638">
      <c r="A14638" s="1" t="s">
        <v>8</v>
      </c>
      <c r="B14638" s="2">
        <v>44782.0</v>
      </c>
      <c r="C14638" s="3">
        <v>0.7063888888888888</v>
      </c>
      <c r="D14638" s="1">
        <v>12.952918</v>
      </c>
      <c r="E14638" s="1">
        <v>80.141306</v>
      </c>
      <c r="F14638" s="1">
        <v>805.0</v>
      </c>
      <c r="G14638" s="1">
        <v>49.0</v>
      </c>
    </row>
    <row r="14639">
      <c r="A14639" s="1" t="s">
        <v>8</v>
      </c>
      <c r="B14639" s="2">
        <v>44782.0</v>
      </c>
      <c r="C14639" s="3">
        <v>0.7064583333333333</v>
      </c>
      <c r="D14639" s="1">
        <v>12.954626</v>
      </c>
      <c r="E14639" s="1">
        <v>80.142264</v>
      </c>
      <c r="F14639" s="1">
        <v>805.0</v>
      </c>
      <c r="G14639" s="1">
        <v>49.0</v>
      </c>
    </row>
    <row r="14640">
      <c r="A14640" s="1" t="s">
        <v>8</v>
      </c>
      <c r="B14640" s="2">
        <v>44782.0</v>
      </c>
      <c r="C14640" s="3">
        <v>0.7065162037037037</v>
      </c>
      <c r="D14640" s="1">
        <v>12.954626</v>
      </c>
      <c r="E14640" s="1">
        <v>80.142264</v>
      </c>
      <c r="F14640" s="1">
        <v>805.0</v>
      </c>
      <c r="G14640" s="1">
        <v>49.0</v>
      </c>
    </row>
    <row r="14641">
      <c r="A14641" s="1" t="s">
        <v>8</v>
      </c>
      <c r="B14641" s="2">
        <v>44782.0</v>
      </c>
      <c r="C14641" s="3">
        <v>0.7065625</v>
      </c>
      <c r="D14641" s="1">
        <v>12.954626</v>
      </c>
      <c r="E14641" s="1">
        <v>80.142264</v>
      </c>
      <c r="F14641" s="1">
        <v>805.0</v>
      </c>
      <c r="G14641" s="1">
        <v>49.0</v>
      </c>
    </row>
    <row r="14642">
      <c r="A14642" s="1" t="s">
        <v>8</v>
      </c>
      <c r="B14642" s="2">
        <v>44782.0</v>
      </c>
      <c r="C14642" s="3">
        <v>0.7065625</v>
      </c>
      <c r="D14642" s="1">
        <v>12.954626</v>
      </c>
      <c r="E14642" s="1">
        <v>80.142264</v>
      </c>
      <c r="F14642" s="1">
        <v>805.0</v>
      </c>
      <c r="G14642" s="1">
        <v>49.0</v>
      </c>
    </row>
    <row r="14643">
      <c r="A14643" s="1" t="s">
        <v>8</v>
      </c>
      <c r="B14643" s="2">
        <v>44782.0</v>
      </c>
      <c r="C14643" s="3">
        <v>0.7068518518518518</v>
      </c>
      <c r="D14643" s="1">
        <v>12.957872</v>
      </c>
      <c r="E14643" s="1">
        <v>80.143988</v>
      </c>
      <c r="F14643" s="1">
        <v>5339.0</v>
      </c>
      <c r="G14643" s="1">
        <v>37.0</v>
      </c>
    </row>
    <row r="14644">
      <c r="A14644" s="1" t="s">
        <v>8</v>
      </c>
      <c r="B14644" s="2">
        <v>44782.0</v>
      </c>
      <c r="C14644" s="3">
        <v>0.7076273148148148</v>
      </c>
      <c r="D14644" s="1">
        <v>12.960311</v>
      </c>
      <c r="E14644" s="1">
        <v>80.145119</v>
      </c>
      <c r="F14644" s="1">
        <v>805.0</v>
      </c>
      <c r="G14644" s="1">
        <v>8.0</v>
      </c>
    </row>
    <row r="14645">
      <c r="A14645" s="1" t="s">
        <v>8</v>
      </c>
      <c r="B14645" s="2">
        <v>44782.0</v>
      </c>
      <c r="C14645" s="3">
        <v>0.7080208333333333</v>
      </c>
      <c r="D14645" s="1">
        <v>12.768114</v>
      </c>
      <c r="E14645" s="1">
        <v>80.006326</v>
      </c>
      <c r="F14645" s="1">
        <v>2846.0</v>
      </c>
      <c r="G14645" s="1">
        <v>58.0</v>
      </c>
    </row>
    <row r="14646">
      <c r="A14646" s="1" t="s">
        <v>8</v>
      </c>
      <c r="B14646" s="2">
        <v>44782.0</v>
      </c>
      <c r="C14646" s="3">
        <v>0.7080208333333333</v>
      </c>
      <c r="D14646" s="1">
        <v>12.963796</v>
      </c>
      <c r="E14646" s="1">
        <v>80.14711</v>
      </c>
      <c r="F14646" s="1">
        <v>805.0</v>
      </c>
      <c r="G14646" s="1">
        <v>34.0</v>
      </c>
    </row>
    <row r="14647">
      <c r="A14647" s="1" t="s">
        <v>7</v>
      </c>
      <c r="B14647" s="2">
        <v>44782.0</v>
      </c>
      <c r="C14647" s="3">
        <v>0.7083680555555556</v>
      </c>
      <c r="D14647" s="1">
        <v>12.96829</v>
      </c>
      <c r="E14647" s="1">
        <v>80.149558</v>
      </c>
      <c r="F14647" s="1">
        <v>5339.0</v>
      </c>
      <c r="G14647" s="1">
        <v>53.0</v>
      </c>
    </row>
    <row r="14648">
      <c r="A14648" s="1" t="s">
        <v>7</v>
      </c>
      <c r="B14648" s="2">
        <v>44782.0</v>
      </c>
      <c r="C14648" s="3">
        <v>0.7083796296296296</v>
      </c>
      <c r="D14648" s="1">
        <v>12.966661</v>
      </c>
      <c r="E14648" s="1">
        <v>80.148714</v>
      </c>
      <c r="F14648" s="1">
        <v>805.0</v>
      </c>
      <c r="G14648" s="1">
        <v>46.0</v>
      </c>
    </row>
    <row r="14649">
      <c r="A14649" s="1" t="s">
        <v>7</v>
      </c>
      <c r="B14649" s="2">
        <v>44782.0</v>
      </c>
      <c r="C14649" s="3">
        <v>0.7084375</v>
      </c>
      <c r="D14649" s="1">
        <v>12.770078</v>
      </c>
      <c r="E14649" s="1">
        <v>80.007306</v>
      </c>
      <c r="F14649" s="1">
        <v>2846.0</v>
      </c>
      <c r="G14649" s="1">
        <v>57.0</v>
      </c>
    </row>
    <row r="14650">
      <c r="A14650" s="1" t="s">
        <v>7</v>
      </c>
      <c r="B14650" s="2">
        <v>44782.0</v>
      </c>
      <c r="C14650" s="3">
        <v>0.7085069444444444</v>
      </c>
      <c r="D14650" s="1">
        <v>12.969581</v>
      </c>
      <c r="E14650" s="1">
        <v>80.150141</v>
      </c>
      <c r="F14650" s="1">
        <v>5339.0</v>
      </c>
      <c r="G14650" s="1">
        <v>57.0</v>
      </c>
    </row>
    <row r="14651">
      <c r="A14651" s="1" t="s">
        <v>8</v>
      </c>
      <c r="B14651" s="2">
        <v>44782.0</v>
      </c>
      <c r="C14651" s="3">
        <v>0.7090509259259259</v>
      </c>
      <c r="D14651" s="1">
        <v>12.760139</v>
      </c>
      <c r="E14651" s="1">
        <v>80.003439</v>
      </c>
      <c r="F14651" s="1">
        <v>2846.0</v>
      </c>
      <c r="G14651" s="1">
        <v>0.0</v>
      </c>
    </row>
    <row r="14652">
      <c r="A14652" s="1" t="s">
        <v>8</v>
      </c>
      <c r="B14652" s="2">
        <v>44782.0</v>
      </c>
      <c r="C14652" s="3">
        <v>0.7090625</v>
      </c>
      <c r="D14652" s="1">
        <v>12.972562</v>
      </c>
      <c r="E14652" s="1">
        <v>80.151891</v>
      </c>
      <c r="F14652" s="1">
        <v>805.0</v>
      </c>
      <c r="G14652" s="1">
        <v>58.0</v>
      </c>
    </row>
    <row r="14653">
      <c r="A14653" s="1" t="s">
        <v>8</v>
      </c>
      <c r="B14653" s="2">
        <v>44782.0</v>
      </c>
      <c r="C14653" s="3">
        <v>0.7093171296296297</v>
      </c>
      <c r="D14653" s="1">
        <v>12.759182</v>
      </c>
      <c r="E14653" s="1">
        <v>80.003135</v>
      </c>
      <c r="F14653" s="1">
        <v>2846.0</v>
      </c>
      <c r="G14653" s="1">
        <v>37.0</v>
      </c>
    </row>
    <row r="14654">
      <c r="A14654" s="1" t="s">
        <v>8</v>
      </c>
      <c r="B14654" s="2">
        <v>44782.0</v>
      </c>
      <c r="C14654" s="3">
        <v>0.7093287037037037</v>
      </c>
      <c r="D14654" s="1">
        <v>12.975093</v>
      </c>
      <c r="E14654" s="1">
        <v>80.155601</v>
      </c>
      <c r="F14654" s="1">
        <v>805.0</v>
      </c>
      <c r="G14654" s="1">
        <v>52.0</v>
      </c>
    </row>
    <row r="14655">
      <c r="A14655" s="1" t="s">
        <v>7</v>
      </c>
      <c r="B14655" s="2">
        <v>44782.0</v>
      </c>
      <c r="C14655" s="3">
        <v>0.7094907407407407</v>
      </c>
      <c r="D14655" s="1">
        <v>12.976264</v>
      </c>
      <c r="E14655" s="1">
        <v>80.157339</v>
      </c>
      <c r="F14655" s="1">
        <v>805.0</v>
      </c>
      <c r="G14655" s="1">
        <v>50.0</v>
      </c>
    </row>
    <row r="14656">
      <c r="A14656" s="1" t="s">
        <v>7</v>
      </c>
      <c r="B14656" s="2">
        <v>44782.0</v>
      </c>
      <c r="C14656" s="3">
        <v>0.7096296296296296</v>
      </c>
      <c r="D14656" s="1">
        <v>12.755665</v>
      </c>
      <c r="E14656" s="1">
        <v>80.001802</v>
      </c>
      <c r="F14656" s="1">
        <v>2846.0</v>
      </c>
      <c r="G14656" s="1">
        <v>54.0</v>
      </c>
    </row>
    <row r="14657">
      <c r="A14657" s="1" t="s">
        <v>8</v>
      </c>
      <c r="B14657" s="2">
        <v>44782.0</v>
      </c>
      <c r="C14657" s="3">
        <v>0.709837962962963</v>
      </c>
      <c r="D14657" s="1">
        <v>12.753765</v>
      </c>
      <c r="E14657" s="1">
        <v>80.000584</v>
      </c>
      <c r="F14657" s="1">
        <v>2846.0</v>
      </c>
      <c r="G14657" s="1">
        <v>58.0</v>
      </c>
    </row>
    <row r="14658">
      <c r="A14658" s="1" t="s">
        <v>8</v>
      </c>
      <c r="B14658" s="2">
        <v>44782.0</v>
      </c>
      <c r="C14658" s="3">
        <v>0.710300925925926</v>
      </c>
      <c r="D14658" s="1">
        <v>12.753765</v>
      </c>
      <c r="E14658" s="1">
        <v>80.000584</v>
      </c>
      <c r="F14658" s="1">
        <v>2846.0</v>
      </c>
      <c r="G14658" s="1">
        <v>58.0</v>
      </c>
    </row>
    <row r="14659">
      <c r="A14659" s="1" t="s">
        <v>7</v>
      </c>
      <c r="B14659" s="2">
        <v>44782.0</v>
      </c>
      <c r="C14659" s="3">
        <v>0.7104050925925925</v>
      </c>
      <c r="D14659" s="1">
        <v>12.981802</v>
      </c>
      <c r="E14659" s="1">
        <v>80.167158</v>
      </c>
      <c r="F14659" s="1">
        <v>805.0</v>
      </c>
      <c r="G14659" s="1">
        <v>58.0</v>
      </c>
    </row>
    <row r="14660">
      <c r="A14660" s="1" t="s">
        <v>8</v>
      </c>
      <c r="B14660" s="2">
        <v>44782.0</v>
      </c>
      <c r="C14660" s="3">
        <v>0.710787037037037</v>
      </c>
      <c r="D14660" s="1">
        <v>12.930771</v>
      </c>
      <c r="E14660" s="1">
        <v>80.121794</v>
      </c>
      <c r="F14660" s="1">
        <v>3143.0</v>
      </c>
      <c r="G14660" s="1">
        <v>0.0</v>
      </c>
    </row>
    <row r="14661">
      <c r="A14661" s="1" t="s">
        <v>8</v>
      </c>
      <c r="B14661" s="2">
        <v>44782.0</v>
      </c>
      <c r="C14661" s="3">
        <v>0.7108101851851852</v>
      </c>
      <c r="D14661" s="1">
        <v>12.930771</v>
      </c>
      <c r="E14661" s="1">
        <v>80.121794</v>
      </c>
      <c r="F14661" s="1">
        <v>3143.0</v>
      </c>
      <c r="G14661" s="1">
        <v>0.0</v>
      </c>
    </row>
    <row r="14662">
      <c r="A14662" s="1" t="s">
        <v>8</v>
      </c>
      <c r="B14662" s="2">
        <v>44782.0</v>
      </c>
      <c r="C14662" s="3">
        <v>0.7109027777777778</v>
      </c>
      <c r="D14662" s="1">
        <v>12.931015</v>
      </c>
      <c r="E14662" s="1">
        <v>80.122081</v>
      </c>
      <c r="F14662" s="1">
        <v>3143.0</v>
      </c>
      <c r="G14662" s="1">
        <v>17.0</v>
      </c>
    </row>
    <row r="14663">
      <c r="A14663" s="1" t="s">
        <v>8</v>
      </c>
      <c r="B14663" s="2">
        <v>44782.0</v>
      </c>
      <c r="C14663" s="3">
        <v>0.7110532407407407</v>
      </c>
      <c r="D14663" s="1">
        <v>12.987614</v>
      </c>
      <c r="E14663" s="1">
        <v>80.176326</v>
      </c>
      <c r="F14663" s="1">
        <v>5339.0</v>
      </c>
      <c r="G14663" s="1">
        <v>46.0</v>
      </c>
    </row>
    <row r="14664">
      <c r="A14664" s="1" t="s">
        <v>8</v>
      </c>
      <c r="B14664" s="2">
        <v>44782.0</v>
      </c>
      <c r="C14664" s="3">
        <v>0.7114467592592593</v>
      </c>
      <c r="D14664" s="1">
        <v>12.986425</v>
      </c>
      <c r="E14664" s="1">
        <v>80.174585</v>
      </c>
      <c r="F14664" s="1">
        <v>805.0</v>
      </c>
      <c r="G14664" s="1">
        <v>0.0</v>
      </c>
    </row>
    <row r="14665">
      <c r="A14665" s="1" t="s">
        <v>8</v>
      </c>
      <c r="B14665" s="2">
        <v>44782.0</v>
      </c>
      <c r="C14665" s="3">
        <v>0.711574074074074</v>
      </c>
      <c r="D14665" s="1">
        <v>12.98674</v>
      </c>
      <c r="E14665" s="1">
        <v>80.175045</v>
      </c>
      <c r="F14665" s="1">
        <v>805.0</v>
      </c>
      <c r="G14665" s="1">
        <v>32.0</v>
      </c>
    </row>
    <row r="14666">
      <c r="A14666" s="1" t="s">
        <v>7</v>
      </c>
      <c r="B14666" s="2">
        <v>44782.0</v>
      </c>
      <c r="C14666" s="3">
        <v>0.7116319444444444</v>
      </c>
      <c r="D14666" s="1">
        <v>12.98674</v>
      </c>
      <c r="E14666" s="1">
        <v>80.175045</v>
      </c>
      <c r="F14666" s="1">
        <v>805.0</v>
      </c>
      <c r="G14666" s="1">
        <v>32.0</v>
      </c>
    </row>
    <row r="14667">
      <c r="A14667" s="1" t="s">
        <v>8</v>
      </c>
      <c r="B14667" s="2">
        <v>44782.0</v>
      </c>
      <c r="C14667" s="3">
        <v>0.7117708333333334</v>
      </c>
      <c r="D14667" s="1">
        <v>12.989875</v>
      </c>
      <c r="E14667" s="1">
        <v>80.17925</v>
      </c>
      <c r="F14667" s="1">
        <v>5339.0</v>
      </c>
      <c r="G14667" s="1">
        <v>32.0</v>
      </c>
    </row>
    <row r="14668">
      <c r="A14668" s="1" t="s">
        <v>7</v>
      </c>
      <c r="B14668" s="2">
        <v>44782.0</v>
      </c>
      <c r="C14668" s="3">
        <v>0.7118055555555556</v>
      </c>
      <c r="D14668" s="1">
        <v>12.987562</v>
      </c>
      <c r="E14668" s="1">
        <v>80.17622</v>
      </c>
      <c r="F14668" s="1">
        <v>805.0</v>
      </c>
      <c r="G14668" s="1">
        <v>43.0</v>
      </c>
    </row>
    <row r="14669">
      <c r="A14669" s="1" t="s">
        <v>7</v>
      </c>
      <c r="B14669" s="2">
        <v>44782.0</v>
      </c>
      <c r="C14669" s="3">
        <v>0.7118402777777778</v>
      </c>
      <c r="D14669" s="1">
        <v>12.988987</v>
      </c>
      <c r="E14669" s="1">
        <v>80.178115</v>
      </c>
      <c r="F14669" s="1">
        <v>805.0</v>
      </c>
      <c r="G14669" s="1">
        <v>54.0</v>
      </c>
    </row>
    <row r="14670">
      <c r="A14670" s="1" t="s">
        <v>8</v>
      </c>
      <c r="B14670" s="2">
        <v>44782.0</v>
      </c>
      <c r="C14670" s="3">
        <v>0.7118634259259259</v>
      </c>
      <c r="D14670" s="1">
        <v>12.988987</v>
      </c>
      <c r="E14670" s="1">
        <v>80.178115</v>
      </c>
      <c r="F14670" s="1">
        <v>805.0</v>
      </c>
      <c r="G14670" s="1">
        <v>54.0</v>
      </c>
    </row>
    <row r="14671">
      <c r="A14671" s="1" t="s">
        <v>8</v>
      </c>
      <c r="B14671" s="2">
        <v>44782.0</v>
      </c>
      <c r="C14671" s="3">
        <v>0.7118981481481481</v>
      </c>
      <c r="D14671" s="1">
        <v>12.990457</v>
      </c>
      <c r="E14671" s="1">
        <v>80.180002</v>
      </c>
      <c r="F14671" s="1">
        <v>5339.0</v>
      </c>
      <c r="G14671" s="1">
        <v>39.0</v>
      </c>
    </row>
    <row r="14672">
      <c r="A14672" s="1" t="s">
        <v>8</v>
      </c>
      <c r="B14672" s="2">
        <v>44782.0</v>
      </c>
      <c r="C14672" s="3">
        <v>0.7121990740740741</v>
      </c>
      <c r="D14672" s="1">
        <v>12.990323</v>
      </c>
      <c r="E14672" s="1">
        <v>80.17989</v>
      </c>
      <c r="F14672" s="1">
        <v>805.0</v>
      </c>
      <c r="G14672" s="1">
        <v>62.0</v>
      </c>
    </row>
    <row r="14673">
      <c r="A14673" s="1" t="s">
        <v>7</v>
      </c>
      <c r="B14673" s="2">
        <v>44782.0</v>
      </c>
      <c r="C14673" s="3">
        <v>0.7122337962962964</v>
      </c>
      <c r="D14673" s="1">
        <v>12.741063</v>
      </c>
      <c r="E14673" s="1">
        <v>79.990794</v>
      </c>
      <c r="F14673" s="1">
        <v>2846.0</v>
      </c>
      <c r="G14673" s="1">
        <v>49.0</v>
      </c>
    </row>
    <row r="14674">
      <c r="A14674" s="1" t="s">
        <v>8</v>
      </c>
      <c r="B14674" s="2">
        <v>44782.0</v>
      </c>
      <c r="C14674" s="3">
        <v>0.7122453703703704</v>
      </c>
      <c r="D14674" s="1">
        <v>12.935746</v>
      </c>
      <c r="E14674" s="1">
        <v>80.126576</v>
      </c>
      <c r="F14674" s="1">
        <v>3143.0</v>
      </c>
      <c r="G14674" s="1">
        <v>0.0</v>
      </c>
    </row>
    <row r="14675">
      <c r="A14675" s="1" t="s">
        <v>8</v>
      </c>
      <c r="B14675" s="2">
        <v>44782.0</v>
      </c>
      <c r="C14675" s="3">
        <v>0.7123032407407407</v>
      </c>
      <c r="D14675" s="1">
        <v>12.935746</v>
      </c>
      <c r="E14675" s="1">
        <v>80.126576</v>
      </c>
      <c r="F14675" s="1">
        <v>3143.0</v>
      </c>
      <c r="G14675" s="1">
        <v>0.0</v>
      </c>
    </row>
    <row r="14676">
      <c r="A14676" s="1" t="s">
        <v>8</v>
      </c>
      <c r="B14676" s="2">
        <v>44782.0</v>
      </c>
      <c r="C14676" s="3">
        <v>0.7123958333333333</v>
      </c>
      <c r="D14676" s="1">
        <v>12.935963</v>
      </c>
      <c r="E14676" s="1">
        <v>80.126825</v>
      </c>
      <c r="F14676" s="1">
        <v>3143.0</v>
      </c>
      <c r="G14676" s="1">
        <v>15.0</v>
      </c>
    </row>
    <row r="14677">
      <c r="A14677" s="1" t="s">
        <v>7</v>
      </c>
      <c r="B14677" s="2">
        <v>44782.0</v>
      </c>
      <c r="C14677" s="3">
        <v>0.7124074074074074</v>
      </c>
      <c r="D14677" s="1">
        <v>12.732173</v>
      </c>
      <c r="E14677" s="1">
        <v>79.983224</v>
      </c>
      <c r="F14677" s="1">
        <v>2846.0</v>
      </c>
      <c r="G14677" s="1">
        <v>58.0</v>
      </c>
    </row>
    <row r="14678">
      <c r="A14678" s="1" t="s">
        <v>8</v>
      </c>
      <c r="B14678" s="2">
        <v>44782.0</v>
      </c>
      <c r="C14678" s="3">
        <v>0.7128356481481481</v>
      </c>
      <c r="D14678" s="1">
        <v>12.937973</v>
      </c>
      <c r="E14678" s="1">
        <v>80.12865</v>
      </c>
      <c r="F14678" s="1">
        <v>3143.0</v>
      </c>
      <c r="G14678" s="1">
        <v>52.0</v>
      </c>
    </row>
    <row r="14679">
      <c r="A14679" s="1" t="s">
        <v>7</v>
      </c>
      <c r="B14679" s="2">
        <v>44782.0</v>
      </c>
      <c r="C14679" s="3">
        <v>0.7129513888888889</v>
      </c>
      <c r="D14679" s="1">
        <v>12.994291</v>
      </c>
      <c r="E14679" s="1">
        <v>80.185876</v>
      </c>
      <c r="F14679" s="1">
        <v>805.0</v>
      </c>
      <c r="G14679" s="1">
        <v>40.0</v>
      </c>
    </row>
    <row r="14680">
      <c r="A14680" s="1" t="s">
        <v>7</v>
      </c>
      <c r="B14680" s="2">
        <v>44782.0</v>
      </c>
      <c r="C14680" s="3">
        <v>0.7131481481481482</v>
      </c>
      <c r="D14680" s="1">
        <v>12.9955</v>
      </c>
      <c r="E14680" s="1">
        <v>80.188364</v>
      </c>
      <c r="F14680" s="1">
        <v>5339.0</v>
      </c>
      <c r="G14680" s="1">
        <v>55.0</v>
      </c>
    </row>
    <row r="14681">
      <c r="A14681" s="1" t="s">
        <v>8</v>
      </c>
      <c r="B14681" s="2">
        <v>44782.0</v>
      </c>
      <c r="C14681" s="3">
        <v>0.713287037037037</v>
      </c>
      <c r="D14681" s="1">
        <v>12.941365</v>
      </c>
      <c r="E14681" s="1">
        <v>80.131871</v>
      </c>
      <c r="F14681" s="1">
        <v>3143.0</v>
      </c>
      <c r="G14681" s="1">
        <v>58.0</v>
      </c>
    </row>
    <row r="14682">
      <c r="A14682" s="1" t="s">
        <v>8</v>
      </c>
      <c r="B14682" s="2">
        <v>44782.0</v>
      </c>
      <c r="C14682" s="3">
        <v>0.7133564814814815</v>
      </c>
      <c r="D14682" s="1">
        <v>12.94294</v>
      </c>
      <c r="E14682" s="1">
        <v>80.133493</v>
      </c>
      <c r="F14682" s="1">
        <v>3143.0</v>
      </c>
      <c r="G14682" s="1">
        <v>49.0</v>
      </c>
    </row>
    <row r="14683">
      <c r="A14683" s="1" t="s">
        <v>8</v>
      </c>
      <c r="B14683" s="2">
        <v>44782.0</v>
      </c>
      <c r="C14683" s="3">
        <v>0.7134722222222222</v>
      </c>
      <c r="D14683" s="1">
        <v>12.99797</v>
      </c>
      <c r="E14683" s="1">
        <v>80.191535</v>
      </c>
      <c r="F14683" s="1">
        <v>5339.0</v>
      </c>
      <c r="G14683" s="1">
        <v>46.0</v>
      </c>
    </row>
    <row r="14684">
      <c r="A14684" s="1" t="s">
        <v>7</v>
      </c>
      <c r="B14684" s="2">
        <v>44782.0</v>
      </c>
      <c r="C14684" s="3">
        <v>0.713912037037037</v>
      </c>
      <c r="D14684" s="1">
        <v>12.947499</v>
      </c>
      <c r="E14684" s="1">
        <v>80.137078</v>
      </c>
      <c r="F14684" s="1">
        <v>3143.0</v>
      </c>
      <c r="G14684" s="1">
        <v>0.0</v>
      </c>
    </row>
    <row r="14685">
      <c r="A14685" s="1" t="s">
        <v>8</v>
      </c>
      <c r="B14685" s="2">
        <v>44782.0</v>
      </c>
      <c r="C14685" s="3">
        <v>0.7139814814814814</v>
      </c>
      <c r="D14685" s="1">
        <v>12.996239</v>
      </c>
      <c r="E14685" s="1">
        <v>80.18936</v>
      </c>
      <c r="F14685" s="1">
        <v>805.0</v>
      </c>
      <c r="G14685" s="1">
        <v>17.0</v>
      </c>
    </row>
    <row r="14686">
      <c r="A14686" s="1" t="s">
        <v>8</v>
      </c>
      <c r="B14686" s="2">
        <v>44782.0</v>
      </c>
      <c r="C14686" s="3">
        <v>0.714224537037037</v>
      </c>
      <c r="D14686" s="1">
        <v>12.998218</v>
      </c>
      <c r="E14686" s="1">
        <v>80.191801</v>
      </c>
      <c r="F14686" s="1">
        <v>805.0</v>
      </c>
      <c r="G14686" s="1">
        <v>46.0</v>
      </c>
    </row>
    <row r="14687">
      <c r="A14687" s="1" t="s">
        <v>8</v>
      </c>
      <c r="B14687" s="2">
        <v>44782.0</v>
      </c>
      <c r="C14687" s="3">
        <v>0.7142939814814815</v>
      </c>
      <c r="D14687" s="1">
        <v>12.998218</v>
      </c>
      <c r="E14687" s="1">
        <v>80.191801</v>
      </c>
      <c r="F14687" s="1">
        <v>805.0</v>
      </c>
      <c r="G14687" s="1">
        <v>46.0</v>
      </c>
    </row>
    <row r="14688">
      <c r="A14688" s="1" t="s">
        <v>7</v>
      </c>
      <c r="B14688" s="2">
        <v>44782.0</v>
      </c>
      <c r="C14688" s="3">
        <v>0.7148263888888889</v>
      </c>
      <c r="D14688" s="1">
        <v>12.950441</v>
      </c>
      <c r="E14688" s="1">
        <v>80.139443</v>
      </c>
      <c r="F14688" s="1">
        <v>3143.0</v>
      </c>
      <c r="G14688" s="1">
        <v>11.0</v>
      </c>
    </row>
    <row r="14689">
      <c r="A14689" s="1" t="s">
        <v>8</v>
      </c>
      <c r="B14689" s="2">
        <v>44782.0</v>
      </c>
      <c r="C14689" s="3">
        <v>0.714849537037037</v>
      </c>
      <c r="D14689" s="1">
        <v>13.000896</v>
      </c>
      <c r="E14689" s="1">
        <v>80.195154</v>
      </c>
      <c r="F14689" s="1">
        <v>805.0</v>
      </c>
      <c r="G14689" s="1">
        <v>15.0</v>
      </c>
    </row>
    <row r="14690">
      <c r="A14690" s="1" t="s">
        <v>8</v>
      </c>
      <c r="B14690" s="2">
        <v>44782.0</v>
      </c>
      <c r="C14690" s="3">
        <v>0.7148611111111111</v>
      </c>
      <c r="D14690" s="1">
        <v>13.000896</v>
      </c>
      <c r="E14690" s="1">
        <v>80.195154</v>
      </c>
      <c r="F14690" s="1">
        <v>805.0</v>
      </c>
      <c r="G14690" s="1">
        <v>15.0</v>
      </c>
    </row>
    <row r="14691">
      <c r="A14691" s="1" t="s">
        <v>8</v>
      </c>
      <c r="B14691" s="2">
        <v>44782.0</v>
      </c>
      <c r="C14691" s="3">
        <v>0.7148958333333333</v>
      </c>
      <c r="D14691" s="1">
        <v>13.000896</v>
      </c>
      <c r="E14691" s="1">
        <v>80.195154</v>
      </c>
      <c r="F14691" s="1">
        <v>805.0</v>
      </c>
      <c r="G14691" s="1">
        <v>15.0</v>
      </c>
    </row>
    <row r="14692">
      <c r="A14692" s="1" t="s">
        <v>8</v>
      </c>
      <c r="B14692" s="2">
        <v>44782.0</v>
      </c>
      <c r="C14692" s="3">
        <v>0.7150231481481482</v>
      </c>
      <c r="D14692" s="1">
        <v>12.951308</v>
      </c>
      <c r="E14692" s="1">
        <v>80.140111</v>
      </c>
      <c r="F14692" s="1">
        <v>3143.0</v>
      </c>
      <c r="G14692" s="1">
        <v>38.0</v>
      </c>
    </row>
    <row r="14693">
      <c r="A14693" s="1" t="s">
        <v>8</v>
      </c>
      <c r="B14693" s="2">
        <v>44782.0</v>
      </c>
      <c r="C14693" s="3">
        <v>0.7150462962962963</v>
      </c>
      <c r="D14693" s="1">
        <v>13.001212</v>
      </c>
      <c r="E14693" s="1">
        <v>80.195572</v>
      </c>
      <c r="F14693" s="1">
        <v>805.0</v>
      </c>
      <c r="G14693" s="1">
        <v>13.0</v>
      </c>
    </row>
    <row r="14694">
      <c r="A14694" s="1" t="s">
        <v>7</v>
      </c>
      <c r="B14694" s="2">
        <v>44782.0</v>
      </c>
      <c r="C14694" s="3">
        <v>0.7153819444444445</v>
      </c>
      <c r="D14694" s="1">
        <v>12.724173</v>
      </c>
      <c r="E14694" s="1">
        <v>79.982094</v>
      </c>
      <c r="F14694" s="1">
        <v>2846.0</v>
      </c>
      <c r="G14694" s="1">
        <v>0.0</v>
      </c>
    </row>
    <row r="14695">
      <c r="A14695" s="1" t="s">
        <v>8</v>
      </c>
      <c r="B14695" s="2">
        <v>44782.0</v>
      </c>
      <c r="C14695" s="3">
        <v>0.7154861111111112</v>
      </c>
      <c r="D14695" s="1">
        <v>13.001816</v>
      </c>
      <c r="E14695" s="1">
        <v>80.199527</v>
      </c>
      <c r="F14695" s="1">
        <v>805.0</v>
      </c>
      <c r="G14695" s="1">
        <v>36.0</v>
      </c>
    </row>
    <row r="14696">
      <c r="A14696" s="1" t="s">
        <v>7</v>
      </c>
      <c r="B14696" s="2">
        <v>44782.0</v>
      </c>
      <c r="C14696" s="3">
        <v>0.7155671296296297</v>
      </c>
      <c r="D14696" s="1">
        <v>13.001816</v>
      </c>
      <c r="E14696" s="1">
        <v>80.199527</v>
      </c>
      <c r="F14696" s="1">
        <v>805.0</v>
      </c>
      <c r="G14696" s="1">
        <v>36.0</v>
      </c>
    </row>
    <row r="14697">
      <c r="A14697" s="1" t="s">
        <v>7</v>
      </c>
      <c r="B14697" s="2">
        <v>44782.0</v>
      </c>
      <c r="C14697" s="3">
        <v>0.7155902777777777</v>
      </c>
      <c r="D14697" s="1">
        <v>12.724173</v>
      </c>
      <c r="E14697" s="1">
        <v>79.982094</v>
      </c>
      <c r="F14697" s="1">
        <v>2846.0</v>
      </c>
      <c r="G14697" s="1">
        <v>0.0</v>
      </c>
    </row>
    <row r="14698">
      <c r="A14698" s="1" t="s">
        <v>8</v>
      </c>
      <c r="B14698" s="2">
        <v>44782.0</v>
      </c>
      <c r="C14698" s="3">
        <v>0.7156597222222222</v>
      </c>
      <c r="D14698" s="1">
        <v>13.006736</v>
      </c>
      <c r="E14698" s="1">
        <v>80.203324</v>
      </c>
      <c r="F14698" s="1">
        <v>5339.0</v>
      </c>
      <c r="G14698" s="1">
        <v>44.0</v>
      </c>
    </row>
    <row r="14699">
      <c r="A14699" s="1" t="s">
        <v>8</v>
      </c>
      <c r="B14699" s="2">
        <v>44782.0</v>
      </c>
      <c r="C14699" s="3">
        <v>0.7156828703703704</v>
      </c>
      <c r="D14699" s="1">
        <v>13.002762</v>
      </c>
      <c r="E14699" s="1">
        <v>80.200622</v>
      </c>
      <c r="F14699" s="1">
        <v>805.0</v>
      </c>
      <c r="G14699" s="1">
        <v>45.0</v>
      </c>
    </row>
    <row r="14700">
      <c r="A14700" s="1" t="s">
        <v>7</v>
      </c>
      <c r="B14700" s="2">
        <v>44782.0</v>
      </c>
      <c r="C14700" s="3">
        <v>0.7157060185185186</v>
      </c>
      <c r="D14700" s="1">
        <v>13.002762</v>
      </c>
      <c r="E14700" s="1">
        <v>80.200622</v>
      </c>
      <c r="F14700" s="1">
        <v>805.0</v>
      </c>
      <c r="G14700" s="1">
        <v>45.0</v>
      </c>
    </row>
    <row r="14701">
      <c r="A14701" s="1" t="s">
        <v>8</v>
      </c>
      <c r="B14701" s="2">
        <v>44782.0</v>
      </c>
      <c r="C14701" s="3">
        <v>0.7158796296296296</v>
      </c>
      <c r="D14701" s="1">
        <v>12.956047</v>
      </c>
      <c r="E14701" s="1">
        <v>80.142923</v>
      </c>
      <c r="F14701" s="1">
        <v>3143.0</v>
      </c>
      <c r="G14701" s="1">
        <v>0.0</v>
      </c>
    </row>
    <row r="14702">
      <c r="A14702" s="1" t="s">
        <v>8</v>
      </c>
      <c r="B14702" s="2">
        <v>44782.0</v>
      </c>
      <c r="C14702" s="3">
        <v>0.7160185185185185</v>
      </c>
      <c r="D14702" s="1">
        <v>12.956047</v>
      </c>
      <c r="E14702" s="1">
        <v>80.142923</v>
      </c>
      <c r="F14702" s="1">
        <v>3143.0</v>
      </c>
      <c r="G14702" s="1">
        <v>0.0</v>
      </c>
    </row>
    <row r="14703">
      <c r="A14703" s="1" t="s">
        <v>10</v>
      </c>
      <c r="B14703" s="2">
        <v>44782.0</v>
      </c>
      <c r="C14703" s="3">
        <v>0.7161574074074074</v>
      </c>
      <c r="D14703" s="1">
        <v>12.7008</v>
      </c>
      <c r="E14703" s="1">
        <v>79.969235</v>
      </c>
      <c r="F14703" s="1">
        <v>2846.0</v>
      </c>
      <c r="G14703" s="1">
        <v>61.0</v>
      </c>
    </row>
    <row r="14704">
      <c r="A14704" s="1" t="s">
        <v>7</v>
      </c>
      <c r="B14704" s="2">
        <v>44782.0</v>
      </c>
      <c r="C14704" s="3">
        <v>0.7166782407407407</v>
      </c>
      <c r="D14704" s="1">
        <v>13.007643</v>
      </c>
      <c r="E14704" s="1">
        <v>80.204407</v>
      </c>
      <c r="F14704" s="1">
        <v>805.0</v>
      </c>
      <c r="G14704" s="1">
        <v>58.0</v>
      </c>
    </row>
    <row r="14705">
      <c r="A14705" s="1" t="s">
        <v>8</v>
      </c>
      <c r="B14705" s="2">
        <v>44782.0</v>
      </c>
      <c r="C14705" s="3">
        <v>0.7167013888888889</v>
      </c>
      <c r="D14705" s="1">
        <v>13.007643</v>
      </c>
      <c r="E14705" s="1">
        <v>80.204407</v>
      </c>
      <c r="F14705" s="1">
        <v>805.0</v>
      </c>
      <c r="G14705" s="1">
        <v>58.0</v>
      </c>
    </row>
    <row r="14706">
      <c r="A14706" s="1" t="s">
        <v>7</v>
      </c>
      <c r="B14706" s="2">
        <v>44782.0</v>
      </c>
      <c r="C14706" s="3">
        <v>0.7167939814814814</v>
      </c>
      <c r="D14706" s="1">
        <v>13.007817</v>
      </c>
      <c r="E14706" s="1">
        <v>80.206779</v>
      </c>
      <c r="F14706" s="1">
        <v>805.0</v>
      </c>
      <c r="G14706" s="1">
        <v>59.0</v>
      </c>
    </row>
    <row r="14707">
      <c r="A14707" s="1" t="s">
        <v>8</v>
      </c>
      <c r="B14707" s="2">
        <v>44782.0</v>
      </c>
      <c r="C14707" s="3">
        <v>0.7169212962962963</v>
      </c>
      <c r="D14707" s="1">
        <v>12.960185</v>
      </c>
      <c r="E14707" s="1">
        <v>80.145192</v>
      </c>
      <c r="F14707" s="1">
        <v>3143.0</v>
      </c>
      <c r="G14707" s="1">
        <v>6.0</v>
      </c>
    </row>
    <row r="14708">
      <c r="A14708" s="1" t="s">
        <v>8</v>
      </c>
      <c r="B14708" s="2">
        <v>44782.0</v>
      </c>
      <c r="C14708" s="3">
        <v>0.7170717592592593</v>
      </c>
      <c r="D14708" s="1">
        <v>12.960399</v>
      </c>
      <c r="E14708" s="1">
        <v>80.145307</v>
      </c>
      <c r="F14708" s="1">
        <v>3143.0</v>
      </c>
      <c r="G14708" s="1">
        <v>15.0</v>
      </c>
    </row>
    <row r="14709">
      <c r="A14709" s="1" t="s">
        <v>8</v>
      </c>
      <c r="B14709" s="2">
        <v>44782.0</v>
      </c>
      <c r="C14709" s="3">
        <v>0.7171875</v>
      </c>
      <c r="D14709" s="1">
        <v>12.960399</v>
      </c>
      <c r="E14709" s="1">
        <v>80.145307</v>
      </c>
      <c r="F14709" s="1">
        <v>3143.0</v>
      </c>
      <c r="G14709" s="1">
        <v>15.0</v>
      </c>
    </row>
    <row r="14710">
      <c r="A14710" s="1" t="s">
        <v>8</v>
      </c>
      <c r="B14710" s="2">
        <v>44782.0</v>
      </c>
      <c r="C14710" s="3">
        <v>0.7172106481481482</v>
      </c>
      <c r="D14710" s="1">
        <v>12.960399</v>
      </c>
      <c r="E14710" s="1">
        <v>80.145307</v>
      </c>
      <c r="F14710" s="1">
        <v>3143.0</v>
      </c>
      <c r="G14710" s="1">
        <v>15.0</v>
      </c>
    </row>
    <row r="14711">
      <c r="A14711" s="1" t="s">
        <v>8</v>
      </c>
      <c r="B14711" s="2">
        <v>44782.0</v>
      </c>
      <c r="C14711" s="3">
        <v>0.7172106481481482</v>
      </c>
      <c r="D14711" s="1">
        <v>12.960399</v>
      </c>
      <c r="E14711" s="1">
        <v>80.145307</v>
      </c>
      <c r="F14711" s="1">
        <v>3143.0</v>
      </c>
      <c r="G14711" s="1">
        <v>15.0</v>
      </c>
    </row>
    <row r="14712">
      <c r="A14712" s="1" t="s">
        <v>8</v>
      </c>
      <c r="B14712" s="2">
        <v>44782.0</v>
      </c>
      <c r="C14712" s="3">
        <v>0.7172916666666667</v>
      </c>
      <c r="D14712" s="1">
        <v>13.009116</v>
      </c>
      <c r="E14712" s="1">
        <v>80.212027</v>
      </c>
      <c r="F14712" s="1">
        <v>5339.0</v>
      </c>
      <c r="G14712" s="1">
        <v>27.0</v>
      </c>
    </row>
    <row r="14713">
      <c r="A14713" s="1" t="s">
        <v>8</v>
      </c>
      <c r="B14713" s="2">
        <v>44782.0</v>
      </c>
      <c r="C14713" s="3">
        <v>0.7173726851851852</v>
      </c>
      <c r="D14713" s="1">
        <v>13.010118</v>
      </c>
      <c r="E14713" s="1">
        <v>80.214627</v>
      </c>
      <c r="F14713" s="1">
        <v>5339.0</v>
      </c>
      <c r="G14713" s="1">
        <v>28.0</v>
      </c>
    </row>
    <row r="14714">
      <c r="A14714" s="1" t="s">
        <v>8</v>
      </c>
      <c r="B14714" s="2">
        <v>44782.0</v>
      </c>
      <c r="C14714" s="3">
        <v>0.7173958333333333</v>
      </c>
      <c r="D14714" s="1">
        <v>13.010118</v>
      </c>
      <c r="E14714" s="1">
        <v>80.214627</v>
      </c>
      <c r="F14714" s="1">
        <v>5339.0</v>
      </c>
      <c r="G14714" s="1">
        <v>28.0</v>
      </c>
    </row>
    <row r="14715">
      <c r="A14715" s="1" t="s">
        <v>8</v>
      </c>
      <c r="B14715" s="2">
        <v>44782.0</v>
      </c>
      <c r="C14715" s="3">
        <v>0.7178356481481482</v>
      </c>
      <c r="D14715" s="1">
        <v>13.010211</v>
      </c>
      <c r="E14715" s="1">
        <v>80.215304</v>
      </c>
      <c r="F14715" s="1">
        <v>805.0</v>
      </c>
      <c r="G14715" s="1">
        <v>37.0</v>
      </c>
    </row>
    <row r="14716">
      <c r="A14716" s="1" t="s">
        <v>8</v>
      </c>
      <c r="B14716" s="2">
        <v>44782.0</v>
      </c>
      <c r="C14716" s="3">
        <v>0.7179976851851851</v>
      </c>
      <c r="D14716" s="1">
        <v>13.011018</v>
      </c>
      <c r="E14716" s="1">
        <v>80.217266</v>
      </c>
      <c r="F14716" s="1">
        <v>5339.0</v>
      </c>
      <c r="G14716" s="1">
        <v>39.0</v>
      </c>
    </row>
    <row r="14717">
      <c r="A14717" s="1" t="s">
        <v>8</v>
      </c>
      <c r="B14717" s="2">
        <v>44782.0</v>
      </c>
      <c r="C14717" s="3">
        <v>0.7183680555555556</v>
      </c>
      <c r="D14717" s="1">
        <v>13.011875</v>
      </c>
      <c r="E14717" s="1">
        <v>80.219799</v>
      </c>
      <c r="F14717" s="1">
        <v>805.0</v>
      </c>
      <c r="G14717" s="1">
        <v>46.0</v>
      </c>
    </row>
    <row r="14718">
      <c r="A14718" s="1" t="s">
        <v>8</v>
      </c>
      <c r="B14718" s="2">
        <v>44782.0</v>
      </c>
      <c r="C14718" s="3">
        <v>0.7186111111111111</v>
      </c>
      <c r="D14718" s="1">
        <v>13.012392</v>
      </c>
      <c r="E14718" s="1">
        <v>80.221339</v>
      </c>
      <c r="F14718" s="1">
        <v>805.0</v>
      </c>
      <c r="G14718" s="1">
        <v>27.0</v>
      </c>
    </row>
    <row r="14719">
      <c r="A14719" s="1" t="s">
        <v>8</v>
      </c>
      <c r="B14719" s="2">
        <v>44782.0</v>
      </c>
      <c r="C14719" s="3">
        <v>0.7187268518518518</v>
      </c>
      <c r="D14719" s="1">
        <v>13.013425</v>
      </c>
      <c r="E14719" s="1">
        <v>80.22258</v>
      </c>
      <c r="F14719" s="1">
        <v>5339.0</v>
      </c>
      <c r="G14719" s="1">
        <v>40.0</v>
      </c>
    </row>
    <row r="14720">
      <c r="A14720" s="1" t="s">
        <v>8</v>
      </c>
      <c r="B14720" s="2">
        <v>44782.0</v>
      </c>
      <c r="C14720" s="3">
        <v>0.7188425925925926</v>
      </c>
      <c r="D14720" s="1">
        <v>13.014064</v>
      </c>
      <c r="E14720" s="1">
        <v>80.223387</v>
      </c>
      <c r="F14720" s="1">
        <v>5339.0</v>
      </c>
      <c r="G14720" s="1">
        <v>37.0</v>
      </c>
    </row>
    <row r="14721">
      <c r="A14721" s="1" t="s">
        <v>9</v>
      </c>
      <c r="B14721" s="2">
        <v>44782.0</v>
      </c>
      <c r="C14721" s="3">
        <v>0.7193518518518518</v>
      </c>
      <c r="D14721" s="1">
        <v>13.015495</v>
      </c>
      <c r="E14721" s="1">
        <v>80.225057</v>
      </c>
      <c r="F14721" s="1">
        <v>5339.0</v>
      </c>
      <c r="G14721" s="1">
        <v>33.0</v>
      </c>
    </row>
    <row r="14722">
      <c r="A14722" s="1" t="s">
        <v>8</v>
      </c>
      <c r="B14722" s="2">
        <v>44782.0</v>
      </c>
      <c r="C14722" s="3">
        <v>0.7199768518518519</v>
      </c>
      <c r="D14722" s="1">
        <v>13.015214</v>
      </c>
      <c r="E14722" s="1">
        <v>80.225833</v>
      </c>
      <c r="F14722" s="1">
        <v>805.0</v>
      </c>
      <c r="G14722" s="1">
        <v>14.0</v>
      </c>
    </row>
    <row r="14723">
      <c r="A14723" s="1" t="s">
        <v>8</v>
      </c>
      <c r="B14723" s="2">
        <v>44782.0</v>
      </c>
      <c r="C14723" s="3">
        <v>0.7202199074074074</v>
      </c>
      <c r="D14723" s="1">
        <v>13.01336</v>
      </c>
      <c r="E14723" s="1">
        <v>80.226625</v>
      </c>
      <c r="F14723" s="1">
        <v>805.0</v>
      </c>
      <c r="G14723" s="1">
        <v>38.0</v>
      </c>
    </row>
    <row r="14724">
      <c r="A14724" s="1" t="s">
        <v>8</v>
      </c>
      <c r="B14724" s="2">
        <v>44782.0</v>
      </c>
      <c r="C14724" s="3">
        <v>0.7204166666666667</v>
      </c>
      <c r="D14724" s="1">
        <v>13.020082</v>
      </c>
      <c r="E14724" s="1">
        <v>80.2248</v>
      </c>
      <c r="F14724" s="1">
        <v>5339.0</v>
      </c>
      <c r="G14724" s="1">
        <v>24.0</v>
      </c>
    </row>
    <row r="14725">
      <c r="A14725" s="1" t="s">
        <v>8</v>
      </c>
      <c r="B14725" s="2">
        <v>44782.0</v>
      </c>
      <c r="C14725" s="3">
        <v>0.7204513888888889</v>
      </c>
      <c r="D14725" s="1">
        <v>13.020082</v>
      </c>
      <c r="E14725" s="1">
        <v>80.2248</v>
      </c>
      <c r="F14725" s="1">
        <v>5339.0</v>
      </c>
      <c r="G14725" s="1">
        <v>24.0</v>
      </c>
    </row>
    <row r="14726">
      <c r="A14726" s="1" t="s">
        <v>8</v>
      </c>
      <c r="B14726" s="2">
        <v>44782.0</v>
      </c>
      <c r="C14726" s="3">
        <v>0.7205092592592592</v>
      </c>
      <c r="D14726" s="1">
        <v>13.020685</v>
      </c>
      <c r="E14726" s="1">
        <v>80.225223</v>
      </c>
      <c r="F14726" s="1">
        <v>5339.0</v>
      </c>
      <c r="G14726" s="1">
        <v>31.0</v>
      </c>
    </row>
    <row r="14727">
      <c r="A14727" s="1" t="s">
        <v>8</v>
      </c>
      <c r="B14727" s="2">
        <v>44782.0</v>
      </c>
      <c r="C14727" s="3">
        <v>0.7205208333333334</v>
      </c>
      <c r="D14727" s="1">
        <v>13.012039</v>
      </c>
      <c r="E14727" s="1">
        <v>80.227099</v>
      </c>
      <c r="F14727" s="1">
        <v>805.0</v>
      </c>
      <c r="G14727" s="1">
        <v>37.0</v>
      </c>
    </row>
    <row r="14728">
      <c r="A14728" s="1" t="s">
        <v>8</v>
      </c>
      <c r="B14728" s="2">
        <v>44782.0</v>
      </c>
      <c r="C14728" s="3">
        <v>0.7205555555555555</v>
      </c>
      <c r="D14728" s="1">
        <v>13.020685</v>
      </c>
      <c r="E14728" s="1">
        <v>80.225223</v>
      </c>
      <c r="F14728" s="1">
        <v>5339.0</v>
      </c>
      <c r="G14728" s="1">
        <v>31.0</v>
      </c>
    </row>
    <row r="14729">
      <c r="A14729" s="1" t="s">
        <v>8</v>
      </c>
      <c r="B14729" s="2">
        <v>44782.0</v>
      </c>
      <c r="C14729" s="3">
        <v>0.7205671296296297</v>
      </c>
      <c r="D14729" s="1">
        <v>13.020685</v>
      </c>
      <c r="E14729" s="1">
        <v>80.225223</v>
      </c>
      <c r="F14729" s="1">
        <v>5339.0</v>
      </c>
      <c r="G14729" s="1">
        <v>31.0</v>
      </c>
    </row>
    <row r="14730">
      <c r="A14730" s="1" t="s">
        <v>8</v>
      </c>
      <c r="B14730" s="2">
        <v>44782.0</v>
      </c>
      <c r="C14730" s="3">
        <v>0.7206018518518519</v>
      </c>
      <c r="D14730" s="1">
        <v>13.021299</v>
      </c>
      <c r="E14730" s="1">
        <v>80.225694</v>
      </c>
      <c r="F14730" s="1">
        <v>5339.0</v>
      </c>
      <c r="G14730" s="1">
        <v>26.0</v>
      </c>
    </row>
    <row r="14731">
      <c r="A14731" s="1" t="s">
        <v>8</v>
      </c>
      <c r="B14731" s="2">
        <v>44782.0</v>
      </c>
      <c r="C14731" s="3">
        <v>0.7206018518518519</v>
      </c>
      <c r="D14731" s="1">
        <v>13.020685</v>
      </c>
      <c r="E14731" s="1">
        <v>80.225223</v>
      </c>
      <c r="F14731" s="1">
        <v>5339.0</v>
      </c>
      <c r="G14731" s="1">
        <v>31.0</v>
      </c>
    </row>
    <row r="14732">
      <c r="A14732" s="1" t="s">
        <v>8</v>
      </c>
      <c r="B14732" s="2">
        <v>44782.0</v>
      </c>
      <c r="C14732" s="3">
        <v>0.7206365740740741</v>
      </c>
      <c r="D14732" s="1">
        <v>13.021299</v>
      </c>
      <c r="E14732" s="1">
        <v>80.225694</v>
      </c>
      <c r="F14732" s="1">
        <v>5339.0</v>
      </c>
      <c r="G14732" s="1">
        <v>26.0</v>
      </c>
    </row>
    <row r="14733">
      <c r="A14733" s="1" t="s">
        <v>8</v>
      </c>
      <c r="B14733" s="2">
        <v>44782.0</v>
      </c>
      <c r="C14733" s="3">
        <v>0.7207175925925926</v>
      </c>
      <c r="D14733" s="1">
        <v>13.021892</v>
      </c>
      <c r="E14733" s="1">
        <v>80.226118</v>
      </c>
      <c r="F14733" s="1">
        <v>5339.0</v>
      </c>
      <c r="G14733" s="1">
        <v>29.0</v>
      </c>
    </row>
    <row r="14734">
      <c r="A14734" s="1" t="s">
        <v>8</v>
      </c>
      <c r="B14734" s="2">
        <v>44782.0</v>
      </c>
      <c r="C14734" s="3">
        <v>0.7208101851851851</v>
      </c>
      <c r="D14734" s="1">
        <v>13.009325</v>
      </c>
      <c r="E14734" s="1">
        <v>80.228274</v>
      </c>
      <c r="F14734" s="1">
        <v>805.0</v>
      </c>
      <c r="G14734" s="1">
        <v>29.0</v>
      </c>
    </row>
    <row r="14735">
      <c r="A14735" s="1" t="s">
        <v>8</v>
      </c>
      <c r="B14735" s="2">
        <v>44782.0</v>
      </c>
      <c r="C14735" s="3">
        <v>0.7208449074074074</v>
      </c>
      <c r="D14735" s="1">
        <v>13.022567</v>
      </c>
      <c r="E14735" s="1">
        <v>80.226683</v>
      </c>
      <c r="F14735" s="1">
        <v>5339.0</v>
      </c>
      <c r="G14735" s="1">
        <v>39.0</v>
      </c>
    </row>
    <row r="14736">
      <c r="A14736" s="1" t="s">
        <v>8</v>
      </c>
      <c r="B14736" s="2">
        <v>44782.0</v>
      </c>
      <c r="C14736" s="3">
        <v>0.7208680555555556</v>
      </c>
      <c r="D14736" s="1">
        <v>13.022567</v>
      </c>
      <c r="E14736" s="1">
        <v>80.226683</v>
      </c>
      <c r="F14736" s="1">
        <v>5339.0</v>
      </c>
      <c r="G14736" s="1">
        <v>39.0</v>
      </c>
    </row>
    <row r="14737">
      <c r="A14737" s="1" t="s">
        <v>8</v>
      </c>
      <c r="B14737" s="2">
        <v>44782.0</v>
      </c>
      <c r="C14737" s="3">
        <v>0.7216666666666667</v>
      </c>
      <c r="D14737" s="1">
        <v>13.024545</v>
      </c>
      <c r="E14737" s="1">
        <v>80.228762</v>
      </c>
      <c r="F14737" s="1">
        <v>5339.0</v>
      </c>
      <c r="G14737" s="1">
        <v>26.0</v>
      </c>
    </row>
    <row r="14738">
      <c r="A14738" s="1" t="s">
        <v>8</v>
      </c>
      <c r="B14738" s="2">
        <v>44782.0</v>
      </c>
      <c r="C14738" s="3">
        <v>0.7216666666666667</v>
      </c>
      <c r="D14738" s="1">
        <v>13.024545</v>
      </c>
      <c r="E14738" s="1">
        <v>80.228762</v>
      </c>
      <c r="F14738" s="1">
        <v>5339.0</v>
      </c>
      <c r="G14738" s="1">
        <v>26.0</v>
      </c>
    </row>
    <row r="14739">
      <c r="A14739" s="1" t="s">
        <v>10</v>
      </c>
      <c r="B14739" s="2">
        <v>44782.0</v>
      </c>
      <c r="C14739" s="3">
        <v>0.7216782407407407</v>
      </c>
      <c r="D14739" s="1">
        <v>12.692005</v>
      </c>
      <c r="E14739" s="1">
        <v>79.980206</v>
      </c>
      <c r="F14739" s="1">
        <v>2846.0</v>
      </c>
      <c r="G14739" s="1">
        <v>25.0</v>
      </c>
    </row>
    <row r="14740">
      <c r="A14740" s="1" t="s">
        <v>8</v>
      </c>
      <c r="B14740" s="2">
        <v>44782.0</v>
      </c>
      <c r="C14740" s="3">
        <v>0.7216782407407407</v>
      </c>
      <c r="D14740" s="1">
        <v>13.024545</v>
      </c>
      <c r="E14740" s="1">
        <v>80.228762</v>
      </c>
      <c r="F14740" s="1">
        <v>5339.0</v>
      </c>
      <c r="G14740" s="1">
        <v>26.0</v>
      </c>
    </row>
    <row r="14741">
      <c r="A14741" s="1" t="s">
        <v>8</v>
      </c>
      <c r="B14741" s="2">
        <v>44782.0</v>
      </c>
      <c r="C14741" s="3">
        <v>0.7218171296296296</v>
      </c>
      <c r="D14741" s="1">
        <v>13.024967</v>
      </c>
      <c r="E14741" s="1">
        <v>80.229332</v>
      </c>
      <c r="F14741" s="1">
        <v>5339.0</v>
      </c>
      <c r="G14741" s="1">
        <v>28.0</v>
      </c>
    </row>
    <row r="14742">
      <c r="A14742" s="1" t="s">
        <v>8</v>
      </c>
      <c r="B14742" s="2">
        <v>44782.0</v>
      </c>
      <c r="C14742" s="3">
        <v>0.722199074074074</v>
      </c>
      <c r="D14742" s="1">
        <v>13.026093</v>
      </c>
      <c r="E14742" s="1">
        <v>80.231554</v>
      </c>
      <c r="F14742" s="1">
        <v>5339.0</v>
      </c>
      <c r="G14742" s="1">
        <v>32.0</v>
      </c>
    </row>
    <row r="14743">
      <c r="A14743" s="1" t="s">
        <v>8</v>
      </c>
      <c r="B14743" s="2">
        <v>44782.0</v>
      </c>
      <c r="C14743" s="3">
        <v>0.7225925925925926</v>
      </c>
      <c r="D14743" s="1">
        <v>13.026944</v>
      </c>
      <c r="E14743" s="1">
        <v>80.233594</v>
      </c>
      <c r="F14743" s="1">
        <v>5339.0</v>
      </c>
      <c r="G14743" s="1">
        <v>30.0</v>
      </c>
    </row>
    <row r="14744">
      <c r="A14744" s="1" t="s">
        <v>8</v>
      </c>
      <c r="B14744" s="2">
        <v>44782.0</v>
      </c>
      <c r="C14744" s="3">
        <v>0.7226157407407408</v>
      </c>
      <c r="D14744" s="1">
        <v>13.026944</v>
      </c>
      <c r="E14744" s="1">
        <v>80.233594</v>
      </c>
      <c r="F14744" s="1">
        <v>5339.0</v>
      </c>
      <c r="G14744" s="1">
        <v>30.0</v>
      </c>
    </row>
    <row r="14745">
      <c r="A14745" s="1" t="s">
        <v>8</v>
      </c>
      <c r="B14745" s="2">
        <v>44782.0</v>
      </c>
      <c r="C14745" s="3">
        <v>0.7226273148148148</v>
      </c>
      <c r="D14745" s="1">
        <v>13.026944</v>
      </c>
      <c r="E14745" s="1">
        <v>80.233594</v>
      </c>
      <c r="F14745" s="1">
        <v>5339.0</v>
      </c>
      <c r="G14745" s="1">
        <v>30.0</v>
      </c>
    </row>
    <row r="14746">
      <c r="A14746" s="1" t="s">
        <v>8</v>
      </c>
      <c r="B14746" s="2">
        <v>44782.0</v>
      </c>
      <c r="C14746" s="3">
        <v>0.7236342592592593</v>
      </c>
      <c r="D14746" s="1">
        <v>13.030689</v>
      </c>
      <c r="E14746" s="1">
        <v>80.238929</v>
      </c>
      <c r="F14746" s="1">
        <v>5339.0</v>
      </c>
      <c r="G14746" s="1">
        <v>34.0</v>
      </c>
    </row>
    <row r="14747">
      <c r="A14747" s="1" t="s">
        <v>10</v>
      </c>
      <c r="B14747" s="2">
        <v>44782.0</v>
      </c>
      <c r="C14747" s="3">
        <v>0.7237731481481482</v>
      </c>
      <c r="D14747" s="1">
        <v>12.677195</v>
      </c>
      <c r="E14747" s="1">
        <v>79.979148</v>
      </c>
      <c r="F14747" s="1">
        <v>2846.0</v>
      </c>
      <c r="G14747" s="1">
        <v>40.0</v>
      </c>
    </row>
    <row r="14748">
      <c r="A14748" s="1" t="s">
        <v>8</v>
      </c>
      <c r="B14748" s="2">
        <v>44782.0</v>
      </c>
      <c r="C14748" s="3">
        <v>0.7238773148148148</v>
      </c>
      <c r="D14748" s="1">
        <v>13.006686</v>
      </c>
      <c r="E14748" s="1">
        <v>80.242065</v>
      </c>
      <c r="F14748" s="1">
        <v>805.0</v>
      </c>
      <c r="G14748" s="1">
        <v>29.0</v>
      </c>
    </row>
    <row r="14749">
      <c r="A14749" s="1" t="s">
        <v>8</v>
      </c>
      <c r="B14749" s="2">
        <v>44782.0</v>
      </c>
      <c r="C14749" s="3">
        <v>0.7240277777777778</v>
      </c>
      <c r="D14749" s="1">
        <v>13.006692</v>
      </c>
      <c r="E14749" s="1">
        <v>80.243054</v>
      </c>
      <c r="F14749" s="1">
        <v>805.0</v>
      </c>
      <c r="G14749" s="1">
        <v>32.0</v>
      </c>
    </row>
    <row r="14750">
      <c r="A14750" s="1" t="s">
        <v>8</v>
      </c>
      <c r="B14750" s="2">
        <v>44782.0</v>
      </c>
      <c r="C14750" s="3">
        <v>0.7242476851851852</v>
      </c>
      <c r="D14750" s="1">
        <v>13.032102</v>
      </c>
      <c r="E14750" s="1">
        <v>80.241826</v>
      </c>
      <c r="F14750" s="1">
        <v>5339.0</v>
      </c>
      <c r="G14750" s="1">
        <v>38.0</v>
      </c>
    </row>
    <row r="14751">
      <c r="A14751" s="1" t="s">
        <v>10</v>
      </c>
      <c r="B14751" s="2">
        <v>44782.0</v>
      </c>
      <c r="C14751" s="3">
        <v>0.724849537037037</v>
      </c>
      <c r="D14751" s="1">
        <v>12.975335</v>
      </c>
      <c r="E14751" s="1">
        <v>80.13536</v>
      </c>
      <c r="F14751" s="1">
        <v>3143.0</v>
      </c>
      <c r="G14751" s="1">
        <v>16.0</v>
      </c>
    </row>
    <row r="14752">
      <c r="A14752" s="1" t="s">
        <v>9</v>
      </c>
      <c r="B14752" s="2">
        <v>44782.0</v>
      </c>
      <c r="C14752" s="3">
        <v>0.7251851851851852</v>
      </c>
      <c r="D14752" s="1">
        <v>12.977196</v>
      </c>
      <c r="E14752" s="1">
        <v>80.135671</v>
      </c>
      <c r="F14752" s="1">
        <v>3143.0</v>
      </c>
      <c r="G14752" s="1">
        <v>28.0</v>
      </c>
    </row>
    <row r="14753">
      <c r="A14753" s="1" t="s">
        <v>8</v>
      </c>
      <c r="B14753" s="2">
        <v>44782.0</v>
      </c>
      <c r="C14753" s="3">
        <v>0.7253587962962963</v>
      </c>
      <c r="D14753" s="1">
        <v>13.034352</v>
      </c>
      <c r="E14753" s="1">
        <v>80.245012</v>
      </c>
      <c r="F14753" s="1">
        <v>5339.0</v>
      </c>
      <c r="G14753" s="1">
        <v>31.0</v>
      </c>
    </row>
    <row r="14754">
      <c r="A14754" s="1" t="s">
        <v>7</v>
      </c>
      <c r="B14754" s="2">
        <v>44782.0</v>
      </c>
      <c r="C14754" s="3">
        <v>0.7256481481481482</v>
      </c>
      <c r="D14754" s="1">
        <v>12.66668</v>
      </c>
      <c r="E14754" s="1">
        <v>79.971163</v>
      </c>
      <c r="F14754" s="1">
        <v>2846.0</v>
      </c>
      <c r="G14754" s="1">
        <v>53.0</v>
      </c>
    </row>
    <row r="14755">
      <c r="A14755" s="1" t="s">
        <v>10</v>
      </c>
      <c r="B14755" s="2">
        <v>44782.0</v>
      </c>
      <c r="C14755" s="3">
        <v>0.7256944444444444</v>
      </c>
      <c r="D14755" s="1">
        <v>12.980066</v>
      </c>
      <c r="E14755" s="1">
        <v>80.136588</v>
      </c>
      <c r="F14755" s="1">
        <v>3143.0</v>
      </c>
      <c r="G14755" s="1">
        <v>35.0</v>
      </c>
    </row>
    <row r="14756">
      <c r="A14756" s="1" t="s">
        <v>10</v>
      </c>
      <c r="B14756" s="2">
        <v>44782.0</v>
      </c>
      <c r="C14756" s="3">
        <v>0.7262615740740741</v>
      </c>
      <c r="D14756" s="1">
        <v>12.981784</v>
      </c>
      <c r="E14756" s="1">
        <v>80.137951</v>
      </c>
      <c r="F14756" s="1">
        <v>3143.0</v>
      </c>
      <c r="G14756" s="1">
        <v>27.0</v>
      </c>
    </row>
    <row r="14757">
      <c r="A14757" s="1" t="s">
        <v>7</v>
      </c>
      <c r="B14757" s="2">
        <v>44782.0</v>
      </c>
      <c r="C14757" s="3">
        <v>0.7265625</v>
      </c>
      <c r="D14757" s="1">
        <v>13.006659</v>
      </c>
      <c r="E14757" s="1">
        <v>80.252248</v>
      </c>
      <c r="F14757" s="1">
        <v>805.0</v>
      </c>
      <c r="G14757" s="1">
        <v>7.0</v>
      </c>
    </row>
    <row r="14758">
      <c r="A14758" s="1" t="s">
        <v>7</v>
      </c>
      <c r="B14758" s="2">
        <v>44782.0</v>
      </c>
      <c r="C14758" s="3">
        <v>0.7266203703703704</v>
      </c>
      <c r="D14758" s="1">
        <v>13.006579</v>
      </c>
      <c r="E14758" s="1">
        <v>80.253319</v>
      </c>
      <c r="F14758" s="1">
        <v>805.0</v>
      </c>
      <c r="G14758" s="1">
        <v>40.0</v>
      </c>
    </row>
    <row r="14759">
      <c r="A14759" s="1" t="s">
        <v>8</v>
      </c>
      <c r="B14759" s="2">
        <v>44782.0</v>
      </c>
      <c r="C14759" s="3">
        <v>0.728275462962963</v>
      </c>
      <c r="D14759" s="1">
        <v>13.040289</v>
      </c>
      <c r="E14759" s="1">
        <v>80.247078</v>
      </c>
      <c r="F14759" s="1">
        <v>5339.0</v>
      </c>
      <c r="G14759" s="1">
        <v>31.0</v>
      </c>
    </row>
    <row r="14760">
      <c r="A14760" s="1" t="s">
        <v>8</v>
      </c>
      <c r="B14760" s="2">
        <v>44782.0</v>
      </c>
      <c r="C14760" s="3">
        <v>0.7282986111111112</v>
      </c>
      <c r="D14760" s="1">
        <v>13.040289</v>
      </c>
      <c r="E14760" s="1">
        <v>80.247078</v>
      </c>
      <c r="F14760" s="1">
        <v>5339.0</v>
      </c>
      <c r="G14760" s="1">
        <v>31.0</v>
      </c>
    </row>
    <row r="14761">
      <c r="A14761" s="1" t="s">
        <v>8</v>
      </c>
      <c r="B14761" s="2">
        <v>44782.0</v>
      </c>
      <c r="C14761" s="3">
        <v>0.7288310185185185</v>
      </c>
      <c r="D14761" s="1">
        <v>12.987024</v>
      </c>
      <c r="E14761" s="1">
        <v>80.142065</v>
      </c>
      <c r="F14761" s="1">
        <v>3143.0</v>
      </c>
      <c r="G14761" s="1">
        <v>29.0</v>
      </c>
    </row>
    <row r="14762">
      <c r="A14762" s="1" t="s">
        <v>10</v>
      </c>
      <c r="B14762" s="2">
        <v>44782.0</v>
      </c>
      <c r="C14762" s="3">
        <v>0.728912037037037</v>
      </c>
      <c r="D14762" s="1">
        <v>12.986078</v>
      </c>
      <c r="E14762" s="1">
        <v>80.14196</v>
      </c>
      <c r="F14762" s="1">
        <v>3143.0</v>
      </c>
      <c r="G14762" s="1">
        <v>27.0</v>
      </c>
    </row>
    <row r="14763">
      <c r="A14763" s="1" t="s">
        <v>10</v>
      </c>
      <c r="B14763" s="2">
        <v>44782.0</v>
      </c>
      <c r="C14763" s="3">
        <v>0.7291782407407408</v>
      </c>
      <c r="D14763" s="1">
        <v>12.985004</v>
      </c>
      <c r="E14763" s="1">
        <v>80.141281</v>
      </c>
      <c r="F14763" s="1">
        <v>3143.0</v>
      </c>
      <c r="G14763" s="1">
        <v>30.0</v>
      </c>
    </row>
    <row r="14764">
      <c r="A14764" s="1" t="s">
        <v>10</v>
      </c>
      <c r="B14764" s="2">
        <v>44782.0</v>
      </c>
      <c r="C14764" s="3">
        <v>0.7292476851851852</v>
      </c>
      <c r="D14764" s="1">
        <v>12.985004</v>
      </c>
      <c r="E14764" s="1">
        <v>80.141281</v>
      </c>
      <c r="F14764" s="1">
        <v>3143.0</v>
      </c>
      <c r="G14764" s="1">
        <v>30.0</v>
      </c>
    </row>
    <row r="14765">
      <c r="A14765" s="1" t="s">
        <v>8</v>
      </c>
      <c r="B14765" s="2">
        <v>44782.0</v>
      </c>
      <c r="C14765" s="3">
        <v>0.7293287037037037</v>
      </c>
      <c r="D14765" s="1">
        <v>13.009005</v>
      </c>
      <c r="E14765" s="1">
        <v>80.259026</v>
      </c>
      <c r="F14765" s="1">
        <v>805.0</v>
      </c>
      <c r="G14765" s="1">
        <v>21.0</v>
      </c>
    </row>
    <row r="14766">
      <c r="A14766" s="1" t="s">
        <v>8</v>
      </c>
      <c r="B14766" s="2">
        <v>44782.0</v>
      </c>
      <c r="C14766" s="3">
        <v>0.729537037037037</v>
      </c>
      <c r="D14766" s="1">
        <v>12.650833</v>
      </c>
      <c r="E14766" s="1">
        <v>79.941687</v>
      </c>
      <c r="F14766" s="1">
        <v>2846.0</v>
      </c>
      <c r="G14766" s="1">
        <v>45.0</v>
      </c>
    </row>
    <row r="14767">
      <c r="A14767" s="1" t="s">
        <v>7</v>
      </c>
      <c r="B14767" s="2">
        <v>44782.0</v>
      </c>
      <c r="C14767" s="3">
        <v>0.7299305555555555</v>
      </c>
      <c r="D14767" s="1">
        <v>12.645683</v>
      </c>
      <c r="E14767" s="1">
        <v>79.939847</v>
      </c>
      <c r="F14767" s="1">
        <v>2846.0</v>
      </c>
      <c r="G14767" s="1">
        <v>58.0</v>
      </c>
    </row>
    <row r="14768">
      <c r="A14768" s="1" t="s">
        <v>8</v>
      </c>
      <c r="B14768" s="2">
        <v>44782.0</v>
      </c>
      <c r="C14768" s="3">
        <v>0.7319444444444444</v>
      </c>
      <c r="D14768" s="1">
        <v>13.023358</v>
      </c>
      <c r="E14768" s="1">
        <v>80.263996</v>
      </c>
      <c r="F14768" s="1">
        <v>805.0</v>
      </c>
      <c r="G14768" s="1">
        <v>38.0</v>
      </c>
    </row>
    <row r="14769">
      <c r="A14769" s="1" t="s">
        <v>7</v>
      </c>
      <c r="B14769" s="2">
        <v>44782.0</v>
      </c>
      <c r="C14769" s="3">
        <v>0.732037037037037</v>
      </c>
      <c r="D14769" s="1">
        <v>12.62453</v>
      </c>
      <c r="E14769" s="1">
        <v>79.928856</v>
      </c>
      <c r="F14769" s="1">
        <v>2846.0</v>
      </c>
      <c r="G14769" s="1">
        <v>58.0</v>
      </c>
    </row>
    <row r="14770">
      <c r="A14770" s="1" t="s">
        <v>7</v>
      </c>
      <c r="B14770" s="2">
        <v>44782.0</v>
      </c>
      <c r="C14770" s="3">
        <v>0.7321875</v>
      </c>
      <c r="D14770" s="1">
        <v>12.623186</v>
      </c>
      <c r="E14770" s="1">
        <v>79.928265</v>
      </c>
      <c r="F14770" s="1">
        <v>2846.0</v>
      </c>
      <c r="G14770" s="1">
        <v>58.0</v>
      </c>
    </row>
    <row r="14771">
      <c r="A14771" s="1" t="s">
        <v>7</v>
      </c>
      <c r="B14771" s="2">
        <v>44782.0</v>
      </c>
      <c r="C14771" s="3">
        <v>0.7325462962962963</v>
      </c>
      <c r="D14771" s="1">
        <v>12.620428</v>
      </c>
      <c r="E14771" s="1">
        <v>79.927243</v>
      </c>
      <c r="F14771" s="1">
        <v>2846.0</v>
      </c>
      <c r="G14771" s="1">
        <v>59.0</v>
      </c>
    </row>
    <row r="14772">
      <c r="A14772" s="1" t="s">
        <v>7</v>
      </c>
      <c r="B14772" s="2">
        <v>44782.0</v>
      </c>
      <c r="C14772" s="3">
        <v>0.7326157407407408</v>
      </c>
      <c r="D14772" s="1">
        <v>12.617579</v>
      </c>
      <c r="E14772" s="1">
        <v>79.926605</v>
      </c>
      <c r="F14772" s="1">
        <v>2846.0</v>
      </c>
      <c r="G14772" s="1">
        <v>57.0</v>
      </c>
    </row>
    <row r="14773">
      <c r="A14773" s="1" t="s">
        <v>10</v>
      </c>
      <c r="B14773" s="2">
        <v>44782.0</v>
      </c>
      <c r="C14773" s="3">
        <v>0.7327314814814815</v>
      </c>
      <c r="D14773" s="1">
        <v>13.056675</v>
      </c>
      <c r="E14773" s="1">
        <v>80.257832</v>
      </c>
      <c r="F14773" s="1">
        <v>5339.0</v>
      </c>
      <c r="G14773" s="1">
        <v>0.0</v>
      </c>
    </row>
    <row r="14774">
      <c r="A14774" s="1" t="s">
        <v>10</v>
      </c>
      <c r="B14774" s="2">
        <v>44782.0</v>
      </c>
      <c r="C14774" s="3">
        <v>0.7328240740740741</v>
      </c>
      <c r="D14774" s="1">
        <v>12.974694</v>
      </c>
      <c r="E14774" s="1">
        <v>80.134001</v>
      </c>
      <c r="F14774" s="1">
        <v>3143.0</v>
      </c>
      <c r="G14774" s="1">
        <v>3.0</v>
      </c>
    </row>
    <row r="14775">
      <c r="A14775" s="1" t="s">
        <v>10</v>
      </c>
      <c r="B14775" s="2">
        <v>44782.0</v>
      </c>
      <c r="C14775" s="3">
        <v>0.7330439814814815</v>
      </c>
      <c r="D14775" s="1">
        <v>12.97474</v>
      </c>
      <c r="E14775" s="1">
        <v>80.1337</v>
      </c>
      <c r="F14775" s="1">
        <v>3143.0</v>
      </c>
      <c r="G14775" s="1">
        <v>16.0</v>
      </c>
    </row>
    <row r="14776">
      <c r="A14776" s="1" t="s">
        <v>7</v>
      </c>
      <c r="B14776" s="2">
        <v>44782.0</v>
      </c>
      <c r="C14776" s="3">
        <v>0.7332523148148148</v>
      </c>
      <c r="D14776" s="1">
        <v>12.611026</v>
      </c>
      <c r="E14776" s="1">
        <v>79.923396</v>
      </c>
      <c r="F14776" s="1">
        <v>2846.0</v>
      </c>
      <c r="G14776" s="1">
        <v>58.0</v>
      </c>
    </row>
    <row r="14777">
      <c r="A14777" s="1" t="s">
        <v>10</v>
      </c>
      <c r="B14777" s="2">
        <v>44782.0</v>
      </c>
      <c r="C14777" s="3">
        <v>0.7338194444444445</v>
      </c>
      <c r="D14777" s="1">
        <v>12.97658</v>
      </c>
      <c r="E14777" s="1">
        <v>80.132719</v>
      </c>
      <c r="F14777" s="1">
        <v>3143.0</v>
      </c>
      <c r="G14777" s="1">
        <v>21.0</v>
      </c>
    </row>
    <row r="14778">
      <c r="A14778" s="1" t="s">
        <v>7</v>
      </c>
      <c r="B14778" s="2">
        <v>44782.0</v>
      </c>
      <c r="C14778" s="3">
        <v>0.7342939814814815</v>
      </c>
      <c r="D14778" s="1">
        <v>12.601445</v>
      </c>
      <c r="E14778" s="1">
        <v>79.920144</v>
      </c>
      <c r="F14778" s="1">
        <v>2846.0</v>
      </c>
      <c r="G14778" s="1">
        <v>58.0</v>
      </c>
    </row>
    <row r="14779">
      <c r="A14779" s="1" t="s">
        <v>7</v>
      </c>
      <c r="B14779" s="2">
        <v>44782.0</v>
      </c>
      <c r="C14779" s="3">
        <v>0.7344212962962963</v>
      </c>
      <c r="D14779" s="1">
        <v>12.601445</v>
      </c>
      <c r="E14779" s="1">
        <v>79.920144</v>
      </c>
      <c r="F14779" s="1">
        <v>2846.0</v>
      </c>
      <c r="G14779" s="1">
        <v>58.0</v>
      </c>
    </row>
    <row r="14780">
      <c r="A14780" s="1" t="s">
        <v>10</v>
      </c>
      <c r="B14780" s="2">
        <v>44782.0</v>
      </c>
      <c r="C14780" s="3">
        <v>0.7351620370370371</v>
      </c>
      <c r="D14780" s="1">
        <v>13.053419</v>
      </c>
      <c r="E14780" s="1">
        <v>80.268875</v>
      </c>
      <c r="F14780" s="1">
        <v>5339.0</v>
      </c>
      <c r="G14780" s="1">
        <v>0.0</v>
      </c>
    </row>
    <row r="14781">
      <c r="A14781" s="1" t="s">
        <v>10</v>
      </c>
      <c r="B14781" s="2">
        <v>44782.0</v>
      </c>
      <c r="C14781" s="3">
        <v>0.7352662037037037</v>
      </c>
      <c r="D14781" s="1">
        <v>13.053394</v>
      </c>
      <c r="E14781" s="1">
        <v>80.269051</v>
      </c>
      <c r="F14781" s="1">
        <v>5339.0</v>
      </c>
      <c r="G14781" s="1">
        <v>11.0</v>
      </c>
    </row>
    <row r="14782">
      <c r="A14782" s="1" t="s">
        <v>10</v>
      </c>
      <c r="B14782" s="2">
        <v>44782.0</v>
      </c>
      <c r="C14782" s="3">
        <v>0.7354050925925926</v>
      </c>
      <c r="D14782" s="1">
        <v>13.05335</v>
      </c>
      <c r="E14782" s="1">
        <v>80.26947</v>
      </c>
      <c r="F14782" s="1">
        <v>5339.0</v>
      </c>
      <c r="G14782" s="1">
        <v>11.0</v>
      </c>
    </row>
    <row r="14783">
      <c r="A14783" s="1" t="s">
        <v>10</v>
      </c>
      <c r="B14783" s="2">
        <v>44782.0</v>
      </c>
      <c r="C14783" s="3">
        <v>0.7358449074074074</v>
      </c>
      <c r="D14783" s="1">
        <v>13.053172</v>
      </c>
      <c r="E14783" s="1">
        <v>80.271167</v>
      </c>
      <c r="F14783" s="1">
        <v>5339.0</v>
      </c>
      <c r="G14783" s="1">
        <v>11.0</v>
      </c>
    </row>
    <row r="14784">
      <c r="A14784" s="1" t="s">
        <v>10</v>
      </c>
      <c r="B14784" s="2">
        <v>44782.0</v>
      </c>
      <c r="C14784" s="3">
        <v>0.7361111111111112</v>
      </c>
      <c r="D14784" s="1">
        <v>13.053024</v>
      </c>
      <c r="E14784" s="1">
        <v>80.272107</v>
      </c>
      <c r="F14784" s="1">
        <v>5339.0</v>
      </c>
      <c r="G14784" s="1">
        <v>21.0</v>
      </c>
    </row>
    <row r="14785">
      <c r="A14785" s="1" t="s">
        <v>7</v>
      </c>
      <c r="B14785" s="2">
        <v>44782.0</v>
      </c>
      <c r="C14785" s="3">
        <v>0.7362268518518519</v>
      </c>
      <c r="D14785" s="1">
        <v>12.575748</v>
      </c>
      <c r="E14785" s="1">
        <v>79.917082</v>
      </c>
      <c r="F14785" s="1">
        <v>2846.0</v>
      </c>
      <c r="G14785" s="1">
        <v>57.0</v>
      </c>
    </row>
    <row r="14786">
      <c r="A14786" s="1" t="s">
        <v>7</v>
      </c>
      <c r="B14786" s="2">
        <v>44782.0</v>
      </c>
      <c r="C14786" s="3">
        <v>0.7364351851851851</v>
      </c>
      <c r="D14786" s="1">
        <v>12.572876</v>
      </c>
      <c r="E14786" s="1">
        <v>79.916496</v>
      </c>
      <c r="F14786" s="1">
        <v>2846.0</v>
      </c>
      <c r="G14786" s="1">
        <v>58.0</v>
      </c>
    </row>
    <row r="14787">
      <c r="A14787" s="1" t="s">
        <v>10</v>
      </c>
      <c r="B14787" s="2">
        <v>44782.0</v>
      </c>
      <c r="C14787" s="3">
        <v>0.7368402777777778</v>
      </c>
      <c r="D14787" s="1">
        <v>12.983225</v>
      </c>
      <c r="E14787" s="1">
        <v>80.127514</v>
      </c>
      <c r="F14787" s="1">
        <v>3143.0</v>
      </c>
      <c r="G14787" s="1">
        <v>18.0</v>
      </c>
    </row>
    <row r="14788">
      <c r="A14788" s="1" t="s">
        <v>7</v>
      </c>
      <c r="B14788" s="2">
        <v>44782.0</v>
      </c>
      <c r="C14788" s="3">
        <v>0.7371412037037037</v>
      </c>
      <c r="D14788" s="1">
        <v>12.565906</v>
      </c>
      <c r="E14788" s="1">
        <v>79.914652</v>
      </c>
      <c r="F14788" s="1">
        <v>2846.0</v>
      </c>
      <c r="G14788" s="1">
        <v>56.0</v>
      </c>
    </row>
    <row r="14789">
      <c r="A14789" s="1" t="s">
        <v>10</v>
      </c>
      <c r="B14789" s="2">
        <v>44782.0</v>
      </c>
      <c r="C14789" s="3">
        <v>0.7373611111111111</v>
      </c>
      <c r="D14789" s="1">
        <v>13.055072</v>
      </c>
      <c r="E14789" s="1">
        <v>80.2738</v>
      </c>
      <c r="F14789" s="1">
        <v>5339.0</v>
      </c>
      <c r="G14789" s="1">
        <v>10.0</v>
      </c>
    </row>
    <row r="14790">
      <c r="A14790" s="1" t="s">
        <v>7</v>
      </c>
      <c r="B14790" s="2">
        <v>44782.0</v>
      </c>
      <c r="C14790" s="3">
        <v>0.7377314814814815</v>
      </c>
      <c r="D14790" s="1">
        <v>12.565906</v>
      </c>
      <c r="E14790" s="1">
        <v>79.914652</v>
      </c>
      <c r="F14790" s="1">
        <v>2846.0</v>
      </c>
      <c r="G14790" s="1">
        <v>56.0</v>
      </c>
    </row>
    <row r="14791">
      <c r="A14791" s="1" t="s">
        <v>10</v>
      </c>
      <c r="B14791" s="2">
        <v>44782.0</v>
      </c>
      <c r="C14791" s="3">
        <v>0.7380324074074074</v>
      </c>
      <c r="D14791" s="1">
        <v>13.057828</v>
      </c>
      <c r="E14791" s="1">
        <v>80.27402</v>
      </c>
      <c r="F14791" s="1">
        <v>5339.0</v>
      </c>
      <c r="G14791" s="1">
        <v>26.0</v>
      </c>
    </row>
    <row r="14792">
      <c r="A14792" s="1" t="s">
        <v>10</v>
      </c>
      <c r="B14792" s="2">
        <v>44782.0</v>
      </c>
      <c r="C14792" s="3">
        <v>0.7383101851851852</v>
      </c>
      <c r="D14792" s="1">
        <v>13.058959</v>
      </c>
      <c r="E14792" s="1">
        <v>80.27416</v>
      </c>
      <c r="F14792" s="1">
        <v>5339.0</v>
      </c>
      <c r="G14792" s="1">
        <v>16.0</v>
      </c>
    </row>
    <row r="14793">
      <c r="A14793" s="1" t="s">
        <v>8</v>
      </c>
      <c r="B14793" s="2">
        <v>44782.0</v>
      </c>
      <c r="C14793" s="3">
        <v>0.7385300925925926</v>
      </c>
      <c r="D14793" s="1">
        <v>12.984631</v>
      </c>
      <c r="E14793" s="1">
        <v>80.121787</v>
      </c>
      <c r="F14793" s="1">
        <v>3143.0</v>
      </c>
      <c r="G14793" s="1">
        <v>21.0</v>
      </c>
    </row>
    <row r="14794">
      <c r="A14794" s="1" t="s">
        <v>8</v>
      </c>
      <c r="B14794" s="2">
        <v>44782.0</v>
      </c>
      <c r="C14794" s="3">
        <v>0.7389699074074074</v>
      </c>
      <c r="D14794" s="1">
        <v>12.544247</v>
      </c>
      <c r="E14794" s="1">
        <v>79.905116</v>
      </c>
      <c r="F14794" s="1">
        <v>2846.0</v>
      </c>
      <c r="G14794" s="1">
        <v>56.0</v>
      </c>
    </row>
    <row r="14795">
      <c r="A14795" s="1" t="s">
        <v>8</v>
      </c>
      <c r="B14795" s="2">
        <v>44782.0</v>
      </c>
      <c r="C14795" s="3">
        <v>0.7397569444444444</v>
      </c>
      <c r="D14795" s="1">
        <v>13.044058</v>
      </c>
      <c r="E14795" s="1">
        <v>80.267068</v>
      </c>
      <c r="F14795" s="1">
        <v>805.0</v>
      </c>
      <c r="G14795" s="1">
        <v>29.0</v>
      </c>
    </row>
    <row r="14796">
      <c r="A14796" s="1" t="s">
        <v>8</v>
      </c>
      <c r="B14796" s="2">
        <v>44782.0</v>
      </c>
      <c r="C14796" s="3">
        <v>0.7397916666666666</v>
      </c>
      <c r="D14796" s="1">
        <v>13.044058</v>
      </c>
      <c r="E14796" s="1">
        <v>80.267068</v>
      </c>
      <c r="F14796" s="1">
        <v>805.0</v>
      </c>
      <c r="G14796" s="1">
        <v>29.0</v>
      </c>
    </row>
    <row r="14797">
      <c r="A14797" s="1" t="s">
        <v>8</v>
      </c>
      <c r="B14797" s="2">
        <v>44782.0</v>
      </c>
      <c r="C14797" s="3">
        <v>0.7397916666666666</v>
      </c>
      <c r="D14797" s="1">
        <v>13.044058</v>
      </c>
      <c r="E14797" s="1">
        <v>80.267068</v>
      </c>
      <c r="F14797" s="1">
        <v>805.0</v>
      </c>
      <c r="G14797" s="1">
        <v>29.0</v>
      </c>
    </row>
    <row r="14798">
      <c r="A14798" s="1" t="s">
        <v>10</v>
      </c>
      <c r="B14798" s="2">
        <v>44782.0</v>
      </c>
      <c r="C14798" s="3">
        <v>0.7398032407407408</v>
      </c>
      <c r="D14798" s="1">
        <v>13.062774</v>
      </c>
      <c r="E14798" s="1">
        <v>80.274165</v>
      </c>
      <c r="F14798" s="1">
        <v>5339.0</v>
      </c>
      <c r="G14798" s="1">
        <v>21.0</v>
      </c>
    </row>
    <row r="14799">
      <c r="A14799" s="1" t="s">
        <v>7</v>
      </c>
      <c r="B14799" s="2">
        <v>44782.0</v>
      </c>
      <c r="C14799" s="3">
        <v>0.7405671296296297</v>
      </c>
      <c r="D14799" s="1">
        <v>12.52465</v>
      </c>
      <c r="E14799" s="1">
        <v>79.896923</v>
      </c>
      <c r="F14799" s="1">
        <v>2846.0</v>
      </c>
      <c r="G14799" s="1">
        <v>51.0</v>
      </c>
    </row>
    <row r="14800">
      <c r="A14800" s="1" t="s">
        <v>7</v>
      </c>
      <c r="B14800" s="2">
        <v>44782.0</v>
      </c>
      <c r="C14800" s="3">
        <v>0.7409143518518518</v>
      </c>
      <c r="D14800" s="1">
        <v>12.523397</v>
      </c>
      <c r="E14800" s="1">
        <v>79.896373</v>
      </c>
      <c r="F14800" s="1">
        <v>2846.0</v>
      </c>
      <c r="G14800" s="1">
        <v>55.0</v>
      </c>
    </row>
    <row r="14801">
      <c r="A14801" s="1" t="s">
        <v>7</v>
      </c>
      <c r="B14801" s="2">
        <v>44782.0</v>
      </c>
      <c r="C14801" s="3">
        <v>0.7411226851851852</v>
      </c>
      <c r="D14801" s="1">
        <v>12.518897</v>
      </c>
      <c r="E14801" s="1">
        <v>79.892623</v>
      </c>
      <c r="F14801" s="1">
        <v>2846.0</v>
      </c>
      <c r="G14801" s="1">
        <v>56.0</v>
      </c>
    </row>
    <row r="14802">
      <c r="A14802" s="1" t="s">
        <v>7</v>
      </c>
      <c r="B14802" s="2">
        <v>44782.0</v>
      </c>
      <c r="C14802" s="3">
        <v>0.7416666666666667</v>
      </c>
      <c r="D14802" s="1">
        <v>12.515804</v>
      </c>
      <c r="E14802" s="1">
        <v>79.889592</v>
      </c>
      <c r="F14802" s="1">
        <v>2846.0</v>
      </c>
      <c r="G14802" s="1">
        <v>47.0</v>
      </c>
    </row>
    <row r="14803">
      <c r="A14803" s="1" t="s">
        <v>10</v>
      </c>
      <c r="B14803" s="2">
        <v>44782.0</v>
      </c>
      <c r="C14803" s="3">
        <v>0.7419675925925926</v>
      </c>
      <c r="D14803" s="1">
        <v>12.989665</v>
      </c>
      <c r="E14803" s="1">
        <v>80.116944</v>
      </c>
      <c r="F14803" s="1">
        <v>3143.0</v>
      </c>
      <c r="G14803" s="1">
        <v>6.0</v>
      </c>
    </row>
    <row r="14804">
      <c r="A14804" s="1" t="s">
        <v>8</v>
      </c>
      <c r="B14804" s="2">
        <v>44782.0</v>
      </c>
      <c r="C14804" s="3">
        <v>0.742025462962963</v>
      </c>
      <c r="D14804" s="1">
        <v>12.514812</v>
      </c>
      <c r="E14804" s="1">
        <v>79.888757</v>
      </c>
      <c r="F14804" s="1">
        <v>2846.0</v>
      </c>
      <c r="G14804" s="1">
        <v>52.0</v>
      </c>
    </row>
    <row r="14805">
      <c r="A14805" s="1" t="s">
        <v>8</v>
      </c>
      <c r="B14805" s="2">
        <v>44782.0</v>
      </c>
      <c r="C14805" s="3">
        <v>0.7423842592592592</v>
      </c>
      <c r="D14805" s="1">
        <v>13.067126</v>
      </c>
      <c r="E14805" s="1">
        <v>80.270356</v>
      </c>
      <c r="F14805" s="1">
        <v>5339.0</v>
      </c>
      <c r="G14805" s="1">
        <v>24.0</v>
      </c>
    </row>
    <row r="14806">
      <c r="A14806" s="1" t="s">
        <v>8</v>
      </c>
      <c r="B14806" s="2">
        <v>44782.0</v>
      </c>
      <c r="C14806" s="3">
        <v>0.7423958333333334</v>
      </c>
      <c r="D14806" s="1">
        <v>13.067126</v>
      </c>
      <c r="E14806" s="1">
        <v>80.270356</v>
      </c>
      <c r="F14806" s="1">
        <v>5339.0</v>
      </c>
      <c r="G14806" s="1">
        <v>24.0</v>
      </c>
    </row>
    <row r="14807">
      <c r="A14807" s="1" t="s">
        <v>8</v>
      </c>
      <c r="B14807" s="2">
        <v>44782.0</v>
      </c>
      <c r="C14807" s="3">
        <v>0.7432060185185185</v>
      </c>
      <c r="D14807" s="1">
        <v>12.992177</v>
      </c>
      <c r="E14807" s="1">
        <v>80.114811</v>
      </c>
      <c r="F14807" s="1">
        <v>3143.0</v>
      </c>
      <c r="G14807" s="1">
        <v>24.0</v>
      </c>
    </row>
    <row r="14808">
      <c r="A14808" s="1" t="s">
        <v>8</v>
      </c>
      <c r="B14808" s="2">
        <v>44782.0</v>
      </c>
      <c r="C14808" s="3">
        <v>0.7432407407407408</v>
      </c>
      <c r="D14808" s="1">
        <v>12.992177</v>
      </c>
      <c r="E14808" s="1">
        <v>80.114811</v>
      </c>
      <c r="F14808" s="1">
        <v>3143.0</v>
      </c>
      <c r="G14808" s="1">
        <v>24.0</v>
      </c>
    </row>
    <row r="14809">
      <c r="A14809" s="1" t="s">
        <v>8</v>
      </c>
      <c r="B14809" s="2">
        <v>44782.0</v>
      </c>
      <c r="C14809" s="3">
        <v>0.7432638888888888</v>
      </c>
      <c r="D14809" s="1">
        <v>12.992177</v>
      </c>
      <c r="E14809" s="1">
        <v>80.114811</v>
      </c>
      <c r="F14809" s="1">
        <v>3143.0</v>
      </c>
      <c r="G14809" s="1">
        <v>24.0</v>
      </c>
    </row>
    <row r="14810">
      <c r="A14810" s="1" t="s">
        <v>8</v>
      </c>
      <c r="B14810" s="2">
        <v>44782.0</v>
      </c>
      <c r="C14810" s="3">
        <v>0.743275462962963</v>
      </c>
      <c r="D14810" s="1">
        <v>12.993057</v>
      </c>
      <c r="E14810" s="1">
        <v>80.113837</v>
      </c>
      <c r="F14810" s="1">
        <v>3143.0</v>
      </c>
      <c r="G14810" s="1">
        <v>32.0</v>
      </c>
    </row>
    <row r="14811">
      <c r="A14811" s="1" t="s">
        <v>8</v>
      </c>
      <c r="B14811" s="2">
        <v>44782.0</v>
      </c>
      <c r="C14811" s="3">
        <v>0.7432986111111111</v>
      </c>
      <c r="D14811" s="1">
        <v>12.993057</v>
      </c>
      <c r="E14811" s="1">
        <v>80.113837</v>
      </c>
      <c r="F14811" s="1">
        <v>3143.0</v>
      </c>
      <c r="G14811" s="1">
        <v>32.0</v>
      </c>
    </row>
    <row r="14812">
      <c r="A14812" s="1" t="s">
        <v>8</v>
      </c>
      <c r="B14812" s="2">
        <v>44782.0</v>
      </c>
      <c r="C14812" s="3">
        <v>0.7432986111111111</v>
      </c>
      <c r="D14812" s="1">
        <v>12.993057</v>
      </c>
      <c r="E14812" s="1">
        <v>80.113837</v>
      </c>
      <c r="F14812" s="1">
        <v>3143.0</v>
      </c>
      <c r="G14812" s="1">
        <v>32.0</v>
      </c>
    </row>
    <row r="14813">
      <c r="A14813" s="1" t="s">
        <v>8</v>
      </c>
      <c r="B14813" s="2">
        <v>44782.0</v>
      </c>
      <c r="C14813" s="3">
        <v>0.7432986111111111</v>
      </c>
      <c r="D14813" s="1">
        <v>12.993057</v>
      </c>
      <c r="E14813" s="1">
        <v>80.113837</v>
      </c>
      <c r="F14813" s="1">
        <v>3143.0</v>
      </c>
      <c r="G14813" s="1">
        <v>32.0</v>
      </c>
    </row>
    <row r="14814">
      <c r="A14814" s="1" t="s">
        <v>8</v>
      </c>
      <c r="B14814" s="2">
        <v>44782.0</v>
      </c>
      <c r="C14814" s="3">
        <v>0.7439814814814815</v>
      </c>
      <c r="D14814" s="1">
        <v>12.995076</v>
      </c>
      <c r="E14814" s="1">
        <v>80.111512</v>
      </c>
      <c r="F14814" s="1">
        <v>3143.0</v>
      </c>
      <c r="G14814" s="1">
        <v>26.0</v>
      </c>
    </row>
    <row r="14815">
      <c r="A14815" s="1" t="s">
        <v>8</v>
      </c>
      <c r="B14815" s="2">
        <v>44782.0</v>
      </c>
      <c r="C14815" s="3">
        <v>0.7440972222222222</v>
      </c>
      <c r="D14815" s="1">
        <v>12.508075</v>
      </c>
      <c r="E14815" s="1">
        <v>79.881918</v>
      </c>
      <c r="F14815" s="1">
        <v>2846.0</v>
      </c>
      <c r="G14815" s="1">
        <v>39.0</v>
      </c>
    </row>
    <row r="14816">
      <c r="A14816" s="1" t="s">
        <v>8</v>
      </c>
      <c r="B14816" s="2">
        <v>44782.0</v>
      </c>
      <c r="C14816" s="3">
        <v>0.7443518518518518</v>
      </c>
      <c r="D14816" s="1">
        <v>12.996004</v>
      </c>
      <c r="E14816" s="1">
        <v>80.109704</v>
      </c>
      <c r="F14816" s="1">
        <v>3143.0</v>
      </c>
      <c r="G14816" s="1">
        <v>13.0</v>
      </c>
    </row>
    <row r="14817">
      <c r="A14817" s="1" t="s">
        <v>10</v>
      </c>
      <c r="B14817" s="2">
        <v>44782.0</v>
      </c>
      <c r="C14817" s="3">
        <v>0.744837962962963</v>
      </c>
      <c r="D14817" s="1">
        <v>13.068713</v>
      </c>
      <c r="E14817" s="1">
        <v>80.267826</v>
      </c>
      <c r="F14817" s="1">
        <v>5339.0</v>
      </c>
      <c r="G14817" s="1">
        <v>21.0</v>
      </c>
    </row>
    <row r="14818">
      <c r="A14818" s="1" t="s">
        <v>10</v>
      </c>
      <c r="B14818" s="2">
        <v>44782.0</v>
      </c>
      <c r="C14818" s="3">
        <v>0.745011574074074</v>
      </c>
      <c r="D14818" s="1">
        <v>13.068862</v>
      </c>
      <c r="E14818" s="1">
        <v>80.267392</v>
      </c>
      <c r="F14818" s="1">
        <v>5339.0</v>
      </c>
      <c r="G14818" s="1">
        <v>21.0</v>
      </c>
    </row>
    <row r="14819">
      <c r="A14819" s="1" t="s">
        <v>7</v>
      </c>
      <c r="B14819" s="2">
        <v>44782.0</v>
      </c>
      <c r="C14819" s="3">
        <v>0.7452430555555556</v>
      </c>
      <c r="D14819" s="1">
        <v>12.503902</v>
      </c>
      <c r="E14819" s="1">
        <v>79.878513</v>
      </c>
      <c r="F14819" s="1">
        <v>2846.0</v>
      </c>
      <c r="G14819" s="1">
        <v>52.0</v>
      </c>
    </row>
    <row r="14820">
      <c r="A14820" s="1" t="s">
        <v>10</v>
      </c>
      <c r="B14820" s="2">
        <v>44782.0</v>
      </c>
      <c r="C14820" s="3">
        <v>0.7454976851851852</v>
      </c>
      <c r="D14820" s="1">
        <v>13.0702</v>
      </c>
      <c r="E14820" s="1">
        <v>80.265934</v>
      </c>
      <c r="F14820" s="1">
        <v>5339.0</v>
      </c>
      <c r="G14820" s="1">
        <v>12.0</v>
      </c>
    </row>
    <row r="14821">
      <c r="A14821" s="1" t="s">
        <v>8</v>
      </c>
      <c r="B14821" s="2">
        <v>44782.0</v>
      </c>
      <c r="C14821" s="3">
        <v>0.7457870370370371</v>
      </c>
      <c r="D14821" s="1">
        <v>12.998188</v>
      </c>
      <c r="E14821" s="1">
        <v>80.101227</v>
      </c>
      <c r="F14821" s="1">
        <v>3143.0</v>
      </c>
      <c r="G14821" s="1">
        <v>24.0</v>
      </c>
    </row>
    <row r="14822">
      <c r="A14822" s="1" t="s">
        <v>8</v>
      </c>
      <c r="B14822" s="2">
        <v>44782.0</v>
      </c>
      <c r="C14822" s="3">
        <v>0.7458333333333333</v>
      </c>
      <c r="D14822" s="1">
        <v>12.998188</v>
      </c>
      <c r="E14822" s="1">
        <v>80.101227</v>
      </c>
      <c r="F14822" s="1">
        <v>3143.0</v>
      </c>
      <c r="G14822" s="1">
        <v>24.0</v>
      </c>
    </row>
    <row r="14823">
      <c r="A14823" s="1" t="s">
        <v>10</v>
      </c>
      <c r="B14823" s="2">
        <v>44782.0</v>
      </c>
      <c r="C14823" s="3">
        <v>0.7458796296296296</v>
      </c>
      <c r="D14823" s="1">
        <v>12.998188</v>
      </c>
      <c r="E14823" s="1">
        <v>80.101227</v>
      </c>
      <c r="F14823" s="1">
        <v>3143.0</v>
      </c>
      <c r="G14823" s="1">
        <v>24.0</v>
      </c>
    </row>
    <row r="14824">
      <c r="A14824" s="1" t="s">
        <v>10</v>
      </c>
      <c r="B14824" s="2">
        <v>44782.0</v>
      </c>
      <c r="C14824" s="3">
        <v>0.746087962962963</v>
      </c>
      <c r="D14824" s="1">
        <v>13.06193</v>
      </c>
      <c r="E14824" s="1">
        <v>80.266117</v>
      </c>
      <c r="F14824" s="1">
        <v>805.0</v>
      </c>
      <c r="G14824" s="1">
        <v>17.0</v>
      </c>
    </row>
    <row r="14825">
      <c r="A14825" s="1" t="s">
        <v>10</v>
      </c>
      <c r="B14825" s="2">
        <v>44782.0</v>
      </c>
      <c r="C14825" s="3">
        <v>0.746712962962963</v>
      </c>
      <c r="D14825" s="1">
        <v>13.072813</v>
      </c>
      <c r="E14825" s="1">
        <v>80.262065</v>
      </c>
      <c r="F14825" s="1">
        <v>5339.0</v>
      </c>
      <c r="G14825" s="1">
        <v>10.0</v>
      </c>
    </row>
    <row r="14826">
      <c r="A14826" s="1" t="s">
        <v>10</v>
      </c>
      <c r="B14826" s="2">
        <v>44782.0</v>
      </c>
      <c r="C14826" s="3">
        <v>0.7469791666666666</v>
      </c>
      <c r="D14826" s="1">
        <v>12.998194</v>
      </c>
      <c r="E14826" s="1">
        <v>80.096843</v>
      </c>
      <c r="F14826" s="1">
        <v>3143.0</v>
      </c>
      <c r="G14826" s="1">
        <v>7.0</v>
      </c>
    </row>
    <row r="14827">
      <c r="A14827" s="1" t="s">
        <v>8</v>
      </c>
      <c r="B14827" s="2">
        <v>44782.0</v>
      </c>
      <c r="C14827" s="3">
        <v>0.7471180555555555</v>
      </c>
      <c r="D14827" s="1">
        <v>13.072666</v>
      </c>
      <c r="E14827" s="1">
        <v>80.26047</v>
      </c>
      <c r="F14827" s="1">
        <v>5339.0</v>
      </c>
      <c r="G14827" s="1">
        <v>26.0</v>
      </c>
    </row>
    <row r="14828">
      <c r="A14828" s="1" t="s">
        <v>8</v>
      </c>
      <c r="B14828" s="2">
        <v>44782.0</v>
      </c>
      <c r="C14828" s="3">
        <v>0.7478356481481482</v>
      </c>
      <c r="D14828" s="1">
        <v>12.999296</v>
      </c>
      <c r="E14828" s="1">
        <v>80.096978</v>
      </c>
      <c r="F14828" s="1">
        <v>3143.0</v>
      </c>
      <c r="G14828" s="1">
        <v>20.0</v>
      </c>
    </row>
    <row r="14829">
      <c r="A14829" s="1" t="s">
        <v>8</v>
      </c>
      <c r="B14829" s="2">
        <v>44782.0</v>
      </c>
      <c r="C14829" s="3">
        <v>0.7497800925925926</v>
      </c>
      <c r="D14829" s="1">
        <v>13.005531</v>
      </c>
      <c r="E14829" s="1">
        <v>80.100312</v>
      </c>
      <c r="F14829" s="1">
        <v>3143.0</v>
      </c>
      <c r="G14829" s="1">
        <v>20.0</v>
      </c>
    </row>
    <row r="14830">
      <c r="A14830" s="1" t="s">
        <v>8</v>
      </c>
      <c r="B14830" s="2">
        <v>44782.0</v>
      </c>
      <c r="C14830" s="3">
        <v>0.7497800925925926</v>
      </c>
      <c r="D14830" s="1">
        <v>13.005531</v>
      </c>
      <c r="E14830" s="1">
        <v>80.100312</v>
      </c>
      <c r="F14830" s="1">
        <v>3143.0</v>
      </c>
      <c r="G14830" s="1">
        <v>20.0</v>
      </c>
    </row>
    <row r="14831">
      <c r="A14831" s="1" t="s">
        <v>8</v>
      </c>
      <c r="B14831" s="2">
        <v>44782.0</v>
      </c>
      <c r="C14831" s="3">
        <v>0.7499074074074074</v>
      </c>
      <c r="D14831" s="1">
        <v>13.006615</v>
      </c>
      <c r="E14831" s="1">
        <v>80.100375</v>
      </c>
      <c r="F14831" s="1">
        <v>3143.0</v>
      </c>
      <c r="G14831" s="1">
        <v>6.0</v>
      </c>
    </row>
    <row r="14832">
      <c r="A14832" s="1" t="s">
        <v>8</v>
      </c>
      <c r="B14832" s="2">
        <v>44782.0</v>
      </c>
      <c r="C14832" s="3">
        <v>0.7499421296296296</v>
      </c>
      <c r="D14832" s="1">
        <v>13.006615</v>
      </c>
      <c r="E14832" s="1">
        <v>80.100375</v>
      </c>
      <c r="F14832" s="1">
        <v>3143.0</v>
      </c>
      <c r="G14832" s="1">
        <v>6.0</v>
      </c>
    </row>
    <row r="14833">
      <c r="A14833" s="1" t="s">
        <v>8</v>
      </c>
      <c r="B14833" s="2">
        <v>44782.0</v>
      </c>
      <c r="C14833" s="3">
        <v>0.7500810185185185</v>
      </c>
      <c r="D14833" s="1">
        <v>13.007054</v>
      </c>
      <c r="E14833" s="1">
        <v>80.100538</v>
      </c>
      <c r="F14833" s="1">
        <v>3143.0</v>
      </c>
      <c r="G14833" s="1">
        <v>28.0</v>
      </c>
    </row>
    <row r="14834">
      <c r="A14834" s="1" t="s">
        <v>10</v>
      </c>
      <c r="B14834" s="2">
        <v>44782.0</v>
      </c>
      <c r="C14834" s="3">
        <v>0.7517939814814815</v>
      </c>
      <c r="D14834" s="1">
        <v>13.01629</v>
      </c>
      <c r="E14834" s="1">
        <v>80.102777</v>
      </c>
      <c r="F14834" s="1">
        <v>3143.0</v>
      </c>
      <c r="G14834" s="1">
        <v>12.0</v>
      </c>
    </row>
    <row r="14835">
      <c r="A14835" s="1" t="s">
        <v>8</v>
      </c>
      <c r="B14835" s="2">
        <v>44782.0</v>
      </c>
      <c r="C14835" s="3">
        <v>0.7524074074074074</v>
      </c>
      <c r="D14835" s="1">
        <v>13.018714</v>
      </c>
      <c r="E14835" s="1">
        <v>80.103331</v>
      </c>
      <c r="F14835" s="1">
        <v>3143.0</v>
      </c>
      <c r="G14835" s="1">
        <v>16.0</v>
      </c>
    </row>
    <row r="14836">
      <c r="A14836" s="1" t="s">
        <v>8</v>
      </c>
      <c r="B14836" s="2">
        <v>44782.0</v>
      </c>
      <c r="C14836" s="3">
        <v>0.7525115740740741</v>
      </c>
      <c r="D14836" s="1">
        <v>13.018952</v>
      </c>
      <c r="E14836" s="1">
        <v>80.103553</v>
      </c>
      <c r="F14836" s="1">
        <v>3143.0</v>
      </c>
      <c r="G14836" s="1">
        <v>13.0</v>
      </c>
    </row>
    <row r="14837">
      <c r="A14837" s="1" t="s">
        <v>8</v>
      </c>
      <c r="B14837" s="2">
        <v>44782.0</v>
      </c>
      <c r="C14837" s="3">
        <v>0.7525231481481481</v>
      </c>
      <c r="D14837" s="1">
        <v>13.018952</v>
      </c>
      <c r="E14837" s="1">
        <v>80.103553</v>
      </c>
      <c r="F14837" s="1">
        <v>3143.0</v>
      </c>
      <c r="G14837" s="1">
        <v>13.0</v>
      </c>
    </row>
    <row r="14838">
      <c r="A14838" s="1" t="s">
        <v>8</v>
      </c>
      <c r="B14838" s="2">
        <v>44782.0</v>
      </c>
      <c r="C14838" s="3">
        <v>0.752650462962963</v>
      </c>
      <c r="D14838" s="1">
        <v>13.018952</v>
      </c>
      <c r="E14838" s="1">
        <v>80.103553</v>
      </c>
      <c r="F14838" s="1">
        <v>3143.0</v>
      </c>
      <c r="G14838" s="1">
        <v>13.0</v>
      </c>
    </row>
    <row r="14839">
      <c r="A14839" s="1" t="s">
        <v>8</v>
      </c>
      <c r="B14839" s="2">
        <v>44782.0</v>
      </c>
      <c r="C14839" s="3">
        <v>0.755613425925926</v>
      </c>
      <c r="D14839" s="1">
        <v>13.031006</v>
      </c>
      <c r="E14839" s="1">
        <v>80.111183</v>
      </c>
      <c r="F14839" s="1">
        <v>3143.0</v>
      </c>
      <c r="G14839" s="1">
        <v>10.0</v>
      </c>
    </row>
    <row r="14840">
      <c r="A14840" s="1" t="s">
        <v>8</v>
      </c>
      <c r="B14840" s="2">
        <v>44782.0</v>
      </c>
      <c r="C14840" s="3">
        <v>0.755613425925926</v>
      </c>
      <c r="D14840" s="1">
        <v>13.031006</v>
      </c>
      <c r="E14840" s="1">
        <v>80.111183</v>
      </c>
      <c r="F14840" s="1">
        <v>3143.0</v>
      </c>
      <c r="G14840" s="1">
        <v>10.0</v>
      </c>
    </row>
    <row r="14841">
      <c r="A14841" s="1" t="s">
        <v>8</v>
      </c>
      <c r="B14841" s="2">
        <v>44782.0</v>
      </c>
      <c r="C14841" s="3">
        <v>0.7556481481481482</v>
      </c>
      <c r="D14841" s="1">
        <v>13.031006</v>
      </c>
      <c r="E14841" s="1">
        <v>80.111183</v>
      </c>
      <c r="F14841" s="1">
        <v>3143.0</v>
      </c>
      <c r="G14841" s="1">
        <v>10.0</v>
      </c>
    </row>
    <row r="14842">
      <c r="A14842" s="1" t="s">
        <v>8</v>
      </c>
      <c r="B14842" s="2">
        <v>44782.0</v>
      </c>
      <c r="C14842" s="3">
        <v>0.7556828703703704</v>
      </c>
      <c r="D14842" s="1">
        <v>13.031438</v>
      </c>
      <c r="E14842" s="1">
        <v>80.111128</v>
      </c>
      <c r="F14842" s="1">
        <v>3143.0</v>
      </c>
      <c r="G14842" s="1">
        <v>0.0</v>
      </c>
    </row>
    <row r="14843">
      <c r="A14843" s="1" t="s">
        <v>8</v>
      </c>
      <c r="B14843" s="2">
        <v>44782.0</v>
      </c>
      <c r="C14843" s="3">
        <v>0.7556944444444444</v>
      </c>
      <c r="D14843" s="1">
        <v>13.031438</v>
      </c>
      <c r="E14843" s="1">
        <v>80.111128</v>
      </c>
      <c r="F14843" s="1">
        <v>3143.0</v>
      </c>
      <c r="G14843" s="1">
        <v>0.0</v>
      </c>
    </row>
    <row r="14844">
      <c r="A14844" s="1" t="s">
        <v>8</v>
      </c>
      <c r="B14844" s="2">
        <v>44782.0</v>
      </c>
      <c r="C14844" s="3">
        <v>0.7564004629629629</v>
      </c>
      <c r="D14844" s="1">
        <v>13.034686</v>
      </c>
      <c r="E14844" s="1">
        <v>80.111869</v>
      </c>
      <c r="F14844" s="1">
        <v>3143.0</v>
      </c>
      <c r="G14844" s="1">
        <v>27.0</v>
      </c>
    </row>
    <row r="14845">
      <c r="A14845" s="1" t="s">
        <v>10</v>
      </c>
      <c r="B14845" s="2">
        <v>44782.0</v>
      </c>
      <c r="C14845" s="3">
        <v>0.7575694444444444</v>
      </c>
      <c r="D14845" s="1">
        <v>13.03916</v>
      </c>
      <c r="E14845" s="1">
        <v>80.113508</v>
      </c>
      <c r="F14845" s="1">
        <v>3143.0</v>
      </c>
      <c r="G14845" s="1">
        <v>0.0</v>
      </c>
    </row>
    <row r="14846">
      <c r="A14846" s="1" t="s">
        <v>8</v>
      </c>
      <c r="B14846" s="2">
        <v>44782.0</v>
      </c>
      <c r="C14846" s="3">
        <v>0.7578125</v>
      </c>
      <c r="D14846" s="1">
        <v>13.039322</v>
      </c>
      <c r="E14846" s="1">
        <v>80.113595</v>
      </c>
      <c r="F14846" s="1">
        <v>3143.0</v>
      </c>
      <c r="G14846" s="1">
        <v>16.0</v>
      </c>
    </row>
    <row r="14847">
      <c r="A14847" s="1" t="s">
        <v>10</v>
      </c>
      <c r="B14847" s="2">
        <v>44782.0</v>
      </c>
      <c r="C14847" s="3">
        <v>0.7580555555555556</v>
      </c>
      <c r="D14847" s="1">
        <v>13.041524</v>
      </c>
      <c r="E14847" s="1">
        <v>80.114796</v>
      </c>
      <c r="F14847" s="1">
        <v>3143.0</v>
      </c>
      <c r="G14847" s="1">
        <v>27.0</v>
      </c>
    </row>
    <row r="14848">
      <c r="A14848" s="1" t="s">
        <v>8</v>
      </c>
      <c r="B14848" s="2">
        <v>44782.0</v>
      </c>
      <c r="C14848" s="3">
        <v>0.7582523148148148</v>
      </c>
      <c r="D14848" s="1">
        <v>13.042436</v>
      </c>
      <c r="E14848" s="1">
        <v>80.115136</v>
      </c>
      <c r="F14848" s="1">
        <v>3143.0</v>
      </c>
      <c r="G14848" s="1">
        <v>27.0</v>
      </c>
    </row>
    <row r="14849">
      <c r="A14849" s="1" t="s">
        <v>10</v>
      </c>
      <c r="B14849" s="2">
        <v>44782.0</v>
      </c>
      <c r="C14849" s="3">
        <v>0.7585532407407407</v>
      </c>
      <c r="D14849" s="1">
        <v>13.043289</v>
      </c>
      <c r="E14849" s="1">
        <v>80.115159</v>
      </c>
      <c r="F14849" s="1">
        <v>3143.0</v>
      </c>
      <c r="G14849" s="1">
        <v>15.0</v>
      </c>
    </row>
    <row r="14850">
      <c r="A14850" s="1" t="s">
        <v>8</v>
      </c>
      <c r="B14850" s="2">
        <v>44782.0</v>
      </c>
      <c r="C14850" s="3">
        <v>0.7594675925925926</v>
      </c>
      <c r="D14850" s="1">
        <v>13.045085</v>
      </c>
      <c r="E14850" s="1">
        <v>80.116323</v>
      </c>
      <c r="F14850" s="1">
        <v>3143.0</v>
      </c>
      <c r="G14850" s="1">
        <v>14.0</v>
      </c>
    </row>
    <row r="14851">
      <c r="A14851" s="1" t="s">
        <v>10</v>
      </c>
      <c r="B14851" s="2">
        <v>44782.0</v>
      </c>
      <c r="C14851" s="3">
        <v>0.7595717592592592</v>
      </c>
      <c r="D14851" s="1">
        <v>13.045439</v>
      </c>
      <c r="E14851" s="1">
        <v>80.117159</v>
      </c>
      <c r="F14851" s="1">
        <v>3143.0</v>
      </c>
      <c r="G14851" s="1">
        <v>14.0</v>
      </c>
    </row>
    <row r="14852">
      <c r="A14852" s="1" t="s">
        <v>8</v>
      </c>
      <c r="B14852" s="2">
        <v>44782.0</v>
      </c>
      <c r="C14852" s="3">
        <v>0.759988425925926</v>
      </c>
      <c r="D14852" s="1">
        <v>13.046806</v>
      </c>
      <c r="E14852" s="1">
        <v>80.119474</v>
      </c>
      <c r="F14852" s="1">
        <v>3143.0</v>
      </c>
      <c r="G14852" s="1">
        <v>52.0</v>
      </c>
    </row>
    <row r="14853">
      <c r="A14853" s="1" t="s">
        <v>8</v>
      </c>
      <c r="B14853" s="2">
        <v>44782.0</v>
      </c>
      <c r="C14853" s="3">
        <v>0.7604282407407408</v>
      </c>
      <c r="D14853" s="1">
        <v>13.049182</v>
      </c>
      <c r="E14853" s="1">
        <v>80.121035</v>
      </c>
      <c r="F14853" s="1">
        <v>3143.0</v>
      </c>
      <c r="G14853" s="1">
        <v>36.0</v>
      </c>
    </row>
    <row r="14854">
      <c r="A14854" s="1" t="s">
        <v>7</v>
      </c>
      <c r="B14854" s="2">
        <v>44782.0</v>
      </c>
      <c r="C14854" s="3">
        <v>0.7611921296296297</v>
      </c>
      <c r="D14854" s="1">
        <v>13.054174</v>
      </c>
      <c r="E14854" s="1">
        <v>80.123824</v>
      </c>
      <c r="F14854" s="1">
        <v>3143.0</v>
      </c>
      <c r="G14854" s="1">
        <v>0.0</v>
      </c>
    </row>
    <row r="14855">
      <c r="A14855" s="1" t="s">
        <v>7</v>
      </c>
      <c r="B14855" s="2">
        <v>44782.0</v>
      </c>
      <c r="C14855" s="3">
        <v>0.7647569444444444</v>
      </c>
      <c r="D14855" s="1">
        <v>13.056592</v>
      </c>
      <c r="E14855" s="1">
        <v>80.111528</v>
      </c>
      <c r="F14855" s="1">
        <v>3143.0</v>
      </c>
      <c r="G14855" s="1">
        <v>39.0</v>
      </c>
    </row>
    <row r="14856">
      <c r="A14856" s="1" t="s">
        <v>8</v>
      </c>
      <c r="B14856" s="2">
        <v>44782.0</v>
      </c>
      <c r="C14856" s="3">
        <v>0.7661111111111111</v>
      </c>
      <c r="D14856" s="1">
        <v>13.056432</v>
      </c>
      <c r="E14856" s="1">
        <v>80.097452</v>
      </c>
      <c r="F14856" s="1">
        <v>3143.0</v>
      </c>
      <c r="G14856" s="1">
        <v>12.0</v>
      </c>
    </row>
    <row r="14857">
      <c r="A14857" s="1" t="s">
        <v>7</v>
      </c>
      <c r="B14857" s="2">
        <v>44782.0</v>
      </c>
      <c r="C14857" s="3">
        <v>0.7745601851851852</v>
      </c>
      <c r="D14857" s="1">
        <v>13.022594</v>
      </c>
      <c r="E14857" s="1">
        <v>80.093196</v>
      </c>
      <c r="F14857" s="1">
        <v>3143.0</v>
      </c>
      <c r="G14857" s="1">
        <v>57.0</v>
      </c>
    </row>
    <row r="14858">
      <c r="A14858" s="1" t="s">
        <v>7</v>
      </c>
      <c r="B14858" s="2">
        <v>44782.0</v>
      </c>
      <c r="C14858" s="3">
        <v>0.7747337962962964</v>
      </c>
      <c r="D14858" s="1">
        <v>13.020391</v>
      </c>
      <c r="E14858" s="1">
        <v>80.09404</v>
      </c>
      <c r="F14858" s="1">
        <v>3143.0</v>
      </c>
      <c r="G14858" s="1">
        <v>58.0</v>
      </c>
    </row>
    <row r="14859">
      <c r="A14859" s="1" t="s">
        <v>7</v>
      </c>
      <c r="B14859" s="2">
        <v>44782.0</v>
      </c>
      <c r="C14859" s="3">
        <v>0.7747916666666667</v>
      </c>
      <c r="D14859" s="1">
        <v>13.018195</v>
      </c>
      <c r="E14859" s="1">
        <v>80.094832</v>
      </c>
      <c r="F14859" s="1">
        <v>3143.0</v>
      </c>
      <c r="G14859" s="1">
        <v>58.0</v>
      </c>
    </row>
    <row r="14860">
      <c r="A14860" s="1" t="s">
        <v>7</v>
      </c>
      <c r="B14860" s="2">
        <v>44782.0</v>
      </c>
      <c r="C14860" s="3">
        <v>0.7757291666666667</v>
      </c>
      <c r="D14860" s="1">
        <v>13.006886</v>
      </c>
      <c r="E14860" s="1">
        <v>80.09129</v>
      </c>
      <c r="F14860" s="1">
        <v>3143.0</v>
      </c>
      <c r="G14860" s="1">
        <v>57.0</v>
      </c>
    </row>
    <row r="14861">
      <c r="A14861" s="1" t="s">
        <v>7</v>
      </c>
      <c r="B14861" s="2">
        <v>44782.0</v>
      </c>
      <c r="C14861" s="3">
        <v>0.776400462962963</v>
      </c>
      <c r="D14861" s="1">
        <v>13.000373</v>
      </c>
      <c r="E14861" s="1">
        <v>80.088745</v>
      </c>
      <c r="F14861" s="1">
        <v>3143.0</v>
      </c>
      <c r="G14861" s="1">
        <v>56.0</v>
      </c>
    </row>
    <row r="14862">
      <c r="A14862" s="1" t="s">
        <v>7</v>
      </c>
      <c r="B14862" s="2">
        <v>44782.0</v>
      </c>
      <c r="C14862" s="3">
        <v>0.7765509259259259</v>
      </c>
      <c r="D14862" s="1">
        <v>12.998117</v>
      </c>
      <c r="E14862" s="1">
        <v>80.087893</v>
      </c>
      <c r="F14862" s="1">
        <v>3143.0</v>
      </c>
      <c r="G14862" s="1">
        <v>56.0</v>
      </c>
    </row>
    <row r="14863">
      <c r="A14863" s="1" t="s">
        <v>7</v>
      </c>
      <c r="B14863" s="2">
        <v>44782.0</v>
      </c>
      <c r="C14863" s="3">
        <v>0.776724537037037</v>
      </c>
      <c r="D14863" s="1">
        <v>12.995883</v>
      </c>
      <c r="E14863" s="1">
        <v>80.087624</v>
      </c>
      <c r="F14863" s="1">
        <v>3143.0</v>
      </c>
      <c r="G14863" s="1">
        <v>56.0</v>
      </c>
    </row>
    <row r="14864">
      <c r="A14864" s="1" t="s">
        <v>7</v>
      </c>
      <c r="B14864" s="2">
        <v>44782.0</v>
      </c>
      <c r="C14864" s="3">
        <v>0.7777777777777778</v>
      </c>
      <c r="D14864" s="1">
        <v>12.981736</v>
      </c>
      <c r="E14864" s="1">
        <v>80.089843</v>
      </c>
      <c r="F14864" s="1">
        <v>3143.0</v>
      </c>
      <c r="G14864" s="1">
        <v>59.0</v>
      </c>
    </row>
    <row r="14865">
      <c r="A14865" s="1" t="s">
        <v>7</v>
      </c>
      <c r="B14865" s="2">
        <v>44782.0</v>
      </c>
      <c r="C14865" s="3">
        <v>0.7785532407407407</v>
      </c>
      <c r="D14865" s="1">
        <v>12.97222</v>
      </c>
      <c r="E14865" s="1">
        <v>80.090086</v>
      </c>
      <c r="F14865" s="1">
        <v>3143.0</v>
      </c>
      <c r="G14865" s="1">
        <v>58.0</v>
      </c>
    </row>
    <row r="14866">
      <c r="A14866" s="1" t="s">
        <v>7</v>
      </c>
      <c r="B14866" s="2">
        <v>44782.0</v>
      </c>
      <c r="C14866" s="3">
        <v>0.7813657407407407</v>
      </c>
      <c r="D14866" s="1">
        <v>12.937718</v>
      </c>
      <c r="E14866" s="1">
        <v>80.083046</v>
      </c>
      <c r="F14866" s="1">
        <v>3143.0</v>
      </c>
      <c r="G14866" s="1">
        <v>59.0</v>
      </c>
    </row>
    <row r="14867">
      <c r="A14867" s="1" t="s">
        <v>7</v>
      </c>
      <c r="B14867" s="2">
        <v>44782.0</v>
      </c>
      <c r="C14867" s="3">
        <v>0.7825115740740741</v>
      </c>
      <c r="D14867" s="1">
        <v>12.929391</v>
      </c>
      <c r="E14867" s="1">
        <v>80.07993</v>
      </c>
      <c r="F14867" s="1">
        <v>3143.0</v>
      </c>
      <c r="G14867" s="1">
        <v>33.0</v>
      </c>
    </row>
    <row r="14868">
      <c r="A14868" s="1" t="s">
        <v>7</v>
      </c>
      <c r="B14868" s="2">
        <v>44782.0</v>
      </c>
      <c r="C14868" s="3">
        <v>0.7827314814814815</v>
      </c>
      <c r="D14868" s="1">
        <v>12.927623</v>
      </c>
      <c r="E14868" s="1">
        <v>80.079303</v>
      </c>
      <c r="F14868" s="1">
        <v>3143.0</v>
      </c>
      <c r="G14868" s="1">
        <v>54.0</v>
      </c>
    </row>
    <row r="14869">
      <c r="A14869" s="1" t="s">
        <v>7</v>
      </c>
      <c r="B14869" s="2">
        <v>44782.0</v>
      </c>
      <c r="C14869" s="3">
        <v>0.7828819444444445</v>
      </c>
      <c r="D14869" s="1">
        <v>12.925438</v>
      </c>
      <c r="E14869" s="1">
        <v>80.078533</v>
      </c>
      <c r="F14869" s="1">
        <v>3143.0</v>
      </c>
      <c r="G14869" s="1">
        <v>57.0</v>
      </c>
    </row>
    <row r="14870">
      <c r="A14870" s="1" t="s">
        <v>7</v>
      </c>
      <c r="B14870" s="2">
        <v>44782.0</v>
      </c>
      <c r="C14870" s="3">
        <v>0.7833449074074074</v>
      </c>
      <c r="D14870" s="1">
        <v>12.920984</v>
      </c>
      <c r="E14870" s="1">
        <v>80.077067</v>
      </c>
      <c r="F14870" s="1">
        <v>3143.0</v>
      </c>
      <c r="G14870" s="1">
        <v>58.0</v>
      </c>
    </row>
    <row r="14871">
      <c r="A14871" s="1" t="s">
        <v>7</v>
      </c>
      <c r="B14871" s="2">
        <v>44782.0</v>
      </c>
      <c r="C14871" s="3">
        <v>0.7840162037037037</v>
      </c>
      <c r="D14871" s="1">
        <v>12.911891</v>
      </c>
      <c r="E14871" s="1">
        <v>80.074213</v>
      </c>
      <c r="F14871" s="1">
        <v>3143.0</v>
      </c>
      <c r="G14871" s="1">
        <v>58.0</v>
      </c>
    </row>
    <row r="14872">
      <c r="A14872" s="1" t="s">
        <v>7</v>
      </c>
      <c r="B14872" s="2">
        <v>44782.0</v>
      </c>
      <c r="C14872" s="3">
        <v>0.7841087962962963</v>
      </c>
      <c r="D14872" s="1">
        <v>12.911891</v>
      </c>
      <c r="E14872" s="1">
        <v>80.074213</v>
      </c>
      <c r="F14872" s="1">
        <v>3143.0</v>
      </c>
      <c r="G14872" s="1">
        <v>58.0</v>
      </c>
    </row>
    <row r="14873">
      <c r="A14873" s="1" t="s">
        <v>7</v>
      </c>
      <c r="B14873" s="2">
        <v>44782.0</v>
      </c>
      <c r="C14873" s="3">
        <v>0.7857291666666667</v>
      </c>
      <c r="D14873" s="1">
        <v>12.891436</v>
      </c>
      <c r="E14873" s="1">
        <v>80.071073</v>
      </c>
      <c r="F14873" s="1">
        <v>3143.0</v>
      </c>
      <c r="G14873" s="1">
        <v>52.0</v>
      </c>
    </row>
    <row r="14874">
      <c r="A14874" s="1" t="s">
        <v>7</v>
      </c>
      <c r="B14874" s="2">
        <v>44782.0</v>
      </c>
      <c r="C14874" s="3">
        <v>0.786261574074074</v>
      </c>
      <c r="D14874" s="1">
        <v>12.887087</v>
      </c>
      <c r="E14874" s="1">
        <v>80.076285</v>
      </c>
      <c r="F14874" s="1">
        <v>3143.0</v>
      </c>
      <c r="G14874" s="1">
        <v>57.0</v>
      </c>
    </row>
    <row r="14875">
      <c r="A14875" s="1" t="s">
        <v>8</v>
      </c>
      <c r="B14875" s="2">
        <v>44782.0</v>
      </c>
      <c r="C14875" s="3">
        <v>0.7865509259259259</v>
      </c>
      <c r="D14875" s="1">
        <v>12.886417</v>
      </c>
      <c r="E14875" s="1">
        <v>80.078524</v>
      </c>
      <c r="F14875" s="1">
        <v>3143.0</v>
      </c>
      <c r="G14875" s="1">
        <v>54.0</v>
      </c>
    </row>
    <row r="14876">
      <c r="A14876" s="1" t="s">
        <v>7</v>
      </c>
      <c r="B14876" s="2">
        <v>44782.0</v>
      </c>
      <c r="C14876" s="3">
        <v>0.786875</v>
      </c>
      <c r="D14876" s="1">
        <v>12.884937</v>
      </c>
      <c r="E14876" s="1">
        <v>80.081952</v>
      </c>
      <c r="F14876" s="1">
        <v>3143.0</v>
      </c>
      <c r="G14876" s="1">
        <v>43.0</v>
      </c>
    </row>
    <row r="14877">
      <c r="A14877" s="1" t="s">
        <v>10</v>
      </c>
      <c r="B14877" s="2">
        <v>44782.0</v>
      </c>
      <c r="C14877" s="3">
        <v>0.7873726851851852</v>
      </c>
      <c r="D14877" s="1">
        <v>12.881086</v>
      </c>
      <c r="E14877" s="1">
        <v>80.081045</v>
      </c>
      <c r="F14877" s="1">
        <v>3143.0</v>
      </c>
      <c r="G14877" s="1">
        <v>47.0</v>
      </c>
    </row>
    <row r="14878">
      <c r="A14878" s="1" t="s">
        <v>7</v>
      </c>
      <c r="B14878" s="2">
        <v>44783.0</v>
      </c>
      <c r="C14878" s="3">
        <v>0.2633912037037037</v>
      </c>
      <c r="D14878" s="1">
        <v>12.884822</v>
      </c>
      <c r="E14878" s="1">
        <v>80.081706</v>
      </c>
      <c r="F14878" s="1">
        <v>3143.0</v>
      </c>
      <c r="G14878" s="1">
        <v>49.0</v>
      </c>
    </row>
    <row r="14879">
      <c r="A14879" s="1" t="s">
        <v>7</v>
      </c>
      <c r="B14879" s="2">
        <v>44783.0</v>
      </c>
      <c r="C14879" s="3">
        <v>0.264537037037037</v>
      </c>
      <c r="D14879" s="1">
        <v>12.886351</v>
      </c>
      <c r="E14879" s="1">
        <v>80.077697</v>
      </c>
      <c r="F14879" s="1">
        <v>3143.0</v>
      </c>
      <c r="G14879" s="1">
        <v>58.0</v>
      </c>
    </row>
    <row r="14880">
      <c r="A14880" s="1" t="s">
        <v>7</v>
      </c>
      <c r="B14880" s="2">
        <v>44783.0</v>
      </c>
      <c r="C14880" s="3">
        <v>0.26493055555555556</v>
      </c>
      <c r="D14880" s="1">
        <v>12.896947</v>
      </c>
      <c r="E14880" s="1">
        <v>80.070418</v>
      </c>
      <c r="F14880" s="1">
        <v>3143.0</v>
      </c>
      <c r="G14880" s="1">
        <v>57.0</v>
      </c>
    </row>
    <row r="14881">
      <c r="A14881" s="1" t="s">
        <v>7</v>
      </c>
      <c r="B14881" s="2">
        <v>44783.0</v>
      </c>
      <c r="C14881" s="3">
        <v>0.26512731481481483</v>
      </c>
      <c r="D14881" s="1">
        <v>12.899842</v>
      </c>
      <c r="E14881" s="1">
        <v>80.070473</v>
      </c>
      <c r="F14881" s="1">
        <v>3143.0</v>
      </c>
      <c r="G14881" s="1">
        <v>58.0</v>
      </c>
    </row>
    <row r="14882">
      <c r="A14882" s="1" t="s">
        <v>7</v>
      </c>
      <c r="B14882" s="2">
        <v>44783.0</v>
      </c>
      <c r="C14882" s="3">
        <v>0.2652662037037037</v>
      </c>
      <c r="D14882" s="1">
        <v>12.901288</v>
      </c>
      <c r="E14882" s="1">
        <v>80.070796</v>
      </c>
      <c r="F14882" s="1">
        <v>3143.0</v>
      </c>
      <c r="G14882" s="1">
        <v>57.0</v>
      </c>
    </row>
    <row r="14883">
      <c r="A14883" s="1" t="s">
        <v>7</v>
      </c>
      <c r="B14883" s="2">
        <v>44783.0</v>
      </c>
      <c r="C14883" s="3">
        <v>0.27077546296296295</v>
      </c>
      <c r="D14883" s="1">
        <v>12.942751</v>
      </c>
      <c r="E14883" s="1">
        <v>80.084559</v>
      </c>
      <c r="F14883" s="1">
        <v>3143.0</v>
      </c>
      <c r="G14883" s="1">
        <v>60.0</v>
      </c>
    </row>
    <row r="14884">
      <c r="A14884" s="1" t="s">
        <v>7</v>
      </c>
      <c r="B14884" s="2">
        <v>44783.0</v>
      </c>
      <c r="C14884" s="3">
        <v>0.2709837962962963</v>
      </c>
      <c r="D14884" s="1">
        <v>12.946881</v>
      </c>
      <c r="E14884" s="1">
        <v>80.086147</v>
      </c>
      <c r="F14884" s="1">
        <v>3143.0</v>
      </c>
      <c r="G14884" s="1">
        <v>57.0</v>
      </c>
    </row>
    <row r="14885">
      <c r="A14885" s="1" t="s">
        <v>7</v>
      </c>
      <c r="B14885" s="2">
        <v>44783.0</v>
      </c>
      <c r="C14885" s="3">
        <v>0.27153935185185185</v>
      </c>
      <c r="D14885" s="1">
        <v>12.952337</v>
      </c>
      <c r="E14885" s="1">
        <v>80.088214</v>
      </c>
      <c r="F14885" s="1">
        <v>3143.0</v>
      </c>
      <c r="G14885" s="1">
        <v>57.0</v>
      </c>
    </row>
    <row r="14886">
      <c r="A14886" s="1" t="s">
        <v>8</v>
      </c>
      <c r="B14886" s="2">
        <v>44783.0</v>
      </c>
      <c r="C14886" s="3">
        <v>0.27153935185185185</v>
      </c>
      <c r="D14886" s="1">
        <v>12.952337</v>
      </c>
      <c r="E14886" s="1">
        <v>80.088214</v>
      </c>
      <c r="F14886" s="1">
        <v>3143.0</v>
      </c>
      <c r="G14886" s="1">
        <v>57.0</v>
      </c>
    </row>
    <row r="14887">
      <c r="A14887" s="1" t="s">
        <v>7</v>
      </c>
      <c r="B14887" s="2">
        <v>44783.0</v>
      </c>
      <c r="C14887" s="3">
        <v>0.272037037037037</v>
      </c>
      <c r="D14887" s="1">
        <v>12.959302</v>
      </c>
      <c r="E14887" s="1">
        <v>80.09025</v>
      </c>
      <c r="F14887" s="1">
        <v>3143.0</v>
      </c>
      <c r="G14887" s="1">
        <v>58.0</v>
      </c>
    </row>
    <row r="14888">
      <c r="A14888" s="1" t="s">
        <v>7</v>
      </c>
      <c r="B14888" s="2">
        <v>44783.0</v>
      </c>
      <c r="C14888" s="3">
        <v>0.2728587962962963</v>
      </c>
      <c r="D14888" s="1">
        <v>12.969528</v>
      </c>
      <c r="E14888" s="1">
        <v>80.089864</v>
      </c>
      <c r="F14888" s="1">
        <v>3143.0</v>
      </c>
      <c r="G14888" s="1">
        <v>58.0</v>
      </c>
    </row>
    <row r="14889">
      <c r="A14889" s="1" t="s">
        <v>7</v>
      </c>
      <c r="B14889" s="2">
        <v>44783.0</v>
      </c>
      <c r="C14889" s="3">
        <v>0.27315972222222223</v>
      </c>
      <c r="D14889" s="1">
        <v>12.972449</v>
      </c>
      <c r="E14889" s="1">
        <v>80.089776</v>
      </c>
      <c r="F14889" s="1">
        <v>3143.0</v>
      </c>
      <c r="G14889" s="1">
        <v>58.0</v>
      </c>
    </row>
    <row r="14890">
      <c r="A14890" s="1" t="s">
        <v>7</v>
      </c>
      <c r="B14890" s="2">
        <v>44783.0</v>
      </c>
      <c r="C14890" s="3">
        <v>0.2734259259259259</v>
      </c>
      <c r="D14890" s="1">
        <v>12.976827</v>
      </c>
      <c r="E14890" s="1">
        <v>80.08965</v>
      </c>
      <c r="F14890" s="1">
        <v>3143.0</v>
      </c>
      <c r="G14890" s="1">
        <v>57.0</v>
      </c>
    </row>
    <row r="14891">
      <c r="A14891" s="1" t="s">
        <v>7</v>
      </c>
      <c r="B14891" s="2">
        <v>44783.0</v>
      </c>
      <c r="C14891" s="3">
        <v>0.2737731481481481</v>
      </c>
      <c r="D14891" s="1">
        <v>12.981218</v>
      </c>
      <c r="E14891" s="1">
        <v>80.089567</v>
      </c>
      <c r="F14891" s="1">
        <v>3143.0</v>
      </c>
      <c r="G14891" s="1">
        <v>58.0</v>
      </c>
    </row>
    <row r="14892">
      <c r="A14892" s="1" t="s">
        <v>7</v>
      </c>
      <c r="B14892" s="2">
        <v>44783.0</v>
      </c>
      <c r="C14892" s="3">
        <v>0.27394675925925926</v>
      </c>
      <c r="D14892" s="1">
        <v>12.982677</v>
      </c>
      <c r="E14892" s="1">
        <v>80.089493</v>
      </c>
      <c r="F14892" s="1">
        <v>3143.0</v>
      </c>
      <c r="G14892" s="1">
        <v>59.0</v>
      </c>
    </row>
    <row r="14893">
      <c r="A14893" s="1" t="s">
        <v>7</v>
      </c>
      <c r="B14893" s="2">
        <v>44783.0</v>
      </c>
      <c r="C14893" s="3">
        <v>0.27542824074074074</v>
      </c>
      <c r="D14893" s="1">
        <v>13.001228</v>
      </c>
      <c r="E14893" s="1">
        <v>80.088749</v>
      </c>
      <c r="F14893" s="1">
        <v>3143.0</v>
      </c>
      <c r="G14893" s="1">
        <v>58.0</v>
      </c>
    </row>
    <row r="14894">
      <c r="A14894" s="1" t="s">
        <v>8</v>
      </c>
      <c r="B14894" s="2">
        <v>44783.0</v>
      </c>
      <c r="C14894" s="3">
        <v>0.27574074074074073</v>
      </c>
      <c r="D14894" s="1">
        <v>13.005293</v>
      </c>
      <c r="E14894" s="1">
        <v>80.090343</v>
      </c>
      <c r="F14894" s="1">
        <v>3143.0</v>
      </c>
      <c r="G14894" s="1">
        <v>58.0</v>
      </c>
    </row>
    <row r="14895">
      <c r="A14895" s="1" t="s">
        <v>7</v>
      </c>
      <c r="B14895" s="2">
        <v>44783.0</v>
      </c>
      <c r="C14895" s="3">
        <v>0.27619212962962963</v>
      </c>
      <c r="D14895" s="1">
        <v>13.010733</v>
      </c>
      <c r="E14895" s="1">
        <v>80.09241</v>
      </c>
      <c r="F14895" s="1">
        <v>3143.0</v>
      </c>
      <c r="G14895" s="1">
        <v>55.0</v>
      </c>
    </row>
    <row r="14896">
      <c r="A14896" s="1" t="s">
        <v>7</v>
      </c>
      <c r="B14896" s="2">
        <v>44783.0</v>
      </c>
      <c r="C14896" s="3">
        <v>0.2763888888888889</v>
      </c>
      <c r="D14896" s="1">
        <v>13.012033</v>
      </c>
      <c r="E14896" s="1">
        <v>80.092937</v>
      </c>
      <c r="F14896" s="1">
        <v>3143.0</v>
      </c>
      <c r="G14896" s="1">
        <v>55.0</v>
      </c>
    </row>
    <row r="14897">
      <c r="A14897" s="1" t="s">
        <v>7</v>
      </c>
      <c r="B14897" s="2">
        <v>44783.0</v>
      </c>
      <c r="C14897" s="3">
        <v>0.27662037037037035</v>
      </c>
      <c r="D14897" s="1">
        <v>13.014758</v>
      </c>
      <c r="E14897" s="1">
        <v>80.09402</v>
      </c>
      <c r="F14897" s="1">
        <v>3143.0</v>
      </c>
      <c r="G14897" s="1">
        <v>58.0</v>
      </c>
    </row>
    <row r="14898">
      <c r="A14898" s="1" t="s">
        <v>7</v>
      </c>
      <c r="B14898" s="2">
        <v>44783.0</v>
      </c>
      <c r="C14898" s="3">
        <v>0.27697916666666667</v>
      </c>
      <c r="D14898" s="1">
        <v>13.018776</v>
      </c>
      <c r="E14898" s="1">
        <v>80.094307</v>
      </c>
      <c r="F14898" s="1">
        <v>3143.0</v>
      </c>
      <c r="G14898" s="1">
        <v>55.0</v>
      </c>
    </row>
    <row r="14899">
      <c r="A14899" s="1" t="s">
        <v>7</v>
      </c>
      <c r="B14899" s="2">
        <v>44783.0</v>
      </c>
      <c r="C14899" s="3">
        <v>0.2838541666666667</v>
      </c>
      <c r="D14899" s="1">
        <v>13.034856</v>
      </c>
      <c r="E14899" s="1">
        <v>80.088235</v>
      </c>
      <c r="F14899" s="1">
        <v>3143.0</v>
      </c>
      <c r="G14899" s="1">
        <v>50.0</v>
      </c>
    </row>
    <row r="14900">
      <c r="A14900" s="1" t="s">
        <v>7</v>
      </c>
      <c r="B14900" s="2">
        <v>44783.0</v>
      </c>
      <c r="C14900" s="3">
        <v>0.2846990740740741</v>
      </c>
      <c r="D14900" s="1">
        <v>13.044359</v>
      </c>
      <c r="E14900" s="1">
        <v>80.085258</v>
      </c>
      <c r="F14900" s="1">
        <v>3143.0</v>
      </c>
      <c r="G14900" s="1">
        <v>54.0</v>
      </c>
    </row>
    <row r="14901">
      <c r="A14901" s="1" t="s">
        <v>7</v>
      </c>
      <c r="B14901" s="2">
        <v>44783.0</v>
      </c>
      <c r="C14901" s="3">
        <v>0.2849305555555556</v>
      </c>
      <c r="D14901" s="1">
        <v>13.04694</v>
      </c>
      <c r="E14901" s="1">
        <v>80.08428</v>
      </c>
      <c r="F14901" s="1">
        <v>3143.0</v>
      </c>
      <c r="G14901" s="1">
        <v>56.0</v>
      </c>
    </row>
    <row r="14902">
      <c r="A14902" s="1" t="s">
        <v>8</v>
      </c>
      <c r="B14902" s="2">
        <v>44783.0</v>
      </c>
      <c r="C14902" s="3">
        <v>0.2861342592592593</v>
      </c>
      <c r="D14902" s="1">
        <v>13.050395</v>
      </c>
      <c r="E14902" s="1">
        <v>80.088833</v>
      </c>
      <c r="F14902" s="1">
        <v>3143.0</v>
      </c>
      <c r="G14902" s="1">
        <v>53.0</v>
      </c>
    </row>
    <row r="14903">
      <c r="A14903" s="1" t="s">
        <v>7</v>
      </c>
      <c r="B14903" s="2">
        <v>44783.0</v>
      </c>
      <c r="C14903" s="3">
        <v>0.28695601851851854</v>
      </c>
      <c r="D14903" s="1">
        <v>12.440586</v>
      </c>
      <c r="E14903" s="1">
        <v>79.836138</v>
      </c>
      <c r="F14903" s="1">
        <v>2846.0</v>
      </c>
      <c r="G14903" s="1">
        <v>46.0</v>
      </c>
    </row>
    <row r="14904">
      <c r="A14904" s="1" t="s">
        <v>7</v>
      </c>
      <c r="B14904" s="2">
        <v>44783.0</v>
      </c>
      <c r="C14904" s="3">
        <v>0.2872106481481482</v>
      </c>
      <c r="D14904" s="1">
        <v>12.446951</v>
      </c>
      <c r="E14904" s="1">
        <v>79.838537</v>
      </c>
      <c r="F14904" s="1">
        <v>2846.0</v>
      </c>
      <c r="G14904" s="1">
        <v>58.0</v>
      </c>
    </row>
    <row r="14905">
      <c r="A14905" s="1" t="s">
        <v>8</v>
      </c>
      <c r="B14905" s="2">
        <v>44783.0</v>
      </c>
      <c r="C14905" s="3">
        <v>0.2879050925925926</v>
      </c>
      <c r="D14905" s="1">
        <v>13.05668</v>
      </c>
      <c r="E14905" s="1">
        <v>80.097876</v>
      </c>
      <c r="F14905" s="1">
        <v>3143.0</v>
      </c>
      <c r="G14905" s="1">
        <v>24.0</v>
      </c>
    </row>
    <row r="14906">
      <c r="A14906" s="1" t="s">
        <v>8</v>
      </c>
      <c r="B14906" s="2">
        <v>44783.0</v>
      </c>
      <c r="C14906" s="3">
        <v>0.2880671296296296</v>
      </c>
      <c r="D14906" s="1">
        <v>13.057035</v>
      </c>
      <c r="E14906" s="1">
        <v>80.09955</v>
      </c>
      <c r="F14906" s="1">
        <v>3143.0</v>
      </c>
      <c r="G14906" s="1">
        <v>37.0</v>
      </c>
    </row>
    <row r="14907">
      <c r="A14907" s="1" t="s">
        <v>8</v>
      </c>
      <c r="B14907" s="2">
        <v>44783.0</v>
      </c>
      <c r="C14907" s="3">
        <v>0.2881134259259259</v>
      </c>
      <c r="D14907" s="1">
        <v>13.057035</v>
      </c>
      <c r="E14907" s="1">
        <v>80.09955</v>
      </c>
      <c r="F14907" s="1">
        <v>3143.0</v>
      </c>
      <c r="G14907" s="1">
        <v>37.0</v>
      </c>
    </row>
    <row r="14908">
      <c r="A14908" s="1" t="s">
        <v>8</v>
      </c>
      <c r="B14908" s="2">
        <v>44783.0</v>
      </c>
      <c r="C14908" s="3">
        <v>0.28825231481481484</v>
      </c>
      <c r="D14908" s="1">
        <v>12.459197</v>
      </c>
      <c r="E14908" s="1">
        <v>79.845283</v>
      </c>
      <c r="F14908" s="1">
        <v>2846.0</v>
      </c>
      <c r="G14908" s="1">
        <v>53.0</v>
      </c>
    </row>
    <row r="14909">
      <c r="A14909" s="1" t="s">
        <v>7</v>
      </c>
      <c r="B14909" s="2">
        <v>44783.0</v>
      </c>
      <c r="C14909" s="3">
        <v>0.2887384259259259</v>
      </c>
      <c r="D14909" s="1">
        <v>12.463961</v>
      </c>
      <c r="E14909" s="1">
        <v>79.848546</v>
      </c>
      <c r="F14909" s="1">
        <v>2846.0</v>
      </c>
      <c r="G14909" s="1">
        <v>58.0</v>
      </c>
    </row>
    <row r="14910">
      <c r="A14910" s="1" t="s">
        <v>8</v>
      </c>
      <c r="B14910" s="2">
        <v>44783.0</v>
      </c>
      <c r="C14910" s="3">
        <v>0.2888425925925926</v>
      </c>
      <c r="D14910" s="1">
        <v>13.05717</v>
      </c>
      <c r="E14910" s="1">
        <v>80.106783</v>
      </c>
      <c r="F14910" s="1">
        <v>3143.0</v>
      </c>
      <c r="G14910" s="1">
        <v>52.0</v>
      </c>
    </row>
    <row r="14911">
      <c r="A14911" s="1" t="s">
        <v>8</v>
      </c>
      <c r="B14911" s="2">
        <v>44783.0</v>
      </c>
      <c r="C14911" s="3">
        <v>0.28899305555555554</v>
      </c>
      <c r="D14911" s="1">
        <v>13.056935</v>
      </c>
      <c r="E14911" s="1">
        <v>80.109342</v>
      </c>
      <c r="F14911" s="1">
        <v>3143.0</v>
      </c>
      <c r="G14911" s="1">
        <v>48.0</v>
      </c>
    </row>
    <row r="14912">
      <c r="A14912" s="1" t="s">
        <v>7</v>
      </c>
      <c r="B14912" s="2">
        <v>44783.0</v>
      </c>
      <c r="C14912" s="3">
        <v>0.29106481481481483</v>
      </c>
      <c r="D14912" s="1">
        <v>12.486155</v>
      </c>
      <c r="E14912" s="1">
        <v>79.864212</v>
      </c>
      <c r="F14912" s="1">
        <v>2846.0</v>
      </c>
      <c r="G14912" s="1">
        <v>57.0</v>
      </c>
    </row>
    <row r="14913">
      <c r="A14913" s="1" t="s">
        <v>8</v>
      </c>
      <c r="B14913" s="2">
        <v>44783.0</v>
      </c>
      <c r="C14913" s="3">
        <v>0.29118055555555555</v>
      </c>
      <c r="D14913" s="1">
        <v>12.486155</v>
      </c>
      <c r="E14913" s="1">
        <v>79.864212</v>
      </c>
      <c r="F14913" s="1">
        <v>2846.0</v>
      </c>
      <c r="G14913" s="1">
        <v>57.0</v>
      </c>
    </row>
    <row r="14914">
      <c r="A14914" s="1" t="s">
        <v>8</v>
      </c>
      <c r="B14914" s="2">
        <v>44783.0</v>
      </c>
      <c r="C14914" s="3">
        <v>0.29247685185185185</v>
      </c>
      <c r="D14914" s="1">
        <v>12.494131</v>
      </c>
      <c r="E14914" s="1">
        <v>79.870322</v>
      </c>
      <c r="F14914" s="1">
        <v>2846.0</v>
      </c>
      <c r="G14914" s="1">
        <v>58.0</v>
      </c>
    </row>
    <row r="14915">
      <c r="A14915" s="1" t="s">
        <v>7</v>
      </c>
      <c r="B14915" s="2">
        <v>44783.0</v>
      </c>
      <c r="C14915" s="3">
        <v>0.2926388888888889</v>
      </c>
      <c r="D14915" s="1">
        <v>12.500593</v>
      </c>
      <c r="E14915" s="1">
        <v>79.875634</v>
      </c>
      <c r="F14915" s="1">
        <v>2846.0</v>
      </c>
      <c r="G14915" s="1">
        <v>49.0</v>
      </c>
    </row>
    <row r="14916">
      <c r="A14916" s="1" t="s">
        <v>7</v>
      </c>
      <c r="B14916" s="2">
        <v>44783.0</v>
      </c>
      <c r="C14916" s="3">
        <v>0.2932175925925926</v>
      </c>
      <c r="D14916" s="1">
        <v>12.506322</v>
      </c>
      <c r="E14916" s="1">
        <v>79.880136</v>
      </c>
      <c r="F14916" s="1">
        <v>2846.0</v>
      </c>
      <c r="G14916" s="1">
        <v>58.0</v>
      </c>
    </row>
    <row r="14917">
      <c r="A14917" s="1" t="s">
        <v>8</v>
      </c>
      <c r="B14917" s="2">
        <v>44783.0</v>
      </c>
      <c r="C14917" s="3">
        <v>0.2941898148148148</v>
      </c>
      <c r="D14917" s="1">
        <v>12.508899</v>
      </c>
      <c r="E14917" s="1">
        <v>79.882084</v>
      </c>
      <c r="F14917" s="1">
        <v>2846.0</v>
      </c>
      <c r="G14917" s="1">
        <v>15.0</v>
      </c>
    </row>
    <row r="14918">
      <c r="A14918" s="1" t="s">
        <v>10</v>
      </c>
      <c r="B14918" s="2">
        <v>44783.0</v>
      </c>
      <c r="C14918" s="3">
        <v>0.29444444444444445</v>
      </c>
      <c r="D14918" s="1">
        <v>13.064341</v>
      </c>
      <c r="E14918" s="1">
        <v>80.248602</v>
      </c>
      <c r="F14918" s="1">
        <v>5339.0</v>
      </c>
      <c r="G14918" s="1">
        <v>26.0</v>
      </c>
    </row>
    <row r="14919">
      <c r="A14919" s="1" t="s">
        <v>7</v>
      </c>
      <c r="B14919" s="2">
        <v>44783.0</v>
      </c>
      <c r="C14919" s="3">
        <v>0.2947916666666667</v>
      </c>
      <c r="D14919" s="1">
        <v>12.514118</v>
      </c>
      <c r="E14919" s="1">
        <v>79.884574</v>
      </c>
      <c r="F14919" s="1">
        <v>2846.0</v>
      </c>
      <c r="G14919" s="1">
        <v>58.0</v>
      </c>
    </row>
    <row r="14920">
      <c r="A14920" s="1" t="s">
        <v>10</v>
      </c>
      <c r="B14920" s="2">
        <v>44783.0</v>
      </c>
      <c r="C14920" s="3">
        <v>0.2985763888888889</v>
      </c>
      <c r="D14920" s="1">
        <v>12.509831</v>
      </c>
      <c r="E14920" s="1">
        <v>79.884855</v>
      </c>
      <c r="F14920" s="1">
        <v>2846.0</v>
      </c>
      <c r="G14920" s="1">
        <v>26.0</v>
      </c>
    </row>
    <row r="14921">
      <c r="A14921" s="1" t="s">
        <v>10</v>
      </c>
      <c r="B14921" s="2">
        <v>44783.0</v>
      </c>
      <c r="C14921" s="3">
        <v>0.2992361111111111</v>
      </c>
      <c r="D14921" s="1">
        <v>12.511701</v>
      </c>
      <c r="E14921" s="1">
        <v>79.885526</v>
      </c>
      <c r="F14921" s="1">
        <v>2846.0</v>
      </c>
      <c r="G14921" s="1">
        <v>0.0</v>
      </c>
    </row>
    <row r="14922">
      <c r="A14922" s="1" t="s">
        <v>7</v>
      </c>
      <c r="B14922" s="2">
        <v>44783.0</v>
      </c>
      <c r="C14922" s="3">
        <v>0.2996064814814815</v>
      </c>
      <c r="D14922" s="1">
        <v>12.513086</v>
      </c>
      <c r="E14922" s="1">
        <v>79.886805</v>
      </c>
      <c r="F14922" s="1">
        <v>2846.0</v>
      </c>
      <c r="G14922" s="1">
        <v>45.0</v>
      </c>
    </row>
    <row r="14923">
      <c r="A14923" s="1" t="s">
        <v>7</v>
      </c>
      <c r="B14923" s="2">
        <v>44783.0</v>
      </c>
      <c r="C14923" s="3">
        <v>0.2998958333333333</v>
      </c>
      <c r="D14923" s="1">
        <v>12.515245</v>
      </c>
      <c r="E14923" s="1">
        <v>79.888602</v>
      </c>
      <c r="F14923" s="1">
        <v>2846.0</v>
      </c>
      <c r="G14923" s="1">
        <v>50.0</v>
      </c>
    </row>
    <row r="14924">
      <c r="A14924" s="1" t="s">
        <v>7</v>
      </c>
      <c r="B14924" s="2">
        <v>44783.0</v>
      </c>
      <c r="C14924" s="3">
        <v>0.30038194444444444</v>
      </c>
      <c r="D14924" s="1">
        <v>12.517886</v>
      </c>
      <c r="E14924" s="1">
        <v>79.890022</v>
      </c>
      <c r="F14924" s="1">
        <v>2846.0</v>
      </c>
      <c r="G14924" s="1">
        <v>0.0</v>
      </c>
    </row>
    <row r="14925">
      <c r="A14925" s="1" t="s">
        <v>7</v>
      </c>
      <c r="B14925" s="2">
        <v>44783.0</v>
      </c>
      <c r="C14925" s="3">
        <v>0.30091435185185184</v>
      </c>
      <c r="D14925" s="1">
        <v>12.521396</v>
      </c>
      <c r="E14925" s="1">
        <v>79.894766</v>
      </c>
      <c r="F14925" s="1">
        <v>2846.0</v>
      </c>
      <c r="G14925" s="1">
        <v>58.0</v>
      </c>
    </row>
    <row r="14926">
      <c r="A14926" s="1" t="s">
        <v>10</v>
      </c>
      <c r="B14926" s="2">
        <v>44783.0</v>
      </c>
      <c r="C14926" s="3">
        <v>0.30126157407407406</v>
      </c>
      <c r="D14926" s="1">
        <v>13.071326</v>
      </c>
      <c r="E14926" s="1">
        <v>80.264949</v>
      </c>
      <c r="F14926" s="1">
        <v>5339.0</v>
      </c>
      <c r="G14926" s="1">
        <v>25.0</v>
      </c>
    </row>
    <row r="14927">
      <c r="A14927" s="1" t="s">
        <v>8</v>
      </c>
      <c r="B14927" s="2">
        <v>44783.0</v>
      </c>
      <c r="C14927" s="3">
        <v>0.3015393518518519</v>
      </c>
      <c r="D14927" s="1">
        <v>12.524602</v>
      </c>
      <c r="E14927" s="1">
        <v>79.896747</v>
      </c>
      <c r="F14927" s="1">
        <v>2846.0</v>
      </c>
      <c r="G14927" s="1">
        <v>58.0</v>
      </c>
    </row>
    <row r="14928">
      <c r="A14928" s="1" t="s">
        <v>7</v>
      </c>
      <c r="B14928" s="2">
        <v>44783.0</v>
      </c>
      <c r="C14928" s="3">
        <v>0.30322916666666666</v>
      </c>
      <c r="D14928" s="1">
        <v>13.062704</v>
      </c>
      <c r="E14928" s="1">
        <v>80.263609</v>
      </c>
      <c r="F14928" s="1">
        <v>805.0</v>
      </c>
      <c r="G14928" s="1">
        <v>34.0</v>
      </c>
    </row>
    <row r="14929">
      <c r="A14929" s="1" t="s">
        <v>8</v>
      </c>
      <c r="B14929" s="2">
        <v>44783.0</v>
      </c>
      <c r="C14929" s="3">
        <v>0.3036226851851852</v>
      </c>
      <c r="D14929" s="1">
        <v>13.065973</v>
      </c>
      <c r="E14929" s="1">
        <v>80.267669</v>
      </c>
      <c r="F14929" s="1">
        <v>805.0</v>
      </c>
      <c r="G14929" s="1">
        <v>35.0</v>
      </c>
    </row>
    <row r="14930">
      <c r="A14930" s="1" t="s">
        <v>8</v>
      </c>
      <c r="B14930" s="2">
        <v>44783.0</v>
      </c>
      <c r="C14930" s="3">
        <v>0.3045833333333333</v>
      </c>
      <c r="D14930" s="1">
        <v>13.066837</v>
      </c>
      <c r="E14930" s="1">
        <v>80.269932</v>
      </c>
      <c r="F14930" s="1">
        <v>805.0</v>
      </c>
      <c r="G14930" s="1">
        <v>44.0</v>
      </c>
    </row>
    <row r="14931">
      <c r="A14931" s="1" t="s">
        <v>10</v>
      </c>
      <c r="B14931" s="2">
        <v>44783.0</v>
      </c>
      <c r="C14931" s="3">
        <v>0.3086574074074074</v>
      </c>
      <c r="D14931" s="1">
        <v>13.003552</v>
      </c>
      <c r="E14931" s="1">
        <v>80.099467</v>
      </c>
      <c r="F14931" s="1">
        <v>3143.0</v>
      </c>
      <c r="G14931" s="1">
        <v>21.0</v>
      </c>
    </row>
    <row r="14932">
      <c r="A14932" s="1" t="s">
        <v>8</v>
      </c>
      <c r="B14932" s="2">
        <v>44783.0</v>
      </c>
      <c r="C14932" s="3">
        <v>0.3090162037037037</v>
      </c>
      <c r="D14932" s="1">
        <v>13.002487</v>
      </c>
      <c r="E14932" s="1">
        <v>80.098676</v>
      </c>
      <c r="F14932" s="1">
        <v>3143.0</v>
      </c>
      <c r="G14932" s="1">
        <v>40.0</v>
      </c>
    </row>
    <row r="14933">
      <c r="A14933" s="1" t="s">
        <v>8</v>
      </c>
      <c r="B14933" s="2">
        <v>44783.0</v>
      </c>
      <c r="C14933" s="3">
        <v>0.30909722222222225</v>
      </c>
      <c r="D14933" s="1">
        <v>13.002487</v>
      </c>
      <c r="E14933" s="1">
        <v>80.098676</v>
      </c>
      <c r="F14933" s="1">
        <v>3143.0</v>
      </c>
      <c r="G14933" s="1">
        <v>40.0</v>
      </c>
    </row>
    <row r="14934">
      <c r="A14934" s="1" t="s">
        <v>10</v>
      </c>
      <c r="B14934" s="2">
        <v>44783.0</v>
      </c>
      <c r="C14934" s="3">
        <v>0.30909722222222225</v>
      </c>
      <c r="D14934" s="1">
        <v>13.05328</v>
      </c>
      <c r="E14934" s="1">
        <v>80.271417</v>
      </c>
      <c r="F14934" s="1">
        <v>5339.0</v>
      </c>
      <c r="G14934" s="1">
        <v>30.0</v>
      </c>
    </row>
    <row r="14935">
      <c r="A14935" s="1" t="s">
        <v>8</v>
      </c>
      <c r="B14935" s="2">
        <v>44783.0</v>
      </c>
      <c r="C14935" s="3">
        <v>0.3091203703703704</v>
      </c>
      <c r="D14935" s="1">
        <v>13.002487</v>
      </c>
      <c r="E14935" s="1">
        <v>80.098676</v>
      </c>
      <c r="F14935" s="1">
        <v>3143.0</v>
      </c>
      <c r="G14935" s="1">
        <v>40.0</v>
      </c>
    </row>
    <row r="14936">
      <c r="A14936" s="1" t="s">
        <v>8</v>
      </c>
      <c r="B14936" s="2">
        <v>44783.0</v>
      </c>
      <c r="C14936" s="3">
        <v>0.3091550925925926</v>
      </c>
      <c r="D14936" s="1">
        <v>13.002487</v>
      </c>
      <c r="E14936" s="1">
        <v>80.098676</v>
      </c>
      <c r="F14936" s="1">
        <v>3143.0</v>
      </c>
      <c r="G14936" s="1">
        <v>40.0</v>
      </c>
    </row>
    <row r="14937">
      <c r="A14937" s="1" t="s">
        <v>8</v>
      </c>
      <c r="B14937" s="2">
        <v>44783.0</v>
      </c>
      <c r="C14937" s="3">
        <v>0.30917824074074074</v>
      </c>
      <c r="D14937" s="1">
        <v>13.002487</v>
      </c>
      <c r="E14937" s="1">
        <v>80.098676</v>
      </c>
      <c r="F14937" s="1">
        <v>3143.0</v>
      </c>
      <c r="G14937" s="1">
        <v>40.0</v>
      </c>
    </row>
    <row r="14938">
      <c r="A14938" s="1" t="s">
        <v>8</v>
      </c>
      <c r="B14938" s="2">
        <v>44783.0</v>
      </c>
      <c r="C14938" s="3">
        <v>0.3092013888888889</v>
      </c>
      <c r="D14938" s="1">
        <v>13.001373</v>
      </c>
      <c r="E14938" s="1">
        <v>80.098078</v>
      </c>
      <c r="F14938" s="1">
        <v>3143.0</v>
      </c>
      <c r="G14938" s="1">
        <v>29.0</v>
      </c>
    </row>
    <row r="14939">
      <c r="A14939" s="1" t="s">
        <v>10</v>
      </c>
      <c r="B14939" s="2">
        <v>44783.0</v>
      </c>
      <c r="C14939" s="3">
        <v>0.30929398148148146</v>
      </c>
      <c r="D14939" s="1">
        <v>13.001373</v>
      </c>
      <c r="E14939" s="1">
        <v>80.098078</v>
      </c>
      <c r="F14939" s="1">
        <v>3143.0</v>
      </c>
      <c r="G14939" s="1">
        <v>29.0</v>
      </c>
    </row>
    <row r="14940">
      <c r="A14940" s="1" t="s">
        <v>10</v>
      </c>
      <c r="B14940" s="2">
        <v>44783.0</v>
      </c>
      <c r="C14940" s="3">
        <v>0.30931712962962965</v>
      </c>
      <c r="D14940" s="1">
        <v>13.053398</v>
      </c>
      <c r="E14940" s="1">
        <v>80.269988</v>
      </c>
      <c r="F14940" s="1">
        <v>5339.0</v>
      </c>
      <c r="G14940" s="1">
        <v>28.0</v>
      </c>
    </row>
    <row r="14941">
      <c r="A14941" s="1" t="s">
        <v>10</v>
      </c>
      <c r="B14941" s="2">
        <v>44783.0</v>
      </c>
      <c r="C14941" s="3">
        <v>0.31081018518518516</v>
      </c>
      <c r="D14941" s="1">
        <v>12.997676</v>
      </c>
      <c r="E14941" s="1">
        <v>80.098517</v>
      </c>
      <c r="F14941" s="1">
        <v>3143.0</v>
      </c>
      <c r="G14941" s="1">
        <v>32.0</v>
      </c>
    </row>
    <row r="14942">
      <c r="A14942" s="1" t="s">
        <v>8</v>
      </c>
      <c r="B14942" s="2">
        <v>44783.0</v>
      </c>
      <c r="C14942" s="3">
        <v>0.3113888888888889</v>
      </c>
      <c r="D14942" s="1">
        <v>12.998725</v>
      </c>
      <c r="E14942" s="1">
        <v>80.102194</v>
      </c>
      <c r="F14942" s="1">
        <v>3143.0</v>
      </c>
      <c r="G14942" s="1">
        <v>29.0</v>
      </c>
    </row>
    <row r="14943">
      <c r="A14943" s="1" t="s">
        <v>8</v>
      </c>
      <c r="B14943" s="2">
        <v>44783.0</v>
      </c>
      <c r="C14943" s="3">
        <v>0.3117361111111111</v>
      </c>
      <c r="D14943" s="1">
        <v>13.042918</v>
      </c>
      <c r="E14943" s="1">
        <v>80.267869</v>
      </c>
      <c r="F14943" s="1">
        <v>805.0</v>
      </c>
      <c r="G14943" s="1">
        <v>43.0</v>
      </c>
    </row>
    <row r="14944">
      <c r="A14944" s="1" t="s">
        <v>7</v>
      </c>
      <c r="B14944" s="2">
        <v>44783.0</v>
      </c>
      <c r="C14944" s="3">
        <v>0.3127662037037037</v>
      </c>
      <c r="D14944" s="1">
        <v>12.644923</v>
      </c>
      <c r="E14944" s="1">
        <v>79.939211</v>
      </c>
      <c r="F14944" s="1">
        <v>2846.0</v>
      </c>
      <c r="G14944" s="1">
        <v>58.0</v>
      </c>
    </row>
    <row r="14945">
      <c r="A14945" s="1" t="s">
        <v>8</v>
      </c>
      <c r="B14945" s="2">
        <v>44783.0</v>
      </c>
      <c r="C14945" s="3">
        <v>0.3129050925925926</v>
      </c>
      <c r="D14945" s="1">
        <v>13.05116</v>
      </c>
      <c r="E14945" s="1">
        <v>80.250154</v>
      </c>
      <c r="F14945" s="1">
        <v>5339.0</v>
      </c>
      <c r="G14945" s="1">
        <v>42.0</v>
      </c>
    </row>
    <row r="14946">
      <c r="A14946" s="1" t="s">
        <v>8</v>
      </c>
      <c r="B14946" s="2">
        <v>44783.0</v>
      </c>
      <c r="C14946" s="3">
        <v>0.3129398148148148</v>
      </c>
      <c r="D14946" s="1">
        <v>13.05116</v>
      </c>
      <c r="E14946" s="1">
        <v>80.250154</v>
      </c>
      <c r="F14946" s="1">
        <v>5339.0</v>
      </c>
      <c r="G14946" s="1">
        <v>42.0</v>
      </c>
    </row>
    <row r="14947">
      <c r="A14947" s="1" t="s">
        <v>9</v>
      </c>
      <c r="B14947" s="2">
        <v>44783.0</v>
      </c>
      <c r="C14947" s="3">
        <v>0.31319444444444444</v>
      </c>
      <c r="D14947" s="1">
        <v>13.048227</v>
      </c>
      <c r="E14947" s="1">
        <v>80.249522</v>
      </c>
      <c r="F14947" s="1">
        <v>5339.0</v>
      </c>
      <c r="G14947" s="1">
        <v>37.0</v>
      </c>
    </row>
    <row r="14948">
      <c r="A14948" s="1" t="s">
        <v>7</v>
      </c>
      <c r="B14948" s="2">
        <v>44783.0</v>
      </c>
      <c r="C14948" s="3">
        <v>0.3139236111111111</v>
      </c>
      <c r="D14948" s="1">
        <v>12.658244</v>
      </c>
      <c r="E14948" s="1">
        <v>79.942301</v>
      </c>
      <c r="F14948" s="1">
        <v>2846.0</v>
      </c>
      <c r="G14948" s="1">
        <v>58.0</v>
      </c>
    </row>
    <row r="14949">
      <c r="A14949" s="1" t="s">
        <v>10</v>
      </c>
      <c r="B14949" s="2">
        <v>44783.0</v>
      </c>
      <c r="C14949" s="3">
        <v>0.3142013888888889</v>
      </c>
      <c r="D14949" s="1">
        <v>13.033369</v>
      </c>
      <c r="E14949" s="1">
        <v>80.267837</v>
      </c>
      <c r="F14949" s="1">
        <v>805.0</v>
      </c>
      <c r="G14949" s="1">
        <v>24.0</v>
      </c>
    </row>
    <row r="14950">
      <c r="A14950" s="1" t="s">
        <v>7</v>
      </c>
      <c r="B14950" s="2">
        <v>44783.0</v>
      </c>
      <c r="C14950" s="3">
        <v>0.3142824074074074</v>
      </c>
      <c r="D14950" s="1">
        <v>12.658244</v>
      </c>
      <c r="E14950" s="1">
        <v>79.942301</v>
      </c>
      <c r="F14950" s="1">
        <v>2846.0</v>
      </c>
      <c r="G14950" s="1">
        <v>58.0</v>
      </c>
    </row>
    <row r="14951">
      <c r="A14951" s="1" t="s">
        <v>8</v>
      </c>
      <c r="B14951" s="2">
        <v>44783.0</v>
      </c>
      <c r="C14951" s="3">
        <v>0.3144675925925926</v>
      </c>
      <c r="D14951" s="1">
        <v>12.656908</v>
      </c>
      <c r="E14951" s="1">
        <v>79.949195</v>
      </c>
      <c r="F14951" s="1">
        <v>2846.0</v>
      </c>
      <c r="G14951" s="1">
        <v>37.0</v>
      </c>
    </row>
    <row r="14952">
      <c r="A14952" s="1" t="s">
        <v>8</v>
      </c>
      <c r="B14952" s="2">
        <v>44783.0</v>
      </c>
      <c r="C14952" s="3">
        <v>0.3147337962962963</v>
      </c>
      <c r="D14952" s="1">
        <v>13.041697</v>
      </c>
      <c r="E14952" s="1">
        <v>80.24751</v>
      </c>
      <c r="F14952" s="1">
        <v>5339.0</v>
      </c>
      <c r="G14952" s="1">
        <v>38.0</v>
      </c>
    </row>
    <row r="14953">
      <c r="A14953" s="1" t="s">
        <v>7</v>
      </c>
      <c r="B14953" s="2">
        <v>44783.0</v>
      </c>
      <c r="C14953" s="3">
        <v>0.31480324074074073</v>
      </c>
      <c r="D14953" s="1">
        <v>12.656908</v>
      </c>
      <c r="E14953" s="1">
        <v>79.949195</v>
      </c>
      <c r="F14953" s="1">
        <v>2846.0</v>
      </c>
      <c r="G14953" s="1">
        <v>37.0</v>
      </c>
    </row>
    <row r="14954">
      <c r="A14954" s="1" t="s">
        <v>8</v>
      </c>
      <c r="B14954" s="2">
        <v>44783.0</v>
      </c>
      <c r="C14954" s="3">
        <v>0.31568287037037035</v>
      </c>
      <c r="D14954" s="1">
        <v>12.987754</v>
      </c>
      <c r="E14954" s="1">
        <v>80.118356</v>
      </c>
      <c r="F14954" s="1">
        <v>3143.0</v>
      </c>
      <c r="G14954" s="1">
        <v>16.0</v>
      </c>
    </row>
    <row r="14955">
      <c r="A14955" s="1" t="s">
        <v>8</v>
      </c>
      <c r="B14955" s="2">
        <v>44783.0</v>
      </c>
      <c r="C14955" s="3">
        <v>0.31612268518518516</v>
      </c>
      <c r="D14955" s="1">
        <v>12.9864</v>
      </c>
      <c r="E14955" s="1">
        <v>80.119418</v>
      </c>
      <c r="F14955" s="1">
        <v>3143.0</v>
      </c>
      <c r="G14955" s="1">
        <v>19.0</v>
      </c>
    </row>
    <row r="14956">
      <c r="A14956" s="1" t="s">
        <v>8</v>
      </c>
      <c r="B14956" s="2">
        <v>44783.0</v>
      </c>
      <c r="C14956" s="3">
        <v>0.3161921296296296</v>
      </c>
      <c r="D14956" s="1">
        <v>13.033459</v>
      </c>
      <c r="E14956" s="1">
        <v>80.243945</v>
      </c>
      <c r="F14956" s="1">
        <v>5339.0</v>
      </c>
      <c r="G14956" s="1">
        <v>40.0</v>
      </c>
    </row>
    <row r="14957">
      <c r="A14957" s="1" t="s">
        <v>8</v>
      </c>
      <c r="B14957" s="2">
        <v>44783.0</v>
      </c>
      <c r="C14957" s="3">
        <v>0.3173726851851852</v>
      </c>
      <c r="D14957" s="1">
        <v>12.668491</v>
      </c>
      <c r="E14957" s="1">
        <v>79.973274</v>
      </c>
      <c r="F14957" s="1">
        <v>2846.0</v>
      </c>
      <c r="G14957" s="1">
        <v>48.0</v>
      </c>
    </row>
    <row r="14958">
      <c r="A14958" s="1" t="s">
        <v>10</v>
      </c>
      <c r="B14958" s="2">
        <v>44783.0</v>
      </c>
      <c r="C14958" s="3">
        <v>0.3173958333333333</v>
      </c>
      <c r="D14958" s="1">
        <v>12.668491</v>
      </c>
      <c r="E14958" s="1">
        <v>79.973274</v>
      </c>
      <c r="F14958" s="1">
        <v>2846.0</v>
      </c>
      <c r="G14958" s="1">
        <v>48.0</v>
      </c>
    </row>
    <row r="14959">
      <c r="A14959" s="1" t="s">
        <v>8</v>
      </c>
      <c r="B14959" s="2">
        <v>44783.0</v>
      </c>
      <c r="C14959" s="3">
        <v>0.31811342592592595</v>
      </c>
      <c r="D14959" s="1">
        <v>13.031121</v>
      </c>
      <c r="E14959" s="1">
        <v>80.240028</v>
      </c>
      <c r="F14959" s="1">
        <v>5339.0</v>
      </c>
      <c r="G14959" s="1">
        <v>11.0</v>
      </c>
    </row>
    <row r="14960">
      <c r="A14960" s="1" t="s">
        <v>8</v>
      </c>
      <c r="B14960" s="2">
        <v>44783.0</v>
      </c>
      <c r="C14960" s="3">
        <v>0.3181481481481481</v>
      </c>
      <c r="D14960" s="1">
        <v>13.03085</v>
      </c>
      <c r="E14960" s="1">
        <v>80.239505</v>
      </c>
      <c r="F14960" s="1">
        <v>5339.0</v>
      </c>
      <c r="G14960" s="1">
        <v>32.0</v>
      </c>
    </row>
    <row r="14961">
      <c r="A14961" s="1" t="s">
        <v>8</v>
      </c>
      <c r="B14961" s="2">
        <v>44783.0</v>
      </c>
      <c r="C14961" s="3">
        <v>0.3187962962962963</v>
      </c>
      <c r="D14961" s="1">
        <v>12.981714</v>
      </c>
      <c r="E14961" s="1">
        <v>80.129293</v>
      </c>
      <c r="F14961" s="1">
        <v>3143.0</v>
      </c>
      <c r="G14961" s="1">
        <v>14.0</v>
      </c>
    </row>
    <row r="14962">
      <c r="A14962" s="1" t="s">
        <v>8</v>
      </c>
      <c r="B14962" s="2">
        <v>44783.0</v>
      </c>
      <c r="C14962" s="3">
        <v>0.31881944444444443</v>
      </c>
      <c r="D14962" s="1">
        <v>12.675828</v>
      </c>
      <c r="E14962" s="1">
        <v>79.977968</v>
      </c>
      <c r="F14962" s="1">
        <v>2846.0</v>
      </c>
      <c r="G14962" s="1">
        <v>33.0</v>
      </c>
    </row>
    <row r="14963">
      <c r="A14963" s="1" t="s">
        <v>7</v>
      </c>
      <c r="B14963" s="2">
        <v>44783.0</v>
      </c>
      <c r="C14963" s="3">
        <v>0.31886574074074076</v>
      </c>
      <c r="D14963" s="1">
        <v>13.026604</v>
      </c>
      <c r="E14963" s="1">
        <v>80.23312</v>
      </c>
      <c r="F14963" s="1">
        <v>5339.0</v>
      </c>
      <c r="G14963" s="1">
        <v>48.0</v>
      </c>
    </row>
    <row r="14964">
      <c r="A14964" s="1" t="s">
        <v>7</v>
      </c>
      <c r="B14964" s="2">
        <v>44783.0</v>
      </c>
      <c r="C14964" s="3">
        <v>0.3190972222222222</v>
      </c>
      <c r="D14964" s="1">
        <v>13.025757</v>
      </c>
      <c r="E14964" s="1">
        <v>80.230672</v>
      </c>
      <c r="F14964" s="1">
        <v>5339.0</v>
      </c>
      <c r="G14964" s="1">
        <v>53.0</v>
      </c>
    </row>
    <row r="14965">
      <c r="A14965" s="1" t="s">
        <v>8</v>
      </c>
      <c r="B14965" s="2">
        <v>44783.0</v>
      </c>
      <c r="C14965" s="3">
        <v>0.3191203703703704</v>
      </c>
      <c r="D14965" s="1">
        <v>12.678012</v>
      </c>
      <c r="E14965" s="1">
        <v>79.979569</v>
      </c>
      <c r="F14965" s="1">
        <v>2846.0</v>
      </c>
      <c r="G14965" s="1">
        <v>14.0</v>
      </c>
    </row>
    <row r="14966">
      <c r="A14966" s="1" t="s">
        <v>10</v>
      </c>
      <c r="B14966" s="2">
        <v>44783.0</v>
      </c>
      <c r="C14966" s="3">
        <v>0.31947916666666665</v>
      </c>
      <c r="D14966" s="1">
        <v>13.01806</v>
      </c>
      <c r="E14966" s="1">
        <v>80.260915</v>
      </c>
      <c r="F14966" s="1">
        <v>805.0</v>
      </c>
      <c r="G14966" s="1">
        <v>22.0</v>
      </c>
    </row>
    <row r="14967">
      <c r="A14967" s="1" t="s">
        <v>8</v>
      </c>
      <c r="B14967" s="2">
        <v>44783.0</v>
      </c>
      <c r="C14967" s="3">
        <v>0.3198611111111111</v>
      </c>
      <c r="D14967" s="1">
        <v>12.977312</v>
      </c>
      <c r="E14967" s="1">
        <v>80.131318</v>
      </c>
      <c r="F14967" s="1">
        <v>3143.0</v>
      </c>
      <c r="G14967" s="1">
        <v>29.0</v>
      </c>
    </row>
    <row r="14968">
      <c r="A14968" s="1" t="s">
        <v>8</v>
      </c>
      <c r="B14968" s="2">
        <v>44783.0</v>
      </c>
      <c r="C14968" s="3">
        <v>0.3198726851851852</v>
      </c>
      <c r="D14968" s="1">
        <v>12.977312</v>
      </c>
      <c r="E14968" s="1">
        <v>80.131318</v>
      </c>
      <c r="F14968" s="1">
        <v>3143.0</v>
      </c>
      <c r="G14968" s="1">
        <v>29.0</v>
      </c>
    </row>
    <row r="14969">
      <c r="A14969" s="1" t="s">
        <v>9</v>
      </c>
      <c r="B14969" s="2">
        <v>44783.0</v>
      </c>
      <c r="C14969" s="3">
        <v>0.32015046296296296</v>
      </c>
      <c r="D14969" s="1">
        <v>12.97594</v>
      </c>
      <c r="E14969" s="1">
        <v>80.132732</v>
      </c>
      <c r="F14969" s="1">
        <v>3143.0</v>
      </c>
      <c r="G14969" s="1">
        <v>36.0</v>
      </c>
    </row>
    <row r="14970">
      <c r="A14970" s="1" t="s">
        <v>9</v>
      </c>
      <c r="B14970" s="2">
        <v>44783.0</v>
      </c>
      <c r="C14970" s="3">
        <v>0.32038194444444446</v>
      </c>
      <c r="D14970" s="1">
        <v>13.015872</v>
      </c>
      <c r="E14970" s="1">
        <v>80.25958</v>
      </c>
      <c r="F14970" s="1">
        <v>805.0</v>
      </c>
      <c r="G14970" s="1">
        <v>26.0</v>
      </c>
    </row>
    <row r="14971">
      <c r="A14971" s="1" t="s">
        <v>8</v>
      </c>
      <c r="B14971" s="2">
        <v>44783.0</v>
      </c>
      <c r="C14971" s="3">
        <v>0.32046296296296295</v>
      </c>
      <c r="D14971" s="1">
        <v>13.019407</v>
      </c>
      <c r="E14971" s="1">
        <v>80.224505</v>
      </c>
      <c r="F14971" s="1">
        <v>5339.0</v>
      </c>
      <c r="G14971" s="1">
        <v>48.0</v>
      </c>
    </row>
    <row r="14972">
      <c r="A14972" s="1" t="s">
        <v>10</v>
      </c>
      <c r="B14972" s="2">
        <v>44783.0</v>
      </c>
      <c r="C14972" s="3">
        <v>0.320625</v>
      </c>
      <c r="D14972" s="1">
        <v>12.974816</v>
      </c>
      <c r="E14972" s="1">
        <v>80.133504</v>
      </c>
      <c r="F14972" s="1">
        <v>3143.0</v>
      </c>
      <c r="G14972" s="1">
        <v>25.0</v>
      </c>
    </row>
    <row r="14973">
      <c r="A14973" s="1" t="s">
        <v>8</v>
      </c>
      <c r="B14973" s="2">
        <v>44783.0</v>
      </c>
      <c r="C14973" s="3">
        <v>0.3206365740740741</v>
      </c>
      <c r="D14973" s="1">
        <v>12.684486</v>
      </c>
      <c r="E14973" s="1">
        <v>79.983413</v>
      </c>
      <c r="F14973" s="1">
        <v>2846.0</v>
      </c>
      <c r="G14973" s="1">
        <v>37.0</v>
      </c>
    </row>
    <row r="14974">
      <c r="A14974" s="1" t="s">
        <v>8</v>
      </c>
      <c r="B14974" s="2">
        <v>44783.0</v>
      </c>
      <c r="C14974" s="3">
        <v>0.3207523148148148</v>
      </c>
      <c r="D14974" s="1">
        <v>13.016344</v>
      </c>
      <c r="E14974" s="1">
        <v>80.225485</v>
      </c>
      <c r="F14974" s="1">
        <v>5339.0</v>
      </c>
      <c r="G14974" s="1">
        <v>38.0</v>
      </c>
    </row>
    <row r="14975">
      <c r="A14975" s="1" t="s">
        <v>8</v>
      </c>
      <c r="B14975" s="2">
        <v>44783.0</v>
      </c>
      <c r="C14975" s="3">
        <v>0.32092592592592595</v>
      </c>
      <c r="D14975" s="1">
        <v>12.686888</v>
      </c>
      <c r="E14975" s="1">
        <v>79.98309</v>
      </c>
      <c r="F14975" s="1">
        <v>2846.0</v>
      </c>
      <c r="G14975" s="1">
        <v>21.0</v>
      </c>
    </row>
    <row r="14976">
      <c r="A14976" s="1" t="s">
        <v>7</v>
      </c>
      <c r="B14976" s="2">
        <v>44783.0</v>
      </c>
      <c r="C14976" s="3">
        <v>0.3215277777777778</v>
      </c>
      <c r="D14976" s="1">
        <v>13.013218</v>
      </c>
      <c r="E14976" s="1">
        <v>80.226696</v>
      </c>
      <c r="F14976" s="1">
        <v>5339.0</v>
      </c>
      <c r="G14976" s="1">
        <v>44.0</v>
      </c>
    </row>
    <row r="14977">
      <c r="A14977" s="1" t="s">
        <v>10</v>
      </c>
      <c r="B14977" s="2">
        <v>44783.0</v>
      </c>
      <c r="C14977" s="3">
        <v>0.32197916666666665</v>
      </c>
      <c r="D14977" s="1">
        <v>12.690242</v>
      </c>
      <c r="E14977" s="1">
        <v>79.981665</v>
      </c>
      <c r="F14977" s="1">
        <v>2846.0</v>
      </c>
      <c r="G14977" s="1">
        <v>13.0</v>
      </c>
    </row>
    <row r="14978">
      <c r="A14978" s="1" t="s">
        <v>9</v>
      </c>
      <c r="B14978" s="2">
        <v>44783.0</v>
      </c>
      <c r="C14978" s="3">
        <v>0.3220486111111111</v>
      </c>
      <c r="D14978" s="1">
        <v>12.979366</v>
      </c>
      <c r="E14978" s="1">
        <v>80.136309</v>
      </c>
      <c r="F14978" s="1">
        <v>3143.0</v>
      </c>
      <c r="G14978" s="1">
        <v>32.0</v>
      </c>
    </row>
    <row r="14979">
      <c r="A14979" s="1" t="s">
        <v>9</v>
      </c>
      <c r="B14979" s="2">
        <v>44783.0</v>
      </c>
      <c r="C14979" s="3">
        <v>0.32208333333333333</v>
      </c>
      <c r="D14979" s="1">
        <v>12.979366</v>
      </c>
      <c r="E14979" s="1">
        <v>80.136309</v>
      </c>
      <c r="F14979" s="1">
        <v>3143.0</v>
      </c>
      <c r="G14979" s="1">
        <v>32.0</v>
      </c>
    </row>
    <row r="14980">
      <c r="A14980" s="1" t="s">
        <v>8</v>
      </c>
      <c r="B14980" s="2">
        <v>44783.0</v>
      </c>
      <c r="C14980" s="3">
        <v>0.3223958333333333</v>
      </c>
      <c r="D14980" s="1">
        <v>13.01113</v>
      </c>
      <c r="E14980" s="1">
        <v>80.223909</v>
      </c>
      <c r="F14980" s="1">
        <v>5339.0</v>
      </c>
      <c r="G14980" s="1">
        <v>43.0</v>
      </c>
    </row>
    <row r="14981">
      <c r="A14981" s="1" t="s">
        <v>10</v>
      </c>
      <c r="B14981" s="2">
        <v>44783.0</v>
      </c>
      <c r="C14981" s="3">
        <v>0.32244212962962965</v>
      </c>
      <c r="D14981" s="1">
        <v>12.691275</v>
      </c>
      <c r="E14981" s="1">
        <v>79.980731</v>
      </c>
      <c r="F14981" s="1">
        <v>2846.0</v>
      </c>
      <c r="G14981" s="1">
        <v>19.0</v>
      </c>
    </row>
    <row r="14982">
      <c r="A14982" s="1" t="s">
        <v>9</v>
      </c>
      <c r="B14982" s="2">
        <v>44783.0</v>
      </c>
      <c r="C14982" s="3">
        <v>0.32251157407407405</v>
      </c>
      <c r="D14982" s="1">
        <v>12.691275</v>
      </c>
      <c r="E14982" s="1">
        <v>79.980731</v>
      </c>
      <c r="F14982" s="1">
        <v>2846.0</v>
      </c>
      <c r="G14982" s="1">
        <v>19.0</v>
      </c>
    </row>
    <row r="14983">
      <c r="A14983" s="1" t="s">
        <v>8</v>
      </c>
      <c r="B14983" s="2">
        <v>44783.0</v>
      </c>
      <c r="C14983" s="3">
        <v>0.32252314814814814</v>
      </c>
      <c r="D14983" s="1">
        <v>13.011561</v>
      </c>
      <c r="E14983" s="1">
        <v>80.222858</v>
      </c>
      <c r="F14983" s="1">
        <v>5339.0</v>
      </c>
      <c r="G14983" s="1">
        <v>41.0</v>
      </c>
    </row>
    <row r="14984">
      <c r="A14984" s="1" t="s">
        <v>8</v>
      </c>
      <c r="B14984" s="2">
        <v>44783.0</v>
      </c>
      <c r="C14984" s="3">
        <v>0.3227083333333333</v>
      </c>
      <c r="D14984" s="1">
        <v>13.012126</v>
      </c>
      <c r="E14984" s="1">
        <v>80.221126</v>
      </c>
      <c r="F14984" s="1">
        <v>5339.0</v>
      </c>
      <c r="G14984" s="1">
        <v>21.0</v>
      </c>
    </row>
    <row r="14985">
      <c r="A14985" s="1" t="s">
        <v>9</v>
      </c>
      <c r="B14985" s="2">
        <v>44783.0</v>
      </c>
      <c r="C14985" s="3">
        <v>0.32284722222222223</v>
      </c>
      <c r="D14985" s="1">
        <v>12.981948</v>
      </c>
      <c r="E14985" s="1">
        <v>80.139458</v>
      </c>
      <c r="F14985" s="1">
        <v>3143.0</v>
      </c>
      <c r="G14985" s="1">
        <v>29.0</v>
      </c>
    </row>
    <row r="14986">
      <c r="A14986" s="1" t="s">
        <v>8</v>
      </c>
      <c r="B14986" s="2">
        <v>44783.0</v>
      </c>
      <c r="C14986" s="3">
        <v>0.32306712962962963</v>
      </c>
      <c r="D14986" s="1">
        <v>13.011333</v>
      </c>
      <c r="E14986" s="1">
        <v>80.218432</v>
      </c>
      <c r="F14986" s="1">
        <v>5339.0</v>
      </c>
      <c r="G14986" s="1">
        <v>42.0</v>
      </c>
    </row>
    <row r="14987">
      <c r="A14987" s="1" t="s">
        <v>8</v>
      </c>
      <c r="B14987" s="2">
        <v>44783.0</v>
      </c>
      <c r="C14987" s="3">
        <v>0.3231365740740741</v>
      </c>
      <c r="D14987" s="1">
        <v>13.011333</v>
      </c>
      <c r="E14987" s="1">
        <v>80.218432</v>
      </c>
      <c r="F14987" s="1">
        <v>5339.0</v>
      </c>
      <c r="G14987" s="1">
        <v>42.0</v>
      </c>
    </row>
    <row r="14988">
      <c r="A14988" s="1" t="s">
        <v>8</v>
      </c>
      <c r="B14988" s="2">
        <v>44783.0</v>
      </c>
      <c r="C14988" s="3">
        <v>0.3232523148148148</v>
      </c>
      <c r="D14988" s="1">
        <v>13.010627</v>
      </c>
      <c r="E14988" s="1">
        <v>80.216681</v>
      </c>
      <c r="F14988" s="1">
        <v>5339.0</v>
      </c>
      <c r="G14988" s="1">
        <v>34.0</v>
      </c>
    </row>
    <row r="14989">
      <c r="A14989" s="1" t="s">
        <v>8</v>
      </c>
      <c r="B14989" s="2">
        <v>44783.0</v>
      </c>
      <c r="C14989" s="3">
        <v>0.3236921296296296</v>
      </c>
      <c r="D14989" s="1">
        <v>13.009752</v>
      </c>
      <c r="E14989" s="1">
        <v>80.213882</v>
      </c>
      <c r="F14989" s="1">
        <v>5339.0</v>
      </c>
      <c r="G14989" s="1">
        <v>43.0</v>
      </c>
    </row>
    <row r="14990">
      <c r="A14990" s="1" t="s">
        <v>8</v>
      </c>
      <c r="B14990" s="2">
        <v>44783.0</v>
      </c>
      <c r="C14990" s="3">
        <v>0.3237615740740741</v>
      </c>
      <c r="D14990" s="1">
        <v>13.009752</v>
      </c>
      <c r="E14990" s="1">
        <v>80.213882</v>
      </c>
      <c r="F14990" s="1">
        <v>5339.0</v>
      </c>
      <c r="G14990" s="1">
        <v>43.0</v>
      </c>
    </row>
    <row r="14991">
      <c r="A14991" s="1" t="s">
        <v>8</v>
      </c>
      <c r="B14991" s="2">
        <v>44783.0</v>
      </c>
      <c r="C14991" s="3">
        <v>0.32403935185185184</v>
      </c>
      <c r="D14991" s="1">
        <v>13.008945</v>
      </c>
      <c r="E14991" s="1">
        <v>80.211805</v>
      </c>
      <c r="F14991" s="1">
        <v>5339.0</v>
      </c>
      <c r="G14991" s="1">
        <v>17.0</v>
      </c>
    </row>
    <row r="14992">
      <c r="A14992" s="1" t="s">
        <v>7</v>
      </c>
      <c r="B14992" s="2">
        <v>44783.0</v>
      </c>
      <c r="C14992" s="3">
        <v>0.324375</v>
      </c>
      <c r="D14992" s="1">
        <v>13.00808</v>
      </c>
      <c r="E14992" s="1">
        <v>80.209259</v>
      </c>
      <c r="F14992" s="1">
        <v>5339.0</v>
      </c>
      <c r="G14992" s="1">
        <v>43.0</v>
      </c>
    </row>
    <row r="14993">
      <c r="A14993" s="1" t="s">
        <v>10</v>
      </c>
      <c r="B14993" s="2">
        <v>44783.0</v>
      </c>
      <c r="C14993" s="3">
        <v>0.3247685185185185</v>
      </c>
      <c r="D14993" s="1">
        <v>12.697189</v>
      </c>
      <c r="E14993" s="1">
        <v>79.972602</v>
      </c>
      <c r="F14993" s="1">
        <v>2846.0</v>
      </c>
      <c r="G14993" s="1">
        <v>0.0</v>
      </c>
    </row>
    <row r="14994">
      <c r="A14994" s="1" t="s">
        <v>8</v>
      </c>
      <c r="B14994" s="2">
        <v>44783.0</v>
      </c>
      <c r="C14994" s="3">
        <v>0.3249074074074074</v>
      </c>
      <c r="D14994" s="1">
        <v>12.697189</v>
      </c>
      <c r="E14994" s="1">
        <v>79.972602</v>
      </c>
      <c r="F14994" s="1">
        <v>2846.0</v>
      </c>
      <c r="G14994" s="1">
        <v>0.0</v>
      </c>
    </row>
    <row r="14995">
      <c r="A14995" s="1" t="s">
        <v>8</v>
      </c>
      <c r="B14995" s="2">
        <v>44783.0</v>
      </c>
      <c r="C14995" s="3">
        <v>0.32538194444444446</v>
      </c>
      <c r="D14995" s="1">
        <v>13.003161</v>
      </c>
      <c r="E14995" s="1">
        <v>80.200862</v>
      </c>
      <c r="F14995" s="1">
        <v>5339.0</v>
      </c>
      <c r="G14995" s="1">
        <v>46.0</v>
      </c>
    </row>
    <row r="14996">
      <c r="A14996" s="1" t="s">
        <v>10</v>
      </c>
      <c r="B14996" s="2">
        <v>44783.0</v>
      </c>
      <c r="C14996" s="3">
        <v>0.3255208333333333</v>
      </c>
      <c r="D14996" s="1">
        <v>12.69972</v>
      </c>
      <c r="E14996" s="1">
        <v>79.968329</v>
      </c>
      <c r="F14996" s="1">
        <v>2846.0</v>
      </c>
      <c r="G14996" s="1">
        <v>5.0</v>
      </c>
    </row>
    <row r="14997">
      <c r="A14997" s="1" t="s">
        <v>7</v>
      </c>
      <c r="B14997" s="2">
        <v>44783.0</v>
      </c>
      <c r="C14997" s="3">
        <v>0.3267013888888889</v>
      </c>
      <c r="D14997" s="1">
        <v>12.70361</v>
      </c>
      <c r="E14997" s="1">
        <v>79.971883</v>
      </c>
      <c r="F14997" s="1">
        <v>2846.0</v>
      </c>
      <c r="G14997" s="1">
        <v>54.0</v>
      </c>
    </row>
    <row r="14998">
      <c r="A14998" s="1" t="s">
        <v>7</v>
      </c>
      <c r="B14998" s="2">
        <v>44783.0</v>
      </c>
      <c r="C14998" s="3">
        <v>0.3267476851851852</v>
      </c>
      <c r="D14998" s="1">
        <v>12.997825</v>
      </c>
      <c r="E14998" s="1">
        <v>80.19154</v>
      </c>
      <c r="F14998" s="1">
        <v>5339.0</v>
      </c>
      <c r="G14998" s="1">
        <v>48.0</v>
      </c>
    </row>
    <row r="14999">
      <c r="A14999" s="1" t="s">
        <v>7</v>
      </c>
      <c r="B14999" s="2">
        <v>44783.0</v>
      </c>
      <c r="C14999" s="3">
        <v>0.3268402777777778</v>
      </c>
      <c r="D14999" s="1">
        <v>12.707539</v>
      </c>
      <c r="E14999" s="1">
        <v>79.976425</v>
      </c>
      <c r="F14999" s="1">
        <v>2846.0</v>
      </c>
      <c r="G14999" s="1">
        <v>62.0</v>
      </c>
    </row>
    <row r="15000">
      <c r="A15000" s="1" t="s">
        <v>8</v>
      </c>
      <c r="B15000" s="2">
        <v>44783.0</v>
      </c>
      <c r="C15000" s="3">
        <v>0.32710648148148147</v>
      </c>
      <c r="D15000" s="1">
        <v>12.994849</v>
      </c>
      <c r="E15000" s="1">
        <v>80.187262</v>
      </c>
      <c r="F15000" s="1">
        <v>5339.0</v>
      </c>
      <c r="G15000" s="1">
        <v>45.0</v>
      </c>
    </row>
    <row r="15001">
      <c r="A15001" s="1" t="s">
        <v>7</v>
      </c>
      <c r="B15001" s="2">
        <v>44783.0</v>
      </c>
      <c r="C15001" s="3">
        <v>0.32743055555555556</v>
      </c>
      <c r="D15001" s="1">
        <v>12.7118</v>
      </c>
      <c r="E15001" s="1">
        <v>79.97895</v>
      </c>
      <c r="F15001" s="1">
        <v>2846.0</v>
      </c>
      <c r="G15001" s="1">
        <v>48.0</v>
      </c>
    </row>
    <row r="15002">
      <c r="A15002" s="1" t="s">
        <v>7</v>
      </c>
      <c r="B15002" s="2">
        <v>44783.0</v>
      </c>
      <c r="C15002" s="3">
        <v>0.32766203703703706</v>
      </c>
      <c r="D15002" s="1">
        <v>12.715682</v>
      </c>
      <c r="E15002" s="1">
        <v>79.980505</v>
      </c>
      <c r="F15002" s="1">
        <v>2846.0</v>
      </c>
      <c r="G15002" s="1">
        <v>57.0</v>
      </c>
    </row>
    <row r="15003">
      <c r="A15003" s="1" t="s">
        <v>8</v>
      </c>
      <c r="B15003" s="2">
        <v>44783.0</v>
      </c>
      <c r="C15003" s="3">
        <v>0.3276736111111111</v>
      </c>
      <c r="D15003" s="1">
        <v>13.007318</v>
      </c>
      <c r="E15003" s="1">
        <v>80.237703</v>
      </c>
      <c r="F15003" s="1">
        <v>805.0</v>
      </c>
      <c r="G15003" s="1">
        <v>33.0</v>
      </c>
    </row>
    <row r="15004">
      <c r="A15004" s="1" t="s">
        <v>7</v>
      </c>
      <c r="B15004" s="2">
        <v>44783.0</v>
      </c>
      <c r="C15004" s="3">
        <v>0.3278125</v>
      </c>
      <c r="D15004" s="1">
        <v>13.007551</v>
      </c>
      <c r="E15004" s="1">
        <v>80.236542</v>
      </c>
      <c r="F15004" s="1">
        <v>805.0</v>
      </c>
      <c r="G15004" s="1">
        <v>52.0</v>
      </c>
    </row>
    <row r="15005">
      <c r="A15005" s="1" t="s">
        <v>7</v>
      </c>
      <c r="B15005" s="2">
        <v>44783.0</v>
      </c>
      <c r="C15005" s="3">
        <v>0.32832175925925927</v>
      </c>
      <c r="D15005" s="1">
        <v>12.992732</v>
      </c>
      <c r="E15005" s="1">
        <v>80.183291</v>
      </c>
      <c r="F15005" s="1">
        <v>5339.0</v>
      </c>
      <c r="G15005" s="1">
        <v>50.0</v>
      </c>
    </row>
    <row r="15006">
      <c r="A15006" s="1" t="s">
        <v>8</v>
      </c>
      <c r="B15006" s="2">
        <v>44783.0</v>
      </c>
      <c r="C15006" s="3">
        <v>0.32883101851851854</v>
      </c>
      <c r="D15006" s="1">
        <v>13.010834</v>
      </c>
      <c r="E15006" s="1">
        <v>80.2247</v>
      </c>
      <c r="F15006" s="1">
        <v>805.0</v>
      </c>
      <c r="G15006" s="1">
        <v>23.0</v>
      </c>
    </row>
    <row r="15007">
      <c r="A15007" s="1" t="s">
        <v>8</v>
      </c>
      <c r="B15007" s="2">
        <v>44783.0</v>
      </c>
      <c r="C15007" s="3">
        <v>0.32894675925925926</v>
      </c>
      <c r="D15007" s="1">
        <v>12.988548</v>
      </c>
      <c r="E15007" s="1">
        <v>80.177835</v>
      </c>
      <c r="F15007" s="1">
        <v>5339.0</v>
      </c>
      <c r="G15007" s="1">
        <v>48.0</v>
      </c>
    </row>
    <row r="15008">
      <c r="A15008" s="1" t="s">
        <v>8</v>
      </c>
      <c r="B15008" s="2">
        <v>44783.0</v>
      </c>
      <c r="C15008" s="3">
        <v>0.32913194444444444</v>
      </c>
      <c r="D15008" s="1">
        <v>12.727934</v>
      </c>
      <c r="E15008" s="1">
        <v>79.982622</v>
      </c>
      <c r="F15008" s="1">
        <v>2846.0</v>
      </c>
      <c r="G15008" s="1">
        <v>50.0</v>
      </c>
    </row>
    <row r="15009">
      <c r="A15009" s="1" t="s">
        <v>8</v>
      </c>
      <c r="B15009" s="2">
        <v>44783.0</v>
      </c>
      <c r="C15009" s="3">
        <v>0.3291898148148148</v>
      </c>
      <c r="D15009" s="1">
        <v>13.011545</v>
      </c>
      <c r="E15009" s="1">
        <v>80.222801</v>
      </c>
      <c r="F15009" s="1">
        <v>805.0</v>
      </c>
      <c r="G15009" s="1">
        <v>35.0</v>
      </c>
    </row>
    <row r="15010">
      <c r="A15010" s="1" t="s">
        <v>8</v>
      </c>
      <c r="B15010" s="2">
        <v>44783.0</v>
      </c>
      <c r="C15010" s="3">
        <v>0.3296064814814815</v>
      </c>
      <c r="D15010" s="1">
        <v>12.731379</v>
      </c>
      <c r="E15010" s="1">
        <v>79.982816</v>
      </c>
      <c r="F15010" s="1">
        <v>2846.0</v>
      </c>
      <c r="G15010" s="1">
        <v>47.0</v>
      </c>
    </row>
    <row r="15011">
      <c r="A15011" s="1" t="s">
        <v>8</v>
      </c>
      <c r="B15011" s="2">
        <v>44783.0</v>
      </c>
      <c r="C15011" s="3">
        <v>0.3297337962962963</v>
      </c>
      <c r="D15011" s="1">
        <v>13.011574</v>
      </c>
      <c r="E15011" s="1">
        <v>80.219164</v>
      </c>
      <c r="F15011" s="1">
        <v>805.0</v>
      </c>
      <c r="G15011" s="1">
        <v>43.0</v>
      </c>
    </row>
    <row r="15012">
      <c r="A15012" s="1" t="s">
        <v>8</v>
      </c>
      <c r="B15012" s="2">
        <v>44783.0</v>
      </c>
      <c r="C15012" s="3">
        <v>0.3299884259259259</v>
      </c>
      <c r="D15012" s="1">
        <v>13.010619</v>
      </c>
      <c r="E15012" s="1">
        <v>80.216678</v>
      </c>
      <c r="F15012" s="1">
        <v>805.0</v>
      </c>
      <c r="G15012" s="1">
        <v>37.0</v>
      </c>
    </row>
    <row r="15013">
      <c r="A15013" s="1" t="s">
        <v>7</v>
      </c>
      <c r="B15013" s="2">
        <v>44783.0</v>
      </c>
      <c r="C15013" s="3">
        <v>0.33019675925925923</v>
      </c>
      <c r="D15013" s="1">
        <v>12.737166</v>
      </c>
      <c r="E15013" s="1">
        <v>79.987617</v>
      </c>
      <c r="F15013" s="1">
        <v>2846.0</v>
      </c>
      <c r="G15013" s="1">
        <v>57.0</v>
      </c>
    </row>
    <row r="15014">
      <c r="A15014" s="1" t="s">
        <v>8</v>
      </c>
      <c r="B15014" s="2">
        <v>44783.0</v>
      </c>
      <c r="C15014" s="3">
        <v>0.3302777777777778</v>
      </c>
      <c r="D15014" s="1">
        <v>13.010031</v>
      </c>
      <c r="E15014" s="1">
        <v>80.214543</v>
      </c>
      <c r="F15014" s="1">
        <v>805.0</v>
      </c>
      <c r="G15014" s="1">
        <v>48.0</v>
      </c>
    </row>
    <row r="15015">
      <c r="A15015" s="1" t="s">
        <v>8</v>
      </c>
      <c r="B15015" s="2">
        <v>44783.0</v>
      </c>
      <c r="C15015" s="3">
        <v>0.3303587962962963</v>
      </c>
      <c r="D15015" s="1">
        <v>12.983964</v>
      </c>
      <c r="E15015" s="1">
        <v>80.171005</v>
      </c>
      <c r="F15015" s="1">
        <v>5339.0</v>
      </c>
      <c r="G15015" s="1">
        <v>43.0</v>
      </c>
    </row>
    <row r="15016">
      <c r="A15016" s="1" t="s">
        <v>7</v>
      </c>
      <c r="B15016" s="2">
        <v>44783.0</v>
      </c>
      <c r="C15016" s="3">
        <v>0.33038194444444446</v>
      </c>
      <c r="D15016" s="1">
        <v>12.738361</v>
      </c>
      <c r="E15016" s="1">
        <v>79.98846</v>
      </c>
      <c r="F15016" s="1">
        <v>2846.0</v>
      </c>
      <c r="G15016" s="1">
        <v>57.0</v>
      </c>
    </row>
    <row r="15017">
      <c r="A15017" s="1" t="s">
        <v>8</v>
      </c>
      <c r="B15017" s="2">
        <v>44783.0</v>
      </c>
      <c r="C15017" s="3">
        <v>0.3305439814814815</v>
      </c>
      <c r="D15017" s="1">
        <v>12.982838</v>
      </c>
      <c r="E15017" s="1">
        <v>80.16906</v>
      </c>
      <c r="F15017" s="1">
        <v>5339.0</v>
      </c>
      <c r="G15017" s="1">
        <v>47.0</v>
      </c>
    </row>
    <row r="15018">
      <c r="A15018" s="1" t="s">
        <v>7</v>
      </c>
      <c r="B15018" s="2">
        <v>44783.0</v>
      </c>
      <c r="C15018" s="3">
        <v>0.33055555555555555</v>
      </c>
      <c r="D15018" s="1">
        <v>12.738361</v>
      </c>
      <c r="E15018" s="1">
        <v>79.98846</v>
      </c>
      <c r="F15018" s="1">
        <v>2846.0</v>
      </c>
      <c r="G15018" s="1">
        <v>57.0</v>
      </c>
    </row>
    <row r="15019">
      <c r="A15019" s="1" t="s">
        <v>8</v>
      </c>
      <c r="B15019" s="2">
        <v>44783.0</v>
      </c>
      <c r="C15019" s="3">
        <v>0.33067129629629627</v>
      </c>
      <c r="D15019" s="1">
        <v>13.008818</v>
      </c>
      <c r="E15019" s="1">
        <v>80.211422</v>
      </c>
      <c r="F15019" s="1">
        <v>805.0</v>
      </c>
      <c r="G15019" s="1">
        <v>43.0</v>
      </c>
    </row>
    <row r="15020">
      <c r="A15020" s="1" t="s">
        <v>7</v>
      </c>
      <c r="B15020" s="2">
        <v>44783.0</v>
      </c>
      <c r="C15020" s="3">
        <v>0.33091435185185186</v>
      </c>
      <c r="D15020" s="1">
        <v>12.980922</v>
      </c>
      <c r="E15020" s="1">
        <v>80.165858</v>
      </c>
      <c r="F15020" s="1">
        <v>5339.0</v>
      </c>
      <c r="G15020" s="1">
        <v>50.0</v>
      </c>
    </row>
    <row r="15021">
      <c r="A15021" s="1" t="s">
        <v>8</v>
      </c>
      <c r="B15021" s="2">
        <v>44783.0</v>
      </c>
      <c r="C15021" s="3">
        <v>0.3309837962962963</v>
      </c>
      <c r="D15021" s="1">
        <v>13.007868</v>
      </c>
      <c r="E15021" s="1">
        <v>80.20793</v>
      </c>
      <c r="F15021" s="1">
        <v>805.0</v>
      </c>
      <c r="G15021" s="1">
        <v>43.0</v>
      </c>
    </row>
    <row r="15022">
      <c r="A15022" s="1" t="s">
        <v>8</v>
      </c>
      <c r="B15022" s="2">
        <v>44783.0</v>
      </c>
      <c r="C15022" s="3">
        <v>0.33101851851851855</v>
      </c>
      <c r="D15022" s="1">
        <v>12.735074</v>
      </c>
      <c r="E15022" s="1">
        <v>79.985711</v>
      </c>
      <c r="F15022" s="1">
        <v>2846.0</v>
      </c>
      <c r="G15022" s="1">
        <v>53.0</v>
      </c>
    </row>
    <row r="15023">
      <c r="A15023" s="1" t="s">
        <v>9</v>
      </c>
      <c r="B15023" s="2">
        <v>44783.0</v>
      </c>
      <c r="C15023" s="3">
        <v>0.3312731481481481</v>
      </c>
      <c r="D15023" s="1">
        <v>12.980369</v>
      </c>
      <c r="E15023" s="1">
        <v>80.164629</v>
      </c>
      <c r="F15023" s="1">
        <v>5339.0</v>
      </c>
      <c r="G15023" s="1">
        <v>53.0</v>
      </c>
    </row>
    <row r="15024">
      <c r="A15024" s="1" t="s">
        <v>8</v>
      </c>
      <c r="B15024" s="2">
        <v>44783.0</v>
      </c>
      <c r="C15024" s="3">
        <v>0.33140046296296294</v>
      </c>
      <c r="D15024" s="1">
        <v>12.979427</v>
      </c>
      <c r="E15024" s="1">
        <v>80.162104</v>
      </c>
      <c r="F15024" s="1">
        <v>5339.0</v>
      </c>
      <c r="G15024" s="1">
        <v>52.0</v>
      </c>
    </row>
    <row r="15025">
      <c r="A15025" s="1" t="s">
        <v>8</v>
      </c>
      <c r="B15025" s="2">
        <v>44783.0</v>
      </c>
      <c r="C15025" s="3">
        <v>0.33163194444444444</v>
      </c>
      <c r="D15025" s="1">
        <v>12.977158</v>
      </c>
      <c r="E15025" s="1">
        <v>80.158874</v>
      </c>
      <c r="F15025" s="1">
        <v>5339.0</v>
      </c>
      <c r="G15025" s="1">
        <v>53.0</v>
      </c>
    </row>
    <row r="15026">
      <c r="A15026" s="1" t="s">
        <v>7</v>
      </c>
      <c r="B15026" s="2">
        <v>44783.0</v>
      </c>
      <c r="C15026" s="3">
        <v>0.33177083333333335</v>
      </c>
      <c r="D15026" s="1">
        <v>13.00511</v>
      </c>
      <c r="E15026" s="1">
        <v>80.201634</v>
      </c>
      <c r="F15026" s="1">
        <v>805.0</v>
      </c>
      <c r="G15026" s="1">
        <v>46.0</v>
      </c>
    </row>
    <row r="15027">
      <c r="A15027" s="1" t="s">
        <v>7</v>
      </c>
      <c r="B15027" s="2">
        <v>44783.0</v>
      </c>
      <c r="C15027" s="3">
        <v>0.3318402777777778</v>
      </c>
      <c r="D15027" s="1">
        <v>13.00511</v>
      </c>
      <c r="E15027" s="1">
        <v>80.201634</v>
      </c>
      <c r="F15027" s="1">
        <v>805.0</v>
      </c>
      <c r="G15027" s="1">
        <v>46.0</v>
      </c>
    </row>
    <row r="15028">
      <c r="A15028" s="1" t="s">
        <v>8</v>
      </c>
      <c r="B15028" s="2">
        <v>44783.0</v>
      </c>
      <c r="C15028" s="3">
        <v>0.332025462962963</v>
      </c>
      <c r="D15028" s="1">
        <v>13.002692</v>
      </c>
      <c r="E15028" s="1">
        <v>80.200694</v>
      </c>
      <c r="F15028" s="1">
        <v>805.0</v>
      </c>
      <c r="G15028" s="1">
        <v>43.0</v>
      </c>
    </row>
    <row r="15029">
      <c r="A15029" s="1" t="s">
        <v>7</v>
      </c>
      <c r="B15029" s="2">
        <v>44783.0</v>
      </c>
      <c r="C15029" s="3">
        <v>0.3322800925925926</v>
      </c>
      <c r="D15029" s="1">
        <v>12.752622</v>
      </c>
      <c r="E15029" s="1">
        <v>79.999609</v>
      </c>
      <c r="F15029" s="1">
        <v>2846.0</v>
      </c>
      <c r="G15029" s="1">
        <v>58.0</v>
      </c>
    </row>
    <row r="15030">
      <c r="A15030" s="1" t="s">
        <v>8</v>
      </c>
      <c r="B15030" s="2">
        <v>44783.0</v>
      </c>
      <c r="C15030" s="3">
        <v>0.33247685185185183</v>
      </c>
      <c r="D15030" s="1">
        <v>13.001884</v>
      </c>
      <c r="E15030" s="1">
        <v>80.19662</v>
      </c>
      <c r="F15030" s="1">
        <v>805.0</v>
      </c>
      <c r="G15030" s="1">
        <v>40.0</v>
      </c>
    </row>
    <row r="15031">
      <c r="A15031" s="1" t="s">
        <v>8</v>
      </c>
      <c r="B15031" s="2">
        <v>44783.0</v>
      </c>
      <c r="C15031" s="3">
        <v>0.3325</v>
      </c>
      <c r="D15031" s="1">
        <v>12.974214</v>
      </c>
      <c r="E15031" s="1">
        <v>80.154555</v>
      </c>
      <c r="F15031" s="1">
        <v>5339.0</v>
      </c>
      <c r="G15031" s="1">
        <v>25.0</v>
      </c>
    </row>
    <row r="15032">
      <c r="A15032" s="1" t="s">
        <v>8</v>
      </c>
      <c r="B15032" s="2">
        <v>44783.0</v>
      </c>
      <c r="C15032" s="3">
        <v>0.33252314814814815</v>
      </c>
      <c r="D15032" s="1">
        <v>12.974214</v>
      </c>
      <c r="E15032" s="1">
        <v>80.154555</v>
      </c>
      <c r="F15032" s="1">
        <v>5339.0</v>
      </c>
      <c r="G15032" s="1">
        <v>25.0</v>
      </c>
    </row>
    <row r="15033">
      <c r="A15033" s="1" t="s">
        <v>8</v>
      </c>
      <c r="B15033" s="2">
        <v>44783.0</v>
      </c>
      <c r="C15033" s="3">
        <v>0.33253472222222225</v>
      </c>
      <c r="D15033" s="1">
        <v>12.974214</v>
      </c>
      <c r="E15033" s="1">
        <v>80.154555</v>
      </c>
      <c r="F15033" s="1">
        <v>5339.0</v>
      </c>
      <c r="G15033" s="1">
        <v>25.0</v>
      </c>
    </row>
    <row r="15034">
      <c r="A15034" s="1" t="s">
        <v>8</v>
      </c>
      <c r="B15034" s="2">
        <v>44783.0</v>
      </c>
      <c r="C15034" s="3">
        <v>0.33266203703703706</v>
      </c>
      <c r="D15034" s="1">
        <v>13.00066</v>
      </c>
      <c r="E15034" s="1">
        <v>80.195026</v>
      </c>
      <c r="F15034" s="1">
        <v>805.0</v>
      </c>
      <c r="G15034" s="1">
        <v>39.0</v>
      </c>
    </row>
    <row r="15035">
      <c r="A15035" s="1" t="s">
        <v>7</v>
      </c>
      <c r="B15035" s="2">
        <v>44783.0</v>
      </c>
      <c r="C15035" s="3">
        <v>0.3327662037037037</v>
      </c>
      <c r="D15035" s="1">
        <v>12.973206</v>
      </c>
      <c r="E15035" s="1">
        <v>80.153008</v>
      </c>
      <c r="F15035" s="1">
        <v>5339.0</v>
      </c>
      <c r="G15035" s="1">
        <v>46.0</v>
      </c>
    </row>
    <row r="15036">
      <c r="A15036" s="1" t="s">
        <v>7</v>
      </c>
      <c r="B15036" s="2">
        <v>44783.0</v>
      </c>
      <c r="C15036" s="3">
        <v>0.3328125</v>
      </c>
      <c r="D15036" s="1">
        <v>12.973206</v>
      </c>
      <c r="E15036" s="1">
        <v>80.153008</v>
      </c>
      <c r="F15036" s="1">
        <v>5339.0</v>
      </c>
      <c r="G15036" s="1">
        <v>46.0</v>
      </c>
    </row>
    <row r="15037">
      <c r="A15037" s="1" t="s">
        <v>8</v>
      </c>
      <c r="B15037" s="2">
        <v>44783.0</v>
      </c>
      <c r="C15037" s="3">
        <v>0.33288194444444447</v>
      </c>
      <c r="D15037" s="1">
        <v>12.971053</v>
      </c>
      <c r="E15037" s="1">
        <v>80.15086</v>
      </c>
      <c r="F15037" s="1">
        <v>3143.0</v>
      </c>
      <c r="G15037" s="1">
        <v>40.0</v>
      </c>
    </row>
    <row r="15038">
      <c r="A15038" s="1" t="s">
        <v>8</v>
      </c>
      <c r="B15038" s="2">
        <v>44783.0</v>
      </c>
      <c r="C15038" s="3">
        <v>0.3329398148148148</v>
      </c>
      <c r="D15038" s="1">
        <v>12.999476</v>
      </c>
      <c r="E15038" s="1">
        <v>80.193551</v>
      </c>
      <c r="F15038" s="1">
        <v>805.0</v>
      </c>
      <c r="G15038" s="1">
        <v>36.0</v>
      </c>
    </row>
    <row r="15039">
      <c r="A15039" s="1" t="s">
        <v>8</v>
      </c>
      <c r="B15039" s="2">
        <v>44783.0</v>
      </c>
      <c r="C15039" s="3">
        <v>0.33295138888888887</v>
      </c>
      <c r="D15039" s="1">
        <v>12.972425</v>
      </c>
      <c r="E15039" s="1">
        <v>80.151936</v>
      </c>
      <c r="F15039" s="1">
        <v>5339.0</v>
      </c>
      <c r="G15039" s="1">
        <v>49.0</v>
      </c>
    </row>
    <row r="15040">
      <c r="A15040" s="1" t="s">
        <v>8</v>
      </c>
      <c r="B15040" s="2">
        <v>44783.0</v>
      </c>
      <c r="C15040" s="3">
        <v>0.33296296296296296</v>
      </c>
      <c r="D15040" s="1">
        <v>12.971819</v>
      </c>
      <c r="E15040" s="1">
        <v>80.151346</v>
      </c>
      <c r="F15040" s="1">
        <v>5339.0</v>
      </c>
      <c r="G15040" s="1">
        <v>26.0</v>
      </c>
    </row>
    <row r="15041">
      <c r="A15041" s="1" t="s">
        <v>8</v>
      </c>
      <c r="B15041" s="2">
        <v>44783.0</v>
      </c>
      <c r="C15041" s="3">
        <v>0.3330324074074074</v>
      </c>
      <c r="D15041" s="1">
        <v>12.998889</v>
      </c>
      <c r="E15041" s="1">
        <v>80.192832</v>
      </c>
      <c r="F15041" s="1">
        <v>805.0</v>
      </c>
      <c r="G15041" s="1">
        <v>39.0</v>
      </c>
    </row>
    <row r="15042">
      <c r="A15042" s="1" t="s">
        <v>8</v>
      </c>
      <c r="B15042" s="2">
        <v>44783.0</v>
      </c>
      <c r="C15042" s="3">
        <v>0.333125</v>
      </c>
      <c r="D15042" s="1">
        <v>12.971141</v>
      </c>
      <c r="E15042" s="1">
        <v>80.150955</v>
      </c>
      <c r="F15042" s="1">
        <v>5339.0</v>
      </c>
      <c r="G15042" s="1">
        <v>34.0</v>
      </c>
    </row>
    <row r="15043">
      <c r="A15043" s="1" t="s">
        <v>8</v>
      </c>
      <c r="B15043" s="2">
        <v>44783.0</v>
      </c>
      <c r="C15043" s="3">
        <v>0.33363425925925927</v>
      </c>
      <c r="D15043" s="1">
        <v>12.966356</v>
      </c>
      <c r="E15043" s="1">
        <v>80.148725</v>
      </c>
      <c r="F15043" s="1">
        <v>3143.0</v>
      </c>
      <c r="G15043" s="1">
        <v>20.0</v>
      </c>
    </row>
    <row r="15044">
      <c r="A15044" s="1" t="s">
        <v>8</v>
      </c>
      <c r="B15044" s="2">
        <v>44783.0</v>
      </c>
      <c r="C15044" s="3">
        <v>0.33391203703703703</v>
      </c>
      <c r="D15044" s="1">
        <v>12.965192</v>
      </c>
      <c r="E15044" s="1">
        <v>80.148149</v>
      </c>
      <c r="F15044" s="1">
        <v>3143.0</v>
      </c>
      <c r="G15044" s="1">
        <v>27.0</v>
      </c>
    </row>
    <row r="15045">
      <c r="A15045" s="1" t="s">
        <v>8</v>
      </c>
      <c r="B15045" s="2">
        <v>44783.0</v>
      </c>
      <c r="C15045" s="3">
        <v>0.33405092592592595</v>
      </c>
      <c r="D15045" s="1">
        <v>12.965684</v>
      </c>
      <c r="E15045" s="1">
        <v>80.148382</v>
      </c>
      <c r="F15045" s="1">
        <v>5339.0</v>
      </c>
      <c r="G15045" s="1">
        <v>27.0</v>
      </c>
    </row>
    <row r="15046">
      <c r="A15046" s="1" t="s">
        <v>8</v>
      </c>
      <c r="B15046" s="2">
        <v>44783.0</v>
      </c>
      <c r="C15046" s="3">
        <v>0.3340856481481482</v>
      </c>
      <c r="D15046" s="1">
        <v>12.995112</v>
      </c>
      <c r="E15046" s="1">
        <v>80.187802</v>
      </c>
      <c r="F15046" s="1">
        <v>805.0</v>
      </c>
      <c r="G15046" s="1">
        <v>51.0</v>
      </c>
    </row>
    <row r="15047">
      <c r="A15047" s="1" t="s">
        <v>8</v>
      </c>
      <c r="B15047" s="2">
        <v>44783.0</v>
      </c>
      <c r="C15047" s="3">
        <v>0.33416666666666667</v>
      </c>
      <c r="D15047" s="1">
        <v>12.965042</v>
      </c>
      <c r="E15047" s="1">
        <v>80.148029</v>
      </c>
      <c r="F15047" s="1">
        <v>5339.0</v>
      </c>
      <c r="G15047" s="1">
        <v>37.0</v>
      </c>
    </row>
    <row r="15048">
      <c r="A15048" s="1" t="s">
        <v>7</v>
      </c>
      <c r="B15048" s="2">
        <v>44783.0</v>
      </c>
      <c r="C15048" s="3">
        <v>0.3343171296296296</v>
      </c>
      <c r="D15048" s="1">
        <v>12.96409</v>
      </c>
      <c r="E15048" s="1">
        <v>80.147482</v>
      </c>
      <c r="F15048" s="1">
        <v>5339.0</v>
      </c>
      <c r="G15048" s="1">
        <v>48.0</v>
      </c>
    </row>
    <row r="15049">
      <c r="A15049" s="1" t="s">
        <v>8</v>
      </c>
      <c r="B15049" s="2">
        <v>44783.0</v>
      </c>
      <c r="C15049" s="3">
        <v>0.3344212962962963</v>
      </c>
      <c r="D15049" s="1">
        <v>12.962919</v>
      </c>
      <c r="E15049" s="1">
        <v>80.14683</v>
      </c>
      <c r="F15049" s="1">
        <v>5339.0</v>
      </c>
      <c r="G15049" s="1">
        <v>55.0</v>
      </c>
    </row>
    <row r="15050">
      <c r="A15050" s="1" t="s">
        <v>8</v>
      </c>
      <c r="B15050" s="2">
        <v>44783.0</v>
      </c>
      <c r="C15050" s="3">
        <v>0.334537037037037</v>
      </c>
      <c r="D15050" s="1">
        <v>12.959813</v>
      </c>
      <c r="E15050" s="1">
        <v>80.145179</v>
      </c>
      <c r="F15050" s="1">
        <v>3143.0</v>
      </c>
      <c r="G15050" s="1">
        <v>37.0</v>
      </c>
    </row>
    <row r="15051">
      <c r="A15051" s="1" t="s">
        <v>8</v>
      </c>
      <c r="B15051" s="2">
        <v>44783.0</v>
      </c>
      <c r="C15051" s="3">
        <v>0.3346412037037037</v>
      </c>
      <c r="D15051" s="1">
        <v>12.958957</v>
      </c>
      <c r="E15051" s="1">
        <v>80.144706</v>
      </c>
      <c r="F15051" s="1">
        <v>3143.0</v>
      </c>
      <c r="G15051" s="1">
        <v>38.0</v>
      </c>
    </row>
    <row r="15052">
      <c r="A15052" s="1" t="s">
        <v>8</v>
      </c>
      <c r="B15052" s="2">
        <v>44783.0</v>
      </c>
      <c r="C15052" s="3">
        <v>0.33467592592592593</v>
      </c>
      <c r="D15052" s="1">
        <v>12.958957</v>
      </c>
      <c r="E15052" s="1">
        <v>80.144706</v>
      </c>
      <c r="F15052" s="1">
        <v>3143.0</v>
      </c>
      <c r="G15052" s="1">
        <v>38.0</v>
      </c>
    </row>
    <row r="15053">
      <c r="A15053" s="1" t="s">
        <v>8</v>
      </c>
      <c r="B15053" s="2">
        <v>44783.0</v>
      </c>
      <c r="C15053" s="3">
        <v>0.3348148148148148</v>
      </c>
      <c r="D15053" s="1">
        <v>12.958153</v>
      </c>
      <c r="E15053" s="1">
        <v>80.14429</v>
      </c>
      <c r="F15053" s="1">
        <v>3143.0</v>
      </c>
      <c r="G15053" s="1">
        <v>34.0</v>
      </c>
    </row>
    <row r="15054">
      <c r="A15054" s="1" t="s">
        <v>8</v>
      </c>
      <c r="B15054" s="2">
        <v>44783.0</v>
      </c>
      <c r="C15054" s="3">
        <v>0.33511574074074074</v>
      </c>
      <c r="D15054" s="1">
        <v>12.993243</v>
      </c>
      <c r="E15054" s="1">
        <v>80.184231</v>
      </c>
      <c r="F15054" s="1">
        <v>805.0</v>
      </c>
      <c r="G15054" s="1">
        <v>52.0</v>
      </c>
    </row>
    <row r="15055">
      <c r="A15055" s="1" t="s">
        <v>8</v>
      </c>
      <c r="B15055" s="2">
        <v>44783.0</v>
      </c>
      <c r="C15055" s="3">
        <v>0.3352199074074074</v>
      </c>
      <c r="D15055" s="1">
        <v>12.955974</v>
      </c>
      <c r="E15055" s="1">
        <v>80.143176</v>
      </c>
      <c r="F15055" s="1">
        <v>3143.0</v>
      </c>
      <c r="G15055" s="1">
        <v>22.0</v>
      </c>
    </row>
    <row r="15056">
      <c r="A15056" s="1" t="s">
        <v>8</v>
      </c>
      <c r="B15056" s="2">
        <v>44783.0</v>
      </c>
      <c r="C15056" s="3">
        <v>0.33523148148148146</v>
      </c>
      <c r="D15056" s="1">
        <v>12.955974</v>
      </c>
      <c r="E15056" s="1">
        <v>80.143176</v>
      </c>
      <c r="F15056" s="1">
        <v>3143.0</v>
      </c>
      <c r="G15056" s="1">
        <v>22.0</v>
      </c>
    </row>
    <row r="15057">
      <c r="A15057" s="1" t="s">
        <v>7</v>
      </c>
      <c r="B15057" s="2">
        <v>44783.0</v>
      </c>
      <c r="C15057" s="3">
        <v>0.3352662037037037</v>
      </c>
      <c r="D15057" s="1">
        <v>12.765858</v>
      </c>
      <c r="E15057" s="1">
        <v>80.005134</v>
      </c>
      <c r="F15057" s="1">
        <v>2846.0</v>
      </c>
      <c r="G15057" s="1">
        <v>53.0</v>
      </c>
    </row>
    <row r="15058">
      <c r="A15058" s="1" t="s">
        <v>7</v>
      </c>
      <c r="B15058" s="2">
        <v>44783.0</v>
      </c>
      <c r="C15058" s="3">
        <v>0.3353703703703704</v>
      </c>
      <c r="D15058" s="1">
        <v>12.991666</v>
      </c>
      <c r="E15058" s="1">
        <v>80.181738</v>
      </c>
      <c r="F15058" s="1">
        <v>805.0</v>
      </c>
      <c r="G15058" s="1">
        <v>58.0</v>
      </c>
    </row>
    <row r="15059">
      <c r="A15059" s="1" t="s">
        <v>8</v>
      </c>
      <c r="B15059" s="2">
        <v>44783.0</v>
      </c>
      <c r="C15059" s="3">
        <v>0.33547453703703706</v>
      </c>
      <c r="D15059" s="1">
        <v>12.955822</v>
      </c>
      <c r="E15059" s="1">
        <v>80.143013</v>
      </c>
      <c r="F15059" s="1">
        <v>5339.0</v>
      </c>
      <c r="G15059" s="1">
        <v>18.0</v>
      </c>
    </row>
    <row r="15060">
      <c r="A15060" s="1" t="s">
        <v>8</v>
      </c>
      <c r="B15060" s="2">
        <v>44783.0</v>
      </c>
      <c r="C15060" s="3">
        <v>0.335625</v>
      </c>
      <c r="D15060" s="1">
        <v>12.954005</v>
      </c>
      <c r="E15060" s="1">
        <v>80.142051</v>
      </c>
      <c r="F15060" s="1">
        <v>3143.0</v>
      </c>
      <c r="G15060" s="1">
        <v>38.0</v>
      </c>
    </row>
    <row r="15061">
      <c r="A15061" s="1" t="s">
        <v>8</v>
      </c>
      <c r="B15061" s="2">
        <v>44783.0</v>
      </c>
      <c r="C15061" s="3">
        <v>0.3362847222222222</v>
      </c>
      <c r="D15061" s="1">
        <v>12.952474</v>
      </c>
      <c r="E15061" s="1">
        <v>80.141124</v>
      </c>
      <c r="F15061" s="1">
        <v>5339.0</v>
      </c>
      <c r="G15061" s="1">
        <v>27.0</v>
      </c>
    </row>
    <row r="15062">
      <c r="A15062" s="1" t="s">
        <v>8</v>
      </c>
      <c r="B15062" s="2">
        <v>44783.0</v>
      </c>
      <c r="C15062" s="3">
        <v>0.3363888888888889</v>
      </c>
      <c r="D15062" s="1">
        <v>12.948074</v>
      </c>
      <c r="E15062" s="1">
        <v>80.137748</v>
      </c>
      <c r="F15062" s="1">
        <v>3143.0</v>
      </c>
      <c r="G15062" s="1">
        <v>39.0</v>
      </c>
    </row>
    <row r="15063">
      <c r="A15063" s="1" t="s">
        <v>7</v>
      </c>
      <c r="B15063" s="2">
        <v>44783.0</v>
      </c>
      <c r="C15063" s="3">
        <v>0.33640046296296294</v>
      </c>
      <c r="D15063" s="1">
        <v>12.781791</v>
      </c>
      <c r="E15063" s="1">
        <v>80.012452</v>
      </c>
      <c r="F15063" s="1">
        <v>2846.0</v>
      </c>
      <c r="G15063" s="1">
        <v>57.0</v>
      </c>
    </row>
    <row r="15064">
      <c r="A15064" s="1" t="s">
        <v>10</v>
      </c>
      <c r="B15064" s="2">
        <v>44783.0</v>
      </c>
      <c r="C15064" s="3">
        <v>0.33644675925925926</v>
      </c>
      <c r="D15064" s="1">
        <v>12.948074</v>
      </c>
      <c r="E15064" s="1">
        <v>80.137748</v>
      </c>
      <c r="F15064" s="1">
        <v>3143.0</v>
      </c>
      <c r="G15064" s="1">
        <v>39.0</v>
      </c>
    </row>
    <row r="15065">
      <c r="A15065" s="1" t="s">
        <v>7</v>
      </c>
      <c r="B15065" s="2">
        <v>44783.0</v>
      </c>
      <c r="C15065" s="3">
        <v>0.3365162037037037</v>
      </c>
      <c r="D15065" s="1">
        <v>12.781791</v>
      </c>
      <c r="E15065" s="1">
        <v>80.012452</v>
      </c>
      <c r="F15065" s="1">
        <v>2846.0</v>
      </c>
      <c r="G15065" s="1">
        <v>57.0</v>
      </c>
    </row>
    <row r="15066">
      <c r="A15066" s="1" t="s">
        <v>8</v>
      </c>
      <c r="B15066" s="2">
        <v>44783.0</v>
      </c>
      <c r="C15066" s="3">
        <v>0.3367361111111111</v>
      </c>
      <c r="D15066" s="1">
        <v>12.984285</v>
      </c>
      <c r="E15066" s="1">
        <v>80.171594</v>
      </c>
      <c r="F15066" s="1">
        <v>805.0</v>
      </c>
      <c r="G15066" s="1">
        <v>44.0</v>
      </c>
    </row>
    <row r="15067">
      <c r="A15067" s="1" t="s">
        <v>8</v>
      </c>
      <c r="B15067" s="2">
        <v>44783.0</v>
      </c>
      <c r="C15067" s="3">
        <v>0.3369212962962963</v>
      </c>
      <c r="D15067" s="1">
        <v>12.983751</v>
      </c>
      <c r="E15067" s="1">
        <v>80.170658</v>
      </c>
      <c r="F15067" s="1">
        <v>805.0</v>
      </c>
      <c r="G15067" s="1">
        <v>33.0</v>
      </c>
    </row>
    <row r="15068">
      <c r="A15068" s="1" t="s">
        <v>7</v>
      </c>
      <c r="B15068" s="2">
        <v>44783.0</v>
      </c>
      <c r="C15068" s="3">
        <v>0.3369328703703704</v>
      </c>
      <c r="D15068" s="1">
        <v>12.945464</v>
      </c>
      <c r="E15068" s="1">
        <v>80.135781</v>
      </c>
      <c r="F15068" s="1">
        <v>3143.0</v>
      </c>
      <c r="G15068" s="1">
        <v>54.0</v>
      </c>
    </row>
    <row r="15069">
      <c r="A15069" s="1" t="s">
        <v>8</v>
      </c>
      <c r="B15069" s="2">
        <v>44783.0</v>
      </c>
      <c r="C15069" s="3">
        <v>0.33707175925925925</v>
      </c>
      <c r="D15069" s="1">
        <v>12.982682</v>
      </c>
      <c r="E15069" s="1">
        <v>80.168802</v>
      </c>
      <c r="F15069" s="1">
        <v>805.0</v>
      </c>
      <c r="G15069" s="1">
        <v>47.0</v>
      </c>
    </row>
    <row r="15070">
      <c r="A15070" s="1" t="s">
        <v>8</v>
      </c>
      <c r="B15070" s="2">
        <v>44783.0</v>
      </c>
      <c r="C15070" s="3">
        <v>0.33725694444444443</v>
      </c>
      <c r="D15070" s="1">
        <v>12.982101</v>
      </c>
      <c r="E15070" s="1">
        <v>80.167884</v>
      </c>
      <c r="F15070" s="1">
        <v>805.0</v>
      </c>
      <c r="G15070" s="1">
        <v>39.0</v>
      </c>
    </row>
    <row r="15071">
      <c r="A15071" s="1" t="s">
        <v>7</v>
      </c>
      <c r="B15071" s="2">
        <v>44783.0</v>
      </c>
      <c r="C15071" s="3">
        <v>0.33729166666666666</v>
      </c>
      <c r="D15071" s="1">
        <v>12.788266</v>
      </c>
      <c r="E15071" s="1">
        <v>80.015847</v>
      </c>
      <c r="F15071" s="1">
        <v>2846.0</v>
      </c>
      <c r="G15071" s="1">
        <v>57.0</v>
      </c>
    </row>
    <row r="15072">
      <c r="A15072" s="1" t="s">
        <v>7</v>
      </c>
      <c r="B15072" s="2">
        <v>44783.0</v>
      </c>
      <c r="C15072" s="3">
        <v>0.3373148148148148</v>
      </c>
      <c r="D15072" s="1">
        <v>12.981453</v>
      </c>
      <c r="E15072" s="1">
        <v>80.166876</v>
      </c>
      <c r="F15072" s="1">
        <v>805.0</v>
      </c>
      <c r="G15072" s="1">
        <v>55.0</v>
      </c>
    </row>
    <row r="15073">
      <c r="A15073" s="1" t="s">
        <v>7</v>
      </c>
      <c r="B15073" s="2">
        <v>44783.0</v>
      </c>
      <c r="C15073" s="3">
        <v>0.3374537037037037</v>
      </c>
      <c r="D15073" s="1">
        <v>12.793264</v>
      </c>
      <c r="E15073" s="1">
        <v>80.018906</v>
      </c>
      <c r="F15073" s="1">
        <v>2846.0</v>
      </c>
      <c r="G15073" s="1">
        <v>58.0</v>
      </c>
    </row>
    <row r="15074">
      <c r="A15074" s="1" t="s">
        <v>7</v>
      </c>
      <c r="B15074" s="2">
        <v>44783.0</v>
      </c>
      <c r="C15074" s="3">
        <v>0.3374652777777778</v>
      </c>
      <c r="D15074" s="1">
        <v>12.980771</v>
      </c>
      <c r="E15074" s="1">
        <v>80.165622</v>
      </c>
      <c r="F15074" s="1">
        <v>805.0</v>
      </c>
      <c r="G15074" s="1">
        <v>57.0</v>
      </c>
    </row>
    <row r="15075">
      <c r="A15075" s="1" t="s">
        <v>8</v>
      </c>
      <c r="B15075" s="2">
        <v>44783.0</v>
      </c>
      <c r="C15075" s="3">
        <v>0.33773148148148147</v>
      </c>
      <c r="D15075" s="1">
        <v>12.942383</v>
      </c>
      <c r="E15075" s="1">
        <v>80.133173</v>
      </c>
      <c r="F15075" s="1">
        <v>3143.0</v>
      </c>
      <c r="G15075" s="1">
        <v>28.0</v>
      </c>
    </row>
    <row r="15076">
      <c r="A15076" s="1" t="s">
        <v>8</v>
      </c>
      <c r="B15076" s="2">
        <v>44783.0</v>
      </c>
      <c r="C15076" s="3">
        <v>0.33791666666666664</v>
      </c>
      <c r="D15076" s="1">
        <v>12.941036</v>
      </c>
      <c r="E15076" s="1">
        <v>80.131705</v>
      </c>
      <c r="F15076" s="1">
        <v>3143.0</v>
      </c>
      <c r="G15076" s="1">
        <v>43.0</v>
      </c>
    </row>
    <row r="15077">
      <c r="A15077" s="1" t="s">
        <v>7</v>
      </c>
      <c r="B15077" s="2">
        <v>44783.0</v>
      </c>
      <c r="C15077" s="3">
        <v>0.33793981481481483</v>
      </c>
      <c r="D15077" s="1">
        <v>12.943493</v>
      </c>
      <c r="E15077" s="1">
        <v>80.13419</v>
      </c>
      <c r="F15077" s="1">
        <v>5339.0</v>
      </c>
      <c r="G15077" s="1">
        <v>55.0</v>
      </c>
    </row>
    <row r="15078">
      <c r="A15078" s="1" t="s">
        <v>8</v>
      </c>
      <c r="B15078" s="2">
        <v>44783.0</v>
      </c>
      <c r="C15078" s="3">
        <v>0.33797453703703706</v>
      </c>
      <c r="D15078" s="1">
        <v>12.940293</v>
      </c>
      <c r="E15078" s="1">
        <v>80.130907</v>
      </c>
      <c r="F15078" s="1">
        <v>3143.0</v>
      </c>
      <c r="G15078" s="1">
        <v>43.0</v>
      </c>
    </row>
    <row r="15079">
      <c r="A15079" s="1" t="s">
        <v>8</v>
      </c>
      <c r="B15079" s="2">
        <v>44783.0</v>
      </c>
      <c r="C15079" s="3">
        <v>0.33827546296296296</v>
      </c>
      <c r="D15079" s="1">
        <v>12.97971</v>
      </c>
      <c r="E15079" s="1">
        <v>80.162564</v>
      </c>
      <c r="F15079" s="1">
        <v>805.0</v>
      </c>
      <c r="G15079" s="1">
        <v>33.0</v>
      </c>
    </row>
    <row r="15080">
      <c r="A15080" s="1" t="s">
        <v>8</v>
      </c>
      <c r="B15080" s="2">
        <v>44783.0</v>
      </c>
      <c r="C15080" s="3">
        <v>0.33841435185185187</v>
      </c>
      <c r="D15080" s="1">
        <v>12.937921</v>
      </c>
      <c r="E15080" s="1">
        <v>80.128742</v>
      </c>
      <c r="F15080" s="1">
        <v>3143.0</v>
      </c>
      <c r="G15080" s="1">
        <v>36.0</v>
      </c>
    </row>
    <row r="15081">
      <c r="A15081" s="1" t="s">
        <v>7</v>
      </c>
      <c r="B15081" s="2">
        <v>44783.0</v>
      </c>
      <c r="C15081" s="3">
        <v>0.33848379629629627</v>
      </c>
      <c r="D15081" s="1">
        <v>12.800459</v>
      </c>
      <c r="E15081" s="1">
        <v>80.023648</v>
      </c>
      <c r="F15081" s="1">
        <v>2846.0</v>
      </c>
      <c r="G15081" s="1">
        <v>58.0</v>
      </c>
    </row>
    <row r="15082">
      <c r="A15082" s="1" t="s">
        <v>8</v>
      </c>
      <c r="B15082" s="2">
        <v>44783.0</v>
      </c>
      <c r="C15082" s="3">
        <v>0.3386342592592593</v>
      </c>
      <c r="D15082" s="1">
        <v>12.937982</v>
      </c>
      <c r="E15082" s="1">
        <v>80.128806</v>
      </c>
      <c r="F15082" s="1">
        <v>5339.0</v>
      </c>
      <c r="G15082" s="1">
        <v>32.0</v>
      </c>
    </row>
    <row r="15083">
      <c r="A15083" s="1" t="s">
        <v>7</v>
      </c>
      <c r="B15083" s="2">
        <v>44783.0</v>
      </c>
      <c r="C15083" s="3">
        <v>0.33869212962962963</v>
      </c>
      <c r="D15083" s="1">
        <v>12.806607</v>
      </c>
      <c r="E15083" s="1">
        <v>80.02765</v>
      </c>
      <c r="F15083" s="1">
        <v>2846.0</v>
      </c>
      <c r="G15083" s="1">
        <v>58.0</v>
      </c>
    </row>
    <row r="15084">
      <c r="A15084" s="1" t="s">
        <v>8</v>
      </c>
      <c r="B15084" s="2">
        <v>44783.0</v>
      </c>
      <c r="C15084" s="3">
        <v>0.3387384259259259</v>
      </c>
      <c r="D15084" s="1">
        <v>12.936248</v>
      </c>
      <c r="E15084" s="1">
        <v>80.127334</v>
      </c>
      <c r="F15084" s="1">
        <v>3143.0</v>
      </c>
      <c r="G15084" s="1">
        <v>25.0</v>
      </c>
    </row>
    <row r="15085">
      <c r="A15085" s="1" t="s">
        <v>7</v>
      </c>
      <c r="B15085" s="2">
        <v>44783.0</v>
      </c>
      <c r="C15085" s="3">
        <v>0.3387615740740741</v>
      </c>
      <c r="D15085" s="1">
        <v>12.976083</v>
      </c>
      <c r="E15085" s="1">
        <v>80.15721</v>
      </c>
      <c r="F15085" s="1">
        <v>805.0</v>
      </c>
      <c r="G15085" s="1">
        <v>59.0</v>
      </c>
    </row>
    <row r="15086">
      <c r="A15086" s="1" t="s">
        <v>8</v>
      </c>
      <c r="B15086" s="2">
        <v>44783.0</v>
      </c>
      <c r="C15086" s="3">
        <v>0.33881944444444445</v>
      </c>
      <c r="D15086" s="1">
        <v>12.979149</v>
      </c>
      <c r="E15086" s="1">
        <v>80.161689</v>
      </c>
      <c r="F15086" s="1">
        <v>805.0</v>
      </c>
      <c r="G15086" s="1">
        <v>45.0</v>
      </c>
    </row>
    <row r="15087">
      <c r="A15087" s="1" t="s">
        <v>9</v>
      </c>
      <c r="B15087" s="2">
        <v>44783.0</v>
      </c>
      <c r="C15087" s="3">
        <v>0.3391087962962963</v>
      </c>
      <c r="D15087" s="1">
        <v>12.935552</v>
      </c>
      <c r="E15087" s="1">
        <v>80.126726</v>
      </c>
      <c r="F15087" s="1">
        <v>5339.0</v>
      </c>
      <c r="G15087" s="1">
        <v>39.0</v>
      </c>
    </row>
    <row r="15088">
      <c r="A15088" s="1" t="s">
        <v>8</v>
      </c>
      <c r="B15088" s="2">
        <v>44783.0</v>
      </c>
      <c r="C15088" s="3">
        <v>0.3394097222222222</v>
      </c>
      <c r="D15088" s="1">
        <v>12.934377</v>
      </c>
      <c r="E15088" s="1">
        <v>80.12561</v>
      </c>
      <c r="F15088" s="1">
        <v>5339.0</v>
      </c>
      <c r="G15088" s="1">
        <v>40.0</v>
      </c>
    </row>
    <row r="15089">
      <c r="A15089" s="1" t="s">
        <v>8</v>
      </c>
      <c r="B15089" s="2">
        <v>44783.0</v>
      </c>
      <c r="C15089" s="3">
        <v>0.33943287037037034</v>
      </c>
      <c r="D15089" s="1">
        <v>12.93326</v>
      </c>
      <c r="E15089" s="1">
        <v>80.124561</v>
      </c>
      <c r="F15089" s="1">
        <v>3143.0</v>
      </c>
      <c r="G15089" s="1">
        <v>44.0</v>
      </c>
    </row>
    <row r="15090">
      <c r="A15090" s="1" t="s">
        <v>8</v>
      </c>
      <c r="B15090" s="2">
        <v>44783.0</v>
      </c>
      <c r="C15090" s="3">
        <v>0.33949074074074076</v>
      </c>
      <c r="D15090" s="1">
        <v>12.933623</v>
      </c>
      <c r="E15090" s="1">
        <v>80.124893</v>
      </c>
      <c r="F15090" s="1">
        <v>5339.0</v>
      </c>
      <c r="G15090" s="1">
        <v>37.0</v>
      </c>
    </row>
    <row r="15091">
      <c r="A15091" s="1" t="s">
        <v>8</v>
      </c>
      <c r="B15091" s="2">
        <v>44783.0</v>
      </c>
      <c r="C15091" s="3">
        <v>0.3401388888888889</v>
      </c>
      <c r="D15091" s="1">
        <v>12.81879</v>
      </c>
      <c r="E15091" s="1">
        <v>80.035778</v>
      </c>
      <c r="F15091" s="1">
        <v>2846.0</v>
      </c>
      <c r="G15091" s="1">
        <v>58.0</v>
      </c>
    </row>
    <row r="15092">
      <c r="A15092" s="1" t="s">
        <v>7</v>
      </c>
      <c r="B15092" s="2">
        <v>44783.0</v>
      </c>
      <c r="C15092" s="3">
        <v>0.34028935185185183</v>
      </c>
      <c r="D15092" s="1">
        <v>12.82287</v>
      </c>
      <c r="E15092" s="1">
        <v>80.038647</v>
      </c>
      <c r="F15092" s="1">
        <v>2846.0</v>
      </c>
      <c r="G15092" s="1">
        <v>49.0</v>
      </c>
    </row>
    <row r="15093">
      <c r="A15093" s="1" t="s">
        <v>7</v>
      </c>
      <c r="B15093" s="2">
        <v>44783.0</v>
      </c>
      <c r="C15093" s="3">
        <v>0.34056712962962965</v>
      </c>
      <c r="D15093" s="1">
        <v>12.823959</v>
      </c>
      <c r="E15093" s="1">
        <v>80.03944</v>
      </c>
      <c r="F15093" s="1">
        <v>2846.0</v>
      </c>
      <c r="G15093" s="1">
        <v>57.0</v>
      </c>
    </row>
    <row r="15094">
      <c r="A15094" s="1" t="s">
        <v>7</v>
      </c>
      <c r="B15094" s="2">
        <v>44783.0</v>
      </c>
      <c r="C15094" s="3">
        <v>0.3407060185185185</v>
      </c>
      <c r="D15094" s="1">
        <v>12.962289</v>
      </c>
      <c r="E15094" s="1">
        <v>80.146507</v>
      </c>
      <c r="F15094" s="1">
        <v>805.0</v>
      </c>
      <c r="G15094" s="1">
        <v>52.0</v>
      </c>
    </row>
    <row r="15095">
      <c r="A15095" s="1" t="s">
        <v>7</v>
      </c>
      <c r="B15095" s="2">
        <v>44783.0</v>
      </c>
      <c r="C15095" s="3">
        <v>0.3409259259259259</v>
      </c>
      <c r="D15095" s="1">
        <v>12.959967</v>
      </c>
      <c r="E15095" s="1">
        <v>80.145227</v>
      </c>
      <c r="F15095" s="1">
        <v>805.0</v>
      </c>
      <c r="G15095" s="1">
        <v>54.0</v>
      </c>
    </row>
    <row r="15096">
      <c r="A15096" s="1" t="s">
        <v>7</v>
      </c>
      <c r="B15096" s="2">
        <v>44783.0</v>
      </c>
      <c r="C15096" s="3">
        <v>0.3409490740740741</v>
      </c>
      <c r="D15096" s="1">
        <v>12.829413</v>
      </c>
      <c r="E15096" s="1">
        <v>80.044334</v>
      </c>
      <c r="F15096" s="1">
        <v>2846.0</v>
      </c>
      <c r="G15096" s="1">
        <v>55.0</v>
      </c>
    </row>
    <row r="15097">
      <c r="A15097" s="1" t="s">
        <v>8</v>
      </c>
      <c r="B15097" s="2">
        <v>44783.0</v>
      </c>
      <c r="C15097" s="3">
        <v>0.34099537037037037</v>
      </c>
      <c r="D15097" s="1">
        <v>12.958731</v>
      </c>
      <c r="E15097" s="1">
        <v>80.14457</v>
      </c>
      <c r="F15097" s="1">
        <v>805.0</v>
      </c>
      <c r="G15097" s="1">
        <v>53.0</v>
      </c>
    </row>
    <row r="15098">
      <c r="A15098" s="1" t="s">
        <v>8</v>
      </c>
      <c r="B15098" s="2">
        <v>44783.0</v>
      </c>
      <c r="C15098" s="3">
        <v>0.3412962962962963</v>
      </c>
      <c r="D15098" s="1">
        <v>12.956497</v>
      </c>
      <c r="E15098" s="1">
        <v>80.143398</v>
      </c>
      <c r="F15098" s="1">
        <v>805.0</v>
      </c>
      <c r="G15098" s="1">
        <v>38.0</v>
      </c>
    </row>
    <row r="15099">
      <c r="A15099" s="1" t="s">
        <v>7</v>
      </c>
      <c r="B15099" s="2">
        <v>44783.0</v>
      </c>
      <c r="C15099" s="3">
        <v>0.3413310185185185</v>
      </c>
      <c r="D15099" s="1">
        <v>12.829413</v>
      </c>
      <c r="E15099" s="1">
        <v>80.044334</v>
      </c>
      <c r="F15099" s="1">
        <v>2846.0</v>
      </c>
      <c r="G15099" s="1">
        <v>55.0</v>
      </c>
    </row>
    <row r="15100">
      <c r="A15100" s="1" t="s">
        <v>8</v>
      </c>
      <c r="B15100" s="2">
        <v>44783.0</v>
      </c>
      <c r="C15100" s="3">
        <v>0.34140046296296295</v>
      </c>
      <c r="D15100" s="1">
        <v>12.930628</v>
      </c>
      <c r="E15100" s="1">
        <v>80.116575</v>
      </c>
      <c r="F15100" s="1">
        <v>3143.0</v>
      </c>
      <c r="G15100" s="1">
        <v>34.0</v>
      </c>
    </row>
    <row r="15101">
      <c r="A15101" s="1" t="s">
        <v>8</v>
      </c>
      <c r="B15101" s="2">
        <v>44783.0</v>
      </c>
      <c r="C15101" s="3">
        <v>0.3414351851851852</v>
      </c>
      <c r="D15101" s="1">
        <v>12.955593</v>
      </c>
      <c r="E15101" s="1">
        <v>80.142901</v>
      </c>
      <c r="F15101" s="1">
        <v>805.0</v>
      </c>
      <c r="G15101" s="1">
        <v>39.0</v>
      </c>
    </row>
    <row r="15102">
      <c r="A15102" s="1" t="s">
        <v>7</v>
      </c>
      <c r="B15102" s="2">
        <v>44783.0</v>
      </c>
      <c r="C15102" s="3">
        <v>0.34152777777777776</v>
      </c>
      <c r="D15102" s="1">
        <v>12.83403</v>
      </c>
      <c r="E15102" s="1">
        <v>80.049188</v>
      </c>
      <c r="F15102" s="1">
        <v>2846.0</v>
      </c>
      <c r="G15102" s="1">
        <v>58.0</v>
      </c>
    </row>
    <row r="15103">
      <c r="A15103" s="1" t="s">
        <v>8</v>
      </c>
      <c r="B15103" s="2">
        <v>44783.0</v>
      </c>
      <c r="C15103" s="3">
        <v>0.34163194444444445</v>
      </c>
      <c r="D15103" s="1">
        <v>12.926747</v>
      </c>
      <c r="E15103" s="1">
        <v>80.117967</v>
      </c>
      <c r="F15103" s="1">
        <v>5339.0</v>
      </c>
      <c r="G15103" s="1">
        <v>22.0</v>
      </c>
    </row>
    <row r="15104">
      <c r="A15104" s="1" t="s">
        <v>8</v>
      </c>
      <c r="B15104" s="2">
        <v>44783.0</v>
      </c>
      <c r="C15104" s="3">
        <v>0.3418981481481482</v>
      </c>
      <c r="D15104" s="1">
        <v>12.952584</v>
      </c>
      <c r="E15104" s="1">
        <v>80.14124</v>
      </c>
      <c r="F15104" s="1">
        <v>805.0</v>
      </c>
      <c r="G15104" s="1">
        <v>26.0</v>
      </c>
    </row>
    <row r="15105">
      <c r="A15105" s="1" t="s">
        <v>8</v>
      </c>
      <c r="B15105" s="2">
        <v>44783.0</v>
      </c>
      <c r="C15105" s="3">
        <v>0.34199074074074076</v>
      </c>
      <c r="D15105" s="1">
        <v>12.922851</v>
      </c>
      <c r="E15105" s="1">
        <v>80.114052</v>
      </c>
      <c r="F15105" s="1">
        <v>5339.0</v>
      </c>
      <c r="G15105" s="1">
        <v>32.0</v>
      </c>
    </row>
    <row r="15106">
      <c r="A15106" s="1" t="s">
        <v>7</v>
      </c>
      <c r="B15106" s="2">
        <v>44783.0</v>
      </c>
      <c r="C15106" s="3">
        <v>0.3421412037037037</v>
      </c>
      <c r="D15106" s="1">
        <v>12.839132</v>
      </c>
      <c r="E15106" s="1">
        <v>80.054508</v>
      </c>
      <c r="F15106" s="1">
        <v>2846.0</v>
      </c>
      <c r="G15106" s="1">
        <v>57.0</v>
      </c>
    </row>
    <row r="15107">
      <c r="A15107" s="1" t="s">
        <v>8</v>
      </c>
      <c r="B15107" s="2">
        <v>44783.0</v>
      </c>
      <c r="C15107" s="3">
        <v>0.34247685185185184</v>
      </c>
      <c r="D15107" s="1">
        <v>12.949019</v>
      </c>
      <c r="E15107" s="1">
        <v>80.138414</v>
      </c>
      <c r="F15107" s="1">
        <v>805.0</v>
      </c>
      <c r="G15107" s="1">
        <v>48.0</v>
      </c>
    </row>
    <row r="15108">
      <c r="A15108" s="1" t="s">
        <v>10</v>
      </c>
      <c r="B15108" s="2">
        <v>44783.0</v>
      </c>
      <c r="C15108" s="3">
        <v>0.3425925925925926</v>
      </c>
      <c r="D15108" s="1">
        <v>12.84063</v>
      </c>
      <c r="E15108" s="1">
        <v>80.056032</v>
      </c>
      <c r="F15108" s="1">
        <v>2846.0</v>
      </c>
      <c r="G15108" s="1">
        <v>9.0</v>
      </c>
    </row>
    <row r="15109">
      <c r="A15109" s="1" t="s">
        <v>8</v>
      </c>
      <c r="B15109" s="2">
        <v>44783.0</v>
      </c>
      <c r="C15109" s="3">
        <v>0.34270833333333334</v>
      </c>
      <c r="D15109" s="1">
        <v>12.947474</v>
      </c>
      <c r="E15109" s="1">
        <v>80.137263</v>
      </c>
      <c r="F15109" s="1">
        <v>805.0</v>
      </c>
      <c r="G15109" s="1">
        <v>29.0</v>
      </c>
    </row>
    <row r="15110">
      <c r="A15110" s="1" t="s">
        <v>8</v>
      </c>
      <c r="B15110" s="2">
        <v>44783.0</v>
      </c>
      <c r="C15110" s="3">
        <v>0.3429513888888889</v>
      </c>
      <c r="D15110" s="1">
        <v>12.84063</v>
      </c>
      <c r="E15110" s="1">
        <v>80.056032</v>
      </c>
      <c r="F15110" s="1">
        <v>2846.0</v>
      </c>
      <c r="G15110" s="1">
        <v>9.0</v>
      </c>
    </row>
    <row r="15111">
      <c r="A15111" s="1" t="s">
        <v>9</v>
      </c>
      <c r="B15111" s="2">
        <v>44783.0</v>
      </c>
      <c r="C15111" s="3">
        <v>0.3433912037037037</v>
      </c>
      <c r="D15111" s="1">
        <v>12.914079</v>
      </c>
      <c r="E15111" s="1">
        <v>80.102132</v>
      </c>
      <c r="F15111" s="1">
        <v>5339.0</v>
      </c>
      <c r="G15111" s="1">
        <v>51.0</v>
      </c>
    </row>
    <row r="15112">
      <c r="A15112" s="1" t="s">
        <v>8</v>
      </c>
      <c r="B15112" s="2">
        <v>44783.0</v>
      </c>
      <c r="C15112" s="3">
        <v>0.3436342592592593</v>
      </c>
      <c r="D15112" s="1">
        <v>12.911766</v>
      </c>
      <c r="E15112" s="1">
        <v>80.101432</v>
      </c>
      <c r="F15112" s="1">
        <v>5339.0</v>
      </c>
      <c r="G15112" s="1">
        <v>51.0</v>
      </c>
    </row>
    <row r="15113">
      <c r="A15113" s="1" t="s">
        <v>8</v>
      </c>
      <c r="B15113" s="2">
        <v>44783.0</v>
      </c>
      <c r="C15113" s="3">
        <v>0.34375</v>
      </c>
      <c r="D15113" s="1">
        <v>12.942384</v>
      </c>
      <c r="E15113" s="1">
        <v>80.133011</v>
      </c>
      <c r="F15113" s="1">
        <v>805.0</v>
      </c>
      <c r="G15113" s="1">
        <v>26.0</v>
      </c>
    </row>
    <row r="15114">
      <c r="A15114" s="1" t="s">
        <v>8</v>
      </c>
      <c r="B15114" s="2">
        <v>44783.0</v>
      </c>
      <c r="C15114" s="3">
        <v>0.3439351851851852</v>
      </c>
      <c r="D15114" s="1">
        <v>12.94114</v>
      </c>
      <c r="E15114" s="1">
        <v>80.131728</v>
      </c>
      <c r="F15114" s="1">
        <v>805.0</v>
      </c>
      <c r="G15114" s="1">
        <v>41.0</v>
      </c>
    </row>
    <row r="15115">
      <c r="A15115" s="1" t="s">
        <v>7</v>
      </c>
      <c r="B15115" s="2">
        <v>44783.0</v>
      </c>
      <c r="C15115" s="3">
        <v>0.344375</v>
      </c>
      <c r="D15115" s="1">
        <v>12.84936</v>
      </c>
      <c r="E15115" s="1">
        <v>80.064216</v>
      </c>
      <c r="F15115" s="1">
        <v>2846.0</v>
      </c>
      <c r="G15115" s="1">
        <v>58.0</v>
      </c>
    </row>
    <row r="15116">
      <c r="A15116" s="1" t="s">
        <v>8</v>
      </c>
      <c r="B15116" s="2">
        <v>44783.0</v>
      </c>
      <c r="C15116" s="3">
        <v>0.344375</v>
      </c>
      <c r="D15116" s="1">
        <v>12.908327</v>
      </c>
      <c r="E15116" s="1">
        <v>80.098069</v>
      </c>
      <c r="F15116" s="1">
        <v>5339.0</v>
      </c>
      <c r="G15116" s="1">
        <v>35.0</v>
      </c>
    </row>
    <row r="15117">
      <c r="A15117" s="1" t="s">
        <v>8</v>
      </c>
      <c r="B15117" s="2">
        <v>44783.0</v>
      </c>
      <c r="C15117" s="3">
        <v>0.34445601851851854</v>
      </c>
      <c r="D15117" s="1">
        <v>12.907579</v>
      </c>
      <c r="E15117" s="1">
        <v>80.09745</v>
      </c>
      <c r="F15117" s="1">
        <v>5339.0</v>
      </c>
      <c r="G15117" s="1">
        <v>38.0</v>
      </c>
    </row>
    <row r="15118">
      <c r="A15118" s="1" t="s">
        <v>8</v>
      </c>
      <c r="B15118" s="2">
        <v>44783.0</v>
      </c>
      <c r="C15118" s="3">
        <v>0.34480324074074076</v>
      </c>
      <c r="D15118" s="1">
        <v>12.925759</v>
      </c>
      <c r="E15118" s="1">
        <v>80.106141</v>
      </c>
      <c r="F15118" s="1">
        <v>3143.0</v>
      </c>
      <c r="G15118" s="1">
        <v>0.0</v>
      </c>
    </row>
    <row r="15119">
      <c r="A15119" s="1" t="s">
        <v>10</v>
      </c>
      <c r="B15119" s="2">
        <v>44783.0</v>
      </c>
      <c r="C15119" s="3">
        <v>0.3448726851851852</v>
      </c>
      <c r="D15119" s="1">
        <v>12.925687</v>
      </c>
      <c r="E15119" s="1">
        <v>80.105151</v>
      </c>
      <c r="F15119" s="1">
        <v>3143.0</v>
      </c>
      <c r="G15119" s="1">
        <v>37.0</v>
      </c>
    </row>
    <row r="15120">
      <c r="A15120" s="1" t="s">
        <v>8</v>
      </c>
      <c r="B15120" s="2">
        <v>44783.0</v>
      </c>
      <c r="C15120" s="3">
        <v>0.34497685185185184</v>
      </c>
      <c r="D15120" s="1">
        <v>12.936152</v>
      </c>
      <c r="E15120" s="1">
        <v>80.127267</v>
      </c>
      <c r="F15120" s="1">
        <v>805.0</v>
      </c>
      <c r="G15120" s="1">
        <v>22.0</v>
      </c>
    </row>
    <row r="15121">
      <c r="A15121" s="1" t="s">
        <v>8</v>
      </c>
      <c r="B15121" s="2">
        <v>44783.0</v>
      </c>
      <c r="C15121" s="3">
        <v>0.3453125</v>
      </c>
      <c r="D15121" s="1">
        <v>12.904707</v>
      </c>
      <c r="E15121" s="1">
        <v>80.095277</v>
      </c>
      <c r="F15121" s="1">
        <v>5339.0</v>
      </c>
      <c r="G15121" s="1">
        <v>37.0</v>
      </c>
    </row>
    <row r="15122">
      <c r="A15122" s="1" t="s">
        <v>8</v>
      </c>
      <c r="B15122" s="2">
        <v>44783.0</v>
      </c>
      <c r="C15122" s="3">
        <v>0.3453125</v>
      </c>
      <c r="D15122" s="1">
        <v>12.85543</v>
      </c>
      <c r="E15122" s="1">
        <v>80.068643</v>
      </c>
      <c r="F15122" s="1">
        <v>2846.0</v>
      </c>
      <c r="G15122" s="1">
        <v>43.0</v>
      </c>
    </row>
    <row r="15123">
      <c r="A15123" s="1" t="s">
        <v>8</v>
      </c>
      <c r="B15123" s="2">
        <v>44783.0</v>
      </c>
      <c r="C15123" s="3">
        <v>0.34542824074074074</v>
      </c>
      <c r="D15123" s="1">
        <v>12.858438</v>
      </c>
      <c r="E15123" s="1">
        <v>80.070904</v>
      </c>
      <c r="F15123" s="1">
        <v>2846.0</v>
      </c>
      <c r="G15123" s="1">
        <v>49.0</v>
      </c>
    </row>
    <row r="15124">
      <c r="A15124" s="1" t="s">
        <v>8</v>
      </c>
      <c r="B15124" s="2">
        <v>44783.0</v>
      </c>
      <c r="C15124" s="3">
        <v>0.34619212962962964</v>
      </c>
      <c r="D15124" s="1">
        <v>12.930407</v>
      </c>
      <c r="E15124" s="1">
        <v>80.121713</v>
      </c>
      <c r="F15124" s="1">
        <v>805.0</v>
      </c>
      <c r="G15124" s="1">
        <v>42.0</v>
      </c>
    </row>
    <row r="15125">
      <c r="A15125" s="1" t="s">
        <v>7</v>
      </c>
      <c r="B15125" s="2">
        <v>44783.0</v>
      </c>
      <c r="C15125" s="3">
        <v>0.34629629629629627</v>
      </c>
      <c r="D15125" s="1">
        <v>12.930407</v>
      </c>
      <c r="E15125" s="1">
        <v>80.121713</v>
      </c>
      <c r="F15125" s="1">
        <v>805.0</v>
      </c>
      <c r="G15125" s="1">
        <v>42.0</v>
      </c>
    </row>
    <row r="15126">
      <c r="A15126" s="1" t="s">
        <v>7</v>
      </c>
      <c r="B15126" s="2">
        <v>44783.0</v>
      </c>
      <c r="C15126" s="3">
        <v>0.34630787037037036</v>
      </c>
      <c r="D15126" s="1">
        <v>12.865028</v>
      </c>
      <c r="E15126" s="1">
        <v>80.07455</v>
      </c>
      <c r="F15126" s="1">
        <v>2846.0</v>
      </c>
      <c r="G15126" s="1">
        <v>59.0</v>
      </c>
    </row>
    <row r="15127">
      <c r="A15127" s="1" t="s">
        <v>7</v>
      </c>
      <c r="B15127" s="2">
        <v>44783.0</v>
      </c>
      <c r="C15127" s="3">
        <v>0.3463657407407407</v>
      </c>
      <c r="D15127" s="1">
        <v>12.929709</v>
      </c>
      <c r="E15127" s="1">
        <v>80.121006</v>
      </c>
      <c r="F15127" s="1">
        <v>805.0</v>
      </c>
      <c r="G15127" s="1">
        <v>48.0</v>
      </c>
    </row>
    <row r="15128">
      <c r="A15128" s="1" t="s">
        <v>8</v>
      </c>
      <c r="B15128" s="2">
        <v>44783.0</v>
      </c>
      <c r="C15128" s="3">
        <v>0.3464351851851852</v>
      </c>
      <c r="D15128" s="1">
        <v>12.924712</v>
      </c>
      <c r="E15128" s="1">
        <v>80.09957</v>
      </c>
      <c r="F15128" s="1">
        <v>3143.0</v>
      </c>
      <c r="G15128" s="1">
        <v>14.0</v>
      </c>
    </row>
    <row r="15129">
      <c r="A15129" s="1" t="s">
        <v>8</v>
      </c>
      <c r="B15129" s="2">
        <v>44783.0</v>
      </c>
      <c r="C15129" s="3">
        <v>0.34675925925925927</v>
      </c>
      <c r="D15129" s="1">
        <v>12.923279</v>
      </c>
      <c r="E15129" s="1">
        <v>80.09711</v>
      </c>
      <c r="F15129" s="1">
        <v>3143.0</v>
      </c>
      <c r="G15129" s="1">
        <v>50.0</v>
      </c>
    </row>
    <row r="15130">
      <c r="A15130" s="1" t="s">
        <v>9</v>
      </c>
      <c r="B15130" s="2">
        <v>44783.0</v>
      </c>
      <c r="C15130" s="3">
        <v>0.3467708333333333</v>
      </c>
      <c r="D15130" s="1">
        <v>12.870488</v>
      </c>
      <c r="E15130" s="1">
        <v>80.076635</v>
      </c>
      <c r="F15130" s="1">
        <v>2846.0</v>
      </c>
      <c r="G15130" s="1">
        <v>58.0</v>
      </c>
    </row>
    <row r="15131">
      <c r="A15131" s="1" t="s">
        <v>7</v>
      </c>
      <c r="B15131" s="2">
        <v>44783.0</v>
      </c>
      <c r="C15131" s="3">
        <v>0.34685185185185186</v>
      </c>
      <c r="D15131" s="1">
        <v>12.870488</v>
      </c>
      <c r="E15131" s="1">
        <v>80.076635</v>
      </c>
      <c r="F15131" s="1">
        <v>2846.0</v>
      </c>
      <c r="G15131" s="1">
        <v>58.0</v>
      </c>
    </row>
    <row r="15132">
      <c r="A15132" s="1" t="s">
        <v>7</v>
      </c>
      <c r="B15132" s="2">
        <v>44783.0</v>
      </c>
      <c r="C15132" s="3">
        <v>0.346875</v>
      </c>
      <c r="D15132" s="1">
        <v>12.870488</v>
      </c>
      <c r="E15132" s="1">
        <v>80.076635</v>
      </c>
      <c r="F15132" s="1">
        <v>2846.0</v>
      </c>
      <c r="G15132" s="1">
        <v>58.0</v>
      </c>
    </row>
    <row r="15133">
      <c r="A15133" s="1" t="s">
        <v>7</v>
      </c>
      <c r="B15133" s="2">
        <v>44783.0</v>
      </c>
      <c r="C15133" s="3">
        <v>0.34703703703703703</v>
      </c>
      <c r="D15133" s="1">
        <v>12.924454</v>
      </c>
      <c r="E15133" s="1">
        <v>80.115652</v>
      </c>
      <c r="F15133" s="1">
        <v>805.0</v>
      </c>
      <c r="G15133" s="1">
        <v>59.0</v>
      </c>
    </row>
    <row r="15134">
      <c r="A15134" s="1" t="s">
        <v>7</v>
      </c>
      <c r="B15134" s="2">
        <v>44783.0</v>
      </c>
      <c r="C15134" s="3">
        <v>0.3470486111111111</v>
      </c>
      <c r="D15134" s="1">
        <v>12.873216</v>
      </c>
      <c r="E15134" s="1">
        <v>80.077678</v>
      </c>
      <c r="F15134" s="1">
        <v>2846.0</v>
      </c>
      <c r="G15134" s="1">
        <v>57.0</v>
      </c>
    </row>
    <row r="15135">
      <c r="A15135" s="1" t="s">
        <v>8</v>
      </c>
      <c r="B15135" s="2">
        <v>44783.0</v>
      </c>
      <c r="C15135" s="3">
        <v>0.34724537037037034</v>
      </c>
      <c r="D15135" s="1">
        <v>12.922495</v>
      </c>
      <c r="E15135" s="1">
        <v>80.113717</v>
      </c>
      <c r="F15135" s="1">
        <v>805.0</v>
      </c>
      <c r="G15135" s="1">
        <v>54.0</v>
      </c>
    </row>
    <row r="15136">
      <c r="A15136" s="1" t="s">
        <v>8</v>
      </c>
      <c r="B15136" s="2">
        <v>44783.0</v>
      </c>
      <c r="C15136" s="3">
        <v>0.3473148148148148</v>
      </c>
      <c r="D15136" s="1">
        <v>12.922495</v>
      </c>
      <c r="E15136" s="1">
        <v>80.113717</v>
      </c>
      <c r="F15136" s="1">
        <v>805.0</v>
      </c>
      <c r="G15136" s="1">
        <v>54.0</v>
      </c>
    </row>
    <row r="15137">
      <c r="A15137" s="1" t="s">
        <v>10</v>
      </c>
      <c r="B15137" s="2">
        <v>44783.0</v>
      </c>
      <c r="C15137" s="3">
        <v>0.3475462962962963</v>
      </c>
      <c r="D15137" s="1">
        <v>12.921798</v>
      </c>
      <c r="E15137" s="1">
        <v>80.093554</v>
      </c>
      <c r="F15137" s="1">
        <v>3143.0</v>
      </c>
      <c r="G15137" s="1">
        <v>0.0</v>
      </c>
    </row>
    <row r="15138">
      <c r="A15138" s="1" t="s">
        <v>7</v>
      </c>
      <c r="B15138" s="2">
        <v>44783.0</v>
      </c>
      <c r="C15138" s="3">
        <v>0.34756944444444443</v>
      </c>
      <c r="D15138" s="1">
        <v>12.920716</v>
      </c>
      <c r="E15138" s="1">
        <v>80.111845</v>
      </c>
      <c r="F15138" s="1">
        <v>805.0</v>
      </c>
      <c r="G15138" s="1">
        <v>53.0</v>
      </c>
    </row>
    <row r="15139">
      <c r="A15139" s="1" t="s">
        <v>7</v>
      </c>
      <c r="B15139" s="2">
        <v>44783.0</v>
      </c>
      <c r="C15139" s="3">
        <v>0.34792824074074075</v>
      </c>
      <c r="D15139" s="1">
        <v>12.893957</v>
      </c>
      <c r="E15139" s="1">
        <v>80.086997</v>
      </c>
      <c r="F15139" s="1">
        <v>5339.0</v>
      </c>
      <c r="G15139" s="1">
        <v>55.0</v>
      </c>
    </row>
    <row r="15140">
      <c r="A15140" s="1" t="s">
        <v>8</v>
      </c>
      <c r="B15140" s="2">
        <v>44783.0</v>
      </c>
      <c r="C15140" s="3">
        <v>0.3481828703703704</v>
      </c>
      <c r="D15140" s="1">
        <v>12.921441</v>
      </c>
      <c r="E15140" s="1">
        <v>80.092059</v>
      </c>
      <c r="F15140" s="1">
        <v>3143.0</v>
      </c>
      <c r="G15140" s="1">
        <v>38.0</v>
      </c>
    </row>
    <row r="15141">
      <c r="A15141" s="1" t="s">
        <v>8</v>
      </c>
      <c r="B15141" s="2">
        <v>44783.0</v>
      </c>
      <c r="C15141" s="3">
        <v>0.34850694444444447</v>
      </c>
      <c r="D15141" s="1">
        <v>12.920869</v>
      </c>
      <c r="E15141" s="1">
        <v>80.089722</v>
      </c>
      <c r="F15141" s="1">
        <v>3143.0</v>
      </c>
      <c r="G15141" s="1">
        <v>21.0</v>
      </c>
    </row>
    <row r="15142">
      <c r="A15142" s="1" t="s">
        <v>7</v>
      </c>
      <c r="B15142" s="2">
        <v>44783.0</v>
      </c>
      <c r="C15142" s="3">
        <v>0.3487384259259259</v>
      </c>
      <c r="D15142" s="1">
        <v>12.915424</v>
      </c>
      <c r="E15142" s="1">
        <v>80.104281</v>
      </c>
      <c r="F15142" s="1">
        <v>805.0</v>
      </c>
      <c r="G15142" s="1">
        <v>57.0</v>
      </c>
    </row>
    <row r="15143">
      <c r="A15143" s="1" t="s">
        <v>8</v>
      </c>
      <c r="B15143" s="2">
        <v>44783.0</v>
      </c>
      <c r="C15143" s="3">
        <v>0.3487615740740741</v>
      </c>
      <c r="D15143" s="1">
        <v>12.885346</v>
      </c>
      <c r="E15143" s="1">
        <v>80.082744</v>
      </c>
      <c r="F15143" s="1">
        <v>5339.0</v>
      </c>
      <c r="G15143" s="1">
        <v>51.0</v>
      </c>
    </row>
    <row r="15144">
      <c r="A15144" s="1" t="s">
        <v>8</v>
      </c>
      <c r="B15144" s="2">
        <v>44783.0</v>
      </c>
      <c r="C15144" s="3">
        <v>0.3494212962962963</v>
      </c>
      <c r="D15144" s="1">
        <v>12.918997</v>
      </c>
      <c r="E15144" s="1">
        <v>80.08354</v>
      </c>
      <c r="F15144" s="1">
        <v>3143.0</v>
      </c>
      <c r="G15144" s="1">
        <v>12.0</v>
      </c>
    </row>
    <row r="15145">
      <c r="A15145" s="1" t="s">
        <v>8</v>
      </c>
      <c r="B15145" s="2">
        <v>44783.0</v>
      </c>
      <c r="C15145" s="3">
        <v>0.3494791666666667</v>
      </c>
      <c r="D15145" s="1">
        <v>12.918802</v>
      </c>
      <c r="E15145" s="1">
        <v>80.08298</v>
      </c>
      <c r="F15145" s="1">
        <v>3143.0</v>
      </c>
      <c r="G15145" s="1">
        <v>31.0</v>
      </c>
    </row>
    <row r="15146">
      <c r="A15146" s="1" t="s">
        <v>8</v>
      </c>
      <c r="B15146" s="2">
        <v>44783.0</v>
      </c>
      <c r="C15146" s="3">
        <v>0.34988425925925926</v>
      </c>
      <c r="D15146" s="1">
        <v>12.918085</v>
      </c>
      <c r="E15146" s="1">
        <v>80.081078</v>
      </c>
      <c r="F15146" s="1">
        <v>3143.0</v>
      </c>
      <c r="G15146" s="1">
        <v>30.0</v>
      </c>
    </row>
    <row r="15147">
      <c r="A15147" s="1" t="s">
        <v>8</v>
      </c>
      <c r="B15147" s="2">
        <v>44783.0</v>
      </c>
      <c r="C15147" s="3">
        <v>0.3499305555555556</v>
      </c>
      <c r="D15147" s="1">
        <v>12.918085</v>
      </c>
      <c r="E15147" s="1">
        <v>80.081078</v>
      </c>
      <c r="F15147" s="1">
        <v>3143.0</v>
      </c>
      <c r="G15147" s="1">
        <v>30.0</v>
      </c>
    </row>
    <row r="15148">
      <c r="A15148" s="1" t="s">
        <v>8</v>
      </c>
      <c r="B15148" s="2">
        <v>44783.0</v>
      </c>
      <c r="C15148" s="3">
        <v>0.35032407407407407</v>
      </c>
      <c r="D15148" s="1">
        <v>12.90466</v>
      </c>
      <c r="E15148" s="1">
        <v>80.095208</v>
      </c>
      <c r="F15148" s="1">
        <v>805.0</v>
      </c>
      <c r="G15148" s="1">
        <v>39.0</v>
      </c>
    </row>
    <row r="15149">
      <c r="A15149" s="1" t="s">
        <v>8</v>
      </c>
      <c r="B15149" s="2">
        <v>44783.0</v>
      </c>
      <c r="C15149" s="3">
        <v>0.3508449074074074</v>
      </c>
      <c r="D15149" s="1">
        <v>12.900663</v>
      </c>
      <c r="E15149" s="1">
        <v>80.092044</v>
      </c>
      <c r="F15149" s="1">
        <v>805.0</v>
      </c>
      <c r="G15149" s="1">
        <v>58.0</v>
      </c>
    </row>
    <row r="15150">
      <c r="A15150" s="1" t="s">
        <v>8</v>
      </c>
      <c r="B15150" s="2">
        <v>44783.0</v>
      </c>
      <c r="C15150" s="3">
        <v>0.3515972222222222</v>
      </c>
      <c r="D15150" s="1">
        <v>12.878249</v>
      </c>
      <c r="E15150" s="1">
        <v>80.08276</v>
      </c>
      <c r="F15150" s="1">
        <v>5339.0</v>
      </c>
      <c r="G15150" s="1">
        <v>42.0</v>
      </c>
    </row>
    <row r="15151">
      <c r="A15151" s="1" t="s">
        <v>8</v>
      </c>
      <c r="B15151" s="2">
        <v>44783.0</v>
      </c>
      <c r="C15151" s="3">
        <v>0.35175925925925927</v>
      </c>
      <c r="D15151" s="1">
        <v>12.877901</v>
      </c>
      <c r="E15151" s="1">
        <v>80.083733</v>
      </c>
      <c r="F15151" s="1">
        <v>5339.0</v>
      </c>
      <c r="G15151" s="1">
        <v>38.0</v>
      </c>
    </row>
    <row r="15152">
      <c r="A15152" s="1" t="s">
        <v>7</v>
      </c>
      <c r="B15152" s="2">
        <v>44783.0</v>
      </c>
      <c r="C15152" s="3">
        <v>0.3518981481481481</v>
      </c>
      <c r="D15152" s="1">
        <v>12.908055</v>
      </c>
      <c r="E15152" s="1">
        <v>80.072952</v>
      </c>
      <c r="F15152" s="1">
        <v>3143.0</v>
      </c>
      <c r="G15152" s="1">
        <v>51.0</v>
      </c>
    </row>
    <row r="15153">
      <c r="A15153" s="1" t="s">
        <v>7</v>
      </c>
      <c r="B15153" s="2">
        <v>44783.0</v>
      </c>
      <c r="C15153" s="3">
        <v>0.35208333333333336</v>
      </c>
      <c r="D15153" s="1">
        <v>12.904005</v>
      </c>
      <c r="E15153" s="1">
        <v>80.071705</v>
      </c>
      <c r="F15153" s="1">
        <v>3143.0</v>
      </c>
      <c r="G15153" s="1">
        <v>58.0</v>
      </c>
    </row>
    <row r="15154">
      <c r="A15154" s="1" t="s">
        <v>7</v>
      </c>
      <c r="B15154" s="2">
        <v>44783.0</v>
      </c>
      <c r="C15154" s="3">
        <v>0.35239583333333335</v>
      </c>
      <c r="D15154" s="1">
        <v>12.899735</v>
      </c>
      <c r="E15154" s="1">
        <v>80.07082</v>
      </c>
      <c r="F15154" s="1">
        <v>3143.0</v>
      </c>
      <c r="G15154" s="1">
        <v>56.0</v>
      </c>
    </row>
    <row r="15155">
      <c r="A15155" s="1" t="s">
        <v>8</v>
      </c>
      <c r="B15155" s="2">
        <v>44783.0</v>
      </c>
      <c r="C15155" s="3">
        <v>0.3536111111111111</v>
      </c>
      <c r="D15155" s="1">
        <v>12.891601</v>
      </c>
      <c r="E15155" s="1">
        <v>80.08533</v>
      </c>
      <c r="F15155" s="1">
        <v>805.0</v>
      </c>
      <c r="G15155" s="1">
        <v>44.0</v>
      </c>
    </row>
    <row r="15156">
      <c r="A15156" s="1" t="s">
        <v>7</v>
      </c>
      <c r="B15156" s="2">
        <v>44783.0</v>
      </c>
      <c r="C15156" s="3">
        <v>0.35386574074074073</v>
      </c>
      <c r="D15156" s="1">
        <v>12.889753</v>
      </c>
      <c r="E15156" s="1">
        <v>80.084523</v>
      </c>
      <c r="F15156" s="1">
        <v>805.0</v>
      </c>
      <c r="G15156" s="1">
        <v>0.0</v>
      </c>
    </row>
    <row r="15157">
      <c r="A15157" s="1" t="s">
        <v>7</v>
      </c>
      <c r="B15157" s="2">
        <v>44783.0</v>
      </c>
      <c r="C15157" s="3">
        <v>0.3540740740740741</v>
      </c>
      <c r="D15157" s="1">
        <v>12.887129</v>
      </c>
      <c r="E15157" s="1">
        <v>80.083476</v>
      </c>
      <c r="F15157" s="1">
        <v>805.0</v>
      </c>
      <c r="G15157" s="1">
        <v>57.0</v>
      </c>
    </row>
    <row r="15158">
      <c r="A15158" s="1" t="s">
        <v>8</v>
      </c>
      <c r="B15158" s="2">
        <v>44783.0</v>
      </c>
      <c r="C15158" s="3">
        <v>0.3542361111111111</v>
      </c>
      <c r="D15158" s="1">
        <v>12.885644</v>
      </c>
      <c r="E15158" s="1">
        <v>80.082874</v>
      </c>
      <c r="F15158" s="1">
        <v>805.0</v>
      </c>
      <c r="G15158" s="1">
        <v>55.0</v>
      </c>
    </row>
    <row r="15159">
      <c r="A15159" s="1" t="s">
        <v>8</v>
      </c>
      <c r="B15159" s="2">
        <v>44783.0</v>
      </c>
      <c r="C15159" s="3">
        <v>0.3559953703703704</v>
      </c>
      <c r="D15159" s="1">
        <v>12.878847</v>
      </c>
      <c r="E15159" s="1">
        <v>80.081055</v>
      </c>
      <c r="F15159" s="1">
        <v>3143.0</v>
      </c>
      <c r="G15159" s="1">
        <v>20.0</v>
      </c>
    </row>
    <row r="15160">
      <c r="A15160" s="1" t="s">
        <v>10</v>
      </c>
      <c r="B15160" s="2">
        <v>44783.0</v>
      </c>
      <c r="C15160" s="3">
        <v>0.3569097222222222</v>
      </c>
      <c r="D15160" s="1">
        <v>12.876872</v>
      </c>
      <c r="E15160" s="1">
        <v>80.084476</v>
      </c>
      <c r="F15160" s="1">
        <v>3143.0</v>
      </c>
      <c r="G15160" s="1">
        <v>19.0</v>
      </c>
    </row>
    <row r="15161">
      <c r="A15161" s="1" t="s">
        <v>10</v>
      </c>
      <c r="B15161" s="2">
        <v>44783.0</v>
      </c>
      <c r="C15161" s="3">
        <v>0.35833333333333334</v>
      </c>
      <c r="D15161" s="1">
        <v>12.875869</v>
      </c>
      <c r="E15161" s="1">
        <v>80.083706</v>
      </c>
      <c r="F15161" s="1">
        <v>3143.0</v>
      </c>
      <c r="G15161" s="1">
        <v>0.0</v>
      </c>
    </row>
    <row r="15162">
      <c r="A15162" s="1" t="s">
        <v>10</v>
      </c>
      <c r="B15162" s="2">
        <v>44783.0</v>
      </c>
      <c r="C15162" s="3">
        <v>0.35953703703703704</v>
      </c>
      <c r="D15162" s="1">
        <v>12.875908</v>
      </c>
      <c r="E15162" s="1">
        <v>80.083607</v>
      </c>
      <c r="F15162" s="1">
        <v>805.0</v>
      </c>
      <c r="G15162" s="1">
        <v>4.0</v>
      </c>
    </row>
    <row r="15163">
      <c r="A15163" s="1" t="s">
        <v>10</v>
      </c>
      <c r="B15163" s="2">
        <v>44783.0</v>
      </c>
      <c r="C15163" s="3">
        <v>0.6423148148148148</v>
      </c>
      <c r="D15163" s="1">
        <v>12.875884</v>
      </c>
      <c r="E15163" s="1">
        <v>80.083016</v>
      </c>
      <c r="F15163" s="1">
        <v>5339.0</v>
      </c>
      <c r="G15163" s="1">
        <v>7.0</v>
      </c>
    </row>
    <row r="15164">
      <c r="A15164" s="1" t="s">
        <v>7</v>
      </c>
      <c r="B15164" s="2">
        <v>44783.0</v>
      </c>
      <c r="C15164" s="3">
        <v>0.6908564814814815</v>
      </c>
      <c r="D15164" s="1">
        <v>12.875352</v>
      </c>
      <c r="E15164" s="1">
        <v>80.078872</v>
      </c>
      <c r="F15164" s="1">
        <v>2846.0</v>
      </c>
      <c r="G15164" s="1">
        <v>58.0</v>
      </c>
    </row>
    <row r="15165">
      <c r="A15165" s="1" t="s">
        <v>7</v>
      </c>
      <c r="B15165" s="2">
        <v>44783.0</v>
      </c>
      <c r="C15165" s="3">
        <v>0.6908796296296297</v>
      </c>
      <c r="D15165" s="1">
        <v>12.875352</v>
      </c>
      <c r="E15165" s="1">
        <v>80.078872</v>
      </c>
      <c r="F15165" s="1">
        <v>2846.0</v>
      </c>
      <c r="G15165" s="1">
        <v>58.0</v>
      </c>
    </row>
    <row r="15166">
      <c r="A15166" s="1" t="s">
        <v>10</v>
      </c>
      <c r="B15166" s="2">
        <v>44783.0</v>
      </c>
      <c r="C15166" s="3">
        <v>0.6909375</v>
      </c>
      <c r="D15166" s="1">
        <v>12.878912</v>
      </c>
      <c r="E15166" s="1">
        <v>80.080708</v>
      </c>
      <c r="F15166" s="1">
        <v>5339.0</v>
      </c>
      <c r="G15166" s="1">
        <v>7.0</v>
      </c>
    </row>
    <row r="15167">
      <c r="A15167" s="1" t="s">
        <v>10</v>
      </c>
      <c r="B15167" s="2">
        <v>44783.0</v>
      </c>
      <c r="C15167" s="3">
        <v>0.6910995370370371</v>
      </c>
      <c r="D15167" s="1">
        <v>12.87919</v>
      </c>
      <c r="E15167" s="1">
        <v>80.080108</v>
      </c>
      <c r="F15167" s="1">
        <v>5339.0</v>
      </c>
      <c r="G15167" s="1">
        <v>8.0</v>
      </c>
    </row>
    <row r="15168">
      <c r="A15168" s="1" t="s">
        <v>7</v>
      </c>
      <c r="B15168" s="2">
        <v>44783.0</v>
      </c>
      <c r="C15168" s="3">
        <v>0.6911805555555556</v>
      </c>
      <c r="D15168" s="1">
        <v>12.872689</v>
      </c>
      <c r="E15168" s="1">
        <v>80.07773</v>
      </c>
      <c r="F15168" s="1">
        <v>2846.0</v>
      </c>
      <c r="G15168" s="1">
        <v>54.0</v>
      </c>
    </row>
    <row r="15169">
      <c r="A15169" s="1" t="s">
        <v>7</v>
      </c>
      <c r="B15169" s="2">
        <v>44783.0</v>
      </c>
      <c r="C15169" s="3">
        <v>0.6912962962962963</v>
      </c>
      <c r="D15169" s="1">
        <v>12.871358</v>
      </c>
      <c r="E15169" s="1">
        <v>80.07718</v>
      </c>
      <c r="F15169" s="1">
        <v>2846.0</v>
      </c>
      <c r="G15169" s="1">
        <v>59.0</v>
      </c>
    </row>
    <row r="15170">
      <c r="A15170" s="1" t="s">
        <v>7</v>
      </c>
      <c r="B15170" s="2">
        <v>44783.0</v>
      </c>
      <c r="C15170" s="3">
        <v>0.6916319444444444</v>
      </c>
      <c r="D15170" s="1">
        <v>12.86727</v>
      </c>
      <c r="E15170" s="1">
        <v>80.075609</v>
      </c>
      <c r="F15170" s="1">
        <v>2846.0</v>
      </c>
      <c r="G15170" s="1">
        <v>58.0</v>
      </c>
    </row>
    <row r="15171">
      <c r="A15171" s="1" t="s">
        <v>8</v>
      </c>
      <c r="B15171" s="2">
        <v>44783.0</v>
      </c>
      <c r="C15171" s="3">
        <v>0.6920601851851852</v>
      </c>
      <c r="D15171" s="1">
        <v>12.861892</v>
      </c>
      <c r="E15171" s="1">
        <v>80.073471</v>
      </c>
      <c r="F15171" s="1">
        <v>2846.0</v>
      </c>
      <c r="G15171" s="1">
        <v>54.0</v>
      </c>
    </row>
    <row r="15172">
      <c r="A15172" s="1" t="s">
        <v>8</v>
      </c>
      <c r="B15172" s="2">
        <v>44783.0</v>
      </c>
      <c r="C15172" s="3">
        <v>0.6923958333333333</v>
      </c>
      <c r="D15172" s="1">
        <v>12.882328</v>
      </c>
      <c r="E15172" s="1">
        <v>80.081042</v>
      </c>
      <c r="F15172" s="1">
        <v>805.0</v>
      </c>
      <c r="G15172" s="1">
        <v>43.0</v>
      </c>
    </row>
    <row r="15173">
      <c r="A15173" s="1" t="s">
        <v>8</v>
      </c>
      <c r="B15173" s="2">
        <v>44783.0</v>
      </c>
      <c r="C15173" s="3">
        <v>0.6924305555555555</v>
      </c>
      <c r="D15173" s="1">
        <v>12.860504</v>
      </c>
      <c r="E15173" s="1">
        <v>80.072712</v>
      </c>
      <c r="F15173" s="1">
        <v>2846.0</v>
      </c>
      <c r="G15173" s="1">
        <v>8.0</v>
      </c>
    </row>
    <row r="15174">
      <c r="A15174" s="1" t="s">
        <v>9</v>
      </c>
      <c r="B15174" s="2">
        <v>44783.0</v>
      </c>
      <c r="C15174" s="3">
        <v>0.6925231481481482</v>
      </c>
      <c r="D15174" s="1">
        <v>12.859884</v>
      </c>
      <c r="E15174" s="1">
        <v>80.072294</v>
      </c>
      <c r="F15174" s="1">
        <v>2846.0</v>
      </c>
      <c r="G15174" s="1">
        <v>28.0</v>
      </c>
    </row>
    <row r="15175">
      <c r="A15175" s="1" t="s">
        <v>8</v>
      </c>
      <c r="B15175" s="2">
        <v>44783.0</v>
      </c>
      <c r="C15175" s="3">
        <v>0.6929513888888889</v>
      </c>
      <c r="D15175" s="1">
        <v>12.885054</v>
      </c>
      <c r="E15175" s="1">
        <v>80.082193</v>
      </c>
      <c r="F15175" s="1">
        <v>805.0</v>
      </c>
      <c r="G15175" s="1">
        <v>32.0</v>
      </c>
    </row>
    <row r="15176">
      <c r="A15176" s="1" t="s">
        <v>8</v>
      </c>
      <c r="B15176" s="2">
        <v>44783.0</v>
      </c>
      <c r="C15176" s="3">
        <v>0.692962962962963</v>
      </c>
      <c r="D15176" s="1">
        <v>12.885054</v>
      </c>
      <c r="E15176" s="1">
        <v>80.082193</v>
      </c>
      <c r="F15176" s="1">
        <v>805.0</v>
      </c>
      <c r="G15176" s="1">
        <v>32.0</v>
      </c>
    </row>
    <row r="15177">
      <c r="A15177" s="1" t="s">
        <v>7</v>
      </c>
      <c r="B15177" s="2">
        <v>44783.0</v>
      </c>
      <c r="C15177" s="3">
        <v>0.6930092592592593</v>
      </c>
      <c r="D15177" s="1">
        <v>12.858313</v>
      </c>
      <c r="E15177" s="1">
        <v>80.071122</v>
      </c>
      <c r="F15177" s="1">
        <v>2846.0</v>
      </c>
      <c r="G15177" s="1">
        <v>40.0</v>
      </c>
    </row>
    <row r="15178">
      <c r="A15178" s="1" t="s">
        <v>8</v>
      </c>
      <c r="B15178" s="2">
        <v>44783.0</v>
      </c>
      <c r="C15178" s="3">
        <v>0.6930208333333333</v>
      </c>
      <c r="D15178" s="1">
        <v>12.885938</v>
      </c>
      <c r="E15178" s="1">
        <v>80.082802</v>
      </c>
      <c r="F15178" s="1">
        <v>5339.0</v>
      </c>
      <c r="G15178" s="1">
        <v>34.0</v>
      </c>
    </row>
    <row r="15179">
      <c r="A15179" s="1" t="s">
        <v>7</v>
      </c>
      <c r="B15179" s="2">
        <v>44783.0</v>
      </c>
      <c r="C15179" s="3">
        <v>0.6930787037037037</v>
      </c>
      <c r="D15179" s="1">
        <v>12.858313</v>
      </c>
      <c r="E15179" s="1">
        <v>80.071122</v>
      </c>
      <c r="F15179" s="1">
        <v>2846.0</v>
      </c>
      <c r="G15179" s="1">
        <v>40.0</v>
      </c>
    </row>
    <row r="15180">
      <c r="A15180" s="1" t="s">
        <v>8</v>
      </c>
      <c r="B15180" s="2">
        <v>44783.0</v>
      </c>
      <c r="C15180" s="3">
        <v>0.6930787037037037</v>
      </c>
      <c r="D15180" s="1">
        <v>12.885682</v>
      </c>
      <c r="E15180" s="1">
        <v>80.082684</v>
      </c>
      <c r="F15180" s="1">
        <v>805.0</v>
      </c>
      <c r="G15180" s="1">
        <v>29.0</v>
      </c>
    </row>
    <row r="15181">
      <c r="A15181" s="1" t="s">
        <v>8</v>
      </c>
      <c r="B15181" s="2">
        <v>44783.0</v>
      </c>
      <c r="C15181" s="3">
        <v>0.6938657407407407</v>
      </c>
      <c r="D15181" s="1">
        <v>12.849545</v>
      </c>
      <c r="E15181" s="1">
        <v>80.064592</v>
      </c>
      <c r="F15181" s="1">
        <v>2846.0</v>
      </c>
      <c r="G15181" s="1">
        <v>35.0</v>
      </c>
    </row>
    <row r="15182">
      <c r="A15182" s="1" t="s">
        <v>8</v>
      </c>
      <c r="B15182" s="2">
        <v>44783.0</v>
      </c>
      <c r="C15182" s="3">
        <v>0.6941087962962963</v>
      </c>
      <c r="D15182" s="1">
        <v>12.896542</v>
      </c>
      <c r="E15182" s="1">
        <v>80.088765</v>
      </c>
      <c r="F15182" s="1">
        <v>805.0</v>
      </c>
      <c r="G15182" s="1">
        <v>58.0</v>
      </c>
    </row>
    <row r="15183">
      <c r="A15183" s="1" t="s">
        <v>10</v>
      </c>
      <c r="B15183" s="2">
        <v>44783.0</v>
      </c>
      <c r="C15183" s="3">
        <v>0.6945486111111111</v>
      </c>
      <c r="D15183" s="1">
        <v>12.880686</v>
      </c>
      <c r="E15183" s="1">
        <v>80.080583</v>
      </c>
      <c r="F15183" s="1">
        <v>3143.0</v>
      </c>
      <c r="G15183" s="1">
        <v>13.0</v>
      </c>
    </row>
    <row r="15184">
      <c r="A15184" s="1" t="s">
        <v>8</v>
      </c>
      <c r="B15184" s="2">
        <v>44783.0</v>
      </c>
      <c r="C15184" s="3">
        <v>0.6946296296296296</v>
      </c>
      <c r="D15184" s="1">
        <v>12.845698</v>
      </c>
      <c r="E15184" s="1">
        <v>80.061713</v>
      </c>
      <c r="F15184" s="1">
        <v>2846.0</v>
      </c>
      <c r="G15184" s="1">
        <v>25.0</v>
      </c>
    </row>
    <row r="15185">
      <c r="A15185" s="1" t="s">
        <v>8</v>
      </c>
      <c r="B15185" s="2">
        <v>44783.0</v>
      </c>
      <c r="C15185" s="3">
        <v>0.694699074074074</v>
      </c>
      <c r="D15185" s="1">
        <v>12.845698</v>
      </c>
      <c r="E15185" s="1">
        <v>80.061713</v>
      </c>
      <c r="F15185" s="1">
        <v>2846.0</v>
      </c>
      <c r="G15185" s="1">
        <v>25.0</v>
      </c>
    </row>
    <row r="15186">
      <c r="A15186" s="1" t="s">
        <v>8</v>
      </c>
      <c r="B15186" s="2">
        <v>44783.0</v>
      </c>
      <c r="C15186" s="3">
        <v>0.6947916666666667</v>
      </c>
      <c r="D15186" s="1">
        <v>12.902885</v>
      </c>
      <c r="E15186" s="1">
        <v>80.093519</v>
      </c>
      <c r="F15186" s="1">
        <v>805.0</v>
      </c>
      <c r="G15186" s="1">
        <v>29.0</v>
      </c>
    </row>
    <row r="15187">
      <c r="A15187" s="1" t="s">
        <v>8</v>
      </c>
      <c r="B15187" s="2">
        <v>44783.0</v>
      </c>
      <c r="C15187" s="3">
        <v>0.6948032407407407</v>
      </c>
      <c r="D15187" s="1">
        <v>12.882491</v>
      </c>
      <c r="E15187" s="1">
        <v>80.081173</v>
      </c>
      <c r="F15187" s="1">
        <v>3143.0</v>
      </c>
      <c r="G15187" s="1">
        <v>24.0</v>
      </c>
    </row>
    <row r="15188">
      <c r="A15188" s="1" t="s">
        <v>7</v>
      </c>
      <c r="B15188" s="2">
        <v>44783.0</v>
      </c>
      <c r="C15188" s="3">
        <v>0.695162037037037</v>
      </c>
      <c r="D15188" s="1">
        <v>12.905512</v>
      </c>
      <c r="E15188" s="1">
        <v>80.095458</v>
      </c>
      <c r="F15188" s="1">
        <v>805.0</v>
      </c>
      <c r="G15188" s="1">
        <v>51.0</v>
      </c>
    </row>
    <row r="15189">
      <c r="A15189" s="1" t="s">
        <v>7</v>
      </c>
      <c r="B15189" s="2">
        <v>44783.0</v>
      </c>
      <c r="C15189" s="3">
        <v>0.6958333333333333</v>
      </c>
      <c r="D15189" s="1">
        <v>12.890866</v>
      </c>
      <c r="E15189" s="1">
        <v>80.084901</v>
      </c>
      <c r="F15189" s="1">
        <v>3143.0</v>
      </c>
      <c r="G15189" s="1">
        <v>57.0</v>
      </c>
    </row>
    <row r="15190">
      <c r="A15190" s="1" t="s">
        <v>8</v>
      </c>
      <c r="B15190" s="2">
        <v>44783.0</v>
      </c>
      <c r="C15190" s="3">
        <v>0.6961921296296296</v>
      </c>
      <c r="D15190" s="1">
        <v>12.894456</v>
      </c>
      <c r="E15190" s="1">
        <v>80.087228</v>
      </c>
      <c r="F15190" s="1">
        <v>3143.0</v>
      </c>
      <c r="G15190" s="1">
        <v>45.0</v>
      </c>
    </row>
    <row r="15191">
      <c r="A15191" s="1" t="s">
        <v>8</v>
      </c>
      <c r="B15191" s="2">
        <v>44783.0</v>
      </c>
      <c r="C15191" s="3">
        <v>0.6963773148148148</v>
      </c>
      <c r="D15191" s="1">
        <v>12.909082</v>
      </c>
      <c r="E15191" s="1">
        <v>80.098456</v>
      </c>
      <c r="F15191" s="1">
        <v>5339.0</v>
      </c>
      <c r="G15191" s="1">
        <v>23.0</v>
      </c>
    </row>
    <row r="15192">
      <c r="A15192" s="1" t="s">
        <v>7</v>
      </c>
      <c r="B15192" s="2">
        <v>44783.0</v>
      </c>
      <c r="C15192" s="3">
        <v>0.6964814814814815</v>
      </c>
      <c r="D15192" s="1">
        <v>12.837454</v>
      </c>
      <c r="E15192" s="1">
        <v>80.053048</v>
      </c>
      <c r="F15192" s="1">
        <v>2846.0</v>
      </c>
      <c r="G15192" s="1">
        <v>57.0</v>
      </c>
    </row>
    <row r="15193">
      <c r="A15193" s="1" t="s">
        <v>8</v>
      </c>
      <c r="B15193" s="2">
        <v>44783.0</v>
      </c>
      <c r="C15193" s="3">
        <v>0.6967592592592593</v>
      </c>
      <c r="D15193" s="1">
        <v>12.899414</v>
      </c>
      <c r="E15193" s="1">
        <v>80.09094</v>
      </c>
      <c r="F15193" s="1">
        <v>3143.0</v>
      </c>
      <c r="G15193" s="1">
        <v>51.0</v>
      </c>
    </row>
    <row r="15194">
      <c r="A15194" s="1" t="s">
        <v>7</v>
      </c>
      <c r="B15194" s="2">
        <v>44783.0</v>
      </c>
      <c r="C15194" s="3">
        <v>0.696875</v>
      </c>
      <c r="D15194" s="1">
        <v>12.833406</v>
      </c>
      <c r="E15194" s="1">
        <v>80.048784</v>
      </c>
      <c r="F15194" s="1">
        <v>2846.0</v>
      </c>
      <c r="G15194" s="1">
        <v>57.0</v>
      </c>
    </row>
    <row r="15195">
      <c r="A15195" s="1" t="s">
        <v>8</v>
      </c>
      <c r="B15195" s="2">
        <v>44783.0</v>
      </c>
      <c r="C15195" s="3">
        <v>0.6969328703703703</v>
      </c>
      <c r="D15195" s="1">
        <v>12.900372</v>
      </c>
      <c r="E15195" s="1">
        <v>80.091659</v>
      </c>
      <c r="F15195" s="1">
        <v>3143.0</v>
      </c>
      <c r="G15195" s="1">
        <v>45.0</v>
      </c>
    </row>
    <row r="15196">
      <c r="A15196" s="1" t="s">
        <v>8</v>
      </c>
      <c r="B15196" s="2">
        <v>44783.0</v>
      </c>
      <c r="C15196" s="3">
        <v>0.6969560185185185</v>
      </c>
      <c r="D15196" s="1">
        <v>12.900372</v>
      </c>
      <c r="E15196" s="1">
        <v>80.091659</v>
      </c>
      <c r="F15196" s="1">
        <v>3143.0</v>
      </c>
      <c r="G15196" s="1">
        <v>45.0</v>
      </c>
    </row>
    <row r="15197">
      <c r="A15197" s="1" t="s">
        <v>8</v>
      </c>
      <c r="B15197" s="2">
        <v>44783.0</v>
      </c>
      <c r="C15197" s="3">
        <v>0.6971180555555555</v>
      </c>
      <c r="D15197" s="1">
        <v>12.911599</v>
      </c>
      <c r="E15197" s="1">
        <v>80.101262</v>
      </c>
      <c r="F15197" s="1">
        <v>805.0</v>
      </c>
      <c r="G15197" s="1">
        <v>15.0</v>
      </c>
    </row>
    <row r="15198">
      <c r="A15198" s="1" t="s">
        <v>8</v>
      </c>
      <c r="B15198" s="2">
        <v>44783.0</v>
      </c>
      <c r="C15198" s="3">
        <v>0.6972337962962963</v>
      </c>
      <c r="D15198" s="1">
        <v>12.831027</v>
      </c>
      <c r="E15198" s="1">
        <v>80.046297</v>
      </c>
      <c r="F15198" s="1">
        <v>2846.0</v>
      </c>
      <c r="G15198" s="1">
        <v>43.0</v>
      </c>
    </row>
    <row r="15199">
      <c r="A15199" s="1" t="s">
        <v>9</v>
      </c>
      <c r="B15199" s="2">
        <v>44783.0</v>
      </c>
      <c r="C15199" s="3">
        <v>0.6972453703703704</v>
      </c>
      <c r="D15199" s="1">
        <v>12.903124</v>
      </c>
      <c r="E15199" s="1">
        <v>80.093686</v>
      </c>
      <c r="F15199" s="1">
        <v>3143.0</v>
      </c>
      <c r="G15199" s="1">
        <v>46.0</v>
      </c>
    </row>
    <row r="15200">
      <c r="A15200" s="1" t="s">
        <v>7</v>
      </c>
      <c r="B15200" s="2">
        <v>44783.0</v>
      </c>
      <c r="C15200" s="3">
        <v>0.6973958333333333</v>
      </c>
      <c r="D15200" s="1">
        <v>12.830254</v>
      </c>
      <c r="E15200" s="1">
        <v>80.045487</v>
      </c>
      <c r="F15200" s="1">
        <v>2846.0</v>
      </c>
      <c r="G15200" s="1">
        <v>44.0</v>
      </c>
    </row>
    <row r="15201">
      <c r="A15201" s="1" t="s">
        <v>8</v>
      </c>
      <c r="B15201" s="2">
        <v>44783.0</v>
      </c>
      <c r="C15201" s="3">
        <v>0.6975</v>
      </c>
      <c r="D15201" s="1">
        <v>12.915353</v>
      </c>
      <c r="E15201" s="1">
        <v>80.102465</v>
      </c>
      <c r="F15201" s="1">
        <v>805.0</v>
      </c>
      <c r="G15201" s="1">
        <v>50.0</v>
      </c>
    </row>
    <row r="15202">
      <c r="A15202" s="1" t="s">
        <v>7</v>
      </c>
      <c r="B15202" s="2">
        <v>44783.0</v>
      </c>
      <c r="C15202" s="3">
        <v>0.697650462962963</v>
      </c>
      <c r="D15202" s="1">
        <v>12.915667</v>
      </c>
      <c r="E15202" s="1">
        <v>80.10361</v>
      </c>
      <c r="F15202" s="1">
        <v>805.0</v>
      </c>
      <c r="G15202" s="1">
        <v>50.0</v>
      </c>
    </row>
    <row r="15203">
      <c r="A15203" s="1" t="s">
        <v>7</v>
      </c>
      <c r="B15203" s="2">
        <v>44783.0</v>
      </c>
      <c r="C15203" s="3">
        <v>0.6976736111111111</v>
      </c>
      <c r="D15203" s="1">
        <v>12.905387</v>
      </c>
      <c r="E15203" s="1">
        <v>80.095427</v>
      </c>
      <c r="F15203" s="1">
        <v>3143.0</v>
      </c>
      <c r="G15203" s="1">
        <v>45.0</v>
      </c>
    </row>
    <row r="15204">
      <c r="A15204" s="1" t="s">
        <v>7</v>
      </c>
      <c r="B15204" s="2">
        <v>44783.0</v>
      </c>
      <c r="C15204" s="3">
        <v>0.6976736111111111</v>
      </c>
      <c r="D15204" s="1">
        <v>12.827685</v>
      </c>
      <c r="E15204" s="1">
        <v>80.042757</v>
      </c>
      <c r="F15204" s="1">
        <v>2846.0</v>
      </c>
      <c r="G15204" s="1">
        <v>58.0</v>
      </c>
    </row>
    <row r="15205">
      <c r="A15205" s="1" t="s">
        <v>7</v>
      </c>
      <c r="B15205" s="2">
        <v>44783.0</v>
      </c>
      <c r="C15205" s="3">
        <v>0.6976967592592592</v>
      </c>
      <c r="D15205" s="1">
        <v>12.915667</v>
      </c>
      <c r="E15205" s="1">
        <v>80.10361</v>
      </c>
      <c r="F15205" s="1">
        <v>805.0</v>
      </c>
      <c r="G15205" s="1">
        <v>50.0</v>
      </c>
    </row>
    <row r="15206">
      <c r="A15206" s="1" t="s">
        <v>8</v>
      </c>
      <c r="B15206" s="2">
        <v>44783.0</v>
      </c>
      <c r="C15206" s="3">
        <v>0.6979398148148148</v>
      </c>
      <c r="D15206" s="1">
        <v>12.908393</v>
      </c>
      <c r="E15206" s="1">
        <v>80.097734</v>
      </c>
      <c r="F15206" s="1">
        <v>3143.0</v>
      </c>
      <c r="G15206" s="1">
        <v>38.0</v>
      </c>
    </row>
    <row r="15207">
      <c r="A15207" s="1" t="s">
        <v>7</v>
      </c>
      <c r="B15207" s="2">
        <v>44783.0</v>
      </c>
      <c r="C15207" s="3">
        <v>0.6980555555555555</v>
      </c>
      <c r="D15207" s="1">
        <v>12.824093</v>
      </c>
      <c r="E15207" s="1">
        <v>80.039741</v>
      </c>
      <c r="F15207" s="1">
        <v>2846.0</v>
      </c>
      <c r="G15207" s="1">
        <v>57.0</v>
      </c>
    </row>
    <row r="15208">
      <c r="A15208" s="1" t="s">
        <v>7</v>
      </c>
      <c r="B15208" s="2">
        <v>44783.0</v>
      </c>
      <c r="C15208" s="3">
        <v>0.6980787037037037</v>
      </c>
      <c r="D15208" s="1">
        <v>12.824093</v>
      </c>
      <c r="E15208" s="1">
        <v>80.039741</v>
      </c>
      <c r="F15208" s="1">
        <v>2846.0</v>
      </c>
      <c r="G15208" s="1">
        <v>57.0</v>
      </c>
    </row>
    <row r="15209">
      <c r="A15209" s="1" t="s">
        <v>8</v>
      </c>
      <c r="B15209" s="2">
        <v>44783.0</v>
      </c>
      <c r="C15209" s="3">
        <v>0.6983680555555556</v>
      </c>
      <c r="D15209" s="1">
        <v>12.917892</v>
      </c>
      <c r="E15209" s="1">
        <v>80.108412</v>
      </c>
      <c r="F15209" s="1">
        <v>805.0</v>
      </c>
      <c r="G15209" s="1">
        <v>38.0</v>
      </c>
    </row>
    <row r="15210">
      <c r="A15210" s="1" t="s">
        <v>8</v>
      </c>
      <c r="B15210" s="2">
        <v>44783.0</v>
      </c>
      <c r="C15210" s="3">
        <v>0.6985532407407408</v>
      </c>
      <c r="D15210" s="1">
        <v>12.919209</v>
      </c>
      <c r="E15210" s="1">
        <v>80.11004</v>
      </c>
      <c r="F15210" s="1">
        <v>805.0</v>
      </c>
      <c r="G15210" s="1">
        <v>37.0</v>
      </c>
    </row>
    <row r="15211">
      <c r="A15211" s="1" t="s">
        <v>8</v>
      </c>
      <c r="B15211" s="2">
        <v>44783.0</v>
      </c>
      <c r="C15211" s="3">
        <v>0.6986574074074074</v>
      </c>
      <c r="D15211" s="1">
        <v>12.918476</v>
      </c>
      <c r="E15211" s="1">
        <v>80.109103</v>
      </c>
      <c r="F15211" s="1">
        <v>5339.0</v>
      </c>
      <c r="G15211" s="1">
        <v>41.0</v>
      </c>
    </row>
    <row r="15212">
      <c r="A15212" s="1" t="s">
        <v>7</v>
      </c>
      <c r="B15212" s="2">
        <v>44783.0</v>
      </c>
      <c r="C15212" s="3">
        <v>0.6988078703703704</v>
      </c>
      <c r="D15212" s="1">
        <v>12.920512</v>
      </c>
      <c r="E15212" s="1">
        <v>80.11158</v>
      </c>
      <c r="F15212" s="1">
        <v>805.0</v>
      </c>
      <c r="G15212" s="1">
        <v>52.0</v>
      </c>
    </row>
    <row r="15213">
      <c r="A15213" s="1" t="s">
        <v>7</v>
      </c>
      <c r="B15213" s="2">
        <v>44783.0</v>
      </c>
      <c r="C15213" s="3">
        <v>0.6991319444444445</v>
      </c>
      <c r="D15213" s="1">
        <v>12.812721</v>
      </c>
      <c r="E15213" s="1">
        <v>80.031756</v>
      </c>
      <c r="F15213" s="1">
        <v>2846.0</v>
      </c>
      <c r="G15213" s="1">
        <v>58.0</v>
      </c>
    </row>
    <row r="15214">
      <c r="A15214" s="1" t="s">
        <v>7</v>
      </c>
      <c r="B15214" s="2">
        <v>44783.0</v>
      </c>
      <c r="C15214" s="3">
        <v>0.6992013888888889</v>
      </c>
      <c r="D15214" s="1">
        <v>12.921941</v>
      </c>
      <c r="E15214" s="1">
        <v>80.113044</v>
      </c>
      <c r="F15214" s="1">
        <v>5339.0</v>
      </c>
      <c r="G15214" s="1">
        <v>53.0</v>
      </c>
    </row>
    <row r="15215">
      <c r="A15215" s="1" t="s">
        <v>8</v>
      </c>
      <c r="B15215" s="2">
        <v>44783.0</v>
      </c>
      <c r="C15215" s="3">
        <v>0.6993981481481482</v>
      </c>
      <c r="D15215" s="1">
        <v>12.912233</v>
      </c>
      <c r="E15215" s="1">
        <v>80.101418</v>
      </c>
      <c r="F15215" s="1">
        <v>3143.0</v>
      </c>
      <c r="G15215" s="1">
        <v>34.0</v>
      </c>
    </row>
    <row r="15216">
      <c r="A15216" s="1" t="s">
        <v>7</v>
      </c>
      <c r="B15216" s="2">
        <v>44783.0</v>
      </c>
      <c r="C15216" s="3">
        <v>0.6997106481481481</v>
      </c>
      <c r="D15216" s="1">
        <v>12.807042</v>
      </c>
      <c r="E15216" s="1">
        <v>80.028115</v>
      </c>
      <c r="F15216" s="1">
        <v>2846.0</v>
      </c>
      <c r="G15216" s="1">
        <v>58.0</v>
      </c>
    </row>
    <row r="15217">
      <c r="A15217" s="1" t="s">
        <v>9</v>
      </c>
      <c r="B15217" s="2">
        <v>44783.0</v>
      </c>
      <c r="C15217" s="3">
        <v>0.7001273148148148</v>
      </c>
      <c r="D15217" s="1">
        <v>12.803111</v>
      </c>
      <c r="E15217" s="1">
        <v>80.025596</v>
      </c>
      <c r="F15217" s="1">
        <v>2846.0</v>
      </c>
      <c r="G15217" s="1">
        <v>54.0</v>
      </c>
    </row>
    <row r="15218">
      <c r="A15218" s="1" t="s">
        <v>8</v>
      </c>
      <c r="B15218" s="2">
        <v>44783.0</v>
      </c>
      <c r="C15218" s="3">
        <v>0.7003356481481482</v>
      </c>
      <c r="D15218" s="1">
        <v>12.917002</v>
      </c>
      <c r="E15218" s="1">
        <v>80.107098</v>
      </c>
      <c r="F15218" s="1">
        <v>3143.0</v>
      </c>
      <c r="G15218" s="1">
        <v>20.0</v>
      </c>
    </row>
    <row r="15219">
      <c r="A15219" s="1" t="s">
        <v>8</v>
      </c>
      <c r="B15219" s="2">
        <v>44783.0</v>
      </c>
      <c r="C15219" s="3">
        <v>0.7003819444444445</v>
      </c>
      <c r="D15219" s="1">
        <v>12.917338</v>
      </c>
      <c r="E15219" s="1">
        <v>80.107677</v>
      </c>
      <c r="F15219" s="1">
        <v>3143.0</v>
      </c>
      <c r="G15219" s="1">
        <v>29.0</v>
      </c>
    </row>
    <row r="15220">
      <c r="A15220" s="1" t="s">
        <v>8</v>
      </c>
      <c r="B15220" s="2">
        <v>44783.0</v>
      </c>
      <c r="C15220" s="3">
        <v>0.7004513888888889</v>
      </c>
      <c r="D15220" s="1">
        <v>12.917338</v>
      </c>
      <c r="E15220" s="1">
        <v>80.107677</v>
      </c>
      <c r="F15220" s="1">
        <v>3143.0</v>
      </c>
      <c r="G15220" s="1">
        <v>29.0</v>
      </c>
    </row>
    <row r="15221">
      <c r="A15221" s="1" t="s">
        <v>8</v>
      </c>
      <c r="B15221" s="2">
        <v>44783.0</v>
      </c>
      <c r="C15221" s="3">
        <v>0.7006597222222222</v>
      </c>
      <c r="D15221" s="1">
        <v>12.91849</v>
      </c>
      <c r="E15221" s="1">
        <v>80.109097</v>
      </c>
      <c r="F15221" s="1">
        <v>3143.0</v>
      </c>
      <c r="G15221" s="1">
        <v>47.0</v>
      </c>
    </row>
    <row r="15222">
      <c r="A15222" s="1" t="s">
        <v>8</v>
      </c>
      <c r="B15222" s="2">
        <v>44783.0</v>
      </c>
      <c r="C15222" s="3">
        <v>0.7021643518518519</v>
      </c>
      <c r="D15222" s="1">
        <v>12.923672</v>
      </c>
      <c r="E15222" s="1">
        <v>80.117499</v>
      </c>
      <c r="F15222" s="1">
        <v>3143.0</v>
      </c>
      <c r="G15222" s="1">
        <v>37.0</v>
      </c>
    </row>
    <row r="15223">
      <c r="A15223" s="1" t="s">
        <v>8</v>
      </c>
      <c r="B15223" s="2">
        <v>44783.0</v>
      </c>
      <c r="C15223" s="3">
        <v>0.7030439814814815</v>
      </c>
      <c r="D15223" s="1">
        <v>12.77084</v>
      </c>
      <c r="E15223" s="1">
        <v>80.007711</v>
      </c>
      <c r="F15223" s="1">
        <v>2846.0</v>
      </c>
      <c r="G15223" s="1">
        <v>58.0</v>
      </c>
    </row>
    <row r="15224">
      <c r="A15224" s="1" t="s">
        <v>7</v>
      </c>
      <c r="B15224" s="2">
        <v>44783.0</v>
      </c>
      <c r="C15224" s="3">
        <v>0.703113425925926</v>
      </c>
      <c r="D15224" s="1">
        <v>12.923105</v>
      </c>
      <c r="E15224" s="1">
        <v>80.123202</v>
      </c>
      <c r="F15224" s="1">
        <v>3143.0</v>
      </c>
      <c r="G15224" s="1">
        <v>53.0</v>
      </c>
    </row>
    <row r="15225">
      <c r="A15225" s="1" t="s">
        <v>7</v>
      </c>
      <c r="B15225" s="2">
        <v>44783.0</v>
      </c>
      <c r="C15225" s="3">
        <v>0.7033564814814814</v>
      </c>
      <c r="D15225" s="1">
        <v>12.766695</v>
      </c>
      <c r="E15225" s="1">
        <v>80.0057</v>
      </c>
      <c r="F15225" s="1">
        <v>2846.0</v>
      </c>
      <c r="G15225" s="1">
        <v>52.0</v>
      </c>
    </row>
    <row r="15226">
      <c r="A15226" s="1" t="s">
        <v>8</v>
      </c>
      <c r="B15226" s="2">
        <v>44783.0</v>
      </c>
      <c r="C15226" s="3">
        <v>0.7034606481481481</v>
      </c>
      <c r="D15226" s="1">
        <v>12.766695</v>
      </c>
      <c r="E15226" s="1">
        <v>80.0057</v>
      </c>
      <c r="F15226" s="1">
        <v>2846.0</v>
      </c>
      <c r="G15226" s="1">
        <v>52.0</v>
      </c>
    </row>
    <row r="15227">
      <c r="A15227" s="1" t="s">
        <v>8</v>
      </c>
      <c r="B15227" s="2">
        <v>44783.0</v>
      </c>
      <c r="C15227" s="3">
        <v>0.7039814814814814</v>
      </c>
      <c r="D15227" s="1">
        <v>12.92299</v>
      </c>
      <c r="E15227" s="1">
        <v>80.125901</v>
      </c>
      <c r="F15227" s="1">
        <v>3143.0</v>
      </c>
      <c r="G15227" s="1">
        <v>21.0</v>
      </c>
    </row>
    <row r="15228">
      <c r="A15228" s="1" t="s">
        <v>10</v>
      </c>
      <c r="B15228" s="2">
        <v>44783.0</v>
      </c>
      <c r="C15228" s="3">
        <v>0.7042592592592593</v>
      </c>
      <c r="D15228" s="1">
        <v>12.761677</v>
      </c>
      <c r="E15228" s="1">
        <v>80.003808</v>
      </c>
      <c r="F15228" s="1">
        <v>2846.0</v>
      </c>
      <c r="G15228" s="1">
        <v>25.0</v>
      </c>
    </row>
    <row r="15229">
      <c r="A15229" s="1" t="s">
        <v>10</v>
      </c>
      <c r="B15229" s="2">
        <v>44783.0</v>
      </c>
      <c r="C15229" s="3">
        <v>0.7043981481481482</v>
      </c>
      <c r="D15229" s="1">
        <v>12.761677</v>
      </c>
      <c r="E15229" s="1">
        <v>80.003808</v>
      </c>
      <c r="F15229" s="1">
        <v>2846.0</v>
      </c>
      <c r="G15229" s="1">
        <v>25.0</v>
      </c>
    </row>
    <row r="15230">
      <c r="A15230" s="1" t="s">
        <v>7</v>
      </c>
      <c r="B15230" s="2">
        <v>44783.0</v>
      </c>
      <c r="C15230" s="3">
        <v>0.704849537037037</v>
      </c>
      <c r="D15230" s="1">
        <v>12.933206</v>
      </c>
      <c r="E15230" s="1">
        <v>80.124332</v>
      </c>
      <c r="F15230" s="1">
        <v>805.0</v>
      </c>
      <c r="G15230" s="1">
        <v>56.0</v>
      </c>
    </row>
    <row r="15231">
      <c r="A15231" s="1" t="s">
        <v>8</v>
      </c>
      <c r="B15231" s="2">
        <v>44783.0</v>
      </c>
      <c r="C15231" s="3">
        <v>0.7049189814814815</v>
      </c>
      <c r="D15231" s="1">
        <v>12.933206</v>
      </c>
      <c r="E15231" s="1">
        <v>80.124332</v>
      </c>
      <c r="F15231" s="1">
        <v>805.0</v>
      </c>
      <c r="G15231" s="1">
        <v>56.0</v>
      </c>
    </row>
    <row r="15232">
      <c r="A15232" s="1" t="s">
        <v>8</v>
      </c>
      <c r="B15232" s="2">
        <v>44783.0</v>
      </c>
      <c r="C15232" s="3">
        <v>0.7049421296296297</v>
      </c>
      <c r="D15232" s="1">
        <v>12.934269</v>
      </c>
      <c r="E15232" s="1">
        <v>80.125343</v>
      </c>
      <c r="F15232" s="1">
        <v>805.0</v>
      </c>
      <c r="G15232" s="1">
        <v>51.0</v>
      </c>
    </row>
    <row r="15233">
      <c r="A15233" s="1" t="s">
        <v>7</v>
      </c>
      <c r="B15233" s="2">
        <v>44783.0</v>
      </c>
      <c r="C15233" s="3">
        <v>0.7051504629629629</v>
      </c>
      <c r="D15233" s="1">
        <v>12.756651</v>
      </c>
      <c r="E15233" s="1">
        <v>80.002298</v>
      </c>
      <c r="F15233" s="1">
        <v>2846.0</v>
      </c>
      <c r="G15233" s="1">
        <v>56.0</v>
      </c>
    </row>
    <row r="15234">
      <c r="A15234" s="1" t="s">
        <v>8</v>
      </c>
      <c r="B15234" s="2">
        <v>44783.0</v>
      </c>
      <c r="C15234" s="3">
        <v>0.7054513888888889</v>
      </c>
      <c r="D15234" s="1">
        <v>12.754605</v>
      </c>
      <c r="E15234" s="1">
        <v>80.001143</v>
      </c>
      <c r="F15234" s="1">
        <v>2846.0</v>
      </c>
      <c r="G15234" s="1">
        <v>58.0</v>
      </c>
    </row>
    <row r="15235">
      <c r="A15235" s="1" t="s">
        <v>8</v>
      </c>
      <c r="B15235" s="2">
        <v>44783.0</v>
      </c>
      <c r="C15235" s="3">
        <v>0.7056018518518519</v>
      </c>
      <c r="D15235" s="1">
        <v>12.935821</v>
      </c>
      <c r="E15235" s="1">
        <v>80.126745</v>
      </c>
      <c r="F15235" s="1">
        <v>805.0</v>
      </c>
      <c r="G15235" s="1">
        <v>15.0</v>
      </c>
    </row>
    <row r="15236">
      <c r="A15236" s="1" t="s">
        <v>8</v>
      </c>
      <c r="B15236" s="2">
        <v>44783.0</v>
      </c>
      <c r="C15236" s="3">
        <v>0.7056018518518519</v>
      </c>
      <c r="D15236" s="1">
        <v>12.935821</v>
      </c>
      <c r="E15236" s="1">
        <v>80.126745</v>
      </c>
      <c r="F15236" s="1">
        <v>805.0</v>
      </c>
      <c r="G15236" s="1">
        <v>15.0</v>
      </c>
    </row>
    <row r="15237">
      <c r="A15237" s="1" t="s">
        <v>8</v>
      </c>
      <c r="B15237" s="2">
        <v>44783.0</v>
      </c>
      <c r="C15237" s="3">
        <v>0.705787037037037</v>
      </c>
      <c r="D15237" s="1">
        <v>12.936717</v>
      </c>
      <c r="E15237" s="1">
        <v>80.127545</v>
      </c>
      <c r="F15237" s="1">
        <v>805.0</v>
      </c>
      <c r="G15237" s="1">
        <v>32.0</v>
      </c>
    </row>
    <row r="15238">
      <c r="A15238" s="1" t="s">
        <v>8</v>
      </c>
      <c r="B15238" s="2">
        <v>44783.0</v>
      </c>
      <c r="C15238" s="3">
        <v>0.7059837962962963</v>
      </c>
      <c r="D15238" s="1">
        <v>12.938355</v>
      </c>
      <c r="E15238" s="1">
        <v>80.129013</v>
      </c>
      <c r="F15238" s="1">
        <v>805.0</v>
      </c>
      <c r="G15238" s="1">
        <v>52.0</v>
      </c>
    </row>
    <row r="15239">
      <c r="A15239" s="1" t="s">
        <v>8</v>
      </c>
      <c r="B15239" s="2">
        <v>44783.0</v>
      </c>
      <c r="C15239" s="3">
        <v>0.7060763888888889</v>
      </c>
      <c r="D15239" s="1">
        <v>12.938355</v>
      </c>
      <c r="E15239" s="1">
        <v>80.129013</v>
      </c>
      <c r="F15239" s="1">
        <v>805.0</v>
      </c>
      <c r="G15239" s="1">
        <v>52.0</v>
      </c>
    </row>
    <row r="15240">
      <c r="A15240" s="1" t="s">
        <v>7</v>
      </c>
      <c r="B15240" s="2">
        <v>44783.0</v>
      </c>
      <c r="C15240" s="3">
        <v>0.7061805555555556</v>
      </c>
      <c r="D15240" s="1">
        <v>12.939339</v>
      </c>
      <c r="E15240" s="1">
        <v>80.129877</v>
      </c>
      <c r="F15240" s="1">
        <v>805.0</v>
      </c>
      <c r="G15240" s="1">
        <v>51.0</v>
      </c>
    </row>
    <row r="15241">
      <c r="A15241" s="1" t="s">
        <v>8</v>
      </c>
      <c r="B15241" s="2">
        <v>44783.0</v>
      </c>
      <c r="C15241" s="3">
        <v>0.7062037037037037</v>
      </c>
      <c r="D15241" s="1">
        <v>12.940314</v>
      </c>
      <c r="E15241" s="1">
        <v>80.13081</v>
      </c>
      <c r="F15241" s="1">
        <v>805.0</v>
      </c>
      <c r="G15241" s="1">
        <v>56.0</v>
      </c>
    </row>
    <row r="15242">
      <c r="A15242" s="1" t="s">
        <v>7</v>
      </c>
      <c r="B15242" s="2">
        <v>44783.0</v>
      </c>
      <c r="C15242" s="3">
        <v>0.7063773148148148</v>
      </c>
      <c r="D15242" s="1">
        <v>12.941327</v>
      </c>
      <c r="E15242" s="1">
        <v>80.131826</v>
      </c>
      <c r="F15242" s="1">
        <v>805.0</v>
      </c>
      <c r="G15242" s="1">
        <v>55.0</v>
      </c>
    </row>
    <row r="15243">
      <c r="A15243" s="1" t="s">
        <v>8</v>
      </c>
      <c r="B15243" s="2">
        <v>44783.0</v>
      </c>
      <c r="C15243" s="3">
        <v>0.7064351851851852</v>
      </c>
      <c r="D15243" s="1">
        <v>12.942256</v>
      </c>
      <c r="E15243" s="1">
        <v>80.132744</v>
      </c>
      <c r="F15243" s="1">
        <v>805.0</v>
      </c>
      <c r="G15243" s="1">
        <v>45.0</v>
      </c>
    </row>
    <row r="15244">
      <c r="A15244" s="1" t="s">
        <v>10</v>
      </c>
      <c r="B15244" s="2">
        <v>44783.0</v>
      </c>
      <c r="C15244" s="3">
        <v>0.7065277777777778</v>
      </c>
      <c r="D15244" s="1">
        <v>12.922496</v>
      </c>
      <c r="E15244" s="1">
        <v>80.137556</v>
      </c>
      <c r="F15244" s="1">
        <v>3143.0</v>
      </c>
      <c r="G15244" s="1">
        <v>8.0</v>
      </c>
    </row>
    <row r="15245">
      <c r="A15245" s="1" t="s">
        <v>8</v>
      </c>
      <c r="B15245" s="2">
        <v>44783.0</v>
      </c>
      <c r="C15245" s="3">
        <v>0.7067129629629629</v>
      </c>
      <c r="D15245" s="1">
        <v>12.943804</v>
      </c>
      <c r="E15245" s="1">
        <v>80.134361</v>
      </c>
      <c r="F15245" s="1">
        <v>805.0</v>
      </c>
      <c r="G15245" s="1">
        <v>48.0</v>
      </c>
    </row>
    <row r="15246">
      <c r="A15246" s="1" t="s">
        <v>7</v>
      </c>
      <c r="B15246" s="2">
        <v>44783.0</v>
      </c>
      <c r="C15246" s="3">
        <v>0.7069675925925926</v>
      </c>
      <c r="D15246" s="1">
        <v>12.945957</v>
      </c>
      <c r="E15246" s="1">
        <v>80.136035</v>
      </c>
      <c r="F15246" s="1">
        <v>805.0</v>
      </c>
      <c r="G15246" s="1">
        <v>58.0</v>
      </c>
    </row>
    <row r="15247">
      <c r="A15247" s="1" t="s">
        <v>7</v>
      </c>
      <c r="B15247" s="2">
        <v>44783.0</v>
      </c>
      <c r="C15247" s="3">
        <v>0.7072222222222222</v>
      </c>
      <c r="D15247" s="1">
        <v>12.937059</v>
      </c>
      <c r="E15247" s="1">
        <v>80.127846</v>
      </c>
      <c r="F15247" s="1">
        <v>5339.0</v>
      </c>
      <c r="G15247" s="1">
        <v>47.0</v>
      </c>
    </row>
    <row r="15248">
      <c r="A15248" s="1" t="s">
        <v>7</v>
      </c>
      <c r="B15248" s="2">
        <v>44783.0</v>
      </c>
      <c r="C15248" s="3">
        <v>0.7073726851851851</v>
      </c>
      <c r="D15248" s="1">
        <v>12.949385</v>
      </c>
      <c r="E15248" s="1">
        <v>80.13858</v>
      </c>
      <c r="F15248" s="1">
        <v>805.0</v>
      </c>
      <c r="G15248" s="1">
        <v>52.0</v>
      </c>
    </row>
    <row r="15249">
      <c r="A15249" s="1" t="s">
        <v>8</v>
      </c>
      <c r="B15249" s="2">
        <v>44783.0</v>
      </c>
      <c r="C15249" s="3">
        <v>0.7075694444444445</v>
      </c>
      <c r="D15249" s="1">
        <v>12.950216</v>
      </c>
      <c r="E15249" s="1">
        <v>80.139254</v>
      </c>
      <c r="F15249" s="1">
        <v>805.0</v>
      </c>
      <c r="G15249" s="1">
        <v>24.0</v>
      </c>
    </row>
    <row r="15250">
      <c r="A15250" s="1" t="s">
        <v>8</v>
      </c>
      <c r="B15250" s="2">
        <v>44783.0</v>
      </c>
      <c r="C15250" s="3">
        <v>0.7075694444444445</v>
      </c>
      <c r="D15250" s="1">
        <v>12.950216</v>
      </c>
      <c r="E15250" s="1">
        <v>80.139254</v>
      </c>
      <c r="F15250" s="1">
        <v>805.0</v>
      </c>
      <c r="G15250" s="1">
        <v>24.0</v>
      </c>
    </row>
    <row r="15251">
      <c r="A15251" s="1" t="s">
        <v>7</v>
      </c>
      <c r="B15251" s="2">
        <v>44783.0</v>
      </c>
      <c r="C15251" s="3">
        <v>0.7076041666666667</v>
      </c>
      <c r="D15251" s="1">
        <v>12.940741</v>
      </c>
      <c r="E15251" s="1">
        <v>80.131254</v>
      </c>
      <c r="F15251" s="1">
        <v>5339.0</v>
      </c>
      <c r="G15251" s="1">
        <v>62.0</v>
      </c>
    </row>
    <row r="15252">
      <c r="A15252" s="1" t="s">
        <v>7</v>
      </c>
      <c r="B15252" s="2">
        <v>44783.0</v>
      </c>
      <c r="C15252" s="3">
        <v>0.7076273148148148</v>
      </c>
      <c r="D15252" s="1">
        <v>12.742064</v>
      </c>
      <c r="E15252" s="1">
        <v>79.991654</v>
      </c>
      <c r="F15252" s="1">
        <v>2846.0</v>
      </c>
      <c r="G15252" s="1">
        <v>38.0</v>
      </c>
    </row>
    <row r="15253">
      <c r="A15253" s="1" t="s">
        <v>8</v>
      </c>
      <c r="B15253" s="2">
        <v>44783.0</v>
      </c>
      <c r="C15253" s="3">
        <v>0.7076273148148148</v>
      </c>
      <c r="D15253" s="1">
        <v>12.950687</v>
      </c>
      <c r="E15253" s="1">
        <v>80.139598</v>
      </c>
      <c r="F15253" s="1">
        <v>805.0</v>
      </c>
      <c r="G15253" s="1">
        <v>27.0</v>
      </c>
    </row>
    <row r="15254">
      <c r="A15254" s="1" t="s">
        <v>8</v>
      </c>
      <c r="B15254" s="2">
        <v>44783.0</v>
      </c>
      <c r="C15254" s="3">
        <v>0.7076388888888889</v>
      </c>
      <c r="D15254" s="1">
        <v>12.950687</v>
      </c>
      <c r="E15254" s="1">
        <v>80.139598</v>
      </c>
      <c r="F15254" s="1">
        <v>805.0</v>
      </c>
      <c r="G15254" s="1">
        <v>27.0</v>
      </c>
    </row>
    <row r="15255">
      <c r="A15255" s="1" t="s">
        <v>8</v>
      </c>
      <c r="B15255" s="2">
        <v>44783.0</v>
      </c>
      <c r="C15255" s="3">
        <v>0.7084953703703704</v>
      </c>
      <c r="D15255" s="1">
        <v>12.922525</v>
      </c>
      <c r="E15255" s="1">
        <v>80.144624</v>
      </c>
      <c r="F15255" s="1">
        <v>3143.0</v>
      </c>
      <c r="G15255" s="1">
        <v>40.0</v>
      </c>
    </row>
    <row r="15256">
      <c r="A15256" s="1" t="s">
        <v>8</v>
      </c>
      <c r="B15256" s="2">
        <v>44783.0</v>
      </c>
      <c r="C15256" s="3">
        <v>0.7085763888888889</v>
      </c>
      <c r="D15256" s="1">
        <v>12.922621</v>
      </c>
      <c r="E15256" s="1">
        <v>80.146528</v>
      </c>
      <c r="F15256" s="1">
        <v>3143.0</v>
      </c>
      <c r="G15256" s="1">
        <v>36.0</v>
      </c>
    </row>
    <row r="15257">
      <c r="A15257" s="1" t="s">
        <v>8</v>
      </c>
      <c r="B15257" s="2">
        <v>44783.0</v>
      </c>
      <c r="C15257" s="3">
        <v>0.7086342592592593</v>
      </c>
      <c r="D15257" s="1">
        <v>12.948703</v>
      </c>
      <c r="E15257" s="1">
        <v>80.138029</v>
      </c>
      <c r="F15257" s="1">
        <v>5339.0</v>
      </c>
      <c r="G15257" s="1">
        <v>46.0</v>
      </c>
    </row>
    <row r="15258">
      <c r="A15258" s="1" t="s">
        <v>8</v>
      </c>
      <c r="B15258" s="2">
        <v>44783.0</v>
      </c>
      <c r="C15258" s="3">
        <v>0.7086689814814815</v>
      </c>
      <c r="D15258" s="1">
        <v>12.948703</v>
      </c>
      <c r="E15258" s="1">
        <v>80.138029</v>
      </c>
      <c r="F15258" s="1">
        <v>5339.0</v>
      </c>
      <c r="G15258" s="1">
        <v>46.0</v>
      </c>
    </row>
    <row r="15259">
      <c r="A15259" s="1" t="s">
        <v>8</v>
      </c>
      <c r="B15259" s="2">
        <v>44783.0</v>
      </c>
      <c r="C15259" s="3">
        <v>0.7087152777777778</v>
      </c>
      <c r="D15259" s="1">
        <v>12.950095</v>
      </c>
      <c r="E15259" s="1">
        <v>80.139198</v>
      </c>
      <c r="F15259" s="1">
        <v>5339.0</v>
      </c>
      <c r="G15259" s="1">
        <v>32.0</v>
      </c>
    </row>
    <row r="15260">
      <c r="A15260" s="1" t="s">
        <v>8</v>
      </c>
      <c r="B15260" s="2">
        <v>44783.0</v>
      </c>
      <c r="C15260" s="3">
        <v>0.7087268518518518</v>
      </c>
      <c r="D15260" s="1">
        <v>12.950095</v>
      </c>
      <c r="E15260" s="1">
        <v>80.139198</v>
      </c>
      <c r="F15260" s="1">
        <v>5339.0</v>
      </c>
      <c r="G15260" s="1">
        <v>32.0</v>
      </c>
    </row>
    <row r="15261">
      <c r="A15261" s="1" t="s">
        <v>8</v>
      </c>
      <c r="B15261" s="2">
        <v>44783.0</v>
      </c>
      <c r="C15261" s="3">
        <v>0.708738425925926</v>
      </c>
      <c r="D15261" s="1">
        <v>12.950095</v>
      </c>
      <c r="E15261" s="1">
        <v>80.139198</v>
      </c>
      <c r="F15261" s="1">
        <v>5339.0</v>
      </c>
      <c r="G15261" s="1">
        <v>32.0</v>
      </c>
    </row>
    <row r="15262">
      <c r="A15262" s="1" t="s">
        <v>7</v>
      </c>
      <c r="B15262" s="2">
        <v>44783.0</v>
      </c>
      <c r="C15262" s="3">
        <v>0.7087847222222222</v>
      </c>
      <c r="D15262" s="1">
        <v>12.733759</v>
      </c>
      <c r="E15262" s="1">
        <v>79.98443</v>
      </c>
      <c r="F15262" s="1">
        <v>2846.0</v>
      </c>
      <c r="G15262" s="1">
        <v>57.0</v>
      </c>
    </row>
    <row r="15263">
      <c r="A15263" s="1" t="s">
        <v>9</v>
      </c>
      <c r="B15263" s="2">
        <v>44783.0</v>
      </c>
      <c r="C15263" s="3">
        <v>0.7090972222222223</v>
      </c>
      <c r="D15263" s="1">
        <v>12.922638</v>
      </c>
      <c r="E15263" s="1">
        <v>80.148385</v>
      </c>
      <c r="F15263" s="1">
        <v>3143.0</v>
      </c>
      <c r="G15263" s="1">
        <v>28.0</v>
      </c>
    </row>
    <row r="15264">
      <c r="A15264" s="1" t="s">
        <v>8</v>
      </c>
      <c r="B15264" s="2">
        <v>44783.0</v>
      </c>
      <c r="C15264" s="3">
        <v>0.7099537037037037</v>
      </c>
      <c r="D15264" s="1">
        <v>12.956788</v>
      </c>
      <c r="E15264" s="1">
        <v>80.143381</v>
      </c>
      <c r="F15264" s="1">
        <v>805.0</v>
      </c>
      <c r="G15264" s="1">
        <v>32.0</v>
      </c>
    </row>
    <row r="15265">
      <c r="A15265" s="1" t="s">
        <v>8</v>
      </c>
      <c r="B15265" s="2">
        <v>44783.0</v>
      </c>
      <c r="C15265" s="3">
        <v>0.7100347222222222</v>
      </c>
      <c r="D15265" s="1">
        <v>12.956788</v>
      </c>
      <c r="E15265" s="1">
        <v>80.143381</v>
      </c>
      <c r="F15265" s="1">
        <v>805.0</v>
      </c>
      <c r="G15265" s="1">
        <v>32.0</v>
      </c>
    </row>
    <row r="15266">
      <c r="A15266" s="1" t="s">
        <v>8</v>
      </c>
      <c r="B15266" s="2">
        <v>44783.0</v>
      </c>
      <c r="C15266" s="3">
        <v>0.7100462962962963</v>
      </c>
      <c r="D15266" s="1">
        <v>12.957626</v>
      </c>
      <c r="E15266" s="1">
        <v>80.143836</v>
      </c>
      <c r="F15266" s="1">
        <v>805.0</v>
      </c>
      <c r="G15266" s="1">
        <v>39.0</v>
      </c>
    </row>
    <row r="15267">
      <c r="A15267" s="1" t="s">
        <v>8</v>
      </c>
      <c r="B15267" s="2">
        <v>44783.0</v>
      </c>
      <c r="C15267" s="3">
        <v>0.7101967592592593</v>
      </c>
      <c r="D15267" s="1">
        <v>12.95838</v>
      </c>
      <c r="E15267" s="1">
        <v>80.144173</v>
      </c>
      <c r="F15267" s="1">
        <v>805.0</v>
      </c>
      <c r="G15267" s="1">
        <v>27.0</v>
      </c>
    </row>
    <row r="15268">
      <c r="A15268" s="1" t="s">
        <v>8</v>
      </c>
      <c r="B15268" s="2">
        <v>44783.0</v>
      </c>
      <c r="C15268" s="3">
        <v>0.7101967592592593</v>
      </c>
      <c r="D15268" s="1">
        <v>12.955771</v>
      </c>
      <c r="E15268" s="1">
        <v>80.142878</v>
      </c>
      <c r="F15268" s="1">
        <v>5339.0</v>
      </c>
      <c r="G15268" s="1">
        <v>10.0</v>
      </c>
    </row>
    <row r="15269">
      <c r="A15269" s="1" t="s">
        <v>8</v>
      </c>
      <c r="B15269" s="2">
        <v>44783.0</v>
      </c>
      <c r="C15269" s="3">
        <v>0.7102199074074074</v>
      </c>
      <c r="D15269" s="1">
        <v>12.955771</v>
      </c>
      <c r="E15269" s="1">
        <v>80.142878</v>
      </c>
      <c r="F15269" s="1">
        <v>5339.0</v>
      </c>
      <c r="G15269" s="1">
        <v>10.0</v>
      </c>
    </row>
    <row r="15270">
      <c r="A15270" s="1" t="s">
        <v>8</v>
      </c>
      <c r="B15270" s="2">
        <v>44783.0</v>
      </c>
      <c r="C15270" s="3">
        <v>0.710324074074074</v>
      </c>
      <c r="D15270" s="1">
        <v>12.956434</v>
      </c>
      <c r="E15270" s="1">
        <v>80.143255</v>
      </c>
      <c r="F15270" s="1">
        <v>5339.0</v>
      </c>
      <c r="G15270" s="1">
        <v>27.0</v>
      </c>
    </row>
    <row r="15271">
      <c r="A15271" s="1" t="s">
        <v>8</v>
      </c>
      <c r="B15271" s="2">
        <v>44783.0</v>
      </c>
      <c r="C15271" s="3">
        <v>0.7104282407407407</v>
      </c>
      <c r="D15271" s="1">
        <v>12.956434</v>
      </c>
      <c r="E15271" s="1">
        <v>80.143255</v>
      </c>
      <c r="F15271" s="1">
        <v>5339.0</v>
      </c>
      <c r="G15271" s="1">
        <v>27.0</v>
      </c>
    </row>
    <row r="15272">
      <c r="A15272" s="1" t="s">
        <v>8</v>
      </c>
      <c r="B15272" s="2">
        <v>44783.0</v>
      </c>
      <c r="C15272" s="3">
        <v>0.7105092592592592</v>
      </c>
      <c r="D15272" s="1">
        <v>12.923706</v>
      </c>
      <c r="E15272" s="1">
        <v>80.155899</v>
      </c>
      <c r="F15272" s="1">
        <v>3143.0</v>
      </c>
      <c r="G15272" s="1">
        <v>35.0</v>
      </c>
    </row>
    <row r="15273">
      <c r="A15273" s="1" t="s">
        <v>8</v>
      </c>
      <c r="B15273" s="2">
        <v>44783.0</v>
      </c>
      <c r="C15273" s="3">
        <v>0.7107638888888889</v>
      </c>
      <c r="D15273" s="1">
        <v>12.92342</v>
      </c>
      <c r="E15273" s="1">
        <v>80.159417</v>
      </c>
      <c r="F15273" s="1">
        <v>3143.0</v>
      </c>
      <c r="G15273" s="1">
        <v>45.0</v>
      </c>
    </row>
    <row r="15274">
      <c r="A15274" s="1" t="s">
        <v>8</v>
      </c>
      <c r="B15274" s="2">
        <v>44783.0</v>
      </c>
      <c r="C15274" s="3">
        <v>0.710787037037037</v>
      </c>
      <c r="D15274" s="1">
        <v>12.712408</v>
      </c>
      <c r="E15274" s="1">
        <v>79.97963</v>
      </c>
      <c r="F15274" s="1">
        <v>2846.0</v>
      </c>
      <c r="G15274" s="1">
        <v>43.0</v>
      </c>
    </row>
    <row r="15275">
      <c r="A15275" s="1" t="s">
        <v>8</v>
      </c>
      <c r="B15275" s="2">
        <v>44783.0</v>
      </c>
      <c r="C15275" s="3">
        <v>0.7110300925925926</v>
      </c>
      <c r="D15275" s="1">
        <v>12.923159</v>
      </c>
      <c r="E15275" s="1">
        <v>80.160748</v>
      </c>
      <c r="F15275" s="1">
        <v>3143.0</v>
      </c>
      <c r="G15275" s="1">
        <v>27.0</v>
      </c>
    </row>
    <row r="15276">
      <c r="A15276" s="1" t="s">
        <v>7</v>
      </c>
      <c r="B15276" s="2">
        <v>44783.0</v>
      </c>
      <c r="C15276" s="3">
        <v>0.7112152777777778</v>
      </c>
      <c r="D15276" s="1">
        <v>12.707687</v>
      </c>
      <c r="E15276" s="1">
        <v>79.976666</v>
      </c>
      <c r="F15276" s="1">
        <v>2846.0</v>
      </c>
      <c r="G15276" s="1">
        <v>58.0</v>
      </c>
    </row>
    <row r="15277">
      <c r="A15277" s="1" t="s">
        <v>8</v>
      </c>
      <c r="B15277" s="2">
        <v>44783.0</v>
      </c>
      <c r="C15277" s="3">
        <v>0.7112615740740741</v>
      </c>
      <c r="D15277" s="1">
        <v>12.92273</v>
      </c>
      <c r="E15277" s="1">
        <v>80.162117</v>
      </c>
      <c r="F15277" s="1">
        <v>3143.0</v>
      </c>
      <c r="G15277" s="1">
        <v>43.0</v>
      </c>
    </row>
    <row r="15278">
      <c r="A15278" s="1" t="s">
        <v>8</v>
      </c>
      <c r="B15278" s="2">
        <v>44783.0</v>
      </c>
      <c r="C15278" s="3">
        <v>0.7114236111111111</v>
      </c>
      <c r="D15278" s="1">
        <v>12.9637</v>
      </c>
      <c r="E15278" s="1">
        <v>80.147057</v>
      </c>
      <c r="F15278" s="1">
        <v>805.0</v>
      </c>
      <c r="G15278" s="1">
        <v>29.0</v>
      </c>
    </row>
    <row r="15279">
      <c r="A15279" s="1" t="s">
        <v>8</v>
      </c>
      <c r="B15279" s="2">
        <v>44783.0</v>
      </c>
      <c r="C15279" s="3">
        <v>0.7114351851851852</v>
      </c>
      <c r="D15279" s="1">
        <v>12.9637</v>
      </c>
      <c r="E15279" s="1">
        <v>80.147057</v>
      </c>
      <c r="F15279" s="1">
        <v>805.0</v>
      </c>
      <c r="G15279" s="1">
        <v>29.0</v>
      </c>
    </row>
    <row r="15280">
      <c r="A15280" s="1" t="s">
        <v>8</v>
      </c>
      <c r="B15280" s="2">
        <v>44783.0</v>
      </c>
      <c r="C15280" s="3">
        <v>0.7115277777777778</v>
      </c>
      <c r="D15280" s="1">
        <v>12.921595</v>
      </c>
      <c r="E15280" s="1">
        <v>80.165618</v>
      </c>
      <c r="F15280" s="1">
        <v>3143.0</v>
      </c>
      <c r="G15280" s="1">
        <v>47.0</v>
      </c>
    </row>
    <row r="15281">
      <c r="A15281" s="1" t="s">
        <v>8</v>
      </c>
      <c r="B15281" s="2">
        <v>44783.0</v>
      </c>
      <c r="C15281" s="3">
        <v>0.7116898148148149</v>
      </c>
      <c r="D15281" s="1">
        <v>12.703814</v>
      </c>
      <c r="E15281" s="1">
        <v>79.972431</v>
      </c>
      <c r="F15281" s="1">
        <v>2846.0</v>
      </c>
      <c r="G15281" s="1">
        <v>47.0</v>
      </c>
    </row>
    <row r="15282">
      <c r="A15282" s="1" t="s">
        <v>8</v>
      </c>
      <c r="B15282" s="2">
        <v>44783.0</v>
      </c>
      <c r="C15282" s="3">
        <v>0.7119328703703703</v>
      </c>
      <c r="D15282" s="1">
        <v>12.963218</v>
      </c>
      <c r="E15282" s="1">
        <v>80.146744</v>
      </c>
      <c r="F15282" s="1">
        <v>5339.0</v>
      </c>
      <c r="G15282" s="1">
        <v>39.0</v>
      </c>
    </row>
    <row r="15283">
      <c r="A15283" s="1" t="s">
        <v>10</v>
      </c>
      <c r="B15283" s="2">
        <v>44783.0</v>
      </c>
      <c r="C15283" s="3">
        <v>0.7121412037037037</v>
      </c>
      <c r="D15283" s="1">
        <v>12.703814</v>
      </c>
      <c r="E15283" s="1">
        <v>79.972431</v>
      </c>
      <c r="F15283" s="1">
        <v>2846.0</v>
      </c>
      <c r="G15283" s="1">
        <v>47.0</v>
      </c>
    </row>
    <row r="15284">
      <c r="A15284" s="1" t="s">
        <v>7</v>
      </c>
      <c r="B15284" s="2">
        <v>44783.0</v>
      </c>
      <c r="C15284" s="3">
        <v>0.7121759259259259</v>
      </c>
      <c r="D15284" s="1">
        <v>12.969728</v>
      </c>
      <c r="E15284" s="1">
        <v>80.150216</v>
      </c>
      <c r="F15284" s="1">
        <v>805.0</v>
      </c>
      <c r="G15284" s="1">
        <v>57.0</v>
      </c>
    </row>
    <row r="15285">
      <c r="A15285" s="1" t="s">
        <v>7</v>
      </c>
      <c r="B15285" s="2">
        <v>44783.0</v>
      </c>
      <c r="C15285" s="3">
        <v>0.7121759259259259</v>
      </c>
      <c r="D15285" s="1">
        <v>12.965017</v>
      </c>
      <c r="E15285" s="1">
        <v>80.147932</v>
      </c>
      <c r="F15285" s="1">
        <v>5339.0</v>
      </c>
      <c r="G15285" s="1">
        <v>53.0</v>
      </c>
    </row>
    <row r="15286">
      <c r="A15286" s="1" t="s">
        <v>7</v>
      </c>
      <c r="B15286" s="2">
        <v>44783.0</v>
      </c>
      <c r="C15286" s="3">
        <v>0.7123263888888889</v>
      </c>
      <c r="D15286" s="1">
        <v>12.966322</v>
      </c>
      <c r="E15286" s="1">
        <v>80.148601</v>
      </c>
      <c r="F15286" s="1">
        <v>5339.0</v>
      </c>
      <c r="G15286" s="1">
        <v>58.0</v>
      </c>
    </row>
    <row r="15287">
      <c r="A15287" s="1" t="s">
        <v>8</v>
      </c>
      <c r="B15287" s="2">
        <v>44783.0</v>
      </c>
      <c r="C15287" s="3">
        <v>0.7126851851851852</v>
      </c>
      <c r="D15287" s="1">
        <v>12.974829</v>
      </c>
      <c r="E15287" s="1">
        <v>80.155328</v>
      </c>
      <c r="F15287" s="1">
        <v>805.0</v>
      </c>
      <c r="G15287" s="1">
        <v>58.0</v>
      </c>
    </row>
    <row r="15288">
      <c r="A15288" s="1" t="s">
        <v>10</v>
      </c>
      <c r="B15288" s="2">
        <v>44783.0</v>
      </c>
      <c r="C15288" s="3">
        <v>0.7127314814814815</v>
      </c>
      <c r="D15288" s="1">
        <v>12.698716</v>
      </c>
      <c r="E15288" s="1">
        <v>79.970107</v>
      </c>
      <c r="F15288" s="1">
        <v>2846.0</v>
      </c>
      <c r="G15288" s="1">
        <v>29.0</v>
      </c>
    </row>
    <row r="15289">
      <c r="A15289" s="1" t="s">
        <v>8</v>
      </c>
      <c r="B15289" s="2">
        <v>44783.0</v>
      </c>
      <c r="C15289" s="3">
        <v>0.7128356481481481</v>
      </c>
      <c r="D15289" s="1">
        <v>12.975657</v>
      </c>
      <c r="E15289" s="1">
        <v>80.156465</v>
      </c>
      <c r="F15289" s="1">
        <v>805.0</v>
      </c>
      <c r="G15289" s="1">
        <v>51.0</v>
      </c>
    </row>
    <row r="15290">
      <c r="A15290" s="1" t="s">
        <v>7</v>
      </c>
      <c r="B15290" s="2">
        <v>44783.0</v>
      </c>
      <c r="C15290" s="3">
        <v>0.7130787037037037</v>
      </c>
      <c r="D15290" s="1">
        <v>12.919199</v>
      </c>
      <c r="E15290" s="1">
        <v>80.17346</v>
      </c>
      <c r="F15290" s="1">
        <v>3143.0</v>
      </c>
      <c r="G15290" s="1">
        <v>37.0</v>
      </c>
    </row>
    <row r="15291">
      <c r="A15291" s="1" t="s">
        <v>7</v>
      </c>
      <c r="B15291" s="2">
        <v>44783.0</v>
      </c>
      <c r="C15291" s="3">
        <v>0.7130787037037037</v>
      </c>
      <c r="D15291" s="1">
        <v>12.973942</v>
      </c>
      <c r="E15291" s="1">
        <v>80.154062</v>
      </c>
      <c r="F15291" s="1">
        <v>5339.0</v>
      </c>
      <c r="G15291" s="1">
        <v>55.0</v>
      </c>
    </row>
    <row r="15292">
      <c r="A15292" s="1" t="s">
        <v>8</v>
      </c>
      <c r="B15292" s="2">
        <v>44783.0</v>
      </c>
      <c r="C15292" s="3">
        <v>0.7131481481481482</v>
      </c>
      <c r="D15292" s="1">
        <v>12.973942</v>
      </c>
      <c r="E15292" s="1">
        <v>80.154062</v>
      </c>
      <c r="F15292" s="1">
        <v>5339.0</v>
      </c>
      <c r="G15292" s="1">
        <v>55.0</v>
      </c>
    </row>
    <row r="15293">
      <c r="A15293" s="1" t="s">
        <v>7</v>
      </c>
      <c r="B15293" s="2">
        <v>44783.0</v>
      </c>
      <c r="C15293" s="3">
        <v>0.7139467592592592</v>
      </c>
      <c r="D15293" s="1">
        <v>12.978273</v>
      </c>
      <c r="E15293" s="1">
        <v>80.160417</v>
      </c>
      <c r="F15293" s="1">
        <v>5339.0</v>
      </c>
      <c r="G15293" s="1">
        <v>51.0</v>
      </c>
    </row>
    <row r="15294">
      <c r="A15294" s="1" t="s">
        <v>7</v>
      </c>
      <c r="B15294" s="2">
        <v>44783.0</v>
      </c>
      <c r="C15294" s="3">
        <v>0.7142824074074074</v>
      </c>
      <c r="D15294" s="1">
        <v>12.980324</v>
      </c>
      <c r="E15294" s="1">
        <v>80.164248</v>
      </c>
      <c r="F15294" s="1">
        <v>5339.0</v>
      </c>
      <c r="G15294" s="1">
        <v>57.0</v>
      </c>
    </row>
    <row r="15295">
      <c r="A15295" s="1" t="s">
        <v>7</v>
      </c>
      <c r="B15295" s="2">
        <v>44783.0</v>
      </c>
      <c r="C15295" s="3">
        <v>0.7145138888888889</v>
      </c>
      <c r="D15295" s="1">
        <v>12.981236</v>
      </c>
      <c r="E15295" s="1">
        <v>80.166276</v>
      </c>
      <c r="F15295" s="1">
        <v>5339.0</v>
      </c>
      <c r="G15295" s="1">
        <v>58.0</v>
      </c>
    </row>
    <row r="15296">
      <c r="A15296" s="1" t="s">
        <v>7</v>
      </c>
      <c r="B15296" s="2">
        <v>44783.0</v>
      </c>
      <c r="C15296" s="3">
        <v>0.7146759259259259</v>
      </c>
      <c r="D15296" s="1">
        <v>12.982434</v>
      </c>
      <c r="E15296" s="1">
        <v>80.168316</v>
      </c>
      <c r="F15296" s="1">
        <v>5339.0</v>
      </c>
      <c r="G15296" s="1">
        <v>57.0</v>
      </c>
    </row>
    <row r="15297">
      <c r="A15297" s="1" t="s">
        <v>8</v>
      </c>
      <c r="B15297" s="2">
        <v>44783.0</v>
      </c>
      <c r="C15297" s="3">
        <v>0.7156365740740741</v>
      </c>
      <c r="D15297" s="1">
        <v>12.98707</v>
      </c>
      <c r="E15297" s="1">
        <v>80.175559</v>
      </c>
      <c r="F15297" s="1">
        <v>805.0</v>
      </c>
      <c r="G15297" s="1">
        <v>44.0</v>
      </c>
    </row>
    <row r="15298">
      <c r="A15298" s="1" t="s">
        <v>8</v>
      </c>
      <c r="B15298" s="2">
        <v>44783.0</v>
      </c>
      <c r="C15298" s="3">
        <v>0.715787037037037</v>
      </c>
      <c r="D15298" s="1">
        <v>12.925921</v>
      </c>
      <c r="E15298" s="1">
        <v>80.182572</v>
      </c>
      <c r="F15298" s="1">
        <v>3143.0</v>
      </c>
      <c r="G15298" s="1">
        <v>24.0</v>
      </c>
    </row>
    <row r="15299">
      <c r="A15299" s="1" t="s">
        <v>8</v>
      </c>
      <c r="B15299" s="2">
        <v>44783.0</v>
      </c>
      <c r="C15299" s="3">
        <v>0.7157986111111111</v>
      </c>
      <c r="D15299" s="1">
        <v>12.925921</v>
      </c>
      <c r="E15299" s="1">
        <v>80.182572</v>
      </c>
      <c r="F15299" s="1">
        <v>3143.0</v>
      </c>
      <c r="G15299" s="1">
        <v>24.0</v>
      </c>
    </row>
    <row r="15300">
      <c r="A15300" s="1" t="s">
        <v>8</v>
      </c>
      <c r="B15300" s="2">
        <v>44783.0</v>
      </c>
      <c r="C15300" s="3">
        <v>0.7158449074074074</v>
      </c>
      <c r="D15300" s="1">
        <v>12.925921</v>
      </c>
      <c r="E15300" s="1">
        <v>80.182572</v>
      </c>
      <c r="F15300" s="1">
        <v>3143.0</v>
      </c>
      <c r="G15300" s="1">
        <v>24.0</v>
      </c>
    </row>
    <row r="15301">
      <c r="A15301" s="1" t="s">
        <v>8</v>
      </c>
      <c r="B15301" s="2">
        <v>44783.0</v>
      </c>
      <c r="C15301" s="3">
        <v>0.7161111111111111</v>
      </c>
      <c r="D15301" s="1">
        <v>12.928163</v>
      </c>
      <c r="E15301" s="1">
        <v>80.182097</v>
      </c>
      <c r="F15301" s="1">
        <v>3143.0</v>
      </c>
      <c r="G15301" s="1">
        <v>31.0</v>
      </c>
    </row>
    <row r="15302">
      <c r="A15302" s="1" t="s">
        <v>8</v>
      </c>
      <c r="B15302" s="2">
        <v>44783.0</v>
      </c>
      <c r="C15302" s="3">
        <v>0.7164814814814815</v>
      </c>
      <c r="D15302" s="1">
        <v>12.990421</v>
      </c>
      <c r="E15302" s="1">
        <v>80.180002</v>
      </c>
      <c r="F15302" s="1">
        <v>805.0</v>
      </c>
      <c r="G15302" s="1">
        <v>45.0</v>
      </c>
    </row>
    <row r="15303">
      <c r="A15303" s="1" t="s">
        <v>8</v>
      </c>
      <c r="B15303" s="2">
        <v>44783.0</v>
      </c>
      <c r="C15303" s="3">
        <v>0.7165972222222222</v>
      </c>
      <c r="D15303" s="1">
        <v>12.991204</v>
      </c>
      <c r="E15303" s="1">
        <v>80.180982</v>
      </c>
      <c r="F15303" s="1">
        <v>805.0</v>
      </c>
      <c r="G15303" s="1">
        <v>49.0</v>
      </c>
    </row>
    <row r="15304">
      <c r="A15304" s="1" t="s">
        <v>8</v>
      </c>
      <c r="B15304" s="2">
        <v>44783.0</v>
      </c>
      <c r="C15304" s="3">
        <v>0.7168865740740741</v>
      </c>
      <c r="D15304" s="1">
        <v>12.992621</v>
      </c>
      <c r="E15304" s="1">
        <v>80.182938</v>
      </c>
      <c r="F15304" s="1">
        <v>805.0</v>
      </c>
      <c r="G15304" s="1">
        <v>49.0</v>
      </c>
    </row>
    <row r="15305">
      <c r="A15305" s="1" t="s">
        <v>10</v>
      </c>
      <c r="B15305" s="2">
        <v>44783.0</v>
      </c>
      <c r="C15305" s="3">
        <v>0.7173148148148148</v>
      </c>
      <c r="D15305" s="1">
        <v>12.932807</v>
      </c>
      <c r="E15305" s="1">
        <v>80.181753</v>
      </c>
      <c r="F15305" s="1">
        <v>3143.0</v>
      </c>
      <c r="G15305" s="1">
        <v>22.0</v>
      </c>
    </row>
    <row r="15306">
      <c r="A15306" s="1" t="s">
        <v>8</v>
      </c>
      <c r="B15306" s="2">
        <v>44783.0</v>
      </c>
      <c r="C15306" s="3">
        <v>0.7176967592592592</v>
      </c>
      <c r="D15306" s="1">
        <v>12.991012</v>
      </c>
      <c r="E15306" s="1">
        <v>80.180778</v>
      </c>
      <c r="F15306" s="1">
        <v>5339.0</v>
      </c>
      <c r="G15306" s="1">
        <v>45.0</v>
      </c>
    </row>
    <row r="15307">
      <c r="A15307" s="1" t="s">
        <v>8</v>
      </c>
      <c r="B15307" s="2">
        <v>44783.0</v>
      </c>
      <c r="C15307" s="3">
        <v>0.7179513888888889</v>
      </c>
      <c r="D15307" s="1">
        <v>12.994597</v>
      </c>
      <c r="E15307" s="1">
        <v>80.186661</v>
      </c>
      <c r="F15307" s="1">
        <v>805.0</v>
      </c>
      <c r="G15307" s="1">
        <v>52.0</v>
      </c>
    </row>
    <row r="15308">
      <c r="A15308" s="1" t="s">
        <v>8</v>
      </c>
      <c r="B15308" s="2">
        <v>44783.0</v>
      </c>
      <c r="C15308" s="3">
        <v>0.718912037037037</v>
      </c>
      <c r="D15308" s="1">
        <v>12.998961</v>
      </c>
      <c r="E15308" s="1">
        <v>80.19283</v>
      </c>
      <c r="F15308" s="1">
        <v>805.0</v>
      </c>
      <c r="G15308" s="1">
        <v>33.0</v>
      </c>
    </row>
    <row r="15309">
      <c r="A15309" s="1" t="s">
        <v>8</v>
      </c>
      <c r="B15309" s="2">
        <v>44783.0</v>
      </c>
      <c r="C15309" s="3">
        <v>0.7208333333333333</v>
      </c>
      <c r="D15309" s="1">
        <v>13.001822</v>
      </c>
      <c r="E15309" s="1">
        <v>80.199001</v>
      </c>
      <c r="F15309" s="1">
        <v>805.0</v>
      </c>
      <c r="G15309" s="1">
        <v>48.0</v>
      </c>
    </row>
    <row r="15310">
      <c r="A15310" s="1" t="s">
        <v>8</v>
      </c>
      <c r="B15310" s="2">
        <v>44783.0</v>
      </c>
      <c r="C15310" s="3">
        <v>0.7208333333333333</v>
      </c>
      <c r="D15310" s="1">
        <v>13.001557</v>
      </c>
      <c r="E15310" s="1">
        <v>80.196046</v>
      </c>
      <c r="F15310" s="1">
        <v>805.0</v>
      </c>
      <c r="G15310" s="1">
        <v>27.0</v>
      </c>
    </row>
    <row r="15311">
      <c r="A15311" s="1" t="s">
        <v>8</v>
      </c>
      <c r="B15311" s="2">
        <v>44783.0</v>
      </c>
      <c r="C15311" s="3">
        <v>0.7212268518518519</v>
      </c>
      <c r="D15311" s="1">
        <v>13.004918</v>
      </c>
      <c r="E15311" s="1">
        <v>80.201275</v>
      </c>
      <c r="F15311" s="1">
        <v>805.0</v>
      </c>
      <c r="G15311" s="1">
        <v>42.0</v>
      </c>
    </row>
    <row r="15312">
      <c r="A15312" s="1" t="s">
        <v>8</v>
      </c>
      <c r="B15312" s="2">
        <v>44783.0</v>
      </c>
      <c r="C15312" s="3">
        <v>0.7213194444444444</v>
      </c>
      <c r="D15312" s="1">
        <v>13.004918</v>
      </c>
      <c r="E15312" s="1">
        <v>80.201275</v>
      </c>
      <c r="F15312" s="1">
        <v>805.0</v>
      </c>
      <c r="G15312" s="1">
        <v>42.0</v>
      </c>
    </row>
    <row r="15313">
      <c r="A15313" s="1" t="s">
        <v>8</v>
      </c>
      <c r="B15313" s="2">
        <v>44783.0</v>
      </c>
      <c r="C15313" s="3">
        <v>0.7214236111111111</v>
      </c>
      <c r="D15313" s="1">
        <v>13.005765</v>
      </c>
      <c r="E15313" s="1">
        <v>80.202055</v>
      </c>
      <c r="F15313" s="1">
        <v>805.0</v>
      </c>
      <c r="G15313" s="1">
        <v>46.0</v>
      </c>
    </row>
    <row r="15314">
      <c r="A15314" s="1" t="s">
        <v>8</v>
      </c>
      <c r="B15314" s="2">
        <v>44783.0</v>
      </c>
      <c r="C15314" s="3">
        <v>0.7219675925925926</v>
      </c>
      <c r="D15314" s="1">
        <v>13.002497</v>
      </c>
      <c r="E15314" s="1">
        <v>80.200533</v>
      </c>
      <c r="F15314" s="1">
        <v>5339.0</v>
      </c>
      <c r="G15314" s="1">
        <v>38.0</v>
      </c>
    </row>
    <row r="15315">
      <c r="A15315" s="1" t="s">
        <v>8</v>
      </c>
      <c r="B15315" s="2">
        <v>44783.0</v>
      </c>
      <c r="C15315" s="3">
        <v>0.7222337962962962</v>
      </c>
      <c r="D15315" s="1">
        <v>13.007644</v>
      </c>
      <c r="E15315" s="1">
        <v>80.205665</v>
      </c>
      <c r="F15315" s="1">
        <v>805.0</v>
      </c>
      <c r="G15315" s="1">
        <v>59.0</v>
      </c>
    </row>
    <row r="15316">
      <c r="A15316" s="1" t="s">
        <v>8</v>
      </c>
      <c r="B15316" s="2">
        <v>44783.0</v>
      </c>
      <c r="C15316" s="3">
        <v>0.7222916666666667</v>
      </c>
      <c r="D15316" s="1">
        <v>13.00784</v>
      </c>
      <c r="E15316" s="1">
        <v>80.207096</v>
      </c>
      <c r="F15316" s="1">
        <v>805.0</v>
      </c>
      <c r="G15316" s="1">
        <v>51.0</v>
      </c>
    </row>
    <row r="15317">
      <c r="A15317" s="1" t="s">
        <v>8</v>
      </c>
      <c r="B15317" s="2">
        <v>44783.0</v>
      </c>
      <c r="C15317" s="3">
        <v>0.7230787037037038</v>
      </c>
      <c r="D15317" s="1">
        <v>13.008492</v>
      </c>
      <c r="E15317" s="1">
        <v>80.210371</v>
      </c>
      <c r="F15317" s="1">
        <v>805.0</v>
      </c>
      <c r="G15317" s="1">
        <v>46.0</v>
      </c>
    </row>
    <row r="15318">
      <c r="A15318" s="1" t="s">
        <v>8</v>
      </c>
      <c r="B15318" s="2">
        <v>44783.0</v>
      </c>
      <c r="C15318" s="3">
        <v>0.7238194444444445</v>
      </c>
      <c r="D15318" s="1">
        <v>13.011286</v>
      </c>
      <c r="E15318" s="1">
        <v>80.21807</v>
      </c>
      <c r="F15318" s="1">
        <v>805.0</v>
      </c>
      <c r="G15318" s="1">
        <v>38.0</v>
      </c>
    </row>
    <row r="15319">
      <c r="A15319" s="1" t="s">
        <v>8</v>
      </c>
      <c r="B15319" s="2">
        <v>44783.0</v>
      </c>
      <c r="C15319" s="3">
        <v>0.7238310185185185</v>
      </c>
      <c r="D15319" s="1">
        <v>13.011286</v>
      </c>
      <c r="E15319" s="1">
        <v>80.21807</v>
      </c>
      <c r="F15319" s="1">
        <v>805.0</v>
      </c>
      <c r="G15319" s="1">
        <v>38.0</v>
      </c>
    </row>
    <row r="15320">
      <c r="A15320" s="1" t="s">
        <v>8</v>
      </c>
      <c r="B15320" s="2">
        <v>44783.0</v>
      </c>
      <c r="C15320" s="3">
        <v>0.7238541666666667</v>
      </c>
      <c r="D15320" s="1">
        <v>13.00914</v>
      </c>
      <c r="E15320" s="1">
        <v>80.212147</v>
      </c>
      <c r="F15320" s="1">
        <v>5339.0</v>
      </c>
      <c r="G15320" s="1">
        <v>38.0</v>
      </c>
    </row>
    <row r="15321">
      <c r="A15321" s="1" t="s">
        <v>8</v>
      </c>
      <c r="B15321" s="2">
        <v>44783.0</v>
      </c>
      <c r="C15321" s="3">
        <v>0.7241319444444444</v>
      </c>
      <c r="D15321" s="1">
        <v>13.009768</v>
      </c>
      <c r="E15321" s="1">
        <v>80.213797</v>
      </c>
      <c r="F15321" s="1">
        <v>5339.0</v>
      </c>
      <c r="G15321" s="1">
        <v>30.0</v>
      </c>
    </row>
    <row r="15322">
      <c r="A15322" s="1" t="s">
        <v>7</v>
      </c>
      <c r="B15322" s="2">
        <v>44783.0</v>
      </c>
      <c r="C15322" s="3">
        <v>0.7247685185185185</v>
      </c>
      <c r="D15322" s="1">
        <v>13.011606</v>
      </c>
      <c r="E15322" s="1">
        <v>80.219075</v>
      </c>
      <c r="F15322" s="1">
        <v>5339.0</v>
      </c>
      <c r="G15322" s="1">
        <v>56.0</v>
      </c>
    </row>
    <row r="15323">
      <c r="A15323" s="1" t="s">
        <v>7</v>
      </c>
      <c r="B15323" s="2">
        <v>44783.0</v>
      </c>
      <c r="C15323" s="3">
        <v>0.724837962962963</v>
      </c>
      <c r="D15323" s="1">
        <v>13.011606</v>
      </c>
      <c r="E15323" s="1">
        <v>80.219075</v>
      </c>
      <c r="F15323" s="1">
        <v>5339.0</v>
      </c>
      <c r="G15323" s="1">
        <v>56.0</v>
      </c>
    </row>
    <row r="15324">
      <c r="A15324" s="1" t="s">
        <v>8</v>
      </c>
      <c r="B15324" s="2">
        <v>44783.0</v>
      </c>
      <c r="C15324" s="3">
        <v>0.724849537037037</v>
      </c>
      <c r="D15324" s="1">
        <v>13.011606</v>
      </c>
      <c r="E15324" s="1">
        <v>80.219075</v>
      </c>
      <c r="F15324" s="1">
        <v>5339.0</v>
      </c>
      <c r="G15324" s="1">
        <v>56.0</v>
      </c>
    </row>
    <row r="15325">
      <c r="A15325" s="1" t="s">
        <v>8</v>
      </c>
      <c r="B15325" s="2">
        <v>44783.0</v>
      </c>
      <c r="C15325" s="3">
        <v>0.7249074074074074</v>
      </c>
      <c r="D15325" s="1">
        <v>13.012061</v>
      </c>
      <c r="E15325" s="1">
        <v>80.220407</v>
      </c>
      <c r="F15325" s="1">
        <v>5339.0</v>
      </c>
      <c r="G15325" s="1">
        <v>43.0</v>
      </c>
    </row>
    <row r="15326">
      <c r="A15326" s="1" t="s">
        <v>9</v>
      </c>
      <c r="B15326" s="2">
        <v>44783.0</v>
      </c>
      <c r="C15326" s="3">
        <v>0.7257638888888889</v>
      </c>
      <c r="D15326" s="1">
        <v>13.014607</v>
      </c>
      <c r="E15326" s="1">
        <v>80.223999</v>
      </c>
      <c r="F15326" s="1">
        <v>5339.0</v>
      </c>
      <c r="G15326" s="1">
        <v>38.0</v>
      </c>
    </row>
    <row r="15327">
      <c r="A15327" s="1" t="s">
        <v>8</v>
      </c>
      <c r="B15327" s="2">
        <v>44783.0</v>
      </c>
      <c r="C15327" s="3">
        <v>0.7260648148148148</v>
      </c>
      <c r="D15327" s="1">
        <v>13.014332</v>
      </c>
      <c r="E15327" s="1">
        <v>80.226172</v>
      </c>
      <c r="F15327" s="1">
        <v>805.0</v>
      </c>
      <c r="G15327" s="1">
        <v>33.0</v>
      </c>
    </row>
    <row r="15328">
      <c r="A15328" s="1" t="s">
        <v>8</v>
      </c>
      <c r="B15328" s="2">
        <v>44783.0</v>
      </c>
      <c r="C15328" s="3">
        <v>0.7262037037037037</v>
      </c>
      <c r="D15328" s="1">
        <v>13.012354</v>
      </c>
      <c r="E15328" s="1">
        <v>80.22699</v>
      </c>
      <c r="F15328" s="1">
        <v>805.0</v>
      </c>
      <c r="G15328" s="1">
        <v>41.0</v>
      </c>
    </row>
    <row r="15329">
      <c r="A15329" s="1" t="s">
        <v>8</v>
      </c>
      <c r="B15329" s="2">
        <v>44783.0</v>
      </c>
      <c r="C15329" s="3">
        <v>0.7262731481481481</v>
      </c>
      <c r="D15329" s="1">
        <v>13.017777</v>
      </c>
      <c r="E15329" s="1">
        <v>80.22479</v>
      </c>
      <c r="F15329" s="1">
        <v>5339.0</v>
      </c>
      <c r="G15329" s="1">
        <v>32.0</v>
      </c>
    </row>
    <row r="15330">
      <c r="A15330" s="1" t="s">
        <v>8</v>
      </c>
      <c r="B15330" s="2">
        <v>44783.0</v>
      </c>
      <c r="C15330" s="3">
        <v>0.7263773148148148</v>
      </c>
      <c r="D15330" s="1">
        <v>13.017777</v>
      </c>
      <c r="E15330" s="1">
        <v>80.22479</v>
      </c>
      <c r="F15330" s="1">
        <v>5339.0</v>
      </c>
      <c r="G15330" s="1">
        <v>32.0</v>
      </c>
    </row>
    <row r="15331">
      <c r="A15331" s="1" t="s">
        <v>8</v>
      </c>
      <c r="B15331" s="2">
        <v>44783.0</v>
      </c>
      <c r="C15331" s="3">
        <v>0.726412037037037</v>
      </c>
      <c r="D15331" s="1">
        <v>13.018504</v>
      </c>
      <c r="E15331" s="1">
        <v>80.224505</v>
      </c>
      <c r="F15331" s="1">
        <v>5339.0</v>
      </c>
      <c r="G15331" s="1">
        <v>29.0</v>
      </c>
    </row>
    <row r="15332">
      <c r="A15332" s="1" t="s">
        <v>8</v>
      </c>
      <c r="B15332" s="2">
        <v>44783.0</v>
      </c>
      <c r="C15332" s="3">
        <v>0.7264236111111111</v>
      </c>
      <c r="D15332" s="1">
        <v>13.018504</v>
      </c>
      <c r="E15332" s="1">
        <v>80.224505</v>
      </c>
      <c r="F15332" s="1">
        <v>5339.0</v>
      </c>
      <c r="G15332" s="1">
        <v>29.0</v>
      </c>
    </row>
    <row r="15333">
      <c r="A15333" s="1" t="s">
        <v>8</v>
      </c>
      <c r="B15333" s="2">
        <v>44783.0</v>
      </c>
      <c r="C15333" s="3">
        <v>0.7264351851851852</v>
      </c>
      <c r="D15333" s="1">
        <v>13.018504</v>
      </c>
      <c r="E15333" s="1">
        <v>80.224505</v>
      </c>
      <c r="F15333" s="1">
        <v>5339.0</v>
      </c>
      <c r="G15333" s="1">
        <v>29.0</v>
      </c>
    </row>
    <row r="15334">
      <c r="A15334" s="1" t="s">
        <v>8</v>
      </c>
      <c r="B15334" s="2">
        <v>44783.0</v>
      </c>
      <c r="C15334" s="3">
        <v>0.7264467592592593</v>
      </c>
      <c r="D15334" s="1">
        <v>13.018504</v>
      </c>
      <c r="E15334" s="1">
        <v>80.224505</v>
      </c>
      <c r="F15334" s="1">
        <v>5339.0</v>
      </c>
      <c r="G15334" s="1">
        <v>29.0</v>
      </c>
    </row>
    <row r="15335">
      <c r="A15335" s="1" t="s">
        <v>8</v>
      </c>
      <c r="B15335" s="2">
        <v>44783.0</v>
      </c>
      <c r="C15335" s="3">
        <v>0.7269560185185185</v>
      </c>
      <c r="D15335" s="1">
        <v>13.00869</v>
      </c>
      <c r="E15335" s="1">
        <v>80.230831</v>
      </c>
      <c r="F15335" s="1">
        <v>805.0</v>
      </c>
      <c r="G15335" s="1">
        <v>48.0</v>
      </c>
    </row>
    <row r="15336">
      <c r="A15336" s="1" t="s">
        <v>8</v>
      </c>
      <c r="B15336" s="2">
        <v>44783.0</v>
      </c>
      <c r="C15336" s="3">
        <v>0.7271643518518518</v>
      </c>
      <c r="D15336" s="1">
        <v>13.021818</v>
      </c>
      <c r="E15336" s="1">
        <v>80.226054</v>
      </c>
      <c r="F15336" s="1">
        <v>5339.0</v>
      </c>
      <c r="G15336" s="1">
        <v>35.0</v>
      </c>
    </row>
    <row r="15337">
      <c r="A15337" s="1" t="s">
        <v>8</v>
      </c>
      <c r="B15337" s="2">
        <v>44783.0</v>
      </c>
      <c r="C15337" s="3">
        <v>0.727199074074074</v>
      </c>
      <c r="D15337" s="1">
        <v>13.021818</v>
      </c>
      <c r="E15337" s="1">
        <v>80.226054</v>
      </c>
      <c r="F15337" s="1">
        <v>5339.0</v>
      </c>
      <c r="G15337" s="1">
        <v>35.0</v>
      </c>
    </row>
    <row r="15338">
      <c r="A15338" s="1" t="s">
        <v>9</v>
      </c>
      <c r="B15338" s="2">
        <v>44783.0</v>
      </c>
      <c r="C15338" s="3">
        <v>0.7286574074074074</v>
      </c>
      <c r="D15338" s="1">
        <v>13.02464</v>
      </c>
      <c r="E15338" s="1">
        <v>80.22894</v>
      </c>
      <c r="F15338" s="1">
        <v>5339.0</v>
      </c>
      <c r="G15338" s="1">
        <v>27.0</v>
      </c>
    </row>
    <row r="15339">
      <c r="A15339" s="1" t="s">
        <v>10</v>
      </c>
      <c r="B15339" s="2">
        <v>44783.0</v>
      </c>
      <c r="C15339" s="3">
        <v>0.7292592592592593</v>
      </c>
      <c r="D15339" s="1">
        <v>12.965021</v>
      </c>
      <c r="E15339" s="1">
        <v>80.193774</v>
      </c>
      <c r="F15339" s="1">
        <v>3143.0</v>
      </c>
      <c r="G15339" s="1">
        <v>11.0</v>
      </c>
    </row>
    <row r="15340">
      <c r="A15340" s="1" t="s">
        <v>7</v>
      </c>
      <c r="B15340" s="2">
        <v>44783.0</v>
      </c>
      <c r="C15340" s="3">
        <v>0.7294212962962963</v>
      </c>
      <c r="D15340" s="1">
        <v>12.611777</v>
      </c>
      <c r="E15340" s="1">
        <v>79.923808</v>
      </c>
      <c r="F15340" s="1">
        <v>2846.0</v>
      </c>
      <c r="G15340" s="1">
        <v>57.0</v>
      </c>
    </row>
    <row r="15341">
      <c r="A15341" s="1" t="s">
        <v>8</v>
      </c>
      <c r="B15341" s="2">
        <v>44783.0</v>
      </c>
      <c r="C15341" s="3">
        <v>0.7296412037037037</v>
      </c>
      <c r="D15341" s="1">
        <v>12.606774</v>
      </c>
      <c r="E15341" s="1">
        <v>79.921153</v>
      </c>
      <c r="F15341" s="1">
        <v>2846.0</v>
      </c>
      <c r="G15341" s="1">
        <v>50.0</v>
      </c>
    </row>
    <row r="15342">
      <c r="A15342" s="1" t="s">
        <v>8</v>
      </c>
      <c r="B15342" s="2">
        <v>44783.0</v>
      </c>
      <c r="C15342" s="3">
        <v>0.7296643518518519</v>
      </c>
      <c r="D15342" s="1">
        <v>13.027045</v>
      </c>
      <c r="E15342" s="1">
        <v>80.233771</v>
      </c>
      <c r="F15342" s="1">
        <v>5339.0</v>
      </c>
      <c r="G15342" s="1">
        <v>43.0</v>
      </c>
    </row>
    <row r="15343">
      <c r="A15343" s="1" t="s">
        <v>7</v>
      </c>
      <c r="B15343" s="2">
        <v>44783.0</v>
      </c>
      <c r="C15343" s="3">
        <v>0.7299537037037037</v>
      </c>
      <c r="D15343" s="1">
        <v>12.604306</v>
      </c>
      <c r="E15343" s="1">
        <v>79.92058</v>
      </c>
      <c r="F15343" s="1">
        <v>2846.0</v>
      </c>
      <c r="G15343" s="1">
        <v>54.0</v>
      </c>
    </row>
    <row r="15344">
      <c r="A15344" s="1" t="s">
        <v>8</v>
      </c>
      <c r="B15344" s="2">
        <v>44783.0</v>
      </c>
      <c r="C15344" s="3">
        <v>0.7316319444444445</v>
      </c>
      <c r="D15344" s="1">
        <v>12.582977</v>
      </c>
      <c r="E15344" s="1">
        <v>79.919226</v>
      </c>
      <c r="F15344" s="1">
        <v>2846.0</v>
      </c>
      <c r="G15344" s="1">
        <v>53.0</v>
      </c>
    </row>
    <row r="15345">
      <c r="A15345" s="1" t="s">
        <v>8</v>
      </c>
      <c r="B15345" s="2">
        <v>44783.0</v>
      </c>
      <c r="C15345" s="3">
        <v>0.7316319444444445</v>
      </c>
      <c r="D15345" s="1">
        <v>12.589368</v>
      </c>
      <c r="E15345" s="1">
        <v>79.919389</v>
      </c>
      <c r="F15345" s="1">
        <v>2846.0</v>
      </c>
      <c r="G15345" s="1">
        <v>57.0</v>
      </c>
    </row>
    <row r="15346">
      <c r="A15346" s="1" t="s">
        <v>7</v>
      </c>
      <c r="B15346" s="2">
        <v>44783.0</v>
      </c>
      <c r="C15346" s="3">
        <v>0.732199074074074</v>
      </c>
      <c r="D15346" s="1">
        <v>12.575976</v>
      </c>
      <c r="E15346" s="1">
        <v>79.917154</v>
      </c>
      <c r="F15346" s="1">
        <v>2846.0</v>
      </c>
      <c r="G15346" s="1">
        <v>58.0</v>
      </c>
    </row>
    <row r="15347">
      <c r="A15347" s="1" t="s">
        <v>10</v>
      </c>
      <c r="B15347" s="2">
        <v>44783.0</v>
      </c>
      <c r="C15347" s="3">
        <v>0.7323726851851852</v>
      </c>
      <c r="D15347" s="1">
        <v>13.006807</v>
      </c>
      <c r="E15347" s="1">
        <v>80.250503</v>
      </c>
      <c r="F15347" s="1">
        <v>805.0</v>
      </c>
      <c r="G15347" s="1">
        <v>45.0</v>
      </c>
    </row>
    <row r="15348">
      <c r="A15348" s="1" t="s">
        <v>8</v>
      </c>
      <c r="B15348" s="2">
        <v>44783.0</v>
      </c>
      <c r="C15348" s="3">
        <v>0.7328819444444444</v>
      </c>
      <c r="D15348" s="1">
        <v>13.006547</v>
      </c>
      <c r="E15348" s="1">
        <v>80.25428</v>
      </c>
      <c r="F15348" s="1">
        <v>805.0</v>
      </c>
      <c r="G15348" s="1">
        <v>41.0</v>
      </c>
    </row>
    <row r="15349">
      <c r="A15349" s="1" t="s">
        <v>8</v>
      </c>
      <c r="B15349" s="2">
        <v>44783.0</v>
      </c>
      <c r="C15349" s="3">
        <v>0.7329745370370371</v>
      </c>
      <c r="D15349" s="1">
        <v>13.00661</v>
      </c>
      <c r="E15349" s="1">
        <v>80.255637</v>
      </c>
      <c r="F15349" s="1">
        <v>805.0</v>
      </c>
      <c r="G15349" s="1">
        <v>44.0</v>
      </c>
    </row>
    <row r="15350">
      <c r="A15350" s="1" t="s">
        <v>7</v>
      </c>
      <c r="B15350" s="2">
        <v>44783.0</v>
      </c>
      <c r="C15350" s="3">
        <v>0.7330671296296296</v>
      </c>
      <c r="D15350" s="1">
        <v>12.566423</v>
      </c>
      <c r="E15350" s="1">
        <v>79.914788</v>
      </c>
      <c r="F15350" s="1">
        <v>2846.0</v>
      </c>
      <c r="G15350" s="1">
        <v>58.0</v>
      </c>
    </row>
    <row r="15351">
      <c r="A15351" s="1" t="s">
        <v>8</v>
      </c>
      <c r="B15351" s="2">
        <v>44783.0</v>
      </c>
      <c r="C15351" s="3">
        <v>0.7333912037037037</v>
      </c>
      <c r="D15351" s="1">
        <v>13.034046</v>
      </c>
      <c r="E15351" s="1">
        <v>80.244644</v>
      </c>
      <c r="F15351" s="1">
        <v>5339.0</v>
      </c>
      <c r="G15351" s="1">
        <v>20.0</v>
      </c>
    </row>
    <row r="15352">
      <c r="A15352" s="1" t="s">
        <v>10</v>
      </c>
      <c r="B15352" s="2">
        <v>44783.0</v>
      </c>
      <c r="C15352" s="3">
        <v>0.733738425925926</v>
      </c>
      <c r="D15352" s="1">
        <v>12.964642</v>
      </c>
      <c r="E15352" s="1">
        <v>80.211173</v>
      </c>
      <c r="F15352" s="1">
        <v>3143.0</v>
      </c>
      <c r="G15352" s="1">
        <v>14.0</v>
      </c>
    </row>
    <row r="15353">
      <c r="A15353" s="1" t="s">
        <v>10</v>
      </c>
      <c r="B15353" s="2">
        <v>44783.0</v>
      </c>
      <c r="C15353" s="3">
        <v>0.7341898148148148</v>
      </c>
      <c r="D15353" s="1">
        <v>13.007138</v>
      </c>
      <c r="E15353" s="1">
        <v>80.258286</v>
      </c>
      <c r="F15353" s="1">
        <v>805.0</v>
      </c>
      <c r="G15353" s="1">
        <v>23.0</v>
      </c>
    </row>
    <row r="15354">
      <c r="A15354" s="1" t="s">
        <v>7</v>
      </c>
      <c r="B15354" s="2">
        <v>44783.0</v>
      </c>
      <c r="C15354" s="3">
        <v>0.7360648148148148</v>
      </c>
      <c r="D15354" s="1">
        <v>12.535157</v>
      </c>
      <c r="E15354" s="1">
        <v>79.90206</v>
      </c>
      <c r="F15354" s="1">
        <v>2846.0</v>
      </c>
      <c r="G15354" s="1">
        <v>56.0</v>
      </c>
    </row>
    <row r="15355">
      <c r="A15355" s="1" t="s">
        <v>7</v>
      </c>
      <c r="B15355" s="2">
        <v>44783.0</v>
      </c>
      <c r="C15355" s="3">
        <v>0.7364236111111111</v>
      </c>
      <c r="D15355" s="1">
        <v>12.970598</v>
      </c>
      <c r="E15355" s="1">
        <v>80.218793</v>
      </c>
      <c r="F15355" s="1">
        <v>3143.0</v>
      </c>
      <c r="G15355" s="1">
        <v>55.0</v>
      </c>
    </row>
    <row r="15356">
      <c r="A15356" s="1" t="s">
        <v>8</v>
      </c>
      <c r="B15356" s="2">
        <v>44783.0</v>
      </c>
      <c r="C15356" s="3">
        <v>0.7365162037037037</v>
      </c>
      <c r="D15356" s="1">
        <v>12.972784</v>
      </c>
      <c r="E15356" s="1">
        <v>80.219583</v>
      </c>
      <c r="F15356" s="1">
        <v>3143.0</v>
      </c>
      <c r="G15356" s="1">
        <v>51.0</v>
      </c>
    </row>
    <row r="15357">
      <c r="A15357" s="1" t="s">
        <v>8</v>
      </c>
      <c r="B15357" s="2">
        <v>44783.0</v>
      </c>
      <c r="C15357" s="3">
        <v>0.7365393518518518</v>
      </c>
      <c r="D15357" s="1">
        <v>12.972784</v>
      </c>
      <c r="E15357" s="1">
        <v>80.219583</v>
      </c>
      <c r="F15357" s="1">
        <v>3143.0</v>
      </c>
      <c r="G15357" s="1">
        <v>51.0</v>
      </c>
    </row>
    <row r="15358">
      <c r="A15358" s="1" t="s">
        <v>7</v>
      </c>
      <c r="B15358" s="2">
        <v>44783.0</v>
      </c>
      <c r="C15358" s="3">
        <v>0.7366898148148148</v>
      </c>
      <c r="D15358" s="1">
        <v>12.529806</v>
      </c>
      <c r="E15358" s="1">
        <v>79.899527</v>
      </c>
      <c r="F15358" s="1">
        <v>2846.0</v>
      </c>
      <c r="G15358" s="1">
        <v>43.0</v>
      </c>
    </row>
    <row r="15359">
      <c r="A15359" s="1" t="s">
        <v>7</v>
      </c>
      <c r="B15359" s="2">
        <v>44783.0</v>
      </c>
      <c r="C15359" s="3">
        <v>0.7372800925925926</v>
      </c>
      <c r="D15359" s="1">
        <v>12.523597</v>
      </c>
      <c r="E15359" s="1">
        <v>79.896504</v>
      </c>
      <c r="F15359" s="1">
        <v>2846.0</v>
      </c>
      <c r="G15359" s="1">
        <v>53.0</v>
      </c>
    </row>
    <row r="15360">
      <c r="A15360" s="1" t="s">
        <v>8</v>
      </c>
      <c r="B15360" s="2">
        <v>44783.0</v>
      </c>
      <c r="C15360" s="3">
        <v>0.7374768518518519</v>
      </c>
      <c r="D15360" s="1">
        <v>13.021643</v>
      </c>
      <c r="E15360" s="1">
        <v>80.263113</v>
      </c>
      <c r="F15360" s="1">
        <v>805.0</v>
      </c>
      <c r="G15360" s="1">
        <v>24.0</v>
      </c>
    </row>
    <row r="15361">
      <c r="A15361" s="1" t="s">
        <v>9</v>
      </c>
      <c r="B15361" s="2">
        <v>44783.0</v>
      </c>
      <c r="C15361" s="3">
        <v>0.738912037037037</v>
      </c>
      <c r="D15361" s="1">
        <v>12.512485</v>
      </c>
      <c r="E15361" s="1">
        <v>79.886334</v>
      </c>
      <c r="F15361" s="1">
        <v>2846.0</v>
      </c>
      <c r="G15361" s="1">
        <v>39.0</v>
      </c>
    </row>
    <row r="15362">
      <c r="A15362" s="1" t="s">
        <v>8</v>
      </c>
      <c r="B15362" s="2">
        <v>44783.0</v>
      </c>
      <c r="C15362" s="3">
        <v>0.7397569444444444</v>
      </c>
      <c r="D15362" s="1">
        <v>13.046268</v>
      </c>
      <c r="E15362" s="1">
        <v>80.248244</v>
      </c>
      <c r="F15362" s="1">
        <v>5339.0</v>
      </c>
      <c r="G15362" s="1">
        <v>37.0</v>
      </c>
    </row>
    <row r="15363">
      <c r="A15363" s="1" t="s">
        <v>10</v>
      </c>
      <c r="B15363" s="2">
        <v>44783.0</v>
      </c>
      <c r="C15363" s="3">
        <v>0.7402083333333334</v>
      </c>
      <c r="D15363" s="1">
        <v>12.509101</v>
      </c>
      <c r="E15363" s="1">
        <v>79.88482</v>
      </c>
      <c r="F15363" s="1">
        <v>2846.0</v>
      </c>
      <c r="G15363" s="1">
        <v>16.0</v>
      </c>
    </row>
    <row r="15364">
      <c r="A15364" s="1" t="s">
        <v>8</v>
      </c>
      <c r="B15364" s="2">
        <v>44783.0</v>
      </c>
      <c r="C15364" s="3">
        <v>0.7404513888888888</v>
      </c>
      <c r="D15364" s="1">
        <v>12.976958</v>
      </c>
      <c r="E15364" s="1">
        <v>80.222769</v>
      </c>
      <c r="F15364" s="1">
        <v>3143.0</v>
      </c>
      <c r="G15364" s="1">
        <v>0.0</v>
      </c>
    </row>
    <row r="15365">
      <c r="A15365" s="1" t="s">
        <v>8</v>
      </c>
      <c r="B15365" s="2">
        <v>44783.0</v>
      </c>
      <c r="C15365" s="3">
        <v>0.7404513888888888</v>
      </c>
      <c r="D15365" s="1">
        <v>12.976958</v>
      </c>
      <c r="E15365" s="1">
        <v>80.222769</v>
      </c>
      <c r="F15365" s="1">
        <v>3143.0</v>
      </c>
      <c r="G15365" s="1">
        <v>0.0</v>
      </c>
    </row>
    <row r="15366">
      <c r="A15366" s="1" t="s">
        <v>8</v>
      </c>
      <c r="B15366" s="2">
        <v>44783.0</v>
      </c>
      <c r="C15366" s="3">
        <v>0.7405208333333333</v>
      </c>
      <c r="D15366" s="1">
        <v>13.052296</v>
      </c>
      <c r="E15366" s="1">
        <v>80.250935</v>
      </c>
      <c r="F15366" s="1">
        <v>5339.0</v>
      </c>
      <c r="G15366" s="1">
        <v>36.0</v>
      </c>
    </row>
    <row r="15367">
      <c r="A15367" s="1" t="s">
        <v>8</v>
      </c>
      <c r="B15367" s="2">
        <v>44783.0</v>
      </c>
      <c r="C15367" s="3">
        <v>0.7406134259259259</v>
      </c>
      <c r="D15367" s="1">
        <v>12.977316</v>
      </c>
      <c r="E15367" s="1">
        <v>80.22333</v>
      </c>
      <c r="F15367" s="1">
        <v>3143.0</v>
      </c>
      <c r="G15367" s="1">
        <v>27.0</v>
      </c>
    </row>
    <row r="15368">
      <c r="A15368" s="1" t="s">
        <v>8</v>
      </c>
      <c r="B15368" s="2">
        <v>44783.0</v>
      </c>
      <c r="C15368" s="3">
        <v>0.7421180555555555</v>
      </c>
      <c r="D15368" s="1">
        <v>13.056306</v>
      </c>
      <c r="E15368" s="1">
        <v>80.25631</v>
      </c>
      <c r="F15368" s="1">
        <v>5339.0</v>
      </c>
      <c r="G15368" s="1">
        <v>21.0</v>
      </c>
    </row>
    <row r="15369">
      <c r="A15369" s="1" t="s">
        <v>8</v>
      </c>
      <c r="B15369" s="2">
        <v>44783.0</v>
      </c>
      <c r="C15369" s="3">
        <v>0.7421527777777778</v>
      </c>
      <c r="D15369" s="1">
        <v>12.979798</v>
      </c>
      <c r="E15369" s="1">
        <v>80.22765</v>
      </c>
      <c r="F15369" s="1">
        <v>3143.0</v>
      </c>
      <c r="G15369" s="1">
        <v>29.0</v>
      </c>
    </row>
    <row r="15370">
      <c r="A15370" s="1" t="s">
        <v>8</v>
      </c>
      <c r="B15370" s="2">
        <v>44783.0</v>
      </c>
      <c r="C15370" s="3">
        <v>0.7422685185185185</v>
      </c>
      <c r="D15370" s="1">
        <v>12.978951</v>
      </c>
      <c r="E15370" s="1">
        <v>80.22636</v>
      </c>
      <c r="F15370" s="1">
        <v>3143.0</v>
      </c>
      <c r="G15370" s="1">
        <v>34.0</v>
      </c>
    </row>
    <row r="15371">
      <c r="A15371" s="1" t="s">
        <v>8</v>
      </c>
      <c r="B15371" s="2">
        <v>44783.0</v>
      </c>
      <c r="C15371" s="3">
        <v>0.7423148148148148</v>
      </c>
      <c r="D15371" s="1">
        <v>13.031202</v>
      </c>
      <c r="E15371" s="1">
        <v>80.266855</v>
      </c>
      <c r="F15371" s="1">
        <v>805.0</v>
      </c>
      <c r="G15371" s="1">
        <v>26.0</v>
      </c>
    </row>
    <row r="15372">
      <c r="A15372" s="1" t="s">
        <v>8</v>
      </c>
      <c r="B15372" s="2">
        <v>44783.0</v>
      </c>
      <c r="C15372" s="3">
        <v>0.7424421296296296</v>
      </c>
      <c r="D15372" s="1">
        <v>12.978559</v>
      </c>
      <c r="E15372" s="1">
        <v>80.225652</v>
      </c>
      <c r="F15372" s="1">
        <v>3143.0</v>
      </c>
      <c r="G15372" s="1">
        <v>32.0</v>
      </c>
    </row>
    <row r="15373">
      <c r="A15373" s="1" t="s">
        <v>7</v>
      </c>
      <c r="B15373" s="2">
        <v>44783.0</v>
      </c>
      <c r="C15373" s="3">
        <v>0.7426851851851852</v>
      </c>
      <c r="D15373" s="1">
        <v>12.977387</v>
      </c>
      <c r="E15373" s="1">
        <v>80.223761</v>
      </c>
      <c r="F15373" s="1">
        <v>3143.0</v>
      </c>
      <c r="G15373" s="1">
        <v>41.0</v>
      </c>
    </row>
    <row r="15374">
      <c r="A15374" s="1" t="s">
        <v>8</v>
      </c>
      <c r="B15374" s="2">
        <v>44783.0</v>
      </c>
      <c r="C15374" s="3">
        <v>0.7445138888888889</v>
      </c>
      <c r="D15374" s="1">
        <v>12.970467</v>
      </c>
      <c r="E15374" s="1">
        <v>80.218863</v>
      </c>
      <c r="F15374" s="1">
        <v>3143.0</v>
      </c>
      <c r="G15374" s="1">
        <v>39.0</v>
      </c>
    </row>
    <row r="15375">
      <c r="A15375" s="1" t="s">
        <v>10</v>
      </c>
      <c r="B15375" s="2">
        <v>44783.0</v>
      </c>
      <c r="C15375" s="3">
        <v>0.745150462962963</v>
      </c>
      <c r="D15375" s="1">
        <v>13.053524</v>
      </c>
      <c r="E15375" s="1">
        <v>80.267732</v>
      </c>
      <c r="F15375" s="1">
        <v>5339.0</v>
      </c>
      <c r="G15375" s="1">
        <v>16.0</v>
      </c>
    </row>
    <row r="15376">
      <c r="A15376" s="1" t="s">
        <v>10</v>
      </c>
      <c r="B15376" s="2">
        <v>44783.0</v>
      </c>
      <c r="C15376" s="3">
        <v>0.7459953703703703</v>
      </c>
      <c r="D15376" s="1">
        <v>13.053343</v>
      </c>
      <c r="E15376" s="1">
        <v>80.269884</v>
      </c>
      <c r="F15376" s="1">
        <v>5339.0</v>
      </c>
      <c r="G15376" s="1">
        <v>7.0</v>
      </c>
    </row>
    <row r="15377">
      <c r="A15377" s="1" t="s">
        <v>10</v>
      </c>
      <c r="B15377" s="2">
        <v>44783.0</v>
      </c>
      <c r="C15377" s="3">
        <v>0.7462962962962963</v>
      </c>
      <c r="D15377" s="1">
        <v>13.053315</v>
      </c>
      <c r="E15377" s="1">
        <v>80.270638</v>
      </c>
      <c r="F15377" s="1">
        <v>5339.0</v>
      </c>
      <c r="G15377" s="1">
        <v>18.0</v>
      </c>
    </row>
    <row r="15378">
      <c r="A15378" s="1" t="s">
        <v>10</v>
      </c>
      <c r="B15378" s="2">
        <v>44783.0</v>
      </c>
      <c r="C15378" s="3">
        <v>0.7467824074074074</v>
      </c>
      <c r="D15378" s="1">
        <v>13.053085</v>
      </c>
      <c r="E15378" s="1">
        <v>80.272152</v>
      </c>
      <c r="F15378" s="1">
        <v>5339.0</v>
      </c>
      <c r="G15378" s="1">
        <v>16.0</v>
      </c>
    </row>
    <row r="15379">
      <c r="A15379" s="1" t="s">
        <v>10</v>
      </c>
      <c r="B15379" s="2">
        <v>44783.0</v>
      </c>
      <c r="C15379" s="3">
        <v>0.7469212962962963</v>
      </c>
      <c r="D15379" s="1">
        <v>13.052914</v>
      </c>
      <c r="E15379" s="1">
        <v>80.273119</v>
      </c>
      <c r="F15379" s="1">
        <v>5339.0</v>
      </c>
      <c r="G15379" s="1">
        <v>16.0</v>
      </c>
    </row>
    <row r="15380">
      <c r="A15380" s="1" t="s">
        <v>10</v>
      </c>
      <c r="B15380" s="2">
        <v>44783.0</v>
      </c>
      <c r="C15380" s="3">
        <v>0.7474537037037037</v>
      </c>
      <c r="D15380" s="1">
        <v>13.053363</v>
      </c>
      <c r="E15380" s="1">
        <v>80.273726</v>
      </c>
      <c r="F15380" s="1">
        <v>5339.0</v>
      </c>
      <c r="G15380" s="1">
        <v>20.0</v>
      </c>
    </row>
    <row r="15381">
      <c r="A15381" s="1" t="s">
        <v>10</v>
      </c>
      <c r="B15381" s="2">
        <v>44783.0</v>
      </c>
      <c r="C15381" s="3">
        <v>0.7474652777777778</v>
      </c>
      <c r="D15381" s="1">
        <v>12.963643</v>
      </c>
      <c r="E15381" s="1">
        <v>80.216215</v>
      </c>
      <c r="F15381" s="1">
        <v>3143.0</v>
      </c>
      <c r="G15381" s="1">
        <v>0.0</v>
      </c>
    </row>
    <row r="15382">
      <c r="A15382" s="1" t="s">
        <v>8</v>
      </c>
      <c r="B15382" s="2">
        <v>44783.0</v>
      </c>
      <c r="C15382" s="3">
        <v>0.7476851851851852</v>
      </c>
      <c r="D15382" s="1">
        <v>12.963108</v>
      </c>
      <c r="E15382" s="1">
        <v>80.215908</v>
      </c>
      <c r="F15382" s="1">
        <v>3143.0</v>
      </c>
      <c r="G15382" s="1">
        <v>25.0</v>
      </c>
    </row>
    <row r="15383">
      <c r="A15383" s="1" t="s">
        <v>8</v>
      </c>
      <c r="B15383" s="2">
        <v>44783.0</v>
      </c>
      <c r="C15383" s="3">
        <v>0.7477199074074075</v>
      </c>
      <c r="D15383" s="1">
        <v>13.044171</v>
      </c>
      <c r="E15383" s="1">
        <v>80.267041</v>
      </c>
      <c r="F15383" s="1">
        <v>805.0</v>
      </c>
      <c r="G15383" s="1">
        <v>38.0</v>
      </c>
    </row>
    <row r="15384">
      <c r="A15384" s="1" t="s">
        <v>8</v>
      </c>
      <c r="B15384" s="2">
        <v>44783.0</v>
      </c>
      <c r="C15384" s="3">
        <v>0.7477777777777778</v>
      </c>
      <c r="D15384" s="1">
        <v>12.963108</v>
      </c>
      <c r="E15384" s="1">
        <v>80.215908</v>
      </c>
      <c r="F15384" s="1">
        <v>3143.0</v>
      </c>
      <c r="G15384" s="1">
        <v>25.0</v>
      </c>
    </row>
    <row r="15385">
      <c r="A15385" s="1" t="s">
        <v>8</v>
      </c>
      <c r="B15385" s="2">
        <v>44783.0</v>
      </c>
      <c r="C15385" s="3">
        <v>0.7478472222222222</v>
      </c>
      <c r="D15385" s="1">
        <v>12.961745</v>
      </c>
      <c r="E15385" s="1">
        <v>80.21535</v>
      </c>
      <c r="F15385" s="1">
        <v>3143.0</v>
      </c>
      <c r="G15385" s="1">
        <v>40.0</v>
      </c>
    </row>
    <row r="15386">
      <c r="A15386" s="1" t="s">
        <v>8</v>
      </c>
      <c r="B15386" s="2">
        <v>44783.0</v>
      </c>
      <c r="C15386" s="3">
        <v>0.7480324074074074</v>
      </c>
      <c r="D15386" s="1">
        <v>12.960062</v>
      </c>
      <c r="E15386" s="1">
        <v>80.214666</v>
      </c>
      <c r="F15386" s="1">
        <v>3143.0</v>
      </c>
      <c r="G15386" s="1">
        <v>47.0</v>
      </c>
    </row>
    <row r="15387">
      <c r="A15387" s="1" t="s">
        <v>7</v>
      </c>
      <c r="B15387" s="2">
        <v>44783.0</v>
      </c>
      <c r="C15387" s="3">
        <v>0.7481481481481481</v>
      </c>
      <c r="D15387" s="1">
        <v>12.960062</v>
      </c>
      <c r="E15387" s="1">
        <v>80.214666</v>
      </c>
      <c r="F15387" s="1">
        <v>3143.0</v>
      </c>
      <c r="G15387" s="1">
        <v>47.0</v>
      </c>
    </row>
    <row r="15388">
      <c r="A15388" s="1" t="s">
        <v>8</v>
      </c>
      <c r="B15388" s="2">
        <v>44783.0</v>
      </c>
      <c r="C15388" s="3">
        <v>0.7484722222222222</v>
      </c>
      <c r="D15388" s="1">
        <v>12.956634</v>
      </c>
      <c r="E15388" s="1">
        <v>80.21329</v>
      </c>
      <c r="F15388" s="1">
        <v>3143.0</v>
      </c>
      <c r="G15388" s="1">
        <v>37.0</v>
      </c>
    </row>
    <row r="15389">
      <c r="A15389" s="1" t="s">
        <v>8</v>
      </c>
      <c r="B15389" s="2">
        <v>44783.0</v>
      </c>
      <c r="C15389" s="3">
        <v>0.7484722222222222</v>
      </c>
      <c r="D15389" s="1">
        <v>12.956634</v>
      </c>
      <c r="E15389" s="1">
        <v>80.21329</v>
      </c>
      <c r="F15389" s="1">
        <v>3143.0</v>
      </c>
      <c r="G15389" s="1">
        <v>37.0</v>
      </c>
    </row>
    <row r="15390">
      <c r="A15390" s="1" t="s">
        <v>10</v>
      </c>
      <c r="B15390" s="2">
        <v>44783.0</v>
      </c>
      <c r="C15390" s="3">
        <v>0.7484953703703704</v>
      </c>
      <c r="D15390" s="1">
        <v>13.056359</v>
      </c>
      <c r="E15390" s="1">
        <v>80.273857</v>
      </c>
      <c r="F15390" s="1">
        <v>5339.0</v>
      </c>
      <c r="G15390" s="1">
        <v>21.0</v>
      </c>
    </row>
    <row r="15391">
      <c r="A15391" s="1" t="s">
        <v>8</v>
      </c>
      <c r="B15391" s="2">
        <v>44783.0</v>
      </c>
      <c r="C15391" s="3">
        <v>0.7486921296296296</v>
      </c>
      <c r="D15391" s="1">
        <v>12.955265</v>
      </c>
      <c r="E15391" s="1">
        <v>80.212771</v>
      </c>
      <c r="F15391" s="1">
        <v>3143.0</v>
      </c>
      <c r="G15391" s="1">
        <v>32.0</v>
      </c>
    </row>
    <row r="15392">
      <c r="A15392" s="1" t="s">
        <v>10</v>
      </c>
      <c r="B15392" s="2">
        <v>44783.0</v>
      </c>
      <c r="C15392" s="3">
        <v>0.7490625</v>
      </c>
      <c r="D15392" s="1">
        <v>13.058053</v>
      </c>
      <c r="E15392" s="1">
        <v>80.27404</v>
      </c>
      <c r="F15392" s="1">
        <v>5339.0</v>
      </c>
      <c r="G15392" s="1">
        <v>20.0</v>
      </c>
    </row>
    <row r="15393">
      <c r="A15393" s="1" t="s">
        <v>10</v>
      </c>
      <c r="B15393" s="2">
        <v>44783.0</v>
      </c>
      <c r="C15393" s="3">
        <v>0.7492129629629629</v>
      </c>
      <c r="D15393" s="1">
        <v>13.049011</v>
      </c>
      <c r="E15393" s="1">
        <v>80.264505</v>
      </c>
      <c r="F15393" s="1">
        <v>805.0</v>
      </c>
      <c r="G15393" s="1">
        <v>29.0</v>
      </c>
    </row>
    <row r="15394">
      <c r="A15394" s="1" t="s">
        <v>10</v>
      </c>
      <c r="B15394" s="2">
        <v>44783.0</v>
      </c>
      <c r="C15394" s="3">
        <v>0.7493518518518518</v>
      </c>
      <c r="D15394" s="1">
        <v>13.058892</v>
      </c>
      <c r="E15394" s="1">
        <v>80.274146</v>
      </c>
      <c r="F15394" s="1">
        <v>5339.0</v>
      </c>
      <c r="G15394" s="1">
        <v>0.0</v>
      </c>
    </row>
    <row r="15395">
      <c r="A15395" s="1" t="s">
        <v>10</v>
      </c>
      <c r="B15395" s="2">
        <v>44783.0</v>
      </c>
      <c r="C15395" s="3">
        <v>0.7494791666666667</v>
      </c>
      <c r="D15395" s="1">
        <v>13.059072</v>
      </c>
      <c r="E15395" s="1">
        <v>80.274149</v>
      </c>
      <c r="F15395" s="1">
        <v>5339.0</v>
      </c>
      <c r="G15395" s="1">
        <v>10.0</v>
      </c>
    </row>
    <row r="15396">
      <c r="A15396" s="1" t="s">
        <v>10</v>
      </c>
      <c r="B15396" s="2">
        <v>44783.0</v>
      </c>
      <c r="C15396" s="3">
        <v>0.7498726851851852</v>
      </c>
      <c r="D15396" s="1">
        <v>13.060354</v>
      </c>
      <c r="E15396" s="1">
        <v>80.274296</v>
      </c>
      <c r="F15396" s="1">
        <v>5339.0</v>
      </c>
      <c r="G15396" s="1">
        <v>20.0</v>
      </c>
    </row>
    <row r="15397">
      <c r="A15397" s="1" t="s">
        <v>10</v>
      </c>
      <c r="B15397" s="2">
        <v>44783.0</v>
      </c>
      <c r="C15397" s="3">
        <v>0.7503819444444444</v>
      </c>
      <c r="D15397" s="1">
        <v>13.061536</v>
      </c>
      <c r="E15397" s="1">
        <v>80.274301</v>
      </c>
      <c r="F15397" s="1">
        <v>5339.0</v>
      </c>
      <c r="G15397" s="1">
        <v>25.0</v>
      </c>
    </row>
    <row r="15398">
      <c r="A15398" s="1" t="s">
        <v>10</v>
      </c>
      <c r="B15398" s="2">
        <v>44783.0</v>
      </c>
      <c r="C15398" s="3">
        <v>0.7504861111111111</v>
      </c>
      <c r="D15398" s="1">
        <v>13.062245</v>
      </c>
      <c r="E15398" s="1">
        <v>80.274242</v>
      </c>
      <c r="F15398" s="1">
        <v>5339.0</v>
      </c>
      <c r="G15398" s="1">
        <v>17.0</v>
      </c>
    </row>
    <row r="15399">
      <c r="A15399" s="1" t="s">
        <v>10</v>
      </c>
      <c r="B15399" s="2">
        <v>44783.0</v>
      </c>
      <c r="C15399" s="3">
        <v>0.7511111111111111</v>
      </c>
      <c r="D15399" s="1">
        <v>13.06472</v>
      </c>
      <c r="E15399" s="1">
        <v>80.27393</v>
      </c>
      <c r="F15399" s="1">
        <v>5339.0</v>
      </c>
      <c r="G15399" s="1">
        <v>10.0</v>
      </c>
    </row>
    <row r="15400">
      <c r="A15400" s="1" t="s">
        <v>10</v>
      </c>
      <c r="B15400" s="2">
        <v>44783.0</v>
      </c>
      <c r="C15400" s="3">
        <v>0.7512615740740741</v>
      </c>
      <c r="D15400" s="1">
        <v>13.065064</v>
      </c>
      <c r="E15400" s="1">
        <v>80.273868</v>
      </c>
      <c r="F15400" s="1">
        <v>5339.0</v>
      </c>
      <c r="G15400" s="1">
        <v>17.0</v>
      </c>
    </row>
    <row r="15401">
      <c r="A15401" s="1" t="s">
        <v>10</v>
      </c>
      <c r="B15401" s="2">
        <v>44783.0</v>
      </c>
      <c r="C15401" s="3">
        <v>0.7513657407407407</v>
      </c>
      <c r="D15401" s="1">
        <v>13.065471</v>
      </c>
      <c r="E15401" s="1">
        <v>80.273807</v>
      </c>
      <c r="F15401" s="1">
        <v>5339.0</v>
      </c>
      <c r="G15401" s="1">
        <v>16.0</v>
      </c>
    </row>
    <row r="15402">
      <c r="A15402" s="1" t="s">
        <v>8</v>
      </c>
      <c r="B15402" s="2">
        <v>44783.0</v>
      </c>
      <c r="C15402" s="3">
        <v>0.7531365740740741</v>
      </c>
      <c r="D15402" s="1">
        <v>13.06795</v>
      </c>
      <c r="E15402" s="1">
        <v>80.271191</v>
      </c>
      <c r="F15402" s="1">
        <v>5339.0</v>
      </c>
      <c r="G15402" s="1">
        <v>11.0</v>
      </c>
    </row>
    <row r="15403">
      <c r="A15403" s="1" t="s">
        <v>10</v>
      </c>
      <c r="B15403" s="2">
        <v>44783.0</v>
      </c>
      <c r="C15403" s="3">
        <v>0.7535069444444444</v>
      </c>
      <c r="D15403" s="1">
        <v>13.066453</v>
      </c>
      <c r="E15403" s="1">
        <v>80.269369</v>
      </c>
      <c r="F15403" s="1">
        <v>5339.0</v>
      </c>
      <c r="G15403" s="1">
        <v>24.0</v>
      </c>
    </row>
    <row r="15404">
      <c r="A15404" s="1" t="s">
        <v>10</v>
      </c>
      <c r="B15404" s="2">
        <v>44783.0</v>
      </c>
      <c r="C15404" s="3">
        <v>0.7536226851851852</v>
      </c>
      <c r="D15404" s="1">
        <v>13.061317</v>
      </c>
      <c r="E15404" s="1">
        <v>80.265319</v>
      </c>
      <c r="F15404" s="1">
        <v>805.0</v>
      </c>
      <c r="G15404" s="1">
        <v>17.0</v>
      </c>
    </row>
    <row r="15405">
      <c r="A15405" s="1" t="s">
        <v>8</v>
      </c>
      <c r="B15405" s="2">
        <v>44783.0</v>
      </c>
      <c r="C15405" s="3">
        <v>0.7548726851851851</v>
      </c>
      <c r="D15405" s="1">
        <v>12.948474</v>
      </c>
      <c r="E15405" s="1">
        <v>80.208967</v>
      </c>
      <c r="F15405" s="1">
        <v>3143.0</v>
      </c>
      <c r="G15405" s="1">
        <v>36.0</v>
      </c>
    </row>
    <row r="15406">
      <c r="A15406" s="1" t="s">
        <v>8</v>
      </c>
      <c r="B15406" s="2">
        <v>44783.0</v>
      </c>
      <c r="C15406" s="3">
        <v>0.7552662037037037</v>
      </c>
      <c r="D15406" s="1">
        <v>12.94868</v>
      </c>
      <c r="E15406" s="1">
        <v>80.204229</v>
      </c>
      <c r="F15406" s="1">
        <v>3143.0</v>
      </c>
      <c r="G15406" s="1">
        <v>46.0</v>
      </c>
    </row>
    <row r="15407">
      <c r="A15407" s="1" t="s">
        <v>7</v>
      </c>
      <c r="B15407" s="2">
        <v>44783.0</v>
      </c>
      <c r="C15407" s="3">
        <v>0.7554050925925926</v>
      </c>
      <c r="D15407" s="1">
        <v>12.948612</v>
      </c>
      <c r="E15407" s="1">
        <v>80.203008</v>
      </c>
      <c r="F15407" s="1">
        <v>3143.0</v>
      </c>
      <c r="G15407" s="1">
        <v>50.0</v>
      </c>
    </row>
    <row r="15408">
      <c r="A15408" s="1" t="s">
        <v>7</v>
      </c>
      <c r="B15408" s="2">
        <v>44783.0</v>
      </c>
      <c r="C15408" s="3">
        <v>0.7555671296296296</v>
      </c>
      <c r="D15408" s="1">
        <v>12.94858</v>
      </c>
      <c r="E15408" s="1">
        <v>80.201771</v>
      </c>
      <c r="F15408" s="1">
        <v>3143.0</v>
      </c>
      <c r="G15408" s="1">
        <v>0.0</v>
      </c>
    </row>
    <row r="15409">
      <c r="A15409" s="1" t="s">
        <v>8</v>
      </c>
      <c r="B15409" s="2">
        <v>44783.0</v>
      </c>
      <c r="C15409" s="3">
        <v>0.7557986111111111</v>
      </c>
      <c r="D15409" s="1">
        <v>12.948496</v>
      </c>
      <c r="E15409" s="1">
        <v>80.198644</v>
      </c>
      <c r="F15409" s="1">
        <v>3143.0</v>
      </c>
      <c r="G15409" s="1">
        <v>58.0</v>
      </c>
    </row>
    <row r="15410">
      <c r="A15410" s="1" t="s">
        <v>8</v>
      </c>
      <c r="B15410" s="2">
        <v>44783.0</v>
      </c>
      <c r="C15410" s="3">
        <v>0.7558217592592592</v>
      </c>
      <c r="D15410" s="1">
        <v>12.948492</v>
      </c>
      <c r="E15410" s="1">
        <v>80.197256</v>
      </c>
      <c r="F15410" s="1">
        <v>3143.0</v>
      </c>
      <c r="G15410" s="1">
        <v>44.0</v>
      </c>
    </row>
    <row r="15411">
      <c r="A15411" s="1" t="s">
        <v>10</v>
      </c>
      <c r="B15411" s="2">
        <v>44783.0</v>
      </c>
      <c r="C15411" s="3">
        <v>0.7561921296296297</v>
      </c>
      <c r="D15411" s="1">
        <v>13.068975</v>
      </c>
      <c r="E15411" s="1">
        <v>80.267229</v>
      </c>
      <c r="F15411" s="1">
        <v>5339.0</v>
      </c>
      <c r="G15411" s="1">
        <v>20.0</v>
      </c>
    </row>
    <row r="15412">
      <c r="A15412" s="1" t="s">
        <v>10</v>
      </c>
      <c r="B15412" s="2">
        <v>44783.0</v>
      </c>
      <c r="C15412" s="3">
        <v>0.7563078703703704</v>
      </c>
      <c r="D15412" s="1">
        <v>13.069201</v>
      </c>
      <c r="E15412" s="1">
        <v>80.267022</v>
      </c>
      <c r="F15412" s="1">
        <v>5339.0</v>
      </c>
      <c r="G15412" s="1">
        <v>14.0</v>
      </c>
    </row>
    <row r="15413">
      <c r="A15413" s="1" t="s">
        <v>8</v>
      </c>
      <c r="B15413" s="2">
        <v>44783.0</v>
      </c>
      <c r="C15413" s="3">
        <v>0.7590972222222222</v>
      </c>
      <c r="D15413" s="1">
        <v>13.069551</v>
      </c>
      <c r="E15413" s="1">
        <v>80.256983</v>
      </c>
      <c r="F15413" s="1">
        <v>5339.0</v>
      </c>
      <c r="G15413" s="1">
        <v>36.0</v>
      </c>
    </row>
    <row r="15414">
      <c r="A15414" s="1" t="s">
        <v>8</v>
      </c>
      <c r="B15414" s="2">
        <v>44783.0</v>
      </c>
      <c r="C15414" s="3">
        <v>0.7605555555555555</v>
      </c>
      <c r="D15414" s="1">
        <v>13.066782</v>
      </c>
      <c r="E15414" s="1">
        <v>80.254074</v>
      </c>
      <c r="F15414" s="1">
        <v>5339.0</v>
      </c>
      <c r="G15414" s="1">
        <v>16.0</v>
      </c>
    </row>
    <row r="15415">
      <c r="A15415" s="1" t="s">
        <v>8</v>
      </c>
      <c r="B15415" s="2">
        <v>44783.0</v>
      </c>
      <c r="C15415" s="3">
        <v>0.7605787037037037</v>
      </c>
      <c r="D15415" s="1">
        <v>13.066782</v>
      </c>
      <c r="E15415" s="1">
        <v>80.254074</v>
      </c>
      <c r="F15415" s="1">
        <v>5339.0</v>
      </c>
      <c r="G15415" s="1">
        <v>16.0</v>
      </c>
    </row>
    <row r="15416">
      <c r="A15416" s="1" t="s">
        <v>8</v>
      </c>
      <c r="B15416" s="2">
        <v>44783.0</v>
      </c>
      <c r="C15416" s="3">
        <v>0.7605902777777778</v>
      </c>
      <c r="D15416" s="1">
        <v>13.067206</v>
      </c>
      <c r="E15416" s="1">
        <v>80.253724</v>
      </c>
      <c r="F15416" s="1">
        <v>5339.0</v>
      </c>
      <c r="G15416" s="1">
        <v>26.0</v>
      </c>
    </row>
    <row r="15417">
      <c r="A15417" s="1" t="s">
        <v>8</v>
      </c>
      <c r="B15417" s="2">
        <v>44783.0</v>
      </c>
      <c r="C15417" s="3">
        <v>0.7606018518518518</v>
      </c>
      <c r="D15417" s="1">
        <v>13.067206</v>
      </c>
      <c r="E15417" s="1">
        <v>80.253724</v>
      </c>
      <c r="F15417" s="1">
        <v>5339.0</v>
      </c>
      <c r="G15417" s="1">
        <v>26.0</v>
      </c>
    </row>
    <row r="15418">
      <c r="A15418" s="1" t="s">
        <v>8</v>
      </c>
      <c r="B15418" s="2">
        <v>44783.0</v>
      </c>
      <c r="C15418" s="3">
        <v>0.760636574074074</v>
      </c>
      <c r="D15418" s="1">
        <v>13.067206</v>
      </c>
      <c r="E15418" s="1">
        <v>80.253724</v>
      </c>
      <c r="F15418" s="1">
        <v>5339.0</v>
      </c>
      <c r="G15418" s="1">
        <v>26.0</v>
      </c>
    </row>
    <row r="15419">
      <c r="A15419" s="1" t="s">
        <v>8</v>
      </c>
      <c r="B15419" s="2">
        <v>44783.0</v>
      </c>
      <c r="C15419" s="3">
        <v>0.7606481481481482</v>
      </c>
      <c r="D15419" s="1">
        <v>13.067206</v>
      </c>
      <c r="E15419" s="1">
        <v>80.253724</v>
      </c>
      <c r="F15419" s="1">
        <v>5339.0</v>
      </c>
      <c r="G15419" s="1">
        <v>26.0</v>
      </c>
    </row>
    <row r="15420">
      <c r="A15420" s="1" t="s">
        <v>10</v>
      </c>
      <c r="B15420" s="2">
        <v>44783.0</v>
      </c>
      <c r="C15420" s="3">
        <v>0.7618402777777777</v>
      </c>
      <c r="D15420" s="1">
        <v>13.067206</v>
      </c>
      <c r="E15420" s="1">
        <v>80.253724</v>
      </c>
      <c r="F15420" s="1">
        <v>5339.0</v>
      </c>
      <c r="G15420" s="1">
        <v>26.0</v>
      </c>
    </row>
    <row r="15421">
      <c r="A15421" s="1" t="s">
        <v>8</v>
      </c>
      <c r="B15421" s="2">
        <v>44783.0</v>
      </c>
      <c r="C15421" s="3">
        <v>0.7619791666666667</v>
      </c>
      <c r="D15421" s="1">
        <v>13.067206</v>
      </c>
      <c r="E15421" s="1">
        <v>80.253724</v>
      </c>
      <c r="F15421" s="1">
        <v>5339.0</v>
      </c>
      <c r="G15421" s="1">
        <v>26.0</v>
      </c>
    </row>
    <row r="15422">
      <c r="A15422" s="1" t="s">
        <v>8</v>
      </c>
      <c r="B15422" s="2">
        <v>44783.0</v>
      </c>
      <c r="C15422" s="3">
        <v>0.7626851851851851</v>
      </c>
      <c r="D15422" s="1">
        <v>12.948737</v>
      </c>
      <c r="E15422" s="1">
        <v>80.18927</v>
      </c>
      <c r="F15422" s="1">
        <v>3143.0</v>
      </c>
      <c r="G15422" s="1">
        <v>21.0</v>
      </c>
    </row>
    <row r="15423">
      <c r="A15423" s="1" t="s">
        <v>8</v>
      </c>
      <c r="B15423" s="2">
        <v>44783.0</v>
      </c>
      <c r="C15423" s="3">
        <v>0.7634953703703704</v>
      </c>
      <c r="D15423" s="1">
        <v>12.949579</v>
      </c>
      <c r="E15423" s="1">
        <v>80.181396</v>
      </c>
      <c r="F15423" s="1">
        <v>3143.0</v>
      </c>
      <c r="G15423" s="1">
        <v>34.0</v>
      </c>
    </row>
    <row r="15424">
      <c r="A15424" s="1" t="s">
        <v>8</v>
      </c>
      <c r="B15424" s="2">
        <v>44783.0</v>
      </c>
      <c r="C15424" s="3">
        <v>0.7636342592592592</v>
      </c>
      <c r="D15424" s="1">
        <v>12.949765</v>
      </c>
      <c r="E15424" s="1">
        <v>80.180564</v>
      </c>
      <c r="F15424" s="1">
        <v>3143.0</v>
      </c>
      <c r="G15424" s="1">
        <v>36.0</v>
      </c>
    </row>
    <row r="15425">
      <c r="A15425" s="1" t="s">
        <v>8</v>
      </c>
      <c r="B15425" s="2">
        <v>44783.0</v>
      </c>
      <c r="C15425" s="3">
        <v>0.7638541666666666</v>
      </c>
      <c r="D15425" s="1">
        <v>12.950245</v>
      </c>
      <c r="E15425" s="1">
        <v>80.178488</v>
      </c>
      <c r="F15425" s="1">
        <v>3143.0</v>
      </c>
      <c r="G15425" s="1">
        <v>43.0</v>
      </c>
    </row>
    <row r="15426">
      <c r="A15426" s="1" t="s">
        <v>8</v>
      </c>
      <c r="B15426" s="2">
        <v>44783.0</v>
      </c>
      <c r="C15426" s="3">
        <v>0.7647916666666666</v>
      </c>
      <c r="D15426" s="1">
        <v>12.951659</v>
      </c>
      <c r="E15426" s="1">
        <v>80.172087</v>
      </c>
      <c r="F15426" s="1">
        <v>3143.0</v>
      </c>
      <c r="G15426" s="1">
        <v>42.0</v>
      </c>
    </row>
    <row r="15427">
      <c r="A15427" s="1" t="s">
        <v>7</v>
      </c>
      <c r="B15427" s="2">
        <v>44783.0</v>
      </c>
      <c r="C15427" s="3">
        <v>0.765162037037037</v>
      </c>
      <c r="D15427" s="1">
        <v>12.952233</v>
      </c>
      <c r="E15427" s="1">
        <v>80.168814</v>
      </c>
      <c r="F15427" s="1">
        <v>3143.0</v>
      </c>
      <c r="G15427" s="1">
        <v>46.0</v>
      </c>
    </row>
    <row r="15428">
      <c r="A15428" s="1" t="s">
        <v>7</v>
      </c>
      <c r="B15428" s="2">
        <v>44783.0</v>
      </c>
      <c r="C15428" s="3">
        <v>0.7652777777777777</v>
      </c>
      <c r="D15428" s="1">
        <v>12.952521</v>
      </c>
      <c r="E15428" s="1">
        <v>80.167571</v>
      </c>
      <c r="F15428" s="1">
        <v>3143.0</v>
      </c>
      <c r="G15428" s="1">
        <v>51.0</v>
      </c>
    </row>
    <row r="15429">
      <c r="A15429" s="1" t="s">
        <v>8</v>
      </c>
      <c r="B15429" s="2">
        <v>44783.0</v>
      </c>
      <c r="C15429" s="3">
        <v>0.7655092592592593</v>
      </c>
      <c r="D15429" s="1">
        <v>12.953223</v>
      </c>
      <c r="E15429" s="1">
        <v>80.164739</v>
      </c>
      <c r="F15429" s="1">
        <v>3143.0</v>
      </c>
      <c r="G15429" s="1">
        <v>59.0</v>
      </c>
    </row>
    <row r="15430">
      <c r="A15430" s="1" t="s">
        <v>7</v>
      </c>
      <c r="B15430" s="2">
        <v>44783.0</v>
      </c>
      <c r="C15430" s="3">
        <v>0.7655439814814815</v>
      </c>
      <c r="D15430" s="1">
        <v>12.953223</v>
      </c>
      <c r="E15430" s="1">
        <v>80.164739</v>
      </c>
      <c r="F15430" s="1">
        <v>3143.0</v>
      </c>
      <c r="G15430" s="1">
        <v>59.0</v>
      </c>
    </row>
    <row r="15431">
      <c r="A15431" s="1" t="s">
        <v>7</v>
      </c>
      <c r="B15431" s="2">
        <v>44783.0</v>
      </c>
      <c r="C15431" s="3">
        <v>0.7665277777777778</v>
      </c>
      <c r="D15431" s="1">
        <v>12.954763</v>
      </c>
      <c r="E15431" s="1">
        <v>80.157245</v>
      </c>
      <c r="F15431" s="1">
        <v>3143.0</v>
      </c>
      <c r="G15431" s="1">
        <v>49.0</v>
      </c>
    </row>
    <row r="15432">
      <c r="A15432" s="1" t="s">
        <v>8</v>
      </c>
      <c r="B15432" s="2">
        <v>44783.0</v>
      </c>
      <c r="C15432" s="3">
        <v>0.7675</v>
      </c>
      <c r="D15432" s="1">
        <v>12.959756</v>
      </c>
      <c r="E15432" s="1">
        <v>80.148104</v>
      </c>
      <c r="F15432" s="1">
        <v>3143.0</v>
      </c>
      <c r="G15432" s="1">
        <v>51.0</v>
      </c>
    </row>
    <row r="15433">
      <c r="A15433" s="1" t="s">
        <v>8</v>
      </c>
      <c r="B15433" s="2">
        <v>44783.0</v>
      </c>
      <c r="C15433" s="3">
        <v>0.7683564814814815</v>
      </c>
      <c r="D15433" s="1">
        <v>12.958464</v>
      </c>
      <c r="E15433" s="1">
        <v>80.144548</v>
      </c>
      <c r="F15433" s="1">
        <v>3143.0</v>
      </c>
      <c r="G15433" s="1">
        <v>43.0</v>
      </c>
    </row>
    <row r="15434">
      <c r="A15434" s="1" t="s">
        <v>8</v>
      </c>
      <c r="B15434" s="2">
        <v>44783.0</v>
      </c>
      <c r="C15434" s="3">
        <v>0.7684606481481482</v>
      </c>
      <c r="D15434" s="1">
        <v>12.958464</v>
      </c>
      <c r="E15434" s="1">
        <v>80.144548</v>
      </c>
      <c r="F15434" s="1">
        <v>3143.0</v>
      </c>
      <c r="G15434" s="1">
        <v>43.0</v>
      </c>
    </row>
    <row r="15435">
      <c r="A15435" s="1" t="s">
        <v>10</v>
      </c>
      <c r="B15435" s="2">
        <v>44783.0</v>
      </c>
      <c r="C15435" s="3">
        <v>0.7698611111111111</v>
      </c>
      <c r="D15435" s="1">
        <v>12.953007</v>
      </c>
      <c r="E15435" s="1">
        <v>80.141592</v>
      </c>
      <c r="F15435" s="1">
        <v>3143.0</v>
      </c>
      <c r="G15435" s="1">
        <v>12.0</v>
      </c>
    </row>
    <row r="15436">
      <c r="A15436" s="1" t="s">
        <v>8</v>
      </c>
      <c r="B15436" s="2">
        <v>44783.0</v>
      </c>
      <c r="C15436" s="3">
        <v>0.7721875</v>
      </c>
      <c r="D15436" s="1">
        <v>12.942319</v>
      </c>
      <c r="E15436" s="1">
        <v>80.133039</v>
      </c>
      <c r="F15436" s="1">
        <v>3143.0</v>
      </c>
      <c r="G15436" s="1">
        <v>0.0</v>
      </c>
    </row>
    <row r="15437">
      <c r="A15437" s="1" t="s">
        <v>8</v>
      </c>
      <c r="B15437" s="2">
        <v>44783.0</v>
      </c>
      <c r="C15437" s="3">
        <v>0.7729976851851852</v>
      </c>
      <c r="D15437" s="1">
        <v>12.937989</v>
      </c>
      <c r="E15437" s="1">
        <v>80.128852</v>
      </c>
      <c r="F15437" s="1">
        <v>3143.0</v>
      </c>
      <c r="G15437" s="1">
        <v>39.0</v>
      </c>
    </row>
    <row r="15438">
      <c r="A15438" s="1" t="s">
        <v>8</v>
      </c>
      <c r="B15438" s="2">
        <v>44783.0</v>
      </c>
      <c r="C15438" s="3">
        <v>0.7734375</v>
      </c>
      <c r="D15438" s="1">
        <v>12.935743</v>
      </c>
      <c r="E15438" s="1">
        <v>80.126883</v>
      </c>
      <c r="F15438" s="1">
        <v>3143.0</v>
      </c>
      <c r="G15438" s="1">
        <v>27.0</v>
      </c>
    </row>
    <row r="15439">
      <c r="A15439" s="1" t="s">
        <v>8</v>
      </c>
      <c r="B15439" s="2">
        <v>44783.0</v>
      </c>
      <c r="C15439" s="3">
        <v>0.7751273148148148</v>
      </c>
      <c r="D15439" s="1">
        <v>12.93098</v>
      </c>
      <c r="E15439" s="1">
        <v>80.122224</v>
      </c>
      <c r="F15439" s="1">
        <v>3143.0</v>
      </c>
      <c r="G15439" s="1">
        <v>32.0</v>
      </c>
    </row>
    <row r="15440">
      <c r="A15440" s="1" t="s">
        <v>8</v>
      </c>
      <c r="B15440" s="2">
        <v>44783.0</v>
      </c>
      <c r="C15440" s="3">
        <v>0.7769907407407407</v>
      </c>
      <c r="D15440" s="1">
        <v>12.921652</v>
      </c>
      <c r="E15440" s="1">
        <v>80.11285</v>
      </c>
      <c r="F15440" s="1">
        <v>3143.0</v>
      </c>
      <c r="G15440" s="1">
        <v>44.0</v>
      </c>
    </row>
    <row r="15441">
      <c r="A15441" s="1" t="s">
        <v>8</v>
      </c>
      <c r="B15441" s="2">
        <v>44783.0</v>
      </c>
      <c r="C15441" s="3">
        <v>0.7771412037037037</v>
      </c>
      <c r="D15441" s="1">
        <v>12.920842</v>
      </c>
      <c r="E15441" s="1">
        <v>80.112019</v>
      </c>
      <c r="F15441" s="1">
        <v>3143.0</v>
      </c>
      <c r="G15441" s="1">
        <v>46.0</v>
      </c>
    </row>
    <row r="15442">
      <c r="A15442" s="1" t="s">
        <v>7</v>
      </c>
      <c r="B15442" s="2">
        <v>44783.0</v>
      </c>
      <c r="C15442" s="3">
        <v>0.7773032407407408</v>
      </c>
      <c r="D15442" s="1">
        <v>12.919207</v>
      </c>
      <c r="E15442" s="1">
        <v>80.110111</v>
      </c>
      <c r="F15442" s="1">
        <v>3143.0</v>
      </c>
      <c r="G15442" s="1">
        <v>52.0</v>
      </c>
    </row>
    <row r="15443">
      <c r="A15443" s="1" t="s">
        <v>8</v>
      </c>
      <c r="B15443" s="2">
        <v>44783.0</v>
      </c>
      <c r="C15443" s="3">
        <v>0.7780092592592592</v>
      </c>
      <c r="D15443" s="1">
        <v>12.915276</v>
      </c>
      <c r="E15443" s="1">
        <v>80.104053</v>
      </c>
      <c r="F15443" s="1">
        <v>3143.0</v>
      </c>
      <c r="G15443" s="1">
        <v>40.0</v>
      </c>
    </row>
    <row r="15444">
      <c r="A15444" s="1" t="s">
        <v>8</v>
      </c>
      <c r="B15444" s="2">
        <v>44783.0</v>
      </c>
      <c r="C15444" s="3">
        <v>0.7785416666666667</v>
      </c>
      <c r="D15444" s="1">
        <v>12.912532</v>
      </c>
      <c r="E15444" s="1">
        <v>80.101556</v>
      </c>
      <c r="F15444" s="1">
        <v>3143.0</v>
      </c>
      <c r="G15444" s="1">
        <v>33.0</v>
      </c>
    </row>
    <row r="15445">
      <c r="A15445" s="1" t="s">
        <v>8</v>
      </c>
      <c r="B15445" s="2">
        <v>44783.0</v>
      </c>
      <c r="C15445" s="3">
        <v>0.7789351851851852</v>
      </c>
      <c r="D15445" s="1">
        <v>12.909527</v>
      </c>
      <c r="E15445" s="1">
        <v>80.099791</v>
      </c>
      <c r="F15445" s="1">
        <v>3143.0</v>
      </c>
      <c r="G15445" s="1">
        <v>44.0</v>
      </c>
    </row>
    <row r="15446">
      <c r="A15446" s="1" t="s">
        <v>8</v>
      </c>
      <c r="B15446" s="2">
        <v>44783.0</v>
      </c>
      <c r="C15446" s="3">
        <v>0.7793287037037037</v>
      </c>
      <c r="D15446" s="1">
        <v>12.908344</v>
      </c>
      <c r="E15446" s="1">
        <v>80.09806</v>
      </c>
      <c r="F15446" s="1">
        <v>3143.0</v>
      </c>
      <c r="G15446" s="1">
        <v>22.0</v>
      </c>
    </row>
    <row r="15447">
      <c r="A15447" s="1" t="s">
        <v>10</v>
      </c>
      <c r="B15447" s="2">
        <v>44783.0</v>
      </c>
      <c r="C15447" s="3">
        <v>0.7799189814814815</v>
      </c>
      <c r="D15447" s="1">
        <v>12.906259</v>
      </c>
      <c r="E15447" s="1">
        <v>80.096422</v>
      </c>
      <c r="F15447" s="1">
        <v>3143.0</v>
      </c>
      <c r="G15447" s="1">
        <v>8.0</v>
      </c>
    </row>
    <row r="15448">
      <c r="A15448" s="1" t="s">
        <v>8</v>
      </c>
      <c r="B15448" s="2">
        <v>44783.0</v>
      </c>
      <c r="C15448" s="3">
        <v>0.7809027777777777</v>
      </c>
      <c r="D15448" s="1">
        <v>12.901823</v>
      </c>
      <c r="E15448" s="1">
        <v>80.092929</v>
      </c>
      <c r="F15448" s="1">
        <v>3143.0</v>
      </c>
      <c r="G15448" s="1">
        <v>41.0</v>
      </c>
    </row>
    <row r="15449">
      <c r="A15449" s="1" t="s">
        <v>8</v>
      </c>
      <c r="B15449" s="2">
        <v>44783.0</v>
      </c>
      <c r="C15449" s="3">
        <v>0.7821643518518518</v>
      </c>
      <c r="D15449" s="1">
        <v>12.893519</v>
      </c>
      <c r="E15449" s="1">
        <v>80.086711</v>
      </c>
      <c r="F15449" s="1">
        <v>3143.0</v>
      </c>
      <c r="G15449" s="1">
        <v>39.0</v>
      </c>
    </row>
    <row r="15450">
      <c r="A15450" s="1" t="s">
        <v>8</v>
      </c>
      <c r="B15450" s="2">
        <v>44783.0</v>
      </c>
      <c r="C15450" s="3">
        <v>0.7835763888888889</v>
      </c>
      <c r="D15450" s="1">
        <v>12.881342</v>
      </c>
      <c r="E15450" s="1">
        <v>80.081242</v>
      </c>
      <c r="F15450" s="1">
        <v>3143.0</v>
      </c>
      <c r="G15450" s="1">
        <v>29.0</v>
      </c>
    </row>
    <row r="15451">
      <c r="A15451" s="1" t="s">
        <v>8</v>
      </c>
      <c r="B15451" s="2">
        <v>44783.0</v>
      </c>
      <c r="C15451" s="3">
        <v>0.783587962962963</v>
      </c>
      <c r="D15451" s="1">
        <v>12.881342</v>
      </c>
      <c r="E15451" s="1">
        <v>80.081242</v>
      </c>
      <c r="F15451" s="1">
        <v>3143.0</v>
      </c>
      <c r="G15451" s="1">
        <v>29.0</v>
      </c>
    </row>
    <row r="15452">
      <c r="A15452" s="1" t="s">
        <v>7</v>
      </c>
      <c r="B15452" s="2">
        <v>44784.0</v>
      </c>
      <c r="C15452" s="3">
        <v>0.28</v>
      </c>
      <c r="D15452" s="1">
        <v>12.877504</v>
      </c>
      <c r="E15452" s="1">
        <v>80.084656</v>
      </c>
      <c r="F15452" s="1">
        <v>3143.0</v>
      </c>
      <c r="G15452" s="1">
        <v>2.0</v>
      </c>
    </row>
    <row r="15453">
      <c r="A15453" s="1" t="s">
        <v>7</v>
      </c>
      <c r="B15453" s="2">
        <v>44784.0</v>
      </c>
      <c r="C15453" s="3">
        <v>0.28130787037037036</v>
      </c>
      <c r="D15453" s="1">
        <v>12.882988</v>
      </c>
      <c r="E15453" s="1">
        <v>80.081307</v>
      </c>
      <c r="F15453" s="1">
        <v>3143.0</v>
      </c>
      <c r="G15453" s="1">
        <v>47.0</v>
      </c>
    </row>
    <row r="15454">
      <c r="A15454" s="1" t="s">
        <v>8</v>
      </c>
      <c r="B15454" s="2">
        <v>44784.0</v>
      </c>
      <c r="C15454" s="3">
        <v>0.2825578703703704</v>
      </c>
      <c r="D15454" s="1">
        <v>12.884911</v>
      </c>
      <c r="E15454" s="1">
        <v>80.082107</v>
      </c>
      <c r="F15454" s="1">
        <v>3143.0</v>
      </c>
      <c r="G15454" s="1">
        <v>46.0</v>
      </c>
    </row>
    <row r="15455">
      <c r="A15455" s="1" t="s">
        <v>8</v>
      </c>
      <c r="B15455" s="2">
        <v>44784.0</v>
      </c>
      <c r="C15455" s="3">
        <v>0.28475694444444444</v>
      </c>
      <c r="D15455" s="1">
        <v>12.911534</v>
      </c>
      <c r="E15455" s="1">
        <v>80.101276</v>
      </c>
      <c r="F15455" s="1">
        <v>3143.0</v>
      </c>
      <c r="G15455" s="1">
        <v>35.0</v>
      </c>
    </row>
    <row r="15456">
      <c r="A15456" s="1" t="s">
        <v>8</v>
      </c>
      <c r="B15456" s="2">
        <v>44784.0</v>
      </c>
      <c r="C15456" s="3">
        <v>0.2849074074074074</v>
      </c>
      <c r="D15456" s="1">
        <v>12.91363</v>
      </c>
      <c r="E15456" s="1">
        <v>80.10157</v>
      </c>
      <c r="F15456" s="1">
        <v>3143.0</v>
      </c>
      <c r="G15456" s="1">
        <v>47.0</v>
      </c>
    </row>
    <row r="15457">
      <c r="A15457" s="1" t="s">
        <v>7</v>
      </c>
      <c r="B15457" s="2">
        <v>44784.0</v>
      </c>
      <c r="C15457" s="3">
        <v>0.2852662037037037</v>
      </c>
      <c r="D15457" s="1">
        <v>12.915841</v>
      </c>
      <c r="E15457" s="1">
        <v>80.104698</v>
      </c>
      <c r="F15457" s="1">
        <v>3143.0</v>
      </c>
      <c r="G15457" s="1">
        <v>58.0</v>
      </c>
    </row>
    <row r="15458">
      <c r="A15458" s="1" t="s">
        <v>8</v>
      </c>
      <c r="B15458" s="2">
        <v>44784.0</v>
      </c>
      <c r="C15458" s="3">
        <v>0.2864236111111111</v>
      </c>
      <c r="D15458" s="1">
        <v>12.920124</v>
      </c>
      <c r="E15458" s="1">
        <v>80.111138</v>
      </c>
      <c r="F15458" s="1">
        <v>3143.0</v>
      </c>
      <c r="G15458" s="1">
        <v>45.0</v>
      </c>
    </row>
    <row r="15459">
      <c r="A15459" s="1" t="s">
        <v>7</v>
      </c>
      <c r="B15459" s="2">
        <v>44784.0</v>
      </c>
      <c r="C15459" s="3">
        <v>0.28681712962962963</v>
      </c>
      <c r="D15459" s="1">
        <v>12.92197</v>
      </c>
      <c r="E15459" s="1">
        <v>80.113054</v>
      </c>
      <c r="F15459" s="1">
        <v>3143.0</v>
      </c>
      <c r="G15459" s="1">
        <v>42.0</v>
      </c>
    </row>
    <row r="15460">
      <c r="A15460" s="1" t="s">
        <v>7</v>
      </c>
      <c r="B15460" s="2">
        <v>44784.0</v>
      </c>
      <c r="C15460" s="3">
        <v>0.28693287037037035</v>
      </c>
      <c r="D15460" s="1">
        <v>12.922865</v>
      </c>
      <c r="E15460" s="1">
        <v>80.113878</v>
      </c>
      <c r="F15460" s="1">
        <v>3143.0</v>
      </c>
      <c r="G15460" s="1">
        <v>53.0</v>
      </c>
    </row>
    <row r="15461">
      <c r="A15461" s="1" t="s">
        <v>7</v>
      </c>
      <c r="B15461" s="2">
        <v>44784.0</v>
      </c>
      <c r="C15461" s="3">
        <v>0.28702546296296294</v>
      </c>
      <c r="D15461" s="1">
        <v>12.451151</v>
      </c>
      <c r="E15461" s="1">
        <v>79.840184</v>
      </c>
      <c r="F15461" s="1">
        <v>2846.0</v>
      </c>
      <c r="G15461" s="1">
        <v>55.0</v>
      </c>
    </row>
    <row r="15462">
      <c r="A15462" s="1" t="s">
        <v>7</v>
      </c>
      <c r="B15462" s="2">
        <v>44784.0</v>
      </c>
      <c r="C15462" s="3">
        <v>0.28886574074074073</v>
      </c>
      <c r="D15462" s="1">
        <v>12.469858</v>
      </c>
      <c r="E15462" s="1">
        <v>79.8529</v>
      </c>
      <c r="F15462" s="1">
        <v>2846.0</v>
      </c>
      <c r="G15462" s="1">
        <v>58.0</v>
      </c>
    </row>
    <row r="15463">
      <c r="A15463" s="1" t="s">
        <v>8</v>
      </c>
      <c r="B15463" s="2">
        <v>44784.0</v>
      </c>
      <c r="C15463" s="3">
        <v>0.2889467592592593</v>
      </c>
      <c r="D15463" s="1">
        <v>12.933347</v>
      </c>
      <c r="E15463" s="1">
        <v>80.124437</v>
      </c>
      <c r="F15463" s="1">
        <v>3143.0</v>
      </c>
      <c r="G15463" s="1">
        <v>47.0</v>
      </c>
    </row>
    <row r="15464">
      <c r="A15464" s="1" t="s">
        <v>8</v>
      </c>
      <c r="B15464" s="2">
        <v>44784.0</v>
      </c>
      <c r="C15464" s="3">
        <v>0.28899305555555554</v>
      </c>
      <c r="D15464" s="1">
        <v>12.470983</v>
      </c>
      <c r="E15464" s="1">
        <v>79.853821</v>
      </c>
      <c r="F15464" s="1">
        <v>2846.0</v>
      </c>
      <c r="G15464" s="1">
        <v>59.0</v>
      </c>
    </row>
    <row r="15465">
      <c r="A15465" s="1" t="s">
        <v>7</v>
      </c>
      <c r="B15465" s="2">
        <v>44784.0</v>
      </c>
      <c r="C15465" s="3">
        <v>0.28945601851851854</v>
      </c>
      <c r="D15465" s="1">
        <v>12.47316</v>
      </c>
      <c r="E15465" s="1">
        <v>79.855778</v>
      </c>
      <c r="F15465" s="1">
        <v>2846.0</v>
      </c>
      <c r="G15465" s="1">
        <v>57.0</v>
      </c>
    </row>
    <row r="15466">
      <c r="A15466" s="1" t="s">
        <v>7</v>
      </c>
      <c r="B15466" s="2">
        <v>44784.0</v>
      </c>
      <c r="C15466" s="3">
        <v>0.2897800925925926</v>
      </c>
      <c r="D15466" s="1">
        <v>12.93877</v>
      </c>
      <c r="E15466" s="1">
        <v>80.12932</v>
      </c>
      <c r="F15466" s="1">
        <v>3143.0</v>
      </c>
      <c r="G15466" s="1">
        <v>58.0</v>
      </c>
    </row>
    <row r="15467">
      <c r="A15467" s="1" t="s">
        <v>7</v>
      </c>
      <c r="B15467" s="2">
        <v>44784.0</v>
      </c>
      <c r="C15467" s="3">
        <v>0.28998842592592594</v>
      </c>
      <c r="D15467" s="1">
        <v>12.939859</v>
      </c>
      <c r="E15467" s="1">
        <v>80.13033</v>
      </c>
      <c r="F15467" s="1">
        <v>3143.0</v>
      </c>
      <c r="G15467" s="1">
        <v>58.0</v>
      </c>
    </row>
    <row r="15468">
      <c r="A15468" s="1" t="s">
        <v>7</v>
      </c>
      <c r="B15468" s="2">
        <v>44784.0</v>
      </c>
      <c r="C15468" s="3">
        <v>0.2909953703703704</v>
      </c>
      <c r="D15468" s="1">
        <v>12.94561</v>
      </c>
      <c r="E15468" s="1">
        <v>80.135757</v>
      </c>
      <c r="F15468" s="1">
        <v>3143.0</v>
      </c>
      <c r="G15468" s="1">
        <v>57.0</v>
      </c>
    </row>
    <row r="15469">
      <c r="A15469" s="1" t="s">
        <v>7</v>
      </c>
      <c r="B15469" s="2">
        <v>44784.0</v>
      </c>
      <c r="C15469" s="3">
        <v>0.29127314814814814</v>
      </c>
      <c r="D15469" s="1">
        <v>12.949143</v>
      </c>
      <c r="E15469" s="1">
        <v>80.13835</v>
      </c>
      <c r="F15469" s="1">
        <v>3143.0</v>
      </c>
      <c r="G15469" s="1">
        <v>54.0</v>
      </c>
    </row>
    <row r="15470">
      <c r="A15470" s="1" t="s">
        <v>7</v>
      </c>
      <c r="B15470" s="2">
        <v>44784.0</v>
      </c>
      <c r="C15470" s="3">
        <v>0.2912962962962963</v>
      </c>
      <c r="D15470" s="1">
        <v>12.493228</v>
      </c>
      <c r="E15470" s="1">
        <v>79.869536</v>
      </c>
      <c r="F15470" s="1">
        <v>2846.0</v>
      </c>
      <c r="G15470" s="1">
        <v>58.0</v>
      </c>
    </row>
    <row r="15471">
      <c r="A15471" s="1" t="s">
        <v>8</v>
      </c>
      <c r="B15471" s="2">
        <v>44784.0</v>
      </c>
      <c r="C15471" s="3">
        <v>0.29160879629629627</v>
      </c>
      <c r="D15471" s="1">
        <v>12.950429</v>
      </c>
      <c r="E15471" s="1">
        <v>80.139353</v>
      </c>
      <c r="F15471" s="1">
        <v>3143.0</v>
      </c>
      <c r="G15471" s="1">
        <v>19.0</v>
      </c>
    </row>
    <row r="15472">
      <c r="A15472" s="1" t="s">
        <v>8</v>
      </c>
      <c r="B15472" s="2">
        <v>44784.0</v>
      </c>
      <c r="C15472" s="3">
        <v>0.2920949074074074</v>
      </c>
      <c r="D15472" s="1">
        <v>12.95429</v>
      </c>
      <c r="E15472" s="1">
        <v>80.142069</v>
      </c>
      <c r="F15472" s="1">
        <v>3143.0</v>
      </c>
      <c r="G15472" s="1">
        <v>46.0</v>
      </c>
    </row>
    <row r="15473">
      <c r="A15473" s="1" t="s">
        <v>8</v>
      </c>
      <c r="B15473" s="2">
        <v>44784.0</v>
      </c>
      <c r="C15473" s="3">
        <v>0.29211805555555553</v>
      </c>
      <c r="D15473" s="1">
        <v>12.95429</v>
      </c>
      <c r="E15473" s="1">
        <v>80.142069</v>
      </c>
      <c r="F15473" s="1">
        <v>3143.0</v>
      </c>
      <c r="G15473" s="1">
        <v>46.0</v>
      </c>
    </row>
    <row r="15474">
      <c r="A15474" s="1" t="s">
        <v>7</v>
      </c>
      <c r="B15474" s="2">
        <v>44784.0</v>
      </c>
      <c r="C15474" s="3">
        <v>0.2928472222222222</v>
      </c>
      <c r="D15474" s="1">
        <v>12.508903</v>
      </c>
      <c r="E15474" s="1">
        <v>79.882102</v>
      </c>
      <c r="F15474" s="1">
        <v>2846.0</v>
      </c>
      <c r="G15474" s="1">
        <v>57.0</v>
      </c>
    </row>
    <row r="15475">
      <c r="A15475" s="1" t="s">
        <v>7</v>
      </c>
      <c r="B15475" s="2">
        <v>44784.0</v>
      </c>
      <c r="C15475" s="3">
        <v>0.29325231481481484</v>
      </c>
      <c r="D15475" s="1">
        <v>12.514172</v>
      </c>
      <c r="E15475" s="1">
        <v>79.884601</v>
      </c>
      <c r="F15475" s="1">
        <v>2846.0</v>
      </c>
      <c r="G15475" s="1">
        <v>57.0</v>
      </c>
    </row>
    <row r="15476">
      <c r="A15476" s="1" t="s">
        <v>7</v>
      </c>
      <c r="B15476" s="2">
        <v>44784.0</v>
      </c>
      <c r="C15476" s="3">
        <v>0.2942592592592593</v>
      </c>
      <c r="D15476" s="1">
        <v>12.958008</v>
      </c>
      <c r="E15476" s="1">
        <v>80.150859</v>
      </c>
      <c r="F15476" s="1">
        <v>3143.0</v>
      </c>
      <c r="G15476" s="1">
        <v>46.0</v>
      </c>
    </row>
    <row r="15477">
      <c r="A15477" s="1" t="s">
        <v>7</v>
      </c>
      <c r="B15477" s="2">
        <v>44784.0</v>
      </c>
      <c r="C15477" s="3">
        <v>0.2943634259259259</v>
      </c>
      <c r="D15477" s="1">
        <v>12.956585</v>
      </c>
      <c r="E15477" s="1">
        <v>80.152059</v>
      </c>
      <c r="F15477" s="1">
        <v>3143.0</v>
      </c>
      <c r="G15477" s="1">
        <v>53.0</v>
      </c>
    </row>
    <row r="15478">
      <c r="A15478" s="1" t="s">
        <v>8</v>
      </c>
      <c r="B15478" s="2">
        <v>44784.0</v>
      </c>
      <c r="C15478" s="3">
        <v>0.29467592592592595</v>
      </c>
      <c r="D15478" s="1">
        <v>12.955065</v>
      </c>
      <c r="E15478" s="1">
        <v>80.156454</v>
      </c>
      <c r="F15478" s="1">
        <v>3143.0</v>
      </c>
      <c r="G15478" s="1">
        <v>57.0</v>
      </c>
    </row>
    <row r="15479">
      <c r="A15479" s="1" t="s">
        <v>7</v>
      </c>
      <c r="B15479" s="2">
        <v>44784.0</v>
      </c>
      <c r="C15479" s="3">
        <v>0.29758101851851854</v>
      </c>
      <c r="D15479" s="1">
        <v>12.949533</v>
      </c>
      <c r="E15479" s="1">
        <v>80.18303</v>
      </c>
      <c r="F15479" s="1">
        <v>3143.0</v>
      </c>
      <c r="G15479" s="1">
        <v>46.0</v>
      </c>
    </row>
    <row r="15480">
      <c r="A15480" s="1" t="s">
        <v>7</v>
      </c>
      <c r="B15480" s="2">
        <v>44784.0</v>
      </c>
      <c r="C15480" s="3">
        <v>0.2977314814814815</v>
      </c>
      <c r="D15480" s="1">
        <v>12.949297</v>
      </c>
      <c r="E15480" s="1">
        <v>80.184838</v>
      </c>
      <c r="F15480" s="1">
        <v>3143.0</v>
      </c>
      <c r="G15480" s="1">
        <v>51.0</v>
      </c>
    </row>
    <row r="15481">
      <c r="A15481" s="1" t="s">
        <v>7</v>
      </c>
      <c r="B15481" s="2">
        <v>44784.0</v>
      </c>
      <c r="C15481" s="3">
        <v>0.2978472222222222</v>
      </c>
      <c r="D15481" s="1">
        <v>12.949297</v>
      </c>
      <c r="E15481" s="1">
        <v>80.184838</v>
      </c>
      <c r="F15481" s="1">
        <v>3143.0</v>
      </c>
      <c r="G15481" s="1">
        <v>51.0</v>
      </c>
    </row>
    <row r="15482">
      <c r="A15482" s="1" t="s">
        <v>7</v>
      </c>
      <c r="B15482" s="2">
        <v>44784.0</v>
      </c>
      <c r="C15482" s="3">
        <v>0.29788194444444444</v>
      </c>
      <c r="D15482" s="1">
        <v>12.949297</v>
      </c>
      <c r="E15482" s="1">
        <v>80.184838</v>
      </c>
      <c r="F15482" s="1">
        <v>3143.0</v>
      </c>
      <c r="G15482" s="1">
        <v>51.0</v>
      </c>
    </row>
    <row r="15483">
      <c r="A15483" s="1" t="s">
        <v>7</v>
      </c>
      <c r="B15483" s="2">
        <v>44784.0</v>
      </c>
      <c r="C15483" s="3">
        <v>0.2979513888888889</v>
      </c>
      <c r="D15483" s="1">
        <v>12.94915</v>
      </c>
      <c r="E15483" s="1">
        <v>80.187072</v>
      </c>
      <c r="F15483" s="1">
        <v>3143.0</v>
      </c>
      <c r="G15483" s="1">
        <v>54.0</v>
      </c>
    </row>
    <row r="15484">
      <c r="A15484" s="1" t="s">
        <v>7</v>
      </c>
      <c r="B15484" s="2">
        <v>44784.0</v>
      </c>
      <c r="C15484" s="3">
        <v>0.298599537037037</v>
      </c>
      <c r="D15484" s="1">
        <v>12.948654</v>
      </c>
      <c r="E15484" s="1">
        <v>80.193313</v>
      </c>
      <c r="F15484" s="1">
        <v>3143.0</v>
      </c>
      <c r="G15484" s="1">
        <v>55.0</v>
      </c>
    </row>
    <row r="15485">
      <c r="A15485" s="1" t="s">
        <v>7</v>
      </c>
      <c r="B15485" s="2">
        <v>44784.0</v>
      </c>
      <c r="C15485" s="3">
        <v>0.2993287037037037</v>
      </c>
      <c r="D15485" s="1">
        <v>12.94869</v>
      </c>
      <c r="E15485" s="1">
        <v>80.201884</v>
      </c>
      <c r="F15485" s="1">
        <v>3143.0</v>
      </c>
      <c r="G15485" s="1">
        <v>52.0</v>
      </c>
    </row>
    <row r="15486">
      <c r="A15486" s="1" t="s">
        <v>10</v>
      </c>
      <c r="B15486" s="2">
        <v>44784.0</v>
      </c>
      <c r="C15486" s="3">
        <v>0.29942129629629627</v>
      </c>
      <c r="D15486" s="1">
        <v>13.065168</v>
      </c>
      <c r="E15486" s="1">
        <v>80.243452</v>
      </c>
      <c r="F15486" s="1">
        <v>5339.0</v>
      </c>
      <c r="G15486" s="1">
        <v>33.0</v>
      </c>
    </row>
    <row r="15487">
      <c r="A15487" s="1" t="s">
        <v>8</v>
      </c>
      <c r="B15487" s="2">
        <v>44784.0</v>
      </c>
      <c r="C15487" s="3">
        <v>0.2995138888888889</v>
      </c>
      <c r="D15487" s="1">
        <v>12.515543</v>
      </c>
      <c r="E15487" s="1">
        <v>79.888582</v>
      </c>
      <c r="F15487" s="1">
        <v>2846.0</v>
      </c>
      <c r="G15487" s="1">
        <v>45.0</v>
      </c>
    </row>
    <row r="15488">
      <c r="A15488" s="1" t="s">
        <v>7</v>
      </c>
      <c r="B15488" s="2">
        <v>44784.0</v>
      </c>
      <c r="C15488" s="3">
        <v>0.29975694444444445</v>
      </c>
      <c r="D15488" s="1">
        <v>12.518021</v>
      </c>
      <c r="E15488" s="1">
        <v>79.891407</v>
      </c>
      <c r="F15488" s="1">
        <v>2846.0</v>
      </c>
      <c r="G15488" s="1">
        <v>49.0</v>
      </c>
    </row>
    <row r="15489">
      <c r="A15489" s="1" t="s">
        <v>7</v>
      </c>
      <c r="B15489" s="2">
        <v>44784.0</v>
      </c>
      <c r="C15489" s="3">
        <v>0.30028935185185185</v>
      </c>
      <c r="D15489" s="1">
        <v>12.52088</v>
      </c>
      <c r="E15489" s="1">
        <v>79.894261</v>
      </c>
      <c r="F15489" s="1">
        <v>2846.0</v>
      </c>
      <c r="G15489" s="1">
        <v>56.0</v>
      </c>
    </row>
    <row r="15490">
      <c r="A15490" s="1" t="s">
        <v>7</v>
      </c>
      <c r="B15490" s="2">
        <v>44784.0</v>
      </c>
      <c r="C15490" s="3">
        <v>0.30033564814814817</v>
      </c>
      <c r="D15490" s="1">
        <v>12.951315</v>
      </c>
      <c r="E15490" s="1">
        <v>80.210999</v>
      </c>
      <c r="F15490" s="1">
        <v>3143.0</v>
      </c>
      <c r="G15490" s="1">
        <v>37.0</v>
      </c>
    </row>
    <row r="15491">
      <c r="A15491" s="1" t="s">
        <v>7</v>
      </c>
      <c r="B15491" s="2">
        <v>44784.0</v>
      </c>
      <c r="C15491" s="3">
        <v>0.30063657407407407</v>
      </c>
      <c r="D15491" s="1">
        <v>12.525795</v>
      </c>
      <c r="E15491" s="1">
        <v>79.897263</v>
      </c>
      <c r="F15491" s="1">
        <v>2846.0</v>
      </c>
      <c r="G15491" s="1">
        <v>57.0</v>
      </c>
    </row>
    <row r="15492">
      <c r="A15492" s="1" t="s">
        <v>7</v>
      </c>
      <c r="B15492" s="2">
        <v>44784.0</v>
      </c>
      <c r="C15492" s="3">
        <v>0.30214120370370373</v>
      </c>
      <c r="D15492" s="1">
        <v>12.536534</v>
      </c>
      <c r="E15492" s="1">
        <v>79.902662</v>
      </c>
      <c r="F15492" s="1">
        <v>2846.0</v>
      </c>
      <c r="G15492" s="1">
        <v>57.0</v>
      </c>
    </row>
    <row r="15493">
      <c r="A15493" s="1" t="s">
        <v>8</v>
      </c>
      <c r="B15493" s="2">
        <v>44784.0</v>
      </c>
      <c r="C15493" s="3">
        <v>0.3022916666666667</v>
      </c>
      <c r="D15493" s="1">
        <v>13.069418</v>
      </c>
      <c r="E15493" s="1">
        <v>80.256759</v>
      </c>
      <c r="F15493" s="1">
        <v>5339.0</v>
      </c>
      <c r="G15493" s="1">
        <v>19.0</v>
      </c>
    </row>
    <row r="15494">
      <c r="A15494" s="1" t="s">
        <v>8</v>
      </c>
      <c r="B15494" s="2">
        <v>44784.0</v>
      </c>
      <c r="C15494" s="3">
        <v>0.3023032407407407</v>
      </c>
      <c r="D15494" s="1">
        <v>13.069418</v>
      </c>
      <c r="E15494" s="1">
        <v>80.256759</v>
      </c>
      <c r="F15494" s="1">
        <v>5339.0</v>
      </c>
      <c r="G15494" s="1">
        <v>19.0</v>
      </c>
    </row>
    <row r="15495">
      <c r="A15495" s="1" t="s">
        <v>8</v>
      </c>
      <c r="B15495" s="2">
        <v>44784.0</v>
      </c>
      <c r="C15495" s="3">
        <v>0.3023148148148148</v>
      </c>
      <c r="D15495" s="1">
        <v>13.069418</v>
      </c>
      <c r="E15495" s="1">
        <v>80.256759</v>
      </c>
      <c r="F15495" s="1">
        <v>5339.0</v>
      </c>
      <c r="G15495" s="1">
        <v>19.0</v>
      </c>
    </row>
    <row r="15496">
      <c r="A15496" s="1" t="s">
        <v>8</v>
      </c>
      <c r="B15496" s="2">
        <v>44784.0</v>
      </c>
      <c r="C15496" s="3">
        <v>0.30234953703703704</v>
      </c>
      <c r="D15496" s="1">
        <v>13.069847</v>
      </c>
      <c r="E15496" s="1">
        <v>80.257202</v>
      </c>
      <c r="F15496" s="1">
        <v>5339.0</v>
      </c>
      <c r="G15496" s="1">
        <v>28.0</v>
      </c>
    </row>
    <row r="15497">
      <c r="A15497" s="1" t="s">
        <v>10</v>
      </c>
      <c r="B15497" s="2">
        <v>44784.0</v>
      </c>
      <c r="C15497" s="3">
        <v>0.30280092592592595</v>
      </c>
      <c r="D15497" s="1">
        <v>12.97276</v>
      </c>
      <c r="E15497" s="1">
        <v>80.219568</v>
      </c>
      <c r="F15497" s="1">
        <v>3143.0</v>
      </c>
      <c r="G15497" s="1">
        <v>43.0</v>
      </c>
    </row>
    <row r="15498">
      <c r="A15498" s="1" t="s">
        <v>8</v>
      </c>
      <c r="B15498" s="2">
        <v>44784.0</v>
      </c>
      <c r="C15498" s="3">
        <v>0.3039236111111111</v>
      </c>
      <c r="D15498" s="1">
        <v>13.063122</v>
      </c>
      <c r="E15498" s="1">
        <v>80.262134</v>
      </c>
      <c r="F15498" s="1">
        <v>805.0</v>
      </c>
      <c r="G15498" s="1">
        <v>37.0</v>
      </c>
    </row>
    <row r="15499">
      <c r="A15499" s="1" t="s">
        <v>10</v>
      </c>
      <c r="B15499" s="2">
        <v>44784.0</v>
      </c>
      <c r="C15499" s="3">
        <v>0.30421296296296296</v>
      </c>
      <c r="D15499" s="1">
        <v>13.071376</v>
      </c>
      <c r="E15499" s="1">
        <v>80.264872</v>
      </c>
      <c r="F15499" s="1">
        <v>5339.0</v>
      </c>
      <c r="G15499" s="1">
        <v>25.0</v>
      </c>
    </row>
    <row r="15500">
      <c r="A15500" s="1" t="s">
        <v>7</v>
      </c>
      <c r="B15500" s="2">
        <v>44784.0</v>
      </c>
      <c r="C15500" s="3">
        <v>0.3044212962962963</v>
      </c>
      <c r="D15500" s="1">
        <v>13.063666</v>
      </c>
      <c r="E15500" s="1">
        <v>80.264868</v>
      </c>
      <c r="F15500" s="1">
        <v>805.0</v>
      </c>
      <c r="G15500" s="1">
        <v>50.0</v>
      </c>
    </row>
    <row r="15501">
      <c r="A15501" s="1" t="s">
        <v>7</v>
      </c>
      <c r="B15501" s="2">
        <v>44784.0</v>
      </c>
      <c r="C15501" s="3">
        <v>0.3045023148148148</v>
      </c>
      <c r="D15501" s="1">
        <v>13.064562</v>
      </c>
      <c r="E15501" s="1">
        <v>80.265961</v>
      </c>
      <c r="F15501" s="1">
        <v>805.0</v>
      </c>
      <c r="G15501" s="1">
        <v>59.0</v>
      </c>
    </row>
    <row r="15502">
      <c r="A15502" s="1" t="s">
        <v>8</v>
      </c>
      <c r="B15502" s="2">
        <v>44784.0</v>
      </c>
      <c r="C15502" s="3">
        <v>0.30474537037037036</v>
      </c>
      <c r="D15502" s="1">
        <v>13.066032</v>
      </c>
      <c r="E15502" s="1">
        <v>80.267838</v>
      </c>
      <c r="F15502" s="1">
        <v>805.0</v>
      </c>
      <c r="G15502" s="1">
        <v>36.0</v>
      </c>
    </row>
    <row r="15503">
      <c r="A15503" s="1" t="s">
        <v>8</v>
      </c>
      <c r="B15503" s="2">
        <v>44784.0</v>
      </c>
      <c r="C15503" s="3">
        <v>0.3047916666666667</v>
      </c>
      <c r="D15503" s="1">
        <v>13.066721</v>
      </c>
      <c r="E15503" s="1">
        <v>80.268448</v>
      </c>
      <c r="F15503" s="1">
        <v>805.0</v>
      </c>
      <c r="G15503" s="1">
        <v>32.0</v>
      </c>
    </row>
    <row r="15504">
      <c r="A15504" s="1" t="s">
        <v>10</v>
      </c>
      <c r="B15504" s="2">
        <v>44784.0</v>
      </c>
      <c r="C15504" s="3">
        <v>0.30528935185185185</v>
      </c>
      <c r="D15504" s="1">
        <v>13.06876</v>
      </c>
      <c r="E15504" s="1">
        <v>80.26805</v>
      </c>
      <c r="F15504" s="1">
        <v>5339.0</v>
      </c>
      <c r="G15504" s="1">
        <v>23.0</v>
      </c>
    </row>
    <row r="15505">
      <c r="A15505" s="1" t="s">
        <v>8</v>
      </c>
      <c r="B15505" s="2">
        <v>44784.0</v>
      </c>
      <c r="C15505" s="3">
        <v>0.3055324074074074</v>
      </c>
      <c r="D15505" s="1">
        <v>13.06697</v>
      </c>
      <c r="E15505" s="1">
        <v>80.270199</v>
      </c>
      <c r="F15505" s="1">
        <v>805.0</v>
      </c>
      <c r="G15505" s="1">
        <v>47.0</v>
      </c>
    </row>
    <row r="15506">
      <c r="A15506" s="1" t="s">
        <v>8</v>
      </c>
      <c r="B15506" s="2">
        <v>44784.0</v>
      </c>
      <c r="C15506" s="3">
        <v>0.305625</v>
      </c>
      <c r="D15506" s="1">
        <v>13.068254</v>
      </c>
      <c r="E15506" s="1">
        <v>80.26998</v>
      </c>
      <c r="F15506" s="1">
        <v>5339.0</v>
      </c>
      <c r="G15506" s="1">
        <v>29.0</v>
      </c>
    </row>
    <row r="15507">
      <c r="A15507" s="1" t="s">
        <v>8</v>
      </c>
      <c r="B15507" s="2">
        <v>44784.0</v>
      </c>
      <c r="C15507" s="3">
        <v>0.3056365740740741</v>
      </c>
      <c r="D15507" s="1">
        <v>13.068254</v>
      </c>
      <c r="E15507" s="1">
        <v>80.26998</v>
      </c>
      <c r="F15507" s="1">
        <v>5339.0</v>
      </c>
      <c r="G15507" s="1">
        <v>29.0</v>
      </c>
    </row>
    <row r="15508">
      <c r="A15508" s="1" t="s">
        <v>8</v>
      </c>
      <c r="B15508" s="2">
        <v>44784.0</v>
      </c>
      <c r="C15508" s="3">
        <v>0.3056712962962963</v>
      </c>
      <c r="D15508" s="1">
        <v>13.068254</v>
      </c>
      <c r="E15508" s="1">
        <v>80.26998</v>
      </c>
      <c r="F15508" s="1">
        <v>5339.0</v>
      </c>
      <c r="G15508" s="1">
        <v>29.0</v>
      </c>
    </row>
    <row r="15509">
      <c r="A15509" s="1" t="s">
        <v>8</v>
      </c>
      <c r="B15509" s="2">
        <v>44784.0</v>
      </c>
      <c r="C15509" s="3">
        <v>0.30766203703703704</v>
      </c>
      <c r="D15509" s="1">
        <v>13.061954</v>
      </c>
      <c r="E15509" s="1">
        <v>80.266214</v>
      </c>
      <c r="F15509" s="1">
        <v>805.0</v>
      </c>
      <c r="G15509" s="1">
        <v>34.0</v>
      </c>
    </row>
    <row r="15510">
      <c r="A15510" s="1" t="s">
        <v>10</v>
      </c>
      <c r="B15510" s="2">
        <v>44784.0</v>
      </c>
      <c r="C15510" s="3">
        <v>0.30873842592592593</v>
      </c>
      <c r="D15510" s="1">
        <v>13.059011</v>
      </c>
      <c r="E15510" s="1">
        <v>80.274307</v>
      </c>
      <c r="F15510" s="1">
        <v>5339.0</v>
      </c>
      <c r="G15510" s="1">
        <v>17.0</v>
      </c>
    </row>
    <row r="15511">
      <c r="A15511" s="1" t="s">
        <v>10</v>
      </c>
      <c r="B15511" s="2">
        <v>44784.0</v>
      </c>
      <c r="C15511" s="3">
        <v>0.3103125</v>
      </c>
      <c r="D15511" s="1">
        <v>13.053008</v>
      </c>
      <c r="E15511" s="1">
        <v>80.27276</v>
      </c>
      <c r="F15511" s="1">
        <v>5339.0</v>
      </c>
      <c r="G15511" s="1">
        <v>28.0</v>
      </c>
    </row>
    <row r="15512">
      <c r="A15512" s="1" t="s">
        <v>7</v>
      </c>
      <c r="B15512" s="2">
        <v>44784.0</v>
      </c>
      <c r="C15512" s="3">
        <v>0.3126388888888889</v>
      </c>
      <c r="D15512" s="1">
        <v>12.653318</v>
      </c>
      <c r="E15512" s="1">
        <v>79.940115</v>
      </c>
      <c r="F15512" s="1">
        <v>2846.0</v>
      </c>
      <c r="G15512" s="1">
        <v>59.0</v>
      </c>
    </row>
    <row r="15513">
      <c r="A15513" s="1" t="s">
        <v>7</v>
      </c>
      <c r="B15513" s="2">
        <v>44784.0</v>
      </c>
      <c r="C15513" s="3">
        <v>0.31297453703703704</v>
      </c>
      <c r="D15513" s="1">
        <v>12.653318</v>
      </c>
      <c r="E15513" s="1">
        <v>79.940115</v>
      </c>
      <c r="F15513" s="1">
        <v>2846.0</v>
      </c>
      <c r="G15513" s="1">
        <v>59.0</v>
      </c>
    </row>
    <row r="15514">
      <c r="A15514" s="1" t="s">
        <v>8</v>
      </c>
      <c r="B15514" s="2">
        <v>44784.0</v>
      </c>
      <c r="C15514" s="3">
        <v>0.31332175925925926</v>
      </c>
      <c r="D15514" s="1">
        <v>12.658397</v>
      </c>
      <c r="E15514" s="1">
        <v>79.943738</v>
      </c>
      <c r="F15514" s="1">
        <v>2846.0</v>
      </c>
      <c r="G15514" s="1">
        <v>58.0</v>
      </c>
    </row>
    <row r="15515">
      <c r="A15515" s="1" t="s">
        <v>8</v>
      </c>
      <c r="B15515" s="2">
        <v>44784.0</v>
      </c>
      <c r="C15515" s="3">
        <v>0.3138773148148148</v>
      </c>
      <c r="D15515" s="1">
        <v>13.053336</v>
      </c>
      <c r="E15515" s="1">
        <v>80.2524</v>
      </c>
      <c r="F15515" s="1">
        <v>5339.0</v>
      </c>
      <c r="G15515" s="1">
        <v>45.0</v>
      </c>
    </row>
    <row r="15516">
      <c r="A15516" s="1" t="s">
        <v>8</v>
      </c>
      <c r="B15516" s="2">
        <v>44784.0</v>
      </c>
      <c r="C15516" s="3">
        <v>0.3153009259259259</v>
      </c>
      <c r="D15516" s="1">
        <v>13.04419</v>
      </c>
      <c r="E15516" s="1">
        <v>80.247967</v>
      </c>
      <c r="F15516" s="1">
        <v>5339.0</v>
      </c>
      <c r="G15516" s="1">
        <v>41.0</v>
      </c>
    </row>
    <row r="15517">
      <c r="A15517" s="1" t="s">
        <v>8</v>
      </c>
      <c r="B15517" s="2">
        <v>44784.0</v>
      </c>
      <c r="C15517" s="3">
        <v>0.3156597222222222</v>
      </c>
      <c r="D15517" s="1">
        <v>13.040847</v>
      </c>
      <c r="E15517" s="1">
        <v>80.247305</v>
      </c>
      <c r="F15517" s="1">
        <v>5339.0</v>
      </c>
      <c r="G15517" s="1">
        <v>41.0</v>
      </c>
    </row>
    <row r="15518">
      <c r="A15518" s="1" t="s">
        <v>8</v>
      </c>
      <c r="B15518" s="2">
        <v>44784.0</v>
      </c>
      <c r="C15518" s="3">
        <v>0.31612268518518516</v>
      </c>
      <c r="D15518" s="1">
        <v>12.665256</v>
      </c>
      <c r="E15518" s="1">
        <v>79.969248</v>
      </c>
      <c r="F15518" s="1">
        <v>2846.0</v>
      </c>
      <c r="G15518" s="1">
        <v>48.0</v>
      </c>
    </row>
    <row r="15519">
      <c r="A15519" s="1" t="s">
        <v>8</v>
      </c>
      <c r="B15519" s="2">
        <v>44784.0</v>
      </c>
      <c r="C15519" s="3">
        <v>0.3161921296296296</v>
      </c>
      <c r="D15519" s="1">
        <v>13.039322</v>
      </c>
      <c r="E15519" s="1">
        <v>80.247011</v>
      </c>
      <c r="F15519" s="1">
        <v>5339.0</v>
      </c>
      <c r="G15519" s="1">
        <v>26.0</v>
      </c>
    </row>
    <row r="15520">
      <c r="A15520" s="1" t="s">
        <v>8</v>
      </c>
      <c r="B15520" s="2">
        <v>44784.0</v>
      </c>
      <c r="C15520" s="3">
        <v>0.31710648148148146</v>
      </c>
      <c r="D15520" s="1">
        <v>13.034314</v>
      </c>
      <c r="E15520" s="1">
        <v>80.245059</v>
      </c>
      <c r="F15520" s="1">
        <v>5339.0</v>
      </c>
      <c r="G15520" s="1">
        <v>47.0</v>
      </c>
    </row>
    <row r="15521">
      <c r="A15521" s="1" t="s">
        <v>8</v>
      </c>
      <c r="B15521" s="2">
        <v>44784.0</v>
      </c>
      <c r="C15521" s="3">
        <v>0.3171527777777778</v>
      </c>
      <c r="D15521" s="1">
        <v>13.034314</v>
      </c>
      <c r="E15521" s="1">
        <v>80.245059</v>
      </c>
      <c r="F15521" s="1">
        <v>5339.0</v>
      </c>
      <c r="G15521" s="1">
        <v>47.0</v>
      </c>
    </row>
    <row r="15522">
      <c r="A15522" s="1" t="s">
        <v>8</v>
      </c>
      <c r="B15522" s="2">
        <v>44784.0</v>
      </c>
      <c r="C15522" s="3">
        <v>0.31810185185185186</v>
      </c>
      <c r="D15522" s="1">
        <v>12.675717</v>
      </c>
      <c r="E15522" s="1">
        <v>79.977879</v>
      </c>
      <c r="F15522" s="1">
        <v>2846.0</v>
      </c>
      <c r="G15522" s="1">
        <v>24.0</v>
      </c>
    </row>
    <row r="15523">
      <c r="A15523" s="1" t="s">
        <v>8</v>
      </c>
      <c r="B15523" s="2">
        <v>44784.0</v>
      </c>
      <c r="C15523" s="3">
        <v>0.3184606481481482</v>
      </c>
      <c r="D15523" s="1">
        <v>12.678732</v>
      </c>
      <c r="E15523" s="1">
        <v>79.980076</v>
      </c>
      <c r="F15523" s="1">
        <v>2846.0</v>
      </c>
      <c r="G15523" s="1">
        <v>35.0</v>
      </c>
    </row>
    <row r="15524">
      <c r="A15524" s="1" t="s">
        <v>8</v>
      </c>
      <c r="B15524" s="2">
        <v>44784.0</v>
      </c>
      <c r="C15524" s="3">
        <v>0.31859953703703703</v>
      </c>
      <c r="D15524" s="1">
        <v>13.030012</v>
      </c>
      <c r="E15524" s="1">
        <v>80.237972</v>
      </c>
      <c r="F15524" s="1">
        <v>5339.0</v>
      </c>
      <c r="G15524" s="1">
        <v>30.0</v>
      </c>
    </row>
    <row r="15525">
      <c r="A15525" s="1" t="s">
        <v>8</v>
      </c>
      <c r="B15525" s="2">
        <v>44784.0</v>
      </c>
      <c r="C15525" s="3">
        <v>0.31859953703703703</v>
      </c>
      <c r="D15525" s="1">
        <v>13.030012</v>
      </c>
      <c r="E15525" s="1">
        <v>80.237972</v>
      </c>
      <c r="F15525" s="1">
        <v>5339.0</v>
      </c>
      <c r="G15525" s="1">
        <v>30.0</v>
      </c>
    </row>
    <row r="15526">
      <c r="A15526" s="1" t="s">
        <v>8</v>
      </c>
      <c r="B15526" s="2">
        <v>44784.0</v>
      </c>
      <c r="C15526" s="3">
        <v>0.31876157407407407</v>
      </c>
      <c r="D15526" s="1">
        <v>13.029628</v>
      </c>
      <c r="E15526" s="1">
        <v>80.237367</v>
      </c>
      <c r="F15526" s="1">
        <v>5339.0</v>
      </c>
      <c r="G15526" s="1">
        <v>31.0</v>
      </c>
    </row>
    <row r="15527">
      <c r="A15527" s="1" t="s">
        <v>8</v>
      </c>
      <c r="B15527" s="2">
        <v>44784.0</v>
      </c>
      <c r="C15527" s="3">
        <v>0.3193287037037037</v>
      </c>
      <c r="D15527" s="1">
        <v>13.027594</v>
      </c>
      <c r="E15527" s="1">
        <v>80.234772</v>
      </c>
      <c r="F15527" s="1">
        <v>5339.0</v>
      </c>
      <c r="G15527" s="1">
        <v>48.0</v>
      </c>
    </row>
    <row r="15528">
      <c r="A15528" s="1" t="s">
        <v>8</v>
      </c>
      <c r="B15528" s="2">
        <v>44784.0</v>
      </c>
      <c r="C15528" s="3">
        <v>0.31953703703703706</v>
      </c>
      <c r="D15528" s="1">
        <v>13.026013</v>
      </c>
      <c r="E15528" s="1">
        <v>80.231586</v>
      </c>
      <c r="F15528" s="1">
        <v>5339.0</v>
      </c>
      <c r="G15528" s="1">
        <v>23.0</v>
      </c>
    </row>
    <row r="15529">
      <c r="A15529" s="1" t="s">
        <v>8</v>
      </c>
      <c r="B15529" s="2">
        <v>44784.0</v>
      </c>
      <c r="C15529" s="3">
        <v>0.3195486111111111</v>
      </c>
      <c r="D15529" s="1">
        <v>13.026013</v>
      </c>
      <c r="E15529" s="1">
        <v>80.231586</v>
      </c>
      <c r="F15529" s="1">
        <v>5339.0</v>
      </c>
      <c r="G15529" s="1">
        <v>23.0</v>
      </c>
    </row>
    <row r="15530">
      <c r="A15530" s="1" t="s">
        <v>8</v>
      </c>
      <c r="B15530" s="2">
        <v>44784.0</v>
      </c>
      <c r="C15530" s="3">
        <v>0.3195949074074074</v>
      </c>
      <c r="D15530" s="1">
        <v>13.025813</v>
      </c>
      <c r="E15530" s="1">
        <v>80.230908</v>
      </c>
      <c r="F15530" s="1">
        <v>5339.0</v>
      </c>
      <c r="G15530" s="1">
        <v>31.0</v>
      </c>
    </row>
    <row r="15531">
      <c r="A15531" s="1" t="s">
        <v>8</v>
      </c>
      <c r="B15531" s="2">
        <v>44784.0</v>
      </c>
      <c r="C15531" s="3">
        <v>0.3201273148148148</v>
      </c>
      <c r="D15531" s="1">
        <v>12.685305</v>
      </c>
      <c r="E15531" s="1">
        <v>79.983458</v>
      </c>
      <c r="F15531" s="1">
        <v>2846.0</v>
      </c>
      <c r="G15531" s="1">
        <v>40.0</v>
      </c>
    </row>
    <row r="15532">
      <c r="A15532" s="1" t="s">
        <v>8</v>
      </c>
      <c r="B15532" s="2">
        <v>44784.0</v>
      </c>
      <c r="C15532" s="3">
        <v>0.3204050925925926</v>
      </c>
      <c r="D15532" s="1">
        <v>13.02153</v>
      </c>
      <c r="E15532" s="1">
        <v>80.225977</v>
      </c>
      <c r="F15532" s="1">
        <v>5339.0</v>
      </c>
      <c r="G15532" s="1">
        <v>45.0</v>
      </c>
    </row>
    <row r="15533">
      <c r="A15533" s="1" t="s">
        <v>8</v>
      </c>
      <c r="B15533" s="2">
        <v>44784.0</v>
      </c>
      <c r="C15533" s="3">
        <v>0.32112268518518516</v>
      </c>
      <c r="D15533" s="1">
        <v>13.018326</v>
      </c>
      <c r="E15533" s="1">
        <v>80.224727</v>
      </c>
      <c r="F15533" s="1">
        <v>5339.0</v>
      </c>
      <c r="G15533" s="1">
        <v>48.0</v>
      </c>
    </row>
    <row r="15534">
      <c r="A15534" s="1" t="s">
        <v>10</v>
      </c>
      <c r="B15534" s="2">
        <v>44784.0</v>
      </c>
      <c r="C15534" s="3">
        <v>0.32133101851851853</v>
      </c>
      <c r="D15534" s="1">
        <v>12.690456</v>
      </c>
      <c r="E15534" s="1">
        <v>79.980534</v>
      </c>
      <c r="F15534" s="1">
        <v>2846.0</v>
      </c>
      <c r="G15534" s="1">
        <v>9.0</v>
      </c>
    </row>
    <row r="15535">
      <c r="A15535" s="1" t="s">
        <v>10</v>
      </c>
      <c r="B15535" s="2">
        <v>44784.0</v>
      </c>
      <c r="C15535" s="3">
        <v>0.3215625</v>
      </c>
      <c r="D15535" s="1">
        <v>12.965266</v>
      </c>
      <c r="E15535" s="1">
        <v>80.206979</v>
      </c>
      <c r="F15535" s="1">
        <v>3143.0</v>
      </c>
      <c r="G15535" s="1">
        <v>0.0</v>
      </c>
    </row>
    <row r="15536">
      <c r="A15536" s="1" t="s">
        <v>10</v>
      </c>
      <c r="B15536" s="2">
        <v>44784.0</v>
      </c>
      <c r="C15536" s="3">
        <v>0.3216203703703704</v>
      </c>
      <c r="D15536" s="1">
        <v>12.690456</v>
      </c>
      <c r="E15536" s="1">
        <v>79.980534</v>
      </c>
      <c r="F15536" s="1">
        <v>2846.0</v>
      </c>
      <c r="G15536" s="1">
        <v>9.0</v>
      </c>
    </row>
    <row r="15537">
      <c r="A15537" s="1" t="s">
        <v>7</v>
      </c>
      <c r="B15537" s="2">
        <v>44784.0</v>
      </c>
      <c r="C15537" s="3">
        <v>0.32210648148148147</v>
      </c>
      <c r="D15537" s="1">
        <v>13.011487</v>
      </c>
      <c r="E15537" s="1">
        <v>80.227366</v>
      </c>
      <c r="F15537" s="1">
        <v>5339.0</v>
      </c>
      <c r="G15537" s="1">
        <v>55.0</v>
      </c>
    </row>
    <row r="15538">
      <c r="A15538" s="1" t="s">
        <v>8</v>
      </c>
      <c r="B15538" s="2">
        <v>44784.0</v>
      </c>
      <c r="C15538" s="3">
        <v>0.32225694444444447</v>
      </c>
      <c r="D15538" s="1">
        <v>13.009482</v>
      </c>
      <c r="E15538" s="1">
        <v>80.22769</v>
      </c>
      <c r="F15538" s="1">
        <v>5339.0</v>
      </c>
      <c r="G15538" s="1">
        <v>21.0</v>
      </c>
    </row>
    <row r="15539">
      <c r="A15539" s="1" t="s">
        <v>8</v>
      </c>
      <c r="B15539" s="2">
        <v>44784.0</v>
      </c>
      <c r="C15539" s="3">
        <v>0.32233796296296297</v>
      </c>
      <c r="D15539" s="1">
        <v>12.693433</v>
      </c>
      <c r="E15539" s="1">
        <v>79.979388</v>
      </c>
      <c r="F15539" s="1">
        <v>2846.0</v>
      </c>
      <c r="G15539" s="1">
        <v>38.0</v>
      </c>
    </row>
    <row r="15540">
      <c r="A15540" s="1" t="s">
        <v>8</v>
      </c>
      <c r="B15540" s="2">
        <v>44784.0</v>
      </c>
      <c r="C15540" s="3">
        <v>0.3226851851851852</v>
      </c>
      <c r="D15540" s="1">
        <v>13.010842</v>
      </c>
      <c r="E15540" s="1">
        <v>80.224714</v>
      </c>
      <c r="F15540" s="1">
        <v>5339.0</v>
      </c>
      <c r="G15540" s="1">
        <v>46.0</v>
      </c>
    </row>
    <row r="15541">
      <c r="A15541" s="1" t="s">
        <v>8</v>
      </c>
      <c r="B15541" s="2">
        <v>44784.0</v>
      </c>
      <c r="C15541" s="3">
        <v>0.3227199074074074</v>
      </c>
      <c r="D15541" s="1">
        <v>13.011262</v>
      </c>
      <c r="E15541" s="1">
        <v>80.223696</v>
      </c>
      <c r="F15541" s="1">
        <v>5339.0</v>
      </c>
      <c r="G15541" s="1">
        <v>42.0</v>
      </c>
    </row>
    <row r="15542">
      <c r="A15542" s="1" t="s">
        <v>10</v>
      </c>
      <c r="B15542" s="2">
        <v>44784.0</v>
      </c>
      <c r="C15542" s="3">
        <v>0.3233333333333333</v>
      </c>
      <c r="D15542" s="1">
        <v>12.96487</v>
      </c>
      <c r="E15542" s="1">
        <v>80.198588</v>
      </c>
      <c r="F15542" s="1">
        <v>3143.0</v>
      </c>
      <c r="G15542" s="1">
        <v>32.0</v>
      </c>
    </row>
    <row r="15543">
      <c r="A15543" s="1" t="s">
        <v>8</v>
      </c>
      <c r="B15543" s="2">
        <v>44784.0</v>
      </c>
      <c r="C15543" s="3">
        <v>0.3234375</v>
      </c>
      <c r="D15543" s="1">
        <v>12.696935</v>
      </c>
      <c r="E15543" s="1">
        <v>79.976717</v>
      </c>
      <c r="F15543" s="1">
        <v>2846.0</v>
      </c>
      <c r="G15543" s="1">
        <v>21.0</v>
      </c>
    </row>
    <row r="15544">
      <c r="A15544" s="1" t="s">
        <v>8</v>
      </c>
      <c r="B15544" s="2">
        <v>44784.0</v>
      </c>
      <c r="C15544" s="3">
        <v>0.3236689814814815</v>
      </c>
      <c r="D15544" s="1">
        <v>13.011133</v>
      </c>
      <c r="E15544" s="1">
        <v>80.217794</v>
      </c>
      <c r="F15544" s="1">
        <v>5339.0</v>
      </c>
      <c r="G15544" s="1">
        <v>43.0</v>
      </c>
    </row>
    <row r="15545">
      <c r="A15545" s="1" t="s">
        <v>8</v>
      </c>
      <c r="B15545" s="2">
        <v>44784.0</v>
      </c>
      <c r="C15545" s="3">
        <v>0.3242824074074074</v>
      </c>
      <c r="D15545" s="1">
        <v>13.00666</v>
      </c>
      <c r="E15545" s="1">
        <v>80.248295</v>
      </c>
      <c r="F15545" s="1">
        <v>805.0</v>
      </c>
      <c r="G15545" s="1">
        <v>29.0</v>
      </c>
    </row>
    <row r="15546">
      <c r="A15546" s="1" t="s">
        <v>8</v>
      </c>
      <c r="B15546" s="2">
        <v>44784.0</v>
      </c>
      <c r="C15546" s="3">
        <v>0.3244675925925926</v>
      </c>
      <c r="D15546" s="1">
        <v>13.008951</v>
      </c>
      <c r="E15546" s="1">
        <v>80.211763</v>
      </c>
      <c r="F15546" s="1">
        <v>5339.0</v>
      </c>
      <c r="G15546" s="1">
        <v>31.0</v>
      </c>
    </row>
    <row r="15547">
      <c r="A15547" s="1" t="s">
        <v>8</v>
      </c>
      <c r="B15547" s="2">
        <v>44784.0</v>
      </c>
      <c r="C15547" s="3">
        <v>0.324525462962963</v>
      </c>
      <c r="D15547" s="1">
        <v>13.008951</v>
      </c>
      <c r="E15547" s="1">
        <v>80.211763</v>
      </c>
      <c r="F15547" s="1">
        <v>5339.0</v>
      </c>
      <c r="G15547" s="1">
        <v>31.0</v>
      </c>
    </row>
    <row r="15548">
      <c r="A15548" s="1" t="s">
        <v>8</v>
      </c>
      <c r="B15548" s="2">
        <v>44784.0</v>
      </c>
      <c r="C15548" s="3">
        <v>0.32481481481481483</v>
      </c>
      <c r="D15548" s="1">
        <v>12.698329</v>
      </c>
      <c r="E15548" s="1">
        <v>79.970474</v>
      </c>
      <c r="F15548" s="1">
        <v>2846.0</v>
      </c>
      <c r="G15548" s="1">
        <v>32.0</v>
      </c>
    </row>
    <row r="15549">
      <c r="A15549" s="1" t="s">
        <v>8</v>
      </c>
      <c r="B15549" s="2">
        <v>44784.0</v>
      </c>
      <c r="C15549" s="3">
        <v>0.32579861111111114</v>
      </c>
      <c r="D15549" s="1">
        <v>13.005511</v>
      </c>
      <c r="E15549" s="1">
        <v>80.201997</v>
      </c>
      <c r="F15549" s="1">
        <v>5339.0</v>
      </c>
      <c r="G15549" s="1">
        <v>37.0</v>
      </c>
    </row>
    <row r="15550">
      <c r="A15550" s="1" t="s">
        <v>8</v>
      </c>
      <c r="B15550" s="2">
        <v>44784.0</v>
      </c>
      <c r="C15550" s="3">
        <v>0.3259375</v>
      </c>
      <c r="D15550" s="1">
        <v>13.004707</v>
      </c>
      <c r="E15550" s="1">
        <v>80.201336</v>
      </c>
      <c r="F15550" s="1">
        <v>5339.0</v>
      </c>
      <c r="G15550" s="1">
        <v>40.0</v>
      </c>
    </row>
    <row r="15551">
      <c r="A15551" s="1" t="s">
        <v>8</v>
      </c>
      <c r="B15551" s="2">
        <v>44784.0</v>
      </c>
      <c r="C15551" s="3">
        <v>0.3260763888888889</v>
      </c>
      <c r="D15551" s="1">
        <v>13.002979</v>
      </c>
      <c r="E15551" s="1">
        <v>80.200794</v>
      </c>
      <c r="F15551" s="1">
        <v>5339.0</v>
      </c>
      <c r="G15551" s="1">
        <v>30.0</v>
      </c>
    </row>
    <row r="15552">
      <c r="A15552" s="1" t="s">
        <v>8</v>
      </c>
      <c r="B15552" s="2">
        <v>44784.0</v>
      </c>
      <c r="C15552" s="3">
        <v>0.3261921296296296</v>
      </c>
      <c r="D15552" s="1">
        <v>13.00233</v>
      </c>
      <c r="E15552" s="1">
        <v>80.200535</v>
      </c>
      <c r="F15552" s="1">
        <v>5339.0</v>
      </c>
      <c r="G15552" s="1">
        <v>25.0</v>
      </c>
    </row>
    <row r="15553">
      <c r="A15553" s="1" t="s">
        <v>8</v>
      </c>
      <c r="B15553" s="2">
        <v>44784.0</v>
      </c>
      <c r="C15553" s="3">
        <v>0.3261921296296296</v>
      </c>
      <c r="D15553" s="1">
        <v>13.00233</v>
      </c>
      <c r="E15553" s="1">
        <v>80.200535</v>
      </c>
      <c r="F15553" s="1">
        <v>5339.0</v>
      </c>
      <c r="G15553" s="1">
        <v>25.0</v>
      </c>
    </row>
    <row r="15554">
      <c r="A15554" s="1" t="s">
        <v>8</v>
      </c>
      <c r="B15554" s="2">
        <v>44784.0</v>
      </c>
      <c r="C15554" s="3">
        <v>0.3262037037037037</v>
      </c>
      <c r="D15554" s="1">
        <v>13.00233</v>
      </c>
      <c r="E15554" s="1">
        <v>80.200535</v>
      </c>
      <c r="F15554" s="1">
        <v>5339.0</v>
      </c>
      <c r="G15554" s="1">
        <v>25.0</v>
      </c>
    </row>
    <row r="15555">
      <c r="A15555" s="1" t="s">
        <v>8</v>
      </c>
      <c r="B15555" s="2">
        <v>44784.0</v>
      </c>
      <c r="C15555" s="3">
        <v>0.32625</v>
      </c>
      <c r="D15555" s="1">
        <v>13.00233</v>
      </c>
      <c r="E15555" s="1">
        <v>80.200535</v>
      </c>
      <c r="F15555" s="1">
        <v>5339.0</v>
      </c>
      <c r="G15555" s="1">
        <v>25.0</v>
      </c>
    </row>
    <row r="15556">
      <c r="A15556" s="1" t="s">
        <v>7</v>
      </c>
      <c r="B15556" s="2">
        <v>44784.0</v>
      </c>
      <c r="C15556" s="3">
        <v>0.326400462962963</v>
      </c>
      <c r="D15556" s="1">
        <v>13.007378</v>
      </c>
      <c r="E15556" s="1">
        <v>80.237481</v>
      </c>
      <c r="F15556" s="1">
        <v>805.0</v>
      </c>
      <c r="G15556" s="1">
        <v>41.0</v>
      </c>
    </row>
    <row r="15557">
      <c r="A15557" s="1" t="s">
        <v>9</v>
      </c>
      <c r="B15557" s="2">
        <v>44784.0</v>
      </c>
      <c r="C15557" s="3">
        <v>0.3265046296296296</v>
      </c>
      <c r="D15557" s="1">
        <v>13.007623</v>
      </c>
      <c r="E15557" s="1">
        <v>80.236273</v>
      </c>
      <c r="F15557" s="1">
        <v>805.0</v>
      </c>
      <c r="G15557" s="1">
        <v>52.0</v>
      </c>
    </row>
    <row r="15558">
      <c r="A15558" s="1" t="s">
        <v>10</v>
      </c>
      <c r="B15558" s="2">
        <v>44784.0</v>
      </c>
      <c r="C15558" s="3">
        <v>0.3265162037037037</v>
      </c>
      <c r="D15558" s="1">
        <v>12.964636</v>
      </c>
      <c r="E15558" s="1">
        <v>80.188144</v>
      </c>
      <c r="F15558" s="1">
        <v>3143.0</v>
      </c>
      <c r="G15558" s="1">
        <v>12.0</v>
      </c>
    </row>
    <row r="15559">
      <c r="A15559" s="1" t="s">
        <v>7</v>
      </c>
      <c r="B15559" s="2">
        <v>44784.0</v>
      </c>
      <c r="C15559" s="3">
        <v>0.3268402777777778</v>
      </c>
      <c r="D15559" s="1">
        <v>12.707462</v>
      </c>
      <c r="E15559" s="1">
        <v>79.976303</v>
      </c>
      <c r="F15559" s="1">
        <v>2846.0</v>
      </c>
      <c r="G15559" s="1">
        <v>60.0</v>
      </c>
    </row>
    <row r="15560">
      <c r="A15560" s="1" t="s">
        <v>7</v>
      </c>
      <c r="B15560" s="2">
        <v>44784.0</v>
      </c>
      <c r="C15560" s="3">
        <v>0.32685185185185184</v>
      </c>
      <c r="D15560" s="1">
        <v>13.008442</v>
      </c>
      <c r="E15560" s="1">
        <v>80.232117</v>
      </c>
      <c r="F15560" s="1">
        <v>805.0</v>
      </c>
      <c r="G15560" s="1">
        <v>57.0</v>
      </c>
    </row>
    <row r="15561">
      <c r="A15561" s="1" t="s">
        <v>8</v>
      </c>
      <c r="B15561" s="2">
        <v>44784.0</v>
      </c>
      <c r="C15561" s="3">
        <v>0.3269444444444444</v>
      </c>
      <c r="D15561" s="1">
        <v>12.707462</v>
      </c>
      <c r="E15561" s="1">
        <v>79.976303</v>
      </c>
      <c r="F15561" s="1">
        <v>2846.0</v>
      </c>
      <c r="G15561" s="1">
        <v>60.0</v>
      </c>
    </row>
    <row r="15562">
      <c r="A15562" s="1" t="s">
        <v>7</v>
      </c>
      <c r="B15562" s="2">
        <v>44784.0</v>
      </c>
      <c r="C15562" s="3">
        <v>0.32710648148148147</v>
      </c>
      <c r="D15562" s="1">
        <v>13.009013</v>
      </c>
      <c r="E15562" s="1">
        <v>80.229192</v>
      </c>
      <c r="F15562" s="1">
        <v>805.0</v>
      </c>
      <c r="G15562" s="1">
        <v>57.0</v>
      </c>
    </row>
    <row r="15563">
      <c r="A15563" s="1" t="s">
        <v>8</v>
      </c>
      <c r="B15563" s="2">
        <v>44784.0</v>
      </c>
      <c r="C15563" s="3">
        <v>0.32731481481481484</v>
      </c>
      <c r="D15563" s="1">
        <v>13.001212</v>
      </c>
      <c r="E15563" s="1">
        <v>80.195779</v>
      </c>
      <c r="F15563" s="1">
        <v>5339.0</v>
      </c>
      <c r="G15563" s="1">
        <v>26.0</v>
      </c>
    </row>
    <row r="15564">
      <c r="A15564" s="1" t="s">
        <v>8</v>
      </c>
      <c r="B15564" s="2">
        <v>44784.0</v>
      </c>
      <c r="C15564" s="3">
        <v>0.32731481481481484</v>
      </c>
      <c r="D15564" s="1">
        <v>13.010018</v>
      </c>
      <c r="E15564" s="1">
        <v>80.226412</v>
      </c>
      <c r="F15564" s="1">
        <v>805.0</v>
      </c>
      <c r="G15564" s="1">
        <v>55.0</v>
      </c>
    </row>
    <row r="15565">
      <c r="A15565" s="1" t="s">
        <v>7</v>
      </c>
      <c r="B15565" s="2">
        <v>44784.0</v>
      </c>
      <c r="C15565" s="3">
        <v>0.32734953703703706</v>
      </c>
      <c r="D15565" s="1">
        <v>12.711138</v>
      </c>
      <c r="E15565" s="1">
        <v>79.978463</v>
      </c>
      <c r="F15565" s="1">
        <v>2846.0</v>
      </c>
      <c r="G15565" s="1">
        <v>50.0</v>
      </c>
    </row>
    <row r="15566">
      <c r="A15566" s="1" t="s">
        <v>8</v>
      </c>
      <c r="B15566" s="2">
        <v>44784.0</v>
      </c>
      <c r="C15566" s="3">
        <v>0.3273611111111111</v>
      </c>
      <c r="D15566" s="1">
        <v>12.711138</v>
      </c>
      <c r="E15566" s="1">
        <v>79.978463</v>
      </c>
      <c r="F15566" s="1">
        <v>2846.0</v>
      </c>
      <c r="G15566" s="1">
        <v>50.0</v>
      </c>
    </row>
    <row r="15567">
      <c r="A15567" s="1" t="s">
        <v>10</v>
      </c>
      <c r="B15567" s="2">
        <v>44784.0</v>
      </c>
      <c r="C15567" s="3">
        <v>0.32756944444444447</v>
      </c>
      <c r="D15567" s="1">
        <v>12.961916</v>
      </c>
      <c r="E15567" s="1">
        <v>80.187452</v>
      </c>
      <c r="F15567" s="1">
        <v>3143.0</v>
      </c>
      <c r="G15567" s="1">
        <v>18.0</v>
      </c>
    </row>
    <row r="15568">
      <c r="A15568" s="1" t="s">
        <v>7</v>
      </c>
      <c r="B15568" s="2">
        <v>44784.0</v>
      </c>
      <c r="C15568" s="3">
        <v>0.3279976851851852</v>
      </c>
      <c r="D15568" s="1">
        <v>12.998499</v>
      </c>
      <c r="E15568" s="1">
        <v>80.192339</v>
      </c>
      <c r="F15568" s="1">
        <v>5339.0</v>
      </c>
      <c r="G15568" s="1">
        <v>26.0</v>
      </c>
    </row>
    <row r="15569">
      <c r="A15569" s="1" t="s">
        <v>8</v>
      </c>
      <c r="B15569" s="2">
        <v>44784.0</v>
      </c>
      <c r="C15569" s="3">
        <v>0.3284259259259259</v>
      </c>
      <c r="D15569" s="1">
        <v>13.011893</v>
      </c>
      <c r="E15569" s="1">
        <v>80.22007</v>
      </c>
      <c r="F15569" s="1">
        <v>805.0</v>
      </c>
      <c r="G15569" s="1">
        <v>45.0</v>
      </c>
    </row>
    <row r="15570">
      <c r="A15570" s="1" t="s">
        <v>7</v>
      </c>
      <c r="B15570" s="2">
        <v>44784.0</v>
      </c>
      <c r="C15570" s="3">
        <v>0.32891203703703703</v>
      </c>
      <c r="D15570" s="1">
        <v>13.010144</v>
      </c>
      <c r="E15570" s="1">
        <v>80.215208</v>
      </c>
      <c r="F15570" s="1">
        <v>805.0</v>
      </c>
      <c r="G15570" s="1">
        <v>54.0</v>
      </c>
    </row>
    <row r="15571">
      <c r="A15571" s="1" t="s">
        <v>8</v>
      </c>
      <c r="B15571" s="2">
        <v>44784.0</v>
      </c>
      <c r="C15571" s="3">
        <v>0.329375</v>
      </c>
      <c r="D15571" s="1">
        <v>12.992421</v>
      </c>
      <c r="E15571" s="1">
        <v>80.182789</v>
      </c>
      <c r="F15571" s="1">
        <v>5339.0</v>
      </c>
      <c r="G15571" s="1">
        <v>46.0</v>
      </c>
    </row>
    <row r="15572">
      <c r="A15572" s="1" t="s">
        <v>7</v>
      </c>
      <c r="B15572" s="2">
        <v>44784.0</v>
      </c>
      <c r="C15572" s="3">
        <v>0.3298726851851852</v>
      </c>
      <c r="D15572" s="1">
        <v>12.729766</v>
      </c>
      <c r="E15572" s="1">
        <v>79.982713</v>
      </c>
      <c r="F15572" s="1">
        <v>2846.0</v>
      </c>
      <c r="G15572" s="1">
        <v>57.0</v>
      </c>
    </row>
    <row r="15573">
      <c r="A15573" s="1" t="s">
        <v>8</v>
      </c>
      <c r="B15573" s="2">
        <v>44784.0</v>
      </c>
      <c r="C15573" s="3">
        <v>0.3299768518518518</v>
      </c>
      <c r="D15573" s="1">
        <v>12.729766</v>
      </c>
      <c r="E15573" s="1">
        <v>79.982713</v>
      </c>
      <c r="F15573" s="1">
        <v>2846.0</v>
      </c>
      <c r="G15573" s="1">
        <v>57.0</v>
      </c>
    </row>
    <row r="15574">
      <c r="A15574" s="1" t="s">
        <v>8</v>
      </c>
      <c r="B15574" s="2">
        <v>44784.0</v>
      </c>
      <c r="C15574" s="3">
        <v>0.3306134259259259</v>
      </c>
      <c r="D15574" s="1">
        <v>12.98734</v>
      </c>
      <c r="E15574" s="1">
        <v>80.175999</v>
      </c>
      <c r="F15574" s="1">
        <v>5339.0</v>
      </c>
      <c r="G15574" s="1">
        <v>33.0</v>
      </c>
    </row>
    <row r="15575">
      <c r="A15575" s="1" t="s">
        <v>8</v>
      </c>
      <c r="B15575" s="2">
        <v>44784.0</v>
      </c>
      <c r="C15575" s="3">
        <v>0.33064814814814814</v>
      </c>
      <c r="D15575" s="1">
        <v>12.98734</v>
      </c>
      <c r="E15575" s="1">
        <v>80.175999</v>
      </c>
      <c r="F15575" s="1">
        <v>5339.0</v>
      </c>
      <c r="G15575" s="1">
        <v>33.0</v>
      </c>
    </row>
    <row r="15576">
      <c r="A15576" s="1" t="s">
        <v>8</v>
      </c>
      <c r="B15576" s="2">
        <v>44784.0</v>
      </c>
      <c r="C15576" s="3">
        <v>0.3307986111111111</v>
      </c>
      <c r="D15576" s="1">
        <v>12.986898</v>
      </c>
      <c r="E15576" s="1">
        <v>80.175359</v>
      </c>
      <c r="F15576" s="1">
        <v>5339.0</v>
      </c>
      <c r="G15576" s="1">
        <v>29.0</v>
      </c>
    </row>
    <row r="15577">
      <c r="A15577" s="1" t="s">
        <v>8</v>
      </c>
      <c r="B15577" s="2">
        <v>44784.0</v>
      </c>
      <c r="C15577" s="3">
        <v>0.33087962962962963</v>
      </c>
      <c r="D15577" s="1">
        <v>12.986486</v>
      </c>
      <c r="E15577" s="1">
        <v>80.174794</v>
      </c>
      <c r="F15577" s="1">
        <v>5339.0</v>
      </c>
      <c r="G15577" s="1">
        <v>29.0</v>
      </c>
    </row>
    <row r="15578">
      <c r="A15578" s="1" t="s">
        <v>8</v>
      </c>
      <c r="B15578" s="2">
        <v>44784.0</v>
      </c>
      <c r="C15578" s="3">
        <v>0.33087962962962963</v>
      </c>
      <c r="D15578" s="1">
        <v>13.001723</v>
      </c>
      <c r="E15578" s="1">
        <v>80.199426</v>
      </c>
      <c r="F15578" s="1">
        <v>805.0</v>
      </c>
      <c r="G15578" s="1">
        <v>44.0</v>
      </c>
    </row>
    <row r="15579">
      <c r="A15579" s="1" t="s">
        <v>8</v>
      </c>
      <c r="B15579" s="2">
        <v>44784.0</v>
      </c>
      <c r="C15579" s="3">
        <v>0.33091435185185186</v>
      </c>
      <c r="D15579" s="1">
        <v>12.986486</v>
      </c>
      <c r="E15579" s="1">
        <v>80.174794</v>
      </c>
      <c r="F15579" s="1">
        <v>5339.0</v>
      </c>
      <c r="G15579" s="1">
        <v>29.0</v>
      </c>
    </row>
    <row r="15580">
      <c r="A15580" s="1" t="s">
        <v>7</v>
      </c>
      <c r="B15580" s="2">
        <v>44784.0</v>
      </c>
      <c r="C15580" s="3">
        <v>0.3311574074074074</v>
      </c>
      <c r="D15580" s="1">
        <v>12.740922</v>
      </c>
      <c r="E15580" s="1">
        <v>79.99043</v>
      </c>
      <c r="F15580" s="1">
        <v>2846.0</v>
      </c>
      <c r="G15580" s="1">
        <v>56.0</v>
      </c>
    </row>
    <row r="15581">
      <c r="A15581" s="1" t="s">
        <v>8</v>
      </c>
      <c r="B15581" s="2">
        <v>44784.0</v>
      </c>
      <c r="C15581" s="3">
        <v>0.33121527777777776</v>
      </c>
      <c r="D15581" s="1">
        <v>12.984902</v>
      </c>
      <c r="E15581" s="1">
        <v>80.172496</v>
      </c>
      <c r="F15581" s="1">
        <v>5339.0</v>
      </c>
      <c r="G15581" s="1">
        <v>39.0</v>
      </c>
    </row>
    <row r="15582">
      <c r="A15582" s="1" t="s">
        <v>8</v>
      </c>
      <c r="B15582" s="2">
        <v>44784.0</v>
      </c>
      <c r="C15582" s="3">
        <v>0.331875</v>
      </c>
      <c r="D15582" s="1">
        <v>13.000296</v>
      </c>
      <c r="E15582" s="1">
        <v>80.194563</v>
      </c>
      <c r="F15582" s="1">
        <v>805.0</v>
      </c>
      <c r="G15582" s="1">
        <v>47.0</v>
      </c>
    </row>
    <row r="15583">
      <c r="A15583" s="1" t="s">
        <v>7</v>
      </c>
      <c r="B15583" s="2">
        <v>44784.0</v>
      </c>
      <c r="C15583" s="3">
        <v>0.3321064814814815</v>
      </c>
      <c r="D15583" s="1">
        <v>12.998834</v>
      </c>
      <c r="E15583" s="1">
        <v>80.1927</v>
      </c>
      <c r="F15583" s="1">
        <v>805.0</v>
      </c>
      <c r="G15583" s="1">
        <v>44.0</v>
      </c>
    </row>
    <row r="15584">
      <c r="A15584" s="1" t="s">
        <v>8</v>
      </c>
      <c r="B15584" s="2">
        <v>44784.0</v>
      </c>
      <c r="C15584" s="3">
        <v>0.33266203703703706</v>
      </c>
      <c r="D15584" s="1">
        <v>12.995871</v>
      </c>
      <c r="E15584" s="1">
        <v>80.189348</v>
      </c>
      <c r="F15584" s="1">
        <v>805.0</v>
      </c>
      <c r="G15584" s="1">
        <v>20.0</v>
      </c>
    </row>
    <row r="15585">
      <c r="A15585" s="1" t="s">
        <v>8</v>
      </c>
      <c r="B15585" s="2">
        <v>44784.0</v>
      </c>
      <c r="C15585" s="3">
        <v>0.3327199074074074</v>
      </c>
      <c r="D15585" s="1">
        <v>12.995516</v>
      </c>
      <c r="E15585" s="1">
        <v>80.188656</v>
      </c>
      <c r="F15585" s="1">
        <v>805.0</v>
      </c>
      <c r="G15585" s="1">
        <v>33.0</v>
      </c>
    </row>
    <row r="15586">
      <c r="A15586" s="1" t="s">
        <v>9</v>
      </c>
      <c r="B15586" s="2">
        <v>44784.0</v>
      </c>
      <c r="C15586" s="3">
        <v>0.33305555555555555</v>
      </c>
      <c r="D15586" s="1">
        <v>12.994177</v>
      </c>
      <c r="E15586" s="1">
        <v>80.18593</v>
      </c>
      <c r="F15586" s="1">
        <v>805.0</v>
      </c>
      <c r="G15586" s="1">
        <v>34.0</v>
      </c>
    </row>
    <row r="15587">
      <c r="A15587" s="1" t="s">
        <v>8</v>
      </c>
      <c r="B15587" s="2">
        <v>44784.0</v>
      </c>
      <c r="C15587" s="3">
        <v>0.33306712962962964</v>
      </c>
      <c r="D15587" s="1">
        <v>12.976262</v>
      </c>
      <c r="E15587" s="1">
        <v>80.15746</v>
      </c>
      <c r="F15587" s="1">
        <v>5339.0</v>
      </c>
      <c r="G15587" s="1">
        <v>44.0</v>
      </c>
    </row>
    <row r="15588">
      <c r="A15588" s="1" t="s">
        <v>7</v>
      </c>
      <c r="B15588" s="2">
        <v>44784.0</v>
      </c>
      <c r="C15588" s="3">
        <v>0.3330902777777778</v>
      </c>
      <c r="D15588" s="1">
        <v>12.751458</v>
      </c>
      <c r="E15588" s="1">
        <v>79.998866</v>
      </c>
      <c r="F15588" s="1">
        <v>2846.0</v>
      </c>
      <c r="G15588" s="1">
        <v>57.0</v>
      </c>
    </row>
    <row r="15589">
      <c r="A15589" s="1" t="s">
        <v>8</v>
      </c>
      <c r="B15589" s="2">
        <v>44784.0</v>
      </c>
      <c r="C15589" s="3">
        <v>0.3341550925925926</v>
      </c>
      <c r="D15589" s="1">
        <v>12.98859</v>
      </c>
      <c r="E15589" s="1">
        <v>80.177821</v>
      </c>
      <c r="F15589" s="1">
        <v>805.0</v>
      </c>
      <c r="G15589" s="1">
        <v>39.0</v>
      </c>
    </row>
    <row r="15590">
      <c r="A15590" s="1" t="s">
        <v>8</v>
      </c>
      <c r="B15590" s="2">
        <v>44784.0</v>
      </c>
      <c r="C15590" s="3">
        <v>0.33435185185185184</v>
      </c>
      <c r="D15590" s="1">
        <v>12.761539</v>
      </c>
      <c r="E15590" s="1">
        <v>80.003551</v>
      </c>
      <c r="F15590" s="1">
        <v>2846.0</v>
      </c>
      <c r="G15590" s="1">
        <v>33.0</v>
      </c>
    </row>
    <row r="15591">
      <c r="A15591" s="1" t="s">
        <v>7</v>
      </c>
      <c r="B15591" s="2">
        <v>44784.0</v>
      </c>
      <c r="C15591" s="3">
        <v>0.33493055555555556</v>
      </c>
      <c r="D15591" s="1">
        <v>12.7645</v>
      </c>
      <c r="E15591" s="1">
        <v>80.004535</v>
      </c>
      <c r="F15591" s="1">
        <v>2846.0</v>
      </c>
      <c r="G15591" s="1">
        <v>46.0</v>
      </c>
    </row>
    <row r="15592">
      <c r="A15592" s="1" t="s">
        <v>8</v>
      </c>
      <c r="B15592" s="2">
        <v>44784.0</v>
      </c>
      <c r="C15592" s="3">
        <v>0.33565972222222223</v>
      </c>
      <c r="D15592" s="1">
        <v>12.962744</v>
      </c>
      <c r="E15592" s="1">
        <v>80.146704</v>
      </c>
      <c r="F15592" s="1">
        <v>5339.0</v>
      </c>
      <c r="G15592" s="1">
        <v>44.0</v>
      </c>
    </row>
    <row r="15593">
      <c r="A15593" s="1" t="s">
        <v>8</v>
      </c>
      <c r="B15593" s="2">
        <v>44784.0</v>
      </c>
      <c r="C15593" s="3">
        <v>0.3357060185185185</v>
      </c>
      <c r="D15593" s="1">
        <v>12.961992</v>
      </c>
      <c r="E15593" s="1">
        <v>80.146298</v>
      </c>
      <c r="F15593" s="1">
        <v>5339.0</v>
      </c>
      <c r="G15593" s="1">
        <v>30.0</v>
      </c>
    </row>
    <row r="15594">
      <c r="A15594" s="1" t="s">
        <v>9</v>
      </c>
      <c r="B15594" s="2">
        <v>44784.0</v>
      </c>
      <c r="C15594" s="3">
        <v>0.3357986111111111</v>
      </c>
      <c r="D15594" s="1">
        <v>12.961327</v>
      </c>
      <c r="E15594" s="1">
        <v>80.145958</v>
      </c>
      <c r="F15594" s="1">
        <v>5339.0</v>
      </c>
      <c r="G15594" s="1">
        <v>31.0</v>
      </c>
    </row>
    <row r="15595">
      <c r="A15595" s="1" t="s">
        <v>8</v>
      </c>
      <c r="B15595" s="2">
        <v>44784.0</v>
      </c>
      <c r="C15595" s="3">
        <v>0.3359027777777778</v>
      </c>
      <c r="D15595" s="1">
        <v>12.983898</v>
      </c>
      <c r="E15595" s="1">
        <v>80.170906</v>
      </c>
      <c r="F15595" s="1">
        <v>805.0</v>
      </c>
      <c r="G15595" s="1">
        <v>30.0</v>
      </c>
    </row>
    <row r="15596">
      <c r="A15596" s="1" t="s">
        <v>7</v>
      </c>
      <c r="B15596" s="2">
        <v>44784.0</v>
      </c>
      <c r="C15596" s="3">
        <v>0.3359722222222222</v>
      </c>
      <c r="D15596" s="1">
        <v>12.778636</v>
      </c>
      <c r="E15596" s="1">
        <v>80.011036</v>
      </c>
      <c r="F15596" s="1">
        <v>2846.0</v>
      </c>
      <c r="G15596" s="1">
        <v>58.0</v>
      </c>
    </row>
    <row r="15597">
      <c r="A15597" s="1" t="s">
        <v>8</v>
      </c>
      <c r="B15597" s="2">
        <v>44784.0</v>
      </c>
      <c r="C15597" s="3">
        <v>0.33609953703703704</v>
      </c>
      <c r="D15597" s="1">
        <v>12.982844</v>
      </c>
      <c r="E15597" s="1">
        <v>80.169112</v>
      </c>
      <c r="F15597" s="1">
        <v>805.0</v>
      </c>
      <c r="G15597" s="1">
        <v>54.0</v>
      </c>
    </row>
    <row r="15598">
      <c r="A15598" s="1" t="s">
        <v>8</v>
      </c>
      <c r="B15598" s="2">
        <v>44784.0</v>
      </c>
      <c r="C15598" s="3">
        <v>0.3361458333333333</v>
      </c>
      <c r="D15598" s="1">
        <v>12.959922</v>
      </c>
      <c r="E15598" s="1">
        <v>80.145201</v>
      </c>
      <c r="F15598" s="1">
        <v>5339.0</v>
      </c>
      <c r="G15598" s="1">
        <v>36.0</v>
      </c>
    </row>
    <row r="15599">
      <c r="A15599" s="1" t="s">
        <v>7</v>
      </c>
      <c r="B15599" s="2">
        <v>44784.0</v>
      </c>
      <c r="C15599" s="3">
        <v>0.33622685185185186</v>
      </c>
      <c r="D15599" s="1">
        <v>12.982139</v>
      </c>
      <c r="E15599" s="1">
        <v>80.167941</v>
      </c>
      <c r="F15599" s="1">
        <v>805.0</v>
      </c>
      <c r="G15599" s="1">
        <v>52.0</v>
      </c>
    </row>
    <row r="15600">
      <c r="A15600" s="1" t="s">
        <v>8</v>
      </c>
      <c r="B15600" s="2">
        <v>44784.0</v>
      </c>
      <c r="C15600" s="3">
        <v>0.33622685185185186</v>
      </c>
      <c r="D15600" s="1">
        <v>12.959022</v>
      </c>
      <c r="E15600" s="1">
        <v>80.14469</v>
      </c>
      <c r="F15600" s="1">
        <v>5339.0</v>
      </c>
      <c r="G15600" s="1">
        <v>41.0</v>
      </c>
    </row>
    <row r="15601">
      <c r="A15601" s="1" t="s">
        <v>8</v>
      </c>
      <c r="B15601" s="2">
        <v>44784.0</v>
      </c>
      <c r="C15601" s="3">
        <v>0.33640046296296294</v>
      </c>
      <c r="D15601" s="1">
        <v>12.957437</v>
      </c>
      <c r="E15601" s="1">
        <v>80.143831</v>
      </c>
      <c r="F15601" s="1">
        <v>5339.0</v>
      </c>
      <c r="G15601" s="1">
        <v>38.0</v>
      </c>
    </row>
    <row r="15602">
      <c r="A15602" s="1" t="s">
        <v>8</v>
      </c>
      <c r="B15602" s="2">
        <v>44784.0</v>
      </c>
      <c r="C15602" s="3">
        <v>0.33674768518518516</v>
      </c>
      <c r="D15602" s="1">
        <v>12.980085</v>
      </c>
      <c r="E15602" s="1">
        <v>80.163639</v>
      </c>
      <c r="F15602" s="1">
        <v>805.0</v>
      </c>
      <c r="G15602" s="1">
        <v>46.0</v>
      </c>
    </row>
    <row r="15603">
      <c r="A15603" s="1" t="s">
        <v>7</v>
      </c>
      <c r="B15603" s="2">
        <v>44784.0</v>
      </c>
      <c r="C15603" s="3">
        <v>0.337037037037037</v>
      </c>
      <c r="D15603" s="1">
        <v>12.790419</v>
      </c>
      <c r="E15603" s="1">
        <v>80.017086</v>
      </c>
      <c r="F15603" s="1">
        <v>2846.0</v>
      </c>
      <c r="G15603" s="1">
        <v>58.0</v>
      </c>
    </row>
    <row r="15604">
      <c r="A15604" s="1" t="s">
        <v>8</v>
      </c>
      <c r="B15604" s="2">
        <v>44784.0</v>
      </c>
      <c r="C15604" s="3">
        <v>0.3371875</v>
      </c>
      <c r="D15604" s="1">
        <v>12.977702</v>
      </c>
      <c r="E15604" s="1">
        <v>80.159744</v>
      </c>
      <c r="F15604" s="1">
        <v>805.0</v>
      </c>
      <c r="G15604" s="1">
        <v>43.0</v>
      </c>
    </row>
    <row r="15605">
      <c r="A15605" s="1" t="s">
        <v>8</v>
      </c>
      <c r="B15605" s="2">
        <v>44784.0</v>
      </c>
      <c r="C15605" s="3">
        <v>0.3373148148148148</v>
      </c>
      <c r="D15605" s="1">
        <v>12.95265</v>
      </c>
      <c r="E15605" s="1">
        <v>80.141185</v>
      </c>
      <c r="F15605" s="1">
        <v>5339.0</v>
      </c>
      <c r="G15605" s="1">
        <v>23.0</v>
      </c>
    </row>
    <row r="15606">
      <c r="A15606" s="1" t="s">
        <v>7</v>
      </c>
      <c r="B15606" s="2">
        <v>44784.0</v>
      </c>
      <c r="C15606" s="3">
        <v>0.337337962962963</v>
      </c>
      <c r="D15606" s="1">
        <v>12.79401</v>
      </c>
      <c r="E15606" s="1">
        <v>80.019364</v>
      </c>
      <c r="F15606" s="1">
        <v>2846.0</v>
      </c>
      <c r="G15606" s="1">
        <v>57.0</v>
      </c>
    </row>
    <row r="15607">
      <c r="A15607" s="1" t="s">
        <v>8</v>
      </c>
      <c r="B15607" s="2">
        <v>44784.0</v>
      </c>
      <c r="C15607" s="3">
        <v>0.3373611111111111</v>
      </c>
      <c r="D15607" s="1">
        <v>12.79401</v>
      </c>
      <c r="E15607" s="1">
        <v>80.019364</v>
      </c>
      <c r="F15607" s="1">
        <v>2846.0</v>
      </c>
      <c r="G15607" s="1">
        <v>57.0</v>
      </c>
    </row>
    <row r="15608">
      <c r="A15608" s="1" t="s">
        <v>8</v>
      </c>
      <c r="B15608" s="2">
        <v>44784.0</v>
      </c>
      <c r="C15608" s="3">
        <v>0.33760416666666665</v>
      </c>
      <c r="D15608" s="1">
        <v>12.975851</v>
      </c>
      <c r="E15608" s="1">
        <v>80.156835</v>
      </c>
      <c r="F15608" s="1">
        <v>805.0</v>
      </c>
      <c r="G15608" s="1">
        <v>50.0</v>
      </c>
    </row>
    <row r="15609">
      <c r="A15609" s="1" t="s">
        <v>8</v>
      </c>
      <c r="B15609" s="2">
        <v>44784.0</v>
      </c>
      <c r="C15609" s="3">
        <v>0.33795138888888887</v>
      </c>
      <c r="D15609" s="1">
        <v>12.973926</v>
      </c>
      <c r="E15609" s="1">
        <v>80.15408</v>
      </c>
      <c r="F15609" s="1">
        <v>805.0</v>
      </c>
      <c r="G15609" s="1">
        <v>34.0</v>
      </c>
    </row>
    <row r="15610">
      <c r="A15610" s="1" t="s">
        <v>9</v>
      </c>
      <c r="B15610" s="2">
        <v>44784.0</v>
      </c>
      <c r="C15610" s="3">
        <v>0.33796296296296297</v>
      </c>
      <c r="D15610" s="1">
        <v>12.973926</v>
      </c>
      <c r="E15610" s="1">
        <v>80.15408</v>
      </c>
      <c r="F15610" s="1">
        <v>805.0</v>
      </c>
      <c r="G15610" s="1">
        <v>34.0</v>
      </c>
    </row>
    <row r="15611">
      <c r="A15611" s="1" t="s">
        <v>8</v>
      </c>
      <c r="B15611" s="2">
        <v>44784.0</v>
      </c>
      <c r="C15611" s="3">
        <v>0.3381018518518519</v>
      </c>
      <c r="D15611" s="1">
        <v>12.950221</v>
      </c>
      <c r="E15611" s="1">
        <v>80.139401</v>
      </c>
      <c r="F15611" s="1">
        <v>5339.0</v>
      </c>
      <c r="G15611" s="1">
        <v>26.0</v>
      </c>
    </row>
    <row r="15612">
      <c r="A15612" s="1" t="s">
        <v>8</v>
      </c>
      <c r="B15612" s="2">
        <v>44784.0</v>
      </c>
      <c r="C15612" s="3">
        <v>0.3381134259259259</v>
      </c>
      <c r="D15612" s="1">
        <v>12.950221</v>
      </c>
      <c r="E15612" s="1">
        <v>80.139401</v>
      </c>
      <c r="F15612" s="1">
        <v>5339.0</v>
      </c>
      <c r="G15612" s="1">
        <v>26.0</v>
      </c>
    </row>
    <row r="15613">
      <c r="A15613" s="1" t="s">
        <v>8</v>
      </c>
      <c r="B15613" s="2">
        <v>44784.0</v>
      </c>
      <c r="C15613" s="3">
        <v>0.338125</v>
      </c>
      <c r="D15613" s="1">
        <v>12.950221</v>
      </c>
      <c r="E15613" s="1">
        <v>80.139401</v>
      </c>
      <c r="F15613" s="1">
        <v>5339.0</v>
      </c>
      <c r="G15613" s="1">
        <v>26.0</v>
      </c>
    </row>
    <row r="15614">
      <c r="A15614" s="1" t="s">
        <v>8</v>
      </c>
      <c r="B15614" s="2">
        <v>44784.0</v>
      </c>
      <c r="C15614" s="3">
        <v>0.3382060185185185</v>
      </c>
      <c r="D15614" s="1">
        <v>12.97272</v>
      </c>
      <c r="E15614" s="1">
        <v>80.152245</v>
      </c>
      <c r="F15614" s="1">
        <v>805.0</v>
      </c>
      <c r="G15614" s="1">
        <v>42.0</v>
      </c>
    </row>
    <row r="15615">
      <c r="A15615" s="1" t="s">
        <v>7</v>
      </c>
      <c r="B15615" s="2">
        <v>44784.0</v>
      </c>
      <c r="C15615" s="3">
        <v>0.3382986111111111</v>
      </c>
      <c r="D15615" s="1">
        <v>12.803607</v>
      </c>
      <c r="E15615" s="1">
        <v>80.025678</v>
      </c>
      <c r="F15615" s="1">
        <v>2846.0</v>
      </c>
      <c r="G15615" s="1">
        <v>58.0</v>
      </c>
    </row>
    <row r="15616">
      <c r="A15616" s="1" t="s">
        <v>8</v>
      </c>
      <c r="B15616" s="2">
        <v>44784.0</v>
      </c>
      <c r="C15616" s="3">
        <v>0.3384375</v>
      </c>
      <c r="D15616" s="1">
        <v>12.971658</v>
      </c>
      <c r="E15616" s="1">
        <v>80.151231</v>
      </c>
      <c r="F15616" s="1">
        <v>805.0</v>
      </c>
      <c r="G15616" s="1">
        <v>24.0</v>
      </c>
    </row>
    <row r="15617">
      <c r="A15617" s="1" t="s">
        <v>8</v>
      </c>
      <c r="B15617" s="2">
        <v>44784.0</v>
      </c>
      <c r="C15617" s="3">
        <v>0.3384375</v>
      </c>
      <c r="D15617" s="1">
        <v>12.971658</v>
      </c>
      <c r="E15617" s="1">
        <v>80.151231</v>
      </c>
      <c r="F15617" s="1">
        <v>805.0</v>
      </c>
      <c r="G15617" s="1">
        <v>24.0</v>
      </c>
    </row>
    <row r="15618">
      <c r="A15618" s="1" t="s">
        <v>8</v>
      </c>
      <c r="B15618" s="2">
        <v>44784.0</v>
      </c>
      <c r="C15618" s="3">
        <v>0.33848379629629627</v>
      </c>
      <c r="D15618" s="1">
        <v>12.971658</v>
      </c>
      <c r="E15618" s="1">
        <v>80.151231</v>
      </c>
      <c r="F15618" s="1">
        <v>805.0</v>
      </c>
      <c r="G15618" s="1">
        <v>24.0</v>
      </c>
    </row>
    <row r="15619">
      <c r="A15619" s="1" t="s">
        <v>8</v>
      </c>
      <c r="B15619" s="2">
        <v>44784.0</v>
      </c>
      <c r="C15619" s="3">
        <v>0.3385532407407407</v>
      </c>
      <c r="D15619" s="1">
        <v>12.919524</v>
      </c>
      <c r="E15619" s="1">
        <v>80.181151</v>
      </c>
      <c r="F15619" s="1">
        <v>3143.0</v>
      </c>
      <c r="G15619" s="1">
        <v>33.0</v>
      </c>
    </row>
    <row r="15620">
      <c r="A15620" s="1" t="s">
        <v>8</v>
      </c>
      <c r="B15620" s="2">
        <v>44784.0</v>
      </c>
      <c r="C15620" s="3">
        <v>0.3386574074074074</v>
      </c>
      <c r="D15620" s="1">
        <v>12.803607</v>
      </c>
      <c r="E15620" s="1">
        <v>80.025678</v>
      </c>
      <c r="F15620" s="1">
        <v>2846.0</v>
      </c>
      <c r="G15620" s="1">
        <v>58.0</v>
      </c>
    </row>
    <row r="15621">
      <c r="A15621" s="1" t="s">
        <v>8</v>
      </c>
      <c r="B15621" s="2">
        <v>44784.0</v>
      </c>
      <c r="C15621" s="3">
        <v>0.3387384259259259</v>
      </c>
      <c r="D15621" s="1">
        <v>12.94665</v>
      </c>
      <c r="E15621" s="1">
        <v>80.136639</v>
      </c>
      <c r="F15621" s="1">
        <v>5339.0</v>
      </c>
      <c r="G15621" s="1">
        <v>43.0</v>
      </c>
    </row>
    <row r="15622">
      <c r="A15622" s="1" t="s">
        <v>8</v>
      </c>
      <c r="B15622" s="2">
        <v>44784.0</v>
      </c>
      <c r="C15622" s="3">
        <v>0.3390972222222222</v>
      </c>
      <c r="D15622" s="1">
        <v>12.944362</v>
      </c>
      <c r="E15622" s="1">
        <v>80.134852</v>
      </c>
      <c r="F15622" s="1">
        <v>5339.0</v>
      </c>
      <c r="G15622" s="1">
        <v>36.0</v>
      </c>
    </row>
    <row r="15623">
      <c r="A15623" s="1" t="s">
        <v>7</v>
      </c>
      <c r="B15623" s="2">
        <v>44784.0</v>
      </c>
      <c r="C15623" s="3">
        <v>0.3392824074074074</v>
      </c>
      <c r="D15623" s="1">
        <v>12.80915</v>
      </c>
      <c r="E15623" s="1">
        <v>80.029282</v>
      </c>
      <c r="F15623" s="1">
        <v>2846.0</v>
      </c>
      <c r="G15623" s="1">
        <v>49.0</v>
      </c>
    </row>
    <row r="15624">
      <c r="A15624" s="1" t="s">
        <v>7</v>
      </c>
      <c r="B15624" s="2">
        <v>44784.0</v>
      </c>
      <c r="C15624" s="3">
        <v>0.33956018518518516</v>
      </c>
      <c r="D15624" s="1">
        <v>12.81521</v>
      </c>
      <c r="E15624" s="1">
        <v>80.033253</v>
      </c>
      <c r="F15624" s="1">
        <v>2846.0</v>
      </c>
      <c r="G15624" s="1">
        <v>58.0</v>
      </c>
    </row>
    <row r="15625">
      <c r="A15625" s="1" t="s">
        <v>7</v>
      </c>
      <c r="B15625" s="2">
        <v>44784.0</v>
      </c>
      <c r="C15625" s="3">
        <v>0.33958333333333335</v>
      </c>
      <c r="D15625" s="1">
        <v>12.918472</v>
      </c>
      <c r="E15625" s="1">
        <v>80.178377</v>
      </c>
      <c r="F15625" s="1">
        <v>3143.0</v>
      </c>
      <c r="G15625" s="1">
        <v>41.0</v>
      </c>
    </row>
    <row r="15626">
      <c r="A15626" s="1" t="s">
        <v>8</v>
      </c>
      <c r="B15626" s="2">
        <v>44784.0</v>
      </c>
      <c r="C15626" s="3">
        <v>0.3397685185185185</v>
      </c>
      <c r="D15626" s="1">
        <v>12.940947</v>
      </c>
      <c r="E15626" s="1">
        <v>80.131541</v>
      </c>
      <c r="F15626" s="1">
        <v>5339.0</v>
      </c>
      <c r="G15626" s="1">
        <v>43.0</v>
      </c>
    </row>
    <row r="15627">
      <c r="A15627" s="1" t="s">
        <v>8</v>
      </c>
      <c r="B15627" s="2">
        <v>44784.0</v>
      </c>
      <c r="C15627" s="3">
        <v>0.3399421296296296</v>
      </c>
      <c r="D15627" s="1">
        <v>12.964807</v>
      </c>
      <c r="E15627" s="1">
        <v>80.147903</v>
      </c>
      <c r="F15627" s="1">
        <v>805.0</v>
      </c>
      <c r="G15627" s="1">
        <v>46.0</v>
      </c>
    </row>
    <row r="15628">
      <c r="A15628" s="1" t="s">
        <v>8</v>
      </c>
      <c r="B15628" s="2">
        <v>44784.0</v>
      </c>
      <c r="C15628" s="3">
        <v>0.3399652777777778</v>
      </c>
      <c r="D15628" s="1">
        <v>12.919656</v>
      </c>
      <c r="E15628" s="1">
        <v>80.171449</v>
      </c>
      <c r="F15628" s="1">
        <v>3143.0</v>
      </c>
      <c r="G15628" s="1">
        <v>0.0</v>
      </c>
    </row>
    <row r="15629">
      <c r="A15629" s="1" t="s">
        <v>7</v>
      </c>
      <c r="B15629" s="2">
        <v>44784.0</v>
      </c>
      <c r="C15629" s="3">
        <v>0.3400578703703704</v>
      </c>
      <c r="D15629" s="1">
        <v>12.963725</v>
      </c>
      <c r="E15629" s="1">
        <v>80.14731</v>
      </c>
      <c r="F15629" s="1">
        <v>805.0</v>
      </c>
      <c r="G15629" s="1">
        <v>52.0</v>
      </c>
    </row>
    <row r="15630">
      <c r="A15630" s="1" t="s">
        <v>8</v>
      </c>
      <c r="B15630" s="2">
        <v>44784.0</v>
      </c>
      <c r="C15630" s="3">
        <v>0.34011574074074075</v>
      </c>
      <c r="D15630" s="1">
        <v>12.938677</v>
      </c>
      <c r="E15630" s="1">
        <v>80.129364</v>
      </c>
      <c r="F15630" s="1">
        <v>5339.0</v>
      </c>
      <c r="G15630" s="1">
        <v>44.0</v>
      </c>
    </row>
    <row r="15631">
      <c r="A15631" s="1" t="s">
        <v>8</v>
      </c>
      <c r="B15631" s="2">
        <v>44784.0</v>
      </c>
      <c r="C15631" s="3">
        <v>0.3401388888888889</v>
      </c>
      <c r="D15631" s="1">
        <v>12.962568</v>
      </c>
      <c r="E15631" s="1">
        <v>80.14664</v>
      </c>
      <c r="F15631" s="1">
        <v>805.0</v>
      </c>
      <c r="G15631" s="1">
        <v>49.0</v>
      </c>
    </row>
    <row r="15632">
      <c r="A15632" s="1" t="s">
        <v>8</v>
      </c>
      <c r="B15632" s="2">
        <v>44784.0</v>
      </c>
      <c r="C15632" s="3">
        <v>0.3402662037037037</v>
      </c>
      <c r="D15632" s="1">
        <v>12.937888</v>
      </c>
      <c r="E15632" s="1">
        <v>80.128689</v>
      </c>
      <c r="F15632" s="1">
        <v>5339.0</v>
      </c>
      <c r="G15632" s="1">
        <v>39.0</v>
      </c>
    </row>
    <row r="15633">
      <c r="A15633" s="1" t="s">
        <v>8</v>
      </c>
      <c r="B15633" s="2">
        <v>44784.0</v>
      </c>
      <c r="C15633" s="3">
        <v>0.3403587962962963</v>
      </c>
      <c r="D15633" s="1">
        <v>12.937158</v>
      </c>
      <c r="E15633" s="1">
        <v>80.128052</v>
      </c>
      <c r="F15633" s="1">
        <v>5339.0</v>
      </c>
      <c r="G15633" s="1">
        <v>37.0</v>
      </c>
    </row>
    <row r="15634">
      <c r="A15634" s="1" t="s">
        <v>8</v>
      </c>
      <c r="B15634" s="2">
        <v>44784.0</v>
      </c>
      <c r="C15634" s="3">
        <v>0.34076388888888887</v>
      </c>
      <c r="D15634" s="1">
        <v>12.921741</v>
      </c>
      <c r="E15634" s="1">
        <v>80.164964</v>
      </c>
      <c r="F15634" s="1">
        <v>3143.0</v>
      </c>
      <c r="G15634" s="1">
        <v>47.0</v>
      </c>
    </row>
    <row r="15635">
      <c r="A15635" s="1" t="s">
        <v>7</v>
      </c>
      <c r="B15635" s="2">
        <v>44784.0</v>
      </c>
      <c r="C15635" s="3">
        <v>0.34085648148148145</v>
      </c>
      <c r="D15635" s="1">
        <v>12.934909</v>
      </c>
      <c r="E15635" s="1">
        <v>80.126066</v>
      </c>
      <c r="F15635" s="1">
        <v>5339.0</v>
      </c>
      <c r="G15635" s="1">
        <v>49.0</v>
      </c>
    </row>
    <row r="15636">
      <c r="A15636" s="1" t="s">
        <v>7</v>
      </c>
      <c r="B15636" s="2">
        <v>44784.0</v>
      </c>
      <c r="C15636" s="3">
        <v>0.3409259259259259</v>
      </c>
      <c r="D15636" s="1">
        <v>12.8271</v>
      </c>
      <c r="E15636" s="1">
        <v>80.041843</v>
      </c>
      <c r="F15636" s="1">
        <v>2846.0</v>
      </c>
      <c r="G15636" s="1">
        <v>58.0</v>
      </c>
    </row>
    <row r="15637">
      <c r="A15637" s="1" t="s">
        <v>8</v>
      </c>
      <c r="B15637" s="2">
        <v>44784.0</v>
      </c>
      <c r="C15637" s="3">
        <v>0.3413541666666667</v>
      </c>
      <c r="D15637" s="1">
        <v>12.930019</v>
      </c>
      <c r="E15637" s="1">
        <v>80.121279</v>
      </c>
      <c r="F15637" s="1">
        <v>5339.0</v>
      </c>
      <c r="G15637" s="1">
        <v>41.0</v>
      </c>
    </row>
    <row r="15638">
      <c r="A15638" s="1" t="s">
        <v>8</v>
      </c>
      <c r="B15638" s="2">
        <v>44784.0</v>
      </c>
      <c r="C15638" s="3">
        <v>0.3413541666666667</v>
      </c>
      <c r="D15638" s="1">
        <v>12.95629</v>
      </c>
      <c r="E15638" s="1">
        <v>80.143276</v>
      </c>
      <c r="F15638" s="1">
        <v>805.0</v>
      </c>
      <c r="G15638" s="1">
        <v>17.0</v>
      </c>
    </row>
    <row r="15639">
      <c r="A15639" s="1" t="s">
        <v>8</v>
      </c>
      <c r="B15639" s="2">
        <v>44784.0</v>
      </c>
      <c r="C15639" s="3">
        <v>0.34164351851851854</v>
      </c>
      <c r="D15639" s="1">
        <v>12.954311</v>
      </c>
      <c r="E15639" s="1">
        <v>80.142189</v>
      </c>
      <c r="F15639" s="1">
        <v>805.0</v>
      </c>
      <c r="G15639" s="1">
        <v>33.0</v>
      </c>
    </row>
    <row r="15640">
      <c r="A15640" s="1" t="s">
        <v>7</v>
      </c>
      <c r="B15640" s="2">
        <v>44784.0</v>
      </c>
      <c r="C15640" s="3">
        <v>0.3420486111111111</v>
      </c>
      <c r="D15640" s="1">
        <v>12.837217</v>
      </c>
      <c r="E15640" s="1">
        <v>80.052493</v>
      </c>
      <c r="F15640" s="1">
        <v>2846.0</v>
      </c>
      <c r="G15640" s="1">
        <v>58.0</v>
      </c>
    </row>
    <row r="15641">
      <c r="A15641" s="1" t="s">
        <v>7</v>
      </c>
      <c r="B15641" s="2">
        <v>44784.0</v>
      </c>
      <c r="C15641" s="3">
        <v>0.3420949074074074</v>
      </c>
      <c r="D15641" s="1">
        <v>12.925069</v>
      </c>
      <c r="E15641" s="1">
        <v>80.116222</v>
      </c>
      <c r="F15641" s="1">
        <v>5339.0</v>
      </c>
      <c r="G15641" s="1">
        <v>55.0</v>
      </c>
    </row>
    <row r="15642">
      <c r="A15642" s="1" t="s">
        <v>8</v>
      </c>
      <c r="B15642" s="2">
        <v>44784.0</v>
      </c>
      <c r="C15642" s="3">
        <v>0.3422453703703704</v>
      </c>
      <c r="D15642" s="1">
        <v>12.923471</v>
      </c>
      <c r="E15642" s="1">
        <v>80.155305</v>
      </c>
      <c r="F15642" s="1">
        <v>3143.0</v>
      </c>
      <c r="G15642" s="1">
        <v>9.0</v>
      </c>
    </row>
    <row r="15643">
      <c r="A15643" s="1" t="s">
        <v>7</v>
      </c>
      <c r="B15643" s="2">
        <v>44784.0</v>
      </c>
      <c r="C15643" s="3">
        <v>0.3423726851851852</v>
      </c>
      <c r="D15643" s="1">
        <v>12.922989</v>
      </c>
      <c r="E15643" s="1">
        <v>80.114143</v>
      </c>
      <c r="F15643" s="1">
        <v>5339.0</v>
      </c>
      <c r="G15643" s="1">
        <v>59.0</v>
      </c>
    </row>
    <row r="15644">
      <c r="A15644" s="1" t="s">
        <v>8</v>
      </c>
      <c r="B15644" s="2">
        <v>44784.0</v>
      </c>
      <c r="C15644" s="3">
        <v>0.3423726851851852</v>
      </c>
      <c r="D15644" s="1">
        <v>12.95166</v>
      </c>
      <c r="E15644" s="1">
        <v>80.140477</v>
      </c>
      <c r="F15644" s="1">
        <v>805.0</v>
      </c>
      <c r="G15644" s="1">
        <v>24.0</v>
      </c>
    </row>
    <row r="15645">
      <c r="A15645" s="1" t="s">
        <v>8</v>
      </c>
      <c r="B15645" s="2">
        <v>44784.0</v>
      </c>
      <c r="C15645" s="3">
        <v>0.34238425925925925</v>
      </c>
      <c r="D15645" s="1">
        <v>12.95166</v>
      </c>
      <c r="E15645" s="1">
        <v>80.140477</v>
      </c>
      <c r="F15645" s="1">
        <v>805.0</v>
      </c>
      <c r="G15645" s="1">
        <v>24.0</v>
      </c>
    </row>
    <row r="15646">
      <c r="A15646" s="1" t="s">
        <v>8</v>
      </c>
      <c r="B15646" s="2">
        <v>44784.0</v>
      </c>
      <c r="C15646" s="3">
        <v>0.3427546296296296</v>
      </c>
      <c r="D15646" s="1">
        <v>12.94977</v>
      </c>
      <c r="E15646" s="1">
        <v>80.139082</v>
      </c>
      <c r="F15646" s="1">
        <v>805.0</v>
      </c>
      <c r="G15646" s="1">
        <v>42.0</v>
      </c>
    </row>
    <row r="15647">
      <c r="A15647" s="1" t="s">
        <v>8</v>
      </c>
      <c r="B15647" s="2">
        <v>44784.0</v>
      </c>
      <c r="C15647" s="3">
        <v>0.3428587962962963</v>
      </c>
      <c r="D15647" s="1">
        <v>12.919077</v>
      </c>
      <c r="E15647" s="1">
        <v>80.10989</v>
      </c>
      <c r="F15647" s="1">
        <v>5339.0</v>
      </c>
      <c r="G15647" s="1">
        <v>58.0</v>
      </c>
    </row>
    <row r="15648">
      <c r="A15648" s="1" t="s">
        <v>7</v>
      </c>
      <c r="B15648" s="2">
        <v>44784.0</v>
      </c>
      <c r="C15648" s="3">
        <v>0.3437962962962963</v>
      </c>
      <c r="D15648" s="1">
        <v>12.94186</v>
      </c>
      <c r="E15648" s="1">
        <v>80.132479</v>
      </c>
      <c r="F15648" s="1">
        <v>805.0</v>
      </c>
      <c r="G15648" s="1">
        <v>48.0</v>
      </c>
    </row>
    <row r="15649">
      <c r="A15649" s="1" t="s">
        <v>8</v>
      </c>
      <c r="B15649" s="2">
        <v>44784.0</v>
      </c>
      <c r="C15649" s="3">
        <v>0.34390046296296295</v>
      </c>
      <c r="D15649" s="1">
        <v>12.84458</v>
      </c>
      <c r="E15649" s="1">
        <v>80.060269</v>
      </c>
      <c r="F15649" s="1">
        <v>2846.0</v>
      </c>
      <c r="G15649" s="1">
        <v>30.0</v>
      </c>
    </row>
    <row r="15650">
      <c r="A15650" s="1" t="s">
        <v>8</v>
      </c>
      <c r="B15650" s="2">
        <v>44784.0</v>
      </c>
      <c r="C15650" s="3">
        <v>0.34392361111111114</v>
      </c>
      <c r="D15650" s="1">
        <v>12.940956</v>
      </c>
      <c r="E15650" s="1">
        <v>80.131555</v>
      </c>
      <c r="F15650" s="1">
        <v>805.0</v>
      </c>
      <c r="G15650" s="1">
        <v>52.0</v>
      </c>
    </row>
    <row r="15651">
      <c r="A15651" s="1" t="s">
        <v>8</v>
      </c>
      <c r="B15651" s="2">
        <v>44784.0</v>
      </c>
      <c r="C15651" s="3">
        <v>0.3443865740740741</v>
      </c>
      <c r="D15651" s="1">
        <v>12.937551</v>
      </c>
      <c r="E15651" s="1">
        <v>80.128444</v>
      </c>
      <c r="F15651" s="1">
        <v>805.0</v>
      </c>
      <c r="G15651" s="1">
        <v>38.0</v>
      </c>
    </row>
    <row r="15652">
      <c r="A15652" s="1" t="s">
        <v>7</v>
      </c>
      <c r="B15652" s="2">
        <v>44784.0</v>
      </c>
      <c r="C15652" s="3">
        <v>0.3446412037037037</v>
      </c>
      <c r="D15652" s="1">
        <v>12.849393</v>
      </c>
      <c r="E15652" s="1">
        <v>80.064232</v>
      </c>
      <c r="F15652" s="1">
        <v>2846.0</v>
      </c>
      <c r="G15652" s="1">
        <v>59.0</v>
      </c>
    </row>
    <row r="15653">
      <c r="A15653" s="1" t="s">
        <v>8</v>
      </c>
      <c r="B15653" s="2">
        <v>44784.0</v>
      </c>
      <c r="C15653" s="3">
        <v>0.34555555555555556</v>
      </c>
      <c r="D15653" s="1">
        <v>12.922485</v>
      </c>
      <c r="E15653" s="1">
        <v>80.143365</v>
      </c>
      <c r="F15653" s="1">
        <v>3143.0</v>
      </c>
      <c r="G15653" s="1">
        <v>0.0</v>
      </c>
    </row>
    <row r="15654">
      <c r="A15654" s="1" t="s">
        <v>8</v>
      </c>
      <c r="B15654" s="2">
        <v>44784.0</v>
      </c>
      <c r="C15654" s="3">
        <v>0.3455902777777778</v>
      </c>
      <c r="D15654" s="1">
        <v>12.922485</v>
      </c>
      <c r="E15654" s="1">
        <v>80.143365</v>
      </c>
      <c r="F15654" s="1">
        <v>3143.0</v>
      </c>
      <c r="G15654" s="1">
        <v>0.0</v>
      </c>
    </row>
    <row r="15655">
      <c r="A15655" s="1" t="s">
        <v>8</v>
      </c>
      <c r="B15655" s="2">
        <v>44784.0</v>
      </c>
      <c r="C15655" s="3">
        <v>0.3462615740740741</v>
      </c>
      <c r="D15655" s="1">
        <v>12.898274</v>
      </c>
      <c r="E15655" s="1">
        <v>80.090164</v>
      </c>
      <c r="F15655" s="1">
        <v>5339.0</v>
      </c>
      <c r="G15655" s="1">
        <v>48.0</v>
      </c>
    </row>
    <row r="15656">
      <c r="A15656" s="1" t="s">
        <v>7</v>
      </c>
      <c r="B15656" s="2">
        <v>44784.0</v>
      </c>
      <c r="C15656" s="3">
        <v>0.3464583333333333</v>
      </c>
      <c r="D15656" s="1">
        <v>12.930562</v>
      </c>
      <c r="E15656" s="1">
        <v>80.121827</v>
      </c>
      <c r="F15656" s="1">
        <v>805.0</v>
      </c>
      <c r="G15656" s="1">
        <v>44.0</v>
      </c>
    </row>
    <row r="15657">
      <c r="A15657" s="1" t="s">
        <v>8</v>
      </c>
      <c r="B15657" s="2">
        <v>44784.0</v>
      </c>
      <c r="C15657" s="3">
        <v>0.3464583333333333</v>
      </c>
      <c r="D15657" s="1">
        <v>12.859487</v>
      </c>
      <c r="E15657" s="1">
        <v>80.071736</v>
      </c>
      <c r="F15657" s="1">
        <v>2846.0</v>
      </c>
      <c r="G15657" s="1">
        <v>36.0</v>
      </c>
    </row>
    <row r="15658">
      <c r="A15658" s="1" t="s">
        <v>7</v>
      </c>
      <c r="B15658" s="2">
        <v>44784.0</v>
      </c>
      <c r="C15658" s="3">
        <v>0.34652777777777777</v>
      </c>
      <c r="D15658" s="1">
        <v>12.929705</v>
      </c>
      <c r="E15658" s="1">
        <v>80.120958</v>
      </c>
      <c r="F15658" s="1">
        <v>805.0</v>
      </c>
      <c r="G15658" s="1">
        <v>55.0</v>
      </c>
    </row>
    <row r="15659">
      <c r="A15659" s="1" t="s">
        <v>8</v>
      </c>
      <c r="B15659" s="2">
        <v>44784.0</v>
      </c>
      <c r="C15659" s="3">
        <v>0.3465625</v>
      </c>
      <c r="D15659" s="1">
        <v>12.859487</v>
      </c>
      <c r="E15659" s="1">
        <v>80.071736</v>
      </c>
      <c r="F15659" s="1">
        <v>2846.0</v>
      </c>
      <c r="G15659" s="1">
        <v>36.0</v>
      </c>
    </row>
    <row r="15660">
      <c r="A15660" s="1" t="s">
        <v>8</v>
      </c>
      <c r="B15660" s="2">
        <v>44784.0</v>
      </c>
      <c r="C15660" s="3">
        <v>0.34664351851851855</v>
      </c>
      <c r="D15660" s="1">
        <v>12.859487</v>
      </c>
      <c r="E15660" s="1">
        <v>80.071736</v>
      </c>
      <c r="F15660" s="1">
        <v>2846.0</v>
      </c>
      <c r="G15660" s="1">
        <v>36.0</v>
      </c>
    </row>
    <row r="15661">
      <c r="A15661" s="1" t="s">
        <v>8</v>
      </c>
      <c r="B15661" s="2">
        <v>44784.0</v>
      </c>
      <c r="C15661" s="3">
        <v>0.34673611111111113</v>
      </c>
      <c r="D15661" s="1">
        <v>12.859487</v>
      </c>
      <c r="E15661" s="1">
        <v>80.071736</v>
      </c>
      <c r="F15661" s="1">
        <v>2846.0</v>
      </c>
      <c r="G15661" s="1">
        <v>36.0</v>
      </c>
    </row>
    <row r="15662">
      <c r="A15662" s="1" t="s">
        <v>8</v>
      </c>
      <c r="B15662" s="2">
        <v>44784.0</v>
      </c>
      <c r="C15662" s="3">
        <v>0.3470949074074074</v>
      </c>
      <c r="D15662" s="1">
        <v>12.926061</v>
      </c>
      <c r="E15662" s="1">
        <v>80.117229</v>
      </c>
      <c r="F15662" s="1">
        <v>805.0</v>
      </c>
      <c r="G15662" s="1">
        <v>26.0</v>
      </c>
    </row>
    <row r="15663">
      <c r="A15663" s="1" t="s">
        <v>7</v>
      </c>
      <c r="B15663" s="2">
        <v>44784.0</v>
      </c>
      <c r="C15663" s="3">
        <v>0.34729166666666667</v>
      </c>
      <c r="D15663" s="1">
        <v>12.92545</v>
      </c>
      <c r="E15663" s="1">
        <v>80.116635</v>
      </c>
      <c r="F15663" s="1">
        <v>805.0</v>
      </c>
      <c r="G15663" s="1">
        <v>41.0</v>
      </c>
    </row>
    <row r="15664">
      <c r="A15664" s="1" t="s">
        <v>8</v>
      </c>
      <c r="B15664" s="2">
        <v>44784.0</v>
      </c>
      <c r="C15664" s="3">
        <v>0.3473611111111111</v>
      </c>
      <c r="D15664" s="1">
        <v>12.924611</v>
      </c>
      <c r="E15664" s="1">
        <v>80.115802</v>
      </c>
      <c r="F15664" s="1">
        <v>805.0</v>
      </c>
      <c r="G15664" s="1">
        <v>53.0</v>
      </c>
    </row>
    <row r="15665">
      <c r="A15665" s="1" t="s">
        <v>7</v>
      </c>
      <c r="B15665" s="2">
        <v>44784.0</v>
      </c>
      <c r="C15665" s="3">
        <v>0.34769675925925925</v>
      </c>
      <c r="D15665" s="1">
        <v>12.887255</v>
      </c>
      <c r="E15665" s="1">
        <v>80.083494</v>
      </c>
      <c r="F15665" s="1">
        <v>5339.0</v>
      </c>
      <c r="G15665" s="1">
        <v>55.0</v>
      </c>
    </row>
    <row r="15666">
      <c r="A15666" s="1" t="s">
        <v>7</v>
      </c>
      <c r="B15666" s="2">
        <v>44784.0</v>
      </c>
      <c r="C15666" s="3">
        <v>0.3479861111111111</v>
      </c>
      <c r="D15666" s="1">
        <v>12.921777</v>
      </c>
      <c r="E15666" s="1">
        <v>80.112938</v>
      </c>
      <c r="F15666" s="1">
        <v>805.0</v>
      </c>
      <c r="G15666" s="1">
        <v>51.0</v>
      </c>
    </row>
    <row r="15667">
      <c r="A15667" s="1" t="s">
        <v>8</v>
      </c>
      <c r="B15667" s="2">
        <v>44784.0</v>
      </c>
      <c r="C15667" s="3">
        <v>0.3479976851851852</v>
      </c>
      <c r="D15667" s="1">
        <v>12.883521</v>
      </c>
      <c r="E15667" s="1">
        <v>80.082106</v>
      </c>
      <c r="F15667" s="1">
        <v>5339.0</v>
      </c>
      <c r="G15667" s="1">
        <v>44.0</v>
      </c>
    </row>
    <row r="15668">
      <c r="A15668" s="1" t="s">
        <v>8</v>
      </c>
      <c r="B15668" s="2">
        <v>44784.0</v>
      </c>
      <c r="C15668" s="3">
        <v>0.3482175925925926</v>
      </c>
      <c r="D15668" s="1">
        <v>12.88171</v>
      </c>
      <c r="E15668" s="1">
        <v>80.081356</v>
      </c>
      <c r="F15668" s="1">
        <v>5339.0</v>
      </c>
      <c r="G15668" s="1">
        <v>33.0</v>
      </c>
    </row>
    <row r="15669">
      <c r="A15669" s="1" t="s">
        <v>8</v>
      </c>
      <c r="B15669" s="2">
        <v>44784.0</v>
      </c>
      <c r="C15669" s="3">
        <v>0.3485648148148148</v>
      </c>
      <c r="D15669" s="1">
        <v>12.922892</v>
      </c>
      <c r="E15669" s="1">
        <v>80.128331</v>
      </c>
      <c r="F15669" s="1">
        <v>3143.0</v>
      </c>
      <c r="G15669" s="1">
        <v>32.0</v>
      </c>
    </row>
    <row r="15670">
      <c r="A15670" s="1" t="s">
        <v>8</v>
      </c>
      <c r="B15670" s="2">
        <v>44784.0</v>
      </c>
      <c r="C15670" s="3">
        <v>0.34869212962962964</v>
      </c>
      <c r="D15670" s="1">
        <v>12.916962</v>
      </c>
      <c r="E15670" s="1">
        <v>80.107132</v>
      </c>
      <c r="F15670" s="1">
        <v>805.0</v>
      </c>
      <c r="G15670" s="1">
        <v>27.0</v>
      </c>
    </row>
    <row r="15671">
      <c r="A15671" s="1" t="s">
        <v>8</v>
      </c>
      <c r="B15671" s="2">
        <v>44784.0</v>
      </c>
      <c r="C15671" s="3">
        <v>0.3494791666666667</v>
      </c>
      <c r="D15671" s="1">
        <v>12.922934</v>
      </c>
      <c r="E15671" s="1">
        <v>80.125751</v>
      </c>
      <c r="F15671" s="1">
        <v>3143.0</v>
      </c>
      <c r="G15671" s="1">
        <v>13.0</v>
      </c>
    </row>
    <row r="15672">
      <c r="A15672" s="1" t="s">
        <v>7</v>
      </c>
      <c r="B15672" s="2">
        <v>44784.0</v>
      </c>
      <c r="C15672" s="3">
        <v>0.35119212962962965</v>
      </c>
      <c r="D15672" s="1">
        <v>12.923826</v>
      </c>
      <c r="E15672" s="1">
        <v>80.115201</v>
      </c>
      <c r="F15672" s="1">
        <v>3143.0</v>
      </c>
      <c r="G15672" s="1">
        <v>25.0</v>
      </c>
    </row>
    <row r="15673">
      <c r="A15673" s="1" t="s">
        <v>7</v>
      </c>
      <c r="B15673" s="2">
        <v>44784.0</v>
      </c>
      <c r="C15673" s="3">
        <v>0.35130787037037037</v>
      </c>
      <c r="D15673" s="1">
        <v>12.922702</v>
      </c>
      <c r="E15673" s="1">
        <v>80.114084</v>
      </c>
      <c r="F15673" s="1">
        <v>3143.0</v>
      </c>
      <c r="G15673" s="1">
        <v>47.0</v>
      </c>
    </row>
    <row r="15674">
      <c r="A15674" s="1" t="s">
        <v>8</v>
      </c>
      <c r="B15674" s="2">
        <v>44784.0</v>
      </c>
      <c r="C15674" s="3">
        <v>0.35150462962962964</v>
      </c>
      <c r="D15674" s="1">
        <v>12.921635</v>
      </c>
      <c r="E15674" s="1">
        <v>80.113006</v>
      </c>
      <c r="F15674" s="1">
        <v>3143.0</v>
      </c>
      <c r="G15674" s="1">
        <v>44.0</v>
      </c>
    </row>
    <row r="15675">
      <c r="A15675" s="1" t="s">
        <v>8</v>
      </c>
      <c r="B15675" s="2">
        <v>44784.0</v>
      </c>
      <c r="C15675" s="3">
        <v>0.3518865740740741</v>
      </c>
      <c r="D15675" s="1">
        <v>12.897234</v>
      </c>
      <c r="E15675" s="1">
        <v>80.089413</v>
      </c>
      <c r="F15675" s="1">
        <v>805.0</v>
      </c>
      <c r="G15675" s="1">
        <v>40.0</v>
      </c>
    </row>
    <row r="15676">
      <c r="A15676" s="1" t="s">
        <v>8</v>
      </c>
      <c r="B15676" s="2">
        <v>44784.0</v>
      </c>
      <c r="C15676" s="3">
        <v>0.3520138888888889</v>
      </c>
      <c r="D15676" s="1">
        <v>12.917872</v>
      </c>
      <c r="E15676" s="1">
        <v>80.108433</v>
      </c>
      <c r="F15676" s="1">
        <v>3143.0</v>
      </c>
      <c r="G15676" s="1">
        <v>40.0</v>
      </c>
    </row>
    <row r="15677">
      <c r="A15677" s="1" t="s">
        <v>10</v>
      </c>
      <c r="B15677" s="2">
        <v>44784.0</v>
      </c>
      <c r="C15677" s="3">
        <v>0.35217592592592595</v>
      </c>
      <c r="D15677" s="1">
        <v>12.875932</v>
      </c>
      <c r="E15677" s="1">
        <v>80.083654</v>
      </c>
      <c r="F15677" s="1">
        <v>5339.0</v>
      </c>
      <c r="G15677" s="1">
        <v>4.0</v>
      </c>
    </row>
    <row r="15678">
      <c r="A15678" s="1" t="s">
        <v>8</v>
      </c>
      <c r="B15678" s="2">
        <v>44784.0</v>
      </c>
      <c r="C15678" s="3">
        <v>0.3525347222222222</v>
      </c>
      <c r="D15678" s="1">
        <v>12.892454</v>
      </c>
      <c r="E15678" s="1">
        <v>80.085841</v>
      </c>
      <c r="F15678" s="1">
        <v>805.0</v>
      </c>
      <c r="G15678" s="1">
        <v>51.0</v>
      </c>
    </row>
    <row r="15679">
      <c r="A15679" s="1" t="s">
        <v>8</v>
      </c>
      <c r="B15679" s="2">
        <v>44784.0</v>
      </c>
      <c r="C15679" s="3">
        <v>0.3525462962962963</v>
      </c>
      <c r="D15679" s="1">
        <v>12.916177</v>
      </c>
      <c r="E15679" s="1">
        <v>80.10567</v>
      </c>
      <c r="F15679" s="1">
        <v>3143.0</v>
      </c>
      <c r="G15679" s="1">
        <v>51.0</v>
      </c>
    </row>
    <row r="15680">
      <c r="A15680" s="1" t="s">
        <v>8</v>
      </c>
      <c r="B15680" s="2">
        <v>44784.0</v>
      </c>
      <c r="C15680" s="3">
        <v>0.35258101851851853</v>
      </c>
      <c r="D15680" s="1">
        <v>12.891385</v>
      </c>
      <c r="E15680" s="1">
        <v>80.085201</v>
      </c>
      <c r="F15680" s="1">
        <v>805.0</v>
      </c>
      <c r="G15680" s="1">
        <v>44.0</v>
      </c>
    </row>
    <row r="15681">
      <c r="A15681" s="1" t="s">
        <v>8</v>
      </c>
      <c r="B15681" s="2">
        <v>44784.0</v>
      </c>
      <c r="C15681" s="3">
        <v>0.3527314814814815</v>
      </c>
      <c r="D15681" s="1">
        <v>12.915165</v>
      </c>
      <c r="E15681" s="1">
        <v>80.103794</v>
      </c>
      <c r="F15681" s="1">
        <v>3143.0</v>
      </c>
      <c r="G15681" s="1">
        <v>45.0</v>
      </c>
    </row>
    <row r="15682">
      <c r="A15682" s="1" t="s">
        <v>8</v>
      </c>
      <c r="B15682" s="2">
        <v>44784.0</v>
      </c>
      <c r="C15682" s="3">
        <v>0.3527314814814815</v>
      </c>
      <c r="D15682" s="1">
        <v>12.915165</v>
      </c>
      <c r="E15682" s="1">
        <v>80.103794</v>
      </c>
      <c r="F15682" s="1">
        <v>3143.0</v>
      </c>
      <c r="G15682" s="1">
        <v>45.0</v>
      </c>
    </row>
    <row r="15683">
      <c r="A15683" s="1" t="s">
        <v>7</v>
      </c>
      <c r="B15683" s="2">
        <v>44784.0</v>
      </c>
      <c r="C15683" s="3">
        <v>0.35280092592592593</v>
      </c>
      <c r="D15683" s="1">
        <v>12.8892</v>
      </c>
      <c r="E15683" s="1">
        <v>80.084277</v>
      </c>
      <c r="F15683" s="1">
        <v>805.0</v>
      </c>
      <c r="G15683" s="1">
        <v>52.0</v>
      </c>
    </row>
    <row r="15684">
      <c r="A15684" s="1" t="s">
        <v>7</v>
      </c>
      <c r="B15684" s="2">
        <v>44784.0</v>
      </c>
      <c r="C15684" s="3">
        <v>0.35619212962962965</v>
      </c>
      <c r="D15684" s="1">
        <v>12.898187</v>
      </c>
      <c r="E15684" s="1">
        <v>80.090119</v>
      </c>
      <c r="F15684" s="1">
        <v>3143.0</v>
      </c>
      <c r="G15684" s="1">
        <v>56.0</v>
      </c>
    </row>
    <row r="15685">
      <c r="A15685" s="1" t="s">
        <v>8</v>
      </c>
      <c r="B15685" s="2">
        <v>44784.0</v>
      </c>
      <c r="C15685" s="3">
        <v>0.35631944444444447</v>
      </c>
      <c r="D15685" s="1">
        <v>12.896706</v>
      </c>
      <c r="E15685" s="1">
        <v>80.089027</v>
      </c>
      <c r="F15685" s="1">
        <v>3143.0</v>
      </c>
      <c r="G15685" s="1">
        <v>42.0</v>
      </c>
    </row>
    <row r="15686">
      <c r="A15686" s="1" t="s">
        <v>8</v>
      </c>
      <c r="B15686" s="2">
        <v>44784.0</v>
      </c>
      <c r="C15686" s="3">
        <v>0.35689814814814813</v>
      </c>
      <c r="D15686" s="1">
        <v>12.891931</v>
      </c>
      <c r="E15686" s="1">
        <v>80.085499</v>
      </c>
      <c r="F15686" s="1">
        <v>3143.0</v>
      </c>
      <c r="G15686" s="1">
        <v>46.0</v>
      </c>
    </row>
    <row r="15687">
      <c r="A15687" s="1" t="s">
        <v>8</v>
      </c>
      <c r="B15687" s="2">
        <v>44784.0</v>
      </c>
      <c r="C15687" s="3">
        <v>0.3575115740740741</v>
      </c>
      <c r="D15687" s="1">
        <v>12.886238</v>
      </c>
      <c r="E15687" s="1">
        <v>80.083107</v>
      </c>
      <c r="F15687" s="1">
        <v>3143.0</v>
      </c>
      <c r="G15687" s="1">
        <v>52.0</v>
      </c>
    </row>
    <row r="15688">
      <c r="A15688" s="1" t="s">
        <v>8</v>
      </c>
      <c r="B15688" s="2">
        <v>44784.0</v>
      </c>
      <c r="C15688" s="3">
        <v>0.3586574074074074</v>
      </c>
      <c r="D15688" s="1">
        <v>12.879269</v>
      </c>
      <c r="E15688" s="1">
        <v>80.080382</v>
      </c>
      <c r="F15688" s="1">
        <v>3143.0</v>
      </c>
      <c r="G15688" s="1">
        <v>5.0</v>
      </c>
    </row>
    <row r="15689">
      <c r="A15689" s="1" t="s">
        <v>8</v>
      </c>
      <c r="B15689" s="2">
        <v>44784.0</v>
      </c>
      <c r="C15689" s="3">
        <v>0.6960879629629629</v>
      </c>
      <c r="D15689" s="1">
        <v>12.881985</v>
      </c>
      <c r="E15689" s="1">
        <v>80.080907</v>
      </c>
      <c r="F15689" s="1">
        <v>805.0</v>
      </c>
      <c r="G15689" s="1">
        <v>31.0</v>
      </c>
    </row>
    <row r="15690">
      <c r="A15690" s="1" t="s">
        <v>7</v>
      </c>
      <c r="B15690" s="2">
        <v>44784.0</v>
      </c>
      <c r="C15690" s="3">
        <v>0.6962847222222223</v>
      </c>
      <c r="D15690" s="1">
        <v>12.877035</v>
      </c>
      <c r="E15690" s="1">
        <v>80.079515</v>
      </c>
      <c r="F15690" s="1">
        <v>2846.0</v>
      </c>
      <c r="G15690" s="1">
        <v>52.0</v>
      </c>
    </row>
    <row r="15691">
      <c r="A15691" s="1" t="s">
        <v>8</v>
      </c>
      <c r="B15691" s="2">
        <v>44784.0</v>
      </c>
      <c r="C15691" s="3">
        <v>0.6964467592592593</v>
      </c>
      <c r="D15691" s="1">
        <v>12.88498</v>
      </c>
      <c r="E15691" s="1">
        <v>80.082136</v>
      </c>
      <c r="F15691" s="1">
        <v>805.0</v>
      </c>
      <c r="G15691" s="1">
        <v>46.0</v>
      </c>
    </row>
    <row r="15692">
      <c r="A15692" s="1" t="s">
        <v>8</v>
      </c>
      <c r="B15692" s="2">
        <v>44784.0</v>
      </c>
      <c r="C15692" s="3">
        <v>0.6964930555555555</v>
      </c>
      <c r="D15692" s="1">
        <v>12.881967</v>
      </c>
      <c r="E15692" s="1">
        <v>80.080887</v>
      </c>
      <c r="F15692" s="1">
        <v>3143.0</v>
      </c>
      <c r="G15692" s="1">
        <v>34.0</v>
      </c>
    </row>
    <row r="15693">
      <c r="A15693" s="1" t="s">
        <v>8</v>
      </c>
      <c r="B15693" s="2">
        <v>44784.0</v>
      </c>
      <c r="C15693" s="3">
        <v>0.6966319444444444</v>
      </c>
      <c r="D15693" s="1">
        <v>12.886751</v>
      </c>
      <c r="E15693" s="1">
        <v>80.083161</v>
      </c>
      <c r="F15693" s="1">
        <v>5339.0</v>
      </c>
      <c r="G15693" s="1">
        <v>47.0</v>
      </c>
    </row>
    <row r="15694">
      <c r="A15694" s="1" t="s">
        <v>8</v>
      </c>
      <c r="B15694" s="2">
        <v>44784.0</v>
      </c>
      <c r="C15694" s="3">
        <v>0.6966666666666667</v>
      </c>
      <c r="D15694" s="1">
        <v>12.886805</v>
      </c>
      <c r="E15694" s="1">
        <v>80.083137</v>
      </c>
      <c r="F15694" s="1">
        <v>805.0</v>
      </c>
      <c r="G15694" s="1">
        <v>52.0</v>
      </c>
    </row>
    <row r="15695">
      <c r="A15695" s="1" t="s">
        <v>8</v>
      </c>
      <c r="B15695" s="2">
        <v>44784.0</v>
      </c>
      <c r="C15695" s="3">
        <v>0.6967708333333333</v>
      </c>
      <c r="D15695" s="1">
        <v>12.888047</v>
      </c>
      <c r="E15695" s="1">
        <v>80.083654</v>
      </c>
      <c r="F15695" s="1">
        <v>805.0</v>
      </c>
      <c r="G15695" s="1">
        <v>46.0</v>
      </c>
    </row>
    <row r="15696">
      <c r="A15696" s="1" t="s">
        <v>8</v>
      </c>
      <c r="B15696" s="2">
        <v>44784.0</v>
      </c>
      <c r="C15696" s="3">
        <v>0.6968518518518518</v>
      </c>
      <c r="D15696" s="1">
        <v>12.884567</v>
      </c>
      <c r="E15696" s="1">
        <v>80.081936</v>
      </c>
      <c r="F15696" s="1">
        <v>3143.0</v>
      </c>
      <c r="G15696" s="1">
        <v>38.0</v>
      </c>
    </row>
    <row r="15697">
      <c r="A15697" s="1" t="s">
        <v>8</v>
      </c>
      <c r="B15697" s="2">
        <v>44784.0</v>
      </c>
      <c r="C15697" s="3">
        <v>0.6969560185185185</v>
      </c>
      <c r="D15697" s="1">
        <v>12.871665</v>
      </c>
      <c r="E15697" s="1">
        <v>80.077304</v>
      </c>
      <c r="F15697" s="1">
        <v>2846.0</v>
      </c>
      <c r="G15697" s="1">
        <v>57.0</v>
      </c>
    </row>
    <row r="15698">
      <c r="A15698" s="1" t="s">
        <v>7</v>
      </c>
      <c r="B15698" s="2">
        <v>44784.0</v>
      </c>
      <c r="C15698" s="3">
        <v>0.6970949074074074</v>
      </c>
      <c r="D15698" s="1">
        <v>12.891103</v>
      </c>
      <c r="E15698" s="1">
        <v>80.084951</v>
      </c>
      <c r="F15698" s="1">
        <v>5339.0</v>
      </c>
      <c r="G15698" s="1">
        <v>54.0</v>
      </c>
    </row>
    <row r="15699">
      <c r="A15699" s="1" t="s">
        <v>8</v>
      </c>
      <c r="B15699" s="2">
        <v>44784.0</v>
      </c>
      <c r="C15699" s="3">
        <v>0.6971180555555555</v>
      </c>
      <c r="D15699" s="1">
        <v>12.886187</v>
      </c>
      <c r="E15699" s="1">
        <v>80.082914</v>
      </c>
      <c r="F15699" s="1">
        <v>3143.0</v>
      </c>
      <c r="G15699" s="1">
        <v>42.0</v>
      </c>
    </row>
    <row r="15700">
      <c r="A15700" s="1" t="s">
        <v>7</v>
      </c>
      <c r="B15700" s="2">
        <v>44784.0</v>
      </c>
      <c r="C15700" s="3">
        <v>0.6971759259259259</v>
      </c>
      <c r="D15700" s="1">
        <v>12.892321</v>
      </c>
      <c r="E15700" s="1">
        <v>80.085569</v>
      </c>
      <c r="F15700" s="1">
        <v>5339.0</v>
      </c>
      <c r="G15700" s="1">
        <v>55.0</v>
      </c>
    </row>
    <row r="15701">
      <c r="A15701" s="1" t="s">
        <v>7</v>
      </c>
      <c r="B15701" s="2">
        <v>44784.0</v>
      </c>
      <c r="C15701" s="3">
        <v>0.6973148148148148</v>
      </c>
      <c r="D15701" s="1">
        <v>12.865564</v>
      </c>
      <c r="E15701" s="1">
        <v>80.074944</v>
      </c>
      <c r="F15701" s="1">
        <v>2846.0</v>
      </c>
      <c r="G15701" s="1">
        <v>40.0</v>
      </c>
    </row>
    <row r="15702">
      <c r="A15702" s="1" t="s">
        <v>7</v>
      </c>
      <c r="B15702" s="2">
        <v>44784.0</v>
      </c>
      <c r="C15702" s="3">
        <v>0.6973842592592593</v>
      </c>
      <c r="D15702" s="1">
        <v>12.893501</v>
      </c>
      <c r="E15702" s="1">
        <v>80.086426</v>
      </c>
      <c r="F15702" s="1">
        <v>5339.0</v>
      </c>
      <c r="G15702" s="1">
        <v>58.0</v>
      </c>
    </row>
    <row r="15703">
      <c r="A15703" s="1" t="s">
        <v>8</v>
      </c>
      <c r="B15703" s="2">
        <v>44784.0</v>
      </c>
      <c r="C15703" s="3">
        <v>0.6974074074074074</v>
      </c>
      <c r="D15703" s="1">
        <v>12.894607</v>
      </c>
      <c r="E15703" s="1">
        <v>80.087282</v>
      </c>
      <c r="F15703" s="1">
        <v>5339.0</v>
      </c>
      <c r="G15703" s="1">
        <v>49.0</v>
      </c>
    </row>
    <row r="15704">
      <c r="A15704" s="1" t="s">
        <v>7</v>
      </c>
      <c r="B15704" s="2">
        <v>44784.0</v>
      </c>
      <c r="C15704" s="3">
        <v>0.6974189814814815</v>
      </c>
      <c r="D15704" s="1">
        <v>12.893845</v>
      </c>
      <c r="E15704" s="1">
        <v>80.086722</v>
      </c>
      <c r="F15704" s="1">
        <v>805.0</v>
      </c>
      <c r="G15704" s="1">
        <v>56.0</v>
      </c>
    </row>
    <row r="15705">
      <c r="A15705" s="1" t="s">
        <v>8</v>
      </c>
      <c r="B15705" s="2">
        <v>44784.0</v>
      </c>
      <c r="C15705" s="3">
        <v>0.6974305555555556</v>
      </c>
      <c r="D15705" s="1">
        <v>12.865564</v>
      </c>
      <c r="E15705" s="1">
        <v>80.074944</v>
      </c>
      <c r="F15705" s="1">
        <v>2846.0</v>
      </c>
      <c r="G15705" s="1">
        <v>40.0</v>
      </c>
    </row>
    <row r="15706">
      <c r="A15706" s="1" t="s">
        <v>7</v>
      </c>
      <c r="B15706" s="2">
        <v>44784.0</v>
      </c>
      <c r="C15706" s="3">
        <v>0.6975462962962963</v>
      </c>
      <c r="D15706" s="1">
        <v>12.890923</v>
      </c>
      <c r="E15706" s="1">
        <v>80.084868</v>
      </c>
      <c r="F15706" s="1">
        <v>3143.0</v>
      </c>
      <c r="G15706" s="1">
        <v>56.0</v>
      </c>
    </row>
    <row r="15707">
      <c r="A15707" s="1" t="s">
        <v>8</v>
      </c>
      <c r="B15707" s="2">
        <v>44784.0</v>
      </c>
      <c r="C15707" s="3">
        <v>0.6975462962962963</v>
      </c>
      <c r="D15707" s="1">
        <v>12.895484</v>
      </c>
      <c r="E15707" s="1">
        <v>80.087949</v>
      </c>
      <c r="F15707" s="1">
        <v>5339.0</v>
      </c>
      <c r="G15707" s="1">
        <v>42.0</v>
      </c>
    </row>
    <row r="15708">
      <c r="A15708" s="1" t="s">
        <v>7</v>
      </c>
      <c r="B15708" s="2">
        <v>44784.0</v>
      </c>
      <c r="C15708" s="3">
        <v>0.6977199074074074</v>
      </c>
      <c r="D15708" s="1">
        <v>12.892221</v>
      </c>
      <c r="E15708" s="1">
        <v>80.085543</v>
      </c>
      <c r="F15708" s="1">
        <v>3143.0</v>
      </c>
      <c r="G15708" s="1">
        <v>57.0</v>
      </c>
    </row>
    <row r="15709">
      <c r="A15709" s="1" t="s">
        <v>8</v>
      </c>
      <c r="B15709" s="2">
        <v>44784.0</v>
      </c>
      <c r="C15709" s="3">
        <v>0.6977430555555556</v>
      </c>
      <c r="D15709" s="1">
        <v>12.860529</v>
      </c>
      <c r="E15709" s="1">
        <v>80.072694</v>
      </c>
      <c r="F15709" s="1">
        <v>2846.0</v>
      </c>
      <c r="G15709" s="1">
        <v>37.0</v>
      </c>
    </row>
    <row r="15710">
      <c r="A15710" s="1" t="s">
        <v>8</v>
      </c>
      <c r="B15710" s="2">
        <v>44784.0</v>
      </c>
      <c r="C15710" s="3">
        <v>0.6977777777777778</v>
      </c>
      <c r="D15710" s="1">
        <v>12.896803</v>
      </c>
      <c r="E15710" s="1">
        <v>80.088983</v>
      </c>
      <c r="F15710" s="1">
        <v>805.0</v>
      </c>
      <c r="G15710" s="1">
        <v>38.0</v>
      </c>
    </row>
    <row r="15711">
      <c r="A15711" s="1" t="s">
        <v>8</v>
      </c>
      <c r="B15711" s="2">
        <v>44784.0</v>
      </c>
      <c r="C15711" s="3">
        <v>0.6978125</v>
      </c>
      <c r="D15711" s="1">
        <v>12.893398</v>
      </c>
      <c r="E15711" s="1">
        <v>80.086405</v>
      </c>
      <c r="F15711" s="1">
        <v>3143.0</v>
      </c>
      <c r="G15711" s="1">
        <v>55.0</v>
      </c>
    </row>
    <row r="15712">
      <c r="A15712" s="1" t="s">
        <v>8</v>
      </c>
      <c r="B15712" s="2">
        <v>44784.0</v>
      </c>
      <c r="C15712" s="3">
        <v>0.6979050925925926</v>
      </c>
      <c r="D15712" s="1">
        <v>12.897535</v>
      </c>
      <c r="E15712" s="1">
        <v>80.089512</v>
      </c>
      <c r="F15712" s="1">
        <v>805.0</v>
      </c>
      <c r="G15712" s="1">
        <v>37.0</v>
      </c>
    </row>
    <row r="15713">
      <c r="A15713" s="1" t="s">
        <v>8</v>
      </c>
      <c r="B15713" s="2">
        <v>44784.0</v>
      </c>
      <c r="C15713" s="3">
        <v>0.6979398148148148</v>
      </c>
      <c r="D15713" s="1">
        <v>12.860529</v>
      </c>
      <c r="E15713" s="1">
        <v>80.072694</v>
      </c>
      <c r="F15713" s="1">
        <v>2846.0</v>
      </c>
      <c r="G15713" s="1">
        <v>37.0</v>
      </c>
    </row>
    <row r="15714">
      <c r="A15714" s="1" t="s">
        <v>8</v>
      </c>
      <c r="B15714" s="2">
        <v>44784.0</v>
      </c>
      <c r="C15714" s="3">
        <v>0.6979976851851852</v>
      </c>
      <c r="D15714" s="1">
        <v>12.898483</v>
      </c>
      <c r="E15714" s="1">
        <v>80.090196</v>
      </c>
      <c r="F15714" s="1">
        <v>805.0</v>
      </c>
      <c r="G15714" s="1">
        <v>51.0</v>
      </c>
    </row>
    <row r="15715">
      <c r="A15715" s="1" t="s">
        <v>8</v>
      </c>
      <c r="B15715" s="2">
        <v>44784.0</v>
      </c>
      <c r="C15715" s="3">
        <v>0.6980671296296296</v>
      </c>
      <c r="D15715" s="1">
        <v>12.899477</v>
      </c>
      <c r="E15715" s="1">
        <v>80.09092</v>
      </c>
      <c r="F15715" s="1">
        <v>805.0</v>
      </c>
      <c r="G15715" s="1">
        <v>51.0</v>
      </c>
    </row>
    <row r="15716">
      <c r="A15716" s="1" t="s">
        <v>8</v>
      </c>
      <c r="B15716" s="2">
        <v>44784.0</v>
      </c>
      <c r="C15716" s="3">
        <v>0.698113425925926</v>
      </c>
      <c r="D15716" s="1">
        <v>12.857832</v>
      </c>
      <c r="E15716" s="1">
        <v>80.070751</v>
      </c>
      <c r="F15716" s="1">
        <v>2846.0</v>
      </c>
      <c r="G15716" s="1">
        <v>44.0</v>
      </c>
    </row>
    <row r="15717">
      <c r="A15717" s="1" t="s">
        <v>8</v>
      </c>
      <c r="B15717" s="2">
        <v>44784.0</v>
      </c>
      <c r="C15717" s="3">
        <v>0.6981828703703704</v>
      </c>
      <c r="D15717" s="1">
        <v>12.900441</v>
      </c>
      <c r="E15717" s="1">
        <v>80.091633</v>
      </c>
      <c r="F15717" s="1">
        <v>805.0</v>
      </c>
      <c r="G15717" s="1">
        <v>48.0</v>
      </c>
    </row>
    <row r="15718">
      <c r="A15718" s="1" t="s">
        <v>8</v>
      </c>
      <c r="B15718" s="2">
        <v>44784.0</v>
      </c>
      <c r="C15718" s="3">
        <v>0.6983101851851852</v>
      </c>
      <c r="D15718" s="1">
        <v>12.856991</v>
      </c>
      <c r="E15718" s="1">
        <v>80.070096</v>
      </c>
      <c r="F15718" s="1">
        <v>2846.0</v>
      </c>
      <c r="G15718" s="1">
        <v>43.0</v>
      </c>
    </row>
    <row r="15719">
      <c r="A15719" s="1" t="s">
        <v>8</v>
      </c>
      <c r="B15719" s="2">
        <v>44784.0</v>
      </c>
      <c r="C15719" s="3">
        <v>0.6983912037037037</v>
      </c>
      <c r="D15719" s="1">
        <v>12.902331</v>
      </c>
      <c r="E15719" s="1">
        <v>80.093077</v>
      </c>
      <c r="F15719" s="1">
        <v>805.0</v>
      </c>
      <c r="G15719" s="1">
        <v>49.0</v>
      </c>
    </row>
    <row r="15720">
      <c r="A15720" s="1" t="s">
        <v>8</v>
      </c>
      <c r="B15720" s="2">
        <v>44784.0</v>
      </c>
      <c r="C15720" s="3">
        <v>0.6984375</v>
      </c>
      <c r="D15720" s="1">
        <v>12.898474</v>
      </c>
      <c r="E15720" s="1">
        <v>80.090117</v>
      </c>
      <c r="F15720" s="1">
        <v>3143.0</v>
      </c>
      <c r="G15720" s="1">
        <v>45.0</v>
      </c>
    </row>
    <row r="15721">
      <c r="A15721" s="1" t="s">
        <v>8</v>
      </c>
      <c r="B15721" s="2">
        <v>44784.0</v>
      </c>
      <c r="C15721" s="3">
        <v>0.6986111111111111</v>
      </c>
      <c r="D15721" s="1">
        <v>12.854327</v>
      </c>
      <c r="E15721" s="1">
        <v>80.068049</v>
      </c>
      <c r="F15721" s="1">
        <v>2846.0</v>
      </c>
      <c r="G15721" s="1">
        <v>47.0</v>
      </c>
    </row>
    <row r="15722">
      <c r="A15722" s="1" t="s">
        <v>8</v>
      </c>
      <c r="B15722" s="2">
        <v>44784.0</v>
      </c>
      <c r="C15722" s="3">
        <v>0.6986226851851852</v>
      </c>
      <c r="D15722" s="1">
        <v>12.899384</v>
      </c>
      <c r="E15722" s="1">
        <v>80.090796</v>
      </c>
      <c r="F15722" s="1">
        <v>3143.0</v>
      </c>
      <c r="G15722" s="1">
        <v>45.0</v>
      </c>
    </row>
    <row r="15723">
      <c r="A15723" s="1" t="s">
        <v>9</v>
      </c>
      <c r="B15723" s="2">
        <v>44784.0</v>
      </c>
      <c r="C15723" s="3">
        <v>0.6986689814814815</v>
      </c>
      <c r="D15723" s="1">
        <v>12.90427</v>
      </c>
      <c r="E15723" s="1">
        <v>80.09452</v>
      </c>
      <c r="F15723" s="1">
        <v>805.0</v>
      </c>
      <c r="G15723" s="1">
        <v>42.0</v>
      </c>
    </row>
    <row r="15724">
      <c r="A15724" s="1" t="s">
        <v>8</v>
      </c>
      <c r="B15724" s="2">
        <v>44784.0</v>
      </c>
      <c r="C15724" s="3">
        <v>0.6987037037037037</v>
      </c>
      <c r="D15724" s="1">
        <v>12.900287</v>
      </c>
      <c r="E15724" s="1">
        <v>80.091495</v>
      </c>
      <c r="F15724" s="1">
        <v>3143.0</v>
      </c>
      <c r="G15724" s="1">
        <v>40.0</v>
      </c>
    </row>
    <row r="15725">
      <c r="A15725" s="1" t="s">
        <v>8</v>
      </c>
      <c r="B15725" s="2">
        <v>44784.0</v>
      </c>
      <c r="C15725" s="3">
        <v>0.6987384259259259</v>
      </c>
      <c r="D15725" s="1">
        <v>12.900287</v>
      </c>
      <c r="E15725" s="1">
        <v>80.091495</v>
      </c>
      <c r="F15725" s="1">
        <v>3143.0</v>
      </c>
      <c r="G15725" s="1">
        <v>40.0</v>
      </c>
    </row>
    <row r="15726">
      <c r="A15726" s="1" t="s">
        <v>8</v>
      </c>
      <c r="B15726" s="2">
        <v>44784.0</v>
      </c>
      <c r="C15726" s="3">
        <v>0.6987847222222222</v>
      </c>
      <c r="D15726" s="1">
        <v>12.901127</v>
      </c>
      <c r="E15726" s="1">
        <v>80.092132</v>
      </c>
      <c r="F15726" s="1">
        <v>3143.0</v>
      </c>
      <c r="G15726" s="1">
        <v>39.0</v>
      </c>
    </row>
    <row r="15727">
      <c r="A15727" s="1" t="s">
        <v>8</v>
      </c>
      <c r="B15727" s="2">
        <v>44784.0</v>
      </c>
      <c r="C15727" s="3">
        <v>0.6989004629629629</v>
      </c>
      <c r="D15727" s="1">
        <v>12.905844</v>
      </c>
      <c r="E15727" s="1">
        <v>80.09572</v>
      </c>
      <c r="F15727" s="1">
        <v>805.0</v>
      </c>
      <c r="G15727" s="1">
        <v>44.0</v>
      </c>
    </row>
    <row r="15728">
      <c r="A15728" s="1" t="s">
        <v>8</v>
      </c>
      <c r="B15728" s="2">
        <v>44784.0</v>
      </c>
      <c r="C15728" s="3">
        <v>0.6989120370370371</v>
      </c>
      <c r="D15728" s="1">
        <v>12.905844</v>
      </c>
      <c r="E15728" s="1">
        <v>80.09572</v>
      </c>
      <c r="F15728" s="1">
        <v>805.0</v>
      </c>
      <c r="G15728" s="1">
        <v>44.0</v>
      </c>
    </row>
    <row r="15729">
      <c r="A15729" s="1" t="s">
        <v>8</v>
      </c>
      <c r="B15729" s="2">
        <v>44784.0</v>
      </c>
      <c r="C15729" s="3">
        <v>0.6990046296296296</v>
      </c>
      <c r="D15729" s="1">
        <v>12.90195</v>
      </c>
      <c r="E15729" s="1">
        <v>80.092756</v>
      </c>
      <c r="F15729" s="1">
        <v>3143.0</v>
      </c>
      <c r="G15729" s="1">
        <v>42.0</v>
      </c>
    </row>
    <row r="15730">
      <c r="A15730" s="1" t="s">
        <v>8</v>
      </c>
      <c r="B15730" s="2">
        <v>44784.0</v>
      </c>
      <c r="C15730" s="3">
        <v>0.6990162037037037</v>
      </c>
      <c r="D15730" s="1">
        <v>12.850606</v>
      </c>
      <c r="E15730" s="1">
        <v>80.065334</v>
      </c>
      <c r="F15730" s="1">
        <v>2846.0</v>
      </c>
      <c r="G15730" s="1">
        <v>48.0</v>
      </c>
    </row>
    <row r="15731">
      <c r="A15731" s="1" t="s">
        <v>7</v>
      </c>
      <c r="B15731" s="2">
        <v>44784.0</v>
      </c>
      <c r="C15731" s="3">
        <v>0.6994328703703704</v>
      </c>
      <c r="D15731" s="1">
        <v>12.905557</v>
      </c>
      <c r="E15731" s="1">
        <v>80.095492</v>
      </c>
      <c r="F15731" s="1">
        <v>3143.0</v>
      </c>
      <c r="G15731" s="1">
        <v>54.0</v>
      </c>
    </row>
    <row r="15732">
      <c r="A15732" s="1" t="s">
        <v>8</v>
      </c>
      <c r="B15732" s="2">
        <v>44784.0</v>
      </c>
      <c r="C15732" s="3">
        <v>0.6999074074074074</v>
      </c>
      <c r="D15732" s="1">
        <v>12.909082</v>
      </c>
      <c r="E15732" s="1">
        <v>80.09855</v>
      </c>
      <c r="F15732" s="1">
        <v>5339.0</v>
      </c>
      <c r="G15732" s="1">
        <v>14.0</v>
      </c>
    </row>
    <row r="15733">
      <c r="A15733" s="1" t="s">
        <v>8</v>
      </c>
      <c r="B15733" s="2">
        <v>44784.0</v>
      </c>
      <c r="C15733" s="3">
        <v>0.6999189814814815</v>
      </c>
      <c r="D15733" s="1">
        <v>12.909082</v>
      </c>
      <c r="E15733" s="1">
        <v>80.09855</v>
      </c>
      <c r="F15733" s="1">
        <v>5339.0</v>
      </c>
      <c r="G15733" s="1">
        <v>14.0</v>
      </c>
    </row>
    <row r="15734">
      <c r="A15734" s="1" t="s">
        <v>8</v>
      </c>
      <c r="B15734" s="2">
        <v>44784.0</v>
      </c>
      <c r="C15734" s="3">
        <v>0.7000810185185186</v>
      </c>
      <c r="D15734" s="1">
        <v>12.909897</v>
      </c>
      <c r="E15734" s="1">
        <v>80.099789</v>
      </c>
      <c r="F15734" s="1">
        <v>5339.0</v>
      </c>
      <c r="G15734" s="1">
        <v>45.0</v>
      </c>
    </row>
    <row r="15735">
      <c r="A15735" s="1" t="s">
        <v>8</v>
      </c>
      <c r="B15735" s="2">
        <v>44784.0</v>
      </c>
      <c r="C15735" s="3">
        <v>0.7003356481481482</v>
      </c>
      <c r="D15735" s="1">
        <v>12.910151</v>
      </c>
      <c r="E15735" s="1">
        <v>80.100206</v>
      </c>
      <c r="F15735" s="1">
        <v>805.0</v>
      </c>
      <c r="G15735" s="1">
        <v>45.0</v>
      </c>
    </row>
    <row r="15736">
      <c r="A15736" s="1" t="s">
        <v>8</v>
      </c>
      <c r="B15736" s="2">
        <v>44784.0</v>
      </c>
      <c r="C15736" s="3">
        <v>0.7003472222222222</v>
      </c>
      <c r="D15736" s="1">
        <v>12.9114</v>
      </c>
      <c r="E15736" s="1">
        <v>80.101264</v>
      </c>
      <c r="F15736" s="1">
        <v>5339.0</v>
      </c>
      <c r="G15736" s="1">
        <v>36.0</v>
      </c>
    </row>
    <row r="15737">
      <c r="A15737" s="1" t="s">
        <v>8</v>
      </c>
      <c r="B15737" s="2">
        <v>44784.0</v>
      </c>
      <c r="C15737" s="3">
        <v>0.7005439814814814</v>
      </c>
      <c r="D15737" s="1">
        <v>12.909552</v>
      </c>
      <c r="E15737" s="1">
        <v>80.099169</v>
      </c>
      <c r="F15737" s="1">
        <v>3143.0</v>
      </c>
      <c r="G15737" s="1">
        <v>23.0</v>
      </c>
    </row>
    <row r="15738">
      <c r="A15738" s="1" t="s">
        <v>8</v>
      </c>
      <c r="B15738" s="2">
        <v>44784.0</v>
      </c>
      <c r="C15738" s="3">
        <v>0.7006365740740741</v>
      </c>
      <c r="D15738" s="1">
        <v>12.913158</v>
      </c>
      <c r="E15738" s="1">
        <v>80.101464</v>
      </c>
      <c r="F15738" s="1">
        <v>5339.0</v>
      </c>
      <c r="G15738" s="1">
        <v>41.0</v>
      </c>
    </row>
    <row r="15739">
      <c r="A15739" s="1" t="s">
        <v>8</v>
      </c>
      <c r="B15739" s="2">
        <v>44784.0</v>
      </c>
      <c r="C15739" s="3">
        <v>0.7006481481481481</v>
      </c>
      <c r="D15739" s="1">
        <v>12.909936</v>
      </c>
      <c r="E15739" s="1">
        <v>80.099797</v>
      </c>
      <c r="F15739" s="1">
        <v>3143.0</v>
      </c>
      <c r="G15739" s="1">
        <v>30.0</v>
      </c>
    </row>
    <row r="15740">
      <c r="A15740" s="1" t="s">
        <v>8</v>
      </c>
      <c r="B15740" s="2">
        <v>44784.0</v>
      </c>
      <c r="C15740" s="3">
        <v>0.7007291666666666</v>
      </c>
      <c r="D15740" s="1">
        <v>12.909936</v>
      </c>
      <c r="E15740" s="1">
        <v>80.099797</v>
      </c>
      <c r="F15740" s="1">
        <v>3143.0</v>
      </c>
      <c r="G15740" s="1">
        <v>30.0</v>
      </c>
    </row>
    <row r="15741">
      <c r="A15741" s="1" t="s">
        <v>8</v>
      </c>
      <c r="B15741" s="2">
        <v>44784.0</v>
      </c>
      <c r="C15741" s="3">
        <v>0.7008449074074075</v>
      </c>
      <c r="D15741" s="1">
        <v>12.913189</v>
      </c>
      <c r="E15741" s="1">
        <v>80.101503</v>
      </c>
      <c r="F15741" s="1">
        <v>805.0</v>
      </c>
      <c r="G15741" s="1">
        <v>54.0</v>
      </c>
    </row>
    <row r="15742">
      <c r="A15742" s="1" t="s">
        <v>8</v>
      </c>
      <c r="B15742" s="2">
        <v>44784.0</v>
      </c>
      <c r="C15742" s="3">
        <v>0.7009143518518518</v>
      </c>
      <c r="D15742" s="1">
        <v>12.915674</v>
      </c>
      <c r="E15742" s="1">
        <v>80.103241</v>
      </c>
      <c r="F15742" s="1">
        <v>5339.0</v>
      </c>
      <c r="G15742" s="1">
        <v>43.0</v>
      </c>
    </row>
    <row r="15743">
      <c r="A15743" s="1" t="s">
        <v>8</v>
      </c>
      <c r="B15743" s="2">
        <v>44784.0</v>
      </c>
      <c r="C15743" s="3">
        <v>0.7010185185185185</v>
      </c>
      <c r="D15743" s="1">
        <v>12.915412</v>
      </c>
      <c r="E15743" s="1">
        <v>80.102565</v>
      </c>
      <c r="F15743" s="1">
        <v>805.0</v>
      </c>
      <c r="G15743" s="1">
        <v>53.0</v>
      </c>
    </row>
    <row r="15744">
      <c r="A15744" s="1" t="s">
        <v>9</v>
      </c>
      <c r="B15744" s="2">
        <v>44784.0</v>
      </c>
      <c r="C15744" s="3">
        <v>0.7010763888888889</v>
      </c>
      <c r="D15744" s="1">
        <v>12.842309</v>
      </c>
      <c r="E15744" s="1">
        <v>80.058186</v>
      </c>
      <c r="F15744" s="1">
        <v>2846.0</v>
      </c>
      <c r="G15744" s="1">
        <v>46.0</v>
      </c>
    </row>
    <row r="15745">
      <c r="A15745" s="1" t="s">
        <v>8</v>
      </c>
      <c r="B15745" s="2">
        <v>44784.0</v>
      </c>
      <c r="C15745" s="3">
        <v>0.7011689814814814</v>
      </c>
      <c r="D15745" s="1">
        <v>12.916154</v>
      </c>
      <c r="E15745" s="1">
        <v>80.105454</v>
      </c>
      <c r="F15745" s="1">
        <v>5339.0</v>
      </c>
      <c r="G15745" s="1">
        <v>53.0</v>
      </c>
    </row>
    <row r="15746">
      <c r="A15746" s="1" t="s">
        <v>8</v>
      </c>
      <c r="B15746" s="2">
        <v>44784.0</v>
      </c>
      <c r="C15746" s="3">
        <v>0.7011921296296296</v>
      </c>
      <c r="D15746" s="1">
        <v>12.911594</v>
      </c>
      <c r="E15746" s="1">
        <v>80.101269</v>
      </c>
      <c r="F15746" s="1">
        <v>3143.0</v>
      </c>
      <c r="G15746" s="1">
        <v>22.0</v>
      </c>
    </row>
    <row r="15747">
      <c r="A15747" s="1" t="s">
        <v>7</v>
      </c>
      <c r="B15747" s="2">
        <v>44784.0</v>
      </c>
      <c r="C15747" s="3">
        <v>0.70125</v>
      </c>
      <c r="D15747" s="1">
        <v>12.915962</v>
      </c>
      <c r="E15747" s="1">
        <v>80.105071</v>
      </c>
      <c r="F15747" s="1">
        <v>805.0</v>
      </c>
      <c r="G15747" s="1">
        <v>56.0</v>
      </c>
    </row>
    <row r="15748">
      <c r="A15748" s="1" t="s">
        <v>8</v>
      </c>
      <c r="B15748" s="2">
        <v>44784.0</v>
      </c>
      <c r="C15748" s="3">
        <v>0.7012847222222223</v>
      </c>
      <c r="D15748" s="1">
        <v>12.915962</v>
      </c>
      <c r="E15748" s="1">
        <v>80.105071</v>
      </c>
      <c r="F15748" s="1">
        <v>805.0</v>
      </c>
      <c r="G15748" s="1">
        <v>56.0</v>
      </c>
    </row>
    <row r="15749">
      <c r="A15749" s="1" t="s">
        <v>8</v>
      </c>
      <c r="B15749" s="2">
        <v>44784.0</v>
      </c>
      <c r="C15749" s="3">
        <v>0.7012962962962963</v>
      </c>
      <c r="D15749" s="1">
        <v>12.840613</v>
      </c>
      <c r="E15749" s="1">
        <v>80.056401</v>
      </c>
      <c r="F15749" s="1">
        <v>2846.0</v>
      </c>
      <c r="G15749" s="1">
        <v>34.0</v>
      </c>
    </row>
    <row r="15750">
      <c r="A15750" s="1" t="s">
        <v>8</v>
      </c>
      <c r="B15750" s="2">
        <v>44784.0</v>
      </c>
      <c r="C15750" s="3">
        <v>0.7012962962962963</v>
      </c>
      <c r="D15750" s="1">
        <v>12.840613</v>
      </c>
      <c r="E15750" s="1">
        <v>80.056401</v>
      </c>
      <c r="F15750" s="1">
        <v>2846.0</v>
      </c>
      <c r="G15750" s="1">
        <v>34.0</v>
      </c>
    </row>
    <row r="15751">
      <c r="A15751" s="1" t="s">
        <v>8</v>
      </c>
      <c r="B15751" s="2">
        <v>44784.0</v>
      </c>
      <c r="C15751" s="3">
        <v>0.7013194444444445</v>
      </c>
      <c r="D15751" s="1">
        <v>12.840613</v>
      </c>
      <c r="E15751" s="1">
        <v>80.056401</v>
      </c>
      <c r="F15751" s="1">
        <v>2846.0</v>
      </c>
      <c r="G15751" s="1">
        <v>34.0</v>
      </c>
    </row>
    <row r="15752">
      <c r="A15752" s="1" t="s">
        <v>8</v>
      </c>
      <c r="B15752" s="2">
        <v>44784.0</v>
      </c>
      <c r="C15752" s="3">
        <v>0.7015509259259259</v>
      </c>
      <c r="D15752" s="1">
        <v>12.839474</v>
      </c>
      <c r="E15752" s="1">
        <v>80.055193</v>
      </c>
      <c r="F15752" s="1">
        <v>2846.0</v>
      </c>
      <c r="G15752" s="1">
        <v>27.0</v>
      </c>
    </row>
    <row r="15753">
      <c r="A15753" s="1" t="s">
        <v>8</v>
      </c>
      <c r="B15753" s="2">
        <v>44784.0</v>
      </c>
      <c r="C15753" s="3">
        <v>0.7016550925925926</v>
      </c>
      <c r="D15753" s="1">
        <v>12.916978</v>
      </c>
      <c r="E15753" s="1">
        <v>80.10704</v>
      </c>
      <c r="F15753" s="1">
        <v>805.0</v>
      </c>
      <c r="G15753" s="1">
        <v>10.0</v>
      </c>
    </row>
    <row r="15754">
      <c r="A15754" s="1" t="s">
        <v>8</v>
      </c>
      <c r="B15754" s="2">
        <v>44784.0</v>
      </c>
      <c r="C15754" s="3">
        <v>0.7018865740740741</v>
      </c>
      <c r="D15754" s="1">
        <v>12.918334</v>
      </c>
      <c r="E15754" s="1">
        <v>80.108853</v>
      </c>
      <c r="F15754" s="1">
        <v>5339.0</v>
      </c>
      <c r="G15754" s="1">
        <v>56.0</v>
      </c>
    </row>
    <row r="15755">
      <c r="A15755" s="1" t="s">
        <v>7</v>
      </c>
      <c r="B15755" s="2">
        <v>44784.0</v>
      </c>
      <c r="C15755" s="3">
        <v>0.7019097222222223</v>
      </c>
      <c r="D15755" s="1">
        <v>12.838441</v>
      </c>
      <c r="E15755" s="1">
        <v>80.054063</v>
      </c>
      <c r="F15755" s="1">
        <v>2846.0</v>
      </c>
      <c r="G15755" s="1">
        <v>29.0</v>
      </c>
    </row>
    <row r="15756">
      <c r="A15756" s="1" t="s">
        <v>7</v>
      </c>
      <c r="B15756" s="2">
        <v>44784.0</v>
      </c>
      <c r="C15756" s="3">
        <v>0.7019328703703703</v>
      </c>
      <c r="D15756" s="1">
        <v>12.918768</v>
      </c>
      <c r="E15756" s="1">
        <v>80.109405</v>
      </c>
      <c r="F15756" s="1">
        <v>805.0</v>
      </c>
      <c r="G15756" s="1">
        <v>61.0</v>
      </c>
    </row>
    <row r="15757">
      <c r="A15757" s="1" t="s">
        <v>8</v>
      </c>
      <c r="B15757" s="2">
        <v>44784.0</v>
      </c>
      <c r="C15757" s="3">
        <v>0.7019560185185185</v>
      </c>
      <c r="D15757" s="1">
        <v>12.838441</v>
      </c>
      <c r="E15757" s="1">
        <v>80.054063</v>
      </c>
      <c r="F15757" s="1">
        <v>2846.0</v>
      </c>
      <c r="G15757" s="1">
        <v>29.0</v>
      </c>
    </row>
    <row r="15758">
      <c r="A15758" s="1" t="s">
        <v>8</v>
      </c>
      <c r="B15758" s="2">
        <v>44784.0</v>
      </c>
      <c r="C15758" s="3">
        <v>0.7020138888888889</v>
      </c>
      <c r="D15758" s="1">
        <v>12.916611</v>
      </c>
      <c r="E15758" s="1">
        <v>80.10634</v>
      </c>
      <c r="F15758" s="1">
        <v>3143.0</v>
      </c>
      <c r="G15758" s="1">
        <v>43.0</v>
      </c>
    </row>
    <row r="15759">
      <c r="A15759" s="1" t="s">
        <v>7</v>
      </c>
      <c r="B15759" s="2">
        <v>44784.0</v>
      </c>
      <c r="C15759" s="3">
        <v>0.7021412037037037</v>
      </c>
      <c r="D15759" s="1">
        <v>12.919676</v>
      </c>
      <c r="E15759" s="1">
        <v>80.110582</v>
      </c>
      <c r="F15759" s="1">
        <v>805.0</v>
      </c>
      <c r="G15759" s="1">
        <v>58.0</v>
      </c>
    </row>
    <row r="15760">
      <c r="A15760" s="1" t="s">
        <v>8</v>
      </c>
      <c r="B15760" s="2">
        <v>44784.0</v>
      </c>
      <c r="C15760" s="3">
        <v>0.7021875</v>
      </c>
      <c r="D15760" s="1">
        <v>12.917562</v>
      </c>
      <c r="E15760" s="1">
        <v>80.107958</v>
      </c>
      <c r="F15760" s="1">
        <v>3143.0</v>
      </c>
      <c r="G15760" s="1">
        <v>37.0</v>
      </c>
    </row>
    <row r="15761">
      <c r="A15761" s="1" t="s">
        <v>7</v>
      </c>
      <c r="B15761" s="2">
        <v>44784.0</v>
      </c>
      <c r="C15761" s="3">
        <v>0.7023263888888889</v>
      </c>
      <c r="D15761" s="1">
        <v>12.83497</v>
      </c>
      <c r="E15761" s="1">
        <v>80.050473</v>
      </c>
      <c r="F15761" s="1">
        <v>2846.0</v>
      </c>
      <c r="G15761" s="1">
        <v>56.0</v>
      </c>
    </row>
    <row r="15762">
      <c r="A15762" s="1" t="s">
        <v>7</v>
      </c>
      <c r="B15762" s="2">
        <v>44784.0</v>
      </c>
      <c r="C15762" s="3">
        <v>0.7023263888888889</v>
      </c>
      <c r="D15762" s="1">
        <v>12.922215</v>
      </c>
      <c r="E15762" s="1">
        <v>80.113306</v>
      </c>
      <c r="F15762" s="1">
        <v>5339.0</v>
      </c>
      <c r="G15762" s="1">
        <v>58.0</v>
      </c>
    </row>
    <row r="15763">
      <c r="A15763" s="1" t="s">
        <v>8</v>
      </c>
      <c r="B15763" s="2">
        <v>44784.0</v>
      </c>
      <c r="C15763" s="3">
        <v>0.7023611111111111</v>
      </c>
      <c r="D15763" s="1">
        <v>12.83497</v>
      </c>
      <c r="E15763" s="1">
        <v>80.050473</v>
      </c>
      <c r="F15763" s="1">
        <v>2846.0</v>
      </c>
      <c r="G15763" s="1">
        <v>56.0</v>
      </c>
    </row>
    <row r="15764">
      <c r="A15764" s="1" t="s">
        <v>8</v>
      </c>
      <c r="B15764" s="2">
        <v>44784.0</v>
      </c>
      <c r="C15764" s="3">
        <v>0.702511574074074</v>
      </c>
      <c r="D15764" s="1">
        <v>12.831919</v>
      </c>
      <c r="E15764" s="1">
        <v>80.047284</v>
      </c>
      <c r="F15764" s="1">
        <v>2846.0</v>
      </c>
      <c r="G15764" s="1">
        <v>58.0</v>
      </c>
    </row>
    <row r="15765">
      <c r="A15765" s="1" t="s">
        <v>8</v>
      </c>
      <c r="B15765" s="2">
        <v>44784.0</v>
      </c>
      <c r="C15765" s="3">
        <v>0.7026273148148148</v>
      </c>
      <c r="D15765" s="1">
        <v>12.920053</v>
      </c>
      <c r="E15765" s="1">
        <v>80.110946</v>
      </c>
      <c r="F15765" s="1">
        <v>3143.0</v>
      </c>
      <c r="G15765" s="1">
        <v>43.0</v>
      </c>
    </row>
    <row r="15766">
      <c r="A15766" s="1" t="s">
        <v>8</v>
      </c>
      <c r="B15766" s="2">
        <v>44784.0</v>
      </c>
      <c r="C15766" s="3">
        <v>0.7027430555555556</v>
      </c>
      <c r="D15766" s="1">
        <v>12.920786</v>
      </c>
      <c r="E15766" s="1">
        <v>80.111704</v>
      </c>
      <c r="F15766" s="1">
        <v>3143.0</v>
      </c>
      <c r="G15766" s="1">
        <v>37.0</v>
      </c>
    </row>
    <row r="15767">
      <c r="A15767" s="1" t="s">
        <v>8</v>
      </c>
      <c r="B15767" s="2">
        <v>44784.0</v>
      </c>
      <c r="C15767" s="3">
        <v>0.7027662037037037</v>
      </c>
      <c r="D15767" s="1">
        <v>12.920786</v>
      </c>
      <c r="E15767" s="1">
        <v>80.111704</v>
      </c>
      <c r="F15767" s="1">
        <v>3143.0</v>
      </c>
      <c r="G15767" s="1">
        <v>37.0</v>
      </c>
    </row>
    <row r="15768">
      <c r="A15768" s="1" t="s">
        <v>7</v>
      </c>
      <c r="B15768" s="2">
        <v>44784.0</v>
      </c>
      <c r="C15768" s="3">
        <v>0.7030671296296296</v>
      </c>
      <c r="D15768" s="1">
        <v>12.827009</v>
      </c>
      <c r="E15768" s="1">
        <v>80.042078</v>
      </c>
      <c r="F15768" s="1">
        <v>2846.0</v>
      </c>
      <c r="G15768" s="1">
        <v>57.0</v>
      </c>
    </row>
    <row r="15769">
      <c r="A15769" s="1" t="s">
        <v>8</v>
      </c>
      <c r="B15769" s="2">
        <v>44784.0</v>
      </c>
      <c r="C15769" s="3">
        <v>0.7030902777777778</v>
      </c>
      <c r="D15769" s="1">
        <v>12.827009</v>
      </c>
      <c r="E15769" s="1">
        <v>80.042078</v>
      </c>
      <c r="F15769" s="1">
        <v>2846.0</v>
      </c>
      <c r="G15769" s="1">
        <v>57.0</v>
      </c>
    </row>
    <row r="15770">
      <c r="A15770" s="1" t="s">
        <v>7</v>
      </c>
      <c r="B15770" s="2">
        <v>44784.0</v>
      </c>
      <c r="C15770" s="3">
        <v>0.7033101851851852</v>
      </c>
      <c r="D15770" s="1">
        <v>12.827009</v>
      </c>
      <c r="E15770" s="1">
        <v>80.042078</v>
      </c>
      <c r="F15770" s="1">
        <v>2846.0</v>
      </c>
      <c r="G15770" s="1">
        <v>57.0</v>
      </c>
    </row>
    <row r="15771">
      <c r="A15771" s="1" t="s">
        <v>7</v>
      </c>
      <c r="B15771" s="2">
        <v>44784.0</v>
      </c>
      <c r="C15771" s="3">
        <v>0.7033912037037037</v>
      </c>
      <c r="D15771" s="1">
        <v>12.824826</v>
      </c>
      <c r="E15771" s="1">
        <v>80.040218</v>
      </c>
      <c r="F15771" s="1">
        <v>2846.0</v>
      </c>
      <c r="G15771" s="1">
        <v>57.0</v>
      </c>
    </row>
    <row r="15772">
      <c r="A15772" s="1" t="s">
        <v>8</v>
      </c>
      <c r="B15772" s="2">
        <v>44784.0</v>
      </c>
      <c r="C15772" s="3">
        <v>0.7039236111111111</v>
      </c>
      <c r="D15772" s="1">
        <v>12.821476</v>
      </c>
      <c r="E15772" s="1">
        <v>80.037927</v>
      </c>
      <c r="F15772" s="1">
        <v>2846.0</v>
      </c>
      <c r="G15772" s="1">
        <v>22.0</v>
      </c>
    </row>
    <row r="15773">
      <c r="A15773" s="1" t="s">
        <v>7</v>
      </c>
      <c r="B15773" s="2">
        <v>44784.0</v>
      </c>
      <c r="C15773" s="3">
        <v>0.7044907407407407</v>
      </c>
      <c r="D15773" s="1">
        <v>12.816853</v>
      </c>
      <c r="E15773" s="1">
        <v>80.034575</v>
      </c>
      <c r="F15773" s="1">
        <v>2846.0</v>
      </c>
      <c r="G15773" s="1">
        <v>58.0</v>
      </c>
    </row>
    <row r="15774">
      <c r="A15774" s="1" t="s">
        <v>8</v>
      </c>
      <c r="B15774" s="2">
        <v>44784.0</v>
      </c>
      <c r="C15774" s="3">
        <v>0.7053125</v>
      </c>
      <c r="D15774" s="1">
        <v>12.928594</v>
      </c>
      <c r="E15774" s="1">
        <v>80.119709</v>
      </c>
      <c r="F15774" s="1">
        <v>805.0</v>
      </c>
      <c r="G15774" s="1">
        <v>42.0</v>
      </c>
    </row>
    <row r="15775">
      <c r="A15775" s="1" t="s">
        <v>7</v>
      </c>
      <c r="B15775" s="2">
        <v>44784.0</v>
      </c>
      <c r="C15775" s="3">
        <v>0.7055902777777778</v>
      </c>
      <c r="D15775" s="1">
        <v>12.810764</v>
      </c>
      <c r="E15775" s="1">
        <v>80.030478</v>
      </c>
      <c r="F15775" s="1">
        <v>2846.0</v>
      </c>
      <c r="G15775" s="1">
        <v>58.0</v>
      </c>
    </row>
    <row r="15776">
      <c r="A15776" s="1" t="s">
        <v>8</v>
      </c>
      <c r="B15776" s="2">
        <v>44784.0</v>
      </c>
      <c r="C15776" s="3">
        <v>0.706400462962963</v>
      </c>
      <c r="D15776" s="1">
        <v>12.922831</v>
      </c>
      <c r="E15776" s="1">
        <v>80.130347</v>
      </c>
      <c r="F15776" s="1">
        <v>3143.0</v>
      </c>
      <c r="G15776" s="1">
        <v>33.0</v>
      </c>
    </row>
    <row r="15777">
      <c r="A15777" s="1" t="s">
        <v>8</v>
      </c>
      <c r="B15777" s="2">
        <v>44784.0</v>
      </c>
      <c r="C15777" s="3">
        <v>0.7064467592592593</v>
      </c>
      <c r="D15777" s="1">
        <v>12.922831</v>
      </c>
      <c r="E15777" s="1">
        <v>80.130347</v>
      </c>
      <c r="F15777" s="1">
        <v>3143.0</v>
      </c>
      <c r="G15777" s="1">
        <v>33.0</v>
      </c>
    </row>
    <row r="15778">
      <c r="A15778" s="1" t="s">
        <v>8</v>
      </c>
      <c r="B15778" s="2">
        <v>44784.0</v>
      </c>
      <c r="C15778" s="3">
        <v>0.7064814814814815</v>
      </c>
      <c r="D15778" s="1">
        <v>12.922831</v>
      </c>
      <c r="E15778" s="1">
        <v>80.130347</v>
      </c>
      <c r="F15778" s="1">
        <v>3143.0</v>
      </c>
      <c r="G15778" s="1">
        <v>33.0</v>
      </c>
    </row>
    <row r="15779">
      <c r="A15779" s="1" t="s">
        <v>8</v>
      </c>
      <c r="B15779" s="2">
        <v>44784.0</v>
      </c>
      <c r="C15779" s="3">
        <v>0.7067476851851852</v>
      </c>
      <c r="D15779" s="1">
        <v>12.931197</v>
      </c>
      <c r="E15779" s="1">
        <v>80.122281</v>
      </c>
      <c r="F15779" s="1">
        <v>805.0</v>
      </c>
      <c r="G15779" s="1">
        <v>13.0</v>
      </c>
    </row>
    <row r="15780">
      <c r="A15780" s="1" t="s">
        <v>8</v>
      </c>
      <c r="B15780" s="2">
        <v>44784.0</v>
      </c>
      <c r="C15780" s="3">
        <v>0.7067592592592593</v>
      </c>
      <c r="D15780" s="1">
        <v>12.931197</v>
      </c>
      <c r="E15780" s="1">
        <v>80.122281</v>
      </c>
      <c r="F15780" s="1">
        <v>805.0</v>
      </c>
      <c r="G15780" s="1">
        <v>13.0</v>
      </c>
    </row>
    <row r="15781">
      <c r="A15781" s="1" t="s">
        <v>8</v>
      </c>
      <c r="B15781" s="2">
        <v>44784.0</v>
      </c>
      <c r="C15781" s="3">
        <v>0.7068981481481481</v>
      </c>
      <c r="D15781" s="1">
        <v>12.932216</v>
      </c>
      <c r="E15781" s="1">
        <v>80.123319</v>
      </c>
      <c r="F15781" s="1">
        <v>805.0</v>
      </c>
      <c r="G15781" s="1">
        <v>46.0</v>
      </c>
    </row>
    <row r="15782">
      <c r="A15782" s="1" t="s">
        <v>8</v>
      </c>
      <c r="B15782" s="2">
        <v>44784.0</v>
      </c>
      <c r="C15782" s="3">
        <v>0.7080555555555555</v>
      </c>
      <c r="D15782" s="1">
        <v>12.922465</v>
      </c>
      <c r="E15782" s="1">
        <v>80.13852</v>
      </c>
      <c r="F15782" s="1">
        <v>3143.0</v>
      </c>
      <c r="G15782" s="1">
        <v>28.0</v>
      </c>
    </row>
    <row r="15783">
      <c r="A15783" s="1" t="s">
        <v>7</v>
      </c>
      <c r="B15783" s="2">
        <v>44784.0</v>
      </c>
      <c r="C15783" s="3">
        <v>0.7083912037037037</v>
      </c>
      <c r="D15783" s="1">
        <v>12.937667</v>
      </c>
      <c r="E15783" s="1">
        <v>80.128352</v>
      </c>
      <c r="F15783" s="1">
        <v>805.0</v>
      </c>
      <c r="G15783" s="1">
        <v>55.0</v>
      </c>
    </row>
    <row r="15784">
      <c r="A15784" s="1" t="s">
        <v>8</v>
      </c>
      <c r="B15784" s="2">
        <v>44784.0</v>
      </c>
      <c r="C15784" s="3">
        <v>0.7085416666666666</v>
      </c>
      <c r="D15784" s="1">
        <v>12.773415</v>
      </c>
      <c r="E15784" s="1">
        <v>80.008912</v>
      </c>
      <c r="F15784" s="1">
        <v>2846.0</v>
      </c>
      <c r="G15784" s="1">
        <v>58.0</v>
      </c>
    </row>
    <row r="15785">
      <c r="A15785" s="1" t="s">
        <v>8</v>
      </c>
      <c r="B15785" s="2">
        <v>44784.0</v>
      </c>
      <c r="C15785" s="3">
        <v>0.7085416666666666</v>
      </c>
      <c r="D15785" s="1">
        <v>12.922551</v>
      </c>
      <c r="E15785" s="1">
        <v>80.14298</v>
      </c>
      <c r="F15785" s="1">
        <v>3143.0</v>
      </c>
      <c r="G15785" s="1">
        <v>22.0</v>
      </c>
    </row>
    <row r="15786">
      <c r="A15786" s="1" t="s">
        <v>8</v>
      </c>
      <c r="B15786" s="2">
        <v>44784.0</v>
      </c>
      <c r="C15786" s="3">
        <v>0.7087962962962963</v>
      </c>
      <c r="D15786" s="1">
        <v>12.922566</v>
      </c>
      <c r="E15786" s="1">
        <v>80.144424</v>
      </c>
      <c r="F15786" s="1">
        <v>3143.0</v>
      </c>
      <c r="G15786" s="1">
        <v>42.0</v>
      </c>
    </row>
    <row r="15787">
      <c r="A15787" s="1" t="s">
        <v>8</v>
      </c>
      <c r="B15787" s="2">
        <v>44784.0</v>
      </c>
      <c r="C15787" s="3">
        <v>0.7090277777777778</v>
      </c>
      <c r="D15787" s="1">
        <v>12.769055</v>
      </c>
      <c r="E15787" s="1">
        <v>80.006809</v>
      </c>
      <c r="F15787" s="1">
        <v>2846.0</v>
      </c>
      <c r="G15787" s="1">
        <v>58.0</v>
      </c>
    </row>
    <row r="15788">
      <c r="A15788" s="1" t="s">
        <v>8</v>
      </c>
      <c r="B15788" s="2">
        <v>44784.0</v>
      </c>
      <c r="C15788" s="3">
        <v>0.7093055555555555</v>
      </c>
      <c r="D15788" s="1">
        <v>12.942451</v>
      </c>
      <c r="E15788" s="1">
        <v>80.133008</v>
      </c>
      <c r="F15788" s="1">
        <v>805.0</v>
      </c>
      <c r="G15788" s="1">
        <v>19.0</v>
      </c>
    </row>
    <row r="15789">
      <c r="A15789" s="1" t="s">
        <v>8</v>
      </c>
      <c r="B15789" s="2">
        <v>44784.0</v>
      </c>
      <c r="C15789" s="3">
        <v>0.7094560185185185</v>
      </c>
      <c r="D15789" s="1">
        <v>12.9435</v>
      </c>
      <c r="E15789" s="1">
        <v>80.134076</v>
      </c>
      <c r="F15789" s="1">
        <v>805.0</v>
      </c>
      <c r="G15789" s="1">
        <v>34.0</v>
      </c>
    </row>
    <row r="15790">
      <c r="A15790" s="1" t="s">
        <v>8</v>
      </c>
      <c r="B15790" s="2">
        <v>44784.0</v>
      </c>
      <c r="C15790" s="3">
        <v>0.7095370370370371</v>
      </c>
      <c r="D15790" s="1">
        <v>12.933619</v>
      </c>
      <c r="E15790" s="1">
        <v>80.124752</v>
      </c>
      <c r="F15790" s="1">
        <v>5339.0</v>
      </c>
      <c r="G15790" s="1">
        <v>37.0</v>
      </c>
    </row>
    <row r="15791">
      <c r="A15791" s="1" t="s">
        <v>9</v>
      </c>
      <c r="B15791" s="2">
        <v>44784.0</v>
      </c>
      <c r="C15791" s="3">
        <v>0.7095370370370371</v>
      </c>
      <c r="D15791" s="1">
        <v>12.761886</v>
      </c>
      <c r="E15791" s="1">
        <v>80.003809</v>
      </c>
      <c r="F15791" s="1">
        <v>2846.0</v>
      </c>
      <c r="G15791" s="1">
        <v>41.0</v>
      </c>
    </row>
    <row r="15792">
      <c r="A15792" s="1" t="s">
        <v>8</v>
      </c>
      <c r="B15792" s="2">
        <v>44784.0</v>
      </c>
      <c r="C15792" s="3">
        <v>0.7095717592592593</v>
      </c>
      <c r="D15792" s="1">
        <v>12.922734</v>
      </c>
      <c r="E15792" s="1">
        <v>80.147524</v>
      </c>
      <c r="F15792" s="1">
        <v>3143.0</v>
      </c>
      <c r="G15792" s="1">
        <v>19.0</v>
      </c>
    </row>
    <row r="15793">
      <c r="A15793" s="1" t="s">
        <v>7</v>
      </c>
      <c r="B15793" s="2">
        <v>44784.0</v>
      </c>
      <c r="C15793" s="3">
        <v>0.7096064814814815</v>
      </c>
      <c r="D15793" s="1">
        <v>12.944239</v>
      </c>
      <c r="E15793" s="1">
        <v>80.134717</v>
      </c>
      <c r="F15793" s="1">
        <v>805.0</v>
      </c>
      <c r="G15793" s="1">
        <v>44.0</v>
      </c>
    </row>
    <row r="15794">
      <c r="A15794" s="1" t="s">
        <v>8</v>
      </c>
      <c r="B15794" s="2">
        <v>44784.0</v>
      </c>
      <c r="C15794" s="3">
        <v>0.7096643518518518</v>
      </c>
      <c r="D15794" s="1">
        <v>12.944239</v>
      </c>
      <c r="E15794" s="1">
        <v>80.134717</v>
      </c>
      <c r="F15794" s="1">
        <v>805.0</v>
      </c>
      <c r="G15794" s="1">
        <v>44.0</v>
      </c>
    </row>
    <row r="15795">
      <c r="A15795" s="1" t="s">
        <v>8</v>
      </c>
      <c r="B15795" s="2">
        <v>44784.0</v>
      </c>
      <c r="C15795" s="3">
        <v>0.7099074074074074</v>
      </c>
      <c r="D15795" s="1">
        <v>12.764127</v>
      </c>
      <c r="E15795" s="1">
        <v>80.004602</v>
      </c>
      <c r="F15795" s="1">
        <v>2846.0</v>
      </c>
      <c r="G15795" s="1">
        <v>57.0</v>
      </c>
    </row>
    <row r="15796">
      <c r="A15796" s="1" t="s">
        <v>7</v>
      </c>
      <c r="B15796" s="2">
        <v>44784.0</v>
      </c>
      <c r="C15796" s="3">
        <v>0.7099305555555555</v>
      </c>
      <c r="D15796" s="1">
        <v>12.947318</v>
      </c>
      <c r="E15796" s="1">
        <v>80.137028</v>
      </c>
      <c r="F15796" s="1">
        <v>805.0</v>
      </c>
      <c r="G15796" s="1">
        <v>48.0</v>
      </c>
    </row>
    <row r="15797">
      <c r="A15797" s="1" t="s">
        <v>8</v>
      </c>
      <c r="B15797" s="2">
        <v>44784.0</v>
      </c>
      <c r="C15797" s="3">
        <v>0.71</v>
      </c>
      <c r="D15797" s="1">
        <v>12.947318</v>
      </c>
      <c r="E15797" s="1">
        <v>80.137028</v>
      </c>
      <c r="F15797" s="1">
        <v>805.0</v>
      </c>
      <c r="G15797" s="1">
        <v>48.0</v>
      </c>
    </row>
    <row r="15798">
      <c r="A15798" s="1" t="s">
        <v>8</v>
      </c>
      <c r="B15798" s="2">
        <v>44784.0</v>
      </c>
      <c r="C15798" s="3">
        <v>0.7101157407407407</v>
      </c>
      <c r="D15798" s="1">
        <v>12.948498</v>
      </c>
      <c r="E15798" s="1">
        <v>80.137872</v>
      </c>
      <c r="F15798" s="1">
        <v>805.0</v>
      </c>
      <c r="G15798" s="1">
        <v>59.0</v>
      </c>
    </row>
    <row r="15799">
      <c r="A15799" s="1" t="s">
        <v>7</v>
      </c>
      <c r="B15799" s="2">
        <v>44784.0</v>
      </c>
      <c r="C15799" s="3">
        <v>0.7102777777777778</v>
      </c>
      <c r="D15799" s="1">
        <v>12.758173</v>
      </c>
      <c r="E15799" s="1">
        <v>80.002837</v>
      </c>
      <c r="F15799" s="1">
        <v>2846.0</v>
      </c>
      <c r="G15799" s="1">
        <v>47.0</v>
      </c>
    </row>
    <row r="15800">
      <c r="A15800" s="1" t="s">
        <v>8</v>
      </c>
      <c r="B15800" s="2">
        <v>44784.0</v>
      </c>
      <c r="C15800" s="3">
        <v>0.7103703703703703</v>
      </c>
      <c r="D15800" s="1">
        <v>12.93992</v>
      </c>
      <c r="E15800" s="1">
        <v>80.130407</v>
      </c>
      <c r="F15800" s="1">
        <v>5339.0</v>
      </c>
      <c r="G15800" s="1">
        <v>55.0</v>
      </c>
    </row>
    <row r="15801">
      <c r="A15801" s="1" t="s">
        <v>8</v>
      </c>
      <c r="B15801" s="2">
        <v>44784.0</v>
      </c>
      <c r="C15801" s="3">
        <v>0.7104976851851852</v>
      </c>
      <c r="D15801" s="1">
        <v>12.95074</v>
      </c>
      <c r="E15801" s="1">
        <v>80.139694</v>
      </c>
      <c r="F15801" s="1">
        <v>805.0</v>
      </c>
      <c r="G15801" s="1">
        <v>26.0</v>
      </c>
    </row>
    <row r="15802">
      <c r="A15802" s="1" t="s">
        <v>8</v>
      </c>
      <c r="B15802" s="2">
        <v>44784.0</v>
      </c>
      <c r="C15802" s="3">
        <v>0.7105092592592592</v>
      </c>
      <c r="D15802" s="1">
        <v>12.95074</v>
      </c>
      <c r="E15802" s="1">
        <v>80.139694</v>
      </c>
      <c r="F15802" s="1">
        <v>805.0</v>
      </c>
      <c r="G15802" s="1">
        <v>26.0</v>
      </c>
    </row>
    <row r="15803">
      <c r="A15803" s="1" t="s">
        <v>8</v>
      </c>
      <c r="B15803" s="2">
        <v>44784.0</v>
      </c>
      <c r="C15803" s="3">
        <v>0.7106828703703704</v>
      </c>
      <c r="D15803" s="1">
        <v>12.951312</v>
      </c>
      <c r="E15803" s="1">
        <v>80.14014</v>
      </c>
      <c r="F15803" s="1">
        <v>805.0</v>
      </c>
      <c r="G15803" s="1">
        <v>30.0</v>
      </c>
    </row>
    <row r="15804">
      <c r="A15804" s="1" t="s">
        <v>8</v>
      </c>
      <c r="B15804" s="2">
        <v>44784.0</v>
      </c>
      <c r="C15804" s="3">
        <v>0.7107407407407408</v>
      </c>
      <c r="D15804" s="1">
        <v>12.923427</v>
      </c>
      <c r="E15804" s="1">
        <v>80.154755</v>
      </c>
      <c r="F15804" s="1">
        <v>3143.0</v>
      </c>
      <c r="G15804" s="1">
        <v>13.0</v>
      </c>
    </row>
    <row r="15805">
      <c r="A15805" s="1" t="s">
        <v>8</v>
      </c>
      <c r="B15805" s="2">
        <v>44784.0</v>
      </c>
      <c r="C15805" s="3">
        <v>0.7109953703703704</v>
      </c>
      <c r="D15805" s="1">
        <v>12.953633</v>
      </c>
      <c r="E15805" s="1">
        <v>80.141754</v>
      </c>
      <c r="F15805" s="1">
        <v>805.0</v>
      </c>
      <c r="G15805" s="1">
        <v>45.0</v>
      </c>
    </row>
    <row r="15806">
      <c r="A15806" s="1" t="s">
        <v>8</v>
      </c>
      <c r="B15806" s="2">
        <v>44784.0</v>
      </c>
      <c r="C15806" s="3">
        <v>0.7116898148148149</v>
      </c>
      <c r="D15806" s="1">
        <v>12.923251</v>
      </c>
      <c r="E15806" s="1">
        <v>80.160599</v>
      </c>
      <c r="F15806" s="1">
        <v>3143.0</v>
      </c>
      <c r="G15806" s="1">
        <v>46.0</v>
      </c>
    </row>
    <row r="15807">
      <c r="A15807" s="1" t="s">
        <v>7</v>
      </c>
      <c r="B15807" s="2">
        <v>44784.0</v>
      </c>
      <c r="C15807" s="3">
        <v>0.712662037037037</v>
      </c>
      <c r="D15807" s="1">
        <v>12.958086</v>
      </c>
      <c r="E15807" s="1">
        <v>80.144063</v>
      </c>
      <c r="F15807" s="1">
        <v>805.0</v>
      </c>
      <c r="G15807" s="1">
        <v>46.0</v>
      </c>
    </row>
    <row r="15808">
      <c r="A15808" s="1" t="s">
        <v>8</v>
      </c>
      <c r="B15808" s="2">
        <v>44784.0</v>
      </c>
      <c r="C15808" s="3">
        <v>0.7127083333333334</v>
      </c>
      <c r="D15808" s="1">
        <v>12.920786</v>
      </c>
      <c r="E15808" s="1">
        <v>80.168344</v>
      </c>
      <c r="F15808" s="1">
        <v>3143.0</v>
      </c>
      <c r="G15808" s="1">
        <v>32.0</v>
      </c>
    </row>
    <row r="15809">
      <c r="A15809" s="1" t="s">
        <v>7</v>
      </c>
      <c r="B15809" s="2">
        <v>44784.0</v>
      </c>
      <c r="C15809" s="3">
        <v>0.7127430555555555</v>
      </c>
      <c r="D15809" s="1">
        <v>12.9593</v>
      </c>
      <c r="E15809" s="1">
        <v>80.144724</v>
      </c>
      <c r="F15809" s="1">
        <v>805.0</v>
      </c>
      <c r="G15809" s="1">
        <v>61.0</v>
      </c>
    </row>
    <row r="15810">
      <c r="A15810" s="1" t="s">
        <v>7</v>
      </c>
      <c r="B15810" s="2">
        <v>44784.0</v>
      </c>
      <c r="C15810" s="3">
        <v>0.7132175925925925</v>
      </c>
      <c r="D15810" s="1">
        <v>12.9198</v>
      </c>
      <c r="E15810" s="1">
        <v>80.171476</v>
      </c>
      <c r="F15810" s="1">
        <v>3143.0</v>
      </c>
      <c r="G15810" s="1">
        <v>40.0</v>
      </c>
    </row>
    <row r="15811">
      <c r="A15811" s="1" t="s">
        <v>7</v>
      </c>
      <c r="B15811" s="2">
        <v>44784.0</v>
      </c>
      <c r="C15811" s="3">
        <v>0.7132523148148148</v>
      </c>
      <c r="D15811" s="1">
        <v>12.735835</v>
      </c>
      <c r="E15811" s="1">
        <v>79.986877</v>
      </c>
      <c r="F15811" s="1">
        <v>2846.0</v>
      </c>
      <c r="G15811" s="1">
        <v>58.0</v>
      </c>
    </row>
    <row r="15812">
      <c r="A15812" s="1" t="s">
        <v>9</v>
      </c>
      <c r="B15812" s="2">
        <v>44784.0</v>
      </c>
      <c r="C15812" s="3">
        <v>0.7134375</v>
      </c>
      <c r="D15812" s="1">
        <v>12.91872</v>
      </c>
      <c r="E15812" s="1">
        <v>80.175546</v>
      </c>
      <c r="F15812" s="1">
        <v>3143.0</v>
      </c>
      <c r="G15812" s="1">
        <v>56.0</v>
      </c>
    </row>
    <row r="15813">
      <c r="A15813" s="1" t="s">
        <v>8</v>
      </c>
      <c r="B15813" s="2">
        <v>44784.0</v>
      </c>
      <c r="C15813" s="3">
        <v>0.713587962962963</v>
      </c>
      <c r="D15813" s="1">
        <v>12.91872</v>
      </c>
      <c r="E15813" s="1">
        <v>80.175546</v>
      </c>
      <c r="F15813" s="1">
        <v>3143.0</v>
      </c>
      <c r="G15813" s="1">
        <v>56.0</v>
      </c>
    </row>
    <row r="15814">
      <c r="A15814" s="1" t="s">
        <v>7</v>
      </c>
      <c r="B15814" s="2">
        <v>44784.0</v>
      </c>
      <c r="C15814" s="3">
        <v>0.7140046296296296</v>
      </c>
      <c r="D15814" s="1">
        <v>12.730199</v>
      </c>
      <c r="E15814" s="1">
        <v>79.98298</v>
      </c>
      <c r="F15814" s="1">
        <v>2846.0</v>
      </c>
      <c r="G15814" s="1">
        <v>57.0</v>
      </c>
    </row>
    <row r="15815">
      <c r="A15815" s="1" t="s">
        <v>10</v>
      </c>
      <c r="B15815" s="2">
        <v>44784.0</v>
      </c>
      <c r="C15815" s="3">
        <v>0.7140972222222223</v>
      </c>
      <c r="D15815" s="1">
        <v>12.730199</v>
      </c>
      <c r="E15815" s="1">
        <v>79.98298</v>
      </c>
      <c r="F15815" s="1">
        <v>2846.0</v>
      </c>
      <c r="G15815" s="1">
        <v>57.0</v>
      </c>
    </row>
    <row r="15816">
      <c r="A15816" s="1" t="s">
        <v>8</v>
      </c>
      <c r="B15816" s="2">
        <v>44784.0</v>
      </c>
      <c r="C15816" s="3">
        <v>0.7148958333333333</v>
      </c>
      <c r="D15816" s="1">
        <v>12.963629</v>
      </c>
      <c r="E15816" s="1">
        <v>80.147117</v>
      </c>
      <c r="F15816" s="1">
        <v>805.0</v>
      </c>
      <c r="G15816" s="1">
        <v>39.0</v>
      </c>
    </row>
    <row r="15817">
      <c r="A15817" s="1" t="s">
        <v>8</v>
      </c>
      <c r="B15817" s="2">
        <v>44784.0</v>
      </c>
      <c r="C15817" s="3">
        <v>0.7150578703703704</v>
      </c>
      <c r="D15817" s="1">
        <v>12.964374</v>
      </c>
      <c r="E15817" s="1">
        <v>80.14754</v>
      </c>
      <c r="F15817" s="1">
        <v>805.0</v>
      </c>
      <c r="G15817" s="1">
        <v>29.0</v>
      </c>
    </row>
    <row r="15818">
      <c r="A15818" s="1" t="s">
        <v>8</v>
      </c>
      <c r="B15818" s="2">
        <v>44784.0</v>
      </c>
      <c r="C15818" s="3">
        <v>0.7150694444444444</v>
      </c>
      <c r="D15818" s="1">
        <v>12.964374</v>
      </c>
      <c r="E15818" s="1">
        <v>80.14754</v>
      </c>
      <c r="F15818" s="1">
        <v>805.0</v>
      </c>
      <c r="G15818" s="1">
        <v>29.0</v>
      </c>
    </row>
    <row r="15819">
      <c r="A15819" s="1" t="s">
        <v>8</v>
      </c>
      <c r="B15819" s="2">
        <v>44784.0</v>
      </c>
      <c r="C15819" s="3">
        <v>0.7150694444444444</v>
      </c>
      <c r="D15819" s="1">
        <v>12.964374</v>
      </c>
      <c r="E15819" s="1">
        <v>80.14754</v>
      </c>
      <c r="F15819" s="1">
        <v>805.0</v>
      </c>
      <c r="G15819" s="1">
        <v>29.0</v>
      </c>
    </row>
    <row r="15820">
      <c r="A15820" s="1" t="s">
        <v>8</v>
      </c>
      <c r="B15820" s="2">
        <v>44784.0</v>
      </c>
      <c r="C15820" s="3">
        <v>0.7150810185185185</v>
      </c>
      <c r="D15820" s="1">
        <v>12.964374</v>
      </c>
      <c r="E15820" s="1">
        <v>80.14754</v>
      </c>
      <c r="F15820" s="1">
        <v>805.0</v>
      </c>
      <c r="G15820" s="1">
        <v>29.0</v>
      </c>
    </row>
    <row r="15821">
      <c r="A15821" s="1" t="s">
        <v>8</v>
      </c>
      <c r="B15821" s="2">
        <v>44784.0</v>
      </c>
      <c r="C15821" s="3">
        <v>0.7155439814814815</v>
      </c>
      <c r="D15821" s="1">
        <v>12.967448</v>
      </c>
      <c r="E15821" s="1">
        <v>80.149122</v>
      </c>
      <c r="F15821" s="1">
        <v>805.0</v>
      </c>
      <c r="G15821" s="1">
        <v>47.0</v>
      </c>
    </row>
    <row r="15822">
      <c r="A15822" s="1" t="s">
        <v>7</v>
      </c>
      <c r="B15822" s="2">
        <v>44784.0</v>
      </c>
      <c r="C15822" s="3">
        <v>0.7157638888888889</v>
      </c>
      <c r="D15822" s="1">
        <v>12.969773</v>
      </c>
      <c r="E15822" s="1">
        <v>80.150258</v>
      </c>
      <c r="F15822" s="1">
        <v>805.0</v>
      </c>
      <c r="G15822" s="1">
        <v>58.0</v>
      </c>
    </row>
    <row r="15823">
      <c r="A15823" s="1" t="s">
        <v>8</v>
      </c>
      <c r="B15823" s="2">
        <v>44784.0</v>
      </c>
      <c r="C15823" s="3">
        <v>0.7158101851851851</v>
      </c>
      <c r="D15823" s="1">
        <v>12.722535</v>
      </c>
      <c r="E15823" s="1">
        <v>79.981584</v>
      </c>
      <c r="F15823" s="1">
        <v>2846.0</v>
      </c>
      <c r="G15823" s="1">
        <v>42.0</v>
      </c>
    </row>
    <row r="15824">
      <c r="A15824" s="1" t="s">
        <v>8</v>
      </c>
      <c r="B15824" s="2">
        <v>44784.0</v>
      </c>
      <c r="C15824" s="3">
        <v>0.7164583333333333</v>
      </c>
      <c r="D15824" s="1">
        <v>12.705083</v>
      </c>
      <c r="E15824" s="1">
        <v>79.97377</v>
      </c>
      <c r="F15824" s="1">
        <v>2846.0</v>
      </c>
      <c r="G15824" s="1">
        <v>57.0</v>
      </c>
    </row>
    <row r="15825">
      <c r="A15825" s="1" t="s">
        <v>9</v>
      </c>
      <c r="B15825" s="2">
        <v>44784.0</v>
      </c>
      <c r="C15825" s="3">
        <v>0.7166550925925926</v>
      </c>
      <c r="D15825" s="1">
        <v>12.977198</v>
      </c>
      <c r="E15825" s="1">
        <v>80.158788</v>
      </c>
      <c r="F15825" s="1">
        <v>805.0</v>
      </c>
      <c r="G15825" s="1">
        <v>56.0</v>
      </c>
    </row>
    <row r="15826">
      <c r="A15826" s="1" t="s">
        <v>7</v>
      </c>
      <c r="B15826" s="2">
        <v>44784.0</v>
      </c>
      <c r="C15826" s="3">
        <v>0.7168402777777778</v>
      </c>
      <c r="D15826" s="1">
        <v>12.97801</v>
      </c>
      <c r="E15826" s="1">
        <v>80.160017</v>
      </c>
      <c r="F15826" s="1">
        <v>805.0</v>
      </c>
      <c r="G15826" s="1">
        <v>57.0</v>
      </c>
    </row>
    <row r="15827">
      <c r="A15827" s="1" t="s">
        <v>8</v>
      </c>
      <c r="B15827" s="2">
        <v>44784.0</v>
      </c>
      <c r="C15827" s="3">
        <v>0.7171990740740741</v>
      </c>
      <c r="D15827" s="1">
        <v>12.9757</v>
      </c>
      <c r="E15827" s="1">
        <v>80.15656</v>
      </c>
      <c r="F15827" s="1">
        <v>805.0</v>
      </c>
      <c r="G15827" s="1">
        <v>53.0</v>
      </c>
    </row>
    <row r="15828">
      <c r="A15828" s="1" t="s">
        <v>10</v>
      </c>
      <c r="B15828" s="2">
        <v>44784.0</v>
      </c>
      <c r="C15828" s="3">
        <v>0.7173611111111111</v>
      </c>
      <c r="D15828" s="1">
        <v>12.699953</v>
      </c>
      <c r="E15828" s="1">
        <v>79.968787</v>
      </c>
      <c r="F15828" s="1">
        <v>2846.0</v>
      </c>
      <c r="G15828" s="1">
        <v>0.0</v>
      </c>
    </row>
    <row r="15829">
      <c r="A15829" s="1" t="s">
        <v>8</v>
      </c>
      <c r="B15829" s="2">
        <v>44784.0</v>
      </c>
      <c r="C15829" s="3">
        <v>0.7184837962962963</v>
      </c>
      <c r="D15829" s="1">
        <v>12.697246</v>
      </c>
      <c r="E15829" s="1">
        <v>79.972816</v>
      </c>
      <c r="F15829" s="1">
        <v>2846.0</v>
      </c>
      <c r="G15829" s="1">
        <v>0.0</v>
      </c>
    </row>
    <row r="15830">
      <c r="A15830" s="1" t="s">
        <v>8</v>
      </c>
      <c r="B15830" s="2">
        <v>44784.0</v>
      </c>
      <c r="C15830" s="3">
        <v>0.7193981481481482</v>
      </c>
      <c r="D15830" s="1">
        <v>12.984463</v>
      </c>
      <c r="E15830" s="1">
        <v>80.171715</v>
      </c>
      <c r="F15830" s="1">
        <v>5339.0</v>
      </c>
      <c r="G15830" s="1">
        <v>38.0</v>
      </c>
    </row>
    <row r="15831">
      <c r="A15831" s="1" t="s">
        <v>8</v>
      </c>
      <c r="B15831" s="2">
        <v>44784.0</v>
      </c>
      <c r="C15831" s="3">
        <v>0.7198148148148148</v>
      </c>
      <c r="D15831" s="1">
        <v>12.98819</v>
      </c>
      <c r="E15831" s="1">
        <v>80.177171</v>
      </c>
      <c r="F15831" s="1">
        <v>805.0</v>
      </c>
      <c r="G15831" s="1">
        <v>21.0</v>
      </c>
    </row>
    <row r="15832">
      <c r="A15832" s="1" t="s">
        <v>8</v>
      </c>
      <c r="B15832" s="2">
        <v>44784.0</v>
      </c>
      <c r="C15832" s="3">
        <v>0.7198611111111111</v>
      </c>
      <c r="D15832" s="1">
        <v>12.988652</v>
      </c>
      <c r="E15832" s="1">
        <v>80.17779</v>
      </c>
      <c r="F15832" s="1">
        <v>805.0</v>
      </c>
      <c r="G15832" s="1">
        <v>32.0</v>
      </c>
    </row>
    <row r="15833">
      <c r="A15833" s="1" t="s">
        <v>8</v>
      </c>
      <c r="B15833" s="2">
        <v>44784.0</v>
      </c>
      <c r="C15833" s="3">
        <v>0.7200231481481482</v>
      </c>
      <c r="D15833" s="1">
        <v>12.989156</v>
      </c>
      <c r="E15833" s="1">
        <v>80.178438</v>
      </c>
      <c r="F15833" s="1">
        <v>805.0</v>
      </c>
      <c r="G15833" s="1">
        <v>30.0</v>
      </c>
    </row>
    <row r="15834">
      <c r="A15834" s="1" t="s">
        <v>8</v>
      </c>
      <c r="B15834" s="2">
        <v>44784.0</v>
      </c>
      <c r="C15834" s="3">
        <v>0.7201157407407407</v>
      </c>
      <c r="D15834" s="1">
        <v>12.989643</v>
      </c>
      <c r="E15834" s="1">
        <v>80.179034</v>
      </c>
      <c r="F15834" s="1">
        <v>805.0</v>
      </c>
      <c r="G15834" s="1">
        <v>34.0</v>
      </c>
    </row>
    <row r="15835">
      <c r="A15835" s="1" t="s">
        <v>8</v>
      </c>
      <c r="B15835" s="2">
        <v>44784.0</v>
      </c>
      <c r="C15835" s="3">
        <v>0.7201273148148148</v>
      </c>
      <c r="D15835" s="1">
        <v>12.696616</v>
      </c>
      <c r="E15835" s="1">
        <v>79.977082</v>
      </c>
      <c r="F15835" s="1">
        <v>2846.0</v>
      </c>
      <c r="G15835" s="1">
        <v>12.0</v>
      </c>
    </row>
    <row r="15836">
      <c r="A15836" s="1" t="s">
        <v>10</v>
      </c>
      <c r="B15836" s="2">
        <v>44784.0</v>
      </c>
      <c r="C15836" s="3">
        <v>0.7206597222222222</v>
      </c>
      <c r="D15836" s="1">
        <v>12.943772</v>
      </c>
      <c r="E15836" s="1">
        <v>80.182912</v>
      </c>
      <c r="F15836" s="1">
        <v>3143.0</v>
      </c>
      <c r="G15836" s="1">
        <v>22.0</v>
      </c>
    </row>
    <row r="15837">
      <c r="A15837" s="1" t="s">
        <v>8</v>
      </c>
      <c r="B15837" s="2">
        <v>44784.0</v>
      </c>
      <c r="C15837" s="3">
        <v>0.7222453703703704</v>
      </c>
      <c r="D15837" s="1">
        <v>12.948248</v>
      </c>
      <c r="E15837" s="1">
        <v>80.184921</v>
      </c>
      <c r="F15837" s="1">
        <v>3143.0</v>
      </c>
      <c r="G15837" s="1">
        <v>23.0</v>
      </c>
    </row>
    <row r="15838">
      <c r="A15838" s="1" t="s">
        <v>7</v>
      </c>
      <c r="B15838" s="2">
        <v>44784.0</v>
      </c>
      <c r="C15838" s="3">
        <v>0.7226273148148148</v>
      </c>
      <c r="D15838" s="1">
        <v>12.994265</v>
      </c>
      <c r="E15838" s="1">
        <v>80.185969</v>
      </c>
      <c r="F15838" s="1">
        <v>805.0</v>
      </c>
      <c r="G15838" s="1">
        <v>31.0</v>
      </c>
    </row>
    <row r="15839">
      <c r="A15839" s="1" t="s">
        <v>10</v>
      </c>
      <c r="B15839" s="2">
        <v>44784.0</v>
      </c>
      <c r="C15839" s="3">
        <v>0.7231597222222222</v>
      </c>
      <c r="D15839" s="1">
        <v>12.952428</v>
      </c>
      <c r="E15839" s="1">
        <v>80.186268</v>
      </c>
      <c r="F15839" s="1">
        <v>3143.0</v>
      </c>
      <c r="G15839" s="1">
        <v>28.0</v>
      </c>
    </row>
    <row r="15840">
      <c r="A15840" s="1" t="s">
        <v>8</v>
      </c>
      <c r="B15840" s="2">
        <v>44784.0</v>
      </c>
      <c r="C15840" s="3">
        <v>0.7233912037037037</v>
      </c>
      <c r="D15840" s="1">
        <v>12.997578</v>
      </c>
      <c r="E15840" s="1">
        <v>80.191095</v>
      </c>
      <c r="F15840" s="1">
        <v>805.0</v>
      </c>
      <c r="G15840" s="1">
        <v>56.0</v>
      </c>
    </row>
    <row r="15841">
      <c r="A15841" s="1" t="s">
        <v>8</v>
      </c>
      <c r="B15841" s="2">
        <v>44784.0</v>
      </c>
      <c r="C15841" s="3">
        <v>0.7244560185185185</v>
      </c>
      <c r="D15841" s="1">
        <v>13.001735</v>
      </c>
      <c r="E15841" s="1">
        <v>80.1963</v>
      </c>
      <c r="F15841" s="1">
        <v>805.0</v>
      </c>
      <c r="G15841" s="1">
        <v>19.0</v>
      </c>
    </row>
    <row r="15842">
      <c r="A15842" s="1" t="s">
        <v>9</v>
      </c>
      <c r="B15842" s="2">
        <v>44784.0</v>
      </c>
      <c r="C15842" s="3">
        <v>0.7244675925925926</v>
      </c>
      <c r="D15842" s="1">
        <v>13.001735</v>
      </c>
      <c r="E15842" s="1">
        <v>80.1963</v>
      </c>
      <c r="F15842" s="1">
        <v>805.0</v>
      </c>
      <c r="G15842" s="1">
        <v>19.0</v>
      </c>
    </row>
    <row r="15843">
      <c r="A15843" s="1" t="s">
        <v>7</v>
      </c>
      <c r="B15843" s="2">
        <v>44784.0</v>
      </c>
      <c r="C15843" s="3">
        <v>0.7246643518518519</v>
      </c>
      <c r="D15843" s="1">
        <v>13.002016</v>
      </c>
      <c r="E15843" s="1">
        <v>80.19801</v>
      </c>
      <c r="F15843" s="1">
        <v>805.0</v>
      </c>
      <c r="G15843" s="1">
        <v>53.0</v>
      </c>
    </row>
    <row r="15844">
      <c r="A15844" s="1" t="s">
        <v>8</v>
      </c>
      <c r="B15844" s="2">
        <v>44784.0</v>
      </c>
      <c r="C15844" s="3">
        <v>0.7250231481481482</v>
      </c>
      <c r="D15844" s="1">
        <v>13.003721</v>
      </c>
      <c r="E15844" s="1">
        <v>80.20092</v>
      </c>
      <c r="F15844" s="1">
        <v>805.0</v>
      </c>
      <c r="G15844" s="1">
        <v>51.0</v>
      </c>
    </row>
    <row r="15845">
      <c r="A15845" s="1" t="s">
        <v>8</v>
      </c>
      <c r="B15845" s="2">
        <v>44784.0</v>
      </c>
      <c r="C15845" s="3">
        <v>0.7252777777777778</v>
      </c>
      <c r="D15845" s="1">
        <v>13.005594</v>
      </c>
      <c r="E15845" s="1">
        <v>80.201891</v>
      </c>
      <c r="F15845" s="1">
        <v>805.0</v>
      </c>
      <c r="G15845" s="1">
        <v>56.0</v>
      </c>
    </row>
    <row r="15846">
      <c r="A15846" s="1" t="s">
        <v>8</v>
      </c>
      <c r="B15846" s="2">
        <v>44784.0</v>
      </c>
      <c r="C15846" s="3">
        <v>0.7254398148148148</v>
      </c>
      <c r="D15846" s="1">
        <v>13.007023</v>
      </c>
      <c r="E15846" s="1">
        <v>80.203496</v>
      </c>
      <c r="F15846" s="1">
        <v>805.0</v>
      </c>
      <c r="G15846" s="1">
        <v>36.0</v>
      </c>
    </row>
    <row r="15847">
      <c r="A15847" s="1" t="s">
        <v>8</v>
      </c>
      <c r="B15847" s="2">
        <v>44784.0</v>
      </c>
      <c r="C15847" s="3">
        <v>0.7255208333333333</v>
      </c>
      <c r="D15847" s="1">
        <v>13.007023</v>
      </c>
      <c r="E15847" s="1">
        <v>80.203496</v>
      </c>
      <c r="F15847" s="1">
        <v>805.0</v>
      </c>
      <c r="G15847" s="1">
        <v>36.0</v>
      </c>
    </row>
    <row r="15848">
      <c r="A15848" s="1" t="s">
        <v>8</v>
      </c>
      <c r="B15848" s="2">
        <v>44784.0</v>
      </c>
      <c r="C15848" s="3">
        <v>0.7260069444444445</v>
      </c>
      <c r="D15848" s="1">
        <v>13.007605</v>
      </c>
      <c r="E15848" s="1">
        <v>80.205255</v>
      </c>
      <c r="F15848" s="1">
        <v>805.0</v>
      </c>
      <c r="G15848" s="1">
        <v>52.0</v>
      </c>
    </row>
    <row r="15849">
      <c r="A15849" s="1" t="s">
        <v>7</v>
      </c>
      <c r="B15849" s="2">
        <v>44784.0</v>
      </c>
      <c r="C15849" s="3">
        <v>0.7260648148148148</v>
      </c>
      <c r="D15849" s="1">
        <v>13.007605</v>
      </c>
      <c r="E15849" s="1">
        <v>80.205255</v>
      </c>
      <c r="F15849" s="1">
        <v>805.0</v>
      </c>
      <c r="G15849" s="1">
        <v>52.0</v>
      </c>
    </row>
    <row r="15850">
      <c r="A15850" s="1" t="s">
        <v>8</v>
      </c>
      <c r="B15850" s="2">
        <v>44784.0</v>
      </c>
      <c r="C15850" s="3">
        <v>0.7261805555555556</v>
      </c>
      <c r="D15850" s="1">
        <v>13.007779</v>
      </c>
      <c r="E15850" s="1">
        <v>80.206635</v>
      </c>
      <c r="F15850" s="1">
        <v>805.0</v>
      </c>
      <c r="G15850" s="1">
        <v>53.0</v>
      </c>
    </row>
    <row r="15851">
      <c r="A15851" s="1" t="s">
        <v>8</v>
      </c>
      <c r="B15851" s="2">
        <v>44784.0</v>
      </c>
      <c r="C15851" s="3">
        <v>0.7266203703703704</v>
      </c>
      <c r="D15851" s="1">
        <v>13.008876</v>
      </c>
      <c r="E15851" s="1">
        <v>80.211464</v>
      </c>
      <c r="F15851" s="1">
        <v>805.0</v>
      </c>
      <c r="G15851" s="1">
        <v>40.0</v>
      </c>
    </row>
    <row r="15852">
      <c r="A15852" s="1" t="s">
        <v>8</v>
      </c>
      <c r="B15852" s="2">
        <v>44784.0</v>
      </c>
      <c r="C15852" s="3">
        <v>0.7269212962962963</v>
      </c>
      <c r="D15852" s="1">
        <v>13.003847</v>
      </c>
      <c r="E15852" s="1">
        <v>80.200928</v>
      </c>
      <c r="F15852" s="1">
        <v>5339.0</v>
      </c>
      <c r="G15852" s="1">
        <v>32.0</v>
      </c>
    </row>
    <row r="15853">
      <c r="A15853" s="1" t="s">
        <v>8</v>
      </c>
      <c r="B15853" s="2">
        <v>44784.0</v>
      </c>
      <c r="C15853" s="3">
        <v>0.7272337962962963</v>
      </c>
      <c r="D15853" s="1">
        <v>13.010717</v>
      </c>
      <c r="E15853" s="1">
        <v>80.216746</v>
      </c>
      <c r="F15853" s="1">
        <v>805.0</v>
      </c>
      <c r="G15853" s="1">
        <v>45.0</v>
      </c>
    </row>
    <row r="15854">
      <c r="A15854" s="1" t="s">
        <v>8</v>
      </c>
      <c r="B15854" s="2">
        <v>44784.0</v>
      </c>
      <c r="C15854" s="3">
        <v>0.7274305555555556</v>
      </c>
      <c r="D15854" s="1">
        <v>13.011473</v>
      </c>
      <c r="E15854" s="1">
        <v>80.218593</v>
      </c>
      <c r="F15854" s="1">
        <v>805.0</v>
      </c>
      <c r="G15854" s="1">
        <v>40.0</v>
      </c>
    </row>
    <row r="15855">
      <c r="A15855" s="1" t="s">
        <v>8</v>
      </c>
      <c r="B15855" s="2">
        <v>44784.0</v>
      </c>
      <c r="C15855" s="3">
        <v>0.7274537037037037</v>
      </c>
      <c r="D15855" s="1">
        <v>13.011473</v>
      </c>
      <c r="E15855" s="1">
        <v>80.218593</v>
      </c>
      <c r="F15855" s="1">
        <v>805.0</v>
      </c>
      <c r="G15855" s="1">
        <v>40.0</v>
      </c>
    </row>
    <row r="15856">
      <c r="A15856" s="1" t="s">
        <v>10</v>
      </c>
      <c r="B15856" s="2">
        <v>44784.0</v>
      </c>
      <c r="C15856" s="3">
        <v>0.7281944444444445</v>
      </c>
      <c r="D15856" s="1">
        <v>12.964762</v>
      </c>
      <c r="E15856" s="1">
        <v>80.194806</v>
      </c>
      <c r="F15856" s="1">
        <v>3143.0</v>
      </c>
      <c r="G15856" s="1">
        <v>21.0</v>
      </c>
    </row>
    <row r="15857">
      <c r="A15857" s="1" t="s">
        <v>8</v>
      </c>
      <c r="B15857" s="2">
        <v>44784.0</v>
      </c>
      <c r="C15857" s="3">
        <v>0.7283217592592592</v>
      </c>
      <c r="D15857" s="1">
        <v>13.013493</v>
      </c>
      <c r="E15857" s="1">
        <v>80.222842</v>
      </c>
      <c r="F15857" s="1">
        <v>805.0</v>
      </c>
      <c r="G15857" s="1">
        <v>35.0</v>
      </c>
    </row>
    <row r="15858">
      <c r="A15858" s="1" t="s">
        <v>8</v>
      </c>
      <c r="B15858" s="2">
        <v>44784.0</v>
      </c>
      <c r="C15858" s="3">
        <v>0.7283912037037037</v>
      </c>
      <c r="D15858" s="1">
        <v>13.013493</v>
      </c>
      <c r="E15858" s="1">
        <v>80.222842</v>
      </c>
      <c r="F15858" s="1">
        <v>805.0</v>
      </c>
      <c r="G15858" s="1">
        <v>35.0</v>
      </c>
    </row>
    <row r="15859">
      <c r="A15859" s="1" t="s">
        <v>8</v>
      </c>
      <c r="B15859" s="2">
        <v>44784.0</v>
      </c>
      <c r="C15859" s="3">
        <v>0.7284953703703704</v>
      </c>
      <c r="D15859" s="1">
        <v>13.01406</v>
      </c>
      <c r="E15859" s="1">
        <v>80.223541</v>
      </c>
      <c r="F15859" s="1">
        <v>805.0</v>
      </c>
      <c r="G15859" s="1">
        <v>36.0</v>
      </c>
    </row>
    <row r="15860">
      <c r="A15860" s="1" t="s">
        <v>8</v>
      </c>
      <c r="B15860" s="2">
        <v>44784.0</v>
      </c>
      <c r="C15860" s="3">
        <v>0.7285532407407408</v>
      </c>
      <c r="D15860" s="1">
        <v>13.014624</v>
      </c>
      <c r="E15860" s="1">
        <v>80.224247</v>
      </c>
      <c r="F15860" s="1">
        <v>805.0</v>
      </c>
      <c r="G15860" s="1">
        <v>34.0</v>
      </c>
    </row>
    <row r="15861">
      <c r="A15861" s="1" t="s">
        <v>8</v>
      </c>
      <c r="B15861" s="2">
        <v>44784.0</v>
      </c>
      <c r="C15861" s="3">
        <v>0.7286574074074074</v>
      </c>
      <c r="D15861" s="1">
        <v>13.015185</v>
      </c>
      <c r="E15861" s="1">
        <v>80.224947</v>
      </c>
      <c r="F15861" s="1">
        <v>805.0</v>
      </c>
      <c r="G15861" s="1">
        <v>38.0</v>
      </c>
    </row>
    <row r="15862">
      <c r="A15862" s="1" t="s">
        <v>8</v>
      </c>
      <c r="B15862" s="2">
        <v>44784.0</v>
      </c>
      <c r="C15862" s="3">
        <v>0.728912037037037</v>
      </c>
      <c r="D15862" s="1">
        <v>13.014984</v>
      </c>
      <c r="E15862" s="1">
        <v>80.225938</v>
      </c>
      <c r="F15862" s="1">
        <v>805.0</v>
      </c>
      <c r="G15862" s="1">
        <v>29.0</v>
      </c>
    </row>
    <row r="15863">
      <c r="A15863" s="1" t="s">
        <v>8</v>
      </c>
      <c r="B15863" s="2">
        <v>44784.0</v>
      </c>
      <c r="C15863" s="3">
        <v>0.7289814814814815</v>
      </c>
      <c r="D15863" s="1">
        <v>13.014984</v>
      </c>
      <c r="E15863" s="1">
        <v>80.225938</v>
      </c>
      <c r="F15863" s="1">
        <v>805.0</v>
      </c>
      <c r="G15863" s="1">
        <v>29.0</v>
      </c>
    </row>
    <row r="15864">
      <c r="A15864" s="1" t="s">
        <v>8</v>
      </c>
      <c r="B15864" s="2">
        <v>44784.0</v>
      </c>
      <c r="C15864" s="3">
        <v>0.7296412037037037</v>
      </c>
      <c r="D15864" s="1">
        <v>12.964758</v>
      </c>
      <c r="E15864" s="1">
        <v>80.197896</v>
      </c>
      <c r="F15864" s="1">
        <v>3143.0</v>
      </c>
      <c r="G15864" s="1">
        <v>27.0</v>
      </c>
    </row>
    <row r="15865">
      <c r="A15865" s="1" t="s">
        <v>8</v>
      </c>
      <c r="B15865" s="2">
        <v>44784.0</v>
      </c>
      <c r="C15865" s="3">
        <v>0.7296527777777778</v>
      </c>
      <c r="D15865" s="1">
        <v>12.964758</v>
      </c>
      <c r="E15865" s="1">
        <v>80.197896</v>
      </c>
      <c r="F15865" s="1">
        <v>3143.0</v>
      </c>
      <c r="G15865" s="1">
        <v>27.0</v>
      </c>
    </row>
    <row r="15866">
      <c r="A15866" s="1" t="s">
        <v>8</v>
      </c>
      <c r="B15866" s="2">
        <v>44784.0</v>
      </c>
      <c r="C15866" s="3">
        <v>0.7297222222222223</v>
      </c>
      <c r="D15866" s="1">
        <v>13.009155</v>
      </c>
      <c r="E15866" s="1">
        <v>80.228521</v>
      </c>
      <c r="F15866" s="1">
        <v>805.0</v>
      </c>
      <c r="G15866" s="1">
        <v>30.0</v>
      </c>
    </row>
    <row r="15867">
      <c r="A15867" s="1" t="s">
        <v>8</v>
      </c>
      <c r="B15867" s="2">
        <v>44784.0</v>
      </c>
      <c r="C15867" s="3">
        <v>0.7298032407407408</v>
      </c>
      <c r="D15867" s="1">
        <v>13.011621</v>
      </c>
      <c r="E15867" s="1">
        <v>80.219048</v>
      </c>
      <c r="F15867" s="1">
        <v>5339.0</v>
      </c>
      <c r="G15867" s="1">
        <v>43.0</v>
      </c>
    </row>
    <row r="15868">
      <c r="A15868" s="1" t="s">
        <v>8</v>
      </c>
      <c r="B15868" s="2">
        <v>44784.0</v>
      </c>
      <c r="C15868" s="3">
        <v>0.7298726851851852</v>
      </c>
      <c r="D15868" s="1">
        <v>13.009001</v>
      </c>
      <c r="E15868" s="1">
        <v>80.229363</v>
      </c>
      <c r="F15868" s="1">
        <v>805.0</v>
      </c>
      <c r="G15868" s="1">
        <v>34.0</v>
      </c>
    </row>
    <row r="15869">
      <c r="A15869" s="1" t="s">
        <v>8</v>
      </c>
      <c r="B15869" s="2">
        <v>44784.0</v>
      </c>
      <c r="C15869" s="3">
        <v>0.7299768518518519</v>
      </c>
      <c r="D15869" s="1">
        <v>13.008834</v>
      </c>
      <c r="E15869" s="1">
        <v>80.23023</v>
      </c>
      <c r="F15869" s="1">
        <v>805.0</v>
      </c>
      <c r="G15869" s="1">
        <v>32.0</v>
      </c>
    </row>
    <row r="15870">
      <c r="A15870" s="1" t="s">
        <v>7</v>
      </c>
      <c r="B15870" s="2">
        <v>44784.0</v>
      </c>
      <c r="C15870" s="3">
        <v>0.7303240740740741</v>
      </c>
      <c r="D15870" s="1">
        <v>12.657895</v>
      </c>
      <c r="E15870" s="1">
        <v>79.943622</v>
      </c>
      <c r="F15870" s="1">
        <v>2846.0</v>
      </c>
      <c r="G15870" s="1">
        <v>46.0</v>
      </c>
    </row>
    <row r="15871">
      <c r="A15871" s="1" t="s">
        <v>7</v>
      </c>
      <c r="B15871" s="2">
        <v>44784.0</v>
      </c>
      <c r="C15871" s="3">
        <v>0.7303587962962963</v>
      </c>
      <c r="D15871" s="1">
        <v>12.65726</v>
      </c>
      <c r="E15871" s="1">
        <v>79.942506</v>
      </c>
      <c r="F15871" s="1">
        <v>2846.0</v>
      </c>
      <c r="G15871" s="1">
        <v>56.0</v>
      </c>
    </row>
    <row r="15872">
      <c r="A15872" s="1" t="s">
        <v>7</v>
      </c>
      <c r="B15872" s="2">
        <v>44784.0</v>
      </c>
      <c r="C15872" s="3">
        <v>0.7310300925925926</v>
      </c>
      <c r="D15872" s="1">
        <v>12.65076</v>
      </c>
      <c r="E15872" s="1">
        <v>79.941688</v>
      </c>
      <c r="F15872" s="1">
        <v>2846.0</v>
      </c>
      <c r="G15872" s="1">
        <v>44.0</v>
      </c>
    </row>
    <row r="15873">
      <c r="A15873" s="1" t="s">
        <v>7</v>
      </c>
      <c r="B15873" s="2">
        <v>44784.0</v>
      </c>
      <c r="C15873" s="3">
        <v>0.73125</v>
      </c>
      <c r="D15873" s="1">
        <v>12.65076</v>
      </c>
      <c r="E15873" s="1">
        <v>79.941688</v>
      </c>
      <c r="F15873" s="1">
        <v>2846.0</v>
      </c>
      <c r="G15873" s="1">
        <v>44.0</v>
      </c>
    </row>
    <row r="15874">
      <c r="A15874" s="1" t="s">
        <v>7</v>
      </c>
      <c r="B15874" s="2">
        <v>44784.0</v>
      </c>
      <c r="C15874" s="3">
        <v>0.7313425925925926</v>
      </c>
      <c r="D15874" s="1">
        <v>12.64696</v>
      </c>
      <c r="E15874" s="1">
        <v>79.940482</v>
      </c>
      <c r="F15874" s="1">
        <v>2846.0</v>
      </c>
      <c r="G15874" s="1">
        <v>57.0</v>
      </c>
    </row>
    <row r="15875">
      <c r="A15875" s="1" t="s">
        <v>8</v>
      </c>
      <c r="B15875" s="2">
        <v>44784.0</v>
      </c>
      <c r="C15875" s="3">
        <v>0.7315393518518518</v>
      </c>
      <c r="D15875" s="1">
        <v>12.644413</v>
      </c>
      <c r="E15875" s="1">
        <v>79.939067</v>
      </c>
      <c r="F15875" s="1">
        <v>2846.0</v>
      </c>
      <c r="G15875" s="1">
        <v>55.0</v>
      </c>
    </row>
    <row r="15876">
      <c r="A15876" s="1" t="s">
        <v>8</v>
      </c>
      <c r="B15876" s="2">
        <v>44784.0</v>
      </c>
      <c r="C15876" s="3">
        <v>0.7324421296296296</v>
      </c>
      <c r="D15876" s="1">
        <v>12.644413</v>
      </c>
      <c r="E15876" s="1">
        <v>79.939067</v>
      </c>
      <c r="F15876" s="1">
        <v>2846.0</v>
      </c>
      <c r="G15876" s="1">
        <v>55.0</v>
      </c>
    </row>
    <row r="15877">
      <c r="A15877" s="1" t="s">
        <v>8</v>
      </c>
      <c r="B15877" s="2">
        <v>44784.0</v>
      </c>
      <c r="C15877" s="3">
        <v>0.7328703703703704</v>
      </c>
      <c r="D15877" s="1">
        <v>12.644413</v>
      </c>
      <c r="E15877" s="1">
        <v>79.939067</v>
      </c>
      <c r="F15877" s="1">
        <v>2846.0</v>
      </c>
      <c r="G15877" s="1">
        <v>55.0</v>
      </c>
    </row>
    <row r="15878">
      <c r="A15878" s="1" t="s">
        <v>8</v>
      </c>
      <c r="B15878" s="2">
        <v>44784.0</v>
      </c>
      <c r="C15878" s="3">
        <v>0.7341550925925926</v>
      </c>
      <c r="D15878" s="1">
        <v>13.027252</v>
      </c>
      <c r="E15878" s="1">
        <v>80.23413</v>
      </c>
      <c r="F15878" s="1">
        <v>5339.0</v>
      </c>
      <c r="G15878" s="1">
        <v>31.0</v>
      </c>
    </row>
    <row r="15879">
      <c r="A15879" s="1" t="s">
        <v>8</v>
      </c>
      <c r="B15879" s="2">
        <v>44784.0</v>
      </c>
      <c r="C15879" s="3">
        <v>0.7341898148148148</v>
      </c>
      <c r="D15879" s="1">
        <v>13.027252</v>
      </c>
      <c r="E15879" s="1">
        <v>80.23413</v>
      </c>
      <c r="F15879" s="1">
        <v>5339.0</v>
      </c>
      <c r="G15879" s="1">
        <v>31.0</v>
      </c>
    </row>
    <row r="15880">
      <c r="A15880" s="1" t="s">
        <v>8</v>
      </c>
      <c r="B15880" s="2">
        <v>44784.0</v>
      </c>
      <c r="C15880" s="3">
        <v>0.7342013888888889</v>
      </c>
      <c r="D15880" s="1">
        <v>13.027252</v>
      </c>
      <c r="E15880" s="1">
        <v>80.23413</v>
      </c>
      <c r="F15880" s="1">
        <v>5339.0</v>
      </c>
      <c r="G15880" s="1">
        <v>31.0</v>
      </c>
    </row>
    <row r="15881">
      <c r="A15881" s="1" t="s">
        <v>8</v>
      </c>
      <c r="B15881" s="2">
        <v>44784.0</v>
      </c>
      <c r="C15881" s="3">
        <v>0.734212962962963</v>
      </c>
      <c r="D15881" s="1">
        <v>13.027252</v>
      </c>
      <c r="E15881" s="1">
        <v>80.23413</v>
      </c>
      <c r="F15881" s="1">
        <v>5339.0</v>
      </c>
      <c r="G15881" s="1">
        <v>31.0</v>
      </c>
    </row>
    <row r="15882">
      <c r="A15882" s="1" t="s">
        <v>7</v>
      </c>
      <c r="B15882" s="2">
        <v>44784.0</v>
      </c>
      <c r="C15882" s="3">
        <v>0.7343518518518518</v>
      </c>
      <c r="D15882" s="1">
        <v>12.619707</v>
      </c>
      <c r="E15882" s="1">
        <v>79.927132</v>
      </c>
      <c r="F15882" s="1">
        <v>2846.0</v>
      </c>
      <c r="G15882" s="1">
        <v>57.0</v>
      </c>
    </row>
    <row r="15883">
      <c r="A15883" s="1" t="s">
        <v>7</v>
      </c>
      <c r="B15883" s="2">
        <v>44784.0</v>
      </c>
      <c r="C15883" s="3">
        <v>0.7346527777777778</v>
      </c>
      <c r="D15883" s="1">
        <v>12.614218</v>
      </c>
      <c r="E15883" s="1">
        <v>79.925227</v>
      </c>
      <c r="F15883" s="1">
        <v>2846.0</v>
      </c>
      <c r="G15883" s="1">
        <v>57.0</v>
      </c>
    </row>
    <row r="15884">
      <c r="A15884" s="1" t="s">
        <v>8</v>
      </c>
      <c r="B15884" s="2">
        <v>44784.0</v>
      </c>
      <c r="C15884" s="3">
        <v>0.7352777777777778</v>
      </c>
      <c r="D15884" s="1">
        <v>12.607859</v>
      </c>
      <c r="E15884" s="1">
        <v>79.92156</v>
      </c>
      <c r="F15884" s="1">
        <v>2846.0</v>
      </c>
      <c r="G15884" s="1">
        <v>58.0</v>
      </c>
    </row>
    <row r="15885">
      <c r="A15885" s="1" t="s">
        <v>9</v>
      </c>
      <c r="B15885" s="2">
        <v>44784.0</v>
      </c>
      <c r="C15885" s="3">
        <v>0.7353240740740741</v>
      </c>
      <c r="D15885" s="1">
        <v>12.607859</v>
      </c>
      <c r="E15885" s="1">
        <v>79.92156</v>
      </c>
      <c r="F15885" s="1">
        <v>2846.0</v>
      </c>
      <c r="G15885" s="1">
        <v>58.0</v>
      </c>
    </row>
    <row r="15886">
      <c r="A15886" s="1" t="s">
        <v>7</v>
      </c>
      <c r="B15886" s="2">
        <v>44784.0</v>
      </c>
      <c r="C15886" s="3">
        <v>0.7365277777777778</v>
      </c>
      <c r="D15886" s="1">
        <v>12.594819</v>
      </c>
      <c r="E15886" s="1">
        <v>79.919462</v>
      </c>
      <c r="F15886" s="1">
        <v>2846.0</v>
      </c>
      <c r="G15886" s="1">
        <v>58.0</v>
      </c>
    </row>
    <row r="15887">
      <c r="A15887" s="1" t="s">
        <v>7</v>
      </c>
      <c r="B15887" s="2">
        <v>44784.0</v>
      </c>
      <c r="C15887" s="3">
        <v>0.7369675925925926</v>
      </c>
      <c r="D15887" s="1">
        <v>12.587521</v>
      </c>
      <c r="E15887" s="1">
        <v>79.919485</v>
      </c>
      <c r="F15887" s="1">
        <v>2846.0</v>
      </c>
      <c r="G15887" s="1">
        <v>58.0</v>
      </c>
    </row>
    <row r="15888">
      <c r="A15888" s="1" t="s">
        <v>7</v>
      </c>
      <c r="B15888" s="2">
        <v>44784.0</v>
      </c>
      <c r="C15888" s="3">
        <v>0.7379745370370371</v>
      </c>
      <c r="D15888" s="1">
        <v>12.574747</v>
      </c>
      <c r="E15888" s="1">
        <v>79.916861</v>
      </c>
      <c r="F15888" s="1">
        <v>2846.0</v>
      </c>
      <c r="G15888" s="1">
        <v>57.0</v>
      </c>
    </row>
    <row r="15889">
      <c r="A15889" s="1" t="s">
        <v>7</v>
      </c>
      <c r="B15889" s="2">
        <v>44784.0</v>
      </c>
      <c r="C15889" s="3">
        <v>0.738125</v>
      </c>
      <c r="D15889" s="1">
        <v>12.573445</v>
      </c>
      <c r="E15889" s="1">
        <v>79.916629</v>
      </c>
      <c r="F15889" s="1">
        <v>2846.0</v>
      </c>
      <c r="G15889" s="1">
        <v>58.0</v>
      </c>
    </row>
    <row r="15890">
      <c r="A15890" s="1" t="s">
        <v>8</v>
      </c>
      <c r="B15890" s="2">
        <v>44784.0</v>
      </c>
      <c r="C15890" s="3">
        <v>0.7383217592592592</v>
      </c>
      <c r="D15890" s="1">
        <v>12.573445</v>
      </c>
      <c r="E15890" s="1">
        <v>79.916629</v>
      </c>
      <c r="F15890" s="1">
        <v>2846.0</v>
      </c>
      <c r="G15890" s="1">
        <v>58.0</v>
      </c>
    </row>
    <row r="15891">
      <c r="A15891" s="1" t="s">
        <v>8</v>
      </c>
      <c r="B15891" s="2">
        <v>44784.0</v>
      </c>
      <c r="C15891" s="3">
        <v>0.7383217592592592</v>
      </c>
      <c r="D15891" s="1">
        <v>13.006775</v>
      </c>
      <c r="E15891" s="1">
        <v>80.248604</v>
      </c>
      <c r="F15891" s="1">
        <v>805.0</v>
      </c>
      <c r="G15891" s="1">
        <v>33.0</v>
      </c>
    </row>
    <row r="15892">
      <c r="A15892" s="1" t="s">
        <v>8</v>
      </c>
      <c r="B15892" s="2">
        <v>44784.0</v>
      </c>
      <c r="C15892" s="3">
        <v>0.7384490740740741</v>
      </c>
      <c r="D15892" s="1">
        <v>13.006816</v>
      </c>
      <c r="E15892" s="1">
        <v>80.249588</v>
      </c>
      <c r="F15892" s="1">
        <v>805.0</v>
      </c>
      <c r="G15892" s="1">
        <v>36.0</v>
      </c>
    </row>
    <row r="15893">
      <c r="A15893" s="1" t="s">
        <v>8</v>
      </c>
      <c r="B15893" s="2">
        <v>44784.0</v>
      </c>
      <c r="C15893" s="3">
        <v>0.7384722222222222</v>
      </c>
      <c r="D15893" s="1">
        <v>13.006816</v>
      </c>
      <c r="E15893" s="1">
        <v>80.249588</v>
      </c>
      <c r="F15893" s="1">
        <v>805.0</v>
      </c>
      <c r="G15893" s="1">
        <v>36.0</v>
      </c>
    </row>
    <row r="15894">
      <c r="A15894" s="1" t="s">
        <v>7</v>
      </c>
      <c r="B15894" s="2">
        <v>44784.0</v>
      </c>
      <c r="C15894" s="3">
        <v>0.7386689814814815</v>
      </c>
      <c r="D15894" s="1">
        <v>12.566794</v>
      </c>
      <c r="E15894" s="1">
        <v>79.914866</v>
      </c>
      <c r="F15894" s="1">
        <v>2846.0</v>
      </c>
      <c r="G15894" s="1">
        <v>58.0</v>
      </c>
    </row>
    <row r="15895">
      <c r="A15895" s="1" t="s">
        <v>8</v>
      </c>
      <c r="B15895" s="2">
        <v>44784.0</v>
      </c>
      <c r="C15895" s="3">
        <v>0.7389699074074074</v>
      </c>
      <c r="D15895" s="1">
        <v>13.006839</v>
      </c>
      <c r="E15895" s="1">
        <v>80.251552</v>
      </c>
      <c r="F15895" s="1">
        <v>805.0</v>
      </c>
      <c r="G15895" s="1">
        <v>21.0</v>
      </c>
    </row>
    <row r="15896">
      <c r="A15896" s="1" t="s">
        <v>8</v>
      </c>
      <c r="B15896" s="2">
        <v>44784.0</v>
      </c>
      <c r="C15896" s="3">
        <v>0.7389930555555555</v>
      </c>
      <c r="D15896" s="1">
        <v>13.006839</v>
      </c>
      <c r="E15896" s="1">
        <v>80.251552</v>
      </c>
      <c r="F15896" s="1">
        <v>805.0</v>
      </c>
      <c r="G15896" s="1">
        <v>21.0</v>
      </c>
    </row>
    <row r="15897">
      <c r="A15897" s="1" t="s">
        <v>8</v>
      </c>
      <c r="B15897" s="2">
        <v>44784.0</v>
      </c>
      <c r="C15897" s="3">
        <v>0.7391319444444444</v>
      </c>
      <c r="D15897" s="1">
        <v>13.00662</v>
      </c>
      <c r="E15897" s="1">
        <v>80.252306</v>
      </c>
      <c r="F15897" s="1">
        <v>805.0</v>
      </c>
      <c r="G15897" s="1">
        <v>32.0</v>
      </c>
    </row>
    <row r="15898">
      <c r="A15898" s="1" t="s">
        <v>8</v>
      </c>
      <c r="B15898" s="2">
        <v>44784.0</v>
      </c>
      <c r="C15898" s="3">
        <v>0.7392361111111111</v>
      </c>
      <c r="D15898" s="1">
        <v>13.006562</v>
      </c>
      <c r="E15898" s="1">
        <v>80.253061</v>
      </c>
      <c r="F15898" s="1">
        <v>805.0</v>
      </c>
      <c r="G15898" s="1">
        <v>31.0</v>
      </c>
    </row>
    <row r="15899">
      <c r="A15899" s="1" t="s">
        <v>8</v>
      </c>
      <c r="B15899" s="2">
        <v>44784.0</v>
      </c>
      <c r="C15899" s="3">
        <v>0.7394675925925925</v>
      </c>
      <c r="D15899" s="1">
        <v>13.0066</v>
      </c>
      <c r="E15899" s="1">
        <v>80.25504</v>
      </c>
      <c r="F15899" s="1">
        <v>805.0</v>
      </c>
      <c r="G15899" s="1">
        <v>38.0</v>
      </c>
    </row>
    <row r="15900">
      <c r="A15900" s="1" t="s">
        <v>8</v>
      </c>
      <c r="B15900" s="2">
        <v>44784.0</v>
      </c>
      <c r="C15900" s="3">
        <v>0.739988425925926</v>
      </c>
      <c r="D15900" s="1">
        <v>13.006856</v>
      </c>
      <c r="E15900" s="1">
        <v>80.257803</v>
      </c>
      <c r="F15900" s="1">
        <v>805.0</v>
      </c>
      <c r="G15900" s="1">
        <v>18.0</v>
      </c>
    </row>
    <row r="15901">
      <c r="A15901" s="1" t="s">
        <v>8</v>
      </c>
      <c r="B15901" s="2">
        <v>44784.0</v>
      </c>
      <c r="C15901" s="3">
        <v>0.74</v>
      </c>
      <c r="D15901" s="1">
        <v>13.00713</v>
      </c>
      <c r="E15901" s="1">
        <v>80.258301</v>
      </c>
      <c r="F15901" s="1">
        <v>805.0</v>
      </c>
      <c r="G15901" s="1">
        <v>28.0</v>
      </c>
    </row>
    <row r="15902">
      <c r="A15902" s="1" t="s">
        <v>8</v>
      </c>
      <c r="B15902" s="2">
        <v>44784.0</v>
      </c>
      <c r="C15902" s="3">
        <v>0.74</v>
      </c>
      <c r="D15902" s="1">
        <v>13.00713</v>
      </c>
      <c r="E15902" s="1">
        <v>80.258301</v>
      </c>
      <c r="F15902" s="1">
        <v>805.0</v>
      </c>
      <c r="G15902" s="1">
        <v>28.0</v>
      </c>
    </row>
    <row r="15903">
      <c r="A15903" s="1" t="s">
        <v>8</v>
      </c>
      <c r="B15903" s="2">
        <v>44784.0</v>
      </c>
      <c r="C15903" s="3">
        <v>0.740011574074074</v>
      </c>
      <c r="D15903" s="1">
        <v>13.00713</v>
      </c>
      <c r="E15903" s="1">
        <v>80.258301</v>
      </c>
      <c r="F15903" s="1">
        <v>805.0</v>
      </c>
      <c r="G15903" s="1">
        <v>28.0</v>
      </c>
    </row>
    <row r="15904">
      <c r="A15904" s="1" t="s">
        <v>7</v>
      </c>
      <c r="B15904" s="2">
        <v>44784.0</v>
      </c>
      <c r="C15904" s="3">
        <v>0.7402893518518519</v>
      </c>
      <c r="D15904" s="1">
        <v>12.552379</v>
      </c>
      <c r="E15904" s="1">
        <v>79.907259</v>
      </c>
      <c r="F15904" s="1">
        <v>2846.0</v>
      </c>
      <c r="G15904" s="1">
        <v>58.0</v>
      </c>
    </row>
    <row r="15905">
      <c r="A15905" s="1" t="s">
        <v>8</v>
      </c>
      <c r="B15905" s="2">
        <v>44784.0</v>
      </c>
      <c r="C15905" s="3">
        <v>0.7407870370370371</v>
      </c>
      <c r="D15905" s="1">
        <v>13.009403</v>
      </c>
      <c r="E15905" s="1">
        <v>80.259057</v>
      </c>
      <c r="F15905" s="1">
        <v>805.0</v>
      </c>
      <c r="G15905" s="1">
        <v>30.0</v>
      </c>
    </row>
    <row r="15906">
      <c r="A15906" s="1" t="s">
        <v>8</v>
      </c>
      <c r="B15906" s="2">
        <v>44784.0</v>
      </c>
      <c r="C15906" s="3">
        <v>0.7409953703703703</v>
      </c>
      <c r="D15906" s="1">
        <v>12.543086</v>
      </c>
      <c r="E15906" s="1">
        <v>79.904881</v>
      </c>
      <c r="F15906" s="1">
        <v>2846.0</v>
      </c>
      <c r="G15906" s="1">
        <v>36.0</v>
      </c>
    </row>
    <row r="15907">
      <c r="A15907" s="1" t="s">
        <v>8</v>
      </c>
      <c r="B15907" s="2">
        <v>44784.0</v>
      </c>
      <c r="C15907" s="3">
        <v>0.7411574074074074</v>
      </c>
      <c r="D15907" s="1">
        <v>12.54201</v>
      </c>
      <c r="E15907" s="1">
        <v>79.904679</v>
      </c>
      <c r="F15907" s="1">
        <v>2846.0</v>
      </c>
      <c r="G15907" s="1">
        <v>45.0</v>
      </c>
    </row>
    <row r="15908">
      <c r="A15908" s="1" t="s">
        <v>8</v>
      </c>
      <c r="B15908" s="2">
        <v>44784.0</v>
      </c>
      <c r="C15908" s="3">
        <v>0.7412037037037037</v>
      </c>
      <c r="D15908" s="1">
        <v>12.54201</v>
      </c>
      <c r="E15908" s="1">
        <v>79.904679</v>
      </c>
      <c r="F15908" s="1">
        <v>2846.0</v>
      </c>
      <c r="G15908" s="1">
        <v>45.0</v>
      </c>
    </row>
    <row r="15909">
      <c r="A15909" s="1" t="s">
        <v>8</v>
      </c>
      <c r="B15909" s="2">
        <v>44784.0</v>
      </c>
      <c r="C15909" s="3">
        <v>0.7412847222222222</v>
      </c>
      <c r="D15909" s="1">
        <v>13.015258</v>
      </c>
      <c r="E15909" s="1">
        <v>80.259281</v>
      </c>
      <c r="F15909" s="1">
        <v>805.0</v>
      </c>
      <c r="G15909" s="1">
        <v>44.0</v>
      </c>
    </row>
    <row r="15910">
      <c r="A15910" s="1" t="s">
        <v>8</v>
      </c>
      <c r="B15910" s="2">
        <v>44784.0</v>
      </c>
      <c r="C15910" s="3">
        <v>0.7414236111111111</v>
      </c>
      <c r="D15910" s="1">
        <v>12.538982</v>
      </c>
      <c r="E15910" s="1">
        <v>79.904114</v>
      </c>
      <c r="F15910" s="1">
        <v>2846.0</v>
      </c>
      <c r="G15910" s="1">
        <v>42.0</v>
      </c>
    </row>
    <row r="15911">
      <c r="A15911" s="1" t="s">
        <v>8</v>
      </c>
      <c r="B15911" s="2">
        <v>44784.0</v>
      </c>
      <c r="C15911" s="3">
        <v>0.7415162037037037</v>
      </c>
      <c r="D15911" s="1">
        <v>13.016475</v>
      </c>
      <c r="E15911" s="1">
        <v>80.259794</v>
      </c>
      <c r="F15911" s="1">
        <v>805.0</v>
      </c>
      <c r="G15911" s="1">
        <v>34.0</v>
      </c>
    </row>
    <row r="15912">
      <c r="A15912" s="1" t="s">
        <v>8</v>
      </c>
      <c r="B15912" s="2">
        <v>44784.0</v>
      </c>
      <c r="C15912" s="3">
        <v>0.741724537037037</v>
      </c>
      <c r="D15912" s="1">
        <v>13.017381</v>
      </c>
      <c r="E15912" s="1">
        <v>80.260371</v>
      </c>
      <c r="F15912" s="1">
        <v>805.0</v>
      </c>
      <c r="G15912" s="1">
        <v>45.0</v>
      </c>
    </row>
    <row r="15913">
      <c r="A15913" s="1" t="s">
        <v>10</v>
      </c>
      <c r="B15913" s="2">
        <v>44784.0</v>
      </c>
      <c r="C15913" s="3">
        <v>0.7418981481481481</v>
      </c>
      <c r="D15913" s="1">
        <v>13.018764</v>
      </c>
      <c r="E15913" s="1">
        <v>80.261308</v>
      </c>
      <c r="F15913" s="1">
        <v>805.0</v>
      </c>
      <c r="G15913" s="1">
        <v>27.0</v>
      </c>
    </row>
    <row r="15914">
      <c r="A15914" s="1" t="s">
        <v>10</v>
      </c>
      <c r="B15914" s="2">
        <v>44784.0</v>
      </c>
      <c r="C15914" s="3">
        <v>0.7421527777777778</v>
      </c>
      <c r="D15914" s="1">
        <v>13.019144</v>
      </c>
      <c r="E15914" s="1">
        <v>80.261609</v>
      </c>
      <c r="F15914" s="1">
        <v>805.0</v>
      </c>
      <c r="G15914" s="1">
        <v>0.0</v>
      </c>
    </row>
    <row r="15915">
      <c r="A15915" s="1" t="s">
        <v>7</v>
      </c>
      <c r="B15915" s="2">
        <v>44784.0</v>
      </c>
      <c r="C15915" s="3">
        <v>0.7426041666666666</v>
      </c>
      <c r="D15915" s="1">
        <v>12.530943</v>
      </c>
      <c r="E15915" s="1">
        <v>79.900083</v>
      </c>
      <c r="F15915" s="1">
        <v>2846.0</v>
      </c>
      <c r="G15915" s="1">
        <v>0.0</v>
      </c>
    </row>
    <row r="15916">
      <c r="A15916" s="1" t="s">
        <v>8</v>
      </c>
      <c r="B15916" s="2">
        <v>44784.0</v>
      </c>
      <c r="C15916" s="3">
        <v>0.7427893518518518</v>
      </c>
      <c r="D15916" s="1">
        <v>12.527279</v>
      </c>
      <c r="E15916" s="1">
        <v>79.898206</v>
      </c>
      <c r="F15916" s="1">
        <v>2846.0</v>
      </c>
      <c r="G15916" s="1">
        <v>59.0</v>
      </c>
    </row>
    <row r="15917">
      <c r="A15917" s="1" t="s">
        <v>8</v>
      </c>
      <c r="B15917" s="2">
        <v>44784.0</v>
      </c>
      <c r="C15917" s="3">
        <v>0.7430787037037037</v>
      </c>
      <c r="D15917" s="1">
        <v>12.524838</v>
      </c>
      <c r="E15917" s="1">
        <v>79.897021</v>
      </c>
      <c r="F15917" s="1">
        <v>2846.0</v>
      </c>
      <c r="G15917" s="1">
        <v>49.0</v>
      </c>
    </row>
    <row r="15918">
      <c r="A15918" s="1" t="s">
        <v>7</v>
      </c>
      <c r="B15918" s="2">
        <v>44784.0</v>
      </c>
      <c r="C15918" s="3">
        <v>0.7432986111111111</v>
      </c>
      <c r="D15918" s="1">
        <v>12.522627</v>
      </c>
      <c r="E15918" s="1">
        <v>79.89602</v>
      </c>
      <c r="F15918" s="1">
        <v>2846.0</v>
      </c>
      <c r="G15918" s="1">
        <v>42.0</v>
      </c>
    </row>
    <row r="15919">
      <c r="A15919" s="1" t="s">
        <v>7</v>
      </c>
      <c r="B15919" s="2">
        <v>44784.0</v>
      </c>
      <c r="C15919" s="3">
        <v>0.7436689814814815</v>
      </c>
      <c r="D15919" s="1">
        <v>12.518554</v>
      </c>
      <c r="E15919" s="1">
        <v>79.892294</v>
      </c>
      <c r="F15919" s="1">
        <v>2846.0</v>
      </c>
      <c r="G15919" s="1">
        <v>57.0</v>
      </c>
    </row>
    <row r="15920">
      <c r="A15920" s="1" t="s">
        <v>7</v>
      </c>
      <c r="B15920" s="2">
        <v>44784.0</v>
      </c>
      <c r="C15920" s="3">
        <v>0.7437962962962963</v>
      </c>
      <c r="D15920" s="1">
        <v>12.518554</v>
      </c>
      <c r="E15920" s="1">
        <v>79.892294</v>
      </c>
      <c r="F15920" s="1">
        <v>2846.0</v>
      </c>
      <c r="G15920" s="1">
        <v>57.0</v>
      </c>
    </row>
    <row r="15921">
      <c r="A15921" s="1" t="s">
        <v>8</v>
      </c>
      <c r="B15921" s="2">
        <v>44784.0</v>
      </c>
      <c r="C15921" s="3">
        <v>0.7442708333333333</v>
      </c>
      <c r="D15921" s="1">
        <v>12.516412</v>
      </c>
      <c r="E15921" s="1">
        <v>79.89017</v>
      </c>
      <c r="F15921" s="1">
        <v>2846.0</v>
      </c>
      <c r="G15921" s="1">
        <v>24.0</v>
      </c>
    </row>
    <row r="15922">
      <c r="A15922" s="1" t="s">
        <v>10</v>
      </c>
      <c r="B15922" s="2">
        <v>44784.0</v>
      </c>
      <c r="C15922" s="3">
        <v>0.7464814814814815</v>
      </c>
      <c r="D15922" s="1">
        <v>13.029596</v>
      </c>
      <c r="E15922" s="1">
        <v>80.266572</v>
      </c>
      <c r="F15922" s="1">
        <v>805.0</v>
      </c>
      <c r="G15922" s="1">
        <v>22.0</v>
      </c>
    </row>
    <row r="15923">
      <c r="A15923" s="1" t="s">
        <v>10</v>
      </c>
      <c r="B15923" s="2">
        <v>44784.0</v>
      </c>
      <c r="C15923" s="3">
        <v>0.746724537037037</v>
      </c>
      <c r="D15923" s="1">
        <v>13.030712</v>
      </c>
      <c r="E15923" s="1">
        <v>80.266757</v>
      </c>
      <c r="F15923" s="1">
        <v>805.0</v>
      </c>
      <c r="G15923" s="1">
        <v>22.0</v>
      </c>
    </row>
    <row r="15924">
      <c r="A15924" s="1" t="s">
        <v>10</v>
      </c>
      <c r="B15924" s="2">
        <v>44784.0</v>
      </c>
      <c r="C15924" s="3">
        <v>0.7491319444444444</v>
      </c>
      <c r="D15924" s="1">
        <v>13.05348</v>
      </c>
      <c r="E15924" s="1">
        <v>80.268514</v>
      </c>
      <c r="F15924" s="1">
        <v>5339.0</v>
      </c>
      <c r="G15924" s="1">
        <v>20.0</v>
      </c>
    </row>
    <row r="15925">
      <c r="A15925" s="1" t="s">
        <v>10</v>
      </c>
      <c r="B15925" s="2">
        <v>44784.0</v>
      </c>
      <c r="C15925" s="3">
        <v>0.749537037037037</v>
      </c>
      <c r="D15925" s="1">
        <v>13.053375</v>
      </c>
      <c r="E15925" s="1">
        <v>80.269506</v>
      </c>
      <c r="F15925" s="1">
        <v>5339.0</v>
      </c>
      <c r="G15925" s="1">
        <v>0.0</v>
      </c>
    </row>
    <row r="15926">
      <c r="A15926" s="1" t="s">
        <v>10</v>
      </c>
      <c r="B15926" s="2">
        <v>44784.0</v>
      </c>
      <c r="C15926" s="3">
        <v>0.7500231481481482</v>
      </c>
      <c r="D15926" s="1">
        <v>13.038994</v>
      </c>
      <c r="E15926" s="1">
        <v>80.267638</v>
      </c>
      <c r="F15926" s="1">
        <v>805.0</v>
      </c>
      <c r="G15926" s="1">
        <v>19.0</v>
      </c>
    </row>
    <row r="15927">
      <c r="A15927" s="1" t="s">
        <v>10</v>
      </c>
      <c r="B15927" s="2">
        <v>44784.0</v>
      </c>
      <c r="C15927" s="3">
        <v>0.7502430555555556</v>
      </c>
      <c r="D15927" s="1">
        <v>13.039902</v>
      </c>
      <c r="E15927" s="1">
        <v>80.267877</v>
      </c>
      <c r="F15927" s="1">
        <v>805.0</v>
      </c>
      <c r="G15927" s="1">
        <v>15.0</v>
      </c>
    </row>
    <row r="15928">
      <c r="A15928" s="1" t="s">
        <v>10</v>
      </c>
      <c r="B15928" s="2">
        <v>44784.0</v>
      </c>
      <c r="C15928" s="3">
        <v>0.7503819444444444</v>
      </c>
      <c r="D15928" s="1">
        <v>13.053219</v>
      </c>
      <c r="E15928" s="1">
        <v>80.271388</v>
      </c>
      <c r="F15928" s="1">
        <v>5339.0</v>
      </c>
      <c r="G15928" s="1">
        <v>4.0</v>
      </c>
    </row>
    <row r="15929">
      <c r="A15929" s="1" t="s">
        <v>10</v>
      </c>
      <c r="B15929" s="2">
        <v>44784.0</v>
      </c>
      <c r="C15929" s="3">
        <v>0.7520601851851851</v>
      </c>
      <c r="D15929" s="1">
        <v>13.052923</v>
      </c>
      <c r="E15929" s="1">
        <v>80.273679</v>
      </c>
      <c r="F15929" s="1">
        <v>5339.0</v>
      </c>
      <c r="G15929" s="1">
        <v>9.0</v>
      </c>
    </row>
    <row r="15930">
      <c r="A15930" s="1" t="s">
        <v>9</v>
      </c>
      <c r="B15930" s="2">
        <v>44784.0</v>
      </c>
      <c r="C15930" s="3">
        <v>0.7520717592592593</v>
      </c>
      <c r="D15930" s="1">
        <v>13.044642</v>
      </c>
      <c r="E15930" s="1">
        <v>80.266796</v>
      </c>
      <c r="F15930" s="1">
        <v>805.0</v>
      </c>
      <c r="G15930" s="1">
        <v>27.0</v>
      </c>
    </row>
    <row r="15931">
      <c r="A15931" s="1" t="s">
        <v>10</v>
      </c>
      <c r="B15931" s="2">
        <v>44784.0</v>
      </c>
      <c r="C15931" s="3">
        <v>0.7525</v>
      </c>
      <c r="D15931" s="1">
        <v>13.05423</v>
      </c>
      <c r="E15931" s="1">
        <v>80.27378</v>
      </c>
      <c r="F15931" s="1">
        <v>5339.0</v>
      </c>
      <c r="G15931" s="1">
        <v>8.0</v>
      </c>
    </row>
    <row r="15932">
      <c r="A15932" s="1" t="s">
        <v>10</v>
      </c>
      <c r="B15932" s="2">
        <v>44784.0</v>
      </c>
      <c r="C15932" s="3">
        <v>0.7528935185185185</v>
      </c>
      <c r="D15932" s="1">
        <v>13.055618</v>
      </c>
      <c r="E15932" s="1">
        <v>80.273837</v>
      </c>
      <c r="F15932" s="1">
        <v>5339.0</v>
      </c>
      <c r="G15932" s="1">
        <v>23.0</v>
      </c>
    </row>
    <row r="15933">
      <c r="A15933" s="1" t="s">
        <v>10</v>
      </c>
      <c r="B15933" s="2">
        <v>44784.0</v>
      </c>
      <c r="C15933" s="3">
        <v>0.7530787037037037</v>
      </c>
      <c r="D15933" s="1">
        <v>13.05664</v>
      </c>
      <c r="E15933" s="1">
        <v>80.273914</v>
      </c>
      <c r="F15933" s="1">
        <v>5339.0</v>
      </c>
      <c r="G15933" s="1">
        <v>17.0</v>
      </c>
    </row>
    <row r="15934">
      <c r="A15934" s="1" t="s">
        <v>10</v>
      </c>
      <c r="B15934" s="2">
        <v>44784.0</v>
      </c>
      <c r="C15934" s="3">
        <v>0.7531365740740741</v>
      </c>
      <c r="D15934" s="1">
        <v>13.05664</v>
      </c>
      <c r="E15934" s="1">
        <v>80.273914</v>
      </c>
      <c r="F15934" s="1">
        <v>5339.0</v>
      </c>
      <c r="G15934" s="1">
        <v>17.0</v>
      </c>
    </row>
    <row r="15935">
      <c r="A15935" s="1" t="s">
        <v>10</v>
      </c>
      <c r="B15935" s="2">
        <v>44784.0</v>
      </c>
      <c r="C15935" s="3">
        <v>0.7540277777777777</v>
      </c>
      <c r="D15935" s="1">
        <v>13.058878</v>
      </c>
      <c r="E15935" s="1">
        <v>80.27417</v>
      </c>
      <c r="F15935" s="1">
        <v>5339.0</v>
      </c>
      <c r="G15935" s="1">
        <v>2.0</v>
      </c>
    </row>
    <row r="15936">
      <c r="A15936" s="1" t="s">
        <v>10</v>
      </c>
      <c r="B15936" s="2">
        <v>44784.0</v>
      </c>
      <c r="C15936" s="3">
        <v>0.7542708333333333</v>
      </c>
      <c r="D15936" s="1">
        <v>13.059808</v>
      </c>
      <c r="E15936" s="1">
        <v>80.27429</v>
      </c>
      <c r="F15936" s="1">
        <v>5339.0</v>
      </c>
      <c r="G15936" s="1">
        <v>27.0</v>
      </c>
    </row>
    <row r="15937">
      <c r="A15937" s="1" t="s">
        <v>10</v>
      </c>
      <c r="B15937" s="2">
        <v>44784.0</v>
      </c>
      <c r="C15937" s="3">
        <v>0.7548263888888889</v>
      </c>
      <c r="D15937" s="1">
        <v>13.061599</v>
      </c>
      <c r="E15937" s="1">
        <v>80.274317</v>
      </c>
      <c r="F15937" s="1">
        <v>5339.0</v>
      </c>
      <c r="G15937" s="1">
        <v>22.0</v>
      </c>
    </row>
    <row r="15938">
      <c r="A15938" s="1" t="s">
        <v>10</v>
      </c>
      <c r="B15938" s="2">
        <v>44784.0</v>
      </c>
      <c r="C15938" s="3">
        <v>0.7548842592592593</v>
      </c>
      <c r="D15938" s="1">
        <v>13.061599</v>
      </c>
      <c r="E15938" s="1">
        <v>80.274317</v>
      </c>
      <c r="F15938" s="1">
        <v>5339.0</v>
      </c>
      <c r="G15938" s="1">
        <v>22.0</v>
      </c>
    </row>
    <row r="15939">
      <c r="A15939" s="1" t="s">
        <v>10</v>
      </c>
      <c r="B15939" s="2">
        <v>44784.0</v>
      </c>
      <c r="C15939" s="3">
        <v>0.7557060185185185</v>
      </c>
      <c r="D15939" s="1">
        <v>13.064646</v>
      </c>
      <c r="E15939" s="1">
        <v>80.273948</v>
      </c>
      <c r="F15939" s="1">
        <v>5339.0</v>
      </c>
      <c r="G15939" s="1">
        <v>18.0</v>
      </c>
    </row>
    <row r="15940">
      <c r="A15940" s="1" t="s">
        <v>10</v>
      </c>
      <c r="B15940" s="2">
        <v>44784.0</v>
      </c>
      <c r="C15940" s="3">
        <v>0.7557638888888889</v>
      </c>
      <c r="D15940" s="1">
        <v>13.059072</v>
      </c>
      <c r="E15940" s="1">
        <v>80.265434</v>
      </c>
      <c r="F15940" s="1">
        <v>805.0</v>
      </c>
      <c r="G15940" s="1">
        <v>16.0</v>
      </c>
    </row>
    <row r="15941">
      <c r="A15941" s="1" t="s">
        <v>10</v>
      </c>
      <c r="B15941" s="2">
        <v>44784.0</v>
      </c>
      <c r="C15941" s="3">
        <v>0.7560532407407408</v>
      </c>
      <c r="D15941" s="1">
        <v>13.065411</v>
      </c>
      <c r="E15941" s="1">
        <v>80.273794</v>
      </c>
      <c r="F15941" s="1">
        <v>5339.0</v>
      </c>
      <c r="G15941" s="1">
        <v>1.0</v>
      </c>
    </row>
    <row r="15942">
      <c r="A15942" s="1" t="s">
        <v>8</v>
      </c>
      <c r="B15942" s="2">
        <v>44784.0</v>
      </c>
      <c r="C15942" s="3">
        <v>0.7570717592592593</v>
      </c>
      <c r="D15942" s="1">
        <v>13.068141</v>
      </c>
      <c r="E15942" s="1">
        <v>80.2718</v>
      </c>
      <c r="F15942" s="1">
        <v>5339.0</v>
      </c>
      <c r="G15942" s="1">
        <v>22.0</v>
      </c>
    </row>
    <row r="15943">
      <c r="A15943" s="1" t="s">
        <v>8</v>
      </c>
      <c r="B15943" s="2">
        <v>44784.0</v>
      </c>
      <c r="C15943" s="3">
        <v>0.7579282407407407</v>
      </c>
      <c r="D15943" s="1">
        <v>13.067054</v>
      </c>
      <c r="E15943" s="1">
        <v>80.268645</v>
      </c>
      <c r="F15943" s="1">
        <v>5339.0</v>
      </c>
      <c r="G15943" s="1">
        <v>29.0</v>
      </c>
    </row>
    <row r="15944">
      <c r="A15944" s="1" t="s">
        <v>8</v>
      </c>
      <c r="B15944" s="2">
        <v>44784.0</v>
      </c>
      <c r="C15944" s="3">
        <v>0.7602546296296296</v>
      </c>
      <c r="D15944" s="1">
        <v>13.072693</v>
      </c>
      <c r="E15944" s="1">
        <v>80.262592</v>
      </c>
      <c r="F15944" s="1">
        <v>5339.0</v>
      </c>
      <c r="G15944" s="1">
        <v>29.0</v>
      </c>
    </row>
    <row r="15945">
      <c r="A15945" s="1" t="s">
        <v>8</v>
      </c>
      <c r="B15945" s="2">
        <v>44784.0</v>
      </c>
      <c r="C15945" s="3">
        <v>0.7602546296296296</v>
      </c>
      <c r="D15945" s="1">
        <v>13.072693</v>
      </c>
      <c r="E15945" s="1">
        <v>80.262592</v>
      </c>
      <c r="F15945" s="1">
        <v>5339.0</v>
      </c>
      <c r="G15945" s="1">
        <v>29.0</v>
      </c>
    </row>
    <row r="15946">
      <c r="A15946" s="1" t="s">
        <v>8</v>
      </c>
      <c r="B15946" s="2">
        <v>44784.0</v>
      </c>
      <c r="C15946" s="3">
        <v>0.7602662037037037</v>
      </c>
      <c r="D15946" s="1">
        <v>13.072693</v>
      </c>
      <c r="E15946" s="1">
        <v>80.262592</v>
      </c>
      <c r="F15946" s="1">
        <v>5339.0</v>
      </c>
      <c r="G15946" s="1">
        <v>29.0</v>
      </c>
    </row>
    <row r="15947">
      <c r="A15947" s="1" t="s">
        <v>8</v>
      </c>
      <c r="B15947" s="2">
        <v>44784.0</v>
      </c>
      <c r="C15947" s="3">
        <v>0.7619444444444444</v>
      </c>
      <c r="D15947" s="1">
        <v>13.071746</v>
      </c>
      <c r="E15947" s="1">
        <v>80.264382</v>
      </c>
      <c r="F15947" s="1">
        <v>805.0</v>
      </c>
      <c r="G15947" s="1">
        <v>27.0</v>
      </c>
    </row>
    <row r="15948">
      <c r="A15948" s="1" t="s">
        <v>8</v>
      </c>
      <c r="B15948" s="2">
        <v>44784.0</v>
      </c>
      <c r="C15948" s="3">
        <v>0.7632523148148148</v>
      </c>
      <c r="D15948" s="1">
        <v>13.066883</v>
      </c>
      <c r="E15948" s="1">
        <v>80.253985</v>
      </c>
      <c r="F15948" s="1">
        <v>5339.0</v>
      </c>
      <c r="G15948" s="1">
        <v>11.0</v>
      </c>
    </row>
    <row r="15949">
      <c r="A15949" s="1" t="s">
        <v>8</v>
      </c>
      <c r="B15949" s="2">
        <v>44784.0</v>
      </c>
      <c r="C15949" s="3">
        <v>0.7634722222222222</v>
      </c>
      <c r="D15949" s="1">
        <v>13.067967</v>
      </c>
      <c r="E15949" s="1">
        <v>80.253173</v>
      </c>
      <c r="F15949" s="1">
        <v>5339.0</v>
      </c>
      <c r="G15949" s="1">
        <v>33.0</v>
      </c>
    </row>
    <row r="15950">
      <c r="A15950" s="1" t="s">
        <v>8</v>
      </c>
      <c r="B15950" s="2">
        <v>44784.0</v>
      </c>
      <c r="C15950" s="3">
        <v>0.7645717592592592</v>
      </c>
      <c r="D15950" s="1">
        <v>13.066428</v>
      </c>
      <c r="E15950" s="1">
        <v>80.247838</v>
      </c>
      <c r="F15950" s="1">
        <v>5339.0</v>
      </c>
      <c r="G15950" s="1">
        <v>34.0</v>
      </c>
    </row>
    <row r="15951">
      <c r="A15951" s="1" t="s">
        <v>10</v>
      </c>
      <c r="B15951" s="2">
        <v>44784.0</v>
      </c>
      <c r="C15951" s="3">
        <v>0.7653240740740741</v>
      </c>
      <c r="D15951" s="1">
        <v>13.064078</v>
      </c>
      <c r="E15951" s="1">
        <v>80.249505</v>
      </c>
      <c r="F15951" s="1">
        <v>5339.0</v>
      </c>
      <c r="G15951" s="1">
        <v>18.0</v>
      </c>
    </row>
    <row r="15952">
      <c r="A15952" s="1" t="s">
        <v>10</v>
      </c>
      <c r="B15952" s="2">
        <v>44784.0</v>
      </c>
      <c r="C15952" s="3">
        <v>0.7656018518518518</v>
      </c>
      <c r="D15952" s="1">
        <v>13.063621</v>
      </c>
      <c r="E15952" s="1">
        <v>80.250607</v>
      </c>
      <c r="F15952" s="1">
        <v>5339.0</v>
      </c>
      <c r="G15952" s="1">
        <v>7.0</v>
      </c>
    </row>
    <row r="15953">
      <c r="A15953" s="1" t="s">
        <v>7</v>
      </c>
      <c r="B15953" s="2">
        <v>44785.0</v>
      </c>
      <c r="C15953" s="3">
        <v>0.28984953703703703</v>
      </c>
      <c r="D15953" s="1">
        <v>12.469538</v>
      </c>
      <c r="E15953" s="1">
        <v>79.852677</v>
      </c>
      <c r="F15953" s="1">
        <v>2846.0</v>
      </c>
      <c r="G15953" s="1">
        <v>55.0</v>
      </c>
    </row>
    <row r="15954">
      <c r="A15954" s="1" t="s">
        <v>7</v>
      </c>
      <c r="B15954" s="2">
        <v>44785.0</v>
      </c>
      <c r="C15954" s="3">
        <v>0.2905671296296296</v>
      </c>
      <c r="D15954" s="1">
        <v>12.473882</v>
      </c>
      <c r="E15954" s="1">
        <v>79.856346</v>
      </c>
      <c r="F15954" s="1">
        <v>2846.0</v>
      </c>
      <c r="G15954" s="1">
        <v>56.0</v>
      </c>
    </row>
    <row r="15955">
      <c r="A15955" s="1" t="s">
        <v>7</v>
      </c>
      <c r="B15955" s="2">
        <v>44785.0</v>
      </c>
      <c r="C15955" s="3">
        <v>0.2923148148148148</v>
      </c>
      <c r="D15955" s="1">
        <v>12.493702</v>
      </c>
      <c r="E15955" s="1">
        <v>79.86993</v>
      </c>
      <c r="F15955" s="1">
        <v>2846.0</v>
      </c>
      <c r="G15955" s="1">
        <v>57.0</v>
      </c>
    </row>
    <row r="15956">
      <c r="A15956" s="1" t="s">
        <v>8</v>
      </c>
      <c r="B15956" s="2">
        <v>44785.0</v>
      </c>
      <c r="C15956" s="3">
        <v>0.29237268518518517</v>
      </c>
      <c r="D15956" s="1">
        <v>12.493702</v>
      </c>
      <c r="E15956" s="1">
        <v>79.86993</v>
      </c>
      <c r="F15956" s="1">
        <v>2846.0</v>
      </c>
      <c r="G15956" s="1">
        <v>57.0</v>
      </c>
    </row>
    <row r="15957">
      <c r="A15957" s="1" t="s">
        <v>7</v>
      </c>
      <c r="B15957" s="2">
        <v>44785.0</v>
      </c>
      <c r="C15957" s="3">
        <v>0.2932986111111111</v>
      </c>
      <c r="D15957" s="1">
        <v>12.499599</v>
      </c>
      <c r="E15957" s="1">
        <v>79.87485</v>
      </c>
      <c r="F15957" s="1">
        <v>2846.0</v>
      </c>
      <c r="G15957" s="1">
        <v>51.0</v>
      </c>
    </row>
    <row r="15958">
      <c r="A15958" s="1" t="s">
        <v>8</v>
      </c>
      <c r="B15958" s="2">
        <v>44785.0</v>
      </c>
      <c r="C15958" s="3">
        <v>0.29381944444444447</v>
      </c>
      <c r="D15958" s="1">
        <v>13.062113</v>
      </c>
      <c r="E15958" s="1">
        <v>80.245361</v>
      </c>
      <c r="F15958" s="1">
        <v>5339.0</v>
      </c>
      <c r="G15958" s="1">
        <v>39.0</v>
      </c>
    </row>
    <row r="15959">
      <c r="A15959" s="1" t="s">
        <v>8</v>
      </c>
      <c r="B15959" s="2">
        <v>44785.0</v>
      </c>
      <c r="C15959" s="3">
        <v>0.2939467592592593</v>
      </c>
      <c r="D15959" s="1">
        <v>13.06282</v>
      </c>
      <c r="E15959" s="1">
        <v>80.244775</v>
      </c>
      <c r="F15959" s="1">
        <v>5339.0</v>
      </c>
      <c r="G15959" s="1">
        <v>34.0</v>
      </c>
    </row>
    <row r="15960">
      <c r="A15960" s="1" t="s">
        <v>7</v>
      </c>
      <c r="B15960" s="2">
        <v>44785.0</v>
      </c>
      <c r="C15960" s="3">
        <v>0.29439814814814813</v>
      </c>
      <c r="D15960" s="1">
        <v>12.513489</v>
      </c>
      <c r="E15960" s="1">
        <v>79.884146</v>
      </c>
      <c r="F15960" s="1">
        <v>2846.0</v>
      </c>
      <c r="G15960" s="1">
        <v>49.0</v>
      </c>
    </row>
    <row r="15961">
      <c r="A15961" s="1" t="s">
        <v>7</v>
      </c>
      <c r="B15961" s="2">
        <v>44785.0</v>
      </c>
      <c r="C15961" s="3">
        <v>0.29453703703703704</v>
      </c>
      <c r="D15961" s="1">
        <v>12.513489</v>
      </c>
      <c r="E15961" s="1">
        <v>79.884146</v>
      </c>
      <c r="F15961" s="1">
        <v>2846.0</v>
      </c>
      <c r="G15961" s="1">
        <v>49.0</v>
      </c>
    </row>
    <row r="15962">
      <c r="A15962" s="1" t="s">
        <v>7</v>
      </c>
      <c r="B15962" s="2">
        <v>44785.0</v>
      </c>
      <c r="C15962" s="3">
        <v>0.2953587962962963</v>
      </c>
      <c r="D15962" s="1">
        <v>12.515332</v>
      </c>
      <c r="E15962" s="1">
        <v>79.888668</v>
      </c>
      <c r="F15962" s="1">
        <v>2846.0</v>
      </c>
      <c r="G15962" s="1">
        <v>49.0</v>
      </c>
    </row>
    <row r="15963">
      <c r="A15963" s="1" t="s">
        <v>9</v>
      </c>
      <c r="B15963" s="2">
        <v>44785.0</v>
      </c>
      <c r="C15963" s="3">
        <v>0.29555555555555557</v>
      </c>
      <c r="D15963" s="1">
        <v>12.514183</v>
      </c>
      <c r="E15963" s="1">
        <v>79.887964</v>
      </c>
      <c r="F15963" s="1">
        <v>2846.0</v>
      </c>
      <c r="G15963" s="1">
        <v>57.0</v>
      </c>
    </row>
    <row r="15964">
      <c r="A15964" s="1" t="s">
        <v>7</v>
      </c>
      <c r="B15964" s="2">
        <v>44785.0</v>
      </c>
      <c r="C15964" s="3">
        <v>0.29648148148148146</v>
      </c>
      <c r="D15964" s="1">
        <v>13.062292</v>
      </c>
      <c r="E15964" s="1">
        <v>80.245007</v>
      </c>
      <c r="F15964" s="1">
        <v>805.0</v>
      </c>
      <c r="G15964" s="1">
        <v>47.0</v>
      </c>
    </row>
    <row r="15965">
      <c r="A15965" s="1" t="s">
        <v>8</v>
      </c>
      <c r="B15965" s="2">
        <v>44785.0</v>
      </c>
      <c r="C15965" s="3">
        <v>0.2976388888888889</v>
      </c>
      <c r="D15965" s="1">
        <v>13.06796</v>
      </c>
      <c r="E15965" s="1">
        <v>80.247102</v>
      </c>
      <c r="F15965" s="1">
        <v>805.0</v>
      </c>
      <c r="G15965" s="1">
        <v>34.0</v>
      </c>
    </row>
    <row r="15966">
      <c r="A15966" s="1" t="s">
        <v>8</v>
      </c>
      <c r="B15966" s="2">
        <v>44785.0</v>
      </c>
      <c r="C15966" s="3">
        <v>0.2982060185185185</v>
      </c>
      <c r="D15966" s="1">
        <v>13.067442</v>
      </c>
      <c r="E15966" s="1">
        <v>80.25108</v>
      </c>
      <c r="F15966" s="1">
        <v>805.0</v>
      </c>
      <c r="G15966" s="1">
        <v>38.0</v>
      </c>
    </row>
    <row r="15967">
      <c r="A15967" s="1" t="s">
        <v>10</v>
      </c>
      <c r="B15967" s="2">
        <v>44785.0</v>
      </c>
      <c r="C15967" s="3">
        <v>0.2996990740740741</v>
      </c>
      <c r="D15967" s="1">
        <v>12.512467</v>
      </c>
      <c r="E15967" s="1">
        <v>79.886238</v>
      </c>
      <c r="F15967" s="1">
        <v>2846.0</v>
      </c>
      <c r="G15967" s="1">
        <v>28.0</v>
      </c>
    </row>
    <row r="15968">
      <c r="A15968" s="1" t="s">
        <v>7</v>
      </c>
      <c r="B15968" s="2">
        <v>44785.0</v>
      </c>
      <c r="C15968" s="3">
        <v>0.3003587962962963</v>
      </c>
      <c r="D15968" s="1">
        <v>12.514845</v>
      </c>
      <c r="E15968" s="1">
        <v>79.888472</v>
      </c>
      <c r="F15968" s="1">
        <v>2846.0</v>
      </c>
      <c r="G15968" s="1">
        <v>47.0</v>
      </c>
    </row>
    <row r="15969">
      <c r="A15969" s="1" t="s">
        <v>7</v>
      </c>
      <c r="B15969" s="2">
        <v>44785.0</v>
      </c>
      <c r="C15969" s="3">
        <v>0.30042824074074076</v>
      </c>
      <c r="D15969" s="1">
        <v>12.514845</v>
      </c>
      <c r="E15969" s="1">
        <v>79.888472</v>
      </c>
      <c r="F15969" s="1">
        <v>2846.0</v>
      </c>
      <c r="G15969" s="1">
        <v>47.0</v>
      </c>
    </row>
    <row r="15970">
      <c r="A15970" s="1" t="s">
        <v>8</v>
      </c>
      <c r="B15970" s="2">
        <v>44785.0</v>
      </c>
      <c r="C15970" s="3">
        <v>0.3008564814814815</v>
      </c>
      <c r="D15970" s="1">
        <v>13.073141</v>
      </c>
      <c r="E15970" s="1">
        <v>80.261596</v>
      </c>
      <c r="F15970" s="1">
        <v>805.0</v>
      </c>
      <c r="G15970" s="1">
        <v>24.0</v>
      </c>
    </row>
    <row r="15971">
      <c r="A15971" s="1" t="s">
        <v>10</v>
      </c>
      <c r="B15971" s="2">
        <v>44785.0</v>
      </c>
      <c r="C15971" s="3">
        <v>0.3053587962962963</v>
      </c>
      <c r="D15971" s="1">
        <v>13.057846</v>
      </c>
      <c r="E15971" s="1">
        <v>80.2741</v>
      </c>
      <c r="F15971" s="1">
        <v>5339.0</v>
      </c>
      <c r="G15971" s="1">
        <v>22.0</v>
      </c>
    </row>
    <row r="15972">
      <c r="A15972" s="1" t="s">
        <v>10</v>
      </c>
      <c r="B15972" s="2">
        <v>44785.0</v>
      </c>
      <c r="C15972" s="3">
        <v>0.30547453703703703</v>
      </c>
      <c r="D15972" s="1">
        <v>13.057166</v>
      </c>
      <c r="E15972" s="1">
        <v>80.274004</v>
      </c>
      <c r="F15972" s="1">
        <v>5339.0</v>
      </c>
      <c r="G15972" s="1">
        <v>29.0</v>
      </c>
    </row>
    <row r="15973">
      <c r="A15973" s="1" t="s">
        <v>10</v>
      </c>
      <c r="B15973" s="2">
        <v>44785.0</v>
      </c>
      <c r="C15973" s="3">
        <v>0.3065277777777778</v>
      </c>
      <c r="D15973" s="1">
        <v>13.052876</v>
      </c>
      <c r="E15973" s="1">
        <v>80.273592</v>
      </c>
      <c r="F15973" s="1">
        <v>5339.0</v>
      </c>
      <c r="G15973" s="1">
        <v>15.0</v>
      </c>
    </row>
    <row r="15974">
      <c r="A15974" s="1" t="s">
        <v>10</v>
      </c>
      <c r="B15974" s="2">
        <v>44785.0</v>
      </c>
      <c r="C15974" s="3">
        <v>0.3076157407407407</v>
      </c>
      <c r="D15974" s="1">
        <v>13.053307</v>
      </c>
      <c r="E15974" s="1">
        <v>80.271159</v>
      </c>
      <c r="F15974" s="1">
        <v>5339.0</v>
      </c>
      <c r="G15974" s="1">
        <v>16.0</v>
      </c>
    </row>
    <row r="15975">
      <c r="A15975" s="1" t="s">
        <v>8</v>
      </c>
      <c r="B15975" s="2">
        <v>44785.0</v>
      </c>
      <c r="C15975" s="3">
        <v>0.3125</v>
      </c>
      <c r="D15975" s="1">
        <v>13.054509</v>
      </c>
      <c r="E15975" s="1">
        <v>80.254057</v>
      </c>
      <c r="F15975" s="1">
        <v>5339.0</v>
      </c>
      <c r="G15975" s="1">
        <v>30.0</v>
      </c>
    </row>
    <row r="15976">
      <c r="A15976" s="1" t="s">
        <v>7</v>
      </c>
      <c r="B15976" s="2">
        <v>44785.0</v>
      </c>
      <c r="C15976" s="3">
        <v>0.3132986111111111</v>
      </c>
      <c r="D15976" s="1">
        <v>13.051764</v>
      </c>
      <c r="E15976" s="1">
        <v>80.250428</v>
      </c>
      <c r="F15976" s="1">
        <v>5339.0</v>
      </c>
      <c r="G15976" s="1">
        <v>52.0</v>
      </c>
    </row>
    <row r="15977">
      <c r="A15977" s="1" t="s">
        <v>7</v>
      </c>
      <c r="B15977" s="2">
        <v>44785.0</v>
      </c>
      <c r="C15977" s="3">
        <v>0.3134837962962963</v>
      </c>
      <c r="D15977" s="1">
        <v>12.652308</v>
      </c>
      <c r="E15977" s="1">
        <v>79.940216</v>
      </c>
      <c r="F15977" s="1">
        <v>2846.0</v>
      </c>
      <c r="G15977" s="1">
        <v>57.0</v>
      </c>
    </row>
    <row r="15978">
      <c r="A15978" s="1" t="s">
        <v>8</v>
      </c>
      <c r="B15978" s="2">
        <v>44785.0</v>
      </c>
      <c r="C15978" s="3">
        <v>0.314224537037037</v>
      </c>
      <c r="D15978" s="1">
        <v>12.658327</v>
      </c>
      <c r="E15978" s="1">
        <v>79.944122</v>
      </c>
      <c r="F15978" s="1">
        <v>2846.0</v>
      </c>
      <c r="G15978" s="1">
        <v>58.0</v>
      </c>
    </row>
    <row r="15979">
      <c r="A15979" s="1" t="s">
        <v>8</v>
      </c>
      <c r="B15979" s="2">
        <v>44785.0</v>
      </c>
      <c r="C15979" s="3">
        <v>0.31461805555555555</v>
      </c>
      <c r="D15979" s="1">
        <v>13.040514</v>
      </c>
      <c r="E15979" s="1">
        <v>80.247262</v>
      </c>
      <c r="F15979" s="1">
        <v>5339.0</v>
      </c>
      <c r="G15979" s="1">
        <v>37.0</v>
      </c>
    </row>
    <row r="15980">
      <c r="A15980" s="1" t="s">
        <v>8</v>
      </c>
      <c r="B15980" s="2">
        <v>44785.0</v>
      </c>
      <c r="C15980" s="3">
        <v>0.3146412037037037</v>
      </c>
      <c r="D15980" s="1">
        <v>13.039623</v>
      </c>
      <c r="E15980" s="1">
        <v>80.247098</v>
      </c>
      <c r="F15980" s="1">
        <v>5339.0</v>
      </c>
      <c r="G15980" s="1">
        <v>35.0</v>
      </c>
    </row>
    <row r="15981">
      <c r="A15981" s="1" t="s">
        <v>8</v>
      </c>
      <c r="B15981" s="2">
        <v>44785.0</v>
      </c>
      <c r="C15981" s="3">
        <v>0.3146643518518519</v>
      </c>
      <c r="D15981" s="1">
        <v>13.039623</v>
      </c>
      <c r="E15981" s="1">
        <v>80.247098</v>
      </c>
      <c r="F15981" s="1">
        <v>5339.0</v>
      </c>
      <c r="G15981" s="1">
        <v>35.0</v>
      </c>
    </row>
    <row r="15982">
      <c r="A15982" s="1" t="s">
        <v>7</v>
      </c>
      <c r="B15982" s="2">
        <v>44785.0</v>
      </c>
      <c r="C15982" s="3">
        <v>0.3146875</v>
      </c>
      <c r="D15982" s="1">
        <v>12.656875</v>
      </c>
      <c r="E15982" s="1">
        <v>79.949353</v>
      </c>
      <c r="F15982" s="1">
        <v>2846.0</v>
      </c>
      <c r="G15982" s="1">
        <v>52.0</v>
      </c>
    </row>
    <row r="15983">
      <c r="A15983" s="1" t="s">
        <v>8</v>
      </c>
      <c r="B15983" s="2">
        <v>44785.0</v>
      </c>
      <c r="C15983" s="3">
        <v>0.3158680555555556</v>
      </c>
      <c r="D15983" s="1">
        <v>13.035057</v>
      </c>
      <c r="E15983" s="1">
        <v>80.245994</v>
      </c>
      <c r="F15983" s="1">
        <v>5339.0</v>
      </c>
      <c r="G15983" s="1">
        <v>28.0</v>
      </c>
    </row>
    <row r="15984">
      <c r="A15984" s="1" t="s">
        <v>7</v>
      </c>
      <c r="B15984" s="2">
        <v>44785.0</v>
      </c>
      <c r="C15984" s="3">
        <v>0.31596064814814817</v>
      </c>
      <c r="D15984" s="1">
        <v>12.659187</v>
      </c>
      <c r="E15984" s="1">
        <v>79.962417</v>
      </c>
      <c r="F15984" s="1">
        <v>2846.0</v>
      </c>
      <c r="G15984" s="1">
        <v>51.0</v>
      </c>
    </row>
    <row r="15985">
      <c r="A15985" s="1" t="s">
        <v>7</v>
      </c>
      <c r="B15985" s="2">
        <v>44785.0</v>
      </c>
      <c r="C15985" s="3">
        <v>0.3162152777777778</v>
      </c>
      <c r="D15985" s="1">
        <v>12.660242</v>
      </c>
      <c r="E15985" s="1">
        <v>79.96494</v>
      </c>
      <c r="F15985" s="1">
        <v>2846.0</v>
      </c>
      <c r="G15985" s="1">
        <v>57.0</v>
      </c>
    </row>
    <row r="15986">
      <c r="A15986" s="1" t="s">
        <v>8</v>
      </c>
      <c r="B15986" s="2">
        <v>44785.0</v>
      </c>
      <c r="C15986" s="3">
        <v>0.31627314814814816</v>
      </c>
      <c r="D15986" s="1">
        <v>13.032899</v>
      </c>
      <c r="E15986" s="1">
        <v>80.243274</v>
      </c>
      <c r="F15986" s="1">
        <v>5339.0</v>
      </c>
      <c r="G15986" s="1">
        <v>25.0</v>
      </c>
    </row>
    <row r="15987">
      <c r="A15987" s="1" t="s">
        <v>7</v>
      </c>
      <c r="B15987" s="2">
        <v>44785.0</v>
      </c>
      <c r="C15987" s="3">
        <v>0.3169560185185185</v>
      </c>
      <c r="D15987" s="1">
        <v>12.664882</v>
      </c>
      <c r="E15987" s="1">
        <v>79.968995</v>
      </c>
      <c r="F15987" s="1">
        <v>2846.0</v>
      </c>
      <c r="G15987" s="1">
        <v>49.0</v>
      </c>
    </row>
    <row r="15988">
      <c r="A15988" s="1" t="s">
        <v>8</v>
      </c>
      <c r="B15988" s="2">
        <v>44785.0</v>
      </c>
      <c r="C15988" s="3">
        <v>0.31824074074074077</v>
      </c>
      <c r="D15988" s="1">
        <v>13.030498</v>
      </c>
      <c r="E15988" s="1">
        <v>80.238857</v>
      </c>
      <c r="F15988" s="1">
        <v>5339.0</v>
      </c>
      <c r="G15988" s="1">
        <v>38.0</v>
      </c>
    </row>
    <row r="15989">
      <c r="A15989" s="1" t="s">
        <v>8</v>
      </c>
      <c r="B15989" s="2">
        <v>44785.0</v>
      </c>
      <c r="C15989" s="3">
        <v>0.31841435185185185</v>
      </c>
      <c r="D15989" s="1">
        <v>13.029998</v>
      </c>
      <c r="E15989" s="1">
        <v>80.237925</v>
      </c>
      <c r="F15989" s="1">
        <v>5339.0</v>
      </c>
      <c r="G15989" s="1">
        <v>46.0</v>
      </c>
    </row>
    <row r="15990">
      <c r="A15990" s="1" t="s">
        <v>8</v>
      </c>
      <c r="B15990" s="2">
        <v>44785.0</v>
      </c>
      <c r="C15990" s="3">
        <v>0.31859953703703703</v>
      </c>
      <c r="D15990" s="1">
        <v>12.674566</v>
      </c>
      <c r="E15990" s="1">
        <v>79.977042</v>
      </c>
      <c r="F15990" s="1">
        <v>2846.0</v>
      </c>
      <c r="G15990" s="1">
        <v>36.0</v>
      </c>
    </row>
    <row r="15991">
      <c r="A15991" s="1" t="s">
        <v>8</v>
      </c>
      <c r="B15991" s="2">
        <v>44785.0</v>
      </c>
      <c r="C15991" s="3">
        <v>0.31863425925925926</v>
      </c>
      <c r="D15991" s="1">
        <v>13.02838</v>
      </c>
      <c r="E15991" s="1">
        <v>80.235987</v>
      </c>
      <c r="F15991" s="1">
        <v>5339.0</v>
      </c>
      <c r="G15991" s="1">
        <v>51.0</v>
      </c>
    </row>
    <row r="15992">
      <c r="A15992" s="1" t="s">
        <v>7</v>
      </c>
      <c r="B15992" s="2">
        <v>44785.0</v>
      </c>
      <c r="C15992" s="3">
        <v>0.31908564814814816</v>
      </c>
      <c r="D15992" s="1">
        <v>13.025906</v>
      </c>
      <c r="E15992" s="1">
        <v>80.231122</v>
      </c>
      <c r="F15992" s="1">
        <v>5339.0</v>
      </c>
      <c r="G15992" s="1">
        <v>58.0</v>
      </c>
    </row>
    <row r="15993">
      <c r="A15993" s="1" t="s">
        <v>7</v>
      </c>
      <c r="B15993" s="2">
        <v>44785.0</v>
      </c>
      <c r="C15993" s="3">
        <v>0.31957175925925924</v>
      </c>
      <c r="D15993" s="1">
        <v>13.022417</v>
      </c>
      <c r="E15993" s="1">
        <v>80.226665</v>
      </c>
      <c r="F15993" s="1">
        <v>5339.0</v>
      </c>
      <c r="G15993" s="1">
        <v>56.0</v>
      </c>
    </row>
    <row r="15994">
      <c r="A15994" s="1" t="s">
        <v>8</v>
      </c>
      <c r="B15994" s="2">
        <v>44785.0</v>
      </c>
      <c r="C15994" s="3">
        <v>0.31969907407407405</v>
      </c>
      <c r="D15994" s="1">
        <v>12.679866</v>
      </c>
      <c r="E15994" s="1">
        <v>79.980783</v>
      </c>
      <c r="F15994" s="1">
        <v>2846.0</v>
      </c>
      <c r="G15994" s="1">
        <v>8.0</v>
      </c>
    </row>
    <row r="15995">
      <c r="A15995" s="1" t="s">
        <v>8</v>
      </c>
      <c r="B15995" s="2">
        <v>44785.0</v>
      </c>
      <c r="C15995" s="3">
        <v>0.3201967592592593</v>
      </c>
      <c r="D15995" s="1">
        <v>13.018208</v>
      </c>
      <c r="E15995" s="1">
        <v>80.224752</v>
      </c>
      <c r="F15995" s="1">
        <v>5339.0</v>
      </c>
      <c r="G15995" s="1">
        <v>41.0</v>
      </c>
    </row>
    <row r="15996">
      <c r="A15996" s="1" t="s">
        <v>8</v>
      </c>
      <c r="B15996" s="2">
        <v>44785.0</v>
      </c>
      <c r="C15996" s="3">
        <v>0.32059027777777777</v>
      </c>
      <c r="D15996" s="1">
        <v>12.684231</v>
      </c>
      <c r="E15996" s="1">
        <v>79.983365</v>
      </c>
      <c r="F15996" s="1">
        <v>2846.0</v>
      </c>
      <c r="G15996" s="1">
        <v>30.0</v>
      </c>
    </row>
    <row r="15997">
      <c r="A15997" s="1" t="s">
        <v>8</v>
      </c>
      <c r="B15997" s="2">
        <v>44785.0</v>
      </c>
      <c r="C15997" s="3">
        <v>0.32090277777777776</v>
      </c>
      <c r="D15997" s="1">
        <v>13.012862</v>
      </c>
      <c r="E15997" s="1">
        <v>80.226828</v>
      </c>
      <c r="F15997" s="1">
        <v>5339.0</v>
      </c>
      <c r="G15997" s="1">
        <v>41.0</v>
      </c>
    </row>
    <row r="15998">
      <c r="A15998" s="1" t="s">
        <v>8</v>
      </c>
      <c r="B15998" s="2">
        <v>44785.0</v>
      </c>
      <c r="C15998" s="3">
        <v>0.3209375</v>
      </c>
      <c r="D15998" s="1">
        <v>13.012862</v>
      </c>
      <c r="E15998" s="1">
        <v>80.226828</v>
      </c>
      <c r="F15998" s="1">
        <v>5339.0</v>
      </c>
      <c r="G15998" s="1">
        <v>41.0</v>
      </c>
    </row>
    <row r="15999">
      <c r="A15999" s="1" t="s">
        <v>8</v>
      </c>
      <c r="B15999" s="2">
        <v>44785.0</v>
      </c>
      <c r="C15999" s="3">
        <v>0.32113425925925926</v>
      </c>
      <c r="D15999" s="1">
        <v>12.687459</v>
      </c>
      <c r="E15999" s="1">
        <v>79.983012</v>
      </c>
      <c r="F15999" s="1">
        <v>2846.0</v>
      </c>
      <c r="G15999" s="1">
        <v>31.0</v>
      </c>
    </row>
    <row r="16000">
      <c r="A16000" s="1" t="s">
        <v>8</v>
      </c>
      <c r="B16000" s="2">
        <v>44785.0</v>
      </c>
      <c r="C16000" s="3">
        <v>0.3219328703703704</v>
      </c>
      <c r="D16000" s="1">
        <v>13.01095</v>
      </c>
      <c r="E16000" s="1">
        <v>80.224438</v>
      </c>
      <c r="F16000" s="1">
        <v>5339.0</v>
      </c>
      <c r="G16000" s="1">
        <v>32.0</v>
      </c>
    </row>
    <row r="16001">
      <c r="A16001" s="1" t="s">
        <v>8</v>
      </c>
      <c r="B16001" s="2">
        <v>44785.0</v>
      </c>
      <c r="C16001" s="3">
        <v>0.3230208333333333</v>
      </c>
      <c r="D16001" s="1">
        <v>12.6923</v>
      </c>
      <c r="E16001" s="1">
        <v>79.979927</v>
      </c>
      <c r="F16001" s="1">
        <v>2846.0</v>
      </c>
      <c r="G16001" s="1">
        <v>35.0</v>
      </c>
    </row>
    <row r="16002">
      <c r="A16002" s="1" t="s">
        <v>8</v>
      </c>
      <c r="B16002" s="2">
        <v>44785.0</v>
      </c>
      <c r="C16002" s="3">
        <v>0.32329861111111113</v>
      </c>
      <c r="D16002" s="1">
        <v>13.01155</v>
      </c>
      <c r="E16002" s="1">
        <v>80.218925</v>
      </c>
      <c r="F16002" s="1">
        <v>5339.0</v>
      </c>
      <c r="G16002" s="1">
        <v>43.0</v>
      </c>
    </row>
    <row r="16003">
      <c r="A16003" s="1" t="s">
        <v>8</v>
      </c>
      <c r="B16003" s="2">
        <v>44785.0</v>
      </c>
      <c r="C16003" s="3">
        <v>0.3236111111111111</v>
      </c>
      <c r="D16003" s="1">
        <v>13.010725</v>
      </c>
      <c r="E16003" s="1">
        <v>80.216797</v>
      </c>
      <c r="F16003" s="1">
        <v>5339.0</v>
      </c>
      <c r="G16003" s="1">
        <v>44.0</v>
      </c>
    </row>
    <row r="16004">
      <c r="A16004" s="1" t="s">
        <v>10</v>
      </c>
      <c r="B16004" s="2">
        <v>44785.0</v>
      </c>
      <c r="C16004" s="3">
        <v>0.32393518518518516</v>
      </c>
      <c r="D16004" s="1">
        <v>12.965791</v>
      </c>
      <c r="E16004" s="1">
        <v>80.202991</v>
      </c>
      <c r="F16004" s="1">
        <v>3143.0</v>
      </c>
      <c r="G16004" s="1">
        <v>48.0</v>
      </c>
    </row>
    <row r="16005">
      <c r="A16005" s="1" t="s">
        <v>10</v>
      </c>
      <c r="B16005" s="2">
        <v>44785.0</v>
      </c>
      <c r="C16005" s="3">
        <v>0.3244675925925926</v>
      </c>
      <c r="D16005" s="1">
        <v>12.965327</v>
      </c>
      <c r="E16005" s="1">
        <v>80.200133</v>
      </c>
      <c r="F16005" s="1">
        <v>3143.0</v>
      </c>
      <c r="G16005" s="1">
        <v>18.0</v>
      </c>
    </row>
    <row r="16006">
      <c r="A16006" s="1" t="s">
        <v>8</v>
      </c>
      <c r="B16006" s="2">
        <v>44785.0</v>
      </c>
      <c r="C16006" s="3">
        <v>0.32449074074074075</v>
      </c>
      <c r="D16006" s="1">
        <v>13.010725</v>
      </c>
      <c r="E16006" s="1">
        <v>80.216797</v>
      </c>
      <c r="F16006" s="1">
        <v>5339.0</v>
      </c>
      <c r="G16006" s="1">
        <v>44.0</v>
      </c>
    </row>
    <row r="16007">
      <c r="A16007" s="1" t="s">
        <v>9</v>
      </c>
      <c r="B16007" s="2">
        <v>44785.0</v>
      </c>
      <c r="C16007" s="3">
        <v>0.324537037037037</v>
      </c>
      <c r="D16007" s="1">
        <v>12.697403</v>
      </c>
      <c r="E16007" s="1">
        <v>79.974137</v>
      </c>
      <c r="F16007" s="1">
        <v>2846.0</v>
      </c>
      <c r="G16007" s="1">
        <v>44.0</v>
      </c>
    </row>
    <row r="16008">
      <c r="A16008" s="1" t="s">
        <v>8</v>
      </c>
      <c r="B16008" s="2">
        <v>44785.0</v>
      </c>
      <c r="C16008" s="3">
        <v>0.32501157407407405</v>
      </c>
      <c r="D16008" s="1">
        <v>12.697403</v>
      </c>
      <c r="E16008" s="1">
        <v>79.974137</v>
      </c>
      <c r="F16008" s="1">
        <v>2846.0</v>
      </c>
      <c r="G16008" s="1">
        <v>44.0</v>
      </c>
    </row>
    <row r="16009">
      <c r="A16009" s="1" t="s">
        <v>10</v>
      </c>
      <c r="B16009" s="2">
        <v>44785.0</v>
      </c>
      <c r="C16009" s="3">
        <v>0.32516203703703705</v>
      </c>
      <c r="D16009" s="1">
        <v>12.697802</v>
      </c>
      <c r="E16009" s="1">
        <v>79.971147</v>
      </c>
      <c r="F16009" s="1">
        <v>2846.0</v>
      </c>
      <c r="G16009" s="1">
        <v>31.0</v>
      </c>
    </row>
    <row r="16010">
      <c r="A16010" s="1" t="s">
        <v>8</v>
      </c>
      <c r="B16010" s="2">
        <v>44785.0</v>
      </c>
      <c r="C16010" s="3">
        <v>0.32623842592592595</v>
      </c>
      <c r="D16010" s="1">
        <v>13.00686</v>
      </c>
      <c r="E16010" s="1">
        <v>80.240022</v>
      </c>
      <c r="F16010" s="1">
        <v>805.0</v>
      </c>
      <c r="G16010" s="1">
        <v>23.0</v>
      </c>
    </row>
    <row r="16011">
      <c r="A16011" s="1" t="s">
        <v>8</v>
      </c>
      <c r="B16011" s="2">
        <v>44785.0</v>
      </c>
      <c r="C16011" s="3">
        <v>0.32666666666666666</v>
      </c>
      <c r="D16011" s="1">
        <v>13.007595</v>
      </c>
      <c r="E16011" s="1">
        <v>80.236357</v>
      </c>
      <c r="F16011" s="1">
        <v>805.0</v>
      </c>
      <c r="G16011" s="1">
        <v>50.0</v>
      </c>
    </row>
    <row r="16012">
      <c r="A16012" s="1" t="s">
        <v>7</v>
      </c>
      <c r="B16012" s="2">
        <v>44785.0</v>
      </c>
      <c r="C16012" s="3">
        <v>0.32733796296296297</v>
      </c>
      <c r="D16012" s="1">
        <v>12.70475</v>
      </c>
      <c r="E16012" s="1">
        <v>79.973369</v>
      </c>
      <c r="F16012" s="1">
        <v>2846.0</v>
      </c>
      <c r="G16012" s="1">
        <v>58.0</v>
      </c>
    </row>
    <row r="16013">
      <c r="A16013" s="1" t="s">
        <v>7</v>
      </c>
      <c r="B16013" s="2">
        <v>44785.0</v>
      </c>
      <c r="C16013" s="3">
        <v>0.3273611111111111</v>
      </c>
      <c r="D16013" s="1">
        <v>13.008375</v>
      </c>
      <c r="E16013" s="1">
        <v>80.232438</v>
      </c>
      <c r="F16013" s="1">
        <v>805.0</v>
      </c>
      <c r="G16013" s="1">
        <v>58.0</v>
      </c>
    </row>
    <row r="16014">
      <c r="A16014" s="1" t="s">
        <v>7</v>
      </c>
      <c r="B16014" s="2">
        <v>44785.0</v>
      </c>
      <c r="C16014" s="3">
        <v>0.32760416666666664</v>
      </c>
      <c r="D16014" s="1">
        <v>12.709181</v>
      </c>
      <c r="E16014" s="1">
        <v>79.977382</v>
      </c>
      <c r="F16014" s="1">
        <v>2846.0</v>
      </c>
      <c r="G16014" s="1">
        <v>52.0</v>
      </c>
    </row>
    <row r="16015">
      <c r="A16015" s="1" t="s">
        <v>7</v>
      </c>
      <c r="B16015" s="2">
        <v>44785.0</v>
      </c>
      <c r="C16015" s="3">
        <v>0.3277662037037037</v>
      </c>
      <c r="D16015" s="1">
        <v>13.009021</v>
      </c>
      <c r="E16015" s="1">
        <v>80.229079</v>
      </c>
      <c r="F16015" s="1">
        <v>805.0</v>
      </c>
      <c r="G16015" s="1">
        <v>45.0</v>
      </c>
    </row>
    <row r="16016">
      <c r="A16016" s="1" t="s">
        <v>7</v>
      </c>
      <c r="B16016" s="2">
        <v>44785.0</v>
      </c>
      <c r="C16016" s="3">
        <v>0.3278240740740741</v>
      </c>
      <c r="D16016" s="1">
        <v>13.009021</v>
      </c>
      <c r="E16016" s="1">
        <v>80.229079</v>
      </c>
      <c r="F16016" s="1">
        <v>805.0</v>
      </c>
      <c r="G16016" s="1">
        <v>45.0</v>
      </c>
    </row>
    <row r="16017">
      <c r="A16017" s="1" t="s">
        <v>7</v>
      </c>
      <c r="B16017" s="2">
        <v>44785.0</v>
      </c>
      <c r="C16017" s="3">
        <v>0.32795138888888886</v>
      </c>
      <c r="D16017" s="1">
        <v>12.714102</v>
      </c>
      <c r="E16017" s="1">
        <v>79.980068</v>
      </c>
      <c r="F16017" s="1">
        <v>2846.0</v>
      </c>
      <c r="G16017" s="1">
        <v>57.0</v>
      </c>
    </row>
    <row r="16018">
      <c r="A16018" s="1" t="s">
        <v>8</v>
      </c>
      <c r="B16018" s="2">
        <v>44785.0</v>
      </c>
      <c r="C16018" s="3">
        <v>0.32810185185185187</v>
      </c>
      <c r="D16018" s="1">
        <v>13.010063</v>
      </c>
      <c r="E16018" s="1">
        <v>80.226302</v>
      </c>
      <c r="F16018" s="1">
        <v>805.0</v>
      </c>
      <c r="G16018" s="1">
        <v>58.0</v>
      </c>
    </row>
    <row r="16019">
      <c r="A16019" s="1" t="s">
        <v>7</v>
      </c>
      <c r="B16019" s="2">
        <v>44785.0</v>
      </c>
      <c r="C16019" s="3">
        <v>0.3285300925925926</v>
      </c>
      <c r="D16019" s="1">
        <v>12.718374</v>
      </c>
      <c r="E16019" s="1">
        <v>79.98093</v>
      </c>
      <c r="F16019" s="1">
        <v>2846.0</v>
      </c>
      <c r="G16019" s="1">
        <v>58.0</v>
      </c>
    </row>
    <row r="16020">
      <c r="A16020" s="1" t="s">
        <v>8</v>
      </c>
      <c r="B16020" s="2">
        <v>44785.0</v>
      </c>
      <c r="C16020" s="3">
        <v>0.32891203703703703</v>
      </c>
      <c r="D16020" s="1">
        <v>13.00264</v>
      </c>
      <c r="E16020" s="1">
        <v>80.200681</v>
      </c>
      <c r="F16020" s="1">
        <v>5339.0</v>
      </c>
      <c r="G16020" s="1">
        <v>27.0</v>
      </c>
    </row>
    <row r="16021">
      <c r="A16021" s="1" t="s">
        <v>8</v>
      </c>
      <c r="B16021" s="2">
        <v>44785.0</v>
      </c>
      <c r="C16021" s="3">
        <v>0.3290162037037037</v>
      </c>
      <c r="D16021" s="1">
        <v>13.002014</v>
      </c>
      <c r="E16021" s="1">
        <v>80.200186</v>
      </c>
      <c r="F16021" s="1">
        <v>5339.0</v>
      </c>
      <c r="G16021" s="1">
        <v>35.0</v>
      </c>
    </row>
    <row r="16022">
      <c r="A16022" s="1" t="s">
        <v>7</v>
      </c>
      <c r="B16022" s="2">
        <v>44785.0</v>
      </c>
      <c r="C16022" s="3">
        <v>0.329224537037037</v>
      </c>
      <c r="D16022" s="1">
        <v>13.001912</v>
      </c>
      <c r="E16022" s="1">
        <v>80.198047</v>
      </c>
      <c r="F16022" s="1">
        <v>5339.0</v>
      </c>
      <c r="G16022" s="1">
        <v>55.0</v>
      </c>
    </row>
    <row r="16023">
      <c r="A16023" s="1" t="s">
        <v>7</v>
      </c>
      <c r="B16023" s="2">
        <v>44785.0</v>
      </c>
      <c r="C16023" s="3">
        <v>0.329375</v>
      </c>
      <c r="D16023" s="1">
        <v>13.011439</v>
      </c>
      <c r="E16023" s="1">
        <v>80.218673</v>
      </c>
      <c r="F16023" s="1">
        <v>805.0</v>
      </c>
      <c r="G16023" s="1">
        <v>57.0</v>
      </c>
    </row>
    <row r="16024">
      <c r="A16024" s="1" t="s">
        <v>8</v>
      </c>
      <c r="B16024" s="2">
        <v>44785.0</v>
      </c>
      <c r="C16024" s="3">
        <v>0.32949074074074075</v>
      </c>
      <c r="D16024" s="1">
        <v>13.010932</v>
      </c>
      <c r="E16024" s="1">
        <v>80.217317</v>
      </c>
      <c r="F16024" s="1">
        <v>805.0</v>
      </c>
      <c r="G16024" s="1">
        <v>55.0</v>
      </c>
    </row>
    <row r="16025">
      <c r="A16025" s="1" t="s">
        <v>7</v>
      </c>
      <c r="B16025" s="2">
        <v>44785.0</v>
      </c>
      <c r="C16025" s="3">
        <v>0.3296064814814815</v>
      </c>
      <c r="D16025" s="1">
        <v>13.010361</v>
      </c>
      <c r="E16025" s="1">
        <v>80.216051</v>
      </c>
      <c r="F16025" s="1">
        <v>805.0</v>
      </c>
      <c r="G16025" s="1">
        <v>52.0</v>
      </c>
    </row>
    <row r="16026">
      <c r="A16026" s="1" t="s">
        <v>8</v>
      </c>
      <c r="B16026" s="2">
        <v>44785.0</v>
      </c>
      <c r="C16026" s="3">
        <v>0.3297337962962963</v>
      </c>
      <c r="D16026" s="1">
        <v>12.727511</v>
      </c>
      <c r="E16026" s="1">
        <v>79.982563</v>
      </c>
      <c r="F16026" s="1">
        <v>2846.0</v>
      </c>
      <c r="G16026" s="1">
        <v>43.0</v>
      </c>
    </row>
    <row r="16027">
      <c r="A16027" s="1" t="s">
        <v>8</v>
      </c>
      <c r="B16027" s="2">
        <v>44785.0</v>
      </c>
      <c r="C16027" s="3">
        <v>0.32981481481481484</v>
      </c>
      <c r="D16027" s="1">
        <v>12.732639</v>
      </c>
      <c r="E16027" s="1">
        <v>79.983073</v>
      </c>
      <c r="F16027" s="1">
        <v>2846.0</v>
      </c>
      <c r="G16027" s="1">
        <v>33.0</v>
      </c>
    </row>
    <row r="16028">
      <c r="A16028" s="1" t="s">
        <v>8</v>
      </c>
      <c r="B16028" s="2">
        <v>44785.0</v>
      </c>
      <c r="C16028" s="3">
        <v>0.32994212962962965</v>
      </c>
      <c r="D16028" s="1">
        <v>12.998666</v>
      </c>
      <c r="E16028" s="1">
        <v>80.192562</v>
      </c>
      <c r="F16028" s="1">
        <v>5339.0</v>
      </c>
      <c r="G16028" s="1">
        <v>25.0</v>
      </c>
    </row>
    <row r="16029">
      <c r="A16029" s="1" t="s">
        <v>8</v>
      </c>
      <c r="B16029" s="2">
        <v>44785.0</v>
      </c>
      <c r="C16029" s="3">
        <v>0.3300462962962963</v>
      </c>
      <c r="D16029" s="1">
        <v>13.008965</v>
      </c>
      <c r="E16029" s="1">
        <v>80.211795</v>
      </c>
      <c r="F16029" s="1">
        <v>805.0</v>
      </c>
      <c r="G16029" s="1">
        <v>23.0</v>
      </c>
    </row>
    <row r="16030">
      <c r="A16030" s="1" t="s">
        <v>8</v>
      </c>
      <c r="B16030" s="2">
        <v>44785.0</v>
      </c>
      <c r="C16030" s="3">
        <v>0.33019675925925923</v>
      </c>
      <c r="D16030" s="1">
        <v>12.73334</v>
      </c>
      <c r="E16030" s="1">
        <v>79.98352</v>
      </c>
      <c r="F16030" s="1">
        <v>2846.0</v>
      </c>
      <c r="G16030" s="1">
        <v>30.0</v>
      </c>
    </row>
    <row r="16031">
      <c r="A16031" s="1" t="s">
        <v>7</v>
      </c>
      <c r="B16031" s="2">
        <v>44785.0</v>
      </c>
      <c r="C16031" s="3">
        <v>0.3302083333333333</v>
      </c>
      <c r="D16031" s="1">
        <v>12.997269</v>
      </c>
      <c r="E16031" s="1">
        <v>80.190858</v>
      </c>
      <c r="F16031" s="1">
        <v>5339.0</v>
      </c>
      <c r="G16031" s="1">
        <v>56.0</v>
      </c>
    </row>
    <row r="16032">
      <c r="A16032" s="1" t="s">
        <v>9</v>
      </c>
      <c r="B16032" s="2">
        <v>44785.0</v>
      </c>
      <c r="C16032" s="3">
        <v>0.3302893518518519</v>
      </c>
      <c r="D16032" s="1">
        <v>12.996407</v>
      </c>
      <c r="E16032" s="1">
        <v>80.189808</v>
      </c>
      <c r="F16032" s="1">
        <v>5339.0</v>
      </c>
      <c r="G16032" s="1">
        <v>43.0</v>
      </c>
    </row>
    <row r="16033">
      <c r="A16033" s="1" t="s">
        <v>7</v>
      </c>
      <c r="B16033" s="2">
        <v>44785.0</v>
      </c>
      <c r="C16033" s="3">
        <v>0.33034722222222224</v>
      </c>
      <c r="D16033" s="1">
        <v>13.008131</v>
      </c>
      <c r="E16033" s="1">
        <v>80.209357</v>
      </c>
      <c r="F16033" s="1">
        <v>805.0</v>
      </c>
      <c r="G16033" s="1">
        <v>47.0</v>
      </c>
    </row>
    <row r="16034">
      <c r="A16034" s="1" t="s">
        <v>7</v>
      </c>
      <c r="B16034" s="2">
        <v>44785.0</v>
      </c>
      <c r="C16034" s="3">
        <v>0.3304166666666667</v>
      </c>
      <c r="D16034" s="1">
        <v>13.008131</v>
      </c>
      <c r="E16034" s="1">
        <v>80.209357</v>
      </c>
      <c r="F16034" s="1">
        <v>805.0</v>
      </c>
      <c r="G16034" s="1">
        <v>47.0</v>
      </c>
    </row>
    <row r="16035">
      <c r="A16035" s="1" t="s">
        <v>7</v>
      </c>
      <c r="B16035" s="2">
        <v>44785.0</v>
      </c>
      <c r="C16035" s="3">
        <v>0.33046296296296296</v>
      </c>
      <c r="D16035" s="1">
        <v>12.736545</v>
      </c>
      <c r="E16035" s="1">
        <v>79.987178</v>
      </c>
      <c r="F16035" s="1">
        <v>2846.0</v>
      </c>
      <c r="G16035" s="1">
        <v>59.0</v>
      </c>
    </row>
    <row r="16036">
      <c r="A16036" s="1" t="s">
        <v>8</v>
      </c>
      <c r="B16036" s="2">
        <v>44785.0</v>
      </c>
      <c r="C16036" s="3">
        <v>0.3306134259259259</v>
      </c>
      <c r="D16036" s="1">
        <v>13.007725</v>
      </c>
      <c r="E16036" s="1">
        <v>80.206824</v>
      </c>
      <c r="F16036" s="1">
        <v>805.0</v>
      </c>
      <c r="G16036" s="1">
        <v>46.0</v>
      </c>
    </row>
    <row r="16037">
      <c r="A16037" s="1" t="s">
        <v>8</v>
      </c>
      <c r="B16037" s="2">
        <v>44785.0</v>
      </c>
      <c r="C16037" s="3">
        <v>0.33067129629629627</v>
      </c>
      <c r="D16037" s="1">
        <v>12.995221</v>
      </c>
      <c r="E16037" s="1">
        <v>80.188036</v>
      </c>
      <c r="F16037" s="1">
        <v>5339.0</v>
      </c>
      <c r="G16037" s="1">
        <v>31.0</v>
      </c>
    </row>
    <row r="16038">
      <c r="A16038" s="1" t="s">
        <v>8</v>
      </c>
      <c r="B16038" s="2">
        <v>44785.0</v>
      </c>
      <c r="C16038" s="3">
        <v>0.3307638888888889</v>
      </c>
      <c r="D16038" s="1">
        <v>12.994864</v>
      </c>
      <c r="E16038" s="1">
        <v>80.187295</v>
      </c>
      <c r="F16038" s="1">
        <v>5339.0</v>
      </c>
      <c r="G16038" s="1">
        <v>32.0</v>
      </c>
    </row>
    <row r="16039">
      <c r="A16039" s="1" t="s">
        <v>8</v>
      </c>
      <c r="B16039" s="2">
        <v>44785.0</v>
      </c>
      <c r="C16039" s="3">
        <v>0.33077546296296295</v>
      </c>
      <c r="D16039" s="1">
        <v>12.994864</v>
      </c>
      <c r="E16039" s="1">
        <v>80.187295</v>
      </c>
      <c r="F16039" s="1">
        <v>5339.0</v>
      </c>
      <c r="G16039" s="1">
        <v>32.0</v>
      </c>
    </row>
    <row r="16040">
      <c r="A16040" s="1" t="s">
        <v>8</v>
      </c>
      <c r="B16040" s="2">
        <v>44785.0</v>
      </c>
      <c r="C16040" s="3">
        <v>0.3316898148148148</v>
      </c>
      <c r="D16040" s="1">
        <v>12.993858</v>
      </c>
      <c r="E16040" s="1">
        <v>80.185302</v>
      </c>
      <c r="F16040" s="1">
        <v>5339.0</v>
      </c>
      <c r="G16040" s="1">
        <v>35.0</v>
      </c>
    </row>
    <row r="16041">
      <c r="A16041" s="1" t="s">
        <v>8</v>
      </c>
      <c r="B16041" s="2">
        <v>44785.0</v>
      </c>
      <c r="C16041" s="3">
        <v>0.33186342592592594</v>
      </c>
      <c r="D16041" s="1">
        <v>12.993355</v>
      </c>
      <c r="E16041" s="1">
        <v>80.18444</v>
      </c>
      <c r="F16041" s="1">
        <v>5339.0</v>
      </c>
      <c r="G16041" s="1">
        <v>42.0</v>
      </c>
    </row>
    <row r="16042">
      <c r="A16042" s="1" t="s">
        <v>8</v>
      </c>
      <c r="B16042" s="2">
        <v>44785.0</v>
      </c>
      <c r="C16042" s="3">
        <v>0.332037037037037</v>
      </c>
      <c r="D16042" s="1">
        <v>13.004087</v>
      </c>
      <c r="E16042" s="1">
        <v>80.201171</v>
      </c>
      <c r="F16042" s="1">
        <v>805.0</v>
      </c>
      <c r="G16042" s="1">
        <v>30.0</v>
      </c>
    </row>
    <row r="16043">
      <c r="A16043" s="1" t="s">
        <v>8</v>
      </c>
      <c r="B16043" s="2">
        <v>44785.0</v>
      </c>
      <c r="C16043" s="3">
        <v>0.33217592592592593</v>
      </c>
      <c r="D16043" s="1">
        <v>13.002366</v>
      </c>
      <c r="E16043" s="1">
        <v>80.20058</v>
      </c>
      <c r="F16043" s="1">
        <v>805.0</v>
      </c>
      <c r="G16043" s="1">
        <v>39.0</v>
      </c>
    </row>
    <row r="16044">
      <c r="A16044" s="1" t="s">
        <v>8</v>
      </c>
      <c r="B16044" s="2">
        <v>44785.0</v>
      </c>
      <c r="C16044" s="3">
        <v>0.3322222222222222</v>
      </c>
      <c r="D16044" s="1">
        <v>12.991613</v>
      </c>
      <c r="E16044" s="1">
        <v>80.181723</v>
      </c>
      <c r="F16044" s="1">
        <v>5339.0</v>
      </c>
      <c r="G16044" s="1">
        <v>36.0</v>
      </c>
    </row>
    <row r="16045">
      <c r="A16045" s="1" t="s">
        <v>7</v>
      </c>
      <c r="B16045" s="2">
        <v>44785.0</v>
      </c>
      <c r="C16045" s="3">
        <v>0.33240740740740743</v>
      </c>
      <c r="D16045" s="1">
        <v>13.001879</v>
      </c>
      <c r="E16045" s="1">
        <v>80.198457</v>
      </c>
      <c r="F16045" s="1">
        <v>805.0</v>
      </c>
      <c r="G16045" s="1">
        <v>55.0</v>
      </c>
    </row>
    <row r="16046">
      <c r="A16046" s="1" t="s">
        <v>8</v>
      </c>
      <c r="B16046" s="2">
        <v>44785.0</v>
      </c>
      <c r="C16046" s="3">
        <v>0.33241898148148147</v>
      </c>
      <c r="D16046" s="1">
        <v>12.990246</v>
      </c>
      <c r="E16046" s="1">
        <v>80.17994</v>
      </c>
      <c r="F16046" s="1">
        <v>5339.0</v>
      </c>
      <c r="G16046" s="1">
        <v>40.0</v>
      </c>
    </row>
    <row r="16047">
      <c r="A16047" s="1" t="s">
        <v>8</v>
      </c>
      <c r="B16047" s="2">
        <v>44785.0</v>
      </c>
      <c r="C16047" s="3">
        <v>0.33243055555555556</v>
      </c>
      <c r="D16047" s="1">
        <v>12.990246</v>
      </c>
      <c r="E16047" s="1">
        <v>80.17994</v>
      </c>
      <c r="F16047" s="1">
        <v>5339.0</v>
      </c>
      <c r="G16047" s="1">
        <v>40.0</v>
      </c>
    </row>
    <row r="16048">
      <c r="A16048" s="1" t="s">
        <v>8</v>
      </c>
      <c r="B16048" s="2">
        <v>44785.0</v>
      </c>
      <c r="C16048" s="3">
        <v>0.33244212962962966</v>
      </c>
      <c r="D16048" s="1">
        <v>12.990246</v>
      </c>
      <c r="E16048" s="1">
        <v>80.17994</v>
      </c>
      <c r="F16048" s="1">
        <v>5339.0</v>
      </c>
      <c r="G16048" s="1">
        <v>40.0</v>
      </c>
    </row>
    <row r="16049">
      <c r="A16049" s="1" t="s">
        <v>7</v>
      </c>
      <c r="B16049" s="2">
        <v>44785.0</v>
      </c>
      <c r="C16049" s="3">
        <v>0.3324884259259259</v>
      </c>
      <c r="D16049" s="1">
        <v>13.001879</v>
      </c>
      <c r="E16049" s="1">
        <v>80.198457</v>
      </c>
      <c r="F16049" s="1">
        <v>805.0</v>
      </c>
      <c r="G16049" s="1">
        <v>55.0</v>
      </c>
    </row>
    <row r="16050">
      <c r="A16050" s="1" t="s">
        <v>7</v>
      </c>
      <c r="B16050" s="2">
        <v>44785.0</v>
      </c>
      <c r="C16050" s="3">
        <v>0.3325925925925926</v>
      </c>
      <c r="D16050" s="1">
        <v>12.744915</v>
      </c>
      <c r="E16050" s="1">
        <v>79.993603</v>
      </c>
      <c r="F16050" s="1">
        <v>2846.0</v>
      </c>
      <c r="G16050" s="1">
        <v>51.0</v>
      </c>
    </row>
    <row r="16051">
      <c r="A16051" s="1" t="s">
        <v>8</v>
      </c>
      <c r="B16051" s="2">
        <v>44785.0</v>
      </c>
      <c r="C16051" s="3">
        <v>0.3328009259259259</v>
      </c>
      <c r="D16051" s="1">
        <v>12.988476</v>
      </c>
      <c r="E16051" s="1">
        <v>80.177748</v>
      </c>
      <c r="F16051" s="1">
        <v>5339.0</v>
      </c>
      <c r="G16051" s="1">
        <v>34.0</v>
      </c>
    </row>
    <row r="16052">
      <c r="A16052" s="1" t="s">
        <v>8</v>
      </c>
      <c r="B16052" s="2">
        <v>44785.0</v>
      </c>
      <c r="C16052" s="3">
        <v>0.3330787037037037</v>
      </c>
      <c r="D16052" s="1">
        <v>12.986987</v>
      </c>
      <c r="E16052" s="1">
        <v>80.175613</v>
      </c>
      <c r="F16052" s="1">
        <v>5339.0</v>
      </c>
      <c r="G16052" s="1">
        <v>28.0</v>
      </c>
    </row>
    <row r="16053">
      <c r="A16053" s="1" t="s">
        <v>7</v>
      </c>
      <c r="B16053" s="2">
        <v>44785.0</v>
      </c>
      <c r="C16053" s="3">
        <v>0.3331365740740741</v>
      </c>
      <c r="D16053" s="1">
        <v>12.750587</v>
      </c>
      <c r="E16053" s="1">
        <v>79.998216</v>
      </c>
      <c r="F16053" s="1">
        <v>2846.0</v>
      </c>
      <c r="G16053" s="1">
        <v>57.0</v>
      </c>
    </row>
    <row r="16054">
      <c r="A16054" s="1" t="s">
        <v>8</v>
      </c>
      <c r="B16054" s="2">
        <v>44785.0</v>
      </c>
      <c r="C16054" s="3">
        <v>0.3333333333333333</v>
      </c>
      <c r="D16054" s="1">
        <v>12.986172</v>
      </c>
      <c r="E16054" s="1">
        <v>80.174441</v>
      </c>
      <c r="F16054" s="1">
        <v>5339.0</v>
      </c>
      <c r="G16054" s="1">
        <v>33.0</v>
      </c>
    </row>
    <row r="16055">
      <c r="A16055" s="1" t="s">
        <v>7</v>
      </c>
      <c r="B16055" s="2">
        <v>44785.0</v>
      </c>
      <c r="C16055" s="3">
        <v>0.3333449074074074</v>
      </c>
      <c r="D16055" s="1">
        <v>12.755484</v>
      </c>
      <c r="E16055" s="1">
        <v>80.001457</v>
      </c>
      <c r="F16055" s="1">
        <v>2846.0</v>
      </c>
      <c r="G16055" s="1">
        <v>57.0</v>
      </c>
    </row>
    <row r="16056">
      <c r="A16056" s="1" t="s">
        <v>7</v>
      </c>
      <c r="B16056" s="2">
        <v>44785.0</v>
      </c>
      <c r="C16056" s="3">
        <v>0.3334259259259259</v>
      </c>
      <c r="D16056" s="1">
        <v>12.999093</v>
      </c>
      <c r="E16056" s="1">
        <v>80.193082</v>
      </c>
      <c r="F16056" s="1">
        <v>805.0</v>
      </c>
      <c r="G16056" s="1">
        <v>54.0</v>
      </c>
    </row>
    <row r="16057">
      <c r="A16057" s="1" t="s">
        <v>8</v>
      </c>
      <c r="B16057" s="2">
        <v>44785.0</v>
      </c>
      <c r="C16057" s="3">
        <v>0.3336574074074074</v>
      </c>
      <c r="D16057" s="1">
        <v>12.997262</v>
      </c>
      <c r="E16057" s="1">
        <v>80.19077</v>
      </c>
      <c r="F16057" s="1">
        <v>805.0</v>
      </c>
      <c r="G16057" s="1">
        <v>56.0</v>
      </c>
    </row>
    <row r="16058">
      <c r="A16058" s="1" t="s">
        <v>8</v>
      </c>
      <c r="B16058" s="2">
        <v>44785.0</v>
      </c>
      <c r="C16058" s="3">
        <v>0.3337037037037037</v>
      </c>
      <c r="D16058" s="1">
        <v>12.984592</v>
      </c>
      <c r="E16058" s="1">
        <v>80.172056</v>
      </c>
      <c r="F16058" s="1">
        <v>5339.0</v>
      </c>
      <c r="G16058" s="1">
        <v>30.0</v>
      </c>
    </row>
    <row r="16059">
      <c r="A16059" s="1" t="s">
        <v>8</v>
      </c>
      <c r="B16059" s="2">
        <v>44785.0</v>
      </c>
      <c r="C16059" s="3">
        <v>0.33405092592592595</v>
      </c>
      <c r="D16059" s="1">
        <v>12.995455</v>
      </c>
      <c r="E16059" s="1">
        <v>80.188498</v>
      </c>
      <c r="F16059" s="1">
        <v>805.0</v>
      </c>
      <c r="G16059" s="1">
        <v>40.0</v>
      </c>
    </row>
    <row r="16060">
      <c r="A16060" s="1" t="s">
        <v>8</v>
      </c>
      <c r="B16060" s="2">
        <v>44785.0</v>
      </c>
      <c r="C16060" s="3">
        <v>0.3340856481481482</v>
      </c>
      <c r="D16060" s="1">
        <v>12.982368</v>
      </c>
      <c r="E16060" s="1">
        <v>80.168332</v>
      </c>
      <c r="F16060" s="1">
        <v>5339.0</v>
      </c>
      <c r="G16060" s="1">
        <v>54.0</v>
      </c>
    </row>
    <row r="16061">
      <c r="A16061" s="1" t="s">
        <v>8</v>
      </c>
      <c r="B16061" s="2">
        <v>44785.0</v>
      </c>
      <c r="C16061" s="3">
        <v>0.3341087962962963</v>
      </c>
      <c r="D16061" s="1">
        <v>12.982368</v>
      </c>
      <c r="E16061" s="1">
        <v>80.168332</v>
      </c>
      <c r="F16061" s="1">
        <v>5339.0</v>
      </c>
      <c r="G16061" s="1">
        <v>54.0</v>
      </c>
    </row>
    <row r="16062">
      <c r="A16062" s="1" t="s">
        <v>7</v>
      </c>
      <c r="B16062" s="2">
        <v>44785.0</v>
      </c>
      <c r="C16062" s="3">
        <v>0.33414351851851853</v>
      </c>
      <c r="D16062" s="1">
        <v>12.982368</v>
      </c>
      <c r="E16062" s="1">
        <v>80.168332</v>
      </c>
      <c r="F16062" s="1">
        <v>5339.0</v>
      </c>
      <c r="G16062" s="1">
        <v>54.0</v>
      </c>
    </row>
    <row r="16063">
      <c r="A16063" s="1" t="s">
        <v>8</v>
      </c>
      <c r="B16063" s="2">
        <v>44785.0</v>
      </c>
      <c r="C16063" s="3">
        <v>0.33416666666666667</v>
      </c>
      <c r="D16063" s="1">
        <v>12.994964</v>
      </c>
      <c r="E16063" s="1">
        <v>80.187496</v>
      </c>
      <c r="F16063" s="1">
        <v>805.0</v>
      </c>
      <c r="G16063" s="1">
        <v>46.0</v>
      </c>
    </row>
    <row r="16064">
      <c r="A16064" s="1" t="s">
        <v>8</v>
      </c>
      <c r="B16064" s="2">
        <v>44785.0</v>
      </c>
      <c r="C16064" s="3">
        <v>0.3341898148148148</v>
      </c>
      <c r="D16064" s="1">
        <v>12.982368</v>
      </c>
      <c r="E16064" s="1">
        <v>80.168332</v>
      </c>
      <c r="F16064" s="1">
        <v>5339.0</v>
      </c>
      <c r="G16064" s="1">
        <v>54.0</v>
      </c>
    </row>
    <row r="16065">
      <c r="A16065" s="1" t="s">
        <v>8</v>
      </c>
      <c r="B16065" s="2">
        <v>44785.0</v>
      </c>
      <c r="C16065" s="3">
        <v>0.3343287037037037</v>
      </c>
      <c r="D16065" s="1">
        <v>12.98105</v>
      </c>
      <c r="E16065" s="1">
        <v>80.1661</v>
      </c>
      <c r="F16065" s="1">
        <v>5339.0</v>
      </c>
      <c r="G16065" s="1">
        <v>51.0</v>
      </c>
    </row>
    <row r="16066">
      <c r="A16066" s="1" t="s">
        <v>7</v>
      </c>
      <c r="B16066" s="2">
        <v>44785.0</v>
      </c>
      <c r="C16066" s="3">
        <v>0.3345138888888889</v>
      </c>
      <c r="D16066" s="1">
        <v>12.993156</v>
      </c>
      <c r="E16066" s="1">
        <v>80.18398</v>
      </c>
      <c r="F16066" s="1">
        <v>805.0</v>
      </c>
      <c r="G16066" s="1">
        <v>58.0</v>
      </c>
    </row>
    <row r="16067">
      <c r="A16067" s="1" t="s">
        <v>7</v>
      </c>
      <c r="B16067" s="2">
        <v>44785.0</v>
      </c>
      <c r="C16067" s="3">
        <v>0.3346064814814815</v>
      </c>
      <c r="D16067" s="1">
        <v>12.764223</v>
      </c>
      <c r="E16067" s="1">
        <v>80.004483</v>
      </c>
      <c r="F16067" s="1">
        <v>2846.0</v>
      </c>
      <c r="G16067" s="1">
        <v>52.0</v>
      </c>
    </row>
    <row r="16068">
      <c r="A16068" s="1" t="s">
        <v>8</v>
      </c>
      <c r="B16068" s="2">
        <v>44785.0</v>
      </c>
      <c r="C16068" s="3">
        <v>0.3346412037037037</v>
      </c>
      <c r="D16068" s="1">
        <v>12.992415</v>
      </c>
      <c r="E16068" s="1">
        <v>80.182793</v>
      </c>
      <c r="F16068" s="1">
        <v>805.0</v>
      </c>
      <c r="G16068" s="1">
        <v>52.0</v>
      </c>
    </row>
    <row r="16069">
      <c r="A16069" s="1" t="s">
        <v>8</v>
      </c>
      <c r="B16069" s="2">
        <v>44785.0</v>
      </c>
      <c r="C16069" s="3">
        <v>0.3347337962962963</v>
      </c>
      <c r="D16069" s="1">
        <v>12.764223</v>
      </c>
      <c r="E16069" s="1">
        <v>80.004483</v>
      </c>
      <c r="F16069" s="1">
        <v>2846.0</v>
      </c>
      <c r="G16069" s="1">
        <v>52.0</v>
      </c>
    </row>
    <row r="16070">
      <c r="A16070" s="1" t="s">
        <v>7</v>
      </c>
      <c r="B16070" s="2">
        <v>44785.0</v>
      </c>
      <c r="C16070" s="3">
        <v>0.334849537037037</v>
      </c>
      <c r="D16070" s="1">
        <v>12.767976</v>
      </c>
      <c r="E16070" s="1">
        <v>80.006097</v>
      </c>
      <c r="F16070" s="1">
        <v>2846.0</v>
      </c>
      <c r="G16070" s="1">
        <v>59.0</v>
      </c>
    </row>
    <row r="16071">
      <c r="A16071" s="1" t="s">
        <v>8</v>
      </c>
      <c r="B16071" s="2">
        <v>44785.0</v>
      </c>
      <c r="C16071" s="3">
        <v>0.33490740740740743</v>
      </c>
      <c r="D16071" s="1">
        <v>12.990906</v>
      </c>
      <c r="E16071" s="1">
        <v>80.180781</v>
      </c>
      <c r="F16071" s="1">
        <v>805.0</v>
      </c>
      <c r="G16071" s="1">
        <v>49.0</v>
      </c>
    </row>
    <row r="16072">
      <c r="A16072" s="1" t="s">
        <v>8</v>
      </c>
      <c r="B16072" s="2">
        <v>44785.0</v>
      </c>
      <c r="C16072" s="3">
        <v>0.3349652777777778</v>
      </c>
      <c r="D16072" s="1">
        <v>12.97979</v>
      </c>
      <c r="E16072" s="1">
        <v>80.162755</v>
      </c>
      <c r="F16072" s="1">
        <v>5339.0</v>
      </c>
      <c r="G16072" s="1">
        <v>30.0</v>
      </c>
    </row>
    <row r="16073">
      <c r="A16073" s="1" t="s">
        <v>8</v>
      </c>
      <c r="B16073" s="2">
        <v>44785.0</v>
      </c>
      <c r="C16073" s="3">
        <v>0.33502314814814815</v>
      </c>
      <c r="D16073" s="1">
        <v>12.979204</v>
      </c>
      <c r="E16073" s="1">
        <v>80.161834</v>
      </c>
      <c r="F16073" s="1">
        <v>5339.0</v>
      </c>
      <c r="G16073" s="1">
        <v>48.0</v>
      </c>
    </row>
    <row r="16074">
      <c r="A16074" s="1" t="s">
        <v>8</v>
      </c>
      <c r="B16074" s="2">
        <v>44785.0</v>
      </c>
      <c r="C16074" s="3">
        <v>0.33512731481481484</v>
      </c>
      <c r="D16074" s="1">
        <v>12.97839</v>
      </c>
      <c r="E16074" s="1">
        <v>80.160726</v>
      </c>
      <c r="F16074" s="1">
        <v>5339.0</v>
      </c>
      <c r="G16074" s="1">
        <v>55.0</v>
      </c>
    </row>
    <row r="16075">
      <c r="A16075" s="1" t="s">
        <v>7</v>
      </c>
      <c r="B16075" s="2">
        <v>44785.0</v>
      </c>
      <c r="C16075" s="3">
        <v>0.33554398148148146</v>
      </c>
      <c r="D16075" s="1">
        <v>12.97592</v>
      </c>
      <c r="E16075" s="1">
        <v>80.156952</v>
      </c>
      <c r="F16075" s="1">
        <v>5339.0</v>
      </c>
      <c r="G16075" s="1">
        <v>59.0</v>
      </c>
    </row>
    <row r="16076">
      <c r="A16076" s="1" t="s">
        <v>8</v>
      </c>
      <c r="B16076" s="2">
        <v>44785.0</v>
      </c>
      <c r="C16076" s="3">
        <v>0.335625</v>
      </c>
      <c r="D16076" s="1">
        <v>12.97511</v>
      </c>
      <c r="E16076" s="1">
        <v>80.155758</v>
      </c>
      <c r="F16076" s="1">
        <v>5339.0</v>
      </c>
      <c r="G16076" s="1">
        <v>48.0</v>
      </c>
    </row>
    <row r="16077">
      <c r="A16077" s="1" t="s">
        <v>7</v>
      </c>
      <c r="B16077" s="2">
        <v>44785.0</v>
      </c>
      <c r="C16077" s="3">
        <v>0.33564814814814814</v>
      </c>
      <c r="D16077" s="1">
        <v>12.771924</v>
      </c>
      <c r="E16077" s="1">
        <v>80.008047</v>
      </c>
      <c r="F16077" s="1">
        <v>2846.0</v>
      </c>
      <c r="G16077" s="1">
        <v>57.0</v>
      </c>
    </row>
    <row r="16078">
      <c r="A16078" s="1" t="s">
        <v>8</v>
      </c>
      <c r="B16078" s="2">
        <v>44785.0</v>
      </c>
      <c r="C16078" s="3">
        <v>0.33576388888888886</v>
      </c>
      <c r="D16078" s="1">
        <v>12.988709</v>
      </c>
      <c r="E16078" s="1">
        <v>80.178051</v>
      </c>
      <c r="F16078" s="1">
        <v>805.0</v>
      </c>
      <c r="G16078" s="1">
        <v>32.0</v>
      </c>
    </row>
    <row r="16079">
      <c r="A16079" s="1" t="s">
        <v>8</v>
      </c>
      <c r="B16079" s="2">
        <v>44785.0</v>
      </c>
      <c r="C16079" s="3">
        <v>0.3359375</v>
      </c>
      <c r="D16079" s="1">
        <v>12.97351</v>
      </c>
      <c r="E16079" s="1">
        <v>80.153414</v>
      </c>
      <c r="F16079" s="1">
        <v>5339.0</v>
      </c>
      <c r="G16079" s="1">
        <v>37.0</v>
      </c>
    </row>
    <row r="16080">
      <c r="A16080" s="1" t="s">
        <v>8</v>
      </c>
      <c r="B16080" s="2">
        <v>44785.0</v>
      </c>
      <c r="C16080" s="3">
        <v>0.3360648148148148</v>
      </c>
      <c r="D16080" s="1">
        <v>12.987643</v>
      </c>
      <c r="E16080" s="1">
        <v>80.176536</v>
      </c>
      <c r="F16080" s="1">
        <v>805.0</v>
      </c>
      <c r="G16080" s="1">
        <v>34.0</v>
      </c>
    </row>
    <row r="16081">
      <c r="A16081" s="1" t="s">
        <v>8</v>
      </c>
      <c r="B16081" s="2">
        <v>44785.0</v>
      </c>
      <c r="C16081" s="3">
        <v>0.33618055555555554</v>
      </c>
      <c r="D16081" s="1">
        <v>12.987094</v>
      </c>
      <c r="E16081" s="1">
        <v>80.175722</v>
      </c>
      <c r="F16081" s="1">
        <v>805.0</v>
      </c>
      <c r="G16081" s="1">
        <v>44.0</v>
      </c>
    </row>
    <row r="16082">
      <c r="A16082" s="1" t="s">
        <v>8</v>
      </c>
      <c r="B16082" s="2">
        <v>44785.0</v>
      </c>
      <c r="C16082" s="3">
        <v>0.3364814814814815</v>
      </c>
      <c r="D16082" s="1">
        <v>12.970296</v>
      </c>
      <c r="E16082" s="1">
        <v>80.150499</v>
      </c>
      <c r="F16082" s="1">
        <v>5339.0</v>
      </c>
      <c r="G16082" s="1">
        <v>42.0</v>
      </c>
    </row>
    <row r="16083">
      <c r="A16083" s="1" t="s">
        <v>8</v>
      </c>
      <c r="B16083" s="2">
        <v>44785.0</v>
      </c>
      <c r="C16083" s="3">
        <v>0.33653935185185185</v>
      </c>
      <c r="D16083" s="1">
        <v>12.969302</v>
      </c>
      <c r="E16083" s="1">
        <v>80.150067</v>
      </c>
      <c r="F16083" s="1">
        <v>5339.0</v>
      </c>
      <c r="G16083" s="1">
        <v>40.0</v>
      </c>
    </row>
    <row r="16084">
      <c r="A16084" s="1" t="s">
        <v>7</v>
      </c>
      <c r="B16084" s="2">
        <v>44785.0</v>
      </c>
      <c r="C16084" s="3">
        <v>0.3368865740740741</v>
      </c>
      <c r="D16084" s="1">
        <v>12.983192</v>
      </c>
      <c r="E16084" s="1">
        <v>80.169678</v>
      </c>
      <c r="F16084" s="1">
        <v>805.0</v>
      </c>
      <c r="G16084" s="1">
        <v>53.0</v>
      </c>
    </row>
    <row r="16085">
      <c r="A16085" s="1" t="s">
        <v>8</v>
      </c>
      <c r="B16085" s="2">
        <v>44785.0</v>
      </c>
      <c r="C16085" s="3">
        <v>0.33689814814814817</v>
      </c>
      <c r="D16085" s="1">
        <v>12.96703</v>
      </c>
      <c r="E16085" s="1">
        <v>80.149042</v>
      </c>
      <c r="F16085" s="1">
        <v>5339.0</v>
      </c>
      <c r="G16085" s="1">
        <v>38.0</v>
      </c>
    </row>
    <row r="16086">
      <c r="A16086" s="1" t="s">
        <v>7</v>
      </c>
      <c r="B16086" s="2">
        <v>44785.0</v>
      </c>
      <c r="C16086" s="3">
        <v>0.33699074074074076</v>
      </c>
      <c r="D16086" s="1">
        <v>12.982455</v>
      </c>
      <c r="E16086" s="1">
        <v>80.16843</v>
      </c>
      <c r="F16086" s="1">
        <v>805.0</v>
      </c>
      <c r="G16086" s="1">
        <v>58.0</v>
      </c>
    </row>
    <row r="16087">
      <c r="A16087" s="1" t="s">
        <v>7</v>
      </c>
      <c r="B16087" s="2">
        <v>44785.0</v>
      </c>
      <c r="C16087" s="3">
        <v>0.337037037037037</v>
      </c>
      <c r="D16087" s="1">
        <v>12.981662</v>
      </c>
      <c r="E16087" s="1">
        <v>80.167189</v>
      </c>
      <c r="F16087" s="1">
        <v>805.0</v>
      </c>
      <c r="G16087" s="1">
        <v>57.0</v>
      </c>
    </row>
    <row r="16088">
      <c r="A16088" s="1" t="s">
        <v>7</v>
      </c>
      <c r="B16088" s="2">
        <v>44785.0</v>
      </c>
      <c r="C16088" s="3">
        <v>0.3370601851851852</v>
      </c>
      <c r="D16088" s="1">
        <v>12.792791</v>
      </c>
      <c r="E16088" s="1">
        <v>80.0186</v>
      </c>
      <c r="F16088" s="1">
        <v>2846.0</v>
      </c>
      <c r="G16088" s="1">
        <v>58.0</v>
      </c>
    </row>
    <row r="16089">
      <c r="A16089" s="1" t="s">
        <v>8</v>
      </c>
      <c r="B16089" s="2">
        <v>44785.0</v>
      </c>
      <c r="C16089" s="3">
        <v>0.33707175925925925</v>
      </c>
      <c r="D16089" s="1">
        <v>12.966111</v>
      </c>
      <c r="E16089" s="1">
        <v>80.148594</v>
      </c>
      <c r="F16089" s="1">
        <v>5339.0</v>
      </c>
      <c r="G16089" s="1">
        <v>38.0</v>
      </c>
    </row>
    <row r="16090">
      <c r="A16090" s="1" t="s">
        <v>7</v>
      </c>
      <c r="B16090" s="2">
        <v>44785.0</v>
      </c>
      <c r="C16090" s="3">
        <v>0.33708333333333335</v>
      </c>
      <c r="D16090" s="1">
        <v>12.981662</v>
      </c>
      <c r="E16090" s="1">
        <v>80.167189</v>
      </c>
      <c r="F16090" s="1">
        <v>805.0</v>
      </c>
      <c r="G16090" s="1">
        <v>57.0</v>
      </c>
    </row>
    <row r="16091">
      <c r="A16091" s="1" t="s">
        <v>7</v>
      </c>
      <c r="B16091" s="2">
        <v>44785.0</v>
      </c>
      <c r="C16091" s="3">
        <v>0.33721064814814816</v>
      </c>
      <c r="D16091" s="1">
        <v>12.980963</v>
      </c>
      <c r="E16091" s="1">
        <v>80.165927</v>
      </c>
      <c r="F16091" s="1">
        <v>805.0</v>
      </c>
      <c r="G16091" s="1">
        <v>58.0</v>
      </c>
    </row>
    <row r="16092">
      <c r="A16092" s="1" t="s">
        <v>8</v>
      </c>
      <c r="B16092" s="2">
        <v>44785.0</v>
      </c>
      <c r="C16092" s="3">
        <v>0.3373726851851852</v>
      </c>
      <c r="D16092" s="1">
        <v>12.963176</v>
      </c>
      <c r="E16092" s="1">
        <v>80.146996</v>
      </c>
      <c r="F16092" s="1">
        <v>5339.0</v>
      </c>
      <c r="G16092" s="1">
        <v>54.0</v>
      </c>
    </row>
    <row r="16093">
      <c r="A16093" s="1" t="s">
        <v>8</v>
      </c>
      <c r="B16093" s="2">
        <v>44785.0</v>
      </c>
      <c r="C16093" s="3">
        <v>0.33751157407407406</v>
      </c>
      <c r="D16093" s="1">
        <v>12.961965</v>
      </c>
      <c r="E16093" s="1">
        <v>80.146311</v>
      </c>
      <c r="F16093" s="1">
        <v>5339.0</v>
      </c>
      <c r="G16093" s="1">
        <v>54.0</v>
      </c>
    </row>
    <row r="16094">
      <c r="A16094" s="1" t="s">
        <v>7</v>
      </c>
      <c r="B16094" s="2">
        <v>44785.0</v>
      </c>
      <c r="C16094" s="3">
        <v>0.3377662037037037</v>
      </c>
      <c r="D16094" s="1">
        <v>12.959479</v>
      </c>
      <c r="E16094" s="1">
        <v>80.144931</v>
      </c>
      <c r="F16094" s="1">
        <v>5339.0</v>
      </c>
      <c r="G16094" s="1">
        <v>60.0</v>
      </c>
    </row>
    <row r="16095">
      <c r="A16095" s="1" t="s">
        <v>8</v>
      </c>
      <c r="B16095" s="2">
        <v>44785.0</v>
      </c>
      <c r="C16095" s="3">
        <v>0.3381134259259259</v>
      </c>
      <c r="D16095" s="1">
        <v>12.957176</v>
      </c>
      <c r="E16095" s="1">
        <v>80.143744</v>
      </c>
      <c r="F16095" s="1">
        <v>5339.0</v>
      </c>
      <c r="G16095" s="1">
        <v>45.0</v>
      </c>
    </row>
    <row r="16096">
      <c r="A16096" s="1" t="s">
        <v>7</v>
      </c>
      <c r="B16096" s="2">
        <v>44785.0</v>
      </c>
      <c r="C16096" s="3">
        <v>0.3383101851851852</v>
      </c>
      <c r="D16096" s="1">
        <v>12.977011</v>
      </c>
      <c r="E16096" s="1">
        <v>80.158638</v>
      </c>
      <c r="F16096" s="1">
        <v>805.0</v>
      </c>
      <c r="G16096" s="1">
        <v>57.0</v>
      </c>
    </row>
    <row r="16097">
      <c r="A16097" s="1" t="s">
        <v>7</v>
      </c>
      <c r="B16097" s="2">
        <v>44785.0</v>
      </c>
      <c r="C16097" s="3">
        <v>0.3384375</v>
      </c>
      <c r="D16097" s="1">
        <v>12.976217</v>
      </c>
      <c r="E16097" s="1">
        <v>80.157393</v>
      </c>
      <c r="F16097" s="1">
        <v>805.0</v>
      </c>
      <c r="G16097" s="1">
        <v>57.0</v>
      </c>
    </row>
    <row r="16098">
      <c r="A16098" s="1" t="s">
        <v>7</v>
      </c>
      <c r="B16098" s="2">
        <v>44785.0</v>
      </c>
      <c r="C16098" s="3">
        <v>0.3384490740740741</v>
      </c>
      <c r="D16098" s="1">
        <v>12.807541</v>
      </c>
      <c r="E16098" s="1">
        <v>80.028225</v>
      </c>
      <c r="F16098" s="1">
        <v>2846.0</v>
      </c>
      <c r="G16098" s="1">
        <v>57.0</v>
      </c>
    </row>
    <row r="16099">
      <c r="A16099" s="1" t="s">
        <v>8</v>
      </c>
      <c r="B16099" s="2">
        <v>44785.0</v>
      </c>
      <c r="C16099" s="3">
        <v>0.3386111111111111</v>
      </c>
      <c r="D16099" s="1">
        <v>12.976217</v>
      </c>
      <c r="E16099" s="1">
        <v>80.157393</v>
      </c>
      <c r="F16099" s="1">
        <v>805.0</v>
      </c>
      <c r="G16099" s="1">
        <v>57.0</v>
      </c>
    </row>
    <row r="16100">
      <c r="A16100" s="1" t="s">
        <v>7</v>
      </c>
      <c r="B16100" s="2">
        <v>44785.0</v>
      </c>
      <c r="C16100" s="3">
        <v>0.3388541666666667</v>
      </c>
      <c r="D16100" s="1">
        <v>12.974548</v>
      </c>
      <c r="E16100" s="1">
        <v>80.155021</v>
      </c>
      <c r="F16100" s="1">
        <v>805.0</v>
      </c>
      <c r="G16100" s="1">
        <v>50.0</v>
      </c>
    </row>
    <row r="16101">
      <c r="A16101" s="1" t="s">
        <v>7</v>
      </c>
      <c r="B16101" s="2">
        <v>44785.0</v>
      </c>
      <c r="C16101" s="3">
        <v>0.3389351851851852</v>
      </c>
      <c r="D16101" s="1">
        <v>12.973054</v>
      </c>
      <c r="E16101" s="1">
        <v>80.152744</v>
      </c>
      <c r="F16101" s="1">
        <v>805.0</v>
      </c>
      <c r="G16101" s="1">
        <v>55.0</v>
      </c>
    </row>
    <row r="16102">
      <c r="A16102" s="1" t="s">
        <v>8</v>
      </c>
      <c r="B16102" s="2">
        <v>44785.0</v>
      </c>
      <c r="C16102" s="3">
        <v>0.33894675925925927</v>
      </c>
      <c r="D16102" s="1">
        <v>12.952459</v>
      </c>
      <c r="E16102" s="1">
        <v>80.141142</v>
      </c>
      <c r="F16102" s="1">
        <v>5339.0</v>
      </c>
      <c r="G16102" s="1">
        <v>21.0</v>
      </c>
    </row>
    <row r="16103">
      <c r="A16103" s="1" t="s">
        <v>8</v>
      </c>
      <c r="B16103" s="2">
        <v>44785.0</v>
      </c>
      <c r="C16103" s="3">
        <v>0.3393055555555556</v>
      </c>
      <c r="D16103" s="1">
        <v>12.949772</v>
      </c>
      <c r="E16103" s="1">
        <v>80.139076</v>
      </c>
      <c r="F16103" s="1">
        <v>5339.0</v>
      </c>
      <c r="G16103" s="1">
        <v>36.0</v>
      </c>
    </row>
    <row r="16104">
      <c r="A16104" s="1" t="s">
        <v>8</v>
      </c>
      <c r="B16104" s="2">
        <v>44785.0</v>
      </c>
      <c r="C16104" s="3">
        <v>0.339525462962963</v>
      </c>
      <c r="D16104" s="1">
        <v>12.813693</v>
      </c>
      <c r="E16104" s="1">
        <v>80.032216</v>
      </c>
      <c r="F16104" s="1">
        <v>2846.0</v>
      </c>
      <c r="G16104" s="1">
        <v>58.0</v>
      </c>
    </row>
    <row r="16105">
      <c r="A16105" s="1" t="s">
        <v>8</v>
      </c>
      <c r="B16105" s="2">
        <v>44785.0</v>
      </c>
      <c r="C16105" s="3">
        <v>0.3395486111111111</v>
      </c>
      <c r="D16105" s="1">
        <v>12.818508</v>
      </c>
      <c r="E16105" s="1">
        <v>80.035582</v>
      </c>
      <c r="F16105" s="1">
        <v>2846.0</v>
      </c>
      <c r="G16105" s="1">
        <v>56.0</v>
      </c>
    </row>
    <row r="16106">
      <c r="A16106" s="1" t="s">
        <v>8</v>
      </c>
      <c r="B16106" s="2">
        <v>44785.0</v>
      </c>
      <c r="C16106" s="3">
        <v>0.33967592592592594</v>
      </c>
      <c r="D16106" s="1">
        <v>12.81967</v>
      </c>
      <c r="E16106" s="1">
        <v>80.036399</v>
      </c>
      <c r="F16106" s="1">
        <v>2846.0</v>
      </c>
      <c r="G16106" s="1">
        <v>57.0</v>
      </c>
    </row>
    <row r="16107">
      <c r="A16107" s="1" t="s">
        <v>8</v>
      </c>
      <c r="B16107" s="2">
        <v>44785.0</v>
      </c>
      <c r="C16107" s="3">
        <v>0.3397685185185185</v>
      </c>
      <c r="D16107" s="1">
        <v>12.820779</v>
      </c>
      <c r="E16107" s="1">
        <v>80.037167</v>
      </c>
      <c r="F16107" s="1">
        <v>2846.0</v>
      </c>
      <c r="G16107" s="1">
        <v>48.0</v>
      </c>
    </row>
    <row r="16108">
      <c r="A16108" s="1" t="s">
        <v>8</v>
      </c>
      <c r="B16108" s="2">
        <v>44785.0</v>
      </c>
      <c r="C16108" s="3">
        <v>0.3398611111111111</v>
      </c>
      <c r="D16108" s="1">
        <v>12.946859</v>
      </c>
      <c r="E16108" s="1">
        <v>80.136815</v>
      </c>
      <c r="F16108" s="1">
        <v>5339.0</v>
      </c>
      <c r="G16108" s="1">
        <v>40.0</v>
      </c>
    </row>
    <row r="16109">
      <c r="A16109" s="1" t="s">
        <v>7</v>
      </c>
      <c r="B16109" s="2">
        <v>44785.0</v>
      </c>
      <c r="C16109" s="3">
        <v>0.3399421296296296</v>
      </c>
      <c r="D16109" s="1">
        <v>12.821835</v>
      </c>
      <c r="E16109" s="1">
        <v>80.037862</v>
      </c>
      <c r="F16109" s="1">
        <v>2846.0</v>
      </c>
      <c r="G16109" s="1">
        <v>46.0</v>
      </c>
    </row>
    <row r="16110">
      <c r="A16110" s="1" t="s">
        <v>8</v>
      </c>
      <c r="B16110" s="2">
        <v>44785.0</v>
      </c>
      <c r="C16110" s="3">
        <v>0.34010416666666665</v>
      </c>
      <c r="D16110" s="1">
        <v>12.944306</v>
      </c>
      <c r="E16110" s="1">
        <v>80.134852</v>
      </c>
      <c r="F16110" s="1">
        <v>5339.0</v>
      </c>
      <c r="G16110" s="1">
        <v>38.0</v>
      </c>
    </row>
    <row r="16111">
      <c r="A16111" s="1" t="s">
        <v>7</v>
      </c>
      <c r="B16111" s="2">
        <v>44785.0</v>
      </c>
      <c r="C16111" s="3">
        <v>0.34028935185185183</v>
      </c>
      <c r="D16111" s="1">
        <v>12.825238</v>
      </c>
      <c r="E16111" s="1">
        <v>80.040323</v>
      </c>
      <c r="F16111" s="1">
        <v>2846.0</v>
      </c>
      <c r="G16111" s="1">
        <v>57.0</v>
      </c>
    </row>
    <row r="16112">
      <c r="A16112" s="1" t="s">
        <v>8</v>
      </c>
      <c r="B16112" s="2">
        <v>44785.0</v>
      </c>
      <c r="C16112" s="3">
        <v>0.3403703703703704</v>
      </c>
      <c r="D16112" s="1">
        <v>12.942559</v>
      </c>
      <c r="E16112" s="1">
        <v>80.133328</v>
      </c>
      <c r="F16112" s="1">
        <v>5339.0</v>
      </c>
      <c r="G16112" s="1">
        <v>44.0</v>
      </c>
    </row>
    <row r="16113">
      <c r="A16113" s="1" t="s">
        <v>8</v>
      </c>
      <c r="B16113" s="2">
        <v>44785.0</v>
      </c>
      <c r="C16113" s="3">
        <v>0.34041666666666665</v>
      </c>
      <c r="D16113" s="1">
        <v>12.942559</v>
      </c>
      <c r="E16113" s="1">
        <v>80.133328</v>
      </c>
      <c r="F16113" s="1">
        <v>5339.0</v>
      </c>
      <c r="G16113" s="1">
        <v>44.0</v>
      </c>
    </row>
    <row r="16114">
      <c r="A16114" s="1" t="s">
        <v>7</v>
      </c>
      <c r="B16114" s="2">
        <v>44785.0</v>
      </c>
      <c r="C16114" s="3">
        <v>0.34050925925925923</v>
      </c>
      <c r="D16114" s="1">
        <v>12.825238</v>
      </c>
      <c r="E16114" s="1">
        <v>80.040323</v>
      </c>
      <c r="F16114" s="1">
        <v>2846.0</v>
      </c>
      <c r="G16114" s="1">
        <v>57.0</v>
      </c>
    </row>
    <row r="16115">
      <c r="A16115" s="1" t="s">
        <v>7</v>
      </c>
      <c r="B16115" s="2">
        <v>44785.0</v>
      </c>
      <c r="C16115" s="3">
        <v>0.34055555555555556</v>
      </c>
      <c r="D16115" s="1">
        <v>12.825238</v>
      </c>
      <c r="E16115" s="1">
        <v>80.040323</v>
      </c>
      <c r="F16115" s="1">
        <v>2846.0</v>
      </c>
      <c r="G16115" s="1">
        <v>57.0</v>
      </c>
    </row>
    <row r="16116">
      <c r="A16116" s="1" t="s">
        <v>8</v>
      </c>
      <c r="B16116" s="2">
        <v>44785.0</v>
      </c>
      <c r="C16116" s="3">
        <v>0.34056712962962965</v>
      </c>
      <c r="D16116" s="1">
        <v>12.828452</v>
      </c>
      <c r="E16116" s="1">
        <v>80.043316</v>
      </c>
      <c r="F16116" s="1">
        <v>2846.0</v>
      </c>
      <c r="G16116" s="1">
        <v>57.0</v>
      </c>
    </row>
    <row r="16117">
      <c r="A16117" s="1" t="s">
        <v>7</v>
      </c>
      <c r="B16117" s="2">
        <v>44785.0</v>
      </c>
      <c r="C16117" s="3">
        <v>0.3405902777777778</v>
      </c>
      <c r="D16117" s="1">
        <v>12.940908</v>
      </c>
      <c r="E16117" s="1">
        <v>80.131592</v>
      </c>
      <c r="F16117" s="1">
        <v>5339.0</v>
      </c>
      <c r="G16117" s="1">
        <v>50.0</v>
      </c>
    </row>
    <row r="16118">
      <c r="A16118" s="1" t="s">
        <v>8</v>
      </c>
      <c r="B16118" s="2">
        <v>44785.0</v>
      </c>
      <c r="C16118" s="3">
        <v>0.34063657407407405</v>
      </c>
      <c r="D16118" s="1">
        <v>12.940908</v>
      </c>
      <c r="E16118" s="1">
        <v>80.131592</v>
      </c>
      <c r="F16118" s="1">
        <v>5339.0</v>
      </c>
      <c r="G16118" s="1">
        <v>50.0</v>
      </c>
    </row>
    <row r="16119">
      <c r="A16119" s="1" t="s">
        <v>8</v>
      </c>
      <c r="B16119" s="2">
        <v>44785.0</v>
      </c>
      <c r="C16119" s="3">
        <v>0.3409375</v>
      </c>
      <c r="D16119" s="1">
        <v>12.938284</v>
      </c>
      <c r="E16119" s="1">
        <v>80.129054</v>
      </c>
      <c r="F16119" s="1">
        <v>5339.0</v>
      </c>
      <c r="G16119" s="1">
        <v>32.0</v>
      </c>
    </row>
    <row r="16120">
      <c r="A16120" s="1" t="s">
        <v>8</v>
      </c>
      <c r="B16120" s="2">
        <v>44785.0</v>
      </c>
      <c r="C16120" s="3">
        <v>0.3409375</v>
      </c>
      <c r="D16120" s="1">
        <v>12.938284</v>
      </c>
      <c r="E16120" s="1">
        <v>80.129054</v>
      </c>
      <c r="F16120" s="1">
        <v>5339.0</v>
      </c>
      <c r="G16120" s="1">
        <v>32.0</v>
      </c>
    </row>
    <row r="16121">
      <c r="A16121" s="1" t="s">
        <v>8</v>
      </c>
      <c r="B16121" s="2">
        <v>44785.0</v>
      </c>
      <c r="C16121" s="3">
        <v>0.34108796296296295</v>
      </c>
      <c r="D16121" s="1">
        <v>12.937745</v>
      </c>
      <c r="E16121" s="1">
        <v>80.128592</v>
      </c>
      <c r="F16121" s="1">
        <v>5339.0</v>
      </c>
      <c r="G16121" s="1">
        <v>27.0</v>
      </c>
    </row>
    <row r="16122">
      <c r="A16122" s="1" t="s">
        <v>8</v>
      </c>
      <c r="B16122" s="2">
        <v>44785.0</v>
      </c>
      <c r="C16122" s="3">
        <v>0.34119212962962964</v>
      </c>
      <c r="D16122" s="1">
        <v>12.937121</v>
      </c>
      <c r="E16122" s="1">
        <v>80.128063</v>
      </c>
      <c r="F16122" s="1">
        <v>5339.0</v>
      </c>
      <c r="G16122" s="1">
        <v>34.0</v>
      </c>
    </row>
    <row r="16123">
      <c r="A16123" s="1" t="s">
        <v>8</v>
      </c>
      <c r="B16123" s="2">
        <v>44785.0</v>
      </c>
      <c r="C16123" s="3">
        <v>0.34121527777777777</v>
      </c>
      <c r="D16123" s="1">
        <v>12.937121</v>
      </c>
      <c r="E16123" s="1">
        <v>80.128063</v>
      </c>
      <c r="F16123" s="1">
        <v>5339.0</v>
      </c>
      <c r="G16123" s="1">
        <v>34.0</v>
      </c>
    </row>
    <row r="16124">
      <c r="A16124" s="1" t="s">
        <v>8</v>
      </c>
      <c r="B16124" s="2">
        <v>44785.0</v>
      </c>
      <c r="C16124" s="3">
        <v>0.3412384259259259</v>
      </c>
      <c r="D16124" s="1">
        <v>12.937121</v>
      </c>
      <c r="E16124" s="1">
        <v>80.128063</v>
      </c>
      <c r="F16124" s="1">
        <v>5339.0</v>
      </c>
      <c r="G16124" s="1">
        <v>34.0</v>
      </c>
    </row>
    <row r="16125">
      <c r="A16125" s="1" t="s">
        <v>8</v>
      </c>
      <c r="B16125" s="2">
        <v>44785.0</v>
      </c>
      <c r="C16125" s="3">
        <v>0.34125</v>
      </c>
      <c r="D16125" s="1">
        <v>12.937121</v>
      </c>
      <c r="E16125" s="1">
        <v>80.128063</v>
      </c>
      <c r="F16125" s="1">
        <v>5339.0</v>
      </c>
      <c r="G16125" s="1">
        <v>34.0</v>
      </c>
    </row>
    <row r="16126">
      <c r="A16126" s="1" t="s">
        <v>8</v>
      </c>
      <c r="B16126" s="2">
        <v>44785.0</v>
      </c>
      <c r="C16126" s="3">
        <v>0.3414583333333333</v>
      </c>
      <c r="D16126" s="1">
        <v>12.920694</v>
      </c>
      <c r="E16126" s="1">
        <v>80.16809</v>
      </c>
      <c r="F16126" s="1">
        <v>3143.0</v>
      </c>
      <c r="G16126" s="1">
        <v>40.0</v>
      </c>
    </row>
    <row r="16127">
      <c r="A16127" s="1" t="s">
        <v>8</v>
      </c>
      <c r="B16127" s="2">
        <v>44785.0</v>
      </c>
      <c r="C16127" s="3">
        <v>0.3415625</v>
      </c>
      <c r="D16127" s="1">
        <v>12.935549</v>
      </c>
      <c r="E16127" s="1">
        <v>80.126698</v>
      </c>
      <c r="F16127" s="1">
        <v>5339.0</v>
      </c>
      <c r="G16127" s="1">
        <v>23.0</v>
      </c>
    </row>
    <row r="16128">
      <c r="A16128" s="1" t="s">
        <v>8</v>
      </c>
      <c r="B16128" s="2">
        <v>44785.0</v>
      </c>
      <c r="C16128" s="3">
        <v>0.3415625</v>
      </c>
      <c r="D16128" s="1">
        <v>12.935549</v>
      </c>
      <c r="E16128" s="1">
        <v>80.126698</v>
      </c>
      <c r="F16128" s="1">
        <v>5339.0</v>
      </c>
      <c r="G16128" s="1">
        <v>23.0</v>
      </c>
    </row>
    <row r="16129">
      <c r="A16129" s="1" t="s">
        <v>8</v>
      </c>
      <c r="B16129" s="2">
        <v>44785.0</v>
      </c>
      <c r="C16129" s="3">
        <v>0.3415740740740741</v>
      </c>
      <c r="D16129" s="1">
        <v>12.935549</v>
      </c>
      <c r="E16129" s="1">
        <v>80.126698</v>
      </c>
      <c r="F16129" s="1">
        <v>5339.0</v>
      </c>
      <c r="G16129" s="1">
        <v>23.0</v>
      </c>
    </row>
    <row r="16130">
      <c r="A16130" s="1" t="s">
        <v>8</v>
      </c>
      <c r="B16130" s="2">
        <v>44785.0</v>
      </c>
      <c r="C16130" s="3">
        <v>0.3416550925925926</v>
      </c>
      <c r="D16130" s="1">
        <v>12.935048</v>
      </c>
      <c r="E16130" s="1">
        <v>80.126224</v>
      </c>
      <c r="F16130" s="1">
        <v>5339.0</v>
      </c>
      <c r="G16130" s="1">
        <v>29.0</v>
      </c>
    </row>
    <row r="16131">
      <c r="A16131" s="1" t="s">
        <v>8</v>
      </c>
      <c r="B16131" s="2">
        <v>44785.0</v>
      </c>
      <c r="C16131" s="3">
        <v>0.3416666666666667</v>
      </c>
      <c r="D16131" s="1">
        <v>12.954811</v>
      </c>
      <c r="E16131" s="1">
        <v>80.142491</v>
      </c>
      <c r="F16131" s="1">
        <v>805.0</v>
      </c>
      <c r="G16131" s="1">
        <v>31.0</v>
      </c>
    </row>
    <row r="16132">
      <c r="A16132" s="1" t="s">
        <v>7</v>
      </c>
      <c r="B16132" s="2">
        <v>44785.0</v>
      </c>
      <c r="C16132" s="3">
        <v>0.3417824074074074</v>
      </c>
      <c r="D16132" s="1">
        <v>12.834667</v>
      </c>
      <c r="E16132" s="1">
        <v>80.049887</v>
      </c>
      <c r="F16132" s="1">
        <v>2846.0</v>
      </c>
      <c r="G16132" s="1">
        <v>58.0</v>
      </c>
    </row>
    <row r="16133">
      <c r="A16133" s="1" t="s">
        <v>8</v>
      </c>
      <c r="B16133" s="2">
        <v>44785.0</v>
      </c>
      <c r="C16133" s="3">
        <v>0.34186342592592595</v>
      </c>
      <c r="D16133" s="1">
        <v>12.933839</v>
      </c>
      <c r="E16133" s="1">
        <v>80.125102</v>
      </c>
      <c r="F16133" s="1">
        <v>5339.0</v>
      </c>
      <c r="G16133" s="1">
        <v>40.0</v>
      </c>
    </row>
    <row r="16134">
      <c r="A16134" s="1" t="s">
        <v>7</v>
      </c>
      <c r="B16134" s="2">
        <v>44785.0</v>
      </c>
      <c r="C16134" s="3">
        <v>0.3421296296296296</v>
      </c>
      <c r="D16134" s="1">
        <v>12.83978</v>
      </c>
      <c r="E16134" s="1">
        <v>80.055176</v>
      </c>
      <c r="F16134" s="1">
        <v>2846.0</v>
      </c>
      <c r="G16134" s="1">
        <v>57.0</v>
      </c>
    </row>
    <row r="16135">
      <c r="A16135" s="1" t="s">
        <v>8</v>
      </c>
      <c r="B16135" s="2">
        <v>44785.0</v>
      </c>
      <c r="C16135" s="3">
        <v>0.34243055555555557</v>
      </c>
      <c r="D16135" s="1">
        <v>12.951851</v>
      </c>
      <c r="E16135" s="1">
        <v>80.140668</v>
      </c>
      <c r="F16135" s="1">
        <v>805.0</v>
      </c>
      <c r="G16135" s="1">
        <v>26.0</v>
      </c>
    </row>
    <row r="16136">
      <c r="A16136" s="1" t="s">
        <v>8</v>
      </c>
      <c r="B16136" s="2">
        <v>44785.0</v>
      </c>
      <c r="C16136" s="3">
        <v>0.3424652777777778</v>
      </c>
      <c r="D16136" s="1">
        <v>12.951208</v>
      </c>
      <c r="E16136" s="1">
        <v>80.140193</v>
      </c>
      <c r="F16136" s="1">
        <v>805.0</v>
      </c>
      <c r="G16136" s="1">
        <v>30.0</v>
      </c>
    </row>
    <row r="16137">
      <c r="A16137" s="1" t="s">
        <v>8</v>
      </c>
      <c r="B16137" s="2">
        <v>44785.0</v>
      </c>
      <c r="C16137" s="3">
        <v>0.3424652777777778</v>
      </c>
      <c r="D16137" s="1">
        <v>12.951208</v>
      </c>
      <c r="E16137" s="1">
        <v>80.140193</v>
      </c>
      <c r="F16137" s="1">
        <v>805.0</v>
      </c>
      <c r="G16137" s="1">
        <v>30.0</v>
      </c>
    </row>
    <row r="16138">
      <c r="A16138" s="1" t="s">
        <v>8</v>
      </c>
      <c r="B16138" s="2">
        <v>44785.0</v>
      </c>
      <c r="C16138" s="3">
        <v>0.34247685185185184</v>
      </c>
      <c r="D16138" s="1">
        <v>12.951208</v>
      </c>
      <c r="E16138" s="1">
        <v>80.140193</v>
      </c>
      <c r="F16138" s="1">
        <v>805.0</v>
      </c>
      <c r="G16138" s="1">
        <v>30.0</v>
      </c>
    </row>
    <row r="16139">
      <c r="A16139" s="1" t="s">
        <v>8</v>
      </c>
      <c r="B16139" s="2">
        <v>44785.0</v>
      </c>
      <c r="C16139" s="3">
        <v>0.34270833333333334</v>
      </c>
      <c r="D16139" s="1">
        <v>12.930947</v>
      </c>
      <c r="E16139" s="1">
        <v>80.122181</v>
      </c>
      <c r="F16139" s="1">
        <v>5339.0</v>
      </c>
      <c r="G16139" s="1">
        <v>34.0</v>
      </c>
    </row>
    <row r="16140">
      <c r="A16140" s="1" t="s">
        <v>8</v>
      </c>
      <c r="B16140" s="2">
        <v>44785.0</v>
      </c>
      <c r="C16140" s="3">
        <v>0.34283564814814815</v>
      </c>
      <c r="D16140" s="1">
        <v>12.930252</v>
      </c>
      <c r="E16140" s="1">
        <v>80.12149</v>
      </c>
      <c r="F16140" s="1">
        <v>5339.0</v>
      </c>
      <c r="G16140" s="1">
        <v>37.0</v>
      </c>
    </row>
    <row r="16141">
      <c r="A16141" s="1" t="s">
        <v>8</v>
      </c>
      <c r="B16141" s="2">
        <v>44785.0</v>
      </c>
      <c r="C16141" s="3">
        <v>0.34327546296296296</v>
      </c>
      <c r="D16141" s="1">
        <v>12.95002</v>
      </c>
      <c r="E16141" s="1">
        <v>80.139328</v>
      </c>
      <c r="F16141" s="1">
        <v>805.0</v>
      </c>
      <c r="G16141" s="1">
        <v>26.0</v>
      </c>
    </row>
    <row r="16142">
      <c r="A16142" s="1" t="s">
        <v>8</v>
      </c>
      <c r="B16142" s="2">
        <v>44785.0</v>
      </c>
      <c r="C16142" s="3">
        <v>0.3434027777777778</v>
      </c>
      <c r="D16142" s="1">
        <v>12.949378</v>
      </c>
      <c r="E16142" s="1">
        <v>80.138748</v>
      </c>
      <c r="F16142" s="1">
        <v>805.0</v>
      </c>
      <c r="G16142" s="1">
        <v>43.0</v>
      </c>
    </row>
    <row r="16143">
      <c r="A16143" s="1" t="s">
        <v>8</v>
      </c>
      <c r="B16143" s="2">
        <v>44785.0</v>
      </c>
      <c r="C16143" s="3">
        <v>0.34375</v>
      </c>
      <c r="D16143" s="1">
        <v>12.925474</v>
      </c>
      <c r="E16143" s="1">
        <v>80.116679</v>
      </c>
      <c r="F16143" s="1">
        <v>5339.0</v>
      </c>
      <c r="G16143" s="1">
        <v>54.0</v>
      </c>
    </row>
    <row r="16144">
      <c r="A16144" s="1" t="s">
        <v>7</v>
      </c>
      <c r="B16144" s="2">
        <v>44785.0</v>
      </c>
      <c r="C16144" s="3">
        <v>0.3439351851851852</v>
      </c>
      <c r="D16144" s="1">
        <v>12.924002</v>
      </c>
      <c r="E16144" s="1">
        <v>80.115172</v>
      </c>
      <c r="F16144" s="1">
        <v>5339.0</v>
      </c>
      <c r="G16144" s="1">
        <v>52.0</v>
      </c>
    </row>
    <row r="16145">
      <c r="A16145" s="1" t="s">
        <v>8</v>
      </c>
      <c r="B16145" s="2">
        <v>44785.0</v>
      </c>
      <c r="C16145" s="3">
        <v>0.34400462962962963</v>
      </c>
      <c r="D16145" s="1">
        <v>12.850096</v>
      </c>
      <c r="E16145" s="1">
        <v>80.064705</v>
      </c>
      <c r="F16145" s="1">
        <v>2846.0</v>
      </c>
      <c r="G16145" s="1">
        <v>59.0</v>
      </c>
    </row>
    <row r="16146">
      <c r="A16146" s="1" t="s">
        <v>8</v>
      </c>
      <c r="B16146" s="2">
        <v>44785.0</v>
      </c>
      <c r="C16146" s="3">
        <v>0.34402777777777777</v>
      </c>
      <c r="D16146" s="1">
        <v>12.924002</v>
      </c>
      <c r="E16146" s="1">
        <v>80.115172</v>
      </c>
      <c r="F16146" s="1">
        <v>5339.0</v>
      </c>
      <c r="G16146" s="1">
        <v>52.0</v>
      </c>
    </row>
    <row r="16147">
      <c r="A16147" s="1" t="s">
        <v>8</v>
      </c>
      <c r="B16147" s="2">
        <v>44785.0</v>
      </c>
      <c r="C16147" s="3">
        <v>0.3440740740740741</v>
      </c>
      <c r="D16147" s="1">
        <v>12.922625</v>
      </c>
      <c r="E16147" s="1">
        <v>80.149768</v>
      </c>
      <c r="F16147" s="1">
        <v>3143.0</v>
      </c>
      <c r="G16147" s="1">
        <v>48.0</v>
      </c>
    </row>
    <row r="16148">
      <c r="A16148" s="1" t="s">
        <v>8</v>
      </c>
      <c r="B16148" s="2">
        <v>44785.0</v>
      </c>
      <c r="C16148" s="3">
        <v>0.3441087962962963</v>
      </c>
      <c r="D16148" s="1">
        <v>12.943186</v>
      </c>
      <c r="E16148" s="1">
        <v>80.13391</v>
      </c>
      <c r="F16148" s="1">
        <v>805.0</v>
      </c>
      <c r="G16148" s="1">
        <v>42.0</v>
      </c>
    </row>
    <row r="16149">
      <c r="A16149" s="1" t="s">
        <v>7</v>
      </c>
      <c r="B16149" s="2">
        <v>44785.0</v>
      </c>
      <c r="C16149" s="3">
        <v>0.3441666666666667</v>
      </c>
      <c r="D16149" s="1">
        <v>12.854597</v>
      </c>
      <c r="E16149" s="1">
        <v>80.067996</v>
      </c>
      <c r="F16149" s="1">
        <v>2846.0</v>
      </c>
      <c r="G16149" s="1">
        <v>47.0</v>
      </c>
    </row>
    <row r="16150">
      <c r="A16150" s="1" t="s">
        <v>8</v>
      </c>
      <c r="B16150" s="2">
        <v>44785.0</v>
      </c>
      <c r="C16150" s="3">
        <v>0.344375</v>
      </c>
      <c r="D16150" s="1">
        <v>12.921143</v>
      </c>
      <c r="E16150" s="1">
        <v>80.112347</v>
      </c>
      <c r="F16150" s="1">
        <v>5339.0</v>
      </c>
      <c r="G16150" s="1">
        <v>32.0</v>
      </c>
    </row>
    <row r="16151">
      <c r="A16151" s="1" t="s">
        <v>8</v>
      </c>
      <c r="B16151" s="2">
        <v>44785.0</v>
      </c>
      <c r="C16151" s="3">
        <v>0.34447916666666667</v>
      </c>
      <c r="D16151" s="1">
        <v>12.920464</v>
      </c>
      <c r="E16151" s="1">
        <v>80.111636</v>
      </c>
      <c r="F16151" s="1">
        <v>5339.0</v>
      </c>
      <c r="G16151" s="1">
        <v>45.0</v>
      </c>
    </row>
    <row r="16152">
      <c r="A16152" s="1" t="s">
        <v>9</v>
      </c>
      <c r="B16152" s="2">
        <v>44785.0</v>
      </c>
      <c r="C16152" s="3">
        <v>0.34456018518518516</v>
      </c>
      <c r="D16152" s="1">
        <v>12.919713</v>
      </c>
      <c r="E16152" s="1">
        <v>80.110808</v>
      </c>
      <c r="F16152" s="1">
        <v>5339.0</v>
      </c>
      <c r="G16152" s="1">
        <v>42.0</v>
      </c>
    </row>
    <row r="16153">
      <c r="A16153" s="1" t="s">
        <v>8</v>
      </c>
      <c r="B16153" s="2">
        <v>44785.0</v>
      </c>
      <c r="C16153" s="3">
        <v>0.3447222222222222</v>
      </c>
      <c r="D16153" s="1">
        <v>12.860185</v>
      </c>
      <c r="E16153" s="1">
        <v>80.07223</v>
      </c>
      <c r="F16153" s="1">
        <v>2846.0</v>
      </c>
      <c r="G16153" s="1">
        <v>50.0</v>
      </c>
    </row>
    <row r="16154">
      <c r="A16154" s="1" t="s">
        <v>8</v>
      </c>
      <c r="B16154" s="2">
        <v>44785.0</v>
      </c>
      <c r="C16154" s="3">
        <v>0.3447453703703704</v>
      </c>
      <c r="D16154" s="1">
        <v>12.918488</v>
      </c>
      <c r="E16154" s="1">
        <v>80.109251</v>
      </c>
      <c r="F16154" s="1">
        <v>5339.0</v>
      </c>
      <c r="G16154" s="1">
        <v>34.0</v>
      </c>
    </row>
    <row r="16155">
      <c r="A16155" s="1" t="s">
        <v>8</v>
      </c>
      <c r="B16155" s="2">
        <v>44785.0</v>
      </c>
      <c r="C16155" s="3">
        <v>0.34476851851851853</v>
      </c>
      <c r="D16155" s="1">
        <v>12.918488</v>
      </c>
      <c r="E16155" s="1">
        <v>80.109251</v>
      </c>
      <c r="F16155" s="1">
        <v>5339.0</v>
      </c>
      <c r="G16155" s="1">
        <v>34.0</v>
      </c>
    </row>
    <row r="16156">
      <c r="A16156" s="1" t="s">
        <v>7</v>
      </c>
      <c r="B16156" s="2">
        <v>44785.0</v>
      </c>
      <c r="C16156" s="3">
        <v>0.3448611111111111</v>
      </c>
      <c r="D16156" s="1">
        <v>12.861252</v>
      </c>
      <c r="E16156" s="1">
        <v>80.07291</v>
      </c>
      <c r="F16156" s="1">
        <v>2846.0</v>
      </c>
      <c r="G16156" s="1">
        <v>49.0</v>
      </c>
    </row>
    <row r="16157">
      <c r="A16157" s="1" t="s">
        <v>8</v>
      </c>
      <c r="B16157" s="2">
        <v>44785.0</v>
      </c>
      <c r="C16157" s="3">
        <v>0.34550925925925924</v>
      </c>
      <c r="D16157" s="1">
        <v>12.916656</v>
      </c>
      <c r="E16157" s="1">
        <v>80.106631</v>
      </c>
      <c r="F16157" s="1">
        <v>5339.0</v>
      </c>
      <c r="G16157" s="1">
        <v>40.0</v>
      </c>
    </row>
    <row r="16158">
      <c r="A16158" s="1" t="s">
        <v>8</v>
      </c>
      <c r="B16158" s="2">
        <v>44785.0</v>
      </c>
      <c r="C16158" s="3">
        <v>0.3458449074074074</v>
      </c>
      <c r="D16158" s="1">
        <v>12.914646</v>
      </c>
      <c r="E16158" s="1">
        <v>80.102973</v>
      </c>
      <c r="F16158" s="1">
        <v>5339.0</v>
      </c>
      <c r="G16158" s="1">
        <v>55.0</v>
      </c>
    </row>
    <row r="16159">
      <c r="A16159" s="1" t="s">
        <v>8</v>
      </c>
      <c r="B16159" s="2">
        <v>44785.0</v>
      </c>
      <c r="C16159" s="3">
        <v>0.34596064814814814</v>
      </c>
      <c r="D16159" s="1">
        <v>12.9346</v>
      </c>
      <c r="E16159" s="1">
        <v>80.125798</v>
      </c>
      <c r="F16159" s="1">
        <v>805.0</v>
      </c>
      <c r="G16159" s="1">
        <v>46.0</v>
      </c>
    </row>
    <row r="16160">
      <c r="A16160" s="1" t="s">
        <v>8</v>
      </c>
      <c r="B16160" s="2">
        <v>44785.0</v>
      </c>
      <c r="C16160" s="3">
        <v>0.3460648148148148</v>
      </c>
      <c r="D16160" s="1">
        <v>12.933642</v>
      </c>
      <c r="E16160" s="1">
        <v>80.124886</v>
      </c>
      <c r="F16160" s="1">
        <v>805.0</v>
      </c>
      <c r="G16160" s="1">
        <v>54.0</v>
      </c>
    </row>
    <row r="16161">
      <c r="A16161" s="1" t="s">
        <v>10</v>
      </c>
      <c r="B16161" s="2">
        <v>44785.0</v>
      </c>
      <c r="C16161" s="3">
        <v>0.3471412037037037</v>
      </c>
      <c r="D16161" s="1">
        <v>12.879254</v>
      </c>
      <c r="E16161" s="1">
        <v>80.080013</v>
      </c>
      <c r="F16161" s="1">
        <v>2846.0</v>
      </c>
      <c r="G16161" s="1">
        <v>5.0</v>
      </c>
    </row>
    <row r="16162">
      <c r="A16162" s="1" t="s">
        <v>7</v>
      </c>
      <c r="B16162" s="2">
        <v>44785.0</v>
      </c>
      <c r="C16162" s="3">
        <v>0.3471875</v>
      </c>
      <c r="D16162" s="1">
        <v>12.930224</v>
      </c>
      <c r="E16162" s="1">
        <v>80.12151</v>
      </c>
      <c r="F16162" s="1">
        <v>805.0</v>
      </c>
      <c r="G16162" s="1">
        <v>51.0</v>
      </c>
    </row>
    <row r="16163">
      <c r="A16163" s="1" t="s">
        <v>8</v>
      </c>
      <c r="B16163" s="2">
        <v>44785.0</v>
      </c>
      <c r="C16163" s="3">
        <v>0.34724537037037034</v>
      </c>
      <c r="D16163" s="1">
        <v>12.92256</v>
      </c>
      <c r="E16163" s="1">
        <v>80.136491</v>
      </c>
      <c r="F16163" s="1">
        <v>3143.0</v>
      </c>
      <c r="G16163" s="1">
        <v>23.0</v>
      </c>
    </row>
    <row r="16164">
      <c r="A16164" s="1" t="s">
        <v>8</v>
      </c>
      <c r="B16164" s="2">
        <v>44785.0</v>
      </c>
      <c r="C16164" s="3">
        <v>0.3474189814814815</v>
      </c>
      <c r="D16164" s="1">
        <v>12.928209</v>
      </c>
      <c r="E16164" s="1">
        <v>80.119409</v>
      </c>
      <c r="F16164" s="1">
        <v>805.0</v>
      </c>
      <c r="G16164" s="1">
        <v>54.0</v>
      </c>
    </row>
    <row r="16165">
      <c r="A16165" s="1" t="s">
        <v>7</v>
      </c>
      <c r="B16165" s="2">
        <v>44785.0</v>
      </c>
      <c r="C16165" s="3">
        <v>0.34792824074074075</v>
      </c>
      <c r="D16165" s="1">
        <v>12.925043</v>
      </c>
      <c r="E16165" s="1">
        <v>80.116236</v>
      </c>
      <c r="F16165" s="1">
        <v>805.0</v>
      </c>
      <c r="G16165" s="1">
        <v>0.0</v>
      </c>
    </row>
    <row r="16166">
      <c r="A16166" s="1" t="s">
        <v>7</v>
      </c>
      <c r="B16166" s="2">
        <v>44785.0</v>
      </c>
      <c r="C16166" s="3">
        <v>0.3482060185185185</v>
      </c>
      <c r="D16166" s="1">
        <v>12.922752</v>
      </c>
      <c r="E16166" s="1">
        <v>80.113938</v>
      </c>
      <c r="F16166" s="1">
        <v>805.0</v>
      </c>
      <c r="G16166" s="1">
        <v>58.0</v>
      </c>
    </row>
    <row r="16167">
      <c r="A16167" s="1" t="s">
        <v>8</v>
      </c>
      <c r="B16167" s="2">
        <v>44785.0</v>
      </c>
      <c r="C16167" s="3">
        <v>0.34822916666666665</v>
      </c>
      <c r="D16167" s="1">
        <v>12.90169</v>
      </c>
      <c r="E16167" s="1">
        <v>80.092806</v>
      </c>
      <c r="F16167" s="1">
        <v>5339.0</v>
      </c>
      <c r="G16167" s="1">
        <v>53.0</v>
      </c>
    </row>
    <row r="16168">
      <c r="A16168" s="1" t="s">
        <v>8</v>
      </c>
      <c r="B16168" s="2">
        <v>44785.0</v>
      </c>
      <c r="C16168" s="3">
        <v>0.34836805555555556</v>
      </c>
      <c r="D16168" s="1">
        <v>12.900666</v>
      </c>
      <c r="E16168" s="1">
        <v>80.092037</v>
      </c>
      <c r="F16168" s="1">
        <v>5339.0</v>
      </c>
      <c r="G16168" s="1">
        <v>49.0</v>
      </c>
    </row>
    <row r="16169">
      <c r="A16169" s="1" t="s">
        <v>7</v>
      </c>
      <c r="B16169" s="2">
        <v>44785.0</v>
      </c>
      <c r="C16169" s="3">
        <v>0.3485416666666667</v>
      </c>
      <c r="D16169" s="1">
        <v>12.919608</v>
      </c>
      <c r="E16169" s="1">
        <v>80.110608</v>
      </c>
      <c r="F16169" s="1">
        <v>805.0</v>
      </c>
      <c r="G16169" s="1">
        <v>57.0</v>
      </c>
    </row>
    <row r="16170">
      <c r="A16170" s="1" t="s">
        <v>8</v>
      </c>
      <c r="B16170" s="2">
        <v>44785.0</v>
      </c>
      <c r="C16170" s="3">
        <v>0.3489351851851852</v>
      </c>
      <c r="D16170" s="1">
        <v>12.896596</v>
      </c>
      <c r="E16170" s="1">
        <v>80.088948</v>
      </c>
      <c r="F16170" s="1">
        <v>5339.0</v>
      </c>
      <c r="G16170" s="1">
        <v>35.0</v>
      </c>
    </row>
    <row r="16171">
      <c r="A16171" s="1" t="s">
        <v>8</v>
      </c>
      <c r="B16171" s="2">
        <v>44785.0</v>
      </c>
      <c r="C16171" s="3">
        <v>0.3495138888888889</v>
      </c>
      <c r="D16171" s="1">
        <v>12.918682</v>
      </c>
      <c r="E16171" s="1">
        <v>80.109459</v>
      </c>
      <c r="F16171" s="1">
        <v>805.0</v>
      </c>
      <c r="G16171" s="1">
        <v>58.0</v>
      </c>
    </row>
    <row r="16172">
      <c r="A16172" s="1" t="s">
        <v>8</v>
      </c>
      <c r="B16172" s="2">
        <v>44785.0</v>
      </c>
      <c r="C16172" s="3">
        <v>0.34956018518518517</v>
      </c>
      <c r="D16172" s="1">
        <v>12.922983</v>
      </c>
      <c r="E16172" s="1">
        <v>80.12649</v>
      </c>
      <c r="F16172" s="1">
        <v>3143.0</v>
      </c>
      <c r="G16172" s="1">
        <v>37.0</v>
      </c>
    </row>
    <row r="16173">
      <c r="A16173" s="1" t="s">
        <v>7</v>
      </c>
      <c r="B16173" s="2">
        <v>44785.0</v>
      </c>
      <c r="C16173" s="3">
        <v>0.349837962962963</v>
      </c>
      <c r="D16173" s="1">
        <v>12.891149</v>
      </c>
      <c r="E16173" s="1">
        <v>80.085092</v>
      </c>
      <c r="F16173" s="1">
        <v>5339.0</v>
      </c>
      <c r="G16173" s="1">
        <v>58.0</v>
      </c>
    </row>
    <row r="16174">
      <c r="A16174" s="1" t="s">
        <v>8</v>
      </c>
      <c r="B16174" s="2">
        <v>44785.0</v>
      </c>
      <c r="C16174" s="3">
        <v>0.35042824074074075</v>
      </c>
      <c r="D16174" s="1">
        <v>12.882461</v>
      </c>
      <c r="E16174" s="1">
        <v>80.081669</v>
      </c>
      <c r="F16174" s="1">
        <v>5339.0</v>
      </c>
      <c r="G16174" s="1">
        <v>54.0</v>
      </c>
    </row>
    <row r="16175">
      <c r="A16175" s="1" t="s">
        <v>8</v>
      </c>
      <c r="B16175" s="2">
        <v>44785.0</v>
      </c>
      <c r="C16175" s="3">
        <v>0.35042824074074075</v>
      </c>
      <c r="D16175" s="1">
        <v>12.923396</v>
      </c>
      <c r="E16175" s="1">
        <v>80.119223</v>
      </c>
      <c r="F16175" s="1">
        <v>3143.0</v>
      </c>
      <c r="G16175" s="1">
        <v>35.0</v>
      </c>
    </row>
    <row r="16176">
      <c r="A16176" s="1" t="s">
        <v>8</v>
      </c>
      <c r="B16176" s="2">
        <v>44785.0</v>
      </c>
      <c r="C16176" s="3">
        <v>0.35083333333333333</v>
      </c>
      <c r="D16176" s="1">
        <v>12.906949</v>
      </c>
      <c r="E16176" s="1">
        <v>80.096881</v>
      </c>
      <c r="F16176" s="1">
        <v>805.0</v>
      </c>
      <c r="G16176" s="1">
        <v>37.0</v>
      </c>
    </row>
    <row r="16177">
      <c r="A16177" s="1" t="s">
        <v>8</v>
      </c>
      <c r="B16177" s="2">
        <v>44785.0</v>
      </c>
      <c r="C16177" s="3">
        <v>0.3515509259259259</v>
      </c>
      <c r="D16177" s="1">
        <v>12.90489</v>
      </c>
      <c r="E16177" s="1">
        <v>80.095406</v>
      </c>
      <c r="F16177" s="1">
        <v>805.0</v>
      </c>
      <c r="G16177" s="1">
        <v>26.0</v>
      </c>
    </row>
    <row r="16178">
      <c r="A16178" s="1" t="s">
        <v>7</v>
      </c>
      <c r="B16178" s="2">
        <v>44785.0</v>
      </c>
      <c r="C16178" s="3">
        <v>0.3515740740740741</v>
      </c>
      <c r="D16178" s="1">
        <v>12.921215</v>
      </c>
      <c r="E16178" s="1">
        <v>80.112522</v>
      </c>
      <c r="F16178" s="1">
        <v>3143.0</v>
      </c>
      <c r="G16178" s="1">
        <v>49.0</v>
      </c>
    </row>
    <row r="16179">
      <c r="A16179" s="1" t="s">
        <v>7</v>
      </c>
      <c r="B16179" s="2">
        <v>44785.0</v>
      </c>
      <c r="C16179" s="3">
        <v>0.35162037037037036</v>
      </c>
      <c r="D16179" s="1">
        <v>12.921215</v>
      </c>
      <c r="E16179" s="1">
        <v>80.112522</v>
      </c>
      <c r="F16179" s="1">
        <v>3143.0</v>
      </c>
      <c r="G16179" s="1">
        <v>49.0</v>
      </c>
    </row>
    <row r="16180">
      <c r="A16180" s="1" t="s">
        <v>7</v>
      </c>
      <c r="B16180" s="2">
        <v>44785.0</v>
      </c>
      <c r="C16180" s="3">
        <v>0.3517476851851852</v>
      </c>
      <c r="D16180" s="1">
        <v>12.920339</v>
      </c>
      <c r="E16180" s="1">
        <v>80.111495</v>
      </c>
      <c r="F16180" s="1">
        <v>3143.0</v>
      </c>
      <c r="G16180" s="1">
        <v>57.0</v>
      </c>
    </row>
    <row r="16181">
      <c r="A16181" s="1" t="s">
        <v>8</v>
      </c>
      <c r="B16181" s="2">
        <v>44785.0</v>
      </c>
      <c r="C16181" s="3">
        <v>0.3517824074074074</v>
      </c>
      <c r="D16181" s="1">
        <v>12.903771</v>
      </c>
      <c r="E16181" s="1">
        <v>80.09451</v>
      </c>
      <c r="F16181" s="1">
        <v>805.0</v>
      </c>
      <c r="G16181" s="1">
        <v>28.0</v>
      </c>
    </row>
    <row r="16182">
      <c r="A16182" s="1" t="s">
        <v>8</v>
      </c>
      <c r="B16182" s="2">
        <v>44785.0</v>
      </c>
      <c r="C16182" s="3">
        <v>0.35185185185185186</v>
      </c>
      <c r="D16182" s="1">
        <v>12.903771</v>
      </c>
      <c r="E16182" s="1">
        <v>80.09451</v>
      </c>
      <c r="F16182" s="1">
        <v>805.0</v>
      </c>
      <c r="G16182" s="1">
        <v>28.0</v>
      </c>
    </row>
    <row r="16183">
      <c r="A16183" s="1" t="s">
        <v>8</v>
      </c>
      <c r="B16183" s="2">
        <v>44785.0</v>
      </c>
      <c r="C16183" s="3">
        <v>0.35216435185185185</v>
      </c>
      <c r="D16183" s="1">
        <v>12.916814</v>
      </c>
      <c r="E16183" s="1">
        <v>80.106881</v>
      </c>
      <c r="F16183" s="1">
        <v>3143.0</v>
      </c>
      <c r="G16183" s="1">
        <v>53.0</v>
      </c>
    </row>
    <row r="16184">
      <c r="A16184" s="1" t="s">
        <v>7</v>
      </c>
      <c r="B16184" s="2">
        <v>44785.0</v>
      </c>
      <c r="C16184" s="3">
        <v>0.35225694444444444</v>
      </c>
      <c r="D16184" s="1">
        <v>12.916184</v>
      </c>
      <c r="E16184" s="1">
        <v>80.105785</v>
      </c>
      <c r="F16184" s="1">
        <v>3143.0</v>
      </c>
      <c r="G16184" s="1">
        <v>48.0</v>
      </c>
    </row>
    <row r="16185">
      <c r="A16185" s="1" t="s">
        <v>8</v>
      </c>
      <c r="B16185" s="2">
        <v>44785.0</v>
      </c>
      <c r="C16185" s="3">
        <v>0.35247685185185185</v>
      </c>
      <c r="D16185" s="1">
        <v>12.898282</v>
      </c>
      <c r="E16185" s="1">
        <v>80.090237</v>
      </c>
      <c r="F16185" s="1">
        <v>805.0</v>
      </c>
      <c r="G16185" s="1">
        <v>58.0</v>
      </c>
    </row>
    <row r="16186">
      <c r="A16186" s="1" t="s">
        <v>8</v>
      </c>
      <c r="B16186" s="2">
        <v>44785.0</v>
      </c>
      <c r="C16186" s="3">
        <v>0.3525</v>
      </c>
      <c r="D16186" s="1">
        <v>12.914913</v>
      </c>
      <c r="E16186" s="1">
        <v>80.103337</v>
      </c>
      <c r="F16186" s="1">
        <v>3143.0</v>
      </c>
      <c r="G16186" s="1">
        <v>54.0</v>
      </c>
    </row>
    <row r="16187">
      <c r="A16187" s="1" t="s">
        <v>8</v>
      </c>
      <c r="B16187" s="2">
        <v>44785.0</v>
      </c>
      <c r="C16187" s="3">
        <v>0.3526736111111111</v>
      </c>
      <c r="D16187" s="1">
        <v>12.896505</v>
      </c>
      <c r="E16187" s="1">
        <v>80.088905</v>
      </c>
      <c r="F16187" s="1">
        <v>805.0</v>
      </c>
      <c r="G16187" s="1">
        <v>44.0</v>
      </c>
    </row>
    <row r="16188">
      <c r="A16188" s="1" t="s">
        <v>8</v>
      </c>
      <c r="B16188" s="2">
        <v>44785.0</v>
      </c>
      <c r="C16188" s="3">
        <v>0.3527546296296296</v>
      </c>
      <c r="D16188" s="1">
        <v>12.913717</v>
      </c>
      <c r="E16188" s="1">
        <v>80.101812</v>
      </c>
      <c r="F16188" s="1">
        <v>3143.0</v>
      </c>
      <c r="G16188" s="1">
        <v>35.0</v>
      </c>
    </row>
    <row r="16189">
      <c r="A16189" s="1" t="s">
        <v>8</v>
      </c>
      <c r="B16189" s="2">
        <v>44785.0</v>
      </c>
      <c r="C16189" s="3">
        <v>0.3528587962962963</v>
      </c>
      <c r="D16189" s="1">
        <v>12.895529</v>
      </c>
      <c r="E16189" s="1">
        <v>80.088192</v>
      </c>
      <c r="F16189" s="1">
        <v>805.0</v>
      </c>
      <c r="G16189" s="1">
        <v>48.0</v>
      </c>
    </row>
    <row r="16190">
      <c r="A16190" s="1" t="s">
        <v>7</v>
      </c>
      <c r="B16190" s="2">
        <v>44785.0</v>
      </c>
      <c r="C16190" s="3">
        <v>0.35346064814814815</v>
      </c>
      <c r="D16190" s="1">
        <v>12.890799</v>
      </c>
      <c r="E16190" s="1">
        <v>80.084978</v>
      </c>
      <c r="F16190" s="1">
        <v>805.0</v>
      </c>
      <c r="G16190" s="1">
        <v>47.0</v>
      </c>
    </row>
    <row r="16191">
      <c r="A16191" s="1" t="s">
        <v>8</v>
      </c>
      <c r="B16191" s="2">
        <v>44785.0</v>
      </c>
      <c r="C16191" s="3">
        <v>0.35390046296296296</v>
      </c>
      <c r="D16191" s="1">
        <v>12.886086</v>
      </c>
      <c r="E16191" s="1">
        <v>80.083022</v>
      </c>
      <c r="F16191" s="1">
        <v>805.0</v>
      </c>
      <c r="G16191" s="1">
        <v>52.0</v>
      </c>
    </row>
    <row r="16192">
      <c r="A16192" s="1" t="s">
        <v>8</v>
      </c>
      <c r="B16192" s="2">
        <v>44785.0</v>
      </c>
      <c r="C16192" s="3">
        <v>0.35408564814814814</v>
      </c>
      <c r="D16192" s="1">
        <v>12.883844</v>
      </c>
      <c r="E16192" s="1">
        <v>80.082216</v>
      </c>
      <c r="F16192" s="1">
        <v>805.0</v>
      </c>
      <c r="G16192" s="1">
        <v>45.0</v>
      </c>
    </row>
    <row r="16193">
      <c r="A16193" s="1" t="s">
        <v>8</v>
      </c>
      <c r="B16193" s="2">
        <v>44785.0</v>
      </c>
      <c r="C16193" s="3">
        <v>0.3551273148148148</v>
      </c>
      <c r="D16193" s="1">
        <v>12.904142</v>
      </c>
      <c r="E16193" s="1">
        <v>80.094772</v>
      </c>
      <c r="F16193" s="1">
        <v>3143.0</v>
      </c>
      <c r="G16193" s="1">
        <v>38.0</v>
      </c>
    </row>
    <row r="16194">
      <c r="A16194" s="1" t="s">
        <v>8</v>
      </c>
      <c r="B16194" s="2">
        <v>44785.0</v>
      </c>
      <c r="C16194" s="3">
        <v>0.3551388888888889</v>
      </c>
      <c r="D16194" s="1">
        <v>12.901293</v>
      </c>
      <c r="E16194" s="1">
        <v>80.092511</v>
      </c>
      <c r="F16194" s="1">
        <v>3143.0</v>
      </c>
      <c r="G16194" s="1">
        <v>55.0</v>
      </c>
    </row>
    <row r="16195">
      <c r="A16195" s="1" t="s">
        <v>7</v>
      </c>
      <c r="B16195" s="2">
        <v>44785.0</v>
      </c>
      <c r="C16195" s="3">
        <v>0.3559027777777778</v>
      </c>
      <c r="D16195" s="1">
        <v>12.896034</v>
      </c>
      <c r="E16195" s="1">
        <v>80.088546</v>
      </c>
      <c r="F16195" s="1">
        <v>3143.0</v>
      </c>
      <c r="G16195" s="1">
        <v>46.0</v>
      </c>
    </row>
    <row r="16196">
      <c r="A16196" s="1" t="s">
        <v>8</v>
      </c>
      <c r="B16196" s="2">
        <v>44785.0</v>
      </c>
      <c r="C16196" s="3">
        <v>0.3560069444444444</v>
      </c>
      <c r="D16196" s="1">
        <v>12.89504</v>
      </c>
      <c r="E16196" s="1">
        <v>80.087781</v>
      </c>
      <c r="F16196" s="1">
        <v>3143.0</v>
      </c>
      <c r="G16196" s="1">
        <v>52.0</v>
      </c>
    </row>
    <row r="16197">
      <c r="A16197" s="1" t="s">
        <v>7</v>
      </c>
      <c r="B16197" s="2">
        <v>44785.0</v>
      </c>
      <c r="C16197" s="3">
        <v>0.35627314814814814</v>
      </c>
      <c r="D16197" s="1">
        <v>12.892982</v>
      </c>
      <c r="E16197" s="1">
        <v>80.086211</v>
      </c>
      <c r="F16197" s="1">
        <v>3143.0</v>
      </c>
      <c r="G16197" s="1">
        <v>50.0</v>
      </c>
    </row>
    <row r="16198">
      <c r="A16198" s="1" t="s">
        <v>8</v>
      </c>
      <c r="B16198" s="2">
        <v>44785.0</v>
      </c>
      <c r="C16198" s="3">
        <v>0.3567476851851852</v>
      </c>
      <c r="D16198" s="1">
        <v>12.886539</v>
      </c>
      <c r="E16198" s="1">
        <v>80.083218</v>
      </c>
      <c r="F16198" s="1">
        <v>3143.0</v>
      </c>
      <c r="G16198" s="1">
        <v>50.0</v>
      </c>
    </row>
    <row r="16199">
      <c r="A16199" s="1" t="s">
        <v>10</v>
      </c>
      <c r="B16199" s="2">
        <v>44785.0</v>
      </c>
      <c r="C16199" s="3">
        <v>0.3594675925925926</v>
      </c>
      <c r="D16199" s="1">
        <v>12.875901</v>
      </c>
      <c r="E16199" s="1">
        <v>80.08365</v>
      </c>
      <c r="F16199" s="1">
        <v>805.0</v>
      </c>
      <c r="G16199" s="1">
        <v>0.0</v>
      </c>
    </row>
    <row r="16200">
      <c r="A16200" s="1" t="s">
        <v>7</v>
      </c>
      <c r="B16200" s="2">
        <v>44785.0</v>
      </c>
      <c r="C16200" s="3">
        <v>0.36018518518518516</v>
      </c>
      <c r="D16200" s="1">
        <v>12.878663</v>
      </c>
      <c r="E16200" s="1">
        <v>80.081673</v>
      </c>
      <c r="F16200" s="1">
        <v>3143.0</v>
      </c>
      <c r="G16200" s="1">
        <v>40.0</v>
      </c>
    </row>
    <row r="16201">
      <c r="A16201" s="1" t="s">
        <v>10</v>
      </c>
      <c r="B16201" s="2">
        <v>44785.0</v>
      </c>
      <c r="C16201" s="3">
        <v>0.3613078703703704</v>
      </c>
      <c r="D16201" s="1">
        <v>12.876795</v>
      </c>
      <c r="E16201" s="1">
        <v>80.084452</v>
      </c>
      <c r="F16201" s="1">
        <v>3143.0</v>
      </c>
      <c r="G16201" s="1">
        <v>16.0</v>
      </c>
    </row>
    <row r="16202">
      <c r="A16202" s="1" t="s">
        <v>10</v>
      </c>
      <c r="B16202" s="2">
        <v>44785.0</v>
      </c>
      <c r="C16202" s="3">
        <v>0.6107175925925926</v>
      </c>
      <c r="D16202" s="1">
        <v>12.875822</v>
      </c>
      <c r="E16202" s="1">
        <v>80.083795</v>
      </c>
      <c r="F16202" s="1">
        <v>5339.0</v>
      </c>
      <c r="G16202" s="1">
        <v>11.0</v>
      </c>
    </row>
    <row r="16203">
      <c r="A16203" s="1" t="s">
        <v>10</v>
      </c>
      <c r="B16203" s="2">
        <v>44785.0</v>
      </c>
      <c r="C16203" s="3">
        <v>0.6107523148148148</v>
      </c>
      <c r="D16203" s="1">
        <v>12.875822</v>
      </c>
      <c r="E16203" s="1">
        <v>80.083795</v>
      </c>
      <c r="F16203" s="1">
        <v>5339.0</v>
      </c>
      <c r="G16203" s="1">
        <v>11.0</v>
      </c>
    </row>
    <row r="16204">
      <c r="A16204" s="1" t="s">
        <v>10</v>
      </c>
      <c r="B16204" s="2">
        <v>44785.0</v>
      </c>
      <c r="C16204" s="3">
        <v>0.6116782407407407</v>
      </c>
      <c r="D16204" s="1">
        <v>12.875396</v>
      </c>
      <c r="E16204" s="1">
        <v>80.084691</v>
      </c>
      <c r="F16204" s="1">
        <v>5339.0</v>
      </c>
      <c r="G16204" s="1">
        <v>4.0</v>
      </c>
    </row>
    <row r="16205">
      <c r="A16205" s="1" t="s">
        <v>10</v>
      </c>
      <c r="B16205" s="2">
        <v>44785.0</v>
      </c>
      <c r="C16205" s="3">
        <v>0.6541782407407407</v>
      </c>
      <c r="D16205" s="1">
        <v>12.874544</v>
      </c>
      <c r="E16205" s="1">
        <v>80.084379</v>
      </c>
      <c r="F16205" s="1">
        <v>5339.0</v>
      </c>
      <c r="G16205" s="1">
        <v>5.0</v>
      </c>
    </row>
    <row r="16206">
      <c r="A16206" s="1" t="s">
        <v>10</v>
      </c>
      <c r="B16206" s="2">
        <v>44785.0</v>
      </c>
      <c r="C16206" s="3">
        <v>0.688136574074074</v>
      </c>
      <c r="D16206" s="1">
        <v>12.875839</v>
      </c>
      <c r="E16206" s="1">
        <v>80.083792</v>
      </c>
      <c r="F16206" s="1">
        <v>805.0</v>
      </c>
      <c r="G16206" s="1">
        <v>1.0</v>
      </c>
    </row>
    <row r="16207">
      <c r="A16207" s="1" t="s">
        <v>9</v>
      </c>
      <c r="B16207" s="2">
        <v>44785.0</v>
      </c>
      <c r="C16207" s="3">
        <v>0.6919444444444445</v>
      </c>
      <c r="D16207" s="1">
        <v>12.879467</v>
      </c>
      <c r="E16207" s="1">
        <v>80.080088</v>
      </c>
      <c r="F16207" s="1">
        <v>805.0</v>
      </c>
      <c r="G16207" s="1">
        <v>22.0</v>
      </c>
    </row>
    <row r="16208">
      <c r="A16208" s="1" t="s">
        <v>9</v>
      </c>
      <c r="B16208" s="2">
        <v>44785.0</v>
      </c>
      <c r="C16208" s="3">
        <v>0.692037037037037</v>
      </c>
      <c r="D16208" s="1">
        <v>12.878937</v>
      </c>
      <c r="E16208" s="1">
        <v>80.080686</v>
      </c>
      <c r="F16208" s="1">
        <v>3143.0</v>
      </c>
      <c r="G16208" s="1">
        <v>14.0</v>
      </c>
    </row>
    <row r="16209">
      <c r="A16209" s="1" t="s">
        <v>8</v>
      </c>
      <c r="B16209" s="2">
        <v>44785.0</v>
      </c>
      <c r="C16209" s="3">
        <v>0.6923032407407408</v>
      </c>
      <c r="D16209" s="1">
        <v>12.881089</v>
      </c>
      <c r="E16209" s="1">
        <v>80.080621</v>
      </c>
      <c r="F16209" s="1">
        <v>805.0</v>
      </c>
      <c r="G16209" s="1">
        <v>13.0</v>
      </c>
    </row>
    <row r="16210">
      <c r="A16210" s="1" t="s">
        <v>8</v>
      </c>
      <c r="B16210" s="2">
        <v>44785.0</v>
      </c>
      <c r="C16210" s="3">
        <v>0.6923148148148148</v>
      </c>
      <c r="D16210" s="1">
        <v>12.881545</v>
      </c>
      <c r="E16210" s="1">
        <v>80.080725</v>
      </c>
      <c r="F16210" s="1">
        <v>805.0</v>
      </c>
      <c r="G16210" s="1">
        <v>29.0</v>
      </c>
    </row>
    <row r="16211">
      <c r="A16211" s="1" t="s">
        <v>8</v>
      </c>
      <c r="B16211" s="2">
        <v>44785.0</v>
      </c>
      <c r="C16211" s="3">
        <v>0.6923148148148148</v>
      </c>
      <c r="D16211" s="1">
        <v>12.881545</v>
      </c>
      <c r="E16211" s="1">
        <v>80.080725</v>
      </c>
      <c r="F16211" s="1">
        <v>805.0</v>
      </c>
      <c r="G16211" s="1">
        <v>29.0</v>
      </c>
    </row>
    <row r="16212">
      <c r="A16212" s="1" t="s">
        <v>7</v>
      </c>
      <c r="B16212" s="2">
        <v>44785.0</v>
      </c>
      <c r="C16212" s="3">
        <v>0.6924768518518518</v>
      </c>
      <c r="D16212" s="1">
        <v>12.87699</v>
      </c>
      <c r="E16212" s="1">
        <v>80.079523</v>
      </c>
      <c r="F16212" s="1">
        <v>2846.0</v>
      </c>
      <c r="G16212" s="1">
        <v>48.0</v>
      </c>
    </row>
    <row r="16213">
      <c r="A16213" s="1" t="s">
        <v>7</v>
      </c>
      <c r="B16213" s="2">
        <v>44785.0</v>
      </c>
      <c r="C16213" s="3">
        <v>0.6925578703703704</v>
      </c>
      <c r="D16213" s="1">
        <v>12.875633</v>
      </c>
      <c r="E16213" s="1">
        <v>80.079054</v>
      </c>
      <c r="F16213" s="1">
        <v>2846.0</v>
      </c>
      <c r="G16213" s="1">
        <v>58.0</v>
      </c>
    </row>
    <row r="16214">
      <c r="A16214" s="1" t="s">
        <v>7</v>
      </c>
      <c r="B16214" s="2">
        <v>44785.0</v>
      </c>
      <c r="C16214" s="3">
        <v>0.6925925925925925</v>
      </c>
      <c r="D16214" s="1">
        <v>12.875633</v>
      </c>
      <c r="E16214" s="1">
        <v>80.079054</v>
      </c>
      <c r="F16214" s="1">
        <v>2846.0</v>
      </c>
      <c r="G16214" s="1">
        <v>58.0</v>
      </c>
    </row>
    <row r="16215">
      <c r="A16215" s="1" t="s">
        <v>8</v>
      </c>
      <c r="B16215" s="2">
        <v>44785.0</v>
      </c>
      <c r="C16215" s="3">
        <v>0.6926851851851852</v>
      </c>
      <c r="D16215" s="1">
        <v>12.884174</v>
      </c>
      <c r="E16215" s="1">
        <v>80.081748</v>
      </c>
      <c r="F16215" s="1">
        <v>805.0</v>
      </c>
      <c r="G16215" s="1">
        <v>41.0</v>
      </c>
    </row>
    <row r="16216">
      <c r="A16216" s="1" t="s">
        <v>7</v>
      </c>
      <c r="B16216" s="2">
        <v>44785.0</v>
      </c>
      <c r="C16216" s="3">
        <v>0.6928935185185185</v>
      </c>
      <c r="D16216" s="1">
        <v>12.871642</v>
      </c>
      <c r="E16216" s="1">
        <v>80.077286</v>
      </c>
      <c r="F16216" s="1">
        <v>2846.0</v>
      </c>
      <c r="G16216" s="1">
        <v>57.0</v>
      </c>
    </row>
    <row r="16217">
      <c r="A16217" s="1" t="s">
        <v>8</v>
      </c>
      <c r="B16217" s="2">
        <v>44785.0</v>
      </c>
      <c r="C16217" s="3">
        <v>0.6930208333333333</v>
      </c>
      <c r="D16217" s="1">
        <v>12.887557</v>
      </c>
      <c r="E16217" s="1">
        <v>80.083473</v>
      </c>
      <c r="F16217" s="1">
        <v>805.0</v>
      </c>
      <c r="G16217" s="1">
        <v>56.0</v>
      </c>
    </row>
    <row r="16218">
      <c r="A16218" s="1" t="s">
        <v>8</v>
      </c>
      <c r="B16218" s="2">
        <v>44785.0</v>
      </c>
      <c r="C16218" s="3">
        <v>0.693125</v>
      </c>
      <c r="D16218" s="1">
        <v>12.871642</v>
      </c>
      <c r="E16218" s="1">
        <v>80.077286</v>
      </c>
      <c r="F16218" s="1">
        <v>2846.0</v>
      </c>
      <c r="G16218" s="1">
        <v>57.0</v>
      </c>
    </row>
    <row r="16219">
      <c r="A16219" s="1" t="s">
        <v>7</v>
      </c>
      <c r="B16219" s="2">
        <v>44785.0</v>
      </c>
      <c r="C16219" s="3">
        <v>0.6933564814814814</v>
      </c>
      <c r="D16219" s="1">
        <v>12.887272</v>
      </c>
      <c r="E16219" s="1">
        <v>80.083382</v>
      </c>
      <c r="F16219" s="1">
        <v>3143.0</v>
      </c>
      <c r="G16219" s="1">
        <v>53.0</v>
      </c>
    </row>
    <row r="16220">
      <c r="A16220" s="1" t="s">
        <v>7</v>
      </c>
      <c r="B16220" s="2">
        <v>44785.0</v>
      </c>
      <c r="C16220" s="3">
        <v>0.6934953703703703</v>
      </c>
      <c r="D16220" s="1">
        <v>12.866201</v>
      </c>
      <c r="E16220" s="1">
        <v>80.075174</v>
      </c>
      <c r="F16220" s="1">
        <v>2846.0</v>
      </c>
      <c r="G16220" s="1">
        <v>58.0</v>
      </c>
    </row>
    <row r="16221">
      <c r="A16221" s="1" t="s">
        <v>9</v>
      </c>
      <c r="B16221" s="2">
        <v>44785.0</v>
      </c>
      <c r="C16221" s="3">
        <v>0.6936111111111111</v>
      </c>
      <c r="D16221" s="1">
        <v>12.894033</v>
      </c>
      <c r="E16221" s="1">
        <v>80.086895</v>
      </c>
      <c r="F16221" s="1">
        <v>5339.0</v>
      </c>
      <c r="G16221" s="1">
        <v>53.0</v>
      </c>
    </row>
    <row r="16222">
      <c r="A16222" s="1" t="s">
        <v>7</v>
      </c>
      <c r="B16222" s="2">
        <v>44785.0</v>
      </c>
      <c r="C16222" s="3">
        <v>0.6936342592592593</v>
      </c>
      <c r="D16222" s="1">
        <v>12.893674</v>
      </c>
      <c r="E16222" s="1">
        <v>80.086611</v>
      </c>
      <c r="F16222" s="1">
        <v>805.0</v>
      </c>
      <c r="G16222" s="1">
        <v>55.0</v>
      </c>
    </row>
    <row r="16223">
      <c r="A16223" s="1" t="s">
        <v>9</v>
      </c>
      <c r="B16223" s="2">
        <v>44785.0</v>
      </c>
      <c r="C16223" s="3">
        <v>0.6936458333333333</v>
      </c>
      <c r="D16223" s="1">
        <v>12.895225</v>
      </c>
      <c r="E16223" s="1">
        <v>80.08778</v>
      </c>
      <c r="F16223" s="1">
        <v>5339.0</v>
      </c>
      <c r="G16223" s="1">
        <v>58.0</v>
      </c>
    </row>
    <row r="16224">
      <c r="A16224" s="1" t="s">
        <v>8</v>
      </c>
      <c r="B16224" s="2">
        <v>44785.0</v>
      </c>
      <c r="C16224" s="3">
        <v>0.6936805555555555</v>
      </c>
      <c r="D16224" s="1">
        <v>12.862174</v>
      </c>
      <c r="E16224" s="1">
        <v>80.07363</v>
      </c>
      <c r="F16224" s="1">
        <v>2846.0</v>
      </c>
      <c r="G16224" s="1">
        <v>56.0</v>
      </c>
    </row>
    <row r="16225">
      <c r="A16225" s="1" t="s">
        <v>8</v>
      </c>
      <c r="B16225" s="2">
        <v>44785.0</v>
      </c>
      <c r="C16225" s="3">
        <v>0.6939814814814815</v>
      </c>
      <c r="D16225" s="1">
        <v>12.897144</v>
      </c>
      <c r="E16225" s="1">
        <v>80.089222</v>
      </c>
      <c r="F16225" s="1">
        <v>805.0</v>
      </c>
      <c r="G16225" s="1">
        <v>46.0</v>
      </c>
    </row>
    <row r="16226">
      <c r="A16226" s="1" t="s">
        <v>8</v>
      </c>
      <c r="B16226" s="2">
        <v>44785.0</v>
      </c>
      <c r="C16226" s="3">
        <v>0.6941087962962963</v>
      </c>
      <c r="D16226" s="1">
        <v>12.898916</v>
      </c>
      <c r="E16226" s="1">
        <v>80.090538</v>
      </c>
      <c r="F16226" s="1">
        <v>5339.0</v>
      </c>
      <c r="G16226" s="1">
        <v>46.0</v>
      </c>
    </row>
    <row r="16227">
      <c r="A16227" s="1" t="s">
        <v>8</v>
      </c>
      <c r="B16227" s="2">
        <v>44785.0</v>
      </c>
      <c r="C16227" s="3">
        <v>0.694224537037037</v>
      </c>
      <c r="D16227" s="1">
        <v>12.899175</v>
      </c>
      <c r="E16227" s="1">
        <v>80.090734</v>
      </c>
      <c r="F16227" s="1">
        <v>805.0</v>
      </c>
      <c r="G16227" s="1">
        <v>55.0</v>
      </c>
    </row>
    <row r="16228">
      <c r="A16228" s="1" t="s">
        <v>7</v>
      </c>
      <c r="B16228" s="2">
        <v>44785.0</v>
      </c>
      <c r="C16228" s="3">
        <v>0.6944675925925926</v>
      </c>
      <c r="D16228" s="1">
        <v>12.902041</v>
      </c>
      <c r="E16228" s="1">
        <v>80.092927</v>
      </c>
      <c r="F16228" s="1">
        <v>5339.0</v>
      </c>
      <c r="G16228" s="1">
        <v>52.0</v>
      </c>
    </row>
    <row r="16229">
      <c r="A16229" s="1" t="s">
        <v>8</v>
      </c>
      <c r="B16229" s="2">
        <v>44785.0</v>
      </c>
      <c r="C16229" s="3">
        <v>0.6944791666666666</v>
      </c>
      <c r="D16229" s="1">
        <v>12.902041</v>
      </c>
      <c r="E16229" s="1">
        <v>80.092927</v>
      </c>
      <c r="F16229" s="1">
        <v>5339.0</v>
      </c>
      <c r="G16229" s="1">
        <v>52.0</v>
      </c>
    </row>
    <row r="16230">
      <c r="A16230" s="1" t="s">
        <v>8</v>
      </c>
      <c r="B16230" s="2">
        <v>44785.0</v>
      </c>
      <c r="C16230" s="3">
        <v>0.6945486111111111</v>
      </c>
      <c r="D16230" s="1">
        <v>12.903019</v>
      </c>
      <c r="E16230" s="1">
        <v>80.093703</v>
      </c>
      <c r="F16230" s="1">
        <v>5339.0</v>
      </c>
      <c r="G16230" s="1">
        <v>47.0</v>
      </c>
    </row>
    <row r="16231">
      <c r="A16231" s="1" t="s">
        <v>8</v>
      </c>
      <c r="B16231" s="2">
        <v>44785.0</v>
      </c>
      <c r="C16231" s="3">
        <v>0.6946064814814815</v>
      </c>
      <c r="D16231" s="1">
        <v>12.902285</v>
      </c>
      <c r="E16231" s="1">
        <v>80.093025</v>
      </c>
      <c r="F16231" s="1">
        <v>805.0</v>
      </c>
      <c r="G16231" s="1">
        <v>51.0</v>
      </c>
    </row>
    <row r="16232">
      <c r="A16232" s="1" t="s">
        <v>8</v>
      </c>
      <c r="B16232" s="2">
        <v>44785.0</v>
      </c>
      <c r="C16232" s="3">
        <v>0.6946296296296296</v>
      </c>
      <c r="D16232" s="1">
        <v>12.903332</v>
      </c>
      <c r="E16232" s="1">
        <v>80.093809</v>
      </c>
      <c r="F16232" s="1">
        <v>805.0</v>
      </c>
      <c r="G16232" s="1">
        <v>48.0</v>
      </c>
    </row>
    <row r="16233">
      <c r="A16233" s="1" t="s">
        <v>7</v>
      </c>
      <c r="B16233" s="2">
        <v>44785.0</v>
      </c>
      <c r="C16233" s="3">
        <v>0.6952546296296296</v>
      </c>
      <c r="D16233" s="1">
        <v>12.856614</v>
      </c>
      <c r="E16233" s="1">
        <v>80.06977</v>
      </c>
      <c r="F16233" s="1">
        <v>2846.0</v>
      </c>
      <c r="G16233" s="1">
        <v>57.0</v>
      </c>
    </row>
    <row r="16234">
      <c r="A16234" s="1" t="s">
        <v>7</v>
      </c>
      <c r="B16234" s="2">
        <v>44785.0</v>
      </c>
      <c r="C16234" s="3">
        <v>0.695462962962963</v>
      </c>
      <c r="D16234" s="1">
        <v>12.851937</v>
      </c>
      <c r="E16234" s="1">
        <v>80.066271</v>
      </c>
      <c r="F16234" s="1">
        <v>2846.0</v>
      </c>
      <c r="G16234" s="1">
        <v>54.0</v>
      </c>
    </row>
    <row r="16235">
      <c r="A16235" s="1" t="s">
        <v>8</v>
      </c>
      <c r="B16235" s="2">
        <v>44785.0</v>
      </c>
      <c r="C16235" s="3">
        <v>0.6954861111111111</v>
      </c>
      <c r="D16235" s="1">
        <v>12.90947</v>
      </c>
      <c r="E16235" s="1">
        <v>80.099073</v>
      </c>
      <c r="F16235" s="1">
        <v>5339.0</v>
      </c>
      <c r="G16235" s="1">
        <v>45.0</v>
      </c>
    </row>
    <row r="16236">
      <c r="A16236" s="1" t="s">
        <v>8</v>
      </c>
      <c r="B16236" s="2">
        <v>44785.0</v>
      </c>
      <c r="C16236" s="3">
        <v>0.6956712962962963</v>
      </c>
      <c r="D16236" s="1">
        <v>12.908783</v>
      </c>
      <c r="E16236" s="1">
        <v>80.098066</v>
      </c>
      <c r="F16236" s="1">
        <v>3143.0</v>
      </c>
      <c r="G16236" s="1">
        <v>18.0</v>
      </c>
    </row>
    <row r="16237">
      <c r="A16237" s="1" t="s">
        <v>8</v>
      </c>
      <c r="B16237" s="2">
        <v>44785.0</v>
      </c>
      <c r="C16237" s="3">
        <v>0.695775462962963</v>
      </c>
      <c r="D16237" s="1">
        <v>12.908917</v>
      </c>
      <c r="E16237" s="1">
        <v>80.098256</v>
      </c>
      <c r="F16237" s="1">
        <v>3143.0</v>
      </c>
      <c r="G16237" s="1">
        <v>0.0</v>
      </c>
    </row>
    <row r="16238">
      <c r="A16238" s="1" t="s">
        <v>8</v>
      </c>
      <c r="B16238" s="2">
        <v>44785.0</v>
      </c>
      <c r="C16238" s="3">
        <v>0.695925925925926</v>
      </c>
      <c r="D16238" s="1">
        <v>12.908917</v>
      </c>
      <c r="E16238" s="1">
        <v>80.098256</v>
      </c>
      <c r="F16238" s="1">
        <v>3143.0</v>
      </c>
      <c r="G16238" s="1">
        <v>0.0</v>
      </c>
    </row>
    <row r="16239">
      <c r="A16239" s="1" t="s">
        <v>8</v>
      </c>
      <c r="B16239" s="2">
        <v>44785.0</v>
      </c>
      <c r="C16239" s="3">
        <v>0.6962847222222223</v>
      </c>
      <c r="D16239" s="1">
        <v>12.909383</v>
      </c>
      <c r="E16239" s="1">
        <v>80.098903</v>
      </c>
      <c r="F16239" s="1">
        <v>3143.0</v>
      </c>
      <c r="G16239" s="1">
        <v>34.0</v>
      </c>
    </row>
    <row r="16240">
      <c r="A16240" s="1" t="s">
        <v>8</v>
      </c>
      <c r="B16240" s="2">
        <v>44785.0</v>
      </c>
      <c r="C16240" s="3">
        <v>0.6964583333333333</v>
      </c>
      <c r="D16240" s="1">
        <v>12.910288</v>
      </c>
      <c r="E16240" s="1">
        <v>80.100372</v>
      </c>
      <c r="F16240" s="1">
        <v>3143.0</v>
      </c>
      <c r="G16240" s="1">
        <v>46.0</v>
      </c>
    </row>
    <row r="16241">
      <c r="A16241" s="1" t="s">
        <v>7</v>
      </c>
      <c r="B16241" s="2">
        <v>44785.0</v>
      </c>
      <c r="C16241" s="3">
        <v>0.6965972222222222</v>
      </c>
      <c r="D16241" s="1">
        <v>12.915745</v>
      </c>
      <c r="E16241" s="1">
        <v>80.1038</v>
      </c>
      <c r="F16241" s="1">
        <v>5339.0</v>
      </c>
      <c r="G16241" s="1">
        <v>58.0</v>
      </c>
    </row>
    <row r="16242">
      <c r="A16242" s="1" t="s">
        <v>8</v>
      </c>
      <c r="B16242" s="2">
        <v>44785.0</v>
      </c>
      <c r="C16242" s="3">
        <v>0.6966898148148148</v>
      </c>
      <c r="D16242" s="1">
        <v>12.911469</v>
      </c>
      <c r="E16242" s="1">
        <v>80.101263</v>
      </c>
      <c r="F16242" s="1">
        <v>3143.0</v>
      </c>
      <c r="G16242" s="1">
        <v>23.0</v>
      </c>
    </row>
    <row r="16243">
      <c r="A16243" s="1" t="s">
        <v>7</v>
      </c>
      <c r="B16243" s="2">
        <v>44785.0</v>
      </c>
      <c r="C16243" s="3">
        <v>0.6969444444444445</v>
      </c>
      <c r="D16243" s="1">
        <v>12.91466</v>
      </c>
      <c r="E16243" s="1">
        <v>80.101825</v>
      </c>
      <c r="F16243" s="1">
        <v>3143.0</v>
      </c>
      <c r="G16243" s="1">
        <v>49.0</v>
      </c>
    </row>
    <row r="16244">
      <c r="A16244" s="1" t="s">
        <v>8</v>
      </c>
      <c r="B16244" s="2">
        <v>44785.0</v>
      </c>
      <c r="C16244" s="3">
        <v>0.697025462962963</v>
      </c>
      <c r="D16244" s="1">
        <v>12.91466</v>
      </c>
      <c r="E16244" s="1">
        <v>80.101825</v>
      </c>
      <c r="F16244" s="1">
        <v>3143.0</v>
      </c>
      <c r="G16244" s="1">
        <v>49.0</v>
      </c>
    </row>
    <row r="16245">
      <c r="A16245" s="1" t="s">
        <v>8</v>
      </c>
      <c r="B16245" s="2">
        <v>44785.0</v>
      </c>
      <c r="C16245" s="3">
        <v>0.6971412037037037</v>
      </c>
      <c r="D16245" s="1">
        <v>12.91565</v>
      </c>
      <c r="E16245" s="1">
        <v>80.103292</v>
      </c>
      <c r="F16245" s="1">
        <v>3143.0</v>
      </c>
      <c r="G16245" s="1">
        <v>48.0</v>
      </c>
    </row>
    <row r="16246">
      <c r="A16246" s="1" t="s">
        <v>8</v>
      </c>
      <c r="B16246" s="2">
        <v>44785.0</v>
      </c>
      <c r="C16246" s="3">
        <v>0.6971643518518519</v>
      </c>
      <c r="D16246" s="1">
        <v>12.917396</v>
      </c>
      <c r="E16246" s="1">
        <v>80.107712</v>
      </c>
      <c r="F16246" s="1">
        <v>5339.0</v>
      </c>
      <c r="G16246" s="1">
        <v>29.0</v>
      </c>
    </row>
    <row r="16247">
      <c r="A16247" s="1" t="s">
        <v>8</v>
      </c>
      <c r="B16247" s="2">
        <v>44785.0</v>
      </c>
      <c r="C16247" s="3">
        <v>0.6973263888888889</v>
      </c>
      <c r="D16247" s="1">
        <v>12.911883</v>
      </c>
      <c r="E16247" s="1">
        <v>80.101346</v>
      </c>
      <c r="F16247" s="1">
        <v>805.0</v>
      </c>
      <c r="G16247" s="1">
        <v>21.0</v>
      </c>
    </row>
    <row r="16248">
      <c r="A16248" s="1" t="s">
        <v>8</v>
      </c>
      <c r="B16248" s="2">
        <v>44785.0</v>
      </c>
      <c r="C16248" s="3">
        <v>0.6973958333333333</v>
      </c>
      <c r="D16248" s="1">
        <v>12.918551</v>
      </c>
      <c r="E16248" s="1">
        <v>80.109159</v>
      </c>
      <c r="F16248" s="1">
        <v>5339.0</v>
      </c>
      <c r="G16248" s="1">
        <v>44.0</v>
      </c>
    </row>
    <row r="16249">
      <c r="A16249" s="1" t="s">
        <v>8</v>
      </c>
      <c r="B16249" s="2">
        <v>44785.0</v>
      </c>
      <c r="C16249" s="3">
        <v>0.6974189814814815</v>
      </c>
      <c r="D16249" s="1">
        <v>12.918551</v>
      </c>
      <c r="E16249" s="1">
        <v>80.109159</v>
      </c>
      <c r="F16249" s="1">
        <v>5339.0</v>
      </c>
      <c r="G16249" s="1">
        <v>44.0</v>
      </c>
    </row>
    <row r="16250">
      <c r="A16250" s="1" t="s">
        <v>7</v>
      </c>
      <c r="B16250" s="2">
        <v>44785.0</v>
      </c>
      <c r="C16250" s="3">
        <v>0.6975</v>
      </c>
      <c r="D16250" s="1">
        <v>12.919326</v>
      </c>
      <c r="E16250" s="1">
        <v>80.110108</v>
      </c>
      <c r="F16250" s="1">
        <v>5339.0</v>
      </c>
      <c r="G16250" s="1">
        <v>45.0</v>
      </c>
    </row>
    <row r="16251">
      <c r="A16251" s="1" t="s">
        <v>8</v>
      </c>
      <c r="B16251" s="2">
        <v>44785.0</v>
      </c>
      <c r="C16251" s="3">
        <v>0.6975347222222222</v>
      </c>
      <c r="D16251" s="1">
        <v>12.918875</v>
      </c>
      <c r="E16251" s="1">
        <v>80.109576</v>
      </c>
      <c r="F16251" s="1">
        <v>805.0</v>
      </c>
      <c r="G16251" s="1">
        <v>46.0</v>
      </c>
    </row>
    <row r="16252">
      <c r="A16252" s="1" t="s">
        <v>8</v>
      </c>
      <c r="B16252" s="2">
        <v>44785.0</v>
      </c>
      <c r="C16252" s="3">
        <v>0.697650462962963</v>
      </c>
      <c r="D16252" s="1">
        <v>12.919495</v>
      </c>
      <c r="E16252" s="1">
        <v>80.110344</v>
      </c>
      <c r="F16252" s="1">
        <v>805.0</v>
      </c>
      <c r="G16252" s="1">
        <v>32.0</v>
      </c>
    </row>
    <row r="16253">
      <c r="A16253" s="1" t="s">
        <v>8</v>
      </c>
      <c r="B16253" s="2">
        <v>44785.0</v>
      </c>
      <c r="C16253" s="3">
        <v>0.6979513888888889</v>
      </c>
      <c r="D16253" s="1">
        <v>12.91953</v>
      </c>
      <c r="E16253" s="1">
        <v>80.110391</v>
      </c>
      <c r="F16253" s="1">
        <v>3143.0</v>
      </c>
      <c r="G16253" s="1">
        <v>52.0</v>
      </c>
    </row>
    <row r="16254">
      <c r="A16254" s="1" t="s">
        <v>8</v>
      </c>
      <c r="B16254" s="2">
        <v>44785.0</v>
      </c>
      <c r="C16254" s="3">
        <v>0.6980555555555555</v>
      </c>
      <c r="D16254" s="1">
        <v>12.922014</v>
      </c>
      <c r="E16254" s="1">
        <v>80.113095</v>
      </c>
      <c r="F16254" s="1">
        <v>805.0</v>
      </c>
      <c r="G16254" s="1">
        <v>57.0</v>
      </c>
    </row>
    <row r="16255">
      <c r="A16255" s="1" t="s">
        <v>8</v>
      </c>
      <c r="B16255" s="2">
        <v>44785.0</v>
      </c>
      <c r="C16255" s="3">
        <v>0.6980555555555555</v>
      </c>
      <c r="D16255" s="1">
        <v>12.838275</v>
      </c>
      <c r="E16255" s="1">
        <v>80.053897</v>
      </c>
      <c r="F16255" s="1">
        <v>2846.0</v>
      </c>
      <c r="G16255" s="1">
        <v>54.0</v>
      </c>
    </row>
    <row r="16256">
      <c r="A16256" s="1" t="s">
        <v>8</v>
      </c>
      <c r="B16256" s="2">
        <v>44785.0</v>
      </c>
      <c r="C16256" s="3">
        <v>0.6982060185185185</v>
      </c>
      <c r="D16256" s="1">
        <v>12.923527</v>
      </c>
      <c r="E16256" s="1">
        <v>80.11459</v>
      </c>
      <c r="F16256" s="1">
        <v>805.0</v>
      </c>
      <c r="G16256" s="1">
        <v>30.0</v>
      </c>
    </row>
    <row r="16257">
      <c r="A16257" s="1" t="s">
        <v>8</v>
      </c>
      <c r="B16257" s="2">
        <v>44785.0</v>
      </c>
      <c r="C16257" s="3">
        <v>0.698287037037037</v>
      </c>
      <c r="D16257" s="1">
        <v>12.836258</v>
      </c>
      <c r="E16257" s="1">
        <v>80.051817</v>
      </c>
      <c r="F16257" s="1">
        <v>2846.0</v>
      </c>
      <c r="G16257" s="1">
        <v>55.0</v>
      </c>
    </row>
    <row r="16258">
      <c r="A16258" s="1" t="s">
        <v>8</v>
      </c>
      <c r="B16258" s="2">
        <v>44785.0</v>
      </c>
      <c r="C16258" s="3">
        <v>0.6983449074074074</v>
      </c>
      <c r="D16258" s="1">
        <v>12.835349</v>
      </c>
      <c r="E16258" s="1">
        <v>80.050841</v>
      </c>
      <c r="F16258" s="1">
        <v>2846.0</v>
      </c>
      <c r="G16258" s="1">
        <v>51.0</v>
      </c>
    </row>
    <row r="16259">
      <c r="A16259" s="1" t="s">
        <v>7</v>
      </c>
      <c r="B16259" s="2">
        <v>44785.0</v>
      </c>
      <c r="C16259" s="3">
        <v>0.6983564814814814</v>
      </c>
      <c r="D16259" s="1">
        <v>12.924204</v>
      </c>
      <c r="E16259" s="1">
        <v>80.115266</v>
      </c>
      <c r="F16259" s="1">
        <v>805.0</v>
      </c>
      <c r="G16259" s="1">
        <v>45.0</v>
      </c>
    </row>
    <row r="16260">
      <c r="A16260" s="1" t="s">
        <v>8</v>
      </c>
      <c r="B16260" s="2">
        <v>44785.0</v>
      </c>
      <c r="C16260" s="3">
        <v>0.6984027777777778</v>
      </c>
      <c r="D16260" s="1">
        <v>12.925206</v>
      </c>
      <c r="E16260" s="1">
        <v>80.116303</v>
      </c>
      <c r="F16260" s="1">
        <v>5339.0</v>
      </c>
      <c r="G16260" s="1">
        <v>51.0</v>
      </c>
    </row>
    <row r="16261">
      <c r="A16261" s="1" t="s">
        <v>9</v>
      </c>
      <c r="B16261" s="2">
        <v>44785.0</v>
      </c>
      <c r="C16261" s="3">
        <v>0.6984259259259259</v>
      </c>
      <c r="D16261" s="1">
        <v>12.835349</v>
      </c>
      <c r="E16261" s="1">
        <v>80.050841</v>
      </c>
      <c r="F16261" s="1">
        <v>2846.0</v>
      </c>
      <c r="G16261" s="1">
        <v>51.0</v>
      </c>
    </row>
    <row r="16262">
      <c r="A16262" s="1" t="s">
        <v>9</v>
      </c>
      <c r="B16262" s="2">
        <v>44785.0</v>
      </c>
      <c r="C16262" s="3">
        <v>0.6984606481481481</v>
      </c>
      <c r="D16262" s="1">
        <v>12.835349</v>
      </c>
      <c r="E16262" s="1">
        <v>80.050841</v>
      </c>
      <c r="F16262" s="1">
        <v>2846.0</v>
      </c>
      <c r="G16262" s="1">
        <v>51.0</v>
      </c>
    </row>
    <row r="16263">
      <c r="A16263" s="1" t="s">
        <v>10</v>
      </c>
      <c r="B16263" s="2">
        <v>44785.0</v>
      </c>
      <c r="C16263" s="3">
        <v>0.6985532407407408</v>
      </c>
      <c r="D16263" s="1">
        <v>12.926026</v>
      </c>
      <c r="E16263" s="1">
        <v>80.117136</v>
      </c>
      <c r="F16263" s="1">
        <v>805.0</v>
      </c>
      <c r="G16263" s="1">
        <v>46.0</v>
      </c>
    </row>
    <row r="16264">
      <c r="A16264" s="1" t="s">
        <v>7</v>
      </c>
      <c r="B16264" s="2">
        <v>44785.0</v>
      </c>
      <c r="C16264" s="3">
        <v>0.6987731481481482</v>
      </c>
      <c r="D16264" s="1">
        <v>12.832381</v>
      </c>
      <c r="E16264" s="1">
        <v>80.047713</v>
      </c>
      <c r="F16264" s="1">
        <v>2846.0</v>
      </c>
      <c r="G16264" s="1">
        <v>57.0</v>
      </c>
    </row>
    <row r="16265">
      <c r="A16265" s="1" t="s">
        <v>7</v>
      </c>
      <c r="B16265" s="2">
        <v>44785.0</v>
      </c>
      <c r="C16265" s="3">
        <v>0.6989699074074074</v>
      </c>
      <c r="D16265" s="1">
        <v>12.830335</v>
      </c>
      <c r="E16265" s="1">
        <v>80.045597</v>
      </c>
      <c r="F16265" s="1">
        <v>2846.0</v>
      </c>
      <c r="G16265" s="1">
        <v>58.0</v>
      </c>
    </row>
    <row r="16266">
      <c r="A16266" s="1" t="s">
        <v>7</v>
      </c>
      <c r="B16266" s="2">
        <v>44785.0</v>
      </c>
      <c r="C16266" s="3">
        <v>0.6992476851851852</v>
      </c>
      <c r="D16266" s="1">
        <v>12.828809</v>
      </c>
      <c r="E16266" s="1">
        <v>80.043999</v>
      </c>
      <c r="F16266" s="1">
        <v>2846.0</v>
      </c>
      <c r="G16266" s="1">
        <v>57.0</v>
      </c>
    </row>
    <row r="16267">
      <c r="A16267" s="1" t="s">
        <v>7</v>
      </c>
      <c r="B16267" s="2">
        <v>44785.0</v>
      </c>
      <c r="C16267" s="3">
        <v>0.6994675925925926</v>
      </c>
      <c r="D16267" s="1">
        <v>12.82544</v>
      </c>
      <c r="E16267" s="1">
        <v>80.04073</v>
      </c>
      <c r="F16267" s="1">
        <v>2846.0</v>
      </c>
      <c r="G16267" s="1">
        <v>57.0</v>
      </c>
    </row>
    <row r="16268">
      <c r="A16268" s="1" t="s">
        <v>8</v>
      </c>
      <c r="B16268" s="2">
        <v>44785.0</v>
      </c>
      <c r="C16268" s="3">
        <v>0.6995138888888889</v>
      </c>
      <c r="D16268" s="1">
        <v>12.929134</v>
      </c>
      <c r="E16268" s="1">
        <v>80.12022</v>
      </c>
      <c r="F16268" s="1">
        <v>805.0</v>
      </c>
      <c r="G16268" s="1">
        <v>17.0</v>
      </c>
    </row>
    <row r="16269">
      <c r="A16269" s="1" t="s">
        <v>8</v>
      </c>
      <c r="B16269" s="2">
        <v>44785.0</v>
      </c>
      <c r="C16269" s="3">
        <v>0.6995254629629629</v>
      </c>
      <c r="D16269" s="1">
        <v>12.929134</v>
      </c>
      <c r="E16269" s="1">
        <v>80.12022</v>
      </c>
      <c r="F16269" s="1">
        <v>805.0</v>
      </c>
      <c r="G16269" s="1">
        <v>17.0</v>
      </c>
    </row>
    <row r="16270">
      <c r="A16270" s="1" t="s">
        <v>7</v>
      </c>
      <c r="B16270" s="2">
        <v>44785.0</v>
      </c>
      <c r="C16270" s="3">
        <v>0.6996412037037038</v>
      </c>
      <c r="D16270" s="1">
        <v>12.823511</v>
      </c>
      <c r="E16270" s="1">
        <v>80.0394</v>
      </c>
      <c r="F16270" s="1">
        <v>2846.0</v>
      </c>
      <c r="G16270" s="1">
        <v>56.0</v>
      </c>
    </row>
    <row r="16271">
      <c r="A16271" s="1" t="s">
        <v>8</v>
      </c>
      <c r="B16271" s="2">
        <v>44785.0</v>
      </c>
      <c r="C16271" s="3">
        <v>0.6996412037037038</v>
      </c>
      <c r="D16271" s="1">
        <v>12.823511</v>
      </c>
      <c r="E16271" s="1">
        <v>80.0394</v>
      </c>
      <c r="F16271" s="1">
        <v>2846.0</v>
      </c>
      <c r="G16271" s="1">
        <v>56.0</v>
      </c>
    </row>
    <row r="16272">
      <c r="A16272" s="1" t="s">
        <v>7</v>
      </c>
      <c r="B16272" s="2">
        <v>44785.0</v>
      </c>
      <c r="C16272" s="3">
        <v>0.6999074074074074</v>
      </c>
      <c r="D16272" s="1">
        <v>12.923345</v>
      </c>
      <c r="E16272" s="1">
        <v>80.119954</v>
      </c>
      <c r="F16272" s="1">
        <v>3143.0</v>
      </c>
      <c r="G16272" s="1">
        <v>0.0</v>
      </c>
    </row>
    <row r="16273">
      <c r="A16273" s="1" t="s">
        <v>7</v>
      </c>
      <c r="B16273" s="2">
        <v>44785.0</v>
      </c>
      <c r="C16273" s="3">
        <v>0.7</v>
      </c>
      <c r="D16273" s="1">
        <v>12.923345</v>
      </c>
      <c r="E16273" s="1">
        <v>80.119954</v>
      </c>
      <c r="F16273" s="1">
        <v>3143.0</v>
      </c>
      <c r="G16273" s="1">
        <v>0.0</v>
      </c>
    </row>
    <row r="16274">
      <c r="A16274" s="1" t="s">
        <v>8</v>
      </c>
      <c r="B16274" s="2">
        <v>44785.0</v>
      </c>
      <c r="C16274" s="3">
        <v>0.7003587962962963</v>
      </c>
      <c r="D16274" s="1">
        <v>12.931649</v>
      </c>
      <c r="E16274" s="1">
        <v>80.122752</v>
      </c>
      <c r="F16274" s="1">
        <v>805.0</v>
      </c>
      <c r="G16274" s="1">
        <v>23.0</v>
      </c>
    </row>
    <row r="16275">
      <c r="A16275" s="1" t="s">
        <v>7</v>
      </c>
      <c r="B16275" s="2">
        <v>44785.0</v>
      </c>
      <c r="C16275" s="3">
        <v>0.7004976851851852</v>
      </c>
      <c r="D16275" s="1">
        <v>12.820781</v>
      </c>
      <c r="E16275" s="1">
        <v>80.037431</v>
      </c>
      <c r="F16275" s="1">
        <v>2846.0</v>
      </c>
      <c r="G16275" s="1">
        <v>34.0</v>
      </c>
    </row>
    <row r="16276">
      <c r="A16276" s="1" t="s">
        <v>8</v>
      </c>
      <c r="B16276" s="2">
        <v>44785.0</v>
      </c>
      <c r="C16276" s="3">
        <v>0.7005092592592592</v>
      </c>
      <c r="D16276" s="1">
        <v>12.932914</v>
      </c>
      <c r="E16276" s="1">
        <v>80.124016</v>
      </c>
      <c r="F16276" s="1">
        <v>5339.0</v>
      </c>
      <c r="G16276" s="1">
        <v>47.0</v>
      </c>
    </row>
    <row r="16277">
      <c r="A16277" s="1" t="s">
        <v>8</v>
      </c>
      <c r="B16277" s="2">
        <v>44785.0</v>
      </c>
      <c r="C16277" s="3">
        <v>0.7005555555555556</v>
      </c>
      <c r="D16277" s="1">
        <v>12.932873</v>
      </c>
      <c r="E16277" s="1">
        <v>80.123977</v>
      </c>
      <c r="F16277" s="1">
        <v>805.0</v>
      </c>
      <c r="G16277" s="1">
        <v>40.0</v>
      </c>
    </row>
    <row r="16278">
      <c r="A16278" s="1" t="s">
        <v>7</v>
      </c>
      <c r="B16278" s="2">
        <v>44785.0</v>
      </c>
      <c r="C16278" s="3">
        <v>0.7008564814814815</v>
      </c>
      <c r="D16278" s="1">
        <v>12.815863</v>
      </c>
      <c r="E16278" s="1">
        <v>80.033865</v>
      </c>
      <c r="F16278" s="1">
        <v>2846.0</v>
      </c>
      <c r="G16278" s="1">
        <v>57.0</v>
      </c>
    </row>
    <row r="16279">
      <c r="A16279" s="1" t="s">
        <v>8</v>
      </c>
      <c r="B16279" s="2">
        <v>44785.0</v>
      </c>
      <c r="C16279" s="3">
        <v>0.7009953703703704</v>
      </c>
      <c r="D16279" s="1">
        <v>12.923064</v>
      </c>
      <c r="E16279" s="1">
        <v>80.125447</v>
      </c>
      <c r="F16279" s="1">
        <v>3143.0</v>
      </c>
      <c r="G16279" s="1">
        <v>0.0</v>
      </c>
    </row>
    <row r="16280">
      <c r="A16280" s="1" t="s">
        <v>7</v>
      </c>
      <c r="B16280" s="2">
        <v>44785.0</v>
      </c>
      <c r="C16280" s="3">
        <v>0.7011805555555556</v>
      </c>
      <c r="D16280" s="1">
        <v>12.811966</v>
      </c>
      <c r="E16280" s="1">
        <v>80.031243</v>
      </c>
      <c r="F16280" s="1">
        <v>2846.0</v>
      </c>
      <c r="G16280" s="1">
        <v>57.0</v>
      </c>
    </row>
    <row r="16281">
      <c r="A16281" s="1" t="s">
        <v>8</v>
      </c>
      <c r="B16281" s="2">
        <v>44785.0</v>
      </c>
      <c r="C16281" s="3">
        <v>0.7017939814814815</v>
      </c>
      <c r="D16281" s="1">
        <v>12.806273</v>
      </c>
      <c r="E16281" s="1">
        <v>80.02762</v>
      </c>
      <c r="F16281" s="1">
        <v>2846.0</v>
      </c>
      <c r="G16281" s="1">
        <v>58.0</v>
      </c>
    </row>
    <row r="16282">
      <c r="A16282" s="1" t="s">
        <v>8</v>
      </c>
      <c r="B16282" s="2">
        <v>44785.0</v>
      </c>
      <c r="C16282" s="3">
        <v>0.701875</v>
      </c>
      <c r="D16282" s="1">
        <v>12.804291</v>
      </c>
      <c r="E16282" s="1">
        <v>80.026353</v>
      </c>
      <c r="F16282" s="1">
        <v>2846.0</v>
      </c>
      <c r="G16282" s="1">
        <v>58.0</v>
      </c>
    </row>
    <row r="16283">
      <c r="A16283" s="1" t="s">
        <v>8</v>
      </c>
      <c r="B16283" s="2">
        <v>44785.0</v>
      </c>
      <c r="C16283" s="3">
        <v>0.7025462962962963</v>
      </c>
      <c r="D16283" s="1">
        <v>12.922793</v>
      </c>
      <c r="E16283" s="1">
        <v>80.131302</v>
      </c>
      <c r="F16283" s="1">
        <v>3143.0</v>
      </c>
      <c r="G16283" s="1">
        <v>35.0</v>
      </c>
    </row>
    <row r="16284">
      <c r="A16284" s="1" t="s">
        <v>7</v>
      </c>
      <c r="B16284" s="2">
        <v>44785.0</v>
      </c>
      <c r="C16284" s="3">
        <v>0.703113425925926</v>
      </c>
      <c r="D16284" s="1">
        <v>12.943228</v>
      </c>
      <c r="E16284" s="1">
        <v>80.133813</v>
      </c>
      <c r="F16284" s="1">
        <v>805.0</v>
      </c>
      <c r="G16284" s="1">
        <v>49.0</v>
      </c>
    </row>
    <row r="16285">
      <c r="A16285" s="1" t="s">
        <v>7</v>
      </c>
      <c r="B16285" s="2">
        <v>44785.0</v>
      </c>
      <c r="C16285" s="3">
        <v>0.7033680555555556</v>
      </c>
      <c r="D16285" s="1">
        <v>12.945478</v>
      </c>
      <c r="E16285" s="1">
        <v>80.135674</v>
      </c>
      <c r="F16285" s="1">
        <v>805.0</v>
      </c>
      <c r="G16285" s="1">
        <v>58.0</v>
      </c>
    </row>
    <row r="16286">
      <c r="A16286" s="1" t="s">
        <v>8</v>
      </c>
      <c r="B16286" s="2">
        <v>44785.0</v>
      </c>
      <c r="C16286" s="3">
        <v>0.7034375</v>
      </c>
      <c r="D16286" s="1">
        <v>12.79556</v>
      </c>
      <c r="E16286" s="1">
        <v>80.020638</v>
      </c>
      <c r="F16286" s="1">
        <v>2846.0</v>
      </c>
      <c r="G16286" s="1">
        <v>24.0</v>
      </c>
    </row>
    <row r="16287">
      <c r="A16287" s="1" t="s">
        <v>7</v>
      </c>
      <c r="B16287" s="2">
        <v>44785.0</v>
      </c>
      <c r="C16287" s="3">
        <v>0.7034606481481481</v>
      </c>
      <c r="D16287" s="1">
        <v>12.946381</v>
      </c>
      <c r="E16287" s="1">
        <v>80.136362</v>
      </c>
      <c r="F16287" s="1">
        <v>5339.0</v>
      </c>
      <c r="G16287" s="1">
        <v>51.0</v>
      </c>
    </row>
    <row r="16288">
      <c r="A16288" s="1" t="s">
        <v>7</v>
      </c>
      <c r="B16288" s="2">
        <v>44785.0</v>
      </c>
      <c r="C16288" s="3">
        <v>0.7036574074074075</v>
      </c>
      <c r="D16288" s="1">
        <v>12.949027</v>
      </c>
      <c r="E16288" s="1">
        <v>80.1383</v>
      </c>
      <c r="F16288" s="1">
        <v>805.0</v>
      </c>
      <c r="G16288" s="1">
        <v>58.0</v>
      </c>
    </row>
    <row r="16289">
      <c r="A16289" s="1" t="s">
        <v>7</v>
      </c>
      <c r="B16289" s="2">
        <v>44785.0</v>
      </c>
      <c r="C16289" s="3">
        <v>0.7041087962962963</v>
      </c>
      <c r="D16289" s="1">
        <v>12.789431</v>
      </c>
      <c r="E16289" s="1">
        <v>80.016756</v>
      </c>
      <c r="F16289" s="1">
        <v>2846.0</v>
      </c>
      <c r="G16289" s="1">
        <v>60.0</v>
      </c>
    </row>
    <row r="16290">
      <c r="A16290" s="1" t="s">
        <v>8</v>
      </c>
      <c r="B16290" s="2">
        <v>44785.0</v>
      </c>
      <c r="C16290" s="3">
        <v>0.7041666666666667</v>
      </c>
      <c r="D16290" s="1">
        <v>12.950595</v>
      </c>
      <c r="E16290" s="1">
        <v>80.139585</v>
      </c>
      <c r="F16290" s="1">
        <v>805.0</v>
      </c>
      <c r="G16290" s="1">
        <v>22.0</v>
      </c>
    </row>
    <row r="16291">
      <c r="A16291" s="1" t="s">
        <v>7</v>
      </c>
      <c r="B16291" s="2">
        <v>44785.0</v>
      </c>
      <c r="C16291" s="3">
        <v>0.7045601851851852</v>
      </c>
      <c r="D16291" s="1">
        <v>12.783569</v>
      </c>
      <c r="E16291" s="1">
        <v>80.013419</v>
      </c>
      <c r="F16291" s="1">
        <v>2846.0</v>
      </c>
      <c r="G16291" s="1">
        <v>58.0</v>
      </c>
    </row>
    <row r="16292">
      <c r="A16292" s="1" t="s">
        <v>7</v>
      </c>
      <c r="B16292" s="2">
        <v>44785.0</v>
      </c>
      <c r="C16292" s="3">
        <v>0.7057175925925926</v>
      </c>
      <c r="D16292" s="1">
        <v>12.77126</v>
      </c>
      <c r="E16292" s="1">
        <v>80.007922</v>
      </c>
      <c r="F16292" s="1">
        <v>2846.0</v>
      </c>
      <c r="G16292" s="1">
        <v>58.0</v>
      </c>
    </row>
    <row r="16293">
      <c r="A16293" s="1" t="s">
        <v>8</v>
      </c>
      <c r="B16293" s="2">
        <v>44785.0</v>
      </c>
      <c r="C16293" s="3">
        <v>0.7060532407407407</v>
      </c>
      <c r="D16293" s="1">
        <v>12.956697</v>
      </c>
      <c r="E16293" s="1">
        <v>80.14339</v>
      </c>
      <c r="F16293" s="1">
        <v>5339.0</v>
      </c>
      <c r="G16293" s="1">
        <v>30.0</v>
      </c>
    </row>
    <row r="16294">
      <c r="A16294" s="1" t="s">
        <v>8</v>
      </c>
      <c r="B16294" s="2">
        <v>44785.0</v>
      </c>
      <c r="C16294" s="3">
        <v>0.7061226851851852</v>
      </c>
      <c r="D16294" s="1">
        <v>12.957501</v>
      </c>
      <c r="E16294" s="1">
        <v>80.143791</v>
      </c>
      <c r="F16294" s="1">
        <v>5339.0</v>
      </c>
      <c r="G16294" s="1">
        <v>37.0</v>
      </c>
    </row>
    <row r="16295">
      <c r="A16295" s="1" t="s">
        <v>7</v>
      </c>
      <c r="B16295" s="2">
        <v>44785.0</v>
      </c>
      <c r="C16295" s="3">
        <v>0.7066435185185185</v>
      </c>
      <c r="D16295" s="1">
        <v>12.923314</v>
      </c>
      <c r="E16295" s="1">
        <v>80.154304</v>
      </c>
      <c r="F16295" s="1">
        <v>3143.0</v>
      </c>
      <c r="G16295" s="1">
        <v>41.0</v>
      </c>
    </row>
    <row r="16296">
      <c r="A16296" s="1" t="s">
        <v>8</v>
      </c>
      <c r="B16296" s="2">
        <v>44785.0</v>
      </c>
      <c r="C16296" s="3">
        <v>0.7071296296296297</v>
      </c>
      <c r="D16296" s="1">
        <v>12.963093</v>
      </c>
      <c r="E16296" s="1">
        <v>80.146675</v>
      </c>
      <c r="F16296" s="1">
        <v>5339.0</v>
      </c>
      <c r="G16296" s="1">
        <v>46.0</v>
      </c>
    </row>
    <row r="16297">
      <c r="A16297" s="1" t="s">
        <v>7</v>
      </c>
      <c r="B16297" s="2">
        <v>44785.0</v>
      </c>
      <c r="C16297" s="3">
        <v>0.7072685185185185</v>
      </c>
      <c r="D16297" s="1">
        <v>12.967504</v>
      </c>
      <c r="E16297" s="1">
        <v>80.149158</v>
      </c>
      <c r="F16297" s="1">
        <v>805.0</v>
      </c>
      <c r="G16297" s="1">
        <v>48.0</v>
      </c>
    </row>
    <row r="16298">
      <c r="A16298" s="1" t="s">
        <v>7</v>
      </c>
      <c r="B16298" s="2">
        <v>44785.0</v>
      </c>
      <c r="C16298" s="3">
        <v>0.7073379629629629</v>
      </c>
      <c r="D16298" s="1">
        <v>12.967504</v>
      </c>
      <c r="E16298" s="1">
        <v>80.149158</v>
      </c>
      <c r="F16298" s="1">
        <v>805.0</v>
      </c>
      <c r="G16298" s="1">
        <v>48.0</v>
      </c>
    </row>
    <row r="16299">
      <c r="A16299" s="1" t="s">
        <v>7</v>
      </c>
      <c r="B16299" s="2">
        <v>44785.0</v>
      </c>
      <c r="C16299" s="3">
        <v>0.7074768518518518</v>
      </c>
      <c r="D16299" s="1">
        <v>12.758598</v>
      </c>
      <c r="E16299" s="1">
        <v>80.002949</v>
      </c>
      <c r="F16299" s="1">
        <v>2846.0</v>
      </c>
      <c r="G16299" s="1">
        <v>46.0</v>
      </c>
    </row>
    <row r="16300">
      <c r="A16300" s="1" t="s">
        <v>8</v>
      </c>
      <c r="B16300" s="2">
        <v>44785.0</v>
      </c>
      <c r="C16300" s="3">
        <v>0.7075231481481481</v>
      </c>
      <c r="D16300" s="1">
        <v>12.7548</v>
      </c>
      <c r="E16300" s="1">
        <v>80.001281</v>
      </c>
      <c r="F16300" s="1">
        <v>2846.0</v>
      </c>
      <c r="G16300" s="1">
        <v>44.0</v>
      </c>
    </row>
    <row r="16301">
      <c r="A16301" s="1" t="s">
        <v>7</v>
      </c>
      <c r="B16301" s="2">
        <v>44785.0</v>
      </c>
      <c r="C16301" s="3">
        <v>0.707662037037037</v>
      </c>
      <c r="D16301" s="1">
        <v>12.7548</v>
      </c>
      <c r="E16301" s="1">
        <v>80.001281</v>
      </c>
      <c r="F16301" s="1">
        <v>2846.0</v>
      </c>
      <c r="G16301" s="1">
        <v>44.0</v>
      </c>
    </row>
    <row r="16302">
      <c r="A16302" s="1" t="s">
        <v>7</v>
      </c>
      <c r="B16302" s="2">
        <v>44785.0</v>
      </c>
      <c r="C16302" s="3">
        <v>0.707662037037037</v>
      </c>
      <c r="D16302" s="1">
        <v>12.971547</v>
      </c>
      <c r="E16302" s="1">
        <v>80.151091</v>
      </c>
      <c r="F16302" s="1">
        <v>805.0</v>
      </c>
      <c r="G16302" s="1">
        <v>57.0</v>
      </c>
    </row>
    <row r="16303">
      <c r="A16303" s="1" t="s">
        <v>7</v>
      </c>
      <c r="B16303" s="2">
        <v>44785.0</v>
      </c>
      <c r="C16303" s="3">
        <v>0.7076967592592592</v>
      </c>
      <c r="D16303" s="1">
        <v>12.967782</v>
      </c>
      <c r="E16303" s="1">
        <v>80.149336</v>
      </c>
      <c r="F16303" s="1">
        <v>5339.0</v>
      </c>
      <c r="G16303" s="1">
        <v>46.0</v>
      </c>
    </row>
    <row r="16304">
      <c r="A16304" s="1" t="s">
        <v>8</v>
      </c>
      <c r="B16304" s="2">
        <v>44785.0</v>
      </c>
      <c r="C16304" s="3">
        <v>0.7077777777777777</v>
      </c>
      <c r="D16304" s="1">
        <v>12.971547</v>
      </c>
      <c r="E16304" s="1">
        <v>80.151091</v>
      </c>
      <c r="F16304" s="1">
        <v>805.0</v>
      </c>
      <c r="G16304" s="1">
        <v>57.0</v>
      </c>
    </row>
    <row r="16305">
      <c r="A16305" s="1" t="s">
        <v>8</v>
      </c>
      <c r="B16305" s="2">
        <v>44785.0</v>
      </c>
      <c r="C16305" s="3">
        <v>0.7078819444444444</v>
      </c>
      <c r="D16305" s="1">
        <v>12.970203</v>
      </c>
      <c r="E16305" s="1">
        <v>80.150474</v>
      </c>
      <c r="F16305" s="1">
        <v>5339.0</v>
      </c>
      <c r="G16305" s="1">
        <v>59.0</v>
      </c>
    </row>
    <row r="16306">
      <c r="A16306" s="1" t="s">
        <v>8</v>
      </c>
      <c r="B16306" s="2">
        <v>44785.0</v>
      </c>
      <c r="C16306" s="3">
        <v>0.707962962962963</v>
      </c>
      <c r="D16306" s="1">
        <v>12.973046</v>
      </c>
      <c r="E16306" s="1">
        <v>80.152685</v>
      </c>
      <c r="F16306" s="1">
        <v>805.0</v>
      </c>
      <c r="G16306" s="1">
        <v>58.0</v>
      </c>
    </row>
    <row r="16307">
      <c r="A16307" s="1" t="s">
        <v>7</v>
      </c>
      <c r="B16307" s="2">
        <v>44785.0</v>
      </c>
      <c r="C16307" s="3">
        <v>0.7080208333333333</v>
      </c>
      <c r="D16307" s="1">
        <v>12.971539</v>
      </c>
      <c r="E16307" s="1">
        <v>80.151103</v>
      </c>
      <c r="F16307" s="1">
        <v>5339.0</v>
      </c>
      <c r="G16307" s="1">
        <v>58.0</v>
      </c>
    </row>
    <row r="16308">
      <c r="A16308" s="1" t="s">
        <v>8</v>
      </c>
      <c r="B16308" s="2">
        <v>44785.0</v>
      </c>
      <c r="C16308" s="3">
        <v>0.7080439814814815</v>
      </c>
      <c r="D16308" s="1">
        <v>12.974268</v>
      </c>
      <c r="E16308" s="1">
        <v>80.154538</v>
      </c>
      <c r="F16308" s="1">
        <v>805.0</v>
      </c>
      <c r="G16308" s="1">
        <v>56.0</v>
      </c>
    </row>
    <row r="16309">
      <c r="A16309" s="1" t="s">
        <v>8</v>
      </c>
      <c r="B16309" s="2">
        <v>44785.0</v>
      </c>
      <c r="C16309" s="3">
        <v>0.7081712962962963</v>
      </c>
      <c r="D16309" s="1">
        <v>12.975259</v>
      </c>
      <c r="E16309" s="1">
        <v>80.155883</v>
      </c>
      <c r="F16309" s="1">
        <v>805.0</v>
      </c>
      <c r="G16309" s="1">
        <v>32.0</v>
      </c>
    </row>
    <row r="16310">
      <c r="A16310" s="1" t="s">
        <v>8</v>
      </c>
      <c r="B16310" s="2">
        <v>44785.0</v>
      </c>
      <c r="C16310" s="3">
        <v>0.7082638888888889</v>
      </c>
      <c r="D16310" s="1">
        <v>12.975259</v>
      </c>
      <c r="E16310" s="1">
        <v>80.155883</v>
      </c>
      <c r="F16310" s="1">
        <v>805.0</v>
      </c>
      <c r="G16310" s="1">
        <v>32.0</v>
      </c>
    </row>
    <row r="16311">
      <c r="A16311" s="1" t="s">
        <v>8</v>
      </c>
      <c r="B16311" s="2">
        <v>44785.0</v>
      </c>
      <c r="C16311" s="3">
        <v>0.7083333333333334</v>
      </c>
      <c r="D16311" s="1">
        <v>12.975259</v>
      </c>
      <c r="E16311" s="1">
        <v>80.155883</v>
      </c>
      <c r="F16311" s="1">
        <v>805.0</v>
      </c>
      <c r="G16311" s="1">
        <v>32.0</v>
      </c>
    </row>
    <row r="16312">
      <c r="A16312" s="1" t="s">
        <v>8</v>
      </c>
      <c r="B16312" s="2">
        <v>44785.0</v>
      </c>
      <c r="C16312" s="3">
        <v>0.7083680555555556</v>
      </c>
      <c r="D16312" s="1">
        <v>12.974305</v>
      </c>
      <c r="E16312" s="1">
        <v>80.154564</v>
      </c>
      <c r="F16312" s="1">
        <v>5339.0</v>
      </c>
      <c r="G16312" s="1">
        <v>63.0</v>
      </c>
    </row>
    <row r="16313">
      <c r="A16313" s="1" t="s">
        <v>8</v>
      </c>
      <c r="B16313" s="2">
        <v>44785.0</v>
      </c>
      <c r="C16313" s="3">
        <v>0.7084143518518519</v>
      </c>
      <c r="D16313" s="1">
        <v>12.976059</v>
      </c>
      <c r="E16313" s="1">
        <v>80.157035</v>
      </c>
      <c r="F16313" s="1">
        <v>805.0</v>
      </c>
      <c r="G16313" s="1">
        <v>36.0</v>
      </c>
    </row>
    <row r="16314">
      <c r="A16314" s="1" t="s">
        <v>8</v>
      </c>
      <c r="B16314" s="2">
        <v>44785.0</v>
      </c>
      <c r="C16314" s="3">
        <v>0.7084143518518519</v>
      </c>
      <c r="D16314" s="1">
        <v>12.920338</v>
      </c>
      <c r="E16314" s="1">
        <v>80.169814</v>
      </c>
      <c r="F16314" s="1">
        <v>3143.0</v>
      </c>
      <c r="G16314" s="1">
        <v>44.0</v>
      </c>
    </row>
    <row r="16315">
      <c r="A16315" s="1" t="s">
        <v>7</v>
      </c>
      <c r="B16315" s="2">
        <v>44785.0</v>
      </c>
      <c r="C16315" s="3">
        <v>0.7086226851851852</v>
      </c>
      <c r="D16315" s="1">
        <v>12.97691</v>
      </c>
      <c r="E16315" s="1">
        <v>80.15835</v>
      </c>
      <c r="F16315" s="1">
        <v>805.0</v>
      </c>
      <c r="G16315" s="1">
        <v>43.0</v>
      </c>
    </row>
    <row r="16316">
      <c r="A16316" s="1" t="s">
        <v>10</v>
      </c>
      <c r="B16316" s="2">
        <v>44785.0</v>
      </c>
      <c r="C16316" s="3">
        <v>0.7086574074074075</v>
      </c>
      <c r="D16316" s="1">
        <v>12.744111</v>
      </c>
      <c r="E16316" s="1">
        <v>79.993285</v>
      </c>
      <c r="F16316" s="1">
        <v>2846.0</v>
      </c>
      <c r="G16316" s="1">
        <v>54.0</v>
      </c>
    </row>
    <row r="16317">
      <c r="A16317" s="1" t="s">
        <v>8</v>
      </c>
      <c r="B16317" s="2">
        <v>44785.0</v>
      </c>
      <c r="C16317" s="3">
        <v>0.7086574074074075</v>
      </c>
      <c r="D16317" s="1">
        <v>12.919919</v>
      </c>
      <c r="E16317" s="1">
        <v>80.171036</v>
      </c>
      <c r="F16317" s="1">
        <v>3143.0</v>
      </c>
      <c r="G16317" s="1">
        <v>13.0</v>
      </c>
    </row>
    <row r="16318">
      <c r="A16318" s="1" t="s">
        <v>8</v>
      </c>
      <c r="B16318" s="2">
        <v>44785.0</v>
      </c>
      <c r="C16318" s="3">
        <v>0.7086805555555555</v>
      </c>
      <c r="D16318" s="1">
        <v>12.976148</v>
      </c>
      <c r="E16318" s="1">
        <v>80.157176</v>
      </c>
      <c r="F16318" s="1">
        <v>5339.0</v>
      </c>
      <c r="G16318" s="1">
        <v>46.0</v>
      </c>
    </row>
    <row r="16319">
      <c r="A16319" s="1" t="s">
        <v>8</v>
      </c>
      <c r="B16319" s="2">
        <v>44785.0</v>
      </c>
      <c r="C16319" s="3">
        <v>0.7087731481481482</v>
      </c>
      <c r="D16319" s="1">
        <v>12.919919</v>
      </c>
      <c r="E16319" s="1">
        <v>80.171036</v>
      </c>
      <c r="F16319" s="1">
        <v>3143.0</v>
      </c>
      <c r="G16319" s="1">
        <v>13.0</v>
      </c>
    </row>
    <row r="16320">
      <c r="A16320" s="1" t="s">
        <v>8</v>
      </c>
      <c r="B16320" s="2">
        <v>44785.0</v>
      </c>
      <c r="C16320" s="3">
        <v>0.7090509259259259</v>
      </c>
      <c r="D16320" s="1">
        <v>12.91918</v>
      </c>
      <c r="E16320" s="1">
        <v>80.17356</v>
      </c>
      <c r="F16320" s="1">
        <v>3143.0</v>
      </c>
      <c r="G16320" s="1">
        <v>41.0</v>
      </c>
    </row>
    <row r="16321">
      <c r="A16321" s="1" t="s">
        <v>7</v>
      </c>
      <c r="B16321" s="2">
        <v>44785.0</v>
      </c>
      <c r="C16321" s="3">
        <v>0.7092592592592593</v>
      </c>
      <c r="D16321" s="1">
        <v>12.979057</v>
      </c>
      <c r="E16321" s="1">
        <v>80.161455</v>
      </c>
      <c r="F16321" s="1">
        <v>5339.0</v>
      </c>
      <c r="G16321" s="1">
        <v>56.0</v>
      </c>
    </row>
    <row r="16322">
      <c r="A16322" s="1" t="s">
        <v>7</v>
      </c>
      <c r="B16322" s="2">
        <v>44785.0</v>
      </c>
      <c r="C16322" s="3">
        <v>0.7093171296296297</v>
      </c>
      <c r="D16322" s="1">
        <v>12.980322</v>
      </c>
      <c r="E16322" s="1">
        <v>80.164308</v>
      </c>
      <c r="F16322" s="1">
        <v>805.0</v>
      </c>
      <c r="G16322" s="1">
        <v>45.0</v>
      </c>
    </row>
    <row r="16323">
      <c r="A16323" s="1" t="s">
        <v>7</v>
      </c>
      <c r="B16323" s="2">
        <v>44785.0</v>
      </c>
      <c r="C16323" s="3">
        <v>0.7095138888888889</v>
      </c>
      <c r="D16323" s="1">
        <v>12.980227</v>
      </c>
      <c r="E16323" s="1">
        <v>80.163789</v>
      </c>
      <c r="F16323" s="1">
        <v>5339.0</v>
      </c>
      <c r="G16323" s="1">
        <v>49.0</v>
      </c>
    </row>
    <row r="16324">
      <c r="A16324" s="1" t="s">
        <v>8</v>
      </c>
      <c r="B16324" s="2">
        <v>44785.0</v>
      </c>
      <c r="C16324" s="3">
        <v>0.7097916666666667</v>
      </c>
      <c r="D16324" s="1">
        <v>12.981997</v>
      </c>
      <c r="E16324" s="1">
        <v>80.167512</v>
      </c>
      <c r="F16324" s="1">
        <v>5339.0</v>
      </c>
      <c r="G16324" s="1">
        <v>53.0</v>
      </c>
    </row>
    <row r="16325">
      <c r="A16325" s="1" t="s">
        <v>8</v>
      </c>
      <c r="B16325" s="2">
        <v>44785.0</v>
      </c>
      <c r="C16325" s="3">
        <v>0.7097916666666667</v>
      </c>
      <c r="D16325" s="1">
        <v>12.919241</v>
      </c>
      <c r="E16325" s="1">
        <v>80.179634</v>
      </c>
      <c r="F16325" s="1">
        <v>3143.0</v>
      </c>
      <c r="G16325" s="1">
        <v>36.0</v>
      </c>
    </row>
    <row r="16326">
      <c r="A16326" s="1" t="s">
        <v>8</v>
      </c>
      <c r="B16326" s="2">
        <v>44785.0</v>
      </c>
      <c r="C16326" s="3">
        <v>0.709837962962963</v>
      </c>
      <c r="D16326" s="1">
        <v>12.983398</v>
      </c>
      <c r="E16326" s="1">
        <v>80.169932</v>
      </c>
      <c r="F16326" s="1">
        <v>805.0</v>
      </c>
      <c r="G16326" s="1">
        <v>58.0</v>
      </c>
    </row>
    <row r="16327">
      <c r="A16327" s="1" t="s">
        <v>10</v>
      </c>
      <c r="B16327" s="2">
        <v>44785.0</v>
      </c>
      <c r="C16327" s="3">
        <v>0.71</v>
      </c>
      <c r="D16327" s="1">
        <v>12.919579</v>
      </c>
      <c r="E16327" s="1">
        <v>80.181117</v>
      </c>
      <c r="F16327" s="1">
        <v>3143.0</v>
      </c>
      <c r="G16327" s="1">
        <v>28.0</v>
      </c>
    </row>
    <row r="16328">
      <c r="A16328" s="1" t="s">
        <v>8</v>
      </c>
      <c r="B16328" s="2">
        <v>44785.0</v>
      </c>
      <c r="C16328" s="3">
        <v>0.7102314814814815</v>
      </c>
      <c r="D16328" s="1">
        <v>12.736426</v>
      </c>
      <c r="E16328" s="1">
        <v>79.987294</v>
      </c>
      <c r="F16328" s="1">
        <v>2846.0</v>
      </c>
      <c r="G16328" s="1">
        <v>57.0</v>
      </c>
    </row>
    <row r="16329">
      <c r="A16329" s="1" t="s">
        <v>8</v>
      </c>
      <c r="B16329" s="2">
        <v>44785.0</v>
      </c>
      <c r="C16329" s="3">
        <v>0.7103125</v>
      </c>
      <c r="D16329" s="1">
        <v>12.984614</v>
      </c>
      <c r="E16329" s="1">
        <v>80.171855</v>
      </c>
      <c r="F16329" s="1">
        <v>5339.0</v>
      </c>
      <c r="G16329" s="1">
        <v>40.0</v>
      </c>
    </row>
    <row r="16330">
      <c r="A16330" s="1" t="s">
        <v>8</v>
      </c>
      <c r="B16330" s="2">
        <v>44785.0</v>
      </c>
      <c r="C16330" s="3">
        <v>0.7103587962962963</v>
      </c>
      <c r="D16330" s="1">
        <v>12.733136</v>
      </c>
      <c r="E16330" s="1">
        <v>79.983748</v>
      </c>
      <c r="F16330" s="1">
        <v>2846.0</v>
      </c>
      <c r="G16330" s="1">
        <v>58.0</v>
      </c>
    </row>
    <row r="16331">
      <c r="A16331" s="1" t="s">
        <v>8</v>
      </c>
      <c r="B16331" s="2">
        <v>44785.0</v>
      </c>
      <c r="C16331" s="3">
        <v>0.7104050925925925</v>
      </c>
      <c r="D16331" s="1">
        <v>12.985953</v>
      </c>
      <c r="E16331" s="1">
        <v>80.173945</v>
      </c>
      <c r="F16331" s="1">
        <v>805.0</v>
      </c>
      <c r="G16331" s="1">
        <v>14.0</v>
      </c>
    </row>
    <row r="16332">
      <c r="A16332" s="1" t="s">
        <v>8</v>
      </c>
      <c r="B16332" s="2">
        <v>44785.0</v>
      </c>
      <c r="C16332" s="3">
        <v>0.7106944444444444</v>
      </c>
      <c r="D16332" s="1">
        <v>12.985984</v>
      </c>
      <c r="E16332" s="1">
        <v>80.173898</v>
      </c>
      <c r="F16332" s="1">
        <v>5339.0</v>
      </c>
      <c r="G16332" s="1">
        <v>18.0</v>
      </c>
    </row>
    <row r="16333">
      <c r="A16333" s="1" t="s">
        <v>8</v>
      </c>
      <c r="B16333" s="2">
        <v>44785.0</v>
      </c>
      <c r="C16333" s="3">
        <v>0.7109375</v>
      </c>
      <c r="D16333" s="1">
        <v>12.988538</v>
      </c>
      <c r="E16333" s="1">
        <v>80.177602</v>
      </c>
      <c r="F16333" s="1">
        <v>805.0</v>
      </c>
      <c r="G16333" s="1">
        <v>44.0</v>
      </c>
    </row>
    <row r="16334">
      <c r="A16334" s="1" t="s">
        <v>10</v>
      </c>
      <c r="B16334" s="2">
        <v>44785.0</v>
      </c>
      <c r="C16334" s="3">
        <v>0.711099537037037</v>
      </c>
      <c r="D16334" s="1">
        <v>12.726182</v>
      </c>
      <c r="E16334" s="1">
        <v>79.982489</v>
      </c>
      <c r="F16334" s="1">
        <v>2846.0</v>
      </c>
      <c r="G16334" s="1">
        <v>51.0</v>
      </c>
    </row>
    <row r="16335">
      <c r="A16335" s="1" t="s">
        <v>8</v>
      </c>
      <c r="B16335" s="2">
        <v>44785.0</v>
      </c>
      <c r="C16335" s="3">
        <v>0.7111226851851852</v>
      </c>
      <c r="D16335" s="1">
        <v>12.987814</v>
      </c>
      <c r="E16335" s="1">
        <v>80.176574</v>
      </c>
      <c r="F16335" s="1">
        <v>5339.0</v>
      </c>
      <c r="G16335" s="1">
        <v>38.0</v>
      </c>
    </row>
    <row r="16336">
      <c r="A16336" s="1" t="s">
        <v>8</v>
      </c>
      <c r="B16336" s="2">
        <v>44785.0</v>
      </c>
      <c r="C16336" s="3">
        <v>0.7111574074074074</v>
      </c>
      <c r="D16336" s="1">
        <v>12.98946</v>
      </c>
      <c r="E16336" s="1">
        <v>80.178738</v>
      </c>
      <c r="F16336" s="1">
        <v>805.0</v>
      </c>
      <c r="G16336" s="1">
        <v>31.0</v>
      </c>
    </row>
    <row r="16337">
      <c r="A16337" s="1" t="s">
        <v>8</v>
      </c>
      <c r="B16337" s="2">
        <v>44785.0</v>
      </c>
      <c r="C16337" s="3">
        <v>0.7112152777777778</v>
      </c>
      <c r="D16337" s="1">
        <v>12.98946</v>
      </c>
      <c r="E16337" s="1">
        <v>80.178738</v>
      </c>
      <c r="F16337" s="1">
        <v>805.0</v>
      </c>
      <c r="G16337" s="1">
        <v>31.0</v>
      </c>
    </row>
    <row r="16338">
      <c r="A16338" s="1" t="s">
        <v>8</v>
      </c>
      <c r="B16338" s="2">
        <v>44785.0</v>
      </c>
      <c r="C16338" s="3">
        <v>0.7113194444444444</v>
      </c>
      <c r="D16338" s="1">
        <v>12.988392</v>
      </c>
      <c r="E16338" s="1">
        <v>80.177361</v>
      </c>
      <c r="F16338" s="1">
        <v>5339.0</v>
      </c>
      <c r="G16338" s="1">
        <v>42.0</v>
      </c>
    </row>
    <row r="16339">
      <c r="A16339" s="1" t="s">
        <v>8</v>
      </c>
      <c r="B16339" s="2">
        <v>44785.0</v>
      </c>
      <c r="C16339" s="3">
        <v>0.7113657407407408</v>
      </c>
      <c r="D16339" s="1">
        <v>12.989062</v>
      </c>
      <c r="E16339" s="1">
        <v>80.178272</v>
      </c>
      <c r="F16339" s="1">
        <v>5339.0</v>
      </c>
      <c r="G16339" s="1">
        <v>40.0</v>
      </c>
    </row>
    <row r="16340">
      <c r="A16340" s="1" t="s">
        <v>8</v>
      </c>
      <c r="B16340" s="2">
        <v>44785.0</v>
      </c>
      <c r="C16340" s="3">
        <v>0.7113773148148148</v>
      </c>
      <c r="D16340" s="1">
        <v>12.990482</v>
      </c>
      <c r="E16340" s="1">
        <v>80.18008</v>
      </c>
      <c r="F16340" s="1">
        <v>805.0</v>
      </c>
      <c r="G16340" s="1">
        <v>45.0</v>
      </c>
    </row>
    <row r="16341">
      <c r="A16341" s="1" t="s">
        <v>8</v>
      </c>
      <c r="B16341" s="2">
        <v>44785.0</v>
      </c>
      <c r="C16341" s="3">
        <v>0.711550925925926</v>
      </c>
      <c r="D16341" s="1">
        <v>12.989711</v>
      </c>
      <c r="E16341" s="1">
        <v>80.179089</v>
      </c>
      <c r="F16341" s="1">
        <v>5339.0</v>
      </c>
      <c r="G16341" s="1">
        <v>47.0</v>
      </c>
    </row>
    <row r="16342">
      <c r="A16342" s="1" t="s">
        <v>8</v>
      </c>
      <c r="B16342" s="2">
        <v>44785.0</v>
      </c>
      <c r="C16342" s="3">
        <v>0.7117592592592593</v>
      </c>
      <c r="D16342" s="1">
        <v>12.99121</v>
      </c>
      <c r="E16342" s="1">
        <v>80.18101</v>
      </c>
      <c r="F16342" s="1">
        <v>5339.0</v>
      </c>
      <c r="G16342" s="1">
        <v>43.0</v>
      </c>
    </row>
    <row r="16343">
      <c r="A16343" s="1" t="s">
        <v>7</v>
      </c>
      <c r="B16343" s="2">
        <v>44785.0</v>
      </c>
      <c r="C16343" s="3">
        <v>0.7122569444444444</v>
      </c>
      <c r="D16343" s="1">
        <v>12.719998</v>
      </c>
      <c r="E16343" s="1">
        <v>79.981204</v>
      </c>
      <c r="F16343" s="1">
        <v>2846.0</v>
      </c>
      <c r="G16343" s="1">
        <v>59.0</v>
      </c>
    </row>
    <row r="16344">
      <c r="A16344" s="1" t="s">
        <v>8</v>
      </c>
      <c r="B16344" s="2">
        <v>44785.0</v>
      </c>
      <c r="C16344" s="3">
        <v>0.7123379629629629</v>
      </c>
      <c r="D16344" s="1">
        <v>12.993858</v>
      </c>
      <c r="E16344" s="1">
        <v>80.1851</v>
      </c>
      <c r="F16344" s="1">
        <v>5339.0</v>
      </c>
      <c r="G16344" s="1">
        <v>15.0</v>
      </c>
    </row>
    <row r="16345">
      <c r="A16345" s="1" t="s">
        <v>7</v>
      </c>
      <c r="B16345" s="2">
        <v>44785.0</v>
      </c>
      <c r="C16345" s="3">
        <v>0.7133564814814815</v>
      </c>
      <c r="D16345" s="1">
        <v>12.706878</v>
      </c>
      <c r="E16345" s="1">
        <v>79.976096</v>
      </c>
      <c r="F16345" s="1">
        <v>2846.0</v>
      </c>
      <c r="G16345" s="1">
        <v>58.0</v>
      </c>
    </row>
    <row r="16346">
      <c r="A16346" s="1" t="s">
        <v>8</v>
      </c>
      <c r="B16346" s="2">
        <v>44785.0</v>
      </c>
      <c r="C16346" s="3">
        <v>0.7138078703703704</v>
      </c>
      <c r="D16346" s="1">
        <v>12.998443</v>
      </c>
      <c r="E16346" s="1">
        <v>80.192167</v>
      </c>
      <c r="F16346" s="1">
        <v>805.0</v>
      </c>
      <c r="G16346" s="1">
        <v>44.0</v>
      </c>
    </row>
    <row r="16347">
      <c r="A16347" s="1" t="s">
        <v>8</v>
      </c>
      <c r="B16347" s="2">
        <v>44785.0</v>
      </c>
      <c r="C16347" s="3">
        <v>0.7138310185185185</v>
      </c>
      <c r="D16347" s="1">
        <v>12.998443</v>
      </c>
      <c r="E16347" s="1">
        <v>80.192167</v>
      </c>
      <c r="F16347" s="1">
        <v>805.0</v>
      </c>
      <c r="G16347" s="1">
        <v>44.0</v>
      </c>
    </row>
    <row r="16348">
      <c r="A16348" s="1" t="s">
        <v>7</v>
      </c>
      <c r="B16348" s="2">
        <v>44785.0</v>
      </c>
      <c r="C16348" s="3">
        <v>0.713900462962963</v>
      </c>
      <c r="D16348" s="1">
        <v>12.997158</v>
      </c>
      <c r="E16348" s="1">
        <v>80.190469</v>
      </c>
      <c r="F16348" s="1">
        <v>5339.0</v>
      </c>
      <c r="G16348" s="1">
        <v>48.0</v>
      </c>
    </row>
    <row r="16349">
      <c r="A16349" s="1" t="s">
        <v>8</v>
      </c>
      <c r="B16349" s="2">
        <v>44785.0</v>
      </c>
      <c r="C16349" s="3">
        <v>0.7142592592592593</v>
      </c>
      <c r="D16349" s="1">
        <v>12.99796</v>
      </c>
      <c r="E16349" s="1">
        <v>80.191532</v>
      </c>
      <c r="F16349" s="1">
        <v>5339.0</v>
      </c>
      <c r="G16349" s="1">
        <v>56.0</v>
      </c>
    </row>
    <row r="16350">
      <c r="A16350" s="1" t="s">
        <v>9</v>
      </c>
      <c r="B16350" s="2">
        <v>44785.0</v>
      </c>
      <c r="C16350" s="3">
        <v>0.7145023148148149</v>
      </c>
      <c r="D16350" s="1">
        <v>13.001485</v>
      </c>
      <c r="E16350" s="1">
        <v>80.195974</v>
      </c>
      <c r="F16350" s="1">
        <v>805.0</v>
      </c>
      <c r="G16350" s="1">
        <v>18.0</v>
      </c>
    </row>
    <row r="16351">
      <c r="A16351" s="1" t="s">
        <v>8</v>
      </c>
      <c r="B16351" s="2">
        <v>44785.0</v>
      </c>
      <c r="C16351" s="3">
        <v>0.7147685185185185</v>
      </c>
      <c r="D16351" s="1">
        <v>13.00203</v>
      </c>
      <c r="E16351" s="1">
        <v>80.196879</v>
      </c>
      <c r="F16351" s="1">
        <v>805.0</v>
      </c>
      <c r="G16351" s="1">
        <v>39.0</v>
      </c>
    </row>
    <row r="16352">
      <c r="A16352" s="1" t="s">
        <v>8</v>
      </c>
      <c r="B16352" s="2">
        <v>44785.0</v>
      </c>
      <c r="C16352" s="3">
        <v>0.7149189814814815</v>
      </c>
      <c r="D16352" s="1">
        <v>13.001922</v>
      </c>
      <c r="E16352" s="1">
        <v>80.198481</v>
      </c>
      <c r="F16352" s="1">
        <v>805.0</v>
      </c>
      <c r="G16352" s="1">
        <v>35.0</v>
      </c>
    </row>
    <row r="16353">
      <c r="A16353" s="1" t="s">
        <v>8</v>
      </c>
      <c r="B16353" s="2">
        <v>44785.0</v>
      </c>
      <c r="C16353" s="3">
        <v>0.7150810185185185</v>
      </c>
      <c r="D16353" s="1">
        <v>13.001936</v>
      </c>
      <c r="E16353" s="1">
        <v>80.199986</v>
      </c>
      <c r="F16353" s="1">
        <v>805.0</v>
      </c>
      <c r="G16353" s="1">
        <v>38.0</v>
      </c>
    </row>
    <row r="16354">
      <c r="A16354" s="1" t="s">
        <v>8</v>
      </c>
      <c r="B16354" s="2">
        <v>44785.0</v>
      </c>
      <c r="C16354" s="3">
        <v>0.7154398148148148</v>
      </c>
      <c r="D16354" s="1">
        <v>13.005057</v>
      </c>
      <c r="E16354" s="1">
        <v>80.201371</v>
      </c>
      <c r="F16354" s="1">
        <v>805.0</v>
      </c>
      <c r="G16354" s="1">
        <v>45.0</v>
      </c>
    </row>
    <row r="16355">
      <c r="A16355" s="1" t="s">
        <v>8</v>
      </c>
      <c r="B16355" s="2">
        <v>44785.0</v>
      </c>
      <c r="C16355" s="3">
        <v>0.7156134259259259</v>
      </c>
      <c r="D16355" s="1">
        <v>13.004778</v>
      </c>
      <c r="E16355" s="1">
        <v>80.201294</v>
      </c>
      <c r="F16355" s="1">
        <v>5339.0</v>
      </c>
      <c r="G16355" s="1">
        <v>49.0</v>
      </c>
    </row>
    <row r="16356">
      <c r="A16356" s="1" t="s">
        <v>8</v>
      </c>
      <c r="B16356" s="2">
        <v>44785.0</v>
      </c>
      <c r="C16356" s="3">
        <v>0.715775462962963</v>
      </c>
      <c r="D16356" s="1">
        <v>13.005799</v>
      </c>
      <c r="E16356" s="1">
        <v>80.20218</v>
      </c>
      <c r="F16356" s="1">
        <v>5339.0</v>
      </c>
      <c r="G16356" s="1">
        <v>53.0</v>
      </c>
    </row>
    <row r="16357">
      <c r="A16357" s="1" t="s">
        <v>8</v>
      </c>
      <c r="B16357" s="2">
        <v>44785.0</v>
      </c>
      <c r="C16357" s="3">
        <v>0.7161574074074074</v>
      </c>
      <c r="D16357" s="1">
        <v>13.007613</v>
      </c>
      <c r="E16357" s="1">
        <v>80.204112</v>
      </c>
      <c r="F16357" s="1">
        <v>805.0</v>
      </c>
      <c r="G16357" s="1">
        <v>51.0</v>
      </c>
    </row>
    <row r="16358">
      <c r="A16358" s="1" t="s">
        <v>8</v>
      </c>
      <c r="B16358" s="2">
        <v>44785.0</v>
      </c>
      <c r="C16358" s="3">
        <v>0.7161689814814814</v>
      </c>
      <c r="D16358" s="1">
        <v>13.007618</v>
      </c>
      <c r="E16358" s="1">
        <v>80.203666</v>
      </c>
      <c r="F16358" s="1">
        <v>5339.0</v>
      </c>
      <c r="G16358" s="1">
        <v>26.0</v>
      </c>
    </row>
    <row r="16359">
      <c r="A16359" s="1" t="s">
        <v>8</v>
      </c>
      <c r="B16359" s="2">
        <v>44785.0</v>
      </c>
      <c r="C16359" s="3">
        <v>0.7162962962962963</v>
      </c>
      <c r="D16359" s="1">
        <v>13.007748</v>
      </c>
      <c r="E16359" s="1">
        <v>80.206422</v>
      </c>
      <c r="F16359" s="1">
        <v>805.0</v>
      </c>
      <c r="G16359" s="1">
        <v>58.0</v>
      </c>
    </row>
    <row r="16360">
      <c r="A16360" s="1" t="s">
        <v>10</v>
      </c>
      <c r="B16360" s="2">
        <v>44785.0</v>
      </c>
      <c r="C16360" s="3">
        <v>0.7163425925925926</v>
      </c>
      <c r="D16360" s="1">
        <v>12.943205</v>
      </c>
      <c r="E16360" s="1">
        <v>80.18287</v>
      </c>
      <c r="F16360" s="1">
        <v>3143.0</v>
      </c>
      <c r="G16360" s="1">
        <v>42.0</v>
      </c>
    </row>
    <row r="16361">
      <c r="A16361" s="1" t="s">
        <v>8</v>
      </c>
      <c r="B16361" s="2">
        <v>44785.0</v>
      </c>
      <c r="C16361" s="3">
        <v>0.716412037037037</v>
      </c>
      <c r="D16361" s="1">
        <v>13.007748</v>
      </c>
      <c r="E16361" s="1">
        <v>80.206422</v>
      </c>
      <c r="F16361" s="1">
        <v>805.0</v>
      </c>
      <c r="G16361" s="1">
        <v>58.0</v>
      </c>
    </row>
    <row r="16362">
      <c r="A16362" s="1" t="s">
        <v>8</v>
      </c>
      <c r="B16362" s="2">
        <v>44785.0</v>
      </c>
      <c r="C16362" s="3">
        <v>0.7165393518518518</v>
      </c>
      <c r="D16362" s="1">
        <v>13.008001</v>
      </c>
      <c r="E16362" s="1">
        <v>80.208309</v>
      </c>
      <c r="F16362" s="1">
        <v>805.0</v>
      </c>
      <c r="G16362" s="1">
        <v>33.0</v>
      </c>
    </row>
    <row r="16363">
      <c r="A16363" s="1" t="s">
        <v>8</v>
      </c>
      <c r="B16363" s="2">
        <v>44785.0</v>
      </c>
      <c r="C16363" s="3">
        <v>0.7165625</v>
      </c>
      <c r="D16363" s="1">
        <v>13.008001</v>
      </c>
      <c r="E16363" s="1">
        <v>80.208309</v>
      </c>
      <c r="F16363" s="1">
        <v>805.0</v>
      </c>
      <c r="G16363" s="1">
        <v>33.0</v>
      </c>
    </row>
    <row r="16364">
      <c r="A16364" s="1" t="s">
        <v>8</v>
      </c>
      <c r="B16364" s="2">
        <v>44785.0</v>
      </c>
      <c r="C16364" s="3">
        <v>0.7168402777777778</v>
      </c>
      <c r="D16364" s="1">
        <v>13.007692</v>
      </c>
      <c r="E16364" s="1">
        <v>80.206082</v>
      </c>
      <c r="F16364" s="1">
        <v>5339.0</v>
      </c>
      <c r="G16364" s="1">
        <v>59.0</v>
      </c>
    </row>
    <row r="16365">
      <c r="A16365" s="1" t="s">
        <v>8</v>
      </c>
      <c r="B16365" s="2">
        <v>44785.0</v>
      </c>
      <c r="C16365" s="3">
        <v>0.7170601851851852</v>
      </c>
      <c r="D16365" s="1">
        <v>13.009406</v>
      </c>
      <c r="E16365" s="1">
        <v>80.212891</v>
      </c>
      <c r="F16365" s="1">
        <v>805.0</v>
      </c>
      <c r="G16365" s="1">
        <v>34.0</v>
      </c>
    </row>
    <row r="16366">
      <c r="A16366" s="1" t="s">
        <v>8</v>
      </c>
      <c r="B16366" s="2">
        <v>44785.0</v>
      </c>
      <c r="C16366" s="3">
        <v>0.7171296296296297</v>
      </c>
      <c r="D16366" s="1">
        <v>13.008651</v>
      </c>
      <c r="E16366" s="1">
        <v>80.210792</v>
      </c>
      <c r="F16366" s="1">
        <v>5339.0</v>
      </c>
      <c r="G16366" s="1">
        <v>46.0</v>
      </c>
    </row>
    <row r="16367">
      <c r="A16367" s="1" t="s">
        <v>10</v>
      </c>
      <c r="B16367" s="2">
        <v>44785.0</v>
      </c>
      <c r="C16367" s="3">
        <v>0.7174074074074074</v>
      </c>
      <c r="D16367" s="1">
        <v>12.691099</v>
      </c>
      <c r="E16367" s="1">
        <v>79.981002</v>
      </c>
      <c r="F16367" s="1">
        <v>2846.0</v>
      </c>
      <c r="G16367" s="1">
        <v>13.0</v>
      </c>
    </row>
    <row r="16368">
      <c r="A16368" s="1" t="s">
        <v>8</v>
      </c>
      <c r="B16368" s="2">
        <v>44785.0</v>
      </c>
      <c r="C16368" s="3">
        <v>0.7174768518518518</v>
      </c>
      <c r="D16368" s="1">
        <v>13.010437</v>
      </c>
      <c r="E16368" s="1">
        <v>80.216126</v>
      </c>
      <c r="F16368" s="1">
        <v>805.0</v>
      </c>
      <c r="G16368" s="1">
        <v>42.0</v>
      </c>
    </row>
    <row r="16369">
      <c r="A16369" s="1" t="s">
        <v>8</v>
      </c>
      <c r="B16369" s="2">
        <v>44785.0</v>
      </c>
      <c r="C16369" s="3">
        <v>0.7175231481481481</v>
      </c>
      <c r="D16369" s="1">
        <v>12.690946</v>
      </c>
      <c r="E16369" s="1">
        <v>79.981147</v>
      </c>
      <c r="F16369" s="1">
        <v>2846.0</v>
      </c>
      <c r="G16369" s="1">
        <v>15.0</v>
      </c>
    </row>
    <row r="16370">
      <c r="A16370" s="1" t="s">
        <v>8</v>
      </c>
      <c r="B16370" s="2">
        <v>44785.0</v>
      </c>
      <c r="C16370" s="3">
        <v>0.7175578703703703</v>
      </c>
      <c r="D16370" s="1">
        <v>13.011095</v>
      </c>
      <c r="E16370" s="1">
        <v>80.217545</v>
      </c>
      <c r="F16370" s="1">
        <v>805.0</v>
      </c>
      <c r="G16370" s="1">
        <v>38.0</v>
      </c>
    </row>
    <row r="16371">
      <c r="A16371" s="1" t="s">
        <v>8</v>
      </c>
      <c r="B16371" s="2">
        <v>44785.0</v>
      </c>
      <c r="C16371" s="3">
        <v>0.7177546296296297</v>
      </c>
      <c r="D16371" s="1">
        <v>13.009687</v>
      </c>
      <c r="E16371" s="1">
        <v>80.213489</v>
      </c>
      <c r="F16371" s="1">
        <v>5339.0</v>
      </c>
      <c r="G16371" s="1">
        <v>33.0</v>
      </c>
    </row>
    <row r="16372">
      <c r="A16372" s="1" t="s">
        <v>8</v>
      </c>
      <c r="B16372" s="2">
        <v>44785.0</v>
      </c>
      <c r="C16372" s="3">
        <v>0.7178356481481482</v>
      </c>
      <c r="D16372" s="1">
        <v>13.010017</v>
      </c>
      <c r="E16372" s="1">
        <v>80.214337</v>
      </c>
      <c r="F16372" s="1">
        <v>5339.0</v>
      </c>
      <c r="G16372" s="1">
        <v>36.0</v>
      </c>
    </row>
    <row r="16373">
      <c r="A16373" s="1" t="s">
        <v>8</v>
      </c>
      <c r="B16373" s="2">
        <v>44785.0</v>
      </c>
      <c r="C16373" s="3">
        <v>0.7180787037037037</v>
      </c>
      <c r="D16373" s="1">
        <v>13.010505</v>
      </c>
      <c r="E16373" s="1">
        <v>80.216185</v>
      </c>
      <c r="F16373" s="1">
        <v>5339.0</v>
      </c>
      <c r="G16373" s="1">
        <v>37.0</v>
      </c>
    </row>
    <row r="16374">
      <c r="A16374" s="1" t="s">
        <v>8</v>
      </c>
      <c r="B16374" s="2">
        <v>44785.0</v>
      </c>
      <c r="C16374" s="3">
        <v>0.7182407407407407</v>
      </c>
      <c r="D16374" s="1">
        <v>13.010919</v>
      </c>
      <c r="E16374" s="1">
        <v>80.21706</v>
      </c>
      <c r="F16374" s="1">
        <v>5339.0</v>
      </c>
      <c r="G16374" s="1">
        <v>42.0</v>
      </c>
    </row>
    <row r="16375">
      <c r="A16375" s="1" t="s">
        <v>8</v>
      </c>
      <c r="B16375" s="2">
        <v>44785.0</v>
      </c>
      <c r="C16375" s="3">
        <v>0.7183217592592592</v>
      </c>
      <c r="D16375" s="1">
        <v>13.011338</v>
      </c>
      <c r="E16375" s="1">
        <v>80.218046</v>
      </c>
      <c r="F16375" s="1">
        <v>5339.0</v>
      </c>
      <c r="G16375" s="1">
        <v>39.0</v>
      </c>
    </row>
    <row r="16376">
      <c r="A16376" s="1" t="s">
        <v>8</v>
      </c>
      <c r="B16376" s="2">
        <v>44785.0</v>
      </c>
      <c r="C16376" s="3">
        <v>0.7187268518518518</v>
      </c>
      <c r="D16376" s="1">
        <v>13.01546</v>
      </c>
      <c r="E16376" s="1">
        <v>80.225526</v>
      </c>
      <c r="F16376" s="1">
        <v>805.0</v>
      </c>
      <c r="G16376" s="1">
        <v>16.0</v>
      </c>
    </row>
    <row r="16377">
      <c r="A16377" s="1" t="s">
        <v>8</v>
      </c>
      <c r="B16377" s="2">
        <v>44785.0</v>
      </c>
      <c r="C16377" s="3">
        <v>0.718912037037037</v>
      </c>
      <c r="D16377" s="1">
        <v>13.014871</v>
      </c>
      <c r="E16377" s="1">
        <v>80.225973</v>
      </c>
      <c r="F16377" s="1">
        <v>805.0</v>
      </c>
      <c r="G16377" s="1">
        <v>19.0</v>
      </c>
    </row>
    <row r="16378">
      <c r="A16378" s="1" t="s">
        <v>8</v>
      </c>
      <c r="B16378" s="2">
        <v>44785.0</v>
      </c>
      <c r="C16378" s="3">
        <v>0.718912037037037</v>
      </c>
      <c r="D16378" s="1">
        <v>13.014871</v>
      </c>
      <c r="E16378" s="1">
        <v>80.225973</v>
      </c>
      <c r="F16378" s="1">
        <v>805.0</v>
      </c>
      <c r="G16378" s="1">
        <v>19.0</v>
      </c>
    </row>
    <row r="16379">
      <c r="A16379" s="1" t="s">
        <v>9</v>
      </c>
      <c r="B16379" s="2">
        <v>44785.0</v>
      </c>
      <c r="C16379" s="3">
        <v>0.7191550925925926</v>
      </c>
      <c r="D16379" s="1">
        <v>13.014025</v>
      </c>
      <c r="E16379" s="1">
        <v>80.226334</v>
      </c>
      <c r="F16379" s="1">
        <v>805.0</v>
      </c>
      <c r="G16379" s="1">
        <v>28.0</v>
      </c>
    </row>
    <row r="16380">
      <c r="A16380" s="1" t="s">
        <v>8</v>
      </c>
      <c r="B16380" s="2">
        <v>44785.0</v>
      </c>
      <c r="C16380" s="3">
        <v>0.7192939814814815</v>
      </c>
      <c r="D16380" s="1">
        <v>13.014399</v>
      </c>
      <c r="E16380" s="1">
        <v>80.223876</v>
      </c>
      <c r="F16380" s="1">
        <v>5339.0</v>
      </c>
      <c r="G16380" s="1">
        <v>38.0</v>
      </c>
    </row>
    <row r="16381">
      <c r="A16381" s="1" t="s">
        <v>8</v>
      </c>
      <c r="B16381" s="2">
        <v>44785.0</v>
      </c>
      <c r="C16381" s="3">
        <v>0.719375</v>
      </c>
      <c r="D16381" s="1">
        <v>13.012889</v>
      </c>
      <c r="E16381" s="1">
        <v>80.226758</v>
      </c>
      <c r="F16381" s="1">
        <v>805.0</v>
      </c>
      <c r="G16381" s="1">
        <v>28.0</v>
      </c>
    </row>
    <row r="16382">
      <c r="A16382" s="1" t="s">
        <v>8</v>
      </c>
      <c r="B16382" s="2">
        <v>44785.0</v>
      </c>
      <c r="C16382" s="3">
        <v>0.7195601851851852</v>
      </c>
      <c r="D16382" s="1">
        <v>13.011806</v>
      </c>
      <c r="E16382" s="1">
        <v>80.227216</v>
      </c>
      <c r="F16382" s="1">
        <v>805.0</v>
      </c>
      <c r="G16382" s="1">
        <v>36.0</v>
      </c>
    </row>
    <row r="16383">
      <c r="A16383" s="1" t="s">
        <v>8</v>
      </c>
      <c r="B16383" s="2">
        <v>44785.0</v>
      </c>
      <c r="C16383" s="3">
        <v>0.7196990740740741</v>
      </c>
      <c r="D16383" s="1">
        <v>13.010567</v>
      </c>
      <c r="E16383" s="1">
        <v>80.227734</v>
      </c>
      <c r="F16383" s="1">
        <v>805.0</v>
      </c>
      <c r="G16383" s="1">
        <v>29.0</v>
      </c>
    </row>
    <row r="16384">
      <c r="A16384" s="1" t="s">
        <v>8</v>
      </c>
      <c r="B16384" s="2">
        <v>44785.0</v>
      </c>
      <c r="C16384" s="3">
        <v>0.7197106481481481</v>
      </c>
      <c r="D16384" s="1">
        <v>13.010567</v>
      </c>
      <c r="E16384" s="1">
        <v>80.227734</v>
      </c>
      <c r="F16384" s="1">
        <v>805.0</v>
      </c>
      <c r="G16384" s="1">
        <v>29.0</v>
      </c>
    </row>
    <row r="16385">
      <c r="A16385" s="1" t="s">
        <v>8</v>
      </c>
      <c r="B16385" s="2">
        <v>44785.0</v>
      </c>
      <c r="C16385" s="3">
        <v>0.7198032407407408</v>
      </c>
      <c r="D16385" s="1">
        <v>13.019218</v>
      </c>
      <c r="E16385" s="1">
        <v>80.224422</v>
      </c>
      <c r="F16385" s="1">
        <v>5339.0</v>
      </c>
      <c r="G16385" s="1">
        <v>38.0</v>
      </c>
    </row>
    <row r="16386">
      <c r="A16386" s="1" t="s">
        <v>8</v>
      </c>
      <c r="B16386" s="2">
        <v>44785.0</v>
      </c>
      <c r="C16386" s="3">
        <v>0.7202083333333333</v>
      </c>
      <c r="D16386" s="1">
        <v>12.679855</v>
      </c>
      <c r="E16386" s="1">
        <v>79.980945</v>
      </c>
      <c r="F16386" s="1">
        <v>2846.0</v>
      </c>
      <c r="G16386" s="1">
        <v>7.0</v>
      </c>
    </row>
    <row r="16387">
      <c r="A16387" s="1" t="s">
        <v>10</v>
      </c>
      <c r="B16387" s="2">
        <v>44785.0</v>
      </c>
      <c r="C16387" s="3">
        <v>0.7203472222222222</v>
      </c>
      <c r="D16387" s="1">
        <v>12.955535</v>
      </c>
      <c r="E16387" s="1">
        <v>80.186776</v>
      </c>
      <c r="F16387" s="1">
        <v>3143.0</v>
      </c>
      <c r="G16387" s="1">
        <v>3.0</v>
      </c>
    </row>
    <row r="16388">
      <c r="A16388" s="1" t="s">
        <v>10</v>
      </c>
      <c r="B16388" s="2">
        <v>44785.0</v>
      </c>
      <c r="C16388" s="3">
        <v>0.7219097222222223</v>
      </c>
      <c r="D16388" s="1">
        <v>12.961916</v>
      </c>
      <c r="E16388" s="1">
        <v>80.187336</v>
      </c>
      <c r="F16388" s="1">
        <v>3143.0</v>
      </c>
      <c r="G16388" s="1">
        <v>16.0</v>
      </c>
    </row>
    <row r="16389">
      <c r="A16389" s="1" t="s">
        <v>10</v>
      </c>
      <c r="B16389" s="2">
        <v>44785.0</v>
      </c>
      <c r="C16389" s="3">
        <v>0.7222800925925926</v>
      </c>
      <c r="D16389" s="1">
        <v>12.963177</v>
      </c>
      <c r="E16389" s="1">
        <v>80.187515</v>
      </c>
      <c r="F16389" s="1">
        <v>3143.0</v>
      </c>
      <c r="G16389" s="1">
        <v>17.0</v>
      </c>
    </row>
    <row r="16390">
      <c r="A16390" s="1" t="s">
        <v>10</v>
      </c>
      <c r="B16390" s="2">
        <v>44785.0</v>
      </c>
      <c r="C16390" s="3">
        <v>0.7225578703703703</v>
      </c>
      <c r="D16390" s="1">
        <v>12.963687</v>
      </c>
      <c r="E16390" s="1">
        <v>80.187657</v>
      </c>
      <c r="F16390" s="1">
        <v>3143.0</v>
      </c>
      <c r="G16390" s="1">
        <v>0.0</v>
      </c>
    </row>
    <row r="16391">
      <c r="A16391" s="1" t="s">
        <v>8</v>
      </c>
      <c r="B16391" s="2">
        <v>44785.0</v>
      </c>
      <c r="C16391" s="3">
        <v>0.7231828703703703</v>
      </c>
      <c r="D16391" s="1">
        <v>13.027468</v>
      </c>
      <c r="E16391" s="1">
        <v>80.234422</v>
      </c>
      <c r="F16391" s="1">
        <v>5339.0</v>
      </c>
      <c r="G16391" s="1">
        <v>31.0</v>
      </c>
    </row>
    <row r="16392">
      <c r="A16392" s="1" t="s">
        <v>8</v>
      </c>
      <c r="B16392" s="2">
        <v>44785.0</v>
      </c>
      <c r="C16392" s="3">
        <v>0.7232523148148148</v>
      </c>
      <c r="D16392" s="1">
        <v>13.027468</v>
      </c>
      <c r="E16392" s="1">
        <v>80.234422</v>
      </c>
      <c r="F16392" s="1">
        <v>5339.0</v>
      </c>
      <c r="G16392" s="1">
        <v>31.0</v>
      </c>
    </row>
    <row r="16393">
      <c r="A16393" s="1" t="s">
        <v>8</v>
      </c>
      <c r="B16393" s="2">
        <v>44785.0</v>
      </c>
      <c r="C16393" s="3">
        <v>0.7234953703703704</v>
      </c>
      <c r="D16393" s="1">
        <v>13.029139</v>
      </c>
      <c r="E16393" s="1">
        <v>80.236669</v>
      </c>
      <c r="F16393" s="1">
        <v>5339.0</v>
      </c>
      <c r="G16393" s="1">
        <v>57.0</v>
      </c>
    </row>
    <row r="16394">
      <c r="A16394" s="1" t="s">
        <v>10</v>
      </c>
      <c r="B16394" s="2">
        <v>44785.0</v>
      </c>
      <c r="C16394" s="3">
        <v>0.7239467592592592</v>
      </c>
      <c r="D16394" s="1">
        <v>12.9654</v>
      </c>
      <c r="E16394" s="1">
        <v>80.191466</v>
      </c>
      <c r="F16394" s="1">
        <v>3143.0</v>
      </c>
      <c r="G16394" s="1">
        <v>12.0</v>
      </c>
    </row>
    <row r="16395">
      <c r="A16395" s="1" t="s">
        <v>8</v>
      </c>
      <c r="B16395" s="2">
        <v>44785.0</v>
      </c>
      <c r="C16395" s="3">
        <v>0.7247916666666666</v>
      </c>
      <c r="D16395" s="1">
        <v>13.031345</v>
      </c>
      <c r="E16395" s="1">
        <v>80.24022</v>
      </c>
      <c r="F16395" s="1">
        <v>5339.0</v>
      </c>
      <c r="G16395" s="1">
        <v>35.0</v>
      </c>
    </row>
    <row r="16396">
      <c r="A16396" s="1" t="s">
        <v>8</v>
      </c>
      <c r="B16396" s="2">
        <v>44785.0</v>
      </c>
      <c r="C16396" s="3">
        <v>0.7249884259259259</v>
      </c>
      <c r="D16396" s="1">
        <v>13.031783</v>
      </c>
      <c r="E16396" s="1">
        <v>80.241183</v>
      </c>
      <c r="F16396" s="1">
        <v>5339.0</v>
      </c>
      <c r="G16396" s="1">
        <v>47.0</v>
      </c>
    </row>
    <row r="16397">
      <c r="A16397" s="1" t="s">
        <v>8</v>
      </c>
      <c r="B16397" s="2">
        <v>44785.0</v>
      </c>
      <c r="C16397" s="3">
        <v>0.7253819444444445</v>
      </c>
      <c r="D16397" s="1">
        <v>13.033274</v>
      </c>
      <c r="E16397" s="1">
        <v>80.2435</v>
      </c>
      <c r="F16397" s="1">
        <v>5339.0</v>
      </c>
      <c r="G16397" s="1">
        <v>17.0</v>
      </c>
    </row>
    <row r="16398">
      <c r="A16398" s="1" t="s">
        <v>10</v>
      </c>
      <c r="B16398" s="2">
        <v>44785.0</v>
      </c>
      <c r="C16398" s="3">
        <v>0.7288194444444445</v>
      </c>
      <c r="D16398" s="1">
        <v>13.006714</v>
      </c>
      <c r="E16398" s="1">
        <v>80.245718</v>
      </c>
      <c r="F16398" s="1">
        <v>805.0</v>
      </c>
      <c r="G16398" s="1">
        <v>21.0</v>
      </c>
    </row>
    <row r="16399">
      <c r="A16399" s="1" t="s">
        <v>7</v>
      </c>
      <c r="B16399" s="2">
        <v>44785.0</v>
      </c>
      <c r="C16399" s="3">
        <v>0.7297337962962963</v>
      </c>
      <c r="D16399" s="1">
        <v>12.622711</v>
      </c>
      <c r="E16399" s="1">
        <v>79.928078</v>
      </c>
      <c r="F16399" s="1">
        <v>2846.0</v>
      </c>
      <c r="G16399" s="1">
        <v>57.0</v>
      </c>
    </row>
    <row r="16400">
      <c r="A16400" s="1" t="s">
        <v>7</v>
      </c>
      <c r="B16400" s="2">
        <v>44785.0</v>
      </c>
      <c r="C16400" s="3">
        <v>0.7299768518518519</v>
      </c>
      <c r="D16400" s="1">
        <v>12.619927</v>
      </c>
      <c r="E16400" s="1">
        <v>79.927134</v>
      </c>
      <c r="F16400" s="1">
        <v>2846.0</v>
      </c>
      <c r="G16400" s="1">
        <v>58.0</v>
      </c>
    </row>
    <row r="16401">
      <c r="A16401" s="1" t="s">
        <v>7</v>
      </c>
      <c r="B16401" s="2">
        <v>44785.0</v>
      </c>
      <c r="C16401" s="3">
        <v>0.7302083333333333</v>
      </c>
      <c r="D16401" s="1">
        <v>12.619927</v>
      </c>
      <c r="E16401" s="1">
        <v>79.927134</v>
      </c>
      <c r="F16401" s="1">
        <v>2846.0</v>
      </c>
      <c r="G16401" s="1">
        <v>58.0</v>
      </c>
    </row>
    <row r="16402">
      <c r="A16402" s="1" t="s">
        <v>8</v>
      </c>
      <c r="B16402" s="2">
        <v>44785.0</v>
      </c>
      <c r="C16402" s="3">
        <v>0.7302430555555556</v>
      </c>
      <c r="D16402" s="1">
        <v>13.006758</v>
      </c>
      <c r="E16402" s="1">
        <v>80.251878</v>
      </c>
      <c r="F16402" s="1">
        <v>805.0</v>
      </c>
      <c r="G16402" s="1">
        <v>26.0</v>
      </c>
    </row>
    <row r="16403">
      <c r="A16403" s="1" t="s">
        <v>8</v>
      </c>
      <c r="B16403" s="2">
        <v>44785.0</v>
      </c>
      <c r="C16403" s="3">
        <v>0.7307638888888889</v>
      </c>
      <c r="D16403" s="1">
        <v>13.046108</v>
      </c>
      <c r="E16403" s="1">
        <v>80.248195</v>
      </c>
      <c r="F16403" s="1">
        <v>5339.0</v>
      </c>
      <c r="G16403" s="1">
        <v>32.0</v>
      </c>
    </row>
    <row r="16404">
      <c r="A16404" s="1" t="s">
        <v>7</v>
      </c>
      <c r="B16404" s="2">
        <v>44785.0</v>
      </c>
      <c r="C16404" s="3">
        <v>0.7309027777777778</v>
      </c>
      <c r="D16404" s="1">
        <v>12.61315</v>
      </c>
      <c r="E16404" s="1">
        <v>79.92455</v>
      </c>
      <c r="F16404" s="1">
        <v>2846.0</v>
      </c>
      <c r="G16404" s="1">
        <v>58.0</v>
      </c>
    </row>
    <row r="16405">
      <c r="A16405" s="1" t="s">
        <v>8</v>
      </c>
      <c r="B16405" s="2">
        <v>44785.0</v>
      </c>
      <c r="C16405" s="3">
        <v>0.730925925925926</v>
      </c>
      <c r="D16405" s="1">
        <v>13.046866</v>
      </c>
      <c r="E16405" s="1">
        <v>80.248336</v>
      </c>
      <c r="F16405" s="1">
        <v>5339.0</v>
      </c>
      <c r="G16405" s="1">
        <v>27.0</v>
      </c>
    </row>
    <row r="16406">
      <c r="A16406" s="1" t="s">
        <v>8</v>
      </c>
      <c r="B16406" s="2">
        <v>44785.0</v>
      </c>
      <c r="C16406" s="3">
        <v>0.7310069444444445</v>
      </c>
      <c r="D16406" s="1">
        <v>13.04755</v>
      </c>
      <c r="E16406" s="1">
        <v>80.248728</v>
      </c>
      <c r="F16406" s="1">
        <v>5339.0</v>
      </c>
      <c r="G16406" s="1">
        <v>33.0</v>
      </c>
    </row>
    <row r="16407">
      <c r="A16407" s="1" t="s">
        <v>8</v>
      </c>
      <c r="B16407" s="2">
        <v>44785.0</v>
      </c>
      <c r="C16407" s="3">
        <v>0.7313888888888889</v>
      </c>
      <c r="D16407" s="1">
        <v>13.04953</v>
      </c>
      <c r="E16407" s="1">
        <v>80.24975</v>
      </c>
      <c r="F16407" s="1">
        <v>5339.0</v>
      </c>
      <c r="G16407" s="1">
        <v>23.0</v>
      </c>
    </row>
    <row r="16408">
      <c r="A16408" s="1" t="s">
        <v>8</v>
      </c>
      <c r="B16408" s="2">
        <v>44785.0</v>
      </c>
      <c r="C16408" s="3">
        <v>0.7315277777777778</v>
      </c>
      <c r="D16408" s="1">
        <v>13.050245</v>
      </c>
      <c r="E16408" s="1">
        <v>80.249861</v>
      </c>
      <c r="F16408" s="1">
        <v>5339.0</v>
      </c>
      <c r="G16408" s="1">
        <v>32.0</v>
      </c>
    </row>
    <row r="16409">
      <c r="A16409" s="1" t="s">
        <v>8</v>
      </c>
      <c r="B16409" s="2">
        <v>44785.0</v>
      </c>
      <c r="C16409" s="3">
        <v>0.7318171296296296</v>
      </c>
      <c r="D16409" s="1">
        <v>13.052297</v>
      </c>
      <c r="E16409" s="1">
        <v>80.250904</v>
      </c>
      <c r="F16409" s="1">
        <v>5339.0</v>
      </c>
      <c r="G16409" s="1">
        <v>39.0</v>
      </c>
    </row>
    <row r="16410">
      <c r="A16410" s="1" t="s">
        <v>8</v>
      </c>
      <c r="B16410" s="2">
        <v>44785.0</v>
      </c>
      <c r="C16410" s="3">
        <v>0.7325347222222223</v>
      </c>
      <c r="D16410" s="1">
        <v>12.967327</v>
      </c>
      <c r="E16410" s="1">
        <v>80.217469</v>
      </c>
      <c r="F16410" s="1">
        <v>3143.0</v>
      </c>
      <c r="G16410" s="1">
        <v>52.0</v>
      </c>
    </row>
    <row r="16411">
      <c r="A16411" s="1" t="s">
        <v>8</v>
      </c>
      <c r="B16411" s="2">
        <v>44785.0</v>
      </c>
      <c r="C16411" s="3">
        <v>0.7328935185185185</v>
      </c>
      <c r="D16411" s="1">
        <v>13.009143</v>
      </c>
      <c r="E16411" s="1">
        <v>80.259041</v>
      </c>
      <c r="F16411" s="1">
        <v>805.0</v>
      </c>
      <c r="G16411" s="1">
        <v>21.0</v>
      </c>
    </row>
    <row r="16412">
      <c r="A16412" s="1" t="s">
        <v>7</v>
      </c>
      <c r="B16412" s="2">
        <v>44785.0</v>
      </c>
      <c r="C16412" s="3">
        <v>0.7329745370370371</v>
      </c>
      <c r="D16412" s="1">
        <v>12.586098</v>
      </c>
      <c r="E16412" s="1">
        <v>79.91948</v>
      </c>
      <c r="F16412" s="1">
        <v>2846.0</v>
      </c>
      <c r="G16412" s="1">
        <v>55.0</v>
      </c>
    </row>
    <row r="16413">
      <c r="A16413" s="1" t="s">
        <v>7</v>
      </c>
      <c r="B16413" s="2">
        <v>44785.0</v>
      </c>
      <c r="C16413" s="3">
        <v>0.7332638888888889</v>
      </c>
      <c r="D16413" s="1">
        <v>12.586098</v>
      </c>
      <c r="E16413" s="1">
        <v>79.91948</v>
      </c>
      <c r="F16413" s="1">
        <v>2846.0</v>
      </c>
      <c r="G16413" s="1">
        <v>55.0</v>
      </c>
    </row>
    <row r="16414">
      <c r="A16414" s="1" t="s">
        <v>7</v>
      </c>
      <c r="B16414" s="2">
        <v>44785.0</v>
      </c>
      <c r="C16414" s="3">
        <v>0.7333796296296297</v>
      </c>
      <c r="D16414" s="1">
        <v>12.58179</v>
      </c>
      <c r="E16414" s="1">
        <v>79.919024</v>
      </c>
      <c r="F16414" s="1">
        <v>2846.0</v>
      </c>
      <c r="G16414" s="1">
        <v>57.0</v>
      </c>
    </row>
    <row r="16415">
      <c r="A16415" s="1" t="s">
        <v>8</v>
      </c>
      <c r="B16415" s="2">
        <v>44785.0</v>
      </c>
      <c r="C16415" s="3">
        <v>0.7335185185185186</v>
      </c>
      <c r="D16415" s="1">
        <v>12.579149</v>
      </c>
      <c r="E16415" s="1">
        <v>79.917999</v>
      </c>
      <c r="F16415" s="1">
        <v>2846.0</v>
      </c>
      <c r="G16415" s="1">
        <v>51.0</v>
      </c>
    </row>
    <row r="16416">
      <c r="A16416" s="1" t="s">
        <v>7</v>
      </c>
      <c r="B16416" s="2">
        <v>44785.0</v>
      </c>
      <c r="C16416" s="3">
        <v>0.733912037037037</v>
      </c>
      <c r="D16416" s="1">
        <v>12.57579</v>
      </c>
      <c r="E16416" s="1">
        <v>79.917119</v>
      </c>
      <c r="F16416" s="1">
        <v>2846.0</v>
      </c>
      <c r="G16416" s="1">
        <v>50.0</v>
      </c>
    </row>
    <row r="16417">
      <c r="A16417" s="1" t="s">
        <v>7</v>
      </c>
      <c r="B16417" s="2">
        <v>44785.0</v>
      </c>
      <c r="C16417" s="3">
        <v>0.7342476851851852</v>
      </c>
      <c r="D16417" s="1">
        <v>12.57306</v>
      </c>
      <c r="E16417" s="1">
        <v>79.916538</v>
      </c>
      <c r="F16417" s="1">
        <v>2846.0</v>
      </c>
      <c r="G16417" s="1">
        <v>56.0</v>
      </c>
    </row>
    <row r="16418">
      <c r="A16418" s="1" t="s">
        <v>8</v>
      </c>
      <c r="B16418" s="2">
        <v>44785.0</v>
      </c>
      <c r="C16418" s="3">
        <v>0.7348263888888888</v>
      </c>
      <c r="D16418" s="1">
        <v>12.975832</v>
      </c>
      <c r="E16418" s="1">
        <v>80.221274</v>
      </c>
      <c r="F16418" s="1">
        <v>3143.0</v>
      </c>
      <c r="G16418" s="1">
        <v>7.0</v>
      </c>
    </row>
    <row r="16419">
      <c r="A16419" s="1" t="s">
        <v>7</v>
      </c>
      <c r="B16419" s="2">
        <v>44785.0</v>
      </c>
      <c r="C16419" s="3">
        <v>0.7351388888888889</v>
      </c>
      <c r="D16419" s="1">
        <v>12.565997</v>
      </c>
      <c r="E16419" s="1">
        <v>79.914654</v>
      </c>
      <c r="F16419" s="1">
        <v>2846.0</v>
      </c>
      <c r="G16419" s="1">
        <v>58.0</v>
      </c>
    </row>
    <row r="16420">
      <c r="A16420" s="1" t="s">
        <v>8</v>
      </c>
      <c r="B16420" s="2">
        <v>44785.0</v>
      </c>
      <c r="C16420" s="3">
        <v>0.7353009259259259</v>
      </c>
      <c r="D16420" s="1">
        <v>12.973959</v>
      </c>
      <c r="E16420" s="1">
        <v>80.220309</v>
      </c>
      <c r="F16420" s="1">
        <v>3143.0</v>
      </c>
      <c r="G16420" s="1">
        <v>31.0</v>
      </c>
    </row>
    <row r="16421">
      <c r="A16421" s="1" t="s">
        <v>10</v>
      </c>
      <c r="B16421" s="2">
        <v>44785.0</v>
      </c>
      <c r="C16421" s="3">
        <v>0.7354166666666667</v>
      </c>
      <c r="D16421" s="1">
        <v>13.02249</v>
      </c>
      <c r="E16421" s="1">
        <v>80.263563</v>
      </c>
      <c r="F16421" s="1">
        <v>805.0</v>
      </c>
      <c r="G16421" s="1">
        <v>17.0</v>
      </c>
    </row>
    <row r="16422">
      <c r="A16422" s="1" t="s">
        <v>8</v>
      </c>
      <c r="B16422" s="2">
        <v>44785.0</v>
      </c>
      <c r="C16422" s="3">
        <v>0.736087962962963</v>
      </c>
      <c r="D16422" s="1">
        <v>12.968519</v>
      </c>
      <c r="E16422" s="1">
        <v>80.21804</v>
      </c>
      <c r="F16422" s="1">
        <v>3143.0</v>
      </c>
      <c r="G16422" s="1">
        <v>50.0</v>
      </c>
    </row>
    <row r="16423">
      <c r="A16423" s="1" t="s">
        <v>8</v>
      </c>
      <c r="B16423" s="2">
        <v>44785.0</v>
      </c>
      <c r="C16423" s="3">
        <v>0.7363078703703704</v>
      </c>
      <c r="D16423" s="1">
        <v>12.966592</v>
      </c>
      <c r="E16423" s="1">
        <v>80.217278</v>
      </c>
      <c r="F16423" s="1">
        <v>3143.0</v>
      </c>
      <c r="G16423" s="1">
        <v>51.0</v>
      </c>
    </row>
    <row r="16424">
      <c r="A16424" s="1" t="s">
        <v>8</v>
      </c>
      <c r="B16424" s="2">
        <v>44785.0</v>
      </c>
      <c r="C16424" s="3">
        <v>0.7363310185185186</v>
      </c>
      <c r="D16424" s="1">
        <v>12.966592</v>
      </c>
      <c r="E16424" s="1">
        <v>80.217278</v>
      </c>
      <c r="F16424" s="1">
        <v>3143.0</v>
      </c>
      <c r="G16424" s="1">
        <v>51.0</v>
      </c>
    </row>
    <row r="16425">
      <c r="A16425" s="1" t="s">
        <v>7</v>
      </c>
      <c r="B16425" s="2">
        <v>44785.0</v>
      </c>
      <c r="C16425" s="3">
        <v>0.7363541666666666</v>
      </c>
      <c r="D16425" s="1">
        <v>12.559576</v>
      </c>
      <c r="E16425" s="1">
        <v>79.911082</v>
      </c>
      <c r="F16425" s="1">
        <v>2846.0</v>
      </c>
      <c r="G16425" s="1">
        <v>58.0</v>
      </c>
    </row>
    <row r="16426">
      <c r="A16426" s="1" t="s">
        <v>8</v>
      </c>
      <c r="B16426" s="2">
        <v>44785.0</v>
      </c>
      <c r="C16426" s="3">
        <v>0.7365625</v>
      </c>
      <c r="D16426" s="1">
        <v>12.96343</v>
      </c>
      <c r="E16426" s="1">
        <v>80.216015</v>
      </c>
      <c r="F16426" s="1">
        <v>3143.0</v>
      </c>
      <c r="G16426" s="1">
        <v>27.0</v>
      </c>
    </row>
    <row r="16427">
      <c r="A16427" s="1" t="s">
        <v>7</v>
      </c>
      <c r="B16427" s="2">
        <v>44785.0</v>
      </c>
      <c r="C16427" s="3">
        <v>0.7365856481481482</v>
      </c>
      <c r="D16427" s="1">
        <v>12.544586</v>
      </c>
      <c r="E16427" s="1">
        <v>79.905185</v>
      </c>
      <c r="F16427" s="1">
        <v>2846.0</v>
      </c>
      <c r="G16427" s="1">
        <v>57.0</v>
      </c>
    </row>
    <row r="16428">
      <c r="A16428" s="1" t="s">
        <v>7</v>
      </c>
      <c r="B16428" s="2">
        <v>44785.0</v>
      </c>
      <c r="C16428" s="3">
        <v>0.7369328703703704</v>
      </c>
      <c r="D16428" s="1">
        <v>12.540528</v>
      </c>
      <c r="E16428" s="1">
        <v>79.904416</v>
      </c>
      <c r="F16428" s="1">
        <v>2846.0</v>
      </c>
      <c r="G16428" s="1">
        <v>59.0</v>
      </c>
    </row>
    <row r="16429">
      <c r="A16429" s="1" t="s">
        <v>8</v>
      </c>
      <c r="B16429" s="2">
        <v>44785.0</v>
      </c>
      <c r="C16429" s="3">
        <v>0.7375694444444445</v>
      </c>
      <c r="D16429" s="1">
        <v>12.534082</v>
      </c>
      <c r="E16429" s="1">
        <v>79.901432</v>
      </c>
      <c r="F16429" s="1">
        <v>2846.0</v>
      </c>
      <c r="G16429" s="1">
        <v>58.0</v>
      </c>
    </row>
    <row r="16430">
      <c r="A16430" s="1" t="s">
        <v>8</v>
      </c>
      <c r="B16430" s="2">
        <v>44785.0</v>
      </c>
      <c r="C16430" s="3">
        <v>0.7376273148148148</v>
      </c>
      <c r="D16430" s="1">
        <v>12.532762</v>
      </c>
      <c r="E16430" s="1">
        <v>79.900898</v>
      </c>
      <c r="F16430" s="1">
        <v>2846.0</v>
      </c>
      <c r="G16430" s="1">
        <v>54.0</v>
      </c>
    </row>
    <row r="16431">
      <c r="A16431" s="1" t="s">
        <v>7</v>
      </c>
      <c r="B16431" s="2">
        <v>44785.0</v>
      </c>
      <c r="C16431" s="3">
        <v>0.739212962962963</v>
      </c>
      <c r="D16431" s="1">
        <v>12.518461</v>
      </c>
      <c r="E16431" s="1">
        <v>79.892179</v>
      </c>
      <c r="F16431" s="1">
        <v>2846.0</v>
      </c>
      <c r="G16431" s="1">
        <v>56.0</v>
      </c>
    </row>
    <row r="16432">
      <c r="A16432" s="1" t="s">
        <v>8</v>
      </c>
      <c r="B16432" s="2">
        <v>44785.0</v>
      </c>
      <c r="C16432" s="3">
        <v>0.7413888888888889</v>
      </c>
      <c r="D16432" s="1">
        <v>12.948471</v>
      </c>
      <c r="E16432" s="1">
        <v>80.198653</v>
      </c>
      <c r="F16432" s="1">
        <v>3143.0</v>
      </c>
      <c r="G16432" s="1">
        <v>27.0</v>
      </c>
    </row>
    <row r="16433">
      <c r="A16433" s="1" t="s">
        <v>7</v>
      </c>
      <c r="B16433" s="2">
        <v>44785.0</v>
      </c>
      <c r="C16433" s="3">
        <v>0.7426388888888888</v>
      </c>
      <c r="D16433" s="1">
        <v>12.948754</v>
      </c>
      <c r="E16433" s="1">
        <v>80.18883</v>
      </c>
      <c r="F16433" s="1">
        <v>3143.0</v>
      </c>
      <c r="G16433" s="1">
        <v>30.0</v>
      </c>
    </row>
    <row r="16434">
      <c r="A16434" s="1" t="s">
        <v>8</v>
      </c>
      <c r="B16434" s="2">
        <v>44785.0</v>
      </c>
      <c r="C16434" s="3">
        <v>0.7430208333333334</v>
      </c>
      <c r="D16434" s="1">
        <v>12.949009</v>
      </c>
      <c r="E16434" s="1">
        <v>80.185147</v>
      </c>
      <c r="F16434" s="1">
        <v>3143.0</v>
      </c>
      <c r="G16434" s="1">
        <v>52.0</v>
      </c>
    </row>
    <row r="16435">
      <c r="A16435" s="1" t="s">
        <v>8</v>
      </c>
      <c r="B16435" s="2">
        <v>44785.0</v>
      </c>
      <c r="C16435" s="3">
        <v>0.7432523148148148</v>
      </c>
      <c r="D16435" s="1">
        <v>12.949306</v>
      </c>
      <c r="E16435" s="1">
        <v>80.182976</v>
      </c>
      <c r="F16435" s="1">
        <v>3143.0</v>
      </c>
      <c r="G16435" s="1">
        <v>55.0</v>
      </c>
    </row>
    <row r="16436">
      <c r="A16436" s="1" t="s">
        <v>8</v>
      </c>
      <c r="B16436" s="2">
        <v>44785.0</v>
      </c>
      <c r="C16436" s="3">
        <v>0.7433680555555555</v>
      </c>
      <c r="D16436" s="1">
        <v>12.949717</v>
      </c>
      <c r="E16436" s="1">
        <v>80.180854</v>
      </c>
      <c r="F16436" s="1">
        <v>3143.0</v>
      </c>
      <c r="G16436" s="1">
        <v>45.0</v>
      </c>
    </row>
    <row r="16437">
      <c r="A16437" s="1" t="s">
        <v>7</v>
      </c>
      <c r="B16437" s="2">
        <v>44785.0</v>
      </c>
      <c r="C16437" s="3">
        <v>0.7437152777777778</v>
      </c>
      <c r="D16437" s="1">
        <v>12.501472</v>
      </c>
      <c r="E16437" s="1">
        <v>79.876493</v>
      </c>
      <c r="F16437" s="1">
        <v>2846.0</v>
      </c>
      <c r="G16437" s="1">
        <v>57.0</v>
      </c>
    </row>
    <row r="16438">
      <c r="A16438" s="1" t="s">
        <v>7</v>
      </c>
      <c r="B16438" s="2">
        <v>44785.0</v>
      </c>
      <c r="C16438" s="3">
        <v>0.7438657407407407</v>
      </c>
      <c r="D16438" s="1">
        <v>12.497272</v>
      </c>
      <c r="E16438" s="1">
        <v>79.873134</v>
      </c>
      <c r="F16438" s="1">
        <v>2846.0</v>
      </c>
      <c r="G16438" s="1">
        <v>57.0</v>
      </c>
    </row>
    <row r="16439">
      <c r="A16439" s="1" t="s">
        <v>8</v>
      </c>
      <c r="B16439" s="2">
        <v>44785.0</v>
      </c>
      <c r="C16439" s="3">
        <v>0.7441319444444444</v>
      </c>
      <c r="D16439" s="1">
        <v>12.951079</v>
      </c>
      <c r="E16439" s="1">
        <v>80.174819</v>
      </c>
      <c r="F16439" s="1">
        <v>3143.0</v>
      </c>
      <c r="G16439" s="1">
        <v>0.0</v>
      </c>
    </row>
    <row r="16440">
      <c r="A16440" s="1" t="s">
        <v>8</v>
      </c>
      <c r="B16440" s="2">
        <v>44785.0</v>
      </c>
      <c r="C16440" s="3">
        <v>0.7442361111111111</v>
      </c>
      <c r="D16440" s="1">
        <v>13.042823</v>
      </c>
      <c r="E16440" s="1">
        <v>80.267864</v>
      </c>
      <c r="F16440" s="1">
        <v>805.0</v>
      </c>
      <c r="G16440" s="1">
        <v>22.0</v>
      </c>
    </row>
    <row r="16441">
      <c r="A16441" s="1" t="s">
        <v>8</v>
      </c>
      <c r="B16441" s="2">
        <v>44785.0</v>
      </c>
      <c r="C16441" s="3">
        <v>0.7449652777777778</v>
      </c>
      <c r="D16441" s="1">
        <v>12.951801</v>
      </c>
      <c r="E16441" s="1">
        <v>80.171413</v>
      </c>
      <c r="F16441" s="1">
        <v>3143.0</v>
      </c>
      <c r="G16441" s="1">
        <v>9.0</v>
      </c>
    </row>
    <row r="16442">
      <c r="A16442" s="1" t="s">
        <v>8</v>
      </c>
      <c r="B16442" s="2">
        <v>44785.0</v>
      </c>
      <c r="C16442" s="3">
        <v>0.7451851851851852</v>
      </c>
      <c r="D16442" s="1">
        <v>12.951946</v>
      </c>
      <c r="E16442" s="1">
        <v>80.170587</v>
      </c>
      <c r="F16442" s="1">
        <v>3143.0</v>
      </c>
      <c r="G16442" s="1">
        <v>32.0</v>
      </c>
    </row>
    <row r="16443">
      <c r="A16443" s="1" t="s">
        <v>7</v>
      </c>
      <c r="B16443" s="2">
        <v>44785.0</v>
      </c>
      <c r="C16443" s="3">
        <v>0.7454166666666666</v>
      </c>
      <c r="D16443" s="1">
        <v>12.484572</v>
      </c>
      <c r="E16443" s="1">
        <v>79.863253</v>
      </c>
      <c r="F16443" s="1">
        <v>2846.0</v>
      </c>
      <c r="G16443" s="1">
        <v>53.0</v>
      </c>
    </row>
    <row r="16444">
      <c r="A16444" s="1" t="s">
        <v>7</v>
      </c>
      <c r="B16444" s="2">
        <v>44785.0</v>
      </c>
      <c r="C16444" s="3">
        <v>0.745636574074074</v>
      </c>
      <c r="D16444" s="1">
        <v>12.48128</v>
      </c>
      <c r="E16444" s="1">
        <v>79.860867</v>
      </c>
      <c r="F16444" s="1">
        <v>2846.0</v>
      </c>
      <c r="G16444" s="1">
        <v>53.0</v>
      </c>
    </row>
    <row r="16445">
      <c r="A16445" s="1" t="s">
        <v>7</v>
      </c>
      <c r="B16445" s="2">
        <v>44785.0</v>
      </c>
      <c r="C16445" s="3">
        <v>0.7458333333333333</v>
      </c>
      <c r="D16445" s="1">
        <v>12.953104</v>
      </c>
      <c r="E16445" s="1">
        <v>80.165278</v>
      </c>
      <c r="F16445" s="1">
        <v>3143.0</v>
      </c>
      <c r="G16445" s="1">
        <v>38.0</v>
      </c>
    </row>
    <row r="16446">
      <c r="A16446" s="1" t="s">
        <v>8</v>
      </c>
      <c r="B16446" s="2">
        <v>44785.0</v>
      </c>
      <c r="C16446" s="3">
        <v>0.7459143518518518</v>
      </c>
      <c r="D16446" s="1">
        <v>12.953487</v>
      </c>
      <c r="E16446" s="1">
        <v>80.163583</v>
      </c>
      <c r="F16446" s="1">
        <v>3143.0</v>
      </c>
      <c r="G16446" s="1">
        <v>48.0</v>
      </c>
    </row>
    <row r="16447">
      <c r="A16447" s="1" t="s">
        <v>7</v>
      </c>
      <c r="B16447" s="2">
        <v>44785.0</v>
      </c>
      <c r="C16447" s="3">
        <v>0.7461226851851852</v>
      </c>
      <c r="D16447" s="1">
        <v>12.480029</v>
      </c>
      <c r="E16447" s="1">
        <v>79.860318</v>
      </c>
      <c r="F16447" s="1">
        <v>2846.0</v>
      </c>
      <c r="G16447" s="1">
        <v>54.0</v>
      </c>
    </row>
    <row r="16448">
      <c r="A16448" s="1" t="s">
        <v>7</v>
      </c>
      <c r="B16448" s="2">
        <v>44785.0</v>
      </c>
      <c r="C16448" s="3">
        <v>0.7466550925925926</v>
      </c>
      <c r="D16448" s="1">
        <v>12.954506</v>
      </c>
      <c r="E16448" s="1">
        <v>80.15856</v>
      </c>
      <c r="F16448" s="1">
        <v>3143.0</v>
      </c>
      <c r="G16448" s="1">
        <v>31.0</v>
      </c>
    </row>
    <row r="16449">
      <c r="A16449" s="1" t="s">
        <v>8</v>
      </c>
      <c r="B16449" s="2">
        <v>44785.0</v>
      </c>
      <c r="C16449" s="3">
        <v>0.7467939814814815</v>
      </c>
      <c r="D16449" s="1">
        <v>12.954909</v>
      </c>
      <c r="E16449" s="1">
        <v>80.156791</v>
      </c>
      <c r="F16449" s="1">
        <v>3143.0</v>
      </c>
      <c r="G16449" s="1">
        <v>47.0</v>
      </c>
    </row>
    <row r="16450">
      <c r="A16450" s="1" t="s">
        <v>8</v>
      </c>
      <c r="B16450" s="2">
        <v>44785.0</v>
      </c>
      <c r="C16450" s="3">
        <v>0.7496296296296296</v>
      </c>
      <c r="D16450" s="1">
        <v>12.956382</v>
      </c>
      <c r="E16450" s="1">
        <v>80.143426</v>
      </c>
      <c r="F16450" s="1">
        <v>3143.0</v>
      </c>
      <c r="G16450" s="1">
        <v>7.0</v>
      </c>
    </row>
    <row r="16451">
      <c r="A16451" s="1" t="s">
        <v>8</v>
      </c>
      <c r="B16451" s="2">
        <v>44785.0</v>
      </c>
      <c r="C16451" s="3">
        <v>0.7496296296296296</v>
      </c>
      <c r="D16451" s="1">
        <v>12.956382</v>
      </c>
      <c r="E16451" s="1">
        <v>80.143426</v>
      </c>
      <c r="F16451" s="1">
        <v>3143.0</v>
      </c>
      <c r="G16451" s="1">
        <v>7.0</v>
      </c>
    </row>
    <row r="16452">
      <c r="A16452" s="1" t="s">
        <v>8</v>
      </c>
      <c r="B16452" s="2">
        <v>44785.0</v>
      </c>
      <c r="C16452" s="3">
        <v>0.7496527777777777</v>
      </c>
      <c r="D16452" s="1">
        <v>12.956382</v>
      </c>
      <c r="E16452" s="1">
        <v>80.143426</v>
      </c>
      <c r="F16452" s="1">
        <v>3143.0</v>
      </c>
      <c r="G16452" s="1">
        <v>7.0</v>
      </c>
    </row>
    <row r="16453">
      <c r="A16453" s="1" t="s">
        <v>8</v>
      </c>
      <c r="B16453" s="2">
        <v>44785.0</v>
      </c>
      <c r="C16453" s="3">
        <v>0.7496527777777777</v>
      </c>
      <c r="D16453" s="1">
        <v>12.956382</v>
      </c>
      <c r="E16453" s="1">
        <v>80.143426</v>
      </c>
      <c r="F16453" s="1">
        <v>3143.0</v>
      </c>
      <c r="G16453" s="1">
        <v>7.0</v>
      </c>
    </row>
    <row r="16454">
      <c r="A16454" s="1" t="s">
        <v>8</v>
      </c>
      <c r="B16454" s="2">
        <v>44785.0</v>
      </c>
      <c r="C16454" s="3">
        <v>0.749849537037037</v>
      </c>
      <c r="D16454" s="1">
        <v>12.956006</v>
      </c>
      <c r="E16454" s="1">
        <v>80.143172</v>
      </c>
      <c r="F16454" s="1">
        <v>3143.0</v>
      </c>
      <c r="G16454" s="1">
        <v>9.0</v>
      </c>
    </row>
    <row r="16455">
      <c r="A16455" s="1" t="s">
        <v>8</v>
      </c>
      <c r="B16455" s="2">
        <v>44785.0</v>
      </c>
      <c r="C16455" s="3">
        <v>0.7499537037037037</v>
      </c>
      <c r="D16455" s="1">
        <v>12.955247</v>
      </c>
      <c r="E16455" s="1">
        <v>80.142728</v>
      </c>
      <c r="F16455" s="1">
        <v>3143.0</v>
      </c>
      <c r="G16455" s="1">
        <v>27.0</v>
      </c>
    </row>
    <row r="16456">
      <c r="A16456" s="1" t="s">
        <v>8</v>
      </c>
      <c r="B16456" s="2">
        <v>44785.0</v>
      </c>
      <c r="C16456" s="3">
        <v>0.7510532407407408</v>
      </c>
      <c r="D16456" s="1">
        <v>12.950772</v>
      </c>
      <c r="E16456" s="1">
        <v>80.139885</v>
      </c>
      <c r="F16456" s="1">
        <v>3143.0</v>
      </c>
      <c r="G16456" s="1">
        <v>12.0</v>
      </c>
    </row>
    <row r="16457">
      <c r="A16457" s="1" t="s">
        <v>8</v>
      </c>
      <c r="B16457" s="2">
        <v>44785.0</v>
      </c>
      <c r="C16457" s="3">
        <v>0.7511689814814815</v>
      </c>
      <c r="D16457" s="1">
        <v>12.950772</v>
      </c>
      <c r="E16457" s="1">
        <v>80.139885</v>
      </c>
      <c r="F16457" s="1">
        <v>3143.0</v>
      </c>
      <c r="G16457" s="1">
        <v>12.0</v>
      </c>
    </row>
    <row r="16458">
      <c r="A16458" s="1" t="s">
        <v>8</v>
      </c>
      <c r="B16458" s="2">
        <v>44785.0</v>
      </c>
      <c r="C16458" s="3">
        <v>0.7512731481481482</v>
      </c>
      <c r="D16458" s="1">
        <v>12.950001</v>
      </c>
      <c r="E16458" s="1">
        <v>80.139293</v>
      </c>
      <c r="F16458" s="1">
        <v>3143.0</v>
      </c>
      <c r="G16458" s="1">
        <v>27.0</v>
      </c>
    </row>
    <row r="16459">
      <c r="A16459" s="1" t="s">
        <v>8</v>
      </c>
      <c r="B16459" s="2">
        <v>44785.0</v>
      </c>
      <c r="C16459" s="3">
        <v>0.7513194444444444</v>
      </c>
      <c r="D16459" s="1">
        <v>12.950001</v>
      </c>
      <c r="E16459" s="1">
        <v>80.139293</v>
      </c>
      <c r="F16459" s="1">
        <v>3143.0</v>
      </c>
      <c r="G16459" s="1">
        <v>27.0</v>
      </c>
    </row>
    <row r="16460">
      <c r="A16460" s="1" t="s">
        <v>8</v>
      </c>
      <c r="B16460" s="2">
        <v>44785.0</v>
      </c>
      <c r="C16460" s="3">
        <v>0.7513773148148148</v>
      </c>
      <c r="D16460" s="1">
        <v>12.950001</v>
      </c>
      <c r="E16460" s="1">
        <v>80.139293</v>
      </c>
      <c r="F16460" s="1">
        <v>3143.0</v>
      </c>
      <c r="G16460" s="1">
        <v>27.0</v>
      </c>
    </row>
    <row r="16461">
      <c r="A16461" s="1" t="s">
        <v>8</v>
      </c>
      <c r="B16461" s="2">
        <v>44785.0</v>
      </c>
      <c r="C16461" s="3">
        <v>0.7514236111111111</v>
      </c>
      <c r="D16461" s="1">
        <v>13.065849</v>
      </c>
      <c r="E16461" s="1">
        <v>80.267575</v>
      </c>
      <c r="F16461" s="1">
        <v>805.0</v>
      </c>
      <c r="G16461" s="1">
        <v>13.0</v>
      </c>
    </row>
    <row r="16462">
      <c r="A16462" s="1" t="s">
        <v>8</v>
      </c>
      <c r="B16462" s="2">
        <v>44785.0</v>
      </c>
      <c r="C16462" s="3">
        <v>0.7514814814814815</v>
      </c>
      <c r="D16462" s="1">
        <v>13.065849</v>
      </c>
      <c r="E16462" s="1">
        <v>80.267575</v>
      </c>
      <c r="F16462" s="1">
        <v>805.0</v>
      </c>
      <c r="G16462" s="1">
        <v>13.0</v>
      </c>
    </row>
    <row r="16463">
      <c r="A16463" s="1" t="s">
        <v>7</v>
      </c>
      <c r="B16463" s="2">
        <v>44785.0</v>
      </c>
      <c r="C16463" s="3">
        <v>0.7516666666666667</v>
      </c>
      <c r="D16463" s="1">
        <v>12.947386</v>
      </c>
      <c r="E16463" s="1">
        <v>80.137251</v>
      </c>
      <c r="F16463" s="1">
        <v>3143.0</v>
      </c>
      <c r="G16463" s="1">
        <v>40.0</v>
      </c>
    </row>
    <row r="16464">
      <c r="A16464" s="1" t="s">
        <v>8</v>
      </c>
      <c r="B16464" s="2">
        <v>44785.0</v>
      </c>
      <c r="C16464" s="3">
        <v>0.751724537037037</v>
      </c>
      <c r="D16464" s="1">
        <v>12.947386</v>
      </c>
      <c r="E16464" s="1">
        <v>80.137251</v>
      </c>
      <c r="F16464" s="1">
        <v>3143.0</v>
      </c>
      <c r="G16464" s="1">
        <v>40.0</v>
      </c>
    </row>
    <row r="16465">
      <c r="A16465" s="1" t="s">
        <v>8</v>
      </c>
      <c r="B16465" s="2">
        <v>44785.0</v>
      </c>
      <c r="C16465" s="3">
        <v>0.7525231481481481</v>
      </c>
      <c r="D16465" s="1">
        <v>12.941932</v>
      </c>
      <c r="E16465" s="1">
        <v>80.132576</v>
      </c>
      <c r="F16465" s="1">
        <v>3143.0</v>
      </c>
      <c r="G16465" s="1">
        <v>32.0</v>
      </c>
    </row>
    <row r="16466">
      <c r="A16466" s="1" t="s">
        <v>8</v>
      </c>
      <c r="B16466" s="2">
        <v>44785.0</v>
      </c>
      <c r="C16466" s="3">
        <v>0.7527430555555555</v>
      </c>
      <c r="D16466" s="1">
        <v>12.941085</v>
      </c>
      <c r="E16466" s="1">
        <v>80.131698</v>
      </c>
      <c r="F16466" s="1">
        <v>3143.0</v>
      </c>
      <c r="G16466" s="1">
        <v>34.0</v>
      </c>
    </row>
    <row r="16467">
      <c r="A16467" s="1" t="s">
        <v>8</v>
      </c>
      <c r="B16467" s="2">
        <v>44785.0</v>
      </c>
      <c r="C16467" s="3">
        <v>0.7529398148148149</v>
      </c>
      <c r="D16467" s="1">
        <v>12.938697</v>
      </c>
      <c r="E16467" s="1">
        <v>80.129412</v>
      </c>
      <c r="F16467" s="1">
        <v>3143.0</v>
      </c>
      <c r="G16467" s="1">
        <v>51.0</v>
      </c>
    </row>
    <row r="16468">
      <c r="A16468" s="1" t="s">
        <v>10</v>
      </c>
      <c r="B16468" s="2">
        <v>44785.0</v>
      </c>
      <c r="C16468" s="3">
        <v>0.7529398148148149</v>
      </c>
      <c r="D16468" s="1">
        <v>13.06857</v>
      </c>
      <c r="E16468" s="1">
        <v>80.268333</v>
      </c>
      <c r="F16468" s="1">
        <v>805.0</v>
      </c>
      <c r="G16468" s="1">
        <v>19.0</v>
      </c>
    </row>
    <row r="16469">
      <c r="A16469" s="1" t="s">
        <v>10</v>
      </c>
      <c r="B16469" s="2">
        <v>44785.0</v>
      </c>
      <c r="C16469" s="3">
        <v>0.7530671296296296</v>
      </c>
      <c r="D16469" s="1">
        <v>12.938697</v>
      </c>
      <c r="E16469" s="1">
        <v>80.129412</v>
      </c>
      <c r="F16469" s="1">
        <v>3143.0</v>
      </c>
      <c r="G16469" s="1">
        <v>51.0</v>
      </c>
    </row>
    <row r="16470">
      <c r="A16470" s="1" t="s">
        <v>10</v>
      </c>
      <c r="B16470" s="2">
        <v>44785.0</v>
      </c>
      <c r="C16470" s="3">
        <v>0.753125</v>
      </c>
      <c r="D16470" s="1">
        <v>12.938697</v>
      </c>
      <c r="E16470" s="1">
        <v>80.129412</v>
      </c>
      <c r="F16470" s="1">
        <v>3143.0</v>
      </c>
      <c r="G16470" s="1">
        <v>51.0</v>
      </c>
    </row>
    <row r="16471">
      <c r="A16471" s="1" t="s">
        <v>8</v>
      </c>
      <c r="B16471" s="2">
        <v>44785.0</v>
      </c>
      <c r="C16471" s="3">
        <v>0.7534722222222222</v>
      </c>
      <c r="D16471" s="1">
        <v>12.936551</v>
      </c>
      <c r="E16471" s="1">
        <v>80.127635</v>
      </c>
      <c r="F16471" s="1">
        <v>3143.0</v>
      </c>
      <c r="G16471" s="1">
        <v>12.0</v>
      </c>
    </row>
    <row r="16472">
      <c r="A16472" s="1" t="s">
        <v>8</v>
      </c>
      <c r="B16472" s="2">
        <v>44785.0</v>
      </c>
      <c r="C16472" s="3">
        <v>0.7535416666666667</v>
      </c>
      <c r="D16472" s="1">
        <v>12.935981</v>
      </c>
      <c r="E16472" s="1">
        <v>80.127162</v>
      </c>
      <c r="F16472" s="1">
        <v>3143.0</v>
      </c>
      <c r="G16472" s="1">
        <v>16.0</v>
      </c>
    </row>
    <row r="16473">
      <c r="A16473" s="1" t="s">
        <v>8</v>
      </c>
      <c r="B16473" s="2">
        <v>44785.0</v>
      </c>
      <c r="C16473" s="3">
        <v>0.7535995370370371</v>
      </c>
      <c r="D16473" s="1">
        <v>12.935981</v>
      </c>
      <c r="E16473" s="1">
        <v>80.127162</v>
      </c>
      <c r="F16473" s="1">
        <v>3143.0</v>
      </c>
      <c r="G16473" s="1">
        <v>16.0</v>
      </c>
    </row>
    <row r="16474">
      <c r="A16474" s="1" t="s">
        <v>8</v>
      </c>
      <c r="B16474" s="2">
        <v>44785.0</v>
      </c>
      <c r="C16474" s="3">
        <v>0.7549537037037037</v>
      </c>
      <c r="D16474" s="1">
        <v>12.931534</v>
      </c>
      <c r="E16474" s="1">
        <v>80.122852</v>
      </c>
      <c r="F16474" s="1">
        <v>3143.0</v>
      </c>
      <c r="G16474" s="1">
        <v>11.0</v>
      </c>
    </row>
    <row r="16475">
      <c r="A16475" s="1" t="s">
        <v>8</v>
      </c>
      <c r="B16475" s="2">
        <v>44785.0</v>
      </c>
      <c r="C16475" s="3">
        <v>0.7550694444444445</v>
      </c>
      <c r="D16475" s="1">
        <v>12.930846</v>
      </c>
      <c r="E16475" s="1">
        <v>80.122128</v>
      </c>
      <c r="F16475" s="1">
        <v>3143.0</v>
      </c>
      <c r="G16475" s="1">
        <v>33.0</v>
      </c>
    </row>
    <row r="16476">
      <c r="A16476" s="1" t="s">
        <v>8</v>
      </c>
      <c r="B16476" s="2">
        <v>44785.0</v>
      </c>
      <c r="C16476" s="3">
        <v>0.755150462962963</v>
      </c>
      <c r="D16476" s="1">
        <v>12.930846</v>
      </c>
      <c r="E16476" s="1">
        <v>80.122128</v>
      </c>
      <c r="F16476" s="1">
        <v>3143.0</v>
      </c>
      <c r="G16476" s="1">
        <v>33.0</v>
      </c>
    </row>
    <row r="16477">
      <c r="A16477" s="1" t="s">
        <v>8</v>
      </c>
      <c r="B16477" s="2">
        <v>44785.0</v>
      </c>
      <c r="C16477" s="3">
        <v>0.7552314814814814</v>
      </c>
      <c r="D16477" s="1">
        <v>12.929759</v>
      </c>
      <c r="E16477" s="1">
        <v>80.121032</v>
      </c>
      <c r="F16477" s="1">
        <v>3143.0</v>
      </c>
      <c r="G16477" s="1">
        <v>40.0</v>
      </c>
    </row>
    <row r="16478">
      <c r="A16478" s="1" t="s">
        <v>10</v>
      </c>
      <c r="B16478" s="2">
        <v>44785.0</v>
      </c>
      <c r="C16478" s="3">
        <v>0.7557523148148149</v>
      </c>
      <c r="D16478" s="1">
        <v>13.073083</v>
      </c>
      <c r="E16478" s="1">
        <v>80.261252</v>
      </c>
      <c r="F16478" s="1">
        <v>805.0</v>
      </c>
      <c r="G16478" s="1">
        <v>7.0</v>
      </c>
    </row>
    <row r="16479">
      <c r="A16479" s="1" t="s">
        <v>7</v>
      </c>
      <c r="B16479" s="2">
        <v>44785.0</v>
      </c>
      <c r="C16479" s="3">
        <v>0.7576273148148148</v>
      </c>
      <c r="D16479" s="1">
        <v>12.924826</v>
      </c>
      <c r="E16479" s="1">
        <v>80.116002</v>
      </c>
      <c r="F16479" s="1">
        <v>3143.0</v>
      </c>
      <c r="G16479" s="1">
        <v>47.0</v>
      </c>
    </row>
    <row r="16480">
      <c r="A16480" s="1" t="s">
        <v>10</v>
      </c>
      <c r="B16480" s="2">
        <v>44785.0</v>
      </c>
      <c r="C16480" s="3">
        <v>0.7577083333333333</v>
      </c>
      <c r="D16480" s="1">
        <v>12.924826</v>
      </c>
      <c r="E16480" s="1">
        <v>80.116002</v>
      </c>
      <c r="F16480" s="1">
        <v>3143.0</v>
      </c>
      <c r="G16480" s="1">
        <v>47.0</v>
      </c>
    </row>
    <row r="16481">
      <c r="A16481" s="1" t="s">
        <v>7</v>
      </c>
      <c r="B16481" s="2">
        <v>44785.0</v>
      </c>
      <c r="C16481" s="3">
        <v>0.7585763888888889</v>
      </c>
      <c r="D16481" s="1">
        <v>12.919205</v>
      </c>
      <c r="E16481" s="1">
        <v>80.110095</v>
      </c>
      <c r="F16481" s="1">
        <v>3143.0</v>
      </c>
      <c r="G16481" s="1">
        <v>57.0</v>
      </c>
    </row>
    <row r="16482">
      <c r="A16482" s="1" t="s">
        <v>7</v>
      </c>
      <c r="B16482" s="2">
        <v>44785.0</v>
      </c>
      <c r="C16482" s="3">
        <v>0.75875</v>
      </c>
      <c r="D16482" s="1">
        <v>12.917696</v>
      </c>
      <c r="E16482" s="1">
        <v>80.108251</v>
      </c>
      <c r="F16482" s="1">
        <v>3143.0</v>
      </c>
      <c r="G16482" s="1">
        <v>58.0</v>
      </c>
    </row>
    <row r="16483">
      <c r="A16483" s="1" t="s">
        <v>7</v>
      </c>
      <c r="B16483" s="2">
        <v>44785.0</v>
      </c>
      <c r="C16483" s="3">
        <v>0.7591319444444444</v>
      </c>
      <c r="D16483" s="1">
        <v>12.915186</v>
      </c>
      <c r="E16483" s="1">
        <v>80.103888</v>
      </c>
      <c r="F16483" s="1">
        <v>3143.0</v>
      </c>
      <c r="G16483" s="1">
        <v>55.0</v>
      </c>
    </row>
    <row r="16484">
      <c r="A16484" s="1" t="s">
        <v>8</v>
      </c>
      <c r="B16484" s="2">
        <v>44785.0</v>
      </c>
      <c r="C16484" s="3">
        <v>0.7592013888888889</v>
      </c>
      <c r="D16484" s="1">
        <v>12.915186</v>
      </c>
      <c r="E16484" s="1">
        <v>80.103888</v>
      </c>
      <c r="F16484" s="1">
        <v>3143.0</v>
      </c>
      <c r="G16484" s="1">
        <v>55.0</v>
      </c>
    </row>
    <row r="16485">
      <c r="A16485" s="1" t="s">
        <v>8</v>
      </c>
      <c r="B16485" s="2">
        <v>44785.0</v>
      </c>
      <c r="C16485" s="3">
        <v>0.7594328703703703</v>
      </c>
      <c r="D16485" s="1">
        <v>12.91374</v>
      </c>
      <c r="E16485" s="1">
        <v>80.101811</v>
      </c>
      <c r="F16485" s="1">
        <v>3143.0</v>
      </c>
      <c r="G16485" s="1">
        <v>38.0</v>
      </c>
    </row>
    <row r="16486">
      <c r="A16486" s="1" t="s">
        <v>8</v>
      </c>
      <c r="B16486" s="2">
        <v>44785.0</v>
      </c>
      <c r="C16486" s="3">
        <v>0.7594560185185185</v>
      </c>
      <c r="D16486" s="1">
        <v>12.91269</v>
      </c>
      <c r="E16486" s="1">
        <v>80.101543</v>
      </c>
      <c r="F16486" s="1">
        <v>3143.0</v>
      </c>
      <c r="G16486" s="1">
        <v>46.0</v>
      </c>
    </row>
    <row r="16487">
      <c r="A16487" s="1" t="s">
        <v>8</v>
      </c>
      <c r="B16487" s="2">
        <v>44785.0</v>
      </c>
      <c r="C16487" s="3">
        <v>0.7603125</v>
      </c>
      <c r="D16487" s="1">
        <v>12.908267</v>
      </c>
      <c r="E16487" s="1">
        <v>80.097971</v>
      </c>
      <c r="F16487" s="1">
        <v>3143.0</v>
      </c>
      <c r="G16487" s="1">
        <v>29.0</v>
      </c>
    </row>
    <row r="16488">
      <c r="A16488" s="1" t="s">
        <v>8</v>
      </c>
      <c r="B16488" s="2">
        <v>44785.0</v>
      </c>
      <c r="C16488" s="3">
        <v>0.7618402777777777</v>
      </c>
      <c r="D16488" s="1">
        <v>12.904951</v>
      </c>
      <c r="E16488" s="1">
        <v>80.095423</v>
      </c>
      <c r="F16488" s="1">
        <v>3143.0</v>
      </c>
      <c r="G16488" s="1">
        <v>20.0</v>
      </c>
    </row>
    <row r="16489">
      <c r="A16489" s="1" t="s">
        <v>8</v>
      </c>
      <c r="B16489" s="2">
        <v>44785.0</v>
      </c>
      <c r="C16489" s="3">
        <v>0.7619097222222222</v>
      </c>
      <c r="D16489" s="1">
        <v>12.904434</v>
      </c>
      <c r="E16489" s="1">
        <v>80.095052</v>
      </c>
      <c r="F16489" s="1">
        <v>3143.0</v>
      </c>
      <c r="G16489" s="1">
        <v>29.0</v>
      </c>
    </row>
    <row r="16490">
      <c r="A16490" s="1" t="s">
        <v>8</v>
      </c>
      <c r="B16490" s="2">
        <v>44785.0</v>
      </c>
      <c r="C16490" s="3">
        <v>0.7619444444444444</v>
      </c>
      <c r="D16490" s="1">
        <v>12.904434</v>
      </c>
      <c r="E16490" s="1">
        <v>80.095052</v>
      </c>
      <c r="F16490" s="1">
        <v>3143.0</v>
      </c>
      <c r="G16490" s="1">
        <v>29.0</v>
      </c>
    </row>
    <row r="16491">
      <c r="A16491" s="1" t="s">
        <v>8</v>
      </c>
      <c r="B16491" s="2">
        <v>44785.0</v>
      </c>
      <c r="C16491" s="3">
        <v>0.7624652777777777</v>
      </c>
      <c r="D16491" s="1">
        <v>12.900243</v>
      </c>
      <c r="E16491" s="1">
        <v>80.091723</v>
      </c>
      <c r="F16491" s="1">
        <v>3143.0</v>
      </c>
      <c r="G16491" s="1">
        <v>51.0</v>
      </c>
    </row>
    <row r="16492">
      <c r="A16492" s="1" t="s">
        <v>8</v>
      </c>
      <c r="B16492" s="2">
        <v>44785.0</v>
      </c>
      <c r="C16492" s="3">
        <v>0.7626967592592593</v>
      </c>
      <c r="D16492" s="1">
        <v>12.898108</v>
      </c>
      <c r="E16492" s="1">
        <v>80.090072</v>
      </c>
      <c r="F16492" s="1">
        <v>3143.0</v>
      </c>
      <c r="G16492" s="1">
        <v>56.0</v>
      </c>
    </row>
    <row r="16493">
      <c r="A16493" s="1" t="s">
        <v>8</v>
      </c>
      <c r="B16493" s="2">
        <v>44785.0</v>
      </c>
      <c r="C16493" s="3">
        <v>0.7629398148148148</v>
      </c>
      <c r="D16493" s="1">
        <v>12.896227</v>
      </c>
      <c r="E16493" s="1">
        <v>80.088688</v>
      </c>
      <c r="F16493" s="1">
        <v>3143.0</v>
      </c>
      <c r="G16493" s="1">
        <v>47.0</v>
      </c>
    </row>
    <row r="16494">
      <c r="A16494" s="1" t="s">
        <v>8</v>
      </c>
      <c r="B16494" s="2">
        <v>44785.0</v>
      </c>
      <c r="C16494" s="3">
        <v>0.7631018518518519</v>
      </c>
      <c r="D16494" s="1">
        <v>12.895206</v>
      </c>
      <c r="E16494" s="1">
        <v>80.087918</v>
      </c>
      <c r="F16494" s="1">
        <v>3143.0</v>
      </c>
      <c r="G16494" s="1">
        <v>53.0</v>
      </c>
    </row>
    <row r="16495">
      <c r="A16495" s="1" t="s">
        <v>8</v>
      </c>
      <c r="B16495" s="2">
        <v>44785.0</v>
      </c>
      <c r="C16495" s="3">
        <v>0.7635879629629629</v>
      </c>
      <c r="D16495" s="1">
        <v>12.892241</v>
      </c>
      <c r="E16495" s="1">
        <v>80.085712</v>
      </c>
      <c r="F16495" s="1">
        <v>3143.0</v>
      </c>
      <c r="G16495" s="1">
        <v>21.0</v>
      </c>
    </row>
    <row r="16496">
      <c r="A16496" s="1" t="s">
        <v>9</v>
      </c>
      <c r="B16496" s="2">
        <v>44785.0</v>
      </c>
      <c r="C16496" s="3">
        <v>0.7645486111111112</v>
      </c>
      <c r="D16496" s="1">
        <v>12.883893</v>
      </c>
      <c r="E16496" s="1">
        <v>80.08224</v>
      </c>
      <c r="F16496" s="1">
        <v>3143.0</v>
      </c>
      <c r="G16496" s="1">
        <v>30.0</v>
      </c>
    </row>
    <row r="16497">
      <c r="A16497" s="1" t="s">
        <v>10</v>
      </c>
      <c r="B16497" s="2">
        <v>44785.0</v>
      </c>
      <c r="C16497" s="3">
        <v>0.7655324074074074</v>
      </c>
      <c r="D16497" s="1">
        <v>13.064211</v>
      </c>
      <c r="E16497" s="1">
        <v>80.249038</v>
      </c>
      <c r="F16497" s="1">
        <v>5339.0</v>
      </c>
      <c r="G16497" s="1">
        <v>24.0</v>
      </c>
    </row>
    <row r="16498">
      <c r="A16498" s="1" t="s">
        <v>8</v>
      </c>
      <c r="B16498" s="2">
        <v>44785.0</v>
      </c>
      <c r="C16498" s="3">
        <v>0.7659953703703704</v>
      </c>
      <c r="D16498" s="1">
        <v>13.063886</v>
      </c>
      <c r="E16498" s="1">
        <v>80.247748</v>
      </c>
      <c r="F16498" s="1">
        <v>5339.0</v>
      </c>
      <c r="G16498" s="1">
        <v>25.0</v>
      </c>
    </row>
    <row r="16499">
      <c r="A16499" s="1" t="s">
        <v>8</v>
      </c>
      <c r="B16499" s="2">
        <v>44785.0</v>
      </c>
      <c r="C16499" s="3">
        <v>0.7662731481481482</v>
      </c>
      <c r="D16499" s="1">
        <v>13.062386</v>
      </c>
      <c r="E16499" s="1">
        <v>80.247674</v>
      </c>
      <c r="F16499" s="1">
        <v>5339.0</v>
      </c>
      <c r="G16499" s="1">
        <v>33.0</v>
      </c>
    </row>
    <row r="16500">
      <c r="A16500" s="1" t="s">
        <v>8</v>
      </c>
      <c r="B16500" s="2">
        <v>44785.0</v>
      </c>
      <c r="C16500" s="3">
        <v>0.7662847222222222</v>
      </c>
      <c r="D16500" s="1">
        <v>13.062386</v>
      </c>
      <c r="E16500" s="1">
        <v>80.247674</v>
      </c>
      <c r="F16500" s="1">
        <v>5339.0</v>
      </c>
      <c r="G16500" s="1">
        <v>33.0</v>
      </c>
    </row>
    <row r="16501">
      <c r="A16501" s="1" t="s">
        <v>10</v>
      </c>
      <c r="B16501" s="2">
        <v>44785.0</v>
      </c>
      <c r="C16501" s="3">
        <v>0.766724537037037</v>
      </c>
      <c r="D16501" s="1">
        <v>13.061877</v>
      </c>
      <c r="E16501" s="1">
        <v>80.246128</v>
      </c>
      <c r="F16501" s="1">
        <v>5339.0</v>
      </c>
      <c r="G16501" s="1">
        <v>23.0</v>
      </c>
    </row>
    <row r="16502">
      <c r="A16502" s="1" t="s">
        <v>8</v>
      </c>
      <c r="B16502" s="2">
        <v>44785.0</v>
      </c>
      <c r="C16502" s="3">
        <v>0.7668634259259259</v>
      </c>
      <c r="D16502" s="1">
        <v>13.062031</v>
      </c>
      <c r="E16502" s="1">
        <v>80.245446</v>
      </c>
      <c r="F16502" s="1">
        <v>5339.0</v>
      </c>
      <c r="G16502" s="1">
        <v>26.0</v>
      </c>
    </row>
    <row r="16503">
      <c r="A16503" s="1" t="s">
        <v>8</v>
      </c>
      <c r="B16503" s="2">
        <v>44785.0</v>
      </c>
      <c r="C16503" s="3">
        <v>0.7669212962962964</v>
      </c>
      <c r="D16503" s="1">
        <v>12.878378</v>
      </c>
      <c r="E16503" s="1">
        <v>80.082399</v>
      </c>
      <c r="F16503" s="1">
        <v>3143.0</v>
      </c>
      <c r="G16503" s="1">
        <v>36.0</v>
      </c>
    </row>
    <row r="16504">
      <c r="A16504" s="1" t="s">
        <v>10</v>
      </c>
      <c r="B16504" s="2">
        <v>44785.0</v>
      </c>
      <c r="C16504" s="3">
        <v>0.7688541666666666</v>
      </c>
      <c r="D16504" s="1">
        <v>13.067573</v>
      </c>
      <c r="E16504" s="1">
        <v>80.242869</v>
      </c>
      <c r="F16504" s="1">
        <v>5339.0</v>
      </c>
      <c r="G16504" s="1">
        <v>20.0</v>
      </c>
    </row>
    <row r="16505">
      <c r="A16505" s="1" t="s">
        <v>10</v>
      </c>
      <c r="B16505" s="2">
        <v>44785.0</v>
      </c>
      <c r="C16505" s="3">
        <v>0.7706481481481482</v>
      </c>
      <c r="D16505" s="1">
        <v>13.073296</v>
      </c>
      <c r="E16505" s="1">
        <v>80.240699</v>
      </c>
      <c r="F16505" s="1">
        <v>5339.0</v>
      </c>
      <c r="G16505" s="1">
        <v>13.0</v>
      </c>
    </row>
    <row r="16506">
      <c r="A16506" s="1" t="s">
        <v>8</v>
      </c>
      <c r="B16506" s="2">
        <v>44785.0</v>
      </c>
      <c r="C16506" s="3">
        <v>0.7723148148148148</v>
      </c>
      <c r="D16506" s="1">
        <v>13.076526</v>
      </c>
      <c r="E16506" s="1">
        <v>80.237964</v>
      </c>
      <c r="F16506" s="1">
        <v>5339.0</v>
      </c>
      <c r="G16506" s="1">
        <v>26.0</v>
      </c>
    </row>
    <row r="16507">
      <c r="A16507" s="1" t="s">
        <v>8</v>
      </c>
      <c r="B16507" s="2">
        <v>44785.0</v>
      </c>
      <c r="C16507" s="3">
        <v>0.7726273148148148</v>
      </c>
      <c r="D16507" s="1">
        <v>13.076188</v>
      </c>
      <c r="E16507" s="1">
        <v>80.236021</v>
      </c>
      <c r="F16507" s="1">
        <v>5339.0</v>
      </c>
      <c r="G16507" s="1">
        <v>44.0</v>
      </c>
    </row>
    <row r="16508">
      <c r="A16508" s="1" t="s">
        <v>9</v>
      </c>
      <c r="B16508" s="2">
        <v>44785.0</v>
      </c>
      <c r="C16508" s="3">
        <v>0.7726620370370371</v>
      </c>
      <c r="D16508" s="1">
        <v>13.07595</v>
      </c>
      <c r="E16508" s="1">
        <v>80.234885</v>
      </c>
      <c r="F16508" s="1">
        <v>5339.0</v>
      </c>
      <c r="G16508" s="1">
        <v>43.0</v>
      </c>
    </row>
    <row r="16509">
      <c r="A16509" s="1" t="s">
        <v>9</v>
      </c>
      <c r="B16509" s="2">
        <v>44785.0</v>
      </c>
      <c r="C16509" s="3">
        <v>0.775636574074074</v>
      </c>
      <c r="D16509" s="1">
        <v>13.075282</v>
      </c>
      <c r="E16509" s="1">
        <v>80.23228</v>
      </c>
      <c r="F16509" s="1">
        <v>5339.0</v>
      </c>
      <c r="G16509" s="1">
        <v>5.0</v>
      </c>
    </row>
    <row r="16510">
      <c r="A16510" s="1" t="s">
        <v>10</v>
      </c>
      <c r="B16510" s="2">
        <v>44785.0</v>
      </c>
      <c r="C16510" s="3">
        <v>0.7789699074074075</v>
      </c>
      <c r="D16510" s="1">
        <v>13.073928</v>
      </c>
      <c r="E16510" s="1">
        <v>80.224813</v>
      </c>
      <c r="F16510" s="1">
        <v>5339.0</v>
      </c>
      <c r="G16510" s="1">
        <v>8.0</v>
      </c>
    </row>
    <row r="16511">
      <c r="A16511" s="1" t="s">
        <v>8</v>
      </c>
      <c r="B16511" s="2">
        <v>44785.0</v>
      </c>
      <c r="C16511" s="3">
        <v>0.7792592592592592</v>
      </c>
      <c r="D16511" s="1">
        <v>13.074038</v>
      </c>
      <c r="E16511" s="1">
        <v>80.223886</v>
      </c>
      <c r="F16511" s="1">
        <v>5339.0</v>
      </c>
      <c r="G16511" s="1">
        <v>26.0</v>
      </c>
    </row>
    <row r="16512">
      <c r="A16512" s="1" t="s">
        <v>8</v>
      </c>
      <c r="B16512" s="2">
        <v>44785.0</v>
      </c>
      <c r="C16512" s="3">
        <v>0.7793171296296296</v>
      </c>
      <c r="D16512" s="1">
        <v>13.074038</v>
      </c>
      <c r="E16512" s="1">
        <v>80.223886</v>
      </c>
      <c r="F16512" s="1">
        <v>5339.0</v>
      </c>
      <c r="G16512" s="1">
        <v>26.0</v>
      </c>
    </row>
    <row r="16513">
      <c r="A16513" s="1" t="s">
        <v>8</v>
      </c>
      <c r="B16513" s="2">
        <v>44785.0</v>
      </c>
      <c r="C16513" s="3">
        <v>0.7819097222222222</v>
      </c>
      <c r="D16513" s="1">
        <v>13.075412</v>
      </c>
      <c r="E16513" s="1">
        <v>80.214518</v>
      </c>
      <c r="F16513" s="1">
        <v>5339.0</v>
      </c>
      <c r="G16513" s="1">
        <v>20.0</v>
      </c>
    </row>
    <row r="16514">
      <c r="A16514" s="1" t="s">
        <v>8</v>
      </c>
      <c r="B16514" s="2">
        <v>44785.0</v>
      </c>
      <c r="C16514" s="3">
        <v>0.7832175925925926</v>
      </c>
      <c r="D16514" s="1">
        <v>13.077075</v>
      </c>
      <c r="E16514" s="1">
        <v>80.210602</v>
      </c>
      <c r="F16514" s="1">
        <v>5339.0</v>
      </c>
      <c r="G16514" s="1">
        <v>21.0</v>
      </c>
    </row>
    <row r="16515">
      <c r="A16515" s="1" t="s">
        <v>8</v>
      </c>
      <c r="B16515" s="2">
        <v>44785.0</v>
      </c>
      <c r="C16515" s="3">
        <v>0.7832291666666666</v>
      </c>
      <c r="D16515" s="1">
        <v>13.077075</v>
      </c>
      <c r="E16515" s="1">
        <v>80.210602</v>
      </c>
      <c r="F16515" s="1">
        <v>5339.0</v>
      </c>
      <c r="G16515" s="1">
        <v>21.0</v>
      </c>
    </row>
    <row r="16516">
      <c r="A16516" s="1" t="s">
        <v>8</v>
      </c>
      <c r="B16516" s="2">
        <v>44785.0</v>
      </c>
      <c r="C16516" s="3">
        <v>0.7832523148148148</v>
      </c>
      <c r="D16516" s="1">
        <v>13.077075</v>
      </c>
      <c r="E16516" s="1">
        <v>80.210602</v>
      </c>
      <c r="F16516" s="1">
        <v>5339.0</v>
      </c>
      <c r="G16516" s="1">
        <v>21.0</v>
      </c>
    </row>
    <row r="16517">
      <c r="A16517" s="1" t="s">
        <v>8</v>
      </c>
      <c r="B16517" s="2">
        <v>44785.0</v>
      </c>
      <c r="C16517" s="3">
        <v>0.7832638888888889</v>
      </c>
      <c r="D16517" s="1">
        <v>13.077075</v>
      </c>
      <c r="E16517" s="1">
        <v>80.210602</v>
      </c>
      <c r="F16517" s="1">
        <v>5339.0</v>
      </c>
      <c r="G16517" s="1">
        <v>21.0</v>
      </c>
    </row>
    <row r="16518">
      <c r="A16518" s="1" t="s">
        <v>8</v>
      </c>
      <c r="B16518" s="2">
        <v>44785.0</v>
      </c>
      <c r="C16518" s="3">
        <v>0.7834837962962963</v>
      </c>
      <c r="D16518" s="1">
        <v>13.077177</v>
      </c>
      <c r="E16518" s="1">
        <v>80.209204</v>
      </c>
      <c r="F16518" s="1">
        <v>5339.0</v>
      </c>
      <c r="G16518" s="1">
        <v>27.0</v>
      </c>
    </row>
    <row r="16519">
      <c r="A16519" s="1" t="s">
        <v>8</v>
      </c>
      <c r="B16519" s="2">
        <v>44785.0</v>
      </c>
      <c r="C16519" s="3">
        <v>0.78375</v>
      </c>
      <c r="D16519" s="1">
        <v>13.077054</v>
      </c>
      <c r="E16519" s="1">
        <v>80.207817</v>
      </c>
      <c r="F16519" s="1">
        <v>5339.0</v>
      </c>
      <c r="G16519" s="1">
        <v>25.0</v>
      </c>
    </row>
    <row r="16520">
      <c r="A16520" s="1" t="s">
        <v>8</v>
      </c>
      <c r="B16520" s="2">
        <v>44785.0</v>
      </c>
      <c r="C16520" s="3">
        <v>0.7840625</v>
      </c>
      <c r="D16520" s="1">
        <v>13.076838</v>
      </c>
      <c r="E16520" s="1">
        <v>80.20568</v>
      </c>
      <c r="F16520" s="1">
        <v>5339.0</v>
      </c>
      <c r="G16520" s="1">
        <v>25.0</v>
      </c>
    </row>
    <row r="16521">
      <c r="A16521" s="1" t="s">
        <v>8</v>
      </c>
      <c r="B16521" s="2">
        <v>44785.0</v>
      </c>
      <c r="C16521" s="3">
        <v>0.7840625</v>
      </c>
      <c r="D16521" s="1">
        <v>13.076838</v>
      </c>
      <c r="E16521" s="1">
        <v>80.20568</v>
      </c>
      <c r="F16521" s="1">
        <v>5339.0</v>
      </c>
      <c r="G16521" s="1">
        <v>25.0</v>
      </c>
    </row>
    <row r="16522">
      <c r="A16522" s="1" t="s">
        <v>9</v>
      </c>
      <c r="B16522" s="2">
        <v>44785.0</v>
      </c>
      <c r="C16522" s="3">
        <v>0.7850694444444445</v>
      </c>
      <c r="D16522" s="1">
        <v>13.076235</v>
      </c>
      <c r="E16522" s="1">
        <v>80.202793</v>
      </c>
      <c r="F16522" s="1">
        <v>5339.0</v>
      </c>
      <c r="G16522" s="1">
        <v>26.0</v>
      </c>
    </row>
    <row r="16523">
      <c r="A16523" s="1" t="s">
        <v>8</v>
      </c>
      <c r="B16523" s="2">
        <v>44785.0</v>
      </c>
      <c r="C16523" s="3">
        <v>0.7855671296296296</v>
      </c>
      <c r="D16523" s="1">
        <v>13.075975</v>
      </c>
      <c r="E16523" s="1">
        <v>80.19891</v>
      </c>
      <c r="F16523" s="1">
        <v>5339.0</v>
      </c>
      <c r="G16523" s="1">
        <v>47.0</v>
      </c>
    </row>
    <row r="16524">
      <c r="A16524" s="1" t="s">
        <v>8</v>
      </c>
      <c r="B16524" s="2">
        <v>44785.0</v>
      </c>
      <c r="C16524" s="3">
        <v>0.7856597222222222</v>
      </c>
      <c r="D16524" s="1">
        <v>13.075703</v>
      </c>
      <c r="E16524" s="1">
        <v>80.197825</v>
      </c>
      <c r="F16524" s="1">
        <v>5339.0</v>
      </c>
      <c r="G16524" s="1">
        <v>32.0</v>
      </c>
    </row>
    <row r="16525">
      <c r="A16525" s="1" t="s">
        <v>8</v>
      </c>
      <c r="B16525" s="2">
        <v>44785.0</v>
      </c>
      <c r="C16525" s="3">
        <v>0.7863078703703704</v>
      </c>
      <c r="D16525" s="1">
        <v>13.075124</v>
      </c>
      <c r="E16525" s="1">
        <v>80.195713</v>
      </c>
      <c r="F16525" s="1">
        <v>5339.0</v>
      </c>
      <c r="G16525" s="1">
        <v>16.0</v>
      </c>
    </row>
    <row r="16526">
      <c r="A16526" s="1" t="s">
        <v>8</v>
      </c>
      <c r="B16526" s="2">
        <v>44785.0</v>
      </c>
      <c r="C16526" s="3">
        <v>0.7875347222222222</v>
      </c>
      <c r="D16526" s="1">
        <v>13.073562</v>
      </c>
      <c r="E16526" s="1">
        <v>80.190446</v>
      </c>
      <c r="F16526" s="1">
        <v>5339.0</v>
      </c>
      <c r="G16526" s="1">
        <v>36.0</v>
      </c>
    </row>
    <row r="16527">
      <c r="A16527" s="1" t="s">
        <v>8</v>
      </c>
      <c r="B16527" s="2">
        <v>44785.0</v>
      </c>
      <c r="C16527" s="3">
        <v>0.7877893518518518</v>
      </c>
      <c r="D16527" s="1">
        <v>13.072529</v>
      </c>
      <c r="E16527" s="1">
        <v>80.188863</v>
      </c>
      <c r="F16527" s="1">
        <v>5339.0</v>
      </c>
      <c r="G16527" s="1">
        <v>42.0</v>
      </c>
    </row>
    <row r="16528">
      <c r="A16528" s="1" t="s">
        <v>8</v>
      </c>
      <c r="B16528" s="2">
        <v>44785.0</v>
      </c>
      <c r="C16528" s="3">
        <v>0.7905787037037038</v>
      </c>
      <c r="D16528" s="1">
        <v>13.070152</v>
      </c>
      <c r="E16528" s="1">
        <v>80.182321</v>
      </c>
      <c r="F16528" s="1">
        <v>5339.0</v>
      </c>
      <c r="G16528" s="1">
        <v>15.0</v>
      </c>
    </row>
    <row r="16529">
      <c r="A16529" s="1" t="s">
        <v>9</v>
      </c>
      <c r="B16529" s="2">
        <v>44785.0</v>
      </c>
      <c r="C16529" s="3">
        <v>0.7907407407407407</v>
      </c>
      <c r="D16529" s="1">
        <v>13.069377</v>
      </c>
      <c r="E16529" s="1">
        <v>80.181028</v>
      </c>
      <c r="F16529" s="1">
        <v>5339.0</v>
      </c>
      <c r="G16529" s="1">
        <v>29.0</v>
      </c>
    </row>
    <row r="16530">
      <c r="A16530" s="1" t="s">
        <v>8</v>
      </c>
      <c r="B16530" s="2">
        <v>44785.0</v>
      </c>
      <c r="C16530" s="3">
        <v>0.7911111111111111</v>
      </c>
      <c r="D16530" s="1">
        <v>13.067764</v>
      </c>
      <c r="E16530" s="1">
        <v>80.178615</v>
      </c>
      <c r="F16530" s="1">
        <v>5339.0</v>
      </c>
      <c r="G16530" s="1">
        <v>40.0</v>
      </c>
    </row>
    <row r="16531">
      <c r="A16531" s="1" t="s">
        <v>8</v>
      </c>
      <c r="B16531" s="2">
        <v>44785.0</v>
      </c>
      <c r="C16531" s="3">
        <v>0.7913425925925925</v>
      </c>
      <c r="D16531" s="1">
        <v>13.06741</v>
      </c>
      <c r="E16531" s="1">
        <v>80.177278</v>
      </c>
      <c r="F16531" s="1">
        <v>5339.0</v>
      </c>
      <c r="G16531" s="1">
        <v>25.0</v>
      </c>
    </row>
    <row r="16532">
      <c r="A16532" s="1" t="s">
        <v>8</v>
      </c>
      <c r="B16532" s="2">
        <v>44785.0</v>
      </c>
      <c r="C16532" s="3">
        <v>0.7928009259259259</v>
      </c>
      <c r="D16532" s="1">
        <v>13.064833</v>
      </c>
      <c r="E16532" s="1">
        <v>80.172255</v>
      </c>
      <c r="F16532" s="1">
        <v>5339.0</v>
      </c>
      <c r="G16532" s="1">
        <v>33.0</v>
      </c>
    </row>
    <row r="16533">
      <c r="A16533" s="1" t="s">
        <v>8</v>
      </c>
      <c r="B16533" s="2">
        <v>44785.0</v>
      </c>
      <c r="C16533" s="3">
        <v>0.7931597222222222</v>
      </c>
      <c r="D16533" s="1">
        <v>13.064103</v>
      </c>
      <c r="E16533" s="1">
        <v>80.170674</v>
      </c>
      <c r="F16533" s="1">
        <v>5339.0</v>
      </c>
      <c r="G16533" s="1">
        <v>30.0</v>
      </c>
    </row>
    <row r="16534">
      <c r="A16534" s="1" t="s">
        <v>8</v>
      </c>
      <c r="B16534" s="2">
        <v>44785.0</v>
      </c>
      <c r="C16534" s="3">
        <v>0.7931828703703704</v>
      </c>
      <c r="D16534" s="1">
        <v>13.064103</v>
      </c>
      <c r="E16534" s="1">
        <v>80.170674</v>
      </c>
      <c r="F16534" s="1">
        <v>5339.0</v>
      </c>
      <c r="G16534" s="1">
        <v>30.0</v>
      </c>
    </row>
    <row r="16535">
      <c r="A16535" s="1" t="s">
        <v>10</v>
      </c>
      <c r="B16535" s="2">
        <v>44785.0</v>
      </c>
      <c r="C16535" s="3">
        <v>0.7970601851851852</v>
      </c>
      <c r="D16535" s="1">
        <v>13.06121</v>
      </c>
      <c r="E16535" s="1">
        <v>80.163307</v>
      </c>
      <c r="F16535" s="1">
        <v>5339.0</v>
      </c>
      <c r="G16535" s="1">
        <v>12.0</v>
      </c>
    </row>
    <row r="16536">
      <c r="A16536" s="1" t="s">
        <v>8</v>
      </c>
      <c r="B16536" s="2">
        <v>44785.0</v>
      </c>
      <c r="C16536" s="3">
        <v>0.7980208333333333</v>
      </c>
      <c r="D16536" s="1">
        <v>13.056245</v>
      </c>
      <c r="E16536" s="1">
        <v>80.158755</v>
      </c>
      <c r="F16536" s="1">
        <v>5339.0</v>
      </c>
      <c r="G16536" s="1">
        <v>53.0</v>
      </c>
    </row>
    <row r="16537">
      <c r="A16537" s="1" t="s">
        <v>7</v>
      </c>
      <c r="B16537" s="2">
        <v>44785.0</v>
      </c>
      <c r="C16537" s="3">
        <v>0.7983796296296296</v>
      </c>
      <c r="D16537" s="1">
        <v>13.053777</v>
      </c>
      <c r="E16537" s="1">
        <v>80.155162</v>
      </c>
      <c r="F16537" s="1">
        <v>5339.0</v>
      </c>
      <c r="G16537" s="1">
        <v>57.0</v>
      </c>
    </row>
    <row r="16538">
      <c r="A16538" s="1" t="s">
        <v>7</v>
      </c>
      <c r="B16538" s="2">
        <v>44785.0</v>
      </c>
      <c r="C16538" s="3">
        <v>0.8029976851851852</v>
      </c>
      <c r="D16538" s="1">
        <v>13.039106</v>
      </c>
      <c r="E16538" s="1">
        <v>80.149439</v>
      </c>
      <c r="F16538" s="1">
        <v>5339.0</v>
      </c>
      <c r="G16538" s="1">
        <v>57.0</v>
      </c>
    </row>
    <row r="16539">
      <c r="A16539" s="1" t="s">
        <v>7</v>
      </c>
      <c r="B16539" s="2">
        <v>44785.0</v>
      </c>
      <c r="C16539" s="3">
        <v>0.8037847222222222</v>
      </c>
      <c r="D16539" s="1">
        <v>13.030714</v>
      </c>
      <c r="E16539" s="1">
        <v>80.14809</v>
      </c>
      <c r="F16539" s="1">
        <v>5339.0</v>
      </c>
      <c r="G16539" s="1">
        <v>56.0</v>
      </c>
    </row>
    <row r="16540">
      <c r="A16540" s="1" t="s">
        <v>7</v>
      </c>
      <c r="B16540" s="2">
        <v>44785.0</v>
      </c>
      <c r="C16540" s="3">
        <v>0.8045833333333333</v>
      </c>
      <c r="D16540" s="1">
        <v>13.023758</v>
      </c>
      <c r="E16540" s="1">
        <v>80.140502</v>
      </c>
      <c r="F16540" s="1">
        <v>5339.0</v>
      </c>
      <c r="G16540" s="1">
        <v>58.0</v>
      </c>
    </row>
    <row r="16541">
      <c r="A16541" s="1" t="s">
        <v>7</v>
      </c>
      <c r="B16541" s="2">
        <v>44785.0</v>
      </c>
      <c r="C16541" s="3">
        <v>0.8105439814814814</v>
      </c>
      <c r="D16541" s="1">
        <v>12.957267</v>
      </c>
      <c r="E16541" s="1">
        <v>80.119306</v>
      </c>
      <c r="F16541" s="1">
        <v>5339.0</v>
      </c>
      <c r="G16541" s="1">
        <v>52.0</v>
      </c>
    </row>
    <row r="16542">
      <c r="A16542" s="1" t="s">
        <v>7</v>
      </c>
      <c r="B16542" s="2">
        <v>44785.0</v>
      </c>
      <c r="C16542" s="3">
        <v>0.8132060185185185</v>
      </c>
      <c r="D16542" s="1">
        <v>12.935108</v>
      </c>
      <c r="E16542" s="1">
        <v>80.099415</v>
      </c>
      <c r="F16542" s="1">
        <v>5339.0</v>
      </c>
      <c r="G16542" s="1">
        <v>59.0</v>
      </c>
    </row>
    <row r="16543">
      <c r="A16543" s="1" t="s">
        <v>7</v>
      </c>
      <c r="B16543" s="2">
        <v>44785.0</v>
      </c>
      <c r="C16543" s="3">
        <v>0.8143518518518519</v>
      </c>
      <c r="D16543" s="1">
        <v>12.920933</v>
      </c>
      <c r="E16543" s="1">
        <v>80.100923</v>
      </c>
      <c r="F16543" s="1">
        <v>5339.0</v>
      </c>
      <c r="G16543" s="1">
        <v>56.0</v>
      </c>
    </row>
    <row r="16544">
      <c r="A16544" s="1" t="s">
        <v>8</v>
      </c>
      <c r="B16544" s="2">
        <v>44785.0</v>
      </c>
      <c r="C16544" s="3">
        <v>0.8180439814814815</v>
      </c>
      <c r="D16544" s="1">
        <v>12.904524</v>
      </c>
      <c r="E16544" s="1">
        <v>80.095146</v>
      </c>
      <c r="F16544" s="1">
        <v>5339.0</v>
      </c>
      <c r="G16544" s="1">
        <v>27.0</v>
      </c>
    </row>
    <row r="16545">
      <c r="A16545" s="1" t="s">
        <v>8</v>
      </c>
      <c r="B16545" s="2">
        <v>44785.0</v>
      </c>
      <c r="C16545" s="3">
        <v>0.8180439814814815</v>
      </c>
      <c r="D16545" s="1">
        <v>12.904524</v>
      </c>
      <c r="E16545" s="1">
        <v>80.095146</v>
      </c>
      <c r="F16545" s="1">
        <v>5339.0</v>
      </c>
      <c r="G16545" s="1">
        <v>27.0</v>
      </c>
    </row>
    <row r="16546">
      <c r="A16546" s="1" t="s">
        <v>8</v>
      </c>
      <c r="B16546" s="2">
        <v>44785.0</v>
      </c>
      <c r="C16546" s="3">
        <v>0.8184722222222223</v>
      </c>
      <c r="D16546" s="1">
        <v>12.902365</v>
      </c>
      <c r="E16546" s="1">
        <v>80.093319</v>
      </c>
      <c r="F16546" s="1">
        <v>5339.0</v>
      </c>
      <c r="G16546" s="1">
        <v>44.0</v>
      </c>
    </row>
    <row r="16547">
      <c r="A16547" s="1" t="s">
        <v>8</v>
      </c>
      <c r="B16547" s="2">
        <v>44785.0</v>
      </c>
      <c r="C16547" s="3">
        <v>0.8186921296296297</v>
      </c>
      <c r="D16547" s="1">
        <v>12.9004</v>
      </c>
      <c r="E16547" s="1">
        <v>80.091858</v>
      </c>
      <c r="F16547" s="1">
        <v>5339.0</v>
      </c>
      <c r="G16547" s="1">
        <v>53.0</v>
      </c>
    </row>
    <row r="16548">
      <c r="A16548" s="1" t="s">
        <v>8</v>
      </c>
      <c r="B16548" s="2">
        <v>44785.0</v>
      </c>
      <c r="C16548" s="3">
        <v>0.8187731481481482</v>
      </c>
      <c r="D16548" s="1">
        <v>12.899239</v>
      </c>
      <c r="E16548" s="1">
        <v>80.091017</v>
      </c>
      <c r="F16548" s="1">
        <v>5339.0</v>
      </c>
      <c r="G16548" s="1">
        <v>60.0</v>
      </c>
    </row>
    <row r="16549">
      <c r="A16549" s="1" t="s">
        <v>8</v>
      </c>
      <c r="B16549" s="2">
        <v>44785.0</v>
      </c>
      <c r="C16549" s="3">
        <v>0.8189236111111111</v>
      </c>
      <c r="D16549" s="1">
        <v>12.898125</v>
      </c>
      <c r="E16549" s="1">
        <v>80.090141</v>
      </c>
      <c r="F16549" s="1">
        <v>5339.0</v>
      </c>
      <c r="G16549" s="1">
        <v>53.0</v>
      </c>
    </row>
    <row r="16550">
      <c r="A16550" s="1" t="s">
        <v>8</v>
      </c>
      <c r="B16550" s="2">
        <v>44785.0</v>
      </c>
      <c r="C16550" s="3">
        <v>0.8193981481481482</v>
      </c>
      <c r="D16550" s="1">
        <v>12.894716</v>
      </c>
      <c r="E16550" s="1">
        <v>80.087575</v>
      </c>
      <c r="F16550" s="1">
        <v>5339.0</v>
      </c>
      <c r="G16550" s="1">
        <v>50.0</v>
      </c>
    </row>
    <row r="16551">
      <c r="A16551" s="1" t="s">
        <v>8</v>
      </c>
      <c r="B16551" s="2">
        <v>44785.0</v>
      </c>
      <c r="C16551" s="3">
        <v>0.8195254629629629</v>
      </c>
      <c r="D16551" s="1">
        <v>12.893717</v>
      </c>
      <c r="E16551" s="1">
        <v>80.086835</v>
      </c>
      <c r="F16551" s="1">
        <v>5339.0</v>
      </c>
      <c r="G16551" s="1">
        <v>45.0</v>
      </c>
    </row>
    <row r="16552">
      <c r="A16552" s="1" t="s">
        <v>8</v>
      </c>
      <c r="B16552" s="2">
        <v>44785.0</v>
      </c>
      <c r="C16552" s="3">
        <v>0.8198032407407407</v>
      </c>
      <c r="D16552" s="1">
        <v>12.891865</v>
      </c>
      <c r="E16552" s="1">
        <v>80.085493</v>
      </c>
      <c r="F16552" s="1">
        <v>5339.0</v>
      </c>
      <c r="G16552" s="1">
        <v>31.0</v>
      </c>
    </row>
    <row r="16553">
      <c r="A16553" s="1" t="s">
        <v>8</v>
      </c>
      <c r="B16553" s="2">
        <v>44785.0</v>
      </c>
      <c r="C16553" s="3">
        <v>0.8201041666666666</v>
      </c>
      <c r="D16553" s="1">
        <v>12.890381</v>
      </c>
      <c r="E16553" s="1">
        <v>80.084807</v>
      </c>
      <c r="F16553" s="1">
        <v>5339.0</v>
      </c>
      <c r="G16553" s="1">
        <v>36.0</v>
      </c>
    </row>
    <row r="16554">
      <c r="A16554" s="1" t="s">
        <v>8</v>
      </c>
      <c r="B16554" s="2">
        <v>44785.0</v>
      </c>
      <c r="C16554" s="3">
        <v>0.8202199074074074</v>
      </c>
      <c r="D16554" s="1">
        <v>12.889443</v>
      </c>
      <c r="E16554" s="1">
        <v>80.084413</v>
      </c>
      <c r="F16554" s="1">
        <v>5339.0</v>
      </c>
      <c r="G16554" s="1">
        <v>43.0</v>
      </c>
    </row>
    <row r="16555">
      <c r="A16555" s="1" t="s">
        <v>8</v>
      </c>
      <c r="B16555" s="2">
        <v>44785.0</v>
      </c>
      <c r="C16555" s="3">
        <v>0.8202662037037037</v>
      </c>
      <c r="D16555" s="1">
        <v>12.888411</v>
      </c>
      <c r="E16555" s="1">
        <v>80.084014</v>
      </c>
      <c r="F16555" s="1">
        <v>5339.0</v>
      </c>
      <c r="G16555" s="1">
        <v>44.0</v>
      </c>
    </row>
    <row r="16556">
      <c r="A16556" s="1" t="s">
        <v>8</v>
      </c>
      <c r="B16556" s="2">
        <v>44785.0</v>
      </c>
      <c r="C16556" s="3">
        <v>0.8206712962962963</v>
      </c>
      <c r="D16556" s="1">
        <v>12.885011</v>
      </c>
      <c r="E16556" s="1">
        <v>80.082613</v>
      </c>
      <c r="F16556" s="1">
        <v>5339.0</v>
      </c>
      <c r="G16556" s="1">
        <v>54.0</v>
      </c>
    </row>
    <row r="16557">
      <c r="A16557" s="1" t="s">
        <v>8</v>
      </c>
      <c r="B16557" s="2">
        <v>44785.0</v>
      </c>
      <c r="C16557" s="3">
        <v>0.8211689814814814</v>
      </c>
      <c r="D16557" s="1">
        <v>12.880622</v>
      </c>
      <c r="E16557" s="1">
        <v>80.080912</v>
      </c>
      <c r="F16557" s="1">
        <v>5339.0</v>
      </c>
      <c r="G16557" s="1">
        <v>34.0</v>
      </c>
    </row>
    <row r="16558">
      <c r="A16558" s="1" t="s">
        <v>7</v>
      </c>
      <c r="B16558" s="2">
        <v>44786.0</v>
      </c>
      <c r="C16558" s="3">
        <v>0.2285763888888889</v>
      </c>
      <c r="D16558" s="1">
        <v>12.876302</v>
      </c>
      <c r="E16558" s="1">
        <v>80.079218</v>
      </c>
      <c r="F16558" s="1">
        <v>3143.0</v>
      </c>
      <c r="G16558" s="1">
        <v>56.0</v>
      </c>
    </row>
    <row r="16559">
      <c r="A16559" s="1" t="s">
        <v>7</v>
      </c>
      <c r="B16559" s="2">
        <v>44786.0</v>
      </c>
      <c r="C16559" s="3">
        <v>0.22864583333333333</v>
      </c>
      <c r="D16559" s="1">
        <v>12.874944</v>
      </c>
      <c r="E16559" s="1">
        <v>80.078677</v>
      </c>
      <c r="F16559" s="1">
        <v>3143.0</v>
      </c>
      <c r="G16559" s="1">
        <v>57.0</v>
      </c>
    </row>
    <row r="16560">
      <c r="A16560" s="1" t="s">
        <v>7</v>
      </c>
      <c r="B16560" s="2">
        <v>44786.0</v>
      </c>
      <c r="C16560" s="3">
        <v>0.2289699074074074</v>
      </c>
      <c r="D16560" s="1">
        <v>12.871249</v>
      </c>
      <c r="E16560" s="1">
        <v>80.077168</v>
      </c>
      <c r="F16560" s="1">
        <v>3143.0</v>
      </c>
      <c r="G16560" s="1">
        <v>51.0</v>
      </c>
    </row>
    <row r="16561">
      <c r="A16561" s="1" t="s">
        <v>7</v>
      </c>
      <c r="B16561" s="2">
        <v>44786.0</v>
      </c>
      <c r="C16561" s="3">
        <v>0.22921296296296295</v>
      </c>
      <c r="D16561" s="1">
        <v>12.868794</v>
      </c>
      <c r="E16561" s="1">
        <v>80.076216</v>
      </c>
      <c r="F16561" s="1">
        <v>3143.0</v>
      </c>
      <c r="G16561" s="1">
        <v>49.0</v>
      </c>
    </row>
    <row r="16562">
      <c r="A16562" s="1" t="s">
        <v>7</v>
      </c>
      <c r="B16562" s="2">
        <v>44786.0</v>
      </c>
      <c r="C16562" s="3">
        <v>0.23072916666666668</v>
      </c>
      <c r="D16562" s="1">
        <v>12.85285</v>
      </c>
      <c r="E16562" s="1">
        <v>80.066911</v>
      </c>
      <c r="F16562" s="1">
        <v>3143.0</v>
      </c>
      <c r="G16562" s="1">
        <v>58.0</v>
      </c>
    </row>
    <row r="16563">
      <c r="A16563" s="1" t="s">
        <v>7</v>
      </c>
      <c r="B16563" s="2">
        <v>44786.0</v>
      </c>
      <c r="C16563" s="3">
        <v>0.23082175925925927</v>
      </c>
      <c r="D16563" s="1">
        <v>12.851658</v>
      </c>
      <c r="E16563" s="1">
        <v>80.066058</v>
      </c>
      <c r="F16563" s="1">
        <v>3143.0</v>
      </c>
      <c r="G16563" s="1">
        <v>57.0</v>
      </c>
    </row>
    <row r="16564">
      <c r="A16564" s="1" t="s">
        <v>7</v>
      </c>
      <c r="B16564" s="2">
        <v>44786.0</v>
      </c>
      <c r="C16564" s="3">
        <v>0.23092592592592592</v>
      </c>
      <c r="D16564" s="1">
        <v>12.850458</v>
      </c>
      <c r="E16564" s="1">
        <v>80.065216</v>
      </c>
      <c r="F16564" s="1">
        <v>3143.0</v>
      </c>
      <c r="G16564" s="1">
        <v>57.0</v>
      </c>
    </row>
    <row r="16565">
      <c r="A16565" s="1" t="s">
        <v>7</v>
      </c>
      <c r="B16565" s="2">
        <v>44786.0</v>
      </c>
      <c r="C16565" s="3">
        <v>0.23222222222222222</v>
      </c>
      <c r="D16565" s="1">
        <v>12.839504</v>
      </c>
      <c r="E16565" s="1">
        <v>80.055213</v>
      </c>
      <c r="F16565" s="1">
        <v>3143.0</v>
      </c>
      <c r="G16565" s="1">
        <v>58.0</v>
      </c>
    </row>
    <row r="16566">
      <c r="A16566" s="1" t="s">
        <v>7</v>
      </c>
      <c r="B16566" s="2">
        <v>44786.0</v>
      </c>
      <c r="C16566" s="3">
        <v>0.23309027777777777</v>
      </c>
      <c r="D16566" s="1">
        <v>12.832437</v>
      </c>
      <c r="E16566" s="1">
        <v>80.047762</v>
      </c>
      <c r="F16566" s="1">
        <v>3143.0</v>
      </c>
      <c r="G16566" s="1">
        <v>58.0</v>
      </c>
    </row>
    <row r="16567">
      <c r="A16567" s="1" t="s">
        <v>8</v>
      </c>
      <c r="B16567" s="2">
        <v>44786.0</v>
      </c>
      <c r="C16567" s="3">
        <v>0.23332175925925927</v>
      </c>
      <c r="D16567" s="1">
        <v>12.830428</v>
      </c>
      <c r="E16567" s="1">
        <v>80.045674</v>
      </c>
      <c r="F16567" s="1">
        <v>3143.0</v>
      </c>
      <c r="G16567" s="1">
        <v>59.0</v>
      </c>
    </row>
    <row r="16568">
      <c r="A16568" s="1" t="s">
        <v>7</v>
      </c>
      <c r="B16568" s="2">
        <v>44786.0</v>
      </c>
      <c r="C16568" s="3">
        <v>0.24744212962962964</v>
      </c>
      <c r="D16568" s="1">
        <v>12.820948</v>
      </c>
      <c r="E16568" s="1">
        <v>80.037244</v>
      </c>
      <c r="F16568" s="1">
        <v>3143.0</v>
      </c>
      <c r="G16568" s="1">
        <v>48.0</v>
      </c>
    </row>
    <row r="16569">
      <c r="A16569" s="1" t="s">
        <v>7</v>
      </c>
      <c r="B16569" s="2">
        <v>44786.0</v>
      </c>
      <c r="C16569" s="3">
        <v>0.2478935185185185</v>
      </c>
      <c r="D16569" s="1">
        <v>12.825532</v>
      </c>
      <c r="E16569" s="1">
        <v>80.040522</v>
      </c>
      <c r="F16569" s="1">
        <v>3143.0</v>
      </c>
      <c r="G16569" s="1">
        <v>58.0</v>
      </c>
    </row>
    <row r="16570">
      <c r="A16570" s="1" t="s">
        <v>7</v>
      </c>
      <c r="B16570" s="2">
        <v>44786.0</v>
      </c>
      <c r="C16570" s="3">
        <v>0.24893518518518518</v>
      </c>
      <c r="D16570" s="1">
        <v>12.833255</v>
      </c>
      <c r="E16570" s="1">
        <v>80.04841</v>
      </c>
      <c r="F16570" s="1">
        <v>3143.0</v>
      </c>
      <c r="G16570" s="1">
        <v>57.0</v>
      </c>
    </row>
    <row r="16571">
      <c r="A16571" s="1" t="s">
        <v>7</v>
      </c>
      <c r="B16571" s="2">
        <v>44786.0</v>
      </c>
      <c r="C16571" s="3">
        <v>0.24935185185185185</v>
      </c>
      <c r="D16571" s="1">
        <v>12.83735</v>
      </c>
      <c r="E16571" s="1">
        <v>80.052675</v>
      </c>
      <c r="F16571" s="1">
        <v>3143.0</v>
      </c>
      <c r="G16571" s="1">
        <v>57.0</v>
      </c>
    </row>
    <row r="16572">
      <c r="A16572" s="1" t="s">
        <v>7</v>
      </c>
      <c r="B16572" s="2">
        <v>44786.0</v>
      </c>
      <c r="C16572" s="3">
        <v>0.24944444444444444</v>
      </c>
      <c r="D16572" s="1">
        <v>12.838376</v>
      </c>
      <c r="E16572" s="1">
        <v>80.05373</v>
      </c>
      <c r="F16572" s="1">
        <v>3143.0</v>
      </c>
      <c r="G16572" s="1">
        <v>56.0</v>
      </c>
    </row>
    <row r="16573">
      <c r="A16573" s="1" t="s">
        <v>7</v>
      </c>
      <c r="B16573" s="2">
        <v>44786.0</v>
      </c>
      <c r="C16573" s="3">
        <v>0.2496759259259259</v>
      </c>
      <c r="D16573" s="1">
        <v>12.840446</v>
      </c>
      <c r="E16573" s="1">
        <v>80.055824</v>
      </c>
      <c r="F16573" s="1">
        <v>3143.0</v>
      </c>
      <c r="G16573" s="1">
        <v>57.0</v>
      </c>
    </row>
    <row r="16574">
      <c r="A16574" s="1" t="s">
        <v>7</v>
      </c>
      <c r="B16574" s="2">
        <v>44786.0</v>
      </c>
      <c r="C16574" s="3">
        <v>0.2499537037037037</v>
      </c>
      <c r="D16574" s="1">
        <v>12.842447</v>
      </c>
      <c r="E16574" s="1">
        <v>80.057983</v>
      </c>
      <c r="F16574" s="1">
        <v>3143.0</v>
      </c>
      <c r="G16574" s="1">
        <v>58.0</v>
      </c>
    </row>
    <row r="16575">
      <c r="A16575" s="1" t="s">
        <v>7</v>
      </c>
      <c r="B16575" s="2">
        <v>44786.0</v>
      </c>
      <c r="C16575" s="3">
        <v>0.25059027777777776</v>
      </c>
      <c r="D16575" s="1">
        <v>12.848056</v>
      </c>
      <c r="E16575" s="1">
        <v>80.063308</v>
      </c>
      <c r="F16575" s="1">
        <v>3143.0</v>
      </c>
      <c r="G16575" s="1">
        <v>55.0</v>
      </c>
    </row>
    <row r="16576">
      <c r="A16576" s="1" t="s">
        <v>7</v>
      </c>
      <c r="B16576" s="2">
        <v>44786.0</v>
      </c>
      <c r="C16576" s="3">
        <v>0.2507175925925926</v>
      </c>
      <c r="D16576" s="1">
        <v>12.849175</v>
      </c>
      <c r="E16576" s="1">
        <v>80.0641</v>
      </c>
      <c r="F16576" s="1">
        <v>3143.0</v>
      </c>
      <c r="G16576" s="1">
        <v>52.0</v>
      </c>
    </row>
    <row r="16577">
      <c r="A16577" s="1" t="s">
        <v>7</v>
      </c>
      <c r="B16577" s="2">
        <v>44786.0</v>
      </c>
      <c r="C16577" s="3">
        <v>0.25078703703703703</v>
      </c>
      <c r="D16577" s="1">
        <v>12.849175</v>
      </c>
      <c r="E16577" s="1">
        <v>80.0641</v>
      </c>
      <c r="F16577" s="1">
        <v>3143.0</v>
      </c>
      <c r="G16577" s="1">
        <v>52.0</v>
      </c>
    </row>
    <row r="16578">
      <c r="A16578" s="1" t="s">
        <v>7</v>
      </c>
      <c r="B16578" s="2">
        <v>44786.0</v>
      </c>
      <c r="C16578" s="3">
        <v>0.2523842592592593</v>
      </c>
      <c r="D16578" s="1">
        <v>12.864411</v>
      </c>
      <c r="E16578" s="1">
        <v>80.074336</v>
      </c>
      <c r="F16578" s="1">
        <v>3143.0</v>
      </c>
      <c r="G16578" s="1">
        <v>53.0</v>
      </c>
    </row>
    <row r="16579">
      <c r="A16579" s="1" t="s">
        <v>7</v>
      </c>
      <c r="B16579" s="2">
        <v>44786.0</v>
      </c>
      <c r="C16579" s="3">
        <v>0.2529976851851852</v>
      </c>
      <c r="D16579" s="1">
        <v>12.870405</v>
      </c>
      <c r="E16579" s="1">
        <v>80.076611</v>
      </c>
      <c r="F16579" s="1">
        <v>3143.0</v>
      </c>
      <c r="G16579" s="1">
        <v>54.0</v>
      </c>
    </row>
    <row r="16580">
      <c r="A16580" s="1" t="s">
        <v>7</v>
      </c>
      <c r="B16580" s="2">
        <v>44787.0</v>
      </c>
      <c r="C16580" s="3">
        <v>0.28239583333333335</v>
      </c>
      <c r="D16580" s="1">
        <v>12.891129</v>
      </c>
      <c r="E16580" s="1">
        <v>80.084947</v>
      </c>
      <c r="F16580" s="1">
        <v>5339.0</v>
      </c>
      <c r="G16580" s="1">
        <v>57.0</v>
      </c>
    </row>
    <row r="16581">
      <c r="A16581" s="1" t="s">
        <v>8</v>
      </c>
      <c r="B16581" s="2">
        <v>44787.0</v>
      </c>
      <c r="C16581" s="3">
        <v>0.28368055555555555</v>
      </c>
      <c r="D16581" s="1">
        <v>12.904151</v>
      </c>
      <c r="E16581" s="1">
        <v>80.094473</v>
      </c>
      <c r="F16581" s="1">
        <v>5339.0</v>
      </c>
      <c r="G16581" s="1">
        <v>54.0</v>
      </c>
    </row>
    <row r="16582">
      <c r="A16582" s="1" t="s">
        <v>7</v>
      </c>
      <c r="B16582" s="2">
        <v>44787.0</v>
      </c>
      <c r="C16582" s="3">
        <v>0.28408564814814813</v>
      </c>
      <c r="D16582" s="1">
        <v>12.90852</v>
      </c>
      <c r="E16582" s="1">
        <v>80.097776</v>
      </c>
      <c r="F16582" s="1">
        <v>5339.0</v>
      </c>
      <c r="G16582" s="1">
        <v>52.0</v>
      </c>
    </row>
    <row r="16583">
      <c r="A16583" s="1" t="s">
        <v>7</v>
      </c>
      <c r="B16583" s="2">
        <v>44787.0</v>
      </c>
      <c r="C16583" s="3">
        <v>0.285162037037037</v>
      </c>
      <c r="D16583" s="1">
        <v>12.915916</v>
      </c>
      <c r="E16583" s="1">
        <v>80.104989</v>
      </c>
      <c r="F16583" s="1">
        <v>5339.0</v>
      </c>
      <c r="G16583" s="1">
        <v>56.0</v>
      </c>
    </row>
    <row r="16584">
      <c r="A16584" s="1" t="s">
        <v>8</v>
      </c>
      <c r="B16584" s="2">
        <v>44787.0</v>
      </c>
      <c r="C16584" s="3">
        <v>0.28552083333333333</v>
      </c>
      <c r="D16584" s="1">
        <v>12.917793</v>
      </c>
      <c r="E16584" s="1">
        <v>80.108181</v>
      </c>
      <c r="F16584" s="1">
        <v>5339.0</v>
      </c>
      <c r="G16584" s="1">
        <v>37.0</v>
      </c>
    </row>
    <row r="16585">
      <c r="A16585" s="1" t="s">
        <v>7</v>
      </c>
      <c r="B16585" s="2">
        <v>44787.0</v>
      </c>
      <c r="C16585" s="3">
        <v>0.28565972222222225</v>
      </c>
      <c r="D16585" s="1">
        <v>12.918407</v>
      </c>
      <c r="E16585" s="1">
        <v>80.108939</v>
      </c>
      <c r="F16585" s="1">
        <v>5339.0</v>
      </c>
      <c r="G16585" s="1">
        <v>40.0</v>
      </c>
    </row>
    <row r="16586">
      <c r="A16586" s="1" t="s">
        <v>8</v>
      </c>
      <c r="B16586" s="2">
        <v>44787.0</v>
      </c>
      <c r="C16586" s="3">
        <v>0.28572916666666665</v>
      </c>
      <c r="D16586" s="1">
        <v>12.919124</v>
      </c>
      <c r="E16586" s="1">
        <v>80.109814</v>
      </c>
      <c r="F16586" s="1">
        <v>5339.0</v>
      </c>
      <c r="G16586" s="1">
        <v>50.0</v>
      </c>
    </row>
    <row r="16587">
      <c r="A16587" s="1" t="s">
        <v>8</v>
      </c>
      <c r="B16587" s="2">
        <v>44787.0</v>
      </c>
      <c r="C16587" s="3">
        <v>0.28599537037037037</v>
      </c>
      <c r="D16587" s="1">
        <v>12.920715</v>
      </c>
      <c r="E16587" s="1">
        <v>80.111728</v>
      </c>
      <c r="F16587" s="1">
        <v>5339.0</v>
      </c>
      <c r="G16587" s="1">
        <v>46.0</v>
      </c>
    </row>
    <row r="16588">
      <c r="A16588" s="1" t="s">
        <v>8</v>
      </c>
      <c r="B16588" s="2">
        <v>44787.0</v>
      </c>
      <c r="C16588" s="3">
        <v>0.29019675925925925</v>
      </c>
      <c r="D16588" s="1">
        <v>12.936153</v>
      </c>
      <c r="E16588" s="1">
        <v>80.127103</v>
      </c>
      <c r="F16588" s="1">
        <v>5339.0</v>
      </c>
      <c r="G16588" s="1">
        <v>24.0</v>
      </c>
    </row>
    <row r="16589">
      <c r="A16589" s="1" t="s">
        <v>8</v>
      </c>
      <c r="B16589" s="2">
        <v>44787.0</v>
      </c>
      <c r="C16589" s="3">
        <v>0.2919212962962963</v>
      </c>
      <c r="D16589" s="1">
        <v>12.947495</v>
      </c>
      <c r="E16589" s="1">
        <v>80.137184</v>
      </c>
      <c r="F16589" s="1">
        <v>5339.0</v>
      </c>
      <c r="G16589" s="1">
        <v>54.0</v>
      </c>
    </row>
    <row r="16590">
      <c r="A16590" s="1" t="s">
        <v>8</v>
      </c>
      <c r="B16590" s="2">
        <v>44787.0</v>
      </c>
      <c r="C16590" s="3">
        <v>0.2922106481481481</v>
      </c>
      <c r="D16590" s="1">
        <v>12.950614</v>
      </c>
      <c r="E16590" s="1">
        <v>80.139577</v>
      </c>
      <c r="F16590" s="1">
        <v>5339.0</v>
      </c>
      <c r="G16590" s="1">
        <v>47.0</v>
      </c>
    </row>
    <row r="16591">
      <c r="A16591" s="1" t="s">
        <v>7</v>
      </c>
      <c r="B16591" s="2">
        <v>44787.0</v>
      </c>
      <c r="C16591" s="3">
        <v>0.2934837962962963</v>
      </c>
      <c r="D16591" s="1">
        <v>12.958944</v>
      </c>
      <c r="E16591" s="1">
        <v>80.14457</v>
      </c>
      <c r="F16591" s="1">
        <v>5339.0</v>
      </c>
      <c r="G16591" s="1">
        <v>50.0</v>
      </c>
    </row>
    <row r="16592">
      <c r="A16592" s="1" t="s">
        <v>8</v>
      </c>
      <c r="B16592" s="2">
        <v>44787.0</v>
      </c>
      <c r="C16592" s="3">
        <v>0.2941898148148148</v>
      </c>
      <c r="D16592" s="1">
        <v>12.963262</v>
      </c>
      <c r="E16592" s="1">
        <v>80.146905</v>
      </c>
      <c r="F16592" s="1">
        <v>5339.0</v>
      </c>
      <c r="G16592" s="1">
        <v>54.0</v>
      </c>
    </row>
    <row r="16593">
      <c r="A16593" s="1" t="s">
        <v>7</v>
      </c>
      <c r="B16593" s="2">
        <v>44787.0</v>
      </c>
      <c r="C16593" s="3">
        <v>0.295150462962963</v>
      </c>
      <c r="D16593" s="1">
        <v>12.974228</v>
      </c>
      <c r="E16593" s="1">
        <v>80.154377</v>
      </c>
      <c r="F16593" s="1">
        <v>5339.0</v>
      </c>
      <c r="G16593" s="1">
        <v>60.0</v>
      </c>
    </row>
    <row r="16594">
      <c r="A16594" s="1" t="s">
        <v>8</v>
      </c>
      <c r="B16594" s="2">
        <v>44787.0</v>
      </c>
      <c r="C16594" s="3">
        <v>0.29694444444444446</v>
      </c>
      <c r="D16594" s="1">
        <v>12.986139</v>
      </c>
      <c r="E16594" s="1">
        <v>80.174193</v>
      </c>
      <c r="F16594" s="1">
        <v>5339.0</v>
      </c>
      <c r="G16594" s="1">
        <v>52.0</v>
      </c>
    </row>
    <row r="16595">
      <c r="A16595" s="1" t="s">
        <v>7</v>
      </c>
      <c r="B16595" s="2">
        <v>44787.0</v>
      </c>
      <c r="C16595" s="3">
        <v>0.29712962962962963</v>
      </c>
      <c r="D16595" s="1">
        <v>12.986139</v>
      </c>
      <c r="E16595" s="1">
        <v>80.174193</v>
      </c>
      <c r="F16595" s="1">
        <v>5339.0</v>
      </c>
      <c r="G16595" s="1">
        <v>52.0</v>
      </c>
    </row>
    <row r="16596">
      <c r="A16596" s="1" t="s">
        <v>8</v>
      </c>
      <c r="B16596" s="2">
        <v>44787.0</v>
      </c>
      <c r="C16596" s="3">
        <v>0.29768518518518516</v>
      </c>
      <c r="D16596" s="1">
        <v>12.99091</v>
      </c>
      <c r="E16596" s="1">
        <v>80.180574</v>
      </c>
      <c r="F16596" s="1">
        <v>5339.0</v>
      </c>
      <c r="G16596" s="1">
        <v>49.0</v>
      </c>
    </row>
    <row r="16597">
      <c r="A16597" s="1" t="s">
        <v>8</v>
      </c>
      <c r="B16597" s="2">
        <v>44787.0</v>
      </c>
      <c r="C16597" s="3">
        <v>0.2978703703703704</v>
      </c>
      <c r="D16597" s="1">
        <v>12.99091</v>
      </c>
      <c r="E16597" s="1">
        <v>80.180574</v>
      </c>
      <c r="F16597" s="1">
        <v>5339.0</v>
      </c>
      <c r="G16597" s="1">
        <v>49.0</v>
      </c>
    </row>
    <row r="16598">
      <c r="A16598" s="1" t="s">
        <v>8</v>
      </c>
      <c r="B16598" s="2">
        <v>44787.0</v>
      </c>
      <c r="C16598" s="3">
        <v>0.298125</v>
      </c>
      <c r="D16598" s="1">
        <v>12.99091</v>
      </c>
      <c r="E16598" s="1">
        <v>80.180574</v>
      </c>
      <c r="F16598" s="1">
        <v>5339.0</v>
      </c>
      <c r="G16598" s="1">
        <v>49.0</v>
      </c>
    </row>
    <row r="16599">
      <c r="A16599" s="1" t="s">
        <v>8</v>
      </c>
      <c r="B16599" s="2">
        <v>44787.0</v>
      </c>
      <c r="C16599" s="3">
        <v>0.2982523148148148</v>
      </c>
      <c r="D16599" s="1">
        <v>12.993982</v>
      </c>
      <c r="E16599" s="1">
        <v>80.18527</v>
      </c>
      <c r="F16599" s="1">
        <v>5339.0</v>
      </c>
      <c r="G16599" s="1">
        <v>31.0</v>
      </c>
    </row>
    <row r="16600">
      <c r="A16600" s="1" t="s">
        <v>8</v>
      </c>
      <c r="B16600" s="2">
        <v>44787.0</v>
      </c>
      <c r="C16600" s="3">
        <v>0.29832175925925924</v>
      </c>
      <c r="D16600" s="1">
        <v>12.993982</v>
      </c>
      <c r="E16600" s="1">
        <v>80.18527</v>
      </c>
      <c r="F16600" s="1">
        <v>5339.0</v>
      </c>
      <c r="G16600" s="1">
        <v>31.0</v>
      </c>
    </row>
    <row r="16601">
      <c r="A16601" s="1" t="s">
        <v>8</v>
      </c>
      <c r="B16601" s="2">
        <v>44787.0</v>
      </c>
      <c r="C16601" s="3">
        <v>0.2984027777777778</v>
      </c>
      <c r="D16601" s="1">
        <v>12.993982</v>
      </c>
      <c r="E16601" s="1">
        <v>80.18527</v>
      </c>
      <c r="F16601" s="1">
        <v>5339.0</v>
      </c>
      <c r="G16601" s="1">
        <v>31.0</v>
      </c>
    </row>
    <row r="16602">
      <c r="A16602" s="1" t="s">
        <v>7</v>
      </c>
      <c r="B16602" s="2">
        <v>44787.0</v>
      </c>
      <c r="C16602" s="3">
        <v>0.29894675925925923</v>
      </c>
      <c r="D16602" s="1">
        <v>12.996498</v>
      </c>
      <c r="E16602" s="1">
        <v>80.189758</v>
      </c>
      <c r="F16602" s="1">
        <v>5339.0</v>
      </c>
      <c r="G16602" s="1">
        <v>53.0</v>
      </c>
    </row>
    <row r="16603">
      <c r="A16603" s="1" t="s">
        <v>7</v>
      </c>
      <c r="B16603" s="2">
        <v>44787.0</v>
      </c>
      <c r="C16603" s="3">
        <v>0.2992476851851852</v>
      </c>
      <c r="D16603" s="1">
        <v>12.999553</v>
      </c>
      <c r="E16603" s="1">
        <v>80.193525</v>
      </c>
      <c r="F16603" s="1">
        <v>5339.0</v>
      </c>
      <c r="G16603" s="1">
        <v>58.0</v>
      </c>
    </row>
    <row r="16604">
      <c r="A16604" s="1" t="s">
        <v>7</v>
      </c>
      <c r="B16604" s="2">
        <v>44787.0</v>
      </c>
      <c r="C16604" s="3">
        <v>0.299375</v>
      </c>
      <c r="D16604" s="1">
        <v>12.999553</v>
      </c>
      <c r="E16604" s="1">
        <v>80.193525</v>
      </c>
      <c r="F16604" s="1">
        <v>5339.0</v>
      </c>
      <c r="G16604" s="1">
        <v>58.0</v>
      </c>
    </row>
    <row r="16605">
      <c r="A16605" s="1" t="s">
        <v>8</v>
      </c>
      <c r="B16605" s="2">
        <v>44787.0</v>
      </c>
      <c r="C16605" s="3">
        <v>0.2995486111111111</v>
      </c>
      <c r="D16605" s="1">
        <v>13.001106</v>
      </c>
      <c r="E16605" s="1">
        <v>80.195454</v>
      </c>
      <c r="F16605" s="1">
        <v>5339.0</v>
      </c>
      <c r="G16605" s="1">
        <v>53.0</v>
      </c>
    </row>
    <row r="16606">
      <c r="A16606" s="1" t="s">
        <v>8</v>
      </c>
      <c r="B16606" s="2">
        <v>44787.0</v>
      </c>
      <c r="C16606" s="3">
        <v>0.2996875</v>
      </c>
      <c r="D16606" s="1">
        <v>13.002154</v>
      </c>
      <c r="E16606" s="1">
        <v>80.197216</v>
      </c>
      <c r="F16606" s="1">
        <v>5339.0</v>
      </c>
      <c r="G16606" s="1">
        <v>46.0</v>
      </c>
    </row>
    <row r="16607">
      <c r="A16607" s="1" t="s">
        <v>8</v>
      </c>
      <c r="B16607" s="2">
        <v>44787.0</v>
      </c>
      <c r="C16607" s="3">
        <v>0.30074074074074075</v>
      </c>
      <c r="D16607" s="1">
        <v>13.005103</v>
      </c>
      <c r="E16607" s="1">
        <v>80.201435</v>
      </c>
      <c r="F16607" s="1">
        <v>5339.0</v>
      </c>
      <c r="G16607" s="1">
        <v>36.0</v>
      </c>
    </row>
    <row r="16608">
      <c r="A16608" s="1" t="s">
        <v>8</v>
      </c>
      <c r="B16608" s="2">
        <v>44787.0</v>
      </c>
      <c r="C16608" s="3">
        <v>0.3017592592592593</v>
      </c>
      <c r="D16608" s="1">
        <v>13.007948</v>
      </c>
      <c r="E16608" s="1">
        <v>80.207771</v>
      </c>
      <c r="F16608" s="1">
        <v>5339.0</v>
      </c>
      <c r="G16608" s="1">
        <v>57.0</v>
      </c>
    </row>
    <row r="16609">
      <c r="A16609" s="1" t="s">
        <v>8</v>
      </c>
      <c r="B16609" s="2">
        <v>44787.0</v>
      </c>
      <c r="C16609" s="3">
        <v>0.3018634259259259</v>
      </c>
      <c r="D16609" s="1">
        <v>13.008144</v>
      </c>
      <c r="E16609" s="1">
        <v>80.209105</v>
      </c>
      <c r="F16609" s="1">
        <v>5339.0</v>
      </c>
      <c r="G16609" s="1">
        <v>48.0</v>
      </c>
    </row>
    <row r="16610">
      <c r="A16610" s="1" t="s">
        <v>8</v>
      </c>
      <c r="B16610" s="2">
        <v>44787.0</v>
      </c>
      <c r="C16610" s="3">
        <v>0.3018865740740741</v>
      </c>
      <c r="D16610" s="1">
        <v>13.008144</v>
      </c>
      <c r="E16610" s="1">
        <v>80.209105</v>
      </c>
      <c r="F16610" s="1">
        <v>5339.0</v>
      </c>
      <c r="G16610" s="1">
        <v>48.0</v>
      </c>
    </row>
    <row r="16611">
      <c r="A16611" s="1" t="s">
        <v>7</v>
      </c>
      <c r="B16611" s="2">
        <v>44787.0</v>
      </c>
      <c r="C16611" s="3">
        <v>0.30203703703703705</v>
      </c>
      <c r="D16611" s="1">
        <v>13.008494</v>
      </c>
      <c r="E16611" s="1">
        <v>80.210307</v>
      </c>
      <c r="F16611" s="1">
        <v>5339.0</v>
      </c>
      <c r="G16611" s="1">
        <v>50.0</v>
      </c>
    </row>
    <row r="16612">
      <c r="A16612" s="1" t="s">
        <v>8</v>
      </c>
      <c r="B16612" s="2">
        <v>44787.0</v>
      </c>
      <c r="C16612" s="3">
        <v>0.3023032407407407</v>
      </c>
      <c r="D16612" s="1">
        <v>13.009784</v>
      </c>
      <c r="E16612" s="1">
        <v>80.213766</v>
      </c>
      <c r="F16612" s="1">
        <v>5339.0</v>
      </c>
      <c r="G16612" s="1">
        <v>49.0</v>
      </c>
    </row>
    <row r="16613">
      <c r="A16613" s="1" t="s">
        <v>8</v>
      </c>
      <c r="B16613" s="2">
        <v>44787.0</v>
      </c>
      <c r="C16613" s="3">
        <v>0.30280092592592595</v>
      </c>
      <c r="D16613" s="1">
        <v>13.011291</v>
      </c>
      <c r="E16613" s="1">
        <v>80.217987</v>
      </c>
      <c r="F16613" s="1">
        <v>5339.0</v>
      </c>
      <c r="G16613" s="1">
        <v>58.0</v>
      </c>
    </row>
    <row r="16614">
      <c r="A16614" s="1" t="s">
        <v>8</v>
      </c>
      <c r="B16614" s="2">
        <v>44787.0</v>
      </c>
      <c r="C16614" s="3">
        <v>0.30292824074074076</v>
      </c>
      <c r="D16614" s="1">
        <v>13.011794</v>
      </c>
      <c r="E16614" s="1">
        <v>80.219417</v>
      </c>
      <c r="F16614" s="1">
        <v>5339.0</v>
      </c>
      <c r="G16614" s="1">
        <v>58.0</v>
      </c>
    </row>
    <row r="16615">
      <c r="A16615" s="1" t="s">
        <v>8</v>
      </c>
      <c r="B16615" s="2">
        <v>44787.0</v>
      </c>
      <c r="C16615" s="3">
        <v>0.30299768518518516</v>
      </c>
      <c r="D16615" s="1">
        <v>13.012275</v>
      </c>
      <c r="E16615" s="1">
        <v>80.220814</v>
      </c>
      <c r="F16615" s="1">
        <v>5339.0</v>
      </c>
      <c r="G16615" s="1">
        <v>57.0</v>
      </c>
    </row>
    <row r="16616">
      <c r="A16616" s="1" t="s">
        <v>8</v>
      </c>
      <c r="B16616" s="2">
        <v>44787.0</v>
      </c>
      <c r="C16616" s="3">
        <v>0.3032638888888889</v>
      </c>
      <c r="D16616" s="1">
        <v>13.01369</v>
      </c>
      <c r="E16616" s="1">
        <v>80.222972</v>
      </c>
      <c r="F16616" s="1">
        <v>5339.0</v>
      </c>
      <c r="G16616" s="1">
        <v>50.0</v>
      </c>
    </row>
    <row r="16617">
      <c r="A16617" s="1" t="s">
        <v>8</v>
      </c>
      <c r="B16617" s="2">
        <v>44787.0</v>
      </c>
      <c r="C16617" s="3">
        <v>0.3033101851851852</v>
      </c>
      <c r="D16617" s="1">
        <v>13.014449</v>
      </c>
      <c r="E16617" s="1">
        <v>80.223875</v>
      </c>
      <c r="F16617" s="1">
        <v>5339.0</v>
      </c>
      <c r="G16617" s="1">
        <v>43.0</v>
      </c>
    </row>
    <row r="16618">
      <c r="A16618" s="1" t="s">
        <v>8</v>
      </c>
      <c r="B16618" s="2">
        <v>44787.0</v>
      </c>
      <c r="C16618" s="3">
        <v>0.3046064814814815</v>
      </c>
      <c r="D16618" s="1">
        <v>13.02276</v>
      </c>
      <c r="E16618" s="1">
        <v>80.226867</v>
      </c>
      <c r="F16618" s="1">
        <v>5339.0</v>
      </c>
      <c r="G16618" s="1">
        <v>56.0</v>
      </c>
    </row>
    <row r="16619">
      <c r="A16619" s="1" t="s">
        <v>8</v>
      </c>
      <c r="B16619" s="2">
        <v>44787.0</v>
      </c>
      <c r="C16619" s="3">
        <v>0.3049884259259259</v>
      </c>
      <c r="D16619" s="1">
        <v>13.024769</v>
      </c>
      <c r="E16619" s="1">
        <v>80.229023</v>
      </c>
      <c r="F16619" s="1">
        <v>5339.0</v>
      </c>
      <c r="G16619" s="1">
        <v>24.0</v>
      </c>
    </row>
    <row r="16620">
      <c r="A16620" s="1" t="s">
        <v>8</v>
      </c>
      <c r="B16620" s="2">
        <v>44787.0</v>
      </c>
      <c r="C16620" s="3">
        <v>0.306099537037037</v>
      </c>
      <c r="D16620" s="1">
        <v>13.026033</v>
      </c>
      <c r="E16620" s="1">
        <v>80.231355</v>
      </c>
      <c r="F16620" s="1">
        <v>5339.0</v>
      </c>
      <c r="G16620" s="1">
        <v>10.0</v>
      </c>
    </row>
    <row r="16621">
      <c r="A16621" s="1" t="s">
        <v>8</v>
      </c>
      <c r="B16621" s="2">
        <v>44787.0</v>
      </c>
      <c r="C16621" s="3">
        <v>0.308287037037037</v>
      </c>
      <c r="D16621" s="1">
        <v>13.031867</v>
      </c>
      <c r="E16621" s="1">
        <v>80.24133</v>
      </c>
      <c r="F16621" s="1">
        <v>5339.0</v>
      </c>
      <c r="G16621" s="1">
        <v>50.0</v>
      </c>
    </row>
    <row r="16622">
      <c r="A16622" s="1" t="s">
        <v>7</v>
      </c>
      <c r="B16622" s="2">
        <v>44787.0</v>
      </c>
      <c r="C16622" s="3">
        <v>0.3086574074074074</v>
      </c>
      <c r="D16622" s="1">
        <v>13.033765</v>
      </c>
      <c r="E16622" s="1">
        <v>80.244244</v>
      </c>
      <c r="F16622" s="1">
        <v>5339.0</v>
      </c>
      <c r="G16622" s="1">
        <v>46.0</v>
      </c>
    </row>
    <row r="16623">
      <c r="A16623" s="1" t="s">
        <v>8</v>
      </c>
      <c r="B16623" s="2">
        <v>44787.0</v>
      </c>
      <c r="C16623" s="3">
        <v>0.3088310185185185</v>
      </c>
      <c r="D16623" s="1">
        <v>13.035019</v>
      </c>
      <c r="E16623" s="1">
        <v>80.245782</v>
      </c>
      <c r="F16623" s="1">
        <v>5339.0</v>
      </c>
      <c r="G16623" s="1">
        <v>45.0</v>
      </c>
    </row>
    <row r="16624">
      <c r="A16624" s="1" t="s">
        <v>8</v>
      </c>
      <c r="B16624" s="2">
        <v>44787.0</v>
      </c>
      <c r="C16624" s="3">
        <v>0.3088425925925926</v>
      </c>
      <c r="D16624" s="1">
        <v>13.035019</v>
      </c>
      <c r="E16624" s="1">
        <v>80.245782</v>
      </c>
      <c r="F16624" s="1">
        <v>5339.0</v>
      </c>
      <c r="G16624" s="1">
        <v>45.0</v>
      </c>
    </row>
    <row r="16625">
      <c r="A16625" s="1" t="s">
        <v>8</v>
      </c>
      <c r="B16625" s="2">
        <v>44787.0</v>
      </c>
      <c r="C16625" s="3">
        <v>0.308900462962963</v>
      </c>
      <c r="D16625" s="1">
        <v>13.035019</v>
      </c>
      <c r="E16625" s="1">
        <v>80.245782</v>
      </c>
      <c r="F16625" s="1">
        <v>5339.0</v>
      </c>
      <c r="G16625" s="1">
        <v>45.0</v>
      </c>
    </row>
    <row r="16626">
      <c r="A16626" s="1" t="s">
        <v>8</v>
      </c>
      <c r="B16626" s="2">
        <v>44787.0</v>
      </c>
      <c r="C16626" s="3">
        <v>0.30896990740740743</v>
      </c>
      <c r="D16626" s="1">
        <v>13.035019</v>
      </c>
      <c r="E16626" s="1">
        <v>80.245782</v>
      </c>
      <c r="F16626" s="1">
        <v>5339.0</v>
      </c>
      <c r="G16626" s="1">
        <v>45.0</v>
      </c>
    </row>
    <row r="16627">
      <c r="A16627" s="1" t="s">
        <v>8</v>
      </c>
      <c r="B16627" s="2">
        <v>44787.0</v>
      </c>
      <c r="C16627" s="3">
        <v>0.3102662037037037</v>
      </c>
      <c r="D16627" s="1">
        <v>13.038923</v>
      </c>
      <c r="E16627" s="1">
        <v>80.246878</v>
      </c>
      <c r="F16627" s="1">
        <v>5339.0</v>
      </c>
      <c r="G16627" s="1">
        <v>0.0</v>
      </c>
    </row>
    <row r="16628">
      <c r="A16628" s="1" t="s">
        <v>7</v>
      </c>
      <c r="B16628" s="2">
        <v>44787.0</v>
      </c>
      <c r="C16628" s="3">
        <v>0.3106481481481482</v>
      </c>
      <c r="D16628" s="1">
        <v>13.0414</v>
      </c>
      <c r="E16628" s="1">
        <v>80.247341</v>
      </c>
      <c r="F16628" s="1">
        <v>5339.0</v>
      </c>
      <c r="G16628" s="1">
        <v>49.0</v>
      </c>
    </row>
    <row r="16629">
      <c r="A16629" s="1" t="s">
        <v>7</v>
      </c>
      <c r="B16629" s="2">
        <v>44787.0</v>
      </c>
      <c r="C16629" s="3">
        <v>0.3121527777777778</v>
      </c>
      <c r="D16629" s="1">
        <v>13.053409</v>
      </c>
      <c r="E16629" s="1">
        <v>80.252352</v>
      </c>
      <c r="F16629" s="1">
        <v>5339.0</v>
      </c>
      <c r="G16629" s="1">
        <v>61.0</v>
      </c>
    </row>
    <row r="16630">
      <c r="A16630" s="1" t="s">
        <v>8</v>
      </c>
      <c r="B16630" s="2">
        <v>44787.0</v>
      </c>
      <c r="C16630" s="3">
        <v>0.3121643518518519</v>
      </c>
      <c r="D16630" s="1">
        <v>13.053409</v>
      </c>
      <c r="E16630" s="1">
        <v>80.252352</v>
      </c>
      <c r="F16630" s="1">
        <v>5339.0</v>
      </c>
      <c r="G16630" s="1">
        <v>61.0</v>
      </c>
    </row>
    <row r="16631">
      <c r="A16631" s="1" t="s">
        <v>10</v>
      </c>
      <c r="B16631" s="2">
        <v>44787.0</v>
      </c>
      <c r="C16631" s="3">
        <v>0.31604166666666667</v>
      </c>
      <c r="D16631" s="1">
        <v>13.074083</v>
      </c>
      <c r="E16631" s="1">
        <v>80.261996</v>
      </c>
      <c r="F16631" s="1">
        <v>5339.0</v>
      </c>
      <c r="G16631" s="1">
        <v>31.0</v>
      </c>
    </row>
    <row r="16632">
      <c r="A16632" s="1" t="s">
        <v>8</v>
      </c>
      <c r="B16632" s="2">
        <v>44787.0</v>
      </c>
      <c r="C16632" s="3">
        <v>0.3191550925925926</v>
      </c>
      <c r="D16632" s="1">
        <v>13.081832</v>
      </c>
      <c r="E16632" s="1">
        <v>80.276184</v>
      </c>
      <c r="F16632" s="1">
        <v>5339.0</v>
      </c>
      <c r="G16632" s="1">
        <v>32.0</v>
      </c>
    </row>
    <row r="16633">
      <c r="A16633" s="1" t="s">
        <v>8</v>
      </c>
      <c r="B16633" s="2">
        <v>44787.0</v>
      </c>
      <c r="C16633" s="3">
        <v>0.3191898148148148</v>
      </c>
      <c r="D16633" s="1">
        <v>13.081948</v>
      </c>
      <c r="E16633" s="1">
        <v>80.277061</v>
      </c>
      <c r="F16633" s="1">
        <v>5339.0</v>
      </c>
      <c r="G16633" s="1">
        <v>34.0</v>
      </c>
    </row>
    <row r="16634">
      <c r="A16634" s="1" t="s">
        <v>8</v>
      </c>
      <c r="B16634" s="2">
        <v>44787.0</v>
      </c>
      <c r="C16634" s="3">
        <v>0.3192013888888889</v>
      </c>
      <c r="D16634" s="1">
        <v>13.081948</v>
      </c>
      <c r="E16634" s="1">
        <v>80.277061</v>
      </c>
      <c r="F16634" s="1">
        <v>5339.0</v>
      </c>
      <c r="G16634" s="1">
        <v>34.0</v>
      </c>
    </row>
    <row r="16635">
      <c r="A16635" s="1" t="s">
        <v>8</v>
      </c>
      <c r="B16635" s="2">
        <v>44787.0</v>
      </c>
      <c r="C16635" s="3">
        <v>0.3194560185185185</v>
      </c>
      <c r="D16635" s="1">
        <v>13.082157</v>
      </c>
      <c r="E16635" s="1">
        <v>80.278554</v>
      </c>
      <c r="F16635" s="1">
        <v>5339.0</v>
      </c>
      <c r="G16635" s="1">
        <v>29.0</v>
      </c>
    </row>
    <row r="16636">
      <c r="A16636" s="1" t="s">
        <v>8</v>
      </c>
      <c r="B16636" s="2">
        <v>44787.0</v>
      </c>
      <c r="C16636" s="3">
        <v>0.31958333333333333</v>
      </c>
      <c r="D16636" s="1">
        <v>13.082199</v>
      </c>
      <c r="E16636" s="1">
        <v>80.279366</v>
      </c>
      <c r="F16636" s="1">
        <v>5339.0</v>
      </c>
      <c r="G16636" s="1">
        <v>37.0</v>
      </c>
    </row>
    <row r="16637">
      <c r="A16637" s="1" t="s">
        <v>9</v>
      </c>
      <c r="B16637" s="2">
        <v>44787.0</v>
      </c>
      <c r="C16637" s="3">
        <v>0.3226041666666667</v>
      </c>
      <c r="D16637" s="1">
        <v>13.09113</v>
      </c>
      <c r="E16637" s="1">
        <v>80.291188</v>
      </c>
      <c r="F16637" s="1">
        <v>5339.0</v>
      </c>
      <c r="G16637" s="1">
        <v>30.0</v>
      </c>
    </row>
    <row r="16638">
      <c r="A16638" s="1" t="s">
        <v>10</v>
      </c>
      <c r="B16638" s="2">
        <v>44787.0</v>
      </c>
      <c r="C16638" s="3">
        <v>0.32395833333333335</v>
      </c>
      <c r="D16638" s="1">
        <v>13.094796</v>
      </c>
      <c r="E16638" s="1">
        <v>80.29235</v>
      </c>
      <c r="F16638" s="1">
        <v>5339.0</v>
      </c>
      <c r="G16638" s="1">
        <v>18.0</v>
      </c>
    </row>
    <row r="16639">
      <c r="A16639" s="1" t="s">
        <v>10</v>
      </c>
      <c r="B16639" s="2">
        <v>44787.0</v>
      </c>
      <c r="C16639" s="3">
        <v>0.32599537037037035</v>
      </c>
      <c r="D16639" s="1">
        <v>13.087822</v>
      </c>
      <c r="E16639" s="1">
        <v>80.290045</v>
      </c>
      <c r="F16639" s="1">
        <v>5339.0</v>
      </c>
      <c r="G16639" s="1">
        <v>23.0</v>
      </c>
    </row>
    <row r="16640">
      <c r="A16640" s="1" t="s">
        <v>7</v>
      </c>
      <c r="B16640" s="2">
        <v>44787.0</v>
      </c>
      <c r="C16640" s="3">
        <v>0.32729166666666665</v>
      </c>
      <c r="D16640" s="1">
        <v>13.084664</v>
      </c>
      <c r="E16640" s="1">
        <v>80.283353</v>
      </c>
      <c r="F16640" s="1">
        <v>5339.0</v>
      </c>
      <c r="G16640" s="1">
        <v>49.0</v>
      </c>
    </row>
    <row r="16641">
      <c r="A16641" s="1" t="s">
        <v>8</v>
      </c>
      <c r="B16641" s="2">
        <v>44787.0</v>
      </c>
      <c r="C16641" s="3">
        <v>0.3280902777777778</v>
      </c>
      <c r="D16641" s="1">
        <v>13.079309</v>
      </c>
      <c r="E16641" s="1">
        <v>80.281877</v>
      </c>
      <c r="F16641" s="1">
        <v>5339.0</v>
      </c>
      <c r="G16641" s="1">
        <v>0.0</v>
      </c>
    </row>
    <row r="16642">
      <c r="A16642" s="1" t="s">
        <v>8</v>
      </c>
      <c r="B16642" s="2">
        <v>44787.0</v>
      </c>
      <c r="C16642" s="3">
        <v>0.482974537037037</v>
      </c>
      <c r="D16642" s="1">
        <v>13.080686</v>
      </c>
      <c r="E16642" s="1">
        <v>80.288376</v>
      </c>
      <c r="F16642" s="1">
        <v>5339.0</v>
      </c>
      <c r="G16642" s="1">
        <v>32.0</v>
      </c>
    </row>
    <row r="16643">
      <c r="A16643" s="1" t="s">
        <v>8</v>
      </c>
      <c r="B16643" s="2">
        <v>44787.0</v>
      </c>
      <c r="C16643" s="3">
        <v>0.4829861111111111</v>
      </c>
      <c r="D16643" s="1">
        <v>13.080686</v>
      </c>
      <c r="E16643" s="1">
        <v>80.288376</v>
      </c>
      <c r="F16643" s="1">
        <v>5339.0</v>
      </c>
      <c r="G16643" s="1">
        <v>32.0</v>
      </c>
    </row>
    <row r="16644">
      <c r="A16644" s="1" t="s">
        <v>8</v>
      </c>
      <c r="B16644" s="2">
        <v>44787.0</v>
      </c>
      <c r="C16644" s="3">
        <v>0.48313657407407407</v>
      </c>
      <c r="D16644" s="1">
        <v>13.080007</v>
      </c>
      <c r="E16644" s="1">
        <v>80.288198</v>
      </c>
      <c r="F16644" s="1">
        <v>5339.0</v>
      </c>
      <c r="G16644" s="1">
        <v>30.0</v>
      </c>
    </row>
    <row r="16645">
      <c r="A16645" s="1" t="s">
        <v>8</v>
      </c>
      <c r="B16645" s="2">
        <v>44787.0</v>
      </c>
      <c r="C16645" s="3">
        <v>0.4834259259259259</v>
      </c>
      <c r="D16645" s="1">
        <v>13.076929</v>
      </c>
      <c r="E16645" s="1">
        <v>80.287305</v>
      </c>
      <c r="F16645" s="1">
        <v>5339.0</v>
      </c>
      <c r="G16645" s="1">
        <v>50.0</v>
      </c>
    </row>
    <row r="16646">
      <c r="A16646" s="1" t="s">
        <v>8</v>
      </c>
      <c r="B16646" s="2">
        <v>44787.0</v>
      </c>
      <c r="C16646" s="3">
        <v>0.4835185185185185</v>
      </c>
      <c r="D16646" s="1">
        <v>13.076929</v>
      </c>
      <c r="E16646" s="1">
        <v>80.287305</v>
      </c>
      <c r="F16646" s="1">
        <v>5339.0</v>
      </c>
      <c r="G16646" s="1">
        <v>50.0</v>
      </c>
    </row>
    <row r="16647">
      <c r="A16647" s="1" t="s">
        <v>8</v>
      </c>
      <c r="B16647" s="2">
        <v>44787.0</v>
      </c>
      <c r="C16647" s="3">
        <v>0.4836574074074074</v>
      </c>
      <c r="D16647" s="1">
        <v>13.075132</v>
      </c>
      <c r="E16647" s="1">
        <v>80.286664</v>
      </c>
      <c r="F16647" s="1">
        <v>5339.0</v>
      </c>
      <c r="G16647" s="1">
        <v>42.0</v>
      </c>
    </row>
    <row r="16648">
      <c r="A16648" s="1" t="s">
        <v>8</v>
      </c>
      <c r="B16648" s="2">
        <v>44787.0</v>
      </c>
      <c r="C16648" s="3">
        <v>0.48366898148148146</v>
      </c>
      <c r="D16648" s="1">
        <v>13.075132</v>
      </c>
      <c r="E16648" s="1">
        <v>80.286664</v>
      </c>
      <c r="F16648" s="1">
        <v>5339.0</v>
      </c>
      <c r="G16648" s="1">
        <v>42.0</v>
      </c>
    </row>
    <row r="16649">
      <c r="A16649" s="1" t="s">
        <v>8</v>
      </c>
      <c r="B16649" s="2">
        <v>44787.0</v>
      </c>
      <c r="C16649" s="3">
        <v>0.48369212962962965</v>
      </c>
      <c r="D16649" s="1">
        <v>13.075132</v>
      </c>
      <c r="E16649" s="1">
        <v>80.286664</v>
      </c>
      <c r="F16649" s="1">
        <v>5339.0</v>
      </c>
      <c r="G16649" s="1">
        <v>42.0</v>
      </c>
    </row>
    <row r="16650">
      <c r="A16650" s="1" t="s">
        <v>8</v>
      </c>
      <c r="B16650" s="2">
        <v>44787.0</v>
      </c>
      <c r="C16650" s="3">
        <v>0.4839236111111111</v>
      </c>
      <c r="D16650" s="1">
        <v>13.074034</v>
      </c>
      <c r="E16650" s="1">
        <v>80.286098</v>
      </c>
      <c r="F16650" s="1">
        <v>5339.0</v>
      </c>
      <c r="G16650" s="1">
        <v>32.0</v>
      </c>
    </row>
    <row r="16651">
      <c r="A16651" s="1" t="s">
        <v>8</v>
      </c>
      <c r="B16651" s="2">
        <v>44787.0</v>
      </c>
      <c r="C16651" s="3">
        <v>0.48399305555555555</v>
      </c>
      <c r="D16651" s="1">
        <v>13.072916</v>
      </c>
      <c r="E16651" s="1">
        <v>80.285744</v>
      </c>
      <c r="F16651" s="1">
        <v>5339.0</v>
      </c>
      <c r="G16651" s="1">
        <v>33.0</v>
      </c>
    </row>
    <row r="16652">
      <c r="A16652" s="1" t="s">
        <v>7</v>
      </c>
      <c r="B16652" s="2">
        <v>44787.0</v>
      </c>
      <c r="C16652" s="3">
        <v>0.4842476851851852</v>
      </c>
      <c r="D16652" s="1">
        <v>13.071475</v>
      </c>
      <c r="E16652" s="1">
        <v>80.285181</v>
      </c>
      <c r="F16652" s="1">
        <v>5339.0</v>
      </c>
      <c r="G16652" s="1">
        <v>47.0</v>
      </c>
    </row>
    <row r="16653">
      <c r="A16653" s="1" t="s">
        <v>8</v>
      </c>
      <c r="B16653" s="2">
        <v>44787.0</v>
      </c>
      <c r="C16653" s="3">
        <v>0.4846875</v>
      </c>
      <c r="D16653" s="1">
        <v>13.067836</v>
      </c>
      <c r="E16653" s="1">
        <v>80.284368</v>
      </c>
      <c r="F16653" s="1">
        <v>5339.0</v>
      </c>
      <c r="G16653" s="1">
        <v>28.0</v>
      </c>
    </row>
    <row r="16654">
      <c r="A16654" s="1" t="s">
        <v>7</v>
      </c>
      <c r="B16654" s="2">
        <v>44787.0</v>
      </c>
      <c r="C16654" s="3">
        <v>0.4857523148148148</v>
      </c>
      <c r="D16654" s="1">
        <v>13.058126</v>
      </c>
      <c r="E16654" s="1">
        <v>80.282191</v>
      </c>
      <c r="F16654" s="1">
        <v>5339.0</v>
      </c>
      <c r="G16654" s="1">
        <v>57.0</v>
      </c>
    </row>
    <row r="16655">
      <c r="A16655" s="1" t="s">
        <v>8</v>
      </c>
      <c r="B16655" s="2">
        <v>44787.0</v>
      </c>
      <c r="C16655" s="3">
        <v>0.48681712962962964</v>
      </c>
      <c r="D16655" s="1">
        <v>13.04854</v>
      </c>
      <c r="E16655" s="1">
        <v>80.280551</v>
      </c>
      <c r="F16655" s="1">
        <v>5339.0</v>
      </c>
      <c r="G16655" s="1">
        <v>46.0</v>
      </c>
    </row>
    <row r="16656">
      <c r="A16656" s="1" t="s">
        <v>9</v>
      </c>
      <c r="B16656" s="2">
        <v>44787.0</v>
      </c>
      <c r="C16656" s="3">
        <v>0.4870486111111111</v>
      </c>
      <c r="D16656" s="1">
        <v>13.046573</v>
      </c>
      <c r="E16656" s="1">
        <v>80.280281</v>
      </c>
      <c r="F16656" s="1">
        <v>5339.0</v>
      </c>
      <c r="G16656" s="1">
        <v>44.0</v>
      </c>
    </row>
    <row r="16657">
      <c r="A16657" s="1" t="s">
        <v>8</v>
      </c>
      <c r="B16657" s="2">
        <v>44787.0</v>
      </c>
      <c r="C16657" s="3">
        <v>0.48810185185185184</v>
      </c>
      <c r="D16657" s="1">
        <v>13.039984</v>
      </c>
      <c r="E16657" s="1">
        <v>80.279148</v>
      </c>
      <c r="F16657" s="1">
        <v>5339.0</v>
      </c>
      <c r="G16657" s="1">
        <v>43.0</v>
      </c>
    </row>
    <row r="16658">
      <c r="A16658" s="1" t="s">
        <v>8</v>
      </c>
      <c r="B16658" s="2">
        <v>44787.0</v>
      </c>
      <c r="C16658" s="3">
        <v>0.48824074074074075</v>
      </c>
      <c r="D16658" s="1">
        <v>13.038546</v>
      </c>
      <c r="E16658" s="1">
        <v>80.278672</v>
      </c>
      <c r="F16658" s="1">
        <v>5339.0</v>
      </c>
      <c r="G16658" s="1">
        <v>33.0</v>
      </c>
    </row>
    <row r="16659">
      <c r="A16659" s="1" t="s">
        <v>9</v>
      </c>
      <c r="B16659" s="2">
        <v>44787.0</v>
      </c>
      <c r="C16659" s="3">
        <v>0.4890509259259259</v>
      </c>
      <c r="D16659" s="1">
        <v>13.033701</v>
      </c>
      <c r="E16659" s="1">
        <v>80.277422</v>
      </c>
      <c r="F16659" s="1">
        <v>5339.0</v>
      </c>
      <c r="G16659" s="1">
        <v>33.0</v>
      </c>
    </row>
    <row r="16660">
      <c r="A16660" s="1" t="s">
        <v>8</v>
      </c>
      <c r="B16660" s="2">
        <v>44787.0</v>
      </c>
      <c r="C16660" s="3">
        <v>0.4893287037037037</v>
      </c>
      <c r="D16660" s="1">
        <v>13.032411</v>
      </c>
      <c r="E16660" s="1">
        <v>80.277525</v>
      </c>
      <c r="F16660" s="1">
        <v>5339.0</v>
      </c>
      <c r="G16660" s="1">
        <v>24.0</v>
      </c>
    </row>
    <row r="16661">
      <c r="A16661" s="1" t="s">
        <v>10</v>
      </c>
      <c r="B16661" s="2">
        <v>44787.0</v>
      </c>
      <c r="C16661" s="3">
        <v>0.48935185185185187</v>
      </c>
      <c r="D16661" s="1">
        <v>13.03162</v>
      </c>
      <c r="E16661" s="1">
        <v>80.277607</v>
      </c>
      <c r="F16661" s="1">
        <v>5339.0</v>
      </c>
      <c r="G16661" s="1">
        <v>28.0</v>
      </c>
    </row>
    <row r="16662">
      <c r="A16662" s="1" t="s">
        <v>8</v>
      </c>
      <c r="B16662" s="2">
        <v>44787.0</v>
      </c>
      <c r="C16662" s="3">
        <v>0.48952546296296295</v>
      </c>
      <c r="D16662" s="1">
        <v>13.030748</v>
      </c>
      <c r="E16662" s="1">
        <v>80.277206</v>
      </c>
      <c r="F16662" s="1">
        <v>5339.0</v>
      </c>
      <c r="G16662" s="1">
        <v>32.0</v>
      </c>
    </row>
    <row r="16663">
      <c r="A16663" s="1" t="s">
        <v>8</v>
      </c>
      <c r="B16663" s="2">
        <v>44787.0</v>
      </c>
      <c r="C16663" s="3">
        <v>0.48952546296296295</v>
      </c>
      <c r="D16663" s="1">
        <v>13.030748</v>
      </c>
      <c r="E16663" s="1">
        <v>80.277206</v>
      </c>
      <c r="F16663" s="1">
        <v>5339.0</v>
      </c>
      <c r="G16663" s="1">
        <v>32.0</v>
      </c>
    </row>
    <row r="16664">
      <c r="A16664" s="1" t="s">
        <v>8</v>
      </c>
      <c r="B16664" s="2">
        <v>44787.0</v>
      </c>
      <c r="C16664" s="3">
        <v>0.4902662037037037</v>
      </c>
      <c r="D16664" s="1">
        <v>13.025849</v>
      </c>
      <c r="E16664" s="1">
        <v>80.2752</v>
      </c>
      <c r="F16664" s="1">
        <v>5339.0</v>
      </c>
      <c r="G16664" s="1">
        <v>37.0</v>
      </c>
    </row>
    <row r="16665">
      <c r="A16665" s="1" t="s">
        <v>8</v>
      </c>
      <c r="B16665" s="2">
        <v>44787.0</v>
      </c>
      <c r="C16665" s="3">
        <v>0.4912037037037037</v>
      </c>
      <c r="D16665" s="1">
        <v>13.023994</v>
      </c>
      <c r="E16665" s="1">
        <v>80.273913</v>
      </c>
      <c r="F16665" s="1">
        <v>5339.0</v>
      </c>
      <c r="G16665" s="1">
        <v>24.0</v>
      </c>
    </row>
    <row r="16666">
      <c r="A16666" s="1" t="s">
        <v>8</v>
      </c>
      <c r="B16666" s="2">
        <v>44787.0</v>
      </c>
      <c r="C16666" s="3">
        <v>0.4916203703703704</v>
      </c>
      <c r="D16666" s="1">
        <v>13.021569</v>
      </c>
      <c r="E16666" s="1">
        <v>80.270718</v>
      </c>
      <c r="F16666" s="1">
        <v>5339.0</v>
      </c>
      <c r="G16666" s="1">
        <v>37.0</v>
      </c>
    </row>
    <row r="16667">
      <c r="A16667" s="1" t="s">
        <v>9</v>
      </c>
      <c r="B16667" s="2">
        <v>44787.0</v>
      </c>
      <c r="C16667" s="3">
        <v>0.4916435185185185</v>
      </c>
      <c r="D16667" s="1">
        <v>13.021569</v>
      </c>
      <c r="E16667" s="1">
        <v>80.270718</v>
      </c>
      <c r="F16667" s="1">
        <v>5339.0</v>
      </c>
      <c r="G16667" s="1">
        <v>37.0</v>
      </c>
    </row>
    <row r="16668">
      <c r="A16668" s="1" t="s">
        <v>8</v>
      </c>
      <c r="B16668" s="2">
        <v>44787.0</v>
      </c>
      <c r="C16668" s="3">
        <v>0.49180555555555555</v>
      </c>
      <c r="D16668" s="1">
        <v>13.020576</v>
      </c>
      <c r="E16668" s="1">
        <v>80.269504</v>
      </c>
      <c r="F16668" s="1">
        <v>5339.0</v>
      </c>
      <c r="G16668" s="1">
        <v>23.0</v>
      </c>
    </row>
    <row r="16669">
      <c r="A16669" s="1" t="s">
        <v>8</v>
      </c>
      <c r="B16669" s="2">
        <v>44787.0</v>
      </c>
      <c r="C16669" s="3">
        <v>0.4923032407407407</v>
      </c>
      <c r="D16669" s="1">
        <v>13.01884</v>
      </c>
      <c r="E16669" s="1">
        <v>80.267382</v>
      </c>
      <c r="F16669" s="1">
        <v>5339.0</v>
      </c>
      <c r="G16669" s="1">
        <v>26.0</v>
      </c>
    </row>
    <row r="16670">
      <c r="A16670" s="1" t="s">
        <v>8</v>
      </c>
      <c r="B16670" s="2">
        <v>44787.0</v>
      </c>
      <c r="C16670" s="3">
        <v>0.4923148148148148</v>
      </c>
      <c r="D16670" s="1">
        <v>13.01884</v>
      </c>
      <c r="E16670" s="1">
        <v>80.267382</v>
      </c>
      <c r="F16670" s="1">
        <v>5339.0</v>
      </c>
      <c r="G16670" s="1">
        <v>26.0</v>
      </c>
    </row>
    <row r="16671">
      <c r="A16671" s="1" t="s">
        <v>8</v>
      </c>
      <c r="B16671" s="2">
        <v>44787.0</v>
      </c>
      <c r="C16671" s="3">
        <v>0.4923148148148148</v>
      </c>
      <c r="D16671" s="1">
        <v>13.01884</v>
      </c>
      <c r="E16671" s="1">
        <v>80.267382</v>
      </c>
      <c r="F16671" s="1">
        <v>5339.0</v>
      </c>
      <c r="G16671" s="1">
        <v>26.0</v>
      </c>
    </row>
    <row r="16672">
      <c r="A16672" s="1" t="s">
        <v>8</v>
      </c>
      <c r="B16672" s="2">
        <v>44787.0</v>
      </c>
      <c r="C16672" s="3">
        <v>0.49233796296296295</v>
      </c>
      <c r="D16672" s="1">
        <v>13.01884</v>
      </c>
      <c r="E16672" s="1">
        <v>80.267382</v>
      </c>
      <c r="F16672" s="1">
        <v>5339.0</v>
      </c>
      <c r="G16672" s="1">
        <v>26.0</v>
      </c>
    </row>
    <row r="16673">
      <c r="A16673" s="1" t="s">
        <v>8</v>
      </c>
      <c r="B16673" s="2">
        <v>44787.0</v>
      </c>
      <c r="C16673" s="3">
        <v>0.4923726851851852</v>
      </c>
      <c r="D16673" s="1">
        <v>13.01884</v>
      </c>
      <c r="E16673" s="1">
        <v>80.267382</v>
      </c>
      <c r="F16673" s="1">
        <v>5339.0</v>
      </c>
      <c r="G16673" s="1">
        <v>26.0</v>
      </c>
    </row>
    <row r="16674">
      <c r="A16674" s="1" t="s">
        <v>8</v>
      </c>
      <c r="B16674" s="2">
        <v>44787.0</v>
      </c>
      <c r="C16674" s="3">
        <v>0.4924884259259259</v>
      </c>
      <c r="D16674" s="1">
        <v>13.018636</v>
      </c>
      <c r="E16674" s="1">
        <v>80.266684</v>
      </c>
      <c r="F16674" s="1">
        <v>5339.0</v>
      </c>
      <c r="G16674" s="1">
        <v>29.0</v>
      </c>
    </row>
    <row r="16675">
      <c r="A16675" s="1" t="s">
        <v>8</v>
      </c>
      <c r="B16675" s="2">
        <v>44787.0</v>
      </c>
      <c r="C16675" s="3">
        <v>0.4925</v>
      </c>
      <c r="D16675" s="1">
        <v>13.018636</v>
      </c>
      <c r="E16675" s="1">
        <v>80.266684</v>
      </c>
      <c r="F16675" s="1">
        <v>5339.0</v>
      </c>
      <c r="G16675" s="1">
        <v>29.0</v>
      </c>
    </row>
    <row r="16676">
      <c r="A16676" s="1" t="s">
        <v>8</v>
      </c>
      <c r="B16676" s="2">
        <v>44787.0</v>
      </c>
      <c r="C16676" s="3">
        <v>0.4925115740740741</v>
      </c>
      <c r="D16676" s="1">
        <v>13.018613</v>
      </c>
      <c r="E16676" s="1">
        <v>80.265881</v>
      </c>
      <c r="F16676" s="1">
        <v>5339.0</v>
      </c>
      <c r="G16676" s="1">
        <v>27.0</v>
      </c>
    </row>
    <row r="16677">
      <c r="A16677" s="1" t="s">
        <v>8</v>
      </c>
      <c r="B16677" s="2">
        <v>44787.0</v>
      </c>
      <c r="C16677" s="3">
        <v>0.49299768518518516</v>
      </c>
      <c r="D16677" s="1">
        <v>13.018918</v>
      </c>
      <c r="E16677" s="1">
        <v>80.262947</v>
      </c>
      <c r="F16677" s="1">
        <v>5339.0</v>
      </c>
      <c r="G16677" s="1">
        <v>25.0</v>
      </c>
    </row>
    <row r="16678">
      <c r="A16678" s="1" t="s">
        <v>8</v>
      </c>
      <c r="B16678" s="2">
        <v>44787.0</v>
      </c>
      <c r="C16678" s="3">
        <v>0.4934953703703704</v>
      </c>
      <c r="D16678" s="1">
        <v>13.017778</v>
      </c>
      <c r="E16678" s="1">
        <v>80.260725</v>
      </c>
      <c r="F16678" s="1">
        <v>5339.0</v>
      </c>
      <c r="G16678" s="1">
        <v>27.0</v>
      </c>
    </row>
    <row r="16679">
      <c r="A16679" s="1" t="s">
        <v>8</v>
      </c>
      <c r="B16679" s="2">
        <v>44787.0</v>
      </c>
      <c r="C16679" s="3">
        <v>0.4946875</v>
      </c>
      <c r="D16679" s="1">
        <v>13.00831</v>
      </c>
      <c r="E16679" s="1">
        <v>80.259096</v>
      </c>
      <c r="F16679" s="1">
        <v>5339.0</v>
      </c>
      <c r="G16679" s="1">
        <v>42.0</v>
      </c>
    </row>
    <row r="16680">
      <c r="A16680" s="1" t="s">
        <v>8</v>
      </c>
      <c r="B16680" s="2">
        <v>44787.0</v>
      </c>
      <c r="C16680" s="3">
        <v>0.4961921296296296</v>
      </c>
      <c r="D16680" s="1">
        <v>13.006516</v>
      </c>
      <c r="E16680" s="1">
        <v>80.251955</v>
      </c>
      <c r="F16680" s="1">
        <v>5339.0</v>
      </c>
      <c r="G16680" s="1">
        <v>12.0</v>
      </c>
    </row>
    <row r="16681">
      <c r="A16681" s="1" t="s">
        <v>8</v>
      </c>
      <c r="B16681" s="2">
        <v>44787.0</v>
      </c>
      <c r="C16681" s="3">
        <v>0.4961921296296296</v>
      </c>
      <c r="D16681" s="1">
        <v>13.006516</v>
      </c>
      <c r="E16681" s="1">
        <v>80.251955</v>
      </c>
      <c r="F16681" s="1">
        <v>5339.0</v>
      </c>
      <c r="G16681" s="1">
        <v>12.0</v>
      </c>
    </row>
    <row r="16682">
      <c r="A16682" s="1" t="s">
        <v>8</v>
      </c>
      <c r="B16682" s="2">
        <v>44787.0</v>
      </c>
      <c r="C16682" s="3">
        <v>0.4962037037037037</v>
      </c>
      <c r="D16682" s="1">
        <v>13.006516</v>
      </c>
      <c r="E16682" s="1">
        <v>80.251955</v>
      </c>
      <c r="F16682" s="1">
        <v>5339.0</v>
      </c>
      <c r="G16682" s="1">
        <v>12.0</v>
      </c>
    </row>
    <row r="16683">
      <c r="A16683" s="1" t="s">
        <v>8</v>
      </c>
      <c r="B16683" s="2">
        <v>44787.0</v>
      </c>
      <c r="C16683" s="3">
        <v>0.49622685185185184</v>
      </c>
      <c r="D16683" s="1">
        <v>13.006636</v>
      </c>
      <c r="E16683" s="1">
        <v>80.251421</v>
      </c>
      <c r="F16683" s="1">
        <v>5339.0</v>
      </c>
      <c r="G16683" s="1">
        <v>26.0</v>
      </c>
    </row>
    <row r="16684">
      <c r="A16684" s="1" t="s">
        <v>8</v>
      </c>
      <c r="B16684" s="2">
        <v>44787.0</v>
      </c>
      <c r="C16684" s="3">
        <v>0.49623842592592593</v>
      </c>
      <c r="D16684" s="1">
        <v>13.006636</v>
      </c>
      <c r="E16684" s="1">
        <v>80.251421</v>
      </c>
      <c r="F16684" s="1">
        <v>5339.0</v>
      </c>
      <c r="G16684" s="1">
        <v>26.0</v>
      </c>
    </row>
    <row r="16685">
      <c r="A16685" s="1" t="s">
        <v>8</v>
      </c>
      <c r="B16685" s="2">
        <v>44787.0</v>
      </c>
      <c r="C16685" s="3">
        <v>0.49625</v>
      </c>
      <c r="D16685" s="1">
        <v>13.006636</v>
      </c>
      <c r="E16685" s="1">
        <v>80.251421</v>
      </c>
      <c r="F16685" s="1">
        <v>5339.0</v>
      </c>
      <c r="G16685" s="1">
        <v>26.0</v>
      </c>
    </row>
    <row r="16686">
      <c r="A16686" s="1" t="s">
        <v>8</v>
      </c>
      <c r="B16686" s="2">
        <v>44787.0</v>
      </c>
      <c r="C16686" s="3">
        <v>0.49649305555555556</v>
      </c>
      <c r="D16686" s="1">
        <v>13.0067</v>
      </c>
      <c r="E16686" s="1">
        <v>80.24981</v>
      </c>
      <c r="F16686" s="1">
        <v>5339.0</v>
      </c>
      <c r="G16686" s="1">
        <v>33.0</v>
      </c>
    </row>
    <row r="16687">
      <c r="A16687" s="1" t="s">
        <v>8</v>
      </c>
      <c r="B16687" s="2">
        <v>44787.0</v>
      </c>
      <c r="C16687" s="3">
        <v>0.4965277777777778</v>
      </c>
      <c r="D16687" s="1">
        <v>13.0067</v>
      </c>
      <c r="E16687" s="1">
        <v>80.24981</v>
      </c>
      <c r="F16687" s="1">
        <v>5339.0</v>
      </c>
      <c r="G16687" s="1">
        <v>33.0</v>
      </c>
    </row>
    <row r="16688">
      <c r="A16688" s="1" t="s">
        <v>8</v>
      </c>
      <c r="B16688" s="2">
        <v>44787.0</v>
      </c>
      <c r="C16688" s="3">
        <v>0.4992361111111111</v>
      </c>
      <c r="D16688" s="1">
        <v>12.993656</v>
      </c>
      <c r="E16688" s="1">
        <v>80.250004</v>
      </c>
      <c r="F16688" s="1">
        <v>5339.0</v>
      </c>
      <c r="G16688" s="1">
        <v>37.0</v>
      </c>
    </row>
    <row r="16689">
      <c r="A16689" s="1" t="s">
        <v>8</v>
      </c>
      <c r="B16689" s="2">
        <v>44787.0</v>
      </c>
      <c r="C16689" s="3">
        <v>0.4996412037037037</v>
      </c>
      <c r="D16689" s="1">
        <v>12.990411</v>
      </c>
      <c r="E16689" s="1">
        <v>80.250838</v>
      </c>
      <c r="F16689" s="1">
        <v>5339.0</v>
      </c>
      <c r="G16689" s="1">
        <v>40.0</v>
      </c>
    </row>
    <row r="16690">
      <c r="A16690" s="1" t="s">
        <v>8</v>
      </c>
      <c r="B16690" s="2">
        <v>44787.0</v>
      </c>
      <c r="C16690" s="3">
        <v>0.5018055555555555</v>
      </c>
      <c r="D16690" s="1">
        <v>12.983177</v>
      </c>
      <c r="E16690" s="1">
        <v>80.252637</v>
      </c>
      <c r="F16690" s="1">
        <v>5339.0</v>
      </c>
      <c r="G16690" s="1">
        <v>50.0</v>
      </c>
    </row>
    <row r="16691">
      <c r="A16691" s="1" t="s">
        <v>7</v>
      </c>
      <c r="B16691" s="2">
        <v>44787.0</v>
      </c>
      <c r="C16691" s="3">
        <v>0.5019097222222222</v>
      </c>
      <c r="D16691" s="1">
        <v>12.98181</v>
      </c>
      <c r="E16691" s="1">
        <v>80.252673</v>
      </c>
      <c r="F16691" s="1">
        <v>5339.0</v>
      </c>
      <c r="G16691" s="1">
        <v>54.0</v>
      </c>
    </row>
    <row r="16692">
      <c r="A16692" s="1" t="s">
        <v>7</v>
      </c>
      <c r="B16692" s="2">
        <v>44787.0</v>
      </c>
      <c r="C16692" s="3">
        <v>0.5032407407407408</v>
      </c>
      <c r="D16692" s="1">
        <v>12.980874</v>
      </c>
      <c r="E16692" s="1">
        <v>80.246921</v>
      </c>
      <c r="F16692" s="1">
        <v>5339.0</v>
      </c>
      <c r="G16692" s="1">
        <v>42.0</v>
      </c>
    </row>
    <row r="16693">
      <c r="A16693" s="1" t="s">
        <v>7</v>
      </c>
      <c r="B16693" s="2">
        <v>44787.0</v>
      </c>
      <c r="C16693" s="3">
        <v>0.5044907407407407</v>
      </c>
      <c r="D16693" s="1">
        <v>12.981142</v>
      </c>
      <c r="E16693" s="1">
        <v>80.235962</v>
      </c>
      <c r="F16693" s="1">
        <v>5339.0</v>
      </c>
      <c r="G16693" s="1">
        <v>50.0</v>
      </c>
    </row>
    <row r="16694">
      <c r="A16694" s="1" t="s">
        <v>8</v>
      </c>
      <c r="B16694" s="2">
        <v>44787.0</v>
      </c>
      <c r="C16694" s="3">
        <v>0.5045601851851852</v>
      </c>
      <c r="D16694" s="1">
        <v>12.981113</v>
      </c>
      <c r="E16694" s="1">
        <v>80.23465</v>
      </c>
      <c r="F16694" s="1">
        <v>5339.0</v>
      </c>
      <c r="G16694" s="1">
        <v>51.0</v>
      </c>
    </row>
    <row r="16695">
      <c r="A16695" s="1" t="s">
        <v>9</v>
      </c>
      <c r="B16695" s="2">
        <v>44787.0</v>
      </c>
      <c r="C16695" s="3">
        <v>0.5048263888888889</v>
      </c>
      <c r="D16695" s="1">
        <v>12.981468</v>
      </c>
      <c r="E16695" s="1">
        <v>80.23351</v>
      </c>
      <c r="F16695" s="1">
        <v>5339.0</v>
      </c>
      <c r="G16695" s="1">
        <v>30.0</v>
      </c>
    </row>
    <row r="16696">
      <c r="A16696" s="1" t="s">
        <v>8</v>
      </c>
      <c r="B16696" s="2">
        <v>44787.0</v>
      </c>
      <c r="C16696" s="3">
        <v>0.5057175925925926</v>
      </c>
      <c r="D16696" s="1">
        <v>12.978772</v>
      </c>
      <c r="E16696" s="1">
        <v>80.225988</v>
      </c>
      <c r="F16696" s="1">
        <v>5339.0</v>
      </c>
      <c r="G16696" s="1">
        <v>35.0</v>
      </c>
    </row>
    <row r="16697">
      <c r="A16697" s="1" t="s">
        <v>8</v>
      </c>
      <c r="B16697" s="2">
        <v>44787.0</v>
      </c>
      <c r="C16697" s="3">
        <v>0.5065393518518518</v>
      </c>
      <c r="D16697" s="1">
        <v>12.975314</v>
      </c>
      <c r="E16697" s="1">
        <v>80.220804</v>
      </c>
      <c r="F16697" s="1">
        <v>5339.0</v>
      </c>
      <c r="G16697" s="1">
        <v>36.0</v>
      </c>
    </row>
    <row r="16698">
      <c r="A16698" s="1" t="s">
        <v>8</v>
      </c>
      <c r="B16698" s="2">
        <v>44787.0</v>
      </c>
      <c r="C16698" s="3">
        <v>0.5066550925925926</v>
      </c>
      <c r="D16698" s="1">
        <v>12.974643</v>
      </c>
      <c r="E16698" s="1">
        <v>80.220513</v>
      </c>
      <c r="F16698" s="1">
        <v>5339.0</v>
      </c>
      <c r="G16698" s="1">
        <v>28.0</v>
      </c>
    </row>
    <row r="16699">
      <c r="A16699" s="1" t="s">
        <v>8</v>
      </c>
      <c r="B16699" s="2">
        <v>44787.0</v>
      </c>
      <c r="C16699" s="3">
        <v>0.5068518518518519</v>
      </c>
      <c r="D16699" s="1">
        <v>12.973845</v>
      </c>
      <c r="E16699" s="1">
        <v>80.220108</v>
      </c>
      <c r="F16699" s="1">
        <v>5339.0</v>
      </c>
      <c r="G16699" s="1">
        <v>41.0</v>
      </c>
    </row>
    <row r="16700">
      <c r="A16700" s="1" t="s">
        <v>8</v>
      </c>
      <c r="B16700" s="2">
        <v>44787.0</v>
      </c>
      <c r="C16700" s="3">
        <v>0.5073263888888889</v>
      </c>
      <c r="D16700" s="1">
        <v>12.971003</v>
      </c>
      <c r="E16700" s="1">
        <v>80.219034</v>
      </c>
      <c r="F16700" s="1">
        <v>5339.0</v>
      </c>
      <c r="G16700" s="1">
        <v>43.0</v>
      </c>
    </row>
    <row r="16701">
      <c r="A16701" s="1" t="s">
        <v>8</v>
      </c>
      <c r="B16701" s="2">
        <v>44787.0</v>
      </c>
      <c r="C16701" s="3">
        <v>0.5080787037037037</v>
      </c>
      <c r="D16701" s="1">
        <v>12.964745</v>
      </c>
      <c r="E16701" s="1">
        <v>80.216591</v>
      </c>
      <c r="F16701" s="1">
        <v>5339.0</v>
      </c>
      <c r="G16701" s="1">
        <v>39.0</v>
      </c>
    </row>
    <row r="16702">
      <c r="A16702" s="1" t="s">
        <v>8</v>
      </c>
      <c r="B16702" s="2">
        <v>44787.0</v>
      </c>
      <c r="C16702" s="3">
        <v>0.5088541666666667</v>
      </c>
      <c r="D16702" s="1">
        <v>12.96062</v>
      </c>
      <c r="E16702" s="1">
        <v>80.21491</v>
      </c>
      <c r="F16702" s="1">
        <v>5339.0</v>
      </c>
      <c r="G16702" s="1">
        <v>45.0</v>
      </c>
    </row>
    <row r="16703">
      <c r="A16703" s="1" t="s">
        <v>8</v>
      </c>
      <c r="B16703" s="2">
        <v>44787.0</v>
      </c>
      <c r="C16703" s="3">
        <v>0.5089467592592593</v>
      </c>
      <c r="D16703" s="1">
        <v>12.959506</v>
      </c>
      <c r="E16703" s="1">
        <v>80.214467</v>
      </c>
      <c r="F16703" s="1">
        <v>5339.0</v>
      </c>
      <c r="G16703" s="1">
        <v>48.0</v>
      </c>
    </row>
    <row r="16704">
      <c r="A16704" s="1" t="s">
        <v>7</v>
      </c>
      <c r="B16704" s="2">
        <v>44787.0</v>
      </c>
      <c r="C16704" s="3">
        <v>0.5092592592592593</v>
      </c>
      <c r="D16704" s="1">
        <v>12.957199</v>
      </c>
      <c r="E16704" s="1">
        <v>80.213491</v>
      </c>
      <c r="F16704" s="1">
        <v>5339.0</v>
      </c>
      <c r="G16704" s="1">
        <v>53.0</v>
      </c>
    </row>
    <row r="16705">
      <c r="A16705" s="1" t="s">
        <v>8</v>
      </c>
      <c r="B16705" s="2">
        <v>44787.0</v>
      </c>
      <c r="C16705" s="3">
        <v>0.5093055555555556</v>
      </c>
      <c r="D16705" s="1">
        <v>12.955885</v>
      </c>
      <c r="E16705" s="1">
        <v>80.212977</v>
      </c>
      <c r="F16705" s="1">
        <v>5339.0</v>
      </c>
      <c r="G16705" s="1">
        <v>55.0</v>
      </c>
    </row>
    <row r="16706">
      <c r="A16706" s="1" t="s">
        <v>8</v>
      </c>
      <c r="B16706" s="2">
        <v>44787.0</v>
      </c>
      <c r="C16706" s="3">
        <v>0.5093634259259259</v>
      </c>
      <c r="D16706" s="1">
        <v>12.955885</v>
      </c>
      <c r="E16706" s="1">
        <v>80.212977</v>
      </c>
      <c r="F16706" s="1">
        <v>5339.0</v>
      </c>
      <c r="G16706" s="1">
        <v>55.0</v>
      </c>
    </row>
    <row r="16707">
      <c r="A16707" s="1" t="s">
        <v>8</v>
      </c>
      <c r="B16707" s="2">
        <v>44787.0</v>
      </c>
      <c r="C16707" s="3">
        <v>0.5093865740740741</v>
      </c>
      <c r="D16707" s="1">
        <v>12.955885</v>
      </c>
      <c r="E16707" s="1">
        <v>80.212977</v>
      </c>
      <c r="F16707" s="1">
        <v>5339.0</v>
      </c>
      <c r="G16707" s="1">
        <v>55.0</v>
      </c>
    </row>
    <row r="16708">
      <c r="A16708" s="1" t="s">
        <v>8</v>
      </c>
      <c r="B16708" s="2">
        <v>44787.0</v>
      </c>
      <c r="C16708" s="3">
        <v>0.5099652777777778</v>
      </c>
      <c r="D16708" s="1">
        <v>12.950655</v>
      </c>
      <c r="E16708" s="1">
        <v>80.21103</v>
      </c>
      <c r="F16708" s="1">
        <v>5339.0</v>
      </c>
      <c r="G16708" s="1">
        <v>52.0</v>
      </c>
    </row>
    <row r="16709">
      <c r="A16709" s="1" t="s">
        <v>8</v>
      </c>
      <c r="B16709" s="2">
        <v>44787.0</v>
      </c>
      <c r="C16709" s="3">
        <v>0.5112731481481482</v>
      </c>
      <c r="D16709" s="1">
        <v>12.948619</v>
      </c>
      <c r="E16709" s="1">
        <v>80.206927</v>
      </c>
      <c r="F16709" s="1">
        <v>5339.0</v>
      </c>
      <c r="G16709" s="1">
        <v>50.0</v>
      </c>
    </row>
    <row r="16710">
      <c r="A16710" s="1" t="s">
        <v>7</v>
      </c>
      <c r="B16710" s="2">
        <v>44787.0</v>
      </c>
      <c r="C16710" s="3">
        <v>0.5115972222222223</v>
      </c>
      <c r="D16710" s="1">
        <v>12.948662</v>
      </c>
      <c r="E16710" s="1">
        <v>80.204126</v>
      </c>
      <c r="F16710" s="1">
        <v>5339.0</v>
      </c>
      <c r="G16710" s="1">
        <v>58.0</v>
      </c>
    </row>
    <row r="16711">
      <c r="A16711" s="1" t="s">
        <v>8</v>
      </c>
      <c r="B16711" s="2">
        <v>44787.0</v>
      </c>
      <c r="C16711" s="3">
        <v>0.5127314814814815</v>
      </c>
      <c r="D16711" s="1">
        <v>12.948475</v>
      </c>
      <c r="E16711" s="1">
        <v>80.196873</v>
      </c>
      <c r="F16711" s="1">
        <v>5339.0</v>
      </c>
      <c r="G16711" s="1">
        <v>50.0</v>
      </c>
    </row>
    <row r="16712">
      <c r="A16712" s="1" t="s">
        <v>8</v>
      </c>
      <c r="B16712" s="2">
        <v>44787.0</v>
      </c>
      <c r="C16712" s="3">
        <v>0.5129398148148148</v>
      </c>
      <c r="D16712" s="1">
        <v>12.948501</v>
      </c>
      <c r="E16712" s="1">
        <v>80.194357</v>
      </c>
      <c r="F16712" s="1">
        <v>5339.0</v>
      </c>
      <c r="G16712" s="1">
        <v>52.0</v>
      </c>
    </row>
    <row r="16713">
      <c r="A16713" s="1" t="s">
        <v>7</v>
      </c>
      <c r="B16713" s="2">
        <v>44787.0</v>
      </c>
      <c r="C16713" s="3">
        <v>0.5132175925925926</v>
      </c>
      <c r="D16713" s="1">
        <v>12.948585</v>
      </c>
      <c r="E16713" s="1">
        <v>80.191652</v>
      </c>
      <c r="F16713" s="1">
        <v>5339.0</v>
      </c>
      <c r="G16713" s="1">
        <v>56.0</v>
      </c>
    </row>
    <row r="16714">
      <c r="A16714" s="1" t="s">
        <v>8</v>
      </c>
      <c r="B16714" s="2">
        <v>44787.0</v>
      </c>
      <c r="C16714" s="3">
        <v>0.5139814814814815</v>
      </c>
      <c r="D16714" s="1">
        <v>12.949453</v>
      </c>
      <c r="E16714" s="1">
        <v>80.18195</v>
      </c>
      <c r="F16714" s="1">
        <v>5339.0</v>
      </c>
      <c r="G16714" s="1">
        <v>55.0</v>
      </c>
    </row>
    <row r="16715">
      <c r="A16715" s="1" t="s">
        <v>7</v>
      </c>
      <c r="B16715" s="2">
        <v>44787.0</v>
      </c>
      <c r="C16715" s="3">
        <v>0.5143402777777778</v>
      </c>
      <c r="D16715" s="1">
        <v>12.950193</v>
      </c>
      <c r="E16715" s="1">
        <v>80.178537</v>
      </c>
      <c r="F16715" s="1">
        <v>5339.0</v>
      </c>
      <c r="G16715" s="1">
        <v>56.0</v>
      </c>
    </row>
    <row r="16716">
      <c r="A16716" s="1" t="s">
        <v>8</v>
      </c>
      <c r="B16716" s="2">
        <v>44787.0</v>
      </c>
      <c r="C16716" s="3">
        <v>0.5144560185185185</v>
      </c>
      <c r="D16716" s="1">
        <v>12.950567</v>
      </c>
      <c r="E16716" s="1">
        <v>80.177126</v>
      </c>
      <c r="F16716" s="1">
        <v>5339.0</v>
      </c>
      <c r="G16716" s="1">
        <v>53.0</v>
      </c>
    </row>
    <row r="16717">
      <c r="A16717" s="1" t="s">
        <v>7</v>
      </c>
      <c r="B16717" s="2">
        <v>44787.0</v>
      </c>
      <c r="C16717" s="3">
        <v>0.5151273148148148</v>
      </c>
      <c r="D16717" s="1">
        <v>12.95175</v>
      </c>
      <c r="E16717" s="1">
        <v>80.171576</v>
      </c>
      <c r="F16717" s="1">
        <v>5339.0</v>
      </c>
      <c r="G16717" s="1">
        <v>50.0</v>
      </c>
    </row>
    <row r="16718">
      <c r="A16718" s="1" t="s">
        <v>7</v>
      </c>
      <c r="B16718" s="2">
        <v>44787.0</v>
      </c>
      <c r="C16718" s="3">
        <v>0.5157523148148148</v>
      </c>
      <c r="D16718" s="1">
        <v>12.953267</v>
      </c>
      <c r="E16718" s="1">
        <v>80.164447</v>
      </c>
      <c r="F16718" s="1">
        <v>5339.0</v>
      </c>
      <c r="G16718" s="1">
        <v>58.0</v>
      </c>
    </row>
    <row r="16719">
      <c r="A16719" s="1" t="s">
        <v>7</v>
      </c>
      <c r="B16719" s="2">
        <v>44787.0</v>
      </c>
      <c r="C16719" s="3">
        <v>0.5159953703703704</v>
      </c>
      <c r="D16719" s="1">
        <v>12.953858</v>
      </c>
      <c r="E16719" s="1">
        <v>80.161642</v>
      </c>
      <c r="F16719" s="1">
        <v>5339.0</v>
      </c>
      <c r="G16719" s="1">
        <v>58.0</v>
      </c>
    </row>
    <row r="16720">
      <c r="A16720" s="1" t="s">
        <v>8</v>
      </c>
      <c r="B16720" s="2">
        <v>44787.0</v>
      </c>
      <c r="C16720" s="3">
        <v>0.5160532407407408</v>
      </c>
      <c r="D16720" s="1">
        <v>12.954165</v>
      </c>
      <c r="E16720" s="1">
        <v>80.160195</v>
      </c>
      <c r="F16720" s="1">
        <v>5339.0</v>
      </c>
      <c r="G16720" s="1">
        <v>55.0</v>
      </c>
    </row>
    <row r="16721">
      <c r="A16721" s="1" t="s">
        <v>8</v>
      </c>
      <c r="B16721" s="2">
        <v>44787.0</v>
      </c>
      <c r="C16721" s="3">
        <v>0.5160763888888888</v>
      </c>
      <c r="D16721" s="1">
        <v>12.954165</v>
      </c>
      <c r="E16721" s="1">
        <v>80.160195</v>
      </c>
      <c r="F16721" s="1">
        <v>5339.0</v>
      </c>
      <c r="G16721" s="1">
        <v>55.0</v>
      </c>
    </row>
    <row r="16722">
      <c r="A16722" s="1" t="s">
        <v>8</v>
      </c>
      <c r="B16722" s="2">
        <v>44787.0</v>
      </c>
      <c r="C16722" s="3">
        <v>0.5187268518518519</v>
      </c>
      <c r="D16722" s="1">
        <v>12.955169</v>
      </c>
      <c r="E16722" s="1">
        <v>80.142693</v>
      </c>
      <c r="F16722" s="1">
        <v>5339.0</v>
      </c>
      <c r="G16722" s="1">
        <v>36.0</v>
      </c>
    </row>
    <row r="16723">
      <c r="A16723" s="1" t="s">
        <v>8</v>
      </c>
      <c r="B16723" s="2">
        <v>44787.0</v>
      </c>
      <c r="C16723" s="3">
        <v>0.5211342592592593</v>
      </c>
      <c r="D16723" s="1">
        <v>12.950777</v>
      </c>
      <c r="E16723" s="1">
        <v>80.139914</v>
      </c>
      <c r="F16723" s="1">
        <v>5339.0</v>
      </c>
      <c r="G16723" s="1">
        <v>21.0</v>
      </c>
    </row>
    <row r="16724">
      <c r="A16724" s="1" t="s">
        <v>8</v>
      </c>
      <c r="B16724" s="2">
        <v>44787.0</v>
      </c>
      <c r="C16724" s="3">
        <v>0.5212152777777778</v>
      </c>
      <c r="D16724" s="1">
        <v>12.950777</v>
      </c>
      <c r="E16724" s="1">
        <v>80.139914</v>
      </c>
      <c r="F16724" s="1">
        <v>5339.0</v>
      </c>
      <c r="G16724" s="1">
        <v>21.0</v>
      </c>
    </row>
    <row r="16725">
      <c r="A16725" s="1" t="s">
        <v>8</v>
      </c>
      <c r="B16725" s="2">
        <v>44787.0</v>
      </c>
      <c r="C16725" s="3">
        <v>0.5214814814814814</v>
      </c>
      <c r="D16725" s="1">
        <v>12.949632</v>
      </c>
      <c r="E16725" s="1">
        <v>80.13896</v>
      </c>
      <c r="F16725" s="1">
        <v>5339.0</v>
      </c>
      <c r="G16725" s="1">
        <v>49.0</v>
      </c>
    </row>
    <row r="16726">
      <c r="A16726" s="1" t="s">
        <v>9</v>
      </c>
      <c r="B16726" s="2">
        <v>44787.0</v>
      </c>
      <c r="C16726" s="3">
        <v>0.5217824074074074</v>
      </c>
      <c r="D16726" s="1">
        <v>12.945877</v>
      </c>
      <c r="E16726" s="1">
        <v>80.136089</v>
      </c>
      <c r="F16726" s="1">
        <v>5339.0</v>
      </c>
      <c r="G16726" s="1">
        <v>55.0</v>
      </c>
    </row>
    <row r="16727">
      <c r="A16727" s="1" t="s">
        <v>8</v>
      </c>
      <c r="B16727" s="2">
        <v>44787.0</v>
      </c>
      <c r="C16727" s="3">
        <v>0.5220601851851852</v>
      </c>
      <c r="D16727" s="1">
        <v>12.94311</v>
      </c>
      <c r="E16727" s="1">
        <v>80.13383</v>
      </c>
      <c r="F16727" s="1">
        <v>5339.0</v>
      </c>
      <c r="G16727" s="1">
        <v>45.0</v>
      </c>
    </row>
    <row r="16728">
      <c r="A16728" s="1" t="s">
        <v>8</v>
      </c>
      <c r="B16728" s="2">
        <v>44787.0</v>
      </c>
      <c r="C16728" s="3">
        <v>0.5222337962962963</v>
      </c>
      <c r="D16728" s="1">
        <v>12.942267</v>
      </c>
      <c r="E16728" s="1">
        <v>80.132972</v>
      </c>
      <c r="F16728" s="1">
        <v>5339.0</v>
      </c>
      <c r="G16728" s="1">
        <v>48.0</v>
      </c>
    </row>
    <row r="16729">
      <c r="A16729" s="1" t="s">
        <v>8</v>
      </c>
      <c r="B16729" s="2">
        <v>44787.0</v>
      </c>
      <c r="C16729" s="3">
        <v>0.5223611111111112</v>
      </c>
      <c r="D16729" s="1">
        <v>12.941362</v>
      </c>
      <c r="E16729" s="1">
        <v>80.132054</v>
      </c>
      <c r="F16729" s="1">
        <v>5339.0</v>
      </c>
      <c r="G16729" s="1">
        <v>49.0</v>
      </c>
    </row>
    <row r="16730">
      <c r="A16730" s="1" t="s">
        <v>7</v>
      </c>
      <c r="B16730" s="2">
        <v>44787.0</v>
      </c>
      <c r="C16730" s="3">
        <v>0.5226851851851851</v>
      </c>
      <c r="D16730" s="1">
        <v>12.938623</v>
      </c>
      <c r="E16730" s="1">
        <v>80.129368</v>
      </c>
      <c r="F16730" s="1">
        <v>5339.0</v>
      </c>
      <c r="G16730" s="1">
        <v>51.0</v>
      </c>
    </row>
    <row r="16731">
      <c r="A16731" s="1" t="s">
        <v>8</v>
      </c>
      <c r="B16731" s="2">
        <v>44787.0</v>
      </c>
      <c r="C16731" s="3">
        <v>0.5226851851851851</v>
      </c>
      <c r="D16731" s="1">
        <v>12.938623</v>
      </c>
      <c r="E16731" s="1">
        <v>80.129368</v>
      </c>
      <c r="F16731" s="1">
        <v>5339.0</v>
      </c>
      <c r="G16731" s="1">
        <v>51.0</v>
      </c>
    </row>
    <row r="16732">
      <c r="A16732" s="1" t="s">
        <v>8</v>
      </c>
      <c r="B16732" s="2">
        <v>44787.0</v>
      </c>
      <c r="C16732" s="3">
        <v>0.5227893518518518</v>
      </c>
      <c r="D16732" s="1">
        <v>12.937633</v>
      </c>
      <c r="E16732" s="1">
        <v>80.12854</v>
      </c>
      <c r="F16732" s="1">
        <v>5339.0</v>
      </c>
      <c r="G16732" s="1">
        <v>48.0</v>
      </c>
    </row>
    <row r="16733">
      <c r="A16733" s="1" t="s">
        <v>8</v>
      </c>
      <c r="B16733" s="2">
        <v>44787.0</v>
      </c>
      <c r="C16733" s="3">
        <v>0.5227893518518518</v>
      </c>
      <c r="D16733" s="1">
        <v>12.937633</v>
      </c>
      <c r="E16733" s="1">
        <v>80.12854</v>
      </c>
      <c r="F16733" s="1">
        <v>5339.0</v>
      </c>
      <c r="G16733" s="1">
        <v>48.0</v>
      </c>
    </row>
    <row r="16734">
      <c r="A16734" s="1" t="s">
        <v>8</v>
      </c>
      <c r="B16734" s="2">
        <v>44787.0</v>
      </c>
      <c r="C16734" s="3">
        <v>0.522824074074074</v>
      </c>
      <c r="D16734" s="1">
        <v>12.937633</v>
      </c>
      <c r="E16734" s="1">
        <v>80.12854</v>
      </c>
      <c r="F16734" s="1">
        <v>5339.0</v>
      </c>
      <c r="G16734" s="1">
        <v>48.0</v>
      </c>
    </row>
    <row r="16735">
      <c r="A16735" s="1" t="s">
        <v>8</v>
      </c>
      <c r="B16735" s="2">
        <v>44787.0</v>
      </c>
      <c r="C16735" s="3">
        <v>0.5228472222222222</v>
      </c>
      <c r="D16735" s="1">
        <v>12.936942</v>
      </c>
      <c r="E16735" s="1">
        <v>80.127972</v>
      </c>
      <c r="F16735" s="1">
        <v>5339.0</v>
      </c>
      <c r="G16735" s="1">
        <v>26.0</v>
      </c>
    </row>
    <row r="16736">
      <c r="A16736" s="1" t="s">
        <v>8</v>
      </c>
      <c r="B16736" s="2">
        <v>44787.0</v>
      </c>
      <c r="C16736" s="3">
        <v>0.5228819444444445</v>
      </c>
      <c r="D16736" s="1">
        <v>12.936942</v>
      </c>
      <c r="E16736" s="1">
        <v>80.127972</v>
      </c>
      <c r="F16736" s="1">
        <v>5339.0</v>
      </c>
      <c r="G16736" s="1">
        <v>26.0</v>
      </c>
    </row>
    <row r="16737">
      <c r="A16737" s="1" t="s">
        <v>9</v>
      </c>
      <c r="B16737" s="2">
        <v>44787.0</v>
      </c>
      <c r="C16737" s="3">
        <v>0.523125</v>
      </c>
      <c r="D16737" s="1">
        <v>12.935595</v>
      </c>
      <c r="E16737" s="1">
        <v>80.126741</v>
      </c>
      <c r="F16737" s="1">
        <v>5339.0</v>
      </c>
      <c r="G16737" s="1">
        <v>43.0</v>
      </c>
    </row>
    <row r="16738">
      <c r="A16738" s="1" t="s">
        <v>8</v>
      </c>
      <c r="B16738" s="2">
        <v>44787.0</v>
      </c>
      <c r="C16738" s="3">
        <v>0.5234837962962963</v>
      </c>
      <c r="D16738" s="1">
        <v>12.933783</v>
      </c>
      <c r="E16738" s="1">
        <v>80.125046</v>
      </c>
      <c r="F16738" s="1">
        <v>5339.0</v>
      </c>
      <c r="G16738" s="1">
        <v>44.0</v>
      </c>
    </row>
    <row r="16739">
      <c r="A16739" s="1" t="s">
        <v>8</v>
      </c>
      <c r="B16739" s="2">
        <v>44787.0</v>
      </c>
      <c r="C16739" s="3">
        <v>0.5244444444444445</v>
      </c>
      <c r="D16739" s="1">
        <v>12.93136</v>
      </c>
      <c r="E16739" s="1">
        <v>80.122622</v>
      </c>
      <c r="F16739" s="1">
        <v>5339.0</v>
      </c>
      <c r="G16739" s="1">
        <v>25.0</v>
      </c>
    </row>
    <row r="16740">
      <c r="A16740" s="1" t="s">
        <v>8</v>
      </c>
      <c r="B16740" s="2">
        <v>44787.0</v>
      </c>
      <c r="C16740" s="3">
        <v>0.5245717592592593</v>
      </c>
      <c r="D16740" s="1">
        <v>12.930399</v>
      </c>
      <c r="E16740" s="1">
        <v>80.121698</v>
      </c>
      <c r="F16740" s="1">
        <v>5339.0</v>
      </c>
      <c r="G16740" s="1">
        <v>39.0</v>
      </c>
    </row>
    <row r="16741">
      <c r="A16741" s="1" t="s">
        <v>9</v>
      </c>
      <c r="B16741" s="2">
        <v>44787.0</v>
      </c>
      <c r="C16741" s="3">
        <v>0.5248379629629629</v>
      </c>
      <c r="D16741" s="1">
        <v>12.928988</v>
      </c>
      <c r="E16741" s="1">
        <v>80.120268</v>
      </c>
      <c r="F16741" s="1">
        <v>5339.0</v>
      </c>
      <c r="G16741" s="1">
        <v>51.0</v>
      </c>
    </row>
    <row r="16742">
      <c r="A16742" s="1" t="s">
        <v>9</v>
      </c>
      <c r="B16742" s="2">
        <v>44787.0</v>
      </c>
      <c r="C16742" s="3">
        <v>0.5257523148148148</v>
      </c>
      <c r="D16742" s="1">
        <v>12.92427</v>
      </c>
      <c r="E16742" s="1">
        <v>80.115501</v>
      </c>
      <c r="F16742" s="1">
        <v>5339.0</v>
      </c>
      <c r="G16742" s="1">
        <v>56.0</v>
      </c>
    </row>
    <row r="16743">
      <c r="A16743" s="1" t="s">
        <v>8</v>
      </c>
      <c r="B16743" s="2">
        <v>44787.0</v>
      </c>
      <c r="C16743" s="3">
        <v>0.526087962962963</v>
      </c>
      <c r="D16743" s="1">
        <v>12.922145</v>
      </c>
      <c r="E16743" s="1">
        <v>80.113377</v>
      </c>
      <c r="F16743" s="1">
        <v>5339.0</v>
      </c>
      <c r="G16743" s="1">
        <v>43.0</v>
      </c>
    </row>
    <row r="16744">
      <c r="A16744" s="1" t="s">
        <v>7</v>
      </c>
      <c r="B16744" s="2">
        <v>44787.0</v>
      </c>
      <c r="C16744" s="3">
        <v>0.5264930555555556</v>
      </c>
      <c r="D16744" s="1">
        <v>12.919355</v>
      </c>
      <c r="E16744" s="1">
        <v>80.110367</v>
      </c>
      <c r="F16744" s="1">
        <v>5339.0</v>
      </c>
      <c r="G16744" s="1">
        <v>58.0</v>
      </c>
    </row>
    <row r="16745">
      <c r="A16745" s="1" t="s">
        <v>8</v>
      </c>
      <c r="B16745" s="2">
        <v>44787.0</v>
      </c>
      <c r="C16745" s="3">
        <v>0.5267708333333333</v>
      </c>
      <c r="D16745" s="1">
        <v>12.917058</v>
      </c>
      <c r="E16745" s="1">
        <v>80.107365</v>
      </c>
      <c r="F16745" s="1">
        <v>5339.0</v>
      </c>
      <c r="G16745" s="1">
        <v>0.0</v>
      </c>
    </row>
    <row r="16746">
      <c r="A16746" s="1" t="s">
        <v>10</v>
      </c>
      <c r="B16746" s="2">
        <v>44787.0</v>
      </c>
      <c r="C16746" s="3">
        <v>0.529537037037037</v>
      </c>
      <c r="D16746" s="1">
        <v>12.907384</v>
      </c>
      <c r="E16746" s="1">
        <v>80.097322</v>
      </c>
      <c r="F16746" s="1">
        <v>5339.0</v>
      </c>
      <c r="G16746" s="1">
        <v>13.0</v>
      </c>
    </row>
    <row r="16747">
      <c r="A16747" s="1" t="s">
        <v>10</v>
      </c>
      <c r="B16747" s="2">
        <v>44787.0</v>
      </c>
      <c r="C16747" s="3">
        <v>0.5296064814814815</v>
      </c>
      <c r="D16747" s="1">
        <v>12.907384</v>
      </c>
      <c r="E16747" s="1">
        <v>80.097322</v>
      </c>
      <c r="F16747" s="1">
        <v>5339.0</v>
      </c>
      <c r="G16747" s="1">
        <v>13.0</v>
      </c>
    </row>
    <row r="16748">
      <c r="A16748" s="1" t="s">
        <v>8</v>
      </c>
      <c r="B16748" s="2">
        <v>44787.0</v>
      </c>
      <c r="C16748" s="3">
        <v>0.5308912037037037</v>
      </c>
      <c r="D16748" s="1">
        <v>12.905055</v>
      </c>
      <c r="E16748" s="1">
        <v>80.095538</v>
      </c>
      <c r="F16748" s="1">
        <v>5339.0</v>
      </c>
      <c r="G16748" s="1">
        <v>0.0</v>
      </c>
    </row>
    <row r="16749">
      <c r="A16749" s="1" t="s">
        <v>8</v>
      </c>
      <c r="B16749" s="2">
        <v>44787.0</v>
      </c>
      <c r="C16749" s="3">
        <v>0.5310185185185186</v>
      </c>
      <c r="D16749" s="1">
        <v>12.904305</v>
      </c>
      <c r="E16749" s="1">
        <v>80.09501</v>
      </c>
      <c r="F16749" s="1">
        <v>5339.0</v>
      </c>
      <c r="G16749" s="1">
        <v>33.0</v>
      </c>
    </row>
    <row r="16750">
      <c r="A16750" s="1" t="s">
        <v>7</v>
      </c>
      <c r="B16750" s="2">
        <v>44787.0</v>
      </c>
      <c r="C16750" s="3">
        <v>0.5317013888888888</v>
      </c>
      <c r="D16750" s="1">
        <v>12.900167</v>
      </c>
      <c r="E16750" s="1">
        <v>80.091708</v>
      </c>
      <c r="F16750" s="1">
        <v>5339.0</v>
      </c>
      <c r="G16750" s="1">
        <v>52.0</v>
      </c>
    </row>
    <row r="16751">
      <c r="A16751" s="1" t="s">
        <v>8</v>
      </c>
      <c r="B16751" s="2">
        <v>44787.0</v>
      </c>
      <c r="C16751" s="3">
        <v>0.5318518518518518</v>
      </c>
      <c r="D16751" s="1">
        <v>12.89828</v>
      </c>
      <c r="E16751" s="1">
        <v>80.090226</v>
      </c>
      <c r="F16751" s="1">
        <v>5339.0</v>
      </c>
      <c r="G16751" s="1">
        <v>55.0</v>
      </c>
    </row>
    <row r="16752">
      <c r="A16752" s="1" t="s">
        <v>7</v>
      </c>
      <c r="B16752" s="2">
        <v>44787.0</v>
      </c>
      <c r="C16752" s="3">
        <v>0.5322569444444445</v>
      </c>
      <c r="D16752" s="1">
        <v>12.894883</v>
      </c>
      <c r="E16752" s="1">
        <v>80.087677</v>
      </c>
      <c r="F16752" s="1">
        <v>5339.0</v>
      </c>
      <c r="G16752" s="1">
        <v>53.0</v>
      </c>
    </row>
    <row r="16753">
      <c r="A16753" s="1" t="s">
        <v>7</v>
      </c>
      <c r="B16753" s="2">
        <v>44787.0</v>
      </c>
      <c r="C16753" s="3">
        <v>0.5325578703703704</v>
      </c>
      <c r="D16753" s="1">
        <v>12.891509</v>
      </c>
      <c r="E16753" s="1">
        <v>80.085256</v>
      </c>
      <c r="F16753" s="1">
        <v>5339.0</v>
      </c>
      <c r="G16753" s="1">
        <v>55.0</v>
      </c>
    </row>
    <row r="16754">
      <c r="A16754" s="1" t="s">
        <v>7</v>
      </c>
      <c r="B16754" s="2">
        <v>44787.0</v>
      </c>
      <c r="C16754" s="3">
        <v>0.5328125</v>
      </c>
      <c r="D16754" s="1">
        <v>12.889176</v>
      </c>
      <c r="E16754" s="1">
        <v>80.084256</v>
      </c>
      <c r="F16754" s="1">
        <v>5339.0</v>
      </c>
      <c r="G16754" s="1">
        <v>55.0</v>
      </c>
    </row>
    <row r="16755">
      <c r="A16755" s="1" t="s">
        <v>8</v>
      </c>
      <c r="B16755" s="2">
        <v>44787.0</v>
      </c>
      <c r="C16755" s="3">
        <v>0.5332060185185186</v>
      </c>
      <c r="D16755" s="1">
        <v>12.885771</v>
      </c>
      <c r="E16755" s="1">
        <v>80.082882</v>
      </c>
      <c r="F16755" s="1">
        <v>5339.0</v>
      </c>
      <c r="G16755" s="1">
        <v>58.0</v>
      </c>
    </row>
    <row r="16756">
      <c r="A16756" s="1" t="s">
        <v>9</v>
      </c>
      <c r="B16756" s="2">
        <v>44787.0</v>
      </c>
      <c r="C16756" s="3">
        <v>0.533425925925926</v>
      </c>
      <c r="D16756" s="1">
        <v>12.882225</v>
      </c>
      <c r="E16756" s="1">
        <v>80.081522</v>
      </c>
      <c r="F16756" s="1">
        <v>5339.0</v>
      </c>
      <c r="G16756" s="1">
        <v>38.0</v>
      </c>
    </row>
    <row r="16757">
      <c r="A16757" s="1" t="s">
        <v>8</v>
      </c>
      <c r="B16757" s="2">
        <v>44787.0</v>
      </c>
      <c r="C16757" s="3">
        <v>0.5358564814814815</v>
      </c>
      <c r="D16757" s="1">
        <v>12.878412</v>
      </c>
      <c r="E16757" s="1">
        <v>80.082284</v>
      </c>
      <c r="F16757" s="1">
        <v>5339.0</v>
      </c>
      <c r="G16757" s="1">
        <v>34.0</v>
      </c>
    </row>
    <row r="16758">
      <c r="A16758" s="1" t="s">
        <v>7</v>
      </c>
      <c r="B16758" s="2">
        <v>44788.0</v>
      </c>
      <c r="C16758" s="3">
        <v>0.23548611111111112</v>
      </c>
      <c r="D16758" s="1">
        <v>12.876102</v>
      </c>
      <c r="E16758" s="1">
        <v>80.07913</v>
      </c>
      <c r="F16758" s="1">
        <v>3143.0</v>
      </c>
      <c r="G16758" s="1">
        <v>52.0</v>
      </c>
    </row>
    <row r="16759">
      <c r="A16759" s="1" t="s">
        <v>8</v>
      </c>
      <c r="B16759" s="2">
        <v>44788.0</v>
      </c>
      <c r="C16759" s="3">
        <v>0.23550925925925925</v>
      </c>
      <c r="D16759" s="1">
        <v>12.876102</v>
      </c>
      <c r="E16759" s="1">
        <v>80.07913</v>
      </c>
      <c r="F16759" s="1">
        <v>3143.0</v>
      </c>
      <c r="G16759" s="1">
        <v>52.0</v>
      </c>
    </row>
    <row r="16760">
      <c r="A16760" s="1" t="s">
        <v>7</v>
      </c>
      <c r="B16760" s="2">
        <v>44788.0</v>
      </c>
      <c r="C16760" s="3">
        <v>0.23560185185185184</v>
      </c>
      <c r="D16760" s="1">
        <v>12.87489</v>
      </c>
      <c r="E16760" s="1">
        <v>80.078636</v>
      </c>
      <c r="F16760" s="1">
        <v>3143.0</v>
      </c>
      <c r="G16760" s="1">
        <v>51.0</v>
      </c>
    </row>
    <row r="16761">
      <c r="A16761" s="1" t="s">
        <v>8</v>
      </c>
      <c r="B16761" s="2">
        <v>44788.0</v>
      </c>
      <c r="C16761" s="3">
        <v>0.2358449074074074</v>
      </c>
      <c r="D16761" s="1">
        <v>12.872466</v>
      </c>
      <c r="E16761" s="1">
        <v>80.077571</v>
      </c>
      <c r="F16761" s="1">
        <v>3143.0</v>
      </c>
      <c r="G16761" s="1">
        <v>54.0</v>
      </c>
    </row>
    <row r="16762">
      <c r="A16762" s="1" t="s">
        <v>7</v>
      </c>
      <c r="B16762" s="2">
        <v>44788.0</v>
      </c>
      <c r="C16762" s="3">
        <v>0.23591435185185186</v>
      </c>
      <c r="D16762" s="1">
        <v>12.871252</v>
      </c>
      <c r="E16762" s="1">
        <v>80.077127</v>
      </c>
      <c r="F16762" s="1">
        <v>3143.0</v>
      </c>
      <c r="G16762" s="1">
        <v>51.0</v>
      </c>
    </row>
    <row r="16763">
      <c r="A16763" s="1" t="s">
        <v>7</v>
      </c>
      <c r="B16763" s="2">
        <v>44788.0</v>
      </c>
      <c r="C16763" s="3">
        <v>0.23612268518518517</v>
      </c>
      <c r="D16763" s="1">
        <v>12.868712</v>
      </c>
      <c r="E16763" s="1">
        <v>80.076106</v>
      </c>
      <c r="F16763" s="1">
        <v>3143.0</v>
      </c>
      <c r="G16763" s="1">
        <v>53.0</v>
      </c>
    </row>
    <row r="16764">
      <c r="A16764" s="1" t="s">
        <v>7</v>
      </c>
      <c r="B16764" s="2">
        <v>44788.0</v>
      </c>
      <c r="C16764" s="3">
        <v>0.2365625</v>
      </c>
      <c r="D16764" s="1">
        <v>12.864764</v>
      </c>
      <c r="E16764" s="1">
        <v>80.074564</v>
      </c>
      <c r="F16764" s="1">
        <v>3143.0</v>
      </c>
      <c r="G16764" s="1">
        <v>58.0</v>
      </c>
    </row>
    <row r="16765">
      <c r="A16765" s="1" t="s">
        <v>7</v>
      </c>
      <c r="B16765" s="2">
        <v>44788.0</v>
      </c>
      <c r="C16765" s="3">
        <v>0.23675925925925925</v>
      </c>
      <c r="D16765" s="1">
        <v>12.862051</v>
      </c>
      <c r="E16765" s="1">
        <v>80.073504</v>
      </c>
      <c r="F16765" s="1">
        <v>3143.0</v>
      </c>
      <c r="G16765" s="1">
        <v>58.0</v>
      </c>
    </row>
    <row r="16766">
      <c r="A16766" s="1" t="s">
        <v>7</v>
      </c>
      <c r="B16766" s="2">
        <v>44788.0</v>
      </c>
      <c r="C16766" s="3">
        <v>0.23717592592592593</v>
      </c>
      <c r="D16766" s="1">
        <v>12.887698</v>
      </c>
      <c r="E16766" s="1">
        <v>80.083502</v>
      </c>
      <c r="F16766" s="1">
        <v>5339.0</v>
      </c>
      <c r="G16766" s="1">
        <v>49.0</v>
      </c>
    </row>
    <row r="16767">
      <c r="A16767" s="1" t="s">
        <v>7</v>
      </c>
      <c r="B16767" s="2">
        <v>44788.0</v>
      </c>
      <c r="C16767" s="3">
        <v>0.23743055555555556</v>
      </c>
      <c r="D16767" s="1">
        <v>12.854905</v>
      </c>
      <c r="E16767" s="1">
        <v>80.068413</v>
      </c>
      <c r="F16767" s="1">
        <v>3143.0</v>
      </c>
      <c r="G16767" s="1">
        <v>57.0</v>
      </c>
    </row>
    <row r="16768">
      <c r="A16768" s="1" t="s">
        <v>7</v>
      </c>
      <c r="B16768" s="2">
        <v>44788.0</v>
      </c>
      <c r="C16768" s="3">
        <v>0.2374537037037037</v>
      </c>
      <c r="D16768" s="1">
        <v>12.890236</v>
      </c>
      <c r="E16768" s="1">
        <v>80.084545</v>
      </c>
      <c r="F16768" s="1">
        <v>5339.0</v>
      </c>
      <c r="G16768" s="1">
        <v>59.0</v>
      </c>
    </row>
    <row r="16769">
      <c r="A16769" s="1" t="s">
        <v>7</v>
      </c>
      <c r="B16769" s="2">
        <v>44788.0</v>
      </c>
      <c r="C16769" s="3">
        <v>0.2376273148148148</v>
      </c>
      <c r="D16769" s="1">
        <v>12.852526</v>
      </c>
      <c r="E16769" s="1">
        <v>80.066702</v>
      </c>
      <c r="F16769" s="1">
        <v>3143.0</v>
      </c>
      <c r="G16769" s="1">
        <v>58.0</v>
      </c>
    </row>
    <row r="16770">
      <c r="A16770" s="1" t="s">
        <v>7</v>
      </c>
      <c r="B16770" s="2">
        <v>44788.0</v>
      </c>
      <c r="C16770" s="3">
        <v>0.23774305555555555</v>
      </c>
      <c r="D16770" s="1">
        <v>12.851316</v>
      </c>
      <c r="E16770" s="1">
        <v>80.065868</v>
      </c>
      <c r="F16770" s="1">
        <v>3143.0</v>
      </c>
      <c r="G16770" s="1">
        <v>57.0</v>
      </c>
    </row>
    <row r="16771">
      <c r="A16771" s="1" t="s">
        <v>7</v>
      </c>
      <c r="B16771" s="2">
        <v>44788.0</v>
      </c>
      <c r="C16771" s="3">
        <v>0.2379976851851852</v>
      </c>
      <c r="D16771" s="1">
        <v>12.848942</v>
      </c>
      <c r="E16771" s="1">
        <v>80.064173</v>
      </c>
      <c r="F16771" s="1">
        <v>3143.0</v>
      </c>
      <c r="G16771" s="1">
        <v>57.0</v>
      </c>
    </row>
    <row r="16772">
      <c r="A16772" s="1" t="s">
        <v>7</v>
      </c>
      <c r="B16772" s="2">
        <v>44788.0</v>
      </c>
      <c r="C16772" s="3">
        <v>0.23818287037037036</v>
      </c>
      <c r="D16772" s="1">
        <v>12.847762</v>
      </c>
      <c r="E16772" s="1">
        <v>80.063304</v>
      </c>
      <c r="F16772" s="1">
        <v>3143.0</v>
      </c>
      <c r="G16772" s="1">
        <v>57.0</v>
      </c>
    </row>
    <row r="16773">
      <c r="A16773" s="1" t="s">
        <v>7</v>
      </c>
      <c r="B16773" s="2">
        <v>44788.0</v>
      </c>
      <c r="C16773" s="3">
        <v>0.23827546296296295</v>
      </c>
      <c r="D16773" s="1">
        <v>12.846596</v>
      </c>
      <c r="E16773" s="1">
        <v>80.062429</v>
      </c>
      <c r="F16773" s="1">
        <v>3143.0</v>
      </c>
      <c r="G16773" s="1">
        <v>57.0</v>
      </c>
    </row>
    <row r="16774">
      <c r="A16774" s="1" t="s">
        <v>7</v>
      </c>
      <c r="B16774" s="2">
        <v>44788.0</v>
      </c>
      <c r="C16774" s="3">
        <v>0.2386574074074074</v>
      </c>
      <c r="D16774" s="1">
        <v>12.903349</v>
      </c>
      <c r="E16774" s="1">
        <v>80.093872</v>
      </c>
      <c r="F16774" s="1">
        <v>5339.0</v>
      </c>
      <c r="G16774" s="1">
        <v>57.0</v>
      </c>
    </row>
    <row r="16775">
      <c r="A16775" s="1" t="s">
        <v>7</v>
      </c>
      <c r="B16775" s="2">
        <v>44788.0</v>
      </c>
      <c r="C16775" s="3">
        <v>0.23879629629629628</v>
      </c>
      <c r="D16775" s="1">
        <v>12.841446</v>
      </c>
      <c r="E16775" s="1">
        <v>80.057217</v>
      </c>
      <c r="F16775" s="1">
        <v>3143.0</v>
      </c>
      <c r="G16775" s="1">
        <v>57.0</v>
      </c>
    </row>
    <row r="16776">
      <c r="A16776" s="1" t="s">
        <v>7</v>
      </c>
      <c r="B16776" s="2">
        <v>44788.0</v>
      </c>
      <c r="C16776" s="3">
        <v>0.24003472222222222</v>
      </c>
      <c r="D16776" s="1">
        <v>12.83132</v>
      </c>
      <c r="E16776" s="1">
        <v>80.046564</v>
      </c>
      <c r="F16776" s="1">
        <v>3143.0</v>
      </c>
      <c r="G16776" s="1">
        <v>57.0</v>
      </c>
    </row>
    <row r="16777">
      <c r="A16777" s="1" t="s">
        <v>7</v>
      </c>
      <c r="B16777" s="2">
        <v>44788.0</v>
      </c>
      <c r="C16777" s="3">
        <v>0.24041666666666667</v>
      </c>
      <c r="D16777" s="1">
        <v>12.827274</v>
      </c>
      <c r="E16777" s="1">
        <v>80.042303</v>
      </c>
      <c r="F16777" s="1">
        <v>3143.0</v>
      </c>
      <c r="G16777" s="1">
        <v>58.0</v>
      </c>
    </row>
    <row r="16778">
      <c r="A16778" s="1" t="s">
        <v>7</v>
      </c>
      <c r="B16778" s="2">
        <v>44788.0</v>
      </c>
      <c r="C16778" s="3">
        <v>0.24106481481481482</v>
      </c>
      <c r="D16778" s="1">
        <v>12.919384</v>
      </c>
      <c r="E16778" s="1">
        <v>80.110202</v>
      </c>
      <c r="F16778" s="1">
        <v>5339.0</v>
      </c>
      <c r="G16778" s="1">
        <v>56.0</v>
      </c>
    </row>
    <row r="16779">
      <c r="A16779" s="1" t="s">
        <v>8</v>
      </c>
      <c r="B16779" s="2">
        <v>44788.0</v>
      </c>
      <c r="C16779" s="3">
        <v>0.2466435185185185</v>
      </c>
      <c r="D16779" s="1">
        <v>12.932021</v>
      </c>
      <c r="E16779" s="1">
        <v>80.123134</v>
      </c>
      <c r="F16779" s="1">
        <v>5339.0</v>
      </c>
      <c r="G16779" s="1">
        <v>32.0</v>
      </c>
    </row>
    <row r="16780">
      <c r="A16780" s="1" t="s">
        <v>7</v>
      </c>
      <c r="B16780" s="2">
        <v>44788.0</v>
      </c>
      <c r="C16780" s="3">
        <v>0.24702546296296296</v>
      </c>
      <c r="D16780" s="1">
        <v>12.934465</v>
      </c>
      <c r="E16780" s="1">
        <v>80.125565</v>
      </c>
      <c r="F16780" s="1">
        <v>5339.0</v>
      </c>
      <c r="G16780" s="1">
        <v>55.0</v>
      </c>
    </row>
    <row r="16781">
      <c r="A16781" s="1" t="s">
        <v>10</v>
      </c>
      <c r="B16781" s="2">
        <v>44788.0</v>
      </c>
      <c r="C16781" s="3">
        <v>0.2478935185185185</v>
      </c>
      <c r="D16781" s="1">
        <v>12.942436</v>
      </c>
      <c r="E16781" s="1">
        <v>80.132964</v>
      </c>
      <c r="F16781" s="1">
        <v>5339.0</v>
      </c>
      <c r="G16781" s="1">
        <v>9.0</v>
      </c>
    </row>
    <row r="16782">
      <c r="A16782" s="1" t="s">
        <v>10</v>
      </c>
      <c r="B16782" s="2">
        <v>44788.0</v>
      </c>
      <c r="C16782" s="3">
        <v>0.25100694444444444</v>
      </c>
      <c r="D16782" s="1">
        <v>12.821578</v>
      </c>
      <c r="E16782" s="1">
        <v>80.038109</v>
      </c>
      <c r="F16782" s="1">
        <v>3143.0</v>
      </c>
      <c r="G16782" s="1">
        <v>30.0</v>
      </c>
    </row>
    <row r="16783">
      <c r="A16783" s="1" t="s">
        <v>7</v>
      </c>
      <c r="B16783" s="2">
        <v>44788.0</v>
      </c>
      <c r="C16783" s="3">
        <v>0.25219907407407405</v>
      </c>
      <c r="D16783" s="1">
        <v>12.822396</v>
      </c>
      <c r="E16783" s="1">
        <v>80.038306</v>
      </c>
      <c r="F16783" s="1">
        <v>3143.0</v>
      </c>
      <c r="G16783" s="1">
        <v>57.0</v>
      </c>
    </row>
    <row r="16784">
      <c r="A16784" s="1" t="s">
        <v>7</v>
      </c>
      <c r="B16784" s="2">
        <v>44788.0</v>
      </c>
      <c r="C16784" s="3">
        <v>0.2525925925925926</v>
      </c>
      <c r="D16784" s="1">
        <v>12.827088</v>
      </c>
      <c r="E16784" s="1">
        <v>80.041864</v>
      </c>
      <c r="F16784" s="1">
        <v>3143.0</v>
      </c>
      <c r="G16784" s="1">
        <v>57.0</v>
      </c>
    </row>
    <row r="16785">
      <c r="A16785" s="1" t="s">
        <v>7</v>
      </c>
      <c r="B16785" s="2">
        <v>44788.0</v>
      </c>
      <c r="C16785" s="3">
        <v>0.2531481481481481</v>
      </c>
      <c r="D16785" s="1">
        <v>12.832164</v>
      </c>
      <c r="E16785" s="1">
        <v>80.047228</v>
      </c>
      <c r="F16785" s="1">
        <v>3143.0</v>
      </c>
      <c r="G16785" s="1">
        <v>58.0</v>
      </c>
    </row>
    <row r="16786">
      <c r="A16786" s="1" t="s">
        <v>7</v>
      </c>
      <c r="B16786" s="2">
        <v>44788.0</v>
      </c>
      <c r="C16786" s="3">
        <v>0.25407407407407406</v>
      </c>
      <c r="D16786" s="1">
        <v>12.840336</v>
      </c>
      <c r="E16786" s="1">
        <v>80.055786</v>
      </c>
      <c r="F16786" s="1">
        <v>3143.0</v>
      </c>
      <c r="G16786" s="1">
        <v>57.0</v>
      </c>
    </row>
    <row r="16787">
      <c r="A16787" s="1" t="s">
        <v>8</v>
      </c>
      <c r="B16787" s="2">
        <v>44788.0</v>
      </c>
      <c r="C16787" s="3">
        <v>0.25425925925925924</v>
      </c>
      <c r="D16787" s="1">
        <v>12.84133</v>
      </c>
      <c r="E16787" s="1">
        <v>80.056821</v>
      </c>
      <c r="F16787" s="1">
        <v>3143.0</v>
      </c>
      <c r="G16787" s="1">
        <v>55.0</v>
      </c>
    </row>
    <row r="16788">
      <c r="A16788" s="1" t="s">
        <v>8</v>
      </c>
      <c r="B16788" s="2">
        <v>44788.0</v>
      </c>
      <c r="C16788" s="3">
        <v>0.2572453703703704</v>
      </c>
      <c r="D16788" s="1">
        <v>12.865049</v>
      </c>
      <c r="E16788" s="1">
        <v>80.074538</v>
      </c>
      <c r="F16788" s="1">
        <v>3143.0</v>
      </c>
      <c r="G16788" s="1">
        <v>59.0</v>
      </c>
    </row>
    <row r="16789">
      <c r="A16789" s="1" t="s">
        <v>7</v>
      </c>
      <c r="B16789" s="2">
        <v>44788.0</v>
      </c>
      <c r="C16789" s="3">
        <v>0.2574768518518519</v>
      </c>
      <c r="D16789" s="1">
        <v>12.867679</v>
      </c>
      <c r="E16789" s="1">
        <v>80.075588</v>
      </c>
      <c r="F16789" s="1">
        <v>3143.0</v>
      </c>
      <c r="G16789" s="1">
        <v>57.0</v>
      </c>
    </row>
    <row r="16790">
      <c r="A16790" s="1" t="s">
        <v>7</v>
      </c>
      <c r="B16790" s="2">
        <v>44788.0</v>
      </c>
      <c r="C16790" s="3">
        <v>0.2575925925925926</v>
      </c>
      <c r="D16790" s="1">
        <v>12.869044</v>
      </c>
      <c r="E16790" s="1">
        <v>80.076123</v>
      </c>
      <c r="F16790" s="1">
        <v>3143.0</v>
      </c>
      <c r="G16790" s="1">
        <v>58.0</v>
      </c>
    </row>
    <row r="16791">
      <c r="A16791" s="1" t="s">
        <v>8</v>
      </c>
      <c r="B16791" s="2">
        <v>44788.0</v>
      </c>
      <c r="C16791" s="3">
        <v>0.2576041666666667</v>
      </c>
      <c r="D16791" s="1">
        <v>12.869044</v>
      </c>
      <c r="E16791" s="1">
        <v>80.076123</v>
      </c>
      <c r="F16791" s="1">
        <v>3143.0</v>
      </c>
      <c r="G16791" s="1">
        <v>58.0</v>
      </c>
    </row>
    <row r="16792">
      <c r="A16792" s="1" t="s">
        <v>7</v>
      </c>
      <c r="B16792" s="2">
        <v>44788.0</v>
      </c>
      <c r="C16792" s="3">
        <v>0.2576851851851852</v>
      </c>
      <c r="D16792" s="1">
        <v>12.87041</v>
      </c>
      <c r="E16792" s="1">
        <v>80.07663</v>
      </c>
      <c r="F16792" s="1">
        <v>3143.0</v>
      </c>
      <c r="G16792" s="1">
        <v>55.0</v>
      </c>
    </row>
    <row r="16793">
      <c r="A16793" s="1" t="s">
        <v>7</v>
      </c>
      <c r="B16793" s="2">
        <v>44788.0</v>
      </c>
      <c r="C16793" s="3">
        <v>0.25796296296296295</v>
      </c>
      <c r="D16793" s="1">
        <v>12.873145</v>
      </c>
      <c r="E16793" s="1">
        <v>80.077664</v>
      </c>
      <c r="F16793" s="1">
        <v>3143.0</v>
      </c>
      <c r="G16793" s="1">
        <v>58.0</v>
      </c>
    </row>
    <row r="16794">
      <c r="A16794" s="1" t="s">
        <v>8</v>
      </c>
      <c r="B16794" s="2">
        <v>44788.0</v>
      </c>
      <c r="C16794" s="3">
        <v>0.2581712962962963</v>
      </c>
      <c r="D16794" s="1">
        <v>12.955986</v>
      </c>
      <c r="E16794" s="1">
        <v>80.142971</v>
      </c>
      <c r="F16794" s="1">
        <v>5339.0</v>
      </c>
      <c r="G16794" s="1">
        <v>15.0</v>
      </c>
    </row>
    <row r="16795">
      <c r="A16795" s="1" t="s">
        <v>8</v>
      </c>
      <c r="B16795" s="2">
        <v>44788.0</v>
      </c>
      <c r="C16795" s="3">
        <v>0.25818287037037035</v>
      </c>
      <c r="D16795" s="1">
        <v>12.955986</v>
      </c>
      <c r="E16795" s="1">
        <v>80.142971</v>
      </c>
      <c r="F16795" s="1">
        <v>5339.0</v>
      </c>
      <c r="G16795" s="1">
        <v>15.0</v>
      </c>
    </row>
    <row r="16796">
      <c r="A16796" s="1" t="s">
        <v>7</v>
      </c>
      <c r="B16796" s="2">
        <v>44788.0</v>
      </c>
      <c r="C16796" s="3">
        <v>0.2582638888888889</v>
      </c>
      <c r="D16796" s="1">
        <v>12.877238</v>
      </c>
      <c r="E16796" s="1">
        <v>80.079251</v>
      </c>
      <c r="F16796" s="1">
        <v>3143.0</v>
      </c>
      <c r="G16796" s="1">
        <v>57.0</v>
      </c>
    </row>
    <row r="16797">
      <c r="A16797" s="1" t="s">
        <v>7</v>
      </c>
      <c r="B16797" s="2">
        <v>44788.0</v>
      </c>
      <c r="C16797" s="3">
        <v>0.25855324074074076</v>
      </c>
      <c r="D16797" s="1">
        <v>12.959222</v>
      </c>
      <c r="E16797" s="1">
        <v>80.144725</v>
      </c>
      <c r="F16797" s="1">
        <v>5339.0</v>
      </c>
      <c r="G16797" s="1">
        <v>55.0</v>
      </c>
    </row>
    <row r="16798">
      <c r="A16798" s="1" t="s">
        <v>8</v>
      </c>
      <c r="B16798" s="2">
        <v>44788.0</v>
      </c>
      <c r="C16798" s="3">
        <v>0.2591087962962963</v>
      </c>
      <c r="D16798" s="1">
        <v>12.960918</v>
      </c>
      <c r="E16798" s="1">
        <v>80.145647</v>
      </c>
      <c r="F16798" s="1">
        <v>5339.0</v>
      </c>
      <c r="G16798" s="1">
        <v>0.0</v>
      </c>
    </row>
    <row r="16799">
      <c r="A16799" s="1" t="s">
        <v>8</v>
      </c>
      <c r="B16799" s="2">
        <v>44788.0</v>
      </c>
      <c r="C16799" s="3">
        <v>0.2595138888888889</v>
      </c>
      <c r="D16799" s="1">
        <v>12.961199</v>
      </c>
      <c r="E16799" s="1">
        <v>80.145794</v>
      </c>
      <c r="F16799" s="1">
        <v>5339.0</v>
      </c>
      <c r="G16799" s="1">
        <v>22.0</v>
      </c>
    </row>
    <row r="16800">
      <c r="A16800" s="1" t="s">
        <v>8</v>
      </c>
      <c r="B16800" s="2">
        <v>44788.0</v>
      </c>
      <c r="C16800" s="3">
        <v>0.25952546296296297</v>
      </c>
      <c r="D16800" s="1">
        <v>12.963636</v>
      </c>
      <c r="E16800" s="1">
        <v>80.147124</v>
      </c>
      <c r="F16800" s="1">
        <v>5339.0</v>
      </c>
      <c r="G16800" s="1">
        <v>49.0</v>
      </c>
    </row>
    <row r="16801">
      <c r="A16801" s="1" t="s">
        <v>7</v>
      </c>
      <c r="B16801" s="2">
        <v>44788.0</v>
      </c>
      <c r="C16801" s="3">
        <v>0.26005787037037037</v>
      </c>
      <c r="D16801" s="1">
        <v>12.969495</v>
      </c>
      <c r="E16801" s="1">
        <v>80.150123</v>
      </c>
      <c r="F16801" s="1">
        <v>5339.0</v>
      </c>
      <c r="G16801" s="1">
        <v>58.0</v>
      </c>
    </row>
    <row r="16802">
      <c r="A16802" s="1" t="s">
        <v>7</v>
      </c>
      <c r="B16802" s="2">
        <v>44788.0</v>
      </c>
      <c r="C16802" s="3">
        <v>0.26057870370370373</v>
      </c>
      <c r="D16802" s="1">
        <v>12.97384</v>
      </c>
      <c r="E16802" s="1">
        <v>80.153871</v>
      </c>
      <c r="F16802" s="1">
        <v>5339.0</v>
      </c>
      <c r="G16802" s="1">
        <v>60.0</v>
      </c>
    </row>
    <row r="16803">
      <c r="A16803" s="1" t="s">
        <v>8</v>
      </c>
      <c r="B16803" s="2">
        <v>44788.0</v>
      </c>
      <c r="C16803" s="3">
        <v>0.2606712962962963</v>
      </c>
      <c r="D16803" s="1">
        <v>12.974759</v>
      </c>
      <c r="E16803" s="1">
        <v>80.155205</v>
      </c>
      <c r="F16803" s="1">
        <v>5339.0</v>
      </c>
      <c r="G16803" s="1">
        <v>64.0</v>
      </c>
    </row>
    <row r="16804">
      <c r="A16804" s="1" t="s">
        <v>7</v>
      </c>
      <c r="B16804" s="2">
        <v>44788.0</v>
      </c>
      <c r="C16804" s="3">
        <v>0.26207175925925924</v>
      </c>
      <c r="D16804" s="1">
        <v>12.9839</v>
      </c>
      <c r="E16804" s="1">
        <v>80.170751</v>
      </c>
      <c r="F16804" s="1">
        <v>5339.0</v>
      </c>
      <c r="G16804" s="1">
        <v>63.0</v>
      </c>
    </row>
    <row r="16805">
      <c r="A16805" s="1" t="s">
        <v>8</v>
      </c>
      <c r="B16805" s="2">
        <v>44788.0</v>
      </c>
      <c r="C16805" s="3">
        <v>0.2629976851851852</v>
      </c>
      <c r="D16805" s="1">
        <v>12.989968</v>
      </c>
      <c r="E16805" s="1">
        <v>80.179405</v>
      </c>
      <c r="F16805" s="1">
        <v>5339.0</v>
      </c>
      <c r="G16805" s="1">
        <v>55.0</v>
      </c>
    </row>
    <row r="16806">
      <c r="A16806" s="1" t="s">
        <v>8</v>
      </c>
      <c r="B16806" s="2">
        <v>44788.0</v>
      </c>
      <c r="C16806" s="3">
        <v>0.264375</v>
      </c>
      <c r="D16806" s="1">
        <v>12.99594</v>
      </c>
      <c r="E16806" s="1">
        <v>80.189104</v>
      </c>
      <c r="F16806" s="1">
        <v>5339.0</v>
      </c>
      <c r="G16806" s="1">
        <v>57.0</v>
      </c>
    </row>
    <row r="16807">
      <c r="A16807" s="1" t="s">
        <v>8</v>
      </c>
      <c r="B16807" s="2">
        <v>44788.0</v>
      </c>
      <c r="C16807" s="3">
        <v>0.2646527777777778</v>
      </c>
      <c r="D16807" s="1">
        <v>12.997827</v>
      </c>
      <c r="E16807" s="1">
        <v>80.191368</v>
      </c>
      <c r="F16807" s="1">
        <v>5339.0</v>
      </c>
      <c r="G16807" s="1">
        <v>56.0</v>
      </c>
    </row>
    <row r="16808">
      <c r="A16808" s="1" t="s">
        <v>8</v>
      </c>
      <c r="B16808" s="2">
        <v>44788.0</v>
      </c>
      <c r="C16808" s="3">
        <v>0.26480324074074074</v>
      </c>
      <c r="D16808" s="1">
        <v>12.997827</v>
      </c>
      <c r="E16808" s="1">
        <v>80.191368</v>
      </c>
      <c r="F16808" s="1">
        <v>5339.0</v>
      </c>
      <c r="G16808" s="1">
        <v>56.0</v>
      </c>
    </row>
    <row r="16809">
      <c r="A16809" s="1" t="s">
        <v>8</v>
      </c>
      <c r="B16809" s="2">
        <v>44788.0</v>
      </c>
      <c r="C16809" s="3">
        <v>0.26502314814814815</v>
      </c>
      <c r="D16809" s="1">
        <v>13.001038</v>
      </c>
      <c r="E16809" s="1">
        <v>80.195366</v>
      </c>
      <c r="F16809" s="1">
        <v>5339.0</v>
      </c>
      <c r="G16809" s="1">
        <v>41.0</v>
      </c>
    </row>
    <row r="16810">
      <c r="A16810" s="1" t="s">
        <v>9</v>
      </c>
      <c r="B16810" s="2">
        <v>44788.0</v>
      </c>
      <c r="C16810" s="3">
        <v>0.2654976851851852</v>
      </c>
      <c r="D16810" s="1">
        <v>13.001848</v>
      </c>
      <c r="E16810" s="1">
        <v>80.198978</v>
      </c>
      <c r="F16810" s="1">
        <v>5339.0</v>
      </c>
      <c r="G16810" s="1">
        <v>45.0</v>
      </c>
    </row>
    <row r="16811">
      <c r="A16811" s="1" t="s">
        <v>8</v>
      </c>
      <c r="B16811" s="2">
        <v>44788.0</v>
      </c>
      <c r="C16811" s="3">
        <v>0.26739583333333333</v>
      </c>
      <c r="D16811" s="1">
        <v>13.005673</v>
      </c>
      <c r="E16811" s="1">
        <v>80.201984</v>
      </c>
      <c r="F16811" s="1">
        <v>5339.0</v>
      </c>
      <c r="G16811" s="1">
        <v>52.0</v>
      </c>
    </row>
    <row r="16812">
      <c r="A16812" s="1" t="s">
        <v>8</v>
      </c>
      <c r="B16812" s="2">
        <v>44788.0</v>
      </c>
      <c r="C16812" s="3">
        <v>0.2675</v>
      </c>
      <c r="D16812" s="1">
        <v>13.006363</v>
      </c>
      <c r="E16812" s="1">
        <v>80.203034</v>
      </c>
      <c r="F16812" s="1">
        <v>5339.0</v>
      </c>
      <c r="G16812" s="1">
        <v>46.0</v>
      </c>
    </row>
    <row r="16813">
      <c r="A16813" s="1" t="s">
        <v>8</v>
      </c>
      <c r="B16813" s="2">
        <v>44788.0</v>
      </c>
      <c r="C16813" s="3">
        <v>0.2683217592592593</v>
      </c>
      <c r="D16813" s="1">
        <v>13.007896</v>
      </c>
      <c r="E16813" s="1">
        <v>80.207429</v>
      </c>
      <c r="F16813" s="1">
        <v>5339.0</v>
      </c>
      <c r="G16813" s="1">
        <v>61.0</v>
      </c>
    </row>
    <row r="16814">
      <c r="A16814" s="1" t="s">
        <v>8</v>
      </c>
      <c r="B16814" s="2">
        <v>44788.0</v>
      </c>
      <c r="C16814" s="3">
        <v>0.26850694444444445</v>
      </c>
      <c r="D16814" s="1">
        <v>13.008388</v>
      </c>
      <c r="E16814" s="1">
        <v>80.21005</v>
      </c>
      <c r="F16814" s="1">
        <v>5339.0</v>
      </c>
      <c r="G16814" s="1">
        <v>53.0</v>
      </c>
    </row>
    <row r="16815">
      <c r="A16815" s="1" t="s">
        <v>7</v>
      </c>
      <c r="B16815" s="2">
        <v>44788.0</v>
      </c>
      <c r="C16815" s="3">
        <v>0.2687962962962963</v>
      </c>
      <c r="D16815" s="1">
        <v>13.009263</v>
      </c>
      <c r="E16815" s="1">
        <v>80.21244</v>
      </c>
      <c r="F16815" s="1">
        <v>5339.0</v>
      </c>
      <c r="G16815" s="1">
        <v>52.0</v>
      </c>
    </row>
    <row r="16816">
      <c r="A16816" s="1" t="s">
        <v>8</v>
      </c>
      <c r="B16816" s="2">
        <v>44788.0</v>
      </c>
      <c r="C16816" s="3">
        <v>0.26885416666666667</v>
      </c>
      <c r="D16816" s="1">
        <v>13.009768</v>
      </c>
      <c r="E16816" s="1">
        <v>80.213714</v>
      </c>
      <c r="F16816" s="1">
        <v>5339.0</v>
      </c>
      <c r="G16816" s="1">
        <v>53.0</v>
      </c>
    </row>
    <row r="16817">
      <c r="A16817" s="1" t="s">
        <v>8</v>
      </c>
      <c r="B16817" s="2">
        <v>44788.0</v>
      </c>
      <c r="C16817" s="3">
        <v>0.2691087962962963</v>
      </c>
      <c r="D16817" s="1">
        <v>13.010388</v>
      </c>
      <c r="E16817" s="1">
        <v>80.216005</v>
      </c>
      <c r="F16817" s="1">
        <v>5339.0</v>
      </c>
      <c r="G16817" s="1">
        <v>44.0</v>
      </c>
    </row>
    <row r="16818">
      <c r="A16818" s="1" t="s">
        <v>7</v>
      </c>
      <c r="B16818" s="2">
        <v>44788.0</v>
      </c>
      <c r="C16818" s="3">
        <v>0.2694097222222222</v>
      </c>
      <c r="D16818" s="1">
        <v>13.011332</v>
      </c>
      <c r="E16818" s="1">
        <v>80.218072</v>
      </c>
      <c r="F16818" s="1">
        <v>5339.0</v>
      </c>
      <c r="G16818" s="1">
        <v>55.0</v>
      </c>
    </row>
    <row r="16819">
      <c r="A16819" s="1" t="s">
        <v>7</v>
      </c>
      <c r="B16819" s="2">
        <v>44788.0</v>
      </c>
      <c r="C16819" s="3">
        <v>0.2695023148148148</v>
      </c>
      <c r="D16819" s="1">
        <v>13.011821</v>
      </c>
      <c r="E16819" s="1">
        <v>80.219493</v>
      </c>
      <c r="F16819" s="1">
        <v>5339.0</v>
      </c>
      <c r="G16819" s="1">
        <v>57.0</v>
      </c>
    </row>
    <row r="16820">
      <c r="A16820" s="1" t="s">
        <v>7</v>
      </c>
      <c r="B16820" s="2">
        <v>44788.0</v>
      </c>
      <c r="C16820" s="3">
        <v>0.2696064814814815</v>
      </c>
      <c r="D16820" s="1">
        <v>13.011821</v>
      </c>
      <c r="E16820" s="1">
        <v>80.219493</v>
      </c>
      <c r="F16820" s="1">
        <v>5339.0</v>
      </c>
      <c r="G16820" s="1">
        <v>57.0</v>
      </c>
    </row>
    <row r="16821">
      <c r="A16821" s="1" t="s">
        <v>7</v>
      </c>
      <c r="B16821" s="2">
        <v>44788.0</v>
      </c>
      <c r="C16821" s="3">
        <v>0.2697800925925926</v>
      </c>
      <c r="D16821" s="1">
        <v>13.013826</v>
      </c>
      <c r="E16821" s="1">
        <v>80.223245</v>
      </c>
      <c r="F16821" s="1">
        <v>5339.0</v>
      </c>
      <c r="G16821" s="1">
        <v>57.0</v>
      </c>
    </row>
    <row r="16822">
      <c r="A16822" s="1" t="s">
        <v>8</v>
      </c>
      <c r="B16822" s="2">
        <v>44788.0</v>
      </c>
      <c r="C16822" s="3">
        <v>0.2707986111111111</v>
      </c>
      <c r="D16822" s="1">
        <v>13.01871</v>
      </c>
      <c r="E16822" s="1">
        <v>80.224462</v>
      </c>
      <c r="F16822" s="1">
        <v>5339.0</v>
      </c>
      <c r="G16822" s="1">
        <v>46.0</v>
      </c>
    </row>
    <row r="16823">
      <c r="A16823" s="1" t="s">
        <v>8</v>
      </c>
      <c r="B16823" s="2">
        <v>44788.0</v>
      </c>
      <c r="C16823" s="3">
        <v>0.27109953703703704</v>
      </c>
      <c r="D16823" s="1">
        <v>13.021339</v>
      </c>
      <c r="E16823" s="1">
        <v>80.225716</v>
      </c>
      <c r="F16823" s="1">
        <v>5339.0</v>
      </c>
      <c r="G16823" s="1">
        <v>43.0</v>
      </c>
    </row>
    <row r="16824">
      <c r="A16824" s="1" t="s">
        <v>8</v>
      </c>
      <c r="B16824" s="2">
        <v>44788.0</v>
      </c>
      <c r="C16824" s="3">
        <v>0.27131944444444445</v>
      </c>
      <c r="D16824" s="1">
        <v>13.023209</v>
      </c>
      <c r="E16824" s="1">
        <v>80.227226</v>
      </c>
      <c r="F16824" s="1">
        <v>5339.0</v>
      </c>
      <c r="G16824" s="1">
        <v>50.0</v>
      </c>
    </row>
    <row r="16825">
      <c r="A16825" s="1" t="s">
        <v>8</v>
      </c>
      <c r="B16825" s="2">
        <v>44788.0</v>
      </c>
      <c r="C16825" s="3">
        <v>0.2715856481481482</v>
      </c>
      <c r="D16825" s="1">
        <v>13.024796</v>
      </c>
      <c r="E16825" s="1">
        <v>80.229096</v>
      </c>
      <c r="F16825" s="1">
        <v>5339.0</v>
      </c>
      <c r="G16825" s="1">
        <v>47.0</v>
      </c>
    </row>
    <row r="16826">
      <c r="A16826" s="1" t="s">
        <v>8</v>
      </c>
      <c r="B16826" s="2">
        <v>44788.0</v>
      </c>
      <c r="C16826" s="3">
        <v>0.2716087962962963</v>
      </c>
      <c r="D16826" s="1">
        <v>13.024796</v>
      </c>
      <c r="E16826" s="1">
        <v>80.229096</v>
      </c>
      <c r="F16826" s="1">
        <v>5339.0</v>
      </c>
      <c r="G16826" s="1">
        <v>47.0</v>
      </c>
    </row>
    <row r="16827">
      <c r="A16827" s="1" t="s">
        <v>8</v>
      </c>
      <c r="B16827" s="2">
        <v>44788.0</v>
      </c>
      <c r="C16827" s="3">
        <v>0.272337962962963</v>
      </c>
      <c r="D16827" s="1">
        <v>13.027725</v>
      </c>
      <c r="E16827" s="1">
        <v>80.23493</v>
      </c>
      <c r="F16827" s="1">
        <v>5339.0</v>
      </c>
      <c r="G16827" s="1">
        <v>46.0</v>
      </c>
    </row>
    <row r="16828">
      <c r="A16828" s="1" t="s">
        <v>8</v>
      </c>
      <c r="B16828" s="2">
        <v>44788.0</v>
      </c>
      <c r="C16828" s="3">
        <v>0.27261574074074074</v>
      </c>
      <c r="D16828" s="1">
        <v>13.029424</v>
      </c>
      <c r="E16828" s="1">
        <v>80.236976</v>
      </c>
      <c r="F16828" s="1">
        <v>5339.0</v>
      </c>
      <c r="G16828" s="1">
        <v>59.0</v>
      </c>
    </row>
    <row r="16829">
      <c r="A16829" s="1" t="s">
        <v>10</v>
      </c>
      <c r="B16829" s="2">
        <v>44788.0</v>
      </c>
      <c r="C16829" s="3">
        <v>0.27445601851851853</v>
      </c>
      <c r="D16829" s="1">
        <v>13.034038</v>
      </c>
      <c r="E16829" s="1">
        <v>80.239897</v>
      </c>
      <c r="F16829" s="1">
        <v>5339.0</v>
      </c>
      <c r="G16829" s="1">
        <v>26.0</v>
      </c>
    </row>
    <row r="16830">
      <c r="A16830" s="1" t="s">
        <v>10</v>
      </c>
      <c r="B16830" s="2">
        <v>44788.0</v>
      </c>
      <c r="C16830" s="3">
        <v>0.27479166666666666</v>
      </c>
      <c r="D16830" s="1">
        <v>13.033972</v>
      </c>
      <c r="E16830" s="1">
        <v>80.241435</v>
      </c>
      <c r="F16830" s="1">
        <v>5339.0</v>
      </c>
      <c r="G16830" s="1">
        <v>29.0</v>
      </c>
    </row>
    <row r="16831">
      <c r="A16831" s="1" t="s">
        <v>7</v>
      </c>
      <c r="B16831" s="2">
        <v>44788.0</v>
      </c>
      <c r="C16831" s="3">
        <v>0.27554398148148146</v>
      </c>
      <c r="D16831" s="1">
        <v>12.892853</v>
      </c>
      <c r="E16831" s="1">
        <v>80.085964</v>
      </c>
      <c r="F16831" s="1">
        <v>3143.0</v>
      </c>
      <c r="G16831" s="1">
        <v>58.0</v>
      </c>
    </row>
    <row r="16832">
      <c r="A16832" s="1" t="s">
        <v>7</v>
      </c>
      <c r="B16832" s="2">
        <v>44788.0</v>
      </c>
      <c r="C16832" s="3">
        <v>0.27652777777777776</v>
      </c>
      <c r="D16832" s="1">
        <v>12.901951</v>
      </c>
      <c r="E16832" s="1">
        <v>80.092803</v>
      </c>
      <c r="F16832" s="1">
        <v>3143.0</v>
      </c>
      <c r="G16832" s="1">
        <v>55.0</v>
      </c>
    </row>
    <row r="16833">
      <c r="A16833" s="1" t="s">
        <v>8</v>
      </c>
      <c r="B16833" s="2">
        <v>44788.0</v>
      </c>
      <c r="C16833" s="3">
        <v>0.2778935185185185</v>
      </c>
      <c r="D16833" s="1">
        <v>12.912622</v>
      </c>
      <c r="E16833" s="1">
        <v>80.101448</v>
      </c>
      <c r="F16833" s="1">
        <v>3143.0</v>
      </c>
      <c r="G16833" s="1">
        <v>43.0</v>
      </c>
    </row>
    <row r="16834">
      <c r="A16834" s="1" t="s">
        <v>8</v>
      </c>
      <c r="B16834" s="2">
        <v>44788.0</v>
      </c>
      <c r="C16834" s="3">
        <v>0.27793981481481483</v>
      </c>
      <c r="D16834" s="1">
        <v>12.912622</v>
      </c>
      <c r="E16834" s="1">
        <v>80.101448</v>
      </c>
      <c r="F16834" s="1">
        <v>3143.0</v>
      </c>
      <c r="G16834" s="1">
        <v>43.0</v>
      </c>
    </row>
    <row r="16835">
      <c r="A16835" s="1" t="s">
        <v>7</v>
      </c>
      <c r="B16835" s="2">
        <v>44788.0</v>
      </c>
      <c r="C16835" s="3">
        <v>0.2792939814814815</v>
      </c>
      <c r="D16835" s="1">
        <v>12.918896</v>
      </c>
      <c r="E16835" s="1">
        <v>80.109601</v>
      </c>
      <c r="F16835" s="1">
        <v>3143.0</v>
      </c>
      <c r="G16835" s="1">
        <v>49.0</v>
      </c>
    </row>
    <row r="16836">
      <c r="A16836" s="1" t="s">
        <v>7</v>
      </c>
      <c r="B16836" s="2">
        <v>44788.0</v>
      </c>
      <c r="C16836" s="3">
        <v>0.2794212962962963</v>
      </c>
      <c r="D16836" s="1">
        <v>12.920145</v>
      </c>
      <c r="E16836" s="1">
        <v>80.111153</v>
      </c>
      <c r="F16836" s="1">
        <v>3143.0</v>
      </c>
      <c r="G16836" s="1">
        <v>53.0</v>
      </c>
    </row>
    <row r="16837">
      <c r="A16837" s="1" t="s">
        <v>8</v>
      </c>
      <c r="B16837" s="2">
        <v>44788.0</v>
      </c>
      <c r="C16837" s="3">
        <v>0.2858449074074074</v>
      </c>
      <c r="D16837" s="1">
        <v>13.056226</v>
      </c>
      <c r="E16837" s="1">
        <v>80.248914</v>
      </c>
      <c r="F16837" s="1">
        <v>5339.0</v>
      </c>
      <c r="G16837" s="1">
        <v>37.0</v>
      </c>
    </row>
    <row r="16838">
      <c r="A16838" s="1" t="s">
        <v>7</v>
      </c>
      <c r="B16838" s="2">
        <v>44788.0</v>
      </c>
      <c r="C16838" s="3">
        <v>0.2877314814814815</v>
      </c>
      <c r="D16838" s="1">
        <v>12.449763</v>
      </c>
      <c r="E16838" s="1">
        <v>79.839507</v>
      </c>
      <c r="F16838" s="1">
        <v>2846.0</v>
      </c>
      <c r="G16838" s="1">
        <v>55.0</v>
      </c>
    </row>
    <row r="16839">
      <c r="A16839" s="1" t="s">
        <v>10</v>
      </c>
      <c r="B16839" s="2">
        <v>44788.0</v>
      </c>
      <c r="C16839" s="3">
        <v>0.28832175925925924</v>
      </c>
      <c r="D16839" s="1">
        <v>13.064469</v>
      </c>
      <c r="E16839" s="1">
        <v>80.24783</v>
      </c>
      <c r="F16839" s="1">
        <v>5339.0</v>
      </c>
      <c r="G16839" s="1">
        <v>13.0</v>
      </c>
    </row>
    <row r="16840">
      <c r="A16840" s="1" t="s">
        <v>10</v>
      </c>
      <c r="B16840" s="2">
        <v>44788.0</v>
      </c>
      <c r="C16840" s="3">
        <v>0.2884143518518518</v>
      </c>
      <c r="D16840" s="1">
        <v>13.064361</v>
      </c>
      <c r="E16840" s="1">
        <v>80.248404</v>
      </c>
      <c r="F16840" s="1">
        <v>5339.0</v>
      </c>
      <c r="G16840" s="1">
        <v>24.0</v>
      </c>
    </row>
    <row r="16841">
      <c r="A16841" s="1" t="s">
        <v>10</v>
      </c>
      <c r="B16841" s="2">
        <v>44788.0</v>
      </c>
      <c r="C16841" s="3">
        <v>0.28846064814814815</v>
      </c>
      <c r="D16841" s="1">
        <v>13.064208</v>
      </c>
      <c r="E16841" s="1">
        <v>80.249033</v>
      </c>
      <c r="F16841" s="1">
        <v>5339.0</v>
      </c>
      <c r="G16841" s="1">
        <v>26.0</v>
      </c>
    </row>
    <row r="16842">
      <c r="A16842" s="1" t="s">
        <v>7</v>
      </c>
      <c r="B16842" s="2">
        <v>44788.0</v>
      </c>
      <c r="C16842" s="3">
        <v>0.2888541666666667</v>
      </c>
      <c r="D16842" s="1">
        <v>12.955668</v>
      </c>
      <c r="E16842" s="1">
        <v>80.153649</v>
      </c>
      <c r="F16842" s="1">
        <v>3143.0</v>
      </c>
      <c r="G16842" s="1">
        <v>49.0</v>
      </c>
    </row>
    <row r="16843">
      <c r="A16843" s="1" t="s">
        <v>7</v>
      </c>
      <c r="B16843" s="2">
        <v>44788.0</v>
      </c>
      <c r="C16843" s="3">
        <v>0.28944444444444445</v>
      </c>
      <c r="D16843" s="1">
        <v>12.46678</v>
      </c>
      <c r="E16843" s="1">
        <v>79.850656</v>
      </c>
      <c r="F16843" s="1">
        <v>2846.0</v>
      </c>
      <c r="G16843" s="1">
        <v>51.0</v>
      </c>
    </row>
    <row r="16844">
      <c r="A16844" s="1" t="s">
        <v>7</v>
      </c>
      <c r="B16844" s="2">
        <v>44788.0</v>
      </c>
      <c r="C16844" s="3">
        <v>0.29160879629629627</v>
      </c>
      <c r="D16844" s="1">
        <v>12.482316</v>
      </c>
      <c r="E16844" s="1">
        <v>79.86136</v>
      </c>
      <c r="F16844" s="1">
        <v>2846.0</v>
      </c>
      <c r="G16844" s="1">
        <v>52.0</v>
      </c>
    </row>
    <row r="16845">
      <c r="A16845" s="1" t="s">
        <v>7</v>
      </c>
      <c r="B16845" s="2">
        <v>44788.0</v>
      </c>
      <c r="C16845" s="3">
        <v>0.29172453703703705</v>
      </c>
      <c r="D16845" s="1">
        <v>12.949434</v>
      </c>
      <c r="E16845" s="1">
        <v>80.183834</v>
      </c>
      <c r="F16845" s="1">
        <v>3143.0</v>
      </c>
      <c r="G16845" s="1">
        <v>43.0</v>
      </c>
    </row>
    <row r="16846">
      <c r="A16846" s="1" t="s">
        <v>7</v>
      </c>
      <c r="B16846" s="2">
        <v>44788.0</v>
      </c>
      <c r="C16846" s="3">
        <v>0.2917592592592593</v>
      </c>
      <c r="D16846" s="1">
        <v>12.482316</v>
      </c>
      <c r="E16846" s="1">
        <v>79.86136</v>
      </c>
      <c r="F16846" s="1">
        <v>2846.0</v>
      </c>
      <c r="G16846" s="1">
        <v>52.0</v>
      </c>
    </row>
    <row r="16847">
      <c r="A16847" s="1" t="s">
        <v>7</v>
      </c>
      <c r="B16847" s="2">
        <v>44788.0</v>
      </c>
      <c r="C16847" s="3">
        <v>0.29184027777777777</v>
      </c>
      <c r="D16847" s="1">
        <v>12.949252</v>
      </c>
      <c r="E16847" s="1">
        <v>80.185568</v>
      </c>
      <c r="F16847" s="1">
        <v>3143.0</v>
      </c>
      <c r="G16847" s="1">
        <v>50.0</v>
      </c>
    </row>
    <row r="16848">
      <c r="A16848" s="1" t="s">
        <v>7</v>
      </c>
      <c r="B16848" s="2">
        <v>44788.0</v>
      </c>
      <c r="C16848" s="3">
        <v>0.2926273148148148</v>
      </c>
      <c r="D16848" s="1">
        <v>12.948617</v>
      </c>
      <c r="E16848" s="1">
        <v>80.193895</v>
      </c>
      <c r="F16848" s="1">
        <v>3143.0</v>
      </c>
      <c r="G16848" s="1">
        <v>54.0</v>
      </c>
    </row>
    <row r="16849">
      <c r="A16849" s="1" t="s">
        <v>7</v>
      </c>
      <c r="B16849" s="2">
        <v>44788.0</v>
      </c>
      <c r="C16849" s="3">
        <v>0.2927777777777778</v>
      </c>
      <c r="D16849" s="1">
        <v>12.498841</v>
      </c>
      <c r="E16849" s="1">
        <v>79.874234</v>
      </c>
      <c r="F16849" s="1">
        <v>2846.0</v>
      </c>
      <c r="G16849" s="1">
        <v>54.0</v>
      </c>
    </row>
    <row r="16850">
      <c r="A16850" s="1" t="s">
        <v>8</v>
      </c>
      <c r="B16850" s="2">
        <v>44788.0</v>
      </c>
      <c r="C16850" s="3">
        <v>0.2940277777777778</v>
      </c>
      <c r="D16850" s="1">
        <v>12.506144</v>
      </c>
      <c r="E16850" s="1">
        <v>79.880048</v>
      </c>
      <c r="F16850" s="1">
        <v>2846.0</v>
      </c>
      <c r="G16850" s="1">
        <v>46.0</v>
      </c>
    </row>
    <row r="16851">
      <c r="A16851" s="1" t="s">
        <v>8</v>
      </c>
      <c r="B16851" s="2">
        <v>44788.0</v>
      </c>
      <c r="C16851" s="3">
        <v>0.29403935185185187</v>
      </c>
      <c r="D16851" s="1">
        <v>12.508657</v>
      </c>
      <c r="E16851" s="1">
        <v>79.88195</v>
      </c>
      <c r="F16851" s="1">
        <v>2846.0</v>
      </c>
      <c r="G16851" s="1">
        <v>37.0</v>
      </c>
    </row>
    <row r="16852">
      <c r="A16852" s="1" t="s">
        <v>8</v>
      </c>
      <c r="B16852" s="2">
        <v>44788.0</v>
      </c>
      <c r="C16852" s="3">
        <v>0.29454861111111114</v>
      </c>
      <c r="D16852" s="1">
        <v>12.511535</v>
      </c>
      <c r="E16852" s="1">
        <v>79.883248</v>
      </c>
      <c r="F16852" s="1">
        <v>2846.0</v>
      </c>
      <c r="G16852" s="1">
        <v>38.0</v>
      </c>
    </row>
    <row r="16853">
      <c r="A16853" s="1" t="s">
        <v>8</v>
      </c>
      <c r="B16853" s="2">
        <v>44788.0</v>
      </c>
      <c r="C16853" s="3">
        <v>0.29488425925925926</v>
      </c>
      <c r="D16853" s="1">
        <v>12.513596</v>
      </c>
      <c r="E16853" s="1">
        <v>79.884194</v>
      </c>
      <c r="F16853" s="1">
        <v>2846.0</v>
      </c>
      <c r="G16853" s="1">
        <v>44.0</v>
      </c>
    </row>
    <row r="16854">
      <c r="A16854" s="1" t="s">
        <v>7</v>
      </c>
      <c r="B16854" s="2">
        <v>44788.0</v>
      </c>
      <c r="C16854" s="3">
        <v>0.2950347222222222</v>
      </c>
      <c r="D16854" s="1">
        <v>12.515211</v>
      </c>
      <c r="E16854" s="1">
        <v>79.886102</v>
      </c>
      <c r="F16854" s="1">
        <v>2846.0</v>
      </c>
      <c r="G16854" s="1">
        <v>59.0</v>
      </c>
    </row>
    <row r="16855">
      <c r="A16855" s="1" t="s">
        <v>7</v>
      </c>
      <c r="B16855" s="2">
        <v>44788.0</v>
      </c>
      <c r="C16855" s="3">
        <v>0.29519675925925926</v>
      </c>
      <c r="D16855" s="1">
        <v>12.515876</v>
      </c>
      <c r="E16855" s="1">
        <v>79.887518</v>
      </c>
      <c r="F16855" s="1">
        <v>2846.0</v>
      </c>
      <c r="G16855" s="1">
        <v>62.0</v>
      </c>
    </row>
    <row r="16856">
      <c r="A16856" s="1" t="s">
        <v>8</v>
      </c>
      <c r="B16856" s="2">
        <v>44788.0</v>
      </c>
      <c r="C16856" s="3">
        <v>0.29519675925925926</v>
      </c>
      <c r="D16856" s="1">
        <v>13.061972</v>
      </c>
      <c r="E16856" s="1">
        <v>80.245946</v>
      </c>
      <c r="F16856" s="1">
        <v>5339.0</v>
      </c>
      <c r="G16856" s="1">
        <v>33.0</v>
      </c>
    </row>
    <row r="16857">
      <c r="A16857" s="1" t="s">
        <v>8</v>
      </c>
      <c r="B16857" s="2">
        <v>44788.0</v>
      </c>
      <c r="C16857" s="3">
        <v>0.295462962962963</v>
      </c>
      <c r="D16857" s="1">
        <v>13.062761</v>
      </c>
      <c r="E16857" s="1">
        <v>80.244775</v>
      </c>
      <c r="F16857" s="1">
        <v>5339.0</v>
      </c>
      <c r="G16857" s="1">
        <v>33.0</v>
      </c>
    </row>
    <row r="16858">
      <c r="A16858" s="1" t="s">
        <v>8</v>
      </c>
      <c r="B16858" s="2">
        <v>44788.0</v>
      </c>
      <c r="C16858" s="3">
        <v>0.295474537037037</v>
      </c>
      <c r="D16858" s="1">
        <v>13.062761</v>
      </c>
      <c r="E16858" s="1">
        <v>80.244775</v>
      </c>
      <c r="F16858" s="1">
        <v>5339.0</v>
      </c>
      <c r="G16858" s="1">
        <v>33.0</v>
      </c>
    </row>
    <row r="16859">
      <c r="A16859" s="1" t="s">
        <v>7</v>
      </c>
      <c r="B16859" s="2">
        <v>44788.0</v>
      </c>
      <c r="C16859" s="3">
        <v>0.29591435185185183</v>
      </c>
      <c r="D16859" s="1">
        <v>12.516038</v>
      </c>
      <c r="E16859" s="1">
        <v>79.888509</v>
      </c>
      <c r="F16859" s="1">
        <v>2846.0</v>
      </c>
      <c r="G16859" s="1">
        <v>43.0</v>
      </c>
    </row>
    <row r="16860">
      <c r="A16860" s="1" t="s">
        <v>8</v>
      </c>
      <c r="B16860" s="2">
        <v>44788.0</v>
      </c>
      <c r="C16860" s="3">
        <v>0.2964467592592593</v>
      </c>
      <c r="D16860" s="1">
        <v>13.066642</v>
      </c>
      <c r="E16860" s="1">
        <v>80.245966</v>
      </c>
      <c r="F16860" s="1">
        <v>5339.0</v>
      </c>
      <c r="G16860" s="1">
        <v>33.0</v>
      </c>
    </row>
    <row r="16861">
      <c r="A16861" s="1" t="s">
        <v>8</v>
      </c>
      <c r="B16861" s="2">
        <v>44788.0</v>
      </c>
      <c r="C16861" s="3">
        <v>0.2966087962962963</v>
      </c>
      <c r="D16861" s="1">
        <v>13.0675</v>
      </c>
      <c r="E16861" s="1">
        <v>80.246354</v>
      </c>
      <c r="F16861" s="1">
        <v>5339.0</v>
      </c>
      <c r="G16861" s="1">
        <v>33.0</v>
      </c>
    </row>
    <row r="16862">
      <c r="A16862" s="1" t="s">
        <v>8</v>
      </c>
      <c r="B16862" s="2">
        <v>44788.0</v>
      </c>
      <c r="C16862" s="3">
        <v>0.29662037037037037</v>
      </c>
      <c r="D16862" s="1">
        <v>13.0675</v>
      </c>
      <c r="E16862" s="1">
        <v>80.246354</v>
      </c>
      <c r="F16862" s="1">
        <v>5339.0</v>
      </c>
      <c r="G16862" s="1">
        <v>33.0</v>
      </c>
    </row>
    <row r="16863">
      <c r="A16863" s="1" t="s">
        <v>7</v>
      </c>
      <c r="B16863" s="2">
        <v>44788.0</v>
      </c>
      <c r="C16863" s="3">
        <v>0.30069444444444443</v>
      </c>
      <c r="D16863" s="1">
        <v>12.518563</v>
      </c>
      <c r="E16863" s="1">
        <v>79.889248</v>
      </c>
      <c r="F16863" s="1">
        <v>2846.0</v>
      </c>
      <c r="G16863" s="1">
        <v>61.0</v>
      </c>
    </row>
    <row r="16864">
      <c r="A16864" s="1" t="s">
        <v>8</v>
      </c>
      <c r="B16864" s="2">
        <v>44788.0</v>
      </c>
      <c r="C16864" s="3">
        <v>0.3007986111111111</v>
      </c>
      <c r="D16864" s="1">
        <v>13.066064</v>
      </c>
      <c r="E16864" s="1">
        <v>80.243749</v>
      </c>
      <c r="F16864" s="1">
        <v>805.0</v>
      </c>
      <c r="G16864" s="1">
        <v>16.0</v>
      </c>
    </row>
    <row r="16865">
      <c r="A16865" s="1" t="s">
        <v>10</v>
      </c>
      <c r="B16865" s="2">
        <v>44788.0</v>
      </c>
      <c r="C16865" s="3">
        <v>0.30145833333333333</v>
      </c>
      <c r="D16865" s="1">
        <v>13.07165</v>
      </c>
      <c r="E16865" s="1">
        <v>80.264518</v>
      </c>
      <c r="F16865" s="1">
        <v>5339.0</v>
      </c>
      <c r="G16865" s="1">
        <v>29.0</v>
      </c>
    </row>
    <row r="16866">
      <c r="A16866" s="1" t="s">
        <v>9</v>
      </c>
      <c r="B16866" s="2">
        <v>44788.0</v>
      </c>
      <c r="C16866" s="3">
        <v>0.30332175925925925</v>
      </c>
      <c r="D16866" s="1">
        <v>13.068713</v>
      </c>
      <c r="E16866" s="1">
        <v>80.255981</v>
      </c>
      <c r="F16866" s="1">
        <v>805.0</v>
      </c>
      <c r="G16866" s="1">
        <v>30.0</v>
      </c>
    </row>
    <row r="16867">
      <c r="A16867" s="1" t="s">
        <v>8</v>
      </c>
      <c r="B16867" s="2">
        <v>44788.0</v>
      </c>
      <c r="C16867" s="3">
        <v>0.3036921296296296</v>
      </c>
      <c r="D16867" s="1">
        <v>13.068212</v>
      </c>
      <c r="E16867" s="1">
        <v>80.27017</v>
      </c>
      <c r="F16867" s="1">
        <v>5339.0</v>
      </c>
      <c r="G16867" s="1">
        <v>31.0</v>
      </c>
    </row>
    <row r="16868">
      <c r="A16868" s="1" t="s">
        <v>8</v>
      </c>
      <c r="B16868" s="2">
        <v>44788.0</v>
      </c>
      <c r="C16868" s="3">
        <v>0.3036921296296296</v>
      </c>
      <c r="D16868" s="1">
        <v>13.068212</v>
      </c>
      <c r="E16868" s="1">
        <v>80.27017</v>
      </c>
      <c r="F16868" s="1">
        <v>5339.0</v>
      </c>
      <c r="G16868" s="1">
        <v>31.0</v>
      </c>
    </row>
    <row r="16869">
      <c r="A16869" s="1" t="s">
        <v>8</v>
      </c>
      <c r="B16869" s="2">
        <v>44788.0</v>
      </c>
      <c r="C16869" s="3">
        <v>0.3037037037037037</v>
      </c>
      <c r="D16869" s="1">
        <v>13.068212</v>
      </c>
      <c r="E16869" s="1">
        <v>80.27017</v>
      </c>
      <c r="F16869" s="1">
        <v>5339.0</v>
      </c>
      <c r="G16869" s="1">
        <v>31.0</v>
      </c>
    </row>
    <row r="16870">
      <c r="A16870" s="1" t="s">
        <v>8</v>
      </c>
      <c r="B16870" s="2">
        <v>44788.0</v>
      </c>
      <c r="C16870" s="3">
        <v>0.30407407407407405</v>
      </c>
      <c r="D16870" s="1">
        <v>13.068227</v>
      </c>
      <c r="E16870" s="1">
        <v>80.272104</v>
      </c>
      <c r="F16870" s="1">
        <v>5339.0</v>
      </c>
      <c r="G16870" s="1">
        <v>27.0</v>
      </c>
    </row>
    <row r="16871">
      <c r="A16871" s="1" t="s">
        <v>10</v>
      </c>
      <c r="B16871" s="2">
        <v>44788.0</v>
      </c>
      <c r="C16871" s="3">
        <v>0.3043865740740741</v>
      </c>
      <c r="D16871" s="1">
        <v>13.06682</v>
      </c>
      <c r="E16871" s="1">
        <v>80.273748</v>
      </c>
      <c r="F16871" s="1">
        <v>5339.0</v>
      </c>
      <c r="G16871" s="1">
        <v>14.0</v>
      </c>
    </row>
    <row r="16872">
      <c r="A16872" s="1" t="s">
        <v>10</v>
      </c>
      <c r="B16872" s="2">
        <v>44788.0</v>
      </c>
      <c r="C16872" s="3">
        <v>0.3046759259259259</v>
      </c>
      <c r="D16872" s="1">
        <v>13.065634</v>
      </c>
      <c r="E16872" s="1">
        <v>80.273784</v>
      </c>
      <c r="F16872" s="1">
        <v>5339.0</v>
      </c>
      <c r="G16872" s="1">
        <v>27.0</v>
      </c>
    </row>
    <row r="16873">
      <c r="A16873" s="1" t="s">
        <v>7</v>
      </c>
      <c r="B16873" s="2">
        <v>44788.0</v>
      </c>
      <c r="C16873" s="3">
        <v>0.30541666666666667</v>
      </c>
      <c r="D16873" s="1">
        <v>13.06425</v>
      </c>
      <c r="E16873" s="1">
        <v>80.26553</v>
      </c>
      <c r="F16873" s="1">
        <v>805.0</v>
      </c>
      <c r="G16873" s="1">
        <v>56.0</v>
      </c>
    </row>
    <row r="16874">
      <c r="A16874" s="1" t="s">
        <v>7</v>
      </c>
      <c r="B16874" s="2">
        <v>44788.0</v>
      </c>
      <c r="C16874" s="3">
        <v>0.30561342592592594</v>
      </c>
      <c r="D16874" s="1">
        <v>13.066028</v>
      </c>
      <c r="E16874" s="1">
        <v>80.267814</v>
      </c>
      <c r="F16874" s="1">
        <v>805.0</v>
      </c>
      <c r="G16874" s="1">
        <v>50.0</v>
      </c>
    </row>
    <row r="16875">
      <c r="A16875" s="1" t="s">
        <v>7</v>
      </c>
      <c r="B16875" s="2">
        <v>44788.0</v>
      </c>
      <c r="C16875" s="3">
        <v>0.30570601851851853</v>
      </c>
      <c r="D16875" s="1">
        <v>13.066028</v>
      </c>
      <c r="E16875" s="1">
        <v>80.267814</v>
      </c>
      <c r="F16875" s="1">
        <v>805.0</v>
      </c>
      <c r="G16875" s="1">
        <v>50.0</v>
      </c>
    </row>
    <row r="16876">
      <c r="A16876" s="1" t="s">
        <v>8</v>
      </c>
      <c r="B16876" s="2">
        <v>44788.0</v>
      </c>
      <c r="C16876" s="3">
        <v>0.3067708333333333</v>
      </c>
      <c r="D16876" s="1">
        <v>13.066128</v>
      </c>
      <c r="E16876" s="1">
        <v>80.268182</v>
      </c>
      <c r="F16876" s="1">
        <v>805.0</v>
      </c>
      <c r="G16876" s="1">
        <v>34.0</v>
      </c>
    </row>
    <row r="16877">
      <c r="A16877" s="1" t="s">
        <v>8</v>
      </c>
      <c r="B16877" s="2">
        <v>44788.0</v>
      </c>
      <c r="C16877" s="3">
        <v>0.3067824074074074</v>
      </c>
      <c r="D16877" s="1">
        <v>13.066128</v>
      </c>
      <c r="E16877" s="1">
        <v>80.268182</v>
      </c>
      <c r="F16877" s="1">
        <v>805.0</v>
      </c>
      <c r="G16877" s="1">
        <v>34.0</v>
      </c>
    </row>
    <row r="16878">
      <c r="A16878" s="1" t="s">
        <v>10</v>
      </c>
      <c r="B16878" s="2">
        <v>44788.0</v>
      </c>
      <c r="C16878" s="3">
        <v>0.30767361111111113</v>
      </c>
      <c r="D16878" s="1">
        <v>13.05479</v>
      </c>
      <c r="E16878" s="1">
        <v>80.273742</v>
      </c>
      <c r="F16878" s="1">
        <v>5339.0</v>
      </c>
      <c r="G16878" s="1">
        <v>22.0</v>
      </c>
    </row>
    <row r="16879">
      <c r="A16879" s="1" t="s">
        <v>10</v>
      </c>
      <c r="B16879" s="2">
        <v>44788.0</v>
      </c>
      <c r="C16879" s="3">
        <v>0.30909722222222225</v>
      </c>
      <c r="D16879" s="1">
        <v>13.053134</v>
      </c>
      <c r="E16879" s="1">
        <v>80.272104</v>
      </c>
      <c r="F16879" s="1">
        <v>5339.0</v>
      </c>
      <c r="G16879" s="1">
        <v>0.0</v>
      </c>
    </row>
    <row r="16880">
      <c r="A16880" s="1" t="s">
        <v>10</v>
      </c>
      <c r="B16880" s="2">
        <v>44788.0</v>
      </c>
      <c r="C16880" s="3">
        <v>0.3092013888888889</v>
      </c>
      <c r="D16880" s="1">
        <v>13.05319</v>
      </c>
      <c r="E16880" s="1">
        <v>80.271737</v>
      </c>
      <c r="F16880" s="1">
        <v>5339.0</v>
      </c>
      <c r="G16880" s="1">
        <v>19.0</v>
      </c>
    </row>
    <row r="16881">
      <c r="A16881" s="1" t="s">
        <v>10</v>
      </c>
      <c r="B16881" s="2">
        <v>44788.0</v>
      </c>
      <c r="C16881" s="3">
        <v>0.31148148148148147</v>
      </c>
      <c r="D16881" s="1">
        <v>13.053099</v>
      </c>
      <c r="E16881" s="1">
        <v>80.263905</v>
      </c>
      <c r="F16881" s="1">
        <v>805.0</v>
      </c>
      <c r="G16881" s="1">
        <v>24.0</v>
      </c>
    </row>
    <row r="16882">
      <c r="A16882" s="1" t="s">
        <v>9</v>
      </c>
      <c r="B16882" s="2">
        <v>44788.0</v>
      </c>
      <c r="C16882" s="3">
        <v>0.3122800925925926</v>
      </c>
      <c r="D16882" s="1">
        <v>13.054357</v>
      </c>
      <c r="E16882" s="1">
        <v>80.253847</v>
      </c>
      <c r="F16882" s="1">
        <v>5339.0</v>
      </c>
      <c r="G16882" s="1">
        <v>37.0</v>
      </c>
    </row>
    <row r="16883">
      <c r="A16883" s="1" t="s">
        <v>7</v>
      </c>
      <c r="B16883" s="2">
        <v>44788.0</v>
      </c>
      <c r="C16883" s="3">
        <v>0.31288194444444445</v>
      </c>
      <c r="D16883" s="1">
        <v>12.638667</v>
      </c>
      <c r="E16883" s="1">
        <v>79.935442</v>
      </c>
      <c r="F16883" s="1">
        <v>2846.0</v>
      </c>
      <c r="G16883" s="1">
        <v>57.0</v>
      </c>
    </row>
    <row r="16884">
      <c r="A16884" s="1" t="s">
        <v>8</v>
      </c>
      <c r="B16884" s="2">
        <v>44788.0</v>
      </c>
      <c r="C16884" s="3">
        <v>0.3129398148148148</v>
      </c>
      <c r="D16884" s="1">
        <v>13.051669</v>
      </c>
      <c r="E16884" s="1">
        <v>80.250389</v>
      </c>
      <c r="F16884" s="1">
        <v>5339.0</v>
      </c>
      <c r="G16884" s="1">
        <v>24.0</v>
      </c>
    </row>
    <row r="16885">
      <c r="A16885" s="1" t="s">
        <v>8</v>
      </c>
      <c r="B16885" s="2">
        <v>44788.0</v>
      </c>
      <c r="C16885" s="3">
        <v>0.3129513888888889</v>
      </c>
      <c r="D16885" s="1">
        <v>13.051669</v>
      </c>
      <c r="E16885" s="1">
        <v>80.250389</v>
      </c>
      <c r="F16885" s="1">
        <v>5339.0</v>
      </c>
      <c r="G16885" s="1">
        <v>24.0</v>
      </c>
    </row>
    <row r="16886">
      <c r="A16886" s="1" t="s">
        <v>10</v>
      </c>
      <c r="B16886" s="2">
        <v>44788.0</v>
      </c>
      <c r="C16886" s="3">
        <v>0.31299768518518517</v>
      </c>
      <c r="D16886" s="1">
        <v>13.048473</v>
      </c>
      <c r="E16886" s="1">
        <v>80.265663</v>
      </c>
      <c r="F16886" s="1">
        <v>805.0</v>
      </c>
      <c r="G16886" s="1">
        <v>34.0</v>
      </c>
    </row>
    <row r="16887">
      <c r="A16887" s="1" t="s">
        <v>7</v>
      </c>
      <c r="B16887" s="2">
        <v>44788.0</v>
      </c>
      <c r="C16887" s="3">
        <v>0.3132986111111111</v>
      </c>
      <c r="D16887" s="1">
        <v>12.638667</v>
      </c>
      <c r="E16887" s="1">
        <v>79.935442</v>
      </c>
      <c r="F16887" s="1">
        <v>2846.0</v>
      </c>
      <c r="G16887" s="1">
        <v>57.0</v>
      </c>
    </row>
    <row r="16888">
      <c r="A16888" s="1" t="s">
        <v>7</v>
      </c>
      <c r="B16888" s="2">
        <v>44788.0</v>
      </c>
      <c r="C16888" s="3">
        <v>0.31353009259259257</v>
      </c>
      <c r="D16888" s="1">
        <v>12.646238</v>
      </c>
      <c r="E16888" s="1">
        <v>79.939962</v>
      </c>
      <c r="F16888" s="1">
        <v>2846.0</v>
      </c>
      <c r="G16888" s="1">
        <v>58.0</v>
      </c>
    </row>
    <row r="16889">
      <c r="A16889" s="1" t="s">
        <v>8</v>
      </c>
      <c r="B16889" s="2">
        <v>44788.0</v>
      </c>
      <c r="C16889" s="3">
        <v>0.3139351851851852</v>
      </c>
      <c r="D16889" s="1">
        <v>13.044322</v>
      </c>
      <c r="E16889" s="1">
        <v>80.266998</v>
      </c>
      <c r="F16889" s="1">
        <v>805.0</v>
      </c>
      <c r="G16889" s="1">
        <v>36.0</v>
      </c>
    </row>
    <row r="16890">
      <c r="A16890" s="1" t="s">
        <v>7</v>
      </c>
      <c r="B16890" s="2">
        <v>44788.0</v>
      </c>
      <c r="C16890" s="3">
        <v>0.3142476851851852</v>
      </c>
      <c r="D16890" s="1">
        <v>12.653413</v>
      </c>
      <c r="E16890" s="1">
        <v>79.940108</v>
      </c>
      <c r="F16890" s="1">
        <v>2846.0</v>
      </c>
      <c r="G16890" s="1">
        <v>58.0</v>
      </c>
    </row>
    <row r="16891">
      <c r="A16891" s="1" t="s">
        <v>7</v>
      </c>
      <c r="B16891" s="2">
        <v>44788.0</v>
      </c>
      <c r="C16891" s="3">
        <v>0.31462962962962965</v>
      </c>
      <c r="D16891" s="1">
        <v>13.040964</v>
      </c>
      <c r="E16891" s="1">
        <v>80.247321</v>
      </c>
      <c r="F16891" s="1">
        <v>5339.0</v>
      </c>
      <c r="G16891" s="1">
        <v>52.0</v>
      </c>
    </row>
    <row r="16892">
      <c r="A16892" s="1" t="s">
        <v>8</v>
      </c>
      <c r="B16892" s="2">
        <v>44788.0</v>
      </c>
      <c r="C16892" s="3">
        <v>0.3156481481481481</v>
      </c>
      <c r="D16892" s="1">
        <v>12.655957</v>
      </c>
      <c r="E16892" s="1">
        <v>79.952991</v>
      </c>
      <c r="F16892" s="1">
        <v>2846.0</v>
      </c>
      <c r="G16892" s="1">
        <v>56.0</v>
      </c>
    </row>
    <row r="16893">
      <c r="A16893" s="1" t="s">
        <v>8</v>
      </c>
      <c r="B16893" s="2">
        <v>44788.0</v>
      </c>
      <c r="C16893" s="3">
        <v>0.31677083333333333</v>
      </c>
      <c r="D16893" s="1">
        <v>13.03089</v>
      </c>
      <c r="E16893" s="1">
        <v>80.266849</v>
      </c>
      <c r="F16893" s="1">
        <v>805.0</v>
      </c>
      <c r="G16893" s="1">
        <v>29.0</v>
      </c>
    </row>
    <row r="16894">
      <c r="A16894" s="1" t="s">
        <v>8</v>
      </c>
      <c r="B16894" s="2">
        <v>44788.0</v>
      </c>
      <c r="C16894" s="3">
        <v>0.31677083333333333</v>
      </c>
      <c r="D16894" s="1">
        <v>13.03089</v>
      </c>
      <c r="E16894" s="1">
        <v>80.266849</v>
      </c>
      <c r="F16894" s="1">
        <v>805.0</v>
      </c>
      <c r="G16894" s="1">
        <v>29.0</v>
      </c>
    </row>
    <row r="16895">
      <c r="A16895" s="1" t="s">
        <v>7</v>
      </c>
      <c r="B16895" s="2">
        <v>44788.0</v>
      </c>
      <c r="C16895" s="3">
        <v>0.31710648148148146</v>
      </c>
      <c r="D16895" s="1">
        <v>12.66043</v>
      </c>
      <c r="E16895" s="1">
        <v>79.965356</v>
      </c>
      <c r="F16895" s="1">
        <v>2846.0</v>
      </c>
      <c r="G16895" s="1">
        <v>54.0</v>
      </c>
    </row>
    <row r="16896">
      <c r="A16896" s="1" t="s">
        <v>7</v>
      </c>
      <c r="B16896" s="2">
        <v>44788.0</v>
      </c>
      <c r="C16896" s="3">
        <v>0.31756944444444446</v>
      </c>
      <c r="D16896" s="1">
        <v>12.66328</v>
      </c>
      <c r="E16896" s="1">
        <v>79.967987</v>
      </c>
      <c r="F16896" s="1">
        <v>2846.0</v>
      </c>
      <c r="G16896" s="1">
        <v>50.0</v>
      </c>
    </row>
    <row r="16897">
      <c r="A16897" s="1" t="s">
        <v>8</v>
      </c>
      <c r="B16897" s="2">
        <v>44788.0</v>
      </c>
      <c r="C16897" s="3">
        <v>0.3181365740740741</v>
      </c>
      <c r="D16897" s="1">
        <v>13.030897</v>
      </c>
      <c r="E16897" s="1">
        <v>80.23953</v>
      </c>
      <c r="F16897" s="1">
        <v>5339.0</v>
      </c>
      <c r="G16897" s="1">
        <v>31.0</v>
      </c>
    </row>
    <row r="16898">
      <c r="A16898" s="1" t="s">
        <v>7</v>
      </c>
      <c r="B16898" s="2">
        <v>44788.0</v>
      </c>
      <c r="C16898" s="3">
        <v>0.3182638888888889</v>
      </c>
      <c r="D16898" s="1">
        <v>12.669138</v>
      </c>
      <c r="E16898" s="1">
        <v>79.974061</v>
      </c>
      <c r="F16898" s="1">
        <v>2846.0</v>
      </c>
      <c r="G16898" s="1">
        <v>51.0</v>
      </c>
    </row>
    <row r="16899">
      <c r="A16899" s="1" t="s">
        <v>8</v>
      </c>
      <c r="B16899" s="2">
        <v>44788.0</v>
      </c>
      <c r="C16899" s="3">
        <v>0.31935185185185183</v>
      </c>
      <c r="D16899" s="1">
        <v>13.026231</v>
      </c>
      <c r="E16899" s="1">
        <v>80.232313</v>
      </c>
      <c r="F16899" s="1">
        <v>5339.0</v>
      </c>
      <c r="G16899" s="1">
        <v>27.0</v>
      </c>
    </row>
    <row r="16900">
      <c r="A16900" s="1" t="s">
        <v>8</v>
      </c>
      <c r="B16900" s="2">
        <v>44788.0</v>
      </c>
      <c r="C16900" s="3">
        <v>0.3193634259259259</v>
      </c>
      <c r="D16900" s="1">
        <v>13.026054</v>
      </c>
      <c r="E16900" s="1">
        <v>80.231689</v>
      </c>
      <c r="F16900" s="1">
        <v>5339.0</v>
      </c>
      <c r="G16900" s="1">
        <v>26.0</v>
      </c>
    </row>
    <row r="16901">
      <c r="A16901" s="1" t="s">
        <v>8</v>
      </c>
      <c r="B16901" s="2">
        <v>44788.0</v>
      </c>
      <c r="C16901" s="3">
        <v>0.31938657407407406</v>
      </c>
      <c r="D16901" s="1">
        <v>13.026054</v>
      </c>
      <c r="E16901" s="1">
        <v>80.231689</v>
      </c>
      <c r="F16901" s="1">
        <v>5339.0</v>
      </c>
      <c r="G16901" s="1">
        <v>26.0</v>
      </c>
    </row>
    <row r="16902">
      <c r="A16902" s="1" t="s">
        <v>9</v>
      </c>
      <c r="B16902" s="2">
        <v>44788.0</v>
      </c>
      <c r="C16902" s="3">
        <v>0.31984953703703706</v>
      </c>
      <c r="D16902" s="1">
        <v>13.020066</v>
      </c>
      <c r="E16902" s="1">
        <v>80.262995</v>
      </c>
      <c r="F16902" s="1">
        <v>805.0</v>
      </c>
      <c r="G16902" s="1">
        <v>30.0</v>
      </c>
    </row>
    <row r="16903">
      <c r="A16903" s="1" t="s">
        <v>8</v>
      </c>
      <c r="B16903" s="2">
        <v>44788.0</v>
      </c>
      <c r="C16903" s="3">
        <v>0.3200925925925926</v>
      </c>
      <c r="D16903" s="1">
        <v>13.018945</v>
      </c>
      <c r="E16903" s="1">
        <v>80.262752</v>
      </c>
      <c r="F16903" s="1">
        <v>805.0</v>
      </c>
      <c r="G16903" s="1">
        <v>23.0</v>
      </c>
    </row>
    <row r="16904">
      <c r="A16904" s="1" t="s">
        <v>8</v>
      </c>
      <c r="B16904" s="2">
        <v>44788.0</v>
      </c>
      <c r="C16904" s="3">
        <v>0.3201851851851852</v>
      </c>
      <c r="D16904" s="1">
        <v>13.018945</v>
      </c>
      <c r="E16904" s="1">
        <v>80.262752</v>
      </c>
      <c r="F16904" s="1">
        <v>805.0</v>
      </c>
      <c r="G16904" s="1">
        <v>23.0</v>
      </c>
    </row>
    <row r="16905">
      <c r="A16905" s="1" t="s">
        <v>8</v>
      </c>
      <c r="B16905" s="2">
        <v>44788.0</v>
      </c>
      <c r="C16905" s="3">
        <v>0.32033564814814813</v>
      </c>
      <c r="D16905" s="1">
        <v>13.018538</v>
      </c>
      <c r="E16905" s="1">
        <v>80.261217</v>
      </c>
      <c r="F16905" s="1">
        <v>805.0</v>
      </c>
      <c r="G16905" s="1">
        <v>28.0</v>
      </c>
    </row>
    <row r="16906">
      <c r="A16906" s="1" t="s">
        <v>8</v>
      </c>
      <c r="B16906" s="2">
        <v>44788.0</v>
      </c>
      <c r="C16906" s="3">
        <v>0.3206134259259259</v>
      </c>
      <c r="D16906" s="1">
        <v>12.970801</v>
      </c>
      <c r="E16906" s="1">
        <v>80.218956</v>
      </c>
      <c r="F16906" s="1">
        <v>3143.0</v>
      </c>
      <c r="G16906" s="1">
        <v>42.0</v>
      </c>
    </row>
    <row r="16907">
      <c r="A16907" s="1" t="s">
        <v>8</v>
      </c>
      <c r="B16907" s="2">
        <v>44788.0</v>
      </c>
      <c r="C16907" s="3">
        <v>0.32079861111111113</v>
      </c>
      <c r="D16907" s="1">
        <v>13.017802</v>
      </c>
      <c r="E16907" s="1">
        <v>80.260788</v>
      </c>
      <c r="F16907" s="1">
        <v>805.0</v>
      </c>
      <c r="G16907" s="1">
        <v>0.0</v>
      </c>
    </row>
    <row r="16908">
      <c r="A16908" s="1" t="s">
        <v>8</v>
      </c>
      <c r="B16908" s="2">
        <v>44788.0</v>
      </c>
      <c r="C16908" s="3">
        <v>0.32081018518518517</v>
      </c>
      <c r="D16908" s="1">
        <v>13.017802</v>
      </c>
      <c r="E16908" s="1">
        <v>80.260788</v>
      </c>
      <c r="F16908" s="1">
        <v>805.0</v>
      </c>
      <c r="G16908" s="1">
        <v>0.0</v>
      </c>
    </row>
    <row r="16909">
      <c r="A16909" s="1" t="s">
        <v>7</v>
      </c>
      <c r="B16909" s="2">
        <v>44788.0</v>
      </c>
      <c r="C16909" s="3">
        <v>0.32086805555555553</v>
      </c>
      <c r="D16909" s="1">
        <v>13.021726</v>
      </c>
      <c r="E16909" s="1">
        <v>80.226108</v>
      </c>
      <c r="F16909" s="1">
        <v>5339.0</v>
      </c>
      <c r="G16909" s="1">
        <v>57.0</v>
      </c>
    </row>
    <row r="16910">
      <c r="A16910" s="1" t="s">
        <v>7</v>
      </c>
      <c r="B16910" s="2">
        <v>44788.0</v>
      </c>
      <c r="C16910" s="3">
        <v>0.3209375</v>
      </c>
      <c r="D16910" s="1">
        <v>13.021726</v>
      </c>
      <c r="E16910" s="1">
        <v>80.226108</v>
      </c>
      <c r="F16910" s="1">
        <v>5339.0</v>
      </c>
      <c r="G16910" s="1">
        <v>57.0</v>
      </c>
    </row>
    <row r="16911">
      <c r="A16911" s="1" t="s">
        <v>8</v>
      </c>
      <c r="B16911" s="2">
        <v>44788.0</v>
      </c>
      <c r="C16911" s="3">
        <v>0.32104166666666667</v>
      </c>
      <c r="D16911" s="1">
        <v>12.967923</v>
      </c>
      <c r="E16911" s="1">
        <v>80.217822</v>
      </c>
      <c r="F16911" s="1">
        <v>3143.0</v>
      </c>
      <c r="G16911" s="1">
        <v>35.0</v>
      </c>
    </row>
    <row r="16912">
      <c r="A16912" s="1" t="s">
        <v>8</v>
      </c>
      <c r="B16912" s="2">
        <v>44788.0</v>
      </c>
      <c r="C16912" s="3">
        <v>0.3210763888888889</v>
      </c>
      <c r="D16912" s="1">
        <v>13.020615</v>
      </c>
      <c r="E16912" s="1">
        <v>80.225298</v>
      </c>
      <c r="F16912" s="1">
        <v>5339.0</v>
      </c>
      <c r="G16912" s="1">
        <v>51.0</v>
      </c>
    </row>
    <row r="16913">
      <c r="A16913" s="1" t="s">
        <v>8</v>
      </c>
      <c r="B16913" s="2">
        <v>44788.0</v>
      </c>
      <c r="C16913" s="3">
        <v>0.32114583333333335</v>
      </c>
      <c r="D16913" s="1">
        <v>12.96694</v>
      </c>
      <c r="E16913" s="1">
        <v>80.217461</v>
      </c>
      <c r="F16913" s="1">
        <v>3143.0</v>
      </c>
      <c r="G16913" s="1">
        <v>47.0</v>
      </c>
    </row>
    <row r="16914">
      <c r="A16914" s="1" t="s">
        <v>8</v>
      </c>
      <c r="B16914" s="2">
        <v>44788.0</v>
      </c>
      <c r="C16914" s="3">
        <v>0.3211689814814815</v>
      </c>
      <c r="D16914" s="1">
        <v>13.019718</v>
      </c>
      <c r="E16914" s="1">
        <v>80.224643</v>
      </c>
      <c r="F16914" s="1">
        <v>5339.0</v>
      </c>
      <c r="G16914" s="1">
        <v>39.0</v>
      </c>
    </row>
    <row r="16915">
      <c r="A16915" s="1" t="s">
        <v>9</v>
      </c>
      <c r="B16915" s="2">
        <v>44788.0</v>
      </c>
      <c r="C16915" s="3">
        <v>0.3212962962962963</v>
      </c>
      <c r="D16915" s="1">
        <v>13.015218</v>
      </c>
      <c r="E16915" s="1">
        <v>80.259379</v>
      </c>
      <c r="F16915" s="1">
        <v>805.0</v>
      </c>
      <c r="G16915" s="1">
        <v>46.0</v>
      </c>
    </row>
    <row r="16916">
      <c r="A16916" s="1" t="s">
        <v>8</v>
      </c>
      <c r="B16916" s="2">
        <v>44788.0</v>
      </c>
      <c r="C16916" s="3">
        <v>0.3213773148148148</v>
      </c>
      <c r="D16916" s="1">
        <v>12.964752</v>
      </c>
      <c r="E16916" s="1">
        <v>80.216539</v>
      </c>
      <c r="F16916" s="1">
        <v>3143.0</v>
      </c>
      <c r="G16916" s="1">
        <v>48.0</v>
      </c>
    </row>
    <row r="16917">
      <c r="A16917" s="1" t="s">
        <v>7</v>
      </c>
      <c r="B16917" s="2">
        <v>44788.0</v>
      </c>
      <c r="C16917" s="3">
        <v>0.3215277777777778</v>
      </c>
      <c r="D16917" s="1">
        <v>13.01247</v>
      </c>
      <c r="E16917" s="1">
        <v>80.259251</v>
      </c>
      <c r="F16917" s="1">
        <v>805.0</v>
      </c>
      <c r="G16917" s="1">
        <v>56.0</v>
      </c>
    </row>
    <row r="16918">
      <c r="A16918" s="1" t="s">
        <v>8</v>
      </c>
      <c r="B16918" s="2">
        <v>44788.0</v>
      </c>
      <c r="C16918" s="3">
        <v>0.3216435185185185</v>
      </c>
      <c r="D16918" s="1">
        <v>13.01565</v>
      </c>
      <c r="E16918" s="1">
        <v>80.225744</v>
      </c>
      <c r="F16918" s="1">
        <v>5339.0</v>
      </c>
      <c r="G16918" s="1">
        <v>30.0</v>
      </c>
    </row>
    <row r="16919">
      <c r="A16919" s="1" t="s">
        <v>10</v>
      </c>
      <c r="B16919" s="2">
        <v>44788.0</v>
      </c>
      <c r="C16919" s="3">
        <v>0.32212962962962965</v>
      </c>
      <c r="D16919" s="1">
        <v>13.007525</v>
      </c>
      <c r="E16919" s="1">
        <v>80.259441</v>
      </c>
      <c r="F16919" s="1">
        <v>805.0</v>
      </c>
      <c r="G16919" s="1">
        <v>13.0</v>
      </c>
    </row>
    <row r="16920">
      <c r="A16920" s="1" t="s">
        <v>8</v>
      </c>
      <c r="B16920" s="2">
        <v>44788.0</v>
      </c>
      <c r="C16920" s="3">
        <v>0.32221064814814815</v>
      </c>
      <c r="D16920" s="1">
        <v>13.010903</v>
      </c>
      <c r="E16920" s="1">
        <v>80.227578</v>
      </c>
      <c r="F16920" s="1">
        <v>5339.0</v>
      </c>
      <c r="G16920" s="1">
        <v>47.0</v>
      </c>
    </row>
    <row r="16921">
      <c r="A16921" s="1" t="s">
        <v>8</v>
      </c>
      <c r="B16921" s="2">
        <v>44788.0</v>
      </c>
      <c r="C16921" s="3">
        <v>0.3224537037037037</v>
      </c>
      <c r="D16921" s="1">
        <v>13.007232</v>
      </c>
      <c r="E16921" s="1">
        <v>80.258862</v>
      </c>
      <c r="F16921" s="1">
        <v>805.0</v>
      </c>
      <c r="G16921" s="1">
        <v>4.0</v>
      </c>
    </row>
    <row r="16922">
      <c r="A16922" s="1" t="s">
        <v>8</v>
      </c>
      <c r="B16922" s="2">
        <v>44788.0</v>
      </c>
      <c r="C16922" s="3">
        <v>0.3224652777777778</v>
      </c>
      <c r="D16922" s="1">
        <v>13.007232</v>
      </c>
      <c r="E16922" s="1">
        <v>80.258862</v>
      </c>
      <c r="F16922" s="1">
        <v>805.0</v>
      </c>
      <c r="G16922" s="1">
        <v>4.0</v>
      </c>
    </row>
    <row r="16923">
      <c r="A16923" s="1" t="s">
        <v>10</v>
      </c>
      <c r="B16923" s="2">
        <v>44788.0</v>
      </c>
      <c r="C16923" s="3">
        <v>0.32284722222222223</v>
      </c>
      <c r="D16923" s="1">
        <v>12.963865</v>
      </c>
      <c r="E16923" s="1">
        <v>80.214462</v>
      </c>
      <c r="F16923" s="1">
        <v>3143.0</v>
      </c>
      <c r="G16923" s="1">
        <v>37.0</v>
      </c>
    </row>
    <row r="16924">
      <c r="A16924" s="1" t="s">
        <v>8</v>
      </c>
      <c r="B16924" s="2">
        <v>44788.0</v>
      </c>
      <c r="C16924" s="3">
        <v>0.32337962962962963</v>
      </c>
      <c r="D16924" s="1">
        <v>13.012044</v>
      </c>
      <c r="E16924" s="1">
        <v>80.22086</v>
      </c>
      <c r="F16924" s="1">
        <v>5339.0</v>
      </c>
      <c r="G16924" s="1">
        <v>29.0</v>
      </c>
    </row>
    <row r="16925">
      <c r="A16925" s="1" t="s">
        <v>8</v>
      </c>
      <c r="B16925" s="2">
        <v>44788.0</v>
      </c>
      <c r="C16925" s="3">
        <v>0.3234837962962963</v>
      </c>
      <c r="D16925" s="1">
        <v>13.011812</v>
      </c>
      <c r="E16925" s="1">
        <v>80.219978</v>
      </c>
      <c r="F16925" s="1">
        <v>5339.0</v>
      </c>
      <c r="G16925" s="1">
        <v>39.0</v>
      </c>
    </row>
    <row r="16926">
      <c r="A16926" s="1" t="s">
        <v>7</v>
      </c>
      <c r="B16926" s="2">
        <v>44788.0</v>
      </c>
      <c r="C16926" s="3">
        <v>0.32355324074074077</v>
      </c>
      <c r="D16926" s="1">
        <v>13.006486</v>
      </c>
      <c r="E16926" s="1">
        <v>80.255192</v>
      </c>
      <c r="F16926" s="1">
        <v>805.0</v>
      </c>
      <c r="G16926" s="1">
        <v>50.0</v>
      </c>
    </row>
    <row r="16927">
      <c r="A16927" s="1" t="s">
        <v>8</v>
      </c>
      <c r="B16927" s="2">
        <v>44788.0</v>
      </c>
      <c r="C16927" s="3">
        <v>0.32362268518518517</v>
      </c>
      <c r="D16927" s="1">
        <v>13.011509</v>
      </c>
      <c r="E16927" s="1">
        <v>80.21898</v>
      </c>
      <c r="F16927" s="1">
        <v>5339.0</v>
      </c>
      <c r="G16927" s="1">
        <v>39.0</v>
      </c>
    </row>
    <row r="16928">
      <c r="A16928" s="1" t="s">
        <v>10</v>
      </c>
      <c r="B16928" s="2">
        <v>44788.0</v>
      </c>
      <c r="C16928" s="3">
        <v>0.32516203703703705</v>
      </c>
      <c r="D16928" s="1">
        <v>13.006652</v>
      </c>
      <c r="E16928" s="1">
        <v>80.247442</v>
      </c>
      <c r="F16928" s="1">
        <v>805.0</v>
      </c>
      <c r="G16928" s="1">
        <v>14.0</v>
      </c>
    </row>
    <row r="16929">
      <c r="A16929" s="1" t="s">
        <v>10</v>
      </c>
      <c r="B16929" s="2">
        <v>44788.0</v>
      </c>
      <c r="C16929" s="3">
        <v>0.3253240740740741</v>
      </c>
      <c r="D16929" s="1">
        <v>12.68271</v>
      </c>
      <c r="E16929" s="1">
        <v>79.982511</v>
      </c>
      <c r="F16929" s="1">
        <v>2846.0</v>
      </c>
      <c r="G16929" s="1">
        <v>13.0</v>
      </c>
    </row>
    <row r="16930">
      <c r="A16930" s="1" t="s">
        <v>8</v>
      </c>
      <c r="B16930" s="2">
        <v>44788.0</v>
      </c>
      <c r="C16930" s="3">
        <v>0.32680555555555557</v>
      </c>
      <c r="D16930" s="1">
        <v>13.007064</v>
      </c>
      <c r="E16930" s="1">
        <v>80.238784</v>
      </c>
      <c r="F16930" s="1">
        <v>805.0</v>
      </c>
      <c r="G16930" s="1">
        <v>37.0</v>
      </c>
    </row>
    <row r="16931">
      <c r="A16931" s="1" t="s">
        <v>8</v>
      </c>
      <c r="B16931" s="2">
        <v>44788.0</v>
      </c>
      <c r="C16931" s="3">
        <v>0.3269675925925926</v>
      </c>
      <c r="D16931" s="1">
        <v>13.007064</v>
      </c>
      <c r="E16931" s="1">
        <v>80.238784</v>
      </c>
      <c r="F16931" s="1">
        <v>805.0</v>
      </c>
      <c r="G16931" s="1">
        <v>37.0</v>
      </c>
    </row>
    <row r="16932">
      <c r="A16932" s="1" t="s">
        <v>9</v>
      </c>
      <c r="B16932" s="2">
        <v>44788.0</v>
      </c>
      <c r="C16932" s="3">
        <v>0.32762731481481483</v>
      </c>
      <c r="D16932" s="1">
        <v>12.965566</v>
      </c>
      <c r="E16932" s="1">
        <v>80.190655</v>
      </c>
      <c r="F16932" s="1">
        <v>3143.0</v>
      </c>
      <c r="G16932" s="1">
        <v>39.0</v>
      </c>
    </row>
    <row r="16933">
      <c r="A16933" s="1" t="s">
        <v>10</v>
      </c>
      <c r="B16933" s="2">
        <v>44788.0</v>
      </c>
      <c r="C16933" s="3">
        <v>0.32829861111111114</v>
      </c>
      <c r="D16933" s="1">
        <v>12.965316</v>
      </c>
      <c r="E16933" s="1">
        <v>80.188372</v>
      </c>
      <c r="F16933" s="1">
        <v>3143.0</v>
      </c>
      <c r="G16933" s="1">
        <v>22.0</v>
      </c>
    </row>
    <row r="16934">
      <c r="A16934" s="1" t="s">
        <v>8</v>
      </c>
      <c r="B16934" s="2">
        <v>44788.0</v>
      </c>
      <c r="C16934" s="3">
        <v>0.3283333333333333</v>
      </c>
      <c r="D16934" s="1">
        <v>13.009924</v>
      </c>
      <c r="E16934" s="1">
        <v>80.22656</v>
      </c>
      <c r="F16934" s="1">
        <v>805.0</v>
      </c>
      <c r="G16934" s="1">
        <v>46.0</v>
      </c>
    </row>
    <row r="16935">
      <c r="A16935" s="1" t="s">
        <v>8</v>
      </c>
      <c r="B16935" s="2">
        <v>44788.0</v>
      </c>
      <c r="C16935" s="3">
        <v>0.3284490740740741</v>
      </c>
      <c r="D16935" s="1">
        <v>13.009924</v>
      </c>
      <c r="E16935" s="1">
        <v>80.22656</v>
      </c>
      <c r="F16935" s="1">
        <v>805.0</v>
      </c>
      <c r="G16935" s="1">
        <v>46.0</v>
      </c>
    </row>
    <row r="16936">
      <c r="A16936" s="1" t="s">
        <v>8</v>
      </c>
      <c r="B16936" s="2">
        <v>44788.0</v>
      </c>
      <c r="C16936" s="3">
        <v>0.32861111111111113</v>
      </c>
      <c r="D16936" s="1">
        <v>13.010719</v>
      </c>
      <c r="E16936" s="1">
        <v>80.224853</v>
      </c>
      <c r="F16936" s="1">
        <v>805.0</v>
      </c>
      <c r="G16936" s="1">
        <v>43.0</v>
      </c>
    </row>
    <row r="16937">
      <c r="A16937" s="1" t="s">
        <v>8</v>
      </c>
      <c r="B16937" s="2">
        <v>44788.0</v>
      </c>
      <c r="C16937" s="3">
        <v>0.32872685185185185</v>
      </c>
      <c r="D16937" s="1">
        <v>13.011374</v>
      </c>
      <c r="E16937" s="1">
        <v>80.223248</v>
      </c>
      <c r="F16937" s="1">
        <v>805.0</v>
      </c>
      <c r="G16937" s="1">
        <v>35.0</v>
      </c>
    </row>
    <row r="16938">
      <c r="A16938" s="1" t="s">
        <v>8</v>
      </c>
      <c r="B16938" s="2">
        <v>44788.0</v>
      </c>
      <c r="C16938" s="3">
        <v>0.32881944444444444</v>
      </c>
      <c r="D16938" s="1">
        <v>13.011374</v>
      </c>
      <c r="E16938" s="1">
        <v>80.223248</v>
      </c>
      <c r="F16938" s="1">
        <v>805.0</v>
      </c>
      <c r="G16938" s="1">
        <v>35.0</v>
      </c>
    </row>
    <row r="16939">
      <c r="A16939" s="1" t="s">
        <v>8</v>
      </c>
      <c r="B16939" s="2">
        <v>44788.0</v>
      </c>
      <c r="C16939" s="3">
        <v>0.3292939814814815</v>
      </c>
      <c r="D16939" s="1">
        <v>13.011679</v>
      </c>
      <c r="E16939" s="1">
        <v>80.219486</v>
      </c>
      <c r="F16939" s="1">
        <v>805.0</v>
      </c>
      <c r="G16939" s="1">
        <v>38.0</v>
      </c>
    </row>
    <row r="16940">
      <c r="A16940" s="1" t="s">
        <v>8</v>
      </c>
      <c r="B16940" s="2">
        <v>44788.0</v>
      </c>
      <c r="C16940" s="3">
        <v>0.3295138888888889</v>
      </c>
      <c r="D16940" s="1">
        <v>12.686303</v>
      </c>
      <c r="E16940" s="1">
        <v>79.983403</v>
      </c>
      <c r="F16940" s="1">
        <v>2846.0</v>
      </c>
      <c r="G16940" s="1">
        <v>11.0</v>
      </c>
    </row>
    <row r="16941">
      <c r="A16941" s="1" t="s">
        <v>8</v>
      </c>
      <c r="B16941" s="2">
        <v>44788.0</v>
      </c>
      <c r="C16941" s="3">
        <v>0.329537037037037</v>
      </c>
      <c r="D16941" s="1">
        <v>13.011212</v>
      </c>
      <c r="E16941" s="1">
        <v>80.218039</v>
      </c>
      <c r="F16941" s="1">
        <v>805.0</v>
      </c>
      <c r="G16941" s="1">
        <v>31.0</v>
      </c>
    </row>
    <row r="16942">
      <c r="A16942" s="1" t="s">
        <v>8</v>
      </c>
      <c r="B16942" s="2">
        <v>44788.0</v>
      </c>
      <c r="C16942" s="3">
        <v>0.32969907407407406</v>
      </c>
      <c r="D16942" s="1">
        <v>13.010703</v>
      </c>
      <c r="E16942" s="1">
        <v>80.21676</v>
      </c>
      <c r="F16942" s="1">
        <v>805.0</v>
      </c>
      <c r="G16942" s="1">
        <v>34.0</v>
      </c>
    </row>
    <row r="16943">
      <c r="A16943" s="1" t="s">
        <v>8</v>
      </c>
      <c r="B16943" s="2">
        <v>44788.0</v>
      </c>
      <c r="C16943" s="3">
        <v>0.33042824074074073</v>
      </c>
      <c r="D16943" s="1">
        <v>13.008287</v>
      </c>
      <c r="E16943" s="1">
        <v>80.209909</v>
      </c>
      <c r="F16943" s="1">
        <v>805.0</v>
      </c>
      <c r="G16943" s="1">
        <v>45.0</v>
      </c>
    </row>
    <row r="16944">
      <c r="A16944" s="1" t="s">
        <v>7</v>
      </c>
      <c r="B16944" s="2">
        <v>44788.0</v>
      </c>
      <c r="C16944" s="3">
        <v>0.3305324074074074</v>
      </c>
      <c r="D16944" s="1">
        <v>13.007984</v>
      </c>
      <c r="E16944" s="1">
        <v>80.208474</v>
      </c>
      <c r="F16944" s="1">
        <v>805.0</v>
      </c>
      <c r="G16944" s="1">
        <v>56.0</v>
      </c>
    </row>
    <row r="16945">
      <c r="A16945" s="1" t="s">
        <v>9</v>
      </c>
      <c r="B16945" s="2">
        <v>44788.0</v>
      </c>
      <c r="C16945" s="3">
        <v>0.33060185185185187</v>
      </c>
      <c r="D16945" s="1">
        <v>13.007984</v>
      </c>
      <c r="E16945" s="1">
        <v>80.208474</v>
      </c>
      <c r="F16945" s="1">
        <v>805.0</v>
      </c>
      <c r="G16945" s="1">
        <v>56.0</v>
      </c>
    </row>
    <row r="16946">
      <c r="A16946" s="1" t="s">
        <v>7</v>
      </c>
      <c r="B16946" s="2">
        <v>44788.0</v>
      </c>
      <c r="C16946" s="3">
        <v>0.3308101851851852</v>
      </c>
      <c r="D16946" s="1">
        <v>13.007456</v>
      </c>
      <c r="E16946" s="1">
        <v>80.205659</v>
      </c>
      <c r="F16946" s="1">
        <v>805.0</v>
      </c>
      <c r="G16946" s="1">
        <v>44.0</v>
      </c>
    </row>
    <row r="16947">
      <c r="A16947" s="1" t="s">
        <v>10</v>
      </c>
      <c r="B16947" s="2">
        <v>44788.0</v>
      </c>
      <c r="C16947" s="3">
        <v>0.3310763888888889</v>
      </c>
      <c r="D16947" s="1">
        <v>12.955925</v>
      </c>
      <c r="E16947" s="1">
        <v>80.187013</v>
      </c>
      <c r="F16947" s="1">
        <v>3143.0</v>
      </c>
      <c r="G16947" s="1">
        <v>6.0</v>
      </c>
    </row>
    <row r="16948">
      <c r="A16948" s="1" t="s">
        <v>8</v>
      </c>
      <c r="B16948" s="2">
        <v>44788.0</v>
      </c>
      <c r="C16948" s="3">
        <v>0.33141203703703703</v>
      </c>
      <c r="D16948" s="1">
        <v>12.954147</v>
      </c>
      <c r="E16948" s="1">
        <v>80.186749</v>
      </c>
      <c r="F16948" s="1">
        <v>3143.0</v>
      </c>
      <c r="G16948" s="1">
        <v>39.0</v>
      </c>
    </row>
    <row r="16949">
      <c r="A16949" s="1" t="s">
        <v>8</v>
      </c>
      <c r="B16949" s="2">
        <v>44788.0</v>
      </c>
      <c r="C16949" s="3">
        <v>0.3322453703703704</v>
      </c>
      <c r="D16949" s="1">
        <v>13.001686</v>
      </c>
      <c r="E16949" s="1">
        <v>80.19642</v>
      </c>
      <c r="F16949" s="1">
        <v>805.0</v>
      </c>
      <c r="G16949" s="1">
        <v>43.0</v>
      </c>
    </row>
    <row r="16950">
      <c r="A16950" s="1" t="s">
        <v>8</v>
      </c>
      <c r="B16950" s="2">
        <v>44788.0</v>
      </c>
      <c r="C16950" s="3">
        <v>0.3323726851851852</v>
      </c>
      <c r="D16950" s="1">
        <v>13.001686</v>
      </c>
      <c r="E16950" s="1">
        <v>80.19642</v>
      </c>
      <c r="F16950" s="1">
        <v>805.0</v>
      </c>
      <c r="G16950" s="1">
        <v>43.0</v>
      </c>
    </row>
    <row r="16951">
      <c r="A16951" s="1" t="s">
        <v>7</v>
      </c>
      <c r="B16951" s="2">
        <v>44788.0</v>
      </c>
      <c r="C16951" s="3">
        <v>0.3326851851851852</v>
      </c>
      <c r="D16951" s="1">
        <v>12.998831</v>
      </c>
      <c r="E16951" s="1">
        <v>80.192735</v>
      </c>
      <c r="F16951" s="1">
        <v>805.0</v>
      </c>
      <c r="G16951" s="1">
        <v>58.0</v>
      </c>
    </row>
    <row r="16952">
      <c r="A16952" s="1" t="s">
        <v>7</v>
      </c>
      <c r="B16952" s="2">
        <v>44788.0</v>
      </c>
      <c r="C16952" s="3">
        <v>0.3328935185185185</v>
      </c>
      <c r="D16952" s="1">
        <v>12.996986</v>
      </c>
      <c r="E16952" s="1">
        <v>80.190421</v>
      </c>
      <c r="F16952" s="1">
        <v>805.0</v>
      </c>
      <c r="G16952" s="1">
        <v>58.0</v>
      </c>
    </row>
    <row r="16953">
      <c r="A16953" s="1" t="s">
        <v>8</v>
      </c>
      <c r="B16953" s="2">
        <v>44788.0</v>
      </c>
      <c r="C16953" s="3">
        <v>0.33350694444444445</v>
      </c>
      <c r="D16953" s="1">
        <v>12.995145</v>
      </c>
      <c r="E16953" s="1">
        <v>80.187873</v>
      </c>
      <c r="F16953" s="1">
        <v>805.0</v>
      </c>
      <c r="G16953" s="1">
        <v>36.0</v>
      </c>
    </row>
    <row r="16954">
      <c r="A16954" s="1" t="s">
        <v>8</v>
      </c>
      <c r="B16954" s="2">
        <v>44788.0</v>
      </c>
      <c r="C16954" s="3">
        <v>0.3337847222222222</v>
      </c>
      <c r="D16954" s="1">
        <v>12.944927</v>
      </c>
      <c r="E16954" s="1">
        <v>80.183127</v>
      </c>
      <c r="F16954" s="1">
        <v>3143.0</v>
      </c>
      <c r="G16954" s="1">
        <v>27.0</v>
      </c>
    </row>
    <row r="16955">
      <c r="A16955" s="1" t="s">
        <v>8</v>
      </c>
      <c r="B16955" s="2">
        <v>44788.0</v>
      </c>
      <c r="C16955" s="3">
        <v>0.33390046296296294</v>
      </c>
      <c r="D16955" s="1">
        <v>12.993987</v>
      </c>
      <c r="E16955" s="1">
        <v>80.18561</v>
      </c>
      <c r="F16955" s="1">
        <v>805.0</v>
      </c>
      <c r="G16955" s="1">
        <v>25.0</v>
      </c>
    </row>
    <row r="16956">
      <c r="A16956" s="1" t="s">
        <v>8</v>
      </c>
      <c r="B16956" s="2">
        <v>44788.0</v>
      </c>
      <c r="C16956" s="3">
        <v>0.3340162037037037</v>
      </c>
      <c r="D16956" s="1">
        <v>12.993195</v>
      </c>
      <c r="E16956" s="1">
        <v>80.184134</v>
      </c>
      <c r="F16956" s="1">
        <v>805.0</v>
      </c>
      <c r="G16956" s="1">
        <v>47.0</v>
      </c>
    </row>
    <row r="16957">
      <c r="A16957" s="1" t="s">
        <v>8</v>
      </c>
      <c r="B16957" s="2">
        <v>44788.0</v>
      </c>
      <c r="C16957" s="3">
        <v>0.33405092592592595</v>
      </c>
      <c r="D16957" s="1">
        <v>12.943752</v>
      </c>
      <c r="E16957" s="1">
        <v>80.183024</v>
      </c>
      <c r="F16957" s="1">
        <v>3143.0</v>
      </c>
      <c r="G16957" s="1">
        <v>22.0</v>
      </c>
    </row>
    <row r="16958">
      <c r="A16958" s="1" t="s">
        <v>8</v>
      </c>
      <c r="B16958" s="2">
        <v>44788.0</v>
      </c>
      <c r="C16958" s="3">
        <v>0.3341898148148148</v>
      </c>
      <c r="D16958" s="1">
        <v>12.992342</v>
      </c>
      <c r="E16958" s="1">
        <v>80.182628</v>
      </c>
      <c r="F16958" s="1">
        <v>805.0</v>
      </c>
      <c r="G16958" s="1">
        <v>46.0</v>
      </c>
    </row>
    <row r="16959">
      <c r="A16959" s="1" t="s">
        <v>7</v>
      </c>
      <c r="B16959" s="2">
        <v>44788.0</v>
      </c>
      <c r="C16959" s="3">
        <v>0.3343287037037037</v>
      </c>
      <c r="D16959" s="1">
        <v>12.991188</v>
      </c>
      <c r="E16959" s="1">
        <v>80.181098</v>
      </c>
      <c r="F16959" s="1">
        <v>805.0</v>
      </c>
      <c r="G16959" s="1">
        <v>48.0</v>
      </c>
    </row>
    <row r="16960">
      <c r="A16960" s="1" t="s">
        <v>8</v>
      </c>
      <c r="B16960" s="2">
        <v>44788.0</v>
      </c>
      <c r="C16960" s="3">
        <v>0.3352662037037037</v>
      </c>
      <c r="D16960" s="1">
        <v>12.938519</v>
      </c>
      <c r="E16960" s="1">
        <v>80.182398</v>
      </c>
      <c r="F16960" s="1">
        <v>3143.0</v>
      </c>
      <c r="G16960" s="1">
        <v>29.0</v>
      </c>
    </row>
    <row r="16961">
      <c r="A16961" s="1" t="s">
        <v>8</v>
      </c>
      <c r="B16961" s="2">
        <v>44788.0</v>
      </c>
      <c r="C16961" s="3">
        <v>0.3353009259259259</v>
      </c>
      <c r="D16961" s="1">
        <v>12.938519</v>
      </c>
      <c r="E16961" s="1">
        <v>80.182398</v>
      </c>
      <c r="F16961" s="1">
        <v>3143.0</v>
      </c>
      <c r="G16961" s="1">
        <v>29.0</v>
      </c>
    </row>
    <row r="16962">
      <c r="A16962" s="1" t="s">
        <v>8</v>
      </c>
      <c r="B16962" s="2">
        <v>44788.0</v>
      </c>
      <c r="C16962" s="3">
        <v>0.3353009259259259</v>
      </c>
      <c r="D16962" s="1">
        <v>12.938519</v>
      </c>
      <c r="E16962" s="1">
        <v>80.182398</v>
      </c>
      <c r="F16962" s="1">
        <v>3143.0</v>
      </c>
      <c r="G16962" s="1">
        <v>29.0</v>
      </c>
    </row>
    <row r="16963">
      <c r="A16963" s="1" t="s">
        <v>8</v>
      </c>
      <c r="B16963" s="2">
        <v>44788.0</v>
      </c>
      <c r="C16963" s="3">
        <v>0.3354050925925926</v>
      </c>
      <c r="D16963" s="1">
        <v>12.989382</v>
      </c>
      <c r="E16963" s="1">
        <v>80.178949</v>
      </c>
      <c r="F16963" s="1">
        <v>805.0</v>
      </c>
      <c r="G16963" s="1">
        <v>31.0</v>
      </c>
    </row>
    <row r="16964">
      <c r="A16964" s="1" t="s">
        <v>8</v>
      </c>
      <c r="B16964" s="2">
        <v>44788.0</v>
      </c>
      <c r="C16964" s="3">
        <v>0.33543981481481483</v>
      </c>
      <c r="D16964" s="1">
        <v>12.988411</v>
      </c>
      <c r="E16964" s="1">
        <v>80.177666</v>
      </c>
      <c r="F16964" s="1">
        <v>805.0</v>
      </c>
      <c r="G16964" s="1">
        <v>40.0</v>
      </c>
    </row>
    <row r="16965">
      <c r="A16965" s="1" t="s">
        <v>8</v>
      </c>
      <c r="B16965" s="2">
        <v>44788.0</v>
      </c>
      <c r="C16965" s="3">
        <v>0.33586805555555554</v>
      </c>
      <c r="D16965" s="1">
        <v>12.986729</v>
      </c>
      <c r="E16965" s="1">
        <v>80.175447</v>
      </c>
      <c r="F16965" s="1">
        <v>805.0</v>
      </c>
      <c r="G16965" s="1">
        <v>18.0</v>
      </c>
    </row>
    <row r="16966">
      <c r="A16966" s="1" t="s">
        <v>8</v>
      </c>
      <c r="B16966" s="2">
        <v>44788.0</v>
      </c>
      <c r="C16966" s="3">
        <v>0.3361458333333333</v>
      </c>
      <c r="D16966" s="1">
        <v>12.986172</v>
      </c>
      <c r="E16966" s="1">
        <v>80.17451</v>
      </c>
      <c r="F16966" s="1">
        <v>805.0</v>
      </c>
      <c r="G16966" s="1">
        <v>30.0</v>
      </c>
    </row>
    <row r="16967">
      <c r="A16967" s="1" t="s">
        <v>8</v>
      </c>
      <c r="B16967" s="2">
        <v>44788.0</v>
      </c>
      <c r="C16967" s="3">
        <v>0.3362731481481481</v>
      </c>
      <c r="D16967" s="1">
        <v>12.985337</v>
      </c>
      <c r="E16967" s="1">
        <v>80.17329</v>
      </c>
      <c r="F16967" s="1">
        <v>805.0</v>
      </c>
      <c r="G16967" s="1">
        <v>40.0</v>
      </c>
    </row>
    <row r="16968">
      <c r="A16968" s="1" t="s">
        <v>8</v>
      </c>
      <c r="B16968" s="2">
        <v>44788.0</v>
      </c>
      <c r="C16968" s="3">
        <v>0.33645833333333336</v>
      </c>
      <c r="D16968" s="1">
        <v>12.984478</v>
      </c>
      <c r="E16968" s="1">
        <v>80.171899</v>
      </c>
      <c r="F16968" s="1">
        <v>805.0</v>
      </c>
      <c r="G16968" s="1">
        <v>36.0</v>
      </c>
    </row>
    <row r="16969">
      <c r="A16969" s="1" t="s">
        <v>8</v>
      </c>
      <c r="B16969" s="2">
        <v>44788.0</v>
      </c>
      <c r="C16969" s="3">
        <v>0.33649305555555553</v>
      </c>
      <c r="D16969" s="1">
        <v>12.984478</v>
      </c>
      <c r="E16969" s="1">
        <v>80.171899</v>
      </c>
      <c r="F16969" s="1">
        <v>805.0</v>
      </c>
      <c r="G16969" s="1">
        <v>36.0</v>
      </c>
    </row>
    <row r="16970">
      <c r="A16970" s="1" t="s">
        <v>8</v>
      </c>
      <c r="B16970" s="2">
        <v>44788.0</v>
      </c>
      <c r="C16970" s="3">
        <v>0.3365856481481482</v>
      </c>
      <c r="D16970" s="1">
        <v>12.983707</v>
      </c>
      <c r="E16970" s="1">
        <v>80.170604</v>
      </c>
      <c r="F16970" s="1">
        <v>805.0</v>
      </c>
      <c r="G16970" s="1">
        <v>41.0</v>
      </c>
    </row>
    <row r="16971">
      <c r="A16971" s="1" t="s">
        <v>8</v>
      </c>
      <c r="B16971" s="2">
        <v>44788.0</v>
      </c>
      <c r="C16971" s="3">
        <v>0.33666666666666667</v>
      </c>
      <c r="D16971" s="1">
        <v>12.983707</v>
      </c>
      <c r="E16971" s="1">
        <v>80.170604</v>
      </c>
      <c r="F16971" s="1">
        <v>805.0</v>
      </c>
      <c r="G16971" s="1">
        <v>41.0</v>
      </c>
    </row>
    <row r="16972">
      <c r="A16972" s="1" t="s">
        <v>8</v>
      </c>
      <c r="B16972" s="2">
        <v>44788.0</v>
      </c>
      <c r="C16972" s="3">
        <v>0.33708333333333335</v>
      </c>
      <c r="D16972" s="1">
        <v>12.980838</v>
      </c>
      <c r="E16972" s="1">
        <v>80.165774</v>
      </c>
      <c r="F16972" s="1">
        <v>805.0</v>
      </c>
      <c r="G16972" s="1">
        <v>51.0</v>
      </c>
    </row>
    <row r="16973">
      <c r="A16973" s="1" t="s">
        <v>8</v>
      </c>
      <c r="B16973" s="2">
        <v>44788.0</v>
      </c>
      <c r="C16973" s="3">
        <v>0.3375</v>
      </c>
      <c r="D16973" s="1">
        <v>12.928593</v>
      </c>
      <c r="E16973" s="1">
        <v>80.182052</v>
      </c>
      <c r="F16973" s="1">
        <v>3143.0</v>
      </c>
      <c r="G16973" s="1">
        <v>21.0</v>
      </c>
    </row>
    <row r="16974">
      <c r="A16974" s="1" t="s">
        <v>8</v>
      </c>
      <c r="B16974" s="2">
        <v>44788.0</v>
      </c>
      <c r="C16974" s="3">
        <v>0.33765046296296297</v>
      </c>
      <c r="D16974" s="1">
        <v>12.928593</v>
      </c>
      <c r="E16974" s="1">
        <v>80.182052</v>
      </c>
      <c r="F16974" s="1">
        <v>3143.0</v>
      </c>
      <c r="G16974" s="1">
        <v>21.0</v>
      </c>
    </row>
    <row r="16975">
      <c r="A16975" s="1" t="s">
        <v>7</v>
      </c>
      <c r="B16975" s="2">
        <v>44788.0</v>
      </c>
      <c r="C16975" s="3">
        <v>0.33793981481481483</v>
      </c>
      <c r="D16975" s="1">
        <v>12.979718</v>
      </c>
      <c r="E16975" s="1">
        <v>80.162571</v>
      </c>
      <c r="F16975" s="1">
        <v>805.0</v>
      </c>
      <c r="G16975" s="1">
        <v>33.0</v>
      </c>
    </row>
    <row r="16976">
      <c r="A16976" s="1" t="s">
        <v>7</v>
      </c>
      <c r="B16976" s="2">
        <v>44788.0</v>
      </c>
      <c r="C16976" s="3">
        <v>0.3384375</v>
      </c>
      <c r="D16976" s="1">
        <v>12.977032</v>
      </c>
      <c r="E16976" s="1">
        <v>80.158703</v>
      </c>
      <c r="F16976" s="1">
        <v>805.0</v>
      </c>
      <c r="G16976" s="1">
        <v>57.0</v>
      </c>
    </row>
    <row r="16977">
      <c r="A16977" s="1" t="s">
        <v>8</v>
      </c>
      <c r="B16977" s="2">
        <v>44788.0</v>
      </c>
      <c r="C16977" s="3">
        <v>0.33858796296296295</v>
      </c>
      <c r="D16977" s="1">
        <v>12.974507</v>
      </c>
      <c r="E16977" s="1">
        <v>80.154955</v>
      </c>
      <c r="F16977" s="1">
        <v>805.0</v>
      </c>
      <c r="G16977" s="1">
        <v>52.0</v>
      </c>
    </row>
    <row r="16978">
      <c r="A16978" s="1" t="s">
        <v>8</v>
      </c>
      <c r="B16978" s="2">
        <v>44788.0</v>
      </c>
      <c r="C16978" s="3">
        <v>0.33899305555555553</v>
      </c>
      <c r="D16978" s="1">
        <v>12.972464</v>
      </c>
      <c r="E16978" s="1">
        <v>80.151918</v>
      </c>
      <c r="F16978" s="1">
        <v>805.0</v>
      </c>
      <c r="G16978" s="1">
        <v>45.0</v>
      </c>
    </row>
    <row r="16979">
      <c r="A16979" s="1" t="s">
        <v>8</v>
      </c>
      <c r="B16979" s="2">
        <v>44788.0</v>
      </c>
      <c r="C16979" s="3">
        <v>0.339375</v>
      </c>
      <c r="D16979" s="1">
        <v>12.970198</v>
      </c>
      <c r="E16979" s="1">
        <v>80.15051</v>
      </c>
      <c r="F16979" s="1">
        <v>805.0</v>
      </c>
      <c r="G16979" s="1">
        <v>0.0</v>
      </c>
    </row>
    <row r="16980">
      <c r="A16980" s="1" t="s">
        <v>8</v>
      </c>
      <c r="B16980" s="2">
        <v>44788.0</v>
      </c>
      <c r="C16980" s="3">
        <v>0.3395023148148148</v>
      </c>
      <c r="D16980" s="1">
        <v>12.969587</v>
      </c>
      <c r="E16980" s="1">
        <v>80.150235</v>
      </c>
      <c r="F16980" s="1">
        <v>805.0</v>
      </c>
      <c r="G16980" s="1">
        <v>30.0</v>
      </c>
    </row>
    <row r="16981">
      <c r="A16981" s="1" t="s">
        <v>8</v>
      </c>
      <c r="B16981" s="2">
        <v>44788.0</v>
      </c>
      <c r="C16981" s="3">
        <v>0.3395949074074074</v>
      </c>
      <c r="D16981" s="1">
        <v>12.969587</v>
      </c>
      <c r="E16981" s="1">
        <v>80.150235</v>
      </c>
      <c r="F16981" s="1">
        <v>805.0</v>
      </c>
      <c r="G16981" s="1">
        <v>30.0</v>
      </c>
    </row>
    <row r="16982">
      <c r="A16982" s="1" t="s">
        <v>8</v>
      </c>
      <c r="B16982" s="2">
        <v>44788.0</v>
      </c>
      <c r="C16982" s="3">
        <v>0.3398726851851852</v>
      </c>
      <c r="D16982" s="1">
        <v>12.920067</v>
      </c>
      <c r="E16982" s="1">
        <v>80.183455</v>
      </c>
      <c r="F16982" s="1">
        <v>3143.0</v>
      </c>
      <c r="G16982" s="1">
        <v>17.0</v>
      </c>
    </row>
    <row r="16983">
      <c r="A16983" s="1" t="s">
        <v>10</v>
      </c>
      <c r="B16983" s="2">
        <v>44788.0</v>
      </c>
      <c r="C16983" s="3">
        <v>0.34047453703703706</v>
      </c>
      <c r="D16983" s="1">
        <v>12.919107</v>
      </c>
      <c r="E16983" s="1">
        <v>80.179388</v>
      </c>
      <c r="F16983" s="1">
        <v>3143.0</v>
      </c>
      <c r="G16983" s="1">
        <v>31.0</v>
      </c>
    </row>
    <row r="16984">
      <c r="A16984" s="1" t="s">
        <v>7</v>
      </c>
      <c r="B16984" s="2">
        <v>44788.0</v>
      </c>
      <c r="C16984" s="3">
        <v>0.34087962962962964</v>
      </c>
      <c r="D16984" s="1">
        <v>12.964982</v>
      </c>
      <c r="E16984" s="1">
        <v>80.148036</v>
      </c>
      <c r="F16984" s="1">
        <v>805.0</v>
      </c>
      <c r="G16984" s="1">
        <v>43.0</v>
      </c>
    </row>
    <row r="16985">
      <c r="A16985" s="1" t="s">
        <v>7</v>
      </c>
      <c r="B16985" s="2">
        <v>44788.0</v>
      </c>
      <c r="C16985" s="3">
        <v>0.34096064814814814</v>
      </c>
      <c r="D16985" s="1">
        <v>12.918556</v>
      </c>
      <c r="E16985" s="1">
        <v>80.175823</v>
      </c>
      <c r="F16985" s="1">
        <v>3143.0</v>
      </c>
      <c r="G16985" s="1">
        <v>33.0</v>
      </c>
    </row>
    <row r="16986">
      <c r="A16986" s="1" t="s">
        <v>8</v>
      </c>
      <c r="B16986" s="2">
        <v>44788.0</v>
      </c>
      <c r="C16986" s="3">
        <v>0.3415740740740741</v>
      </c>
      <c r="D16986" s="1">
        <v>12.961313</v>
      </c>
      <c r="E16986" s="1">
        <v>80.145972</v>
      </c>
      <c r="F16986" s="1">
        <v>805.0</v>
      </c>
      <c r="G16986" s="1">
        <v>13.0</v>
      </c>
    </row>
    <row r="16987">
      <c r="A16987" s="1" t="s">
        <v>8</v>
      </c>
      <c r="B16987" s="2">
        <v>44788.0</v>
      </c>
      <c r="C16987" s="3">
        <v>0.3418287037037037</v>
      </c>
      <c r="D16987" s="1">
        <v>12.960312</v>
      </c>
      <c r="E16987" s="1">
        <v>80.145447</v>
      </c>
      <c r="F16987" s="1">
        <v>805.0</v>
      </c>
      <c r="G16987" s="1">
        <v>38.0</v>
      </c>
    </row>
    <row r="16988">
      <c r="A16988" s="1" t="s">
        <v>9</v>
      </c>
      <c r="B16988" s="2">
        <v>44788.0</v>
      </c>
      <c r="C16988" s="3">
        <v>0.3418865740740741</v>
      </c>
      <c r="D16988" s="1">
        <v>12.92081</v>
      </c>
      <c r="E16988" s="1">
        <v>80.167925</v>
      </c>
      <c r="F16988" s="1">
        <v>3143.0</v>
      </c>
      <c r="G16988" s="1">
        <v>2.0</v>
      </c>
    </row>
    <row r="16989">
      <c r="A16989" s="1" t="s">
        <v>8</v>
      </c>
      <c r="B16989" s="2">
        <v>44788.0</v>
      </c>
      <c r="C16989" s="3">
        <v>0.3424652777777778</v>
      </c>
      <c r="D16989" s="1">
        <v>12.955169</v>
      </c>
      <c r="E16989" s="1">
        <v>80.142787</v>
      </c>
      <c r="F16989" s="1">
        <v>805.0</v>
      </c>
      <c r="G16989" s="1">
        <v>36.0</v>
      </c>
    </row>
    <row r="16990">
      <c r="A16990" s="1" t="s">
        <v>8</v>
      </c>
      <c r="B16990" s="2">
        <v>44788.0</v>
      </c>
      <c r="C16990" s="3">
        <v>0.3434837962962963</v>
      </c>
      <c r="D16990" s="1">
        <v>12.951007</v>
      </c>
      <c r="E16990" s="1">
        <v>80.140073</v>
      </c>
      <c r="F16990" s="1">
        <v>805.0</v>
      </c>
      <c r="G16990" s="1">
        <v>0.0</v>
      </c>
    </row>
    <row r="16991">
      <c r="A16991" s="1" t="s">
        <v>8</v>
      </c>
      <c r="B16991" s="2">
        <v>44788.0</v>
      </c>
      <c r="C16991" s="3">
        <v>0.3436689814814815</v>
      </c>
      <c r="D16991" s="1">
        <v>12.950784</v>
      </c>
      <c r="E16991" s="1">
        <v>80.139927</v>
      </c>
      <c r="F16991" s="1">
        <v>805.0</v>
      </c>
      <c r="G16991" s="1">
        <v>18.0</v>
      </c>
    </row>
    <row r="16992">
      <c r="A16992" s="1" t="s">
        <v>8</v>
      </c>
      <c r="B16992" s="2">
        <v>44788.0</v>
      </c>
      <c r="C16992" s="3">
        <v>0.34377314814814813</v>
      </c>
      <c r="D16992" s="1">
        <v>12.949675</v>
      </c>
      <c r="E16992" s="1">
        <v>80.139056</v>
      </c>
      <c r="F16992" s="1">
        <v>805.0</v>
      </c>
      <c r="G16992" s="1">
        <v>44.0</v>
      </c>
    </row>
    <row r="16993">
      <c r="A16993" s="1" t="s">
        <v>8</v>
      </c>
      <c r="B16993" s="2">
        <v>44788.0</v>
      </c>
      <c r="C16993" s="3">
        <v>0.34422453703703704</v>
      </c>
      <c r="D16993" s="1">
        <v>12.947328</v>
      </c>
      <c r="E16993" s="1">
        <v>80.137241</v>
      </c>
      <c r="F16993" s="1">
        <v>805.0</v>
      </c>
      <c r="G16993" s="1">
        <v>0.0</v>
      </c>
    </row>
    <row r="16994">
      <c r="A16994" s="1" t="s">
        <v>7</v>
      </c>
      <c r="B16994" s="2">
        <v>44788.0</v>
      </c>
      <c r="C16994" s="3">
        <v>0.34434027777777776</v>
      </c>
      <c r="D16994" s="1">
        <v>12.947116</v>
      </c>
      <c r="E16994" s="1">
        <v>80.137072</v>
      </c>
      <c r="F16994" s="1">
        <v>805.0</v>
      </c>
      <c r="G16994" s="1">
        <v>19.0</v>
      </c>
    </row>
    <row r="16995">
      <c r="A16995" s="1" t="s">
        <v>8</v>
      </c>
      <c r="B16995" s="2">
        <v>44788.0</v>
      </c>
      <c r="C16995" s="3">
        <v>0.34475694444444444</v>
      </c>
      <c r="D16995" s="1">
        <v>12.944125</v>
      </c>
      <c r="E16995" s="1">
        <v>80.134724</v>
      </c>
      <c r="F16995" s="1">
        <v>805.0</v>
      </c>
      <c r="G16995" s="1">
        <v>47.0</v>
      </c>
    </row>
    <row r="16996">
      <c r="A16996" s="1" t="s">
        <v>8</v>
      </c>
      <c r="B16996" s="2">
        <v>44788.0</v>
      </c>
      <c r="C16996" s="3">
        <v>0.34478009259259257</v>
      </c>
      <c r="D16996" s="1">
        <v>12.922509</v>
      </c>
      <c r="E16996" s="1">
        <v>80.14752</v>
      </c>
      <c r="F16996" s="1">
        <v>3143.0</v>
      </c>
      <c r="G16996" s="1">
        <v>18.0</v>
      </c>
    </row>
    <row r="16997">
      <c r="A16997" s="1" t="s">
        <v>8</v>
      </c>
      <c r="B16997" s="2">
        <v>44788.0</v>
      </c>
      <c r="C16997" s="3">
        <v>0.34502314814814816</v>
      </c>
      <c r="D16997" s="1">
        <v>12.941634</v>
      </c>
      <c r="E16997" s="1">
        <v>80.132335</v>
      </c>
      <c r="F16997" s="1">
        <v>805.0</v>
      </c>
      <c r="G16997" s="1">
        <v>41.0</v>
      </c>
    </row>
    <row r="16998">
      <c r="A16998" s="1" t="s">
        <v>8</v>
      </c>
      <c r="B16998" s="2">
        <v>44788.0</v>
      </c>
      <c r="C16998" s="3">
        <v>0.3450578703703704</v>
      </c>
      <c r="D16998" s="1">
        <v>12.941634</v>
      </c>
      <c r="E16998" s="1">
        <v>80.132335</v>
      </c>
      <c r="F16998" s="1">
        <v>805.0</v>
      </c>
      <c r="G16998" s="1">
        <v>41.0</v>
      </c>
    </row>
    <row r="16999">
      <c r="A16999" s="1" t="s">
        <v>8</v>
      </c>
      <c r="B16999" s="2">
        <v>44788.0</v>
      </c>
      <c r="C16999" s="3">
        <v>0.3452546296296296</v>
      </c>
      <c r="D16999" s="1">
        <v>12.940479</v>
      </c>
      <c r="E16999" s="1">
        <v>80.131124</v>
      </c>
      <c r="F16999" s="1">
        <v>805.0</v>
      </c>
      <c r="G16999" s="1">
        <v>45.0</v>
      </c>
    </row>
    <row r="17000">
      <c r="A17000" s="1" t="s">
        <v>8</v>
      </c>
      <c r="B17000" s="2">
        <v>44788.0</v>
      </c>
      <c r="C17000" s="3">
        <v>0.34574074074074074</v>
      </c>
      <c r="D17000" s="1">
        <v>12.937569</v>
      </c>
      <c r="E17000" s="1">
        <v>80.12846</v>
      </c>
      <c r="F17000" s="1">
        <v>805.0</v>
      </c>
      <c r="G17000" s="1">
        <v>16.0</v>
      </c>
    </row>
    <row r="17001">
      <c r="A17001" s="1" t="s">
        <v>8</v>
      </c>
      <c r="B17001" s="2">
        <v>44788.0</v>
      </c>
      <c r="C17001" s="3">
        <v>0.3459375</v>
      </c>
      <c r="D17001" s="1">
        <v>12.936959</v>
      </c>
      <c r="E17001" s="1">
        <v>80.127908</v>
      </c>
      <c r="F17001" s="1">
        <v>805.0</v>
      </c>
      <c r="G17001" s="1">
        <v>32.0</v>
      </c>
    </row>
    <row r="17002">
      <c r="A17002" s="1" t="s">
        <v>8</v>
      </c>
      <c r="B17002" s="2">
        <v>44788.0</v>
      </c>
      <c r="C17002" s="3">
        <v>0.3459837962962963</v>
      </c>
      <c r="D17002" s="1">
        <v>12.936959</v>
      </c>
      <c r="E17002" s="1">
        <v>80.127908</v>
      </c>
      <c r="F17002" s="1">
        <v>805.0</v>
      </c>
      <c r="G17002" s="1">
        <v>32.0</v>
      </c>
    </row>
    <row r="17003">
      <c r="A17003" s="1" t="s">
        <v>8</v>
      </c>
      <c r="B17003" s="2">
        <v>44788.0</v>
      </c>
      <c r="C17003" s="3">
        <v>0.34599537037037037</v>
      </c>
      <c r="D17003" s="1">
        <v>12.936959</v>
      </c>
      <c r="E17003" s="1">
        <v>80.127908</v>
      </c>
      <c r="F17003" s="1">
        <v>805.0</v>
      </c>
      <c r="G17003" s="1">
        <v>32.0</v>
      </c>
    </row>
    <row r="17004">
      <c r="A17004" s="1" t="s">
        <v>8</v>
      </c>
      <c r="B17004" s="2">
        <v>44788.0</v>
      </c>
      <c r="C17004" s="3">
        <v>0.3460416666666667</v>
      </c>
      <c r="D17004" s="1">
        <v>12.922417</v>
      </c>
      <c r="E17004" s="1">
        <v>80.142304</v>
      </c>
      <c r="F17004" s="1">
        <v>3143.0</v>
      </c>
      <c r="G17004" s="1">
        <v>6.0</v>
      </c>
    </row>
    <row r="17005">
      <c r="A17005" s="1" t="s">
        <v>8</v>
      </c>
      <c r="B17005" s="2">
        <v>44788.0</v>
      </c>
      <c r="C17005" s="3">
        <v>0.34631944444444446</v>
      </c>
      <c r="D17005" s="1">
        <v>12.934426</v>
      </c>
      <c r="E17005" s="1">
        <v>80.12566</v>
      </c>
      <c r="F17005" s="1">
        <v>805.0</v>
      </c>
      <c r="G17005" s="1">
        <v>44.0</v>
      </c>
    </row>
    <row r="17006">
      <c r="A17006" s="1" t="s">
        <v>8</v>
      </c>
      <c r="B17006" s="2">
        <v>44788.0</v>
      </c>
      <c r="C17006" s="3">
        <v>0.34673611111111113</v>
      </c>
      <c r="D17006" s="1">
        <v>12.93201</v>
      </c>
      <c r="E17006" s="1">
        <v>80.123338</v>
      </c>
      <c r="F17006" s="1">
        <v>805.0</v>
      </c>
      <c r="G17006" s="1">
        <v>31.0</v>
      </c>
    </row>
    <row r="17007">
      <c r="A17007" s="1" t="s">
        <v>8</v>
      </c>
      <c r="B17007" s="2">
        <v>44788.0</v>
      </c>
      <c r="C17007" s="3">
        <v>0.34783564814814816</v>
      </c>
      <c r="D17007" s="1">
        <v>12.926821</v>
      </c>
      <c r="E17007" s="1">
        <v>80.118077</v>
      </c>
      <c r="F17007" s="1">
        <v>805.0</v>
      </c>
      <c r="G17007" s="1">
        <v>10.0</v>
      </c>
    </row>
    <row r="17008">
      <c r="A17008" s="1" t="s">
        <v>8</v>
      </c>
      <c r="B17008" s="2">
        <v>44788.0</v>
      </c>
      <c r="C17008" s="3">
        <v>0.34857638888888887</v>
      </c>
      <c r="D17008" s="1">
        <v>12.923422</v>
      </c>
      <c r="E17008" s="1">
        <v>80.114629</v>
      </c>
      <c r="F17008" s="1">
        <v>805.0</v>
      </c>
      <c r="G17008" s="1">
        <v>15.0</v>
      </c>
    </row>
    <row r="17009">
      <c r="A17009" s="1" t="s">
        <v>8</v>
      </c>
      <c r="B17009" s="2">
        <v>44788.0</v>
      </c>
      <c r="C17009" s="3">
        <v>0.34901620370370373</v>
      </c>
      <c r="D17009" s="1">
        <v>12.922294</v>
      </c>
      <c r="E17009" s="1">
        <v>80.113494</v>
      </c>
      <c r="F17009" s="1">
        <v>805.0</v>
      </c>
      <c r="G17009" s="1">
        <v>41.0</v>
      </c>
    </row>
    <row r="17010">
      <c r="A17010" s="1" t="s">
        <v>8</v>
      </c>
      <c r="B17010" s="2">
        <v>44788.0</v>
      </c>
      <c r="C17010" s="3">
        <v>0.34930555555555554</v>
      </c>
      <c r="D17010" s="1">
        <v>12.92118</v>
      </c>
      <c r="E17010" s="1">
        <v>80.11235</v>
      </c>
      <c r="F17010" s="1">
        <v>805.0</v>
      </c>
      <c r="G17010" s="1">
        <v>38.0</v>
      </c>
    </row>
    <row r="17011">
      <c r="A17011" s="1" t="s">
        <v>8</v>
      </c>
      <c r="B17011" s="2">
        <v>44788.0</v>
      </c>
      <c r="C17011" s="3">
        <v>0.34934027777777776</v>
      </c>
      <c r="D17011" s="1">
        <v>12.919866</v>
      </c>
      <c r="E17011" s="1">
        <v>80.110959</v>
      </c>
      <c r="F17011" s="1">
        <v>805.0</v>
      </c>
      <c r="G17011" s="1">
        <v>54.0</v>
      </c>
    </row>
    <row r="17012">
      <c r="A17012" s="1" t="s">
        <v>8</v>
      </c>
      <c r="B17012" s="2">
        <v>44788.0</v>
      </c>
      <c r="C17012" s="3">
        <v>0.34956018518518517</v>
      </c>
      <c r="D17012" s="1">
        <v>12.92289</v>
      </c>
      <c r="E17012" s="1">
        <v>80.127152</v>
      </c>
      <c r="F17012" s="1">
        <v>3143.0</v>
      </c>
      <c r="G17012" s="1">
        <v>23.0</v>
      </c>
    </row>
    <row r="17013">
      <c r="A17013" s="1" t="s">
        <v>8</v>
      </c>
      <c r="B17013" s="2">
        <v>44788.0</v>
      </c>
      <c r="C17013" s="3">
        <v>0.3497337962962963</v>
      </c>
      <c r="D17013" s="1">
        <v>12.922961</v>
      </c>
      <c r="E17013" s="1">
        <v>80.126029</v>
      </c>
      <c r="F17013" s="1">
        <v>3143.0</v>
      </c>
      <c r="G17013" s="1">
        <v>18.0</v>
      </c>
    </row>
    <row r="17014">
      <c r="A17014" s="1" t="s">
        <v>7</v>
      </c>
      <c r="B17014" s="2">
        <v>44788.0</v>
      </c>
      <c r="C17014" s="3">
        <v>0.34997685185185184</v>
      </c>
      <c r="D17014" s="1">
        <v>12.916722</v>
      </c>
      <c r="E17014" s="1">
        <v>80.106824</v>
      </c>
      <c r="F17014" s="1">
        <v>805.0</v>
      </c>
      <c r="G17014" s="1">
        <v>12.0</v>
      </c>
    </row>
    <row r="17015">
      <c r="A17015" s="1" t="s">
        <v>8</v>
      </c>
      <c r="B17015" s="2">
        <v>44788.0</v>
      </c>
      <c r="C17015" s="3">
        <v>0.3502777777777778</v>
      </c>
      <c r="D17015" s="1">
        <v>12.923216</v>
      </c>
      <c r="E17015" s="1">
        <v>80.121251</v>
      </c>
      <c r="F17015" s="1">
        <v>3143.0</v>
      </c>
      <c r="G17015" s="1">
        <v>42.0</v>
      </c>
    </row>
    <row r="17016">
      <c r="A17016" s="1" t="s">
        <v>8</v>
      </c>
      <c r="B17016" s="2">
        <v>44788.0</v>
      </c>
      <c r="C17016" s="3">
        <v>0.3503703703703704</v>
      </c>
      <c r="D17016" s="1">
        <v>12.916332</v>
      </c>
      <c r="E17016" s="1">
        <v>80.106072</v>
      </c>
      <c r="F17016" s="1">
        <v>805.0</v>
      </c>
      <c r="G17016" s="1">
        <v>33.0</v>
      </c>
    </row>
    <row r="17017">
      <c r="A17017" s="1" t="s">
        <v>8</v>
      </c>
      <c r="B17017" s="2">
        <v>44788.0</v>
      </c>
      <c r="C17017" s="3">
        <v>0.3507175925925926</v>
      </c>
      <c r="D17017" s="1">
        <v>12.914216</v>
      </c>
      <c r="E17017" s="1">
        <v>80.102342</v>
      </c>
      <c r="F17017" s="1">
        <v>805.0</v>
      </c>
      <c r="G17017" s="1">
        <v>57.0</v>
      </c>
    </row>
    <row r="17018">
      <c r="A17018" s="1" t="s">
        <v>7</v>
      </c>
      <c r="B17018" s="2">
        <v>44788.0</v>
      </c>
      <c r="C17018" s="3">
        <v>0.3512962962962963</v>
      </c>
      <c r="D17018" s="1">
        <v>12.923185</v>
      </c>
      <c r="E17018" s="1">
        <v>80.114551</v>
      </c>
      <c r="F17018" s="1">
        <v>3143.0</v>
      </c>
      <c r="G17018" s="1">
        <v>40.0</v>
      </c>
    </row>
    <row r="17019">
      <c r="A17019" s="1" t="s">
        <v>7</v>
      </c>
      <c r="B17019" s="2">
        <v>44788.0</v>
      </c>
      <c r="C17019" s="3">
        <v>0.3514699074074074</v>
      </c>
      <c r="D17019" s="1">
        <v>12.922079</v>
      </c>
      <c r="E17019" s="1">
        <v>80.113448</v>
      </c>
      <c r="F17019" s="1">
        <v>3143.0</v>
      </c>
      <c r="G17019" s="1">
        <v>33.0</v>
      </c>
    </row>
    <row r="17020">
      <c r="A17020" s="1" t="s">
        <v>8</v>
      </c>
      <c r="B17020" s="2">
        <v>44788.0</v>
      </c>
      <c r="C17020" s="3">
        <v>0.35149305555555554</v>
      </c>
      <c r="D17020" s="1">
        <v>12.909081</v>
      </c>
      <c r="E17020" s="1">
        <v>80.09889</v>
      </c>
      <c r="F17020" s="1">
        <v>805.0</v>
      </c>
      <c r="G17020" s="1">
        <v>0.0</v>
      </c>
    </row>
    <row r="17021">
      <c r="A17021" s="1" t="s">
        <v>8</v>
      </c>
      <c r="B17021" s="2">
        <v>44788.0</v>
      </c>
      <c r="C17021" s="3">
        <v>0.3516666666666667</v>
      </c>
      <c r="D17021" s="1">
        <v>12.909018</v>
      </c>
      <c r="E17021" s="1">
        <v>80.0988</v>
      </c>
      <c r="F17021" s="1">
        <v>805.0</v>
      </c>
      <c r="G17021" s="1">
        <v>9.0</v>
      </c>
    </row>
    <row r="17022">
      <c r="A17022" s="1" t="s">
        <v>8</v>
      </c>
      <c r="B17022" s="2">
        <v>44788.0</v>
      </c>
      <c r="C17022" s="3">
        <v>0.3516898148148148</v>
      </c>
      <c r="D17022" s="1">
        <v>12.909018</v>
      </c>
      <c r="E17022" s="1">
        <v>80.0988</v>
      </c>
      <c r="F17022" s="1">
        <v>805.0</v>
      </c>
      <c r="G17022" s="1">
        <v>9.0</v>
      </c>
    </row>
    <row r="17023">
      <c r="A17023" s="1" t="s">
        <v>8</v>
      </c>
      <c r="B17023" s="2">
        <v>44788.0</v>
      </c>
      <c r="C17023" s="3">
        <v>0.35217592592592595</v>
      </c>
      <c r="D17023" s="1">
        <v>12.907004</v>
      </c>
      <c r="E17023" s="1">
        <v>80.096912</v>
      </c>
      <c r="F17023" s="1">
        <v>805.0</v>
      </c>
      <c r="G17023" s="1">
        <v>48.0</v>
      </c>
    </row>
    <row r="17024">
      <c r="A17024" s="1" t="s">
        <v>7</v>
      </c>
      <c r="B17024" s="2">
        <v>44788.0</v>
      </c>
      <c r="C17024" s="3">
        <v>0.35246527777777775</v>
      </c>
      <c r="D17024" s="1">
        <v>12.917055</v>
      </c>
      <c r="E17024" s="1">
        <v>80.107312</v>
      </c>
      <c r="F17024" s="1">
        <v>3143.0</v>
      </c>
      <c r="G17024" s="1">
        <v>0.0</v>
      </c>
    </row>
    <row r="17025">
      <c r="A17025" s="1" t="s">
        <v>7</v>
      </c>
      <c r="B17025" s="2">
        <v>44788.0</v>
      </c>
      <c r="C17025" s="3">
        <v>0.3525578703703704</v>
      </c>
      <c r="D17025" s="1">
        <v>12.916899</v>
      </c>
      <c r="E17025" s="1">
        <v>80.107007</v>
      </c>
      <c r="F17025" s="1">
        <v>3143.0</v>
      </c>
      <c r="G17025" s="1">
        <v>29.0</v>
      </c>
    </row>
    <row r="17026">
      <c r="A17026" s="1" t="s">
        <v>7</v>
      </c>
      <c r="B17026" s="2">
        <v>44788.0</v>
      </c>
      <c r="C17026" s="3">
        <v>0.3527199074074074</v>
      </c>
      <c r="D17026" s="1">
        <v>12.903591</v>
      </c>
      <c r="E17026" s="1">
        <v>80.094364</v>
      </c>
      <c r="F17026" s="1">
        <v>805.0</v>
      </c>
      <c r="G17026" s="1">
        <v>35.0</v>
      </c>
    </row>
    <row r="17027">
      <c r="A17027" s="1" t="s">
        <v>10</v>
      </c>
      <c r="B17027" s="2">
        <v>44788.0</v>
      </c>
      <c r="C17027" s="3">
        <v>0.3528587962962963</v>
      </c>
      <c r="D17027" s="1">
        <v>12.915988</v>
      </c>
      <c r="E17027" s="1">
        <v>80.105333</v>
      </c>
      <c r="F17027" s="1">
        <v>3143.0</v>
      </c>
      <c r="G17027" s="1">
        <v>58.0</v>
      </c>
    </row>
    <row r="17028">
      <c r="A17028" s="1" t="s">
        <v>8</v>
      </c>
      <c r="B17028" s="2">
        <v>44788.0</v>
      </c>
      <c r="C17028" s="3">
        <v>0.35322916666666665</v>
      </c>
      <c r="D17028" s="1">
        <v>12.913341</v>
      </c>
      <c r="E17028" s="1">
        <v>80.101637</v>
      </c>
      <c r="F17028" s="1">
        <v>3143.0</v>
      </c>
      <c r="G17028" s="1">
        <v>41.0</v>
      </c>
    </row>
    <row r="17029">
      <c r="A17029" s="1" t="s">
        <v>8</v>
      </c>
      <c r="B17029" s="2">
        <v>44788.0</v>
      </c>
      <c r="C17029" s="3">
        <v>0.3533101851851852</v>
      </c>
      <c r="D17029" s="1">
        <v>12.912554</v>
      </c>
      <c r="E17029" s="1">
        <v>80.101568</v>
      </c>
      <c r="F17029" s="1">
        <v>3143.0</v>
      </c>
      <c r="G17029" s="1">
        <v>11.0</v>
      </c>
    </row>
    <row r="17030">
      <c r="A17030" s="1" t="s">
        <v>8</v>
      </c>
      <c r="B17030" s="2">
        <v>44788.0</v>
      </c>
      <c r="C17030" s="3">
        <v>0.35346064814814815</v>
      </c>
      <c r="D17030" s="1">
        <v>12.897847</v>
      </c>
      <c r="E17030" s="1">
        <v>80.090023</v>
      </c>
      <c r="F17030" s="1">
        <v>805.0</v>
      </c>
      <c r="G17030" s="1">
        <v>11.0</v>
      </c>
    </row>
    <row r="17031">
      <c r="A17031" s="1" t="s">
        <v>8</v>
      </c>
      <c r="B17031" s="2">
        <v>44788.0</v>
      </c>
      <c r="C17031" s="3">
        <v>0.35346064814814815</v>
      </c>
      <c r="D17031" s="1">
        <v>12.897847</v>
      </c>
      <c r="E17031" s="1">
        <v>80.090023</v>
      </c>
      <c r="F17031" s="1">
        <v>805.0</v>
      </c>
      <c r="G17031" s="1">
        <v>11.0</v>
      </c>
    </row>
    <row r="17032">
      <c r="A17032" s="1" t="s">
        <v>8</v>
      </c>
      <c r="B17032" s="2">
        <v>44788.0</v>
      </c>
      <c r="C17032" s="3">
        <v>0.3534837962962963</v>
      </c>
      <c r="D17032" s="1">
        <v>12.897847</v>
      </c>
      <c r="E17032" s="1">
        <v>80.090023</v>
      </c>
      <c r="F17032" s="1">
        <v>805.0</v>
      </c>
      <c r="G17032" s="1">
        <v>11.0</v>
      </c>
    </row>
    <row r="17033">
      <c r="A17033" s="1" t="s">
        <v>8</v>
      </c>
      <c r="B17033" s="2">
        <v>44788.0</v>
      </c>
      <c r="C17033" s="3">
        <v>0.3534837962962963</v>
      </c>
      <c r="D17033" s="1">
        <v>12.897847</v>
      </c>
      <c r="E17033" s="1">
        <v>80.090023</v>
      </c>
      <c r="F17033" s="1">
        <v>805.0</v>
      </c>
      <c r="G17033" s="1">
        <v>11.0</v>
      </c>
    </row>
    <row r="17034">
      <c r="A17034" s="1" t="s">
        <v>8</v>
      </c>
      <c r="B17034" s="2">
        <v>44788.0</v>
      </c>
      <c r="C17034" s="3">
        <v>0.3534953703703704</v>
      </c>
      <c r="D17034" s="1">
        <v>12.897847</v>
      </c>
      <c r="E17034" s="1">
        <v>80.090023</v>
      </c>
      <c r="F17034" s="1">
        <v>805.0</v>
      </c>
      <c r="G17034" s="1">
        <v>11.0</v>
      </c>
    </row>
    <row r="17035">
      <c r="A17035" s="1" t="s">
        <v>8</v>
      </c>
      <c r="B17035" s="2">
        <v>44788.0</v>
      </c>
      <c r="C17035" s="3">
        <v>0.35358796296296297</v>
      </c>
      <c r="D17035" s="1">
        <v>12.897633</v>
      </c>
      <c r="E17035" s="1">
        <v>80.08981</v>
      </c>
      <c r="F17035" s="1">
        <v>805.0</v>
      </c>
      <c r="G17035" s="1">
        <v>6.0</v>
      </c>
    </row>
    <row r="17036">
      <c r="A17036" s="1" t="s">
        <v>8</v>
      </c>
      <c r="B17036" s="2">
        <v>44788.0</v>
      </c>
      <c r="C17036" s="3">
        <v>0.35403935185185187</v>
      </c>
      <c r="D17036" s="1">
        <v>12.896804</v>
      </c>
      <c r="E17036" s="1">
        <v>80.089153</v>
      </c>
      <c r="F17036" s="1">
        <v>805.0</v>
      </c>
      <c r="G17036" s="1">
        <v>30.0</v>
      </c>
    </row>
    <row r="17037">
      <c r="A17037" s="1" t="s">
        <v>7</v>
      </c>
      <c r="B17037" s="2">
        <v>44788.0</v>
      </c>
      <c r="C17037" s="3">
        <v>0.3542013888888889</v>
      </c>
      <c r="D17037" s="1">
        <v>12.895569</v>
      </c>
      <c r="E17037" s="1">
        <v>80.088203</v>
      </c>
      <c r="F17037" s="1">
        <v>805.0</v>
      </c>
      <c r="G17037" s="1">
        <v>39.0</v>
      </c>
    </row>
    <row r="17038">
      <c r="A17038" s="1" t="s">
        <v>9</v>
      </c>
      <c r="B17038" s="2">
        <v>44788.0</v>
      </c>
      <c r="C17038" s="3">
        <v>0.3542361111111111</v>
      </c>
      <c r="D17038" s="1">
        <v>12.895569</v>
      </c>
      <c r="E17038" s="1">
        <v>80.088203</v>
      </c>
      <c r="F17038" s="1">
        <v>805.0</v>
      </c>
      <c r="G17038" s="1">
        <v>39.0</v>
      </c>
    </row>
    <row r="17039">
      <c r="A17039" s="1" t="s">
        <v>8</v>
      </c>
      <c r="B17039" s="2">
        <v>44788.0</v>
      </c>
      <c r="C17039" s="3">
        <v>0.3544212962962963</v>
      </c>
      <c r="D17039" s="1">
        <v>12.894125</v>
      </c>
      <c r="E17039" s="1">
        <v>80.087148</v>
      </c>
      <c r="F17039" s="1">
        <v>805.0</v>
      </c>
      <c r="G17039" s="1">
        <v>47.0</v>
      </c>
    </row>
    <row r="17040">
      <c r="A17040" s="1" t="s">
        <v>8</v>
      </c>
      <c r="B17040" s="2">
        <v>44788.0</v>
      </c>
      <c r="C17040" s="3">
        <v>0.35489583333333335</v>
      </c>
      <c r="D17040" s="1">
        <v>12.889208</v>
      </c>
      <c r="E17040" s="1">
        <v>80.084308</v>
      </c>
      <c r="F17040" s="1">
        <v>805.0</v>
      </c>
      <c r="G17040" s="1">
        <v>46.0</v>
      </c>
    </row>
    <row r="17041">
      <c r="A17041" s="1" t="s">
        <v>8</v>
      </c>
      <c r="B17041" s="2">
        <v>44788.0</v>
      </c>
      <c r="C17041" s="3">
        <v>0.3553587962962963</v>
      </c>
      <c r="D17041" s="1">
        <v>12.734101</v>
      </c>
      <c r="E17041" s="1">
        <v>79.984399</v>
      </c>
      <c r="F17041" s="1">
        <v>2846.0</v>
      </c>
      <c r="G17041" s="1">
        <v>17.0</v>
      </c>
    </row>
    <row r="17042">
      <c r="A17042" s="1" t="s">
        <v>9</v>
      </c>
      <c r="B17042" s="2">
        <v>44788.0</v>
      </c>
      <c r="C17042" s="3">
        <v>0.35538194444444443</v>
      </c>
      <c r="D17042" s="1">
        <v>12.909074</v>
      </c>
      <c r="E17042" s="1">
        <v>80.098924</v>
      </c>
      <c r="F17042" s="1">
        <v>3143.0</v>
      </c>
      <c r="G17042" s="1">
        <v>0.0</v>
      </c>
    </row>
    <row r="17043">
      <c r="A17043" s="1" t="s">
        <v>8</v>
      </c>
      <c r="B17043" s="2">
        <v>44788.0</v>
      </c>
      <c r="C17043" s="3">
        <v>0.3554398148148148</v>
      </c>
      <c r="D17043" s="1">
        <v>12.906392</v>
      </c>
      <c r="E17043" s="1">
        <v>80.096494</v>
      </c>
      <c r="F17043" s="1">
        <v>3143.0</v>
      </c>
      <c r="G17043" s="1">
        <v>4.0</v>
      </c>
    </row>
    <row r="17044">
      <c r="A17044" s="1" t="s">
        <v>9</v>
      </c>
      <c r="B17044" s="2">
        <v>44788.0</v>
      </c>
      <c r="C17044" s="3">
        <v>0.35605324074074074</v>
      </c>
      <c r="D17044" s="1">
        <v>12.725901</v>
      </c>
      <c r="E17044" s="1">
        <v>79.982207</v>
      </c>
      <c r="F17044" s="1">
        <v>2846.0</v>
      </c>
      <c r="G17044" s="1">
        <v>37.0</v>
      </c>
    </row>
    <row r="17045">
      <c r="A17045" s="1" t="s">
        <v>8</v>
      </c>
      <c r="B17045" s="2">
        <v>44788.0</v>
      </c>
      <c r="C17045" s="3">
        <v>0.3569907407407407</v>
      </c>
      <c r="D17045" s="1">
        <v>12.897458</v>
      </c>
      <c r="E17045" s="1">
        <v>80.089558</v>
      </c>
      <c r="F17045" s="1">
        <v>3143.0</v>
      </c>
      <c r="G17045" s="1">
        <v>18.0</v>
      </c>
    </row>
    <row r="17046">
      <c r="A17046" s="1" t="s">
        <v>8</v>
      </c>
      <c r="B17046" s="2">
        <v>44788.0</v>
      </c>
      <c r="C17046" s="3">
        <v>0.357974537037037</v>
      </c>
      <c r="D17046" s="1">
        <v>12.891298</v>
      </c>
      <c r="E17046" s="1">
        <v>80.085164</v>
      </c>
      <c r="F17046" s="1">
        <v>3143.0</v>
      </c>
      <c r="G17046" s="1">
        <v>46.0</v>
      </c>
    </row>
    <row r="17047">
      <c r="A17047" s="1" t="s">
        <v>8</v>
      </c>
      <c r="B17047" s="2">
        <v>44788.0</v>
      </c>
      <c r="C17047" s="3">
        <v>0.358125</v>
      </c>
      <c r="D17047" s="1">
        <v>12.889353</v>
      </c>
      <c r="E17047" s="1">
        <v>80.084334</v>
      </c>
      <c r="F17047" s="1">
        <v>3143.0</v>
      </c>
      <c r="G17047" s="1">
        <v>59.0</v>
      </c>
    </row>
    <row r="17048">
      <c r="A17048" s="1" t="s">
        <v>8</v>
      </c>
      <c r="B17048" s="2">
        <v>44788.0</v>
      </c>
      <c r="C17048" s="3">
        <v>0.358125</v>
      </c>
      <c r="D17048" s="1">
        <v>12.889353</v>
      </c>
      <c r="E17048" s="1">
        <v>80.084334</v>
      </c>
      <c r="F17048" s="1">
        <v>3143.0</v>
      </c>
      <c r="G17048" s="1">
        <v>59.0</v>
      </c>
    </row>
    <row r="17049">
      <c r="A17049" s="1" t="s">
        <v>7</v>
      </c>
      <c r="B17049" s="2">
        <v>44788.0</v>
      </c>
      <c r="C17049" s="3">
        <v>0.36144675925925923</v>
      </c>
      <c r="D17049" s="1">
        <v>12.744725</v>
      </c>
      <c r="E17049" s="1">
        <v>79.993418</v>
      </c>
      <c r="F17049" s="1">
        <v>2846.0</v>
      </c>
      <c r="G17049" s="1">
        <v>51.0</v>
      </c>
    </row>
    <row r="17050">
      <c r="A17050" s="1" t="s">
        <v>7</v>
      </c>
      <c r="B17050" s="2">
        <v>44788.0</v>
      </c>
      <c r="C17050" s="3">
        <v>0.36192129629629627</v>
      </c>
      <c r="D17050" s="1">
        <v>12.750346</v>
      </c>
      <c r="E17050" s="1">
        <v>79.998049</v>
      </c>
      <c r="F17050" s="1">
        <v>2846.0</v>
      </c>
      <c r="G17050" s="1">
        <v>58.0</v>
      </c>
    </row>
    <row r="17051">
      <c r="A17051" s="1" t="s">
        <v>8</v>
      </c>
      <c r="B17051" s="2">
        <v>44788.0</v>
      </c>
      <c r="C17051" s="3">
        <v>0.3623148148148148</v>
      </c>
      <c r="D17051" s="1">
        <v>12.751542</v>
      </c>
      <c r="E17051" s="1">
        <v>79.998902</v>
      </c>
      <c r="F17051" s="1">
        <v>2846.0</v>
      </c>
      <c r="G17051" s="1">
        <v>58.0</v>
      </c>
    </row>
    <row r="17052">
      <c r="A17052" s="1" t="s">
        <v>8</v>
      </c>
      <c r="B17052" s="2">
        <v>44788.0</v>
      </c>
      <c r="C17052" s="3">
        <v>0.36268518518518517</v>
      </c>
      <c r="D17052" s="1">
        <v>12.757244</v>
      </c>
      <c r="E17052" s="1">
        <v>80.002284</v>
      </c>
      <c r="F17052" s="1">
        <v>2846.0</v>
      </c>
      <c r="G17052" s="1">
        <v>56.0</v>
      </c>
    </row>
    <row r="17053">
      <c r="A17053" s="1" t="s">
        <v>10</v>
      </c>
      <c r="B17053" s="2">
        <v>44788.0</v>
      </c>
      <c r="C17053" s="3">
        <v>0.36355324074074075</v>
      </c>
      <c r="D17053" s="1">
        <v>12.876004</v>
      </c>
      <c r="E17053" s="1">
        <v>80.084074</v>
      </c>
      <c r="F17053" s="1">
        <v>805.0</v>
      </c>
      <c r="G17053" s="1">
        <v>0.0</v>
      </c>
    </row>
    <row r="17054">
      <c r="A17054" s="1" t="s">
        <v>10</v>
      </c>
      <c r="B17054" s="2">
        <v>44788.0</v>
      </c>
      <c r="C17054" s="3">
        <v>0.36365740740740743</v>
      </c>
      <c r="D17054" s="1">
        <v>12.876004</v>
      </c>
      <c r="E17054" s="1">
        <v>80.084074</v>
      </c>
      <c r="F17054" s="1">
        <v>805.0</v>
      </c>
      <c r="G17054" s="1">
        <v>0.0</v>
      </c>
    </row>
    <row r="17055">
      <c r="A17055" s="1" t="s">
        <v>8</v>
      </c>
      <c r="B17055" s="2">
        <v>44788.0</v>
      </c>
      <c r="C17055" s="3">
        <v>0.3637037037037037</v>
      </c>
      <c r="D17055" s="1">
        <v>12.762899</v>
      </c>
      <c r="E17055" s="1">
        <v>80.003893</v>
      </c>
      <c r="F17055" s="1">
        <v>2846.0</v>
      </c>
      <c r="G17055" s="1">
        <v>23.0</v>
      </c>
    </row>
    <row r="17056">
      <c r="A17056" s="1" t="s">
        <v>8</v>
      </c>
      <c r="B17056" s="2">
        <v>44788.0</v>
      </c>
      <c r="C17056" s="3">
        <v>0.3640509259259259</v>
      </c>
      <c r="D17056" s="1">
        <v>12.763712</v>
      </c>
      <c r="E17056" s="1">
        <v>80.004211</v>
      </c>
      <c r="F17056" s="1">
        <v>2846.0</v>
      </c>
      <c r="G17056" s="1">
        <v>42.0</v>
      </c>
    </row>
    <row r="17057">
      <c r="A17057" s="1" t="s">
        <v>7</v>
      </c>
      <c r="B17057" s="2">
        <v>44788.0</v>
      </c>
      <c r="C17057" s="3">
        <v>0.3642708333333333</v>
      </c>
      <c r="D17057" s="1">
        <v>12.768583</v>
      </c>
      <c r="E17057" s="1">
        <v>80.006388</v>
      </c>
      <c r="F17057" s="1">
        <v>2846.0</v>
      </c>
      <c r="G17057" s="1">
        <v>58.0</v>
      </c>
    </row>
    <row r="17058">
      <c r="A17058" s="1" t="s">
        <v>7</v>
      </c>
      <c r="B17058" s="2">
        <v>44788.0</v>
      </c>
      <c r="C17058" s="3">
        <v>0.3647685185185185</v>
      </c>
      <c r="D17058" s="1">
        <v>12.768583</v>
      </c>
      <c r="E17058" s="1">
        <v>80.006388</v>
      </c>
      <c r="F17058" s="1">
        <v>2846.0</v>
      </c>
      <c r="G17058" s="1">
        <v>58.0</v>
      </c>
    </row>
    <row r="17059">
      <c r="A17059" s="1" t="s">
        <v>8</v>
      </c>
      <c r="B17059" s="2">
        <v>44788.0</v>
      </c>
      <c r="C17059" s="3">
        <v>0.3648032407407407</v>
      </c>
      <c r="D17059" s="1">
        <v>12.772412</v>
      </c>
      <c r="E17059" s="1">
        <v>80.008203</v>
      </c>
      <c r="F17059" s="1">
        <v>2846.0</v>
      </c>
      <c r="G17059" s="1">
        <v>52.0</v>
      </c>
    </row>
    <row r="17060">
      <c r="A17060" s="1" t="s">
        <v>8</v>
      </c>
      <c r="B17060" s="2">
        <v>44788.0</v>
      </c>
      <c r="C17060" s="3">
        <v>0.36574074074074076</v>
      </c>
      <c r="D17060" s="1">
        <v>12.782995</v>
      </c>
      <c r="E17060" s="1">
        <v>80.012957</v>
      </c>
      <c r="F17060" s="1">
        <v>2846.0</v>
      </c>
      <c r="G17060" s="1">
        <v>57.0</v>
      </c>
    </row>
    <row r="17061">
      <c r="A17061" s="1" t="s">
        <v>7</v>
      </c>
      <c r="B17061" s="2">
        <v>44788.0</v>
      </c>
      <c r="C17061" s="3">
        <v>0.3676388888888889</v>
      </c>
      <c r="D17061" s="1">
        <v>12.799356</v>
      </c>
      <c r="E17061" s="1">
        <v>80.022883</v>
      </c>
      <c r="F17061" s="1">
        <v>2846.0</v>
      </c>
      <c r="G17061" s="1">
        <v>58.0</v>
      </c>
    </row>
    <row r="17062">
      <c r="A17062" s="1" t="s">
        <v>8</v>
      </c>
      <c r="B17062" s="2">
        <v>44788.0</v>
      </c>
      <c r="C17062" s="3">
        <v>0.3683912037037037</v>
      </c>
      <c r="D17062" s="1">
        <v>12.805491</v>
      </c>
      <c r="E17062" s="1">
        <v>80.026891</v>
      </c>
      <c r="F17062" s="1">
        <v>2846.0</v>
      </c>
      <c r="G17062" s="1">
        <v>58.0</v>
      </c>
    </row>
    <row r="17063">
      <c r="A17063" s="1" t="s">
        <v>8</v>
      </c>
      <c r="B17063" s="2">
        <v>44788.0</v>
      </c>
      <c r="C17063" s="3">
        <v>0.3684027777777778</v>
      </c>
      <c r="D17063" s="1">
        <v>12.808099</v>
      </c>
      <c r="E17063" s="1">
        <v>80.028513</v>
      </c>
      <c r="F17063" s="1">
        <v>2846.0</v>
      </c>
      <c r="G17063" s="1">
        <v>22.0</v>
      </c>
    </row>
    <row r="17064">
      <c r="A17064" s="1" t="s">
        <v>7</v>
      </c>
      <c r="B17064" s="2">
        <v>44788.0</v>
      </c>
      <c r="C17064" s="3">
        <v>0.3700925925925926</v>
      </c>
      <c r="D17064" s="1">
        <v>12.822445</v>
      </c>
      <c r="E17064" s="1">
        <v>80.038351</v>
      </c>
      <c r="F17064" s="1">
        <v>2846.0</v>
      </c>
      <c r="G17064" s="1">
        <v>58.0</v>
      </c>
    </row>
    <row r="17065">
      <c r="A17065" s="1" t="s">
        <v>7</v>
      </c>
      <c r="B17065" s="2">
        <v>44788.0</v>
      </c>
      <c r="C17065" s="3">
        <v>0.37069444444444444</v>
      </c>
      <c r="D17065" s="1">
        <v>12.828144</v>
      </c>
      <c r="E17065" s="1">
        <v>80.04297</v>
      </c>
      <c r="F17065" s="1">
        <v>2846.0</v>
      </c>
      <c r="G17065" s="1">
        <v>57.0</v>
      </c>
    </row>
    <row r="17066">
      <c r="A17066" s="1" t="s">
        <v>8</v>
      </c>
      <c r="B17066" s="2">
        <v>44788.0</v>
      </c>
      <c r="C17066" s="3">
        <v>0.3718518518518519</v>
      </c>
      <c r="D17066" s="1">
        <v>12.832854</v>
      </c>
      <c r="E17066" s="1">
        <v>80.047897</v>
      </c>
      <c r="F17066" s="1">
        <v>2846.0</v>
      </c>
      <c r="G17066" s="1">
        <v>48.0</v>
      </c>
    </row>
    <row r="17067">
      <c r="A17067" s="1" t="s">
        <v>8</v>
      </c>
      <c r="B17067" s="2">
        <v>44788.0</v>
      </c>
      <c r="C17067" s="3">
        <v>0.3732638888888889</v>
      </c>
      <c r="D17067" s="1">
        <v>12.840754</v>
      </c>
      <c r="E17067" s="1">
        <v>80.056103</v>
      </c>
      <c r="F17067" s="1">
        <v>2846.0</v>
      </c>
      <c r="G17067" s="1">
        <v>10.0</v>
      </c>
    </row>
    <row r="17068">
      <c r="A17068" s="1" t="s">
        <v>8</v>
      </c>
      <c r="B17068" s="2">
        <v>44788.0</v>
      </c>
      <c r="C17068" s="3">
        <v>0.37505787037037036</v>
      </c>
      <c r="D17068" s="1">
        <v>12.849474</v>
      </c>
      <c r="E17068" s="1">
        <v>80.064219</v>
      </c>
      <c r="F17068" s="1">
        <v>2846.0</v>
      </c>
      <c r="G17068" s="1">
        <v>43.0</v>
      </c>
    </row>
    <row r="17069">
      <c r="A17069" s="1" t="s">
        <v>8</v>
      </c>
      <c r="B17069" s="2">
        <v>44788.0</v>
      </c>
      <c r="C17069" s="3">
        <v>0.3755787037037037</v>
      </c>
      <c r="D17069" s="1">
        <v>12.852788</v>
      </c>
      <c r="E17069" s="1">
        <v>80.066635</v>
      </c>
      <c r="F17069" s="1">
        <v>2846.0</v>
      </c>
      <c r="G17069" s="1">
        <v>49.0</v>
      </c>
    </row>
    <row r="17070">
      <c r="A17070" s="1" t="s">
        <v>8</v>
      </c>
      <c r="B17070" s="2">
        <v>44788.0</v>
      </c>
      <c r="C17070" s="3">
        <v>0.375625</v>
      </c>
      <c r="D17070" s="1">
        <v>12.853779</v>
      </c>
      <c r="E17070" s="1">
        <v>80.067378</v>
      </c>
      <c r="F17070" s="1">
        <v>2846.0</v>
      </c>
      <c r="G17070" s="1">
        <v>51.0</v>
      </c>
    </row>
    <row r="17071">
      <c r="A17071" s="1" t="s">
        <v>7</v>
      </c>
      <c r="B17071" s="2">
        <v>44788.0</v>
      </c>
      <c r="C17071" s="3">
        <v>0.376099537037037</v>
      </c>
      <c r="D17071" s="1">
        <v>12.857232</v>
      </c>
      <c r="E17071" s="1">
        <v>80.07</v>
      </c>
      <c r="F17071" s="1">
        <v>2846.0</v>
      </c>
      <c r="G17071" s="1">
        <v>57.0</v>
      </c>
    </row>
    <row r="17072">
      <c r="A17072" s="1" t="s">
        <v>8</v>
      </c>
      <c r="B17072" s="2">
        <v>44788.0</v>
      </c>
      <c r="C17072" s="3">
        <v>0.3765046296296296</v>
      </c>
      <c r="D17072" s="1">
        <v>12.86034</v>
      </c>
      <c r="E17072" s="1">
        <v>80.072312</v>
      </c>
      <c r="F17072" s="1">
        <v>2846.0</v>
      </c>
      <c r="G17072" s="1">
        <v>28.0</v>
      </c>
    </row>
    <row r="17073">
      <c r="A17073" s="1" t="s">
        <v>7</v>
      </c>
      <c r="B17073" s="2">
        <v>44788.0</v>
      </c>
      <c r="C17073" s="3">
        <v>0.37688657407407405</v>
      </c>
      <c r="D17073" s="1">
        <v>12.863412</v>
      </c>
      <c r="E17073" s="1">
        <v>80.073925</v>
      </c>
      <c r="F17073" s="1">
        <v>2846.0</v>
      </c>
      <c r="G17073" s="1">
        <v>58.0</v>
      </c>
    </row>
    <row r="17074">
      <c r="A17074" s="1" t="s">
        <v>8</v>
      </c>
      <c r="B17074" s="2">
        <v>44788.0</v>
      </c>
      <c r="C17074" s="3">
        <v>0.37733796296296296</v>
      </c>
      <c r="D17074" s="1">
        <v>12.867917</v>
      </c>
      <c r="E17074" s="1">
        <v>80.075589</v>
      </c>
      <c r="F17074" s="1">
        <v>2846.0</v>
      </c>
      <c r="G17074" s="1">
        <v>40.0</v>
      </c>
    </row>
    <row r="17075">
      <c r="A17075" s="1" t="s">
        <v>8</v>
      </c>
      <c r="B17075" s="2">
        <v>44788.0</v>
      </c>
      <c r="C17075" s="3">
        <v>0.37755787037037036</v>
      </c>
      <c r="D17075" s="1">
        <v>12.867917</v>
      </c>
      <c r="E17075" s="1">
        <v>80.075589</v>
      </c>
      <c r="F17075" s="1">
        <v>2846.0</v>
      </c>
      <c r="G17075" s="1">
        <v>40.0</v>
      </c>
    </row>
    <row r="17076">
      <c r="A17076" s="1" t="s">
        <v>8</v>
      </c>
      <c r="B17076" s="2">
        <v>44788.0</v>
      </c>
      <c r="C17076" s="3">
        <v>0.37776620370370373</v>
      </c>
      <c r="D17076" s="1">
        <v>12.871367</v>
      </c>
      <c r="E17076" s="1">
        <v>80.076954</v>
      </c>
      <c r="F17076" s="1">
        <v>2846.0</v>
      </c>
      <c r="G17076" s="1">
        <v>52.0</v>
      </c>
    </row>
    <row r="17077">
      <c r="A17077" s="1" t="s">
        <v>8</v>
      </c>
      <c r="B17077" s="2">
        <v>44788.0</v>
      </c>
      <c r="C17077" s="3">
        <v>0.3779398148148148</v>
      </c>
      <c r="D17077" s="1">
        <v>12.872563</v>
      </c>
      <c r="E17077" s="1">
        <v>80.077412</v>
      </c>
      <c r="F17077" s="1">
        <v>2846.0</v>
      </c>
      <c r="G17077" s="1">
        <v>54.0</v>
      </c>
    </row>
    <row r="17078">
      <c r="A17078" s="1" t="s">
        <v>10</v>
      </c>
      <c r="B17078" s="2">
        <v>44788.0</v>
      </c>
      <c r="C17078" s="3">
        <v>0.37820601851851854</v>
      </c>
      <c r="D17078" s="1">
        <v>12.87608</v>
      </c>
      <c r="E17078" s="1">
        <v>80.083109</v>
      </c>
      <c r="F17078" s="1">
        <v>805.0</v>
      </c>
      <c r="G17078" s="1">
        <v>9.0</v>
      </c>
    </row>
    <row r="17079">
      <c r="A17079" s="1" t="s">
        <v>10</v>
      </c>
      <c r="B17079" s="2">
        <v>44788.0</v>
      </c>
      <c r="C17079" s="3">
        <v>0.3788310185185185</v>
      </c>
      <c r="D17079" s="1">
        <v>12.87608</v>
      </c>
      <c r="E17079" s="1">
        <v>80.083109</v>
      </c>
      <c r="F17079" s="1">
        <v>805.0</v>
      </c>
      <c r="G17079" s="1">
        <v>9.0</v>
      </c>
    </row>
    <row r="17080">
      <c r="A17080" s="1" t="s">
        <v>10</v>
      </c>
      <c r="B17080" s="2">
        <v>44788.0</v>
      </c>
      <c r="C17080" s="3">
        <v>0.38025462962962964</v>
      </c>
      <c r="D17080" s="1">
        <v>12.875484</v>
      </c>
      <c r="E17080" s="1">
        <v>80.084878</v>
      </c>
      <c r="F17080" s="1">
        <v>805.0</v>
      </c>
      <c r="G17080" s="1">
        <v>19.0</v>
      </c>
    </row>
    <row r="17081">
      <c r="A17081" s="1" t="s">
        <v>10</v>
      </c>
      <c r="B17081" s="2">
        <v>44788.0</v>
      </c>
      <c r="C17081" s="3">
        <v>0.4203703703703704</v>
      </c>
      <c r="D17081" s="1">
        <v>12.875583</v>
      </c>
      <c r="E17081" s="1">
        <v>80.082848</v>
      </c>
      <c r="F17081" s="1">
        <v>2846.0</v>
      </c>
      <c r="G17081" s="1">
        <v>2.0</v>
      </c>
    </row>
    <row r="17082">
      <c r="A17082" s="1" t="s">
        <v>10</v>
      </c>
      <c r="B17082" s="2">
        <v>44788.0</v>
      </c>
      <c r="C17082" s="3">
        <v>0.4597685185185185</v>
      </c>
      <c r="D17082" s="1">
        <v>12.8739</v>
      </c>
      <c r="E17082" s="1">
        <v>80.085008</v>
      </c>
      <c r="F17082" s="1">
        <v>805.0</v>
      </c>
      <c r="G17082" s="1">
        <v>0.0</v>
      </c>
    </row>
    <row r="17083">
      <c r="A17083" s="1" t="s">
        <v>10</v>
      </c>
      <c r="B17083" s="2">
        <v>44788.0</v>
      </c>
      <c r="C17083" s="3">
        <v>0.45979166666666665</v>
      </c>
      <c r="D17083" s="1">
        <v>12.8739</v>
      </c>
      <c r="E17083" s="1">
        <v>80.085008</v>
      </c>
      <c r="F17083" s="1">
        <v>805.0</v>
      </c>
      <c r="G17083" s="1">
        <v>0.0</v>
      </c>
    </row>
    <row r="17084">
      <c r="A17084" s="1" t="s">
        <v>10</v>
      </c>
      <c r="B17084" s="2">
        <v>44788.0</v>
      </c>
      <c r="C17084" s="3">
        <v>0.4668981481481482</v>
      </c>
      <c r="D17084" s="1">
        <v>12.874478</v>
      </c>
      <c r="E17084" s="1">
        <v>80.084301</v>
      </c>
      <c r="F17084" s="1">
        <v>805.0</v>
      </c>
      <c r="G17084" s="1">
        <v>6.0</v>
      </c>
    </row>
    <row r="17085">
      <c r="A17085" s="1" t="s">
        <v>10</v>
      </c>
      <c r="B17085" s="2">
        <v>44788.0</v>
      </c>
      <c r="C17085" s="3">
        <v>0.4754976851851852</v>
      </c>
      <c r="D17085" s="1">
        <v>12.875439</v>
      </c>
      <c r="E17085" s="1">
        <v>80.084715</v>
      </c>
      <c r="F17085" s="1">
        <v>3143.0</v>
      </c>
      <c r="G17085" s="1">
        <v>11.0</v>
      </c>
    </row>
    <row r="17086">
      <c r="A17086" s="1" t="s">
        <v>10</v>
      </c>
      <c r="B17086" s="2">
        <v>44788.0</v>
      </c>
      <c r="C17086" s="3">
        <v>0.5204513888888889</v>
      </c>
      <c r="D17086" s="1">
        <v>12.876116</v>
      </c>
      <c r="E17086" s="1">
        <v>80.083122</v>
      </c>
      <c r="F17086" s="1">
        <v>5339.0</v>
      </c>
      <c r="G17086" s="1">
        <v>1.0</v>
      </c>
    </row>
    <row r="17087">
      <c r="A17087" s="1" t="s">
        <v>10</v>
      </c>
      <c r="B17087" s="2">
        <v>44788.0</v>
      </c>
      <c r="C17087" s="3">
        <v>0.5209953703703704</v>
      </c>
      <c r="D17087" s="1">
        <v>12.875821</v>
      </c>
      <c r="E17087" s="1">
        <v>80.083975</v>
      </c>
      <c r="F17087" s="1">
        <v>5339.0</v>
      </c>
      <c r="G17087" s="1">
        <v>5.0</v>
      </c>
    </row>
    <row r="17088">
      <c r="A17088" s="1" t="s">
        <v>10</v>
      </c>
      <c r="B17088" s="2">
        <v>44788.0</v>
      </c>
      <c r="C17088" s="3">
        <v>0.521087962962963</v>
      </c>
      <c r="D17088" s="1">
        <v>12.875491</v>
      </c>
      <c r="E17088" s="1">
        <v>80.084366</v>
      </c>
      <c r="F17088" s="1">
        <v>5339.0</v>
      </c>
      <c r="G17088" s="1">
        <v>13.0</v>
      </c>
    </row>
    <row r="17089">
      <c r="A17089" s="1" t="s">
        <v>10</v>
      </c>
      <c r="B17089" s="2">
        <v>44788.0</v>
      </c>
      <c r="C17089" s="3">
        <v>0.5211574074074075</v>
      </c>
      <c r="D17089" s="1">
        <v>12.875491</v>
      </c>
      <c r="E17089" s="1">
        <v>80.084366</v>
      </c>
      <c r="F17089" s="1">
        <v>5339.0</v>
      </c>
      <c r="G17089" s="1">
        <v>13.0</v>
      </c>
    </row>
    <row r="17090">
      <c r="A17090" s="1" t="s">
        <v>10</v>
      </c>
      <c r="B17090" s="2">
        <v>44788.0</v>
      </c>
      <c r="C17090" s="3">
        <v>0.5214120370370371</v>
      </c>
      <c r="D17090" s="1">
        <v>12.875241</v>
      </c>
      <c r="E17090" s="1">
        <v>80.08366</v>
      </c>
      <c r="F17090" s="1">
        <v>3143.0</v>
      </c>
      <c r="G17090" s="1">
        <v>12.0</v>
      </c>
    </row>
    <row r="17091">
      <c r="A17091" s="1" t="s">
        <v>10</v>
      </c>
      <c r="B17091" s="2">
        <v>44788.0</v>
      </c>
      <c r="C17091" s="3">
        <v>0.5321643518518518</v>
      </c>
      <c r="D17091" s="1">
        <v>12.874097</v>
      </c>
      <c r="E17091" s="1">
        <v>80.08458</v>
      </c>
      <c r="F17091" s="1">
        <v>5339.0</v>
      </c>
      <c r="G17091" s="1">
        <v>5.0</v>
      </c>
    </row>
    <row r="17092">
      <c r="A17092" s="1" t="s">
        <v>10</v>
      </c>
      <c r="B17092" s="2">
        <v>44788.0</v>
      </c>
      <c r="C17092" s="3">
        <v>0.5328356481481481</v>
      </c>
      <c r="D17092" s="1">
        <v>12.875274</v>
      </c>
      <c r="E17092" s="1">
        <v>80.084772</v>
      </c>
      <c r="F17092" s="1">
        <v>5339.0</v>
      </c>
      <c r="G17092" s="1">
        <v>2.0</v>
      </c>
    </row>
    <row r="17093">
      <c r="A17093" s="1" t="s">
        <v>10</v>
      </c>
      <c r="B17093" s="2">
        <v>44788.0</v>
      </c>
      <c r="C17093" s="3">
        <v>0.5330208333333334</v>
      </c>
      <c r="D17093" s="1">
        <v>12.875496</v>
      </c>
      <c r="E17093" s="1">
        <v>80.084338</v>
      </c>
      <c r="F17093" s="1">
        <v>5339.0</v>
      </c>
      <c r="G17093" s="1">
        <v>9.0</v>
      </c>
    </row>
    <row r="17094">
      <c r="A17094" s="1" t="s">
        <v>10</v>
      </c>
      <c r="B17094" s="2">
        <v>44788.0</v>
      </c>
      <c r="C17094" s="3">
        <v>0.5330902777777777</v>
      </c>
      <c r="D17094" s="1">
        <v>12.875496</v>
      </c>
      <c r="E17094" s="1">
        <v>80.084338</v>
      </c>
      <c r="F17094" s="1">
        <v>5339.0</v>
      </c>
      <c r="G17094" s="1">
        <v>9.0</v>
      </c>
    </row>
    <row r="17095">
      <c r="A17095" s="1" t="s">
        <v>10</v>
      </c>
      <c r="B17095" s="2">
        <v>44788.0</v>
      </c>
      <c r="C17095" s="3">
        <v>0.5331134259259259</v>
      </c>
      <c r="D17095" s="1">
        <v>12.875767</v>
      </c>
      <c r="E17095" s="1">
        <v>80.083882</v>
      </c>
      <c r="F17095" s="1">
        <v>5339.0</v>
      </c>
      <c r="G17095" s="1">
        <v>7.0</v>
      </c>
    </row>
    <row r="17096">
      <c r="A17096" s="1" t="s">
        <v>10</v>
      </c>
      <c r="B17096" s="2">
        <v>44788.0</v>
      </c>
      <c r="C17096" s="3">
        <v>0.5332291666666666</v>
      </c>
      <c r="D17096" s="1">
        <v>12.875767</v>
      </c>
      <c r="E17096" s="1">
        <v>80.083882</v>
      </c>
      <c r="F17096" s="1">
        <v>5339.0</v>
      </c>
      <c r="G17096" s="1">
        <v>7.0</v>
      </c>
    </row>
    <row r="17097">
      <c r="A17097" s="1" t="s">
        <v>10</v>
      </c>
      <c r="B17097" s="2">
        <v>44788.0</v>
      </c>
      <c r="C17097" s="3">
        <v>0.6888773148148148</v>
      </c>
      <c r="D17097" s="1">
        <v>12.876637</v>
      </c>
      <c r="E17097" s="1">
        <v>80.084301</v>
      </c>
      <c r="F17097" s="1">
        <v>5339.0</v>
      </c>
      <c r="G17097" s="1">
        <v>26.0</v>
      </c>
    </row>
    <row r="17098">
      <c r="A17098" s="1" t="s">
        <v>10</v>
      </c>
      <c r="B17098" s="2">
        <v>44788.0</v>
      </c>
      <c r="C17098" s="3">
        <v>0.6889236111111111</v>
      </c>
      <c r="D17098" s="1">
        <v>12.876768</v>
      </c>
      <c r="E17098" s="1">
        <v>80.084348</v>
      </c>
      <c r="F17098" s="1">
        <v>805.0</v>
      </c>
      <c r="G17098" s="1">
        <v>29.0</v>
      </c>
    </row>
    <row r="17099">
      <c r="A17099" s="1" t="s">
        <v>7</v>
      </c>
      <c r="B17099" s="2">
        <v>44788.0</v>
      </c>
      <c r="C17099" s="3">
        <v>0.6903356481481482</v>
      </c>
      <c r="D17099" s="1">
        <v>12.869728</v>
      </c>
      <c r="E17099" s="1">
        <v>80.076522</v>
      </c>
      <c r="F17099" s="1">
        <v>2846.0</v>
      </c>
      <c r="G17099" s="1">
        <v>58.0</v>
      </c>
    </row>
    <row r="17100">
      <c r="A17100" s="1" t="s">
        <v>8</v>
      </c>
      <c r="B17100" s="2">
        <v>44788.0</v>
      </c>
      <c r="C17100" s="3">
        <v>0.6905787037037037</v>
      </c>
      <c r="D17100" s="1">
        <v>12.881097</v>
      </c>
      <c r="E17100" s="1">
        <v>80.080613</v>
      </c>
      <c r="F17100" s="1">
        <v>805.0</v>
      </c>
      <c r="G17100" s="1">
        <v>25.0</v>
      </c>
    </row>
    <row r="17101">
      <c r="A17101" s="1" t="s">
        <v>7</v>
      </c>
      <c r="B17101" s="2">
        <v>44788.0</v>
      </c>
      <c r="C17101" s="3">
        <v>0.6909722222222222</v>
      </c>
      <c r="D17101" s="1">
        <v>12.863579</v>
      </c>
      <c r="E17101" s="1">
        <v>80.074185</v>
      </c>
      <c r="F17101" s="1">
        <v>2846.0</v>
      </c>
      <c r="G17101" s="1">
        <v>52.0</v>
      </c>
    </row>
    <row r="17102">
      <c r="A17102" s="1" t="s">
        <v>8</v>
      </c>
      <c r="B17102" s="2">
        <v>44788.0</v>
      </c>
      <c r="C17102" s="3">
        <v>0.6911226851851852</v>
      </c>
      <c r="D17102" s="1">
        <v>12.885823</v>
      </c>
      <c r="E17102" s="1">
        <v>80.082727</v>
      </c>
      <c r="F17102" s="1">
        <v>805.0</v>
      </c>
      <c r="G17102" s="1">
        <v>46.0</v>
      </c>
    </row>
    <row r="17103">
      <c r="A17103" s="1" t="s">
        <v>8</v>
      </c>
      <c r="B17103" s="2">
        <v>44788.0</v>
      </c>
      <c r="C17103" s="3">
        <v>0.6915625</v>
      </c>
      <c r="D17103" s="1">
        <v>12.889185</v>
      </c>
      <c r="E17103" s="1">
        <v>80.084134</v>
      </c>
      <c r="F17103" s="1">
        <v>805.0</v>
      </c>
      <c r="G17103" s="1">
        <v>42.0</v>
      </c>
    </row>
    <row r="17104">
      <c r="A17104" s="1" t="s">
        <v>8</v>
      </c>
      <c r="B17104" s="2">
        <v>44788.0</v>
      </c>
      <c r="C17104" s="3">
        <v>0.6917939814814815</v>
      </c>
      <c r="D17104" s="1">
        <v>12.890158</v>
      </c>
      <c r="E17104" s="1">
        <v>80.084543</v>
      </c>
      <c r="F17104" s="1">
        <v>5339.0</v>
      </c>
      <c r="G17104" s="1">
        <v>45.0</v>
      </c>
    </row>
    <row r="17105">
      <c r="A17105" s="1" t="s">
        <v>8</v>
      </c>
      <c r="B17105" s="2">
        <v>44788.0</v>
      </c>
      <c r="C17105" s="3">
        <v>0.6918287037037038</v>
      </c>
      <c r="D17105" s="1">
        <v>12.892135</v>
      </c>
      <c r="E17105" s="1">
        <v>80.08545</v>
      </c>
      <c r="F17105" s="1">
        <v>805.0</v>
      </c>
      <c r="G17105" s="1">
        <v>49.0</v>
      </c>
    </row>
    <row r="17106">
      <c r="A17106" s="1" t="s">
        <v>8</v>
      </c>
      <c r="B17106" s="2">
        <v>44788.0</v>
      </c>
      <c r="C17106" s="3">
        <v>0.6921412037037037</v>
      </c>
      <c r="D17106" s="1">
        <v>12.893858</v>
      </c>
      <c r="E17106" s="1">
        <v>80.086741</v>
      </c>
      <c r="F17106" s="1">
        <v>805.0</v>
      </c>
      <c r="G17106" s="1">
        <v>52.0</v>
      </c>
    </row>
    <row r="17107">
      <c r="A17107" s="1" t="s">
        <v>8</v>
      </c>
      <c r="B17107" s="2">
        <v>44788.0</v>
      </c>
      <c r="C17107" s="3">
        <v>0.6921990740740741</v>
      </c>
      <c r="D17107" s="1">
        <v>12.893498</v>
      </c>
      <c r="E17107" s="1">
        <v>80.08645</v>
      </c>
      <c r="F17107" s="1">
        <v>5339.0</v>
      </c>
      <c r="G17107" s="1">
        <v>56.0</v>
      </c>
    </row>
    <row r="17108">
      <c r="A17108" s="1" t="s">
        <v>8</v>
      </c>
      <c r="B17108" s="2">
        <v>44788.0</v>
      </c>
      <c r="C17108" s="3">
        <v>0.6922222222222222</v>
      </c>
      <c r="D17108" s="1">
        <v>12.854899</v>
      </c>
      <c r="E17108" s="1">
        <v>80.068408</v>
      </c>
      <c r="F17108" s="1">
        <v>2846.0</v>
      </c>
      <c r="G17108" s="1">
        <v>57.0</v>
      </c>
    </row>
    <row r="17109">
      <c r="A17109" s="1" t="s">
        <v>8</v>
      </c>
      <c r="B17109" s="2">
        <v>44788.0</v>
      </c>
      <c r="C17109" s="3">
        <v>0.692349537037037</v>
      </c>
      <c r="D17109" s="1">
        <v>12.897283</v>
      </c>
      <c r="E17109" s="1">
        <v>80.089293</v>
      </c>
      <c r="F17109" s="1">
        <v>805.0</v>
      </c>
      <c r="G17109" s="1">
        <v>50.0</v>
      </c>
    </row>
    <row r="17110">
      <c r="A17110" s="1" t="s">
        <v>7</v>
      </c>
      <c r="B17110" s="2">
        <v>44788.0</v>
      </c>
      <c r="C17110" s="3">
        <v>0.6924074074074074</v>
      </c>
      <c r="D17110" s="1">
        <v>12.853797</v>
      </c>
      <c r="E17110" s="1">
        <v>80.067581</v>
      </c>
      <c r="F17110" s="1">
        <v>2846.0</v>
      </c>
      <c r="G17110" s="1">
        <v>52.0</v>
      </c>
    </row>
    <row r="17111">
      <c r="A17111" s="1" t="s">
        <v>9</v>
      </c>
      <c r="B17111" s="2">
        <v>44788.0</v>
      </c>
      <c r="C17111" s="3">
        <v>0.6925347222222222</v>
      </c>
      <c r="D17111" s="1">
        <v>12.898901</v>
      </c>
      <c r="E17111" s="1">
        <v>80.090522</v>
      </c>
      <c r="F17111" s="1">
        <v>805.0</v>
      </c>
      <c r="G17111" s="1">
        <v>49.0</v>
      </c>
    </row>
    <row r="17112">
      <c r="A17112" s="1" t="s">
        <v>8</v>
      </c>
      <c r="B17112" s="2">
        <v>44788.0</v>
      </c>
      <c r="C17112" s="3">
        <v>0.692650462962963</v>
      </c>
      <c r="D17112" s="1">
        <v>12.851717</v>
      </c>
      <c r="E17112" s="1">
        <v>80.066071</v>
      </c>
      <c r="F17112" s="1">
        <v>2846.0</v>
      </c>
      <c r="G17112" s="1">
        <v>51.0</v>
      </c>
    </row>
    <row r="17113">
      <c r="A17113" s="1" t="s">
        <v>8</v>
      </c>
      <c r="B17113" s="2">
        <v>44788.0</v>
      </c>
      <c r="C17113" s="3">
        <v>0.6929050925925926</v>
      </c>
      <c r="D17113" s="1">
        <v>12.90199</v>
      </c>
      <c r="E17113" s="1">
        <v>80.092845</v>
      </c>
      <c r="F17113" s="1">
        <v>805.0</v>
      </c>
      <c r="G17113" s="1">
        <v>53.0</v>
      </c>
    </row>
    <row r="17114">
      <c r="A17114" s="1" t="s">
        <v>8</v>
      </c>
      <c r="B17114" s="2">
        <v>44788.0</v>
      </c>
      <c r="C17114" s="3">
        <v>0.6929976851851852</v>
      </c>
      <c r="D17114" s="1">
        <v>12.90199</v>
      </c>
      <c r="E17114" s="1">
        <v>80.092845</v>
      </c>
      <c r="F17114" s="1">
        <v>805.0</v>
      </c>
      <c r="G17114" s="1">
        <v>53.0</v>
      </c>
    </row>
    <row r="17115">
      <c r="A17115" s="1" t="s">
        <v>8</v>
      </c>
      <c r="B17115" s="2">
        <v>44788.0</v>
      </c>
      <c r="C17115" s="3">
        <v>0.6930555555555555</v>
      </c>
      <c r="D17115" s="1">
        <v>12.846706</v>
      </c>
      <c r="E17115" s="1">
        <v>80.062458</v>
      </c>
      <c r="F17115" s="1">
        <v>2846.0</v>
      </c>
      <c r="G17115" s="1">
        <v>42.0</v>
      </c>
    </row>
    <row r="17116">
      <c r="A17116" s="1" t="s">
        <v>8</v>
      </c>
      <c r="B17116" s="2">
        <v>44788.0</v>
      </c>
      <c r="C17116" s="3">
        <v>0.6933333333333334</v>
      </c>
      <c r="D17116" s="1">
        <v>12.903542</v>
      </c>
      <c r="E17116" s="1">
        <v>80.094156</v>
      </c>
      <c r="F17116" s="1">
        <v>5339.0</v>
      </c>
      <c r="G17116" s="1">
        <v>50.0</v>
      </c>
    </row>
    <row r="17117">
      <c r="A17117" s="1" t="s">
        <v>7</v>
      </c>
      <c r="B17117" s="2">
        <v>44788.0</v>
      </c>
      <c r="C17117" s="3">
        <v>0.6934143518518519</v>
      </c>
      <c r="D17117" s="1">
        <v>12.905171</v>
      </c>
      <c r="E17117" s="1">
        <v>80.095359</v>
      </c>
      <c r="F17117" s="1">
        <v>805.0</v>
      </c>
      <c r="G17117" s="1">
        <v>41.0</v>
      </c>
    </row>
    <row r="17118">
      <c r="A17118" s="1" t="s">
        <v>8</v>
      </c>
      <c r="B17118" s="2">
        <v>44788.0</v>
      </c>
      <c r="C17118" s="3">
        <v>0.6939814814814815</v>
      </c>
      <c r="D17118" s="1">
        <v>12.908901</v>
      </c>
      <c r="E17118" s="1">
        <v>80.098274</v>
      </c>
      <c r="F17118" s="1">
        <v>805.0</v>
      </c>
      <c r="G17118" s="1">
        <v>0.0</v>
      </c>
    </row>
    <row r="17119">
      <c r="A17119" s="1" t="s">
        <v>8</v>
      </c>
      <c r="B17119" s="2">
        <v>44788.0</v>
      </c>
      <c r="C17119" s="3">
        <v>0.6939814814814815</v>
      </c>
      <c r="D17119" s="1">
        <v>12.908901</v>
      </c>
      <c r="E17119" s="1">
        <v>80.098274</v>
      </c>
      <c r="F17119" s="1">
        <v>805.0</v>
      </c>
      <c r="G17119" s="1">
        <v>0.0</v>
      </c>
    </row>
    <row r="17120">
      <c r="A17120" s="1" t="s">
        <v>8</v>
      </c>
      <c r="B17120" s="2">
        <v>44788.0</v>
      </c>
      <c r="C17120" s="3">
        <v>0.6941782407407407</v>
      </c>
      <c r="D17120" s="1">
        <v>12.909498</v>
      </c>
      <c r="E17120" s="1">
        <v>80.099151</v>
      </c>
      <c r="F17120" s="1">
        <v>805.0</v>
      </c>
      <c r="G17120" s="1">
        <v>28.0</v>
      </c>
    </row>
    <row r="17121">
      <c r="A17121" s="1" t="s">
        <v>8</v>
      </c>
      <c r="B17121" s="2">
        <v>44788.0</v>
      </c>
      <c r="C17121" s="3">
        <v>0.6947569444444445</v>
      </c>
      <c r="D17121" s="1">
        <v>12.842138</v>
      </c>
      <c r="E17121" s="1">
        <v>80.057962</v>
      </c>
      <c r="F17121" s="1">
        <v>2846.0</v>
      </c>
      <c r="G17121" s="1">
        <v>48.0</v>
      </c>
    </row>
    <row r="17122">
      <c r="A17122" s="1" t="s">
        <v>9</v>
      </c>
      <c r="B17122" s="2">
        <v>44788.0</v>
      </c>
      <c r="C17122" s="3">
        <v>0.6949652777777777</v>
      </c>
      <c r="D17122" s="1">
        <v>12.842138</v>
      </c>
      <c r="E17122" s="1">
        <v>80.057962</v>
      </c>
      <c r="F17122" s="1">
        <v>2846.0</v>
      </c>
      <c r="G17122" s="1">
        <v>48.0</v>
      </c>
    </row>
    <row r="17123">
      <c r="A17123" s="1" t="s">
        <v>7</v>
      </c>
      <c r="B17123" s="2">
        <v>44788.0</v>
      </c>
      <c r="C17123" s="3">
        <v>0.6950925925925926</v>
      </c>
      <c r="D17123" s="1">
        <v>12.91548</v>
      </c>
      <c r="E17123" s="1">
        <v>80.102598</v>
      </c>
      <c r="F17123" s="1">
        <v>805.0</v>
      </c>
      <c r="G17123" s="1">
        <v>62.0</v>
      </c>
    </row>
    <row r="17124">
      <c r="A17124" s="1" t="s">
        <v>8</v>
      </c>
      <c r="B17124" s="2">
        <v>44788.0</v>
      </c>
      <c r="C17124" s="3">
        <v>0.6951157407407408</v>
      </c>
      <c r="D17124" s="1">
        <v>12.839102</v>
      </c>
      <c r="E17124" s="1">
        <v>80.05471</v>
      </c>
      <c r="F17124" s="1">
        <v>2846.0</v>
      </c>
      <c r="G17124" s="1">
        <v>52.0</v>
      </c>
    </row>
    <row r="17125">
      <c r="A17125" s="1" t="s">
        <v>7</v>
      </c>
      <c r="B17125" s="2">
        <v>44788.0</v>
      </c>
      <c r="C17125" s="3">
        <v>0.6951388888888889</v>
      </c>
      <c r="D17125" s="1">
        <v>12.91548</v>
      </c>
      <c r="E17125" s="1">
        <v>80.102598</v>
      </c>
      <c r="F17125" s="1">
        <v>805.0</v>
      </c>
      <c r="G17125" s="1">
        <v>62.0</v>
      </c>
    </row>
    <row r="17126">
      <c r="A17126" s="1" t="s">
        <v>8</v>
      </c>
      <c r="B17126" s="2">
        <v>44788.0</v>
      </c>
      <c r="C17126" s="3">
        <v>0.6952199074074074</v>
      </c>
      <c r="D17126" s="1">
        <v>12.911555</v>
      </c>
      <c r="E17126" s="1">
        <v>80.101312</v>
      </c>
      <c r="F17126" s="1">
        <v>5339.0</v>
      </c>
      <c r="G17126" s="1">
        <v>17.0</v>
      </c>
    </row>
    <row r="17127">
      <c r="A17127" s="1" t="s">
        <v>8</v>
      </c>
      <c r="B17127" s="2">
        <v>44788.0</v>
      </c>
      <c r="C17127" s="3">
        <v>0.6952314814814815</v>
      </c>
      <c r="D17127" s="1">
        <v>12.911555</v>
      </c>
      <c r="E17127" s="1">
        <v>80.101312</v>
      </c>
      <c r="F17127" s="1">
        <v>5339.0</v>
      </c>
      <c r="G17127" s="1">
        <v>17.0</v>
      </c>
    </row>
    <row r="17128">
      <c r="A17128" s="1" t="s">
        <v>8</v>
      </c>
      <c r="B17128" s="2">
        <v>44788.0</v>
      </c>
      <c r="C17128" s="3">
        <v>0.6952314814814815</v>
      </c>
      <c r="D17128" s="1">
        <v>12.911555</v>
      </c>
      <c r="E17128" s="1">
        <v>80.101312</v>
      </c>
      <c r="F17128" s="1">
        <v>5339.0</v>
      </c>
      <c r="G17128" s="1">
        <v>17.0</v>
      </c>
    </row>
    <row r="17129">
      <c r="A17129" s="1" t="s">
        <v>7</v>
      </c>
      <c r="B17129" s="2">
        <v>44788.0</v>
      </c>
      <c r="C17129" s="3">
        <v>0.6955324074074074</v>
      </c>
      <c r="D17129" s="1">
        <v>12.839102</v>
      </c>
      <c r="E17129" s="1">
        <v>80.05471</v>
      </c>
      <c r="F17129" s="1">
        <v>2846.0</v>
      </c>
      <c r="G17129" s="1">
        <v>52.0</v>
      </c>
    </row>
    <row r="17130">
      <c r="A17130" s="1" t="s">
        <v>8</v>
      </c>
      <c r="B17130" s="2">
        <v>44788.0</v>
      </c>
      <c r="C17130" s="3">
        <v>0.6957638888888888</v>
      </c>
      <c r="D17130" s="1">
        <v>12.915648</v>
      </c>
      <c r="E17130" s="1">
        <v>80.103444</v>
      </c>
      <c r="F17130" s="1">
        <v>5339.0</v>
      </c>
      <c r="G17130" s="1">
        <v>53.0</v>
      </c>
    </row>
    <row r="17131">
      <c r="A17131" s="1" t="s">
        <v>7</v>
      </c>
      <c r="B17131" s="2">
        <v>44788.0</v>
      </c>
      <c r="C17131" s="3">
        <v>0.6958449074074075</v>
      </c>
      <c r="D17131" s="1">
        <v>12.915821</v>
      </c>
      <c r="E17131" s="1">
        <v>80.10478</v>
      </c>
      <c r="F17131" s="1">
        <v>5339.0</v>
      </c>
      <c r="G17131" s="1">
        <v>50.0</v>
      </c>
    </row>
    <row r="17132">
      <c r="A17132" s="1" t="s">
        <v>7</v>
      </c>
      <c r="B17132" s="2">
        <v>44788.0</v>
      </c>
      <c r="C17132" s="3">
        <v>0.6958564814814815</v>
      </c>
      <c r="D17132" s="1">
        <v>12.832896</v>
      </c>
      <c r="E17132" s="1">
        <v>80.048234</v>
      </c>
      <c r="F17132" s="1">
        <v>2846.0</v>
      </c>
      <c r="G17132" s="1">
        <v>58.0</v>
      </c>
    </row>
    <row r="17133">
      <c r="A17133" s="1" t="s">
        <v>8</v>
      </c>
      <c r="B17133" s="2">
        <v>44788.0</v>
      </c>
      <c r="C17133" s="3">
        <v>0.6959606481481482</v>
      </c>
      <c r="D17133" s="1">
        <v>12.917051</v>
      </c>
      <c r="E17133" s="1">
        <v>80.107157</v>
      </c>
      <c r="F17133" s="1">
        <v>805.0</v>
      </c>
      <c r="G17133" s="1">
        <v>21.0</v>
      </c>
    </row>
    <row r="17134">
      <c r="A17134" s="1" t="s">
        <v>8</v>
      </c>
      <c r="B17134" s="2">
        <v>44788.0</v>
      </c>
      <c r="C17134" s="3">
        <v>0.6960069444444444</v>
      </c>
      <c r="D17134" s="1">
        <v>12.917932</v>
      </c>
      <c r="E17134" s="1">
        <v>80.108412</v>
      </c>
      <c r="F17134" s="1">
        <v>805.0</v>
      </c>
      <c r="G17134" s="1">
        <v>53.0</v>
      </c>
    </row>
    <row r="17135">
      <c r="A17135" s="1" t="s">
        <v>7</v>
      </c>
      <c r="B17135" s="2">
        <v>44788.0</v>
      </c>
      <c r="C17135" s="3">
        <v>0.6961689814814814</v>
      </c>
      <c r="D17135" s="1">
        <v>12.917932</v>
      </c>
      <c r="E17135" s="1">
        <v>80.108412</v>
      </c>
      <c r="F17135" s="1">
        <v>805.0</v>
      </c>
      <c r="G17135" s="1">
        <v>53.0</v>
      </c>
    </row>
    <row r="17136">
      <c r="A17136" s="1" t="s">
        <v>7</v>
      </c>
      <c r="B17136" s="2">
        <v>44788.0</v>
      </c>
      <c r="C17136" s="3">
        <v>0.696400462962963</v>
      </c>
      <c r="D17136" s="1">
        <v>12.921055</v>
      </c>
      <c r="E17136" s="1">
        <v>80.112067</v>
      </c>
      <c r="F17136" s="1">
        <v>805.0</v>
      </c>
      <c r="G17136" s="1">
        <v>59.0</v>
      </c>
    </row>
    <row r="17137">
      <c r="A17137" s="1" t="s">
        <v>8</v>
      </c>
      <c r="B17137" s="2">
        <v>44788.0</v>
      </c>
      <c r="C17137" s="3">
        <v>0.6966203703703704</v>
      </c>
      <c r="D17137" s="1">
        <v>12.828146</v>
      </c>
      <c r="E17137" s="1">
        <v>80.043234</v>
      </c>
      <c r="F17137" s="1">
        <v>2846.0</v>
      </c>
      <c r="G17137" s="1">
        <v>52.0</v>
      </c>
    </row>
    <row r="17138">
      <c r="A17138" s="1" t="s">
        <v>7</v>
      </c>
      <c r="B17138" s="2">
        <v>44788.0</v>
      </c>
      <c r="C17138" s="3">
        <v>0.6967939814814815</v>
      </c>
      <c r="D17138" s="1">
        <v>12.828146</v>
      </c>
      <c r="E17138" s="1">
        <v>80.043234</v>
      </c>
      <c r="F17138" s="1">
        <v>2846.0</v>
      </c>
      <c r="G17138" s="1">
        <v>52.0</v>
      </c>
    </row>
    <row r="17139">
      <c r="A17139" s="1" t="s">
        <v>8</v>
      </c>
      <c r="B17139" s="2">
        <v>44788.0</v>
      </c>
      <c r="C17139" s="3">
        <v>0.6969907407407407</v>
      </c>
      <c r="D17139" s="1">
        <v>12.824789</v>
      </c>
      <c r="E17139" s="1">
        <v>80.040218</v>
      </c>
      <c r="F17139" s="1">
        <v>2846.0</v>
      </c>
      <c r="G17139" s="1">
        <v>57.0</v>
      </c>
    </row>
    <row r="17140">
      <c r="A17140" s="1" t="s">
        <v>8</v>
      </c>
      <c r="B17140" s="2">
        <v>44788.0</v>
      </c>
      <c r="C17140" s="3">
        <v>0.6970486111111112</v>
      </c>
      <c r="D17140" s="1">
        <v>12.91761</v>
      </c>
      <c r="E17140" s="1">
        <v>80.10799</v>
      </c>
      <c r="F17140" s="1">
        <v>5339.0</v>
      </c>
      <c r="G17140" s="1">
        <v>43.0</v>
      </c>
    </row>
    <row r="17141">
      <c r="A17141" s="1" t="s">
        <v>8</v>
      </c>
      <c r="B17141" s="2">
        <v>44788.0</v>
      </c>
      <c r="C17141" s="3">
        <v>0.6970833333333334</v>
      </c>
      <c r="D17141" s="1">
        <v>12.923239</v>
      </c>
      <c r="E17141" s="1">
        <v>80.114302</v>
      </c>
      <c r="F17141" s="1">
        <v>805.0</v>
      </c>
      <c r="G17141" s="1">
        <v>21.0</v>
      </c>
    </row>
    <row r="17142">
      <c r="A17142" s="1" t="s">
        <v>8</v>
      </c>
      <c r="B17142" s="2">
        <v>44788.0</v>
      </c>
      <c r="C17142" s="3">
        <v>0.6971990740740741</v>
      </c>
      <c r="D17142" s="1">
        <v>12.924266</v>
      </c>
      <c r="E17142" s="1">
        <v>80.115306</v>
      </c>
      <c r="F17142" s="1">
        <v>805.0</v>
      </c>
      <c r="G17142" s="1">
        <v>49.0</v>
      </c>
    </row>
    <row r="17143">
      <c r="A17143" s="1" t="s">
        <v>7</v>
      </c>
      <c r="B17143" s="2">
        <v>44788.0</v>
      </c>
      <c r="C17143" s="3">
        <v>0.6974074074074074</v>
      </c>
      <c r="D17143" s="1">
        <v>12.920278</v>
      </c>
      <c r="E17143" s="1">
        <v>80.111287</v>
      </c>
      <c r="F17143" s="1">
        <v>5339.0</v>
      </c>
      <c r="G17143" s="1">
        <v>57.0</v>
      </c>
    </row>
    <row r="17144">
      <c r="A17144" s="1" t="s">
        <v>8</v>
      </c>
      <c r="B17144" s="2">
        <v>44788.0</v>
      </c>
      <c r="C17144" s="3">
        <v>0.6975578703703704</v>
      </c>
      <c r="D17144" s="1">
        <v>12.926855</v>
      </c>
      <c r="E17144" s="1">
        <v>80.117928</v>
      </c>
      <c r="F17144" s="1">
        <v>805.0</v>
      </c>
      <c r="G17144" s="1">
        <v>28.0</v>
      </c>
    </row>
    <row r="17145">
      <c r="A17145" s="1" t="s">
        <v>8</v>
      </c>
      <c r="B17145" s="2">
        <v>44788.0</v>
      </c>
      <c r="C17145" s="3">
        <v>0.6977430555555556</v>
      </c>
      <c r="D17145" s="1">
        <v>12.819204</v>
      </c>
      <c r="E17145" s="1">
        <v>80.036259</v>
      </c>
      <c r="F17145" s="1">
        <v>2846.0</v>
      </c>
      <c r="G17145" s="1">
        <v>38.0</v>
      </c>
    </row>
    <row r="17146">
      <c r="A17146" s="1" t="s">
        <v>7</v>
      </c>
      <c r="B17146" s="2">
        <v>44788.0</v>
      </c>
      <c r="C17146" s="3">
        <v>0.6980439814814815</v>
      </c>
      <c r="D17146" s="1">
        <v>12.817785</v>
      </c>
      <c r="E17146" s="1">
        <v>80.035219</v>
      </c>
      <c r="F17146" s="1">
        <v>2846.0</v>
      </c>
      <c r="G17146" s="1">
        <v>46.0</v>
      </c>
    </row>
    <row r="17147">
      <c r="A17147" s="1" t="s">
        <v>8</v>
      </c>
      <c r="B17147" s="2">
        <v>44788.0</v>
      </c>
      <c r="C17147" s="3">
        <v>0.6981018518518518</v>
      </c>
      <c r="D17147" s="1">
        <v>12.816044</v>
      </c>
      <c r="E17147" s="1">
        <v>80.034017</v>
      </c>
      <c r="F17147" s="1">
        <v>2846.0</v>
      </c>
      <c r="G17147" s="1">
        <v>59.0</v>
      </c>
    </row>
    <row r="17148">
      <c r="A17148" s="1" t="s">
        <v>8</v>
      </c>
      <c r="B17148" s="2">
        <v>44788.0</v>
      </c>
      <c r="C17148" s="3">
        <v>0.698275462962963</v>
      </c>
      <c r="D17148" s="1">
        <v>12.81413</v>
      </c>
      <c r="E17148" s="1">
        <v>80.032658</v>
      </c>
      <c r="F17148" s="1">
        <v>2846.0</v>
      </c>
      <c r="G17148" s="1">
        <v>57.0</v>
      </c>
    </row>
    <row r="17149">
      <c r="A17149" s="1" t="s">
        <v>8</v>
      </c>
      <c r="B17149" s="2">
        <v>44788.0</v>
      </c>
      <c r="C17149" s="3">
        <v>0.6983217592592592</v>
      </c>
      <c r="D17149" s="1">
        <v>12.925728</v>
      </c>
      <c r="E17149" s="1">
        <v>80.116826</v>
      </c>
      <c r="F17149" s="1">
        <v>5339.0</v>
      </c>
      <c r="G17149" s="1">
        <v>58.0</v>
      </c>
    </row>
    <row r="17150">
      <c r="A17150" s="1" t="s">
        <v>8</v>
      </c>
      <c r="B17150" s="2">
        <v>44788.0</v>
      </c>
      <c r="C17150" s="3">
        <v>0.6983564814814814</v>
      </c>
      <c r="D17150" s="1">
        <v>12.929756</v>
      </c>
      <c r="E17150" s="1">
        <v>80.120827</v>
      </c>
      <c r="F17150" s="1">
        <v>805.0</v>
      </c>
      <c r="G17150" s="1">
        <v>1.0</v>
      </c>
    </row>
    <row r="17151">
      <c r="A17151" s="1" t="s">
        <v>8</v>
      </c>
      <c r="B17151" s="2">
        <v>44788.0</v>
      </c>
      <c r="C17151" s="3">
        <v>0.6983564814814814</v>
      </c>
      <c r="D17151" s="1">
        <v>12.929756</v>
      </c>
      <c r="E17151" s="1">
        <v>80.120827</v>
      </c>
      <c r="F17151" s="1">
        <v>805.0</v>
      </c>
      <c r="G17151" s="1">
        <v>1.0</v>
      </c>
    </row>
    <row r="17152">
      <c r="A17152" s="1" t="s">
        <v>8</v>
      </c>
      <c r="B17152" s="2">
        <v>44788.0</v>
      </c>
      <c r="C17152" s="3">
        <v>0.6985069444444445</v>
      </c>
      <c r="D17152" s="1">
        <v>12.93</v>
      </c>
      <c r="E17152" s="1">
        <v>80.121057</v>
      </c>
      <c r="F17152" s="1">
        <v>805.0</v>
      </c>
      <c r="G17152" s="1">
        <v>14.0</v>
      </c>
    </row>
    <row r="17153">
      <c r="A17153" s="1" t="s">
        <v>10</v>
      </c>
      <c r="B17153" s="2">
        <v>44788.0</v>
      </c>
      <c r="C17153" s="3">
        <v>0.6986458333333333</v>
      </c>
      <c r="D17153" s="1">
        <v>12.927456</v>
      </c>
      <c r="E17153" s="1">
        <v>80.118552</v>
      </c>
      <c r="F17153" s="1">
        <v>5339.0</v>
      </c>
      <c r="G17153" s="1">
        <v>20.0</v>
      </c>
    </row>
    <row r="17154">
      <c r="A17154" s="1" t="s">
        <v>8</v>
      </c>
      <c r="B17154" s="2">
        <v>44788.0</v>
      </c>
      <c r="C17154" s="3">
        <v>0.6989004629629629</v>
      </c>
      <c r="D17154" s="1">
        <v>12.92811</v>
      </c>
      <c r="E17154" s="1">
        <v>80.119169</v>
      </c>
      <c r="F17154" s="1">
        <v>5339.0</v>
      </c>
      <c r="G17154" s="1">
        <v>33.0</v>
      </c>
    </row>
    <row r="17155">
      <c r="A17155" s="1" t="s">
        <v>8</v>
      </c>
      <c r="B17155" s="2">
        <v>44788.0</v>
      </c>
      <c r="C17155" s="3">
        <v>0.6991319444444445</v>
      </c>
      <c r="D17155" s="1">
        <v>12.932466</v>
      </c>
      <c r="E17155" s="1">
        <v>80.123551</v>
      </c>
      <c r="F17155" s="1">
        <v>805.0</v>
      </c>
      <c r="G17155" s="1">
        <v>43.0</v>
      </c>
    </row>
    <row r="17156">
      <c r="A17156" s="1" t="s">
        <v>8</v>
      </c>
      <c r="B17156" s="2">
        <v>44788.0</v>
      </c>
      <c r="C17156" s="3">
        <v>0.7002546296296296</v>
      </c>
      <c r="D17156" s="1">
        <v>12.932235</v>
      </c>
      <c r="E17156" s="1">
        <v>80.123358</v>
      </c>
      <c r="F17156" s="1">
        <v>5339.0</v>
      </c>
      <c r="G17156" s="1">
        <v>30.0</v>
      </c>
    </row>
    <row r="17157">
      <c r="A17157" s="1" t="s">
        <v>8</v>
      </c>
      <c r="B17157" s="2">
        <v>44788.0</v>
      </c>
      <c r="C17157" s="3">
        <v>0.7005671296296296</v>
      </c>
      <c r="D17157" s="1">
        <v>12.936618</v>
      </c>
      <c r="E17157" s="1">
        <v>80.127416</v>
      </c>
      <c r="F17157" s="1">
        <v>805.0</v>
      </c>
      <c r="G17157" s="1">
        <v>24.0</v>
      </c>
    </row>
    <row r="17158">
      <c r="A17158" s="1" t="s">
        <v>8</v>
      </c>
      <c r="B17158" s="2">
        <v>44788.0</v>
      </c>
      <c r="C17158" s="3">
        <v>0.7006134259259259</v>
      </c>
      <c r="D17158" s="1">
        <v>12.93776</v>
      </c>
      <c r="E17158" s="1">
        <v>80.128448</v>
      </c>
      <c r="F17158" s="1">
        <v>805.0</v>
      </c>
      <c r="G17158" s="1">
        <v>51.0</v>
      </c>
    </row>
    <row r="17159">
      <c r="A17159" s="1" t="s">
        <v>8</v>
      </c>
      <c r="B17159" s="2">
        <v>44788.0</v>
      </c>
      <c r="C17159" s="3">
        <v>0.7009722222222222</v>
      </c>
      <c r="D17159" s="1">
        <v>12.941143</v>
      </c>
      <c r="E17159" s="1">
        <v>80.131613</v>
      </c>
      <c r="F17159" s="1">
        <v>805.0</v>
      </c>
      <c r="G17159" s="1">
        <v>58.0</v>
      </c>
    </row>
    <row r="17160">
      <c r="A17160" s="1" t="s">
        <v>8</v>
      </c>
      <c r="B17160" s="2">
        <v>44788.0</v>
      </c>
      <c r="C17160" s="3">
        <v>0.7012731481481481</v>
      </c>
      <c r="D17160" s="1">
        <v>12.942703</v>
      </c>
      <c r="E17160" s="1">
        <v>80.133228</v>
      </c>
      <c r="F17160" s="1">
        <v>805.0</v>
      </c>
      <c r="G17160" s="1">
        <v>45.0</v>
      </c>
    </row>
    <row r="17161">
      <c r="A17161" s="1" t="s">
        <v>8</v>
      </c>
      <c r="B17161" s="2">
        <v>44788.0</v>
      </c>
      <c r="C17161" s="3">
        <v>0.7016666666666667</v>
      </c>
      <c r="D17161" s="1">
        <v>12.936232</v>
      </c>
      <c r="E17161" s="1">
        <v>80.127165</v>
      </c>
      <c r="F17161" s="1">
        <v>5339.0</v>
      </c>
      <c r="G17161" s="1">
        <v>28.0</v>
      </c>
    </row>
    <row r="17162">
      <c r="A17162" s="1" t="s">
        <v>8</v>
      </c>
      <c r="B17162" s="2">
        <v>44788.0</v>
      </c>
      <c r="C17162" s="3">
        <v>0.7017129629629629</v>
      </c>
      <c r="D17162" s="1">
        <v>12.946724</v>
      </c>
      <c r="E17162" s="1">
        <v>80.136582</v>
      </c>
      <c r="F17162" s="1">
        <v>805.0</v>
      </c>
      <c r="G17162" s="1">
        <v>51.0</v>
      </c>
    </row>
    <row r="17163">
      <c r="A17163" s="1" t="s">
        <v>8</v>
      </c>
      <c r="B17163" s="2">
        <v>44788.0</v>
      </c>
      <c r="C17163" s="3">
        <v>0.7017939814814815</v>
      </c>
      <c r="D17163" s="1">
        <v>12.946724</v>
      </c>
      <c r="E17163" s="1">
        <v>80.136582</v>
      </c>
      <c r="F17163" s="1">
        <v>805.0</v>
      </c>
      <c r="G17163" s="1">
        <v>51.0</v>
      </c>
    </row>
    <row r="17164">
      <c r="A17164" s="1" t="s">
        <v>7</v>
      </c>
      <c r="B17164" s="2">
        <v>44788.0</v>
      </c>
      <c r="C17164" s="3">
        <v>0.7023495370370371</v>
      </c>
      <c r="D17164" s="1">
        <v>12.772456</v>
      </c>
      <c r="E17164" s="1">
        <v>80.008442</v>
      </c>
      <c r="F17164" s="1">
        <v>2846.0</v>
      </c>
      <c r="G17164" s="1">
        <v>57.0</v>
      </c>
    </row>
    <row r="17165">
      <c r="A17165" s="1" t="s">
        <v>8</v>
      </c>
      <c r="B17165" s="2">
        <v>44788.0</v>
      </c>
      <c r="C17165" s="3">
        <v>0.7024074074074074</v>
      </c>
      <c r="D17165" s="1">
        <v>12.772456</v>
      </c>
      <c r="E17165" s="1">
        <v>80.008442</v>
      </c>
      <c r="F17165" s="1">
        <v>2846.0</v>
      </c>
      <c r="G17165" s="1">
        <v>57.0</v>
      </c>
    </row>
    <row r="17166">
      <c r="A17166" s="1" t="s">
        <v>8</v>
      </c>
      <c r="B17166" s="2">
        <v>44788.0</v>
      </c>
      <c r="C17166" s="3">
        <v>0.7025</v>
      </c>
      <c r="D17166" s="1">
        <v>12.77039</v>
      </c>
      <c r="E17166" s="1">
        <v>80.007491</v>
      </c>
      <c r="F17166" s="1">
        <v>2846.0</v>
      </c>
      <c r="G17166" s="1">
        <v>53.0</v>
      </c>
    </row>
    <row r="17167">
      <c r="A17167" s="1" t="s">
        <v>7</v>
      </c>
      <c r="B17167" s="2">
        <v>44788.0</v>
      </c>
      <c r="C17167" s="3">
        <v>0.702650462962963</v>
      </c>
      <c r="D17167" s="1">
        <v>12.768393</v>
      </c>
      <c r="E17167" s="1">
        <v>80.006489</v>
      </c>
      <c r="F17167" s="1">
        <v>2846.0</v>
      </c>
      <c r="G17167" s="1">
        <v>54.0</v>
      </c>
    </row>
    <row r="17168">
      <c r="A17168" s="1" t="s">
        <v>7</v>
      </c>
      <c r="B17168" s="2">
        <v>44788.0</v>
      </c>
      <c r="C17168" s="3">
        <v>0.7029050925925926</v>
      </c>
      <c r="D17168" s="1">
        <v>12.766366</v>
      </c>
      <c r="E17168" s="1">
        <v>80.005513</v>
      </c>
      <c r="F17168" s="1">
        <v>2846.0</v>
      </c>
      <c r="G17168" s="1">
        <v>58.0</v>
      </c>
    </row>
    <row r="17169">
      <c r="A17169" s="1" t="s">
        <v>8</v>
      </c>
      <c r="B17169" s="2">
        <v>44788.0</v>
      </c>
      <c r="C17169" s="3">
        <v>0.7030324074074074</v>
      </c>
      <c r="D17169" s="1">
        <v>12.947783</v>
      </c>
      <c r="E17169" s="1">
        <v>80.137382</v>
      </c>
      <c r="F17169" s="1">
        <v>5339.0</v>
      </c>
      <c r="G17169" s="1">
        <v>43.0</v>
      </c>
    </row>
    <row r="17170">
      <c r="A17170" s="1" t="s">
        <v>8</v>
      </c>
      <c r="B17170" s="2">
        <v>44788.0</v>
      </c>
      <c r="C17170" s="3">
        <v>0.7031712962962963</v>
      </c>
      <c r="D17170" s="1">
        <v>12.952131</v>
      </c>
      <c r="E17170" s="1">
        <v>80.14071</v>
      </c>
      <c r="F17170" s="1">
        <v>805.0</v>
      </c>
      <c r="G17170" s="1">
        <v>32.0</v>
      </c>
    </row>
    <row r="17171">
      <c r="A17171" s="1" t="s">
        <v>8</v>
      </c>
      <c r="B17171" s="2">
        <v>44788.0</v>
      </c>
      <c r="C17171" s="3">
        <v>0.7033680555555556</v>
      </c>
      <c r="D17171" s="1">
        <v>12.953576</v>
      </c>
      <c r="E17171" s="1">
        <v>80.141698</v>
      </c>
      <c r="F17171" s="1">
        <v>805.0</v>
      </c>
      <c r="G17171" s="1">
        <v>53.0</v>
      </c>
    </row>
    <row r="17172">
      <c r="A17172" s="1" t="s">
        <v>7</v>
      </c>
      <c r="B17172" s="2">
        <v>44788.0</v>
      </c>
      <c r="C17172" s="3">
        <v>0.7037847222222222</v>
      </c>
      <c r="D17172" s="1">
        <v>12.759256</v>
      </c>
      <c r="E17172" s="1">
        <v>80.003135</v>
      </c>
      <c r="F17172" s="1">
        <v>2846.0</v>
      </c>
      <c r="G17172" s="1">
        <v>36.0</v>
      </c>
    </row>
    <row r="17173">
      <c r="A17173" s="1" t="s">
        <v>7</v>
      </c>
      <c r="B17173" s="2">
        <v>44788.0</v>
      </c>
      <c r="C17173" s="3">
        <v>0.7040277777777778</v>
      </c>
      <c r="D17173" s="1">
        <v>12.75752</v>
      </c>
      <c r="E17173" s="1">
        <v>80.002572</v>
      </c>
      <c r="F17173" s="1">
        <v>2846.0</v>
      </c>
      <c r="G17173" s="1">
        <v>50.0</v>
      </c>
    </row>
    <row r="17174">
      <c r="A17174" s="1" t="s">
        <v>7</v>
      </c>
      <c r="B17174" s="2">
        <v>44788.0</v>
      </c>
      <c r="C17174" s="3">
        <v>0.7043055555555555</v>
      </c>
      <c r="D17174" s="1">
        <v>12.753556</v>
      </c>
      <c r="E17174" s="1">
        <v>80.00039</v>
      </c>
      <c r="F17174" s="1">
        <v>2846.0</v>
      </c>
      <c r="G17174" s="1">
        <v>58.0</v>
      </c>
    </row>
    <row r="17175">
      <c r="A17175" s="1" t="s">
        <v>10</v>
      </c>
      <c r="B17175" s="2">
        <v>44788.0</v>
      </c>
      <c r="C17175" s="3">
        <v>0.7044675925925926</v>
      </c>
      <c r="D17175" s="1">
        <v>12.959894</v>
      </c>
      <c r="E17175" s="1">
        <v>80.144886</v>
      </c>
      <c r="F17175" s="1">
        <v>805.0</v>
      </c>
      <c r="G17175" s="1">
        <v>10.0</v>
      </c>
    </row>
    <row r="17176">
      <c r="A17176" s="1" t="s">
        <v>9</v>
      </c>
      <c r="B17176" s="2">
        <v>44788.0</v>
      </c>
      <c r="C17176" s="3">
        <v>0.7045601851851852</v>
      </c>
      <c r="D17176" s="1">
        <v>12.751602</v>
      </c>
      <c r="E17176" s="1">
        <v>79.999102</v>
      </c>
      <c r="F17176" s="1">
        <v>2846.0</v>
      </c>
      <c r="G17176" s="1">
        <v>58.0</v>
      </c>
    </row>
    <row r="17177">
      <c r="A17177" s="1" t="s">
        <v>7</v>
      </c>
      <c r="B17177" s="2">
        <v>44788.0</v>
      </c>
      <c r="C17177" s="3">
        <v>0.7047569444444445</v>
      </c>
      <c r="D17177" s="1">
        <v>12.749694</v>
      </c>
      <c r="E17177" s="1">
        <v>79.997727</v>
      </c>
      <c r="F17177" s="1">
        <v>2846.0</v>
      </c>
      <c r="G17177" s="1">
        <v>58.0</v>
      </c>
    </row>
    <row r="17178">
      <c r="A17178" s="1" t="s">
        <v>8</v>
      </c>
      <c r="B17178" s="2">
        <v>44788.0</v>
      </c>
      <c r="C17178" s="3">
        <v>0.7047685185185185</v>
      </c>
      <c r="D17178" s="1">
        <v>12.960518</v>
      </c>
      <c r="E17178" s="1">
        <v>80.145205</v>
      </c>
      <c r="F17178" s="1">
        <v>805.0</v>
      </c>
      <c r="G17178" s="1">
        <v>21.0</v>
      </c>
    </row>
    <row r="17179">
      <c r="A17179" s="1" t="s">
        <v>7</v>
      </c>
      <c r="B17179" s="2">
        <v>44788.0</v>
      </c>
      <c r="C17179" s="3">
        <v>0.7048032407407407</v>
      </c>
      <c r="D17179" s="1">
        <v>12.749694</v>
      </c>
      <c r="E17179" s="1">
        <v>79.997727</v>
      </c>
      <c r="F17179" s="1">
        <v>2846.0</v>
      </c>
      <c r="G17179" s="1">
        <v>58.0</v>
      </c>
    </row>
    <row r="17180">
      <c r="A17180" s="1" t="s">
        <v>8</v>
      </c>
      <c r="B17180" s="2">
        <v>44788.0</v>
      </c>
      <c r="C17180" s="3">
        <v>0.7049305555555555</v>
      </c>
      <c r="D17180" s="1">
        <v>12.96193</v>
      </c>
      <c r="E17180" s="1">
        <v>80.146016</v>
      </c>
      <c r="F17180" s="1">
        <v>805.0</v>
      </c>
      <c r="G17180" s="1">
        <v>54.0</v>
      </c>
    </row>
    <row r="17181">
      <c r="A17181" s="1" t="s">
        <v>8</v>
      </c>
      <c r="B17181" s="2">
        <v>44788.0</v>
      </c>
      <c r="C17181" s="3">
        <v>0.7052430555555556</v>
      </c>
      <c r="D17181" s="1">
        <v>12.956362</v>
      </c>
      <c r="E17181" s="1">
        <v>80.143212</v>
      </c>
      <c r="F17181" s="1">
        <v>5339.0</v>
      </c>
      <c r="G17181" s="1">
        <v>21.0</v>
      </c>
    </row>
    <row r="17182">
      <c r="A17182" s="1" t="s">
        <v>8</v>
      </c>
      <c r="B17182" s="2">
        <v>44788.0</v>
      </c>
      <c r="C17182" s="3">
        <v>0.7052662037037037</v>
      </c>
      <c r="D17182" s="1">
        <v>12.956956</v>
      </c>
      <c r="E17182" s="1">
        <v>80.143521</v>
      </c>
      <c r="F17182" s="1">
        <v>5339.0</v>
      </c>
      <c r="G17182" s="1">
        <v>26.0</v>
      </c>
    </row>
    <row r="17183">
      <c r="A17183" s="1" t="s">
        <v>7</v>
      </c>
      <c r="B17183" s="2">
        <v>44788.0</v>
      </c>
      <c r="C17183" s="3">
        <v>0.705474537037037</v>
      </c>
      <c r="D17183" s="1">
        <v>12.96666</v>
      </c>
      <c r="E17183" s="1">
        <v>80.148719</v>
      </c>
      <c r="F17183" s="1">
        <v>805.0</v>
      </c>
      <c r="G17183" s="1">
        <v>33.0</v>
      </c>
    </row>
    <row r="17184">
      <c r="A17184" s="1" t="s">
        <v>7</v>
      </c>
      <c r="B17184" s="2">
        <v>44788.0</v>
      </c>
      <c r="C17184" s="3">
        <v>0.7058333333333333</v>
      </c>
      <c r="D17184" s="1">
        <v>12.746278</v>
      </c>
      <c r="E17184" s="1">
        <v>79.995016</v>
      </c>
      <c r="F17184" s="1">
        <v>2846.0</v>
      </c>
      <c r="G17184" s="1">
        <v>57.0</v>
      </c>
    </row>
    <row r="17185">
      <c r="A17185" s="1" t="s">
        <v>7</v>
      </c>
      <c r="B17185" s="2">
        <v>44788.0</v>
      </c>
      <c r="C17185" s="3">
        <v>0.7061111111111111</v>
      </c>
      <c r="D17185" s="1">
        <v>12.740023</v>
      </c>
      <c r="E17185" s="1">
        <v>79.989965</v>
      </c>
      <c r="F17185" s="1">
        <v>2846.0</v>
      </c>
      <c r="G17185" s="1">
        <v>53.0</v>
      </c>
    </row>
    <row r="17186">
      <c r="A17186" s="1" t="s">
        <v>8</v>
      </c>
      <c r="B17186" s="2">
        <v>44788.0</v>
      </c>
      <c r="C17186" s="3">
        <v>0.70625</v>
      </c>
      <c r="D17186" s="1">
        <v>12.973508</v>
      </c>
      <c r="E17186" s="1">
        <v>80.153351</v>
      </c>
      <c r="F17186" s="1">
        <v>805.0</v>
      </c>
      <c r="G17186" s="1">
        <v>58.0</v>
      </c>
    </row>
    <row r="17187">
      <c r="A17187" s="1" t="s">
        <v>7</v>
      </c>
      <c r="B17187" s="2">
        <v>44788.0</v>
      </c>
      <c r="C17187" s="3">
        <v>0.7064467592592593</v>
      </c>
      <c r="D17187" s="1">
        <v>12.736311</v>
      </c>
      <c r="E17187" s="1">
        <v>79.987187</v>
      </c>
      <c r="F17187" s="1">
        <v>2846.0</v>
      </c>
      <c r="G17187" s="1">
        <v>58.0</v>
      </c>
    </row>
    <row r="17188">
      <c r="A17188" s="1" t="s">
        <v>7</v>
      </c>
      <c r="B17188" s="2">
        <v>44788.0</v>
      </c>
      <c r="C17188" s="3">
        <v>0.7064814814814815</v>
      </c>
      <c r="D17188" s="1">
        <v>12.974856</v>
      </c>
      <c r="E17188" s="1">
        <v>80.155345</v>
      </c>
      <c r="F17188" s="1">
        <v>805.0</v>
      </c>
      <c r="G17188" s="1">
        <v>56.0</v>
      </c>
    </row>
    <row r="17189">
      <c r="A17189" s="1" t="s">
        <v>8</v>
      </c>
      <c r="B17189" s="2">
        <v>44788.0</v>
      </c>
      <c r="C17189" s="3">
        <v>0.7067129629629629</v>
      </c>
      <c r="D17189" s="1">
        <v>12.733166</v>
      </c>
      <c r="E17189" s="1">
        <v>79.98372</v>
      </c>
      <c r="F17189" s="1">
        <v>2846.0</v>
      </c>
      <c r="G17189" s="1">
        <v>55.0</v>
      </c>
    </row>
    <row r="17190">
      <c r="A17190" s="1" t="s">
        <v>7</v>
      </c>
      <c r="B17190" s="2">
        <v>44788.0</v>
      </c>
      <c r="C17190" s="3">
        <v>0.7068402777777778</v>
      </c>
      <c r="D17190" s="1">
        <v>12.977352</v>
      </c>
      <c r="E17190" s="1">
        <v>80.159016</v>
      </c>
      <c r="F17190" s="1">
        <v>805.0</v>
      </c>
      <c r="G17190" s="1">
        <v>56.0</v>
      </c>
    </row>
    <row r="17191">
      <c r="A17191" s="1" t="s">
        <v>7</v>
      </c>
      <c r="B17191" s="2">
        <v>44788.0</v>
      </c>
      <c r="C17191" s="3">
        <v>0.707025462962963</v>
      </c>
      <c r="D17191" s="1">
        <v>12.731095</v>
      </c>
      <c r="E17191" s="1">
        <v>79.983065</v>
      </c>
      <c r="F17191" s="1">
        <v>2846.0</v>
      </c>
      <c r="G17191" s="1">
        <v>57.0</v>
      </c>
    </row>
    <row r="17192">
      <c r="A17192" s="1" t="s">
        <v>7</v>
      </c>
      <c r="B17192" s="2">
        <v>44788.0</v>
      </c>
      <c r="C17192" s="3">
        <v>0.7070949074074074</v>
      </c>
      <c r="D17192" s="1">
        <v>12.731095</v>
      </c>
      <c r="E17192" s="1">
        <v>79.983065</v>
      </c>
      <c r="F17192" s="1">
        <v>2846.0</v>
      </c>
      <c r="G17192" s="1">
        <v>57.0</v>
      </c>
    </row>
    <row r="17193">
      <c r="A17193" s="1" t="s">
        <v>8</v>
      </c>
      <c r="B17193" s="2">
        <v>44788.0</v>
      </c>
      <c r="C17193" s="3">
        <v>0.7071643518518519</v>
      </c>
      <c r="D17193" s="1">
        <v>12.731095</v>
      </c>
      <c r="E17193" s="1">
        <v>79.983065</v>
      </c>
      <c r="F17193" s="1">
        <v>2846.0</v>
      </c>
      <c r="G17193" s="1">
        <v>57.0</v>
      </c>
    </row>
    <row r="17194">
      <c r="A17194" s="1" t="s">
        <v>8</v>
      </c>
      <c r="B17194" s="2">
        <v>44788.0</v>
      </c>
      <c r="C17194" s="3">
        <v>0.7073726851851851</v>
      </c>
      <c r="D17194" s="1">
        <v>12.96478</v>
      </c>
      <c r="E17194" s="1">
        <v>80.147769</v>
      </c>
      <c r="F17194" s="1">
        <v>5339.0</v>
      </c>
      <c r="G17194" s="1">
        <v>47.0</v>
      </c>
    </row>
    <row r="17195">
      <c r="A17195" s="1" t="s">
        <v>7</v>
      </c>
      <c r="B17195" s="2">
        <v>44788.0</v>
      </c>
      <c r="C17195" s="3">
        <v>0.7075578703703703</v>
      </c>
      <c r="D17195" s="1">
        <v>12.981914</v>
      </c>
      <c r="E17195" s="1">
        <v>80.167324</v>
      </c>
      <c r="F17195" s="1">
        <v>805.0</v>
      </c>
      <c r="G17195" s="1">
        <v>58.0</v>
      </c>
    </row>
    <row r="17196">
      <c r="A17196" s="1" t="s">
        <v>8</v>
      </c>
      <c r="B17196" s="2">
        <v>44788.0</v>
      </c>
      <c r="C17196" s="3">
        <v>0.7077546296296297</v>
      </c>
      <c r="D17196" s="1">
        <v>12.967682</v>
      </c>
      <c r="E17196" s="1">
        <v>80.149261</v>
      </c>
      <c r="F17196" s="1">
        <v>5339.0</v>
      </c>
      <c r="G17196" s="1">
        <v>42.0</v>
      </c>
    </row>
    <row r="17197">
      <c r="A17197" s="1" t="s">
        <v>8</v>
      </c>
      <c r="B17197" s="2">
        <v>44788.0</v>
      </c>
      <c r="C17197" s="3">
        <v>0.7077546296296297</v>
      </c>
      <c r="D17197" s="1">
        <v>12.983134</v>
      </c>
      <c r="E17197" s="1">
        <v>80.169384</v>
      </c>
      <c r="F17197" s="1">
        <v>805.0</v>
      </c>
      <c r="G17197" s="1">
        <v>58.0</v>
      </c>
    </row>
    <row r="17198">
      <c r="A17198" s="1" t="s">
        <v>7</v>
      </c>
      <c r="B17198" s="2">
        <v>44788.0</v>
      </c>
      <c r="C17198" s="3">
        <v>0.708136574074074</v>
      </c>
      <c r="D17198" s="1">
        <v>12.985284</v>
      </c>
      <c r="E17198" s="1">
        <v>80.172944</v>
      </c>
      <c r="F17198" s="1">
        <v>805.0</v>
      </c>
      <c r="G17198" s="1">
        <v>42.0</v>
      </c>
    </row>
    <row r="17199">
      <c r="A17199" s="1" t="s">
        <v>8</v>
      </c>
      <c r="B17199" s="2">
        <v>44788.0</v>
      </c>
      <c r="C17199" s="3">
        <v>0.7081944444444445</v>
      </c>
      <c r="D17199" s="1">
        <v>12.985284</v>
      </c>
      <c r="E17199" s="1">
        <v>80.172944</v>
      </c>
      <c r="F17199" s="1">
        <v>805.0</v>
      </c>
      <c r="G17199" s="1">
        <v>42.0</v>
      </c>
    </row>
    <row r="17200">
      <c r="A17200" s="1" t="s">
        <v>8</v>
      </c>
      <c r="B17200" s="2">
        <v>44788.0</v>
      </c>
      <c r="C17200" s="3">
        <v>0.7084722222222222</v>
      </c>
      <c r="D17200" s="1">
        <v>12.974989</v>
      </c>
      <c r="E17200" s="1">
        <v>80.155526</v>
      </c>
      <c r="F17200" s="1">
        <v>5339.0</v>
      </c>
      <c r="G17200" s="1">
        <v>55.0</v>
      </c>
    </row>
    <row r="17201">
      <c r="A17201" s="1" t="s">
        <v>8</v>
      </c>
      <c r="B17201" s="2">
        <v>44788.0</v>
      </c>
      <c r="C17201" s="3">
        <v>0.7088310185185185</v>
      </c>
      <c r="D17201" s="1">
        <v>12.977274</v>
      </c>
      <c r="E17201" s="1">
        <v>80.158917</v>
      </c>
      <c r="F17201" s="1">
        <v>5339.0</v>
      </c>
      <c r="G17201" s="1">
        <v>51.0</v>
      </c>
    </row>
    <row r="17202">
      <c r="A17202" s="1" t="s">
        <v>7</v>
      </c>
      <c r="B17202" s="2">
        <v>44788.0</v>
      </c>
      <c r="C17202" s="3">
        <v>0.7088657407407407</v>
      </c>
      <c r="D17202" s="1">
        <v>12.989902</v>
      </c>
      <c r="E17202" s="1">
        <v>80.179254</v>
      </c>
      <c r="F17202" s="1">
        <v>805.0</v>
      </c>
      <c r="G17202" s="1">
        <v>43.0</v>
      </c>
    </row>
    <row r="17203">
      <c r="A17203" s="1" t="s">
        <v>8</v>
      </c>
      <c r="B17203" s="2">
        <v>44788.0</v>
      </c>
      <c r="C17203" s="3">
        <v>0.7088773148148149</v>
      </c>
      <c r="D17203" s="1">
        <v>12.989902</v>
      </c>
      <c r="E17203" s="1">
        <v>80.179254</v>
      </c>
      <c r="F17203" s="1">
        <v>805.0</v>
      </c>
      <c r="G17203" s="1">
        <v>43.0</v>
      </c>
    </row>
    <row r="17204">
      <c r="A17204" s="1" t="s">
        <v>7</v>
      </c>
      <c r="B17204" s="2">
        <v>44788.0</v>
      </c>
      <c r="C17204" s="3">
        <v>0.7090046296296296</v>
      </c>
      <c r="D17204" s="1">
        <v>12.978004</v>
      </c>
      <c r="E17204" s="1">
        <v>80.159995</v>
      </c>
      <c r="F17204" s="1">
        <v>5339.0</v>
      </c>
      <c r="G17204" s="1">
        <v>51.0</v>
      </c>
    </row>
    <row r="17205">
      <c r="A17205" s="1" t="s">
        <v>8</v>
      </c>
      <c r="B17205" s="2">
        <v>44788.0</v>
      </c>
      <c r="C17205" s="3">
        <v>0.7090740740740741</v>
      </c>
      <c r="D17205" s="1">
        <v>12.978766</v>
      </c>
      <c r="E17205" s="1">
        <v>80.161039</v>
      </c>
      <c r="F17205" s="1">
        <v>5339.0</v>
      </c>
      <c r="G17205" s="1">
        <v>48.0</v>
      </c>
    </row>
    <row r="17206">
      <c r="A17206" s="1" t="s">
        <v>8</v>
      </c>
      <c r="B17206" s="2">
        <v>44788.0</v>
      </c>
      <c r="C17206" s="3">
        <v>0.7091550925925926</v>
      </c>
      <c r="D17206" s="1">
        <v>12.991149</v>
      </c>
      <c r="E17206" s="1">
        <v>80.180864</v>
      </c>
      <c r="F17206" s="1">
        <v>805.0</v>
      </c>
      <c r="G17206" s="1">
        <v>54.0</v>
      </c>
    </row>
    <row r="17207">
      <c r="A17207" s="1" t="s">
        <v>8</v>
      </c>
      <c r="B17207" s="2">
        <v>44788.0</v>
      </c>
      <c r="C17207" s="3">
        <v>0.7094328703703704</v>
      </c>
      <c r="D17207" s="1">
        <v>12.724024</v>
      </c>
      <c r="E17207" s="1">
        <v>79.982148</v>
      </c>
      <c r="F17207" s="1">
        <v>2846.0</v>
      </c>
      <c r="G17207" s="1">
        <v>0.0</v>
      </c>
    </row>
    <row r="17208">
      <c r="A17208" s="1" t="s">
        <v>8</v>
      </c>
      <c r="B17208" s="2">
        <v>44788.0</v>
      </c>
      <c r="C17208" s="3">
        <v>0.7094675925925926</v>
      </c>
      <c r="D17208" s="1">
        <v>12.980353</v>
      </c>
      <c r="E17208" s="1">
        <v>80.164276</v>
      </c>
      <c r="F17208" s="1">
        <v>5339.0</v>
      </c>
      <c r="G17208" s="1">
        <v>53.0</v>
      </c>
    </row>
    <row r="17209">
      <c r="A17209" s="1" t="s">
        <v>8</v>
      </c>
      <c r="B17209" s="2">
        <v>44788.0</v>
      </c>
      <c r="C17209" s="3">
        <v>0.7095023148148148</v>
      </c>
      <c r="D17209" s="1">
        <v>12.980353</v>
      </c>
      <c r="E17209" s="1">
        <v>80.164276</v>
      </c>
      <c r="F17209" s="1">
        <v>5339.0</v>
      </c>
      <c r="G17209" s="1">
        <v>53.0</v>
      </c>
    </row>
    <row r="17210">
      <c r="A17210" s="1" t="s">
        <v>7</v>
      </c>
      <c r="B17210" s="2">
        <v>44788.0</v>
      </c>
      <c r="C17210" s="3">
        <v>0.7097222222222223</v>
      </c>
      <c r="D17210" s="1">
        <v>12.981578</v>
      </c>
      <c r="E17210" s="1">
        <v>80.166787</v>
      </c>
      <c r="F17210" s="1">
        <v>5339.0</v>
      </c>
      <c r="G17210" s="1">
        <v>56.0</v>
      </c>
    </row>
    <row r="17211">
      <c r="A17211" s="1" t="s">
        <v>8</v>
      </c>
      <c r="B17211" s="2">
        <v>44788.0</v>
      </c>
      <c r="C17211" s="3">
        <v>0.7097453703703703</v>
      </c>
      <c r="D17211" s="1">
        <v>12.982335</v>
      </c>
      <c r="E17211" s="1">
        <v>80.168058</v>
      </c>
      <c r="F17211" s="1">
        <v>5339.0</v>
      </c>
      <c r="G17211" s="1">
        <v>59.0</v>
      </c>
    </row>
    <row r="17212">
      <c r="A17212" s="1" t="s">
        <v>8</v>
      </c>
      <c r="B17212" s="2">
        <v>44788.0</v>
      </c>
      <c r="C17212" s="3">
        <v>0.7097569444444445</v>
      </c>
      <c r="D17212" s="1">
        <v>12.993626</v>
      </c>
      <c r="E17212" s="1">
        <v>80.184733</v>
      </c>
      <c r="F17212" s="1">
        <v>805.0</v>
      </c>
      <c r="G17212" s="1">
        <v>16.0</v>
      </c>
    </row>
    <row r="17213">
      <c r="A17213" s="1" t="s">
        <v>8</v>
      </c>
      <c r="B17213" s="2">
        <v>44788.0</v>
      </c>
      <c r="C17213" s="3">
        <v>0.7097569444444445</v>
      </c>
      <c r="D17213" s="1">
        <v>12.993626</v>
      </c>
      <c r="E17213" s="1">
        <v>80.184733</v>
      </c>
      <c r="F17213" s="1">
        <v>805.0</v>
      </c>
      <c r="G17213" s="1">
        <v>16.0</v>
      </c>
    </row>
    <row r="17214">
      <c r="A17214" s="1" t="s">
        <v>8</v>
      </c>
      <c r="B17214" s="2">
        <v>44788.0</v>
      </c>
      <c r="C17214" s="3">
        <v>0.7097569444444445</v>
      </c>
      <c r="D17214" s="1">
        <v>12.993626</v>
      </c>
      <c r="E17214" s="1">
        <v>80.184733</v>
      </c>
      <c r="F17214" s="1">
        <v>805.0</v>
      </c>
      <c r="G17214" s="1">
        <v>16.0</v>
      </c>
    </row>
    <row r="17215">
      <c r="A17215" s="1" t="s">
        <v>7</v>
      </c>
      <c r="B17215" s="2">
        <v>44788.0</v>
      </c>
      <c r="C17215" s="3">
        <v>0.7099189814814815</v>
      </c>
      <c r="D17215" s="1">
        <v>12.719932</v>
      </c>
      <c r="E17215" s="1">
        <v>79.981164</v>
      </c>
      <c r="F17215" s="1">
        <v>2846.0</v>
      </c>
      <c r="G17215" s="1">
        <v>54.0</v>
      </c>
    </row>
    <row r="17216">
      <c r="A17216" s="1" t="s">
        <v>8</v>
      </c>
      <c r="B17216" s="2">
        <v>44788.0</v>
      </c>
      <c r="C17216" s="3">
        <v>0.7099884259259259</v>
      </c>
      <c r="D17216" s="1">
        <v>12.993978</v>
      </c>
      <c r="E17216" s="1">
        <v>80.18535</v>
      </c>
      <c r="F17216" s="1">
        <v>805.0</v>
      </c>
      <c r="G17216" s="1">
        <v>24.0</v>
      </c>
    </row>
    <row r="17217">
      <c r="A17217" s="1" t="s">
        <v>8</v>
      </c>
      <c r="B17217" s="2">
        <v>44788.0</v>
      </c>
      <c r="C17217" s="3">
        <v>0.7106018518518519</v>
      </c>
      <c r="D17217" s="1">
        <v>12.995697</v>
      </c>
      <c r="E17217" s="1">
        <v>80.188663</v>
      </c>
      <c r="F17217" s="1">
        <v>805.0</v>
      </c>
      <c r="G17217" s="1">
        <v>11.0</v>
      </c>
    </row>
    <row r="17218">
      <c r="A17218" s="1" t="s">
        <v>8</v>
      </c>
      <c r="B17218" s="2">
        <v>44788.0</v>
      </c>
      <c r="C17218" s="3">
        <v>0.7106944444444444</v>
      </c>
      <c r="D17218" s="1">
        <v>12.986682</v>
      </c>
      <c r="E17218" s="1">
        <v>80.174996</v>
      </c>
      <c r="F17218" s="1">
        <v>5339.0</v>
      </c>
      <c r="G17218" s="1">
        <v>34.0</v>
      </c>
    </row>
    <row r="17219">
      <c r="A17219" s="1" t="s">
        <v>8</v>
      </c>
      <c r="B17219" s="2">
        <v>44788.0</v>
      </c>
      <c r="C17219" s="3">
        <v>0.7107523148148148</v>
      </c>
      <c r="D17219" s="1">
        <v>12.986682</v>
      </c>
      <c r="E17219" s="1">
        <v>80.174996</v>
      </c>
      <c r="F17219" s="1">
        <v>5339.0</v>
      </c>
      <c r="G17219" s="1">
        <v>34.0</v>
      </c>
    </row>
    <row r="17220">
      <c r="A17220" s="1" t="s">
        <v>8</v>
      </c>
      <c r="B17220" s="2">
        <v>44788.0</v>
      </c>
      <c r="C17220" s="3">
        <v>0.7108680555555555</v>
      </c>
      <c r="D17220" s="1">
        <v>12.987251</v>
      </c>
      <c r="E17220" s="1">
        <v>80.175806</v>
      </c>
      <c r="F17220" s="1">
        <v>5339.0</v>
      </c>
      <c r="G17220" s="1">
        <v>42.0</v>
      </c>
    </row>
    <row r="17221">
      <c r="A17221" s="1" t="s">
        <v>8</v>
      </c>
      <c r="B17221" s="2">
        <v>44788.0</v>
      </c>
      <c r="C17221" s="3">
        <v>0.711087962962963</v>
      </c>
      <c r="D17221" s="1">
        <v>12.99805</v>
      </c>
      <c r="E17221" s="1">
        <v>80.191645</v>
      </c>
      <c r="F17221" s="1">
        <v>805.0</v>
      </c>
      <c r="G17221" s="1">
        <v>50.0</v>
      </c>
    </row>
    <row r="17222">
      <c r="A17222" s="1" t="s">
        <v>8</v>
      </c>
      <c r="B17222" s="2">
        <v>44788.0</v>
      </c>
      <c r="C17222" s="3">
        <v>0.7112384259259259</v>
      </c>
      <c r="D17222" s="1">
        <v>12.99928</v>
      </c>
      <c r="E17222" s="1">
        <v>80.193141</v>
      </c>
      <c r="F17222" s="1">
        <v>805.0</v>
      </c>
      <c r="G17222" s="1">
        <v>40.0</v>
      </c>
    </row>
    <row r="17223">
      <c r="A17223" s="1" t="s">
        <v>8</v>
      </c>
      <c r="B17223" s="2">
        <v>44788.0</v>
      </c>
      <c r="C17223" s="3">
        <v>0.7113541666666666</v>
      </c>
      <c r="D17223" s="1">
        <v>12.989901</v>
      </c>
      <c r="E17223" s="1">
        <v>80.179322</v>
      </c>
      <c r="F17223" s="1">
        <v>5339.0</v>
      </c>
      <c r="G17223" s="1">
        <v>34.0</v>
      </c>
    </row>
    <row r="17224">
      <c r="A17224" s="1" t="s">
        <v>8</v>
      </c>
      <c r="B17224" s="2">
        <v>44788.0</v>
      </c>
      <c r="C17224" s="3">
        <v>0.7115162037037037</v>
      </c>
      <c r="D17224" s="1">
        <v>12.990492</v>
      </c>
      <c r="E17224" s="1">
        <v>80.180099</v>
      </c>
      <c r="F17224" s="1">
        <v>5339.0</v>
      </c>
      <c r="G17224" s="1">
        <v>40.0</v>
      </c>
    </row>
    <row r="17225">
      <c r="A17225" s="1" t="s">
        <v>8</v>
      </c>
      <c r="B17225" s="2">
        <v>44788.0</v>
      </c>
      <c r="C17225" s="3">
        <v>0.7117476851851852</v>
      </c>
      <c r="D17225" s="1">
        <v>12.708538</v>
      </c>
      <c r="E17225" s="1">
        <v>79.977172</v>
      </c>
      <c r="F17225" s="1">
        <v>2846.0</v>
      </c>
      <c r="G17225" s="1">
        <v>42.0</v>
      </c>
    </row>
    <row r="17226">
      <c r="A17226" s="1" t="s">
        <v>8</v>
      </c>
      <c r="B17226" s="2">
        <v>44788.0</v>
      </c>
      <c r="C17226" s="3">
        <v>0.7118634259259259</v>
      </c>
      <c r="D17226" s="1">
        <v>13.0012</v>
      </c>
      <c r="E17226" s="1">
        <v>80.195517</v>
      </c>
      <c r="F17226" s="1">
        <v>805.0</v>
      </c>
      <c r="G17226" s="1">
        <v>21.0</v>
      </c>
    </row>
    <row r="17227">
      <c r="A17227" s="1" t="s">
        <v>8</v>
      </c>
      <c r="B17227" s="2">
        <v>44788.0</v>
      </c>
      <c r="C17227" s="3">
        <v>0.7119328703703703</v>
      </c>
      <c r="D17227" s="1">
        <v>13.0012</v>
      </c>
      <c r="E17227" s="1">
        <v>80.195517</v>
      </c>
      <c r="F17227" s="1">
        <v>805.0</v>
      </c>
      <c r="G17227" s="1">
        <v>21.0</v>
      </c>
    </row>
    <row r="17228">
      <c r="A17228" s="1" t="s">
        <v>8</v>
      </c>
      <c r="B17228" s="2">
        <v>44788.0</v>
      </c>
      <c r="C17228" s="3">
        <v>0.7119560185185185</v>
      </c>
      <c r="D17228" s="1">
        <v>13.0012</v>
      </c>
      <c r="E17228" s="1">
        <v>80.195517</v>
      </c>
      <c r="F17228" s="1">
        <v>805.0</v>
      </c>
      <c r="G17228" s="1">
        <v>21.0</v>
      </c>
    </row>
    <row r="17229">
      <c r="A17229" s="1" t="s">
        <v>8</v>
      </c>
      <c r="B17229" s="2">
        <v>44788.0</v>
      </c>
      <c r="C17229" s="3">
        <v>0.7119675925925926</v>
      </c>
      <c r="D17229" s="1">
        <v>12.993468</v>
      </c>
      <c r="E17229" s="1">
        <v>80.184452</v>
      </c>
      <c r="F17229" s="1">
        <v>5339.0</v>
      </c>
      <c r="G17229" s="1">
        <v>44.0</v>
      </c>
    </row>
    <row r="17230">
      <c r="A17230" s="1" t="s">
        <v>8</v>
      </c>
      <c r="B17230" s="2">
        <v>44788.0</v>
      </c>
      <c r="C17230" s="3">
        <v>0.7119791666666667</v>
      </c>
      <c r="D17230" s="1">
        <v>12.993468</v>
      </c>
      <c r="E17230" s="1">
        <v>80.184452</v>
      </c>
      <c r="F17230" s="1">
        <v>5339.0</v>
      </c>
      <c r="G17230" s="1">
        <v>44.0</v>
      </c>
    </row>
    <row r="17231">
      <c r="A17231" s="1" t="s">
        <v>8</v>
      </c>
      <c r="B17231" s="2">
        <v>44788.0</v>
      </c>
      <c r="C17231" s="3">
        <v>0.7121527777777777</v>
      </c>
      <c r="D17231" s="1">
        <v>13.001919</v>
      </c>
      <c r="E17231" s="1">
        <v>80.19644</v>
      </c>
      <c r="F17231" s="1">
        <v>805.0</v>
      </c>
      <c r="G17231" s="1">
        <v>39.0</v>
      </c>
    </row>
    <row r="17232">
      <c r="A17232" s="1" t="s">
        <v>8</v>
      </c>
      <c r="B17232" s="2">
        <v>44788.0</v>
      </c>
      <c r="C17232" s="3">
        <v>0.7122106481481482</v>
      </c>
      <c r="D17232" s="1">
        <v>13.001972</v>
      </c>
      <c r="E17232" s="1">
        <v>80.198292</v>
      </c>
      <c r="F17232" s="1">
        <v>805.0</v>
      </c>
      <c r="G17232" s="1">
        <v>46.0</v>
      </c>
    </row>
    <row r="17233">
      <c r="A17233" s="1" t="s">
        <v>8</v>
      </c>
      <c r="B17233" s="2">
        <v>44788.0</v>
      </c>
      <c r="C17233" s="3">
        <v>0.7124305555555556</v>
      </c>
      <c r="D17233" s="1">
        <v>13.002036</v>
      </c>
      <c r="E17233" s="1">
        <v>80.200023</v>
      </c>
      <c r="F17233" s="1">
        <v>805.0</v>
      </c>
      <c r="G17233" s="1">
        <v>40.0</v>
      </c>
    </row>
    <row r="17234">
      <c r="A17234" s="1" t="s">
        <v>8</v>
      </c>
      <c r="B17234" s="2">
        <v>44788.0</v>
      </c>
      <c r="C17234" s="3">
        <v>0.7125115740740741</v>
      </c>
      <c r="D17234" s="1">
        <v>12.995373</v>
      </c>
      <c r="E17234" s="1">
        <v>80.18812</v>
      </c>
      <c r="F17234" s="1">
        <v>5339.0</v>
      </c>
      <c r="G17234" s="1">
        <v>51.0</v>
      </c>
    </row>
    <row r="17235">
      <c r="A17235" s="1" t="s">
        <v>8</v>
      </c>
      <c r="B17235" s="2">
        <v>44788.0</v>
      </c>
      <c r="C17235" s="3">
        <v>0.7126851851851852</v>
      </c>
      <c r="D17235" s="1">
        <v>12.99602</v>
      </c>
      <c r="E17235" s="1">
        <v>80.189194</v>
      </c>
      <c r="F17235" s="1">
        <v>5339.0</v>
      </c>
      <c r="G17235" s="1">
        <v>39.0</v>
      </c>
    </row>
    <row r="17236">
      <c r="A17236" s="1" t="s">
        <v>9</v>
      </c>
      <c r="B17236" s="2">
        <v>44788.0</v>
      </c>
      <c r="C17236" s="3">
        <v>0.7127199074074074</v>
      </c>
      <c r="D17236" s="1">
        <v>12.9971</v>
      </c>
      <c r="E17236" s="1">
        <v>80.190447</v>
      </c>
      <c r="F17236" s="1">
        <v>5339.0</v>
      </c>
      <c r="G17236" s="1">
        <v>41.0</v>
      </c>
    </row>
    <row r="17237">
      <c r="A17237" s="1" t="s">
        <v>8</v>
      </c>
      <c r="B17237" s="2">
        <v>44788.0</v>
      </c>
      <c r="C17237" s="3">
        <v>0.7128356481481481</v>
      </c>
      <c r="D17237" s="1">
        <v>13.005147</v>
      </c>
      <c r="E17237" s="1">
        <v>80.201424</v>
      </c>
      <c r="F17237" s="1">
        <v>805.0</v>
      </c>
      <c r="G17237" s="1">
        <v>45.0</v>
      </c>
    </row>
    <row r="17238">
      <c r="A17238" s="1" t="s">
        <v>8</v>
      </c>
      <c r="B17238" s="2">
        <v>44788.0</v>
      </c>
      <c r="C17238" s="3">
        <v>0.7128587962962963</v>
      </c>
      <c r="D17238" s="1">
        <v>12.9971</v>
      </c>
      <c r="E17238" s="1">
        <v>80.190447</v>
      </c>
      <c r="F17238" s="1">
        <v>5339.0</v>
      </c>
      <c r="G17238" s="1">
        <v>41.0</v>
      </c>
    </row>
    <row r="17239">
      <c r="A17239" s="1" t="s">
        <v>10</v>
      </c>
      <c r="B17239" s="2">
        <v>44788.0</v>
      </c>
      <c r="C17239" s="3">
        <v>0.7131597222222222</v>
      </c>
      <c r="D17239" s="1">
        <v>12.699699</v>
      </c>
      <c r="E17239" s="1">
        <v>79.968765</v>
      </c>
      <c r="F17239" s="1">
        <v>2846.0</v>
      </c>
      <c r="G17239" s="1">
        <v>0.0</v>
      </c>
    </row>
    <row r="17240">
      <c r="A17240" s="1" t="s">
        <v>8</v>
      </c>
      <c r="B17240" s="2">
        <v>44788.0</v>
      </c>
      <c r="C17240" s="3">
        <v>0.713275462962963</v>
      </c>
      <c r="D17240" s="1">
        <v>12.999996</v>
      </c>
      <c r="E17240" s="1">
        <v>80.19407</v>
      </c>
      <c r="F17240" s="1">
        <v>5339.0</v>
      </c>
      <c r="G17240" s="1">
        <v>39.0</v>
      </c>
    </row>
    <row r="17241">
      <c r="A17241" s="1" t="s">
        <v>10</v>
      </c>
      <c r="B17241" s="2">
        <v>44788.0</v>
      </c>
      <c r="C17241" s="3">
        <v>0.7133101851851852</v>
      </c>
      <c r="D17241" s="1">
        <v>12.699699</v>
      </c>
      <c r="E17241" s="1">
        <v>79.968765</v>
      </c>
      <c r="F17241" s="1">
        <v>2846.0</v>
      </c>
      <c r="G17241" s="1">
        <v>0.0</v>
      </c>
    </row>
    <row r="17242">
      <c r="A17242" s="1" t="s">
        <v>7</v>
      </c>
      <c r="B17242" s="2">
        <v>44788.0</v>
      </c>
      <c r="C17242" s="3">
        <v>0.7133680555555556</v>
      </c>
      <c r="D17242" s="1">
        <v>13.00816</v>
      </c>
      <c r="E17242" s="1">
        <v>80.202778</v>
      </c>
      <c r="F17242" s="1">
        <v>805.0</v>
      </c>
      <c r="G17242" s="1">
        <v>37.0</v>
      </c>
    </row>
    <row r="17243">
      <c r="A17243" s="1" t="s">
        <v>8</v>
      </c>
      <c r="B17243" s="2">
        <v>44788.0</v>
      </c>
      <c r="C17243" s="3">
        <v>0.7135648148148148</v>
      </c>
      <c r="D17243" s="1">
        <v>13.007625</v>
      </c>
      <c r="E17243" s="1">
        <v>80.204149</v>
      </c>
      <c r="F17243" s="1">
        <v>805.0</v>
      </c>
      <c r="G17243" s="1">
        <v>55.0</v>
      </c>
    </row>
    <row r="17244">
      <c r="A17244" s="1" t="s">
        <v>8</v>
      </c>
      <c r="B17244" s="2">
        <v>44788.0</v>
      </c>
      <c r="C17244" s="3">
        <v>0.7139351851851852</v>
      </c>
      <c r="D17244" s="1">
        <v>13.001298</v>
      </c>
      <c r="E17244" s="1">
        <v>80.195611</v>
      </c>
      <c r="F17244" s="1">
        <v>5339.0</v>
      </c>
      <c r="G17244" s="1">
        <v>16.0</v>
      </c>
    </row>
    <row r="17245">
      <c r="A17245" s="1" t="s">
        <v>8</v>
      </c>
      <c r="B17245" s="2">
        <v>44788.0</v>
      </c>
      <c r="C17245" s="3">
        <v>0.714212962962963</v>
      </c>
      <c r="D17245" s="1">
        <v>13.008296</v>
      </c>
      <c r="E17245" s="1">
        <v>80.209751</v>
      </c>
      <c r="F17245" s="1">
        <v>805.0</v>
      </c>
      <c r="G17245" s="1">
        <v>41.0</v>
      </c>
    </row>
    <row r="17246">
      <c r="A17246" s="1" t="s">
        <v>8</v>
      </c>
      <c r="B17246" s="2">
        <v>44788.0</v>
      </c>
      <c r="C17246" s="3">
        <v>0.7142939814814815</v>
      </c>
      <c r="D17246" s="1">
        <v>12.697236</v>
      </c>
      <c r="E17246" s="1">
        <v>79.972871</v>
      </c>
      <c r="F17246" s="1">
        <v>2846.0</v>
      </c>
      <c r="G17246" s="1">
        <v>14.0</v>
      </c>
    </row>
    <row r="17247">
      <c r="A17247" s="1" t="s">
        <v>8</v>
      </c>
      <c r="B17247" s="2">
        <v>44788.0</v>
      </c>
      <c r="C17247" s="3">
        <v>0.7143402777777778</v>
      </c>
      <c r="D17247" s="1">
        <v>13.001804</v>
      </c>
      <c r="E17247" s="1">
        <v>80.199254</v>
      </c>
      <c r="F17247" s="1">
        <v>5339.0</v>
      </c>
      <c r="G17247" s="1">
        <v>52.0</v>
      </c>
    </row>
    <row r="17248">
      <c r="A17248" s="1" t="s">
        <v>8</v>
      </c>
      <c r="B17248" s="2">
        <v>44788.0</v>
      </c>
      <c r="C17248" s="3">
        <v>0.7146875</v>
      </c>
      <c r="D17248" s="1">
        <v>13.010137</v>
      </c>
      <c r="E17248" s="1">
        <v>80.214724</v>
      </c>
      <c r="F17248" s="1">
        <v>805.0</v>
      </c>
      <c r="G17248" s="1">
        <v>28.0</v>
      </c>
    </row>
    <row r="17249">
      <c r="A17249" s="1" t="s">
        <v>8</v>
      </c>
      <c r="B17249" s="2">
        <v>44788.0</v>
      </c>
      <c r="C17249" s="3">
        <v>0.7147106481481481</v>
      </c>
      <c r="D17249" s="1">
        <v>13.010137</v>
      </c>
      <c r="E17249" s="1">
        <v>80.214724</v>
      </c>
      <c r="F17249" s="1">
        <v>805.0</v>
      </c>
      <c r="G17249" s="1">
        <v>28.0</v>
      </c>
    </row>
    <row r="17250">
      <c r="A17250" s="1" t="s">
        <v>8</v>
      </c>
      <c r="B17250" s="2">
        <v>44788.0</v>
      </c>
      <c r="C17250" s="3">
        <v>0.7150810185185185</v>
      </c>
      <c r="D17250" s="1">
        <v>13.011072</v>
      </c>
      <c r="E17250" s="1">
        <v>80.217482</v>
      </c>
      <c r="F17250" s="1">
        <v>805.0</v>
      </c>
      <c r="G17250" s="1">
        <v>35.0</v>
      </c>
    </row>
    <row r="17251">
      <c r="A17251" s="1" t="s">
        <v>8</v>
      </c>
      <c r="B17251" s="2">
        <v>44788.0</v>
      </c>
      <c r="C17251" s="3">
        <v>0.7151967592592593</v>
      </c>
      <c r="D17251" s="1">
        <v>13.011657</v>
      </c>
      <c r="E17251" s="1">
        <v>80.219066</v>
      </c>
      <c r="F17251" s="1">
        <v>805.0</v>
      </c>
      <c r="G17251" s="1">
        <v>43.0</v>
      </c>
    </row>
    <row r="17252">
      <c r="A17252" s="1" t="s">
        <v>8</v>
      </c>
      <c r="B17252" s="2">
        <v>44788.0</v>
      </c>
      <c r="C17252" s="3">
        <v>0.7155208333333334</v>
      </c>
      <c r="D17252" s="1">
        <v>13.012248</v>
      </c>
      <c r="E17252" s="1">
        <v>80.220804</v>
      </c>
      <c r="F17252" s="1">
        <v>805.0</v>
      </c>
      <c r="G17252" s="1">
        <v>33.0</v>
      </c>
    </row>
    <row r="17253">
      <c r="A17253" s="1" t="s">
        <v>8</v>
      </c>
      <c r="B17253" s="2">
        <v>44788.0</v>
      </c>
      <c r="C17253" s="3">
        <v>0.7160648148148148</v>
      </c>
      <c r="D17253" s="1">
        <v>13.009265</v>
      </c>
      <c r="E17253" s="1">
        <v>80.21247</v>
      </c>
      <c r="F17253" s="1">
        <v>5339.0</v>
      </c>
      <c r="G17253" s="1">
        <v>44.0</v>
      </c>
    </row>
    <row r="17254">
      <c r="A17254" s="1" t="s">
        <v>8</v>
      </c>
      <c r="B17254" s="2">
        <v>44788.0</v>
      </c>
      <c r="C17254" s="3">
        <v>0.7162962962962963</v>
      </c>
      <c r="D17254" s="1">
        <v>13.009822</v>
      </c>
      <c r="E17254" s="1">
        <v>80.213936</v>
      </c>
      <c r="F17254" s="1">
        <v>5339.0</v>
      </c>
      <c r="G17254" s="1">
        <v>39.0</v>
      </c>
    </row>
    <row r="17255">
      <c r="A17255" s="1" t="s">
        <v>8</v>
      </c>
      <c r="B17255" s="2">
        <v>44788.0</v>
      </c>
      <c r="C17255" s="3">
        <v>0.7166435185185185</v>
      </c>
      <c r="D17255" s="1">
        <v>13.014938</v>
      </c>
      <c r="E17255" s="1">
        <v>80.225929</v>
      </c>
      <c r="F17255" s="1">
        <v>805.0</v>
      </c>
      <c r="G17255" s="1">
        <v>33.0</v>
      </c>
    </row>
    <row r="17256">
      <c r="A17256" s="1" t="s">
        <v>8</v>
      </c>
      <c r="B17256" s="2">
        <v>44788.0</v>
      </c>
      <c r="C17256" s="3">
        <v>0.7166898148148149</v>
      </c>
      <c r="D17256" s="1">
        <v>13.010726</v>
      </c>
      <c r="E17256" s="1">
        <v>80.216731</v>
      </c>
      <c r="F17256" s="1">
        <v>5339.0</v>
      </c>
      <c r="G17256" s="1">
        <v>34.0</v>
      </c>
    </row>
    <row r="17257">
      <c r="A17257" s="1" t="s">
        <v>8</v>
      </c>
      <c r="B17257" s="2">
        <v>44788.0</v>
      </c>
      <c r="C17257" s="3">
        <v>0.7167592592592592</v>
      </c>
      <c r="D17257" s="1">
        <v>13.013544</v>
      </c>
      <c r="E17257" s="1">
        <v>80.22651</v>
      </c>
      <c r="F17257" s="1">
        <v>805.0</v>
      </c>
      <c r="G17257" s="1">
        <v>34.0</v>
      </c>
    </row>
    <row r="17258">
      <c r="A17258" s="1" t="s">
        <v>8</v>
      </c>
      <c r="B17258" s="2">
        <v>44788.0</v>
      </c>
      <c r="C17258" s="3">
        <v>0.7168865740740741</v>
      </c>
      <c r="D17258" s="1">
        <v>13.011316</v>
      </c>
      <c r="E17258" s="1">
        <v>80.218119</v>
      </c>
      <c r="F17258" s="1">
        <v>5339.0</v>
      </c>
      <c r="G17258" s="1">
        <v>40.0</v>
      </c>
    </row>
    <row r="17259">
      <c r="A17259" s="1" t="s">
        <v>9</v>
      </c>
      <c r="B17259" s="2">
        <v>44788.0</v>
      </c>
      <c r="C17259" s="3">
        <v>0.7169444444444445</v>
      </c>
      <c r="D17259" s="1">
        <v>13.011316</v>
      </c>
      <c r="E17259" s="1">
        <v>80.218119</v>
      </c>
      <c r="F17259" s="1">
        <v>5339.0</v>
      </c>
      <c r="G17259" s="1">
        <v>40.0</v>
      </c>
    </row>
    <row r="17260">
      <c r="A17260" s="1" t="s">
        <v>8</v>
      </c>
      <c r="B17260" s="2">
        <v>44788.0</v>
      </c>
      <c r="C17260" s="3">
        <v>0.7172685185185185</v>
      </c>
      <c r="D17260" s="1">
        <v>13.012257</v>
      </c>
      <c r="E17260" s="1">
        <v>80.220773</v>
      </c>
      <c r="F17260" s="1">
        <v>5339.0</v>
      </c>
      <c r="G17260" s="1">
        <v>30.0</v>
      </c>
    </row>
    <row r="17261">
      <c r="A17261" s="1" t="s">
        <v>7</v>
      </c>
      <c r="B17261" s="2">
        <v>44788.0</v>
      </c>
      <c r="C17261" s="3">
        <v>0.7174189814814815</v>
      </c>
      <c r="D17261" s="1">
        <v>13.009157</v>
      </c>
      <c r="E17261" s="1">
        <v>80.228551</v>
      </c>
      <c r="F17261" s="1">
        <v>805.0</v>
      </c>
      <c r="G17261" s="1">
        <v>38.0</v>
      </c>
    </row>
    <row r="17262">
      <c r="A17262" s="1" t="s">
        <v>8</v>
      </c>
      <c r="B17262" s="2">
        <v>44788.0</v>
      </c>
      <c r="C17262" s="3">
        <v>0.7174189814814815</v>
      </c>
      <c r="D17262" s="1">
        <v>13.013</v>
      </c>
      <c r="E17262" s="1">
        <v>80.222166</v>
      </c>
      <c r="F17262" s="1">
        <v>5339.0</v>
      </c>
      <c r="G17262" s="1">
        <v>38.0</v>
      </c>
    </row>
    <row r="17263">
      <c r="A17263" s="1" t="s">
        <v>8</v>
      </c>
      <c r="B17263" s="2">
        <v>44788.0</v>
      </c>
      <c r="C17263" s="3">
        <v>0.7175115740740741</v>
      </c>
      <c r="D17263" s="1">
        <v>13.008768</v>
      </c>
      <c r="E17263" s="1">
        <v>80.2306</v>
      </c>
      <c r="F17263" s="1">
        <v>805.0</v>
      </c>
      <c r="G17263" s="1">
        <v>54.0</v>
      </c>
    </row>
    <row r="17264">
      <c r="A17264" s="1" t="s">
        <v>8</v>
      </c>
      <c r="B17264" s="2">
        <v>44788.0</v>
      </c>
      <c r="C17264" s="3">
        <v>0.7178587962962963</v>
      </c>
      <c r="D17264" s="1">
        <v>13.01489</v>
      </c>
      <c r="E17264" s="1">
        <v>80.224338</v>
      </c>
      <c r="F17264" s="1">
        <v>5339.0</v>
      </c>
      <c r="G17264" s="1">
        <v>25.0</v>
      </c>
    </row>
    <row r="17265">
      <c r="A17265" s="1" t="s">
        <v>8</v>
      </c>
      <c r="B17265" s="2">
        <v>44788.0</v>
      </c>
      <c r="C17265" s="3">
        <v>0.7178703703703704</v>
      </c>
      <c r="D17265" s="1">
        <v>13.01489</v>
      </c>
      <c r="E17265" s="1">
        <v>80.224338</v>
      </c>
      <c r="F17265" s="1">
        <v>5339.0</v>
      </c>
      <c r="G17265" s="1">
        <v>25.0</v>
      </c>
    </row>
    <row r="17266">
      <c r="A17266" s="1" t="s">
        <v>8</v>
      </c>
      <c r="B17266" s="2">
        <v>44788.0</v>
      </c>
      <c r="C17266" s="3">
        <v>0.7182638888888889</v>
      </c>
      <c r="D17266" s="1">
        <v>13.007866</v>
      </c>
      <c r="E17266" s="1">
        <v>80.235284</v>
      </c>
      <c r="F17266" s="1">
        <v>805.0</v>
      </c>
      <c r="G17266" s="1">
        <v>27.0</v>
      </c>
    </row>
    <row r="17267">
      <c r="A17267" s="1" t="s">
        <v>8</v>
      </c>
      <c r="B17267" s="2">
        <v>44788.0</v>
      </c>
      <c r="C17267" s="3">
        <v>0.718287037037037</v>
      </c>
      <c r="D17267" s="1">
        <v>13.018085</v>
      </c>
      <c r="E17267" s="1">
        <v>80.224726</v>
      </c>
      <c r="F17267" s="1">
        <v>5339.0</v>
      </c>
      <c r="G17267" s="1">
        <v>40.0</v>
      </c>
    </row>
    <row r="17268">
      <c r="A17268" s="1" t="s">
        <v>8</v>
      </c>
      <c r="B17268" s="2">
        <v>44788.0</v>
      </c>
      <c r="C17268" s="3">
        <v>0.7190046296296296</v>
      </c>
      <c r="D17268" s="1">
        <v>13.020084</v>
      </c>
      <c r="E17268" s="1">
        <v>80.224798</v>
      </c>
      <c r="F17268" s="1">
        <v>5339.0</v>
      </c>
      <c r="G17268" s="1">
        <v>25.0</v>
      </c>
    </row>
    <row r="17269">
      <c r="A17269" s="1" t="s">
        <v>8</v>
      </c>
      <c r="B17269" s="2">
        <v>44788.0</v>
      </c>
      <c r="C17269" s="3">
        <v>0.7190740740740741</v>
      </c>
      <c r="D17269" s="1">
        <v>13.007016</v>
      </c>
      <c r="E17269" s="1">
        <v>80.239554</v>
      </c>
      <c r="F17269" s="1">
        <v>805.0</v>
      </c>
      <c r="G17269" s="1">
        <v>24.0</v>
      </c>
    </row>
    <row r="17270">
      <c r="A17270" s="1" t="s">
        <v>8</v>
      </c>
      <c r="B17270" s="2">
        <v>44788.0</v>
      </c>
      <c r="C17270" s="3">
        <v>0.719386574074074</v>
      </c>
      <c r="D17270" s="1">
        <v>13.021881</v>
      </c>
      <c r="E17270" s="1">
        <v>80.226118</v>
      </c>
      <c r="F17270" s="1">
        <v>5339.0</v>
      </c>
      <c r="G17270" s="1">
        <v>27.0</v>
      </c>
    </row>
    <row r="17271">
      <c r="A17271" s="1" t="s">
        <v>8</v>
      </c>
      <c r="B17271" s="2">
        <v>44788.0</v>
      </c>
      <c r="C17271" s="3">
        <v>0.7195138888888889</v>
      </c>
      <c r="D17271" s="1">
        <v>13.006695</v>
      </c>
      <c r="E17271" s="1">
        <v>80.242892</v>
      </c>
      <c r="F17271" s="1">
        <v>805.0</v>
      </c>
      <c r="G17271" s="1">
        <v>30.0</v>
      </c>
    </row>
    <row r="17272">
      <c r="A17272" s="1" t="s">
        <v>8</v>
      </c>
      <c r="B17272" s="2">
        <v>44788.0</v>
      </c>
      <c r="C17272" s="3">
        <v>0.7195254629629629</v>
      </c>
      <c r="D17272" s="1">
        <v>13.006695</v>
      </c>
      <c r="E17272" s="1">
        <v>80.242892</v>
      </c>
      <c r="F17272" s="1">
        <v>805.0</v>
      </c>
      <c r="G17272" s="1">
        <v>30.0</v>
      </c>
    </row>
    <row r="17273">
      <c r="A17273" s="1" t="s">
        <v>8</v>
      </c>
      <c r="B17273" s="2">
        <v>44788.0</v>
      </c>
      <c r="C17273" s="3">
        <v>0.7195486111111111</v>
      </c>
      <c r="D17273" s="1">
        <v>13.022986</v>
      </c>
      <c r="E17273" s="1">
        <v>80.227062</v>
      </c>
      <c r="F17273" s="1">
        <v>5339.0</v>
      </c>
      <c r="G17273" s="1">
        <v>41.0</v>
      </c>
    </row>
    <row r="17274">
      <c r="A17274" s="1" t="s">
        <v>8</v>
      </c>
      <c r="B17274" s="2">
        <v>44788.0</v>
      </c>
      <c r="C17274" s="3">
        <v>0.7195833333333334</v>
      </c>
      <c r="D17274" s="1">
        <v>13.006695</v>
      </c>
      <c r="E17274" s="1">
        <v>80.242892</v>
      </c>
      <c r="F17274" s="1">
        <v>805.0</v>
      </c>
      <c r="G17274" s="1">
        <v>30.0</v>
      </c>
    </row>
    <row r="17275">
      <c r="A17275" s="1" t="s">
        <v>8</v>
      </c>
      <c r="B17275" s="2">
        <v>44788.0</v>
      </c>
      <c r="C17275" s="3">
        <v>0.7196064814814814</v>
      </c>
      <c r="D17275" s="1">
        <v>13.006695</v>
      </c>
      <c r="E17275" s="1">
        <v>80.242892</v>
      </c>
      <c r="F17275" s="1">
        <v>805.0</v>
      </c>
      <c r="G17275" s="1">
        <v>30.0</v>
      </c>
    </row>
    <row r="17276">
      <c r="A17276" s="1" t="s">
        <v>8</v>
      </c>
      <c r="B17276" s="2">
        <v>44788.0</v>
      </c>
      <c r="C17276" s="3">
        <v>0.7196064814814814</v>
      </c>
      <c r="D17276" s="1">
        <v>13.006695</v>
      </c>
      <c r="E17276" s="1">
        <v>80.242892</v>
      </c>
      <c r="F17276" s="1">
        <v>805.0</v>
      </c>
      <c r="G17276" s="1">
        <v>30.0</v>
      </c>
    </row>
    <row r="17277">
      <c r="A17277" s="1" t="s">
        <v>8</v>
      </c>
      <c r="B17277" s="2">
        <v>44788.0</v>
      </c>
      <c r="C17277" s="3">
        <v>0.7203935185185185</v>
      </c>
      <c r="D17277" s="1">
        <v>13.02417</v>
      </c>
      <c r="E17277" s="1">
        <v>80.228293</v>
      </c>
      <c r="F17277" s="1">
        <v>5339.0</v>
      </c>
      <c r="G17277" s="1">
        <v>5.0</v>
      </c>
    </row>
    <row r="17278">
      <c r="A17278" s="1" t="s">
        <v>8</v>
      </c>
      <c r="B17278" s="2">
        <v>44788.0</v>
      </c>
      <c r="C17278" s="3">
        <v>0.7205439814814815</v>
      </c>
      <c r="D17278" s="1">
        <v>13.024751</v>
      </c>
      <c r="E17278" s="1">
        <v>80.229068</v>
      </c>
      <c r="F17278" s="1">
        <v>5339.0</v>
      </c>
      <c r="G17278" s="1">
        <v>32.0</v>
      </c>
    </row>
    <row r="17279">
      <c r="A17279" s="1" t="s">
        <v>8</v>
      </c>
      <c r="B17279" s="2">
        <v>44788.0</v>
      </c>
      <c r="C17279" s="3">
        <v>0.7210763888888889</v>
      </c>
      <c r="D17279" s="1">
        <v>13.00678</v>
      </c>
      <c r="E17279" s="1">
        <v>80.248284</v>
      </c>
      <c r="F17279" s="1">
        <v>805.0</v>
      </c>
      <c r="G17279" s="1">
        <v>31.0</v>
      </c>
    </row>
    <row r="17280">
      <c r="A17280" s="1" t="s">
        <v>8</v>
      </c>
      <c r="B17280" s="2">
        <v>44788.0</v>
      </c>
      <c r="C17280" s="3">
        <v>0.7211458333333334</v>
      </c>
      <c r="D17280" s="1">
        <v>13.00678</v>
      </c>
      <c r="E17280" s="1">
        <v>80.248284</v>
      </c>
      <c r="F17280" s="1">
        <v>805.0</v>
      </c>
      <c r="G17280" s="1">
        <v>31.0</v>
      </c>
    </row>
    <row r="17281">
      <c r="A17281" s="1" t="s">
        <v>8</v>
      </c>
      <c r="B17281" s="2">
        <v>44788.0</v>
      </c>
      <c r="C17281" s="3">
        <v>0.7211574074074074</v>
      </c>
      <c r="D17281" s="1">
        <v>13.026029</v>
      </c>
      <c r="E17281" s="1">
        <v>80.231324</v>
      </c>
      <c r="F17281" s="1">
        <v>5339.0</v>
      </c>
      <c r="G17281" s="1">
        <v>24.0</v>
      </c>
    </row>
    <row r="17282">
      <c r="A17282" s="1" t="s">
        <v>9</v>
      </c>
      <c r="B17282" s="2">
        <v>44788.0</v>
      </c>
      <c r="C17282" s="3">
        <v>0.7213194444444444</v>
      </c>
      <c r="D17282" s="1">
        <v>13.026446</v>
      </c>
      <c r="E17282" s="1">
        <v>80.23271</v>
      </c>
      <c r="F17282" s="1">
        <v>5339.0</v>
      </c>
      <c r="G17282" s="1">
        <v>37.0</v>
      </c>
    </row>
    <row r="17283">
      <c r="A17283" s="1" t="s">
        <v>8</v>
      </c>
      <c r="B17283" s="2">
        <v>44788.0</v>
      </c>
      <c r="C17283" s="3">
        <v>0.721875</v>
      </c>
      <c r="D17283" s="1">
        <v>13.006862</v>
      </c>
      <c r="E17283" s="1">
        <v>80.25143</v>
      </c>
      <c r="F17283" s="1">
        <v>805.0</v>
      </c>
      <c r="G17283" s="1">
        <v>16.0</v>
      </c>
    </row>
    <row r="17284">
      <c r="A17284" s="1" t="s">
        <v>8</v>
      </c>
      <c r="B17284" s="2">
        <v>44788.0</v>
      </c>
      <c r="C17284" s="3">
        <v>0.7221412037037037</v>
      </c>
      <c r="D17284" s="1">
        <v>13.006606</v>
      </c>
      <c r="E17284" s="1">
        <v>80.254622</v>
      </c>
      <c r="F17284" s="1">
        <v>805.0</v>
      </c>
      <c r="G17284" s="1">
        <v>48.0</v>
      </c>
    </row>
    <row r="17285">
      <c r="A17285" s="1" t="s">
        <v>8</v>
      </c>
      <c r="B17285" s="2">
        <v>44788.0</v>
      </c>
      <c r="C17285" s="3">
        <v>0.7232986111111112</v>
      </c>
      <c r="D17285" s="1">
        <v>13.031061</v>
      </c>
      <c r="E17285" s="1">
        <v>80.239599</v>
      </c>
      <c r="F17285" s="1">
        <v>5339.0</v>
      </c>
      <c r="G17285" s="1">
        <v>30.0</v>
      </c>
    </row>
    <row r="17286">
      <c r="A17286" s="1" t="s">
        <v>8</v>
      </c>
      <c r="B17286" s="2">
        <v>44788.0</v>
      </c>
      <c r="C17286" s="3">
        <v>0.7245717592592592</v>
      </c>
      <c r="D17286" s="1">
        <v>13.009325</v>
      </c>
      <c r="E17286" s="1">
        <v>80.259029</v>
      </c>
      <c r="F17286" s="1">
        <v>805.0</v>
      </c>
      <c r="G17286" s="1">
        <v>29.0</v>
      </c>
    </row>
    <row r="17287">
      <c r="A17287" s="1" t="s">
        <v>7</v>
      </c>
      <c r="B17287" s="2">
        <v>44788.0</v>
      </c>
      <c r="C17287" s="3">
        <v>0.7246990740740741</v>
      </c>
      <c r="D17287" s="1">
        <v>13.009325</v>
      </c>
      <c r="E17287" s="1">
        <v>80.259029</v>
      </c>
      <c r="F17287" s="1">
        <v>805.0</v>
      </c>
      <c r="G17287" s="1">
        <v>29.0</v>
      </c>
    </row>
    <row r="17288">
      <c r="A17288" s="1" t="s">
        <v>7</v>
      </c>
      <c r="B17288" s="2">
        <v>44788.0</v>
      </c>
      <c r="C17288" s="3">
        <v>0.7249537037037037</v>
      </c>
      <c r="D17288" s="1">
        <v>13.013416</v>
      </c>
      <c r="E17288" s="1">
        <v>80.25914</v>
      </c>
      <c r="F17288" s="1">
        <v>805.0</v>
      </c>
      <c r="G17288" s="1">
        <v>58.0</v>
      </c>
    </row>
    <row r="17289">
      <c r="A17289" s="1" t="s">
        <v>8</v>
      </c>
      <c r="B17289" s="2">
        <v>44788.0</v>
      </c>
      <c r="C17289" s="3">
        <v>0.7254050925925926</v>
      </c>
      <c r="D17289" s="1">
        <v>13.016252</v>
      </c>
      <c r="E17289" s="1">
        <v>80.259607</v>
      </c>
      <c r="F17289" s="1">
        <v>805.0</v>
      </c>
      <c r="G17289" s="1">
        <v>31.0</v>
      </c>
    </row>
    <row r="17290">
      <c r="A17290" s="1" t="s">
        <v>8</v>
      </c>
      <c r="B17290" s="2">
        <v>44788.0</v>
      </c>
      <c r="C17290" s="3">
        <v>0.7254050925925926</v>
      </c>
      <c r="D17290" s="1">
        <v>13.016252</v>
      </c>
      <c r="E17290" s="1">
        <v>80.259607</v>
      </c>
      <c r="F17290" s="1">
        <v>805.0</v>
      </c>
      <c r="G17290" s="1">
        <v>31.0</v>
      </c>
    </row>
    <row r="17291">
      <c r="A17291" s="1" t="s">
        <v>8</v>
      </c>
      <c r="B17291" s="2">
        <v>44788.0</v>
      </c>
      <c r="C17291" s="3">
        <v>0.7254282407407407</v>
      </c>
      <c r="D17291" s="1">
        <v>13.016252</v>
      </c>
      <c r="E17291" s="1">
        <v>80.259607</v>
      </c>
      <c r="F17291" s="1">
        <v>805.0</v>
      </c>
      <c r="G17291" s="1">
        <v>31.0</v>
      </c>
    </row>
    <row r="17292">
      <c r="A17292" s="1" t="s">
        <v>8</v>
      </c>
      <c r="B17292" s="2">
        <v>44788.0</v>
      </c>
      <c r="C17292" s="3">
        <v>0.7284837962962963</v>
      </c>
      <c r="D17292" s="1">
        <v>13.042022</v>
      </c>
      <c r="E17292" s="1">
        <v>80.247382</v>
      </c>
      <c r="F17292" s="1">
        <v>5339.0</v>
      </c>
      <c r="G17292" s="1">
        <v>19.0</v>
      </c>
    </row>
    <row r="17293">
      <c r="A17293" s="1" t="s">
        <v>8</v>
      </c>
      <c r="B17293" s="2">
        <v>44788.0</v>
      </c>
      <c r="C17293" s="3">
        <v>0.7285300925925926</v>
      </c>
      <c r="D17293" s="1">
        <v>13.042022</v>
      </c>
      <c r="E17293" s="1">
        <v>80.247382</v>
      </c>
      <c r="F17293" s="1">
        <v>5339.0</v>
      </c>
      <c r="G17293" s="1">
        <v>19.0</v>
      </c>
    </row>
    <row r="17294">
      <c r="A17294" s="1" t="s">
        <v>8</v>
      </c>
      <c r="B17294" s="2">
        <v>44788.0</v>
      </c>
      <c r="C17294" s="3">
        <v>0.7291666666666666</v>
      </c>
      <c r="D17294" s="1">
        <v>13.044657</v>
      </c>
      <c r="E17294" s="1">
        <v>80.247902</v>
      </c>
      <c r="F17294" s="1">
        <v>5339.0</v>
      </c>
      <c r="G17294" s="1">
        <v>0.0</v>
      </c>
    </row>
    <row r="17295">
      <c r="A17295" s="1" t="s">
        <v>8</v>
      </c>
      <c r="B17295" s="2">
        <v>44788.0</v>
      </c>
      <c r="C17295" s="3">
        <v>0.7293402777777778</v>
      </c>
      <c r="D17295" s="1">
        <v>13.045336</v>
      </c>
      <c r="E17295" s="1">
        <v>80.248036</v>
      </c>
      <c r="F17295" s="1">
        <v>5339.0</v>
      </c>
      <c r="G17295" s="1">
        <v>26.0</v>
      </c>
    </row>
    <row r="17296">
      <c r="A17296" s="1" t="s">
        <v>8</v>
      </c>
      <c r="B17296" s="2">
        <v>44788.0</v>
      </c>
      <c r="C17296" s="3">
        <v>0.729363425925926</v>
      </c>
      <c r="D17296" s="1">
        <v>13.045336</v>
      </c>
      <c r="E17296" s="1">
        <v>80.248036</v>
      </c>
      <c r="F17296" s="1">
        <v>5339.0</v>
      </c>
      <c r="G17296" s="1">
        <v>26.0</v>
      </c>
    </row>
    <row r="17297">
      <c r="A17297" s="1" t="s">
        <v>8</v>
      </c>
      <c r="B17297" s="2">
        <v>44788.0</v>
      </c>
      <c r="C17297" s="3">
        <v>0.7295949074074074</v>
      </c>
      <c r="D17297" s="1">
        <v>13.046572</v>
      </c>
      <c r="E17297" s="1">
        <v>80.248285</v>
      </c>
      <c r="F17297" s="1">
        <v>5339.0</v>
      </c>
      <c r="G17297" s="1">
        <v>29.0</v>
      </c>
    </row>
    <row r="17298">
      <c r="A17298" s="1" t="s">
        <v>7</v>
      </c>
      <c r="B17298" s="2">
        <v>44788.0</v>
      </c>
      <c r="C17298" s="3">
        <v>0.7296064814814814</v>
      </c>
      <c r="D17298" s="1">
        <v>12.61541</v>
      </c>
      <c r="E17298" s="1">
        <v>79.925852</v>
      </c>
      <c r="F17298" s="1">
        <v>2846.0</v>
      </c>
      <c r="G17298" s="1">
        <v>58.0</v>
      </c>
    </row>
    <row r="17299">
      <c r="A17299" s="1" t="s">
        <v>7</v>
      </c>
      <c r="B17299" s="2">
        <v>44788.0</v>
      </c>
      <c r="C17299" s="3">
        <v>0.7301041666666667</v>
      </c>
      <c r="D17299" s="1">
        <v>12.611474</v>
      </c>
      <c r="E17299" s="1">
        <v>79.9236</v>
      </c>
      <c r="F17299" s="1">
        <v>2846.0</v>
      </c>
      <c r="G17299" s="1">
        <v>57.0</v>
      </c>
    </row>
    <row r="17300">
      <c r="A17300" s="1" t="s">
        <v>9</v>
      </c>
      <c r="B17300" s="2">
        <v>44788.0</v>
      </c>
      <c r="C17300" s="3">
        <v>0.7301967592592593</v>
      </c>
      <c r="D17300" s="1">
        <v>13.050184</v>
      </c>
      <c r="E17300" s="1">
        <v>80.249835</v>
      </c>
      <c r="F17300" s="1">
        <v>5339.0</v>
      </c>
      <c r="G17300" s="1">
        <v>38.0</v>
      </c>
    </row>
    <row r="17301">
      <c r="A17301" s="1" t="s">
        <v>10</v>
      </c>
      <c r="B17301" s="2">
        <v>44788.0</v>
      </c>
      <c r="C17301" s="3">
        <v>0.7309837962962963</v>
      </c>
      <c r="D17301" s="1">
        <v>13.029781</v>
      </c>
      <c r="E17301" s="1">
        <v>80.266591</v>
      </c>
      <c r="F17301" s="1">
        <v>805.0</v>
      </c>
      <c r="G17301" s="1">
        <v>24.0</v>
      </c>
    </row>
    <row r="17302">
      <c r="A17302" s="1" t="s">
        <v>10</v>
      </c>
      <c r="B17302" s="2">
        <v>44788.0</v>
      </c>
      <c r="C17302" s="3">
        <v>0.7310300925925926</v>
      </c>
      <c r="D17302" s="1">
        <v>13.029781</v>
      </c>
      <c r="E17302" s="1">
        <v>80.266591</v>
      </c>
      <c r="F17302" s="1">
        <v>805.0</v>
      </c>
      <c r="G17302" s="1">
        <v>24.0</v>
      </c>
    </row>
    <row r="17303">
      <c r="A17303" s="1" t="s">
        <v>8</v>
      </c>
      <c r="B17303" s="2">
        <v>44788.0</v>
      </c>
      <c r="C17303" s="3">
        <v>0.731087962962963</v>
      </c>
      <c r="D17303" s="1">
        <v>13.05487</v>
      </c>
      <c r="E17303" s="1">
        <v>80.25435</v>
      </c>
      <c r="F17303" s="1">
        <v>5339.0</v>
      </c>
      <c r="G17303" s="1">
        <v>18.0</v>
      </c>
    </row>
    <row r="17304">
      <c r="A17304" s="1" t="s">
        <v>8</v>
      </c>
      <c r="B17304" s="2">
        <v>44788.0</v>
      </c>
      <c r="C17304" s="3">
        <v>0.7311805555555555</v>
      </c>
      <c r="D17304" s="1">
        <v>13.05487</v>
      </c>
      <c r="E17304" s="1">
        <v>80.25435</v>
      </c>
      <c r="F17304" s="1">
        <v>5339.0</v>
      </c>
      <c r="G17304" s="1">
        <v>18.0</v>
      </c>
    </row>
    <row r="17305">
      <c r="A17305" s="1" t="s">
        <v>10</v>
      </c>
      <c r="B17305" s="2">
        <v>44788.0</v>
      </c>
      <c r="C17305" s="3">
        <v>0.7314351851851851</v>
      </c>
      <c r="D17305" s="1">
        <v>13.032305</v>
      </c>
      <c r="E17305" s="1">
        <v>80.267295</v>
      </c>
      <c r="F17305" s="1">
        <v>805.0</v>
      </c>
      <c r="G17305" s="1">
        <v>27.0</v>
      </c>
    </row>
    <row r="17306">
      <c r="A17306" s="1" t="s">
        <v>7</v>
      </c>
      <c r="B17306" s="2">
        <v>44788.0</v>
      </c>
      <c r="C17306" s="3">
        <v>0.731712962962963</v>
      </c>
      <c r="D17306" s="1">
        <v>12.593282</v>
      </c>
      <c r="E17306" s="1">
        <v>79.919268</v>
      </c>
      <c r="F17306" s="1">
        <v>2846.0</v>
      </c>
      <c r="G17306" s="1">
        <v>58.0</v>
      </c>
    </row>
    <row r="17307">
      <c r="A17307" s="1" t="s">
        <v>10</v>
      </c>
      <c r="B17307" s="2">
        <v>44788.0</v>
      </c>
      <c r="C17307" s="3">
        <v>0.7322800925925926</v>
      </c>
      <c r="D17307" s="1">
        <v>13.057462</v>
      </c>
      <c r="E17307" s="1">
        <v>80.25772</v>
      </c>
      <c r="F17307" s="1">
        <v>5339.0</v>
      </c>
      <c r="G17307" s="1">
        <v>15.0</v>
      </c>
    </row>
    <row r="17308">
      <c r="A17308" s="1" t="s">
        <v>7</v>
      </c>
      <c r="B17308" s="2">
        <v>44788.0</v>
      </c>
      <c r="C17308" s="3">
        <v>0.7324652777777778</v>
      </c>
      <c r="D17308" s="1">
        <v>12.582031</v>
      </c>
      <c r="E17308" s="1">
        <v>79.919081</v>
      </c>
      <c r="F17308" s="1">
        <v>2846.0</v>
      </c>
      <c r="G17308" s="1">
        <v>58.0</v>
      </c>
    </row>
    <row r="17309">
      <c r="A17309" s="1" t="s">
        <v>7</v>
      </c>
      <c r="B17309" s="2">
        <v>44788.0</v>
      </c>
      <c r="C17309" s="3">
        <v>0.7327083333333333</v>
      </c>
      <c r="D17309" s="1">
        <v>12.579813</v>
      </c>
      <c r="E17309" s="1">
        <v>79.918323</v>
      </c>
      <c r="F17309" s="1">
        <v>2846.0</v>
      </c>
      <c r="G17309" s="1">
        <v>58.0</v>
      </c>
    </row>
    <row r="17310">
      <c r="A17310" s="1" t="s">
        <v>7</v>
      </c>
      <c r="B17310" s="2">
        <v>44788.0</v>
      </c>
      <c r="C17310" s="3">
        <v>0.7333449074074074</v>
      </c>
      <c r="D17310" s="1">
        <v>12.57749</v>
      </c>
      <c r="E17310" s="1">
        <v>79.917439</v>
      </c>
      <c r="F17310" s="1">
        <v>2846.0</v>
      </c>
      <c r="G17310" s="1">
        <v>57.0</v>
      </c>
    </row>
    <row r="17311">
      <c r="A17311" s="1" t="s">
        <v>10</v>
      </c>
      <c r="B17311" s="2">
        <v>44788.0</v>
      </c>
      <c r="C17311" s="3">
        <v>0.7340393518518519</v>
      </c>
      <c r="D17311" s="1">
        <v>13.053827</v>
      </c>
      <c r="E17311" s="1">
        <v>80.26473</v>
      </c>
      <c r="F17311" s="1">
        <v>5339.0</v>
      </c>
      <c r="G17311" s="1">
        <v>47.0</v>
      </c>
    </row>
    <row r="17312">
      <c r="A17312" s="1" t="s">
        <v>10</v>
      </c>
      <c r="B17312" s="2">
        <v>44788.0</v>
      </c>
      <c r="C17312" s="3">
        <v>0.7341203703703704</v>
      </c>
      <c r="D17312" s="1">
        <v>13.053683</v>
      </c>
      <c r="E17312" s="1">
        <v>80.266467</v>
      </c>
      <c r="F17312" s="1">
        <v>5339.0</v>
      </c>
      <c r="G17312" s="1">
        <v>22.0</v>
      </c>
    </row>
    <row r="17313">
      <c r="A17313" s="1" t="s">
        <v>10</v>
      </c>
      <c r="B17313" s="2">
        <v>44788.0</v>
      </c>
      <c r="C17313" s="3">
        <v>0.7343287037037037</v>
      </c>
      <c r="D17313" s="1">
        <v>13.039231</v>
      </c>
      <c r="E17313" s="1">
        <v>80.267674</v>
      </c>
      <c r="F17313" s="1">
        <v>805.0</v>
      </c>
      <c r="G17313" s="1">
        <v>15.0</v>
      </c>
    </row>
    <row r="17314">
      <c r="A17314" s="1" t="s">
        <v>10</v>
      </c>
      <c r="B17314" s="2">
        <v>44788.0</v>
      </c>
      <c r="C17314" s="3">
        <v>0.7344675925925926</v>
      </c>
      <c r="D17314" s="1">
        <v>13.053589</v>
      </c>
      <c r="E17314" s="1">
        <v>80.267408</v>
      </c>
      <c r="F17314" s="1">
        <v>5339.0</v>
      </c>
      <c r="G17314" s="1">
        <v>22.0</v>
      </c>
    </row>
    <row r="17315">
      <c r="A17315" s="1" t="s">
        <v>10</v>
      </c>
      <c r="B17315" s="2">
        <v>44788.0</v>
      </c>
      <c r="C17315" s="3">
        <v>0.7348263888888888</v>
      </c>
      <c r="D17315" s="1">
        <v>13.053466</v>
      </c>
      <c r="E17315" s="1">
        <v>80.268853</v>
      </c>
      <c r="F17315" s="1">
        <v>5339.0</v>
      </c>
      <c r="G17315" s="1">
        <v>0.0</v>
      </c>
    </row>
    <row r="17316">
      <c r="A17316" s="1" t="s">
        <v>10</v>
      </c>
      <c r="B17316" s="2">
        <v>44788.0</v>
      </c>
      <c r="C17316" s="3">
        <v>0.7351273148148149</v>
      </c>
      <c r="D17316" s="1">
        <v>13.05337</v>
      </c>
      <c r="E17316" s="1">
        <v>80.269573</v>
      </c>
      <c r="F17316" s="1">
        <v>5339.0</v>
      </c>
      <c r="G17316" s="1">
        <v>13.0</v>
      </c>
    </row>
    <row r="17317">
      <c r="A17317" s="1" t="s">
        <v>10</v>
      </c>
      <c r="B17317" s="2">
        <v>44788.0</v>
      </c>
      <c r="C17317" s="3">
        <v>0.7355787037037037</v>
      </c>
      <c r="D17317" s="1">
        <v>13.053312</v>
      </c>
      <c r="E17317" s="1">
        <v>80.27072</v>
      </c>
      <c r="F17317" s="1">
        <v>5339.0</v>
      </c>
      <c r="G17317" s="1">
        <v>20.0</v>
      </c>
    </row>
    <row r="17318">
      <c r="A17318" s="1" t="s">
        <v>8</v>
      </c>
      <c r="B17318" s="2">
        <v>44788.0</v>
      </c>
      <c r="C17318" s="3">
        <v>0.7363078703703704</v>
      </c>
      <c r="D17318" s="1">
        <v>12.537808</v>
      </c>
      <c r="E17318" s="1">
        <v>79.903669</v>
      </c>
      <c r="F17318" s="1">
        <v>2846.0</v>
      </c>
      <c r="G17318" s="1">
        <v>58.0</v>
      </c>
    </row>
    <row r="17319">
      <c r="A17319" s="1" t="s">
        <v>8</v>
      </c>
      <c r="B17319" s="2">
        <v>44788.0</v>
      </c>
      <c r="C17319" s="3">
        <v>0.7364236111111111</v>
      </c>
      <c r="D17319" s="1">
        <v>12.536564</v>
      </c>
      <c r="E17319" s="1">
        <v>79.902892</v>
      </c>
      <c r="F17319" s="1">
        <v>2846.0</v>
      </c>
      <c r="G17319" s="1">
        <v>59.0</v>
      </c>
    </row>
    <row r="17320">
      <c r="A17320" s="1" t="s">
        <v>7</v>
      </c>
      <c r="B17320" s="2">
        <v>44788.0</v>
      </c>
      <c r="C17320" s="3">
        <v>0.7365625</v>
      </c>
      <c r="D17320" s="1">
        <v>12.535385</v>
      </c>
      <c r="E17320" s="1">
        <v>79.902161</v>
      </c>
      <c r="F17320" s="1">
        <v>2846.0</v>
      </c>
      <c r="G17320" s="1">
        <v>52.0</v>
      </c>
    </row>
    <row r="17321">
      <c r="A17321" s="1" t="s">
        <v>10</v>
      </c>
      <c r="B17321" s="2">
        <v>44788.0</v>
      </c>
      <c r="C17321" s="3">
        <v>0.7365856481481482</v>
      </c>
      <c r="D17321" s="1">
        <v>13.052956</v>
      </c>
      <c r="E17321" s="1">
        <v>80.272789</v>
      </c>
      <c r="F17321" s="1">
        <v>5339.0</v>
      </c>
      <c r="G17321" s="1">
        <v>14.0</v>
      </c>
    </row>
    <row r="17322">
      <c r="A17322" s="1" t="s">
        <v>10</v>
      </c>
      <c r="B17322" s="2">
        <v>44788.0</v>
      </c>
      <c r="C17322" s="3">
        <v>0.7370486111111111</v>
      </c>
      <c r="D17322" s="1">
        <v>13.050425</v>
      </c>
      <c r="E17322" s="1">
        <v>80.264097</v>
      </c>
      <c r="F17322" s="1">
        <v>805.0</v>
      </c>
      <c r="G17322" s="1">
        <v>29.0</v>
      </c>
    </row>
    <row r="17323">
      <c r="A17323" s="1" t="s">
        <v>9</v>
      </c>
      <c r="B17323" s="2">
        <v>44788.0</v>
      </c>
      <c r="C17323" s="3">
        <v>0.7373611111111111</v>
      </c>
      <c r="D17323" s="1">
        <v>12.528935</v>
      </c>
      <c r="E17323" s="1">
        <v>79.899008</v>
      </c>
      <c r="F17323" s="1">
        <v>2846.0</v>
      </c>
      <c r="G17323" s="1">
        <v>53.0</v>
      </c>
    </row>
    <row r="17324">
      <c r="A17324" s="1" t="s">
        <v>10</v>
      </c>
      <c r="B17324" s="2">
        <v>44788.0</v>
      </c>
      <c r="C17324" s="3">
        <v>0.7374305555555556</v>
      </c>
      <c r="D17324" s="1">
        <v>13.05521</v>
      </c>
      <c r="E17324" s="1">
        <v>80.27382</v>
      </c>
      <c r="F17324" s="1">
        <v>5339.0</v>
      </c>
      <c r="G17324" s="1">
        <v>11.0</v>
      </c>
    </row>
    <row r="17325">
      <c r="A17325" s="1" t="s">
        <v>10</v>
      </c>
      <c r="B17325" s="2">
        <v>44788.0</v>
      </c>
      <c r="C17325" s="3">
        <v>0.7375925925925926</v>
      </c>
      <c r="D17325" s="1">
        <v>13.055701</v>
      </c>
      <c r="E17325" s="1">
        <v>80.273855</v>
      </c>
      <c r="F17325" s="1">
        <v>5339.0</v>
      </c>
      <c r="G17325" s="1">
        <v>26.0</v>
      </c>
    </row>
    <row r="17326">
      <c r="A17326" s="1" t="s">
        <v>10</v>
      </c>
      <c r="B17326" s="2">
        <v>44788.0</v>
      </c>
      <c r="C17326" s="3">
        <v>0.7380092592592593</v>
      </c>
      <c r="D17326" s="1">
        <v>13.05694</v>
      </c>
      <c r="E17326" s="1">
        <v>80.27396</v>
      </c>
      <c r="F17326" s="1">
        <v>5339.0</v>
      </c>
      <c r="G17326" s="1">
        <v>24.0</v>
      </c>
    </row>
    <row r="17327">
      <c r="A17327" s="1" t="s">
        <v>10</v>
      </c>
      <c r="B17327" s="2">
        <v>44788.0</v>
      </c>
      <c r="C17327" s="3">
        <v>0.7380787037037037</v>
      </c>
      <c r="D17327" s="1">
        <v>13.05694</v>
      </c>
      <c r="E17327" s="1">
        <v>80.27396</v>
      </c>
      <c r="F17327" s="1">
        <v>5339.0</v>
      </c>
      <c r="G17327" s="1">
        <v>24.0</v>
      </c>
    </row>
    <row r="17328">
      <c r="A17328" s="1" t="s">
        <v>7</v>
      </c>
      <c r="B17328" s="2">
        <v>44788.0</v>
      </c>
      <c r="C17328" s="3">
        <v>0.738287037037037</v>
      </c>
      <c r="D17328" s="1">
        <v>12.520454</v>
      </c>
      <c r="E17328" s="1">
        <v>79.894051</v>
      </c>
      <c r="F17328" s="1">
        <v>2846.0</v>
      </c>
      <c r="G17328" s="1">
        <v>56.0</v>
      </c>
    </row>
    <row r="17329">
      <c r="A17329" s="1" t="s">
        <v>8</v>
      </c>
      <c r="B17329" s="2">
        <v>44788.0</v>
      </c>
      <c r="C17329" s="3">
        <v>0.7388078703703703</v>
      </c>
      <c r="D17329" s="1">
        <v>13.057534</v>
      </c>
      <c r="E17329" s="1">
        <v>80.264946</v>
      </c>
      <c r="F17329" s="1">
        <v>805.0</v>
      </c>
      <c r="G17329" s="1">
        <v>35.0</v>
      </c>
    </row>
    <row r="17330">
      <c r="A17330" s="1" t="s">
        <v>10</v>
      </c>
      <c r="B17330" s="2">
        <v>44788.0</v>
      </c>
      <c r="C17330" s="3">
        <v>0.7390046296296297</v>
      </c>
      <c r="D17330" s="1">
        <v>13.059076</v>
      </c>
      <c r="E17330" s="1">
        <v>80.274206</v>
      </c>
      <c r="F17330" s="1">
        <v>5339.0</v>
      </c>
      <c r="G17330" s="1">
        <v>18.0</v>
      </c>
    </row>
    <row r="17331">
      <c r="A17331" s="1" t="s">
        <v>10</v>
      </c>
      <c r="B17331" s="2">
        <v>44788.0</v>
      </c>
      <c r="C17331" s="3">
        <v>0.7391203703703704</v>
      </c>
      <c r="D17331" s="1">
        <v>13.05966</v>
      </c>
      <c r="E17331" s="1">
        <v>80.274274</v>
      </c>
      <c r="F17331" s="1">
        <v>5339.0</v>
      </c>
      <c r="G17331" s="1">
        <v>17.0</v>
      </c>
    </row>
    <row r="17332">
      <c r="A17332" s="1" t="s">
        <v>10</v>
      </c>
      <c r="B17332" s="2">
        <v>44788.0</v>
      </c>
      <c r="C17332" s="3">
        <v>0.739212962962963</v>
      </c>
      <c r="D17332" s="1">
        <v>12.513857</v>
      </c>
      <c r="E17332" s="1">
        <v>79.887668</v>
      </c>
      <c r="F17332" s="1">
        <v>2846.0</v>
      </c>
      <c r="G17332" s="1">
        <v>33.0</v>
      </c>
    </row>
    <row r="17333">
      <c r="A17333" s="1" t="s">
        <v>10</v>
      </c>
      <c r="B17333" s="2">
        <v>44788.0</v>
      </c>
      <c r="C17333" s="3">
        <v>0.7395023148148148</v>
      </c>
      <c r="D17333" s="1">
        <v>13.060808</v>
      </c>
      <c r="E17333" s="1">
        <v>80.274369</v>
      </c>
      <c r="F17333" s="1">
        <v>5339.0</v>
      </c>
      <c r="G17333" s="1">
        <v>8.0</v>
      </c>
    </row>
    <row r="17334">
      <c r="A17334" s="1" t="s">
        <v>10</v>
      </c>
      <c r="B17334" s="2">
        <v>44788.0</v>
      </c>
      <c r="C17334" s="3">
        <v>0.7397337962962963</v>
      </c>
      <c r="D17334" s="1">
        <v>13.06156</v>
      </c>
      <c r="E17334" s="1">
        <v>80.274344</v>
      </c>
      <c r="F17334" s="1">
        <v>5339.0</v>
      </c>
      <c r="G17334" s="1">
        <v>31.0</v>
      </c>
    </row>
    <row r="17335">
      <c r="A17335" s="1" t="s">
        <v>10</v>
      </c>
      <c r="B17335" s="2">
        <v>44788.0</v>
      </c>
      <c r="C17335" s="3">
        <v>0.7397916666666666</v>
      </c>
      <c r="D17335" s="1">
        <v>13.060958</v>
      </c>
      <c r="E17335" s="1">
        <v>80.265142</v>
      </c>
      <c r="F17335" s="1">
        <v>805.0</v>
      </c>
      <c r="G17335" s="1">
        <v>0.0</v>
      </c>
    </row>
    <row r="17336">
      <c r="A17336" s="1" t="s">
        <v>10</v>
      </c>
      <c r="B17336" s="2">
        <v>44788.0</v>
      </c>
      <c r="C17336" s="3">
        <v>0.7402430555555556</v>
      </c>
      <c r="D17336" s="1">
        <v>13.063925</v>
      </c>
      <c r="E17336" s="1">
        <v>80.274047</v>
      </c>
      <c r="F17336" s="1">
        <v>5339.0</v>
      </c>
      <c r="G17336" s="1">
        <v>13.0</v>
      </c>
    </row>
    <row r="17337">
      <c r="A17337" s="1" t="s">
        <v>10</v>
      </c>
      <c r="B17337" s="2">
        <v>44788.0</v>
      </c>
      <c r="C17337" s="3">
        <v>0.7402893518518519</v>
      </c>
      <c r="D17337" s="1">
        <v>12.509797</v>
      </c>
      <c r="E17337" s="1">
        <v>79.884895</v>
      </c>
      <c r="F17337" s="1">
        <v>2846.0</v>
      </c>
      <c r="G17337" s="1">
        <v>19.0</v>
      </c>
    </row>
    <row r="17338">
      <c r="A17338" s="1" t="s">
        <v>10</v>
      </c>
      <c r="B17338" s="2">
        <v>44788.0</v>
      </c>
      <c r="C17338" s="3">
        <v>0.7403125</v>
      </c>
      <c r="D17338" s="1">
        <v>13.062117</v>
      </c>
      <c r="E17338" s="1">
        <v>80.266293</v>
      </c>
      <c r="F17338" s="1">
        <v>805.0</v>
      </c>
      <c r="G17338" s="1">
        <v>0.0</v>
      </c>
    </row>
    <row r="17339">
      <c r="A17339" s="1" t="s">
        <v>10</v>
      </c>
      <c r="B17339" s="2">
        <v>44788.0</v>
      </c>
      <c r="C17339" s="3">
        <v>0.7405092592592593</v>
      </c>
      <c r="D17339" s="1">
        <v>13.064363</v>
      </c>
      <c r="E17339" s="1">
        <v>80.274006</v>
      </c>
      <c r="F17339" s="1">
        <v>5339.0</v>
      </c>
      <c r="G17339" s="1">
        <v>0.0</v>
      </c>
    </row>
    <row r="17340">
      <c r="A17340" s="1" t="s">
        <v>10</v>
      </c>
      <c r="B17340" s="2">
        <v>44788.0</v>
      </c>
      <c r="C17340" s="3">
        <v>0.7408333333333333</v>
      </c>
      <c r="D17340" s="1">
        <v>12.509328</v>
      </c>
      <c r="E17340" s="1">
        <v>79.884838</v>
      </c>
      <c r="F17340" s="1">
        <v>2846.0</v>
      </c>
      <c r="G17340" s="1">
        <v>15.0</v>
      </c>
    </row>
    <row r="17341">
      <c r="A17341" s="1" t="s">
        <v>10</v>
      </c>
      <c r="B17341" s="2">
        <v>44788.0</v>
      </c>
      <c r="C17341" s="3">
        <v>0.7408449074074074</v>
      </c>
      <c r="D17341" s="1">
        <v>12.509149</v>
      </c>
      <c r="E17341" s="1">
        <v>79.884825</v>
      </c>
      <c r="F17341" s="1">
        <v>2846.0</v>
      </c>
      <c r="G17341" s="1">
        <v>4.0</v>
      </c>
    </row>
    <row r="17342">
      <c r="A17342" s="1" t="s">
        <v>8</v>
      </c>
      <c r="B17342" s="2">
        <v>44788.0</v>
      </c>
      <c r="C17342" s="3">
        <v>0.7414583333333333</v>
      </c>
      <c r="D17342" s="1">
        <v>12.508026</v>
      </c>
      <c r="E17342" s="1">
        <v>79.88186</v>
      </c>
      <c r="F17342" s="1">
        <v>2846.0</v>
      </c>
      <c r="G17342" s="1">
        <v>42.0</v>
      </c>
    </row>
    <row r="17343">
      <c r="A17343" s="1" t="s">
        <v>8</v>
      </c>
      <c r="B17343" s="2">
        <v>44788.0</v>
      </c>
      <c r="C17343" s="3">
        <v>0.7416435185185185</v>
      </c>
      <c r="D17343" s="1">
        <v>13.068173</v>
      </c>
      <c r="E17343" s="1">
        <v>80.271732</v>
      </c>
      <c r="F17343" s="1">
        <v>5339.0</v>
      </c>
      <c r="G17343" s="1">
        <v>0.0</v>
      </c>
    </row>
    <row r="17344">
      <c r="A17344" s="1" t="s">
        <v>8</v>
      </c>
      <c r="B17344" s="2">
        <v>44788.0</v>
      </c>
      <c r="C17344" s="3">
        <v>0.7418518518518519</v>
      </c>
      <c r="D17344" s="1">
        <v>13.067075</v>
      </c>
      <c r="E17344" s="1">
        <v>80.270237</v>
      </c>
      <c r="F17344" s="1">
        <v>5339.0</v>
      </c>
      <c r="G17344" s="1">
        <v>30.0</v>
      </c>
    </row>
    <row r="17345">
      <c r="A17345" s="1" t="s">
        <v>8</v>
      </c>
      <c r="B17345" s="2">
        <v>44788.0</v>
      </c>
      <c r="C17345" s="3">
        <v>0.7418634259259259</v>
      </c>
      <c r="D17345" s="1">
        <v>13.067986</v>
      </c>
      <c r="E17345" s="1">
        <v>80.271253</v>
      </c>
      <c r="F17345" s="1">
        <v>5339.0</v>
      </c>
      <c r="G17345" s="1">
        <v>26.0</v>
      </c>
    </row>
    <row r="17346">
      <c r="A17346" s="1" t="s">
        <v>8</v>
      </c>
      <c r="B17346" s="2">
        <v>44788.0</v>
      </c>
      <c r="C17346" s="3">
        <v>0.7418634259259259</v>
      </c>
      <c r="D17346" s="1">
        <v>13.067075</v>
      </c>
      <c r="E17346" s="1">
        <v>80.270237</v>
      </c>
      <c r="F17346" s="1">
        <v>5339.0</v>
      </c>
      <c r="G17346" s="1">
        <v>30.0</v>
      </c>
    </row>
    <row r="17347">
      <c r="A17347" s="1" t="s">
        <v>8</v>
      </c>
      <c r="B17347" s="2">
        <v>44788.0</v>
      </c>
      <c r="C17347" s="3">
        <v>0.7418634259259259</v>
      </c>
      <c r="D17347" s="1">
        <v>13.067986</v>
      </c>
      <c r="E17347" s="1">
        <v>80.271253</v>
      </c>
      <c r="F17347" s="1">
        <v>5339.0</v>
      </c>
      <c r="G17347" s="1">
        <v>26.0</v>
      </c>
    </row>
    <row r="17348">
      <c r="A17348" s="1" t="s">
        <v>8</v>
      </c>
      <c r="B17348" s="2">
        <v>44788.0</v>
      </c>
      <c r="C17348" s="3">
        <v>0.7418634259259259</v>
      </c>
      <c r="D17348" s="1">
        <v>13.067075</v>
      </c>
      <c r="E17348" s="1">
        <v>80.270237</v>
      </c>
      <c r="F17348" s="1">
        <v>5339.0</v>
      </c>
      <c r="G17348" s="1">
        <v>30.0</v>
      </c>
    </row>
    <row r="17349">
      <c r="A17349" s="1" t="s">
        <v>8</v>
      </c>
      <c r="B17349" s="2">
        <v>44788.0</v>
      </c>
      <c r="C17349" s="3">
        <v>0.7418634259259259</v>
      </c>
      <c r="D17349" s="1">
        <v>13.067075</v>
      </c>
      <c r="E17349" s="1">
        <v>80.270237</v>
      </c>
      <c r="F17349" s="1">
        <v>5339.0</v>
      </c>
      <c r="G17349" s="1">
        <v>30.0</v>
      </c>
    </row>
    <row r="17350">
      <c r="A17350" s="1" t="s">
        <v>8</v>
      </c>
      <c r="B17350" s="2">
        <v>44788.0</v>
      </c>
      <c r="C17350" s="3">
        <v>0.7423611111111111</v>
      </c>
      <c r="D17350" s="1">
        <v>13.066684</v>
      </c>
      <c r="E17350" s="1">
        <v>80.268422</v>
      </c>
      <c r="F17350" s="1">
        <v>5339.0</v>
      </c>
      <c r="G17350" s="1">
        <v>10.0</v>
      </c>
    </row>
    <row r="17351">
      <c r="A17351" s="1" t="s">
        <v>7</v>
      </c>
      <c r="B17351" s="2">
        <v>44788.0</v>
      </c>
      <c r="C17351" s="3">
        <v>0.7424421296296296</v>
      </c>
      <c r="D17351" s="1">
        <v>12.502279</v>
      </c>
      <c r="E17351" s="1">
        <v>79.8772</v>
      </c>
      <c r="F17351" s="1">
        <v>2846.0</v>
      </c>
      <c r="G17351" s="1">
        <v>58.0</v>
      </c>
    </row>
    <row r="17352">
      <c r="A17352" s="1" t="s">
        <v>10</v>
      </c>
      <c r="B17352" s="2">
        <v>44788.0</v>
      </c>
      <c r="C17352" s="3">
        <v>0.743287037037037</v>
      </c>
      <c r="D17352" s="1">
        <v>13.070181</v>
      </c>
      <c r="E17352" s="1">
        <v>80.265956</v>
      </c>
      <c r="F17352" s="1">
        <v>805.0</v>
      </c>
      <c r="G17352" s="1">
        <v>13.0</v>
      </c>
    </row>
    <row r="17353">
      <c r="A17353" s="1" t="s">
        <v>10</v>
      </c>
      <c r="B17353" s="2">
        <v>44788.0</v>
      </c>
      <c r="C17353" s="3">
        <v>0.7434722222222222</v>
      </c>
      <c r="D17353" s="1">
        <v>13.069701</v>
      </c>
      <c r="E17353" s="1">
        <v>80.266537</v>
      </c>
      <c r="F17353" s="1">
        <v>5339.0</v>
      </c>
      <c r="G17353" s="1">
        <v>22.0</v>
      </c>
    </row>
    <row r="17354">
      <c r="A17354" s="1" t="s">
        <v>10</v>
      </c>
      <c r="B17354" s="2">
        <v>44788.0</v>
      </c>
      <c r="C17354" s="3">
        <v>0.7435763888888889</v>
      </c>
      <c r="D17354" s="1">
        <v>13.071019</v>
      </c>
      <c r="E17354" s="1">
        <v>80.265137</v>
      </c>
      <c r="F17354" s="1">
        <v>805.0</v>
      </c>
      <c r="G17354" s="1">
        <v>18.0</v>
      </c>
    </row>
    <row r="17355">
      <c r="A17355" s="1" t="s">
        <v>10</v>
      </c>
      <c r="B17355" s="2">
        <v>44788.0</v>
      </c>
      <c r="C17355" s="3">
        <v>0.7439467592592592</v>
      </c>
      <c r="D17355" s="1">
        <v>13.071122</v>
      </c>
      <c r="E17355" s="1">
        <v>80.26505</v>
      </c>
      <c r="F17355" s="1">
        <v>5339.0</v>
      </c>
      <c r="G17355" s="1">
        <v>0.0</v>
      </c>
    </row>
    <row r="17356">
      <c r="A17356" s="1" t="s">
        <v>8</v>
      </c>
      <c r="B17356" s="2">
        <v>44788.0</v>
      </c>
      <c r="C17356" s="3">
        <v>0.7470486111111111</v>
      </c>
      <c r="D17356" s="1">
        <v>13.068188</v>
      </c>
      <c r="E17356" s="1">
        <v>80.252602</v>
      </c>
      <c r="F17356" s="1">
        <v>805.0</v>
      </c>
      <c r="G17356" s="1">
        <v>26.0</v>
      </c>
    </row>
    <row r="17357">
      <c r="A17357" s="1" t="s">
        <v>7</v>
      </c>
      <c r="B17357" s="2">
        <v>44789.0</v>
      </c>
      <c r="C17357" s="3">
        <v>0.2694212962962963</v>
      </c>
      <c r="D17357" s="1">
        <v>12.886682</v>
      </c>
      <c r="E17357" s="1">
        <v>80.083122</v>
      </c>
      <c r="F17357" s="1">
        <v>3143.0</v>
      </c>
      <c r="G17357" s="1">
        <v>54.0</v>
      </c>
    </row>
    <row r="17358">
      <c r="A17358" s="1" t="s">
        <v>8</v>
      </c>
      <c r="B17358" s="2">
        <v>44789.0</v>
      </c>
      <c r="C17358" s="3">
        <v>0.2708101851851852</v>
      </c>
      <c r="D17358" s="1">
        <v>12.901522</v>
      </c>
      <c r="E17358" s="1">
        <v>80.092487</v>
      </c>
      <c r="F17358" s="1">
        <v>3143.0</v>
      </c>
      <c r="G17358" s="1">
        <v>56.0</v>
      </c>
    </row>
    <row r="17359">
      <c r="A17359" s="1" t="s">
        <v>8</v>
      </c>
      <c r="B17359" s="2">
        <v>44789.0</v>
      </c>
      <c r="C17359" s="3">
        <v>0.2709375</v>
      </c>
      <c r="D17359" s="1">
        <v>12.902627</v>
      </c>
      <c r="E17359" s="1">
        <v>80.093302</v>
      </c>
      <c r="F17359" s="1">
        <v>3143.0</v>
      </c>
      <c r="G17359" s="1">
        <v>47.0</v>
      </c>
    </row>
    <row r="17360">
      <c r="A17360" s="1" t="s">
        <v>8</v>
      </c>
      <c r="B17360" s="2">
        <v>44789.0</v>
      </c>
      <c r="C17360" s="3">
        <v>0.27109953703703704</v>
      </c>
      <c r="D17360" s="1">
        <v>12.904302</v>
      </c>
      <c r="E17360" s="1">
        <v>80.094578</v>
      </c>
      <c r="F17360" s="1">
        <v>3143.0</v>
      </c>
      <c r="G17360" s="1">
        <v>36.0</v>
      </c>
    </row>
    <row r="17361">
      <c r="A17361" s="1" t="s">
        <v>9</v>
      </c>
      <c r="B17361" s="2">
        <v>44789.0</v>
      </c>
      <c r="C17361" s="3">
        <v>0.27121527777777776</v>
      </c>
      <c r="D17361" s="1">
        <v>12.905003</v>
      </c>
      <c r="E17361" s="1">
        <v>80.095072</v>
      </c>
      <c r="F17361" s="1">
        <v>3143.0</v>
      </c>
      <c r="G17361" s="1">
        <v>36.0</v>
      </c>
    </row>
    <row r="17362">
      <c r="A17362" s="1" t="s">
        <v>7</v>
      </c>
      <c r="B17362" s="2">
        <v>44789.0</v>
      </c>
      <c r="C17362" s="3">
        <v>0.2715162037037037</v>
      </c>
      <c r="D17362" s="1">
        <v>12.906641</v>
      </c>
      <c r="E17362" s="1">
        <v>80.096288</v>
      </c>
      <c r="F17362" s="1">
        <v>3143.0</v>
      </c>
      <c r="G17362" s="1">
        <v>38.0</v>
      </c>
    </row>
    <row r="17363">
      <c r="A17363" s="1" t="s">
        <v>7</v>
      </c>
      <c r="B17363" s="2">
        <v>44789.0</v>
      </c>
      <c r="C17363" s="3">
        <v>0.27162037037037035</v>
      </c>
      <c r="D17363" s="1">
        <v>12.907532</v>
      </c>
      <c r="E17363" s="1">
        <v>80.096973</v>
      </c>
      <c r="F17363" s="1">
        <v>3143.0</v>
      </c>
      <c r="G17363" s="1">
        <v>52.0</v>
      </c>
    </row>
    <row r="17364">
      <c r="A17364" s="1" t="s">
        <v>7</v>
      </c>
      <c r="B17364" s="2">
        <v>44789.0</v>
      </c>
      <c r="C17364" s="3">
        <v>0.27247685185185183</v>
      </c>
      <c r="D17364" s="1">
        <v>12.913276</v>
      </c>
      <c r="E17364" s="1">
        <v>80.10152</v>
      </c>
      <c r="F17364" s="1">
        <v>3143.0</v>
      </c>
      <c r="G17364" s="1">
        <v>56.0</v>
      </c>
    </row>
    <row r="17365">
      <c r="A17365" s="1" t="s">
        <v>7</v>
      </c>
      <c r="B17365" s="2">
        <v>44789.0</v>
      </c>
      <c r="C17365" s="3">
        <v>0.27283564814814815</v>
      </c>
      <c r="D17365" s="1">
        <v>12.915781</v>
      </c>
      <c r="E17365" s="1">
        <v>80.104459</v>
      </c>
      <c r="F17365" s="1">
        <v>3143.0</v>
      </c>
      <c r="G17365" s="1">
        <v>57.0</v>
      </c>
    </row>
    <row r="17366">
      <c r="A17366" s="1" t="s">
        <v>7</v>
      </c>
      <c r="B17366" s="2">
        <v>44789.0</v>
      </c>
      <c r="C17366" s="3">
        <v>0.2741087962962963</v>
      </c>
      <c r="D17366" s="1">
        <v>12.922495</v>
      </c>
      <c r="E17366" s="1">
        <v>80.113591</v>
      </c>
      <c r="F17366" s="1">
        <v>3143.0</v>
      </c>
      <c r="G17366" s="1">
        <v>58.0</v>
      </c>
    </row>
    <row r="17367">
      <c r="A17367" s="1" t="s">
        <v>8</v>
      </c>
      <c r="B17367" s="2">
        <v>44789.0</v>
      </c>
      <c r="C17367" s="3">
        <v>0.27782407407407406</v>
      </c>
      <c r="D17367" s="1">
        <v>12.929023</v>
      </c>
      <c r="E17367" s="1">
        <v>80.120089</v>
      </c>
      <c r="F17367" s="1">
        <v>3143.0</v>
      </c>
      <c r="G17367" s="1">
        <v>42.0</v>
      </c>
    </row>
    <row r="17368">
      <c r="A17368" s="1" t="s">
        <v>8</v>
      </c>
      <c r="B17368" s="2">
        <v>44789.0</v>
      </c>
      <c r="C17368" s="3">
        <v>0.27846064814814814</v>
      </c>
      <c r="D17368" s="1">
        <v>12.930085</v>
      </c>
      <c r="E17368" s="1">
        <v>80.121138</v>
      </c>
      <c r="F17368" s="1">
        <v>3143.0</v>
      </c>
      <c r="G17368" s="1">
        <v>19.0</v>
      </c>
    </row>
    <row r="17369">
      <c r="A17369" s="1" t="s">
        <v>8</v>
      </c>
      <c r="B17369" s="2">
        <v>44789.0</v>
      </c>
      <c r="C17369" s="3">
        <v>0.2785185185185185</v>
      </c>
      <c r="D17369" s="1">
        <v>12.930491</v>
      </c>
      <c r="E17369" s="1">
        <v>80.121567</v>
      </c>
      <c r="F17369" s="1">
        <v>3143.0</v>
      </c>
      <c r="G17369" s="1">
        <v>34.0</v>
      </c>
    </row>
    <row r="17370">
      <c r="A17370" s="1" t="s">
        <v>8</v>
      </c>
      <c r="B17370" s="2">
        <v>44789.0</v>
      </c>
      <c r="C17370" s="3">
        <v>0.2793171296296296</v>
      </c>
      <c r="D17370" s="1">
        <v>12.932401</v>
      </c>
      <c r="E17370" s="1">
        <v>80.123514</v>
      </c>
      <c r="F17370" s="1">
        <v>3143.0</v>
      </c>
      <c r="G17370" s="1">
        <v>28.0</v>
      </c>
    </row>
    <row r="17371">
      <c r="A17371" s="1" t="s">
        <v>8</v>
      </c>
      <c r="B17371" s="2">
        <v>44789.0</v>
      </c>
      <c r="C17371" s="3">
        <v>0.2794097222222222</v>
      </c>
      <c r="D17371" s="1">
        <v>12.933059</v>
      </c>
      <c r="E17371" s="1">
        <v>80.124133</v>
      </c>
      <c r="F17371" s="1">
        <v>3143.0</v>
      </c>
      <c r="G17371" s="1">
        <v>39.0</v>
      </c>
    </row>
    <row r="17372">
      <c r="A17372" s="1" t="s">
        <v>8</v>
      </c>
      <c r="B17372" s="2">
        <v>44789.0</v>
      </c>
      <c r="C17372" s="3">
        <v>0.27944444444444444</v>
      </c>
      <c r="D17372" s="1">
        <v>12.933059</v>
      </c>
      <c r="E17372" s="1">
        <v>80.124133</v>
      </c>
      <c r="F17372" s="1">
        <v>3143.0</v>
      </c>
      <c r="G17372" s="1">
        <v>39.0</v>
      </c>
    </row>
    <row r="17373">
      <c r="A17373" s="1" t="s">
        <v>8</v>
      </c>
      <c r="B17373" s="2">
        <v>44789.0</v>
      </c>
      <c r="C17373" s="3">
        <v>0.2801851851851852</v>
      </c>
      <c r="D17373" s="1">
        <v>12.937708</v>
      </c>
      <c r="E17373" s="1">
        <v>80.128388</v>
      </c>
      <c r="F17373" s="1">
        <v>3143.0</v>
      </c>
      <c r="G17373" s="1">
        <v>48.0</v>
      </c>
    </row>
    <row r="17374">
      <c r="A17374" s="1" t="s">
        <v>7</v>
      </c>
      <c r="B17374" s="2">
        <v>44789.0</v>
      </c>
      <c r="C17374" s="3">
        <v>0.28054398148148146</v>
      </c>
      <c r="D17374" s="1">
        <v>12.940837</v>
      </c>
      <c r="E17374" s="1">
        <v>80.131346</v>
      </c>
      <c r="F17374" s="1">
        <v>3143.0</v>
      </c>
      <c r="G17374" s="1">
        <v>58.0</v>
      </c>
    </row>
    <row r="17375">
      <c r="A17375" s="1" t="s">
        <v>8</v>
      </c>
      <c r="B17375" s="2">
        <v>44789.0</v>
      </c>
      <c r="C17375" s="3">
        <v>0.2805787037037037</v>
      </c>
      <c r="D17375" s="1">
        <v>12.941869</v>
      </c>
      <c r="E17375" s="1">
        <v>80.132404</v>
      </c>
      <c r="F17375" s="1">
        <v>3143.0</v>
      </c>
      <c r="G17375" s="1">
        <v>58.0</v>
      </c>
    </row>
    <row r="17376">
      <c r="A17376" s="1" t="s">
        <v>8</v>
      </c>
      <c r="B17376" s="2">
        <v>44789.0</v>
      </c>
      <c r="C17376" s="3">
        <v>0.2806828703703704</v>
      </c>
      <c r="D17376" s="1">
        <v>12.942822</v>
      </c>
      <c r="E17376" s="1">
        <v>80.133388</v>
      </c>
      <c r="F17376" s="1">
        <v>3143.0</v>
      </c>
      <c r="G17376" s="1">
        <v>51.0</v>
      </c>
    </row>
    <row r="17377">
      <c r="A17377" s="1" t="s">
        <v>7</v>
      </c>
      <c r="B17377" s="2">
        <v>44789.0</v>
      </c>
      <c r="C17377" s="3">
        <v>0.2811342592592593</v>
      </c>
      <c r="D17377" s="1">
        <v>12.946057</v>
      </c>
      <c r="E17377" s="1">
        <v>80.136116</v>
      </c>
      <c r="F17377" s="1">
        <v>3143.0</v>
      </c>
      <c r="G17377" s="1">
        <v>58.0</v>
      </c>
    </row>
    <row r="17378">
      <c r="A17378" s="1" t="s">
        <v>7</v>
      </c>
      <c r="B17378" s="2">
        <v>44789.0</v>
      </c>
      <c r="C17378" s="3">
        <v>0.2813310185185185</v>
      </c>
      <c r="D17378" s="1">
        <v>12.94843</v>
      </c>
      <c r="E17378" s="1">
        <v>80.137848</v>
      </c>
      <c r="F17378" s="1">
        <v>3143.0</v>
      </c>
      <c r="G17378" s="1">
        <v>58.0</v>
      </c>
    </row>
    <row r="17379">
      <c r="A17379" s="1" t="s">
        <v>7</v>
      </c>
      <c r="B17379" s="2">
        <v>44789.0</v>
      </c>
      <c r="C17379" s="3">
        <v>0.2813657407407407</v>
      </c>
      <c r="D17379" s="1">
        <v>12.94843</v>
      </c>
      <c r="E17379" s="1">
        <v>80.137848</v>
      </c>
      <c r="F17379" s="1">
        <v>3143.0</v>
      </c>
      <c r="G17379" s="1">
        <v>58.0</v>
      </c>
    </row>
    <row r="17380">
      <c r="A17380" s="1" t="s">
        <v>8</v>
      </c>
      <c r="B17380" s="2">
        <v>44789.0</v>
      </c>
      <c r="C17380" s="3">
        <v>0.2814583333333333</v>
      </c>
      <c r="D17380" s="1">
        <v>12.949585</v>
      </c>
      <c r="E17380" s="1">
        <v>80.138756</v>
      </c>
      <c r="F17380" s="1">
        <v>3143.0</v>
      </c>
      <c r="G17380" s="1">
        <v>57.0</v>
      </c>
    </row>
    <row r="17381">
      <c r="A17381" s="1" t="s">
        <v>8</v>
      </c>
      <c r="B17381" s="2">
        <v>44789.0</v>
      </c>
      <c r="C17381" s="3">
        <v>0.28202546296296294</v>
      </c>
      <c r="D17381" s="1">
        <v>12.954128</v>
      </c>
      <c r="E17381" s="1">
        <v>80.142005</v>
      </c>
      <c r="F17381" s="1">
        <v>3143.0</v>
      </c>
      <c r="G17381" s="1">
        <v>50.0</v>
      </c>
    </row>
    <row r="17382">
      <c r="A17382" s="1" t="s">
        <v>8</v>
      </c>
      <c r="B17382" s="2">
        <v>44789.0</v>
      </c>
      <c r="C17382" s="3">
        <v>0.2826851851851852</v>
      </c>
      <c r="D17382" s="1">
        <v>12.957849</v>
      </c>
      <c r="E17382" s="1">
        <v>80.143837</v>
      </c>
      <c r="F17382" s="1">
        <v>3143.0</v>
      </c>
      <c r="G17382" s="1">
        <v>31.0</v>
      </c>
    </row>
    <row r="17383">
      <c r="A17383" s="1" t="s">
        <v>7</v>
      </c>
      <c r="B17383" s="2">
        <v>44789.0</v>
      </c>
      <c r="C17383" s="3">
        <v>0.2838425925925926</v>
      </c>
      <c r="D17383" s="1">
        <v>12.958953</v>
      </c>
      <c r="E17383" s="1">
        <v>80.150107</v>
      </c>
      <c r="F17383" s="1">
        <v>3143.0</v>
      </c>
      <c r="G17383" s="1">
        <v>48.0</v>
      </c>
    </row>
    <row r="17384">
      <c r="A17384" s="1" t="s">
        <v>8</v>
      </c>
      <c r="B17384" s="2">
        <v>44789.0</v>
      </c>
      <c r="C17384" s="3">
        <v>0.2845138888888889</v>
      </c>
      <c r="D17384" s="1">
        <v>12.954739</v>
      </c>
      <c r="E17384" s="1">
        <v>80.157982</v>
      </c>
      <c r="F17384" s="1">
        <v>3143.0</v>
      </c>
      <c r="G17384" s="1">
        <v>52.0</v>
      </c>
    </row>
    <row r="17385">
      <c r="A17385" s="1" t="s">
        <v>8</v>
      </c>
      <c r="B17385" s="2">
        <v>44789.0</v>
      </c>
      <c r="C17385" s="3">
        <v>0.28497685185185184</v>
      </c>
      <c r="D17385" s="1">
        <v>12.953607</v>
      </c>
      <c r="E17385" s="1">
        <v>80.163419</v>
      </c>
      <c r="F17385" s="1">
        <v>3143.0</v>
      </c>
      <c r="G17385" s="1">
        <v>58.0</v>
      </c>
    </row>
    <row r="17386">
      <c r="A17386" s="1" t="s">
        <v>8</v>
      </c>
      <c r="B17386" s="2">
        <v>44789.0</v>
      </c>
      <c r="C17386" s="3">
        <v>0.28556712962962966</v>
      </c>
      <c r="D17386" s="1">
        <v>12.443244</v>
      </c>
      <c r="E17386" s="1">
        <v>79.837267</v>
      </c>
      <c r="F17386" s="1">
        <v>2846.0</v>
      </c>
      <c r="G17386" s="1">
        <v>44.0</v>
      </c>
    </row>
    <row r="17387">
      <c r="A17387" s="1" t="s">
        <v>7</v>
      </c>
      <c r="B17387" s="2">
        <v>44789.0</v>
      </c>
      <c r="C17387" s="3">
        <v>0.2875347222222222</v>
      </c>
      <c r="D17387" s="1">
        <v>12.949182</v>
      </c>
      <c r="E17387" s="1">
        <v>80.186146</v>
      </c>
      <c r="F17387" s="1">
        <v>3143.0</v>
      </c>
      <c r="G17387" s="1">
        <v>52.0</v>
      </c>
    </row>
    <row r="17388">
      <c r="A17388" s="1" t="s">
        <v>7</v>
      </c>
      <c r="B17388" s="2">
        <v>44789.0</v>
      </c>
      <c r="C17388" s="3">
        <v>0.2875578703703704</v>
      </c>
      <c r="D17388" s="1">
        <v>12.949182</v>
      </c>
      <c r="E17388" s="1">
        <v>80.186146</v>
      </c>
      <c r="F17388" s="1">
        <v>3143.0</v>
      </c>
      <c r="G17388" s="1">
        <v>52.0</v>
      </c>
    </row>
    <row r="17389">
      <c r="A17389" s="1" t="s">
        <v>7</v>
      </c>
      <c r="B17389" s="2">
        <v>44789.0</v>
      </c>
      <c r="C17389" s="3">
        <v>0.287962962962963</v>
      </c>
      <c r="D17389" s="1">
        <v>12.948657</v>
      </c>
      <c r="E17389" s="1">
        <v>80.191988</v>
      </c>
      <c r="F17389" s="1">
        <v>3143.0</v>
      </c>
      <c r="G17389" s="1">
        <v>55.0</v>
      </c>
    </row>
    <row r="17390">
      <c r="A17390" s="1" t="s">
        <v>7</v>
      </c>
      <c r="B17390" s="2">
        <v>44789.0</v>
      </c>
      <c r="C17390" s="3">
        <v>0.28832175925925924</v>
      </c>
      <c r="D17390" s="1">
        <v>12.94858</v>
      </c>
      <c r="E17390" s="1">
        <v>80.19675</v>
      </c>
      <c r="F17390" s="1">
        <v>3143.0</v>
      </c>
      <c r="G17390" s="1">
        <v>56.0</v>
      </c>
    </row>
    <row r="17391">
      <c r="A17391" s="1" t="s">
        <v>7</v>
      </c>
      <c r="B17391" s="2">
        <v>44789.0</v>
      </c>
      <c r="C17391" s="3">
        <v>0.28866898148148146</v>
      </c>
      <c r="D17391" s="1">
        <v>12.948633</v>
      </c>
      <c r="E17391" s="1">
        <v>80.199782</v>
      </c>
      <c r="F17391" s="1">
        <v>3143.0</v>
      </c>
      <c r="G17391" s="1">
        <v>52.0</v>
      </c>
    </row>
    <row r="17392">
      <c r="A17392" s="1" t="s">
        <v>7</v>
      </c>
      <c r="B17392" s="2">
        <v>44789.0</v>
      </c>
      <c r="C17392" s="3">
        <v>0.28908564814814813</v>
      </c>
      <c r="D17392" s="1">
        <v>12.948787</v>
      </c>
      <c r="E17392" s="1">
        <v>80.206004</v>
      </c>
      <c r="F17392" s="1">
        <v>3143.0</v>
      </c>
      <c r="G17392" s="1">
        <v>55.0</v>
      </c>
    </row>
    <row r="17393">
      <c r="A17393" s="1" t="s">
        <v>8</v>
      </c>
      <c r="B17393" s="2">
        <v>44789.0</v>
      </c>
      <c r="C17393" s="3">
        <v>0.29141203703703705</v>
      </c>
      <c r="D17393" s="1">
        <v>12.499728</v>
      </c>
      <c r="E17393" s="1">
        <v>79.874951</v>
      </c>
      <c r="F17393" s="1">
        <v>2846.0</v>
      </c>
      <c r="G17393" s="1">
        <v>51.0</v>
      </c>
    </row>
    <row r="17394">
      <c r="A17394" s="1" t="s">
        <v>8</v>
      </c>
      <c r="B17394" s="2">
        <v>44789.0</v>
      </c>
      <c r="C17394" s="3">
        <v>0.2928472222222222</v>
      </c>
      <c r="D17394" s="1">
        <v>12.9728</v>
      </c>
      <c r="E17394" s="1">
        <v>80.219599</v>
      </c>
      <c r="F17394" s="1">
        <v>3143.0</v>
      </c>
      <c r="G17394" s="1">
        <v>48.0</v>
      </c>
    </row>
    <row r="17395">
      <c r="A17395" s="1" t="s">
        <v>7</v>
      </c>
      <c r="B17395" s="2">
        <v>44789.0</v>
      </c>
      <c r="C17395" s="3">
        <v>0.2931597222222222</v>
      </c>
      <c r="D17395" s="1">
        <v>12.514466</v>
      </c>
      <c r="E17395" s="1">
        <v>79.884921</v>
      </c>
      <c r="F17395" s="1">
        <v>2846.0</v>
      </c>
      <c r="G17395" s="1">
        <v>34.0</v>
      </c>
    </row>
    <row r="17396">
      <c r="A17396" s="1" t="s">
        <v>7</v>
      </c>
      <c r="B17396" s="2">
        <v>44789.0</v>
      </c>
      <c r="C17396" s="3">
        <v>0.29335648148148147</v>
      </c>
      <c r="D17396" s="1">
        <v>12.514466</v>
      </c>
      <c r="E17396" s="1">
        <v>79.884921</v>
      </c>
      <c r="F17396" s="1">
        <v>2846.0</v>
      </c>
      <c r="G17396" s="1">
        <v>34.0</v>
      </c>
    </row>
    <row r="17397">
      <c r="A17397" s="1" t="s">
        <v>7</v>
      </c>
      <c r="B17397" s="2">
        <v>44789.0</v>
      </c>
      <c r="C17397" s="3">
        <v>0.29409722222222223</v>
      </c>
      <c r="D17397" s="1">
        <v>12.51595</v>
      </c>
      <c r="E17397" s="1">
        <v>79.88854</v>
      </c>
      <c r="F17397" s="1">
        <v>2846.0</v>
      </c>
      <c r="G17397" s="1">
        <v>40.0</v>
      </c>
    </row>
    <row r="17398">
      <c r="A17398" s="1" t="s">
        <v>10</v>
      </c>
      <c r="B17398" s="2">
        <v>44789.0</v>
      </c>
      <c r="C17398" s="3">
        <v>0.29998842592592595</v>
      </c>
      <c r="D17398" s="1">
        <v>13.067469</v>
      </c>
      <c r="E17398" s="1">
        <v>80.25483</v>
      </c>
      <c r="F17398" s="1">
        <v>805.0</v>
      </c>
      <c r="G17398" s="1">
        <v>40.0</v>
      </c>
    </row>
    <row r="17399">
      <c r="A17399" s="1" t="s">
        <v>7</v>
      </c>
      <c r="B17399" s="2">
        <v>44789.0</v>
      </c>
      <c r="C17399" s="3">
        <v>0.3000462962962963</v>
      </c>
      <c r="D17399" s="1">
        <v>12.518258</v>
      </c>
      <c r="E17399" s="1">
        <v>79.88963</v>
      </c>
      <c r="F17399" s="1">
        <v>2846.0</v>
      </c>
      <c r="G17399" s="1">
        <v>57.0</v>
      </c>
    </row>
    <row r="17400">
      <c r="A17400" s="1" t="s">
        <v>7</v>
      </c>
      <c r="B17400" s="2">
        <v>44789.0</v>
      </c>
      <c r="C17400" s="3">
        <v>0.3003587962962963</v>
      </c>
      <c r="D17400" s="1">
        <v>12.519354</v>
      </c>
      <c r="E17400" s="1">
        <v>79.892744</v>
      </c>
      <c r="F17400" s="1">
        <v>2846.0</v>
      </c>
      <c r="G17400" s="1">
        <v>49.0</v>
      </c>
    </row>
    <row r="17401">
      <c r="A17401" s="1" t="s">
        <v>7</v>
      </c>
      <c r="B17401" s="2">
        <v>44789.0</v>
      </c>
      <c r="C17401" s="3">
        <v>0.30064814814814816</v>
      </c>
      <c r="D17401" s="1">
        <v>12.520265</v>
      </c>
      <c r="E17401" s="1">
        <v>79.893659</v>
      </c>
      <c r="F17401" s="1">
        <v>2846.0</v>
      </c>
      <c r="G17401" s="1">
        <v>51.0</v>
      </c>
    </row>
    <row r="17402">
      <c r="A17402" s="1" t="s">
        <v>7</v>
      </c>
      <c r="B17402" s="2">
        <v>44789.0</v>
      </c>
      <c r="C17402" s="3">
        <v>0.3016435185185185</v>
      </c>
      <c r="D17402" s="1">
        <v>12.529983</v>
      </c>
      <c r="E17402" s="1">
        <v>79.899356</v>
      </c>
      <c r="F17402" s="1">
        <v>2846.0</v>
      </c>
      <c r="G17402" s="1">
        <v>50.0</v>
      </c>
    </row>
    <row r="17403">
      <c r="A17403" s="1" t="s">
        <v>10</v>
      </c>
      <c r="B17403" s="2">
        <v>44789.0</v>
      </c>
      <c r="C17403" s="3">
        <v>0.3017824074074074</v>
      </c>
      <c r="D17403" s="1">
        <v>13.068866</v>
      </c>
      <c r="E17403" s="1">
        <v>80.267732</v>
      </c>
      <c r="F17403" s="1">
        <v>5339.0</v>
      </c>
      <c r="G17403" s="1">
        <v>0.0</v>
      </c>
    </row>
    <row r="17404">
      <c r="A17404" s="1" t="s">
        <v>7</v>
      </c>
      <c r="B17404" s="2">
        <v>44789.0</v>
      </c>
      <c r="C17404" s="3">
        <v>0.30214120370370373</v>
      </c>
      <c r="D17404" s="1">
        <v>12.536866</v>
      </c>
      <c r="E17404" s="1">
        <v>79.902885</v>
      </c>
      <c r="F17404" s="1">
        <v>2846.0</v>
      </c>
      <c r="G17404" s="1">
        <v>53.0</v>
      </c>
    </row>
    <row r="17405">
      <c r="A17405" s="1" t="s">
        <v>7</v>
      </c>
      <c r="B17405" s="2">
        <v>44789.0</v>
      </c>
      <c r="C17405" s="3">
        <v>0.3023958333333333</v>
      </c>
      <c r="D17405" s="1">
        <v>12.538767</v>
      </c>
      <c r="E17405" s="1">
        <v>79.903927</v>
      </c>
      <c r="F17405" s="1">
        <v>2846.0</v>
      </c>
      <c r="G17405" s="1">
        <v>55.0</v>
      </c>
    </row>
    <row r="17406">
      <c r="A17406" s="1" t="s">
        <v>8</v>
      </c>
      <c r="B17406" s="2">
        <v>44789.0</v>
      </c>
      <c r="C17406" s="3">
        <v>0.3027314814814815</v>
      </c>
      <c r="D17406" s="1">
        <v>13.066046</v>
      </c>
      <c r="E17406" s="1">
        <v>80.267789</v>
      </c>
      <c r="F17406" s="1">
        <v>805.0</v>
      </c>
      <c r="G17406" s="1">
        <v>40.0</v>
      </c>
    </row>
    <row r="17407">
      <c r="A17407" s="1" t="s">
        <v>8</v>
      </c>
      <c r="B17407" s="2">
        <v>44789.0</v>
      </c>
      <c r="C17407" s="3">
        <v>0.3027546296296296</v>
      </c>
      <c r="D17407" s="1">
        <v>13.066046</v>
      </c>
      <c r="E17407" s="1">
        <v>80.267789</v>
      </c>
      <c r="F17407" s="1">
        <v>805.0</v>
      </c>
      <c r="G17407" s="1">
        <v>40.0</v>
      </c>
    </row>
    <row r="17408">
      <c r="A17408" s="1" t="s">
        <v>10</v>
      </c>
      <c r="B17408" s="2">
        <v>44789.0</v>
      </c>
      <c r="C17408" s="3">
        <v>0.30372685185185183</v>
      </c>
      <c r="D17408" s="1">
        <v>13.065092</v>
      </c>
      <c r="E17408" s="1">
        <v>80.273868</v>
      </c>
      <c r="F17408" s="1">
        <v>5339.0</v>
      </c>
      <c r="G17408" s="1">
        <v>20.0</v>
      </c>
    </row>
    <row r="17409">
      <c r="A17409" s="1" t="s">
        <v>10</v>
      </c>
      <c r="B17409" s="2">
        <v>44789.0</v>
      </c>
      <c r="C17409" s="3">
        <v>0.30409722222222224</v>
      </c>
      <c r="D17409" s="1">
        <v>13.064121</v>
      </c>
      <c r="E17409" s="1">
        <v>80.274049</v>
      </c>
      <c r="F17409" s="1">
        <v>5339.0</v>
      </c>
      <c r="G17409" s="1">
        <v>22.0</v>
      </c>
    </row>
    <row r="17410">
      <c r="A17410" s="1" t="s">
        <v>8</v>
      </c>
      <c r="B17410" s="2">
        <v>44789.0</v>
      </c>
      <c r="C17410" s="3">
        <v>0.30600694444444443</v>
      </c>
      <c r="D17410" s="1">
        <v>12.57685</v>
      </c>
      <c r="E17410" s="1">
        <v>79.917137</v>
      </c>
      <c r="F17410" s="1">
        <v>2846.0</v>
      </c>
      <c r="G17410" s="1">
        <v>58.0</v>
      </c>
    </row>
    <row r="17411">
      <c r="A17411" s="1" t="s">
        <v>7</v>
      </c>
      <c r="B17411" s="2">
        <v>44789.0</v>
      </c>
      <c r="C17411" s="3">
        <v>0.3063425925925926</v>
      </c>
      <c r="D17411" s="1">
        <v>12.582102</v>
      </c>
      <c r="E17411" s="1">
        <v>79.918944</v>
      </c>
      <c r="F17411" s="1">
        <v>2846.0</v>
      </c>
      <c r="G17411" s="1">
        <v>51.0</v>
      </c>
    </row>
    <row r="17412">
      <c r="A17412" s="1" t="s">
        <v>10</v>
      </c>
      <c r="B17412" s="2">
        <v>44789.0</v>
      </c>
      <c r="C17412" s="3">
        <v>0.3070717592592593</v>
      </c>
      <c r="D17412" s="1">
        <v>13.058907</v>
      </c>
      <c r="E17412" s="1">
        <v>80.274282</v>
      </c>
      <c r="F17412" s="1">
        <v>5339.0</v>
      </c>
      <c r="G17412" s="1">
        <v>15.0</v>
      </c>
    </row>
    <row r="17413">
      <c r="A17413" s="1" t="s">
        <v>10</v>
      </c>
      <c r="B17413" s="2">
        <v>44789.0</v>
      </c>
      <c r="C17413" s="3">
        <v>0.30746527777777777</v>
      </c>
      <c r="D17413" s="1">
        <v>13.056661</v>
      </c>
      <c r="E17413" s="1">
        <v>80.274062</v>
      </c>
      <c r="F17413" s="1">
        <v>5339.0</v>
      </c>
      <c r="G17413" s="1">
        <v>21.0</v>
      </c>
    </row>
    <row r="17414">
      <c r="A17414" s="1" t="s">
        <v>10</v>
      </c>
      <c r="B17414" s="2">
        <v>44789.0</v>
      </c>
      <c r="C17414" s="3">
        <v>0.30800925925925926</v>
      </c>
      <c r="D17414" s="1">
        <v>13.060507</v>
      </c>
      <c r="E17414" s="1">
        <v>80.265409</v>
      </c>
      <c r="F17414" s="1">
        <v>805.0</v>
      </c>
      <c r="G17414" s="1">
        <v>31.0</v>
      </c>
    </row>
    <row r="17415">
      <c r="A17415" s="1" t="s">
        <v>8</v>
      </c>
      <c r="B17415" s="2">
        <v>44789.0</v>
      </c>
      <c r="C17415" s="3">
        <v>0.3086921296296296</v>
      </c>
      <c r="D17415" s="1">
        <v>13.057067</v>
      </c>
      <c r="E17415" s="1">
        <v>80.26485</v>
      </c>
      <c r="F17415" s="1">
        <v>805.0</v>
      </c>
      <c r="G17415" s="1">
        <v>35.0</v>
      </c>
    </row>
    <row r="17416">
      <c r="A17416" s="1" t="s">
        <v>10</v>
      </c>
      <c r="B17416" s="2">
        <v>44789.0</v>
      </c>
      <c r="C17416" s="3">
        <v>0.3093402777777778</v>
      </c>
      <c r="D17416" s="1">
        <v>13.053183</v>
      </c>
      <c r="E17416" s="1">
        <v>80.271804</v>
      </c>
      <c r="F17416" s="1">
        <v>5339.0</v>
      </c>
      <c r="G17416" s="1">
        <v>17.0</v>
      </c>
    </row>
    <row r="17417">
      <c r="A17417" s="1" t="s">
        <v>10</v>
      </c>
      <c r="B17417" s="2">
        <v>44789.0</v>
      </c>
      <c r="C17417" s="3">
        <v>0.30938657407407405</v>
      </c>
      <c r="D17417" s="1">
        <v>13.053183</v>
      </c>
      <c r="E17417" s="1">
        <v>80.271804</v>
      </c>
      <c r="F17417" s="1">
        <v>5339.0</v>
      </c>
      <c r="G17417" s="1">
        <v>17.0</v>
      </c>
    </row>
    <row r="17418">
      <c r="A17418" s="1" t="s">
        <v>8</v>
      </c>
      <c r="B17418" s="2">
        <v>44789.0</v>
      </c>
      <c r="C17418" s="3">
        <v>0.31179398148148146</v>
      </c>
      <c r="D17418" s="1">
        <v>13.043031</v>
      </c>
      <c r="E17418" s="1">
        <v>80.267774</v>
      </c>
      <c r="F17418" s="1">
        <v>805.0</v>
      </c>
      <c r="G17418" s="1">
        <v>37.0</v>
      </c>
    </row>
    <row r="17419">
      <c r="A17419" s="1" t="s">
        <v>8</v>
      </c>
      <c r="B17419" s="2">
        <v>44789.0</v>
      </c>
      <c r="C17419" s="3">
        <v>0.3126041666666667</v>
      </c>
      <c r="D17419" s="1">
        <v>13.052854</v>
      </c>
      <c r="E17419" s="1">
        <v>80.251736</v>
      </c>
      <c r="F17419" s="1">
        <v>5339.0</v>
      </c>
      <c r="G17419" s="1">
        <v>43.0</v>
      </c>
    </row>
    <row r="17420">
      <c r="A17420" s="1" t="s">
        <v>8</v>
      </c>
      <c r="B17420" s="2">
        <v>44789.0</v>
      </c>
      <c r="C17420" s="3">
        <v>0.31302083333333336</v>
      </c>
      <c r="D17420" s="1">
        <v>13.050322</v>
      </c>
      <c r="E17420" s="1">
        <v>80.249948</v>
      </c>
      <c r="F17420" s="1">
        <v>5339.0</v>
      </c>
      <c r="G17420" s="1">
        <v>47.0</v>
      </c>
    </row>
    <row r="17421">
      <c r="A17421" s="1" t="s">
        <v>8</v>
      </c>
      <c r="B17421" s="2">
        <v>44789.0</v>
      </c>
      <c r="C17421" s="3">
        <v>0.3131365740740741</v>
      </c>
      <c r="D17421" s="1">
        <v>13.048368</v>
      </c>
      <c r="E17421" s="1">
        <v>80.249601</v>
      </c>
      <c r="F17421" s="1">
        <v>5339.0</v>
      </c>
      <c r="G17421" s="1">
        <v>26.0</v>
      </c>
    </row>
    <row r="17422">
      <c r="A17422" s="1" t="s">
        <v>7</v>
      </c>
      <c r="B17422" s="2">
        <v>44789.0</v>
      </c>
      <c r="C17422" s="3">
        <v>0.31328703703703703</v>
      </c>
      <c r="D17422" s="1">
        <v>12.658288</v>
      </c>
      <c r="E17422" s="1">
        <v>79.942537</v>
      </c>
      <c r="F17422" s="1">
        <v>2846.0</v>
      </c>
      <c r="G17422" s="1">
        <v>58.0</v>
      </c>
    </row>
    <row r="17423">
      <c r="A17423" s="1" t="s">
        <v>8</v>
      </c>
      <c r="B17423" s="2">
        <v>44789.0</v>
      </c>
      <c r="C17423" s="3">
        <v>0.3138425925925926</v>
      </c>
      <c r="D17423" s="1">
        <v>12.657191</v>
      </c>
      <c r="E17423" s="1">
        <v>79.948194</v>
      </c>
      <c r="F17423" s="1">
        <v>2846.0</v>
      </c>
      <c r="G17423" s="1">
        <v>56.0</v>
      </c>
    </row>
    <row r="17424">
      <c r="A17424" s="1" t="s">
        <v>7</v>
      </c>
      <c r="B17424" s="2">
        <v>44789.0</v>
      </c>
      <c r="C17424" s="3">
        <v>0.3144675925925926</v>
      </c>
      <c r="D17424" s="1">
        <v>12.657117</v>
      </c>
      <c r="E17424" s="1">
        <v>79.956484</v>
      </c>
      <c r="F17424" s="1">
        <v>2846.0</v>
      </c>
      <c r="G17424" s="1">
        <v>58.0</v>
      </c>
    </row>
    <row r="17425">
      <c r="A17425" s="1" t="s">
        <v>8</v>
      </c>
      <c r="B17425" s="2">
        <v>44789.0</v>
      </c>
      <c r="C17425" s="3">
        <v>0.31546296296296295</v>
      </c>
      <c r="D17425" s="1">
        <v>12.659942</v>
      </c>
      <c r="E17425" s="1">
        <v>79.964321</v>
      </c>
      <c r="F17425" s="1">
        <v>2846.0</v>
      </c>
      <c r="G17425" s="1">
        <v>38.0</v>
      </c>
    </row>
    <row r="17426">
      <c r="A17426" s="1" t="s">
        <v>8</v>
      </c>
      <c r="B17426" s="2">
        <v>44789.0</v>
      </c>
      <c r="C17426" s="3">
        <v>0.3156712962962963</v>
      </c>
      <c r="D17426" s="1">
        <v>12.659942</v>
      </c>
      <c r="E17426" s="1">
        <v>79.964321</v>
      </c>
      <c r="F17426" s="1">
        <v>2846.0</v>
      </c>
      <c r="G17426" s="1">
        <v>38.0</v>
      </c>
    </row>
    <row r="17427">
      <c r="A17427" s="1" t="s">
        <v>8</v>
      </c>
      <c r="B17427" s="2">
        <v>44789.0</v>
      </c>
      <c r="C17427" s="3">
        <v>0.3157523148148148</v>
      </c>
      <c r="D17427" s="1">
        <v>13.03964</v>
      </c>
      <c r="E17427" s="1">
        <v>80.247093</v>
      </c>
      <c r="F17427" s="1">
        <v>5339.0</v>
      </c>
      <c r="G17427" s="1">
        <v>26.0</v>
      </c>
    </row>
    <row r="17428">
      <c r="A17428" s="1" t="s">
        <v>7</v>
      </c>
      <c r="B17428" s="2">
        <v>44789.0</v>
      </c>
      <c r="C17428" s="3">
        <v>0.3163773148148148</v>
      </c>
      <c r="D17428" s="1">
        <v>12.663632</v>
      </c>
      <c r="E17428" s="1">
        <v>79.968178</v>
      </c>
      <c r="F17428" s="1">
        <v>2846.0</v>
      </c>
      <c r="G17428" s="1">
        <v>41.0</v>
      </c>
    </row>
    <row r="17429">
      <c r="A17429" s="1" t="s">
        <v>8</v>
      </c>
      <c r="B17429" s="2">
        <v>44789.0</v>
      </c>
      <c r="C17429" s="3">
        <v>0.31675925925925924</v>
      </c>
      <c r="D17429" s="1">
        <v>13.035514</v>
      </c>
      <c r="E17429" s="1">
        <v>80.246204</v>
      </c>
      <c r="F17429" s="1">
        <v>5339.0</v>
      </c>
      <c r="G17429" s="1">
        <v>20.0</v>
      </c>
    </row>
    <row r="17430">
      <c r="A17430" s="1" t="s">
        <v>8</v>
      </c>
      <c r="B17430" s="2">
        <v>44789.0</v>
      </c>
      <c r="C17430" s="3">
        <v>0.31677083333333333</v>
      </c>
      <c r="D17430" s="1">
        <v>13.035514</v>
      </c>
      <c r="E17430" s="1">
        <v>80.246204</v>
      </c>
      <c r="F17430" s="1">
        <v>5339.0</v>
      </c>
      <c r="G17430" s="1">
        <v>20.0</v>
      </c>
    </row>
    <row r="17431">
      <c r="A17431" s="1" t="s">
        <v>8</v>
      </c>
      <c r="B17431" s="2">
        <v>44789.0</v>
      </c>
      <c r="C17431" s="3">
        <v>0.31690972222222225</v>
      </c>
      <c r="D17431" s="1">
        <v>13.034874</v>
      </c>
      <c r="E17431" s="1">
        <v>80.245899</v>
      </c>
      <c r="F17431" s="1">
        <v>5339.0</v>
      </c>
      <c r="G17431" s="1">
        <v>33.0</v>
      </c>
    </row>
    <row r="17432">
      <c r="A17432" s="1" t="s">
        <v>7</v>
      </c>
      <c r="B17432" s="2">
        <v>44789.0</v>
      </c>
      <c r="C17432" s="3">
        <v>0.3169328703703704</v>
      </c>
      <c r="D17432" s="1">
        <v>12.668282</v>
      </c>
      <c r="E17432" s="1">
        <v>79.973017</v>
      </c>
      <c r="F17432" s="1">
        <v>2846.0</v>
      </c>
      <c r="G17432" s="1">
        <v>50.0</v>
      </c>
    </row>
    <row r="17433">
      <c r="A17433" s="1" t="s">
        <v>8</v>
      </c>
      <c r="B17433" s="2">
        <v>44789.0</v>
      </c>
      <c r="C17433" s="3">
        <v>0.31712962962962965</v>
      </c>
      <c r="D17433" s="1">
        <v>13.033566</v>
      </c>
      <c r="E17433" s="1">
        <v>80.244152</v>
      </c>
      <c r="F17433" s="1">
        <v>5339.0</v>
      </c>
      <c r="G17433" s="1">
        <v>45.0</v>
      </c>
    </row>
    <row r="17434">
      <c r="A17434" s="1" t="s">
        <v>8</v>
      </c>
      <c r="B17434" s="2">
        <v>44789.0</v>
      </c>
      <c r="C17434" s="3">
        <v>0.31778935185185186</v>
      </c>
      <c r="D17434" s="1">
        <v>12.674818</v>
      </c>
      <c r="E17434" s="1">
        <v>79.977207</v>
      </c>
      <c r="F17434" s="1">
        <v>2846.0</v>
      </c>
      <c r="G17434" s="1">
        <v>36.0</v>
      </c>
    </row>
    <row r="17435">
      <c r="A17435" s="1" t="s">
        <v>8</v>
      </c>
      <c r="B17435" s="2">
        <v>44789.0</v>
      </c>
      <c r="C17435" s="3">
        <v>0.31810185185185186</v>
      </c>
      <c r="D17435" s="1">
        <v>12.674818</v>
      </c>
      <c r="E17435" s="1">
        <v>79.977207</v>
      </c>
      <c r="F17435" s="1">
        <v>2846.0</v>
      </c>
      <c r="G17435" s="1">
        <v>36.0</v>
      </c>
    </row>
    <row r="17436">
      <c r="A17436" s="1" t="s">
        <v>8</v>
      </c>
      <c r="B17436" s="2">
        <v>44789.0</v>
      </c>
      <c r="C17436" s="3">
        <v>0.31832175925925926</v>
      </c>
      <c r="D17436" s="1">
        <v>13.030713</v>
      </c>
      <c r="E17436" s="1">
        <v>80.239245</v>
      </c>
      <c r="F17436" s="1">
        <v>5339.0</v>
      </c>
      <c r="G17436" s="1">
        <v>35.0</v>
      </c>
    </row>
    <row r="17437">
      <c r="A17437" s="1" t="s">
        <v>9</v>
      </c>
      <c r="B17437" s="2">
        <v>44789.0</v>
      </c>
      <c r="C17437" s="3">
        <v>0.3186921296296296</v>
      </c>
      <c r="D17437" s="1">
        <v>12.678</v>
      </c>
      <c r="E17437" s="1">
        <v>79.979589</v>
      </c>
      <c r="F17437" s="1">
        <v>2846.0</v>
      </c>
      <c r="G17437" s="1">
        <v>16.0</v>
      </c>
    </row>
    <row r="17438">
      <c r="A17438" s="1" t="s">
        <v>8</v>
      </c>
      <c r="B17438" s="2">
        <v>44789.0</v>
      </c>
      <c r="C17438" s="3">
        <v>0.3191898148148148</v>
      </c>
      <c r="D17438" s="1">
        <v>13.026535</v>
      </c>
      <c r="E17438" s="1">
        <v>80.233065</v>
      </c>
      <c r="F17438" s="1">
        <v>5339.0</v>
      </c>
      <c r="G17438" s="1">
        <v>22.0</v>
      </c>
    </row>
    <row r="17439">
      <c r="A17439" s="1" t="s">
        <v>8</v>
      </c>
      <c r="B17439" s="2">
        <v>44789.0</v>
      </c>
      <c r="C17439" s="3">
        <v>0.31928240740740743</v>
      </c>
      <c r="D17439" s="1">
        <v>13.026258</v>
      </c>
      <c r="E17439" s="1">
        <v>80.232431</v>
      </c>
      <c r="F17439" s="1">
        <v>5339.0</v>
      </c>
      <c r="G17439" s="1">
        <v>31.0</v>
      </c>
    </row>
    <row r="17440">
      <c r="A17440" s="1" t="s">
        <v>8</v>
      </c>
      <c r="B17440" s="2">
        <v>44789.0</v>
      </c>
      <c r="C17440" s="3">
        <v>0.31972222222222224</v>
      </c>
      <c r="D17440" s="1">
        <v>13.025315</v>
      </c>
      <c r="E17440" s="1">
        <v>80.229926</v>
      </c>
      <c r="F17440" s="1">
        <v>5339.0</v>
      </c>
      <c r="G17440" s="1">
        <v>45.0</v>
      </c>
    </row>
    <row r="17441">
      <c r="A17441" s="1" t="s">
        <v>8</v>
      </c>
      <c r="B17441" s="2">
        <v>44789.0</v>
      </c>
      <c r="C17441" s="3">
        <v>0.3197800925925926</v>
      </c>
      <c r="D17441" s="1">
        <v>13.024672</v>
      </c>
      <c r="E17441" s="1">
        <v>80.229148</v>
      </c>
      <c r="F17441" s="1">
        <v>5339.0</v>
      </c>
      <c r="G17441" s="1">
        <v>31.0</v>
      </c>
    </row>
    <row r="17442">
      <c r="A17442" s="1" t="s">
        <v>8</v>
      </c>
      <c r="B17442" s="2">
        <v>44789.0</v>
      </c>
      <c r="C17442" s="3">
        <v>0.32028935185185187</v>
      </c>
      <c r="D17442" s="1">
        <v>12.679827</v>
      </c>
      <c r="E17442" s="1">
        <v>79.980758</v>
      </c>
      <c r="F17442" s="1">
        <v>2846.0</v>
      </c>
      <c r="G17442" s="1">
        <v>10.0</v>
      </c>
    </row>
    <row r="17443">
      <c r="A17443" s="1" t="s">
        <v>8</v>
      </c>
      <c r="B17443" s="2">
        <v>44789.0</v>
      </c>
      <c r="C17443" s="3">
        <v>0.3203009259259259</v>
      </c>
      <c r="D17443" s="1">
        <v>12.679827</v>
      </c>
      <c r="E17443" s="1">
        <v>79.980758</v>
      </c>
      <c r="F17443" s="1">
        <v>2846.0</v>
      </c>
      <c r="G17443" s="1">
        <v>10.0</v>
      </c>
    </row>
    <row r="17444">
      <c r="A17444" s="1" t="s">
        <v>8</v>
      </c>
      <c r="B17444" s="2">
        <v>44789.0</v>
      </c>
      <c r="C17444" s="3">
        <v>0.32033564814814813</v>
      </c>
      <c r="D17444" s="1">
        <v>13.022843</v>
      </c>
      <c r="E17444" s="1">
        <v>80.227044</v>
      </c>
      <c r="F17444" s="1">
        <v>5339.0</v>
      </c>
      <c r="G17444" s="1">
        <v>46.0</v>
      </c>
    </row>
    <row r="17445">
      <c r="A17445" s="1" t="s">
        <v>7</v>
      </c>
      <c r="B17445" s="2">
        <v>44789.0</v>
      </c>
      <c r="C17445" s="3">
        <v>0.3213773148148148</v>
      </c>
      <c r="D17445" s="1">
        <v>13.011971</v>
      </c>
      <c r="E17445" s="1">
        <v>80.227201</v>
      </c>
      <c r="F17445" s="1">
        <v>5339.0</v>
      </c>
      <c r="G17445" s="1">
        <v>53.0</v>
      </c>
    </row>
    <row r="17446">
      <c r="A17446" s="1" t="s">
        <v>8</v>
      </c>
      <c r="B17446" s="2">
        <v>44789.0</v>
      </c>
      <c r="C17446" s="3">
        <v>0.3221412037037037</v>
      </c>
      <c r="D17446" s="1">
        <v>13.010979</v>
      </c>
      <c r="E17446" s="1">
        <v>80.224353</v>
      </c>
      <c r="F17446" s="1">
        <v>5339.0</v>
      </c>
      <c r="G17446" s="1">
        <v>44.0</v>
      </c>
    </row>
    <row r="17447">
      <c r="A17447" s="1" t="s">
        <v>7</v>
      </c>
      <c r="B17447" s="2">
        <v>44789.0</v>
      </c>
      <c r="C17447" s="3">
        <v>0.3225925925925926</v>
      </c>
      <c r="D17447" s="1">
        <v>13.012083</v>
      </c>
      <c r="E17447" s="1">
        <v>80.221279</v>
      </c>
      <c r="F17447" s="1">
        <v>5339.0</v>
      </c>
      <c r="G17447" s="1">
        <v>34.0</v>
      </c>
    </row>
    <row r="17448">
      <c r="A17448" s="1" t="s">
        <v>8</v>
      </c>
      <c r="B17448" s="2">
        <v>44789.0</v>
      </c>
      <c r="C17448" s="3">
        <v>0.32288194444444446</v>
      </c>
      <c r="D17448" s="1">
        <v>13.010631</v>
      </c>
      <c r="E17448" s="1">
        <v>80.216687</v>
      </c>
      <c r="F17448" s="1">
        <v>5339.0</v>
      </c>
      <c r="G17448" s="1">
        <v>45.0</v>
      </c>
    </row>
    <row r="17449">
      <c r="A17449" s="1" t="s">
        <v>8</v>
      </c>
      <c r="B17449" s="2">
        <v>44789.0</v>
      </c>
      <c r="C17449" s="3">
        <v>0.32351851851851854</v>
      </c>
      <c r="D17449" s="1">
        <v>12.697597</v>
      </c>
      <c r="E17449" s="1">
        <v>79.975557</v>
      </c>
      <c r="F17449" s="1">
        <v>2846.0</v>
      </c>
      <c r="G17449" s="1">
        <v>35.0</v>
      </c>
    </row>
    <row r="17450">
      <c r="A17450" s="1" t="s">
        <v>8</v>
      </c>
      <c r="B17450" s="2">
        <v>44789.0</v>
      </c>
      <c r="C17450" s="3">
        <v>0.323900462962963</v>
      </c>
      <c r="D17450" s="1">
        <v>13.007885</v>
      </c>
      <c r="E17450" s="1">
        <v>80.20806</v>
      </c>
      <c r="F17450" s="1">
        <v>5339.0</v>
      </c>
      <c r="G17450" s="1">
        <v>47.0</v>
      </c>
    </row>
    <row r="17451">
      <c r="A17451" s="1" t="s">
        <v>8</v>
      </c>
      <c r="B17451" s="2">
        <v>44789.0</v>
      </c>
      <c r="C17451" s="3">
        <v>0.3243171296296296</v>
      </c>
      <c r="D17451" s="1">
        <v>13.0067</v>
      </c>
      <c r="E17451" s="1">
        <v>80.251346</v>
      </c>
      <c r="F17451" s="1">
        <v>805.0</v>
      </c>
      <c r="G17451" s="1">
        <v>25.0</v>
      </c>
    </row>
    <row r="17452">
      <c r="A17452" s="1" t="s">
        <v>8</v>
      </c>
      <c r="B17452" s="2">
        <v>44789.0</v>
      </c>
      <c r="C17452" s="3">
        <v>0.3247569444444444</v>
      </c>
      <c r="D17452" s="1">
        <v>13.003762</v>
      </c>
      <c r="E17452" s="1">
        <v>80.201025</v>
      </c>
      <c r="F17452" s="1">
        <v>5339.0</v>
      </c>
      <c r="G17452" s="1">
        <v>48.0</v>
      </c>
    </row>
    <row r="17453">
      <c r="A17453" s="1" t="s">
        <v>8</v>
      </c>
      <c r="B17453" s="2">
        <v>44789.0</v>
      </c>
      <c r="C17453" s="3">
        <v>0.3249074074074074</v>
      </c>
      <c r="D17453" s="1">
        <v>13.002587</v>
      </c>
      <c r="E17453" s="1">
        <v>80.200702</v>
      </c>
      <c r="F17453" s="1">
        <v>5339.0</v>
      </c>
      <c r="G17453" s="1">
        <v>47.0</v>
      </c>
    </row>
    <row r="17454">
      <c r="A17454" s="1" t="s">
        <v>7</v>
      </c>
      <c r="B17454" s="2">
        <v>44789.0</v>
      </c>
      <c r="C17454" s="3">
        <v>0.32590277777777776</v>
      </c>
      <c r="D17454" s="1">
        <v>12.997726</v>
      </c>
      <c r="E17454" s="1">
        <v>80.191376</v>
      </c>
      <c r="F17454" s="1">
        <v>5339.0</v>
      </c>
      <c r="G17454" s="1">
        <v>50.0</v>
      </c>
    </row>
    <row r="17455">
      <c r="A17455" s="1" t="s">
        <v>8</v>
      </c>
      <c r="B17455" s="2">
        <v>44789.0</v>
      </c>
      <c r="C17455" s="3">
        <v>0.3261689814814815</v>
      </c>
      <c r="D17455" s="1">
        <v>12.699924</v>
      </c>
      <c r="E17455" s="1">
        <v>79.968366</v>
      </c>
      <c r="F17455" s="1">
        <v>2846.0</v>
      </c>
      <c r="G17455" s="1">
        <v>0.0</v>
      </c>
    </row>
    <row r="17456">
      <c r="A17456" s="1" t="s">
        <v>8</v>
      </c>
      <c r="B17456" s="2">
        <v>44789.0</v>
      </c>
      <c r="C17456" s="3">
        <v>0.3262962962962963</v>
      </c>
      <c r="D17456" s="1">
        <v>12.705221</v>
      </c>
      <c r="E17456" s="1">
        <v>79.973987</v>
      </c>
      <c r="F17456" s="1">
        <v>2846.0</v>
      </c>
      <c r="G17456" s="1">
        <v>47.0</v>
      </c>
    </row>
    <row r="17457">
      <c r="A17457" s="1" t="s">
        <v>8</v>
      </c>
      <c r="B17457" s="2">
        <v>44789.0</v>
      </c>
      <c r="C17457" s="3">
        <v>0.3264930555555556</v>
      </c>
      <c r="D17457" s="1">
        <v>13.006641</v>
      </c>
      <c r="E17457" s="1">
        <v>80.245737</v>
      </c>
      <c r="F17457" s="1">
        <v>805.0</v>
      </c>
      <c r="G17457" s="1">
        <v>32.0</v>
      </c>
    </row>
    <row r="17458">
      <c r="A17458" s="1" t="s">
        <v>8</v>
      </c>
      <c r="B17458" s="2">
        <v>44789.0</v>
      </c>
      <c r="C17458" s="3">
        <v>0.3265162037037037</v>
      </c>
      <c r="D17458" s="1">
        <v>12.995944</v>
      </c>
      <c r="E17458" s="1">
        <v>80.189278</v>
      </c>
      <c r="F17458" s="1">
        <v>5339.0</v>
      </c>
      <c r="G17458" s="1">
        <v>29.0</v>
      </c>
    </row>
    <row r="17459">
      <c r="A17459" s="1" t="s">
        <v>8</v>
      </c>
      <c r="B17459" s="2">
        <v>44789.0</v>
      </c>
      <c r="C17459" s="3">
        <v>0.32663194444444443</v>
      </c>
      <c r="D17459" s="1">
        <v>12.706</v>
      </c>
      <c r="E17459" s="1">
        <v>79.975005</v>
      </c>
      <c r="F17459" s="1">
        <v>2846.0</v>
      </c>
      <c r="G17459" s="1">
        <v>55.0</v>
      </c>
    </row>
    <row r="17460">
      <c r="A17460" s="1" t="s">
        <v>8</v>
      </c>
      <c r="B17460" s="2">
        <v>44789.0</v>
      </c>
      <c r="C17460" s="3">
        <v>0.326712962962963</v>
      </c>
      <c r="D17460" s="1">
        <v>12.994861</v>
      </c>
      <c r="E17460" s="1">
        <v>80.187311</v>
      </c>
      <c r="F17460" s="1">
        <v>5339.0</v>
      </c>
      <c r="G17460" s="1">
        <v>51.0</v>
      </c>
    </row>
    <row r="17461">
      <c r="A17461" s="1" t="s">
        <v>8</v>
      </c>
      <c r="B17461" s="2">
        <v>44789.0</v>
      </c>
      <c r="C17461" s="3">
        <v>0.32711805555555556</v>
      </c>
      <c r="D17461" s="1">
        <v>12.994132</v>
      </c>
      <c r="E17461" s="1">
        <v>80.185907</v>
      </c>
      <c r="F17461" s="1">
        <v>5339.0</v>
      </c>
      <c r="G17461" s="1">
        <v>12.0</v>
      </c>
    </row>
    <row r="17462">
      <c r="A17462" s="1" t="s">
        <v>8</v>
      </c>
      <c r="B17462" s="2">
        <v>44789.0</v>
      </c>
      <c r="C17462" s="3">
        <v>0.3271759259259259</v>
      </c>
      <c r="D17462" s="1">
        <v>13.006645</v>
      </c>
      <c r="E17462" s="1">
        <v>80.241624</v>
      </c>
      <c r="F17462" s="1">
        <v>805.0</v>
      </c>
      <c r="G17462" s="1">
        <v>34.0</v>
      </c>
    </row>
    <row r="17463">
      <c r="A17463" s="1" t="s">
        <v>8</v>
      </c>
      <c r="B17463" s="2">
        <v>44789.0</v>
      </c>
      <c r="C17463" s="3">
        <v>0.3273611111111111</v>
      </c>
      <c r="D17463" s="1">
        <v>13.006903</v>
      </c>
      <c r="E17463" s="1">
        <v>80.239932</v>
      </c>
      <c r="F17463" s="1">
        <v>805.0</v>
      </c>
      <c r="G17463" s="1">
        <v>34.0</v>
      </c>
    </row>
    <row r="17464">
      <c r="A17464" s="1" t="s">
        <v>8</v>
      </c>
      <c r="B17464" s="2">
        <v>44789.0</v>
      </c>
      <c r="C17464" s="3">
        <v>0.32762731481481483</v>
      </c>
      <c r="D17464" s="1">
        <v>12.992064</v>
      </c>
      <c r="E17464" s="1">
        <v>80.182288</v>
      </c>
      <c r="F17464" s="1">
        <v>5339.0</v>
      </c>
      <c r="G17464" s="1">
        <v>54.0</v>
      </c>
    </row>
    <row r="17465">
      <c r="A17465" s="1" t="s">
        <v>9</v>
      </c>
      <c r="B17465" s="2">
        <v>44789.0</v>
      </c>
      <c r="C17465" s="3">
        <v>0.3277662037037037</v>
      </c>
      <c r="D17465" s="1">
        <v>13.007305</v>
      </c>
      <c r="E17465" s="1">
        <v>80.237768</v>
      </c>
      <c r="F17465" s="1">
        <v>805.0</v>
      </c>
      <c r="G17465" s="1">
        <v>33.0</v>
      </c>
    </row>
    <row r="17466">
      <c r="A17466" s="1" t="s">
        <v>7</v>
      </c>
      <c r="B17466" s="2">
        <v>44789.0</v>
      </c>
      <c r="C17466" s="3">
        <v>0.3278240740740741</v>
      </c>
      <c r="D17466" s="1">
        <v>13.007539</v>
      </c>
      <c r="E17466" s="1">
        <v>80.236623</v>
      </c>
      <c r="F17466" s="1">
        <v>805.0</v>
      </c>
      <c r="G17466" s="1">
        <v>52.0</v>
      </c>
    </row>
    <row r="17467">
      <c r="A17467" s="1" t="s">
        <v>8</v>
      </c>
      <c r="B17467" s="2">
        <v>44789.0</v>
      </c>
      <c r="C17467" s="3">
        <v>0.3281712962962963</v>
      </c>
      <c r="D17467" s="1">
        <v>13.00794</v>
      </c>
      <c r="E17467" s="1">
        <v>80.234541</v>
      </c>
      <c r="F17467" s="1">
        <v>805.0</v>
      </c>
      <c r="G17467" s="1">
        <v>34.0</v>
      </c>
    </row>
    <row r="17468">
      <c r="A17468" s="1" t="s">
        <v>7</v>
      </c>
      <c r="B17468" s="2">
        <v>44789.0</v>
      </c>
      <c r="C17468" s="3">
        <v>0.3284490740740741</v>
      </c>
      <c r="D17468" s="1">
        <v>13.008433</v>
      </c>
      <c r="E17468" s="1">
        <v>80.232117</v>
      </c>
      <c r="F17468" s="1">
        <v>805.0</v>
      </c>
      <c r="G17468" s="1">
        <v>57.0</v>
      </c>
    </row>
    <row r="17469">
      <c r="A17469" s="1" t="s">
        <v>8</v>
      </c>
      <c r="B17469" s="2">
        <v>44789.0</v>
      </c>
      <c r="C17469" s="3">
        <v>0.3289930555555556</v>
      </c>
      <c r="D17469" s="1">
        <v>12.983951</v>
      </c>
      <c r="E17469" s="1">
        <v>80.171006</v>
      </c>
      <c r="F17469" s="1">
        <v>5339.0</v>
      </c>
      <c r="G17469" s="1">
        <v>42.0</v>
      </c>
    </row>
    <row r="17470">
      <c r="A17470" s="1" t="s">
        <v>7</v>
      </c>
      <c r="B17470" s="2">
        <v>44789.0</v>
      </c>
      <c r="C17470" s="3">
        <v>0.32902777777777775</v>
      </c>
      <c r="D17470" s="1">
        <v>13.009933</v>
      </c>
      <c r="E17470" s="1">
        <v>80.226587</v>
      </c>
      <c r="F17470" s="1">
        <v>805.0</v>
      </c>
      <c r="G17470" s="1">
        <v>56.0</v>
      </c>
    </row>
    <row r="17471">
      <c r="A17471" s="1" t="s">
        <v>7</v>
      </c>
      <c r="B17471" s="2">
        <v>44789.0</v>
      </c>
      <c r="C17471" s="3">
        <v>0.32908564814814817</v>
      </c>
      <c r="D17471" s="1">
        <v>13.010545</v>
      </c>
      <c r="E17471" s="1">
        <v>80.225333</v>
      </c>
      <c r="F17471" s="1">
        <v>805.0</v>
      </c>
      <c r="G17471" s="1">
        <v>51.0</v>
      </c>
    </row>
    <row r="17472">
      <c r="A17472" s="1" t="s">
        <v>8</v>
      </c>
      <c r="B17472" s="2">
        <v>44789.0</v>
      </c>
      <c r="C17472" s="3">
        <v>0.32915509259259257</v>
      </c>
      <c r="D17472" s="1">
        <v>13.010545</v>
      </c>
      <c r="E17472" s="1">
        <v>80.225333</v>
      </c>
      <c r="F17472" s="1">
        <v>805.0</v>
      </c>
      <c r="G17472" s="1">
        <v>51.0</v>
      </c>
    </row>
    <row r="17473">
      <c r="A17473" s="1" t="s">
        <v>7</v>
      </c>
      <c r="B17473" s="2">
        <v>44789.0</v>
      </c>
      <c r="C17473" s="3">
        <v>0.3291898148148148</v>
      </c>
      <c r="D17473" s="1">
        <v>12.726303</v>
      </c>
      <c r="E17473" s="1">
        <v>79.982308</v>
      </c>
      <c r="F17473" s="1">
        <v>2846.0</v>
      </c>
      <c r="G17473" s="1">
        <v>47.0</v>
      </c>
    </row>
    <row r="17474">
      <c r="A17474" s="1" t="s">
        <v>8</v>
      </c>
      <c r="B17474" s="2">
        <v>44789.0</v>
      </c>
      <c r="C17474" s="3">
        <v>0.3292013888888889</v>
      </c>
      <c r="D17474" s="1">
        <v>12.726303</v>
      </c>
      <c r="E17474" s="1">
        <v>79.982308</v>
      </c>
      <c r="F17474" s="1">
        <v>2846.0</v>
      </c>
      <c r="G17474" s="1">
        <v>47.0</v>
      </c>
    </row>
    <row r="17475">
      <c r="A17475" s="1" t="s">
        <v>8</v>
      </c>
      <c r="B17475" s="2">
        <v>44789.0</v>
      </c>
      <c r="C17475" s="3">
        <v>0.3294328703703704</v>
      </c>
      <c r="D17475" s="1">
        <v>12.982246</v>
      </c>
      <c r="E17475" s="1">
        <v>80.1682</v>
      </c>
      <c r="F17475" s="1">
        <v>5339.0</v>
      </c>
      <c r="G17475" s="1">
        <v>48.0</v>
      </c>
    </row>
    <row r="17476">
      <c r="A17476" s="1" t="s">
        <v>8</v>
      </c>
      <c r="B17476" s="2">
        <v>44789.0</v>
      </c>
      <c r="C17476" s="3">
        <v>0.32958333333333334</v>
      </c>
      <c r="D17476" s="1">
        <v>12.731602</v>
      </c>
      <c r="E17476" s="1">
        <v>79.982831</v>
      </c>
      <c r="F17476" s="1">
        <v>2846.0</v>
      </c>
      <c r="G17476" s="1">
        <v>51.0</v>
      </c>
    </row>
    <row r="17477">
      <c r="A17477" s="1" t="s">
        <v>7</v>
      </c>
      <c r="B17477" s="2">
        <v>44789.0</v>
      </c>
      <c r="C17477" s="3">
        <v>0.33010416666666664</v>
      </c>
      <c r="D17477" s="1">
        <v>12.731602</v>
      </c>
      <c r="E17477" s="1">
        <v>79.982831</v>
      </c>
      <c r="F17477" s="1">
        <v>2846.0</v>
      </c>
      <c r="G17477" s="1">
        <v>51.0</v>
      </c>
    </row>
    <row r="17478">
      <c r="A17478" s="1" t="s">
        <v>7</v>
      </c>
      <c r="B17478" s="2">
        <v>44789.0</v>
      </c>
      <c r="C17478" s="3">
        <v>0.33015046296296297</v>
      </c>
      <c r="D17478" s="1">
        <v>13.011876</v>
      </c>
      <c r="E17478" s="1">
        <v>80.220181</v>
      </c>
      <c r="F17478" s="1">
        <v>805.0</v>
      </c>
      <c r="G17478" s="1">
        <v>45.0</v>
      </c>
    </row>
    <row r="17479">
      <c r="A17479" s="1" t="s">
        <v>7</v>
      </c>
      <c r="B17479" s="2">
        <v>44789.0</v>
      </c>
      <c r="C17479" s="3">
        <v>0.3305208333333333</v>
      </c>
      <c r="D17479" s="1">
        <v>13.010433</v>
      </c>
      <c r="E17479" s="1">
        <v>80.216251</v>
      </c>
      <c r="F17479" s="1">
        <v>805.0</v>
      </c>
      <c r="G17479" s="1">
        <v>54.0</v>
      </c>
    </row>
    <row r="17480">
      <c r="A17480" s="1" t="s">
        <v>8</v>
      </c>
      <c r="B17480" s="2">
        <v>44789.0</v>
      </c>
      <c r="C17480" s="3">
        <v>0.33064814814814814</v>
      </c>
      <c r="D17480" s="1">
        <v>13.010069</v>
      </c>
      <c r="E17480" s="1">
        <v>80.214869</v>
      </c>
      <c r="F17480" s="1">
        <v>805.0</v>
      </c>
      <c r="G17480" s="1">
        <v>58.0</v>
      </c>
    </row>
    <row r="17481">
      <c r="A17481" s="1" t="s">
        <v>8</v>
      </c>
      <c r="B17481" s="2">
        <v>44789.0</v>
      </c>
      <c r="C17481" s="3">
        <v>0.3308564814814815</v>
      </c>
      <c r="D17481" s="1">
        <v>12.977289</v>
      </c>
      <c r="E17481" s="1">
        <v>80.159073</v>
      </c>
      <c r="F17481" s="1">
        <v>5339.0</v>
      </c>
      <c r="G17481" s="1">
        <v>45.0</v>
      </c>
    </row>
    <row r="17482">
      <c r="A17482" s="1" t="s">
        <v>7</v>
      </c>
      <c r="B17482" s="2">
        <v>44789.0</v>
      </c>
      <c r="C17482" s="3">
        <v>0.33099537037037036</v>
      </c>
      <c r="D17482" s="1">
        <v>13.008808</v>
      </c>
      <c r="E17482" s="1">
        <v>80.211467</v>
      </c>
      <c r="F17482" s="1">
        <v>805.0</v>
      </c>
      <c r="G17482" s="1">
        <v>42.0</v>
      </c>
    </row>
    <row r="17483">
      <c r="A17483" s="1" t="s">
        <v>7</v>
      </c>
      <c r="B17483" s="2">
        <v>44789.0</v>
      </c>
      <c r="C17483" s="3">
        <v>0.3311574074074074</v>
      </c>
      <c r="D17483" s="1">
        <v>13.008362</v>
      </c>
      <c r="E17483" s="1">
        <v>80.210276</v>
      </c>
      <c r="F17483" s="1">
        <v>805.0</v>
      </c>
      <c r="G17483" s="1">
        <v>52.0</v>
      </c>
    </row>
    <row r="17484">
      <c r="A17484" s="1" t="s">
        <v>10</v>
      </c>
      <c r="B17484" s="2">
        <v>44789.0</v>
      </c>
      <c r="C17484" s="3">
        <v>0.3312037037037037</v>
      </c>
      <c r="D17484" s="1">
        <v>12.95607</v>
      </c>
      <c r="E17484" s="1">
        <v>80.18703</v>
      </c>
      <c r="F17484" s="1">
        <v>3143.0</v>
      </c>
      <c r="G17484" s="1">
        <v>0.0</v>
      </c>
    </row>
    <row r="17485">
      <c r="A17485" s="1" t="s">
        <v>7</v>
      </c>
      <c r="B17485" s="2">
        <v>44789.0</v>
      </c>
      <c r="C17485" s="3">
        <v>0.33133101851851854</v>
      </c>
      <c r="D17485" s="1">
        <v>13.007778</v>
      </c>
      <c r="E17485" s="1">
        <v>80.207448</v>
      </c>
      <c r="F17485" s="1">
        <v>805.0</v>
      </c>
      <c r="G17485" s="1">
        <v>56.0</v>
      </c>
    </row>
    <row r="17486">
      <c r="A17486" s="1" t="s">
        <v>8</v>
      </c>
      <c r="B17486" s="2">
        <v>44789.0</v>
      </c>
      <c r="C17486" s="3">
        <v>0.3313888888888889</v>
      </c>
      <c r="D17486" s="1">
        <v>13.007778</v>
      </c>
      <c r="E17486" s="1">
        <v>80.207448</v>
      </c>
      <c r="F17486" s="1">
        <v>805.0</v>
      </c>
      <c r="G17486" s="1">
        <v>56.0</v>
      </c>
    </row>
    <row r="17487">
      <c r="A17487" s="1" t="s">
        <v>7</v>
      </c>
      <c r="B17487" s="2">
        <v>44789.0</v>
      </c>
      <c r="C17487" s="3">
        <v>0.3322453703703704</v>
      </c>
      <c r="D17487" s="1">
        <v>12.747983</v>
      </c>
      <c r="E17487" s="1">
        <v>79.996123</v>
      </c>
      <c r="F17487" s="1">
        <v>2846.0</v>
      </c>
      <c r="G17487" s="1">
        <v>58.0</v>
      </c>
    </row>
    <row r="17488">
      <c r="A17488" s="1" t="s">
        <v>8</v>
      </c>
      <c r="B17488" s="2">
        <v>44789.0</v>
      </c>
      <c r="C17488" s="3">
        <v>0.3323263888888889</v>
      </c>
      <c r="D17488" s="1">
        <v>13.003728</v>
      </c>
      <c r="E17488" s="1">
        <v>80.201052</v>
      </c>
      <c r="F17488" s="1">
        <v>805.0</v>
      </c>
      <c r="G17488" s="1">
        <v>34.0</v>
      </c>
    </row>
    <row r="17489">
      <c r="A17489" s="1" t="s">
        <v>7</v>
      </c>
      <c r="B17489" s="2">
        <v>44789.0</v>
      </c>
      <c r="C17489" s="3">
        <v>0.3326851851851852</v>
      </c>
      <c r="D17489" s="1">
        <v>12.751478</v>
      </c>
      <c r="E17489" s="1">
        <v>79.998816</v>
      </c>
      <c r="F17489" s="1">
        <v>2846.0</v>
      </c>
      <c r="G17489" s="1">
        <v>58.0</v>
      </c>
    </row>
    <row r="17490">
      <c r="A17490" s="1" t="s">
        <v>8</v>
      </c>
      <c r="B17490" s="2">
        <v>44789.0</v>
      </c>
      <c r="C17490" s="3">
        <v>0.33317129629629627</v>
      </c>
      <c r="D17490" s="1">
        <v>12.964895</v>
      </c>
      <c r="E17490" s="1">
        <v>80.147979</v>
      </c>
      <c r="F17490" s="1">
        <v>5339.0</v>
      </c>
      <c r="G17490" s="1">
        <v>32.0</v>
      </c>
    </row>
    <row r="17491">
      <c r="A17491" s="1" t="s">
        <v>8</v>
      </c>
      <c r="B17491" s="2">
        <v>44789.0</v>
      </c>
      <c r="C17491" s="3">
        <v>0.33319444444444446</v>
      </c>
      <c r="D17491" s="1">
        <v>12.75771</v>
      </c>
      <c r="E17491" s="1">
        <v>80.00245</v>
      </c>
      <c r="F17491" s="1">
        <v>2846.0</v>
      </c>
      <c r="G17491" s="1">
        <v>53.0</v>
      </c>
    </row>
    <row r="17492">
      <c r="A17492" s="1" t="s">
        <v>8</v>
      </c>
      <c r="B17492" s="2">
        <v>44789.0</v>
      </c>
      <c r="C17492" s="3">
        <v>0.3332638888888889</v>
      </c>
      <c r="D17492" s="1">
        <v>12.964895</v>
      </c>
      <c r="E17492" s="1">
        <v>80.147979</v>
      </c>
      <c r="F17492" s="1">
        <v>5339.0</v>
      </c>
      <c r="G17492" s="1">
        <v>32.0</v>
      </c>
    </row>
    <row r="17493">
      <c r="A17493" s="1" t="s">
        <v>8</v>
      </c>
      <c r="B17493" s="2">
        <v>44789.0</v>
      </c>
      <c r="C17493" s="3">
        <v>0.3334259259259259</v>
      </c>
      <c r="D17493" s="1">
        <v>13.000984</v>
      </c>
      <c r="E17493" s="1">
        <v>80.195527</v>
      </c>
      <c r="F17493" s="1">
        <v>805.0</v>
      </c>
      <c r="G17493" s="1">
        <v>35.0</v>
      </c>
    </row>
    <row r="17494">
      <c r="A17494" s="1" t="s">
        <v>8</v>
      </c>
      <c r="B17494" s="2">
        <v>44789.0</v>
      </c>
      <c r="C17494" s="3">
        <v>0.3334490740740741</v>
      </c>
      <c r="D17494" s="1">
        <v>13.000984</v>
      </c>
      <c r="E17494" s="1">
        <v>80.195527</v>
      </c>
      <c r="F17494" s="1">
        <v>805.0</v>
      </c>
      <c r="G17494" s="1">
        <v>35.0</v>
      </c>
    </row>
    <row r="17495">
      <c r="A17495" s="1" t="s">
        <v>8</v>
      </c>
      <c r="B17495" s="2">
        <v>44789.0</v>
      </c>
      <c r="C17495" s="3">
        <v>0.33346064814814813</v>
      </c>
      <c r="D17495" s="1">
        <v>13.000984</v>
      </c>
      <c r="E17495" s="1">
        <v>80.195527</v>
      </c>
      <c r="F17495" s="1">
        <v>805.0</v>
      </c>
      <c r="G17495" s="1">
        <v>35.0</v>
      </c>
    </row>
    <row r="17496">
      <c r="A17496" s="1" t="s">
        <v>8</v>
      </c>
      <c r="B17496" s="2">
        <v>44789.0</v>
      </c>
      <c r="C17496" s="3">
        <v>0.3334722222222222</v>
      </c>
      <c r="D17496" s="1">
        <v>13.000984</v>
      </c>
      <c r="E17496" s="1">
        <v>80.195527</v>
      </c>
      <c r="F17496" s="1">
        <v>805.0</v>
      </c>
      <c r="G17496" s="1">
        <v>35.0</v>
      </c>
    </row>
    <row r="17497">
      <c r="A17497" s="1" t="s">
        <v>7</v>
      </c>
      <c r="B17497" s="2">
        <v>44789.0</v>
      </c>
      <c r="C17497" s="3">
        <v>0.3335763888888889</v>
      </c>
      <c r="D17497" s="1">
        <v>12.962085</v>
      </c>
      <c r="E17497" s="1">
        <v>80.146398</v>
      </c>
      <c r="F17497" s="1">
        <v>5339.0</v>
      </c>
      <c r="G17497" s="1">
        <v>53.0</v>
      </c>
    </row>
    <row r="17498">
      <c r="A17498" s="1" t="s">
        <v>8</v>
      </c>
      <c r="B17498" s="2">
        <v>44789.0</v>
      </c>
      <c r="C17498" s="3">
        <v>0.33361111111111114</v>
      </c>
      <c r="D17498" s="1">
        <v>12.999989</v>
      </c>
      <c r="E17498" s="1">
        <v>80.194242</v>
      </c>
      <c r="F17498" s="1">
        <v>805.0</v>
      </c>
      <c r="G17498" s="1">
        <v>35.0</v>
      </c>
    </row>
    <row r="17499">
      <c r="A17499" s="1" t="s">
        <v>8</v>
      </c>
      <c r="B17499" s="2">
        <v>44789.0</v>
      </c>
      <c r="C17499" s="3">
        <v>0.3338425925925926</v>
      </c>
      <c r="D17499" s="1">
        <v>12.998786</v>
      </c>
      <c r="E17499" s="1">
        <v>80.192675</v>
      </c>
      <c r="F17499" s="1">
        <v>805.0</v>
      </c>
      <c r="G17499" s="1">
        <v>40.0</v>
      </c>
    </row>
    <row r="17500">
      <c r="A17500" s="1" t="s">
        <v>7</v>
      </c>
      <c r="B17500" s="2">
        <v>44789.0</v>
      </c>
      <c r="C17500" s="3">
        <v>0.33402777777777776</v>
      </c>
      <c r="D17500" s="1">
        <v>12.998087</v>
      </c>
      <c r="E17500" s="1">
        <v>80.191808</v>
      </c>
      <c r="F17500" s="1">
        <v>805.0</v>
      </c>
      <c r="G17500" s="1">
        <v>45.0</v>
      </c>
    </row>
    <row r="17501">
      <c r="A17501" s="1" t="s">
        <v>8</v>
      </c>
      <c r="B17501" s="2">
        <v>44789.0</v>
      </c>
      <c r="C17501" s="3">
        <v>0.33413194444444444</v>
      </c>
      <c r="D17501" s="1">
        <v>12.99732</v>
      </c>
      <c r="E17501" s="1">
        <v>80.190824</v>
      </c>
      <c r="F17501" s="1">
        <v>805.0</v>
      </c>
      <c r="G17501" s="1">
        <v>52.0</v>
      </c>
    </row>
    <row r="17502">
      <c r="A17502" s="1" t="s">
        <v>8</v>
      </c>
      <c r="B17502" s="2">
        <v>44789.0</v>
      </c>
      <c r="C17502" s="3">
        <v>0.3344097222222222</v>
      </c>
      <c r="D17502" s="1">
        <v>12.995114</v>
      </c>
      <c r="E17502" s="1">
        <v>80.187811</v>
      </c>
      <c r="F17502" s="1">
        <v>805.0</v>
      </c>
      <c r="G17502" s="1">
        <v>49.0</v>
      </c>
    </row>
    <row r="17503">
      <c r="A17503" s="1" t="s">
        <v>8</v>
      </c>
      <c r="B17503" s="2">
        <v>44789.0</v>
      </c>
      <c r="C17503" s="3">
        <v>0.334525462962963</v>
      </c>
      <c r="D17503" s="1">
        <v>12.994657</v>
      </c>
      <c r="E17503" s="1">
        <v>80.186895</v>
      </c>
      <c r="F17503" s="1">
        <v>805.0</v>
      </c>
      <c r="G17503" s="1">
        <v>34.0</v>
      </c>
    </row>
    <row r="17504">
      <c r="A17504" s="1" t="s">
        <v>8</v>
      </c>
      <c r="B17504" s="2">
        <v>44789.0</v>
      </c>
      <c r="C17504" s="3">
        <v>0.3348263888888889</v>
      </c>
      <c r="D17504" s="1">
        <v>12.954958</v>
      </c>
      <c r="E17504" s="1">
        <v>80.142599</v>
      </c>
      <c r="F17504" s="1">
        <v>5339.0</v>
      </c>
      <c r="G17504" s="1">
        <v>35.0</v>
      </c>
    </row>
    <row r="17505">
      <c r="A17505" s="1" t="s">
        <v>8</v>
      </c>
      <c r="B17505" s="2">
        <v>44789.0</v>
      </c>
      <c r="C17505" s="3">
        <v>0.33489583333333334</v>
      </c>
      <c r="D17505" s="1">
        <v>12.954066</v>
      </c>
      <c r="E17505" s="1">
        <v>80.142111</v>
      </c>
      <c r="F17505" s="1">
        <v>5339.0</v>
      </c>
      <c r="G17505" s="1">
        <v>39.0</v>
      </c>
    </row>
    <row r="17506">
      <c r="A17506" s="1" t="s">
        <v>8</v>
      </c>
      <c r="B17506" s="2">
        <v>44789.0</v>
      </c>
      <c r="C17506" s="3">
        <v>0.33502314814814815</v>
      </c>
      <c r="D17506" s="1">
        <v>12.953188</v>
      </c>
      <c r="E17506" s="1">
        <v>80.141625</v>
      </c>
      <c r="F17506" s="1">
        <v>5339.0</v>
      </c>
      <c r="G17506" s="1">
        <v>38.0</v>
      </c>
    </row>
    <row r="17507">
      <c r="A17507" s="1" t="s">
        <v>8</v>
      </c>
      <c r="B17507" s="2">
        <v>44789.0</v>
      </c>
      <c r="C17507" s="3">
        <v>0.33503472222222225</v>
      </c>
      <c r="D17507" s="1">
        <v>12.774533</v>
      </c>
      <c r="E17507" s="1">
        <v>80.009208</v>
      </c>
      <c r="F17507" s="1">
        <v>2846.0</v>
      </c>
      <c r="G17507" s="1">
        <v>58.0</v>
      </c>
    </row>
    <row r="17508">
      <c r="A17508" s="1" t="s">
        <v>10</v>
      </c>
      <c r="B17508" s="2">
        <v>44789.0</v>
      </c>
      <c r="C17508" s="3">
        <v>0.33510416666666665</v>
      </c>
      <c r="D17508" s="1">
        <v>12.938121</v>
      </c>
      <c r="E17508" s="1">
        <v>80.182336</v>
      </c>
      <c r="F17508" s="1">
        <v>3143.0</v>
      </c>
      <c r="G17508" s="1">
        <v>25.0</v>
      </c>
    </row>
    <row r="17509">
      <c r="A17509" s="1" t="s">
        <v>10</v>
      </c>
      <c r="B17509" s="2">
        <v>44789.0</v>
      </c>
      <c r="C17509" s="3">
        <v>0.33542824074074074</v>
      </c>
      <c r="D17509" s="1">
        <v>12.936957</v>
      </c>
      <c r="E17509" s="1">
        <v>80.182314</v>
      </c>
      <c r="F17509" s="1">
        <v>3143.0</v>
      </c>
      <c r="G17509" s="1">
        <v>32.0</v>
      </c>
    </row>
    <row r="17510">
      <c r="A17510" s="1" t="s">
        <v>8</v>
      </c>
      <c r="B17510" s="2">
        <v>44789.0</v>
      </c>
      <c r="C17510" s="3">
        <v>0.3355092592592593</v>
      </c>
      <c r="D17510" s="1">
        <v>12.99383</v>
      </c>
      <c r="E17510" s="1">
        <v>80.185211</v>
      </c>
      <c r="F17510" s="1">
        <v>805.0</v>
      </c>
      <c r="G17510" s="1">
        <v>32.0</v>
      </c>
    </row>
    <row r="17511">
      <c r="A17511" s="1" t="s">
        <v>8</v>
      </c>
      <c r="B17511" s="2">
        <v>44789.0</v>
      </c>
      <c r="C17511" s="3">
        <v>0.3356134259259259</v>
      </c>
      <c r="D17511" s="1">
        <v>12.950465</v>
      </c>
      <c r="E17511" s="1">
        <v>80.139678</v>
      </c>
      <c r="F17511" s="1">
        <v>5339.0</v>
      </c>
      <c r="G17511" s="1">
        <v>20.0</v>
      </c>
    </row>
    <row r="17512">
      <c r="A17512" s="1" t="s">
        <v>8</v>
      </c>
      <c r="B17512" s="2">
        <v>44789.0</v>
      </c>
      <c r="C17512" s="3">
        <v>0.335625</v>
      </c>
      <c r="D17512" s="1">
        <v>12.950465</v>
      </c>
      <c r="E17512" s="1">
        <v>80.139678</v>
      </c>
      <c r="F17512" s="1">
        <v>5339.0</v>
      </c>
      <c r="G17512" s="1">
        <v>20.0</v>
      </c>
    </row>
    <row r="17513">
      <c r="A17513" s="1" t="s">
        <v>7</v>
      </c>
      <c r="B17513" s="2">
        <v>44789.0</v>
      </c>
      <c r="C17513" s="3">
        <v>0.3356712962962963</v>
      </c>
      <c r="D17513" s="1">
        <v>12.993328</v>
      </c>
      <c r="E17513" s="1">
        <v>80.184309</v>
      </c>
      <c r="F17513" s="1">
        <v>805.0</v>
      </c>
      <c r="G17513" s="1">
        <v>43.0</v>
      </c>
    </row>
    <row r="17514">
      <c r="A17514" s="1" t="s">
        <v>7</v>
      </c>
      <c r="B17514" s="2">
        <v>44789.0</v>
      </c>
      <c r="C17514" s="3">
        <v>0.33578703703703705</v>
      </c>
      <c r="D17514" s="1">
        <v>12.992728</v>
      </c>
      <c r="E17514" s="1">
        <v>80.18326</v>
      </c>
      <c r="F17514" s="1">
        <v>805.0</v>
      </c>
      <c r="G17514" s="1">
        <v>50.0</v>
      </c>
    </row>
    <row r="17515">
      <c r="A17515" s="1" t="s">
        <v>7</v>
      </c>
      <c r="B17515" s="2">
        <v>44789.0</v>
      </c>
      <c r="C17515" s="3">
        <v>0.33596064814814813</v>
      </c>
      <c r="D17515" s="1">
        <v>12.782462</v>
      </c>
      <c r="E17515" s="1">
        <v>80.012758</v>
      </c>
      <c r="F17515" s="1">
        <v>2846.0</v>
      </c>
      <c r="G17515" s="1">
        <v>58.0</v>
      </c>
    </row>
    <row r="17516">
      <c r="A17516" s="1" t="s">
        <v>7</v>
      </c>
      <c r="B17516" s="2">
        <v>44789.0</v>
      </c>
      <c r="C17516" s="3">
        <v>0.3360185185185185</v>
      </c>
      <c r="D17516" s="1">
        <v>12.991013</v>
      </c>
      <c r="E17516" s="1">
        <v>80.180893</v>
      </c>
      <c r="F17516" s="1">
        <v>805.0</v>
      </c>
      <c r="G17516" s="1">
        <v>57.0</v>
      </c>
    </row>
    <row r="17517">
      <c r="A17517" s="1" t="s">
        <v>8</v>
      </c>
      <c r="B17517" s="2">
        <v>44789.0</v>
      </c>
      <c r="C17517" s="3">
        <v>0.3361226851851852</v>
      </c>
      <c r="D17517" s="1">
        <v>12.947157</v>
      </c>
      <c r="E17517" s="1">
        <v>80.137071</v>
      </c>
      <c r="F17517" s="1">
        <v>5339.0</v>
      </c>
      <c r="G17517" s="1">
        <v>50.0</v>
      </c>
    </row>
    <row r="17518">
      <c r="A17518" s="1" t="s">
        <v>8</v>
      </c>
      <c r="B17518" s="2">
        <v>44789.0</v>
      </c>
      <c r="C17518" s="3">
        <v>0.3361574074074074</v>
      </c>
      <c r="D17518" s="1">
        <v>12.989192</v>
      </c>
      <c r="E17518" s="1">
        <v>80.178646</v>
      </c>
      <c r="F17518" s="1">
        <v>805.0</v>
      </c>
      <c r="G17518" s="1">
        <v>50.0</v>
      </c>
    </row>
    <row r="17519">
      <c r="A17519" s="1" t="s">
        <v>8</v>
      </c>
      <c r="B17519" s="2">
        <v>44789.0</v>
      </c>
      <c r="C17519" s="3">
        <v>0.33625</v>
      </c>
      <c r="D17519" s="1">
        <v>12.989192</v>
      </c>
      <c r="E17519" s="1">
        <v>80.178646</v>
      </c>
      <c r="F17519" s="1">
        <v>805.0</v>
      </c>
      <c r="G17519" s="1">
        <v>50.0</v>
      </c>
    </row>
    <row r="17520">
      <c r="A17520" s="1" t="s">
        <v>8</v>
      </c>
      <c r="B17520" s="2">
        <v>44789.0</v>
      </c>
      <c r="C17520" s="3">
        <v>0.3363773148148148</v>
      </c>
      <c r="D17520" s="1">
        <v>12.987891</v>
      </c>
      <c r="E17520" s="1">
        <v>80.176883</v>
      </c>
      <c r="F17520" s="1">
        <v>805.0</v>
      </c>
      <c r="G17520" s="1">
        <v>37.0</v>
      </c>
    </row>
    <row r="17521">
      <c r="A17521" s="1" t="s">
        <v>8</v>
      </c>
      <c r="B17521" s="2">
        <v>44789.0</v>
      </c>
      <c r="C17521" s="3">
        <v>0.3364699074074074</v>
      </c>
      <c r="D17521" s="1">
        <v>12.987891</v>
      </c>
      <c r="E17521" s="1">
        <v>80.176883</v>
      </c>
      <c r="F17521" s="1">
        <v>805.0</v>
      </c>
      <c r="G17521" s="1">
        <v>37.0</v>
      </c>
    </row>
    <row r="17522">
      <c r="A17522" s="1" t="s">
        <v>8</v>
      </c>
      <c r="B17522" s="2">
        <v>44789.0</v>
      </c>
      <c r="C17522" s="3">
        <v>0.33662037037037035</v>
      </c>
      <c r="D17522" s="1">
        <v>12.943268</v>
      </c>
      <c r="E17522" s="1">
        <v>80.133977</v>
      </c>
      <c r="F17522" s="1">
        <v>5339.0</v>
      </c>
      <c r="G17522" s="1">
        <v>50.0</v>
      </c>
    </row>
    <row r="17523">
      <c r="A17523" s="1" t="s">
        <v>8</v>
      </c>
      <c r="B17523" s="2">
        <v>44789.0</v>
      </c>
      <c r="C17523" s="3">
        <v>0.3366550925925926</v>
      </c>
      <c r="D17523" s="1">
        <v>12.94242</v>
      </c>
      <c r="E17523" s="1">
        <v>80.133114</v>
      </c>
      <c r="F17523" s="1">
        <v>5339.0</v>
      </c>
      <c r="G17523" s="1">
        <v>41.0</v>
      </c>
    </row>
    <row r="17524">
      <c r="A17524" s="1" t="s">
        <v>7</v>
      </c>
      <c r="B17524" s="2">
        <v>44789.0</v>
      </c>
      <c r="C17524" s="3">
        <v>0.33666666666666667</v>
      </c>
      <c r="D17524" s="1">
        <v>12.792301</v>
      </c>
      <c r="E17524" s="1">
        <v>80.018273</v>
      </c>
      <c r="F17524" s="1">
        <v>2846.0</v>
      </c>
      <c r="G17524" s="1">
        <v>58.0</v>
      </c>
    </row>
    <row r="17525">
      <c r="A17525" s="1" t="s">
        <v>7</v>
      </c>
      <c r="B17525" s="2">
        <v>44789.0</v>
      </c>
      <c r="C17525" s="3">
        <v>0.3367939814814815</v>
      </c>
      <c r="D17525" s="1">
        <v>12.792301</v>
      </c>
      <c r="E17525" s="1">
        <v>80.018273</v>
      </c>
      <c r="F17525" s="1">
        <v>2846.0</v>
      </c>
      <c r="G17525" s="1">
        <v>58.0</v>
      </c>
    </row>
    <row r="17526">
      <c r="A17526" s="1" t="s">
        <v>7</v>
      </c>
      <c r="B17526" s="2">
        <v>44789.0</v>
      </c>
      <c r="C17526" s="3">
        <v>0.3369328703703704</v>
      </c>
      <c r="D17526" s="1">
        <v>12.794782</v>
      </c>
      <c r="E17526" s="1">
        <v>80.019831</v>
      </c>
      <c r="F17526" s="1">
        <v>2846.0</v>
      </c>
      <c r="G17526" s="1">
        <v>56.0</v>
      </c>
    </row>
    <row r="17527">
      <c r="A17527" s="1" t="s">
        <v>8</v>
      </c>
      <c r="B17527" s="2">
        <v>44789.0</v>
      </c>
      <c r="C17527" s="3">
        <v>0.3371527777777778</v>
      </c>
      <c r="D17527" s="1">
        <v>12.986546</v>
      </c>
      <c r="E17527" s="1">
        <v>80.174994</v>
      </c>
      <c r="F17527" s="1">
        <v>805.0</v>
      </c>
      <c r="G17527" s="1">
        <v>20.0</v>
      </c>
    </row>
    <row r="17528">
      <c r="A17528" s="1" t="s">
        <v>8</v>
      </c>
      <c r="B17528" s="2">
        <v>44789.0</v>
      </c>
      <c r="C17528" s="3">
        <v>0.337337962962963</v>
      </c>
      <c r="D17528" s="1">
        <v>12.938716</v>
      </c>
      <c r="E17528" s="1">
        <v>80.129432</v>
      </c>
      <c r="F17528" s="1">
        <v>5339.0</v>
      </c>
      <c r="G17528" s="1">
        <v>33.0</v>
      </c>
    </row>
    <row r="17529">
      <c r="A17529" s="1" t="s">
        <v>7</v>
      </c>
      <c r="B17529" s="2">
        <v>44789.0</v>
      </c>
      <c r="C17529" s="3">
        <v>0.33743055555555557</v>
      </c>
      <c r="D17529" s="1">
        <v>12.984792</v>
      </c>
      <c r="E17529" s="1">
        <v>80.172408</v>
      </c>
      <c r="F17529" s="1">
        <v>805.0</v>
      </c>
      <c r="G17529" s="1">
        <v>61.0</v>
      </c>
    </row>
    <row r="17530">
      <c r="A17530" s="1" t="s">
        <v>7</v>
      </c>
      <c r="B17530" s="2">
        <v>44789.0</v>
      </c>
      <c r="C17530" s="3">
        <v>0.33760416666666665</v>
      </c>
      <c r="D17530" s="1">
        <v>12.984028</v>
      </c>
      <c r="E17530" s="1">
        <v>80.171142</v>
      </c>
      <c r="F17530" s="1">
        <v>805.0</v>
      </c>
      <c r="G17530" s="1">
        <v>58.0</v>
      </c>
    </row>
    <row r="17531">
      <c r="A17531" s="1" t="s">
        <v>8</v>
      </c>
      <c r="B17531" s="2">
        <v>44789.0</v>
      </c>
      <c r="C17531" s="3">
        <v>0.33760416666666665</v>
      </c>
      <c r="D17531" s="1">
        <v>12.984028</v>
      </c>
      <c r="E17531" s="1">
        <v>80.171142</v>
      </c>
      <c r="F17531" s="1">
        <v>805.0</v>
      </c>
      <c r="G17531" s="1">
        <v>58.0</v>
      </c>
    </row>
    <row r="17532">
      <c r="A17532" s="1" t="s">
        <v>7</v>
      </c>
      <c r="B17532" s="2">
        <v>44789.0</v>
      </c>
      <c r="C17532" s="3">
        <v>0.3378125</v>
      </c>
      <c r="D17532" s="1">
        <v>12.800854</v>
      </c>
      <c r="E17532" s="1">
        <v>80.023896</v>
      </c>
      <c r="F17532" s="1">
        <v>2846.0</v>
      </c>
      <c r="G17532" s="1">
        <v>57.0</v>
      </c>
    </row>
    <row r="17533">
      <c r="A17533" s="1" t="s">
        <v>7</v>
      </c>
      <c r="B17533" s="2">
        <v>44789.0</v>
      </c>
      <c r="C17533" s="3">
        <v>0.3378125</v>
      </c>
      <c r="D17533" s="1">
        <v>12.982517</v>
      </c>
      <c r="E17533" s="1">
        <v>80.168587</v>
      </c>
      <c r="F17533" s="1">
        <v>805.0</v>
      </c>
      <c r="G17533" s="1">
        <v>57.0</v>
      </c>
    </row>
    <row r="17534">
      <c r="A17534" s="1" t="s">
        <v>8</v>
      </c>
      <c r="B17534" s="2">
        <v>44789.0</v>
      </c>
      <c r="C17534" s="3">
        <v>0.3379976851851852</v>
      </c>
      <c r="D17534" s="1">
        <v>12.981737</v>
      </c>
      <c r="E17534" s="1">
        <v>80.167325</v>
      </c>
      <c r="F17534" s="1">
        <v>805.0</v>
      </c>
      <c r="G17534" s="1">
        <v>58.0</v>
      </c>
    </row>
    <row r="17535">
      <c r="A17535" s="1" t="s">
        <v>7</v>
      </c>
      <c r="B17535" s="2">
        <v>44789.0</v>
      </c>
      <c r="C17535" s="3">
        <v>0.33828703703703705</v>
      </c>
      <c r="D17535" s="1">
        <v>12.979999</v>
      </c>
      <c r="E17535" s="1">
        <v>80.163418</v>
      </c>
      <c r="F17535" s="1">
        <v>805.0</v>
      </c>
      <c r="G17535" s="1">
        <v>54.0</v>
      </c>
    </row>
    <row r="17536">
      <c r="A17536" s="1" t="s">
        <v>8</v>
      </c>
      <c r="B17536" s="2">
        <v>44789.0</v>
      </c>
      <c r="C17536" s="3">
        <v>0.3383333333333333</v>
      </c>
      <c r="D17536" s="1">
        <v>12.979999</v>
      </c>
      <c r="E17536" s="1">
        <v>80.163418</v>
      </c>
      <c r="F17536" s="1">
        <v>805.0</v>
      </c>
      <c r="G17536" s="1">
        <v>54.0</v>
      </c>
    </row>
    <row r="17537">
      <c r="A17537" s="1" t="s">
        <v>7</v>
      </c>
      <c r="B17537" s="2">
        <v>44789.0</v>
      </c>
      <c r="C17537" s="3">
        <v>0.33869212962962963</v>
      </c>
      <c r="D17537" s="1">
        <v>12.977717</v>
      </c>
      <c r="E17537" s="1">
        <v>80.15973</v>
      </c>
      <c r="F17537" s="1">
        <v>805.0</v>
      </c>
      <c r="G17537" s="1">
        <v>58.0</v>
      </c>
    </row>
    <row r="17538">
      <c r="A17538" s="1" t="s">
        <v>8</v>
      </c>
      <c r="B17538" s="2">
        <v>44789.0</v>
      </c>
      <c r="C17538" s="3">
        <v>0.33870370370370373</v>
      </c>
      <c r="D17538" s="1">
        <v>12.976892</v>
      </c>
      <c r="E17538" s="1">
        <v>80.158498</v>
      </c>
      <c r="F17538" s="1">
        <v>805.0</v>
      </c>
      <c r="G17538" s="1">
        <v>58.0</v>
      </c>
    </row>
    <row r="17539">
      <c r="A17539" s="1" t="s">
        <v>8</v>
      </c>
      <c r="B17539" s="2">
        <v>44789.0</v>
      </c>
      <c r="C17539" s="3">
        <v>0.3388425925925926</v>
      </c>
      <c r="D17539" s="1">
        <v>12.976121</v>
      </c>
      <c r="E17539" s="1">
        <v>80.157248</v>
      </c>
      <c r="F17539" s="1">
        <v>805.0</v>
      </c>
      <c r="G17539" s="1">
        <v>58.0</v>
      </c>
    </row>
    <row r="17540">
      <c r="A17540" s="1" t="s">
        <v>7</v>
      </c>
      <c r="B17540" s="2">
        <v>44789.0</v>
      </c>
      <c r="C17540" s="3">
        <v>0.33903935185185186</v>
      </c>
      <c r="D17540" s="1">
        <v>12.817315</v>
      </c>
      <c r="E17540" s="1">
        <v>80.034743</v>
      </c>
      <c r="F17540" s="1">
        <v>2846.0</v>
      </c>
      <c r="G17540" s="1">
        <v>57.0</v>
      </c>
    </row>
    <row r="17541">
      <c r="A17541" s="1" t="s">
        <v>8</v>
      </c>
      <c r="B17541" s="2">
        <v>44789.0</v>
      </c>
      <c r="C17541" s="3">
        <v>0.3390625</v>
      </c>
      <c r="D17541" s="1">
        <v>12.975424</v>
      </c>
      <c r="E17541" s="1">
        <v>80.156245</v>
      </c>
      <c r="F17541" s="1">
        <v>805.0</v>
      </c>
      <c r="G17541" s="1">
        <v>44.0</v>
      </c>
    </row>
    <row r="17542">
      <c r="A17542" s="1" t="s">
        <v>8</v>
      </c>
      <c r="B17542" s="2">
        <v>44789.0</v>
      </c>
      <c r="C17542" s="3">
        <v>0.3390740740740741</v>
      </c>
      <c r="D17542" s="1">
        <v>12.975424</v>
      </c>
      <c r="E17542" s="1">
        <v>80.156245</v>
      </c>
      <c r="F17542" s="1">
        <v>805.0</v>
      </c>
      <c r="G17542" s="1">
        <v>44.0</v>
      </c>
    </row>
    <row r="17543">
      <c r="A17543" s="1" t="s">
        <v>8</v>
      </c>
      <c r="B17543" s="2">
        <v>44789.0</v>
      </c>
      <c r="C17543" s="3">
        <v>0.33925925925925926</v>
      </c>
      <c r="D17543" s="1">
        <v>12.974458</v>
      </c>
      <c r="E17543" s="1">
        <v>80.15494</v>
      </c>
      <c r="F17543" s="1">
        <v>805.0</v>
      </c>
      <c r="G17543" s="1">
        <v>26.0</v>
      </c>
    </row>
    <row r="17544">
      <c r="A17544" s="1" t="s">
        <v>8</v>
      </c>
      <c r="B17544" s="2">
        <v>44789.0</v>
      </c>
      <c r="C17544" s="3">
        <v>0.3393055555555556</v>
      </c>
      <c r="D17544" s="1">
        <v>12.974075</v>
      </c>
      <c r="E17544" s="1">
        <v>80.154364</v>
      </c>
      <c r="F17544" s="1">
        <v>805.0</v>
      </c>
      <c r="G17544" s="1">
        <v>30.0</v>
      </c>
    </row>
    <row r="17545">
      <c r="A17545" s="1" t="s">
        <v>7</v>
      </c>
      <c r="B17545" s="2">
        <v>44789.0</v>
      </c>
      <c r="C17545" s="3">
        <v>0.33935185185185185</v>
      </c>
      <c r="D17545" s="1">
        <v>12.819719</v>
      </c>
      <c r="E17545" s="1">
        <v>80.036416</v>
      </c>
      <c r="F17545" s="1">
        <v>2846.0</v>
      </c>
      <c r="G17545" s="1">
        <v>55.0</v>
      </c>
    </row>
    <row r="17546">
      <c r="A17546" s="1" t="s">
        <v>7</v>
      </c>
      <c r="B17546" s="2">
        <v>44789.0</v>
      </c>
      <c r="C17546" s="3">
        <v>0.3396180555555556</v>
      </c>
      <c r="D17546" s="1">
        <v>12.823098</v>
      </c>
      <c r="E17546" s="1">
        <v>80.038829</v>
      </c>
      <c r="F17546" s="1">
        <v>2846.0</v>
      </c>
      <c r="G17546" s="1">
        <v>55.0</v>
      </c>
    </row>
    <row r="17547">
      <c r="A17547" s="1" t="s">
        <v>9</v>
      </c>
      <c r="B17547" s="2">
        <v>44789.0</v>
      </c>
      <c r="C17547" s="3">
        <v>0.3396412037037037</v>
      </c>
      <c r="D17547" s="1">
        <v>12.97293</v>
      </c>
      <c r="E17547" s="1">
        <v>80.152645</v>
      </c>
      <c r="F17547" s="1">
        <v>805.0</v>
      </c>
      <c r="G17547" s="1">
        <v>42.0</v>
      </c>
    </row>
    <row r="17548">
      <c r="A17548" s="1" t="s">
        <v>8</v>
      </c>
      <c r="B17548" s="2">
        <v>44789.0</v>
      </c>
      <c r="C17548" s="3">
        <v>0.33979166666666666</v>
      </c>
      <c r="D17548" s="1">
        <v>12.971799</v>
      </c>
      <c r="E17548" s="1">
        <v>80.151342</v>
      </c>
      <c r="F17548" s="1">
        <v>805.0</v>
      </c>
      <c r="G17548" s="1">
        <v>25.0</v>
      </c>
    </row>
    <row r="17549">
      <c r="A17549" s="1" t="s">
        <v>7</v>
      </c>
      <c r="B17549" s="2">
        <v>44789.0</v>
      </c>
      <c r="C17549" s="3">
        <v>0.3398611111111111</v>
      </c>
      <c r="D17549" s="1">
        <v>12.823098</v>
      </c>
      <c r="E17549" s="1">
        <v>80.038829</v>
      </c>
      <c r="F17549" s="1">
        <v>2846.0</v>
      </c>
      <c r="G17549" s="1">
        <v>55.0</v>
      </c>
    </row>
    <row r="17550">
      <c r="A17550" s="1" t="s">
        <v>7</v>
      </c>
      <c r="B17550" s="2">
        <v>44789.0</v>
      </c>
      <c r="C17550" s="3">
        <v>0.33989583333333334</v>
      </c>
      <c r="D17550" s="1">
        <v>12.924527</v>
      </c>
      <c r="E17550" s="1">
        <v>80.115718</v>
      </c>
      <c r="F17550" s="1">
        <v>5339.0</v>
      </c>
      <c r="G17550" s="1">
        <v>52.0</v>
      </c>
    </row>
    <row r="17551">
      <c r="A17551" s="1" t="s">
        <v>8</v>
      </c>
      <c r="B17551" s="2">
        <v>44789.0</v>
      </c>
      <c r="C17551" s="3">
        <v>0.3401851851851852</v>
      </c>
      <c r="D17551" s="1">
        <v>12.969414</v>
      </c>
      <c r="E17551" s="1">
        <v>80.150148</v>
      </c>
      <c r="F17551" s="1">
        <v>805.0</v>
      </c>
      <c r="G17551" s="1">
        <v>37.0</v>
      </c>
    </row>
    <row r="17552">
      <c r="A17552" s="1" t="s">
        <v>7</v>
      </c>
      <c r="B17552" s="2">
        <v>44789.0</v>
      </c>
      <c r="C17552" s="3">
        <v>0.34019675925925924</v>
      </c>
      <c r="D17552" s="1">
        <v>12.922534</v>
      </c>
      <c r="E17552" s="1">
        <v>80.113752</v>
      </c>
      <c r="F17552" s="1">
        <v>5339.0</v>
      </c>
      <c r="G17552" s="1">
        <v>58.0</v>
      </c>
    </row>
    <row r="17553">
      <c r="A17553" s="1" t="s">
        <v>8</v>
      </c>
      <c r="B17553" s="2">
        <v>44789.0</v>
      </c>
      <c r="C17553" s="3">
        <v>0.34025462962962966</v>
      </c>
      <c r="D17553" s="1">
        <v>12.828652</v>
      </c>
      <c r="E17553" s="1">
        <v>80.043471</v>
      </c>
      <c r="F17553" s="1">
        <v>2846.0</v>
      </c>
      <c r="G17553" s="1">
        <v>58.0</v>
      </c>
    </row>
    <row r="17554">
      <c r="A17554" s="1" t="s">
        <v>8</v>
      </c>
      <c r="B17554" s="2">
        <v>44789.0</v>
      </c>
      <c r="C17554" s="3">
        <v>0.34032407407407406</v>
      </c>
      <c r="D17554" s="1">
        <v>12.921522</v>
      </c>
      <c r="E17554" s="1">
        <v>80.11273</v>
      </c>
      <c r="F17554" s="1">
        <v>5339.0</v>
      </c>
      <c r="G17554" s="1">
        <v>51.0</v>
      </c>
    </row>
    <row r="17555">
      <c r="A17555" s="1" t="s">
        <v>8</v>
      </c>
      <c r="B17555" s="2">
        <v>44789.0</v>
      </c>
      <c r="C17555" s="3">
        <v>0.3407523148148148</v>
      </c>
      <c r="D17555" s="1">
        <v>12.966364</v>
      </c>
      <c r="E17555" s="1">
        <v>80.148764</v>
      </c>
      <c r="F17555" s="1">
        <v>805.0</v>
      </c>
      <c r="G17555" s="1">
        <v>28.0</v>
      </c>
    </row>
    <row r="17556">
      <c r="A17556" s="1" t="s">
        <v>8</v>
      </c>
      <c r="B17556" s="2">
        <v>44789.0</v>
      </c>
      <c r="C17556" s="3">
        <v>0.34091435185185187</v>
      </c>
      <c r="D17556" s="1">
        <v>12.964637</v>
      </c>
      <c r="E17556" s="1">
        <v>80.147835</v>
      </c>
      <c r="F17556" s="1">
        <v>805.0</v>
      </c>
      <c r="G17556" s="1">
        <v>43.0</v>
      </c>
    </row>
    <row r="17557">
      <c r="A17557" s="1" t="s">
        <v>7</v>
      </c>
      <c r="B17557" s="2">
        <v>44789.0</v>
      </c>
      <c r="C17557" s="3">
        <v>0.3412384259259259</v>
      </c>
      <c r="D17557" s="1">
        <v>12.96099</v>
      </c>
      <c r="E17557" s="1">
        <v>80.145812</v>
      </c>
      <c r="F17557" s="1">
        <v>805.0</v>
      </c>
      <c r="G17557" s="1">
        <v>58.0</v>
      </c>
    </row>
    <row r="17558">
      <c r="A17558" s="1" t="s">
        <v>7</v>
      </c>
      <c r="B17558" s="2">
        <v>44789.0</v>
      </c>
      <c r="C17558" s="3">
        <v>0.3413310185185185</v>
      </c>
      <c r="D17558" s="1">
        <v>12.833266</v>
      </c>
      <c r="E17558" s="1">
        <v>80.048351</v>
      </c>
      <c r="F17558" s="1">
        <v>2846.0</v>
      </c>
      <c r="G17558" s="1">
        <v>59.0</v>
      </c>
    </row>
    <row r="17559">
      <c r="A17559" s="1" t="s">
        <v>8</v>
      </c>
      <c r="B17559" s="2">
        <v>44789.0</v>
      </c>
      <c r="C17559" s="3">
        <v>0.3414583333333333</v>
      </c>
      <c r="D17559" s="1">
        <v>12.959736</v>
      </c>
      <c r="E17559" s="1">
        <v>80.145154</v>
      </c>
      <c r="F17559" s="1">
        <v>805.0</v>
      </c>
      <c r="G17559" s="1">
        <v>51.0</v>
      </c>
    </row>
    <row r="17560">
      <c r="A17560" s="1" t="s">
        <v>8</v>
      </c>
      <c r="B17560" s="2">
        <v>44789.0</v>
      </c>
      <c r="C17560" s="3">
        <v>0.3416087962962963</v>
      </c>
      <c r="D17560" s="1">
        <v>12.957816</v>
      </c>
      <c r="E17560" s="1">
        <v>80.144092</v>
      </c>
      <c r="F17560" s="1">
        <v>805.0</v>
      </c>
      <c r="G17560" s="1">
        <v>32.0</v>
      </c>
    </row>
    <row r="17561">
      <c r="A17561" s="1" t="s">
        <v>8</v>
      </c>
      <c r="B17561" s="2">
        <v>44789.0</v>
      </c>
      <c r="C17561" s="3">
        <v>0.3416550925925926</v>
      </c>
      <c r="D17561" s="1">
        <v>12.922091</v>
      </c>
      <c r="E17561" s="1">
        <v>80.16389</v>
      </c>
      <c r="F17561" s="1">
        <v>3143.0</v>
      </c>
      <c r="G17561" s="1">
        <v>33.0</v>
      </c>
    </row>
    <row r="17562">
      <c r="A17562" s="1" t="s">
        <v>8</v>
      </c>
      <c r="B17562" s="2">
        <v>44789.0</v>
      </c>
      <c r="C17562" s="3">
        <v>0.3416550925925926</v>
      </c>
      <c r="D17562" s="1">
        <v>12.912605</v>
      </c>
      <c r="E17562" s="1">
        <v>80.101549</v>
      </c>
      <c r="F17562" s="1">
        <v>5339.0</v>
      </c>
      <c r="G17562" s="1">
        <v>34.0</v>
      </c>
    </row>
    <row r="17563">
      <c r="A17563" s="1" t="s">
        <v>8</v>
      </c>
      <c r="B17563" s="2">
        <v>44789.0</v>
      </c>
      <c r="C17563" s="3">
        <v>0.3420486111111111</v>
      </c>
      <c r="D17563" s="1">
        <v>12.955732</v>
      </c>
      <c r="E17563" s="1">
        <v>80.143023</v>
      </c>
      <c r="F17563" s="1">
        <v>805.0</v>
      </c>
      <c r="G17563" s="1">
        <v>39.0</v>
      </c>
    </row>
    <row r="17564">
      <c r="A17564" s="1" t="s">
        <v>8</v>
      </c>
      <c r="B17564" s="2">
        <v>44789.0</v>
      </c>
      <c r="C17564" s="3">
        <v>0.3422685185185185</v>
      </c>
      <c r="D17564" s="1">
        <v>12.90904</v>
      </c>
      <c r="E17564" s="1">
        <v>80.098834</v>
      </c>
      <c r="F17564" s="1">
        <v>5339.0</v>
      </c>
      <c r="G17564" s="1">
        <v>31.0</v>
      </c>
    </row>
    <row r="17565">
      <c r="A17565" s="1" t="s">
        <v>8</v>
      </c>
      <c r="B17565" s="2">
        <v>44789.0</v>
      </c>
      <c r="C17565" s="3">
        <v>0.3423263888888889</v>
      </c>
      <c r="D17565" s="1">
        <v>12.90861</v>
      </c>
      <c r="E17565" s="1">
        <v>80.098281</v>
      </c>
      <c r="F17565" s="1">
        <v>5339.0</v>
      </c>
      <c r="G17565" s="1">
        <v>30.0</v>
      </c>
    </row>
    <row r="17566">
      <c r="A17566" s="1" t="s">
        <v>8</v>
      </c>
      <c r="B17566" s="2">
        <v>44789.0</v>
      </c>
      <c r="C17566" s="3">
        <v>0.342337962962963</v>
      </c>
      <c r="D17566" s="1">
        <v>12.90861</v>
      </c>
      <c r="E17566" s="1">
        <v>80.098281</v>
      </c>
      <c r="F17566" s="1">
        <v>5339.0</v>
      </c>
      <c r="G17566" s="1">
        <v>30.0</v>
      </c>
    </row>
    <row r="17567">
      <c r="A17567" s="1" t="s">
        <v>8</v>
      </c>
      <c r="B17567" s="2">
        <v>44789.0</v>
      </c>
      <c r="C17567" s="3">
        <v>0.3426851851851852</v>
      </c>
      <c r="D17567" s="1">
        <v>12.842059</v>
      </c>
      <c r="E17567" s="1">
        <v>80.057546</v>
      </c>
      <c r="F17567" s="1">
        <v>2846.0</v>
      </c>
      <c r="G17567" s="1">
        <v>49.0</v>
      </c>
    </row>
    <row r="17568">
      <c r="A17568" s="1" t="s">
        <v>8</v>
      </c>
      <c r="B17568" s="2">
        <v>44789.0</v>
      </c>
      <c r="C17568" s="3">
        <v>0.3431134259259259</v>
      </c>
      <c r="D17568" s="1">
        <v>12.922714</v>
      </c>
      <c r="E17568" s="1">
        <v>80.152154</v>
      </c>
      <c r="F17568" s="1">
        <v>3143.0</v>
      </c>
      <c r="G17568" s="1">
        <v>0.0</v>
      </c>
    </row>
    <row r="17569">
      <c r="A17569" s="1" t="s">
        <v>8</v>
      </c>
      <c r="B17569" s="2">
        <v>44789.0</v>
      </c>
      <c r="C17569" s="3">
        <v>0.34322916666666664</v>
      </c>
      <c r="D17569" s="1">
        <v>12.950256</v>
      </c>
      <c r="E17569" s="1">
        <v>80.139449</v>
      </c>
      <c r="F17569" s="1">
        <v>805.0</v>
      </c>
      <c r="G17569" s="1">
        <v>32.0</v>
      </c>
    </row>
    <row r="17570">
      <c r="A17570" s="1" t="s">
        <v>8</v>
      </c>
      <c r="B17570" s="2">
        <v>44789.0</v>
      </c>
      <c r="C17570" s="3">
        <v>0.34346064814814814</v>
      </c>
      <c r="D17570" s="1">
        <v>12.948682</v>
      </c>
      <c r="E17570" s="1">
        <v>80.138168</v>
      </c>
      <c r="F17570" s="1">
        <v>805.0</v>
      </c>
      <c r="G17570" s="1">
        <v>40.0</v>
      </c>
    </row>
    <row r="17571">
      <c r="A17571" s="1" t="s">
        <v>8</v>
      </c>
      <c r="B17571" s="2">
        <v>44789.0</v>
      </c>
      <c r="C17571" s="3">
        <v>0.3439699074074074</v>
      </c>
      <c r="D17571" s="1">
        <v>12.94556</v>
      </c>
      <c r="E17571" s="1">
        <v>80.135865</v>
      </c>
      <c r="F17571" s="1">
        <v>805.0</v>
      </c>
      <c r="G17571" s="1">
        <v>49.0</v>
      </c>
    </row>
    <row r="17572">
      <c r="A17572" s="1" t="s">
        <v>8</v>
      </c>
      <c r="B17572" s="2">
        <v>44789.0</v>
      </c>
      <c r="C17572" s="3">
        <v>0.3439699074074074</v>
      </c>
      <c r="D17572" s="1">
        <v>12.94556</v>
      </c>
      <c r="E17572" s="1">
        <v>80.135865</v>
      </c>
      <c r="F17572" s="1">
        <v>805.0</v>
      </c>
      <c r="G17572" s="1">
        <v>49.0</v>
      </c>
    </row>
    <row r="17573">
      <c r="A17573" s="1" t="s">
        <v>8</v>
      </c>
      <c r="B17573" s="2">
        <v>44789.0</v>
      </c>
      <c r="C17573" s="3">
        <v>0.3439814814814815</v>
      </c>
      <c r="D17573" s="1">
        <v>12.94556</v>
      </c>
      <c r="E17573" s="1">
        <v>80.135865</v>
      </c>
      <c r="F17573" s="1">
        <v>805.0</v>
      </c>
      <c r="G17573" s="1">
        <v>49.0</v>
      </c>
    </row>
    <row r="17574">
      <c r="A17574" s="1" t="s">
        <v>8</v>
      </c>
      <c r="B17574" s="2">
        <v>44789.0</v>
      </c>
      <c r="C17574" s="3">
        <v>0.3440972222222222</v>
      </c>
      <c r="D17574" s="1">
        <v>12.846427</v>
      </c>
      <c r="E17574" s="1">
        <v>80.061959</v>
      </c>
      <c r="F17574" s="1">
        <v>2846.0</v>
      </c>
      <c r="G17574" s="1">
        <v>48.0</v>
      </c>
    </row>
    <row r="17575">
      <c r="A17575" s="1" t="s">
        <v>8</v>
      </c>
      <c r="B17575" s="2">
        <v>44789.0</v>
      </c>
      <c r="C17575" s="3">
        <v>0.34414351851851854</v>
      </c>
      <c r="D17575" s="1">
        <v>12.922528</v>
      </c>
      <c r="E17575" s="1">
        <v>80.147759</v>
      </c>
      <c r="F17575" s="1">
        <v>3143.0</v>
      </c>
      <c r="G17575" s="1">
        <v>0.0</v>
      </c>
    </row>
    <row r="17576">
      <c r="A17576" s="1" t="s">
        <v>8</v>
      </c>
      <c r="B17576" s="2">
        <v>44789.0</v>
      </c>
      <c r="C17576" s="3">
        <v>0.34421296296296294</v>
      </c>
      <c r="D17576" s="1">
        <v>12.900888</v>
      </c>
      <c r="E17576" s="1">
        <v>80.092185</v>
      </c>
      <c r="F17576" s="1">
        <v>5339.0</v>
      </c>
      <c r="G17576" s="1">
        <v>41.0</v>
      </c>
    </row>
    <row r="17577">
      <c r="A17577" s="1" t="s">
        <v>8</v>
      </c>
      <c r="B17577" s="2">
        <v>44789.0</v>
      </c>
      <c r="C17577" s="3">
        <v>0.34434027777777776</v>
      </c>
      <c r="D17577" s="1">
        <v>12.922535</v>
      </c>
      <c r="E17577" s="1">
        <v>80.147221</v>
      </c>
      <c r="F17577" s="1">
        <v>3143.0</v>
      </c>
      <c r="G17577" s="1">
        <v>27.0</v>
      </c>
    </row>
    <row r="17578">
      <c r="A17578" s="1" t="s">
        <v>8</v>
      </c>
      <c r="B17578" s="2">
        <v>44789.0</v>
      </c>
      <c r="C17578" s="3">
        <v>0.34445601851851854</v>
      </c>
      <c r="D17578" s="1">
        <v>12.898961</v>
      </c>
      <c r="E17578" s="1">
        <v>80.090732</v>
      </c>
      <c r="F17578" s="1">
        <v>5339.0</v>
      </c>
      <c r="G17578" s="1">
        <v>48.0</v>
      </c>
    </row>
    <row r="17579">
      <c r="A17579" s="1" t="s">
        <v>7</v>
      </c>
      <c r="B17579" s="2">
        <v>44789.0</v>
      </c>
      <c r="C17579" s="3">
        <v>0.3447222222222222</v>
      </c>
      <c r="D17579" s="1">
        <v>12.853158</v>
      </c>
      <c r="E17579" s="1">
        <v>80.06692</v>
      </c>
      <c r="F17579" s="1">
        <v>2846.0</v>
      </c>
      <c r="G17579" s="1">
        <v>57.0</v>
      </c>
    </row>
    <row r="17580">
      <c r="A17580" s="1" t="s">
        <v>8</v>
      </c>
      <c r="B17580" s="2">
        <v>44789.0</v>
      </c>
      <c r="C17580" s="3">
        <v>0.3449189814814815</v>
      </c>
      <c r="D17580" s="1">
        <v>12.942371</v>
      </c>
      <c r="E17580" s="1">
        <v>80.133163</v>
      </c>
      <c r="F17580" s="1">
        <v>805.0</v>
      </c>
      <c r="G17580" s="1">
        <v>20.0</v>
      </c>
    </row>
    <row r="17581">
      <c r="A17581" s="1" t="s">
        <v>7</v>
      </c>
      <c r="B17581" s="2">
        <v>44789.0</v>
      </c>
      <c r="C17581" s="3">
        <v>0.34511574074074075</v>
      </c>
      <c r="D17581" s="1">
        <v>12.856324</v>
      </c>
      <c r="E17581" s="1">
        <v>80.069293</v>
      </c>
      <c r="F17581" s="1">
        <v>2846.0</v>
      </c>
      <c r="G17581" s="1">
        <v>48.0</v>
      </c>
    </row>
    <row r="17582">
      <c r="A17582" s="1" t="s">
        <v>8</v>
      </c>
      <c r="B17582" s="2">
        <v>44789.0</v>
      </c>
      <c r="C17582" s="3">
        <v>0.3451388888888889</v>
      </c>
      <c r="D17582" s="1">
        <v>12.896443</v>
      </c>
      <c r="E17582" s="1">
        <v>80.088849</v>
      </c>
      <c r="F17582" s="1">
        <v>5339.0</v>
      </c>
      <c r="G17582" s="1">
        <v>21.0</v>
      </c>
    </row>
    <row r="17583">
      <c r="A17583" s="1" t="s">
        <v>8</v>
      </c>
      <c r="B17583" s="2">
        <v>44789.0</v>
      </c>
      <c r="C17583" s="3">
        <v>0.3452777777777778</v>
      </c>
      <c r="D17583" s="1">
        <v>12.940481</v>
      </c>
      <c r="E17583" s="1">
        <v>80.131096</v>
      </c>
      <c r="F17583" s="1">
        <v>805.0</v>
      </c>
      <c r="G17583" s="1">
        <v>46.0</v>
      </c>
    </row>
    <row r="17584">
      <c r="A17584" s="1" t="s">
        <v>8</v>
      </c>
      <c r="B17584" s="2">
        <v>44789.0</v>
      </c>
      <c r="C17584" s="3">
        <v>0.3462037037037037</v>
      </c>
      <c r="D17584" s="1">
        <v>12.936162</v>
      </c>
      <c r="E17584" s="1">
        <v>80.127318</v>
      </c>
      <c r="F17584" s="1">
        <v>805.0</v>
      </c>
      <c r="G17584" s="1">
        <v>9.0</v>
      </c>
    </row>
    <row r="17585">
      <c r="A17585" s="1" t="s">
        <v>7</v>
      </c>
      <c r="B17585" s="2">
        <v>44789.0</v>
      </c>
      <c r="C17585" s="3">
        <v>0.3464351851851852</v>
      </c>
      <c r="D17585" s="1">
        <v>12.93389</v>
      </c>
      <c r="E17585" s="1">
        <v>80.125152</v>
      </c>
      <c r="F17585" s="1">
        <v>805.0</v>
      </c>
      <c r="G17585" s="1">
        <v>57.0</v>
      </c>
    </row>
    <row r="17586">
      <c r="A17586" s="1" t="s">
        <v>8</v>
      </c>
      <c r="B17586" s="2">
        <v>44789.0</v>
      </c>
      <c r="C17586" s="3">
        <v>0.34651620370370373</v>
      </c>
      <c r="D17586" s="1">
        <v>12.93389</v>
      </c>
      <c r="E17586" s="1">
        <v>80.125152</v>
      </c>
      <c r="F17586" s="1">
        <v>805.0</v>
      </c>
      <c r="G17586" s="1">
        <v>57.0</v>
      </c>
    </row>
    <row r="17587">
      <c r="A17587" s="1" t="s">
        <v>8</v>
      </c>
      <c r="B17587" s="2">
        <v>44789.0</v>
      </c>
      <c r="C17587" s="3">
        <v>0.3468287037037037</v>
      </c>
      <c r="D17587" s="1">
        <v>12.93075</v>
      </c>
      <c r="E17587" s="1">
        <v>80.122058</v>
      </c>
      <c r="F17587" s="1">
        <v>805.0</v>
      </c>
      <c r="G17587" s="1">
        <v>46.0</v>
      </c>
    </row>
    <row r="17588">
      <c r="A17588" s="1" t="s">
        <v>8</v>
      </c>
      <c r="B17588" s="2">
        <v>44789.0</v>
      </c>
      <c r="C17588" s="3">
        <v>0.3471296296296296</v>
      </c>
      <c r="D17588" s="1">
        <v>12.866048</v>
      </c>
      <c r="E17588" s="1">
        <v>80.074853</v>
      </c>
      <c r="F17588" s="1">
        <v>2846.0</v>
      </c>
      <c r="G17588" s="1">
        <v>45.0</v>
      </c>
    </row>
    <row r="17589">
      <c r="A17589" s="1" t="s">
        <v>8</v>
      </c>
      <c r="B17589" s="2">
        <v>44789.0</v>
      </c>
      <c r="C17589" s="3">
        <v>0.34724537037037034</v>
      </c>
      <c r="D17589" s="1">
        <v>12.928181</v>
      </c>
      <c r="E17589" s="1">
        <v>80.119401</v>
      </c>
      <c r="F17589" s="1">
        <v>805.0</v>
      </c>
      <c r="G17589" s="1">
        <v>53.0</v>
      </c>
    </row>
    <row r="17590">
      <c r="A17590" s="1" t="s">
        <v>8</v>
      </c>
      <c r="B17590" s="2">
        <v>44789.0</v>
      </c>
      <c r="C17590" s="3">
        <v>0.3473148148148148</v>
      </c>
      <c r="D17590" s="1">
        <v>12.928181</v>
      </c>
      <c r="E17590" s="1">
        <v>80.119401</v>
      </c>
      <c r="F17590" s="1">
        <v>805.0</v>
      </c>
      <c r="G17590" s="1">
        <v>53.0</v>
      </c>
    </row>
    <row r="17591">
      <c r="A17591" s="1" t="s">
        <v>8</v>
      </c>
      <c r="B17591" s="2">
        <v>44789.0</v>
      </c>
      <c r="C17591" s="3">
        <v>0.3475810185185185</v>
      </c>
      <c r="D17591" s="1">
        <v>12.878726</v>
      </c>
      <c r="E17591" s="1">
        <v>80.081463</v>
      </c>
      <c r="F17591" s="1">
        <v>5339.0</v>
      </c>
      <c r="G17591" s="1">
        <v>25.0</v>
      </c>
    </row>
    <row r="17592">
      <c r="A17592" s="1" t="s">
        <v>8</v>
      </c>
      <c r="B17592" s="2">
        <v>44789.0</v>
      </c>
      <c r="C17592" s="3">
        <v>0.3475925925925926</v>
      </c>
      <c r="D17592" s="1">
        <v>12.878726</v>
      </c>
      <c r="E17592" s="1">
        <v>80.081463</v>
      </c>
      <c r="F17592" s="1">
        <v>5339.0</v>
      </c>
      <c r="G17592" s="1">
        <v>25.0</v>
      </c>
    </row>
    <row r="17593">
      <c r="A17593" s="1" t="s">
        <v>7</v>
      </c>
      <c r="B17593" s="2">
        <v>44789.0</v>
      </c>
      <c r="C17593" s="3">
        <v>0.34769675925925925</v>
      </c>
      <c r="D17593" s="1">
        <v>12.925789</v>
      </c>
      <c r="E17593" s="1">
        <v>80.116995</v>
      </c>
      <c r="F17593" s="1">
        <v>805.0</v>
      </c>
      <c r="G17593" s="1">
        <v>49.0</v>
      </c>
    </row>
    <row r="17594">
      <c r="A17594" s="1" t="s">
        <v>8</v>
      </c>
      <c r="B17594" s="2">
        <v>44789.0</v>
      </c>
      <c r="C17594" s="3">
        <v>0.3477199074074074</v>
      </c>
      <c r="D17594" s="1">
        <v>12.873588</v>
      </c>
      <c r="E17594" s="1">
        <v>80.077802</v>
      </c>
      <c r="F17594" s="1">
        <v>2846.0</v>
      </c>
      <c r="G17594" s="1">
        <v>48.0</v>
      </c>
    </row>
    <row r="17595">
      <c r="A17595" s="1" t="s">
        <v>9</v>
      </c>
      <c r="B17595" s="2">
        <v>44789.0</v>
      </c>
      <c r="C17595" s="3">
        <v>0.3477546296296296</v>
      </c>
      <c r="D17595" s="1">
        <v>12.87692</v>
      </c>
      <c r="E17595" s="1">
        <v>80.079121</v>
      </c>
      <c r="F17595" s="1">
        <v>2846.0</v>
      </c>
      <c r="G17595" s="1">
        <v>56.0</v>
      </c>
    </row>
    <row r="17596">
      <c r="A17596" s="1" t="s">
        <v>8</v>
      </c>
      <c r="B17596" s="2">
        <v>44789.0</v>
      </c>
      <c r="C17596" s="3">
        <v>0.34791666666666665</v>
      </c>
      <c r="D17596" s="1">
        <v>12.92344</v>
      </c>
      <c r="E17596" s="1">
        <v>80.114658</v>
      </c>
      <c r="F17596" s="1">
        <v>805.0</v>
      </c>
      <c r="G17596" s="1">
        <v>51.0</v>
      </c>
    </row>
    <row r="17597">
      <c r="A17597" s="1" t="s">
        <v>8</v>
      </c>
      <c r="B17597" s="2">
        <v>44789.0</v>
      </c>
      <c r="C17597" s="3">
        <v>0.3480787037037037</v>
      </c>
      <c r="D17597" s="1">
        <v>12.921613</v>
      </c>
      <c r="E17597" s="1">
        <v>80.112831</v>
      </c>
      <c r="F17597" s="1">
        <v>805.0</v>
      </c>
      <c r="G17597" s="1">
        <v>51.0</v>
      </c>
    </row>
    <row r="17598">
      <c r="A17598" s="1" t="s">
        <v>10</v>
      </c>
      <c r="B17598" s="2">
        <v>44789.0</v>
      </c>
      <c r="C17598" s="3">
        <v>0.34815972222222225</v>
      </c>
      <c r="D17598" s="1">
        <v>12.87753</v>
      </c>
      <c r="E17598" s="1">
        <v>80.084718</v>
      </c>
      <c r="F17598" s="1">
        <v>5339.0</v>
      </c>
      <c r="G17598" s="1">
        <v>8.0</v>
      </c>
    </row>
    <row r="17599">
      <c r="A17599" s="1" t="s">
        <v>8</v>
      </c>
      <c r="B17599" s="2">
        <v>44789.0</v>
      </c>
      <c r="C17599" s="3">
        <v>0.3482638888888889</v>
      </c>
      <c r="D17599" s="1">
        <v>12.920955</v>
      </c>
      <c r="E17599" s="1">
        <v>80.11217</v>
      </c>
      <c r="F17599" s="1">
        <v>805.0</v>
      </c>
      <c r="G17599" s="1">
        <v>36.0</v>
      </c>
    </row>
    <row r="17600">
      <c r="A17600" s="1" t="s">
        <v>7</v>
      </c>
      <c r="B17600" s="2">
        <v>44789.0</v>
      </c>
      <c r="C17600" s="3">
        <v>0.3486342592592593</v>
      </c>
      <c r="D17600" s="1">
        <v>12.917396</v>
      </c>
      <c r="E17600" s="1">
        <v>80.107848</v>
      </c>
      <c r="F17600" s="1">
        <v>805.0</v>
      </c>
      <c r="G17600" s="1">
        <v>58.0</v>
      </c>
    </row>
    <row r="17601">
      <c r="A17601" s="1" t="s">
        <v>9</v>
      </c>
      <c r="B17601" s="2">
        <v>44789.0</v>
      </c>
      <c r="C17601" s="3">
        <v>0.3492013888888889</v>
      </c>
      <c r="D17601" s="1">
        <v>12.914508</v>
      </c>
      <c r="E17601" s="1">
        <v>80.102728</v>
      </c>
      <c r="F17601" s="1">
        <v>805.0</v>
      </c>
      <c r="G17601" s="1">
        <v>52.0</v>
      </c>
    </row>
    <row r="17602">
      <c r="A17602" s="1" t="s">
        <v>8</v>
      </c>
      <c r="B17602" s="2">
        <v>44789.0</v>
      </c>
      <c r="C17602" s="3">
        <v>0.3503935185185185</v>
      </c>
      <c r="D17602" s="1">
        <v>12.923306</v>
      </c>
      <c r="E17602" s="1">
        <v>80.119877</v>
      </c>
      <c r="F17602" s="1">
        <v>3143.0</v>
      </c>
      <c r="G17602" s="1">
        <v>43.0</v>
      </c>
    </row>
    <row r="17603">
      <c r="A17603" s="1" t="s">
        <v>9</v>
      </c>
      <c r="B17603" s="2">
        <v>44789.0</v>
      </c>
      <c r="C17603" s="3">
        <v>0.35053240740740743</v>
      </c>
      <c r="D17603" s="1">
        <v>12.907802</v>
      </c>
      <c r="E17603" s="1">
        <v>80.097573</v>
      </c>
      <c r="F17603" s="1">
        <v>805.0</v>
      </c>
      <c r="G17603" s="1">
        <v>26.0</v>
      </c>
    </row>
    <row r="17604">
      <c r="A17604" s="1" t="s">
        <v>8</v>
      </c>
      <c r="B17604" s="2">
        <v>44789.0</v>
      </c>
      <c r="C17604" s="3">
        <v>0.35078703703703706</v>
      </c>
      <c r="D17604" s="1">
        <v>12.90663</v>
      </c>
      <c r="E17604" s="1">
        <v>80.096674</v>
      </c>
      <c r="F17604" s="1">
        <v>805.0</v>
      </c>
      <c r="G17604" s="1">
        <v>22.0</v>
      </c>
    </row>
    <row r="17605">
      <c r="A17605" s="1" t="s">
        <v>8</v>
      </c>
      <c r="B17605" s="2">
        <v>44789.0</v>
      </c>
      <c r="C17605" s="3">
        <v>0.3508101851851852</v>
      </c>
      <c r="D17605" s="1">
        <v>12.90663</v>
      </c>
      <c r="E17605" s="1">
        <v>80.096674</v>
      </c>
      <c r="F17605" s="1">
        <v>805.0</v>
      </c>
      <c r="G17605" s="1">
        <v>22.0</v>
      </c>
    </row>
    <row r="17606">
      <c r="A17606" s="1" t="s">
        <v>7</v>
      </c>
      <c r="B17606" s="2">
        <v>44789.0</v>
      </c>
      <c r="C17606" s="3">
        <v>0.3515162037037037</v>
      </c>
      <c r="D17606" s="1">
        <v>12.921205</v>
      </c>
      <c r="E17606" s="1">
        <v>80.112511</v>
      </c>
      <c r="F17606" s="1">
        <v>3143.0</v>
      </c>
      <c r="G17606" s="1">
        <v>42.0</v>
      </c>
    </row>
    <row r="17607">
      <c r="A17607" s="1" t="s">
        <v>7</v>
      </c>
      <c r="B17607" s="2">
        <v>44789.0</v>
      </c>
      <c r="C17607" s="3">
        <v>0.35163194444444446</v>
      </c>
      <c r="D17607" s="1">
        <v>12.921205</v>
      </c>
      <c r="E17607" s="1">
        <v>80.112511</v>
      </c>
      <c r="F17607" s="1">
        <v>3143.0</v>
      </c>
      <c r="G17607" s="1">
        <v>42.0</v>
      </c>
    </row>
    <row r="17608">
      <c r="A17608" s="1" t="s">
        <v>8</v>
      </c>
      <c r="B17608" s="2">
        <v>44789.0</v>
      </c>
      <c r="C17608" s="3">
        <v>0.351875</v>
      </c>
      <c r="D17608" s="1">
        <v>12.901862</v>
      </c>
      <c r="E17608" s="1">
        <v>80.092967</v>
      </c>
      <c r="F17608" s="1">
        <v>805.0</v>
      </c>
      <c r="G17608" s="1">
        <v>40.0</v>
      </c>
    </row>
    <row r="17609">
      <c r="A17609" s="1" t="s">
        <v>8</v>
      </c>
      <c r="B17609" s="2">
        <v>44789.0</v>
      </c>
      <c r="C17609" s="3">
        <v>0.3519907407407407</v>
      </c>
      <c r="D17609" s="1">
        <v>12.899855</v>
      </c>
      <c r="E17609" s="1">
        <v>80.091456</v>
      </c>
      <c r="F17609" s="1">
        <v>805.0</v>
      </c>
      <c r="G17609" s="1">
        <v>55.0</v>
      </c>
    </row>
    <row r="17610">
      <c r="A17610" s="1" t="s">
        <v>7</v>
      </c>
      <c r="B17610" s="2">
        <v>44789.0</v>
      </c>
      <c r="C17610" s="3">
        <v>0.3525347222222222</v>
      </c>
      <c r="D17610" s="1">
        <v>12.895956</v>
      </c>
      <c r="E17610" s="1">
        <v>80.088478</v>
      </c>
      <c r="F17610" s="1">
        <v>805.0</v>
      </c>
      <c r="G17610" s="1">
        <v>45.0</v>
      </c>
    </row>
    <row r="17611">
      <c r="A17611" s="1" t="s">
        <v>7</v>
      </c>
      <c r="B17611" s="2">
        <v>44789.0</v>
      </c>
      <c r="C17611" s="3">
        <v>0.3528125</v>
      </c>
      <c r="D17611" s="1">
        <v>12.89256</v>
      </c>
      <c r="E17611" s="1">
        <v>80.085952</v>
      </c>
      <c r="F17611" s="1">
        <v>805.0</v>
      </c>
      <c r="G17611" s="1">
        <v>54.0</v>
      </c>
    </row>
    <row r="17612">
      <c r="A17612" s="1" t="s">
        <v>7</v>
      </c>
      <c r="B17612" s="2">
        <v>44789.0</v>
      </c>
      <c r="C17612" s="3">
        <v>0.3528472222222222</v>
      </c>
      <c r="D17612" s="1">
        <v>12.91561</v>
      </c>
      <c r="E17612" s="1">
        <v>80.104652</v>
      </c>
      <c r="F17612" s="1">
        <v>3143.0</v>
      </c>
      <c r="G17612" s="1">
        <v>52.0</v>
      </c>
    </row>
    <row r="17613">
      <c r="A17613" s="1" t="s">
        <v>8</v>
      </c>
      <c r="B17613" s="2">
        <v>44789.0</v>
      </c>
      <c r="C17613" s="3">
        <v>0.3534953703703704</v>
      </c>
      <c r="D17613" s="1">
        <v>12.884656</v>
      </c>
      <c r="E17613" s="1">
        <v>80.082424</v>
      </c>
      <c r="F17613" s="1">
        <v>805.0</v>
      </c>
      <c r="G17613" s="1">
        <v>44.0</v>
      </c>
    </row>
    <row r="17614">
      <c r="A17614" s="1" t="s">
        <v>8</v>
      </c>
      <c r="B17614" s="2">
        <v>44789.0</v>
      </c>
      <c r="C17614" s="3">
        <v>0.3535300925925926</v>
      </c>
      <c r="D17614" s="1">
        <v>12.884656</v>
      </c>
      <c r="E17614" s="1">
        <v>80.082424</v>
      </c>
      <c r="F17614" s="1">
        <v>805.0</v>
      </c>
      <c r="G17614" s="1">
        <v>44.0</v>
      </c>
    </row>
    <row r="17615">
      <c r="A17615" s="1" t="s">
        <v>8</v>
      </c>
      <c r="B17615" s="2">
        <v>44789.0</v>
      </c>
      <c r="C17615" s="3">
        <v>0.3538425925925926</v>
      </c>
      <c r="D17615" s="1">
        <v>12.909269</v>
      </c>
      <c r="E17615" s="1">
        <v>80.099207</v>
      </c>
      <c r="F17615" s="1">
        <v>3143.0</v>
      </c>
      <c r="G17615" s="1">
        <v>22.0</v>
      </c>
    </row>
    <row r="17616">
      <c r="A17616" s="1" t="s">
        <v>8</v>
      </c>
      <c r="B17616" s="2">
        <v>44789.0</v>
      </c>
      <c r="C17616" s="3">
        <v>0.3540509259259259</v>
      </c>
      <c r="D17616" s="1">
        <v>12.908422</v>
      </c>
      <c r="E17616" s="1">
        <v>80.098136</v>
      </c>
      <c r="F17616" s="1">
        <v>3143.0</v>
      </c>
      <c r="G17616" s="1">
        <v>38.0</v>
      </c>
    </row>
    <row r="17617">
      <c r="A17617" s="1" t="s">
        <v>8</v>
      </c>
      <c r="B17617" s="2">
        <v>44789.0</v>
      </c>
      <c r="C17617" s="3">
        <v>0.3540625</v>
      </c>
      <c r="D17617" s="1">
        <v>12.908422</v>
      </c>
      <c r="E17617" s="1">
        <v>80.098136</v>
      </c>
      <c r="F17617" s="1">
        <v>3143.0</v>
      </c>
      <c r="G17617" s="1">
        <v>38.0</v>
      </c>
    </row>
    <row r="17618">
      <c r="A17618" s="1" t="s">
        <v>8</v>
      </c>
      <c r="B17618" s="2">
        <v>44789.0</v>
      </c>
      <c r="C17618" s="3">
        <v>0.3540625</v>
      </c>
      <c r="D17618" s="1">
        <v>12.880457</v>
      </c>
      <c r="E17618" s="1">
        <v>80.08084</v>
      </c>
      <c r="F17618" s="1">
        <v>805.0</v>
      </c>
      <c r="G17618" s="1">
        <v>46.0</v>
      </c>
    </row>
    <row r="17619">
      <c r="A17619" s="1" t="s">
        <v>10</v>
      </c>
      <c r="B17619" s="2">
        <v>44789.0</v>
      </c>
      <c r="C17619" s="3">
        <v>0.3542361111111111</v>
      </c>
      <c r="D17619" s="1">
        <v>12.879628</v>
      </c>
      <c r="E17619" s="1">
        <v>80.080531</v>
      </c>
      <c r="F17619" s="1">
        <v>805.0</v>
      </c>
      <c r="G17619" s="1">
        <v>9.0</v>
      </c>
    </row>
    <row r="17620">
      <c r="A17620" s="1" t="s">
        <v>8</v>
      </c>
      <c r="B17620" s="2">
        <v>44789.0</v>
      </c>
      <c r="C17620" s="3">
        <v>0.3545949074074074</v>
      </c>
      <c r="D17620" s="1">
        <v>12.905635</v>
      </c>
      <c r="E17620" s="1">
        <v>80.095909</v>
      </c>
      <c r="F17620" s="1">
        <v>3143.0</v>
      </c>
      <c r="G17620" s="1">
        <v>29.0</v>
      </c>
    </row>
    <row r="17621">
      <c r="A17621" s="1" t="s">
        <v>8</v>
      </c>
      <c r="B17621" s="2">
        <v>44789.0</v>
      </c>
      <c r="C17621" s="3">
        <v>0.35476851851851854</v>
      </c>
      <c r="D17621" s="1">
        <v>12.90392</v>
      </c>
      <c r="E17621" s="1">
        <v>80.094591</v>
      </c>
      <c r="F17621" s="1">
        <v>3143.0</v>
      </c>
      <c r="G17621" s="1">
        <v>42.0</v>
      </c>
    </row>
    <row r="17622">
      <c r="A17622" s="1" t="s">
        <v>8</v>
      </c>
      <c r="B17622" s="2">
        <v>44789.0</v>
      </c>
      <c r="C17622" s="3">
        <v>0.35518518518518516</v>
      </c>
      <c r="D17622" s="1">
        <v>12.87855</v>
      </c>
      <c r="E17622" s="1">
        <v>80.081902</v>
      </c>
      <c r="F17622" s="1">
        <v>805.0</v>
      </c>
      <c r="G17622" s="1">
        <v>41.0</v>
      </c>
    </row>
    <row r="17623">
      <c r="A17623" s="1" t="s">
        <v>8</v>
      </c>
      <c r="B17623" s="2">
        <v>44789.0</v>
      </c>
      <c r="C17623" s="3">
        <v>0.3552662037037037</v>
      </c>
      <c r="D17623" s="1">
        <v>12.878223</v>
      </c>
      <c r="E17623" s="1">
        <v>80.082906</v>
      </c>
      <c r="F17623" s="1">
        <v>805.0</v>
      </c>
      <c r="G17623" s="1">
        <v>35.0</v>
      </c>
    </row>
    <row r="17624">
      <c r="A17624" s="1" t="s">
        <v>7</v>
      </c>
      <c r="B17624" s="2">
        <v>44789.0</v>
      </c>
      <c r="C17624" s="3">
        <v>0.3557638888888889</v>
      </c>
      <c r="D17624" s="1">
        <v>12.89579</v>
      </c>
      <c r="E17624" s="1">
        <v>80.088356</v>
      </c>
      <c r="F17624" s="1">
        <v>3143.0</v>
      </c>
      <c r="G17624" s="1">
        <v>48.0</v>
      </c>
    </row>
    <row r="17625">
      <c r="A17625" s="1" t="s">
        <v>7</v>
      </c>
      <c r="B17625" s="2">
        <v>44789.0</v>
      </c>
      <c r="C17625" s="3">
        <v>0.35606481481481483</v>
      </c>
      <c r="D17625" s="1">
        <v>12.89579</v>
      </c>
      <c r="E17625" s="1">
        <v>80.088356</v>
      </c>
      <c r="F17625" s="1">
        <v>3143.0</v>
      </c>
      <c r="G17625" s="1">
        <v>48.0</v>
      </c>
    </row>
    <row r="17626">
      <c r="A17626" s="1" t="s">
        <v>10</v>
      </c>
      <c r="B17626" s="2">
        <v>44789.0</v>
      </c>
      <c r="C17626" s="3">
        <v>0.35619212962962965</v>
      </c>
      <c r="D17626" s="1">
        <v>12.876076</v>
      </c>
      <c r="E17626" s="1">
        <v>80.084101</v>
      </c>
      <c r="F17626" s="1">
        <v>805.0</v>
      </c>
      <c r="G17626" s="1">
        <v>21.0</v>
      </c>
    </row>
    <row r="17627">
      <c r="A17627" s="1" t="s">
        <v>10</v>
      </c>
      <c r="B17627" s="2">
        <v>44789.0</v>
      </c>
      <c r="C17627" s="3">
        <v>0.35627314814814814</v>
      </c>
      <c r="D17627" s="1">
        <v>12.875803</v>
      </c>
      <c r="E17627" s="1">
        <v>80.083868</v>
      </c>
      <c r="F17627" s="1">
        <v>805.0</v>
      </c>
      <c r="G17627" s="1">
        <v>12.0</v>
      </c>
    </row>
    <row r="17628">
      <c r="A17628" s="1" t="s">
        <v>8</v>
      </c>
      <c r="B17628" s="2">
        <v>44789.0</v>
      </c>
      <c r="C17628" s="3">
        <v>0.3567824074074074</v>
      </c>
      <c r="D17628" s="1">
        <v>12.88583</v>
      </c>
      <c r="E17628" s="1">
        <v>80.082923</v>
      </c>
      <c r="F17628" s="1">
        <v>3143.0</v>
      </c>
      <c r="G17628" s="1">
        <v>55.0</v>
      </c>
    </row>
    <row r="17629">
      <c r="A17629" s="1" t="s">
        <v>10</v>
      </c>
      <c r="B17629" s="2">
        <v>44789.0</v>
      </c>
      <c r="C17629" s="3">
        <v>0.3578935185185185</v>
      </c>
      <c r="D17629" s="1">
        <v>12.879142</v>
      </c>
      <c r="E17629" s="1">
        <v>80.080337</v>
      </c>
      <c r="F17629" s="1">
        <v>3143.0</v>
      </c>
      <c r="G17629" s="1">
        <v>0.0</v>
      </c>
    </row>
    <row r="17630">
      <c r="A17630" s="1" t="s">
        <v>10</v>
      </c>
      <c r="B17630" s="2">
        <v>44789.0</v>
      </c>
      <c r="C17630" s="3">
        <v>0.6353125</v>
      </c>
      <c r="D17630" s="1">
        <v>12.876042</v>
      </c>
      <c r="E17630" s="1">
        <v>80.083399</v>
      </c>
      <c r="F17630" s="1">
        <v>5339.0</v>
      </c>
      <c r="G17630" s="1">
        <v>6.0</v>
      </c>
    </row>
    <row r="17631">
      <c r="A17631" s="1" t="s">
        <v>10</v>
      </c>
      <c r="B17631" s="2">
        <v>44789.0</v>
      </c>
      <c r="C17631" s="3">
        <v>0.6877083333333334</v>
      </c>
      <c r="D17631" s="1">
        <v>12.875805</v>
      </c>
      <c r="E17631" s="1">
        <v>80.083828</v>
      </c>
      <c r="F17631" s="1">
        <v>805.0</v>
      </c>
      <c r="G17631" s="1">
        <v>0.0</v>
      </c>
    </row>
    <row r="17632">
      <c r="A17632" s="1" t="s">
        <v>8</v>
      </c>
      <c r="B17632" s="2">
        <v>44789.0</v>
      </c>
      <c r="C17632" s="3">
        <v>0.688587962962963</v>
      </c>
      <c r="D17632" s="1">
        <v>12.877729</v>
      </c>
      <c r="E17632" s="1">
        <v>80.08403</v>
      </c>
      <c r="F17632" s="1">
        <v>805.0</v>
      </c>
      <c r="G17632" s="1">
        <v>38.0</v>
      </c>
    </row>
    <row r="17633">
      <c r="A17633" s="1" t="s">
        <v>10</v>
      </c>
      <c r="B17633" s="2">
        <v>44789.0</v>
      </c>
      <c r="C17633" s="3">
        <v>0.6888657407407407</v>
      </c>
      <c r="D17633" s="1">
        <v>12.877348</v>
      </c>
      <c r="E17633" s="1">
        <v>80.084604</v>
      </c>
      <c r="F17633" s="1">
        <v>2846.0</v>
      </c>
      <c r="G17633" s="1">
        <v>15.0</v>
      </c>
    </row>
    <row r="17634">
      <c r="A17634" s="1" t="s">
        <v>10</v>
      </c>
      <c r="B17634" s="2">
        <v>44789.0</v>
      </c>
      <c r="C17634" s="3">
        <v>0.6896643518518518</v>
      </c>
      <c r="D17634" s="1">
        <v>12.878578</v>
      </c>
      <c r="E17634" s="1">
        <v>80.081634</v>
      </c>
      <c r="F17634" s="1">
        <v>3143.0</v>
      </c>
      <c r="G17634" s="1">
        <v>17.0</v>
      </c>
    </row>
    <row r="17635">
      <c r="A17635" s="1" t="s">
        <v>10</v>
      </c>
      <c r="B17635" s="2">
        <v>44789.0</v>
      </c>
      <c r="C17635" s="3">
        <v>0.6897569444444445</v>
      </c>
      <c r="D17635" s="1">
        <v>12.878868</v>
      </c>
      <c r="E17635" s="1">
        <v>80.080735</v>
      </c>
      <c r="F17635" s="1">
        <v>805.0</v>
      </c>
      <c r="G17635" s="1">
        <v>7.0</v>
      </c>
    </row>
    <row r="17636">
      <c r="A17636" s="1" t="s">
        <v>10</v>
      </c>
      <c r="B17636" s="2">
        <v>44789.0</v>
      </c>
      <c r="C17636" s="3">
        <v>0.6898032407407407</v>
      </c>
      <c r="D17636" s="1">
        <v>12.878891</v>
      </c>
      <c r="E17636" s="1">
        <v>80.080683</v>
      </c>
      <c r="F17636" s="1">
        <v>5339.0</v>
      </c>
      <c r="G17636" s="1">
        <v>2.0</v>
      </c>
    </row>
    <row r="17637">
      <c r="A17637" s="1" t="s">
        <v>10</v>
      </c>
      <c r="B17637" s="2">
        <v>44789.0</v>
      </c>
      <c r="C17637" s="3">
        <v>0.690150462962963</v>
      </c>
      <c r="D17637" s="1">
        <v>12.878848</v>
      </c>
      <c r="E17637" s="1">
        <v>80.080742</v>
      </c>
      <c r="F17637" s="1">
        <v>2846.0</v>
      </c>
      <c r="G17637" s="1">
        <v>11.0</v>
      </c>
    </row>
    <row r="17638">
      <c r="A17638" s="1" t="s">
        <v>8</v>
      </c>
      <c r="B17638" s="2">
        <v>44789.0</v>
      </c>
      <c r="C17638" s="3">
        <v>0.6905439814814814</v>
      </c>
      <c r="D17638" s="1">
        <v>12.881397</v>
      </c>
      <c r="E17638" s="1">
        <v>80.080695</v>
      </c>
      <c r="F17638" s="1">
        <v>805.0</v>
      </c>
      <c r="G17638" s="1">
        <v>24.0</v>
      </c>
    </row>
    <row r="17639">
      <c r="A17639" s="1" t="s">
        <v>8</v>
      </c>
      <c r="B17639" s="2">
        <v>44789.0</v>
      </c>
      <c r="C17639" s="3">
        <v>0.6905902777777778</v>
      </c>
      <c r="D17639" s="1">
        <v>12.882137</v>
      </c>
      <c r="E17639" s="1">
        <v>80.080989</v>
      </c>
      <c r="F17639" s="1">
        <v>805.0</v>
      </c>
      <c r="G17639" s="1">
        <v>31.0</v>
      </c>
    </row>
    <row r="17640">
      <c r="A17640" s="1" t="s">
        <v>8</v>
      </c>
      <c r="B17640" s="2">
        <v>44789.0</v>
      </c>
      <c r="C17640" s="3">
        <v>0.6906018518518519</v>
      </c>
      <c r="D17640" s="1">
        <v>12.882137</v>
      </c>
      <c r="E17640" s="1">
        <v>80.080989</v>
      </c>
      <c r="F17640" s="1">
        <v>805.0</v>
      </c>
      <c r="G17640" s="1">
        <v>31.0</v>
      </c>
    </row>
    <row r="17641">
      <c r="A17641" s="1" t="s">
        <v>8</v>
      </c>
      <c r="B17641" s="2">
        <v>44789.0</v>
      </c>
      <c r="C17641" s="3">
        <v>0.6908564814814815</v>
      </c>
      <c r="D17641" s="1">
        <v>12.883701</v>
      </c>
      <c r="E17641" s="1">
        <v>80.081572</v>
      </c>
      <c r="F17641" s="1">
        <v>805.0</v>
      </c>
      <c r="G17641" s="1">
        <v>39.0</v>
      </c>
    </row>
    <row r="17642">
      <c r="A17642" s="1" t="s">
        <v>8</v>
      </c>
      <c r="B17642" s="2">
        <v>44789.0</v>
      </c>
      <c r="C17642" s="3">
        <v>0.6909027777777778</v>
      </c>
      <c r="D17642" s="1">
        <v>12.881532</v>
      </c>
      <c r="E17642" s="1">
        <v>80.080722</v>
      </c>
      <c r="F17642" s="1">
        <v>3143.0</v>
      </c>
      <c r="G17642" s="1">
        <v>32.0</v>
      </c>
    </row>
    <row r="17643">
      <c r="A17643" s="1" t="s">
        <v>7</v>
      </c>
      <c r="B17643" s="2">
        <v>44789.0</v>
      </c>
      <c r="C17643" s="3">
        <v>0.6910532407407407</v>
      </c>
      <c r="D17643" s="1">
        <v>12.882888</v>
      </c>
      <c r="E17643" s="1">
        <v>80.081239</v>
      </c>
      <c r="F17643" s="1">
        <v>3143.0</v>
      </c>
      <c r="G17643" s="1">
        <v>38.0</v>
      </c>
    </row>
    <row r="17644">
      <c r="A17644" s="1" t="s">
        <v>8</v>
      </c>
      <c r="B17644" s="2">
        <v>44789.0</v>
      </c>
      <c r="C17644" s="3">
        <v>0.6910879629629629</v>
      </c>
      <c r="D17644" s="1">
        <v>12.882888</v>
      </c>
      <c r="E17644" s="1">
        <v>80.081239</v>
      </c>
      <c r="F17644" s="1">
        <v>3143.0</v>
      </c>
      <c r="G17644" s="1">
        <v>38.0</v>
      </c>
    </row>
    <row r="17645">
      <c r="A17645" s="1" t="s">
        <v>8</v>
      </c>
      <c r="B17645" s="2">
        <v>44789.0</v>
      </c>
      <c r="C17645" s="3">
        <v>0.6910995370370371</v>
      </c>
      <c r="D17645" s="1">
        <v>12.882888</v>
      </c>
      <c r="E17645" s="1">
        <v>80.081239</v>
      </c>
      <c r="F17645" s="1">
        <v>3143.0</v>
      </c>
      <c r="G17645" s="1">
        <v>38.0</v>
      </c>
    </row>
    <row r="17646">
      <c r="A17646" s="1" t="s">
        <v>8</v>
      </c>
      <c r="B17646" s="2">
        <v>44789.0</v>
      </c>
      <c r="C17646" s="3">
        <v>0.6913888888888889</v>
      </c>
      <c r="D17646" s="1">
        <v>12.889161</v>
      </c>
      <c r="E17646" s="1">
        <v>80.084168</v>
      </c>
      <c r="F17646" s="1">
        <v>805.0</v>
      </c>
      <c r="G17646" s="1">
        <v>56.0</v>
      </c>
    </row>
    <row r="17647">
      <c r="A17647" s="1" t="s">
        <v>7</v>
      </c>
      <c r="B17647" s="2">
        <v>44789.0</v>
      </c>
      <c r="C17647" s="3">
        <v>0.6916087962962963</v>
      </c>
      <c r="D17647" s="1">
        <v>12.891635</v>
      </c>
      <c r="E17647" s="1">
        <v>80.085201</v>
      </c>
      <c r="F17647" s="1">
        <v>805.0</v>
      </c>
      <c r="G17647" s="1">
        <v>56.0</v>
      </c>
    </row>
    <row r="17648">
      <c r="A17648" s="1" t="s">
        <v>8</v>
      </c>
      <c r="B17648" s="2">
        <v>44789.0</v>
      </c>
      <c r="C17648" s="3">
        <v>0.6916319444444444</v>
      </c>
      <c r="D17648" s="1">
        <v>12.88985</v>
      </c>
      <c r="E17648" s="1">
        <v>80.084431</v>
      </c>
      <c r="F17648" s="1">
        <v>5339.0</v>
      </c>
      <c r="G17648" s="1">
        <v>52.0</v>
      </c>
    </row>
    <row r="17649">
      <c r="A17649" s="1" t="s">
        <v>8</v>
      </c>
      <c r="B17649" s="2">
        <v>44789.0</v>
      </c>
      <c r="C17649" s="3">
        <v>0.6919212962962963</v>
      </c>
      <c r="D17649" s="1">
        <v>12.877804</v>
      </c>
      <c r="E17649" s="1">
        <v>80.079827</v>
      </c>
      <c r="F17649" s="1">
        <v>2846.0</v>
      </c>
      <c r="G17649" s="1">
        <v>27.0</v>
      </c>
    </row>
    <row r="17650">
      <c r="A17650" s="1" t="s">
        <v>8</v>
      </c>
      <c r="B17650" s="2">
        <v>44789.0</v>
      </c>
      <c r="C17650" s="3">
        <v>0.6920717592592592</v>
      </c>
      <c r="D17650" s="1">
        <v>12.892836</v>
      </c>
      <c r="E17650" s="1">
        <v>80.085975</v>
      </c>
      <c r="F17650" s="1">
        <v>3143.0</v>
      </c>
      <c r="G17650" s="1">
        <v>36.0</v>
      </c>
    </row>
    <row r="17651">
      <c r="A17651" s="1" t="s">
        <v>7</v>
      </c>
      <c r="B17651" s="2">
        <v>44789.0</v>
      </c>
      <c r="C17651" s="3">
        <v>0.6921643518518519</v>
      </c>
      <c r="D17651" s="1">
        <v>12.894978</v>
      </c>
      <c r="E17651" s="1">
        <v>80.087588</v>
      </c>
      <c r="F17651" s="1">
        <v>5339.0</v>
      </c>
      <c r="G17651" s="1">
        <v>49.0</v>
      </c>
    </row>
    <row r="17652">
      <c r="A17652" s="1" t="s">
        <v>8</v>
      </c>
      <c r="B17652" s="2">
        <v>44789.0</v>
      </c>
      <c r="C17652" s="3">
        <v>0.6921990740740741</v>
      </c>
      <c r="D17652" s="1">
        <v>12.894978</v>
      </c>
      <c r="E17652" s="1">
        <v>80.087588</v>
      </c>
      <c r="F17652" s="1">
        <v>5339.0</v>
      </c>
      <c r="G17652" s="1">
        <v>49.0</v>
      </c>
    </row>
    <row r="17653">
      <c r="A17653" s="1" t="s">
        <v>8</v>
      </c>
      <c r="B17653" s="2">
        <v>44789.0</v>
      </c>
      <c r="C17653" s="3">
        <v>0.6923263888888889</v>
      </c>
      <c r="D17653" s="1">
        <v>12.894283</v>
      </c>
      <c r="E17653" s="1">
        <v>80.087092</v>
      </c>
      <c r="F17653" s="1">
        <v>3143.0</v>
      </c>
      <c r="G17653" s="1">
        <v>46.0</v>
      </c>
    </row>
    <row r="17654">
      <c r="A17654" s="1" t="s">
        <v>7</v>
      </c>
      <c r="B17654" s="2">
        <v>44789.0</v>
      </c>
      <c r="C17654" s="3">
        <v>0.6924421296296296</v>
      </c>
      <c r="D17654" s="1">
        <v>12.874095</v>
      </c>
      <c r="E17654" s="1">
        <v>80.078285</v>
      </c>
      <c r="F17654" s="1">
        <v>2846.0</v>
      </c>
      <c r="G17654" s="1">
        <v>39.0</v>
      </c>
    </row>
    <row r="17655">
      <c r="A17655" s="1" t="s">
        <v>7</v>
      </c>
      <c r="B17655" s="2">
        <v>44789.0</v>
      </c>
      <c r="C17655" s="3">
        <v>0.6925578703703704</v>
      </c>
      <c r="D17655" s="1">
        <v>12.89811</v>
      </c>
      <c r="E17655" s="1">
        <v>80.089971</v>
      </c>
      <c r="F17655" s="1">
        <v>5339.0</v>
      </c>
      <c r="G17655" s="1">
        <v>57.0</v>
      </c>
    </row>
    <row r="17656">
      <c r="A17656" s="1" t="s">
        <v>9</v>
      </c>
      <c r="B17656" s="2">
        <v>44789.0</v>
      </c>
      <c r="C17656" s="3">
        <v>0.6925810185185185</v>
      </c>
      <c r="D17656" s="1">
        <v>12.895913</v>
      </c>
      <c r="E17656" s="1">
        <v>80.088309</v>
      </c>
      <c r="F17656" s="1">
        <v>3143.0</v>
      </c>
      <c r="G17656" s="1">
        <v>50.0</v>
      </c>
    </row>
    <row r="17657">
      <c r="A17657" s="1" t="s">
        <v>8</v>
      </c>
      <c r="B17657" s="2">
        <v>44789.0</v>
      </c>
      <c r="C17657" s="3">
        <v>0.692650462962963</v>
      </c>
      <c r="D17657" s="1">
        <v>12.902206</v>
      </c>
      <c r="E17657" s="1">
        <v>80.093065</v>
      </c>
      <c r="F17657" s="1">
        <v>805.0</v>
      </c>
      <c r="G17657" s="1">
        <v>49.0</v>
      </c>
    </row>
    <row r="17658">
      <c r="A17658" s="1" t="s">
        <v>8</v>
      </c>
      <c r="B17658" s="2">
        <v>44789.0</v>
      </c>
      <c r="C17658" s="3">
        <v>0.6926851851851852</v>
      </c>
      <c r="D17658" s="1">
        <v>12.902206</v>
      </c>
      <c r="E17658" s="1">
        <v>80.093065</v>
      </c>
      <c r="F17658" s="1">
        <v>805.0</v>
      </c>
      <c r="G17658" s="1">
        <v>49.0</v>
      </c>
    </row>
    <row r="17659">
      <c r="A17659" s="1" t="s">
        <v>7</v>
      </c>
      <c r="B17659" s="2">
        <v>44789.0</v>
      </c>
      <c r="C17659" s="3">
        <v>0.6929513888888889</v>
      </c>
      <c r="D17659" s="1">
        <v>12.901552</v>
      </c>
      <c r="E17659" s="1">
        <v>80.09256</v>
      </c>
      <c r="F17659" s="1">
        <v>5339.0</v>
      </c>
      <c r="G17659" s="1">
        <v>55.0</v>
      </c>
    </row>
    <row r="17660">
      <c r="A17660" s="1" t="s">
        <v>7</v>
      </c>
      <c r="B17660" s="2">
        <v>44789.0</v>
      </c>
      <c r="C17660" s="3">
        <v>0.6929976851851852</v>
      </c>
      <c r="D17660" s="1">
        <v>12.899411</v>
      </c>
      <c r="E17660" s="1">
        <v>80.090871</v>
      </c>
      <c r="F17660" s="1">
        <v>3143.0</v>
      </c>
      <c r="G17660" s="1">
        <v>54.0</v>
      </c>
    </row>
    <row r="17661">
      <c r="A17661" s="1" t="s">
        <v>8</v>
      </c>
      <c r="B17661" s="2">
        <v>44789.0</v>
      </c>
      <c r="C17661" s="3">
        <v>0.6930208333333333</v>
      </c>
      <c r="D17661" s="1">
        <v>12.901262</v>
      </c>
      <c r="E17661" s="1">
        <v>80.092271</v>
      </c>
      <c r="F17661" s="1">
        <v>3143.0</v>
      </c>
      <c r="G17661" s="1">
        <v>56.0</v>
      </c>
    </row>
    <row r="17662">
      <c r="A17662" s="1" t="s">
        <v>8</v>
      </c>
      <c r="B17662" s="2">
        <v>44789.0</v>
      </c>
      <c r="C17662" s="3">
        <v>0.6931712962962963</v>
      </c>
      <c r="D17662" s="1">
        <v>12.901262</v>
      </c>
      <c r="E17662" s="1">
        <v>80.092271</v>
      </c>
      <c r="F17662" s="1">
        <v>3143.0</v>
      </c>
      <c r="G17662" s="1">
        <v>56.0</v>
      </c>
    </row>
    <row r="17663">
      <c r="A17663" s="1" t="s">
        <v>8</v>
      </c>
      <c r="B17663" s="2">
        <v>44789.0</v>
      </c>
      <c r="C17663" s="3">
        <v>0.6932407407407407</v>
      </c>
      <c r="D17663" s="1">
        <v>12.902944</v>
      </c>
      <c r="E17663" s="1">
        <v>80.09354</v>
      </c>
      <c r="F17663" s="1">
        <v>3143.0</v>
      </c>
      <c r="G17663" s="1">
        <v>47.0</v>
      </c>
    </row>
    <row r="17664">
      <c r="A17664" s="1" t="s">
        <v>8</v>
      </c>
      <c r="B17664" s="2">
        <v>44789.0</v>
      </c>
      <c r="C17664" s="3">
        <v>0.6933449074074074</v>
      </c>
      <c r="D17664" s="1">
        <v>12.905548</v>
      </c>
      <c r="E17664" s="1">
        <v>80.095682</v>
      </c>
      <c r="F17664" s="1">
        <v>5339.0</v>
      </c>
      <c r="G17664" s="1">
        <v>41.0</v>
      </c>
    </row>
    <row r="17665">
      <c r="A17665" s="1" t="s">
        <v>8</v>
      </c>
      <c r="B17665" s="2">
        <v>44789.0</v>
      </c>
      <c r="C17665" s="3">
        <v>0.6939699074074074</v>
      </c>
      <c r="D17665" s="1">
        <v>12.911669</v>
      </c>
      <c r="E17665" s="1">
        <v>80.101341</v>
      </c>
      <c r="F17665" s="1">
        <v>805.0</v>
      </c>
      <c r="G17665" s="1">
        <v>22.0</v>
      </c>
    </row>
    <row r="17666">
      <c r="A17666" s="1" t="s">
        <v>8</v>
      </c>
      <c r="B17666" s="2">
        <v>44789.0</v>
      </c>
      <c r="C17666" s="3">
        <v>0.6940509259259259</v>
      </c>
      <c r="D17666" s="1">
        <v>12.912446</v>
      </c>
      <c r="E17666" s="1">
        <v>80.101427</v>
      </c>
      <c r="F17666" s="1">
        <v>805.0</v>
      </c>
      <c r="G17666" s="1">
        <v>38.0</v>
      </c>
    </row>
    <row r="17667">
      <c r="A17667" s="1" t="s">
        <v>8</v>
      </c>
      <c r="B17667" s="2">
        <v>44789.0</v>
      </c>
      <c r="C17667" s="3">
        <v>0.6942476851851852</v>
      </c>
      <c r="D17667" s="1">
        <v>12.913546</v>
      </c>
      <c r="E17667" s="1">
        <v>80.101536</v>
      </c>
      <c r="F17667" s="1">
        <v>805.0</v>
      </c>
      <c r="G17667" s="1">
        <v>42.0</v>
      </c>
    </row>
    <row r="17668">
      <c r="A17668" s="1" t="s">
        <v>8</v>
      </c>
      <c r="B17668" s="2">
        <v>44789.0</v>
      </c>
      <c r="C17668" s="3">
        <v>0.6943865740740741</v>
      </c>
      <c r="D17668" s="1">
        <v>12.915491</v>
      </c>
      <c r="E17668" s="1">
        <v>80.102754</v>
      </c>
      <c r="F17668" s="1">
        <v>805.0</v>
      </c>
      <c r="G17668" s="1">
        <v>53.0</v>
      </c>
    </row>
    <row r="17669">
      <c r="A17669" s="1" t="s">
        <v>7</v>
      </c>
      <c r="B17669" s="2">
        <v>44789.0</v>
      </c>
      <c r="C17669" s="3">
        <v>0.6946296296296296</v>
      </c>
      <c r="D17669" s="1">
        <v>12.916192</v>
      </c>
      <c r="E17669" s="1">
        <v>80.105584</v>
      </c>
      <c r="F17669" s="1">
        <v>805.0</v>
      </c>
      <c r="G17669" s="1">
        <v>57.0</v>
      </c>
    </row>
    <row r="17670">
      <c r="A17670" s="1" t="s">
        <v>8</v>
      </c>
      <c r="B17670" s="2">
        <v>44789.0</v>
      </c>
      <c r="C17670" s="3">
        <v>0.6946296296296296</v>
      </c>
      <c r="D17670" s="1">
        <v>12.911531</v>
      </c>
      <c r="E17670" s="1">
        <v>80.101326</v>
      </c>
      <c r="F17670" s="1">
        <v>5339.0</v>
      </c>
      <c r="G17670" s="1">
        <v>33.0</v>
      </c>
    </row>
    <row r="17671">
      <c r="A17671" s="1" t="s">
        <v>7</v>
      </c>
      <c r="B17671" s="2">
        <v>44789.0</v>
      </c>
      <c r="C17671" s="3">
        <v>0.694699074074074</v>
      </c>
      <c r="D17671" s="1">
        <v>12.913057</v>
      </c>
      <c r="E17671" s="1">
        <v>80.101483</v>
      </c>
      <c r="F17671" s="1">
        <v>3143.0</v>
      </c>
      <c r="G17671" s="1">
        <v>47.0</v>
      </c>
    </row>
    <row r="17672">
      <c r="A17672" s="1" t="s">
        <v>8</v>
      </c>
      <c r="B17672" s="2">
        <v>44789.0</v>
      </c>
      <c r="C17672" s="3">
        <v>0.694849537037037</v>
      </c>
      <c r="D17672" s="1">
        <v>12.917514</v>
      </c>
      <c r="E17672" s="1">
        <v>80.107941</v>
      </c>
      <c r="F17672" s="1">
        <v>805.0</v>
      </c>
      <c r="G17672" s="1">
        <v>34.0</v>
      </c>
    </row>
    <row r="17673">
      <c r="A17673" s="1" t="s">
        <v>8</v>
      </c>
      <c r="B17673" s="2">
        <v>44789.0</v>
      </c>
      <c r="C17673" s="3">
        <v>0.6950462962962963</v>
      </c>
      <c r="D17673" s="1">
        <v>12.914656</v>
      </c>
      <c r="E17673" s="1">
        <v>80.101853</v>
      </c>
      <c r="F17673" s="1">
        <v>5339.0</v>
      </c>
      <c r="G17673" s="1">
        <v>50.0</v>
      </c>
    </row>
    <row r="17674">
      <c r="A17674" s="1" t="s">
        <v>8</v>
      </c>
      <c r="B17674" s="2">
        <v>44789.0</v>
      </c>
      <c r="C17674" s="3">
        <v>0.6952314814814815</v>
      </c>
      <c r="D17674" s="1">
        <v>12.919389</v>
      </c>
      <c r="E17674" s="1">
        <v>80.110239</v>
      </c>
      <c r="F17674" s="1">
        <v>805.0</v>
      </c>
      <c r="G17674" s="1">
        <v>34.0</v>
      </c>
    </row>
    <row r="17675">
      <c r="A17675" s="1" t="s">
        <v>8</v>
      </c>
      <c r="B17675" s="2">
        <v>44789.0</v>
      </c>
      <c r="C17675" s="3">
        <v>0.6954513888888889</v>
      </c>
      <c r="D17675" s="1">
        <v>12.916874</v>
      </c>
      <c r="E17675" s="1">
        <v>80.106834</v>
      </c>
      <c r="F17675" s="1">
        <v>3143.0</v>
      </c>
      <c r="G17675" s="1">
        <v>18.0</v>
      </c>
    </row>
    <row r="17676">
      <c r="A17676" s="1" t="s">
        <v>8</v>
      </c>
      <c r="B17676" s="2">
        <v>44789.0</v>
      </c>
      <c r="C17676" s="3">
        <v>0.695474537037037</v>
      </c>
      <c r="D17676" s="1">
        <v>12.916874</v>
      </c>
      <c r="E17676" s="1">
        <v>80.106834</v>
      </c>
      <c r="F17676" s="1">
        <v>3143.0</v>
      </c>
      <c r="G17676" s="1">
        <v>18.0</v>
      </c>
    </row>
    <row r="17677">
      <c r="A17677" s="1" t="s">
        <v>8</v>
      </c>
      <c r="B17677" s="2">
        <v>44789.0</v>
      </c>
      <c r="C17677" s="3">
        <v>0.6958796296296297</v>
      </c>
      <c r="D17677" s="1">
        <v>12.91854</v>
      </c>
      <c r="E17677" s="1">
        <v>80.109112</v>
      </c>
      <c r="F17677" s="1">
        <v>3143.0</v>
      </c>
      <c r="G17677" s="1">
        <v>49.0</v>
      </c>
    </row>
    <row r="17678">
      <c r="A17678" s="1" t="s">
        <v>8</v>
      </c>
      <c r="B17678" s="2">
        <v>44789.0</v>
      </c>
      <c r="C17678" s="3">
        <v>0.6959027777777778</v>
      </c>
      <c r="D17678" s="1">
        <v>12.91854</v>
      </c>
      <c r="E17678" s="1">
        <v>80.109112</v>
      </c>
      <c r="F17678" s="1">
        <v>3143.0</v>
      </c>
      <c r="G17678" s="1">
        <v>49.0</v>
      </c>
    </row>
    <row r="17679">
      <c r="A17679" s="1" t="s">
        <v>8</v>
      </c>
      <c r="B17679" s="2">
        <v>44789.0</v>
      </c>
      <c r="C17679" s="3">
        <v>0.6959837962962963</v>
      </c>
      <c r="D17679" s="1">
        <v>12.923024</v>
      </c>
      <c r="E17679" s="1">
        <v>80.114128</v>
      </c>
      <c r="F17679" s="1">
        <v>805.0</v>
      </c>
      <c r="G17679" s="1">
        <v>0.0</v>
      </c>
    </row>
    <row r="17680">
      <c r="A17680" s="1" t="s">
        <v>8</v>
      </c>
      <c r="B17680" s="2">
        <v>44789.0</v>
      </c>
      <c r="C17680" s="3">
        <v>0.6960879629629629</v>
      </c>
      <c r="D17680" s="1">
        <v>12.919067</v>
      </c>
      <c r="E17680" s="1">
        <v>80.109835</v>
      </c>
      <c r="F17680" s="1">
        <v>5339.0</v>
      </c>
      <c r="G17680" s="1">
        <v>37.0</v>
      </c>
    </row>
    <row r="17681">
      <c r="A17681" s="1" t="s">
        <v>8</v>
      </c>
      <c r="B17681" s="2">
        <v>44789.0</v>
      </c>
      <c r="C17681" s="3">
        <v>0.6967013888888889</v>
      </c>
      <c r="D17681" s="1">
        <v>12.922935</v>
      </c>
      <c r="E17681" s="1">
        <v>80.113816</v>
      </c>
      <c r="F17681" s="1">
        <v>3143.0</v>
      </c>
      <c r="G17681" s="1">
        <v>38.0</v>
      </c>
    </row>
    <row r="17682">
      <c r="A17682" s="1" t="s">
        <v>8</v>
      </c>
      <c r="B17682" s="2">
        <v>44789.0</v>
      </c>
      <c r="C17682" s="3">
        <v>0.6967245370370371</v>
      </c>
      <c r="D17682" s="1">
        <v>12.923993</v>
      </c>
      <c r="E17682" s="1">
        <v>80.114858</v>
      </c>
      <c r="F17682" s="1">
        <v>3143.0</v>
      </c>
      <c r="G17682" s="1">
        <v>10.0</v>
      </c>
    </row>
    <row r="17683">
      <c r="A17683" s="1" t="s">
        <v>8</v>
      </c>
      <c r="B17683" s="2">
        <v>44789.0</v>
      </c>
      <c r="C17683" s="3">
        <v>0.6967592592592593</v>
      </c>
      <c r="D17683" s="1">
        <v>12.927678</v>
      </c>
      <c r="E17683" s="1">
        <v>80.118808</v>
      </c>
      <c r="F17683" s="1">
        <v>805.0</v>
      </c>
      <c r="G17683" s="1">
        <v>25.0</v>
      </c>
    </row>
    <row r="17684">
      <c r="A17684" s="1" t="s">
        <v>8</v>
      </c>
      <c r="B17684" s="2">
        <v>44789.0</v>
      </c>
      <c r="C17684" s="3">
        <v>0.6968518518518518</v>
      </c>
      <c r="D17684" s="1">
        <v>12.924029</v>
      </c>
      <c r="E17684" s="1">
        <v>80.114893</v>
      </c>
      <c r="F17684" s="1">
        <v>3143.0</v>
      </c>
      <c r="G17684" s="1">
        <v>0.0</v>
      </c>
    </row>
    <row r="17685">
      <c r="A17685" s="1" t="s">
        <v>8</v>
      </c>
      <c r="B17685" s="2">
        <v>44789.0</v>
      </c>
      <c r="C17685" s="3">
        <v>0.6972800925925926</v>
      </c>
      <c r="D17685" s="1">
        <v>12.929924</v>
      </c>
      <c r="E17685" s="1">
        <v>80.120988</v>
      </c>
      <c r="F17685" s="1">
        <v>805.0</v>
      </c>
      <c r="G17685" s="1">
        <v>20.0</v>
      </c>
    </row>
    <row r="17686">
      <c r="A17686" s="1" t="s">
        <v>8</v>
      </c>
      <c r="B17686" s="2">
        <v>44789.0</v>
      </c>
      <c r="C17686" s="3">
        <v>0.6972916666666666</v>
      </c>
      <c r="D17686" s="1">
        <v>12.929924</v>
      </c>
      <c r="E17686" s="1">
        <v>80.120988</v>
      </c>
      <c r="F17686" s="1">
        <v>805.0</v>
      </c>
      <c r="G17686" s="1">
        <v>20.0</v>
      </c>
    </row>
    <row r="17687">
      <c r="A17687" s="1" t="s">
        <v>8</v>
      </c>
      <c r="B17687" s="2">
        <v>44789.0</v>
      </c>
      <c r="C17687" s="3">
        <v>0.697488425925926</v>
      </c>
      <c r="D17687" s="1">
        <v>12.930447</v>
      </c>
      <c r="E17687" s="1">
        <v>80.121541</v>
      </c>
      <c r="F17687" s="1">
        <v>805.0</v>
      </c>
      <c r="G17687" s="1">
        <v>38.0</v>
      </c>
    </row>
    <row r="17688">
      <c r="A17688" s="1" t="s">
        <v>7</v>
      </c>
      <c r="B17688" s="2">
        <v>44789.0</v>
      </c>
      <c r="C17688" s="3">
        <v>0.6978703703703704</v>
      </c>
      <c r="D17688" s="1">
        <v>12.923325</v>
      </c>
      <c r="E17688" s="1">
        <v>80.120361</v>
      </c>
      <c r="F17688" s="1">
        <v>3143.0</v>
      </c>
      <c r="G17688" s="1">
        <v>15.0</v>
      </c>
    </row>
    <row r="17689">
      <c r="A17689" s="1" t="s">
        <v>8</v>
      </c>
      <c r="B17689" s="2">
        <v>44789.0</v>
      </c>
      <c r="C17689" s="3">
        <v>0.6980902777777778</v>
      </c>
      <c r="D17689" s="1">
        <v>12.849353</v>
      </c>
      <c r="E17689" s="1">
        <v>80.064495</v>
      </c>
      <c r="F17689" s="1">
        <v>2846.0</v>
      </c>
      <c r="G17689" s="1">
        <v>40.0</v>
      </c>
    </row>
    <row r="17690">
      <c r="A17690" s="1" t="s">
        <v>8</v>
      </c>
      <c r="B17690" s="2">
        <v>44789.0</v>
      </c>
      <c r="C17690" s="3">
        <v>0.6982291666666667</v>
      </c>
      <c r="D17690" s="1">
        <v>12.923227</v>
      </c>
      <c r="E17690" s="1">
        <v>80.122138</v>
      </c>
      <c r="F17690" s="1">
        <v>3143.0</v>
      </c>
      <c r="G17690" s="1">
        <v>43.0</v>
      </c>
    </row>
    <row r="17691">
      <c r="A17691" s="1" t="s">
        <v>8</v>
      </c>
      <c r="B17691" s="2">
        <v>44789.0</v>
      </c>
      <c r="C17691" s="3">
        <v>0.6982986111111111</v>
      </c>
      <c r="D17691" s="1">
        <v>12.933119</v>
      </c>
      <c r="E17691" s="1">
        <v>80.12417</v>
      </c>
      <c r="F17691" s="1">
        <v>805.0</v>
      </c>
      <c r="G17691" s="1">
        <v>42.0</v>
      </c>
    </row>
    <row r="17692">
      <c r="A17692" s="1" t="s">
        <v>8</v>
      </c>
      <c r="B17692" s="2">
        <v>44789.0</v>
      </c>
      <c r="C17692" s="3">
        <v>0.6983449074074074</v>
      </c>
      <c r="D17692" s="1">
        <v>12.848442</v>
      </c>
      <c r="E17692" s="1">
        <v>80.06381</v>
      </c>
      <c r="F17692" s="1">
        <v>2846.0</v>
      </c>
      <c r="G17692" s="1">
        <v>46.0</v>
      </c>
    </row>
    <row r="17693">
      <c r="A17693" s="1" t="s">
        <v>8</v>
      </c>
      <c r="B17693" s="2">
        <v>44789.0</v>
      </c>
      <c r="C17693" s="3">
        <v>0.6987731481481482</v>
      </c>
      <c r="D17693" s="1">
        <v>12.935695</v>
      </c>
      <c r="E17693" s="1">
        <v>80.126568</v>
      </c>
      <c r="F17693" s="1">
        <v>805.0</v>
      </c>
      <c r="G17693" s="1">
        <v>15.0</v>
      </c>
    </row>
    <row r="17694">
      <c r="A17694" s="1" t="s">
        <v>8</v>
      </c>
      <c r="B17694" s="2">
        <v>44789.0</v>
      </c>
      <c r="C17694" s="3">
        <v>0.6987847222222222</v>
      </c>
      <c r="D17694" s="1">
        <v>12.935986</v>
      </c>
      <c r="E17694" s="1">
        <v>80.126852</v>
      </c>
      <c r="F17694" s="1">
        <v>805.0</v>
      </c>
      <c r="G17694" s="1">
        <v>21.0</v>
      </c>
    </row>
    <row r="17695">
      <c r="A17695" s="1" t="s">
        <v>8</v>
      </c>
      <c r="B17695" s="2">
        <v>44789.0</v>
      </c>
      <c r="C17695" s="3">
        <v>0.6987847222222222</v>
      </c>
      <c r="D17695" s="1">
        <v>12.935986</v>
      </c>
      <c r="E17695" s="1">
        <v>80.126852</v>
      </c>
      <c r="F17695" s="1">
        <v>805.0</v>
      </c>
      <c r="G17695" s="1">
        <v>21.0</v>
      </c>
    </row>
    <row r="17696">
      <c r="A17696" s="1" t="s">
        <v>8</v>
      </c>
      <c r="B17696" s="2">
        <v>44789.0</v>
      </c>
      <c r="C17696" s="3">
        <v>0.6987962962962962</v>
      </c>
      <c r="D17696" s="1">
        <v>12.935986</v>
      </c>
      <c r="E17696" s="1">
        <v>80.126852</v>
      </c>
      <c r="F17696" s="1">
        <v>805.0</v>
      </c>
      <c r="G17696" s="1">
        <v>21.0</v>
      </c>
    </row>
    <row r="17697">
      <c r="A17697" s="1" t="s">
        <v>8</v>
      </c>
      <c r="B17697" s="2">
        <v>44789.0</v>
      </c>
      <c r="C17697" s="3">
        <v>0.6988888888888889</v>
      </c>
      <c r="D17697" s="1">
        <v>12.935986</v>
      </c>
      <c r="E17697" s="1">
        <v>80.126852</v>
      </c>
      <c r="F17697" s="1">
        <v>805.0</v>
      </c>
      <c r="G17697" s="1">
        <v>21.0</v>
      </c>
    </row>
    <row r="17698">
      <c r="A17698" s="1" t="s">
        <v>8</v>
      </c>
      <c r="B17698" s="2">
        <v>44789.0</v>
      </c>
      <c r="C17698" s="3">
        <v>0.6990740740740741</v>
      </c>
      <c r="D17698" s="1">
        <v>12.937111</v>
      </c>
      <c r="E17698" s="1">
        <v>80.127848</v>
      </c>
      <c r="F17698" s="1">
        <v>805.0</v>
      </c>
      <c r="G17698" s="1">
        <v>40.0</v>
      </c>
    </row>
    <row r="17699">
      <c r="A17699" s="1" t="s">
        <v>8</v>
      </c>
      <c r="B17699" s="2">
        <v>44789.0</v>
      </c>
      <c r="C17699" s="3">
        <v>0.6992592592592592</v>
      </c>
      <c r="D17699" s="1">
        <v>12.938882</v>
      </c>
      <c r="E17699" s="1">
        <v>80.129441</v>
      </c>
      <c r="F17699" s="1">
        <v>805.0</v>
      </c>
      <c r="G17699" s="1">
        <v>54.0</v>
      </c>
    </row>
    <row r="17700">
      <c r="A17700" s="1" t="s">
        <v>8</v>
      </c>
      <c r="B17700" s="2">
        <v>44789.0</v>
      </c>
      <c r="C17700" s="3">
        <v>0.6994444444444444</v>
      </c>
      <c r="D17700" s="1">
        <v>12.93986</v>
      </c>
      <c r="E17700" s="1">
        <v>80.130325</v>
      </c>
      <c r="F17700" s="1">
        <v>805.0</v>
      </c>
      <c r="G17700" s="1">
        <v>51.0</v>
      </c>
    </row>
    <row r="17701">
      <c r="A17701" s="1" t="s">
        <v>9</v>
      </c>
      <c r="B17701" s="2">
        <v>44789.0</v>
      </c>
      <c r="C17701" s="3">
        <v>0.6999652777777777</v>
      </c>
      <c r="D17701" s="1">
        <v>12.934181</v>
      </c>
      <c r="E17701" s="1">
        <v>80.125303</v>
      </c>
      <c r="F17701" s="1">
        <v>5339.0</v>
      </c>
      <c r="G17701" s="1">
        <v>48.0</v>
      </c>
    </row>
    <row r="17702">
      <c r="A17702" s="1" t="s">
        <v>7</v>
      </c>
      <c r="B17702" s="2">
        <v>44789.0</v>
      </c>
      <c r="C17702" s="3">
        <v>0.7002546296296296</v>
      </c>
      <c r="D17702" s="1">
        <v>12.841822</v>
      </c>
      <c r="E17702" s="1">
        <v>80.057704</v>
      </c>
      <c r="F17702" s="1">
        <v>2846.0</v>
      </c>
      <c r="G17702" s="1">
        <v>53.0</v>
      </c>
    </row>
    <row r="17703">
      <c r="A17703" s="1" t="s">
        <v>8</v>
      </c>
      <c r="B17703" s="2">
        <v>44789.0</v>
      </c>
      <c r="C17703" s="3">
        <v>0.7003472222222222</v>
      </c>
      <c r="D17703" s="1">
        <v>12.943612</v>
      </c>
      <c r="E17703" s="1">
        <v>80.134149</v>
      </c>
      <c r="F17703" s="1">
        <v>805.0</v>
      </c>
      <c r="G17703" s="1">
        <v>35.0</v>
      </c>
    </row>
    <row r="17704">
      <c r="A17704" s="1" t="s">
        <v>7</v>
      </c>
      <c r="B17704" s="2">
        <v>44789.0</v>
      </c>
      <c r="C17704" s="3">
        <v>0.7005208333333334</v>
      </c>
      <c r="D17704" s="1">
        <v>12.833523</v>
      </c>
      <c r="E17704" s="1">
        <v>80.048942</v>
      </c>
      <c r="F17704" s="1">
        <v>2846.0</v>
      </c>
      <c r="G17704" s="1">
        <v>55.0</v>
      </c>
    </row>
    <row r="17705">
      <c r="A17705" s="1" t="s">
        <v>8</v>
      </c>
      <c r="B17705" s="2">
        <v>44789.0</v>
      </c>
      <c r="C17705" s="3">
        <v>0.7007060185185185</v>
      </c>
      <c r="D17705" s="1">
        <v>12.946357</v>
      </c>
      <c r="E17705" s="1">
        <v>80.13632</v>
      </c>
      <c r="F17705" s="1">
        <v>805.0</v>
      </c>
      <c r="G17705" s="1">
        <v>56.0</v>
      </c>
    </row>
    <row r="17706">
      <c r="A17706" s="1" t="s">
        <v>8</v>
      </c>
      <c r="B17706" s="2">
        <v>44789.0</v>
      </c>
      <c r="C17706" s="3">
        <v>0.7007175925925926</v>
      </c>
      <c r="D17706" s="1">
        <v>12.946357</v>
      </c>
      <c r="E17706" s="1">
        <v>80.13632</v>
      </c>
      <c r="F17706" s="1">
        <v>805.0</v>
      </c>
      <c r="G17706" s="1">
        <v>56.0</v>
      </c>
    </row>
    <row r="17707">
      <c r="A17707" s="1" t="s">
        <v>8</v>
      </c>
      <c r="B17707" s="2">
        <v>44789.0</v>
      </c>
      <c r="C17707" s="3">
        <v>0.7008333333333333</v>
      </c>
      <c r="D17707" s="1">
        <v>12.947447</v>
      </c>
      <c r="E17707" s="1">
        <v>80.137164</v>
      </c>
      <c r="F17707" s="1">
        <v>805.0</v>
      </c>
      <c r="G17707" s="1">
        <v>51.0</v>
      </c>
    </row>
    <row r="17708">
      <c r="A17708" s="1" t="s">
        <v>7</v>
      </c>
      <c r="B17708" s="2">
        <v>44789.0</v>
      </c>
      <c r="C17708" s="3">
        <v>0.7009375</v>
      </c>
      <c r="D17708" s="1">
        <v>12.948588</v>
      </c>
      <c r="E17708" s="1">
        <v>80.13795</v>
      </c>
      <c r="F17708" s="1">
        <v>805.0</v>
      </c>
      <c r="G17708" s="1">
        <v>59.0</v>
      </c>
    </row>
    <row r="17709">
      <c r="A17709" s="1" t="s">
        <v>8</v>
      </c>
      <c r="B17709" s="2">
        <v>44789.0</v>
      </c>
      <c r="C17709" s="3">
        <v>0.7010995370370371</v>
      </c>
      <c r="D17709" s="1">
        <v>12.950858</v>
      </c>
      <c r="E17709" s="1">
        <v>80.139777</v>
      </c>
      <c r="F17709" s="1">
        <v>805.0</v>
      </c>
      <c r="G17709" s="1">
        <v>52.0</v>
      </c>
    </row>
    <row r="17710">
      <c r="A17710" s="1" t="s">
        <v>8</v>
      </c>
      <c r="B17710" s="2">
        <v>44789.0</v>
      </c>
      <c r="C17710" s="3">
        <v>0.7011805555555556</v>
      </c>
      <c r="D17710" s="1">
        <v>12.830018</v>
      </c>
      <c r="E17710" s="1">
        <v>80.045227</v>
      </c>
      <c r="F17710" s="1">
        <v>2846.0</v>
      </c>
      <c r="G17710" s="1">
        <v>29.0</v>
      </c>
    </row>
    <row r="17711">
      <c r="A17711" s="1" t="s">
        <v>8</v>
      </c>
      <c r="B17711" s="2">
        <v>44789.0</v>
      </c>
      <c r="C17711" s="3">
        <v>0.7012268518518519</v>
      </c>
      <c r="D17711" s="1">
        <v>12.942496</v>
      </c>
      <c r="E17711" s="1">
        <v>80.133061</v>
      </c>
      <c r="F17711" s="1">
        <v>5339.0</v>
      </c>
      <c r="G17711" s="1">
        <v>56.0</v>
      </c>
    </row>
    <row r="17712">
      <c r="A17712" s="1" t="s">
        <v>9</v>
      </c>
      <c r="B17712" s="2">
        <v>44789.0</v>
      </c>
      <c r="C17712" s="3">
        <v>0.7012962962962963</v>
      </c>
      <c r="D17712" s="1">
        <v>12.942496</v>
      </c>
      <c r="E17712" s="1">
        <v>80.133061</v>
      </c>
      <c r="F17712" s="1">
        <v>5339.0</v>
      </c>
      <c r="G17712" s="1">
        <v>56.0</v>
      </c>
    </row>
    <row r="17713">
      <c r="A17713" s="1" t="s">
        <v>8</v>
      </c>
      <c r="B17713" s="2">
        <v>44789.0</v>
      </c>
      <c r="C17713" s="3">
        <v>0.7014351851851852</v>
      </c>
      <c r="D17713" s="1">
        <v>12.94444</v>
      </c>
      <c r="E17713" s="1">
        <v>80.134874</v>
      </c>
      <c r="F17713" s="1">
        <v>5339.0</v>
      </c>
      <c r="G17713" s="1">
        <v>52.0</v>
      </c>
    </row>
    <row r="17714">
      <c r="A17714" s="1" t="s">
        <v>8</v>
      </c>
      <c r="B17714" s="2">
        <v>44789.0</v>
      </c>
      <c r="C17714" s="3">
        <v>0.7014467592592593</v>
      </c>
      <c r="D17714" s="1">
        <v>12.922448</v>
      </c>
      <c r="E17714" s="1">
        <v>80.138662</v>
      </c>
      <c r="F17714" s="1">
        <v>3143.0</v>
      </c>
      <c r="G17714" s="1">
        <v>32.0</v>
      </c>
    </row>
    <row r="17715">
      <c r="A17715" s="1" t="s">
        <v>8</v>
      </c>
      <c r="B17715" s="2">
        <v>44789.0</v>
      </c>
      <c r="C17715" s="3">
        <v>0.7014699074074074</v>
      </c>
      <c r="D17715" s="1">
        <v>12.922462</v>
      </c>
      <c r="E17715" s="1">
        <v>80.140307</v>
      </c>
      <c r="F17715" s="1">
        <v>3143.0</v>
      </c>
      <c r="G17715" s="1">
        <v>26.0</v>
      </c>
    </row>
    <row r="17716">
      <c r="A17716" s="1" t="s">
        <v>8</v>
      </c>
      <c r="B17716" s="2">
        <v>44789.0</v>
      </c>
      <c r="C17716" s="3">
        <v>0.7015393518518519</v>
      </c>
      <c r="D17716" s="1">
        <v>12.952614</v>
      </c>
      <c r="E17716" s="1">
        <v>80.141127</v>
      </c>
      <c r="F17716" s="1">
        <v>805.0</v>
      </c>
      <c r="G17716" s="1">
        <v>37.0</v>
      </c>
    </row>
    <row r="17717">
      <c r="A17717" s="1" t="s">
        <v>8</v>
      </c>
      <c r="B17717" s="2">
        <v>44789.0</v>
      </c>
      <c r="C17717" s="3">
        <v>0.7016782407407407</v>
      </c>
      <c r="D17717" s="1">
        <v>12.954405</v>
      </c>
      <c r="E17717" s="1">
        <v>80.142147</v>
      </c>
      <c r="F17717" s="1">
        <v>805.0</v>
      </c>
      <c r="G17717" s="1">
        <v>40.0</v>
      </c>
    </row>
    <row r="17718">
      <c r="A17718" s="1" t="s">
        <v>8</v>
      </c>
      <c r="B17718" s="2">
        <v>44789.0</v>
      </c>
      <c r="C17718" s="3">
        <v>0.7017708333333333</v>
      </c>
      <c r="D17718" s="1">
        <v>12.954405</v>
      </c>
      <c r="E17718" s="1">
        <v>80.142147</v>
      </c>
      <c r="F17718" s="1">
        <v>805.0</v>
      </c>
      <c r="G17718" s="1">
        <v>40.0</v>
      </c>
    </row>
    <row r="17719">
      <c r="A17719" s="1" t="s">
        <v>8</v>
      </c>
      <c r="B17719" s="2">
        <v>44789.0</v>
      </c>
      <c r="C17719" s="3">
        <v>0.7019791666666667</v>
      </c>
      <c r="D17719" s="1">
        <v>12.92252</v>
      </c>
      <c r="E17719" s="1">
        <v>80.142695</v>
      </c>
      <c r="F17719" s="1">
        <v>3143.0</v>
      </c>
      <c r="G17719" s="1">
        <v>19.0</v>
      </c>
    </row>
    <row r="17720">
      <c r="A17720" s="1" t="s">
        <v>7</v>
      </c>
      <c r="B17720" s="2">
        <v>44789.0</v>
      </c>
      <c r="C17720" s="3">
        <v>0.7020833333333333</v>
      </c>
      <c r="D17720" s="1">
        <v>12.820522</v>
      </c>
      <c r="E17720" s="1">
        <v>80.03724</v>
      </c>
      <c r="F17720" s="1">
        <v>2846.0</v>
      </c>
      <c r="G17720" s="1">
        <v>51.0</v>
      </c>
    </row>
    <row r="17721">
      <c r="A17721" s="1" t="s">
        <v>8</v>
      </c>
      <c r="B17721" s="2">
        <v>44789.0</v>
      </c>
      <c r="C17721" s="3">
        <v>0.7021180555555555</v>
      </c>
      <c r="D17721" s="1">
        <v>12.950345</v>
      </c>
      <c r="E17721" s="1">
        <v>80.139371</v>
      </c>
      <c r="F17721" s="1">
        <v>5339.0</v>
      </c>
      <c r="G17721" s="1">
        <v>44.0</v>
      </c>
    </row>
    <row r="17722">
      <c r="A17722" s="1" t="s">
        <v>8</v>
      </c>
      <c r="B17722" s="2">
        <v>44789.0</v>
      </c>
      <c r="C17722" s="3">
        <v>0.7023032407407407</v>
      </c>
      <c r="D17722" s="1">
        <v>12.957372</v>
      </c>
      <c r="E17722" s="1">
        <v>80.143732</v>
      </c>
      <c r="F17722" s="1">
        <v>805.0</v>
      </c>
      <c r="G17722" s="1">
        <v>34.0</v>
      </c>
    </row>
    <row r="17723">
      <c r="A17723" s="1" t="s">
        <v>8</v>
      </c>
      <c r="B17723" s="2">
        <v>44789.0</v>
      </c>
      <c r="C17723" s="3">
        <v>0.7024074074074074</v>
      </c>
      <c r="D17723" s="1">
        <v>12.95809</v>
      </c>
      <c r="E17723" s="1">
        <v>80.144061</v>
      </c>
      <c r="F17723" s="1">
        <v>805.0</v>
      </c>
      <c r="G17723" s="1">
        <v>25.0</v>
      </c>
    </row>
    <row r="17724">
      <c r="A17724" s="1" t="s">
        <v>8</v>
      </c>
      <c r="B17724" s="2">
        <v>44789.0</v>
      </c>
      <c r="C17724" s="3">
        <v>0.7025462962962963</v>
      </c>
      <c r="D17724" s="1">
        <v>12.958722</v>
      </c>
      <c r="E17724" s="1">
        <v>80.144312</v>
      </c>
      <c r="F17724" s="1">
        <v>805.0</v>
      </c>
      <c r="G17724" s="1">
        <v>31.0</v>
      </c>
    </row>
    <row r="17725">
      <c r="A17725" s="1" t="s">
        <v>8</v>
      </c>
      <c r="B17725" s="2">
        <v>44789.0</v>
      </c>
      <c r="C17725" s="3">
        <v>0.7025462962962963</v>
      </c>
      <c r="D17725" s="1">
        <v>12.958722</v>
      </c>
      <c r="E17725" s="1">
        <v>80.144312</v>
      </c>
      <c r="F17725" s="1">
        <v>805.0</v>
      </c>
      <c r="G17725" s="1">
        <v>31.0</v>
      </c>
    </row>
    <row r="17726">
      <c r="A17726" s="1" t="s">
        <v>7</v>
      </c>
      <c r="B17726" s="2">
        <v>44789.0</v>
      </c>
      <c r="C17726" s="3">
        <v>0.7025578703703703</v>
      </c>
      <c r="D17726" s="1">
        <v>12.817435</v>
      </c>
      <c r="E17726" s="1">
        <v>80.035</v>
      </c>
      <c r="F17726" s="1">
        <v>2846.0</v>
      </c>
      <c r="G17726" s="1">
        <v>53.0</v>
      </c>
    </row>
    <row r="17727">
      <c r="A17727" s="1" t="s">
        <v>7</v>
      </c>
      <c r="B17727" s="2">
        <v>44789.0</v>
      </c>
      <c r="C17727" s="3">
        <v>0.7027893518518519</v>
      </c>
      <c r="D17727" s="1">
        <v>12.813851</v>
      </c>
      <c r="E17727" s="1">
        <v>80.032474</v>
      </c>
      <c r="F17727" s="1">
        <v>2846.0</v>
      </c>
      <c r="G17727" s="1">
        <v>57.0</v>
      </c>
    </row>
    <row r="17728">
      <c r="A17728" s="1" t="s">
        <v>8</v>
      </c>
      <c r="B17728" s="2">
        <v>44789.0</v>
      </c>
      <c r="C17728" s="3">
        <v>0.7030208333333333</v>
      </c>
      <c r="D17728" s="1">
        <v>12.922662</v>
      </c>
      <c r="E17728" s="1">
        <v>80.148339</v>
      </c>
      <c r="F17728" s="1">
        <v>3143.0</v>
      </c>
      <c r="G17728" s="1">
        <v>26.0</v>
      </c>
    </row>
    <row r="17729">
      <c r="A17729" s="1" t="s">
        <v>8</v>
      </c>
      <c r="B17729" s="2">
        <v>44789.0</v>
      </c>
      <c r="C17729" s="3">
        <v>0.7031481481481482</v>
      </c>
      <c r="D17729" s="1">
        <v>12.922662</v>
      </c>
      <c r="E17729" s="1">
        <v>80.148339</v>
      </c>
      <c r="F17729" s="1">
        <v>3143.0</v>
      </c>
      <c r="G17729" s="1">
        <v>26.0</v>
      </c>
    </row>
    <row r="17730">
      <c r="A17730" s="1" t="s">
        <v>8</v>
      </c>
      <c r="B17730" s="2">
        <v>44789.0</v>
      </c>
      <c r="C17730" s="3">
        <v>0.7032060185185185</v>
      </c>
      <c r="D17730" s="1">
        <v>12.922703</v>
      </c>
      <c r="E17730" s="1">
        <v>80.149943</v>
      </c>
      <c r="F17730" s="1">
        <v>3143.0</v>
      </c>
      <c r="G17730" s="1">
        <v>36.0</v>
      </c>
    </row>
    <row r="17731">
      <c r="A17731" s="1" t="s">
        <v>8</v>
      </c>
      <c r="B17731" s="2">
        <v>44789.0</v>
      </c>
      <c r="C17731" s="3">
        <v>0.7033101851851852</v>
      </c>
      <c r="D17731" s="1">
        <v>12.963112</v>
      </c>
      <c r="E17731" s="1">
        <v>80.146677</v>
      </c>
      <c r="F17731" s="1">
        <v>805.0</v>
      </c>
      <c r="G17731" s="1">
        <v>51.0</v>
      </c>
    </row>
    <row r="17732">
      <c r="A17732" s="1" t="s">
        <v>7</v>
      </c>
      <c r="B17732" s="2">
        <v>44789.0</v>
      </c>
      <c r="C17732" s="3">
        <v>0.7034490740740741</v>
      </c>
      <c r="D17732" s="1">
        <v>12.964106</v>
      </c>
      <c r="E17732" s="1">
        <v>80.147375</v>
      </c>
      <c r="F17732" s="1">
        <v>805.0</v>
      </c>
      <c r="G17732" s="1">
        <v>51.0</v>
      </c>
    </row>
    <row r="17733">
      <c r="A17733" s="1" t="s">
        <v>8</v>
      </c>
      <c r="B17733" s="2">
        <v>44789.0</v>
      </c>
      <c r="C17733" s="3">
        <v>0.7035300925925926</v>
      </c>
      <c r="D17733" s="1">
        <v>12.92275</v>
      </c>
      <c r="E17733" s="1">
        <v>80.151306</v>
      </c>
      <c r="F17733" s="1">
        <v>3143.0</v>
      </c>
      <c r="G17733" s="1">
        <v>30.0</v>
      </c>
    </row>
    <row r="17734">
      <c r="A17734" s="1" t="s">
        <v>7</v>
      </c>
      <c r="B17734" s="2">
        <v>44789.0</v>
      </c>
      <c r="C17734" s="3">
        <v>0.7037037037037037</v>
      </c>
      <c r="D17734" s="1">
        <v>12.966666</v>
      </c>
      <c r="E17734" s="1">
        <v>80.14876</v>
      </c>
      <c r="F17734" s="1">
        <v>805.0</v>
      </c>
      <c r="G17734" s="1">
        <v>60.0</v>
      </c>
    </row>
    <row r="17735">
      <c r="A17735" s="1" t="s">
        <v>9</v>
      </c>
      <c r="B17735" s="2">
        <v>44789.0</v>
      </c>
      <c r="C17735" s="3">
        <v>0.7037037037037037</v>
      </c>
      <c r="D17735" s="1">
        <v>12.922898</v>
      </c>
      <c r="E17735" s="1">
        <v>80.152692</v>
      </c>
      <c r="F17735" s="1">
        <v>3143.0</v>
      </c>
      <c r="G17735" s="1">
        <v>39.0</v>
      </c>
    </row>
    <row r="17736">
      <c r="A17736" s="1" t="s">
        <v>8</v>
      </c>
      <c r="B17736" s="2">
        <v>44789.0</v>
      </c>
      <c r="C17736" s="3">
        <v>0.7038194444444444</v>
      </c>
      <c r="D17736" s="1">
        <v>12.802736</v>
      </c>
      <c r="E17736" s="1">
        <v>80.025352</v>
      </c>
      <c r="F17736" s="1">
        <v>2846.0</v>
      </c>
      <c r="G17736" s="1">
        <v>52.0</v>
      </c>
    </row>
    <row r="17737">
      <c r="A17737" s="1" t="s">
        <v>8</v>
      </c>
      <c r="B17737" s="2">
        <v>44789.0</v>
      </c>
      <c r="C17737" s="3">
        <v>0.7039004629629629</v>
      </c>
      <c r="D17737" s="1">
        <v>12.802736</v>
      </c>
      <c r="E17737" s="1">
        <v>80.025352</v>
      </c>
      <c r="F17737" s="1">
        <v>2846.0</v>
      </c>
      <c r="G17737" s="1">
        <v>52.0</v>
      </c>
    </row>
    <row r="17738">
      <c r="A17738" s="1" t="s">
        <v>7</v>
      </c>
      <c r="B17738" s="2">
        <v>44789.0</v>
      </c>
      <c r="C17738" s="3">
        <v>0.7040046296296296</v>
      </c>
      <c r="D17738" s="1">
        <v>12.923725</v>
      </c>
      <c r="E17738" s="1">
        <v>80.156041</v>
      </c>
      <c r="F17738" s="1">
        <v>3143.0</v>
      </c>
      <c r="G17738" s="1">
        <v>41.0</v>
      </c>
    </row>
    <row r="17739">
      <c r="A17739" s="1" t="s">
        <v>7</v>
      </c>
      <c r="B17739" s="2">
        <v>44789.0</v>
      </c>
      <c r="C17739" s="3">
        <v>0.7040277777777778</v>
      </c>
      <c r="D17739" s="1">
        <v>12.970632</v>
      </c>
      <c r="E17739" s="1">
        <v>80.150644</v>
      </c>
      <c r="F17739" s="1">
        <v>805.0</v>
      </c>
      <c r="G17739" s="1">
        <v>58.0</v>
      </c>
    </row>
    <row r="17740">
      <c r="A17740" s="1" t="s">
        <v>8</v>
      </c>
      <c r="B17740" s="2">
        <v>44789.0</v>
      </c>
      <c r="C17740" s="3">
        <v>0.7042592592592593</v>
      </c>
      <c r="D17740" s="1">
        <v>12.923541</v>
      </c>
      <c r="E17740" s="1">
        <v>80.158213</v>
      </c>
      <c r="F17740" s="1">
        <v>3143.0</v>
      </c>
      <c r="G17740" s="1">
        <v>55.0</v>
      </c>
    </row>
    <row r="17741">
      <c r="A17741" s="1" t="s">
        <v>8</v>
      </c>
      <c r="B17741" s="2">
        <v>44789.0</v>
      </c>
      <c r="C17741" s="3">
        <v>0.7047106481481481</v>
      </c>
      <c r="D17741" s="1">
        <v>12.975724</v>
      </c>
      <c r="E17741" s="1">
        <v>80.156592</v>
      </c>
      <c r="F17741" s="1">
        <v>805.0</v>
      </c>
      <c r="G17741" s="1">
        <v>36.0</v>
      </c>
    </row>
    <row r="17742">
      <c r="A17742" s="1" t="s">
        <v>9</v>
      </c>
      <c r="B17742" s="2">
        <v>44789.0</v>
      </c>
      <c r="C17742" s="3">
        <v>0.7047222222222222</v>
      </c>
      <c r="D17742" s="1">
        <v>12.922859</v>
      </c>
      <c r="E17742" s="1">
        <v>80.161705</v>
      </c>
      <c r="F17742" s="1">
        <v>3143.0</v>
      </c>
      <c r="G17742" s="1">
        <v>44.0</v>
      </c>
    </row>
    <row r="17743">
      <c r="A17743" s="1" t="s">
        <v>7</v>
      </c>
      <c r="B17743" s="2">
        <v>44789.0</v>
      </c>
      <c r="C17743" s="3">
        <v>0.7047569444444445</v>
      </c>
      <c r="D17743" s="1">
        <v>12.922859</v>
      </c>
      <c r="E17743" s="1">
        <v>80.161705</v>
      </c>
      <c r="F17743" s="1">
        <v>3143.0</v>
      </c>
      <c r="G17743" s="1">
        <v>44.0</v>
      </c>
    </row>
    <row r="17744">
      <c r="A17744" s="1" t="s">
        <v>8</v>
      </c>
      <c r="B17744" s="2">
        <v>44789.0</v>
      </c>
      <c r="C17744" s="3">
        <v>0.7047916666666667</v>
      </c>
      <c r="D17744" s="1">
        <v>12.975724</v>
      </c>
      <c r="E17744" s="1">
        <v>80.156592</v>
      </c>
      <c r="F17744" s="1">
        <v>805.0</v>
      </c>
      <c r="G17744" s="1">
        <v>36.0</v>
      </c>
    </row>
    <row r="17745">
      <c r="A17745" s="1" t="s">
        <v>7</v>
      </c>
      <c r="B17745" s="2">
        <v>44789.0</v>
      </c>
      <c r="C17745" s="3">
        <v>0.7049189814814815</v>
      </c>
      <c r="D17745" s="1">
        <v>12.976914</v>
      </c>
      <c r="E17745" s="1">
        <v>80.158388</v>
      </c>
      <c r="F17745" s="1">
        <v>805.0</v>
      </c>
      <c r="G17745" s="1">
        <v>49.0</v>
      </c>
    </row>
    <row r="17746">
      <c r="A17746" s="1" t="s">
        <v>8</v>
      </c>
      <c r="B17746" s="2">
        <v>44789.0</v>
      </c>
      <c r="C17746" s="3">
        <v>0.705</v>
      </c>
      <c r="D17746" s="1">
        <v>12.976914</v>
      </c>
      <c r="E17746" s="1">
        <v>80.158388</v>
      </c>
      <c r="F17746" s="1">
        <v>805.0</v>
      </c>
      <c r="G17746" s="1">
        <v>49.0</v>
      </c>
    </row>
    <row r="17747">
      <c r="A17747" s="1" t="s">
        <v>7</v>
      </c>
      <c r="B17747" s="2">
        <v>44789.0</v>
      </c>
      <c r="C17747" s="3">
        <v>0.7051736111111111</v>
      </c>
      <c r="D17747" s="1">
        <v>12.978542</v>
      </c>
      <c r="E17747" s="1">
        <v>80.160724</v>
      </c>
      <c r="F17747" s="1">
        <v>805.0</v>
      </c>
      <c r="G17747" s="1">
        <v>55.0</v>
      </c>
    </row>
    <row r="17748">
      <c r="A17748" s="1" t="s">
        <v>7</v>
      </c>
      <c r="B17748" s="2">
        <v>44789.0</v>
      </c>
      <c r="C17748" s="3">
        <v>0.7054166666666667</v>
      </c>
      <c r="D17748" s="1">
        <v>12.980001</v>
      </c>
      <c r="E17748" s="1">
        <v>80.163122</v>
      </c>
      <c r="F17748" s="1">
        <v>805.0</v>
      </c>
      <c r="G17748" s="1">
        <v>54.0</v>
      </c>
    </row>
    <row r="17749">
      <c r="A17749" s="1" t="s">
        <v>8</v>
      </c>
      <c r="B17749" s="2">
        <v>44789.0</v>
      </c>
      <c r="C17749" s="3">
        <v>0.705474537037037</v>
      </c>
      <c r="D17749" s="1">
        <v>12.980001</v>
      </c>
      <c r="E17749" s="1">
        <v>80.163122</v>
      </c>
      <c r="F17749" s="1">
        <v>805.0</v>
      </c>
      <c r="G17749" s="1">
        <v>54.0</v>
      </c>
    </row>
    <row r="17750">
      <c r="A17750" s="1" t="s">
        <v>8</v>
      </c>
      <c r="B17750" s="2">
        <v>44789.0</v>
      </c>
      <c r="C17750" s="3">
        <v>0.705625</v>
      </c>
      <c r="D17750" s="1">
        <v>12.981002</v>
      </c>
      <c r="E17750" s="1">
        <v>80.165819</v>
      </c>
      <c r="F17750" s="1">
        <v>805.0</v>
      </c>
      <c r="G17750" s="1">
        <v>54.0</v>
      </c>
    </row>
    <row r="17751">
      <c r="A17751" s="1" t="s">
        <v>8</v>
      </c>
      <c r="B17751" s="2">
        <v>44789.0</v>
      </c>
      <c r="C17751" s="3">
        <v>0.7056481481481481</v>
      </c>
      <c r="D17751" s="1">
        <v>12.919539</v>
      </c>
      <c r="E17751" s="1">
        <v>80.172307</v>
      </c>
      <c r="F17751" s="1">
        <v>3143.0</v>
      </c>
      <c r="G17751" s="1">
        <v>51.0</v>
      </c>
    </row>
    <row r="17752">
      <c r="A17752" s="1" t="s">
        <v>8</v>
      </c>
      <c r="B17752" s="2">
        <v>44789.0</v>
      </c>
      <c r="C17752" s="3">
        <v>0.7057407407407408</v>
      </c>
      <c r="D17752" s="1">
        <v>12.981689</v>
      </c>
      <c r="E17752" s="1">
        <v>80.167021</v>
      </c>
      <c r="F17752" s="1">
        <v>805.0</v>
      </c>
      <c r="G17752" s="1">
        <v>55.0</v>
      </c>
    </row>
    <row r="17753">
      <c r="A17753" s="1" t="s">
        <v>8</v>
      </c>
      <c r="B17753" s="2">
        <v>44789.0</v>
      </c>
      <c r="C17753" s="3">
        <v>0.7061574074074074</v>
      </c>
      <c r="D17753" s="1">
        <v>12.91826</v>
      </c>
      <c r="E17753" s="1">
        <v>80.177791</v>
      </c>
      <c r="F17753" s="1">
        <v>3143.0</v>
      </c>
      <c r="G17753" s="1">
        <v>34.0</v>
      </c>
    </row>
    <row r="17754">
      <c r="A17754" s="1" t="s">
        <v>8</v>
      </c>
      <c r="B17754" s="2">
        <v>44789.0</v>
      </c>
      <c r="C17754" s="3">
        <v>0.7066782407407407</v>
      </c>
      <c r="D17754" s="1">
        <v>12.919465</v>
      </c>
      <c r="E17754" s="1">
        <v>80.180652</v>
      </c>
      <c r="F17754" s="1">
        <v>3143.0</v>
      </c>
      <c r="G17754" s="1">
        <v>34.0</v>
      </c>
    </row>
    <row r="17755">
      <c r="A17755" s="1" t="s">
        <v>8</v>
      </c>
      <c r="B17755" s="2">
        <v>44789.0</v>
      </c>
      <c r="C17755" s="3">
        <v>0.7067592592592593</v>
      </c>
      <c r="D17755" s="1">
        <v>12.919854</v>
      </c>
      <c r="E17755" s="1">
        <v>80.182411</v>
      </c>
      <c r="F17755" s="1">
        <v>3143.0</v>
      </c>
      <c r="G17755" s="1">
        <v>46.0</v>
      </c>
    </row>
    <row r="17756">
      <c r="A17756" s="1" t="s">
        <v>8</v>
      </c>
      <c r="B17756" s="2">
        <v>44789.0</v>
      </c>
      <c r="C17756" s="3">
        <v>0.7069907407407408</v>
      </c>
      <c r="D17756" s="1">
        <v>12.985888</v>
      </c>
      <c r="E17756" s="1">
        <v>80.173848</v>
      </c>
      <c r="F17756" s="1">
        <v>805.0</v>
      </c>
      <c r="G17756" s="1">
        <v>23.0</v>
      </c>
    </row>
    <row r="17757">
      <c r="A17757" s="1" t="s">
        <v>8</v>
      </c>
      <c r="B17757" s="2">
        <v>44789.0</v>
      </c>
      <c r="C17757" s="3">
        <v>0.7070023148148148</v>
      </c>
      <c r="D17757" s="1">
        <v>12.98627</v>
      </c>
      <c r="E17757" s="1">
        <v>80.174398</v>
      </c>
      <c r="F17757" s="1">
        <v>805.0</v>
      </c>
      <c r="G17757" s="1">
        <v>27.0</v>
      </c>
    </row>
    <row r="17758">
      <c r="A17758" s="1" t="s">
        <v>8</v>
      </c>
      <c r="B17758" s="2">
        <v>44789.0</v>
      </c>
      <c r="C17758" s="3">
        <v>0.7070138888888889</v>
      </c>
      <c r="D17758" s="1">
        <v>12.98627</v>
      </c>
      <c r="E17758" s="1">
        <v>80.174398</v>
      </c>
      <c r="F17758" s="1">
        <v>805.0</v>
      </c>
      <c r="G17758" s="1">
        <v>27.0</v>
      </c>
    </row>
    <row r="17759">
      <c r="A17759" s="1" t="s">
        <v>9</v>
      </c>
      <c r="B17759" s="2">
        <v>44789.0</v>
      </c>
      <c r="C17759" s="3">
        <v>0.7071527777777777</v>
      </c>
      <c r="D17759" s="1">
        <v>12.986689</v>
      </c>
      <c r="E17759" s="1">
        <v>80.175012</v>
      </c>
      <c r="F17759" s="1">
        <v>805.0</v>
      </c>
      <c r="G17759" s="1">
        <v>32.0</v>
      </c>
    </row>
    <row r="17760">
      <c r="A17760" s="1" t="s">
        <v>7</v>
      </c>
      <c r="B17760" s="2">
        <v>44789.0</v>
      </c>
      <c r="C17760" s="3">
        <v>0.7071759259259259</v>
      </c>
      <c r="D17760" s="1">
        <v>12.768527</v>
      </c>
      <c r="E17760" s="1">
        <v>80.006583</v>
      </c>
      <c r="F17760" s="1">
        <v>2846.0</v>
      </c>
      <c r="G17760" s="1">
        <v>58.0</v>
      </c>
    </row>
    <row r="17761">
      <c r="A17761" s="1" t="s">
        <v>8</v>
      </c>
      <c r="B17761" s="2">
        <v>44789.0</v>
      </c>
      <c r="C17761" s="3">
        <v>0.7077199074074074</v>
      </c>
      <c r="D17761" s="1">
        <v>12.987631</v>
      </c>
      <c r="E17761" s="1">
        <v>80.176378</v>
      </c>
      <c r="F17761" s="1">
        <v>805.0</v>
      </c>
      <c r="G17761" s="1">
        <v>13.0</v>
      </c>
    </row>
    <row r="17762">
      <c r="A17762" s="1" t="s">
        <v>8</v>
      </c>
      <c r="B17762" s="2">
        <v>44789.0</v>
      </c>
      <c r="C17762" s="3">
        <v>0.7077199074074074</v>
      </c>
      <c r="D17762" s="1">
        <v>12.987631</v>
      </c>
      <c r="E17762" s="1">
        <v>80.176378</v>
      </c>
      <c r="F17762" s="1">
        <v>805.0</v>
      </c>
      <c r="G17762" s="1">
        <v>13.0</v>
      </c>
    </row>
    <row r="17763">
      <c r="A17763" s="1" t="s">
        <v>8</v>
      </c>
      <c r="B17763" s="2">
        <v>44789.0</v>
      </c>
      <c r="C17763" s="3">
        <v>0.7083333333333334</v>
      </c>
      <c r="D17763" s="1">
        <v>12.761942</v>
      </c>
      <c r="E17763" s="1">
        <v>80.003829</v>
      </c>
      <c r="F17763" s="1">
        <v>2846.0</v>
      </c>
      <c r="G17763" s="1">
        <v>56.0</v>
      </c>
    </row>
    <row r="17764">
      <c r="A17764" s="1" t="s">
        <v>8</v>
      </c>
      <c r="B17764" s="2">
        <v>44789.0</v>
      </c>
      <c r="C17764" s="3">
        <v>0.7084027777777778</v>
      </c>
      <c r="D17764" s="1">
        <v>12.990016</v>
      </c>
      <c r="E17764" s="1">
        <v>80.1795</v>
      </c>
      <c r="F17764" s="1">
        <v>805.0</v>
      </c>
      <c r="G17764" s="1">
        <v>39.0</v>
      </c>
    </row>
    <row r="17765">
      <c r="A17765" s="1" t="s">
        <v>7</v>
      </c>
      <c r="B17765" s="2">
        <v>44789.0</v>
      </c>
      <c r="C17765" s="3">
        <v>0.7090509259259259</v>
      </c>
      <c r="D17765" s="1">
        <v>12.749779</v>
      </c>
      <c r="E17765" s="1">
        <v>79.997851</v>
      </c>
      <c r="F17765" s="1">
        <v>2846.0</v>
      </c>
      <c r="G17765" s="1">
        <v>57.0</v>
      </c>
    </row>
    <row r="17766">
      <c r="A17766" s="1" t="s">
        <v>7</v>
      </c>
      <c r="B17766" s="2">
        <v>44789.0</v>
      </c>
      <c r="C17766" s="3">
        <v>0.7095138888888889</v>
      </c>
      <c r="D17766" s="1">
        <v>12.994329</v>
      </c>
      <c r="E17766" s="1">
        <v>80.185962</v>
      </c>
      <c r="F17766" s="1">
        <v>805.0</v>
      </c>
      <c r="G17766" s="1">
        <v>37.0</v>
      </c>
    </row>
    <row r="17767">
      <c r="A17767" s="1" t="s">
        <v>8</v>
      </c>
      <c r="B17767" s="2">
        <v>44789.0</v>
      </c>
      <c r="C17767" s="3">
        <v>0.710324074074074</v>
      </c>
      <c r="D17767" s="1">
        <v>12.996148</v>
      </c>
      <c r="E17767" s="1">
        <v>80.189401</v>
      </c>
      <c r="F17767" s="1">
        <v>805.0</v>
      </c>
      <c r="G17767" s="1">
        <v>31.0</v>
      </c>
    </row>
    <row r="17768">
      <c r="A17768" s="1" t="s">
        <v>8</v>
      </c>
      <c r="B17768" s="2">
        <v>44789.0</v>
      </c>
      <c r="C17768" s="3">
        <v>0.7105439814814815</v>
      </c>
      <c r="D17768" s="1">
        <v>12.984459</v>
      </c>
      <c r="E17768" s="1">
        <v>80.171708</v>
      </c>
      <c r="F17768" s="1">
        <v>5339.0</v>
      </c>
      <c r="G17768" s="1">
        <v>40.0</v>
      </c>
    </row>
    <row r="17769">
      <c r="A17769" s="1" t="s">
        <v>7</v>
      </c>
      <c r="B17769" s="2">
        <v>44789.0</v>
      </c>
      <c r="C17769" s="3">
        <v>0.7106828703703704</v>
      </c>
      <c r="D17769" s="1">
        <v>12.74078</v>
      </c>
      <c r="E17769" s="1">
        <v>79.99063</v>
      </c>
      <c r="F17769" s="1">
        <v>2846.0</v>
      </c>
      <c r="G17769" s="1">
        <v>48.0</v>
      </c>
    </row>
    <row r="17770">
      <c r="A17770" s="1" t="s">
        <v>8</v>
      </c>
      <c r="B17770" s="2">
        <v>44789.0</v>
      </c>
      <c r="C17770" s="3">
        <v>0.7106944444444444</v>
      </c>
      <c r="D17770" s="1">
        <v>12.985264</v>
      </c>
      <c r="E17770" s="1">
        <v>80.172927</v>
      </c>
      <c r="F17770" s="1">
        <v>5339.0</v>
      </c>
      <c r="G17770" s="1">
        <v>25.0</v>
      </c>
    </row>
    <row r="17771">
      <c r="A17771" s="1" t="s">
        <v>8</v>
      </c>
      <c r="B17771" s="2">
        <v>44789.0</v>
      </c>
      <c r="C17771" s="3">
        <v>0.7107060185185186</v>
      </c>
      <c r="D17771" s="1">
        <v>12.985264</v>
      </c>
      <c r="E17771" s="1">
        <v>80.172927</v>
      </c>
      <c r="F17771" s="1">
        <v>5339.0</v>
      </c>
      <c r="G17771" s="1">
        <v>25.0</v>
      </c>
    </row>
    <row r="17772">
      <c r="A17772" s="1" t="s">
        <v>8</v>
      </c>
      <c r="B17772" s="2">
        <v>44789.0</v>
      </c>
      <c r="C17772" s="3">
        <v>0.7107523148148148</v>
      </c>
      <c r="D17772" s="1">
        <v>12.999</v>
      </c>
      <c r="E17772" s="1">
        <v>80.19286</v>
      </c>
      <c r="F17772" s="1">
        <v>805.0</v>
      </c>
      <c r="G17772" s="1">
        <v>49.0</v>
      </c>
    </row>
    <row r="17773">
      <c r="A17773" s="1" t="s">
        <v>8</v>
      </c>
      <c r="B17773" s="2">
        <v>44789.0</v>
      </c>
      <c r="C17773" s="3">
        <v>0.7108449074074074</v>
      </c>
      <c r="D17773" s="1">
        <v>12.999792</v>
      </c>
      <c r="E17773" s="1">
        <v>80.193809</v>
      </c>
      <c r="F17773" s="1">
        <v>805.0</v>
      </c>
      <c r="G17773" s="1">
        <v>43.0</v>
      </c>
    </row>
    <row r="17774">
      <c r="A17774" s="1" t="s">
        <v>8</v>
      </c>
      <c r="B17774" s="2">
        <v>44789.0</v>
      </c>
      <c r="C17774" s="3">
        <v>0.710925925925926</v>
      </c>
      <c r="D17774" s="1">
        <v>12.999792</v>
      </c>
      <c r="E17774" s="1">
        <v>80.193809</v>
      </c>
      <c r="F17774" s="1">
        <v>805.0</v>
      </c>
      <c r="G17774" s="1">
        <v>43.0</v>
      </c>
    </row>
    <row r="17775">
      <c r="A17775" s="1" t="s">
        <v>8</v>
      </c>
      <c r="B17775" s="2">
        <v>44789.0</v>
      </c>
      <c r="C17775" s="3">
        <v>0.7111574074074074</v>
      </c>
      <c r="D17775" s="1">
        <v>13.001126</v>
      </c>
      <c r="E17775" s="1">
        <v>80.195497</v>
      </c>
      <c r="F17775" s="1">
        <v>805.0</v>
      </c>
      <c r="G17775" s="1">
        <v>30.0</v>
      </c>
    </row>
    <row r="17776">
      <c r="A17776" s="1" t="s">
        <v>8</v>
      </c>
      <c r="B17776" s="2">
        <v>44789.0</v>
      </c>
      <c r="C17776" s="3">
        <v>0.7111574074074074</v>
      </c>
      <c r="D17776" s="1">
        <v>13.001126</v>
      </c>
      <c r="E17776" s="1">
        <v>80.195497</v>
      </c>
      <c r="F17776" s="1">
        <v>805.0</v>
      </c>
      <c r="G17776" s="1">
        <v>30.0</v>
      </c>
    </row>
    <row r="17777">
      <c r="A17777" s="1" t="s">
        <v>8</v>
      </c>
      <c r="B17777" s="2">
        <v>44789.0</v>
      </c>
      <c r="C17777" s="3">
        <v>0.7111689814814814</v>
      </c>
      <c r="D17777" s="1">
        <v>13.001546</v>
      </c>
      <c r="E17777" s="1">
        <v>80.195983</v>
      </c>
      <c r="F17777" s="1">
        <v>805.0</v>
      </c>
      <c r="G17777" s="1">
        <v>26.0</v>
      </c>
    </row>
    <row r="17778">
      <c r="A17778" s="1" t="s">
        <v>8</v>
      </c>
      <c r="B17778" s="2">
        <v>44789.0</v>
      </c>
      <c r="C17778" s="3">
        <v>0.7112268518518519</v>
      </c>
      <c r="D17778" s="1">
        <v>12.735107</v>
      </c>
      <c r="E17778" s="1">
        <v>79.986202</v>
      </c>
      <c r="F17778" s="1">
        <v>2846.0</v>
      </c>
      <c r="G17778" s="1">
        <v>58.0</v>
      </c>
    </row>
    <row r="17779">
      <c r="A17779" s="1" t="s">
        <v>8</v>
      </c>
      <c r="B17779" s="2">
        <v>44789.0</v>
      </c>
      <c r="C17779" s="3">
        <v>0.7112731481481481</v>
      </c>
      <c r="D17779" s="1">
        <v>13.001546</v>
      </c>
      <c r="E17779" s="1">
        <v>80.195983</v>
      </c>
      <c r="F17779" s="1">
        <v>805.0</v>
      </c>
      <c r="G17779" s="1">
        <v>26.0</v>
      </c>
    </row>
    <row r="17780">
      <c r="A17780" s="1" t="s">
        <v>8</v>
      </c>
      <c r="B17780" s="2">
        <v>44789.0</v>
      </c>
      <c r="C17780" s="3">
        <v>0.7113657407407408</v>
      </c>
      <c r="D17780" s="1">
        <v>13.001969</v>
      </c>
      <c r="E17780" s="1">
        <v>80.196604</v>
      </c>
      <c r="F17780" s="1">
        <v>805.0</v>
      </c>
      <c r="G17780" s="1">
        <v>31.0</v>
      </c>
    </row>
    <row r="17781">
      <c r="A17781" s="1" t="s">
        <v>8</v>
      </c>
      <c r="B17781" s="2">
        <v>44789.0</v>
      </c>
      <c r="C17781" s="3">
        <v>0.711412037037037</v>
      </c>
      <c r="D17781" s="1">
        <v>12.73219</v>
      </c>
      <c r="E17781" s="1">
        <v>79.983243</v>
      </c>
      <c r="F17781" s="1">
        <v>2846.0</v>
      </c>
      <c r="G17781" s="1">
        <v>50.0</v>
      </c>
    </row>
    <row r="17782">
      <c r="A17782" s="1" t="s">
        <v>10</v>
      </c>
      <c r="B17782" s="2">
        <v>44789.0</v>
      </c>
      <c r="C17782" s="3">
        <v>0.7114583333333333</v>
      </c>
      <c r="D17782" s="1">
        <v>12.938544</v>
      </c>
      <c r="E17782" s="1">
        <v>80.182242</v>
      </c>
      <c r="F17782" s="1">
        <v>3143.0</v>
      </c>
      <c r="G17782" s="1">
        <v>20.0</v>
      </c>
    </row>
    <row r="17783">
      <c r="A17783" s="1" t="s">
        <v>8</v>
      </c>
      <c r="B17783" s="2">
        <v>44789.0</v>
      </c>
      <c r="C17783" s="3">
        <v>0.7115393518518518</v>
      </c>
      <c r="D17783" s="1">
        <v>13.00189</v>
      </c>
      <c r="E17783" s="1">
        <v>80.198648</v>
      </c>
      <c r="F17783" s="1">
        <v>805.0</v>
      </c>
      <c r="G17783" s="1">
        <v>46.0</v>
      </c>
    </row>
    <row r="17784">
      <c r="A17784" s="1" t="s">
        <v>8</v>
      </c>
      <c r="B17784" s="2">
        <v>44789.0</v>
      </c>
      <c r="C17784" s="3">
        <v>0.7118055555555556</v>
      </c>
      <c r="D17784" s="1">
        <v>13.002802</v>
      </c>
      <c r="E17784" s="1">
        <v>80.200672</v>
      </c>
      <c r="F17784" s="1">
        <v>805.0</v>
      </c>
      <c r="G17784" s="1">
        <v>46.0</v>
      </c>
    </row>
    <row r="17785">
      <c r="A17785" s="1" t="s">
        <v>8</v>
      </c>
      <c r="B17785" s="2">
        <v>44789.0</v>
      </c>
      <c r="C17785" s="3">
        <v>0.7121527777777777</v>
      </c>
      <c r="D17785" s="1">
        <v>13.006012</v>
      </c>
      <c r="E17785" s="1">
        <v>80.202526</v>
      </c>
      <c r="F17785" s="1">
        <v>805.0</v>
      </c>
      <c r="G17785" s="1">
        <v>53.0</v>
      </c>
    </row>
    <row r="17786">
      <c r="A17786" s="1" t="s">
        <v>8</v>
      </c>
      <c r="B17786" s="2">
        <v>44789.0</v>
      </c>
      <c r="C17786" s="3">
        <v>0.7123263888888889</v>
      </c>
      <c r="D17786" s="1">
        <v>13.007879</v>
      </c>
      <c r="E17786" s="1">
        <v>80.203685</v>
      </c>
      <c r="F17786" s="1">
        <v>805.0</v>
      </c>
      <c r="G17786" s="1">
        <v>40.0</v>
      </c>
    </row>
    <row r="17787">
      <c r="A17787" s="1" t="s">
        <v>8</v>
      </c>
      <c r="B17787" s="2">
        <v>44789.0</v>
      </c>
      <c r="C17787" s="3">
        <v>0.7124074074074074</v>
      </c>
      <c r="D17787" s="1">
        <v>12.724146</v>
      </c>
      <c r="E17787" s="1">
        <v>79.982066</v>
      </c>
      <c r="F17787" s="1">
        <v>2846.0</v>
      </c>
      <c r="G17787" s="1">
        <v>12.0</v>
      </c>
    </row>
    <row r="17788">
      <c r="A17788" s="1" t="s">
        <v>8</v>
      </c>
      <c r="B17788" s="2">
        <v>44789.0</v>
      </c>
      <c r="C17788" s="3">
        <v>0.7125231481481481</v>
      </c>
      <c r="D17788" s="1">
        <v>12.724146</v>
      </c>
      <c r="E17788" s="1">
        <v>79.982066</v>
      </c>
      <c r="F17788" s="1">
        <v>2846.0</v>
      </c>
      <c r="G17788" s="1">
        <v>12.0</v>
      </c>
    </row>
    <row r="17789">
      <c r="A17789" s="1" t="s">
        <v>7</v>
      </c>
      <c r="B17789" s="2">
        <v>44789.0</v>
      </c>
      <c r="C17789" s="3">
        <v>0.7127199074074074</v>
      </c>
      <c r="D17789" s="1">
        <v>13.007603</v>
      </c>
      <c r="E17789" s="1">
        <v>80.204077</v>
      </c>
      <c r="F17789" s="1">
        <v>805.0</v>
      </c>
      <c r="G17789" s="1">
        <v>53.0</v>
      </c>
    </row>
    <row r="17790">
      <c r="A17790" s="1" t="s">
        <v>8</v>
      </c>
      <c r="B17790" s="2">
        <v>44789.0</v>
      </c>
      <c r="C17790" s="3">
        <v>0.7130324074074074</v>
      </c>
      <c r="D17790" s="1">
        <v>13.008024</v>
      </c>
      <c r="E17790" s="1">
        <v>80.208545</v>
      </c>
      <c r="F17790" s="1">
        <v>805.0</v>
      </c>
      <c r="G17790" s="1">
        <v>56.0</v>
      </c>
    </row>
    <row r="17791">
      <c r="A17791" s="1" t="s">
        <v>8</v>
      </c>
      <c r="B17791" s="2">
        <v>44789.0</v>
      </c>
      <c r="C17791" s="3">
        <v>0.7132638888888889</v>
      </c>
      <c r="D17791" s="1">
        <v>13.008703</v>
      </c>
      <c r="E17791" s="1">
        <v>80.210965</v>
      </c>
      <c r="F17791" s="1">
        <v>805.0</v>
      </c>
      <c r="G17791" s="1">
        <v>51.0</v>
      </c>
    </row>
    <row r="17792">
      <c r="A17792" s="1" t="s">
        <v>8</v>
      </c>
      <c r="B17792" s="2">
        <v>44789.0</v>
      </c>
      <c r="C17792" s="3">
        <v>0.7134490740740741</v>
      </c>
      <c r="D17792" s="1">
        <v>13.009078</v>
      </c>
      <c r="E17792" s="1">
        <v>80.211992</v>
      </c>
      <c r="F17792" s="1">
        <v>805.0</v>
      </c>
      <c r="G17792" s="1">
        <v>39.0</v>
      </c>
    </row>
    <row r="17793">
      <c r="A17793" s="1" t="s">
        <v>8</v>
      </c>
      <c r="B17793" s="2">
        <v>44789.0</v>
      </c>
      <c r="C17793" s="3">
        <v>0.7138194444444445</v>
      </c>
      <c r="D17793" s="1">
        <v>13.010159</v>
      </c>
      <c r="E17793" s="1">
        <v>80.214967</v>
      </c>
      <c r="F17793" s="1">
        <v>805.0</v>
      </c>
      <c r="G17793" s="1">
        <v>45.0</v>
      </c>
    </row>
    <row r="17794">
      <c r="A17794" s="1" t="s">
        <v>8</v>
      </c>
      <c r="B17794" s="2">
        <v>44789.0</v>
      </c>
      <c r="C17794" s="3">
        <v>0.7141203703703703</v>
      </c>
      <c r="D17794" s="1">
        <v>13.011374</v>
      </c>
      <c r="E17794" s="1">
        <v>80.218243</v>
      </c>
      <c r="F17794" s="1">
        <v>805.0</v>
      </c>
      <c r="G17794" s="1">
        <v>34.0</v>
      </c>
    </row>
    <row r="17795">
      <c r="A17795" s="1" t="s">
        <v>8</v>
      </c>
      <c r="B17795" s="2">
        <v>44789.0</v>
      </c>
      <c r="C17795" s="3">
        <v>0.7145601851851852</v>
      </c>
      <c r="D17795" s="1">
        <v>13.01276</v>
      </c>
      <c r="E17795" s="1">
        <v>80.22192</v>
      </c>
      <c r="F17795" s="1">
        <v>805.0</v>
      </c>
      <c r="G17795" s="1">
        <v>32.0</v>
      </c>
    </row>
    <row r="17796">
      <c r="A17796" s="1" t="s">
        <v>8</v>
      </c>
      <c r="B17796" s="2">
        <v>44789.0</v>
      </c>
      <c r="C17796" s="3">
        <v>0.7146412037037037</v>
      </c>
      <c r="D17796" s="1">
        <v>13.013337</v>
      </c>
      <c r="E17796" s="1">
        <v>80.222631</v>
      </c>
      <c r="F17796" s="1">
        <v>805.0</v>
      </c>
      <c r="G17796" s="1">
        <v>41.0</v>
      </c>
    </row>
    <row r="17797">
      <c r="A17797" s="1" t="s">
        <v>8</v>
      </c>
      <c r="B17797" s="2">
        <v>44789.0</v>
      </c>
      <c r="C17797" s="3">
        <v>0.7147569444444445</v>
      </c>
      <c r="D17797" s="1">
        <v>12.998436</v>
      </c>
      <c r="E17797" s="1">
        <v>80.192088</v>
      </c>
      <c r="F17797" s="1">
        <v>5339.0</v>
      </c>
      <c r="G17797" s="1">
        <v>37.0</v>
      </c>
    </row>
    <row r="17798">
      <c r="A17798" s="1" t="s">
        <v>8</v>
      </c>
      <c r="B17798" s="2">
        <v>44789.0</v>
      </c>
      <c r="C17798" s="3">
        <v>0.7148726851851852</v>
      </c>
      <c r="D17798" s="1">
        <v>13.01466</v>
      </c>
      <c r="E17798" s="1">
        <v>80.224251</v>
      </c>
      <c r="F17798" s="1">
        <v>805.0</v>
      </c>
      <c r="G17798" s="1">
        <v>37.0</v>
      </c>
    </row>
    <row r="17799">
      <c r="A17799" s="1" t="s">
        <v>8</v>
      </c>
      <c r="B17799" s="2">
        <v>44789.0</v>
      </c>
      <c r="C17799" s="3">
        <v>0.7148958333333333</v>
      </c>
      <c r="D17799" s="1">
        <v>13.01466</v>
      </c>
      <c r="E17799" s="1">
        <v>80.224251</v>
      </c>
      <c r="F17799" s="1">
        <v>805.0</v>
      </c>
      <c r="G17799" s="1">
        <v>37.0</v>
      </c>
    </row>
    <row r="17800">
      <c r="A17800" s="1" t="s">
        <v>8</v>
      </c>
      <c r="B17800" s="2">
        <v>44789.0</v>
      </c>
      <c r="C17800" s="3">
        <v>0.715300925925926</v>
      </c>
      <c r="D17800" s="1">
        <v>13.000714</v>
      </c>
      <c r="E17800" s="1">
        <v>80.194976</v>
      </c>
      <c r="F17800" s="1">
        <v>5339.0</v>
      </c>
      <c r="G17800" s="1">
        <v>36.0</v>
      </c>
    </row>
    <row r="17801">
      <c r="A17801" s="1" t="s">
        <v>8</v>
      </c>
      <c r="B17801" s="2">
        <v>44789.0</v>
      </c>
      <c r="C17801" s="3">
        <v>0.7153356481481481</v>
      </c>
      <c r="D17801" s="1">
        <v>13.001267</v>
      </c>
      <c r="E17801" s="1">
        <v>80.19564</v>
      </c>
      <c r="F17801" s="1">
        <v>5339.0</v>
      </c>
      <c r="G17801" s="1">
        <v>31.0</v>
      </c>
    </row>
    <row r="17802">
      <c r="A17802" s="1" t="s">
        <v>8</v>
      </c>
      <c r="B17802" s="2">
        <v>44789.0</v>
      </c>
      <c r="C17802" s="3">
        <v>0.7153819444444445</v>
      </c>
      <c r="D17802" s="1">
        <v>12.951657</v>
      </c>
      <c r="E17802" s="1">
        <v>80.18602</v>
      </c>
      <c r="F17802" s="1">
        <v>3143.0</v>
      </c>
      <c r="G17802" s="1">
        <v>24.0</v>
      </c>
    </row>
    <row r="17803">
      <c r="A17803" s="1" t="s">
        <v>8</v>
      </c>
      <c r="B17803" s="2">
        <v>44789.0</v>
      </c>
      <c r="C17803" s="3">
        <v>0.7154050925925926</v>
      </c>
      <c r="D17803" s="1">
        <v>12.951657</v>
      </c>
      <c r="E17803" s="1">
        <v>80.18602</v>
      </c>
      <c r="F17803" s="1">
        <v>3143.0</v>
      </c>
      <c r="G17803" s="1">
        <v>24.0</v>
      </c>
    </row>
    <row r="17804">
      <c r="A17804" s="1" t="s">
        <v>8</v>
      </c>
      <c r="B17804" s="2">
        <v>44789.0</v>
      </c>
      <c r="C17804" s="3">
        <v>0.7155208333333334</v>
      </c>
      <c r="D17804" s="1">
        <v>13.001789</v>
      </c>
      <c r="E17804" s="1">
        <v>80.196281</v>
      </c>
      <c r="F17804" s="1">
        <v>5339.0</v>
      </c>
      <c r="G17804" s="1">
        <v>34.0</v>
      </c>
    </row>
    <row r="17805">
      <c r="A17805" s="1" t="s">
        <v>8</v>
      </c>
      <c r="B17805" s="2">
        <v>44789.0</v>
      </c>
      <c r="C17805" s="3">
        <v>0.7155787037037037</v>
      </c>
      <c r="D17805" s="1">
        <v>13.002143</v>
      </c>
      <c r="E17805" s="1">
        <v>80.197059</v>
      </c>
      <c r="F17805" s="1">
        <v>5339.0</v>
      </c>
      <c r="G17805" s="1">
        <v>35.0</v>
      </c>
    </row>
    <row r="17806">
      <c r="A17806" s="1" t="s">
        <v>8</v>
      </c>
      <c r="B17806" s="2">
        <v>44789.0</v>
      </c>
      <c r="C17806" s="3">
        <v>0.715925925925926</v>
      </c>
      <c r="D17806" s="1">
        <v>13.010746</v>
      </c>
      <c r="E17806" s="1">
        <v>80.227715</v>
      </c>
      <c r="F17806" s="1">
        <v>805.0</v>
      </c>
      <c r="G17806" s="1">
        <v>44.0</v>
      </c>
    </row>
    <row r="17807">
      <c r="A17807" s="1" t="s">
        <v>8</v>
      </c>
      <c r="B17807" s="2">
        <v>44789.0</v>
      </c>
      <c r="C17807" s="3">
        <v>0.7174537037037036</v>
      </c>
      <c r="D17807" s="1">
        <v>13.007858</v>
      </c>
      <c r="E17807" s="1">
        <v>80.207148</v>
      </c>
      <c r="F17807" s="1">
        <v>5339.0</v>
      </c>
      <c r="G17807" s="1">
        <v>41.0</v>
      </c>
    </row>
    <row r="17808">
      <c r="A17808" s="1" t="s">
        <v>8</v>
      </c>
      <c r="B17808" s="2">
        <v>44789.0</v>
      </c>
      <c r="C17808" s="3">
        <v>0.7184606481481481</v>
      </c>
      <c r="D17808" s="1">
        <v>13.009745</v>
      </c>
      <c r="E17808" s="1">
        <v>80.213743</v>
      </c>
      <c r="F17808" s="1">
        <v>5339.0</v>
      </c>
      <c r="G17808" s="1">
        <v>26.0</v>
      </c>
    </row>
    <row r="17809">
      <c r="A17809" s="1" t="s">
        <v>8</v>
      </c>
      <c r="B17809" s="2">
        <v>44789.0</v>
      </c>
      <c r="C17809" s="3">
        <v>0.7184606481481481</v>
      </c>
      <c r="D17809" s="1">
        <v>13.009493</v>
      </c>
      <c r="E17809" s="1">
        <v>80.213136</v>
      </c>
      <c r="F17809" s="1">
        <v>5339.0</v>
      </c>
      <c r="G17809" s="1">
        <v>21.0</v>
      </c>
    </row>
    <row r="17810">
      <c r="A17810" s="1" t="s">
        <v>8</v>
      </c>
      <c r="B17810" s="2">
        <v>44789.0</v>
      </c>
      <c r="C17810" s="3">
        <v>0.7184722222222222</v>
      </c>
      <c r="D17810" s="1">
        <v>13.009745</v>
      </c>
      <c r="E17810" s="1">
        <v>80.213743</v>
      </c>
      <c r="F17810" s="1">
        <v>5339.0</v>
      </c>
      <c r="G17810" s="1">
        <v>26.0</v>
      </c>
    </row>
    <row r="17811">
      <c r="A17811" s="1" t="s">
        <v>8</v>
      </c>
      <c r="B17811" s="2">
        <v>44789.0</v>
      </c>
      <c r="C17811" s="3">
        <v>0.7188773148148148</v>
      </c>
      <c r="D17811" s="1">
        <v>13.010474</v>
      </c>
      <c r="E17811" s="1">
        <v>80.216194</v>
      </c>
      <c r="F17811" s="1">
        <v>5339.0</v>
      </c>
      <c r="G17811" s="1">
        <v>39.0</v>
      </c>
    </row>
    <row r="17812">
      <c r="A17812" s="1" t="s">
        <v>10</v>
      </c>
      <c r="B17812" s="2">
        <v>44789.0</v>
      </c>
      <c r="C17812" s="3">
        <v>0.7193055555555555</v>
      </c>
      <c r="D17812" s="1">
        <v>12.965358</v>
      </c>
      <c r="E17812" s="1">
        <v>80.188231</v>
      </c>
      <c r="F17812" s="1">
        <v>3143.0</v>
      </c>
      <c r="G17812" s="1">
        <v>26.0</v>
      </c>
    </row>
    <row r="17813">
      <c r="A17813" s="1" t="s">
        <v>9</v>
      </c>
      <c r="B17813" s="2">
        <v>44789.0</v>
      </c>
      <c r="C17813" s="3">
        <v>0.7193981481481482</v>
      </c>
      <c r="D17813" s="1">
        <v>13.012351</v>
      </c>
      <c r="E17813" s="1">
        <v>80.221087</v>
      </c>
      <c r="F17813" s="1">
        <v>5339.0</v>
      </c>
      <c r="G17813" s="1">
        <v>36.0</v>
      </c>
    </row>
    <row r="17814">
      <c r="A17814" s="1" t="s">
        <v>8</v>
      </c>
      <c r="B17814" s="2">
        <v>44789.0</v>
      </c>
      <c r="C17814" s="3">
        <v>0.7207870370370371</v>
      </c>
      <c r="D17814" s="1">
        <v>13.006786</v>
      </c>
      <c r="E17814" s="1">
        <v>80.240662</v>
      </c>
      <c r="F17814" s="1">
        <v>805.0</v>
      </c>
      <c r="G17814" s="1">
        <v>32.0</v>
      </c>
    </row>
    <row r="17815">
      <c r="A17815" s="1" t="s">
        <v>8</v>
      </c>
      <c r="B17815" s="2">
        <v>44789.0</v>
      </c>
      <c r="C17815" s="3">
        <v>0.7212731481481481</v>
      </c>
      <c r="D17815" s="1">
        <v>13.021626</v>
      </c>
      <c r="E17815" s="1">
        <v>80.225947</v>
      </c>
      <c r="F17815" s="1">
        <v>5339.0</v>
      </c>
      <c r="G17815" s="1">
        <v>32.0</v>
      </c>
    </row>
    <row r="17816">
      <c r="A17816" s="1" t="s">
        <v>8</v>
      </c>
      <c r="B17816" s="2">
        <v>44789.0</v>
      </c>
      <c r="C17816" s="3">
        <v>0.7214814814814815</v>
      </c>
      <c r="D17816" s="1">
        <v>13.022824</v>
      </c>
      <c r="E17816" s="1">
        <v>80.226943</v>
      </c>
      <c r="F17816" s="1">
        <v>5339.0</v>
      </c>
      <c r="G17816" s="1">
        <v>36.0</v>
      </c>
    </row>
    <row r="17817">
      <c r="A17817" s="1" t="s">
        <v>8</v>
      </c>
      <c r="B17817" s="2">
        <v>44789.0</v>
      </c>
      <c r="C17817" s="3">
        <v>0.7221180555555555</v>
      </c>
      <c r="D17817" s="1">
        <v>13.024533</v>
      </c>
      <c r="E17817" s="1">
        <v>80.228778</v>
      </c>
      <c r="F17817" s="1">
        <v>5339.0</v>
      </c>
      <c r="G17817" s="1">
        <v>26.0</v>
      </c>
    </row>
    <row r="17818">
      <c r="A17818" s="1" t="s">
        <v>8</v>
      </c>
      <c r="B17818" s="2">
        <v>44789.0</v>
      </c>
      <c r="C17818" s="3">
        <v>0.7233333333333334</v>
      </c>
      <c r="D17818" s="1">
        <v>13.026286</v>
      </c>
      <c r="E17818" s="1">
        <v>80.232326</v>
      </c>
      <c r="F17818" s="1">
        <v>5339.0</v>
      </c>
      <c r="G17818" s="1">
        <v>32.0</v>
      </c>
    </row>
    <row r="17819">
      <c r="A17819" s="1" t="s">
        <v>8</v>
      </c>
      <c r="B17819" s="2">
        <v>44789.0</v>
      </c>
      <c r="C17819" s="3">
        <v>0.7233333333333334</v>
      </c>
      <c r="D17819" s="1">
        <v>13.026286</v>
      </c>
      <c r="E17819" s="1">
        <v>80.232326</v>
      </c>
      <c r="F17819" s="1">
        <v>5339.0</v>
      </c>
      <c r="G17819" s="1">
        <v>32.0</v>
      </c>
    </row>
    <row r="17820">
      <c r="A17820" s="1" t="s">
        <v>8</v>
      </c>
      <c r="B17820" s="2">
        <v>44789.0</v>
      </c>
      <c r="C17820" s="3">
        <v>0.7233449074074074</v>
      </c>
      <c r="D17820" s="1">
        <v>13.026286</v>
      </c>
      <c r="E17820" s="1">
        <v>80.232326</v>
      </c>
      <c r="F17820" s="1">
        <v>5339.0</v>
      </c>
      <c r="G17820" s="1">
        <v>32.0</v>
      </c>
    </row>
    <row r="17821">
      <c r="A17821" s="1" t="s">
        <v>8</v>
      </c>
      <c r="B17821" s="2">
        <v>44789.0</v>
      </c>
      <c r="C17821" s="3">
        <v>0.7234953703703704</v>
      </c>
      <c r="D17821" s="1">
        <v>13.02659</v>
      </c>
      <c r="E17821" s="1">
        <v>80.233017</v>
      </c>
      <c r="F17821" s="1">
        <v>5339.0</v>
      </c>
      <c r="G17821" s="1">
        <v>29.0</v>
      </c>
    </row>
    <row r="17822">
      <c r="A17822" s="1" t="s">
        <v>8</v>
      </c>
      <c r="B17822" s="2">
        <v>44789.0</v>
      </c>
      <c r="C17822" s="3">
        <v>0.7236574074074074</v>
      </c>
      <c r="D17822" s="1">
        <v>13.027479</v>
      </c>
      <c r="E17822" s="1">
        <v>80.234452</v>
      </c>
      <c r="F17822" s="1">
        <v>5339.0</v>
      </c>
      <c r="G17822" s="1">
        <v>35.0</v>
      </c>
    </row>
    <row r="17823">
      <c r="A17823" s="1" t="s">
        <v>8</v>
      </c>
      <c r="B17823" s="2">
        <v>44789.0</v>
      </c>
      <c r="C17823" s="3">
        <v>0.724837962962963</v>
      </c>
      <c r="D17823" s="1">
        <v>13.006626</v>
      </c>
      <c r="E17823" s="1">
        <v>80.252401</v>
      </c>
      <c r="F17823" s="1">
        <v>805.0</v>
      </c>
      <c r="G17823" s="1">
        <v>32.0</v>
      </c>
    </row>
    <row r="17824">
      <c r="A17824" s="1" t="s">
        <v>8</v>
      </c>
      <c r="B17824" s="2">
        <v>44789.0</v>
      </c>
      <c r="C17824" s="3">
        <v>0.7249768518518519</v>
      </c>
      <c r="D17824" s="1">
        <v>12.963881</v>
      </c>
      <c r="E17824" s="1">
        <v>80.214571</v>
      </c>
      <c r="F17824" s="1">
        <v>3143.0</v>
      </c>
      <c r="G17824" s="1">
        <v>31.0</v>
      </c>
    </row>
    <row r="17825">
      <c r="A17825" s="1" t="s">
        <v>8</v>
      </c>
      <c r="B17825" s="2">
        <v>44789.0</v>
      </c>
      <c r="C17825" s="3">
        <v>0.7252777777777778</v>
      </c>
      <c r="D17825" s="1">
        <v>13.006575</v>
      </c>
      <c r="E17825" s="1">
        <v>80.254854</v>
      </c>
      <c r="F17825" s="1">
        <v>805.0</v>
      </c>
      <c r="G17825" s="1">
        <v>31.0</v>
      </c>
    </row>
    <row r="17826">
      <c r="A17826" s="1" t="s">
        <v>9</v>
      </c>
      <c r="B17826" s="2">
        <v>44789.0</v>
      </c>
      <c r="C17826" s="3">
        <v>0.7253472222222223</v>
      </c>
      <c r="D17826" s="1">
        <v>13.006612</v>
      </c>
      <c r="E17826" s="1">
        <v>80.255913</v>
      </c>
      <c r="F17826" s="1">
        <v>805.0</v>
      </c>
      <c r="G17826" s="1">
        <v>45.0</v>
      </c>
    </row>
    <row r="17827">
      <c r="A17827" s="1" t="s">
        <v>8</v>
      </c>
      <c r="B17827" s="2">
        <v>44789.0</v>
      </c>
      <c r="C17827" s="3">
        <v>0.7255208333333333</v>
      </c>
      <c r="D17827" s="1">
        <v>12.965729</v>
      </c>
      <c r="E17827" s="1">
        <v>80.216824</v>
      </c>
      <c r="F17827" s="1">
        <v>3143.0</v>
      </c>
      <c r="G17827" s="1">
        <v>47.0</v>
      </c>
    </row>
    <row r="17828">
      <c r="A17828" s="1" t="s">
        <v>8</v>
      </c>
      <c r="B17828" s="2">
        <v>44789.0</v>
      </c>
      <c r="C17828" s="3">
        <v>0.7264814814814815</v>
      </c>
      <c r="D17828" s="1">
        <v>13.031427</v>
      </c>
      <c r="E17828" s="1">
        <v>80.240415</v>
      </c>
      <c r="F17828" s="1">
        <v>5339.0</v>
      </c>
      <c r="G17828" s="1">
        <v>40.0</v>
      </c>
    </row>
    <row r="17829">
      <c r="A17829" s="1" t="s">
        <v>8</v>
      </c>
      <c r="B17829" s="2">
        <v>44789.0</v>
      </c>
      <c r="C17829" s="3">
        <v>0.7266435185185185</v>
      </c>
      <c r="D17829" s="1">
        <v>13.031921</v>
      </c>
      <c r="E17829" s="1">
        <v>80.241516</v>
      </c>
      <c r="F17829" s="1">
        <v>5339.0</v>
      </c>
      <c r="G17829" s="1">
        <v>48.0</v>
      </c>
    </row>
    <row r="17830">
      <c r="A17830" s="1" t="s">
        <v>8</v>
      </c>
      <c r="B17830" s="2">
        <v>44789.0</v>
      </c>
      <c r="C17830" s="3">
        <v>0.7271180555555555</v>
      </c>
      <c r="D17830" s="1">
        <v>13.034069</v>
      </c>
      <c r="E17830" s="1">
        <v>80.244584</v>
      </c>
      <c r="F17830" s="1">
        <v>5339.0</v>
      </c>
      <c r="G17830" s="1">
        <v>22.0</v>
      </c>
    </row>
    <row r="17831">
      <c r="A17831" s="1" t="s">
        <v>8</v>
      </c>
      <c r="B17831" s="2">
        <v>44789.0</v>
      </c>
      <c r="C17831" s="3">
        <v>0.727199074074074</v>
      </c>
      <c r="D17831" s="1">
        <v>13.009208</v>
      </c>
      <c r="E17831" s="1">
        <v>80.259033</v>
      </c>
      <c r="F17831" s="1">
        <v>805.0</v>
      </c>
      <c r="G17831" s="1">
        <v>29.0</v>
      </c>
    </row>
    <row r="17832">
      <c r="A17832" s="1" t="s">
        <v>8</v>
      </c>
      <c r="B17832" s="2">
        <v>44789.0</v>
      </c>
      <c r="C17832" s="3">
        <v>0.7273032407407407</v>
      </c>
      <c r="D17832" s="1">
        <v>13.0102</v>
      </c>
      <c r="E17832" s="1">
        <v>80.25903</v>
      </c>
      <c r="F17832" s="1">
        <v>805.0</v>
      </c>
      <c r="G17832" s="1">
        <v>45.0</v>
      </c>
    </row>
    <row r="17833">
      <c r="A17833" s="1" t="s">
        <v>7</v>
      </c>
      <c r="B17833" s="2">
        <v>44789.0</v>
      </c>
      <c r="C17833" s="3">
        <v>0.7275115740740741</v>
      </c>
      <c r="D17833" s="1">
        <v>13.012811</v>
      </c>
      <c r="E17833" s="1">
        <v>80.259138</v>
      </c>
      <c r="F17833" s="1">
        <v>805.0</v>
      </c>
      <c r="G17833" s="1">
        <v>56.0</v>
      </c>
    </row>
    <row r="17834">
      <c r="A17834" s="1" t="s">
        <v>10</v>
      </c>
      <c r="B17834" s="2">
        <v>44789.0</v>
      </c>
      <c r="C17834" s="3">
        <v>0.7275810185185185</v>
      </c>
      <c r="D17834" s="1">
        <v>12.97565</v>
      </c>
      <c r="E17834" s="1">
        <v>80.220793</v>
      </c>
      <c r="F17834" s="1">
        <v>3143.0</v>
      </c>
      <c r="G17834" s="1">
        <v>15.0</v>
      </c>
    </row>
    <row r="17835">
      <c r="A17835" s="1" t="s">
        <v>7</v>
      </c>
      <c r="B17835" s="2">
        <v>44789.0</v>
      </c>
      <c r="C17835" s="3">
        <v>0.7276273148148148</v>
      </c>
      <c r="D17835" s="1">
        <v>13.012811</v>
      </c>
      <c r="E17835" s="1">
        <v>80.259138</v>
      </c>
      <c r="F17835" s="1">
        <v>805.0</v>
      </c>
      <c r="G17835" s="1">
        <v>56.0</v>
      </c>
    </row>
    <row r="17836">
      <c r="A17836" s="1" t="s">
        <v>8</v>
      </c>
      <c r="B17836" s="2">
        <v>44789.0</v>
      </c>
      <c r="C17836" s="3">
        <v>0.7277199074074074</v>
      </c>
      <c r="D17836" s="1">
        <v>12.975967</v>
      </c>
      <c r="E17836" s="1">
        <v>80.221116</v>
      </c>
      <c r="F17836" s="1">
        <v>3143.0</v>
      </c>
      <c r="G17836" s="1">
        <v>20.0</v>
      </c>
    </row>
    <row r="17837">
      <c r="A17837" s="1" t="s">
        <v>8</v>
      </c>
      <c r="B17837" s="2">
        <v>44789.0</v>
      </c>
      <c r="C17837" s="3">
        <v>0.7279629629629629</v>
      </c>
      <c r="D17837" s="1">
        <v>13.016514</v>
      </c>
      <c r="E17837" s="1">
        <v>80.259774</v>
      </c>
      <c r="F17837" s="1">
        <v>805.0</v>
      </c>
      <c r="G17837" s="1">
        <v>31.0</v>
      </c>
    </row>
    <row r="17838">
      <c r="A17838" s="1" t="s">
        <v>8</v>
      </c>
      <c r="B17838" s="2">
        <v>44789.0</v>
      </c>
      <c r="C17838" s="3">
        <v>0.7279745370370371</v>
      </c>
      <c r="D17838" s="1">
        <v>13.016514</v>
      </c>
      <c r="E17838" s="1">
        <v>80.259774</v>
      </c>
      <c r="F17838" s="1">
        <v>805.0</v>
      </c>
      <c r="G17838" s="1">
        <v>31.0</v>
      </c>
    </row>
    <row r="17839">
      <c r="A17839" s="1" t="s">
        <v>8</v>
      </c>
      <c r="B17839" s="2">
        <v>44789.0</v>
      </c>
      <c r="C17839" s="3">
        <v>0.7281712962962963</v>
      </c>
      <c r="D17839" s="1">
        <v>12.977324</v>
      </c>
      <c r="E17839" s="1">
        <v>80.223323</v>
      </c>
      <c r="F17839" s="1">
        <v>3143.0</v>
      </c>
      <c r="G17839" s="1">
        <v>23.0</v>
      </c>
    </row>
    <row r="17840">
      <c r="A17840" s="1" t="s">
        <v>8</v>
      </c>
      <c r="B17840" s="2">
        <v>44789.0</v>
      </c>
      <c r="C17840" s="3">
        <v>0.7281944444444445</v>
      </c>
      <c r="D17840" s="1">
        <v>12.977324</v>
      </c>
      <c r="E17840" s="1">
        <v>80.223323</v>
      </c>
      <c r="F17840" s="1">
        <v>3143.0</v>
      </c>
      <c r="G17840" s="1">
        <v>23.0</v>
      </c>
    </row>
    <row r="17841">
      <c r="A17841" s="1" t="s">
        <v>8</v>
      </c>
      <c r="B17841" s="2">
        <v>44789.0</v>
      </c>
      <c r="C17841" s="3">
        <v>0.7282175925925926</v>
      </c>
      <c r="D17841" s="1">
        <v>12.977324</v>
      </c>
      <c r="E17841" s="1">
        <v>80.223323</v>
      </c>
      <c r="F17841" s="1">
        <v>3143.0</v>
      </c>
      <c r="G17841" s="1">
        <v>23.0</v>
      </c>
    </row>
    <row r="17842">
      <c r="A17842" s="1" t="s">
        <v>8</v>
      </c>
      <c r="B17842" s="2">
        <v>44789.0</v>
      </c>
      <c r="C17842" s="3">
        <v>0.7285416666666666</v>
      </c>
      <c r="D17842" s="1">
        <v>12.97846</v>
      </c>
      <c r="E17842" s="1">
        <v>80.225131</v>
      </c>
      <c r="F17842" s="1">
        <v>3143.0</v>
      </c>
      <c r="G17842" s="1">
        <v>17.0</v>
      </c>
    </row>
    <row r="17843">
      <c r="A17843" s="1" t="s">
        <v>8</v>
      </c>
      <c r="B17843" s="2">
        <v>44789.0</v>
      </c>
      <c r="C17843" s="3">
        <v>0.7285532407407408</v>
      </c>
      <c r="D17843" s="1">
        <v>12.97846</v>
      </c>
      <c r="E17843" s="1">
        <v>80.225131</v>
      </c>
      <c r="F17843" s="1">
        <v>3143.0</v>
      </c>
      <c r="G17843" s="1">
        <v>17.0</v>
      </c>
    </row>
    <row r="17844">
      <c r="A17844" s="1" t="s">
        <v>10</v>
      </c>
      <c r="B17844" s="2">
        <v>44789.0</v>
      </c>
      <c r="C17844" s="3">
        <v>0.728738425925926</v>
      </c>
      <c r="D17844" s="1">
        <v>13.019068</v>
      </c>
      <c r="E17844" s="1">
        <v>80.261484</v>
      </c>
      <c r="F17844" s="1">
        <v>805.0</v>
      </c>
      <c r="G17844" s="1">
        <v>6.0</v>
      </c>
    </row>
    <row r="17845">
      <c r="A17845" s="1" t="s">
        <v>8</v>
      </c>
      <c r="B17845" s="2">
        <v>44789.0</v>
      </c>
      <c r="C17845" s="3">
        <v>0.7288194444444445</v>
      </c>
      <c r="D17845" s="1">
        <v>13.041871</v>
      </c>
      <c r="E17845" s="1">
        <v>80.247389</v>
      </c>
      <c r="F17845" s="1">
        <v>5339.0</v>
      </c>
      <c r="G17845" s="1">
        <v>26.0</v>
      </c>
    </row>
    <row r="17846">
      <c r="A17846" s="1" t="s">
        <v>8</v>
      </c>
      <c r="B17846" s="2">
        <v>44789.0</v>
      </c>
      <c r="C17846" s="3">
        <v>0.7288310185185185</v>
      </c>
      <c r="D17846" s="1">
        <v>13.041871</v>
      </c>
      <c r="E17846" s="1">
        <v>80.247389</v>
      </c>
      <c r="F17846" s="1">
        <v>5339.0</v>
      </c>
      <c r="G17846" s="1">
        <v>26.0</v>
      </c>
    </row>
    <row r="17847">
      <c r="A17847" s="1" t="s">
        <v>8</v>
      </c>
      <c r="B17847" s="2">
        <v>44789.0</v>
      </c>
      <c r="C17847" s="3">
        <v>0.7288657407407407</v>
      </c>
      <c r="D17847" s="1">
        <v>13.042515</v>
      </c>
      <c r="E17847" s="1">
        <v>80.247494</v>
      </c>
      <c r="F17847" s="1">
        <v>5339.0</v>
      </c>
      <c r="G17847" s="1">
        <v>29.0</v>
      </c>
    </row>
    <row r="17848">
      <c r="A17848" s="1" t="s">
        <v>8</v>
      </c>
      <c r="B17848" s="2">
        <v>44789.0</v>
      </c>
      <c r="C17848" s="3">
        <v>0.7289930555555556</v>
      </c>
      <c r="D17848" s="1">
        <v>13.043348</v>
      </c>
      <c r="E17848" s="1">
        <v>80.247676</v>
      </c>
      <c r="F17848" s="1">
        <v>5339.0</v>
      </c>
      <c r="G17848" s="1">
        <v>36.0</v>
      </c>
    </row>
    <row r="17849">
      <c r="A17849" s="1" t="s">
        <v>8</v>
      </c>
      <c r="B17849" s="2">
        <v>44789.0</v>
      </c>
      <c r="C17849" s="3">
        <v>0.7295023148148149</v>
      </c>
      <c r="D17849" s="1">
        <v>13.021444</v>
      </c>
      <c r="E17849" s="1">
        <v>80.263037</v>
      </c>
      <c r="F17849" s="1">
        <v>805.0</v>
      </c>
      <c r="G17849" s="1">
        <v>14.0</v>
      </c>
    </row>
    <row r="17850">
      <c r="A17850" s="1" t="s">
        <v>8</v>
      </c>
      <c r="B17850" s="2">
        <v>44789.0</v>
      </c>
      <c r="C17850" s="3">
        <v>0.7299189814814815</v>
      </c>
      <c r="D17850" s="1">
        <v>13.044619</v>
      </c>
      <c r="E17850" s="1">
        <v>80.247905</v>
      </c>
      <c r="F17850" s="1">
        <v>5339.0</v>
      </c>
      <c r="G17850" s="1">
        <v>8.0</v>
      </c>
    </row>
    <row r="17851">
      <c r="A17851" s="1" t="s">
        <v>8</v>
      </c>
      <c r="B17851" s="2">
        <v>44789.0</v>
      </c>
      <c r="C17851" s="3">
        <v>0.7300347222222222</v>
      </c>
      <c r="D17851" s="1">
        <v>13.044619</v>
      </c>
      <c r="E17851" s="1">
        <v>80.247905</v>
      </c>
      <c r="F17851" s="1">
        <v>5339.0</v>
      </c>
      <c r="G17851" s="1">
        <v>8.0</v>
      </c>
    </row>
    <row r="17852">
      <c r="A17852" s="1" t="s">
        <v>8</v>
      </c>
      <c r="B17852" s="2">
        <v>44789.0</v>
      </c>
      <c r="C17852" s="3">
        <v>0.7300694444444444</v>
      </c>
      <c r="D17852" s="1">
        <v>13.046894</v>
      </c>
      <c r="E17852" s="1">
        <v>80.248362</v>
      </c>
      <c r="F17852" s="1">
        <v>5339.0</v>
      </c>
      <c r="G17852" s="1">
        <v>29.0</v>
      </c>
    </row>
    <row r="17853">
      <c r="A17853" s="1" t="s">
        <v>8</v>
      </c>
      <c r="B17853" s="2">
        <v>44789.0</v>
      </c>
      <c r="C17853" s="3">
        <v>0.7301388888888889</v>
      </c>
      <c r="D17853" s="1">
        <v>13.047641</v>
      </c>
      <c r="E17853" s="1">
        <v>80.248834</v>
      </c>
      <c r="F17853" s="1">
        <v>5339.0</v>
      </c>
      <c r="G17853" s="1">
        <v>37.0</v>
      </c>
    </row>
    <row r="17854">
      <c r="A17854" s="1" t="s">
        <v>8</v>
      </c>
      <c r="B17854" s="2">
        <v>44789.0</v>
      </c>
      <c r="C17854" s="3">
        <v>0.7306365740740741</v>
      </c>
      <c r="D17854" s="1">
        <v>13.049725</v>
      </c>
      <c r="E17854" s="1">
        <v>80.249774</v>
      </c>
      <c r="F17854" s="1">
        <v>5339.0</v>
      </c>
      <c r="G17854" s="1">
        <v>28.0</v>
      </c>
    </row>
    <row r="17855">
      <c r="A17855" s="1" t="s">
        <v>7</v>
      </c>
      <c r="B17855" s="2">
        <v>44789.0</v>
      </c>
      <c r="C17855" s="3">
        <v>0.7308101851851851</v>
      </c>
      <c r="D17855" s="1">
        <v>12.635519</v>
      </c>
      <c r="E17855" s="1">
        <v>79.933661</v>
      </c>
      <c r="F17855" s="1">
        <v>2846.0</v>
      </c>
      <c r="G17855" s="1">
        <v>57.0</v>
      </c>
    </row>
    <row r="17856">
      <c r="A17856" s="1" t="s">
        <v>8</v>
      </c>
      <c r="B17856" s="2">
        <v>44789.0</v>
      </c>
      <c r="C17856" s="3">
        <v>0.7312037037037037</v>
      </c>
      <c r="D17856" s="1">
        <v>13.052533</v>
      </c>
      <c r="E17856" s="1">
        <v>80.25123</v>
      </c>
      <c r="F17856" s="1">
        <v>5339.0</v>
      </c>
      <c r="G17856" s="1">
        <v>32.0</v>
      </c>
    </row>
    <row r="17857">
      <c r="A17857" s="1" t="s">
        <v>7</v>
      </c>
      <c r="B17857" s="2">
        <v>44789.0</v>
      </c>
      <c r="C17857" s="3">
        <v>0.7314699074074074</v>
      </c>
      <c r="D17857" s="1">
        <v>12.620584</v>
      </c>
      <c r="E17857" s="1">
        <v>79.9273</v>
      </c>
      <c r="F17857" s="1">
        <v>2846.0</v>
      </c>
      <c r="G17857" s="1">
        <v>57.0</v>
      </c>
    </row>
    <row r="17858">
      <c r="A17858" s="1" t="s">
        <v>8</v>
      </c>
      <c r="B17858" s="2">
        <v>44789.0</v>
      </c>
      <c r="C17858" s="3">
        <v>0.7329513888888889</v>
      </c>
      <c r="D17858" s="1">
        <v>13.056432</v>
      </c>
      <c r="E17858" s="1">
        <v>80.256436</v>
      </c>
      <c r="F17858" s="1">
        <v>5339.0</v>
      </c>
      <c r="G17858" s="1">
        <v>22.0</v>
      </c>
    </row>
    <row r="17859">
      <c r="A17859" s="1" t="s">
        <v>8</v>
      </c>
      <c r="B17859" s="2">
        <v>44789.0</v>
      </c>
      <c r="C17859" s="3">
        <v>0.7329629629629629</v>
      </c>
      <c r="D17859" s="1">
        <v>13.056432</v>
      </c>
      <c r="E17859" s="1">
        <v>80.256436</v>
      </c>
      <c r="F17859" s="1">
        <v>5339.0</v>
      </c>
      <c r="G17859" s="1">
        <v>22.0</v>
      </c>
    </row>
    <row r="17860">
      <c r="A17860" s="1" t="s">
        <v>8</v>
      </c>
      <c r="B17860" s="2">
        <v>44789.0</v>
      </c>
      <c r="C17860" s="3">
        <v>0.7329629629629629</v>
      </c>
      <c r="D17860" s="1">
        <v>13.056432</v>
      </c>
      <c r="E17860" s="1">
        <v>80.256436</v>
      </c>
      <c r="F17860" s="1">
        <v>5339.0</v>
      </c>
      <c r="G17860" s="1">
        <v>22.0</v>
      </c>
    </row>
    <row r="17861">
      <c r="A17861" s="1" t="s">
        <v>8</v>
      </c>
      <c r="B17861" s="2">
        <v>44789.0</v>
      </c>
      <c r="C17861" s="3">
        <v>0.733275462962963</v>
      </c>
      <c r="D17861" s="1">
        <v>13.03192</v>
      </c>
      <c r="E17861" s="1">
        <v>80.267123</v>
      </c>
      <c r="F17861" s="1">
        <v>805.0</v>
      </c>
      <c r="G17861" s="1">
        <v>33.0</v>
      </c>
    </row>
    <row r="17862">
      <c r="A17862" s="1" t="s">
        <v>7</v>
      </c>
      <c r="B17862" s="2">
        <v>44789.0</v>
      </c>
      <c r="C17862" s="3">
        <v>0.7336921296296296</v>
      </c>
      <c r="D17862" s="1">
        <v>12.59736</v>
      </c>
      <c r="E17862" s="1">
        <v>79.919712</v>
      </c>
      <c r="F17862" s="1">
        <v>2846.0</v>
      </c>
      <c r="G17862" s="1">
        <v>57.0</v>
      </c>
    </row>
    <row r="17863">
      <c r="A17863" s="1" t="s">
        <v>7</v>
      </c>
      <c r="B17863" s="2">
        <v>44789.0</v>
      </c>
      <c r="C17863" s="3">
        <v>0.7339351851851852</v>
      </c>
      <c r="D17863" s="1">
        <v>12.591817</v>
      </c>
      <c r="E17863" s="1">
        <v>79.919309</v>
      </c>
      <c r="F17863" s="1">
        <v>2846.0</v>
      </c>
      <c r="G17863" s="1">
        <v>51.0</v>
      </c>
    </row>
    <row r="17864">
      <c r="A17864" s="1" t="s">
        <v>10</v>
      </c>
      <c r="B17864" s="2">
        <v>44789.0</v>
      </c>
      <c r="C17864" s="3">
        <v>0.7339814814814815</v>
      </c>
      <c r="D17864" s="1">
        <v>13.035282</v>
      </c>
      <c r="E17864" s="1">
        <v>80.26787</v>
      </c>
      <c r="F17864" s="1">
        <v>805.0</v>
      </c>
      <c r="G17864" s="1">
        <v>27.0</v>
      </c>
    </row>
    <row r="17865">
      <c r="A17865" s="1" t="s">
        <v>10</v>
      </c>
      <c r="B17865" s="2">
        <v>44789.0</v>
      </c>
      <c r="C17865" s="3">
        <v>0.7340740740740741</v>
      </c>
      <c r="D17865" s="1">
        <v>13.035282</v>
      </c>
      <c r="E17865" s="1">
        <v>80.26787</v>
      </c>
      <c r="F17865" s="1">
        <v>805.0</v>
      </c>
      <c r="G17865" s="1">
        <v>27.0</v>
      </c>
    </row>
    <row r="17866">
      <c r="A17866" s="1" t="s">
        <v>8</v>
      </c>
      <c r="B17866" s="2">
        <v>44789.0</v>
      </c>
      <c r="C17866" s="3">
        <v>0.7342939814814815</v>
      </c>
      <c r="D17866" s="1">
        <v>12.58667</v>
      </c>
      <c r="E17866" s="1">
        <v>79.919536</v>
      </c>
      <c r="F17866" s="1">
        <v>2846.0</v>
      </c>
      <c r="G17866" s="1">
        <v>46.0</v>
      </c>
    </row>
    <row r="17867">
      <c r="A17867" s="1" t="s">
        <v>8</v>
      </c>
      <c r="B17867" s="2">
        <v>44789.0</v>
      </c>
      <c r="C17867" s="3">
        <v>0.7344212962962963</v>
      </c>
      <c r="D17867" s="1">
        <v>12.58667</v>
      </c>
      <c r="E17867" s="1">
        <v>79.919536</v>
      </c>
      <c r="F17867" s="1">
        <v>2846.0</v>
      </c>
      <c r="G17867" s="1">
        <v>46.0</v>
      </c>
    </row>
    <row r="17868">
      <c r="A17868" s="1" t="s">
        <v>10</v>
      </c>
      <c r="B17868" s="2">
        <v>44789.0</v>
      </c>
      <c r="C17868" s="3">
        <v>0.7347569444444444</v>
      </c>
      <c r="D17868" s="1">
        <v>13.036399</v>
      </c>
      <c r="E17868" s="1">
        <v>80.267674</v>
      </c>
      <c r="F17868" s="1">
        <v>805.0</v>
      </c>
      <c r="G17868" s="1">
        <v>22.0</v>
      </c>
    </row>
    <row r="17869">
      <c r="A17869" s="1" t="s">
        <v>7</v>
      </c>
      <c r="B17869" s="2">
        <v>44789.0</v>
      </c>
      <c r="C17869" s="3">
        <v>0.7348842592592593</v>
      </c>
      <c r="D17869" s="1">
        <v>12.581605</v>
      </c>
      <c r="E17869" s="1">
        <v>79.919002</v>
      </c>
      <c r="F17869" s="1">
        <v>2846.0</v>
      </c>
      <c r="G17869" s="1">
        <v>54.0</v>
      </c>
    </row>
    <row r="17870">
      <c r="A17870" s="1" t="s">
        <v>7</v>
      </c>
      <c r="B17870" s="2">
        <v>44789.0</v>
      </c>
      <c r="C17870" s="3">
        <v>0.7350810185185185</v>
      </c>
      <c r="D17870" s="1">
        <v>12.581605</v>
      </c>
      <c r="E17870" s="1">
        <v>79.919002</v>
      </c>
      <c r="F17870" s="1">
        <v>2846.0</v>
      </c>
      <c r="G17870" s="1">
        <v>54.0</v>
      </c>
    </row>
    <row r="17871">
      <c r="A17871" s="1" t="s">
        <v>8</v>
      </c>
      <c r="B17871" s="2">
        <v>44789.0</v>
      </c>
      <c r="C17871" s="3">
        <v>0.7351273148148149</v>
      </c>
      <c r="D17871" s="1">
        <v>13.053992</v>
      </c>
      <c r="E17871" s="1">
        <v>80.263087</v>
      </c>
      <c r="F17871" s="1">
        <v>5339.0</v>
      </c>
      <c r="G17871" s="1">
        <v>28.0</v>
      </c>
    </row>
    <row r="17872">
      <c r="A17872" s="1" t="s">
        <v>8</v>
      </c>
      <c r="B17872" s="2">
        <v>44789.0</v>
      </c>
      <c r="C17872" s="3">
        <v>0.7351620370370371</v>
      </c>
      <c r="D17872" s="1">
        <v>13.053992</v>
      </c>
      <c r="E17872" s="1">
        <v>80.263087</v>
      </c>
      <c r="F17872" s="1">
        <v>5339.0</v>
      </c>
      <c r="G17872" s="1">
        <v>28.0</v>
      </c>
    </row>
    <row r="17873">
      <c r="A17873" s="1" t="s">
        <v>8</v>
      </c>
      <c r="B17873" s="2">
        <v>44789.0</v>
      </c>
      <c r="C17873" s="3">
        <v>0.7351736111111111</v>
      </c>
      <c r="D17873" s="1">
        <v>13.053992</v>
      </c>
      <c r="E17873" s="1">
        <v>80.263087</v>
      </c>
      <c r="F17873" s="1">
        <v>5339.0</v>
      </c>
      <c r="G17873" s="1">
        <v>28.0</v>
      </c>
    </row>
    <row r="17874">
      <c r="A17874" s="1" t="s">
        <v>8</v>
      </c>
      <c r="B17874" s="2">
        <v>44789.0</v>
      </c>
      <c r="C17874" s="3">
        <v>0.7351967592592593</v>
      </c>
      <c r="D17874" s="1">
        <v>13.053992</v>
      </c>
      <c r="E17874" s="1">
        <v>80.263087</v>
      </c>
      <c r="F17874" s="1">
        <v>5339.0</v>
      </c>
      <c r="G17874" s="1">
        <v>28.0</v>
      </c>
    </row>
    <row r="17875">
      <c r="A17875" s="1" t="s">
        <v>8</v>
      </c>
      <c r="B17875" s="2">
        <v>44789.0</v>
      </c>
      <c r="C17875" s="3">
        <v>0.7352083333333334</v>
      </c>
      <c r="D17875" s="1">
        <v>13.053992</v>
      </c>
      <c r="E17875" s="1">
        <v>80.263087</v>
      </c>
      <c r="F17875" s="1">
        <v>5339.0</v>
      </c>
      <c r="G17875" s="1">
        <v>28.0</v>
      </c>
    </row>
    <row r="17876">
      <c r="A17876" s="1" t="s">
        <v>7</v>
      </c>
      <c r="B17876" s="2">
        <v>44789.0</v>
      </c>
      <c r="C17876" s="3">
        <v>0.7361458333333334</v>
      </c>
      <c r="D17876" s="1">
        <v>12.566246</v>
      </c>
      <c r="E17876" s="1">
        <v>79.914722</v>
      </c>
      <c r="F17876" s="1">
        <v>2846.0</v>
      </c>
      <c r="G17876" s="1">
        <v>57.0</v>
      </c>
    </row>
    <row r="17877">
      <c r="A17877" s="1" t="s">
        <v>10</v>
      </c>
      <c r="B17877" s="2">
        <v>44789.0</v>
      </c>
      <c r="C17877" s="3">
        <v>0.7361574074074074</v>
      </c>
      <c r="D17877" s="1">
        <v>13.05357</v>
      </c>
      <c r="E17877" s="1">
        <v>80.267303</v>
      </c>
      <c r="F17877" s="1">
        <v>5339.0</v>
      </c>
      <c r="G17877" s="1">
        <v>5.0</v>
      </c>
    </row>
    <row r="17878">
      <c r="A17878" s="1" t="s">
        <v>10</v>
      </c>
      <c r="B17878" s="2">
        <v>44789.0</v>
      </c>
      <c r="C17878" s="3">
        <v>0.7363657407407408</v>
      </c>
      <c r="D17878" s="1">
        <v>13.040082</v>
      </c>
      <c r="E17878" s="1">
        <v>80.267861</v>
      </c>
      <c r="F17878" s="1">
        <v>805.0</v>
      </c>
      <c r="G17878" s="1">
        <v>16.0</v>
      </c>
    </row>
    <row r="17879">
      <c r="A17879" s="1" t="s">
        <v>10</v>
      </c>
      <c r="B17879" s="2">
        <v>44789.0</v>
      </c>
      <c r="C17879" s="3">
        <v>0.7369444444444444</v>
      </c>
      <c r="D17879" s="1">
        <v>13.053443</v>
      </c>
      <c r="E17879" s="1">
        <v>80.268727</v>
      </c>
      <c r="F17879" s="1">
        <v>5339.0</v>
      </c>
      <c r="G17879" s="1">
        <v>0.0</v>
      </c>
    </row>
    <row r="17880">
      <c r="A17880" s="1" t="s">
        <v>7</v>
      </c>
      <c r="B17880" s="2">
        <v>44789.0</v>
      </c>
      <c r="C17880" s="3">
        <v>0.737025462962963</v>
      </c>
      <c r="D17880" s="1">
        <v>12.566246</v>
      </c>
      <c r="E17880" s="1">
        <v>79.914722</v>
      </c>
      <c r="F17880" s="1">
        <v>2846.0</v>
      </c>
      <c r="G17880" s="1">
        <v>57.0</v>
      </c>
    </row>
    <row r="17881">
      <c r="A17881" s="1" t="s">
        <v>10</v>
      </c>
      <c r="B17881" s="2">
        <v>44789.0</v>
      </c>
      <c r="C17881" s="3">
        <v>0.7379513888888889</v>
      </c>
      <c r="D17881" s="1">
        <v>13.053162</v>
      </c>
      <c r="E17881" s="1">
        <v>80.271606</v>
      </c>
      <c r="F17881" s="1">
        <v>5339.0</v>
      </c>
      <c r="G17881" s="1">
        <v>14.0</v>
      </c>
    </row>
    <row r="17882">
      <c r="A17882" s="1" t="s">
        <v>7</v>
      </c>
      <c r="B17882" s="2">
        <v>44789.0</v>
      </c>
      <c r="C17882" s="3">
        <v>0.7379629629629629</v>
      </c>
      <c r="D17882" s="1">
        <v>12.547288</v>
      </c>
      <c r="E17882" s="1">
        <v>79.905678</v>
      </c>
      <c r="F17882" s="1">
        <v>2846.0</v>
      </c>
      <c r="G17882" s="1">
        <v>57.0</v>
      </c>
    </row>
    <row r="17883">
      <c r="A17883" s="1" t="s">
        <v>10</v>
      </c>
      <c r="B17883" s="2">
        <v>44789.0</v>
      </c>
      <c r="C17883" s="3">
        <v>0.7381944444444445</v>
      </c>
      <c r="D17883" s="1">
        <v>13.053078</v>
      </c>
      <c r="E17883" s="1">
        <v>80.272263</v>
      </c>
      <c r="F17883" s="1">
        <v>5339.0</v>
      </c>
      <c r="G17883" s="1">
        <v>21.0</v>
      </c>
    </row>
    <row r="17884">
      <c r="A17884" s="1" t="s">
        <v>7</v>
      </c>
      <c r="B17884" s="2">
        <v>44789.0</v>
      </c>
      <c r="C17884" s="3">
        <v>0.7384143518518519</v>
      </c>
      <c r="D17884" s="1">
        <v>12.540099</v>
      </c>
      <c r="E17884" s="1">
        <v>79.904374</v>
      </c>
      <c r="F17884" s="1">
        <v>2846.0</v>
      </c>
      <c r="G17884" s="1">
        <v>58.0</v>
      </c>
    </row>
    <row r="17885">
      <c r="A17885" s="1" t="s">
        <v>7</v>
      </c>
      <c r="B17885" s="2">
        <v>44789.0</v>
      </c>
      <c r="C17885" s="3">
        <v>0.7388310185185185</v>
      </c>
      <c r="D17885" s="1">
        <v>12.534938</v>
      </c>
      <c r="E17885" s="1">
        <v>79.901923</v>
      </c>
      <c r="F17885" s="1">
        <v>2846.0</v>
      </c>
      <c r="G17885" s="1">
        <v>56.0</v>
      </c>
    </row>
    <row r="17886">
      <c r="A17886" s="1" t="s">
        <v>10</v>
      </c>
      <c r="B17886" s="2">
        <v>44789.0</v>
      </c>
      <c r="C17886" s="3">
        <v>0.7392708333333333</v>
      </c>
      <c r="D17886" s="1">
        <v>13.054297</v>
      </c>
      <c r="E17886" s="1">
        <v>80.273788</v>
      </c>
      <c r="F17886" s="1">
        <v>5339.0</v>
      </c>
      <c r="G17886" s="1">
        <v>17.0</v>
      </c>
    </row>
    <row r="17887">
      <c r="A17887" s="1" t="s">
        <v>10</v>
      </c>
      <c r="B17887" s="2">
        <v>44789.0</v>
      </c>
      <c r="C17887" s="3">
        <v>0.7394212962962963</v>
      </c>
      <c r="D17887" s="1">
        <v>13.051925</v>
      </c>
      <c r="E17887" s="1">
        <v>80.263835</v>
      </c>
      <c r="F17887" s="1">
        <v>805.0</v>
      </c>
      <c r="G17887" s="1">
        <v>13.0</v>
      </c>
    </row>
    <row r="17888">
      <c r="A17888" s="1" t="s">
        <v>10</v>
      </c>
      <c r="B17888" s="2">
        <v>44789.0</v>
      </c>
      <c r="C17888" s="3">
        <v>0.7396412037037037</v>
      </c>
      <c r="D17888" s="1">
        <v>13.05712</v>
      </c>
      <c r="E17888" s="1">
        <v>80.273969</v>
      </c>
      <c r="F17888" s="1">
        <v>5339.0</v>
      </c>
      <c r="G17888" s="1">
        <v>18.0</v>
      </c>
    </row>
    <row r="17889">
      <c r="A17889" s="1" t="s">
        <v>10</v>
      </c>
      <c r="B17889" s="2">
        <v>44789.0</v>
      </c>
      <c r="C17889" s="3">
        <v>0.7415625</v>
      </c>
      <c r="D17889" s="1">
        <v>13.062321</v>
      </c>
      <c r="E17889" s="1">
        <v>80.274265</v>
      </c>
      <c r="F17889" s="1">
        <v>5339.0</v>
      </c>
      <c r="G17889" s="1">
        <v>24.0</v>
      </c>
    </row>
    <row r="17890">
      <c r="A17890" s="1" t="s">
        <v>10</v>
      </c>
      <c r="B17890" s="2">
        <v>44789.0</v>
      </c>
      <c r="C17890" s="3">
        <v>0.7427546296296297</v>
      </c>
      <c r="D17890" s="1">
        <v>13.061793</v>
      </c>
      <c r="E17890" s="1">
        <v>80.26587</v>
      </c>
      <c r="F17890" s="1">
        <v>805.0</v>
      </c>
      <c r="G17890" s="1">
        <v>16.0</v>
      </c>
    </row>
    <row r="17891">
      <c r="A17891" s="1" t="s">
        <v>10</v>
      </c>
      <c r="B17891" s="2">
        <v>44789.0</v>
      </c>
      <c r="C17891" s="3">
        <v>0.7429513888888889</v>
      </c>
      <c r="D17891" s="1">
        <v>13.062534</v>
      </c>
      <c r="E17891" s="1">
        <v>80.266843</v>
      </c>
      <c r="F17891" s="1">
        <v>805.0</v>
      </c>
      <c r="G17891" s="1">
        <v>15.0</v>
      </c>
    </row>
    <row r="17892">
      <c r="A17892" s="1" t="s">
        <v>8</v>
      </c>
      <c r="B17892" s="2">
        <v>44789.0</v>
      </c>
      <c r="C17892" s="3">
        <v>0.743275462962963</v>
      </c>
      <c r="D17892" s="1">
        <v>13.067483</v>
      </c>
      <c r="E17892" s="1">
        <v>80.270682</v>
      </c>
      <c r="F17892" s="1">
        <v>5339.0</v>
      </c>
      <c r="G17892" s="1">
        <v>34.0</v>
      </c>
    </row>
    <row r="17893">
      <c r="A17893" s="1" t="s">
        <v>8</v>
      </c>
      <c r="B17893" s="2">
        <v>44789.0</v>
      </c>
      <c r="C17893" s="3">
        <v>0.743275462962963</v>
      </c>
      <c r="D17893" s="1">
        <v>13.067483</v>
      </c>
      <c r="E17893" s="1">
        <v>80.270682</v>
      </c>
      <c r="F17893" s="1">
        <v>5339.0</v>
      </c>
      <c r="G17893" s="1">
        <v>34.0</v>
      </c>
    </row>
    <row r="17894">
      <c r="A17894" s="1" t="s">
        <v>8</v>
      </c>
      <c r="B17894" s="2">
        <v>44789.0</v>
      </c>
      <c r="C17894" s="3">
        <v>0.743287037037037</v>
      </c>
      <c r="D17894" s="1">
        <v>13.067483</v>
      </c>
      <c r="E17894" s="1">
        <v>80.270682</v>
      </c>
      <c r="F17894" s="1">
        <v>5339.0</v>
      </c>
      <c r="G17894" s="1">
        <v>34.0</v>
      </c>
    </row>
    <row r="17895">
      <c r="A17895" s="1" t="s">
        <v>10</v>
      </c>
      <c r="B17895" s="2">
        <v>44789.0</v>
      </c>
      <c r="C17895" s="3">
        <v>0.7442939814814815</v>
      </c>
      <c r="D17895" s="1">
        <v>13.068257</v>
      </c>
      <c r="E17895" s="1">
        <v>80.269313</v>
      </c>
      <c r="F17895" s="1">
        <v>5339.0</v>
      </c>
      <c r="G17895" s="1">
        <v>11.0</v>
      </c>
    </row>
    <row r="17896">
      <c r="A17896" s="1" t="s">
        <v>8</v>
      </c>
      <c r="B17896" s="2">
        <v>44789.0</v>
      </c>
      <c r="C17896" s="3">
        <v>0.7447916666666666</v>
      </c>
      <c r="D17896" s="1">
        <v>13.06876</v>
      </c>
      <c r="E17896" s="1">
        <v>80.267773</v>
      </c>
      <c r="F17896" s="1">
        <v>5339.0</v>
      </c>
      <c r="G17896" s="1">
        <v>13.0</v>
      </c>
    </row>
    <row r="17897">
      <c r="A17897" s="1" t="s">
        <v>10</v>
      </c>
      <c r="B17897" s="2">
        <v>44789.0</v>
      </c>
      <c r="C17897" s="3">
        <v>0.7448842592592593</v>
      </c>
      <c r="D17897" s="1">
        <v>13.069052</v>
      </c>
      <c r="E17897" s="1">
        <v>80.267202</v>
      </c>
      <c r="F17897" s="1">
        <v>5339.0</v>
      </c>
      <c r="G17897" s="1">
        <v>28.0</v>
      </c>
    </row>
    <row r="17898">
      <c r="A17898" s="1" t="s">
        <v>8</v>
      </c>
      <c r="B17898" s="2">
        <v>44789.0</v>
      </c>
      <c r="C17898" s="3">
        <v>0.7450347222222222</v>
      </c>
      <c r="D17898" s="1">
        <v>13.066608</v>
      </c>
      <c r="E17898" s="1">
        <v>80.268358</v>
      </c>
      <c r="F17898" s="1">
        <v>805.0</v>
      </c>
      <c r="G17898" s="1">
        <v>8.0</v>
      </c>
    </row>
    <row r="17899">
      <c r="A17899" s="1" t="s">
        <v>10</v>
      </c>
      <c r="B17899" s="2">
        <v>44789.0</v>
      </c>
      <c r="C17899" s="3">
        <v>0.7450810185185185</v>
      </c>
      <c r="D17899" s="1">
        <v>13.069749</v>
      </c>
      <c r="E17899" s="1">
        <v>80.266495</v>
      </c>
      <c r="F17899" s="1">
        <v>5339.0</v>
      </c>
      <c r="G17899" s="1">
        <v>14.0</v>
      </c>
    </row>
    <row r="17900">
      <c r="A17900" s="1" t="s">
        <v>10</v>
      </c>
      <c r="B17900" s="2">
        <v>44789.0</v>
      </c>
      <c r="C17900" s="3">
        <v>0.7452893518518519</v>
      </c>
      <c r="D17900" s="1">
        <v>13.070141</v>
      </c>
      <c r="E17900" s="1">
        <v>80.266049</v>
      </c>
      <c r="F17900" s="1">
        <v>5339.0</v>
      </c>
      <c r="G17900" s="1">
        <v>13.0</v>
      </c>
    </row>
    <row r="17901">
      <c r="A17901" s="1" t="s">
        <v>10</v>
      </c>
      <c r="B17901" s="2">
        <v>44789.0</v>
      </c>
      <c r="C17901" s="3">
        <v>0.7456944444444444</v>
      </c>
      <c r="D17901" s="1">
        <v>13.070994</v>
      </c>
      <c r="E17901" s="1">
        <v>80.265188</v>
      </c>
      <c r="F17901" s="1">
        <v>5339.0</v>
      </c>
      <c r="G17901" s="1">
        <v>0.0</v>
      </c>
    </row>
    <row r="17902">
      <c r="A17902" s="1" t="s">
        <v>10</v>
      </c>
      <c r="B17902" s="2">
        <v>44789.0</v>
      </c>
      <c r="C17902" s="3">
        <v>0.7461574074074074</v>
      </c>
      <c r="D17902" s="1">
        <v>13.069433</v>
      </c>
      <c r="E17902" s="1">
        <v>80.266769</v>
      </c>
      <c r="F17902" s="1">
        <v>805.0</v>
      </c>
      <c r="G17902" s="1">
        <v>17.0</v>
      </c>
    </row>
    <row r="17903">
      <c r="A17903" s="1" t="s">
        <v>8</v>
      </c>
      <c r="B17903" s="2">
        <v>44789.0</v>
      </c>
      <c r="C17903" s="3">
        <v>0.7509027777777778</v>
      </c>
      <c r="D17903" s="1">
        <v>13.065663</v>
      </c>
      <c r="E17903" s="1">
        <v>80.247749</v>
      </c>
      <c r="F17903" s="1">
        <v>5339.0</v>
      </c>
      <c r="G17903" s="1">
        <v>32.0</v>
      </c>
    </row>
    <row r="17904">
      <c r="A17904" s="1" t="s">
        <v>10</v>
      </c>
      <c r="B17904" s="2">
        <v>44789.0</v>
      </c>
      <c r="C17904" s="3">
        <v>0.7511574074074074</v>
      </c>
      <c r="D17904" s="1">
        <v>13.064466</v>
      </c>
      <c r="E17904" s="1">
        <v>80.24788</v>
      </c>
      <c r="F17904" s="1">
        <v>5339.0</v>
      </c>
      <c r="G17904" s="1">
        <v>6.0</v>
      </c>
    </row>
    <row r="17905">
      <c r="A17905" s="1" t="s">
        <v>10</v>
      </c>
      <c r="B17905" s="2">
        <v>44789.0</v>
      </c>
      <c r="C17905" s="3">
        <v>0.7513194444444444</v>
      </c>
      <c r="D17905" s="1">
        <v>13.064224</v>
      </c>
      <c r="E17905" s="1">
        <v>80.248914</v>
      </c>
      <c r="F17905" s="1">
        <v>5339.0</v>
      </c>
      <c r="G17905" s="1">
        <v>30.0</v>
      </c>
    </row>
    <row r="17906">
      <c r="A17906" s="1" t="s">
        <v>8</v>
      </c>
      <c r="B17906" s="2">
        <v>44790.0</v>
      </c>
      <c r="C17906" s="3">
        <v>0.2854513888888889</v>
      </c>
      <c r="D17906" s="1">
        <v>12.441142</v>
      </c>
      <c r="E17906" s="1">
        <v>79.836296</v>
      </c>
      <c r="F17906" s="1">
        <v>2846.0</v>
      </c>
      <c r="G17906" s="1">
        <v>47.0</v>
      </c>
    </row>
    <row r="17907">
      <c r="A17907" s="1" t="s">
        <v>7</v>
      </c>
      <c r="B17907" s="2">
        <v>44790.0</v>
      </c>
      <c r="C17907" s="3">
        <v>0.29060185185185183</v>
      </c>
      <c r="D17907" s="1">
        <v>12.494952</v>
      </c>
      <c r="E17907" s="1">
        <v>79.871088</v>
      </c>
      <c r="F17907" s="1">
        <v>2846.0</v>
      </c>
      <c r="G17907" s="1">
        <v>57.0</v>
      </c>
    </row>
    <row r="17908">
      <c r="A17908" s="1" t="s">
        <v>7</v>
      </c>
      <c r="B17908" s="2">
        <v>44790.0</v>
      </c>
      <c r="C17908" s="3">
        <v>0.29269675925925925</v>
      </c>
      <c r="D17908" s="1">
        <v>12.510388</v>
      </c>
      <c r="E17908" s="1">
        <v>79.882783</v>
      </c>
      <c r="F17908" s="1">
        <v>2846.0</v>
      </c>
      <c r="G17908" s="1">
        <v>49.0</v>
      </c>
    </row>
    <row r="17909">
      <c r="A17909" s="1" t="s">
        <v>7</v>
      </c>
      <c r="B17909" s="2">
        <v>44790.0</v>
      </c>
      <c r="C17909" s="3">
        <v>0.29288194444444443</v>
      </c>
      <c r="D17909" s="1">
        <v>12.515618</v>
      </c>
      <c r="E17909" s="1">
        <v>79.886967</v>
      </c>
      <c r="F17909" s="1">
        <v>2846.0</v>
      </c>
      <c r="G17909" s="1">
        <v>62.0</v>
      </c>
    </row>
    <row r="17910">
      <c r="A17910" s="1" t="s">
        <v>8</v>
      </c>
      <c r="B17910" s="2">
        <v>44790.0</v>
      </c>
      <c r="C17910" s="3">
        <v>0.29390046296296296</v>
      </c>
      <c r="D17910" s="1">
        <v>12.516216</v>
      </c>
      <c r="E17910" s="1">
        <v>79.888438</v>
      </c>
      <c r="F17910" s="1">
        <v>2846.0</v>
      </c>
      <c r="G17910" s="1">
        <v>40.0</v>
      </c>
    </row>
    <row r="17911">
      <c r="A17911" s="1" t="s">
        <v>10</v>
      </c>
      <c r="B17911" s="2">
        <v>44790.0</v>
      </c>
      <c r="C17911" s="3">
        <v>0.2957523148148148</v>
      </c>
      <c r="D17911" s="1">
        <v>12.509497</v>
      </c>
      <c r="E17911" s="1">
        <v>79.889516</v>
      </c>
      <c r="F17911" s="1">
        <v>2846.0</v>
      </c>
      <c r="G17911" s="1">
        <v>25.0</v>
      </c>
    </row>
    <row r="17912">
      <c r="A17912" s="1" t="s">
        <v>8</v>
      </c>
      <c r="B17912" s="2">
        <v>44790.0</v>
      </c>
      <c r="C17912" s="3">
        <v>0.29811342592592593</v>
      </c>
      <c r="D17912" s="1">
        <v>13.06351</v>
      </c>
      <c r="E17912" s="1">
        <v>80.247746</v>
      </c>
      <c r="F17912" s="1">
        <v>805.0</v>
      </c>
      <c r="G17912" s="1">
        <v>43.0</v>
      </c>
    </row>
    <row r="17913">
      <c r="A17913" s="1" t="s">
        <v>7</v>
      </c>
      <c r="B17913" s="2">
        <v>44790.0</v>
      </c>
      <c r="C17913" s="3">
        <v>0.29863425925925924</v>
      </c>
      <c r="D17913" s="1">
        <v>13.061761</v>
      </c>
      <c r="E17913" s="1">
        <v>80.24657</v>
      </c>
      <c r="F17913" s="1">
        <v>805.0</v>
      </c>
      <c r="G17913" s="1">
        <v>30.0</v>
      </c>
    </row>
    <row r="17914">
      <c r="A17914" s="1" t="s">
        <v>7</v>
      </c>
      <c r="B17914" s="2">
        <v>44790.0</v>
      </c>
      <c r="C17914" s="3">
        <v>0.2996064814814815</v>
      </c>
      <c r="D17914" s="1">
        <v>12.51832</v>
      </c>
      <c r="E17914" s="1">
        <v>79.888069</v>
      </c>
      <c r="F17914" s="1">
        <v>2846.0</v>
      </c>
      <c r="G17914" s="1">
        <v>60.0</v>
      </c>
    </row>
    <row r="17915">
      <c r="A17915" s="1" t="s">
        <v>8</v>
      </c>
      <c r="B17915" s="2">
        <v>44790.0</v>
      </c>
      <c r="C17915" s="3">
        <v>0.2997222222222222</v>
      </c>
      <c r="D17915" s="1">
        <v>13.067321</v>
      </c>
      <c r="E17915" s="1">
        <v>80.246284</v>
      </c>
      <c r="F17915" s="1">
        <v>805.0</v>
      </c>
      <c r="G17915" s="1">
        <v>52.0</v>
      </c>
    </row>
    <row r="17916">
      <c r="A17916" s="1" t="s">
        <v>9</v>
      </c>
      <c r="B17916" s="2">
        <v>44790.0</v>
      </c>
      <c r="C17916" s="3">
        <v>0.30083333333333334</v>
      </c>
      <c r="D17916" s="1">
        <v>13.066898</v>
      </c>
      <c r="E17916" s="1">
        <v>80.254116</v>
      </c>
      <c r="F17916" s="1">
        <v>805.0</v>
      </c>
      <c r="G17916" s="1">
        <v>26.0</v>
      </c>
    </row>
    <row r="17917">
      <c r="A17917" s="1" t="s">
        <v>8</v>
      </c>
      <c r="B17917" s="2">
        <v>44790.0</v>
      </c>
      <c r="C17917" s="3">
        <v>0.3010763888888889</v>
      </c>
      <c r="D17917" s="1">
        <v>13.067634</v>
      </c>
      <c r="E17917" s="1">
        <v>80.254966</v>
      </c>
      <c r="F17917" s="1">
        <v>805.0</v>
      </c>
      <c r="G17917" s="1">
        <v>42.0</v>
      </c>
    </row>
    <row r="17918">
      <c r="A17918" s="1" t="s">
        <v>8</v>
      </c>
      <c r="B17918" s="2">
        <v>44790.0</v>
      </c>
      <c r="C17918" s="3">
        <v>0.301099537037037</v>
      </c>
      <c r="D17918" s="1">
        <v>13.068484</v>
      </c>
      <c r="E17918" s="1">
        <v>80.255734</v>
      </c>
      <c r="F17918" s="1">
        <v>805.0</v>
      </c>
      <c r="G17918" s="1">
        <v>32.0</v>
      </c>
    </row>
    <row r="17919">
      <c r="A17919" s="1" t="s">
        <v>8</v>
      </c>
      <c r="B17919" s="2">
        <v>44790.0</v>
      </c>
      <c r="C17919" s="3">
        <v>0.301099537037037</v>
      </c>
      <c r="D17919" s="1">
        <v>13.068484</v>
      </c>
      <c r="E17919" s="1">
        <v>80.255734</v>
      </c>
      <c r="F17919" s="1">
        <v>805.0</v>
      </c>
      <c r="G17919" s="1">
        <v>32.0</v>
      </c>
    </row>
    <row r="17920">
      <c r="A17920" s="1" t="s">
        <v>8</v>
      </c>
      <c r="B17920" s="2">
        <v>44790.0</v>
      </c>
      <c r="C17920" s="3">
        <v>0.301099537037037</v>
      </c>
      <c r="D17920" s="1">
        <v>13.068484</v>
      </c>
      <c r="E17920" s="1">
        <v>80.255734</v>
      </c>
      <c r="F17920" s="1">
        <v>805.0</v>
      </c>
      <c r="G17920" s="1">
        <v>32.0</v>
      </c>
    </row>
    <row r="17921">
      <c r="A17921" s="1" t="s">
        <v>8</v>
      </c>
      <c r="B17921" s="2">
        <v>44790.0</v>
      </c>
      <c r="C17921" s="3">
        <v>0.30113425925925924</v>
      </c>
      <c r="D17921" s="1">
        <v>13.068484</v>
      </c>
      <c r="E17921" s="1">
        <v>80.255734</v>
      </c>
      <c r="F17921" s="1">
        <v>805.0</v>
      </c>
      <c r="G17921" s="1">
        <v>32.0</v>
      </c>
    </row>
    <row r="17922">
      <c r="A17922" s="1" t="s">
        <v>7</v>
      </c>
      <c r="B17922" s="2">
        <v>44790.0</v>
      </c>
      <c r="C17922" s="3">
        <v>0.30300925925925926</v>
      </c>
      <c r="D17922" s="1">
        <v>13.062588</v>
      </c>
      <c r="E17922" s="1">
        <v>80.2635</v>
      </c>
      <c r="F17922" s="1">
        <v>805.0</v>
      </c>
      <c r="G17922" s="1">
        <v>34.0</v>
      </c>
    </row>
    <row r="17923">
      <c r="A17923" s="1" t="s">
        <v>9</v>
      </c>
      <c r="B17923" s="2">
        <v>44790.0</v>
      </c>
      <c r="C17923" s="3">
        <v>0.30366898148148147</v>
      </c>
      <c r="D17923" s="1">
        <v>13.06646</v>
      </c>
      <c r="E17923" s="1">
        <v>80.268266</v>
      </c>
      <c r="F17923" s="1">
        <v>805.0</v>
      </c>
      <c r="G17923" s="1">
        <v>34.0</v>
      </c>
    </row>
    <row r="17924">
      <c r="A17924" s="1" t="s">
        <v>10</v>
      </c>
      <c r="B17924" s="2">
        <v>44790.0</v>
      </c>
      <c r="C17924" s="3">
        <v>0.30372685185185183</v>
      </c>
      <c r="D17924" s="1">
        <v>13.06071</v>
      </c>
      <c r="E17924" s="1">
        <v>80.274446</v>
      </c>
      <c r="F17924" s="1">
        <v>5339.0</v>
      </c>
      <c r="G17924" s="1">
        <v>4.0</v>
      </c>
    </row>
    <row r="17925">
      <c r="A17925" s="1" t="s">
        <v>10</v>
      </c>
      <c r="B17925" s="2">
        <v>44790.0</v>
      </c>
      <c r="C17925" s="3">
        <v>0.3039236111111111</v>
      </c>
      <c r="D17925" s="1">
        <v>13.059874</v>
      </c>
      <c r="E17925" s="1">
        <v>80.274351</v>
      </c>
      <c r="F17925" s="1">
        <v>5339.0</v>
      </c>
      <c r="G17925" s="1">
        <v>17.0</v>
      </c>
    </row>
    <row r="17926">
      <c r="A17926" s="1" t="s">
        <v>10</v>
      </c>
      <c r="B17926" s="2">
        <v>44790.0</v>
      </c>
      <c r="C17926" s="3">
        <v>0.3041435185185185</v>
      </c>
      <c r="D17926" s="1">
        <v>13.059542</v>
      </c>
      <c r="E17926" s="1">
        <v>80.274326</v>
      </c>
      <c r="F17926" s="1">
        <v>5339.0</v>
      </c>
      <c r="G17926" s="1">
        <v>12.0</v>
      </c>
    </row>
    <row r="17927">
      <c r="A17927" s="1" t="s">
        <v>10</v>
      </c>
      <c r="B17927" s="2">
        <v>44790.0</v>
      </c>
      <c r="C17927" s="3">
        <v>0.30518518518518517</v>
      </c>
      <c r="D17927" s="1">
        <v>13.056555</v>
      </c>
      <c r="E17927" s="1">
        <v>80.273971</v>
      </c>
      <c r="F17927" s="1">
        <v>5339.0</v>
      </c>
      <c r="G17927" s="1">
        <v>6.0</v>
      </c>
    </row>
    <row r="17928">
      <c r="A17928" s="1" t="s">
        <v>10</v>
      </c>
      <c r="B17928" s="2">
        <v>44790.0</v>
      </c>
      <c r="C17928" s="3">
        <v>0.3052199074074074</v>
      </c>
      <c r="D17928" s="1">
        <v>13.056555</v>
      </c>
      <c r="E17928" s="1">
        <v>80.273971</v>
      </c>
      <c r="F17928" s="1">
        <v>5339.0</v>
      </c>
      <c r="G17928" s="1">
        <v>6.0</v>
      </c>
    </row>
    <row r="17929">
      <c r="A17929" s="1" t="s">
        <v>10</v>
      </c>
      <c r="B17929" s="2">
        <v>44790.0</v>
      </c>
      <c r="C17929" s="3">
        <v>0.3085648148148148</v>
      </c>
      <c r="D17929" s="1">
        <v>13.054365</v>
      </c>
      <c r="E17929" s="1">
        <v>80.264171</v>
      </c>
      <c r="F17929" s="1">
        <v>805.0</v>
      </c>
      <c r="G17929" s="1">
        <v>19.0</v>
      </c>
    </row>
    <row r="17930">
      <c r="A17930" s="1" t="s">
        <v>8</v>
      </c>
      <c r="B17930" s="2">
        <v>44790.0</v>
      </c>
      <c r="C17930" s="3">
        <v>0.31297453703703704</v>
      </c>
      <c r="D17930" s="1">
        <v>12.657732</v>
      </c>
      <c r="E17930" s="1">
        <v>79.941402</v>
      </c>
      <c r="F17930" s="1">
        <v>2846.0</v>
      </c>
      <c r="G17930" s="1">
        <v>47.0</v>
      </c>
    </row>
    <row r="17931">
      <c r="A17931" s="1" t="s">
        <v>8</v>
      </c>
      <c r="B17931" s="2">
        <v>44790.0</v>
      </c>
      <c r="C17931" s="3">
        <v>0.3130324074074074</v>
      </c>
      <c r="D17931" s="1">
        <v>13.053304</v>
      </c>
      <c r="E17931" s="1">
        <v>80.252368</v>
      </c>
      <c r="F17931" s="1">
        <v>5339.0</v>
      </c>
      <c r="G17931" s="1">
        <v>40.0</v>
      </c>
    </row>
    <row r="17932">
      <c r="A17932" s="1" t="s">
        <v>8</v>
      </c>
      <c r="B17932" s="2">
        <v>44790.0</v>
      </c>
      <c r="C17932" s="3">
        <v>0.31342592592592594</v>
      </c>
      <c r="D17932" s="1">
        <v>12.657651</v>
      </c>
      <c r="E17932" s="1">
        <v>79.946708</v>
      </c>
      <c r="F17932" s="1">
        <v>2846.0</v>
      </c>
      <c r="G17932" s="1">
        <v>50.0</v>
      </c>
    </row>
    <row r="17933">
      <c r="A17933" s="1" t="s">
        <v>8</v>
      </c>
      <c r="B17933" s="2">
        <v>44790.0</v>
      </c>
      <c r="C17933" s="3">
        <v>0.3136689814814815</v>
      </c>
      <c r="D17933" s="1">
        <v>12.656882</v>
      </c>
      <c r="E17933" s="1">
        <v>79.949364</v>
      </c>
      <c r="F17933" s="1">
        <v>2846.0</v>
      </c>
      <c r="G17933" s="1">
        <v>51.0</v>
      </c>
    </row>
    <row r="17934">
      <c r="A17934" s="1" t="s">
        <v>8</v>
      </c>
      <c r="B17934" s="2">
        <v>44790.0</v>
      </c>
      <c r="C17934" s="3">
        <v>0.3137152777777778</v>
      </c>
      <c r="D17934" s="1">
        <v>12.656882</v>
      </c>
      <c r="E17934" s="1">
        <v>79.949364</v>
      </c>
      <c r="F17934" s="1">
        <v>2846.0</v>
      </c>
      <c r="G17934" s="1">
        <v>51.0</v>
      </c>
    </row>
    <row r="17935">
      <c r="A17935" s="1" t="s">
        <v>7</v>
      </c>
      <c r="B17935" s="2">
        <v>44790.0</v>
      </c>
      <c r="C17935" s="3">
        <v>0.31430555555555556</v>
      </c>
      <c r="D17935" s="1">
        <v>12.65682</v>
      </c>
      <c r="E17935" s="1">
        <v>79.955772</v>
      </c>
      <c r="F17935" s="1">
        <v>2846.0</v>
      </c>
      <c r="G17935" s="1">
        <v>58.0</v>
      </c>
    </row>
    <row r="17936">
      <c r="A17936" s="1" t="s">
        <v>10</v>
      </c>
      <c r="B17936" s="2">
        <v>44790.0</v>
      </c>
      <c r="C17936" s="3">
        <v>0.3149652777777778</v>
      </c>
      <c r="D17936" s="1">
        <v>13.032888</v>
      </c>
      <c r="E17936" s="1">
        <v>80.267774</v>
      </c>
      <c r="F17936" s="1">
        <v>805.0</v>
      </c>
      <c r="G17936" s="1">
        <v>0.0</v>
      </c>
    </row>
    <row r="17937">
      <c r="A17937" s="1" t="s">
        <v>9</v>
      </c>
      <c r="B17937" s="2">
        <v>44790.0</v>
      </c>
      <c r="C17937" s="3">
        <v>0.31533564814814813</v>
      </c>
      <c r="D17937" s="1">
        <v>13.031569</v>
      </c>
      <c r="E17937" s="1">
        <v>80.267083</v>
      </c>
      <c r="F17937" s="1">
        <v>805.0</v>
      </c>
      <c r="G17937" s="1">
        <v>32.0</v>
      </c>
    </row>
    <row r="17938">
      <c r="A17938" s="1" t="s">
        <v>10</v>
      </c>
      <c r="B17938" s="2">
        <v>44790.0</v>
      </c>
      <c r="C17938" s="3">
        <v>0.3153587962962963</v>
      </c>
      <c r="D17938" s="1">
        <v>13.030631</v>
      </c>
      <c r="E17938" s="1">
        <v>80.266805</v>
      </c>
      <c r="F17938" s="1">
        <v>805.0</v>
      </c>
      <c r="G17938" s="1">
        <v>34.0</v>
      </c>
    </row>
    <row r="17939">
      <c r="A17939" s="1" t="s">
        <v>7</v>
      </c>
      <c r="B17939" s="2">
        <v>44790.0</v>
      </c>
      <c r="C17939" s="3">
        <v>0.31626157407407407</v>
      </c>
      <c r="D17939" s="1">
        <v>12.663697</v>
      </c>
      <c r="E17939" s="1">
        <v>79.968255</v>
      </c>
      <c r="F17939" s="1">
        <v>2846.0</v>
      </c>
      <c r="G17939" s="1">
        <v>52.0</v>
      </c>
    </row>
    <row r="17940">
      <c r="A17940" s="1" t="s">
        <v>8</v>
      </c>
      <c r="B17940" s="2">
        <v>44790.0</v>
      </c>
      <c r="C17940" s="3">
        <v>0.3162847222222222</v>
      </c>
      <c r="D17940" s="1">
        <v>12.663697</v>
      </c>
      <c r="E17940" s="1">
        <v>79.968255</v>
      </c>
      <c r="F17940" s="1">
        <v>2846.0</v>
      </c>
      <c r="G17940" s="1">
        <v>52.0</v>
      </c>
    </row>
    <row r="17941">
      <c r="A17941" s="1" t="s">
        <v>8</v>
      </c>
      <c r="B17941" s="2">
        <v>44790.0</v>
      </c>
      <c r="C17941" s="3">
        <v>0.3171759259259259</v>
      </c>
      <c r="D17941" s="1">
        <v>12.670988</v>
      </c>
      <c r="E17941" s="1">
        <v>79.975922</v>
      </c>
      <c r="F17941" s="1">
        <v>2846.0</v>
      </c>
      <c r="G17941" s="1">
        <v>33.0</v>
      </c>
    </row>
    <row r="17942">
      <c r="A17942" s="1" t="s">
        <v>8</v>
      </c>
      <c r="B17942" s="2">
        <v>44790.0</v>
      </c>
      <c r="C17942" s="3">
        <v>0.31743055555555555</v>
      </c>
      <c r="D17942" s="1">
        <v>13.03398</v>
      </c>
      <c r="E17942" s="1">
        <v>80.244608</v>
      </c>
      <c r="F17942" s="1">
        <v>5339.0</v>
      </c>
      <c r="G17942" s="1">
        <v>36.0</v>
      </c>
    </row>
    <row r="17943">
      <c r="A17943" s="1" t="s">
        <v>8</v>
      </c>
      <c r="B17943" s="2">
        <v>44790.0</v>
      </c>
      <c r="C17943" s="3">
        <v>0.31744212962962964</v>
      </c>
      <c r="D17943" s="1">
        <v>13.03398</v>
      </c>
      <c r="E17943" s="1">
        <v>80.244608</v>
      </c>
      <c r="F17943" s="1">
        <v>5339.0</v>
      </c>
      <c r="G17943" s="1">
        <v>36.0</v>
      </c>
    </row>
    <row r="17944">
      <c r="A17944" s="1" t="s">
        <v>8</v>
      </c>
      <c r="B17944" s="2">
        <v>44790.0</v>
      </c>
      <c r="C17944" s="3">
        <v>0.3181481481481481</v>
      </c>
      <c r="D17944" s="1">
        <v>13.031204</v>
      </c>
      <c r="E17944" s="1">
        <v>80.240174</v>
      </c>
      <c r="F17944" s="1">
        <v>5339.0</v>
      </c>
      <c r="G17944" s="1">
        <v>28.0</v>
      </c>
    </row>
    <row r="17945">
      <c r="A17945" s="1" t="s">
        <v>8</v>
      </c>
      <c r="B17945" s="2">
        <v>44790.0</v>
      </c>
      <c r="C17945" s="3">
        <v>0.3181712962962963</v>
      </c>
      <c r="D17945" s="1">
        <v>13.031204</v>
      </c>
      <c r="E17945" s="1">
        <v>80.240174</v>
      </c>
      <c r="F17945" s="1">
        <v>5339.0</v>
      </c>
      <c r="G17945" s="1">
        <v>28.0</v>
      </c>
    </row>
    <row r="17946">
      <c r="A17946" s="1" t="s">
        <v>10</v>
      </c>
      <c r="B17946" s="2">
        <v>44790.0</v>
      </c>
      <c r="C17946" s="3">
        <v>0.31819444444444445</v>
      </c>
      <c r="D17946" s="1">
        <v>12.964066</v>
      </c>
      <c r="E17946" s="1">
        <v>80.216254</v>
      </c>
      <c r="F17946" s="1">
        <v>3143.0</v>
      </c>
      <c r="G17946" s="1">
        <v>38.0</v>
      </c>
    </row>
    <row r="17947">
      <c r="A17947" s="1" t="s">
        <v>8</v>
      </c>
      <c r="B17947" s="2">
        <v>44790.0</v>
      </c>
      <c r="C17947" s="3">
        <v>0.3190046296296296</v>
      </c>
      <c r="D17947" s="1">
        <v>13.027123</v>
      </c>
      <c r="E17947" s="1">
        <v>80.233977</v>
      </c>
      <c r="F17947" s="1">
        <v>5339.0</v>
      </c>
      <c r="G17947" s="1">
        <v>43.0</v>
      </c>
    </row>
    <row r="17948">
      <c r="A17948" s="1" t="s">
        <v>8</v>
      </c>
      <c r="B17948" s="2">
        <v>44790.0</v>
      </c>
      <c r="C17948" s="3">
        <v>0.3193171296296296</v>
      </c>
      <c r="D17948" s="1">
        <v>13.026082</v>
      </c>
      <c r="E17948" s="1">
        <v>80.231687</v>
      </c>
      <c r="F17948" s="1">
        <v>5339.0</v>
      </c>
      <c r="G17948" s="1">
        <v>23.0</v>
      </c>
    </row>
    <row r="17949">
      <c r="A17949" s="1" t="s">
        <v>8</v>
      </c>
      <c r="B17949" s="2">
        <v>44790.0</v>
      </c>
      <c r="C17949" s="3">
        <v>0.31950231481481484</v>
      </c>
      <c r="D17949" s="1">
        <v>13.025911</v>
      </c>
      <c r="E17949" s="1">
        <v>80.230976</v>
      </c>
      <c r="F17949" s="1">
        <v>5339.0</v>
      </c>
      <c r="G17949" s="1">
        <v>33.0</v>
      </c>
    </row>
    <row r="17950">
      <c r="A17950" s="1" t="s">
        <v>8</v>
      </c>
      <c r="B17950" s="2">
        <v>44790.0</v>
      </c>
      <c r="C17950" s="3">
        <v>0.3201041666666667</v>
      </c>
      <c r="D17950" s="1">
        <v>13.021408</v>
      </c>
      <c r="E17950" s="1">
        <v>80.225836</v>
      </c>
      <c r="F17950" s="1">
        <v>5339.0</v>
      </c>
      <c r="G17950" s="1">
        <v>44.0</v>
      </c>
    </row>
    <row r="17951">
      <c r="A17951" s="1" t="s">
        <v>8</v>
      </c>
      <c r="B17951" s="2">
        <v>44790.0</v>
      </c>
      <c r="C17951" s="3">
        <v>0.3204166666666667</v>
      </c>
      <c r="D17951" s="1">
        <v>13.020177</v>
      </c>
      <c r="E17951" s="1">
        <v>80.224921</v>
      </c>
      <c r="F17951" s="1">
        <v>5339.0</v>
      </c>
      <c r="G17951" s="1">
        <v>20.0</v>
      </c>
    </row>
    <row r="17952">
      <c r="A17952" s="1" t="s">
        <v>8</v>
      </c>
      <c r="B17952" s="2">
        <v>44790.0</v>
      </c>
      <c r="C17952" s="3">
        <v>0.32050925925925927</v>
      </c>
      <c r="D17952" s="1">
        <v>13.019687</v>
      </c>
      <c r="E17952" s="1">
        <v>80.224604</v>
      </c>
      <c r="F17952" s="1">
        <v>5339.0</v>
      </c>
      <c r="G17952" s="1">
        <v>28.0</v>
      </c>
    </row>
    <row r="17953">
      <c r="A17953" s="1" t="s">
        <v>8</v>
      </c>
      <c r="B17953" s="2">
        <v>44790.0</v>
      </c>
      <c r="C17953" s="3">
        <v>0.32050925925925927</v>
      </c>
      <c r="D17953" s="1">
        <v>13.019687</v>
      </c>
      <c r="E17953" s="1">
        <v>80.224604</v>
      </c>
      <c r="F17953" s="1">
        <v>5339.0</v>
      </c>
      <c r="G17953" s="1">
        <v>28.0</v>
      </c>
    </row>
    <row r="17954">
      <c r="A17954" s="1" t="s">
        <v>8</v>
      </c>
      <c r="B17954" s="2">
        <v>44790.0</v>
      </c>
      <c r="C17954" s="3">
        <v>0.3205324074074074</v>
      </c>
      <c r="D17954" s="1">
        <v>13.019687</v>
      </c>
      <c r="E17954" s="1">
        <v>80.224604</v>
      </c>
      <c r="F17954" s="1">
        <v>5339.0</v>
      </c>
      <c r="G17954" s="1">
        <v>28.0</v>
      </c>
    </row>
    <row r="17955">
      <c r="A17955" s="1" t="s">
        <v>8</v>
      </c>
      <c r="B17955" s="2">
        <v>44790.0</v>
      </c>
      <c r="C17955" s="3">
        <v>0.32056712962962963</v>
      </c>
      <c r="D17955" s="1">
        <v>13.019018</v>
      </c>
      <c r="E17955" s="1">
        <v>80.224495</v>
      </c>
      <c r="F17955" s="1">
        <v>5339.0</v>
      </c>
      <c r="G17955" s="1">
        <v>30.0</v>
      </c>
    </row>
    <row r="17956">
      <c r="A17956" s="1" t="s">
        <v>8</v>
      </c>
      <c r="B17956" s="2">
        <v>44790.0</v>
      </c>
      <c r="C17956" s="3">
        <v>0.320625</v>
      </c>
      <c r="D17956" s="1">
        <v>13.019018</v>
      </c>
      <c r="E17956" s="1">
        <v>80.224495</v>
      </c>
      <c r="F17956" s="1">
        <v>5339.0</v>
      </c>
      <c r="G17956" s="1">
        <v>30.0</v>
      </c>
    </row>
    <row r="17957">
      <c r="A17957" s="1" t="s">
        <v>8</v>
      </c>
      <c r="B17957" s="2">
        <v>44790.0</v>
      </c>
      <c r="C17957" s="3">
        <v>0.3207523148148148</v>
      </c>
      <c r="D17957" s="1">
        <v>12.686023</v>
      </c>
      <c r="E17957" s="1">
        <v>79.983462</v>
      </c>
      <c r="F17957" s="1">
        <v>2846.0</v>
      </c>
      <c r="G17957" s="1">
        <v>33.0</v>
      </c>
    </row>
    <row r="17958">
      <c r="A17958" s="1" t="s">
        <v>8</v>
      </c>
      <c r="B17958" s="2">
        <v>44790.0</v>
      </c>
      <c r="C17958" s="3">
        <v>0.3212037037037037</v>
      </c>
      <c r="D17958" s="1">
        <v>13.014536</v>
      </c>
      <c r="E17958" s="1">
        <v>80.22619</v>
      </c>
      <c r="F17958" s="1">
        <v>5339.0</v>
      </c>
      <c r="G17958" s="1">
        <v>40.0</v>
      </c>
    </row>
    <row r="17959">
      <c r="A17959" s="1" t="s">
        <v>8</v>
      </c>
      <c r="B17959" s="2">
        <v>44790.0</v>
      </c>
      <c r="C17959" s="3">
        <v>0.3218402777777778</v>
      </c>
      <c r="D17959" s="1">
        <v>13.011414</v>
      </c>
      <c r="E17959" s="1">
        <v>80.259232</v>
      </c>
      <c r="F17959" s="1">
        <v>805.0</v>
      </c>
      <c r="G17959" s="1">
        <v>31.0</v>
      </c>
    </row>
    <row r="17960">
      <c r="A17960" s="1" t="s">
        <v>10</v>
      </c>
      <c r="B17960" s="2">
        <v>44790.0</v>
      </c>
      <c r="C17960" s="3">
        <v>0.3219675925925926</v>
      </c>
      <c r="D17960" s="1">
        <v>12.690924</v>
      </c>
      <c r="E17960" s="1">
        <v>79.980687</v>
      </c>
      <c r="F17960" s="1">
        <v>2846.0</v>
      </c>
      <c r="G17960" s="1">
        <v>10.0</v>
      </c>
    </row>
    <row r="17961">
      <c r="A17961" s="1" t="s">
        <v>8</v>
      </c>
      <c r="B17961" s="2">
        <v>44790.0</v>
      </c>
      <c r="C17961" s="3">
        <v>0.32199074074074074</v>
      </c>
      <c r="D17961" s="1">
        <v>13.010173</v>
      </c>
      <c r="E17961" s="1">
        <v>80.226225</v>
      </c>
      <c r="F17961" s="1">
        <v>5339.0</v>
      </c>
      <c r="G17961" s="1">
        <v>43.0</v>
      </c>
    </row>
    <row r="17962">
      <c r="A17962" s="1" t="s">
        <v>10</v>
      </c>
      <c r="B17962" s="2">
        <v>44790.0</v>
      </c>
      <c r="C17962" s="3">
        <v>0.3221875</v>
      </c>
      <c r="D17962" s="1">
        <v>12.690924</v>
      </c>
      <c r="E17962" s="1">
        <v>79.980687</v>
      </c>
      <c r="F17962" s="1">
        <v>2846.0</v>
      </c>
      <c r="G17962" s="1">
        <v>10.0</v>
      </c>
    </row>
    <row r="17963">
      <c r="A17963" s="1" t="s">
        <v>8</v>
      </c>
      <c r="B17963" s="2">
        <v>44790.0</v>
      </c>
      <c r="C17963" s="3">
        <v>0.32241898148148146</v>
      </c>
      <c r="D17963" s="1">
        <v>13.011524</v>
      </c>
      <c r="E17963" s="1">
        <v>80.22292</v>
      </c>
      <c r="F17963" s="1">
        <v>5339.0</v>
      </c>
      <c r="G17963" s="1">
        <v>34.0</v>
      </c>
    </row>
    <row r="17964">
      <c r="A17964" s="1" t="s">
        <v>8</v>
      </c>
      <c r="B17964" s="2">
        <v>44790.0</v>
      </c>
      <c r="C17964" s="3">
        <v>0.3224652777777778</v>
      </c>
      <c r="D17964" s="1">
        <v>13.011524</v>
      </c>
      <c r="E17964" s="1">
        <v>80.22292</v>
      </c>
      <c r="F17964" s="1">
        <v>5339.0</v>
      </c>
      <c r="G17964" s="1">
        <v>34.0</v>
      </c>
    </row>
    <row r="17965">
      <c r="A17965" s="1" t="s">
        <v>10</v>
      </c>
      <c r="B17965" s="2">
        <v>44790.0</v>
      </c>
      <c r="C17965" s="3">
        <v>0.3225</v>
      </c>
      <c r="D17965" s="1">
        <v>13.007862</v>
      </c>
      <c r="E17965" s="1">
        <v>80.259347</v>
      </c>
      <c r="F17965" s="1">
        <v>805.0</v>
      </c>
      <c r="G17965" s="1">
        <v>30.0</v>
      </c>
    </row>
    <row r="17966">
      <c r="A17966" s="1" t="s">
        <v>8</v>
      </c>
      <c r="B17966" s="2">
        <v>44790.0</v>
      </c>
      <c r="C17966" s="3">
        <v>0.32296296296296295</v>
      </c>
      <c r="D17966" s="1">
        <v>13.011903</v>
      </c>
      <c r="E17966" s="1">
        <v>80.220248</v>
      </c>
      <c r="F17966" s="1">
        <v>5339.0</v>
      </c>
      <c r="G17966" s="1">
        <v>37.0</v>
      </c>
    </row>
    <row r="17967">
      <c r="A17967" s="1" t="s">
        <v>8</v>
      </c>
      <c r="B17967" s="2">
        <v>44790.0</v>
      </c>
      <c r="C17967" s="3">
        <v>0.32297453703703705</v>
      </c>
      <c r="D17967" s="1">
        <v>13.011903</v>
      </c>
      <c r="E17967" s="1">
        <v>80.220248</v>
      </c>
      <c r="F17967" s="1">
        <v>5339.0</v>
      </c>
      <c r="G17967" s="1">
        <v>37.0</v>
      </c>
    </row>
    <row r="17968">
      <c r="A17968" s="1" t="s">
        <v>8</v>
      </c>
      <c r="B17968" s="2">
        <v>44790.0</v>
      </c>
      <c r="C17968" s="3">
        <v>0.32297453703703705</v>
      </c>
      <c r="D17968" s="1">
        <v>13.007216</v>
      </c>
      <c r="E17968" s="1">
        <v>80.258839</v>
      </c>
      <c r="F17968" s="1">
        <v>805.0</v>
      </c>
      <c r="G17968" s="1">
        <v>16.0</v>
      </c>
    </row>
    <row r="17969">
      <c r="A17969" s="1" t="s">
        <v>8</v>
      </c>
      <c r="B17969" s="2">
        <v>44790.0</v>
      </c>
      <c r="C17969" s="3">
        <v>0.32297453703703705</v>
      </c>
      <c r="D17969" s="1">
        <v>13.007216</v>
      </c>
      <c r="E17969" s="1">
        <v>80.258839</v>
      </c>
      <c r="F17969" s="1">
        <v>805.0</v>
      </c>
      <c r="G17969" s="1">
        <v>16.0</v>
      </c>
    </row>
    <row r="17970">
      <c r="A17970" s="1" t="s">
        <v>8</v>
      </c>
      <c r="B17970" s="2">
        <v>44790.0</v>
      </c>
      <c r="C17970" s="3">
        <v>0.3229976851851852</v>
      </c>
      <c r="D17970" s="1">
        <v>13.006942</v>
      </c>
      <c r="E17970" s="1">
        <v>80.258281</v>
      </c>
      <c r="F17970" s="1">
        <v>805.0</v>
      </c>
      <c r="G17970" s="1">
        <v>27.0</v>
      </c>
    </row>
    <row r="17971">
      <c r="A17971" s="1" t="s">
        <v>8</v>
      </c>
      <c r="B17971" s="2">
        <v>44790.0</v>
      </c>
      <c r="C17971" s="3">
        <v>0.32351851851851854</v>
      </c>
      <c r="D17971" s="1">
        <v>13.006498</v>
      </c>
      <c r="E17971" s="1">
        <v>80.255168</v>
      </c>
      <c r="F17971" s="1">
        <v>805.0</v>
      </c>
      <c r="G17971" s="1">
        <v>30.0</v>
      </c>
    </row>
    <row r="17972">
      <c r="A17972" s="1" t="s">
        <v>9</v>
      </c>
      <c r="B17972" s="2">
        <v>44790.0</v>
      </c>
      <c r="C17972" s="3">
        <v>0.3236574074074074</v>
      </c>
      <c r="D17972" s="1">
        <v>13.006499</v>
      </c>
      <c r="E17972" s="1">
        <v>80.254386</v>
      </c>
      <c r="F17972" s="1">
        <v>805.0</v>
      </c>
      <c r="G17972" s="1">
        <v>0.0</v>
      </c>
    </row>
    <row r="17973">
      <c r="A17973" s="1" t="s">
        <v>8</v>
      </c>
      <c r="B17973" s="2">
        <v>44790.0</v>
      </c>
      <c r="C17973" s="3">
        <v>0.3242013888888889</v>
      </c>
      <c r="D17973" s="1">
        <v>12.697616</v>
      </c>
      <c r="E17973" s="1">
        <v>79.975622</v>
      </c>
      <c r="F17973" s="1">
        <v>2846.0</v>
      </c>
      <c r="G17973" s="1">
        <v>21.0</v>
      </c>
    </row>
    <row r="17974">
      <c r="A17974" s="1" t="s">
        <v>8</v>
      </c>
      <c r="B17974" s="2">
        <v>44790.0</v>
      </c>
      <c r="C17974" s="3">
        <v>0.324375</v>
      </c>
      <c r="D17974" s="1">
        <v>13.007894</v>
      </c>
      <c r="E17974" s="1">
        <v>80.207841</v>
      </c>
      <c r="F17974" s="1">
        <v>5339.0</v>
      </c>
      <c r="G17974" s="1">
        <v>46.0</v>
      </c>
    </row>
    <row r="17975">
      <c r="A17975" s="1" t="s">
        <v>8</v>
      </c>
      <c r="B17975" s="2">
        <v>44790.0</v>
      </c>
      <c r="C17975" s="3">
        <v>0.3252199074074074</v>
      </c>
      <c r="D17975" s="1">
        <v>13.006736</v>
      </c>
      <c r="E17975" s="1">
        <v>80.249259</v>
      </c>
      <c r="F17975" s="1">
        <v>805.0</v>
      </c>
      <c r="G17975" s="1">
        <v>44.0</v>
      </c>
    </row>
    <row r="17976">
      <c r="A17976" s="1" t="s">
        <v>10</v>
      </c>
      <c r="B17976" s="2">
        <v>44790.0</v>
      </c>
      <c r="C17976" s="3">
        <v>0.32538194444444446</v>
      </c>
      <c r="D17976" s="1">
        <v>12.96549</v>
      </c>
      <c r="E17976" s="1">
        <v>80.200499</v>
      </c>
      <c r="F17976" s="1">
        <v>3143.0</v>
      </c>
      <c r="G17976" s="1">
        <v>8.0</v>
      </c>
    </row>
    <row r="17977">
      <c r="A17977" s="1" t="s">
        <v>8</v>
      </c>
      <c r="B17977" s="2">
        <v>44790.0</v>
      </c>
      <c r="C17977" s="3">
        <v>0.3254398148148148</v>
      </c>
      <c r="D17977" s="1">
        <v>13.002039</v>
      </c>
      <c r="E17977" s="1">
        <v>80.200258</v>
      </c>
      <c r="F17977" s="1">
        <v>5339.0</v>
      </c>
      <c r="G17977" s="1">
        <v>40.0</v>
      </c>
    </row>
    <row r="17978">
      <c r="A17978" s="1" t="s">
        <v>8</v>
      </c>
      <c r="B17978" s="2">
        <v>44790.0</v>
      </c>
      <c r="C17978" s="3">
        <v>0.3267476851851852</v>
      </c>
      <c r="D17978" s="1">
        <v>13.006659</v>
      </c>
      <c r="E17978" s="1">
        <v>80.244621</v>
      </c>
      <c r="F17978" s="1">
        <v>805.0</v>
      </c>
      <c r="G17978" s="1">
        <v>53.0</v>
      </c>
    </row>
    <row r="17979">
      <c r="A17979" s="1" t="s">
        <v>8</v>
      </c>
      <c r="B17979" s="2">
        <v>44790.0</v>
      </c>
      <c r="C17979" s="3">
        <v>0.32773148148148146</v>
      </c>
      <c r="D17979" s="1">
        <v>13.007184</v>
      </c>
      <c r="E17979" s="1">
        <v>80.238256</v>
      </c>
      <c r="F17979" s="1">
        <v>805.0</v>
      </c>
      <c r="G17979" s="1">
        <v>35.0</v>
      </c>
    </row>
    <row r="17980">
      <c r="A17980" s="1" t="s">
        <v>7</v>
      </c>
      <c r="B17980" s="2">
        <v>44790.0</v>
      </c>
      <c r="C17980" s="3">
        <v>0.3281712962962963</v>
      </c>
      <c r="D17980" s="1">
        <v>13.007961</v>
      </c>
      <c r="E17980" s="1">
        <v>80.234609</v>
      </c>
      <c r="F17980" s="1">
        <v>805.0</v>
      </c>
      <c r="G17980" s="1">
        <v>54.0</v>
      </c>
    </row>
    <row r="17981">
      <c r="A17981" s="1" t="s">
        <v>8</v>
      </c>
      <c r="B17981" s="2">
        <v>44790.0</v>
      </c>
      <c r="C17981" s="3">
        <v>0.3293055555555556</v>
      </c>
      <c r="D17981" s="1">
        <v>12.708653</v>
      </c>
      <c r="E17981" s="1">
        <v>79.97706</v>
      </c>
      <c r="F17981" s="1">
        <v>2846.0</v>
      </c>
      <c r="G17981" s="1">
        <v>58.0</v>
      </c>
    </row>
    <row r="17982">
      <c r="A17982" s="1" t="s">
        <v>8</v>
      </c>
      <c r="B17982" s="2">
        <v>44790.0</v>
      </c>
      <c r="C17982" s="3">
        <v>0.32936342592592593</v>
      </c>
      <c r="D17982" s="1">
        <v>13.01157</v>
      </c>
      <c r="E17982" s="1">
        <v>80.222818</v>
      </c>
      <c r="F17982" s="1">
        <v>805.0</v>
      </c>
      <c r="G17982" s="1">
        <v>38.0</v>
      </c>
    </row>
    <row r="17983">
      <c r="A17983" s="1" t="s">
        <v>8</v>
      </c>
      <c r="B17983" s="2">
        <v>44790.0</v>
      </c>
      <c r="C17983" s="3">
        <v>0.32936342592592593</v>
      </c>
      <c r="D17983" s="1">
        <v>13.01157</v>
      </c>
      <c r="E17983" s="1">
        <v>80.222818</v>
      </c>
      <c r="F17983" s="1">
        <v>805.0</v>
      </c>
      <c r="G17983" s="1">
        <v>38.0</v>
      </c>
    </row>
    <row r="17984">
      <c r="A17984" s="1" t="s">
        <v>8</v>
      </c>
      <c r="B17984" s="2">
        <v>44790.0</v>
      </c>
      <c r="C17984" s="3">
        <v>0.32967592592592593</v>
      </c>
      <c r="D17984" s="1">
        <v>12.988727</v>
      </c>
      <c r="E17984" s="1">
        <v>80.177969</v>
      </c>
      <c r="F17984" s="1">
        <v>5339.0</v>
      </c>
      <c r="G17984" s="1">
        <v>37.0</v>
      </c>
    </row>
    <row r="17985">
      <c r="A17985" s="1" t="s">
        <v>8</v>
      </c>
      <c r="B17985" s="2">
        <v>44790.0</v>
      </c>
      <c r="C17985" s="3">
        <v>0.3297685185185185</v>
      </c>
      <c r="D17985" s="1">
        <v>12.988197</v>
      </c>
      <c r="E17985" s="1">
        <v>80.177231</v>
      </c>
      <c r="F17985" s="1">
        <v>5339.0</v>
      </c>
      <c r="G17985" s="1">
        <v>35.0</v>
      </c>
    </row>
    <row r="17986">
      <c r="A17986" s="1" t="s">
        <v>7</v>
      </c>
      <c r="B17986" s="2">
        <v>44790.0</v>
      </c>
      <c r="C17986" s="3">
        <v>0.32988425925925924</v>
      </c>
      <c r="D17986" s="1">
        <v>13.011725</v>
      </c>
      <c r="E17986" s="1">
        <v>80.21953</v>
      </c>
      <c r="F17986" s="1">
        <v>805.0</v>
      </c>
      <c r="G17986" s="1">
        <v>51.0</v>
      </c>
    </row>
    <row r="17987">
      <c r="A17987" s="1" t="s">
        <v>8</v>
      </c>
      <c r="B17987" s="2">
        <v>44790.0</v>
      </c>
      <c r="C17987" s="3">
        <v>0.3299537037037037</v>
      </c>
      <c r="D17987" s="1">
        <v>12.987206</v>
      </c>
      <c r="E17987" s="1">
        <v>80.17583</v>
      </c>
      <c r="F17987" s="1">
        <v>5339.0</v>
      </c>
      <c r="G17987" s="1">
        <v>38.0</v>
      </c>
    </row>
    <row r="17988">
      <c r="A17988" s="1" t="s">
        <v>8</v>
      </c>
      <c r="B17988" s="2">
        <v>44790.0</v>
      </c>
      <c r="C17988" s="3">
        <v>0.3301736111111111</v>
      </c>
      <c r="D17988" s="1">
        <v>13.01032</v>
      </c>
      <c r="E17988" s="1">
        <v>80.215984</v>
      </c>
      <c r="F17988" s="1">
        <v>805.0</v>
      </c>
      <c r="G17988" s="1">
        <v>42.0</v>
      </c>
    </row>
    <row r="17989">
      <c r="A17989" s="1" t="s">
        <v>7</v>
      </c>
      <c r="B17989" s="2">
        <v>44790.0</v>
      </c>
      <c r="C17989" s="3">
        <v>0.3302893518518519</v>
      </c>
      <c r="D17989" s="1">
        <v>13.010094</v>
      </c>
      <c r="E17989" s="1">
        <v>80.214813</v>
      </c>
      <c r="F17989" s="1">
        <v>805.0</v>
      </c>
      <c r="G17989" s="1">
        <v>49.0</v>
      </c>
    </row>
    <row r="17990">
      <c r="A17990" s="1" t="s">
        <v>8</v>
      </c>
      <c r="B17990" s="2">
        <v>44790.0</v>
      </c>
      <c r="C17990" s="3">
        <v>0.3304976851851852</v>
      </c>
      <c r="D17990" s="1">
        <v>13.009645</v>
      </c>
      <c r="E17990" s="1">
        <v>80.213534</v>
      </c>
      <c r="F17990" s="1">
        <v>805.0</v>
      </c>
      <c r="G17990" s="1">
        <v>53.0</v>
      </c>
    </row>
    <row r="17991">
      <c r="A17991" s="1" t="s">
        <v>8</v>
      </c>
      <c r="B17991" s="2">
        <v>44790.0</v>
      </c>
      <c r="C17991" s="3">
        <v>0.3304976851851852</v>
      </c>
      <c r="D17991" s="1">
        <v>13.009645</v>
      </c>
      <c r="E17991" s="1">
        <v>80.213534</v>
      </c>
      <c r="F17991" s="1">
        <v>805.0</v>
      </c>
      <c r="G17991" s="1">
        <v>53.0</v>
      </c>
    </row>
    <row r="17992">
      <c r="A17992" s="1" t="s">
        <v>8</v>
      </c>
      <c r="B17992" s="2">
        <v>44790.0</v>
      </c>
      <c r="C17992" s="3">
        <v>0.3304976851851852</v>
      </c>
      <c r="D17992" s="1">
        <v>13.009645</v>
      </c>
      <c r="E17992" s="1">
        <v>80.213534</v>
      </c>
      <c r="F17992" s="1">
        <v>805.0</v>
      </c>
      <c r="G17992" s="1">
        <v>53.0</v>
      </c>
    </row>
    <row r="17993">
      <c r="A17993" s="1" t="s">
        <v>8</v>
      </c>
      <c r="B17993" s="2">
        <v>44790.0</v>
      </c>
      <c r="C17993" s="3">
        <v>0.3305439814814815</v>
      </c>
      <c r="D17993" s="1">
        <v>12.984045</v>
      </c>
      <c r="E17993" s="1">
        <v>80.171098</v>
      </c>
      <c r="F17993" s="1">
        <v>5339.0</v>
      </c>
      <c r="G17993" s="1">
        <v>48.0</v>
      </c>
    </row>
    <row r="17994">
      <c r="A17994" s="1" t="s">
        <v>8</v>
      </c>
      <c r="B17994" s="2">
        <v>44790.0</v>
      </c>
      <c r="C17994" s="3">
        <v>0.33091435185185186</v>
      </c>
      <c r="D17994" s="1">
        <v>13.008388</v>
      </c>
      <c r="E17994" s="1">
        <v>80.210252</v>
      </c>
      <c r="F17994" s="1">
        <v>805.0</v>
      </c>
      <c r="G17994" s="1">
        <v>44.0</v>
      </c>
    </row>
    <row r="17995">
      <c r="A17995" s="1" t="s">
        <v>8</v>
      </c>
      <c r="B17995" s="2">
        <v>44790.0</v>
      </c>
      <c r="C17995" s="3">
        <v>0.33099537037037036</v>
      </c>
      <c r="D17995" s="1">
        <v>13.008106</v>
      </c>
      <c r="E17995" s="1">
        <v>80.209289</v>
      </c>
      <c r="F17995" s="1">
        <v>805.0</v>
      </c>
      <c r="G17995" s="1">
        <v>0.0</v>
      </c>
    </row>
    <row r="17996">
      <c r="A17996" s="1" t="s">
        <v>8</v>
      </c>
      <c r="B17996" s="2">
        <v>44790.0</v>
      </c>
      <c r="C17996" s="3">
        <v>0.3314814814814815</v>
      </c>
      <c r="D17996" s="1">
        <v>12.954691</v>
      </c>
      <c r="E17996" s="1">
        <v>80.186834</v>
      </c>
      <c r="F17996" s="1">
        <v>3143.0</v>
      </c>
      <c r="G17996" s="1">
        <v>30.0</v>
      </c>
    </row>
    <row r="17997">
      <c r="A17997" s="1" t="s">
        <v>8</v>
      </c>
      <c r="B17997" s="2">
        <v>44790.0</v>
      </c>
      <c r="C17997" s="3">
        <v>0.3315625</v>
      </c>
      <c r="D17997" s="1">
        <v>13.006799</v>
      </c>
      <c r="E17997" s="1">
        <v>80.204064</v>
      </c>
      <c r="F17997" s="1">
        <v>805.0</v>
      </c>
      <c r="G17997" s="1">
        <v>49.0</v>
      </c>
    </row>
    <row r="17998">
      <c r="A17998" s="1" t="s">
        <v>7</v>
      </c>
      <c r="B17998" s="2">
        <v>44790.0</v>
      </c>
      <c r="C17998" s="3">
        <v>0.33174768518518516</v>
      </c>
      <c r="D17998" s="1">
        <v>12.728533</v>
      </c>
      <c r="E17998" s="1">
        <v>79.982655</v>
      </c>
      <c r="F17998" s="1">
        <v>2846.0</v>
      </c>
      <c r="G17998" s="1">
        <v>52.0</v>
      </c>
    </row>
    <row r="17999">
      <c r="A17999" s="1" t="s">
        <v>7</v>
      </c>
      <c r="B17999" s="2">
        <v>44790.0</v>
      </c>
      <c r="C17999" s="3">
        <v>0.33199074074074075</v>
      </c>
      <c r="D17999" s="1">
        <v>12.728533</v>
      </c>
      <c r="E17999" s="1">
        <v>79.982655</v>
      </c>
      <c r="F17999" s="1">
        <v>2846.0</v>
      </c>
      <c r="G17999" s="1">
        <v>52.0</v>
      </c>
    </row>
    <row r="18000">
      <c r="A18000" s="1" t="s">
        <v>7</v>
      </c>
      <c r="B18000" s="2">
        <v>44790.0</v>
      </c>
      <c r="C18000" s="3">
        <v>0.3320023148148148</v>
      </c>
      <c r="D18000" s="1">
        <v>13.004791</v>
      </c>
      <c r="E18000" s="1">
        <v>80.201403</v>
      </c>
      <c r="F18000" s="1">
        <v>805.0</v>
      </c>
      <c r="G18000" s="1">
        <v>53.0</v>
      </c>
    </row>
    <row r="18001">
      <c r="A18001" s="1" t="s">
        <v>8</v>
      </c>
      <c r="B18001" s="2">
        <v>44790.0</v>
      </c>
      <c r="C18001" s="3">
        <v>0.3320486111111111</v>
      </c>
      <c r="D18001" s="1">
        <v>12.979116</v>
      </c>
      <c r="E18001" s="1">
        <v>80.161765</v>
      </c>
      <c r="F18001" s="1">
        <v>5339.0</v>
      </c>
      <c r="G18001" s="1">
        <v>46.0</v>
      </c>
    </row>
    <row r="18002">
      <c r="A18002" s="1" t="s">
        <v>7</v>
      </c>
      <c r="B18002" s="2">
        <v>44790.0</v>
      </c>
      <c r="C18002" s="3">
        <v>0.33217592592592593</v>
      </c>
      <c r="D18002" s="1">
        <v>12.728533</v>
      </c>
      <c r="E18002" s="1">
        <v>79.982655</v>
      </c>
      <c r="F18002" s="1">
        <v>2846.0</v>
      </c>
      <c r="G18002" s="1">
        <v>52.0</v>
      </c>
    </row>
    <row r="18003">
      <c r="A18003" s="1" t="s">
        <v>7</v>
      </c>
      <c r="B18003" s="2">
        <v>44790.0</v>
      </c>
      <c r="C18003" s="3">
        <v>0.3322453703703704</v>
      </c>
      <c r="D18003" s="1">
        <v>12.977617</v>
      </c>
      <c r="E18003" s="1">
        <v>80.159612</v>
      </c>
      <c r="F18003" s="1">
        <v>5339.0</v>
      </c>
      <c r="G18003" s="1">
        <v>57.0</v>
      </c>
    </row>
    <row r="18004">
      <c r="A18004" s="1" t="s">
        <v>8</v>
      </c>
      <c r="B18004" s="2">
        <v>44790.0</v>
      </c>
      <c r="C18004" s="3">
        <v>0.3322569444444444</v>
      </c>
      <c r="D18004" s="1">
        <v>12.733517</v>
      </c>
      <c r="E18004" s="1">
        <v>79.983654</v>
      </c>
      <c r="F18004" s="1">
        <v>2846.0</v>
      </c>
      <c r="G18004" s="1">
        <v>50.0</v>
      </c>
    </row>
    <row r="18005">
      <c r="A18005" s="1" t="s">
        <v>7</v>
      </c>
      <c r="B18005" s="2">
        <v>44790.0</v>
      </c>
      <c r="C18005" s="3">
        <v>0.33229166666666665</v>
      </c>
      <c r="D18005" s="1">
        <v>13.001741</v>
      </c>
      <c r="E18005" s="1">
        <v>80.199272</v>
      </c>
      <c r="F18005" s="1">
        <v>805.0</v>
      </c>
      <c r="G18005" s="1">
        <v>54.0</v>
      </c>
    </row>
    <row r="18006">
      <c r="A18006" s="1" t="s">
        <v>8</v>
      </c>
      <c r="B18006" s="2">
        <v>44790.0</v>
      </c>
      <c r="C18006" s="3">
        <v>0.332337962962963</v>
      </c>
      <c r="D18006" s="1">
        <v>13.001741</v>
      </c>
      <c r="E18006" s="1">
        <v>80.199272</v>
      </c>
      <c r="F18006" s="1">
        <v>805.0</v>
      </c>
      <c r="G18006" s="1">
        <v>54.0</v>
      </c>
    </row>
    <row r="18007">
      <c r="A18007" s="1" t="s">
        <v>8</v>
      </c>
      <c r="B18007" s="2">
        <v>44790.0</v>
      </c>
      <c r="C18007" s="3">
        <v>0.33240740740740743</v>
      </c>
      <c r="D18007" s="1">
        <v>13.001947</v>
      </c>
      <c r="E18007" s="1">
        <v>80.197899</v>
      </c>
      <c r="F18007" s="1">
        <v>805.0</v>
      </c>
      <c r="G18007" s="1">
        <v>53.0</v>
      </c>
    </row>
    <row r="18008">
      <c r="A18008" s="1" t="s">
        <v>8</v>
      </c>
      <c r="B18008" s="2">
        <v>44790.0</v>
      </c>
      <c r="C18008" s="3">
        <v>0.33247685185185183</v>
      </c>
      <c r="D18008" s="1">
        <v>13.001834</v>
      </c>
      <c r="E18008" s="1">
        <v>80.196694</v>
      </c>
      <c r="F18008" s="1">
        <v>805.0</v>
      </c>
      <c r="G18008" s="1">
        <v>42.0</v>
      </c>
    </row>
    <row r="18009">
      <c r="A18009" s="1" t="s">
        <v>7</v>
      </c>
      <c r="B18009" s="2">
        <v>44790.0</v>
      </c>
      <c r="C18009" s="3">
        <v>0.33283564814814814</v>
      </c>
      <c r="D18009" s="1">
        <v>12.738133</v>
      </c>
      <c r="E18009" s="1">
        <v>79.988293</v>
      </c>
      <c r="F18009" s="1">
        <v>2846.0</v>
      </c>
      <c r="G18009" s="1">
        <v>52.0</v>
      </c>
    </row>
    <row r="18010">
      <c r="A18010" s="1" t="s">
        <v>8</v>
      </c>
      <c r="B18010" s="2">
        <v>44790.0</v>
      </c>
      <c r="C18010" s="3">
        <v>0.3330787037037037</v>
      </c>
      <c r="D18010" s="1">
        <v>12.972147</v>
      </c>
      <c r="E18010" s="1">
        <v>80.15159</v>
      </c>
      <c r="F18010" s="1">
        <v>5339.0</v>
      </c>
      <c r="G18010" s="1">
        <v>43.0</v>
      </c>
    </row>
    <row r="18011">
      <c r="A18011" s="1" t="s">
        <v>8</v>
      </c>
      <c r="B18011" s="2">
        <v>44790.0</v>
      </c>
      <c r="C18011" s="3">
        <v>0.33310185185185187</v>
      </c>
      <c r="D18011" s="1">
        <v>12.972147</v>
      </c>
      <c r="E18011" s="1">
        <v>80.15159</v>
      </c>
      <c r="F18011" s="1">
        <v>5339.0</v>
      </c>
      <c r="G18011" s="1">
        <v>43.0</v>
      </c>
    </row>
    <row r="18012">
      <c r="A18012" s="1" t="s">
        <v>8</v>
      </c>
      <c r="B18012" s="2">
        <v>44790.0</v>
      </c>
      <c r="C18012" s="3">
        <v>0.3331365740740741</v>
      </c>
      <c r="D18012" s="1">
        <v>12.972147</v>
      </c>
      <c r="E18012" s="1">
        <v>80.15159</v>
      </c>
      <c r="F18012" s="1">
        <v>5339.0</v>
      </c>
      <c r="G18012" s="1">
        <v>43.0</v>
      </c>
    </row>
    <row r="18013">
      <c r="A18013" s="1" t="s">
        <v>7</v>
      </c>
      <c r="B18013" s="2">
        <v>44790.0</v>
      </c>
      <c r="C18013" s="3">
        <v>0.33350694444444445</v>
      </c>
      <c r="D18013" s="1">
        <v>12.999851</v>
      </c>
      <c r="E18013" s="1">
        <v>80.194023</v>
      </c>
      <c r="F18013" s="1">
        <v>805.0</v>
      </c>
      <c r="G18013" s="1">
        <v>61.0</v>
      </c>
    </row>
    <row r="18014">
      <c r="A18014" s="1" t="s">
        <v>8</v>
      </c>
      <c r="B18014" s="2">
        <v>44790.0</v>
      </c>
      <c r="C18014" s="3">
        <v>0.33373842592592595</v>
      </c>
      <c r="D18014" s="1">
        <v>12.967564</v>
      </c>
      <c r="E18014" s="1">
        <v>80.14925</v>
      </c>
      <c r="F18014" s="1">
        <v>5339.0</v>
      </c>
      <c r="G18014" s="1">
        <v>41.0</v>
      </c>
    </row>
    <row r="18015">
      <c r="A18015" s="1" t="s">
        <v>8</v>
      </c>
      <c r="B18015" s="2">
        <v>44790.0</v>
      </c>
      <c r="C18015" s="3">
        <v>0.3337731481481481</v>
      </c>
      <c r="D18015" s="1">
        <v>12.966607</v>
      </c>
      <c r="E18015" s="1">
        <v>80.14884</v>
      </c>
      <c r="F18015" s="1">
        <v>5339.0</v>
      </c>
      <c r="G18015" s="1">
        <v>34.0</v>
      </c>
    </row>
    <row r="18016">
      <c r="A18016" s="1" t="s">
        <v>8</v>
      </c>
      <c r="B18016" s="2">
        <v>44790.0</v>
      </c>
      <c r="C18016" s="3">
        <v>0.33391203703703703</v>
      </c>
      <c r="D18016" s="1">
        <v>12.965935</v>
      </c>
      <c r="E18016" s="1">
        <v>80.148496</v>
      </c>
      <c r="F18016" s="1">
        <v>5339.0</v>
      </c>
      <c r="G18016" s="1">
        <v>33.0</v>
      </c>
    </row>
    <row r="18017">
      <c r="A18017" s="1" t="s">
        <v>8</v>
      </c>
      <c r="B18017" s="2">
        <v>44790.0</v>
      </c>
      <c r="C18017" s="3">
        <v>0.33394675925925926</v>
      </c>
      <c r="D18017" s="1">
        <v>12.965935</v>
      </c>
      <c r="E18017" s="1">
        <v>80.148496</v>
      </c>
      <c r="F18017" s="1">
        <v>5339.0</v>
      </c>
      <c r="G18017" s="1">
        <v>33.0</v>
      </c>
    </row>
    <row r="18018">
      <c r="A18018" s="1" t="s">
        <v>8</v>
      </c>
      <c r="B18018" s="2">
        <v>44790.0</v>
      </c>
      <c r="C18018" s="3">
        <v>0.33413194444444444</v>
      </c>
      <c r="D18018" s="1">
        <v>12.995792</v>
      </c>
      <c r="E18018" s="1">
        <v>80.189009</v>
      </c>
      <c r="F18018" s="1">
        <v>805.0</v>
      </c>
      <c r="G18018" s="1">
        <v>34.0</v>
      </c>
    </row>
    <row r="18019">
      <c r="A18019" s="1" t="s">
        <v>7</v>
      </c>
      <c r="B18019" s="2">
        <v>44790.0</v>
      </c>
      <c r="C18019" s="3">
        <v>0.33422453703703703</v>
      </c>
      <c r="D18019" s="1">
        <v>12.963348</v>
      </c>
      <c r="E18019" s="1">
        <v>80.147051</v>
      </c>
      <c r="F18019" s="1">
        <v>5339.0</v>
      </c>
      <c r="G18019" s="1">
        <v>53.0</v>
      </c>
    </row>
    <row r="18020">
      <c r="A18020" s="1" t="s">
        <v>7</v>
      </c>
      <c r="B18020" s="2">
        <v>44790.0</v>
      </c>
      <c r="C18020" s="3">
        <v>0.33446759259259257</v>
      </c>
      <c r="D18020" s="1">
        <v>12.960787</v>
      </c>
      <c r="E18020" s="1">
        <v>80.145678</v>
      </c>
      <c r="F18020" s="1">
        <v>5339.0</v>
      </c>
      <c r="G18020" s="1">
        <v>58.0</v>
      </c>
    </row>
    <row r="18021">
      <c r="A18021" s="1" t="s">
        <v>8</v>
      </c>
      <c r="B18021" s="2">
        <v>44790.0</v>
      </c>
      <c r="C18021" s="3">
        <v>0.33466435185185184</v>
      </c>
      <c r="D18021" s="1">
        <v>12.943766</v>
      </c>
      <c r="E18021" s="1">
        <v>80.18304</v>
      </c>
      <c r="F18021" s="1">
        <v>3143.0</v>
      </c>
      <c r="G18021" s="1">
        <v>11.0</v>
      </c>
    </row>
    <row r="18022">
      <c r="A18022" s="1" t="s">
        <v>8</v>
      </c>
      <c r="B18022" s="2">
        <v>44790.0</v>
      </c>
      <c r="C18022" s="3">
        <v>0.3348263888888889</v>
      </c>
      <c r="D18022" s="1">
        <v>12.993915</v>
      </c>
      <c r="E18022" s="1">
        <v>80.185395</v>
      </c>
      <c r="F18022" s="1">
        <v>805.0</v>
      </c>
      <c r="G18022" s="1">
        <v>28.0</v>
      </c>
    </row>
    <row r="18023">
      <c r="A18023" s="1" t="s">
        <v>7</v>
      </c>
      <c r="B18023" s="2">
        <v>44790.0</v>
      </c>
      <c r="C18023" s="3">
        <v>0.3348726851851852</v>
      </c>
      <c r="D18023" s="1">
        <v>12.752546</v>
      </c>
      <c r="E18023" s="1">
        <v>79.999583</v>
      </c>
      <c r="F18023" s="1">
        <v>2846.0</v>
      </c>
      <c r="G18023" s="1">
        <v>56.0</v>
      </c>
    </row>
    <row r="18024">
      <c r="A18024" s="1" t="s">
        <v>8</v>
      </c>
      <c r="B18024" s="2">
        <v>44790.0</v>
      </c>
      <c r="C18024" s="3">
        <v>0.3350810185185185</v>
      </c>
      <c r="D18024" s="1">
        <v>12.992966</v>
      </c>
      <c r="E18024" s="1">
        <v>80.183655</v>
      </c>
      <c r="F18024" s="1">
        <v>805.0</v>
      </c>
      <c r="G18024" s="1">
        <v>46.0</v>
      </c>
    </row>
    <row r="18025">
      <c r="A18025" s="1" t="s">
        <v>8</v>
      </c>
      <c r="B18025" s="2">
        <v>44790.0</v>
      </c>
      <c r="C18025" s="3">
        <v>0.3357060185185185</v>
      </c>
      <c r="D18025" s="1">
        <v>12.952874</v>
      </c>
      <c r="E18025" s="1">
        <v>80.141406</v>
      </c>
      <c r="F18025" s="1">
        <v>5339.0</v>
      </c>
      <c r="G18025" s="1">
        <v>21.0</v>
      </c>
    </row>
    <row r="18026">
      <c r="A18026" s="1" t="s">
        <v>8</v>
      </c>
      <c r="B18026" s="2">
        <v>44790.0</v>
      </c>
      <c r="C18026" s="3">
        <v>0.3357291666666667</v>
      </c>
      <c r="D18026" s="1">
        <v>12.95237</v>
      </c>
      <c r="E18026" s="1">
        <v>80.141035</v>
      </c>
      <c r="F18026" s="1">
        <v>5339.0</v>
      </c>
      <c r="G18026" s="1">
        <v>29.0</v>
      </c>
    </row>
    <row r="18027">
      <c r="A18027" s="1" t="s">
        <v>8</v>
      </c>
      <c r="B18027" s="2">
        <v>44790.0</v>
      </c>
      <c r="C18027" s="3">
        <v>0.3358449074074074</v>
      </c>
      <c r="D18027" s="1">
        <v>12.951743</v>
      </c>
      <c r="E18027" s="1">
        <v>80.14055</v>
      </c>
      <c r="F18027" s="1">
        <v>5339.0</v>
      </c>
      <c r="G18027" s="1">
        <v>34.0</v>
      </c>
    </row>
    <row r="18028">
      <c r="A18028" s="1" t="s">
        <v>8</v>
      </c>
      <c r="B18028" s="2">
        <v>44790.0</v>
      </c>
      <c r="C18028" s="3">
        <v>0.3360300925925926</v>
      </c>
      <c r="D18028" s="1">
        <v>12.988516</v>
      </c>
      <c r="E18028" s="1">
        <v>80.177686</v>
      </c>
      <c r="F18028" s="1">
        <v>805.0</v>
      </c>
      <c r="G18028" s="1">
        <v>52.0</v>
      </c>
    </row>
    <row r="18029">
      <c r="A18029" s="1" t="s">
        <v>8</v>
      </c>
      <c r="B18029" s="2">
        <v>44790.0</v>
      </c>
      <c r="C18029" s="3">
        <v>0.3362847222222222</v>
      </c>
      <c r="D18029" s="1">
        <v>12.950808</v>
      </c>
      <c r="E18029" s="1">
        <v>80.139856</v>
      </c>
      <c r="F18029" s="1">
        <v>5339.0</v>
      </c>
      <c r="G18029" s="1">
        <v>12.0</v>
      </c>
    </row>
    <row r="18030">
      <c r="A18030" s="1" t="s">
        <v>8</v>
      </c>
      <c r="B18030" s="2">
        <v>44790.0</v>
      </c>
      <c r="C18030" s="3">
        <v>0.3362847222222222</v>
      </c>
      <c r="D18030" s="1">
        <v>12.763079</v>
      </c>
      <c r="E18030" s="1">
        <v>80.003992</v>
      </c>
      <c r="F18030" s="1">
        <v>2846.0</v>
      </c>
      <c r="G18030" s="1">
        <v>21.0</v>
      </c>
    </row>
    <row r="18031">
      <c r="A18031" s="1" t="s">
        <v>8</v>
      </c>
      <c r="B18031" s="2">
        <v>44790.0</v>
      </c>
      <c r="C18031" s="3">
        <v>0.3362962962962963</v>
      </c>
      <c r="D18031" s="1">
        <v>12.763079</v>
      </c>
      <c r="E18031" s="1">
        <v>80.003992</v>
      </c>
      <c r="F18031" s="1">
        <v>2846.0</v>
      </c>
      <c r="G18031" s="1">
        <v>21.0</v>
      </c>
    </row>
    <row r="18032">
      <c r="A18032" s="1" t="s">
        <v>8</v>
      </c>
      <c r="B18032" s="2">
        <v>44790.0</v>
      </c>
      <c r="C18032" s="3">
        <v>0.3363541666666667</v>
      </c>
      <c r="D18032" s="1">
        <v>12.986103</v>
      </c>
      <c r="E18032" s="1">
        <v>80.174282</v>
      </c>
      <c r="F18032" s="1">
        <v>805.0</v>
      </c>
      <c r="G18032" s="1">
        <v>56.0</v>
      </c>
    </row>
    <row r="18033">
      <c r="A18033" s="1" t="s">
        <v>8</v>
      </c>
      <c r="B18033" s="2">
        <v>44790.0</v>
      </c>
      <c r="C18033" s="3">
        <v>0.33655092592592595</v>
      </c>
      <c r="D18033" s="1">
        <v>12.984449</v>
      </c>
      <c r="E18033" s="1">
        <v>80.171836</v>
      </c>
      <c r="F18033" s="1">
        <v>805.0</v>
      </c>
      <c r="G18033" s="1">
        <v>58.0</v>
      </c>
    </row>
    <row r="18034">
      <c r="A18034" s="1" t="s">
        <v>10</v>
      </c>
      <c r="B18034" s="2">
        <v>44790.0</v>
      </c>
      <c r="C18034" s="3">
        <v>0.3365972222222222</v>
      </c>
      <c r="D18034" s="1">
        <v>12.935337</v>
      </c>
      <c r="E18034" s="1">
        <v>80.182431</v>
      </c>
      <c r="F18034" s="1">
        <v>3143.0</v>
      </c>
      <c r="G18034" s="1">
        <v>19.0</v>
      </c>
    </row>
    <row r="18035">
      <c r="A18035" s="1" t="s">
        <v>9</v>
      </c>
      <c r="B18035" s="2">
        <v>44790.0</v>
      </c>
      <c r="C18035" s="3">
        <v>0.3367013888888889</v>
      </c>
      <c r="D18035" s="1">
        <v>12.94831</v>
      </c>
      <c r="E18035" s="1">
        <v>80.137864</v>
      </c>
      <c r="F18035" s="1">
        <v>5339.0</v>
      </c>
      <c r="G18035" s="1">
        <v>41.0</v>
      </c>
    </row>
    <row r="18036">
      <c r="A18036" s="1" t="s">
        <v>7</v>
      </c>
      <c r="B18036" s="2">
        <v>44790.0</v>
      </c>
      <c r="C18036" s="3">
        <v>0.3369097222222222</v>
      </c>
      <c r="D18036" s="1">
        <v>12.98229</v>
      </c>
      <c r="E18036" s="1">
        <v>80.168126</v>
      </c>
      <c r="F18036" s="1">
        <v>805.0</v>
      </c>
      <c r="G18036" s="1">
        <v>58.0</v>
      </c>
    </row>
    <row r="18037">
      <c r="A18037" s="1" t="s">
        <v>8</v>
      </c>
      <c r="B18037" s="2">
        <v>44790.0</v>
      </c>
      <c r="C18037" s="3">
        <v>0.3369328703703704</v>
      </c>
      <c r="D18037" s="1">
        <v>12.76891</v>
      </c>
      <c r="E18037" s="1">
        <v>80.006563</v>
      </c>
      <c r="F18037" s="1">
        <v>2846.0</v>
      </c>
      <c r="G18037" s="1">
        <v>52.0</v>
      </c>
    </row>
    <row r="18038">
      <c r="A18038" s="1" t="s">
        <v>7</v>
      </c>
      <c r="B18038" s="2">
        <v>44790.0</v>
      </c>
      <c r="C18038" s="3">
        <v>0.33696759259259257</v>
      </c>
      <c r="D18038" s="1">
        <v>12.98229</v>
      </c>
      <c r="E18038" s="1">
        <v>80.168126</v>
      </c>
      <c r="F18038" s="1">
        <v>805.0</v>
      </c>
      <c r="G18038" s="1">
        <v>58.0</v>
      </c>
    </row>
    <row r="18039">
      <c r="A18039" s="1" t="s">
        <v>8</v>
      </c>
      <c r="B18039" s="2">
        <v>44790.0</v>
      </c>
      <c r="C18039" s="3">
        <v>0.3371180555555556</v>
      </c>
      <c r="D18039" s="1">
        <v>12.980884</v>
      </c>
      <c r="E18039" s="1">
        <v>80.165847</v>
      </c>
      <c r="F18039" s="1">
        <v>805.0</v>
      </c>
      <c r="G18039" s="1">
        <v>49.0</v>
      </c>
    </row>
    <row r="18040">
      <c r="A18040" s="1" t="s">
        <v>8</v>
      </c>
      <c r="B18040" s="2">
        <v>44790.0</v>
      </c>
      <c r="C18040" s="3">
        <v>0.33730324074074075</v>
      </c>
      <c r="D18040" s="1">
        <v>12.944058</v>
      </c>
      <c r="E18040" s="1">
        <v>80.134652</v>
      </c>
      <c r="F18040" s="1">
        <v>5339.0</v>
      </c>
      <c r="G18040" s="1">
        <v>34.0</v>
      </c>
    </row>
    <row r="18041">
      <c r="A18041" s="1" t="s">
        <v>10</v>
      </c>
      <c r="B18041" s="2">
        <v>44790.0</v>
      </c>
      <c r="C18041" s="3">
        <v>0.3373611111111111</v>
      </c>
      <c r="D18041" s="1">
        <v>12.931552</v>
      </c>
      <c r="E18041" s="1">
        <v>80.18169</v>
      </c>
      <c r="F18041" s="1">
        <v>3143.0</v>
      </c>
      <c r="G18041" s="1">
        <v>18.0</v>
      </c>
    </row>
    <row r="18042">
      <c r="A18042" s="1" t="s">
        <v>8</v>
      </c>
      <c r="B18042" s="2">
        <v>44790.0</v>
      </c>
      <c r="C18042" s="3">
        <v>0.33791666666666664</v>
      </c>
      <c r="D18042" s="1">
        <v>12.979635</v>
      </c>
      <c r="E18042" s="1">
        <v>80.16244</v>
      </c>
      <c r="F18042" s="1">
        <v>805.0</v>
      </c>
      <c r="G18042" s="1">
        <v>35.0</v>
      </c>
    </row>
    <row r="18043">
      <c r="A18043" s="1" t="s">
        <v>8</v>
      </c>
      <c r="B18043" s="2">
        <v>44790.0</v>
      </c>
      <c r="C18043" s="3">
        <v>0.3380208333333333</v>
      </c>
      <c r="D18043" s="1">
        <v>12.941453</v>
      </c>
      <c r="E18043" s="1">
        <v>80.132154</v>
      </c>
      <c r="F18043" s="1">
        <v>5339.0</v>
      </c>
      <c r="G18043" s="1">
        <v>37.0</v>
      </c>
    </row>
    <row r="18044">
      <c r="A18044" s="1" t="s">
        <v>8</v>
      </c>
      <c r="B18044" s="2">
        <v>44790.0</v>
      </c>
      <c r="C18044" s="3">
        <v>0.3381134259259259</v>
      </c>
      <c r="D18044" s="1">
        <v>12.979062</v>
      </c>
      <c r="E18044" s="1">
        <v>80.16157</v>
      </c>
      <c r="F18044" s="1">
        <v>805.0</v>
      </c>
      <c r="G18044" s="1">
        <v>45.0</v>
      </c>
    </row>
    <row r="18045">
      <c r="A18045" s="1" t="s">
        <v>8</v>
      </c>
      <c r="B18045" s="2">
        <v>44790.0</v>
      </c>
      <c r="C18045" s="3">
        <v>0.33813657407407405</v>
      </c>
      <c r="D18045" s="1">
        <v>12.940792</v>
      </c>
      <c r="E18045" s="1">
        <v>80.131478</v>
      </c>
      <c r="F18045" s="1">
        <v>5339.0</v>
      </c>
      <c r="G18045" s="1">
        <v>39.0</v>
      </c>
    </row>
    <row r="18046">
      <c r="A18046" s="1" t="s">
        <v>8</v>
      </c>
      <c r="B18046" s="2">
        <v>44790.0</v>
      </c>
      <c r="C18046" s="3">
        <v>0.3381712962962963</v>
      </c>
      <c r="D18046" s="1">
        <v>12.940095</v>
      </c>
      <c r="E18046" s="1">
        <v>80.130728</v>
      </c>
      <c r="F18046" s="1">
        <v>5339.0</v>
      </c>
      <c r="G18046" s="1">
        <v>39.0</v>
      </c>
    </row>
    <row r="18047">
      <c r="A18047" s="1" t="s">
        <v>7</v>
      </c>
      <c r="B18047" s="2">
        <v>44790.0</v>
      </c>
      <c r="C18047" s="3">
        <v>0.3383564814814815</v>
      </c>
      <c r="D18047" s="1">
        <v>12.977503</v>
      </c>
      <c r="E18047" s="1">
        <v>80.159368</v>
      </c>
      <c r="F18047" s="1">
        <v>805.0</v>
      </c>
      <c r="G18047" s="1">
        <v>52.0</v>
      </c>
    </row>
    <row r="18048">
      <c r="A18048" s="1" t="s">
        <v>7</v>
      </c>
      <c r="B18048" s="2">
        <v>44790.0</v>
      </c>
      <c r="C18048" s="3">
        <v>0.3384490740740741</v>
      </c>
      <c r="D18048" s="1">
        <v>12.784526</v>
      </c>
      <c r="E18048" s="1">
        <v>80.013659</v>
      </c>
      <c r="F18048" s="1">
        <v>2846.0</v>
      </c>
      <c r="G18048" s="1">
        <v>51.0</v>
      </c>
    </row>
    <row r="18049">
      <c r="A18049" s="1" t="s">
        <v>8</v>
      </c>
      <c r="B18049" s="2">
        <v>44790.0</v>
      </c>
      <c r="C18049" s="3">
        <v>0.33859953703703705</v>
      </c>
      <c r="D18049" s="1">
        <v>12.975921</v>
      </c>
      <c r="E18049" s="1">
        <v>80.15694</v>
      </c>
      <c r="F18049" s="1">
        <v>805.0</v>
      </c>
      <c r="G18049" s="1">
        <v>57.0</v>
      </c>
    </row>
    <row r="18050">
      <c r="A18050" s="1" t="s">
        <v>8</v>
      </c>
      <c r="B18050" s="2">
        <v>44790.0</v>
      </c>
      <c r="C18050" s="3">
        <v>0.3387847222222222</v>
      </c>
      <c r="D18050" s="1">
        <v>12.974616</v>
      </c>
      <c r="E18050" s="1">
        <v>80.155112</v>
      </c>
      <c r="F18050" s="1">
        <v>805.0</v>
      </c>
      <c r="G18050" s="1">
        <v>32.0</v>
      </c>
    </row>
    <row r="18051">
      <c r="A18051" s="1" t="s">
        <v>7</v>
      </c>
      <c r="B18051" s="2">
        <v>44790.0</v>
      </c>
      <c r="C18051" s="3">
        <v>0.3388773148148148</v>
      </c>
      <c r="D18051" s="1">
        <v>12.788058</v>
      </c>
      <c r="E18051" s="1">
        <v>80.015702</v>
      </c>
      <c r="F18051" s="1">
        <v>2846.0</v>
      </c>
      <c r="G18051" s="1">
        <v>53.0</v>
      </c>
    </row>
    <row r="18052">
      <c r="A18052" s="1" t="s">
        <v>8</v>
      </c>
      <c r="B18052" s="2">
        <v>44790.0</v>
      </c>
      <c r="C18052" s="3">
        <v>0.33902777777777776</v>
      </c>
      <c r="D18052" s="1">
        <v>12.97349</v>
      </c>
      <c r="E18052" s="1">
        <v>80.153442</v>
      </c>
      <c r="F18052" s="1">
        <v>805.0</v>
      </c>
      <c r="G18052" s="1">
        <v>46.0</v>
      </c>
    </row>
    <row r="18053">
      <c r="A18053" s="1" t="s">
        <v>7</v>
      </c>
      <c r="B18053" s="2">
        <v>44790.0</v>
      </c>
      <c r="C18053" s="3">
        <v>0.3391087962962963</v>
      </c>
      <c r="D18053" s="1">
        <v>12.790415</v>
      </c>
      <c r="E18053" s="1">
        <v>80.017099</v>
      </c>
      <c r="F18053" s="1">
        <v>2846.0</v>
      </c>
      <c r="G18053" s="1">
        <v>55.0</v>
      </c>
    </row>
    <row r="18054">
      <c r="A18054" s="1" t="s">
        <v>8</v>
      </c>
      <c r="B18054" s="2">
        <v>44790.0</v>
      </c>
      <c r="C18054" s="3">
        <v>0.33934027777777775</v>
      </c>
      <c r="D18054" s="1">
        <v>12.97162</v>
      </c>
      <c r="E18054" s="1">
        <v>80.151205</v>
      </c>
      <c r="F18054" s="1">
        <v>805.0</v>
      </c>
      <c r="G18054" s="1">
        <v>28.0</v>
      </c>
    </row>
    <row r="18055">
      <c r="A18055" s="1" t="s">
        <v>8</v>
      </c>
      <c r="B18055" s="2">
        <v>44790.0</v>
      </c>
      <c r="C18055" s="3">
        <v>0.33935185185185185</v>
      </c>
      <c r="D18055" s="1">
        <v>12.935668</v>
      </c>
      <c r="E18055" s="1">
        <v>80.126824</v>
      </c>
      <c r="F18055" s="1">
        <v>5339.0</v>
      </c>
      <c r="G18055" s="1">
        <v>26.0</v>
      </c>
    </row>
    <row r="18056">
      <c r="A18056" s="1" t="s">
        <v>8</v>
      </c>
      <c r="B18056" s="2">
        <v>44790.0</v>
      </c>
      <c r="C18056" s="3">
        <v>0.339375</v>
      </c>
      <c r="D18056" s="1">
        <v>12.935668</v>
      </c>
      <c r="E18056" s="1">
        <v>80.126824</v>
      </c>
      <c r="F18056" s="1">
        <v>5339.0</v>
      </c>
      <c r="G18056" s="1">
        <v>26.0</v>
      </c>
    </row>
    <row r="18057">
      <c r="A18057" s="1" t="s">
        <v>8</v>
      </c>
      <c r="B18057" s="2">
        <v>44790.0</v>
      </c>
      <c r="C18057" s="3">
        <v>0.3395023148148148</v>
      </c>
      <c r="D18057" s="1">
        <v>12.935057</v>
      </c>
      <c r="E18057" s="1">
        <v>80.126251</v>
      </c>
      <c r="F18057" s="1">
        <v>5339.0</v>
      </c>
      <c r="G18057" s="1">
        <v>38.0</v>
      </c>
    </row>
    <row r="18058">
      <c r="A18058" s="1" t="s">
        <v>10</v>
      </c>
      <c r="B18058" s="2">
        <v>44790.0</v>
      </c>
      <c r="C18058" s="3">
        <v>0.3395486111111111</v>
      </c>
      <c r="D18058" s="1">
        <v>12.92141</v>
      </c>
      <c r="E18058" s="1">
        <v>80.183684</v>
      </c>
      <c r="F18058" s="1">
        <v>3143.0</v>
      </c>
      <c r="G18058" s="1">
        <v>25.0</v>
      </c>
    </row>
    <row r="18059">
      <c r="A18059" s="1" t="s">
        <v>8</v>
      </c>
      <c r="B18059" s="2">
        <v>44790.0</v>
      </c>
      <c r="C18059" s="3">
        <v>0.3396064814814815</v>
      </c>
      <c r="D18059" s="1">
        <v>12.96999</v>
      </c>
      <c r="E18059" s="1">
        <v>80.150427</v>
      </c>
      <c r="F18059" s="1">
        <v>805.0</v>
      </c>
      <c r="G18059" s="1">
        <v>30.0</v>
      </c>
    </row>
    <row r="18060">
      <c r="A18060" s="1" t="s">
        <v>8</v>
      </c>
      <c r="B18060" s="2">
        <v>44790.0</v>
      </c>
      <c r="C18060" s="3">
        <v>0.3397685185185185</v>
      </c>
      <c r="D18060" s="1">
        <v>12.968288</v>
      </c>
      <c r="E18060" s="1">
        <v>80.149644</v>
      </c>
      <c r="F18060" s="1">
        <v>805.0</v>
      </c>
      <c r="G18060" s="1">
        <v>29.0</v>
      </c>
    </row>
    <row r="18061">
      <c r="A18061" s="1" t="s">
        <v>8</v>
      </c>
      <c r="B18061" s="2">
        <v>44790.0</v>
      </c>
      <c r="C18061" s="3">
        <v>0.339837962962963</v>
      </c>
      <c r="D18061" s="1">
        <v>12.932655</v>
      </c>
      <c r="E18061" s="1">
        <v>80.123938</v>
      </c>
      <c r="F18061" s="1">
        <v>5339.0</v>
      </c>
      <c r="G18061" s="1">
        <v>45.0</v>
      </c>
    </row>
    <row r="18062">
      <c r="A18062" s="1" t="s">
        <v>8</v>
      </c>
      <c r="B18062" s="2">
        <v>44790.0</v>
      </c>
      <c r="C18062" s="3">
        <v>0.3399537037037037</v>
      </c>
      <c r="D18062" s="1">
        <v>12.797796</v>
      </c>
      <c r="E18062" s="1">
        <v>80.021842</v>
      </c>
      <c r="F18062" s="1">
        <v>2846.0</v>
      </c>
      <c r="G18062" s="1">
        <v>49.0</v>
      </c>
    </row>
    <row r="18063">
      <c r="A18063" s="1" t="s">
        <v>7</v>
      </c>
      <c r="B18063" s="2">
        <v>44790.0</v>
      </c>
      <c r="C18063" s="3">
        <v>0.34032407407407406</v>
      </c>
      <c r="D18063" s="1">
        <v>12.799978</v>
      </c>
      <c r="E18063" s="1">
        <v>80.023252</v>
      </c>
      <c r="F18063" s="1">
        <v>2846.0</v>
      </c>
      <c r="G18063" s="1">
        <v>52.0</v>
      </c>
    </row>
    <row r="18064">
      <c r="A18064" s="1" t="s">
        <v>8</v>
      </c>
      <c r="B18064" s="2">
        <v>44790.0</v>
      </c>
      <c r="C18064" s="3">
        <v>0.3403587962962963</v>
      </c>
      <c r="D18064" s="1">
        <v>12.965614</v>
      </c>
      <c r="E18064" s="1">
        <v>80.148365</v>
      </c>
      <c r="F18064" s="1">
        <v>805.0</v>
      </c>
      <c r="G18064" s="1">
        <v>43.0</v>
      </c>
    </row>
    <row r="18065">
      <c r="A18065" s="1" t="s">
        <v>8</v>
      </c>
      <c r="B18065" s="2">
        <v>44790.0</v>
      </c>
      <c r="C18065" s="3">
        <v>0.34068287037037037</v>
      </c>
      <c r="D18065" s="1">
        <v>12.963626</v>
      </c>
      <c r="E18065" s="1">
        <v>80.147273</v>
      </c>
      <c r="F18065" s="1">
        <v>805.0</v>
      </c>
      <c r="G18065" s="1">
        <v>48.0</v>
      </c>
    </row>
    <row r="18066">
      <c r="A18066" s="1" t="s">
        <v>8</v>
      </c>
      <c r="B18066" s="2">
        <v>44790.0</v>
      </c>
      <c r="C18066" s="3">
        <v>0.3407175925925926</v>
      </c>
      <c r="D18066" s="1">
        <v>12.962443</v>
      </c>
      <c r="E18066" s="1">
        <v>80.146622</v>
      </c>
      <c r="F18066" s="1">
        <v>805.0</v>
      </c>
      <c r="G18066" s="1">
        <v>50.0</v>
      </c>
    </row>
    <row r="18067">
      <c r="A18067" s="1" t="s">
        <v>7</v>
      </c>
      <c r="B18067" s="2">
        <v>44790.0</v>
      </c>
      <c r="C18067" s="3">
        <v>0.3407291666666667</v>
      </c>
      <c r="D18067" s="1">
        <v>12.804664</v>
      </c>
      <c r="E18067" s="1">
        <v>80.026358</v>
      </c>
      <c r="F18067" s="1">
        <v>2846.0</v>
      </c>
      <c r="G18067" s="1">
        <v>54.0</v>
      </c>
    </row>
    <row r="18068">
      <c r="A18068" s="1" t="s">
        <v>7</v>
      </c>
      <c r="B18068" s="2">
        <v>44790.0</v>
      </c>
      <c r="C18068" s="3">
        <v>0.3409490740740741</v>
      </c>
      <c r="D18068" s="1">
        <v>12.805834</v>
      </c>
      <c r="E18068" s="1">
        <v>80.027129</v>
      </c>
      <c r="F18068" s="1">
        <v>2846.0</v>
      </c>
      <c r="G18068" s="1">
        <v>56.0</v>
      </c>
    </row>
    <row r="18069">
      <c r="A18069" s="1" t="s">
        <v>7</v>
      </c>
      <c r="B18069" s="2">
        <v>44790.0</v>
      </c>
      <c r="C18069" s="3">
        <v>0.34108796296296295</v>
      </c>
      <c r="D18069" s="1">
        <v>12.959453</v>
      </c>
      <c r="E18069" s="1">
        <v>80.144959</v>
      </c>
      <c r="F18069" s="1">
        <v>805.0</v>
      </c>
      <c r="G18069" s="1">
        <v>61.0</v>
      </c>
    </row>
    <row r="18070">
      <c r="A18070" s="1" t="s">
        <v>7</v>
      </c>
      <c r="B18070" s="2">
        <v>44790.0</v>
      </c>
      <c r="C18070" s="3">
        <v>0.3411574074074074</v>
      </c>
      <c r="D18070" s="1">
        <v>12.922009</v>
      </c>
      <c r="E18070" s="1">
        <v>80.113186</v>
      </c>
      <c r="F18070" s="1">
        <v>5339.0</v>
      </c>
      <c r="G18070" s="1">
        <v>58.0</v>
      </c>
    </row>
    <row r="18071">
      <c r="A18071" s="1" t="s">
        <v>8</v>
      </c>
      <c r="B18071" s="2">
        <v>44790.0</v>
      </c>
      <c r="C18071" s="3">
        <v>0.34125</v>
      </c>
      <c r="D18071" s="1">
        <v>12.922009</v>
      </c>
      <c r="E18071" s="1">
        <v>80.113186</v>
      </c>
      <c r="F18071" s="1">
        <v>5339.0</v>
      </c>
      <c r="G18071" s="1">
        <v>58.0</v>
      </c>
    </row>
    <row r="18072">
      <c r="A18072" s="1" t="s">
        <v>9</v>
      </c>
      <c r="B18072" s="2">
        <v>44790.0</v>
      </c>
      <c r="C18072" s="3">
        <v>0.3413888888888889</v>
      </c>
      <c r="D18072" s="1">
        <v>12.920082</v>
      </c>
      <c r="E18072" s="1">
        <v>80.1112</v>
      </c>
      <c r="F18072" s="1">
        <v>5339.0</v>
      </c>
      <c r="G18072" s="1">
        <v>54.0</v>
      </c>
    </row>
    <row r="18073">
      <c r="A18073" s="1" t="s">
        <v>8</v>
      </c>
      <c r="B18073" s="2">
        <v>44790.0</v>
      </c>
      <c r="C18073" s="3">
        <v>0.34140046296296295</v>
      </c>
      <c r="D18073" s="1">
        <v>12.81169</v>
      </c>
      <c r="E18073" s="1">
        <v>80.030907</v>
      </c>
      <c r="F18073" s="1">
        <v>2846.0</v>
      </c>
      <c r="G18073" s="1">
        <v>56.0</v>
      </c>
    </row>
    <row r="18074">
      <c r="A18074" s="1" t="s">
        <v>8</v>
      </c>
      <c r="B18074" s="2">
        <v>44790.0</v>
      </c>
      <c r="C18074" s="3">
        <v>0.3417013888888889</v>
      </c>
      <c r="D18074" s="1">
        <v>12.955742</v>
      </c>
      <c r="E18074" s="1">
        <v>80.143076</v>
      </c>
      <c r="F18074" s="1">
        <v>805.0</v>
      </c>
      <c r="G18074" s="1">
        <v>19.0</v>
      </c>
    </row>
    <row r="18075">
      <c r="A18075" s="1" t="s">
        <v>8</v>
      </c>
      <c r="B18075" s="2">
        <v>44790.0</v>
      </c>
      <c r="C18075" s="3">
        <v>0.3418171296296296</v>
      </c>
      <c r="D18075" s="1">
        <v>12.917576</v>
      </c>
      <c r="E18075" s="1">
        <v>80.108134</v>
      </c>
      <c r="F18075" s="1">
        <v>5339.0</v>
      </c>
      <c r="G18075" s="1">
        <v>57.0</v>
      </c>
    </row>
    <row r="18076">
      <c r="A18076" s="1" t="s">
        <v>8</v>
      </c>
      <c r="B18076" s="2">
        <v>44790.0</v>
      </c>
      <c r="C18076" s="3">
        <v>0.342025462962963</v>
      </c>
      <c r="D18076" s="1">
        <v>12.817119</v>
      </c>
      <c r="E18076" s="1">
        <v>80.034579</v>
      </c>
      <c r="F18076" s="1">
        <v>2846.0</v>
      </c>
      <c r="G18076" s="1">
        <v>53.0</v>
      </c>
    </row>
    <row r="18077">
      <c r="A18077" s="1" t="s">
        <v>9</v>
      </c>
      <c r="B18077" s="2">
        <v>44790.0</v>
      </c>
      <c r="C18077" s="3">
        <v>0.34221064814814817</v>
      </c>
      <c r="D18077" s="1">
        <v>12.914866</v>
      </c>
      <c r="E18077" s="1">
        <v>80.10323</v>
      </c>
      <c r="F18077" s="1">
        <v>5339.0</v>
      </c>
      <c r="G18077" s="1">
        <v>46.0</v>
      </c>
    </row>
    <row r="18078">
      <c r="A18078" s="1" t="s">
        <v>8</v>
      </c>
      <c r="B18078" s="2">
        <v>44790.0</v>
      </c>
      <c r="C18078" s="3">
        <v>0.34247685185185184</v>
      </c>
      <c r="D18078" s="1">
        <v>12.952083</v>
      </c>
      <c r="E18078" s="1">
        <v>80.140873</v>
      </c>
      <c r="F18078" s="1">
        <v>805.0</v>
      </c>
      <c r="G18078" s="1">
        <v>26.0</v>
      </c>
    </row>
    <row r="18079">
      <c r="A18079" s="1" t="s">
        <v>8</v>
      </c>
      <c r="B18079" s="2">
        <v>44790.0</v>
      </c>
      <c r="C18079" s="3">
        <v>0.34251157407407407</v>
      </c>
      <c r="D18079" s="1">
        <v>12.952083</v>
      </c>
      <c r="E18079" s="1">
        <v>80.140873</v>
      </c>
      <c r="F18079" s="1">
        <v>805.0</v>
      </c>
      <c r="G18079" s="1">
        <v>26.0</v>
      </c>
    </row>
    <row r="18080">
      <c r="A18080" s="1" t="s">
        <v>7</v>
      </c>
      <c r="B18080" s="2">
        <v>44790.0</v>
      </c>
      <c r="C18080" s="3">
        <v>0.34269675925925924</v>
      </c>
      <c r="D18080" s="1">
        <v>12.820913</v>
      </c>
      <c r="E18080" s="1">
        <v>80.037262</v>
      </c>
      <c r="F18080" s="1">
        <v>2846.0</v>
      </c>
      <c r="G18080" s="1">
        <v>46.0</v>
      </c>
    </row>
    <row r="18081">
      <c r="A18081" s="1" t="s">
        <v>8</v>
      </c>
      <c r="B18081" s="2">
        <v>44790.0</v>
      </c>
      <c r="C18081" s="3">
        <v>0.34297453703703706</v>
      </c>
      <c r="D18081" s="1">
        <v>12.825279</v>
      </c>
      <c r="E18081" s="1">
        <v>80.040334</v>
      </c>
      <c r="F18081" s="1">
        <v>2846.0</v>
      </c>
      <c r="G18081" s="1">
        <v>52.0</v>
      </c>
    </row>
    <row r="18082">
      <c r="A18082" s="1" t="s">
        <v>8</v>
      </c>
      <c r="B18082" s="2">
        <v>44790.0</v>
      </c>
      <c r="C18082" s="3">
        <v>0.3434027777777778</v>
      </c>
      <c r="D18082" s="1">
        <v>12.944712</v>
      </c>
      <c r="E18082" s="1">
        <v>80.135154</v>
      </c>
      <c r="F18082" s="1">
        <v>805.0</v>
      </c>
      <c r="G18082" s="1">
        <v>55.0</v>
      </c>
    </row>
    <row r="18083">
      <c r="A18083" s="1" t="s">
        <v>8</v>
      </c>
      <c r="B18083" s="2">
        <v>44790.0</v>
      </c>
      <c r="C18083" s="3">
        <v>0.34355324074074073</v>
      </c>
      <c r="D18083" s="1">
        <v>12.907372</v>
      </c>
      <c r="E18083" s="1">
        <v>80.09726</v>
      </c>
      <c r="F18083" s="1">
        <v>5339.0</v>
      </c>
      <c r="G18083" s="1">
        <v>39.0</v>
      </c>
    </row>
    <row r="18084">
      <c r="A18084" s="1" t="s">
        <v>8</v>
      </c>
      <c r="B18084" s="2">
        <v>44790.0</v>
      </c>
      <c r="C18084" s="3">
        <v>0.3435648148148148</v>
      </c>
      <c r="D18084" s="1">
        <v>12.907372</v>
      </c>
      <c r="E18084" s="1">
        <v>80.09726</v>
      </c>
      <c r="F18084" s="1">
        <v>5339.0</v>
      </c>
      <c r="G18084" s="1">
        <v>39.0</v>
      </c>
    </row>
    <row r="18085">
      <c r="A18085" s="1" t="s">
        <v>7</v>
      </c>
      <c r="B18085" s="2">
        <v>44790.0</v>
      </c>
      <c r="C18085" s="3">
        <v>0.3441550925925926</v>
      </c>
      <c r="D18085" s="1">
        <v>12.83084</v>
      </c>
      <c r="E18085" s="1">
        <v>80.045812</v>
      </c>
      <c r="F18085" s="1">
        <v>2846.0</v>
      </c>
      <c r="G18085" s="1">
        <v>48.0</v>
      </c>
    </row>
    <row r="18086">
      <c r="A18086" s="1" t="s">
        <v>8</v>
      </c>
      <c r="B18086" s="2">
        <v>44790.0</v>
      </c>
      <c r="C18086" s="3">
        <v>0.34427083333333336</v>
      </c>
      <c r="D18086" s="1">
        <v>12.835527</v>
      </c>
      <c r="E18086" s="1">
        <v>80.05077</v>
      </c>
      <c r="F18086" s="1">
        <v>2846.0</v>
      </c>
      <c r="G18086" s="1">
        <v>55.0</v>
      </c>
    </row>
    <row r="18087">
      <c r="A18087" s="1" t="s">
        <v>8</v>
      </c>
      <c r="B18087" s="2">
        <v>44790.0</v>
      </c>
      <c r="C18087" s="3">
        <v>0.3442824074074074</v>
      </c>
      <c r="D18087" s="1">
        <v>12.939931</v>
      </c>
      <c r="E18087" s="1">
        <v>80.130525</v>
      </c>
      <c r="F18087" s="1">
        <v>805.0</v>
      </c>
      <c r="G18087" s="1">
        <v>46.0</v>
      </c>
    </row>
    <row r="18088">
      <c r="A18088" s="1" t="s">
        <v>8</v>
      </c>
      <c r="B18088" s="2">
        <v>44790.0</v>
      </c>
      <c r="C18088" s="3">
        <v>0.3444675925925926</v>
      </c>
      <c r="D18088" s="1">
        <v>12.835527</v>
      </c>
      <c r="E18088" s="1">
        <v>80.05077</v>
      </c>
      <c r="F18088" s="1">
        <v>2846.0</v>
      </c>
      <c r="G18088" s="1">
        <v>55.0</v>
      </c>
    </row>
    <row r="18089">
      <c r="A18089" s="1" t="s">
        <v>8</v>
      </c>
      <c r="B18089" s="2">
        <v>44790.0</v>
      </c>
      <c r="C18089" s="3">
        <v>0.3445023148148148</v>
      </c>
      <c r="D18089" s="1">
        <v>12.922683</v>
      </c>
      <c r="E18089" s="1">
        <v>80.151853</v>
      </c>
      <c r="F18089" s="1">
        <v>3143.0</v>
      </c>
      <c r="G18089" s="1">
        <v>20.0</v>
      </c>
    </row>
    <row r="18090">
      <c r="A18090" s="1" t="s">
        <v>7</v>
      </c>
      <c r="B18090" s="2">
        <v>44790.0</v>
      </c>
      <c r="C18090" s="3">
        <v>0.34466435185185185</v>
      </c>
      <c r="D18090" s="1">
        <v>12.838379</v>
      </c>
      <c r="E18090" s="1">
        <v>80.053714</v>
      </c>
      <c r="F18090" s="1">
        <v>2846.0</v>
      </c>
      <c r="G18090" s="1">
        <v>51.0</v>
      </c>
    </row>
    <row r="18091">
      <c r="A18091" s="1" t="s">
        <v>8</v>
      </c>
      <c r="B18091" s="2">
        <v>44790.0</v>
      </c>
      <c r="C18091" s="3">
        <v>0.34466435185185185</v>
      </c>
      <c r="D18091" s="1">
        <v>12.922646</v>
      </c>
      <c r="E18091" s="1">
        <v>80.150294</v>
      </c>
      <c r="F18091" s="1">
        <v>3143.0</v>
      </c>
      <c r="G18091" s="1">
        <v>46.0</v>
      </c>
    </row>
    <row r="18092">
      <c r="A18092" s="1" t="s">
        <v>8</v>
      </c>
      <c r="B18092" s="2">
        <v>44790.0</v>
      </c>
      <c r="C18092" s="3">
        <v>0.34478009259259257</v>
      </c>
      <c r="D18092" s="1">
        <v>12.936414</v>
      </c>
      <c r="E18092" s="1">
        <v>80.1275</v>
      </c>
      <c r="F18092" s="1">
        <v>805.0</v>
      </c>
      <c r="G18092" s="1">
        <v>42.0</v>
      </c>
    </row>
    <row r="18093">
      <c r="A18093" s="1" t="s">
        <v>10</v>
      </c>
      <c r="B18093" s="2">
        <v>44790.0</v>
      </c>
      <c r="C18093" s="3">
        <v>0.34479166666666666</v>
      </c>
      <c r="D18093" s="1">
        <v>12.92257</v>
      </c>
      <c r="E18093" s="1">
        <v>80.148956</v>
      </c>
      <c r="F18093" s="1">
        <v>3143.0</v>
      </c>
      <c r="G18093" s="1">
        <v>0.0</v>
      </c>
    </row>
    <row r="18094">
      <c r="A18094" s="1" t="s">
        <v>7</v>
      </c>
      <c r="B18094" s="2">
        <v>44790.0</v>
      </c>
      <c r="C18094" s="3">
        <v>0.345</v>
      </c>
      <c r="D18094" s="1">
        <v>12.840249</v>
      </c>
      <c r="E18094" s="1">
        <v>80.055654</v>
      </c>
      <c r="F18094" s="1">
        <v>2846.0</v>
      </c>
      <c r="G18094" s="1">
        <v>50.0</v>
      </c>
    </row>
    <row r="18095">
      <c r="A18095" s="1" t="s">
        <v>8</v>
      </c>
      <c r="B18095" s="2">
        <v>44790.0</v>
      </c>
      <c r="C18095" s="3">
        <v>0.34502314814814816</v>
      </c>
      <c r="D18095" s="1">
        <v>12.934889</v>
      </c>
      <c r="E18095" s="1">
        <v>80.126107</v>
      </c>
      <c r="F18095" s="1">
        <v>805.0</v>
      </c>
      <c r="G18095" s="1">
        <v>43.0</v>
      </c>
    </row>
    <row r="18096">
      <c r="A18096" s="1" t="s">
        <v>8</v>
      </c>
      <c r="B18096" s="2">
        <v>44790.0</v>
      </c>
      <c r="C18096" s="3">
        <v>0.34528935185185183</v>
      </c>
      <c r="D18096" s="1">
        <v>12.933426</v>
      </c>
      <c r="E18096" s="1">
        <v>80.124701</v>
      </c>
      <c r="F18096" s="1">
        <v>805.0</v>
      </c>
      <c r="G18096" s="1">
        <v>48.0</v>
      </c>
    </row>
    <row r="18097">
      <c r="A18097" s="1" t="s">
        <v>8</v>
      </c>
      <c r="B18097" s="2">
        <v>44790.0</v>
      </c>
      <c r="C18097" s="3">
        <v>0.3457175925925926</v>
      </c>
      <c r="D18097" s="1">
        <v>12.896406</v>
      </c>
      <c r="E18097" s="1">
        <v>80.088813</v>
      </c>
      <c r="F18097" s="1">
        <v>5339.0</v>
      </c>
      <c r="G18097" s="1">
        <v>34.0</v>
      </c>
    </row>
    <row r="18098">
      <c r="A18098" s="1" t="s">
        <v>8</v>
      </c>
      <c r="B18098" s="2">
        <v>44790.0</v>
      </c>
      <c r="C18098" s="3">
        <v>0.34577546296296297</v>
      </c>
      <c r="D18098" s="1">
        <v>12.931109</v>
      </c>
      <c r="E18098" s="1">
        <v>80.122326</v>
      </c>
      <c r="F18098" s="1">
        <v>805.0</v>
      </c>
      <c r="G18098" s="1">
        <v>33.0</v>
      </c>
    </row>
    <row r="18099">
      <c r="A18099" s="1" t="s">
        <v>8</v>
      </c>
      <c r="B18099" s="2">
        <v>44790.0</v>
      </c>
      <c r="C18099" s="3">
        <v>0.3459375</v>
      </c>
      <c r="D18099" s="1">
        <v>12.929681</v>
      </c>
      <c r="E18099" s="1">
        <v>80.120931</v>
      </c>
      <c r="F18099" s="1">
        <v>805.0</v>
      </c>
      <c r="G18099" s="1">
        <v>45.0</v>
      </c>
    </row>
    <row r="18100">
      <c r="A18100" s="1" t="s">
        <v>8</v>
      </c>
      <c r="B18100" s="2">
        <v>44790.0</v>
      </c>
      <c r="C18100" s="3">
        <v>0.3461111111111111</v>
      </c>
      <c r="D18100" s="1">
        <v>12.893914</v>
      </c>
      <c r="E18100" s="1">
        <v>80.086956</v>
      </c>
      <c r="F18100" s="1">
        <v>5339.0</v>
      </c>
      <c r="G18100" s="1">
        <v>48.0</v>
      </c>
    </row>
    <row r="18101">
      <c r="A18101" s="1" t="s">
        <v>8</v>
      </c>
      <c r="B18101" s="2">
        <v>44790.0</v>
      </c>
      <c r="C18101" s="3">
        <v>0.34640046296296295</v>
      </c>
      <c r="D18101" s="1">
        <v>12.926356</v>
      </c>
      <c r="E18101" s="1">
        <v>80.117548</v>
      </c>
      <c r="F18101" s="1">
        <v>805.0</v>
      </c>
      <c r="G18101" s="1">
        <v>43.0</v>
      </c>
    </row>
    <row r="18102">
      <c r="A18102" s="1" t="s">
        <v>7</v>
      </c>
      <c r="B18102" s="2">
        <v>44790.0</v>
      </c>
      <c r="C18102" s="3">
        <v>0.3466087962962963</v>
      </c>
      <c r="D18102" s="1">
        <v>12.924362</v>
      </c>
      <c r="E18102" s="1">
        <v>80.115578</v>
      </c>
      <c r="F18102" s="1">
        <v>805.0</v>
      </c>
      <c r="G18102" s="1">
        <v>57.0</v>
      </c>
    </row>
    <row r="18103">
      <c r="A18103" s="1" t="s">
        <v>8</v>
      </c>
      <c r="B18103" s="2">
        <v>44790.0</v>
      </c>
      <c r="C18103" s="3">
        <v>0.3466666666666667</v>
      </c>
      <c r="D18103" s="1">
        <v>12.849316</v>
      </c>
      <c r="E18103" s="1">
        <v>80.06417</v>
      </c>
      <c r="F18103" s="1">
        <v>2846.0</v>
      </c>
      <c r="G18103" s="1">
        <v>56.0</v>
      </c>
    </row>
    <row r="18104">
      <c r="A18104" s="1" t="s">
        <v>9</v>
      </c>
      <c r="B18104" s="2">
        <v>44790.0</v>
      </c>
      <c r="C18104" s="3">
        <v>0.34675925925925927</v>
      </c>
      <c r="D18104" s="1">
        <v>12.923331</v>
      </c>
      <c r="E18104" s="1">
        <v>80.114517</v>
      </c>
      <c r="F18104" s="1">
        <v>805.0</v>
      </c>
      <c r="G18104" s="1">
        <v>57.0</v>
      </c>
    </row>
    <row r="18105">
      <c r="A18105" s="1" t="s">
        <v>7</v>
      </c>
      <c r="B18105" s="2">
        <v>44790.0</v>
      </c>
      <c r="C18105" s="3">
        <v>0.34684027777777776</v>
      </c>
      <c r="D18105" s="1">
        <v>12.849316</v>
      </c>
      <c r="E18105" s="1">
        <v>80.06417</v>
      </c>
      <c r="F18105" s="1">
        <v>2846.0</v>
      </c>
      <c r="G18105" s="1">
        <v>56.0</v>
      </c>
    </row>
    <row r="18106">
      <c r="A18106" s="1" t="s">
        <v>7</v>
      </c>
      <c r="B18106" s="2">
        <v>44790.0</v>
      </c>
      <c r="C18106" s="3">
        <v>0.34693287037037035</v>
      </c>
      <c r="D18106" s="1">
        <v>12.922385</v>
      </c>
      <c r="E18106" s="1">
        <v>80.113581</v>
      </c>
      <c r="F18106" s="1">
        <v>805.0</v>
      </c>
      <c r="G18106" s="1">
        <v>46.0</v>
      </c>
    </row>
    <row r="18107">
      <c r="A18107" s="1" t="s">
        <v>8</v>
      </c>
      <c r="B18107" s="2">
        <v>44790.0</v>
      </c>
      <c r="C18107" s="3">
        <v>0.34697916666666667</v>
      </c>
      <c r="D18107" s="1">
        <v>12.885557</v>
      </c>
      <c r="E18107" s="1">
        <v>80.08281</v>
      </c>
      <c r="F18107" s="1">
        <v>5339.0</v>
      </c>
      <c r="G18107" s="1">
        <v>34.0</v>
      </c>
    </row>
    <row r="18108">
      <c r="A18108" s="1" t="s">
        <v>8</v>
      </c>
      <c r="B18108" s="2">
        <v>44790.0</v>
      </c>
      <c r="C18108" s="3">
        <v>0.3470138888888889</v>
      </c>
      <c r="D18108" s="1">
        <v>12.885557</v>
      </c>
      <c r="E18108" s="1">
        <v>80.08281</v>
      </c>
      <c r="F18108" s="1">
        <v>5339.0</v>
      </c>
      <c r="G18108" s="1">
        <v>34.0</v>
      </c>
    </row>
    <row r="18109">
      <c r="A18109" s="1" t="s">
        <v>7</v>
      </c>
      <c r="B18109" s="2">
        <v>44790.0</v>
      </c>
      <c r="C18109" s="3">
        <v>0.34715277777777775</v>
      </c>
      <c r="D18109" s="1">
        <v>12.920475</v>
      </c>
      <c r="E18109" s="1">
        <v>80.111635</v>
      </c>
      <c r="F18109" s="1">
        <v>805.0</v>
      </c>
      <c r="G18109" s="1">
        <v>58.0</v>
      </c>
    </row>
    <row r="18110">
      <c r="A18110" s="1" t="s">
        <v>8</v>
      </c>
      <c r="B18110" s="2">
        <v>44790.0</v>
      </c>
      <c r="C18110" s="3">
        <v>0.3476388888888889</v>
      </c>
      <c r="D18110" s="1">
        <v>12.922511</v>
      </c>
      <c r="E18110" s="1">
        <v>80.13718</v>
      </c>
      <c r="F18110" s="1">
        <v>3143.0</v>
      </c>
      <c r="G18110" s="1">
        <v>17.0</v>
      </c>
    </row>
    <row r="18111">
      <c r="A18111" s="1" t="s">
        <v>8</v>
      </c>
      <c r="B18111" s="2">
        <v>44790.0</v>
      </c>
      <c r="C18111" s="3">
        <v>0.3477199074074074</v>
      </c>
      <c r="D18111" s="1">
        <v>12.922529</v>
      </c>
      <c r="E18111" s="1">
        <v>80.136681</v>
      </c>
      <c r="F18111" s="1">
        <v>3143.0</v>
      </c>
      <c r="G18111" s="1">
        <v>23.0</v>
      </c>
    </row>
    <row r="18112">
      <c r="A18112" s="1" t="s">
        <v>7</v>
      </c>
      <c r="B18112" s="2">
        <v>44790.0</v>
      </c>
      <c r="C18112" s="3">
        <v>0.34803240740740743</v>
      </c>
      <c r="D18112" s="1">
        <v>12.916287</v>
      </c>
      <c r="E18112" s="1">
        <v>80.105964</v>
      </c>
      <c r="F18112" s="1">
        <v>805.0</v>
      </c>
      <c r="G18112" s="1">
        <v>54.0</v>
      </c>
    </row>
    <row r="18113">
      <c r="A18113" s="1" t="s">
        <v>10</v>
      </c>
      <c r="B18113" s="2">
        <v>44790.0</v>
      </c>
      <c r="C18113" s="3">
        <v>0.34827546296296297</v>
      </c>
      <c r="D18113" s="1">
        <v>12.879234</v>
      </c>
      <c r="E18113" s="1">
        <v>80.080365</v>
      </c>
      <c r="F18113" s="1">
        <v>5339.0</v>
      </c>
      <c r="G18113" s="1">
        <v>7.0</v>
      </c>
    </row>
    <row r="18114">
      <c r="A18114" s="1" t="s">
        <v>8</v>
      </c>
      <c r="B18114" s="2">
        <v>44790.0</v>
      </c>
      <c r="C18114" s="3">
        <v>0.34857638888888887</v>
      </c>
      <c r="D18114" s="1">
        <v>12.922715</v>
      </c>
      <c r="E18114" s="1">
        <v>80.131609</v>
      </c>
      <c r="F18114" s="1">
        <v>3143.0</v>
      </c>
      <c r="G18114" s="1">
        <v>40.0</v>
      </c>
    </row>
    <row r="18115">
      <c r="A18115" s="1" t="s">
        <v>7</v>
      </c>
      <c r="B18115" s="2">
        <v>44790.0</v>
      </c>
      <c r="C18115" s="3">
        <v>0.34875</v>
      </c>
      <c r="D18115" s="1">
        <v>12.86474</v>
      </c>
      <c r="E18115" s="1">
        <v>80.074454</v>
      </c>
      <c r="F18115" s="1">
        <v>2846.0</v>
      </c>
      <c r="G18115" s="1">
        <v>51.0</v>
      </c>
    </row>
    <row r="18116">
      <c r="A18116" s="1" t="s">
        <v>8</v>
      </c>
      <c r="B18116" s="2">
        <v>44790.0</v>
      </c>
      <c r="C18116" s="3">
        <v>0.3488888888888889</v>
      </c>
      <c r="D18116" s="1">
        <v>12.878055</v>
      </c>
      <c r="E18116" s="1">
        <v>80.083372</v>
      </c>
      <c r="F18116" s="1">
        <v>5339.0</v>
      </c>
      <c r="G18116" s="1">
        <v>37.0</v>
      </c>
    </row>
    <row r="18117">
      <c r="A18117" s="1" t="s">
        <v>8</v>
      </c>
      <c r="B18117" s="2">
        <v>44790.0</v>
      </c>
      <c r="C18117" s="3">
        <v>0.34891203703703705</v>
      </c>
      <c r="D18117" s="1">
        <v>12.878055</v>
      </c>
      <c r="E18117" s="1">
        <v>80.083372</v>
      </c>
      <c r="F18117" s="1">
        <v>5339.0</v>
      </c>
      <c r="G18117" s="1">
        <v>37.0</v>
      </c>
    </row>
    <row r="18118">
      <c r="A18118" s="1" t="s">
        <v>10</v>
      </c>
      <c r="B18118" s="2">
        <v>44790.0</v>
      </c>
      <c r="C18118" s="3">
        <v>0.3492708333333333</v>
      </c>
      <c r="D18118" s="1">
        <v>12.877425</v>
      </c>
      <c r="E18118" s="1">
        <v>80.084715</v>
      </c>
      <c r="F18118" s="1">
        <v>5339.0</v>
      </c>
      <c r="G18118" s="1">
        <v>11.0</v>
      </c>
    </row>
    <row r="18119">
      <c r="A18119" s="1" t="s">
        <v>8</v>
      </c>
      <c r="B18119" s="2">
        <v>44790.0</v>
      </c>
      <c r="C18119" s="3">
        <v>0.34945601851851854</v>
      </c>
      <c r="D18119" s="1">
        <v>12.907997</v>
      </c>
      <c r="E18119" s="1">
        <v>80.097708</v>
      </c>
      <c r="F18119" s="1">
        <v>805.0</v>
      </c>
      <c r="G18119" s="1">
        <v>44.0</v>
      </c>
    </row>
    <row r="18120">
      <c r="A18120" s="1" t="s">
        <v>7</v>
      </c>
      <c r="B18120" s="2">
        <v>44790.0</v>
      </c>
      <c r="C18120" s="3">
        <v>0.3495949074074074</v>
      </c>
      <c r="D18120" s="1">
        <v>12.872055</v>
      </c>
      <c r="E18120" s="1">
        <v>80.077257</v>
      </c>
      <c r="F18120" s="1">
        <v>2846.0</v>
      </c>
      <c r="G18120" s="1">
        <v>52.0</v>
      </c>
    </row>
    <row r="18121">
      <c r="A18121" s="1" t="s">
        <v>7</v>
      </c>
      <c r="B18121" s="2">
        <v>44790.0</v>
      </c>
      <c r="C18121" s="3">
        <v>0.34967592592592595</v>
      </c>
      <c r="D18121" s="1">
        <v>12.874556</v>
      </c>
      <c r="E18121" s="1">
        <v>80.078214</v>
      </c>
      <c r="F18121" s="1">
        <v>2846.0</v>
      </c>
      <c r="G18121" s="1">
        <v>54.0</v>
      </c>
    </row>
    <row r="18122">
      <c r="A18122" s="1" t="s">
        <v>8</v>
      </c>
      <c r="B18122" s="2">
        <v>44790.0</v>
      </c>
      <c r="C18122" s="3">
        <v>0.3497337962962963</v>
      </c>
      <c r="D18122" s="1">
        <v>12.874556</v>
      </c>
      <c r="E18122" s="1">
        <v>80.078214</v>
      </c>
      <c r="F18122" s="1">
        <v>2846.0</v>
      </c>
      <c r="G18122" s="1">
        <v>54.0</v>
      </c>
    </row>
    <row r="18123">
      <c r="A18123" s="1" t="s">
        <v>8</v>
      </c>
      <c r="B18123" s="2">
        <v>44790.0</v>
      </c>
      <c r="C18123" s="3">
        <v>0.3498148148148148</v>
      </c>
      <c r="D18123" s="1">
        <v>12.875788</v>
      </c>
      <c r="E18123" s="1">
        <v>80.078654</v>
      </c>
      <c r="F18123" s="1">
        <v>2846.0</v>
      </c>
      <c r="G18123" s="1">
        <v>45.0</v>
      </c>
    </row>
    <row r="18124">
      <c r="A18124" s="1" t="s">
        <v>8</v>
      </c>
      <c r="B18124" s="2">
        <v>44790.0</v>
      </c>
      <c r="C18124" s="3">
        <v>0.349837962962963</v>
      </c>
      <c r="D18124" s="1">
        <v>12.905117</v>
      </c>
      <c r="E18124" s="1">
        <v>80.095539</v>
      </c>
      <c r="F18124" s="1">
        <v>805.0</v>
      </c>
      <c r="G18124" s="1">
        <v>36.0</v>
      </c>
    </row>
    <row r="18125">
      <c r="A18125" s="1" t="s">
        <v>8</v>
      </c>
      <c r="B18125" s="2">
        <v>44790.0</v>
      </c>
      <c r="C18125" s="3">
        <v>0.34984953703703703</v>
      </c>
      <c r="D18125" s="1">
        <v>12.905117</v>
      </c>
      <c r="E18125" s="1">
        <v>80.095539</v>
      </c>
      <c r="F18125" s="1">
        <v>805.0</v>
      </c>
      <c r="G18125" s="1">
        <v>36.0</v>
      </c>
    </row>
    <row r="18126">
      <c r="A18126" s="1" t="s">
        <v>8</v>
      </c>
      <c r="B18126" s="2">
        <v>44790.0</v>
      </c>
      <c r="C18126" s="3">
        <v>0.34989583333333335</v>
      </c>
      <c r="D18126" s="1">
        <v>12.922965</v>
      </c>
      <c r="E18126" s="1">
        <v>80.125859</v>
      </c>
      <c r="F18126" s="1">
        <v>3143.0</v>
      </c>
      <c r="G18126" s="1">
        <v>30.0</v>
      </c>
    </row>
    <row r="18127">
      <c r="A18127" s="1" t="s">
        <v>8</v>
      </c>
      <c r="B18127" s="2">
        <v>44790.0</v>
      </c>
      <c r="C18127" s="3">
        <v>0.35055555555555556</v>
      </c>
      <c r="D18127" s="1">
        <v>12.899834</v>
      </c>
      <c r="E18127" s="1">
        <v>80.091476</v>
      </c>
      <c r="F18127" s="1">
        <v>805.0</v>
      </c>
      <c r="G18127" s="1">
        <v>56.0</v>
      </c>
    </row>
    <row r="18128">
      <c r="A18128" s="1" t="s">
        <v>8</v>
      </c>
      <c r="B18128" s="2">
        <v>44790.0</v>
      </c>
      <c r="C18128" s="3">
        <v>0.35078703703703706</v>
      </c>
      <c r="D18128" s="1">
        <v>12.923649</v>
      </c>
      <c r="E18128" s="1">
        <v>80.117387</v>
      </c>
      <c r="F18128" s="1">
        <v>3143.0</v>
      </c>
      <c r="G18128" s="1">
        <v>46.0</v>
      </c>
    </row>
    <row r="18129">
      <c r="A18129" s="1" t="s">
        <v>8</v>
      </c>
      <c r="B18129" s="2">
        <v>44790.0</v>
      </c>
      <c r="C18129" s="3">
        <v>0.3507986111111111</v>
      </c>
      <c r="D18129" s="1">
        <v>12.923649</v>
      </c>
      <c r="E18129" s="1">
        <v>80.117387</v>
      </c>
      <c r="F18129" s="1">
        <v>3143.0</v>
      </c>
      <c r="G18129" s="1">
        <v>46.0</v>
      </c>
    </row>
    <row r="18130">
      <c r="A18130" s="1" t="s">
        <v>7</v>
      </c>
      <c r="B18130" s="2">
        <v>44790.0</v>
      </c>
      <c r="C18130" s="3">
        <v>0.35131944444444446</v>
      </c>
      <c r="D18130" s="1">
        <v>12.89505</v>
      </c>
      <c r="E18130" s="1">
        <v>80.087821</v>
      </c>
      <c r="F18130" s="1">
        <v>805.0</v>
      </c>
      <c r="G18130" s="1">
        <v>58.0</v>
      </c>
    </row>
    <row r="18131">
      <c r="A18131" s="1" t="s">
        <v>7</v>
      </c>
      <c r="B18131" s="2">
        <v>44790.0</v>
      </c>
      <c r="C18131" s="3">
        <v>0.3514351851851852</v>
      </c>
      <c r="D18131" s="1">
        <v>12.893041</v>
      </c>
      <c r="E18131" s="1">
        <v>80.086313</v>
      </c>
      <c r="F18131" s="1">
        <v>805.0</v>
      </c>
      <c r="G18131" s="1">
        <v>58.0</v>
      </c>
    </row>
    <row r="18132">
      <c r="A18132" s="1" t="s">
        <v>7</v>
      </c>
      <c r="B18132" s="2">
        <v>44790.0</v>
      </c>
      <c r="C18132" s="3">
        <v>0.35158564814814813</v>
      </c>
      <c r="D18132" s="1">
        <v>12.891641</v>
      </c>
      <c r="E18132" s="1">
        <v>80.085405</v>
      </c>
      <c r="F18132" s="1">
        <v>805.0</v>
      </c>
      <c r="G18132" s="1">
        <v>54.0</v>
      </c>
    </row>
    <row r="18133">
      <c r="A18133" s="1" t="s">
        <v>7</v>
      </c>
      <c r="B18133" s="2">
        <v>44790.0</v>
      </c>
      <c r="C18133" s="3">
        <v>0.35171296296296295</v>
      </c>
      <c r="D18133" s="1">
        <v>12.921082</v>
      </c>
      <c r="E18133" s="1">
        <v>80.112376</v>
      </c>
      <c r="F18133" s="1">
        <v>3143.0</v>
      </c>
      <c r="G18133" s="1">
        <v>47.0</v>
      </c>
    </row>
    <row r="18134">
      <c r="A18134" s="1" t="s">
        <v>7</v>
      </c>
      <c r="B18134" s="2">
        <v>44790.0</v>
      </c>
      <c r="C18134" s="3">
        <v>0.3517939814814815</v>
      </c>
      <c r="D18134" s="1">
        <v>12.921082</v>
      </c>
      <c r="E18134" s="1">
        <v>80.112376</v>
      </c>
      <c r="F18134" s="1">
        <v>3143.0</v>
      </c>
      <c r="G18134" s="1">
        <v>47.0</v>
      </c>
    </row>
    <row r="18135">
      <c r="A18135" s="1" t="s">
        <v>8</v>
      </c>
      <c r="B18135" s="2">
        <v>44790.0</v>
      </c>
      <c r="C18135" s="3">
        <v>0.3520949074074074</v>
      </c>
      <c r="D18135" s="1">
        <v>12.884783</v>
      </c>
      <c r="E18135" s="1">
        <v>80.0825</v>
      </c>
      <c r="F18135" s="1">
        <v>805.0</v>
      </c>
      <c r="G18135" s="1">
        <v>56.0</v>
      </c>
    </row>
    <row r="18136">
      <c r="A18136" s="1" t="s">
        <v>8</v>
      </c>
      <c r="B18136" s="2">
        <v>44790.0</v>
      </c>
      <c r="C18136" s="3">
        <v>0.3527314814814815</v>
      </c>
      <c r="D18136" s="1">
        <v>12.881204</v>
      </c>
      <c r="E18136" s="1">
        <v>80.08116</v>
      </c>
      <c r="F18136" s="1">
        <v>805.0</v>
      </c>
      <c r="G18136" s="1">
        <v>22.0</v>
      </c>
    </row>
    <row r="18137">
      <c r="A18137" s="1" t="s">
        <v>8</v>
      </c>
      <c r="B18137" s="2">
        <v>44790.0</v>
      </c>
      <c r="C18137" s="3">
        <v>0.3529398148148148</v>
      </c>
      <c r="D18137" s="1">
        <v>12.914876</v>
      </c>
      <c r="E18137" s="1">
        <v>80.103247</v>
      </c>
      <c r="F18137" s="1">
        <v>3143.0</v>
      </c>
      <c r="G18137" s="1">
        <v>55.0</v>
      </c>
    </row>
    <row r="18138">
      <c r="A18138" s="1" t="s">
        <v>8</v>
      </c>
      <c r="B18138" s="2">
        <v>44790.0</v>
      </c>
      <c r="C18138" s="3">
        <v>0.35314814814814816</v>
      </c>
      <c r="D18138" s="1">
        <v>12.879092</v>
      </c>
      <c r="E18138" s="1">
        <v>80.080408</v>
      </c>
      <c r="F18138" s="1">
        <v>805.0</v>
      </c>
      <c r="G18138" s="1">
        <v>8.0</v>
      </c>
    </row>
    <row r="18139">
      <c r="A18139" s="1" t="s">
        <v>10</v>
      </c>
      <c r="B18139" s="2">
        <v>44790.0</v>
      </c>
      <c r="C18139" s="3">
        <v>0.6892939814814815</v>
      </c>
      <c r="D18139" s="1">
        <v>12.875686</v>
      </c>
      <c r="E18139" s="1">
        <v>80.083816</v>
      </c>
      <c r="F18139" s="1">
        <v>2846.0</v>
      </c>
      <c r="G18139" s="1">
        <v>7.0</v>
      </c>
    </row>
    <row r="18140">
      <c r="A18140" s="1" t="s">
        <v>10</v>
      </c>
      <c r="B18140" s="2">
        <v>44790.0</v>
      </c>
      <c r="C18140" s="3">
        <v>0.6907523148148148</v>
      </c>
      <c r="D18140" s="1">
        <v>12.878779</v>
      </c>
      <c r="E18140" s="1">
        <v>80.081154</v>
      </c>
      <c r="F18140" s="1">
        <v>3143.0</v>
      </c>
      <c r="G18140" s="1">
        <v>0.0</v>
      </c>
    </row>
    <row r="18141">
      <c r="A18141" s="1" t="s">
        <v>8</v>
      </c>
      <c r="B18141" s="2">
        <v>44790.0</v>
      </c>
      <c r="C18141" s="3">
        <v>0.6913425925925926</v>
      </c>
      <c r="D18141" s="1">
        <v>12.883856</v>
      </c>
      <c r="E18141" s="1">
        <v>80.081652</v>
      </c>
      <c r="F18141" s="1">
        <v>805.0</v>
      </c>
      <c r="G18141" s="1">
        <v>43.0</v>
      </c>
    </row>
    <row r="18142">
      <c r="A18142" s="1" t="s">
        <v>8</v>
      </c>
      <c r="B18142" s="2">
        <v>44790.0</v>
      </c>
      <c r="C18142" s="3">
        <v>0.6913888888888889</v>
      </c>
      <c r="D18142" s="1">
        <v>12.884224</v>
      </c>
      <c r="E18142" s="1">
        <v>80.081834</v>
      </c>
      <c r="F18142" s="1">
        <v>5339.0</v>
      </c>
      <c r="G18142" s="1">
        <v>39.0</v>
      </c>
    </row>
    <row r="18143">
      <c r="A18143" s="1" t="s">
        <v>8</v>
      </c>
      <c r="B18143" s="2">
        <v>44790.0</v>
      </c>
      <c r="C18143" s="3">
        <v>0.6915509259259259</v>
      </c>
      <c r="D18143" s="1">
        <v>12.88474</v>
      </c>
      <c r="E18143" s="1">
        <v>80.082028</v>
      </c>
      <c r="F18143" s="1">
        <v>805.0</v>
      </c>
      <c r="G18143" s="1">
        <v>40.0</v>
      </c>
    </row>
    <row r="18144">
      <c r="A18144" s="1" t="s">
        <v>7</v>
      </c>
      <c r="B18144" s="2">
        <v>44790.0</v>
      </c>
      <c r="C18144" s="3">
        <v>0.691875</v>
      </c>
      <c r="D18144" s="1">
        <v>12.888014</v>
      </c>
      <c r="E18144" s="1">
        <v>80.083673</v>
      </c>
      <c r="F18144" s="1">
        <v>805.0</v>
      </c>
      <c r="G18144" s="1">
        <v>56.0</v>
      </c>
    </row>
    <row r="18145">
      <c r="A18145" s="1" t="s">
        <v>7</v>
      </c>
      <c r="B18145" s="2">
        <v>44790.0</v>
      </c>
      <c r="C18145" s="3">
        <v>0.6921064814814815</v>
      </c>
      <c r="D18145" s="1">
        <v>12.891265</v>
      </c>
      <c r="E18145" s="1">
        <v>80.085058</v>
      </c>
      <c r="F18145" s="1">
        <v>5339.0</v>
      </c>
      <c r="G18145" s="1">
        <v>58.0</v>
      </c>
    </row>
    <row r="18146">
      <c r="A18146" s="1" t="s">
        <v>7</v>
      </c>
      <c r="B18146" s="2">
        <v>44790.0</v>
      </c>
      <c r="C18146" s="3">
        <v>0.6921064814814815</v>
      </c>
      <c r="D18146" s="1">
        <v>12.873159</v>
      </c>
      <c r="E18146" s="1">
        <v>80.077912</v>
      </c>
      <c r="F18146" s="1">
        <v>2846.0</v>
      </c>
      <c r="G18146" s="1">
        <v>57.0</v>
      </c>
    </row>
    <row r="18147">
      <c r="A18147" s="1" t="s">
        <v>7</v>
      </c>
      <c r="B18147" s="2">
        <v>44790.0</v>
      </c>
      <c r="C18147" s="3">
        <v>0.6921180555555555</v>
      </c>
      <c r="D18147" s="1">
        <v>12.890717</v>
      </c>
      <c r="E18147" s="1">
        <v>80.084795</v>
      </c>
      <c r="F18147" s="1">
        <v>805.0</v>
      </c>
      <c r="G18147" s="1">
        <v>58.0</v>
      </c>
    </row>
    <row r="18148">
      <c r="A18148" s="1" t="s">
        <v>8</v>
      </c>
      <c r="B18148" s="2">
        <v>44790.0</v>
      </c>
      <c r="C18148" s="3">
        <v>0.6921412037037037</v>
      </c>
      <c r="D18148" s="1">
        <v>12.881719</v>
      </c>
      <c r="E18148" s="1">
        <v>80.080815</v>
      </c>
      <c r="F18148" s="1">
        <v>3143.0</v>
      </c>
      <c r="G18148" s="1">
        <v>26.0</v>
      </c>
    </row>
    <row r="18149">
      <c r="A18149" s="1" t="s">
        <v>7</v>
      </c>
      <c r="B18149" s="2">
        <v>44790.0</v>
      </c>
      <c r="C18149" s="3">
        <v>0.6921875</v>
      </c>
      <c r="D18149" s="1">
        <v>12.892526</v>
      </c>
      <c r="E18149" s="1">
        <v>80.085782</v>
      </c>
      <c r="F18149" s="1">
        <v>5339.0</v>
      </c>
      <c r="G18149" s="1">
        <v>57.0</v>
      </c>
    </row>
    <row r="18150">
      <c r="A18150" s="1" t="s">
        <v>8</v>
      </c>
      <c r="B18150" s="2">
        <v>44790.0</v>
      </c>
      <c r="C18150" s="3">
        <v>0.692349537037037</v>
      </c>
      <c r="D18150" s="1">
        <v>12.88323</v>
      </c>
      <c r="E18150" s="1">
        <v>80.08141</v>
      </c>
      <c r="F18150" s="1">
        <v>3143.0</v>
      </c>
      <c r="G18150" s="1">
        <v>39.0</v>
      </c>
    </row>
    <row r="18151">
      <c r="A18151" s="1" t="s">
        <v>8</v>
      </c>
      <c r="B18151" s="2">
        <v>44790.0</v>
      </c>
      <c r="C18151" s="3">
        <v>0.6924537037037037</v>
      </c>
      <c r="D18151" s="1">
        <v>12.894862</v>
      </c>
      <c r="E18151" s="1">
        <v>80.087506</v>
      </c>
      <c r="F18151" s="1">
        <v>5339.0</v>
      </c>
      <c r="G18151" s="1">
        <v>58.0</v>
      </c>
    </row>
    <row r="18152">
      <c r="A18152" s="1" t="s">
        <v>7</v>
      </c>
      <c r="B18152" s="2">
        <v>44790.0</v>
      </c>
      <c r="C18152" s="3">
        <v>0.6926388888888889</v>
      </c>
      <c r="D18152" s="1">
        <v>12.885025</v>
      </c>
      <c r="E18152" s="1">
        <v>80.082193</v>
      </c>
      <c r="F18152" s="1">
        <v>3143.0</v>
      </c>
      <c r="G18152" s="1">
        <v>38.0</v>
      </c>
    </row>
    <row r="18153">
      <c r="A18153" s="1" t="s">
        <v>7</v>
      </c>
      <c r="B18153" s="2">
        <v>44790.0</v>
      </c>
      <c r="C18153" s="3">
        <v>0.6929166666666666</v>
      </c>
      <c r="D18153" s="1">
        <v>12.888678</v>
      </c>
      <c r="E18153" s="1">
        <v>80.083932</v>
      </c>
      <c r="F18153" s="1">
        <v>3143.0</v>
      </c>
      <c r="G18153" s="1">
        <v>58.0</v>
      </c>
    </row>
    <row r="18154">
      <c r="A18154" s="1" t="s">
        <v>8</v>
      </c>
      <c r="B18154" s="2">
        <v>44790.0</v>
      </c>
      <c r="C18154" s="3">
        <v>0.6930092592592593</v>
      </c>
      <c r="D18154" s="1">
        <v>12.900253</v>
      </c>
      <c r="E18154" s="1">
        <v>80.091537</v>
      </c>
      <c r="F18154" s="1">
        <v>805.0</v>
      </c>
      <c r="G18154" s="1">
        <v>57.0</v>
      </c>
    </row>
    <row r="18155">
      <c r="A18155" s="1" t="s">
        <v>8</v>
      </c>
      <c r="B18155" s="2">
        <v>44790.0</v>
      </c>
      <c r="C18155" s="3">
        <v>0.6931712962962963</v>
      </c>
      <c r="D18155" s="1">
        <v>12.901335</v>
      </c>
      <c r="E18155" s="1">
        <v>80.092328</v>
      </c>
      <c r="F18155" s="1">
        <v>805.0</v>
      </c>
      <c r="G18155" s="1">
        <v>41.0</v>
      </c>
    </row>
    <row r="18156">
      <c r="A18156" s="1" t="s">
        <v>8</v>
      </c>
      <c r="B18156" s="2">
        <v>44790.0</v>
      </c>
      <c r="C18156" s="3">
        <v>0.6933101851851852</v>
      </c>
      <c r="D18156" s="1">
        <v>12.902846</v>
      </c>
      <c r="E18156" s="1">
        <v>80.093565</v>
      </c>
      <c r="F18156" s="1">
        <v>805.0</v>
      </c>
      <c r="G18156" s="1">
        <v>34.0</v>
      </c>
    </row>
    <row r="18157">
      <c r="A18157" s="1" t="s">
        <v>7</v>
      </c>
      <c r="B18157" s="2">
        <v>44790.0</v>
      </c>
      <c r="C18157" s="3">
        <v>0.6933217592592592</v>
      </c>
      <c r="D18157" s="1">
        <v>12.892636</v>
      </c>
      <c r="E18157" s="1">
        <v>80.085814</v>
      </c>
      <c r="F18157" s="1">
        <v>3143.0</v>
      </c>
      <c r="G18157" s="1">
        <v>57.0</v>
      </c>
    </row>
    <row r="18158">
      <c r="A18158" s="1" t="s">
        <v>8</v>
      </c>
      <c r="B18158" s="2">
        <v>44790.0</v>
      </c>
      <c r="C18158" s="3">
        <v>0.6933217592592592</v>
      </c>
      <c r="D18158" s="1">
        <v>12.902612</v>
      </c>
      <c r="E18158" s="1">
        <v>80.093348</v>
      </c>
      <c r="F18158" s="1">
        <v>5339.0</v>
      </c>
      <c r="G18158" s="1">
        <v>36.0</v>
      </c>
    </row>
    <row r="18159">
      <c r="A18159" s="1" t="s">
        <v>8</v>
      </c>
      <c r="B18159" s="2">
        <v>44790.0</v>
      </c>
      <c r="C18159" s="3">
        <v>0.6933680555555556</v>
      </c>
      <c r="D18159" s="1">
        <v>12.893806</v>
      </c>
      <c r="E18159" s="1">
        <v>80.086704</v>
      </c>
      <c r="F18159" s="1">
        <v>3143.0</v>
      </c>
      <c r="G18159" s="1">
        <v>57.0</v>
      </c>
    </row>
    <row r="18160">
      <c r="A18160" s="1" t="s">
        <v>8</v>
      </c>
      <c r="B18160" s="2">
        <v>44790.0</v>
      </c>
      <c r="C18160" s="3">
        <v>0.6934375</v>
      </c>
      <c r="D18160" s="1">
        <v>12.903623</v>
      </c>
      <c r="E18160" s="1">
        <v>80.094219</v>
      </c>
      <c r="F18160" s="1">
        <v>805.0</v>
      </c>
      <c r="G18160" s="1">
        <v>46.0</v>
      </c>
    </row>
    <row r="18161">
      <c r="A18161" s="1" t="s">
        <v>8</v>
      </c>
      <c r="B18161" s="2">
        <v>44790.0</v>
      </c>
      <c r="C18161" s="3">
        <v>0.6935185185185185</v>
      </c>
      <c r="D18161" s="1">
        <v>12.904076</v>
      </c>
      <c r="E18161" s="1">
        <v>80.094541</v>
      </c>
      <c r="F18161" s="1">
        <v>5339.0</v>
      </c>
      <c r="G18161" s="1">
        <v>43.0</v>
      </c>
    </row>
    <row r="18162">
      <c r="A18162" s="1" t="s">
        <v>9</v>
      </c>
      <c r="B18162" s="2">
        <v>44790.0</v>
      </c>
      <c r="C18162" s="3">
        <v>0.6935648148148148</v>
      </c>
      <c r="D18162" s="1">
        <v>12.89484</v>
      </c>
      <c r="E18162" s="1">
        <v>80.08751</v>
      </c>
      <c r="F18162" s="1">
        <v>3143.0</v>
      </c>
      <c r="G18162" s="1">
        <v>49.0</v>
      </c>
    </row>
    <row r="18163">
      <c r="A18163" s="1" t="s">
        <v>9</v>
      </c>
      <c r="B18163" s="2">
        <v>44790.0</v>
      </c>
      <c r="C18163" s="3">
        <v>0.6936458333333333</v>
      </c>
      <c r="D18163" s="1">
        <v>12.895886</v>
      </c>
      <c r="E18163" s="1">
        <v>80.088301</v>
      </c>
      <c r="F18163" s="1">
        <v>3143.0</v>
      </c>
      <c r="G18163" s="1">
        <v>56.0</v>
      </c>
    </row>
    <row r="18164">
      <c r="A18164" s="1" t="s">
        <v>8</v>
      </c>
      <c r="B18164" s="2">
        <v>44790.0</v>
      </c>
      <c r="C18164" s="3">
        <v>0.6936689814814815</v>
      </c>
      <c r="D18164" s="1">
        <v>12.904897</v>
      </c>
      <c r="E18164" s="1">
        <v>80.095197</v>
      </c>
      <c r="F18164" s="1">
        <v>5339.0</v>
      </c>
      <c r="G18164" s="1">
        <v>37.0</v>
      </c>
    </row>
    <row r="18165">
      <c r="A18165" s="1" t="s">
        <v>8</v>
      </c>
      <c r="B18165" s="2">
        <v>44790.0</v>
      </c>
      <c r="C18165" s="3">
        <v>0.6937731481481482</v>
      </c>
      <c r="D18165" s="1">
        <v>12.859417</v>
      </c>
      <c r="E18165" s="1">
        <v>80.071928</v>
      </c>
      <c r="F18165" s="1">
        <v>2846.0</v>
      </c>
      <c r="G18165" s="1">
        <v>43.0</v>
      </c>
    </row>
    <row r="18166">
      <c r="A18166" s="1" t="s">
        <v>8</v>
      </c>
      <c r="B18166" s="2">
        <v>44790.0</v>
      </c>
      <c r="C18166" s="3">
        <v>0.6946412037037037</v>
      </c>
      <c r="D18166" s="1">
        <v>12.851149</v>
      </c>
      <c r="E18166" s="1">
        <v>80.065786</v>
      </c>
      <c r="F18166" s="1">
        <v>2846.0</v>
      </c>
      <c r="G18166" s="1">
        <v>36.0</v>
      </c>
    </row>
    <row r="18167">
      <c r="A18167" s="1" t="s">
        <v>9</v>
      </c>
      <c r="B18167" s="2">
        <v>44790.0</v>
      </c>
      <c r="C18167" s="3">
        <v>0.694699074074074</v>
      </c>
      <c r="D18167" s="1">
        <v>12.850463</v>
      </c>
      <c r="E18167" s="1">
        <v>80.065299</v>
      </c>
      <c r="F18167" s="1">
        <v>2846.0</v>
      </c>
      <c r="G18167" s="1">
        <v>32.0</v>
      </c>
    </row>
    <row r="18168">
      <c r="A18168" s="1" t="s">
        <v>8</v>
      </c>
      <c r="B18168" s="2">
        <v>44790.0</v>
      </c>
      <c r="C18168" s="3">
        <v>0.694837962962963</v>
      </c>
      <c r="D18168" s="1">
        <v>12.905598</v>
      </c>
      <c r="E18168" s="1">
        <v>80.09554</v>
      </c>
      <c r="F18168" s="1">
        <v>3143.0</v>
      </c>
      <c r="G18168" s="1">
        <v>42.0</v>
      </c>
    </row>
    <row r="18169">
      <c r="A18169" s="1" t="s">
        <v>8</v>
      </c>
      <c r="B18169" s="2">
        <v>44790.0</v>
      </c>
      <c r="C18169" s="3">
        <v>0.6951967592592593</v>
      </c>
      <c r="D18169" s="1">
        <v>12.908441</v>
      </c>
      <c r="E18169" s="1">
        <v>80.097731</v>
      </c>
      <c r="F18169" s="1">
        <v>3143.0</v>
      </c>
      <c r="G18169" s="1">
        <v>54.0</v>
      </c>
    </row>
    <row r="18170">
      <c r="A18170" s="1" t="s">
        <v>8</v>
      </c>
      <c r="B18170" s="2">
        <v>44790.0</v>
      </c>
      <c r="C18170" s="3">
        <v>0.6952662037037037</v>
      </c>
      <c r="D18170" s="1">
        <v>12.846791</v>
      </c>
      <c r="E18170" s="1">
        <v>80.062587</v>
      </c>
      <c r="F18170" s="1">
        <v>2846.0</v>
      </c>
      <c r="G18170" s="1">
        <v>46.0</v>
      </c>
    </row>
    <row r="18171">
      <c r="A18171" s="1" t="s">
        <v>8</v>
      </c>
      <c r="B18171" s="2">
        <v>44790.0</v>
      </c>
      <c r="C18171" s="3">
        <v>0.6954282407407407</v>
      </c>
      <c r="D18171" s="1">
        <v>12.909821</v>
      </c>
      <c r="E18171" s="1">
        <v>80.099748</v>
      </c>
      <c r="F18171" s="1">
        <v>3143.0</v>
      </c>
      <c r="G18171" s="1">
        <v>56.0</v>
      </c>
    </row>
    <row r="18172">
      <c r="A18172" s="1" t="s">
        <v>8</v>
      </c>
      <c r="B18172" s="2">
        <v>44790.0</v>
      </c>
      <c r="C18172" s="3">
        <v>0.6958217592592593</v>
      </c>
      <c r="D18172" s="1">
        <v>12.912028</v>
      </c>
      <c r="E18172" s="1">
        <v>80.101413</v>
      </c>
      <c r="F18172" s="1">
        <v>3143.0</v>
      </c>
      <c r="G18172" s="1">
        <v>27.0</v>
      </c>
    </row>
    <row r="18173">
      <c r="A18173" s="1" t="s">
        <v>8</v>
      </c>
      <c r="B18173" s="2">
        <v>44790.0</v>
      </c>
      <c r="C18173" s="3">
        <v>0.6960069444444444</v>
      </c>
      <c r="D18173" s="1">
        <v>12.913235</v>
      </c>
      <c r="E18173" s="1">
        <v>80.101503</v>
      </c>
      <c r="F18173" s="1">
        <v>805.0</v>
      </c>
      <c r="G18173" s="1">
        <v>45.0</v>
      </c>
    </row>
    <row r="18174">
      <c r="A18174" s="1" t="s">
        <v>8</v>
      </c>
      <c r="B18174" s="2">
        <v>44790.0</v>
      </c>
      <c r="C18174" s="3">
        <v>0.6960648148148149</v>
      </c>
      <c r="D18174" s="1">
        <v>12.914257</v>
      </c>
      <c r="E18174" s="1">
        <v>80.101679</v>
      </c>
      <c r="F18174" s="1">
        <v>3143.0</v>
      </c>
      <c r="G18174" s="1">
        <v>52.0</v>
      </c>
    </row>
    <row r="18175">
      <c r="A18175" s="1" t="s">
        <v>8</v>
      </c>
      <c r="B18175" s="2">
        <v>44790.0</v>
      </c>
      <c r="C18175" s="3">
        <v>0.6962268518518518</v>
      </c>
      <c r="D18175" s="1">
        <v>12.91261</v>
      </c>
      <c r="E18175" s="1">
        <v>80.101415</v>
      </c>
      <c r="F18175" s="1">
        <v>5339.0</v>
      </c>
      <c r="G18175" s="1">
        <v>36.0</v>
      </c>
    </row>
    <row r="18176">
      <c r="A18176" s="1" t="s">
        <v>7</v>
      </c>
      <c r="B18176" s="2">
        <v>44790.0</v>
      </c>
      <c r="C18176" s="3">
        <v>0.6963888888888888</v>
      </c>
      <c r="D18176" s="1">
        <v>12.915772</v>
      </c>
      <c r="E18176" s="1">
        <v>80.104216</v>
      </c>
      <c r="F18176" s="1">
        <v>805.0</v>
      </c>
      <c r="G18176" s="1">
        <v>59.0</v>
      </c>
    </row>
    <row r="18177">
      <c r="A18177" s="1" t="s">
        <v>9</v>
      </c>
      <c r="B18177" s="2">
        <v>44790.0</v>
      </c>
      <c r="C18177" s="3">
        <v>0.6968171296296296</v>
      </c>
      <c r="D18177" s="1">
        <v>12.916956</v>
      </c>
      <c r="E18177" s="1">
        <v>80.107001</v>
      </c>
      <c r="F18177" s="1">
        <v>3143.0</v>
      </c>
      <c r="G18177" s="1">
        <v>23.0</v>
      </c>
    </row>
    <row r="18178">
      <c r="A18178" s="1" t="s">
        <v>8</v>
      </c>
      <c r="B18178" s="2">
        <v>44790.0</v>
      </c>
      <c r="C18178" s="3">
        <v>0.6968287037037038</v>
      </c>
      <c r="D18178" s="1">
        <v>12.843447</v>
      </c>
      <c r="E18178" s="1">
        <v>80.059419</v>
      </c>
      <c r="F18178" s="1">
        <v>2846.0</v>
      </c>
      <c r="G18178" s="1">
        <v>24.0</v>
      </c>
    </row>
    <row r="18179">
      <c r="A18179" s="1" t="s">
        <v>8</v>
      </c>
      <c r="B18179" s="2">
        <v>44790.0</v>
      </c>
      <c r="C18179" s="3">
        <v>0.6968865740740741</v>
      </c>
      <c r="D18179" s="1">
        <v>12.916741</v>
      </c>
      <c r="E18179" s="1">
        <v>80.106528</v>
      </c>
      <c r="F18179" s="1">
        <v>5339.0</v>
      </c>
      <c r="G18179" s="1">
        <v>32.0</v>
      </c>
    </row>
    <row r="18180">
      <c r="A18180" s="1" t="s">
        <v>8</v>
      </c>
      <c r="B18180" s="2">
        <v>44790.0</v>
      </c>
      <c r="C18180" s="3">
        <v>0.6968865740740741</v>
      </c>
      <c r="D18180" s="1">
        <v>12.916741</v>
      </c>
      <c r="E18180" s="1">
        <v>80.106528</v>
      </c>
      <c r="F18180" s="1">
        <v>5339.0</v>
      </c>
      <c r="G18180" s="1">
        <v>32.0</v>
      </c>
    </row>
    <row r="18181">
      <c r="A18181" s="1" t="s">
        <v>9</v>
      </c>
      <c r="B18181" s="2">
        <v>44790.0</v>
      </c>
      <c r="C18181" s="3">
        <v>0.6970023148148148</v>
      </c>
      <c r="D18181" s="1">
        <v>12.917843</v>
      </c>
      <c r="E18181" s="1">
        <v>80.10832</v>
      </c>
      <c r="F18181" s="1">
        <v>3143.0</v>
      </c>
      <c r="G18181" s="1">
        <v>39.0</v>
      </c>
    </row>
    <row r="18182">
      <c r="A18182" s="1" t="s">
        <v>8</v>
      </c>
      <c r="B18182" s="2">
        <v>44790.0</v>
      </c>
      <c r="C18182" s="3">
        <v>0.6970486111111112</v>
      </c>
      <c r="D18182" s="1">
        <v>12.917104</v>
      </c>
      <c r="E18182" s="1">
        <v>80.107174</v>
      </c>
      <c r="F18182" s="1">
        <v>5339.0</v>
      </c>
      <c r="G18182" s="1">
        <v>30.0</v>
      </c>
    </row>
    <row r="18183">
      <c r="A18183" s="1" t="s">
        <v>8</v>
      </c>
      <c r="B18183" s="2">
        <v>44790.0</v>
      </c>
      <c r="C18183" s="3">
        <v>0.6971643518518519</v>
      </c>
      <c r="D18183" s="1">
        <v>12.918584</v>
      </c>
      <c r="E18183" s="1">
        <v>80.109219</v>
      </c>
      <c r="F18183" s="1">
        <v>3143.0</v>
      </c>
      <c r="G18183" s="1">
        <v>46.0</v>
      </c>
    </row>
    <row r="18184">
      <c r="A18184" s="1" t="s">
        <v>8</v>
      </c>
      <c r="B18184" s="2">
        <v>44790.0</v>
      </c>
      <c r="C18184" s="3">
        <v>0.6972453703703704</v>
      </c>
      <c r="D18184" s="1">
        <v>12.919374</v>
      </c>
      <c r="E18184" s="1">
        <v>80.110158</v>
      </c>
      <c r="F18184" s="1">
        <v>3143.0</v>
      </c>
      <c r="G18184" s="1">
        <v>44.0</v>
      </c>
    </row>
    <row r="18185">
      <c r="A18185" s="1" t="s">
        <v>8</v>
      </c>
      <c r="B18185" s="2">
        <v>44790.0</v>
      </c>
      <c r="C18185" s="3">
        <v>0.6973032407407408</v>
      </c>
      <c r="D18185" s="1">
        <v>12.920113</v>
      </c>
      <c r="E18185" s="1">
        <v>80.111019</v>
      </c>
      <c r="F18185" s="1">
        <v>3143.0</v>
      </c>
      <c r="G18185" s="1">
        <v>48.0</v>
      </c>
    </row>
    <row r="18186">
      <c r="A18186" s="1" t="s">
        <v>8</v>
      </c>
      <c r="B18186" s="2">
        <v>44790.0</v>
      </c>
      <c r="C18186" s="3">
        <v>0.6973379629629629</v>
      </c>
      <c r="D18186" s="1">
        <v>12.840517</v>
      </c>
      <c r="E18186" s="1">
        <v>80.056338</v>
      </c>
      <c r="F18186" s="1">
        <v>2846.0</v>
      </c>
      <c r="G18186" s="1">
        <v>34.0</v>
      </c>
    </row>
    <row r="18187">
      <c r="A18187" s="1" t="s">
        <v>8</v>
      </c>
      <c r="B18187" s="2">
        <v>44790.0</v>
      </c>
      <c r="C18187" s="3">
        <v>0.6973842592592593</v>
      </c>
      <c r="D18187" s="1">
        <v>12.918883</v>
      </c>
      <c r="E18187" s="1">
        <v>80.109599</v>
      </c>
      <c r="F18187" s="1">
        <v>805.0</v>
      </c>
      <c r="G18187" s="1">
        <v>48.0</v>
      </c>
    </row>
    <row r="18188">
      <c r="A18188" s="1" t="s">
        <v>8</v>
      </c>
      <c r="B18188" s="2">
        <v>44790.0</v>
      </c>
      <c r="C18188" s="3">
        <v>0.6973958333333333</v>
      </c>
      <c r="D18188" s="1">
        <v>12.919045</v>
      </c>
      <c r="E18188" s="1">
        <v>80.109728</v>
      </c>
      <c r="F18188" s="1">
        <v>5339.0</v>
      </c>
      <c r="G18188" s="1">
        <v>45.0</v>
      </c>
    </row>
    <row r="18189">
      <c r="A18189" s="1" t="s">
        <v>8</v>
      </c>
      <c r="B18189" s="2">
        <v>44790.0</v>
      </c>
      <c r="C18189" s="3">
        <v>0.6974074074074074</v>
      </c>
      <c r="D18189" s="1">
        <v>12.838859</v>
      </c>
      <c r="E18189" s="1">
        <v>80.054598</v>
      </c>
      <c r="F18189" s="1">
        <v>2846.0</v>
      </c>
      <c r="G18189" s="1">
        <v>47.0</v>
      </c>
    </row>
    <row r="18190">
      <c r="A18190" s="1" t="s">
        <v>7</v>
      </c>
      <c r="B18190" s="2">
        <v>44790.0</v>
      </c>
      <c r="C18190" s="3">
        <v>0.6975694444444445</v>
      </c>
      <c r="D18190" s="1">
        <v>12.921348</v>
      </c>
      <c r="E18190" s="1">
        <v>80.112388</v>
      </c>
      <c r="F18190" s="1">
        <v>805.0</v>
      </c>
      <c r="G18190" s="1">
        <v>55.0</v>
      </c>
    </row>
    <row r="18191">
      <c r="A18191" s="1" t="s">
        <v>7</v>
      </c>
      <c r="B18191" s="2">
        <v>44790.0</v>
      </c>
      <c r="C18191" s="3">
        <v>0.6978587962962963</v>
      </c>
      <c r="D18191" s="1">
        <v>12.842158</v>
      </c>
      <c r="E18191" s="1">
        <v>80.058039</v>
      </c>
      <c r="F18191" s="1">
        <v>2846.0</v>
      </c>
      <c r="G18191" s="1">
        <v>47.0</v>
      </c>
    </row>
    <row r="18192">
      <c r="A18192" s="1" t="s">
        <v>8</v>
      </c>
      <c r="B18192" s="2">
        <v>44790.0</v>
      </c>
      <c r="C18192" s="3">
        <v>0.6981597222222222</v>
      </c>
      <c r="D18192" s="1">
        <v>12.923551</v>
      </c>
      <c r="E18192" s="1">
        <v>80.114575</v>
      </c>
      <c r="F18192" s="1">
        <v>805.0</v>
      </c>
      <c r="G18192" s="1">
        <v>20.0</v>
      </c>
    </row>
    <row r="18193">
      <c r="A18193" s="1" t="s">
        <v>8</v>
      </c>
      <c r="B18193" s="2">
        <v>44790.0</v>
      </c>
      <c r="C18193" s="3">
        <v>0.6981944444444445</v>
      </c>
      <c r="D18193" s="1">
        <v>12.923378</v>
      </c>
      <c r="E18193" s="1">
        <v>80.114442</v>
      </c>
      <c r="F18193" s="1">
        <v>5339.0</v>
      </c>
      <c r="G18193" s="1">
        <v>34.0</v>
      </c>
    </row>
    <row r="18194">
      <c r="A18194" s="1" t="s">
        <v>8</v>
      </c>
      <c r="B18194" s="2">
        <v>44790.0</v>
      </c>
      <c r="C18194" s="3">
        <v>0.6982060185185185</v>
      </c>
      <c r="D18194" s="1">
        <v>12.924022</v>
      </c>
      <c r="E18194" s="1">
        <v>80.115045</v>
      </c>
      <c r="F18194" s="1">
        <v>805.0</v>
      </c>
      <c r="G18194" s="1">
        <v>33.0</v>
      </c>
    </row>
    <row r="18195">
      <c r="A18195" s="1" t="s">
        <v>7</v>
      </c>
      <c r="B18195" s="2">
        <v>44790.0</v>
      </c>
      <c r="C18195" s="3">
        <v>0.6982407407407407</v>
      </c>
      <c r="D18195" s="1">
        <v>12.832354</v>
      </c>
      <c r="E18195" s="1">
        <v>80.047755</v>
      </c>
      <c r="F18195" s="1">
        <v>2846.0</v>
      </c>
      <c r="G18195" s="1">
        <v>58.0</v>
      </c>
    </row>
    <row r="18196">
      <c r="A18196" s="1" t="s">
        <v>8</v>
      </c>
      <c r="B18196" s="2">
        <v>44790.0</v>
      </c>
      <c r="C18196" s="3">
        <v>0.698287037037037</v>
      </c>
      <c r="D18196" s="1">
        <v>12.924693</v>
      </c>
      <c r="E18196" s="1">
        <v>80.115739</v>
      </c>
      <c r="F18196" s="1">
        <v>805.0</v>
      </c>
      <c r="G18196" s="1">
        <v>37.0</v>
      </c>
    </row>
    <row r="18197">
      <c r="A18197" s="1" t="s">
        <v>9</v>
      </c>
      <c r="B18197" s="2">
        <v>44790.0</v>
      </c>
      <c r="C18197" s="3">
        <v>0.6983449074074074</v>
      </c>
      <c r="D18197" s="1">
        <v>12.923931</v>
      </c>
      <c r="E18197" s="1">
        <v>80.114988</v>
      </c>
      <c r="F18197" s="1">
        <v>5339.0</v>
      </c>
      <c r="G18197" s="1">
        <v>30.0</v>
      </c>
    </row>
    <row r="18198">
      <c r="A18198" s="1" t="s">
        <v>7</v>
      </c>
      <c r="B18198" s="2">
        <v>44790.0</v>
      </c>
      <c r="C18198" s="3">
        <v>0.6988078703703704</v>
      </c>
      <c r="D18198" s="1">
        <v>12.827318</v>
      </c>
      <c r="E18198" s="1">
        <v>80.042404</v>
      </c>
      <c r="F18198" s="1">
        <v>2846.0</v>
      </c>
      <c r="G18198" s="1">
        <v>57.0</v>
      </c>
    </row>
    <row r="18199">
      <c r="A18199" s="1" t="s">
        <v>8</v>
      </c>
      <c r="B18199" s="2">
        <v>44790.0</v>
      </c>
      <c r="C18199" s="3">
        <v>0.6990509259259259</v>
      </c>
      <c r="D18199" s="1">
        <v>12.827318</v>
      </c>
      <c r="E18199" s="1">
        <v>80.042404</v>
      </c>
      <c r="F18199" s="1">
        <v>2846.0</v>
      </c>
      <c r="G18199" s="1">
        <v>57.0</v>
      </c>
    </row>
    <row r="18200">
      <c r="A18200" s="1" t="s">
        <v>7</v>
      </c>
      <c r="B18200" s="2">
        <v>44790.0</v>
      </c>
      <c r="C18200" s="3">
        <v>0.6991203703703703</v>
      </c>
      <c r="D18200" s="1">
        <v>12.82411</v>
      </c>
      <c r="E18200" s="1">
        <v>80.039775</v>
      </c>
      <c r="F18200" s="1">
        <v>2846.0</v>
      </c>
      <c r="G18200" s="1">
        <v>58.0</v>
      </c>
    </row>
    <row r="18201">
      <c r="A18201" s="1" t="s">
        <v>7</v>
      </c>
      <c r="B18201" s="2">
        <v>44790.0</v>
      </c>
      <c r="C18201" s="3">
        <v>0.6991666666666667</v>
      </c>
      <c r="D18201" s="1">
        <v>12.923159</v>
      </c>
      <c r="E18201" s="1">
        <v>80.123492</v>
      </c>
      <c r="F18201" s="1">
        <v>3143.0</v>
      </c>
      <c r="G18201" s="1">
        <v>59.0</v>
      </c>
    </row>
    <row r="18202">
      <c r="A18202" s="1" t="s">
        <v>7</v>
      </c>
      <c r="B18202" s="2">
        <v>44790.0</v>
      </c>
      <c r="C18202" s="3">
        <v>0.699212962962963</v>
      </c>
      <c r="D18202" s="1">
        <v>12.923159</v>
      </c>
      <c r="E18202" s="1">
        <v>80.123492</v>
      </c>
      <c r="F18202" s="1">
        <v>3143.0</v>
      </c>
      <c r="G18202" s="1">
        <v>59.0</v>
      </c>
    </row>
    <row r="18203">
      <c r="A18203" s="1" t="s">
        <v>8</v>
      </c>
      <c r="B18203" s="2">
        <v>44790.0</v>
      </c>
      <c r="C18203" s="3">
        <v>0.6992476851851852</v>
      </c>
      <c r="D18203" s="1">
        <v>12.82411</v>
      </c>
      <c r="E18203" s="1">
        <v>80.039775</v>
      </c>
      <c r="F18203" s="1">
        <v>2846.0</v>
      </c>
      <c r="G18203" s="1">
        <v>58.0</v>
      </c>
    </row>
    <row r="18204">
      <c r="A18204" s="1" t="s">
        <v>7</v>
      </c>
      <c r="B18204" s="2">
        <v>44790.0</v>
      </c>
      <c r="C18204" s="3">
        <v>0.6999884259259259</v>
      </c>
      <c r="D18204" s="1">
        <v>12.817801</v>
      </c>
      <c r="E18204" s="1">
        <v>80.035336</v>
      </c>
      <c r="F18204" s="1">
        <v>2846.0</v>
      </c>
      <c r="G18204" s="1">
        <v>43.0</v>
      </c>
    </row>
    <row r="18205">
      <c r="A18205" s="1" t="s">
        <v>8</v>
      </c>
      <c r="B18205" s="2">
        <v>44790.0</v>
      </c>
      <c r="C18205" s="3">
        <v>0.7005555555555556</v>
      </c>
      <c r="D18205" s="1">
        <v>12.818714</v>
      </c>
      <c r="E18205" s="1">
        <v>80.03596</v>
      </c>
      <c r="F18205" s="1">
        <v>2846.0</v>
      </c>
      <c r="G18205" s="1">
        <v>49.0</v>
      </c>
    </row>
    <row r="18206">
      <c r="A18206" s="1" t="s">
        <v>8</v>
      </c>
      <c r="B18206" s="2">
        <v>44790.0</v>
      </c>
      <c r="C18206" s="3">
        <v>0.7007523148148148</v>
      </c>
      <c r="D18206" s="1">
        <v>12.922875</v>
      </c>
      <c r="E18206" s="1">
        <v>80.129258</v>
      </c>
      <c r="F18206" s="1">
        <v>3143.0</v>
      </c>
      <c r="G18206" s="1">
        <v>36.0</v>
      </c>
    </row>
    <row r="18207">
      <c r="A18207" s="1" t="s">
        <v>8</v>
      </c>
      <c r="B18207" s="2">
        <v>44790.0</v>
      </c>
      <c r="C18207" s="3">
        <v>0.700775462962963</v>
      </c>
      <c r="D18207" s="1">
        <v>12.922875</v>
      </c>
      <c r="E18207" s="1">
        <v>80.129258</v>
      </c>
      <c r="F18207" s="1">
        <v>3143.0</v>
      </c>
      <c r="G18207" s="1">
        <v>36.0</v>
      </c>
    </row>
    <row r="18208">
      <c r="A18208" s="1" t="s">
        <v>8</v>
      </c>
      <c r="B18208" s="2">
        <v>44790.0</v>
      </c>
      <c r="C18208" s="3">
        <v>0.700787037037037</v>
      </c>
      <c r="D18208" s="1">
        <v>12.922875</v>
      </c>
      <c r="E18208" s="1">
        <v>80.129258</v>
      </c>
      <c r="F18208" s="1">
        <v>3143.0</v>
      </c>
      <c r="G18208" s="1">
        <v>36.0</v>
      </c>
    </row>
    <row r="18209">
      <c r="A18209" s="1" t="s">
        <v>8</v>
      </c>
      <c r="B18209" s="2">
        <v>44790.0</v>
      </c>
      <c r="C18209" s="3">
        <v>0.7008680555555555</v>
      </c>
      <c r="D18209" s="1">
        <v>12.922841</v>
      </c>
      <c r="E18209" s="1">
        <v>80.130047</v>
      </c>
      <c r="F18209" s="1">
        <v>3143.0</v>
      </c>
      <c r="G18209" s="1">
        <v>29.0</v>
      </c>
    </row>
    <row r="18210">
      <c r="A18210" s="1" t="s">
        <v>8</v>
      </c>
      <c r="B18210" s="2">
        <v>44790.0</v>
      </c>
      <c r="C18210" s="3">
        <v>0.7009027777777778</v>
      </c>
      <c r="D18210" s="1">
        <v>12.922841</v>
      </c>
      <c r="E18210" s="1">
        <v>80.130047</v>
      </c>
      <c r="F18210" s="1">
        <v>3143.0</v>
      </c>
      <c r="G18210" s="1">
        <v>29.0</v>
      </c>
    </row>
    <row r="18211">
      <c r="A18211" s="1" t="s">
        <v>8</v>
      </c>
      <c r="B18211" s="2">
        <v>44790.0</v>
      </c>
      <c r="C18211" s="3">
        <v>0.700949074074074</v>
      </c>
      <c r="D18211" s="1">
        <v>12.922837</v>
      </c>
      <c r="E18211" s="1">
        <v>80.13089</v>
      </c>
      <c r="F18211" s="1">
        <v>3143.0</v>
      </c>
      <c r="G18211" s="1">
        <v>28.0</v>
      </c>
    </row>
    <row r="18212">
      <c r="A18212" s="1" t="s">
        <v>7</v>
      </c>
      <c r="B18212" s="2">
        <v>44790.0</v>
      </c>
      <c r="C18212" s="3">
        <v>0.7009953703703704</v>
      </c>
      <c r="D18212" s="1">
        <v>12.81082</v>
      </c>
      <c r="E18212" s="1">
        <v>80.030533</v>
      </c>
      <c r="F18212" s="1">
        <v>2846.0</v>
      </c>
      <c r="G18212" s="1">
        <v>57.0</v>
      </c>
    </row>
    <row r="18213">
      <c r="A18213" s="1" t="s">
        <v>8</v>
      </c>
      <c r="B18213" s="2">
        <v>44790.0</v>
      </c>
      <c r="C18213" s="3">
        <v>0.7012847222222223</v>
      </c>
      <c r="D18213" s="1">
        <v>12.805885</v>
      </c>
      <c r="E18213" s="1">
        <v>80.027373</v>
      </c>
      <c r="F18213" s="1">
        <v>2846.0</v>
      </c>
      <c r="G18213" s="1">
        <v>58.0</v>
      </c>
    </row>
    <row r="18214">
      <c r="A18214" s="1" t="s">
        <v>8</v>
      </c>
      <c r="B18214" s="2">
        <v>44790.0</v>
      </c>
      <c r="C18214" s="3">
        <v>0.7015162037037037</v>
      </c>
      <c r="D18214" s="1">
        <v>12.927397</v>
      </c>
      <c r="E18214" s="1">
        <v>80.118489</v>
      </c>
      <c r="F18214" s="1">
        <v>805.0</v>
      </c>
      <c r="G18214" s="1">
        <v>30.0</v>
      </c>
    </row>
    <row r="18215">
      <c r="A18215" s="1" t="s">
        <v>8</v>
      </c>
      <c r="B18215" s="2">
        <v>44790.0</v>
      </c>
      <c r="C18215" s="3">
        <v>0.7019097222222223</v>
      </c>
      <c r="D18215" s="1">
        <v>12.929968</v>
      </c>
      <c r="E18215" s="1">
        <v>80.121074</v>
      </c>
      <c r="F18215" s="1">
        <v>805.0</v>
      </c>
      <c r="G18215" s="1">
        <v>20.0</v>
      </c>
    </row>
    <row r="18216">
      <c r="A18216" s="1" t="s">
        <v>8</v>
      </c>
      <c r="B18216" s="2">
        <v>44790.0</v>
      </c>
      <c r="C18216" s="3">
        <v>0.7019212962962963</v>
      </c>
      <c r="D18216" s="1">
        <v>12.929968</v>
      </c>
      <c r="E18216" s="1">
        <v>80.121074</v>
      </c>
      <c r="F18216" s="1">
        <v>805.0</v>
      </c>
      <c r="G18216" s="1">
        <v>20.0</v>
      </c>
    </row>
    <row r="18217">
      <c r="A18217" s="1" t="s">
        <v>7</v>
      </c>
      <c r="B18217" s="2">
        <v>44790.0</v>
      </c>
      <c r="C18217" s="3">
        <v>0.7019675925925926</v>
      </c>
      <c r="D18217" s="1">
        <v>12.797295</v>
      </c>
      <c r="E18217" s="1">
        <v>80.02174</v>
      </c>
      <c r="F18217" s="1">
        <v>2846.0</v>
      </c>
      <c r="G18217" s="1">
        <v>56.0</v>
      </c>
    </row>
    <row r="18218">
      <c r="A18218" s="1" t="s">
        <v>8</v>
      </c>
      <c r="B18218" s="2">
        <v>44790.0</v>
      </c>
      <c r="C18218" s="3">
        <v>0.7020486111111112</v>
      </c>
      <c r="D18218" s="1">
        <v>12.927887</v>
      </c>
      <c r="E18218" s="1">
        <v>80.11899</v>
      </c>
      <c r="F18218" s="1">
        <v>5339.0</v>
      </c>
      <c r="G18218" s="1">
        <v>34.0</v>
      </c>
    </row>
    <row r="18219">
      <c r="A18219" s="1" t="s">
        <v>8</v>
      </c>
      <c r="B18219" s="2">
        <v>44790.0</v>
      </c>
      <c r="C18219" s="3">
        <v>0.7021296296296297</v>
      </c>
      <c r="D18219" s="1">
        <v>12.796249</v>
      </c>
      <c r="E18219" s="1">
        <v>80.02109</v>
      </c>
      <c r="F18219" s="1">
        <v>2846.0</v>
      </c>
      <c r="G18219" s="1">
        <v>36.0</v>
      </c>
    </row>
    <row r="18220">
      <c r="A18220" s="1" t="s">
        <v>8</v>
      </c>
      <c r="B18220" s="2">
        <v>44790.0</v>
      </c>
      <c r="C18220" s="3">
        <v>0.7021990740740741</v>
      </c>
      <c r="D18220" s="1">
        <v>12.928988</v>
      </c>
      <c r="E18220" s="1">
        <v>80.120098</v>
      </c>
      <c r="F18220" s="1">
        <v>5339.0</v>
      </c>
      <c r="G18220" s="1">
        <v>26.0</v>
      </c>
    </row>
    <row r="18221">
      <c r="A18221" s="1" t="s">
        <v>8</v>
      </c>
      <c r="B18221" s="2">
        <v>44790.0</v>
      </c>
      <c r="C18221" s="3">
        <v>0.7023842592592593</v>
      </c>
      <c r="D18221" s="1">
        <v>12.932438</v>
      </c>
      <c r="E18221" s="1">
        <v>80.123568</v>
      </c>
      <c r="F18221" s="1">
        <v>805.0</v>
      </c>
      <c r="G18221" s="1">
        <v>37.0</v>
      </c>
    </row>
    <row r="18222">
      <c r="A18222" s="1" t="s">
        <v>8</v>
      </c>
      <c r="B18222" s="2">
        <v>44790.0</v>
      </c>
      <c r="C18222" s="3">
        <v>0.7024189814814815</v>
      </c>
      <c r="D18222" s="1">
        <v>12.922436</v>
      </c>
      <c r="E18222" s="1">
        <v>80.13907</v>
      </c>
      <c r="F18222" s="1">
        <v>3143.0</v>
      </c>
      <c r="G18222" s="1">
        <v>37.0</v>
      </c>
    </row>
    <row r="18223">
      <c r="A18223" s="1" t="s">
        <v>8</v>
      </c>
      <c r="B18223" s="2">
        <v>44790.0</v>
      </c>
      <c r="C18223" s="3">
        <v>0.7024305555555556</v>
      </c>
      <c r="D18223" s="1">
        <v>12.922436</v>
      </c>
      <c r="E18223" s="1">
        <v>80.13907</v>
      </c>
      <c r="F18223" s="1">
        <v>3143.0</v>
      </c>
      <c r="G18223" s="1">
        <v>37.0</v>
      </c>
    </row>
    <row r="18224">
      <c r="A18224" s="1" t="s">
        <v>7</v>
      </c>
      <c r="B18224" s="2">
        <v>44790.0</v>
      </c>
      <c r="C18224" s="3">
        <v>0.7025347222222222</v>
      </c>
      <c r="D18224" s="1">
        <v>12.795595</v>
      </c>
      <c r="E18224" s="1">
        <v>80.020697</v>
      </c>
      <c r="F18224" s="1">
        <v>2846.0</v>
      </c>
      <c r="G18224" s="1">
        <v>32.0</v>
      </c>
    </row>
    <row r="18225">
      <c r="A18225" s="1" t="s">
        <v>8</v>
      </c>
      <c r="B18225" s="2">
        <v>44790.0</v>
      </c>
      <c r="C18225" s="3">
        <v>0.7028703703703704</v>
      </c>
      <c r="D18225" s="1">
        <v>12.929968</v>
      </c>
      <c r="E18225" s="1">
        <v>80.121054</v>
      </c>
      <c r="F18225" s="1">
        <v>5339.0</v>
      </c>
      <c r="G18225" s="1">
        <v>14.0</v>
      </c>
    </row>
    <row r="18226">
      <c r="A18226" s="1" t="s">
        <v>8</v>
      </c>
      <c r="B18226" s="2">
        <v>44790.0</v>
      </c>
      <c r="C18226" s="3">
        <v>0.7029398148148148</v>
      </c>
      <c r="D18226" s="1">
        <v>12.930414</v>
      </c>
      <c r="E18226" s="1">
        <v>80.121494</v>
      </c>
      <c r="F18226" s="1">
        <v>5339.0</v>
      </c>
      <c r="G18226" s="1">
        <v>32.0</v>
      </c>
    </row>
    <row r="18227">
      <c r="A18227" s="1" t="s">
        <v>8</v>
      </c>
      <c r="B18227" s="2">
        <v>44790.0</v>
      </c>
      <c r="C18227" s="3">
        <v>0.7029398148148148</v>
      </c>
      <c r="D18227" s="1">
        <v>12.930414</v>
      </c>
      <c r="E18227" s="1">
        <v>80.121494</v>
      </c>
      <c r="F18227" s="1">
        <v>5339.0</v>
      </c>
      <c r="G18227" s="1">
        <v>32.0</v>
      </c>
    </row>
    <row r="18228">
      <c r="A18228" s="1" t="s">
        <v>8</v>
      </c>
      <c r="B18228" s="2">
        <v>44790.0</v>
      </c>
      <c r="C18228" s="3">
        <v>0.7032523148148148</v>
      </c>
      <c r="D18228" s="1">
        <v>12.932742</v>
      </c>
      <c r="E18228" s="1">
        <v>80.123836</v>
      </c>
      <c r="F18228" s="1">
        <v>5339.0</v>
      </c>
      <c r="G18228" s="1">
        <v>50.0</v>
      </c>
    </row>
    <row r="18229">
      <c r="A18229" s="1" t="s">
        <v>8</v>
      </c>
      <c r="B18229" s="2">
        <v>44790.0</v>
      </c>
      <c r="C18229" s="3">
        <v>0.7033564814814814</v>
      </c>
      <c r="D18229" s="1">
        <v>12.922548</v>
      </c>
      <c r="E18229" s="1">
        <v>80.143414</v>
      </c>
      <c r="F18229" s="1">
        <v>3143.0</v>
      </c>
      <c r="G18229" s="1">
        <v>24.0</v>
      </c>
    </row>
    <row r="18230">
      <c r="A18230" s="1" t="s">
        <v>8</v>
      </c>
      <c r="B18230" s="2">
        <v>44790.0</v>
      </c>
      <c r="C18230" s="3">
        <v>0.7034027777777778</v>
      </c>
      <c r="D18230" s="1">
        <v>12.933557</v>
      </c>
      <c r="E18230" s="1">
        <v>80.124667</v>
      </c>
      <c r="F18230" s="1">
        <v>5339.0</v>
      </c>
      <c r="G18230" s="1">
        <v>44.0</v>
      </c>
    </row>
    <row r="18231">
      <c r="A18231" s="1" t="s">
        <v>7</v>
      </c>
      <c r="B18231" s="2">
        <v>44790.0</v>
      </c>
      <c r="C18231" s="3">
        <v>0.7037847222222222</v>
      </c>
      <c r="D18231" s="1">
        <v>12.779997</v>
      </c>
      <c r="E18231" s="1">
        <v>80.011806</v>
      </c>
      <c r="F18231" s="1">
        <v>2846.0</v>
      </c>
      <c r="G18231" s="1">
        <v>58.0</v>
      </c>
    </row>
    <row r="18232">
      <c r="A18232" s="1" t="s">
        <v>7</v>
      </c>
      <c r="B18232" s="2">
        <v>44790.0</v>
      </c>
      <c r="C18232" s="3">
        <v>0.7038078703703704</v>
      </c>
      <c r="D18232" s="1">
        <v>12.779997</v>
      </c>
      <c r="E18232" s="1">
        <v>80.011806</v>
      </c>
      <c r="F18232" s="1">
        <v>2846.0</v>
      </c>
      <c r="G18232" s="1">
        <v>58.0</v>
      </c>
    </row>
    <row r="18233">
      <c r="A18233" s="1" t="s">
        <v>10</v>
      </c>
      <c r="B18233" s="2">
        <v>44790.0</v>
      </c>
      <c r="C18233" s="3">
        <v>0.7040972222222223</v>
      </c>
      <c r="D18233" s="1">
        <v>12.936005</v>
      </c>
      <c r="E18233" s="1">
        <v>80.126956</v>
      </c>
      <c r="F18233" s="1">
        <v>805.0</v>
      </c>
      <c r="G18233" s="1">
        <v>22.0</v>
      </c>
    </row>
    <row r="18234">
      <c r="A18234" s="1" t="s">
        <v>7</v>
      </c>
      <c r="B18234" s="2">
        <v>44790.0</v>
      </c>
      <c r="C18234" s="3">
        <v>0.7041319444444445</v>
      </c>
      <c r="D18234" s="1">
        <v>12.775982</v>
      </c>
      <c r="E18234" s="1">
        <v>80.010045</v>
      </c>
      <c r="F18234" s="1">
        <v>2846.0</v>
      </c>
      <c r="G18234" s="1">
        <v>58.0</v>
      </c>
    </row>
    <row r="18235">
      <c r="A18235" s="1" t="s">
        <v>8</v>
      </c>
      <c r="B18235" s="2">
        <v>44790.0</v>
      </c>
      <c r="C18235" s="3">
        <v>0.7044560185185185</v>
      </c>
      <c r="D18235" s="1">
        <v>12.937809</v>
      </c>
      <c r="E18235" s="1">
        <v>80.128532</v>
      </c>
      <c r="F18235" s="1">
        <v>805.0</v>
      </c>
      <c r="G18235" s="1">
        <v>39.0</v>
      </c>
    </row>
    <row r="18236">
      <c r="A18236" s="1" t="s">
        <v>8</v>
      </c>
      <c r="B18236" s="2">
        <v>44790.0</v>
      </c>
      <c r="C18236" s="3">
        <v>0.7046296296296296</v>
      </c>
      <c r="D18236" s="1">
        <v>12.936816</v>
      </c>
      <c r="E18236" s="1">
        <v>80.127669</v>
      </c>
      <c r="F18236" s="1">
        <v>5339.0</v>
      </c>
      <c r="G18236" s="1">
        <v>32.0</v>
      </c>
    </row>
    <row r="18237">
      <c r="A18237" s="1" t="s">
        <v>8</v>
      </c>
      <c r="B18237" s="2">
        <v>44790.0</v>
      </c>
      <c r="C18237" s="3">
        <v>0.7046527777777778</v>
      </c>
      <c r="D18237" s="1">
        <v>12.93949</v>
      </c>
      <c r="E18237" s="1">
        <v>80.12999</v>
      </c>
      <c r="F18237" s="1">
        <v>805.0</v>
      </c>
      <c r="G18237" s="1">
        <v>50.0</v>
      </c>
    </row>
    <row r="18238">
      <c r="A18238" s="1" t="s">
        <v>8</v>
      </c>
      <c r="B18238" s="2">
        <v>44790.0</v>
      </c>
      <c r="C18238" s="3">
        <v>0.7046875</v>
      </c>
      <c r="D18238" s="1">
        <v>12.93949</v>
      </c>
      <c r="E18238" s="1">
        <v>80.12999</v>
      </c>
      <c r="F18238" s="1">
        <v>805.0</v>
      </c>
      <c r="G18238" s="1">
        <v>50.0</v>
      </c>
    </row>
    <row r="18239">
      <c r="A18239" s="1" t="s">
        <v>8</v>
      </c>
      <c r="B18239" s="2">
        <v>44790.0</v>
      </c>
      <c r="C18239" s="3">
        <v>0.7047222222222222</v>
      </c>
      <c r="D18239" s="1">
        <v>12.93949</v>
      </c>
      <c r="E18239" s="1">
        <v>80.12999</v>
      </c>
      <c r="F18239" s="1">
        <v>805.0</v>
      </c>
      <c r="G18239" s="1">
        <v>50.0</v>
      </c>
    </row>
    <row r="18240">
      <c r="A18240" s="1" t="s">
        <v>7</v>
      </c>
      <c r="B18240" s="2">
        <v>44790.0</v>
      </c>
      <c r="C18240" s="3">
        <v>0.7047569444444445</v>
      </c>
      <c r="D18240" s="1">
        <v>12.93949</v>
      </c>
      <c r="E18240" s="1">
        <v>80.12999</v>
      </c>
      <c r="F18240" s="1">
        <v>805.0</v>
      </c>
      <c r="G18240" s="1">
        <v>50.0</v>
      </c>
    </row>
    <row r="18241">
      <c r="A18241" s="1" t="s">
        <v>8</v>
      </c>
      <c r="B18241" s="2">
        <v>44790.0</v>
      </c>
      <c r="C18241" s="3">
        <v>0.7050347222222222</v>
      </c>
      <c r="D18241" s="1">
        <v>12.93916</v>
      </c>
      <c r="E18241" s="1">
        <v>80.129705</v>
      </c>
      <c r="F18241" s="1">
        <v>5339.0</v>
      </c>
      <c r="G18241" s="1">
        <v>49.0</v>
      </c>
    </row>
    <row r="18242">
      <c r="A18242" s="1" t="s">
        <v>7</v>
      </c>
      <c r="B18242" s="2">
        <v>44790.0</v>
      </c>
      <c r="C18242" s="3">
        <v>0.7050578703703704</v>
      </c>
      <c r="D18242" s="1">
        <v>12.76839</v>
      </c>
      <c r="E18242" s="1">
        <v>80.006478</v>
      </c>
      <c r="F18242" s="1">
        <v>2846.0</v>
      </c>
      <c r="G18242" s="1">
        <v>53.0</v>
      </c>
    </row>
    <row r="18243">
      <c r="A18243" s="1" t="s">
        <v>8</v>
      </c>
      <c r="B18243" s="2">
        <v>44790.0</v>
      </c>
      <c r="C18243" s="3">
        <v>0.7053819444444445</v>
      </c>
      <c r="D18243" s="1">
        <v>12.767076</v>
      </c>
      <c r="E18243" s="1">
        <v>80.005862</v>
      </c>
      <c r="F18243" s="1">
        <v>2846.0</v>
      </c>
      <c r="G18243" s="1">
        <v>57.0</v>
      </c>
    </row>
    <row r="18244">
      <c r="A18244" s="1" t="s">
        <v>8</v>
      </c>
      <c r="B18244" s="2">
        <v>44790.0</v>
      </c>
      <c r="C18244" s="3">
        <v>0.7055092592592592</v>
      </c>
      <c r="D18244" s="1">
        <v>12.76315</v>
      </c>
      <c r="E18244" s="1">
        <v>80.004205</v>
      </c>
      <c r="F18244" s="1">
        <v>2846.0</v>
      </c>
      <c r="G18244" s="1">
        <v>49.0</v>
      </c>
    </row>
    <row r="18245">
      <c r="A18245" s="1" t="s">
        <v>8</v>
      </c>
      <c r="B18245" s="2">
        <v>44790.0</v>
      </c>
      <c r="C18245" s="3">
        <v>0.705775462962963</v>
      </c>
      <c r="D18245" s="1">
        <v>12.946012</v>
      </c>
      <c r="E18245" s="1">
        <v>80.136065</v>
      </c>
      <c r="F18245" s="1">
        <v>805.0</v>
      </c>
      <c r="G18245" s="1">
        <v>54.0</v>
      </c>
    </row>
    <row r="18246">
      <c r="A18246" s="1" t="s">
        <v>8</v>
      </c>
      <c r="B18246" s="2">
        <v>44790.0</v>
      </c>
      <c r="C18246" s="3">
        <v>0.705775462962963</v>
      </c>
      <c r="D18246" s="1">
        <v>12.943552</v>
      </c>
      <c r="E18246" s="1">
        <v>80.134117</v>
      </c>
      <c r="F18246" s="1">
        <v>805.0</v>
      </c>
      <c r="G18246" s="1">
        <v>34.0</v>
      </c>
    </row>
    <row r="18247">
      <c r="A18247" s="1" t="s">
        <v>8</v>
      </c>
      <c r="B18247" s="2">
        <v>44790.0</v>
      </c>
      <c r="C18247" s="3">
        <v>0.7058101851851852</v>
      </c>
      <c r="D18247" s="1">
        <v>12.943371</v>
      </c>
      <c r="E18247" s="1">
        <v>80.133941</v>
      </c>
      <c r="F18247" s="1">
        <v>5339.0</v>
      </c>
      <c r="G18247" s="1">
        <v>34.0</v>
      </c>
    </row>
    <row r="18248">
      <c r="A18248" s="1" t="s">
        <v>7</v>
      </c>
      <c r="B18248" s="2">
        <v>44790.0</v>
      </c>
      <c r="C18248" s="3">
        <v>0.7059027777777778</v>
      </c>
      <c r="D18248" s="1">
        <v>12.923626</v>
      </c>
      <c r="E18248" s="1">
        <v>80.157411</v>
      </c>
      <c r="F18248" s="1">
        <v>3143.0</v>
      </c>
      <c r="G18248" s="1">
        <v>47.0</v>
      </c>
    </row>
    <row r="18249">
      <c r="A18249" s="1" t="s">
        <v>8</v>
      </c>
      <c r="B18249" s="2">
        <v>44790.0</v>
      </c>
      <c r="C18249" s="3">
        <v>0.705925925925926</v>
      </c>
      <c r="D18249" s="1">
        <v>12.92351</v>
      </c>
      <c r="E18249" s="1">
        <v>80.158701</v>
      </c>
      <c r="F18249" s="1">
        <v>3143.0</v>
      </c>
      <c r="G18249" s="1">
        <v>53.0</v>
      </c>
    </row>
    <row r="18250">
      <c r="A18250" s="1" t="s">
        <v>8</v>
      </c>
      <c r="B18250" s="2">
        <v>44790.0</v>
      </c>
      <c r="C18250" s="3">
        <v>0.7061805555555556</v>
      </c>
      <c r="D18250" s="1">
        <v>12.945821</v>
      </c>
      <c r="E18250" s="1">
        <v>80.135936</v>
      </c>
      <c r="F18250" s="1">
        <v>5339.0</v>
      </c>
      <c r="G18250" s="1">
        <v>42.0</v>
      </c>
    </row>
    <row r="18251">
      <c r="A18251" s="1" t="s">
        <v>8</v>
      </c>
      <c r="B18251" s="2">
        <v>44790.0</v>
      </c>
      <c r="C18251" s="3">
        <v>0.7064814814814815</v>
      </c>
      <c r="D18251" s="1">
        <v>12.948022</v>
      </c>
      <c r="E18251" s="1">
        <v>80.137543</v>
      </c>
      <c r="F18251" s="1">
        <v>5339.0</v>
      </c>
      <c r="G18251" s="1">
        <v>36.0</v>
      </c>
    </row>
    <row r="18252">
      <c r="A18252" s="1" t="s">
        <v>7</v>
      </c>
      <c r="B18252" s="2">
        <v>44790.0</v>
      </c>
      <c r="C18252" s="3">
        <v>0.7066666666666667</v>
      </c>
      <c r="D18252" s="1">
        <v>12.75664</v>
      </c>
      <c r="E18252" s="1">
        <v>80.00226</v>
      </c>
      <c r="F18252" s="1">
        <v>2846.0</v>
      </c>
      <c r="G18252" s="1">
        <v>51.0</v>
      </c>
    </row>
    <row r="18253">
      <c r="A18253" s="1" t="s">
        <v>7</v>
      </c>
      <c r="B18253" s="2">
        <v>44790.0</v>
      </c>
      <c r="C18253" s="3">
        <v>0.7070717592592592</v>
      </c>
      <c r="D18253" s="1">
        <v>12.751715</v>
      </c>
      <c r="E18253" s="1">
        <v>79.999181</v>
      </c>
      <c r="F18253" s="1">
        <v>2846.0</v>
      </c>
      <c r="G18253" s="1">
        <v>57.0</v>
      </c>
    </row>
    <row r="18254">
      <c r="A18254" s="1" t="s">
        <v>8</v>
      </c>
      <c r="B18254" s="2">
        <v>44790.0</v>
      </c>
      <c r="C18254" s="3">
        <v>0.7072222222222222</v>
      </c>
      <c r="D18254" s="1">
        <v>12.953525</v>
      </c>
      <c r="E18254" s="1">
        <v>80.141656</v>
      </c>
      <c r="F18254" s="1">
        <v>805.0</v>
      </c>
      <c r="G18254" s="1">
        <v>37.0</v>
      </c>
    </row>
    <row r="18255">
      <c r="A18255" s="1" t="s">
        <v>8</v>
      </c>
      <c r="B18255" s="2">
        <v>44790.0</v>
      </c>
      <c r="C18255" s="3">
        <v>0.7072453703703704</v>
      </c>
      <c r="D18255" s="1">
        <v>12.953525</v>
      </c>
      <c r="E18255" s="1">
        <v>80.141656</v>
      </c>
      <c r="F18255" s="1">
        <v>805.0</v>
      </c>
      <c r="G18255" s="1">
        <v>37.0</v>
      </c>
    </row>
    <row r="18256">
      <c r="A18256" s="1" t="s">
        <v>8</v>
      </c>
      <c r="B18256" s="2">
        <v>44790.0</v>
      </c>
      <c r="C18256" s="3">
        <v>0.7073379629629629</v>
      </c>
      <c r="D18256" s="1">
        <v>12.919817</v>
      </c>
      <c r="E18256" s="1">
        <v>80.171377</v>
      </c>
      <c r="F18256" s="1">
        <v>3143.0</v>
      </c>
      <c r="G18256" s="1">
        <v>35.0</v>
      </c>
    </row>
    <row r="18257">
      <c r="A18257" s="1" t="s">
        <v>8</v>
      </c>
      <c r="B18257" s="2">
        <v>44790.0</v>
      </c>
      <c r="C18257" s="3">
        <v>0.7074305555555556</v>
      </c>
      <c r="D18257" s="1">
        <v>12.955187</v>
      </c>
      <c r="E18257" s="1">
        <v>80.142474</v>
      </c>
      <c r="F18257" s="1">
        <v>805.0</v>
      </c>
      <c r="G18257" s="1">
        <v>31.0</v>
      </c>
    </row>
    <row r="18258">
      <c r="A18258" s="1" t="s">
        <v>8</v>
      </c>
      <c r="B18258" s="2">
        <v>44790.0</v>
      </c>
      <c r="C18258" s="3">
        <v>0.7075578703703703</v>
      </c>
      <c r="D18258" s="1">
        <v>12.919284</v>
      </c>
      <c r="E18258" s="1">
        <v>80.173236</v>
      </c>
      <c r="F18258" s="1">
        <v>3143.0</v>
      </c>
      <c r="G18258" s="1">
        <v>44.0</v>
      </c>
    </row>
    <row r="18259">
      <c r="A18259" s="1" t="s">
        <v>7</v>
      </c>
      <c r="B18259" s="2">
        <v>44790.0</v>
      </c>
      <c r="C18259" s="3">
        <v>0.7077430555555555</v>
      </c>
      <c r="D18259" s="1">
        <v>12.745888</v>
      </c>
      <c r="E18259" s="1">
        <v>79.994701</v>
      </c>
      <c r="F18259" s="1">
        <v>2846.0</v>
      </c>
      <c r="G18259" s="1">
        <v>58.0</v>
      </c>
    </row>
    <row r="18260">
      <c r="A18260" s="1" t="s">
        <v>7</v>
      </c>
      <c r="B18260" s="2">
        <v>44790.0</v>
      </c>
      <c r="C18260" s="3">
        <v>0.7078125</v>
      </c>
      <c r="D18260" s="1">
        <v>12.918751</v>
      </c>
      <c r="E18260" s="1">
        <v>80.175422</v>
      </c>
      <c r="F18260" s="1">
        <v>3143.0</v>
      </c>
      <c r="G18260" s="1">
        <v>47.0</v>
      </c>
    </row>
    <row r="18261">
      <c r="A18261" s="1" t="s">
        <v>8</v>
      </c>
      <c r="B18261" s="2">
        <v>44790.0</v>
      </c>
      <c r="C18261" s="3">
        <v>0.708113425925926</v>
      </c>
      <c r="D18261" s="1">
        <v>12.918294</v>
      </c>
      <c r="E18261" s="1">
        <v>80.177872</v>
      </c>
      <c r="F18261" s="1">
        <v>3143.0</v>
      </c>
      <c r="G18261" s="1">
        <v>34.0</v>
      </c>
    </row>
    <row r="18262">
      <c r="A18262" s="1" t="s">
        <v>9</v>
      </c>
      <c r="B18262" s="2">
        <v>44790.0</v>
      </c>
      <c r="C18262" s="3">
        <v>0.7085300925925926</v>
      </c>
      <c r="D18262" s="1">
        <v>12.91955</v>
      </c>
      <c r="E18262" s="1">
        <v>80.180943</v>
      </c>
      <c r="F18262" s="1">
        <v>3143.0</v>
      </c>
      <c r="G18262" s="1">
        <v>44.0</v>
      </c>
    </row>
    <row r="18263">
      <c r="A18263" s="1" t="s">
        <v>8</v>
      </c>
      <c r="B18263" s="2">
        <v>44790.0</v>
      </c>
      <c r="C18263" s="3">
        <v>0.708738425925926</v>
      </c>
      <c r="D18263" s="1">
        <v>12.919883</v>
      </c>
      <c r="E18263" s="1">
        <v>80.182442</v>
      </c>
      <c r="F18263" s="1">
        <v>3143.0</v>
      </c>
      <c r="G18263" s="1">
        <v>17.0</v>
      </c>
    </row>
    <row r="18264">
      <c r="A18264" s="1" t="s">
        <v>8</v>
      </c>
      <c r="B18264" s="2">
        <v>44790.0</v>
      </c>
      <c r="C18264" s="3">
        <v>0.7088194444444444</v>
      </c>
      <c r="D18264" s="1">
        <v>12.920007</v>
      </c>
      <c r="E18264" s="1">
        <v>80.183052</v>
      </c>
      <c r="F18264" s="1">
        <v>3143.0</v>
      </c>
      <c r="G18264" s="1">
        <v>34.0</v>
      </c>
    </row>
    <row r="18265">
      <c r="A18265" s="1" t="s">
        <v>8</v>
      </c>
      <c r="B18265" s="2">
        <v>44790.0</v>
      </c>
      <c r="C18265" s="3">
        <v>0.7089467592592592</v>
      </c>
      <c r="D18265" s="1">
        <v>12.958742</v>
      </c>
      <c r="E18265" s="1">
        <v>80.144313</v>
      </c>
      <c r="F18265" s="1">
        <v>805.0</v>
      </c>
      <c r="G18265" s="1">
        <v>30.0</v>
      </c>
    </row>
    <row r="18266">
      <c r="A18266" s="1" t="s">
        <v>7</v>
      </c>
      <c r="B18266" s="2">
        <v>44790.0</v>
      </c>
      <c r="C18266" s="3">
        <v>0.7090277777777778</v>
      </c>
      <c r="D18266" s="1">
        <v>12.739638</v>
      </c>
      <c r="E18266" s="1">
        <v>79.989665</v>
      </c>
      <c r="F18266" s="1">
        <v>2846.0</v>
      </c>
      <c r="G18266" s="1">
        <v>54.0</v>
      </c>
    </row>
    <row r="18267">
      <c r="A18267" s="1" t="s">
        <v>8</v>
      </c>
      <c r="B18267" s="2">
        <v>44790.0</v>
      </c>
      <c r="C18267" s="3">
        <v>0.7103819444444445</v>
      </c>
      <c r="D18267" s="1">
        <v>12.966577</v>
      </c>
      <c r="E18267" s="1">
        <v>80.148709</v>
      </c>
      <c r="F18267" s="1">
        <v>805.0</v>
      </c>
      <c r="G18267" s="1">
        <v>53.0</v>
      </c>
    </row>
    <row r="18268">
      <c r="A18268" s="1" t="s">
        <v>10</v>
      </c>
      <c r="B18268" s="2">
        <v>44790.0</v>
      </c>
      <c r="C18268" s="3">
        <v>0.7103935185185185</v>
      </c>
      <c r="D18268" s="1">
        <v>12.725768</v>
      </c>
      <c r="E18268" s="1">
        <v>79.982395</v>
      </c>
      <c r="F18268" s="1">
        <v>2846.0</v>
      </c>
      <c r="G18268" s="1">
        <v>54.0</v>
      </c>
    </row>
    <row r="18269">
      <c r="A18269" s="1" t="s">
        <v>7</v>
      </c>
      <c r="B18269" s="2">
        <v>44790.0</v>
      </c>
      <c r="C18269" s="3">
        <v>0.7104976851851852</v>
      </c>
      <c r="D18269" s="1">
        <v>12.967899</v>
      </c>
      <c r="E18269" s="1">
        <v>80.149335</v>
      </c>
      <c r="F18269" s="1">
        <v>805.0</v>
      </c>
      <c r="G18269" s="1">
        <v>61.0</v>
      </c>
    </row>
    <row r="18270">
      <c r="A18270" s="1" t="s">
        <v>8</v>
      </c>
      <c r="B18270" s="2">
        <v>44790.0</v>
      </c>
      <c r="C18270" s="3">
        <v>0.7105902777777777</v>
      </c>
      <c r="D18270" s="1">
        <v>12.927105</v>
      </c>
      <c r="E18270" s="1">
        <v>80.182348</v>
      </c>
      <c r="F18270" s="1">
        <v>3143.0</v>
      </c>
      <c r="G18270" s="1">
        <v>31.0</v>
      </c>
    </row>
    <row r="18271">
      <c r="A18271" s="1" t="s">
        <v>7</v>
      </c>
      <c r="B18271" s="2">
        <v>44790.0</v>
      </c>
      <c r="C18271" s="3">
        <v>0.711087962962963</v>
      </c>
      <c r="D18271" s="1">
        <v>12.97368</v>
      </c>
      <c r="E18271" s="1">
        <v>80.153588</v>
      </c>
      <c r="F18271" s="1">
        <v>805.0</v>
      </c>
      <c r="G18271" s="1">
        <v>58.0</v>
      </c>
    </row>
    <row r="18272">
      <c r="A18272" s="1" t="s">
        <v>8</v>
      </c>
      <c r="B18272" s="2">
        <v>44790.0</v>
      </c>
      <c r="C18272" s="3">
        <v>0.7114814814814815</v>
      </c>
      <c r="D18272" s="1">
        <v>12.961738</v>
      </c>
      <c r="E18272" s="1">
        <v>80.146064</v>
      </c>
      <c r="F18272" s="1">
        <v>5339.0</v>
      </c>
      <c r="G18272" s="1">
        <v>34.0</v>
      </c>
    </row>
    <row r="18273">
      <c r="A18273" s="1" t="s">
        <v>8</v>
      </c>
      <c r="B18273" s="2">
        <v>44790.0</v>
      </c>
      <c r="C18273" s="3">
        <v>0.7117939814814814</v>
      </c>
      <c r="D18273" s="1">
        <v>12.963293</v>
      </c>
      <c r="E18273" s="1">
        <v>80.146937</v>
      </c>
      <c r="F18273" s="1">
        <v>5339.0</v>
      </c>
      <c r="G18273" s="1">
        <v>43.0</v>
      </c>
    </row>
    <row r="18274">
      <c r="A18274" s="1" t="s">
        <v>7</v>
      </c>
      <c r="B18274" s="2">
        <v>44790.0</v>
      </c>
      <c r="C18274" s="3">
        <v>0.7118055555555556</v>
      </c>
      <c r="D18274" s="1">
        <v>12.979222</v>
      </c>
      <c r="E18274" s="1">
        <v>80.161639</v>
      </c>
      <c r="F18274" s="1">
        <v>805.0</v>
      </c>
      <c r="G18274" s="1">
        <v>57.0</v>
      </c>
    </row>
    <row r="18275">
      <c r="A18275" s="1" t="s">
        <v>8</v>
      </c>
      <c r="B18275" s="2">
        <v>44790.0</v>
      </c>
      <c r="C18275" s="3">
        <v>0.711875</v>
      </c>
      <c r="D18275" s="1">
        <v>12.724104</v>
      </c>
      <c r="E18275" s="1">
        <v>79.982172</v>
      </c>
      <c r="F18275" s="1">
        <v>2846.0</v>
      </c>
      <c r="G18275" s="1">
        <v>0.0</v>
      </c>
    </row>
    <row r="18276">
      <c r="A18276" s="1" t="s">
        <v>7</v>
      </c>
      <c r="B18276" s="2">
        <v>44790.0</v>
      </c>
      <c r="C18276" s="3">
        <v>0.7121412037037037</v>
      </c>
      <c r="D18276" s="1">
        <v>12.980215</v>
      </c>
      <c r="E18276" s="1">
        <v>80.163704</v>
      </c>
      <c r="F18276" s="1">
        <v>805.0</v>
      </c>
      <c r="G18276" s="1">
        <v>58.0</v>
      </c>
    </row>
    <row r="18277">
      <c r="A18277" s="1" t="s">
        <v>9</v>
      </c>
      <c r="B18277" s="2">
        <v>44790.0</v>
      </c>
      <c r="C18277" s="3">
        <v>0.7122685185185185</v>
      </c>
      <c r="D18277" s="1">
        <v>12.980215</v>
      </c>
      <c r="E18277" s="1">
        <v>80.163704</v>
      </c>
      <c r="F18277" s="1">
        <v>805.0</v>
      </c>
      <c r="G18277" s="1">
        <v>58.0</v>
      </c>
    </row>
    <row r="18278">
      <c r="A18278" s="1" t="s">
        <v>7</v>
      </c>
      <c r="B18278" s="2">
        <v>44790.0</v>
      </c>
      <c r="C18278" s="3">
        <v>0.7126041666666667</v>
      </c>
      <c r="D18278" s="1">
        <v>12.983239</v>
      </c>
      <c r="E18278" s="1">
        <v>80.169571</v>
      </c>
      <c r="F18278" s="1">
        <v>805.0</v>
      </c>
      <c r="G18278" s="1">
        <v>59.0</v>
      </c>
    </row>
    <row r="18279">
      <c r="A18279" s="1" t="s">
        <v>7</v>
      </c>
      <c r="B18279" s="2">
        <v>44790.0</v>
      </c>
      <c r="C18279" s="3">
        <v>0.7128472222222222</v>
      </c>
      <c r="D18279" s="1">
        <v>12.702562</v>
      </c>
      <c r="E18279" s="1">
        <v>79.970756</v>
      </c>
      <c r="F18279" s="1">
        <v>2846.0</v>
      </c>
      <c r="G18279" s="1">
        <v>57.0</v>
      </c>
    </row>
    <row r="18280">
      <c r="A18280" s="1" t="s">
        <v>8</v>
      </c>
      <c r="B18280" s="2">
        <v>44790.0</v>
      </c>
      <c r="C18280" s="3">
        <v>0.7129050925925926</v>
      </c>
      <c r="D18280" s="1">
        <v>12.974517</v>
      </c>
      <c r="E18280" s="1">
        <v>80.154827</v>
      </c>
      <c r="F18280" s="1">
        <v>5339.0</v>
      </c>
      <c r="G18280" s="1">
        <v>64.0</v>
      </c>
    </row>
    <row r="18281">
      <c r="A18281" s="1" t="s">
        <v>8</v>
      </c>
      <c r="B18281" s="2">
        <v>44790.0</v>
      </c>
      <c r="C18281" s="3">
        <v>0.7129861111111111</v>
      </c>
      <c r="D18281" s="1">
        <v>12.975302</v>
      </c>
      <c r="E18281" s="1">
        <v>80.155891</v>
      </c>
      <c r="F18281" s="1">
        <v>5339.0</v>
      </c>
      <c r="G18281" s="1">
        <v>43.0</v>
      </c>
    </row>
    <row r="18282">
      <c r="A18282" s="1" t="s">
        <v>8</v>
      </c>
      <c r="B18282" s="2">
        <v>44790.0</v>
      </c>
      <c r="C18282" s="3">
        <v>0.7132986111111111</v>
      </c>
      <c r="D18282" s="1">
        <v>12.987286</v>
      </c>
      <c r="E18282" s="1">
        <v>80.175821</v>
      </c>
      <c r="F18282" s="1">
        <v>805.0</v>
      </c>
      <c r="G18282" s="1">
        <v>39.0</v>
      </c>
    </row>
    <row r="18283">
      <c r="A18283" s="1" t="s">
        <v>8</v>
      </c>
      <c r="B18283" s="2">
        <v>44790.0</v>
      </c>
      <c r="C18283" s="3">
        <v>0.7133912037037037</v>
      </c>
      <c r="D18283" s="1">
        <v>12.987286</v>
      </c>
      <c r="E18283" s="1">
        <v>80.175821</v>
      </c>
      <c r="F18283" s="1">
        <v>805.0</v>
      </c>
      <c r="G18283" s="1">
        <v>39.0</v>
      </c>
    </row>
    <row r="18284">
      <c r="A18284" s="1" t="s">
        <v>7</v>
      </c>
      <c r="B18284" s="2">
        <v>44790.0</v>
      </c>
      <c r="C18284" s="3">
        <v>0.7134837962962963</v>
      </c>
      <c r="D18284" s="1">
        <v>12.978272</v>
      </c>
      <c r="E18284" s="1">
        <v>80.160318</v>
      </c>
      <c r="F18284" s="1">
        <v>5339.0</v>
      </c>
      <c r="G18284" s="1">
        <v>56.0</v>
      </c>
    </row>
    <row r="18285">
      <c r="A18285" s="1" t="s">
        <v>8</v>
      </c>
      <c r="B18285" s="2">
        <v>44790.0</v>
      </c>
      <c r="C18285" s="3">
        <v>0.7135416666666666</v>
      </c>
      <c r="D18285" s="1">
        <v>12.988036</v>
      </c>
      <c r="E18285" s="1">
        <v>80.176853</v>
      </c>
      <c r="F18285" s="1">
        <v>805.0</v>
      </c>
      <c r="G18285" s="1">
        <v>37.0</v>
      </c>
    </row>
    <row r="18286">
      <c r="A18286" s="1" t="s">
        <v>7</v>
      </c>
      <c r="B18286" s="2">
        <v>44790.0</v>
      </c>
      <c r="C18286" s="3">
        <v>0.7136458333333333</v>
      </c>
      <c r="D18286" s="1">
        <v>12.97912</v>
      </c>
      <c r="E18286" s="1">
        <v>80.16151</v>
      </c>
      <c r="F18286" s="1">
        <v>5339.0</v>
      </c>
      <c r="G18286" s="1">
        <v>57.0</v>
      </c>
    </row>
    <row r="18287">
      <c r="A18287" s="1" t="s">
        <v>7</v>
      </c>
      <c r="B18287" s="2">
        <v>44790.0</v>
      </c>
      <c r="C18287" s="3">
        <v>0.7142939814814815</v>
      </c>
      <c r="D18287" s="1">
        <v>12.990713</v>
      </c>
      <c r="E18287" s="1">
        <v>80.18031</v>
      </c>
      <c r="F18287" s="1">
        <v>805.0</v>
      </c>
      <c r="G18287" s="1">
        <v>56.0</v>
      </c>
    </row>
    <row r="18288">
      <c r="A18288" s="1" t="s">
        <v>7</v>
      </c>
      <c r="B18288" s="2">
        <v>44790.0</v>
      </c>
      <c r="C18288" s="3">
        <v>0.7143634259259259</v>
      </c>
      <c r="D18288" s="1">
        <v>12.983754</v>
      </c>
      <c r="E18288" s="1">
        <v>80.170472</v>
      </c>
      <c r="F18288" s="1">
        <v>5339.0</v>
      </c>
      <c r="G18288" s="1">
        <v>60.0</v>
      </c>
    </row>
    <row r="18289">
      <c r="A18289" s="1" t="s">
        <v>8</v>
      </c>
      <c r="B18289" s="2">
        <v>44790.0</v>
      </c>
      <c r="C18289" s="3">
        <v>0.7145601851851852</v>
      </c>
      <c r="D18289" s="1">
        <v>12.992503</v>
      </c>
      <c r="E18289" s="1">
        <v>80.182704</v>
      </c>
      <c r="F18289" s="1">
        <v>805.0</v>
      </c>
      <c r="G18289" s="1">
        <v>57.0</v>
      </c>
    </row>
    <row r="18290">
      <c r="A18290" s="1" t="s">
        <v>8</v>
      </c>
      <c r="B18290" s="2">
        <v>44790.0</v>
      </c>
      <c r="C18290" s="3">
        <v>0.7145949074074074</v>
      </c>
      <c r="D18290" s="1">
        <v>12.985268</v>
      </c>
      <c r="E18290" s="1">
        <v>80.172917</v>
      </c>
      <c r="F18290" s="1">
        <v>5339.0</v>
      </c>
      <c r="G18290" s="1">
        <v>38.0</v>
      </c>
    </row>
    <row r="18291">
      <c r="A18291" s="1" t="s">
        <v>8</v>
      </c>
      <c r="B18291" s="2">
        <v>44790.0</v>
      </c>
      <c r="C18291" s="3">
        <v>0.7149189814814815</v>
      </c>
      <c r="D18291" s="1">
        <v>12.993774</v>
      </c>
      <c r="E18291" s="1">
        <v>80.184886</v>
      </c>
      <c r="F18291" s="1">
        <v>805.0</v>
      </c>
      <c r="G18291" s="1">
        <v>24.0</v>
      </c>
    </row>
    <row r="18292">
      <c r="A18292" s="1" t="s">
        <v>8</v>
      </c>
      <c r="B18292" s="2">
        <v>44790.0</v>
      </c>
      <c r="C18292" s="3">
        <v>0.7149421296296297</v>
      </c>
      <c r="D18292" s="1">
        <v>12.99405</v>
      </c>
      <c r="E18292" s="1">
        <v>80.18541</v>
      </c>
      <c r="F18292" s="1">
        <v>805.0</v>
      </c>
      <c r="G18292" s="1">
        <v>27.0</v>
      </c>
    </row>
    <row r="18293">
      <c r="A18293" s="1" t="s">
        <v>8</v>
      </c>
      <c r="B18293" s="2">
        <v>44790.0</v>
      </c>
      <c r="C18293" s="3">
        <v>0.7150462962962963</v>
      </c>
      <c r="D18293" s="1">
        <v>12.99405</v>
      </c>
      <c r="E18293" s="1">
        <v>80.18541</v>
      </c>
      <c r="F18293" s="1">
        <v>805.0</v>
      </c>
      <c r="G18293" s="1">
        <v>27.0</v>
      </c>
    </row>
    <row r="18294">
      <c r="A18294" s="1" t="s">
        <v>8</v>
      </c>
      <c r="B18294" s="2">
        <v>44790.0</v>
      </c>
      <c r="C18294" s="3">
        <v>0.7150810185185185</v>
      </c>
      <c r="D18294" s="1">
        <v>12.994514</v>
      </c>
      <c r="E18294" s="1">
        <v>80.186241</v>
      </c>
      <c r="F18294" s="1">
        <v>805.0</v>
      </c>
      <c r="G18294" s="1">
        <v>43.0</v>
      </c>
    </row>
    <row r="18295">
      <c r="A18295" s="1" t="s">
        <v>8</v>
      </c>
      <c r="B18295" s="2">
        <v>44790.0</v>
      </c>
      <c r="C18295" s="3">
        <v>0.7152777777777778</v>
      </c>
      <c r="D18295" s="1">
        <v>12.995096</v>
      </c>
      <c r="E18295" s="1">
        <v>80.187328</v>
      </c>
      <c r="F18295" s="1">
        <v>805.0</v>
      </c>
      <c r="G18295" s="1">
        <v>47.0</v>
      </c>
    </row>
    <row r="18296">
      <c r="A18296" s="1" t="s">
        <v>10</v>
      </c>
      <c r="B18296" s="2">
        <v>44790.0</v>
      </c>
      <c r="C18296" s="3">
        <v>0.7152893518518518</v>
      </c>
      <c r="D18296" s="1">
        <v>12.943078</v>
      </c>
      <c r="E18296" s="1">
        <v>80.182869</v>
      </c>
      <c r="F18296" s="1">
        <v>3143.0</v>
      </c>
      <c r="G18296" s="1">
        <v>39.0</v>
      </c>
    </row>
    <row r="18297">
      <c r="A18297" s="1" t="s">
        <v>10</v>
      </c>
      <c r="B18297" s="2">
        <v>44790.0</v>
      </c>
      <c r="C18297" s="3">
        <v>0.7153935185185185</v>
      </c>
      <c r="D18297" s="1">
        <v>12.94385</v>
      </c>
      <c r="E18297" s="1">
        <v>80.182918</v>
      </c>
      <c r="F18297" s="1">
        <v>3143.0</v>
      </c>
      <c r="G18297" s="1">
        <v>23.0</v>
      </c>
    </row>
    <row r="18298">
      <c r="A18298" s="1" t="s">
        <v>8</v>
      </c>
      <c r="B18298" s="2">
        <v>44790.0</v>
      </c>
      <c r="C18298" s="3">
        <v>0.7154976851851852</v>
      </c>
      <c r="D18298" s="1">
        <v>12.995792</v>
      </c>
      <c r="E18298" s="1">
        <v>80.188697</v>
      </c>
      <c r="F18298" s="1">
        <v>805.0</v>
      </c>
      <c r="G18298" s="1">
        <v>18.0</v>
      </c>
    </row>
    <row r="18299">
      <c r="A18299" s="1" t="s">
        <v>8</v>
      </c>
      <c r="B18299" s="2">
        <v>44790.0</v>
      </c>
      <c r="C18299" s="3">
        <v>0.7155092592592592</v>
      </c>
      <c r="D18299" s="1">
        <v>12.995792</v>
      </c>
      <c r="E18299" s="1">
        <v>80.188697</v>
      </c>
      <c r="F18299" s="1">
        <v>805.0</v>
      </c>
      <c r="G18299" s="1">
        <v>18.0</v>
      </c>
    </row>
    <row r="18300">
      <c r="A18300" s="1" t="s">
        <v>8</v>
      </c>
      <c r="B18300" s="2">
        <v>44790.0</v>
      </c>
      <c r="C18300" s="3">
        <v>0.7155208333333334</v>
      </c>
      <c r="D18300" s="1">
        <v>12.995792</v>
      </c>
      <c r="E18300" s="1">
        <v>80.188697</v>
      </c>
      <c r="F18300" s="1">
        <v>805.0</v>
      </c>
      <c r="G18300" s="1">
        <v>18.0</v>
      </c>
    </row>
    <row r="18301">
      <c r="A18301" s="1" t="s">
        <v>8</v>
      </c>
      <c r="B18301" s="2">
        <v>44790.0</v>
      </c>
      <c r="C18301" s="3">
        <v>0.7155208333333334</v>
      </c>
      <c r="D18301" s="1">
        <v>12.995792</v>
      </c>
      <c r="E18301" s="1">
        <v>80.188697</v>
      </c>
      <c r="F18301" s="1">
        <v>805.0</v>
      </c>
      <c r="G18301" s="1">
        <v>18.0</v>
      </c>
    </row>
    <row r="18302">
      <c r="A18302" s="1" t="s">
        <v>8</v>
      </c>
      <c r="B18302" s="2">
        <v>44790.0</v>
      </c>
      <c r="C18302" s="3">
        <v>0.7155671296296297</v>
      </c>
      <c r="D18302" s="1">
        <v>12.996105</v>
      </c>
      <c r="E18302" s="1">
        <v>80.189164</v>
      </c>
      <c r="F18302" s="1">
        <v>805.0</v>
      </c>
      <c r="G18302" s="1">
        <v>27.0</v>
      </c>
    </row>
    <row r="18303">
      <c r="A18303" s="1" t="s">
        <v>8</v>
      </c>
      <c r="B18303" s="2">
        <v>44790.0</v>
      </c>
      <c r="C18303" s="3">
        <v>0.7156481481481481</v>
      </c>
      <c r="D18303" s="1">
        <v>12.996572</v>
      </c>
      <c r="E18303" s="1">
        <v>80.189768</v>
      </c>
      <c r="F18303" s="1">
        <v>805.0</v>
      </c>
      <c r="G18303" s="1">
        <v>32.0</v>
      </c>
    </row>
    <row r="18304">
      <c r="A18304" s="1" t="s">
        <v>8</v>
      </c>
      <c r="B18304" s="2">
        <v>44790.0</v>
      </c>
      <c r="C18304" s="3">
        <v>0.7157291666666666</v>
      </c>
      <c r="D18304" s="1">
        <v>12.996572</v>
      </c>
      <c r="E18304" s="1">
        <v>80.189768</v>
      </c>
      <c r="F18304" s="1">
        <v>805.0</v>
      </c>
      <c r="G18304" s="1">
        <v>32.0</v>
      </c>
    </row>
    <row r="18305">
      <c r="A18305" s="1" t="s">
        <v>8</v>
      </c>
      <c r="B18305" s="2">
        <v>44790.0</v>
      </c>
      <c r="C18305" s="3">
        <v>0.7158912037037037</v>
      </c>
      <c r="D18305" s="1">
        <v>12.997391</v>
      </c>
      <c r="E18305" s="1">
        <v>80.190736</v>
      </c>
      <c r="F18305" s="1">
        <v>805.0</v>
      </c>
      <c r="G18305" s="1">
        <v>42.0</v>
      </c>
    </row>
    <row r="18306">
      <c r="A18306" s="1" t="s">
        <v>8</v>
      </c>
      <c r="B18306" s="2">
        <v>44790.0</v>
      </c>
      <c r="C18306" s="3">
        <v>0.715925925925926</v>
      </c>
      <c r="D18306" s="1">
        <v>12.997391</v>
      </c>
      <c r="E18306" s="1">
        <v>80.190736</v>
      </c>
      <c r="F18306" s="1">
        <v>805.0</v>
      </c>
      <c r="G18306" s="1">
        <v>42.0</v>
      </c>
    </row>
    <row r="18307">
      <c r="A18307" s="1" t="s">
        <v>8</v>
      </c>
      <c r="B18307" s="2">
        <v>44790.0</v>
      </c>
      <c r="C18307" s="3">
        <v>0.7167013888888889</v>
      </c>
      <c r="D18307" s="1">
        <v>13.001364</v>
      </c>
      <c r="E18307" s="1">
        <v>80.195733</v>
      </c>
      <c r="F18307" s="1">
        <v>805.0</v>
      </c>
      <c r="G18307" s="1">
        <v>34.0</v>
      </c>
    </row>
    <row r="18308">
      <c r="A18308" s="1" t="s">
        <v>8</v>
      </c>
      <c r="B18308" s="2">
        <v>44790.0</v>
      </c>
      <c r="C18308" s="3">
        <v>0.716875</v>
      </c>
      <c r="D18308" s="1">
        <v>13.002078</v>
      </c>
      <c r="E18308" s="1">
        <v>80.197693</v>
      </c>
      <c r="F18308" s="1">
        <v>805.0</v>
      </c>
      <c r="G18308" s="1">
        <v>50.0</v>
      </c>
    </row>
    <row r="18309">
      <c r="A18309" s="1" t="s">
        <v>8</v>
      </c>
      <c r="B18309" s="2">
        <v>44790.0</v>
      </c>
      <c r="C18309" s="3">
        <v>0.7171180555555555</v>
      </c>
      <c r="D18309" s="1">
        <v>13.002003</v>
      </c>
      <c r="E18309" s="1">
        <v>80.200001</v>
      </c>
      <c r="F18309" s="1">
        <v>805.0</v>
      </c>
      <c r="G18309" s="1">
        <v>45.0</v>
      </c>
    </row>
    <row r="18310">
      <c r="A18310" s="1" t="s">
        <v>10</v>
      </c>
      <c r="B18310" s="2">
        <v>44790.0</v>
      </c>
      <c r="C18310" s="3">
        <v>0.7171527777777778</v>
      </c>
      <c r="D18310" s="1">
        <v>12.951646</v>
      </c>
      <c r="E18310" s="1">
        <v>80.18604</v>
      </c>
      <c r="F18310" s="1">
        <v>3143.0</v>
      </c>
      <c r="G18310" s="1">
        <v>24.0</v>
      </c>
    </row>
    <row r="18311">
      <c r="A18311" s="1" t="s">
        <v>8</v>
      </c>
      <c r="B18311" s="2">
        <v>44790.0</v>
      </c>
      <c r="C18311" s="3">
        <v>0.7172337962962962</v>
      </c>
      <c r="D18311" s="1">
        <v>13.002869</v>
      </c>
      <c r="E18311" s="1">
        <v>80.200648</v>
      </c>
      <c r="F18311" s="1">
        <v>805.0</v>
      </c>
      <c r="G18311" s="1">
        <v>34.0</v>
      </c>
    </row>
    <row r="18312">
      <c r="A18312" s="1" t="s">
        <v>10</v>
      </c>
      <c r="B18312" s="2">
        <v>44790.0</v>
      </c>
      <c r="C18312" s="3">
        <v>0.7173263888888889</v>
      </c>
      <c r="D18312" s="1">
        <v>12.953001</v>
      </c>
      <c r="E18312" s="1">
        <v>80.186414</v>
      </c>
      <c r="F18312" s="1">
        <v>3143.0</v>
      </c>
      <c r="G18312" s="1">
        <v>31.0</v>
      </c>
    </row>
    <row r="18313">
      <c r="A18313" s="1" t="s">
        <v>7</v>
      </c>
      <c r="B18313" s="2">
        <v>44790.0</v>
      </c>
      <c r="C18313" s="3">
        <v>0.7173726851851852</v>
      </c>
      <c r="D18313" s="1">
        <v>12.995355</v>
      </c>
      <c r="E18313" s="1">
        <v>80.188098</v>
      </c>
      <c r="F18313" s="1">
        <v>5339.0</v>
      </c>
      <c r="G18313" s="1">
        <v>53.0</v>
      </c>
    </row>
    <row r="18314">
      <c r="A18314" s="1" t="s">
        <v>8</v>
      </c>
      <c r="B18314" s="2">
        <v>44790.0</v>
      </c>
      <c r="C18314" s="3">
        <v>0.7173958333333333</v>
      </c>
      <c r="D18314" s="1">
        <v>13.003802</v>
      </c>
      <c r="E18314" s="1">
        <v>80.200921</v>
      </c>
      <c r="F18314" s="1">
        <v>805.0</v>
      </c>
      <c r="G18314" s="1">
        <v>41.0</v>
      </c>
    </row>
    <row r="18315">
      <c r="A18315" s="1" t="s">
        <v>8</v>
      </c>
      <c r="B18315" s="2">
        <v>44790.0</v>
      </c>
      <c r="C18315" s="3">
        <v>0.7174768518518518</v>
      </c>
      <c r="D18315" s="1">
        <v>13.004765</v>
      </c>
      <c r="E18315" s="1">
        <v>80.201217</v>
      </c>
      <c r="F18315" s="1">
        <v>805.0</v>
      </c>
      <c r="G18315" s="1">
        <v>39.0</v>
      </c>
    </row>
    <row r="18316">
      <c r="A18316" s="1" t="s">
        <v>8</v>
      </c>
      <c r="B18316" s="2">
        <v>44790.0</v>
      </c>
      <c r="C18316" s="3">
        <v>0.7177546296296297</v>
      </c>
      <c r="D18316" s="1">
        <v>13.006991</v>
      </c>
      <c r="E18316" s="1">
        <v>80.203461</v>
      </c>
      <c r="F18316" s="1">
        <v>805.0</v>
      </c>
      <c r="G18316" s="1">
        <v>0.0</v>
      </c>
    </row>
    <row r="18317">
      <c r="A18317" s="1" t="s">
        <v>8</v>
      </c>
      <c r="B18317" s="2">
        <v>44790.0</v>
      </c>
      <c r="C18317" s="3">
        <v>0.7178356481481482</v>
      </c>
      <c r="D18317" s="1">
        <v>13.006991</v>
      </c>
      <c r="E18317" s="1">
        <v>80.203461</v>
      </c>
      <c r="F18317" s="1">
        <v>805.0</v>
      </c>
      <c r="G18317" s="1">
        <v>0.0</v>
      </c>
    </row>
    <row r="18318">
      <c r="A18318" s="1" t="s">
        <v>8</v>
      </c>
      <c r="B18318" s="2">
        <v>44790.0</v>
      </c>
      <c r="C18318" s="3">
        <v>0.7178472222222222</v>
      </c>
      <c r="D18318" s="1">
        <v>13.006991</v>
      </c>
      <c r="E18318" s="1">
        <v>80.203461</v>
      </c>
      <c r="F18318" s="1">
        <v>805.0</v>
      </c>
      <c r="G18318" s="1">
        <v>0.0</v>
      </c>
    </row>
    <row r="18319">
      <c r="A18319" s="1" t="s">
        <v>8</v>
      </c>
      <c r="B18319" s="2">
        <v>44790.0</v>
      </c>
      <c r="C18319" s="3">
        <v>0.7178587962962963</v>
      </c>
      <c r="D18319" s="1">
        <v>13.006991</v>
      </c>
      <c r="E18319" s="1">
        <v>80.203461</v>
      </c>
      <c r="F18319" s="1">
        <v>805.0</v>
      </c>
      <c r="G18319" s="1">
        <v>0.0</v>
      </c>
    </row>
    <row r="18320">
      <c r="A18320" s="1" t="s">
        <v>8</v>
      </c>
      <c r="B18320" s="2">
        <v>44790.0</v>
      </c>
      <c r="C18320" s="3">
        <v>0.7178819444444444</v>
      </c>
      <c r="D18320" s="1">
        <v>13.007921</v>
      </c>
      <c r="E18320" s="1">
        <v>80.203686</v>
      </c>
      <c r="F18320" s="1">
        <v>805.0</v>
      </c>
      <c r="G18320" s="1">
        <v>28.0</v>
      </c>
    </row>
    <row r="18321">
      <c r="A18321" s="1" t="s">
        <v>7</v>
      </c>
      <c r="B18321" s="2">
        <v>44790.0</v>
      </c>
      <c r="C18321" s="3">
        <v>0.7181944444444445</v>
      </c>
      <c r="D18321" s="1">
        <v>13.007773</v>
      </c>
      <c r="E18321" s="1">
        <v>80.20287</v>
      </c>
      <c r="F18321" s="1">
        <v>805.0</v>
      </c>
      <c r="G18321" s="1">
        <v>38.0</v>
      </c>
    </row>
    <row r="18322">
      <c r="A18322" s="1" t="s">
        <v>8</v>
      </c>
      <c r="B18322" s="2">
        <v>44790.0</v>
      </c>
      <c r="C18322" s="3">
        <v>0.7185532407407408</v>
      </c>
      <c r="D18322" s="1">
        <v>13.00784</v>
      </c>
      <c r="E18322" s="1">
        <v>80.206968</v>
      </c>
      <c r="F18322" s="1">
        <v>805.0</v>
      </c>
      <c r="G18322" s="1">
        <v>55.0</v>
      </c>
    </row>
    <row r="18323">
      <c r="A18323" s="1" t="s">
        <v>7</v>
      </c>
      <c r="B18323" s="2">
        <v>44790.0</v>
      </c>
      <c r="C18323" s="3">
        <v>0.71875</v>
      </c>
      <c r="D18323" s="1">
        <v>13.008179</v>
      </c>
      <c r="E18323" s="1">
        <v>80.209181</v>
      </c>
      <c r="F18323" s="1">
        <v>805.0</v>
      </c>
      <c r="G18323" s="1">
        <v>43.0</v>
      </c>
    </row>
    <row r="18324">
      <c r="A18324" s="1" t="s">
        <v>7</v>
      </c>
      <c r="B18324" s="2">
        <v>44790.0</v>
      </c>
      <c r="C18324" s="3">
        <v>0.7188078703703704</v>
      </c>
      <c r="D18324" s="1">
        <v>13.008559</v>
      </c>
      <c r="E18324" s="1">
        <v>80.210388</v>
      </c>
      <c r="F18324" s="1">
        <v>805.0</v>
      </c>
      <c r="G18324" s="1">
        <v>55.0</v>
      </c>
    </row>
    <row r="18325">
      <c r="A18325" s="1" t="s">
        <v>8</v>
      </c>
      <c r="B18325" s="2">
        <v>44790.0</v>
      </c>
      <c r="C18325" s="3">
        <v>0.7188773148148148</v>
      </c>
      <c r="D18325" s="1">
        <v>13.008559</v>
      </c>
      <c r="E18325" s="1">
        <v>80.210388</v>
      </c>
      <c r="F18325" s="1">
        <v>805.0</v>
      </c>
      <c r="G18325" s="1">
        <v>55.0</v>
      </c>
    </row>
    <row r="18326">
      <c r="A18326" s="1" t="s">
        <v>8</v>
      </c>
      <c r="B18326" s="2">
        <v>44790.0</v>
      </c>
      <c r="C18326" s="3">
        <v>0.7191666666666666</v>
      </c>
      <c r="D18326" s="1">
        <v>13.009832</v>
      </c>
      <c r="E18326" s="1">
        <v>80.213885</v>
      </c>
      <c r="F18326" s="1">
        <v>805.0</v>
      </c>
      <c r="G18326" s="1">
        <v>47.0</v>
      </c>
    </row>
    <row r="18327">
      <c r="A18327" s="1" t="s">
        <v>8</v>
      </c>
      <c r="B18327" s="2">
        <v>44790.0</v>
      </c>
      <c r="C18327" s="3">
        <v>0.7195717592592593</v>
      </c>
      <c r="D18327" s="1">
        <v>13.00473</v>
      </c>
      <c r="E18327" s="1">
        <v>80.201202</v>
      </c>
      <c r="F18327" s="1">
        <v>5339.0</v>
      </c>
      <c r="G18327" s="1">
        <v>47.0</v>
      </c>
    </row>
    <row r="18328">
      <c r="A18328" s="1" t="s">
        <v>8</v>
      </c>
      <c r="B18328" s="2">
        <v>44790.0</v>
      </c>
      <c r="C18328" s="3">
        <v>0.7197222222222223</v>
      </c>
      <c r="D18328" s="1">
        <v>13.011111</v>
      </c>
      <c r="E18328" s="1">
        <v>80.217518</v>
      </c>
      <c r="F18328" s="1">
        <v>805.0</v>
      </c>
      <c r="G18328" s="1">
        <v>38.0</v>
      </c>
    </row>
    <row r="18329">
      <c r="A18329" s="1" t="s">
        <v>7</v>
      </c>
      <c r="B18329" s="2">
        <v>44790.0</v>
      </c>
      <c r="C18329" s="3">
        <v>0.7198611111111111</v>
      </c>
      <c r="D18329" s="1">
        <v>13.011916</v>
      </c>
      <c r="E18329" s="1">
        <v>80.21988</v>
      </c>
      <c r="F18329" s="1">
        <v>805.0</v>
      </c>
      <c r="G18329" s="1">
        <v>50.0</v>
      </c>
    </row>
    <row r="18330">
      <c r="A18330" s="1" t="s">
        <v>8</v>
      </c>
      <c r="B18330" s="2">
        <v>44790.0</v>
      </c>
      <c r="C18330" s="3">
        <v>0.7199189814814815</v>
      </c>
      <c r="D18330" s="1">
        <v>13.006381</v>
      </c>
      <c r="E18330" s="1">
        <v>80.203062</v>
      </c>
      <c r="F18330" s="1">
        <v>5339.0</v>
      </c>
      <c r="G18330" s="1">
        <v>47.0</v>
      </c>
    </row>
    <row r="18331">
      <c r="A18331" s="1" t="s">
        <v>10</v>
      </c>
      <c r="B18331" s="2">
        <v>44790.0</v>
      </c>
      <c r="C18331" s="3">
        <v>0.7199652777777777</v>
      </c>
      <c r="D18331" s="1">
        <v>12.961791</v>
      </c>
      <c r="E18331" s="1">
        <v>80.187346</v>
      </c>
      <c r="F18331" s="1">
        <v>3143.0</v>
      </c>
      <c r="G18331" s="1">
        <v>9.0</v>
      </c>
    </row>
    <row r="18332">
      <c r="A18332" s="1" t="s">
        <v>8</v>
      </c>
      <c r="B18332" s="2">
        <v>44790.0</v>
      </c>
      <c r="C18332" s="3">
        <v>0.7201388888888889</v>
      </c>
      <c r="D18332" s="1">
        <v>13.008407</v>
      </c>
      <c r="E18332" s="1">
        <v>80.202934</v>
      </c>
      <c r="F18332" s="1">
        <v>5339.0</v>
      </c>
      <c r="G18332" s="1">
        <v>33.0</v>
      </c>
    </row>
    <row r="18333">
      <c r="A18333" s="1" t="s">
        <v>7</v>
      </c>
      <c r="B18333" s="2">
        <v>44790.0</v>
      </c>
      <c r="C18333" s="3">
        <v>0.7204513888888889</v>
      </c>
      <c r="D18333" s="1">
        <v>13.007636</v>
      </c>
      <c r="E18333" s="1">
        <v>80.203868</v>
      </c>
      <c r="F18333" s="1">
        <v>5339.0</v>
      </c>
      <c r="G18333" s="1">
        <v>46.0</v>
      </c>
    </row>
    <row r="18334">
      <c r="A18334" s="1" t="s">
        <v>8</v>
      </c>
      <c r="B18334" s="2">
        <v>44790.0</v>
      </c>
      <c r="C18334" s="3">
        <v>0.7208796296296296</v>
      </c>
      <c r="D18334" s="1">
        <v>13.008075</v>
      </c>
      <c r="E18334" s="1">
        <v>80.20889</v>
      </c>
      <c r="F18334" s="1">
        <v>5339.0</v>
      </c>
      <c r="G18334" s="1">
        <v>39.0</v>
      </c>
    </row>
    <row r="18335">
      <c r="A18335" s="1" t="s">
        <v>8</v>
      </c>
      <c r="B18335" s="2">
        <v>44790.0</v>
      </c>
      <c r="C18335" s="3">
        <v>0.7209606481481482</v>
      </c>
      <c r="D18335" s="1">
        <v>13.008307</v>
      </c>
      <c r="E18335" s="1">
        <v>80.209882</v>
      </c>
      <c r="F18335" s="1">
        <v>5339.0</v>
      </c>
      <c r="G18335" s="1">
        <v>38.0</v>
      </c>
    </row>
    <row r="18336">
      <c r="A18336" s="1" t="s">
        <v>8</v>
      </c>
      <c r="B18336" s="2">
        <v>44790.0</v>
      </c>
      <c r="C18336" s="3">
        <v>0.7209837962962963</v>
      </c>
      <c r="D18336" s="1">
        <v>13.015211</v>
      </c>
      <c r="E18336" s="1">
        <v>80.224863</v>
      </c>
      <c r="F18336" s="1">
        <v>805.0</v>
      </c>
      <c r="G18336" s="1">
        <v>23.0</v>
      </c>
    </row>
    <row r="18337">
      <c r="A18337" s="1" t="s">
        <v>8</v>
      </c>
      <c r="B18337" s="2">
        <v>44790.0</v>
      </c>
      <c r="C18337" s="3">
        <v>0.7210300925925925</v>
      </c>
      <c r="D18337" s="1">
        <v>13.008307</v>
      </c>
      <c r="E18337" s="1">
        <v>80.209882</v>
      </c>
      <c r="F18337" s="1">
        <v>5339.0</v>
      </c>
      <c r="G18337" s="1">
        <v>38.0</v>
      </c>
    </row>
    <row r="18338">
      <c r="A18338" s="1" t="s">
        <v>8</v>
      </c>
      <c r="B18338" s="2">
        <v>44790.0</v>
      </c>
      <c r="C18338" s="3">
        <v>0.7212268518518519</v>
      </c>
      <c r="D18338" s="1">
        <v>13.009115</v>
      </c>
      <c r="E18338" s="1">
        <v>80.21199</v>
      </c>
      <c r="F18338" s="1">
        <v>5339.0</v>
      </c>
      <c r="G18338" s="1">
        <v>46.0</v>
      </c>
    </row>
    <row r="18339">
      <c r="A18339" s="1" t="s">
        <v>8</v>
      </c>
      <c r="B18339" s="2">
        <v>44790.0</v>
      </c>
      <c r="C18339" s="3">
        <v>0.7213425925925926</v>
      </c>
      <c r="D18339" s="1">
        <v>13.013269</v>
      </c>
      <c r="E18339" s="1">
        <v>80.226673</v>
      </c>
      <c r="F18339" s="1">
        <v>805.0</v>
      </c>
      <c r="G18339" s="1">
        <v>43.0</v>
      </c>
    </row>
    <row r="18340">
      <c r="A18340" s="1" t="s">
        <v>8</v>
      </c>
      <c r="B18340" s="2">
        <v>44790.0</v>
      </c>
      <c r="C18340" s="3">
        <v>0.7215046296296296</v>
      </c>
      <c r="D18340" s="1">
        <v>13.011337</v>
      </c>
      <c r="E18340" s="1">
        <v>80.227448</v>
      </c>
      <c r="F18340" s="1">
        <v>805.0</v>
      </c>
      <c r="G18340" s="1">
        <v>41.0</v>
      </c>
    </row>
    <row r="18341">
      <c r="A18341" s="1" t="s">
        <v>8</v>
      </c>
      <c r="B18341" s="2">
        <v>44790.0</v>
      </c>
      <c r="C18341" s="3">
        <v>0.7217824074074074</v>
      </c>
      <c r="D18341" s="1">
        <v>13.00952</v>
      </c>
      <c r="E18341" s="1">
        <v>80.228185</v>
      </c>
      <c r="F18341" s="1">
        <v>805.0</v>
      </c>
      <c r="G18341" s="1">
        <v>33.0</v>
      </c>
    </row>
    <row r="18342">
      <c r="A18342" s="1" t="s">
        <v>8</v>
      </c>
      <c r="B18342" s="2">
        <v>44790.0</v>
      </c>
      <c r="C18342" s="3">
        <v>0.7218865740740741</v>
      </c>
      <c r="D18342" s="1">
        <v>13.00913</v>
      </c>
      <c r="E18342" s="1">
        <v>80.228838</v>
      </c>
      <c r="F18342" s="1">
        <v>805.0</v>
      </c>
      <c r="G18342" s="1">
        <v>35.0</v>
      </c>
    </row>
    <row r="18343">
      <c r="A18343" s="1" t="s">
        <v>8</v>
      </c>
      <c r="B18343" s="2">
        <v>44790.0</v>
      </c>
      <c r="C18343" s="3">
        <v>0.7218865740740741</v>
      </c>
      <c r="D18343" s="1">
        <v>13.011255</v>
      </c>
      <c r="E18343" s="1">
        <v>80.21791</v>
      </c>
      <c r="F18343" s="1">
        <v>5339.0</v>
      </c>
      <c r="G18343" s="1">
        <v>42.0</v>
      </c>
    </row>
    <row r="18344">
      <c r="A18344" s="1" t="s">
        <v>8</v>
      </c>
      <c r="B18344" s="2">
        <v>44790.0</v>
      </c>
      <c r="C18344" s="3">
        <v>0.7220023148148148</v>
      </c>
      <c r="D18344" s="1">
        <v>13.011634</v>
      </c>
      <c r="E18344" s="1">
        <v>80.218918</v>
      </c>
      <c r="F18344" s="1">
        <v>5339.0</v>
      </c>
      <c r="G18344" s="1">
        <v>41.0</v>
      </c>
    </row>
    <row r="18345">
      <c r="A18345" s="1" t="s">
        <v>8</v>
      </c>
      <c r="B18345" s="2">
        <v>44790.0</v>
      </c>
      <c r="C18345" s="3">
        <v>0.7221180555555555</v>
      </c>
      <c r="D18345" s="1">
        <v>13.01194</v>
      </c>
      <c r="E18345" s="1">
        <v>80.219853</v>
      </c>
      <c r="F18345" s="1">
        <v>5339.0</v>
      </c>
      <c r="G18345" s="1">
        <v>37.0</v>
      </c>
    </row>
    <row r="18346">
      <c r="A18346" s="1" t="s">
        <v>8</v>
      </c>
      <c r="B18346" s="2">
        <v>44790.0</v>
      </c>
      <c r="C18346" s="3">
        <v>0.7223611111111111</v>
      </c>
      <c r="D18346" s="1">
        <v>13.008411</v>
      </c>
      <c r="E18346" s="1">
        <v>80.232579</v>
      </c>
      <c r="F18346" s="1">
        <v>805.0</v>
      </c>
      <c r="G18346" s="1">
        <v>42.0</v>
      </c>
    </row>
    <row r="18347">
      <c r="A18347" s="1" t="s">
        <v>8</v>
      </c>
      <c r="B18347" s="2">
        <v>44790.0</v>
      </c>
      <c r="C18347" s="3">
        <v>0.7223842592592593</v>
      </c>
      <c r="D18347" s="1">
        <v>13.008224</v>
      </c>
      <c r="E18347" s="1">
        <v>80.233534</v>
      </c>
      <c r="F18347" s="1">
        <v>805.0</v>
      </c>
      <c r="G18347" s="1">
        <v>30.0</v>
      </c>
    </row>
    <row r="18348">
      <c r="A18348" s="1" t="s">
        <v>8</v>
      </c>
      <c r="B18348" s="2">
        <v>44790.0</v>
      </c>
      <c r="C18348" s="3">
        <v>0.7223842592592593</v>
      </c>
      <c r="D18348" s="1">
        <v>13.008224</v>
      </c>
      <c r="E18348" s="1">
        <v>80.233534</v>
      </c>
      <c r="F18348" s="1">
        <v>805.0</v>
      </c>
      <c r="G18348" s="1">
        <v>30.0</v>
      </c>
    </row>
    <row r="18349">
      <c r="A18349" s="1" t="s">
        <v>8</v>
      </c>
      <c r="B18349" s="2">
        <v>44790.0</v>
      </c>
      <c r="C18349" s="3">
        <v>0.7223958333333333</v>
      </c>
      <c r="D18349" s="1">
        <v>13.008224</v>
      </c>
      <c r="E18349" s="1">
        <v>80.233534</v>
      </c>
      <c r="F18349" s="1">
        <v>805.0</v>
      </c>
      <c r="G18349" s="1">
        <v>30.0</v>
      </c>
    </row>
    <row r="18350">
      <c r="A18350" s="1" t="s">
        <v>8</v>
      </c>
      <c r="B18350" s="2">
        <v>44790.0</v>
      </c>
      <c r="C18350" s="3">
        <v>0.7224768518518518</v>
      </c>
      <c r="D18350" s="1">
        <v>13.008224</v>
      </c>
      <c r="E18350" s="1">
        <v>80.233534</v>
      </c>
      <c r="F18350" s="1">
        <v>805.0</v>
      </c>
      <c r="G18350" s="1">
        <v>30.0</v>
      </c>
    </row>
    <row r="18351">
      <c r="A18351" s="1" t="s">
        <v>8</v>
      </c>
      <c r="B18351" s="2">
        <v>44790.0</v>
      </c>
      <c r="C18351" s="3">
        <v>0.7227199074074074</v>
      </c>
      <c r="D18351" s="1">
        <v>13.008001</v>
      </c>
      <c r="E18351" s="1">
        <v>80.234792</v>
      </c>
      <c r="F18351" s="1">
        <v>805.0</v>
      </c>
      <c r="G18351" s="1">
        <v>20.0</v>
      </c>
    </row>
    <row r="18352">
      <c r="A18352" s="1" t="s">
        <v>8</v>
      </c>
      <c r="B18352" s="2">
        <v>44790.0</v>
      </c>
      <c r="C18352" s="3">
        <v>0.7227314814814815</v>
      </c>
      <c r="D18352" s="1">
        <v>13.007873</v>
      </c>
      <c r="E18352" s="1">
        <v>80.235418</v>
      </c>
      <c r="F18352" s="1">
        <v>805.0</v>
      </c>
      <c r="G18352" s="1">
        <v>27.0</v>
      </c>
    </row>
    <row r="18353">
      <c r="A18353" s="1" t="s">
        <v>8</v>
      </c>
      <c r="B18353" s="2">
        <v>44790.0</v>
      </c>
      <c r="C18353" s="3">
        <v>0.7230324074074074</v>
      </c>
      <c r="D18353" s="1">
        <v>13.015506</v>
      </c>
      <c r="E18353" s="1">
        <v>80.225066</v>
      </c>
      <c r="F18353" s="1">
        <v>5339.0</v>
      </c>
      <c r="G18353" s="1">
        <v>37.0</v>
      </c>
    </row>
    <row r="18354">
      <c r="A18354" s="1" t="s">
        <v>9</v>
      </c>
      <c r="B18354" s="2">
        <v>44790.0</v>
      </c>
      <c r="C18354" s="3">
        <v>0.7234490740740741</v>
      </c>
      <c r="D18354" s="1">
        <v>13.01871</v>
      </c>
      <c r="E18354" s="1">
        <v>80.224502</v>
      </c>
      <c r="F18354" s="1">
        <v>5339.0</v>
      </c>
      <c r="G18354" s="1">
        <v>44.0</v>
      </c>
    </row>
    <row r="18355">
      <c r="A18355" s="1" t="s">
        <v>8</v>
      </c>
      <c r="B18355" s="2">
        <v>44790.0</v>
      </c>
      <c r="C18355" s="3">
        <v>0.7236111111111111</v>
      </c>
      <c r="D18355" s="1">
        <v>13.020173</v>
      </c>
      <c r="E18355" s="1">
        <v>80.224865</v>
      </c>
      <c r="F18355" s="1">
        <v>5339.0</v>
      </c>
      <c r="G18355" s="1">
        <v>26.0</v>
      </c>
    </row>
    <row r="18356">
      <c r="A18356" s="1" t="s">
        <v>8</v>
      </c>
      <c r="B18356" s="2">
        <v>44790.0</v>
      </c>
      <c r="C18356" s="3">
        <v>0.7236111111111111</v>
      </c>
      <c r="D18356" s="1">
        <v>13.020173</v>
      </c>
      <c r="E18356" s="1">
        <v>80.224865</v>
      </c>
      <c r="F18356" s="1">
        <v>5339.0</v>
      </c>
      <c r="G18356" s="1">
        <v>26.0</v>
      </c>
    </row>
    <row r="18357">
      <c r="A18357" s="1" t="s">
        <v>10</v>
      </c>
      <c r="B18357" s="2">
        <v>44790.0</v>
      </c>
      <c r="C18357" s="3">
        <v>0.7236226851851851</v>
      </c>
      <c r="D18357" s="1">
        <v>12.96471</v>
      </c>
      <c r="E18357" s="1">
        <v>80.19611</v>
      </c>
      <c r="F18357" s="1">
        <v>3143.0</v>
      </c>
      <c r="G18357" s="1">
        <v>0.0</v>
      </c>
    </row>
    <row r="18358">
      <c r="A18358" s="1" t="s">
        <v>8</v>
      </c>
      <c r="B18358" s="2">
        <v>44790.0</v>
      </c>
      <c r="C18358" s="3">
        <v>0.7238194444444445</v>
      </c>
      <c r="D18358" s="1">
        <v>13.020816</v>
      </c>
      <c r="E18358" s="1">
        <v>80.225346</v>
      </c>
      <c r="F18358" s="1">
        <v>5339.0</v>
      </c>
      <c r="G18358" s="1">
        <v>35.0</v>
      </c>
    </row>
    <row r="18359">
      <c r="A18359" s="1" t="s">
        <v>8</v>
      </c>
      <c r="B18359" s="2">
        <v>44790.0</v>
      </c>
      <c r="C18359" s="3">
        <v>0.7238657407407407</v>
      </c>
      <c r="D18359" s="1">
        <v>13.021485</v>
      </c>
      <c r="E18359" s="1">
        <v>80.225816</v>
      </c>
      <c r="F18359" s="1">
        <v>5339.0</v>
      </c>
      <c r="G18359" s="1">
        <v>30.0</v>
      </c>
    </row>
    <row r="18360">
      <c r="A18360" s="1" t="s">
        <v>9</v>
      </c>
      <c r="B18360" s="2">
        <v>44790.0</v>
      </c>
      <c r="C18360" s="3">
        <v>0.7241435185185185</v>
      </c>
      <c r="D18360" s="1">
        <v>13.023122</v>
      </c>
      <c r="E18360" s="1">
        <v>80.227171</v>
      </c>
      <c r="F18360" s="1">
        <v>5339.0</v>
      </c>
      <c r="G18360" s="1">
        <v>46.0</v>
      </c>
    </row>
    <row r="18361">
      <c r="A18361" s="1" t="s">
        <v>8</v>
      </c>
      <c r="B18361" s="2">
        <v>44790.0</v>
      </c>
      <c r="C18361" s="3">
        <v>0.7242824074074075</v>
      </c>
      <c r="D18361" s="1">
        <v>13.023895</v>
      </c>
      <c r="E18361" s="1">
        <v>80.22796</v>
      </c>
      <c r="F18361" s="1">
        <v>5339.0</v>
      </c>
      <c r="G18361" s="1">
        <v>33.0</v>
      </c>
    </row>
    <row r="18362">
      <c r="A18362" s="1" t="s">
        <v>10</v>
      </c>
      <c r="B18362" s="2">
        <v>44790.0</v>
      </c>
      <c r="C18362" s="3">
        <v>0.7258217592592593</v>
      </c>
      <c r="D18362" s="1">
        <v>12.965333</v>
      </c>
      <c r="E18362" s="1">
        <v>80.206113</v>
      </c>
      <c r="F18362" s="1">
        <v>3143.0</v>
      </c>
      <c r="G18362" s="1">
        <v>32.0</v>
      </c>
    </row>
    <row r="18363">
      <c r="A18363" s="1" t="s">
        <v>8</v>
      </c>
      <c r="B18363" s="2">
        <v>44790.0</v>
      </c>
      <c r="C18363" s="3">
        <v>0.7268171296296296</v>
      </c>
      <c r="D18363" s="1">
        <v>13.026236</v>
      </c>
      <c r="E18363" s="1">
        <v>80.232217</v>
      </c>
      <c r="F18363" s="1">
        <v>5339.0</v>
      </c>
      <c r="G18363" s="1">
        <v>26.0</v>
      </c>
    </row>
    <row r="18364">
      <c r="A18364" s="1" t="s">
        <v>8</v>
      </c>
      <c r="B18364" s="2">
        <v>44790.0</v>
      </c>
      <c r="C18364" s="3">
        <v>0.7273611111111111</v>
      </c>
      <c r="D18364" s="1">
        <v>13.02952</v>
      </c>
      <c r="E18364" s="1">
        <v>80.237102</v>
      </c>
      <c r="F18364" s="1">
        <v>5339.0</v>
      </c>
      <c r="G18364" s="1">
        <v>42.0</v>
      </c>
    </row>
    <row r="18365">
      <c r="A18365" s="1" t="s">
        <v>10</v>
      </c>
      <c r="B18365" s="2">
        <v>44790.0</v>
      </c>
      <c r="C18365" s="3">
        <v>0.7274652777777778</v>
      </c>
      <c r="D18365" s="1">
        <v>13.006801</v>
      </c>
      <c r="E18365" s="1">
        <v>80.247154</v>
      </c>
      <c r="F18365" s="1">
        <v>805.0</v>
      </c>
      <c r="G18365" s="1">
        <v>17.0</v>
      </c>
    </row>
    <row r="18366">
      <c r="A18366" s="1" t="s">
        <v>8</v>
      </c>
      <c r="B18366" s="2">
        <v>44790.0</v>
      </c>
      <c r="C18366" s="3">
        <v>0.7274652777777778</v>
      </c>
      <c r="D18366" s="1">
        <v>13.02952</v>
      </c>
      <c r="E18366" s="1">
        <v>80.237102</v>
      </c>
      <c r="F18366" s="1">
        <v>5339.0</v>
      </c>
      <c r="G18366" s="1">
        <v>42.0</v>
      </c>
    </row>
    <row r="18367">
      <c r="A18367" s="1" t="s">
        <v>8</v>
      </c>
      <c r="B18367" s="2">
        <v>44790.0</v>
      </c>
      <c r="C18367" s="3">
        <v>0.7275</v>
      </c>
      <c r="D18367" s="1">
        <v>13.030101</v>
      </c>
      <c r="E18367" s="1">
        <v>80.237919</v>
      </c>
      <c r="F18367" s="1">
        <v>5339.0</v>
      </c>
      <c r="G18367" s="1">
        <v>36.0</v>
      </c>
    </row>
    <row r="18368">
      <c r="A18368" s="1" t="s">
        <v>8</v>
      </c>
      <c r="B18368" s="2">
        <v>44790.0</v>
      </c>
      <c r="C18368" s="3">
        <v>0.7279166666666667</v>
      </c>
      <c r="D18368" s="1">
        <v>13.006798</v>
      </c>
      <c r="E18368" s="1">
        <v>80.248465</v>
      </c>
      <c r="F18368" s="1">
        <v>805.0</v>
      </c>
      <c r="G18368" s="1">
        <v>32.0</v>
      </c>
    </row>
    <row r="18369">
      <c r="A18369" s="1" t="s">
        <v>10</v>
      </c>
      <c r="B18369" s="2">
        <v>44790.0</v>
      </c>
      <c r="C18369" s="3">
        <v>0.7282407407407407</v>
      </c>
      <c r="D18369" s="1">
        <v>12.963963</v>
      </c>
      <c r="E18369" s="1">
        <v>80.214069</v>
      </c>
      <c r="F18369" s="1">
        <v>3143.0</v>
      </c>
      <c r="G18369" s="1">
        <v>9.0</v>
      </c>
    </row>
    <row r="18370">
      <c r="A18370" s="1" t="s">
        <v>8</v>
      </c>
      <c r="B18370" s="2">
        <v>44790.0</v>
      </c>
      <c r="C18370" s="3">
        <v>0.7288078703703704</v>
      </c>
      <c r="D18370" s="1">
        <v>13.031283</v>
      </c>
      <c r="E18370" s="1">
        <v>80.240003</v>
      </c>
      <c r="F18370" s="1">
        <v>5339.0</v>
      </c>
      <c r="G18370" s="1">
        <v>32.0</v>
      </c>
    </row>
    <row r="18371">
      <c r="A18371" s="1" t="s">
        <v>8</v>
      </c>
      <c r="B18371" s="2">
        <v>44790.0</v>
      </c>
      <c r="C18371" s="3">
        <v>0.7288888888888889</v>
      </c>
      <c r="D18371" s="1">
        <v>13.031644</v>
      </c>
      <c r="E18371" s="1">
        <v>80.240799</v>
      </c>
      <c r="F18371" s="1">
        <v>5339.0</v>
      </c>
      <c r="G18371" s="1">
        <v>29.0</v>
      </c>
    </row>
    <row r="18372">
      <c r="A18372" s="1" t="s">
        <v>9</v>
      </c>
      <c r="B18372" s="2">
        <v>44790.0</v>
      </c>
      <c r="C18372" s="3">
        <v>0.728912037037037</v>
      </c>
      <c r="D18372" s="1">
        <v>13.031644</v>
      </c>
      <c r="E18372" s="1">
        <v>80.240799</v>
      </c>
      <c r="F18372" s="1">
        <v>5339.0</v>
      </c>
      <c r="G18372" s="1">
        <v>29.0</v>
      </c>
    </row>
    <row r="18373">
      <c r="A18373" s="1" t="s">
        <v>8</v>
      </c>
      <c r="B18373" s="2">
        <v>44790.0</v>
      </c>
      <c r="C18373" s="3">
        <v>0.7291203703703704</v>
      </c>
      <c r="D18373" s="1">
        <v>13.032373</v>
      </c>
      <c r="E18373" s="1">
        <v>80.242258</v>
      </c>
      <c r="F18373" s="1">
        <v>5339.0</v>
      </c>
      <c r="G18373" s="1">
        <v>38.0</v>
      </c>
    </row>
    <row r="18374">
      <c r="A18374" s="1" t="s">
        <v>7</v>
      </c>
      <c r="B18374" s="2">
        <v>44790.0</v>
      </c>
      <c r="C18374" s="3">
        <v>0.7292824074074075</v>
      </c>
      <c r="D18374" s="1">
        <v>13.006609</v>
      </c>
      <c r="E18374" s="1">
        <v>80.252876</v>
      </c>
      <c r="F18374" s="1">
        <v>805.0</v>
      </c>
      <c r="G18374" s="1">
        <v>45.0</v>
      </c>
    </row>
    <row r="18375">
      <c r="A18375" s="1" t="s">
        <v>8</v>
      </c>
      <c r="B18375" s="2">
        <v>44790.0</v>
      </c>
      <c r="C18375" s="3">
        <v>0.7294444444444445</v>
      </c>
      <c r="D18375" s="1">
        <v>13.033664</v>
      </c>
      <c r="E18375" s="1">
        <v>80.244072</v>
      </c>
      <c r="F18375" s="1">
        <v>5339.0</v>
      </c>
      <c r="G18375" s="1">
        <v>26.0</v>
      </c>
    </row>
    <row r="18376">
      <c r="A18376" s="1" t="s">
        <v>8</v>
      </c>
      <c r="B18376" s="2">
        <v>44790.0</v>
      </c>
      <c r="C18376" s="3">
        <v>0.7294907407407407</v>
      </c>
      <c r="D18376" s="1">
        <v>13.006651</v>
      </c>
      <c r="E18376" s="1">
        <v>80.255759</v>
      </c>
      <c r="F18376" s="1">
        <v>805.0</v>
      </c>
      <c r="G18376" s="1">
        <v>54.0</v>
      </c>
    </row>
    <row r="18377">
      <c r="A18377" s="1" t="s">
        <v>8</v>
      </c>
      <c r="B18377" s="2">
        <v>44790.0</v>
      </c>
      <c r="C18377" s="3">
        <v>0.7299074074074074</v>
      </c>
      <c r="D18377" s="1">
        <v>13.035687</v>
      </c>
      <c r="E18377" s="1">
        <v>80.246053</v>
      </c>
      <c r="F18377" s="1">
        <v>5339.0</v>
      </c>
      <c r="G18377" s="1">
        <v>34.0</v>
      </c>
    </row>
    <row r="18378">
      <c r="A18378" s="1" t="s">
        <v>8</v>
      </c>
      <c r="B18378" s="2">
        <v>44790.0</v>
      </c>
      <c r="C18378" s="3">
        <v>0.7299537037037037</v>
      </c>
      <c r="D18378" s="1">
        <v>12.615353</v>
      </c>
      <c r="E18378" s="1">
        <v>79.925831</v>
      </c>
      <c r="F18378" s="1">
        <v>2846.0</v>
      </c>
      <c r="G18378" s="1">
        <v>54.0</v>
      </c>
    </row>
    <row r="18379">
      <c r="A18379" s="1" t="s">
        <v>8</v>
      </c>
      <c r="B18379" s="2">
        <v>44790.0</v>
      </c>
      <c r="C18379" s="3">
        <v>0.73</v>
      </c>
      <c r="D18379" s="1">
        <v>13.036594</v>
      </c>
      <c r="E18379" s="1">
        <v>80.246298</v>
      </c>
      <c r="F18379" s="1">
        <v>5339.0</v>
      </c>
      <c r="G18379" s="1">
        <v>36.0</v>
      </c>
    </row>
    <row r="18380">
      <c r="A18380" s="1" t="s">
        <v>7</v>
      </c>
      <c r="B18380" s="2">
        <v>44790.0</v>
      </c>
      <c r="C18380" s="3">
        <v>0.7300347222222222</v>
      </c>
      <c r="D18380" s="1">
        <v>12.612839</v>
      </c>
      <c r="E18380" s="1">
        <v>79.924416</v>
      </c>
      <c r="F18380" s="1">
        <v>2846.0</v>
      </c>
      <c r="G18380" s="1">
        <v>58.0</v>
      </c>
    </row>
    <row r="18381">
      <c r="A18381" s="1" t="s">
        <v>8</v>
      </c>
      <c r="B18381" s="2">
        <v>44790.0</v>
      </c>
      <c r="C18381" s="3">
        <v>0.7301388888888889</v>
      </c>
      <c r="D18381" s="1">
        <v>12.611565</v>
      </c>
      <c r="E18381" s="1">
        <v>79.92369</v>
      </c>
      <c r="F18381" s="1">
        <v>2846.0</v>
      </c>
      <c r="G18381" s="1">
        <v>58.0</v>
      </c>
    </row>
    <row r="18382">
      <c r="A18382" s="1" t="s">
        <v>7</v>
      </c>
      <c r="B18382" s="2">
        <v>44790.0</v>
      </c>
      <c r="C18382" s="3">
        <v>0.7304282407407408</v>
      </c>
      <c r="D18382" s="1">
        <v>12.609026</v>
      </c>
      <c r="E18382" s="1">
        <v>79.922208</v>
      </c>
      <c r="F18382" s="1">
        <v>2846.0</v>
      </c>
      <c r="G18382" s="1">
        <v>58.0</v>
      </c>
    </row>
    <row r="18383">
      <c r="A18383" s="1" t="s">
        <v>10</v>
      </c>
      <c r="B18383" s="2">
        <v>44790.0</v>
      </c>
      <c r="C18383" s="3">
        <v>0.7304282407407408</v>
      </c>
      <c r="D18383" s="1">
        <v>12.975096</v>
      </c>
      <c r="E18383" s="1">
        <v>80.220491</v>
      </c>
      <c r="F18383" s="1">
        <v>3143.0</v>
      </c>
      <c r="G18383" s="1">
        <v>28.0</v>
      </c>
    </row>
    <row r="18384">
      <c r="A18384" s="1" t="s">
        <v>8</v>
      </c>
      <c r="B18384" s="2">
        <v>44790.0</v>
      </c>
      <c r="C18384" s="3">
        <v>0.7306481481481482</v>
      </c>
      <c r="D18384" s="1">
        <v>12.605388</v>
      </c>
      <c r="E18384" s="1">
        <v>79.920776</v>
      </c>
      <c r="F18384" s="1">
        <v>2846.0</v>
      </c>
      <c r="G18384" s="1">
        <v>38.0</v>
      </c>
    </row>
    <row r="18385">
      <c r="A18385" s="1" t="s">
        <v>8</v>
      </c>
      <c r="B18385" s="2">
        <v>44790.0</v>
      </c>
      <c r="C18385" s="3">
        <v>0.7306944444444444</v>
      </c>
      <c r="D18385" s="1">
        <v>13.038126</v>
      </c>
      <c r="E18385" s="1">
        <v>80.246632</v>
      </c>
      <c r="F18385" s="1">
        <v>5339.0</v>
      </c>
      <c r="G18385" s="1">
        <v>22.0</v>
      </c>
    </row>
    <row r="18386">
      <c r="A18386" s="1" t="s">
        <v>8</v>
      </c>
      <c r="B18386" s="2">
        <v>44790.0</v>
      </c>
      <c r="C18386" s="3">
        <v>0.7307060185185185</v>
      </c>
      <c r="D18386" s="1">
        <v>13.038126</v>
      </c>
      <c r="E18386" s="1">
        <v>80.246632</v>
      </c>
      <c r="F18386" s="1">
        <v>5339.0</v>
      </c>
      <c r="G18386" s="1">
        <v>22.0</v>
      </c>
    </row>
    <row r="18387">
      <c r="A18387" s="1" t="s">
        <v>8</v>
      </c>
      <c r="B18387" s="2">
        <v>44790.0</v>
      </c>
      <c r="C18387" s="3">
        <v>0.7309027777777778</v>
      </c>
      <c r="D18387" s="1">
        <v>12.603115</v>
      </c>
      <c r="E18387" s="1">
        <v>79.9203</v>
      </c>
      <c r="F18387" s="1">
        <v>2846.0</v>
      </c>
      <c r="G18387" s="1">
        <v>50.0</v>
      </c>
    </row>
    <row r="18388">
      <c r="A18388" s="1" t="s">
        <v>7</v>
      </c>
      <c r="B18388" s="2">
        <v>44790.0</v>
      </c>
      <c r="C18388" s="3">
        <v>0.7309143518518518</v>
      </c>
      <c r="D18388" s="1">
        <v>13.009605</v>
      </c>
      <c r="E18388" s="1">
        <v>80.259078</v>
      </c>
      <c r="F18388" s="1">
        <v>805.0</v>
      </c>
      <c r="G18388" s="1">
        <v>36.0</v>
      </c>
    </row>
    <row r="18389">
      <c r="A18389" s="1" t="s">
        <v>8</v>
      </c>
      <c r="B18389" s="2">
        <v>44790.0</v>
      </c>
      <c r="C18389" s="3">
        <v>0.73125</v>
      </c>
      <c r="D18389" s="1">
        <v>12.599915</v>
      </c>
      <c r="E18389" s="1">
        <v>79.920006</v>
      </c>
      <c r="F18389" s="1">
        <v>2846.0</v>
      </c>
      <c r="G18389" s="1">
        <v>40.0</v>
      </c>
    </row>
    <row r="18390">
      <c r="A18390" s="1" t="s">
        <v>7</v>
      </c>
      <c r="B18390" s="2">
        <v>44790.0</v>
      </c>
      <c r="C18390" s="3">
        <v>0.7312615740740741</v>
      </c>
      <c r="D18390" s="1">
        <v>13.013769</v>
      </c>
      <c r="E18390" s="1">
        <v>80.259174</v>
      </c>
      <c r="F18390" s="1">
        <v>805.0</v>
      </c>
      <c r="G18390" s="1">
        <v>58.0</v>
      </c>
    </row>
    <row r="18391">
      <c r="A18391" s="1" t="s">
        <v>8</v>
      </c>
      <c r="B18391" s="2">
        <v>44790.0</v>
      </c>
      <c r="C18391" s="3">
        <v>0.7315393518518518</v>
      </c>
      <c r="D18391" s="1">
        <v>13.016446</v>
      </c>
      <c r="E18391" s="1">
        <v>80.259725</v>
      </c>
      <c r="F18391" s="1">
        <v>805.0</v>
      </c>
      <c r="G18391" s="1">
        <v>34.0</v>
      </c>
    </row>
    <row r="18392">
      <c r="A18392" s="1" t="s">
        <v>8</v>
      </c>
      <c r="B18392" s="2">
        <v>44790.0</v>
      </c>
      <c r="C18392" s="3">
        <v>0.7315972222222222</v>
      </c>
      <c r="D18392" s="1">
        <v>12.599915</v>
      </c>
      <c r="E18392" s="1">
        <v>79.920006</v>
      </c>
      <c r="F18392" s="1">
        <v>2846.0</v>
      </c>
      <c r="G18392" s="1">
        <v>40.0</v>
      </c>
    </row>
    <row r="18393">
      <c r="A18393" s="1" t="s">
        <v>8</v>
      </c>
      <c r="B18393" s="2">
        <v>44790.0</v>
      </c>
      <c r="C18393" s="3">
        <v>0.7316087962962963</v>
      </c>
      <c r="D18393" s="1">
        <v>12.599915</v>
      </c>
      <c r="E18393" s="1">
        <v>79.920006</v>
      </c>
      <c r="F18393" s="1">
        <v>2846.0</v>
      </c>
      <c r="G18393" s="1">
        <v>40.0</v>
      </c>
    </row>
    <row r="18394">
      <c r="A18394" s="1" t="s">
        <v>8</v>
      </c>
      <c r="B18394" s="2">
        <v>44790.0</v>
      </c>
      <c r="C18394" s="3">
        <v>0.7316203703703704</v>
      </c>
      <c r="D18394" s="1">
        <v>13.016446</v>
      </c>
      <c r="E18394" s="1">
        <v>80.259725</v>
      </c>
      <c r="F18394" s="1">
        <v>805.0</v>
      </c>
      <c r="G18394" s="1">
        <v>34.0</v>
      </c>
    </row>
    <row r="18395">
      <c r="A18395" s="1" t="s">
        <v>8</v>
      </c>
      <c r="B18395" s="2">
        <v>44790.0</v>
      </c>
      <c r="C18395" s="3">
        <v>0.7316203703703704</v>
      </c>
      <c r="D18395" s="1">
        <v>12.596489</v>
      </c>
      <c r="E18395" s="1">
        <v>79.919619</v>
      </c>
      <c r="F18395" s="1">
        <v>2846.0</v>
      </c>
      <c r="G18395" s="1">
        <v>56.0</v>
      </c>
    </row>
    <row r="18396">
      <c r="A18396" s="1" t="s">
        <v>8</v>
      </c>
      <c r="B18396" s="2">
        <v>44790.0</v>
      </c>
      <c r="C18396" s="3">
        <v>0.7317708333333334</v>
      </c>
      <c r="D18396" s="1">
        <v>13.042376</v>
      </c>
      <c r="E18396" s="1">
        <v>80.247433</v>
      </c>
      <c r="F18396" s="1">
        <v>5339.0</v>
      </c>
      <c r="G18396" s="1">
        <v>13.0</v>
      </c>
    </row>
    <row r="18397">
      <c r="A18397" s="1" t="s">
        <v>8</v>
      </c>
      <c r="B18397" s="2">
        <v>44790.0</v>
      </c>
      <c r="C18397" s="3">
        <v>0.7317824074074074</v>
      </c>
      <c r="D18397" s="1">
        <v>13.042376</v>
      </c>
      <c r="E18397" s="1">
        <v>80.247433</v>
      </c>
      <c r="F18397" s="1">
        <v>5339.0</v>
      </c>
      <c r="G18397" s="1">
        <v>13.0</v>
      </c>
    </row>
    <row r="18398">
      <c r="A18398" s="1" t="s">
        <v>8</v>
      </c>
      <c r="B18398" s="2">
        <v>44790.0</v>
      </c>
      <c r="C18398" s="3">
        <v>0.7317824074074074</v>
      </c>
      <c r="D18398" s="1">
        <v>13.042376</v>
      </c>
      <c r="E18398" s="1">
        <v>80.247433</v>
      </c>
      <c r="F18398" s="1">
        <v>5339.0</v>
      </c>
      <c r="G18398" s="1">
        <v>13.0</v>
      </c>
    </row>
    <row r="18399">
      <c r="A18399" s="1" t="s">
        <v>8</v>
      </c>
      <c r="B18399" s="2">
        <v>44790.0</v>
      </c>
      <c r="C18399" s="3">
        <v>0.7318171296296296</v>
      </c>
      <c r="D18399" s="1">
        <v>13.042376</v>
      </c>
      <c r="E18399" s="1">
        <v>80.247433</v>
      </c>
      <c r="F18399" s="1">
        <v>5339.0</v>
      </c>
      <c r="G18399" s="1">
        <v>13.0</v>
      </c>
    </row>
    <row r="18400">
      <c r="A18400" s="1" t="s">
        <v>8</v>
      </c>
      <c r="B18400" s="2">
        <v>44790.0</v>
      </c>
      <c r="C18400" s="3">
        <v>0.7320023148148148</v>
      </c>
      <c r="D18400" s="1">
        <v>13.043767</v>
      </c>
      <c r="E18400" s="1">
        <v>80.247741</v>
      </c>
      <c r="F18400" s="1">
        <v>5339.0</v>
      </c>
      <c r="G18400" s="1">
        <v>39.0</v>
      </c>
    </row>
    <row r="18401">
      <c r="A18401" s="1" t="s">
        <v>8</v>
      </c>
      <c r="B18401" s="2">
        <v>44790.0</v>
      </c>
      <c r="C18401" s="3">
        <v>0.732025462962963</v>
      </c>
      <c r="D18401" s="1">
        <v>13.043767</v>
      </c>
      <c r="E18401" s="1">
        <v>80.247741</v>
      </c>
      <c r="F18401" s="1">
        <v>5339.0</v>
      </c>
      <c r="G18401" s="1">
        <v>39.0</v>
      </c>
    </row>
    <row r="18402">
      <c r="A18402" s="1" t="s">
        <v>8</v>
      </c>
      <c r="B18402" s="2">
        <v>44790.0</v>
      </c>
      <c r="C18402" s="3">
        <v>0.7325</v>
      </c>
      <c r="D18402" s="1">
        <v>13.046513</v>
      </c>
      <c r="E18402" s="1">
        <v>80.248303</v>
      </c>
      <c r="F18402" s="1">
        <v>5339.0</v>
      </c>
      <c r="G18402" s="1">
        <v>12.0</v>
      </c>
    </row>
    <row r="18403">
      <c r="A18403" s="1" t="s">
        <v>8</v>
      </c>
      <c r="B18403" s="2">
        <v>44790.0</v>
      </c>
      <c r="C18403" s="3">
        <v>0.7325115740740741</v>
      </c>
      <c r="D18403" s="1">
        <v>13.046513</v>
      </c>
      <c r="E18403" s="1">
        <v>80.248303</v>
      </c>
      <c r="F18403" s="1">
        <v>5339.0</v>
      </c>
      <c r="G18403" s="1">
        <v>12.0</v>
      </c>
    </row>
    <row r="18404">
      <c r="A18404" s="1" t="s">
        <v>8</v>
      </c>
      <c r="B18404" s="2">
        <v>44790.0</v>
      </c>
      <c r="C18404" s="3">
        <v>0.7325231481481481</v>
      </c>
      <c r="D18404" s="1">
        <v>13.046995</v>
      </c>
      <c r="E18404" s="1">
        <v>80.248417</v>
      </c>
      <c r="F18404" s="1">
        <v>5339.0</v>
      </c>
      <c r="G18404" s="1">
        <v>27.0</v>
      </c>
    </row>
    <row r="18405">
      <c r="A18405" s="1" t="s">
        <v>8</v>
      </c>
      <c r="B18405" s="2">
        <v>44790.0</v>
      </c>
      <c r="C18405" s="3">
        <v>0.7326157407407408</v>
      </c>
      <c r="D18405" s="1">
        <v>12.583462</v>
      </c>
      <c r="E18405" s="1">
        <v>79.919276</v>
      </c>
      <c r="F18405" s="1">
        <v>2846.0</v>
      </c>
      <c r="G18405" s="1">
        <v>57.0</v>
      </c>
    </row>
    <row r="18406">
      <c r="A18406" s="1" t="s">
        <v>7</v>
      </c>
      <c r="B18406" s="2">
        <v>44790.0</v>
      </c>
      <c r="C18406" s="3">
        <v>0.7329050925925926</v>
      </c>
      <c r="D18406" s="1">
        <v>12.583462</v>
      </c>
      <c r="E18406" s="1">
        <v>79.919276</v>
      </c>
      <c r="F18406" s="1">
        <v>2846.0</v>
      </c>
      <c r="G18406" s="1">
        <v>57.0</v>
      </c>
    </row>
    <row r="18407">
      <c r="A18407" s="1" t="s">
        <v>8</v>
      </c>
      <c r="B18407" s="2">
        <v>44790.0</v>
      </c>
      <c r="C18407" s="3">
        <v>0.7329745370370371</v>
      </c>
      <c r="D18407" s="1">
        <v>13.046995</v>
      </c>
      <c r="E18407" s="1">
        <v>80.248417</v>
      </c>
      <c r="F18407" s="1">
        <v>5339.0</v>
      </c>
      <c r="G18407" s="1">
        <v>27.0</v>
      </c>
    </row>
    <row r="18408">
      <c r="A18408" s="1" t="s">
        <v>8</v>
      </c>
      <c r="B18408" s="2">
        <v>44790.0</v>
      </c>
      <c r="C18408" s="3">
        <v>0.733125</v>
      </c>
      <c r="D18408" s="1">
        <v>13.022252</v>
      </c>
      <c r="E18408" s="1">
        <v>80.263385</v>
      </c>
      <c r="F18408" s="1">
        <v>805.0</v>
      </c>
      <c r="G18408" s="1">
        <v>36.0</v>
      </c>
    </row>
    <row r="18409">
      <c r="A18409" s="1" t="s">
        <v>8</v>
      </c>
      <c r="B18409" s="2">
        <v>44790.0</v>
      </c>
      <c r="C18409" s="3">
        <v>0.7331712962962963</v>
      </c>
      <c r="D18409" s="1">
        <v>13.051665</v>
      </c>
      <c r="E18409" s="1">
        <v>80.250311</v>
      </c>
      <c r="F18409" s="1">
        <v>5339.0</v>
      </c>
      <c r="G18409" s="1">
        <v>41.0</v>
      </c>
    </row>
    <row r="18410">
      <c r="A18410" s="1" t="s">
        <v>10</v>
      </c>
      <c r="B18410" s="2">
        <v>44790.0</v>
      </c>
      <c r="C18410" s="3">
        <v>0.7341782407407408</v>
      </c>
      <c r="D18410" s="1">
        <v>13.025675</v>
      </c>
      <c r="E18410" s="1">
        <v>80.265488</v>
      </c>
      <c r="F18410" s="1">
        <v>805.0</v>
      </c>
      <c r="G18410" s="1">
        <v>15.0</v>
      </c>
    </row>
    <row r="18411">
      <c r="A18411" s="1" t="s">
        <v>10</v>
      </c>
      <c r="B18411" s="2">
        <v>44790.0</v>
      </c>
      <c r="C18411" s="3">
        <v>0.735</v>
      </c>
      <c r="D18411" s="1">
        <v>12.97605</v>
      </c>
      <c r="E18411" s="1">
        <v>80.221548</v>
      </c>
      <c r="F18411" s="1">
        <v>3143.0</v>
      </c>
      <c r="G18411" s="1">
        <v>12.0</v>
      </c>
    </row>
    <row r="18412">
      <c r="A18412" s="1" t="s">
        <v>10</v>
      </c>
      <c r="B18412" s="2">
        <v>44790.0</v>
      </c>
      <c r="C18412" s="3">
        <v>0.7353703703703703</v>
      </c>
      <c r="D18412" s="1">
        <v>12.974851</v>
      </c>
      <c r="E18412" s="1">
        <v>80.220629</v>
      </c>
      <c r="F18412" s="1">
        <v>3143.0</v>
      </c>
      <c r="G18412" s="1">
        <v>27.0</v>
      </c>
    </row>
    <row r="18413">
      <c r="A18413" s="1" t="s">
        <v>8</v>
      </c>
      <c r="B18413" s="2">
        <v>44790.0</v>
      </c>
      <c r="C18413" s="3">
        <v>0.7353819444444445</v>
      </c>
      <c r="D18413" s="1">
        <v>13.055417</v>
      </c>
      <c r="E18413" s="1">
        <v>80.255073</v>
      </c>
      <c r="F18413" s="1">
        <v>5339.0</v>
      </c>
      <c r="G18413" s="1">
        <v>18.0</v>
      </c>
    </row>
    <row r="18414">
      <c r="A18414" s="1" t="s">
        <v>8</v>
      </c>
      <c r="B18414" s="2">
        <v>44790.0</v>
      </c>
      <c r="C18414" s="3">
        <v>0.7353935185185185</v>
      </c>
      <c r="D18414" s="1">
        <v>13.055417</v>
      </c>
      <c r="E18414" s="1">
        <v>80.255073</v>
      </c>
      <c r="F18414" s="1">
        <v>5339.0</v>
      </c>
      <c r="G18414" s="1">
        <v>18.0</v>
      </c>
    </row>
    <row r="18415">
      <c r="A18415" s="1" t="s">
        <v>8</v>
      </c>
      <c r="B18415" s="2">
        <v>44790.0</v>
      </c>
      <c r="C18415" s="3">
        <v>0.7356597222222222</v>
      </c>
      <c r="D18415" s="1">
        <v>13.055758</v>
      </c>
      <c r="E18415" s="1">
        <v>80.255555</v>
      </c>
      <c r="F18415" s="1">
        <v>5339.0</v>
      </c>
      <c r="G18415" s="1">
        <v>28.0</v>
      </c>
    </row>
    <row r="18416">
      <c r="A18416" s="1" t="s">
        <v>8</v>
      </c>
      <c r="B18416" s="2">
        <v>44790.0</v>
      </c>
      <c r="C18416" s="3">
        <v>0.7356712962962964</v>
      </c>
      <c r="D18416" s="1">
        <v>13.05675</v>
      </c>
      <c r="E18416" s="1">
        <v>80.256693</v>
      </c>
      <c r="F18416" s="1">
        <v>5339.0</v>
      </c>
      <c r="G18416" s="1">
        <v>25.0</v>
      </c>
    </row>
    <row r="18417">
      <c r="A18417" s="1" t="s">
        <v>7</v>
      </c>
      <c r="B18417" s="2">
        <v>44790.0</v>
      </c>
      <c r="C18417" s="3">
        <v>0.7357407407407407</v>
      </c>
      <c r="D18417" s="1">
        <v>12.972322</v>
      </c>
      <c r="E18417" s="1">
        <v>80.219622</v>
      </c>
      <c r="F18417" s="1">
        <v>3143.0</v>
      </c>
      <c r="G18417" s="1">
        <v>48.0</v>
      </c>
    </row>
    <row r="18418">
      <c r="A18418" s="1" t="s">
        <v>8</v>
      </c>
      <c r="B18418" s="2">
        <v>44790.0</v>
      </c>
      <c r="C18418" s="3">
        <v>0.736099537037037</v>
      </c>
      <c r="D18418" s="1">
        <v>12.968523</v>
      </c>
      <c r="E18418" s="1">
        <v>80.218063</v>
      </c>
      <c r="F18418" s="1">
        <v>3143.0</v>
      </c>
      <c r="G18418" s="1">
        <v>46.0</v>
      </c>
    </row>
    <row r="18419">
      <c r="A18419" s="1" t="s">
        <v>10</v>
      </c>
      <c r="B18419" s="2">
        <v>44790.0</v>
      </c>
      <c r="C18419" s="3">
        <v>0.7361458333333334</v>
      </c>
      <c r="D18419" s="1">
        <v>13.056572</v>
      </c>
      <c r="E18419" s="1">
        <v>80.257844</v>
      </c>
      <c r="F18419" s="1">
        <v>5339.0</v>
      </c>
      <c r="G18419" s="1">
        <v>14.0</v>
      </c>
    </row>
    <row r="18420">
      <c r="A18420" s="1" t="s">
        <v>8</v>
      </c>
      <c r="B18420" s="2">
        <v>44790.0</v>
      </c>
      <c r="C18420" s="3">
        <v>0.7362384259259259</v>
      </c>
      <c r="D18420" s="1">
        <v>12.967657</v>
      </c>
      <c r="E18420" s="1">
        <v>80.217702</v>
      </c>
      <c r="F18420" s="1">
        <v>3143.0</v>
      </c>
      <c r="G18420" s="1">
        <v>35.0</v>
      </c>
    </row>
    <row r="18421">
      <c r="A18421" s="1" t="s">
        <v>8</v>
      </c>
      <c r="B18421" s="2">
        <v>44790.0</v>
      </c>
      <c r="C18421" s="3">
        <v>0.73625</v>
      </c>
      <c r="D18421" s="1">
        <v>12.967657</v>
      </c>
      <c r="E18421" s="1">
        <v>80.217702</v>
      </c>
      <c r="F18421" s="1">
        <v>3143.0</v>
      </c>
      <c r="G18421" s="1">
        <v>35.0</v>
      </c>
    </row>
    <row r="18422">
      <c r="A18422" s="1" t="s">
        <v>7</v>
      </c>
      <c r="B18422" s="2">
        <v>44790.0</v>
      </c>
      <c r="C18422" s="3">
        <v>0.7363541666666666</v>
      </c>
      <c r="D18422" s="1">
        <v>12.558394</v>
      </c>
      <c r="E18422" s="1">
        <v>79.910391</v>
      </c>
      <c r="F18422" s="1">
        <v>2846.0</v>
      </c>
      <c r="G18422" s="1">
        <v>57.0</v>
      </c>
    </row>
    <row r="18423">
      <c r="A18423" s="1" t="s">
        <v>10</v>
      </c>
      <c r="B18423" s="2">
        <v>44790.0</v>
      </c>
      <c r="C18423" s="3">
        <v>0.7363657407407408</v>
      </c>
      <c r="D18423" s="1">
        <v>13.055817</v>
      </c>
      <c r="E18423" s="1">
        <v>80.257694</v>
      </c>
      <c r="F18423" s="1">
        <v>5339.0</v>
      </c>
      <c r="G18423" s="1">
        <v>13.0</v>
      </c>
    </row>
    <row r="18424">
      <c r="A18424" s="1" t="s">
        <v>8</v>
      </c>
      <c r="B18424" s="2">
        <v>44790.0</v>
      </c>
      <c r="C18424" s="3">
        <v>0.7364467592592593</v>
      </c>
      <c r="D18424" s="1">
        <v>12.966189</v>
      </c>
      <c r="E18424" s="1">
        <v>80.217127</v>
      </c>
      <c r="F18424" s="1">
        <v>3143.0</v>
      </c>
      <c r="G18424" s="1">
        <v>41.0</v>
      </c>
    </row>
    <row r="18425">
      <c r="A18425" s="1" t="s">
        <v>8</v>
      </c>
      <c r="B18425" s="2">
        <v>44790.0</v>
      </c>
      <c r="C18425" s="3">
        <v>0.7367361111111111</v>
      </c>
      <c r="D18425" s="1">
        <v>12.536014</v>
      </c>
      <c r="E18425" s="1">
        <v>79.902542</v>
      </c>
      <c r="F18425" s="1">
        <v>2846.0</v>
      </c>
      <c r="G18425" s="1">
        <v>56.0</v>
      </c>
    </row>
    <row r="18426">
      <c r="A18426" s="1" t="s">
        <v>8</v>
      </c>
      <c r="B18426" s="2">
        <v>44790.0</v>
      </c>
      <c r="C18426" s="3">
        <v>0.7368865740740741</v>
      </c>
      <c r="D18426" s="1">
        <v>12.963286</v>
      </c>
      <c r="E18426" s="1">
        <v>80.21595</v>
      </c>
      <c r="F18426" s="1">
        <v>3143.0</v>
      </c>
      <c r="G18426" s="1">
        <v>33.0</v>
      </c>
    </row>
    <row r="18427">
      <c r="A18427" s="1" t="s">
        <v>8</v>
      </c>
      <c r="B18427" s="2">
        <v>44790.0</v>
      </c>
      <c r="C18427" s="3">
        <v>0.7369212962962963</v>
      </c>
      <c r="D18427" s="1">
        <v>12.963286</v>
      </c>
      <c r="E18427" s="1">
        <v>80.21595</v>
      </c>
      <c r="F18427" s="1">
        <v>3143.0</v>
      </c>
      <c r="G18427" s="1">
        <v>33.0</v>
      </c>
    </row>
    <row r="18428">
      <c r="A18428" s="1" t="s">
        <v>8</v>
      </c>
      <c r="B18428" s="2">
        <v>44790.0</v>
      </c>
      <c r="C18428" s="3">
        <v>0.7369791666666666</v>
      </c>
      <c r="D18428" s="1">
        <v>12.962387</v>
      </c>
      <c r="E18428" s="1">
        <v>80.215538</v>
      </c>
      <c r="F18428" s="1">
        <v>3143.0</v>
      </c>
      <c r="G18428" s="1">
        <v>42.0</v>
      </c>
    </row>
    <row r="18429">
      <c r="A18429" s="1" t="s">
        <v>8</v>
      </c>
      <c r="B18429" s="2">
        <v>44790.0</v>
      </c>
      <c r="C18429" s="3">
        <v>0.7370717592592593</v>
      </c>
      <c r="D18429" s="1">
        <v>12.962387</v>
      </c>
      <c r="E18429" s="1">
        <v>80.215538</v>
      </c>
      <c r="F18429" s="1">
        <v>3143.0</v>
      </c>
      <c r="G18429" s="1">
        <v>42.0</v>
      </c>
    </row>
    <row r="18430">
      <c r="A18430" s="1" t="s">
        <v>8</v>
      </c>
      <c r="B18430" s="2">
        <v>44790.0</v>
      </c>
      <c r="C18430" s="3">
        <v>0.7371412037037037</v>
      </c>
      <c r="D18430" s="1">
        <v>12.961288</v>
      </c>
      <c r="E18430" s="1">
        <v>80.215108</v>
      </c>
      <c r="F18430" s="1">
        <v>3143.0</v>
      </c>
      <c r="G18430" s="1">
        <v>50.0</v>
      </c>
    </row>
    <row r="18431">
      <c r="A18431" s="1" t="s">
        <v>8</v>
      </c>
      <c r="B18431" s="2">
        <v>44790.0</v>
      </c>
      <c r="C18431" s="3">
        <v>0.737175925925926</v>
      </c>
      <c r="D18431" s="1">
        <v>12.961288</v>
      </c>
      <c r="E18431" s="1">
        <v>80.215108</v>
      </c>
      <c r="F18431" s="1">
        <v>3143.0</v>
      </c>
      <c r="G18431" s="1">
        <v>50.0</v>
      </c>
    </row>
    <row r="18432">
      <c r="A18432" s="1" t="s">
        <v>8</v>
      </c>
      <c r="B18432" s="2">
        <v>44790.0</v>
      </c>
      <c r="C18432" s="3">
        <v>0.737349537037037</v>
      </c>
      <c r="D18432" s="1">
        <v>12.530794</v>
      </c>
      <c r="E18432" s="1">
        <v>79.899967</v>
      </c>
      <c r="F18432" s="1">
        <v>2846.0</v>
      </c>
      <c r="G18432" s="1">
        <v>56.0</v>
      </c>
    </row>
    <row r="18433">
      <c r="A18433" s="1" t="s">
        <v>10</v>
      </c>
      <c r="B18433" s="2">
        <v>44790.0</v>
      </c>
      <c r="C18433" s="3">
        <v>0.7378356481481482</v>
      </c>
      <c r="D18433" s="1">
        <v>13.053774</v>
      </c>
      <c r="E18433" s="1">
        <v>80.26565</v>
      </c>
      <c r="F18433" s="1">
        <v>5339.0</v>
      </c>
      <c r="G18433" s="1">
        <v>46.0</v>
      </c>
    </row>
    <row r="18434">
      <c r="A18434" s="1" t="s">
        <v>8</v>
      </c>
      <c r="B18434" s="2">
        <v>44790.0</v>
      </c>
      <c r="C18434" s="3">
        <v>0.7380324074074074</v>
      </c>
      <c r="D18434" s="1">
        <v>12.525024</v>
      </c>
      <c r="E18434" s="1">
        <v>79.897114</v>
      </c>
      <c r="F18434" s="1">
        <v>2846.0</v>
      </c>
      <c r="G18434" s="1">
        <v>53.0</v>
      </c>
    </row>
    <row r="18435">
      <c r="A18435" s="1" t="s">
        <v>7</v>
      </c>
      <c r="B18435" s="2">
        <v>44790.0</v>
      </c>
      <c r="C18435" s="3">
        <v>0.7381134259259259</v>
      </c>
      <c r="D18435" s="1">
        <v>12.525024</v>
      </c>
      <c r="E18435" s="1">
        <v>79.897114</v>
      </c>
      <c r="F18435" s="1">
        <v>2846.0</v>
      </c>
      <c r="G18435" s="1">
        <v>53.0</v>
      </c>
    </row>
    <row r="18436">
      <c r="A18436" s="1" t="s">
        <v>8</v>
      </c>
      <c r="B18436" s="2">
        <v>44790.0</v>
      </c>
      <c r="C18436" s="3">
        <v>0.738125</v>
      </c>
      <c r="D18436" s="1">
        <v>12.955357</v>
      </c>
      <c r="E18436" s="1">
        <v>80.212753</v>
      </c>
      <c r="F18436" s="1">
        <v>3143.0</v>
      </c>
      <c r="G18436" s="1">
        <v>43.0</v>
      </c>
    </row>
    <row r="18437">
      <c r="A18437" s="1" t="s">
        <v>10</v>
      </c>
      <c r="B18437" s="2">
        <v>44790.0</v>
      </c>
      <c r="C18437" s="3">
        <v>0.7383217592592592</v>
      </c>
      <c r="D18437" s="1">
        <v>13.05351</v>
      </c>
      <c r="E18437" s="1">
        <v>80.268385</v>
      </c>
      <c r="F18437" s="1">
        <v>5339.0</v>
      </c>
      <c r="G18437" s="1">
        <v>10.0</v>
      </c>
    </row>
    <row r="18438">
      <c r="A18438" s="1" t="s">
        <v>8</v>
      </c>
      <c r="B18438" s="2">
        <v>44790.0</v>
      </c>
      <c r="C18438" s="3">
        <v>0.7384259259259259</v>
      </c>
      <c r="D18438" s="1">
        <v>12.953553</v>
      </c>
      <c r="E18438" s="1">
        <v>80.212095</v>
      </c>
      <c r="F18438" s="1">
        <v>3143.0</v>
      </c>
      <c r="G18438" s="1">
        <v>23.0</v>
      </c>
    </row>
    <row r="18439">
      <c r="A18439" s="1" t="s">
        <v>10</v>
      </c>
      <c r="B18439" s="2">
        <v>44790.0</v>
      </c>
      <c r="C18439" s="3">
        <v>0.7393287037037037</v>
      </c>
      <c r="D18439" s="1">
        <v>13.036668</v>
      </c>
      <c r="E18439" s="1">
        <v>80.267619</v>
      </c>
      <c r="F18439" s="1">
        <v>805.0</v>
      </c>
      <c r="G18439" s="1">
        <v>21.0</v>
      </c>
    </row>
    <row r="18440">
      <c r="A18440" s="1" t="s">
        <v>8</v>
      </c>
      <c r="B18440" s="2">
        <v>44790.0</v>
      </c>
      <c r="C18440" s="3">
        <v>0.7409490740740741</v>
      </c>
      <c r="D18440" s="1">
        <v>13.03982</v>
      </c>
      <c r="E18440" s="1">
        <v>80.267808</v>
      </c>
      <c r="F18440" s="1">
        <v>805.0</v>
      </c>
      <c r="G18440" s="1">
        <v>6.0</v>
      </c>
    </row>
    <row r="18441">
      <c r="A18441" s="1" t="s">
        <v>10</v>
      </c>
      <c r="B18441" s="2">
        <v>44790.0</v>
      </c>
      <c r="C18441" s="3">
        <v>0.7413194444444444</v>
      </c>
      <c r="D18441" s="1">
        <v>13.055957</v>
      </c>
      <c r="E18441" s="1">
        <v>80.273867</v>
      </c>
      <c r="F18441" s="1">
        <v>5339.0</v>
      </c>
      <c r="G18441" s="1">
        <v>17.0</v>
      </c>
    </row>
    <row r="18442">
      <c r="A18442" s="1" t="s">
        <v>8</v>
      </c>
      <c r="B18442" s="2">
        <v>44790.0</v>
      </c>
      <c r="C18442" s="3">
        <v>0.7422569444444445</v>
      </c>
      <c r="D18442" s="1">
        <v>12.948665</v>
      </c>
      <c r="E18442" s="1">
        <v>80.206339</v>
      </c>
      <c r="F18442" s="1">
        <v>3143.0</v>
      </c>
      <c r="G18442" s="1">
        <v>13.0</v>
      </c>
    </row>
    <row r="18443">
      <c r="A18443" s="1" t="s">
        <v>8</v>
      </c>
      <c r="B18443" s="2">
        <v>44790.0</v>
      </c>
      <c r="C18443" s="3">
        <v>0.7422685185185185</v>
      </c>
      <c r="D18443" s="1">
        <v>12.948665</v>
      </c>
      <c r="E18443" s="1">
        <v>80.206339</v>
      </c>
      <c r="F18443" s="1">
        <v>3143.0</v>
      </c>
      <c r="G18443" s="1">
        <v>13.0</v>
      </c>
    </row>
    <row r="18444">
      <c r="A18444" s="1" t="s">
        <v>8</v>
      </c>
      <c r="B18444" s="2">
        <v>44790.0</v>
      </c>
      <c r="C18444" s="3">
        <v>0.7423148148148148</v>
      </c>
      <c r="D18444" s="1">
        <v>12.948679</v>
      </c>
      <c r="E18444" s="1">
        <v>80.205801</v>
      </c>
      <c r="F18444" s="1">
        <v>3143.0</v>
      </c>
      <c r="G18444" s="1">
        <v>27.0</v>
      </c>
    </row>
    <row r="18445">
      <c r="A18445" s="1" t="s">
        <v>10</v>
      </c>
      <c r="B18445" s="2">
        <v>44790.0</v>
      </c>
      <c r="C18445" s="3">
        <v>0.7424768518518519</v>
      </c>
      <c r="D18445" s="1">
        <v>13.059846</v>
      </c>
      <c r="E18445" s="1">
        <v>80.274287</v>
      </c>
      <c r="F18445" s="1">
        <v>5339.0</v>
      </c>
      <c r="G18445" s="1">
        <v>22.0</v>
      </c>
    </row>
    <row r="18446">
      <c r="A18446" s="1" t="s">
        <v>8</v>
      </c>
      <c r="B18446" s="2">
        <v>44790.0</v>
      </c>
      <c r="C18446" s="3">
        <v>0.7425347222222223</v>
      </c>
      <c r="D18446" s="1">
        <v>12.94866</v>
      </c>
      <c r="E18446" s="1">
        <v>80.203779</v>
      </c>
      <c r="F18446" s="1">
        <v>3143.0</v>
      </c>
      <c r="G18446" s="1">
        <v>47.0</v>
      </c>
    </row>
    <row r="18447">
      <c r="A18447" s="1" t="s">
        <v>10</v>
      </c>
      <c r="B18447" s="2">
        <v>44790.0</v>
      </c>
      <c r="C18447" s="3">
        <v>0.7426273148148148</v>
      </c>
      <c r="D18447" s="1">
        <v>13.060445</v>
      </c>
      <c r="E18447" s="1">
        <v>80.274323</v>
      </c>
      <c r="F18447" s="1">
        <v>5339.0</v>
      </c>
      <c r="G18447" s="1">
        <v>14.0</v>
      </c>
    </row>
    <row r="18448">
      <c r="A18448" s="1" t="s">
        <v>10</v>
      </c>
      <c r="B18448" s="2">
        <v>44790.0</v>
      </c>
      <c r="C18448" s="3">
        <v>0.7430324074074074</v>
      </c>
      <c r="D18448" s="1">
        <v>13.061182</v>
      </c>
      <c r="E18448" s="1">
        <v>80.274353</v>
      </c>
      <c r="F18448" s="1">
        <v>5339.0</v>
      </c>
      <c r="G18448" s="1">
        <v>23.0</v>
      </c>
    </row>
    <row r="18449">
      <c r="A18449" s="1" t="s">
        <v>8</v>
      </c>
      <c r="B18449" s="2">
        <v>44790.0</v>
      </c>
      <c r="C18449" s="3">
        <v>0.743125</v>
      </c>
      <c r="D18449" s="1">
        <v>13.049368</v>
      </c>
      <c r="E18449" s="1">
        <v>80.264036</v>
      </c>
      <c r="F18449" s="1">
        <v>805.0</v>
      </c>
      <c r="G18449" s="1">
        <v>28.0</v>
      </c>
    </row>
    <row r="18450">
      <c r="A18450" s="1" t="s">
        <v>10</v>
      </c>
      <c r="B18450" s="2">
        <v>44790.0</v>
      </c>
      <c r="C18450" s="3">
        <v>0.7431597222222223</v>
      </c>
      <c r="D18450" s="1">
        <v>13.061868</v>
      </c>
      <c r="E18450" s="1">
        <v>80.274317</v>
      </c>
      <c r="F18450" s="1">
        <v>5339.0</v>
      </c>
      <c r="G18450" s="1">
        <v>26.0</v>
      </c>
    </row>
    <row r="18451">
      <c r="A18451" s="1" t="s">
        <v>10</v>
      </c>
      <c r="B18451" s="2">
        <v>44790.0</v>
      </c>
      <c r="C18451" s="3">
        <v>0.7432523148148148</v>
      </c>
      <c r="D18451" s="1">
        <v>13.062378</v>
      </c>
      <c r="E18451" s="1">
        <v>80.274306</v>
      </c>
      <c r="F18451" s="1">
        <v>5339.0</v>
      </c>
      <c r="G18451" s="1">
        <v>15.0</v>
      </c>
    </row>
    <row r="18452">
      <c r="A18452" s="1" t="s">
        <v>10</v>
      </c>
      <c r="B18452" s="2">
        <v>44790.0</v>
      </c>
      <c r="C18452" s="3">
        <v>0.7433449074074074</v>
      </c>
      <c r="D18452" s="1">
        <v>13.062902</v>
      </c>
      <c r="E18452" s="1">
        <v>80.274197</v>
      </c>
      <c r="F18452" s="1">
        <v>5339.0</v>
      </c>
      <c r="G18452" s="1">
        <v>16.0</v>
      </c>
    </row>
    <row r="18453">
      <c r="A18453" s="1" t="s">
        <v>10</v>
      </c>
      <c r="B18453" s="2">
        <v>44790.0</v>
      </c>
      <c r="C18453" s="3">
        <v>0.7435995370370371</v>
      </c>
      <c r="D18453" s="1">
        <v>13.051433</v>
      </c>
      <c r="E18453" s="1">
        <v>80.263989</v>
      </c>
      <c r="F18453" s="1">
        <v>805.0</v>
      </c>
      <c r="G18453" s="1">
        <v>20.0</v>
      </c>
    </row>
    <row r="18454">
      <c r="A18454" s="1" t="s">
        <v>10</v>
      </c>
      <c r="B18454" s="2">
        <v>44790.0</v>
      </c>
      <c r="C18454" s="3">
        <v>0.7436921296296296</v>
      </c>
      <c r="D18454" s="1">
        <v>13.064067</v>
      </c>
      <c r="E18454" s="1">
        <v>80.274031</v>
      </c>
      <c r="F18454" s="1">
        <v>5339.0</v>
      </c>
      <c r="G18454" s="1">
        <v>6.0</v>
      </c>
    </row>
    <row r="18455">
      <c r="A18455" s="1" t="s">
        <v>10</v>
      </c>
      <c r="B18455" s="2">
        <v>44790.0</v>
      </c>
      <c r="C18455" s="3">
        <v>0.7437962962962963</v>
      </c>
      <c r="D18455" s="1">
        <v>13.064464</v>
      </c>
      <c r="E18455" s="1">
        <v>80.273988</v>
      </c>
      <c r="F18455" s="1">
        <v>5339.0</v>
      </c>
      <c r="G18455" s="1">
        <v>20.0</v>
      </c>
    </row>
    <row r="18456">
      <c r="A18456" s="1" t="s">
        <v>10</v>
      </c>
      <c r="B18456" s="2">
        <v>44790.0</v>
      </c>
      <c r="C18456" s="3">
        <v>0.7439351851851852</v>
      </c>
      <c r="D18456" s="1">
        <v>13.06508</v>
      </c>
      <c r="E18456" s="1">
        <v>80.273906</v>
      </c>
      <c r="F18456" s="1">
        <v>5339.0</v>
      </c>
      <c r="G18456" s="1">
        <v>25.0</v>
      </c>
    </row>
    <row r="18457">
      <c r="A18457" s="1" t="s">
        <v>10</v>
      </c>
      <c r="B18457" s="2">
        <v>44790.0</v>
      </c>
      <c r="C18457" s="3">
        <v>0.7440046296296297</v>
      </c>
      <c r="D18457" s="1">
        <v>13.065645</v>
      </c>
      <c r="E18457" s="1">
        <v>80.273828</v>
      </c>
      <c r="F18457" s="1">
        <v>5339.0</v>
      </c>
      <c r="G18457" s="1">
        <v>19.0</v>
      </c>
    </row>
    <row r="18458">
      <c r="A18458" s="1" t="s">
        <v>8</v>
      </c>
      <c r="B18458" s="2">
        <v>44790.0</v>
      </c>
      <c r="C18458" s="3">
        <v>0.744375</v>
      </c>
      <c r="D18458" s="1">
        <v>13.06729</v>
      </c>
      <c r="E18458" s="1">
        <v>80.273069</v>
      </c>
      <c r="F18458" s="1">
        <v>5339.0</v>
      </c>
      <c r="G18458" s="1">
        <v>39.0</v>
      </c>
    </row>
    <row r="18459">
      <c r="A18459" s="1" t="s">
        <v>8</v>
      </c>
      <c r="B18459" s="2">
        <v>44790.0</v>
      </c>
      <c r="C18459" s="3">
        <v>0.745011574074074</v>
      </c>
      <c r="D18459" s="1">
        <v>13.067782</v>
      </c>
      <c r="E18459" s="1">
        <v>80.270995</v>
      </c>
      <c r="F18459" s="1">
        <v>5339.0</v>
      </c>
      <c r="G18459" s="1">
        <v>31.0</v>
      </c>
    </row>
    <row r="18460">
      <c r="A18460" s="1" t="s">
        <v>10</v>
      </c>
      <c r="B18460" s="2">
        <v>44790.0</v>
      </c>
      <c r="C18460" s="3">
        <v>0.7465046296296296</v>
      </c>
      <c r="D18460" s="1">
        <v>13.06114</v>
      </c>
      <c r="E18460" s="1">
        <v>80.265169</v>
      </c>
      <c r="F18460" s="1">
        <v>805.0</v>
      </c>
      <c r="G18460" s="1">
        <v>12.0</v>
      </c>
    </row>
    <row r="18461">
      <c r="A18461" s="1" t="s">
        <v>10</v>
      </c>
      <c r="B18461" s="2">
        <v>44790.0</v>
      </c>
      <c r="C18461" s="3">
        <v>0.7472453703703704</v>
      </c>
      <c r="D18461" s="1">
        <v>13.069183</v>
      </c>
      <c r="E18461" s="1">
        <v>80.267024</v>
      </c>
      <c r="F18461" s="1">
        <v>5339.0</v>
      </c>
      <c r="G18461" s="1">
        <v>8.0</v>
      </c>
    </row>
    <row r="18462">
      <c r="A18462" s="1" t="s">
        <v>10</v>
      </c>
      <c r="B18462" s="2">
        <v>44790.0</v>
      </c>
      <c r="C18462" s="3">
        <v>0.7474884259259259</v>
      </c>
      <c r="D18462" s="1">
        <v>13.069183</v>
      </c>
      <c r="E18462" s="1">
        <v>80.267024</v>
      </c>
      <c r="F18462" s="1">
        <v>5339.0</v>
      </c>
      <c r="G18462" s="1">
        <v>8.0</v>
      </c>
    </row>
    <row r="18463">
      <c r="A18463" s="1" t="s">
        <v>8</v>
      </c>
      <c r="B18463" s="2">
        <v>44790.0</v>
      </c>
      <c r="C18463" s="3">
        <v>0.7477314814814815</v>
      </c>
      <c r="D18463" s="1">
        <v>12.948568</v>
      </c>
      <c r="E18463" s="1">
        <v>80.191944</v>
      </c>
      <c r="F18463" s="1">
        <v>3143.0</v>
      </c>
      <c r="G18463" s="1">
        <v>49.0</v>
      </c>
    </row>
    <row r="18464">
      <c r="A18464" s="1" t="s">
        <v>10</v>
      </c>
      <c r="B18464" s="2">
        <v>44790.0</v>
      </c>
      <c r="C18464" s="3">
        <v>0.7479976851851852</v>
      </c>
      <c r="D18464" s="1">
        <v>13.071274</v>
      </c>
      <c r="E18464" s="1">
        <v>80.264935</v>
      </c>
      <c r="F18464" s="1">
        <v>5339.0</v>
      </c>
      <c r="G18464" s="1">
        <v>23.0</v>
      </c>
    </row>
    <row r="18465">
      <c r="A18465" s="1" t="s">
        <v>7</v>
      </c>
      <c r="B18465" s="2">
        <v>44790.0</v>
      </c>
      <c r="C18465" s="3">
        <v>0.7486226851851852</v>
      </c>
      <c r="D18465" s="1">
        <v>12.949038</v>
      </c>
      <c r="E18465" s="1">
        <v>80.184826</v>
      </c>
      <c r="F18465" s="1">
        <v>3143.0</v>
      </c>
      <c r="G18465" s="1">
        <v>54.0</v>
      </c>
    </row>
    <row r="18466">
      <c r="A18466" s="1" t="s">
        <v>10</v>
      </c>
      <c r="B18466" s="2">
        <v>44790.0</v>
      </c>
      <c r="C18466" s="3">
        <v>0.7497569444444444</v>
      </c>
      <c r="D18466" s="1">
        <v>13.068558</v>
      </c>
      <c r="E18466" s="1">
        <v>80.268439</v>
      </c>
      <c r="F18466" s="1">
        <v>805.0</v>
      </c>
      <c r="G18466" s="1">
        <v>28.0</v>
      </c>
    </row>
    <row r="18467">
      <c r="A18467" s="1" t="s">
        <v>10</v>
      </c>
      <c r="B18467" s="2">
        <v>44790.0</v>
      </c>
      <c r="C18467" s="3">
        <v>0.7498611111111111</v>
      </c>
      <c r="D18467" s="1">
        <v>13.068558</v>
      </c>
      <c r="E18467" s="1">
        <v>80.268439</v>
      </c>
      <c r="F18467" s="1">
        <v>805.0</v>
      </c>
      <c r="G18467" s="1">
        <v>28.0</v>
      </c>
    </row>
    <row r="18468">
      <c r="A18468" s="1" t="s">
        <v>8</v>
      </c>
      <c r="B18468" s="2">
        <v>44790.0</v>
      </c>
      <c r="C18468" s="3">
        <v>0.751712962962963</v>
      </c>
      <c r="D18468" s="1">
        <v>13.066872</v>
      </c>
      <c r="E18468" s="1">
        <v>80.254355</v>
      </c>
      <c r="F18468" s="1">
        <v>5339.0</v>
      </c>
      <c r="G18468" s="1">
        <v>17.0</v>
      </c>
    </row>
    <row r="18469">
      <c r="A18469" s="1" t="s">
        <v>8</v>
      </c>
      <c r="B18469" s="2">
        <v>44790.0</v>
      </c>
      <c r="C18469" s="3">
        <v>0.751724537037037</v>
      </c>
      <c r="D18469" s="1">
        <v>13.066872</v>
      </c>
      <c r="E18469" s="1">
        <v>80.254355</v>
      </c>
      <c r="F18469" s="1">
        <v>5339.0</v>
      </c>
      <c r="G18469" s="1">
        <v>17.0</v>
      </c>
    </row>
    <row r="18470">
      <c r="A18470" s="1" t="s">
        <v>8</v>
      </c>
      <c r="B18470" s="2">
        <v>44790.0</v>
      </c>
      <c r="C18470" s="3">
        <v>0.7520833333333333</v>
      </c>
      <c r="D18470" s="1">
        <v>13.067022</v>
      </c>
      <c r="E18470" s="1">
        <v>80.253883</v>
      </c>
      <c r="F18470" s="1">
        <v>5339.0</v>
      </c>
      <c r="G18470" s="1">
        <v>29.0</v>
      </c>
    </row>
    <row r="18471">
      <c r="A18471" s="1" t="s">
        <v>8</v>
      </c>
      <c r="B18471" s="2">
        <v>44790.0</v>
      </c>
      <c r="C18471" s="3">
        <v>0.7533333333333333</v>
      </c>
      <c r="D18471" s="1">
        <v>13.067353</v>
      </c>
      <c r="E18471" s="1">
        <v>80.254868</v>
      </c>
      <c r="F18471" s="1">
        <v>805.0</v>
      </c>
      <c r="G18471" s="1">
        <v>27.0</v>
      </c>
    </row>
    <row r="18472">
      <c r="A18472" s="1" t="s">
        <v>10</v>
      </c>
      <c r="B18472" s="2">
        <v>44790.0</v>
      </c>
      <c r="C18472" s="3">
        <v>0.7541203703703704</v>
      </c>
      <c r="D18472" s="1">
        <v>13.064248</v>
      </c>
      <c r="E18472" s="1">
        <v>80.248852</v>
      </c>
      <c r="F18472" s="1">
        <v>5339.0</v>
      </c>
      <c r="G18472" s="1">
        <v>10.0</v>
      </c>
    </row>
    <row r="18473">
      <c r="A18473" s="1" t="s">
        <v>7</v>
      </c>
      <c r="B18473" s="2">
        <v>44790.0</v>
      </c>
      <c r="C18473" s="3">
        <v>0.7542013888888889</v>
      </c>
      <c r="D18473" s="1">
        <v>12.9537</v>
      </c>
      <c r="E18473" s="1">
        <v>80.162516</v>
      </c>
      <c r="F18473" s="1">
        <v>3143.0</v>
      </c>
      <c r="G18473" s="1">
        <v>43.0</v>
      </c>
    </row>
    <row r="18474">
      <c r="A18474" s="1" t="s">
        <v>8</v>
      </c>
      <c r="B18474" s="2">
        <v>44790.0</v>
      </c>
      <c r="C18474" s="3">
        <v>0.7542245370370371</v>
      </c>
      <c r="D18474" s="1">
        <v>12.953934</v>
      </c>
      <c r="E18474" s="1">
        <v>80.161319</v>
      </c>
      <c r="F18474" s="1">
        <v>3143.0</v>
      </c>
      <c r="G18474" s="1">
        <v>50.0</v>
      </c>
    </row>
    <row r="18475">
      <c r="A18475" s="1" t="s">
        <v>8</v>
      </c>
      <c r="B18475" s="2">
        <v>44790.0</v>
      </c>
      <c r="C18475" s="3">
        <v>0.7548842592592593</v>
      </c>
      <c r="D18475" s="1">
        <v>12.954612</v>
      </c>
      <c r="E18475" s="1">
        <v>80.158115</v>
      </c>
      <c r="F18475" s="1">
        <v>3143.0</v>
      </c>
      <c r="G18475" s="1">
        <v>35.0</v>
      </c>
    </row>
    <row r="18476">
      <c r="A18476" s="1" t="s">
        <v>8</v>
      </c>
      <c r="B18476" s="2">
        <v>44790.0</v>
      </c>
      <c r="C18476" s="3">
        <v>0.7551388888888889</v>
      </c>
      <c r="D18476" s="1">
        <v>12.955393</v>
      </c>
      <c r="E18476" s="1">
        <v>80.154592</v>
      </c>
      <c r="F18476" s="1">
        <v>3143.0</v>
      </c>
      <c r="G18476" s="1">
        <v>52.0</v>
      </c>
    </row>
    <row r="18477">
      <c r="A18477" s="1" t="s">
        <v>8</v>
      </c>
      <c r="B18477" s="2">
        <v>44790.0</v>
      </c>
      <c r="C18477" s="3">
        <v>0.755474537037037</v>
      </c>
      <c r="D18477" s="1">
        <v>13.067795</v>
      </c>
      <c r="E18477" s="1">
        <v>80.248148</v>
      </c>
      <c r="F18477" s="1">
        <v>805.0</v>
      </c>
      <c r="G18477" s="1">
        <v>24.0</v>
      </c>
    </row>
    <row r="18478">
      <c r="A18478" s="1" t="s">
        <v>8</v>
      </c>
      <c r="B18478" s="2">
        <v>44790.0</v>
      </c>
      <c r="C18478" s="3">
        <v>0.7554861111111111</v>
      </c>
      <c r="D18478" s="1">
        <v>13.067795</v>
      </c>
      <c r="E18478" s="1">
        <v>80.248148</v>
      </c>
      <c r="F18478" s="1">
        <v>805.0</v>
      </c>
      <c r="G18478" s="1">
        <v>24.0</v>
      </c>
    </row>
    <row r="18479">
      <c r="A18479" s="1" t="s">
        <v>8</v>
      </c>
      <c r="B18479" s="2">
        <v>44790.0</v>
      </c>
      <c r="C18479" s="3">
        <v>0.7554976851851852</v>
      </c>
      <c r="D18479" s="1">
        <v>13.067343</v>
      </c>
      <c r="E18479" s="1">
        <v>80.24792</v>
      </c>
      <c r="F18479" s="1">
        <v>805.0</v>
      </c>
      <c r="G18479" s="1">
        <v>28.0</v>
      </c>
    </row>
    <row r="18480">
      <c r="A18480" s="1" t="s">
        <v>8</v>
      </c>
      <c r="B18480" s="2">
        <v>44790.0</v>
      </c>
      <c r="C18480" s="3">
        <v>0.7554976851851852</v>
      </c>
      <c r="D18480" s="1">
        <v>13.067795</v>
      </c>
      <c r="E18480" s="1">
        <v>80.248148</v>
      </c>
      <c r="F18480" s="1">
        <v>805.0</v>
      </c>
      <c r="G18480" s="1">
        <v>24.0</v>
      </c>
    </row>
    <row r="18481">
      <c r="A18481" s="1" t="s">
        <v>8</v>
      </c>
      <c r="B18481" s="2">
        <v>44790.0</v>
      </c>
      <c r="C18481" s="3">
        <v>0.7555439814814815</v>
      </c>
      <c r="D18481" s="1">
        <v>13.067343</v>
      </c>
      <c r="E18481" s="1">
        <v>80.24792</v>
      </c>
      <c r="F18481" s="1">
        <v>805.0</v>
      </c>
      <c r="G18481" s="1">
        <v>28.0</v>
      </c>
    </row>
    <row r="18482">
      <c r="A18482" s="1" t="s">
        <v>8</v>
      </c>
      <c r="B18482" s="2">
        <v>44790.0</v>
      </c>
      <c r="C18482" s="3">
        <v>0.7557175925925926</v>
      </c>
      <c r="D18482" s="1">
        <v>12.95946</v>
      </c>
      <c r="E18482" s="1">
        <v>80.149481</v>
      </c>
      <c r="F18482" s="1">
        <v>3143.0</v>
      </c>
      <c r="G18482" s="1">
        <v>42.0</v>
      </c>
    </row>
    <row r="18483">
      <c r="A18483" s="1" t="s">
        <v>8</v>
      </c>
      <c r="B18483" s="2">
        <v>44790.0</v>
      </c>
      <c r="C18483" s="3">
        <v>0.7557870370370371</v>
      </c>
      <c r="D18483" s="1">
        <v>12.95946</v>
      </c>
      <c r="E18483" s="1">
        <v>80.149481</v>
      </c>
      <c r="F18483" s="1">
        <v>3143.0</v>
      </c>
      <c r="G18483" s="1">
        <v>42.0</v>
      </c>
    </row>
    <row r="18484">
      <c r="A18484" s="1" t="s">
        <v>8</v>
      </c>
      <c r="B18484" s="2">
        <v>44790.0</v>
      </c>
      <c r="C18484" s="3">
        <v>0.7559027777777778</v>
      </c>
      <c r="D18484" s="1">
        <v>12.959724</v>
      </c>
      <c r="E18484" s="1">
        <v>80.148497</v>
      </c>
      <c r="F18484" s="1">
        <v>3143.0</v>
      </c>
      <c r="G18484" s="1">
        <v>36.0</v>
      </c>
    </row>
    <row r="18485">
      <c r="A18485" s="1" t="s">
        <v>8</v>
      </c>
      <c r="B18485" s="2">
        <v>44790.0</v>
      </c>
      <c r="C18485" s="3">
        <v>0.7563310185185185</v>
      </c>
      <c r="D18485" s="1">
        <v>12.960129</v>
      </c>
      <c r="E18485" s="1">
        <v>80.145417</v>
      </c>
      <c r="F18485" s="1">
        <v>3143.0</v>
      </c>
      <c r="G18485" s="1">
        <v>25.0</v>
      </c>
    </row>
    <row r="18486">
      <c r="A18486" s="1" t="s">
        <v>8</v>
      </c>
      <c r="B18486" s="2">
        <v>44790.0</v>
      </c>
      <c r="C18486" s="3">
        <v>0.7566435185185185</v>
      </c>
      <c r="D18486" s="1">
        <v>12.957821</v>
      </c>
      <c r="E18486" s="1">
        <v>80.144152</v>
      </c>
      <c r="F18486" s="1">
        <v>3143.0</v>
      </c>
      <c r="G18486" s="1">
        <v>31.0</v>
      </c>
    </row>
    <row r="18487">
      <c r="A18487" s="1" t="s">
        <v>8</v>
      </c>
      <c r="B18487" s="2">
        <v>44790.0</v>
      </c>
      <c r="C18487" s="3">
        <v>0.7567361111111112</v>
      </c>
      <c r="D18487" s="1">
        <v>12.957821</v>
      </c>
      <c r="E18487" s="1">
        <v>80.144152</v>
      </c>
      <c r="F18487" s="1">
        <v>3143.0</v>
      </c>
      <c r="G18487" s="1">
        <v>31.0</v>
      </c>
    </row>
    <row r="18488">
      <c r="A18488" s="1" t="s">
        <v>8</v>
      </c>
      <c r="B18488" s="2">
        <v>44790.0</v>
      </c>
      <c r="C18488" s="3">
        <v>0.7568171296296297</v>
      </c>
      <c r="D18488" s="1">
        <v>12.957114</v>
      </c>
      <c r="E18488" s="1">
        <v>80.143762</v>
      </c>
      <c r="F18488" s="1">
        <v>3143.0</v>
      </c>
      <c r="G18488" s="1">
        <v>31.0</v>
      </c>
    </row>
    <row r="18489">
      <c r="A18489" s="1" t="s">
        <v>8</v>
      </c>
      <c r="B18489" s="2">
        <v>44790.0</v>
      </c>
      <c r="C18489" s="3">
        <v>0.7575347222222222</v>
      </c>
      <c r="D18489" s="1">
        <v>12.955585</v>
      </c>
      <c r="E18489" s="1">
        <v>80.142926</v>
      </c>
      <c r="F18489" s="1">
        <v>3143.0</v>
      </c>
      <c r="G18489" s="1">
        <v>36.0</v>
      </c>
    </row>
    <row r="18490">
      <c r="A18490" s="1" t="s">
        <v>8</v>
      </c>
      <c r="B18490" s="2">
        <v>44790.0</v>
      </c>
      <c r="C18490" s="3">
        <v>0.7577314814814815</v>
      </c>
      <c r="D18490" s="1">
        <v>12.953692</v>
      </c>
      <c r="E18490" s="1">
        <v>80.141933</v>
      </c>
      <c r="F18490" s="1">
        <v>3143.0</v>
      </c>
      <c r="G18490" s="1">
        <v>34.0</v>
      </c>
    </row>
    <row r="18491">
      <c r="A18491" s="1" t="s">
        <v>8</v>
      </c>
      <c r="B18491" s="2">
        <v>44790.0</v>
      </c>
      <c r="C18491" s="3">
        <v>0.7603472222222222</v>
      </c>
      <c r="D18491" s="1">
        <v>12.944517</v>
      </c>
      <c r="E18491" s="1">
        <v>80.134999</v>
      </c>
      <c r="F18491" s="1">
        <v>3143.0</v>
      </c>
      <c r="G18491" s="1">
        <v>36.0</v>
      </c>
    </row>
    <row r="18492">
      <c r="A18492" s="1" t="s">
        <v>8</v>
      </c>
      <c r="B18492" s="2">
        <v>44790.0</v>
      </c>
      <c r="C18492" s="3">
        <v>0.7615509259259259</v>
      </c>
      <c r="D18492" s="1">
        <v>12.940468</v>
      </c>
      <c r="E18492" s="1">
        <v>80.131057</v>
      </c>
      <c r="F18492" s="1">
        <v>3143.0</v>
      </c>
      <c r="G18492" s="1">
        <v>48.0</v>
      </c>
    </row>
    <row r="18493">
      <c r="A18493" s="1" t="s">
        <v>8</v>
      </c>
      <c r="B18493" s="2">
        <v>44790.0</v>
      </c>
      <c r="C18493" s="3">
        <v>0.7615856481481481</v>
      </c>
      <c r="D18493" s="1">
        <v>12.940468</v>
      </c>
      <c r="E18493" s="1">
        <v>80.131057</v>
      </c>
      <c r="F18493" s="1">
        <v>3143.0</v>
      </c>
      <c r="G18493" s="1">
        <v>48.0</v>
      </c>
    </row>
    <row r="18494">
      <c r="A18494" s="1" t="s">
        <v>8</v>
      </c>
      <c r="B18494" s="2">
        <v>44790.0</v>
      </c>
      <c r="C18494" s="3">
        <v>0.7631365740740741</v>
      </c>
      <c r="D18494" s="1">
        <v>12.935398</v>
      </c>
      <c r="E18494" s="1">
        <v>80.12654</v>
      </c>
      <c r="F18494" s="1">
        <v>3143.0</v>
      </c>
      <c r="G18494" s="1">
        <v>33.0</v>
      </c>
    </row>
    <row r="18495">
      <c r="A18495" s="1" t="s">
        <v>8</v>
      </c>
      <c r="B18495" s="2">
        <v>44790.0</v>
      </c>
      <c r="C18495" s="3">
        <v>0.7635300925925926</v>
      </c>
      <c r="D18495" s="1">
        <v>12.93371</v>
      </c>
      <c r="E18495" s="1">
        <v>80.124945</v>
      </c>
      <c r="F18495" s="1">
        <v>3143.0</v>
      </c>
      <c r="G18495" s="1">
        <v>41.0</v>
      </c>
    </row>
    <row r="18496">
      <c r="A18496" s="1" t="s">
        <v>8</v>
      </c>
      <c r="B18496" s="2">
        <v>44790.0</v>
      </c>
      <c r="C18496" s="3">
        <v>0.7635300925925926</v>
      </c>
      <c r="D18496" s="1">
        <v>12.93371</v>
      </c>
      <c r="E18496" s="1">
        <v>80.124945</v>
      </c>
      <c r="F18496" s="1">
        <v>3143.0</v>
      </c>
      <c r="G18496" s="1">
        <v>41.0</v>
      </c>
    </row>
    <row r="18497">
      <c r="A18497" s="1" t="s">
        <v>8</v>
      </c>
      <c r="B18497" s="2">
        <v>44790.0</v>
      </c>
      <c r="C18497" s="3">
        <v>0.7648611111111111</v>
      </c>
      <c r="D18497" s="1">
        <v>12.929716</v>
      </c>
      <c r="E18497" s="1">
        <v>80.120983</v>
      </c>
      <c r="F18497" s="1">
        <v>3143.0</v>
      </c>
      <c r="G18497" s="1">
        <v>34.0</v>
      </c>
    </row>
    <row r="18498">
      <c r="A18498" s="1" t="s">
        <v>8</v>
      </c>
      <c r="B18498" s="2">
        <v>44790.0</v>
      </c>
      <c r="C18498" s="3">
        <v>0.7650231481481482</v>
      </c>
      <c r="D18498" s="1">
        <v>12.92835</v>
      </c>
      <c r="E18498" s="1">
        <v>80.119594</v>
      </c>
      <c r="F18498" s="1">
        <v>3143.0</v>
      </c>
      <c r="G18498" s="1">
        <v>47.0</v>
      </c>
    </row>
    <row r="18499">
      <c r="A18499" s="1" t="s">
        <v>8</v>
      </c>
      <c r="B18499" s="2">
        <v>44790.0</v>
      </c>
      <c r="C18499" s="3">
        <v>0.7657638888888889</v>
      </c>
      <c r="D18499" s="1">
        <v>12.925873</v>
      </c>
      <c r="E18499" s="1">
        <v>80.117081</v>
      </c>
      <c r="F18499" s="1">
        <v>3143.0</v>
      </c>
      <c r="G18499" s="1">
        <v>40.0</v>
      </c>
    </row>
    <row r="18500">
      <c r="A18500" s="1" t="s">
        <v>7</v>
      </c>
      <c r="B18500" s="2">
        <v>44790.0</v>
      </c>
      <c r="C18500" s="3">
        <v>0.7659375</v>
      </c>
      <c r="D18500" s="1">
        <v>12.924316</v>
      </c>
      <c r="E18500" s="1">
        <v>80.115543</v>
      </c>
      <c r="F18500" s="1">
        <v>3143.0</v>
      </c>
      <c r="G18500" s="1">
        <v>50.0</v>
      </c>
    </row>
    <row r="18501">
      <c r="A18501" s="1" t="s">
        <v>8</v>
      </c>
      <c r="B18501" s="2">
        <v>44790.0</v>
      </c>
      <c r="C18501" s="3">
        <v>0.7661458333333333</v>
      </c>
      <c r="D18501" s="1">
        <v>12.922677</v>
      </c>
      <c r="E18501" s="1">
        <v>80.11388</v>
      </c>
      <c r="F18501" s="1">
        <v>3143.0</v>
      </c>
      <c r="G18501" s="1">
        <v>43.0</v>
      </c>
    </row>
    <row r="18502">
      <c r="A18502" s="1" t="s">
        <v>7</v>
      </c>
      <c r="B18502" s="2">
        <v>44790.0</v>
      </c>
      <c r="C18502" s="3">
        <v>0.7668402777777777</v>
      </c>
      <c r="D18502" s="1">
        <v>12.917968</v>
      </c>
      <c r="E18502" s="1">
        <v>80.108562</v>
      </c>
      <c r="F18502" s="1">
        <v>3143.0</v>
      </c>
      <c r="G18502" s="1">
        <v>57.0</v>
      </c>
    </row>
    <row r="18503">
      <c r="A18503" s="1" t="s">
        <v>8</v>
      </c>
      <c r="B18503" s="2">
        <v>44790.0</v>
      </c>
      <c r="C18503" s="3">
        <v>0.7669791666666667</v>
      </c>
      <c r="D18503" s="1">
        <v>12.9172</v>
      </c>
      <c r="E18503" s="1">
        <v>80.107574</v>
      </c>
      <c r="F18503" s="1">
        <v>3143.0</v>
      </c>
      <c r="G18503" s="1">
        <v>35.0</v>
      </c>
    </row>
    <row r="18504">
      <c r="A18504" s="1" t="s">
        <v>8</v>
      </c>
      <c r="B18504" s="2">
        <v>44790.0</v>
      </c>
      <c r="C18504" s="3">
        <v>0.7671064814814815</v>
      </c>
      <c r="D18504" s="1">
        <v>12.916826</v>
      </c>
      <c r="E18504" s="1">
        <v>80.106888</v>
      </c>
      <c r="F18504" s="1">
        <v>3143.0</v>
      </c>
      <c r="G18504" s="1">
        <v>31.0</v>
      </c>
    </row>
    <row r="18505">
      <c r="A18505" s="1" t="s">
        <v>8</v>
      </c>
      <c r="B18505" s="2">
        <v>44790.0</v>
      </c>
      <c r="C18505" s="3">
        <v>0.7674537037037037</v>
      </c>
      <c r="D18505" s="1">
        <v>12.915432</v>
      </c>
      <c r="E18505" s="1">
        <v>80.104314</v>
      </c>
      <c r="F18505" s="1">
        <v>3143.0</v>
      </c>
      <c r="G18505" s="1">
        <v>41.0</v>
      </c>
    </row>
    <row r="18506">
      <c r="A18506" s="1" t="s">
        <v>8</v>
      </c>
      <c r="B18506" s="2">
        <v>44790.0</v>
      </c>
      <c r="C18506" s="3">
        <v>0.7683217592592593</v>
      </c>
      <c r="D18506" s="1">
        <v>12.910421</v>
      </c>
      <c r="E18506" s="1">
        <v>80.101032</v>
      </c>
      <c r="F18506" s="1">
        <v>3143.0</v>
      </c>
      <c r="G18506" s="1">
        <v>48.0</v>
      </c>
    </row>
    <row r="18507">
      <c r="A18507" s="1" t="s">
        <v>8</v>
      </c>
      <c r="B18507" s="2">
        <v>44790.0</v>
      </c>
      <c r="C18507" s="3">
        <v>0.7699421296296296</v>
      </c>
      <c r="D18507" s="1">
        <v>12.905473</v>
      </c>
      <c r="E18507" s="1">
        <v>80.095791</v>
      </c>
      <c r="F18507" s="1">
        <v>3143.0</v>
      </c>
      <c r="G18507" s="1">
        <v>22.0</v>
      </c>
    </row>
    <row r="18508">
      <c r="A18508" s="1" t="s">
        <v>8</v>
      </c>
      <c r="B18508" s="2">
        <v>44790.0</v>
      </c>
      <c r="C18508" s="3">
        <v>0.7699652777777778</v>
      </c>
      <c r="D18508" s="1">
        <v>12.905014</v>
      </c>
      <c r="E18508" s="1">
        <v>80.095457</v>
      </c>
      <c r="F18508" s="1">
        <v>3143.0</v>
      </c>
      <c r="G18508" s="1">
        <v>25.0</v>
      </c>
    </row>
    <row r="18509">
      <c r="A18509" s="1" t="s">
        <v>8</v>
      </c>
      <c r="B18509" s="2">
        <v>44790.0</v>
      </c>
      <c r="C18509" s="3">
        <v>0.7700925925925926</v>
      </c>
      <c r="D18509" s="1">
        <v>12.904382</v>
      </c>
      <c r="E18509" s="1">
        <v>80.094998</v>
      </c>
      <c r="F18509" s="1">
        <v>3143.0</v>
      </c>
      <c r="G18509" s="1">
        <v>36.0</v>
      </c>
    </row>
    <row r="18510">
      <c r="A18510" s="1" t="s">
        <v>8</v>
      </c>
      <c r="B18510" s="2">
        <v>44790.0</v>
      </c>
      <c r="C18510" s="3">
        <v>0.7702083333333334</v>
      </c>
      <c r="D18510" s="1">
        <v>12.903745</v>
      </c>
      <c r="E18510" s="1">
        <v>80.094446</v>
      </c>
      <c r="F18510" s="1">
        <v>3143.0</v>
      </c>
      <c r="G18510" s="1">
        <v>28.0</v>
      </c>
    </row>
    <row r="18511">
      <c r="A18511" s="1" t="s">
        <v>8</v>
      </c>
      <c r="B18511" s="2">
        <v>44790.0</v>
      </c>
      <c r="C18511" s="3">
        <v>0.7702083333333334</v>
      </c>
      <c r="D18511" s="1">
        <v>12.903745</v>
      </c>
      <c r="E18511" s="1">
        <v>80.094446</v>
      </c>
      <c r="F18511" s="1">
        <v>3143.0</v>
      </c>
      <c r="G18511" s="1">
        <v>28.0</v>
      </c>
    </row>
    <row r="18512">
      <c r="A18512" s="1" t="s">
        <v>8</v>
      </c>
      <c r="B18512" s="2">
        <v>44790.0</v>
      </c>
      <c r="C18512" s="3">
        <v>0.7702314814814815</v>
      </c>
      <c r="D18512" s="1">
        <v>12.903745</v>
      </c>
      <c r="E18512" s="1">
        <v>80.094446</v>
      </c>
      <c r="F18512" s="1">
        <v>3143.0</v>
      </c>
      <c r="G18512" s="1">
        <v>28.0</v>
      </c>
    </row>
    <row r="18513">
      <c r="A18513" s="1" t="s">
        <v>8</v>
      </c>
      <c r="B18513" s="2">
        <v>44790.0</v>
      </c>
      <c r="C18513" s="3">
        <v>0.770613425925926</v>
      </c>
      <c r="D18513" s="1">
        <v>12.901569</v>
      </c>
      <c r="E18513" s="1">
        <v>80.092686</v>
      </c>
      <c r="F18513" s="1">
        <v>3143.0</v>
      </c>
      <c r="G18513" s="1">
        <v>48.0</v>
      </c>
    </row>
    <row r="18514">
      <c r="A18514" s="1" t="s">
        <v>9</v>
      </c>
      <c r="B18514" s="2">
        <v>44790.0</v>
      </c>
      <c r="C18514" s="3">
        <v>0.7709143518518519</v>
      </c>
      <c r="D18514" s="1">
        <v>12.898775</v>
      </c>
      <c r="E18514" s="1">
        <v>80.090558</v>
      </c>
      <c r="F18514" s="1">
        <v>3143.0</v>
      </c>
      <c r="G18514" s="1">
        <v>45.0</v>
      </c>
    </row>
    <row r="18515">
      <c r="A18515" s="1" t="s">
        <v>7</v>
      </c>
      <c r="B18515" s="2">
        <v>44790.0</v>
      </c>
      <c r="C18515" s="3">
        <v>0.7713657407407407</v>
      </c>
      <c r="D18515" s="1">
        <v>12.895533</v>
      </c>
      <c r="E18515" s="1">
        <v>80.088139</v>
      </c>
      <c r="F18515" s="1">
        <v>3143.0</v>
      </c>
      <c r="G18515" s="1">
        <v>50.0</v>
      </c>
    </row>
    <row r="18516">
      <c r="A18516" s="1" t="s">
        <v>7</v>
      </c>
      <c r="B18516" s="2">
        <v>44790.0</v>
      </c>
      <c r="C18516" s="3">
        <v>0.7719560185185185</v>
      </c>
      <c r="D18516" s="1">
        <v>12.890106</v>
      </c>
      <c r="E18516" s="1">
        <v>80.084648</v>
      </c>
      <c r="F18516" s="1">
        <v>3143.0</v>
      </c>
      <c r="G18516" s="1">
        <v>56.0</v>
      </c>
    </row>
    <row r="18517">
      <c r="A18517" s="1" t="s">
        <v>8</v>
      </c>
      <c r="B18517" s="2">
        <v>44790.0</v>
      </c>
      <c r="C18517" s="3">
        <v>0.7725115740740741</v>
      </c>
      <c r="D18517" s="1">
        <v>12.884057</v>
      </c>
      <c r="E18517" s="1">
        <v>80.082266</v>
      </c>
      <c r="F18517" s="1">
        <v>3143.0</v>
      </c>
      <c r="G18517" s="1">
        <v>36.0</v>
      </c>
    </row>
    <row r="18518">
      <c r="A18518" s="1" t="s">
        <v>8</v>
      </c>
      <c r="B18518" s="2">
        <v>44791.0</v>
      </c>
      <c r="C18518" s="3">
        <v>0.2704398148148148</v>
      </c>
      <c r="D18518" s="1">
        <v>12.900585</v>
      </c>
      <c r="E18518" s="1">
        <v>80.091827</v>
      </c>
      <c r="F18518" s="1">
        <v>3143.0</v>
      </c>
      <c r="G18518" s="1">
        <v>55.0</v>
      </c>
    </row>
    <row r="18519">
      <c r="A18519" s="1" t="s">
        <v>7</v>
      </c>
      <c r="B18519" s="2">
        <v>44791.0</v>
      </c>
      <c r="C18519" s="3">
        <v>0.27065972222222223</v>
      </c>
      <c r="D18519" s="1">
        <v>12.90168</v>
      </c>
      <c r="E18519" s="1">
        <v>80.092612</v>
      </c>
      <c r="F18519" s="1">
        <v>3143.0</v>
      </c>
      <c r="G18519" s="1">
        <v>55.0</v>
      </c>
    </row>
    <row r="18520">
      <c r="A18520" s="1" t="s">
        <v>8</v>
      </c>
      <c r="B18520" s="2">
        <v>44791.0</v>
      </c>
      <c r="C18520" s="3">
        <v>0.2707523148148148</v>
      </c>
      <c r="D18520" s="1">
        <v>12.90279</v>
      </c>
      <c r="E18520" s="1">
        <v>80.093437</v>
      </c>
      <c r="F18520" s="1">
        <v>3143.0</v>
      </c>
      <c r="G18520" s="1">
        <v>50.0</v>
      </c>
    </row>
    <row r="18521">
      <c r="A18521" s="1" t="s">
        <v>7</v>
      </c>
      <c r="B18521" s="2">
        <v>44791.0</v>
      </c>
      <c r="C18521" s="3">
        <v>0.27099537037037036</v>
      </c>
      <c r="D18521" s="1">
        <v>12.904802</v>
      </c>
      <c r="E18521" s="1">
        <v>80.094942</v>
      </c>
      <c r="F18521" s="1">
        <v>3143.0</v>
      </c>
      <c r="G18521" s="1">
        <v>49.0</v>
      </c>
    </row>
    <row r="18522">
      <c r="A18522" s="1" t="s">
        <v>8</v>
      </c>
      <c r="B18522" s="2">
        <v>44791.0</v>
      </c>
      <c r="C18522" s="3">
        <v>0.27153935185185185</v>
      </c>
      <c r="D18522" s="1">
        <v>12.909677</v>
      </c>
      <c r="E18522" s="1">
        <v>80.099376</v>
      </c>
      <c r="F18522" s="1">
        <v>3143.0</v>
      </c>
      <c r="G18522" s="1">
        <v>48.0</v>
      </c>
    </row>
    <row r="18523">
      <c r="A18523" s="1" t="s">
        <v>7</v>
      </c>
      <c r="B18523" s="2">
        <v>44791.0</v>
      </c>
      <c r="C18523" s="3">
        <v>0.2718055555555556</v>
      </c>
      <c r="D18523" s="1">
        <v>12.911514</v>
      </c>
      <c r="E18523" s="1">
        <v>80.101312</v>
      </c>
      <c r="F18523" s="1">
        <v>3143.0</v>
      </c>
      <c r="G18523" s="1">
        <v>48.0</v>
      </c>
    </row>
    <row r="18524">
      <c r="A18524" s="1" t="s">
        <v>8</v>
      </c>
      <c r="B18524" s="2">
        <v>44791.0</v>
      </c>
      <c r="C18524" s="3">
        <v>0.27564814814814814</v>
      </c>
      <c r="D18524" s="1">
        <v>12.928575</v>
      </c>
      <c r="E18524" s="1">
        <v>80.119677</v>
      </c>
      <c r="F18524" s="1">
        <v>3143.0</v>
      </c>
      <c r="G18524" s="1">
        <v>34.0</v>
      </c>
    </row>
    <row r="18525">
      <c r="A18525" s="1" t="s">
        <v>7</v>
      </c>
      <c r="B18525" s="2">
        <v>44791.0</v>
      </c>
      <c r="C18525" s="3">
        <v>0.2778587962962963</v>
      </c>
      <c r="D18525" s="1">
        <v>12.94099</v>
      </c>
      <c r="E18525" s="1">
        <v>80.131499</v>
      </c>
      <c r="F18525" s="1">
        <v>3143.0</v>
      </c>
      <c r="G18525" s="1">
        <v>58.0</v>
      </c>
    </row>
    <row r="18526">
      <c r="A18526" s="1" t="s">
        <v>7</v>
      </c>
      <c r="B18526" s="2">
        <v>44791.0</v>
      </c>
      <c r="C18526" s="3">
        <v>0.2781712962962963</v>
      </c>
      <c r="D18526" s="1">
        <v>12.944148</v>
      </c>
      <c r="E18526" s="1">
        <v>80.134638</v>
      </c>
      <c r="F18526" s="1">
        <v>3143.0</v>
      </c>
      <c r="G18526" s="1">
        <v>58.0</v>
      </c>
    </row>
    <row r="18527">
      <c r="A18527" s="1" t="s">
        <v>7</v>
      </c>
      <c r="B18527" s="2">
        <v>44791.0</v>
      </c>
      <c r="C18527" s="3">
        <v>0.27837962962962964</v>
      </c>
      <c r="D18527" s="1">
        <v>12.946011</v>
      </c>
      <c r="E18527" s="1">
        <v>80.136089</v>
      </c>
      <c r="F18527" s="1">
        <v>3143.0</v>
      </c>
      <c r="G18527" s="1">
        <v>57.0</v>
      </c>
    </row>
    <row r="18528">
      <c r="A18528" s="1" t="s">
        <v>7</v>
      </c>
      <c r="B18528" s="2">
        <v>44791.0</v>
      </c>
      <c r="C18528" s="3">
        <v>0.2786689814814815</v>
      </c>
      <c r="D18528" s="1">
        <v>12.947916</v>
      </c>
      <c r="E18528" s="1">
        <v>80.137493</v>
      </c>
      <c r="F18528" s="1">
        <v>3143.0</v>
      </c>
      <c r="G18528" s="1">
        <v>57.0</v>
      </c>
    </row>
    <row r="18529">
      <c r="A18529" s="1" t="s">
        <v>7</v>
      </c>
      <c r="B18529" s="2">
        <v>44791.0</v>
      </c>
      <c r="C18529" s="3">
        <v>0.2798148148148148</v>
      </c>
      <c r="D18529" s="1">
        <v>12.95317</v>
      </c>
      <c r="E18529" s="1">
        <v>80.141492</v>
      </c>
      <c r="F18529" s="1">
        <v>3143.0</v>
      </c>
      <c r="G18529" s="1">
        <v>50.0</v>
      </c>
    </row>
    <row r="18530">
      <c r="A18530" s="1" t="s">
        <v>8</v>
      </c>
      <c r="B18530" s="2">
        <v>44791.0</v>
      </c>
      <c r="C18530" s="3">
        <v>0.2798263888888889</v>
      </c>
      <c r="D18530" s="1">
        <v>12.95317</v>
      </c>
      <c r="E18530" s="1">
        <v>80.141492</v>
      </c>
      <c r="F18530" s="1">
        <v>3143.0</v>
      </c>
      <c r="G18530" s="1">
        <v>50.0</v>
      </c>
    </row>
    <row r="18531">
      <c r="A18531" s="1" t="s">
        <v>7</v>
      </c>
      <c r="B18531" s="2">
        <v>44791.0</v>
      </c>
      <c r="C18531" s="3">
        <v>0.2799421296296296</v>
      </c>
      <c r="D18531" s="1">
        <v>12.95317</v>
      </c>
      <c r="E18531" s="1">
        <v>80.141492</v>
      </c>
      <c r="F18531" s="1">
        <v>3143.0</v>
      </c>
      <c r="G18531" s="1">
        <v>50.0</v>
      </c>
    </row>
    <row r="18532">
      <c r="A18532" s="1" t="s">
        <v>8</v>
      </c>
      <c r="B18532" s="2">
        <v>44791.0</v>
      </c>
      <c r="C18532" s="3">
        <v>0.28086805555555555</v>
      </c>
      <c r="D18532" s="1">
        <v>12.958062</v>
      </c>
      <c r="E18532" s="1">
        <v>80.144035</v>
      </c>
      <c r="F18532" s="1">
        <v>3143.0</v>
      </c>
      <c r="G18532" s="1">
        <v>37.0</v>
      </c>
    </row>
    <row r="18533">
      <c r="A18533" s="1" t="s">
        <v>7</v>
      </c>
      <c r="B18533" s="2">
        <v>44791.0</v>
      </c>
      <c r="C18533" s="3">
        <v>0.28207175925925926</v>
      </c>
      <c r="D18533" s="1">
        <v>12.957985</v>
      </c>
      <c r="E18533" s="1">
        <v>80.150876</v>
      </c>
      <c r="F18533" s="1">
        <v>3143.0</v>
      </c>
      <c r="G18533" s="1">
        <v>51.0</v>
      </c>
    </row>
    <row r="18534">
      <c r="A18534" s="1" t="s">
        <v>7</v>
      </c>
      <c r="B18534" s="2">
        <v>44791.0</v>
      </c>
      <c r="C18534" s="3">
        <v>0.2827546296296296</v>
      </c>
      <c r="D18534" s="1">
        <v>12.955067</v>
      </c>
      <c r="E18534" s="1">
        <v>80.156521</v>
      </c>
      <c r="F18534" s="1">
        <v>3143.0</v>
      </c>
      <c r="G18534" s="1">
        <v>57.0</v>
      </c>
    </row>
    <row r="18535">
      <c r="A18535" s="1" t="s">
        <v>7</v>
      </c>
      <c r="B18535" s="2">
        <v>44791.0</v>
      </c>
      <c r="C18535" s="3">
        <v>0.28305555555555556</v>
      </c>
      <c r="D18535" s="1">
        <v>12.954219</v>
      </c>
      <c r="E18535" s="1">
        <v>80.160618</v>
      </c>
      <c r="F18535" s="1">
        <v>3143.0</v>
      </c>
      <c r="G18535" s="1">
        <v>55.0</v>
      </c>
    </row>
    <row r="18536">
      <c r="A18536" s="1" t="s">
        <v>7</v>
      </c>
      <c r="B18536" s="2">
        <v>44791.0</v>
      </c>
      <c r="C18536" s="3">
        <v>0.2861574074074074</v>
      </c>
      <c r="D18536" s="1">
        <v>12.949364</v>
      </c>
      <c r="E18536" s="1">
        <v>80.184196</v>
      </c>
      <c r="F18536" s="1">
        <v>3143.0</v>
      </c>
      <c r="G18536" s="1">
        <v>43.0</v>
      </c>
    </row>
    <row r="18537">
      <c r="A18537" s="1" t="s">
        <v>7</v>
      </c>
      <c r="B18537" s="2">
        <v>44791.0</v>
      </c>
      <c r="C18537" s="3">
        <v>0.28619212962962964</v>
      </c>
      <c r="D18537" s="1">
        <v>12.94884</v>
      </c>
      <c r="E18537" s="1">
        <v>80.189848</v>
      </c>
      <c r="F18537" s="1">
        <v>3143.0</v>
      </c>
      <c r="G18537" s="1">
        <v>47.0</v>
      </c>
    </row>
    <row r="18538">
      <c r="A18538" s="1" t="s">
        <v>7</v>
      </c>
      <c r="B18538" s="2">
        <v>44791.0</v>
      </c>
      <c r="C18538" s="3">
        <v>0.28651620370370373</v>
      </c>
      <c r="D18538" s="1">
        <v>12.948626</v>
      </c>
      <c r="E18538" s="1">
        <v>80.193733</v>
      </c>
      <c r="F18538" s="1">
        <v>3143.0</v>
      </c>
      <c r="G18538" s="1">
        <v>51.0</v>
      </c>
    </row>
    <row r="18539">
      <c r="A18539" s="1" t="s">
        <v>7</v>
      </c>
      <c r="B18539" s="2">
        <v>44791.0</v>
      </c>
      <c r="C18539" s="3">
        <v>0.28686342592592595</v>
      </c>
      <c r="D18539" s="1">
        <v>12.440117</v>
      </c>
      <c r="E18539" s="1">
        <v>79.835892</v>
      </c>
      <c r="F18539" s="1">
        <v>2846.0</v>
      </c>
      <c r="G18539" s="1">
        <v>37.0</v>
      </c>
    </row>
    <row r="18540">
      <c r="A18540" s="1" t="s">
        <v>7</v>
      </c>
      <c r="B18540" s="2">
        <v>44791.0</v>
      </c>
      <c r="C18540" s="3">
        <v>0.28694444444444445</v>
      </c>
      <c r="D18540" s="1">
        <v>12.4421</v>
      </c>
      <c r="E18540" s="1">
        <v>79.836757</v>
      </c>
      <c r="F18540" s="1">
        <v>2846.0</v>
      </c>
      <c r="G18540" s="1">
        <v>52.0</v>
      </c>
    </row>
    <row r="18541">
      <c r="A18541" s="1" t="s">
        <v>7</v>
      </c>
      <c r="B18541" s="2">
        <v>44791.0</v>
      </c>
      <c r="C18541" s="3">
        <v>0.2871064814814815</v>
      </c>
      <c r="D18541" s="1">
        <v>12.94862</v>
      </c>
      <c r="E18541" s="1">
        <v>80.199463</v>
      </c>
      <c r="F18541" s="1">
        <v>3143.0</v>
      </c>
      <c r="G18541" s="1">
        <v>48.0</v>
      </c>
    </row>
    <row r="18542">
      <c r="A18542" s="1" t="s">
        <v>7</v>
      </c>
      <c r="B18542" s="2">
        <v>44791.0</v>
      </c>
      <c r="C18542" s="3">
        <v>0.28724537037037035</v>
      </c>
      <c r="D18542" s="1">
        <v>12.4421</v>
      </c>
      <c r="E18542" s="1">
        <v>79.836757</v>
      </c>
      <c r="F18542" s="1">
        <v>2846.0</v>
      </c>
      <c r="G18542" s="1">
        <v>52.0</v>
      </c>
    </row>
    <row r="18543">
      <c r="A18543" s="1" t="s">
        <v>7</v>
      </c>
      <c r="B18543" s="2">
        <v>44791.0</v>
      </c>
      <c r="C18543" s="3">
        <v>0.28729166666666667</v>
      </c>
      <c r="D18543" s="1">
        <v>12.948672</v>
      </c>
      <c r="E18543" s="1">
        <v>80.201327</v>
      </c>
      <c r="F18543" s="1">
        <v>3143.0</v>
      </c>
      <c r="G18543" s="1">
        <v>47.0</v>
      </c>
    </row>
    <row r="18544">
      <c r="A18544" s="1" t="s">
        <v>7</v>
      </c>
      <c r="B18544" s="2">
        <v>44791.0</v>
      </c>
      <c r="C18544" s="3">
        <v>0.28747685185185184</v>
      </c>
      <c r="D18544" s="1">
        <v>12.447011</v>
      </c>
      <c r="E18544" s="1">
        <v>79.838605</v>
      </c>
      <c r="F18544" s="1">
        <v>2846.0</v>
      </c>
      <c r="G18544" s="1">
        <v>57.0</v>
      </c>
    </row>
    <row r="18545">
      <c r="A18545" s="1" t="s">
        <v>7</v>
      </c>
      <c r="B18545" s="2">
        <v>44791.0</v>
      </c>
      <c r="C18545" s="3">
        <v>0.28903935185185187</v>
      </c>
      <c r="D18545" s="1">
        <v>12.463114</v>
      </c>
      <c r="E18545" s="1">
        <v>79.848052</v>
      </c>
      <c r="F18545" s="1">
        <v>2846.0</v>
      </c>
      <c r="G18545" s="1">
        <v>56.0</v>
      </c>
    </row>
    <row r="18546">
      <c r="A18546" s="1" t="s">
        <v>7</v>
      </c>
      <c r="B18546" s="2">
        <v>44791.0</v>
      </c>
      <c r="C18546" s="3">
        <v>0.28913194444444446</v>
      </c>
      <c r="D18546" s="1">
        <v>12.463114</v>
      </c>
      <c r="E18546" s="1">
        <v>79.848052</v>
      </c>
      <c r="F18546" s="1">
        <v>2846.0</v>
      </c>
      <c r="G18546" s="1">
        <v>56.0</v>
      </c>
    </row>
    <row r="18547">
      <c r="A18547" s="1" t="s">
        <v>8</v>
      </c>
      <c r="B18547" s="2">
        <v>44791.0</v>
      </c>
      <c r="C18547" s="3">
        <v>0.2920833333333333</v>
      </c>
      <c r="D18547" s="1">
        <v>12.975849</v>
      </c>
      <c r="E18547" s="1">
        <v>80.221046</v>
      </c>
      <c r="F18547" s="1">
        <v>3143.0</v>
      </c>
      <c r="G18547" s="1">
        <v>0.0</v>
      </c>
    </row>
    <row r="18548">
      <c r="A18548" s="1" t="s">
        <v>7</v>
      </c>
      <c r="B18548" s="2">
        <v>44791.0</v>
      </c>
      <c r="C18548" s="3">
        <v>0.29216435185185186</v>
      </c>
      <c r="D18548" s="1">
        <v>12.495406</v>
      </c>
      <c r="E18548" s="1">
        <v>79.871478</v>
      </c>
      <c r="F18548" s="1">
        <v>2846.0</v>
      </c>
      <c r="G18548" s="1">
        <v>55.0</v>
      </c>
    </row>
    <row r="18549">
      <c r="A18549" s="1" t="s">
        <v>8</v>
      </c>
      <c r="B18549" s="2">
        <v>44791.0</v>
      </c>
      <c r="C18549" s="3">
        <v>0.2924421296296296</v>
      </c>
      <c r="D18549" s="1">
        <v>12.975931</v>
      </c>
      <c r="E18549" s="1">
        <v>80.221132</v>
      </c>
      <c r="F18549" s="1">
        <v>3143.0</v>
      </c>
      <c r="G18549" s="1">
        <v>15.0</v>
      </c>
    </row>
    <row r="18550">
      <c r="A18550" s="1" t="s">
        <v>8</v>
      </c>
      <c r="B18550" s="2">
        <v>44791.0</v>
      </c>
      <c r="C18550" s="3">
        <v>0.29252314814814817</v>
      </c>
      <c r="D18550" s="1">
        <v>12.975931</v>
      </c>
      <c r="E18550" s="1">
        <v>80.221132</v>
      </c>
      <c r="F18550" s="1">
        <v>3143.0</v>
      </c>
      <c r="G18550" s="1">
        <v>15.0</v>
      </c>
    </row>
    <row r="18551">
      <c r="A18551" s="1" t="s">
        <v>7</v>
      </c>
      <c r="B18551" s="2">
        <v>44791.0</v>
      </c>
      <c r="C18551" s="3">
        <v>0.29388888888888887</v>
      </c>
      <c r="D18551" s="1">
        <v>12.508156</v>
      </c>
      <c r="E18551" s="1">
        <v>79.881622</v>
      </c>
      <c r="F18551" s="1">
        <v>2846.0</v>
      </c>
      <c r="G18551" s="1">
        <v>52.0</v>
      </c>
    </row>
    <row r="18552">
      <c r="A18552" s="1" t="s">
        <v>10</v>
      </c>
      <c r="B18552" s="2">
        <v>44791.0</v>
      </c>
      <c r="C18552" s="3">
        <v>0.2944097222222222</v>
      </c>
      <c r="D18552" s="1">
        <v>13.061782</v>
      </c>
      <c r="E18552" s="1">
        <v>80.247638</v>
      </c>
      <c r="F18552" s="1">
        <v>5339.0</v>
      </c>
      <c r="G18552" s="1">
        <v>18.0</v>
      </c>
    </row>
    <row r="18553">
      <c r="A18553" s="1" t="s">
        <v>10</v>
      </c>
      <c r="B18553" s="2">
        <v>44791.0</v>
      </c>
      <c r="C18553" s="3">
        <v>0.29505787037037035</v>
      </c>
      <c r="D18553" s="1">
        <v>13.063468</v>
      </c>
      <c r="E18553" s="1">
        <v>80.243821</v>
      </c>
      <c r="F18553" s="1">
        <v>5339.0</v>
      </c>
      <c r="G18553" s="1">
        <v>30.0</v>
      </c>
    </row>
    <row r="18554">
      <c r="A18554" s="1" t="s">
        <v>7</v>
      </c>
      <c r="B18554" s="2">
        <v>44791.0</v>
      </c>
      <c r="C18554" s="3">
        <v>0.29984953703703704</v>
      </c>
      <c r="D18554" s="1">
        <v>12.512343</v>
      </c>
      <c r="E18554" s="1">
        <v>79.886122</v>
      </c>
      <c r="F18554" s="1">
        <v>2846.0</v>
      </c>
      <c r="G18554" s="1">
        <v>30.0</v>
      </c>
    </row>
    <row r="18555">
      <c r="A18555" s="1" t="s">
        <v>7</v>
      </c>
      <c r="B18555" s="2">
        <v>44791.0</v>
      </c>
      <c r="C18555" s="3">
        <v>0.3000231481481481</v>
      </c>
      <c r="D18555" s="1">
        <v>12.518204</v>
      </c>
      <c r="E18555" s="1">
        <v>79.887965</v>
      </c>
      <c r="F18555" s="1">
        <v>2846.0</v>
      </c>
      <c r="G18555" s="1">
        <v>60.0</v>
      </c>
    </row>
    <row r="18556">
      <c r="A18556" s="1" t="s">
        <v>10</v>
      </c>
      <c r="B18556" s="2">
        <v>44791.0</v>
      </c>
      <c r="C18556" s="3">
        <v>0.30038194444444444</v>
      </c>
      <c r="D18556" s="1">
        <v>13.06893</v>
      </c>
      <c r="E18556" s="1">
        <v>80.267551</v>
      </c>
      <c r="F18556" s="1">
        <v>5339.0</v>
      </c>
      <c r="G18556" s="1">
        <v>24.0</v>
      </c>
    </row>
    <row r="18557">
      <c r="A18557" s="1" t="s">
        <v>7</v>
      </c>
      <c r="B18557" s="2">
        <v>44791.0</v>
      </c>
      <c r="C18557" s="3">
        <v>0.30072916666666666</v>
      </c>
      <c r="D18557" s="1">
        <v>12.518391</v>
      </c>
      <c r="E18557" s="1">
        <v>79.891807</v>
      </c>
      <c r="F18557" s="1">
        <v>2846.0</v>
      </c>
      <c r="G18557" s="1">
        <v>49.0</v>
      </c>
    </row>
    <row r="18558">
      <c r="A18558" s="1" t="s">
        <v>7</v>
      </c>
      <c r="B18558" s="2">
        <v>44791.0</v>
      </c>
      <c r="C18558" s="3">
        <v>0.3022916666666667</v>
      </c>
      <c r="D18558" s="1">
        <v>12.530435</v>
      </c>
      <c r="E18558" s="1">
        <v>79.899587</v>
      </c>
      <c r="F18558" s="1">
        <v>2846.0</v>
      </c>
      <c r="G18558" s="1">
        <v>42.0</v>
      </c>
    </row>
    <row r="18559">
      <c r="A18559" s="1" t="s">
        <v>7</v>
      </c>
      <c r="B18559" s="2">
        <v>44791.0</v>
      </c>
      <c r="C18559" s="3">
        <v>0.30486111111111114</v>
      </c>
      <c r="D18559" s="1">
        <v>12.549644</v>
      </c>
      <c r="E18559" s="1">
        <v>79.905995</v>
      </c>
      <c r="F18559" s="1">
        <v>2846.0</v>
      </c>
      <c r="G18559" s="1">
        <v>57.0</v>
      </c>
    </row>
    <row r="18560">
      <c r="A18560" s="1" t="s">
        <v>8</v>
      </c>
      <c r="B18560" s="2">
        <v>44791.0</v>
      </c>
      <c r="C18560" s="3">
        <v>0.30493055555555554</v>
      </c>
      <c r="D18560" s="1">
        <v>12.56521</v>
      </c>
      <c r="E18560" s="1">
        <v>79.914228</v>
      </c>
      <c r="F18560" s="1">
        <v>2846.0</v>
      </c>
      <c r="G18560" s="1">
        <v>53.0</v>
      </c>
    </row>
    <row r="18561">
      <c r="A18561" s="1" t="s">
        <v>10</v>
      </c>
      <c r="B18561" s="2">
        <v>44791.0</v>
      </c>
      <c r="C18561" s="3">
        <v>0.30701388888888886</v>
      </c>
      <c r="D18561" s="1">
        <v>13.052914</v>
      </c>
      <c r="E18561" s="1">
        <v>80.273532</v>
      </c>
      <c r="F18561" s="1">
        <v>5339.0</v>
      </c>
      <c r="G18561" s="1">
        <v>19.0</v>
      </c>
    </row>
    <row r="18562">
      <c r="A18562" s="1" t="s">
        <v>10</v>
      </c>
      <c r="B18562" s="2">
        <v>44791.0</v>
      </c>
      <c r="C18562" s="3">
        <v>0.3072685185185185</v>
      </c>
      <c r="D18562" s="1">
        <v>13.053045</v>
      </c>
      <c r="E18562" s="1">
        <v>80.272478</v>
      </c>
      <c r="F18562" s="1">
        <v>5339.0</v>
      </c>
      <c r="G18562" s="1">
        <v>23.0</v>
      </c>
    </row>
    <row r="18563">
      <c r="A18563" s="1" t="s">
        <v>10</v>
      </c>
      <c r="B18563" s="2">
        <v>44791.0</v>
      </c>
      <c r="C18563" s="3">
        <v>0.30944444444444447</v>
      </c>
      <c r="D18563" s="1">
        <v>13.053424</v>
      </c>
      <c r="E18563" s="1">
        <v>80.268356</v>
      </c>
      <c r="F18563" s="1">
        <v>5339.0</v>
      </c>
      <c r="G18563" s="1">
        <v>7.0</v>
      </c>
    </row>
    <row r="18564">
      <c r="A18564" s="1" t="s">
        <v>7</v>
      </c>
      <c r="B18564" s="2">
        <v>44791.0</v>
      </c>
      <c r="C18564" s="3">
        <v>0.3120949074074074</v>
      </c>
      <c r="D18564" s="1">
        <v>13.053514</v>
      </c>
      <c r="E18564" s="1">
        <v>80.252642</v>
      </c>
      <c r="F18564" s="1">
        <v>5339.0</v>
      </c>
      <c r="G18564" s="1">
        <v>51.0</v>
      </c>
    </row>
    <row r="18565">
      <c r="A18565" s="1" t="s">
        <v>8</v>
      </c>
      <c r="B18565" s="2">
        <v>44791.0</v>
      </c>
      <c r="C18565" s="3">
        <v>0.3126041666666667</v>
      </c>
      <c r="D18565" s="1">
        <v>13.050826</v>
      </c>
      <c r="E18565" s="1">
        <v>80.250062</v>
      </c>
      <c r="F18565" s="1">
        <v>5339.0</v>
      </c>
      <c r="G18565" s="1">
        <v>51.0</v>
      </c>
    </row>
    <row r="18566">
      <c r="A18566" s="1" t="s">
        <v>8</v>
      </c>
      <c r="B18566" s="2">
        <v>44791.0</v>
      </c>
      <c r="C18566" s="3">
        <v>0.31300925925925926</v>
      </c>
      <c r="D18566" s="1">
        <v>12.653602</v>
      </c>
      <c r="E18566" s="1">
        <v>79.940041</v>
      </c>
      <c r="F18566" s="1">
        <v>2846.0</v>
      </c>
      <c r="G18566" s="1">
        <v>55.0</v>
      </c>
    </row>
    <row r="18567">
      <c r="A18567" s="1" t="s">
        <v>8</v>
      </c>
      <c r="B18567" s="2">
        <v>44791.0</v>
      </c>
      <c r="C18567" s="3">
        <v>0.3136226851851852</v>
      </c>
      <c r="D18567" s="1">
        <v>13.041787</v>
      </c>
      <c r="E18567" s="1">
        <v>80.247449</v>
      </c>
      <c r="F18567" s="1">
        <v>5339.0</v>
      </c>
      <c r="G18567" s="1">
        <v>28.0</v>
      </c>
    </row>
    <row r="18568">
      <c r="A18568" s="1" t="s">
        <v>8</v>
      </c>
      <c r="B18568" s="2">
        <v>44791.0</v>
      </c>
      <c r="C18568" s="3">
        <v>0.3142476851851852</v>
      </c>
      <c r="D18568" s="1">
        <v>12.656186</v>
      </c>
      <c r="E18568" s="1">
        <v>79.951702</v>
      </c>
      <c r="F18568" s="1">
        <v>2846.0</v>
      </c>
      <c r="G18568" s="1">
        <v>54.0</v>
      </c>
    </row>
    <row r="18569">
      <c r="A18569" s="1" t="s">
        <v>7</v>
      </c>
      <c r="B18569" s="2">
        <v>44791.0</v>
      </c>
      <c r="C18569" s="3">
        <v>0.31555555555555553</v>
      </c>
      <c r="D18569" s="1">
        <v>12.658968</v>
      </c>
      <c r="E18569" s="1">
        <v>79.961808</v>
      </c>
      <c r="F18569" s="1">
        <v>2846.0</v>
      </c>
      <c r="G18569" s="1">
        <v>44.0</v>
      </c>
    </row>
    <row r="18570">
      <c r="A18570" s="1" t="s">
        <v>7</v>
      </c>
      <c r="B18570" s="2">
        <v>44791.0</v>
      </c>
      <c r="C18570" s="3">
        <v>0.31612268518518516</v>
      </c>
      <c r="D18570" s="1">
        <v>12.66003</v>
      </c>
      <c r="E18570" s="1">
        <v>79.964561</v>
      </c>
      <c r="F18570" s="1">
        <v>2846.0</v>
      </c>
      <c r="G18570" s="1">
        <v>44.0</v>
      </c>
    </row>
    <row r="18571">
      <c r="A18571" s="1" t="s">
        <v>8</v>
      </c>
      <c r="B18571" s="2">
        <v>44791.0</v>
      </c>
      <c r="C18571" s="3">
        <v>0.3164814814814815</v>
      </c>
      <c r="D18571" s="1">
        <v>13.029469</v>
      </c>
      <c r="E18571" s="1">
        <v>80.237143</v>
      </c>
      <c r="F18571" s="1">
        <v>5339.0</v>
      </c>
      <c r="G18571" s="1">
        <v>27.0</v>
      </c>
    </row>
    <row r="18572">
      <c r="A18572" s="1" t="s">
        <v>8</v>
      </c>
      <c r="B18572" s="2">
        <v>44791.0</v>
      </c>
      <c r="C18572" s="3">
        <v>0.3176967592592593</v>
      </c>
      <c r="D18572" s="1">
        <v>13.026266</v>
      </c>
      <c r="E18572" s="1">
        <v>80.232416</v>
      </c>
      <c r="F18572" s="1">
        <v>5339.0</v>
      </c>
      <c r="G18572" s="1">
        <v>34.0</v>
      </c>
    </row>
    <row r="18573">
      <c r="A18573" s="1" t="s">
        <v>10</v>
      </c>
      <c r="B18573" s="2">
        <v>44791.0</v>
      </c>
      <c r="C18573" s="3">
        <v>0.3177083333333333</v>
      </c>
      <c r="D18573" s="1">
        <v>12.67159</v>
      </c>
      <c r="E18573" s="1">
        <v>79.97607</v>
      </c>
      <c r="F18573" s="1">
        <v>2846.0</v>
      </c>
      <c r="G18573" s="1">
        <v>37.0</v>
      </c>
    </row>
    <row r="18574">
      <c r="A18574" s="1" t="s">
        <v>7</v>
      </c>
      <c r="B18574" s="2">
        <v>44791.0</v>
      </c>
      <c r="C18574" s="3">
        <v>0.3178587962962963</v>
      </c>
      <c r="D18574" s="1">
        <v>13.025663</v>
      </c>
      <c r="E18574" s="1">
        <v>80.230455</v>
      </c>
      <c r="F18574" s="1">
        <v>5339.0</v>
      </c>
      <c r="G18574" s="1">
        <v>52.0</v>
      </c>
    </row>
    <row r="18575">
      <c r="A18575" s="1" t="s">
        <v>10</v>
      </c>
      <c r="B18575" s="2">
        <v>44791.0</v>
      </c>
      <c r="C18575" s="3">
        <v>0.31863425925925926</v>
      </c>
      <c r="D18575" s="1">
        <v>13.020614</v>
      </c>
      <c r="E18575" s="1">
        <v>80.225274</v>
      </c>
      <c r="F18575" s="1">
        <v>5339.0</v>
      </c>
      <c r="G18575" s="1">
        <v>45.0</v>
      </c>
    </row>
    <row r="18576">
      <c r="A18576" s="1" t="s">
        <v>7</v>
      </c>
      <c r="B18576" s="2">
        <v>44791.0</v>
      </c>
      <c r="C18576" s="3">
        <v>0.31972222222222224</v>
      </c>
      <c r="D18576" s="1">
        <v>13.013505</v>
      </c>
      <c r="E18576" s="1">
        <v>80.226557</v>
      </c>
      <c r="F18576" s="1">
        <v>5339.0</v>
      </c>
      <c r="G18576" s="1">
        <v>50.0</v>
      </c>
    </row>
    <row r="18577">
      <c r="A18577" s="1" t="s">
        <v>8</v>
      </c>
      <c r="B18577" s="2">
        <v>44791.0</v>
      </c>
      <c r="C18577" s="3">
        <v>0.31975694444444447</v>
      </c>
      <c r="D18577" s="1">
        <v>13.013505</v>
      </c>
      <c r="E18577" s="1">
        <v>80.226557</v>
      </c>
      <c r="F18577" s="1">
        <v>5339.0</v>
      </c>
      <c r="G18577" s="1">
        <v>50.0</v>
      </c>
    </row>
    <row r="18578">
      <c r="A18578" s="1" t="s">
        <v>8</v>
      </c>
      <c r="B18578" s="2">
        <v>44791.0</v>
      </c>
      <c r="C18578" s="3">
        <v>0.32068287037037035</v>
      </c>
      <c r="D18578" s="1">
        <v>13.010706</v>
      </c>
      <c r="E18578" s="1">
        <v>80.225003</v>
      </c>
      <c r="F18578" s="1">
        <v>5339.0</v>
      </c>
      <c r="G18578" s="1">
        <v>22.0</v>
      </c>
    </row>
    <row r="18579">
      <c r="A18579" s="1" t="s">
        <v>8</v>
      </c>
      <c r="B18579" s="2">
        <v>44791.0</v>
      </c>
      <c r="C18579" s="3">
        <v>0.3211689814814815</v>
      </c>
      <c r="D18579" s="1">
        <v>13.011279</v>
      </c>
      <c r="E18579" s="1">
        <v>80.22363</v>
      </c>
      <c r="F18579" s="1">
        <v>5339.0</v>
      </c>
      <c r="G18579" s="1">
        <v>11.0</v>
      </c>
    </row>
    <row r="18580">
      <c r="A18580" s="1" t="s">
        <v>8</v>
      </c>
      <c r="B18580" s="2">
        <v>44791.0</v>
      </c>
      <c r="C18580" s="3">
        <v>0.3211805555555556</v>
      </c>
      <c r="D18580" s="1">
        <v>13.011279</v>
      </c>
      <c r="E18580" s="1">
        <v>80.22363</v>
      </c>
      <c r="F18580" s="1">
        <v>5339.0</v>
      </c>
      <c r="G18580" s="1">
        <v>11.0</v>
      </c>
    </row>
    <row r="18581">
      <c r="A18581" s="1" t="s">
        <v>8</v>
      </c>
      <c r="B18581" s="2">
        <v>44791.0</v>
      </c>
      <c r="C18581" s="3">
        <v>0.3212615740740741</v>
      </c>
      <c r="D18581" s="1">
        <v>12.685924</v>
      </c>
      <c r="E18581" s="1">
        <v>79.983483</v>
      </c>
      <c r="F18581" s="1">
        <v>2846.0</v>
      </c>
      <c r="G18581" s="1">
        <v>30.0</v>
      </c>
    </row>
    <row r="18582">
      <c r="A18582" s="1" t="s">
        <v>10</v>
      </c>
      <c r="B18582" s="2">
        <v>44791.0</v>
      </c>
      <c r="C18582" s="3">
        <v>0.32134259259259257</v>
      </c>
      <c r="D18582" s="1">
        <v>13.007454</v>
      </c>
      <c r="E18582" s="1">
        <v>80.259415</v>
      </c>
      <c r="F18582" s="1">
        <v>805.0</v>
      </c>
      <c r="G18582" s="1">
        <v>23.0</v>
      </c>
    </row>
    <row r="18583">
      <c r="A18583" s="1" t="s">
        <v>8</v>
      </c>
      <c r="B18583" s="2">
        <v>44791.0</v>
      </c>
      <c r="C18583" s="3">
        <v>0.3224652777777778</v>
      </c>
      <c r="D18583" s="1">
        <v>13.009428</v>
      </c>
      <c r="E18583" s="1">
        <v>80.213026</v>
      </c>
      <c r="F18583" s="1">
        <v>5339.0</v>
      </c>
      <c r="G18583" s="1">
        <v>49.0</v>
      </c>
    </row>
    <row r="18584">
      <c r="A18584" s="1" t="s">
        <v>10</v>
      </c>
      <c r="B18584" s="2">
        <v>44791.0</v>
      </c>
      <c r="C18584" s="3">
        <v>0.3227777777777778</v>
      </c>
      <c r="D18584" s="1">
        <v>12.690391</v>
      </c>
      <c r="E18584" s="1">
        <v>79.980571</v>
      </c>
      <c r="F18584" s="1">
        <v>2846.0</v>
      </c>
      <c r="G18584" s="1">
        <v>0.0</v>
      </c>
    </row>
    <row r="18585">
      <c r="A18585" s="1" t="s">
        <v>8</v>
      </c>
      <c r="B18585" s="2">
        <v>44791.0</v>
      </c>
      <c r="C18585" s="3">
        <v>0.3228935185185185</v>
      </c>
      <c r="D18585" s="1">
        <v>13.008</v>
      </c>
      <c r="E18585" s="1">
        <v>80.208564</v>
      </c>
      <c r="F18585" s="1">
        <v>5339.0</v>
      </c>
      <c r="G18585" s="1">
        <v>46.0</v>
      </c>
    </row>
    <row r="18586">
      <c r="A18586" s="1" t="s">
        <v>8</v>
      </c>
      <c r="B18586" s="2">
        <v>44791.0</v>
      </c>
      <c r="C18586" s="3">
        <v>0.3230208333333333</v>
      </c>
      <c r="D18586" s="1">
        <v>13.007814</v>
      </c>
      <c r="E18586" s="1">
        <v>80.207446</v>
      </c>
      <c r="F18586" s="1">
        <v>5339.0</v>
      </c>
      <c r="G18586" s="1">
        <v>40.0</v>
      </c>
    </row>
    <row r="18587">
      <c r="A18587" s="1" t="s">
        <v>8</v>
      </c>
      <c r="B18587" s="2">
        <v>44791.0</v>
      </c>
      <c r="C18587" s="3">
        <v>0.32329861111111113</v>
      </c>
      <c r="D18587" s="1">
        <v>13.007062</v>
      </c>
      <c r="E18587" s="1">
        <v>80.204566</v>
      </c>
      <c r="F18587" s="1">
        <v>5339.0</v>
      </c>
      <c r="G18587" s="1">
        <v>42.0</v>
      </c>
    </row>
    <row r="18588">
      <c r="A18588" s="1" t="s">
        <v>8</v>
      </c>
      <c r="B18588" s="2">
        <v>44791.0</v>
      </c>
      <c r="C18588" s="3">
        <v>0.3234606481481481</v>
      </c>
      <c r="D18588" s="1">
        <v>13.006533</v>
      </c>
      <c r="E18588" s="1">
        <v>80.203722</v>
      </c>
      <c r="F18588" s="1">
        <v>5339.0</v>
      </c>
      <c r="G18588" s="1">
        <v>39.0</v>
      </c>
    </row>
    <row r="18589">
      <c r="A18589" s="1" t="s">
        <v>8</v>
      </c>
      <c r="B18589" s="2">
        <v>44791.0</v>
      </c>
      <c r="C18589" s="3">
        <v>0.32377314814814817</v>
      </c>
      <c r="D18589" s="1">
        <v>13.005062</v>
      </c>
      <c r="E18589" s="1">
        <v>80.201602</v>
      </c>
      <c r="F18589" s="1">
        <v>5339.0</v>
      </c>
      <c r="G18589" s="1">
        <v>40.0</v>
      </c>
    </row>
    <row r="18590">
      <c r="A18590" s="1" t="s">
        <v>8</v>
      </c>
      <c r="B18590" s="2">
        <v>44791.0</v>
      </c>
      <c r="C18590" s="3">
        <v>0.3237962962962963</v>
      </c>
      <c r="D18590" s="1">
        <v>12.693931</v>
      </c>
      <c r="E18590" s="1">
        <v>79.97903</v>
      </c>
      <c r="F18590" s="1">
        <v>2846.0</v>
      </c>
      <c r="G18590" s="1">
        <v>21.0</v>
      </c>
    </row>
    <row r="18591">
      <c r="A18591" s="1" t="s">
        <v>8</v>
      </c>
      <c r="B18591" s="2">
        <v>44791.0</v>
      </c>
      <c r="C18591" s="3">
        <v>0.32416666666666666</v>
      </c>
      <c r="D18591" s="1">
        <v>13.002724</v>
      </c>
      <c r="E18591" s="1">
        <v>80.20076</v>
      </c>
      <c r="F18591" s="1">
        <v>5339.0</v>
      </c>
      <c r="G18591" s="1">
        <v>42.0</v>
      </c>
    </row>
    <row r="18592">
      <c r="A18592" s="1" t="s">
        <v>10</v>
      </c>
      <c r="B18592" s="2">
        <v>44791.0</v>
      </c>
      <c r="C18592" s="3">
        <v>0.3244328703703704</v>
      </c>
      <c r="D18592" s="1">
        <v>12.695596</v>
      </c>
      <c r="E18592" s="1">
        <v>79.977815</v>
      </c>
      <c r="F18592" s="1">
        <v>2846.0</v>
      </c>
      <c r="G18592" s="1">
        <v>30.0</v>
      </c>
    </row>
    <row r="18593">
      <c r="A18593" s="1" t="s">
        <v>8</v>
      </c>
      <c r="B18593" s="2">
        <v>44791.0</v>
      </c>
      <c r="C18593" s="3">
        <v>0.32458333333333333</v>
      </c>
      <c r="D18593" s="1">
        <v>12.695596</v>
      </c>
      <c r="E18593" s="1">
        <v>79.977815</v>
      </c>
      <c r="F18593" s="1">
        <v>2846.0</v>
      </c>
      <c r="G18593" s="1">
        <v>30.0</v>
      </c>
    </row>
    <row r="18594">
      <c r="A18594" s="1" t="s">
        <v>8</v>
      </c>
      <c r="B18594" s="2">
        <v>44791.0</v>
      </c>
      <c r="C18594" s="3">
        <v>0.32516203703703705</v>
      </c>
      <c r="D18594" s="1">
        <v>12.964795</v>
      </c>
      <c r="E18594" s="1">
        <v>80.197713</v>
      </c>
      <c r="F18594" s="1">
        <v>3143.0</v>
      </c>
      <c r="G18594" s="1">
        <v>32.0</v>
      </c>
    </row>
    <row r="18595">
      <c r="A18595" s="1" t="s">
        <v>8</v>
      </c>
      <c r="B18595" s="2">
        <v>44791.0</v>
      </c>
      <c r="C18595" s="3">
        <v>0.32528935185185187</v>
      </c>
      <c r="D18595" s="1">
        <v>12.99947</v>
      </c>
      <c r="E18595" s="1">
        <v>80.193599</v>
      </c>
      <c r="F18595" s="1">
        <v>5339.0</v>
      </c>
      <c r="G18595" s="1">
        <v>43.0</v>
      </c>
    </row>
    <row r="18596">
      <c r="A18596" s="1" t="s">
        <v>8</v>
      </c>
      <c r="B18596" s="2">
        <v>44791.0</v>
      </c>
      <c r="C18596" s="3">
        <v>0.3256365740740741</v>
      </c>
      <c r="D18596" s="1">
        <v>12.697177</v>
      </c>
      <c r="E18596" s="1">
        <v>79.972624</v>
      </c>
      <c r="F18596" s="1">
        <v>2846.0</v>
      </c>
      <c r="G18596" s="1">
        <v>9.0</v>
      </c>
    </row>
    <row r="18597">
      <c r="A18597" s="1" t="s">
        <v>7</v>
      </c>
      <c r="B18597" s="2">
        <v>44791.0</v>
      </c>
      <c r="C18597" s="3">
        <v>0.3266087962962963</v>
      </c>
      <c r="D18597" s="1">
        <v>12.995223</v>
      </c>
      <c r="E18597" s="1">
        <v>80.187964</v>
      </c>
      <c r="F18597" s="1">
        <v>5339.0</v>
      </c>
      <c r="G18597" s="1">
        <v>55.0</v>
      </c>
    </row>
    <row r="18598">
      <c r="A18598" s="1" t="s">
        <v>7</v>
      </c>
      <c r="B18598" s="2">
        <v>44791.0</v>
      </c>
      <c r="C18598" s="3">
        <v>0.3268171296296296</v>
      </c>
      <c r="D18598" s="1">
        <v>12.700286</v>
      </c>
      <c r="E18598" s="1">
        <v>79.968541</v>
      </c>
      <c r="F18598" s="1">
        <v>2846.0</v>
      </c>
      <c r="G18598" s="1">
        <v>22.0</v>
      </c>
    </row>
    <row r="18599">
      <c r="A18599" s="1" t="s">
        <v>7</v>
      </c>
      <c r="B18599" s="2">
        <v>44791.0</v>
      </c>
      <c r="C18599" s="3">
        <v>0.32738425925925924</v>
      </c>
      <c r="D18599" s="1">
        <v>12.700286</v>
      </c>
      <c r="E18599" s="1">
        <v>79.968541</v>
      </c>
      <c r="F18599" s="1">
        <v>2846.0</v>
      </c>
      <c r="G18599" s="1">
        <v>22.0</v>
      </c>
    </row>
    <row r="18600">
      <c r="A18600" s="1" t="s">
        <v>7</v>
      </c>
      <c r="B18600" s="2">
        <v>44791.0</v>
      </c>
      <c r="C18600" s="3">
        <v>0.3275</v>
      </c>
      <c r="D18600" s="1">
        <v>12.705675</v>
      </c>
      <c r="E18600" s="1">
        <v>79.974602</v>
      </c>
      <c r="F18600" s="1">
        <v>2846.0</v>
      </c>
      <c r="G18600" s="1">
        <v>60.0</v>
      </c>
    </row>
    <row r="18601">
      <c r="A18601" s="1" t="s">
        <v>7</v>
      </c>
      <c r="B18601" s="2">
        <v>44791.0</v>
      </c>
      <c r="C18601" s="3">
        <v>0.32827546296296295</v>
      </c>
      <c r="D18601" s="1">
        <v>12.709646</v>
      </c>
      <c r="E18601" s="1">
        <v>79.977642</v>
      </c>
      <c r="F18601" s="1">
        <v>2846.0</v>
      </c>
      <c r="G18601" s="1">
        <v>53.0</v>
      </c>
    </row>
    <row r="18602">
      <c r="A18602" s="1" t="s">
        <v>8</v>
      </c>
      <c r="B18602" s="2">
        <v>44791.0</v>
      </c>
      <c r="C18602" s="3">
        <v>0.32859953703703704</v>
      </c>
      <c r="D18602" s="1">
        <v>12.989501</v>
      </c>
      <c r="E18602" s="1">
        <v>80.178979</v>
      </c>
      <c r="F18602" s="1">
        <v>5339.0</v>
      </c>
      <c r="G18602" s="1">
        <v>22.0</v>
      </c>
    </row>
    <row r="18603">
      <c r="A18603" s="1" t="s">
        <v>8</v>
      </c>
      <c r="B18603" s="2">
        <v>44791.0</v>
      </c>
      <c r="C18603" s="3">
        <v>0.32875</v>
      </c>
      <c r="D18603" s="1">
        <v>12.988278</v>
      </c>
      <c r="E18603" s="1">
        <v>80.177377</v>
      </c>
      <c r="F18603" s="1">
        <v>5339.0</v>
      </c>
      <c r="G18603" s="1">
        <v>48.0</v>
      </c>
    </row>
    <row r="18604">
      <c r="A18604" s="1" t="s">
        <v>8</v>
      </c>
      <c r="B18604" s="2">
        <v>44791.0</v>
      </c>
      <c r="C18604" s="3">
        <v>0.3294675925925926</v>
      </c>
      <c r="D18604" s="1">
        <v>12.986099</v>
      </c>
      <c r="E18604" s="1">
        <v>80.174302</v>
      </c>
      <c r="F18604" s="1">
        <v>5339.0</v>
      </c>
      <c r="G18604" s="1">
        <v>36.0</v>
      </c>
    </row>
    <row r="18605">
      <c r="A18605" s="1" t="s">
        <v>7</v>
      </c>
      <c r="B18605" s="2">
        <v>44791.0</v>
      </c>
      <c r="C18605" s="3">
        <v>0.3297453703703704</v>
      </c>
      <c r="D18605" s="1">
        <v>12.727838</v>
      </c>
      <c r="E18605" s="1">
        <v>79.982604</v>
      </c>
      <c r="F18605" s="1">
        <v>2846.0</v>
      </c>
      <c r="G18605" s="1">
        <v>46.0</v>
      </c>
    </row>
    <row r="18606">
      <c r="A18606" s="1" t="s">
        <v>10</v>
      </c>
      <c r="B18606" s="2">
        <v>44791.0</v>
      </c>
      <c r="C18606" s="3">
        <v>0.3298611111111111</v>
      </c>
      <c r="D18606" s="1">
        <v>12.957132</v>
      </c>
      <c r="E18606" s="1">
        <v>80.187109</v>
      </c>
      <c r="F18606" s="1">
        <v>3143.0</v>
      </c>
      <c r="G18606" s="1">
        <v>10.0</v>
      </c>
    </row>
    <row r="18607">
      <c r="A18607" s="1" t="s">
        <v>7</v>
      </c>
      <c r="B18607" s="2">
        <v>44791.0</v>
      </c>
      <c r="C18607" s="3">
        <v>0.3299652777777778</v>
      </c>
      <c r="D18607" s="1">
        <v>12.983306</v>
      </c>
      <c r="E18607" s="1">
        <v>80.169878</v>
      </c>
      <c r="F18607" s="1">
        <v>5339.0</v>
      </c>
      <c r="G18607" s="1">
        <v>59.0</v>
      </c>
    </row>
    <row r="18608">
      <c r="A18608" s="1" t="s">
        <v>7</v>
      </c>
      <c r="B18608" s="2">
        <v>44791.0</v>
      </c>
      <c r="C18608" s="3">
        <v>0.33010416666666664</v>
      </c>
      <c r="D18608" s="1">
        <v>12.982547</v>
      </c>
      <c r="E18608" s="1">
        <v>80.1686</v>
      </c>
      <c r="F18608" s="1">
        <v>5339.0</v>
      </c>
      <c r="G18608" s="1">
        <v>56.0</v>
      </c>
    </row>
    <row r="18609">
      <c r="A18609" s="1" t="s">
        <v>7</v>
      </c>
      <c r="B18609" s="2">
        <v>44791.0</v>
      </c>
      <c r="C18609" s="3">
        <v>0.33033564814814814</v>
      </c>
      <c r="D18609" s="1">
        <v>12.727838</v>
      </c>
      <c r="E18609" s="1">
        <v>79.982604</v>
      </c>
      <c r="F18609" s="1">
        <v>2846.0</v>
      </c>
      <c r="G18609" s="1">
        <v>46.0</v>
      </c>
    </row>
    <row r="18610">
      <c r="A18610" s="1" t="s">
        <v>7</v>
      </c>
      <c r="B18610" s="2">
        <v>44791.0</v>
      </c>
      <c r="C18610" s="3">
        <v>0.3305439814814815</v>
      </c>
      <c r="D18610" s="1">
        <v>12.73242</v>
      </c>
      <c r="E18610" s="1">
        <v>79.983009</v>
      </c>
      <c r="F18610" s="1">
        <v>2846.0</v>
      </c>
      <c r="G18610" s="1">
        <v>55.0</v>
      </c>
    </row>
    <row r="18611">
      <c r="A18611" s="1" t="s">
        <v>8</v>
      </c>
      <c r="B18611" s="2">
        <v>44791.0</v>
      </c>
      <c r="C18611" s="3">
        <v>0.3307175925925926</v>
      </c>
      <c r="D18611" s="1">
        <v>12.736318</v>
      </c>
      <c r="E18611" s="1">
        <v>79.987044</v>
      </c>
      <c r="F18611" s="1">
        <v>2846.0</v>
      </c>
      <c r="G18611" s="1">
        <v>60.0</v>
      </c>
    </row>
    <row r="18612">
      <c r="A18612" s="1" t="s">
        <v>7</v>
      </c>
      <c r="B18612" s="2">
        <v>44791.0</v>
      </c>
      <c r="C18612" s="3">
        <v>0.3308217592592593</v>
      </c>
      <c r="D18612" s="1">
        <v>12.979194</v>
      </c>
      <c r="E18612" s="1">
        <v>80.161827</v>
      </c>
      <c r="F18612" s="1">
        <v>5339.0</v>
      </c>
      <c r="G18612" s="1">
        <v>43.0</v>
      </c>
    </row>
    <row r="18613">
      <c r="A18613" s="1" t="s">
        <v>7</v>
      </c>
      <c r="B18613" s="2">
        <v>44791.0</v>
      </c>
      <c r="C18613" s="3">
        <v>0.33101851851851855</v>
      </c>
      <c r="D18613" s="1">
        <v>12.97761</v>
      </c>
      <c r="E18613" s="1">
        <v>80.159549</v>
      </c>
      <c r="F18613" s="1">
        <v>5339.0</v>
      </c>
      <c r="G18613" s="1">
        <v>57.0</v>
      </c>
    </row>
    <row r="18614">
      <c r="A18614" s="1" t="s">
        <v>8</v>
      </c>
      <c r="B18614" s="2">
        <v>44791.0</v>
      </c>
      <c r="C18614" s="3">
        <v>0.3317939814814815</v>
      </c>
      <c r="D18614" s="1">
        <v>12.972857</v>
      </c>
      <c r="E18614" s="1">
        <v>80.152436</v>
      </c>
      <c r="F18614" s="1">
        <v>5339.0</v>
      </c>
      <c r="G18614" s="1">
        <v>48.0</v>
      </c>
    </row>
    <row r="18615">
      <c r="A18615" s="1" t="s">
        <v>7</v>
      </c>
      <c r="B18615" s="2">
        <v>44791.0</v>
      </c>
      <c r="C18615" s="3">
        <v>0.33282407407407405</v>
      </c>
      <c r="D18615" s="1">
        <v>12.750588</v>
      </c>
      <c r="E18615" s="1">
        <v>79.998215</v>
      </c>
      <c r="F18615" s="1">
        <v>2846.0</v>
      </c>
      <c r="G18615" s="1">
        <v>57.0</v>
      </c>
    </row>
    <row r="18616">
      <c r="A18616" s="1" t="s">
        <v>7</v>
      </c>
      <c r="B18616" s="2">
        <v>44791.0</v>
      </c>
      <c r="C18616" s="3">
        <v>0.3330092592592593</v>
      </c>
      <c r="D18616" s="1">
        <v>12.750588</v>
      </c>
      <c r="E18616" s="1">
        <v>79.998215</v>
      </c>
      <c r="F18616" s="1">
        <v>2846.0</v>
      </c>
      <c r="G18616" s="1">
        <v>57.0</v>
      </c>
    </row>
    <row r="18617">
      <c r="A18617" s="1" t="s">
        <v>7</v>
      </c>
      <c r="B18617" s="2">
        <v>44791.0</v>
      </c>
      <c r="C18617" s="3">
        <v>0.333125</v>
      </c>
      <c r="D18617" s="1">
        <v>12.963422</v>
      </c>
      <c r="E18617" s="1">
        <v>80.1471</v>
      </c>
      <c r="F18617" s="1">
        <v>5339.0</v>
      </c>
      <c r="G18617" s="1">
        <v>55.0</v>
      </c>
    </row>
    <row r="18618">
      <c r="A18618" s="1" t="s">
        <v>8</v>
      </c>
      <c r="B18618" s="2">
        <v>44791.0</v>
      </c>
      <c r="C18618" s="3">
        <v>0.33358796296296295</v>
      </c>
      <c r="D18618" s="1">
        <v>12.756644</v>
      </c>
      <c r="E18618" s="1">
        <v>80.002088</v>
      </c>
      <c r="F18618" s="1">
        <v>2846.0</v>
      </c>
      <c r="G18618" s="1">
        <v>57.0</v>
      </c>
    </row>
    <row r="18619">
      <c r="A18619" s="1" t="s">
        <v>8</v>
      </c>
      <c r="B18619" s="2">
        <v>44791.0</v>
      </c>
      <c r="C18619" s="3">
        <v>0.334849537037037</v>
      </c>
      <c r="D18619" s="1">
        <v>12.944994</v>
      </c>
      <c r="E18619" s="1">
        <v>80.183122</v>
      </c>
      <c r="F18619" s="1">
        <v>3143.0</v>
      </c>
      <c r="G18619" s="1">
        <v>26.0</v>
      </c>
    </row>
    <row r="18620">
      <c r="A18620" s="1" t="s">
        <v>8</v>
      </c>
      <c r="B18620" s="2">
        <v>44791.0</v>
      </c>
      <c r="C18620" s="3">
        <v>0.3349652777777778</v>
      </c>
      <c r="D18620" s="1">
        <v>12.955183</v>
      </c>
      <c r="E18620" s="1">
        <v>80.142679</v>
      </c>
      <c r="F18620" s="1">
        <v>5339.0</v>
      </c>
      <c r="G18620" s="1">
        <v>30.0</v>
      </c>
    </row>
    <row r="18621">
      <c r="A18621" s="1" t="s">
        <v>8</v>
      </c>
      <c r="B18621" s="2">
        <v>44791.0</v>
      </c>
      <c r="C18621" s="3">
        <v>0.3353935185185185</v>
      </c>
      <c r="D18621" s="1">
        <v>12.952812</v>
      </c>
      <c r="E18621" s="1">
        <v>80.141369</v>
      </c>
      <c r="F18621" s="1">
        <v>5339.0</v>
      </c>
      <c r="G18621" s="1">
        <v>14.0</v>
      </c>
    </row>
    <row r="18622">
      <c r="A18622" s="1" t="s">
        <v>8</v>
      </c>
      <c r="B18622" s="2">
        <v>44791.0</v>
      </c>
      <c r="C18622" s="3">
        <v>0.3354050925925926</v>
      </c>
      <c r="D18622" s="1">
        <v>12.952812</v>
      </c>
      <c r="E18622" s="1">
        <v>80.141369</v>
      </c>
      <c r="F18622" s="1">
        <v>5339.0</v>
      </c>
      <c r="G18622" s="1">
        <v>14.0</v>
      </c>
    </row>
    <row r="18623">
      <c r="A18623" s="1" t="s">
        <v>8</v>
      </c>
      <c r="B18623" s="2">
        <v>44791.0</v>
      </c>
      <c r="C18623" s="3">
        <v>0.33554398148148146</v>
      </c>
      <c r="D18623" s="1">
        <v>12.952339</v>
      </c>
      <c r="E18623" s="1">
        <v>80.141011</v>
      </c>
      <c r="F18623" s="1">
        <v>5339.0</v>
      </c>
      <c r="G18623" s="1">
        <v>27.0</v>
      </c>
    </row>
    <row r="18624">
      <c r="A18624" s="1" t="s">
        <v>10</v>
      </c>
      <c r="B18624" s="2">
        <v>44791.0</v>
      </c>
      <c r="C18624" s="3">
        <v>0.33565972222222223</v>
      </c>
      <c r="D18624" s="1">
        <v>12.94131</v>
      </c>
      <c r="E18624" s="1">
        <v>80.182876</v>
      </c>
      <c r="F18624" s="1">
        <v>3143.0</v>
      </c>
      <c r="G18624" s="1">
        <v>23.0</v>
      </c>
    </row>
    <row r="18625">
      <c r="A18625" s="1" t="s">
        <v>8</v>
      </c>
      <c r="B18625" s="2">
        <v>44791.0</v>
      </c>
      <c r="C18625" s="3">
        <v>0.3360532407407407</v>
      </c>
      <c r="D18625" s="1">
        <v>12.781749</v>
      </c>
      <c r="E18625" s="1">
        <v>80.012444</v>
      </c>
      <c r="F18625" s="1">
        <v>2846.0</v>
      </c>
      <c r="G18625" s="1">
        <v>58.0</v>
      </c>
    </row>
    <row r="18626">
      <c r="A18626" s="1" t="s">
        <v>8</v>
      </c>
      <c r="B18626" s="2">
        <v>44791.0</v>
      </c>
      <c r="C18626" s="3">
        <v>0.33630787037037035</v>
      </c>
      <c r="D18626" s="1">
        <v>12.946947</v>
      </c>
      <c r="E18626" s="1">
        <v>80.136883</v>
      </c>
      <c r="F18626" s="1">
        <v>5339.0</v>
      </c>
      <c r="G18626" s="1">
        <v>35.0</v>
      </c>
    </row>
    <row r="18627">
      <c r="A18627" s="1" t="s">
        <v>8</v>
      </c>
      <c r="B18627" s="2">
        <v>44791.0</v>
      </c>
      <c r="C18627" s="3">
        <v>0.33664351851851854</v>
      </c>
      <c r="D18627" s="1">
        <v>12.944516</v>
      </c>
      <c r="E18627" s="1">
        <v>80.135021</v>
      </c>
      <c r="F18627" s="1">
        <v>5339.0</v>
      </c>
      <c r="G18627" s="1">
        <v>54.0</v>
      </c>
    </row>
    <row r="18628">
      <c r="A18628" s="1" t="s">
        <v>7</v>
      </c>
      <c r="B18628" s="2">
        <v>44791.0</v>
      </c>
      <c r="C18628" s="3">
        <v>0.3369328703703704</v>
      </c>
      <c r="D18628" s="1">
        <v>12.79596</v>
      </c>
      <c r="E18628" s="1">
        <v>80.020604</v>
      </c>
      <c r="F18628" s="1">
        <v>2846.0</v>
      </c>
      <c r="G18628" s="1">
        <v>57.0</v>
      </c>
    </row>
    <row r="18629">
      <c r="A18629" s="1" t="s">
        <v>8</v>
      </c>
      <c r="B18629" s="2">
        <v>44791.0</v>
      </c>
      <c r="C18629" s="3">
        <v>0.3371296296296296</v>
      </c>
      <c r="D18629" s="1">
        <v>12.942579</v>
      </c>
      <c r="E18629" s="1">
        <v>80.133398</v>
      </c>
      <c r="F18629" s="1">
        <v>5339.0</v>
      </c>
      <c r="G18629" s="1">
        <v>11.0</v>
      </c>
    </row>
    <row r="18630">
      <c r="A18630" s="1" t="s">
        <v>8</v>
      </c>
      <c r="B18630" s="2">
        <v>44791.0</v>
      </c>
      <c r="C18630" s="3">
        <v>0.3371412037037037</v>
      </c>
      <c r="D18630" s="1">
        <v>12.942579</v>
      </c>
      <c r="E18630" s="1">
        <v>80.133398</v>
      </c>
      <c r="F18630" s="1">
        <v>5339.0</v>
      </c>
      <c r="G18630" s="1">
        <v>11.0</v>
      </c>
    </row>
    <row r="18631">
      <c r="A18631" s="1" t="s">
        <v>8</v>
      </c>
      <c r="B18631" s="2">
        <v>44791.0</v>
      </c>
      <c r="C18631" s="3">
        <v>0.3371412037037037</v>
      </c>
      <c r="D18631" s="1">
        <v>12.942579</v>
      </c>
      <c r="E18631" s="1">
        <v>80.133398</v>
      </c>
      <c r="F18631" s="1">
        <v>5339.0</v>
      </c>
      <c r="G18631" s="1">
        <v>11.0</v>
      </c>
    </row>
    <row r="18632">
      <c r="A18632" s="1" t="s">
        <v>8</v>
      </c>
      <c r="B18632" s="2">
        <v>44791.0</v>
      </c>
      <c r="C18632" s="3">
        <v>0.3371527777777778</v>
      </c>
      <c r="D18632" s="1">
        <v>12.942579</v>
      </c>
      <c r="E18632" s="1">
        <v>80.133398</v>
      </c>
      <c r="F18632" s="1">
        <v>5339.0</v>
      </c>
      <c r="G18632" s="1">
        <v>11.0</v>
      </c>
    </row>
    <row r="18633">
      <c r="A18633" s="1" t="s">
        <v>8</v>
      </c>
      <c r="B18633" s="2">
        <v>44791.0</v>
      </c>
      <c r="C18633" s="3">
        <v>0.33716435185185184</v>
      </c>
      <c r="D18633" s="1">
        <v>12.942579</v>
      </c>
      <c r="E18633" s="1">
        <v>80.133398</v>
      </c>
      <c r="F18633" s="1">
        <v>5339.0</v>
      </c>
      <c r="G18633" s="1">
        <v>11.0</v>
      </c>
    </row>
    <row r="18634">
      <c r="A18634" s="1" t="s">
        <v>8</v>
      </c>
      <c r="B18634" s="2">
        <v>44791.0</v>
      </c>
      <c r="C18634" s="3">
        <v>0.33717592592592593</v>
      </c>
      <c r="D18634" s="1">
        <v>12.94218</v>
      </c>
      <c r="E18634" s="1">
        <v>80.132957</v>
      </c>
      <c r="F18634" s="1">
        <v>5339.0</v>
      </c>
      <c r="G18634" s="1">
        <v>28.0</v>
      </c>
    </row>
    <row r="18635">
      <c r="A18635" s="1" t="s">
        <v>8</v>
      </c>
      <c r="B18635" s="2">
        <v>44791.0</v>
      </c>
      <c r="C18635" s="3">
        <v>0.3372800925925926</v>
      </c>
      <c r="D18635" s="1">
        <v>12.94218</v>
      </c>
      <c r="E18635" s="1">
        <v>80.132957</v>
      </c>
      <c r="F18635" s="1">
        <v>5339.0</v>
      </c>
      <c r="G18635" s="1">
        <v>28.0</v>
      </c>
    </row>
    <row r="18636">
      <c r="A18636" s="1" t="s">
        <v>8</v>
      </c>
      <c r="B18636" s="2">
        <v>44791.0</v>
      </c>
      <c r="C18636" s="3">
        <v>0.3374537037037037</v>
      </c>
      <c r="D18636" s="1">
        <v>12.940948</v>
      </c>
      <c r="E18636" s="1">
        <v>80.131645</v>
      </c>
      <c r="F18636" s="1">
        <v>5339.0</v>
      </c>
      <c r="G18636" s="1">
        <v>41.0</v>
      </c>
    </row>
    <row r="18637">
      <c r="A18637" s="1" t="s">
        <v>7</v>
      </c>
      <c r="B18637" s="2">
        <v>44791.0</v>
      </c>
      <c r="C18637" s="3">
        <v>0.337662037037037</v>
      </c>
      <c r="D18637" s="1">
        <v>12.799852</v>
      </c>
      <c r="E18637" s="1">
        <v>80.023225</v>
      </c>
      <c r="F18637" s="1">
        <v>2846.0</v>
      </c>
      <c r="G18637" s="1">
        <v>58.0</v>
      </c>
    </row>
    <row r="18638">
      <c r="A18638" s="1" t="s">
        <v>8</v>
      </c>
      <c r="B18638" s="2">
        <v>44791.0</v>
      </c>
      <c r="C18638" s="3">
        <v>0.3379861111111111</v>
      </c>
      <c r="D18638" s="1">
        <v>12.805761</v>
      </c>
      <c r="E18638" s="1">
        <v>80.027087</v>
      </c>
      <c r="F18638" s="1">
        <v>2846.0</v>
      </c>
      <c r="G18638" s="1">
        <v>58.0</v>
      </c>
    </row>
    <row r="18639">
      <c r="A18639" s="1" t="s">
        <v>9</v>
      </c>
      <c r="B18639" s="2">
        <v>44791.0</v>
      </c>
      <c r="C18639" s="3">
        <v>0.3381018518518519</v>
      </c>
      <c r="D18639" s="1">
        <v>12.931066</v>
      </c>
      <c r="E18639" s="1">
        <v>80.181607</v>
      </c>
      <c r="F18639" s="1">
        <v>3143.0</v>
      </c>
      <c r="G18639" s="1">
        <v>24.0</v>
      </c>
    </row>
    <row r="18640">
      <c r="A18640" s="1" t="s">
        <v>7</v>
      </c>
      <c r="B18640" s="2">
        <v>44791.0</v>
      </c>
      <c r="C18640" s="3">
        <v>0.33847222222222223</v>
      </c>
      <c r="D18640" s="1">
        <v>12.933164</v>
      </c>
      <c r="E18640" s="1">
        <v>80.1244</v>
      </c>
      <c r="F18640" s="1">
        <v>5339.0</v>
      </c>
      <c r="G18640" s="1">
        <v>54.0</v>
      </c>
    </row>
    <row r="18641">
      <c r="A18641" s="1" t="s">
        <v>8</v>
      </c>
      <c r="B18641" s="2">
        <v>44791.0</v>
      </c>
      <c r="C18641" s="3">
        <v>0.3390740740740741</v>
      </c>
      <c r="D18641" s="1">
        <v>12.925549</v>
      </c>
      <c r="E18641" s="1">
        <v>80.182688</v>
      </c>
      <c r="F18641" s="1">
        <v>3143.0</v>
      </c>
      <c r="G18641" s="1">
        <v>26.0</v>
      </c>
    </row>
    <row r="18642">
      <c r="A18642" s="1" t="s">
        <v>8</v>
      </c>
      <c r="B18642" s="2">
        <v>44791.0</v>
      </c>
      <c r="C18642" s="3">
        <v>0.3390972222222222</v>
      </c>
      <c r="D18642" s="1">
        <v>12.930206</v>
      </c>
      <c r="E18642" s="1">
        <v>80.121498</v>
      </c>
      <c r="F18642" s="1">
        <v>5339.0</v>
      </c>
      <c r="G18642" s="1">
        <v>44.0</v>
      </c>
    </row>
    <row r="18643">
      <c r="A18643" s="1" t="s">
        <v>8</v>
      </c>
      <c r="B18643" s="2">
        <v>44791.0</v>
      </c>
      <c r="C18643" s="3">
        <v>0.3390972222222222</v>
      </c>
      <c r="D18643" s="1">
        <v>12.925549</v>
      </c>
      <c r="E18643" s="1">
        <v>80.182688</v>
      </c>
      <c r="F18643" s="1">
        <v>3143.0</v>
      </c>
      <c r="G18643" s="1">
        <v>26.0</v>
      </c>
    </row>
    <row r="18644">
      <c r="A18644" s="1" t="s">
        <v>7</v>
      </c>
      <c r="B18644" s="2">
        <v>44791.0</v>
      </c>
      <c r="C18644" s="3">
        <v>0.33914351851851854</v>
      </c>
      <c r="D18644" s="1">
        <v>12.813889</v>
      </c>
      <c r="E18644" s="1">
        <v>80.032348</v>
      </c>
      <c r="F18644" s="1">
        <v>2846.0</v>
      </c>
      <c r="G18644" s="1">
        <v>58.0</v>
      </c>
    </row>
    <row r="18645">
      <c r="A18645" s="1" t="s">
        <v>7</v>
      </c>
      <c r="B18645" s="2">
        <v>44791.0</v>
      </c>
      <c r="C18645" s="3">
        <v>0.33944444444444444</v>
      </c>
      <c r="D18645" s="1">
        <v>12.821583</v>
      </c>
      <c r="E18645" s="1">
        <v>80.037759</v>
      </c>
      <c r="F18645" s="1">
        <v>2846.0</v>
      </c>
      <c r="G18645" s="1">
        <v>58.0</v>
      </c>
    </row>
    <row r="18646">
      <c r="A18646" s="1" t="s">
        <v>8</v>
      </c>
      <c r="B18646" s="2">
        <v>44791.0</v>
      </c>
      <c r="C18646" s="3">
        <v>0.34021990740740743</v>
      </c>
      <c r="D18646" s="1">
        <v>12.921401</v>
      </c>
      <c r="E18646" s="1">
        <v>80.112584</v>
      </c>
      <c r="F18646" s="1">
        <v>5339.0</v>
      </c>
      <c r="G18646" s="1">
        <v>43.0</v>
      </c>
    </row>
    <row r="18647">
      <c r="A18647" s="1" t="s">
        <v>8</v>
      </c>
      <c r="B18647" s="2">
        <v>44791.0</v>
      </c>
      <c r="C18647" s="3">
        <v>0.34046296296296297</v>
      </c>
      <c r="D18647" s="1">
        <v>12.919738</v>
      </c>
      <c r="E18647" s="1">
        <v>80.110798</v>
      </c>
      <c r="F18647" s="1">
        <v>5339.0</v>
      </c>
      <c r="G18647" s="1">
        <v>55.0</v>
      </c>
    </row>
    <row r="18648">
      <c r="A18648" s="1" t="s">
        <v>10</v>
      </c>
      <c r="B18648" s="2">
        <v>44791.0</v>
      </c>
      <c r="C18648" s="3">
        <v>0.3405902777777778</v>
      </c>
      <c r="D18648" s="1">
        <v>12.920389</v>
      </c>
      <c r="E18648" s="1">
        <v>80.184088</v>
      </c>
      <c r="F18648" s="1">
        <v>3143.0</v>
      </c>
      <c r="G18648" s="1">
        <v>10.0</v>
      </c>
    </row>
    <row r="18649">
      <c r="A18649" s="1" t="s">
        <v>7</v>
      </c>
      <c r="B18649" s="2">
        <v>44791.0</v>
      </c>
      <c r="C18649" s="3">
        <v>0.3406712962962963</v>
      </c>
      <c r="D18649" s="1">
        <v>12.917891</v>
      </c>
      <c r="E18649" s="1">
        <v>80.108492</v>
      </c>
      <c r="F18649" s="1">
        <v>5339.0</v>
      </c>
      <c r="G18649" s="1">
        <v>57.0</v>
      </c>
    </row>
    <row r="18650">
      <c r="A18650" s="1" t="s">
        <v>8</v>
      </c>
      <c r="B18650" s="2">
        <v>44791.0</v>
      </c>
      <c r="C18650" s="3">
        <v>0.3408912037037037</v>
      </c>
      <c r="D18650" s="1">
        <v>12.916604</v>
      </c>
      <c r="E18650" s="1">
        <v>80.106464</v>
      </c>
      <c r="F18650" s="1">
        <v>5339.0</v>
      </c>
      <c r="G18650" s="1">
        <v>48.0</v>
      </c>
    </row>
    <row r="18651">
      <c r="A18651" s="1" t="s">
        <v>7</v>
      </c>
      <c r="B18651" s="2">
        <v>44791.0</v>
      </c>
      <c r="C18651" s="3">
        <v>0.3413888888888889</v>
      </c>
      <c r="D18651" s="1">
        <v>12.832038</v>
      </c>
      <c r="E18651" s="1">
        <v>80.047117</v>
      </c>
      <c r="F18651" s="1">
        <v>2846.0</v>
      </c>
      <c r="G18651" s="1">
        <v>49.0</v>
      </c>
    </row>
    <row r="18652">
      <c r="A18652" s="1" t="s">
        <v>8</v>
      </c>
      <c r="B18652" s="2">
        <v>44791.0</v>
      </c>
      <c r="C18652" s="3">
        <v>0.34150462962962963</v>
      </c>
      <c r="D18652" s="1">
        <v>12.913228</v>
      </c>
      <c r="E18652" s="1">
        <v>80.101621</v>
      </c>
      <c r="F18652" s="1">
        <v>5339.0</v>
      </c>
      <c r="G18652" s="1">
        <v>41.0</v>
      </c>
    </row>
    <row r="18653">
      <c r="A18653" s="1" t="s">
        <v>8</v>
      </c>
      <c r="B18653" s="2">
        <v>44791.0</v>
      </c>
      <c r="C18653" s="3">
        <v>0.34162037037037035</v>
      </c>
      <c r="D18653" s="1">
        <v>12.918303</v>
      </c>
      <c r="E18653" s="1">
        <v>80.178164</v>
      </c>
      <c r="F18653" s="1">
        <v>3143.0</v>
      </c>
      <c r="G18653" s="1">
        <v>43.0</v>
      </c>
    </row>
    <row r="18654">
      <c r="A18654" s="1" t="s">
        <v>8</v>
      </c>
      <c r="B18654" s="2">
        <v>44791.0</v>
      </c>
      <c r="C18654" s="3">
        <v>0.34195601851851853</v>
      </c>
      <c r="D18654" s="1">
        <v>12.836981</v>
      </c>
      <c r="E18654" s="1">
        <v>80.052287</v>
      </c>
      <c r="F18654" s="1">
        <v>2846.0</v>
      </c>
      <c r="G18654" s="1">
        <v>58.0</v>
      </c>
    </row>
    <row r="18655">
      <c r="A18655" s="1" t="s">
        <v>8</v>
      </c>
      <c r="B18655" s="2">
        <v>44791.0</v>
      </c>
      <c r="C18655" s="3">
        <v>0.34325231481481483</v>
      </c>
      <c r="D18655" s="1">
        <v>12.906603</v>
      </c>
      <c r="E18655" s="1">
        <v>80.096666</v>
      </c>
      <c r="F18655" s="1">
        <v>5339.0</v>
      </c>
      <c r="G18655" s="1">
        <v>19.0</v>
      </c>
    </row>
    <row r="18656">
      <c r="A18656" s="1" t="s">
        <v>8</v>
      </c>
      <c r="B18656" s="2">
        <v>44791.0</v>
      </c>
      <c r="C18656" s="3">
        <v>0.34326388888888887</v>
      </c>
      <c r="D18656" s="1">
        <v>12.906603</v>
      </c>
      <c r="E18656" s="1">
        <v>80.096666</v>
      </c>
      <c r="F18656" s="1">
        <v>5339.0</v>
      </c>
      <c r="G18656" s="1">
        <v>19.0</v>
      </c>
    </row>
    <row r="18657">
      <c r="A18657" s="1" t="s">
        <v>8</v>
      </c>
      <c r="B18657" s="2">
        <v>44791.0</v>
      </c>
      <c r="C18657" s="3">
        <v>0.3433449074074074</v>
      </c>
      <c r="D18657" s="1">
        <v>12.84587</v>
      </c>
      <c r="E18657" s="1">
        <v>80.061466</v>
      </c>
      <c r="F18657" s="1">
        <v>2846.0</v>
      </c>
      <c r="G18657" s="1">
        <v>0.0</v>
      </c>
    </row>
    <row r="18658">
      <c r="A18658" s="1" t="s">
        <v>8</v>
      </c>
      <c r="B18658" s="2">
        <v>44791.0</v>
      </c>
      <c r="C18658" s="3">
        <v>0.3441550925925926</v>
      </c>
      <c r="D18658" s="1">
        <v>12.849974</v>
      </c>
      <c r="E18658" s="1">
        <v>80.064627</v>
      </c>
      <c r="F18658" s="1">
        <v>2846.0</v>
      </c>
      <c r="G18658" s="1">
        <v>0.0</v>
      </c>
    </row>
    <row r="18659">
      <c r="A18659" s="1" t="s">
        <v>8</v>
      </c>
      <c r="B18659" s="2">
        <v>44791.0</v>
      </c>
      <c r="C18659" s="3">
        <v>0.34430555555555553</v>
      </c>
      <c r="D18659" s="1">
        <v>12.849995</v>
      </c>
      <c r="E18659" s="1">
        <v>80.06462</v>
      </c>
      <c r="F18659" s="1">
        <v>2846.0</v>
      </c>
      <c r="G18659" s="1">
        <v>6.0</v>
      </c>
    </row>
    <row r="18660">
      <c r="A18660" s="1" t="s">
        <v>8</v>
      </c>
      <c r="B18660" s="2">
        <v>44791.0</v>
      </c>
      <c r="C18660" s="3">
        <v>0.3449652777777778</v>
      </c>
      <c r="D18660" s="1">
        <v>12.898491</v>
      </c>
      <c r="E18660" s="1">
        <v>80.09037</v>
      </c>
      <c r="F18660" s="1">
        <v>5339.0</v>
      </c>
      <c r="G18660" s="1">
        <v>58.0</v>
      </c>
    </row>
    <row r="18661">
      <c r="A18661" s="1" t="s">
        <v>9</v>
      </c>
      <c r="B18661" s="2">
        <v>44791.0</v>
      </c>
      <c r="C18661" s="3">
        <v>0.3451388888888889</v>
      </c>
      <c r="D18661" s="1">
        <v>12.856755</v>
      </c>
      <c r="E18661" s="1">
        <v>80.069668</v>
      </c>
      <c r="F18661" s="1">
        <v>2846.0</v>
      </c>
      <c r="G18661" s="1">
        <v>58.0</v>
      </c>
    </row>
    <row r="18662">
      <c r="A18662" s="1" t="s">
        <v>8</v>
      </c>
      <c r="B18662" s="2">
        <v>44791.0</v>
      </c>
      <c r="C18662" s="3">
        <v>0.3456018518518518</v>
      </c>
      <c r="D18662" s="1">
        <v>12.893755</v>
      </c>
      <c r="E18662" s="1">
        <v>80.086857</v>
      </c>
      <c r="F18662" s="1">
        <v>5339.0</v>
      </c>
      <c r="G18662" s="1">
        <v>53.0</v>
      </c>
    </row>
    <row r="18663">
      <c r="A18663" s="1" t="s">
        <v>8</v>
      </c>
      <c r="B18663" s="2">
        <v>44791.0</v>
      </c>
      <c r="C18663" s="3">
        <v>0.3457175925925926</v>
      </c>
      <c r="D18663" s="1">
        <v>12.922555</v>
      </c>
      <c r="E18663" s="1">
        <v>80.145807</v>
      </c>
      <c r="F18663" s="1">
        <v>3143.0</v>
      </c>
      <c r="G18663" s="1">
        <v>37.0</v>
      </c>
    </row>
    <row r="18664">
      <c r="A18664" s="1" t="s">
        <v>7</v>
      </c>
      <c r="B18664" s="2">
        <v>44791.0</v>
      </c>
      <c r="C18664" s="3">
        <v>0.3461689814814815</v>
      </c>
      <c r="D18664" s="1">
        <v>12.888385</v>
      </c>
      <c r="E18664" s="1">
        <v>80.08396</v>
      </c>
      <c r="F18664" s="1">
        <v>5339.0</v>
      </c>
      <c r="G18664" s="1">
        <v>57.0</v>
      </c>
    </row>
    <row r="18665">
      <c r="A18665" s="1" t="s">
        <v>8</v>
      </c>
      <c r="B18665" s="2">
        <v>44791.0</v>
      </c>
      <c r="C18665" s="3">
        <v>0.34628472222222223</v>
      </c>
      <c r="D18665" s="1">
        <v>12.887029</v>
      </c>
      <c r="E18665" s="1">
        <v>80.083407</v>
      </c>
      <c r="F18665" s="1">
        <v>5339.0</v>
      </c>
      <c r="G18665" s="1">
        <v>57.0</v>
      </c>
    </row>
    <row r="18666">
      <c r="A18666" s="1" t="s">
        <v>8</v>
      </c>
      <c r="B18666" s="2">
        <v>44791.0</v>
      </c>
      <c r="C18666" s="3">
        <v>0.34652777777777777</v>
      </c>
      <c r="D18666" s="1">
        <v>12.922408</v>
      </c>
      <c r="E18666" s="1">
        <v>80.141776</v>
      </c>
      <c r="F18666" s="1">
        <v>3143.0</v>
      </c>
      <c r="G18666" s="1">
        <v>21.0</v>
      </c>
    </row>
    <row r="18667">
      <c r="A18667" s="1" t="s">
        <v>8</v>
      </c>
      <c r="B18667" s="2">
        <v>44791.0</v>
      </c>
      <c r="C18667" s="3">
        <v>0.34662037037037036</v>
      </c>
      <c r="D18667" s="1">
        <v>12.922396</v>
      </c>
      <c r="E18667" s="1">
        <v>80.141064</v>
      </c>
      <c r="F18667" s="1">
        <v>3143.0</v>
      </c>
      <c r="G18667" s="1">
        <v>29.0</v>
      </c>
    </row>
    <row r="18668">
      <c r="A18668" s="1" t="s">
        <v>8</v>
      </c>
      <c r="B18668" s="2">
        <v>44791.0</v>
      </c>
      <c r="C18668" s="3">
        <v>0.34663194444444445</v>
      </c>
      <c r="D18668" s="1">
        <v>12.883352</v>
      </c>
      <c r="E18668" s="1">
        <v>80.082052</v>
      </c>
      <c r="F18668" s="1">
        <v>5339.0</v>
      </c>
      <c r="G18668" s="1">
        <v>45.0</v>
      </c>
    </row>
    <row r="18669">
      <c r="A18669" s="1" t="s">
        <v>8</v>
      </c>
      <c r="B18669" s="2">
        <v>44791.0</v>
      </c>
      <c r="C18669" s="3">
        <v>0.3467824074074074</v>
      </c>
      <c r="D18669" s="1">
        <v>12.881433</v>
      </c>
      <c r="E18669" s="1">
        <v>80.081283</v>
      </c>
      <c r="F18669" s="1">
        <v>5339.0</v>
      </c>
      <c r="G18669" s="1">
        <v>39.0</v>
      </c>
    </row>
    <row r="18670">
      <c r="A18670" s="1" t="s">
        <v>7</v>
      </c>
      <c r="B18670" s="2">
        <v>44791.0</v>
      </c>
      <c r="C18670" s="3">
        <v>0.34694444444444444</v>
      </c>
      <c r="D18670" s="1">
        <v>12.871595</v>
      </c>
      <c r="E18670" s="1">
        <v>80.077061</v>
      </c>
      <c r="F18670" s="1">
        <v>2846.0</v>
      </c>
      <c r="G18670" s="1">
        <v>57.0</v>
      </c>
    </row>
    <row r="18671">
      <c r="A18671" s="1" t="s">
        <v>9</v>
      </c>
      <c r="B18671" s="2">
        <v>44791.0</v>
      </c>
      <c r="C18671" s="3">
        <v>0.3470023148148148</v>
      </c>
      <c r="D18671" s="1">
        <v>12.873908</v>
      </c>
      <c r="E18671" s="1">
        <v>80.077966</v>
      </c>
      <c r="F18671" s="1">
        <v>2846.0</v>
      </c>
      <c r="G18671" s="1">
        <v>58.0</v>
      </c>
    </row>
    <row r="18672">
      <c r="A18672" s="1" t="s">
        <v>7</v>
      </c>
      <c r="B18672" s="2">
        <v>44791.0</v>
      </c>
      <c r="C18672" s="3">
        <v>0.34708333333333335</v>
      </c>
      <c r="D18672" s="1">
        <v>12.873908</v>
      </c>
      <c r="E18672" s="1">
        <v>80.077966</v>
      </c>
      <c r="F18672" s="1">
        <v>2846.0</v>
      </c>
      <c r="G18672" s="1">
        <v>58.0</v>
      </c>
    </row>
    <row r="18673">
      <c r="A18673" s="1" t="s">
        <v>8</v>
      </c>
      <c r="B18673" s="2">
        <v>44791.0</v>
      </c>
      <c r="C18673" s="3">
        <v>0.347337962962963</v>
      </c>
      <c r="D18673" s="1">
        <v>12.876241</v>
      </c>
      <c r="E18673" s="1">
        <v>80.07883</v>
      </c>
      <c r="F18673" s="1">
        <v>2846.0</v>
      </c>
      <c r="G18673" s="1">
        <v>57.0</v>
      </c>
    </row>
    <row r="18674">
      <c r="A18674" s="1" t="s">
        <v>10</v>
      </c>
      <c r="B18674" s="2">
        <v>44791.0</v>
      </c>
      <c r="C18674" s="3">
        <v>0.3474537037037037</v>
      </c>
      <c r="D18674" s="1">
        <v>12.922461</v>
      </c>
      <c r="E18674" s="1">
        <v>80.137278</v>
      </c>
      <c r="F18674" s="1">
        <v>3143.0</v>
      </c>
      <c r="G18674" s="1">
        <v>13.0</v>
      </c>
    </row>
    <row r="18675">
      <c r="A18675" s="1" t="s">
        <v>8</v>
      </c>
      <c r="B18675" s="2">
        <v>44791.0</v>
      </c>
      <c r="C18675" s="3">
        <v>0.34814814814814815</v>
      </c>
      <c r="D18675" s="1">
        <v>12.922575</v>
      </c>
      <c r="E18675" s="1">
        <v>80.134356</v>
      </c>
      <c r="F18675" s="1">
        <v>3143.0</v>
      </c>
      <c r="G18675" s="1">
        <v>24.0</v>
      </c>
    </row>
    <row r="18676">
      <c r="A18676" s="1" t="s">
        <v>8</v>
      </c>
      <c r="B18676" s="2">
        <v>44791.0</v>
      </c>
      <c r="C18676" s="3">
        <v>0.35087962962962965</v>
      </c>
      <c r="D18676" s="1">
        <v>12.923469</v>
      </c>
      <c r="E18676" s="1">
        <v>80.118121</v>
      </c>
      <c r="F18676" s="1">
        <v>3143.0</v>
      </c>
      <c r="G18676" s="1">
        <v>44.0</v>
      </c>
    </row>
    <row r="18677">
      <c r="A18677" s="1" t="s">
        <v>7</v>
      </c>
      <c r="B18677" s="2">
        <v>44791.0</v>
      </c>
      <c r="C18677" s="3">
        <v>0.3516898148148148</v>
      </c>
      <c r="D18677" s="1">
        <v>12.921274</v>
      </c>
      <c r="E18677" s="1">
        <v>80.112605</v>
      </c>
      <c r="F18677" s="1">
        <v>3143.0</v>
      </c>
      <c r="G18677" s="1">
        <v>46.0</v>
      </c>
    </row>
    <row r="18678">
      <c r="A18678" s="1" t="s">
        <v>7</v>
      </c>
      <c r="B18678" s="2">
        <v>44791.0</v>
      </c>
      <c r="C18678" s="3">
        <v>0.3517824074074074</v>
      </c>
      <c r="D18678" s="1">
        <v>12.921274</v>
      </c>
      <c r="E18678" s="1">
        <v>80.112605</v>
      </c>
      <c r="F18678" s="1">
        <v>3143.0</v>
      </c>
      <c r="G18678" s="1">
        <v>46.0</v>
      </c>
    </row>
    <row r="18679">
      <c r="A18679" s="1" t="s">
        <v>8</v>
      </c>
      <c r="B18679" s="2">
        <v>44791.0</v>
      </c>
      <c r="C18679" s="3">
        <v>0.35300925925925924</v>
      </c>
      <c r="D18679" s="1">
        <v>12.914172</v>
      </c>
      <c r="E18679" s="1">
        <v>80.102294</v>
      </c>
      <c r="F18679" s="1">
        <v>3143.0</v>
      </c>
      <c r="G18679" s="1">
        <v>56.0</v>
      </c>
    </row>
    <row r="18680">
      <c r="A18680" s="1" t="s">
        <v>8</v>
      </c>
      <c r="B18680" s="2">
        <v>44791.0</v>
      </c>
      <c r="C18680" s="3">
        <v>0.3530902777777778</v>
      </c>
      <c r="D18680" s="1">
        <v>12.914172</v>
      </c>
      <c r="E18680" s="1">
        <v>80.102294</v>
      </c>
      <c r="F18680" s="1">
        <v>3143.0</v>
      </c>
      <c r="G18680" s="1">
        <v>56.0</v>
      </c>
    </row>
    <row r="18681">
      <c r="A18681" s="1" t="s">
        <v>8</v>
      </c>
      <c r="B18681" s="2">
        <v>44791.0</v>
      </c>
      <c r="C18681" s="3">
        <v>0.35310185185185183</v>
      </c>
      <c r="D18681" s="1">
        <v>12.912454</v>
      </c>
      <c r="E18681" s="1">
        <v>80.101542</v>
      </c>
      <c r="F18681" s="1">
        <v>3143.0</v>
      </c>
      <c r="G18681" s="1">
        <v>47.0</v>
      </c>
    </row>
    <row r="18682">
      <c r="A18682" s="1" t="s">
        <v>8</v>
      </c>
      <c r="B18682" s="2">
        <v>44791.0</v>
      </c>
      <c r="C18682" s="3">
        <v>0.3542476851851852</v>
      </c>
      <c r="D18682" s="1">
        <v>12.907393</v>
      </c>
      <c r="E18682" s="1">
        <v>80.097273</v>
      </c>
      <c r="F18682" s="1">
        <v>3143.0</v>
      </c>
      <c r="G18682" s="1">
        <v>48.0</v>
      </c>
    </row>
    <row r="18683">
      <c r="A18683" s="1" t="s">
        <v>8</v>
      </c>
      <c r="B18683" s="2">
        <v>44791.0</v>
      </c>
      <c r="C18683" s="3">
        <v>0.3542939814814815</v>
      </c>
      <c r="D18683" s="1">
        <v>12.907393</v>
      </c>
      <c r="E18683" s="1">
        <v>80.097273</v>
      </c>
      <c r="F18683" s="1">
        <v>3143.0</v>
      </c>
      <c r="G18683" s="1">
        <v>48.0</v>
      </c>
    </row>
    <row r="18684">
      <c r="A18684" s="1" t="s">
        <v>7</v>
      </c>
      <c r="B18684" s="2">
        <v>44791.0</v>
      </c>
      <c r="C18684" s="3">
        <v>0.35653935185185187</v>
      </c>
      <c r="D18684" s="1">
        <v>12.892524</v>
      </c>
      <c r="E18684" s="1">
        <v>80.085906</v>
      </c>
      <c r="F18684" s="1">
        <v>3143.0</v>
      </c>
      <c r="G18684" s="1">
        <v>56.0</v>
      </c>
    </row>
    <row r="18685">
      <c r="A18685" s="1" t="s">
        <v>10</v>
      </c>
      <c r="B18685" s="2">
        <v>44791.0</v>
      </c>
      <c r="C18685" s="3">
        <v>0.36005787037037035</v>
      </c>
      <c r="D18685" s="1">
        <v>12.877492</v>
      </c>
      <c r="E18685" s="1">
        <v>80.084752</v>
      </c>
      <c r="F18685" s="1">
        <v>3143.0</v>
      </c>
      <c r="G18685" s="1">
        <v>9.0</v>
      </c>
    </row>
    <row r="18686">
      <c r="A18686" s="1" t="s">
        <v>10</v>
      </c>
      <c r="B18686" s="2">
        <v>44791.0</v>
      </c>
      <c r="C18686" s="3">
        <v>0.6399768518518518</v>
      </c>
      <c r="D18686" s="1">
        <v>12.875888</v>
      </c>
      <c r="E18686" s="1">
        <v>80.083005</v>
      </c>
      <c r="F18686" s="1">
        <v>5339.0</v>
      </c>
      <c r="G18686" s="1">
        <v>11.0</v>
      </c>
    </row>
    <row r="18687">
      <c r="A18687" s="1" t="s">
        <v>10</v>
      </c>
      <c r="B18687" s="2">
        <v>44791.0</v>
      </c>
      <c r="C18687" s="3">
        <v>0.6889699074074074</v>
      </c>
      <c r="D18687" s="1">
        <v>12.876061</v>
      </c>
      <c r="E18687" s="1">
        <v>80.083344</v>
      </c>
      <c r="F18687" s="1">
        <v>3143.0</v>
      </c>
      <c r="G18687" s="1">
        <v>3.0</v>
      </c>
    </row>
    <row r="18688">
      <c r="A18688" s="1" t="s">
        <v>7</v>
      </c>
      <c r="B18688" s="2">
        <v>44791.0</v>
      </c>
      <c r="C18688" s="3">
        <v>0.6897106481481482</v>
      </c>
      <c r="D18688" s="1">
        <v>12.878064</v>
      </c>
      <c r="E18688" s="1">
        <v>80.079814</v>
      </c>
      <c r="F18688" s="1">
        <v>2846.0</v>
      </c>
      <c r="G18688" s="1">
        <v>38.0</v>
      </c>
    </row>
    <row r="18689">
      <c r="A18689" s="1" t="s">
        <v>7</v>
      </c>
      <c r="B18689" s="2">
        <v>44791.0</v>
      </c>
      <c r="C18689" s="3">
        <v>0.6900462962962963</v>
      </c>
      <c r="D18689" s="1">
        <v>12.871483</v>
      </c>
      <c r="E18689" s="1">
        <v>80.077246</v>
      </c>
      <c r="F18689" s="1">
        <v>2846.0</v>
      </c>
      <c r="G18689" s="1">
        <v>57.0</v>
      </c>
    </row>
    <row r="18690">
      <c r="A18690" s="1" t="s">
        <v>8</v>
      </c>
      <c r="B18690" s="2">
        <v>44791.0</v>
      </c>
      <c r="C18690" s="3">
        <v>0.6902199074074075</v>
      </c>
      <c r="D18690" s="1">
        <v>12.882047</v>
      </c>
      <c r="E18690" s="1">
        <v>80.080967</v>
      </c>
      <c r="F18690" s="1">
        <v>5339.0</v>
      </c>
      <c r="G18690" s="1">
        <v>42.0</v>
      </c>
    </row>
    <row r="18691">
      <c r="A18691" s="1" t="s">
        <v>8</v>
      </c>
      <c r="B18691" s="2">
        <v>44791.0</v>
      </c>
      <c r="C18691" s="3">
        <v>0.6904166666666667</v>
      </c>
      <c r="D18691" s="1">
        <v>12.883035</v>
      </c>
      <c r="E18691" s="1">
        <v>80.081376</v>
      </c>
      <c r="F18691" s="1">
        <v>5339.0</v>
      </c>
      <c r="G18691" s="1">
        <v>42.0</v>
      </c>
    </row>
    <row r="18692">
      <c r="A18692" s="1" t="s">
        <v>8</v>
      </c>
      <c r="B18692" s="2">
        <v>44791.0</v>
      </c>
      <c r="C18692" s="3">
        <v>0.6908449074074074</v>
      </c>
      <c r="D18692" s="1">
        <v>12.886802</v>
      </c>
      <c r="E18692" s="1">
        <v>80.083181</v>
      </c>
      <c r="F18692" s="1">
        <v>5339.0</v>
      </c>
      <c r="G18692" s="1">
        <v>41.0</v>
      </c>
    </row>
    <row r="18693">
      <c r="A18693" s="1" t="s">
        <v>8</v>
      </c>
      <c r="B18693" s="2">
        <v>44791.0</v>
      </c>
      <c r="C18693" s="3">
        <v>0.6909606481481482</v>
      </c>
      <c r="D18693" s="1">
        <v>12.88772</v>
      </c>
      <c r="E18693" s="1">
        <v>80.083567</v>
      </c>
      <c r="F18693" s="1">
        <v>5339.0</v>
      </c>
      <c r="G18693" s="1">
        <v>39.0</v>
      </c>
    </row>
    <row r="18694">
      <c r="A18694" s="1" t="s">
        <v>8</v>
      </c>
      <c r="B18694" s="2">
        <v>44791.0</v>
      </c>
      <c r="C18694" s="3">
        <v>0.69125</v>
      </c>
      <c r="D18694" s="1">
        <v>12.88955</v>
      </c>
      <c r="E18694" s="1">
        <v>80.084289</v>
      </c>
      <c r="F18694" s="1">
        <v>5339.0</v>
      </c>
      <c r="G18694" s="1">
        <v>45.0</v>
      </c>
    </row>
    <row r="18695">
      <c r="A18695" s="1" t="s">
        <v>7</v>
      </c>
      <c r="B18695" s="2">
        <v>44791.0</v>
      </c>
      <c r="C18695" s="3">
        <v>0.6913310185185185</v>
      </c>
      <c r="D18695" s="1">
        <v>12.890785</v>
      </c>
      <c r="E18695" s="1">
        <v>80.084807</v>
      </c>
      <c r="F18695" s="1">
        <v>5339.0</v>
      </c>
      <c r="G18695" s="1">
        <v>60.0</v>
      </c>
    </row>
    <row r="18696">
      <c r="A18696" s="1" t="s">
        <v>8</v>
      </c>
      <c r="B18696" s="2">
        <v>44791.0</v>
      </c>
      <c r="C18696" s="3">
        <v>0.6913425925925926</v>
      </c>
      <c r="D18696" s="1">
        <v>12.864084</v>
      </c>
      <c r="E18696" s="1">
        <v>80.074394</v>
      </c>
      <c r="F18696" s="1">
        <v>2846.0</v>
      </c>
      <c r="G18696" s="1">
        <v>33.0</v>
      </c>
    </row>
    <row r="18697">
      <c r="A18697" s="1" t="s">
        <v>8</v>
      </c>
      <c r="B18697" s="2">
        <v>44791.0</v>
      </c>
      <c r="C18697" s="3">
        <v>0.6914351851851852</v>
      </c>
      <c r="D18697" s="1">
        <v>12.864084</v>
      </c>
      <c r="E18697" s="1">
        <v>80.074394</v>
      </c>
      <c r="F18697" s="1">
        <v>2846.0</v>
      </c>
      <c r="G18697" s="1">
        <v>33.0</v>
      </c>
    </row>
    <row r="18698">
      <c r="A18698" s="1" t="s">
        <v>7</v>
      </c>
      <c r="B18698" s="2">
        <v>44791.0</v>
      </c>
      <c r="C18698" s="3">
        <v>0.6915509259259259</v>
      </c>
      <c r="D18698" s="1">
        <v>12.889468</v>
      </c>
      <c r="E18698" s="1">
        <v>80.084279</v>
      </c>
      <c r="F18698" s="1">
        <v>3143.0</v>
      </c>
      <c r="G18698" s="1">
        <v>59.0</v>
      </c>
    </row>
    <row r="18699">
      <c r="A18699" s="1" t="s">
        <v>8</v>
      </c>
      <c r="B18699" s="2">
        <v>44791.0</v>
      </c>
      <c r="C18699" s="3">
        <v>0.6916898148148148</v>
      </c>
      <c r="D18699" s="1">
        <v>12.894444</v>
      </c>
      <c r="E18699" s="1">
        <v>80.0872</v>
      </c>
      <c r="F18699" s="1">
        <v>5339.0</v>
      </c>
      <c r="G18699" s="1">
        <v>54.0</v>
      </c>
    </row>
    <row r="18700">
      <c r="A18700" s="1" t="s">
        <v>8</v>
      </c>
      <c r="B18700" s="2">
        <v>44791.0</v>
      </c>
      <c r="C18700" s="3">
        <v>0.6922222222222222</v>
      </c>
      <c r="D18700" s="1">
        <v>12.859442</v>
      </c>
      <c r="E18700" s="1">
        <v>80.071969</v>
      </c>
      <c r="F18700" s="1">
        <v>2846.0</v>
      </c>
      <c r="G18700" s="1">
        <v>35.0</v>
      </c>
    </row>
    <row r="18701">
      <c r="A18701" s="1" t="s">
        <v>7</v>
      </c>
      <c r="B18701" s="2">
        <v>44791.0</v>
      </c>
      <c r="C18701" s="3">
        <v>0.6926851851851852</v>
      </c>
      <c r="D18701" s="1">
        <v>12.855471</v>
      </c>
      <c r="E18701" s="1">
        <v>80.068896</v>
      </c>
      <c r="F18701" s="1">
        <v>2846.0</v>
      </c>
      <c r="G18701" s="1">
        <v>51.0</v>
      </c>
    </row>
    <row r="18702">
      <c r="A18702" s="1" t="s">
        <v>8</v>
      </c>
      <c r="B18702" s="2">
        <v>44791.0</v>
      </c>
      <c r="C18702" s="3">
        <v>0.6927083333333334</v>
      </c>
      <c r="D18702" s="1">
        <v>12.901431</v>
      </c>
      <c r="E18702" s="1">
        <v>80.092438</v>
      </c>
      <c r="F18702" s="1">
        <v>3143.0</v>
      </c>
      <c r="G18702" s="1">
        <v>58.0</v>
      </c>
    </row>
    <row r="18703">
      <c r="A18703" s="1" t="s">
        <v>7</v>
      </c>
      <c r="B18703" s="2">
        <v>44791.0</v>
      </c>
      <c r="C18703" s="3">
        <v>0.6927893518518519</v>
      </c>
      <c r="D18703" s="1">
        <v>12.902536</v>
      </c>
      <c r="E18703" s="1">
        <v>80.09325</v>
      </c>
      <c r="F18703" s="1">
        <v>3143.0</v>
      </c>
      <c r="G18703" s="1">
        <v>49.0</v>
      </c>
    </row>
    <row r="18704">
      <c r="A18704" s="1" t="s">
        <v>8</v>
      </c>
      <c r="B18704" s="2">
        <v>44791.0</v>
      </c>
      <c r="C18704" s="3">
        <v>0.6928009259259259</v>
      </c>
      <c r="D18704" s="1">
        <v>12.902536</v>
      </c>
      <c r="E18704" s="1">
        <v>80.09325</v>
      </c>
      <c r="F18704" s="1">
        <v>3143.0</v>
      </c>
      <c r="G18704" s="1">
        <v>49.0</v>
      </c>
    </row>
    <row r="18705">
      <c r="A18705" s="1" t="s">
        <v>8</v>
      </c>
      <c r="B18705" s="2">
        <v>44791.0</v>
      </c>
      <c r="C18705" s="3">
        <v>0.6930092592592593</v>
      </c>
      <c r="D18705" s="1">
        <v>12.852</v>
      </c>
      <c r="E18705" s="1">
        <v>80.066328</v>
      </c>
      <c r="F18705" s="1">
        <v>2846.0</v>
      </c>
      <c r="G18705" s="1">
        <v>58.0</v>
      </c>
    </row>
    <row r="18706">
      <c r="A18706" s="1" t="s">
        <v>8</v>
      </c>
      <c r="B18706" s="2">
        <v>44791.0</v>
      </c>
      <c r="C18706" s="3">
        <v>0.6932638888888889</v>
      </c>
      <c r="D18706" s="1">
        <v>12.906432</v>
      </c>
      <c r="E18706" s="1">
        <v>80.096136</v>
      </c>
      <c r="F18706" s="1">
        <v>3143.0</v>
      </c>
      <c r="G18706" s="1">
        <v>54.0</v>
      </c>
    </row>
    <row r="18707">
      <c r="A18707" s="1" t="s">
        <v>8</v>
      </c>
      <c r="B18707" s="2">
        <v>44791.0</v>
      </c>
      <c r="C18707" s="3">
        <v>0.6938657407407407</v>
      </c>
      <c r="D18707" s="1">
        <v>12.909683</v>
      </c>
      <c r="E18707" s="1">
        <v>80.099541</v>
      </c>
      <c r="F18707" s="1">
        <v>5339.0</v>
      </c>
      <c r="G18707" s="1">
        <v>33.0</v>
      </c>
    </row>
    <row r="18708">
      <c r="A18708" s="1" t="s">
        <v>8</v>
      </c>
      <c r="B18708" s="2">
        <v>44791.0</v>
      </c>
      <c r="C18708" s="3">
        <v>0.6940740740740741</v>
      </c>
      <c r="D18708" s="1">
        <v>12.846089</v>
      </c>
      <c r="E18708" s="1">
        <v>80.062057</v>
      </c>
      <c r="F18708" s="1">
        <v>2846.0</v>
      </c>
      <c r="G18708" s="1">
        <v>20.0</v>
      </c>
    </row>
    <row r="18709">
      <c r="A18709" s="1" t="s">
        <v>8</v>
      </c>
      <c r="B18709" s="2">
        <v>44791.0</v>
      </c>
      <c r="C18709" s="3">
        <v>0.6940972222222223</v>
      </c>
      <c r="D18709" s="1">
        <v>12.910581</v>
      </c>
      <c r="E18709" s="1">
        <v>80.10083</v>
      </c>
      <c r="F18709" s="1">
        <v>5339.0</v>
      </c>
      <c r="G18709" s="1">
        <v>33.0</v>
      </c>
    </row>
    <row r="18710">
      <c r="A18710" s="1" t="s">
        <v>8</v>
      </c>
      <c r="B18710" s="2">
        <v>44791.0</v>
      </c>
      <c r="C18710" s="3">
        <v>0.6940972222222223</v>
      </c>
      <c r="D18710" s="1">
        <v>12.910581</v>
      </c>
      <c r="E18710" s="1">
        <v>80.10083</v>
      </c>
      <c r="F18710" s="1">
        <v>5339.0</v>
      </c>
      <c r="G18710" s="1">
        <v>33.0</v>
      </c>
    </row>
    <row r="18711">
      <c r="A18711" s="1" t="s">
        <v>8</v>
      </c>
      <c r="B18711" s="2">
        <v>44791.0</v>
      </c>
      <c r="C18711" s="3">
        <v>0.6943055555555555</v>
      </c>
      <c r="D18711" s="1">
        <v>12.908399</v>
      </c>
      <c r="E18711" s="1">
        <v>80.097663</v>
      </c>
      <c r="F18711" s="1">
        <v>3143.0</v>
      </c>
      <c r="G18711" s="1">
        <v>0.0</v>
      </c>
    </row>
    <row r="18712">
      <c r="A18712" s="1" t="s">
        <v>8</v>
      </c>
      <c r="B18712" s="2">
        <v>44791.0</v>
      </c>
      <c r="C18712" s="3">
        <v>0.6945949074074074</v>
      </c>
      <c r="D18712" s="1">
        <v>12.912778</v>
      </c>
      <c r="E18712" s="1">
        <v>80.10143</v>
      </c>
      <c r="F18712" s="1">
        <v>5339.0</v>
      </c>
      <c r="G18712" s="1">
        <v>41.0</v>
      </c>
    </row>
    <row r="18713">
      <c r="A18713" s="1" t="s">
        <v>8</v>
      </c>
      <c r="B18713" s="2">
        <v>44791.0</v>
      </c>
      <c r="C18713" s="3">
        <v>0.694675925925926</v>
      </c>
      <c r="D18713" s="1">
        <v>12.915252</v>
      </c>
      <c r="E18713" s="1">
        <v>80.102324</v>
      </c>
      <c r="F18713" s="1">
        <v>3143.0</v>
      </c>
      <c r="G18713" s="1">
        <v>55.0</v>
      </c>
    </row>
    <row r="18714">
      <c r="A18714" s="1" t="s">
        <v>8</v>
      </c>
      <c r="B18714" s="2">
        <v>44791.0</v>
      </c>
      <c r="C18714" s="3">
        <v>0.6948611111111112</v>
      </c>
      <c r="D18714" s="1">
        <v>12.915665</v>
      </c>
      <c r="E18714" s="1">
        <v>80.103289</v>
      </c>
      <c r="F18714" s="1">
        <v>5339.0</v>
      </c>
      <c r="G18714" s="1">
        <v>48.0</v>
      </c>
    </row>
    <row r="18715">
      <c r="A18715" s="1" t="s">
        <v>8</v>
      </c>
      <c r="B18715" s="2">
        <v>44791.0</v>
      </c>
      <c r="C18715" s="3">
        <v>0.695324074074074</v>
      </c>
      <c r="D18715" s="1">
        <v>12.918699</v>
      </c>
      <c r="E18715" s="1">
        <v>80.10939</v>
      </c>
      <c r="F18715" s="1">
        <v>3143.0</v>
      </c>
      <c r="G18715" s="1">
        <v>50.0</v>
      </c>
    </row>
    <row r="18716">
      <c r="A18716" s="1" t="s">
        <v>8</v>
      </c>
      <c r="B18716" s="2">
        <v>44791.0</v>
      </c>
      <c r="C18716" s="3">
        <v>0.695474537037037</v>
      </c>
      <c r="D18716" s="1">
        <v>12.840283</v>
      </c>
      <c r="E18716" s="1">
        <v>80.05603</v>
      </c>
      <c r="F18716" s="1">
        <v>2846.0</v>
      </c>
      <c r="G18716" s="1">
        <v>34.0</v>
      </c>
    </row>
    <row r="18717">
      <c r="A18717" s="1" t="s">
        <v>8</v>
      </c>
      <c r="B18717" s="2">
        <v>44791.0</v>
      </c>
      <c r="C18717" s="3">
        <v>0.6955439814814814</v>
      </c>
      <c r="D18717" s="1">
        <v>12.840283</v>
      </c>
      <c r="E18717" s="1">
        <v>80.05603</v>
      </c>
      <c r="F18717" s="1">
        <v>2846.0</v>
      </c>
      <c r="G18717" s="1">
        <v>34.0</v>
      </c>
    </row>
    <row r="18718">
      <c r="A18718" s="1" t="s">
        <v>8</v>
      </c>
      <c r="B18718" s="2">
        <v>44791.0</v>
      </c>
      <c r="C18718" s="3">
        <v>0.6956018518518519</v>
      </c>
      <c r="D18718" s="1">
        <v>12.92032</v>
      </c>
      <c r="E18718" s="1">
        <v>80.111279</v>
      </c>
      <c r="F18718" s="1">
        <v>3143.0</v>
      </c>
      <c r="G18718" s="1">
        <v>49.0</v>
      </c>
    </row>
    <row r="18719">
      <c r="A18719" s="1" t="s">
        <v>8</v>
      </c>
      <c r="B18719" s="2">
        <v>44791.0</v>
      </c>
      <c r="C18719" s="3">
        <v>0.6957407407407408</v>
      </c>
      <c r="D18719" s="1">
        <v>12.917665</v>
      </c>
      <c r="E18719" s="1">
        <v>80.10811</v>
      </c>
      <c r="F18719" s="1">
        <v>5339.0</v>
      </c>
      <c r="G18719" s="1">
        <v>46.0</v>
      </c>
    </row>
    <row r="18720">
      <c r="A18720" s="1" t="s">
        <v>8</v>
      </c>
      <c r="B18720" s="2">
        <v>44791.0</v>
      </c>
      <c r="C18720" s="3">
        <v>0.6958564814814815</v>
      </c>
      <c r="D18720" s="1">
        <v>12.922872</v>
      </c>
      <c r="E18720" s="1">
        <v>80.113777</v>
      </c>
      <c r="F18720" s="1">
        <v>3143.0</v>
      </c>
      <c r="G18720" s="1">
        <v>43.0</v>
      </c>
    </row>
    <row r="18721">
      <c r="A18721" s="1" t="s">
        <v>7</v>
      </c>
      <c r="B18721" s="2">
        <v>44791.0</v>
      </c>
      <c r="C18721" s="3">
        <v>0.6958912037037037</v>
      </c>
      <c r="D18721" s="1">
        <v>12.837731</v>
      </c>
      <c r="E18721" s="1">
        <v>80.053272</v>
      </c>
      <c r="F18721" s="1">
        <v>2846.0</v>
      </c>
      <c r="G18721" s="1">
        <v>56.0</v>
      </c>
    </row>
    <row r="18722">
      <c r="A18722" s="1" t="s">
        <v>7</v>
      </c>
      <c r="B18722" s="2">
        <v>44791.0</v>
      </c>
      <c r="C18722" s="3">
        <v>0.6962962962962963</v>
      </c>
      <c r="D18722" s="1">
        <v>12.922336</v>
      </c>
      <c r="E18722" s="1">
        <v>80.113446</v>
      </c>
      <c r="F18722" s="1">
        <v>5339.0</v>
      </c>
      <c r="G18722" s="1">
        <v>57.0</v>
      </c>
    </row>
    <row r="18723">
      <c r="A18723" s="1" t="s">
        <v>7</v>
      </c>
      <c r="B18723" s="2">
        <v>44791.0</v>
      </c>
      <c r="C18723" s="3">
        <v>0.6968055555555556</v>
      </c>
      <c r="D18723" s="1">
        <v>12.829587</v>
      </c>
      <c r="E18723" s="1">
        <v>80.044742</v>
      </c>
      <c r="F18723" s="1">
        <v>2846.0</v>
      </c>
      <c r="G18723" s="1">
        <v>58.0</v>
      </c>
    </row>
    <row r="18724">
      <c r="A18724" s="1" t="s">
        <v>7</v>
      </c>
      <c r="B18724" s="2">
        <v>44791.0</v>
      </c>
      <c r="C18724" s="3">
        <v>0.697488425925926</v>
      </c>
      <c r="D18724" s="1">
        <v>12.823091</v>
      </c>
      <c r="E18724" s="1">
        <v>80.039008</v>
      </c>
      <c r="F18724" s="1">
        <v>2846.0</v>
      </c>
      <c r="G18724" s="1">
        <v>57.0</v>
      </c>
    </row>
    <row r="18725">
      <c r="A18725" s="1" t="s">
        <v>8</v>
      </c>
      <c r="B18725" s="2">
        <v>44791.0</v>
      </c>
      <c r="C18725" s="3">
        <v>0.6978009259259259</v>
      </c>
      <c r="D18725" s="1">
        <v>12.9231</v>
      </c>
      <c r="E18725" s="1">
        <v>80.125177</v>
      </c>
      <c r="F18725" s="1">
        <v>3143.0</v>
      </c>
      <c r="G18725" s="1">
        <v>49.0</v>
      </c>
    </row>
    <row r="18726">
      <c r="A18726" s="1" t="s">
        <v>7</v>
      </c>
      <c r="B18726" s="2">
        <v>44791.0</v>
      </c>
      <c r="C18726" s="3">
        <v>0.6978935185185186</v>
      </c>
      <c r="D18726" s="1">
        <v>12.823091</v>
      </c>
      <c r="E18726" s="1">
        <v>80.039008</v>
      </c>
      <c r="F18726" s="1">
        <v>2846.0</v>
      </c>
      <c r="G18726" s="1">
        <v>57.0</v>
      </c>
    </row>
    <row r="18727">
      <c r="A18727" s="1" t="s">
        <v>8</v>
      </c>
      <c r="B18727" s="2">
        <v>44791.0</v>
      </c>
      <c r="C18727" s="3">
        <v>0.6983680555555556</v>
      </c>
      <c r="D18727" s="1">
        <v>12.922937</v>
      </c>
      <c r="E18727" s="1">
        <v>80.128343</v>
      </c>
      <c r="F18727" s="1">
        <v>3143.0</v>
      </c>
      <c r="G18727" s="1">
        <v>32.0</v>
      </c>
    </row>
    <row r="18728">
      <c r="A18728" s="1" t="s">
        <v>7</v>
      </c>
      <c r="B18728" s="2">
        <v>44791.0</v>
      </c>
      <c r="C18728" s="3">
        <v>0.699224537037037</v>
      </c>
      <c r="D18728" s="1">
        <v>12.80523</v>
      </c>
      <c r="E18728" s="1">
        <v>80.026934</v>
      </c>
      <c r="F18728" s="1">
        <v>2846.0</v>
      </c>
      <c r="G18728" s="1">
        <v>59.0</v>
      </c>
    </row>
    <row r="18729">
      <c r="A18729" s="1" t="s">
        <v>7</v>
      </c>
      <c r="B18729" s="2">
        <v>44791.0</v>
      </c>
      <c r="C18729" s="3">
        <v>0.6994444444444444</v>
      </c>
      <c r="D18729" s="1">
        <v>12.804004</v>
      </c>
      <c r="E18729" s="1">
        <v>80.026147</v>
      </c>
      <c r="F18729" s="1">
        <v>2846.0</v>
      </c>
      <c r="G18729" s="1">
        <v>56.0</v>
      </c>
    </row>
    <row r="18730">
      <c r="A18730" s="1" t="s">
        <v>8</v>
      </c>
      <c r="B18730" s="2">
        <v>44791.0</v>
      </c>
      <c r="C18730" s="3">
        <v>0.6997685185185185</v>
      </c>
      <c r="D18730" s="1">
        <v>12.930658</v>
      </c>
      <c r="E18730" s="1">
        <v>80.121789</v>
      </c>
      <c r="F18730" s="1">
        <v>5339.0</v>
      </c>
      <c r="G18730" s="1">
        <v>38.0</v>
      </c>
    </row>
    <row r="18731">
      <c r="A18731" s="1" t="s">
        <v>9</v>
      </c>
      <c r="B18731" s="2">
        <v>44791.0</v>
      </c>
      <c r="C18731" s="3">
        <v>0.7001157407407408</v>
      </c>
      <c r="D18731" s="1">
        <v>12.9329</v>
      </c>
      <c r="E18731" s="1">
        <v>80.124042</v>
      </c>
      <c r="F18731" s="1">
        <v>5339.0</v>
      </c>
      <c r="G18731" s="1">
        <v>40.0</v>
      </c>
    </row>
    <row r="18732">
      <c r="A18732" s="1" t="s">
        <v>10</v>
      </c>
      <c r="B18732" s="2">
        <v>44791.0</v>
      </c>
      <c r="C18732" s="3">
        <v>0.7004398148148148</v>
      </c>
      <c r="D18732" s="1">
        <v>12.922488</v>
      </c>
      <c r="E18732" s="1">
        <v>80.143045</v>
      </c>
      <c r="F18732" s="1">
        <v>3143.0</v>
      </c>
      <c r="G18732" s="1">
        <v>37.0</v>
      </c>
    </row>
    <row r="18733">
      <c r="A18733" s="1" t="s">
        <v>7</v>
      </c>
      <c r="B18733" s="2">
        <v>44791.0</v>
      </c>
      <c r="C18733" s="3">
        <v>0.700775462962963</v>
      </c>
      <c r="D18733" s="1">
        <v>12.790188</v>
      </c>
      <c r="E18733" s="1">
        <v>80.017221</v>
      </c>
      <c r="F18733" s="1">
        <v>2846.0</v>
      </c>
      <c r="G18733" s="1">
        <v>58.0</v>
      </c>
    </row>
    <row r="18734">
      <c r="A18734" s="1" t="s">
        <v>7</v>
      </c>
      <c r="B18734" s="2">
        <v>44791.0</v>
      </c>
      <c r="C18734" s="3">
        <v>0.7015393518518519</v>
      </c>
      <c r="D18734" s="1">
        <v>12.781202</v>
      </c>
      <c r="E18734" s="1">
        <v>80.012292</v>
      </c>
      <c r="F18734" s="1">
        <v>2846.0</v>
      </c>
      <c r="G18734" s="1">
        <v>58.0</v>
      </c>
    </row>
    <row r="18735">
      <c r="A18735" s="1" t="s">
        <v>8</v>
      </c>
      <c r="B18735" s="2">
        <v>44791.0</v>
      </c>
      <c r="C18735" s="3">
        <v>0.7016898148148148</v>
      </c>
      <c r="D18735" s="1">
        <v>12.940651</v>
      </c>
      <c r="E18735" s="1">
        <v>80.13115</v>
      </c>
      <c r="F18735" s="1">
        <v>5339.0</v>
      </c>
      <c r="G18735" s="1">
        <v>50.0</v>
      </c>
    </row>
    <row r="18736">
      <c r="A18736" s="1" t="s">
        <v>8</v>
      </c>
      <c r="B18736" s="2">
        <v>44791.0</v>
      </c>
      <c r="C18736" s="3">
        <v>0.7023379629629629</v>
      </c>
      <c r="D18736" s="1">
        <v>12.94293</v>
      </c>
      <c r="E18736" s="1">
        <v>80.133468</v>
      </c>
      <c r="F18736" s="1">
        <v>5339.0</v>
      </c>
      <c r="G18736" s="1">
        <v>26.0</v>
      </c>
    </row>
    <row r="18737">
      <c r="A18737" s="1" t="s">
        <v>8</v>
      </c>
      <c r="B18737" s="2">
        <v>44791.0</v>
      </c>
      <c r="C18737" s="3">
        <v>0.7023495370370371</v>
      </c>
      <c r="D18737" s="1">
        <v>12.94293</v>
      </c>
      <c r="E18737" s="1">
        <v>80.133468</v>
      </c>
      <c r="F18737" s="1">
        <v>5339.0</v>
      </c>
      <c r="G18737" s="1">
        <v>26.0</v>
      </c>
    </row>
    <row r="18738">
      <c r="A18738" s="1" t="s">
        <v>8</v>
      </c>
      <c r="B18738" s="2">
        <v>44791.0</v>
      </c>
      <c r="C18738" s="3">
        <v>0.7024189814814815</v>
      </c>
      <c r="D18738" s="1">
        <v>12.770705</v>
      </c>
      <c r="E18738" s="1">
        <v>80.007638</v>
      </c>
      <c r="F18738" s="1">
        <v>2846.0</v>
      </c>
      <c r="G18738" s="1">
        <v>37.0</v>
      </c>
    </row>
    <row r="18739">
      <c r="A18739" s="1" t="s">
        <v>8</v>
      </c>
      <c r="B18739" s="2">
        <v>44791.0</v>
      </c>
      <c r="C18739" s="3">
        <v>0.7024537037037037</v>
      </c>
      <c r="D18739" s="1">
        <v>12.770705</v>
      </c>
      <c r="E18739" s="1">
        <v>80.007638</v>
      </c>
      <c r="F18739" s="1">
        <v>2846.0</v>
      </c>
      <c r="G18739" s="1">
        <v>37.0</v>
      </c>
    </row>
    <row r="18740">
      <c r="A18740" s="1" t="s">
        <v>7</v>
      </c>
      <c r="B18740" s="2">
        <v>44791.0</v>
      </c>
      <c r="C18740" s="3">
        <v>0.7027430555555556</v>
      </c>
      <c r="D18740" s="1">
        <v>12.923714</v>
      </c>
      <c r="E18740" s="1">
        <v>80.15615</v>
      </c>
      <c r="F18740" s="1">
        <v>3143.0</v>
      </c>
      <c r="G18740" s="1">
        <v>43.0</v>
      </c>
    </row>
    <row r="18741">
      <c r="A18741" s="1" t="s">
        <v>7</v>
      </c>
      <c r="B18741" s="2">
        <v>44791.0</v>
      </c>
      <c r="C18741" s="3">
        <v>0.7029398148148148</v>
      </c>
      <c r="D18741" s="1">
        <v>12.76793</v>
      </c>
      <c r="E18741" s="1">
        <v>80.006226</v>
      </c>
      <c r="F18741" s="1">
        <v>2846.0</v>
      </c>
      <c r="G18741" s="1">
        <v>52.0</v>
      </c>
    </row>
    <row r="18742">
      <c r="A18742" s="1" t="s">
        <v>7</v>
      </c>
      <c r="B18742" s="2">
        <v>44791.0</v>
      </c>
      <c r="C18742" s="3">
        <v>0.703113425925926</v>
      </c>
      <c r="D18742" s="1">
        <v>12.765275</v>
      </c>
      <c r="E18742" s="1">
        <v>80.005054</v>
      </c>
      <c r="F18742" s="1">
        <v>2846.0</v>
      </c>
      <c r="G18742" s="1">
        <v>58.0</v>
      </c>
    </row>
    <row r="18743">
      <c r="A18743" s="1" t="s">
        <v>8</v>
      </c>
      <c r="B18743" s="2">
        <v>44791.0</v>
      </c>
      <c r="C18743" s="3">
        <v>0.7034953703703704</v>
      </c>
      <c r="D18743" s="1">
        <v>12.950273</v>
      </c>
      <c r="E18743" s="1">
        <v>80.139311</v>
      </c>
      <c r="F18743" s="1">
        <v>5339.0</v>
      </c>
      <c r="G18743" s="1">
        <v>16.0</v>
      </c>
    </row>
    <row r="18744">
      <c r="A18744" s="1" t="s">
        <v>9</v>
      </c>
      <c r="B18744" s="2">
        <v>44791.0</v>
      </c>
      <c r="C18744" s="3">
        <v>0.7036689814814815</v>
      </c>
      <c r="D18744" s="1">
        <v>12.951462</v>
      </c>
      <c r="E18744" s="1">
        <v>80.140207</v>
      </c>
      <c r="F18744" s="1">
        <v>5339.0</v>
      </c>
      <c r="G18744" s="1">
        <v>33.0</v>
      </c>
    </row>
    <row r="18745">
      <c r="A18745" s="1" t="s">
        <v>9</v>
      </c>
      <c r="B18745" s="2">
        <v>44791.0</v>
      </c>
      <c r="C18745" s="3">
        <v>0.7037847222222222</v>
      </c>
      <c r="D18745" s="1">
        <v>12.952148</v>
      </c>
      <c r="E18745" s="1">
        <v>80.140726</v>
      </c>
      <c r="F18745" s="1">
        <v>5339.0</v>
      </c>
      <c r="G18745" s="1">
        <v>33.0</v>
      </c>
    </row>
    <row r="18746">
      <c r="A18746" s="1" t="s">
        <v>8</v>
      </c>
      <c r="B18746" s="2">
        <v>44791.0</v>
      </c>
      <c r="C18746" s="3">
        <v>0.7039467592592593</v>
      </c>
      <c r="D18746" s="1">
        <v>12.95285</v>
      </c>
      <c r="E18746" s="1">
        <v>80.141251</v>
      </c>
      <c r="F18746" s="1">
        <v>5339.0</v>
      </c>
      <c r="G18746" s="1">
        <v>34.0</v>
      </c>
    </row>
    <row r="18747">
      <c r="A18747" s="1" t="s">
        <v>7</v>
      </c>
      <c r="B18747" s="2">
        <v>44791.0</v>
      </c>
      <c r="C18747" s="3">
        <v>0.7041898148148148</v>
      </c>
      <c r="D18747" s="1">
        <v>12.755462</v>
      </c>
      <c r="E18747" s="1">
        <v>80.001663</v>
      </c>
      <c r="F18747" s="1">
        <v>2846.0</v>
      </c>
      <c r="G18747" s="1">
        <v>58.0</v>
      </c>
    </row>
    <row r="18748">
      <c r="A18748" s="1" t="s">
        <v>8</v>
      </c>
      <c r="B18748" s="2">
        <v>44791.0</v>
      </c>
      <c r="C18748" s="3">
        <v>0.704212962962963</v>
      </c>
      <c r="D18748" s="1">
        <v>12.954488</v>
      </c>
      <c r="E18748" s="1">
        <v>80.142191</v>
      </c>
      <c r="F18748" s="1">
        <v>5339.0</v>
      </c>
      <c r="G18748" s="1">
        <v>36.0</v>
      </c>
    </row>
    <row r="18749">
      <c r="A18749" s="1" t="s">
        <v>8</v>
      </c>
      <c r="B18749" s="2">
        <v>44791.0</v>
      </c>
      <c r="C18749" s="3">
        <v>0.7042476851851852</v>
      </c>
      <c r="D18749" s="1">
        <v>12.755462</v>
      </c>
      <c r="E18749" s="1">
        <v>80.001663</v>
      </c>
      <c r="F18749" s="1">
        <v>2846.0</v>
      </c>
      <c r="G18749" s="1">
        <v>58.0</v>
      </c>
    </row>
    <row r="18750">
      <c r="A18750" s="1" t="s">
        <v>8</v>
      </c>
      <c r="B18750" s="2">
        <v>44791.0</v>
      </c>
      <c r="C18750" s="3">
        <v>0.7045601851851852</v>
      </c>
      <c r="D18750" s="1">
        <v>12.956148</v>
      </c>
      <c r="E18750" s="1">
        <v>80.143079</v>
      </c>
      <c r="F18750" s="1">
        <v>5339.0</v>
      </c>
      <c r="G18750" s="1">
        <v>6.0</v>
      </c>
    </row>
    <row r="18751">
      <c r="A18751" s="1" t="s">
        <v>8</v>
      </c>
      <c r="B18751" s="2">
        <v>44791.0</v>
      </c>
      <c r="C18751" s="3">
        <v>0.7045833333333333</v>
      </c>
      <c r="D18751" s="1">
        <v>12.956519</v>
      </c>
      <c r="E18751" s="1">
        <v>80.143296</v>
      </c>
      <c r="F18751" s="1">
        <v>5339.0</v>
      </c>
      <c r="G18751" s="1">
        <v>25.0</v>
      </c>
    </row>
    <row r="18752">
      <c r="A18752" s="1" t="s">
        <v>7</v>
      </c>
      <c r="B18752" s="2">
        <v>44791.0</v>
      </c>
      <c r="C18752" s="3">
        <v>0.7046412037037038</v>
      </c>
      <c r="D18752" s="1">
        <v>12.754264</v>
      </c>
      <c r="E18752" s="1">
        <v>80.000924</v>
      </c>
      <c r="F18752" s="1">
        <v>2846.0</v>
      </c>
      <c r="G18752" s="1">
        <v>56.0</v>
      </c>
    </row>
    <row r="18753">
      <c r="A18753" s="1" t="s">
        <v>8</v>
      </c>
      <c r="B18753" s="2">
        <v>44791.0</v>
      </c>
      <c r="C18753" s="3">
        <v>0.7048958333333334</v>
      </c>
      <c r="D18753" s="1">
        <v>12.918268</v>
      </c>
      <c r="E18753" s="1">
        <v>80.177728</v>
      </c>
      <c r="F18753" s="1">
        <v>3143.0</v>
      </c>
      <c r="G18753" s="1">
        <v>39.0</v>
      </c>
    </row>
    <row r="18754">
      <c r="A18754" s="1" t="s">
        <v>8</v>
      </c>
      <c r="B18754" s="2">
        <v>44791.0</v>
      </c>
      <c r="C18754" s="3">
        <v>0.7049884259259259</v>
      </c>
      <c r="D18754" s="1">
        <v>12.918656</v>
      </c>
      <c r="E18754" s="1">
        <v>80.178544</v>
      </c>
      <c r="F18754" s="1">
        <v>3143.0</v>
      </c>
      <c r="G18754" s="1">
        <v>33.0</v>
      </c>
    </row>
    <row r="18755">
      <c r="A18755" s="1" t="s">
        <v>8</v>
      </c>
      <c r="B18755" s="2">
        <v>44791.0</v>
      </c>
      <c r="C18755" s="3">
        <v>0.7055092592592592</v>
      </c>
      <c r="D18755" s="1">
        <v>12.919768</v>
      </c>
      <c r="E18755" s="1">
        <v>80.182037</v>
      </c>
      <c r="F18755" s="1">
        <v>3143.0</v>
      </c>
      <c r="G18755" s="1">
        <v>39.0</v>
      </c>
    </row>
    <row r="18756">
      <c r="A18756" s="1" t="s">
        <v>7</v>
      </c>
      <c r="B18756" s="2">
        <v>44791.0</v>
      </c>
      <c r="C18756" s="3">
        <v>0.7061226851851852</v>
      </c>
      <c r="D18756" s="1">
        <v>12.739505</v>
      </c>
      <c r="E18756" s="1">
        <v>79.989564</v>
      </c>
      <c r="F18756" s="1">
        <v>2846.0</v>
      </c>
      <c r="G18756" s="1">
        <v>55.0</v>
      </c>
    </row>
    <row r="18757">
      <c r="A18757" s="1" t="s">
        <v>8</v>
      </c>
      <c r="B18757" s="2">
        <v>44791.0</v>
      </c>
      <c r="C18757" s="3">
        <v>0.7067361111111111</v>
      </c>
      <c r="D18757" s="1">
        <v>12.961304</v>
      </c>
      <c r="E18757" s="1">
        <v>80.14583</v>
      </c>
      <c r="F18757" s="1">
        <v>5339.0</v>
      </c>
      <c r="G18757" s="1">
        <v>25.0</v>
      </c>
    </row>
    <row r="18758">
      <c r="A18758" s="1" t="s">
        <v>8</v>
      </c>
      <c r="B18758" s="2">
        <v>44791.0</v>
      </c>
      <c r="C18758" s="3">
        <v>0.7068981481481481</v>
      </c>
      <c r="D18758" s="1">
        <v>12.962066</v>
      </c>
      <c r="E18758" s="1">
        <v>80.14624</v>
      </c>
      <c r="F18758" s="1">
        <v>5339.0</v>
      </c>
      <c r="G18758" s="1">
        <v>37.0</v>
      </c>
    </row>
    <row r="18759">
      <c r="A18759" s="1" t="s">
        <v>7</v>
      </c>
      <c r="B18759" s="2">
        <v>44791.0</v>
      </c>
      <c r="C18759" s="3">
        <v>0.7073379629629629</v>
      </c>
      <c r="D18759" s="1">
        <v>12.728926</v>
      </c>
      <c r="E18759" s="1">
        <v>79.982849</v>
      </c>
      <c r="F18759" s="1">
        <v>2846.0</v>
      </c>
      <c r="G18759" s="1">
        <v>58.0</v>
      </c>
    </row>
    <row r="18760">
      <c r="A18760" s="1" t="s">
        <v>7</v>
      </c>
      <c r="B18760" s="2">
        <v>44791.0</v>
      </c>
      <c r="C18760" s="3">
        <v>0.7076041666666667</v>
      </c>
      <c r="D18760" s="1">
        <v>12.967859</v>
      </c>
      <c r="E18760" s="1">
        <v>80.149338</v>
      </c>
      <c r="F18760" s="1">
        <v>5339.0</v>
      </c>
      <c r="G18760" s="1">
        <v>50.0</v>
      </c>
    </row>
    <row r="18761">
      <c r="A18761" s="1" t="s">
        <v>8</v>
      </c>
      <c r="B18761" s="2">
        <v>44791.0</v>
      </c>
      <c r="C18761" s="3">
        <v>0.7080208333333333</v>
      </c>
      <c r="D18761" s="1">
        <v>12.971975</v>
      </c>
      <c r="E18761" s="1">
        <v>80.151362</v>
      </c>
      <c r="F18761" s="1">
        <v>5339.0</v>
      </c>
      <c r="G18761" s="1">
        <v>56.0</v>
      </c>
    </row>
    <row r="18762">
      <c r="A18762" s="1" t="s">
        <v>7</v>
      </c>
      <c r="B18762" s="2">
        <v>44791.0</v>
      </c>
      <c r="C18762" s="3">
        <v>0.7082060185185185</v>
      </c>
      <c r="D18762" s="1">
        <v>12.973287</v>
      </c>
      <c r="E18762" s="1">
        <v>80.15304</v>
      </c>
      <c r="F18762" s="1">
        <v>5339.0</v>
      </c>
      <c r="G18762" s="1">
        <v>49.0</v>
      </c>
    </row>
    <row r="18763">
      <c r="A18763" s="1" t="s">
        <v>8</v>
      </c>
      <c r="B18763" s="2">
        <v>44791.0</v>
      </c>
      <c r="C18763" s="3">
        <v>0.7082291666666667</v>
      </c>
      <c r="D18763" s="1">
        <v>12.974498</v>
      </c>
      <c r="E18763" s="1">
        <v>80.154805</v>
      </c>
      <c r="F18763" s="1">
        <v>5339.0</v>
      </c>
      <c r="G18763" s="1">
        <v>60.0</v>
      </c>
    </row>
    <row r="18764">
      <c r="A18764" s="1" t="s">
        <v>7</v>
      </c>
      <c r="B18764" s="2">
        <v>44791.0</v>
      </c>
      <c r="C18764" s="3">
        <v>0.708275462962963</v>
      </c>
      <c r="D18764" s="1">
        <v>12.974498</v>
      </c>
      <c r="E18764" s="1">
        <v>80.154805</v>
      </c>
      <c r="F18764" s="1">
        <v>5339.0</v>
      </c>
      <c r="G18764" s="1">
        <v>60.0</v>
      </c>
    </row>
    <row r="18765">
      <c r="A18765" s="1" t="s">
        <v>8</v>
      </c>
      <c r="B18765" s="2">
        <v>44791.0</v>
      </c>
      <c r="C18765" s="3">
        <v>0.7084375</v>
      </c>
      <c r="D18765" s="1">
        <v>12.975783</v>
      </c>
      <c r="E18765" s="1">
        <v>80.156629</v>
      </c>
      <c r="F18765" s="1">
        <v>5339.0</v>
      </c>
      <c r="G18765" s="1">
        <v>45.0</v>
      </c>
    </row>
    <row r="18766">
      <c r="A18766" s="1" t="s">
        <v>7</v>
      </c>
      <c r="B18766" s="2">
        <v>44791.0</v>
      </c>
      <c r="C18766" s="3">
        <v>0.7084722222222222</v>
      </c>
      <c r="D18766" s="1">
        <v>12.723827</v>
      </c>
      <c r="E18766" s="1">
        <v>79.982041</v>
      </c>
      <c r="F18766" s="1">
        <v>2846.0</v>
      </c>
      <c r="G18766" s="1">
        <v>23.0</v>
      </c>
    </row>
    <row r="18767">
      <c r="A18767" s="1" t="s">
        <v>10</v>
      </c>
      <c r="B18767" s="2">
        <v>44791.0</v>
      </c>
      <c r="C18767" s="3">
        <v>0.7084722222222222</v>
      </c>
      <c r="D18767" s="1">
        <v>12.930392</v>
      </c>
      <c r="E18767" s="1">
        <v>80.181523</v>
      </c>
      <c r="F18767" s="1">
        <v>3143.0</v>
      </c>
      <c r="G18767" s="1">
        <v>0.0</v>
      </c>
    </row>
    <row r="18768">
      <c r="A18768" s="1" t="s">
        <v>7</v>
      </c>
      <c r="B18768" s="2">
        <v>44791.0</v>
      </c>
      <c r="C18768" s="3">
        <v>0.7086921296296296</v>
      </c>
      <c r="D18768" s="1">
        <v>12.97692</v>
      </c>
      <c r="E18768" s="1">
        <v>80.158306</v>
      </c>
      <c r="F18768" s="1">
        <v>5339.0</v>
      </c>
      <c r="G18768" s="1">
        <v>52.0</v>
      </c>
    </row>
    <row r="18769">
      <c r="A18769" s="1" t="s">
        <v>7</v>
      </c>
      <c r="B18769" s="2">
        <v>44791.0</v>
      </c>
      <c r="C18769" s="3">
        <v>0.7087731481481482</v>
      </c>
      <c r="D18769" s="1">
        <v>12.715845</v>
      </c>
      <c r="E18769" s="1">
        <v>79.980698</v>
      </c>
      <c r="F18769" s="1">
        <v>2846.0</v>
      </c>
      <c r="G18769" s="1">
        <v>57.0</v>
      </c>
    </row>
    <row r="18770">
      <c r="A18770" s="1" t="s">
        <v>7</v>
      </c>
      <c r="B18770" s="2">
        <v>44791.0</v>
      </c>
      <c r="C18770" s="3">
        <v>0.7088657407407407</v>
      </c>
      <c r="D18770" s="1">
        <v>12.713439</v>
      </c>
      <c r="E18770" s="1">
        <v>79.980015</v>
      </c>
      <c r="F18770" s="1">
        <v>2846.0</v>
      </c>
      <c r="G18770" s="1">
        <v>57.0</v>
      </c>
    </row>
    <row r="18771">
      <c r="A18771" s="1" t="s">
        <v>7</v>
      </c>
      <c r="B18771" s="2">
        <v>44791.0</v>
      </c>
      <c r="C18771" s="3">
        <v>0.7090625</v>
      </c>
      <c r="D18771" s="1">
        <v>12.713439</v>
      </c>
      <c r="E18771" s="1">
        <v>79.980015</v>
      </c>
      <c r="F18771" s="1">
        <v>2846.0</v>
      </c>
      <c r="G18771" s="1">
        <v>57.0</v>
      </c>
    </row>
    <row r="18772">
      <c r="A18772" s="1" t="s">
        <v>8</v>
      </c>
      <c r="B18772" s="2">
        <v>44791.0</v>
      </c>
      <c r="C18772" s="3">
        <v>0.7109027777777778</v>
      </c>
      <c r="D18772" s="1">
        <v>12.987067</v>
      </c>
      <c r="E18772" s="1">
        <v>80.17553</v>
      </c>
      <c r="F18772" s="1">
        <v>5339.0</v>
      </c>
      <c r="G18772" s="1">
        <v>37.0</v>
      </c>
    </row>
    <row r="18773">
      <c r="A18773" s="1" t="s">
        <v>10</v>
      </c>
      <c r="B18773" s="2">
        <v>44791.0</v>
      </c>
      <c r="C18773" s="3">
        <v>0.7111458333333334</v>
      </c>
      <c r="D18773" s="1">
        <v>12.699049</v>
      </c>
      <c r="E18773" s="1">
        <v>79.969754</v>
      </c>
      <c r="F18773" s="1">
        <v>2846.0</v>
      </c>
      <c r="G18773" s="1">
        <v>34.0</v>
      </c>
    </row>
    <row r="18774">
      <c r="A18774" s="1" t="s">
        <v>8</v>
      </c>
      <c r="B18774" s="2">
        <v>44791.0</v>
      </c>
      <c r="C18774" s="3">
        <v>0.7114236111111111</v>
      </c>
      <c r="D18774" s="1">
        <v>12.991089</v>
      </c>
      <c r="E18774" s="1">
        <v>80.180794</v>
      </c>
      <c r="F18774" s="1">
        <v>5339.0</v>
      </c>
      <c r="G18774" s="1">
        <v>40.0</v>
      </c>
    </row>
    <row r="18775">
      <c r="A18775" s="1" t="s">
        <v>8</v>
      </c>
      <c r="B18775" s="2">
        <v>44791.0</v>
      </c>
      <c r="C18775" s="3">
        <v>0.7123379629629629</v>
      </c>
      <c r="D18775" s="1">
        <v>12.697269</v>
      </c>
      <c r="E18775" s="1">
        <v>79.972842</v>
      </c>
      <c r="F18775" s="1">
        <v>2846.0</v>
      </c>
      <c r="G18775" s="1">
        <v>14.0</v>
      </c>
    </row>
    <row r="18776">
      <c r="A18776" s="1" t="s">
        <v>8</v>
      </c>
      <c r="B18776" s="2">
        <v>44791.0</v>
      </c>
      <c r="C18776" s="3">
        <v>0.7129282407407408</v>
      </c>
      <c r="D18776" s="1">
        <v>12.994036</v>
      </c>
      <c r="E18776" s="1">
        <v>80.185481</v>
      </c>
      <c r="F18776" s="1">
        <v>5339.0</v>
      </c>
      <c r="G18776" s="1">
        <v>25.0</v>
      </c>
    </row>
    <row r="18777">
      <c r="A18777" s="1" t="s">
        <v>7</v>
      </c>
      <c r="B18777" s="2">
        <v>44791.0</v>
      </c>
      <c r="C18777" s="3">
        <v>0.7132291666666667</v>
      </c>
      <c r="D18777" s="1">
        <v>12.995371</v>
      </c>
      <c r="E18777" s="1">
        <v>80.188068</v>
      </c>
      <c r="F18777" s="1">
        <v>5339.0</v>
      </c>
      <c r="G18777" s="1">
        <v>47.0</v>
      </c>
    </row>
    <row r="18778">
      <c r="A18778" s="1" t="s">
        <v>8</v>
      </c>
      <c r="B18778" s="2">
        <v>44791.0</v>
      </c>
      <c r="C18778" s="3">
        <v>0.713275462962963</v>
      </c>
      <c r="D18778" s="1">
        <v>12.995371</v>
      </c>
      <c r="E18778" s="1">
        <v>80.188068</v>
      </c>
      <c r="F18778" s="1">
        <v>5339.0</v>
      </c>
      <c r="G18778" s="1">
        <v>47.0</v>
      </c>
    </row>
    <row r="18779">
      <c r="A18779" s="1" t="s">
        <v>8</v>
      </c>
      <c r="B18779" s="2">
        <v>44791.0</v>
      </c>
      <c r="C18779" s="3">
        <v>0.7134259259259259</v>
      </c>
      <c r="D18779" s="1">
        <v>12.694219</v>
      </c>
      <c r="E18779" s="1">
        <v>79.97874</v>
      </c>
      <c r="F18779" s="1">
        <v>2846.0</v>
      </c>
      <c r="G18779" s="1">
        <v>27.0</v>
      </c>
    </row>
    <row r="18780">
      <c r="A18780" s="1" t="s">
        <v>10</v>
      </c>
      <c r="B18780" s="2">
        <v>44791.0</v>
      </c>
      <c r="C18780" s="3">
        <v>0.7139699074074074</v>
      </c>
      <c r="D18780" s="1">
        <v>12.691368</v>
      </c>
      <c r="E18780" s="1">
        <v>79.980736</v>
      </c>
      <c r="F18780" s="1">
        <v>2846.0</v>
      </c>
      <c r="G18780" s="1">
        <v>22.0</v>
      </c>
    </row>
    <row r="18781">
      <c r="A18781" s="1" t="s">
        <v>8</v>
      </c>
      <c r="B18781" s="2">
        <v>44791.0</v>
      </c>
      <c r="C18781" s="3">
        <v>0.7146296296296296</v>
      </c>
      <c r="D18781" s="1">
        <v>12.689493</v>
      </c>
      <c r="E18781" s="1">
        <v>79.982392</v>
      </c>
      <c r="F18781" s="1">
        <v>2846.0</v>
      </c>
      <c r="G18781" s="1">
        <v>29.0</v>
      </c>
    </row>
    <row r="18782">
      <c r="A18782" s="1" t="s">
        <v>7</v>
      </c>
      <c r="B18782" s="2">
        <v>44791.0</v>
      </c>
      <c r="C18782" s="3">
        <v>0.7147569444444445</v>
      </c>
      <c r="D18782" s="1">
        <v>13.002129</v>
      </c>
      <c r="E18782" s="1">
        <v>80.19718</v>
      </c>
      <c r="F18782" s="1">
        <v>5339.0</v>
      </c>
      <c r="G18782" s="1">
        <v>42.0</v>
      </c>
    </row>
    <row r="18783">
      <c r="A18783" s="1" t="s">
        <v>7</v>
      </c>
      <c r="B18783" s="2">
        <v>44791.0</v>
      </c>
      <c r="C18783" s="3">
        <v>0.7149421296296297</v>
      </c>
      <c r="D18783" s="1">
        <v>13.00191</v>
      </c>
      <c r="E18783" s="1">
        <v>80.199868</v>
      </c>
      <c r="F18783" s="1">
        <v>5339.0</v>
      </c>
      <c r="G18783" s="1">
        <v>53.0</v>
      </c>
    </row>
    <row r="18784">
      <c r="A18784" s="1" t="s">
        <v>7</v>
      </c>
      <c r="B18784" s="2">
        <v>44791.0</v>
      </c>
      <c r="C18784" s="3">
        <v>0.7150115740740741</v>
      </c>
      <c r="D18784" s="1">
        <v>13.00191</v>
      </c>
      <c r="E18784" s="1">
        <v>80.199868</v>
      </c>
      <c r="F18784" s="1">
        <v>5339.0</v>
      </c>
      <c r="G18784" s="1">
        <v>53.0</v>
      </c>
    </row>
    <row r="18785">
      <c r="A18785" s="1" t="s">
        <v>8</v>
      </c>
      <c r="B18785" s="2">
        <v>44791.0</v>
      </c>
      <c r="C18785" s="3">
        <v>0.7150694444444444</v>
      </c>
      <c r="D18785" s="1">
        <v>13.002899</v>
      </c>
      <c r="E18785" s="1">
        <v>80.200667</v>
      </c>
      <c r="F18785" s="1">
        <v>5339.0</v>
      </c>
      <c r="G18785" s="1">
        <v>52.0</v>
      </c>
    </row>
    <row r="18786">
      <c r="A18786" s="1" t="s">
        <v>8</v>
      </c>
      <c r="B18786" s="2">
        <v>44791.0</v>
      </c>
      <c r="C18786" s="3">
        <v>0.7151504629629629</v>
      </c>
      <c r="D18786" s="1">
        <v>13.004034</v>
      </c>
      <c r="E18786" s="1">
        <v>80.200986</v>
      </c>
      <c r="F18786" s="1">
        <v>5339.0</v>
      </c>
      <c r="G18786" s="1">
        <v>37.0</v>
      </c>
    </row>
    <row r="18787">
      <c r="A18787" s="1" t="s">
        <v>8</v>
      </c>
      <c r="B18787" s="2">
        <v>44791.0</v>
      </c>
      <c r="C18787" s="3">
        <v>0.7153240740740741</v>
      </c>
      <c r="D18787" s="1">
        <v>13.004687</v>
      </c>
      <c r="E18787" s="1">
        <v>80.20117</v>
      </c>
      <c r="F18787" s="1">
        <v>5339.0</v>
      </c>
      <c r="G18787" s="1">
        <v>27.0</v>
      </c>
    </row>
    <row r="18788">
      <c r="A18788" s="1" t="s">
        <v>8</v>
      </c>
      <c r="B18788" s="2">
        <v>44791.0</v>
      </c>
      <c r="C18788" s="3">
        <v>0.7154282407407407</v>
      </c>
      <c r="D18788" s="1">
        <v>13.005493</v>
      </c>
      <c r="E18788" s="1">
        <v>80.201685</v>
      </c>
      <c r="F18788" s="1">
        <v>5339.0</v>
      </c>
      <c r="G18788" s="1">
        <v>45.0</v>
      </c>
    </row>
    <row r="18789">
      <c r="A18789" s="1" t="s">
        <v>8</v>
      </c>
      <c r="B18789" s="2">
        <v>44791.0</v>
      </c>
      <c r="C18789" s="3">
        <v>0.7155092592592592</v>
      </c>
      <c r="D18789" s="1">
        <v>13.006052</v>
      </c>
      <c r="E18789" s="1">
        <v>80.202581</v>
      </c>
      <c r="F18789" s="1">
        <v>5339.0</v>
      </c>
      <c r="G18789" s="1">
        <v>33.0</v>
      </c>
    </row>
    <row r="18790">
      <c r="A18790" s="1" t="s">
        <v>8</v>
      </c>
      <c r="B18790" s="2">
        <v>44791.0</v>
      </c>
      <c r="C18790" s="3">
        <v>0.7156828703703704</v>
      </c>
      <c r="D18790" s="1">
        <v>13.006588</v>
      </c>
      <c r="E18790" s="1">
        <v>80.203203</v>
      </c>
      <c r="F18790" s="1">
        <v>5339.0</v>
      </c>
      <c r="G18790" s="1">
        <v>33.0</v>
      </c>
    </row>
    <row r="18791">
      <c r="A18791" s="1" t="s">
        <v>8</v>
      </c>
      <c r="B18791" s="2">
        <v>44791.0</v>
      </c>
      <c r="C18791" s="3">
        <v>0.716412037037037</v>
      </c>
      <c r="D18791" s="1">
        <v>13.007711</v>
      </c>
      <c r="E18791" s="1">
        <v>80.206131</v>
      </c>
      <c r="F18791" s="1">
        <v>5339.0</v>
      </c>
      <c r="G18791" s="1">
        <v>61.0</v>
      </c>
    </row>
    <row r="18792">
      <c r="A18792" s="1" t="s">
        <v>8</v>
      </c>
      <c r="B18792" s="2">
        <v>44791.0</v>
      </c>
      <c r="C18792" s="3">
        <v>0.7165277777777778</v>
      </c>
      <c r="D18792" s="1">
        <v>13.007905</v>
      </c>
      <c r="E18792" s="1">
        <v>80.207494</v>
      </c>
      <c r="F18792" s="1">
        <v>5339.0</v>
      </c>
      <c r="G18792" s="1">
        <v>40.0</v>
      </c>
    </row>
    <row r="18793">
      <c r="A18793" s="1" t="s">
        <v>8</v>
      </c>
      <c r="B18793" s="2">
        <v>44791.0</v>
      </c>
      <c r="C18793" s="3">
        <v>0.7167824074074074</v>
      </c>
      <c r="D18793" s="1">
        <v>13.008464</v>
      </c>
      <c r="E18793" s="1">
        <v>80.210323</v>
      </c>
      <c r="F18793" s="1">
        <v>5339.0</v>
      </c>
      <c r="G18793" s="1">
        <v>45.0</v>
      </c>
    </row>
    <row r="18794">
      <c r="A18794" s="1" t="s">
        <v>8</v>
      </c>
      <c r="B18794" s="2">
        <v>44791.0</v>
      </c>
      <c r="C18794" s="3">
        <v>0.7169791666666666</v>
      </c>
      <c r="D18794" s="1">
        <v>13.008836</v>
      </c>
      <c r="E18794" s="1">
        <v>80.211307</v>
      </c>
      <c r="F18794" s="1">
        <v>5339.0</v>
      </c>
      <c r="G18794" s="1">
        <v>38.0</v>
      </c>
    </row>
    <row r="18795">
      <c r="A18795" s="1" t="s">
        <v>8</v>
      </c>
      <c r="B18795" s="2">
        <v>44791.0</v>
      </c>
      <c r="C18795" s="3">
        <v>0.7171990740740741</v>
      </c>
      <c r="D18795" s="1">
        <v>13.00954</v>
      </c>
      <c r="E18795" s="1">
        <v>80.213198</v>
      </c>
      <c r="F18795" s="1">
        <v>5339.0</v>
      </c>
      <c r="G18795" s="1">
        <v>39.0</v>
      </c>
    </row>
    <row r="18796">
      <c r="A18796" s="1" t="s">
        <v>8</v>
      </c>
      <c r="B18796" s="2">
        <v>44791.0</v>
      </c>
      <c r="C18796" s="3">
        <v>0.7175694444444445</v>
      </c>
      <c r="D18796" s="1">
        <v>13.010445</v>
      </c>
      <c r="E18796" s="1">
        <v>80.216089</v>
      </c>
      <c r="F18796" s="1">
        <v>5339.0</v>
      </c>
      <c r="G18796" s="1">
        <v>45.0</v>
      </c>
    </row>
    <row r="18797">
      <c r="A18797" s="1" t="s">
        <v>8</v>
      </c>
      <c r="B18797" s="2">
        <v>44791.0</v>
      </c>
      <c r="C18797" s="3">
        <v>0.7183912037037037</v>
      </c>
      <c r="D18797" s="1">
        <v>13.013674</v>
      </c>
      <c r="E18797" s="1">
        <v>80.222934</v>
      </c>
      <c r="F18797" s="1">
        <v>5339.0</v>
      </c>
      <c r="G18797" s="1">
        <v>34.0</v>
      </c>
    </row>
    <row r="18798">
      <c r="A18798" s="1" t="s">
        <v>8</v>
      </c>
      <c r="B18798" s="2">
        <v>44791.0</v>
      </c>
      <c r="C18798" s="3">
        <v>0.7190856481481481</v>
      </c>
      <c r="D18798" s="1">
        <v>13.015738</v>
      </c>
      <c r="E18798" s="1">
        <v>80.225223</v>
      </c>
      <c r="F18798" s="1">
        <v>5339.0</v>
      </c>
      <c r="G18798" s="1">
        <v>31.0</v>
      </c>
    </row>
    <row r="18799">
      <c r="A18799" s="1" t="s">
        <v>10</v>
      </c>
      <c r="B18799" s="2">
        <v>44791.0</v>
      </c>
      <c r="C18799" s="3">
        <v>0.7194212962962963</v>
      </c>
      <c r="D18799" s="1">
        <v>12.96475</v>
      </c>
      <c r="E18799" s="1">
        <v>80.196158</v>
      </c>
      <c r="F18799" s="1">
        <v>3143.0</v>
      </c>
      <c r="G18799" s="1">
        <v>8.0</v>
      </c>
    </row>
    <row r="18800">
      <c r="A18800" s="1" t="s">
        <v>8</v>
      </c>
      <c r="B18800" s="2">
        <v>44791.0</v>
      </c>
      <c r="C18800" s="3">
        <v>0.7199768518518519</v>
      </c>
      <c r="D18800" s="1">
        <v>13.019913</v>
      </c>
      <c r="E18800" s="1">
        <v>80.224597</v>
      </c>
      <c r="F18800" s="1">
        <v>5339.0</v>
      </c>
      <c r="G18800" s="1">
        <v>21.0</v>
      </c>
    </row>
    <row r="18801">
      <c r="A18801" s="1" t="s">
        <v>8</v>
      </c>
      <c r="B18801" s="2">
        <v>44791.0</v>
      </c>
      <c r="C18801" s="3">
        <v>0.7200810185185185</v>
      </c>
      <c r="D18801" s="1">
        <v>13.020432</v>
      </c>
      <c r="E18801" s="1">
        <v>80.224987</v>
      </c>
      <c r="F18801" s="1">
        <v>5339.0</v>
      </c>
      <c r="G18801" s="1">
        <v>30.0</v>
      </c>
    </row>
    <row r="18802">
      <c r="A18802" s="1" t="s">
        <v>8</v>
      </c>
      <c r="B18802" s="2">
        <v>44791.0</v>
      </c>
      <c r="C18802" s="3">
        <v>0.7200925925925926</v>
      </c>
      <c r="D18802" s="1">
        <v>13.020432</v>
      </c>
      <c r="E18802" s="1">
        <v>80.224987</v>
      </c>
      <c r="F18802" s="1">
        <v>5339.0</v>
      </c>
      <c r="G18802" s="1">
        <v>30.0</v>
      </c>
    </row>
    <row r="18803">
      <c r="A18803" s="1" t="s">
        <v>10</v>
      </c>
      <c r="B18803" s="2">
        <v>44791.0</v>
      </c>
      <c r="C18803" s="3">
        <v>0.720949074074074</v>
      </c>
      <c r="D18803" s="1">
        <v>12.965556</v>
      </c>
      <c r="E18803" s="1">
        <v>80.200195</v>
      </c>
      <c r="F18803" s="1">
        <v>3143.0</v>
      </c>
      <c r="G18803" s="1">
        <v>9.0</v>
      </c>
    </row>
    <row r="18804">
      <c r="A18804" s="1" t="s">
        <v>8</v>
      </c>
      <c r="B18804" s="2">
        <v>44791.0</v>
      </c>
      <c r="C18804" s="3">
        <v>0.7225347222222223</v>
      </c>
      <c r="D18804" s="1">
        <v>13.026478</v>
      </c>
      <c r="E18804" s="1">
        <v>80.232723</v>
      </c>
      <c r="F18804" s="1">
        <v>5339.0</v>
      </c>
      <c r="G18804" s="1">
        <v>20.0</v>
      </c>
    </row>
    <row r="18805">
      <c r="A18805" s="1" t="s">
        <v>8</v>
      </c>
      <c r="B18805" s="2">
        <v>44791.0</v>
      </c>
      <c r="C18805" s="3">
        <v>0.7227430555555555</v>
      </c>
      <c r="D18805" s="1">
        <v>13.027107</v>
      </c>
      <c r="E18805" s="1">
        <v>80.233811</v>
      </c>
      <c r="F18805" s="1">
        <v>5339.0</v>
      </c>
      <c r="G18805" s="1">
        <v>30.0</v>
      </c>
    </row>
    <row r="18806">
      <c r="A18806" s="1" t="s">
        <v>8</v>
      </c>
      <c r="B18806" s="2">
        <v>44791.0</v>
      </c>
      <c r="C18806" s="3">
        <v>0.7231597222222222</v>
      </c>
      <c r="D18806" s="1">
        <v>13.028558</v>
      </c>
      <c r="E18806" s="1">
        <v>80.23597</v>
      </c>
      <c r="F18806" s="1">
        <v>5339.0</v>
      </c>
      <c r="G18806" s="1">
        <v>29.0</v>
      </c>
    </row>
    <row r="18807">
      <c r="A18807" s="1" t="s">
        <v>8</v>
      </c>
      <c r="B18807" s="2">
        <v>44791.0</v>
      </c>
      <c r="C18807" s="3">
        <v>0.7232407407407407</v>
      </c>
      <c r="D18807" s="1">
        <v>13.028558</v>
      </c>
      <c r="E18807" s="1">
        <v>80.23597</v>
      </c>
      <c r="F18807" s="1">
        <v>5339.0</v>
      </c>
      <c r="G18807" s="1">
        <v>29.0</v>
      </c>
    </row>
    <row r="18808">
      <c r="A18808" s="1" t="s">
        <v>10</v>
      </c>
      <c r="B18808" s="2">
        <v>44791.0</v>
      </c>
      <c r="C18808" s="3">
        <v>0.7233912037037037</v>
      </c>
      <c r="D18808" s="1">
        <v>13.029679</v>
      </c>
      <c r="E18808" s="1">
        <v>80.237248</v>
      </c>
      <c r="F18808" s="1">
        <v>5339.0</v>
      </c>
      <c r="G18808" s="1">
        <v>28.0</v>
      </c>
    </row>
    <row r="18809">
      <c r="A18809" s="1" t="s">
        <v>8</v>
      </c>
      <c r="B18809" s="2">
        <v>44791.0</v>
      </c>
      <c r="C18809" s="3">
        <v>0.7241087962962963</v>
      </c>
      <c r="D18809" s="1">
        <v>13.030264</v>
      </c>
      <c r="E18809" s="1">
        <v>80.238216</v>
      </c>
      <c r="F18809" s="1">
        <v>5339.0</v>
      </c>
      <c r="G18809" s="1">
        <v>25.0</v>
      </c>
    </row>
    <row r="18810">
      <c r="A18810" s="1" t="s">
        <v>8</v>
      </c>
      <c r="B18810" s="2">
        <v>44791.0</v>
      </c>
      <c r="C18810" s="3">
        <v>0.7247222222222223</v>
      </c>
      <c r="D18810" s="1">
        <v>13.031842</v>
      </c>
      <c r="E18810" s="1">
        <v>80.241189</v>
      </c>
      <c r="F18810" s="1">
        <v>5339.0</v>
      </c>
      <c r="G18810" s="1">
        <v>36.0</v>
      </c>
    </row>
    <row r="18811">
      <c r="A18811" s="1" t="s">
        <v>8</v>
      </c>
      <c r="B18811" s="2">
        <v>44791.0</v>
      </c>
      <c r="C18811" s="3">
        <v>0.7248263888888888</v>
      </c>
      <c r="D18811" s="1">
        <v>13.032248</v>
      </c>
      <c r="E18811" s="1">
        <v>80.24204</v>
      </c>
      <c r="F18811" s="1">
        <v>5339.0</v>
      </c>
      <c r="G18811" s="1">
        <v>34.0</v>
      </c>
    </row>
    <row r="18812">
      <c r="A18812" s="1" t="s">
        <v>8</v>
      </c>
      <c r="B18812" s="2">
        <v>44791.0</v>
      </c>
      <c r="C18812" s="3">
        <v>0.7250694444444444</v>
      </c>
      <c r="D18812" s="1">
        <v>12.963882</v>
      </c>
      <c r="E18812" s="1">
        <v>80.214519</v>
      </c>
      <c r="F18812" s="1">
        <v>3143.0</v>
      </c>
      <c r="G18812" s="1">
        <v>22.0</v>
      </c>
    </row>
    <row r="18813">
      <c r="A18813" s="1" t="s">
        <v>8</v>
      </c>
      <c r="B18813" s="2">
        <v>44791.0</v>
      </c>
      <c r="C18813" s="3">
        <v>0.7250694444444444</v>
      </c>
      <c r="D18813" s="1">
        <v>12.963882</v>
      </c>
      <c r="E18813" s="1">
        <v>80.214519</v>
      </c>
      <c r="F18813" s="1">
        <v>3143.0</v>
      </c>
      <c r="G18813" s="1">
        <v>22.0</v>
      </c>
    </row>
    <row r="18814">
      <c r="A18814" s="1" t="s">
        <v>8</v>
      </c>
      <c r="B18814" s="2">
        <v>44791.0</v>
      </c>
      <c r="C18814" s="3">
        <v>0.7255092592592592</v>
      </c>
      <c r="D18814" s="1">
        <v>13.034031</v>
      </c>
      <c r="E18814" s="1">
        <v>80.244572</v>
      </c>
      <c r="F18814" s="1">
        <v>5339.0</v>
      </c>
      <c r="G18814" s="1">
        <v>30.0</v>
      </c>
    </row>
    <row r="18815">
      <c r="A18815" s="1" t="s">
        <v>8</v>
      </c>
      <c r="B18815" s="2">
        <v>44791.0</v>
      </c>
      <c r="C18815" s="3">
        <v>0.7255671296296297</v>
      </c>
      <c r="D18815" s="1">
        <v>13.034031</v>
      </c>
      <c r="E18815" s="1">
        <v>80.244572</v>
      </c>
      <c r="F18815" s="1">
        <v>5339.0</v>
      </c>
      <c r="G18815" s="1">
        <v>30.0</v>
      </c>
    </row>
    <row r="18816">
      <c r="A18816" s="1" t="s">
        <v>8</v>
      </c>
      <c r="B18816" s="2">
        <v>44791.0</v>
      </c>
      <c r="C18816" s="3">
        <v>0.7256481481481482</v>
      </c>
      <c r="D18816" s="1">
        <v>12.965061</v>
      </c>
      <c r="E18816" s="1">
        <v>80.216576</v>
      </c>
      <c r="F18816" s="1">
        <v>3143.0</v>
      </c>
      <c r="G18816" s="1">
        <v>44.0</v>
      </c>
    </row>
    <row r="18817">
      <c r="A18817" s="1" t="s">
        <v>8</v>
      </c>
      <c r="B18817" s="2">
        <v>44791.0</v>
      </c>
      <c r="C18817" s="3">
        <v>0.7256944444444444</v>
      </c>
      <c r="D18817" s="1">
        <v>12.966136</v>
      </c>
      <c r="E18817" s="1">
        <v>80.216991</v>
      </c>
      <c r="F18817" s="1">
        <v>3143.0</v>
      </c>
      <c r="G18817" s="1">
        <v>46.0</v>
      </c>
    </row>
    <row r="18818">
      <c r="A18818" s="1" t="s">
        <v>8</v>
      </c>
      <c r="B18818" s="2">
        <v>44791.0</v>
      </c>
      <c r="C18818" s="3">
        <v>0.7259837962962963</v>
      </c>
      <c r="D18818" s="1">
        <v>13.036319</v>
      </c>
      <c r="E18818" s="1">
        <v>80.246238</v>
      </c>
      <c r="F18818" s="1">
        <v>5339.0</v>
      </c>
      <c r="G18818" s="1">
        <v>40.0</v>
      </c>
    </row>
    <row r="18819">
      <c r="A18819" s="1" t="s">
        <v>8</v>
      </c>
      <c r="B18819" s="2">
        <v>44791.0</v>
      </c>
      <c r="C18819" s="3">
        <v>0.7279976851851852</v>
      </c>
      <c r="D18819" s="1">
        <v>12.976951</v>
      </c>
      <c r="E18819" s="1">
        <v>80.222713</v>
      </c>
      <c r="F18819" s="1">
        <v>3143.0</v>
      </c>
      <c r="G18819" s="1">
        <v>41.0</v>
      </c>
    </row>
    <row r="18820">
      <c r="A18820" s="1" t="s">
        <v>8</v>
      </c>
      <c r="B18820" s="2">
        <v>44791.0</v>
      </c>
      <c r="C18820" s="3">
        <v>0.7281712962962963</v>
      </c>
      <c r="D18820" s="1">
        <v>12.977542</v>
      </c>
      <c r="E18820" s="1">
        <v>80.223642</v>
      </c>
      <c r="F18820" s="1">
        <v>3143.0</v>
      </c>
      <c r="G18820" s="1">
        <v>39.0</v>
      </c>
    </row>
    <row r="18821">
      <c r="A18821" s="1" t="s">
        <v>7</v>
      </c>
      <c r="B18821" s="2">
        <v>44791.0</v>
      </c>
      <c r="C18821" s="3">
        <v>0.7292592592592593</v>
      </c>
      <c r="D18821" s="1">
        <v>12.583422</v>
      </c>
      <c r="E18821" s="1">
        <v>79.919265</v>
      </c>
      <c r="F18821" s="1">
        <v>2846.0</v>
      </c>
      <c r="G18821" s="1">
        <v>58.0</v>
      </c>
    </row>
    <row r="18822">
      <c r="A18822" s="1" t="s">
        <v>8</v>
      </c>
      <c r="B18822" s="2">
        <v>44791.0</v>
      </c>
      <c r="C18822" s="3">
        <v>0.7294791666666667</v>
      </c>
      <c r="D18822" s="1">
        <v>12.97929</v>
      </c>
      <c r="E18822" s="1">
        <v>80.226445</v>
      </c>
      <c r="F18822" s="1">
        <v>3143.0</v>
      </c>
      <c r="G18822" s="1">
        <v>0.0</v>
      </c>
    </row>
    <row r="18823">
      <c r="A18823" s="1" t="s">
        <v>8</v>
      </c>
      <c r="B18823" s="2">
        <v>44791.0</v>
      </c>
      <c r="C18823" s="3">
        <v>0.729537037037037</v>
      </c>
      <c r="D18823" s="1">
        <v>12.9794</v>
      </c>
      <c r="E18823" s="1">
        <v>80.226731</v>
      </c>
      <c r="F18823" s="1">
        <v>3143.0</v>
      </c>
      <c r="G18823" s="1">
        <v>22.0</v>
      </c>
    </row>
    <row r="18824">
      <c r="A18824" s="1" t="s">
        <v>8</v>
      </c>
      <c r="B18824" s="2">
        <v>44791.0</v>
      </c>
      <c r="C18824" s="3">
        <v>0.7303125</v>
      </c>
      <c r="D18824" s="1">
        <v>13.039503</v>
      </c>
      <c r="E18824" s="1">
        <v>80.246973</v>
      </c>
      <c r="F18824" s="1">
        <v>5339.0</v>
      </c>
      <c r="G18824" s="1">
        <v>23.0</v>
      </c>
    </row>
    <row r="18825">
      <c r="A18825" s="1" t="s">
        <v>7</v>
      </c>
      <c r="B18825" s="2">
        <v>44791.0</v>
      </c>
      <c r="C18825" s="3">
        <v>0.7308912037037038</v>
      </c>
      <c r="D18825" s="1">
        <v>12.564122</v>
      </c>
      <c r="E18825" s="1">
        <v>79.913707</v>
      </c>
      <c r="F18825" s="1">
        <v>2846.0</v>
      </c>
      <c r="G18825" s="1">
        <v>59.0</v>
      </c>
    </row>
    <row r="18826">
      <c r="A18826" s="1" t="s">
        <v>8</v>
      </c>
      <c r="B18826" s="2">
        <v>44791.0</v>
      </c>
      <c r="C18826" s="3">
        <v>0.7309375</v>
      </c>
      <c r="D18826" s="1">
        <v>13.043356</v>
      </c>
      <c r="E18826" s="1">
        <v>80.247654</v>
      </c>
      <c r="F18826" s="1">
        <v>5339.0</v>
      </c>
      <c r="G18826" s="1">
        <v>24.0</v>
      </c>
    </row>
    <row r="18827">
      <c r="A18827" s="1" t="s">
        <v>8</v>
      </c>
      <c r="B18827" s="2">
        <v>44791.0</v>
      </c>
      <c r="C18827" s="3">
        <v>0.731099537037037</v>
      </c>
      <c r="D18827" s="1">
        <v>13.04409</v>
      </c>
      <c r="E18827" s="1">
        <v>80.247788</v>
      </c>
      <c r="F18827" s="1">
        <v>5339.0</v>
      </c>
      <c r="G18827" s="1">
        <v>31.0</v>
      </c>
    </row>
    <row r="18828">
      <c r="A18828" s="1" t="s">
        <v>7</v>
      </c>
      <c r="B18828" s="2">
        <v>44791.0</v>
      </c>
      <c r="C18828" s="3">
        <v>0.7311226851851852</v>
      </c>
      <c r="D18828" s="1">
        <v>12.562838</v>
      </c>
      <c r="E18828" s="1">
        <v>79.912998</v>
      </c>
      <c r="F18828" s="1">
        <v>2846.0</v>
      </c>
      <c r="G18828" s="1">
        <v>57.0</v>
      </c>
    </row>
    <row r="18829">
      <c r="A18829" s="1" t="s">
        <v>8</v>
      </c>
      <c r="B18829" s="2">
        <v>44791.0</v>
      </c>
      <c r="C18829" s="3">
        <v>0.731712962962963</v>
      </c>
      <c r="D18829" s="1">
        <v>13.045675</v>
      </c>
      <c r="E18829" s="1">
        <v>80.248131</v>
      </c>
      <c r="F18829" s="1">
        <v>5339.0</v>
      </c>
      <c r="G18829" s="1">
        <v>25.0</v>
      </c>
    </row>
    <row r="18830">
      <c r="A18830" s="1" t="s">
        <v>8</v>
      </c>
      <c r="B18830" s="2">
        <v>44791.0</v>
      </c>
      <c r="C18830" s="3">
        <v>0.7318055555555556</v>
      </c>
      <c r="D18830" s="1">
        <v>13.045675</v>
      </c>
      <c r="E18830" s="1">
        <v>80.248131</v>
      </c>
      <c r="F18830" s="1">
        <v>5339.0</v>
      </c>
      <c r="G18830" s="1">
        <v>25.0</v>
      </c>
    </row>
    <row r="18831">
      <c r="A18831" s="1" t="s">
        <v>8</v>
      </c>
      <c r="B18831" s="2">
        <v>44791.0</v>
      </c>
      <c r="C18831" s="3">
        <v>0.7328935185185185</v>
      </c>
      <c r="D18831" s="1">
        <v>13.052513</v>
      </c>
      <c r="E18831" s="1">
        <v>80.251195</v>
      </c>
      <c r="F18831" s="1">
        <v>5339.0</v>
      </c>
      <c r="G18831" s="1">
        <v>48.0</v>
      </c>
    </row>
    <row r="18832">
      <c r="A18832" s="1" t="s">
        <v>7</v>
      </c>
      <c r="B18832" s="2">
        <v>44791.0</v>
      </c>
      <c r="C18832" s="3">
        <v>0.7334490740740741</v>
      </c>
      <c r="D18832" s="1">
        <v>12.540674</v>
      </c>
      <c r="E18832" s="1">
        <v>79.904426</v>
      </c>
      <c r="F18832" s="1">
        <v>2846.0</v>
      </c>
      <c r="G18832" s="1">
        <v>52.0</v>
      </c>
    </row>
    <row r="18833">
      <c r="A18833" s="1" t="s">
        <v>10</v>
      </c>
      <c r="B18833" s="2">
        <v>44791.0</v>
      </c>
      <c r="C18833" s="3">
        <v>0.7338541666666667</v>
      </c>
      <c r="D18833" s="1">
        <v>12.535422</v>
      </c>
      <c r="E18833" s="1">
        <v>79.90218</v>
      </c>
      <c r="F18833" s="1">
        <v>2846.0</v>
      </c>
      <c r="G18833" s="1">
        <v>58.0</v>
      </c>
    </row>
    <row r="18834">
      <c r="A18834" s="1" t="s">
        <v>7</v>
      </c>
      <c r="B18834" s="2">
        <v>44791.0</v>
      </c>
      <c r="C18834" s="3">
        <v>0.7340046296296296</v>
      </c>
      <c r="D18834" s="1">
        <v>12.535422</v>
      </c>
      <c r="E18834" s="1">
        <v>79.90218</v>
      </c>
      <c r="F18834" s="1">
        <v>2846.0</v>
      </c>
      <c r="G18834" s="1">
        <v>58.0</v>
      </c>
    </row>
    <row r="18835">
      <c r="A18835" s="1" t="s">
        <v>9</v>
      </c>
      <c r="B18835" s="2">
        <v>44791.0</v>
      </c>
      <c r="C18835" s="3">
        <v>0.7345486111111111</v>
      </c>
      <c r="D18835" s="1">
        <v>12.527838</v>
      </c>
      <c r="E18835" s="1">
        <v>79.898449</v>
      </c>
      <c r="F18835" s="1">
        <v>2846.0</v>
      </c>
      <c r="G18835" s="1">
        <v>57.0</v>
      </c>
    </row>
    <row r="18836">
      <c r="A18836" s="1" t="s">
        <v>8</v>
      </c>
      <c r="B18836" s="2">
        <v>44791.0</v>
      </c>
      <c r="C18836" s="3">
        <v>0.7347337962962963</v>
      </c>
      <c r="D18836" s="1">
        <v>12.527838</v>
      </c>
      <c r="E18836" s="1">
        <v>79.898449</v>
      </c>
      <c r="F18836" s="1">
        <v>2846.0</v>
      </c>
      <c r="G18836" s="1">
        <v>57.0</v>
      </c>
    </row>
    <row r="18837">
      <c r="A18837" s="1" t="s">
        <v>7</v>
      </c>
      <c r="B18837" s="2">
        <v>44791.0</v>
      </c>
      <c r="C18837" s="3">
        <v>0.734988425925926</v>
      </c>
      <c r="D18837" s="1">
        <v>12.525547</v>
      </c>
      <c r="E18837" s="1">
        <v>79.897294</v>
      </c>
      <c r="F18837" s="1">
        <v>2846.0</v>
      </c>
      <c r="G18837" s="1">
        <v>35.0</v>
      </c>
    </row>
    <row r="18838">
      <c r="A18838" s="1" t="s">
        <v>7</v>
      </c>
      <c r="B18838" s="2">
        <v>44791.0</v>
      </c>
      <c r="C18838" s="3">
        <v>0.7353472222222223</v>
      </c>
      <c r="D18838" s="1">
        <v>12.520631</v>
      </c>
      <c r="E18838" s="1">
        <v>79.89421</v>
      </c>
      <c r="F18838" s="1">
        <v>2846.0</v>
      </c>
      <c r="G18838" s="1">
        <v>58.0</v>
      </c>
    </row>
    <row r="18839">
      <c r="A18839" s="1" t="s">
        <v>8</v>
      </c>
      <c r="B18839" s="2">
        <v>44791.0</v>
      </c>
      <c r="C18839" s="3">
        <v>0.7358449074074074</v>
      </c>
      <c r="D18839" s="1">
        <v>13.054048</v>
      </c>
      <c r="E18839" s="1">
        <v>80.262496</v>
      </c>
      <c r="F18839" s="1">
        <v>5339.0</v>
      </c>
      <c r="G18839" s="1">
        <v>33.0</v>
      </c>
    </row>
    <row r="18840">
      <c r="A18840" s="1" t="s">
        <v>8</v>
      </c>
      <c r="B18840" s="2">
        <v>44791.0</v>
      </c>
      <c r="C18840" s="3">
        <v>0.7359143518518518</v>
      </c>
      <c r="D18840" s="1">
        <v>13.053971</v>
      </c>
      <c r="E18840" s="1">
        <v>80.263327</v>
      </c>
      <c r="F18840" s="1">
        <v>5339.0</v>
      </c>
      <c r="G18840" s="1">
        <v>31.0</v>
      </c>
    </row>
    <row r="18841">
      <c r="A18841" s="1" t="s">
        <v>8</v>
      </c>
      <c r="B18841" s="2">
        <v>44791.0</v>
      </c>
      <c r="C18841" s="3">
        <v>0.73625</v>
      </c>
      <c r="D18841" s="1">
        <v>13.053735</v>
      </c>
      <c r="E18841" s="1">
        <v>80.265908</v>
      </c>
      <c r="F18841" s="1">
        <v>5339.0</v>
      </c>
      <c r="G18841" s="1">
        <v>43.0</v>
      </c>
    </row>
    <row r="18842">
      <c r="A18842" s="1" t="s">
        <v>8</v>
      </c>
      <c r="B18842" s="2">
        <v>44791.0</v>
      </c>
      <c r="C18842" s="3">
        <v>0.7362731481481481</v>
      </c>
      <c r="D18842" s="1">
        <v>13.053735</v>
      </c>
      <c r="E18842" s="1">
        <v>80.265908</v>
      </c>
      <c r="F18842" s="1">
        <v>5339.0</v>
      </c>
      <c r="G18842" s="1">
        <v>43.0</v>
      </c>
    </row>
    <row r="18843">
      <c r="A18843" s="1" t="s">
        <v>10</v>
      </c>
      <c r="B18843" s="2">
        <v>44791.0</v>
      </c>
      <c r="C18843" s="3">
        <v>0.7363078703703704</v>
      </c>
      <c r="D18843" s="1">
        <v>13.053735</v>
      </c>
      <c r="E18843" s="1">
        <v>80.265908</v>
      </c>
      <c r="F18843" s="1">
        <v>5339.0</v>
      </c>
      <c r="G18843" s="1">
        <v>43.0</v>
      </c>
    </row>
    <row r="18844">
      <c r="A18844" s="1" t="s">
        <v>8</v>
      </c>
      <c r="B18844" s="2">
        <v>44791.0</v>
      </c>
      <c r="C18844" s="3">
        <v>0.736724537037037</v>
      </c>
      <c r="D18844" s="1">
        <v>12.514288</v>
      </c>
      <c r="E18844" s="1">
        <v>79.888176</v>
      </c>
      <c r="F18844" s="1">
        <v>2846.0</v>
      </c>
      <c r="G18844" s="1">
        <v>8.0</v>
      </c>
    </row>
    <row r="18845">
      <c r="A18845" s="1" t="s">
        <v>10</v>
      </c>
      <c r="B18845" s="2">
        <v>44791.0</v>
      </c>
      <c r="C18845" s="3">
        <v>0.7367939814814815</v>
      </c>
      <c r="D18845" s="1">
        <v>13.053568</v>
      </c>
      <c r="E18845" s="1">
        <v>80.267867</v>
      </c>
      <c r="F18845" s="1">
        <v>5339.0</v>
      </c>
      <c r="G18845" s="1">
        <v>27.0</v>
      </c>
    </row>
    <row r="18846">
      <c r="A18846" s="1" t="s">
        <v>10</v>
      </c>
      <c r="B18846" s="2">
        <v>44791.0</v>
      </c>
      <c r="C18846" s="3">
        <v>0.7376157407407408</v>
      </c>
      <c r="D18846" s="1">
        <v>13.053273</v>
      </c>
      <c r="E18846" s="1">
        <v>80.270961</v>
      </c>
      <c r="F18846" s="1">
        <v>5339.0</v>
      </c>
      <c r="G18846" s="1">
        <v>20.0</v>
      </c>
    </row>
    <row r="18847">
      <c r="A18847" s="1" t="s">
        <v>10</v>
      </c>
      <c r="B18847" s="2">
        <v>44791.0</v>
      </c>
      <c r="C18847" s="3">
        <v>0.7377893518518519</v>
      </c>
      <c r="D18847" s="1">
        <v>12.510351</v>
      </c>
      <c r="E18847" s="1">
        <v>79.885007</v>
      </c>
      <c r="F18847" s="1">
        <v>2846.0</v>
      </c>
      <c r="G18847" s="1">
        <v>0.0</v>
      </c>
    </row>
    <row r="18848">
      <c r="A18848" s="1" t="s">
        <v>10</v>
      </c>
      <c r="B18848" s="2">
        <v>44791.0</v>
      </c>
      <c r="C18848" s="3">
        <v>0.7380208333333333</v>
      </c>
      <c r="D18848" s="1">
        <v>13.053158</v>
      </c>
      <c r="E18848" s="1">
        <v>80.271852</v>
      </c>
      <c r="F18848" s="1">
        <v>5339.0</v>
      </c>
      <c r="G18848" s="1">
        <v>13.0</v>
      </c>
    </row>
    <row r="18849">
      <c r="A18849" s="1" t="s">
        <v>10</v>
      </c>
      <c r="B18849" s="2">
        <v>44791.0</v>
      </c>
      <c r="C18849" s="3">
        <v>0.7380787037037037</v>
      </c>
      <c r="D18849" s="1">
        <v>13.053086</v>
      </c>
      <c r="E18849" s="1">
        <v>80.272274</v>
      </c>
      <c r="F18849" s="1">
        <v>5339.0</v>
      </c>
      <c r="G18849" s="1">
        <v>9.0</v>
      </c>
    </row>
    <row r="18850">
      <c r="A18850" s="1" t="s">
        <v>10</v>
      </c>
      <c r="B18850" s="2">
        <v>44791.0</v>
      </c>
      <c r="C18850" s="3">
        <v>0.7382060185185185</v>
      </c>
      <c r="D18850" s="1">
        <v>13.053004</v>
      </c>
      <c r="E18850" s="1">
        <v>80.272744</v>
      </c>
      <c r="F18850" s="1">
        <v>5339.0</v>
      </c>
      <c r="G18850" s="1">
        <v>27.0</v>
      </c>
    </row>
    <row r="18851">
      <c r="A18851" s="1" t="s">
        <v>10</v>
      </c>
      <c r="B18851" s="2">
        <v>44791.0</v>
      </c>
      <c r="C18851" s="3">
        <v>0.7384722222222222</v>
      </c>
      <c r="D18851" s="1">
        <v>12.509209</v>
      </c>
      <c r="E18851" s="1">
        <v>79.884813</v>
      </c>
      <c r="F18851" s="1">
        <v>2846.0</v>
      </c>
      <c r="G18851" s="1">
        <v>11.0</v>
      </c>
    </row>
    <row r="18852">
      <c r="A18852" s="1" t="s">
        <v>10</v>
      </c>
      <c r="B18852" s="2">
        <v>44791.0</v>
      </c>
      <c r="C18852" s="3">
        <v>0.7385300925925926</v>
      </c>
      <c r="D18852" s="1">
        <v>12.509209</v>
      </c>
      <c r="E18852" s="1">
        <v>79.884813</v>
      </c>
      <c r="F18852" s="1">
        <v>2846.0</v>
      </c>
      <c r="G18852" s="1">
        <v>11.0</v>
      </c>
    </row>
    <row r="18853">
      <c r="A18853" s="1" t="s">
        <v>8</v>
      </c>
      <c r="B18853" s="2">
        <v>44791.0</v>
      </c>
      <c r="C18853" s="3">
        <v>0.7391203703703704</v>
      </c>
      <c r="D18853" s="1">
        <v>12.508737</v>
      </c>
      <c r="E18853" s="1">
        <v>79.882742</v>
      </c>
      <c r="F18853" s="1">
        <v>2846.0</v>
      </c>
      <c r="G18853" s="1">
        <v>23.0</v>
      </c>
    </row>
    <row r="18854">
      <c r="A18854" s="1" t="s">
        <v>8</v>
      </c>
      <c r="B18854" s="2">
        <v>44791.0</v>
      </c>
      <c r="C18854" s="3">
        <v>0.7391203703703704</v>
      </c>
      <c r="D18854" s="1">
        <v>12.508737</v>
      </c>
      <c r="E18854" s="1">
        <v>79.882742</v>
      </c>
      <c r="F18854" s="1">
        <v>2846.0</v>
      </c>
      <c r="G18854" s="1">
        <v>23.0</v>
      </c>
    </row>
    <row r="18855">
      <c r="A18855" s="1" t="s">
        <v>10</v>
      </c>
      <c r="B18855" s="2">
        <v>44791.0</v>
      </c>
      <c r="C18855" s="3">
        <v>0.739224537037037</v>
      </c>
      <c r="D18855" s="1">
        <v>13.055291</v>
      </c>
      <c r="E18855" s="1">
        <v>80.273806</v>
      </c>
      <c r="F18855" s="1">
        <v>5339.0</v>
      </c>
      <c r="G18855" s="1">
        <v>0.0</v>
      </c>
    </row>
    <row r="18856">
      <c r="A18856" s="1" t="s">
        <v>10</v>
      </c>
      <c r="B18856" s="2">
        <v>44791.0</v>
      </c>
      <c r="C18856" s="3">
        <v>0.739363425925926</v>
      </c>
      <c r="D18856" s="1">
        <v>13.05599</v>
      </c>
      <c r="E18856" s="1">
        <v>80.273836</v>
      </c>
      <c r="F18856" s="1">
        <v>5339.0</v>
      </c>
      <c r="G18856" s="1">
        <v>25.0</v>
      </c>
    </row>
    <row r="18857">
      <c r="A18857" s="1" t="s">
        <v>10</v>
      </c>
      <c r="B18857" s="2">
        <v>44791.0</v>
      </c>
      <c r="C18857" s="3">
        <v>0.7394212962962963</v>
      </c>
      <c r="D18857" s="1">
        <v>13.05599</v>
      </c>
      <c r="E18857" s="1">
        <v>80.273836</v>
      </c>
      <c r="F18857" s="1">
        <v>5339.0</v>
      </c>
      <c r="G18857" s="1">
        <v>25.0</v>
      </c>
    </row>
    <row r="18858">
      <c r="A18858" s="1" t="s">
        <v>8</v>
      </c>
      <c r="B18858" s="2">
        <v>44791.0</v>
      </c>
      <c r="C18858" s="3">
        <v>0.7395486111111111</v>
      </c>
      <c r="D18858" s="1">
        <v>12.506502</v>
      </c>
      <c r="E18858" s="1">
        <v>79.880629</v>
      </c>
      <c r="F18858" s="1">
        <v>2846.0</v>
      </c>
      <c r="G18858" s="1">
        <v>16.0</v>
      </c>
    </row>
    <row r="18859">
      <c r="A18859" s="1" t="s">
        <v>10</v>
      </c>
      <c r="B18859" s="2">
        <v>44791.0</v>
      </c>
      <c r="C18859" s="3">
        <v>0.7396527777777778</v>
      </c>
      <c r="D18859" s="1">
        <v>13.056906</v>
      </c>
      <c r="E18859" s="1">
        <v>80.273935</v>
      </c>
      <c r="F18859" s="1">
        <v>5339.0</v>
      </c>
      <c r="G18859" s="1">
        <v>20.0</v>
      </c>
    </row>
    <row r="18860">
      <c r="A18860" s="1" t="s">
        <v>10</v>
      </c>
      <c r="B18860" s="2">
        <v>44791.0</v>
      </c>
      <c r="C18860" s="3">
        <v>0.7398958333333333</v>
      </c>
      <c r="D18860" s="1">
        <v>13.057474</v>
      </c>
      <c r="E18860" s="1">
        <v>80.273988</v>
      </c>
      <c r="F18860" s="1">
        <v>5339.0</v>
      </c>
      <c r="G18860" s="1">
        <v>8.0</v>
      </c>
    </row>
    <row r="18861">
      <c r="A18861" s="1" t="s">
        <v>10</v>
      </c>
      <c r="B18861" s="2">
        <v>44791.0</v>
      </c>
      <c r="C18861" s="3">
        <v>0.7406365740740741</v>
      </c>
      <c r="D18861" s="1">
        <v>13.05892</v>
      </c>
      <c r="E18861" s="1">
        <v>80.274163</v>
      </c>
      <c r="F18861" s="1">
        <v>5339.0</v>
      </c>
      <c r="G18861" s="1">
        <v>5.0</v>
      </c>
    </row>
    <row r="18862">
      <c r="A18862" s="1" t="s">
        <v>10</v>
      </c>
      <c r="B18862" s="2">
        <v>44791.0</v>
      </c>
      <c r="C18862" s="3">
        <v>0.7406944444444444</v>
      </c>
      <c r="D18862" s="1">
        <v>13.05892</v>
      </c>
      <c r="E18862" s="1">
        <v>80.274163</v>
      </c>
      <c r="F18862" s="1">
        <v>5339.0</v>
      </c>
      <c r="G18862" s="1">
        <v>5.0</v>
      </c>
    </row>
    <row r="18863">
      <c r="A18863" s="1" t="s">
        <v>10</v>
      </c>
      <c r="B18863" s="2">
        <v>44791.0</v>
      </c>
      <c r="C18863" s="3">
        <v>0.7411921296296297</v>
      </c>
      <c r="D18863" s="1">
        <v>13.06054</v>
      </c>
      <c r="E18863" s="1">
        <v>80.2743</v>
      </c>
      <c r="F18863" s="1">
        <v>5339.0</v>
      </c>
      <c r="G18863" s="1">
        <v>10.0</v>
      </c>
    </row>
    <row r="18864">
      <c r="A18864" s="1" t="s">
        <v>7</v>
      </c>
      <c r="B18864" s="2">
        <v>44791.0</v>
      </c>
      <c r="C18864" s="3">
        <v>0.7415393518518518</v>
      </c>
      <c r="D18864" s="1">
        <v>12.491889</v>
      </c>
      <c r="E18864" s="1">
        <v>79.868515</v>
      </c>
      <c r="F18864" s="1">
        <v>2846.0</v>
      </c>
      <c r="G18864" s="1">
        <v>53.0</v>
      </c>
    </row>
    <row r="18865">
      <c r="A18865" s="1" t="s">
        <v>7</v>
      </c>
      <c r="B18865" s="2">
        <v>44791.0</v>
      </c>
      <c r="C18865" s="3">
        <v>0.7422569444444445</v>
      </c>
      <c r="D18865" s="1">
        <v>12.485537</v>
      </c>
      <c r="E18865" s="1">
        <v>79.863975</v>
      </c>
      <c r="F18865" s="1">
        <v>2846.0</v>
      </c>
      <c r="G18865" s="1">
        <v>47.0</v>
      </c>
    </row>
    <row r="18866">
      <c r="A18866" s="1" t="s">
        <v>10</v>
      </c>
      <c r="B18866" s="2">
        <v>44791.0</v>
      </c>
      <c r="C18866" s="3">
        <v>0.7427314814814815</v>
      </c>
      <c r="D18866" s="1">
        <v>13.064812</v>
      </c>
      <c r="E18866" s="1">
        <v>80.273904</v>
      </c>
      <c r="F18866" s="1">
        <v>5339.0</v>
      </c>
      <c r="G18866" s="1">
        <v>5.0</v>
      </c>
    </row>
    <row r="18867">
      <c r="A18867" s="1" t="s">
        <v>8</v>
      </c>
      <c r="B18867" s="2">
        <v>44791.0</v>
      </c>
      <c r="C18867" s="3">
        <v>0.7428935185185185</v>
      </c>
      <c r="D18867" s="1">
        <v>12.479943</v>
      </c>
      <c r="E18867" s="1">
        <v>79.860292</v>
      </c>
      <c r="F18867" s="1">
        <v>2846.0</v>
      </c>
      <c r="G18867" s="1">
        <v>54.0</v>
      </c>
    </row>
    <row r="18868">
      <c r="A18868" s="1" t="s">
        <v>7</v>
      </c>
      <c r="B18868" s="2">
        <v>44791.0</v>
      </c>
      <c r="C18868" s="3">
        <v>0.7441319444444444</v>
      </c>
      <c r="D18868" s="1">
        <v>12.470514</v>
      </c>
      <c r="E18868" s="1">
        <v>79.853644</v>
      </c>
      <c r="F18868" s="1">
        <v>2846.0</v>
      </c>
      <c r="G18868" s="1">
        <v>55.0</v>
      </c>
    </row>
    <row r="18869">
      <c r="A18869" s="1" t="s">
        <v>7</v>
      </c>
      <c r="B18869" s="2">
        <v>44791.0</v>
      </c>
      <c r="C18869" s="3">
        <v>0.7449074074074075</v>
      </c>
      <c r="D18869" s="1">
        <v>12.464166</v>
      </c>
      <c r="E18869" s="1">
        <v>79.848888</v>
      </c>
      <c r="F18869" s="1">
        <v>2846.0</v>
      </c>
      <c r="G18869" s="1">
        <v>51.0</v>
      </c>
    </row>
    <row r="18870">
      <c r="A18870" s="1" t="s">
        <v>10</v>
      </c>
      <c r="B18870" s="2">
        <v>44791.0</v>
      </c>
      <c r="C18870" s="3">
        <v>0.7471412037037037</v>
      </c>
      <c r="D18870" s="1">
        <v>13.070002</v>
      </c>
      <c r="E18870" s="1">
        <v>80.266217</v>
      </c>
      <c r="F18870" s="1">
        <v>5339.0</v>
      </c>
      <c r="G18870" s="1">
        <v>10.0</v>
      </c>
    </row>
    <row r="18871">
      <c r="A18871" s="1" t="s">
        <v>8</v>
      </c>
      <c r="B18871" s="2">
        <v>44791.0</v>
      </c>
      <c r="C18871" s="3">
        <v>0.747824074074074</v>
      </c>
      <c r="D18871" s="1">
        <v>13.072174</v>
      </c>
      <c r="E18871" s="1">
        <v>80.263949</v>
      </c>
      <c r="F18871" s="1">
        <v>5339.0</v>
      </c>
      <c r="G18871" s="1">
        <v>30.0</v>
      </c>
    </row>
    <row r="18872">
      <c r="A18872" s="1" t="s">
        <v>8</v>
      </c>
      <c r="B18872" s="2">
        <v>44791.0</v>
      </c>
      <c r="C18872" s="3">
        <v>0.747824074074074</v>
      </c>
      <c r="D18872" s="1">
        <v>13.072174</v>
      </c>
      <c r="E18872" s="1">
        <v>80.263949</v>
      </c>
      <c r="F18872" s="1">
        <v>5339.0</v>
      </c>
      <c r="G18872" s="1">
        <v>30.0</v>
      </c>
    </row>
    <row r="18873">
      <c r="A18873" s="1" t="s">
        <v>10</v>
      </c>
      <c r="B18873" s="2">
        <v>44791.0</v>
      </c>
      <c r="C18873" s="3">
        <v>0.7483796296296297</v>
      </c>
      <c r="D18873" s="1">
        <v>13.073065</v>
      </c>
      <c r="E18873" s="1">
        <v>80.261305</v>
      </c>
      <c r="F18873" s="1">
        <v>5339.0</v>
      </c>
      <c r="G18873" s="1">
        <v>8.0</v>
      </c>
    </row>
    <row r="18874">
      <c r="A18874" s="1" t="s">
        <v>8</v>
      </c>
      <c r="B18874" s="2">
        <v>44791.0</v>
      </c>
      <c r="C18874" s="3">
        <v>0.7489467592592592</v>
      </c>
      <c r="D18874" s="1">
        <v>13.0718</v>
      </c>
      <c r="E18874" s="1">
        <v>80.259353</v>
      </c>
      <c r="F18874" s="1">
        <v>5339.0</v>
      </c>
      <c r="G18874" s="1">
        <v>27.0</v>
      </c>
    </row>
    <row r="18875">
      <c r="A18875" s="1" t="s">
        <v>10</v>
      </c>
      <c r="B18875" s="2">
        <v>44791.0</v>
      </c>
      <c r="C18875" s="3">
        <v>0.7506712962962963</v>
      </c>
      <c r="D18875" s="1">
        <v>13.066842</v>
      </c>
      <c r="E18875" s="1">
        <v>80.254319</v>
      </c>
      <c r="F18875" s="1">
        <v>5339.0</v>
      </c>
      <c r="G18875" s="1">
        <v>8.0</v>
      </c>
    </row>
    <row r="18876">
      <c r="A18876" s="1" t="s">
        <v>8</v>
      </c>
      <c r="B18876" s="2">
        <v>44791.0</v>
      </c>
      <c r="C18876" s="3">
        <v>0.7509259259259259</v>
      </c>
      <c r="D18876" s="1">
        <v>13.068057</v>
      </c>
      <c r="E18876" s="1">
        <v>80.253112</v>
      </c>
      <c r="F18876" s="1">
        <v>5339.0</v>
      </c>
      <c r="G18876" s="1">
        <v>27.0</v>
      </c>
    </row>
    <row r="18877">
      <c r="A18877" s="1" t="s">
        <v>8</v>
      </c>
      <c r="B18877" s="2">
        <v>44791.0</v>
      </c>
      <c r="C18877" s="3">
        <v>0.7510185185185185</v>
      </c>
      <c r="D18877" s="1">
        <v>13.068057</v>
      </c>
      <c r="E18877" s="1">
        <v>80.253112</v>
      </c>
      <c r="F18877" s="1">
        <v>5339.0</v>
      </c>
      <c r="G18877" s="1">
        <v>27.0</v>
      </c>
    </row>
    <row r="18878">
      <c r="A18878" s="1" t="s">
        <v>10</v>
      </c>
      <c r="B18878" s="2">
        <v>44791.0</v>
      </c>
      <c r="C18878" s="3">
        <v>0.7527662037037037</v>
      </c>
      <c r="D18878" s="1">
        <v>13.064562</v>
      </c>
      <c r="E18878" s="1">
        <v>80.247778</v>
      </c>
      <c r="F18878" s="1">
        <v>5339.0</v>
      </c>
      <c r="G18878" s="1">
        <v>8.0</v>
      </c>
    </row>
    <row r="18879">
      <c r="A18879" s="1" t="s">
        <v>10</v>
      </c>
      <c r="B18879" s="2">
        <v>44791.0</v>
      </c>
      <c r="C18879" s="3">
        <v>0.7542129629629629</v>
      </c>
      <c r="D18879" s="1">
        <v>13.063786</v>
      </c>
      <c r="E18879" s="1">
        <v>80.250278</v>
      </c>
      <c r="F18879" s="1">
        <v>5339.0</v>
      </c>
      <c r="G18879" s="1">
        <v>0.0</v>
      </c>
    </row>
    <row r="18880">
      <c r="A18880" s="1" t="s">
        <v>7</v>
      </c>
      <c r="B18880" s="2">
        <v>44792.0</v>
      </c>
      <c r="C18880" s="3">
        <v>0.2876851851851852</v>
      </c>
      <c r="D18880" s="1">
        <v>12.44604</v>
      </c>
      <c r="E18880" s="1">
        <v>79.838252</v>
      </c>
      <c r="F18880" s="1">
        <v>2846.0</v>
      </c>
      <c r="G18880" s="1">
        <v>46.0</v>
      </c>
    </row>
    <row r="18881">
      <c r="A18881" s="1" t="s">
        <v>7</v>
      </c>
      <c r="B18881" s="2">
        <v>44792.0</v>
      </c>
      <c r="C18881" s="3">
        <v>0.28859953703703706</v>
      </c>
      <c r="D18881" s="1">
        <v>12.458117</v>
      </c>
      <c r="E18881" s="1">
        <v>79.84455</v>
      </c>
      <c r="F18881" s="1">
        <v>2846.0</v>
      </c>
      <c r="G18881" s="1">
        <v>53.0</v>
      </c>
    </row>
    <row r="18882">
      <c r="A18882" s="1" t="s">
        <v>7</v>
      </c>
      <c r="B18882" s="2">
        <v>44792.0</v>
      </c>
      <c r="C18882" s="3">
        <v>0.2888541666666667</v>
      </c>
      <c r="D18882" s="1">
        <v>12.461638</v>
      </c>
      <c r="E18882" s="1">
        <v>79.847018</v>
      </c>
      <c r="F18882" s="1">
        <v>2846.0</v>
      </c>
      <c r="G18882" s="1">
        <v>57.0</v>
      </c>
    </row>
    <row r="18883">
      <c r="A18883" s="1" t="s">
        <v>7</v>
      </c>
      <c r="B18883" s="2">
        <v>44792.0</v>
      </c>
      <c r="C18883" s="3">
        <v>0.2904050925925926</v>
      </c>
      <c r="D18883" s="1">
        <v>12.475127</v>
      </c>
      <c r="E18883" s="1">
        <v>79.857428</v>
      </c>
      <c r="F18883" s="1">
        <v>2846.0</v>
      </c>
      <c r="G18883" s="1">
        <v>54.0</v>
      </c>
    </row>
    <row r="18884">
      <c r="A18884" s="1" t="s">
        <v>7</v>
      </c>
      <c r="B18884" s="2">
        <v>44792.0</v>
      </c>
      <c r="C18884" s="3">
        <v>0.29260416666666667</v>
      </c>
      <c r="D18884" s="1">
        <v>12.49878</v>
      </c>
      <c r="E18884" s="1">
        <v>79.874147</v>
      </c>
      <c r="F18884" s="1">
        <v>2846.0</v>
      </c>
      <c r="G18884" s="1">
        <v>54.0</v>
      </c>
    </row>
    <row r="18885">
      <c r="A18885" s="1" t="s">
        <v>7</v>
      </c>
      <c r="B18885" s="2">
        <v>44792.0</v>
      </c>
      <c r="C18885" s="3">
        <v>0.2937268518518519</v>
      </c>
      <c r="D18885" s="1">
        <v>12.510018</v>
      </c>
      <c r="E18885" s="1">
        <v>79.88261</v>
      </c>
      <c r="F18885" s="1">
        <v>2846.0</v>
      </c>
      <c r="G18885" s="1">
        <v>51.0</v>
      </c>
    </row>
    <row r="18886">
      <c r="A18886" s="1" t="s">
        <v>8</v>
      </c>
      <c r="B18886" s="2">
        <v>44792.0</v>
      </c>
      <c r="C18886" s="3">
        <v>0.29375</v>
      </c>
      <c r="D18886" s="1">
        <v>12.511196</v>
      </c>
      <c r="E18886" s="1">
        <v>79.883115</v>
      </c>
      <c r="F18886" s="1">
        <v>2846.0</v>
      </c>
      <c r="G18886" s="1">
        <v>51.0</v>
      </c>
    </row>
    <row r="18887">
      <c r="A18887" s="1" t="s">
        <v>7</v>
      </c>
      <c r="B18887" s="2">
        <v>44792.0</v>
      </c>
      <c r="C18887" s="3">
        <v>0.29435185185185186</v>
      </c>
      <c r="D18887" s="1">
        <v>12.515336</v>
      </c>
      <c r="E18887" s="1">
        <v>79.886343</v>
      </c>
      <c r="F18887" s="1">
        <v>2846.0</v>
      </c>
      <c r="G18887" s="1">
        <v>61.0</v>
      </c>
    </row>
    <row r="18888">
      <c r="A18888" s="1" t="s">
        <v>8</v>
      </c>
      <c r="B18888" s="2">
        <v>44792.0</v>
      </c>
      <c r="C18888" s="3">
        <v>0.29619212962962965</v>
      </c>
      <c r="D18888" s="1">
        <v>12.51025</v>
      </c>
      <c r="E18888" s="1">
        <v>79.885073</v>
      </c>
      <c r="F18888" s="1">
        <v>2846.0</v>
      </c>
      <c r="G18888" s="1">
        <v>11.0</v>
      </c>
    </row>
    <row r="18889">
      <c r="A18889" s="1" t="s">
        <v>7</v>
      </c>
      <c r="B18889" s="2">
        <v>44792.0</v>
      </c>
      <c r="C18889" s="3">
        <v>0.2999537037037037</v>
      </c>
      <c r="D18889" s="1">
        <v>12.517986</v>
      </c>
      <c r="E18889" s="1">
        <v>79.887835</v>
      </c>
      <c r="F18889" s="1">
        <v>2846.0</v>
      </c>
      <c r="G18889" s="1">
        <v>61.0</v>
      </c>
    </row>
    <row r="18890">
      <c r="A18890" s="1" t="s">
        <v>7</v>
      </c>
      <c r="B18890" s="2">
        <v>44792.0</v>
      </c>
      <c r="C18890" s="3">
        <v>0.30020833333333335</v>
      </c>
      <c r="D18890" s="1">
        <v>12.517734</v>
      </c>
      <c r="E18890" s="1">
        <v>79.890421</v>
      </c>
      <c r="F18890" s="1">
        <v>2846.0</v>
      </c>
      <c r="G18890" s="1">
        <v>57.0</v>
      </c>
    </row>
    <row r="18891">
      <c r="A18891" s="1" t="s">
        <v>7</v>
      </c>
      <c r="B18891" s="2">
        <v>44792.0</v>
      </c>
      <c r="C18891" s="3">
        <v>0.300775462962963</v>
      </c>
      <c r="D18891" s="1">
        <v>12.522169</v>
      </c>
      <c r="E18891" s="1">
        <v>79.895486</v>
      </c>
      <c r="F18891" s="1">
        <v>2846.0</v>
      </c>
      <c r="G18891" s="1">
        <v>56.0</v>
      </c>
    </row>
    <row r="18892">
      <c r="A18892" s="1" t="s">
        <v>7</v>
      </c>
      <c r="B18892" s="2">
        <v>44792.0</v>
      </c>
      <c r="C18892" s="3">
        <v>0.3009027777777778</v>
      </c>
      <c r="D18892" s="1">
        <v>12.522169</v>
      </c>
      <c r="E18892" s="1">
        <v>79.895486</v>
      </c>
      <c r="F18892" s="1">
        <v>2846.0</v>
      </c>
      <c r="G18892" s="1">
        <v>56.0</v>
      </c>
    </row>
    <row r="18893">
      <c r="A18893" s="1" t="s">
        <v>8</v>
      </c>
      <c r="B18893" s="2">
        <v>44792.0</v>
      </c>
      <c r="C18893" s="3">
        <v>0.3011111111111111</v>
      </c>
      <c r="D18893" s="1">
        <v>13.069635</v>
      </c>
      <c r="E18893" s="1">
        <v>80.257002</v>
      </c>
      <c r="F18893" s="1">
        <v>5339.0</v>
      </c>
      <c r="G18893" s="1">
        <v>38.0</v>
      </c>
    </row>
    <row r="18894">
      <c r="A18894" s="1" t="s">
        <v>7</v>
      </c>
      <c r="B18894" s="2">
        <v>44792.0</v>
      </c>
      <c r="C18894" s="3">
        <v>0.3026273148148148</v>
      </c>
      <c r="D18894" s="1">
        <v>12.536906</v>
      </c>
      <c r="E18894" s="1">
        <v>79.902912</v>
      </c>
      <c r="F18894" s="1">
        <v>2846.0</v>
      </c>
      <c r="G18894" s="1">
        <v>55.0</v>
      </c>
    </row>
    <row r="18895">
      <c r="A18895" s="1" t="s">
        <v>7</v>
      </c>
      <c r="B18895" s="2">
        <v>44792.0</v>
      </c>
      <c r="C18895" s="3">
        <v>0.30364583333333334</v>
      </c>
      <c r="D18895" s="1">
        <v>12.548292</v>
      </c>
      <c r="E18895" s="1">
        <v>79.90574</v>
      </c>
      <c r="F18895" s="1">
        <v>2846.0</v>
      </c>
      <c r="G18895" s="1">
        <v>56.0</v>
      </c>
    </row>
    <row r="18896">
      <c r="A18896" s="1" t="s">
        <v>7</v>
      </c>
      <c r="B18896" s="2">
        <v>44792.0</v>
      </c>
      <c r="C18896" s="3">
        <v>0.3060300925925926</v>
      </c>
      <c r="D18896" s="1">
        <v>12.577233</v>
      </c>
      <c r="E18896" s="1">
        <v>79.917239</v>
      </c>
      <c r="F18896" s="1">
        <v>2846.0</v>
      </c>
      <c r="G18896" s="1">
        <v>58.0</v>
      </c>
    </row>
    <row r="18897">
      <c r="A18897" s="1" t="s">
        <v>10</v>
      </c>
      <c r="B18897" s="2">
        <v>44792.0</v>
      </c>
      <c r="C18897" s="3">
        <v>0.3066435185185185</v>
      </c>
      <c r="D18897" s="1">
        <v>13.058863</v>
      </c>
      <c r="E18897" s="1">
        <v>80.274168</v>
      </c>
      <c r="F18897" s="1">
        <v>5339.0</v>
      </c>
      <c r="G18897" s="1">
        <v>18.0</v>
      </c>
    </row>
    <row r="18898">
      <c r="A18898" s="1" t="s">
        <v>10</v>
      </c>
      <c r="B18898" s="2">
        <v>44792.0</v>
      </c>
      <c r="C18898" s="3">
        <v>0.3075462962962963</v>
      </c>
      <c r="D18898" s="1">
        <v>13.054672</v>
      </c>
      <c r="E18898" s="1">
        <v>80.273786</v>
      </c>
      <c r="F18898" s="1">
        <v>5339.0</v>
      </c>
      <c r="G18898" s="1">
        <v>15.0</v>
      </c>
    </row>
    <row r="18899">
      <c r="A18899" s="1" t="s">
        <v>7</v>
      </c>
      <c r="B18899" s="2">
        <v>44792.0</v>
      </c>
      <c r="C18899" s="3">
        <v>0.3080439814814815</v>
      </c>
      <c r="D18899" s="1">
        <v>12.597627</v>
      </c>
      <c r="E18899" s="1">
        <v>79.919416</v>
      </c>
      <c r="F18899" s="1">
        <v>2846.0</v>
      </c>
      <c r="G18899" s="1">
        <v>54.0</v>
      </c>
    </row>
    <row r="18900">
      <c r="A18900" s="1" t="s">
        <v>7</v>
      </c>
      <c r="B18900" s="2">
        <v>44792.0</v>
      </c>
      <c r="C18900" s="3">
        <v>0.30896990740740743</v>
      </c>
      <c r="D18900" s="1">
        <v>12.611716</v>
      </c>
      <c r="E18900" s="1">
        <v>79.92355</v>
      </c>
      <c r="F18900" s="1">
        <v>2846.0</v>
      </c>
      <c r="G18900" s="1">
        <v>58.0</v>
      </c>
    </row>
    <row r="18901">
      <c r="A18901" s="1" t="s">
        <v>8</v>
      </c>
      <c r="B18901" s="2">
        <v>44792.0</v>
      </c>
      <c r="C18901" s="3">
        <v>0.30907407407407406</v>
      </c>
      <c r="D18901" s="1">
        <v>12.611716</v>
      </c>
      <c r="E18901" s="1">
        <v>79.92355</v>
      </c>
      <c r="F18901" s="1">
        <v>2846.0</v>
      </c>
      <c r="G18901" s="1">
        <v>58.0</v>
      </c>
    </row>
    <row r="18902">
      <c r="A18902" s="1" t="s">
        <v>8</v>
      </c>
      <c r="B18902" s="2">
        <v>44792.0</v>
      </c>
      <c r="C18902" s="3">
        <v>0.30962962962962964</v>
      </c>
      <c r="D18902" s="1">
        <v>13.053547</v>
      </c>
      <c r="E18902" s="1">
        <v>80.267839</v>
      </c>
      <c r="F18902" s="1">
        <v>5339.0</v>
      </c>
      <c r="G18902" s="1">
        <v>27.0</v>
      </c>
    </row>
    <row r="18903">
      <c r="A18903" s="1" t="s">
        <v>7</v>
      </c>
      <c r="B18903" s="2">
        <v>44792.0</v>
      </c>
      <c r="C18903" s="3">
        <v>0.3098958333333333</v>
      </c>
      <c r="D18903" s="1">
        <v>12.621707</v>
      </c>
      <c r="E18903" s="1">
        <v>79.927524</v>
      </c>
      <c r="F18903" s="1">
        <v>2846.0</v>
      </c>
      <c r="G18903" s="1">
        <v>58.0</v>
      </c>
    </row>
    <row r="18904">
      <c r="A18904" s="1" t="s">
        <v>8</v>
      </c>
      <c r="B18904" s="2">
        <v>44792.0</v>
      </c>
      <c r="C18904" s="3">
        <v>0.31055555555555553</v>
      </c>
      <c r="D18904" s="1">
        <v>13.054041</v>
      </c>
      <c r="E18904" s="1">
        <v>80.262229</v>
      </c>
      <c r="F18904" s="1">
        <v>5339.0</v>
      </c>
      <c r="G18904" s="1">
        <v>37.0</v>
      </c>
    </row>
    <row r="18905">
      <c r="A18905" s="1" t="s">
        <v>7</v>
      </c>
      <c r="B18905" s="2">
        <v>44792.0</v>
      </c>
      <c r="C18905" s="3">
        <v>0.31125</v>
      </c>
      <c r="D18905" s="1">
        <v>12.633457</v>
      </c>
      <c r="E18905" s="1">
        <v>79.93252</v>
      </c>
      <c r="F18905" s="1">
        <v>2846.0</v>
      </c>
      <c r="G18905" s="1">
        <v>58.0</v>
      </c>
    </row>
    <row r="18906">
      <c r="A18906" s="1" t="s">
        <v>7</v>
      </c>
      <c r="B18906" s="2">
        <v>44792.0</v>
      </c>
      <c r="C18906" s="3">
        <v>0.3122685185185185</v>
      </c>
      <c r="D18906" s="1">
        <v>12.644823</v>
      </c>
      <c r="E18906" s="1">
        <v>79.939128</v>
      </c>
      <c r="F18906" s="1">
        <v>2846.0</v>
      </c>
      <c r="G18906" s="1">
        <v>58.0</v>
      </c>
    </row>
    <row r="18907">
      <c r="A18907" s="1" t="s">
        <v>10</v>
      </c>
      <c r="B18907" s="2">
        <v>44792.0</v>
      </c>
      <c r="C18907" s="3">
        <v>0.31247685185185187</v>
      </c>
      <c r="D18907" s="1">
        <v>13.049564</v>
      </c>
      <c r="E18907" s="1">
        <v>80.249844</v>
      </c>
      <c r="F18907" s="1">
        <v>5339.0</v>
      </c>
      <c r="G18907" s="1">
        <v>42.0</v>
      </c>
    </row>
    <row r="18908">
      <c r="A18908" s="1" t="s">
        <v>7</v>
      </c>
      <c r="B18908" s="2">
        <v>44792.0</v>
      </c>
      <c r="C18908" s="3">
        <v>0.3128587962962963</v>
      </c>
      <c r="D18908" s="1">
        <v>12.651761</v>
      </c>
      <c r="E18908" s="1">
        <v>79.940255</v>
      </c>
      <c r="F18908" s="1">
        <v>2846.0</v>
      </c>
      <c r="G18908" s="1">
        <v>57.0</v>
      </c>
    </row>
    <row r="18909">
      <c r="A18909" s="1" t="s">
        <v>8</v>
      </c>
      <c r="B18909" s="2">
        <v>44792.0</v>
      </c>
      <c r="C18909" s="3">
        <v>0.3130787037037037</v>
      </c>
      <c r="D18909" s="1">
        <v>12.651761</v>
      </c>
      <c r="E18909" s="1">
        <v>79.940255</v>
      </c>
      <c r="F18909" s="1">
        <v>2846.0</v>
      </c>
      <c r="G18909" s="1">
        <v>57.0</v>
      </c>
    </row>
    <row r="18910">
      <c r="A18910" s="1" t="s">
        <v>8</v>
      </c>
      <c r="B18910" s="2">
        <v>44792.0</v>
      </c>
      <c r="C18910" s="3">
        <v>0.31333333333333335</v>
      </c>
      <c r="D18910" s="1">
        <v>12.657299</v>
      </c>
      <c r="E18910" s="1">
        <v>79.940931</v>
      </c>
      <c r="F18910" s="1">
        <v>2846.0</v>
      </c>
      <c r="G18910" s="1">
        <v>56.0</v>
      </c>
    </row>
    <row r="18911">
      <c r="A18911" s="1" t="s">
        <v>8</v>
      </c>
      <c r="B18911" s="2">
        <v>44792.0</v>
      </c>
      <c r="C18911" s="3">
        <v>0.31342592592592594</v>
      </c>
      <c r="D18911" s="1">
        <v>12.658134</v>
      </c>
      <c r="E18911" s="1">
        <v>79.942077</v>
      </c>
      <c r="F18911" s="1">
        <v>2846.0</v>
      </c>
      <c r="G18911" s="1">
        <v>55.0</v>
      </c>
    </row>
    <row r="18912">
      <c r="A18912" s="1" t="s">
        <v>8</v>
      </c>
      <c r="B18912" s="2">
        <v>44792.0</v>
      </c>
      <c r="C18912" s="3">
        <v>0.3141319444444444</v>
      </c>
      <c r="D18912" s="1">
        <v>12.657491</v>
      </c>
      <c r="E18912" s="1">
        <v>79.94722</v>
      </c>
      <c r="F18912" s="1">
        <v>2846.0</v>
      </c>
      <c r="G18912" s="1">
        <v>42.0</v>
      </c>
    </row>
    <row r="18913">
      <c r="A18913" s="1" t="s">
        <v>8</v>
      </c>
      <c r="B18913" s="2">
        <v>44792.0</v>
      </c>
      <c r="C18913" s="3">
        <v>0.31482638888888886</v>
      </c>
      <c r="D18913" s="1">
        <v>12.656001</v>
      </c>
      <c r="E18913" s="1">
        <v>79.953147</v>
      </c>
      <c r="F18913" s="1">
        <v>2846.0</v>
      </c>
      <c r="G18913" s="1">
        <v>59.0</v>
      </c>
    </row>
    <row r="18914">
      <c r="A18914" s="1" t="s">
        <v>7</v>
      </c>
      <c r="B18914" s="2">
        <v>44792.0</v>
      </c>
      <c r="C18914" s="3">
        <v>0.31590277777777775</v>
      </c>
      <c r="D18914" s="1">
        <v>12.659875</v>
      </c>
      <c r="E18914" s="1">
        <v>79.964166</v>
      </c>
      <c r="F18914" s="1">
        <v>2846.0</v>
      </c>
      <c r="G18914" s="1">
        <v>57.0</v>
      </c>
    </row>
    <row r="18915">
      <c r="A18915" s="1" t="s">
        <v>8</v>
      </c>
      <c r="B18915" s="2">
        <v>44792.0</v>
      </c>
      <c r="C18915" s="3">
        <v>0.3159490740740741</v>
      </c>
      <c r="D18915" s="1">
        <v>12.659875</v>
      </c>
      <c r="E18915" s="1">
        <v>79.964166</v>
      </c>
      <c r="F18915" s="1">
        <v>2846.0</v>
      </c>
      <c r="G18915" s="1">
        <v>57.0</v>
      </c>
    </row>
    <row r="18916">
      <c r="A18916" s="1" t="s">
        <v>8</v>
      </c>
      <c r="B18916" s="2">
        <v>44792.0</v>
      </c>
      <c r="C18916" s="3">
        <v>0.31623842592592594</v>
      </c>
      <c r="D18916" s="1">
        <v>13.033593</v>
      </c>
      <c r="E18916" s="1">
        <v>80.244105</v>
      </c>
      <c r="F18916" s="1">
        <v>5339.0</v>
      </c>
      <c r="G18916" s="1">
        <v>39.0</v>
      </c>
    </row>
    <row r="18917">
      <c r="A18917" s="1" t="s">
        <v>8</v>
      </c>
      <c r="B18917" s="2">
        <v>44792.0</v>
      </c>
      <c r="C18917" s="3">
        <v>0.3163425925925926</v>
      </c>
      <c r="D18917" s="1">
        <v>13.03303</v>
      </c>
      <c r="E18917" s="1">
        <v>80.243374</v>
      </c>
      <c r="F18917" s="1">
        <v>5339.0</v>
      </c>
      <c r="G18917" s="1">
        <v>36.0</v>
      </c>
    </row>
    <row r="18918">
      <c r="A18918" s="1" t="s">
        <v>8</v>
      </c>
      <c r="B18918" s="2">
        <v>44792.0</v>
      </c>
      <c r="C18918" s="3">
        <v>0.3163773148148148</v>
      </c>
      <c r="D18918" s="1">
        <v>13.03303</v>
      </c>
      <c r="E18918" s="1">
        <v>80.243374</v>
      </c>
      <c r="F18918" s="1">
        <v>5339.0</v>
      </c>
      <c r="G18918" s="1">
        <v>36.0</v>
      </c>
    </row>
    <row r="18919">
      <c r="A18919" s="1" t="s">
        <v>7</v>
      </c>
      <c r="B18919" s="2">
        <v>44792.0</v>
      </c>
      <c r="C18919" s="3">
        <v>0.3165972222222222</v>
      </c>
      <c r="D18919" s="1">
        <v>12.663472</v>
      </c>
      <c r="E18919" s="1">
        <v>79.968103</v>
      </c>
      <c r="F18919" s="1">
        <v>2846.0</v>
      </c>
      <c r="G18919" s="1">
        <v>54.0</v>
      </c>
    </row>
    <row r="18920">
      <c r="A18920" s="1" t="s">
        <v>7</v>
      </c>
      <c r="B18920" s="2">
        <v>44792.0</v>
      </c>
      <c r="C18920" s="3">
        <v>0.3171412037037037</v>
      </c>
      <c r="D18920" s="1">
        <v>12.668398</v>
      </c>
      <c r="E18920" s="1">
        <v>79.973139</v>
      </c>
      <c r="F18920" s="1">
        <v>2846.0</v>
      </c>
      <c r="G18920" s="1">
        <v>48.0</v>
      </c>
    </row>
    <row r="18921">
      <c r="A18921" s="1" t="s">
        <v>9</v>
      </c>
      <c r="B18921" s="2">
        <v>44792.0</v>
      </c>
      <c r="C18921" s="3">
        <v>0.31744212962962964</v>
      </c>
      <c r="D18921" s="1">
        <v>12.671127</v>
      </c>
      <c r="E18921" s="1">
        <v>79.975982</v>
      </c>
      <c r="F18921" s="1">
        <v>2846.0</v>
      </c>
      <c r="G18921" s="1">
        <v>32.0</v>
      </c>
    </row>
    <row r="18922">
      <c r="A18922" s="1" t="s">
        <v>10</v>
      </c>
      <c r="B18922" s="2">
        <v>44792.0</v>
      </c>
      <c r="C18922" s="3">
        <v>0.31819444444444445</v>
      </c>
      <c r="D18922" s="1">
        <v>13.030807</v>
      </c>
      <c r="E18922" s="1">
        <v>80.239558</v>
      </c>
      <c r="F18922" s="1">
        <v>5339.0</v>
      </c>
      <c r="G18922" s="1">
        <v>21.0</v>
      </c>
    </row>
    <row r="18923">
      <c r="A18923" s="1" t="s">
        <v>10</v>
      </c>
      <c r="B18923" s="2">
        <v>44792.0</v>
      </c>
      <c r="C18923" s="3">
        <v>0.31829861111111113</v>
      </c>
      <c r="D18923" s="1">
        <v>13.030686</v>
      </c>
      <c r="E18923" s="1">
        <v>80.239312</v>
      </c>
      <c r="F18923" s="1">
        <v>5339.0</v>
      </c>
      <c r="G18923" s="1">
        <v>0.0</v>
      </c>
    </row>
    <row r="18924">
      <c r="A18924" s="1" t="s">
        <v>8</v>
      </c>
      <c r="B18924" s="2">
        <v>44792.0</v>
      </c>
      <c r="C18924" s="3">
        <v>0.31875</v>
      </c>
      <c r="D18924" s="1">
        <v>12.678246</v>
      </c>
      <c r="E18924" s="1">
        <v>79.979773</v>
      </c>
      <c r="F18924" s="1">
        <v>2846.0</v>
      </c>
      <c r="G18924" s="1">
        <v>26.0</v>
      </c>
    </row>
    <row r="18925">
      <c r="A18925" s="1" t="s">
        <v>8</v>
      </c>
      <c r="B18925" s="2">
        <v>44792.0</v>
      </c>
      <c r="C18925" s="3">
        <v>0.318912037037037</v>
      </c>
      <c r="D18925" s="1">
        <v>13.028802</v>
      </c>
      <c r="E18925" s="1">
        <v>80.236473</v>
      </c>
      <c r="F18925" s="1">
        <v>5339.0</v>
      </c>
      <c r="G18925" s="1">
        <v>41.0</v>
      </c>
    </row>
    <row r="18926">
      <c r="A18926" s="1" t="s">
        <v>8</v>
      </c>
      <c r="B18926" s="2">
        <v>44792.0</v>
      </c>
      <c r="C18926" s="3">
        <v>0.31894675925925925</v>
      </c>
      <c r="D18926" s="1">
        <v>13.028802</v>
      </c>
      <c r="E18926" s="1">
        <v>80.236473</v>
      </c>
      <c r="F18926" s="1">
        <v>5339.0</v>
      </c>
      <c r="G18926" s="1">
        <v>41.0</v>
      </c>
    </row>
    <row r="18927">
      <c r="A18927" s="1" t="s">
        <v>8</v>
      </c>
      <c r="B18927" s="2">
        <v>44792.0</v>
      </c>
      <c r="C18927" s="3">
        <v>0.3190162037037037</v>
      </c>
      <c r="D18927" s="1">
        <v>13.028155</v>
      </c>
      <c r="E18927" s="1">
        <v>80.235756</v>
      </c>
      <c r="F18927" s="1">
        <v>5339.0</v>
      </c>
      <c r="G18927" s="1">
        <v>33.0</v>
      </c>
    </row>
    <row r="18928">
      <c r="A18928" s="1" t="s">
        <v>8</v>
      </c>
      <c r="B18928" s="2">
        <v>44792.0</v>
      </c>
      <c r="C18928" s="3">
        <v>0.3191319444444444</v>
      </c>
      <c r="D18928" s="1">
        <v>13.027643</v>
      </c>
      <c r="E18928" s="1">
        <v>80.234988</v>
      </c>
      <c r="F18928" s="1">
        <v>5339.0</v>
      </c>
      <c r="G18928" s="1">
        <v>40.0</v>
      </c>
    </row>
    <row r="18929">
      <c r="A18929" s="1" t="s">
        <v>10</v>
      </c>
      <c r="B18929" s="2">
        <v>44792.0</v>
      </c>
      <c r="C18929" s="3">
        <v>0.3203935185185185</v>
      </c>
      <c r="D18929" s="1">
        <v>12.679792</v>
      </c>
      <c r="E18929" s="1">
        <v>79.980748</v>
      </c>
      <c r="F18929" s="1">
        <v>2846.0</v>
      </c>
      <c r="G18929" s="1">
        <v>0.0</v>
      </c>
    </row>
    <row r="18930">
      <c r="A18930" s="1" t="s">
        <v>8</v>
      </c>
      <c r="B18930" s="2">
        <v>44792.0</v>
      </c>
      <c r="C18930" s="3">
        <v>0.32131944444444444</v>
      </c>
      <c r="D18930" s="1">
        <v>13.020931</v>
      </c>
      <c r="E18930" s="1">
        <v>80.225559</v>
      </c>
      <c r="F18930" s="1">
        <v>5339.0</v>
      </c>
      <c r="G18930" s="1">
        <v>36.0</v>
      </c>
    </row>
    <row r="18931">
      <c r="A18931" s="1" t="s">
        <v>8</v>
      </c>
      <c r="B18931" s="2">
        <v>44792.0</v>
      </c>
      <c r="C18931" s="3">
        <v>0.3225925925925926</v>
      </c>
      <c r="D18931" s="1">
        <v>13.012977</v>
      </c>
      <c r="E18931" s="1">
        <v>80.226815</v>
      </c>
      <c r="F18931" s="1">
        <v>5339.0</v>
      </c>
      <c r="G18931" s="1">
        <v>39.0</v>
      </c>
    </row>
    <row r="18932">
      <c r="A18932" s="1" t="s">
        <v>10</v>
      </c>
      <c r="B18932" s="2">
        <v>44792.0</v>
      </c>
      <c r="C18932" s="3">
        <v>0.324212962962963</v>
      </c>
      <c r="D18932" s="1">
        <v>12.697269</v>
      </c>
      <c r="E18932" s="1">
        <v>79.972239</v>
      </c>
      <c r="F18932" s="1">
        <v>2846.0</v>
      </c>
      <c r="G18932" s="1">
        <v>24.0</v>
      </c>
    </row>
    <row r="18933">
      <c r="A18933" s="1" t="s">
        <v>8</v>
      </c>
      <c r="B18933" s="2">
        <v>44792.0</v>
      </c>
      <c r="C18933" s="3">
        <v>0.3242939814814815</v>
      </c>
      <c r="D18933" s="1">
        <v>13.012028</v>
      </c>
      <c r="E18933" s="1">
        <v>80.221836</v>
      </c>
      <c r="F18933" s="1">
        <v>5339.0</v>
      </c>
      <c r="G18933" s="1">
        <v>43.0</v>
      </c>
    </row>
    <row r="18934">
      <c r="A18934" s="1" t="s">
        <v>8</v>
      </c>
      <c r="B18934" s="2">
        <v>44792.0</v>
      </c>
      <c r="C18934" s="3">
        <v>0.32450231481481484</v>
      </c>
      <c r="D18934" s="1">
        <v>13.011858</v>
      </c>
      <c r="E18934" s="1">
        <v>80.220004</v>
      </c>
      <c r="F18934" s="1">
        <v>5339.0</v>
      </c>
      <c r="G18934" s="1">
        <v>39.0</v>
      </c>
    </row>
    <row r="18935">
      <c r="A18935" s="1" t="s">
        <v>8</v>
      </c>
      <c r="B18935" s="2">
        <v>44792.0</v>
      </c>
      <c r="C18935" s="3">
        <v>0.32525462962962964</v>
      </c>
      <c r="D18935" s="1">
        <v>13.008874</v>
      </c>
      <c r="E18935" s="1">
        <v>80.211514</v>
      </c>
      <c r="F18935" s="1">
        <v>5339.0</v>
      </c>
      <c r="G18935" s="1">
        <v>38.0</v>
      </c>
    </row>
    <row r="18936">
      <c r="A18936" s="1" t="s">
        <v>7</v>
      </c>
      <c r="B18936" s="2">
        <v>44792.0</v>
      </c>
      <c r="C18936" s="3">
        <v>0.3258101851851852</v>
      </c>
      <c r="D18936" s="1">
        <v>12.700462</v>
      </c>
      <c r="E18936" s="1">
        <v>79.968637</v>
      </c>
      <c r="F18936" s="1">
        <v>2846.0</v>
      </c>
      <c r="G18936" s="1">
        <v>25.0</v>
      </c>
    </row>
    <row r="18937">
      <c r="A18937" s="1" t="s">
        <v>8</v>
      </c>
      <c r="B18937" s="2">
        <v>44792.0</v>
      </c>
      <c r="C18937" s="3">
        <v>0.32608796296296294</v>
      </c>
      <c r="D18937" s="1">
        <v>13.007649</v>
      </c>
      <c r="E18937" s="1">
        <v>80.206666</v>
      </c>
      <c r="F18937" s="1">
        <v>5339.0</v>
      </c>
      <c r="G18937" s="1">
        <v>38.0</v>
      </c>
    </row>
    <row r="18938">
      <c r="A18938" s="1" t="s">
        <v>7</v>
      </c>
      <c r="B18938" s="2">
        <v>44792.0</v>
      </c>
      <c r="C18938" s="3">
        <v>0.32658564814814817</v>
      </c>
      <c r="D18938" s="1">
        <v>13.006067</v>
      </c>
      <c r="E18938" s="1">
        <v>80.203075</v>
      </c>
      <c r="F18938" s="1">
        <v>5339.0</v>
      </c>
      <c r="G18938" s="1">
        <v>42.0</v>
      </c>
    </row>
    <row r="18939">
      <c r="A18939" s="1" t="s">
        <v>7</v>
      </c>
      <c r="B18939" s="2">
        <v>44792.0</v>
      </c>
      <c r="C18939" s="3">
        <v>0.3267476851851852</v>
      </c>
      <c r="D18939" s="1">
        <v>13.004448</v>
      </c>
      <c r="E18939" s="1">
        <v>80.201236</v>
      </c>
      <c r="F18939" s="1">
        <v>5339.0</v>
      </c>
      <c r="G18939" s="1">
        <v>48.0</v>
      </c>
    </row>
    <row r="18940">
      <c r="A18940" s="1" t="s">
        <v>8</v>
      </c>
      <c r="B18940" s="2">
        <v>44792.0</v>
      </c>
      <c r="C18940" s="3">
        <v>0.32677083333333334</v>
      </c>
      <c r="D18940" s="1">
        <v>13.004448</v>
      </c>
      <c r="E18940" s="1">
        <v>80.201236</v>
      </c>
      <c r="F18940" s="1">
        <v>5339.0</v>
      </c>
      <c r="G18940" s="1">
        <v>48.0</v>
      </c>
    </row>
    <row r="18941">
      <c r="A18941" s="1" t="s">
        <v>9</v>
      </c>
      <c r="B18941" s="2">
        <v>44792.0</v>
      </c>
      <c r="C18941" s="3">
        <v>0.3268402777777778</v>
      </c>
      <c r="D18941" s="1">
        <v>13.004448</v>
      </c>
      <c r="E18941" s="1">
        <v>80.201236</v>
      </c>
      <c r="F18941" s="1">
        <v>5339.0</v>
      </c>
      <c r="G18941" s="1">
        <v>48.0</v>
      </c>
    </row>
    <row r="18942">
      <c r="A18942" s="1" t="s">
        <v>8</v>
      </c>
      <c r="B18942" s="2">
        <v>44792.0</v>
      </c>
      <c r="C18942" s="3">
        <v>0.32697916666666665</v>
      </c>
      <c r="D18942" s="1">
        <v>13.002391</v>
      </c>
      <c r="E18942" s="1">
        <v>80.200602</v>
      </c>
      <c r="F18942" s="1">
        <v>5339.0</v>
      </c>
      <c r="G18942" s="1">
        <v>29.0</v>
      </c>
    </row>
    <row r="18943">
      <c r="A18943" s="1" t="s">
        <v>8</v>
      </c>
      <c r="B18943" s="2">
        <v>44792.0</v>
      </c>
      <c r="C18943" s="3">
        <v>0.32709490740740743</v>
      </c>
      <c r="D18943" s="1">
        <v>13.001874</v>
      </c>
      <c r="E18943" s="1">
        <v>80.199976</v>
      </c>
      <c r="F18943" s="1">
        <v>5339.0</v>
      </c>
      <c r="G18943" s="1">
        <v>37.0</v>
      </c>
    </row>
    <row r="18944">
      <c r="A18944" s="1" t="s">
        <v>7</v>
      </c>
      <c r="B18944" s="2">
        <v>44792.0</v>
      </c>
      <c r="C18944" s="3">
        <v>0.32743055555555556</v>
      </c>
      <c r="D18944" s="1">
        <v>13.001948</v>
      </c>
      <c r="E18944" s="1">
        <v>80.197913</v>
      </c>
      <c r="F18944" s="1">
        <v>5339.0</v>
      </c>
      <c r="G18944" s="1">
        <v>44.0</v>
      </c>
    </row>
    <row r="18945">
      <c r="A18945" s="1" t="s">
        <v>8</v>
      </c>
      <c r="B18945" s="2">
        <v>44792.0</v>
      </c>
      <c r="C18945" s="3">
        <v>0.3275578703703704</v>
      </c>
      <c r="D18945" s="1">
        <v>12.721087</v>
      </c>
      <c r="E18945" s="1">
        <v>79.981195</v>
      </c>
      <c r="F18945" s="1">
        <v>2846.0</v>
      </c>
      <c r="G18945" s="1">
        <v>47.0</v>
      </c>
    </row>
    <row r="18946">
      <c r="A18946" s="1" t="s">
        <v>8</v>
      </c>
      <c r="B18946" s="2">
        <v>44792.0</v>
      </c>
      <c r="C18946" s="3">
        <v>0.32783564814814814</v>
      </c>
      <c r="D18946" s="1">
        <v>12.999178</v>
      </c>
      <c r="E18946" s="1">
        <v>80.193243</v>
      </c>
      <c r="F18946" s="1">
        <v>5339.0</v>
      </c>
      <c r="G18946" s="1">
        <v>53.0</v>
      </c>
    </row>
    <row r="18947">
      <c r="A18947" s="1" t="s">
        <v>8</v>
      </c>
      <c r="B18947" s="2">
        <v>44792.0</v>
      </c>
      <c r="C18947" s="3">
        <v>0.3282060185185185</v>
      </c>
      <c r="D18947" s="1">
        <v>12.997507</v>
      </c>
      <c r="E18947" s="1">
        <v>80.191095</v>
      </c>
      <c r="F18947" s="1">
        <v>5339.0</v>
      </c>
      <c r="G18947" s="1">
        <v>56.0</v>
      </c>
    </row>
    <row r="18948">
      <c r="A18948" s="1" t="s">
        <v>7</v>
      </c>
      <c r="B18948" s="2">
        <v>44792.0</v>
      </c>
      <c r="C18948" s="3">
        <v>0.32868055555555553</v>
      </c>
      <c r="D18948" s="1">
        <v>12.711462</v>
      </c>
      <c r="E18948" s="1">
        <v>79.978723</v>
      </c>
      <c r="F18948" s="1">
        <v>2846.0</v>
      </c>
      <c r="G18948" s="1">
        <v>56.0</v>
      </c>
    </row>
    <row r="18949">
      <c r="A18949" s="1" t="s">
        <v>8</v>
      </c>
      <c r="B18949" s="2">
        <v>44792.0</v>
      </c>
      <c r="C18949" s="3">
        <v>0.32894675925925926</v>
      </c>
      <c r="D18949" s="1">
        <v>12.994162</v>
      </c>
      <c r="E18949" s="1">
        <v>80.185849</v>
      </c>
      <c r="F18949" s="1">
        <v>5339.0</v>
      </c>
      <c r="G18949" s="1">
        <v>31.0</v>
      </c>
    </row>
    <row r="18950">
      <c r="A18950" s="1" t="s">
        <v>7</v>
      </c>
      <c r="B18950" s="2">
        <v>44792.0</v>
      </c>
      <c r="C18950" s="3">
        <v>0.3293171296296296</v>
      </c>
      <c r="D18950" s="1">
        <v>12.992424</v>
      </c>
      <c r="E18950" s="1">
        <v>80.182853</v>
      </c>
      <c r="F18950" s="1">
        <v>5339.0</v>
      </c>
      <c r="G18950" s="1">
        <v>55.0</v>
      </c>
    </row>
    <row r="18951">
      <c r="A18951" s="1" t="s">
        <v>8</v>
      </c>
      <c r="B18951" s="2">
        <v>44792.0</v>
      </c>
      <c r="C18951" s="3">
        <v>0.3294675925925926</v>
      </c>
      <c r="D18951" s="1">
        <v>12.991574</v>
      </c>
      <c r="E18951" s="1">
        <v>80.181623</v>
      </c>
      <c r="F18951" s="1">
        <v>5339.0</v>
      </c>
      <c r="G18951" s="1">
        <v>54.0</v>
      </c>
    </row>
    <row r="18952">
      <c r="A18952" s="1" t="s">
        <v>8</v>
      </c>
      <c r="B18952" s="2">
        <v>44792.0</v>
      </c>
      <c r="C18952" s="3">
        <v>0.329537037037037</v>
      </c>
      <c r="D18952" s="1">
        <v>12.731235</v>
      </c>
      <c r="E18952" s="1">
        <v>79.982784</v>
      </c>
      <c r="F18952" s="1">
        <v>2846.0</v>
      </c>
      <c r="G18952" s="1">
        <v>42.0</v>
      </c>
    </row>
    <row r="18953">
      <c r="A18953" s="1" t="s">
        <v>7</v>
      </c>
      <c r="B18953" s="2">
        <v>44792.0</v>
      </c>
      <c r="C18953" s="3">
        <v>0.3300578703703704</v>
      </c>
      <c r="D18953" s="1">
        <v>12.7394</v>
      </c>
      <c r="E18953" s="1">
        <v>79.989196</v>
      </c>
      <c r="F18953" s="1">
        <v>2846.0</v>
      </c>
      <c r="G18953" s="1">
        <v>53.0</v>
      </c>
    </row>
    <row r="18954">
      <c r="A18954" s="1" t="s">
        <v>9</v>
      </c>
      <c r="B18954" s="2">
        <v>44792.0</v>
      </c>
      <c r="C18954" s="3">
        <v>0.3304166666666667</v>
      </c>
      <c r="D18954" s="1">
        <v>12.988739</v>
      </c>
      <c r="E18954" s="1">
        <v>80.178013</v>
      </c>
      <c r="F18954" s="1">
        <v>5339.0</v>
      </c>
      <c r="G18954" s="1">
        <v>44.0</v>
      </c>
    </row>
    <row r="18955">
      <c r="A18955" s="1" t="s">
        <v>10</v>
      </c>
      <c r="B18955" s="2">
        <v>44792.0</v>
      </c>
      <c r="C18955" s="3">
        <v>0.33047453703703705</v>
      </c>
      <c r="D18955" s="1">
        <v>12.988035</v>
      </c>
      <c r="E18955" s="1">
        <v>80.177087</v>
      </c>
      <c r="F18955" s="1">
        <v>5339.0</v>
      </c>
      <c r="G18955" s="1">
        <v>42.0</v>
      </c>
    </row>
    <row r="18956">
      <c r="A18956" s="1" t="s">
        <v>10</v>
      </c>
      <c r="B18956" s="2">
        <v>44792.0</v>
      </c>
      <c r="C18956" s="3">
        <v>0.33096064814814813</v>
      </c>
      <c r="D18956" s="1">
        <v>12.956625</v>
      </c>
      <c r="E18956" s="1">
        <v>80.187075</v>
      </c>
      <c r="F18956" s="1">
        <v>3143.0</v>
      </c>
      <c r="G18956" s="1">
        <v>19.0</v>
      </c>
    </row>
    <row r="18957">
      <c r="A18957" s="1" t="s">
        <v>8</v>
      </c>
      <c r="B18957" s="2">
        <v>44792.0</v>
      </c>
      <c r="C18957" s="3">
        <v>0.3313773148148148</v>
      </c>
      <c r="D18957" s="1">
        <v>12.984347</v>
      </c>
      <c r="E18957" s="1">
        <v>80.171631</v>
      </c>
      <c r="F18957" s="1">
        <v>5339.0</v>
      </c>
      <c r="G18957" s="1">
        <v>50.0</v>
      </c>
    </row>
    <row r="18958">
      <c r="A18958" s="1" t="s">
        <v>10</v>
      </c>
      <c r="B18958" s="2">
        <v>44792.0</v>
      </c>
      <c r="C18958" s="3">
        <v>0.3315162037037037</v>
      </c>
      <c r="D18958" s="1">
        <v>12.955679</v>
      </c>
      <c r="E18958" s="1">
        <v>80.186972</v>
      </c>
      <c r="F18958" s="1">
        <v>3143.0</v>
      </c>
      <c r="G18958" s="1">
        <v>6.0</v>
      </c>
    </row>
    <row r="18959">
      <c r="A18959" s="1" t="s">
        <v>8</v>
      </c>
      <c r="B18959" s="2">
        <v>44792.0</v>
      </c>
      <c r="C18959" s="3">
        <v>0.33152777777777775</v>
      </c>
      <c r="D18959" s="1">
        <v>12.983786</v>
      </c>
      <c r="E18959" s="1">
        <v>80.170693</v>
      </c>
      <c r="F18959" s="1">
        <v>5339.0</v>
      </c>
      <c r="G18959" s="1">
        <v>37.0</v>
      </c>
    </row>
    <row r="18960">
      <c r="A18960" s="1" t="s">
        <v>7</v>
      </c>
      <c r="B18960" s="2">
        <v>44792.0</v>
      </c>
      <c r="C18960" s="3">
        <v>0.33158564814814817</v>
      </c>
      <c r="D18960" s="1">
        <v>12.747615</v>
      </c>
      <c r="E18960" s="1">
        <v>79.995853</v>
      </c>
      <c r="F18960" s="1">
        <v>2846.0</v>
      </c>
      <c r="G18960" s="1">
        <v>59.0</v>
      </c>
    </row>
    <row r="18961">
      <c r="A18961" s="1" t="s">
        <v>7</v>
      </c>
      <c r="B18961" s="2">
        <v>44792.0</v>
      </c>
      <c r="C18961" s="3">
        <v>0.33211805555555557</v>
      </c>
      <c r="D18961" s="1">
        <v>12.753522</v>
      </c>
      <c r="E18961" s="1">
        <v>80.000223</v>
      </c>
      <c r="F18961" s="1">
        <v>2846.0</v>
      </c>
      <c r="G18961" s="1">
        <v>57.0</v>
      </c>
    </row>
    <row r="18962">
      <c r="A18962" s="1" t="s">
        <v>7</v>
      </c>
      <c r="B18962" s="2">
        <v>44792.0</v>
      </c>
      <c r="C18962" s="3">
        <v>0.33229166666666665</v>
      </c>
      <c r="D18962" s="1">
        <v>12.980247</v>
      </c>
      <c r="E18962" s="1">
        <v>80.164296</v>
      </c>
      <c r="F18962" s="1">
        <v>5339.0</v>
      </c>
      <c r="G18962" s="1">
        <v>50.0</v>
      </c>
    </row>
    <row r="18963">
      <c r="A18963" s="1" t="s">
        <v>7</v>
      </c>
      <c r="B18963" s="2">
        <v>44792.0</v>
      </c>
      <c r="C18963" s="3">
        <v>0.3329861111111111</v>
      </c>
      <c r="D18963" s="1">
        <v>12.976072</v>
      </c>
      <c r="E18963" s="1">
        <v>80.157182</v>
      </c>
      <c r="F18963" s="1">
        <v>5339.0</v>
      </c>
      <c r="G18963" s="1">
        <v>57.0</v>
      </c>
    </row>
    <row r="18964">
      <c r="A18964" s="1" t="s">
        <v>7</v>
      </c>
      <c r="B18964" s="2">
        <v>44792.0</v>
      </c>
      <c r="C18964" s="3">
        <v>0.33314814814814814</v>
      </c>
      <c r="D18964" s="1">
        <v>12.763597</v>
      </c>
      <c r="E18964" s="1">
        <v>80.004186</v>
      </c>
      <c r="F18964" s="1">
        <v>2846.0</v>
      </c>
      <c r="G18964" s="1">
        <v>47.0</v>
      </c>
    </row>
    <row r="18965">
      <c r="A18965" s="1" t="s">
        <v>8</v>
      </c>
      <c r="B18965" s="2">
        <v>44792.0</v>
      </c>
      <c r="C18965" s="3">
        <v>0.3332407407407407</v>
      </c>
      <c r="D18965" s="1">
        <v>12.763597</v>
      </c>
      <c r="E18965" s="1">
        <v>80.004186</v>
      </c>
      <c r="F18965" s="1">
        <v>2846.0</v>
      </c>
      <c r="G18965" s="1">
        <v>47.0</v>
      </c>
    </row>
    <row r="18966">
      <c r="A18966" s="1" t="s">
        <v>7</v>
      </c>
      <c r="B18966" s="2">
        <v>44792.0</v>
      </c>
      <c r="C18966" s="3">
        <v>0.33337962962962964</v>
      </c>
      <c r="D18966" s="1">
        <v>12.763597</v>
      </c>
      <c r="E18966" s="1">
        <v>80.004186</v>
      </c>
      <c r="F18966" s="1">
        <v>2846.0</v>
      </c>
      <c r="G18966" s="1">
        <v>47.0</v>
      </c>
    </row>
    <row r="18967">
      <c r="A18967" s="1" t="s">
        <v>8</v>
      </c>
      <c r="B18967" s="2">
        <v>44792.0</v>
      </c>
      <c r="C18967" s="3">
        <v>0.33349537037037036</v>
      </c>
      <c r="D18967" s="1">
        <v>12.947267</v>
      </c>
      <c r="E18967" s="1">
        <v>80.184531</v>
      </c>
      <c r="F18967" s="1">
        <v>3143.0</v>
      </c>
      <c r="G18967" s="1">
        <v>34.0</v>
      </c>
    </row>
    <row r="18968">
      <c r="A18968" s="1" t="s">
        <v>7</v>
      </c>
      <c r="B18968" s="2">
        <v>44792.0</v>
      </c>
      <c r="C18968" s="3">
        <v>0.33350694444444445</v>
      </c>
      <c r="D18968" s="1">
        <v>12.768637</v>
      </c>
      <c r="E18968" s="1">
        <v>80.006454</v>
      </c>
      <c r="F18968" s="1">
        <v>2846.0</v>
      </c>
      <c r="G18968" s="1">
        <v>58.0</v>
      </c>
    </row>
    <row r="18969">
      <c r="A18969" s="1" t="s">
        <v>10</v>
      </c>
      <c r="B18969" s="2">
        <v>44792.0</v>
      </c>
      <c r="C18969" s="3">
        <v>0.33368055555555554</v>
      </c>
      <c r="D18969" s="1">
        <v>12.946009</v>
      </c>
      <c r="E18969" s="1">
        <v>80.183518</v>
      </c>
      <c r="F18969" s="1">
        <v>3143.0</v>
      </c>
      <c r="G18969" s="1">
        <v>24.0</v>
      </c>
    </row>
    <row r="18970">
      <c r="A18970" s="1" t="s">
        <v>8</v>
      </c>
      <c r="B18970" s="2">
        <v>44792.0</v>
      </c>
      <c r="C18970" s="3">
        <v>0.33368055555555554</v>
      </c>
      <c r="D18970" s="1">
        <v>12.972498</v>
      </c>
      <c r="E18970" s="1">
        <v>80.151982</v>
      </c>
      <c r="F18970" s="1">
        <v>5339.0</v>
      </c>
      <c r="G18970" s="1">
        <v>42.0</v>
      </c>
    </row>
    <row r="18971">
      <c r="A18971" s="1" t="s">
        <v>7</v>
      </c>
      <c r="B18971" s="2">
        <v>44792.0</v>
      </c>
      <c r="C18971" s="3">
        <v>0.3340856481481482</v>
      </c>
      <c r="D18971" s="1">
        <v>12.775255</v>
      </c>
      <c r="E18971" s="1">
        <v>80.009561</v>
      </c>
      <c r="F18971" s="1">
        <v>2846.0</v>
      </c>
      <c r="G18971" s="1">
        <v>57.0</v>
      </c>
    </row>
    <row r="18972">
      <c r="A18972" s="1" t="s">
        <v>8</v>
      </c>
      <c r="B18972" s="2">
        <v>44792.0</v>
      </c>
      <c r="C18972" s="3">
        <v>0.33461805555555557</v>
      </c>
      <c r="D18972" s="1">
        <v>12.966325</v>
      </c>
      <c r="E18972" s="1">
        <v>80.148646</v>
      </c>
      <c r="F18972" s="1">
        <v>5339.0</v>
      </c>
      <c r="G18972" s="1">
        <v>33.0</v>
      </c>
    </row>
    <row r="18973">
      <c r="A18973" s="1" t="s">
        <v>7</v>
      </c>
      <c r="B18973" s="2">
        <v>44792.0</v>
      </c>
      <c r="C18973" s="3">
        <v>0.33489583333333334</v>
      </c>
      <c r="D18973" s="1">
        <v>12.783269</v>
      </c>
      <c r="E18973" s="1">
        <v>80.013098</v>
      </c>
      <c r="F18973" s="1">
        <v>2846.0</v>
      </c>
      <c r="G18973" s="1">
        <v>56.0</v>
      </c>
    </row>
    <row r="18974">
      <c r="A18974" s="1" t="s">
        <v>7</v>
      </c>
      <c r="B18974" s="2">
        <v>44792.0</v>
      </c>
      <c r="C18974" s="3">
        <v>0.33503472222222225</v>
      </c>
      <c r="D18974" s="1">
        <v>12.963944</v>
      </c>
      <c r="E18974" s="1">
        <v>80.147388</v>
      </c>
      <c r="F18974" s="1">
        <v>5339.0</v>
      </c>
      <c r="G18974" s="1">
        <v>51.0</v>
      </c>
    </row>
    <row r="18975">
      <c r="A18975" s="1" t="s">
        <v>7</v>
      </c>
      <c r="B18975" s="2">
        <v>44792.0</v>
      </c>
      <c r="C18975" s="3">
        <v>0.33510416666666665</v>
      </c>
      <c r="D18975" s="1">
        <v>12.783269</v>
      </c>
      <c r="E18975" s="1">
        <v>80.013098</v>
      </c>
      <c r="F18975" s="1">
        <v>2846.0</v>
      </c>
      <c r="G18975" s="1">
        <v>56.0</v>
      </c>
    </row>
    <row r="18976">
      <c r="A18976" s="1" t="s">
        <v>7</v>
      </c>
      <c r="B18976" s="2">
        <v>44792.0</v>
      </c>
      <c r="C18976" s="3">
        <v>0.33524305555555556</v>
      </c>
      <c r="D18976" s="1">
        <v>12.788325</v>
      </c>
      <c r="E18976" s="1">
        <v>80.015864</v>
      </c>
      <c r="F18976" s="1">
        <v>2846.0</v>
      </c>
      <c r="G18976" s="1">
        <v>57.0</v>
      </c>
    </row>
    <row r="18977">
      <c r="A18977" s="1" t="s">
        <v>8</v>
      </c>
      <c r="B18977" s="2">
        <v>44792.0</v>
      </c>
      <c r="C18977" s="3">
        <v>0.3356018518518519</v>
      </c>
      <c r="D18977" s="1">
        <v>12.961075</v>
      </c>
      <c r="E18977" s="1">
        <v>80.145852</v>
      </c>
      <c r="F18977" s="1">
        <v>5339.0</v>
      </c>
      <c r="G18977" s="1">
        <v>29.0</v>
      </c>
    </row>
    <row r="18978">
      <c r="A18978" s="1" t="s">
        <v>7</v>
      </c>
      <c r="B18978" s="2">
        <v>44792.0</v>
      </c>
      <c r="C18978" s="3">
        <v>0.3357060185185185</v>
      </c>
      <c r="D18978" s="1">
        <v>12.793337</v>
      </c>
      <c r="E18978" s="1">
        <v>80.018934</v>
      </c>
      <c r="F18978" s="1">
        <v>2846.0</v>
      </c>
      <c r="G18978" s="1">
        <v>57.0</v>
      </c>
    </row>
    <row r="18979">
      <c r="A18979" s="1" t="s">
        <v>7</v>
      </c>
      <c r="B18979" s="2">
        <v>44792.0</v>
      </c>
      <c r="C18979" s="3">
        <v>0.33577546296296296</v>
      </c>
      <c r="D18979" s="1">
        <v>12.794571</v>
      </c>
      <c r="E18979" s="1">
        <v>80.019732</v>
      </c>
      <c r="F18979" s="1">
        <v>2846.0</v>
      </c>
      <c r="G18979" s="1">
        <v>57.0</v>
      </c>
    </row>
    <row r="18980">
      <c r="A18980" s="1" t="s">
        <v>7</v>
      </c>
      <c r="B18980" s="2">
        <v>44792.0</v>
      </c>
      <c r="C18980" s="3">
        <v>0.33600694444444446</v>
      </c>
      <c r="D18980" s="1">
        <v>12.795805</v>
      </c>
      <c r="E18980" s="1">
        <v>80.020539</v>
      </c>
      <c r="F18980" s="1">
        <v>2846.0</v>
      </c>
      <c r="G18980" s="1">
        <v>57.0</v>
      </c>
    </row>
    <row r="18981">
      <c r="A18981" s="1" t="s">
        <v>8</v>
      </c>
      <c r="B18981" s="2">
        <v>44792.0</v>
      </c>
      <c r="C18981" s="3">
        <v>0.3361689814814815</v>
      </c>
      <c r="D18981" s="1">
        <v>12.956392</v>
      </c>
      <c r="E18981" s="1">
        <v>80.143352</v>
      </c>
      <c r="F18981" s="1">
        <v>5339.0</v>
      </c>
      <c r="G18981" s="1">
        <v>30.0</v>
      </c>
    </row>
    <row r="18982">
      <c r="A18982" s="1" t="s">
        <v>8</v>
      </c>
      <c r="B18982" s="2">
        <v>44792.0</v>
      </c>
      <c r="C18982" s="3">
        <v>0.3362615740740741</v>
      </c>
      <c r="D18982" s="1">
        <v>12.955655</v>
      </c>
      <c r="E18982" s="1">
        <v>80.142935</v>
      </c>
      <c r="F18982" s="1">
        <v>5339.0</v>
      </c>
      <c r="G18982" s="1">
        <v>34.0</v>
      </c>
    </row>
    <row r="18983">
      <c r="A18983" s="1" t="s">
        <v>10</v>
      </c>
      <c r="B18983" s="2">
        <v>44792.0</v>
      </c>
      <c r="C18983" s="3">
        <v>0.3362847222222222</v>
      </c>
      <c r="D18983" s="1">
        <v>12.935471</v>
      </c>
      <c r="E18983" s="1">
        <v>80.182442</v>
      </c>
      <c r="F18983" s="1">
        <v>3143.0</v>
      </c>
      <c r="G18983" s="1">
        <v>13.0</v>
      </c>
    </row>
    <row r="18984">
      <c r="A18984" s="1" t="s">
        <v>7</v>
      </c>
      <c r="B18984" s="2">
        <v>44792.0</v>
      </c>
      <c r="C18984" s="3">
        <v>0.33631944444444445</v>
      </c>
      <c r="D18984" s="1">
        <v>12.80069</v>
      </c>
      <c r="E18984" s="1">
        <v>80.023772</v>
      </c>
      <c r="F18984" s="1">
        <v>2846.0</v>
      </c>
      <c r="G18984" s="1">
        <v>57.0</v>
      </c>
    </row>
    <row r="18985">
      <c r="A18985" s="1" t="s">
        <v>7</v>
      </c>
      <c r="B18985" s="2">
        <v>44792.0</v>
      </c>
      <c r="C18985" s="3">
        <v>0.3365856481481482</v>
      </c>
      <c r="D18985" s="1">
        <v>12.80069</v>
      </c>
      <c r="E18985" s="1">
        <v>80.023772</v>
      </c>
      <c r="F18985" s="1">
        <v>2846.0</v>
      </c>
      <c r="G18985" s="1">
        <v>57.0</v>
      </c>
    </row>
    <row r="18986">
      <c r="A18986" s="1" t="s">
        <v>7</v>
      </c>
      <c r="B18986" s="2">
        <v>44792.0</v>
      </c>
      <c r="C18986" s="3">
        <v>0.33686342592592594</v>
      </c>
      <c r="D18986" s="1">
        <v>12.958585</v>
      </c>
      <c r="E18986" s="1">
        <v>80.144448</v>
      </c>
      <c r="F18986" s="1">
        <v>5339.0</v>
      </c>
      <c r="G18986" s="1">
        <v>52.0</v>
      </c>
    </row>
    <row r="18987">
      <c r="A18987" s="1" t="s">
        <v>8</v>
      </c>
      <c r="B18987" s="2">
        <v>44792.0</v>
      </c>
      <c r="C18987" s="3">
        <v>0.33694444444444444</v>
      </c>
      <c r="D18987" s="1">
        <v>12.806823</v>
      </c>
      <c r="E18987" s="1">
        <v>80.027778</v>
      </c>
      <c r="F18987" s="1">
        <v>2846.0</v>
      </c>
      <c r="G18987" s="1">
        <v>55.0</v>
      </c>
    </row>
    <row r="18988">
      <c r="A18988" s="1" t="s">
        <v>7</v>
      </c>
      <c r="B18988" s="2">
        <v>44792.0</v>
      </c>
      <c r="C18988" s="3">
        <v>0.3370486111111111</v>
      </c>
      <c r="D18988" s="1">
        <v>12.808026</v>
      </c>
      <c r="E18988" s="1">
        <v>80.028509</v>
      </c>
      <c r="F18988" s="1">
        <v>2846.0</v>
      </c>
      <c r="G18988" s="1">
        <v>54.0</v>
      </c>
    </row>
    <row r="18989">
      <c r="A18989" s="1" t="s">
        <v>7</v>
      </c>
      <c r="B18989" s="2">
        <v>44792.0</v>
      </c>
      <c r="C18989" s="3">
        <v>0.3372222222222222</v>
      </c>
      <c r="D18989" s="1">
        <v>12.81042</v>
      </c>
      <c r="E18989" s="1">
        <v>80.030071</v>
      </c>
      <c r="F18989" s="1">
        <v>2846.0</v>
      </c>
      <c r="G18989" s="1">
        <v>58.0</v>
      </c>
    </row>
    <row r="18990">
      <c r="A18990" s="1" t="s">
        <v>7</v>
      </c>
      <c r="B18990" s="2">
        <v>44792.0</v>
      </c>
      <c r="C18990" s="3">
        <v>0.3374421296296296</v>
      </c>
      <c r="D18990" s="1">
        <v>12.811633</v>
      </c>
      <c r="E18990" s="1">
        <v>80.030886</v>
      </c>
      <c r="F18990" s="1">
        <v>2846.0</v>
      </c>
      <c r="G18990" s="1">
        <v>57.0</v>
      </c>
    </row>
    <row r="18991">
      <c r="A18991" s="1" t="s">
        <v>8</v>
      </c>
      <c r="B18991" s="2">
        <v>44792.0</v>
      </c>
      <c r="C18991" s="3">
        <v>0.3375</v>
      </c>
      <c r="D18991" s="1">
        <v>12.950918</v>
      </c>
      <c r="E18991" s="1">
        <v>80.139937</v>
      </c>
      <c r="F18991" s="1">
        <v>5339.0</v>
      </c>
      <c r="G18991" s="1">
        <v>0.0</v>
      </c>
    </row>
    <row r="18992">
      <c r="A18992" s="1" t="s">
        <v>8</v>
      </c>
      <c r="B18992" s="2">
        <v>44792.0</v>
      </c>
      <c r="C18992" s="3">
        <v>0.3375810185185185</v>
      </c>
      <c r="D18992" s="1">
        <v>12.812865</v>
      </c>
      <c r="E18992" s="1">
        <v>80.031686</v>
      </c>
      <c r="F18992" s="1">
        <v>2846.0</v>
      </c>
      <c r="G18992" s="1">
        <v>57.0</v>
      </c>
    </row>
    <row r="18993">
      <c r="A18993" s="1" t="s">
        <v>7</v>
      </c>
      <c r="B18993" s="2">
        <v>44792.0</v>
      </c>
      <c r="C18993" s="3">
        <v>0.337662037037037</v>
      </c>
      <c r="D18993" s="1">
        <v>12.812865</v>
      </c>
      <c r="E18993" s="1">
        <v>80.031686</v>
      </c>
      <c r="F18993" s="1">
        <v>2846.0</v>
      </c>
      <c r="G18993" s="1">
        <v>57.0</v>
      </c>
    </row>
    <row r="18994">
      <c r="A18994" s="1" t="s">
        <v>8</v>
      </c>
      <c r="B18994" s="2">
        <v>44792.0</v>
      </c>
      <c r="C18994" s="3">
        <v>0.337662037037037</v>
      </c>
      <c r="D18994" s="1">
        <v>12.950001</v>
      </c>
      <c r="E18994" s="1">
        <v>80.139209</v>
      </c>
      <c r="F18994" s="1">
        <v>5339.0</v>
      </c>
      <c r="G18994" s="1">
        <v>29.0</v>
      </c>
    </row>
    <row r="18995">
      <c r="A18995" s="1" t="s">
        <v>8</v>
      </c>
      <c r="B18995" s="2">
        <v>44792.0</v>
      </c>
      <c r="C18995" s="3">
        <v>0.33813657407407405</v>
      </c>
      <c r="D18995" s="1">
        <v>12.925522</v>
      </c>
      <c r="E18995" s="1">
        <v>80.182678</v>
      </c>
      <c r="F18995" s="1">
        <v>3143.0</v>
      </c>
      <c r="G18995" s="1">
        <v>26.0</v>
      </c>
    </row>
    <row r="18996">
      <c r="A18996" s="1" t="s">
        <v>7</v>
      </c>
      <c r="B18996" s="2">
        <v>44792.0</v>
      </c>
      <c r="C18996" s="3">
        <v>0.3386458333333333</v>
      </c>
      <c r="D18996" s="1">
        <v>12.824904</v>
      </c>
      <c r="E18996" s="1">
        <v>80.040068</v>
      </c>
      <c r="F18996" s="1">
        <v>2846.0</v>
      </c>
      <c r="G18996" s="1">
        <v>58.0</v>
      </c>
    </row>
    <row r="18997">
      <c r="A18997" s="1" t="s">
        <v>9</v>
      </c>
      <c r="B18997" s="2">
        <v>44792.0</v>
      </c>
      <c r="C18997" s="3">
        <v>0.33875</v>
      </c>
      <c r="D18997" s="1">
        <v>12.824904</v>
      </c>
      <c r="E18997" s="1">
        <v>80.040068</v>
      </c>
      <c r="F18997" s="1">
        <v>2846.0</v>
      </c>
      <c r="G18997" s="1">
        <v>58.0</v>
      </c>
    </row>
    <row r="18998">
      <c r="A18998" s="1" t="s">
        <v>8</v>
      </c>
      <c r="B18998" s="2">
        <v>44792.0</v>
      </c>
      <c r="C18998" s="3">
        <v>0.3389351851851852</v>
      </c>
      <c r="D18998" s="1">
        <v>12.942694</v>
      </c>
      <c r="E18998" s="1">
        <v>80.133384</v>
      </c>
      <c r="F18998" s="1">
        <v>5339.0</v>
      </c>
      <c r="G18998" s="1">
        <v>8.0</v>
      </c>
    </row>
    <row r="18999">
      <c r="A18999" s="1" t="s">
        <v>7</v>
      </c>
      <c r="B18999" s="2">
        <v>44792.0</v>
      </c>
      <c r="C18999" s="3">
        <v>0.33894675925925927</v>
      </c>
      <c r="D18999" s="1">
        <v>12.827129</v>
      </c>
      <c r="E18999" s="1">
        <v>80.041898</v>
      </c>
      <c r="F18999" s="1">
        <v>2846.0</v>
      </c>
      <c r="G18999" s="1">
        <v>52.0</v>
      </c>
    </row>
    <row r="19000">
      <c r="A19000" s="1" t="s">
        <v>8</v>
      </c>
      <c r="B19000" s="2">
        <v>44792.0</v>
      </c>
      <c r="C19000" s="3">
        <v>0.3391550925925926</v>
      </c>
      <c r="D19000" s="1">
        <v>12.829106</v>
      </c>
      <c r="E19000" s="1">
        <v>80.043926</v>
      </c>
      <c r="F19000" s="1">
        <v>2846.0</v>
      </c>
      <c r="G19000" s="1">
        <v>57.0</v>
      </c>
    </row>
    <row r="19001">
      <c r="A19001" s="1" t="s">
        <v>7</v>
      </c>
      <c r="B19001" s="2">
        <v>44792.0</v>
      </c>
      <c r="C19001" s="3">
        <v>0.3397453703703704</v>
      </c>
      <c r="D19001" s="1">
        <v>12.831919</v>
      </c>
      <c r="E19001" s="1">
        <v>80.046968</v>
      </c>
      <c r="F19001" s="1">
        <v>2846.0</v>
      </c>
      <c r="G19001" s="1">
        <v>47.0</v>
      </c>
    </row>
    <row r="19002">
      <c r="A19002" s="1" t="s">
        <v>7</v>
      </c>
      <c r="B19002" s="2">
        <v>44792.0</v>
      </c>
      <c r="C19002" s="3">
        <v>0.3400810185185185</v>
      </c>
      <c r="D19002" s="1">
        <v>12.835898</v>
      </c>
      <c r="E19002" s="1">
        <v>80.05115</v>
      </c>
      <c r="F19002" s="1">
        <v>2846.0</v>
      </c>
      <c r="G19002" s="1">
        <v>57.0</v>
      </c>
    </row>
    <row r="19003">
      <c r="A19003" s="1" t="s">
        <v>8</v>
      </c>
      <c r="B19003" s="2">
        <v>44792.0</v>
      </c>
      <c r="C19003" s="3">
        <v>0.3401388888888889</v>
      </c>
      <c r="D19003" s="1">
        <v>12.91943</v>
      </c>
      <c r="E19003" s="1">
        <v>80.180651</v>
      </c>
      <c r="F19003" s="1">
        <v>3143.0</v>
      </c>
      <c r="G19003" s="1">
        <v>48.0</v>
      </c>
    </row>
    <row r="19004">
      <c r="A19004" s="1" t="s">
        <v>9</v>
      </c>
      <c r="B19004" s="2">
        <v>44792.0</v>
      </c>
      <c r="C19004" s="3">
        <v>0.34020833333333333</v>
      </c>
      <c r="D19004" s="1">
        <v>12.9191</v>
      </c>
      <c r="E19004" s="1">
        <v>80.179357</v>
      </c>
      <c r="F19004" s="1">
        <v>3143.0</v>
      </c>
      <c r="G19004" s="1">
        <v>32.0</v>
      </c>
    </row>
    <row r="19005">
      <c r="A19005" s="1" t="s">
        <v>7</v>
      </c>
      <c r="B19005" s="2">
        <v>44792.0</v>
      </c>
      <c r="C19005" s="3">
        <v>0.3403703703703704</v>
      </c>
      <c r="D19005" s="1">
        <v>12.935171</v>
      </c>
      <c r="E19005" s="1">
        <v>80.126318</v>
      </c>
      <c r="F19005" s="1">
        <v>5339.0</v>
      </c>
      <c r="G19005" s="1">
        <v>45.0</v>
      </c>
    </row>
    <row r="19006">
      <c r="A19006" s="1" t="s">
        <v>8</v>
      </c>
      <c r="B19006" s="2">
        <v>44792.0</v>
      </c>
      <c r="C19006" s="3">
        <v>0.3404513888888889</v>
      </c>
      <c r="D19006" s="1">
        <v>12.838977</v>
      </c>
      <c r="E19006" s="1">
        <v>80.054321</v>
      </c>
      <c r="F19006" s="1">
        <v>2846.0</v>
      </c>
      <c r="G19006" s="1">
        <v>58.0</v>
      </c>
    </row>
    <row r="19007">
      <c r="A19007" s="1" t="s">
        <v>8</v>
      </c>
      <c r="B19007" s="2">
        <v>44792.0</v>
      </c>
      <c r="C19007" s="3">
        <v>0.34052083333333333</v>
      </c>
      <c r="D19007" s="1">
        <v>12.918431</v>
      </c>
      <c r="E19007" s="1">
        <v>80.176318</v>
      </c>
      <c r="F19007" s="1">
        <v>3143.0</v>
      </c>
      <c r="G19007" s="1">
        <v>49.0</v>
      </c>
    </row>
    <row r="19008">
      <c r="A19008" s="1" t="s">
        <v>7</v>
      </c>
      <c r="B19008" s="2">
        <v>44792.0</v>
      </c>
      <c r="C19008" s="3">
        <v>0.3411458333333333</v>
      </c>
      <c r="D19008" s="1">
        <v>12.841797</v>
      </c>
      <c r="E19008" s="1">
        <v>80.057274</v>
      </c>
      <c r="F19008" s="1">
        <v>2846.0</v>
      </c>
      <c r="G19008" s="1">
        <v>40.0</v>
      </c>
    </row>
    <row r="19009">
      <c r="A19009" s="1" t="s">
        <v>8</v>
      </c>
      <c r="B19009" s="2">
        <v>44792.0</v>
      </c>
      <c r="C19009" s="3">
        <v>0.3412384259259259</v>
      </c>
      <c r="D19009" s="1">
        <v>12.842513</v>
      </c>
      <c r="E19009" s="1">
        <v>80.058047</v>
      </c>
      <c r="F19009" s="1">
        <v>2846.0</v>
      </c>
      <c r="G19009" s="1">
        <v>48.0</v>
      </c>
    </row>
    <row r="19010">
      <c r="A19010" s="1" t="s">
        <v>8</v>
      </c>
      <c r="B19010" s="2">
        <v>44792.0</v>
      </c>
      <c r="C19010" s="3">
        <v>0.34131944444444445</v>
      </c>
      <c r="D19010" s="1">
        <v>12.927834</v>
      </c>
      <c r="E19010" s="1">
        <v>80.119014</v>
      </c>
      <c r="F19010" s="1">
        <v>5339.0</v>
      </c>
      <c r="G19010" s="1">
        <v>47.0</v>
      </c>
    </row>
    <row r="19011">
      <c r="A19011" s="1" t="s">
        <v>8</v>
      </c>
      <c r="B19011" s="2">
        <v>44792.0</v>
      </c>
      <c r="C19011" s="3">
        <v>0.34164351851851854</v>
      </c>
      <c r="D19011" s="1">
        <v>12.921698</v>
      </c>
      <c r="E19011" s="1">
        <v>80.165058</v>
      </c>
      <c r="F19011" s="1">
        <v>3143.0</v>
      </c>
      <c r="G19011" s="1">
        <v>39.0</v>
      </c>
    </row>
    <row r="19012">
      <c r="A19012" s="1" t="s">
        <v>8</v>
      </c>
      <c r="B19012" s="2">
        <v>44792.0</v>
      </c>
      <c r="C19012" s="3">
        <v>0.3416666666666667</v>
      </c>
      <c r="D19012" s="1">
        <v>12.921698</v>
      </c>
      <c r="E19012" s="1">
        <v>80.165058</v>
      </c>
      <c r="F19012" s="1">
        <v>3143.0</v>
      </c>
      <c r="G19012" s="1">
        <v>39.0</v>
      </c>
    </row>
    <row r="19013">
      <c r="A19013" s="1" t="s">
        <v>8</v>
      </c>
      <c r="B19013" s="2">
        <v>44792.0</v>
      </c>
      <c r="C19013" s="3">
        <v>0.34216435185185184</v>
      </c>
      <c r="D19013" s="1">
        <v>12.921529</v>
      </c>
      <c r="E19013" s="1">
        <v>80.112698</v>
      </c>
      <c r="F19013" s="1">
        <v>5339.0</v>
      </c>
      <c r="G19013" s="1">
        <v>36.0</v>
      </c>
    </row>
    <row r="19014">
      <c r="A19014" s="1" t="s">
        <v>7</v>
      </c>
      <c r="B19014" s="2">
        <v>44792.0</v>
      </c>
      <c r="C19014" s="3">
        <v>0.3423726851851852</v>
      </c>
      <c r="D19014" s="1">
        <v>12.847352</v>
      </c>
      <c r="E19014" s="1">
        <v>80.06272</v>
      </c>
      <c r="F19014" s="1">
        <v>2846.0</v>
      </c>
      <c r="G19014" s="1">
        <v>48.0</v>
      </c>
    </row>
    <row r="19015">
      <c r="A19015" s="1" t="s">
        <v>8</v>
      </c>
      <c r="B19015" s="2">
        <v>44792.0</v>
      </c>
      <c r="C19015" s="3">
        <v>0.3424074074074074</v>
      </c>
      <c r="D19015" s="1">
        <v>12.920251</v>
      </c>
      <c r="E19015" s="1">
        <v>80.111352</v>
      </c>
      <c r="F19015" s="1">
        <v>5339.0</v>
      </c>
      <c r="G19015" s="1">
        <v>47.0</v>
      </c>
    </row>
    <row r="19016">
      <c r="A19016" s="1" t="s">
        <v>7</v>
      </c>
      <c r="B19016" s="2">
        <v>44792.0</v>
      </c>
      <c r="C19016" s="3">
        <v>0.3424652777777778</v>
      </c>
      <c r="D19016" s="1">
        <v>12.920251</v>
      </c>
      <c r="E19016" s="1">
        <v>80.111352</v>
      </c>
      <c r="F19016" s="1">
        <v>5339.0</v>
      </c>
      <c r="G19016" s="1">
        <v>47.0</v>
      </c>
    </row>
    <row r="19017">
      <c r="A19017" s="1" t="s">
        <v>8</v>
      </c>
      <c r="B19017" s="2">
        <v>44792.0</v>
      </c>
      <c r="C19017" s="3">
        <v>0.3427546296296296</v>
      </c>
      <c r="D19017" s="1">
        <v>12.917629</v>
      </c>
      <c r="E19017" s="1">
        <v>80.108122</v>
      </c>
      <c r="F19017" s="1">
        <v>5339.0</v>
      </c>
      <c r="G19017" s="1">
        <v>51.0</v>
      </c>
    </row>
    <row r="19018">
      <c r="A19018" s="1" t="s">
        <v>8</v>
      </c>
      <c r="B19018" s="2">
        <v>44792.0</v>
      </c>
      <c r="C19018" s="3">
        <v>0.34324074074074074</v>
      </c>
      <c r="D19018" s="1">
        <v>12.91701</v>
      </c>
      <c r="E19018" s="1">
        <v>80.107242</v>
      </c>
      <c r="F19018" s="1">
        <v>5339.0</v>
      </c>
      <c r="G19018" s="1">
        <v>3.0</v>
      </c>
    </row>
    <row r="19019">
      <c r="A19019" s="1" t="s">
        <v>7</v>
      </c>
      <c r="B19019" s="2">
        <v>44792.0</v>
      </c>
      <c r="C19019" s="3">
        <v>0.3434143518518519</v>
      </c>
      <c r="D19019" s="1">
        <v>12.850819</v>
      </c>
      <c r="E19019" s="1">
        <v>80.065234</v>
      </c>
      <c r="F19019" s="1">
        <v>2846.0</v>
      </c>
      <c r="G19019" s="1">
        <v>34.0</v>
      </c>
    </row>
    <row r="19020">
      <c r="A19020" s="1" t="s">
        <v>7</v>
      </c>
      <c r="B19020" s="2">
        <v>44792.0</v>
      </c>
      <c r="C19020" s="3">
        <v>0.34368055555555554</v>
      </c>
      <c r="D19020" s="1">
        <v>12.914937</v>
      </c>
      <c r="E19020" s="1">
        <v>80.103372</v>
      </c>
      <c r="F19020" s="1">
        <v>5339.0</v>
      </c>
      <c r="G19020" s="1">
        <v>57.0</v>
      </c>
    </row>
    <row r="19021">
      <c r="A19021" s="1" t="s">
        <v>9</v>
      </c>
      <c r="B19021" s="2">
        <v>44792.0</v>
      </c>
      <c r="C19021" s="3">
        <v>0.3439351851851852</v>
      </c>
      <c r="D19021" s="1">
        <v>12.857309</v>
      </c>
      <c r="E19021" s="1">
        <v>80.070042</v>
      </c>
      <c r="F19021" s="1">
        <v>2846.0</v>
      </c>
      <c r="G19021" s="1">
        <v>58.0</v>
      </c>
    </row>
    <row r="19022">
      <c r="A19022" s="1" t="s">
        <v>8</v>
      </c>
      <c r="B19022" s="2">
        <v>44792.0</v>
      </c>
      <c r="C19022" s="3">
        <v>0.34403935185185186</v>
      </c>
      <c r="D19022" s="1">
        <v>12.911962</v>
      </c>
      <c r="E19022" s="1">
        <v>80.101469</v>
      </c>
      <c r="F19022" s="1">
        <v>5339.0</v>
      </c>
      <c r="G19022" s="1">
        <v>51.0</v>
      </c>
    </row>
    <row r="19023">
      <c r="A19023" s="1" t="s">
        <v>8</v>
      </c>
      <c r="B19023" s="2">
        <v>44792.0</v>
      </c>
      <c r="C19023" s="3">
        <v>0.34427083333333336</v>
      </c>
      <c r="D19023" s="1">
        <v>12.922671</v>
      </c>
      <c r="E19023" s="1">
        <v>80.151549</v>
      </c>
      <c r="F19023" s="1">
        <v>3143.0</v>
      </c>
      <c r="G19023" s="1">
        <v>24.0</v>
      </c>
    </row>
    <row r="19024">
      <c r="A19024" s="1" t="s">
        <v>8</v>
      </c>
      <c r="B19024" s="2">
        <v>44792.0</v>
      </c>
      <c r="C19024" s="3">
        <v>0.3442939814814815</v>
      </c>
      <c r="D19024" s="1">
        <v>12.909706</v>
      </c>
      <c r="E19024" s="1">
        <v>80.100121</v>
      </c>
      <c r="F19024" s="1">
        <v>5339.0</v>
      </c>
      <c r="G19024" s="1">
        <v>48.0</v>
      </c>
    </row>
    <row r="19025">
      <c r="A19025" s="1" t="s">
        <v>7</v>
      </c>
      <c r="B19025" s="2">
        <v>44792.0</v>
      </c>
      <c r="C19025" s="3">
        <v>0.34435185185185185</v>
      </c>
      <c r="D19025" s="1">
        <v>12.860486</v>
      </c>
      <c r="E19025" s="1">
        <v>80.072373</v>
      </c>
      <c r="F19025" s="1">
        <v>2846.0</v>
      </c>
      <c r="G19025" s="1">
        <v>32.0</v>
      </c>
    </row>
    <row r="19026">
      <c r="A19026" s="1" t="s">
        <v>8</v>
      </c>
      <c r="B19026" s="2">
        <v>44792.0</v>
      </c>
      <c r="C19026" s="3">
        <v>0.3446875</v>
      </c>
      <c r="D19026" s="1">
        <v>12.852195</v>
      </c>
      <c r="E19026" s="1">
        <v>80.066218</v>
      </c>
      <c r="F19026" s="1">
        <v>2846.0</v>
      </c>
      <c r="G19026" s="1">
        <v>42.0</v>
      </c>
    </row>
    <row r="19027">
      <c r="A19027" s="1" t="s">
        <v>8</v>
      </c>
      <c r="B19027" s="2">
        <v>44792.0</v>
      </c>
      <c r="C19027" s="3">
        <v>0.3449074074074074</v>
      </c>
      <c r="D19027" s="1">
        <v>12.907408</v>
      </c>
      <c r="E19027" s="1">
        <v>80.097324</v>
      </c>
      <c r="F19027" s="1">
        <v>5339.0</v>
      </c>
      <c r="G19027" s="1">
        <v>39.0</v>
      </c>
    </row>
    <row r="19028">
      <c r="A19028" s="1" t="s">
        <v>8</v>
      </c>
      <c r="B19028" s="2">
        <v>44792.0</v>
      </c>
      <c r="C19028" s="3">
        <v>0.34502314814814816</v>
      </c>
      <c r="D19028" s="1">
        <v>12.906344</v>
      </c>
      <c r="E19028" s="1">
        <v>80.096469</v>
      </c>
      <c r="F19028" s="1">
        <v>5339.0</v>
      </c>
      <c r="G19028" s="1">
        <v>32.0</v>
      </c>
    </row>
    <row r="19029">
      <c r="A19029" s="1" t="s">
        <v>7</v>
      </c>
      <c r="B19029" s="2">
        <v>44792.0</v>
      </c>
      <c r="C19029" s="3">
        <v>0.34542824074074074</v>
      </c>
      <c r="D19029" s="1">
        <v>12.871387</v>
      </c>
      <c r="E19029" s="1">
        <v>80.076993</v>
      </c>
      <c r="F19029" s="1">
        <v>2846.0</v>
      </c>
      <c r="G19029" s="1">
        <v>58.0</v>
      </c>
    </row>
    <row r="19030">
      <c r="A19030" s="1" t="s">
        <v>8</v>
      </c>
      <c r="B19030" s="2">
        <v>44792.0</v>
      </c>
      <c r="C19030" s="3">
        <v>0.3454861111111111</v>
      </c>
      <c r="D19030" s="1">
        <v>12.871387</v>
      </c>
      <c r="E19030" s="1">
        <v>80.076993</v>
      </c>
      <c r="F19030" s="1">
        <v>2846.0</v>
      </c>
      <c r="G19030" s="1">
        <v>58.0</v>
      </c>
    </row>
    <row r="19031">
      <c r="A19031" s="1" t="s">
        <v>8</v>
      </c>
      <c r="B19031" s="2">
        <v>44792.0</v>
      </c>
      <c r="C19031" s="3">
        <v>0.34586805555555555</v>
      </c>
      <c r="D19031" s="1">
        <v>12.871387</v>
      </c>
      <c r="E19031" s="1">
        <v>80.076993</v>
      </c>
      <c r="F19031" s="1">
        <v>2846.0</v>
      </c>
      <c r="G19031" s="1">
        <v>58.0</v>
      </c>
    </row>
    <row r="19032">
      <c r="A19032" s="1" t="s">
        <v>8</v>
      </c>
      <c r="B19032" s="2">
        <v>44792.0</v>
      </c>
      <c r="C19032" s="3">
        <v>0.34721064814814817</v>
      </c>
      <c r="D19032" s="1">
        <v>12.878867</v>
      </c>
      <c r="E19032" s="1">
        <v>80.081088</v>
      </c>
      <c r="F19032" s="1">
        <v>2846.0</v>
      </c>
      <c r="G19032" s="1">
        <v>25.0</v>
      </c>
    </row>
    <row r="19033">
      <c r="A19033" s="1" t="s">
        <v>7</v>
      </c>
      <c r="B19033" s="2">
        <v>44792.0</v>
      </c>
      <c r="C19033" s="3">
        <v>0.34724537037037034</v>
      </c>
      <c r="D19033" s="1">
        <v>12.891938</v>
      </c>
      <c r="E19033" s="1">
        <v>80.085531</v>
      </c>
      <c r="F19033" s="1">
        <v>5339.0</v>
      </c>
      <c r="G19033" s="1">
        <v>59.0</v>
      </c>
    </row>
    <row r="19034">
      <c r="A19034" s="1" t="s">
        <v>10</v>
      </c>
      <c r="B19034" s="2">
        <v>44792.0</v>
      </c>
      <c r="C19034" s="3">
        <v>0.34803240740740743</v>
      </c>
      <c r="D19034" s="1">
        <v>12.877336</v>
      </c>
      <c r="E19034" s="1">
        <v>80.084704</v>
      </c>
      <c r="F19034" s="1">
        <v>2846.0</v>
      </c>
      <c r="G19034" s="1">
        <v>13.0</v>
      </c>
    </row>
    <row r="19035">
      <c r="A19035" s="1" t="s">
        <v>8</v>
      </c>
      <c r="B19035" s="2">
        <v>44792.0</v>
      </c>
      <c r="C19035" s="3">
        <v>0.34822916666666665</v>
      </c>
      <c r="D19035" s="1">
        <v>12.92275</v>
      </c>
      <c r="E19035" s="1">
        <v>80.130685</v>
      </c>
      <c r="F19035" s="1">
        <v>3143.0</v>
      </c>
      <c r="G19035" s="1">
        <v>51.0</v>
      </c>
    </row>
    <row r="19036">
      <c r="A19036" s="1" t="s">
        <v>8</v>
      </c>
      <c r="B19036" s="2">
        <v>44792.0</v>
      </c>
      <c r="C19036" s="3">
        <v>0.3489699074074074</v>
      </c>
      <c r="D19036" s="1">
        <v>12.922874</v>
      </c>
      <c r="E19036" s="1">
        <v>80.127183</v>
      </c>
      <c r="F19036" s="1">
        <v>3143.0</v>
      </c>
      <c r="G19036" s="1">
        <v>17.0</v>
      </c>
    </row>
    <row r="19037">
      <c r="A19037" s="1" t="s">
        <v>8</v>
      </c>
      <c r="B19037" s="2">
        <v>44792.0</v>
      </c>
      <c r="C19037" s="3">
        <v>0.35006944444444443</v>
      </c>
      <c r="D19037" s="1">
        <v>12.923471</v>
      </c>
      <c r="E19037" s="1">
        <v>80.118094</v>
      </c>
      <c r="F19037" s="1">
        <v>3143.0</v>
      </c>
      <c r="G19037" s="1">
        <v>38.0</v>
      </c>
    </row>
    <row r="19038">
      <c r="A19038" s="1" t="s">
        <v>7</v>
      </c>
      <c r="B19038" s="2">
        <v>44792.0</v>
      </c>
      <c r="C19038" s="3">
        <v>0.3510185185185185</v>
      </c>
      <c r="D19038" s="1">
        <v>12.921625</v>
      </c>
      <c r="E19038" s="1">
        <v>80.112991</v>
      </c>
      <c r="F19038" s="1">
        <v>3143.0</v>
      </c>
      <c r="G19038" s="1">
        <v>45.0</v>
      </c>
    </row>
    <row r="19039">
      <c r="A19039" s="1" t="s">
        <v>7</v>
      </c>
      <c r="B19039" s="2">
        <v>44792.0</v>
      </c>
      <c r="C19039" s="3">
        <v>0.3512037037037037</v>
      </c>
      <c r="D19039" s="1">
        <v>12.920164</v>
      </c>
      <c r="E19039" s="1">
        <v>80.111337</v>
      </c>
      <c r="F19039" s="1">
        <v>3143.0</v>
      </c>
      <c r="G19039" s="1">
        <v>59.0</v>
      </c>
    </row>
    <row r="19040">
      <c r="A19040" s="1" t="s">
        <v>8</v>
      </c>
      <c r="B19040" s="2">
        <v>44792.0</v>
      </c>
      <c r="C19040" s="3">
        <v>0.3525115740740741</v>
      </c>
      <c r="D19040" s="1">
        <v>12.914219</v>
      </c>
      <c r="E19040" s="1">
        <v>80.102332</v>
      </c>
      <c r="F19040" s="1">
        <v>3143.0</v>
      </c>
      <c r="G19040" s="1">
        <v>33.0</v>
      </c>
    </row>
    <row r="19041">
      <c r="A19041" s="1" t="s">
        <v>8</v>
      </c>
      <c r="B19041" s="2">
        <v>44792.0</v>
      </c>
      <c r="C19041" s="3">
        <v>0.3525347222222222</v>
      </c>
      <c r="D19041" s="1">
        <v>12.914219</v>
      </c>
      <c r="E19041" s="1">
        <v>80.102332</v>
      </c>
      <c r="F19041" s="1">
        <v>3143.0</v>
      </c>
      <c r="G19041" s="1">
        <v>33.0</v>
      </c>
    </row>
    <row r="19042">
      <c r="A19042" s="1" t="s">
        <v>8</v>
      </c>
      <c r="B19042" s="2">
        <v>44792.0</v>
      </c>
      <c r="C19042" s="3">
        <v>0.352650462962963</v>
      </c>
      <c r="D19042" s="1">
        <v>12.913561</v>
      </c>
      <c r="E19042" s="1">
        <v>80.101717</v>
      </c>
      <c r="F19042" s="1">
        <v>3143.0</v>
      </c>
      <c r="G19042" s="1">
        <v>33.0</v>
      </c>
    </row>
    <row r="19043">
      <c r="A19043" s="1" t="s">
        <v>8</v>
      </c>
      <c r="B19043" s="2">
        <v>44792.0</v>
      </c>
      <c r="C19043" s="3">
        <v>0.3527546296296296</v>
      </c>
      <c r="D19043" s="1">
        <v>12.912741</v>
      </c>
      <c r="E19043" s="1">
        <v>80.101579</v>
      </c>
      <c r="F19043" s="1">
        <v>3143.0</v>
      </c>
      <c r="G19043" s="1">
        <v>30.0</v>
      </c>
    </row>
    <row r="19044">
      <c r="A19044" s="1" t="s">
        <v>8</v>
      </c>
      <c r="B19044" s="2">
        <v>44792.0</v>
      </c>
      <c r="C19044" s="3">
        <v>0.3528587962962963</v>
      </c>
      <c r="D19044" s="1">
        <v>12.912056</v>
      </c>
      <c r="E19044" s="1">
        <v>80.101504</v>
      </c>
      <c r="F19044" s="1">
        <v>3143.0</v>
      </c>
      <c r="G19044" s="1">
        <v>26.0</v>
      </c>
    </row>
    <row r="19045">
      <c r="A19045" s="1" t="s">
        <v>8</v>
      </c>
      <c r="B19045" s="2">
        <v>44792.0</v>
      </c>
      <c r="C19045" s="3">
        <v>0.35325231481481484</v>
      </c>
      <c r="D19045" s="1">
        <v>12.909502</v>
      </c>
      <c r="E19045" s="1">
        <v>80.099697</v>
      </c>
      <c r="F19045" s="1">
        <v>3143.0</v>
      </c>
      <c r="G19045" s="1">
        <v>49.0</v>
      </c>
    </row>
    <row r="19046">
      <c r="A19046" s="1" t="s">
        <v>8</v>
      </c>
      <c r="B19046" s="2">
        <v>44792.0</v>
      </c>
      <c r="C19046" s="3">
        <v>0.3532638888888889</v>
      </c>
      <c r="D19046" s="1">
        <v>12.909118</v>
      </c>
      <c r="E19046" s="1">
        <v>80.098924</v>
      </c>
      <c r="F19046" s="1">
        <v>3143.0</v>
      </c>
      <c r="G19046" s="1">
        <v>23.0</v>
      </c>
    </row>
    <row r="19047">
      <c r="A19047" s="1" t="s">
        <v>7</v>
      </c>
      <c r="B19047" s="2">
        <v>44792.0</v>
      </c>
      <c r="C19047" s="3">
        <v>0.3555671296296296</v>
      </c>
      <c r="D19047" s="1">
        <v>12.895278</v>
      </c>
      <c r="E19047" s="1">
        <v>80.087941</v>
      </c>
      <c r="F19047" s="1">
        <v>3143.0</v>
      </c>
      <c r="G19047" s="1">
        <v>48.0</v>
      </c>
    </row>
    <row r="19048">
      <c r="A19048" s="1" t="s">
        <v>7</v>
      </c>
      <c r="B19048" s="2">
        <v>44792.0</v>
      </c>
      <c r="C19048" s="3">
        <v>0.3559259259259259</v>
      </c>
      <c r="D19048" s="1">
        <v>12.89057</v>
      </c>
      <c r="E19048" s="1">
        <v>80.084819</v>
      </c>
      <c r="F19048" s="1">
        <v>3143.0</v>
      </c>
      <c r="G19048" s="1">
        <v>57.0</v>
      </c>
    </row>
    <row r="19049">
      <c r="A19049" s="1" t="s">
        <v>7</v>
      </c>
      <c r="B19049" s="2">
        <v>44792.0</v>
      </c>
      <c r="C19049" s="3">
        <v>0.40555555555555556</v>
      </c>
      <c r="D19049" s="1">
        <v>12.889135</v>
      </c>
      <c r="E19049" s="1">
        <v>80.084141</v>
      </c>
      <c r="F19049" s="1">
        <v>3143.0</v>
      </c>
      <c r="G19049" s="1">
        <v>52.0</v>
      </c>
    </row>
    <row r="19050">
      <c r="A19050" s="1" t="s">
        <v>7</v>
      </c>
      <c r="B19050" s="2">
        <v>44792.0</v>
      </c>
      <c r="C19050" s="3">
        <v>0.40572916666666664</v>
      </c>
      <c r="D19050" s="1">
        <v>12.890369</v>
      </c>
      <c r="E19050" s="1">
        <v>80.08468</v>
      </c>
      <c r="F19050" s="1">
        <v>3143.0</v>
      </c>
      <c r="G19050" s="1">
        <v>55.0</v>
      </c>
    </row>
    <row r="19051">
      <c r="A19051" s="1" t="s">
        <v>7</v>
      </c>
      <c r="B19051" s="2">
        <v>44792.0</v>
      </c>
      <c r="C19051" s="3">
        <v>0.4070486111111111</v>
      </c>
      <c r="D19051" s="1">
        <v>12.903499</v>
      </c>
      <c r="E19051" s="1">
        <v>80.093984</v>
      </c>
      <c r="F19051" s="1">
        <v>3143.0</v>
      </c>
      <c r="G19051" s="1">
        <v>57.0</v>
      </c>
    </row>
    <row r="19052">
      <c r="A19052" s="1" t="s">
        <v>7</v>
      </c>
      <c r="B19052" s="2">
        <v>44792.0</v>
      </c>
      <c r="C19052" s="3">
        <v>0.4071296296296296</v>
      </c>
      <c r="D19052" s="1">
        <v>12.904586</v>
      </c>
      <c r="E19052" s="1">
        <v>80.094783</v>
      </c>
      <c r="F19052" s="1">
        <v>3143.0</v>
      </c>
      <c r="G19052" s="1">
        <v>49.0</v>
      </c>
    </row>
    <row r="19053">
      <c r="A19053" s="1" t="s">
        <v>7</v>
      </c>
      <c r="B19053" s="2">
        <v>44792.0</v>
      </c>
      <c r="C19053" s="3">
        <v>0.40725694444444444</v>
      </c>
      <c r="D19053" s="1">
        <v>12.905655</v>
      </c>
      <c r="E19053" s="1">
        <v>80.09558</v>
      </c>
      <c r="F19053" s="1">
        <v>3143.0</v>
      </c>
      <c r="G19053" s="1">
        <v>56.0</v>
      </c>
    </row>
    <row r="19054">
      <c r="A19054" s="1" t="s">
        <v>8</v>
      </c>
      <c r="B19054" s="2">
        <v>44792.0</v>
      </c>
      <c r="C19054" s="3">
        <v>0.4087615740740741</v>
      </c>
      <c r="D19054" s="1">
        <v>12.915504</v>
      </c>
      <c r="E19054" s="1">
        <v>80.102744</v>
      </c>
      <c r="F19054" s="1">
        <v>3143.0</v>
      </c>
      <c r="G19054" s="1">
        <v>54.0</v>
      </c>
    </row>
    <row r="19055">
      <c r="A19055" s="1" t="s">
        <v>8</v>
      </c>
      <c r="B19055" s="2">
        <v>44792.0</v>
      </c>
      <c r="C19055" s="3">
        <v>0.40947916666666667</v>
      </c>
      <c r="D19055" s="1">
        <v>12.917858</v>
      </c>
      <c r="E19055" s="1">
        <v>80.108306</v>
      </c>
      <c r="F19055" s="1">
        <v>3143.0</v>
      </c>
      <c r="G19055" s="1">
        <v>42.0</v>
      </c>
    </row>
    <row r="19056">
      <c r="A19056" s="1" t="s">
        <v>7</v>
      </c>
      <c r="B19056" s="2">
        <v>44792.0</v>
      </c>
      <c r="C19056" s="3">
        <v>0.41024305555555557</v>
      </c>
      <c r="D19056" s="1">
        <v>12.923862</v>
      </c>
      <c r="E19056" s="1">
        <v>80.114949</v>
      </c>
      <c r="F19056" s="1">
        <v>3143.0</v>
      </c>
      <c r="G19056" s="1">
        <v>58.0</v>
      </c>
    </row>
    <row r="19057">
      <c r="A19057" s="1" t="s">
        <v>8</v>
      </c>
      <c r="B19057" s="2">
        <v>44792.0</v>
      </c>
      <c r="C19057" s="3">
        <v>0.41172453703703704</v>
      </c>
      <c r="D19057" s="1">
        <v>12.929369</v>
      </c>
      <c r="E19057" s="1">
        <v>80.120388</v>
      </c>
      <c r="F19057" s="1">
        <v>3143.0</v>
      </c>
      <c r="G19057" s="1">
        <v>37.0</v>
      </c>
    </row>
    <row r="19058">
      <c r="A19058" s="1" t="s">
        <v>8</v>
      </c>
      <c r="B19058" s="2">
        <v>44792.0</v>
      </c>
      <c r="C19058" s="3">
        <v>0.41186342592592595</v>
      </c>
      <c r="D19058" s="1">
        <v>12.929987</v>
      </c>
      <c r="E19058" s="1">
        <v>80.120977</v>
      </c>
      <c r="F19058" s="1">
        <v>3143.0</v>
      </c>
      <c r="G19058" s="1">
        <v>29.0</v>
      </c>
    </row>
    <row r="19059">
      <c r="A19059" s="1" t="s">
        <v>8</v>
      </c>
      <c r="B19059" s="2">
        <v>44792.0</v>
      </c>
      <c r="C19059" s="3">
        <v>0.4125347222222222</v>
      </c>
      <c r="D19059" s="1">
        <v>12.93416</v>
      </c>
      <c r="E19059" s="1">
        <v>80.125192</v>
      </c>
      <c r="F19059" s="1">
        <v>3143.0</v>
      </c>
      <c r="G19059" s="1">
        <v>45.0</v>
      </c>
    </row>
    <row r="19060">
      <c r="A19060" s="1" t="s">
        <v>7</v>
      </c>
      <c r="B19060" s="2">
        <v>44792.0</v>
      </c>
      <c r="C19060" s="3">
        <v>0.41782407407407407</v>
      </c>
      <c r="D19060" s="1">
        <v>12.940882</v>
      </c>
      <c r="E19060" s="1">
        <v>80.131316</v>
      </c>
      <c r="F19060" s="1">
        <v>3143.0</v>
      </c>
      <c r="G19060" s="1">
        <v>59.0</v>
      </c>
    </row>
    <row r="19061">
      <c r="A19061" s="1" t="s">
        <v>8</v>
      </c>
      <c r="B19061" s="2">
        <v>44792.0</v>
      </c>
      <c r="C19061" s="3">
        <v>0.4186111111111111</v>
      </c>
      <c r="D19061" s="1">
        <v>12.94341</v>
      </c>
      <c r="E19061" s="1">
        <v>80.133917</v>
      </c>
      <c r="F19061" s="1">
        <v>3143.0</v>
      </c>
      <c r="G19061" s="1">
        <v>34.0</v>
      </c>
    </row>
    <row r="19062">
      <c r="A19062" s="1" t="s">
        <v>8</v>
      </c>
      <c r="B19062" s="2">
        <v>44792.0</v>
      </c>
      <c r="C19062" s="3">
        <v>0.4218402777777778</v>
      </c>
      <c r="D19062" s="1">
        <v>12.933029</v>
      </c>
      <c r="E19062" s="1">
        <v>80.124303</v>
      </c>
      <c r="F19062" s="1">
        <v>3143.0</v>
      </c>
      <c r="G19062" s="1">
        <v>38.0</v>
      </c>
    </row>
    <row r="19063">
      <c r="A19063" s="1" t="s">
        <v>8</v>
      </c>
      <c r="B19063" s="2">
        <v>44792.0</v>
      </c>
      <c r="C19063" s="3">
        <v>0.421875</v>
      </c>
      <c r="D19063" s="1">
        <v>12.932367</v>
      </c>
      <c r="E19063" s="1">
        <v>80.123647</v>
      </c>
      <c r="F19063" s="1">
        <v>3143.0</v>
      </c>
      <c r="G19063" s="1">
        <v>31.0</v>
      </c>
    </row>
    <row r="19064">
      <c r="A19064" s="1" t="s">
        <v>7</v>
      </c>
      <c r="B19064" s="2">
        <v>44792.0</v>
      </c>
      <c r="C19064" s="3">
        <v>0.42369212962962965</v>
      </c>
      <c r="D19064" s="1">
        <v>12.925202</v>
      </c>
      <c r="E19064" s="1">
        <v>80.116395</v>
      </c>
      <c r="F19064" s="1">
        <v>3143.0</v>
      </c>
      <c r="G19064" s="1">
        <v>46.0</v>
      </c>
    </row>
    <row r="19065">
      <c r="A19065" s="1" t="s">
        <v>8</v>
      </c>
      <c r="B19065" s="2">
        <v>44792.0</v>
      </c>
      <c r="C19065" s="3">
        <v>0.4262384259259259</v>
      </c>
      <c r="D19065" s="1">
        <v>12.908879</v>
      </c>
      <c r="E19065" s="1">
        <v>80.098572</v>
      </c>
      <c r="F19065" s="1">
        <v>3143.0</v>
      </c>
      <c r="G19065" s="1">
        <v>23.0</v>
      </c>
    </row>
    <row r="19066">
      <c r="A19066" s="1" t="s">
        <v>8</v>
      </c>
      <c r="B19066" s="2">
        <v>44792.0</v>
      </c>
      <c r="C19066" s="3">
        <v>0.42929398148148146</v>
      </c>
      <c r="D19066" s="1">
        <v>12.894649</v>
      </c>
      <c r="E19066" s="1">
        <v>80.087521</v>
      </c>
      <c r="F19066" s="1">
        <v>3143.0</v>
      </c>
      <c r="G19066" s="1">
        <v>41.0</v>
      </c>
    </row>
    <row r="19067">
      <c r="A19067" s="1" t="s">
        <v>7</v>
      </c>
      <c r="B19067" s="2">
        <v>44792.0</v>
      </c>
      <c r="C19067" s="3">
        <v>0.42971064814814813</v>
      </c>
      <c r="D19067" s="1">
        <v>12.891756</v>
      </c>
      <c r="E19067" s="1">
        <v>80.085439</v>
      </c>
      <c r="F19067" s="1">
        <v>3143.0</v>
      </c>
      <c r="G19067" s="1">
        <v>53.0</v>
      </c>
    </row>
    <row r="19068">
      <c r="A19068" s="1" t="s">
        <v>8</v>
      </c>
      <c r="B19068" s="2">
        <v>44792.0</v>
      </c>
      <c r="C19068" s="3">
        <v>0.4308680555555556</v>
      </c>
      <c r="D19068" s="1">
        <v>12.880597</v>
      </c>
      <c r="E19068" s="1">
        <v>80.080904</v>
      </c>
      <c r="F19068" s="1">
        <v>3143.0</v>
      </c>
      <c r="G19068" s="1">
        <v>30.0</v>
      </c>
    </row>
    <row r="19069">
      <c r="A19069" s="1" t="s">
        <v>10</v>
      </c>
      <c r="B19069" s="2">
        <v>44792.0</v>
      </c>
      <c r="C19069" s="3">
        <v>0.625636574074074</v>
      </c>
      <c r="D19069" s="1">
        <v>12.875039</v>
      </c>
      <c r="E19069" s="1">
        <v>80.08464</v>
      </c>
      <c r="F19069" s="1">
        <v>2846.0</v>
      </c>
      <c r="G19069" s="1">
        <v>17.0</v>
      </c>
    </row>
    <row r="19070">
      <c r="A19070" s="1" t="s">
        <v>9</v>
      </c>
      <c r="B19070" s="2">
        <v>44792.0</v>
      </c>
      <c r="C19070" s="3">
        <v>0.6885416666666667</v>
      </c>
      <c r="D19070" s="1">
        <v>12.876529</v>
      </c>
      <c r="E19070" s="1">
        <v>80.084276</v>
      </c>
      <c r="F19070" s="1">
        <v>2846.0</v>
      </c>
      <c r="G19070" s="1">
        <v>33.0</v>
      </c>
    </row>
    <row r="19071">
      <c r="A19071" s="1" t="s">
        <v>10</v>
      </c>
      <c r="B19071" s="2">
        <v>44792.0</v>
      </c>
      <c r="C19071" s="3">
        <v>0.6908680555555555</v>
      </c>
      <c r="D19071" s="1">
        <v>12.878879</v>
      </c>
      <c r="E19071" s="1">
        <v>80.080722</v>
      </c>
      <c r="F19071" s="1">
        <v>2846.0</v>
      </c>
      <c r="G19071" s="1">
        <v>0.0</v>
      </c>
    </row>
    <row r="19072">
      <c r="A19072" s="1" t="s">
        <v>7</v>
      </c>
      <c r="B19072" s="2">
        <v>44792.0</v>
      </c>
      <c r="C19072" s="3">
        <v>0.6914814814814815</v>
      </c>
      <c r="D19072" s="1">
        <v>12.877111</v>
      </c>
      <c r="E19072" s="1">
        <v>80.079529</v>
      </c>
      <c r="F19072" s="1">
        <v>2846.0</v>
      </c>
      <c r="G19072" s="1">
        <v>49.0</v>
      </c>
    </row>
    <row r="19073">
      <c r="A19073" s="1" t="s">
        <v>8</v>
      </c>
      <c r="B19073" s="2">
        <v>44792.0</v>
      </c>
      <c r="C19073" s="3">
        <v>0.6915162037037037</v>
      </c>
      <c r="D19073" s="1">
        <v>12.877111</v>
      </c>
      <c r="E19073" s="1">
        <v>80.079529</v>
      </c>
      <c r="F19073" s="1">
        <v>2846.0</v>
      </c>
      <c r="G19073" s="1">
        <v>49.0</v>
      </c>
    </row>
    <row r="19074">
      <c r="A19074" s="1" t="s">
        <v>8</v>
      </c>
      <c r="B19074" s="2">
        <v>44792.0</v>
      </c>
      <c r="C19074" s="3">
        <v>0.692025462962963</v>
      </c>
      <c r="D19074" s="1">
        <v>12.881273</v>
      </c>
      <c r="E19074" s="1">
        <v>80.080671</v>
      </c>
      <c r="F19074" s="1">
        <v>3143.0</v>
      </c>
      <c r="G19074" s="1">
        <v>10.0</v>
      </c>
    </row>
    <row r="19075">
      <c r="A19075" s="1" t="s">
        <v>8</v>
      </c>
      <c r="B19075" s="2">
        <v>44792.0</v>
      </c>
      <c r="C19075" s="3">
        <v>0.6921990740740741</v>
      </c>
      <c r="D19075" s="1">
        <v>12.882554</v>
      </c>
      <c r="E19075" s="1">
        <v>80.081146</v>
      </c>
      <c r="F19075" s="1">
        <v>3143.0</v>
      </c>
      <c r="G19075" s="1">
        <v>42.0</v>
      </c>
    </row>
    <row r="19076">
      <c r="A19076" s="1" t="s">
        <v>7</v>
      </c>
      <c r="B19076" s="2">
        <v>44792.0</v>
      </c>
      <c r="C19076" s="3">
        <v>0.6924652777777778</v>
      </c>
      <c r="D19076" s="1">
        <v>12.863905</v>
      </c>
      <c r="E19076" s="1">
        <v>80.074342</v>
      </c>
      <c r="F19076" s="1">
        <v>2846.0</v>
      </c>
      <c r="G19076" s="1">
        <v>51.0</v>
      </c>
    </row>
    <row r="19077">
      <c r="A19077" s="1" t="s">
        <v>8</v>
      </c>
      <c r="B19077" s="2">
        <v>44792.0</v>
      </c>
      <c r="C19077" s="3">
        <v>0.6925578703703704</v>
      </c>
      <c r="D19077" s="1">
        <v>12.863905</v>
      </c>
      <c r="E19077" s="1">
        <v>80.074342</v>
      </c>
      <c r="F19077" s="1">
        <v>2846.0</v>
      </c>
      <c r="G19077" s="1">
        <v>51.0</v>
      </c>
    </row>
    <row r="19078">
      <c r="A19078" s="1" t="s">
        <v>7</v>
      </c>
      <c r="B19078" s="2">
        <v>44792.0</v>
      </c>
      <c r="C19078" s="3">
        <v>0.6926851851851852</v>
      </c>
      <c r="D19078" s="1">
        <v>12.88529</v>
      </c>
      <c r="E19078" s="1">
        <v>80.08243</v>
      </c>
      <c r="F19078" s="1">
        <v>3143.0</v>
      </c>
      <c r="G19078" s="1">
        <v>41.0</v>
      </c>
    </row>
    <row r="19079">
      <c r="A19079" s="1" t="s">
        <v>8</v>
      </c>
      <c r="B19079" s="2">
        <v>44792.0</v>
      </c>
      <c r="C19079" s="3">
        <v>0.6926851851851852</v>
      </c>
      <c r="D19079" s="1">
        <v>12.88529</v>
      </c>
      <c r="E19079" s="1">
        <v>80.08243</v>
      </c>
      <c r="F19079" s="1">
        <v>3143.0</v>
      </c>
      <c r="G19079" s="1">
        <v>41.0</v>
      </c>
    </row>
    <row r="19080">
      <c r="A19080" s="1" t="s">
        <v>7</v>
      </c>
      <c r="B19080" s="2">
        <v>44792.0</v>
      </c>
      <c r="C19080" s="3">
        <v>0.6929166666666666</v>
      </c>
      <c r="D19080" s="1">
        <v>12.892878</v>
      </c>
      <c r="E19080" s="1">
        <v>80.08598</v>
      </c>
      <c r="F19080" s="1">
        <v>5339.0</v>
      </c>
      <c r="G19080" s="1">
        <v>59.0</v>
      </c>
    </row>
    <row r="19081">
      <c r="A19081" s="1" t="s">
        <v>8</v>
      </c>
      <c r="B19081" s="2">
        <v>44792.0</v>
      </c>
      <c r="C19081" s="3">
        <v>0.692962962962963</v>
      </c>
      <c r="D19081" s="1">
        <v>12.894047</v>
      </c>
      <c r="E19081" s="1">
        <v>80.086884</v>
      </c>
      <c r="F19081" s="1">
        <v>5339.0</v>
      </c>
      <c r="G19081" s="1">
        <v>58.0</v>
      </c>
    </row>
    <row r="19082">
      <c r="A19082" s="1" t="s">
        <v>8</v>
      </c>
      <c r="B19082" s="2">
        <v>44792.0</v>
      </c>
      <c r="C19082" s="3">
        <v>0.6930671296296296</v>
      </c>
      <c r="D19082" s="1">
        <v>12.895193</v>
      </c>
      <c r="E19082" s="1">
        <v>80.087759</v>
      </c>
      <c r="F19082" s="1">
        <v>5339.0</v>
      </c>
      <c r="G19082" s="1">
        <v>54.0</v>
      </c>
    </row>
    <row r="19083">
      <c r="A19083" s="1" t="s">
        <v>8</v>
      </c>
      <c r="B19083" s="2">
        <v>44792.0</v>
      </c>
      <c r="C19083" s="3">
        <v>0.6930671296296296</v>
      </c>
      <c r="D19083" s="1">
        <v>12.888563</v>
      </c>
      <c r="E19083" s="1">
        <v>80.083911</v>
      </c>
      <c r="F19083" s="1">
        <v>3143.0</v>
      </c>
      <c r="G19083" s="1">
        <v>45.0</v>
      </c>
    </row>
    <row r="19084">
      <c r="A19084" s="1" t="s">
        <v>9</v>
      </c>
      <c r="B19084" s="2">
        <v>44792.0</v>
      </c>
      <c r="C19084" s="3">
        <v>0.6932523148148149</v>
      </c>
      <c r="D19084" s="1">
        <v>12.890811</v>
      </c>
      <c r="E19084" s="1">
        <v>80.084839</v>
      </c>
      <c r="F19084" s="1">
        <v>3143.0</v>
      </c>
      <c r="G19084" s="1">
        <v>51.0</v>
      </c>
    </row>
    <row r="19085">
      <c r="A19085" s="1" t="s">
        <v>8</v>
      </c>
      <c r="B19085" s="2">
        <v>44792.0</v>
      </c>
      <c r="C19085" s="3">
        <v>0.6932870370370371</v>
      </c>
      <c r="D19085" s="1">
        <v>12.897236</v>
      </c>
      <c r="E19085" s="1">
        <v>80.089272</v>
      </c>
      <c r="F19085" s="1">
        <v>5339.0</v>
      </c>
      <c r="G19085" s="1">
        <v>54.0</v>
      </c>
    </row>
    <row r="19086">
      <c r="A19086" s="1" t="s">
        <v>7</v>
      </c>
      <c r="B19086" s="2">
        <v>44792.0</v>
      </c>
      <c r="C19086" s="3">
        <v>0.6933564814814814</v>
      </c>
      <c r="D19086" s="1">
        <v>12.898392</v>
      </c>
      <c r="E19086" s="1">
        <v>80.090154</v>
      </c>
      <c r="F19086" s="1">
        <v>5339.0</v>
      </c>
      <c r="G19086" s="1">
        <v>57.0</v>
      </c>
    </row>
    <row r="19087">
      <c r="A19087" s="1" t="s">
        <v>7</v>
      </c>
      <c r="B19087" s="2">
        <v>44792.0</v>
      </c>
      <c r="C19087" s="3">
        <v>0.6938194444444444</v>
      </c>
      <c r="D19087" s="1">
        <v>12.902938</v>
      </c>
      <c r="E19087" s="1">
        <v>80.093667</v>
      </c>
      <c r="F19087" s="1">
        <v>5339.0</v>
      </c>
      <c r="G19087" s="1">
        <v>53.0</v>
      </c>
    </row>
    <row r="19088">
      <c r="A19088" s="1" t="s">
        <v>8</v>
      </c>
      <c r="B19088" s="2">
        <v>44792.0</v>
      </c>
      <c r="C19088" s="3">
        <v>0.6938773148148148</v>
      </c>
      <c r="D19088" s="1">
        <v>12.856401</v>
      </c>
      <c r="E19088" s="1">
        <v>80.069633</v>
      </c>
      <c r="F19088" s="1">
        <v>2846.0</v>
      </c>
      <c r="G19088" s="1">
        <v>48.0</v>
      </c>
    </row>
    <row r="19089">
      <c r="A19089" s="1" t="s">
        <v>7</v>
      </c>
      <c r="B19089" s="2">
        <v>44792.0</v>
      </c>
      <c r="C19089" s="3">
        <v>0.6940509259259259</v>
      </c>
      <c r="D19089" s="1">
        <v>12.855411</v>
      </c>
      <c r="E19089" s="1">
        <v>80.068881</v>
      </c>
      <c r="F19089" s="1">
        <v>2846.0</v>
      </c>
      <c r="G19089" s="1">
        <v>49.0</v>
      </c>
    </row>
    <row r="19090">
      <c r="A19090" s="1" t="s">
        <v>8</v>
      </c>
      <c r="B19090" s="2">
        <v>44792.0</v>
      </c>
      <c r="C19090" s="3">
        <v>0.6947916666666667</v>
      </c>
      <c r="D19090" s="1">
        <v>12.909143</v>
      </c>
      <c r="E19090" s="1">
        <v>80.098646</v>
      </c>
      <c r="F19090" s="1">
        <v>5339.0</v>
      </c>
      <c r="G19090" s="1">
        <v>22.0</v>
      </c>
    </row>
    <row r="19091">
      <c r="A19091" s="1" t="s">
        <v>8</v>
      </c>
      <c r="B19091" s="2">
        <v>44792.0</v>
      </c>
      <c r="C19091" s="3">
        <v>0.6948032407407407</v>
      </c>
      <c r="D19091" s="1">
        <v>12.909143</v>
      </c>
      <c r="E19091" s="1">
        <v>80.098646</v>
      </c>
      <c r="F19091" s="1">
        <v>5339.0</v>
      </c>
      <c r="G19091" s="1">
        <v>22.0</v>
      </c>
    </row>
    <row r="19092">
      <c r="A19092" s="1" t="s">
        <v>8</v>
      </c>
      <c r="B19092" s="2">
        <v>44792.0</v>
      </c>
      <c r="C19092" s="3">
        <v>0.694837962962963</v>
      </c>
      <c r="D19092" s="1">
        <v>12.909143</v>
      </c>
      <c r="E19092" s="1">
        <v>80.098646</v>
      </c>
      <c r="F19092" s="1">
        <v>5339.0</v>
      </c>
      <c r="G19092" s="1">
        <v>22.0</v>
      </c>
    </row>
    <row r="19093">
      <c r="A19093" s="1" t="s">
        <v>8</v>
      </c>
      <c r="B19093" s="2">
        <v>44792.0</v>
      </c>
      <c r="C19093" s="3">
        <v>0.6955208333333334</v>
      </c>
      <c r="D19093" s="1">
        <v>12.912482</v>
      </c>
      <c r="E19093" s="1">
        <v>80.101427</v>
      </c>
      <c r="F19093" s="1">
        <v>5339.0</v>
      </c>
      <c r="G19093" s="1">
        <v>40.0</v>
      </c>
    </row>
    <row r="19094">
      <c r="A19094" s="1" t="s">
        <v>8</v>
      </c>
      <c r="B19094" s="2">
        <v>44792.0</v>
      </c>
      <c r="C19094" s="3">
        <v>0.695625</v>
      </c>
      <c r="D19094" s="1">
        <v>12.9137</v>
      </c>
      <c r="E19094" s="1">
        <v>80.101556</v>
      </c>
      <c r="F19094" s="1">
        <v>5339.0</v>
      </c>
      <c r="G19094" s="1">
        <v>53.0</v>
      </c>
    </row>
    <row r="19095">
      <c r="A19095" s="1" t="s">
        <v>7</v>
      </c>
      <c r="B19095" s="2">
        <v>44792.0</v>
      </c>
      <c r="C19095" s="3">
        <v>0.6958564814814815</v>
      </c>
      <c r="D19095" s="1">
        <v>12.915667</v>
      </c>
      <c r="E19095" s="1">
        <v>80.10331</v>
      </c>
      <c r="F19095" s="1">
        <v>5339.0</v>
      </c>
      <c r="G19095" s="1">
        <v>57.0</v>
      </c>
    </row>
    <row r="19096">
      <c r="A19096" s="1" t="s">
        <v>7</v>
      </c>
      <c r="B19096" s="2">
        <v>44792.0</v>
      </c>
      <c r="C19096" s="3">
        <v>0.6968981481481481</v>
      </c>
      <c r="D19096" s="1">
        <v>12.920288</v>
      </c>
      <c r="E19096" s="1">
        <v>80.111299</v>
      </c>
      <c r="F19096" s="1">
        <v>5339.0</v>
      </c>
      <c r="G19096" s="1">
        <v>53.0</v>
      </c>
    </row>
    <row r="19097">
      <c r="A19097" s="1" t="s">
        <v>9</v>
      </c>
      <c r="B19097" s="2">
        <v>44792.0</v>
      </c>
      <c r="C19097" s="3">
        <v>0.6969444444444445</v>
      </c>
      <c r="D19097" s="1">
        <v>12.919534</v>
      </c>
      <c r="E19097" s="1">
        <v>80.110417</v>
      </c>
      <c r="F19097" s="1">
        <v>3143.0</v>
      </c>
      <c r="G19097" s="1">
        <v>42.0</v>
      </c>
    </row>
    <row r="19098">
      <c r="A19098" s="1" t="s">
        <v>8</v>
      </c>
      <c r="B19098" s="2">
        <v>44792.0</v>
      </c>
      <c r="C19098" s="3">
        <v>0.6970833333333334</v>
      </c>
      <c r="D19098" s="1">
        <v>12.920214</v>
      </c>
      <c r="E19098" s="1">
        <v>80.11114</v>
      </c>
      <c r="F19098" s="1">
        <v>3143.0</v>
      </c>
      <c r="G19098" s="1">
        <v>36.0</v>
      </c>
    </row>
    <row r="19099">
      <c r="A19099" s="1" t="s">
        <v>8</v>
      </c>
      <c r="B19099" s="2">
        <v>44792.0</v>
      </c>
      <c r="C19099" s="3">
        <v>0.6970949074074074</v>
      </c>
      <c r="D19099" s="1">
        <v>12.920214</v>
      </c>
      <c r="E19099" s="1">
        <v>80.11114</v>
      </c>
      <c r="F19099" s="1">
        <v>3143.0</v>
      </c>
      <c r="G19099" s="1">
        <v>36.0</v>
      </c>
    </row>
    <row r="19100">
      <c r="A19100" s="1" t="s">
        <v>8</v>
      </c>
      <c r="B19100" s="2">
        <v>44792.0</v>
      </c>
      <c r="C19100" s="3">
        <v>0.6971064814814815</v>
      </c>
      <c r="D19100" s="1">
        <v>12.920214</v>
      </c>
      <c r="E19100" s="1">
        <v>80.11114</v>
      </c>
      <c r="F19100" s="1">
        <v>3143.0</v>
      </c>
      <c r="G19100" s="1">
        <v>36.0</v>
      </c>
    </row>
    <row r="19101">
      <c r="A19101" s="1" t="s">
        <v>8</v>
      </c>
      <c r="B19101" s="2">
        <v>44792.0</v>
      </c>
      <c r="C19101" s="3">
        <v>0.6971180555555555</v>
      </c>
      <c r="D19101" s="1">
        <v>12.920214</v>
      </c>
      <c r="E19101" s="1">
        <v>80.11114</v>
      </c>
      <c r="F19101" s="1">
        <v>3143.0</v>
      </c>
      <c r="G19101" s="1">
        <v>36.0</v>
      </c>
    </row>
    <row r="19102">
      <c r="A19102" s="1" t="s">
        <v>8</v>
      </c>
      <c r="B19102" s="2">
        <v>44792.0</v>
      </c>
      <c r="C19102" s="3">
        <v>0.6971180555555555</v>
      </c>
      <c r="D19102" s="1">
        <v>12.920214</v>
      </c>
      <c r="E19102" s="1">
        <v>80.11114</v>
      </c>
      <c r="F19102" s="1">
        <v>3143.0</v>
      </c>
      <c r="G19102" s="1">
        <v>36.0</v>
      </c>
    </row>
    <row r="19103">
      <c r="A19103" s="1" t="s">
        <v>8</v>
      </c>
      <c r="B19103" s="2">
        <v>44792.0</v>
      </c>
      <c r="C19103" s="3">
        <v>0.6971180555555555</v>
      </c>
      <c r="D19103" s="1">
        <v>12.920214</v>
      </c>
      <c r="E19103" s="1">
        <v>80.11114</v>
      </c>
      <c r="F19103" s="1">
        <v>3143.0</v>
      </c>
      <c r="G19103" s="1">
        <v>36.0</v>
      </c>
    </row>
    <row r="19104">
      <c r="A19104" s="1" t="s">
        <v>8</v>
      </c>
      <c r="B19104" s="2">
        <v>44792.0</v>
      </c>
      <c r="C19104" s="3">
        <v>0.6971990740740741</v>
      </c>
      <c r="D19104" s="1">
        <v>12.923273</v>
      </c>
      <c r="E19104" s="1">
        <v>80.114334</v>
      </c>
      <c r="F19104" s="1">
        <v>5339.0</v>
      </c>
      <c r="G19104" s="1">
        <v>40.0</v>
      </c>
    </row>
    <row r="19105">
      <c r="A19105" s="1" t="s">
        <v>8</v>
      </c>
      <c r="B19105" s="2">
        <v>44792.0</v>
      </c>
      <c r="C19105" s="3">
        <v>0.697488425925926</v>
      </c>
      <c r="D19105" s="1">
        <v>12.924768</v>
      </c>
      <c r="E19105" s="1">
        <v>80.115858</v>
      </c>
      <c r="F19105" s="1">
        <v>5339.0</v>
      </c>
      <c r="G19105" s="1">
        <v>50.0</v>
      </c>
    </row>
    <row r="19106">
      <c r="A19106" s="1" t="s">
        <v>9</v>
      </c>
      <c r="B19106" s="2">
        <v>44792.0</v>
      </c>
      <c r="C19106" s="3">
        <v>0.6975578703703704</v>
      </c>
      <c r="D19106" s="1">
        <v>12.922885</v>
      </c>
      <c r="E19106" s="1">
        <v>80.113788</v>
      </c>
      <c r="F19106" s="1">
        <v>3143.0</v>
      </c>
      <c r="G19106" s="1">
        <v>37.0</v>
      </c>
    </row>
    <row r="19107">
      <c r="A19107" s="1" t="s">
        <v>8</v>
      </c>
      <c r="B19107" s="2">
        <v>44792.0</v>
      </c>
      <c r="C19107" s="3">
        <v>0.6977546296296296</v>
      </c>
      <c r="D19107" s="1">
        <v>12.840681</v>
      </c>
      <c r="E19107" s="1">
        <v>80.056479</v>
      </c>
      <c r="F19107" s="1">
        <v>2846.0</v>
      </c>
      <c r="G19107" s="1">
        <v>22.0</v>
      </c>
    </row>
    <row r="19108">
      <c r="A19108" s="1" t="s">
        <v>8</v>
      </c>
      <c r="B19108" s="2">
        <v>44792.0</v>
      </c>
      <c r="C19108" s="3">
        <v>0.697962962962963</v>
      </c>
      <c r="D19108" s="1">
        <v>12.838898</v>
      </c>
      <c r="E19108" s="1">
        <v>80.054585</v>
      </c>
      <c r="F19108" s="1">
        <v>2846.0</v>
      </c>
      <c r="G19108" s="1">
        <v>48.0</v>
      </c>
    </row>
    <row r="19109">
      <c r="A19109" s="1" t="s">
        <v>8</v>
      </c>
      <c r="B19109" s="2">
        <v>44792.0</v>
      </c>
      <c r="C19109" s="3">
        <v>0.6987152777777778</v>
      </c>
      <c r="D19109" s="1">
        <v>12.928019</v>
      </c>
      <c r="E19109" s="1">
        <v>80.11907</v>
      </c>
      <c r="F19109" s="1">
        <v>5339.0</v>
      </c>
      <c r="G19109" s="1">
        <v>24.0</v>
      </c>
    </row>
    <row r="19110">
      <c r="A19110" s="1" t="s">
        <v>8</v>
      </c>
      <c r="B19110" s="2">
        <v>44792.0</v>
      </c>
      <c r="C19110" s="3">
        <v>0.6987384259259259</v>
      </c>
      <c r="D19110" s="1">
        <v>12.928019</v>
      </c>
      <c r="E19110" s="1">
        <v>80.11907</v>
      </c>
      <c r="F19110" s="1">
        <v>5339.0</v>
      </c>
      <c r="G19110" s="1">
        <v>24.0</v>
      </c>
    </row>
    <row r="19111">
      <c r="A19111" s="1" t="s">
        <v>7</v>
      </c>
      <c r="B19111" s="2">
        <v>44792.0</v>
      </c>
      <c r="C19111" s="3">
        <v>0.6988425925925926</v>
      </c>
      <c r="D19111" s="1">
        <v>12.832234</v>
      </c>
      <c r="E19111" s="1">
        <v>80.047658</v>
      </c>
      <c r="F19111" s="1">
        <v>2846.0</v>
      </c>
      <c r="G19111" s="1">
        <v>57.0</v>
      </c>
    </row>
    <row r="19112">
      <c r="A19112" s="1" t="s">
        <v>8</v>
      </c>
      <c r="B19112" s="2">
        <v>44792.0</v>
      </c>
      <c r="C19112" s="3">
        <v>0.6989930555555556</v>
      </c>
      <c r="D19112" s="1">
        <v>12.929268</v>
      </c>
      <c r="E19112" s="1">
        <v>80.120368</v>
      </c>
      <c r="F19112" s="1">
        <v>5339.0</v>
      </c>
      <c r="G19112" s="1">
        <v>41.0</v>
      </c>
    </row>
    <row r="19113">
      <c r="A19113" s="1" t="s">
        <v>8</v>
      </c>
      <c r="B19113" s="2">
        <v>44792.0</v>
      </c>
      <c r="C19113" s="3">
        <v>0.6991666666666667</v>
      </c>
      <c r="D19113" s="1">
        <v>12.930534</v>
      </c>
      <c r="E19113" s="1">
        <v>80.121647</v>
      </c>
      <c r="F19113" s="1">
        <v>5339.0</v>
      </c>
      <c r="G19113" s="1">
        <v>32.0</v>
      </c>
    </row>
    <row r="19114">
      <c r="A19114" s="1" t="s">
        <v>8</v>
      </c>
      <c r="B19114" s="2">
        <v>44792.0</v>
      </c>
      <c r="C19114" s="3">
        <v>0.6995717592592593</v>
      </c>
      <c r="D19114" s="1">
        <v>12.932243</v>
      </c>
      <c r="E19114" s="1">
        <v>80.123351</v>
      </c>
      <c r="F19114" s="1">
        <v>5339.0</v>
      </c>
      <c r="G19114" s="1">
        <v>33.0</v>
      </c>
    </row>
    <row r="19115">
      <c r="A19115" s="1" t="s">
        <v>8</v>
      </c>
      <c r="B19115" s="2">
        <v>44792.0</v>
      </c>
      <c r="C19115" s="3">
        <v>0.6998611111111112</v>
      </c>
      <c r="D19115" s="1">
        <v>12.934216</v>
      </c>
      <c r="E19115" s="1">
        <v>80.125342</v>
      </c>
      <c r="F19115" s="1">
        <v>5339.0</v>
      </c>
      <c r="G19115" s="1">
        <v>32.0</v>
      </c>
    </row>
    <row r="19116">
      <c r="A19116" s="1" t="s">
        <v>8</v>
      </c>
      <c r="B19116" s="2">
        <v>44792.0</v>
      </c>
      <c r="C19116" s="3">
        <v>0.6998726851851852</v>
      </c>
      <c r="D19116" s="1">
        <v>12.934216</v>
      </c>
      <c r="E19116" s="1">
        <v>80.125342</v>
      </c>
      <c r="F19116" s="1">
        <v>5339.0</v>
      </c>
      <c r="G19116" s="1">
        <v>32.0</v>
      </c>
    </row>
    <row r="19117">
      <c r="A19117" s="1" t="s">
        <v>7</v>
      </c>
      <c r="B19117" s="2">
        <v>44792.0</v>
      </c>
      <c r="C19117" s="3">
        <v>0.6999421296296297</v>
      </c>
      <c r="D19117" s="1">
        <v>12.823792</v>
      </c>
      <c r="E19117" s="1">
        <v>80.039568</v>
      </c>
      <c r="F19117" s="1">
        <v>2846.0</v>
      </c>
      <c r="G19117" s="1">
        <v>58.0</v>
      </c>
    </row>
    <row r="19118">
      <c r="A19118" s="1" t="s">
        <v>8</v>
      </c>
      <c r="B19118" s="2">
        <v>44792.0</v>
      </c>
      <c r="C19118" s="3">
        <v>0.7008333333333333</v>
      </c>
      <c r="D19118" s="1">
        <v>12.936326</v>
      </c>
      <c r="E19118" s="1">
        <v>80.127223</v>
      </c>
      <c r="F19118" s="1">
        <v>5339.0</v>
      </c>
      <c r="G19118" s="1">
        <v>17.0</v>
      </c>
    </row>
    <row r="19119">
      <c r="A19119" s="1" t="s">
        <v>8</v>
      </c>
      <c r="B19119" s="2">
        <v>44792.0</v>
      </c>
      <c r="C19119" s="3">
        <v>0.7008564814814815</v>
      </c>
      <c r="D19119" s="1">
        <v>12.936326</v>
      </c>
      <c r="E19119" s="1">
        <v>80.127223</v>
      </c>
      <c r="F19119" s="1">
        <v>5339.0</v>
      </c>
      <c r="G19119" s="1">
        <v>17.0</v>
      </c>
    </row>
    <row r="19120">
      <c r="A19120" s="1" t="s">
        <v>8</v>
      </c>
      <c r="B19120" s="2">
        <v>44792.0</v>
      </c>
      <c r="C19120" s="3">
        <v>0.7009027777777778</v>
      </c>
      <c r="D19120" s="1">
        <v>12.936809</v>
      </c>
      <c r="E19120" s="1">
        <v>80.127637</v>
      </c>
      <c r="F19120" s="1">
        <v>5339.0</v>
      </c>
      <c r="G19120" s="1">
        <v>35.0</v>
      </c>
    </row>
    <row r="19121">
      <c r="A19121" s="1" t="s">
        <v>8</v>
      </c>
      <c r="B19121" s="2">
        <v>44792.0</v>
      </c>
      <c r="C19121" s="3">
        <v>0.7010763888888889</v>
      </c>
      <c r="D19121" s="1">
        <v>12.937518</v>
      </c>
      <c r="E19121" s="1">
        <v>80.128254</v>
      </c>
      <c r="F19121" s="1">
        <v>5339.0</v>
      </c>
      <c r="G19121" s="1">
        <v>38.0</v>
      </c>
    </row>
    <row r="19122">
      <c r="A19122" s="1" t="s">
        <v>8</v>
      </c>
      <c r="B19122" s="2">
        <v>44792.0</v>
      </c>
      <c r="C19122" s="3">
        <v>0.7012152777777778</v>
      </c>
      <c r="D19122" s="1">
        <v>12.922803</v>
      </c>
      <c r="E19122" s="1">
        <v>80.130582</v>
      </c>
      <c r="F19122" s="1">
        <v>3143.0</v>
      </c>
      <c r="G19122" s="1">
        <v>38.0</v>
      </c>
    </row>
    <row r="19123">
      <c r="A19123" s="1" t="s">
        <v>8</v>
      </c>
      <c r="B19123" s="2">
        <v>44792.0</v>
      </c>
      <c r="C19123" s="3">
        <v>0.701400462962963</v>
      </c>
      <c r="D19123" s="1">
        <v>12.940283</v>
      </c>
      <c r="E19123" s="1">
        <v>80.130758</v>
      </c>
      <c r="F19123" s="1">
        <v>5339.0</v>
      </c>
      <c r="G19123" s="1">
        <v>53.0</v>
      </c>
    </row>
    <row r="19124">
      <c r="A19124" s="1" t="s">
        <v>8</v>
      </c>
      <c r="B19124" s="2">
        <v>44792.0</v>
      </c>
      <c r="C19124" s="3">
        <v>0.7014351851851852</v>
      </c>
      <c r="D19124" s="1">
        <v>12.940283</v>
      </c>
      <c r="E19124" s="1">
        <v>80.130758</v>
      </c>
      <c r="F19124" s="1">
        <v>5339.0</v>
      </c>
      <c r="G19124" s="1">
        <v>53.0</v>
      </c>
    </row>
    <row r="19125">
      <c r="A19125" s="1" t="s">
        <v>8</v>
      </c>
      <c r="B19125" s="2">
        <v>44792.0</v>
      </c>
      <c r="C19125" s="3">
        <v>0.7014699074074074</v>
      </c>
      <c r="D19125" s="1">
        <v>12.941206</v>
      </c>
      <c r="E19125" s="1">
        <v>80.131703</v>
      </c>
      <c r="F19125" s="1">
        <v>5339.0</v>
      </c>
      <c r="G19125" s="1">
        <v>49.0</v>
      </c>
    </row>
    <row r="19126">
      <c r="A19126" s="1" t="s">
        <v>8</v>
      </c>
      <c r="B19126" s="2">
        <v>44792.0</v>
      </c>
      <c r="C19126" s="3">
        <v>0.7014814814814815</v>
      </c>
      <c r="D19126" s="1">
        <v>12.941206</v>
      </c>
      <c r="E19126" s="1">
        <v>80.131703</v>
      </c>
      <c r="F19126" s="1">
        <v>5339.0</v>
      </c>
      <c r="G19126" s="1">
        <v>49.0</v>
      </c>
    </row>
    <row r="19127">
      <c r="A19127" s="1" t="s">
        <v>8</v>
      </c>
      <c r="B19127" s="2">
        <v>44792.0</v>
      </c>
      <c r="C19127" s="3">
        <v>0.7016319444444444</v>
      </c>
      <c r="D19127" s="1">
        <v>12.941945</v>
      </c>
      <c r="E19127" s="1">
        <v>80.132467</v>
      </c>
      <c r="F19127" s="1">
        <v>5339.0</v>
      </c>
      <c r="G19127" s="1">
        <v>40.0</v>
      </c>
    </row>
    <row r="19128">
      <c r="A19128" s="1" t="s">
        <v>8</v>
      </c>
      <c r="B19128" s="2">
        <v>44792.0</v>
      </c>
      <c r="C19128" s="3">
        <v>0.7016550925925926</v>
      </c>
      <c r="D19128" s="1">
        <v>12.941945</v>
      </c>
      <c r="E19128" s="1">
        <v>80.132467</v>
      </c>
      <c r="F19128" s="1">
        <v>5339.0</v>
      </c>
      <c r="G19128" s="1">
        <v>40.0</v>
      </c>
    </row>
    <row r="19129">
      <c r="A19129" s="1" t="s">
        <v>8</v>
      </c>
      <c r="B19129" s="2">
        <v>44792.0</v>
      </c>
      <c r="C19129" s="3">
        <v>0.7018171296296296</v>
      </c>
      <c r="D19129" s="1">
        <v>12.943094</v>
      </c>
      <c r="E19129" s="1">
        <v>80.133652</v>
      </c>
      <c r="F19129" s="1">
        <v>5339.0</v>
      </c>
      <c r="G19129" s="1">
        <v>26.0</v>
      </c>
    </row>
    <row r="19130">
      <c r="A19130" s="1" t="s">
        <v>8</v>
      </c>
      <c r="B19130" s="2">
        <v>44792.0</v>
      </c>
      <c r="C19130" s="3">
        <v>0.7018171296296296</v>
      </c>
      <c r="D19130" s="1">
        <v>12.943094</v>
      </c>
      <c r="E19130" s="1">
        <v>80.133652</v>
      </c>
      <c r="F19130" s="1">
        <v>5339.0</v>
      </c>
      <c r="G19130" s="1">
        <v>26.0</v>
      </c>
    </row>
    <row r="19131">
      <c r="A19131" s="1" t="s">
        <v>8</v>
      </c>
      <c r="B19131" s="2">
        <v>44792.0</v>
      </c>
      <c r="C19131" s="3">
        <v>0.7018287037037036</v>
      </c>
      <c r="D19131" s="1">
        <v>12.943094</v>
      </c>
      <c r="E19131" s="1">
        <v>80.133652</v>
      </c>
      <c r="F19131" s="1">
        <v>5339.0</v>
      </c>
      <c r="G19131" s="1">
        <v>26.0</v>
      </c>
    </row>
    <row r="19132">
      <c r="A19132" s="1" t="s">
        <v>8</v>
      </c>
      <c r="B19132" s="2">
        <v>44792.0</v>
      </c>
      <c r="C19132" s="3">
        <v>0.7018518518518518</v>
      </c>
      <c r="D19132" s="1">
        <v>12.943094</v>
      </c>
      <c r="E19132" s="1">
        <v>80.133652</v>
      </c>
      <c r="F19132" s="1">
        <v>5339.0</v>
      </c>
      <c r="G19132" s="1">
        <v>26.0</v>
      </c>
    </row>
    <row r="19133">
      <c r="A19133" s="1" t="s">
        <v>8</v>
      </c>
      <c r="B19133" s="2">
        <v>44792.0</v>
      </c>
      <c r="C19133" s="3">
        <v>0.701875</v>
      </c>
      <c r="D19133" s="1">
        <v>12.943094</v>
      </c>
      <c r="E19133" s="1">
        <v>80.133652</v>
      </c>
      <c r="F19133" s="1">
        <v>5339.0</v>
      </c>
      <c r="G19133" s="1">
        <v>26.0</v>
      </c>
    </row>
    <row r="19134">
      <c r="A19134" s="1" t="s">
        <v>8</v>
      </c>
      <c r="B19134" s="2">
        <v>44792.0</v>
      </c>
      <c r="C19134" s="3">
        <v>0.7019212962962963</v>
      </c>
      <c r="D19134" s="1">
        <v>12.943622</v>
      </c>
      <c r="E19134" s="1">
        <v>80.134175</v>
      </c>
      <c r="F19134" s="1">
        <v>5339.0</v>
      </c>
      <c r="G19134" s="1">
        <v>33.0</v>
      </c>
    </row>
    <row r="19135">
      <c r="A19135" s="1" t="s">
        <v>8</v>
      </c>
      <c r="B19135" s="2">
        <v>44792.0</v>
      </c>
      <c r="C19135" s="3">
        <v>0.7019328703703703</v>
      </c>
      <c r="D19135" s="1">
        <v>12.943622</v>
      </c>
      <c r="E19135" s="1">
        <v>80.134175</v>
      </c>
      <c r="F19135" s="1">
        <v>5339.0</v>
      </c>
      <c r="G19135" s="1">
        <v>33.0</v>
      </c>
    </row>
    <row r="19136">
      <c r="A19136" s="1" t="s">
        <v>8</v>
      </c>
      <c r="B19136" s="2">
        <v>44792.0</v>
      </c>
      <c r="C19136" s="3">
        <v>0.7019328703703703</v>
      </c>
      <c r="D19136" s="1">
        <v>12.943622</v>
      </c>
      <c r="E19136" s="1">
        <v>80.134175</v>
      </c>
      <c r="F19136" s="1">
        <v>5339.0</v>
      </c>
      <c r="G19136" s="1">
        <v>33.0</v>
      </c>
    </row>
    <row r="19137">
      <c r="A19137" s="1" t="s">
        <v>8</v>
      </c>
      <c r="B19137" s="2">
        <v>44792.0</v>
      </c>
      <c r="C19137" s="3">
        <v>0.7019675925925926</v>
      </c>
      <c r="D19137" s="1">
        <v>12.943622</v>
      </c>
      <c r="E19137" s="1">
        <v>80.134175</v>
      </c>
      <c r="F19137" s="1">
        <v>5339.0</v>
      </c>
      <c r="G19137" s="1">
        <v>33.0</v>
      </c>
    </row>
    <row r="19138">
      <c r="A19138" s="1" t="s">
        <v>8</v>
      </c>
      <c r="B19138" s="2">
        <v>44792.0</v>
      </c>
      <c r="C19138" s="3">
        <v>0.7020717592592592</v>
      </c>
      <c r="D19138" s="1">
        <v>12.944345</v>
      </c>
      <c r="E19138" s="1">
        <v>80.134777</v>
      </c>
      <c r="F19138" s="1">
        <v>5339.0</v>
      </c>
      <c r="G19138" s="1">
        <v>38.0</v>
      </c>
    </row>
    <row r="19139">
      <c r="A19139" s="1" t="s">
        <v>8</v>
      </c>
      <c r="B19139" s="2">
        <v>44792.0</v>
      </c>
      <c r="C19139" s="3">
        <v>0.7021180555555555</v>
      </c>
      <c r="D19139" s="1">
        <v>12.944345</v>
      </c>
      <c r="E19139" s="1">
        <v>80.134777</v>
      </c>
      <c r="F19139" s="1">
        <v>5339.0</v>
      </c>
      <c r="G19139" s="1">
        <v>38.0</v>
      </c>
    </row>
    <row r="19140">
      <c r="A19140" s="1" t="s">
        <v>8</v>
      </c>
      <c r="B19140" s="2">
        <v>44792.0</v>
      </c>
      <c r="C19140" s="3">
        <v>0.7023495370370371</v>
      </c>
      <c r="D19140" s="1">
        <v>12.94603</v>
      </c>
      <c r="E19140" s="1">
        <v>80.13605</v>
      </c>
      <c r="F19140" s="1">
        <v>5339.0</v>
      </c>
      <c r="G19140" s="1">
        <v>41.0</v>
      </c>
    </row>
    <row r="19141">
      <c r="A19141" s="1" t="s">
        <v>8</v>
      </c>
      <c r="B19141" s="2">
        <v>44792.0</v>
      </c>
      <c r="C19141" s="3">
        <v>0.7023611111111111</v>
      </c>
      <c r="D19141" s="1">
        <v>12.805195</v>
      </c>
      <c r="E19141" s="1">
        <v>80.026944</v>
      </c>
      <c r="F19141" s="1">
        <v>2846.0</v>
      </c>
      <c r="G19141" s="1">
        <v>59.0</v>
      </c>
    </row>
    <row r="19142">
      <c r="A19142" s="1" t="s">
        <v>7</v>
      </c>
      <c r="B19142" s="2">
        <v>44792.0</v>
      </c>
      <c r="C19142" s="3">
        <v>0.7025462962962963</v>
      </c>
      <c r="D19142" s="1">
        <v>12.947765</v>
      </c>
      <c r="E19142" s="1">
        <v>80.137328</v>
      </c>
      <c r="F19142" s="1">
        <v>5339.0</v>
      </c>
      <c r="G19142" s="1">
        <v>46.0</v>
      </c>
    </row>
    <row r="19143">
      <c r="A19143" s="1" t="s">
        <v>8</v>
      </c>
      <c r="B19143" s="2">
        <v>44792.0</v>
      </c>
      <c r="C19143" s="3">
        <v>0.7025925925925925</v>
      </c>
      <c r="D19143" s="1">
        <v>12.947765</v>
      </c>
      <c r="E19143" s="1">
        <v>80.137328</v>
      </c>
      <c r="F19143" s="1">
        <v>5339.0</v>
      </c>
      <c r="G19143" s="1">
        <v>46.0</v>
      </c>
    </row>
    <row r="19144">
      <c r="A19144" s="1" t="s">
        <v>8</v>
      </c>
      <c r="B19144" s="2">
        <v>44792.0</v>
      </c>
      <c r="C19144" s="3">
        <v>0.7026273148148148</v>
      </c>
      <c r="D19144" s="1">
        <v>12.948804</v>
      </c>
      <c r="E19144" s="1">
        <v>80.138081</v>
      </c>
      <c r="F19144" s="1">
        <v>5339.0</v>
      </c>
      <c r="G19144" s="1">
        <v>48.0</v>
      </c>
    </row>
    <row r="19145">
      <c r="A19145" s="1" t="s">
        <v>7</v>
      </c>
      <c r="B19145" s="2">
        <v>44792.0</v>
      </c>
      <c r="C19145" s="3">
        <v>0.7026967592592592</v>
      </c>
      <c r="D19145" s="1">
        <v>12.948804</v>
      </c>
      <c r="E19145" s="1">
        <v>80.138081</v>
      </c>
      <c r="F19145" s="1">
        <v>5339.0</v>
      </c>
      <c r="G19145" s="1">
        <v>48.0</v>
      </c>
    </row>
    <row r="19146">
      <c r="A19146" s="1" t="s">
        <v>8</v>
      </c>
      <c r="B19146" s="2">
        <v>44792.0</v>
      </c>
      <c r="C19146" s="3">
        <v>0.7026967592592592</v>
      </c>
      <c r="D19146" s="1">
        <v>12.800947</v>
      </c>
      <c r="E19146" s="1">
        <v>80.024172</v>
      </c>
      <c r="F19146" s="1">
        <v>2846.0</v>
      </c>
      <c r="G19146" s="1">
        <v>49.0</v>
      </c>
    </row>
    <row r="19147">
      <c r="A19147" s="1" t="s">
        <v>7</v>
      </c>
      <c r="B19147" s="2">
        <v>44792.0</v>
      </c>
      <c r="C19147" s="3">
        <v>0.7027662037037037</v>
      </c>
      <c r="D19147" s="1">
        <v>12.79984</v>
      </c>
      <c r="E19147" s="1">
        <v>80.023447</v>
      </c>
      <c r="F19147" s="1">
        <v>2846.0</v>
      </c>
      <c r="G19147" s="1">
        <v>53.0</v>
      </c>
    </row>
    <row r="19148">
      <c r="A19148" s="1" t="s">
        <v>8</v>
      </c>
      <c r="B19148" s="2">
        <v>44792.0</v>
      </c>
      <c r="C19148" s="3">
        <v>0.7027777777777777</v>
      </c>
      <c r="D19148" s="1">
        <v>12.79984</v>
      </c>
      <c r="E19148" s="1">
        <v>80.023447</v>
      </c>
      <c r="F19148" s="1">
        <v>2846.0</v>
      </c>
      <c r="G19148" s="1">
        <v>53.0</v>
      </c>
    </row>
    <row r="19149">
      <c r="A19149" s="1" t="s">
        <v>8</v>
      </c>
      <c r="B19149" s="2">
        <v>44792.0</v>
      </c>
      <c r="C19149" s="3">
        <v>0.7029976851851852</v>
      </c>
      <c r="D19149" s="1">
        <v>12.951287</v>
      </c>
      <c r="E19149" s="1">
        <v>80.140099</v>
      </c>
      <c r="F19149" s="1">
        <v>5339.0</v>
      </c>
      <c r="G19149" s="1">
        <v>20.0</v>
      </c>
    </row>
    <row r="19150">
      <c r="A19150" s="1" t="s">
        <v>7</v>
      </c>
      <c r="B19150" s="2">
        <v>44792.0</v>
      </c>
      <c r="C19150" s="3">
        <v>0.7030208333333333</v>
      </c>
      <c r="D19150" s="1">
        <v>12.79872</v>
      </c>
      <c r="E19150" s="1">
        <v>80.022651</v>
      </c>
      <c r="F19150" s="1">
        <v>2846.0</v>
      </c>
      <c r="G19150" s="1">
        <v>56.0</v>
      </c>
    </row>
    <row r="19151">
      <c r="A19151" s="1" t="s">
        <v>8</v>
      </c>
      <c r="B19151" s="2">
        <v>44792.0</v>
      </c>
      <c r="C19151" s="3">
        <v>0.7031597222222222</v>
      </c>
      <c r="D19151" s="1">
        <v>12.951805</v>
      </c>
      <c r="E19151" s="1">
        <v>80.140494</v>
      </c>
      <c r="F19151" s="1">
        <v>5339.0</v>
      </c>
      <c r="G19151" s="1">
        <v>27.0</v>
      </c>
    </row>
    <row r="19152">
      <c r="A19152" s="1" t="s">
        <v>8</v>
      </c>
      <c r="B19152" s="2">
        <v>44792.0</v>
      </c>
      <c r="C19152" s="3">
        <v>0.7031712962962963</v>
      </c>
      <c r="D19152" s="1">
        <v>12.922407</v>
      </c>
      <c r="E19152" s="1">
        <v>80.139556</v>
      </c>
      <c r="F19152" s="1">
        <v>3143.0</v>
      </c>
      <c r="G19152" s="1">
        <v>32.0</v>
      </c>
    </row>
    <row r="19153">
      <c r="A19153" s="1" t="s">
        <v>8</v>
      </c>
      <c r="B19153" s="2">
        <v>44792.0</v>
      </c>
      <c r="C19153" s="3">
        <v>0.7033449074074074</v>
      </c>
      <c r="D19153" s="1">
        <v>12.922438</v>
      </c>
      <c r="E19153" s="1">
        <v>80.140246</v>
      </c>
      <c r="F19153" s="1">
        <v>3143.0</v>
      </c>
      <c r="G19153" s="1">
        <v>20.0</v>
      </c>
    </row>
    <row r="19154">
      <c r="A19154" s="1" t="s">
        <v>8</v>
      </c>
      <c r="B19154" s="2">
        <v>44792.0</v>
      </c>
      <c r="C19154" s="3">
        <v>0.7033564814814814</v>
      </c>
      <c r="D19154" s="1">
        <v>12.922438</v>
      </c>
      <c r="E19154" s="1">
        <v>80.140246</v>
      </c>
      <c r="F19154" s="1">
        <v>3143.0</v>
      </c>
      <c r="G19154" s="1">
        <v>20.0</v>
      </c>
    </row>
    <row r="19155">
      <c r="A19155" s="1" t="s">
        <v>7</v>
      </c>
      <c r="B19155" s="2">
        <v>44792.0</v>
      </c>
      <c r="C19155" s="3">
        <v>0.7034375</v>
      </c>
      <c r="D19155" s="1">
        <v>12.796329</v>
      </c>
      <c r="E19155" s="1">
        <v>80.021127</v>
      </c>
      <c r="F19155" s="1">
        <v>2846.0</v>
      </c>
      <c r="G19155" s="1">
        <v>49.0</v>
      </c>
    </row>
    <row r="19156">
      <c r="A19156" s="1" t="s">
        <v>8</v>
      </c>
      <c r="B19156" s="2">
        <v>44792.0</v>
      </c>
      <c r="C19156" s="3">
        <v>0.7035300925925926</v>
      </c>
      <c r="D19156" s="1">
        <v>12.92244</v>
      </c>
      <c r="E19156" s="1">
        <v>80.141727</v>
      </c>
      <c r="F19156" s="1">
        <v>3143.0</v>
      </c>
      <c r="G19156" s="1">
        <v>38.0</v>
      </c>
    </row>
    <row r="19157">
      <c r="A19157" s="1" t="s">
        <v>7</v>
      </c>
      <c r="B19157" s="2">
        <v>44792.0</v>
      </c>
      <c r="C19157" s="3">
        <v>0.7035648148148148</v>
      </c>
      <c r="D19157" s="1">
        <v>12.791723</v>
      </c>
      <c r="E19157" s="1">
        <v>80.018072</v>
      </c>
      <c r="F19157" s="1">
        <v>2846.0</v>
      </c>
      <c r="G19157" s="1">
        <v>57.0</v>
      </c>
    </row>
    <row r="19158">
      <c r="A19158" s="1" t="s">
        <v>7</v>
      </c>
      <c r="B19158" s="2">
        <v>44792.0</v>
      </c>
      <c r="C19158" s="3">
        <v>0.7036689814814815</v>
      </c>
      <c r="D19158" s="1">
        <v>12.790473</v>
      </c>
      <c r="E19158" s="1">
        <v>80.017318</v>
      </c>
      <c r="F19158" s="1">
        <v>2846.0</v>
      </c>
      <c r="G19158" s="1">
        <v>57.0</v>
      </c>
    </row>
    <row r="19159">
      <c r="A19159" s="1" t="s">
        <v>10</v>
      </c>
      <c r="B19159" s="2">
        <v>44792.0</v>
      </c>
      <c r="C19159" s="3">
        <v>0.7036689814814815</v>
      </c>
      <c r="D19159" s="1">
        <v>12.922485</v>
      </c>
      <c r="E19159" s="1">
        <v>80.142578</v>
      </c>
      <c r="F19159" s="1">
        <v>3143.0</v>
      </c>
      <c r="G19159" s="1">
        <v>20.0</v>
      </c>
    </row>
    <row r="19160">
      <c r="A19160" s="1" t="s">
        <v>7</v>
      </c>
      <c r="B19160" s="2">
        <v>44792.0</v>
      </c>
      <c r="C19160" s="3">
        <v>0.7037962962962963</v>
      </c>
      <c r="D19160" s="1">
        <v>12.789213</v>
      </c>
      <c r="E19160" s="1">
        <v>80.016572</v>
      </c>
      <c r="F19160" s="1">
        <v>2846.0</v>
      </c>
      <c r="G19160" s="1">
        <v>56.0</v>
      </c>
    </row>
    <row r="19161">
      <c r="A19161" s="1" t="s">
        <v>8</v>
      </c>
      <c r="B19161" s="2">
        <v>44792.0</v>
      </c>
      <c r="C19161" s="3">
        <v>0.7039467592592593</v>
      </c>
      <c r="D19161" s="1">
        <v>12.922517</v>
      </c>
      <c r="E19161" s="1">
        <v>80.143597</v>
      </c>
      <c r="F19161" s="1">
        <v>3143.0</v>
      </c>
      <c r="G19161" s="1">
        <v>33.0</v>
      </c>
    </row>
    <row r="19162">
      <c r="A19162" s="1" t="s">
        <v>8</v>
      </c>
      <c r="B19162" s="2">
        <v>44792.0</v>
      </c>
      <c r="C19162" s="3">
        <v>0.7047106481481481</v>
      </c>
      <c r="D19162" s="1">
        <v>12.957624</v>
      </c>
      <c r="E19162" s="1">
        <v>80.143824</v>
      </c>
      <c r="F19162" s="1">
        <v>5339.0</v>
      </c>
      <c r="G19162" s="1">
        <v>33.0</v>
      </c>
    </row>
    <row r="19163">
      <c r="A19163" s="1" t="s">
        <v>8</v>
      </c>
      <c r="B19163" s="2">
        <v>44792.0</v>
      </c>
      <c r="C19163" s="3">
        <v>0.7048611111111112</v>
      </c>
      <c r="D19163" s="1">
        <v>12.922662</v>
      </c>
      <c r="E19163" s="1">
        <v>80.148902</v>
      </c>
      <c r="F19163" s="1">
        <v>3143.0</v>
      </c>
      <c r="G19163" s="1">
        <v>37.0</v>
      </c>
    </row>
    <row r="19164">
      <c r="A19164" s="1" t="s">
        <v>7</v>
      </c>
      <c r="B19164" s="2">
        <v>44792.0</v>
      </c>
      <c r="C19164" s="3">
        <v>0.7052314814814815</v>
      </c>
      <c r="D19164" s="1">
        <v>12.773204</v>
      </c>
      <c r="E19164" s="1">
        <v>80.00881</v>
      </c>
      <c r="F19164" s="1">
        <v>2846.0</v>
      </c>
      <c r="G19164" s="1">
        <v>57.0</v>
      </c>
    </row>
    <row r="19165">
      <c r="A19165" s="1" t="s">
        <v>8</v>
      </c>
      <c r="B19165" s="2">
        <v>44792.0</v>
      </c>
      <c r="C19165" s="3">
        <v>0.7053356481481482</v>
      </c>
      <c r="D19165" s="1">
        <v>12.773204</v>
      </c>
      <c r="E19165" s="1">
        <v>80.00881</v>
      </c>
      <c r="F19165" s="1">
        <v>2846.0</v>
      </c>
      <c r="G19165" s="1">
        <v>57.0</v>
      </c>
    </row>
    <row r="19166">
      <c r="A19166" s="1" t="s">
        <v>8</v>
      </c>
      <c r="B19166" s="2">
        <v>44792.0</v>
      </c>
      <c r="C19166" s="3">
        <v>0.7054513888888889</v>
      </c>
      <c r="D19166" s="1">
        <v>12.773204</v>
      </c>
      <c r="E19166" s="1">
        <v>80.00881</v>
      </c>
      <c r="F19166" s="1">
        <v>2846.0</v>
      </c>
      <c r="G19166" s="1">
        <v>57.0</v>
      </c>
    </row>
    <row r="19167">
      <c r="A19167" s="1" t="s">
        <v>8</v>
      </c>
      <c r="B19167" s="2">
        <v>44792.0</v>
      </c>
      <c r="C19167" s="3">
        <v>0.7054976851851852</v>
      </c>
      <c r="D19167" s="1">
        <v>12.770561</v>
      </c>
      <c r="E19167" s="1">
        <v>80.007596</v>
      </c>
      <c r="F19167" s="1">
        <v>2846.0</v>
      </c>
      <c r="G19167" s="1">
        <v>54.0</v>
      </c>
    </row>
    <row r="19168">
      <c r="A19168" s="1" t="s">
        <v>8</v>
      </c>
      <c r="B19168" s="2">
        <v>44792.0</v>
      </c>
      <c r="C19168" s="3">
        <v>0.7055555555555556</v>
      </c>
      <c r="D19168" s="1">
        <v>12.961276</v>
      </c>
      <c r="E19168" s="1">
        <v>80.145668</v>
      </c>
      <c r="F19168" s="1">
        <v>5339.0</v>
      </c>
      <c r="G19168" s="1">
        <v>41.0</v>
      </c>
    </row>
    <row r="19169">
      <c r="A19169" s="1" t="s">
        <v>8</v>
      </c>
      <c r="B19169" s="2">
        <v>44792.0</v>
      </c>
      <c r="C19169" s="3">
        <v>0.7057291666666666</v>
      </c>
      <c r="D19169" s="1">
        <v>12.769372</v>
      </c>
      <c r="E19169" s="1">
        <v>80.007046</v>
      </c>
      <c r="F19169" s="1">
        <v>2846.0</v>
      </c>
      <c r="G19169" s="1">
        <v>49.0</v>
      </c>
    </row>
    <row r="19170">
      <c r="A19170" s="1" t="s">
        <v>7</v>
      </c>
      <c r="B19170" s="2">
        <v>44792.0</v>
      </c>
      <c r="C19170" s="3">
        <v>0.705787037037037</v>
      </c>
      <c r="D19170" s="1">
        <v>12.769372</v>
      </c>
      <c r="E19170" s="1">
        <v>80.007046</v>
      </c>
      <c r="F19170" s="1">
        <v>2846.0</v>
      </c>
      <c r="G19170" s="1">
        <v>49.0</v>
      </c>
    </row>
    <row r="19171">
      <c r="A19171" s="1" t="s">
        <v>8</v>
      </c>
      <c r="B19171" s="2">
        <v>44792.0</v>
      </c>
      <c r="C19171" s="3">
        <v>0.7058796296296296</v>
      </c>
      <c r="D19171" s="1">
        <v>12.765686</v>
      </c>
      <c r="E19171" s="1">
        <v>80.005311</v>
      </c>
      <c r="F19171" s="1">
        <v>2846.0</v>
      </c>
      <c r="G19171" s="1">
        <v>54.0</v>
      </c>
    </row>
    <row r="19172">
      <c r="A19172" s="1" t="s">
        <v>8</v>
      </c>
      <c r="B19172" s="2">
        <v>44792.0</v>
      </c>
      <c r="C19172" s="3">
        <v>0.706087962962963</v>
      </c>
      <c r="D19172" s="1">
        <v>12.764414</v>
      </c>
      <c r="E19172" s="1">
        <v>80.004772</v>
      </c>
      <c r="F19172" s="1">
        <v>2846.0</v>
      </c>
      <c r="G19172" s="1">
        <v>53.0</v>
      </c>
    </row>
    <row r="19173">
      <c r="A19173" s="1" t="s">
        <v>8</v>
      </c>
      <c r="B19173" s="2">
        <v>44792.0</v>
      </c>
      <c r="C19173" s="3">
        <v>0.7061921296296296</v>
      </c>
      <c r="D19173" s="1">
        <v>12.966474</v>
      </c>
      <c r="E19173" s="1">
        <v>80.148642</v>
      </c>
      <c r="F19173" s="1">
        <v>5339.0</v>
      </c>
      <c r="G19173" s="1">
        <v>42.0</v>
      </c>
    </row>
    <row r="19174">
      <c r="A19174" s="1" t="s">
        <v>8</v>
      </c>
      <c r="B19174" s="2">
        <v>44792.0</v>
      </c>
      <c r="C19174" s="3">
        <v>0.7062268518518519</v>
      </c>
      <c r="D19174" s="1">
        <v>12.966474</v>
      </c>
      <c r="E19174" s="1">
        <v>80.148642</v>
      </c>
      <c r="F19174" s="1">
        <v>5339.0</v>
      </c>
      <c r="G19174" s="1">
        <v>42.0</v>
      </c>
    </row>
    <row r="19175">
      <c r="A19175" s="1" t="s">
        <v>10</v>
      </c>
      <c r="B19175" s="2">
        <v>44792.0</v>
      </c>
      <c r="C19175" s="3">
        <v>0.7063888888888888</v>
      </c>
      <c r="D19175" s="1">
        <v>12.92346</v>
      </c>
      <c r="E19175" s="1">
        <v>80.154942</v>
      </c>
      <c r="F19175" s="1">
        <v>3143.0</v>
      </c>
      <c r="G19175" s="1">
        <v>13.0</v>
      </c>
    </row>
    <row r="19176">
      <c r="A19176" s="1" t="s">
        <v>8</v>
      </c>
      <c r="B19176" s="2">
        <v>44792.0</v>
      </c>
      <c r="C19176" s="3">
        <v>0.706400462962963</v>
      </c>
      <c r="D19176" s="1">
        <v>12.967374</v>
      </c>
      <c r="E19176" s="1">
        <v>80.149078</v>
      </c>
      <c r="F19176" s="1">
        <v>5339.0</v>
      </c>
      <c r="G19176" s="1">
        <v>42.0</v>
      </c>
    </row>
    <row r="19177">
      <c r="A19177" s="1" t="s">
        <v>8</v>
      </c>
      <c r="B19177" s="2">
        <v>44792.0</v>
      </c>
      <c r="C19177" s="3">
        <v>0.7065162037037037</v>
      </c>
      <c r="D19177" s="1">
        <v>12.968514</v>
      </c>
      <c r="E19177" s="1">
        <v>80.14961</v>
      </c>
      <c r="F19177" s="1">
        <v>5339.0</v>
      </c>
      <c r="G19177" s="1">
        <v>50.0</v>
      </c>
    </row>
    <row r="19178">
      <c r="A19178" s="1" t="s">
        <v>8</v>
      </c>
      <c r="B19178" s="2">
        <v>44792.0</v>
      </c>
      <c r="C19178" s="3">
        <v>0.706574074074074</v>
      </c>
      <c r="D19178" s="1">
        <v>12.923688</v>
      </c>
      <c r="E19178" s="1">
        <v>80.156516</v>
      </c>
      <c r="F19178" s="1">
        <v>3143.0</v>
      </c>
      <c r="G19178" s="1">
        <v>46.0</v>
      </c>
    </row>
    <row r="19179">
      <c r="A19179" s="1" t="s">
        <v>8</v>
      </c>
      <c r="B19179" s="2">
        <v>44792.0</v>
      </c>
      <c r="C19179" s="3">
        <v>0.7068171296296296</v>
      </c>
      <c r="D19179" s="1">
        <v>12.971875</v>
      </c>
      <c r="E19179" s="1">
        <v>80.151244</v>
      </c>
      <c r="F19179" s="1">
        <v>5339.0</v>
      </c>
      <c r="G19179" s="1">
        <v>54.0</v>
      </c>
    </row>
    <row r="19180">
      <c r="A19180" s="1" t="s">
        <v>8</v>
      </c>
      <c r="B19180" s="2">
        <v>44792.0</v>
      </c>
      <c r="C19180" s="3">
        <v>0.7068171296296296</v>
      </c>
      <c r="D19180" s="1">
        <v>12.92348</v>
      </c>
      <c r="E19180" s="1">
        <v>80.15888</v>
      </c>
      <c r="F19180" s="1">
        <v>3143.0</v>
      </c>
      <c r="G19180" s="1">
        <v>44.0</v>
      </c>
    </row>
    <row r="19181">
      <c r="A19181" s="1" t="s">
        <v>8</v>
      </c>
      <c r="B19181" s="2">
        <v>44792.0</v>
      </c>
      <c r="C19181" s="3">
        <v>0.7068981481481481</v>
      </c>
      <c r="D19181" s="1">
        <v>12.972776</v>
      </c>
      <c r="E19181" s="1">
        <v>80.152209</v>
      </c>
      <c r="F19181" s="1">
        <v>5339.0</v>
      </c>
      <c r="G19181" s="1">
        <v>52.0</v>
      </c>
    </row>
    <row r="19182">
      <c r="A19182" s="1" t="s">
        <v>8</v>
      </c>
      <c r="B19182" s="2">
        <v>44792.0</v>
      </c>
      <c r="C19182" s="3">
        <v>0.707037037037037</v>
      </c>
      <c r="D19182" s="1">
        <v>12.973476</v>
      </c>
      <c r="E19182" s="1">
        <v>80.153279</v>
      </c>
      <c r="F19182" s="1">
        <v>5339.0</v>
      </c>
      <c r="G19182" s="1">
        <v>48.0</v>
      </c>
    </row>
    <row r="19183">
      <c r="A19183" s="1" t="s">
        <v>8</v>
      </c>
      <c r="B19183" s="2">
        <v>44792.0</v>
      </c>
      <c r="C19183" s="3">
        <v>0.7071990740740741</v>
      </c>
      <c r="D19183" s="1">
        <v>12.974101</v>
      </c>
      <c r="E19183" s="1">
        <v>80.154236</v>
      </c>
      <c r="F19183" s="1">
        <v>5339.0</v>
      </c>
      <c r="G19183" s="1">
        <v>42.0</v>
      </c>
    </row>
    <row r="19184">
      <c r="A19184" s="1" t="s">
        <v>7</v>
      </c>
      <c r="B19184" s="2">
        <v>44792.0</v>
      </c>
      <c r="C19184" s="3">
        <v>0.7072916666666667</v>
      </c>
      <c r="D19184" s="1">
        <v>12.922538</v>
      </c>
      <c r="E19184" s="1">
        <v>80.162735</v>
      </c>
      <c r="F19184" s="1">
        <v>3143.0</v>
      </c>
      <c r="G19184" s="1">
        <v>47.0</v>
      </c>
    </row>
    <row r="19185">
      <c r="A19185" s="1" t="s">
        <v>7</v>
      </c>
      <c r="B19185" s="2">
        <v>44792.0</v>
      </c>
      <c r="C19185" s="3">
        <v>0.7075694444444445</v>
      </c>
      <c r="D19185" s="1">
        <v>12.976058</v>
      </c>
      <c r="E19185" s="1">
        <v>80.157067</v>
      </c>
      <c r="F19185" s="1">
        <v>5339.0</v>
      </c>
      <c r="G19185" s="1">
        <v>51.0</v>
      </c>
    </row>
    <row r="19186">
      <c r="A19186" s="1" t="s">
        <v>7</v>
      </c>
      <c r="B19186" s="2">
        <v>44792.0</v>
      </c>
      <c r="C19186" s="3">
        <v>0.7077314814814815</v>
      </c>
      <c r="D19186" s="1">
        <v>12.97764</v>
      </c>
      <c r="E19186" s="1">
        <v>80.159422</v>
      </c>
      <c r="F19186" s="1">
        <v>5339.0</v>
      </c>
      <c r="G19186" s="1">
        <v>55.0</v>
      </c>
    </row>
    <row r="19187">
      <c r="A19187" s="1" t="s">
        <v>8</v>
      </c>
      <c r="B19187" s="2">
        <v>44792.0</v>
      </c>
      <c r="C19187" s="3">
        <v>0.7077430555555555</v>
      </c>
      <c r="D19187" s="1">
        <v>12.97764</v>
      </c>
      <c r="E19187" s="1">
        <v>80.159422</v>
      </c>
      <c r="F19187" s="1">
        <v>5339.0</v>
      </c>
      <c r="G19187" s="1">
        <v>55.0</v>
      </c>
    </row>
    <row r="19188">
      <c r="A19188" s="1" t="s">
        <v>8</v>
      </c>
      <c r="B19188" s="2">
        <v>44792.0</v>
      </c>
      <c r="C19188" s="3">
        <v>0.7082407407407407</v>
      </c>
      <c r="D19188" s="1">
        <v>12.980202</v>
      </c>
      <c r="E19188" s="1">
        <v>80.163698</v>
      </c>
      <c r="F19188" s="1">
        <v>5339.0</v>
      </c>
      <c r="G19188" s="1">
        <v>47.0</v>
      </c>
    </row>
    <row r="19189">
      <c r="A19189" s="1" t="s">
        <v>7</v>
      </c>
      <c r="B19189" s="2">
        <v>44792.0</v>
      </c>
      <c r="C19189" s="3">
        <v>0.7083912037037037</v>
      </c>
      <c r="D19189" s="1">
        <v>12.757949</v>
      </c>
      <c r="E19189" s="1">
        <v>80.002773</v>
      </c>
      <c r="F19189" s="1">
        <v>2846.0</v>
      </c>
      <c r="G19189" s="1">
        <v>48.0</v>
      </c>
    </row>
    <row r="19190">
      <c r="A19190" s="1" t="s">
        <v>8</v>
      </c>
      <c r="B19190" s="2">
        <v>44792.0</v>
      </c>
      <c r="C19190" s="3">
        <v>0.7084143518518519</v>
      </c>
      <c r="D19190" s="1">
        <v>12.919835</v>
      </c>
      <c r="E19190" s="1">
        <v>80.171288</v>
      </c>
      <c r="F19190" s="1">
        <v>3143.0</v>
      </c>
      <c r="G19190" s="1">
        <v>32.0</v>
      </c>
    </row>
    <row r="19191">
      <c r="A19191" s="1" t="s">
        <v>7</v>
      </c>
      <c r="B19191" s="2">
        <v>44792.0</v>
      </c>
      <c r="C19191" s="3">
        <v>0.7085532407407408</v>
      </c>
      <c r="D19191" s="1">
        <v>12.981991</v>
      </c>
      <c r="E19191" s="1">
        <v>80.167479</v>
      </c>
      <c r="F19191" s="1">
        <v>5339.0</v>
      </c>
      <c r="G19191" s="1">
        <v>57.0</v>
      </c>
    </row>
    <row r="19192">
      <c r="A19192" s="1" t="s">
        <v>7</v>
      </c>
      <c r="B19192" s="2">
        <v>44792.0</v>
      </c>
      <c r="C19192" s="3">
        <v>0.7088541666666667</v>
      </c>
      <c r="D19192" s="1">
        <v>12.984292</v>
      </c>
      <c r="E19192" s="1">
        <v>80.17144</v>
      </c>
      <c r="F19192" s="1">
        <v>5339.0</v>
      </c>
      <c r="G19192" s="1">
        <v>61.0</v>
      </c>
    </row>
    <row r="19193">
      <c r="A19193" s="1" t="s">
        <v>7</v>
      </c>
      <c r="B19193" s="2">
        <v>44792.0</v>
      </c>
      <c r="C19193" s="3">
        <v>0.7092476851851852</v>
      </c>
      <c r="D19193" s="1">
        <v>12.74824</v>
      </c>
      <c r="E19193" s="1">
        <v>79.996617</v>
      </c>
      <c r="F19193" s="1">
        <v>2846.0</v>
      </c>
      <c r="G19193" s="1">
        <v>58.0</v>
      </c>
    </row>
    <row r="19194">
      <c r="A19194" s="1" t="s">
        <v>8</v>
      </c>
      <c r="B19194" s="2">
        <v>44792.0</v>
      </c>
      <c r="C19194" s="3">
        <v>0.7093055555555555</v>
      </c>
      <c r="D19194" s="1">
        <v>12.986111</v>
      </c>
      <c r="E19194" s="1">
        <v>80.174177</v>
      </c>
      <c r="F19194" s="1">
        <v>5339.0</v>
      </c>
      <c r="G19194" s="1">
        <v>24.0</v>
      </c>
    </row>
    <row r="19195">
      <c r="A19195" s="1" t="s">
        <v>7</v>
      </c>
      <c r="B19195" s="2">
        <v>44792.0</v>
      </c>
      <c r="C19195" s="3">
        <v>0.7093865740740741</v>
      </c>
      <c r="D19195" s="1">
        <v>12.919189</v>
      </c>
      <c r="E19195" s="1">
        <v>80.179528</v>
      </c>
      <c r="F19195" s="1">
        <v>3143.0</v>
      </c>
      <c r="G19195" s="1">
        <v>41.0</v>
      </c>
    </row>
    <row r="19196">
      <c r="A19196" s="1" t="s">
        <v>8</v>
      </c>
      <c r="B19196" s="2">
        <v>44792.0</v>
      </c>
      <c r="C19196" s="3">
        <v>0.7093865740740741</v>
      </c>
      <c r="D19196" s="1">
        <v>12.986576</v>
      </c>
      <c r="E19196" s="1">
        <v>80.174871</v>
      </c>
      <c r="F19196" s="1">
        <v>5339.0</v>
      </c>
      <c r="G19196" s="1">
        <v>38.0</v>
      </c>
    </row>
    <row r="19197">
      <c r="A19197" s="1" t="s">
        <v>8</v>
      </c>
      <c r="B19197" s="2">
        <v>44792.0</v>
      </c>
      <c r="C19197" s="3">
        <v>0.7096180555555556</v>
      </c>
      <c r="D19197" s="1">
        <v>12.74824</v>
      </c>
      <c r="E19197" s="1">
        <v>79.996617</v>
      </c>
      <c r="F19197" s="1">
        <v>2846.0</v>
      </c>
      <c r="G19197" s="1">
        <v>58.0</v>
      </c>
    </row>
    <row r="19198">
      <c r="A19198" s="1" t="s">
        <v>8</v>
      </c>
      <c r="B19198" s="2">
        <v>44792.0</v>
      </c>
      <c r="C19198" s="3">
        <v>0.7106134259259259</v>
      </c>
      <c r="D19198" s="1">
        <v>12.992368</v>
      </c>
      <c r="E19198" s="1">
        <v>80.182565</v>
      </c>
      <c r="F19198" s="1">
        <v>5339.0</v>
      </c>
      <c r="G19198" s="1">
        <v>45.0</v>
      </c>
    </row>
    <row r="19199">
      <c r="A19199" s="1" t="s">
        <v>7</v>
      </c>
      <c r="B19199" s="2">
        <v>44792.0</v>
      </c>
      <c r="C19199" s="3">
        <v>0.7109606481481482</v>
      </c>
      <c r="D19199" s="1">
        <v>12.74002</v>
      </c>
      <c r="E19199" s="1">
        <v>79.989948</v>
      </c>
      <c r="F19199" s="1">
        <v>2846.0</v>
      </c>
      <c r="G19199" s="1">
        <v>53.0</v>
      </c>
    </row>
    <row r="19200">
      <c r="A19200" s="1" t="s">
        <v>8</v>
      </c>
      <c r="B19200" s="2">
        <v>44792.0</v>
      </c>
      <c r="C19200" s="3">
        <v>0.7119675925925926</v>
      </c>
      <c r="D19200" s="1">
        <v>12.99592</v>
      </c>
      <c r="E19200" s="1">
        <v>80.189084</v>
      </c>
      <c r="F19200" s="1">
        <v>5339.0</v>
      </c>
      <c r="G19200" s="1">
        <v>23.0</v>
      </c>
    </row>
    <row r="19201">
      <c r="A19201" s="1" t="s">
        <v>8</v>
      </c>
      <c r="B19201" s="2">
        <v>44792.0</v>
      </c>
      <c r="C19201" s="3">
        <v>0.7121412037037037</v>
      </c>
      <c r="D19201" s="1">
        <v>12.996936</v>
      </c>
      <c r="E19201" s="1">
        <v>80.190254</v>
      </c>
      <c r="F19201" s="1">
        <v>5339.0</v>
      </c>
      <c r="G19201" s="1">
        <v>32.0</v>
      </c>
    </row>
    <row r="19202">
      <c r="A19202" s="1" t="s">
        <v>8</v>
      </c>
      <c r="B19202" s="2">
        <v>44792.0</v>
      </c>
      <c r="C19202" s="3">
        <v>0.7122337962962964</v>
      </c>
      <c r="D19202" s="1">
        <v>12.72611</v>
      </c>
      <c r="E19202" s="1">
        <v>79.982487</v>
      </c>
      <c r="F19202" s="1">
        <v>2846.0</v>
      </c>
      <c r="G19202" s="1">
        <v>54.0</v>
      </c>
    </row>
    <row r="19203">
      <c r="A19203" s="1" t="s">
        <v>8</v>
      </c>
      <c r="B19203" s="2">
        <v>44792.0</v>
      </c>
      <c r="C19203" s="3">
        <v>0.7124652777777778</v>
      </c>
      <c r="D19203" s="1">
        <v>12.99851</v>
      </c>
      <c r="E19203" s="1">
        <v>80.192233</v>
      </c>
      <c r="F19203" s="1">
        <v>5339.0</v>
      </c>
      <c r="G19203" s="1">
        <v>28.0</v>
      </c>
    </row>
    <row r="19204">
      <c r="A19204" s="1" t="s">
        <v>8</v>
      </c>
      <c r="B19204" s="2">
        <v>44792.0</v>
      </c>
      <c r="C19204" s="3">
        <v>0.7128703703703704</v>
      </c>
      <c r="D19204" s="1">
        <v>13.000344</v>
      </c>
      <c r="E19204" s="1">
        <v>80.194455</v>
      </c>
      <c r="F19204" s="1">
        <v>5339.0</v>
      </c>
      <c r="G19204" s="1">
        <v>48.0</v>
      </c>
    </row>
    <row r="19205">
      <c r="A19205" s="1" t="s">
        <v>8</v>
      </c>
      <c r="B19205" s="2">
        <v>44792.0</v>
      </c>
      <c r="C19205" s="3">
        <v>0.7138541666666667</v>
      </c>
      <c r="D19205" s="1">
        <v>13.002253</v>
      </c>
      <c r="E19205" s="1">
        <v>80.200344</v>
      </c>
      <c r="F19205" s="1">
        <v>5339.0</v>
      </c>
      <c r="G19205" s="1">
        <v>49.0</v>
      </c>
    </row>
    <row r="19206">
      <c r="A19206" s="1" t="s">
        <v>7</v>
      </c>
      <c r="B19206" s="2">
        <v>44792.0</v>
      </c>
      <c r="C19206" s="3">
        <v>0.7140277777777778</v>
      </c>
      <c r="D19206" s="1">
        <v>12.724718</v>
      </c>
      <c r="E19206" s="1">
        <v>79.982326</v>
      </c>
      <c r="F19206" s="1">
        <v>2846.0</v>
      </c>
      <c r="G19206" s="1">
        <v>0.0</v>
      </c>
    </row>
    <row r="19207">
      <c r="A19207" s="1" t="s">
        <v>8</v>
      </c>
      <c r="B19207" s="2">
        <v>44792.0</v>
      </c>
      <c r="C19207" s="3">
        <v>0.7141898148148148</v>
      </c>
      <c r="D19207" s="1">
        <v>13.0057</v>
      </c>
      <c r="E19207" s="1">
        <v>80.201972</v>
      </c>
      <c r="F19207" s="1">
        <v>5339.0</v>
      </c>
      <c r="G19207" s="1">
        <v>52.0</v>
      </c>
    </row>
    <row r="19208">
      <c r="A19208" s="1" t="s">
        <v>8</v>
      </c>
      <c r="B19208" s="2">
        <v>44792.0</v>
      </c>
      <c r="C19208" s="3">
        <v>0.7142708333333333</v>
      </c>
      <c r="D19208" s="1">
        <v>13.0057</v>
      </c>
      <c r="E19208" s="1">
        <v>80.201972</v>
      </c>
      <c r="F19208" s="1">
        <v>5339.0</v>
      </c>
      <c r="G19208" s="1">
        <v>52.0</v>
      </c>
    </row>
    <row r="19209">
      <c r="A19209" s="1" t="s">
        <v>8</v>
      </c>
      <c r="B19209" s="2">
        <v>44792.0</v>
      </c>
      <c r="C19209" s="3">
        <v>0.7145717592592593</v>
      </c>
      <c r="D19209" s="1">
        <v>13.007385</v>
      </c>
      <c r="E19209" s="1">
        <v>80.203617</v>
      </c>
      <c r="F19209" s="1">
        <v>5339.0</v>
      </c>
      <c r="G19209" s="1">
        <v>33.0</v>
      </c>
    </row>
    <row r="19210">
      <c r="A19210" s="1" t="s">
        <v>7</v>
      </c>
      <c r="B19210" s="2">
        <v>44792.0</v>
      </c>
      <c r="C19210" s="3">
        <v>0.714837962962963</v>
      </c>
      <c r="D19210" s="1">
        <v>12.724718</v>
      </c>
      <c r="E19210" s="1">
        <v>79.982326</v>
      </c>
      <c r="F19210" s="1">
        <v>2846.0</v>
      </c>
      <c r="G19210" s="1">
        <v>0.0</v>
      </c>
    </row>
    <row r="19211">
      <c r="A19211" s="1" t="s">
        <v>8</v>
      </c>
      <c r="B19211" s="2">
        <v>44792.0</v>
      </c>
      <c r="C19211" s="3">
        <v>0.7149305555555555</v>
      </c>
      <c r="D19211" s="1">
        <v>13.00759</v>
      </c>
      <c r="E19211" s="1">
        <v>80.202949</v>
      </c>
      <c r="F19211" s="1">
        <v>5339.0</v>
      </c>
      <c r="G19211" s="1">
        <v>35.0</v>
      </c>
    </row>
    <row r="19212">
      <c r="A19212" s="1" t="s">
        <v>7</v>
      </c>
      <c r="B19212" s="2">
        <v>44792.0</v>
      </c>
      <c r="C19212" s="3">
        <v>0.7149884259259259</v>
      </c>
      <c r="D19212" s="1">
        <v>12.707061</v>
      </c>
      <c r="E19212" s="1">
        <v>79.976238</v>
      </c>
      <c r="F19212" s="1">
        <v>2846.0</v>
      </c>
      <c r="G19212" s="1">
        <v>56.0</v>
      </c>
    </row>
    <row r="19213">
      <c r="A19213" s="1" t="s">
        <v>7</v>
      </c>
      <c r="B19213" s="2">
        <v>44792.0</v>
      </c>
      <c r="C19213" s="3">
        <v>0.7155671296296297</v>
      </c>
      <c r="D19213" s="1">
        <v>12.702654</v>
      </c>
      <c r="E19213" s="1">
        <v>79.97087</v>
      </c>
      <c r="F19213" s="1">
        <v>2846.0</v>
      </c>
      <c r="G19213" s="1">
        <v>56.0</v>
      </c>
    </row>
    <row r="19214">
      <c r="A19214" s="1" t="s">
        <v>9</v>
      </c>
      <c r="B19214" s="2">
        <v>44792.0</v>
      </c>
      <c r="C19214" s="3">
        <v>0.7155671296296297</v>
      </c>
      <c r="D19214" s="1">
        <v>13.008233</v>
      </c>
      <c r="E19214" s="1">
        <v>80.20967</v>
      </c>
      <c r="F19214" s="1">
        <v>5339.0</v>
      </c>
      <c r="G19214" s="1">
        <v>43.0</v>
      </c>
    </row>
    <row r="19215">
      <c r="A19215" s="1" t="s">
        <v>8</v>
      </c>
      <c r="B19215" s="2">
        <v>44792.0</v>
      </c>
      <c r="C19215" s="3">
        <v>0.715949074074074</v>
      </c>
      <c r="D19215" s="1">
        <v>13.009291</v>
      </c>
      <c r="E19215" s="1">
        <v>80.2125</v>
      </c>
      <c r="F19215" s="1">
        <v>5339.0</v>
      </c>
      <c r="G19215" s="1">
        <v>36.0</v>
      </c>
    </row>
    <row r="19216">
      <c r="A19216" s="1" t="s">
        <v>8</v>
      </c>
      <c r="B19216" s="2">
        <v>44792.0</v>
      </c>
      <c r="C19216" s="3">
        <v>0.7161689814814814</v>
      </c>
      <c r="D19216" s="1">
        <v>13.009876</v>
      </c>
      <c r="E19216" s="1">
        <v>80.213992</v>
      </c>
      <c r="F19216" s="1">
        <v>5339.0</v>
      </c>
      <c r="G19216" s="1">
        <v>34.0</v>
      </c>
    </row>
    <row r="19217">
      <c r="A19217" s="1" t="s">
        <v>9</v>
      </c>
      <c r="B19217" s="2">
        <v>44792.0</v>
      </c>
      <c r="C19217" s="3">
        <v>0.7163310185185185</v>
      </c>
      <c r="D19217" s="1">
        <v>12.6996</v>
      </c>
      <c r="E19217" s="1">
        <v>79.968924</v>
      </c>
      <c r="F19217" s="1">
        <v>2846.0</v>
      </c>
      <c r="G19217" s="1">
        <v>17.0</v>
      </c>
    </row>
    <row r="19218">
      <c r="A19218" s="1" t="s">
        <v>9</v>
      </c>
      <c r="B19218" s="2">
        <v>44792.0</v>
      </c>
      <c r="C19218" s="3">
        <v>0.7165393518518518</v>
      </c>
      <c r="D19218" s="1">
        <v>12.6996</v>
      </c>
      <c r="E19218" s="1">
        <v>79.968924</v>
      </c>
      <c r="F19218" s="1">
        <v>2846.0</v>
      </c>
      <c r="G19218" s="1">
        <v>17.0</v>
      </c>
    </row>
    <row r="19219">
      <c r="A19219" s="1" t="s">
        <v>8</v>
      </c>
      <c r="B19219" s="2">
        <v>44792.0</v>
      </c>
      <c r="C19219" s="3">
        <v>0.7169097222222223</v>
      </c>
      <c r="D19219" s="1">
        <v>13.010599</v>
      </c>
      <c r="E19219" s="1">
        <v>80.216388</v>
      </c>
      <c r="F19219" s="1">
        <v>5339.0</v>
      </c>
      <c r="G19219" s="1">
        <v>41.0</v>
      </c>
    </row>
    <row r="19220">
      <c r="A19220" s="1" t="s">
        <v>8</v>
      </c>
      <c r="B19220" s="2">
        <v>44792.0</v>
      </c>
      <c r="C19220" s="3">
        <v>0.7169097222222223</v>
      </c>
      <c r="D19220" s="1">
        <v>13.011651</v>
      </c>
      <c r="E19220" s="1">
        <v>80.219035</v>
      </c>
      <c r="F19220" s="1">
        <v>5339.0</v>
      </c>
      <c r="G19220" s="1">
        <v>44.0</v>
      </c>
    </row>
    <row r="19221">
      <c r="A19221" s="1" t="s">
        <v>8</v>
      </c>
      <c r="B19221" s="2">
        <v>44792.0</v>
      </c>
      <c r="C19221" s="3">
        <v>0.7169444444444445</v>
      </c>
      <c r="D19221" s="1">
        <v>12.947613</v>
      </c>
      <c r="E19221" s="1">
        <v>80.184574</v>
      </c>
      <c r="F19221" s="1">
        <v>3143.0</v>
      </c>
      <c r="G19221" s="1">
        <v>30.0</v>
      </c>
    </row>
    <row r="19222">
      <c r="A19222" s="1" t="s">
        <v>8</v>
      </c>
      <c r="B19222" s="2">
        <v>44792.0</v>
      </c>
      <c r="C19222" s="3">
        <v>0.7169560185185185</v>
      </c>
      <c r="D19222" s="1">
        <v>12.947613</v>
      </c>
      <c r="E19222" s="1">
        <v>80.184574</v>
      </c>
      <c r="F19222" s="1">
        <v>3143.0</v>
      </c>
      <c r="G19222" s="1">
        <v>30.0</v>
      </c>
    </row>
    <row r="19223">
      <c r="A19223" s="1" t="s">
        <v>8</v>
      </c>
      <c r="B19223" s="2">
        <v>44792.0</v>
      </c>
      <c r="C19223" s="3">
        <v>0.7169675925925926</v>
      </c>
      <c r="D19223" s="1">
        <v>12.947613</v>
      </c>
      <c r="E19223" s="1">
        <v>80.184574</v>
      </c>
      <c r="F19223" s="1">
        <v>3143.0</v>
      </c>
      <c r="G19223" s="1">
        <v>30.0</v>
      </c>
    </row>
    <row r="19224">
      <c r="A19224" s="1" t="s">
        <v>8</v>
      </c>
      <c r="B19224" s="2">
        <v>44792.0</v>
      </c>
      <c r="C19224" s="3">
        <v>0.7169791666666666</v>
      </c>
      <c r="D19224" s="1">
        <v>12.947613</v>
      </c>
      <c r="E19224" s="1">
        <v>80.184574</v>
      </c>
      <c r="F19224" s="1">
        <v>3143.0</v>
      </c>
      <c r="G19224" s="1">
        <v>30.0</v>
      </c>
    </row>
    <row r="19225">
      <c r="A19225" s="1" t="s">
        <v>8</v>
      </c>
      <c r="B19225" s="2">
        <v>44792.0</v>
      </c>
      <c r="C19225" s="3">
        <v>0.7170601851851852</v>
      </c>
      <c r="D19225" s="1">
        <v>13.012028</v>
      </c>
      <c r="E19225" s="1">
        <v>80.220171</v>
      </c>
      <c r="F19225" s="1">
        <v>5339.0</v>
      </c>
      <c r="G19225" s="1">
        <v>45.0</v>
      </c>
    </row>
    <row r="19226">
      <c r="A19226" s="1" t="s">
        <v>9</v>
      </c>
      <c r="B19226" s="2">
        <v>44792.0</v>
      </c>
      <c r="C19226" s="3">
        <v>0.7173726851851852</v>
      </c>
      <c r="D19226" s="1">
        <v>13.013352</v>
      </c>
      <c r="E19226" s="1">
        <v>80.222538</v>
      </c>
      <c r="F19226" s="1">
        <v>5339.0</v>
      </c>
      <c r="G19226" s="1">
        <v>34.0</v>
      </c>
    </row>
    <row r="19227">
      <c r="A19227" s="1" t="s">
        <v>8</v>
      </c>
      <c r="B19227" s="2">
        <v>44792.0</v>
      </c>
      <c r="C19227" s="3">
        <v>0.7174189814814815</v>
      </c>
      <c r="D19227" s="1">
        <v>12.697806</v>
      </c>
      <c r="E19227" s="1">
        <v>79.971242</v>
      </c>
      <c r="F19227" s="1">
        <v>2846.0</v>
      </c>
      <c r="G19227" s="1">
        <v>29.0</v>
      </c>
    </row>
    <row r="19228">
      <c r="A19228" s="1" t="s">
        <v>8</v>
      </c>
      <c r="B19228" s="2">
        <v>44792.0</v>
      </c>
      <c r="C19228" s="3">
        <v>0.7181018518518518</v>
      </c>
      <c r="D19228" s="1">
        <v>13.015374</v>
      </c>
      <c r="E19228" s="1">
        <v>80.224911</v>
      </c>
      <c r="F19228" s="1">
        <v>5339.0</v>
      </c>
      <c r="G19228" s="1">
        <v>24.0</v>
      </c>
    </row>
    <row r="19229">
      <c r="A19229" s="1" t="s">
        <v>8</v>
      </c>
      <c r="B19229" s="2">
        <v>44792.0</v>
      </c>
      <c r="C19229" s="3">
        <v>0.7182407407407407</v>
      </c>
      <c r="D19229" s="1">
        <v>13.016736</v>
      </c>
      <c r="E19229" s="1">
        <v>80.225262</v>
      </c>
      <c r="F19229" s="1">
        <v>5339.0</v>
      </c>
      <c r="G19229" s="1">
        <v>34.0</v>
      </c>
    </row>
    <row r="19230">
      <c r="A19230" s="1" t="s">
        <v>8</v>
      </c>
      <c r="B19230" s="2">
        <v>44792.0</v>
      </c>
      <c r="C19230" s="3">
        <v>0.7183796296296296</v>
      </c>
      <c r="D19230" s="1">
        <v>13.017742</v>
      </c>
      <c r="E19230" s="1">
        <v>80.224859</v>
      </c>
      <c r="F19230" s="1">
        <v>5339.0</v>
      </c>
      <c r="G19230" s="1">
        <v>49.0</v>
      </c>
    </row>
    <row r="19231">
      <c r="A19231" s="1" t="s">
        <v>10</v>
      </c>
      <c r="B19231" s="2">
        <v>44792.0</v>
      </c>
      <c r="C19231" s="3">
        <v>0.7190162037037037</v>
      </c>
      <c r="D19231" s="1">
        <v>12.694136</v>
      </c>
      <c r="E19231" s="1">
        <v>79.978784</v>
      </c>
      <c r="F19231" s="1">
        <v>2846.0</v>
      </c>
      <c r="G19231" s="1">
        <v>28.0</v>
      </c>
    </row>
    <row r="19232">
      <c r="A19232" s="1" t="s">
        <v>8</v>
      </c>
      <c r="B19232" s="2">
        <v>44792.0</v>
      </c>
      <c r="C19232" s="3">
        <v>0.7195601851851852</v>
      </c>
      <c r="D19232" s="1">
        <v>13.023163</v>
      </c>
      <c r="E19232" s="1">
        <v>80.227189</v>
      </c>
      <c r="F19232" s="1">
        <v>5339.0</v>
      </c>
      <c r="G19232" s="1">
        <v>41.0</v>
      </c>
    </row>
    <row r="19233">
      <c r="A19233" s="1" t="s">
        <v>8</v>
      </c>
      <c r="B19233" s="2">
        <v>44792.0</v>
      </c>
      <c r="C19233" s="3">
        <v>0.7197916666666667</v>
      </c>
      <c r="D19233" s="1">
        <v>13.024362</v>
      </c>
      <c r="E19233" s="1">
        <v>80.228544</v>
      </c>
      <c r="F19233" s="1">
        <v>5339.0</v>
      </c>
      <c r="G19233" s="1">
        <v>36.0</v>
      </c>
    </row>
    <row r="19234">
      <c r="A19234" s="1" t="s">
        <v>8</v>
      </c>
      <c r="B19234" s="2">
        <v>44792.0</v>
      </c>
      <c r="C19234" s="3">
        <v>0.7198148148148148</v>
      </c>
      <c r="D19234" s="1">
        <v>12.692307</v>
      </c>
      <c r="E19234" s="1">
        <v>79.980057</v>
      </c>
      <c r="F19234" s="1">
        <v>2846.0</v>
      </c>
      <c r="G19234" s="1">
        <v>43.0</v>
      </c>
    </row>
    <row r="19235">
      <c r="A19235" s="1" t="s">
        <v>9</v>
      </c>
      <c r="B19235" s="2">
        <v>44792.0</v>
      </c>
      <c r="C19235" s="3">
        <v>0.7199768518518519</v>
      </c>
      <c r="D19235" s="1">
        <v>13.025416</v>
      </c>
      <c r="E19235" s="1">
        <v>80.229946</v>
      </c>
      <c r="F19235" s="1">
        <v>5339.0</v>
      </c>
      <c r="G19235" s="1">
        <v>31.0</v>
      </c>
    </row>
    <row r="19236">
      <c r="A19236" s="1" t="s">
        <v>8</v>
      </c>
      <c r="B19236" s="2">
        <v>44792.0</v>
      </c>
      <c r="C19236" s="3">
        <v>0.7201736111111111</v>
      </c>
      <c r="D19236" s="1">
        <v>12.689764</v>
      </c>
      <c r="E19236" s="1">
        <v>79.982288</v>
      </c>
      <c r="F19236" s="1">
        <v>2846.0</v>
      </c>
      <c r="G19236" s="1">
        <v>38.0</v>
      </c>
    </row>
    <row r="19237">
      <c r="A19237" s="1" t="s">
        <v>10</v>
      </c>
      <c r="B19237" s="2">
        <v>44792.0</v>
      </c>
      <c r="C19237" s="3">
        <v>0.7204398148148148</v>
      </c>
      <c r="D19237" s="1">
        <v>12.687369</v>
      </c>
      <c r="E19237" s="1">
        <v>79.983031</v>
      </c>
      <c r="F19237" s="1">
        <v>2846.0</v>
      </c>
      <c r="G19237" s="1">
        <v>27.0</v>
      </c>
    </row>
    <row r="19238">
      <c r="A19238" s="1" t="s">
        <v>8</v>
      </c>
      <c r="B19238" s="2">
        <v>44792.0</v>
      </c>
      <c r="C19238" s="3">
        <v>0.7210185185185185</v>
      </c>
      <c r="D19238" s="1">
        <v>13.026836</v>
      </c>
      <c r="E19238" s="1">
        <v>80.233421</v>
      </c>
      <c r="F19238" s="1">
        <v>5339.0</v>
      </c>
      <c r="G19238" s="1">
        <v>46.0</v>
      </c>
    </row>
    <row r="19239">
      <c r="A19239" s="1" t="s">
        <v>8</v>
      </c>
      <c r="B19239" s="2">
        <v>44792.0</v>
      </c>
      <c r="C19239" s="3">
        <v>0.7212268518518519</v>
      </c>
      <c r="D19239" s="1">
        <v>13.027467</v>
      </c>
      <c r="E19239" s="1">
        <v>80.234448</v>
      </c>
      <c r="F19239" s="1">
        <v>5339.0</v>
      </c>
      <c r="G19239" s="1">
        <v>42.0</v>
      </c>
    </row>
    <row r="19240">
      <c r="A19240" s="1" t="s">
        <v>8</v>
      </c>
      <c r="B19240" s="2">
        <v>44792.0</v>
      </c>
      <c r="C19240" s="3">
        <v>0.7216550925925926</v>
      </c>
      <c r="D19240" s="1">
        <v>13.029285</v>
      </c>
      <c r="E19240" s="1">
        <v>80.236797</v>
      </c>
      <c r="F19240" s="1">
        <v>5339.0</v>
      </c>
      <c r="G19240" s="1">
        <v>40.0</v>
      </c>
    </row>
    <row r="19241">
      <c r="A19241" s="1" t="s">
        <v>8</v>
      </c>
      <c r="B19241" s="2">
        <v>44792.0</v>
      </c>
      <c r="C19241" s="3">
        <v>0.7217361111111111</v>
      </c>
      <c r="D19241" s="1">
        <v>13.029886</v>
      </c>
      <c r="E19241" s="1">
        <v>80.237547</v>
      </c>
      <c r="F19241" s="1">
        <v>5339.0</v>
      </c>
      <c r="G19241" s="1">
        <v>31.0</v>
      </c>
    </row>
    <row r="19242">
      <c r="A19242" s="1" t="s">
        <v>8</v>
      </c>
      <c r="B19242" s="2">
        <v>44792.0</v>
      </c>
      <c r="C19242" s="3">
        <v>0.7227199074074074</v>
      </c>
      <c r="D19242" s="1">
        <v>12.965698</v>
      </c>
      <c r="E19242" s="1">
        <v>80.19011</v>
      </c>
      <c r="F19242" s="1">
        <v>3143.0</v>
      </c>
      <c r="G19242" s="1">
        <v>33.0</v>
      </c>
    </row>
    <row r="19243">
      <c r="A19243" s="1" t="s">
        <v>10</v>
      </c>
      <c r="B19243" s="2">
        <v>44792.0</v>
      </c>
      <c r="C19243" s="3">
        <v>0.7232060185185185</v>
      </c>
      <c r="D19243" s="1">
        <v>13.03313</v>
      </c>
      <c r="E19243" s="1">
        <v>80.243284</v>
      </c>
      <c r="F19243" s="1">
        <v>5339.0</v>
      </c>
      <c r="G19243" s="1">
        <v>13.0</v>
      </c>
    </row>
    <row r="19244">
      <c r="A19244" s="1" t="s">
        <v>9</v>
      </c>
      <c r="B19244" s="2">
        <v>44792.0</v>
      </c>
      <c r="C19244" s="3">
        <v>0.7234837962962963</v>
      </c>
      <c r="D19244" s="1">
        <v>13.033874</v>
      </c>
      <c r="E19244" s="1">
        <v>80.244336</v>
      </c>
      <c r="F19244" s="1">
        <v>5339.0</v>
      </c>
      <c r="G19244" s="1">
        <v>30.0</v>
      </c>
    </row>
    <row r="19245">
      <c r="A19245" s="1" t="s">
        <v>8</v>
      </c>
      <c r="B19245" s="2">
        <v>44792.0</v>
      </c>
      <c r="C19245" s="3">
        <v>0.723912037037037</v>
      </c>
      <c r="D19245" s="1">
        <v>12.673979</v>
      </c>
      <c r="E19245" s="1">
        <v>79.976761</v>
      </c>
      <c r="F19245" s="1">
        <v>2846.0</v>
      </c>
      <c r="G19245" s="1">
        <v>22.0</v>
      </c>
    </row>
    <row r="19246">
      <c r="A19246" s="1" t="s">
        <v>10</v>
      </c>
      <c r="B19246" s="2">
        <v>44792.0</v>
      </c>
      <c r="C19246" s="3">
        <v>0.7239930555555556</v>
      </c>
      <c r="D19246" s="1">
        <v>12.964727</v>
      </c>
      <c r="E19246" s="1">
        <v>80.19615</v>
      </c>
      <c r="F19246" s="1">
        <v>3143.0</v>
      </c>
      <c r="G19246" s="1">
        <v>10.0</v>
      </c>
    </row>
    <row r="19247">
      <c r="A19247" s="1" t="s">
        <v>8</v>
      </c>
      <c r="B19247" s="2">
        <v>44792.0</v>
      </c>
      <c r="C19247" s="3">
        <v>0.7247453703703703</v>
      </c>
      <c r="D19247" s="1">
        <v>13.036147</v>
      </c>
      <c r="E19247" s="1">
        <v>80.246172</v>
      </c>
      <c r="F19247" s="1">
        <v>5339.0</v>
      </c>
      <c r="G19247" s="1">
        <v>38.0</v>
      </c>
    </row>
    <row r="19248">
      <c r="A19248" s="1" t="s">
        <v>7</v>
      </c>
      <c r="B19248" s="2">
        <v>44792.0</v>
      </c>
      <c r="C19248" s="3">
        <v>0.7251736111111111</v>
      </c>
      <c r="D19248" s="1">
        <v>12.666325</v>
      </c>
      <c r="E19248" s="1">
        <v>79.970704</v>
      </c>
      <c r="F19248" s="1">
        <v>2846.0</v>
      </c>
      <c r="G19248" s="1">
        <v>50.0</v>
      </c>
    </row>
    <row r="19249">
      <c r="A19249" s="1" t="s">
        <v>7</v>
      </c>
      <c r="B19249" s="2">
        <v>44792.0</v>
      </c>
      <c r="C19249" s="3">
        <v>0.7258564814814815</v>
      </c>
      <c r="D19249" s="1">
        <v>12.661671</v>
      </c>
      <c r="E19249" s="1">
        <v>79.967075</v>
      </c>
      <c r="F19249" s="1">
        <v>2846.0</v>
      </c>
      <c r="G19249" s="1">
        <v>19.0</v>
      </c>
    </row>
    <row r="19250">
      <c r="A19250" s="1" t="s">
        <v>10</v>
      </c>
      <c r="B19250" s="2">
        <v>44792.0</v>
      </c>
      <c r="C19250" s="3">
        <v>0.7259722222222222</v>
      </c>
      <c r="D19250" s="1">
        <v>12.965808</v>
      </c>
      <c r="E19250" s="1">
        <v>80.202996</v>
      </c>
      <c r="F19250" s="1">
        <v>3143.0</v>
      </c>
      <c r="G19250" s="1">
        <v>34.0</v>
      </c>
    </row>
    <row r="19251">
      <c r="A19251" s="1" t="s">
        <v>8</v>
      </c>
      <c r="B19251" s="2">
        <v>44792.0</v>
      </c>
      <c r="C19251" s="3">
        <v>0.7267361111111111</v>
      </c>
      <c r="D19251" s="1">
        <v>12.657022</v>
      </c>
      <c r="E19251" s="1">
        <v>79.956801</v>
      </c>
      <c r="F19251" s="1">
        <v>2846.0</v>
      </c>
      <c r="G19251" s="1">
        <v>39.0</v>
      </c>
    </row>
    <row r="19252">
      <c r="A19252" s="1" t="s">
        <v>8</v>
      </c>
      <c r="B19252" s="2">
        <v>44792.0</v>
      </c>
      <c r="C19252" s="3">
        <v>0.7270949074074075</v>
      </c>
      <c r="D19252" s="1">
        <v>12.656002</v>
      </c>
      <c r="E19252" s="1">
        <v>79.951354</v>
      </c>
      <c r="F19252" s="1">
        <v>2846.0</v>
      </c>
      <c r="G19252" s="1">
        <v>35.0</v>
      </c>
    </row>
    <row r="19253">
      <c r="A19253" s="1" t="s">
        <v>8</v>
      </c>
      <c r="B19253" s="2">
        <v>44792.0</v>
      </c>
      <c r="C19253" s="3">
        <v>0.7271180555555555</v>
      </c>
      <c r="D19253" s="1">
        <v>12.656002</v>
      </c>
      <c r="E19253" s="1">
        <v>79.951354</v>
      </c>
      <c r="F19253" s="1">
        <v>2846.0</v>
      </c>
      <c r="G19253" s="1">
        <v>35.0</v>
      </c>
    </row>
    <row r="19254">
      <c r="A19254" s="1" t="s">
        <v>7</v>
      </c>
      <c r="B19254" s="2">
        <v>44792.0</v>
      </c>
      <c r="C19254" s="3">
        <v>0.728738425925926</v>
      </c>
      <c r="D19254" s="1">
        <v>12.656479</v>
      </c>
      <c r="E19254" s="1">
        <v>79.942001</v>
      </c>
      <c r="F19254" s="1">
        <v>2846.0</v>
      </c>
      <c r="G19254" s="1">
        <v>57.0</v>
      </c>
    </row>
    <row r="19255">
      <c r="A19255" s="1" t="s">
        <v>8</v>
      </c>
      <c r="B19255" s="2">
        <v>44792.0</v>
      </c>
      <c r="C19255" s="3">
        <v>0.7288773148148148</v>
      </c>
      <c r="D19255" s="1">
        <v>12.655037</v>
      </c>
      <c r="E19255" s="1">
        <v>79.942011</v>
      </c>
      <c r="F19255" s="1">
        <v>2846.0</v>
      </c>
      <c r="G19255" s="1">
        <v>58.0</v>
      </c>
    </row>
    <row r="19256">
      <c r="A19256" s="1" t="s">
        <v>8</v>
      </c>
      <c r="B19256" s="2">
        <v>44792.0</v>
      </c>
      <c r="C19256" s="3">
        <v>0.7289814814814815</v>
      </c>
      <c r="D19256" s="1">
        <v>12.655037</v>
      </c>
      <c r="E19256" s="1">
        <v>79.942011</v>
      </c>
      <c r="F19256" s="1">
        <v>2846.0</v>
      </c>
      <c r="G19256" s="1">
        <v>58.0</v>
      </c>
    </row>
    <row r="19257">
      <c r="A19257" s="1" t="s">
        <v>8</v>
      </c>
      <c r="B19257" s="2">
        <v>44792.0</v>
      </c>
      <c r="C19257" s="3">
        <v>0.7290046296296296</v>
      </c>
      <c r="D19257" s="1">
        <v>13.049893</v>
      </c>
      <c r="E19257" s="1">
        <v>80.249754</v>
      </c>
      <c r="F19257" s="1">
        <v>5339.0</v>
      </c>
      <c r="G19257" s="1">
        <v>24.0</v>
      </c>
    </row>
    <row r="19258">
      <c r="A19258" s="1" t="s">
        <v>8</v>
      </c>
      <c r="B19258" s="2">
        <v>44792.0</v>
      </c>
      <c r="C19258" s="3">
        <v>0.7290162037037037</v>
      </c>
      <c r="D19258" s="1">
        <v>13.049893</v>
      </c>
      <c r="E19258" s="1">
        <v>80.249754</v>
      </c>
      <c r="F19258" s="1">
        <v>5339.0</v>
      </c>
      <c r="G19258" s="1">
        <v>24.0</v>
      </c>
    </row>
    <row r="19259">
      <c r="A19259" s="1" t="s">
        <v>8</v>
      </c>
      <c r="B19259" s="2">
        <v>44792.0</v>
      </c>
      <c r="C19259" s="3">
        <v>0.7290856481481481</v>
      </c>
      <c r="D19259" s="1">
        <v>12.656479</v>
      </c>
      <c r="E19259" s="1">
        <v>79.942001</v>
      </c>
      <c r="F19259" s="1">
        <v>2846.0</v>
      </c>
      <c r="G19259" s="1">
        <v>57.0</v>
      </c>
    </row>
    <row r="19260">
      <c r="A19260" s="1" t="s">
        <v>8</v>
      </c>
      <c r="B19260" s="2">
        <v>44792.0</v>
      </c>
      <c r="C19260" s="3">
        <v>0.7292824074074075</v>
      </c>
      <c r="D19260" s="1">
        <v>13.051324</v>
      </c>
      <c r="E19260" s="1">
        <v>80.250116</v>
      </c>
      <c r="F19260" s="1">
        <v>5339.0</v>
      </c>
      <c r="G19260" s="1">
        <v>36.0</v>
      </c>
    </row>
    <row r="19261">
      <c r="A19261" s="1" t="s">
        <v>8</v>
      </c>
      <c r="B19261" s="2">
        <v>44792.0</v>
      </c>
      <c r="C19261" s="3">
        <v>0.729363425925926</v>
      </c>
      <c r="D19261" s="1">
        <v>12.960614</v>
      </c>
      <c r="E19261" s="1">
        <v>80.214839</v>
      </c>
      <c r="F19261" s="1">
        <v>3143.0</v>
      </c>
      <c r="G19261" s="1">
        <v>0.0</v>
      </c>
    </row>
    <row r="19262">
      <c r="A19262" s="1" t="s">
        <v>8</v>
      </c>
      <c r="B19262" s="2">
        <v>44792.0</v>
      </c>
      <c r="C19262" s="3">
        <v>0.729386574074074</v>
      </c>
      <c r="D19262" s="1">
        <v>12.95934</v>
      </c>
      <c r="E19262" s="1">
        <v>80.214328</v>
      </c>
      <c r="F19262" s="1">
        <v>3143.0</v>
      </c>
      <c r="G19262" s="1">
        <v>0.0</v>
      </c>
    </row>
    <row r="19263">
      <c r="A19263" s="1" t="s">
        <v>8</v>
      </c>
      <c r="B19263" s="2">
        <v>44792.0</v>
      </c>
      <c r="C19263" s="3">
        <v>0.7294444444444445</v>
      </c>
      <c r="D19263" s="1">
        <v>13.052054</v>
      </c>
      <c r="E19263" s="1">
        <v>80.250629</v>
      </c>
      <c r="F19263" s="1">
        <v>5339.0</v>
      </c>
      <c r="G19263" s="1">
        <v>29.0</v>
      </c>
    </row>
    <row r="19264">
      <c r="A19264" s="1" t="s">
        <v>8</v>
      </c>
      <c r="B19264" s="2">
        <v>44792.0</v>
      </c>
      <c r="C19264" s="3">
        <v>0.7295138888888889</v>
      </c>
      <c r="D19264" s="1">
        <v>12.95934</v>
      </c>
      <c r="E19264" s="1">
        <v>80.214328</v>
      </c>
      <c r="F19264" s="1">
        <v>3143.0</v>
      </c>
      <c r="G19264" s="1">
        <v>0.0</v>
      </c>
    </row>
    <row r="19265">
      <c r="A19265" s="1" t="s">
        <v>7</v>
      </c>
      <c r="B19265" s="2">
        <v>44792.0</v>
      </c>
      <c r="C19265" s="3">
        <v>0.7296990740740741</v>
      </c>
      <c r="D19265" s="1">
        <v>12.651625</v>
      </c>
      <c r="E19265" s="1">
        <v>79.941957</v>
      </c>
      <c r="F19265" s="1">
        <v>2846.0</v>
      </c>
      <c r="G19265" s="1">
        <v>41.0</v>
      </c>
    </row>
    <row r="19266">
      <c r="A19266" s="1" t="s">
        <v>8</v>
      </c>
      <c r="B19266" s="2">
        <v>44792.0</v>
      </c>
      <c r="C19266" s="3">
        <v>0.7297453703703703</v>
      </c>
      <c r="D19266" s="1">
        <v>13.053633</v>
      </c>
      <c r="E19266" s="1">
        <v>80.25269</v>
      </c>
      <c r="F19266" s="1">
        <v>5339.0</v>
      </c>
      <c r="G19266" s="1">
        <v>25.0</v>
      </c>
    </row>
    <row r="19267">
      <c r="A19267" s="1" t="s">
        <v>7</v>
      </c>
      <c r="B19267" s="2">
        <v>44792.0</v>
      </c>
      <c r="C19267" s="3">
        <v>0.7298842592592593</v>
      </c>
      <c r="D19267" s="1">
        <v>12.955488</v>
      </c>
      <c r="E19267" s="1">
        <v>80.21282</v>
      </c>
      <c r="F19267" s="1">
        <v>3143.0</v>
      </c>
      <c r="G19267" s="1">
        <v>45.0</v>
      </c>
    </row>
    <row r="19268">
      <c r="A19268" s="1" t="s">
        <v>7</v>
      </c>
      <c r="B19268" s="2">
        <v>44792.0</v>
      </c>
      <c r="C19268" s="3">
        <v>0.7299305555555555</v>
      </c>
      <c r="D19268" s="1">
        <v>12.644473</v>
      </c>
      <c r="E19268" s="1">
        <v>79.939099</v>
      </c>
      <c r="F19268" s="1">
        <v>2846.0</v>
      </c>
      <c r="G19268" s="1">
        <v>57.0</v>
      </c>
    </row>
    <row r="19269">
      <c r="A19269" s="1" t="s">
        <v>7</v>
      </c>
      <c r="B19269" s="2">
        <v>44792.0</v>
      </c>
      <c r="C19269" s="3">
        <v>0.7306365740740741</v>
      </c>
      <c r="D19269" s="1">
        <v>12.952339</v>
      </c>
      <c r="E19269" s="1">
        <v>80.211654</v>
      </c>
      <c r="F19269" s="1">
        <v>3143.0</v>
      </c>
      <c r="G19269" s="1">
        <v>45.0</v>
      </c>
    </row>
    <row r="19270">
      <c r="A19270" s="1" t="s">
        <v>10</v>
      </c>
      <c r="B19270" s="2">
        <v>44792.0</v>
      </c>
      <c r="C19270" s="3">
        <v>0.7316319444444445</v>
      </c>
      <c r="D19270" s="1">
        <v>13.056873</v>
      </c>
      <c r="E19270" s="1">
        <v>80.257805</v>
      </c>
      <c r="F19270" s="1">
        <v>5339.0</v>
      </c>
      <c r="G19270" s="1">
        <v>19.0</v>
      </c>
    </row>
    <row r="19271">
      <c r="A19271" s="1" t="s">
        <v>10</v>
      </c>
      <c r="B19271" s="2">
        <v>44792.0</v>
      </c>
      <c r="C19271" s="3">
        <v>0.7318171296296296</v>
      </c>
      <c r="D19271" s="1">
        <v>13.056</v>
      </c>
      <c r="E19271" s="1">
        <v>80.25774</v>
      </c>
      <c r="F19271" s="1">
        <v>5339.0</v>
      </c>
      <c r="G19271" s="1">
        <v>19.0</v>
      </c>
    </row>
    <row r="19272">
      <c r="A19272" s="1" t="s">
        <v>7</v>
      </c>
      <c r="B19272" s="2">
        <v>44792.0</v>
      </c>
      <c r="C19272" s="3">
        <v>0.7319560185185185</v>
      </c>
      <c r="D19272" s="1">
        <v>12.625467</v>
      </c>
      <c r="E19272" s="1">
        <v>79.929276</v>
      </c>
      <c r="F19272" s="1">
        <v>2846.0</v>
      </c>
      <c r="G19272" s="1">
        <v>56.0</v>
      </c>
    </row>
    <row r="19273">
      <c r="A19273" s="1" t="s">
        <v>7</v>
      </c>
      <c r="B19273" s="2">
        <v>44792.0</v>
      </c>
      <c r="C19273" s="3">
        <v>0.7324768518518519</v>
      </c>
      <c r="D19273" s="1">
        <v>12.621438</v>
      </c>
      <c r="E19273" s="1">
        <v>79.927564</v>
      </c>
      <c r="F19273" s="1">
        <v>2846.0</v>
      </c>
      <c r="G19273" s="1">
        <v>57.0</v>
      </c>
    </row>
    <row r="19274">
      <c r="A19274" s="1" t="s">
        <v>10</v>
      </c>
      <c r="B19274" s="2">
        <v>44792.0</v>
      </c>
      <c r="C19274" s="3">
        <v>0.7329282407407407</v>
      </c>
      <c r="D19274" s="1">
        <v>13.053968</v>
      </c>
      <c r="E19274" s="1">
        <v>80.263385</v>
      </c>
      <c r="F19274" s="1">
        <v>5339.0</v>
      </c>
      <c r="G19274" s="1">
        <v>39.0</v>
      </c>
    </row>
    <row r="19275">
      <c r="A19275" s="1" t="s">
        <v>7</v>
      </c>
      <c r="B19275" s="2">
        <v>44792.0</v>
      </c>
      <c r="C19275" s="3">
        <v>0.7330092592592593</v>
      </c>
      <c r="D19275" s="1">
        <v>12.614644</v>
      </c>
      <c r="E19275" s="1">
        <v>79.925459</v>
      </c>
      <c r="F19275" s="1">
        <v>2846.0</v>
      </c>
      <c r="G19275" s="1">
        <v>58.0</v>
      </c>
    </row>
    <row r="19276">
      <c r="A19276" s="1" t="s">
        <v>8</v>
      </c>
      <c r="B19276" s="2">
        <v>44792.0</v>
      </c>
      <c r="C19276" s="3">
        <v>0.733275462962963</v>
      </c>
      <c r="D19276" s="1">
        <v>13.053726</v>
      </c>
      <c r="E19276" s="1">
        <v>80.265989</v>
      </c>
      <c r="F19276" s="1">
        <v>5339.0</v>
      </c>
      <c r="G19276" s="1">
        <v>33.0</v>
      </c>
    </row>
    <row r="19277">
      <c r="A19277" s="1" t="s">
        <v>7</v>
      </c>
      <c r="B19277" s="2">
        <v>44792.0</v>
      </c>
      <c r="C19277" s="3">
        <v>0.7335185185185186</v>
      </c>
      <c r="D19277" s="1">
        <v>12.608335</v>
      </c>
      <c r="E19277" s="1">
        <v>79.921839</v>
      </c>
      <c r="F19277" s="1">
        <v>2846.0</v>
      </c>
      <c r="G19277" s="1">
        <v>56.0</v>
      </c>
    </row>
    <row r="19278">
      <c r="A19278" s="1" t="s">
        <v>10</v>
      </c>
      <c r="B19278" s="2">
        <v>44792.0</v>
      </c>
      <c r="C19278" s="3">
        <v>0.7335300925925926</v>
      </c>
      <c r="D19278" s="1">
        <v>13.05367</v>
      </c>
      <c r="E19278" s="1">
        <v>80.26665</v>
      </c>
      <c r="F19278" s="1">
        <v>5339.0</v>
      </c>
      <c r="G19278" s="1">
        <v>24.0</v>
      </c>
    </row>
    <row r="19279">
      <c r="A19279" s="1" t="s">
        <v>7</v>
      </c>
      <c r="B19279" s="2">
        <v>44792.0</v>
      </c>
      <c r="C19279" s="3">
        <v>0.7335879629629629</v>
      </c>
      <c r="D19279" s="1">
        <v>12.608335</v>
      </c>
      <c r="E19279" s="1">
        <v>79.921839</v>
      </c>
      <c r="F19279" s="1">
        <v>2846.0</v>
      </c>
      <c r="G19279" s="1">
        <v>56.0</v>
      </c>
    </row>
    <row r="19280">
      <c r="A19280" s="1" t="s">
        <v>8</v>
      </c>
      <c r="B19280" s="2">
        <v>44792.0</v>
      </c>
      <c r="C19280" s="3">
        <v>0.7345486111111111</v>
      </c>
      <c r="D19280" s="1">
        <v>12.94841</v>
      </c>
      <c r="E19280" s="1">
        <v>80.209351</v>
      </c>
      <c r="F19280" s="1">
        <v>3143.0</v>
      </c>
      <c r="G19280" s="1">
        <v>31.0</v>
      </c>
    </row>
    <row r="19281">
      <c r="A19281" s="1" t="s">
        <v>8</v>
      </c>
      <c r="B19281" s="2">
        <v>44792.0</v>
      </c>
      <c r="C19281" s="3">
        <v>0.7345833333333334</v>
      </c>
      <c r="D19281" s="1">
        <v>12.94841</v>
      </c>
      <c r="E19281" s="1">
        <v>80.209351</v>
      </c>
      <c r="F19281" s="1">
        <v>3143.0</v>
      </c>
      <c r="G19281" s="1">
        <v>31.0</v>
      </c>
    </row>
    <row r="19282">
      <c r="A19282" s="1" t="s">
        <v>8</v>
      </c>
      <c r="B19282" s="2">
        <v>44792.0</v>
      </c>
      <c r="C19282" s="3">
        <v>0.7346180555555556</v>
      </c>
      <c r="D19282" s="1">
        <v>12.948498</v>
      </c>
      <c r="E19282" s="1">
        <v>80.208402</v>
      </c>
      <c r="F19282" s="1">
        <v>3143.0</v>
      </c>
      <c r="G19282" s="1">
        <v>39.0</v>
      </c>
    </row>
    <row r="19283">
      <c r="A19283" s="1" t="s">
        <v>8</v>
      </c>
      <c r="B19283" s="2">
        <v>44792.0</v>
      </c>
      <c r="C19283" s="3">
        <v>0.7346643518518519</v>
      </c>
      <c r="D19283" s="1">
        <v>12.948498</v>
      </c>
      <c r="E19283" s="1">
        <v>80.208402</v>
      </c>
      <c r="F19283" s="1">
        <v>3143.0</v>
      </c>
      <c r="G19283" s="1">
        <v>39.0</v>
      </c>
    </row>
    <row r="19284">
      <c r="A19284" s="1" t="s">
        <v>7</v>
      </c>
      <c r="B19284" s="2">
        <v>44792.0</v>
      </c>
      <c r="C19284" s="3">
        <v>0.7353587962962963</v>
      </c>
      <c r="D19284" s="1">
        <v>12.948546</v>
      </c>
      <c r="E19284" s="1">
        <v>80.20038</v>
      </c>
      <c r="F19284" s="1">
        <v>3143.0</v>
      </c>
      <c r="G19284" s="1">
        <v>55.0</v>
      </c>
    </row>
    <row r="19285">
      <c r="A19285" s="1" t="s">
        <v>10</v>
      </c>
      <c r="B19285" s="2">
        <v>44792.0</v>
      </c>
      <c r="C19285" s="3">
        <v>0.736099537037037</v>
      </c>
      <c r="D19285" s="1">
        <v>13.053574</v>
      </c>
      <c r="E19285" s="1">
        <v>80.273748</v>
      </c>
      <c r="F19285" s="1">
        <v>5339.0</v>
      </c>
      <c r="G19285" s="1">
        <v>0.0</v>
      </c>
    </row>
    <row r="19286">
      <c r="A19286" s="1" t="s">
        <v>7</v>
      </c>
      <c r="B19286" s="2">
        <v>44792.0</v>
      </c>
      <c r="C19286" s="3">
        <v>0.7361921296296297</v>
      </c>
      <c r="D19286" s="1">
        <v>12.578928</v>
      </c>
      <c r="E19286" s="1">
        <v>79.917887</v>
      </c>
      <c r="F19286" s="1">
        <v>2846.0</v>
      </c>
      <c r="G19286" s="1">
        <v>56.0</v>
      </c>
    </row>
    <row r="19287">
      <c r="A19287" s="1" t="s">
        <v>7</v>
      </c>
      <c r="B19287" s="2">
        <v>44792.0</v>
      </c>
      <c r="C19287" s="3">
        <v>0.7364004629629629</v>
      </c>
      <c r="D19287" s="1">
        <v>12.57329</v>
      </c>
      <c r="E19287" s="1">
        <v>79.91661</v>
      </c>
      <c r="F19287" s="1">
        <v>2846.0</v>
      </c>
      <c r="G19287" s="1">
        <v>57.0</v>
      </c>
    </row>
    <row r="19288">
      <c r="A19288" s="1" t="s">
        <v>10</v>
      </c>
      <c r="B19288" s="2">
        <v>44792.0</v>
      </c>
      <c r="C19288" s="3">
        <v>0.7367592592592592</v>
      </c>
      <c r="D19288" s="1">
        <v>13.05668</v>
      </c>
      <c r="E19288" s="1">
        <v>80.273935</v>
      </c>
      <c r="F19288" s="1">
        <v>5339.0</v>
      </c>
      <c r="G19288" s="1">
        <v>25.0</v>
      </c>
    </row>
    <row r="19289">
      <c r="A19289" s="1" t="s">
        <v>8</v>
      </c>
      <c r="B19289" s="2">
        <v>44792.0</v>
      </c>
      <c r="C19289" s="3">
        <v>0.7368171296296296</v>
      </c>
      <c r="D19289" s="1">
        <v>12.949535</v>
      </c>
      <c r="E19289" s="1">
        <v>80.181608</v>
      </c>
      <c r="F19289" s="1">
        <v>3143.0</v>
      </c>
      <c r="G19289" s="1">
        <v>44.0</v>
      </c>
    </row>
    <row r="19290">
      <c r="A19290" s="1" t="s">
        <v>8</v>
      </c>
      <c r="B19290" s="2">
        <v>44792.0</v>
      </c>
      <c r="C19290" s="3">
        <v>0.7372916666666667</v>
      </c>
      <c r="D19290" s="1">
        <v>12.950756</v>
      </c>
      <c r="E19290" s="1">
        <v>80.176578</v>
      </c>
      <c r="F19290" s="1">
        <v>3143.0</v>
      </c>
      <c r="G19290" s="1">
        <v>43.0</v>
      </c>
    </row>
    <row r="19291">
      <c r="A19291" s="1" t="s">
        <v>8</v>
      </c>
      <c r="B19291" s="2">
        <v>44792.0</v>
      </c>
      <c r="C19291" s="3">
        <v>0.7374074074074074</v>
      </c>
      <c r="D19291" s="1">
        <v>12.950756</v>
      </c>
      <c r="E19291" s="1">
        <v>80.176578</v>
      </c>
      <c r="F19291" s="1">
        <v>3143.0</v>
      </c>
      <c r="G19291" s="1">
        <v>43.0</v>
      </c>
    </row>
    <row r="19292">
      <c r="A19292" s="1" t="s">
        <v>7</v>
      </c>
      <c r="B19292" s="2">
        <v>44792.0</v>
      </c>
      <c r="C19292" s="3">
        <v>0.7381712962962963</v>
      </c>
      <c r="D19292" s="1">
        <v>12.952078</v>
      </c>
      <c r="E19292" s="1">
        <v>80.169728</v>
      </c>
      <c r="F19292" s="1">
        <v>3143.0</v>
      </c>
      <c r="G19292" s="1">
        <v>56.0</v>
      </c>
    </row>
    <row r="19293">
      <c r="A19293" s="1" t="s">
        <v>10</v>
      </c>
      <c r="B19293" s="2">
        <v>44792.0</v>
      </c>
      <c r="C19293" s="3">
        <v>0.738275462962963</v>
      </c>
      <c r="D19293" s="1">
        <v>13.06169</v>
      </c>
      <c r="E19293" s="1">
        <v>80.274345</v>
      </c>
      <c r="F19293" s="1">
        <v>5339.0</v>
      </c>
      <c r="G19293" s="1">
        <v>32.0</v>
      </c>
    </row>
    <row r="19294">
      <c r="A19294" s="1" t="s">
        <v>7</v>
      </c>
      <c r="B19294" s="2">
        <v>44792.0</v>
      </c>
      <c r="C19294" s="3">
        <v>0.7386342592592593</v>
      </c>
      <c r="D19294" s="1">
        <v>12.552487</v>
      </c>
      <c r="E19294" s="1">
        <v>79.907271</v>
      </c>
      <c r="F19294" s="1">
        <v>2846.0</v>
      </c>
      <c r="G19294" s="1">
        <v>57.0</v>
      </c>
    </row>
    <row r="19295">
      <c r="A19295" s="1" t="s">
        <v>10</v>
      </c>
      <c r="B19295" s="2">
        <v>44792.0</v>
      </c>
      <c r="C19295" s="3">
        <v>0.7387615740740741</v>
      </c>
      <c r="D19295" s="1">
        <v>13.062762</v>
      </c>
      <c r="E19295" s="1">
        <v>80.274195</v>
      </c>
      <c r="F19295" s="1">
        <v>5339.0</v>
      </c>
      <c r="G19295" s="1">
        <v>25.0</v>
      </c>
    </row>
    <row r="19296">
      <c r="A19296" s="1" t="s">
        <v>8</v>
      </c>
      <c r="B19296" s="2">
        <v>44792.0</v>
      </c>
      <c r="C19296" s="3">
        <v>0.7392592592592593</v>
      </c>
      <c r="D19296" s="1">
        <v>12.953051</v>
      </c>
      <c r="E19296" s="1">
        <v>80.165389</v>
      </c>
      <c r="F19296" s="1">
        <v>3143.0</v>
      </c>
      <c r="G19296" s="1">
        <v>28.0</v>
      </c>
    </row>
    <row r="19297">
      <c r="A19297" s="1" t="s">
        <v>9</v>
      </c>
      <c r="B19297" s="2">
        <v>44792.0</v>
      </c>
      <c r="C19297" s="3">
        <v>0.7392592592592593</v>
      </c>
      <c r="D19297" s="1">
        <v>12.953051</v>
      </c>
      <c r="E19297" s="1">
        <v>80.165389</v>
      </c>
      <c r="F19297" s="1">
        <v>3143.0</v>
      </c>
      <c r="G19297" s="1">
        <v>28.0</v>
      </c>
    </row>
    <row r="19298">
      <c r="A19298" s="1" t="s">
        <v>8</v>
      </c>
      <c r="B19298" s="2">
        <v>44792.0</v>
      </c>
      <c r="C19298" s="3">
        <v>0.7393287037037037</v>
      </c>
      <c r="D19298" s="1">
        <v>12.546921</v>
      </c>
      <c r="E19298" s="1">
        <v>79.905619</v>
      </c>
      <c r="F19298" s="1">
        <v>2846.0</v>
      </c>
      <c r="G19298" s="1">
        <v>58.0</v>
      </c>
    </row>
    <row r="19299">
      <c r="A19299" s="1" t="s">
        <v>10</v>
      </c>
      <c r="B19299" s="2">
        <v>44792.0</v>
      </c>
      <c r="C19299" s="3">
        <v>0.7393981481481482</v>
      </c>
      <c r="D19299" s="1">
        <v>13.06574</v>
      </c>
      <c r="E19299" s="1">
        <v>80.27381</v>
      </c>
      <c r="F19299" s="1">
        <v>5339.0</v>
      </c>
      <c r="G19299" s="1">
        <v>4.0</v>
      </c>
    </row>
    <row r="19300">
      <c r="A19300" s="1" t="s">
        <v>8</v>
      </c>
      <c r="B19300" s="2">
        <v>44792.0</v>
      </c>
      <c r="C19300" s="3">
        <v>0.7394444444444445</v>
      </c>
      <c r="D19300" s="1">
        <v>12.953288</v>
      </c>
      <c r="E19300" s="1">
        <v>80.164445</v>
      </c>
      <c r="F19300" s="1">
        <v>3143.0</v>
      </c>
      <c r="G19300" s="1">
        <v>44.0</v>
      </c>
    </row>
    <row r="19301">
      <c r="A19301" s="1" t="s">
        <v>8</v>
      </c>
      <c r="B19301" s="2">
        <v>44792.0</v>
      </c>
      <c r="C19301" s="3">
        <v>0.7395601851851852</v>
      </c>
      <c r="D19301" s="1">
        <v>12.953546</v>
      </c>
      <c r="E19301" s="1">
        <v>80.163282</v>
      </c>
      <c r="F19301" s="1">
        <v>3143.0</v>
      </c>
      <c r="G19301" s="1">
        <v>44.0</v>
      </c>
    </row>
    <row r="19302">
      <c r="A19302" s="1" t="s">
        <v>7</v>
      </c>
      <c r="B19302" s="2">
        <v>44792.0</v>
      </c>
      <c r="C19302" s="3">
        <v>0.7398148148148148</v>
      </c>
      <c r="D19302" s="1">
        <v>12.536239</v>
      </c>
      <c r="E19302" s="1">
        <v>79.902748</v>
      </c>
      <c r="F19302" s="1">
        <v>2846.0</v>
      </c>
      <c r="G19302" s="1">
        <v>59.0</v>
      </c>
    </row>
    <row r="19303">
      <c r="A19303" s="1" t="s">
        <v>8</v>
      </c>
      <c r="B19303" s="2">
        <v>44792.0</v>
      </c>
      <c r="C19303" s="3">
        <v>0.7398842592592593</v>
      </c>
      <c r="D19303" s="1">
        <v>13.066911</v>
      </c>
      <c r="E19303" s="1">
        <v>80.273544</v>
      </c>
      <c r="F19303" s="1">
        <v>5339.0</v>
      </c>
      <c r="G19303" s="1">
        <v>23.0</v>
      </c>
    </row>
    <row r="19304">
      <c r="A19304" s="1" t="s">
        <v>7</v>
      </c>
      <c r="B19304" s="2">
        <v>44792.0</v>
      </c>
      <c r="C19304" s="3">
        <v>0.7399537037037037</v>
      </c>
      <c r="D19304" s="1">
        <v>12.534993</v>
      </c>
      <c r="E19304" s="1">
        <v>79.901972</v>
      </c>
      <c r="F19304" s="1">
        <v>2846.0</v>
      </c>
      <c r="G19304" s="1">
        <v>56.0</v>
      </c>
    </row>
    <row r="19305">
      <c r="A19305" s="1" t="s">
        <v>7</v>
      </c>
      <c r="B19305" s="2">
        <v>44792.0</v>
      </c>
      <c r="C19305" s="3">
        <v>0.7407986111111111</v>
      </c>
      <c r="D19305" s="1">
        <v>12.52966</v>
      </c>
      <c r="E19305" s="1">
        <v>79.899426</v>
      </c>
      <c r="F19305" s="1">
        <v>2846.0</v>
      </c>
      <c r="G19305" s="1">
        <v>45.0</v>
      </c>
    </row>
    <row r="19306">
      <c r="A19306" s="1" t="s">
        <v>8</v>
      </c>
      <c r="B19306" s="2">
        <v>44792.0</v>
      </c>
      <c r="C19306" s="3">
        <v>0.7408333333333333</v>
      </c>
      <c r="D19306" s="1">
        <v>12.955266</v>
      </c>
      <c r="E19306" s="1">
        <v>80.15503</v>
      </c>
      <c r="F19306" s="1">
        <v>3143.0</v>
      </c>
      <c r="G19306" s="1">
        <v>52.0</v>
      </c>
    </row>
    <row r="19307">
      <c r="A19307" s="1" t="s">
        <v>8</v>
      </c>
      <c r="B19307" s="2">
        <v>44792.0</v>
      </c>
      <c r="C19307" s="3">
        <v>0.7408680555555556</v>
      </c>
      <c r="D19307" s="1">
        <v>12.527226</v>
      </c>
      <c r="E19307" s="1">
        <v>79.898178</v>
      </c>
      <c r="F19307" s="1">
        <v>2846.0</v>
      </c>
      <c r="G19307" s="1">
        <v>57.0</v>
      </c>
    </row>
    <row r="19308">
      <c r="A19308" s="1" t="s">
        <v>8</v>
      </c>
      <c r="B19308" s="2">
        <v>44792.0</v>
      </c>
      <c r="C19308" s="3">
        <v>0.7409837962962963</v>
      </c>
      <c r="D19308" s="1">
        <v>12.956019</v>
      </c>
      <c r="E19308" s="1">
        <v>80.152565</v>
      </c>
      <c r="F19308" s="1">
        <v>3143.0</v>
      </c>
      <c r="G19308" s="1">
        <v>50.0</v>
      </c>
    </row>
    <row r="19309">
      <c r="A19309" s="1" t="s">
        <v>8</v>
      </c>
      <c r="B19309" s="2">
        <v>44792.0</v>
      </c>
      <c r="C19309" s="3">
        <v>0.7410416666666667</v>
      </c>
      <c r="D19309" s="1">
        <v>12.956019</v>
      </c>
      <c r="E19309" s="1">
        <v>80.152565</v>
      </c>
      <c r="F19309" s="1">
        <v>3143.0</v>
      </c>
      <c r="G19309" s="1">
        <v>50.0</v>
      </c>
    </row>
    <row r="19310">
      <c r="A19310" s="1" t="s">
        <v>8</v>
      </c>
      <c r="B19310" s="2">
        <v>44792.0</v>
      </c>
      <c r="C19310" s="3">
        <v>0.741099537037037</v>
      </c>
      <c r="D19310" s="1">
        <v>13.066673</v>
      </c>
      <c r="E19310" s="1">
        <v>80.268412</v>
      </c>
      <c r="F19310" s="1">
        <v>5339.0</v>
      </c>
      <c r="G19310" s="1">
        <v>6.0</v>
      </c>
    </row>
    <row r="19311">
      <c r="A19311" s="1" t="s">
        <v>8</v>
      </c>
      <c r="B19311" s="2">
        <v>44792.0</v>
      </c>
      <c r="C19311" s="3">
        <v>0.7411226851851852</v>
      </c>
      <c r="D19311" s="1">
        <v>13.067033</v>
      </c>
      <c r="E19311" s="1">
        <v>80.268608</v>
      </c>
      <c r="F19311" s="1">
        <v>5339.0</v>
      </c>
      <c r="G19311" s="1">
        <v>27.0</v>
      </c>
    </row>
    <row r="19312">
      <c r="A19312" s="1" t="s">
        <v>8</v>
      </c>
      <c r="B19312" s="2">
        <v>44792.0</v>
      </c>
      <c r="C19312" s="3">
        <v>0.7411342592592592</v>
      </c>
      <c r="D19312" s="1">
        <v>13.067033</v>
      </c>
      <c r="E19312" s="1">
        <v>80.268608</v>
      </c>
      <c r="F19312" s="1">
        <v>5339.0</v>
      </c>
      <c r="G19312" s="1">
        <v>27.0</v>
      </c>
    </row>
    <row r="19313">
      <c r="A19313" s="1" t="s">
        <v>7</v>
      </c>
      <c r="B19313" s="2">
        <v>44792.0</v>
      </c>
      <c r="C19313" s="3">
        <v>0.7412268518518519</v>
      </c>
      <c r="D19313" s="1">
        <v>12.527226</v>
      </c>
      <c r="E19313" s="1">
        <v>79.898178</v>
      </c>
      <c r="F19313" s="1">
        <v>2846.0</v>
      </c>
      <c r="G19313" s="1">
        <v>57.0</v>
      </c>
    </row>
    <row r="19314">
      <c r="A19314" s="1" t="s">
        <v>8</v>
      </c>
      <c r="B19314" s="2">
        <v>44792.0</v>
      </c>
      <c r="C19314" s="3">
        <v>0.7413541666666666</v>
      </c>
      <c r="D19314" s="1">
        <v>12.95892</v>
      </c>
      <c r="E19314" s="1">
        <v>80.15001</v>
      </c>
      <c r="F19314" s="1">
        <v>3143.0</v>
      </c>
      <c r="G19314" s="1">
        <v>46.0</v>
      </c>
    </row>
    <row r="19315">
      <c r="A19315" s="1" t="s">
        <v>7</v>
      </c>
      <c r="B19315" s="2">
        <v>44792.0</v>
      </c>
      <c r="C19315" s="3">
        <v>0.7415972222222222</v>
      </c>
      <c r="D19315" s="1">
        <v>12.51984</v>
      </c>
      <c r="E19315" s="1">
        <v>79.893536</v>
      </c>
      <c r="F19315" s="1">
        <v>2846.0</v>
      </c>
      <c r="G19315" s="1">
        <v>58.0</v>
      </c>
    </row>
    <row r="19316">
      <c r="A19316" s="1" t="s">
        <v>7</v>
      </c>
      <c r="B19316" s="2">
        <v>44792.0</v>
      </c>
      <c r="C19316" s="3">
        <v>0.7416782407407407</v>
      </c>
      <c r="D19316" s="1">
        <v>12.51984</v>
      </c>
      <c r="E19316" s="1">
        <v>79.893536</v>
      </c>
      <c r="F19316" s="1">
        <v>2846.0</v>
      </c>
      <c r="G19316" s="1">
        <v>58.0</v>
      </c>
    </row>
    <row r="19317">
      <c r="A19317" s="1" t="s">
        <v>10</v>
      </c>
      <c r="B19317" s="2">
        <v>44792.0</v>
      </c>
      <c r="C19317" s="3">
        <v>0.7418171296296296</v>
      </c>
      <c r="D19317" s="1">
        <v>13.068892</v>
      </c>
      <c r="E19317" s="1">
        <v>80.267514</v>
      </c>
      <c r="F19317" s="1">
        <v>5339.0</v>
      </c>
      <c r="G19317" s="1">
        <v>18.0</v>
      </c>
    </row>
    <row r="19318">
      <c r="A19318" s="1" t="s">
        <v>9</v>
      </c>
      <c r="B19318" s="2">
        <v>44792.0</v>
      </c>
      <c r="C19318" s="3">
        <v>0.7422916666666667</v>
      </c>
      <c r="D19318" s="1">
        <v>12.959287</v>
      </c>
      <c r="E19318" s="1">
        <v>80.144994</v>
      </c>
      <c r="F19318" s="1">
        <v>3143.0</v>
      </c>
      <c r="G19318" s="1">
        <v>42.0</v>
      </c>
    </row>
    <row r="19319">
      <c r="A19319" s="1" t="s">
        <v>8</v>
      </c>
      <c r="B19319" s="2">
        <v>44792.0</v>
      </c>
      <c r="C19319" s="3">
        <v>0.7429976851851852</v>
      </c>
      <c r="D19319" s="1">
        <v>12.954936</v>
      </c>
      <c r="E19319" s="1">
        <v>80.142596</v>
      </c>
      <c r="F19319" s="1">
        <v>3143.0</v>
      </c>
      <c r="G19319" s="1">
        <v>28.0</v>
      </c>
    </row>
    <row r="19320">
      <c r="A19320" s="1" t="s">
        <v>8</v>
      </c>
      <c r="B19320" s="2">
        <v>44792.0</v>
      </c>
      <c r="C19320" s="3">
        <v>0.7437847222222222</v>
      </c>
      <c r="D19320" s="1">
        <v>13.07305</v>
      </c>
      <c r="E19320" s="1">
        <v>80.261225</v>
      </c>
      <c r="F19320" s="1">
        <v>5339.0</v>
      </c>
      <c r="G19320" s="1">
        <v>21.0</v>
      </c>
    </row>
    <row r="19321">
      <c r="A19321" s="1" t="s">
        <v>8</v>
      </c>
      <c r="B19321" s="2">
        <v>44792.0</v>
      </c>
      <c r="C19321" s="3">
        <v>0.7439583333333334</v>
      </c>
      <c r="D19321" s="1">
        <v>12.950456</v>
      </c>
      <c r="E19321" s="1">
        <v>80.139696</v>
      </c>
      <c r="F19321" s="1">
        <v>3143.0</v>
      </c>
      <c r="G19321" s="1">
        <v>14.0</v>
      </c>
    </row>
    <row r="19322">
      <c r="A19322" s="1" t="s">
        <v>8</v>
      </c>
      <c r="B19322" s="2">
        <v>44792.0</v>
      </c>
      <c r="C19322" s="3">
        <v>0.7443171296296296</v>
      </c>
      <c r="D19322" s="1">
        <v>12.94844</v>
      </c>
      <c r="E19322" s="1">
        <v>80.137951</v>
      </c>
      <c r="F19322" s="1">
        <v>3143.0</v>
      </c>
      <c r="G19322" s="1">
        <v>46.0</v>
      </c>
    </row>
    <row r="19323">
      <c r="A19323" s="1" t="s">
        <v>8</v>
      </c>
      <c r="B19323" s="2">
        <v>44792.0</v>
      </c>
      <c r="C19323" s="3">
        <v>0.7446643518518519</v>
      </c>
      <c r="D19323" s="1">
        <v>12.945904</v>
      </c>
      <c r="E19323" s="1">
        <v>80.136102</v>
      </c>
      <c r="F19323" s="1">
        <v>3143.0</v>
      </c>
      <c r="G19323" s="1">
        <v>46.0</v>
      </c>
    </row>
    <row r="19324">
      <c r="A19324" s="1" t="s">
        <v>8</v>
      </c>
      <c r="B19324" s="2">
        <v>44792.0</v>
      </c>
      <c r="C19324" s="3">
        <v>0.7448148148148148</v>
      </c>
      <c r="D19324" s="1">
        <v>12.944055</v>
      </c>
      <c r="E19324" s="1">
        <v>80.134655</v>
      </c>
      <c r="F19324" s="1">
        <v>3143.0</v>
      </c>
      <c r="G19324" s="1">
        <v>36.0</v>
      </c>
    </row>
    <row r="19325">
      <c r="A19325" s="1" t="s">
        <v>8</v>
      </c>
      <c r="B19325" s="2">
        <v>44792.0</v>
      </c>
      <c r="C19325" s="3">
        <v>0.7449305555555555</v>
      </c>
      <c r="D19325" s="1">
        <v>13.069432</v>
      </c>
      <c r="E19325" s="1">
        <v>80.256887</v>
      </c>
      <c r="F19325" s="1">
        <v>5339.0</v>
      </c>
      <c r="G19325" s="1">
        <v>21.0</v>
      </c>
    </row>
    <row r="19326">
      <c r="A19326" s="1" t="s">
        <v>8</v>
      </c>
      <c r="B19326" s="2">
        <v>44792.0</v>
      </c>
      <c r="C19326" s="3">
        <v>0.7450231481481482</v>
      </c>
      <c r="D19326" s="1">
        <v>13.068959</v>
      </c>
      <c r="E19326" s="1">
        <v>80.256407</v>
      </c>
      <c r="F19326" s="1">
        <v>5339.0</v>
      </c>
      <c r="G19326" s="1">
        <v>31.0</v>
      </c>
    </row>
    <row r="19327">
      <c r="A19327" s="1" t="s">
        <v>8</v>
      </c>
      <c r="B19327" s="2">
        <v>44792.0</v>
      </c>
      <c r="C19327" s="3">
        <v>0.7450347222222222</v>
      </c>
      <c r="D19327" s="1">
        <v>13.068959</v>
      </c>
      <c r="E19327" s="1">
        <v>80.256407</v>
      </c>
      <c r="F19327" s="1">
        <v>5339.0</v>
      </c>
      <c r="G19327" s="1">
        <v>31.0</v>
      </c>
    </row>
    <row r="19328">
      <c r="A19328" s="1" t="s">
        <v>8</v>
      </c>
      <c r="B19328" s="2">
        <v>44792.0</v>
      </c>
      <c r="C19328" s="3">
        <v>0.7450347222222222</v>
      </c>
      <c r="D19328" s="1">
        <v>13.068959</v>
      </c>
      <c r="E19328" s="1">
        <v>80.256407</v>
      </c>
      <c r="F19328" s="1">
        <v>5339.0</v>
      </c>
      <c r="G19328" s="1">
        <v>31.0</v>
      </c>
    </row>
    <row r="19329">
      <c r="A19329" s="1" t="s">
        <v>8</v>
      </c>
      <c r="B19329" s="2">
        <v>44792.0</v>
      </c>
      <c r="C19329" s="3">
        <v>0.7451273148148149</v>
      </c>
      <c r="D19329" s="1">
        <v>12.503983</v>
      </c>
      <c r="E19329" s="1">
        <v>79.878541</v>
      </c>
      <c r="F19329" s="1">
        <v>2846.0</v>
      </c>
      <c r="G19329" s="1">
        <v>52.0</v>
      </c>
    </row>
    <row r="19330">
      <c r="A19330" s="1" t="s">
        <v>8</v>
      </c>
      <c r="B19330" s="2">
        <v>44792.0</v>
      </c>
      <c r="C19330" s="3">
        <v>0.7455439814814815</v>
      </c>
      <c r="D19330" s="1">
        <v>12.942029</v>
      </c>
      <c r="E19330" s="1">
        <v>80.132667</v>
      </c>
      <c r="F19330" s="1">
        <v>3143.0</v>
      </c>
      <c r="G19330" s="1">
        <v>39.0</v>
      </c>
    </row>
    <row r="19331">
      <c r="A19331" s="1" t="s">
        <v>8</v>
      </c>
      <c r="B19331" s="2">
        <v>44792.0</v>
      </c>
      <c r="C19331" s="3">
        <v>0.7455555555555555</v>
      </c>
      <c r="D19331" s="1">
        <v>12.942029</v>
      </c>
      <c r="E19331" s="1">
        <v>80.132667</v>
      </c>
      <c r="F19331" s="1">
        <v>3143.0</v>
      </c>
      <c r="G19331" s="1">
        <v>39.0</v>
      </c>
    </row>
    <row r="19332">
      <c r="A19332" s="1" t="s">
        <v>7</v>
      </c>
      <c r="B19332" s="2">
        <v>44792.0</v>
      </c>
      <c r="C19332" s="3">
        <v>0.7455902777777778</v>
      </c>
      <c r="D19332" s="1">
        <v>12.498603</v>
      </c>
      <c r="E19332" s="1">
        <v>79.874234</v>
      </c>
      <c r="F19332" s="1">
        <v>2846.0</v>
      </c>
      <c r="G19332" s="1">
        <v>49.0</v>
      </c>
    </row>
    <row r="19333">
      <c r="A19333" s="1" t="s">
        <v>8</v>
      </c>
      <c r="B19333" s="2">
        <v>44792.0</v>
      </c>
      <c r="C19333" s="3">
        <v>0.7456597222222222</v>
      </c>
      <c r="D19333" s="1">
        <v>12.94123</v>
      </c>
      <c r="E19333" s="1">
        <v>80.131852</v>
      </c>
      <c r="F19333" s="1">
        <v>3143.0</v>
      </c>
      <c r="G19333" s="1">
        <v>45.0</v>
      </c>
    </row>
    <row r="19334">
      <c r="A19334" s="1" t="s">
        <v>8</v>
      </c>
      <c r="B19334" s="2">
        <v>44792.0</v>
      </c>
      <c r="C19334" s="3">
        <v>0.7456944444444444</v>
      </c>
      <c r="D19334" s="1">
        <v>12.94123</v>
      </c>
      <c r="E19334" s="1">
        <v>80.131852</v>
      </c>
      <c r="F19334" s="1">
        <v>3143.0</v>
      </c>
      <c r="G19334" s="1">
        <v>45.0</v>
      </c>
    </row>
    <row r="19335">
      <c r="A19335" s="1" t="s">
        <v>7</v>
      </c>
      <c r="B19335" s="2">
        <v>44792.0</v>
      </c>
      <c r="C19335" s="3">
        <v>0.7457407407407407</v>
      </c>
      <c r="D19335" s="1">
        <v>12.497533</v>
      </c>
      <c r="E19335" s="1">
        <v>79.873374</v>
      </c>
      <c r="F19335" s="1">
        <v>2846.0</v>
      </c>
      <c r="G19335" s="1">
        <v>57.0</v>
      </c>
    </row>
    <row r="19336">
      <c r="A19336" s="1" t="s">
        <v>8</v>
      </c>
      <c r="B19336" s="2">
        <v>44792.0</v>
      </c>
      <c r="C19336" s="3">
        <v>0.7458333333333333</v>
      </c>
      <c r="D19336" s="1">
        <v>13.066844</v>
      </c>
      <c r="E19336" s="1">
        <v>80.254036</v>
      </c>
      <c r="F19336" s="1">
        <v>5339.0</v>
      </c>
      <c r="G19336" s="1">
        <v>20.0</v>
      </c>
    </row>
    <row r="19337">
      <c r="A19337" s="1" t="s">
        <v>8</v>
      </c>
      <c r="B19337" s="2">
        <v>44792.0</v>
      </c>
      <c r="C19337" s="3">
        <v>0.7458680555555556</v>
      </c>
      <c r="D19337" s="1">
        <v>13.066844</v>
      </c>
      <c r="E19337" s="1">
        <v>80.254036</v>
      </c>
      <c r="F19337" s="1">
        <v>5339.0</v>
      </c>
      <c r="G19337" s="1">
        <v>20.0</v>
      </c>
    </row>
    <row r="19338">
      <c r="A19338" s="1" t="s">
        <v>8</v>
      </c>
      <c r="B19338" s="2">
        <v>44792.0</v>
      </c>
      <c r="C19338" s="3">
        <v>0.7464814814814815</v>
      </c>
      <c r="D19338" s="1">
        <v>13.067317</v>
      </c>
      <c r="E19338" s="1">
        <v>80.251369</v>
      </c>
      <c r="F19338" s="1">
        <v>5339.0</v>
      </c>
      <c r="G19338" s="1">
        <v>30.0</v>
      </c>
    </row>
    <row r="19339">
      <c r="A19339" s="1" t="s">
        <v>8</v>
      </c>
      <c r="B19339" s="2">
        <v>44792.0</v>
      </c>
      <c r="C19339" s="3">
        <v>0.7464930555555556</v>
      </c>
      <c r="D19339" s="1">
        <v>13.067317</v>
      </c>
      <c r="E19339" s="1">
        <v>80.251369</v>
      </c>
      <c r="F19339" s="1">
        <v>5339.0</v>
      </c>
      <c r="G19339" s="1">
        <v>30.0</v>
      </c>
    </row>
    <row r="19340">
      <c r="A19340" s="1" t="s">
        <v>8</v>
      </c>
      <c r="B19340" s="2">
        <v>44792.0</v>
      </c>
      <c r="C19340" s="3">
        <v>0.7464930555555556</v>
      </c>
      <c r="D19340" s="1">
        <v>13.067317</v>
      </c>
      <c r="E19340" s="1">
        <v>80.251369</v>
      </c>
      <c r="F19340" s="1">
        <v>5339.0</v>
      </c>
      <c r="G19340" s="1">
        <v>30.0</v>
      </c>
    </row>
    <row r="19341">
      <c r="A19341" s="1" t="s">
        <v>8</v>
      </c>
      <c r="B19341" s="2">
        <v>44792.0</v>
      </c>
      <c r="C19341" s="3">
        <v>0.7465046296296296</v>
      </c>
      <c r="D19341" s="1">
        <v>13.06742</v>
      </c>
      <c r="E19341" s="1">
        <v>80.250821</v>
      </c>
      <c r="F19341" s="1">
        <v>5339.0</v>
      </c>
      <c r="G19341" s="1">
        <v>20.0</v>
      </c>
    </row>
    <row r="19342">
      <c r="A19342" s="1" t="s">
        <v>8</v>
      </c>
      <c r="B19342" s="2">
        <v>44792.0</v>
      </c>
      <c r="C19342" s="3">
        <v>0.746550925925926</v>
      </c>
      <c r="D19342" s="1">
        <v>12.935594</v>
      </c>
      <c r="E19342" s="1">
        <v>80.126797</v>
      </c>
      <c r="F19342" s="1">
        <v>3143.0</v>
      </c>
      <c r="G19342" s="1">
        <v>43.0</v>
      </c>
    </row>
    <row r="19343">
      <c r="A19343" s="1" t="s">
        <v>7</v>
      </c>
      <c r="B19343" s="2">
        <v>44792.0</v>
      </c>
      <c r="C19343" s="3">
        <v>0.746724537037037</v>
      </c>
      <c r="D19343" s="1">
        <v>12.934761</v>
      </c>
      <c r="E19343" s="1">
        <v>80.125964</v>
      </c>
      <c r="F19343" s="1">
        <v>3143.0</v>
      </c>
      <c r="G19343" s="1">
        <v>50.0</v>
      </c>
    </row>
    <row r="19344">
      <c r="A19344" s="1" t="s">
        <v>8</v>
      </c>
      <c r="B19344" s="2">
        <v>44792.0</v>
      </c>
      <c r="C19344" s="3">
        <v>0.7467361111111112</v>
      </c>
      <c r="D19344" s="1">
        <v>12.934761</v>
      </c>
      <c r="E19344" s="1">
        <v>80.125964</v>
      </c>
      <c r="F19344" s="1">
        <v>3143.0</v>
      </c>
      <c r="G19344" s="1">
        <v>50.0</v>
      </c>
    </row>
    <row r="19345">
      <c r="A19345" s="1" t="s">
        <v>8</v>
      </c>
      <c r="B19345" s="2">
        <v>44792.0</v>
      </c>
      <c r="C19345" s="3">
        <v>0.747025462962963</v>
      </c>
      <c r="D19345" s="1">
        <v>13.067619</v>
      </c>
      <c r="E19345" s="1">
        <v>80.24964</v>
      </c>
      <c r="F19345" s="1">
        <v>5339.0</v>
      </c>
      <c r="G19345" s="1">
        <v>18.0</v>
      </c>
    </row>
    <row r="19346">
      <c r="A19346" s="1" t="s">
        <v>8</v>
      </c>
      <c r="B19346" s="2">
        <v>44792.0</v>
      </c>
      <c r="C19346" s="3">
        <v>0.7471296296296296</v>
      </c>
      <c r="D19346" s="1">
        <v>13.067805</v>
      </c>
      <c r="E19346" s="1">
        <v>80.248459</v>
      </c>
      <c r="F19346" s="1">
        <v>5339.0</v>
      </c>
      <c r="G19346" s="1">
        <v>34.0</v>
      </c>
    </row>
    <row r="19347">
      <c r="A19347" s="1" t="s">
        <v>8</v>
      </c>
      <c r="B19347" s="2">
        <v>44792.0</v>
      </c>
      <c r="C19347" s="3">
        <v>0.7472569444444445</v>
      </c>
      <c r="D19347" s="1">
        <v>13.066577</v>
      </c>
      <c r="E19347" s="1">
        <v>80.247863</v>
      </c>
      <c r="F19347" s="1">
        <v>5339.0</v>
      </c>
      <c r="G19347" s="1">
        <v>32.0</v>
      </c>
    </row>
    <row r="19348">
      <c r="A19348" s="1" t="s">
        <v>8</v>
      </c>
      <c r="B19348" s="2">
        <v>44792.0</v>
      </c>
      <c r="C19348" s="3">
        <v>0.7473032407407407</v>
      </c>
      <c r="D19348" s="1">
        <v>13.065899</v>
      </c>
      <c r="E19348" s="1">
        <v>80.247857</v>
      </c>
      <c r="F19348" s="1">
        <v>5339.0</v>
      </c>
      <c r="G19348" s="1">
        <v>26.0</v>
      </c>
    </row>
    <row r="19349">
      <c r="A19349" s="1" t="s">
        <v>8</v>
      </c>
      <c r="B19349" s="2">
        <v>44792.0</v>
      </c>
      <c r="C19349" s="3">
        <v>0.7483101851851852</v>
      </c>
      <c r="D19349" s="1">
        <v>12.930535</v>
      </c>
      <c r="E19349" s="1">
        <v>80.12182</v>
      </c>
      <c r="F19349" s="1">
        <v>3143.0</v>
      </c>
      <c r="G19349" s="1">
        <v>41.0</v>
      </c>
    </row>
    <row r="19350">
      <c r="A19350" s="1" t="s">
        <v>7</v>
      </c>
      <c r="B19350" s="2">
        <v>44792.0</v>
      </c>
      <c r="C19350" s="3">
        <v>0.7484837962962962</v>
      </c>
      <c r="D19350" s="1">
        <v>12.929891</v>
      </c>
      <c r="E19350" s="1">
        <v>80.12122</v>
      </c>
      <c r="F19350" s="1">
        <v>3143.0</v>
      </c>
      <c r="G19350" s="1">
        <v>36.0</v>
      </c>
    </row>
    <row r="19351">
      <c r="A19351" s="1" t="s">
        <v>8</v>
      </c>
      <c r="B19351" s="2">
        <v>44792.0</v>
      </c>
      <c r="C19351" s="3">
        <v>0.7486458333333333</v>
      </c>
      <c r="D19351" s="1">
        <v>12.928217</v>
      </c>
      <c r="E19351" s="1">
        <v>80.119429</v>
      </c>
      <c r="F19351" s="1">
        <v>3143.0</v>
      </c>
      <c r="G19351" s="1">
        <v>47.0</v>
      </c>
    </row>
    <row r="19352">
      <c r="A19352" s="1" t="s">
        <v>9</v>
      </c>
      <c r="B19352" s="2">
        <v>44792.0</v>
      </c>
      <c r="C19352" s="3">
        <v>0.7494097222222222</v>
      </c>
      <c r="D19352" s="1">
        <v>12.926176</v>
      </c>
      <c r="E19352" s="1">
        <v>80.117378</v>
      </c>
      <c r="F19352" s="1">
        <v>3143.0</v>
      </c>
      <c r="G19352" s="1">
        <v>10.0</v>
      </c>
    </row>
    <row r="19353">
      <c r="A19353" s="1" t="s">
        <v>8</v>
      </c>
      <c r="B19353" s="2">
        <v>44792.0</v>
      </c>
      <c r="C19353" s="3">
        <v>0.7495601851851852</v>
      </c>
      <c r="D19353" s="1">
        <v>12.925022</v>
      </c>
      <c r="E19353" s="1">
        <v>80.116222</v>
      </c>
      <c r="F19353" s="1">
        <v>3143.0</v>
      </c>
      <c r="G19353" s="1">
        <v>45.0</v>
      </c>
    </row>
    <row r="19354">
      <c r="A19354" s="1" t="s">
        <v>7</v>
      </c>
      <c r="B19354" s="2">
        <v>44792.0</v>
      </c>
      <c r="C19354" s="3">
        <v>0.7503125</v>
      </c>
      <c r="D19354" s="1">
        <v>12.922317</v>
      </c>
      <c r="E19354" s="1">
        <v>80.113511</v>
      </c>
      <c r="F19354" s="1">
        <v>3143.0</v>
      </c>
      <c r="G19354" s="1">
        <v>44.0</v>
      </c>
    </row>
    <row r="19355">
      <c r="A19355" s="1" t="s">
        <v>7</v>
      </c>
      <c r="B19355" s="2">
        <v>44792.0</v>
      </c>
      <c r="C19355" s="3">
        <v>0.7506828703703704</v>
      </c>
      <c r="D19355" s="1">
        <v>12.919592</v>
      </c>
      <c r="E19355" s="1">
        <v>80.110606</v>
      </c>
      <c r="F19355" s="1">
        <v>3143.0</v>
      </c>
      <c r="G19355" s="1">
        <v>0.0</v>
      </c>
    </row>
    <row r="19356">
      <c r="A19356" s="1" t="s">
        <v>7</v>
      </c>
      <c r="B19356" s="2">
        <v>44792.0</v>
      </c>
      <c r="C19356" s="3">
        <v>0.7508449074074074</v>
      </c>
      <c r="D19356" s="1">
        <v>12.451821</v>
      </c>
      <c r="E19356" s="1">
        <v>79.840759</v>
      </c>
      <c r="F19356" s="1">
        <v>2846.0</v>
      </c>
      <c r="G19356" s="1">
        <v>51.0</v>
      </c>
    </row>
    <row r="19357">
      <c r="A19357" s="1" t="s">
        <v>8</v>
      </c>
      <c r="B19357" s="2">
        <v>44792.0</v>
      </c>
      <c r="C19357" s="3">
        <v>0.7517361111111112</v>
      </c>
      <c r="D19357" s="1">
        <v>12.9135</v>
      </c>
      <c r="E19357" s="1">
        <v>80.101698</v>
      </c>
      <c r="F19357" s="1">
        <v>3143.0</v>
      </c>
      <c r="G19357" s="1">
        <v>43.0</v>
      </c>
    </row>
    <row r="19358">
      <c r="A19358" s="1" t="s">
        <v>8</v>
      </c>
      <c r="B19358" s="2">
        <v>44792.0</v>
      </c>
      <c r="C19358" s="3">
        <v>0.7517824074074074</v>
      </c>
      <c r="D19358" s="1">
        <v>12.912547</v>
      </c>
      <c r="E19358" s="1">
        <v>80.101556</v>
      </c>
      <c r="F19358" s="1">
        <v>3143.0</v>
      </c>
      <c r="G19358" s="1">
        <v>0.0</v>
      </c>
    </row>
    <row r="19359">
      <c r="A19359" s="1" t="s">
        <v>8</v>
      </c>
      <c r="B19359" s="2">
        <v>44792.0</v>
      </c>
      <c r="C19359" s="3">
        <v>0.7520833333333333</v>
      </c>
      <c r="D19359" s="1">
        <v>12.910668</v>
      </c>
      <c r="E19359" s="1">
        <v>80.101209</v>
      </c>
      <c r="F19359" s="1">
        <v>3143.0</v>
      </c>
      <c r="G19359" s="1">
        <v>48.0</v>
      </c>
    </row>
    <row r="19360">
      <c r="A19360" s="1" t="s">
        <v>8</v>
      </c>
      <c r="B19360" s="2">
        <v>44792.0</v>
      </c>
      <c r="C19360" s="3">
        <v>0.7562384259259259</v>
      </c>
      <c r="D19360" s="1">
        <v>12.901115</v>
      </c>
      <c r="E19360" s="1">
        <v>80.092377</v>
      </c>
      <c r="F19360" s="1">
        <v>3143.0</v>
      </c>
      <c r="G19360" s="1">
        <v>40.0</v>
      </c>
    </row>
    <row r="19361">
      <c r="A19361" s="1" t="s">
        <v>8</v>
      </c>
      <c r="B19361" s="2">
        <v>44792.0</v>
      </c>
      <c r="C19361" s="3">
        <v>0.7565509259259259</v>
      </c>
      <c r="D19361" s="1">
        <v>12.898384</v>
      </c>
      <c r="E19361" s="1">
        <v>80.090312</v>
      </c>
      <c r="F19361" s="1">
        <v>3143.0</v>
      </c>
      <c r="G19361" s="1">
        <v>46.0</v>
      </c>
    </row>
    <row r="19362">
      <c r="A19362" s="1" t="s">
        <v>8</v>
      </c>
      <c r="B19362" s="2">
        <v>44792.0</v>
      </c>
      <c r="C19362" s="3">
        <v>0.7569212962962963</v>
      </c>
      <c r="D19362" s="1">
        <v>12.896068</v>
      </c>
      <c r="E19362" s="1">
        <v>80.088558</v>
      </c>
      <c r="F19362" s="1">
        <v>3143.0</v>
      </c>
      <c r="G19362" s="1">
        <v>38.0</v>
      </c>
    </row>
    <row r="19363">
      <c r="A19363" s="1" t="s">
        <v>8</v>
      </c>
      <c r="B19363" s="2">
        <v>44792.0</v>
      </c>
      <c r="C19363" s="3">
        <v>0.757199074074074</v>
      </c>
      <c r="D19363" s="1">
        <v>12.893301</v>
      </c>
      <c r="E19363" s="1">
        <v>80.086512</v>
      </c>
      <c r="F19363" s="1">
        <v>3143.0</v>
      </c>
      <c r="G19363" s="1">
        <v>41.0</v>
      </c>
    </row>
    <row r="19364">
      <c r="A19364" s="1" t="s">
        <v>7</v>
      </c>
      <c r="B19364" s="2">
        <v>44792.0</v>
      </c>
      <c r="C19364" s="3">
        <v>0.757662037037037</v>
      </c>
      <c r="D19364" s="1">
        <v>12.889355</v>
      </c>
      <c r="E19364" s="1">
        <v>80.084349</v>
      </c>
      <c r="F19364" s="1">
        <v>3143.0</v>
      </c>
      <c r="G19364" s="1">
        <v>59.0</v>
      </c>
    </row>
    <row r="19365">
      <c r="A19365" s="1" t="s">
        <v>8</v>
      </c>
      <c r="B19365" s="2">
        <v>44792.0</v>
      </c>
      <c r="C19365" s="3">
        <v>0.7578935185185185</v>
      </c>
      <c r="D19365" s="1">
        <v>12.886668</v>
      </c>
      <c r="E19365" s="1">
        <v>80.083278</v>
      </c>
      <c r="F19365" s="1">
        <v>3143.0</v>
      </c>
      <c r="G19365" s="1">
        <v>53.0</v>
      </c>
    </row>
    <row r="19366">
      <c r="A19366" s="1" t="s">
        <v>8</v>
      </c>
      <c r="B19366" s="2">
        <v>44792.0</v>
      </c>
      <c r="C19366" s="3">
        <v>0.7581134259259259</v>
      </c>
      <c r="D19366" s="1">
        <v>12.884465</v>
      </c>
      <c r="E19366" s="1">
        <v>80.082388</v>
      </c>
      <c r="F19366" s="1">
        <v>3143.0</v>
      </c>
      <c r="G19366" s="1">
        <v>42.0</v>
      </c>
    </row>
    <row r="19367">
      <c r="A19367" s="1" t="s">
        <v>7</v>
      </c>
      <c r="B19367" s="2">
        <v>44795.0</v>
      </c>
      <c r="C19367" s="3">
        <v>0.2656134259259259</v>
      </c>
      <c r="D19367" s="1">
        <v>12.885319</v>
      </c>
      <c r="E19367" s="1">
        <v>80.080874</v>
      </c>
      <c r="F19367" s="1">
        <v>3143.0</v>
      </c>
      <c r="G19367" s="1">
        <v>55.0</v>
      </c>
    </row>
    <row r="19368">
      <c r="A19368" s="1" t="s">
        <v>7</v>
      </c>
      <c r="B19368" s="2">
        <v>44795.0</v>
      </c>
      <c r="C19368" s="3">
        <v>0.2659490740740741</v>
      </c>
      <c r="D19368" s="1">
        <v>12.886683</v>
      </c>
      <c r="E19368" s="1">
        <v>80.076668</v>
      </c>
      <c r="F19368" s="1">
        <v>3143.0</v>
      </c>
      <c r="G19368" s="1">
        <v>58.0</v>
      </c>
    </row>
    <row r="19369">
      <c r="A19369" s="1" t="s">
        <v>7</v>
      </c>
      <c r="B19369" s="2">
        <v>44795.0</v>
      </c>
      <c r="C19369" s="3">
        <v>0.2662615740740741</v>
      </c>
      <c r="D19369" s="1">
        <v>12.887673</v>
      </c>
      <c r="E19369" s="1">
        <v>80.073857</v>
      </c>
      <c r="F19369" s="1">
        <v>3143.0</v>
      </c>
      <c r="G19369" s="1">
        <v>57.0</v>
      </c>
    </row>
    <row r="19370">
      <c r="A19370" s="1" t="s">
        <v>7</v>
      </c>
      <c r="B19370" s="2">
        <v>44795.0</v>
      </c>
      <c r="C19370" s="3">
        <v>0.2663773148148148</v>
      </c>
      <c r="D19370" s="1">
        <v>12.888479</v>
      </c>
      <c r="E19370" s="1">
        <v>80.072623</v>
      </c>
      <c r="F19370" s="1">
        <v>3143.0</v>
      </c>
      <c r="G19370" s="1">
        <v>57.0</v>
      </c>
    </row>
    <row r="19371">
      <c r="A19371" s="1" t="s">
        <v>7</v>
      </c>
      <c r="B19371" s="2">
        <v>44795.0</v>
      </c>
      <c r="C19371" s="3">
        <v>0.26827546296296295</v>
      </c>
      <c r="D19371" s="1">
        <v>12.912218</v>
      </c>
      <c r="E19371" s="1">
        <v>80.073957</v>
      </c>
      <c r="F19371" s="1">
        <v>3143.0</v>
      </c>
      <c r="G19371" s="1">
        <v>58.0</v>
      </c>
    </row>
    <row r="19372">
      <c r="A19372" s="1" t="s">
        <v>7</v>
      </c>
      <c r="B19372" s="2">
        <v>44795.0</v>
      </c>
      <c r="C19372" s="3">
        <v>0.26886574074074077</v>
      </c>
      <c r="D19372" s="1">
        <v>12.91919</v>
      </c>
      <c r="E19372" s="1">
        <v>80.076216</v>
      </c>
      <c r="F19372" s="1">
        <v>3143.0</v>
      </c>
      <c r="G19372" s="1">
        <v>57.0</v>
      </c>
    </row>
    <row r="19373">
      <c r="A19373" s="1" t="s">
        <v>7</v>
      </c>
      <c r="B19373" s="2">
        <v>44795.0</v>
      </c>
      <c r="C19373" s="3">
        <v>0.26915509259259257</v>
      </c>
      <c r="D19373" s="1">
        <v>12.922015</v>
      </c>
      <c r="E19373" s="1">
        <v>80.076973</v>
      </c>
      <c r="F19373" s="1">
        <v>3143.0</v>
      </c>
      <c r="G19373" s="1">
        <v>58.0</v>
      </c>
    </row>
    <row r="19374">
      <c r="A19374" s="1" t="s">
        <v>7</v>
      </c>
      <c r="B19374" s="2">
        <v>44795.0</v>
      </c>
      <c r="C19374" s="3">
        <v>0.2694212962962963</v>
      </c>
      <c r="D19374" s="1">
        <v>12.926179</v>
      </c>
      <c r="E19374" s="1">
        <v>80.078389</v>
      </c>
      <c r="F19374" s="1">
        <v>3143.0</v>
      </c>
      <c r="G19374" s="1">
        <v>58.0</v>
      </c>
    </row>
    <row r="19375">
      <c r="A19375" s="1" t="s">
        <v>7</v>
      </c>
      <c r="B19375" s="2">
        <v>44795.0</v>
      </c>
      <c r="C19375" s="3">
        <v>0.27108796296296295</v>
      </c>
      <c r="D19375" s="1">
        <v>12.938908</v>
      </c>
      <c r="E19375" s="1">
        <v>80.083146</v>
      </c>
      <c r="F19375" s="1">
        <v>3143.0</v>
      </c>
      <c r="G19375" s="1">
        <v>53.0</v>
      </c>
    </row>
    <row r="19376">
      <c r="A19376" s="1" t="s">
        <v>7</v>
      </c>
      <c r="B19376" s="2">
        <v>44795.0</v>
      </c>
      <c r="C19376" s="3">
        <v>0.27177083333333335</v>
      </c>
      <c r="D19376" s="1">
        <v>12.947067</v>
      </c>
      <c r="E19376" s="1">
        <v>80.086208</v>
      </c>
      <c r="F19376" s="1">
        <v>3143.0</v>
      </c>
      <c r="G19376" s="1">
        <v>58.0</v>
      </c>
    </row>
    <row r="19377">
      <c r="A19377" s="1" t="s">
        <v>7</v>
      </c>
      <c r="B19377" s="2">
        <v>44795.0</v>
      </c>
      <c r="C19377" s="3">
        <v>0.27260416666666665</v>
      </c>
      <c r="D19377" s="1">
        <v>12.956659</v>
      </c>
      <c r="E19377" s="1">
        <v>80.089834</v>
      </c>
      <c r="F19377" s="1">
        <v>3143.0</v>
      </c>
      <c r="G19377" s="1">
        <v>57.0</v>
      </c>
    </row>
    <row r="19378">
      <c r="A19378" s="1" t="s">
        <v>7</v>
      </c>
      <c r="B19378" s="2">
        <v>44795.0</v>
      </c>
      <c r="C19378" s="3">
        <v>0.27547453703703706</v>
      </c>
      <c r="D19378" s="1">
        <v>12.993101</v>
      </c>
      <c r="E19378" s="1">
        <v>80.087952</v>
      </c>
      <c r="F19378" s="1">
        <v>3143.0</v>
      </c>
      <c r="G19378" s="1">
        <v>56.0</v>
      </c>
    </row>
    <row r="19379">
      <c r="A19379" s="1" t="s">
        <v>7</v>
      </c>
      <c r="B19379" s="2">
        <v>44795.0</v>
      </c>
      <c r="C19379" s="3">
        <v>0.2759259259259259</v>
      </c>
      <c r="D19379" s="1">
        <v>12.997496</v>
      </c>
      <c r="E19379" s="1">
        <v>80.0874</v>
      </c>
      <c r="F19379" s="1">
        <v>3143.0</v>
      </c>
      <c r="G19379" s="1">
        <v>59.0</v>
      </c>
    </row>
    <row r="19380">
      <c r="A19380" s="1" t="s">
        <v>7</v>
      </c>
      <c r="B19380" s="2">
        <v>44795.0</v>
      </c>
      <c r="C19380" s="3">
        <v>0.2768287037037037</v>
      </c>
      <c r="D19380" s="1">
        <v>13.008918</v>
      </c>
      <c r="E19380" s="1">
        <v>80.091705</v>
      </c>
      <c r="F19380" s="1">
        <v>3143.0</v>
      </c>
      <c r="G19380" s="1">
        <v>59.0</v>
      </c>
    </row>
    <row r="19381">
      <c r="A19381" s="1" t="s">
        <v>7</v>
      </c>
      <c r="B19381" s="2">
        <v>44795.0</v>
      </c>
      <c r="C19381" s="3">
        <v>0.2787615740740741</v>
      </c>
      <c r="D19381" s="1">
        <v>13.032688</v>
      </c>
      <c r="E19381" s="1">
        <v>80.08904</v>
      </c>
      <c r="F19381" s="1">
        <v>3143.0</v>
      </c>
      <c r="G19381" s="1">
        <v>57.0</v>
      </c>
    </row>
    <row r="19382">
      <c r="A19382" s="1" t="s">
        <v>7</v>
      </c>
      <c r="B19382" s="2">
        <v>44795.0</v>
      </c>
      <c r="C19382" s="3">
        <v>0.2790740740740741</v>
      </c>
      <c r="D19382" s="1">
        <v>13.035436</v>
      </c>
      <c r="E19382" s="1">
        <v>80.088028</v>
      </c>
      <c r="F19382" s="1">
        <v>3143.0</v>
      </c>
      <c r="G19382" s="1">
        <v>57.0</v>
      </c>
    </row>
    <row r="19383">
      <c r="A19383" s="1" t="s">
        <v>7</v>
      </c>
      <c r="B19383" s="2">
        <v>44795.0</v>
      </c>
      <c r="C19383" s="3">
        <v>0.2796180555555556</v>
      </c>
      <c r="D19383" s="1">
        <v>13.042284</v>
      </c>
      <c r="E19383" s="1">
        <v>80.08589</v>
      </c>
      <c r="F19383" s="1">
        <v>3143.0</v>
      </c>
      <c r="G19383" s="1">
        <v>58.0</v>
      </c>
    </row>
    <row r="19384">
      <c r="A19384" s="1" t="s">
        <v>7</v>
      </c>
      <c r="B19384" s="2">
        <v>44795.0</v>
      </c>
      <c r="C19384" s="3">
        <v>0.28711805555555553</v>
      </c>
      <c r="D19384" s="1">
        <v>12.44322</v>
      </c>
      <c r="E19384" s="1">
        <v>79.837256</v>
      </c>
      <c r="F19384" s="1">
        <v>2846.0</v>
      </c>
      <c r="G19384" s="1">
        <v>42.0</v>
      </c>
    </row>
    <row r="19385">
      <c r="A19385" s="1" t="s">
        <v>7</v>
      </c>
      <c r="B19385" s="2">
        <v>44795.0</v>
      </c>
      <c r="C19385" s="3">
        <v>0.2893981481481481</v>
      </c>
      <c r="D19385" s="1">
        <v>12.470188</v>
      </c>
      <c r="E19385" s="1">
        <v>79.853177</v>
      </c>
      <c r="F19385" s="1">
        <v>2846.0</v>
      </c>
      <c r="G19385" s="1">
        <v>57.0</v>
      </c>
    </row>
    <row r="19386">
      <c r="A19386" s="1" t="s">
        <v>7</v>
      </c>
      <c r="B19386" s="2">
        <v>44795.0</v>
      </c>
      <c r="C19386" s="3">
        <v>0.290462962962963</v>
      </c>
      <c r="D19386" s="1">
        <v>12.477806</v>
      </c>
      <c r="E19386" s="1">
        <v>79.859264</v>
      </c>
      <c r="F19386" s="1">
        <v>2846.0</v>
      </c>
      <c r="G19386" s="1">
        <v>53.0</v>
      </c>
    </row>
    <row r="19387">
      <c r="A19387" s="1" t="s">
        <v>7</v>
      </c>
      <c r="B19387" s="2">
        <v>44795.0</v>
      </c>
      <c r="C19387" s="3">
        <v>0.29226851851851854</v>
      </c>
      <c r="D19387" s="1">
        <v>13.057327</v>
      </c>
      <c r="E19387" s="1">
        <v>80.104277</v>
      </c>
      <c r="F19387" s="1">
        <v>3143.0</v>
      </c>
      <c r="G19387" s="1">
        <v>54.0</v>
      </c>
    </row>
    <row r="19388">
      <c r="A19388" s="1" t="s">
        <v>8</v>
      </c>
      <c r="B19388" s="2">
        <v>44795.0</v>
      </c>
      <c r="C19388" s="3">
        <v>0.293125</v>
      </c>
      <c r="D19388" s="1">
        <v>12.505985</v>
      </c>
      <c r="E19388" s="1">
        <v>79.879883</v>
      </c>
      <c r="F19388" s="1">
        <v>2846.0</v>
      </c>
      <c r="G19388" s="1">
        <v>55.0</v>
      </c>
    </row>
    <row r="19389">
      <c r="A19389" s="1" t="s">
        <v>7</v>
      </c>
      <c r="B19389" s="2">
        <v>44795.0</v>
      </c>
      <c r="C19389" s="3">
        <v>0.2931597222222222</v>
      </c>
      <c r="D19389" s="1">
        <v>13.056663</v>
      </c>
      <c r="E19389" s="1">
        <v>80.115881</v>
      </c>
      <c r="F19389" s="1">
        <v>3143.0</v>
      </c>
      <c r="G19389" s="1">
        <v>58.0</v>
      </c>
    </row>
    <row r="19390">
      <c r="A19390" s="1" t="s">
        <v>7</v>
      </c>
      <c r="B19390" s="2">
        <v>44795.0</v>
      </c>
      <c r="C19390" s="3">
        <v>0.29333333333333333</v>
      </c>
      <c r="D19390" s="1">
        <v>13.056257</v>
      </c>
      <c r="E19390" s="1">
        <v>80.117283</v>
      </c>
      <c r="F19390" s="1">
        <v>3143.0</v>
      </c>
      <c r="G19390" s="1">
        <v>54.0</v>
      </c>
    </row>
    <row r="19391">
      <c r="A19391" s="1" t="s">
        <v>7</v>
      </c>
      <c r="B19391" s="2">
        <v>44795.0</v>
      </c>
      <c r="C19391" s="3">
        <v>0.29335648148148147</v>
      </c>
      <c r="D19391" s="1">
        <v>12.50707</v>
      </c>
      <c r="E19391" s="1">
        <v>79.880733</v>
      </c>
      <c r="F19391" s="1">
        <v>2846.0</v>
      </c>
      <c r="G19391" s="1">
        <v>54.0</v>
      </c>
    </row>
    <row r="19392">
      <c r="A19392" s="1" t="s">
        <v>7</v>
      </c>
      <c r="B19392" s="2">
        <v>44795.0</v>
      </c>
      <c r="C19392" s="3">
        <v>0.29412037037037037</v>
      </c>
      <c r="D19392" s="1">
        <v>12.514209</v>
      </c>
      <c r="E19392" s="1">
        <v>79.88465</v>
      </c>
      <c r="F19392" s="1">
        <v>2846.0</v>
      </c>
      <c r="G19392" s="1">
        <v>56.0</v>
      </c>
    </row>
    <row r="19393">
      <c r="A19393" s="1" t="s">
        <v>7</v>
      </c>
      <c r="B19393" s="2">
        <v>44795.0</v>
      </c>
      <c r="C19393" s="3">
        <v>0.29483796296296294</v>
      </c>
      <c r="D19393" s="1">
        <v>12.517546</v>
      </c>
      <c r="E19393" s="1">
        <v>79.889779</v>
      </c>
      <c r="F19393" s="1">
        <v>2846.0</v>
      </c>
      <c r="G19393" s="1">
        <v>60.0</v>
      </c>
    </row>
    <row r="19394">
      <c r="A19394" s="1" t="s">
        <v>8</v>
      </c>
      <c r="B19394" s="2">
        <v>44795.0</v>
      </c>
      <c r="C19394" s="3">
        <v>0.2995138888888889</v>
      </c>
      <c r="D19394" s="1">
        <v>12.515335</v>
      </c>
      <c r="E19394" s="1">
        <v>79.888598</v>
      </c>
      <c r="F19394" s="1">
        <v>2846.0</v>
      </c>
      <c r="G19394" s="1">
        <v>38.0</v>
      </c>
    </row>
    <row r="19395">
      <c r="A19395" s="1" t="s">
        <v>7</v>
      </c>
      <c r="B19395" s="2">
        <v>44795.0</v>
      </c>
      <c r="C19395" s="3">
        <v>0.29975694444444445</v>
      </c>
      <c r="D19395" s="1">
        <v>12.51684</v>
      </c>
      <c r="E19395" s="1">
        <v>79.887982</v>
      </c>
      <c r="F19395" s="1">
        <v>2846.0</v>
      </c>
      <c r="G19395" s="1">
        <v>48.0</v>
      </c>
    </row>
    <row r="19396">
      <c r="A19396" s="1" t="s">
        <v>7</v>
      </c>
      <c r="B19396" s="2">
        <v>44795.0</v>
      </c>
      <c r="C19396" s="3">
        <v>0.29997685185185186</v>
      </c>
      <c r="D19396" s="1">
        <v>12.51684</v>
      </c>
      <c r="E19396" s="1">
        <v>79.887982</v>
      </c>
      <c r="F19396" s="1">
        <v>2846.0</v>
      </c>
      <c r="G19396" s="1">
        <v>48.0</v>
      </c>
    </row>
    <row r="19397">
      <c r="A19397" s="1" t="s">
        <v>7</v>
      </c>
      <c r="B19397" s="2">
        <v>44795.0</v>
      </c>
      <c r="C19397" s="3">
        <v>0.30018518518518517</v>
      </c>
      <c r="D19397" s="1">
        <v>12.517721</v>
      </c>
      <c r="E19397" s="1">
        <v>79.890589</v>
      </c>
      <c r="F19397" s="1">
        <v>2846.0</v>
      </c>
      <c r="G19397" s="1">
        <v>55.0</v>
      </c>
    </row>
    <row r="19398">
      <c r="A19398" s="1" t="s">
        <v>8</v>
      </c>
      <c r="B19398" s="2">
        <v>44795.0</v>
      </c>
      <c r="C19398" s="3">
        <v>0.300474537037037</v>
      </c>
      <c r="D19398" s="1">
        <v>13.026994</v>
      </c>
      <c r="E19398" s="1">
        <v>80.110803</v>
      </c>
      <c r="F19398" s="1">
        <v>3143.0</v>
      </c>
      <c r="G19398" s="1">
        <v>30.0</v>
      </c>
    </row>
    <row r="19399">
      <c r="A19399" s="1" t="s">
        <v>7</v>
      </c>
      <c r="B19399" s="2">
        <v>44795.0</v>
      </c>
      <c r="C19399" s="3">
        <v>0.301087962962963</v>
      </c>
      <c r="D19399" s="1">
        <v>12.523592</v>
      </c>
      <c r="E19399" s="1">
        <v>79.896322</v>
      </c>
      <c r="F19399" s="1">
        <v>2846.0</v>
      </c>
      <c r="G19399" s="1">
        <v>57.0</v>
      </c>
    </row>
    <row r="19400">
      <c r="A19400" s="1" t="s">
        <v>8</v>
      </c>
      <c r="B19400" s="2">
        <v>44795.0</v>
      </c>
      <c r="C19400" s="3">
        <v>0.3014236111111111</v>
      </c>
      <c r="D19400" s="1">
        <v>13.020083</v>
      </c>
      <c r="E19400" s="1">
        <v>80.104656</v>
      </c>
      <c r="F19400" s="1">
        <v>3143.0</v>
      </c>
      <c r="G19400" s="1">
        <v>35.0</v>
      </c>
    </row>
    <row r="19401">
      <c r="A19401" s="1" t="s">
        <v>8</v>
      </c>
      <c r="B19401" s="2">
        <v>44795.0</v>
      </c>
      <c r="C19401" s="3">
        <v>0.30170138888888887</v>
      </c>
      <c r="D19401" s="1">
        <v>13.018882</v>
      </c>
      <c r="E19401" s="1">
        <v>80.103564</v>
      </c>
      <c r="F19401" s="1">
        <v>3143.0</v>
      </c>
      <c r="G19401" s="1">
        <v>20.0</v>
      </c>
    </row>
    <row r="19402">
      <c r="A19402" s="1" t="s">
        <v>7</v>
      </c>
      <c r="B19402" s="2">
        <v>44795.0</v>
      </c>
      <c r="C19402" s="3">
        <v>0.3017708333333333</v>
      </c>
      <c r="D19402" s="1">
        <v>12.529924</v>
      </c>
      <c r="E19402" s="1">
        <v>79.899317</v>
      </c>
      <c r="F19402" s="1">
        <v>2846.0</v>
      </c>
      <c r="G19402" s="1">
        <v>48.0</v>
      </c>
    </row>
    <row r="19403">
      <c r="A19403" s="1" t="s">
        <v>7</v>
      </c>
      <c r="B19403" s="2">
        <v>44795.0</v>
      </c>
      <c r="C19403" s="3">
        <v>0.30190972222222223</v>
      </c>
      <c r="D19403" s="1">
        <v>12.534064</v>
      </c>
      <c r="E19403" s="1">
        <v>79.901215</v>
      </c>
      <c r="F19403" s="1">
        <v>2846.0</v>
      </c>
      <c r="G19403" s="1">
        <v>55.0</v>
      </c>
    </row>
    <row r="19404">
      <c r="A19404" s="1" t="s">
        <v>8</v>
      </c>
      <c r="B19404" s="2">
        <v>44795.0</v>
      </c>
      <c r="C19404" s="3">
        <v>0.3025347222222222</v>
      </c>
      <c r="D19404" s="1">
        <v>13.015675</v>
      </c>
      <c r="E19404" s="1">
        <v>80.102978</v>
      </c>
      <c r="F19404" s="1">
        <v>3143.0</v>
      </c>
      <c r="G19404" s="1">
        <v>34.0</v>
      </c>
    </row>
    <row r="19405">
      <c r="A19405" s="1" t="s">
        <v>7</v>
      </c>
      <c r="B19405" s="2">
        <v>44795.0</v>
      </c>
      <c r="C19405" s="3">
        <v>0.30309027777777775</v>
      </c>
      <c r="D19405" s="1">
        <v>12.545171</v>
      </c>
      <c r="E19405" s="1">
        <v>79.905134</v>
      </c>
      <c r="F19405" s="1">
        <v>2846.0</v>
      </c>
      <c r="G19405" s="1">
        <v>44.0</v>
      </c>
    </row>
    <row r="19406">
      <c r="A19406" s="1" t="s">
        <v>10</v>
      </c>
      <c r="B19406" s="2">
        <v>44795.0</v>
      </c>
      <c r="C19406" s="3">
        <v>0.30547453703703703</v>
      </c>
      <c r="D19406" s="1">
        <v>12.999914</v>
      </c>
      <c r="E19406" s="1">
        <v>80.097841</v>
      </c>
      <c r="F19406" s="1">
        <v>3143.0</v>
      </c>
      <c r="G19406" s="1">
        <v>18.0</v>
      </c>
    </row>
    <row r="19407">
      <c r="A19407" s="1" t="s">
        <v>10</v>
      </c>
      <c r="B19407" s="2">
        <v>44795.0</v>
      </c>
      <c r="C19407" s="3">
        <v>0.30644675925925924</v>
      </c>
      <c r="D19407" s="1">
        <v>12.997702</v>
      </c>
      <c r="E19407" s="1">
        <v>80.098304</v>
      </c>
      <c r="F19407" s="1">
        <v>3143.0</v>
      </c>
      <c r="G19407" s="1">
        <v>15.0</v>
      </c>
    </row>
    <row r="19408">
      <c r="A19408" s="1" t="s">
        <v>8</v>
      </c>
      <c r="B19408" s="2">
        <v>44795.0</v>
      </c>
      <c r="C19408" s="3">
        <v>0.3073148148148148</v>
      </c>
      <c r="D19408" s="1">
        <v>12.590604</v>
      </c>
      <c r="E19408" s="1">
        <v>79.919217</v>
      </c>
      <c r="F19408" s="1">
        <v>2846.0</v>
      </c>
      <c r="G19408" s="1">
        <v>50.0</v>
      </c>
    </row>
    <row r="19409">
      <c r="A19409" s="1" t="s">
        <v>8</v>
      </c>
      <c r="B19409" s="2">
        <v>44795.0</v>
      </c>
      <c r="C19409" s="3">
        <v>0.3074884259259259</v>
      </c>
      <c r="D19409" s="1">
        <v>12.997622</v>
      </c>
      <c r="E19409" s="1">
        <v>80.105331</v>
      </c>
      <c r="F19409" s="1">
        <v>3143.0</v>
      </c>
      <c r="G19409" s="1">
        <v>45.0</v>
      </c>
    </row>
    <row r="19410">
      <c r="A19410" s="1" t="s">
        <v>7</v>
      </c>
      <c r="B19410" s="2">
        <v>44795.0</v>
      </c>
      <c r="C19410" s="3">
        <v>0.3075925925925926</v>
      </c>
      <c r="D19410" s="1">
        <v>12.59184</v>
      </c>
      <c r="E19410" s="1">
        <v>79.919162</v>
      </c>
      <c r="F19410" s="1">
        <v>2846.0</v>
      </c>
      <c r="G19410" s="1">
        <v>49.0</v>
      </c>
    </row>
    <row r="19411">
      <c r="A19411" s="1" t="s">
        <v>7</v>
      </c>
      <c r="B19411" s="2">
        <v>44795.0</v>
      </c>
      <c r="C19411" s="3">
        <v>0.3079513888888889</v>
      </c>
      <c r="D19411" s="1">
        <v>12.59184</v>
      </c>
      <c r="E19411" s="1">
        <v>79.919162</v>
      </c>
      <c r="F19411" s="1">
        <v>2846.0</v>
      </c>
      <c r="G19411" s="1">
        <v>49.0</v>
      </c>
    </row>
    <row r="19412">
      <c r="A19412" s="1" t="s">
        <v>10</v>
      </c>
      <c r="B19412" s="2">
        <v>44795.0</v>
      </c>
      <c r="C19412" s="3">
        <v>0.3082986111111111</v>
      </c>
      <c r="D19412" s="1">
        <v>13.065218</v>
      </c>
      <c r="E19412" s="1">
        <v>80.273849</v>
      </c>
      <c r="F19412" s="1">
        <v>5339.0</v>
      </c>
      <c r="G19412" s="1">
        <v>19.0</v>
      </c>
    </row>
    <row r="19413">
      <c r="A19413" s="1" t="s">
        <v>7</v>
      </c>
      <c r="B19413" s="2">
        <v>44795.0</v>
      </c>
      <c r="C19413" s="3">
        <v>0.30886574074074075</v>
      </c>
      <c r="D19413" s="1">
        <v>12.611932</v>
      </c>
      <c r="E19413" s="1">
        <v>79.92372</v>
      </c>
      <c r="F19413" s="1">
        <v>2846.0</v>
      </c>
      <c r="G19413" s="1">
        <v>57.0</v>
      </c>
    </row>
    <row r="19414">
      <c r="A19414" s="1" t="s">
        <v>10</v>
      </c>
      <c r="B19414" s="2">
        <v>44795.0</v>
      </c>
      <c r="C19414" s="3">
        <v>0.3089236111111111</v>
      </c>
      <c r="D19414" s="1">
        <v>12.993308</v>
      </c>
      <c r="E19414" s="1">
        <v>80.11356</v>
      </c>
      <c r="F19414" s="1">
        <v>3143.0</v>
      </c>
      <c r="G19414" s="1">
        <v>36.0</v>
      </c>
    </row>
    <row r="19415">
      <c r="A19415" s="1" t="s">
        <v>10</v>
      </c>
      <c r="B19415" s="2">
        <v>44795.0</v>
      </c>
      <c r="C19415" s="3">
        <v>0.30896990740740743</v>
      </c>
      <c r="D19415" s="1">
        <v>12.993308</v>
      </c>
      <c r="E19415" s="1">
        <v>80.11356</v>
      </c>
      <c r="F19415" s="1">
        <v>3143.0</v>
      </c>
      <c r="G19415" s="1">
        <v>36.0</v>
      </c>
    </row>
    <row r="19416">
      <c r="A19416" s="1" t="s">
        <v>7</v>
      </c>
      <c r="B19416" s="2">
        <v>44795.0</v>
      </c>
      <c r="C19416" s="3">
        <v>0.3092476851851852</v>
      </c>
      <c r="D19416" s="1">
        <v>12.611932</v>
      </c>
      <c r="E19416" s="1">
        <v>79.92372</v>
      </c>
      <c r="F19416" s="1">
        <v>2846.0</v>
      </c>
      <c r="G19416" s="1">
        <v>57.0</v>
      </c>
    </row>
    <row r="19417">
      <c r="A19417" s="1" t="s">
        <v>7</v>
      </c>
      <c r="B19417" s="2">
        <v>44795.0</v>
      </c>
      <c r="C19417" s="3">
        <v>0.30931712962962965</v>
      </c>
      <c r="D19417" s="1">
        <v>12.617171</v>
      </c>
      <c r="E19417" s="1">
        <v>79.926298</v>
      </c>
      <c r="F19417" s="1">
        <v>2846.0</v>
      </c>
      <c r="G19417" s="1">
        <v>58.0</v>
      </c>
    </row>
    <row r="19418">
      <c r="A19418" s="1" t="s">
        <v>8</v>
      </c>
      <c r="B19418" s="2">
        <v>44795.0</v>
      </c>
      <c r="C19418" s="3">
        <v>0.3095601851851852</v>
      </c>
      <c r="D19418" s="1">
        <v>12.990468</v>
      </c>
      <c r="E19418" s="1">
        <v>80.11641</v>
      </c>
      <c r="F19418" s="1">
        <v>3143.0</v>
      </c>
      <c r="G19418" s="1">
        <v>34.0</v>
      </c>
    </row>
    <row r="19419">
      <c r="A19419" s="1" t="s">
        <v>10</v>
      </c>
      <c r="B19419" s="2">
        <v>44795.0</v>
      </c>
      <c r="C19419" s="3">
        <v>0.31126157407407407</v>
      </c>
      <c r="D19419" s="1">
        <v>12.984979</v>
      </c>
      <c r="E19419" s="1">
        <v>80.123675</v>
      </c>
      <c r="F19419" s="1">
        <v>3143.0</v>
      </c>
      <c r="G19419" s="1">
        <v>17.0</v>
      </c>
    </row>
    <row r="19420">
      <c r="A19420" s="1" t="s">
        <v>7</v>
      </c>
      <c r="B19420" s="2">
        <v>44795.0</v>
      </c>
      <c r="C19420" s="3">
        <v>0.3115277777777778</v>
      </c>
      <c r="D19420" s="1">
        <v>12.63418</v>
      </c>
      <c r="E19420" s="1">
        <v>79.932857</v>
      </c>
      <c r="F19420" s="1">
        <v>2846.0</v>
      </c>
      <c r="G19420" s="1">
        <v>61.0</v>
      </c>
    </row>
    <row r="19421">
      <c r="A19421" s="1" t="s">
        <v>8</v>
      </c>
      <c r="B19421" s="2">
        <v>44795.0</v>
      </c>
      <c r="C19421" s="3">
        <v>0.31171296296296297</v>
      </c>
      <c r="D19421" s="1">
        <v>12.640497</v>
      </c>
      <c r="E19421" s="1">
        <v>79.936536</v>
      </c>
      <c r="F19421" s="1">
        <v>2846.0</v>
      </c>
      <c r="G19421" s="1">
        <v>56.0</v>
      </c>
    </row>
    <row r="19422">
      <c r="A19422" s="1" t="s">
        <v>8</v>
      </c>
      <c r="B19422" s="2">
        <v>44795.0</v>
      </c>
      <c r="C19422" s="3">
        <v>0.3121990740740741</v>
      </c>
      <c r="D19422" s="1">
        <v>12.645099</v>
      </c>
      <c r="E19422" s="1">
        <v>79.939319</v>
      </c>
      <c r="F19422" s="1">
        <v>2846.0</v>
      </c>
      <c r="G19422" s="1">
        <v>53.0</v>
      </c>
    </row>
    <row r="19423">
      <c r="A19423" s="1" t="s">
        <v>10</v>
      </c>
      <c r="B19423" s="2">
        <v>44795.0</v>
      </c>
      <c r="C19423" s="3">
        <v>0.3127199074074074</v>
      </c>
      <c r="D19423" s="1">
        <v>13.053036</v>
      </c>
      <c r="E19423" s="1">
        <v>80.272422</v>
      </c>
      <c r="F19423" s="1">
        <v>5339.0</v>
      </c>
      <c r="G19423" s="1">
        <v>21.0</v>
      </c>
    </row>
    <row r="19424">
      <c r="A19424" s="1" t="s">
        <v>10</v>
      </c>
      <c r="B19424" s="2">
        <v>44795.0</v>
      </c>
      <c r="C19424" s="3">
        <v>0.3131712962962963</v>
      </c>
      <c r="D19424" s="1">
        <v>13.053223</v>
      </c>
      <c r="E19424" s="1">
        <v>80.270949</v>
      </c>
      <c r="F19424" s="1">
        <v>5339.0</v>
      </c>
      <c r="G19424" s="1">
        <v>26.0</v>
      </c>
    </row>
    <row r="19425">
      <c r="A19425" s="1" t="s">
        <v>7</v>
      </c>
      <c r="B19425" s="2">
        <v>44795.0</v>
      </c>
      <c r="C19425" s="3">
        <v>0.3133796296296296</v>
      </c>
      <c r="D19425" s="1">
        <v>12.657376</v>
      </c>
      <c r="E19425" s="1">
        <v>79.941014</v>
      </c>
      <c r="F19425" s="1">
        <v>2846.0</v>
      </c>
      <c r="G19425" s="1">
        <v>59.0</v>
      </c>
    </row>
    <row r="19426">
      <c r="A19426" s="1" t="s">
        <v>8</v>
      </c>
      <c r="B19426" s="2">
        <v>44795.0</v>
      </c>
      <c r="C19426" s="3">
        <v>0.3134953703703704</v>
      </c>
      <c r="D19426" s="1">
        <v>12.658209</v>
      </c>
      <c r="E19426" s="1">
        <v>79.942232</v>
      </c>
      <c r="F19426" s="1">
        <v>2846.0</v>
      </c>
      <c r="G19426" s="1">
        <v>58.0</v>
      </c>
    </row>
    <row r="19427">
      <c r="A19427" s="1" t="s">
        <v>8</v>
      </c>
      <c r="B19427" s="2">
        <v>44795.0</v>
      </c>
      <c r="C19427" s="3">
        <v>0.31351851851851853</v>
      </c>
      <c r="D19427" s="1">
        <v>12.658209</v>
      </c>
      <c r="E19427" s="1">
        <v>79.942232</v>
      </c>
      <c r="F19427" s="1">
        <v>2846.0</v>
      </c>
      <c r="G19427" s="1">
        <v>58.0</v>
      </c>
    </row>
    <row r="19428">
      <c r="A19428" s="1" t="s">
        <v>10</v>
      </c>
      <c r="B19428" s="2">
        <v>44795.0</v>
      </c>
      <c r="C19428" s="3">
        <v>0.31353009259259257</v>
      </c>
      <c r="D19428" s="1">
        <v>13.053411</v>
      </c>
      <c r="E19428" s="1">
        <v>80.269096</v>
      </c>
      <c r="F19428" s="1">
        <v>5339.0</v>
      </c>
      <c r="G19428" s="1">
        <v>6.0</v>
      </c>
    </row>
    <row r="19429">
      <c r="A19429" s="1" t="s">
        <v>7</v>
      </c>
      <c r="B19429" s="2">
        <v>44795.0</v>
      </c>
      <c r="C19429" s="3">
        <v>0.3140046296296296</v>
      </c>
      <c r="D19429" s="1">
        <v>12.658209</v>
      </c>
      <c r="E19429" s="1">
        <v>79.942232</v>
      </c>
      <c r="F19429" s="1">
        <v>2846.0</v>
      </c>
      <c r="G19429" s="1">
        <v>58.0</v>
      </c>
    </row>
    <row r="19430">
      <c r="A19430" s="1" t="s">
        <v>8</v>
      </c>
      <c r="B19430" s="2">
        <v>44795.0</v>
      </c>
      <c r="C19430" s="3">
        <v>0.31403935185185183</v>
      </c>
      <c r="D19430" s="1">
        <v>12.657258</v>
      </c>
      <c r="E19430" s="1">
        <v>79.948017</v>
      </c>
      <c r="F19430" s="1">
        <v>2846.0</v>
      </c>
      <c r="G19430" s="1">
        <v>51.0</v>
      </c>
    </row>
    <row r="19431">
      <c r="A19431" s="1" t="s">
        <v>8</v>
      </c>
      <c r="B19431" s="2">
        <v>44795.0</v>
      </c>
      <c r="C19431" s="3">
        <v>0.31427083333333333</v>
      </c>
      <c r="D19431" s="1">
        <v>12.656911</v>
      </c>
      <c r="E19431" s="1">
        <v>79.949204</v>
      </c>
      <c r="F19431" s="1">
        <v>2846.0</v>
      </c>
      <c r="G19431" s="1">
        <v>45.0</v>
      </c>
    </row>
    <row r="19432">
      <c r="A19432" s="1" t="s">
        <v>8</v>
      </c>
      <c r="B19432" s="2">
        <v>44795.0</v>
      </c>
      <c r="C19432" s="3">
        <v>0.3144675925925926</v>
      </c>
      <c r="D19432" s="1">
        <v>12.656234</v>
      </c>
      <c r="E19432" s="1">
        <v>79.951501</v>
      </c>
      <c r="F19432" s="1">
        <v>2846.0</v>
      </c>
      <c r="G19432" s="1">
        <v>44.0</v>
      </c>
    </row>
    <row r="19433">
      <c r="A19433" s="1" t="s">
        <v>8</v>
      </c>
      <c r="B19433" s="2">
        <v>44795.0</v>
      </c>
      <c r="C19433" s="3">
        <v>0.3146643518518519</v>
      </c>
      <c r="D19433" s="1">
        <v>12.656157</v>
      </c>
      <c r="E19433" s="1">
        <v>79.953928</v>
      </c>
      <c r="F19433" s="1">
        <v>2846.0</v>
      </c>
      <c r="G19433" s="1">
        <v>46.0</v>
      </c>
    </row>
    <row r="19434">
      <c r="A19434" s="1" t="s">
        <v>8</v>
      </c>
      <c r="B19434" s="2">
        <v>44795.0</v>
      </c>
      <c r="C19434" s="3">
        <v>0.315</v>
      </c>
      <c r="D19434" s="1">
        <v>12.657</v>
      </c>
      <c r="E19434" s="1">
        <v>79.956174</v>
      </c>
      <c r="F19434" s="1">
        <v>2846.0</v>
      </c>
      <c r="G19434" s="1">
        <v>47.0</v>
      </c>
    </row>
    <row r="19435">
      <c r="A19435" s="1" t="s">
        <v>9</v>
      </c>
      <c r="B19435" s="2">
        <v>44795.0</v>
      </c>
      <c r="C19435" s="3">
        <v>0.3166435185185185</v>
      </c>
      <c r="D19435" s="1">
        <v>12.97854</v>
      </c>
      <c r="E19435" s="1">
        <v>80.136017</v>
      </c>
      <c r="F19435" s="1">
        <v>3143.0</v>
      </c>
      <c r="G19435" s="1">
        <v>20.0</v>
      </c>
    </row>
    <row r="19436">
      <c r="A19436" s="1" t="s">
        <v>8</v>
      </c>
      <c r="B19436" s="2">
        <v>44795.0</v>
      </c>
      <c r="C19436" s="3">
        <v>0.3168402777777778</v>
      </c>
      <c r="D19436" s="1">
        <v>12.979952</v>
      </c>
      <c r="E19436" s="1">
        <v>80.136568</v>
      </c>
      <c r="F19436" s="1">
        <v>3143.0</v>
      </c>
      <c r="G19436" s="1">
        <v>35.0</v>
      </c>
    </row>
    <row r="19437">
      <c r="A19437" s="1" t="s">
        <v>7</v>
      </c>
      <c r="B19437" s="2">
        <v>44795.0</v>
      </c>
      <c r="C19437" s="3">
        <v>0.3171759259259259</v>
      </c>
      <c r="D19437" s="1">
        <v>12.666904</v>
      </c>
      <c r="E19437" s="1">
        <v>79.971275</v>
      </c>
      <c r="F19437" s="1">
        <v>2846.0</v>
      </c>
      <c r="G19437" s="1">
        <v>59.0</v>
      </c>
    </row>
    <row r="19438">
      <c r="A19438" s="1" t="s">
        <v>7</v>
      </c>
      <c r="B19438" s="2">
        <v>44795.0</v>
      </c>
      <c r="C19438" s="3">
        <v>0.3173148148148148</v>
      </c>
      <c r="D19438" s="1">
        <v>12.667794</v>
      </c>
      <c r="E19438" s="1">
        <v>79.972404</v>
      </c>
      <c r="F19438" s="1">
        <v>2846.0</v>
      </c>
      <c r="G19438" s="1">
        <v>53.0</v>
      </c>
    </row>
    <row r="19439">
      <c r="A19439" s="1" t="s">
        <v>10</v>
      </c>
      <c r="B19439" s="2">
        <v>44795.0</v>
      </c>
      <c r="C19439" s="3">
        <v>0.31734953703703705</v>
      </c>
      <c r="D19439" s="1">
        <v>12.977659</v>
      </c>
      <c r="E19439" s="1">
        <v>80.13577</v>
      </c>
      <c r="F19439" s="1">
        <v>3143.0</v>
      </c>
      <c r="G19439" s="1">
        <v>0.0</v>
      </c>
    </row>
    <row r="19440">
      <c r="A19440" s="1" t="s">
        <v>10</v>
      </c>
      <c r="B19440" s="2">
        <v>44795.0</v>
      </c>
      <c r="C19440" s="3">
        <v>0.3176041666666667</v>
      </c>
      <c r="D19440" s="1">
        <v>12.981594</v>
      </c>
      <c r="E19440" s="1">
        <v>80.138677</v>
      </c>
      <c r="F19440" s="1">
        <v>3143.0</v>
      </c>
      <c r="G19440" s="1">
        <v>11.0</v>
      </c>
    </row>
    <row r="19441">
      <c r="A19441" s="1" t="s">
        <v>10</v>
      </c>
      <c r="B19441" s="2">
        <v>44795.0</v>
      </c>
      <c r="C19441" s="3">
        <v>0.3180324074074074</v>
      </c>
      <c r="D19441" s="1">
        <v>12.982872</v>
      </c>
      <c r="E19441" s="1">
        <v>80.139714</v>
      </c>
      <c r="F19441" s="1">
        <v>3143.0</v>
      </c>
      <c r="G19441" s="1">
        <v>26.0</v>
      </c>
    </row>
    <row r="19442">
      <c r="A19442" s="1" t="s">
        <v>10</v>
      </c>
      <c r="B19442" s="2">
        <v>44795.0</v>
      </c>
      <c r="C19442" s="3">
        <v>0.3182291666666667</v>
      </c>
      <c r="D19442" s="1">
        <v>13.049348</v>
      </c>
      <c r="E19442" s="1">
        <v>80.249832</v>
      </c>
      <c r="F19442" s="1">
        <v>5339.0</v>
      </c>
      <c r="G19442" s="1">
        <v>24.0</v>
      </c>
    </row>
    <row r="19443">
      <c r="A19443" s="1" t="s">
        <v>10</v>
      </c>
      <c r="B19443" s="2">
        <v>44795.0</v>
      </c>
      <c r="C19443" s="3">
        <v>0.3184375</v>
      </c>
      <c r="D19443" s="1">
        <v>13.04886</v>
      </c>
      <c r="E19443" s="1">
        <v>80.249821</v>
      </c>
      <c r="F19443" s="1">
        <v>5339.0</v>
      </c>
      <c r="G19443" s="1">
        <v>15.0</v>
      </c>
    </row>
    <row r="19444">
      <c r="A19444" s="1" t="s">
        <v>8</v>
      </c>
      <c r="B19444" s="2">
        <v>44795.0</v>
      </c>
      <c r="C19444" s="3">
        <v>0.32060185185185186</v>
      </c>
      <c r="D19444" s="1">
        <v>12.684826</v>
      </c>
      <c r="E19444" s="1">
        <v>79.983439</v>
      </c>
      <c r="F19444" s="1">
        <v>2846.0</v>
      </c>
      <c r="G19444" s="1">
        <v>32.0</v>
      </c>
    </row>
    <row r="19445">
      <c r="A19445" s="1" t="s">
        <v>9</v>
      </c>
      <c r="B19445" s="2">
        <v>44795.0</v>
      </c>
      <c r="C19445" s="3">
        <v>0.32101851851851854</v>
      </c>
      <c r="D19445" s="1">
        <v>12.687152</v>
      </c>
      <c r="E19445" s="1">
        <v>79.983057</v>
      </c>
      <c r="F19445" s="1">
        <v>2846.0</v>
      </c>
      <c r="G19445" s="1">
        <v>25.0</v>
      </c>
    </row>
    <row r="19446">
      <c r="A19446" s="1" t="s">
        <v>10</v>
      </c>
      <c r="B19446" s="2">
        <v>44795.0</v>
      </c>
      <c r="C19446" s="3">
        <v>0.3212615740740741</v>
      </c>
      <c r="D19446" s="1">
        <v>12.978963</v>
      </c>
      <c r="E19446" s="1">
        <v>80.136214</v>
      </c>
      <c r="F19446" s="1">
        <v>3143.0</v>
      </c>
      <c r="G19446" s="1">
        <v>39.0</v>
      </c>
    </row>
    <row r="19447">
      <c r="A19447" s="1" t="s">
        <v>10</v>
      </c>
      <c r="B19447" s="2">
        <v>44795.0</v>
      </c>
      <c r="C19447" s="3">
        <v>0.321875</v>
      </c>
      <c r="D19447" s="1">
        <v>12.690032</v>
      </c>
      <c r="E19447" s="1">
        <v>79.981302</v>
      </c>
      <c r="F19447" s="1">
        <v>2846.0</v>
      </c>
      <c r="G19447" s="1">
        <v>16.0</v>
      </c>
    </row>
    <row r="19448">
      <c r="A19448" s="1" t="s">
        <v>10</v>
      </c>
      <c r="B19448" s="2">
        <v>44795.0</v>
      </c>
      <c r="C19448" s="3">
        <v>0.3219444444444444</v>
      </c>
      <c r="D19448" s="1">
        <v>12.690032</v>
      </c>
      <c r="E19448" s="1">
        <v>79.981302</v>
      </c>
      <c r="F19448" s="1">
        <v>2846.0</v>
      </c>
      <c r="G19448" s="1">
        <v>16.0</v>
      </c>
    </row>
    <row r="19449">
      <c r="A19449" s="1" t="s">
        <v>10</v>
      </c>
      <c r="B19449" s="2">
        <v>44795.0</v>
      </c>
      <c r="C19449" s="3">
        <v>0.3222685185185185</v>
      </c>
      <c r="D19449" s="1">
        <v>12.974535</v>
      </c>
      <c r="E19449" s="1">
        <v>80.135273</v>
      </c>
      <c r="F19449" s="1">
        <v>3143.0</v>
      </c>
      <c r="G19449" s="1">
        <v>0.0</v>
      </c>
    </row>
    <row r="19450">
      <c r="A19450" s="1" t="s">
        <v>10</v>
      </c>
      <c r="B19450" s="2">
        <v>44795.0</v>
      </c>
      <c r="C19450" s="3">
        <v>0.32263888888888886</v>
      </c>
      <c r="D19450" s="1">
        <v>12.974061</v>
      </c>
      <c r="E19450" s="1">
        <v>80.135911</v>
      </c>
      <c r="F19450" s="1">
        <v>3143.0</v>
      </c>
      <c r="G19450" s="1">
        <v>30.0</v>
      </c>
    </row>
    <row r="19451">
      <c r="A19451" s="1" t="s">
        <v>10</v>
      </c>
      <c r="B19451" s="2">
        <v>44795.0</v>
      </c>
      <c r="C19451" s="3">
        <v>0.3244097222222222</v>
      </c>
      <c r="D19451" s="1">
        <v>12.97067</v>
      </c>
      <c r="E19451" s="1">
        <v>80.145008</v>
      </c>
      <c r="F19451" s="1">
        <v>3143.0</v>
      </c>
      <c r="G19451" s="1">
        <v>20.0</v>
      </c>
    </row>
    <row r="19452">
      <c r="A19452" s="1" t="s">
        <v>10</v>
      </c>
      <c r="B19452" s="2">
        <v>44795.0</v>
      </c>
      <c r="C19452" s="3">
        <v>0.32481481481481483</v>
      </c>
      <c r="D19452" s="1">
        <v>12.697323</v>
      </c>
      <c r="E19452" s="1">
        <v>79.973821</v>
      </c>
      <c r="F19452" s="1">
        <v>2846.0</v>
      </c>
      <c r="G19452" s="1">
        <v>35.0</v>
      </c>
    </row>
    <row r="19453">
      <c r="A19453" s="1" t="s">
        <v>7</v>
      </c>
      <c r="B19453" s="2">
        <v>44795.0</v>
      </c>
      <c r="C19453" s="3">
        <v>0.3278587962962963</v>
      </c>
      <c r="D19453" s="1">
        <v>12.712398</v>
      </c>
      <c r="E19453" s="1">
        <v>79.979436</v>
      </c>
      <c r="F19453" s="1">
        <v>2846.0</v>
      </c>
      <c r="G19453" s="1">
        <v>57.0</v>
      </c>
    </row>
    <row r="19454">
      <c r="A19454" s="1" t="s">
        <v>7</v>
      </c>
      <c r="B19454" s="2">
        <v>44795.0</v>
      </c>
      <c r="C19454" s="3">
        <v>0.3280902777777778</v>
      </c>
      <c r="D19454" s="1">
        <v>12.715167</v>
      </c>
      <c r="E19454" s="1">
        <v>79.980348</v>
      </c>
      <c r="F19454" s="1">
        <v>2846.0</v>
      </c>
      <c r="G19454" s="1">
        <v>59.0</v>
      </c>
    </row>
    <row r="19455">
      <c r="A19455" s="1" t="s">
        <v>8</v>
      </c>
      <c r="B19455" s="2">
        <v>44795.0</v>
      </c>
      <c r="C19455" s="3">
        <v>0.3304166666666667</v>
      </c>
      <c r="D19455" s="1">
        <v>13.007787</v>
      </c>
      <c r="E19455" s="1">
        <v>80.207464</v>
      </c>
      <c r="F19455" s="1">
        <v>5339.0</v>
      </c>
      <c r="G19455" s="1">
        <v>39.0</v>
      </c>
    </row>
    <row r="19456">
      <c r="A19456" s="1" t="s">
        <v>7</v>
      </c>
      <c r="B19456" s="2">
        <v>44795.0</v>
      </c>
      <c r="C19456" s="3">
        <v>0.3304861111111111</v>
      </c>
      <c r="D19456" s="1">
        <v>12.729091</v>
      </c>
      <c r="E19456" s="1">
        <v>79.982654</v>
      </c>
      <c r="F19456" s="1">
        <v>2846.0</v>
      </c>
      <c r="G19456" s="1">
        <v>56.0</v>
      </c>
    </row>
    <row r="19457">
      <c r="A19457" s="1" t="s">
        <v>8</v>
      </c>
      <c r="B19457" s="2">
        <v>44795.0</v>
      </c>
      <c r="C19457" s="3">
        <v>0.33060185185185187</v>
      </c>
      <c r="D19457" s="1">
        <v>12.729091</v>
      </c>
      <c r="E19457" s="1">
        <v>79.982654</v>
      </c>
      <c r="F19457" s="1">
        <v>2846.0</v>
      </c>
      <c r="G19457" s="1">
        <v>56.0</v>
      </c>
    </row>
    <row r="19458">
      <c r="A19458" s="1" t="s">
        <v>8</v>
      </c>
      <c r="B19458" s="2">
        <v>44795.0</v>
      </c>
      <c r="C19458" s="3">
        <v>0.3308217592592593</v>
      </c>
      <c r="D19458" s="1">
        <v>12.733163</v>
      </c>
      <c r="E19458" s="1">
        <v>79.983341</v>
      </c>
      <c r="F19458" s="1">
        <v>2846.0</v>
      </c>
      <c r="G19458" s="1">
        <v>50.0</v>
      </c>
    </row>
    <row r="19459">
      <c r="A19459" s="1" t="s">
        <v>8</v>
      </c>
      <c r="B19459" s="2">
        <v>44795.0</v>
      </c>
      <c r="C19459" s="3">
        <v>0.33130787037037035</v>
      </c>
      <c r="D19459" s="1">
        <v>13.00487</v>
      </c>
      <c r="E19459" s="1">
        <v>80.201458</v>
      </c>
      <c r="F19459" s="1">
        <v>5339.0</v>
      </c>
      <c r="G19459" s="1">
        <v>37.0</v>
      </c>
    </row>
    <row r="19460">
      <c r="A19460" s="1" t="s">
        <v>8</v>
      </c>
      <c r="B19460" s="2">
        <v>44795.0</v>
      </c>
      <c r="C19460" s="3">
        <v>0.33152777777777775</v>
      </c>
      <c r="D19460" s="1">
        <v>13.003199</v>
      </c>
      <c r="E19460" s="1">
        <v>80.200862</v>
      </c>
      <c r="F19460" s="1">
        <v>5339.0</v>
      </c>
      <c r="G19460" s="1">
        <v>34.0</v>
      </c>
    </row>
    <row r="19461">
      <c r="A19461" s="1" t="s">
        <v>8</v>
      </c>
      <c r="B19461" s="2">
        <v>44795.0</v>
      </c>
      <c r="C19461" s="3">
        <v>0.33165509259259257</v>
      </c>
      <c r="D19461" s="1">
        <v>12.740171</v>
      </c>
      <c r="E19461" s="1">
        <v>79.989856</v>
      </c>
      <c r="F19461" s="1">
        <v>2846.0</v>
      </c>
      <c r="G19461" s="1">
        <v>56.0</v>
      </c>
    </row>
    <row r="19462">
      <c r="A19462" s="1" t="s">
        <v>8</v>
      </c>
      <c r="B19462" s="2">
        <v>44795.0</v>
      </c>
      <c r="C19462" s="3">
        <v>0.33175925925925925</v>
      </c>
      <c r="D19462" s="1">
        <v>13.00184</v>
      </c>
      <c r="E19462" s="1">
        <v>80.199865</v>
      </c>
      <c r="F19462" s="1">
        <v>5339.0</v>
      </c>
      <c r="G19462" s="1">
        <v>41.0</v>
      </c>
    </row>
    <row r="19463">
      <c r="A19463" s="1" t="s">
        <v>8</v>
      </c>
      <c r="B19463" s="2">
        <v>44795.0</v>
      </c>
      <c r="C19463" s="3">
        <v>0.33207175925925925</v>
      </c>
      <c r="D19463" s="1">
        <v>13.002006</v>
      </c>
      <c r="E19463" s="1">
        <v>80.197705</v>
      </c>
      <c r="F19463" s="1">
        <v>5339.0</v>
      </c>
      <c r="G19463" s="1">
        <v>42.0</v>
      </c>
    </row>
    <row r="19464">
      <c r="A19464" s="1" t="s">
        <v>8</v>
      </c>
      <c r="B19464" s="2">
        <v>44795.0</v>
      </c>
      <c r="C19464" s="3">
        <v>0.33269675925925923</v>
      </c>
      <c r="D19464" s="1">
        <v>12.74338</v>
      </c>
      <c r="E19464" s="1">
        <v>79.992298</v>
      </c>
      <c r="F19464" s="1">
        <v>2846.0</v>
      </c>
      <c r="G19464" s="1">
        <v>0.0</v>
      </c>
    </row>
    <row r="19465">
      <c r="A19465" s="1" t="s">
        <v>8</v>
      </c>
      <c r="B19465" s="2">
        <v>44795.0</v>
      </c>
      <c r="C19465" s="3">
        <v>0.3332986111111111</v>
      </c>
      <c r="D19465" s="1">
        <v>12.995587</v>
      </c>
      <c r="E19465" s="1">
        <v>80.188663</v>
      </c>
      <c r="F19465" s="1">
        <v>5339.0</v>
      </c>
      <c r="G19465" s="1">
        <v>28.0</v>
      </c>
    </row>
    <row r="19466">
      <c r="A19466" s="1" t="s">
        <v>7</v>
      </c>
      <c r="B19466" s="2">
        <v>44795.0</v>
      </c>
      <c r="C19466" s="3">
        <v>0.33339120370370373</v>
      </c>
      <c r="D19466" s="1">
        <v>12.749253</v>
      </c>
      <c r="E19466" s="1">
        <v>79.99714</v>
      </c>
      <c r="F19466" s="1">
        <v>2846.0</v>
      </c>
      <c r="G19466" s="1">
        <v>57.0</v>
      </c>
    </row>
    <row r="19467">
      <c r="A19467" s="1" t="s">
        <v>8</v>
      </c>
      <c r="B19467" s="2">
        <v>44795.0</v>
      </c>
      <c r="C19467" s="3">
        <v>0.33373842592592595</v>
      </c>
      <c r="D19467" s="1">
        <v>12.746975</v>
      </c>
      <c r="E19467" s="1">
        <v>79.995278</v>
      </c>
      <c r="F19467" s="1">
        <v>2846.0</v>
      </c>
      <c r="G19467" s="1">
        <v>60.0</v>
      </c>
    </row>
    <row r="19468">
      <c r="A19468" s="1" t="s">
        <v>7</v>
      </c>
      <c r="B19468" s="2">
        <v>44795.0</v>
      </c>
      <c r="C19468" s="3">
        <v>0.3339814814814815</v>
      </c>
      <c r="D19468" s="1">
        <v>12.755283</v>
      </c>
      <c r="E19468" s="1">
        <v>80.001321</v>
      </c>
      <c r="F19468" s="1">
        <v>2846.0</v>
      </c>
      <c r="G19468" s="1">
        <v>57.0</v>
      </c>
    </row>
    <row r="19469">
      <c r="A19469" s="1" t="s">
        <v>8</v>
      </c>
      <c r="B19469" s="2">
        <v>44795.0</v>
      </c>
      <c r="C19469" s="3">
        <v>0.33519675925925924</v>
      </c>
      <c r="D19469" s="1">
        <v>12.765435</v>
      </c>
      <c r="E19469" s="1">
        <v>80.004976</v>
      </c>
      <c r="F19469" s="1">
        <v>2846.0</v>
      </c>
      <c r="G19469" s="1">
        <v>55.0</v>
      </c>
    </row>
    <row r="19470">
      <c r="A19470" s="1" t="s">
        <v>7</v>
      </c>
      <c r="B19470" s="2">
        <v>44795.0</v>
      </c>
      <c r="C19470" s="3">
        <v>0.33564814814814814</v>
      </c>
      <c r="D19470" s="1">
        <v>12.769586</v>
      </c>
      <c r="E19470" s="1">
        <v>80.006857</v>
      </c>
      <c r="F19470" s="1">
        <v>2846.0</v>
      </c>
      <c r="G19470" s="1">
        <v>57.0</v>
      </c>
    </row>
    <row r="19471">
      <c r="A19471" s="1" t="s">
        <v>8</v>
      </c>
      <c r="B19471" s="2">
        <v>44795.0</v>
      </c>
      <c r="C19471" s="3">
        <v>0.3358333333333333</v>
      </c>
      <c r="D19471" s="1">
        <v>12.770838</v>
      </c>
      <c r="E19471" s="1">
        <v>80.007432</v>
      </c>
      <c r="F19471" s="1">
        <v>2846.0</v>
      </c>
      <c r="G19471" s="1">
        <v>52.0</v>
      </c>
    </row>
    <row r="19472">
      <c r="A19472" s="1" t="s">
        <v>8</v>
      </c>
      <c r="B19472" s="2">
        <v>44795.0</v>
      </c>
      <c r="C19472" s="3">
        <v>0.3360532407407407</v>
      </c>
      <c r="D19472" s="1">
        <v>12.965694</v>
      </c>
      <c r="E19472" s="1">
        <v>80.148363</v>
      </c>
      <c r="F19472" s="1">
        <v>3143.0</v>
      </c>
      <c r="G19472" s="1">
        <v>31.0</v>
      </c>
    </row>
    <row r="19473">
      <c r="A19473" s="1" t="s">
        <v>8</v>
      </c>
      <c r="B19473" s="2">
        <v>44795.0</v>
      </c>
      <c r="C19473" s="3">
        <v>0.33643518518518517</v>
      </c>
      <c r="D19473" s="1">
        <v>12.961434</v>
      </c>
      <c r="E19473" s="1">
        <v>80.146016</v>
      </c>
      <c r="F19473" s="1">
        <v>3143.0</v>
      </c>
      <c r="G19473" s="1">
        <v>50.0</v>
      </c>
    </row>
    <row r="19474">
      <c r="A19474" s="1" t="s">
        <v>8</v>
      </c>
      <c r="B19474" s="2">
        <v>44795.0</v>
      </c>
      <c r="C19474" s="3">
        <v>0.33655092592592595</v>
      </c>
      <c r="D19474" s="1">
        <v>12.961434</v>
      </c>
      <c r="E19474" s="1">
        <v>80.146016</v>
      </c>
      <c r="F19474" s="1">
        <v>3143.0</v>
      </c>
      <c r="G19474" s="1">
        <v>50.0</v>
      </c>
    </row>
    <row r="19475">
      <c r="A19475" s="1" t="s">
        <v>8</v>
      </c>
      <c r="B19475" s="2">
        <v>44795.0</v>
      </c>
      <c r="C19475" s="3">
        <v>0.33666666666666667</v>
      </c>
      <c r="D19475" s="1">
        <v>12.959916</v>
      </c>
      <c r="E19475" s="1">
        <v>80.14523</v>
      </c>
      <c r="F19475" s="1">
        <v>3143.0</v>
      </c>
      <c r="G19475" s="1">
        <v>42.0</v>
      </c>
    </row>
    <row r="19476">
      <c r="A19476" s="1" t="s">
        <v>8</v>
      </c>
      <c r="B19476" s="2">
        <v>44795.0</v>
      </c>
      <c r="C19476" s="3">
        <v>0.336875</v>
      </c>
      <c r="D19476" s="1">
        <v>12.958036</v>
      </c>
      <c r="E19476" s="1">
        <v>80.144203</v>
      </c>
      <c r="F19476" s="1">
        <v>3143.0</v>
      </c>
      <c r="G19476" s="1">
        <v>25.0</v>
      </c>
    </row>
    <row r="19477">
      <c r="A19477" s="1" t="s">
        <v>8</v>
      </c>
      <c r="B19477" s="2">
        <v>44795.0</v>
      </c>
      <c r="C19477" s="3">
        <v>0.336875</v>
      </c>
      <c r="D19477" s="1">
        <v>12.958036</v>
      </c>
      <c r="E19477" s="1">
        <v>80.144203</v>
      </c>
      <c r="F19477" s="1">
        <v>3143.0</v>
      </c>
      <c r="G19477" s="1">
        <v>25.0</v>
      </c>
    </row>
    <row r="19478">
      <c r="A19478" s="1" t="s">
        <v>7</v>
      </c>
      <c r="B19478" s="2">
        <v>44795.0</v>
      </c>
      <c r="C19478" s="3">
        <v>0.33696759259259257</v>
      </c>
      <c r="D19478" s="1">
        <v>12.785426</v>
      </c>
      <c r="E19478" s="1">
        <v>80.014131</v>
      </c>
      <c r="F19478" s="1">
        <v>2846.0</v>
      </c>
      <c r="G19478" s="1">
        <v>57.0</v>
      </c>
    </row>
    <row r="19479">
      <c r="A19479" s="1" t="s">
        <v>7</v>
      </c>
      <c r="B19479" s="2">
        <v>44795.0</v>
      </c>
      <c r="C19479" s="3">
        <v>0.3375694444444444</v>
      </c>
      <c r="D19479" s="1">
        <v>12.791703</v>
      </c>
      <c r="E19479" s="1">
        <v>80.01789</v>
      </c>
      <c r="F19479" s="1">
        <v>2846.0</v>
      </c>
      <c r="G19479" s="1">
        <v>58.0</v>
      </c>
    </row>
    <row r="19480">
      <c r="A19480" s="1" t="s">
        <v>8</v>
      </c>
      <c r="B19480" s="2">
        <v>44795.0</v>
      </c>
      <c r="C19480" s="3">
        <v>0.3376736111111111</v>
      </c>
      <c r="D19480" s="1">
        <v>12.955097</v>
      </c>
      <c r="E19480" s="1">
        <v>80.142645</v>
      </c>
      <c r="F19480" s="1">
        <v>3143.0</v>
      </c>
      <c r="G19480" s="1">
        <v>29.0</v>
      </c>
    </row>
    <row r="19481">
      <c r="A19481" s="1" t="s">
        <v>8</v>
      </c>
      <c r="B19481" s="2">
        <v>44795.0</v>
      </c>
      <c r="C19481" s="3">
        <v>0.33784722222222224</v>
      </c>
      <c r="D19481" s="1">
        <v>12.954463</v>
      </c>
      <c r="E19481" s="1">
        <v>80.142286</v>
      </c>
      <c r="F19481" s="1">
        <v>3143.0</v>
      </c>
      <c r="G19481" s="1">
        <v>32.0</v>
      </c>
    </row>
    <row r="19482">
      <c r="A19482" s="1" t="s">
        <v>7</v>
      </c>
      <c r="B19482" s="2">
        <v>44795.0</v>
      </c>
      <c r="C19482" s="3">
        <v>0.33791666666666664</v>
      </c>
      <c r="D19482" s="1">
        <v>12.791703</v>
      </c>
      <c r="E19482" s="1">
        <v>80.01789</v>
      </c>
      <c r="F19482" s="1">
        <v>2846.0</v>
      </c>
      <c r="G19482" s="1">
        <v>58.0</v>
      </c>
    </row>
    <row r="19483">
      <c r="A19483" s="1" t="s">
        <v>7</v>
      </c>
      <c r="B19483" s="2">
        <v>44795.0</v>
      </c>
      <c r="C19483" s="3">
        <v>0.3379976851851852</v>
      </c>
      <c r="D19483" s="1">
        <v>12.795411</v>
      </c>
      <c r="E19483" s="1">
        <v>80.020258</v>
      </c>
      <c r="F19483" s="1">
        <v>2846.0</v>
      </c>
      <c r="G19483" s="1">
        <v>58.0</v>
      </c>
    </row>
    <row r="19484">
      <c r="A19484" s="1" t="s">
        <v>8</v>
      </c>
      <c r="B19484" s="2">
        <v>44795.0</v>
      </c>
      <c r="C19484" s="3">
        <v>0.338125</v>
      </c>
      <c r="D19484" s="1">
        <v>12.952294</v>
      </c>
      <c r="E19484" s="1">
        <v>80.140989</v>
      </c>
      <c r="F19484" s="1">
        <v>3143.0</v>
      </c>
      <c r="G19484" s="1">
        <v>0.0</v>
      </c>
    </row>
    <row r="19485">
      <c r="A19485" s="1" t="s">
        <v>8</v>
      </c>
      <c r="B19485" s="2">
        <v>44795.0</v>
      </c>
      <c r="C19485" s="3">
        <v>0.33813657407407405</v>
      </c>
      <c r="D19485" s="1">
        <v>12.952294</v>
      </c>
      <c r="E19485" s="1">
        <v>80.140989</v>
      </c>
      <c r="F19485" s="1">
        <v>3143.0</v>
      </c>
      <c r="G19485" s="1">
        <v>0.0</v>
      </c>
    </row>
    <row r="19486">
      <c r="A19486" s="1" t="s">
        <v>7</v>
      </c>
      <c r="B19486" s="2">
        <v>44795.0</v>
      </c>
      <c r="C19486" s="3">
        <v>0.3383564814814815</v>
      </c>
      <c r="D19486" s="1">
        <v>12.951591</v>
      </c>
      <c r="E19486" s="1">
        <v>80.140424</v>
      </c>
      <c r="F19486" s="1">
        <v>3143.0</v>
      </c>
      <c r="G19486" s="1">
        <v>38.0</v>
      </c>
    </row>
    <row r="19487">
      <c r="A19487" s="1" t="s">
        <v>7</v>
      </c>
      <c r="B19487" s="2">
        <v>44795.0</v>
      </c>
      <c r="C19487" s="3">
        <v>0.33859953703703705</v>
      </c>
      <c r="D19487" s="1">
        <v>12.795411</v>
      </c>
      <c r="E19487" s="1">
        <v>80.020258</v>
      </c>
      <c r="F19487" s="1">
        <v>2846.0</v>
      </c>
      <c r="G19487" s="1">
        <v>58.0</v>
      </c>
    </row>
    <row r="19488">
      <c r="A19488" s="1" t="s">
        <v>8</v>
      </c>
      <c r="B19488" s="2">
        <v>44795.0</v>
      </c>
      <c r="C19488" s="3">
        <v>0.3388541666666667</v>
      </c>
      <c r="D19488" s="1">
        <v>12.805224</v>
      </c>
      <c r="E19488" s="1">
        <v>80.026699</v>
      </c>
      <c r="F19488" s="1">
        <v>2846.0</v>
      </c>
      <c r="G19488" s="1">
        <v>58.0</v>
      </c>
    </row>
    <row r="19489">
      <c r="A19489" s="1" t="s">
        <v>7</v>
      </c>
      <c r="B19489" s="2">
        <v>44795.0</v>
      </c>
      <c r="C19489" s="3">
        <v>0.33902777777777776</v>
      </c>
      <c r="D19489" s="1">
        <v>12.945867</v>
      </c>
      <c r="E19489" s="1">
        <v>80.13607</v>
      </c>
      <c r="F19489" s="1">
        <v>3143.0</v>
      </c>
      <c r="G19489" s="1">
        <v>51.0</v>
      </c>
    </row>
    <row r="19490">
      <c r="A19490" s="1" t="s">
        <v>7</v>
      </c>
      <c r="B19490" s="2">
        <v>44795.0</v>
      </c>
      <c r="C19490" s="3">
        <v>0.33956018518518516</v>
      </c>
      <c r="D19490" s="1">
        <v>12.811558</v>
      </c>
      <c r="E19490" s="1">
        <v>80.030785</v>
      </c>
      <c r="F19490" s="1">
        <v>2846.0</v>
      </c>
      <c r="G19490" s="1">
        <v>57.0</v>
      </c>
    </row>
    <row r="19491">
      <c r="A19491" s="1" t="s">
        <v>8</v>
      </c>
      <c r="B19491" s="2">
        <v>44795.0</v>
      </c>
      <c r="C19491" s="3">
        <v>0.34074074074074073</v>
      </c>
      <c r="D19491" s="1">
        <v>12.822187</v>
      </c>
      <c r="E19491" s="1">
        <v>80.03804</v>
      </c>
      <c r="F19491" s="1">
        <v>2846.0</v>
      </c>
      <c r="G19491" s="1">
        <v>43.0</v>
      </c>
    </row>
    <row r="19492">
      <c r="A19492" s="1" t="s">
        <v>7</v>
      </c>
      <c r="B19492" s="2">
        <v>44795.0</v>
      </c>
      <c r="C19492" s="3">
        <v>0.34098379629629627</v>
      </c>
      <c r="D19492" s="1">
        <v>12.822187</v>
      </c>
      <c r="E19492" s="1">
        <v>80.03804</v>
      </c>
      <c r="F19492" s="1">
        <v>2846.0</v>
      </c>
      <c r="G19492" s="1">
        <v>43.0</v>
      </c>
    </row>
    <row r="19493">
      <c r="A19493" s="1" t="s">
        <v>7</v>
      </c>
      <c r="B19493" s="2">
        <v>44795.0</v>
      </c>
      <c r="C19493" s="3">
        <v>0.3413888888888889</v>
      </c>
      <c r="D19493" s="1">
        <v>12.827771</v>
      </c>
      <c r="E19493" s="1">
        <v>80.04248</v>
      </c>
      <c r="F19493" s="1">
        <v>2846.0</v>
      </c>
      <c r="G19493" s="1">
        <v>58.0</v>
      </c>
    </row>
    <row r="19494">
      <c r="A19494" s="1" t="s">
        <v>7</v>
      </c>
      <c r="B19494" s="2">
        <v>44795.0</v>
      </c>
      <c r="C19494" s="3">
        <v>0.34243055555555557</v>
      </c>
      <c r="D19494" s="1">
        <v>12.836823</v>
      </c>
      <c r="E19494" s="1">
        <v>80.052085</v>
      </c>
      <c r="F19494" s="1">
        <v>2846.0</v>
      </c>
      <c r="G19494" s="1">
        <v>58.0</v>
      </c>
    </row>
    <row r="19495">
      <c r="A19495" s="1" t="s">
        <v>8</v>
      </c>
      <c r="B19495" s="2">
        <v>44795.0</v>
      </c>
      <c r="C19495" s="3">
        <v>0.342650462962963</v>
      </c>
      <c r="D19495" s="1">
        <v>12.930289</v>
      </c>
      <c r="E19495" s="1">
        <v>80.118909</v>
      </c>
      <c r="F19495" s="1">
        <v>3143.0</v>
      </c>
      <c r="G19495" s="1">
        <v>34.0</v>
      </c>
    </row>
    <row r="19496">
      <c r="A19496" s="1" t="s">
        <v>8</v>
      </c>
      <c r="B19496" s="2">
        <v>44795.0</v>
      </c>
      <c r="C19496" s="3">
        <v>0.34300925925925924</v>
      </c>
      <c r="D19496" s="1">
        <v>12.93062</v>
      </c>
      <c r="E19496" s="1">
        <v>80.11661</v>
      </c>
      <c r="F19496" s="1">
        <v>3143.0</v>
      </c>
      <c r="G19496" s="1">
        <v>37.0</v>
      </c>
    </row>
    <row r="19497">
      <c r="A19497" s="1" t="s">
        <v>10</v>
      </c>
      <c r="B19497" s="2">
        <v>44795.0</v>
      </c>
      <c r="C19497" s="3">
        <v>0.3436574074074074</v>
      </c>
      <c r="D19497" s="1">
        <v>12.843463</v>
      </c>
      <c r="E19497" s="1">
        <v>80.059007</v>
      </c>
      <c r="F19497" s="1">
        <v>2846.0</v>
      </c>
      <c r="G19497" s="1">
        <v>44.0</v>
      </c>
    </row>
    <row r="19498">
      <c r="A19498" s="1" t="s">
        <v>7</v>
      </c>
      <c r="B19498" s="2">
        <v>44795.0</v>
      </c>
      <c r="C19498" s="3">
        <v>0.34697916666666667</v>
      </c>
      <c r="D19498" s="1">
        <v>12.862735</v>
      </c>
      <c r="E19498" s="1">
        <v>80.073635</v>
      </c>
      <c r="F19498" s="1">
        <v>2846.0</v>
      </c>
      <c r="G19498" s="1">
        <v>50.0</v>
      </c>
    </row>
    <row r="19499">
      <c r="A19499" s="1" t="s">
        <v>8</v>
      </c>
      <c r="B19499" s="2">
        <v>44795.0</v>
      </c>
      <c r="C19499" s="3">
        <v>0.34730324074074076</v>
      </c>
      <c r="D19499" s="1">
        <v>12.866633</v>
      </c>
      <c r="E19499" s="1">
        <v>80.075159</v>
      </c>
      <c r="F19499" s="1">
        <v>2846.0</v>
      </c>
      <c r="G19499" s="1">
        <v>54.0</v>
      </c>
    </row>
    <row r="19500">
      <c r="A19500" s="1" t="s">
        <v>8</v>
      </c>
      <c r="B19500" s="2">
        <v>44795.0</v>
      </c>
      <c r="C19500" s="3">
        <v>0.3474189814814815</v>
      </c>
      <c r="D19500" s="1">
        <v>12.866633</v>
      </c>
      <c r="E19500" s="1">
        <v>80.075159</v>
      </c>
      <c r="F19500" s="1">
        <v>2846.0</v>
      </c>
      <c r="G19500" s="1">
        <v>54.0</v>
      </c>
    </row>
    <row r="19501">
      <c r="A19501" s="1" t="s">
        <v>7</v>
      </c>
      <c r="B19501" s="2">
        <v>44795.0</v>
      </c>
      <c r="C19501" s="3">
        <v>0.3475462962962963</v>
      </c>
      <c r="D19501" s="1">
        <v>12.86928</v>
      </c>
      <c r="E19501" s="1">
        <v>80.076188</v>
      </c>
      <c r="F19501" s="1">
        <v>2846.0</v>
      </c>
      <c r="G19501" s="1">
        <v>59.0</v>
      </c>
    </row>
    <row r="19502">
      <c r="A19502" s="1" t="s">
        <v>9</v>
      </c>
      <c r="B19502" s="2">
        <v>44795.0</v>
      </c>
      <c r="C19502" s="3">
        <v>0.347650462962963</v>
      </c>
      <c r="D19502" s="1">
        <v>12.870651</v>
      </c>
      <c r="E19502" s="1">
        <v>80.076702</v>
      </c>
      <c r="F19502" s="1">
        <v>2846.0</v>
      </c>
      <c r="G19502" s="1">
        <v>58.0</v>
      </c>
    </row>
    <row r="19503">
      <c r="A19503" s="1" t="s">
        <v>8</v>
      </c>
      <c r="B19503" s="2">
        <v>44795.0</v>
      </c>
      <c r="C19503" s="3">
        <v>0.3478819444444444</v>
      </c>
      <c r="D19503" s="1">
        <v>12.870651</v>
      </c>
      <c r="E19503" s="1">
        <v>80.076702</v>
      </c>
      <c r="F19503" s="1">
        <v>2846.0</v>
      </c>
      <c r="G19503" s="1">
        <v>58.0</v>
      </c>
    </row>
    <row r="19504">
      <c r="A19504" s="1" t="s">
        <v>7</v>
      </c>
      <c r="B19504" s="2">
        <v>44795.0</v>
      </c>
      <c r="C19504" s="3">
        <v>0.34803240740740743</v>
      </c>
      <c r="D19504" s="1">
        <v>12.87435</v>
      </c>
      <c r="E19504" s="1">
        <v>80.078097</v>
      </c>
      <c r="F19504" s="1">
        <v>2846.0</v>
      </c>
      <c r="G19504" s="1">
        <v>55.0</v>
      </c>
    </row>
    <row r="19505">
      <c r="A19505" s="1" t="s">
        <v>7</v>
      </c>
      <c r="B19505" s="2">
        <v>44795.0</v>
      </c>
      <c r="C19505" s="3">
        <v>0.34814814814814815</v>
      </c>
      <c r="D19505" s="1">
        <v>12.875709</v>
      </c>
      <c r="E19505" s="1">
        <v>80.078617</v>
      </c>
      <c r="F19505" s="1">
        <v>2846.0</v>
      </c>
      <c r="G19505" s="1">
        <v>58.0</v>
      </c>
    </row>
    <row r="19506">
      <c r="A19506" s="1" t="s">
        <v>8</v>
      </c>
      <c r="B19506" s="2">
        <v>44795.0</v>
      </c>
      <c r="C19506" s="3">
        <v>0.3481828703703704</v>
      </c>
      <c r="D19506" s="1">
        <v>12.875709</v>
      </c>
      <c r="E19506" s="1">
        <v>80.078617</v>
      </c>
      <c r="F19506" s="1">
        <v>2846.0</v>
      </c>
      <c r="G19506" s="1">
        <v>58.0</v>
      </c>
    </row>
    <row r="19507">
      <c r="A19507" s="1" t="s">
        <v>7</v>
      </c>
      <c r="B19507" s="2">
        <v>44795.0</v>
      </c>
      <c r="C19507" s="3">
        <v>0.34832175925925923</v>
      </c>
      <c r="D19507" s="1">
        <v>12.877026</v>
      </c>
      <c r="E19507" s="1">
        <v>80.079116</v>
      </c>
      <c r="F19507" s="1">
        <v>2846.0</v>
      </c>
      <c r="G19507" s="1">
        <v>58.0</v>
      </c>
    </row>
    <row r="19508">
      <c r="A19508" s="1" t="s">
        <v>8</v>
      </c>
      <c r="B19508" s="2">
        <v>44795.0</v>
      </c>
      <c r="C19508" s="3">
        <v>0.34844907407407405</v>
      </c>
      <c r="D19508" s="1">
        <v>12.923419</v>
      </c>
      <c r="E19508" s="1">
        <v>80.097326</v>
      </c>
      <c r="F19508" s="1">
        <v>3143.0</v>
      </c>
      <c r="G19508" s="1">
        <v>26.0</v>
      </c>
    </row>
    <row r="19509">
      <c r="A19509" s="1" t="s">
        <v>8</v>
      </c>
      <c r="B19509" s="2">
        <v>44795.0</v>
      </c>
      <c r="C19509" s="3">
        <v>0.34954861111111113</v>
      </c>
      <c r="D19509" s="1">
        <v>12.878691</v>
      </c>
      <c r="E19509" s="1">
        <v>80.081602</v>
      </c>
      <c r="F19509" s="1">
        <v>2846.0</v>
      </c>
      <c r="G19509" s="1">
        <v>28.0</v>
      </c>
    </row>
    <row r="19510">
      <c r="A19510" s="1" t="s">
        <v>8</v>
      </c>
      <c r="B19510" s="2">
        <v>44795.0</v>
      </c>
      <c r="C19510" s="3">
        <v>0.35054398148148147</v>
      </c>
      <c r="D19510" s="1">
        <v>12.918957</v>
      </c>
      <c r="E19510" s="1">
        <v>80.08345</v>
      </c>
      <c r="F19510" s="1">
        <v>3143.0</v>
      </c>
      <c r="G19510" s="1">
        <v>25.0</v>
      </c>
    </row>
    <row r="19511">
      <c r="A19511" s="1" t="s">
        <v>8</v>
      </c>
      <c r="B19511" s="2">
        <v>44795.0</v>
      </c>
      <c r="C19511" s="3">
        <v>0.35054398148148147</v>
      </c>
      <c r="D19511" s="1">
        <v>12.918957</v>
      </c>
      <c r="E19511" s="1">
        <v>80.08345</v>
      </c>
      <c r="F19511" s="1">
        <v>3143.0</v>
      </c>
      <c r="G19511" s="1">
        <v>25.0</v>
      </c>
    </row>
    <row r="19512">
      <c r="A19512" s="1" t="s">
        <v>8</v>
      </c>
      <c r="B19512" s="2">
        <v>44795.0</v>
      </c>
      <c r="C19512" s="3">
        <v>0.35107638888888887</v>
      </c>
      <c r="D19512" s="1">
        <v>12.917857</v>
      </c>
      <c r="E19512" s="1">
        <v>80.080752</v>
      </c>
      <c r="F19512" s="1">
        <v>3143.0</v>
      </c>
      <c r="G19512" s="1">
        <v>37.0</v>
      </c>
    </row>
    <row r="19513">
      <c r="A19513" s="1" t="s">
        <v>8</v>
      </c>
      <c r="B19513" s="2">
        <v>44795.0</v>
      </c>
      <c r="C19513" s="3">
        <v>0.35140046296296296</v>
      </c>
      <c r="D19513" s="1">
        <v>12.915816</v>
      </c>
      <c r="E19513" s="1">
        <v>80.078789</v>
      </c>
      <c r="F19513" s="1">
        <v>3143.0</v>
      </c>
      <c r="G19513" s="1">
        <v>34.0</v>
      </c>
    </row>
    <row r="19514">
      <c r="A19514" s="1" t="s">
        <v>8</v>
      </c>
      <c r="B19514" s="2">
        <v>44795.0</v>
      </c>
      <c r="C19514" s="3">
        <v>0.3518287037037037</v>
      </c>
      <c r="D19514" s="1">
        <v>12.915475</v>
      </c>
      <c r="E19514" s="1">
        <v>80.077125</v>
      </c>
      <c r="F19514" s="1">
        <v>3143.0</v>
      </c>
      <c r="G19514" s="1">
        <v>16.0</v>
      </c>
    </row>
    <row r="19515">
      <c r="A19515" s="1" t="s">
        <v>7</v>
      </c>
      <c r="B19515" s="2">
        <v>44795.0</v>
      </c>
      <c r="C19515" s="3">
        <v>0.35311342592592593</v>
      </c>
      <c r="D19515" s="1">
        <v>12.913466</v>
      </c>
      <c r="E19515" s="1">
        <v>80.07483</v>
      </c>
      <c r="F19515" s="1">
        <v>3143.0</v>
      </c>
      <c r="G19515" s="1">
        <v>46.0</v>
      </c>
    </row>
    <row r="19516">
      <c r="A19516" s="1" t="s">
        <v>7</v>
      </c>
      <c r="B19516" s="2">
        <v>44795.0</v>
      </c>
      <c r="C19516" s="3">
        <v>0.3542013888888889</v>
      </c>
      <c r="D19516" s="1">
        <v>12.894461</v>
      </c>
      <c r="E19516" s="1">
        <v>80.070785</v>
      </c>
      <c r="F19516" s="1">
        <v>3143.0</v>
      </c>
      <c r="G19516" s="1">
        <v>57.0</v>
      </c>
    </row>
    <row r="19517">
      <c r="A19517" s="1" t="s">
        <v>7</v>
      </c>
      <c r="B19517" s="2">
        <v>44795.0</v>
      </c>
      <c r="C19517" s="3">
        <v>0.35432870370370373</v>
      </c>
      <c r="D19517" s="1">
        <v>12.894461</v>
      </c>
      <c r="E19517" s="1">
        <v>80.070785</v>
      </c>
      <c r="F19517" s="1">
        <v>3143.0</v>
      </c>
      <c r="G19517" s="1">
        <v>57.0</v>
      </c>
    </row>
    <row r="19518">
      <c r="A19518" s="1" t="s">
        <v>7</v>
      </c>
      <c r="B19518" s="2">
        <v>44795.0</v>
      </c>
      <c r="C19518" s="3">
        <v>0.35461805555555553</v>
      </c>
      <c r="D19518" s="1">
        <v>12.889958</v>
      </c>
      <c r="E19518" s="1">
        <v>80.071775</v>
      </c>
      <c r="F19518" s="1">
        <v>3143.0</v>
      </c>
      <c r="G19518" s="1">
        <v>58.0</v>
      </c>
    </row>
    <row r="19519">
      <c r="A19519" s="1" t="s">
        <v>10</v>
      </c>
      <c r="B19519" s="2">
        <v>44795.0</v>
      </c>
      <c r="C19519" s="3">
        <v>0.3599189814814815</v>
      </c>
      <c r="D19519" s="1">
        <v>12.87762</v>
      </c>
      <c r="E19519" s="1">
        <v>80.084476</v>
      </c>
      <c r="F19519" s="1">
        <v>3143.0</v>
      </c>
      <c r="G19519" s="1">
        <v>13.0</v>
      </c>
    </row>
    <row r="19520">
      <c r="A19520" s="1" t="s">
        <v>10</v>
      </c>
      <c r="B19520" s="2">
        <v>44795.0</v>
      </c>
      <c r="C19520" s="3">
        <v>0.360474537037037</v>
      </c>
      <c r="D19520" s="1">
        <v>12.877077</v>
      </c>
      <c r="E19520" s="1">
        <v>80.084566</v>
      </c>
      <c r="F19520" s="1">
        <v>3143.0</v>
      </c>
      <c r="G19520" s="1">
        <v>12.0</v>
      </c>
    </row>
    <row r="19521">
      <c r="A19521" s="1" t="s">
        <v>10</v>
      </c>
      <c r="B19521" s="2">
        <v>44795.0</v>
      </c>
      <c r="C19521" s="3">
        <v>0.5338541666666666</v>
      </c>
      <c r="D19521" s="1">
        <v>12.8738</v>
      </c>
      <c r="E19521" s="1">
        <v>80.085255</v>
      </c>
      <c r="F19521" s="1">
        <v>5339.0</v>
      </c>
      <c r="G19521" s="1">
        <v>6.0</v>
      </c>
    </row>
    <row r="19522">
      <c r="A19522" s="1" t="s">
        <v>10</v>
      </c>
      <c r="B19522" s="2">
        <v>44795.0</v>
      </c>
      <c r="C19522" s="3">
        <v>0.5532870370370371</v>
      </c>
      <c r="D19522" s="1">
        <v>12.874517</v>
      </c>
      <c r="E19522" s="1">
        <v>80.084328</v>
      </c>
      <c r="F19522" s="1">
        <v>5339.0</v>
      </c>
      <c r="G19522" s="1">
        <v>7.0</v>
      </c>
    </row>
    <row r="19523">
      <c r="A19523" s="1" t="s">
        <v>10</v>
      </c>
      <c r="B19523" s="2">
        <v>44795.0</v>
      </c>
      <c r="C19523" s="3">
        <v>0.553599537037037</v>
      </c>
      <c r="D19523" s="1">
        <v>12.875185</v>
      </c>
      <c r="E19523" s="1">
        <v>80.084702</v>
      </c>
      <c r="F19523" s="1">
        <v>5339.0</v>
      </c>
      <c r="G19523" s="1">
        <v>6.0</v>
      </c>
    </row>
    <row r="19524">
      <c r="A19524" s="1" t="s">
        <v>10</v>
      </c>
      <c r="B19524" s="2">
        <v>44795.0</v>
      </c>
      <c r="C19524" s="3">
        <v>0.5538310185185186</v>
      </c>
      <c r="D19524" s="1">
        <v>12.875447</v>
      </c>
      <c r="E19524" s="1">
        <v>80.084276</v>
      </c>
      <c r="F19524" s="1">
        <v>5339.0</v>
      </c>
      <c r="G19524" s="1">
        <v>10.0</v>
      </c>
    </row>
    <row r="19525">
      <c r="A19525" s="1" t="s">
        <v>10</v>
      </c>
      <c r="B19525" s="2">
        <v>44795.0</v>
      </c>
      <c r="C19525" s="3">
        <v>0.554050925925926</v>
      </c>
      <c r="D19525" s="1">
        <v>12.875573</v>
      </c>
      <c r="E19525" s="1">
        <v>80.084085</v>
      </c>
      <c r="F19525" s="1">
        <v>5339.0</v>
      </c>
      <c r="G19525" s="1">
        <v>7.0</v>
      </c>
    </row>
    <row r="19526">
      <c r="A19526" s="1" t="s">
        <v>10</v>
      </c>
      <c r="B19526" s="2">
        <v>44795.0</v>
      </c>
      <c r="C19526" s="3">
        <v>0.6885763888888888</v>
      </c>
      <c r="D19526" s="1">
        <v>12.876794</v>
      </c>
      <c r="E19526" s="1">
        <v>80.084395</v>
      </c>
      <c r="F19526" s="1">
        <v>5339.0</v>
      </c>
      <c r="G19526" s="1">
        <v>27.0</v>
      </c>
    </row>
    <row r="19527">
      <c r="A19527" s="1" t="s">
        <v>8</v>
      </c>
      <c r="B19527" s="2">
        <v>44795.0</v>
      </c>
      <c r="C19527" s="3">
        <v>0.6925462962962963</v>
      </c>
      <c r="D19527" s="1">
        <v>12.886862</v>
      </c>
      <c r="E19527" s="1">
        <v>80.083186</v>
      </c>
      <c r="F19527" s="1">
        <v>5339.0</v>
      </c>
      <c r="G19527" s="1">
        <v>51.0</v>
      </c>
    </row>
    <row r="19528">
      <c r="A19528" s="1" t="s">
        <v>8</v>
      </c>
      <c r="B19528" s="2">
        <v>44795.0</v>
      </c>
      <c r="C19528" s="3">
        <v>0.6927893518518519</v>
      </c>
      <c r="D19528" s="1">
        <v>12.889301</v>
      </c>
      <c r="E19528" s="1">
        <v>80.084179</v>
      </c>
      <c r="F19528" s="1">
        <v>5339.0</v>
      </c>
      <c r="G19528" s="1">
        <v>54.0</v>
      </c>
    </row>
    <row r="19529">
      <c r="A19529" s="1" t="s">
        <v>7</v>
      </c>
      <c r="B19529" s="2">
        <v>44795.0</v>
      </c>
      <c r="C19529" s="3">
        <v>0.6929513888888889</v>
      </c>
      <c r="D19529" s="1">
        <v>12.890548</v>
      </c>
      <c r="E19529" s="1">
        <v>80.084706</v>
      </c>
      <c r="F19529" s="1">
        <v>5339.0</v>
      </c>
      <c r="G19529" s="1">
        <v>51.0</v>
      </c>
    </row>
    <row r="19530">
      <c r="A19530" s="1" t="s">
        <v>7</v>
      </c>
      <c r="B19530" s="2">
        <v>44795.0</v>
      </c>
      <c r="C19530" s="3">
        <v>0.6930439814814815</v>
      </c>
      <c r="D19530" s="1">
        <v>12.891857</v>
      </c>
      <c r="E19530" s="1">
        <v>80.08531</v>
      </c>
      <c r="F19530" s="1">
        <v>5339.0</v>
      </c>
      <c r="G19530" s="1">
        <v>58.0</v>
      </c>
    </row>
    <row r="19531">
      <c r="A19531" s="1" t="s">
        <v>7</v>
      </c>
      <c r="B19531" s="2">
        <v>44795.0</v>
      </c>
      <c r="C19531" s="3">
        <v>0.6935648148148148</v>
      </c>
      <c r="D19531" s="1">
        <v>12.875945</v>
      </c>
      <c r="E19531" s="1">
        <v>80.079044</v>
      </c>
      <c r="F19531" s="1">
        <v>2846.0</v>
      </c>
      <c r="G19531" s="1">
        <v>59.0</v>
      </c>
    </row>
    <row r="19532">
      <c r="A19532" s="1" t="s">
        <v>7</v>
      </c>
      <c r="B19532" s="2">
        <v>44795.0</v>
      </c>
      <c r="C19532" s="3">
        <v>0.6938657407407407</v>
      </c>
      <c r="D19532" s="1">
        <v>12.870542</v>
      </c>
      <c r="E19532" s="1">
        <v>80.076849</v>
      </c>
      <c r="F19532" s="1">
        <v>2846.0</v>
      </c>
      <c r="G19532" s="1">
        <v>55.0</v>
      </c>
    </row>
    <row r="19533">
      <c r="A19533" s="1" t="s">
        <v>8</v>
      </c>
      <c r="B19533" s="2">
        <v>44795.0</v>
      </c>
      <c r="C19533" s="3">
        <v>0.6940277777777778</v>
      </c>
      <c r="D19533" s="1">
        <v>12.901216</v>
      </c>
      <c r="E19533" s="1">
        <v>80.092303</v>
      </c>
      <c r="F19533" s="1">
        <v>5339.0</v>
      </c>
      <c r="G19533" s="1">
        <v>56.0</v>
      </c>
    </row>
    <row r="19534">
      <c r="A19534" s="1" t="s">
        <v>8</v>
      </c>
      <c r="B19534" s="2">
        <v>44795.0</v>
      </c>
      <c r="C19534" s="3">
        <v>0.6942592592592592</v>
      </c>
      <c r="D19534" s="1">
        <v>12.903171</v>
      </c>
      <c r="E19534" s="1">
        <v>80.093745</v>
      </c>
      <c r="F19534" s="1">
        <v>5339.0</v>
      </c>
      <c r="G19534" s="1">
        <v>46.0</v>
      </c>
    </row>
    <row r="19535">
      <c r="A19535" s="1" t="s">
        <v>8</v>
      </c>
      <c r="B19535" s="2">
        <v>44795.0</v>
      </c>
      <c r="C19535" s="3">
        <v>0.695162037037037</v>
      </c>
      <c r="D19535" s="1">
        <v>12.909228</v>
      </c>
      <c r="E19535" s="1">
        <v>80.098631</v>
      </c>
      <c r="F19535" s="1">
        <v>5339.0</v>
      </c>
      <c r="G19535" s="1">
        <v>22.0</v>
      </c>
    </row>
    <row r="19536">
      <c r="A19536" s="1" t="s">
        <v>8</v>
      </c>
      <c r="B19536" s="2">
        <v>44795.0</v>
      </c>
      <c r="C19536" s="3">
        <v>0.6955671296296296</v>
      </c>
      <c r="D19536" s="1">
        <v>12.893662</v>
      </c>
      <c r="E19536" s="1">
        <v>80.086586</v>
      </c>
      <c r="F19536" s="1">
        <v>3143.0</v>
      </c>
      <c r="G19536" s="1">
        <v>51.0</v>
      </c>
    </row>
    <row r="19537">
      <c r="A19537" s="1" t="s">
        <v>8</v>
      </c>
      <c r="B19537" s="2">
        <v>44795.0</v>
      </c>
      <c r="C19537" s="3">
        <v>0.695625</v>
      </c>
      <c r="D19537" s="1">
        <v>12.862948</v>
      </c>
      <c r="E19537" s="1">
        <v>80.073921</v>
      </c>
      <c r="F19537" s="1">
        <v>2846.0</v>
      </c>
      <c r="G19537" s="1">
        <v>42.0</v>
      </c>
    </row>
    <row r="19538">
      <c r="A19538" s="1" t="s">
        <v>8</v>
      </c>
      <c r="B19538" s="2">
        <v>44795.0</v>
      </c>
      <c r="C19538" s="3">
        <v>0.6956944444444444</v>
      </c>
      <c r="D19538" s="1">
        <v>12.895352</v>
      </c>
      <c r="E19538" s="1">
        <v>80.087875</v>
      </c>
      <c r="F19538" s="1">
        <v>3143.0</v>
      </c>
      <c r="G19538" s="1">
        <v>58.0</v>
      </c>
    </row>
    <row r="19539">
      <c r="A19539" s="1" t="s">
        <v>8</v>
      </c>
      <c r="B19539" s="2">
        <v>44795.0</v>
      </c>
      <c r="C19539" s="3">
        <v>0.6958564814814815</v>
      </c>
      <c r="D19539" s="1">
        <v>12.89697</v>
      </c>
      <c r="E19539" s="1">
        <v>80.089089</v>
      </c>
      <c r="F19539" s="1">
        <v>3143.0</v>
      </c>
      <c r="G19539" s="1">
        <v>42.0</v>
      </c>
    </row>
    <row r="19540">
      <c r="A19540" s="1" t="s">
        <v>8</v>
      </c>
      <c r="B19540" s="2">
        <v>44795.0</v>
      </c>
      <c r="C19540" s="3">
        <v>0.6958680555555555</v>
      </c>
      <c r="D19540" s="1">
        <v>12.89697</v>
      </c>
      <c r="E19540" s="1">
        <v>80.089089</v>
      </c>
      <c r="F19540" s="1">
        <v>3143.0</v>
      </c>
      <c r="G19540" s="1">
        <v>42.0</v>
      </c>
    </row>
    <row r="19541">
      <c r="A19541" s="1" t="s">
        <v>8</v>
      </c>
      <c r="B19541" s="2">
        <v>44795.0</v>
      </c>
      <c r="C19541" s="3">
        <v>0.6959143518518518</v>
      </c>
      <c r="D19541" s="1">
        <v>12.89697</v>
      </c>
      <c r="E19541" s="1">
        <v>80.089089</v>
      </c>
      <c r="F19541" s="1">
        <v>3143.0</v>
      </c>
      <c r="G19541" s="1">
        <v>42.0</v>
      </c>
    </row>
    <row r="19542">
      <c r="A19542" s="1" t="s">
        <v>8</v>
      </c>
      <c r="B19542" s="2">
        <v>44795.0</v>
      </c>
      <c r="C19542" s="3">
        <v>0.695925925925926</v>
      </c>
      <c r="D19542" s="1">
        <v>12.858385</v>
      </c>
      <c r="E19542" s="1">
        <v>80.071127</v>
      </c>
      <c r="F19542" s="1">
        <v>2846.0</v>
      </c>
      <c r="G19542" s="1">
        <v>47.0</v>
      </c>
    </row>
    <row r="19543">
      <c r="A19543" s="1" t="s">
        <v>8</v>
      </c>
      <c r="B19543" s="2">
        <v>44795.0</v>
      </c>
      <c r="C19543" s="3">
        <v>0.6960069444444444</v>
      </c>
      <c r="D19543" s="1">
        <v>12.898443</v>
      </c>
      <c r="E19543" s="1">
        <v>80.090171</v>
      </c>
      <c r="F19543" s="1">
        <v>3143.0</v>
      </c>
      <c r="G19543" s="1">
        <v>46.0</v>
      </c>
    </row>
    <row r="19544">
      <c r="A19544" s="1" t="s">
        <v>8</v>
      </c>
      <c r="B19544" s="2">
        <v>44795.0</v>
      </c>
      <c r="C19544" s="3">
        <v>0.6960069444444444</v>
      </c>
      <c r="D19544" s="1">
        <v>12.913173</v>
      </c>
      <c r="E19544" s="1">
        <v>80.101436</v>
      </c>
      <c r="F19544" s="1">
        <v>5339.0</v>
      </c>
      <c r="G19544" s="1">
        <v>46.0</v>
      </c>
    </row>
    <row r="19545">
      <c r="A19545" s="1" t="s">
        <v>8</v>
      </c>
      <c r="B19545" s="2">
        <v>44795.0</v>
      </c>
      <c r="C19545" s="3">
        <v>0.6962037037037037</v>
      </c>
      <c r="D19545" s="1">
        <v>12.899966</v>
      </c>
      <c r="E19545" s="1">
        <v>80.091319</v>
      </c>
      <c r="F19545" s="1">
        <v>3143.0</v>
      </c>
      <c r="G19545" s="1">
        <v>53.0</v>
      </c>
    </row>
    <row r="19546">
      <c r="A19546" s="1" t="s">
        <v>8</v>
      </c>
      <c r="B19546" s="2">
        <v>44795.0</v>
      </c>
      <c r="C19546" s="3">
        <v>0.6962268518518518</v>
      </c>
      <c r="D19546" s="1">
        <v>12.856441</v>
      </c>
      <c r="E19546" s="1">
        <v>80.069593</v>
      </c>
      <c r="F19546" s="1">
        <v>2846.0</v>
      </c>
      <c r="G19546" s="1">
        <v>49.0</v>
      </c>
    </row>
    <row r="19547">
      <c r="A19547" s="1" t="s">
        <v>8</v>
      </c>
      <c r="B19547" s="2">
        <v>44795.0</v>
      </c>
      <c r="C19547" s="3">
        <v>0.6963657407407408</v>
      </c>
      <c r="D19547" s="1">
        <v>12.915711</v>
      </c>
      <c r="E19547" s="1">
        <v>80.104012</v>
      </c>
      <c r="F19547" s="1">
        <v>5339.0</v>
      </c>
      <c r="G19547" s="1">
        <v>54.0</v>
      </c>
    </row>
    <row r="19548">
      <c r="A19548" s="1" t="s">
        <v>8</v>
      </c>
      <c r="B19548" s="2">
        <v>44795.0</v>
      </c>
      <c r="C19548" s="3">
        <v>0.6964236111111111</v>
      </c>
      <c r="D19548" s="1">
        <v>12.915711</v>
      </c>
      <c r="E19548" s="1">
        <v>80.104012</v>
      </c>
      <c r="F19548" s="1">
        <v>5339.0</v>
      </c>
      <c r="G19548" s="1">
        <v>54.0</v>
      </c>
    </row>
    <row r="19549">
      <c r="A19549" s="1" t="s">
        <v>8</v>
      </c>
      <c r="B19549" s="2">
        <v>44795.0</v>
      </c>
      <c r="C19549" s="3">
        <v>0.6964351851851852</v>
      </c>
      <c r="D19549" s="1">
        <v>12.915711</v>
      </c>
      <c r="E19549" s="1">
        <v>80.104012</v>
      </c>
      <c r="F19549" s="1">
        <v>5339.0</v>
      </c>
      <c r="G19549" s="1">
        <v>54.0</v>
      </c>
    </row>
    <row r="19550">
      <c r="A19550" s="1" t="s">
        <v>8</v>
      </c>
      <c r="B19550" s="2">
        <v>44795.0</v>
      </c>
      <c r="C19550" s="3">
        <v>0.6964699074074074</v>
      </c>
      <c r="D19550" s="1">
        <v>12.901694</v>
      </c>
      <c r="E19550" s="1">
        <v>80.092574</v>
      </c>
      <c r="F19550" s="1">
        <v>3143.0</v>
      </c>
      <c r="G19550" s="1">
        <v>42.0</v>
      </c>
    </row>
    <row r="19551">
      <c r="A19551" s="1" t="s">
        <v>7</v>
      </c>
      <c r="B19551" s="2">
        <v>44795.0</v>
      </c>
      <c r="C19551" s="3">
        <v>0.6966087962962964</v>
      </c>
      <c r="D19551" s="1">
        <v>12.85494</v>
      </c>
      <c r="E19551" s="1">
        <v>80.068478</v>
      </c>
      <c r="F19551" s="1">
        <v>2846.0</v>
      </c>
      <c r="G19551" s="1">
        <v>57.0</v>
      </c>
    </row>
    <row r="19552">
      <c r="A19552" s="1" t="s">
        <v>8</v>
      </c>
      <c r="B19552" s="2">
        <v>44795.0</v>
      </c>
      <c r="C19552" s="3">
        <v>0.6971180555555555</v>
      </c>
      <c r="D19552" s="1">
        <v>12.84794</v>
      </c>
      <c r="E19552" s="1">
        <v>80.063435</v>
      </c>
      <c r="F19552" s="1">
        <v>2846.0</v>
      </c>
      <c r="G19552" s="1">
        <v>41.0</v>
      </c>
    </row>
    <row r="19553">
      <c r="A19553" s="1" t="s">
        <v>8</v>
      </c>
      <c r="B19553" s="2">
        <v>44795.0</v>
      </c>
      <c r="C19553" s="3">
        <v>0.6971990740740741</v>
      </c>
      <c r="D19553" s="1">
        <v>12.905336</v>
      </c>
      <c r="E19553" s="1">
        <v>80.095308</v>
      </c>
      <c r="F19553" s="1">
        <v>3143.0</v>
      </c>
      <c r="G19553" s="1">
        <v>35.0</v>
      </c>
    </row>
    <row r="19554">
      <c r="A19554" s="1" t="s">
        <v>8</v>
      </c>
      <c r="B19554" s="2">
        <v>44795.0</v>
      </c>
      <c r="C19554" s="3">
        <v>0.6973611111111111</v>
      </c>
      <c r="D19554" s="1">
        <v>12.917792</v>
      </c>
      <c r="E19554" s="1">
        <v>80.108233</v>
      </c>
      <c r="F19554" s="1">
        <v>5339.0</v>
      </c>
      <c r="G19554" s="1">
        <v>37.0</v>
      </c>
    </row>
    <row r="19555">
      <c r="A19555" s="1" t="s">
        <v>8</v>
      </c>
      <c r="B19555" s="2">
        <v>44795.0</v>
      </c>
      <c r="C19555" s="3">
        <v>0.697488425925926</v>
      </c>
      <c r="D19555" s="1">
        <v>12.907627</v>
      </c>
      <c r="E19555" s="1">
        <v>80.097066</v>
      </c>
      <c r="F19555" s="1">
        <v>3143.0</v>
      </c>
      <c r="G19555" s="1">
        <v>46.0</v>
      </c>
    </row>
    <row r="19556">
      <c r="A19556" s="1" t="s">
        <v>8</v>
      </c>
      <c r="B19556" s="2">
        <v>44795.0</v>
      </c>
      <c r="C19556" s="3">
        <v>0.697511574074074</v>
      </c>
      <c r="D19556" s="1">
        <v>12.919111</v>
      </c>
      <c r="E19556" s="1">
        <v>80.10985</v>
      </c>
      <c r="F19556" s="1">
        <v>5339.0</v>
      </c>
      <c r="G19556" s="1">
        <v>41.0</v>
      </c>
    </row>
    <row r="19557">
      <c r="A19557" s="1" t="s">
        <v>8</v>
      </c>
      <c r="B19557" s="2">
        <v>44795.0</v>
      </c>
      <c r="C19557" s="3">
        <v>0.6975810185185185</v>
      </c>
      <c r="D19557" s="1">
        <v>12.907627</v>
      </c>
      <c r="E19557" s="1">
        <v>80.097066</v>
      </c>
      <c r="F19557" s="1">
        <v>3143.0</v>
      </c>
      <c r="G19557" s="1">
        <v>46.0</v>
      </c>
    </row>
    <row r="19558">
      <c r="A19558" s="1" t="s">
        <v>8</v>
      </c>
      <c r="B19558" s="2">
        <v>44795.0</v>
      </c>
      <c r="C19558" s="3">
        <v>0.6975925925925925</v>
      </c>
      <c r="D19558" s="1">
        <v>12.907627</v>
      </c>
      <c r="E19558" s="1">
        <v>80.097066</v>
      </c>
      <c r="F19558" s="1">
        <v>3143.0</v>
      </c>
      <c r="G19558" s="1">
        <v>46.0</v>
      </c>
    </row>
    <row r="19559">
      <c r="A19559" s="1" t="s">
        <v>8</v>
      </c>
      <c r="B19559" s="2">
        <v>44795.0</v>
      </c>
      <c r="C19559" s="3">
        <v>0.6976157407407407</v>
      </c>
      <c r="D19559" s="1">
        <v>12.907627</v>
      </c>
      <c r="E19559" s="1">
        <v>80.097066</v>
      </c>
      <c r="F19559" s="1">
        <v>3143.0</v>
      </c>
      <c r="G19559" s="1">
        <v>46.0</v>
      </c>
    </row>
    <row r="19560">
      <c r="A19560" s="1" t="s">
        <v>7</v>
      </c>
      <c r="B19560" s="2">
        <v>44795.0</v>
      </c>
      <c r="C19560" s="3">
        <v>0.6977893518518519</v>
      </c>
      <c r="D19560" s="1">
        <v>12.920661</v>
      </c>
      <c r="E19560" s="1">
        <v>80.111638</v>
      </c>
      <c r="F19560" s="1">
        <v>5339.0</v>
      </c>
      <c r="G19560" s="1">
        <v>53.0</v>
      </c>
    </row>
    <row r="19561">
      <c r="A19561" s="1" t="s">
        <v>8</v>
      </c>
      <c r="B19561" s="2">
        <v>44795.0</v>
      </c>
      <c r="C19561" s="3">
        <v>0.6980555555555555</v>
      </c>
      <c r="D19561" s="1">
        <v>12.910685</v>
      </c>
      <c r="E19561" s="1">
        <v>80.100853</v>
      </c>
      <c r="F19561" s="1">
        <v>3143.0</v>
      </c>
      <c r="G19561" s="1">
        <v>48.0</v>
      </c>
    </row>
    <row r="19562">
      <c r="A19562" s="1" t="s">
        <v>8</v>
      </c>
      <c r="B19562" s="2">
        <v>44795.0</v>
      </c>
      <c r="C19562" s="3">
        <v>0.6980555555555555</v>
      </c>
      <c r="D19562" s="1">
        <v>12.910685</v>
      </c>
      <c r="E19562" s="1">
        <v>80.100853</v>
      </c>
      <c r="F19562" s="1">
        <v>3143.0</v>
      </c>
      <c r="G19562" s="1">
        <v>48.0</v>
      </c>
    </row>
    <row r="19563">
      <c r="A19563" s="1" t="s">
        <v>8</v>
      </c>
      <c r="B19563" s="2">
        <v>44795.0</v>
      </c>
      <c r="C19563" s="3">
        <v>0.6980787037037037</v>
      </c>
      <c r="D19563" s="1">
        <v>12.910685</v>
      </c>
      <c r="E19563" s="1">
        <v>80.100853</v>
      </c>
      <c r="F19563" s="1">
        <v>3143.0</v>
      </c>
      <c r="G19563" s="1">
        <v>48.0</v>
      </c>
    </row>
    <row r="19564">
      <c r="A19564" s="1" t="s">
        <v>8</v>
      </c>
      <c r="B19564" s="2">
        <v>44795.0</v>
      </c>
      <c r="C19564" s="3">
        <v>0.698113425925926</v>
      </c>
      <c r="D19564" s="1">
        <v>12.923412</v>
      </c>
      <c r="E19564" s="1">
        <v>80.114491</v>
      </c>
      <c r="F19564" s="1">
        <v>5339.0</v>
      </c>
      <c r="G19564" s="1">
        <v>36.0</v>
      </c>
    </row>
    <row r="19565">
      <c r="A19565" s="1" t="s">
        <v>8</v>
      </c>
      <c r="B19565" s="2">
        <v>44795.0</v>
      </c>
      <c r="C19565" s="3">
        <v>0.6982291666666667</v>
      </c>
      <c r="D19565" s="1">
        <v>12.911767</v>
      </c>
      <c r="E19565" s="1">
        <v>80.101318</v>
      </c>
      <c r="F19565" s="1">
        <v>3143.0</v>
      </c>
      <c r="G19565" s="1">
        <v>25.0</v>
      </c>
    </row>
    <row r="19566">
      <c r="A19566" s="1" t="s">
        <v>8</v>
      </c>
      <c r="B19566" s="2">
        <v>44795.0</v>
      </c>
      <c r="C19566" s="3">
        <v>0.698275462962963</v>
      </c>
      <c r="D19566" s="1">
        <v>12.924138</v>
      </c>
      <c r="E19566" s="1">
        <v>80.115172</v>
      </c>
      <c r="F19566" s="1">
        <v>5339.0</v>
      </c>
      <c r="G19566" s="1">
        <v>41.0</v>
      </c>
    </row>
    <row r="19567">
      <c r="A19567" s="1" t="s">
        <v>8</v>
      </c>
      <c r="B19567" s="2">
        <v>44795.0</v>
      </c>
      <c r="C19567" s="3">
        <v>0.6984490740740741</v>
      </c>
      <c r="D19567" s="1">
        <v>12.913066</v>
      </c>
      <c r="E19567" s="1">
        <v>80.101475</v>
      </c>
      <c r="F19567" s="1">
        <v>3143.0</v>
      </c>
      <c r="G19567" s="1">
        <v>42.0</v>
      </c>
    </row>
    <row r="19568">
      <c r="A19568" s="1" t="s">
        <v>8</v>
      </c>
      <c r="B19568" s="2">
        <v>44795.0</v>
      </c>
      <c r="C19568" s="3">
        <v>0.698587962962963</v>
      </c>
      <c r="D19568" s="1">
        <v>12.914778</v>
      </c>
      <c r="E19568" s="1">
        <v>80.10186</v>
      </c>
      <c r="F19568" s="1">
        <v>3143.0</v>
      </c>
      <c r="G19568" s="1">
        <v>48.0</v>
      </c>
    </row>
    <row r="19569">
      <c r="A19569" s="1" t="s">
        <v>8</v>
      </c>
      <c r="B19569" s="2">
        <v>44795.0</v>
      </c>
      <c r="C19569" s="3">
        <v>0.6988773148148149</v>
      </c>
      <c r="D19569" s="1">
        <v>12.842974</v>
      </c>
      <c r="E19569" s="1">
        <v>80.058901</v>
      </c>
      <c r="F19569" s="1">
        <v>2846.0</v>
      </c>
      <c r="G19569" s="1">
        <v>36.0</v>
      </c>
    </row>
    <row r="19570">
      <c r="A19570" s="1" t="s">
        <v>8</v>
      </c>
      <c r="B19570" s="2">
        <v>44795.0</v>
      </c>
      <c r="C19570" s="3">
        <v>0.6993634259259259</v>
      </c>
      <c r="D19570" s="1">
        <v>12.838912</v>
      </c>
      <c r="E19570" s="1">
        <v>80.054528</v>
      </c>
      <c r="F19570" s="1">
        <v>2846.0</v>
      </c>
      <c r="G19570" s="1">
        <v>48.0</v>
      </c>
    </row>
    <row r="19571">
      <c r="A19571" s="1" t="s">
        <v>7</v>
      </c>
      <c r="B19571" s="2">
        <v>44795.0</v>
      </c>
      <c r="C19571" s="3">
        <v>0.6994097222222222</v>
      </c>
      <c r="D19571" s="1">
        <v>12.838912</v>
      </c>
      <c r="E19571" s="1">
        <v>80.054528</v>
      </c>
      <c r="F19571" s="1">
        <v>2846.0</v>
      </c>
      <c r="G19571" s="1">
        <v>48.0</v>
      </c>
    </row>
    <row r="19572">
      <c r="A19572" s="1" t="s">
        <v>8</v>
      </c>
      <c r="B19572" s="2">
        <v>44795.0</v>
      </c>
      <c r="C19572" s="3">
        <v>0.6994444444444444</v>
      </c>
      <c r="D19572" s="1">
        <v>12.916776</v>
      </c>
      <c r="E19572" s="1">
        <v>80.106613</v>
      </c>
      <c r="F19572" s="1">
        <v>3143.0</v>
      </c>
      <c r="G19572" s="1">
        <v>4.0</v>
      </c>
    </row>
    <row r="19573">
      <c r="A19573" s="1" t="s">
        <v>8</v>
      </c>
      <c r="B19573" s="2">
        <v>44795.0</v>
      </c>
      <c r="C19573" s="3">
        <v>0.6998148148148148</v>
      </c>
      <c r="D19573" s="1">
        <v>12.834507</v>
      </c>
      <c r="E19573" s="1">
        <v>80.049965</v>
      </c>
      <c r="F19573" s="1">
        <v>2846.0</v>
      </c>
      <c r="G19573" s="1">
        <v>57.0</v>
      </c>
    </row>
    <row r="19574">
      <c r="A19574" s="1" t="s">
        <v>8</v>
      </c>
      <c r="B19574" s="2">
        <v>44795.0</v>
      </c>
      <c r="C19574" s="3">
        <v>0.6998263888888889</v>
      </c>
      <c r="D19574" s="1">
        <v>12.917618</v>
      </c>
      <c r="E19574" s="1">
        <v>80.108001</v>
      </c>
      <c r="F19574" s="1">
        <v>3143.0</v>
      </c>
      <c r="G19574" s="1">
        <v>37.0</v>
      </c>
    </row>
    <row r="19575">
      <c r="A19575" s="1" t="s">
        <v>8</v>
      </c>
      <c r="B19575" s="2">
        <v>44795.0</v>
      </c>
      <c r="C19575" s="3">
        <v>0.7006597222222222</v>
      </c>
      <c r="D19575" s="1">
        <v>12.828279</v>
      </c>
      <c r="E19575" s="1">
        <v>80.043408</v>
      </c>
      <c r="F19575" s="1">
        <v>2846.0</v>
      </c>
      <c r="G19575" s="1">
        <v>58.0</v>
      </c>
    </row>
    <row r="19576">
      <c r="A19576" s="1" t="s">
        <v>8</v>
      </c>
      <c r="B19576" s="2">
        <v>44795.0</v>
      </c>
      <c r="C19576" s="3">
        <v>0.7009143518518518</v>
      </c>
      <c r="D19576" s="1">
        <v>12.826659</v>
      </c>
      <c r="E19576" s="1">
        <v>80.041717</v>
      </c>
      <c r="F19576" s="1">
        <v>2846.0</v>
      </c>
      <c r="G19576" s="1">
        <v>56.0</v>
      </c>
    </row>
    <row r="19577">
      <c r="A19577" s="1" t="s">
        <v>8</v>
      </c>
      <c r="B19577" s="2">
        <v>44795.0</v>
      </c>
      <c r="C19577" s="3">
        <v>0.7009722222222222</v>
      </c>
      <c r="D19577" s="1">
        <v>12.931406</v>
      </c>
      <c r="E19577" s="1">
        <v>80.122494</v>
      </c>
      <c r="F19577" s="1">
        <v>5339.0</v>
      </c>
      <c r="G19577" s="1">
        <v>18.0</v>
      </c>
    </row>
    <row r="19578">
      <c r="A19578" s="1" t="s">
        <v>8</v>
      </c>
      <c r="B19578" s="2">
        <v>44795.0</v>
      </c>
      <c r="C19578" s="3">
        <v>0.7010416666666667</v>
      </c>
      <c r="D19578" s="1">
        <v>12.82483</v>
      </c>
      <c r="E19578" s="1">
        <v>80.040286</v>
      </c>
      <c r="F19578" s="1">
        <v>2846.0</v>
      </c>
      <c r="G19578" s="1">
        <v>59.0</v>
      </c>
    </row>
    <row r="19579">
      <c r="A19579" s="1" t="s">
        <v>8</v>
      </c>
      <c r="B19579" s="2">
        <v>44795.0</v>
      </c>
      <c r="C19579" s="3">
        <v>0.7011805555555556</v>
      </c>
      <c r="D19579" s="1">
        <v>12.93186</v>
      </c>
      <c r="E19579" s="1">
        <v>80.122956</v>
      </c>
      <c r="F19579" s="1">
        <v>5339.0</v>
      </c>
      <c r="G19579" s="1">
        <v>26.0</v>
      </c>
    </row>
    <row r="19580">
      <c r="A19580" s="1" t="s">
        <v>8</v>
      </c>
      <c r="B19580" s="2">
        <v>44795.0</v>
      </c>
      <c r="C19580" s="3">
        <v>0.7014583333333333</v>
      </c>
      <c r="D19580" s="1">
        <v>12.93388</v>
      </c>
      <c r="E19580" s="1">
        <v>80.125022</v>
      </c>
      <c r="F19580" s="1">
        <v>5339.0</v>
      </c>
      <c r="G19580" s="1">
        <v>38.0</v>
      </c>
    </row>
    <row r="19581">
      <c r="A19581" s="1" t="s">
        <v>8</v>
      </c>
      <c r="B19581" s="2">
        <v>44795.0</v>
      </c>
      <c r="C19581" s="3">
        <v>0.7014930555555555</v>
      </c>
      <c r="D19581" s="1">
        <v>12.82483</v>
      </c>
      <c r="E19581" s="1">
        <v>80.040286</v>
      </c>
      <c r="F19581" s="1">
        <v>2846.0</v>
      </c>
      <c r="G19581" s="1">
        <v>59.0</v>
      </c>
    </row>
    <row r="19582">
      <c r="A19582" s="1" t="s">
        <v>10</v>
      </c>
      <c r="B19582" s="2">
        <v>44795.0</v>
      </c>
      <c r="C19582" s="3">
        <v>0.7030324074074074</v>
      </c>
      <c r="D19582" s="1">
        <v>12.923087</v>
      </c>
      <c r="E19582" s="1">
        <v>80.12556</v>
      </c>
      <c r="F19582" s="1">
        <v>3143.0</v>
      </c>
      <c r="G19582" s="1">
        <v>19.0</v>
      </c>
    </row>
    <row r="19583">
      <c r="A19583" s="1" t="s">
        <v>8</v>
      </c>
      <c r="B19583" s="2">
        <v>44795.0</v>
      </c>
      <c r="C19583" s="3">
        <v>0.7031712962962963</v>
      </c>
      <c r="D19583" s="1">
        <v>12.805531</v>
      </c>
      <c r="E19583" s="1">
        <v>80.027103</v>
      </c>
      <c r="F19583" s="1">
        <v>2846.0</v>
      </c>
      <c r="G19583" s="1">
        <v>57.0</v>
      </c>
    </row>
    <row r="19584">
      <c r="A19584" s="1" t="s">
        <v>7</v>
      </c>
      <c r="B19584" s="2">
        <v>44795.0</v>
      </c>
      <c r="C19584" s="3">
        <v>0.7032638888888889</v>
      </c>
      <c r="D19584" s="1">
        <v>12.803597</v>
      </c>
      <c r="E19584" s="1">
        <v>80.025862</v>
      </c>
      <c r="F19584" s="1">
        <v>2846.0</v>
      </c>
      <c r="G19584" s="1">
        <v>52.0</v>
      </c>
    </row>
    <row r="19585">
      <c r="A19585" s="1" t="s">
        <v>8</v>
      </c>
      <c r="B19585" s="2">
        <v>44795.0</v>
      </c>
      <c r="C19585" s="3">
        <v>0.7033564814814814</v>
      </c>
      <c r="D19585" s="1">
        <v>12.943082</v>
      </c>
      <c r="E19585" s="1">
        <v>80.133662</v>
      </c>
      <c r="F19585" s="1">
        <v>5339.0</v>
      </c>
      <c r="G19585" s="1">
        <v>21.0</v>
      </c>
    </row>
    <row r="19586">
      <c r="A19586" s="1" t="s">
        <v>8</v>
      </c>
      <c r="B19586" s="2">
        <v>44795.0</v>
      </c>
      <c r="C19586" s="3">
        <v>0.7033680555555556</v>
      </c>
      <c r="D19586" s="1">
        <v>12.943082</v>
      </c>
      <c r="E19586" s="1">
        <v>80.133662</v>
      </c>
      <c r="F19586" s="1">
        <v>5339.0</v>
      </c>
      <c r="G19586" s="1">
        <v>21.0</v>
      </c>
    </row>
    <row r="19587">
      <c r="A19587" s="1" t="s">
        <v>8</v>
      </c>
      <c r="B19587" s="2">
        <v>44795.0</v>
      </c>
      <c r="C19587" s="3">
        <v>0.7034143518518519</v>
      </c>
      <c r="D19587" s="1">
        <v>12.944068</v>
      </c>
      <c r="E19587" s="1">
        <v>80.134575</v>
      </c>
      <c r="F19587" s="1">
        <v>5339.0</v>
      </c>
      <c r="G19587" s="1">
        <v>44.0</v>
      </c>
    </row>
    <row r="19588">
      <c r="A19588" s="1" t="s">
        <v>8</v>
      </c>
      <c r="B19588" s="2">
        <v>44795.0</v>
      </c>
      <c r="C19588" s="3">
        <v>0.7035069444444444</v>
      </c>
      <c r="D19588" s="1">
        <v>12.944068</v>
      </c>
      <c r="E19588" s="1">
        <v>80.134575</v>
      </c>
      <c r="F19588" s="1">
        <v>5339.0</v>
      </c>
      <c r="G19588" s="1">
        <v>44.0</v>
      </c>
    </row>
    <row r="19589">
      <c r="A19589" s="1" t="s">
        <v>7</v>
      </c>
      <c r="B19589" s="2">
        <v>44795.0</v>
      </c>
      <c r="C19589" s="3">
        <v>0.7038657407407407</v>
      </c>
      <c r="D19589" s="1">
        <v>12.800728</v>
      </c>
      <c r="E19589" s="1">
        <v>80.023989</v>
      </c>
      <c r="F19589" s="1">
        <v>2846.0</v>
      </c>
      <c r="G19589" s="1">
        <v>43.0</v>
      </c>
    </row>
    <row r="19590">
      <c r="A19590" s="1" t="s">
        <v>8</v>
      </c>
      <c r="B19590" s="2">
        <v>44795.0</v>
      </c>
      <c r="C19590" s="3">
        <v>0.7046759259259259</v>
      </c>
      <c r="D19590" s="1">
        <v>12.950373</v>
      </c>
      <c r="E19590" s="1">
        <v>80.139383</v>
      </c>
      <c r="F19590" s="1">
        <v>5339.0</v>
      </c>
      <c r="G19590" s="1">
        <v>0.0</v>
      </c>
    </row>
    <row r="19591">
      <c r="A19591" s="1" t="s">
        <v>7</v>
      </c>
      <c r="B19591" s="2">
        <v>44795.0</v>
      </c>
      <c r="C19591" s="3">
        <v>0.7047800925925926</v>
      </c>
      <c r="D19591" s="1">
        <v>12.792344</v>
      </c>
      <c r="E19591" s="1">
        <v>80.018462</v>
      </c>
      <c r="F19591" s="1">
        <v>2846.0</v>
      </c>
      <c r="G19591" s="1">
        <v>59.0</v>
      </c>
    </row>
    <row r="19592">
      <c r="A19592" s="1" t="s">
        <v>7</v>
      </c>
      <c r="B19592" s="2">
        <v>44795.0</v>
      </c>
      <c r="C19592" s="3">
        <v>0.7054166666666667</v>
      </c>
      <c r="D19592" s="1">
        <v>12.78425</v>
      </c>
      <c r="E19592" s="1">
        <v>80.013686</v>
      </c>
      <c r="F19592" s="1">
        <v>2846.0</v>
      </c>
      <c r="G19592" s="1">
        <v>58.0</v>
      </c>
    </row>
    <row r="19593">
      <c r="A19593" s="1" t="s">
        <v>7</v>
      </c>
      <c r="B19593" s="2">
        <v>44795.0</v>
      </c>
      <c r="C19593" s="3">
        <v>0.7056365740740741</v>
      </c>
      <c r="D19593" s="1">
        <v>12.782117</v>
      </c>
      <c r="E19593" s="1">
        <v>80.012709</v>
      </c>
      <c r="F19593" s="1">
        <v>2846.0</v>
      </c>
      <c r="G19593" s="1">
        <v>58.0</v>
      </c>
    </row>
    <row r="19594">
      <c r="A19594" s="1" t="s">
        <v>8</v>
      </c>
      <c r="B19594" s="2">
        <v>44795.0</v>
      </c>
      <c r="C19594" s="3">
        <v>0.7058564814814815</v>
      </c>
      <c r="D19594" s="1">
        <v>12.922548</v>
      </c>
      <c r="E19594" s="1">
        <v>80.136879</v>
      </c>
      <c r="F19594" s="1">
        <v>3143.0</v>
      </c>
      <c r="G19594" s="1">
        <v>37.0</v>
      </c>
    </row>
    <row r="19595">
      <c r="A19595" s="1" t="s">
        <v>8</v>
      </c>
      <c r="B19595" s="2">
        <v>44795.0</v>
      </c>
      <c r="C19595" s="3">
        <v>0.7059027777777778</v>
      </c>
      <c r="D19595" s="1">
        <v>12.922538</v>
      </c>
      <c r="E19595" s="1">
        <v>80.137556</v>
      </c>
      <c r="F19595" s="1">
        <v>3143.0</v>
      </c>
      <c r="G19595" s="1">
        <v>0.0</v>
      </c>
    </row>
    <row r="19596">
      <c r="A19596" s="1" t="s">
        <v>9</v>
      </c>
      <c r="B19596" s="2">
        <v>44795.0</v>
      </c>
      <c r="C19596" s="3">
        <v>0.7059606481481482</v>
      </c>
      <c r="D19596" s="1">
        <v>12.922535</v>
      </c>
      <c r="E19596" s="1">
        <v>80.137584</v>
      </c>
      <c r="F19596" s="1">
        <v>3143.0</v>
      </c>
      <c r="G19596" s="1">
        <v>0.0</v>
      </c>
    </row>
    <row r="19597">
      <c r="A19597" s="1" t="s">
        <v>7</v>
      </c>
      <c r="B19597" s="2">
        <v>44795.0</v>
      </c>
      <c r="C19597" s="3">
        <v>0.7059837962962963</v>
      </c>
      <c r="D19597" s="1">
        <v>12.777954</v>
      </c>
      <c r="E19597" s="1">
        <v>80.010901</v>
      </c>
      <c r="F19597" s="1">
        <v>2846.0</v>
      </c>
      <c r="G19597" s="1">
        <v>58.0</v>
      </c>
    </row>
    <row r="19598">
      <c r="A19598" s="1" t="s">
        <v>8</v>
      </c>
      <c r="B19598" s="2">
        <v>44795.0</v>
      </c>
      <c r="C19598" s="3">
        <v>0.706087962962963</v>
      </c>
      <c r="D19598" s="1">
        <v>12.922535</v>
      </c>
      <c r="E19598" s="1">
        <v>80.137584</v>
      </c>
      <c r="F19598" s="1">
        <v>3143.0</v>
      </c>
      <c r="G19598" s="1">
        <v>0.0</v>
      </c>
    </row>
    <row r="19599">
      <c r="A19599" s="1" t="s">
        <v>8</v>
      </c>
      <c r="B19599" s="2">
        <v>44795.0</v>
      </c>
      <c r="C19599" s="3">
        <v>0.7062731481481481</v>
      </c>
      <c r="D19599" s="1">
        <v>12.957554</v>
      </c>
      <c r="E19599" s="1">
        <v>80.143799</v>
      </c>
      <c r="F19599" s="1">
        <v>5339.0</v>
      </c>
      <c r="G19599" s="1">
        <v>27.0</v>
      </c>
    </row>
    <row r="19600">
      <c r="A19600" s="1" t="s">
        <v>7</v>
      </c>
      <c r="B19600" s="2">
        <v>44795.0</v>
      </c>
      <c r="C19600" s="3">
        <v>0.7069212962962963</v>
      </c>
      <c r="D19600" s="1">
        <v>12.77181</v>
      </c>
      <c r="E19600" s="1">
        <v>80.008146</v>
      </c>
      <c r="F19600" s="1">
        <v>2846.0</v>
      </c>
      <c r="G19600" s="1">
        <v>57.0</v>
      </c>
    </row>
    <row r="19601">
      <c r="A19601" s="1" t="s">
        <v>8</v>
      </c>
      <c r="B19601" s="2">
        <v>44795.0</v>
      </c>
      <c r="C19601" s="3">
        <v>0.7069907407407408</v>
      </c>
      <c r="D19601" s="1">
        <v>12.960727</v>
      </c>
      <c r="E19601" s="1">
        <v>80.145355</v>
      </c>
      <c r="F19601" s="1">
        <v>5339.0</v>
      </c>
      <c r="G19601" s="1">
        <v>24.0</v>
      </c>
    </row>
    <row r="19602">
      <c r="A19602" s="1" t="s">
        <v>7</v>
      </c>
      <c r="B19602" s="2">
        <v>44795.0</v>
      </c>
      <c r="C19602" s="3">
        <v>0.7071296296296297</v>
      </c>
      <c r="D19602" s="1">
        <v>12.765575</v>
      </c>
      <c r="E19602" s="1">
        <v>80.00522</v>
      </c>
      <c r="F19602" s="1">
        <v>2846.0</v>
      </c>
      <c r="G19602" s="1">
        <v>58.0</v>
      </c>
    </row>
    <row r="19603">
      <c r="A19603" s="1" t="s">
        <v>7</v>
      </c>
      <c r="B19603" s="2">
        <v>44795.0</v>
      </c>
      <c r="C19603" s="3">
        <v>0.7071412037037037</v>
      </c>
      <c r="D19603" s="1">
        <v>12.961931</v>
      </c>
      <c r="E19603" s="1">
        <v>80.146041</v>
      </c>
      <c r="F19603" s="1">
        <v>5339.0</v>
      </c>
      <c r="G19603" s="1">
        <v>44.0</v>
      </c>
    </row>
    <row r="19604">
      <c r="A19604" s="1" t="s">
        <v>8</v>
      </c>
      <c r="B19604" s="2">
        <v>44795.0</v>
      </c>
      <c r="C19604" s="3">
        <v>0.7073611111111111</v>
      </c>
      <c r="D19604" s="1">
        <v>12.763423</v>
      </c>
      <c r="E19604" s="1">
        <v>80.004313</v>
      </c>
      <c r="F19604" s="1">
        <v>2846.0</v>
      </c>
      <c r="G19604" s="1">
        <v>57.0</v>
      </c>
    </row>
    <row r="19605">
      <c r="A19605" s="1" t="s">
        <v>7</v>
      </c>
      <c r="B19605" s="2">
        <v>44795.0</v>
      </c>
      <c r="C19605" s="3">
        <v>0.7076967592592592</v>
      </c>
      <c r="D19605" s="1">
        <v>12.759898</v>
      </c>
      <c r="E19605" s="1">
        <v>80.003327</v>
      </c>
      <c r="F19605" s="1">
        <v>2846.0</v>
      </c>
      <c r="G19605" s="1">
        <v>33.0</v>
      </c>
    </row>
    <row r="19606">
      <c r="A19606" s="1" t="s">
        <v>7</v>
      </c>
      <c r="B19606" s="2">
        <v>44795.0</v>
      </c>
      <c r="C19606" s="3">
        <v>0.7080671296296296</v>
      </c>
      <c r="D19606" s="1">
        <v>12.971306</v>
      </c>
      <c r="E19606" s="1">
        <v>80.150964</v>
      </c>
      <c r="F19606" s="1">
        <v>5339.0</v>
      </c>
      <c r="G19606" s="1">
        <v>58.0</v>
      </c>
    </row>
    <row r="19607">
      <c r="A19607" s="1" t="s">
        <v>7</v>
      </c>
      <c r="B19607" s="2">
        <v>44795.0</v>
      </c>
      <c r="C19607" s="3">
        <v>0.7082175925925925</v>
      </c>
      <c r="D19607" s="1">
        <v>12.972972</v>
      </c>
      <c r="E19607" s="1">
        <v>80.15257</v>
      </c>
      <c r="F19607" s="1">
        <v>5339.0</v>
      </c>
      <c r="G19607" s="1">
        <v>58.0</v>
      </c>
    </row>
    <row r="19608">
      <c r="A19608" s="1" t="s">
        <v>8</v>
      </c>
      <c r="B19608" s="2">
        <v>44795.0</v>
      </c>
      <c r="C19608" s="3">
        <v>0.7088541666666667</v>
      </c>
      <c r="D19608" s="1">
        <v>12.977188</v>
      </c>
      <c r="E19608" s="1">
        <v>80.158796</v>
      </c>
      <c r="F19608" s="1">
        <v>5339.0</v>
      </c>
      <c r="G19608" s="1">
        <v>57.0</v>
      </c>
    </row>
    <row r="19609">
      <c r="A19609" s="1" t="s">
        <v>8</v>
      </c>
      <c r="B19609" s="2">
        <v>44795.0</v>
      </c>
      <c r="C19609" s="3">
        <v>0.7090509259259259</v>
      </c>
      <c r="D19609" s="1">
        <v>12.979786</v>
      </c>
      <c r="E19609" s="1">
        <v>80.162563</v>
      </c>
      <c r="F19609" s="1">
        <v>5339.0</v>
      </c>
      <c r="G19609" s="1">
        <v>49.0</v>
      </c>
    </row>
    <row r="19610">
      <c r="A19610" s="1" t="s">
        <v>7</v>
      </c>
      <c r="B19610" s="2">
        <v>44795.0</v>
      </c>
      <c r="C19610" s="3">
        <v>0.7090856481481481</v>
      </c>
      <c r="D19610" s="1">
        <v>12.746237</v>
      </c>
      <c r="E19610" s="1">
        <v>79.994964</v>
      </c>
      <c r="F19610" s="1">
        <v>2846.0</v>
      </c>
      <c r="G19610" s="1">
        <v>57.0</v>
      </c>
    </row>
    <row r="19611">
      <c r="A19611" s="1" t="s">
        <v>8</v>
      </c>
      <c r="B19611" s="2">
        <v>44795.0</v>
      </c>
      <c r="C19611" s="3">
        <v>0.7095023148148148</v>
      </c>
      <c r="D19611" s="1">
        <v>12.744431</v>
      </c>
      <c r="E19611" s="1">
        <v>79.993526</v>
      </c>
      <c r="F19611" s="1">
        <v>2846.0</v>
      </c>
      <c r="G19611" s="1">
        <v>54.0</v>
      </c>
    </row>
    <row r="19612">
      <c r="A19612" s="1" t="s">
        <v>9</v>
      </c>
      <c r="B19612" s="2">
        <v>44795.0</v>
      </c>
      <c r="C19612" s="3">
        <v>0.7100115740740741</v>
      </c>
      <c r="D19612" s="1">
        <v>12.739698</v>
      </c>
      <c r="E19612" s="1">
        <v>79.9897</v>
      </c>
      <c r="F19612" s="1">
        <v>2846.0</v>
      </c>
      <c r="G19612" s="1">
        <v>60.0</v>
      </c>
    </row>
    <row r="19613">
      <c r="A19613" s="1" t="s">
        <v>8</v>
      </c>
      <c r="B19613" s="2">
        <v>44795.0</v>
      </c>
      <c r="C19613" s="3">
        <v>0.7105439814814815</v>
      </c>
      <c r="D19613" s="1">
        <v>12.985453</v>
      </c>
      <c r="E19613" s="1">
        <v>80.173187</v>
      </c>
      <c r="F19613" s="1">
        <v>5339.0</v>
      </c>
      <c r="G19613" s="1">
        <v>17.0</v>
      </c>
    </row>
    <row r="19614">
      <c r="A19614" s="1" t="s">
        <v>7</v>
      </c>
      <c r="B19614" s="2">
        <v>44795.0</v>
      </c>
      <c r="C19614" s="3">
        <v>0.7110532407407407</v>
      </c>
      <c r="D19614" s="1">
        <v>12.736185</v>
      </c>
      <c r="E19614" s="1">
        <v>79.987149</v>
      </c>
      <c r="F19614" s="1">
        <v>2846.0</v>
      </c>
      <c r="G19614" s="1">
        <v>47.0</v>
      </c>
    </row>
    <row r="19615">
      <c r="A19615" s="1" t="s">
        <v>8</v>
      </c>
      <c r="B19615" s="2">
        <v>44795.0</v>
      </c>
      <c r="C19615" s="3">
        <v>0.7111689814814814</v>
      </c>
      <c r="D19615" s="1">
        <v>12.728657</v>
      </c>
      <c r="E19615" s="1">
        <v>79.982823</v>
      </c>
      <c r="F19615" s="1">
        <v>2846.0</v>
      </c>
      <c r="G19615" s="1">
        <v>61.0</v>
      </c>
    </row>
    <row r="19616">
      <c r="A19616" s="1" t="s">
        <v>7</v>
      </c>
      <c r="B19616" s="2">
        <v>44795.0</v>
      </c>
      <c r="C19616" s="3">
        <v>0.7113425925925926</v>
      </c>
      <c r="D19616" s="1">
        <v>12.987023</v>
      </c>
      <c r="E19616" s="1">
        <v>80.175452</v>
      </c>
      <c r="F19616" s="1">
        <v>5339.0</v>
      </c>
      <c r="G19616" s="1">
        <v>35.0</v>
      </c>
    </row>
    <row r="19617">
      <c r="A19617" s="1" t="s">
        <v>8</v>
      </c>
      <c r="B19617" s="2">
        <v>44795.0</v>
      </c>
      <c r="C19617" s="3">
        <v>0.7125925925925926</v>
      </c>
      <c r="D19617" s="1">
        <v>12.989585</v>
      </c>
      <c r="E19617" s="1">
        <v>80.178896</v>
      </c>
      <c r="F19617" s="1">
        <v>5339.0</v>
      </c>
      <c r="G19617" s="1">
        <v>24.0</v>
      </c>
    </row>
    <row r="19618">
      <c r="A19618" s="1" t="s">
        <v>8</v>
      </c>
      <c r="B19618" s="2">
        <v>44795.0</v>
      </c>
      <c r="C19618" s="3">
        <v>0.7127199074074074</v>
      </c>
      <c r="D19618" s="1">
        <v>12.990491</v>
      </c>
      <c r="E19618" s="1">
        <v>80.180091</v>
      </c>
      <c r="F19618" s="1">
        <v>5339.0</v>
      </c>
      <c r="G19618" s="1">
        <v>41.0</v>
      </c>
    </row>
    <row r="19619">
      <c r="A19619" s="1" t="s">
        <v>8</v>
      </c>
      <c r="B19619" s="2">
        <v>44795.0</v>
      </c>
      <c r="C19619" s="3">
        <v>0.7130671296296296</v>
      </c>
      <c r="D19619" s="1">
        <v>12.918952</v>
      </c>
      <c r="E19619" s="1">
        <v>80.178913</v>
      </c>
      <c r="F19619" s="1">
        <v>3143.0</v>
      </c>
      <c r="G19619" s="1">
        <v>29.0</v>
      </c>
    </row>
    <row r="19620">
      <c r="A19620" s="1" t="s">
        <v>8</v>
      </c>
      <c r="B19620" s="2">
        <v>44795.0</v>
      </c>
      <c r="C19620" s="3">
        <v>0.713761574074074</v>
      </c>
      <c r="D19620" s="1">
        <v>12.71173</v>
      </c>
      <c r="E19620" s="1">
        <v>79.979125</v>
      </c>
      <c r="F19620" s="1">
        <v>2846.0</v>
      </c>
      <c r="G19620" s="1">
        <v>49.0</v>
      </c>
    </row>
    <row r="19621">
      <c r="A19621" s="1" t="s">
        <v>8</v>
      </c>
      <c r="B19621" s="2">
        <v>44795.0</v>
      </c>
      <c r="C19621" s="3">
        <v>0.713912037037037</v>
      </c>
      <c r="D19621" s="1">
        <v>12.71173</v>
      </c>
      <c r="E19621" s="1">
        <v>79.979125</v>
      </c>
      <c r="F19621" s="1">
        <v>2846.0</v>
      </c>
      <c r="G19621" s="1">
        <v>49.0</v>
      </c>
    </row>
    <row r="19622">
      <c r="A19622" s="1" t="s">
        <v>8</v>
      </c>
      <c r="B19622" s="2">
        <v>44795.0</v>
      </c>
      <c r="C19622" s="3">
        <v>0.7139236111111111</v>
      </c>
      <c r="D19622" s="1">
        <v>12.994553</v>
      </c>
      <c r="E19622" s="1">
        <v>80.186488</v>
      </c>
      <c r="F19622" s="1">
        <v>5339.0</v>
      </c>
      <c r="G19622" s="1">
        <v>42.0</v>
      </c>
    </row>
    <row r="19623">
      <c r="A19623" s="1" t="s">
        <v>8</v>
      </c>
      <c r="B19623" s="2">
        <v>44795.0</v>
      </c>
      <c r="C19623" s="3">
        <v>0.7144328703703704</v>
      </c>
      <c r="D19623" s="1">
        <v>12.996636</v>
      </c>
      <c r="E19623" s="1">
        <v>80.189864</v>
      </c>
      <c r="F19623" s="1">
        <v>5339.0</v>
      </c>
      <c r="G19623" s="1">
        <v>37.0</v>
      </c>
    </row>
    <row r="19624">
      <c r="A19624" s="1" t="s">
        <v>7</v>
      </c>
      <c r="B19624" s="2">
        <v>44795.0</v>
      </c>
      <c r="C19624" s="3">
        <v>0.7148611111111111</v>
      </c>
      <c r="D19624" s="1">
        <v>12.703142</v>
      </c>
      <c r="E19624" s="1">
        <v>79.971512</v>
      </c>
      <c r="F19624" s="1">
        <v>2846.0</v>
      </c>
      <c r="G19624" s="1">
        <v>59.0</v>
      </c>
    </row>
    <row r="19625">
      <c r="A19625" s="1" t="s">
        <v>10</v>
      </c>
      <c r="B19625" s="2">
        <v>44795.0</v>
      </c>
      <c r="C19625" s="3">
        <v>0.7151388888888889</v>
      </c>
      <c r="D19625" s="1">
        <v>12.701056</v>
      </c>
      <c r="E19625" s="1">
        <v>79.96935</v>
      </c>
      <c r="F19625" s="1">
        <v>2846.0</v>
      </c>
      <c r="G19625" s="1">
        <v>59.0</v>
      </c>
    </row>
    <row r="19626">
      <c r="A19626" s="1" t="s">
        <v>8</v>
      </c>
      <c r="B19626" s="2">
        <v>44795.0</v>
      </c>
      <c r="C19626" s="3">
        <v>0.7152777777777778</v>
      </c>
      <c r="D19626" s="1">
        <v>12.998931</v>
      </c>
      <c r="E19626" s="1">
        <v>80.192689</v>
      </c>
      <c r="F19626" s="1">
        <v>5339.0</v>
      </c>
      <c r="G19626" s="1">
        <v>11.0</v>
      </c>
    </row>
    <row r="19627">
      <c r="A19627" s="1" t="s">
        <v>8</v>
      </c>
      <c r="B19627" s="2">
        <v>44795.0</v>
      </c>
      <c r="C19627" s="3">
        <v>0.7152777777777778</v>
      </c>
      <c r="D19627" s="1">
        <v>12.998931</v>
      </c>
      <c r="E19627" s="1">
        <v>80.192689</v>
      </c>
      <c r="F19627" s="1">
        <v>5339.0</v>
      </c>
      <c r="G19627" s="1">
        <v>11.0</v>
      </c>
    </row>
    <row r="19628">
      <c r="A19628" s="1" t="s">
        <v>8</v>
      </c>
      <c r="B19628" s="2">
        <v>44795.0</v>
      </c>
      <c r="C19628" s="3">
        <v>0.7157175925925926</v>
      </c>
      <c r="D19628" s="1">
        <v>12.699376</v>
      </c>
      <c r="E19628" s="1">
        <v>79.969286</v>
      </c>
      <c r="F19628" s="1">
        <v>2846.0</v>
      </c>
      <c r="G19628" s="1">
        <v>28.0</v>
      </c>
    </row>
    <row r="19629">
      <c r="A19629" s="1" t="s">
        <v>8</v>
      </c>
      <c r="B19629" s="2">
        <v>44795.0</v>
      </c>
      <c r="C19629" s="3">
        <v>0.7158796296296296</v>
      </c>
      <c r="D19629" s="1">
        <v>12.697705</v>
      </c>
      <c r="E19629" s="1">
        <v>79.971432</v>
      </c>
      <c r="F19629" s="1">
        <v>2846.0</v>
      </c>
      <c r="G19629" s="1">
        <v>25.0</v>
      </c>
    </row>
    <row r="19630">
      <c r="A19630" s="1" t="s">
        <v>10</v>
      </c>
      <c r="B19630" s="2">
        <v>44795.0</v>
      </c>
      <c r="C19630" s="3">
        <v>0.7160532407407407</v>
      </c>
      <c r="D19630" s="1">
        <v>12.697705</v>
      </c>
      <c r="E19630" s="1">
        <v>79.971432</v>
      </c>
      <c r="F19630" s="1">
        <v>2846.0</v>
      </c>
      <c r="G19630" s="1">
        <v>25.0</v>
      </c>
    </row>
    <row r="19631">
      <c r="A19631" s="1" t="s">
        <v>8</v>
      </c>
      <c r="B19631" s="2">
        <v>44795.0</v>
      </c>
      <c r="C19631" s="3">
        <v>0.7164236111111111</v>
      </c>
      <c r="D19631" s="1">
        <v>12.697705</v>
      </c>
      <c r="E19631" s="1">
        <v>79.971432</v>
      </c>
      <c r="F19631" s="1">
        <v>2846.0</v>
      </c>
      <c r="G19631" s="1">
        <v>25.0</v>
      </c>
    </row>
    <row r="19632">
      <c r="A19632" s="1" t="s">
        <v>8</v>
      </c>
      <c r="B19632" s="2">
        <v>44795.0</v>
      </c>
      <c r="C19632" s="3">
        <v>0.7166319444444444</v>
      </c>
      <c r="D19632" s="1">
        <v>12.697297</v>
      </c>
      <c r="E19632" s="1">
        <v>79.973594</v>
      </c>
      <c r="F19632" s="1">
        <v>2846.0</v>
      </c>
      <c r="G19632" s="1">
        <v>33.0</v>
      </c>
    </row>
    <row r="19633">
      <c r="A19633" s="1" t="s">
        <v>8</v>
      </c>
      <c r="B19633" s="2">
        <v>44795.0</v>
      </c>
      <c r="C19633" s="3">
        <v>0.7174189814814815</v>
      </c>
      <c r="D19633" s="1">
        <v>12.696928</v>
      </c>
      <c r="E19633" s="1">
        <v>79.976824</v>
      </c>
      <c r="F19633" s="1">
        <v>2846.0</v>
      </c>
      <c r="G19633" s="1">
        <v>27.0</v>
      </c>
    </row>
    <row r="19634">
      <c r="A19634" s="1" t="s">
        <v>8</v>
      </c>
      <c r="B19634" s="2">
        <v>44795.0</v>
      </c>
      <c r="C19634" s="3">
        <v>0.7175</v>
      </c>
      <c r="D19634" s="1">
        <v>13.006897</v>
      </c>
      <c r="E19634" s="1">
        <v>80.203434</v>
      </c>
      <c r="F19634" s="1">
        <v>5339.0</v>
      </c>
      <c r="G19634" s="1">
        <v>48.0</v>
      </c>
    </row>
    <row r="19635">
      <c r="A19635" s="1" t="s">
        <v>10</v>
      </c>
      <c r="B19635" s="2">
        <v>44795.0</v>
      </c>
      <c r="C19635" s="3">
        <v>0.7179745370370371</v>
      </c>
      <c r="D19635" s="1">
        <v>12.694359</v>
      </c>
      <c r="E19635" s="1">
        <v>79.978642</v>
      </c>
      <c r="F19635" s="1">
        <v>2846.0</v>
      </c>
      <c r="G19635" s="1">
        <v>14.0</v>
      </c>
    </row>
    <row r="19636">
      <c r="A19636" s="1" t="s">
        <v>7</v>
      </c>
      <c r="B19636" s="2">
        <v>44795.0</v>
      </c>
      <c r="C19636" s="3">
        <v>0.7180671296296296</v>
      </c>
      <c r="D19636" s="1">
        <v>13.007665</v>
      </c>
      <c r="E19636" s="1">
        <v>80.205035</v>
      </c>
      <c r="F19636" s="1">
        <v>5339.0</v>
      </c>
      <c r="G19636" s="1">
        <v>53.0</v>
      </c>
    </row>
    <row r="19637">
      <c r="A19637" s="1" t="s">
        <v>8</v>
      </c>
      <c r="B19637" s="2">
        <v>44795.0</v>
      </c>
      <c r="C19637" s="3">
        <v>0.7181828703703703</v>
      </c>
      <c r="D19637" s="1">
        <v>12.692487</v>
      </c>
      <c r="E19637" s="1">
        <v>79.979865</v>
      </c>
      <c r="F19637" s="1">
        <v>2846.0</v>
      </c>
      <c r="G19637" s="1">
        <v>39.0</v>
      </c>
    </row>
    <row r="19638">
      <c r="A19638" s="1" t="s">
        <v>8</v>
      </c>
      <c r="B19638" s="2">
        <v>44795.0</v>
      </c>
      <c r="C19638" s="3">
        <v>0.7185532407407408</v>
      </c>
      <c r="D19638" s="1">
        <v>13.008249</v>
      </c>
      <c r="E19638" s="1">
        <v>80.209615</v>
      </c>
      <c r="F19638" s="1">
        <v>5339.0</v>
      </c>
      <c r="G19638" s="1">
        <v>40.0</v>
      </c>
    </row>
    <row r="19639">
      <c r="A19639" s="1" t="s">
        <v>8</v>
      </c>
      <c r="B19639" s="2">
        <v>44795.0</v>
      </c>
      <c r="C19639" s="3">
        <v>0.7186921296296296</v>
      </c>
      <c r="D19639" s="1">
        <v>13.008821</v>
      </c>
      <c r="E19639" s="1">
        <v>80.211249</v>
      </c>
      <c r="F19639" s="1">
        <v>5339.0</v>
      </c>
      <c r="G19639" s="1">
        <v>23.0</v>
      </c>
    </row>
    <row r="19640">
      <c r="A19640" s="1" t="s">
        <v>8</v>
      </c>
      <c r="B19640" s="2">
        <v>44795.0</v>
      </c>
      <c r="C19640" s="3">
        <v>0.7187037037037037</v>
      </c>
      <c r="D19640" s="1">
        <v>13.008821</v>
      </c>
      <c r="E19640" s="1">
        <v>80.211249</v>
      </c>
      <c r="F19640" s="1">
        <v>5339.0</v>
      </c>
      <c r="G19640" s="1">
        <v>23.0</v>
      </c>
    </row>
    <row r="19641">
      <c r="A19641" s="1" t="s">
        <v>8</v>
      </c>
      <c r="B19641" s="2">
        <v>44795.0</v>
      </c>
      <c r="C19641" s="3">
        <v>0.7188657407407407</v>
      </c>
      <c r="D19641" s="1">
        <v>13.009093</v>
      </c>
      <c r="E19641" s="1">
        <v>80.211992</v>
      </c>
      <c r="F19641" s="1">
        <v>5339.0</v>
      </c>
      <c r="G19641" s="1">
        <v>37.0</v>
      </c>
    </row>
    <row r="19642">
      <c r="A19642" s="1" t="s">
        <v>8</v>
      </c>
      <c r="B19642" s="2">
        <v>44795.0</v>
      </c>
      <c r="C19642" s="3">
        <v>0.7190625</v>
      </c>
      <c r="D19642" s="1">
        <v>12.689876</v>
      </c>
      <c r="E19642" s="1">
        <v>79.982184</v>
      </c>
      <c r="F19642" s="1">
        <v>2846.0</v>
      </c>
      <c r="G19642" s="1">
        <v>25.0</v>
      </c>
    </row>
    <row r="19643">
      <c r="A19643" s="1" t="s">
        <v>8</v>
      </c>
      <c r="B19643" s="2">
        <v>44795.0</v>
      </c>
      <c r="C19643" s="3">
        <v>0.7190972222222223</v>
      </c>
      <c r="D19643" s="1">
        <v>13.009834</v>
      </c>
      <c r="E19643" s="1">
        <v>80.213914</v>
      </c>
      <c r="F19643" s="1">
        <v>5339.0</v>
      </c>
      <c r="G19643" s="1">
        <v>40.0</v>
      </c>
    </row>
    <row r="19644">
      <c r="A19644" s="1" t="s">
        <v>8</v>
      </c>
      <c r="B19644" s="2">
        <v>44795.0</v>
      </c>
      <c r="C19644" s="3">
        <v>0.719363425925926</v>
      </c>
      <c r="D19644" s="1">
        <v>13.010348</v>
      </c>
      <c r="E19644" s="1">
        <v>80.215879</v>
      </c>
      <c r="F19644" s="1">
        <v>5339.0</v>
      </c>
      <c r="G19644" s="1">
        <v>44.0</v>
      </c>
    </row>
    <row r="19645">
      <c r="A19645" s="1" t="s">
        <v>8</v>
      </c>
      <c r="B19645" s="2">
        <v>44795.0</v>
      </c>
      <c r="C19645" s="3">
        <v>0.7196759259259259</v>
      </c>
      <c r="D19645" s="1">
        <v>13.01159</v>
      </c>
      <c r="E19645" s="1">
        <v>80.218894</v>
      </c>
      <c r="F19645" s="1">
        <v>5339.0</v>
      </c>
      <c r="G19645" s="1">
        <v>43.0</v>
      </c>
    </row>
    <row r="19646">
      <c r="A19646" s="1" t="s">
        <v>10</v>
      </c>
      <c r="B19646" s="2">
        <v>44795.0</v>
      </c>
      <c r="C19646" s="3">
        <v>0.7197337962962963</v>
      </c>
      <c r="D19646" s="1">
        <v>12.687514</v>
      </c>
      <c r="E19646" s="1">
        <v>79.983034</v>
      </c>
      <c r="F19646" s="1">
        <v>2846.0</v>
      </c>
      <c r="G19646" s="1">
        <v>15.0</v>
      </c>
    </row>
    <row r="19647">
      <c r="A19647" s="1" t="s">
        <v>8</v>
      </c>
      <c r="B19647" s="2">
        <v>44795.0</v>
      </c>
      <c r="C19647" s="3">
        <v>0.7204050925925926</v>
      </c>
      <c r="D19647" s="1">
        <v>13.012955</v>
      </c>
      <c r="E19647" s="1">
        <v>80.222025</v>
      </c>
      <c r="F19647" s="1">
        <v>5339.0</v>
      </c>
      <c r="G19647" s="1">
        <v>34.0</v>
      </c>
    </row>
    <row r="19648">
      <c r="A19648" s="1" t="s">
        <v>8</v>
      </c>
      <c r="B19648" s="2">
        <v>44795.0</v>
      </c>
      <c r="C19648" s="3">
        <v>0.7204050925925926</v>
      </c>
      <c r="D19648" s="1">
        <v>13.012955</v>
      </c>
      <c r="E19648" s="1">
        <v>80.222025</v>
      </c>
      <c r="F19648" s="1">
        <v>5339.0</v>
      </c>
      <c r="G19648" s="1">
        <v>34.0</v>
      </c>
    </row>
    <row r="19649">
      <c r="A19649" s="1" t="s">
        <v>8</v>
      </c>
      <c r="B19649" s="2">
        <v>44795.0</v>
      </c>
      <c r="C19649" s="3">
        <v>0.7204282407407407</v>
      </c>
      <c r="D19649" s="1">
        <v>13.013516</v>
      </c>
      <c r="E19649" s="1">
        <v>80.222686</v>
      </c>
      <c r="F19649" s="1">
        <v>5339.0</v>
      </c>
      <c r="G19649" s="1">
        <v>28.0</v>
      </c>
    </row>
    <row r="19650">
      <c r="A19650" s="1" t="s">
        <v>8</v>
      </c>
      <c r="B19650" s="2">
        <v>44795.0</v>
      </c>
      <c r="C19650" s="3">
        <v>0.7206597222222222</v>
      </c>
      <c r="D19650" s="1">
        <v>13.014024</v>
      </c>
      <c r="E19650" s="1">
        <v>80.223306</v>
      </c>
      <c r="F19650" s="1">
        <v>5339.0</v>
      </c>
      <c r="G19650" s="1">
        <v>35.0</v>
      </c>
    </row>
    <row r="19651">
      <c r="A19651" s="1" t="s">
        <v>8</v>
      </c>
      <c r="B19651" s="2">
        <v>44795.0</v>
      </c>
      <c r="C19651" s="3">
        <v>0.7209722222222222</v>
      </c>
      <c r="D19651" s="1">
        <v>13.015891</v>
      </c>
      <c r="E19651" s="1">
        <v>80.225324</v>
      </c>
      <c r="F19651" s="1">
        <v>5339.0</v>
      </c>
      <c r="G19651" s="1">
        <v>37.0</v>
      </c>
    </row>
    <row r="19652">
      <c r="A19652" s="1" t="s">
        <v>8</v>
      </c>
      <c r="B19652" s="2">
        <v>44795.0</v>
      </c>
      <c r="C19652" s="3">
        <v>0.7209722222222222</v>
      </c>
      <c r="D19652" s="1">
        <v>13.015891</v>
      </c>
      <c r="E19652" s="1">
        <v>80.225324</v>
      </c>
      <c r="F19652" s="1">
        <v>5339.0</v>
      </c>
      <c r="G19652" s="1">
        <v>37.0</v>
      </c>
    </row>
    <row r="19653">
      <c r="A19653" s="1" t="s">
        <v>8</v>
      </c>
      <c r="B19653" s="2">
        <v>44795.0</v>
      </c>
      <c r="C19653" s="3">
        <v>0.7209837962962963</v>
      </c>
      <c r="D19653" s="1">
        <v>13.015891</v>
      </c>
      <c r="E19653" s="1">
        <v>80.225324</v>
      </c>
      <c r="F19653" s="1">
        <v>5339.0</v>
      </c>
      <c r="G19653" s="1">
        <v>37.0</v>
      </c>
    </row>
    <row r="19654">
      <c r="A19654" s="1" t="s">
        <v>8</v>
      </c>
      <c r="B19654" s="2">
        <v>44795.0</v>
      </c>
      <c r="C19654" s="3">
        <v>0.7210416666666667</v>
      </c>
      <c r="D19654" s="1">
        <v>13.016656</v>
      </c>
      <c r="E19654" s="1">
        <v>80.225308</v>
      </c>
      <c r="F19654" s="1">
        <v>5339.0</v>
      </c>
      <c r="G19654" s="1">
        <v>28.0</v>
      </c>
    </row>
    <row r="19655">
      <c r="A19655" s="1" t="s">
        <v>8</v>
      </c>
      <c r="B19655" s="2">
        <v>44795.0</v>
      </c>
      <c r="C19655" s="3">
        <v>0.7210532407407407</v>
      </c>
      <c r="D19655" s="1">
        <v>13.016656</v>
      </c>
      <c r="E19655" s="1">
        <v>80.225308</v>
      </c>
      <c r="F19655" s="1">
        <v>5339.0</v>
      </c>
      <c r="G19655" s="1">
        <v>28.0</v>
      </c>
    </row>
    <row r="19656">
      <c r="A19656" s="1" t="s">
        <v>10</v>
      </c>
      <c r="B19656" s="2">
        <v>44795.0</v>
      </c>
      <c r="C19656" s="3">
        <v>0.7210763888888889</v>
      </c>
      <c r="D19656" s="1">
        <v>12.68412</v>
      </c>
      <c r="E19656" s="1">
        <v>79.983378</v>
      </c>
      <c r="F19656" s="1">
        <v>2846.0</v>
      </c>
      <c r="G19656" s="1">
        <v>5.0</v>
      </c>
    </row>
    <row r="19657">
      <c r="A19657" s="1" t="s">
        <v>8</v>
      </c>
      <c r="B19657" s="2">
        <v>44795.0</v>
      </c>
      <c r="C19657" s="3">
        <v>0.7220138888888888</v>
      </c>
      <c r="D19657" s="1">
        <v>13.02051</v>
      </c>
      <c r="E19657" s="1">
        <v>80.225103</v>
      </c>
      <c r="F19657" s="1">
        <v>5339.0</v>
      </c>
      <c r="G19657" s="1">
        <v>31.0</v>
      </c>
    </row>
    <row r="19658">
      <c r="A19658" s="1" t="s">
        <v>8</v>
      </c>
      <c r="B19658" s="2">
        <v>44795.0</v>
      </c>
      <c r="C19658" s="3">
        <v>0.7221064814814815</v>
      </c>
      <c r="D19658" s="1">
        <v>13.021186</v>
      </c>
      <c r="E19658" s="1">
        <v>80.22561</v>
      </c>
      <c r="F19658" s="1">
        <v>5339.0</v>
      </c>
      <c r="G19658" s="1">
        <v>32.0</v>
      </c>
    </row>
    <row r="19659">
      <c r="A19659" s="1" t="s">
        <v>8</v>
      </c>
      <c r="B19659" s="2">
        <v>44795.0</v>
      </c>
      <c r="C19659" s="3">
        <v>0.7224768518518518</v>
      </c>
      <c r="D19659" s="1">
        <v>12.676456</v>
      </c>
      <c r="E19659" s="1">
        <v>79.978571</v>
      </c>
      <c r="F19659" s="1">
        <v>2846.0</v>
      </c>
      <c r="G19659" s="1">
        <v>47.0</v>
      </c>
    </row>
    <row r="19660">
      <c r="A19660" s="1" t="s">
        <v>8</v>
      </c>
      <c r="B19660" s="2">
        <v>44795.0</v>
      </c>
      <c r="C19660" s="3">
        <v>0.7226851851851852</v>
      </c>
      <c r="D19660" s="1">
        <v>13.02419</v>
      </c>
      <c r="E19660" s="1">
        <v>80.228282</v>
      </c>
      <c r="F19660" s="1">
        <v>5339.0</v>
      </c>
      <c r="G19660" s="1">
        <v>29.0</v>
      </c>
    </row>
    <row r="19661">
      <c r="A19661" s="1" t="s">
        <v>8</v>
      </c>
      <c r="B19661" s="2">
        <v>44795.0</v>
      </c>
      <c r="C19661" s="3">
        <v>0.7227199074074074</v>
      </c>
      <c r="D19661" s="1">
        <v>13.02419</v>
      </c>
      <c r="E19661" s="1">
        <v>80.228282</v>
      </c>
      <c r="F19661" s="1">
        <v>5339.0</v>
      </c>
      <c r="G19661" s="1">
        <v>29.0</v>
      </c>
    </row>
    <row r="19662">
      <c r="A19662" s="1" t="s">
        <v>8</v>
      </c>
      <c r="B19662" s="2">
        <v>44795.0</v>
      </c>
      <c r="C19662" s="3">
        <v>0.7234837962962963</v>
      </c>
      <c r="D19662" s="1">
        <v>12.671648</v>
      </c>
      <c r="E19662" s="1">
        <v>79.976193</v>
      </c>
      <c r="F19662" s="1">
        <v>2846.0</v>
      </c>
      <c r="G19662" s="1">
        <v>48.0</v>
      </c>
    </row>
    <row r="19663">
      <c r="A19663" s="1" t="s">
        <v>7</v>
      </c>
      <c r="B19663" s="2">
        <v>44795.0</v>
      </c>
      <c r="C19663" s="3">
        <v>0.724375</v>
      </c>
      <c r="D19663" s="1">
        <v>12.667125</v>
      </c>
      <c r="E19663" s="1">
        <v>79.971711</v>
      </c>
      <c r="F19663" s="1">
        <v>2846.0</v>
      </c>
      <c r="G19663" s="1">
        <v>56.0</v>
      </c>
    </row>
    <row r="19664">
      <c r="A19664" s="1" t="s">
        <v>8</v>
      </c>
      <c r="B19664" s="2">
        <v>44795.0</v>
      </c>
      <c r="C19664" s="3">
        <v>0.7247106481481481</v>
      </c>
      <c r="D19664" s="1">
        <v>13.027221</v>
      </c>
      <c r="E19664" s="1">
        <v>80.233948</v>
      </c>
      <c r="F19664" s="1">
        <v>5339.0</v>
      </c>
      <c r="G19664" s="1">
        <v>30.0</v>
      </c>
    </row>
    <row r="19665">
      <c r="A19665" s="1" t="s">
        <v>8</v>
      </c>
      <c r="B19665" s="2">
        <v>44795.0</v>
      </c>
      <c r="C19665" s="3">
        <v>0.7247800925925926</v>
      </c>
      <c r="D19665" s="1">
        <v>13.027221</v>
      </c>
      <c r="E19665" s="1">
        <v>80.233948</v>
      </c>
      <c r="F19665" s="1">
        <v>5339.0</v>
      </c>
      <c r="G19665" s="1">
        <v>30.0</v>
      </c>
    </row>
    <row r="19666">
      <c r="A19666" s="1" t="s">
        <v>8</v>
      </c>
      <c r="B19666" s="2">
        <v>44795.0</v>
      </c>
      <c r="C19666" s="3">
        <v>0.7248611111111111</v>
      </c>
      <c r="D19666" s="1">
        <v>13.027614</v>
      </c>
      <c r="E19666" s="1">
        <v>80.23468</v>
      </c>
      <c r="F19666" s="1">
        <v>5339.0</v>
      </c>
      <c r="G19666" s="1">
        <v>34.0</v>
      </c>
    </row>
    <row r="19667">
      <c r="A19667" s="1" t="s">
        <v>8</v>
      </c>
      <c r="B19667" s="2">
        <v>44795.0</v>
      </c>
      <c r="C19667" s="3">
        <v>0.7251620370370371</v>
      </c>
      <c r="D19667" s="1">
        <v>13.028752</v>
      </c>
      <c r="E19667" s="1">
        <v>80.236261</v>
      </c>
      <c r="F19667" s="1">
        <v>5339.0</v>
      </c>
      <c r="G19667" s="1">
        <v>42.0</v>
      </c>
    </row>
    <row r="19668">
      <c r="A19668" s="1" t="s">
        <v>7</v>
      </c>
      <c r="B19668" s="2">
        <v>44795.0</v>
      </c>
      <c r="C19668" s="3">
        <v>0.7252893518518518</v>
      </c>
      <c r="D19668" s="1">
        <v>12.659667</v>
      </c>
      <c r="E19668" s="1">
        <v>79.963944</v>
      </c>
      <c r="F19668" s="1">
        <v>2846.0</v>
      </c>
      <c r="G19668" s="1">
        <v>59.0</v>
      </c>
    </row>
    <row r="19669">
      <c r="A19669" s="1" t="s">
        <v>8</v>
      </c>
      <c r="B19669" s="2">
        <v>44795.0</v>
      </c>
      <c r="C19669" s="3">
        <v>0.7253125</v>
      </c>
      <c r="D19669" s="1">
        <v>13.030016</v>
      </c>
      <c r="E19669" s="1">
        <v>80.237818</v>
      </c>
      <c r="F19669" s="1">
        <v>5339.0</v>
      </c>
      <c r="G19669" s="1">
        <v>31.0</v>
      </c>
    </row>
    <row r="19670">
      <c r="A19670" s="1" t="s">
        <v>8</v>
      </c>
      <c r="B19670" s="2">
        <v>44795.0</v>
      </c>
      <c r="C19670" s="3">
        <v>0.7264351851851852</v>
      </c>
      <c r="D19670" s="1">
        <v>12.655741</v>
      </c>
      <c r="E19670" s="1">
        <v>79.952452</v>
      </c>
      <c r="F19670" s="1">
        <v>2846.0</v>
      </c>
      <c r="G19670" s="1">
        <v>58.0</v>
      </c>
    </row>
    <row r="19671">
      <c r="A19671" s="1" t="s">
        <v>8</v>
      </c>
      <c r="B19671" s="2">
        <v>44795.0</v>
      </c>
      <c r="C19671" s="3">
        <v>0.7267939814814814</v>
      </c>
      <c r="D19671" s="1">
        <v>13.031482</v>
      </c>
      <c r="E19671" s="1">
        <v>80.240494</v>
      </c>
      <c r="F19671" s="1">
        <v>5339.0</v>
      </c>
      <c r="G19671" s="1">
        <v>32.0</v>
      </c>
    </row>
    <row r="19672">
      <c r="A19672" s="1" t="s">
        <v>8</v>
      </c>
      <c r="B19672" s="2">
        <v>44795.0</v>
      </c>
      <c r="C19672" s="3">
        <v>0.7271296296296297</v>
      </c>
      <c r="D19672" s="1">
        <v>12.657431</v>
      </c>
      <c r="E19672" s="1">
        <v>79.94642</v>
      </c>
      <c r="F19672" s="1">
        <v>2846.0</v>
      </c>
      <c r="G19672" s="1">
        <v>38.0</v>
      </c>
    </row>
    <row r="19673">
      <c r="A19673" s="1" t="s">
        <v>8</v>
      </c>
      <c r="B19673" s="2">
        <v>44795.0</v>
      </c>
      <c r="C19673" s="3">
        <v>0.727175925925926</v>
      </c>
      <c r="D19673" s="1">
        <v>13.032846</v>
      </c>
      <c r="E19673" s="1">
        <v>80.243022</v>
      </c>
      <c r="F19673" s="1">
        <v>5339.0</v>
      </c>
      <c r="G19673" s="1">
        <v>40.0</v>
      </c>
    </row>
    <row r="19674">
      <c r="A19674" s="1" t="s">
        <v>8</v>
      </c>
      <c r="B19674" s="2">
        <v>44795.0</v>
      </c>
      <c r="C19674" s="3">
        <v>0.7273032407407407</v>
      </c>
      <c r="D19674" s="1">
        <v>12.657682</v>
      </c>
      <c r="E19674" s="1">
        <v>79.945564</v>
      </c>
      <c r="F19674" s="1">
        <v>2846.0</v>
      </c>
      <c r="G19674" s="1">
        <v>36.0</v>
      </c>
    </row>
    <row r="19675">
      <c r="A19675" s="1" t="s">
        <v>7</v>
      </c>
      <c r="B19675" s="2">
        <v>44795.0</v>
      </c>
      <c r="C19675" s="3">
        <v>0.7280555555555556</v>
      </c>
      <c r="D19675" s="1">
        <v>12.654079</v>
      </c>
      <c r="E19675" s="1">
        <v>79.942219</v>
      </c>
      <c r="F19675" s="1">
        <v>2846.0</v>
      </c>
      <c r="G19675" s="1">
        <v>58.0</v>
      </c>
    </row>
    <row r="19676">
      <c r="A19676" s="1" t="s">
        <v>8</v>
      </c>
      <c r="B19676" s="2">
        <v>44795.0</v>
      </c>
      <c r="C19676" s="3">
        <v>0.7294328703703704</v>
      </c>
      <c r="D19676" s="1">
        <v>12.640742</v>
      </c>
      <c r="E19676" s="1">
        <v>79.9369</v>
      </c>
      <c r="F19676" s="1">
        <v>2846.0</v>
      </c>
      <c r="G19676" s="1">
        <v>59.0</v>
      </c>
    </row>
    <row r="19677">
      <c r="A19677" s="1" t="s">
        <v>8</v>
      </c>
      <c r="B19677" s="2">
        <v>44795.0</v>
      </c>
      <c r="C19677" s="3">
        <v>0.7295486111111111</v>
      </c>
      <c r="D19677" s="1">
        <v>12.634572</v>
      </c>
      <c r="E19677" s="1">
        <v>79.933216</v>
      </c>
      <c r="F19677" s="1">
        <v>2846.0</v>
      </c>
      <c r="G19677" s="1">
        <v>51.0</v>
      </c>
    </row>
    <row r="19678">
      <c r="A19678" s="1" t="s">
        <v>10</v>
      </c>
      <c r="B19678" s="2">
        <v>44795.0</v>
      </c>
      <c r="C19678" s="3">
        <v>0.7298611111111111</v>
      </c>
      <c r="D19678" s="1">
        <v>12.965379</v>
      </c>
      <c r="E19678" s="1">
        <v>80.201315</v>
      </c>
      <c r="F19678" s="1">
        <v>3143.0</v>
      </c>
      <c r="G19678" s="1">
        <v>34.0</v>
      </c>
    </row>
    <row r="19679">
      <c r="A19679" s="1" t="s">
        <v>8</v>
      </c>
      <c r="B19679" s="2">
        <v>44795.0</v>
      </c>
      <c r="C19679" s="3">
        <v>0.7310185185185185</v>
      </c>
      <c r="D19679" s="1">
        <v>13.0408</v>
      </c>
      <c r="E19679" s="1">
        <v>80.2472</v>
      </c>
      <c r="F19679" s="1">
        <v>5339.0</v>
      </c>
      <c r="G19679" s="1">
        <v>32.0</v>
      </c>
    </row>
    <row r="19680">
      <c r="A19680" s="1" t="s">
        <v>8</v>
      </c>
      <c r="B19680" s="2">
        <v>44795.0</v>
      </c>
      <c r="C19680" s="3">
        <v>0.7311574074074074</v>
      </c>
      <c r="D19680" s="1">
        <v>13.041494</v>
      </c>
      <c r="E19680" s="1">
        <v>80.247334</v>
      </c>
      <c r="F19680" s="1">
        <v>5339.0</v>
      </c>
      <c r="G19680" s="1">
        <v>27.0</v>
      </c>
    </row>
    <row r="19681">
      <c r="A19681" s="1" t="s">
        <v>8</v>
      </c>
      <c r="B19681" s="2">
        <v>44795.0</v>
      </c>
      <c r="C19681" s="3">
        <v>0.7312384259259259</v>
      </c>
      <c r="D19681" s="1">
        <v>13.042254</v>
      </c>
      <c r="E19681" s="1">
        <v>80.247479</v>
      </c>
      <c r="F19681" s="1">
        <v>5339.0</v>
      </c>
      <c r="G19681" s="1">
        <v>31.0</v>
      </c>
    </row>
    <row r="19682">
      <c r="A19682" s="1" t="s">
        <v>8</v>
      </c>
      <c r="B19682" s="2">
        <v>44795.0</v>
      </c>
      <c r="C19682" s="3">
        <v>0.7312847222222222</v>
      </c>
      <c r="D19682" s="1">
        <v>13.042254</v>
      </c>
      <c r="E19682" s="1">
        <v>80.247479</v>
      </c>
      <c r="F19682" s="1">
        <v>5339.0</v>
      </c>
      <c r="G19682" s="1">
        <v>31.0</v>
      </c>
    </row>
    <row r="19683">
      <c r="A19683" s="1" t="s">
        <v>7</v>
      </c>
      <c r="B19683" s="2">
        <v>44795.0</v>
      </c>
      <c r="C19683" s="3">
        <v>0.7313773148148148</v>
      </c>
      <c r="D19683" s="1">
        <v>12.617393</v>
      </c>
      <c r="E19683" s="1">
        <v>79.926542</v>
      </c>
      <c r="F19683" s="1">
        <v>2846.0</v>
      </c>
      <c r="G19683" s="1">
        <v>59.0</v>
      </c>
    </row>
    <row r="19684">
      <c r="A19684" s="1" t="s">
        <v>7</v>
      </c>
      <c r="B19684" s="2">
        <v>44795.0</v>
      </c>
      <c r="C19684" s="3">
        <v>0.7320949074074075</v>
      </c>
      <c r="D19684" s="1">
        <v>12.610868</v>
      </c>
      <c r="E19684" s="1">
        <v>79.923272</v>
      </c>
      <c r="F19684" s="1">
        <v>2846.0</v>
      </c>
      <c r="G19684" s="1">
        <v>58.0</v>
      </c>
    </row>
    <row r="19685">
      <c r="A19685" s="1" t="s">
        <v>7</v>
      </c>
      <c r="B19685" s="2">
        <v>44795.0</v>
      </c>
      <c r="C19685" s="3">
        <v>0.7324537037037037</v>
      </c>
      <c r="D19685" s="1">
        <v>12.60424</v>
      </c>
      <c r="E19685" s="1">
        <v>79.920552</v>
      </c>
      <c r="F19685" s="1">
        <v>2846.0</v>
      </c>
      <c r="G19685" s="1">
        <v>57.0</v>
      </c>
    </row>
    <row r="19686">
      <c r="A19686" s="1" t="s">
        <v>8</v>
      </c>
      <c r="B19686" s="2">
        <v>44795.0</v>
      </c>
      <c r="C19686" s="3">
        <v>0.7324537037037037</v>
      </c>
      <c r="D19686" s="1">
        <v>13.047545</v>
      </c>
      <c r="E19686" s="1">
        <v>80.248739</v>
      </c>
      <c r="F19686" s="1">
        <v>5339.0</v>
      </c>
      <c r="G19686" s="1">
        <v>33.0</v>
      </c>
    </row>
    <row r="19687">
      <c r="A19687" s="1" t="s">
        <v>8</v>
      </c>
      <c r="B19687" s="2">
        <v>44795.0</v>
      </c>
      <c r="C19687" s="3">
        <v>0.7327777777777778</v>
      </c>
      <c r="D19687" s="1">
        <v>13.050123</v>
      </c>
      <c r="E19687" s="1">
        <v>80.249827</v>
      </c>
      <c r="F19687" s="1">
        <v>5339.0</v>
      </c>
      <c r="G19687" s="1">
        <v>45.0</v>
      </c>
    </row>
    <row r="19688">
      <c r="A19688" s="1" t="s">
        <v>7</v>
      </c>
      <c r="B19688" s="2">
        <v>44795.0</v>
      </c>
      <c r="C19688" s="3">
        <v>0.7330324074074074</v>
      </c>
      <c r="D19688" s="1">
        <v>12.596981</v>
      </c>
      <c r="E19688" s="1">
        <v>79.919672</v>
      </c>
      <c r="F19688" s="1">
        <v>2846.0</v>
      </c>
      <c r="G19688" s="1">
        <v>58.0</v>
      </c>
    </row>
    <row r="19689">
      <c r="A19689" s="1" t="s">
        <v>8</v>
      </c>
      <c r="B19689" s="2">
        <v>44795.0</v>
      </c>
      <c r="C19689" s="3">
        <v>0.7331828703703703</v>
      </c>
      <c r="D19689" s="1">
        <v>13.053322</v>
      </c>
      <c r="E19689" s="1">
        <v>80.252248</v>
      </c>
      <c r="F19689" s="1">
        <v>5339.0</v>
      </c>
      <c r="G19689" s="1">
        <v>42.0</v>
      </c>
    </row>
    <row r="19690">
      <c r="A19690" s="1" t="s">
        <v>8</v>
      </c>
      <c r="B19690" s="2">
        <v>44795.0</v>
      </c>
      <c r="C19690" s="3">
        <v>0.7340046296296296</v>
      </c>
      <c r="D19690" s="1">
        <v>12.589712</v>
      </c>
      <c r="E19690" s="1">
        <v>79.919397</v>
      </c>
      <c r="F19690" s="1">
        <v>2846.0</v>
      </c>
      <c r="G19690" s="1">
        <v>58.0</v>
      </c>
    </row>
    <row r="19691">
      <c r="A19691" s="1" t="s">
        <v>7</v>
      </c>
      <c r="B19691" s="2">
        <v>44795.0</v>
      </c>
      <c r="C19691" s="3">
        <v>0.7343981481481482</v>
      </c>
      <c r="D19691" s="1">
        <v>12.586785</v>
      </c>
      <c r="E19691" s="1">
        <v>79.919508</v>
      </c>
      <c r="F19691" s="1">
        <v>2846.0</v>
      </c>
      <c r="G19691" s="1">
        <v>58.0</v>
      </c>
    </row>
    <row r="19692">
      <c r="A19692" s="1" t="s">
        <v>8</v>
      </c>
      <c r="B19692" s="2">
        <v>44795.0</v>
      </c>
      <c r="C19692" s="3">
        <v>0.7344560185185185</v>
      </c>
      <c r="D19692" s="1">
        <v>12.968753</v>
      </c>
      <c r="E19692" s="1">
        <v>80.21804</v>
      </c>
      <c r="F19692" s="1">
        <v>3143.0</v>
      </c>
      <c r="G19692" s="1">
        <v>50.0</v>
      </c>
    </row>
    <row r="19693">
      <c r="A19693" s="1" t="s">
        <v>10</v>
      </c>
      <c r="B19693" s="2">
        <v>44795.0</v>
      </c>
      <c r="C19693" s="3">
        <v>0.7355902777777777</v>
      </c>
      <c r="D19693" s="1">
        <v>13.054358</v>
      </c>
      <c r="E19693" s="1">
        <v>80.259796</v>
      </c>
      <c r="F19693" s="1">
        <v>5339.0</v>
      </c>
      <c r="G19693" s="1">
        <v>23.0</v>
      </c>
    </row>
    <row r="19694">
      <c r="A19694" s="1" t="s">
        <v>10</v>
      </c>
      <c r="B19694" s="2">
        <v>44795.0</v>
      </c>
      <c r="C19694" s="3">
        <v>0.7356597222222222</v>
      </c>
      <c r="D19694" s="1">
        <v>13.054358</v>
      </c>
      <c r="E19694" s="1">
        <v>80.259796</v>
      </c>
      <c r="F19694" s="1">
        <v>5339.0</v>
      </c>
      <c r="G19694" s="1">
        <v>23.0</v>
      </c>
    </row>
    <row r="19695">
      <c r="A19695" s="1" t="s">
        <v>7</v>
      </c>
      <c r="B19695" s="2">
        <v>44795.0</v>
      </c>
      <c r="C19695" s="3">
        <v>0.7367592592592592</v>
      </c>
      <c r="D19695" s="1">
        <v>12.555376</v>
      </c>
      <c r="E19695" s="1">
        <v>79.908636</v>
      </c>
      <c r="F19695" s="1">
        <v>2846.0</v>
      </c>
      <c r="G19695" s="1">
        <v>58.0</v>
      </c>
    </row>
    <row r="19696">
      <c r="A19696" s="1" t="s">
        <v>10</v>
      </c>
      <c r="B19696" s="2">
        <v>44795.0</v>
      </c>
      <c r="C19696" s="3">
        <v>0.737175925925926</v>
      </c>
      <c r="D19696" s="1">
        <v>13.053449</v>
      </c>
      <c r="E19696" s="1">
        <v>80.268864</v>
      </c>
      <c r="F19696" s="1">
        <v>5339.0</v>
      </c>
      <c r="G19696" s="1">
        <v>19.0</v>
      </c>
    </row>
    <row r="19697">
      <c r="A19697" s="1" t="s">
        <v>10</v>
      </c>
      <c r="B19697" s="2">
        <v>44795.0</v>
      </c>
      <c r="C19697" s="3">
        <v>0.7374884259259259</v>
      </c>
      <c r="D19697" s="1">
        <v>13.053412</v>
      </c>
      <c r="E19697" s="1">
        <v>80.26949</v>
      </c>
      <c r="F19697" s="1">
        <v>5339.0</v>
      </c>
      <c r="G19697" s="1">
        <v>8.0</v>
      </c>
    </row>
    <row r="19698">
      <c r="A19698" s="1" t="s">
        <v>7</v>
      </c>
      <c r="B19698" s="2">
        <v>44795.0</v>
      </c>
      <c r="C19698" s="3">
        <v>0.7385648148148148</v>
      </c>
      <c r="D19698" s="1">
        <v>12.534277</v>
      </c>
      <c r="E19698" s="1">
        <v>79.90151</v>
      </c>
      <c r="F19698" s="1">
        <v>2846.0</v>
      </c>
      <c r="G19698" s="1">
        <v>52.0</v>
      </c>
    </row>
    <row r="19699">
      <c r="A19699" s="1" t="s">
        <v>7</v>
      </c>
      <c r="B19699" s="2">
        <v>44795.0</v>
      </c>
      <c r="C19699" s="3">
        <v>0.7389814814814815</v>
      </c>
      <c r="D19699" s="1">
        <v>12.530315</v>
      </c>
      <c r="E19699" s="1">
        <v>79.89972</v>
      </c>
      <c r="F19699" s="1">
        <v>2846.0</v>
      </c>
      <c r="G19699" s="1">
        <v>59.0</v>
      </c>
    </row>
    <row r="19700">
      <c r="A19700" s="1" t="s">
        <v>8</v>
      </c>
      <c r="B19700" s="2">
        <v>44795.0</v>
      </c>
      <c r="C19700" s="3">
        <v>0.7394791666666667</v>
      </c>
      <c r="D19700" s="1">
        <v>12.52375</v>
      </c>
      <c r="E19700" s="1">
        <v>79.896545</v>
      </c>
      <c r="F19700" s="1">
        <v>2846.0</v>
      </c>
      <c r="G19700" s="1">
        <v>57.0</v>
      </c>
    </row>
    <row r="19701">
      <c r="A19701" s="1" t="s">
        <v>7</v>
      </c>
      <c r="B19701" s="2">
        <v>44795.0</v>
      </c>
      <c r="C19701" s="3">
        <v>0.7396064814814814</v>
      </c>
      <c r="D19701" s="1">
        <v>12.52375</v>
      </c>
      <c r="E19701" s="1">
        <v>79.896545</v>
      </c>
      <c r="F19701" s="1">
        <v>2846.0</v>
      </c>
      <c r="G19701" s="1">
        <v>57.0</v>
      </c>
    </row>
    <row r="19702">
      <c r="A19702" s="1" t="s">
        <v>7</v>
      </c>
      <c r="B19702" s="2">
        <v>44795.0</v>
      </c>
      <c r="C19702" s="3">
        <v>0.7397337962962963</v>
      </c>
      <c r="D19702" s="1">
        <v>12.521378</v>
      </c>
      <c r="E19702" s="1">
        <v>79.895018</v>
      </c>
      <c r="F19702" s="1">
        <v>2846.0</v>
      </c>
      <c r="G19702" s="1">
        <v>56.0</v>
      </c>
    </row>
    <row r="19703">
      <c r="A19703" s="1" t="s">
        <v>7</v>
      </c>
      <c r="B19703" s="2">
        <v>44795.0</v>
      </c>
      <c r="C19703" s="3">
        <v>0.74</v>
      </c>
      <c r="D19703" s="1">
        <v>12.96656</v>
      </c>
      <c r="E19703" s="1">
        <v>80.21725</v>
      </c>
      <c r="F19703" s="1">
        <v>3143.0</v>
      </c>
      <c r="G19703" s="1">
        <v>52.0</v>
      </c>
    </row>
    <row r="19704">
      <c r="A19704" s="1" t="s">
        <v>10</v>
      </c>
      <c r="B19704" s="2">
        <v>44795.0</v>
      </c>
      <c r="C19704" s="3">
        <v>0.7422453703703704</v>
      </c>
      <c r="D19704" s="1">
        <v>12.510354</v>
      </c>
      <c r="E19704" s="1">
        <v>79.88502</v>
      </c>
      <c r="F19704" s="1">
        <v>2846.0</v>
      </c>
      <c r="G19704" s="1">
        <v>0.0</v>
      </c>
    </row>
    <row r="19705">
      <c r="A19705" s="1" t="s">
        <v>8</v>
      </c>
      <c r="B19705" s="2">
        <v>44795.0</v>
      </c>
      <c r="C19705" s="3">
        <v>0.7426967592592593</v>
      </c>
      <c r="D19705" s="1">
        <v>12.953247</v>
      </c>
      <c r="E19705" s="1">
        <v>80.21197</v>
      </c>
      <c r="F19705" s="1">
        <v>3143.0</v>
      </c>
      <c r="G19705" s="1">
        <v>20.0</v>
      </c>
    </row>
    <row r="19706">
      <c r="A19706" s="1" t="s">
        <v>10</v>
      </c>
      <c r="B19706" s="2">
        <v>44795.0</v>
      </c>
      <c r="C19706" s="3">
        <v>0.7427430555555555</v>
      </c>
      <c r="D19706" s="1">
        <v>13.063364</v>
      </c>
      <c r="E19706" s="1">
        <v>80.274083</v>
      </c>
      <c r="F19706" s="1">
        <v>5339.0</v>
      </c>
      <c r="G19706" s="1">
        <v>11.0</v>
      </c>
    </row>
    <row r="19707">
      <c r="A19707" s="1" t="s">
        <v>10</v>
      </c>
      <c r="B19707" s="2">
        <v>44795.0</v>
      </c>
      <c r="C19707" s="3">
        <v>0.7443055555555556</v>
      </c>
      <c r="D19707" s="1">
        <v>13.068177</v>
      </c>
      <c r="E19707" s="1">
        <v>80.271757</v>
      </c>
      <c r="F19707" s="1">
        <v>5339.0</v>
      </c>
      <c r="G19707" s="1">
        <v>4.0</v>
      </c>
    </row>
    <row r="19708">
      <c r="A19708" s="1" t="s">
        <v>7</v>
      </c>
      <c r="B19708" s="2">
        <v>44795.0</v>
      </c>
      <c r="C19708" s="3">
        <v>0.744386574074074</v>
      </c>
      <c r="D19708" s="1">
        <v>12.498791</v>
      </c>
      <c r="E19708" s="1">
        <v>79.874383</v>
      </c>
      <c r="F19708" s="1">
        <v>2846.0</v>
      </c>
      <c r="G19708" s="1">
        <v>57.0</v>
      </c>
    </row>
    <row r="19709">
      <c r="A19709" s="1" t="s">
        <v>8</v>
      </c>
      <c r="B19709" s="2">
        <v>44795.0</v>
      </c>
      <c r="C19709" s="3">
        <v>0.7446064814814815</v>
      </c>
      <c r="D19709" s="1">
        <v>12.948521</v>
      </c>
      <c r="E19709" s="1">
        <v>80.20883</v>
      </c>
      <c r="F19709" s="1">
        <v>3143.0</v>
      </c>
      <c r="G19709" s="1">
        <v>33.0</v>
      </c>
    </row>
    <row r="19710">
      <c r="A19710" s="1" t="s">
        <v>8</v>
      </c>
      <c r="B19710" s="2">
        <v>44795.0</v>
      </c>
      <c r="C19710" s="3">
        <v>0.7446643518518519</v>
      </c>
      <c r="D19710" s="1">
        <v>13.066632</v>
      </c>
      <c r="E19710" s="1">
        <v>80.269731</v>
      </c>
      <c r="F19710" s="1">
        <v>5339.0</v>
      </c>
      <c r="G19710" s="1">
        <v>34.0</v>
      </c>
    </row>
    <row r="19711">
      <c r="A19711" s="1" t="s">
        <v>8</v>
      </c>
      <c r="B19711" s="2">
        <v>44795.0</v>
      </c>
      <c r="C19711" s="3">
        <v>0.7452893518518519</v>
      </c>
      <c r="D19711" s="1">
        <v>12.948686</v>
      </c>
      <c r="E19711" s="1">
        <v>80.203702</v>
      </c>
      <c r="F19711" s="1">
        <v>3143.0</v>
      </c>
      <c r="G19711" s="1">
        <v>39.0</v>
      </c>
    </row>
    <row r="19712">
      <c r="A19712" s="1" t="s">
        <v>8</v>
      </c>
      <c r="B19712" s="2">
        <v>44795.0</v>
      </c>
      <c r="C19712" s="3">
        <v>0.7455671296296297</v>
      </c>
      <c r="D19712" s="1">
        <v>12.948612</v>
      </c>
      <c r="E19712" s="1">
        <v>80.201709</v>
      </c>
      <c r="F19712" s="1">
        <v>3143.0</v>
      </c>
      <c r="G19712" s="1">
        <v>40.0</v>
      </c>
    </row>
    <row r="19713">
      <c r="A19713" s="1" t="s">
        <v>8</v>
      </c>
      <c r="B19713" s="2">
        <v>44795.0</v>
      </c>
      <c r="C19713" s="3">
        <v>0.7460532407407408</v>
      </c>
      <c r="D19713" s="1">
        <v>12.948474</v>
      </c>
      <c r="E19713" s="1">
        <v>80.198522</v>
      </c>
      <c r="F19713" s="1">
        <v>3143.0</v>
      </c>
      <c r="G19713" s="1">
        <v>31.0</v>
      </c>
    </row>
    <row r="19714">
      <c r="A19714" s="1" t="s">
        <v>10</v>
      </c>
      <c r="B19714" s="2">
        <v>44795.0</v>
      </c>
      <c r="C19714" s="3">
        <v>0.7461458333333333</v>
      </c>
      <c r="D19714" s="1">
        <v>13.06973</v>
      </c>
      <c r="E19714" s="1">
        <v>80.266511</v>
      </c>
      <c r="F19714" s="1">
        <v>5339.0</v>
      </c>
      <c r="G19714" s="1">
        <v>23.0</v>
      </c>
    </row>
    <row r="19715">
      <c r="A19715" s="1" t="s">
        <v>10</v>
      </c>
      <c r="B19715" s="2">
        <v>44795.0</v>
      </c>
      <c r="C19715" s="3">
        <v>0.7464814814814815</v>
      </c>
      <c r="D19715" s="1">
        <v>13.070669</v>
      </c>
      <c r="E19715" s="1">
        <v>80.265495</v>
      </c>
      <c r="F19715" s="1">
        <v>5339.0</v>
      </c>
      <c r="G19715" s="1">
        <v>18.0</v>
      </c>
    </row>
    <row r="19716">
      <c r="A19716" s="1" t="s">
        <v>8</v>
      </c>
      <c r="B19716" s="2">
        <v>44795.0</v>
      </c>
      <c r="C19716" s="3">
        <v>0.747025462962963</v>
      </c>
      <c r="D19716" s="1">
        <v>12.948712</v>
      </c>
      <c r="E19716" s="1">
        <v>80.190058</v>
      </c>
      <c r="F19716" s="1">
        <v>3143.0</v>
      </c>
      <c r="G19716" s="1">
        <v>40.0</v>
      </c>
    </row>
    <row r="19717">
      <c r="A19717" s="1" t="s">
        <v>8</v>
      </c>
      <c r="B19717" s="2">
        <v>44795.0</v>
      </c>
      <c r="C19717" s="3">
        <v>0.7478472222222222</v>
      </c>
      <c r="D19717" s="1">
        <v>13.073013</v>
      </c>
      <c r="E19717" s="1">
        <v>80.260762</v>
      </c>
      <c r="F19717" s="1">
        <v>5339.0</v>
      </c>
      <c r="G19717" s="1">
        <v>17.0</v>
      </c>
    </row>
    <row r="19718">
      <c r="A19718" s="1" t="s">
        <v>8</v>
      </c>
      <c r="B19718" s="2">
        <v>44795.0</v>
      </c>
      <c r="C19718" s="3">
        <v>0.7478819444444444</v>
      </c>
      <c r="D19718" s="1">
        <v>13.072578</v>
      </c>
      <c r="E19718" s="1">
        <v>80.26024</v>
      </c>
      <c r="F19718" s="1">
        <v>5339.0</v>
      </c>
      <c r="G19718" s="1">
        <v>29.0</v>
      </c>
    </row>
    <row r="19719">
      <c r="A19719" s="1" t="s">
        <v>8</v>
      </c>
      <c r="B19719" s="2">
        <v>44795.0</v>
      </c>
      <c r="C19719" s="3">
        <v>0.7478935185185185</v>
      </c>
      <c r="D19719" s="1">
        <v>13.072578</v>
      </c>
      <c r="E19719" s="1">
        <v>80.26024</v>
      </c>
      <c r="F19719" s="1">
        <v>5339.0</v>
      </c>
      <c r="G19719" s="1">
        <v>29.0</v>
      </c>
    </row>
    <row r="19720">
      <c r="A19720" s="1" t="s">
        <v>7</v>
      </c>
      <c r="B19720" s="2">
        <v>44795.0</v>
      </c>
      <c r="C19720" s="3">
        <v>0.7484837962962962</v>
      </c>
      <c r="D19720" s="1">
        <v>12.461047</v>
      </c>
      <c r="E19720" s="1">
        <v>79.846802</v>
      </c>
      <c r="F19720" s="1">
        <v>2846.0</v>
      </c>
      <c r="G19720" s="1">
        <v>56.0</v>
      </c>
    </row>
    <row r="19721">
      <c r="A19721" s="1" t="s">
        <v>7</v>
      </c>
      <c r="B19721" s="2">
        <v>44795.0</v>
      </c>
      <c r="C19721" s="3">
        <v>0.749849537037037</v>
      </c>
      <c r="D19721" s="1">
        <v>12.446578</v>
      </c>
      <c r="E19721" s="1">
        <v>79.838573</v>
      </c>
      <c r="F19721" s="1">
        <v>2846.0</v>
      </c>
      <c r="G19721" s="1">
        <v>47.0</v>
      </c>
    </row>
    <row r="19722">
      <c r="A19722" s="1" t="s">
        <v>8</v>
      </c>
      <c r="B19722" s="2">
        <v>44795.0</v>
      </c>
      <c r="C19722" s="3">
        <v>0.749849537037037</v>
      </c>
      <c r="D19722" s="1">
        <v>13.067415</v>
      </c>
      <c r="E19722" s="1">
        <v>80.253592</v>
      </c>
      <c r="F19722" s="1">
        <v>5339.0</v>
      </c>
      <c r="G19722" s="1">
        <v>31.0</v>
      </c>
    </row>
    <row r="19723">
      <c r="A19723" s="1" t="s">
        <v>7</v>
      </c>
      <c r="B19723" s="2">
        <v>44795.0</v>
      </c>
      <c r="C19723" s="3">
        <v>0.7499421296296296</v>
      </c>
      <c r="D19723" s="1">
        <v>12.447757</v>
      </c>
      <c r="E19723" s="1">
        <v>79.838961</v>
      </c>
      <c r="F19723" s="1">
        <v>2846.0</v>
      </c>
      <c r="G19723" s="1">
        <v>51.0</v>
      </c>
    </row>
    <row r="19724">
      <c r="A19724" s="1" t="s">
        <v>8</v>
      </c>
      <c r="B19724" s="2">
        <v>44795.0</v>
      </c>
      <c r="C19724" s="3">
        <v>0.7500810185185185</v>
      </c>
      <c r="D19724" s="1">
        <v>13.068095</v>
      </c>
      <c r="E19724" s="1">
        <v>80.252529</v>
      </c>
      <c r="F19724" s="1">
        <v>5339.0</v>
      </c>
      <c r="G19724" s="1">
        <v>28.0</v>
      </c>
    </row>
    <row r="19725">
      <c r="A19725" s="1" t="s">
        <v>8</v>
      </c>
      <c r="B19725" s="2">
        <v>44795.0</v>
      </c>
      <c r="C19725" s="3">
        <v>0.7515972222222222</v>
      </c>
      <c r="D19725" s="1">
        <v>13.065796</v>
      </c>
      <c r="E19725" s="1">
        <v>80.247859</v>
      </c>
      <c r="F19725" s="1">
        <v>5339.0</v>
      </c>
      <c r="G19725" s="1">
        <v>26.0</v>
      </c>
    </row>
    <row r="19726">
      <c r="A19726" s="1" t="s">
        <v>8</v>
      </c>
      <c r="B19726" s="2">
        <v>44795.0</v>
      </c>
      <c r="C19726" s="3">
        <v>0.7516319444444445</v>
      </c>
      <c r="D19726" s="1">
        <v>13.065796</v>
      </c>
      <c r="E19726" s="1">
        <v>80.247859</v>
      </c>
      <c r="F19726" s="1">
        <v>5339.0</v>
      </c>
      <c r="G19726" s="1">
        <v>26.0</v>
      </c>
    </row>
    <row r="19727">
      <c r="A19727" s="1" t="s">
        <v>8</v>
      </c>
      <c r="B19727" s="2">
        <v>44795.0</v>
      </c>
      <c r="C19727" s="3">
        <v>0.7516435185185185</v>
      </c>
      <c r="D19727" s="1">
        <v>13.065796</v>
      </c>
      <c r="E19727" s="1">
        <v>80.247859</v>
      </c>
      <c r="F19727" s="1">
        <v>5339.0</v>
      </c>
      <c r="G19727" s="1">
        <v>26.0</v>
      </c>
    </row>
    <row r="19728">
      <c r="A19728" s="1" t="s">
        <v>8</v>
      </c>
      <c r="B19728" s="2">
        <v>44795.0</v>
      </c>
      <c r="C19728" s="3">
        <v>0.7516550925925926</v>
      </c>
      <c r="D19728" s="1">
        <v>13.065796</v>
      </c>
      <c r="E19728" s="1">
        <v>80.247859</v>
      </c>
      <c r="F19728" s="1">
        <v>5339.0</v>
      </c>
      <c r="G19728" s="1">
        <v>26.0</v>
      </c>
    </row>
    <row r="19729">
      <c r="A19729" s="1" t="s">
        <v>8</v>
      </c>
      <c r="B19729" s="2">
        <v>44795.0</v>
      </c>
      <c r="C19729" s="3">
        <v>0.7516666666666667</v>
      </c>
      <c r="D19729" s="1">
        <v>13.065796</v>
      </c>
      <c r="E19729" s="1">
        <v>80.247859</v>
      </c>
      <c r="F19729" s="1">
        <v>5339.0</v>
      </c>
      <c r="G19729" s="1">
        <v>26.0</v>
      </c>
    </row>
    <row r="19730">
      <c r="A19730" s="1" t="s">
        <v>10</v>
      </c>
      <c r="B19730" s="2">
        <v>44795.0</v>
      </c>
      <c r="C19730" s="3">
        <v>0.7521296296296296</v>
      </c>
      <c r="D19730" s="1">
        <v>13.064391</v>
      </c>
      <c r="E19730" s="1">
        <v>80.248327</v>
      </c>
      <c r="F19730" s="1">
        <v>5339.0</v>
      </c>
      <c r="G19730" s="1">
        <v>23.0</v>
      </c>
    </row>
    <row r="19731">
      <c r="A19731" s="1" t="s">
        <v>8</v>
      </c>
      <c r="B19731" s="2">
        <v>44795.0</v>
      </c>
      <c r="C19731" s="3">
        <v>0.7535300925925926</v>
      </c>
      <c r="D19731" s="1">
        <v>12.953836</v>
      </c>
      <c r="E19731" s="1">
        <v>80.161813</v>
      </c>
      <c r="F19731" s="1">
        <v>3143.0</v>
      </c>
      <c r="G19731" s="1">
        <v>41.0</v>
      </c>
    </row>
    <row r="19732">
      <c r="A19732" s="1" t="s">
        <v>8</v>
      </c>
      <c r="B19732" s="2">
        <v>44795.0</v>
      </c>
      <c r="C19732" s="3">
        <v>0.7541782407407407</v>
      </c>
      <c r="D19732" s="1">
        <v>12.954629</v>
      </c>
      <c r="E19732" s="1">
        <v>80.158106</v>
      </c>
      <c r="F19732" s="1">
        <v>3143.0</v>
      </c>
      <c r="G19732" s="1">
        <v>31.0</v>
      </c>
    </row>
    <row r="19733">
      <c r="A19733" s="1" t="s">
        <v>8</v>
      </c>
      <c r="B19733" s="2">
        <v>44795.0</v>
      </c>
      <c r="C19733" s="3">
        <v>0.7548148148148148</v>
      </c>
      <c r="D19733" s="1">
        <v>12.955912</v>
      </c>
      <c r="E19733" s="1">
        <v>80.152798</v>
      </c>
      <c r="F19733" s="1">
        <v>3143.0</v>
      </c>
      <c r="G19733" s="1">
        <v>46.0</v>
      </c>
    </row>
    <row r="19734">
      <c r="A19734" s="1" t="s">
        <v>8</v>
      </c>
      <c r="B19734" s="2">
        <v>44795.0</v>
      </c>
      <c r="C19734" s="3">
        <v>0.7590856481481482</v>
      </c>
      <c r="D19734" s="1">
        <v>12.948357</v>
      </c>
      <c r="E19734" s="1">
        <v>80.137874</v>
      </c>
      <c r="F19734" s="1">
        <v>3143.0</v>
      </c>
      <c r="G19734" s="1">
        <v>44.0</v>
      </c>
    </row>
    <row r="19735">
      <c r="A19735" s="1" t="s">
        <v>8</v>
      </c>
      <c r="B19735" s="2">
        <v>44795.0</v>
      </c>
      <c r="C19735" s="3">
        <v>0.7595601851851852</v>
      </c>
      <c r="D19735" s="1">
        <v>12.945036</v>
      </c>
      <c r="E19735" s="1">
        <v>80.135394</v>
      </c>
      <c r="F19735" s="1">
        <v>3143.0</v>
      </c>
      <c r="G19735" s="1">
        <v>44.0</v>
      </c>
    </row>
    <row r="19736">
      <c r="A19736" s="1" t="s">
        <v>8</v>
      </c>
      <c r="B19736" s="2">
        <v>44795.0</v>
      </c>
      <c r="C19736" s="3">
        <v>0.7625925925925926</v>
      </c>
      <c r="D19736" s="1">
        <v>12.934907</v>
      </c>
      <c r="E19736" s="1">
        <v>80.126117</v>
      </c>
      <c r="F19736" s="1">
        <v>3143.0</v>
      </c>
      <c r="G19736" s="1">
        <v>17.0</v>
      </c>
    </row>
    <row r="19737">
      <c r="A19737" s="1" t="s">
        <v>8</v>
      </c>
      <c r="B19737" s="2">
        <v>44795.0</v>
      </c>
      <c r="C19737" s="3">
        <v>0.7634143518518518</v>
      </c>
      <c r="D19737" s="1">
        <v>12.931244</v>
      </c>
      <c r="E19737" s="1">
        <v>80.122539</v>
      </c>
      <c r="F19737" s="1">
        <v>3143.0</v>
      </c>
      <c r="G19737" s="1">
        <v>21.0</v>
      </c>
    </row>
    <row r="19738">
      <c r="A19738" s="1" t="s">
        <v>8</v>
      </c>
      <c r="B19738" s="2">
        <v>44795.0</v>
      </c>
      <c r="C19738" s="3">
        <v>0.7635532407407407</v>
      </c>
      <c r="D19738" s="1">
        <v>12.930174</v>
      </c>
      <c r="E19738" s="1">
        <v>80.121488</v>
      </c>
      <c r="F19738" s="1">
        <v>3143.0</v>
      </c>
      <c r="G19738" s="1">
        <v>36.0</v>
      </c>
    </row>
    <row r="19739">
      <c r="A19739" s="1" t="s">
        <v>8</v>
      </c>
      <c r="B19739" s="2">
        <v>44795.0</v>
      </c>
      <c r="C19739" s="3">
        <v>0.7637037037037037</v>
      </c>
      <c r="D19739" s="1">
        <v>12.929551</v>
      </c>
      <c r="E19739" s="1">
        <v>80.12084</v>
      </c>
      <c r="F19739" s="1">
        <v>3143.0</v>
      </c>
      <c r="G19739" s="1">
        <v>37.0</v>
      </c>
    </row>
    <row r="19740">
      <c r="A19740" s="1" t="s">
        <v>8</v>
      </c>
      <c r="B19740" s="2">
        <v>44795.0</v>
      </c>
      <c r="C19740" s="3">
        <v>0.76375</v>
      </c>
      <c r="D19740" s="1">
        <v>12.929551</v>
      </c>
      <c r="E19740" s="1">
        <v>80.12084</v>
      </c>
      <c r="F19740" s="1">
        <v>3143.0</v>
      </c>
      <c r="G19740" s="1">
        <v>37.0</v>
      </c>
    </row>
    <row r="19741">
      <c r="A19741" s="1" t="s">
        <v>9</v>
      </c>
      <c r="B19741" s="2">
        <v>44795.0</v>
      </c>
      <c r="C19741" s="3">
        <v>0.7637962962962963</v>
      </c>
      <c r="D19741" s="1">
        <v>12.928843</v>
      </c>
      <c r="E19741" s="1">
        <v>80.120124</v>
      </c>
      <c r="F19741" s="1">
        <v>3143.0</v>
      </c>
      <c r="G19741" s="1">
        <v>41.0</v>
      </c>
    </row>
    <row r="19742">
      <c r="A19742" s="1" t="s">
        <v>8</v>
      </c>
      <c r="B19742" s="2">
        <v>44795.0</v>
      </c>
      <c r="C19742" s="3">
        <v>0.7655671296296296</v>
      </c>
      <c r="D19742" s="1">
        <v>12.921048</v>
      </c>
      <c r="E19742" s="1">
        <v>80.112211</v>
      </c>
      <c r="F19742" s="1">
        <v>3143.0</v>
      </c>
      <c r="G19742" s="1">
        <v>26.0</v>
      </c>
    </row>
    <row r="19743">
      <c r="A19743" s="1" t="s">
        <v>8</v>
      </c>
      <c r="B19743" s="2">
        <v>44795.0</v>
      </c>
      <c r="C19743" s="3">
        <v>0.7670254629629629</v>
      </c>
      <c r="D19743" s="1">
        <v>12.914686</v>
      </c>
      <c r="E19743" s="1">
        <v>80.102941</v>
      </c>
      <c r="F19743" s="1">
        <v>3143.0</v>
      </c>
      <c r="G19743" s="1">
        <v>45.0</v>
      </c>
    </row>
    <row r="19744">
      <c r="A19744" s="1" t="s">
        <v>8</v>
      </c>
      <c r="B19744" s="2">
        <v>44795.0</v>
      </c>
      <c r="C19744" s="3">
        <v>0.7673263888888889</v>
      </c>
      <c r="D19744" s="1">
        <v>12.91341</v>
      </c>
      <c r="E19744" s="1">
        <v>80.10163</v>
      </c>
      <c r="F19744" s="1">
        <v>3143.0</v>
      </c>
      <c r="G19744" s="1">
        <v>38.0</v>
      </c>
    </row>
    <row r="19745">
      <c r="A19745" s="1" t="s">
        <v>8</v>
      </c>
      <c r="B19745" s="2">
        <v>44795.0</v>
      </c>
      <c r="C19745" s="3">
        <v>0.7716782407407408</v>
      </c>
      <c r="D19745" s="1">
        <v>12.888906</v>
      </c>
      <c r="E19745" s="1">
        <v>80.084165</v>
      </c>
      <c r="F19745" s="1">
        <v>3143.0</v>
      </c>
      <c r="G19745" s="1">
        <v>50.0</v>
      </c>
    </row>
    <row r="19746">
      <c r="A19746" s="1" t="s">
        <v>8</v>
      </c>
      <c r="B19746" s="2">
        <v>44795.0</v>
      </c>
      <c r="C19746" s="3">
        <v>0.7718055555555555</v>
      </c>
      <c r="D19746" s="1">
        <v>12.887753</v>
      </c>
      <c r="E19746" s="1">
        <v>80.083696</v>
      </c>
      <c r="F19746" s="1">
        <v>3143.0</v>
      </c>
      <c r="G19746" s="1">
        <v>45.0</v>
      </c>
    </row>
    <row r="19747">
      <c r="A19747" s="1" t="s">
        <v>8</v>
      </c>
      <c r="B19747" s="2">
        <v>44796.0</v>
      </c>
      <c r="C19747" s="3">
        <v>0.2879861111111111</v>
      </c>
      <c r="D19747" s="1">
        <v>12.446401</v>
      </c>
      <c r="E19747" s="1">
        <v>79.838349</v>
      </c>
      <c r="F19747" s="1">
        <v>2846.0</v>
      </c>
      <c r="G19747" s="1">
        <v>57.0</v>
      </c>
    </row>
    <row r="19748">
      <c r="A19748" s="1" t="s">
        <v>8</v>
      </c>
      <c r="B19748" s="2">
        <v>44796.0</v>
      </c>
      <c r="C19748" s="3">
        <v>0.28833333333333333</v>
      </c>
      <c r="D19748" s="1">
        <v>12.452797</v>
      </c>
      <c r="E19748" s="1">
        <v>79.841169</v>
      </c>
      <c r="F19748" s="1">
        <v>2846.0</v>
      </c>
      <c r="G19748" s="1">
        <v>41.0</v>
      </c>
    </row>
    <row r="19749">
      <c r="A19749" s="1" t="s">
        <v>7</v>
      </c>
      <c r="B19749" s="2">
        <v>44796.0</v>
      </c>
      <c r="C19749" s="3">
        <v>0.29020833333333335</v>
      </c>
      <c r="D19749" s="1">
        <v>12.46935</v>
      </c>
      <c r="E19749" s="1">
        <v>79.852562</v>
      </c>
      <c r="F19749" s="1">
        <v>2846.0</v>
      </c>
      <c r="G19749" s="1">
        <v>55.0</v>
      </c>
    </row>
    <row r="19750">
      <c r="A19750" s="1" t="s">
        <v>7</v>
      </c>
      <c r="B19750" s="2">
        <v>44796.0</v>
      </c>
      <c r="C19750" s="3">
        <v>0.2903587962962963</v>
      </c>
      <c r="D19750" s="1">
        <v>12.46935</v>
      </c>
      <c r="E19750" s="1">
        <v>79.852562</v>
      </c>
      <c r="F19750" s="1">
        <v>2846.0</v>
      </c>
      <c r="G19750" s="1">
        <v>55.0</v>
      </c>
    </row>
    <row r="19751">
      <c r="A19751" s="1" t="s">
        <v>8</v>
      </c>
      <c r="B19751" s="2">
        <v>44796.0</v>
      </c>
      <c r="C19751" s="3">
        <v>0.29128472222222224</v>
      </c>
      <c r="D19751" s="1">
        <v>12.481637</v>
      </c>
      <c r="E19751" s="1">
        <v>79.860915</v>
      </c>
      <c r="F19751" s="1">
        <v>2846.0</v>
      </c>
      <c r="G19751" s="1">
        <v>55.0</v>
      </c>
    </row>
    <row r="19752">
      <c r="A19752" s="1" t="s">
        <v>7</v>
      </c>
      <c r="B19752" s="2">
        <v>44796.0</v>
      </c>
      <c r="C19752" s="3">
        <v>0.29150462962962964</v>
      </c>
      <c r="D19752" s="1">
        <v>12.48601</v>
      </c>
      <c r="E19752" s="1">
        <v>79.864092</v>
      </c>
      <c r="F19752" s="1">
        <v>2846.0</v>
      </c>
      <c r="G19752" s="1">
        <v>50.0</v>
      </c>
    </row>
    <row r="19753">
      <c r="A19753" s="1" t="s">
        <v>7</v>
      </c>
      <c r="B19753" s="2">
        <v>44796.0</v>
      </c>
      <c r="C19753" s="3">
        <v>0.29239583333333335</v>
      </c>
      <c r="D19753" s="1">
        <v>12.49269</v>
      </c>
      <c r="E19753" s="1">
        <v>79.86904</v>
      </c>
      <c r="F19753" s="1">
        <v>2846.0</v>
      </c>
      <c r="G19753" s="1">
        <v>57.0</v>
      </c>
    </row>
    <row r="19754">
      <c r="A19754" s="1" t="s">
        <v>7</v>
      </c>
      <c r="B19754" s="2">
        <v>44796.0</v>
      </c>
      <c r="C19754" s="3">
        <v>0.2942361111111111</v>
      </c>
      <c r="D19754" s="1">
        <v>12.50927</v>
      </c>
      <c r="E19754" s="1">
        <v>79.882278</v>
      </c>
      <c r="F19754" s="1">
        <v>2846.0</v>
      </c>
      <c r="G19754" s="1">
        <v>53.0</v>
      </c>
    </row>
    <row r="19755">
      <c r="A19755" s="1" t="s">
        <v>7</v>
      </c>
      <c r="B19755" s="2">
        <v>44796.0</v>
      </c>
      <c r="C19755" s="3">
        <v>0.29466435185185186</v>
      </c>
      <c r="D19755" s="1">
        <v>12.515081</v>
      </c>
      <c r="E19755" s="1">
        <v>79.885869</v>
      </c>
      <c r="F19755" s="1">
        <v>2846.0</v>
      </c>
      <c r="G19755" s="1">
        <v>60.0</v>
      </c>
    </row>
    <row r="19756">
      <c r="A19756" s="1" t="s">
        <v>8</v>
      </c>
      <c r="B19756" s="2">
        <v>44796.0</v>
      </c>
      <c r="C19756" s="3">
        <v>0.2957986111111111</v>
      </c>
      <c r="D19756" s="1">
        <v>12.512715</v>
      </c>
      <c r="E19756" s="1">
        <v>79.886506</v>
      </c>
      <c r="F19756" s="1">
        <v>2846.0</v>
      </c>
      <c r="G19756" s="1">
        <v>39.0</v>
      </c>
    </row>
    <row r="19757">
      <c r="A19757" s="1" t="s">
        <v>10</v>
      </c>
      <c r="B19757" s="2">
        <v>44796.0</v>
      </c>
      <c r="C19757" s="3">
        <v>0.29834490740740743</v>
      </c>
      <c r="D19757" s="1">
        <v>12.508877</v>
      </c>
      <c r="E19757" s="1">
        <v>79.886583</v>
      </c>
      <c r="F19757" s="1">
        <v>2846.0</v>
      </c>
      <c r="G19757" s="1">
        <v>27.0</v>
      </c>
    </row>
    <row r="19758">
      <c r="A19758" s="1" t="s">
        <v>8</v>
      </c>
      <c r="B19758" s="2">
        <v>44796.0</v>
      </c>
      <c r="C19758" s="3">
        <v>0.2994560185185185</v>
      </c>
      <c r="D19758" s="1">
        <v>12.511431</v>
      </c>
      <c r="E19758" s="1">
        <v>79.885344</v>
      </c>
      <c r="F19758" s="1">
        <v>2846.0</v>
      </c>
      <c r="G19758" s="1">
        <v>21.0</v>
      </c>
    </row>
    <row r="19759">
      <c r="A19759" s="1" t="s">
        <v>7</v>
      </c>
      <c r="B19759" s="2">
        <v>44796.0</v>
      </c>
      <c r="C19759" s="3">
        <v>0.30015046296296294</v>
      </c>
      <c r="D19759" s="1">
        <v>12.515329</v>
      </c>
      <c r="E19759" s="1">
        <v>79.888587</v>
      </c>
      <c r="F19759" s="1">
        <v>2846.0</v>
      </c>
      <c r="G19759" s="1">
        <v>44.0</v>
      </c>
    </row>
    <row r="19760">
      <c r="A19760" s="1" t="s">
        <v>7</v>
      </c>
      <c r="B19760" s="2">
        <v>44796.0</v>
      </c>
      <c r="C19760" s="3">
        <v>0.30037037037037034</v>
      </c>
      <c r="D19760" s="1">
        <v>12.518003</v>
      </c>
      <c r="E19760" s="1">
        <v>79.891404</v>
      </c>
      <c r="F19760" s="1">
        <v>2846.0</v>
      </c>
      <c r="G19760" s="1">
        <v>51.0</v>
      </c>
    </row>
    <row r="19761">
      <c r="A19761" s="1" t="s">
        <v>10</v>
      </c>
      <c r="B19761" s="2">
        <v>44796.0</v>
      </c>
      <c r="C19761" s="3">
        <v>0.3005324074074074</v>
      </c>
      <c r="D19761" s="1">
        <v>13.07127</v>
      </c>
      <c r="E19761" s="1">
        <v>80.25874</v>
      </c>
      <c r="F19761" s="1">
        <v>5339.0</v>
      </c>
      <c r="G19761" s="1">
        <v>46.0</v>
      </c>
    </row>
    <row r="19762">
      <c r="A19762" s="1" t="s">
        <v>7</v>
      </c>
      <c r="B19762" s="2">
        <v>44796.0</v>
      </c>
      <c r="C19762" s="3">
        <v>0.3008449074074074</v>
      </c>
      <c r="D19762" s="1">
        <v>12.521897</v>
      </c>
      <c r="E19762" s="1">
        <v>79.895254</v>
      </c>
      <c r="F19762" s="1">
        <v>2846.0</v>
      </c>
      <c r="G19762" s="1">
        <v>58.0</v>
      </c>
    </row>
    <row r="19763">
      <c r="A19763" s="1" t="s">
        <v>7</v>
      </c>
      <c r="B19763" s="2">
        <v>44796.0</v>
      </c>
      <c r="C19763" s="3">
        <v>0.301099537037037</v>
      </c>
      <c r="D19763" s="1">
        <v>12.521897</v>
      </c>
      <c r="E19763" s="1">
        <v>79.895254</v>
      </c>
      <c r="F19763" s="1">
        <v>2846.0</v>
      </c>
      <c r="G19763" s="1">
        <v>58.0</v>
      </c>
    </row>
    <row r="19764">
      <c r="A19764" s="1" t="s">
        <v>10</v>
      </c>
      <c r="B19764" s="2">
        <v>44796.0</v>
      </c>
      <c r="C19764" s="3">
        <v>0.30615740740740743</v>
      </c>
      <c r="D19764" s="1">
        <v>13.064982</v>
      </c>
      <c r="E19764" s="1">
        <v>80.273876</v>
      </c>
      <c r="F19764" s="1">
        <v>5339.0</v>
      </c>
      <c r="G19764" s="1">
        <v>20.0</v>
      </c>
    </row>
    <row r="19765">
      <c r="A19765" s="1" t="s">
        <v>10</v>
      </c>
      <c r="B19765" s="2">
        <v>44796.0</v>
      </c>
      <c r="C19765" s="3">
        <v>0.30746527777777777</v>
      </c>
      <c r="D19765" s="1">
        <v>13.060721</v>
      </c>
      <c r="E19765" s="1">
        <v>80.274381</v>
      </c>
      <c r="F19765" s="1">
        <v>5339.0</v>
      </c>
      <c r="G19765" s="1">
        <v>10.0</v>
      </c>
    </row>
    <row r="19766">
      <c r="A19766" s="1" t="s">
        <v>8</v>
      </c>
      <c r="B19766" s="2">
        <v>44796.0</v>
      </c>
      <c r="C19766" s="3">
        <v>0.3133564814814815</v>
      </c>
      <c r="D19766" s="1">
        <v>13.054339</v>
      </c>
      <c r="E19766" s="1">
        <v>80.258779</v>
      </c>
      <c r="F19766" s="1">
        <v>5339.0</v>
      </c>
      <c r="G19766" s="1">
        <v>28.0</v>
      </c>
    </row>
    <row r="19767">
      <c r="A19767" s="1" t="s">
        <v>8</v>
      </c>
      <c r="B19767" s="2">
        <v>44796.0</v>
      </c>
      <c r="C19767" s="3">
        <v>0.3133564814814815</v>
      </c>
      <c r="D19767" s="1">
        <v>13.054339</v>
      </c>
      <c r="E19767" s="1">
        <v>80.258779</v>
      </c>
      <c r="F19767" s="1">
        <v>5339.0</v>
      </c>
      <c r="G19767" s="1">
        <v>28.0</v>
      </c>
    </row>
    <row r="19768">
      <c r="A19768" s="1" t="s">
        <v>8</v>
      </c>
      <c r="B19768" s="2">
        <v>44796.0</v>
      </c>
      <c r="C19768" s="3">
        <v>0.3148148148148148</v>
      </c>
      <c r="D19768" s="1">
        <v>13.049184</v>
      </c>
      <c r="E19768" s="1">
        <v>80.249764</v>
      </c>
      <c r="F19768" s="1">
        <v>5339.0</v>
      </c>
      <c r="G19768" s="1">
        <v>40.0</v>
      </c>
    </row>
    <row r="19769">
      <c r="A19769" s="1" t="s">
        <v>8</v>
      </c>
      <c r="B19769" s="2">
        <v>44796.0</v>
      </c>
      <c r="C19769" s="3">
        <v>0.31493055555555555</v>
      </c>
      <c r="D19769" s="1">
        <v>13.04828</v>
      </c>
      <c r="E19769" s="1">
        <v>80.249524</v>
      </c>
      <c r="F19769" s="1">
        <v>5339.0</v>
      </c>
      <c r="G19769" s="1">
        <v>36.0</v>
      </c>
    </row>
    <row r="19770">
      <c r="A19770" s="1" t="s">
        <v>8</v>
      </c>
      <c r="B19770" s="2">
        <v>44796.0</v>
      </c>
      <c r="C19770" s="3">
        <v>0.3154282407407407</v>
      </c>
      <c r="D19770" s="1">
        <v>13.045466</v>
      </c>
      <c r="E19770" s="1">
        <v>80.248195</v>
      </c>
      <c r="F19770" s="1">
        <v>5339.0</v>
      </c>
      <c r="G19770" s="1">
        <v>20.0</v>
      </c>
    </row>
    <row r="19771">
      <c r="A19771" s="1" t="s">
        <v>8</v>
      </c>
      <c r="B19771" s="2">
        <v>44796.0</v>
      </c>
      <c r="C19771" s="3">
        <v>0.3154282407407407</v>
      </c>
      <c r="D19771" s="1">
        <v>13.045466</v>
      </c>
      <c r="E19771" s="1">
        <v>80.248195</v>
      </c>
      <c r="F19771" s="1">
        <v>5339.0</v>
      </c>
      <c r="G19771" s="1">
        <v>20.0</v>
      </c>
    </row>
    <row r="19772">
      <c r="A19772" s="1" t="s">
        <v>8</v>
      </c>
      <c r="B19772" s="2">
        <v>44796.0</v>
      </c>
      <c r="C19772" s="3">
        <v>0.3158564814814815</v>
      </c>
      <c r="D19772" s="1">
        <v>13.042253</v>
      </c>
      <c r="E19772" s="1">
        <v>80.247577</v>
      </c>
      <c r="F19772" s="1">
        <v>5339.0</v>
      </c>
      <c r="G19772" s="1">
        <v>36.0</v>
      </c>
    </row>
    <row r="19773">
      <c r="A19773" s="1" t="s">
        <v>8</v>
      </c>
      <c r="B19773" s="2">
        <v>44796.0</v>
      </c>
      <c r="C19773" s="3">
        <v>0.31703703703703706</v>
      </c>
      <c r="D19773" s="1">
        <v>13.038855</v>
      </c>
      <c r="E19773" s="1">
        <v>80.246938</v>
      </c>
      <c r="F19773" s="1">
        <v>5339.0</v>
      </c>
      <c r="G19773" s="1">
        <v>26.0</v>
      </c>
    </row>
    <row r="19774">
      <c r="A19774" s="1" t="s">
        <v>8</v>
      </c>
      <c r="B19774" s="2">
        <v>44796.0</v>
      </c>
      <c r="C19774" s="3">
        <v>0.3171875</v>
      </c>
      <c r="D19774" s="1">
        <v>13.038076</v>
      </c>
      <c r="E19774" s="1">
        <v>80.246744</v>
      </c>
      <c r="F19774" s="1">
        <v>5339.0</v>
      </c>
      <c r="G19774" s="1">
        <v>33.0</v>
      </c>
    </row>
    <row r="19775">
      <c r="A19775" s="1" t="s">
        <v>10</v>
      </c>
      <c r="B19775" s="2">
        <v>44796.0</v>
      </c>
      <c r="C19775" s="3">
        <v>0.31805555555555554</v>
      </c>
      <c r="D19775" s="1">
        <v>13.035122</v>
      </c>
      <c r="E19775" s="1">
        <v>80.246058</v>
      </c>
      <c r="F19775" s="1">
        <v>5339.0</v>
      </c>
      <c r="G19775" s="1">
        <v>21.0</v>
      </c>
    </row>
    <row r="19776">
      <c r="A19776" s="1" t="s">
        <v>8</v>
      </c>
      <c r="B19776" s="2">
        <v>44796.0</v>
      </c>
      <c r="C19776" s="3">
        <v>0.31836805555555553</v>
      </c>
      <c r="D19776" s="1">
        <v>13.033528</v>
      </c>
      <c r="E19776" s="1">
        <v>80.244104</v>
      </c>
      <c r="F19776" s="1">
        <v>5339.0</v>
      </c>
      <c r="G19776" s="1">
        <v>32.0</v>
      </c>
    </row>
    <row r="19777">
      <c r="A19777" s="1" t="s">
        <v>8</v>
      </c>
      <c r="B19777" s="2">
        <v>44796.0</v>
      </c>
      <c r="C19777" s="3">
        <v>0.3183796296296296</v>
      </c>
      <c r="D19777" s="1">
        <v>13.033528</v>
      </c>
      <c r="E19777" s="1">
        <v>80.244104</v>
      </c>
      <c r="F19777" s="1">
        <v>5339.0</v>
      </c>
      <c r="G19777" s="1">
        <v>32.0</v>
      </c>
    </row>
    <row r="19778">
      <c r="A19778" s="1" t="s">
        <v>8</v>
      </c>
      <c r="B19778" s="2">
        <v>44796.0</v>
      </c>
      <c r="C19778" s="3">
        <v>0.3204976851851852</v>
      </c>
      <c r="D19778" s="1">
        <v>13.030907</v>
      </c>
      <c r="E19778" s="1">
        <v>80.2396</v>
      </c>
      <c r="F19778" s="1">
        <v>5339.0</v>
      </c>
      <c r="G19778" s="1">
        <v>27.0</v>
      </c>
    </row>
    <row r="19779">
      <c r="A19779" s="1" t="s">
        <v>8</v>
      </c>
      <c r="B19779" s="2">
        <v>44796.0</v>
      </c>
      <c r="C19779" s="3">
        <v>0.3205208333333333</v>
      </c>
      <c r="D19779" s="1">
        <v>13.030907</v>
      </c>
      <c r="E19779" s="1">
        <v>80.2396</v>
      </c>
      <c r="F19779" s="1">
        <v>5339.0</v>
      </c>
      <c r="G19779" s="1">
        <v>27.0</v>
      </c>
    </row>
    <row r="19780">
      <c r="A19780" s="1" t="s">
        <v>8</v>
      </c>
      <c r="B19780" s="2">
        <v>44796.0</v>
      </c>
      <c r="C19780" s="3">
        <v>0.3206365740740741</v>
      </c>
      <c r="D19780" s="1">
        <v>13.030461</v>
      </c>
      <c r="E19780" s="1">
        <v>80.238759</v>
      </c>
      <c r="F19780" s="1">
        <v>5339.0</v>
      </c>
      <c r="G19780" s="1">
        <v>43.0</v>
      </c>
    </row>
    <row r="19781">
      <c r="A19781" s="1" t="s">
        <v>8</v>
      </c>
      <c r="B19781" s="2">
        <v>44796.0</v>
      </c>
      <c r="C19781" s="3">
        <v>0.32100694444444444</v>
      </c>
      <c r="D19781" s="1">
        <v>13.028334</v>
      </c>
      <c r="E19781" s="1">
        <v>80.235847</v>
      </c>
      <c r="F19781" s="1">
        <v>5339.0</v>
      </c>
      <c r="G19781" s="1">
        <v>50.0</v>
      </c>
    </row>
    <row r="19782">
      <c r="A19782" s="1" t="s">
        <v>8</v>
      </c>
      <c r="B19782" s="2">
        <v>44796.0</v>
      </c>
      <c r="C19782" s="3">
        <v>0.3212037037037037</v>
      </c>
      <c r="D19782" s="1">
        <v>13.026986</v>
      </c>
      <c r="E19782" s="1">
        <v>80.233766</v>
      </c>
      <c r="F19782" s="1">
        <v>5339.0</v>
      </c>
      <c r="G19782" s="1">
        <v>45.0</v>
      </c>
    </row>
    <row r="19783">
      <c r="A19783" s="1" t="s">
        <v>8</v>
      </c>
      <c r="B19783" s="2">
        <v>44796.0</v>
      </c>
      <c r="C19783" s="3">
        <v>0.3212962962962963</v>
      </c>
      <c r="D19783" s="1">
        <v>13.026399</v>
      </c>
      <c r="E19783" s="1">
        <v>80.232711</v>
      </c>
      <c r="F19783" s="1">
        <v>5339.0</v>
      </c>
      <c r="G19783" s="1">
        <v>47.0</v>
      </c>
    </row>
    <row r="19784">
      <c r="A19784" s="1" t="s">
        <v>7</v>
      </c>
      <c r="B19784" s="2">
        <v>44796.0</v>
      </c>
      <c r="C19784" s="3">
        <v>0.3215162037037037</v>
      </c>
      <c r="D19784" s="1">
        <v>13.025702</v>
      </c>
      <c r="E19784" s="1">
        <v>80.230426</v>
      </c>
      <c r="F19784" s="1">
        <v>5339.0</v>
      </c>
      <c r="G19784" s="1">
        <v>52.0</v>
      </c>
    </row>
    <row r="19785">
      <c r="A19785" s="1" t="s">
        <v>8</v>
      </c>
      <c r="B19785" s="2">
        <v>44796.0</v>
      </c>
      <c r="C19785" s="3">
        <v>0.3216550925925926</v>
      </c>
      <c r="D19785" s="1">
        <v>13.024953</v>
      </c>
      <c r="E19785" s="1">
        <v>80.229403</v>
      </c>
      <c r="F19785" s="1">
        <v>5339.0</v>
      </c>
      <c r="G19785" s="1">
        <v>48.0</v>
      </c>
    </row>
    <row r="19786">
      <c r="A19786" s="1" t="s">
        <v>8</v>
      </c>
      <c r="B19786" s="2">
        <v>44796.0</v>
      </c>
      <c r="C19786" s="3">
        <v>0.3231365740740741</v>
      </c>
      <c r="D19786" s="1">
        <v>13.013518</v>
      </c>
      <c r="E19786" s="1">
        <v>80.226574</v>
      </c>
      <c r="F19786" s="1">
        <v>5339.0</v>
      </c>
      <c r="G19786" s="1">
        <v>47.0</v>
      </c>
    </row>
    <row r="19787">
      <c r="A19787" s="1" t="s">
        <v>8</v>
      </c>
      <c r="B19787" s="2">
        <v>44796.0</v>
      </c>
      <c r="C19787" s="3">
        <v>0.32430555555555557</v>
      </c>
      <c r="D19787" s="1">
        <v>13.011754</v>
      </c>
      <c r="E19787" s="1">
        <v>80.222376</v>
      </c>
      <c r="F19787" s="1">
        <v>5339.0</v>
      </c>
      <c r="G19787" s="1">
        <v>36.0</v>
      </c>
    </row>
    <row r="19788">
      <c r="A19788" s="1" t="s">
        <v>8</v>
      </c>
      <c r="B19788" s="2">
        <v>44796.0</v>
      </c>
      <c r="C19788" s="3">
        <v>0.3251273148148148</v>
      </c>
      <c r="D19788" s="1">
        <v>12.535272</v>
      </c>
      <c r="E19788" s="1">
        <v>79.90192</v>
      </c>
      <c r="F19788" s="1">
        <v>2846.0</v>
      </c>
      <c r="G19788" s="1">
        <v>43.0</v>
      </c>
    </row>
    <row r="19789">
      <c r="A19789" s="1" t="s">
        <v>8</v>
      </c>
      <c r="B19789" s="2">
        <v>44796.0</v>
      </c>
      <c r="C19789" s="3">
        <v>0.3259722222222222</v>
      </c>
      <c r="D19789" s="1">
        <v>13.008356</v>
      </c>
      <c r="E19789" s="1">
        <v>80.210154</v>
      </c>
      <c r="F19789" s="1">
        <v>5339.0</v>
      </c>
      <c r="G19789" s="1">
        <v>39.0</v>
      </c>
    </row>
    <row r="19790">
      <c r="A19790" s="1" t="s">
        <v>8</v>
      </c>
      <c r="B19790" s="2">
        <v>44796.0</v>
      </c>
      <c r="C19790" s="3">
        <v>0.3261574074074074</v>
      </c>
      <c r="D19790" s="1">
        <v>13.007975</v>
      </c>
      <c r="E19790" s="1">
        <v>80.208581</v>
      </c>
      <c r="F19790" s="1">
        <v>5339.0</v>
      </c>
      <c r="G19790" s="1">
        <v>24.0</v>
      </c>
    </row>
    <row r="19791">
      <c r="A19791" s="1" t="s">
        <v>8</v>
      </c>
      <c r="B19791" s="2">
        <v>44796.0</v>
      </c>
      <c r="C19791" s="3">
        <v>0.32622685185185185</v>
      </c>
      <c r="D19791" s="1">
        <v>13.007975</v>
      </c>
      <c r="E19791" s="1">
        <v>80.208581</v>
      </c>
      <c r="F19791" s="1">
        <v>5339.0</v>
      </c>
      <c r="G19791" s="1">
        <v>24.0</v>
      </c>
    </row>
    <row r="19792">
      <c r="A19792" s="1" t="s">
        <v>8</v>
      </c>
      <c r="B19792" s="2">
        <v>44796.0</v>
      </c>
      <c r="C19792" s="3">
        <v>0.32631944444444444</v>
      </c>
      <c r="D19792" s="1">
        <v>13.007855</v>
      </c>
      <c r="E19792" s="1">
        <v>80.207809</v>
      </c>
      <c r="F19792" s="1">
        <v>5339.0</v>
      </c>
      <c r="G19792" s="1">
        <v>32.0</v>
      </c>
    </row>
    <row r="19793">
      <c r="A19793" s="1" t="s">
        <v>8</v>
      </c>
      <c r="B19793" s="2">
        <v>44796.0</v>
      </c>
      <c r="C19793" s="3">
        <v>0.3282523148148148</v>
      </c>
      <c r="D19793" s="1">
        <v>12.545948</v>
      </c>
      <c r="E19793" s="1">
        <v>79.905288</v>
      </c>
      <c r="F19793" s="1">
        <v>2846.0</v>
      </c>
      <c r="G19793" s="1">
        <v>47.0</v>
      </c>
    </row>
    <row r="19794">
      <c r="A19794" s="1" t="s">
        <v>8</v>
      </c>
      <c r="B19794" s="2">
        <v>44796.0</v>
      </c>
      <c r="C19794" s="3">
        <v>0.32861111111111113</v>
      </c>
      <c r="D19794" s="1">
        <v>12.999008</v>
      </c>
      <c r="E19794" s="1">
        <v>80.192953</v>
      </c>
      <c r="F19794" s="1">
        <v>5339.0</v>
      </c>
      <c r="G19794" s="1">
        <v>40.0</v>
      </c>
    </row>
    <row r="19795">
      <c r="A19795" s="1" t="s">
        <v>7</v>
      </c>
      <c r="B19795" s="2">
        <v>44796.0</v>
      </c>
      <c r="C19795" s="3">
        <v>0.3287847222222222</v>
      </c>
      <c r="D19795" s="1">
        <v>12.552845</v>
      </c>
      <c r="E19795" s="1">
        <v>79.907249</v>
      </c>
      <c r="F19795" s="1">
        <v>2846.0</v>
      </c>
      <c r="G19795" s="1">
        <v>58.0</v>
      </c>
    </row>
    <row r="19796">
      <c r="A19796" s="1" t="s">
        <v>8</v>
      </c>
      <c r="B19796" s="2">
        <v>44796.0</v>
      </c>
      <c r="C19796" s="3">
        <v>0.3288773148148148</v>
      </c>
      <c r="D19796" s="1">
        <v>12.997644</v>
      </c>
      <c r="E19796" s="1">
        <v>80.191288</v>
      </c>
      <c r="F19796" s="1">
        <v>5339.0</v>
      </c>
      <c r="G19796" s="1">
        <v>48.0</v>
      </c>
    </row>
    <row r="19797">
      <c r="A19797" s="1" t="s">
        <v>7</v>
      </c>
      <c r="B19797" s="2">
        <v>44796.0</v>
      </c>
      <c r="C19797" s="3">
        <v>0.329537037037037</v>
      </c>
      <c r="D19797" s="1">
        <v>12.560558</v>
      </c>
      <c r="E19797" s="1">
        <v>79.911497</v>
      </c>
      <c r="F19797" s="1">
        <v>2846.0</v>
      </c>
      <c r="G19797" s="1">
        <v>58.0</v>
      </c>
    </row>
    <row r="19798">
      <c r="A19798" s="1" t="s">
        <v>7</v>
      </c>
      <c r="B19798" s="2">
        <v>44796.0</v>
      </c>
      <c r="C19798" s="3">
        <v>0.3298611111111111</v>
      </c>
      <c r="D19798" s="1">
        <v>12.564372</v>
      </c>
      <c r="E19798" s="1">
        <v>79.91369</v>
      </c>
      <c r="F19798" s="1">
        <v>2846.0</v>
      </c>
      <c r="G19798" s="1">
        <v>57.0</v>
      </c>
    </row>
    <row r="19799">
      <c r="A19799" s="1" t="s">
        <v>8</v>
      </c>
      <c r="B19799" s="2">
        <v>44796.0</v>
      </c>
      <c r="C19799" s="3">
        <v>0.33002314814814815</v>
      </c>
      <c r="D19799" s="1">
        <v>12.565631</v>
      </c>
      <c r="E19799" s="1">
        <v>79.914358</v>
      </c>
      <c r="F19799" s="1">
        <v>2846.0</v>
      </c>
      <c r="G19799" s="1">
        <v>50.0</v>
      </c>
    </row>
    <row r="19800">
      <c r="A19800" s="1" t="s">
        <v>8</v>
      </c>
      <c r="B19800" s="2">
        <v>44796.0</v>
      </c>
      <c r="C19800" s="3">
        <v>0.33067129629629627</v>
      </c>
      <c r="D19800" s="1">
        <v>12.571661</v>
      </c>
      <c r="E19800" s="1">
        <v>79.916015</v>
      </c>
      <c r="F19800" s="1">
        <v>2846.0</v>
      </c>
      <c r="G19800" s="1">
        <v>39.0</v>
      </c>
    </row>
    <row r="19801">
      <c r="A19801" s="1" t="s">
        <v>8</v>
      </c>
      <c r="B19801" s="2">
        <v>44796.0</v>
      </c>
      <c r="C19801" s="3">
        <v>0.3309259259259259</v>
      </c>
      <c r="D19801" s="1">
        <v>12.571661</v>
      </c>
      <c r="E19801" s="1">
        <v>79.916015</v>
      </c>
      <c r="F19801" s="1">
        <v>2846.0</v>
      </c>
      <c r="G19801" s="1">
        <v>39.0</v>
      </c>
    </row>
    <row r="19802">
      <c r="A19802" s="1" t="s">
        <v>8</v>
      </c>
      <c r="B19802" s="2">
        <v>44796.0</v>
      </c>
      <c r="C19802" s="3">
        <v>0.3313773148148148</v>
      </c>
      <c r="D19802" s="1">
        <v>12.989004</v>
      </c>
      <c r="E19802" s="1">
        <v>80.178392</v>
      </c>
      <c r="F19802" s="1">
        <v>5339.0</v>
      </c>
      <c r="G19802" s="1">
        <v>32.0</v>
      </c>
    </row>
    <row r="19803">
      <c r="A19803" s="1" t="s">
        <v>7</v>
      </c>
      <c r="B19803" s="2">
        <v>44796.0</v>
      </c>
      <c r="C19803" s="3">
        <v>0.33143518518518517</v>
      </c>
      <c r="D19803" s="1">
        <v>12.573453</v>
      </c>
      <c r="E19803" s="1">
        <v>79.916449</v>
      </c>
      <c r="F19803" s="1">
        <v>2846.0</v>
      </c>
      <c r="G19803" s="1">
        <v>37.0</v>
      </c>
    </row>
    <row r="19804">
      <c r="A19804" s="1" t="s">
        <v>8</v>
      </c>
      <c r="B19804" s="2">
        <v>44796.0</v>
      </c>
      <c r="C19804" s="3">
        <v>0.3315162037037037</v>
      </c>
      <c r="D19804" s="1">
        <v>12.989004</v>
      </c>
      <c r="E19804" s="1">
        <v>80.178392</v>
      </c>
      <c r="F19804" s="1">
        <v>5339.0</v>
      </c>
      <c r="G19804" s="1">
        <v>32.0</v>
      </c>
    </row>
    <row r="19805">
      <c r="A19805" s="1" t="s">
        <v>7</v>
      </c>
      <c r="B19805" s="2">
        <v>44796.0</v>
      </c>
      <c r="C19805" s="3">
        <v>0.331712962962963</v>
      </c>
      <c r="D19805" s="1">
        <v>12.573453</v>
      </c>
      <c r="E19805" s="1">
        <v>79.916449</v>
      </c>
      <c r="F19805" s="1">
        <v>2846.0</v>
      </c>
      <c r="G19805" s="1">
        <v>37.0</v>
      </c>
    </row>
    <row r="19806">
      <c r="A19806" s="1" t="s">
        <v>8</v>
      </c>
      <c r="B19806" s="2">
        <v>44796.0</v>
      </c>
      <c r="C19806" s="3">
        <v>0.3320486111111111</v>
      </c>
      <c r="D19806" s="1">
        <v>12.98674</v>
      </c>
      <c r="E19806" s="1">
        <v>80.175228</v>
      </c>
      <c r="F19806" s="1">
        <v>5339.0</v>
      </c>
      <c r="G19806" s="1">
        <v>26.0</v>
      </c>
    </row>
    <row r="19807">
      <c r="A19807" s="1" t="s">
        <v>8</v>
      </c>
      <c r="B19807" s="2">
        <v>44796.0</v>
      </c>
      <c r="C19807" s="3">
        <v>0.3320486111111111</v>
      </c>
      <c r="D19807" s="1">
        <v>12.98674</v>
      </c>
      <c r="E19807" s="1">
        <v>80.175228</v>
      </c>
      <c r="F19807" s="1">
        <v>5339.0</v>
      </c>
      <c r="G19807" s="1">
        <v>26.0</v>
      </c>
    </row>
    <row r="19808">
      <c r="A19808" s="1" t="s">
        <v>8</v>
      </c>
      <c r="B19808" s="2">
        <v>44796.0</v>
      </c>
      <c r="C19808" s="3">
        <v>0.3320601851851852</v>
      </c>
      <c r="D19808" s="1">
        <v>12.98674</v>
      </c>
      <c r="E19808" s="1">
        <v>80.175228</v>
      </c>
      <c r="F19808" s="1">
        <v>5339.0</v>
      </c>
      <c r="G19808" s="1">
        <v>26.0</v>
      </c>
    </row>
    <row r="19809">
      <c r="A19809" s="1" t="s">
        <v>8</v>
      </c>
      <c r="B19809" s="2">
        <v>44796.0</v>
      </c>
      <c r="C19809" s="3">
        <v>0.3320601851851852</v>
      </c>
      <c r="D19809" s="1">
        <v>12.98674</v>
      </c>
      <c r="E19809" s="1">
        <v>80.175228</v>
      </c>
      <c r="F19809" s="1">
        <v>5339.0</v>
      </c>
      <c r="G19809" s="1">
        <v>26.0</v>
      </c>
    </row>
    <row r="19810">
      <c r="A19810" s="1" t="s">
        <v>8</v>
      </c>
      <c r="B19810" s="2">
        <v>44796.0</v>
      </c>
      <c r="C19810" s="3">
        <v>0.33269675925925923</v>
      </c>
      <c r="D19810" s="1">
        <v>12.984268</v>
      </c>
      <c r="E19810" s="1">
        <v>80.171485</v>
      </c>
      <c r="F19810" s="1">
        <v>5339.0</v>
      </c>
      <c r="G19810" s="1">
        <v>40.0</v>
      </c>
    </row>
    <row r="19811">
      <c r="A19811" s="1" t="s">
        <v>8</v>
      </c>
      <c r="B19811" s="2">
        <v>44796.0</v>
      </c>
      <c r="C19811" s="3">
        <v>0.3328125</v>
      </c>
      <c r="D19811" s="1">
        <v>12.592091</v>
      </c>
      <c r="E19811" s="1">
        <v>79.919157</v>
      </c>
      <c r="F19811" s="1">
        <v>2846.0</v>
      </c>
      <c r="G19811" s="1">
        <v>41.0</v>
      </c>
    </row>
    <row r="19812">
      <c r="A19812" s="1" t="s">
        <v>7</v>
      </c>
      <c r="B19812" s="2">
        <v>44796.0</v>
      </c>
      <c r="C19812" s="3">
        <v>0.3329050925925926</v>
      </c>
      <c r="D19812" s="1">
        <v>12.592091</v>
      </c>
      <c r="E19812" s="1">
        <v>79.919157</v>
      </c>
      <c r="F19812" s="1">
        <v>2846.0</v>
      </c>
      <c r="G19812" s="1">
        <v>41.0</v>
      </c>
    </row>
    <row r="19813">
      <c r="A19813" s="1" t="s">
        <v>8</v>
      </c>
      <c r="B19813" s="2">
        <v>44796.0</v>
      </c>
      <c r="C19813" s="3">
        <v>0.3330208333333333</v>
      </c>
      <c r="D19813" s="1">
        <v>12.982534</v>
      </c>
      <c r="E19813" s="1">
        <v>80.168631</v>
      </c>
      <c r="F19813" s="1">
        <v>5339.0</v>
      </c>
      <c r="G19813" s="1">
        <v>49.0</v>
      </c>
    </row>
    <row r="19814">
      <c r="A19814" s="1" t="s">
        <v>7</v>
      </c>
      <c r="B19814" s="2">
        <v>44796.0</v>
      </c>
      <c r="C19814" s="3">
        <v>0.33317129629629627</v>
      </c>
      <c r="D19814" s="1">
        <v>12.597183</v>
      </c>
      <c r="E19814" s="1">
        <v>79.919531</v>
      </c>
      <c r="F19814" s="1">
        <v>2846.0</v>
      </c>
      <c r="G19814" s="1">
        <v>57.0</v>
      </c>
    </row>
    <row r="19815">
      <c r="A19815" s="1" t="s">
        <v>7</v>
      </c>
      <c r="B19815" s="2">
        <v>44796.0</v>
      </c>
      <c r="C19815" s="3">
        <v>0.3333333333333333</v>
      </c>
      <c r="D19815" s="1">
        <v>12.980768</v>
      </c>
      <c r="E19815" s="1">
        <v>80.165603</v>
      </c>
      <c r="F19815" s="1">
        <v>5339.0</v>
      </c>
      <c r="G19815" s="1">
        <v>51.0</v>
      </c>
    </row>
    <row r="19816">
      <c r="A19816" s="1" t="s">
        <v>7</v>
      </c>
      <c r="B19816" s="2">
        <v>44796.0</v>
      </c>
      <c r="C19816" s="3">
        <v>0.3335648148148148</v>
      </c>
      <c r="D19816" s="1">
        <v>12.980768</v>
      </c>
      <c r="E19816" s="1">
        <v>80.165603</v>
      </c>
      <c r="F19816" s="1">
        <v>5339.0</v>
      </c>
      <c r="G19816" s="1">
        <v>51.0</v>
      </c>
    </row>
    <row r="19817">
      <c r="A19817" s="1" t="s">
        <v>8</v>
      </c>
      <c r="B19817" s="2">
        <v>44796.0</v>
      </c>
      <c r="C19817" s="3">
        <v>0.3336458333333333</v>
      </c>
      <c r="D19817" s="1">
        <v>12.602162</v>
      </c>
      <c r="E19817" s="1">
        <v>79.920041</v>
      </c>
      <c r="F19817" s="1">
        <v>2846.0</v>
      </c>
      <c r="G19817" s="1">
        <v>23.0</v>
      </c>
    </row>
    <row r="19818">
      <c r="A19818" s="1" t="s">
        <v>8</v>
      </c>
      <c r="B19818" s="2">
        <v>44796.0</v>
      </c>
      <c r="C19818" s="3">
        <v>0.3336574074074074</v>
      </c>
      <c r="D19818" s="1">
        <v>12.979181</v>
      </c>
      <c r="E19818" s="1">
        <v>80.161772</v>
      </c>
      <c r="F19818" s="1">
        <v>5339.0</v>
      </c>
      <c r="G19818" s="1">
        <v>52.0</v>
      </c>
    </row>
    <row r="19819">
      <c r="A19819" s="1" t="s">
        <v>8</v>
      </c>
      <c r="B19819" s="2">
        <v>44796.0</v>
      </c>
      <c r="C19819" s="3">
        <v>0.33386574074074077</v>
      </c>
      <c r="D19819" s="1">
        <v>12.602162</v>
      </c>
      <c r="E19819" s="1">
        <v>79.920041</v>
      </c>
      <c r="F19819" s="1">
        <v>2846.0</v>
      </c>
      <c r="G19819" s="1">
        <v>23.0</v>
      </c>
    </row>
    <row r="19820">
      <c r="A19820" s="1" t="s">
        <v>8</v>
      </c>
      <c r="B19820" s="2">
        <v>44796.0</v>
      </c>
      <c r="C19820" s="3">
        <v>0.33395833333333336</v>
      </c>
      <c r="D19820" s="1">
        <v>12.977731</v>
      </c>
      <c r="E19820" s="1">
        <v>80.159692</v>
      </c>
      <c r="F19820" s="1">
        <v>5339.0</v>
      </c>
      <c r="G19820" s="1">
        <v>48.0</v>
      </c>
    </row>
    <row r="19821">
      <c r="A19821" s="1" t="s">
        <v>8</v>
      </c>
      <c r="B19821" s="2">
        <v>44796.0</v>
      </c>
      <c r="C19821" s="3">
        <v>0.3341087962962963</v>
      </c>
      <c r="D19821" s="1">
        <v>12.977078</v>
      </c>
      <c r="E19821" s="1">
        <v>80.15873</v>
      </c>
      <c r="F19821" s="1">
        <v>5339.0</v>
      </c>
      <c r="G19821" s="1">
        <v>40.0</v>
      </c>
    </row>
    <row r="19822">
      <c r="A19822" s="1" t="s">
        <v>9</v>
      </c>
      <c r="B19822" s="2">
        <v>44796.0</v>
      </c>
      <c r="C19822" s="3">
        <v>0.3342824074074074</v>
      </c>
      <c r="D19822" s="1">
        <v>12.605357</v>
      </c>
      <c r="E19822" s="1">
        <v>79.920616</v>
      </c>
      <c r="F19822" s="1">
        <v>2846.0</v>
      </c>
      <c r="G19822" s="1">
        <v>16.0</v>
      </c>
    </row>
    <row r="19823">
      <c r="A19823" s="1" t="s">
        <v>7</v>
      </c>
      <c r="B19823" s="2">
        <v>44796.0</v>
      </c>
      <c r="C19823" s="3">
        <v>0.3347337962962963</v>
      </c>
      <c r="D19823" s="1">
        <v>12.608508</v>
      </c>
      <c r="E19823" s="1">
        <v>79.921715</v>
      </c>
      <c r="F19823" s="1">
        <v>2846.0</v>
      </c>
      <c r="G19823" s="1">
        <v>54.0</v>
      </c>
    </row>
    <row r="19824">
      <c r="A19824" s="1" t="s">
        <v>7</v>
      </c>
      <c r="B19824" s="2">
        <v>44796.0</v>
      </c>
      <c r="C19824" s="3">
        <v>0.33490740740740743</v>
      </c>
      <c r="D19824" s="1">
        <v>12.610918</v>
      </c>
      <c r="E19824" s="1">
        <v>79.923126</v>
      </c>
      <c r="F19824" s="1">
        <v>2846.0</v>
      </c>
      <c r="G19824" s="1">
        <v>56.0</v>
      </c>
    </row>
    <row r="19825">
      <c r="A19825" s="1" t="s">
        <v>8</v>
      </c>
      <c r="B19825" s="2">
        <v>44796.0</v>
      </c>
      <c r="C19825" s="3">
        <v>0.3349652777777778</v>
      </c>
      <c r="D19825" s="1">
        <v>12.972768</v>
      </c>
      <c r="E19825" s="1">
        <v>80.152358</v>
      </c>
      <c r="F19825" s="1">
        <v>5339.0</v>
      </c>
      <c r="G19825" s="1">
        <v>49.0</v>
      </c>
    </row>
    <row r="19826">
      <c r="A19826" s="1" t="s">
        <v>8</v>
      </c>
      <c r="B19826" s="2">
        <v>44796.0</v>
      </c>
      <c r="C19826" s="3">
        <v>0.3349884259259259</v>
      </c>
      <c r="D19826" s="1">
        <v>12.972768</v>
      </c>
      <c r="E19826" s="1">
        <v>80.152358</v>
      </c>
      <c r="F19826" s="1">
        <v>5339.0</v>
      </c>
      <c r="G19826" s="1">
        <v>49.0</v>
      </c>
    </row>
    <row r="19827">
      <c r="A19827" s="1" t="s">
        <v>7</v>
      </c>
      <c r="B19827" s="2">
        <v>44796.0</v>
      </c>
      <c r="C19827" s="3">
        <v>0.33546296296296296</v>
      </c>
      <c r="D19827" s="1">
        <v>12.617437</v>
      </c>
      <c r="E19827" s="1">
        <v>79.926392</v>
      </c>
      <c r="F19827" s="1">
        <v>2846.0</v>
      </c>
      <c r="G19827" s="1">
        <v>57.0</v>
      </c>
    </row>
    <row r="19828">
      <c r="A19828" s="1" t="s">
        <v>7</v>
      </c>
      <c r="B19828" s="2">
        <v>44796.0</v>
      </c>
      <c r="C19828" s="3">
        <v>0.33630787037037035</v>
      </c>
      <c r="D19828" s="1">
        <v>12.62431</v>
      </c>
      <c r="E19828" s="1">
        <v>79.928632</v>
      </c>
      <c r="F19828" s="1">
        <v>2846.0</v>
      </c>
      <c r="G19828" s="1">
        <v>58.0</v>
      </c>
    </row>
    <row r="19829">
      <c r="A19829" s="1" t="s">
        <v>8</v>
      </c>
      <c r="B19829" s="2">
        <v>44796.0</v>
      </c>
      <c r="C19829" s="3">
        <v>0.33663194444444444</v>
      </c>
      <c r="D19829" s="1">
        <v>12.966259</v>
      </c>
      <c r="E19829" s="1">
        <v>80.148678</v>
      </c>
      <c r="F19829" s="1">
        <v>5339.0</v>
      </c>
      <c r="G19829" s="1">
        <v>15.0</v>
      </c>
    </row>
    <row r="19830">
      <c r="A19830" s="1" t="s">
        <v>8</v>
      </c>
      <c r="B19830" s="2">
        <v>44796.0</v>
      </c>
      <c r="C19830" s="3">
        <v>0.33671296296296294</v>
      </c>
      <c r="D19830" s="1">
        <v>12.965738</v>
      </c>
      <c r="E19830" s="1">
        <v>80.148397</v>
      </c>
      <c r="F19830" s="1">
        <v>5339.0</v>
      </c>
      <c r="G19830" s="1">
        <v>28.0</v>
      </c>
    </row>
    <row r="19831">
      <c r="A19831" s="1" t="s">
        <v>8</v>
      </c>
      <c r="B19831" s="2">
        <v>44796.0</v>
      </c>
      <c r="C19831" s="3">
        <v>0.33671296296296294</v>
      </c>
      <c r="D19831" s="1">
        <v>12.965738</v>
      </c>
      <c r="E19831" s="1">
        <v>80.148397</v>
      </c>
      <c r="F19831" s="1">
        <v>5339.0</v>
      </c>
      <c r="G19831" s="1">
        <v>28.0</v>
      </c>
    </row>
    <row r="19832">
      <c r="A19832" s="1" t="s">
        <v>7</v>
      </c>
      <c r="B19832" s="2">
        <v>44796.0</v>
      </c>
      <c r="C19832" s="3">
        <v>0.337037037037037</v>
      </c>
      <c r="D19832" s="1">
        <v>12.63021</v>
      </c>
      <c r="E19832" s="1">
        <v>79.931083</v>
      </c>
      <c r="F19832" s="1">
        <v>2846.0</v>
      </c>
      <c r="G19832" s="1">
        <v>24.0</v>
      </c>
    </row>
    <row r="19833">
      <c r="A19833" s="1" t="s">
        <v>7</v>
      </c>
      <c r="B19833" s="2">
        <v>44796.0</v>
      </c>
      <c r="C19833" s="3">
        <v>0.33762731481481484</v>
      </c>
      <c r="D19833" s="1">
        <v>12.959036</v>
      </c>
      <c r="E19833" s="1">
        <v>80.144726</v>
      </c>
      <c r="F19833" s="1">
        <v>5339.0</v>
      </c>
      <c r="G19833" s="1">
        <v>54.0</v>
      </c>
    </row>
    <row r="19834">
      <c r="A19834" s="1" t="s">
        <v>8</v>
      </c>
      <c r="B19834" s="2">
        <v>44796.0</v>
      </c>
      <c r="C19834" s="3">
        <v>0.33775462962962965</v>
      </c>
      <c r="D19834" s="1">
        <v>12.957823</v>
      </c>
      <c r="E19834" s="1">
        <v>80.14408</v>
      </c>
      <c r="F19834" s="1">
        <v>5339.0</v>
      </c>
      <c r="G19834" s="1">
        <v>51.0</v>
      </c>
    </row>
    <row r="19835">
      <c r="A19835" s="1" t="s">
        <v>8</v>
      </c>
      <c r="B19835" s="2">
        <v>44796.0</v>
      </c>
      <c r="C19835" s="3">
        <v>0.3377893518518518</v>
      </c>
      <c r="D19835" s="1">
        <v>12.957823</v>
      </c>
      <c r="E19835" s="1">
        <v>80.14408</v>
      </c>
      <c r="F19835" s="1">
        <v>5339.0</v>
      </c>
      <c r="G19835" s="1">
        <v>51.0</v>
      </c>
    </row>
    <row r="19836">
      <c r="A19836" s="1" t="s">
        <v>7</v>
      </c>
      <c r="B19836" s="2">
        <v>44796.0</v>
      </c>
      <c r="C19836" s="3">
        <v>0.3381018518518519</v>
      </c>
      <c r="D19836" s="1">
        <v>12.643537</v>
      </c>
      <c r="E19836" s="1">
        <v>79.938384</v>
      </c>
      <c r="F19836" s="1">
        <v>2846.0</v>
      </c>
      <c r="G19836" s="1">
        <v>58.0</v>
      </c>
    </row>
    <row r="19837">
      <c r="A19837" s="1" t="s">
        <v>7</v>
      </c>
      <c r="B19837" s="2">
        <v>44796.0</v>
      </c>
      <c r="C19837" s="3">
        <v>0.33836805555555555</v>
      </c>
      <c r="D19837" s="1">
        <v>12.647417</v>
      </c>
      <c r="E19837" s="1">
        <v>79.940405</v>
      </c>
      <c r="F19837" s="1">
        <v>2846.0</v>
      </c>
      <c r="G19837" s="1">
        <v>58.0</v>
      </c>
    </row>
    <row r="19838">
      <c r="A19838" s="1" t="s">
        <v>8</v>
      </c>
      <c r="B19838" s="2">
        <v>44796.0</v>
      </c>
      <c r="C19838" s="3">
        <v>0.33849537037037036</v>
      </c>
      <c r="D19838" s="1">
        <v>12.647417</v>
      </c>
      <c r="E19838" s="1">
        <v>79.940405</v>
      </c>
      <c r="F19838" s="1">
        <v>2846.0</v>
      </c>
      <c r="G19838" s="1">
        <v>58.0</v>
      </c>
    </row>
    <row r="19839">
      <c r="A19839" s="1" t="s">
        <v>8</v>
      </c>
      <c r="B19839" s="2">
        <v>44796.0</v>
      </c>
      <c r="C19839" s="3">
        <v>0.3387962962962963</v>
      </c>
      <c r="D19839" s="1">
        <v>12.651949</v>
      </c>
      <c r="E19839" s="1">
        <v>79.940256</v>
      </c>
      <c r="F19839" s="1">
        <v>2846.0</v>
      </c>
      <c r="G19839" s="1">
        <v>33.0</v>
      </c>
    </row>
    <row r="19840">
      <c r="A19840" s="1" t="s">
        <v>9</v>
      </c>
      <c r="B19840" s="2">
        <v>44796.0</v>
      </c>
      <c r="C19840" s="3">
        <v>0.33894675925925927</v>
      </c>
      <c r="D19840" s="1">
        <v>12.954525</v>
      </c>
      <c r="E19840" s="1">
        <v>80.142315</v>
      </c>
      <c r="F19840" s="1">
        <v>5339.0</v>
      </c>
      <c r="G19840" s="1">
        <v>39.0</v>
      </c>
    </row>
    <row r="19841">
      <c r="A19841" s="1" t="s">
        <v>8</v>
      </c>
      <c r="B19841" s="2">
        <v>44796.0</v>
      </c>
      <c r="C19841" s="3">
        <v>0.3392824074074074</v>
      </c>
      <c r="D19841" s="1">
        <v>12.952179</v>
      </c>
      <c r="E19841" s="1">
        <v>80.140878</v>
      </c>
      <c r="F19841" s="1">
        <v>5339.0</v>
      </c>
      <c r="G19841" s="1">
        <v>32.0</v>
      </c>
    </row>
    <row r="19842">
      <c r="A19842" s="1" t="s">
        <v>8</v>
      </c>
      <c r="B19842" s="2">
        <v>44796.0</v>
      </c>
      <c r="C19842" s="3">
        <v>0.3397800925925926</v>
      </c>
      <c r="D19842" s="1">
        <v>12.658422</v>
      </c>
      <c r="E19842" s="1">
        <v>79.943519</v>
      </c>
      <c r="F19842" s="1">
        <v>2846.0</v>
      </c>
      <c r="G19842" s="1">
        <v>58.0</v>
      </c>
    </row>
    <row r="19843">
      <c r="A19843" s="1" t="s">
        <v>7</v>
      </c>
      <c r="B19843" s="2">
        <v>44796.0</v>
      </c>
      <c r="C19843" s="3">
        <v>0.3401736111111111</v>
      </c>
      <c r="D19843" s="1">
        <v>12.65733</v>
      </c>
      <c r="E19843" s="1">
        <v>79.940945</v>
      </c>
      <c r="F19843" s="1">
        <v>2846.0</v>
      </c>
      <c r="G19843" s="1">
        <v>49.0</v>
      </c>
    </row>
    <row r="19844">
      <c r="A19844" s="1" t="s">
        <v>8</v>
      </c>
      <c r="B19844" s="2">
        <v>44796.0</v>
      </c>
      <c r="C19844" s="3">
        <v>0.34055555555555556</v>
      </c>
      <c r="D19844" s="1">
        <v>12.655975</v>
      </c>
      <c r="E19844" s="1">
        <v>79.952658</v>
      </c>
      <c r="F19844" s="1">
        <v>2846.0</v>
      </c>
      <c r="G19844" s="1">
        <v>52.0</v>
      </c>
    </row>
    <row r="19845">
      <c r="A19845" s="1" t="s">
        <v>7</v>
      </c>
      <c r="B19845" s="2">
        <v>44796.0</v>
      </c>
      <c r="C19845" s="3">
        <v>0.3418171296296296</v>
      </c>
      <c r="D19845" s="1">
        <v>12.659109</v>
      </c>
      <c r="E19845" s="1">
        <v>79.962197</v>
      </c>
      <c r="F19845" s="1">
        <v>2846.0</v>
      </c>
      <c r="G19845" s="1">
        <v>54.0</v>
      </c>
    </row>
    <row r="19846">
      <c r="A19846" s="1" t="s">
        <v>7</v>
      </c>
      <c r="B19846" s="2">
        <v>44796.0</v>
      </c>
      <c r="C19846" s="3">
        <v>0.3419675925925926</v>
      </c>
      <c r="D19846" s="1">
        <v>12.660199</v>
      </c>
      <c r="E19846" s="1">
        <v>79.964918</v>
      </c>
      <c r="F19846" s="1">
        <v>2846.0</v>
      </c>
      <c r="G19846" s="1">
        <v>58.0</v>
      </c>
    </row>
    <row r="19847">
      <c r="A19847" s="1" t="s">
        <v>8</v>
      </c>
      <c r="B19847" s="2">
        <v>44796.0</v>
      </c>
      <c r="C19847" s="3">
        <v>0.3419675925925926</v>
      </c>
      <c r="D19847" s="1">
        <v>12.932734</v>
      </c>
      <c r="E19847" s="1">
        <v>80.124021</v>
      </c>
      <c r="F19847" s="1">
        <v>5339.0</v>
      </c>
      <c r="G19847" s="1">
        <v>49.0</v>
      </c>
    </row>
    <row r="19848">
      <c r="A19848" s="1" t="s">
        <v>8</v>
      </c>
      <c r="B19848" s="2">
        <v>44796.0</v>
      </c>
      <c r="C19848" s="3">
        <v>0.3420486111111111</v>
      </c>
      <c r="D19848" s="1">
        <v>12.660199</v>
      </c>
      <c r="E19848" s="1">
        <v>79.964918</v>
      </c>
      <c r="F19848" s="1">
        <v>2846.0</v>
      </c>
      <c r="G19848" s="1">
        <v>58.0</v>
      </c>
    </row>
    <row r="19849">
      <c r="A19849" s="1" t="s">
        <v>7</v>
      </c>
      <c r="B19849" s="2">
        <v>44796.0</v>
      </c>
      <c r="C19849" s="3">
        <v>0.34252314814814816</v>
      </c>
      <c r="D19849" s="1">
        <v>12.664236</v>
      </c>
      <c r="E19849" s="1">
        <v>79.968549</v>
      </c>
      <c r="F19849" s="1">
        <v>2846.0</v>
      </c>
      <c r="G19849" s="1">
        <v>59.0</v>
      </c>
    </row>
    <row r="19850">
      <c r="A19850" s="1" t="s">
        <v>8</v>
      </c>
      <c r="B19850" s="2">
        <v>44796.0</v>
      </c>
      <c r="C19850" s="3">
        <v>0.3425694444444444</v>
      </c>
      <c r="D19850" s="1">
        <v>12.929344</v>
      </c>
      <c r="E19850" s="1">
        <v>80.120602</v>
      </c>
      <c r="F19850" s="1">
        <v>5339.0</v>
      </c>
      <c r="G19850" s="1">
        <v>46.0</v>
      </c>
    </row>
    <row r="19851">
      <c r="A19851" s="1" t="s">
        <v>8</v>
      </c>
      <c r="B19851" s="2">
        <v>44796.0</v>
      </c>
      <c r="C19851" s="3">
        <v>0.34293981481481484</v>
      </c>
      <c r="D19851" s="1">
        <v>12.926834</v>
      </c>
      <c r="E19851" s="1">
        <v>80.118047</v>
      </c>
      <c r="F19851" s="1">
        <v>5339.0</v>
      </c>
      <c r="G19851" s="1">
        <v>43.0</v>
      </c>
    </row>
    <row r="19852">
      <c r="A19852" s="1" t="s">
        <v>7</v>
      </c>
      <c r="B19852" s="2">
        <v>44796.0</v>
      </c>
      <c r="C19852" s="3">
        <v>0.3429976851851852</v>
      </c>
      <c r="D19852" s="1">
        <v>12.667277</v>
      </c>
      <c r="E19852" s="1">
        <v>79.971724</v>
      </c>
      <c r="F19852" s="1">
        <v>2846.0</v>
      </c>
      <c r="G19852" s="1">
        <v>56.0</v>
      </c>
    </row>
    <row r="19853">
      <c r="A19853" s="1" t="s">
        <v>7</v>
      </c>
      <c r="B19853" s="2">
        <v>44796.0</v>
      </c>
      <c r="C19853" s="3">
        <v>0.34322916666666664</v>
      </c>
      <c r="D19853" s="1">
        <v>12.925244</v>
      </c>
      <c r="E19853" s="1">
        <v>80.116441</v>
      </c>
      <c r="F19853" s="1">
        <v>5339.0</v>
      </c>
      <c r="G19853" s="1">
        <v>42.0</v>
      </c>
    </row>
    <row r="19854">
      <c r="A19854" s="1" t="s">
        <v>10</v>
      </c>
      <c r="B19854" s="2">
        <v>44796.0</v>
      </c>
      <c r="C19854" s="3">
        <v>0.3433912037037037</v>
      </c>
      <c r="D19854" s="1">
        <v>12.923453</v>
      </c>
      <c r="E19854" s="1">
        <v>80.114659</v>
      </c>
      <c r="F19854" s="1">
        <v>5339.0</v>
      </c>
      <c r="G19854" s="1">
        <v>43.0</v>
      </c>
    </row>
    <row r="19855">
      <c r="A19855" s="1" t="s">
        <v>8</v>
      </c>
      <c r="B19855" s="2">
        <v>44796.0</v>
      </c>
      <c r="C19855" s="3">
        <v>0.34476851851851853</v>
      </c>
      <c r="D19855" s="1">
        <v>12.678412</v>
      </c>
      <c r="E19855" s="1">
        <v>79.979866</v>
      </c>
      <c r="F19855" s="1">
        <v>2846.0</v>
      </c>
      <c r="G19855" s="1">
        <v>24.0</v>
      </c>
    </row>
    <row r="19856">
      <c r="A19856" s="1" t="s">
        <v>8</v>
      </c>
      <c r="B19856" s="2">
        <v>44796.0</v>
      </c>
      <c r="C19856" s="3">
        <v>0.344849537037037</v>
      </c>
      <c r="D19856" s="1">
        <v>12.679066</v>
      </c>
      <c r="E19856" s="1">
        <v>79.980296</v>
      </c>
      <c r="F19856" s="1">
        <v>2846.0</v>
      </c>
      <c r="G19856" s="1">
        <v>36.0</v>
      </c>
    </row>
    <row r="19857">
      <c r="A19857" s="1" t="s">
        <v>8</v>
      </c>
      <c r="B19857" s="2">
        <v>44796.0</v>
      </c>
      <c r="C19857" s="3">
        <v>0.345162037037037</v>
      </c>
      <c r="D19857" s="1">
        <v>12.916092</v>
      </c>
      <c r="E19857" s="1">
        <v>80.105543</v>
      </c>
      <c r="F19857" s="1">
        <v>5339.0</v>
      </c>
      <c r="G19857" s="1">
        <v>48.0</v>
      </c>
    </row>
    <row r="19858">
      <c r="A19858" s="1" t="s">
        <v>8</v>
      </c>
      <c r="B19858" s="2">
        <v>44796.0</v>
      </c>
      <c r="C19858" s="3">
        <v>0.34563657407407405</v>
      </c>
      <c r="D19858" s="1">
        <v>12.912784</v>
      </c>
      <c r="E19858" s="1">
        <v>80.101576</v>
      </c>
      <c r="F19858" s="1">
        <v>5339.0</v>
      </c>
      <c r="G19858" s="1">
        <v>49.0</v>
      </c>
    </row>
    <row r="19859">
      <c r="A19859" s="1" t="s">
        <v>8</v>
      </c>
      <c r="B19859" s="2">
        <v>44796.0</v>
      </c>
      <c r="C19859" s="3">
        <v>0.34629629629629627</v>
      </c>
      <c r="D19859" s="1">
        <v>12.686006</v>
      </c>
      <c r="E19859" s="1">
        <v>79.983468</v>
      </c>
      <c r="F19859" s="1">
        <v>2846.0</v>
      </c>
      <c r="G19859" s="1">
        <v>45.0</v>
      </c>
    </row>
    <row r="19860">
      <c r="A19860" s="1" t="s">
        <v>10</v>
      </c>
      <c r="B19860" s="2">
        <v>44796.0</v>
      </c>
      <c r="C19860" s="3">
        <v>0.3470138888888889</v>
      </c>
      <c r="D19860" s="1">
        <v>12.689465</v>
      </c>
      <c r="E19860" s="1">
        <v>79.982349</v>
      </c>
      <c r="F19860" s="1">
        <v>2846.0</v>
      </c>
      <c r="G19860" s="1">
        <v>46.0</v>
      </c>
    </row>
    <row r="19861">
      <c r="A19861" s="1" t="s">
        <v>8</v>
      </c>
      <c r="B19861" s="2">
        <v>44796.0</v>
      </c>
      <c r="C19861" s="3">
        <v>0.34778935185185184</v>
      </c>
      <c r="D19861" s="1">
        <v>12.692647</v>
      </c>
      <c r="E19861" s="1">
        <v>79.97969</v>
      </c>
      <c r="F19861" s="1">
        <v>2846.0</v>
      </c>
      <c r="G19861" s="1">
        <v>44.0</v>
      </c>
    </row>
    <row r="19862">
      <c r="A19862" s="1" t="s">
        <v>9</v>
      </c>
      <c r="B19862" s="2">
        <v>44796.0</v>
      </c>
      <c r="C19862" s="3">
        <v>0.34800925925925924</v>
      </c>
      <c r="D19862" s="1">
        <v>12.693698</v>
      </c>
      <c r="E19862" s="1">
        <v>79.979244</v>
      </c>
      <c r="F19862" s="1">
        <v>2846.0</v>
      </c>
      <c r="G19862" s="1">
        <v>42.0</v>
      </c>
    </row>
    <row r="19863">
      <c r="A19863" s="1" t="s">
        <v>9</v>
      </c>
      <c r="B19863" s="2">
        <v>44796.0</v>
      </c>
      <c r="C19863" s="3">
        <v>0.34813657407407406</v>
      </c>
      <c r="D19863" s="1">
        <v>12.693698</v>
      </c>
      <c r="E19863" s="1">
        <v>79.979244</v>
      </c>
      <c r="F19863" s="1">
        <v>2846.0</v>
      </c>
      <c r="G19863" s="1">
        <v>42.0</v>
      </c>
    </row>
    <row r="19864">
      <c r="A19864" s="1" t="s">
        <v>8</v>
      </c>
      <c r="B19864" s="2">
        <v>44796.0</v>
      </c>
      <c r="C19864" s="3">
        <v>0.3484143518518519</v>
      </c>
      <c r="D19864" s="1">
        <v>12.696419</v>
      </c>
      <c r="E19864" s="1">
        <v>79.977133</v>
      </c>
      <c r="F19864" s="1">
        <v>2846.0</v>
      </c>
      <c r="G19864" s="1">
        <v>27.0</v>
      </c>
    </row>
    <row r="19865">
      <c r="A19865" s="1" t="s">
        <v>8</v>
      </c>
      <c r="B19865" s="2">
        <v>44796.0</v>
      </c>
      <c r="C19865" s="3">
        <v>0.34967592592592595</v>
      </c>
      <c r="D19865" s="1">
        <v>12.905019</v>
      </c>
      <c r="E19865" s="1">
        <v>80.095457</v>
      </c>
      <c r="F19865" s="1">
        <v>5339.0</v>
      </c>
      <c r="G19865" s="1">
        <v>14.0</v>
      </c>
    </row>
    <row r="19866">
      <c r="A19866" s="1" t="s">
        <v>8</v>
      </c>
      <c r="B19866" s="2">
        <v>44796.0</v>
      </c>
      <c r="C19866" s="3">
        <v>0.3496875</v>
      </c>
      <c r="D19866" s="1">
        <v>12.905019</v>
      </c>
      <c r="E19866" s="1">
        <v>80.095457</v>
      </c>
      <c r="F19866" s="1">
        <v>5339.0</v>
      </c>
      <c r="G19866" s="1">
        <v>14.0</v>
      </c>
    </row>
    <row r="19867">
      <c r="A19867" s="1" t="s">
        <v>8</v>
      </c>
      <c r="B19867" s="2">
        <v>44796.0</v>
      </c>
      <c r="C19867" s="3">
        <v>0.34988425925925926</v>
      </c>
      <c r="D19867" s="1">
        <v>12.903877</v>
      </c>
      <c r="E19867" s="1">
        <v>80.094587</v>
      </c>
      <c r="F19867" s="1">
        <v>5339.0</v>
      </c>
      <c r="G19867" s="1">
        <v>38.0</v>
      </c>
    </row>
    <row r="19868">
      <c r="A19868" s="1" t="s">
        <v>9</v>
      </c>
      <c r="B19868" s="2">
        <v>44796.0</v>
      </c>
      <c r="C19868" s="3">
        <v>0.3499421296296296</v>
      </c>
      <c r="D19868" s="1">
        <v>12.903877</v>
      </c>
      <c r="E19868" s="1">
        <v>80.094587</v>
      </c>
      <c r="F19868" s="1">
        <v>5339.0</v>
      </c>
      <c r="G19868" s="1">
        <v>38.0</v>
      </c>
    </row>
    <row r="19869">
      <c r="A19869" s="1" t="s">
        <v>8</v>
      </c>
      <c r="B19869" s="2">
        <v>44796.0</v>
      </c>
      <c r="C19869" s="3">
        <v>0.3513425925925926</v>
      </c>
      <c r="D19869" s="1">
        <v>12.895689</v>
      </c>
      <c r="E19869" s="1">
        <v>80.088267</v>
      </c>
      <c r="F19869" s="1">
        <v>5339.0</v>
      </c>
      <c r="G19869" s="1">
        <v>40.0</v>
      </c>
    </row>
    <row r="19870">
      <c r="A19870" s="1" t="s">
        <v>8</v>
      </c>
      <c r="B19870" s="2">
        <v>44796.0</v>
      </c>
      <c r="C19870" s="3">
        <v>0.351875</v>
      </c>
      <c r="D19870" s="1">
        <v>12.703617</v>
      </c>
      <c r="E19870" s="1">
        <v>79.971774</v>
      </c>
      <c r="F19870" s="1">
        <v>2846.0</v>
      </c>
      <c r="G19870" s="1">
        <v>22.0</v>
      </c>
    </row>
    <row r="19871">
      <c r="A19871" s="1" t="s">
        <v>8</v>
      </c>
      <c r="B19871" s="2">
        <v>44796.0</v>
      </c>
      <c r="C19871" s="3">
        <v>0.3518981481481481</v>
      </c>
      <c r="D19871" s="1">
        <v>12.706961</v>
      </c>
      <c r="E19871" s="1">
        <v>79.975982</v>
      </c>
      <c r="F19871" s="1">
        <v>2846.0</v>
      </c>
      <c r="G19871" s="1">
        <v>58.0</v>
      </c>
    </row>
    <row r="19872">
      <c r="A19872" s="1" t="s">
        <v>8</v>
      </c>
      <c r="B19872" s="2">
        <v>44796.0</v>
      </c>
      <c r="C19872" s="3">
        <v>0.35256944444444444</v>
      </c>
      <c r="D19872" s="1">
        <v>12.883838</v>
      </c>
      <c r="E19872" s="1">
        <v>80.082194</v>
      </c>
      <c r="F19872" s="1">
        <v>5339.0</v>
      </c>
      <c r="G19872" s="1">
        <v>30.0</v>
      </c>
    </row>
    <row r="19873">
      <c r="A19873" s="1" t="s">
        <v>8</v>
      </c>
      <c r="B19873" s="2">
        <v>44796.0</v>
      </c>
      <c r="C19873" s="3">
        <v>0.35258101851851853</v>
      </c>
      <c r="D19873" s="1">
        <v>12.883838</v>
      </c>
      <c r="E19873" s="1">
        <v>80.082194</v>
      </c>
      <c r="F19873" s="1">
        <v>5339.0</v>
      </c>
      <c r="G19873" s="1">
        <v>30.0</v>
      </c>
    </row>
    <row r="19874">
      <c r="A19874" s="1" t="s">
        <v>8</v>
      </c>
      <c r="B19874" s="2">
        <v>44796.0</v>
      </c>
      <c r="C19874" s="3">
        <v>0.35259259259259257</v>
      </c>
      <c r="D19874" s="1">
        <v>12.883838</v>
      </c>
      <c r="E19874" s="1">
        <v>80.082194</v>
      </c>
      <c r="F19874" s="1">
        <v>5339.0</v>
      </c>
      <c r="G19874" s="1">
        <v>30.0</v>
      </c>
    </row>
    <row r="19875">
      <c r="A19875" s="1" t="s">
        <v>8</v>
      </c>
      <c r="B19875" s="2">
        <v>44796.0</v>
      </c>
      <c r="C19875" s="3">
        <v>0.3529513888888889</v>
      </c>
      <c r="D19875" s="1">
        <v>12.709456</v>
      </c>
      <c r="E19875" s="1">
        <v>79.977512</v>
      </c>
      <c r="F19875" s="1">
        <v>2846.0</v>
      </c>
      <c r="G19875" s="1">
        <v>6.0</v>
      </c>
    </row>
    <row r="19876">
      <c r="A19876" s="1" t="s">
        <v>8</v>
      </c>
      <c r="B19876" s="2">
        <v>44796.0</v>
      </c>
      <c r="C19876" s="3">
        <v>0.3529861111111111</v>
      </c>
      <c r="D19876" s="1">
        <v>12.881323</v>
      </c>
      <c r="E19876" s="1">
        <v>80.081191</v>
      </c>
      <c r="F19876" s="1">
        <v>5339.0</v>
      </c>
      <c r="G19876" s="1">
        <v>32.0</v>
      </c>
    </row>
    <row r="19877">
      <c r="A19877" s="1" t="s">
        <v>8</v>
      </c>
      <c r="B19877" s="2">
        <v>44796.0</v>
      </c>
      <c r="C19877" s="3">
        <v>0.35300925925925924</v>
      </c>
      <c r="D19877" s="1">
        <v>12.710646</v>
      </c>
      <c r="E19877" s="1">
        <v>79.978208</v>
      </c>
      <c r="F19877" s="1">
        <v>2846.0</v>
      </c>
      <c r="G19877" s="1">
        <v>27.0</v>
      </c>
    </row>
    <row r="19878">
      <c r="A19878" s="1" t="s">
        <v>8</v>
      </c>
      <c r="B19878" s="2">
        <v>44796.0</v>
      </c>
      <c r="C19878" s="3">
        <v>0.3530787037037037</v>
      </c>
      <c r="D19878" s="1">
        <v>12.881323</v>
      </c>
      <c r="E19878" s="1">
        <v>80.081191</v>
      </c>
      <c r="F19878" s="1">
        <v>5339.0</v>
      </c>
      <c r="G19878" s="1">
        <v>32.0</v>
      </c>
    </row>
    <row r="19879">
      <c r="A19879" s="1" t="s">
        <v>8</v>
      </c>
      <c r="B19879" s="2">
        <v>44796.0</v>
      </c>
      <c r="C19879" s="3">
        <v>0.35350694444444447</v>
      </c>
      <c r="D19879" s="1">
        <v>12.712241</v>
      </c>
      <c r="E19879" s="1">
        <v>79.979305</v>
      </c>
      <c r="F19879" s="1">
        <v>2846.0</v>
      </c>
      <c r="G19879" s="1">
        <v>45.0</v>
      </c>
    </row>
    <row r="19880">
      <c r="A19880" s="1" t="s">
        <v>10</v>
      </c>
      <c r="B19880" s="2">
        <v>44796.0</v>
      </c>
      <c r="C19880" s="3">
        <v>0.35390046296296296</v>
      </c>
      <c r="D19880" s="1">
        <v>12.879118</v>
      </c>
      <c r="E19880" s="1">
        <v>80.080338</v>
      </c>
      <c r="F19880" s="1">
        <v>5339.0</v>
      </c>
      <c r="G19880" s="1">
        <v>7.0</v>
      </c>
    </row>
    <row r="19881">
      <c r="A19881" s="1" t="s">
        <v>7</v>
      </c>
      <c r="B19881" s="2">
        <v>44796.0</v>
      </c>
      <c r="C19881" s="3">
        <v>0.3541435185185185</v>
      </c>
      <c r="D19881" s="1">
        <v>12.717807</v>
      </c>
      <c r="E19881" s="1">
        <v>79.980854</v>
      </c>
      <c r="F19881" s="1">
        <v>2846.0</v>
      </c>
      <c r="G19881" s="1">
        <v>52.0</v>
      </c>
    </row>
    <row r="19882">
      <c r="A19882" s="1" t="s">
        <v>7</v>
      </c>
      <c r="B19882" s="2">
        <v>44796.0</v>
      </c>
      <c r="C19882" s="3">
        <v>0.355474537037037</v>
      </c>
      <c r="D19882" s="1">
        <v>12.722491</v>
      </c>
      <c r="E19882" s="1">
        <v>79.981365</v>
      </c>
      <c r="F19882" s="1">
        <v>2846.0</v>
      </c>
      <c r="G19882" s="1">
        <v>45.0</v>
      </c>
    </row>
    <row r="19883">
      <c r="A19883" s="1" t="s">
        <v>7</v>
      </c>
      <c r="B19883" s="2">
        <v>44796.0</v>
      </c>
      <c r="C19883" s="3">
        <v>0.355775462962963</v>
      </c>
      <c r="D19883" s="1">
        <v>12.731499</v>
      </c>
      <c r="E19883" s="1">
        <v>79.982856</v>
      </c>
      <c r="F19883" s="1">
        <v>2846.0</v>
      </c>
      <c r="G19883" s="1">
        <v>57.0</v>
      </c>
    </row>
    <row r="19884">
      <c r="A19884" s="1" t="s">
        <v>7</v>
      </c>
      <c r="B19884" s="2">
        <v>44796.0</v>
      </c>
      <c r="C19884" s="3">
        <v>0.3559027777777778</v>
      </c>
      <c r="D19884" s="1">
        <v>12.732926</v>
      </c>
      <c r="E19884" s="1">
        <v>79.98323</v>
      </c>
      <c r="F19884" s="1">
        <v>2846.0</v>
      </c>
      <c r="G19884" s="1">
        <v>58.0</v>
      </c>
    </row>
    <row r="19885">
      <c r="A19885" s="1" t="s">
        <v>7</v>
      </c>
      <c r="B19885" s="2">
        <v>44796.0</v>
      </c>
      <c r="C19885" s="3">
        <v>0.3564699074074074</v>
      </c>
      <c r="D19885" s="1">
        <v>12.738233</v>
      </c>
      <c r="E19885" s="1">
        <v>79.988358</v>
      </c>
      <c r="F19885" s="1">
        <v>2846.0</v>
      </c>
      <c r="G19885" s="1">
        <v>53.0</v>
      </c>
    </row>
    <row r="19886">
      <c r="A19886" s="1" t="s">
        <v>7</v>
      </c>
      <c r="B19886" s="2">
        <v>44796.0</v>
      </c>
      <c r="C19886" s="3">
        <v>0.35658564814814814</v>
      </c>
      <c r="D19886" s="1">
        <v>12.738233</v>
      </c>
      <c r="E19886" s="1">
        <v>79.988358</v>
      </c>
      <c r="F19886" s="1">
        <v>2846.0</v>
      </c>
      <c r="G19886" s="1">
        <v>53.0</v>
      </c>
    </row>
    <row r="19887">
      <c r="A19887" s="1" t="s">
        <v>10</v>
      </c>
      <c r="B19887" s="2">
        <v>44796.0</v>
      </c>
      <c r="C19887" s="3">
        <v>0.35746527777777776</v>
      </c>
      <c r="D19887" s="1">
        <v>12.742105</v>
      </c>
      <c r="E19887" s="1">
        <v>79.991296</v>
      </c>
      <c r="F19887" s="1">
        <v>2846.0</v>
      </c>
      <c r="G19887" s="1">
        <v>14.0</v>
      </c>
    </row>
    <row r="19888">
      <c r="A19888" s="1" t="s">
        <v>7</v>
      </c>
      <c r="B19888" s="2">
        <v>44796.0</v>
      </c>
      <c r="C19888" s="3">
        <v>0.3578472222222222</v>
      </c>
      <c r="D19888" s="1">
        <v>12.744376</v>
      </c>
      <c r="E19888" s="1">
        <v>79.993188</v>
      </c>
      <c r="F19888" s="1">
        <v>2846.0</v>
      </c>
      <c r="G19888" s="1">
        <v>45.0</v>
      </c>
    </row>
    <row r="19889">
      <c r="A19889" s="1" t="s">
        <v>7</v>
      </c>
      <c r="B19889" s="2">
        <v>44796.0</v>
      </c>
      <c r="C19889" s="3">
        <v>0.358275462962963</v>
      </c>
      <c r="D19889" s="1">
        <v>12.749945</v>
      </c>
      <c r="E19889" s="1">
        <v>79.997732</v>
      </c>
      <c r="F19889" s="1">
        <v>2846.0</v>
      </c>
      <c r="G19889" s="1">
        <v>57.0</v>
      </c>
    </row>
    <row r="19890">
      <c r="A19890" s="1" t="s">
        <v>8</v>
      </c>
      <c r="B19890" s="2">
        <v>44796.0</v>
      </c>
      <c r="C19890" s="3">
        <v>0.35836805555555556</v>
      </c>
      <c r="D19890" s="1">
        <v>12.749945</v>
      </c>
      <c r="E19890" s="1">
        <v>79.997732</v>
      </c>
      <c r="F19890" s="1">
        <v>2846.0</v>
      </c>
      <c r="G19890" s="1">
        <v>57.0</v>
      </c>
    </row>
    <row r="19891">
      <c r="A19891" s="1" t="s">
        <v>7</v>
      </c>
      <c r="B19891" s="2">
        <v>44796.0</v>
      </c>
      <c r="C19891" s="3">
        <v>0.35854166666666665</v>
      </c>
      <c r="D19891" s="1">
        <v>12.749945</v>
      </c>
      <c r="E19891" s="1">
        <v>79.997732</v>
      </c>
      <c r="F19891" s="1">
        <v>2846.0</v>
      </c>
      <c r="G19891" s="1">
        <v>57.0</v>
      </c>
    </row>
    <row r="19892">
      <c r="A19892" s="1" t="s">
        <v>8</v>
      </c>
      <c r="B19892" s="2">
        <v>44796.0</v>
      </c>
      <c r="C19892" s="3">
        <v>0.35858796296296297</v>
      </c>
      <c r="D19892" s="1">
        <v>12.753555</v>
      </c>
      <c r="E19892" s="1">
        <v>80.000212</v>
      </c>
      <c r="F19892" s="1">
        <v>2846.0</v>
      </c>
      <c r="G19892" s="1">
        <v>55.0</v>
      </c>
    </row>
    <row r="19893">
      <c r="A19893" s="1" t="s">
        <v>8</v>
      </c>
      <c r="B19893" s="2">
        <v>44796.0</v>
      </c>
      <c r="C19893" s="3">
        <v>0.3589351851851852</v>
      </c>
      <c r="D19893" s="1">
        <v>12.755564</v>
      </c>
      <c r="E19893" s="1">
        <v>80.001512</v>
      </c>
      <c r="F19893" s="1">
        <v>2846.0</v>
      </c>
      <c r="G19893" s="1">
        <v>24.0</v>
      </c>
    </row>
    <row r="19894">
      <c r="A19894" s="1" t="s">
        <v>7</v>
      </c>
      <c r="B19894" s="2">
        <v>44796.0</v>
      </c>
      <c r="C19894" s="3">
        <v>0.3593402777777778</v>
      </c>
      <c r="D19894" s="1">
        <v>12.75625</v>
      </c>
      <c r="E19894" s="1">
        <v>80.001882</v>
      </c>
      <c r="F19894" s="1">
        <v>2846.0</v>
      </c>
      <c r="G19894" s="1">
        <v>33.0</v>
      </c>
    </row>
    <row r="19895">
      <c r="A19895" s="1" t="s">
        <v>7</v>
      </c>
      <c r="B19895" s="2">
        <v>44796.0</v>
      </c>
      <c r="C19895" s="3">
        <v>0.3597337962962963</v>
      </c>
      <c r="D19895" s="1">
        <v>12.758372</v>
      </c>
      <c r="E19895" s="1">
        <v>80.002638</v>
      </c>
      <c r="F19895" s="1">
        <v>2846.0</v>
      </c>
      <c r="G19895" s="1">
        <v>57.0</v>
      </c>
    </row>
    <row r="19896">
      <c r="A19896" s="1" t="s">
        <v>7</v>
      </c>
      <c r="B19896" s="2">
        <v>44796.0</v>
      </c>
      <c r="C19896" s="3">
        <v>0.3598148148148148</v>
      </c>
      <c r="D19896" s="1">
        <v>12.761465</v>
      </c>
      <c r="E19896" s="1">
        <v>80.003492</v>
      </c>
      <c r="F19896" s="1">
        <v>2846.0</v>
      </c>
      <c r="G19896" s="1">
        <v>37.0</v>
      </c>
    </row>
    <row r="19897">
      <c r="A19897" s="1" t="s">
        <v>8</v>
      </c>
      <c r="B19897" s="2">
        <v>44796.0</v>
      </c>
      <c r="C19897" s="3">
        <v>0.3600231481481482</v>
      </c>
      <c r="D19897" s="1">
        <v>12.765265</v>
      </c>
      <c r="E19897" s="1">
        <v>80.00484</v>
      </c>
      <c r="F19897" s="1">
        <v>2846.0</v>
      </c>
      <c r="G19897" s="1">
        <v>57.0</v>
      </c>
    </row>
    <row r="19898">
      <c r="A19898" s="1" t="s">
        <v>7</v>
      </c>
      <c r="B19898" s="2">
        <v>44796.0</v>
      </c>
      <c r="C19898" s="3">
        <v>0.3602314814814815</v>
      </c>
      <c r="D19898" s="1">
        <v>12.765265</v>
      </c>
      <c r="E19898" s="1">
        <v>80.00484</v>
      </c>
      <c r="F19898" s="1">
        <v>2846.0</v>
      </c>
      <c r="G19898" s="1">
        <v>57.0</v>
      </c>
    </row>
    <row r="19899">
      <c r="A19899" s="1" t="s">
        <v>7</v>
      </c>
      <c r="B19899" s="2">
        <v>44796.0</v>
      </c>
      <c r="C19899" s="3">
        <v>0.36033564814814817</v>
      </c>
      <c r="D19899" s="1">
        <v>12.765265</v>
      </c>
      <c r="E19899" s="1">
        <v>80.00484</v>
      </c>
      <c r="F19899" s="1">
        <v>2846.0</v>
      </c>
      <c r="G19899" s="1">
        <v>57.0</v>
      </c>
    </row>
    <row r="19900">
      <c r="A19900" s="1" t="s">
        <v>7</v>
      </c>
      <c r="B19900" s="2">
        <v>44796.0</v>
      </c>
      <c r="C19900" s="3">
        <v>0.36042824074074076</v>
      </c>
      <c r="D19900" s="1">
        <v>12.768981</v>
      </c>
      <c r="E19900" s="1">
        <v>80.006554</v>
      </c>
      <c r="F19900" s="1">
        <v>2846.0</v>
      </c>
      <c r="G19900" s="1">
        <v>56.0</v>
      </c>
    </row>
    <row r="19901">
      <c r="A19901" s="1" t="s">
        <v>7</v>
      </c>
      <c r="B19901" s="2">
        <v>44796.0</v>
      </c>
      <c r="C19901" s="3">
        <v>0.3612384259259259</v>
      </c>
      <c r="D19901" s="1">
        <v>12.778238</v>
      </c>
      <c r="E19901" s="1">
        <v>80.010837</v>
      </c>
      <c r="F19901" s="1">
        <v>2846.0</v>
      </c>
      <c r="G19901" s="1">
        <v>58.0</v>
      </c>
    </row>
    <row r="19902">
      <c r="A19902" s="1" t="s">
        <v>7</v>
      </c>
      <c r="B19902" s="2">
        <v>44796.0</v>
      </c>
      <c r="C19902" s="3">
        <v>0.3617592592592593</v>
      </c>
      <c r="D19902" s="1">
        <v>12.784917</v>
      </c>
      <c r="E19902" s="1">
        <v>80.01381</v>
      </c>
      <c r="F19902" s="1">
        <v>2846.0</v>
      </c>
      <c r="G19902" s="1">
        <v>57.0</v>
      </c>
    </row>
    <row r="19903">
      <c r="A19903" s="1" t="s">
        <v>7</v>
      </c>
      <c r="B19903" s="2">
        <v>44796.0</v>
      </c>
      <c r="C19903" s="3">
        <v>0.3621990740740741</v>
      </c>
      <c r="D19903" s="1">
        <v>12.784917</v>
      </c>
      <c r="E19903" s="1">
        <v>80.01381</v>
      </c>
      <c r="F19903" s="1">
        <v>2846.0</v>
      </c>
      <c r="G19903" s="1">
        <v>57.0</v>
      </c>
    </row>
    <row r="19904">
      <c r="A19904" s="1" t="s">
        <v>7</v>
      </c>
      <c r="B19904" s="2">
        <v>44796.0</v>
      </c>
      <c r="C19904" s="3">
        <v>0.3623263888888889</v>
      </c>
      <c r="D19904" s="1">
        <v>12.791232</v>
      </c>
      <c r="E19904" s="1">
        <v>80.017571</v>
      </c>
      <c r="F19904" s="1">
        <v>2846.0</v>
      </c>
      <c r="G19904" s="1">
        <v>58.0</v>
      </c>
    </row>
    <row r="19905">
      <c r="A19905" s="1" t="s">
        <v>8</v>
      </c>
      <c r="B19905" s="2">
        <v>44796.0</v>
      </c>
      <c r="C19905" s="3">
        <v>0.36386574074074074</v>
      </c>
      <c r="D19905" s="1">
        <v>12.803907</v>
      </c>
      <c r="E19905" s="1">
        <v>80.025856</v>
      </c>
      <c r="F19905" s="1">
        <v>2846.0</v>
      </c>
      <c r="G19905" s="1">
        <v>57.0</v>
      </c>
    </row>
    <row r="19906">
      <c r="A19906" s="1" t="s">
        <v>8</v>
      </c>
      <c r="B19906" s="2">
        <v>44796.0</v>
      </c>
      <c r="C19906" s="3">
        <v>0.36394675925925923</v>
      </c>
      <c r="D19906" s="1">
        <v>12.794845</v>
      </c>
      <c r="E19906" s="1">
        <v>80.019848</v>
      </c>
      <c r="F19906" s="1">
        <v>2846.0</v>
      </c>
      <c r="G19906" s="1">
        <v>40.0</v>
      </c>
    </row>
    <row r="19907">
      <c r="A19907" s="1" t="s">
        <v>7</v>
      </c>
      <c r="B19907" s="2">
        <v>44796.0</v>
      </c>
      <c r="C19907" s="3">
        <v>0.3644791666666667</v>
      </c>
      <c r="D19907" s="1">
        <v>12.809307</v>
      </c>
      <c r="E19907" s="1">
        <v>80.029287</v>
      </c>
      <c r="F19907" s="1">
        <v>2846.0</v>
      </c>
      <c r="G19907" s="1">
        <v>42.0</v>
      </c>
    </row>
    <row r="19908">
      <c r="A19908" s="1" t="s">
        <v>7</v>
      </c>
      <c r="B19908" s="2">
        <v>44796.0</v>
      </c>
      <c r="C19908" s="3">
        <v>0.36497685185185186</v>
      </c>
      <c r="D19908" s="1">
        <v>12.800231</v>
      </c>
      <c r="E19908" s="1">
        <v>80.023442</v>
      </c>
      <c r="F19908" s="1">
        <v>2846.0</v>
      </c>
      <c r="G19908" s="1">
        <v>58.0</v>
      </c>
    </row>
    <row r="19909">
      <c r="A19909" s="1" t="s">
        <v>7</v>
      </c>
      <c r="B19909" s="2">
        <v>44796.0</v>
      </c>
      <c r="C19909" s="3">
        <v>0.36605324074074075</v>
      </c>
      <c r="D19909" s="1">
        <v>12.82793</v>
      </c>
      <c r="E19909" s="1">
        <v>80.042754</v>
      </c>
      <c r="F19909" s="1">
        <v>2846.0</v>
      </c>
      <c r="G19909" s="1">
        <v>57.0</v>
      </c>
    </row>
    <row r="19910">
      <c r="A19910" s="1" t="s">
        <v>7</v>
      </c>
      <c r="B19910" s="2">
        <v>44796.0</v>
      </c>
      <c r="C19910" s="3">
        <v>0.36625</v>
      </c>
      <c r="D19910" s="1">
        <v>12.82793</v>
      </c>
      <c r="E19910" s="1">
        <v>80.042754</v>
      </c>
      <c r="F19910" s="1">
        <v>2846.0</v>
      </c>
      <c r="G19910" s="1">
        <v>57.0</v>
      </c>
    </row>
    <row r="19911">
      <c r="A19911" s="1" t="s">
        <v>7</v>
      </c>
      <c r="B19911" s="2">
        <v>44796.0</v>
      </c>
      <c r="C19911" s="3">
        <v>0.3671064814814815</v>
      </c>
      <c r="D19911" s="1">
        <v>12.83708</v>
      </c>
      <c r="E19911" s="1">
        <v>80.052369</v>
      </c>
      <c r="F19911" s="1">
        <v>2846.0</v>
      </c>
      <c r="G19911" s="1">
        <v>57.0</v>
      </c>
    </row>
    <row r="19912">
      <c r="A19912" s="1" t="s">
        <v>7</v>
      </c>
      <c r="B19912" s="2">
        <v>44796.0</v>
      </c>
      <c r="C19912" s="3">
        <v>0.36724537037037036</v>
      </c>
      <c r="D19912" s="1">
        <v>12.83708</v>
      </c>
      <c r="E19912" s="1">
        <v>80.052369</v>
      </c>
      <c r="F19912" s="1">
        <v>2846.0</v>
      </c>
      <c r="G19912" s="1">
        <v>57.0</v>
      </c>
    </row>
    <row r="19913">
      <c r="A19913" s="1" t="s">
        <v>8</v>
      </c>
      <c r="B19913" s="2">
        <v>44796.0</v>
      </c>
      <c r="C19913" s="3">
        <v>0.36778935185185185</v>
      </c>
      <c r="D19913" s="1">
        <v>12.840572</v>
      </c>
      <c r="E19913" s="1">
        <v>80.055911</v>
      </c>
      <c r="F19913" s="1">
        <v>2846.0</v>
      </c>
      <c r="G19913" s="1">
        <v>17.0</v>
      </c>
    </row>
    <row r="19914">
      <c r="A19914" s="1" t="s">
        <v>8</v>
      </c>
      <c r="B19914" s="2">
        <v>44796.0</v>
      </c>
      <c r="C19914" s="3">
        <v>0.3692708333333333</v>
      </c>
      <c r="D19914" s="1">
        <v>12.845678</v>
      </c>
      <c r="E19914" s="1">
        <v>80.061292</v>
      </c>
      <c r="F19914" s="1">
        <v>2846.0</v>
      </c>
      <c r="G19914" s="1">
        <v>42.0</v>
      </c>
    </row>
    <row r="19915">
      <c r="A19915" s="1" t="s">
        <v>8</v>
      </c>
      <c r="B19915" s="2">
        <v>44796.0</v>
      </c>
      <c r="C19915" s="3">
        <v>0.3693402777777778</v>
      </c>
      <c r="D19915" s="1">
        <v>12.84653</v>
      </c>
      <c r="E19915" s="1">
        <v>80.062044</v>
      </c>
      <c r="F19915" s="1">
        <v>2846.0</v>
      </c>
      <c r="G19915" s="1">
        <v>49.0</v>
      </c>
    </row>
    <row r="19916">
      <c r="A19916" s="1" t="s">
        <v>8</v>
      </c>
      <c r="B19916" s="2">
        <v>44796.0</v>
      </c>
      <c r="C19916" s="3">
        <v>0.3694212962962963</v>
      </c>
      <c r="D19916" s="1">
        <v>12.847621</v>
      </c>
      <c r="E19916" s="1">
        <v>80.062872</v>
      </c>
      <c r="F19916" s="1">
        <v>2846.0</v>
      </c>
      <c r="G19916" s="1">
        <v>54.0</v>
      </c>
    </row>
    <row r="19917">
      <c r="A19917" s="1" t="s">
        <v>8</v>
      </c>
      <c r="B19917" s="2">
        <v>44796.0</v>
      </c>
      <c r="C19917" s="3">
        <v>0.37</v>
      </c>
      <c r="D19917" s="1">
        <v>12.850766</v>
      </c>
      <c r="E19917" s="1">
        <v>80.065145</v>
      </c>
      <c r="F19917" s="1">
        <v>2846.0</v>
      </c>
      <c r="G19917" s="1">
        <v>32.0</v>
      </c>
    </row>
    <row r="19918">
      <c r="A19918" s="1" t="s">
        <v>8</v>
      </c>
      <c r="B19918" s="2">
        <v>44796.0</v>
      </c>
      <c r="C19918" s="3">
        <v>0.3700462962962963</v>
      </c>
      <c r="D19918" s="1">
        <v>12.850766</v>
      </c>
      <c r="E19918" s="1">
        <v>80.065145</v>
      </c>
      <c r="F19918" s="1">
        <v>2846.0</v>
      </c>
      <c r="G19918" s="1">
        <v>32.0</v>
      </c>
    </row>
    <row r="19919">
      <c r="A19919" s="1" t="s">
        <v>8</v>
      </c>
      <c r="B19919" s="2">
        <v>44796.0</v>
      </c>
      <c r="C19919" s="3">
        <v>0.3701157407407407</v>
      </c>
      <c r="D19919" s="1">
        <v>12.850766</v>
      </c>
      <c r="E19919" s="1">
        <v>80.065145</v>
      </c>
      <c r="F19919" s="1">
        <v>2846.0</v>
      </c>
      <c r="G19919" s="1">
        <v>32.0</v>
      </c>
    </row>
    <row r="19920">
      <c r="A19920" s="1" t="s">
        <v>7</v>
      </c>
      <c r="B19920" s="2">
        <v>44796.0</v>
      </c>
      <c r="C19920" s="3">
        <v>0.37037037037037035</v>
      </c>
      <c r="D19920" s="1">
        <v>12.853146</v>
      </c>
      <c r="E19920" s="1">
        <v>80.066881</v>
      </c>
      <c r="F19920" s="1">
        <v>2846.0</v>
      </c>
      <c r="G19920" s="1">
        <v>47.0</v>
      </c>
    </row>
    <row r="19921">
      <c r="A19921" s="1" t="s">
        <v>7</v>
      </c>
      <c r="B19921" s="2">
        <v>44796.0</v>
      </c>
      <c r="C19921" s="3">
        <v>0.37047453703703703</v>
      </c>
      <c r="D19921" s="1">
        <v>12.854206</v>
      </c>
      <c r="E19921" s="1">
        <v>80.067676</v>
      </c>
      <c r="F19921" s="1">
        <v>2846.0</v>
      </c>
      <c r="G19921" s="1">
        <v>56.0</v>
      </c>
    </row>
    <row r="19922">
      <c r="A19922" s="1" t="s">
        <v>8</v>
      </c>
      <c r="B19922" s="2">
        <v>44796.0</v>
      </c>
      <c r="C19922" s="3">
        <v>0.3705671296296296</v>
      </c>
      <c r="D19922" s="1">
        <v>12.853146</v>
      </c>
      <c r="E19922" s="1">
        <v>80.066881</v>
      </c>
      <c r="F19922" s="1">
        <v>2846.0</v>
      </c>
      <c r="G19922" s="1">
        <v>47.0</v>
      </c>
    </row>
    <row r="19923">
      <c r="A19923" s="1" t="s">
        <v>7</v>
      </c>
      <c r="B19923" s="2">
        <v>44796.0</v>
      </c>
      <c r="C19923" s="3">
        <v>0.371099537037037</v>
      </c>
      <c r="D19923" s="1">
        <v>12.857703</v>
      </c>
      <c r="E19923" s="1">
        <v>80.070357</v>
      </c>
      <c r="F19923" s="1">
        <v>2846.0</v>
      </c>
      <c r="G19923" s="1">
        <v>58.0</v>
      </c>
    </row>
    <row r="19924">
      <c r="A19924" s="1" t="s">
        <v>7</v>
      </c>
      <c r="B19924" s="2">
        <v>44796.0</v>
      </c>
      <c r="C19924" s="3">
        <v>0.3714236111111111</v>
      </c>
      <c r="D19924" s="1">
        <v>12.862588</v>
      </c>
      <c r="E19924" s="1">
        <v>80.07359</v>
      </c>
      <c r="F19924" s="1">
        <v>2846.0</v>
      </c>
      <c r="G19924" s="1">
        <v>58.0</v>
      </c>
    </row>
    <row r="19925">
      <c r="A19925" s="1" t="s">
        <v>8</v>
      </c>
      <c r="B19925" s="2">
        <v>44796.0</v>
      </c>
      <c r="C19925" s="3">
        <v>0.3716550925925926</v>
      </c>
      <c r="D19925" s="1">
        <v>12.866329</v>
      </c>
      <c r="E19925" s="1">
        <v>80.074933</v>
      </c>
      <c r="F19925" s="1">
        <v>2846.0</v>
      </c>
      <c r="G19925" s="1">
        <v>29.0</v>
      </c>
    </row>
    <row r="19926">
      <c r="A19926" s="1" t="s">
        <v>8</v>
      </c>
      <c r="B19926" s="2">
        <v>44796.0</v>
      </c>
      <c r="C19926" s="3">
        <v>0.3716550925925926</v>
      </c>
      <c r="D19926" s="1">
        <v>12.862588</v>
      </c>
      <c r="E19926" s="1">
        <v>80.07359</v>
      </c>
      <c r="F19926" s="1">
        <v>2846.0</v>
      </c>
      <c r="G19926" s="1">
        <v>58.0</v>
      </c>
    </row>
    <row r="19927">
      <c r="A19927" s="1" t="s">
        <v>8</v>
      </c>
      <c r="B19927" s="2">
        <v>44796.0</v>
      </c>
      <c r="C19927" s="3">
        <v>0.37202546296296296</v>
      </c>
      <c r="D19927" s="1">
        <v>12.86697</v>
      </c>
      <c r="E19927" s="1">
        <v>80.075198</v>
      </c>
      <c r="F19927" s="1">
        <v>2846.0</v>
      </c>
      <c r="G19927" s="1">
        <v>27.0</v>
      </c>
    </row>
    <row r="19928">
      <c r="A19928" s="1" t="s">
        <v>8</v>
      </c>
      <c r="B19928" s="2">
        <v>44796.0</v>
      </c>
      <c r="C19928" s="3">
        <v>0.3720601851851852</v>
      </c>
      <c r="D19928" s="1">
        <v>12.869663</v>
      </c>
      <c r="E19928" s="1">
        <v>80.076246</v>
      </c>
      <c r="F19928" s="1">
        <v>2846.0</v>
      </c>
      <c r="G19928" s="1">
        <v>48.0</v>
      </c>
    </row>
    <row r="19929">
      <c r="A19929" s="1" t="s">
        <v>8</v>
      </c>
      <c r="B19929" s="2">
        <v>44796.0</v>
      </c>
      <c r="C19929" s="3">
        <v>0.3721527777777778</v>
      </c>
      <c r="D19929" s="1">
        <v>12.870862</v>
      </c>
      <c r="E19929" s="1">
        <v>80.076722</v>
      </c>
      <c r="F19929" s="1">
        <v>2846.0</v>
      </c>
      <c r="G19929" s="1">
        <v>52.0</v>
      </c>
    </row>
    <row r="19930">
      <c r="A19930" s="1" t="s">
        <v>7</v>
      </c>
      <c r="B19930" s="2">
        <v>44796.0</v>
      </c>
      <c r="C19930" s="3">
        <v>0.3724884259259259</v>
      </c>
      <c r="D19930" s="1">
        <v>12.873388</v>
      </c>
      <c r="E19930" s="1">
        <v>80.077734</v>
      </c>
      <c r="F19930" s="1">
        <v>2846.0</v>
      </c>
      <c r="G19930" s="1">
        <v>58.0</v>
      </c>
    </row>
    <row r="19931">
      <c r="A19931" s="1" t="s">
        <v>10</v>
      </c>
      <c r="B19931" s="2">
        <v>44796.0</v>
      </c>
      <c r="C19931" s="3">
        <v>0.3749652777777778</v>
      </c>
      <c r="D19931" s="1">
        <v>12.876026</v>
      </c>
      <c r="E19931" s="1">
        <v>80.084048</v>
      </c>
      <c r="F19931" s="1">
        <v>2846.0</v>
      </c>
      <c r="G19931" s="1">
        <v>22.0</v>
      </c>
    </row>
    <row r="19932">
      <c r="A19932" s="1" t="s">
        <v>8</v>
      </c>
      <c r="B19932" s="2">
        <v>44796.0</v>
      </c>
      <c r="C19932" s="3">
        <v>0.6921527777777777</v>
      </c>
      <c r="D19932" s="1">
        <v>12.884622</v>
      </c>
      <c r="E19932" s="1">
        <v>80.081958</v>
      </c>
      <c r="F19932" s="1">
        <v>5339.0</v>
      </c>
      <c r="G19932" s="1">
        <v>43.0</v>
      </c>
    </row>
    <row r="19933">
      <c r="A19933" s="1" t="s">
        <v>7</v>
      </c>
      <c r="B19933" s="2">
        <v>44796.0</v>
      </c>
      <c r="C19933" s="3">
        <v>0.6923611111111111</v>
      </c>
      <c r="D19933" s="1">
        <v>12.885471</v>
      </c>
      <c r="E19933" s="1">
        <v>80.082563</v>
      </c>
      <c r="F19933" s="1">
        <v>5339.0</v>
      </c>
      <c r="G19933" s="1">
        <v>41.0</v>
      </c>
    </row>
    <row r="19934">
      <c r="A19934" s="1" t="s">
        <v>8</v>
      </c>
      <c r="B19934" s="2">
        <v>44796.0</v>
      </c>
      <c r="C19934" s="3">
        <v>0.6924189814814815</v>
      </c>
      <c r="D19934" s="1">
        <v>12.885288</v>
      </c>
      <c r="E19934" s="1">
        <v>80.082413</v>
      </c>
      <c r="F19934" s="1">
        <v>3143.0</v>
      </c>
      <c r="G19934" s="1">
        <v>40.0</v>
      </c>
    </row>
    <row r="19935">
      <c r="A19935" s="1" t="s">
        <v>8</v>
      </c>
      <c r="B19935" s="2">
        <v>44796.0</v>
      </c>
      <c r="C19935" s="3">
        <v>0.6926273148148148</v>
      </c>
      <c r="D19935" s="1">
        <v>12.887365</v>
      </c>
      <c r="E19935" s="1">
        <v>80.083398</v>
      </c>
      <c r="F19935" s="1">
        <v>3143.0</v>
      </c>
      <c r="G19935" s="1">
        <v>48.0</v>
      </c>
    </row>
    <row r="19936">
      <c r="A19936" s="1" t="s">
        <v>8</v>
      </c>
      <c r="B19936" s="2">
        <v>44796.0</v>
      </c>
      <c r="C19936" s="3">
        <v>0.692650462962963</v>
      </c>
      <c r="D19936" s="1">
        <v>12.887365</v>
      </c>
      <c r="E19936" s="1">
        <v>80.083398</v>
      </c>
      <c r="F19936" s="1">
        <v>3143.0</v>
      </c>
      <c r="G19936" s="1">
        <v>48.0</v>
      </c>
    </row>
    <row r="19937">
      <c r="A19937" s="1" t="s">
        <v>8</v>
      </c>
      <c r="B19937" s="2">
        <v>44796.0</v>
      </c>
      <c r="C19937" s="3">
        <v>0.6926736111111111</v>
      </c>
      <c r="D19937" s="1">
        <v>12.889286</v>
      </c>
      <c r="E19937" s="1">
        <v>80.084205</v>
      </c>
      <c r="F19937" s="1">
        <v>5339.0</v>
      </c>
      <c r="G19937" s="1">
        <v>57.0</v>
      </c>
    </row>
    <row r="19938">
      <c r="A19938" s="1" t="s">
        <v>7</v>
      </c>
      <c r="B19938" s="2">
        <v>44796.0</v>
      </c>
      <c r="C19938" s="3">
        <v>0.6928240740740741</v>
      </c>
      <c r="D19938" s="1">
        <v>12.889681</v>
      </c>
      <c r="E19938" s="1">
        <v>80.08432</v>
      </c>
      <c r="F19938" s="1">
        <v>3143.0</v>
      </c>
      <c r="G19938" s="1">
        <v>52.0</v>
      </c>
    </row>
    <row r="19939">
      <c r="A19939" s="1" t="s">
        <v>7</v>
      </c>
      <c r="B19939" s="2">
        <v>44796.0</v>
      </c>
      <c r="C19939" s="3">
        <v>0.6928472222222222</v>
      </c>
      <c r="D19939" s="1">
        <v>12.891717</v>
      </c>
      <c r="E19939" s="1">
        <v>80.085228</v>
      </c>
      <c r="F19939" s="1">
        <v>5339.0</v>
      </c>
      <c r="G19939" s="1">
        <v>56.0</v>
      </c>
    </row>
    <row r="19940">
      <c r="A19940" s="1" t="s">
        <v>7</v>
      </c>
      <c r="B19940" s="2">
        <v>44796.0</v>
      </c>
      <c r="C19940" s="3">
        <v>0.692974537037037</v>
      </c>
      <c r="D19940" s="1">
        <v>12.89295</v>
      </c>
      <c r="E19940" s="1">
        <v>80.086044</v>
      </c>
      <c r="F19940" s="1">
        <v>5339.0</v>
      </c>
      <c r="G19940" s="1">
        <v>58.0</v>
      </c>
    </row>
    <row r="19941">
      <c r="A19941" s="1" t="s">
        <v>8</v>
      </c>
      <c r="B19941" s="2">
        <v>44796.0</v>
      </c>
      <c r="C19941" s="3">
        <v>0.6930671296296296</v>
      </c>
      <c r="D19941" s="1">
        <v>12.892242</v>
      </c>
      <c r="E19941" s="1">
        <v>80.085567</v>
      </c>
      <c r="F19941" s="1">
        <v>3143.0</v>
      </c>
      <c r="G19941" s="1">
        <v>53.0</v>
      </c>
    </row>
    <row r="19942">
      <c r="A19942" s="1" t="s">
        <v>8</v>
      </c>
      <c r="B19942" s="2">
        <v>44796.0</v>
      </c>
      <c r="C19942" s="3">
        <v>0.6932870370370371</v>
      </c>
      <c r="D19942" s="1">
        <v>12.894416</v>
      </c>
      <c r="E19942" s="1">
        <v>80.087199</v>
      </c>
      <c r="F19942" s="1">
        <v>3143.0</v>
      </c>
      <c r="G19942" s="1">
        <v>55.0</v>
      </c>
    </row>
    <row r="19943">
      <c r="A19943" s="1" t="s">
        <v>8</v>
      </c>
      <c r="B19943" s="2">
        <v>44796.0</v>
      </c>
      <c r="C19943" s="3">
        <v>0.6939467592592593</v>
      </c>
      <c r="D19943" s="1">
        <v>12.901373</v>
      </c>
      <c r="E19943" s="1">
        <v>80.092399</v>
      </c>
      <c r="F19943" s="1">
        <v>3143.0</v>
      </c>
      <c r="G19943" s="1">
        <v>55.0</v>
      </c>
    </row>
    <row r="19944">
      <c r="A19944" s="1" t="s">
        <v>7</v>
      </c>
      <c r="B19944" s="2">
        <v>44796.0</v>
      </c>
      <c r="C19944" s="3">
        <v>0.6940625</v>
      </c>
      <c r="D19944" s="1">
        <v>12.902404</v>
      </c>
      <c r="E19944" s="1">
        <v>80.093199</v>
      </c>
      <c r="F19944" s="1">
        <v>3143.0</v>
      </c>
      <c r="G19944" s="1">
        <v>51.0</v>
      </c>
    </row>
    <row r="19945">
      <c r="A19945" s="1" t="s">
        <v>8</v>
      </c>
      <c r="B19945" s="2">
        <v>44796.0</v>
      </c>
      <c r="C19945" s="3">
        <v>0.695474537037037</v>
      </c>
      <c r="D19945" s="1">
        <v>12.909929</v>
      </c>
      <c r="E19945" s="1">
        <v>80.099938</v>
      </c>
      <c r="F19945" s="1">
        <v>5339.0</v>
      </c>
      <c r="G19945" s="1">
        <v>39.0</v>
      </c>
    </row>
    <row r="19946">
      <c r="A19946" s="1" t="s">
        <v>8</v>
      </c>
      <c r="B19946" s="2">
        <v>44796.0</v>
      </c>
      <c r="C19946" s="3">
        <v>0.6956365740740741</v>
      </c>
      <c r="D19946" s="1">
        <v>12.911215</v>
      </c>
      <c r="E19946" s="1">
        <v>80.101231</v>
      </c>
      <c r="F19946" s="1">
        <v>5339.0</v>
      </c>
      <c r="G19946" s="1">
        <v>32.0</v>
      </c>
    </row>
    <row r="19947">
      <c r="A19947" s="1" t="s">
        <v>8</v>
      </c>
      <c r="B19947" s="2">
        <v>44796.0</v>
      </c>
      <c r="C19947" s="3">
        <v>0.6956481481481481</v>
      </c>
      <c r="D19947" s="1">
        <v>12.911215</v>
      </c>
      <c r="E19947" s="1">
        <v>80.101231</v>
      </c>
      <c r="F19947" s="1">
        <v>5339.0</v>
      </c>
      <c r="G19947" s="1">
        <v>32.0</v>
      </c>
    </row>
    <row r="19948">
      <c r="A19948" s="1" t="s">
        <v>8</v>
      </c>
      <c r="B19948" s="2">
        <v>44796.0</v>
      </c>
      <c r="C19948" s="3">
        <v>0.6956597222222223</v>
      </c>
      <c r="D19948" s="1">
        <v>12.911215</v>
      </c>
      <c r="E19948" s="1">
        <v>80.101231</v>
      </c>
      <c r="F19948" s="1">
        <v>5339.0</v>
      </c>
      <c r="G19948" s="1">
        <v>32.0</v>
      </c>
    </row>
    <row r="19949">
      <c r="A19949" s="1" t="s">
        <v>8</v>
      </c>
      <c r="B19949" s="2">
        <v>44796.0</v>
      </c>
      <c r="C19949" s="3">
        <v>0.6957175925925926</v>
      </c>
      <c r="D19949" s="1">
        <v>12.911743</v>
      </c>
      <c r="E19949" s="1">
        <v>80.101359</v>
      </c>
      <c r="F19949" s="1">
        <v>3143.0</v>
      </c>
      <c r="G19949" s="1">
        <v>31.0</v>
      </c>
    </row>
    <row r="19950">
      <c r="A19950" s="1" t="s">
        <v>7</v>
      </c>
      <c r="B19950" s="2">
        <v>44796.0</v>
      </c>
      <c r="C19950" s="3">
        <v>0.6962847222222223</v>
      </c>
      <c r="D19950" s="1">
        <v>12.916047</v>
      </c>
      <c r="E19950" s="1">
        <v>80.105291</v>
      </c>
      <c r="F19950" s="1">
        <v>3143.0</v>
      </c>
      <c r="G19950" s="1">
        <v>57.0</v>
      </c>
    </row>
    <row r="19951">
      <c r="A19951" s="1" t="s">
        <v>8</v>
      </c>
      <c r="B19951" s="2">
        <v>44796.0</v>
      </c>
      <c r="C19951" s="3">
        <v>0.696412037037037</v>
      </c>
      <c r="D19951" s="1">
        <v>12.916028</v>
      </c>
      <c r="E19951" s="1">
        <v>80.105331</v>
      </c>
      <c r="F19951" s="1">
        <v>5339.0</v>
      </c>
      <c r="G19951" s="1">
        <v>53.0</v>
      </c>
    </row>
    <row r="19952">
      <c r="A19952" s="1" t="s">
        <v>8</v>
      </c>
      <c r="B19952" s="2">
        <v>44796.0</v>
      </c>
      <c r="C19952" s="3">
        <v>0.6969675925925926</v>
      </c>
      <c r="D19952" s="1">
        <v>12.917826</v>
      </c>
      <c r="E19952" s="1">
        <v>80.108298</v>
      </c>
      <c r="F19952" s="1">
        <v>3143.0</v>
      </c>
      <c r="G19952" s="1">
        <v>45.0</v>
      </c>
    </row>
    <row r="19953">
      <c r="A19953" s="1" t="s">
        <v>7</v>
      </c>
      <c r="B19953" s="2">
        <v>44796.0</v>
      </c>
      <c r="C19953" s="3">
        <v>0.6971759259259259</v>
      </c>
      <c r="D19953" s="1">
        <v>12.919435</v>
      </c>
      <c r="E19953" s="1">
        <v>80.11028</v>
      </c>
      <c r="F19953" s="1">
        <v>3143.0</v>
      </c>
      <c r="G19953" s="1">
        <v>56.0</v>
      </c>
    </row>
    <row r="19954">
      <c r="A19954" s="1" t="s">
        <v>8</v>
      </c>
      <c r="B19954" s="2">
        <v>44796.0</v>
      </c>
      <c r="C19954" s="3">
        <v>0.6987731481481482</v>
      </c>
      <c r="D19954" s="1">
        <v>12.927214</v>
      </c>
      <c r="E19954" s="1">
        <v>80.118326</v>
      </c>
      <c r="F19954" s="1">
        <v>3143.0</v>
      </c>
      <c r="G19954" s="1">
        <v>24.0</v>
      </c>
    </row>
    <row r="19955">
      <c r="A19955" s="1" t="s">
        <v>8</v>
      </c>
      <c r="B19955" s="2">
        <v>44796.0</v>
      </c>
      <c r="C19955" s="3">
        <v>0.6989699074074074</v>
      </c>
      <c r="D19955" s="1">
        <v>12.928494</v>
      </c>
      <c r="E19955" s="1">
        <v>80.119574</v>
      </c>
      <c r="F19955" s="1">
        <v>3143.0</v>
      </c>
      <c r="G19955" s="1">
        <v>39.0</v>
      </c>
    </row>
    <row r="19956">
      <c r="A19956" s="1" t="s">
        <v>8</v>
      </c>
      <c r="B19956" s="2">
        <v>44796.0</v>
      </c>
      <c r="C19956" s="3">
        <v>0.6989930555555556</v>
      </c>
      <c r="D19956" s="1">
        <v>12.927945</v>
      </c>
      <c r="E19956" s="1">
        <v>80.119084</v>
      </c>
      <c r="F19956" s="1">
        <v>5339.0</v>
      </c>
      <c r="G19956" s="1">
        <v>41.0</v>
      </c>
    </row>
    <row r="19957">
      <c r="A19957" s="1" t="s">
        <v>8</v>
      </c>
      <c r="B19957" s="2">
        <v>44796.0</v>
      </c>
      <c r="C19957" s="3">
        <v>0.7001967592592593</v>
      </c>
      <c r="D19957" s="1">
        <v>12.932937</v>
      </c>
      <c r="E19957" s="1">
        <v>80.124074</v>
      </c>
      <c r="F19957" s="1">
        <v>3143.0</v>
      </c>
      <c r="G19957" s="1">
        <v>49.0</v>
      </c>
    </row>
    <row r="19958">
      <c r="A19958" s="1" t="s">
        <v>7</v>
      </c>
      <c r="B19958" s="2">
        <v>44796.0</v>
      </c>
      <c r="C19958" s="3">
        <v>0.7018287037037036</v>
      </c>
      <c r="D19958" s="1">
        <v>12.940685</v>
      </c>
      <c r="E19958" s="1">
        <v>80.131196</v>
      </c>
      <c r="F19958" s="1">
        <v>5339.0</v>
      </c>
      <c r="G19958" s="1">
        <v>57.0</v>
      </c>
    </row>
    <row r="19959">
      <c r="A19959" s="1" t="s">
        <v>8</v>
      </c>
      <c r="B19959" s="2">
        <v>44796.0</v>
      </c>
      <c r="C19959" s="3">
        <v>0.7023495370370371</v>
      </c>
      <c r="D19959" s="1">
        <v>12.942722</v>
      </c>
      <c r="E19959" s="1">
        <v>80.133311</v>
      </c>
      <c r="F19959" s="1">
        <v>5339.0</v>
      </c>
      <c r="G19959" s="1">
        <v>24.0</v>
      </c>
    </row>
    <row r="19960">
      <c r="A19960" s="1" t="s">
        <v>8</v>
      </c>
      <c r="B19960" s="2">
        <v>44796.0</v>
      </c>
      <c r="C19960" s="3">
        <v>0.7023611111111111</v>
      </c>
      <c r="D19960" s="1">
        <v>12.942722</v>
      </c>
      <c r="E19960" s="1">
        <v>80.133311</v>
      </c>
      <c r="F19960" s="1">
        <v>5339.0</v>
      </c>
      <c r="G19960" s="1">
        <v>24.0</v>
      </c>
    </row>
    <row r="19961">
      <c r="A19961" s="1" t="s">
        <v>8</v>
      </c>
      <c r="B19961" s="2">
        <v>44796.0</v>
      </c>
      <c r="C19961" s="3">
        <v>0.7023611111111111</v>
      </c>
      <c r="D19961" s="1">
        <v>12.942722</v>
      </c>
      <c r="E19961" s="1">
        <v>80.133311</v>
      </c>
      <c r="F19961" s="1">
        <v>5339.0</v>
      </c>
      <c r="G19961" s="1">
        <v>24.0</v>
      </c>
    </row>
    <row r="19962">
      <c r="A19962" s="1" t="s">
        <v>8</v>
      </c>
      <c r="B19962" s="2">
        <v>44796.0</v>
      </c>
      <c r="C19962" s="3">
        <v>0.7023726851851851</v>
      </c>
      <c r="D19962" s="1">
        <v>12.942722</v>
      </c>
      <c r="E19962" s="1">
        <v>80.133311</v>
      </c>
      <c r="F19962" s="1">
        <v>5339.0</v>
      </c>
      <c r="G19962" s="1">
        <v>24.0</v>
      </c>
    </row>
    <row r="19963">
      <c r="A19963" s="1" t="s">
        <v>8</v>
      </c>
      <c r="B19963" s="2">
        <v>44796.0</v>
      </c>
      <c r="C19963" s="3">
        <v>0.7023842592592593</v>
      </c>
      <c r="D19963" s="1">
        <v>12.942722</v>
      </c>
      <c r="E19963" s="1">
        <v>80.133311</v>
      </c>
      <c r="F19963" s="1">
        <v>5339.0</v>
      </c>
      <c r="G19963" s="1">
        <v>24.0</v>
      </c>
    </row>
    <row r="19964">
      <c r="A19964" s="1" t="s">
        <v>8</v>
      </c>
      <c r="B19964" s="2">
        <v>44796.0</v>
      </c>
      <c r="C19964" s="3">
        <v>0.7024074074074074</v>
      </c>
      <c r="D19964" s="1">
        <v>12.943761</v>
      </c>
      <c r="E19964" s="1">
        <v>80.134333</v>
      </c>
      <c r="F19964" s="1">
        <v>3143.0</v>
      </c>
      <c r="G19964" s="1">
        <v>41.0</v>
      </c>
    </row>
    <row r="19965">
      <c r="A19965" s="1" t="s">
        <v>7</v>
      </c>
      <c r="B19965" s="2">
        <v>44796.0</v>
      </c>
      <c r="C19965" s="3">
        <v>0.7025578703703703</v>
      </c>
      <c r="D19965" s="1">
        <v>12.944725</v>
      </c>
      <c r="E19965" s="1">
        <v>80.135051</v>
      </c>
      <c r="F19965" s="1">
        <v>3143.0</v>
      </c>
      <c r="G19965" s="1">
        <v>54.0</v>
      </c>
    </row>
    <row r="19966">
      <c r="A19966" s="1" t="s">
        <v>8</v>
      </c>
      <c r="B19966" s="2">
        <v>44796.0</v>
      </c>
      <c r="C19966" s="3">
        <v>0.7026273148148148</v>
      </c>
      <c r="D19966" s="1">
        <v>12.943687</v>
      </c>
      <c r="E19966" s="1">
        <v>80.13427</v>
      </c>
      <c r="F19966" s="1">
        <v>5339.0</v>
      </c>
      <c r="G19966" s="1">
        <v>30.0</v>
      </c>
    </row>
    <row r="19967">
      <c r="A19967" s="1" t="s">
        <v>8</v>
      </c>
      <c r="B19967" s="2">
        <v>44796.0</v>
      </c>
      <c r="C19967" s="3">
        <v>0.7026736111111112</v>
      </c>
      <c r="D19967" s="1">
        <v>12.945892</v>
      </c>
      <c r="E19967" s="1">
        <v>80.135963</v>
      </c>
      <c r="F19967" s="1">
        <v>3143.0</v>
      </c>
      <c r="G19967" s="1">
        <v>55.0</v>
      </c>
    </row>
    <row r="19968">
      <c r="A19968" s="1" t="s">
        <v>8</v>
      </c>
      <c r="B19968" s="2">
        <v>44796.0</v>
      </c>
      <c r="C19968" s="3">
        <v>0.7028125</v>
      </c>
      <c r="D19968" s="1">
        <v>12.945082</v>
      </c>
      <c r="E19968" s="1">
        <v>80.135359</v>
      </c>
      <c r="F19968" s="1">
        <v>5339.0</v>
      </c>
      <c r="G19968" s="1">
        <v>41.0</v>
      </c>
    </row>
    <row r="19969">
      <c r="A19969" s="1" t="s">
        <v>7</v>
      </c>
      <c r="B19969" s="2">
        <v>44796.0</v>
      </c>
      <c r="C19969" s="3">
        <v>0.7030439814814815</v>
      </c>
      <c r="D19969" s="1">
        <v>12.948422</v>
      </c>
      <c r="E19969" s="1">
        <v>80.137833</v>
      </c>
      <c r="F19969" s="1">
        <v>3143.0</v>
      </c>
      <c r="G19969" s="1">
        <v>50.0</v>
      </c>
    </row>
    <row r="19970">
      <c r="A19970" s="1" t="s">
        <v>7</v>
      </c>
      <c r="B19970" s="2">
        <v>44796.0</v>
      </c>
      <c r="C19970" s="3">
        <v>0.7033333333333334</v>
      </c>
      <c r="D19970" s="1">
        <v>12.94882</v>
      </c>
      <c r="E19970" s="1">
        <v>80.138119</v>
      </c>
      <c r="F19970" s="1">
        <v>5339.0</v>
      </c>
      <c r="G19970" s="1">
        <v>49.0</v>
      </c>
    </row>
    <row r="19971">
      <c r="A19971" s="1" t="s">
        <v>8</v>
      </c>
      <c r="B19971" s="2">
        <v>44796.0</v>
      </c>
      <c r="C19971" s="3">
        <v>0.7037037037037037</v>
      </c>
      <c r="D19971" s="1">
        <v>12.951787</v>
      </c>
      <c r="E19971" s="1">
        <v>80.140495</v>
      </c>
      <c r="F19971" s="1">
        <v>5339.0</v>
      </c>
      <c r="G19971" s="1">
        <v>47.0</v>
      </c>
    </row>
    <row r="19972">
      <c r="A19972" s="1" t="s">
        <v>8</v>
      </c>
      <c r="B19972" s="2">
        <v>44796.0</v>
      </c>
      <c r="C19972" s="3">
        <v>0.70375</v>
      </c>
      <c r="D19972" s="1">
        <v>12.953142</v>
      </c>
      <c r="E19972" s="1">
        <v>80.141469</v>
      </c>
      <c r="F19972" s="1">
        <v>3143.0</v>
      </c>
      <c r="G19972" s="1">
        <v>43.0</v>
      </c>
    </row>
    <row r="19973">
      <c r="A19973" s="1" t="s">
        <v>8</v>
      </c>
      <c r="B19973" s="2">
        <v>44796.0</v>
      </c>
      <c r="C19973" s="3">
        <v>0.703761574074074</v>
      </c>
      <c r="D19973" s="1">
        <v>12.953142</v>
      </c>
      <c r="E19973" s="1">
        <v>80.141469</v>
      </c>
      <c r="F19973" s="1">
        <v>3143.0</v>
      </c>
      <c r="G19973" s="1">
        <v>43.0</v>
      </c>
    </row>
    <row r="19974">
      <c r="A19974" s="1" t="s">
        <v>8</v>
      </c>
      <c r="B19974" s="2">
        <v>44796.0</v>
      </c>
      <c r="C19974" s="3">
        <v>0.7039120370370371</v>
      </c>
      <c r="D19974" s="1">
        <v>12.953607</v>
      </c>
      <c r="E19974" s="1">
        <v>80.141735</v>
      </c>
      <c r="F19974" s="1">
        <v>5339.0</v>
      </c>
      <c r="G19974" s="1">
        <v>43.0</v>
      </c>
    </row>
    <row r="19975">
      <c r="A19975" s="1" t="s">
        <v>8</v>
      </c>
      <c r="B19975" s="2">
        <v>44796.0</v>
      </c>
      <c r="C19975" s="3">
        <v>0.7040972222222223</v>
      </c>
      <c r="D19975" s="1">
        <v>12.955542</v>
      </c>
      <c r="E19975" s="1">
        <v>80.142712</v>
      </c>
      <c r="F19975" s="1">
        <v>5339.0</v>
      </c>
      <c r="G19975" s="1">
        <v>35.0</v>
      </c>
    </row>
    <row r="19976">
      <c r="A19976" s="1" t="s">
        <v>8</v>
      </c>
      <c r="B19976" s="2">
        <v>44796.0</v>
      </c>
      <c r="C19976" s="3">
        <v>0.7041087962962963</v>
      </c>
      <c r="D19976" s="1">
        <v>12.955542</v>
      </c>
      <c r="E19976" s="1">
        <v>80.142712</v>
      </c>
      <c r="F19976" s="1">
        <v>5339.0</v>
      </c>
      <c r="G19976" s="1">
        <v>35.0</v>
      </c>
    </row>
    <row r="19977">
      <c r="A19977" s="1" t="s">
        <v>9</v>
      </c>
      <c r="B19977" s="2">
        <v>44796.0</v>
      </c>
      <c r="C19977" s="3">
        <v>0.7041435185185185</v>
      </c>
      <c r="D19977" s="1">
        <v>12.956839</v>
      </c>
      <c r="E19977" s="1">
        <v>80.143373</v>
      </c>
      <c r="F19977" s="1">
        <v>3143.0</v>
      </c>
      <c r="G19977" s="1">
        <v>29.0</v>
      </c>
    </row>
    <row r="19978">
      <c r="A19978" s="1" t="s">
        <v>8</v>
      </c>
      <c r="B19978" s="2">
        <v>44796.0</v>
      </c>
      <c r="C19978" s="3">
        <v>0.7043287037037037</v>
      </c>
      <c r="D19978" s="1">
        <v>12.95675</v>
      </c>
      <c r="E19978" s="1">
        <v>80.143354</v>
      </c>
      <c r="F19978" s="1">
        <v>5339.0</v>
      </c>
      <c r="G19978" s="1">
        <v>27.0</v>
      </c>
    </row>
    <row r="19979">
      <c r="A19979" s="1" t="s">
        <v>8</v>
      </c>
      <c r="B19979" s="2">
        <v>44796.0</v>
      </c>
      <c r="C19979" s="3">
        <v>0.7043402777777777</v>
      </c>
      <c r="D19979" s="1">
        <v>12.95675</v>
      </c>
      <c r="E19979" s="1">
        <v>80.143354</v>
      </c>
      <c r="F19979" s="1">
        <v>5339.0</v>
      </c>
      <c r="G19979" s="1">
        <v>27.0</v>
      </c>
    </row>
    <row r="19980">
      <c r="A19980" s="1" t="s">
        <v>9</v>
      </c>
      <c r="B19980" s="2">
        <v>44796.0</v>
      </c>
      <c r="C19980" s="3">
        <v>0.7046527777777778</v>
      </c>
      <c r="D19980" s="1">
        <v>12.956839</v>
      </c>
      <c r="E19980" s="1">
        <v>80.143373</v>
      </c>
      <c r="F19980" s="1">
        <v>3143.0</v>
      </c>
      <c r="G19980" s="1">
        <v>29.0</v>
      </c>
    </row>
    <row r="19981">
      <c r="A19981" s="1" t="s">
        <v>8</v>
      </c>
      <c r="B19981" s="2">
        <v>44796.0</v>
      </c>
      <c r="C19981" s="3">
        <v>0.7054513888888889</v>
      </c>
      <c r="D19981" s="1">
        <v>12.960858</v>
      </c>
      <c r="E19981" s="1">
        <v>80.145446</v>
      </c>
      <c r="F19981" s="1">
        <v>5339.0</v>
      </c>
      <c r="G19981" s="1">
        <v>25.0</v>
      </c>
    </row>
    <row r="19982">
      <c r="A19982" s="1" t="s">
        <v>8</v>
      </c>
      <c r="B19982" s="2">
        <v>44796.0</v>
      </c>
      <c r="C19982" s="3">
        <v>0.7060648148148149</v>
      </c>
      <c r="D19982" s="1">
        <v>12.968496</v>
      </c>
      <c r="E19982" s="1">
        <v>80.149645</v>
      </c>
      <c r="F19982" s="1">
        <v>3143.0</v>
      </c>
      <c r="G19982" s="1">
        <v>52.0</v>
      </c>
    </row>
    <row r="19983">
      <c r="A19983" s="1" t="s">
        <v>8</v>
      </c>
      <c r="B19983" s="2">
        <v>44796.0</v>
      </c>
      <c r="C19983" s="3">
        <v>0.7061689814814814</v>
      </c>
      <c r="D19983" s="1">
        <v>12.969776</v>
      </c>
      <c r="E19983" s="1">
        <v>80.150235</v>
      </c>
      <c r="F19983" s="1">
        <v>3143.0</v>
      </c>
      <c r="G19983" s="1">
        <v>56.0</v>
      </c>
    </row>
    <row r="19984">
      <c r="A19984" s="1" t="s">
        <v>8</v>
      </c>
      <c r="B19984" s="2">
        <v>44796.0</v>
      </c>
      <c r="C19984" s="3">
        <v>0.7062615740740741</v>
      </c>
      <c r="D19984" s="1">
        <v>12.966199</v>
      </c>
      <c r="E19984" s="1">
        <v>80.148502</v>
      </c>
      <c r="F19984" s="1">
        <v>5339.0</v>
      </c>
      <c r="G19984" s="1">
        <v>39.0</v>
      </c>
    </row>
    <row r="19985">
      <c r="A19985" s="1" t="s">
        <v>8</v>
      </c>
      <c r="B19985" s="2">
        <v>44796.0</v>
      </c>
      <c r="C19985" s="3">
        <v>0.7063425925925926</v>
      </c>
      <c r="D19985" s="1">
        <v>12.966199</v>
      </c>
      <c r="E19985" s="1">
        <v>80.148502</v>
      </c>
      <c r="F19985" s="1">
        <v>5339.0</v>
      </c>
      <c r="G19985" s="1">
        <v>39.0</v>
      </c>
    </row>
    <row r="19986">
      <c r="A19986" s="1" t="s">
        <v>8</v>
      </c>
      <c r="B19986" s="2">
        <v>44796.0</v>
      </c>
      <c r="C19986" s="3">
        <v>0.7065509259259259</v>
      </c>
      <c r="D19986" s="1">
        <v>12.972839</v>
      </c>
      <c r="E19986" s="1">
        <v>80.152354</v>
      </c>
      <c r="F19986" s="1">
        <v>3143.0</v>
      </c>
      <c r="G19986" s="1">
        <v>52.0</v>
      </c>
    </row>
    <row r="19987">
      <c r="A19987" s="1" t="s">
        <v>7</v>
      </c>
      <c r="B19987" s="2">
        <v>44796.0</v>
      </c>
      <c r="C19987" s="3">
        <v>0.7067245370370371</v>
      </c>
      <c r="D19987" s="1">
        <v>12.970259</v>
      </c>
      <c r="E19987" s="1">
        <v>80.150447</v>
      </c>
      <c r="F19987" s="1">
        <v>5339.0</v>
      </c>
      <c r="G19987" s="1">
        <v>54.0</v>
      </c>
    </row>
    <row r="19988">
      <c r="A19988" s="1" t="s">
        <v>8</v>
      </c>
      <c r="B19988" s="2">
        <v>44796.0</v>
      </c>
      <c r="C19988" s="3">
        <v>0.706875</v>
      </c>
      <c r="D19988" s="1">
        <v>12.974914</v>
      </c>
      <c r="E19988" s="1">
        <v>80.155445</v>
      </c>
      <c r="F19988" s="1">
        <v>3143.0</v>
      </c>
      <c r="G19988" s="1">
        <v>43.0</v>
      </c>
    </row>
    <row r="19989">
      <c r="A19989" s="1" t="s">
        <v>7</v>
      </c>
      <c r="B19989" s="2">
        <v>44796.0</v>
      </c>
      <c r="C19989" s="3">
        <v>0.7070601851851852</v>
      </c>
      <c r="D19989" s="1">
        <v>12.976387</v>
      </c>
      <c r="E19989" s="1">
        <v>80.157572</v>
      </c>
      <c r="F19989" s="1">
        <v>3143.0</v>
      </c>
      <c r="G19989" s="1">
        <v>55.0</v>
      </c>
    </row>
    <row r="19990">
      <c r="A19990" s="1" t="s">
        <v>8</v>
      </c>
      <c r="B19990" s="2">
        <v>44796.0</v>
      </c>
      <c r="C19990" s="3">
        <v>0.7072685185185185</v>
      </c>
      <c r="D19990" s="1">
        <v>12.974112</v>
      </c>
      <c r="E19990" s="1">
        <v>80.154319</v>
      </c>
      <c r="F19990" s="1">
        <v>5339.0</v>
      </c>
      <c r="G19990" s="1">
        <v>53.0</v>
      </c>
    </row>
    <row r="19991">
      <c r="A19991" s="1" t="s">
        <v>8</v>
      </c>
      <c r="B19991" s="2">
        <v>44796.0</v>
      </c>
      <c r="C19991" s="3">
        <v>0.7072916666666667</v>
      </c>
      <c r="D19991" s="1">
        <v>12.974112</v>
      </c>
      <c r="E19991" s="1">
        <v>80.154319</v>
      </c>
      <c r="F19991" s="1">
        <v>5339.0</v>
      </c>
      <c r="G19991" s="1">
        <v>53.0</v>
      </c>
    </row>
    <row r="19992">
      <c r="A19992" s="1" t="s">
        <v>8</v>
      </c>
      <c r="B19992" s="2">
        <v>44796.0</v>
      </c>
      <c r="C19992" s="3">
        <v>0.7073611111111111</v>
      </c>
      <c r="D19992" s="1">
        <v>12.974826</v>
      </c>
      <c r="E19992" s="1">
        <v>80.155338</v>
      </c>
      <c r="F19992" s="1">
        <v>5339.0</v>
      </c>
      <c r="G19992" s="1">
        <v>42.0</v>
      </c>
    </row>
    <row r="19993">
      <c r="A19993" s="1" t="s">
        <v>7</v>
      </c>
      <c r="B19993" s="2">
        <v>44796.0</v>
      </c>
      <c r="C19993" s="3">
        <v>0.7073726851851851</v>
      </c>
      <c r="D19993" s="1">
        <v>12.97888</v>
      </c>
      <c r="E19993" s="1">
        <v>80.161191</v>
      </c>
      <c r="F19993" s="1">
        <v>3143.0</v>
      </c>
      <c r="G19993" s="1">
        <v>58.0</v>
      </c>
    </row>
    <row r="19994">
      <c r="A19994" s="1" t="s">
        <v>8</v>
      </c>
      <c r="B19994" s="2">
        <v>44796.0</v>
      </c>
      <c r="C19994" s="3">
        <v>0.7077314814814815</v>
      </c>
      <c r="D19994" s="1">
        <v>12.98047</v>
      </c>
      <c r="E19994" s="1">
        <v>80.164778</v>
      </c>
      <c r="F19994" s="1">
        <v>3143.0</v>
      </c>
      <c r="G19994" s="1">
        <v>50.0</v>
      </c>
    </row>
    <row r="19995">
      <c r="A19995" s="1" t="s">
        <v>8</v>
      </c>
      <c r="B19995" s="2">
        <v>44796.0</v>
      </c>
      <c r="C19995" s="3">
        <v>0.7080439814814815</v>
      </c>
      <c r="D19995" s="1">
        <v>12.981732</v>
      </c>
      <c r="E19995" s="1">
        <v>80.167141</v>
      </c>
      <c r="F19995" s="1">
        <v>3143.0</v>
      </c>
      <c r="G19995" s="1">
        <v>52.0</v>
      </c>
    </row>
    <row r="19996">
      <c r="A19996" s="1" t="s">
        <v>8</v>
      </c>
      <c r="B19996" s="2">
        <v>44796.0</v>
      </c>
      <c r="C19996" s="3">
        <v>0.7083449074074074</v>
      </c>
      <c r="D19996" s="1">
        <v>12.979882</v>
      </c>
      <c r="E19996" s="1">
        <v>80.16284</v>
      </c>
      <c r="F19996" s="1">
        <v>5339.0</v>
      </c>
      <c r="G19996" s="1">
        <v>43.0</v>
      </c>
    </row>
    <row r="19997">
      <c r="A19997" s="1" t="s">
        <v>8</v>
      </c>
      <c r="B19997" s="2">
        <v>44796.0</v>
      </c>
      <c r="C19997" s="3">
        <v>0.7085532407407408</v>
      </c>
      <c r="D19997" s="1">
        <v>12.980592</v>
      </c>
      <c r="E19997" s="1">
        <v>80.165088</v>
      </c>
      <c r="F19997" s="1">
        <v>5339.0</v>
      </c>
      <c r="G19997" s="1">
        <v>44.0</v>
      </c>
    </row>
    <row r="19998">
      <c r="A19998" s="1" t="s">
        <v>8</v>
      </c>
      <c r="B19998" s="2">
        <v>44796.0</v>
      </c>
      <c r="C19998" s="3">
        <v>0.708761574074074</v>
      </c>
      <c r="D19998" s="1">
        <v>12.981872</v>
      </c>
      <c r="E19998" s="1">
        <v>80.167296</v>
      </c>
      <c r="F19998" s="1">
        <v>5339.0</v>
      </c>
      <c r="G19998" s="1">
        <v>56.0</v>
      </c>
    </row>
    <row r="19999">
      <c r="A19999" s="1" t="s">
        <v>7</v>
      </c>
      <c r="B19999" s="2">
        <v>44796.0</v>
      </c>
      <c r="C19999" s="3">
        <v>0.7090509259259259</v>
      </c>
      <c r="D19999" s="1">
        <v>12.984174</v>
      </c>
      <c r="E19999" s="1">
        <v>80.171181</v>
      </c>
      <c r="F19999" s="1">
        <v>5339.0</v>
      </c>
      <c r="G19999" s="1">
        <v>63.0</v>
      </c>
    </row>
    <row r="20000">
      <c r="A20000" s="1" t="s">
        <v>8</v>
      </c>
      <c r="B20000" s="2">
        <v>44796.0</v>
      </c>
      <c r="C20000" s="3">
        <v>0.7094560185185185</v>
      </c>
      <c r="D20000" s="1">
        <v>12.986548</v>
      </c>
      <c r="E20000" s="1">
        <v>80.174816</v>
      </c>
      <c r="F20000" s="1">
        <v>3143.0</v>
      </c>
      <c r="G20000" s="1">
        <v>33.0</v>
      </c>
    </row>
    <row r="20001">
      <c r="A20001" s="1" t="s">
        <v>8</v>
      </c>
      <c r="B20001" s="2">
        <v>44796.0</v>
      </c>
      <c r="C20001" s="3">
        <v>0.7095486111111111</v>
      </c>
      <c r="D20001" s="1">
        <v>12.986548</v>
      </c>
      <c r="E20001" s="1">
        <v>80.174816</v>
      </c>
      <c r="F20001" s="1">
        <v>3143.0</v>
      </c>
      <c r="G20001" s="1">
        <v>33.0</v>
      </c>
    </row>
    <row r="20002">
      <c r="A20002" s="1" t="s">
        <v>8</v>
      </c>
      <c r="B20002" s="2">
        <v>44796.0</v>
      </c>
      <c r="C20002" s="3">
        <v>0.7098032407407407</v>
      </c>
      <c r="D20002" s="1">
        <v>12.987845</v>
      </c>
      <c r="E20002" s="1">
        <v>80.176584</v>
      </c>
      <c r="F20002" s="1">
        <v>3143.0</v>
      </c>
      <c r="G20002" s="1">
        <v>35.0</v>
      </c>
    </row>
    <row r="20003">
      <c r="A20003" s="1" t="s">
        <v>8</v>
      </c>
      <c r="B20003" s="2">
        <v>44796.0</v>
      </c>
      <c r="C20003" s="3">
        <v>0.7107523148148148</v>
      </c>
      <c r="D20003" s="1">
        <v>12.990029</v>
      </c>
      <c r="E20003" s="1">
        <v>80.179501</v>
      </c>
      <c r="F20003" s="1">
        <v>3143.0</v>
      </c>
      <c r="G20003" s="1">
        <v>41.0</v>
      </c>
    </row>
    <row r="20004">
      <c r="A20004" s="1" t="s">
        <v>8</v>
      </c>
      <c r="B20004" s="2">
        <v>44796.0</v>
      </c>
      <c r="C20004" s="3">
        <v>0.7109143518518518</v>
      </c>
      <c r="D20004" s="1">
        <v>12.987587</v>
      </c>
      <c r="E20004" s="1">
        <v>80.176297</v>
      </c>
      <c r="F20004" s="1">
        <v>5339.0</v>
      </c>
      <c r="G20004" s="1">
        <v>32.0</v>
      </c>
    </row>
    <row r="20005">
      <c r="A20005" s="1" t="s">
        <v>8</v>
      </c>
      <c r="B20005" s="2">
        <v>44796.0</v>
      </c>
      <c r="C20005" s="3">
        <v>0.7109837962962963</v>
      </c>
      <c r="D20005" s="1">
        <v>12.991482</v>
      </c>
      <c r="E20005" s="1">
        <v>80.18138</v>
      </c>
      <c r="F20005" s="1">
        <v>3143.0</v>
      </c>
      <c r="G20005" s="1">
        <v>45.0</v>
      </c>
    </row>
    <row r="20006">
      <c r="A20006" s="1" t="s">
        <v>8</v>
      </c>
      <c r="B20006" s="2">
        <v>44796.0</v>
      </c>
      <c r="C20006" s="3">
        <v>0.7111342592592592</v>
      </c>
      <c r="D20006" s="1">
        <v>12.992219</v>
      </c>
      <c r="E20006" s="1">
        <v>80.182346</v>
      </c>
      <c r="F20006" s="1">
        <v>3143.0</v>
      </c>
      <c r="G20006" s="1">
        <v>46.0</v>
      </c>
    </row>
    <row r="20007">
      <c r="A20007" s="1" t="s">
        <v>8</v>
      </c>
      <c r="B20007" s="2">
        <v>44796.0</v>
      </c>
      <c r="C20007" s="3">
        <v>0.7112962962962963</v>
      </c>
      <c r="D20007" s="1">
        <v>12.993417</v>
      </c>
      <c r="E20007" s="1">
        <v>80.184287</v>
      </c>
      <c r="F20007" s="1">
        <v>3143.0</v>
      </c>
      <c r="G20007" s="1">
        <v>35.0</v>
      </c>
    </row>
    <row r="20008">
      <c r="A20008" s="1" t="s">
        <v>8</v>
      </c>
      <c r="B20008" s="2">
        <v>44796.0</v>
      </c>
      <c r="C20008" s="3">
        <v>0.7116203703703704</v>
      </c>
      <c r="D20008" s="1">
        <v>12.989556</v>
      </c>
      <c r="E20008" s="1">
        <v>80.178946</v>
      </c>
      <c r="F20008" s="1">
        <v>5339.0</v>
      </c>
      <c r="G20008" s="1">
        <v>24.0</v>
      </c>
    </row>
    <row r="20009">
      <c r="A20009" s="1" t="s">
        <v>8</v>
      </c>
      <c r="B20009" s="2">
        <v>44796.0</v>
      </c>
      <c r="C20009" s="3">
        <v>0.7116319444444444</v>
      </c>
      <c r="D20009" s="1">
        <v>12.989556</v>
      </c>
      <c r="E20009" s="1">
        <v>80.178946</v>
      </c>
      <c r="F20009" s="1">
        <v>5339.0</v>
      </c>
      <c r="G20009" s="1">
        <v>24.0</v>
      </c>
    </row>
    <row r="20010">
      <c r="A20010" s="1" t="s">
        <v>7</v>
      </c>
      <c r="B20010" s="2">
        <v>44796.0</v>
      </c>
      <c r="C20010" s="3">
        <v>0.7116898148148149</v>
      </c>
      <c r="D20010" s="1">
        <v>12.99474</v>
      </c>
      <c r="E20010" s="1">
        <v>80.186816</v>
      </c>
      <c r="F20010" s="1">
        <v>3143.0</v>
      </c>
      <c r="G20010" s="1">
        <v>52.0</v>
      </c>
    </row>
    <row r="20011">
      <c r="A20011" s="1" t="s">
        <v>8</v>
      </c>
      <c r="B20011" s="2">
        <v>44796.0</v>
      </c>
      <c r="C20011" s="3">
        <v>0.7121643518518519</v>
      </c>
      <c r="D20011" s="1">
        <v>12.996896</v>
      </c>
      <c r="E20011" s="1">
        <v>80.190224</v>
      </c>
      <c r="F20011" s="1">
        <v>3143.0</v>
      </c>
      <c r="G20011" s="1">
        <v>47.0</v>
      </c>
    </row>
    <row r="20012">
      <c r="A20012" s="1" t="s">
        <v>7</v>
      </c>
      <c r="B20012" s="2">
        <v>44796.0</v>
      </c>
      <c r="C20012" s="3">
        <v>0.7121990740740741</v>
      </c>
      <c r="D20012" s="1">
        <v>12.992072</v>
      </c>
      <c r="E20012" s="1">
        <v>80.18221</v>
      </c>
      <c r="F20012" s="1">
        <v>5339.0</v>
      </c>
      <c r="G20012" s="1">
        <v>51.0</v>
      </c>
    </row>
    <row r="20013">
      <c r="A20013" s="1" t="s">
        <v>7</v>
      </c>
      <c r="B20013" s="2">
        <v>44796.0</v>
      </c>
      <c r="C20013" s="3">
        <v>0.7138541666666667</v>
      </c>
      <c r="D20013" s="1">
        <v>13.001984</v>
      </c>
      <c r="E20013" s="1">
        <v>80.196631</v>
      </c>
      <c r="F20013" s="1">
        <v>3143.0</v>
      </c>
      <c r="G20013" s="1">
        <v>41.0</v>
      </c>
    </row>
    <row r="20014">
      <c r="A20014" s="1" t="s">
        <v>7</v>
      </c>
      <c r="B20014" s="2">
        <v>44796.0</v>
      </c>
      <c r="C20014" s="3">
        <v>0.7141898148148148</v>
      </c>
      <c r="D20014" s="1">
        <v>13.001819</v>
      </c>
      <c r="E20014" s="1">
        <v>80.199479</v>
      </c>
      <c r="F20014" s="1">
        <v>3143.0</v>
      </c>
      <c r="G20014" s="1">
        <v>58.0</v>
      </c>
    </row>
    <row r="20015">
      <c r="A20015" s="1" t="s">
        <v>8</v>
      </c>
      <c r="B20015" s="2">
        <v>44796.0</v>
      </c>
      <c r="C20015" s="3">
        <v>0.7143634259259259</v>
      </c>
      <c r="D20015" s="1">
        <v>13.004104</v>
      </c>
      <c r="E20015" s="1">
        <v>80.200996</v>
      </c>
      <c r="F20015" s="1">
        <v>3143.0</v>
      </c>
      <c r="G20015" s="1">
        <v>58.0</v>
      </c>
    </row>
    <row r="20016">
      <c r="A20016" s="1" t="s">
        <v>8</v>
      </c>
      <c r="B20016" s="2">
        <v>44796.0</v>
      </c>
      <c r="C20016" s="3">
        <v>0.7144560185185185</v>
      </c>
      <c r="D20016" s="1">
        <v>13.005289</v>
      </c>
      <c r="E20016" s="1">
        <v>80.201514</v>
      </c>
      <c r="F20016" s="1">
        <v>3143.0</v>
      </c>
      <c r="G20016" s="1">
        <v>39.0</v>
      </c>
    </row>
    <row r="20017">
      <c r="A20017" s="1" t="s">
        <v>8</v>
      </c>
      <c r="B20017" s="2">
        <v>44796.0</v>
      </c>
      <c r="C20017" s="3">
        <v>0.7145601851851852</v>
      </c>
      <c r="D20017" s="1">
        <v>13.005289</v>
      </c>
      <c r="E20017" s="1">
        <v>80.201514</v>
      </c>
      <c r="F20017" s="1">
        <v>3143.0</v>
      </c>
      <c r="G20017" s="1">
        <v>39.0</v>
      </c>
    </row>
    <row r="20018">
      <c r="A20018" s="1" t="s">
        <v>9</v>
      </c>
      <c r="B20018" s="2">
        <v>44796.0</v>
      </c>
      <c r="C20018" s="3">
        <v>0.7145949074074074</v>
      </c>
      <c r="D20018" s="1">
        <v>13.005928</v>
      </c>
      <c r="E20018" s="1">
        <v>80.202361</v>
      </c>
      <c r="F20018" s="1">
        <v>3143.0</v>
      </c>
      <c r="G20018" s="1">
        <v>39.0</v>
      </c>
    </row>
    <row r="20019">
      <c r="A20019" s="1" t="s">
        <v>8</v>
      </c>
      <c r="B20019" s="2">
        <v>44796.0</v>
      </c>
      <c r="C20019" s="3">
        <v>0.7149074074074074</v>
      </c>
      <c r="D20019" s="1">
        <v>13.008184</v>
      </c>
      <c r="E20019" s="1">
        <v>80.203661</v>
      </c>
      <c r="F20019" s="1">
        <v>3143.0</v>
      </c>
      <c r="G20019" s="1">
        <v>34.0</v>
      </c>
    </row>
    <row r="20020">
      <c r="A20020" s="1" t="s">
        <v>8</v>
      </c>
      <c r="B20020" s="2">
        <v>44796.0</v>
      </c>
      <c r="C20020" s="3">
        <v>0.7152662037037038</v>
      </c>
      <c r="D20020" s="1">
        <v>13.007622</v>
      </c>
      <c r="E20020" s="1">
        <v>80.204213</v>
      </c>
      <c r="F20020" s="1">
        <v>3143.0</v>
      </c>
      <c r="G20020" s="1">
        <v>47.0</v>
      </c>
    </row>
    <row r="20021">
      <c r="A20021" s="1" t="s">
        <v>7</v>
      </c>
      <c r="B20021" s="2">
        <v>44796.0</v>
      </c>
      <c r="C20021" s="3">
        <v>0.7153819444444445</v>
      </c>
      <c r="D20021" s="1">
        <v>13.007667</v>
      </c>
      <c r="E20021" s="1">
        <v>80.205566</v>
      </c>
      <c r="F20021" s="1">
        <v>3143.0</v>
      </c>
      <c r="G20021" s="1">
        <v>56.0</v>
      </c>
    </row>
    <row r="20022">
      <c r="A20022" s="1" t="s">
        <v>8</v>
      </c>
      <c r="B20022" s="2">
        <v>44796.0</v>
      </c>
      <c r="C20022" s="3">
        <v>0.715474537037037</v>
      </c>
      <c r="D20022" s="1">
        <v>13.007821</v>
      </c>
      <c r="E20022" s="1">
        <v>80.206897</v>
      </c>
      <c r="F20022" s="1">
        <v>3143.0</v>
      </c>
      <c r="G20022" s="1">
        <v>49.0</v>
      </c>
    </row>
    <row r="20023">
      <c r="A20023" s="1" t="s">
        <v>8</v>
      </c>
      <c r="B20023" s="2">
        <v>44796.0</v>
      </c>
      <c r="C20023" s="3">
        <v>0.7155671296296297</v>
      </c>
      <c r="D20023" s="1">
        <v>13.007821</v>
      </c>
      <c r="E20023" s="1">
        <v>80.206897</v>
      </c>
      <c r="F20023" s="1">
        <v>3143.0</v>
      </c>
      <c r="G20023" s="1">
        <v>49.0</v>
      </c>
    </row>
    <row r="20024">
      <c r="A20024" s="1" t="s">
        <v>8</v>
      </c>
      <c r="B20024" s="2">
        <v>44796.0</v>
      </c>
      <c r="C20024" s="3">
        <v>0.7156597222222222</v>
      </c>
      <c r="D20024" s="1">
        <v>13.007955</v>
      </c>
      <c r="E20024" s="1">
        <v>80.20794</v>
      </c>
      <c r="F20024" s="1">
        <v>3143.0</v>
      </c>
      <c r="G20024" s="1">
        <v>39.0</v>
      </c>
    </row>
    <row r="20025">
      <c r="A20025" s="1" t="s">
        <v>7</v>
      </c>
      <c r="B20025" s="2">
        <v>44796.0</v>
      </c>
      <c r="C20025" s="3">
        <v>0.7158796296296296</v>
      </c>
      <c r="D20025" s="1">
        <v>13.008323</v>
      </c>
      <c r="E20025" s="1">
        <v>80.209885</v>
      </c>
      <c r="F20025" s="1">
        <v>3143.0</v>
      </c>
      <c r="G20025" s="1">
        <v>43.0</v>
      </c>
    </row>
    <row r="20026">
      <c r="A20026" s="1" t="s">
        <v>8</v>
      </c>
      <c r="B20026" s="2">
        <v>44796.0</v>
      </c>
      <c r="C20026" s="3">
        <v>0.7162731481481481</v>
      </c>
      <c r="D20026" s="1">
        <v>13.009563</v>
      </c>
      <c r="E20026" s="1">
        <v>80.213258</v>
      </c>
      <c r="F20026" s="1">
        <v>3143.0</v>
      </c>
      <c r="G20026" s="1">
        <v>36.0</v>
      </c>
    </row>
    <row r="20027">
      <c r="A20027" s="1" t="s">
        <v>8</v>
      </c>
      <c r="B20027" s="2">
        <v>44796.0</v>
      </c>
      <c r="C20027" s="3">
        <v>0.7163310185185185</v>
      </c>
      <c r="D20027" s="1">
        <v>13.009914</v>
      </c>
      <c r="E20027" s="1">
        <v>80.214118</v>
      </c>
      <c r="F20027" s="1">
        <v>3143.0</v>
      </c>
      <c r="G20027" s="1">
        <v>41.0</v>
      </c>
    </row>
    <row r="20028">
      <c r="A20028" s="1" t="s">
        <v>8</v>
      </c>
      <c r="B20028" s="2">
        <v>44796.0</v>
      </c>
      <c r="C20028" s="3">
        <v>0.7164351851851852</v>
      </c>
      <c r="D20028" s="1">
        <v>13.010175</v>
      </c>
      <c r="E20028" s="1">
        <v>80.21504</v>
      </c>
      <c r="F20028" s="1">
        <v>3143.0</v>
      </c>
      <c r="G20028" s="1">
        <v>31.0</v>
      </c>
    </row>
    <row r="20029">
      <c r="A20029" s="1" t="s">
        <v>8</v>
      </c>
      <c r="B20029" s="2">
        <v>44796.0</v>
      </c>
      <c r="C20029" s="3">
        <v>0.7170717592592593</v>
      </c>
      <c r="D20029" s="1">
        <v>13.011291</v>
      </c>
      <c r="E20029" s="1">
        <v>80.217976</v>
      </c>
      <c r="F20029" s="1">
        <v>3143.0</v>
      </c>
      <c r="G20029" s="1">
        <v>16.0</v>
      </c>
    </row>
    <row r="20030">
      <c r="A20030" s="1" t="s">
        <v>8</v>
      </c>
      <c r="B20030" s="2">
        <v>44796.0</v>
      </c>
      <c r="C20030" s="3">
        <v>0.7174074074074074</v>
      </c>
      <c r="D20030" s="1">
        <v>13.012093</v>
      </c>
      <c r="E20030" s="1">
        <v>80.220509</v>
      </c>
      <c r="F20030" s="1">
        <v>3143.0</v>
      </c>
      <c r="G20030" s="1">
        <v>43.0</v>
      </c>
    </row>
    <row r="20031">
      <c r="A20031" s="1" t="s">
        <v>9</v>
      </c>
      <c r="B20031" s="2">
        <v>44796.0</v>
      </c>
      <c r="C20031" s="3">
        <v>0.7177083333333333</v>
      </c>
      <c r="D20031" s="1">
        <v>13.013668</v>
      </c>
      <c r="E20031" s="1">
        <v>80.223043</v>
      </c>
      <c r="F20031" s="1">
        <v>3143.0</v>
      </c>
      <c r="G20031" s="1">
        <v>43.0</v>
      </c>
    </row>
    <row r="20032">
      <c r="A20032" s="1" t="s">
        <v>8</v>
      </c>
      <c r="B20032" s="2">
        <v>44796.0</v>
      </c>
      <c r="C20032" s="3">
        <v>0.7185648148148148</v>
      </c>
      <c r="D20032" s="1">
        <v>13.014848</v>
      </c>
      <c r="E20032" s="1">
        <v>80.225958</v>
      </c>
      <c r="F20032" s="1">
        <v>3143.0</v>
      </c>
      <c r="G20032" s="1">
        <v>30.0</v>
      </c>
    </row>
    <row r="20033">
      <c r="A20033" s="1" t="s">
        <v>8</v>
      </c>
      <c r="B20033" s="2">
        <v>44796.0</v>
      </c>
      <c r="C20033" s="3">
        <v>0.7186689814814815</v>
      </c>
      <c r="D20033" s="1">
        <v>13.014033</v>
      </c>
      <c r="E20033" s="1">
        <v>80.226334</v>
      </c>
      <c r="F20033" s="1">
        <v>3143.0</v>
      </c>
      <c r="G20033" s="1">
        <v>38.0</v>
      </c>
    </row>
    <row r="20034">
      <c r="A20034" s="1" t="s">
        <v>8</v>
      </c>
      <c r="B20034" s="2">
        <v>44796.0</v>
      </c>
      <c r="C20034" s="3">
        <v>0.7189467592592592</v>
      </c>
      <c r="D20034" s="1">
        <v>13.01098</v>
      </c>
      <c r="E20034" s="1">
        <v>80.227552</v>
      </c>
      <c r="F20034" s="1">
        <v>3143.0</v>
      </c>
      <c r="G20034" s="1">
        <v>48.0</v>
      </c>
    </row>
    <row r="20035">
      <c r="A20035" s="1" t="s">
        <v>8</v>
      </c>
      <c r="B20035" s="2">
        <v>44796.0</v>
      </c>
      <c r="C20035" s="3">
        <v>0.7192939814814815</v>
      </c>
      <c r="D20035" s="1">
        <v>13.008918</v>
      </c>
      <c r="E20035" s="1">
        <v>80.229634</v>
      </c>
      <c r="F20035" s="1">
        <v>3143.0</v>
      </c>
      <c r="G20035" s="1">
        <v>40.0</v>
      </c>
    </row>
    <row r="20036">
      <c r="A20036" s="1" t="s">
        <v>8</v>
      </c>
      <c r="B20036" s="2">
        <v>44796.0</v>
      </c>
      <c r="C20036" s="3">
        <v>0.7205324074074074</v>
      </c>
      <c r="D20036" s="1">
        <v>13.007732</v>
      </c>
      <c r="E20036" s="1">
        <v>80.235766</v>
      </c>
      <c r="F20036" s="1">
        <v>3143.0</v>
      </c>
      <c r="G20036" s="1">
        <v>26.0</v>
      </c>
    </row>
    <row r="20037">
      <c r="A20037" s="1" t="s">
        <v>10</v>
      </c>
      <c r="B20037" s="2">
        <v>44796.0</v>
      </c>
      <c r="C20037" s="3">
        <v>0.7274768518518518</v>
      </c>
      <c r="D20037" s="1">
        <v>13.006644</v>
      </c>
      <c r="E20037" s="1">
        <v>80.256524</v>
      </c>
      <c r="F20037" s="1">
        <v>3143.0</v>
      </c>
      <c r="G20037" s="1">
        <v>33.0</v>
      </c>
    </row>
    <row r="20038">
      <c r="A20038" s="1" t="s">
        <v>7</v>
      </c>
      <c r="B20038" s="2">
        <v>44796.0</v>
      </c>
      <c r="C20038" s="3">
        <v>0.7295486111111111</v>
      </c>
      <c r="D20038" s="1">
        <v>13.013585</v>
      </c>
      <c r="E20038" s="1">
        <v>80.259148</v>
      </c>
      <c r="F20038" s="1">
        <v>3143.0</v>
      </c>
      <c r="G20038" s="1">
        <v>59.0</v>
      </c>
    </row>
    <row r="20039">
      <c r="A20039" s="1" t="s">
        <v>8</v>
      </c>
      <c r="B20039" s="2">
        <v>44796.0</v>
      </c>
      <c r="C20039" s="3">
        <v>0.7300231481481482</v>
      </c>
      <c r="D20039" s="1">
        <v>13.017304</v>
      </c>
      <c r="E20039" s="1">
        <v>80.260302</v>
      </c>
      <c r="F20039" s="1">
        <v>3143.0</v>
      </c>
      <c r="G20039" s="1">
        <v>41.0</v>
      </c>
    </row>
    <row r="20040">
      <c r="A20040" s="1" t="s">
        <v>10</v>
      </c>
      <c r="B20040" s="2">
        <v>44796.0</v>
      </c>
      <c r="C20040" s="3">
        <v>0.7370486111111111</v>
      </c>
      <c r="D20040" s="1">
        <v>13.036638</v>
      </c>
      <c r="E20040" s="1">
        <v>80.267603</v>
      </c>
      <c r="F20040" s="1">
        <v>3143.0</v>
      </c>
      <c r="G20040" s="1">
        <v>13.0</v>
      </c>
    </row>
    <row r="20041">
      <c r="A20041" s="1" t="s">
        <v>8</v>
      </c>
      <c r="B20041" s="2">
        <v>44796.0</v>
      </c>
      <c r="C20041" s="3">
        <v>0.7392592592592593</v>
      </c>
      <c r="D20041" s="1">
        <v>13.041877</v>
      </c>
      <c r="E20041" s="1">
        <v>80.268145</v>
      </c>
      <c r="F20041" s="1">
        <v>3143.0</v>
      </c>
      <c r="G20041" s="1">
        <v>36.0</v>
      </c>
    </row>
    <row r="20042">
      <c r="A20042" s="1" t="s">
        <v>8</v>
      </c>
      <c r="B20042" s="2">
        <v>44796.0</v>
      </c>
      <c r="C20042" s="3">
        <v>0.7393171296296296</v>
      </c>
      <c r="D20042" s="1">
        <v>13.045132</v>
      </c>
      <c r="E20042" s="1">
        <v>80.266653</v>
      </c>
      <c r="F20042" s="1">
        <v>3143.0</v>
      </c>
      <c r="G20042" s="1">
        <v>34.0</v>
      </c>
    </row>
    <row r="20043">
      <c r="A20043" s="1" t="s">
        <v>9</v>
      </c>
      <c r="B20043" s="2">
        <v>44796.0</v>
      </c>
      <c r="C20043" s="3">
        <v>0.7422800925925926</v>
      </c>
      <c r="D20043" s="1">
        <v>13.056405</v>
      </c>
      <c r="E20043" s="1">
        <v>80.264509</v>
      </c>
      <c r="F20043" s="1">
        <v>3143.0</v>
      </c>
      <c r="G20043" s="1">
        <v>40.0</v>
      </c>
    </row>
    <row r="20044">
      <c r="A20044" s="1" t="s">
        <v>9</v>
      </c>
      <c r="B20044" s="2">
        <v>44796.0</v>
      </c>
      <c r="C20044" s="3">
        <v>0.7423148148148148</v>
      </c>
      <c r="D20044" s="1">
        <v>13.057247</v>
      </c>
      <c r="E20044" s="1">
        <v>80.264797</v>
      </c>
      <c r="F20044" s="1">
        <v>3143.0</v>
      </c>
      <c r="G20044" s="1">
        <v>38.0</v>
      </c>
    </row>
    <row r="20045">
      <c r="A20045" s="1" t="s">
        <v>10</v>
      </c>
      <c r="B20045" s="2">
        <v>44796.0</v>
      </c>
      <c r="C20045" s="3">
        <v>0.7432407407407408</v>
      </c>
      <c r="D20045" s="1">
        <v>13.063082</v>
      </c>
      <c r="E20045" s="1">
        <v>80.274174</v>
      </c>
      <c r="F20045" s="1">
        <v>5339.0</v>
      </c>
      <c r="G20045" s="1">
        <v>22.0</v>
      </c>
    </row>
    <row r="20046">
      <c r="A20046" s="1" t="s">
        <v>10</v>
      </c>
      <c r="B20046" s="2">
        <v>44796.0</v>
      </c>
      <c r="C20046" s="3">
        <v>0.743275462962963</v>
      </c>
      <c r="D20046" s="1">
        <v>13.063082</v>
      </c>
      <c r="E20046" s="1">
        <v>80.274174</v>
      </c>
      <c r="F20046" s="1">
        <v>5339.0</v>
      </c>
      <c r="G20046" s="1">
        <v>22.0</v>
      </c>
    </row>
    <row r="20047">
      <c r="A20047" s="1" t="s">
        <v>10</v>
      </c>
      <c r="B20047" s="2">
        <v>44796.0</v>
      </c>
      <c r="C20047" s="3">
        <v>0.743287037037037</v>
      </c>
      <c r="D20047" s="1">
        <v>13.059555</v>
      </c>
      <c r="E20047" s="1">
        <v>80.265508</v>
      </c>
      <c r="F20047" s="1">
        <v>3143.0</v>
      </c>
      <c r="G20047" s="1">
        <v>12.0</v>
      </c>
    </row>
    <row r="20048">
      <c r="A20048" s="1" t="s">
        <v>10</v>
      </c>
      <c r="B20048" s="2">
        <v>44796.0</v>
      </c>
      <c r="C20048" s="3">
        <v>0.74375</v>
      </c>
      <c r="D20048" s="1">
        <v>13.061037</v>
      </c>
      <c r="E20048" s="1">
        <v>80.265136</v>
      </c>
      <c r="F20048" s="1">
        <v>3143.0</v>
      </c>
      <c r="G20048" s="1">
        <v>20.0</v>
      </c>
    </row>
    <row r="20049">
      <c r="A20049" s="1" t="s">
        <v>10</v>
      </c>
      <c r="B20049" s="2">
        <v>44796.0</v>
      </c>
      <c r="C20049" s="3">
        <v>0.7438310185185185</v>
      </c>
      <c r="D20049" s="1">
        <v>13.064923</v>
      </c>
      <c r="E20049" s="1">
        <v>80.273916</v>
      </c>
      <c r="F20049" s="1">
        <v>5339.0</v>
      </c>
      <c r="G20049" s="1">
        <v>3.0</v>
      </c>
    </row>
    <row r="20050">
      <c r="A20050" s="1" t="s">
        <v>10</v>
      </c>
      <c r="B20050" s="2">
        <v>44796.0</v>
      </c>
      <c r="C20050" s="3">
        <v>0.7445717592592592</v>
      </c>
      <c r="D20050" s="1">
        <v>13.065672</v>
      </c>
      <c r="E20050" s="1">
        <v>80.273818</v>
      </c>
      <c r="F20050" s="1">
        <v>5339.0</v>
      </c>
      <c r="G20050" s="1">
        <v>0.0</v>
      </c>
    </row>
    <row r="20051">
      <c r="A20051" s="1" t="s">
        <v>10</v>
      </c>
      <c r="B20051" s="2">
        <v>44796.0</v>
      </c>
      <c r="C20051" s="3">
        <v>0.7454976851851852</v>
      </c>
      <c r="D20051" s="1">
        <v>13.068186</v>
      </c>
      <c r="E20051" s="1">
        <v>80.271616</v>
      </c>
      <c r="F20051" s="1">
        <v>5339.0</v>
      </c>
      <c r="G20051" s="1">
        <v>11.0</v>
      </c>
    </row>
    <row r="20052">
      <c r="A20052" s="1" t="s">
        <v>10</v>
      </c>
      <c r="B20052" s="2">
        <v>44796.0</v>
      </c>
      <c r="C20052" s="3">
        <v>0.7484837962962962</v>
      </c>
      <c r="D20052" s="1">
        <v>13.068909</v>
      </c>
      <c r="E20052" s="1">
        <v>80.267477</v>
      </c>
      <c r="F20052" s="1">
        <v>5339.0</v>
      </c>
      <c r="G20052" s="1">
        <v>24.0</v>
      </c>
    </row>
    <row r="20053">
      <c r="A20053" s="1" t="s">
        <v>10</v>
      </c>
      <c r="B20053" s="2">
        <v>44796.0</v>
      </c>
      <c r="C20053" s="3">
        <v>0.7491898148148148</v>
      </c>
      <c r="D20053" s="1">
        <v>13.07078</v>
      </c>
      <c r="E20053" s="1">
        <v>80.265472</v>
      </c>
      <c r="F20053" s="1">
        <v>5339.0</v>
      </c>
      <c r="G20053" s="1">
        <v>24.0</v>
      </c>
    </row>
    <row r="20054">
      <c r="A20054" s="1" t="s">
        <v>8</v>
      </c>
      <c r="B20054" s="2">
        <v>44796.0</v>
      </c>
      <c r="C20054" s="3">
        <v>0.7499421296296296</v>
      </c>
      <c r="D20054" s="1">
        <v>13.072764</v>
      </c>
      <c r="E20054" s="1">
        <v>80.262526</v>
      </c>
      <c r="F20054" s="1">
        <v>5339.0</v>
      </c>
      <c r="G20054" s="1">
        <v>30.0</v>
      </c>
    </row>
    <row r="20055">
      <c r="A20055" s="1" t="s">
        <v>10</v>
      </c>
      <c r="B20055" s="2">
        <v>44796.0</v>
      </c>
      <c r="C20055" s="3">
        <v>0.7501851851851852</v>
      </c>
      <c r="D20055" s="1">
        <v>13.073062</v>
      </c>
      <c r="E20055" s="1">
        <v>80.261234</v>
      </c>
      <c r="F20055" s="1">
        <v>5339.0</v>
      </c>
      <c r="G20055" s="1">
        <v>21.0</v>
      </c>
    </row>
    <row r="20056">
      <c r="A20056" s="1" t="s">
        <v>10</v>
      </c>
      <c r="B20056" s="2">
        <v>44796.0</v>
      </c>
      <c r="C20056" s="3">
        <v>0.7522916666666667</v>
      </c>
      <c r="D20056" s="1">
        <v>13.072399</v>
      </c>
      <c r="E20056" s="1">
        <v>80.263376</v>
      </c>
      <c r="F20056" s="1">
        <v>3143.0</v>
      </c>
      <c r="G20056" s="1">
        <v>23.0</v>
      </c>
    </row>
    <row r="20057">
      <c r="A20057" s="1" t="s">
        <v>8</v>
      </c>
      <c r="B20057" s="2">
        <v>44796.0</v>
      </c>
      <c r="C20057" s="3">
        <v>0.7544675925925926</v>
      </c>
      <c r="D20057" s="1">
        <v>13.066149</v>
      </c>
      <c r="E20057" s="1">
        <v>80.24793</v>
      </c>
      <c r="F20057" s="1">
        <v>5339.0</v>
      </c>
      <c r="G20057" s="1">
        <v>13.0</v>
      </c>
    </row>
    <row r="20058">
      <c r="A20058" s="1" t="s">
        <v>10</v>
      </c>
      <c r="B20058" s="2">
        <v>44796.0</v>
      </c>
      <c r="C20058" s="3">
        <v>0.7547916666666666</v>
      </c>
      <c r="D20058" s="1">
        <v>13.064482</v>
      </c>
      <c r="E20058" s="1">
        <v>80.247822</v>
      </c>
      <c r="F20058" s="1">
        <v>5339.0</v>
      </c>
      <c r="G20058" s="1">
        <v>0.0</v>
      </c>
    </row>
    <row r="20059">
      <c r="A20059" s="1" t="s">
        <v>8</v>
      </c>
      <c r="B20059" s="2">
        <v>44796.0</v>
      </c>
      <c r="C20059" s="3">
        <v>0.7579398148148148</v>
      </c>
      <c r="D20059" s="1">
        <v>13.06618</v>
      </c>
      <c r="E20059" s="1">
        <v>80.247881</v>
      </c>
      <c r="F20059" s="1">
        <v>3143.0</v>
      </c>
      <c r="G20059" s="1">
        <v>29.0</v>
      </c>
    </row>
    <row r="20060">
      <c r="A20060" s="1" t="s">
        <v>8</v>
      </c>
      <c r="B20060" s="2">
        <v>44796.0</v>
      </c>
      <c r="C20060" s="3">
        <v>0.757962962962963</v>
      </c>
      <c r="D20060" s="1">
        <v>13.06618</v>
      </c>
      <c r="E20060" s="1">
        <v>80.247881</v>
      </c>
      <c r="F20060" s="1">
        <v>3143.0</v>
      </c>
      <c r="G20060" s="1">
        <v>29.0</v>
      </c>
    </row>
    <row r="20061">
      <c r="A20061" s="1" t="s">
        <v>8</v>
      </c>
      <c r="B20061" s="2">
        <v>44797.0</v>
      </c>
      <c r="C20061" s="3">
        <v>0.2975925925925926</v>
      </c>
      <c r="D20061" s="1">
        <v>13.067644</v>
      </c>
      <c r="E20061" s="1">
        <v>80.246471</v>
      </c>
      <c r="F20061" s="1">
        <v>3143.0</v>
      </c>
      <c r="G20061" s="1">
        <v>37.0</v>
      </c>
    </row>
    <row r="20062">
      <c r="A20062" s="1" t="s">
        <v>8</v>
      </c>
      <c r="B20062" s="2">
        <v>44797.0</v>
      </c>
      <c r="C20062" s="3">
        <v>0.29761574074074076</v>
      </c>
      <c r="D20062" s="1">
        <v>13.067644</v>
      </c>
      <c r="E20062" s="1">
        <v>80.246471</v>
      </c>
      <c r="F20062" s="1">
        <v>3143.0</v>
      </c>
      <c r="G20062" s="1">
        <v>37.0</v>
      </c>
    </row>
    <row r="20063">
      <c r="A20063" s="1" t="s">
        <v>8</v>
      </c>
      <c r="B20063" s="2">
        <v>44797.0</v>
      </c>
      <c r="C20063" s="3">
        <v>0.29887731481481483</v>
      </c>
      <c r="D20063" s="1">
        <v>13.068668</v>
      </c>
      <c r="E20063" s="1">
        <v>80.256011</v>
      </c>
      <c r="F20063" s="1">
        <v>5339.0</v>
      </c>
      <c r="G20063" s="1">
        <v>38.0</v>
      </c>
    </row>
    <row r="20064">
      <c r="A20064" s="1" t="s">
        <v>10</v>
      </c>
      <c r="B20064" s="2">
        <v>44797.0</v>
      </c>
      <c r="C20064" s="3">
        <v>0.303287037037037</v>
      </c>
      <c r="D20064" s="1">
        <v>13.06573</v>
      </c>
      <c r="E20064" s="1">
        <v>80.273808</v>
      </c>
      <c r="F20064" s="1">
        <v>5339.0</v>
      </c>
      <c r="G20064" s="1">
        <v>26.0</v>
      </c>
    </row>
    <row r="20065">
      <c r="A20065" s="1" t="s">
        <v>10</v>
      </c>
      <c r="B20065" s="2">
        <v>44797.0</v>
      </c>
      <c r="C20065" s="3">
        <v>0.3034837962962963</v>
      </c>
      <c r="D20065" s="1">
        <v>13.064459</v>
      </c>
      <c r="E20065" s="1">
        <v>80.274012</v>
      </c>
      <c r="F20065" s="1">
        <v>5339.0</v>
      </c>
      <c r="G20065" s="1">
        <v>0.0</v>
      </c>
    </row>
    <row r="20066">
      <c r="A20066" s="1" t="s">
        <v>10</v>
      </c>
      <c r="B20066" s="2">
        <v>44797.0</v>
      </c>
      <c r="C20066" s="3">
        <v>0.3037384259259259</v>
      </c>
      <c r="D20066" s="1">
        <v>13.063562</v>
      </c>
      <c r="E20066" s="1">
        <v>80.274116</v>
      </c>
      <c r="F20066" s="1">
        <v>5339.0</v>
      </c>
      <c r="G20066" s="1">
        <v>27.0</v>
      </c>
    </row>
    <row r="20067">
      <c r="A20067" s="1" t="s">
        <v>10</v>
      </c>
      <c r="B20067" s="2">
        <v>44797.0</v>
      </c>
      <c r="C20067" s="3">
        <v>0.3042592592592593</v>
      </c>
      <c r="D20067" s="1">
        <v>13.06115</v>
      </c>
      <c r="E20067" s="1">
        <v>80.274433</v>
      </c>
      <c r="F20067" s="1">
        <v>5339.0</v>
      </c>
      <c r="G20067" s="1">
        <v>0.0</v>
      </c>
    </row>
    <row r="20068">
      <c r="A20068" s="1" t="s">
        <v>9</v>
      </c>
      <c r="B20068" s="2">
        <v>44797.0</v>
      </c>
      <c r="C20068" s="3">
        <v>0.3055787037037037</v>
      </c>
      <c r="D20068" s="1">
        <v>13.0667</v>
      </c>
      <c r="E20068" s="1">
        <v>80.268425</v>
      </c>
      <c r="F20068" s="1">
        <v>3143.0</v>
      </c>
      <c r="G20068" s="1">
        <v>32.0</v>
      </c>
    </row>
    <row r="20069">
      <c r="A20069" s="1" t="s">
        <v>10</v>
      </c>
      <c r="B20069" s="2">
        <v>44797.0</v>
      </c>
      <c r="C20069" s="3">
        <v>0.3069560185185185</v>
      </c>
      <c r="D20069" s="1">
        <v>13.053116</v>
      </c>
      <c r="E20069" s="1">
        <v>80.271982</v>
      </c>
      <c r="F20069" s="1">
        <v>5339.0</v>
      </c>
      <c r="G20069" s="1">
        <v>13.0</v>
      </c>
    </row>
    <row r="20070">
      <c r="A20070" s="1" t="s">
        <v>10</v>
      </c>
      <c r="B20070" s="2">
        <v>44797.0</v>
      </c>
      <c r="C20070" s="3">
        <v>0.3070601851851852</v>
      </c>
      <c r="D20070" s="1">
        <v>13.053221</v>
      </c>
      <c r="E20070" s="1">
        <v>80.271552</v>
      </c>
      <c r="F20070" s="1">
        <v>5339.0</v>
      </c>
      <c r="G20070" s="1">
        <v>17.0</v>
      </c>
    </row>
    <row r="20071">
      <c r="A20071" s="1" t="s">
        <v>8</v>
      </c>
      <c r="B20071" s="2">
        <v>44797.0</v>
      </c>
      <c r="C20071" s="3">
        <v>0.30938657407407405</v>
      </c>
      <c r="D20071" s="1">
        <v>13.054869</v>
      </c>
      <c r="E20071" s="1">
        <v>80.264329</v>
      </c>
      <c r="F20071" s="1">
        <v>3143.0</v>
      </c>
      <c r="G20071" s="1">
        <v>29.0</v>
      </c>
    </row>
    <row r="20072">
      <c r="A20072" s="1" t="s">
        <v>8</v>
      </c>
      <c r="B20072" s="2">
        <v>44797.0</v>
      </c>
      <c r="C20072" s="3">
        <v>0.3113194444444444</v>
      </c>
      <c r="D20072" s="1">
        <v>13.052704</v>
      </c>
      <c r="E20072" s="1">
        <v>80.251509</v>
      </c>
      <c r="F20072" s="1">
        <v>5339.0</v>
      </c>
      <c r="G20072" s="1">
        <v>51.0</v>
      </c>
    </row>
    <row r="20073">
      <c r="A20073" s="1" t="s">
        <v>8</v>
      </c>
      <c r="B20073" s="2">
        <v>44797.0</v>
      </c>
      <c r="C20073" s="3">
        <v>0.3116319444444444</v>
      </c>
      <c r="D20073" s="1">
        <v>13.049378</v>
      </c>
      <c r="E20073" s="1">
        <v>80.249803</v>
      </c>
      <c r="F20073" s="1">
        <v>5339.0</v>
      </c>
      <c r="G20073" s="1">
        <v>48.0</v>
      </c>
    </row>
    <row r="20074">
      <c r="A20074" s="1" t="s">
        <v>9</v>
      </c>
      <c r="B20074" s="2">
        <v>44797.0</v>
      </c>
      <c r="C20074" s="3">
        <v>0.31197916666666664</v>
      </c>
      <c r="D20074" s="1">
        <v>13.051699</v>
      </c>
      <c r="E20074" s="1">
        <v>80.263992</v>
      </c>
      <c r="F20074" s="1">
        <v>3143.0</v>
      </c>
      <c r="G20074" s="1">
        <v>11.0</v>
      </c>
    </row>
    <row r="20075">
      <c r="A20075" s="1" t="s">
        <v>10</v>
      </c>
      <c r="B20075" s="2">
        <v>44797.0</v>
      </c>
      <c r="C20075" s="3">
        <v>0.3138888888888889</v>
      </c>
      <c r="D20075" s="1">
        <v>13.039996</v>
      </c>
      <c r="E20075" s="1">
        <v>80.267916</v>
      </c>
      <c r="F20075" s="1">
        <v>3143.0</v>
      </c>
      <c r="G20075" s="1">
        <v>15.0</v>
      </c>
    </row>
    <row r="20076">
      <c r="A20076" s="1" t="s">
        <v>8</v>
      </c>
      <c r="B20076" s="2">
        <v>44797.0</v>
      </c>
      <c r="C20076" s="3">
        <v>0.31497685185185187</v>
      </c>
      <c r="D20076" s="1">
        <v>13.034418</v>
      </c>
      <c r="E20076" s="1">
        <v>80.245221</v>
      </c>
      <c r="F20076" s="1">
        <v>5339.0</v>
      </c>
      <c r="G20076" s="1">
        <v>34.0</v>
      </c>
    </row>
    <row r="20077">
      <c r="A20077" s="1" t="s">
        <v>8</v>
      </c>
      <c r="B20077" s="2">
        <v>44797.0</v>
      </c>
      <c r="C20077" s="3">
        <v>0.3150925925925926</v>
      </c>
      <c r="D20077" s="1">
        <v>13.033832</v>
      </c>
      <c r="E20077" s="1">
        <v>80.244454</v>
      </c>
      <c r="F20077" s="1">
        <v>5339.0</v>
      </c>
      <c r="G20077" s="1">
        <v>39.0</v>
      </c>
    </row>
    <row r="20078">
      <c r="A20078" s="1" t="s">
        <v>10</v>
      </c>
      <c r="B20078" s="2">
        <v>44797.0</v>
      </c>
      <c r="C20078" s="3">
        <v>0.3156712962962963</v>
      </c>
      <c r="D20078" s="1">
        <v>13.037162</v>
      </c>
      <c r="E20078" s="1">
        <v>80.267664</v>
      </c>
      <c r="F20078" s="1">
        <v>3143.0</v>
      </c>
      <c r="G20078" s="1">
        <v>10.0</v>
      </c>
    </row>
    <row r="20079">
      <c r="A20079" s="1" t="s">
        <v>8</v>
      </c>
      <c r="B20079" s="2">
        <v>44797.0</v>
      </c>
      <c r="C20079" s="3">
        <v>0.31596064814814817</v>
      </c>
      <c r="D20079" s="1">
        <v>13.03086</v>
      </c>
      <c r="E20079" s="1">
        <v>80.239422</v>
      </c>
      <c r="F20079" s="1">
        <v>5339.0</v>
      </c>
      <c r="G20079" s="1">
        <v>32.0</v>
      </c>
    </row>
    <row r="20080">
      <c r="A20080" s="1" t="s">
        <v>10</v>
      </c>
      <c r="B20080" s="2">
        <v>44797.0</v>
      </c>
      <c r="C20080" s="3">
        <v>0.3175810185185185</v>
      </c>
      <c r="D20080" s="1">
        <v>13.028523</v>
      </c>
      <c r="E20080" s="1">
        <v>80.266359</v>
      </c>
      <c r="F20080" s="1">
        <v>3143.0</v>
      </c>
      <c r="G20080" s="1">
        <v>28.0</v>
      </c>
    </row>
    <row r="20081">
      <c r="A20081" s="1" t="s">
        <v>7</v>
      </c>
      <c r="B20081" s="2">
        <v>44797.0</v>
      </c>
      <c r="C20081" s="3">
        <v>0.31798611111111114</v>
      </c>
      <c r="D20081" s="1">
        <v>13.022334</v>
      </c>
      <c r="E20081" s="1">
        <v>80.226585</v>
      </c>
      <c r="F20081" s="1">
        <v>5339.0</v>
      </c>
      <c r="G20081" s="1">
        <v>57.0</v>
      </c>
    </row>
    <row r="20082">
      <c r="A20082" s="1" t="s">
        <v>8</v>
      </c>
      <c r="B20082" s="2">
        <v>44797.0</v>
      </c>
      <c r="C20082" s="3">
        <v>0.3188310185185185</v>
      </c>
      <c r="D20082" s="1">
        <v>13.014933</v>
      </c>
      <c r="E20082" s="1">
        <v>80.226051</v>
      </c>
      <c r="F20082" s="1">
        <v>5339.0</v>
      </c>
      <c r="G20082" s="1">
        <v>45.0</v>
      </c>
    </row>
    <row r="20083">
      <c r="A20083" s="1" t="s">
        <v>7</v>
      </c>
      <c r="B20083" s="2">
        <v>44797.0</v>
      </c>
      <c r="C20083" s="3">
        <v>0.3191203703703704</v>
      </c>
      <c r="D20083" s="1">
        <v>13.01141</v>
      </c>
      <c r="E20083" s="1">
        <v>80.22739</v>
      </c>
      <c r="F20083" s="1">
        <v>5339.0</v>
      </c>
      <c r="G20083" s="1">
        <v>55.0</v>
      </c>
    </row>
    <row r="20084">
      <c r="A20084" s="1" t="s">
        <v>8</v>
      </c>
      <c r="B20084" s="2">
        <v>44797.0</v>
      </c>
      <c r="C20084" s="3">
        <v>0.31939814814814815</v>
      </c>
      <c r="D20084" s="1">
        <v>13.009462</v>
      </c>
      <c r="E20084" s="1">
        <v>80.227698</v>
      </c>
      <c r="F20084" s="1">
        <v>5339.0</v>
      </c>
      <c r="G20084" s="1">
        <v>25.0</v>
      </c>
    </row>
    <row r="20085">
      <c r="A20085" s="1" t="s">
        <v>8</v>
      </c>
      <c r="B20085" s="2">
        <v>44797.0</v>
      </c>
      <c r="C20085" s="3">
        <v>0.3196643518518518</v>
      </c>
      <c r="D20085" s="1">
        <v>13.010699</v>
      </c>
      <c r="E20085" s="1">
        <v>80.225005</v>
      </c>
      <c r="F20085" s="1">
        <v>5339.0</v>
      </c>
      <c r="G20085" s="1">
        <v>42.0</v>
      </c>
    </row>
    <row r="20086">
      <c r="A20086" s="1" t="s">
        <v>8</v>
      </c>
      <c r="B20086" s="2">
        <v>44797.0</v>
      </c>
      <c r="C20086" s="3">
        <v>0.32005787037037037</v>
      </c>
      <c r="D20086" s="1">
        <v>13.011884</v>
      </c>
      <c r="E20086" s="1">
        <v>80.222067</v>
      </c>
      <c r="F20086" s="1">
        <v>5339.0</v>
      </c>
      <c r="G20086" s="1">
        <v>35.0</v>
      </c>
    </row>
    <row r="20087">
      <c r="A20087" s="1" t="s">
        <v>8</v>
      </c>
      <c r="B20087" s="2">
        <v>44797.0</v>
      </c>
      <c r="C20087" s="3">
        <v>0.3203472222222222</v>
      </c>
      <c r="D20087" s="1">
        <v>13.019687</v>
      </c>
      <c r="E20087" s="1">
        <v>80.26298</v>
      </c>
      <c r="F20087" s="1">
        <v>3143.0</v>
      </c>
      <c r="G20087" s="1">
        <v>32.0</v>
      </c>
    </row>
    <row r="20088">
      <c r="A20088" s="1" t="s">
        <v>8</v>
      </c>
      <c r="B20088" s="2">
        <v>44797.0</v>
      </c>
      <c r="C20088" s="3">
        <v>0.3204050925925926</v>
      </c>
      <c r="D20088" s="1">
        <v>13.011884</v>
      </c>
      <c r="E20088" s="1">
        <v>80.222067</v>
      </c>
      <c r="F20088" s="1">
        <v>5339.0</v>
      </c>
      <c r="G20088" s="1">
        <v>35.0</v>
      </c>
    </row>
    <row r="20089">
      <c r="A20089" s="1" t="s">
        <v>8</v>
      </c>
      <c r="B20089" s="2">
        <v>44797.0</v>
      </c>
      <c r="C20089" s="3">
        <v>0.3207175925925926</v>
      </c>
      <c r="D20089" s="1">
        <v>13.011374</v>
      </c>
      <c r="E20089" s="1">
        <v>80.218607</v>
      </c>
      <c r="F20089" s="1">
        <v>5339.0</v>
      </c>
      <c r="G20089" s="1">
        <v>48.0</v>
      </c>
    </row>
    <row r="20090">
      <c r="A20090" s="1" t="s">
        <v>8</v>
      </c>
      <c r="B20090" s="2">
        <v>44797.0</v>
      </c>
      <c r="C20090" s="3">
        <v>0.3207523148148148</v>
      </c>
      <c r="D20090" s="1">
        <v>13.011374</v>
      </c>
      <c r="E20090" s="1">
        <v>80.218607</v>
      </c>
      <c r="F20090" s="1">
        <v>5339.0</v>
      </c>
      <c r="G20090" s="1">
        <v>48.0</v>
      </c>
    </row>
    <row r="20091">
      <c r="A20091" s="1" t="s">
        <v>8</v>
      </c>
      <c r="B20091" s="2">
        <v>44797.0</v>
      </c>
      <c r="C20091" s="3">
        <v>0.32083333333333336</v>
      </c>
      <c r="D20091" s="1">
        <v>13.010109</v>
      </c>
      <c r="E20091" s="1">
        <v>80.215166</v>
      </c>
      <c r="F20091" s="1">
        <v>5339.0</v>
      </c>
      <c r="G20091" s="1">
        <v>41.0</v>
      </c>
    </row>
    <row r="20092">
      <c r="A20092" s="1" t="s">
        <v>8</v>
      </c>
      <c r="B20092" s="2">
        <v>44797.0</v>
      </c>
      <c r="C20092" s="3">
        <v>0.3213888888888889</v>
      </c>
      <c r="D20092" s="1">
        <v>13.008797</v>
      </c>
      <c r="E20092" s="1">
        <v>80.211465</v>
      </c>
      <c r="F20092" s="1">
        <v>5339.0</v>
      </c>
      <c r="G20092" s="1">
        <v>31.0</v>
      </c>
    </row>
    <row r="20093">
      <c r="A20093" s="1" t="s">
        <v>8</v>
      </c>
      <c r="B20093" s="2">
        <v>44797.0</v>
      </c>
      <c r="C20093" s="3">
        <v>0.3214236111111111</v>
      </c>
      <c r="D20093" s="1">
        <v>13.008482</v>
      </c>
      <c r="E20093" s="1">
        <v>80.210609</v>
      </c>
      <c r="F20093" s="1">
        <v>5339.0</v>
      </c>
      <c r="G20093" s="1">
        <v>37.0</v>
      </c>
    </row>
    <row r="20094">
      <c r="A20094" s="1" t="s">
        <v>8</v>
      </c>
      <c r="B20094" s="2">
        <v>44797.0</v>
      </c>
      <c r="C20094" s="3">
        <v>0.3219212962962963</v>
      </c>
      <c r="D20094" s="1">
        <v>13.013924</v>
      </c>
      <c r="E20094" s="1">
        <v>80.259315</v>
      </c>
      <c r="F20094" s="1">
        <v>3143.0</v>
      </c>
      <c r="G20094" s="1">
        <v>35.0</v>
      </c>
    </row>
    <row r="20095">
      <c r="A20095" s="1" t="s">
        <v>8</v>
      </c>
      <c r="B20095" s="2">
        <v>44797.0</v>
      </c>
      <c r="C20095" s="3">
        <v>0.3219560185185185</v>
      </c>
      <c r="D20095" s="1">
        <v>13.013008</v>
      </c>
      <c r="E20095" s="1">
        <v>80.259283</v>
      </c>
      <c r="F20095" s="1">
        <v>3143.0</v>
      </c>
      <c r="G20095" s="1">
        <v>36.0</v>
      </c>
    </row>
    <row r="20096">
      <c r="A20096" s="1" t="s">
        <v>7</v>
      </c>
      <c r="B20096" s="2">
        <v>44797.0</v>
      </c>
      <c r="C20096" s="3">
        <v>0.32332175925925927</v>
      </c>
      <c r="D20096" s="1">
        <v>13.001747</v>
      </c>
      <c r="E20096" s="1">
        <v>80.198573</v>
      </c>
      <c r="F20096" s="1">
        <v>5339.0</v>
      </c>
      <c r="G20096" s="1">
        <v>43.0</v>
      </c>
    </row>
    <row r="20097">
      <c r="A20097" s="1" t="s">
        <v>8</v>
      </c>
      <c r="B20097" s="2">
        <v>44797.0</v>
      </c>
      <c r="C20097" s="3">
        <v>0.3240625</v>
      </c>
      <c r="D20097" s="1">
        <v>12.998823</v>
      </c>
      <c r="E20097" s="1">
        <v>80.19283</v>
      </c>
      <c r="F20097" s="1">
        <v>5339.0</v>
      </c>
      <c r="G20097" s="1">
        <v>26.0</v>
      </c>
    </row>
    <row r="20098">
      <c r="A20098" s="1" t="s">
        <v>8</v>
      </c>
      <c r="B20098" s="2">
        <v>44797.0</v>
      </c>
      <c r="C20098" s="3">
        <v>0.3240625</v>
      </c>
      <c r="D20098" s="1">
        <v>12.998823</v>
      </c>
      <c r="E20098" s="1">
        <v>80.19283</v>
      </c>
      <c r="F20098" s="1">
        <v>5339.0</v>
      </c>
      <c r="G20098" s="1">
        <v>26.0</v>
      </c>
    </row>
    <row r="20099">
      <c r="A20099" s="1" t="s">
        <v>8</v>
      </c>
      <c r="B20099" s="2">
        <v>44797.0</v>
      </c>
      <c r="C20099" s="3">
        <v>0.32408564814814816</v>
      </c>
      <c r="D20099" s="1">
        <v>12.998823</v>
      </c>
      <c r="E20099" s="1">
        <v>80.19283</v>
      </c>
      <c r="F20099" s="1">
        <v>5339.0</v>
      </c>
      <c r="G20099" s="1">
        <v>26.0</v>
      </c>
    </row>
    <row r="20100">
      <c r="A20100" s="1" t="s">
        <v>8</v>
      </c>
      <c r="B20100" s="2">
        <v>44797.0</v>
      </c>
      <c r="C20100" s="3">
        <v>0.3245138888888889</v>
      </c>
      <c r="D20100" s="1">
        <v>12.997788</v>
      </c>
      <c r="E20100" s="1">
        <v>80.191554</v>
      </c>
      <c r="F20100" s="1">
        <v>5339.0</v>
      </c>
      <c r="G20100" s="1">
        <v>39.0</v>
      </c>
    </row>
    <row r="20101">
      <c r="A20101" s="1" t="s">
        <v>8</v>
      </c>
      <c r="B20101" s="2">
        <v>44797.0</v>
      </c>
      <c r="C20101" s="3">
        <v>0.3247569444444444</v>
      </c>
      <c r="D20101" s="1">
        <v>12.997137</v>
      </c>
      <c r="E20101" s="1">
        <v>80.190664</v>
      </c>
      <c r="F20101" s="1">
        <v>5339.0</v>
      </c>
      <c r="G20101" s="1">
        <v>45.0</v>
      </c>
    </row>
    <row r="20102">
      <c r="A20102" s="1" t="s">
        <v>8</v>
      </c>
      <c r="B20102" s="2">
        <v>44797.0</v>
      </c>
      <c r="C20102" s="3">
        <v>0.32577546296296295</v>
      </c>
      <c r="D20102" s="1">
        <v>13.006734</v>
      </c>
      <c r="E20102" s="1">
        <v>80.250196</v>
      </c>
      <c r="F20102" s="1">
        <v>3143.0</v>
      </c>
      <c r="G20102" s="1">
        <v>41.0</v>
      </c>
    </row>
    <row r="20103">
      <c r="A20103" s="1" t="s">
        <v>8</v>
      </c>
      <c r="B20103" s="2">
        <v>44797.0</v>
      </c>
      <c r="C20103" s="3">
        <v>0.32579861111111114</v>
      </c>
      <c r="D20103" s="1">
        <v>12.993397</v>
      </c>
      <c r="E20103" s="1">
        <v>80.184475</v>
      </c>
      <c r="F20103" s="1">
        <v>5339.0</v>
      </c>
      <c r="G20103" s="1">
        <v>33.0</v>
      </c>
    </row>
    <row r="20104">
      <c r="A20104" s="1" t="s">
        <v>8</v>
      </c>
      <c r="B20104" s="2">
        <v>44797.0</v>
      </c>
      <c r="C20104" s="3">
        <v>0.3259837962962963</v>
      </c>
      <c r="D20104" s="1">
        <v>12.992976</v>
      </c>
      <c r="E20104" s="1">
        <v>80.183705</v>
      </c>
      <c r="F20104" s="1">
        <v>5339.0</v>
      </c>
      <c r="G20104" s="1">
        <v>36.0</v>
      </c>
    </row>
    <row r="20105">
      <c r="A20105" s="1" t="s">
        <v>8</v>
      </c>
      <c r="B20105" s="2">
        <v>44797.0</v>
      </c>
      <c r="C20105" s="3">
        <v>0.32611111111111113</v>
      </c>
      <c r="D20105" s="1">
        <v>12.992499</v>
      </c>
      <c r="E20105" s="1">
        <v>80.182902</v>
      </c>
      <c r="F20105" s="1">
        <v>5339.0</v>
      </c>
      <c r="G20105" s="1">
        <v>36.0</v>
      </c>
    </row>
    <row r="20106">
      <c r="A20106" s="1" t="s">
        <v>8</v>
      </c>
      <c r="B20106" s="2">
        <v>44797.0</v>
      </c>
      <c r="C20106" s="3">
        <v>0.32653935185185184</v>
      </c>
      <c r="D20106" s="1">
        <v>12.99068</v>
      </c>
      <c r="E20106" s="1">
        <v>80.180483</v>
      </c>
      <c r="F20106" s="1">
        <v>5339.0</v>
      </c>
      <c r="G20106" s="1">
        <v>43.0</v>
      </c>
    </row>
    <row r="20107">
      <c r="A20107" s="1" t="s">
        <v>7</v>
      </c>
      <c r="B20107" s="2">
        <v>44797.0</v>
      </c>
      <c r="C20107" s="3">
        <v>0.326712962962963</v>
      </c>
      <c r="D20107" s="1">
        <v>12.98941</v>
      </c>
      <c r="E20107" s="1">
        <v>80.178934</v>
      </c>
      <c r="F20107" s="1">
        <v>5339.0</v>
      </c>
      <c r="G20107" s="1">
        <v>36.0</v>
      </c>
    </row>
    <row r="20108">
      <c r="A20108" s="1" t="s">
        <v>8</v>
      </c>
      <c r="B20108" s="2">
        <v>44797.0</v>
      </c>
      <c r="C20108" s="3">
        <v>0.32699074074074075</v>
      </c>
      <c r="D20108" s="1">
        <v>13.006681</v>
      </c>
      <c r="E20108" s="1">
        <v>80.245805</v>
      </c>
      <c r="F20108" s="1">
        <v>3143.0</v>
      </c>
      <c r="G20108" s="1">
        <v>26.0</v>
      </c>
    </row>
    <row r="20109">
      <c r="A20109" s="1" t="s">
        <v>8</v>
      </c>
      <c r="B20109" s="2">
        <v>44797.0</v>
      </c>
      <c r="C20109" s="3">
        <v>0.3271759259259259</v>
      </c>
      <c r="D20109" s="1">
        <v>13.006673</v>
      </c>
      <c r="E20109" s="1">
        <v>80.245078</v>
      </c>
      <c r="F20109" s="1">
        <v>3143.0</v>
      </c>
      <c r="G20109" s="1">
        <v>29.0</v>
      </c>
    </row>
    <row r="20110">
      <c r="A20110" s="1" t="s">
        <v>8</v>
      </c>
      <c r="B20110" s="2">
        <v>44797.0</v>
      </c>
      <c r="C20110" s="3">
        <v>0.3272685185185185</v>
      </c>
      <c r="D20110" s="1">
        <v>13.00667</v>
      </c>
      <c r="E20110" s="1">
        <v>80.244373</v>
      </c>
      <c r="F20110" s="1">
        <v>3143.0</v>
      </c>
      <c r="G20110" s="1">
        <v>28.0</v>
      </c>
    </row>
    <row r="20111">
      <c r="A20111" s="1" t="s">
        <v>8</v>
      </c>
      <c r="B20111" s="2">
        <v>44797.0</v>
      </c>
      <c r="C20111" s="3">
        <v>0.32751157407407405</v>
      </c>
      <c r="D20111" s="1">
        <v>13.006591</v>
      </c>
      <c r="E20111" s="1">
        <v>80.24288</v>
      </c>
      <c r="F20111" s="1">
        <v>3143.0</v>
      </c>
      <c r="G20111" s="1">
        <v>37.0</v>
      </c>
    </row>
    <row r="20112">
      <c r="A20112" s="1" t="s">
        <v>8</v>
      </c>
      <c r="B20112" s="2">
        <v>44797.0</v>
      </c>
      <c r="C20112" s="3">
        <v>0.32751157407407405</v>
      </c>
      <c r="D20112" s="1">
        <v>12.986254</v>
      </c>
      <c r="E20112" s="1">
        <v>80.174549</v>
      </c>
      <c r="F20112" s="1">
        <v>5339.0</v>
      </c>
      <c r="G20112" s="1">
        <v>25.0</v>
      </c>
    </row>
    <row r="20113">
      <c r="A20113" s="1" t="s">
        <v>8</v>
      </c>
      <c r="B20113" s="2">
        <v>44797.0</v>
      </c>
      <c r="C20113" s="3">
        <v>0.3278240740740741</v>
      </c>
      <c r="D20113" s="1">
        <v>12.984678</v>
      </c>
      <c r="E20113" s="1">
        <v>80.172171</v>
      </c>
      <c r="F20113" s="1">
        <v>5339.0</v>
      </c>
      <c r="G20113" s="1">
        <v>27.0</v>
      </c>
    </row>
    <row r="20114">
      <c r="A20114" s="1" t="s">
        <v>8</v>
      </c>
      <c r="B20114" s="2">
        <v>44797.0</v>
      </c>
      <c r="C20114" s="3">
        <v>0.32840277777777777</v>
      </c>
      <c r="D20114" s="1">
        <v>12.982515</v>
      </c>
      <c r="E20114" s="1">
        <v>80.168569</v>
      </c>
      <c r="F20114" s="1">
        <v>5339.0</v>
      </c>
      <c r="G20114" s="1">
        <v>42.0</v>
      </c>
    </row>
    <row r="20115">
      <c r="A20115" s="1" t="s">
        <v>8</v>
      </c>
      <c r="B20115" s="2">
        <v>44797.0</v>
      </c>
      <c r="C20115" s="3">
        <v>0.32873842592592595</v>
      </c>
      <c r="D20115" s="1">
        <v>12.981454</v>
      </c>
      <c r="E20115" s="1">
        <v>80.166882</v>
      </c>
      <c r="F20115" s="1">
        <v>5339.0</v>
      </c>
      <c r="G20115" s="1">
        <v>23.0</v>
      </c>
    </row>
    <row r="20116">
      <c r="A20116" s="1" t="s">
        <v>7</v>
      </c>
      <c r="B20116" s="2">
        <v>44797.0</v>
      </c>
      <c r="C20116" s="3">
        <v>0.3288773148148148</v>
      </c>
      <c r="D20116" s="1">
        <v>13.007854</v>
      </c>
      <c r="E20116" s="1">
        <v>80.235038</v>
      </c>
      <c r="F20116" s="1">
        <v>3143.0</v>
      </c>
      <c r="G20116" s="1">
        <v>58.0</v>
      </c>
    </row>
    <row r="20117">
      <c r="A20117" s="1" t="s">
        <v>8</v>
      </c>
      <c r="B20117" s="2">
        <v>44797.0</v>
      </c>
      <c r="C20117" s="3">
        <v>0.3289814814814815</v>
      </c>
      <c r="D20117" s="1">
        <v>13.008143</v>
      </c>
      <c r="E20117" s="1">
        <v>80.233602</v>
      </c>
      <c r="F20117" s="1">
        <v>3143.0</v>
      </c>
      <c r="G20117" s="1">
        <v>55.0</v>
      </c>
    </row>
    <row r="20118">
      <c r="A20118" s="1" t="s">
        <v>8</v>
      </c>
      <c r="B20118" s="2">
        <v>44797.0</v>
      </c>
      <c r="C20118" s="3">
        <v>0.3290972222222222</v>
      </c>
      <c r="D20118" s="1">
        <v>13.00839</v>
      </c>
      <c r="E20118" s="1">
        <v>80.232196</v>
      </c>
      <c r="F20118" s="1">
        <v>3143.0</v>
      </c>
      <c r="G20118" s="1">
        <v>55.0</v>
      </c>
    </row>
    <row r="20119">
      <c r="A20119" s="1" t="s">
        <v>8</v>
      </c>
      <c r="B20119" s="2">
        <v>44797.0</v>
      </c>
      <c r="C20119" s="3">
        <v>0.32916666666666666</v>
      </c>
      <c r="D20119" s="1">
        <v>13.008659</v>
      </c>
      <c r="E20119" s="1">
        <v>80.230885</v>
      </c>
      <c r="F20119" s="1">
        <v>3143.0</v>
      </c>
      <c r="G20119" s="1">
        <v>44.0</v>
      </c>
    </row>
    <row r="20120">
      <c r="A20120" s="1" t="s">
        <v>8</v>
      </c>
      <c r="B20120" s="2">
        <v>44797.0</v>
      </c>
      <c r="C20120" s="3">
        <v>0.32917824074074076</v>
      </c>
      <c r="D20120" s="1">
        <v>12.979916</v>
      </c>
      <c r="E20120" s="1">
        <v>80.16317</v>
      </c>
      <c r="F20120" s="1">
        <v>5339.0</v>
      </c>
      <c r="G20120" s="1">
        <v>50.0</v>
      </c>
    </row>
    <row r="20121">
      <c r="A20121" s="1" t="s">
        <v>7</v>
      </c>
      <c r="B20121" s="2">
        <v>44797.0</v>
      </c>
      <c r="C20121" s="3">
        <v>0.3295023148148148</v>
      </c>
      <c r="D20121" s="1">
        <v>13.009064</v>
      </c>
      <c r="E20121" s="1">
        <v>80.228871</v>
      </c>
      <c r="F20121" s="1">
        <v>3143.0</v>
      </c>
      <c r="G20121" s="1">
        <v>0.0</v>
      </c>
    </row>
    <row r="20122">
      <c r="A20122" s="1" t="s">
        <v>7</v>
      </c>
      <c r="B20122" s="2">
        <v>44797.0</v>
      </c>
      <c r="C20122" s="3">
        <v>0.32966435185185183</v>
      </c>
      <c r="D20122" s="1">
        <v>12.977014</v>
      </c>
      <c r="E20122" s="1">
        <v>80.158711</v>
      </c>
      <c r="F20122" s="1">
        <v>5339.0</v>
      </c>
      <c r="G20122" s="1">
        <v>53.0</v>
      </c>
    </row>
    <row r="20123">
      <c r="A20123" s="1" t="s">
        <v>7</v>
      </c>
      <c r="B20123" s="2">
        <v>44797.0</v>
      </c>
      <c r="C20123" s="3">
        <v>0.32969907407407406</v>
      </c>
      <c r="D20123" s="1">
        <v>13.010086</v>
      </c>
      <c r="E20123" s="1">
        <v>80.226255</v>
      </c>
      <c r="F20123" s="1">
        <v>3143.0</v>
      </c>
      <c r="G20123" s="1">
        <v>51.0</v>
      </c>
    </row>
    <row r="20124">
      <c r="A20124" s="1" t="s">
        <v>8</v>
      </c>
      <c r="B20124" s="2">
        <v>44797.0</v>
      </c>
      <c r="C20124" s="3">
        <v>0.3299884259259259</v>
      </c>
      <c r="D20124" s="1">
        <v>13.011149</v>
      </c>
      <c r="E20124" s="1">
        <v>80.223894</v>
      </c>
      <c r="F20124" s="1">
        <v>3143.0</v>
      </c>
      <c r="G20124" s="1">
        <v>47.0</v>
      </c>
    </row>
    <row r="20125">
      <c r="A20125" s="1" t="s">
        <v>7</v>
      </c>
      <c r="B20125" s="2">
        <v>44797.0</v>
      </c>
      <c r="C20125" s="3">
        <v>0.33042824074074073</v>
      </c>
      <c r="D20125" s="1">
        <v>13.011948</v>
      </c>
      <c r="E20125" s="1">
        <v>80.220341</v>
      </c>
      <c r="F20125" s="1">
        <v>3143.0</v>
      </c>
      <c r="G20125" s="1">
        <v>45.0</v>
      </c>
    </row>
    <row r="20126">
      <c r="A20126" s="1" t="s">
        <v>8</v>
      </c>
      <c r="B20126" s="2">
        <v>44797.0</v>
      </c>
      <c r="C20126" s="3">
        <v>0.3305439814814815</v>
      </c>
      <c r="D20126" s="1">
        <v>12.973796</v>
      </c>
      <c r="E20126" s="1">
        <v>80.153938</v>
      </c>
      <c r="F20126" s="1">
        <v>5339.0</v>
      </c>
      <c r="G20126" s="1">
        <v>33.0</v>
      </c>
    </row>
    <row r="20127">
      <c r="A20127" s="1" t="s">
        <v>8</v>
      </c>
      <c r="B20127" s="2">
        <v>44797.0</v>
      </c>
      <c r="C20127" s="3">
        <v>0.33078703703703705</v>
      </c>
      <c r="D20127" s="1">
        <v>13.010696</v>
      </c>
      <c r="E20127" s="1">
        <v>80.216836</v>
      </c>
      <c r="F20127" s="1">
        <v>3143.0</v>
      </c>
      <c r="G20127" s="1">
        <v>44.0</v>
      </c>
    </row>
    <row r="20128">
      <c r="A20128" s="1" t="s">
        <v>7</v>
      </c>
      <c r="B20128" s="2">
        <v>44797.0</v>
      </c>
      <c r="C20128" s="3">
        <v>0.33091435185185186</v>
      </c>
      <c r="D20128" s="1">
        <v>13.010226</v>
      </c>
      <c r="E20128" s="1">
        <v>80.215789</v>
      </c>
      <c r="F20128" s="1">
        <v>3143.0</v>
      </c>
      <c r="G20128" s="1">
        <v>48.0</v>
      </c>
    </row>
    <row r="20129">
      <c r="A20129" s="1" t="s">
        <v>8</v>
      </c>
      <c r="B20129" s="2">
        <v>44797.0</v>
      </c>
      <c r="C20129" s="3">
        <v>0.33108796296296295</v>
      </c>
      <c r="D20129" s="1">
        <v>13.009457</v>
      </c>
      <c r="E20129" s="1">
        <v>80.213128</v>
      </c>
      <c r="F20129" s="1">
        <v>3143.0</v>
      </c>
      <c r="G20129" s="1">
        <v>48.0</v>
      </c>
    </row>
    <row r="20130">
      <c r="A20130" s="1" t="s">
        <v>8</v>
      </c>
      <c r="B20130" s="2">
        <v>44797.0</v>
      </c>
      <c r="C20130" s="3">
        <v>0.3314699074074074</v>
      </c>
      <c r="D20130" s="1">
        <v>13.008252</v>
      </c>
      <c r="E20130" s="1">
        <v>80.209834</v>
      </c>
      <c r="F20130" s="1">
        <v>3143.0</v>
      </c>
      <c r="G20130" s="1">
        <v>46.0</v>
      </c>
    </row>
    <row r="20131">
      <c r="A20131" s="1" t="s">
        <v>8</v>
      </c>
      <c r="B20131" s="2">
        <v>44797.0</v>
      </c>
      <c r="C20131" s="3">
        <v>0.331724537037037</v>
      </c>
      <c r="D20131" s="1">
        <v>13.00782</v>
      </c>
      <c r="E20131" s="1">
        <v>80.207602</v>
      </c>
      <c r="F20131" s="1">
        <v>3143.0</v>
      </c>
      <c r="G20131" s="1">
        <v>52.0</v>
      </c>
    </row>
    <row r="20132">
      <c r="A20132" s="1" t="s">
        <v>7</v>
      </c>
      <c r="B20132" s="2">
        <v>44797.0</v>
      </c>
      <c r="C20132" s="3">
        <v>0.3319212962962963</v>
      </c>
      <c r="D20132" s="1">
        <v>13.007366</v>
      </c>
      <c r="E20132" s="1">
        <v>80.205413</v>
      </c>
      <c r="F20132" s="1">
        <v>3143.0</v>
      </c>
      <c r="G20132" s="1">
        <v>46.0</v>
      </c>
    </row>
    <row r="20133">
      <c r="A20133" s="1" t="s">
        <v>8</v>
      </c>
      <c r="B20133" s="2">
        <v>44797.0</v>
      </c>
      <c r="C20133" s="3">
        <v>0.3320601851851852</v>
      </c>
      <c r="D20133" s="1">
        <v>13.006838</v>
      </c>
      <c r="E20133" s="1">
        <v>80.204196</v>
      </c>
      <c r="F20133" s="1">
        <v>3143.0</v>
      </c>
      <c r="G20133" s="1">
        <v>56.0</v>
      </c>
    </row>
    <row r="20134">
      <c r="A20134" s="1" t="s">
        <v>7</v>
      </c>
      <c r="B20134" s="2">
        <v>44797.0</v>
      </c>
      <c r="C20134" s="3">
        <v>0.33243055555555556</v>
      </c>
      <c r="D20134" s="1">
        <v>13.00483</v>
      </c>
      <c r="E20134" s="1">
        <v>80.201433</v>
      </c>
      <c r="F20134" s="1">
        <v>3143.0</v>
      </c>
      <c r="G20134" s="1">
        <v>43.0</v>
      </c>
    </row>
    <row r="20135">
      <c r="A20135" s="1" t="s">
        <v>7</v>
      </c>
      <c r="B20135" s="2">
        <v>44797.0</v>
      </c>
      <c r="C20135" s="3">
        <v>0.3325</v>
      </c>
      <c r="D20135" s="1">
        <v>13.003715</v>
      </c>
      <c r="E20135" s="1">
        <v>80.20103</v>
      </c>
      <c r="F20135" s="1">
        <v>3143.0</v>
      </c>
      <c r="G20135" s="1">
        <v>49.0</v>
      </c>
    </row>
    <row r="20136">
      <c r="A20136" s="1" t="s">
        <v>7</v>
      </c>
      <c r="B20136" s="2">
        <v>44797.0</v>
      </c>
      <c r="C20136" s="3">
        <v>0.33260416666666665</v>
      </c>
      <c r="D20136" s="1">
        <v>13.002125</v>
      </c>
      <c r="E20136" s="1">
        <v>80.200432</v>
      </c>
      <c r="F20136" s="1">
        <v>3143.0</v>
      </c>
      <c r="G20136" s="1">
        <v>58.0</v>
      </c>
    </row>
    <row r="20137">
      <c r="A20137" s="1" t="s">
        <v>8</v>
      </c>
      <c r="B20137" s="2">
        <v>44797.0</v>
      </c>
      <c r="C20137" s="3">
        <v>0.33269675925925923</v>
      </c>
      <c r="D20137" s="1">
        <v>13.002125</v>
      </c>
      <c r="E20137" s="1">
        <v>80.200432</v>
      </c>
      <c r="F20137" s="1">
        <v>3143.0</v>
      </c>
      <c r="G20137" s="1">
        <v>58.0</v>
      </c>
    </row>
    <row r="20138">
      <c r="A20138" s="1" t="s">
        <v>8</v>
      </c>
      <c r="B20138" s="2">
        <v>44797.0</v>
      </c>
      <c r="C20138" s="3">
        <v>0.33287037037037037</v>
      </c>
      <c r="D20138" s="1">
        <v>13.001965</v>
      </c>
      <c r="E20138" s="1">
        <v>80.197406</v>
      </c>
      <c r="F20138" s="1">
        <v>3143.0</v>
      </c>
      <c r="G20138" s="1">
        <v>50.0</v>
      </c>
    </row>
    <row r="20139">
      <c r="A20139" s="1" t="s">
        <v>8</v>
      </c>
      <c r="B20139" s="2">
        <v>44797.0</v>
      </c>
      <c r="C20139" s="3">
        <v>0.3330208333333333</v>
      </c>
      <c r="D20139" s="1">
        <v>13.001633</v>
      </c>
      <c r="E20139" s="1">
        <v>80.196338</v>
      </c>
      <c r="F20139" s="1">
        <v>3143.0</v>
      </c>
      <c r="G20139" s="1">
        <v>37.0</v>
      </c>
    </row>
    <row r="20140">
      <c r="A20140" s="1" t="s">
        <v>8</v>
      </c>
      <c r="B20140" s="2">
        <v>44797.0</v>
      </c>
      <c r="C20140" s="3">
        <v>0.3330787037037037</v>
      </c>
      <c r="D20140" s="1">
        <v>12.958627</v>
      </c>
      <c r="E20140" s="1">
        <v>80.144545</v>
      </c>
      <c r="F20140" s="1">
        <v>5339.0</v>
      </c>
      <c r="G20140" s="1">
        <v>57.0</v>
      </c>
    </row>
    <row r="20141">
      <c r="A20141" s="1" t="s">
        <v>8</v>
      </c>
      <c r="B20141" s="2">
        <v>44797.0</v>
      </c>
      <c r="C20141" s="3">
        <v>0.3331365740740741</v>
      </c>
      <c r="D20141" s="1">
        <v>13.000985</v>
      </c>
      <c r="E20141" s="1">
        <v>80.19549</v>
      </c>
      <c r="F20141" s="1">
        <v>3143.0</v>
      </c>
      <c r="G20141" s="1">
        <v>45.0</v>
      </c>
    </row>
    <row r="20142">
      <c r="A20142" s="1" t="s">
        <v>8</v>
      </c>
      <c r="B20142" s="2">
        <v>44797.0</v>
      </c>
      <c r="C20142" s="3">
        <v>0.33318287037037037</v>
      </c>
      <c r="D20142" s="1">
        <v>12.957469</v>
      </c>
      <c r="E20142" s="1">
        <v>80.143928</v>
      </c>
      <c r="F20142" s="1">
        <v>5339.0</v>
      </c>
      <c r="G20142" s="1">
        <v>44.0</v>
      </c>
    </row>
    <row r="20143">
      <c r="A20143" s="1" t="s">
        <v>7</v>
      </c>
      <c r="B20143" s="2">
        <v>44797.0</v>
      </c>
      <c r="C20143" s="3">
        <v>0.33336805555555554</v>
      </c>
      <c r="D20143" s="1">
        <v>12.999374</v>
      </c>
      <c r="E20143" s="1">
        <v>80.193406</v>
      </c>
      <c r="F20143" s="1">
        <v>3143.0</v>
      </c>
      <c r="G20143" s="1">
        <v>52.0</v>
      </c>
    </row>
    <row r="20144">
      <c r="A20144" s="1" t="s">
        <v>8</v>
      </c>
      <c r="B20144" s="2">
        <v>44797.0</v>
      </c>
      <c r="C20144" s="3">
        <v>0.33339120370370373</v>
      </c>
      <c r="D20144" s="1">
        <v>12.999374</v>
      </c>
      <c r="E20144" s="1">
        <v>80.193406</v>
      </c>
      <c r="F20144" s="1">
        <v>3143.0</v>
      </c>
      <c r="G20144" s="1">
        <v>52.0</v>
      </c>
    </row>
    <row r="20145">
      <c r="A20145" s="1" t="s">
        <v>8</v>
      </c>
      <c r="B20145" s="2">
        <v>44797.0</v>
      </c>
      <c r="C20145" s="3">
        <v>0.3335532407407407</v>
      </c>
      <c r="D20145" s="1">
        <v>12.998535</v>
      </c>
      <c r="E20145" s="1">
        <v>80.192394</v>
      </c>
      <c r="F20145" s="1">
        <v>3143.0</v>
      </c>
      <c r="G20145" s="1">
        <v>47.0</v>
      </c>
    </row>
    <row r="20146">
      <c r="A20146" s="1" t="s">
        <v>8</v>
      </c>
      <c r="B20146" s="2">
        <v>44797.0</v>
      </c>
      <c r="C20146" s="3">
        <v>0.3351736111111111</v>
      </c>
      <c r="D20146" s="1">
        <v>12.99391</v>
      </c>
      <c r="E20146" s="1">
        <v>80.185391</v>
      </c>
      <c r="F20146" s="1">
        <v>3143.0</v>
      </c>
      <c r="G20146" s="1">
        <v>28.0</v>
      </c>
    </row>
    <row r="20147">
      <c r="A20147" s="1" t="s">
        <v>7</v>
      </c>
      <c r="B20147" s="2">
        <v>44797.0</v>
      </c>
      <c r="C20147" s="3">
        <v>0.33524305555555556</v>
      </c>
      <c r="D20147" s="1">
        <v>12.949298</v>
      </c>
      <c r="E20147" s="1">
        <v>80.138693</v>
      </c>
      <c r="F20147" s="1">
        <v>5339.0</v>
      </c>
      <c r="G20147" s="1">
        <v>42.0</v>
      </c>
    </row>
    <row r="20148">
      <c r="A20148" s="1" t="s">
        <v>7</v>
      </c>
      <c r="B20148" s="2">
        <v>44797.0</v>
      </c>
      <c r="C20148" s="3">
        <v>0.3352777777777778</v>
      </c>
      <c r="D20148" s="1">
        <v>12.993056</v>
      </c>
      <c r="E20148" s="1">
        <v>80.183844</v>
      </c>
      <c r="F20148" s="1">
        <v>3143.0</v>
      </c>
      <c r="G20148" s="1">
        <v>48.0</v>
      </c>
    </row>
    <row r="20149">
      <c r="A20149" s="1" t="s">
        <v>9</v>
      </c>
      <c r="B20149" s="2">
        <v>44797.0</v>
      </c>
      <c r="C20149" s="3">
        <v>0.33565972222222223</v>
      </c>
      <c r="D20149" s="1">
        <v>12.99039</v>
      </c>
      <c r="E20149" s="1">
        <v>80.180109</v>
      </c>
      <c r="F20149" s="1">
        <v>3143.0</v>
      </c>
      <c r="G20149" s="1">
        <v>54.0</v>
      </c>
    </row>
    <row r="20150">
      <c r="A20150" s="1" t="s">
        <v>7</v>
      </c>
      <c r="B20150" s="2">
        <v>44797.0</v>
      </c>
      <c r="C20150" s="3">
        <v>0.3357986111111111</v>
      </c>
      <c r="D20150" s="1">
        <v>12.944847</v>
      </c>
      <c r="E20150" s="1">
        <v>80.135267</v>
      </c>
      <c r="F20150" s="1">
        <v>5339.0</v>
      </c>
      <c r="G20150" s="1">
        <v>57.0</v>
      </c>
    </row>
    <row r="20151">
      <c r="A20151" s="1" t="s">
        <v>8</v>
      </c>
      <c r="B20151" s="2">
        <v>44797.0</v>
      </c>
      <c r="C20151" s="3">
        <v>0.3358217592592593</v>
      </c>
      <c r="D20151" s="1">
        <v>12.989095</v>
      </c>
      <c r="E20151" s="1">
        <v>80.178513</v>
      </c>
      <c r="F20151" s="1">
        <v>3143.0</v>
      </c>
      <c r="G20151" s="1">
        <v>50.0</v>
      </c>
    </row>
    <row r="20152">
      <c r="A20152" s="1" t="s">
        <v>9</v>
      </c>
      <c r="B20152" s="2">
        <v>44797.0</v>
      </c>
      <c r="C20152" s="3">
        <v>0.33618055555555554</v>
      </c>
      <c r="D20152" s="1">
        <v>12.98699</v>
      </c>
      <c r="E20152" s="1">
        <v>80.175572</v>
      </c>
      <c r="F20152" s="1">
        <v>3143.0</v>
      </c>
      <c r="G20152" s="1">
        <v>42.0</v>
      </c>
    </row>
    <row r="20153">
      <c r="A20153" s="1" t="s">
        <v>8</v>
      </c>
      <c r="B20153" s="2">
        <v>44797.0</v>
      </c>
      <c r="C20153" s="3">
        <v>0.3363425925925926</v>
      </c>
      <c r="D20153" s="1">
        <v>12.986485</v>
      </c>
      <c r="E20153" s="1">
        <v>80.17485</v>
      </c>
      <c r="F20153" s="1">
        <v>3143.0</v>
      </c>
      <c r="G20153" s="1">
        <v>32.0</v>
      </c>
    </row>
    <row r="20154">
      <c r="A20154" s="1" t="s">
        <v>8</v>
      </c>
      <c r="B20154" s="2">
        <v>44797.0</v>
      </c>
      <c r="C20154" s="3">
        <v>0.3365162037037037</v>
      </c>
      <c r="D20154" s="1">
        <v>12.985348</v>
      </c>
      <c r="E20154" s="1">
        <v>80.173191</v>
      </c>
      <c r="F20154" s="1">
        <v>3143.0</v>
      </c>
      <c r="G20154" s="1">
        <v>36.0</v>
      </c>
    </row>
    <row r="20155">
      <c r="A20155" s="1" t="s">
        <v>8</v>
      </c>
      <c r="B20155" s="2">
        <v>44797.0</v>
      </c>
      <c r="C20155" s="3">
        <v>0.3365162037037037</v>
      </c>
      <c r="D20155" s="1">
        <v>12.938029</v>
      </c>
      <c r="E20155" s="1">
        <v>80.128859</v>
      </c>
      <c r="F20155" s="1">
        <v>5339.0</v>
      </c>
      <c r="G20155" s="1">
        <v>31.0</v>
      </c>
    </row>
    <row r="20156">
      <c r="A20156" s="1" t="s">
        <v>8</v>
      </c>
      <c r="B20156" s="2">
        <v>44797.0</v>
      </c>
      <c r="C20156" s="3">
        <v>0.33674768518518516</v>
      </c>
      <c r="D20156" s="1">
        <v>12.984391</v>
      </c>
      <c r="E20156" s="1">
        <v>80.171696</v>
      </c>
      <c r="F20156" s="1">
        <v>3143.0</v>
      </c>
      <c r="G20156" s="1">
        <v>41.0</v>
      </c>
    </row>
    <row r="20157">
      <c r="A20157" s="1" t="s">
        <v>8</v>
      </c>
      <c r="B20157" s="2">
        <v>44797.0</v>
      </c>
      <c r="C20157" s="3">
        <v>0.33694444444444444</v>
      </c>
      <c r="D20157" s="1">
        <v>12.983846</v>
      </c>
      <c r="E20157" s="1">
        <v>80.170816</v>
      </c>
      <c r="F20157" s="1">
        <v>3143.0</v>
      </c>
      <c r="G20157" s="1">
        <v>38.0</v>
      </c>
    </row>
    <row r="20158">
      <c r="A20158" s="1" t="s">
        <v>8</v>
      </c>
      <c r="B20158" s="2">
        <v>44797.0</v>
      </c>
      <c r="C20158" s="3">
        <v>0.33699074074074076</v>
      </c>
      <c r="D20158" s="1">
        <v>12.983249</v>
      </c>
      <c r="E20158" s="1">
        <v>80.16984</v>
      </c>
      <c r="F20158" s="1">
        <v>3143.0</v>
      </c>
      <c r="G20158" s="1">
        <v>46.0</v>
      </c>
    </row>
    <row r="20159">
      <c r="A20159" s="1" t="s">
        <v>9</v>
      </c>
      <c r="B20159" s="2">
        <v>44797.0</v>
      </c>
      <c r="C20159" s="3">
        <v>0.33814814814814814</v>
      </c>
      <c r="D20159" s="1">
        <v>12.978858</v>
      </c>
      <c r="E20159" s="1">
        <v>80.161284</v>
      </c>
      <c r="F20159" s="1">
        <v>3143.0</v>
      </c>
      <c r="G20159" s="1">
        <v>42.0</v>
      </c>
    </row>
    <row r="20160">
      <c r="A20160" s="1" t="s">
        <v>8</v>
      </c>
      <c r="B20160" s="2">
        <v>44797.0</v>
      </c>
      <c r="C20160" s="3">
        <v>0.33819444444444446</v>
      </c>
      <c r="D20160" s="1">
        <v>12.931097</v>
      </c>
      <c r="E20160" s="1">
        <v>80.12239</v>
      </c>
      <c r="F20160" s="1">
        <v>5339.0</v>
      </c>
      <c r="G20160" s="1">
        <v>28.0</v>
      </c>
    </row>
    <row r="20161">
      <c r="A20161" s="1" t="s">
        <v>8</v>
      </c>
      <c r="B20161" s="2">
        <v>44797.0</v>
      </c>
      <c r="C20161" s="3">
        <v>0.3382523148148148</v>
      </c>
      <c r="D20161" s="1">
        <v>12.930528</v>
      </c>
      <c r="E20161" s="1">
        <v>80.12184</v>
      </c>
      <c r="F20161" s="1">
        <v>5339.0</v>
      </c>
      <c r="G20161" s="1">
        <v>28.0</v>
      </c>
    </row>
    <row r="20162">
      <c r="A20162" s="1" t="s">
        <v>8</v>
      </c>
      <c r="B20162" s="2">
        <v>44797.0</v>
      </c>
      <c r="C20162" s="3">
        <v>0.3382986111111111</v>
      </c>
      <c r="D20162" s="1">
        <v>12.980814</v>
      </c>
      <c r="E20162" s="1">
        <v>80.165684</v>
      </c>
      <c r="F20162" s="1">
        <v>3143.0</v>
      </c>
      <c r="G20162" s="1">
        <v>41.0</v>
      </c>
    </row>
    <row r="20163">
      <c r="A20163" s="1" t="s">
        <v>8</v>
      </c>
      <c r="B20163" s="2">
        <v>44797.0</v>
      </c>
      <c r="C20163" s="3">
        <v>0.3386111111111111</v>
      </c>
      <c r="D20163" s="1">
        <v>12.97633</v>
      </c>
      <c r="E20163" s="1">
        <v>80.157574</v>
      </c>
      <c r="F20163" s="1">
        <v>3143.0</v>
      </c>
      <c r="G20163" s="1">
        <v>48.0</v>
      </c>
    </row>
    <row r="20164">
      <c r="A20164" s="1" t="s">
        <v>8</v>
      </c>
      <c r="B20164" s="2">
        <v>44797.0</v>
      </c>
      <c r="C20164" s="3">
        <v>0.3386458333333333</v>
      </c>
      <c r="D20164" s="1">
        <v>12.928143</v>
      </c>
      <c r="E20164" s="1">
        <v>80.119368</v>
      </c>
      <c r="F20164" s="1">
        <v>5339.0</v>
      </c>
      <c r="G20164" s="1">
        <v>48.0</v>
      </c>
    </row>
    <row r="20165">
      <c r="A20165" s="1" t="s">
        <v>7</v>
      </c>
      <c r="B20165" s="2">
        <v>44797.0</v>
      </c>
      <c r="C20165" s="3">
        <v>0.33871527777777777</v>
      </c>
      <c r="D20165" s="1">
        <v>12.97633</v>
      </c>
      <c r="E20165" s="1">
        <v>80.157574</v>
      </c>
      <c r="F20165" s="1">
        <v>3143.0</v>
      </c>
      <c r="G20165" s="1">
        <v>48.0</v>
      </c>
    </row>
    <row r="20166">
      <c r="A20166" s="1" t="s">
        <v>8</v>
      </c>
      <c r="B20166" s="2">
        <v>44797.0</v>
      </c>
      <c r="C20166" s="3">
        <v>0.3391087962962963</v>
      </c>
      <c r="D20166" s="1">
        <v>12.925715</v>
      </c>
      <c r="E20166" s="1">
        <v>80.116927</v>
      </c>
      <c r="F20166" s="1">
        <v>5339.0</v>
      </c>
      <c r="G20166" s="1">
        <v>48.0</v>
      </c>
    </row>
    <row r="20167">
      <c r="A20167" s="1" t="s">
        <v>8</v>
      </c>
      <c r="B20167" s="2">
        <v>44797.0</v>
      </c>
      <c r="C20167" s="3">
        <v>0.33927083333333335</v>
      </c>
      <c r="D20167" s="1">
        <v>12.974318</v>
      </c>
      <c r="E20167" s="1">
        <v>80.154749</v>
      </c>
      <c r="F20167" s="1">
        <v>3143.0</v>
      </c>
      <c r="G20167" s="1">
        <v>15.0</v>
      </c>
    </row>
    <row r="20168">
      <c r="A20168" s="1" t="s">
        <v>8</v>
      </c>
      <c r="B20168" s="2">
        <v>44797.0</v>
      </c>
      <c r="C20168" s="3">
        <v>0.3396064814814815</v>
      </c>
      <c r="D20168" s="1">
        <v>12.972767</v>
      </c>
      <c r="E20168" s="1">
        <v>80.15239</v>
      </c>
      <c r="F20168" s="1">
        <v>3143.0</v>
      </c>
      <c r="G20168" s="1">
        <v>52.0</v>
      </c>
    </row>
    <row r="20169">
      <c r="A20169" s="1" t="s">
        <v>8</v>
      </c>
      <c r="B20169" s="2">
        <v>44797.0</v>
      </c>
      <c r="C20169" s="3">
        <v>0.3398726851851852</v>
      </c>
      <c r="D20169" s="1">
        <v>12.920148</v>
      </c>
      <c r="E20169" s="1">
        <v>80.111317</v>
      </c>
      <c r="F20169" s="1">
        <v>5339.0</v>
      </c>
      <c r="G20169" s="1">
        <v>0.0</v>
      </c>
    </row>
    <row r="20170">
      <c r="A20170" s="1" t="s">
        <v>7</v>
      </c>
      <c r="B20170" s="2">
        <v>44797.0</v>
      </c>
      <c r="C20170" s="3">
        <v>0.3411574074074074</v>
      </c>
      <c r="D20170" s="1">
        <v>12.91619</v>
      </c>
      <c r="E20170" s="1">
        <v>80.105708</v>
      </c>
      <c r="F20170" s="1">
        <v>5339.0</v>
      </c>
      <c r="G20170" s="1">
        <v>50.0</v>
      </c>
    </row>
    <row r="20171">
      <c r="A20171" s="1" t="s">
        <v>8</v>
      </c>
      <c r="B20171" s="2">
        <v>44797.0</v>
      </c>
      <c r="C20171" s="3">
        <v>0.3413888888888889</v>
      </c>
      <c r="D20171" s="1">
        <v>12.912986</v>
      </c>
      <c r="E20171" s="1">
        <v>80.101603</v>
      </c>
      <c r="F20171" s="1">
        <v>5339.0</v>
      </c>
      <c r="G20171" s="1">
        <v>44.0</v>
      </c>
    </row>
    <row r="20172">
      <c r="A20172" s="1" t="s">
        <v>8</v>
      </c>
      <c r="B20172" s="2">
        <v>44797.0</v>
      </c>
      <c r="C20172" s="3">
        <v>0.34194444444444444</v>
      </c>
      <c r="D20172" s="1">
        <v>12.964893</v>
      </c>
      <c r="E20172" s="1">
        <v>80.147952</v>
      </c>
      <c r="F20172" s="1">
        <v>3143.0</v>
      </c>
      <c r="G20172" s="1">
        <v>39.0</v>
      </c>
    </row>
    <row r="20173">
      <c r="A20173" s="1" t="s">
        <v>8</v>
      </c>
      <c r="B20173" s="2">
        <v>44797.0</v>
      </c>
      <c r="C20173" s="3">
        <v>0.3421180555555556</v>
      </c>
      <c r="D20173" s="1">
        <v>12.96386</v>
      </c>
      <c r="E20173" s="1">
        <v>80.14735</v>
      </c>
      <c r="F20173" s="1">
        <v>3143.0</v>
      </c>
      <c r="G20173" s="1">
        <v>42.0</v>
      </c>
    </row>
    <row r="20174">
      <c r="A20174" s="1" t="s">
        <v>8</v>
      </c>
      <c r="B20174" s="2">
        <v>44797.0</v>
      </c>
      <c r="C20174" s="3">
        <v>0.3421875</v>
      </c>
      <c r="D20174" s="1">
        <v>12.962947</v>
      </c>
      <c r="E20174" s="1">
        <v>80.146837</v>
      </c>
      <c r="F20174" s="1">
        <v>3143.0</v>
      </c>
      <c r="G20174" s="1">
        <v>0.0</v>
      </c>
    </row>
    <row r="20175">
      <c r="A20175" s="1" t="s">
        <v>8</v>
      </c>
      <c r="B20175" s="2">
        <v>44797.0</v>
      </c>
      <c r="C20175" s="3">
        <v>0.34273148148148147</v>
      </c>
      <c r="D20175" s="1">
        <v>12.961442</v>
      </c>
      <c r="E20175" s="1">
        <v>80.146053</v>
      </c>
      <c r="F20175" s="1">
        <v>3143.0</v>
      </c>
      <c r="G20175" s="1">
        <v>5.0</v>
      </c>
    </row>
    <row r="20176">
      <c r="A20176" s="1" t="s">
        <v>8</v>
      </c>
      <c r="B20176" s="2">
        <v>44797.0</v>
      </c>
      <c r="C20176" s="3">
        <v>0.34282407407407406</v>
      </c>
      <c r="D20176" s="1">
        <v>12.960677</v>
      </c>
      <c r="E20176" s="1">
        <v>80.14562</v>
      </c>
      <c r="F20176" s="1">
        <v>3143.0</v>
      </c>
      <c r="G20176" s="1">
        <v>33.0</v>
      </c>
    </row>
    <row r="20177">
      <c r="A20177" s="1" t="s">
        <v>8</v>
      </c>
      <c r="B20177" s="2">
        <v>44797.0</v>
      </c>
      <c r="C20177" s="3">
        <v>0.3431828703703704</v>
      </c>
      <c r="D20177" s="1">
        <v>12.958043</v>
      </c>
      <c r="E20177" s="1">
        <v>80.144168</v>
      </c>
      <c r="F20177" s="1">
        <v>3143.0</v>
      </c>
      <c r="G20177" s="1">
        <v>57.0</v>
      </c>
    </row>
    <row r="20178">
      <c r="A20178" s="1" t="s">
        <v>8</v>
      </c>
      <c r="B20178" s="2">
        <v>44797.0</v>
      </c>
      <c r="C20178" s="3">
        <v>0.34335648148148146</v>
      </c>
      <c r="D20178" s="1">
        <v>12.95677</v>
      </c>
      <c r="E20178" s="1">
        <v>80.143532</v>
      </c>
      <c r="F20178" s="1">
        <v>3143.0</v>
      </c>
      <c r="G20178" s="1">
        <v>20.0</v>
      </c>
    </row>
    <row r="20179">
      <c r="A20179" s="1" t="s">
        <v>8</v>
      </c>
      <c r="B20179" s="2">
        <v>44797.0</v>
      </c>
      <c r="C20179" s="3">
        <v>0.3433912037037037</v>
      </c>
      <c r="D20179" s="1">
        <v>12.95677</v>
      </c>
      <c r="E20179" s="1">
        <v>80.143532</v>
      </c>
      <c r="F20179" s="1">
        <v>3143.0</v>
      </c>
      <c r="G20179" s="1">
        <v>20.0</v>
      </c>
    </row>
    <row r="20180">
      <c r="A20180" s="1" t="s">
        <v>8</v>
      </c>
      <c r="B20180" s="2">
        <v>44797.0</v>
      </c>
      <c r="C20180" s="3">
        <v>0.3439814814814815</v>
      </c>
      <c r="D20180" s="1">
        <v>12.953539</v>
      </c>
      <c r="E20180" s="1">
        <v>80.141791</v>
      </c>
      <c r="F20180" s="1">
        <v>3143.0</v>
      </c>
      <c r="G20180" s="1">
        <v>35.0</v>
      </c>
    </row>
    <row r="20181">
      <c r="A20181" s="1" t="s">
        <v>8</v>
      </c>
      <c r="B20181" s="2">
        <v>44797.0</v>
      </c>
      <c r="C20181" s="3">
        <v>0.3445138888888889</v>
      </c>
      <c r="D20181" s="1">
        <v>12.95076</v>
      </c>
      <c r="E20181" s="1">
        <v>80.139803</v>
      </c>
      <c r="F20181" s="1">
        <v>3143.0</v>
      </c>
      <c r="G20181" s="1">
        <v>30.0</v>
      </c>
    </row>
    <row r="20182">
      <c r="A20182" s="1" t="s">
        <v>8</v>
      </c>
      <c r="B20182" s="2">
        <v>44797.0</v>
      </c>
      <c r="C20182" s="3">
        <v>0.3449421296296296</v>
      </c>
      <c r="D20182" s="1">
        <v>12.946866</v>
      </c>
      <c r="E20182" s="1">
        <v>80.136858</v>
      </c>
      <c r="F20182" s="1">
        <v>3143.0</v>
      </c>
      <c r="G20182" s="1">
        <v>44.0</v>
      </c>
    </row>
    <row r="20183">
      <c r="A20183" s="1" t="s">
        <v>8</v>
      </c>
      <c r="B20183" s="2">
        <v>44797.0</v>
      </c>
      <c r="C20183" s="3">
        <v>0.3450925925925926</v>
      </c>
      <c r="D20183" s="1">
        <v>12.904909</v>
      </c>
      <c r="E20183" s="1">
        <v>80.095407</v>
      </c>
      <c r="F20183" s="1">
        <v>5339.0</v>
      </c>
      <c r="G20183" s="1">
        <v>28.0</v>
      </c>
    </row>
    <row r="20184">
      <c r="A20184" s="1" t="s">
        <v>8</v>
      </c>
      <c r="B20184" s="2">
        <v>44797.0</v>
      </c>
      <c r="C20184" s="3">
        <v>0.3450925925925926</v>
      </c>
      <c r="D20184" s="1">
        <v>12.946866</v>
      </c>
      <c r="E20184" s="1">
        <v>80.136858</v>
      </c>
      <c r="F20184" s="1">
        <v>3143.0</v>
      </c>
      <c r="G20184" s="1">
        <v>44.0</v>
      </c>
    </row>
    <row r="20185">
      <c r="A20185" s="1" t="s">
        <v>8</v>
      </c>
      <c r="B20185" s="2">
        <v>44797.0</v>
      </c>
      <c r="C20185" s="3">
        <v>0.3452314814814815</v>
      </c>
      <c r="D20185" s="1">
        <v>12.94535</v>
      </c>
      <c r="E20185" s="1">
        <v>80.135691</v>
      </c>
      <c r="F20185" s="1">
        <v>3143.0</v>
      </c>
      <c r="G20185" s="1">
        <v>50.0</v>
      </c>
    </row>
    <row r="20186">
      <c r="A20186" s="1" t="s">
        <v>8</v>
      </c>
      <c r="B20186" s="2">
        <v>44797.0</v>
      </c>
      <c r="C20186" s="3">
        <v>0.345474537037037</v>
      </c>
      <c r="D20186" s="1">
        <v>12.902829</v>
      </c>
      <c r="E20186" s="1">
        <v>80.093693</v>
      </c>
      <c r="F20186" s="1">
        <v>5339.0</v>
      </c>
      <c r="G20186" s="1">
        <v>33.0</v>
      </c>
    </row>
    <row r="20187">
      <c r="A20187" s="1" t="s">
        <v>8</v>
      </c>
      <c r="B20187" s="2">
        <v>44797.0</v>
      </c>
      <c r="C20187" s="3">
        <v>0.3454976851851852</v>
      </c>
      <c r="D20187" s="1">
        <v>12.942635</v>
      </c>
      <c r="E20187" s="1">
        <v>80.133403</v>
      </c>
      <c r="F20187" s="1">
        <v>3143.0</v>
      </c>
      <c r="G20187" s="1">
        <v>44.0</v>
      </c>
    </row>
    <row r="20188">
      <c r="A20188" s="1" t="s">
        <v>8</v>
      </c>
      <c r="B20188" s="2">
        <v>44797.0</v>
      </c>
      <c r="C20188" s="3">
        <v>0.34578703703703706</v>
      </c>
      <c r="D20188" s="1">
        <v>12.941361</v>
      </c>
      <c r="E20188" s="1">
        <v>80.131998</v>
      </c>
      <c r="F20188" s="1">
        <v>3143.0</v>
      </c>
      <c r="G20188" s="1">
        <v>41.0</v>
      </c>
    </row>
    <row r="20189">
      <c r="A20189" s="1" t="s">
        <v>8</v>
      </c>
      <c r="B20189" s="2">
        <v>44797.0</v>
      </c>
      <c r="C20189" s="3">
        <v>0.34599537037037037</v>
      </c>
      <c r="D20189" s="1">
        <v>12.940146</v>
      </c>
      <c r="E20189" s="1">
        <v>80.130769</v>
      </c>
      <c r="F20189" s="1">
        <v>3143.0</v>
      </c>
      <c r="G20189" s="1">
        <v>43.0</v>
      </c>
    </row>
    <row r="20190">
      <c r="A20190" s="1" t="s">
        <v>8</v>
      </c>
      <c r="B20190" s="2">
        <v>44797.0</v>
      </c>
      <c r="C20190" s="3">
        <v>0.3463773148148148</v>
      </c>
      <c r="D20190" s="1">
        <v>12.937981</v>
      </c>
      <c r="E20190" s="1">
        <v>80.128811</v>
      </c>
      <c r="F20190" s="1">
        <v>3143.0</v>
      </c>
      <c r="G20190" s="1">
        <v>26.0</v>
      </c>
    </row>
    <row r="20191">
      <c r="A20191" s="1" t="s">
        <v>8</v>
      </c>
      <c r="B20191" s="2">
        <v>44797.0</v>
      </c>
      <c r="C20191" s="3">
        <v>0.3463888888888889</v>
      </c>
      <c r="D20191" s="1">
        <v>12.937981</v>
      </c>
      <c r="E20191" s="1">
        <v>80.128811</v>
      </c>
      <c r="F20191" s="1">
        <v>3143.0</v>
      </c>
      <c r="G20191" s="1">
        <v>26.0</v>
      </c>
    </row>
    <row r="20192">
      <c r="A20192" s="1" t="s">
        <v>8</v>
      </c>
      <c r="B20192" s="2">
        <v>44797.0</v>
      </c>
      <c r="C20192" s="3">
        <v>0.3468287037037037</v>
      </c>
      <c r="D20192" s="1">
        <v>12.936067</v>
      </c>
      <c r="E20192" s="1">
        <v>80.127196</v>
      </c>
      <c r="F20192" s="1">
        <v>3143.0</v>
      </c>
      <c r="G20192" s="1">
        <v>24.0</v>
      </c>
    </row>
    <row r="20193">
      <c r="A20193" s="1" t="s">
        <v>8</v>
      </c>
      <c r="B20193" s="2">
        <v>44797.0</v>
      </c>
      <c r="C20193" s="3">
        <v>0.3472337962962963</v>
      </c>
      <c r="D20193" s="1">
        <v>12.933727</v>
      </c>
      <c r="E20193" s="1">
        <v>80.124964</v>
      </c>
      <c r="F20193" s="1">
        <v>3143.0</v>
      </c>
      <c r="G20193" s="1">
        <v>43.0</v>
      </c>
    </row>
    <row r="20194">
      <c r="A20194" s="1" t="s">
        <v>8</v>
      </c>
      <c r="B20194" s="2">
        <v>44797.0</v>
      </c>
      <c r="C20194" s="3">
        <v>0.3481944444444444</v>
      </c>
      <c r="D20194" s="1">
        <v>12.930006</v>
      </c>
      <c r="E20194" s="1">
        <v>80.121309</v>
      </c>
      <c r="F20194" s="1">
        <v>3143.0</v>
      </c>
      <c r="G20194" s="1">
        <v>34.0</v>
      </c>
    </row>
    <row r="20195">
      <c r="A20195" s="1" t="s">
        <v>8</v>
      </c>
      <c r="B20195" s="2">
        <v>44797.0</v>
      </c>
      <c r="C20195" s="3">
        <v>0.34827546296296297</v>
      </c>
      <c r="D20195" s="1">
        <v>12.928957</v>
      </c>
      <c r="E20195" s="1">
        <v>80.120187</v>
      </c>
      <c r="F20195" s="1">
        <v>3143.0</v>
      </c>
      <c r="G20195" s="1">
        <v>42.0</v>
      </c>
    </row>
    <row r="20196">
      <c r="A20196" s="1" t="s">
        <v>8</v>
      </c>
      <c r="B20196" s="2">
        <v>44797.0</v>
      </c>
      <c r="C20196" s="3">
        <v>0.3483912037037037</v>
      </c>
      <c r="D20196" s="1">
        <v>12.927858</v>
      </c>
      <c r="E20196" s="1">
        <v>80.119047</v>
      </c>
      <c r="F20196" s="1">
        <v>3143.0</v>
      </c>
      <c r="G20196" s="1">
        <v>40.0</v>
      </c>
    </row>
    <row r="20197">
      <c r="A20197" s="1" t="s">
        <v>7</v>
      </c>
      <c r="B20197" s="2">
        <v>44797.0</v>
      </c>
      <c r="C20197" s="3">
        <v>0.3487152777777778</v>
      </c>
      <c r="D20197" s="1">
        <v>12.926716</v>
      </c>
      <c r="E20197" s="1">
        <v>80.117923</v>
      </c>
      <c r="F20197" s="1">
        <v>3143.0</v>
      </c>
      <c r="G20197" s="1">
        <v>34.0</v>
      </c>
    </row>
    <row r="20198">
      <c r="A20198" s="1" t="s">
        <v>7</v>
      </c>
      <c r="B20198" s="2">
        <v>44797.0</v>
      </c>
      <c r="C20198" s="3">
        <v>0.34902777777777777</v>
      </c>
      <c r="D20198" s="1">
        <v>12.924003</v>
      </c>
      <c r="E20198" s="1">
        <v>80.115167</v>
      </c>
      <c r="F20198" s="1">
        <v>3143.0</v>
      </c>
      <c r="G20198" s="1">
        <v>57.0</v>
      </c>
    </row>
    <row r="20199">
      <c r="A20199" s="1" t="s">
        <v>7</v>
      </c>
      <c r="B20199" s="2">
        <v>44797.0</v>
      </c>
      <c r="C20199" s="3">
        <v>0.3492824074074074</v>
      </c>
      <c r="D20199" s="1">
        <v>12.922421</v>
      </c>
      <c r="E20199" s="1">
        <v>80.11362</v>
      </c>
      <c r="F20199" s="1">
        <v>3143.0</v>
      </c>
      <c r="G20199" s="1">
        <v>58.0</v>
      </c>
    </row>
    <row r="20200">
      <c r="A20200" s="1" t="s">
        <v>8</v>
      </c>
      <c r="B20200" s="2">
        <v>44797.0</v>
      </c>
      <c r="C20200" s="3">
        <v>0.34956018518518517</v>
      </c>
      <c r="D20200" s="1">
        <v>12.919333</v>
      </c>
      <c r="E20200" s="1">
        <v>80.11025</v>
      </c>
      <c r="F20200" s="1">
        <v>3143.0</v>
      </c>
      <c r="G20200" s="1">
        <v>58.0</v>
      </c>
    </row>
    <row r="20201">
      <c r="A20201" s="1" t="s">
        <v>8</v>
      </c>
      <c r="B20201" s="2">
        <v>44797.0</v>
      </c>
      <c r="C20201" s="3">
        <v>0.3500810185185185</v>
      </c>
      <c r="D20201" s="1">
        <v>12.915805</v>
      </c>
      <c r="E20201" s="1">
        <v>80.105001</v>
      </c>
      <c r="F20201" s="1">
        <v>3143.0</v>
      </c>
      <c r="G20201" s="1">
        <v>48.0</v>
      </c>
    </row>
    <row r="20202">
      <c r="A20202" s="1" t="s">
        <v>8</v>
      </c>
      <c r="B20202" s="2">
        <v>44797.0</v>
      </c>
      <c r="C20202" s="3">
        <v>0.35391203703703705</v>
      </c>
      <c r="D20202" s="1">
        <v>12.905102</v>
      </c>
      <c r="E20202" s="1">
        <v>80.095534</v>
      </c>
      <c r="F20202" s="1">
        <v>3143.0</v>
      </c>
      <c r="G20202" s="1">
        <v>18.0</v>
      </c>
    </row>
    <row r="20203">
      <c r="A20203" s="1" t="s">
        <v>8</v>
      </c>
      <c r="B20203" s="2">
        <v>44797.0</v>
      </c>
      <c r="C20203" s="3">
        <v>0.3539467592592593</v>
      </c>
      <c r="D20203" s="1">
        <v>12.904298</v>
      </c>
      <c r="E20203" s="1">
        <v>80.094945</v>
      </c>
      <c r="F20203" s="1">
        <v>3143.0</v>
      </c>
      <c r="G20203" s="1">
        <v>29.0</v>
      </c>
    </row>
    <row r="20204">
      <c r="A20204" s="1" t="s">
        <v>8</v>
      </c>
      <c r="B20204" s="2">
        <v>44797.0</v>
      </c>
      <c r="C20204" s="3">
        <v>0.3540277777777778</v>
      </c>
      <c r="D20204" s="1">
        <v>12.904298</v>
      </c>
      <c r="E20204" s="1">
        <v>80.094945</v>
      </c>
      <c r="F20204" s="1">
        <v>3143.0</v>
      </c>
      <c r="G20204" s="1">
        <v>29.0</v>
      </c>
    </row>
    <row r="20205">
      <c r="A20205" s="1" t="s">
        <v>8</v>
      </c>
      <c r="B20205" s="2">
        <v>44797.0</v>
      </c>
      <c r="C20205" s="3">
        <v>0.3542592592592593</v>
      </c>
      <c r="D20205" s="1">
        <v>12.903477</v>
      </c>
      <c r="E20205" s="1">
        <v>80.094257</v>
      </c>
      <c r="F20205" s="1">
        <v>3143.0</v>
      </c>
      <c r="G20205" s="1">
        <v>25.0</v>
      </c>
    </row>
    <row r="20206">
      <c r="A20206" s="1" t="s">
        <v>8</v>
      </c>
      <c r="B20206" s="2">
        <v>44797.0</v>
      </c>
      <c r="C20206" s="3">
        <v>0.3561226851851852</v>
      </c>
      <c r="D20206" s="1">
        <v>12.896605</v>
      </c>
      <c r="E20206" s="1">
        <v>80.088967</v>
      </c>
      <c r="F20206" s="1">
        <v>3143.0</v>
      </c>
      <c r="G20206" s="1">
        <v>21.0</v>
      </c>
    </row>
    <row r="20207">
      <c r="A20207" s="1" t="s">
        <v>9</v>
      </c>
      <c r="B20207" s="2">
        <v>44797.0</v>
      </c>
      <c r="C20207" s="3">
        <v>0.35662037037037037</v>
      </c>
      <c r="D20207" s="1">
        <v>12.892748</v>
      </c>
      <c r="E20207" s="1">
        <v>80.086061</v>
      </c>
      <c r="F20207" s="1">
        <v>3143.0</v>
      </c>
      <c r="G20207" s="1">
        <v>44.0</v>
      </c>
    </row>
    <row r="20208">
      <c r="A20208" s="1" t="s">
        <v>7</v>
      </c>
      <c r="B20208" s="2">
        <v>44797.0</v>
      </c>
      <c r="C20208" s="3">
        <v>0.3568865740740741</v>
      </c>
      <c r="D20208" s="1">
        <v>12.891437</v>
      </c>
      <c r="E20208" s="1">
        <v>80.08525</v>
      </c>
      <c r="F20208" s="1">
        <v>3143.0</v>
      </c>
      <c r="G20208" s="1">
        <v>38.0</v>
      </c>
    </row>
    <row r="20209">
      <c r="A20209" s="1" t="s">
        <v>10</v>
      </c>
      <c r="B20209" s="2">
        <v>44797.0</v>
      </c>
      <c r="C20209" s="3">
        <v>0.6247453703703704</v>
      </c>
      <c r="D20209" s="1">
        <v>12.876004</v>
      </c>
      <c r="E20209" s="1">
        <v>80.083485</v>
      </c>
      <c r="F20209" s="1">
        <v>5339.0</v>
      </c>
      <c r="G20209" s="1">
        <v>6.0</v>
      </c>
    </row>
    <row r="20210">
      <c r="A20210" s="1" t="s">
        <v>8</v>
      </c>
      <c r="B20210" s="2">
        <v>44797.0</v>
      </c>
      <c r="C20210" s="3">
        <v>0.6905324074074074</v>
      </c>
      <c r="D20210" s="1">
        <v>12.8804</v>
      </c>
      <c r="E20210" s="1">
        <v>80.080458</v>
      </c>
      <c r="F20210" s="1">
        <v>5339.0</v>
      </c>
      <c r="G20210" s="1">
        <v>36.0</v>
      </c>
    </row>
    <row r="20211">
      <c r="A20211" s="1" t="s">
        <v>8</v>
      </c>
      <c r="B20211" s="2">
        <v>44797.0</v>
      </c>
      <c r="C20211" s="3">
        <v>0.6911111111111111</v>
      </c>
      <c r="D20211" s="1">
        <v>12.88454</v>
      </c>
      <c r="E20211" s="1">
        <v>80.081935</v>
      </c>
      <c r="F20211" s="1">
        <v>5339.0</v>
      </c>
      <c r="G20211" s="1">
        <v>41.0</v>
      </c>
    </row>
    <row r="20212">
      <c r="A20212" s="1" t="s">
        <v>7</v>
      </c>
      <c r="B20212" s="2">
        <v>44797.0</v>
      </c>
      <c r="C20212" s="3">
        <v>0.6912268518518518</v>
      </c>
      <c r="D20212" s="1">
        <v>12.885417</v>
      </c>
      <c r="E20212" s="1">
        <v>80.082526</v>
      </c>
      <c r="F20212" s="1">
        <v>5339.0</v>
      </c>
      <c r="G20212" s="1">
        <v>43.0</v>
      </c>
    </row>
    <row r="20213">
      <c r="A20213" s="1" t="s">
        <v>7</v>
      </c>
      <c r="B20213" s="2">
        <v>44797.0</v>
      </c>
      <c r="C20213" s="3">
        <v>0.6917129629629629</v>
      </c>
      <c r="D20213" s="1">
        <v>12.890629</v>
      </c>
      <c r="E20213" s="1">
        <v>80.084778</v>
      </c>
      <c r="F20213" s="1">
        <v>5339.0</v>
      </c>
      <c r="G20213" s="1">
        <v>58.0</v>
      </c>
    </row>
    <row r="20214">
      <c r="A20214" s="1" t="s">
        <v>7</v>
      </c>
      <c r="B20214" s="2">
        <v>44797.0</v>
      </c>
      <c r="C20214" s="3">
        <v>0.6918865740740741</v>
      </c>
      <c r="D20214" s="1">
        <v>12.893168</v>
      </c>
      <c r="E20214" s="1">
        <v>80.086239</v>
      </c>
      <c r="F20214" s="1">
        <v>5339.0</v>
      </c>
      <c r="G20214" s="1">
        <v>59.0</v>
      </c>
    </row>
    <row r="20215">
      <c r="A20215" s="1" t="s">
        <v>7</v>
      </c>
      <c r="B20215" s="2">
        <v>44797.0</v>
      </c>
      <c r="C20215" s="3">
        <v>0.6929166666666666</v>
      </c>
      <c r="D20215" s="1">
        <v>12.903698</v>
      </c>
      <c r="E20215" s="1">
        <v>80.094141</v>
      </c>
      <c r="F20215" s="1">
        <v>5339.0</v>
      </c>
      <c r="G20215" s="1">
        <v>53.0</v>
      </c>
    </row>
    <row r="20216">
      <c r="A20216" s="1" t="s">
        <v>7</v>
      </c>
      <c r="B20216" s="2">
        <v>44797.0</v>
      </c>
      <c r="C20216" s="3">
        <v>0.6932175925925926</v>
      </c>
      <c r="D20216" s="1">
        <v>12.905401</v>
      </c>
      <c r="E20216" s="1">
        <v>80.095417</v>
      </c>
      <c r="F20216" s="1">
        <v>5339.0</v>
      </c>
      <c r="G20216" s="1">
        <v>47.0</v>
      </c>
    </row>
    <row r="20217">
      <c r="A20217" s="1" t="s">
        <v>8</v>
      </c>
      <c r="B20217" s="2">
        <v>44797.0</v>
      </c>
      <c r="C20217" s="3">
        <v>0.6932523148148149</v>
      </c>
      <c r="D20217" s="1">
        <v>12.905401</v>
      </c>
      <c r="E20217" s="1">
        <v>80.095417</v>
      </c>
      <c r="F20217" s="1">
        <v>5339.0</v>
      </c>
      <c r="G20217" s="1">
        <v>47.0</v>
      </c>
    </row>
    <row r="20218">
      <c r="A20218" s="1" t="s">
        <v>8</v>
      </c>
      <c r="B20218" s="2">
        <v>44797.0</v>
      </c>
      <c r="C20218" s="3">
        <v>0.6943171296296297</v>
      </c>
      <c r="D20218" s="1">
        <v>12.911806</v>
      </c>
      <c r="E20218" s="1">
        <v>80.10132</v>
      </c>
      <c r="F20218" s="1">
        <v>5339.0</v>
      </c>
      <c r="G20218" s="1">
        <v>24.0</v>
      </c>
    </row>
    <row r="20219">
      <c r="A20219" s="1" t="s">
        <v>8</v>
      </c>
      <c r="B20219" s="2">
        <v>44797.0</v>
      </c>
      <c r="C20219" s="3">
        <v>0.6947916666666667</v>
      </c>
      <c r="D20219" s="1">
        <v>12.915664</v>
      </c>
      <c r="E20219" s="1">
        <v>80.103355</v>
      </c>
      <c r="F20219" s="1">
        <v>5339.0</v>
      </c>
      <c r="G20219" s="1">
        <v>55.0</v>
      </c>
    </row>
    <row r="20220">
      <c r="A20220" s="1" t="s">
        <v>8</v>
      </c>
      <c r="B20220" s="2">
        <v>44797.0</v>
      </c>
      <c r="C20220" s="3">
        <v>0.6948726851851852</v>
      </c>
      <c r="D20220" s="1">
        <v>12.915664</v>
      </c>
      <c r="E20220" s="1">
        <v>80.103355</v>
      </c>
      <c r="F20220" s="1">
        <v>5339.0</v>
      </c>
      <c r="G20220" s="1">
        <v>55.0</v>
      </c>
    </row>
    <row r="20221">
      <c r="A20221" s="1" t="s">
        <v>8</v>
      </c>
      <c r="B20221" s="2">
        <v>44797.0</v>
      </c>
      <c r="C20221" s="3">
        <v>0.69625</v>
      </c>
      <c r="D20221" s="1">
        <v>12.918347</v>
      </c>
      <c r="E20221" s="1">
        <v>80.108895</v>
      </c>
      <c r="F20221" s="1">
        <v>5339.0</v>
      </c>
      <c r="G20221" s="1">
        <v>49.0</v>
      </c>
    </row>
    <row r="20222">
      <c r="A20222" s="1" t="s">
        <v>8</v>
      </c>
      <c r="B20222" s="2">
        <v>44797.0</v>
      </c>
      <c r="C20222" s="3">
        <v>0.6963078703703703</v>
      </c>
      <c r="D20222" s="1">
        <v>12.919146</v>
      </c>
      <c r="E20222" s="1">
        <v>80.109885</v>
      </c>
      <c r="F20222" s="1">
        <v>5339.0</v>
      </c>
      <c r="G20222" s="1">
        <v>47.0</v>
      </c>
    </row>
    <row r="20223">
      <c r="A20223" s="1" t="s">
        <v>8</v>
      </c>
      <c r="B20223" s="2">
        <v>44797.0</v>
      </c>
      <c r="C20223" s="3">
        <v>0.6972453703703704</v>
      </c>
      <c r="D20223" s="1">
        <v>12.924762</v>
      </c>
      <c r="E20223" s="1">
        <v>80.115898</v>
      </c>
      <c r="F20223" s="1">
        <v>5339.0</v>
      </c>
      <c r="G20223" s="1">
        <v>50.0</v>
      </c>
    </row>
    <row r="20224">
      <c r="A20224" s="1" t="s">
        <v>8</v>
      </c>
      <c r="B20224" s="2">
        <v>44797.0</v>
      </c>
      <c r="C20224" s="3">
        <v>0.6984722222222223</v>
      </c>
      <c r="D20224" s="1">
        <v>12.928335</v>
      </c>
      <c r="E20224" s="1">
        <v>80.119486</v>
      </c>
      <c r="F20224" s="1">
        <v>5339.0</v>
      </c>
      <c r="G20224" s="1">
        <v>31.0</v>
      </c>
    </row>
    <row r="20225">
      <c r="A20225" s="1" t="s">
        <v>8</v>
      </c>
      <c r="B20225" s="2">
        <v>44797.0</v>
      </c>
      <c r="C20225" s="3">
        <v>0.6991898148148148</v>
      </c>
      <c r="D20225" s="1">
        <v>12.927855</v>
      </c>
      <c r="E20225" s="1">
        <v>80.119004</v>
      </c>
      <c r="F20225" s="1">
        <v>5339.0</v>
      </c>
      <c r="G20225" s="1">
        <v>24.0</v>
      </c>
    </row>
    <row r="20226">
      <c r="A20226" s="1" t="s">
        <v>7</v>
      </c>
      <c r="B20226" s="2">
        <v>44797.0</v>
      </c>
      <c r="C20226" s="3">
        <v>0.6999884259259259</v>
      </c>
      <c r="D20226" s="1">
        <v>12.934734</v>
      </c>
      <c r="E20226" s="1">
        <v>80.125847</v>
      </c>
      <c r="F20226" s="1">
        <v>5339.0</v>
      </c>
      <c r="G20226" s="1">
        <v>54.0</v>
      </c>
    </row>
    <row r="20227">
      <c r="A20227" s="1" t="s">
        <v>7</v>
      </c>
      <c r="B20227" s="2">
        <v>44797.0</v>
      </c>
      <c r="C20227" s="3">
        <v>0.7014699074074074</v>
      </c>
      <c r="D20227" s="1">
        <v>12.939283</v>
      </c>
      <c r="E20227" s="1">
        <v>80.12984</v>
      </c>
      <c r="F20227" s="1">
        <v>5339.0</v>
      </c>
      <c r="G20227" s="1">
        <v>58.0</v>
      </c>
    </row>
    <row r="20228">
      <c r="A20228" s="1" t="s">
        <v>7</v>
      </c>
      <c r="B20228" s="2">
        <v>44797.0</v>
      </c>
      <c r="C20228" s="3">
        <v>0.7016898148148148</v>
      </c>
      <c r="D20228" s="1">
        <v>12.941417</v>
      </c>
      <c r="E20228" s="1">
        <v>80.131934</v>
      </c>
      <c r="F20228" s="1">
        <v>5339.0</v>
      </c>
      <c r="G20228" s="1">
        <v>59.0</v>
      </c>
    </row>
    <row r="20229">
      <c r="A20229" s="1" t="s">
        <v>8</v>
      </c>
      <c r="B20229" s="2">
        <v>44797.0</v>
      </c>
      <c r="C20229" s="3">
        <v>0.7019097222222223</v>
      </c>
      <c r="D20229" s="1">
        <v>12.943313</v>
      </c>
      <c r="E20229" s="1">
        <v>80.133927</v>
      </c>
      <c r="F20229" s="1">
        <v>5339.0</v>
      </c>
      <c r="G20229" s="1">
        <v>50.0</v>
      </c>
    </row>
    <row r="20230">
      <c r="A20230" s="1" t="s">
        <v>8</v>
      </c>
      <c r="B20230" s="2">
        <v>44797.0</v>
      </c>
      <c r="C20230" s="3">
        <v>0.7022569444444444</v>
      </c>
      <c r="D20230" s="1">
        <v>12.945977</v>
      </c>
      <c r="E20230" s="1">
        <v>80.136025</v>
      </c>
      <c r="F20230" s="1">
        <v>5339.0</v>
      </c>
      <c r="G20230" s="1">
        <v>45.0</v>
      </c>
    </row>
    <row r="20231">
      <c r="A20231" s="1" t="s">
        <v>7</v>
      </c>
      <c r="B20231" s="2">
        <v>44797.0</v>
      </c>
      <c r="C20231" s="3">
        <v>0.7023842592592593</v>
      </c>
      <c r="D20231" s="1">
        <v>12.946928</v>
      </c>
      <c r="E20231" s="1">
        <v>80.136772</v>
      </c>
      <c r="F20231" s="1">
        <v>5339.0</v>
      </c>
      <c r="G20231" s="1">
        <v>48.0</v>
      </c>
    </row>
    <row r="20232">
      <c r="A20232" s="1" t="s">
        <v>8</v>
      </c>
      <c r="B20232" s="2">
        <v>44797.0</v>
      </c>
      <c r="C20232" s="3">
        <v>0.7025462962962963</v>
      </c>
      <c r="D20232" s="1">
        <v>12.949184</v>
      </c>
      <c r="E20232" s="1">
        <v>80.138422</v>
      </c>
      <c r="F20232" s="1">
        <v>5339.0</v>
      </c>
      <c r="G20232" s="1">
        <v>55.0</v>
      </c>
    </row>
    <row r="20233">
      <c r="A20233" s="1" t="s">
        <v>8</v>
      </c>
      <c r="B20233" s="2">
        <v>44797.0</v>
      </c>
      <c r="C20233" s="3">
        <v>0.703275462962963</v>
      </c>
      <c r="D20233" s="1">
        <v>12.952239</v>
      </c>
      <c r="E20233" s="1">
        <v>80.14084</v>
      </c>
      <c r="F20233" s="1">
        <v>5339.0</v>
      </c>
      <c r="G20233" s="1">
        <v>43.0</v>
      </c>
    </row>
    <row r="20234">
      <c r="A20234" s="1" t="s">
        <v>8</v>
      </c>
      <c r="B20234" s="2">
        <v>44797.0</v>
      </c>
      <c r="C20234" s="3">
        <v>0.7034143518518519</v>
      </c>
      <c r="D20234" s="1">
        <v>12.953114</v>
      </c>
      <c r="E20234" s="1">
        <v>80.141457</v>
      </c>
      <c r="F20234" s="1">
        <v>5339.0</v>
      </c>
      <c r="G20234" s="1">
        <v>38.0</v>
      </c>
    </row>
    <row r="20235">
      <c r="A20235" s="1" t="s">
        <v>8</v>
      </c>
      <c r="B20235" s="2">
        <v>44797.0</v>
      </c>
      <c r="C20235" s="3">
        <v>0.7036342592592593</v>
      </c>
      <c r="D20235" s="1">
        <v>12.954752</v>
      </c>
      <c r="E20235" s="1">
        <v>80.142335</v>
      </c>
      <c r="F20235" s="1">
        <v>5339.0</v>
      </c>
      <c r="G20235" s="1">
        <v>35.0</v>
      </c>
    </row>
    <row r="20236">
      <c r="A20236" s="1" t="s">
        <v>8</v>
      </c>
      <c r="B20236" s="2">
        <v>44797.0</v>
      </c>
      <c r="C20236" s="3">
        <v>0.7036342592592593</v>
      </c>
      <c r="D20236" s="1">
        <v>12.954752</v>
      </c>
      <c r="E20236" s="1">
        <v>80.142335</v>
      </c>
      <c r="F20236" s="1">
        <v>5339.0</v>
      </c>
      <c r="G20236" s="1">
        <v>35.0</v>
      </c>
    </row>
    <row r="20237">
      <c r="A20237" s="1" t="s">
        <v>8</v>
      </c>
      <c r="B20237" s="2">
        <v>44797.0</v>
      </c>
      <c r="C20237" s="3">
        <v>0.7036458333333333</v>
      </c>
      <c r="D20237" s="1">
        <v>12.954752</v>
      </c>
      <c r="E20237" s="1">
        <v>80.142335</v>
      </c>
      <c r="F20237" s="1">
        <v>5339.0</v>
      </c>
      <c r="G20237" s="1">
        <v>35.0</v>
      </c>
    </row>
    <row r="20238">
      <c r="A20238" s="1" t="s">
        <v>8</v>
      </c>
      <c r="B20238" s="2">
        <v>44797.0</v>
      </c>
      <c r="C20238" s="3">
        <v>0.7049189814814815</v>
      </c>
      <c r="D20238" s="1">
        <v>12.957306</v>
      </c>
      <c r="E20238" s="1">
        <v>80.143674</v>
      </c>
      <c r="F20238" s="1">
        <v>5339.0</v>
      </c>
      <c r="G20238" s="1">
        <v>27.0</v>
      </c>
    </row>
    <row r="20239">
      <c r="A20239" s="1" t="s">
        <v>8</v>
      </c>
      <c r="B20239" s="2">
        <v>44797.0</v>
      </c>
      <c r="C20239" s="3">
        <v>0.7049537037037037</v>
      </c>
      <c r="D20239" s="1">
        <v>12.957306</v>
      </c>
      <c r="E20239" s="1">
        <v>80.143674</v>
      </c>
      <c r="F20239" s="1">
        <v>5339.0</v>
      </c>
      <c r="G20239" s="1">
        <v>27.0</v>
      </c>
    </row>
    <row r="20240">
      <c r="A20240" s="1" t="s">
        <v>8</v>
      </c>
      <c r="B20240" s="2">
        <v>44797.0</v>
      </c>
      <c r="C20240" s="3">
        <v>0.7050462962962963</v>
      </c>
      <c r="D20240" s="1">
        <v>12.958055</v>
      </c>
      <c r="E20240" s="1">
        <v>80.144016</v>
      </c>
      <c r="F20240" s="1">
        <v>5339.0</v>
      </c>
      <c r="G20240" s="1">
        <v>27.0</v>
      </c>
    </row>
    <row r="20241">
      <c r="A20241" s="1" t="s">
        <v>8</v>
      </c>
      <c r="B20241" s="2">
        <v>44797.0</v>
      </c>
      <c r="C20241" s="3">
        <v>0.7051157407407408</v>
      </c>
      <c r="D20241" s="1">
        <v>12.958805</v>
      </c>
      <c r="E20241" s="1">
        <v>80.144359</v>
      </c>
      <c r="F20241" s="1">
        <v>5339.0</v>
      </c>
      <c r="G20241" s="1">
        <v>35.0</v>
      </c>
    </row>
    <row r="20242">
      <c r="A20242" s="1" t="s">
        <v>8</v>
      </c>
      <c r="B20242" s="2">
        <v>44797.0</v>
      </c>
      <c r="C20242" s="3">
        <v>0.7058217592592593</v>
      </c>
      <c r="D20242" s="1">
        <v>12.962769</v>
      </c>
      <c r="E20242" s="1">
        <v>80.146506</v>
      </c>
      <c r="F20242" s="1">
        <v>5339.0</v>
      </c>
      <c r="G20242" s="1">
        <v>46.0</v>
      </c>
    </row>
    <row r="20243">
      <c r="A20243" s="1" t="s">
        <v>8</v>
      </c>
      <c r="B20243" s="2">
        <v>44797.0</v>
      </c>
      <c r="C20243" s="3">
        <v>0.7059375</v>
      </c>
      <c r="D20243" s="1">
        <v>12.963678</v>
      </c>
      <c r="E20243" s="1">
        <v>80.147054</v>
      </c>
      <c r="F20243" s="1">
        <v>5339.0</v>
      </c>
      <c r="G20243" s="1">
        <v>39.0</v>
      </c>
    </row>
    <row r="20244">
      <c r="A20244" s="1" t="s">
        <v>7</v>
      </c>
      <c r="B20244" s="2">
        <v>44797.0</v>
      </c>
      <c r="C20244" s="3">
        <v>0.7068981481481481</v>
      </c>
      <c r="D20244" s="1">
        <v>12.97236</v>
      </c>
      <c r="E20244" s="1">
        <v>80.151693</v>
      </c>
      <c r="F20244" s="1">
        <v>5339.0</v>
      </c>
      <c r="G20244" s="1">
        <v>55.0</v>
      </c>
    </row>
    <row r="20245">
      <c r="A20245" s="1" t="s">
        <v>7</v>
      </c>
      <c r="B20245" s="2">
        <v>44797.0</v>
      </c>
      <c r="C20245" s="3">
        <v>0.7071064814814815</v>
      </c>
      <c r="D20245" s="1">
        <v>12.973988</v>
      </c>
      <c r="E20245" s="1">
        <v>80.1541</v>
      </c>
      <c r="F20245" s="1">
        <v>5339.0</v>
      </c>
      <c r="G20245" s="1">
        <v>58.0</v>
      </c>
    </row>
    <row r="20246">
      <c r="A20246" s="1" t="s">
        <v>8</v>
      </c>
      <c r="B20246" s="2">
        <v>44797.0</v>
      </c>
      <c r="C20246" s="3">
        <v>0.7073495370370371</v>
      </c>
      <c r="D20246" s="1">
        <v>12.975269</v>
      </c>
      <c r="E20246" s="1">
        <v>80.155902</v>
      </c>
      <c r="F20246" s="1">
        <v>5339.0</v>
      </c>
      <c r="G20246" s="1">
        <v>24.0</v>
      </c>
    </row>
    <row r="20247">
      <c r="A20247" s="1" t="s">
        <v>8</v>
      </c>
      <c r="B20247" s="2">
        <v>44797.0</v>
      </c>
      <c r="C20247" s="3">
        <v>0.7075</v>
      </c>
      <c r="D20247" s="1">
        <v>12.975718</v>
      </c>
      <c r="E20247" s="1">
        <v>80.156557</v>
      </c>
      <c r="F20247" s="1">
        <v>5339.0</v>
      </c>
      <c r="G20247" s="1">
        <v>35.0</v>
      </c>
    </row>
    <row r="20248">
      <c r="A20248" s="1" t="s">
        <v>7</v>
      </c>
      <c r="B20248" s="2">
        <v>44797.0</v>
      </c>
      <c r="C20248" s="3">
        <v>0.7077314814814815</v>
      </c>
      <c r="D20248" s="1">
        <v>12.976964</v>
      </c>
      <c r="E20248" s="1">
        <v>80.158428</v>
      </c>
      <c r="F20248" s="1">
        <v>5339.0</v>
      </c>
      <c r="G20248" s="1">
        <v>48.0</v>
      </c>
    </row>
    <row r="20249">
      <c r="A20249" s="1" t="s">
        <v>8</v>
      </c>
      <c r="B20249" s="2">
        <v>44797.0</v>
      </c>
      <c r="C20249" s="3">
        <v>0.7078240740740741</v>
      </c>
      <c r="D20249" s="1">
        <v>12.9777</v>
      </c>
      <c r="E20249" s="1">
        <v>80.159551</v>
      </c>
      <c r="F20249" s="1">
        <v>5339.0</v>
      </c>
      <c r="G20249" s="1">
        <v>51.0</v>
      </c>
    </row>
    <row r="20250">
      <c r="A20250" s="1" t="s">
        <v>8</v>
      </c>
      <c r="B20250" s="2">
        <v>44797.0</v>
      </c>
      <c r="C20250" s="3">
        <v>0.7083333333333334</v>
      </c>
      <c r="D20250" s="1">
        <v>12.980913</v>
      </c>
      <c r="E20250" s="1">
        <v>80.165764</v>
      </c>
      <c r="F20250" s="1">
        <v>5339.0</v>
      </c>
      <c r="G20250" s="1">
        <v>57.0</v>
      </c>
    </row>
    <row r="20251">
      <c r="A20251" s="1" t="s">
        <v>8</v>
      </c>
      <c r="B20251" s="2">
        <v>44797.0</v>
      </c>
      <c r="C20251" s="3">
        <v>0.7083796296296296</v>
      </c>
      <c r="D20251" s="1">
        <v>12.980913</v>
      </c>
      <c r="E20251" s="1">
        <v>80.165764</v>
      </c>
      <c r="F20251" s="1">
        <v>5339.0</v>
      </c>
      <c r="G20251" s="1">
        <v>57.0</v>
      </c>
    </row>
    <row r="20252">
      <c r="A20252" s="1" t="s">
        <v>7</v>
      </c>
      <c r="B20252" s="2">
        <v>44797.0</v>
      </c>
      <c r="C20252" s="3">
        <v>0.7088194444444444</v>
      </c>
      <c r="D20252" s="1">
        <v>12.984033</v>
      </c>
      <c r="E20252" s="1">
        <v>80.170984</v>
      </c>
      <c r="F20252" s="1">
        <v>5339.0</v>
      </c>
      <c r="G20252" s="1">
        <v>64.0</v>
      </c>
    </row>
    <row r="20253">
      <c r="A20253" s="1" t="s">
        <v>7</v>
      </c>
      <c r="B20253" s="2">
        <v>44797.0</v>
      </c>
      <c r="C20253" s="3">
        <v>0.7101620370370371</v>
      </c>
      <c r="D20253" s="1">
        <v>12.987249</v>
      </c>
      <c r="E20253" s="1">
        <v>80.175817</v>
      </c>
      <c r="F20253" s="1">
        <v>5339.0</v>
      </c>
      <c r="G20253" s="1">
        <v>51.0</v>
      </c>
    </row>
    <row r="20254">
      <c r="A20254" s="1" t="s">
        <v>8</v>
      </c>
      <c r="B20254" s="2">
        <v>44797.0</v>
      </c>
      <c r="C20254" s="3">
        <v>0.7101851851851851</v>
      </c>
      <c r="D20254" s="1">
        <v>12.988091</v>
      </c>
      <c r="E20254" s="1">
        <v>80.177037</v>
      </c>
      <c r="F20254" s="1">
        <v>5339.0</v>
      </c>
      <c r="G20254" s="1">
        <v>60.0</v>
      </c>
    </row>
    <row r="20255">
      <c r="A20255" s="1" t="s">
        <v>8</v>
      </c>
      <c r="B20255" s="2">
        <v>44797.0</v>
      </c>
      <c r="C20255" s="3">
        <v>0.7103125</v>
      </c>
      <c r="D20255" s="1">
        <v>12.988834</v>
      </c>
      <c r="E20255" s="1">
        <v>80.177983</v>
      </c>
      <c r="F20255" s="1">
        <v>5339.0</v>
      </c>
      <c r="G20255" s="1">
        <v>38.0</v>
      </c>
    </row>
    <row r="20256">
      <c r="A20256" s="1" t="s">
        <v>8</v>
      </c>
      <c r="B20256" s="2">
        <v>44797.0</v>
      </c>
      <c r="C20256" s="3">
        <v>0.710787037037037</v>
      </c>
      <c r="D20256" s="1">
        <v>12.989948</v>
      </c>
      <c r="E20256" s="1">
        <v>80.179388</v>
      </c>
      <c r="F20256" s="1">
        <v>5339.0</v>
      </c>
      <c r="G20256" s="1">
        <v>29.0</v>
      </c>
    </row>
    <row r="20257">
      <c r="A20257" s="1" t="s">
        <v>8</v>
      </c>
      <c r="B20257" s="2">
        <v>44797.0</v>
      </c>
      <c r="C20257" s="3">
        <v>0.7108564814814815</v>
      </c>
      <c r="D20257" s="1">
        <v>12.989948</v>
      </c>
      <c r="E20257" s="1">
        <v>80.179388</v>
      </c>
      <c r="F20257" s="1">
        <v>5339.0</v>
      </c>
      <c r="G20257" s="1">
        <v>29.0</v>
      </c>
    </row>
    <row r="20258">
      <c r="A20258" s="1" t="s">
        <v>8</v>
      </c>
      <c r="B20258" s="2">
        <v>44797.0</v>
      </c>
      <c r="C20258" s="3">
        <v>0.7109953703703704</v>
      </c>
      <c r="D20258" s="1">
        <v>12.990491</v>
      </c>
      <c r="E20258" s="1">
        <v>80.180113</v>
      </c>
      <c r="F20258" s="1">
        <v>5339.0</v>
      </c>
      <c r="G20258" s="1">
        <v>40.0</v>
      </c>
    </row>
    <row r="20259">
      <c r="A20259" s="1" t="s">
        <v>8</v>
      </c>
      <c r="B20259" s="2">
        <v>44797.0</v>
      </c>
      <c r="C20259" s="3">
        <v>0.7111342592592592</v>
      </c>
      <c r="D20259" s="1">
        <v>12.991813</v>
      </c>
      <c r="E20259" s="1">
        <v>80.181886</v>
      </c>
      <c r="F20259" s="1">
        <v>5339.0</v>
      </c>
      <c r="G20259" s="1">
        <v>47.0</v>
      </c>
    </row>
    <row r="20260">
      <c r="A20260" s="1" t="s">
        <v>8</v>
      </c>
      <c r="B20260" s="2">
        <v>44797.0</v>
      </c>
      <c r="C20260" s="3">
        <v>0.7132291666666667</v>
      </c>
      <c r="D20260" s="1">
        <v>12.996647</v>
      </c>
      <c r="E20260" s="1">
        <v>80.189957</v>
      </c>
      <c r="F20260" s="1">
        <v>5339.0</v>
      </c>
      <c r="G20260" s="1">
        <v>39.0</v>
      </c>
    </row>
    <row r="20261">
      <c r="A20261" s="1" t="s">
        <v>8</v>
      </c>
      <c r="B20261" s="2">
        <v>44797.0</v>
      </c>
      <c r="C20261" s="3">
        <v>0.7133101851851852</v>
      </c>
      <c r="D20261" s="1">
        <v>12.99727</v>
      </c>
      <c r="E20261" s="1">
        <v>80.190698</v>
      </c>
      <c r="F20261" s="1">
        <v>5339.0</v>
      </c>
      <c r="G20261" s="1">
        <v>35.0</v>
      </c>
    </row>
    <row r="20262">
      <c r="A20262" s="1" t="s">
        <v>8</v>
      </c>
      <c r="B20262" s="2">
        <v>44797.0</v>
      </c>
      <c r="C20262" s="3">
        <v>0.7143518518518519</v>
      </c>
      <c r="D20262" s="1">
        <v>12.999494</v>
      </c>
      <c r="E20262" s="1">
        <v>80.193492</v>
      </c>
      <c r="F20262" s="1">
        <v>5339.0</v>
      </c>
      <c r="G20262" s="1">
        <v>26.0</v>
      </c>
    </row>
    <row r="20263">
      <c r="A20263" s="1" t="s">
        <v>8</v>
      </c>
      <c r="B20263" s="2">
        <v>44797.0</v>
      </c>
      <c r="C20263" s="3">
        <v>0.7143518518518519</v>
      </c>
      <c r="D20263" s="1">
        <v>12.999494</v>
      </c>
      <c r="E20263" s="1">
        <v>80.193492</v>
      </c>
      <c r="F20263" s="1">
        <v>5339.0</v>
      </c>
      <c r="G20263" s="1">
        <v>26.0</v>
      </c>
    </row>
    <row r="20264">
      <c r="A20264" s="1" t="s">
        <v>8</v>
      </c>
      <c r="B20264" s="2">
        <v>44797.0</v>
      </c>
      <c r="C20264" s="3">
        <v>0.7145254629629629</v>
      </c>
      <c r="D20264" s="1">
        <v>12.999932</v>
      </c>
      <c r="E20264" s="1">
        <v>80.19401</v>
      </c>
      <c r="F20264" s="1">
        <v>5339.0</v>
      </c>
      <c r="G20264" s="1">
        <v>25.0</v>
      </c>
    </row>
    <row r="20265">
      <c r="A20265" s="1" t="s">
        <v>8</v>
      </c>
      <c r="B20265" s="2">
        <v>44797.0</v>
      </c>
      <c r="C20265" s="3">
        <v>0.7152314814814815</v>
      </c>
      <c r="D20265" s="1">
        <v>13.002065</v>
      </c>
      <c r="E20265" s="1">
        <v>80.197519</v>
      </c>
      <c r="F20265" s="1">
        <v>5339.0</v>
      </c>
      <c r="G20265" s="1">
        <v>36.0</v>
      </c>
    </row>
    <row r="20266">
      <c r="A20266" s="1" t="s">
        <v>8</v>
      </c>
      <c r="B20266" s="2">
        <v>44797.0</v>
      </c>
      <c r="C20266" s="3">
        <v>0.7155555555555555</v>
      </c>
      <c r="D20266" s="1">
        <v>13.002255</v>
      </c>
      <c r="E20266" s="1">
        <v>80.20038</v>
      </c>
      <c r="F20266" s="1">
        <v>5339.0</v>
      </c>
      <c r="G20266" s="1">
        <v>42.0</v>
      </c>
    </row>
    <row r="20267">
      <c r="A20267" s="1" t="s">
        <v>8</v>
      </c>
      <c r="B20267" s="2">
        <v>44797.0</v>
      </c>
      <c r="C20267" s="3">
        <v>0.715787037037037</v>
      </c>
      <c r="D20267" s="1">
        <v>13.004402</v>
      </c>
      <c r="E20267" s="1">
        <v>80.201055</v>
      </c>
      <c r="F20267" s="1">
        <v>5339.0</v>
      </c>
      <c r="G20267" s="1">
        <v>38.0</v>
      </c>
    </row>
    <row r="20268">
      <c r="A20268" s="1" t="s">
        <v>9</v>
      </c>
      <c r="B20268" s="2">
        <v>44797.0</v>
      </c>
      <c r="C20268" s="3">
        <v>0.7160416666666667</v>
      </c>
      <c r="D20268" s="1">
        <v>13.005893</v>
      </c>
      <c r="E20268" s="1">
        <v>80.202335</v>
      </c>
      <c r="F20268" s="1">
        <v>5339.0</v>
      </c>
      <c r="G20268" s="1">
        <v>31.0</v>
      </c>
    </row>
    <row r="20269">
      <c r="A20269" s="1" t="s">
        <v>8</v>
      </c>
      <c r="B20269" s="2">
        <v>44797.0</v>
      </c>
      <c r="C20269" s="3">
        <v>0.7170833333333333</v>
      </c>
      <c r="D20269" s="1">
        <v>13.007829</v>
      </c>
      <c r="E20269" s="1">
        <v>80.207212</v>
      </c>
      <c r="F20269" s="1">
        <v>5339.0</v>
      </c>
      <c r="G20269" s="1">
        <v>54.0</v>
      </c>
    </row>
    <row r="20270">
      <c r="A20270" s="1" t="s">
        <v>8</v>
      </c>
      <c r="B20270" s="2">
        <v>44797.0</v>
      </c>
      <c r="C20270" s="3">
        <v>0.717650462962963</v>
      </c>
      <c r="D20270" s="1">
        <v>13.009362</v>
      </c>
      <c r="E20270" s="1">
        <v>80.212816</v>
      </c>
      <c r="F20270" s="1">
        <v>5339.0</v>
      </c>
      <c r="G20270" s="1">
        <v>44.0</v>
      </c>
    </row>
    <row r="20271">
      <c r="A20271" s="1" t="s">
        <v>8</v>
      </c>
      <c r="B20271" s="2">
        <v>44797.0</v>
      </c>
      <c r="C20271" s="3">
        <v>0.7177893518518519</v>
      </c>
      <c r="D20271" s="1">
        <v>13.009774</v>
      </c>
      <c r="E20271" s="1">
        <v>80.213796</v>
      </c>
      <c r="F20271" s="1">
        <v>5339.0</v>
      </c>
      <c r="G20271" s="1">
        <v>41.0</v>
      </c>
    </row>
    <row r="20272">
      <c r="A20272" s="1" t="s">
        <v>8</v>
      </c>
      <c r="B20272" s="2">
        <v>44797.0</v>
      </c>
      <c r="C20272" s="3">
        <v>0.7180324074074074</v>
      </c>
      <c r="D20272" s="1">
        <v>13.010407</v>
      </c>
      <c r="E20272" s="1">
        <v>80.216074</v>
      </c>
      <c r="F20272" s="1">
        <v>5339.0</v>
      </c>
      <c r="G20272" s="1">
        <v>51.0</v>
      </c>
    </row>
    <row r="20273">
      <c r="A20273" s="1" t="s">
        <v>8</v>
      </c>
      <c r="B20273" s="2">
        <v>44797.0</v>
      </c>
      <c r="C20273" s="3">
        <v>0.718113425925926</v>
      </c>
      <c r="D20273" s="1">
        <v>13.010928</v>
      </c>
      <c r="E20273" s="1">
        <v>80.217189</v>
      </c>
      <c r="F20273" s="1">
        <v>5339.0</v>
      </c>
      <c r="G20273" s="1">
        <v>43.0</v>
      </c>
    </row>
    <row r="20274">
      <c r="A20274" s="1" t="s">
        <v>7</v>
      </c>
      <c r="B20274" s="2">
        <v>44797.0</v>
      </c>
      <c r="C20274" s="3">
        <v>0.7183564814814815</v>
      </c>
      <c r="D20274" s="1">
        <v>13.011558</v>
      </c>
      <c r="E20274" s="1">
        <v>80.218779</v>
      </c>
      <c r="F20274" s="1">
        <v>5339.0</v>
      </c>
      <c r="G20274" s="1">
        <v>37.0</v>
      </c>
    </row>
    <row r="20275">
      <c r="A20275" s="1" t="s">
        <v>8</v>
      </c>
      <c r="B20275" s="2">
        <v>44797.0</v>
      </c>
      <c r="C20275" s="3">
        <v>0.7189930555555556</v>
      </c>
      <c r="D20275" s="1">
        <v>13.013198</v>
      </c>
      <c r="E20275" s="1">
        <v>80.222336</v>
      </c>
      <c r="F20275" s="1">
        <v>5339.0</v>
      </c>
      <c r="G20275" s="1">
        <v>35.0</v>
      </c>
    </row>
    <row r="20276">
      <c r="A20276" s="1" t="s">
        <v>8</v>
      </c>
      <c r="B20276" s="2">
        <v>44797.0</v>
      </c>
      <c r="C20276" s="3">
        <v>0.7197800925925926</v>
      </c>
      <c r="D20276" s="1">
        <v>13.015882</v>
      </c>
      <c r="E20276" s="1">
        <v>80.225326</v>
      </c>
      <c r="F20276" s="1">
        <v>5339.0</v>
      </c>
      <c r="G20276" s="1">
        <v>30.0</v>
      </c>
    </row>
    <row r="20277">
      <c r="A20277" s="1" t="s">
        <v>8</v>
      </c>
      <c r="B20277" s="2">
        <v>44797.0</v>
      </c>
      <c r="C20277" s="3">
        <v>0.7217592592592592</v>
      </c>
      <c r="D20277" s="1">
        <v>13.024449</v>
      </c>
      <c r="E20277" s="1">
        <v>80.228657</v>
      </c>
      <c r="F20277" s="1">
        <v>5339.0</v>
      </c>
      <c r="G20277" s="1">
        <v>24.0</v>
      </c>
    </row>
    <row r="20278">
      <c r="A20278" s="1" t="s">
        <v>8</v>
      </c>
      <c r="B20278" s="2">
        <v>44797.0</v>
      </c>
      <c r="C20278" s="3">
        <v>0.7217708333333334</v>
      </c>
      <c r="D20278" s="1">
        <v>13.024449</v>
      </c>
      <c r="E20278" s="1">
        <v>80.228657</v>
      </c>
      <c r="F20278" s="1">
        <v>5339.0</v>
      </c>
      <c r="G20278" s="1">
        <v>24.0</v>
      </c>
    </row>
    <row r="20279">
      <c r="A20279" s="1" t="s">
        <v>9</v>
      </c>
      <c r="B20279" s="2">
        <v>44797.0</v>
      </c>
      <c r="C20279" s="3">
        <v>0.7219212962962963</v>
      </c>
      <c r="D20279" s="1">
        <v>13.024896</v>
      </c>
      <c r="E20279" s="1">
        <v>80.229284</v>
      </c>
      <c r="F20279" s="1">
        <v>5339.0</v>
      </c>
      <c r="G20279" s="1">
        <v>31.0</v>
      </c>
    </row>
    <row r="20280">
      <c r="A20280" s="1" t="s">
        <v>8</v>
      </c>
      <c r="B20280" s="2">
        <v>44797.0</v>
      </c>
      <c r="C20280" s="3">
        <v>0.7231365740740741</v>
      </c>
      <c r="D20280" s="1">
        <v>13.026523</v>
      </c>
      <c r="E20280" s="1">
        <v>80.232828</v>
      </c>
      <c r="F20280" s="1">
        <v>5339.0</v>
      </c>
      <c r="G20280" s="1">
        <v>21.0</v>
      </c>
    </row>
    <row r="20281">
      <c r="A20281" s="1" t="s">
        <v>8</v>
      </c>
      <c r="B20281" s="2">
        <v>44797.0</v>
      </c>
      <c r="C20281" s="3">
        <v>0.7231365740740741</v>
      </c>
      <c r="D20281" s="1">
        <v>13.026523</v>
      </c>
      <c r="E20281" s="1">
        <v>80.232828</v>
      </c>
      <c r="F20281" s="1">
        <v>5339.0</v>
      </c>
      <c r="G20281" s="1">
        <v>21.0</v>
      </c>
    </row>
    <row r="20282">
      <c r="A20282" s="1" t="s">
        <v>8</v>
      </c>
      <c r="B20282" s="2">
        <v>44797.0</v>
      </c>
      <c r="C20282" s="3">
        <v>0.723587962962963</v>
      </c>
      <c r="D20282" s="1">
        <v>13.027928</v>
      </c>
      <c r="E20282" s="1">
        <v>80.235266</v>
      </c>
      <c r="F20282" s="1">
        <v>5339.0</v>
      </c>
      <c r="G20282" s="1">
        <v>27.0</v>
      </c>
    </row>
    <row r="20283">
      <c r="A20283" s="1" t="s">
        <v>8</v>
      </c>
      <c r="B20283" s="2">
        <v>44797.0</v>
      </c>
      <c r="C20283" s="3">
        <v>0.7236921296296296</v>
      </c>
      <c r="D20283" s="1">
        <v>13.028477</v>
      </c>
      <c r="E20283" s="1">
        <v>80.235939</v>
      </c>
      <c r="F20283" s="1">
        <v>5339.0</v>
      </c>
      <c r="G20283" s="1">
        <v>38.0</v>
      </c>
    </row>
    <row r="20284">
      <c r="A20284" s="1" t="s">
        <v>8</v>
      </c>
      <c r="B20284" s="2">
        <v>44797.0</v>
      </c>
      <c r="C20284" s="3">
        <v>0.7237268518518518</v>
      </c>
      <c r="D20284" s="1">
        <v>13.02909</v>
      </c>
      <c r="E20284" s="1">
        <v>80.236613</v>
      </c>
      <c r="F20284" s="1">
        <v>5339.0</v>
      </c>
      <c r="G20284" s="1">
        <v>34.0</v>
      </c>
    </row>
    <row r="20285">
      <c r="A20285" s="1" t="s">
        <v>8</v>
      </c>
      <c r="B20285" s="2">
        <v>44797.0</v>
      </c>
      <c r="C20285" s="3">
        <v>0.7238425925925925</v>
      </c>
      <c r="D20285" s="1">
        <v>13.02909</v>
      </c>
      <c r="E20285" s="1">
        <v>80.236613</v>
      </c>
      <c r="F20285" s="1">
        <v>5339.0</v>
      </c>
      <c r="G20285" s="1">
        <v>34.0</v>
      </c>
    </row>
    <row r="20286">
      <c r="A20286" s="1" t="s">
        <v>8</v>
      </c>
      <c r="B20286" s="2">
        <v>44797.0</v>
      </c>
      <c r="C20286" s="3">
        <v>0.7238888888888889</v>
      </c>
      <c r="D20286" s="1">
        <v>13.029668</v>
      </c>
      <c r="E20286" s="1">
        <v>80.23723</v>
      </c>
      <c r="F20286" s="1">
        <v>5339.0</v>
      </c>
      <c r="G20286" s="1">
        <v>35.0</v>
      </c>
    </row>
    <row r="20287">
      <c r="A20287" s="1" t="s">
        <v>8</v>
      </c>
      <c r="B20287" s="2">
        <v>44797.0</v>
      </c>
      <c r="C20287" s="3">
        <v>0.7253703703703703</v>
      </c>
      <c r="D20287" s="1">
        <v>13.030928</v>
      </c>
      <c r="E20287" s="1">
        <v>80.239324</v>
      </c>
      <c r="F20287" s="1">
        <v>5339.0</v>
      </c>
      <c r="G20287" s="1">
        <v>25.0</v>
      </c>
    </row>
    <row r="20288">
      <c r="A20288" s="1" t="s">
        <v>8</v>
      </c>
      <c r="B20288" s="2">
        <v>44797.0</v>
      </c>
      <c r="C20288" s="3">
        <v>0.7257986111111111</v>
      </c>
      <c r="D20288" s="1">
        <v>13.031848</v>
      </c>
      <c r="E20288" s="1">
        <v>80.241247</v>
      </c>
      <c r="F20288" s="1">
        <v>5339.0</v>
      </c>
      <c r="G20288" s="1">
        <v>9.0</v>
      </c>
    </row>
    <row r="20289">
      <c r="A20289" s="1" t="s">
        <v>8</v>
      </c>
      <c r="B20289" s="2">
        <v>44797.0</v>
      </c>
      <c r="C20289" s="3">
        <v>0.7258217592592593</v>
      </c>
      <c r="D20289" s="1">
        <v>13.03207</v>
      </c>
      <c r="E20289" s="1">
        <v>80.241725</v>
      </c>
      <c r="F20289" s="1">
        <v>5339.0</v>
      </c>
      <c r="G20289" s="1">
        <v>27.0</v>
      </c>
    </row>
    <row r="20290">
      <c r="A20290" s="1" t="s">
        <v>8</v>
      </c>
      <c r="B20290" s="2">
        <v>44797.0</v>
      </c>
      <c r="C20290" s="3">
        <v>0.7259027777777778</v>
      </c>
      <c r="D20290" s="1">
        <v>13.03207</v>
      </c>
      <c r="E20290" s="1">
        <v>80.241725</v>
      </c>
      <c r="F20290" s="1">
        <v>5339.0</v>
      </c>
      <c r="G20290" s="1">
        <v>27.0</v>
      </c>
    </row>
    <row r="20291">
      <c r="A20291" s="1" t="s">
        <v>10</v>
      </c>
      <c r="B20291" s="2">
        <v>44797.0</v>
      </c>
      <c r="C20291" s="3">
        <v>0.72625</v>
      </c>
      <c r="D20291" s="1">
        <v>13.030448</v>
      </c>
      <c r="E20291" s="1">
        <v>80.238528</v>
      </c>
      <c r="F20291" s="1">
        <v>5339.0</v>
      </c>
      <c r="G20291" s="1">
        <v>13.0</v>
      </c>
    </row>
    <row r="20292">
      <c r="A20292" s="1" t="s">
        <v>8</v>
      </c>
      <c r="B20292" s="2">
        <v>44797.0</v>
      </c>
      <c r="C20292" s="3">
        <v>0.7266550925925926</v>
      </c>
      <c r="D20292" s="1">
        <v>13.033849</v>
      </c>
      <c r="E20292" s="1">
        <v>80.244255</v>
      </c>
      <c r="F20292" s="1">
        <v>5339.0</v>
      </c>
      <c r="G20292" s="1">
        <v>37.0</v>
      </c>
    </row>
    <row r="20293">
      <c r="A20293" s="1" t="s">
        <v>8</v>
      </c>
      <c r="B20293" s="2">
        <v>44797.0</v>
      </c>
      <c r="C20293" s="3">
        <v>0.7323032407407407</v>
      </c>
      <c r="D20293" s="1">
        <v>13.048024</v>
      </c>
      <c r="E20293" s="1">
        <v>80.249213</v>
      </c>
      <c r="F20293" s="1">
        <v>5339.0</v>
      </c>
      <c r="G20293" s="1">
        <v>34.0</v>
      </c>
    </row>
    <row r="20294">
      <c r="A20294" s="1" t="s">
        <v>8</v>
      </c>
      <c r="B20294" s="2">
        <v>44797.0</v>
      </c>
      <c r="C20294" s="3">
        <v>0.7324537037037037</v>
      </c>
      <c r="D20294" s="1">
        <v>13.048751</v>
      </c>
      <c r="E20294" s="1">
        <v>80.249651</v>
      </c>
      <c r="F20294" s="1">
        <v>5339.0</v>
      </c>
      <c r="G20294" s="1">
        <v>35.0</v>
      </c>
    </row>
    <row r="20295">
      <c r="A20295" s="1" t="s">
        <v>8</v>
      </c>
      <c r="B20295" s="2">
        <v>44797.0</v>
      </c>
      <c r="C20295" s="3">
        <v>0.7325231481481481</v>
      </c>
      <c r="D20295" s="1">
        <v>13.049639</v>
      </c>
      <c r="E20295" s="1">
        <v>80.249765</v>
      </c>
      <c r="F20295" s="1">
        <v>5339.0</v>
      </c>
      <c r="G20295" s="1">
        <v>37.0</v>
      </c>
    </row>
    <row r="20296">
      <c r="A20296" s="1" t="s">
        <v>8</v>
      </c>
      <c r="B20296" s="2">
        <v>44797.0</v>
      </c>
      <c r="C20296" s="3">
        <v>0.7332060185185185</v>
      </c>
      <c r="D20296" s="1">
        <v>13.0536</v>
      </c>
      <c r="E20296" s="1">
        <v>80.252693</v>
      </c>
      <c r="F20296" s="1">
        <v>5339.0</v>
      </c>
      <c r="G20296" s="1">
        <v>16.0</v>
      </c>
    </row>
    <row r="20297">
      <c r="A20297" s="1" t="s">
        <v>8</v>
      </c>
      <c r="B20297" s="2">
        <v>44797.0</v>
      </c>
      <c r="C20297" s="3">
        <v>0.7332060185185185</v>
      </c>
      <c r="D20297" s="1">
        <v>13.0536</v>
      </c>
      <c r="E20297" s="1">
        <v>80.252693</v>
      </c>
      <c r="F20297" s="1">
        <v>5339.0</v>
      </c>
      <c r="G20297" s="1">
        <v>16.0</v>
      </c>
    </row>
    <row r="20298">
      <c r="A20298" s="1" t="s">
        <v>8</v>
      </c>
      <c r="B20298" s="2">
        <v>44797.0</v>
      </c>
      <c r="C20298" s="3">
        <v>0.7332175925925926</v>
      </c>
      <c r="D20298" s="1">
        <v>13.05395</v>
      </c>
      <c r="E20298" s="1">
        <v>80.253176</v>
      </c>
      <c r="F20298" s="1">
        <v>5339.0</v>
      </c>
      <c r="G20298" s="1">
        <v>27.0</v>
      </c>
    </row>
    <row r="20299">
      <c r="A20299" s="1" t="s">
        <v>8</v>
      </c>
      <c r="B20299" s="2">
        <v>44797.0</v>
      </c>
      <c r="C20299" s="3">
        <v>0.733287037037037</v>
      </c>
      <c r="D20299" s="1">
        <v>13.05395</v>
      </c>
      <c r="E20299" s="1">
        <v>80.253176</v>
      </c>
      <c r="F20299" s="1">
        <v>5339.0</v>
      </c>
      <c r="G20299" s="1">
        <v>27.0</v>
      </c>
    </row>
    <row r="20300">
      <c r="A20300" s="1" t="s">
        <v>8</v>
      </c>
      <c r="B20300" s="2">
        <v>44797.0</v>
      </c>
      <c r="C20300" s="3">
        <v>0.7333680555555555</v>
      </c>
      <c r="D20300" s="1">
        <v>13.054402</v>
      </c>
      <c r="E20300" s="1">
        <v>80.25378</v>
      </c>
      <c r="F20300" s="1">
        <v>5339.0</v>
      </c>
      <c r="G20300" s="1">
        <v>31.0</v>
      </c>
    </row>
    <row r="20301">
      <c r="A20301" s="1" t="s">
        <v>8</v>
      </c>
      <c r="B20301" s="2">
        <v>44797.0</v>
      </c>
      <c r="C20301" s="3">
        <v>0.7338425925925925</v>
      </c>
      <c r="D20301" s="1">
        <v>13.055843</v>
      </c>
      <c r="E20301" s="1">
        <v>80.255716</v>
      </c>
      <c r="F20301" s="1">
        <v>5339.0</v>
      </c>
      <c r="G20301" s="1">
        <v>29.0</v>
      </c>
    </row>
    <row r="20302">
      <c r="A20302" s="1" t="s">
        <v>8</v>
      </c>
      <c r="B20302" s="2">
        <v>44797.0</v>
      </c>
      <c r="C20302" s="3">
        <v>0.7338541666666667</v>
      </c>
      <c r="D20302" s="1">
        <v>13.055843</v>
      </c>
      <c r="E20302" s="1">
        <v>80.255716</v>
      </c>
      <c r="F20302" s="1">
        <v>5339.0</v>
      </c>
      <c r="G20302" s="1">
        <v>29.0</v>
      </c>
    </row>
    <row r="20303">
      <c r="A20303" s="1" t="s">
        <v>8</v>
      </c>
      <c r="B20303" s="2">
        <v>44797.0</v>
      </c>
      <c r="C20303" s="3">
        <v>0.7339814814814815</v>
      </c>
      <c r="D20303" s="1">
        <v>13.056267</v>
      </c>
      <c r="E20303" s="1">
        <v>80.256294</v>
      </c>
      <c r="F20303" s="1">
        <v>5339.0</v>
      </c>
      <c r="G20303" s="1">
        <v>31.0</v>
      </c>
    </row>
    <row r="20304">
      <c r="A20304" s="1" t="s">
        <v>8</v>
      </c>
      <c r="B20304" s="2">
        <v>44797.0</v>
      </c>
      <c r="C20304" s="3">
        <v>0.7340393518518519</v>
      </c>
      <c r="D20304" s="1">
        <v>13.056849</v>
      </c>
      <c r="E20304" s="1">
        <v>80.256827</v>
      </c>
      <c r="F20304" s="1">
        <v>5339.0</v>
      </c>
      <c r="G20304" s="1">
        <v>26.0</v>
      </c>
    </row>
    <row r="20305">
      <c r="A20305" s="1" t="s">
        <v>8</v>
      </c>
      <c r="B20305" s="2">
        <v>44797.0</v>
      </c>
      <c r="C20305" s="3">
        <v>0.7367476851851852</v>
      </c>
      <c r="D20305" s="1">
        <v>13.053871</v>
      </c>
      <c r="E20305" s="1">
        <v>80.264186</v>
      </c>
      <c r="F20305" s="1">
        <v>5339.0</v>
      </c>
      <c r="G20305" s="1">
        <v>29.0</v>
      </c>
    </row>
    <row r="20306">
      <c r="A20306" s="1" t="s">
        <v>10</v>
      </c>
      <c r="B20306" s="2">
        <v>44797.0</v>
      </c>
      <c r="C20306" s="3">
        <v>0.7386458333333333</v>
      </c>
      <c r="D20306" s="1">
        <v>13.053363</v>
      </c>
      <c r="E20306" s="1">
        <v>80.270056</v>
      </c>
      <c r="F20306" s="1">
        <v>5339.0</v>
      </c>
      <c r="G20306" s="1">
        <v>21.0</v>
      </c>
    </row>
    <row r="20307">
      <c r="A20307" s="1" t="s">
        <v>10</v>
      </c>
      <c r="B20307" s="2">
        <v>44797.0</v>
      </c>
      <c r="C20307" s="3">
        <v>0.7401504629629629</v>
      </c>
      <c r="D20307" s="1">
        <v>13.053044</v>
      </c>
      <c r="E20307" s="1">
        <v>80.272122</v>
      </c>
      <c r="F20307" s="1">
        <v>5339.0</v>
      </c>
      <c r="G20307" s="1">
        <v>19.0</v>
      </c>
    </row>
    <row r="20308">
      <c r="A20308" s="1" t="s">
        <v>10</v>
      </c>
      <c r="B20308" s="2">
        <v>44797.0</v>
      </c>
      <c r="C20308" s="3">
        <v>0.740462962962963</v>
      </c>
      <c r="D20308" s="1">
        <v>13.052876</v>
      </c>
      <c r="E20308" s="1">
        <v>80.272878</v>
      </c>
      <c r="F20308" s="1">
        <v>5339.0</v>
      </c>
      <c r="G20308" s="1">
        <v>6.0</v>
      </c>
    </row>
    <row r="20309">
      <c r="A20309" s="1" t="s">
        <v>10</v>
      </c>
      <c r="B20309" s="2">
        <v>44797.0</v>
      </c>
      <c r="C20309" s="3">
        <v>0.7412384259259259</v>
      </c>
      <c r="D20309" s="1">
        <v>13.055463</v>
      </c>
      <c r="E20309" s="1">
        <v>80.273848</v>
      </c>
      <c r="F20309" s="1">
        <v>5339.0</v>
      </c>
      <c r="G20309" s="1">
        <v>21.0</v>
      </c>
    </row>
    <row r="20310">
      <c r="A20310" s="1" t="s">
        <v>10</v>
      </c>
      <c r="B20310" s="2">
        <v>44797.0</v>
      </c>
      <c r="C20310" s="3">
        <v>0.7413541666666666</v>
      </c>
      <c r="D20310" s="1">
        <v>13.056046</v>
      </c>
      <c r="E20310" s="1">
        <v>80.273888</v>
      </c>
      <c r="F20310" s="1">
        <v>5339.0</v>
      </c>
      <c r="G20310" s="1">
        <v>22.0</v>
      </c>
    </row>
    <row r="20311">
      <c r="A20311" s="1" t="s">
        <v>10</v>
      </c>
      <c r="B20311" s="2">
        <v>44797.0</v>
      </c>
      <c r="C20311" s="3">
        <v>0.7414467592592593</v>
      </c>
      <c r="D20311" s="1">
        <v>13.056481</v>
      </c>
      <c r="E20311" s="1">
        <v>80.273922</v>
      </c>
      <c r="F20311" s="1">
        <v>5339.0</v>
      </c>
      <c r="G20311" s="1">
        <v>15.0</v>
      </c>
    </row>
    <row r="20312">
      <c r="A20312" s="1" t="s">
        <v>10</v>
      </c>
      <c r="B20312" s="2">
        <v>44797.0</v>
      </c>
      <c r="C20312" s="3">
        <v>0.7416319444444445</v>
      </c>
      <c r="D20312" s="1">
        <v>13.056983</v>
      </c>
      <c r="E20312" s="1">
        <v>80.273968</v>
      </c>
      <c r="F20312" s="1">
        <v>5339.0</v>
      </c>
      <c r="G20312" s="1">
        <v>24.0</v>
      </c>
    </row>
    <row r="20313">
      <c r="A20313" s="1" t="s">
        <v>10</v>
      </c>
      <c r="B20313" s="2">
        <v>44797.0</v>
      </c>
      <c r="C20313" s="3">
        <v>0.7416666666666667</v>
      </c>
      <c r="D20313" s="1">
        <v>13.057655</v>
      </c>
      <c r="E20313" s="1">
        <v>80.274053</v>
      </c>
      <c r="F20313" s="1">
        <v>5339.0</v>
      </c>
      <c r="G20313" s="1">
        <v>20.0</v>
      </c>
    </row>
    <row r="20314">
      <c r="A20314" s="1" t="s">
        <v>10</v>
      </c>
      <c r="B20314" s="2">
        <v>44797.0</v>
      </c>
      <c r="C20314" s="3">
        <v>0.7417939814814815</v>
      </c>
      <c r="D20314" s="1">
        <v>13.057948</v>
      </c>
      <c r="E20314" s="1">
        <v>80.274086</v>
      </c>
      <c r="F20314" s="1">
        <v>5339.0</v>
      </c>
      <c r="G20314" s="1">
        <v>11.0</v>
      </c>
    </row>
    <row r="20315">
      <c r="A20315" s="1" t="s">
        <v>10</v>
      </c>
      <c r="B20315" s="2">
        <v>44797.0</v>
      </c>
      <c r="C20315" s="3">
        <v>0.7419097222222222</v>
      </c>
      <c r="D20315" s="1">
        <v>13.058292</v>
      </c>
      <c r="E20315" s="1">
        <v>80.274123</v>
      </c>
      <c r="F20315" s="1">
        <v>5339.0</v>
      </c>
      <c r="G20315" s="1">
        <v>18.0</v>
      </c>
    </row>
    <row r="20316">
      <c r="A20316" s="1" t="s">
        <v>10</v>
      </c>
      <c r="B20316" s="2">
        <v>44797.0</v>
      </c>
      <c r="C20316" s="3">
        <v>0.7421296296296296</v>
      </c>
      <c r="D20316" s="1">
        <v>13.058916</v>
      </c>
      <c r="E20316" s="1">
        <v>80.274189</v>
      </c>
      <c r="F20316" s="1">
        <v>5339.0</v>
      </c>
      <c r="G20316" s="1">
        <v>12.0</v>
      </c>
    </row>
    <row r="20317">
      <c r="A20317" s="1" t="s">
        <v>10</v>
      </c>
      <c r="B20317" s="2">
        <v>44797.0</v>
      </c>
      <c r="C20317" s="3">
        <v>0.7438657407407407</v>
      </c>
      <c r="D20317" s="1">
        <v>13.062415</v>
      </c>
      <c r="E20317" s="1">
        <v>80.274263</v>
      </c>
      <c r="F20317" s="1">
        <v>5339.0</v>
      </c>
      <c r="G20317" s="1">
        <v>7.0</v>
      </c>
    </row>
    <row r="20318">
      <c r="A20318" s="1" t="s">
        <v>8</v>
      </c>
      <c r="B20318" s="2">
        <v>44797.0</v>
      </c>
      <c r="C20318" s="3">
        <v>0.7469675925925926</v>
      </c>
      <c r="D20318" s="1">
        <v>13.06766</v>
      </c>
      <c r="E20318" s="1">
        <v>80.270833</v>
      </c>
      <c r="F20318" s="1">
        <v>5339.0</v>
      </c>
      <c r="G20318" s="1">
        <v>38.0</v>
      </c>
    </row>
    <row r="20319">
      <c r="A20319" s="1" t="s">
        <v>10</v>
      </c>
      <c r="B20319" s="2">
        <v>44797.0</v>
      </c>
      <c r="C20319" s="3">
        <v>0.747175925925926</v>
      </c>
      <c r="D20319" s="1">
        <v>13.06646</v>
      </c>
      <c r="E20319" s="1">
        <v>80.269212</v>
      </c>
      <c r="F20319" s="1">
        <v>5339.0</v>
      </c>
      <c r="G20319" s="1">
        <v>40.0</v>
      </c>
    </row>
    <row r="20320">
      <c r="A20320" s="1" t="s">
        <v>10</v>
      </c>
      <c r="B20320" s="2">
        <v>44797.0</v>
      </c>
      <c r="C20320" s="3">
        <v>0.7488657407407407</v>
      </c>
      <c r="D20320" s="1">
        <v>13.069519</v>
      </c>
      <c r="E20320" s="1">
        <v>80.266662</v>
      </c>
      <c r="F20320" s="1">
        <v>5339.0</v>
      </c>
      <c r="G20320" s="1">
        <v>33.0</v>
      </c>
    </row>
    <row r="20321">
      <c r="A20321" s="1" t="s">
        <v>10</v>
      </c>
      <c r="B20321" s="2">
        <v>44797.0</v>
      </c>
      <c r="C20321" s="3">
        <v>0.7491898148148148</v>
      </c>
      <c r="D20321" s="1">
        <v>13.070515</v>
      </c>
      <c r="E20321" s="1">
        <v>80.265575</v>
      </c>
      <c r="F20321" s="1">
        <v>5339.0</v>
      </c>
      <c r="G20321" s="1">
        <v>26.0</v>
      </c>
    </row>
    <row r="20322">
      <c r="A20322" s="1" t="s">
        <v>10</v>
      </c>
      <c r="B20322" s="2">
        <v>44797.0</v>
      </c>
      <c r="C20322" s="3">
        <v>0.7493518518518518</v>
      </c>
      <c r="D20322" s="1">
        <v>13.071106</v>
      </c>
      <c r="E20322" s="1">
        <v>80.265009</v>
      </c>
      <c r="F20322" s="1">
        <v>5339.0</v>
      </c>
      <c r="G20322" s="1">
        <v>0.0</v>
      </c>
    </row>
    <row r="20323">
      <c r="A20323" s="1" t="s">
        <v>10</v>
      </c>
      <c r="B20323" s="2">
        <v>44797.0</v>
      </c>
      <c r="C20323" s="3">
        <v>0.7494907407407407</v>
      </c>
      <c r="D20323" s="1">
        <v>13.07134</v>
      </c>
      <c r="E20323" s="1">
        <v>80.26475</v>
      </c>
      <c r="F20323" s="1">
        <v>5339.0</v>
      </c>
      <c r="G20323" s="1">
        <v>14.0</v>
      </c>
    </row>
    <row r="20324">
      <c r="A20324" s="1" t="s">
        <v>10</v>
      </c>
      <c r="B20324" s="2">
        <v>44797.0</v>
      </c>
      <c r="C20324" s="3">
        <v>0.7495486111111112</v>
      </c>
      <c r="D20324" s="1">
        <v>13.071571</v>
      </c>
      <c r="E20324" s="1">
        <v>80.264522</v>
      </c>
      <c r="F20324" s="1">
        <v>5339.0</v>
      </c>
      <c r="G20324" s="1">
        <v>15.0</v>
      </c>
    </row>
    <row r="20325">
      <c r="A20325" s="1" t="s">
        <v>8</v>
      </c>
      <c r="B20325" s="2">
        <v>44797.0</v>
      </c>
      <c r="C20325" s="3">
        <v>0.7496875</v>
      </c>
      <c r="D20325" s="1">
        <v>13.071954</v>
      </c>
      <c r="E20325" s="1">
        <v>80.26415</v>
      </c>
      <c r="F20325" s="1">
        <v>5339.0</v>
      </c>
      <c r="G20325" s="1">
        <v>24.0</v>
      </c>
    </row>
    <row r="20326">
      <c r="A20326" s="1" t="s">
        <v>8</v>
      </c>
      <c r="B20326" s="2">
        <v>44797.0</v>
      </c>
      <c r="C20326" s="3">
        <v>0.7496990740740741</v>
      </c>
      <c r="D20326" s="1">
        <v>13.071954</v>
      </c>
      <c r="E20326" s="1">
        <v>80.26415</v>
      </c>
      <c r="F20326" s="1">
        <v>5339.0</v>
      </c>
      <c r="G20326" s="1">
        <v>24.0</v>
      </c>
    </row>
    <row r="20327">
      <c r="A20327" s="1" t="s">
        <v>10</v>
      </c>
      <c r="B20327" s="2">
        <v>44797.0</v>
      </c>
      <c r="C20327" s="3">
        <v>0.7500578703703704</v>
      </c>
      <c r="D20327" s="1">
        <v>13.07285</v>
      </c>
      <c r="E20327" s="1">
        <v>80.262195</v>
      </c>
      <c r="F20327" s="1">
        <v>5339.0</v>
      </c>
      <c r="G20327" s="1">
        <v>35.0</v>
      </c>
    </row>
    <row r="20328">
      <c r="A20328" s="1" t="s">
        <v>8</v>
      </c>
      <c r="B20328" s="2">
        <v>44797.0</v>
      </c>
      <c r="C20328" s="3">
        <v>0.7515972222222222</v>
      </c>
      <c r="D20328" s="1">
        <v>13.069195</v>
      </c>
      <c r="E20328" s="1">
        <v>80.256617</v>
      </c>
      <c r="F20328" s="1">
        <v>5339.0</v>
      </c>
      <c r="G20328" s="1">
        <v>26.0</v>
      </c>
    </row>
    <row r="20329">
      <c r="A20329" s="1" t="s">
        <v>8</v>
      </c>
      <c r="B20329" s="2">
        <v>44797.0</v>
      </c>
      <c r="C20329" s="3">
        <v>0.7516087962962963</v>
      </c>
      <c r="D20329" s="1">
        <v>13.069195</v>
      </c>
      <c r="E20329" s="1">
        <v>80.256617</v>
      </c>
      <c r="F20329" s="1">
        <v>5339.0</v>
      </c>
      <c r="G20329" s="1">
        <v>26.0</v>
      </c>
    </row>
    <row r="20330">
      <c r="A20330" s="1" t="s">
        <v>8</v>
      </c>
      <c r="B20330" s="2">
        <v>44797.0</v>
      </c>
      <c r="C20330" s="3">
        <v>0.7530208333333334</v>
      </c>
      <c r="D20330" s="1">
        <v>13.068114</v>
      </c>
      <c r="E20330" s="1">
        <v>80.253006</v>
      </c>
      <c r="F20330" s="1">
        <v>5339.0</v>
      </c>
      <c r="G20330" s="1">
        <v>23.0</v>
      </c>
    </row>
    <row r="20331">
      <c r="A20331" s="1" t="s">
        <v>8</v>
      </c>
      <c r="B20331" s="2">
        <v>44797.0</v>
      </c>
      <c r="C20331" s="3">
        <v>0.7530324074074074</v>
      </c>
      <c r="D20331" s="1">
        <v>13.068114</v>
      </c>
      <c r="E20331" s="1">
        <v>80.253006</v>
      </c>
      <c r="F20331" s="1">
        <v>5339.0</v>
      </c>
      <c r="G20331" s="1">
        <v>23.0</v>
      </c>
    </row>
    <row r="20332">
      <c r="A20332" s="1" t="s">
        <v>8</v>
      </c>
      <c r="B20332" s="2">
        <v>44797.0</v>
      </c>
      <c r="C20332" s="3">
        <v>0.7544444444444445</v>
      </c>
      <c r="D20332" s="1">
        <v>13.067263</v>
      </c>
      <c r="E20332" s="1">
        <v>80.247875</v>
      </c>
      <c r="F20332" s="1">
        <v>5339.0</v>
      </c>
      <c r="G20332" s="1">
        <v>35.0</v>
      </c>
    </row>
    <row r="20333">
      <c r="A20333" s="1" t="s">
        <v>8</v>
      </c>
      <c r="B20333" s="2">
        <v>44797.0</v>
      </c>
      <c r="C20333" s="3">
        <v>0.7545138888888889</v>
      </c>
      <c r="D20333" s="1">
        <v>13.066318</v>
      </c>
      <c r="E20333" s="1">
        <v>80.247812</v>
      </c>
      <c r="F20333" s="1">
        <v>5339.0</v>
      </c>
      <c r="G20333" s="1">
        <v>35.0</v>
      </c>
    </row>
    <row r="20334">
      <c r="A20334" s="1" t="s">
        <v>10</v>
      </c>
      <c r="B20334" s="2">
        <v>44797.0</v>
      </c>
      <c r="C20334" s="3">
        <v>0.7556018518518518</v>
      </c>
      <c r="D20334" s="1">
        <v>13.064074</v>
      </c>
      <c r="E20334" s="1">
        <v>80.249532</v>
      </c>
      <c r="F20334" s="1">
        <v>5339.0</v>
      </c>
      <c r="G20334" s="1">
        <v>9.0</v>
      </c>
    </row>
    <row r="20335">
      <c r="A20335" s="1" t="s">
        <v>10</v>
      </c>
      <c r="B20335" s="2">
        <v>44798.0</v>
      </c>
      <c r="C20335" s="3">
        <v>0.2695486111111111</v>
      </c>
      <c r="D20335" s="1">
        <v>12.879111</v>
      </c>
      <c r="E20335" s="1">
        <v>80.080214</v>
      </c>
      <c r="F20335" s="1">
        <v>3143.0</v>
      </c>
      <c r="G20335" s="1">
        <v>8.0</v>
      </c>
    </row>
    <row r="20336">
      <c r="A20336" s="1" t="s">
        <v>7</v>
      </c>
      <c r="B20336" s="2">
        <v>44798.0</v>
      </c>
      <c r="C20336" s="3">
        <v>0.2710648148148148</v>
      </c>
      <c r="D20336" s="1">
        <v>12.889284</v>
      </c>
      <c r="E20336" s="1">
        <v>80.084217</v>
      </c>
      <c r="F20336" s="1">
        <v>3143.0</v>
      </c>
      <c r="G20336" s="1">
        <v>50.0</v>
      </c>
    </row>
    <row r="20337">
      <c r="A20337" s="1" t="s">
        <v>7</v>
      </c>
      <c r="B20337" s="2">
        <v>44798.0</v>
      </c>
      <c r="C20337" s="3">
        <v>0.2728703703703704</v>
      </c>
      <c r="D20337" s="1">
        <v>12.905829</v>
      </c>
      <c r="E20337" s="1">
        <v>80.095731</v>
      </c>
      <c r="F20337" s="1">
        <v>3143.0</v>
      </c>
      <c r="G20337" s="1">
        <v>49.0</v>
      </c>
    </row>
    <row r="20338">
      <c r="A20338" s="1" t="s">
        <v>7</v>
      </c>
      <c r="B20338" s="2">
        <v>44798.0</v>
      </c>
      <c r="C20338" s="3">
        <v>0.273125</v>
      </c>
      <c r="D20338" s="1">
        <v>12.907935</v>
      </c>
      <c r="E20338" s="1">
        <v>80.097329</v>
      </c>
      <c r="F20338" s="1">
        <v>3143.0</v>
      </c>
      <c r="G20338" s="1">
        <v>54.0</v>
      </c>
    </row>
    <row r="20339">
      <c r="A20339" s="1" t="s">
        <v>7</v>
      </c>
      <c r="B20339" s="2">
        <v>44798.0</v>
      </c>
      <c r="C20339" s="3">
        <v>0.2752199074074074</v>
      </c>
      <c r="D20339" s="1">
        <v>12.921997</v>
      </c>
      <c r="E20339" s="1">
        <v>80.113044</v>
      </c>
      <c r="F20339" s="1">
        <v>3143.0</v>
      </c>
      <c r="G20339" s="1">
        <v>57.0</v>
      </c>
    </row>
    <row r="20340">
      <c r="A20340" s="1" t="s">
        <v>7</v>
      </c>
      <c r="B20340" s="2">
        <v>44798.0</v>
      </c>
      <c r="C20340" s="3">
        <v>0.2754976851851852</v>
      </c>
      <c r="D20340" s="1">
        <v>12.924853</v>
      </c>
      <c r="E20340" s="1">
        <v>80.115908</v>
      </c>
      <c r="F20340" s="1">
        <v>3143.0</v>
      </c>
      <c r="G20340" s="1">
        <v>55.0</v>
      </c>
    </row>
    <row r="20341">
      <c r="A20341" s="1" t="s">
        <v>7</v>
      </c>
      <c r="B20341" s="2">
        <v>44798.0</v>
      </c>
      <c r="C20341" s="3">
        <v>0.27818287037037037</v>
      </c>
      <c r="D20341" s="1">
        <v>12.940289</v>
      </c>
      <c r="E20341" s="1">
        <v>80.13078</v>
      </c>
      <c r="F20341" s="1">
        <v>3143.0</v>
      </c>
      <c r="G20341" s="1">
        <v>56.0</v>
      </c>
    </row>
    <row r="20342">
      <c r="A20342" s="1" t="s">
        <v>8</v>
      </c>
      <c r="B20342" s="2">
        <v>44798.0</v>
      </c>
      <c r="C20342" s="3">
        <v>0.28</v>
      </c>
      <c r="D20342" s="1">
        <v>12.956305</v>
      </c>
      <c r="E20342" s="1">
        <v>80.143157</v>
      </c>
      <c r="F20342" s="1">
        <v>3143.0</v>
      </c>
      <c r="G20342" s="1">
        <v>34.0</v>
      </c>
    </row>
    <row r="20343">
      <c r="A20343" s="1" t="s">
        <v>8</v>
      </c>
      <c r="B20343" s="2">
        <v>44798.0</v>
      </c>
      <c r="C20343" s="3">
        <v>0.28034722222222225</v>
      </c>
      <c r="D20343" s="1">
        <v>12.956305</v>
      </c>
      <c r="E20343" s="1">
        <v>80.143157</v>
      </c>
      <c r="F20343" s="1">
        <v>3143.0</v>
      </c>
      <c r="G20343" s="1">
        <v>34.0</v>
      </c>
    </row>
    <row r="20344">
      <c r="A20344" s="1" t="s">
        <v>7</v>
      </c>
      <c r="B20344" s="2">
        <v>44798.0</v>
      </c>
      <c r="C20344" s="3">
        <v>0.28144675925925927</v>
      </c>
      <c r="D20344" s="1">
        <v>12.958436</v>
      </c>
      <c r="E20344" s="1">
        <v>80.150554</v>
      </c>
      <c r="F20344" s="1">
        <v>3143.0</v>
      </c>
      <c r="G20344" s="1">
        <v>52.0</v>
      </c>
    </row>
    <row r="20345">
      <c r="A20345" s="1" t="s">
        <v>7</v>
      </c>
      <c r="B20345" s="2">
        <v>44798.0</v>
      </c>
      <c r="C20345" s="3">
        <v>0.28186342592592595</v>
      </c>
      <c r="D20345" s="1">
        <v>12.955427</v>
      </c>
      <c r="E20345" s="1">
        <v>80.154787</v>
      </c>
      <c r="F20345" s="1">
        <v>3143.0</v>
      </c>
      <c r="G20345" s="1">
        <v>50.0</v>
      </c>
    </row>
    <row r="20346">
      <c r="A20346" s="1" t="s">
        <v>7</v>
      </c>
      <c r="B20346" s="2">
        <v>44798.0</v>
      </c>
      <c r="C20346" s="3">
        <v>0.282650462962963</v>
      </c>
      <c r="D20346" s="1">
        <v>12.953563</v>
      </c>
      <c r="E20346" s="1">
        <v>80.163786</v>
      </c>
      <c r="F20346" s="1">
        <v>3143.0</v>
      </c>
      <c r="G20346" s="1">
        <v>55.0</v>
      </c>
    </row>
    <row r="20347">
      <c r="A20347" s="1" t="s">
        <v>7</v>
      </c>
      <c r="B20347" s="2">
        <v>44798.0</v>
      </c>
      <c r="C20347" s="3">
        <v>0.28274305555555557</v>
      </c>
      <c r="D20347" s="1">
        <v>12.953563</v>
      </c>
      <c r="E20347" s="1">
        <v>80.163786</v>
      </c>
      <c r="F20347" s="1">
        <v>3143.0</v>
      </c>
      <c r="G20347" s="1">
        <v>55.0</v>
      </c>
    </row>
    <row r="20348">
      <c r="A20348" s="1" t="s">
        <v>7</v>
      </c>
      <c r="B20348" s="2">
        <v>44798.0</v>
      </c>
      <c r="C20348" s="3">
        <v>0.28528935185185184</v>
      </c>
      <c r="D20348" s="1">
        <v>12.949158</v>
      </c>
      <c r="E20348" s="1">
        <v>80.186731</v>
      </c>
      <c r="F20348" s="1">
        <v>3143.0</v>
      </c>
      <c r="G20348" s="1">
        <v>44.0</v>
      </c>
    </row>
    <row r="20349">
      <c r="A20349" s="1" t="s">
        <v>7</v>
      </c>
      <c r="B20349" s="2">
        <v>44798.0</v>
      </c>
      <c r="C20349" s="3">
        <v>0.28533564814814816</v>
      </c>
      <c r="D20349" s="1">
        <v>12.949054</v>
      </c>
      <c r="E20349" s="1">
        <v>80.18802</v>
      </c>
      <c r="F20349" s="1">
        <v>3143.0</v>
      </c>
      <c r="G20349" s="1">
        <v>53.0</v>
      </c>
    </row>
    <row r="20350">
      <c r="A20350" s="1" t="s">
        <v>7</v>
      </c>
      <c r="B20350" s="2">
        <v>44798.0</v>
      </c>
      <c r="C20350" s="3">
        <v>0.2858449074074074</v>
      </c>
      <c r="D20350" s="1">
        <v>12.948686</v>
      </c>
      <c r="E20350" s="1">
        <v>80.192403</v>
      </c>
      <c r="F20350" s="1">
        <v>3143.0</v>
      </c>
      <c r="G20350" s="1">
        <v>51.0</v>
      </c>
    </row>
    <row r="20351">
      <c r="A20351" s="1" t="s">
        <v>7</v>
      </c>
      <c r="B20351" s="2">
        <v>44798.0</v>
      </c>
      <c r="C20351" s="3">
        <v>0.2861574074074074</v>
      </c>
      <c r="D20351" s="1">
        <v>12.94858</v>
      </c>
      <c r="E20351" s="1">
        <v>80.196466</v>
      </c>
      <c r="F20351" s="1">
        <v>3143.0</v>
      </c>
      <c r="G20351" s="1">
        <v>53.0</v>
      </c>
    </row>
    <row r="20352">
      <c r="A20352" s="1" t="s">
        <v>8</v>
      </c>
      <c r="B20352" s="2">
        <v>44798.0</v>
      </c>
      <c r="C20352" s="3">
        <v>0.2897106481481482</v>
      </c>
      <c r="D20352" s="1">
        <v>12.960764</v>
      </c>
      <c r="E20352" s="1">
        <v>80.214854</v>
      </c>
      <c r="F20352" s="1">
        <v>3143.0</v>
      </c>
      <c r="G20352" s="1">
        <v>45.0</v>
      </c>
    </row>
    <row r="20353">
      <c r="A20353" s="1" t="s">
        <v>8</v>
      </c>
      <c r="B20353" s="2">
        <v>44798.0</v>
      </c>
      <c r="C20353" s="3">
        <v>0.2907175925925926</v>
      </c>
      <c r="D20353" s="1">
        <v>12.967938</v>
      </c>
      <c r="E20353" s="1">
        <v>80.217721</v>
      </c>
      <c r="F20353" s="1">
        <v>3143.0</v>
      </c>
      <c r="G20353" s="1">
        <v>33.0</v>
      </c>
    </row>
    <row r="20354">
      <c r="A20354" s="1" t="s">
        <v>10</v>
      </c>
      <c r="B20354" s="2">
        <v>44798.0</v>
      </c>
      <c r="C20354" s="3">
        <v>0.2977430555555556</v>
      </c>
      <c r="D20354" s="1">
        <v>13.061852</v>
      </c>
      <c r="E20354" s="1">
        <v>80.247603</v>
      </c>
      <c r="F20354" s="1">
        <v>5339.0</v>
      </c>
      <c r="G20354" s="1">
        <v>28.0</v>
      </c>
    </row>
    <row r="20355">
      <c r="A20355" s="1" t="s">
        <v>8</v>
      </c>
      <c r="B20355" s="2">
        <v>44798.0</v>
      </c>
      <c r="C20355" s="3">
        <v>0.2989583333333333</v>
      </c>
      <c r="D20355" s="1">
        <v>13.066311</v>
      </c>
      <c r="E20355" s="1">
        <v>80.245234</v>
      </c>
      <c r="F20355" s="1">
        <v>5339.0</v>
      </c>
      <c r="G20355" s="1">
        <v>44.0</v>
      </c>
    </row>
    <row r="20356">
      <c r="A20356" s="1" t="s">
        <v>8</v>
      </c>
      <c r="B20356" s="2">
        <v>44798.0</v>
      </c>
      <c r="C20356" s="3">
        <v>0.2995833333333333</v>
      </c>
      <c r="D20356" s="1">
        <v>13.067588</v>
      </c>
      <c r="E20356" s="1">
        <v>80.250408</v>
      </c>
      <c r="F20356" s="1">
        <v>5339.0</v>
      </c>
      <c r="G20356" s="1">
        <v>44.0</v>
      </c>
    </row>
    <row r="20357">
      <c r="A20357" s="1" t="s">
        <v>8</v>
      </c>
      <c r="B20357" s="2">
        <v>44798.0</v>
      </c>
      <c r="C20357" s="3">
        <v>0.301087962962963</v>
      </c>
      <c r="D20357" s="1">
        <v>13.070996</v>
      </c>
      <c r="E20357" s="1">
        <v>80.258405</v>
      </c>
      <c r="F20357" s="1">
        <v>5339.0</v>
      </c>
      <c r="G20357" s="1">
        <v>40.0</v>
      </c>
    </row>
    <row r="20358">
      <c r="A20358" s="1" t="s">
        <v>10</v>
      </c>
      <c r="B20358" s="2">
        <v>44798.0</v>
      </c>
      <c r="C20358" s="3">
        <v>0.3023263888888889</v>
      </c>
      <c r="D20358" s="1">
        <v>13.071905</v>
      </c>
      <c r="E20358" s="1">
        <v>80.264341</v>
      </c>
      <c r="F20358" s="1">
        <v>5339.0</v>
      </c>
      <c r="G20358" s="1">
        <v>34.0</v>
      </c>
    </row>
    <row r="20359">
      <c r="A20359" s="1" t="s">
        <v>10</v>
      </c>
      <c r="B20359" s="2">
        <v>44798.0</v>
      </c>
      <c r="C20359" s="3">
        <v>0.3026388888888889</v>
      </c>
      <c r="D20359" s="1">
        <v>13.071125</v>
      </c>
      <c r="E20359" s="1">
        <v>80.265215</v>
      </c>
      <c r="F20359" s="1">
        <v>5339.0</v>
      </c>
      <c r="G20359" s="1">
        <v>10.0</v>
      </c>
    </row>
    <row r="20360">
      <c r="A20360" s="1" t="s">
        <v>8</v>
      </c>
      <c r="B20360" s="2">
        <v>44798.0</v>
      </c>
      <c r="C20360" s="3">
        <v>0.3034953703703704</v>
      </c>
      <c r="D20360" s="1">
        <v>13.068427</v>
      </c>
      <c r="E20360" s="1">
        <v>80.269227</v>
      </c>
      <c r="F20360" s="1">
        <v>5339.0</v>
      </c>
      <c r="G20360" s="1">
        <v>32.0</v>
      </c>
    </row>
    <row r="20361">
      <c r="A20361" s="1" t="s">
        <v>8</v>
      </c>
      <c r="B20361" s="2">
        <v>44798.0</v>
      </c>
      <c r="C20361" s="3">
        <v>0.303599537037037</v>
      </c>
      <c r="D20361" s="1">
        <v>13.068427</v>
      </c>
      <c r="E20361" s="1">
        <v>80.269227</v>
      </c>
      <c r="F20361" s="1">
        <v>5339.0</v>
      </c>
      <c r="G20361" s="1">
        <v>32.0</v>
      </c>
    </row>
    <row r="20362">
      <c r="A20362" s="1" t="s">
        <v>8</v>
      </c>
      <c r="B20362" s="2">
        <v>44798.0</v>
      </c>
      <c r="C20362" s="3">
        <v>0.30398148148148146</v>
      </c>
      <c r="D20362" s="1">
        <v>13.068207</v>
      </c>
      <c r="E20362" s="1">
        <v>80.27211</v>
      </c>
      <c r="F20362" s="1">
        <v>5339.0</v>
      </c>
      <c r="G20362" s="1">
        <v>26.0</v>
      </c>
    </row>
    <row r="20363">
      <c r="A20363" s="1" t="s">
        <v>8</v>
      </c>
      <c r="B20363" s="2">
        <v>44798.0</v>
      </c>
      <c r="C20363" s="3">
        <v>0.30399305555555556</v>
      </c>
      <c r="D20363" s="1">
        <v>13.068207</v>
      </c>
      <c r="E20363" s="1">
        <v>80.27211</v>
      </c>
      <c r="F20363" s="1">
        <v>5339.0</v>
      </c>
      <c r="G20363" s="1">
        <v>26.0</v>
      </c>
    </row>
    <row r="20364">
      <c r="A20364" s="1" t="s">
        <v>8</v>
      </c>
      <c r="B20364" s="2">
        <v>44798.0</v>
      </c>
      <c r="C20364" s="3">
        <v>0.30400462962962965</v>
      </c>
      <c r="D20364" s="1">
        <v>13.068207</v>
      </c>
      <c r="E20364" s="1">
        <v>80.27211</v>
      </c>
      <c r="F20364" s="1">
        <v>5339.0</v>
      </c>
      <c r="G20364" s="1">
        <v>26.0</v>
      </c>
    </row>
    <row r="20365">
      <c r="A20365" s="1" t="s">
        <v>8</v>
      </c>
      <c r="B20365" s="2">
        <v>44798.0</v>
      </c>
      <c r="C20365" s="3">
        <v>0.3040625</v>
      </c>
      <c r="D20365" s="1">
        <v>13.068207</v>
      </c>
      <c r="E20365" s="1">
        <v>80.27211</v>
      </c>
      <c r="F20365" s="1">
        <v>5339.0</v>
      </c>
      <c r="G20365" s="1">
        <v>26.0</v>
      </c>
    </row>
    <row r="20366">
      <c r="A20366" s="1" t="s">
        <v>10</v>
      </c>
      <c r="B20366" s="2">
        <v>44798.0</v>
      </c>
      <c r="C20366" s="3">
        <v>0.3069560185185185</v>
      </c>
      <c r="D20366" s="1">
        <v>13.057286</v>
      </c>
      <c r="E20366" s="1">
        <v>80.273979</v>
      </c>
      <c r="F20366" s="1">
        <v>5339.0</v>
      </c>
      <c r="G20366" s="1">
        <v>31.0</v>
      </c>
    </row>
    <row r="20367">
      <c r="A20367" s="1" t="s">
        <v>10</v>
      </c>
      <c r="B20367" s="2">
        <v>44798.0</v>
      </c>
      <c r="C20367" s="3">
        <v>0.3071875</v>
      </c>
      <c r="D20367" s="1">
        <v>13.056006</v>
      </c>
      <c r="E20367" s="1">
        <v>80.27389</v>
      </c>
      <c r="F20367" s="1">
        <v>5339.0</v>
      </c>
      <c r="G20367" s="1">
        <v>26.0</v>
      </c>
    </row>
    <row r="20368">
      <c r="A20368" s="1" t="s">
        <v>10</v>
      </c>
      <c r="B20368" s="2">
        <v>44798.0</v>
      </c>
      <c r="C20368" s="3">
        <v>0.30777777777777776</v>
      </c>
      <c r="D20368" s="1">
        <v>13.05357</v>
      </c>
      <c r="E20368" s="1">
        <v>80.273788</v>
      </c>
      <c r="F20368" s="1">
        <v>5339.0</v>
      </c>
      <c r="G20368" s="1">
        <v>14.0</v>
      </c>
    </row>
    <row r="20369">
      <c r="A20369" s="1" t="s">
        <v>10</v>
      </c>
      <c r="B20369" s="2">
        <v>44798.0</v>
      </c>
      <c r="C20369" s="3">
        <v>0.30809027777777775</v>
      </c>
      <c r="D20369" s="1">
        <v>13.052912</v>
      </c>
      <c r="E20369" s="1">
        <v>80.273502</v>
      </c>
      <c r="F20369" s="1">
        <v>5339.0</v>
      </c>
      <c r="G20369" s="1">
        <v>17.0</v>
      </c>
    </row>
    <row r="20370">
      <c r="A20370" s="1" t="s">
        <v>10</v>
      </c>
      <c r="B20370" s="2">
        <v>44798.0</v>
      </c>
      <c r="C20370" s="3">
        <v>0.308287037037037</v>
      </c>
      <c r="D20370" s="1">
        <v>13.053064</v>
      </c>
      <c r="E20370" s="1">
        <v>80.272426</v>
      </c>
      <c r="F20370" s="1">
        <v>5339.0</v>
      </c>
      <c r="G20370" s="1">
        <v>21.0</v>
      </c>
    </row>
    <row r="20371">
      <c r="A20371" s="1" t="s">
        <v>10</v>
      </c>
      <c r="B20371" s="2">
        <v>44798.0</v>
      </c>
      <c r="C20371" s="3">
        <v>0.30850694444444443</v>
      </c>
      <c r="D20371" s="1">
        <v>13.053184</v>
      </c>
      <c r="E20371" s="1">
        <v>80.271998</v>
      </c>
      <c r="F20371" s="1">
        <v>5339.0</v>
      </c>
      <c r="G20371" s="1">
        <v>0.0</v>
      </c>
    </row>
    <row r="20372">
      <c r="A20372" s="1" t="s">
        <v>10</v>
      </c>
      <c r="B20372" s="2">
        <v>44798.0</v>
      </c>
      <c r="C20372" s="3">
        <v>0.30899305555555556</v>
      </c>
      <c r="D20372" s="1">
        <v>13.053372</v>
      </c>
      <c r="E20372" s="1">
        <v>80.269854</v>
      </c>
      <c r="F20372" s="1">
        <v>5339.0</v>
      </c>
      <c r="G20372" s="1">
        <v>19.0</v>
      </c>
    </row>
    <row r="20373">
      <c r="A20373" s="1" t="s">
        <v>8</v>
      </c>
      <c r="B20373" s="2">
        <v>44798.0</v>
      </c>
      <c r="C20373" s="3">
        <v>0.3117013888888889</v>
      </c>
      <c r="D20373" s="1">
        <v>13.054516</v>
      </c>
      <c r="E20373" s="1">
        <v>80.257045</v>
      </c>
      <c r="F20373" s="1">
        <v>5339.0</v>
      </c>
      <c r="G20373" s="1">
        <v>49.0</v>
      </c>
    </row>
    <row r="20374">
      <c r="A20374" s="1" t="s">
        <v>8</v>
      </c>
      <c r="B20374" s="2">
        <v>44798.0</v>
      </c>
      <c r="C20374" s="3">
        <v>0.31210648148148146</v>
      </c>
      <c r="D20374" s="1">
        <v>13.054189</v>
      </c>
      <c r="E20374" s="1">
        <v>80.253583</v>
      </c>
      <c r="F20374" s="1">
        <v>5339.0</v>
      </c>
      <c r="G20374" s="1">
        <v>35.0</v>
      </c>
    </row>
    <row r="20375">
      <c r="A20375" s="1" t="s">
        <v>8</v>
      </c>
      <c r="B20375" s="2">
        <v>44798.0</v>
      </c>
      <c r="C20375" s="3">
        <v>0.31232638888888886</v>
      </c>
      <c r="D20375" s="1">
        <v>13.053008</v>
      </c>
      <c r="E20375" s="1">
        <v>80.251923</v>
      </c>
      <c r="F20375" s="1">
        <v>5339.0</v>
      </c>
      <c r="G20375" s="1">
        <v>43.0</v>
      </c>
    </row>
    <row r="20376">
      <c r="A20376" s="1" t="s">
        <v>8</v>
      </c>
      <c r="B20376" s="2">
        <v>44798.0</v>
      </c>
      <c r="C20376" s="3">
        <v>0.3125</v>
      </c>
      <c r="D20376" s="1">
        <v>13.052422</v>
      </c>
      <c r="E20376" s="1">
        <v>80.251129</v>
      </c>
      <c r="F20376" s="1">
        <v>5339.0</v>
      </c>
      <c r="G20376" s="1">
        <v>34.0</v>
      </c>
    </row>
    <row r="20377">
      <c r="A20377" s="1" t="s">
        <v>8</v>
      </c>
      <c r="B20377" s="2">
        <v>44798.0</v>
      </c>
      <c r="C20377" s="3">
        <v>0.3125347222222222</v>
      </c>
      <c r="D20377" s="1">
        <v>13.051743</v>
      </c>
      <c r="E20377" s="1">
        <v>80.2504</v>
      </c>
      <c r="F20377" s="1">
        <v>5339.0</v>
      </c>
      <c r="G20377" s="1">
        <v>41.0</v>
      </c>
    </row>
    <row r="20378">
      <c r="A20378" s="1" t="s">
        <v>9</v>
      </c>
      <c r="B20378" s="2">
        <v>44798.0</v>
      </c>
      <c r="C20378" s="3">
        <v>0.31299768518518517</v>
      </c>
      <c r="D20378" s="1">
        <v>13.047978</v>
      </c>
      <c r="E20378" s="1">
        <v>80.249287</v>
      </c>
      <c r="F20378" s="1">
        <v>5339.0</v>
      </c>
      <c r="G20378" s="1">
        <v>36.0</v>
      </c>
    </row>
    <row r="20379">
      <c r="A20379" s="1" t="s">
        <v>8</v>
      </c>
      <c r="B20379" s="2">
        <v>44798.0</v>
      </c>
      <c r="C20379" s="3">
        <v>0.3141435185185185</v>
      </c>
      <c r="D20379" s="1">
        <v>13.044273</v>
      </c>
      <c r="E20379" s="1">
        <v>80.247938</v>
      </c>
      <c r="F20379" s="1">
        <v>5339.0</v>
      </c>
      <c r="G20379" s="1">
        <v>50.0</v>
      </c>
    </row>
    <row r="20380">
      <c r="A20380" s="1" t="s">
        <v>8</v>
      </c>
      <c r="B20380" s="2">
        <v>44798.0</v>
      </c>
      <c r="C20380" s="3">
        <v>0.31516203703703705</v>
      </c>
      <c r="D20380" s="1">
        <v>13.034546</v>
      </c>
      <c r="E20380" s="1">
        <v>80.245384</v>
      </c>
      <c r="F20380" s="1">
        <v>5339.0</v>
      </c>
      <c r="G20380" s="1">
        <v>37.0</v>
      </c>
    </row>
    <row r="20381">
      <c r="A20381" s="1" t="s">
        <v>7</v>
      </c>
      <c r="B20381" s="2">
        <v>44798.0</v>
      </c>
      <c r="C20381" s="3">
        <v>0.31537037037037036</v>
      </c>
      <c r="D20381" s="1">
        <v>13.033168</v>
      </c>
      <c r="E20381" s="1">
        <v>80.243591</v>
      </c>
      <c r="F20381" s="1">
        <v>5339.0</v>
      </c>
      <c r="G20381" s="1">
        <v>47.0</v>
      </c>
    </row>
    <row r="20382">
      <c r="A20382" s="1" t="s">
        <v>8</v>
      </c>
      <c r="B20382" s="2">
        <v>44798.0</v>
      </c>
      <c r="C20382" s="3">
        <v>0.31539351851851855</v>
      </c>
      <c r="D20382" s="1">
        <v>13.033168</v>
      </c>
      <c r="E20382" s="1">
        <v>80.243591</v>
      </c>
      <c r="F20382" s="1">
        <v>5339.0</v>
      </c>
      <c r="G20382" s="1">
        <v>47.0</v>
      </c>
    </row>
    <row r="20383">
      <c r="A20383" s="1" t="s">
        <v>8</v>
      </c>
      <c r="B20383" s="2">
        <v>44798.0</v>
      </c>
      <c r="C20383" s="3">
        <v>0.3161574074074074</v>
      </c>
      <c r="D20383" s="1">
        <v>13.030699</v>
      </c>
      <c r="E20383" s="1">
        <v>80.23919</v>
      </c>
      <c r="F20383" s="1">
        <v>5339.0</v>
      </c>
      <c r="G20383" s="1">
        <v>30.0</v>
      </c>
    </row>
    <row r="20384">
      <c r="A20384" s="1" t="s">
        <v>8</v>
      </c>
      <c r="B20384" s="2">
        <v>44798.0</v>
      </c>
      <c r="C20384" s="3">
        <v>0.31627314814814816</v>
      </c>
      <c r="D20384" s="1">
        <v>13.030699</v>
      </c>
      <c r="E20384" s="1">
        <v>80.23919</v>
      </c>
      <c r="F20384" s="1">
        <v>5339.0</v>
      </c>
      <c r="G20384" s="1">
        <v>30.0</v>
      </c>
    </row>
    <row r="20385">
      <c r="A20385" s="1" t="s">
        <v>8</v>
      </c>
      <c r="B20385" s="2">
        <v>44798.0</v>
      </c>
      <c r="C20385" s="3">
        <v>0.31631944444444443</v>
      </c>
      <c r="D20385" s="1">
        <v>13.030306</v>
      </c>
      <c r="E20385" s="1">
        <v>80.23848</v>
      </c>
      <c r="F20385" s="1">
        <v>5339.0</v>
      </c>
      <c r="G20385" s="1">
        <v>30.0</v>
      </c>
    </row>
    <row r="20386">
      <c r="A20386" s="1" t="s">
        <v>8</v>
      </c>
      <c r="B20386" s="2">
        <v>44798.0</v>
      </c>
      <c r="C20386" s="3">
        <v>0.3166319444444444</v>
      </c>
      <c r="D20386" s="1">
        <v>13.028787</v>
      </c>
      <c r="E20386" s="1">
        <v>80.23635</v>
      </c>
      <c r="F20386" s="1">
        <v>5339.0</v>
      </c>
      <c r="G20386" s="1">
        <v>51.0</v>
      </c>
    </row>
    <row r="20387">
      <c r="A20387" s="1" t="s">
        <v>8</v>
      </c>
      <c r="B20387" s="2">
        <v>44798.0</v>
      </c>
      <c r="C20387" s="3">
        <v>0.3168287037037037</v>
      </c>
      <c r="D20387" s="1">
        <v>13.027266</v>
      </c>
      <c r="E20387" s="1">
        <v>80.234152</v>
      </c>
      <c r="F20387" s="1">
        <v>5339.0</v>
      </c>
      <c r="G20387" s="1">
        <v>48.0</v>
      </c>
    </row>
    <row r="20388">
      <c r="A20388" s="1" t="s">
        <v>8</v>
      </c>
      <c r="B20388" s="2">
        <v>44798.0</v>
      </c>
      <c r="C20388" s="3">
        <v>0.31754629629629627</v>
      </c>
      <c r="D20388" s="1">
        <v>13.025976</v>
      </c>
      <c r="E20388" s="1">
        <v>80.231296</v>
      </c>
      <c r="F20388" s="1">
        <v>5339.0</v>
      </c>
      <c r="G20388" s="1">
        <v>28.0</v>
      </c>
    </row>
    <row r="20389">
      <c r="A20389" s="1" t="s">
        <v>8</v>
      </c>
      <c r="B20389" s="2">
        <v>44798.0</v>
      </c>
      <c r="C20389" s="3">
        <v>0.3183796296296296</v>
      </c>
      <c r="D20389" s="1">
        <v>13.02472</v>
      </c>
      <c r="E20389" s="1">
        <v>80.22915</v>
      </c>
      <c r="F20389" s="1">
        <v>5339.0</v>
      </c>
      <c r="G20389" s="1">
        <v>0.0</v>
      </c>
    </row>
    <row r="20390">
      <c r="A20390" s="1" t="s">
        <v>8</v>
      </c>
      <c r="B20390" s="2">
        <v>44798.0</v>
      </c>
      <c r="C20390" s="3">
        <v>0.3183796296296296</v>
      </c>
      <c r="D20390" s="1">
        <v>13.02472</v>
      </c>
      <c r="E20390" s="1">
        <v>80.22915</v>
      </c>
      <c r="F20390" s="1">
        <v>5339.0</v>
      </c>
      <c r="G20390" s="1">
        <v>0.0</v>
      </c>
    </row>
    <row r="20391">
      <c r="A20391" s="1" t="s">
        <v>7</v>
      </c>
      <c r="B20391" s="2">
        <v>44798.0</v>
      </c>
      <c r="C20391" s="3">
        <v>0.3186921296296296</v>
      </c>
      <c r="D20391" s="1">
        <v>13.022888</v>
      </c>
      <c r="E20391" s="1">
        <v>80.227108</v>
      </c>
      <c r="F20391" s="1">
        <v>5339.0</v>
      </c>
      <c r="G20391" s="1">
        <v>51.0</v>
      </c>
    </row>
    <row r="20392">
      <c r="A20392" s="1" t="s">
        <v>8</v>
      </c>
      <c r="B20392" s="2">
        <v>44798.0</v>
      </c>
      <c r="C20392" s="3">
        <v>0.31875</v>
      </c>
      <c r="D20392" s="1">
        <v>13.022888</v>
      </c>
      <c r="E20392" s="1">
        <v>80.227108</v>
      </c>
      <c r="F20392" s="1">
        <v>5339.0</v>
      </c>
      <c r="G20392" s="1">
        <v>51.0</v>
      </c>
    </row>
    <row r="20393">
      <c r="A20393" s="1" t="s">
        <v>8</v>
      </c>
      <c r="B20393" s="2">
        <v>44798.0</v>
      </c>
      <c r="C20393" s="3">
        <v>0.3203009259259259</v>
      </c>
      <c r="D20393" s="1">
        <v>13.01196</v>
      </c>
      <c r="E20393" s="1">
        <v>80.22724</v>
      </c>
      <c r="F20393" s="1">
        <v>5339.0</v>
      </c>
      <c r="G20393" s="1">
        <v>26.0</v>
      </c>
    </row>
    <row r="20394">
      <c r="A20394" s="1" t="s">
        <v>8</v>
      </c>
      <c r="B20394" s="2">
        <v>44798.0</v>
      </c>
      <c r="C20394" s="3">
        <v>0.32105324074074076</v>
      </c>
      <c r="D20394" s="1">
        <v>13.010623</v>
      </c>
      <c r="E20394" s="1">
        <v>80.225166</v>
      </c>
      <c r="F20394" s="1">
        <v>5339.0</v>
      </c>
      <c r="G20394" s="1">
        <v>39.0</v>
      </c>
    </row>
    <row r="20395">
      <c r="A20395" s="1" t="s">
        <v>8</v>
      </c>
      <c r="B20395" s="2">
        <v>44798.0</v>
      </c>
      <c r="C20395" s="3">
        <v>0.32407407407407407</v>
      </c>
      <c r="D20395" s="1">
        <v>13.004912</v>
      </c>
      <c r="E20395" s="1">
        <v>80.201447</v>
      </c>
      <c r="F20395" s="1">
        <v>5339.0</v>
      </c>
      <c r="G20395" s="1">
        <v>43.0</v>
      </c>
    </row>
    <row r="20396">
      <c r="A20396" s="1" t="s">
        <v>8</v>
      </c>
      <c r="B20396" s="2">
        <v>44798.0</v>
      </c>
      <c r="C20396" s="3">
        <v>0.3254166666666667</v>
      </c>
      <c r="D20396" s="1">
        <v>13.000835</v>
      </c>
      <c r="E20396" s="1">
        <v>80.195326</v>
      </c>
      <c r="F20396" s="1">
        <v>5339.0</v>
      </c>
      <c r="G20396" s="1">
        <v>45.0</v>
      </c>
    </row>
    <row r="20397">
      <c r="A20397" s="1" t="s">
        <v>7</v>
      </c>
      <c r="B20397" s="2">
        <v>44798.0</v>
      </c>
      <c r="C20397" s="3">
        <v>0.3259375</v>
      </c>
      <c r="D20397" s="1">
        <v>12.998653</v>
      </c>
      <c r="E20397" s="1">
        <v>80.192594</v>
      </c>
      <c r="F20397" s="1">
        <v>5339.0</v>
      </c>
      <c r="G20397" s="1">
        <v>48.0</v>
      </c>
    </row>
    <row r="20398">
      <c r="A20398" s="1" t="s">
        <v>8</v>
      </c>
      <c r="B20398" s="2">
        <v>44798.0</v>
      </c>
      <c r="C20398" s="3">
        <v>0.3266898148148148</v>
      </c>
      <c r="D20398" s="1">
        <v>12.995206</v>
      </c>
      <c r="E20398" s="1">
        <v>80.187932</v>
      </c>
      <c r="F20398" s="1">
        <v>5339.0</v>
      </c>
      <c r="G20398" s="1">
        <v>53.0</v>
      </c>
    </row>
    <row r="20399">
      <c r="A20399" s="1" t="s">
        <v>10</v>
      </c>
      <c r="B20399" s="2">
        <v>44798.0</v>
      </c>
      <c r="C20399" s="3">
        <v>0.327037037037037</v>
      </c>
      <c r="D20399" s="1">
        <v>12.965477</v>
      </c>
      <c r="E20399" s="1">
        <v>80.205454</v>
      </c>
      <c r="F20399" s="1">
        <v>3143.0</v>
      </c>
      <c r="G20399" s="1">
        <v>36.0</v>
      </c>
    </row>
    <row r="20400">
      <c r="A20400" s="1" t="s">
        <v>8</v>
      </c>
      <c r="B20400" s="2">
        <v>44798.0</v>
      </c>
      <c r="C20400" s="3">
        <v>0.32722222222222225</v>
      </c>
      <c r="D20400" s="1">
        <v>12.993996</v>
      </c>
      <c r="E20400" s="1">
        <v>80.18555</v>
      </c>
      <c r="F20400" s="1">
        <v>5339.0</v>
      </c>
      <c r="G20400" s="1">
        <v>0.0</v>
      </c>
    </row>
    <row r="20401">
      <c r="A20401" s="1" t="s">
        <v>8</v>
      </c>
      <c r="B20401" s="2">
        <v>44798.0</v>
      </c>
      <c r="C20401" s="3">
        <v>0.3279398148148148</v>
      </c>
      <c r="D20401" s="1">
        <v>12.988612</v>
      </c>
      <c r="E20401" s="1">
        <v>80.177886</v>
      </c>
      <c r="F20401" s="1">
        <v>5339.0</v>
      </c>
      <c r="G20401" s="1">
        <v>44.0</v>
      </c>
    </row>
    <row r="20402">
      <c r="A20402" s="1" t="s">
        <v>8</v>
      </c>
      <c r="B20402" s="2">
        <v>44798.0</v>
      </c>
      <c r="C20402" s="3">
        <v>0.32797453703703705</v>
      </c>
      <c r="D20402" s="1">
        <v>12.988612</v>
      </c>
      <c r="E20402" s="1">
        <v>80.177886</v>
      </c>
      <c r="F20402" s="1">
        <v>5339.0</v>
      </c>
      <c r="G20402" s="1">
        <v>44.0</v>
      </c>
    </row>
    <row r="20403">
      <c r="A20403" s="1" t="s">
        <v>8</v>
      </c>
      <c r="B20403" s="2">
        <v>44798.0</v>
      </c>
      <c r="C20403" s="3">
        <v>0.3279976851851852</v>
      </c>
      <c r="D20403" s="1">
        <v>12.988612</v>
      </c>
      <c r="E20403" s="1">
        <v>80.177886</v>
      </c>
      <c r="F20403" s="1">
        <v>5339.0</v>
      </c>
      <c r="G20403" s="1">
        <v>44.0</v>
      </c>
    </row>
    <row r="20404">
      <c r="A20404" s="1" t="s">
        <v>10</v>
      </c>
      <c r="B20404" s="2">
        <v>44798.0</v>
      </c>
      <c r="C20404" s="3">
        <v>0.32913194444444444</v>
      </c>
      <c r="D20404" s="1">
        <v>12.964794</v>
      </c>
      <c r="E20404" s="1">
        <v>80.196318</v>
      </c>
      <c r="F20404" s="1">
        <v>3143.0</v>
      </c>
      <c r="G20404" s="1">
        <v>0.0</v>
      </c>
    </row>
    <row r="20405">
      <c r="A20405" s="1" t="s">
        <v>8</v>
      </c>
      <c r="B20405" s="2">
        <v>44798.0</v>
      </c>
      <c r="C20405" s="3">
        <v>0.32979166666666665</v>
      </c>
      <c r="D20405" s="1">
        <v>12.983864</v>
      </c>
      <c r="E20405" s="1">
        <v>80.170862</v>
      </c>
      <c r="F20405" s="1">
        <v>5339.0</v>
      </c>
      <c r="G20405" s="1">
        <v>60.0</v>
      </c>
    </row>
    <row r="20406">
      <c r="A20406" s="1" t="s">
        <v>8</v>
      </c>
      <c r="B20406" s="2">
        <v>44798.0</v>
      </c>
      <c r="C20406" s="3">
        <v>0.3303587962962963</v>
      </c>
      <c r="D20406" s="1">
        <v>12.9804</v>
      </c>
      <c r="E20406" s="1">
        <v>80.164789</v>
      </c>
      <c r="F20406" s="1">
        <v>5339.0</v>
      </c>
      <c r="G20406" s="1">
        <v>54.0</v>
      </c>
    </row>
    <row r="20407">
      <c r="A20407" s="1" t="s">
        <v>7</v>
      </c>
      <c r="B20407" s="2">
        <v>44798.0</v>
      </c>
      <c r="C20407" s="3">
        <v>0.3311458333333333</v>
      </c>
      <c r="D20407" s="1">
        <v>12.978564</v>
      </c>
      <c r="E20407" s="1">
        <v>80.160928</v>
      </c>
      <c r="F20407" s="1">
        <v>5339.0</v>
      </c>
      <c r="G20407" s="1">
        <v>52.0</v>
      </c>
    </row>
    <row r="20408">
      <c r="A20408" s="1" t="s">
        <v>7</v>
      </c>
      <c r="B20408" s="2">
        <v>44798.0</v>
      </c>
      <c r="C20408" s="3">
        <v>0.33133101851851854</v>
      </c>
      <c r="D20408" s="1">
        <v>12.97693</v>
      </c>
      <c r="E20408" s="1">
        <v>80.158557</v>
      </c>
      <c r="F20408" s="1">
        <v>5339.0</v>
      </c>
      <c r="G20408" s="1">
        <v>53.0</v>
      </c>
    </row>
    <row r="20409">
      <c r="A20409" s="1" t="s">
        <v>8</v>
      </c>
      <c r="B20409" s="2">
        <v>44798.0</v>
      </c>
      <c r="C20409" s="3">
        <v>0.3325925925925926</v>
      </c>
      <c r="D20409" s="1">
        <v>12.971786</v>
      </c>
      <c r="E20409" s="1">
        <v>80.151272</v>
      </c>
      <c r="F20409" s="1">
        <v>5339.0</v>
      </c>
      <c r="G20409" s="1">
        <v>21.0</v>
      </c>
    </row>
    <row r="20410">
      <c r="A20410" s="1" t="s">
        <v>8</v>
      </c>
      <c r="B20410" s="2">
        <v>44798.0</v>
      </c>
      <c r="C20410" s="3">
        <v>0.33297453703703705</v>
      </c>
      <c r="D20410" s="1">
        <v>12.968347</v>
      </c>
      <c r="E20410" s="1">
        <v>80.149593</v>
      </c>
      <c r="F20410" s="1">
        <v>5339.0</v>
      </c>
      <c r="G20410" s="1">
        <v>46.0</v>
      </c>
    </row>
    <row r="20411">
      <c r="A20411" s="1" t="s">
        <v>10</v>
      </c>
      <c r="B20411" s="2">
        <v>44798.0</v>
      </c>
      <c r="C20411" s="3">
        <v>0.3330092592592593</v>
      </c>
      <c r="D20411" s="1">
        <v>12.962693</v>
      </c>
      <c r="E20411" s="1">
        <v>80.18767</v>
      </c>
      <c r="F20411" s="1">
        <v>3143.0</v>
      </c>
      <c r="G20411" s="1">
        <v>11.0</v>
      </c>
    </row>
    <row r="20412">
      <c r="A20412" s="1" t="s">
        <v>8</v>
      </c>
      <c r="B20412" s="2">
        <v>44798.0</v>
      </c>
      <c r="C20412" s="3">
        <v>0.3333564814814815</v>
      </c>
      <c r="D20412" s="1">
        <v>12.966655</v>
      </c>
      <c r="E20412" s="1">
        <v>80.14887</v>
      </c>
      <c r="F20412" s="1">
        <v>5339.0</v>
      </c>
      <c r="G20412" s="1">
        <v>34.0</v>
      </c>
    </row>
    <row r="20413">
      <c r="A20413" s="1" t="s">
        <v>8</v>
      </c>
      <c r="B20413" s="2">
        <v>44798.0</v>
      </c>
      <c r="C20413" s="3">
        <v>0.33381944444444445</v>
      </c>
      <c r="D20413" s="1">
        <v>12.963218</v>
      </c>
      <c r="E20413" s="1">
        <v>80.147007</v>
      </c>
      <c r="F20413" s="1">
        <v>5339.0</v>
      </c>
      <c r="G20413" s="1">
        <v>43.0</v>
      </c>
    </row>
    <row r="20414">
      <c r="A20414" s="1" t="s">
        <v>8</v>
      </c>
      <c r="B20414" s="2">
        <v>44798.0</v>
      </c>
      <c r="C20414" s="3">
        <v>0.3341087962962963</v>
      </c>
      <c r="D20414" s="1">
        <v>12.961722</v>
      </c>
      <c r="E20414" s="1">
        <v>80.146198</v>
      </c>
      <c r="F20414" s="1">
        <v>5339.0</v>
      </c>
      <c r="G20414" s="1">
        <v>31.0</v>
      </c>
    </row>
    <row r="20415">
      <c r="A20415" s="1" t="s">
        <v>8</v>
      </c>
      <c r="B20415" s="2">
        <v>44798.0</v>
      </c>
      <c r="C20415" s="3">
        <v>0.3341087962962963</v>
      </c>
      <c r="D20415" s="1">
        <v>12.961019</v>
      </c>
      <c r="E20415" s="1">
        <v>80.145828</v>
      </c>
      <c r="F20415" s="1">
        <v>5339.0</v>
      </c>
      <c r="G20415" s="1">
        <v>26.0</v>
      </c>
    </row>
    <row r="20416">
      <c r="A20416" s="1" t="s">
        <v>8</v>
      </c>
      <c r="B20416" s="2">
        <v>44798.0</v>
      </c>
      <c r="C20416" s="3">
        <v>0.33412037037037035</v>
      </c>
      <c r="D20416" s="1">
        <v>12.961019</v>
      </c>
      <c r="E20416" s="1">
        <v>80.145828</v>
      </c>
      <c r="F20416" s="1">
        <v>5339.0</v>
      </c>
      <c r="G20416" s="1">
        <v>26.0</v>
      </c>
    </row>
    <row r="20417">
      <c r="A20417" s="1" t="s">
        <v>8</v>
      </c>
      <c r="B20417" s="2">
        <v>44798.0</v>
      </c>
      <c r="C20417" s="3">
        <v>0.33439814814814817</v>
      </c>
      <c r="D20417" s="1">
        <v>12.959577</v>
      </c>
      <c r="E20417" s="1">
        <v>80.145048</v>
      </c>
      <c r="F20417" s="1">
        <v>5339.0</v>
      </c>
      <c r="G20417" s="1">
        <v>35.0</v>
      </c>
    </row>
    <row r="20418">
      <c r="A20418" s="1" t="s">
        <v>10</v>
      </c>
      <c r="B20418" s="2">
        <v>44798.0</v>
      </c>
      <c r="C20418" s="3">
        <v>0.33497685185185183</v>
      </c>
      <c r="D20418" s="1">
        <v>12.955675</v>
      </c>
      <c r="E20418" s="1">
        <v>80.18696</v>
      </c>
      <c r="F20418" s="1">
        <v>3143.0</v>
      </c>
      <c r="G20418" s="1">
        <v>12.0</v>
      </c>
    </row>
    <row r="20419">
      <c r="A20419" s="1" t="s">
        <v>8</v>
      </c>
      <c r="B20419" s="2">
        <v>44798.0</v>
      </c>
      <c r="C20419" s="3">
        <v>0.33511574074074074</v>
      </c>
      <c r="D20419" s="1">
        <v>12.956008</v>
      </c>
      <c r="E20419" s="1">
        <v>80.143191</v>
      </c>
      <c r="F20419" s="1">
        <v>5339.0</v>
      </c>
      <c r="G20419" s="1">
        <v>27.0</v>
      </c>
    </row>
    <row r="20420">
      <c r="A20420" s="1" t="s">
        <v>8</v>
      </c>
      <c r="B20420" s="2">
        <v>44798.0</v>
      </c>
      <c r="C20420" s="3">
        <v>0.3353125</v>
      </c>
      <c r="D20420" s="1">
        <v>12.953787</v>
      </c>
      <c r="E20420" s="1">
        <v>80.186665</v>
      </c>
      <c r="F20420" s="1">
        <v>3143.0</v>
      </c>
      <c r="G20420" s="1">
        <v>30.0</v>
      </c>
    </row>
    <row r="20421">
      <c r="A20421" s="1" t="s">
        <v>8</v>
      </c>
      <c r="B20421" s="2">
        <v>44798.0</v>
      </c>
      <c r="C20421" s="3">
        <v>0.3358564814814815</v>
      </c>
      <c r="D20421" s="1">
        <v>12.951137</v>
      </c>
      <c r="E20421" s="1">
        <v>80.140161</v>
      </c>
      <c r="F20421" s="1">
        <v>5339.0</v>
      </c>
      <c r="G20421" s="1">
        <v>35.0</v>
      </c>
    </row>
    <row r="20422">
      <c r="A20422" s="1" t="s">
        <v>8</v>
      </c>
      <c r="B20422" s="2">
        <v>44798.0</v>
      </c>
      <c r="C20422" s="3">
        <v>0.3359722222222222</v>
      </c>
      <c r="D20422" s="1">
        <v>12.950331</v>
      </c>
      <c r="E20422" s="1">
        <v>80.139566</v>
      </c>
      <c r="F20422" s="1">
        <v>5339.0</v>
      </c>
      <c r="G20422" s="1">
        <v>42.0</v>
      </c>
    </row>
    <row r="20423">
      <c r="A20423" s="1" t="s">
        <v>8</v>
      </c>
      <c r="B20423" s="2">
        <v>44798.0</v>
      </c>
      <c r="C20423" s="3">
        <v>0.33743055555555557</v>
      </c>
      <c r="D20423" s="1">
        <v>12.946362</v>
      </c>
      <c r="E20423" s="1">
        <v>80.183759</v>
      </c>
      <c r="F20423" s="1">
        <v>3143.0</v>
      </c>
      <c r="G20423" s="1">
        <v>34.0</v>
      </c>
    </row>
    <row r="20424">
      <c r="A20424" s="1" t="s">
        <v>8</v>
      </c>
      <c r="B20424" s="2">
        <v>44798.0</v>
      </c>
      <c r="C20424" s="3">
        <v>0.33751157407407406</v>
      </c>
      <c r="D20424" s="1">
        <v>12.942478</v>
      </c>
      <c r="E20424" s="1">
        <v>80.133193</v>
      </c>
      <c r="F20424" s="1">
        <v>5339.0</v>
      </c>
      <c r="G20424" s="1">
        <v>26.0</v>
      </c>
    </row>
    <row r="20425">
      <c r="A20425" s="1" t="s">
        <v>8</v>
      </c>
      <c r="B20425" s="2">
        <v>44798.0</v>
      </c>
      <c r="C20425" s="3">
        <v>0.33753472222222225</v>
      </c>
      <c r="D20425" s="1">
        <v>12.942478</v>
      </c>
      <c r="E20425" s="1">
        <v>80.133193</v>
      </c>
      <c r="F20425" s="1">
        <v>5339.0</v>
      </c>
      <c r="G20425" s="1">
        <v>26.0</v>
      </c>
    </row>
    <row r="20426">
      <c r="A20426" s="1" t="s">
        <v>8</v>
      </c>
      <c r="B20426" s="2">
        <v>44798.0</v>
      </c>
      <c r="C20426" s="3">
        <v>0.33795138888888887</v>
      </c>
      <c r="D20426" s="1">
        <v>12.939774</v>
      </c>
      <c r="E20426" s="1">
        <v>80.130411</v>
      </c>
      <c r="F20426" s="1">
        <v>5339.0</v>
      </c>
      <c r="G20426" s="1">
        <v>40.0</v>
      </c>
    </row>
    <row r="20427">
      <c r="A20427" s="1" t="s">
        <v>8</v>
      </c>
      <c r="B20427" s="2">
        <v>44798.0</v>
      </c>
      <c r="C20427" s="3">
        <v>0.3381018518518519</v>
      </c>
      <c r="D20427" s="1">
        <v>12.938985</v>
      </c>
      <c r="E20427" s="1">
        <v>80.12968</v>
      </c>
      <c r="F20427" s="1">
        <v>5339.0</v>
      </c>
      <c r="G20427" s="1">
        <v>42.0</v>
      </c>
    </row>
    <row r="20428">
      <c r="A20428" s="1" t="s">
        <v>8</v>
      </c>
      <c r="B20428" s="2">
        <v>44798.0</v>
      </c>
      <c r="C20428" s="3">
        <v>0.33815972222222224</v>
      </c>
      <c r="D20428" s="1">
        <v>12.938119</v>
      </c>
      <c r="E20428" s="1">
        <v>80.128941</v>
      </c>
      <c r="F20428" s="1">
        <v>5339.0</v>
      </c>
      <c r="G20428" s="1">
        <v>44.0</v>
      </c>
    </row>
    <row r="20429">
      <c r="A20429" s="1" t="s">
        <v>8</v>
      </c>
      <c r="B20429" s="2">
        <v>44798.0</v>
      </c>
      <c r="C20429" s="3">
        <v>0.33868055555555554</v>
      </c>
      <c r="D20429" s="1">
        <v>12.935006</v>
      </c>
      <c r="E20429" s="1">
        <v>80.126209</v>
      </c>
      <c r="F20429" s="1">
        <v>5339.0</v>
      </c>
      <c r="G20429" s="1">
        <v>44.0</v>
      </c>
    </row>
    <row r="20430">
      <c r="A20430" s="1" t="s">
        <v>8</v>
      </c>
      <c r="B20430" s="2">
        <v>44798.0</v>
      </c>
      <c r="C20430" s="3">
        <v>0.3393055555555556</v>
      </c>
      <c r="D20430" s="1">
        <v>12.931292</v>
      </c>
      <c r="E20430" s="1">
        <v>80.122601</v>
      </c>
      <c r="F20430" s="1">
        <v>5339.0</v>
      </c>
      <c r="G20430" s="1">
        <v>24.0</v>
      </c>
    </row>
    <row r="20431">
      <c r="A20431" s="1" t="s">
        <v>8</v>
      </c>
      <c r="B20431" s="2">
        <v>44798.0</v>
      </c>
      <c r="C20431" s="3">
        <v>0.339849537037037</v>
      </c>
      <c r="D20431" s="1">
        <v>12.927528</v>
      </c>
      <c r="E20431" s="1">
        <v>80.118748</v>
      </c>
      <c r="F20431" s="1">
        <v>5339.0</v>
      </c>
      <c r="G20431" s="1">
        <v>48.0</v>
      </c>
    </row>
    <row r="20432">
      <c r="A20432" s="1" t="s">
        <v>7</v>
      </c>
      <c r="B20432" s="2">
        <v>44798.0</v>
      </c>
      <c r="C20432" s="3">
        <v>0.3413773148148148</v>
      </c>
      <c r="D20432" s="1">
        <v>12.920496</v>
      </c>
      <c r="E20432" s="1">
        <v>80.111662</v>
      </c>
      <c r="F20432" s="1">
        <v>5339.0</v>
      </c>
      <c r="G20432" s="1">
        <v>52.0</v>
      </c>
    </row>
    <row r="20433">
      <c r="A20433" s="1" t="s">
        <v>8</v>
      </c>
      <c r="B20433" s="2">
        <v>44798.0</v>
      </c>
      <c r="C20433" s="3">
        <v>0.34207175925925926</v>
      </c>
      <c r="D20433" s="1">
        <v>12.917098</v>
      </c>
      <c r="E20433" s="1">
        <v>80.107442</v>
      </c>
      <c r="F20433" s="1">
        <v>5339.0</v>
      </c>
      <c r="G20433" s="1">
        <v>0.0</v>
      </c>
    </row>
    <row r="20434">
      <c r="A20434" s="1" t="s">
        <v>8</v>
      </c>
      <c r="B20434" s="2">
        <v>44798.0</v>
      </c>
      <c r="C20434" s="3">
        <v>0.3420949074074074</v>
      </c>
      <c r="D20434" s="1">
        <v>12.917098</v>
      </c>
      <c r="E20434" s="1">
        <v>80.107442</v>
      </c>
      <c r="F20434" s="1">
        <v>5339.0</v>
      </c>
      <c r="G20434" s="1">
        <v>0.0</v>
      </c>
    </row>
    <row r="20435">
      <c r="A20435" s="1" t="s">
        <v>7</v>
      </c>
      <c r="B20435" s="2">
        <v>44798.0</v>
      </c>
      <c r="C20435" s="3">
        <v>0.3445023148148148</v>
      </c>
      <c r="D20435" s="1">
        <v>12.918982</v>
      </c>
      <c r="E20435" s="1">
        <v>80.174113</v>
      </c>
      <c r="F20435" s="1">
        <v>3143.0</v>
      </c>
      <c r="G20435" s="1">
        <v>59.0</v>
      </c>
    </row>
    <row r="20436">
      <c r="A20436" s="1" t="s">
        <v>8</v>
      </c>
      <c r="B20436" s="2">
        <v>44798.0</v>
      </c>
      <c r="C20436" s="3">
        <v>0.34501157407407407</v>
      </c>
      <c r="D20436" s="1">
        <v>12.905336</v>
      </c>
      <c r="E20436" s="1">
        <v>80.095699</v>
      </c>
      <c r="F20436" s="1">
        <v>5339.0</v>
      </c>
      <c r="G20436" s="1">
        <v>0.0</v>
      </c>
    </row>
    <row r="20437">
      <c r="A20437" s="1" t="s">
        <v>8</v>
      </c>
      <c r="B20437" s="2">
        <v>44798.0</v>
      </c>
      <c r="C20437" s="3">
        <v>0.34501157407407407</v>
      </c>
      <c r="D20437" s="1">
        <v>12.905336</v>
      </c>
      <c r="E20437" s="1">
        <v>80.095699</v>
      </c>
      <c r="F20437" s="1">
        <v>5339.0</v>
      </c>
      <c r="G20437" s="1">
        <v>0.0</v>
      </c>
    </row>
    <row r="20438">
      <c r="A20438" s="1" t="s">
        <v>8</v>
      </c>
      <c r="B20438" s="2">
        <v>44798.0</v>
      </c>
      <c r="C20438" s="3">
        <v>0.34502314814814816</v>
      </c>
      <c r="D20438" s="1">
        <v>12.905336</v>
      </c>
      <c r="E20438" s="1">
        <v>80.095699</v>
      </c>
      <c r="F20438" s="1">
        <v>5339.0</v>
      </c>
      <c r="G20438" s="1">
        <v>0.0</v>
      </c>
    </row>
    <row r="20439">
      <c r="A20439" s="1" t="s">
        <v>8</v>
      </c>
      <c r="B20439" s="2">
        <v>44798.0</v>
      </c>
      <c r="C20439" s="3">
        <v>0.34502314814814816</v>
      </c>
      <c r="D20439" s="1">
        <v>12.905336</v>
      </c>
      <c r="E20439" s="1">
        <v>80.095699</v>
      </c>
      <c r="F20439" s="1">
        <v>5339.0</v>
      </c>
      <c r="G20439" s="1">
        <v>0.0</v>
      </c>
    </row>
    <row r="20440">
      <c r="A20440" s="1" t="s">
        <v>8</v>
      </c>
      <c r="B20440" s="2">
        <v>44798.0</v>
      </c>
      <c r="C20440" s="3">
        <v>0.3450347222222222</v>
      </c>
      <c r="D20440" s="1">
        <v>12.905336</v>
      </c>
      <c r="E20440" s="1">
        <v>80.095699</v>
      </c>
      <c r="F20440" s="1">
        <v>5339.0</v>
      </c>
      <c r="G20440" s="1">
        <v>0.0</v>
      </c>
    </row>
    <row r="20441">
      <c r="A20441" s="1" t="s">
        <v>8</v>
      </c>
      <c r="B20441" s="2">
        <v>44798.0</v>
      </c>
      <c r="C20441" s="3">
        <v>0.34521990740740743</v>
      </c>
      <c r="D20441" s="1">
        <v>12.904184</v>
      </c>
      <c r="E20441" s="1">
        <v>80.094851</v>
      </c>
      <c r="F20441" s="1">
        <v>5339.0</v>
      </c>
      <c r="G20441" s="1">
        <v>34.0</v>
      </c>
    </row>
    <row r="20442">
      <c r="A20442" s="1" t="s">
        <v>8</v>
      </c>
      <c r="B20442" s="2">
        <v>44798.0</v>
      </c>
      <c r="C20442" s="3">
        <v>0.34530092592592593</v>
      </c>
      <c r="D20442" s="1">
        <v>12.903488</v>
      </c>
      <c r="E20442" s="1">
        <v>80.094247</v>
      </c>
      <c r="F20442" s="1">
        <v>5339.0</v>
      </c>
      <c r="G20442" s="1">
        <v>37.0</v>
      </c>
    </row>
    <row r="20443">
      <c r="A20443" s="1" t="s">
        <v>8</v>
      </c>
      <c r="B20443" s="2">
        <v>44798.0</v>
      </c>
      <c r="C20443" s="3">
        <v>0.34575231481481483</v>
      </c>
      <c r="D20443" s="1">
        <v>12.899414</v>
      </c>
      <c r="E20443" s="1">
        <v>80.091084</v>
      </c>
      <c r="F20443" s="1">
        <v>5339.0</v>
      </c>
      <c r="G20443" s="1">
        <v>40.0</v>
      </c>
    </row>
    <row r="20444">
      <c r="A20444" s="1" t="s">
        <v>8</v>
      </c>
      <c r="B20444" s="2">
        <v>44798.0</v>
      </c>
      <c r="C20444" s="3">
        <v>0.34756944444444443</v>
      </c>
      <c r="D20444" s="1">
        <v>12.897265</v>
      </c>
      <c r="E20444" s="1">
        <v>80.08944</v>
      </c>
      <c r="F20444" s="1">
        <v>5339.0</v>
      </c>
      <c r="G20444" s="1">
        <v>18.0</v>
      </c>
    </row>
    <row r="20445">
      <c r="A20445" s="1" t="s">
        <v>8</v>
      </c>
      <c r="B20445" s="2">
        <v>44798.0</v>
      </c>
      <c r="C20445" s="3">
        <v>0.34770833333333334</v>
      </c>
      <c r="D20445" s="1">
        <v>12.922615</v>
      </c>
      <c r="E20445" s="1">
        <v>80.150109</v>
      </c>
      <c r="F20445" s="1">
        <v>3143.0</v>
      </c>
      <c r="G20445" s="1">
        <v>50.0</v>
      </c>
    </row>
    <row r="20446">
      <c r="A20446" s="1" t="s">
        <v>8</v>
      </c>
      <c r="B20446" s="2">
        <v>44798.0</v>
      </c>
      <c r="C20446" s="3">
        <v>0.3477777777777778</v>
      </c>
      <c r="D20446" s="1">
        <v>12.922615</v>
      </c>
      <c r="E20446" s="1">
        <v>80.150109</v>
      </c>
      <c r="F20446" s="1">
        <v>3143.0</v>
      </c>
      <c r="G20446" s="1">
        <v>50.0</v>
      </c>
    </row>
    <row r="20447">
      <c r="A20447" s="1" t="s">
        <v>7</v>
      </c>
      <c r="B20447" s="2">
        <v>44798.0</v>
      </c>
      <c r="C20447" s="3">
        <v>0.34783564814814816</v>
      </c>
      <c r="D20447" s="1">
        <v>12.895232</v>
      </c>
      <c r="E20447" s="1">
        <v>80.087918</v>
      </c>
      <c r="F20447" s="1">
        <v>5339.0</v>
      </c>
      <c r="G20447" s="1">
        <v>49.0</v>
      </c>
    </row>
    <row r="20448">
      <c r="A20448" s="1" t="s">
        <v>8</v>
      </c>
      <c r="B20448" s="2">
        <v>44798.0</v>
      </c>
      <c r="C20448" s="3">
        <v>0.34814814814814815</v>
      </c>
      <c r="D20448" s="1">
        <v>12.892941</v>
      </c>
      <c r="E20448" s="1">
        <v>80.086201</v>
      </c>
      <c r="F20448" s="1">
        <v>5339.0</v>
      </c>
      <c r="G20448" s="1">
        <v>56.0</v>
      </c>
    </row>
    <row r="20449">
      <c r="A20449" s="1" t="s">
        <v>8</v>
      </c>
      <c r="B20449" s="2">
        <v>44798.0</v>
      </c>
      <c r="C20449" s="3">
        <v>0.3485416666666667</v>
      </c>
      <c r="D20449" s="1">
        <v>12.888468</v>
      </c>
      <c r="E20449" s="1">
        <v>80.083994</v>
      </c>
      <c r="F20449" s="1">
        <v>5339.0</v>
      </c>
      <c r="G20449" s="1">
        <v>47.0</v>
      </c>
    </row>
    <row r="20450">
      <c r="A20450" s="1" t="s">
        <v>8</v>
      </c>
      <c r="B20450" s="2">
        <v>44798.0</v>
      </c>
      <c r="C20450" s="3">
        <v>0.3486111111111111</v>
      </c>
      <c r="D20450" s="1">
        <v>12.888468</v>
      </c>
      <c r="E20450" s="1">
        <v>80.083994</v>
      </c>
      <c r="F20450" s="1">
        <v>5339.0</v>
      </c>
      <c r="G20450" s="1">
        <v>47.0</v>
      </c>
    </row>
    <row r="20451">
      <c r="A20451" s="1" t="s">
        <v>8</v>
      </c>
      <c r="B20451" s="2">
        <v>44798.0</v>
      </c>
      <c r="C20451" s="3">
        <v>0.34974537037037035</v>
      </c>
      <c r="D20451" s="1">
        <v>12.922339</v>
      </c>
      <c r="E20451" s="1">
        <v>80.140085</v>
      </c>
      <c r="F20451" s="1">
        <v>3143.0</v>
      </c>
      <c r="G20451" s="1">
        <v>26.0</v>
      </c>
    </row>
    <row r="20452">
      <c r="A20452" s="1" t="s">
        <v>8</v>
      </c>
      <c r="B20452" s="2">
        <v>44798.0</v>
      </c>
      <c r="C20452" s="3">
        <v>0.3514236111111111</v>
      </c>
      <c r="D20452" s="1">
        <v>12.922714</v>
      </c>
      <c r="E20452" s="1">
        <v>80.131186</v>
      </c>
      <c r="F20452" s="1">
        <v>3143.0</v>
      </c>
      <c r="G20452" s="1">
        <v>43.0</v>
      </c>
    </row>
    <row r="20453">
      <c r="A20453" s="1" t="s">
        <v>7</v>
      </c>
      <c r="B20453" s="2">
        <v>44798.0</v>
      </c>
      <c r="C20453" s="3">
        <v>0.3547800925925926</v>
      </c>
      <c r="D20453" s="1">
        <v>12.921069</v>
      </c>
      <c r="E20453" s="1">
        <v>80.112353</v>
      </c>
      <c r="F20453" s="1">
        <v>3143.0</v>
      </c>
      <c r="G20453" s="1">
        <v>49.0</v>
      </c>
    </row>
    <row r="20454">
      <c r="A20454" s="1" t="s">
        <v>7</v>
      </c>
      <c r="B20454" s="2">
        <v>44798.0</v>
      </c>
      <c r="C20454" s="3">
        <v>0.3548611111111111</v>
      </c>
      <c r="D20454" s="1">
        <v>12.921069</v>
      </c>
      <c r="E20454" s="1">
        <v>80.112353</v>
      </c>
      <c r="F20454" s="1">
        <v>3143.0</v>
      </c>
      <c r="G20454" s="1">
        <v>49.0</v>
      </c>
    </row>
    <row r="20455">
      <c r="A20455" s="1" t="s">
        <v>8</v>
      </c>
      <c r="B20455" s="2">
        <v>44798.0</v>
      </c>
      <c r="C20455" s="3">
        <v>0.3553125</v>
      </c>
      <c r="D20455" s="1">
        <v>12.91746</v>
      </c>
      <c r="E20455" s="1">
        <v>80.107923</v>
      </c>
      <c r="F20455" s="1">
        <v>3143.0</v>
      </c>
      <c r="G20455" s="1">
        <v>48.0</v>
      </c>
    </row>
    <row r="20456">
      <c r="A20456" s="1" t="s">
        <v>8</v>
      </c>
      <c r="B20456" s="2">
        <v>44798.0</v>
      </c>
      <c r="C20456" s="3">
        <v>0.35563657407407406</v>
      </c>
      <c r="D20456" s="1">
        <v>12.916011</v>
      </c>
      <c r="E20456" s="1">
        <v>80.105368</v>
      </c>
      <c r="F20456" s="1">
        <v>3143.0</v>
      </c>
      <c r="G20456" s="1">
        <v>49.0</v>
      </c>
    </row>
    <row r="20457">
      <c r="A20457" s="1" t="s">
        <v>7</v>
      </c>
      <c r="B20457" s="2">
        <v>44798.0</v>
      </c>
      <c r="C20457" s="3">
        <v>0.35582175925925924</v>
      </c>
      <c r="D20457" s="1">
        <v>12.91469</v>
      </c>
      <c r="E20457" s="1">
        <v>80.102932</v>
      </c>
      <c r="F20457" s="1">
        <v>3143.0</v>
      </c>
      <c r="G20457" s="1">
        <v>51.0</v>
      </c>
    </row>
    <row r="20458">
      <c r="A20458" s="1" t="s">
        <v>8</v>
      </c>
      <c r="B20458" s="2">
        <v>44798.0</v>
      </c>
      <c r="C20458" s="3">
        <v>0.35594907407407406</v>
      </c>
      <c r="D20458" s="1">
        <v>12.913946</v>
      </c>
      <c r="E20458" s="1">
        <v>80.101944</v>
      </c>
      <c r="F20458" s="1">
        <v>3143.0</v>
      </c>
      <c r="G20458" s="1">
        <v>47.0</v>
      </c>
    </row>
    <row r="20459">
      <c r="A20459" s="1" t="s">
        <v>9</v>
      </c>
      <c r="B20459" s="2">
        <v>44798.0</v>
      </c>
      <c r="C20459" s="3">
        <v>0.3569675925925926</v>
      </c>
      <c r="D20459" s="1">
        <v>12.908915</v>
      </c>
      <c r="E20459" s="1">
        <v>80.09861</v>
      </c>
      <c r="F20459" s="1">
        <v>3143.0</v>
      </c>
      <c r="G20459" s="1">
        <v>24.0</v>
      </c>
    </row>
    <row r="20460">
      <c r="A20460" s="1" t="s">
        <v>8</v>
      </c>
      <c r="B20460" s="2">
        <v>44798.0</v>
      </c>
      <c r="C20460" s="3">
        <v>0.35824074074074075</v>
      </c>
      <c r="D20460" s="1">
        <v>12.904835</v>
      </c>
      <c r="E20460" s="1">
        <v>80.095344</v>
      </c>
      <c r="F20460" s="1">
        <v>3143.0</v>
      </c>
      <c r="G20460" s="1">
        <v>19.0</v>
      </c>
    </row>
    <row r="20461">
      <c r="A20461" s="1" t="s">
        <v>9</v>
      </c>
      <c r="B20461" s="2">
        <v>44798.0</v>
      </c>
      <c r="C20461" s="3">
        <v>0.358287037037037</v>
      </c>
      <c r="D20461" s="1">
        <v>12.904835</v>
      </c>
      <c r="E20461" s="1">
        <v>80.095344</v>
      </c>
      <c r="F20461" s="1">
        <v>3143.0</v>
      </c>
      <c r="G20461" s="1">
        <v>19.0</v>
      </c>
    </row>
    <row r="20462">
      <c r="A20462" s="1" t="s">
        <v>9</v>
      </c>
      <c r="B20462" s="2">
        <v>44798.0</v>
      </c>
      <c r="C20462" s="3">
        <v>0.35855324074074074</v>
      </c>
      <c r="D20462" s="1">
        <v>12.903392</v>
      </c>
      <c r="E20462" s="1">
        <v>80.094181</v>
      </c>
      <c r="F20462" s="1">
        <v>3143.0</v>
      </c>
      <c r="G20462" s="1">
        <v>50.0</v>
      </c>
    </row>
    <row r="20463">
      <c r="A20463" s="1" t="s">
        <v>8</v>
      </c>
      <c r="B20463" s="2">
        <v>44798.0</v>
      </c>
      <c r="C20463" s="3">
        <v>0.3589699074074074</v>
      </c>
      <c r="D20463" s="1">
        <v>12.89925</v>
      </c>
      <c r="E20463" s="1">
        <v>80.091022</v>
      </c>
      <c r="F20463" s="1">
        <v>3143.0</v>
      </c>
      <c r="G20463" s="1">
        <v>57.0</v>
      </c>
    </row>
    <row r="20464">
      <c r="A20464" s="1" t="s">
        <v>8</v>
      </c>
      <c r="B20464" s="2">
        <v>44798.0</v>
      </c>
      <c r="C20464" s="3">
        <v>0.3601388888888889</v>
      </c>
      <c r="D20464" s="1">
        <v>12.893526</v>
      </c>
      <c r="E20464" s="1">
        <v>80.08667</v>
      </c>
      <c r="F20464" s="1">
        <v>3143.0</v>
      </c>
      <c r="G20464" s="1">
        <v>59.0</v>
      </c>
    </row>
    <row r="20465">
      <c r="A20465" s="1" t="s">
        <v>8</v>
      </c>
      <c r="B20465" s="2">
        <v>44798.0</v>
      </c>
      <c r="C20465" s="3">
        <v>0.36038194444444444</v>
      </c>
      <c r="D20465" s="1">
        <v>12.891748</v>
      </c>
      <c r="E20465" s="1">
        <v>80.085386</v>
      </c>
      <c r="F20465" s="1">
        <v>3143.0</v>
      </c>
      <c r="G20465" s="1">
        <v>40.0</v>
      </c>
    </row>
    <row r="20466">
      <c r="A20466" s="1" t="s">
        <v>7</v>
      </c>
      <c r="B20466" s="2">
        <v>44798.0</v>
      </c>
      <c r="C20466" s="3">
        <v>0.3605439814814815</v>
      </c>
      <c r="D20466" s="1">
        <v>12.889506</v>
      </c>
      <c r="E20466" s="1">
        <v>80.084413</v>
      </c>
      <c r="F20466" s="1">
        <v>3143.0</v>
      </c>
      <c r="G20466" s="1">
        <v>58.0</v>
      </c>
    </row>
    <row r="20467">
      <c r="A20467" s="1" t="s">
        <v>8</v>
      </c>
      <c r="B20467" s="2">
        <v>44798.0</v>
      </c>
      <c r="C20467" s="3">
        <v>0.36266203703703703</v>
      </c>
      <c r="D20467" s="1">
        <v>12.8783</v>
      </c>
      <c r="E20467" s="1">
        <v>80.082591</v>
      </c>
      <c r="F20467" s="1">
        <v>3143.0</v>
      </c>
      <c r="G20467" s="1">
        <v>37.0</v>
      </c>
    </row>
    <row r="20468">
      <c r="A20468" s="1" t="s">
        <v>7</v>
      </c>
      <c r="B20468" s="2">
        <v>44798.0</v>
      </c>
      <c r="C20468" s="3">
        <v>0.5485069444444445</v>
      </c>
      <c r="D20468" s="1">
        <v>12.889362</v>
      </c>
      <c r="E20468" s="1">
        <v>80.084231</v>
      </c>
      <c r="F20468" s="1">
        <v>3143.0</v>
      </c>
      <c r="G20468" s="1">
        <v>58.0</v>
      </c>
    </row>
    <row r="20469">
      <c r="A20469" s="1" t="s">
        <v>7</v>
      </c>
      <c r="B20469" s="2">
        <v>44798.0</v>
      </c>
      <c r="C20469" s="3">
        <v>0.548599537037037</v>
      </c>
      <c r="D20469" s="1">
        <v>12.889362</v>
      </c>
      <c r="E20469" s="1">
        <v>80.084231</v>
      </c>
      <c r="F20469" s="1">
        <v>3143.0</v>
      </c>
      <c r="G20469" s="1">
        <v>58.0</v>
      </c>
    </row>
    <row r="20470">
      <c r="A20470" s="1" t="s">
        <v>8</v>
      </c>
      <c r="B20470" s="2">
        <v>44798.0</v>
      </c>
      <c r="C20470" s="3">
        <v>0.5500231481481481</v>
      </c>
      <c r="D20470" s="1">
        <v>12.905725</v>
      </c>
      <c r="E20470" s="1">
        <v>80.09564</v>
      </c>
      <c r="F20470" s="1">
        <v>3143.0</v>
      </c>
      <c r="G20470" s="1">
        <v>51.0</v>
      </c>
    </row>
    <row r="20471">
      <c r="A20471" s="1" t="s">
        <v>8</v>
      </c>
      <c r="B20471" s="2">
        <v>44798.0</v>
      </c>
      <c r="C20471" s="3">
        <v>0.5511689814814815</v>
      </c>
      <c r="D20471" s="1">
        <v>12.914641</v>
      </c>
      <c r="E20471" s="1">
        <v>80.101815</v>
      </c>
      <c r="F20471" s="1">
        <v>3143.0</v>
      </c>
      <c r="G20471" s="1">
        <v>59.0</v>
      </c>
    </row>
    <row r="20472">
      <c r="A20472" s="1" t="s">
        <v>7</v>
      </c>
      <c r="B20472" s="2">
        <v>44798.0</v>
      </c>
      <c r="C20472" s="3">
        <v>0.5518402777777778</v>
      </c>
      <c r="D20472" s="1">
        <v>12.918152</v>
      </c>
      <c r="E20472" s="1">
        <v>80.108647</v>
      </c>
      <c r="F20472" s="1">
        <v>3143.0</v>
      </c>
      <c r="G20472" s="1">
        <v>49.0</v>
      </c>
    </row>
    <row r="20473">
      <c r="A20473" s="1" t="s">
        <v>7</v>
      </c>
      <c r="B20473" s="2">
        <v>44798.0</v>
      </c>
      <c r="C20473" s="3">
        <v>0.5519212962962963</v>
      </c>
      <c r="D20473" s="1">
        <v>12.918152</v>
      </c>
      <c r="E20473" s="1">
        <v>80.108647</v>
      </c>
      <c r="F20473" s="1">
        <v>3143.0</v>
      </c>
      <c r="G20473" s="1">
        <v>49.0</v>
      </c>
    </row>
    <row r="20474">
      <c r="A20474" s="1" t="s">
        <v>8</v>
      </c>
      <c r="B20474" s="2">
        <v>44798.0</v>
      </c>
      <c r="C20474" s="3">
        <v>0.5559259259259259</v>
      </c>
      <c r="D20474" s="1">
        <v>12.922787</v>
      </c>
      <c r="E20474" s="1">
        <v>80.1328</v>
      </c>
      <c r="F20474" s="1">
        <v>3143.0</v>
      </c>
      <c r="G20474" s="1">
        <v>10.0</v>
      </c>
    </row>
    <row r="20475">
      <c r="A20475" s="1" t="s">
        <v>8</v>
      </c>
      <c r="B20475" s="2">
        <v>44798.0</v>
      </c>
      <c r="C20475" s="3">
        <v>0.5611921296296296</v>
      </c>
      <c r="D20475" s="1">
        <v>12.922604</v>
      </c>
      <c r="E20475" s="1">
        <v>80.162558</v>
      </c>
      <c r="F20475" s="1">
        <v>3143.0</v>
      </c>
      <c r="G20475" s="1">
        <v>45.0</v>
      </c>
    </row>
    <row r="20476">
      <c r="A20476" s="1" t="s">
        <v>7</v>
      </c>
      <c r="B20476" s="2">
        <v>44798.0</v>
      </c>
      <c r="C20476" s="3">
        <v>0.562488425925926</v>
      </c>
      <c r="D20476" s="1">
        <v>12.919527</v>
      </c>
      <c r="E20476" s="1">
        <v>80.172284</v>
      </c>
      <c r="F20476" s="1">
        <v>3143.0</v>
      </c>
      <c r="G20476" s="1">
        <v>45.0</v>
      </c>
    </row>
    <row r="20477">
      <c r="A20477" s="1" t="s">
        <v>8</v>
      </c>
      <c r="B20477" s="2">
        <v>44798.0</v>
      </c>
      <c r="C20477" s="3">
        <v>0.5625694444444445</v>
      </c>
      <c r="D20477" s="1">
        <v>12.918958</v>
      </c>
      <c r="E20477" s="1">
        <v>80.174392</v>
      </c>
      <c r="F20477" s="1">
        <v>3143.0</v>
      </c>
      <c r="G20477" s="1">
        <v>54.0</v>
      </c>
    </row>
    <row r="20478">
      <c r="A20478" s="1" t="s">
        <v>8</v>
      </c>
      <c r="B20478" s="2">
        <v>44798.0</v>
      </c>
      <c r="C20478" s="3">
        <v>0.562662037037037</v>
      </c>
      <c r="D20478" s="1">
        <v>12.918958</v>
      </c>
      <c r="E20478" s="1">
        <v>80.174392</v>
      </c>
      <c r="F20478" s="1">
        <v>3143.0</v>
      </c>
      <c r="G20478" s="1">
        <v>54.0</v>
      </c>
    </row>
    <row r="20479">
      <c r="A20479" s="1" t="s">
        <v>8</v>
      </c>
      <c r="B20479" s="2">
        <v>44798.0</v>
      </c>
      <c r="C20479" s="3">
        <v>0.5633449074074074</v>
      </c>
      <c r="D20479" s="1">
        <v>12.919389</v>
      </c>
      <c r="E20479" s="1">
        <v>80.180307</v>
      </c>
      <c r="F20479" s="1">
        <v>3143.0</v>
      </c>
      <c r="G20479" s="1">
        <v>39.0</v>
      </c>
    </row>
    <row r="20480">
      <c r="A20480" s="1" t="s">
        <v>8</v>
      </c>
      <c r="B20480" s="2">
        <v>44798.0</v>
      </c>
      <c r="C20480" s="3">
        <v>0.5635648148148148</v>
      </c>
      <c r="D20480" s="1">
        <v>12.919704</v>
      </c>
      <c r="E20480" s="1">
        <v>80.181747</v>
      </c>
      <c r="F20480" s="1">
        <v>3143.0</v>
      </c>
      <c r="G20480" s="1">
        <v>36.0</v>
      </c>
    </row>
    <row r="20481">
      <c r="A20481" s="1" t="s">
        <v>8</v>
      </c>
      <c r="B20481" s="2">
        <v>44798.0</v>
      </c>
      <c r="C20481" s="3">
        <v>0.5778125</v>
      </c>
      <c r="D20481" s="1">
        <v>12.965817</v>
      </c>
      <c r="E20481" s="1">
        <v>80.202328</v>
      </c>
      <c r="F20481" s="1">
        <v>3143.0</v>
      </c>
      <c r="G20481" s="1">
        <v>28.0</v>
      </c>
    </row>
    <row r="20482">
      <c r="A20482" s="1" t="s">
        <v>8</v>
      </c>
      <c r="B20482" s="2">
        <v>44798.0</v>
      </c>
      <c r="C20482" s="3">
        <v>0.577974537037037</v>
      </c>
      <c r="D20482" s="1">
        <v>12.965719</v>
      </c>
      <c r="E20482" s="1">
        <v>80.203905</v>
      </c>
      <c r="F20482" s="1">
        <v>3143.0</v>
      </c>
      <c r="G20482" s="1">
        <v>30.0</v>
      </c>
    </row>
    <row r="20483">
      <c r="A20483" s="1" t="s">
        <v>8</v>
      </c>
      <c r="B20483" s="2">
        <v>44798.0</v>
      </c>
      <c r="C20483" s="3">
        <v>0.5782060185185185</v>
      </c>
      <c r="D20483" s="1">
        <v>12.965452</v>
      </c>
      <c r="E20483" s="1">
        <v>80.205319</v>
      </c>
      <c r="F20483" s="1">
        <v>3143.0</v>
      </c>
      <c r="G20483" s="1">
        <v>29.0</v>
      </c>
    </row>
    <row r="20484">
      <c r="A20484" s="1" t="s">
        <v>8</v>
      </c>
      <c r="B20484" s="2">
        <v>44798.0</v>
      </c>
      <c r="C20484" s="3">
        <v>0.5782175925925926</v>
      </c>
      <c r="D20484" s="1">
        <v>12.965452</v>
      </c>
      <c r="E20484" s="1">
        <v>80.205319</v>
      </c>
      <c r="F20484" s="1">
        <v>3143.0</v>
      </c>
      <c r="G20484" s="1">
        <v>29.0</v>
      </c>
    </row>
    <row r="20485">
      <c r="A20485" s="1" t="s">
        <v>8</v>
      </c>
      <c r="B20485" s="2">
        <v>44798.0</v>
      </c>
      <c r="C20485" s="3">
        <v>0.5791319444444445</v>
      </c>
      <c r="D20485" s="1">
        <v>12.964782</v>
      </c>
      <c r="E20485" s="1">
        <v>80.210092</v>
      </c>
      <c r="F20485" s="1">
        <v>3143.0</v>
      </c>
      <c r="G20485" s="1">
        <v>0.0</v>
      </c>
    </row>
    <row r="20486">
      <c r="A20486" s="1" t="s">
        <v>8</v>
      </c>
      <c r="B20486" s="2">
        <v>44798.0</v>
      </c>
      <c r="C20486" s="3">
        <v>0.5842708333333333</v>
      </c>
      <c r="D20486" s="1">
        <v>12.980272</v>
      </c>
      <c r="E20486" s="1">
        <v>80.228222</v>
      </c>
      <c r="F20486" s="1">
        <v>3143.0</v>
      </c>
      <c r="G20486" s="1">
        <v>40.0</v>
      </c>
    </row>
    <row r="20487">
      <c r="A20487" s="1" t="s">
        <v>8</v>
      </c>
      <c r="B20487" s="2">
        <v>44798.0</v>
      </c>
      <c r="C20487" s="3">
        <v>0.5850578703703704</v>
      </c>
      <c r="D20487" s="1">
        <v>12.98146</v>
      </c>
      <c r="E20487" s="1">
        <v>80.233766</v>
      </c>
      <c r="F20487" s="1">
        <v>3143.0</v>
      </c>
      <c r="G20487" s="1">
        <v>50.0</v>
      </c>
    </row>
    <row r="20488">
      <c r="A20488" s="1" t="s">
        <v>8</v>
      </c>
      <c r="B20488" s="2">
        <v>44798.0</v>
      </c>
      <c r="C20488" s="3">
        <v>0.5851041666666666</v>
      </c>
      <c r="D20488" s="1">
        <v>12.981212</v>
      </c>
      <c r="E20488" s="1">
        <v>80.235477</v>
      </c>
      <c r="F20488" s="1">
        <v>3143.0</v>
      </c>
      <c r="G20488" s="1">
        <v>50.0</v>
      </c>
    </row>
    <row r="20489">
      <c r="A20489" s="1" t="s">
        <v>7</v>
      </c>
      <c r="B20489" s="2">
        <v>44798.0</v>
      </c>
      <c r="C20489" s="3">
        <v>0.5876736111111112</v>
      </c>
      <c r="D20489" s="1">
        <v>12.982009</v>
      </c>
      <c r="E20489" s="1">
        <v>80.252572</v>
      </c>
      <c r="F20489" s="1">
        <v>3143.0</v>
      </c>
      <c r="G20489" s="1">
        <v>45.0</v>
      </c>
    </row>
    <row r="20490">
      <c r="A20490" s="1" t="s">
        <v>7</v>
      </c>
      <c r="B20490" s="2">
        <v>44798.0</v>
      </c>
      <c r="C20490" s="3">
        <v>0.5878009259259259</v>
      </c>
      <c r="D20490" s="1">
        <v>12.982009</v>
      </c>
      <c r="E20490" s="1">
        <v>80.252572</v>
      </c>
      <c r="F20490" s="1">
        <v>3143.0</v>
      </c>
      <c r="G20490" s="1">
        <v>45.0</v>
      </c>
    </row>
    <row r="20491">
      <c r="A20491" s="1" t="s">
        <v>10</v>
      </c>
      <c r="B20491" s="2">
        <v>44798.0</v>
      </c>
      <c r="C20491" s="3">
        <v>0.5908796296296296</v>
      </c>
      <c r="D20491" s="1">
        <v>12.987726</v>
      </c>
      <c r="E20491" s="1">
        <v>80.25568</v>
      </c>
      <c r="F20491" s="1">
        <v>3143.0</v>
      </c>
      <c r="G20491" s="1">
        <v>0.0</v>
      </c>
    </row>
    <row r="20492">
      <c r="A20492" s="1" t="s">
        <v>8</v>
      </c>
      <c r="B20492" s="2">
        <v>44798.0</v>
      </c>
      <c r="C20492" s="3">
        <v>0.5911574074074074</v>
      </c>
      <c r="D20492" s="1">
        <v>12.987726</v>
      </c>
      <c r="E20492" s="1">
        <v>80.25568</v>
      </c>
      <c r="F20492" s="1">
        <v>3143.0</v>
      </c>
      <c r="G20492" s="1">
        <v>0.0</v>
      </c>
    </row>
    <row r="20493">
      <c r="A20493" s="1" t="s">
        <v>8</v>
      </c>
      <c r="B20493" s="2">
        <v>44798.0</v>
      </c>
      <c r="C20493" s="3">
        <v>0.5929166666666666</v>
      </c>
      <c r="D20493" s="1">
        <v>12.983032</v>
      </c>
      <c r="E20493" s="1">
        <v>80.259465</v>
      </c>
      <c r="F20493" s="1">
        <v>3143.0</v>
      </c>
      <c r="G20493" s="1">
        <v>17.0</v>
      </c>
    </row>
    <row r="20494">
      <c r="A20494" s="1" t="s">
        <v>8</v>
      </c>
      <c r="B20494" s="2">
        <v>44798.0</v>
      </c>
      <c r="C20494" s="3">
        <v>0.5929745370370371</v>
      </c>
      <c r="D20494" s="1">
        <v>12.983032</v>
      </c>
      <c r="E20494" s="1">
        <v>80.259465</v>
      </c>
      <c r="F20494" s="1">
        <v>3143.0</v>
      </c>
      <c r="G20494" s="1">
        <v>17.0</v>
      </c>
    </row>
    <row r="20495">
      <c r="A20495" s="1" t="s">
        <v>8</v>
      </c>
      <c r="B20495" s="2">
        <v>44798.0</v>
      </c>
      <c r="C20495" s="3">
        <v>0.6026851851851852</v>
      </c>
      <c r="D20495" s="1">
        <v>12.935798</v>
      </c>
      <c r="E20495" s="1">
        <v>80.252382</v>
      </c>
      <c r="F20495" s="1">
        <v>3143.0</v>
      </c>
      <c r="G20495" s="1">
        <v>36.0</v>
      </c>
    </row>
    <row r="20496">
      <c r="A20496" s="1" t="s">
        <v>7</v>
      </c>
      <c r="B20496" s="2">
        <v>44798.0</v>
      </c>
      <c r="C20496" s="3">
        <v>0.603761574074074</v>
      </c>
      <c r="D20496" s="1">
        <v>12.92635</v>
      </c>
      <c r="E20496" s="1">
        <v>80.251291</v>
      </c>
      <c r="F20496" s="1">
        <v>3143.0</v>
      </c>
      <c r="G20496" s="1">
        <v>41.0</v>
      </c>
    </row>
    <row r="20497">
      <c r="A20497" s="1" t="s">
        <v>7</v>
      </c>
      <c r="B20497" s="2">
        <v>44798.0</v>
      </c>
      <c r="C20497" s="3">
        <v>0.6050694444444444</v>
      </c>
      <c r="D20497" s="1">
        <v>12.915734</v>
      </c>
      <c r="E20497" s="1">
        <v>80.250512</v>
      </c>
      <c r="F20497" s="1">
        <v>3143.0</v>
      </c>
      <c r="G20497" s="1">
        <v>40.0</v>
      </c>
    </row>
    <row r="20498">
      <c r="A20498" s="1" t="s">
        <v>7</v>
      </c>
      <c r="B20498" s="2">
        <v>44798.0</v>
      </c>
      <c r="C20498" s="3">
        <v>0.6055671296296297</v>
      </c>
      <c r="D20498" s="1">
        <v>12.911803</v>
      </c>
      <c r="E20498" s="1">
        <v>80.250172</v>
      </c>
      <c r="F20498" s="1">
        <v>3143.0</v>
      </c>
      <c r="G20498" s="1">
        <v>51.0</v>
      </c>
    </row>
    <row r="20499">
      <c r="A20499" s="1" t="s">
        <v>8</v>
      </c>
      <c r="B20499" s="2">
        <v>44798.0</v>
      </c>
      <c r="C20499" s="3">
        <v>0.6096875</v>
      </c>
      <c r="D20499" s="1">
        <v>12.900797</v>
      </c>
      <c r="E20499" s="1">
        <v>80.228086</v>
      </c>
      <c r="F20499" s="1">
        <v>3143.0</v>
      </c>
      <c r="G20499" s="1">
        <v>19.0</v>
      </c>
    </row>
    <row r="20500">
      <c r="A20500" s="1" t="s">
        <v>8</v>
      </c>
      <c r="B20500" s="2">
        <v>44798.0</v>
      </c>
      <c r="C20500" s="3">
        <v>0.6100347222222222</v>
      </c>
      <c r="D20500" s="1">
        <v>12.900117</v>
      </c>
      <c r="E20500" s="1">
        <v>80.227948</v>
      </c>
      <c r="F20500" s="1">
        <v>3143.0</v>
      </c>
      <c r="G20500" s="1">
        <v>20.0</v>
      </c>
    </row>
    <row r="20501">
      <c r="A20501" s="1" t="s">
        <v>7</v>
      </c>
      <c r="B20501" s="2">
        <v>44798.0</v>
      </c>
      <c r="C20501" s="3">
        <v>0.6115162037037037</v>
      </c>
      <c r="D20501" s="1">
        <v>12.891958</v>
      </c>
      <c r="E20501" s="1">
        <v>80.227395</v>
      </c>
      <c r="F20501" s="1">
        <v>3143.0</v>
      </c>
      <c r="G20501" s="1">
        <v>35.0</v>
      </c>
    </row>
    <row r="20502">
      <c r="A20502" s="1" t="s">
        <v>8</v>
      </c>
      <c r="B20502" s="2">
        <v>44798.0</v>
      </c>
      <c r="C20502" s="3">
        <v>0.6116666666666667</v>
      </c>
      <c r="D20502" s="1">
        <v>12.890197</v>
      </c>
      <c r="E20502" s="1">
        <v>80.227384</v>
      </c>
      <c r="F20502" s="1">
        <v>3143.0</v>
      </c>
      <c r="G20502" s="1">
        <v>47.0</v>
      </c>
    </row>
    <row r="20503">
      <c r="A20503" s="1" t="s">
        <v>8</v>
      </c>
      <c r="B20503" s="2">
        <v>44798.0</v>
      </c>
      <c r="C20503" s="3">
        <v>0.6125</v>
      </c>
      <c r="D20503" s="1">
        <v>12.879518</v>
      </c>
      <c r="E20503" s="1">
        <v>80.226762</v>
      </c>
      <c r="F20503" s="1">
        <v>3143.0</v>
      </c>
      <c r="G20503" s="1">
        <v>58.0</v>
      </c>
    </row>
    <row r="20504">
      <c r="A20504" s="1" t="s">
        <v>7</v>
      </c>
      <c r="B20504" s="2">
        <v>44798.0</v>
      </c>
      <c r="C20504" s="3">
        <v>0.6132523148148148</v>
      </c>
      <c r="D20504" s="1">
        <v>12.872889</v>
      </c>
      <c r="E20504" s="1">
        <v>80.226717</v>
      </c>
      <c r="F20504" s="1">
        <v>3143.0</v>
      </c>
      <c r="G20504" s="1">
        <v>20.0</v>
      </c>
    </row>
    <row r="20505">
      <c r="A20505" s="1" t="s">
        <v>7</v>
      </c>
      <c r="B20505" s="2">
        <v>44798.0</v>
      </c>
      <c r="C20505" s="3">
        <v>0.6137037037037038</v>
      </c>
      <c r="D20505" s="1">
        <v>12.869778</v>
      </c>
      <c r="E20505" s="1">
        <v>80.22655</v>
      </c>
      <c r="F20505" s="1">
        <v>3143.0</v>
      </c>
      <c r="G20505" s="1">
        <v>51.0</v>
      </c>
    </row>
    <row r="20506">
      <c r="A20506" s="1" t="s">
        <v>7</v>
      </c>
      <c r="B20506" s="2">
        <v>44798.0</v>
      </c>
      <c r="C20506" s="3">
        <v>0.6139814814814815</v>
      </c>
      <c r="D20506" s="1">
        <v>12.865363</v>
      </c>
      <c r="E20506" s="1">
        <v>80.22661</v>
      </c>
      <c r="F20506" s="1">
        <v>3143.0</v>
      </c>
      <c r="G20506" s="1">
        <v>58.0</v>
      </c>
    </row>
    <row r="20507">
      <c r="A20507" s="1" t="s">
        <v>7</v>
      </c>
      <c r="B20507" s="2">
        <v>44798.0</v>
      </c>
      <c r="C20507" s="3">
        <v>0.6150462962962963</v>
      </c>
      <c r="D20507" s="1">
        <v>12.858393</v>
      </c>
      <c r="E20507" s="1">
        <v>80.226262</v>
      </c>
      <c r="F20507" s="1">
        <v>3143.0</v>
      </c>
      <c r="G20507" s="1">
        <v>25.0</v>
      </c>
    </row>
    <row r="20508">
      <c r="A20508" s="1" t="s">
        <v>8</v>
      </c>
      <c r="B20508" s="2">
        <v>44798.0</v>
      </c>
      <c r="C20508" s="3">
        <v>0.6152662037037037</v>
      </c>
      <c r="D20508" s="1">
        <v>12.854984</v>
      </c>
      <c r="E20508" s="1">
        <v>80.226533</v>
      </c>
      <c r="F20508" s="1">
        <v>3143.0</v>
      </c>
      <c r="G20508" s="1">
        <v>51.0</v>
      </c>
    </row>
    <row r="20509">
      <c r="A20509" s="1" t="s">
        <v>7</v>
      </c>
      <c r="B20509" s="2">
        <v>44798.0</v>
      </c>
      <c r="C20509" s="3">
        <v>0.621087962962963</v>
      </c>
      <c r="D20509" s="1">
        <v>12.82701</v>
      </c>
      <c r="E20509" s="1">
        <v>80.231265</v>
      </c>
      <c r="F20509" s="1">
        <v>3143.0</v>
      </c>
      <c r="G20509" s="1">
        <v>47.0</v>
      </c>
    </row>
    <row r="20510">
      <c r="A20510" s="1" t="s">
        <v>7</v>
      </c>
      <c r="B20510" s="2">
        <v>44798.0</v>
      </c>
      <c r="C20510" s="3">
        <v>0.6212268518518519</v>
      </c>
      <c r="D20510" s="1">
        <v>12.825324</v>
      </c>
      <c r="E20510" s="1">
        <v>80.231424</v>
      </c>
      <c r="F20510" s="1">
        <v>3143.0</v>
      </c>
      <c r="G20510" s="1">
        <v>40.0</v>
      </c>
    </row>
    <row r="20511">
      <c r="A20511" s="1" t="s">
        <v>7</v>
      </c>
      <c r="B20511" s="2">
        <v>44798.0</v>
      </c>
      <c r="C20511" s="3">
        <v>0.6222106481481482</v>
      </c>
      <c r="D20511" s="1">
        <v>12.817112</v>
      </c>
      <c r="E20511" s="1">
        <v>80.22969</v>
      </c>
      <c r="F20511" s="1">
        <v>3143.0</v>
      </c>
      <c r="G20511" s="1">
        <v>45.0</v>
      </c>
    </row>
    <row r="20512">
      <c r="A20512" s="1" t="s">
        <v>7</v>
      </c>
      <c r="B20512" s="2">
        <v>44798.0</v>
      </c>
      <c r="C20512" s="3">
        <v>0.6223958333333334</v>
      </c>
      <c r="D20512" s="1">
        <v>12.81501</v>
      </c>
      <c r="E20512" s="1">
        <v>80.229314</v>
      </c>
      <c r="F20512" s="1">
        <v>3143.0</v>
      </c>
      <c r="G20512" s="1">
        <v>52.0</v>
      </c>
    </row>
    <row r="20513">
      <c r="A20513" s="1" t="s">
        <v>7</v>
      </c>
      <c r="B20513" s="2">
        <v>44798.0</v>
      </c>
      <c r="C20513" s="3">
        <v>0.6239930555555555</v>
      </c>
      <c r="D20513" s="1">
        <v>12.803255</v>
      </c>
      <c r="E20513" s="1">
        <v>80.223866</v>
      </c>
      <c r="F20513" s="1">
        <v>3143.0</v>
      </c>
      <c r="G20513" s="1">
        <v>34.0</v>
      </c>
    </row>
    <row r="20514">
      <c r="A20514" s="1" t="s">
        <v>7</v>
      </c>
      <c r="B20514" s="2">
        <v>44798.0</v>
      </c>
      <c r="C20514" s="3">
        <v>0.6244097222222222</v>
      </c>
      <c r="D20514" s="1">
        <v>12.798622</v>
      </c>
      <c r="E20514" s="1">
        <v>80.223375</v>
      </c>
      <c r="F20514" s="1">
        <v>3143.0</v>
      </c>
      <c r="G20514" s="1">
        <v>47.0</v>
      </c>
    </row>
    <row r="20515">
      <c r="A20515" s="1" t="s">
        <v>9</v>
      </c>
      <c r="B20515" s="2">
        <v>44798.0</v>
      </c>
      <c r="C20515" s="3">
        <v>0.6262615740740741</v>
      </c>
      <c r="D20515" s="1">
        <v>12.79133</v>
      </c>
      <c r="E20515" s="1">
        <v>80.218721</v>
      </c>
      <c r="F20515" s="1">
        <v>3143.0</v>
      </c>
      <c r="G20515" s="1">
        <v>39.0</v>
      </c>
    </row>
    <row r="20516">
      <c r="A20516" s="1" t="s">
        <v>8</v>
      </c>
      <c r="B20516" s="2">
        <v>44798.0</v>
      </c>
      <c r="C20516" s="3">
        <v>0.6264583333333333</v>
      </c>
      <c r="D20516" s="1">
        <v>12.792016</v>
      </c>
      <c r="E20516" s="1">
        <v>80.217527</v>
      </c>
      <c r="F20516" s="1">
        <v>3143.0</v>
      </c>
      <c r="G20516" s="1">
        <v>26.0</v>
      </c>
    </row>
    <row r="20517">
      <c r="A20517" s="1" t="s">
        <v>8</v>
      </c>
      <c r="B20517" s="2">
        <v>44798.0</v>
      </c>
      <c r="C20517" s="3">
        <v>0.6270023148148148</v>
      </c>
      <c r="D20517" s="1">
        <v>12.792891</v>
      </c>
      <c r="E20517" s="1">
        <v>80.214336</v>
      </c>
      <c r="F20517" s="1">
        <v>3143.0</v>
      </c>
      <c r="G20517" s="1">
        <v>33.0</v>
      </c>
    </row>
    <row r="20518">
      <c r="A20518" s="1" t="s">
        <v>7</v>
      </c>
      <c r="B20518" s="2">
        <v>44798.0</v>
      </c>
      <c r="C20518" s="3">
        <v>0.6274189814814815</v>
      </c>
      <c r="D20518" s="1">
        <v>12.793678</v>
      </c>
      <c r="E20518" s="1">
        <v>80.21081</v>
      </c>
      <c r="F20518" s="1">
        <v>3143.0</v>
      </c>
      <c r="G20518" s="1">
        <v>48.0</v>
      </c>
    </row>
    <row r="20519">
      <c r="A20519" s="1" t="s">
        <v>7</v>
      </c>
      <c r="B20519" s="2">
        <v>44798.0</v>
      </c>
      <c r="C20519" s="3">
        <v>0.627662037037037</v>
      </c>
      <c r="D20519" s="1">
        <v>12.794327</v>
      </c>
      <c r="E20519" s="1">
        <v>80.209139</v>
      </c>
      <c r="F20519" s="1">
        <v>3143.0</v>
      </c>
      <c r="G20519" s="1">
        <v>45.0</v>
      </c>
    </row>
    <row r="20520">
      <c r="A20520" s="1" t="s">
        <v>7</v>
      </c>
      <c r="B20520" s="2">
        <v>44798.0</v>
      </c>
      <c r="C20520" s="3">
        <v>0.6280324074074074</v>
      </c>
      <c r="D20520" s="1">
        <v>12.795994</v>
      </c>
      <c r="E20520" s="1">
        <v>80.205358</v>
      </c>
      <c r="F20520" s="1">
        <v>3143.0</v>
      </c>
      <c r="G20520" s="1">
        <v>58.0</v>
      </c>
    </row>
    <row r="20521">
      <c r="A20521" s="1" t="s">
        <v>7</v>
      </c>
      <c r="B20521" s="2">
        <v>44798.0</v>
      </c>
      <c r="C20521" s="3">
        <v>0.6286342592592593</v>
      </c>
      <c r="D20521" s="1">
        <v>12.79887</v>
      </c>
      <c r="E20521" s="1">
        <v>80.198944</v>
      </c>
      <c r="F20521" s="1">
        <v>3143.0</v>
      </c>
      <c r="G20521" s="1">
        <v>57.0</v>
      </c>
    </row>
    <row r="20522">
      <c r="A20522" s="1" t="s">
        <v>7</v>
      </c>
      <c r="B20522" s="2">
        <v>44798.0</v>
      </c>
      <c r="C20522" s="3">
        <v>0.6287847222222223</v>
      </c>
      <c r="D20522" s="1">
        <v>12.800219</v>
      </c>
      <c r="E20522" s="1">
        <v>80.196998</v>
      </c>
      <c r="F20522" s="1">
        <v>3143.0</v>
      </c>
      <c r="G20522" s="1">
        <v>59.0</v>
      </c>
    </row>
    <row r="20523">
      <c r="A20523" s="1" t="s">
        <v>7</v>
      </c>
      <c r="B20523" s="2">
        <v>44798.0</v>
      </c>
      <c r="C20523" s="3">
        <v>0.629363425925926</v>
      </c>
      <c r="D20523" s="1">
        <v>12.804422</v>
      </c>
      <c r="E20523" s="1">
        <v>80.191083</v>
      </c>
      <c r="F20523" s="1">
        <v>3143.0</v>
      </c>
      <c r="G20523" s="1">
        <v>58.0</v>
      </c>
    </row>
    <row r="20524">
      <c r="A20524" s="1" t="s">
        <v>8</v>
      </c>
      <c r="B20524" s="2">
        <v>44798.0</v>
      </c>
      <c r="C20524" s="3">
        <v>0.6316666666666667</v>
      </c>
      <c r="D20524" s="1">
        <v>12.823915</v>
      </c>
      <c r="E20524" s="1">
        <v>80.169061</v>
      </c>
      <c r="F20524" s="1">
        <v>3143.0</v>
      </c>
      <c r="G20524" s="1">
        <v>48.0</v>
      </c>
    </row>
    <row r="20525">
      <c r="A20525" s="1" t="s">
        <v>8</v>
      </c>
      <c r="B20525" s="2">
        <v>44798.0</v>
      </c>
      <c r="C20525" s="3">
        <v>0.6320486111111111</v>
      </c>
      <c r="D20525" s="1">
        <v>12.826141</v>
      </c>
      <c r="E20525" s="1">
        <v>80.166604</v>
      </c>
      <c r="F20525" s="1">
        <v>3143.0</v>
      </c>
      <c r="G20525" s="1">
        <v>37.0</v>
      </c>
    </row>
    <row r="20526">
      <c r="A20526" s="1" t="s">
        <v>8</v>
      </c>
      <c r="B20526" s="2">
        <v>44798.0</v>
      </c>
      <c r="C20526" s="3">
        <v>0.6364467592592593</v>
      </c>
      <c r="D20526" s="1">
        <v>12.849724</v>
      </c>
      <c r="E20526" s="1">
        <v>80.141588</v>
      </c>
      <c r="F20526" s="1">
        <v>3143.0</v>
      </c>
      <c r="G20526" s="1">
        <v>29.0</v>
      </c>
    </row>
    <row r="20527">
      <c r="A20527" s="1" t="s">
        <v>8</v>
      </c>
      <c r="B20527" s="2">
        <v>44798.0</v>
      </c>
      <c r="C20527" s="3">
        <v>0.6365393518518518</v>
      </c>
      <c r="D20527" s="1">
        <v>12.850536</v>
      </c>
      <c r="E20527" s="1">
        <v>80.140777</v>
      </c>
      <c r="F20527" s="1">
        <v>3143.0</v>
      </c>
      <c r="G20527" s="1">
        <v>27.0</v>
      </c>
    </row>
    <row r="20528">
      <c r="A20528" s="1" t="s">
        <v>7</v>
      </c>
      <c r="B20528" s="2">
        <v>44798.0</v>
      </c>
      <c r="C20528" s="3">
        <v>0.6381365740740741</v>
      </c>
      <c r="D20528" s="1">
        <v>12.85581</v>
      </c>
      <c r="E20528" s="1">
        <v>80.135718</v>
      </c>
      <c r="F20528" s="1">
        <v>3143.0</v>
      </c>
      <c r="G20528" s="1">
        <v>31.0</v>
      </c>
    </row>
    <row r="20529">
      <c r="A20529" s="1" t="s">
        <v>7</v>
      </c>
      <c r="B20529" s="2">
        <v>44798.0</v>
      </c>
      <c r="C20529" s="3">
        <v>0.6387384259259259</v>
      </c>
      <c r="D20529" s="1">
        <v>12.860669</v>
      </c>
      <c r="E20529" s="1">
        <v>80.131058</v>
      </c>
      <c r="F20529" s="1">
        <v>3143.0</v>
      </c>
      <c r="G20529" s="1">
        <v>20.0</v>
      </c>
    </row>
    <row r="20530">
      <c r="A20530" s="1" t="s">
        <v>7</v>
      </c>
      <c r="B20530" s="2">
        <v>44798.0</v>
      </c>
      <c r="C20530" s="3">
        <v>0.6388888888888888</v>
      </c>
      <c r="D20530" s="1">
        <v>12.860669</v>
      </c>
      <c r="E20530" s="1">
        <v>80.131058</v>
      </c>
      <c r="F20530" s="1">
        <v>3143.0</v>
      </c>
      <c r="G20530" s="1">
        <v>20.0</v>
      </c>
    </row>
    <row r="20531">
      <c r="A20531" s="1" t="s">
        <v>7</v>
      </c>
      <c r="B20531" s="2">
        <v>44798.0</v>
      </c>
      <c r="C20531" s="3">
        <v>0.6389930555555555</v>
      </c>
      <c r="D20531" s="1">
        <v>12.861522</v>
      </c>
      <c r="E20531" s="1">
        <v>80.12989</v>
      </c>
      <c r="F20531" s="1">
        <v>3143.0</v>
      </c>
      <c r="G20531" s="1">
        <v>48.0</v>
      </c>
    </row>
    <row r="20532">
      <c r="A20532" s="1" t="s">
        <v>7</v>
      </c>
      <c r="B20532" s="2">
        <v>44798.0</v>
      </c>
      <c r="C20532" s="3">
        <v>0.6491666666666667</v>
      </c>
      <c r="D20532" s="1">
        <v>12.871437</v>
      </c>
      <c r="E20532" s="1">
        <v>80.101412</v>
      </c>
      <c r="F20532" s="1">
        <v>3143.0</v>
      </c>
      <c r="G20532" s="1">
        <v>0.0</v>
      </c>
    </row>
    <row r="20533">
      <c r="A20533" s="1" t="s">
        <v>7</v>
      </c>
      <c r="B20533" s="2">
        <v>44798.0</v>
      </c>
      <c r="C20533" s="3">
        <v>0.65</v>
      </c>
      <c r="D20533" s="1">
        <v>12.872991</v>
      </c>
      <c r="E20533" s="1">
        <v>80.094066</v>
      </c>
      <c r="F20533" s="1">
        <v>3143.0</v>
      </c>
      <c r="G20533" s="1">
        <v>58.0</v>
      </c>
    </row>
    <row r="20534">
      <c r="A20534" s="1" t="s">
        <v>8</v>
      </c>
      <c r="B20534" s="2">
        <v>44798.0</v>
      </c>
      <c r="C20534" s="3">
        <v>0.7390972222222222</v>
      </c>
      <c r="D20534" s="1">
        <v>12.899437</v>
      </c>
      <c r="E20534" s="1">
        <v>80.090864</v>
      </c>
      <c r="F20534" s="1">
        <v>3143.0</v>
      </c>
      <c r="G20534" s="1">
        <v>27.0</v>
      </c>
    </row>
    <row r="20535">
      <c r="A20535" s="1" t="s">
        <v>8</v>
      </c>
      <c r="B20535" s="2">
        <v>44798.0</v>
      </c>
      <c r="C20535" s="3">
        <v>0.7456828703703704</v>
      </c>
      <c r="D20535" s="1">
        <v>12.913738</v>
      </c>
      <c r="E20535" s="1">
        <v>80.101551</v>
      </c>
      <c r="F20535" s="1">
        <v>3143.0</v>
      </c>
      <c r="G20535" s="1">
        <v>29.0</v>
      </c>
    </row>
    <row r="20536">
      <c r="A20536" s="1" t="s">
        <v>8</v>
      </c>
      <c r="B20536" s="2">
        <v>44798.0</v>
      </c>
      <c r="C20536" s="3">
        <v>0.7464583333333333</v>
      </c>
      <c r="D20536" s="1">
        <v>12.916892</v>
      </c>
      <c r="E20536" s="1">
        <v>80.106819</v>
      </c>
      <c r="F20536" s="1">
        <v>3143.0</v>
      </c>
      <c r="G20536" s="1">
        <v>46.0</v>
      </c>
    </row>
    <row r="20537">
      <c r="A20537" s="1" t="s">
        <v>8</v>
      </c>
      <c r="B20537" s="2">
        <v>44798.0</v>
      </c>
      <c r="C20537" s="3">
        <v>0.746875</v>
      </c>
      <c r="D20537" s="1">
        <v>12.919348</v>
      </c>
      <c r="E20537" s="1">
        <v>80.110119</v>
      </c>
      <c r="F20537" s="1">
        <v>3143.0</v>
      </c>
      <c r="G20537" s="1">
        <v>43.0</v>
      </c>
    </row>
    <row r="20538">
      <c r="A20538" s="1" t="s">
        <v>8</v>
      </c>
      <c r="B20538" s="2">
        <v>44798.0</v>
      </c>
      <c r="C20538" s="3">
        <v>0.7472916666666667</v>
      </c>
      <c r="D20538" s="1">
        <v>12.921864</v>
      </c>
      <c r="E20538" s="1">
        <v>80.112744</v>
      </c>
      <c r="F20538" s="1">
        <v>3143.0</v>
      </c>
      <c r="G20538" s="1">
        <v>35.0</v>
      </c>
    </row>
    <row r="20539">
      <c r="A20539" s="1" t="s">
        <v>8</v>
      </c>
      <c r="B20539" s="2">
        <v>44798.0</v>
      </c>
      <c r="C20539" s="3">
        <v>0.7491319444444444</v>
      </c>
      <c r="D20539" s="1">
        <v>12.923484</v>
      </c>
      <c r="E20539" s="1">
        <v>80.118581</v>
      </c>
      <c r="F20539" s="1">
        <v>3143.0</v>
      </c>
      <c r="G20539" s="1">
        <v>7.0</v>
      </c>
    </row>
    <row r="20540">
      <c r="A20540" s="1" t="s">
        <v>8</v>
      </c>
      <c r="B20540" s="2">
        <v>44798.0</v>
      </c>
      <c r="C20540" s="3">
        <v>0.7496412037037037</v>
      </c>
      <c r="D20540" s="1">
        <v>12.923299</v>
      </c>
      <c r="E20540" s="1">
        <v>80.120587</v>
      </c>
      <c r="F20540" s="1">
        <v>3143.0</v>
      </c>
      <c r="G20540" s="1">
        <v>20.0</v>
      </c>
    </row>
    <row r="20541">
      <c r="A20541" s="1" t="s">
        <v>10</v>
      </c>
      <c r="B20541" s="2">
        <v>44798.0</v>
      </c>
      <c r="C20541" s="3">
        <v>0.7503587962962963</v>
      </c>
      <c r="D20541" s="1">
        <v>12.923119</v>
      </c>
      <c r="E20541" s="1">
        <v>80.125347</v>
      </c>
      <c r="F20541" s="1">
        <v>3143.0</v>
      </c>
      <c r="G20541" s="1">
        <v>14.0</v>
      </c>
    </row>
    <row r="20542">
      <c r="A20542" s="1" t="s">
        <v>8</v>
      </c>
      <c r="B20542" s="2">
        <v>44798.0</v>
      </c>
      <c r="C20542" s="3">
        <v>0.7523726851851852</v>
      </c>
      <c r="D20542" s="1">
        <v>12.922826</v>
      </c>
      <c r="E20542" s="1">
        <v>80.130302</v>
      </c>
      <c r="F20542" s="1">
        <v>3143.0</v>
      </c>
      <c r="G20542" s="1">
        <v>29.0</v>
      </c>
    </row>
    <row r="20543">
      <c r="A20543" s="1" t="s">
        <v>8</v>
      </c>
      <c r="B20543" s="2">
        <v>44798.0</v>
      </c>
      <c r="C20543" s="3">
        <v>0.7533796296296297</v>
      </c>
      <c r="D20543" s="1">
        <v>12.922607</v>
      </c>
      <c r="E20543" s="1">
        <v>80.136027</v>
      </c>
      <c r="F20543" s="1">
        <v>3143.0</v>
      </c>
      <c r="G20543" s="1">
        <v>23.0</v>
      </c>
    </row>
    <row r="20544">
      <c r="A20544" s="1" t="s">
        <v>8</v>
      </c>
      <c r="B20544" s="2">
        <v>44798.0</v>
      </c>
      <c r="C20544" s="3">
        <v>0.7557407407407407</v>
      </c>
      <c r="D20544" s="1">
        <v>12.9226</v>
      </c>
      <c r="E20544" s="1">
        <v>80.145228</v>
      </c>
      <c r="F20544" s="1">
        <v>3143.0</v>
      </c>
      <c r="G20544" s="1">
        <v>39.0</v>
      </c>
    </row>
    <row r="20545">
      <c r="A20545" s="1" t="s">
        <v>8</v>
      </c>
      <c r="B20545" s="2">
        <v>44798.0</v>
      </c>
      <c r="C20545" s="3">
        <v>0.7571527777777778</v>
      </c>
      <c r="D20545" s="1">
        <v>12.92273</v>
      </c>
      <c r="E20545" s="1">
        <v>80.149535</v>
      </c>
      <c r="F20545" s="1">
        <v>3143.0</v>
      </c>
      <c r="G20545" s="1">
        <v>28.0</v>
      </c>
    </row>
    <row r="20546">
      <c r="A20546" s="1" t="s">
        <v>8</v>
      </c>
      <c r="B20546" s="2">
        <v>44798.0</v>
      </c>
      <c r="C20546" s="3">
        <v>0.7571643518518518</v>
      </c>
      <c r="D20546" s="1">
        <v>12.92273</v>
      </c>
      <c r="E20546" s="1">
        <v>80.149535</v>
      </c>
      <c r="F20546" s="1">
        <v>3143.0</v>
      </c>
      <c r="G20546" s="1">
        <v>28.0</v>
      </c>
    </row>
    <row r="20547">
      <c r="A20547" s="1" t="s">
        <v>8</v>
      </c>
      <c r="B20547" s="2">
        <v>44798.0</v>
      </c>
      <c r="C20547" s="3">
        <v>0.757175925925926</v>
      </c>
      <c r="D20547" s="1">
        <v>12.92273</v>
      </c>
      <c r="E20547" s="1">
        <v>80.149535</v>
      </c>
      <c r="F20547" s="1">
        <v>3143.0</v>
      </c>
      <c r="G20547" s="1">
        <v>28.0</v>
      </c>
    </row>
    <row r="20548">
      <c r="A20548" s="1" t="s">
        <v>8</v>
      </c>
      <c r="B20548" s="2">
        <v>44798.0</v>
      </c>
      <c r="C20548" s="3">
        <v>0.7573263888888889</v>
      </c>
      <c r="D20548" s="1">
        <v>12.922756</v>
      </c>
      <c r="E20548" s="1">
        <v>80.150278</v>
      </c>
      <c r="F20548" s="1">
        <v>3143.0</v>
      </c>
      <c r="G20548" s="1">
        <v>30.0</v>
      </c>
    </row>
    <row r="20549">
      <c r="A20549" s="1" t="s">
        <v>8</v>
      </c>
      <c r="B20549" s="2">
        <v>44798.0</v>
      </c>
      <c r="C20549" s="3">
        <v>0.7588541666666667</v>
      </c>
      <c r="D20549" s="1">
        <v>12.923626</v>
      </c>
      <c r="E20549" s="1">
        <v>80.157516</v>
      </c>
      <c r="F20549" s="1">
        <v>3143.0</v>
      </c>
      <c r="G20549" s="1">
        <v>37.0</v>
      </c>
    </row>
    <row r="20550">
      <c r="A20550" s="1" t="s">
        <v>8</v>
      </c>
      <c r="B20550" s="2">
        <v>44798.0</v>
      </c>
      <c r="C20550" s="3">
        <v>0.7605555555555555</v>
      </c>
      <c r="D20550" s="1">
        <v>12.920209</v>
      </c>
      <c r="E20550" s="1">
        <v>80.170106</v>
      </c>
      <c r="F20550" s="1">
        <v>3143.0</v>
      </c>
      <c r="G20550" s="1">
        <v>32.0</v>
      </c>
    </row>
    <row r="20551">
      <c r="A20551" s="1" t="s">
        <v>10</v>
      </c>
      <c r="B20551" s="2">
        <v>44798.0</v>
      </c>
      <c r="C20551" s="3">
        <v>0.7783564814814815</v>
      </c>
      <c r="D20551" s="1">
        <v>12.964728</v>
      </c>
      <c r="E20551" s="1">
        <v>80.196104</v>
      </c>
      <c r="F20551" s="1">
        <v>3143.0</v>
      </c>
      <c r="G20551" s="1">
        <v>5.0</v>
      </c>
    </row>
    <row r="20552">
      <c r="A20552" s="1" t="s">
        <v>10</v>
      </c>
      <c r="B20552" s="2">
        <v>44798.0</v>
      </c>
      <c r="C20552" s="3">
        <v>0.7787384259259259</v>
      </c>
      <c r="D20552" s="1">
        <v>12.964823</v>
      </c>
      <c r="E20552" s="1">
        <v>80.196649</v>
      </c>
      <c r="F20552" s="1">
        <v>3143.0</v>
      </c>
      <c r="G20552" s="1">
        <v>13.0</v>
      </c>
    </row>
    <row r="20553">
      <c r="A20553" s="1" t="s">
        <v>10</v>
      </c>
      <c r="B20553" s="2">
        <v>44798.0</v>
      </c>
      <c r="C20553" s="3">
        <v>0.7796527777777778</v>
      </c>
      <c r="D20553" s="1">
        <v>12.965503</v>
      </c>
      <c r="E20553" s="1">
        <v>80.200128</v>
      </c>
      <c r="F20553" s="1">
        <v>3143.0</v>
      </c>
      <c r="G20553" s="1">
        <v>14.0</v>
      </c>
    </row>
    <row r="20554">
      <c r="A20554" s="1" t="s">
        <v>10</v>
      </c>
      <c r="B20554" s="2">
        <v>44798.0</v>
      </c>
      <c r="C20554" s="3">
        <v>0.7805208333333333</v>
      </c>
      <c r="D20554" s="1">
        <v>12.965649</v>
      </c>
      <c r="E20554" s="1">
        <v>80.20443</v>
      </c>
      <c r="F20554" s="1">
        <v>3143.0</v>
      </c>
      <c r="G20554" s="1">
        <v>19.0</v>
      </c>
    </row>
    <row r="20555">
      <c r="A20555" s="1" t="s">
        <v>8</v>
      </c>
      <c r="B20555" s="2">
        <v>44798.0</v>
      </c>
      <c r="C20555" s="3">
        <v>0.786261574074074</v>
      </c>
      <c r="D20555" s="1">
        <v>12.957816</v>
      </c>
      <c r="E20555" s="1">
        <v>80.213749</v>
      </c>
      <c r="F20555" s="1">
        <v>3143.0</v>
      </c>
      <c r="G20555" s="1">
        <v>47.0</v>
      </c>
    </row>
    <row r="20556">
      <c r="A20556" s="1" t="s">
        <v>8</v>
      </c>
      <c r="B20556" s="2">
        <v>44798.0</v>
      </c>
      <c r="C20556" s="3">
        <v>0.7871412037037037</v>
      </c>
      <c r="D20556" s="1">
        <v>12.952725</v>
      </c>
      <c r="E20556" s="1">
        <v>80.21178</v>
      </c>
      <c r="F20556" s="1">
        <v>3143.0</v>
      </c>
      <c r="G20556" s="1">
        <v>34.0</v>
      </c>
    </row>
    <row r="20557">
      <c r="A20557" s="1" t="s">
        <v>8</v>
      </c>
      <c r="B20557" s="2">
        <v>44798.0</v>
      </c>
      <c r="C20557" s="3">
        <v>0.792511574074074</v>
      </c>
      <c r="D20557" s="1">
        <v>12.948493</v>
      </c>
      <c r="E20557" s="1">
        <v>80.208717</v>
      </c>
      <c r="F20557" s="1">
        <v>3143.0</v>
      </c>
      <c r="G20557" s="1">
        <v>35.0</v>
      </c>
    </row>
    <row r="20558">
      <c r="A20558" s="1" t="s">
        <v>8</v>
      </c>
      <c r="B20558" s="2">
        <v>44798.0</v>
      </c>
      <c r="C20558" s="3">
        <v>0.7929282407407408</v>
      </c>
      <c r="D20558" s="1">
        <v>12.948704</v>
      </c>
      <c r="E20558" s="1">
        <v>80.205583</v>
      </c>
      <c r="F20558" s="1">
        <v>3143.0</v>
      </c>
      <c r="G20558" s="1">
        <v>39.0</v>
      </c>
    </row>
    <row r="20559">
      <c r="A20559" s="1" t="s">
        <v>8</v>
      </c>
      <c r="B20559" s="2">
        <v>44798.0</v>
      </c>
      <c r="C20559" s="3">
        <v>0.7935416666666667</v>
      </c>
      <c r="D20559" s="1">
        <v>12.94856</v>
      </c>
      <c r="E20559" s="1">
        <v>80.200473</v>
      </c>
      <c r="F20559" s="1">
        <v>3143.0</v>
      </c>
      <c r="G20559" s="1">
        <v>37.0</v>
      </c>
    </row>
    <row r="20560">
      <c r="A20560" s="1" t="s">
        <v>8</v>
      </c>
      <c r="B20560" s="2">
        <v>44798.0</v>
      </c>
      <c r="C20560" s="3">
        <v>0.794074074074074</v>
      </c>
      <c r="D20560" s="1">
        <v>12.948523</v>
      </c>
      <c r="E20560" s="1">
        <v>80.195323</v>
      </c>
      <c r="F20560" s="1">
        <v>3143.0</v>
      </c>
      <c r="G20560" s="1">
        <v>44.0</v>
      </c>
    </row>
    <row r="20561">
      <c r="A20561" s="1" t="s">
        <v>8</v>
      </c>
      <c r="B20561" s="2">
        <v>44798.0</v>
      </c>
      <c r="C20561" s="3">
        <v>0.7946296296296296</v>
      </c>
      <c r="D20561" s="1">
        <v>12.948716</v>
      </c>
      <c r="E20561" s="1">
        <v>80.190001</v>
      </c>
      <c r="F20561" s="1">
        <v>3143.0</v>
      </c>
      <c r="G20561" s="1">
        <v>45.0</v>
      </c>
    </row>
    <row r="20562">
      <c r="A20562" s="1" t="s">
        <v>8</v>
      </c>
      <c r="B20562" s="2">
        <v>44798.0</v>
      </c>
      <c r="C20562" s="3">
        <v>0.7956365740740741</v>
      </c>
      <c r="D20562" s="1">
        <v>12.947256</v>
      </c>
      <c r="E20562" s="1">
        <v>80.184478</v>
      </c>
      <c r="F20562" s="1">
        <v>3143.0</v>
      </c>
      <c r="G20562" s="1">
        <v>31.0</v>
      </c>
    </row>
    <row r="20563">
      <c r="A20563" s="1" t="s">
        <v>10</v>
      </c>
      <c r="B20563" s="2">
        <v>44798.0</v>
      </c>
      <c r="C20563" s="3">
        <v>0.7996643518518518</v>
      </c>
      <c r="D20563" s="1">
        <v>12.93639</v>
      </c>
      <c r="E20563" s="1">
        <v>80.182349</v>
      </c>
      <c r="F20563" s="1">
        <v>3143.0</v>
      </c>
      <c r="G20563" s="1">
        <v>20.0</v>
      </c>
    </row>
    <row r="20564">
      <c r="A20564" s="1" t="s">
        <v>10</v>
      </c>
      <c r="B20564" s="2">
        <v>44798.0</v>
      </c>
      <c r="C20564" s="3">
        <v>0.8040625</v>
      </c>
      <c r="D20564" s="1">
        <v>12.920457</v>
      </c>
      <c r="E20564" s="1">
        <v>80.184052</v>
      </c>
      <c r="F20564" s="1">
        <v>3143.0</v>
      </c>
      <c r="G20564" s="1">
        <v>0.0</v>
      </c>
    </row>
    <row r="20565">
      <c r="A20565" s="1" t="s">
        <v>8</v>
      </c>
      <c r="B20565" s="2">
        <v>44798.0</v>
      </c>
      <c r="C20565" s="3">
        <v>0.8057407407407408</v>
      </c>
      <c r="D20565" s="1">
        <v>12.918349</v>
      </c>
      <c r="E20565" s="1">
        <v>80.178216</v>
      </c>
      <c r="F20565" s="1">
        <v>3143.0</v>
      </c>
      <c r="G20565" s="1">
        <v>28.0</v>
      </c>
    </row>
    <row r="20566">
      <c r="A20566" s="1" t="s">
        <v>8</v>
      </c>
      <c r="B20566" s="2">
        <v>44798.0</v>
      </c>
      <c r="C20566" s="3">
        <v>0.8069560185185185</v>
      </c>
      <c r="D20566" s="1">
        <v>12.920045</v>
      </c>
      <c r="E20566" s="1">
        <v>80.170194</v>
      </c>
      <c r="F20566" s="1">
        <v>3143.0</v>
      </c>
      <c r="G20566" s="1">
        <v>34.0</v>
      </c>
    </row>
    <row r="20567">
      <c r="A20567" s="1" t="s">
        <v>10</v>
      </c>
      <c r="B20567" s="2">
        <v>44798.0</v>
      </c>
      <c r="C20567" s="3">
        <v>0.8144560185185186</v>
      </c>
      <c r="D20567" s="1">
        <v>12.920266</v>
      </c>
      <c r="E20567" s="1">
        <v>80.144411</v>
      </c>
      <c r="F20567" s="1">
        <v>3143.0</v>
      </c>
      <c r="G20567" s="1">
        <v>15.0</v>
      </c>
    </row>
    <row r="20568">
      <c r="A20568" s="1" t="s">
        <v>8</v>
      </c>
      <c r="B20568" s="2">
        <v>44798.0</v>
      </c>
      <c r="C20568" s="3">
        <v>0.815474537037037</v>
      </c>
      <c r="D20568" s="1">
        <v>12.916787</v>
      </c>
      <c r="E20568" s="1">
        <v>80.144984</v>
      </c>
      <c r="F20568" s="1">
        <v>3143.0</v>
      </c>
      <c r="G20568" s="1">
        <v>45.0</v>
      </c>
    </row>
    <row r="20569">
      <c r="A20569" s="1" t="s">
        <v>10</v>
      </c>
      <c r="B20569" s="2">
        <v>44798.0</v>
      </c>
      <c r="C20569" s="3">
        <v>0.8182986111111111</v>
      </c>
      <c r="D20569" s="1">
        <v>12.894915</v>
      </c>
      <c r="E20569" s="1">
        <v>80.14138</v>
      </c>
      <c r="F20569" s="1">
        <v>3143.0</v>
      </c>
      <c r="G20569" s="1">
        <v>39.0</v>
      </c>
    </row>
    <row r="20570">
      <c r="A20570" s="1" t="s">
        <v>10</v>
      </c>
      <c r="B20570" s="2">
        <v>44798.0</v>
      </c>
      <c r="C20570" s="3">
        <v>0.8203356481481482</v>
      </c>
      <c r="D20570" s="1">
        <v>12.890028</v>
      </c>
      <c r="E20570" s="1">
        <v>80.137009</v>
      </c>
      <c r="F20570" s="1">
        <v>3143.0</v>
      </c>
      <c r="G20570" s="1">
        <v>22.0</v>
      </c>
    </row>
    <row r="20571">
      <c r="A20571" s="1" t="s">
        <v>8</v>
      </c>
      <c r="B20571" s="2">
        <v>44798.0</v>
      </c>
      <c r="C20571" s="3">
        <v>0.8271296296296297</v>
      </c>
      <c r="D20571" s="1">
        <v>12.863372</v>
      </c>
      <c r="E20571" s="1">
        <v>80.12726</v>
      </c>
      <c r="F20571" s="1">
        <v>3143.0</v>
      </c>
      <c r="G20571" s="1">
        <v>16.0</v>
      </c>
    </row>
    <row r="20572">
      <c r="A20572" s="1" t="s">
        <v>8</v>
      </c>
      <c r="B20572" s="2">
        <v>44798.0</v>
      </c>
      <c r="C20572" s="3">
        <v>0.8272106481481482</v>
      </c>
      <c r="D20572" s="1">
        <v>12.862942</v>
      </c>
      <c r="E20572" s="1">
        <v>80.12707</v>
      </c>
      <c r="F20572" s="1">
        <v>3143.0</v>
      </c>
      <c r="G20572" s="1">
        <v>4.0</v>
      </c>
    </row>
    <row r="20573">
      <c r="A20573" s="1" t="s">
        <v>8</v>
      </c>
      <c r="B20573" s="2">
        <v>44798.0</v>
      </c>
      <c r="C20573" s="3">
        <v>0.8280208333333333</v>
      </c>
      <c r="D20573" s="1">
        <v>12.864065</v>
      </c>
      <c r="E20573" s="1">
        <v>80.123405</v>
      </c>
      <c r="F20573" s="1">
        <v>3143.0</v>
      </c>
      <c r="G20573" s="1">
        <v>48.0</v>
      </c>
    </row>
    <row r="20574">
      <c r="A20574" s="1" t="s">
        <v>7</v>
      </c>
      <c r="B20574" s="2">
        <v>44798.0</v>
      </c>
      <c r="C20574" s="3">
        <v>0.8301967592592593</v>
      </c>
      <c r="D20574" s="1">
        <v>12.871212</v>
      </c>
      <c r="E20574" s="1">
        <v>80.102885</v>
      </c>
      <c r="F20574" s="1">
        <v>3143.0</v>
      </c>
      <c r="G20574" s="1">
        <v>44.0</v>
      </c>
    </row>
    <row r="20575">
      <c r="A20575" s="1" t="s">
        <v>8</v>
      </c>
      <c r="B20575" s="2">
        <v>44798.0</v>
      </c>
      <c r="C20575" s="3">
        <v>0.8303587962962963</v>
      </c>
      <c r="D20575" s="1">
        <v>12.871212</v>
      </c>
      <c r="E20575" s="1">
        <v>80.102885</v>
      </c>
      <c r="F20575" s="1">
        <v>3143.0</v>
      </c>
      <c r="G20575" s="1">
        <v>44.0</v>
      </c>
    </row>
    <row r="20576">
      <c r="A20576" s="1" t="s">
        <v>10</v>
      </c>
      <c r="B20576" s="2">
        <v>44799.0</v>
      </c>
      <c r="C20576" s="3">
        <v>0.24347222222222223</v>
      </c>
      <c r="D20576" s="1">
        <v>12.875835</v>
      </c>
      <c r="E20576" s="1">
        <v>80.082978</v>
      </c>
      <c r="F20576" s="1">
        <v>5339.0</v>
      </c>
      <c r="G20576" s="1">
        <v>0.0</v>
      </c>
    </row>
    <row r="20577">
      <c r="A20577" s="1" t="s">
        <v>7</v>
      </c>
      <c r="B20577" s="2">
        <v>44799.0</v>
      </c>
      <c r="C20577" s="3">
        <v>0.24725694444444443</v>
      </c>
      <c r="D20577" s="1">
        <v>12.88553</v>
      </c>
      <c r="E20577" s="1">
        <v>80.082581</v>
      </c>
      <c r="F20577" s="1">
        <v>5339.0</v>
      </c>
      <c r="G20577" s="1">
        <v>38.0</v>
      </c>
    </row>
    <row r="20578">
      <c r="A20578" s="1" t="s">
        <v>7</v>
      </c>
      <c r="B20578" s="2">
        <v>44799.0</v>
      </c>
      <c r="C20578" s="3">
        <v>0.2479976851851852</v>
      </c>
      <c r="D20578" s="1">
        <v>12.89432</v>
      </c>
      <c r="E20578" s="1">
        <v>80.087061</v>
      </c>
      <c r="F20578" s="1">
        <v>5339.0</v>
      </c>
      <c r="G20578" s="1">
        <v>58.0</v>
      </c>
    </row>
    <row r="20579">
      <c r="A20579" s="1" t="s">
        <v>7</v>
      </c>
      <c r="B20579" s="2">
        <v>44799.0</v>
      </c>
      <c r="C20579" s="3">
        <v>0.24895833333333334</v>
      </c>
      <c r="D20579" s="1">
        <v>12.903728</v>
      </c>
      <c r="E20579" s="1">
        <v>80.094144</v>
      </c>
      <c r="F20579" s="1">
        <v>5339.0</v>
      </c>
      <c r="G20579" s="1">
        <v>55.0</v>
      </c>
    </row>
    <row r="20580">
      <c r="A20580" s="1" t="s">
        <v>7</v>
      </c>
      <c r="B20580" s="2">
        <v>44799.0</v>
      </c>
      <c r="C20580" s="3">
        <v>0.24913194444444445</v>
      </c>
      <c r="D20580" s="1">
        <v>12.906076</v>
      </c>
      <c r="E20580" s="1">
        <v>80.095882</v>
      </c>
      <c r="F20580" s="1">
        <v>5339.0</v>
      </c>
      <c r="G20580" s="1">
        <v>57.0</v>
      </c>
    </row>
    <row r="20581">
      <c r="A20581" s="1" t="s">
        <v>8</v>
      </c>
      <c r="B20581" s="2">
        <v>44799.0</v>
      </c>
      <c r="C20581" s="3">
        <v>0.24921296296296297</v>
      </c>
      <c r="D20581" s="1">
        <v>12.906076</v>
      </c>
      <c r="E20581" s="1">
        <v>80.095882</v>
      </c>
      <c r="F20581" s="1">
        <v>5339.0</v>
      </c>
      <c r="G20581" s="1">
        <v>57.0</v>
      </c>
    </row>
    <row r="20582">
      <c r="A20582" s="1" t="s">
        <v>8</v>
      </c>
      <c r="B20582" s="2">
        <v>44799.0</v>
      </c>
      <c r="C20582" s="3">
        <v>0.2498263888888889</v>
      </c>
      <c r="D20582" s="1">
        <v>12.910324</v>
      </c>
      <c r="E20582" s="1">
        <v>80.100473</v>
      </c>
      <c r="F20582" s="1">
        <v>5339.0</v>
      </c>
      <c r="G20582" s="1">
        <v>36.0</v>
      </c>
    </row>
    <row r="20583">
      <c r="A20583" s="1" t="s">
        <v>8</v>
      </c>
      <c r="B20583" s="2">
        <v>44799.0</v>
      </c>
      <c r="C20583" s="3">
        <v>0.25019675925925927</v>
      </c>
      <c r="D20583" s="1">
        <v>12.913315</v>
      </c>
      <c r="E20583" s="1">
        <v>80.10154</v>
      </c>
      <c r="F20583" s="1">
        <v>5339.0</v>
      </c>
      <c r="G20583" s="1">
        <v>45.0</v>
      </c>
    </row>
    <row r="20584">
      <c r="A20584" s="1" t="s">
        <v>7</v>
      </c>
      <c r="B20584" s="2">
        <v>44799.0</v>
      </c>
      <c r="C20584" s="3">
        <v>0.2505324074074074</v>
      </c>
      <c r="D20584" s="1">
        <v>12.915763</v>
      </c>
      <c r="E20584" s="1">
        <v>80.104207</v>
      </c>
      <c r="F20584" s="1">
        <v>5339.0</v>
      </c>
      <c r="G20584" s="1">
        <v>56.0</v>
      </c>
    </row>
    <row r="20585">
      <c r="A20585" s="1" t="s">
        <v>8</v>
      </c>
      <c r="B20585" s="2">
        <v>44799.0</v>
      </c>
      <c r="C20585" s="3">
        <v>0.25081018518518516</v>
      </c>
      <c r="D20585" s="1">
        <v>12.916906</v>
      </c>
      <c r="E20585" s="1">
        <v>80.106783</v>
      </c>
      <c r="F20585" s="1">
        <v>5339.0</v>
      </c>
      <c r="G20585" s="1">
        <v>46.0</v>
      </c>
    </row>
    <row r="20586">
      <c r="A20586" s="1" t="s">
        <v>8</v>
      </c>
      <c r="B20586" s="2">
        <v>44799.0</v>
      </c>
      <c r="C20586" s="3">
        <v>0.2512152777777778</v>
      </c>
      <c r="D20586" s="1">
        <v>12.919732</v>
      </c>
      <c r="E20586" s="1">
        <v>80.110611</v>
      </c>
      <c r="F20586" s="1">
        <v>5339.0</v>
      </c>
      <c r="G20586" s="1">
        <v>46.0</v>
      </c>
    </row>
    <row r="20587">
      <c r="A20587" s="1" t="s">
        <v>8</v>
      </c>
      <c r="B20587" s="2">
        <v>44799.0</v>
      </c>
      <c r="C20587" s="3">
        <v>0.25125</v>
      </c>
      <c r="D20587" s="1">
        <v>12.919732</v>
      </c>
      <c r="E20587" s="1">
        <v>80.110611</v>
      </c>
      <c r="F20587" s="1">
        <v>5339.0</v>
      </c>
      <c r="G20587" s="1">
        <v>46.0</v>
      </c>
    </row>
    <row r="20588">
      <c r="A20588" s="1" t="s">
        <v>8</v>
      </c>
      <c r="B20588" s="2">
        <v>44799.0</v>
      </c>
      <c r="C20588" s="3">
        <v>0.25127314814814816</v>
      </c>
      <c r="D20588" s="1">
        <v>12.919732</v>
      </c>
      <c r="E20588" s="1">
        <v>80.110611</v>
      </c>
      <c r="F20588" s="1">
        <v>5339.0</v>
      </c>
      <c r="G20588" s="1">
        <v>46.0</v>
      </c>
    </row>
    <row r="20589">
      <c r="A20589" s="1" t="s">
        <v>9</v>
      </c>
      <c r="B20589" s="2">
        <v>44799.0</v>
      </c>
      <c r="C20589" s="3">
        <v>0.2525925925925926</v>
      </c>
      <c r="D20589" s="1">
        <v>12.924146</v>
      </c>
      <c r="E20589" s="1">
        <v>80.115832</v>
      </c>
      <c r="F20589" s="1">
        <v>5339.0</v>
      </c>
      <c r="G20589" s="1">
        <v>22.0</v>
      </c>
    </row>
    <row r="20590">
      <c r="A20590" s="1" t="s">
        <v>7</v>
      </c>
      <c r="B20590" s="2">
        <v>44799.0</v>
      </c>
      <c r="C20590" s="3">
        <v>0.25289351851851855</v>
      </c>
      <c r="D20590" s="1">
        <v>12.923294</v>
      </c>
      <c r="E20590" s="1">
        <v>80.121674</v>
      </c>
      <c r="F20590" s="1">
        <v>5339.0</v>
      </c>
      <c r="G20590" s="1">
        <v>49.0</v>
      </c>
    </row>
    <row r="20591">
      <c r="A20591" s="1" t="s">
        <v>7</v>
      </c>
      <c r="B20591" s="2">
        <v>44799.0</v>
      </c>
      <c r="C20591" s="3">
        <v>0.2571412037037037</v>
      </c>
      <c r="D20591" s="1">
        <v>12.941</v>
      </c>
      <c r="E20591" s="1">
        <v>80.131517</v>
      </c>
      <c r="F20591" s="1">
        <v>5339.0</v>
      </c>
      <c r="G20591" s="1">
        <v>58.0</v>
      </c>
    </row>
    <row r="20592">
      <c r="A20592" s="1" t="s">
        <v>7</v>
      </c>
      <c r="B20592" s="2">
        <v>44799.0</v>
      </c>
      <c r="C20592" s="3">
        <v>0.25766203703703705</v>
      </c>
      <c r="D20592" s="1">
        <v>12.94531</v>
      </c>
      <c r="E20592" s="1">
        <v>80.135538</v>
      </c>
      <c r="F20592" s="1">
        <v>5339.0</v>
      </c>
      <c r="G20592" s="1">
        <v>58.0</v>
      </c>
    </row>
    <row r="20593">
      <c r="A20593" s="1" t="s">
        <v>7</v>
      </c>
      <c r="B20593" s="2">
        <v>44799.0</v>
      </c>
      <c r="C20593" s="3">
        <v>0.25788194444444446</v>
      </c>
      <c r="D20593" s="1">
        <v>12.947668</v>
      </c>
      <c r="E20593" s="1">
        <v>80.137285</v>
      </c>
      <c r="F20593" s="1">
        <v>5339.0</v>
      </c>
      <c r="G20593" s="1">
        <v>58.0</v>
      </c>
    </row>
    <row r="20594">
      <c r="A20594" s="1" t="s">
        <v>7</v>
      </c>
      <c r="B20594" s="2">
        <v>44799.0</v>
      </c>
      <c r="C20594" s="3">
        <v>0.2579050925925926</v>
      </c>
      <c r="D20594" s="1">
        <v>12.947668</v>
      </c>
      <c r="E20594" s="1">
        <v>80.137285</v>
      </c>
      <c r="F20594" s="1">
        <v>5339.0</v>
      </c>
      <c r="G20594" s="1">
        <v>58.0</v>
      </c>
    </row>
    <row r="20595">
      <c r="A20595" s="1" t="s">
        <v>7</v>
      </c>
      <c r="B20595" s="2">
        <v>44799.0</v>
      </c>
      <c r="C20595" s="3">
        <v>0.25798611111111114</v>
      </c>
      <c r="D20595" s="1">
        <v>12.948868</v>
      </c>
      <c r="E20595" s="1">
        <v>80.138137</v>
      </c>
      <c r="F20595" s="1">
        <v>5339.0</v>
      </c>
      <c r="G20595" s="1">
        <v>58.0</v>
      </c>
    </row>
    <row r="20596">
      <c r="A20596" s="1" t="s">
        <v>8</v>
      </c>
      <c r="B20596" s="2">
        <v>44799.0</v>
      </c>
      <c r="C20596" s="3">
        <v>0.25806712962962963</v>
      </c>
      <c r="D20596" s="1">
        <v>12.950002</v>
      </c>
      <c r="E20596" s="1">
        <v>80.139088</v>
      </c>
      <c r="F20596" s="1">
        <v>5339.0</v>
      </c>
      <c r="G20596" s="1">
        <v>58.0</v>
      </c>
    </row>
    <row r="20597">
      <c r="A20597" s="1" t="s">
        <v>8</v>
      </c>
      <c r="B20597" s="2">
        <v>44799.0</v>
      </c>
      <c r="C20597" s="3">
        <v>0.2619560185185185</v>
      </c>
      <c r="D20597" s="1">
        <v>12.961773</v>
      </c>
      <c r="E20597" s="1">
        <v>80.146065</v>
      </c>
      <c r="F20597" s="1">
        <v>5339.0</v>
      </c>
      <c r="G20597" s="1">
        <v>38.0</v>
      </c>
    </row>
    <row r="20598">
      <c r="A20598" s="1" t="s">
        <v>7</v>
      </c>
      <c r="B20598" s="2">
        <v>44799.0</v>
      </c>
      <c r="C20598" s="3">
        <v>0.2622800925925926</v>
      </c>
      <c r="D20598" s="1">
        <v>12.963711</v>
      </c>
      <c r="E20598" s="1">
        <v>80.147151</v>
      </c>
      <c r="F20598" s="1">
        <v>5339.0</v>
      </c>
      <c r="G20598" s="1">
        <v>44.0</v>
      </c>
    </row>
    <row r="20599">
      <c r="A20599" s="1" t="s">
        <v>7</v>
      </c>
      <c r="B20599" s="2">
        <v>44799.0</v>
      </c>
      <c r="C20599" s="3">
        <v>0.2623726851851852</v>
      </c>
      <c r="D20599" s="1">
        <v>12.964707</v>
      </c>
      <c r="E20599" s="1">
        <v>80.147692</v>
      </c>
      <c r="F20599" s="1">
        <v>5339.0</v>
      </c>
      <c r="G20599" s="1">
        <v>47.0</v>
      </c>
    </row>
    <row r="20600">
      <c r="A20600" s="1" t="s">
        <v>7</v>
      </c>
      <c r="B20600" s="2">
        <v>44799.0</v>
      </c>
      <c r="C20600" s="3">
        <v>0.2632407407407407</v>
      </c>
      <c r="D20600" s="1">
        <v>12.973876</v>
      </c>
      <c r="E20600" s="1">
        <v>80.153886</v>
      </c>
      <c r="F20600" s="1">
        <v>5339.0</v>
      </c>
      <c r="G20600" s="1">
        <v>60.0</v>
      </c>
    </row>
    <row r="20601">
      <c r="A20601" s="1" t="s">
        <v>8</v>
      </c>
      <c r="B20601" s="2">
        <v>44799.0</v>
      </c>
      <c r="C20601" s="3">
        <v>0.2643402777777778</v>
      </c>
      <c r="D20601" s="1">
        <v>12.98076</v>
      </c>
      <c r="E20601" s="1">
        <v>80.165401</v>
      </c>
      <c r="F20601" s="1">
        <v>5339.0</v>
      </c>
      <c r="G20601" s="1">
        <v>56.0</v>
      </c>
    </row>
    <row r="20602">
      <c r="A20602" s="1" t="s">
        <v>7</v>
      </c>
      <c r="B20602" s="2">
        <v>44799.0</v>
      </c>
      <c r="C20602" s="3">
        <v>0.2653935185185185</v>
      </c>
      <c r="D20602" s="1">
        <v>12.987439</v>
      </c>
      <c r="E20602" s="1">
        <v>80.176088</v>
      </c>
      <c r="F20602" s="1">
        <v>5339.0</v>
      </c>
      <c r="G20602" s="1">
        <v>56.0</v>
      </c>
    </row>
    <row r="20603">
      <c r="A20603" s="1" t="s">
        <v>7</v>
      </c>
      <c r="B20603" s="2">
        <v>44799.0</v>
      </c>
      <c r="C20603" s="3">
        <v>0.2668287037037037</v>
      </c>
      <c r="D20603" s="1">
        <v>12.992511</v>
      </c>
      <c r="E20603" s="1">
        <v>80.182806</v>
      </c>
      <c r="F20603" s="1">
        <v>5339.0</v>
      </c>
      <c r="G20603" s="1">
        <v>58.0</v>
      </c>
    </row>
    <row r="20604">
      <c r="A20604" s="1" t="s">
        <v>8</v>
      </c>
      <c r="B20604" s="2">
        <v>44799.0</v>
      </c>
      <c r="C20604" s="3">
        <v>0.26774305555555555</v>
      </c>
      <c r="D20604" s="1">
        <v>13.000019</v>
      </c>
      <c r="E20604" s="1">
        <v>80.194185</v>
      </c>
      <c r="F20604" s="1">
        <v>5339.0</v>
      </c>
      <c r="G20604" s="1">
        <v>40.0</v>
      </c>
    </row>
    <row r="20605">
      <c r="A20605" s="1" t="s">
        <v>8</v>
      </c>
      <c r="B20605" s="2">
        <v>44799.0</v>
      </c>
      <c r="C20605" s="3">
        <v>0.26783564814814814</v>
      </c>
      <c r="D20605" s="1">
        <v>13.000729</v>
      </c>
      <c r="E20605" s="1">
        <v>80.195056</v>
      </c>
      <c r="F20605" s="1">
        <v>5339.0</v>
      </c>
      <c r="G20605" s="1">
        <v>41.0</v>
      </c>
    </row>
    <row r="20606">
      <c r="A20606" s="1" t="s">
        <v>8</v>
      </c>
      <c r="B20606" s="2">
        <v>44799.0</v>
      </c>
      <c r="C20606" s="3">
        <v>0.26810185185185187</v>
      </c>
      <c r="D20606" s="1">
        <v>13.001934</v>
      </c>
      <c r="E20606" s="1">
        <v>80.196593</v>
      </c>
      <c r="F20606" s="1">
        <v>5339.0</v>
      </c>
      <c r="G20606" s="1">
        <v>45.0</v>
      </c>
    </row>
    <row r="20607">
      <c r="A20607" s="1" t="s">
        <v>8</v>
      </c>
      <c r="B20607" s="2">
        <v>44799.0</v>
      </c>
      <c r="C20607" s="3">
        <v>0.27197916666666666</v>
      </c>
      <c r="D20607" s="1">
        <v>13.008074</v>
      </c>
      <c r="E20607" s="1">
        <v>80.208309</v>
      </c>
      <c r="F20607" s="1">
        <v>5339.0</v>
      </c>
      <c r="G20607" s="1">
        <v>45.0</v>
      </c>
    </row>
    <row r="20608">
      <c r="A20608" s="1" t="s">
        <v>8</v>
      </c>
      <c r="B20608" s="2">
        <v>44799.0</v>
      </c>
      <c r="C20608" s="3">
        <v>0.2721296296296296</v>
      </c>
      <c r="D20608" s="1">
        <v>13.008226</v>
      </c>
      <c r="E20608" s="1">
        <v>80.209468</v>
      </c>
      <c r="F20608" s="1">
        <v>5339.0</v>
      </c>
      <c r="G20608" s="1">
        <v>42.0</v>
      </c>
    </row>
    <row r="20609">
      <c r="A20609" s="1" t="s">
        <v>7</v>
      </c>
      <c r="B20609" s="2">
        <v>44799.0</v>
      </c>
      <c r="C20609" s="3">
        <v>0.2725</v>
      </c>
      <c r="D20609" s="1">
        <v>13.009367</v>
      </c>
      <c r="E20609" s="1">
        <v>80.212705</v>
      </c>
      <c r="F20609" s="1">
        <v>5339.0</v>
      </c>
      <c r="G20609" s="1">
        <v>44.0</v>
      </c>
    </row>
    <row r="20610">
      <c r="A20610" s="1" t="s">
        <v>7</v>
      </c>
      <c r="B20610" s="2">
        <v>44799.0</v>
      </c>
      <c r="C20610" s="3">
        <v>0.2727777777777778</v>
      </c>
      <c r="D20610" s="1">
        <v>13.010709</v>
      </c>
      <c r="E20610" s="1">
        <v>80.216688</v>
      </c>
      <c r="F20610" s="1">
        <v>5339.0</v>
      </c>
      <c r="G20610" s="1">
        <v>55.0</v>
      </c>
    </row>
    <row r="20611">
      <c r="A20611" s="1" t="s">
        <v>7</v>
      </c>
      <c r="B20611" s="2">
        <v>44799.0</v>
      </c>
      <c r="C20611" s="3">
        <v>0.27293981481481483</v>
      </c>
      <c r="D20611" s="1">
        <v>13.011294</v>
      </c>
      <c r="E20611" s="1">
        <v>80.218014</v>
      </c>
      <c r="F20611" s="1">
        <v>5339.0</v>
      </c>
      <c r="G20611" s="1">
        <v>58.0</v>
      </c>
    </row>
    <row r="20612">
      <c r="A20612" s="1" t="s">
        <v>7</v>
      </c>
      <c r="B20612" s="2">
        <v>44799.0</v>
      </c>
      <c r="C20612" s="3">
        <v>0.2730208333333333</v>
      </c>
      <c r="D20612" s="1">
        <v>13.011787</v>
      </c>
      <c r="E20612" s="1">
        <v>80.219426</v>
      </c>
      <c r="F20612" s="1">
        <v>5339.0</v>
      </c>
      <c r="G20612" s="1">
        <v>59.0</v>
      </c>
    </row>
    <row r="20613">
      <c r="A20613" s="1" t="s">
        <v>8</v>
      </c>
      <c r="B20613" s="2">
        <v>44799.0</v>
      </c>
      <c r="C20613" s="3">
        <v>0.27392361111111113</v>
      </c>
      <c r="D20613" s="1">
        <v>13.018612</v>
      </c>
      <c r="E20613" s="1">
        <v>80.224527</v>
      </c>
      <c r="F20613" s="1">
        <v>5339.0</v>
      </c>
      <c r="G20613" s="1">
        <v>44.0</v>
      </c>
    </row>
    <row r="20614">
      <c r="A20614" s="1" t="s">
        <v>8</v>
      </c>
      <c r="B20614" s="2">
        <v>44799.0</v>
      </c>
      <c r="C20614" s="3">
        <v>0.27445601851851853</v>
      </c>
      <c r="D20614" s="1">
        <v>13.021537</v>
      </c>
      <c r="E20614" s="1">
        <v>80.225883</v>
      </c>
      <c r="F20614" s="1">
        <v>5339.0</v>
      </c>
      <c r="G20614" s="1">
        <v>46.0</v>
      </c>
    </row>
    <row r="20615">
      <c r="A20615" s="1" t="s">
        <v>8</v>
      </c>
      <c r="B20615" s="2">
        <v>44799.0</v>
      </c>
      <c r="C20615" s="3">
        <v>0.27576388888888886</v>
      </c>
      <c r="D20615" s="1">
        <v>13.026588</v>
      </c>
      <c r="E20615" s="1">
        <v>80.232956</v>
      </c>
      <c r="F20615" s="1">
        <v>5339.0</v>
      </c>
      <c r="G20615" s="1">
        <v>48.0</v>
      </c>
    </row>
    <row r="20616">
      <c r="A20616" s="1" t="s">
        <v>8</v>
      </c>
      <c r="B20616" s="2">
        <v>44799.0</v>
      </c>
      <c r="C20616" s="3">
        <v>0.2758912037037037</v>
      </c>
      <c r="D20616" s="1">
        <v>13.027907</v>
      </c>
      <c r="E20616" s="1">
        <v>80.235251</v>
      </c>
      <c r="F20616" s="1">
        <v>5339.0</v>
      </c>
      <c r="G20616" s="1">
        <v>53.0</v>
      </c>
    </row>
    <row r="20617">
      <c r="A20617" s="1" t="s">
        <v>8</v>
      </c>
      <c r="B20617" s="2">
        <v>44799.0</v>
      </c>
      <c r="C20617" s="3">
        <v>0.27599537037037036</v>
      </c>
      <c r="D20617" s="1">
        <v>13.027907</v>
      </c>
      <c r="E20617" s="1">
        <v>80.235251</v>
      </c>
      <c r="F20617" s="1">
        <v>5339.0</v>
      </c>
      <c r="G20617" s="1">
        <v>53.0</v>
      </c>
    </row>
    <row r="20618">
      <c r="A20618" s="1" t="s">
        <v>10</v>
      </c>
      <c r="B20618" s="2">
        <v>44799.0</v>
      </c>
      <c r="C20618" s="3">
        <v>0.27717592592592594</v>
      </c>
      <c r="D20618" s="1">
        <v>13.034024</v>
      </c>
      <c r="E20618" s="1">
        <v>80.239116</v>
      </c>
      <c r="F20618" s="1">
        <v>5339.0</v>
      </c>
      <c r="G20618" s="1">
        <v>19.0</v>
      </c>
    </row>
    <row r="20619">
      <c r="A20619" s="1" t="s">
        <v>8</v>
      </c>
      <c r="B20619" s="2">
        <v>44799.0</v>
      </c>
      <c r="C20619" s="3">
        <v>0.28888888888888886</v>
      </c>
      <c r="D20619" s="1">
        <v>13.06615</v>
      </c>
      <c r="E20619" s="1">
        <v>80.244228</v>
      </c>
      <c r="F20619" s="1">
        <v>5339.0</v>
      </c>
      <c r="G20619" s="1">
        <v>30.0</v>
      </c>
    </row>
    <row r="20620">
      <c r="A20620" s="1" t="s">
        <v>8</v>
      </c>
      <c r="B20620" s="2">
        <v>44799.0</v>
      </c>
      <c r="C20620" s="3">
        <v>0.2889814814814815</v>
      </c>
      <c r="D20620" s="1">
        <v>13.06615</v>
      </c>
      <c r="E20620" s="1">
        <v>80.244228</v>
      </c>
      <c r="F20620" s="1">
        <v>5339.0</v>
      </c>
      <c r="G20620" s="1">
        <v>30.0</v>
      </c>
    </row>
    <row r="20621">
      <c r="A20621" s="1" t="s">
        <v>9</v>
      </c>
      <c r="B20621" s="2">
        <v>44799.0</v>
      </c>
      <c r="C20621" s="3">
        <v>0.28934027777777777</v>
      </c>
      <c r="D20621" s="1">
        <v>13.067991</v>
      </c>
      <c r="E20621" s="1">
        <v>80.247182</v>
      </c>
      <c r="F20621" s="1">
        <v>5339.0</v>
      </c>
      <c r="G20621" s="1">
        <v>38.0</v>
      </c>
    </row>
    <row r="20622">
      <c r="A20622" s="1" t="s">
        <v>8</v>
      </c>
      <c r="B20622" s="2">
        <v>44799.0</v>
      </c>
      <c r="C20622" s="3">
        <v>0.3084953703703704</v>
      </c>
      <c r="D20622" s="1">
        <v>13.063594</v>
      </c>
      <c r="E20622" s="1">
        <v>80.274099</v>
      </c>
      <c r="F20622" s="1">
        <v>5339.0</v>
      </c>
      <c r="G20622" s="1">
        <v>23.0</v>
      </c>
    </row>
    <row r="20623">
      <c r="A20623" s="1" t="s">
        <v>8</v>
      </c>
      <c r="B20623" s="2">
        <v>44799.0</v>
      </c>
      <c r="C20623" s="3">
        <v>0.3084953703703704</v>
      </c>
      <c r="D20623" s="1">
        <v>13.061906</v>
      </c>
      <c r="E20623" s="1">
        <v>80.274314</v>
      </c>
      <c r="F20623" s="1">
        <v>5339.0</v>
      </c>
      <c r="G20623" s="1">
        <v>27.0</v>
      </c>
    </row>
    <row r="20624">
      <c r="A20624" s="1" t="s">
        <v>10</v>
      </c>
      <c r="B20624" s="2">
        <v>44799.0</v>
      </c>
      <c r="C20624" s="3">
        <v>0.3116319444444444</v>
      </c>
      <c r="D20624" s="1">
        <v>13.053349</v>
      </c>
      <c r="E20624" s="1">
        <v>80.270222</v>
      </c>
      <c r="F20624" s="1">
        <v>5339.0</v>
      </c>
      <c r="G20624" s="1">
        <v>26.0</v>
      </c>
    </row>
    <row r="20625">
      <c r="A20625" s="1" t="s">
        <v>10</v>
      </c>
      <c r="B20625" s="2">
        <v>44799.0</v>
      </c>
      <c r="C20625" s="3">
        <v>0.3117824074074074</v>
      </c>
      <c r="D20625" s="1">
        <v>13.053349</v>
      </c>
      <c r="E20625" s="1">
        <v>80.270222</v>
      </c>
      <c r="F20625" s="1">
        <v>5339.0</v>
      </c>
      <c r="G20625" s="1">
        <v>26.0</v>
      </c>
    </row>
    <row r="20626">
      <c r="A20626" s="1" t="s">
        <v>8</v>
      </c>
      <c r="B20626" s="2">
        <v>44799.0</v>
      </c>
      <c r="C20626" s="3">
        <v>0.7458217592592593</v>
      </c>
      <c r="D20626" s="1">
        <v>12.887068</v>
      </c>
      <c r="E20626" s="1">
        <v>80.083287</v>
      </c>
      <c r="F20626" s="1">
        <v>5339.0</v>
      </c>
      <c r="G20626" s="1">
        <v>54.0</v>
      </c>
    </row>
    <row r="20627">
      <c r="A20627" s="1" t="s">
        <v>8</v>
      </c>
      <c r="B20627" s="2">
        <v>44799.0</v>
      </c>
      <c r="C20627" s="3">
        <v>0.7458217592592593</v>
      </c>
      <c r="D20627" s="1">
        <v>12.887068</v>
      </c>
      <c r="E20627" s="1">
        <v>80.083287</v>
      </c>
      <c r="F20627" s="1">
        <v>5339.0</v>
      </c>
      <c r="G20627" s="1">
        <v>54.0</v>
      </c>
    </row>
    <row r="20628">
      <c r="A20628" s="1" t="s">
        <v>8</v>
      </c>
      <c r="B20628" s="2">
        <v>44799.0</v>
      </c>
      <c r="C20628" s="3">
        <v>0.7458333333333333</v>
      </c>
      <c r="D20628" s="1">
        <v>12.887068</v>
      </c>
      <c r="E20628" s="1">
        <v>80.083287</v>
      </c>
      <c r="F20628" s="1">
        <v>5339.0</v>
      </c>
      <c r="G20628" s="1">
        <v>54.0</v>
      </c>
    </row>
    <row r="20629">
      <c r="A20629" s="1" t="s">
        <v>8</v>
      </c>
      <c r="B20629" s="2">
        <v>44799.0</v>
      </c>
      <c r="C20629" s="3">
        <v>0.7458564814814815</v>
      </c>
      <c r="D20629" s="1">
        <v>12.887068</v>
      </c>
      <c r="E20629" s="1">
        <v>80.083287</v>
      </c>
      <c r="F20629" s="1">
        <v>5339.0</v>
      </c>
      <c r="G20629" s="1">
        <v>54.0</v>
      </c>
    </row>
    <row r="20630">
      <c r="A20630" s="1" t="s">
        <v>10</v>
      </c>
      <c r="B20630" s="2">
        <v>44799.0</v>
      </c>
      <c r="C20630" s="3">
        <v>0.7473842592592592</v>
      </c>
      <c r="D20630" s="1">
        <v>13.070692</v>
      </c>
      <c r="E20630" s="1">
        <v>80.265488</v>
      </c>
      <c r="F20630" s="1">
        <v>5339.0</v>
      </c>
      <c r="G20630" s="1">
        <v>23.0</v>
      </c>
    </row>
    <row r="20631">
      <c r="A20631" s="1" t="s">
        <v>10</v>
      </c>
      <c r="B20631" s="2">
        <v>44799.0</v>
      </c>
      <c r="C20631" s="3">
        <v>0.7474305555555556</v>
      </c>
      <c r="D20631" s="1">
        <v>13.070692</v>
      </c>
      <c r="E20631" s="1">
        <v>80.265488</v>
      </c>
      <c r="F20631" s="1">
        <v>5339.0</v>
      </c>
      <c r="G20631" s="1">
        <v>23.0</v>
      </c>
    </row>
    <row r="20632">
      <c r="A20632" s="1" t="s">
        <v>10</v>
      </c>
      <c r="B20632" s="2">
        <v>44799.0</v>
      </c>
      <c r="C20632" s="3">
        <v>0.7538541666666667</v>
      </c>
      <c r="D20632" s="1">
        <v>13.064384</v>
      </c>
      <c r="E20632" s="1">
        <v>80.248106</v>
      </c>
      <c r="F20632" s="1">
        <v>5339.0</v>
      </c>
      <c r="G20632" s="1">
        <v>9.0</v>
      </c>
    </row>
    <row r="20633">
      <c r="A20633" s="1" t="s">
        <v>10</v>
      </c>
      <c r="B20633" s="2">
        <v>44799.0</v>
      </c>
      <c r="C20633" s="3">
        <v>0.7540393518518519</v>
      </c>
      <c r="D20633" s="1">
        <v>13.0642</v>
      </c>
      <c r="E20633" s="1">
        <v>80.249069</v>
      </c>
      <c r="F20633" s="1">
        <v>5339.0</v>
      </c>
      <c r="G20633" s="1">
        <v>13.0</v>
      </c>
    </row>
    <row r="20634">
      <c r="A20634" s="1" t="s">
        <v>10</v>
      </c>
      <c r="B20634" s="2">
        <v>44799.0</v>
      </c>
      <c r="C20634" s="3">
        <v>0.7544907407407407</v>
      </c>
      <c r="D20634" s="1">
        <v>13.06383</v>
      </c>
      <c r="E20634" s="1">
        <v>80.250234</v>
      </c>
      <c r="F20634" s="1">
        <v>5339.0</v>
      </c>
      <c r="G20634" s="1">
        <v>0.0</v>
      </c>
    </row>
    <row r="20635">
      <c r="A20635" s="1" t="s">
        <v>7</v>
      </c>
      <c r="B20635" s="2">
        <v>44802.0</v>
      </c>
      <c r="C20635" s="3">
        <v>0.2767939814814815</v>
      </c>
      <c r="D20635" s="1">
        <v>12.888071</v>
      </c>
      <c r="E20635" s="1">
        <v>80.083677</v>
      </c>
      <c r="F20635" s="1">
        <v>3143.0</v>
      </c>
      <c r="G20635" s="1">
        <v>53.0</v>
      </c>
    </row>
    <row r="20636">
      <c r="A20636" s="1" t="s">
        <v>7</v>
      </c>
      <c r="B20636" s="2">
        <v>44802.0</v>
      </c>
      <c r="C20636" s="3">
        <v>0.2772222222222222</v>
      </c>
      <c r="D20636" s="1">
        <v>12.893126</v>
      </c>
      <c r="E20636" s="1">
        <v>80.086209</v>
      </c>
      <c r="F20636" s="1">
        <v>3143.0</v>
      </c>
      <c r="G20636" s="1">
        <v>53.0</v>
      </c>
    </row>
    <row r="20637">
      <c r="A20637" s="1" t="s">
        <v>7</v>
      </c>
      <c r="B20637" s="2">
        <v>44802.0</v>
      </c>
      <c r="C20637" s="3">
        <v>0.2781712962962963</v>
      </c>
      <c r="D20637" s="1">
        <v>12.902052</v>
      </c>
      <c r="E20637" s="1">
        <v>80.092893</v>
      </c>
      <c r="F20637" s="1">
        <v>3143.0</v>
      </c>
      <c r="G20637" s="1">
        <v>52.0</v>
      </c>
    </row>
    <row r="20638">
      <c r="A20638" s="1" t="s">
        <v>7</v>
      </c>
      <c r="B20638" s="2">
        <v>44802.0</v>
      </c>
      <c r="C20638" s="3">
        <v>0.28054398148148146</v>
      </c>
      <c r="D20638" s="1">
        <v>12.91712</v>
      </c>
      <c r="E20638" s="1">
        <v>80.107218</v>
      </c>
      <c r="F20638" s="1">
        <v>3143.0</v>
      </c>
      <c r="G20638" s="1">
        <v>57.0</v>
      </c>
    </row>
    <row r="20639">
      <c r="A20639" s="1" t="s">
        <v>8</v>
      </c>
      <c r="B20639" s="2">
        <v>44802.0</v>
      </c>
      <c r="C20639" s="3">
        <v>0.28087962962962965</v>
      </c>
      <c r="D20639" s="1">
        <v>12.919069</v>
      </c>
      <c r="E20639" s="1">
        <v>80.109783</v>
      </c>
      <c r="F20639" s="1">
        <v>3143.0</v>
      </c>
      <c r="G20639" s="1">
        <v>55.0</v>
      </c>
    </row>
    <row r="20640">
      <c r="A20640" s="1" t="s">
        <v>7</v>
      </c>
      <c r="B20640" s="2">
        <v>44802.0</v>
      </c>
      <c r="C20640" s="3">
        <v>0.2813657407407407</v>
      </c>
      <c r="D20640" s="1">
        <v>12.923305</v>
      </c>
      <c r="E20640" s="1">
        <v>80.114373</v>
      </c>
      <c r="F20640" s="1">
        <v>3143.0</v>
      </c>
      <c r="G20640" s="1">
        <v>49.0</v>
      </c>
    </row>
    <row r="20641">
      <c r="A20641" s="1" t="s">
        <v>7</v>
      </c>
      <c r="B20641" s="2">
        <v>44802.0</v>
      </c>
      <c r="C20641" s="3">
        <v>0.2900578703703704</v>
      </c>
      <c r="D20641" s="1">
        <v>12.945379</v>
      </c>
      <c r="E20641" s="1">
        <v>80.135589</v>
      </c>
      <c r="F20641" s="1">
        <v>3143.0</v>
      </c>
      <c r="G20641" s="1">
        <v>52.0</v>
      </c>
    </row>
    <row r="20642">
      <c r="A20642" s="1" t="s">
        <v>8</v>
      </c>
      <c r="B20642" s="2">
        <v>44802.0</v>
      </c>
      <c r="C20642" s="3">
        <v>0.29127314814814814</v>
      </c>
      <c r="D20642" s="1">
        <v>12.954528</v>
      </c>
      <c r="E20642" s="1">
        <v>80.142218</v>
      </c>
      <c r="F20642" s="1">
        <v>3143.0</v>
      </c>
      <c r="G20642" s="1">
        <v>46.0</v>
      </c>
    </row>
    <row r="20643">
      <c r="A20643" s="1" t="s">
        <v>8</v>
      </c>
      <c r="B20643" s="2">
        <v>44802.0</v>
      </c>
      <c r="C20643" s="3">
        <v>0.2927430555555556</v>
      </c>
      <c r="D20643" s="1">
        <v>12.960401</v>
      </c>
      <c r="E20643" s="1">
        <v>80.145714</v>
      </c>
      <c r="F20643" s="1">
        <v>3143.0</v>
      </c>
      <c r="G20643" s="1">
        <v>20.0</v>
      </c>
    </row>
    <row r="20644">
      <c r="A20644" s="1" t="s">
        <v>7</v>
      </c>
      <c r="B20644" s="2">
        <v>44802.0</v>
      </c>
      <c r="C20644" s="3">
        <v>0.2934953703703704</v>
      </c>
      <c r="D20644" s="1">
        <v>12.958164</v>
      </c>
      <c r="E20644" s="1">
        <v>80.150771</v>
      </c>
      <c r="F20644" s="1">
        <v>3143.0</v>
      </c>
      <c r="G20644" s="1">
        <v>52.0</v>
      </c>
    </row>
    <row r="20645">
      <c r="A20645" s="1" t="s">
        <v>7</v>
      </c>
      <c r="B20645" s="2">
        <v>44802.0</v>
      </c>
      <c r="C20645" s="3">
        <v>0.29408564814814814</v>
      </c>
      <c r="D20645" s="1">
        <v>12.95499</v>
      </c>
      <c r="E20645" s="1">
        <v>80.15665</v>
      </c>
      <c r="F20645" s="1">
        <v>3143.0</v>
      </c>
      <c r="G20645" s="1">
        <v>58.0</v>
      </c>
    </row>
    <row r="20646">
      <c r="A20646" s="1" t="s">
        <v>7</v>
      </c>
      <c r="B20646" s="2">
        <v>44802.0</v>
      </c>
      <c r="C20646" s="3">
        <v>0.29454861111111114</v>
      </c>
      <c r="D20646" s="1">
        <v>12.953604</v>
      </c>
      <c r="E20646" s="1">
        <v>80.163521</v>
      </c>
      <c r="F20646" s="1">
        <v>3143.0</v>
      </c>
      <c r="G20646" s="1">
        <v>54.0</v>
      </c>
    </row>
    <row r="20647">
      <c r="A20647" s="1" t="s">
        <v>7</v>
      </c>
      <c r="B20647" s="2">
        <v>44802.0</v>
      </c>
      <c r="C20647" s="3">
        <v>0.29552083333333334</v>
      </c>
      <c r="D20647" s="1">
        <v>12.952923</v>
      </c>
      <c r="E20647" s="1">
        <v>80.166496</v>
      </c>
      <c r="F20647" s="1">
        <v>3143.0</v>
      </c>
      <c r="G20647" s="1">
        <v>33.0</v>
      </c>
    </row>
    <row r="20648">
      <c r="A20648" s="1" t="s">
        <v>7</v>
      </c>
      <c r="B20648" s="2">
        <v>44802.0</v>
      </c>
      <c r="C20648" s="3">
        <v>0.2957060185185185</v>
      </c>
      <c r="D20648" s="1">
        <v>12.951814</v>
      </c>
      <c r="E20648" s="1">
        <v>80.17174</v>
      </c>
      <c r="F20648" s="1">
        <v>3143.0</v>
      </c>
      <c r="G20648" s="1">
        <v>46.0</v>
      </c>
    </row>
    <row r="20649">
      <c r="A20649" s="1" t="s">
        <v>7</v>
      </c>
      <c r="B20649" s="2">
        <v>44802.0</v>
      </c>
      <c r="C20649" s="3">
        <v>0.29609953703703706</v>
      </c>
      <c r="D20649" s="1">
        <v>12.951043</v>
      </c>
      <c r="E20649" s="1">
        <v>80.175689</v>
      </c>
      <c r="F20649" s="1">
        <v>3143.0</v>
      </c>
      <c r="G20649" s="1">
        <v>49.0</v>
      </c>
    </row>
    <row r="20650">
      <c r="A20650" s="1" t="s">
        <v>7</v>
      </c>
      <c r="B20650" s="2">
        <v>44802.0</v>
      </c>
      <c r="C20650" s="3">
        <v>0.2963425925925926</v>
      </c>
      <c r="D20650" s="1">
        <v>12.950032</v>
      </c>
      <c r="E20650" s="1">
        <v>80.179769</v>
      </c>
      <c r="F20650" s="1">
        <v>3143.0</v>
      </c>
      <c r="G20650" s="1">
        <v>49.0</v>
      </c>
    </row>
    <row r="20651">
      <c r="A20651" s="1" t="s">
        <v>7</v>
      </c>
      <c r="B20651" s="2">
        <v>44802.0</v>
      </c>
      <c r="C20651" s="3">
        <v>0.29641203703703706</v>
      </c>
      <c r="D20651" s="1">
        <v>12.950032</v>
      </c>
      <c r="E20651" s="1">
        <v>80.179769</v>
      </c>
      <c r="F20651" s="1">
        <v>3143.0</v>
      </c>
      <c r="G20651" s="1">
        <v>49.0</v>
      </c>
    </row>
    <row r="20652">
      <c r="A20652" s="1" t="s">
        <v>7</v>
      </c>
      <c r="B20652" s="2">
        <v>44802.0</v>
      </c>
      <c r="C20652" s="3">
        <v>0.2977662037037037</v>
      </c>
      <c r="D20652" s="1">
        <v>12.948642</v>
      </c>
      <c r="E20652" s="1">
        <v>80.193121</v>
      </c>
      <c r="F20652" s="1">
        <v>3143.0</v>
      </c>
      <c r="G20652" s="1">
        <v>52.0</v>
      </c>
    </row>
    <row r="20653">
      <c r="A20653" s="1" t="s">
        <v>8</v>
      </c>
      <c r="B20653" s="2">
        <v>44802.0</v>
      </c>
      <c r="C20653" s="3">
        <v>0.2993287037037037</v>
      </c>
      <c r="D20653" s="1">
        <v>13.066953</v>
      </c>
      <c r="E20653" s="1">
        <v>80.246145</v>
      </c>
      <c r="F20653" s="1">
        <v>5339.0</v>
      </c>
      <c r="G20653" s="1">
        <v>41.0</v>
      </c>
    </row>
    <row r="20654">
      <c r="A20654" s="1" t="s">
        <v>7</v>
      </c>
      <c r="B20654" s="2">
        <v>44802.0</v>
      </c>
      <c r="C20654" s="3">
        <v>0.30086805555555557</v>
      </c>
      <c r="D20654" s="1">
        <v>12.955716</v>
      </c>
      <c r="E20654" s="1">
        <v>80.212764</v>
      </c>
      <c r="F20654" s="1">
        <v>3143.0</v>
      </c>
      <c r="G20654" s="1">
        <v>45.0</v>
      </c>
    </row>
    <row r="20655">
      <c r="A20655" s="1" t="s">
        <v>7</v>
      </c>
      <c r="B20655" s="2">
        <v>44802.0</v>
      </c>
      <c r="C20655" s="3">
        <v>0.30105324074074075</v>
      </c>
      <c r="D20655" s="1">
        <v>12.957586</v>
      </c>
      <c r="E20655" s="1">
        <v>80.213538</v>
      </c>
      <c r="F20655" s="1">
        <v>3143.0</v>
      </c>
      <c r="G20655" s="1">
        <v>54.0</v>
      </c>
    </row>
    <row r="20656">
      <c r="A20656" s="1" t="s">
        <v>7</v>
      </c>
      <c r="B20656" s="2">
        <v>44802.0</v>
      </c>
      <c r="C20656" s="3">
        <v>0.30244212962962963</v>
      </c>
      <c r="D20656" s="1">
        <v>12.967029</v>
      </c>
      <c r="E20656" s="1">
        <v>80.217337</v>
      </c>
      <c r="F20656" s="1">
        <v>3143.0</v>
      </c>
      <c r="G20656" s="1">
        <v>40.0</v>
      </c>
    </row>
    <row r="20657">
      <c r="A20657" s="1" t="s">
        <v>10</v>
      </c>
      <c r="B20657" s="2">
        <v>44802.0</v>
      </c>
      <c r="C20657" s="3">
        <v>0.30270833333333336</v>
      </c>
      <c r="D20657" s="1">
        <v>13.071727</v>
      </c>
      <c r="E20657" s="1">
        <v>80.264495</v>
      </c>
      <c r="F20657" s="1">
        <v>5339.0</v>
      </c>
      <c r="G20657" s="1">
        <v>37.0</v>
      </c>
    </row>
    <row r="20658">
      <c r="A20658" s="1" t="s">
        <v>10</v>
      </c>
      <c r="B20658" s="2">
        <v>44802.0</v>
      </c>
      <c r="C20658" s="3">
        <v>0.302962962962963</v>
      </c>
      <c r="D20658" s="1">
        <v>13.071132</v>
      </c>
      <c r="E20658" s="1">
        <v>80.26516</v>
      </c>
      <c r="F20658" s="1">
        <v>5339.0</v>
      </c>
      <c r="G20658" s="1">
        <v>0.0</v>
      </c>
    </row>
    <row r="20659">
      <c r="A20659" s="1" t="s">
        <v>10</v>
      </c>
      <c r="B20659" s="2">
        <v>44802.0</v>
      </c>
      <c r="C20659" s="3">
        <v>0.30519675925925926</v>
      </c>
      <c r="D20659" s="1">
        <v>13.066789</v>
      </c>
      <c r="E20659" s="1">
        <v>80.273742</v>
      </c>
      <c r="F20659" s="1">
        <v>5339.0</v>
      </c>
      <c r="G20659" s="1">
        <v>18.0</v>
      </c>
    </row>
    <row r="20660">
      <c r="A20660" s="1" t="s">
        <v>10</v>
      </c>
      <c r="B20660" s="2">
        <v>44802.0</v>
      </c>
      <c r="C20660" s="3">
        <v>0.3053587962962963</v>
      </c>
      <c r="D20660" s="1">
        <v>13.065158</v>
      </c>
      <c r="E20660" s="1">
        <v>80.273885</v>
      </c>
      <c r="F20660" s="1">
        <v>5339.0</v>
      </c>
      <c r="G20660" s="1">
        <v>18.0</v>
      </c>
    </row>
    <row r="20661">
      <c r="A20661" s="1" t="s">
        <v>10</v>
      </c>
      <c r="B20661" s="2">
        <v>44802.0</v>
      </c>
      <c r="C20661" s="3">
        <v>0.3068287037037037</v>
      </c>
      <c r="D20661" s="1">
        <v>13.060348</v>
      </c>
      <c r="E20661" s="1">
        <v>80.274337</v>
      </c>
      <c r="F20661" s="1">
        <v>5339.0</v>
      </c>
      <c r="G20661" s="1">
        <v>0.0</v>
      </c>
    </row>
    <row r="20662">
      <c r="A20662" s="1" t="s">
        <v>9</v>
      </c>
      <c r="B20662" s="2">
        <v>44802.0</v>
      </c>
      <c r="C20662" s="3">
        <v>0.30758101851851855</v>
      </c>
      <c r="D20662" s="1">
        <v>13.058585</v>
      </c>
      <c r="E20662" s="1">
        <v>80.27416</v>
      </c>
      <c r="F20662" s="1">
        <v>5339.0</v>
      </c>
      <c r="G20662" s="1">
        <v>25.0</v>
      </c>
    </row>
    <row r="20663">
      <c r="A20663" s="1" t="s">
        <v>10</v>
      </c>
      <c r="B20663" s="2">
        <v>44802.0</v>
      </c>
      <c r="C20663" s="3">
        <v>0.30787037037037035</v>
      </c>
      <c r="D20663" s="1">
        <v>13.056818</v>
      </c>
      <c r="E20663" s="1">
        <v>80.273947</v>
      </c>
      <c r="F20663" s="1">
        <v>5339.0</v>
      </c>
      <c r="G20663" s="1">
        <v>19.0</v>
      </c>
    </row>
    <row r="20664">
      <c r="A20664" s="1" t="s">
        <v>10</v>
      </c>
      <c r="B20664" s="2">
        <v>44802.0</v>
      </c>
      <c r="C20664" s="3">
        <v>0.3085648148148148</v>
      </c>
      <c r="D20664" s="1">
        <v>13.05421</v>
      </c>
      <c r="E20664" s="1">
        <v>80.273794</v>
      </c>
      <c r="F20664" s="1">
        <v>5339.0</v>
      </c>
      <c r="G20664" s="1">
        <v>23.0</v>
      </c>
    </row>
    <row r="20665">
      <c r="A20665" s="1" t="s">
        <v>10</v>
      </c>
      <c r="B20665" s="2">
        <v>44802.0</v>
      </c>
      <c r="C20665" s="3">
        <v>0.30984953703703705</v>
      </c>
      <c r="D20665" s="1">
        <v>13.053372</v>
      </c>
      <c r="E20665" s="1">
        <v>80.270043</v>
      </c>
      <c r="F20665" s="1">
        <v>5339.0</v>
      </c>
      <c r="G20665" s="1">
        <v>27.0</v>
      </c>
    </row>
    <row r="20666">
      <c r="A20666" s="1" t="s">
        <v>8</v>
      </c>
      <c r="B20666" s="2">
        <v>44802.0</v>
      </c>
      <c r="C20666" s="3">
        <v>0.3126388888888889</v>
      </c>
      <c r="D20666" s="1">
        <v>13.054034</v>
      </c>
      <c r="E20666" s="1">
        <v>80.253381</v>
      </c>
      <c r="F20666" s="1">
        <v>5339.0</v>
      </c>
      <c r="G20666" s="1">
        <v>45.0</v>
      </c>
    </row>
    <row r="20667">
      <c r="A20667" s="1" t="s">
        <v>8</v>
      </c>
      <c r="B20667" s="2">
        <v>44802.0</v>
      </c>
      <c r="C20667" s="3">
        <v>0.3127662037037037</v>
      </c>
      <c r="D20667" s="1">
        <v>13.053381</v>
      </c>
      <c r="E20667" s="1">
        <v>80.252436</v>
      </c>
      <c r="F20667" s="1">
        <v>5339.0</v>
      </c>
      <c r="G20667" s="1">
        <v>45.0</v>
      </c>
    </row>
    <row r="20668">
      <c r="A20668" s="1" t="s">
        <v>8</v>
      </c>
      <c r="B20668" s="2">
        <v>44802.0</v>
      </c>
      <c r="C20668" s="3">
        <v>0.3132175925925926</v>
      </c>
      <c r="D20668" s="1">
        <v>13.051998</v>
      </c>
      <c r="E20668" s="1">
        <v>80.250639</v>
      </c>
      <c r="F20668" s="1">
        <v>5339.0</v>
      </c>
      <c r="G20668" s="1">
        <v>45.0</v>
      </c>
    </row>
    <row r="20669">
      <c r="A20669" s="1" t="s">
        <v>7</v>
      </c>
      <c r="B20669" s="2">
        <v>44802.0</v>
      </c>
      <c r="C20669" s="3">
        <v>0.3134953703703704</v>
      </c>
      <c r="D20669" s="1">
        <v>13.047748</v>
      </c>
      <c r="E20669" s="1">
        <v>80.249082</v>
      </c>
      <c r="F20669" s="1">
        <v>5339.0</v>
      </c>
      <c r="G20669" s="1">
        <v>48.0</v>
      </c>
    </row>
    <row r="20670">
      <c r="A20670" s="1" t="s">
        <v>8</v>
      </c>
      <c r="B20670" s="2">
        <v>44802.0</v>
      </c>
      <c r="C20670" s="3">
        <v>0.3145486111111111</v>
      </c>
      <c r="D20670" s="1">
        <v>13.040678</v>
      </c>
      <c r="E20670" s="1">
        <v>80.247239</v>
      </c>
      <c r="F20670" s="1">
        <v>5339.0</v>
      </c>
      <c r="G20670" s="1">
        <v>51.0</v>
      </c>
    </row>
    <row r="20671">
      <c r="A20671" s="1" t="s">
        <v>8</v>
      </c>
      <c r="B20671" s="2">
        <v>44802.0</v>
      </c>
      <c r="C20671" s="3">
        <v>0.3154050925925926</v>
      </c>
      <c r="D20671" s="1">
        <v>13.033574</v>
      </c>
      <c r="E20671" s="1">
        <v>80.244072</v>
      </c>
      <c r="F20671" s="1">
        <v>5339.0</v>
      </c>
      <c r="G20671" s="1">
        <v>38.0</v>
      </c>
    </row>
    <row r="20672">
      <c r="A20672" s="1" t="s">
        <v>8</v>
      </c>
      <c r="B20672" s="2">
        <v>44802.0</v>
      </c>
      <c r="C20672" s="3">
        <v>0.31675925925925924</v>
      </c>
      <c r="D20672" s="1">
        <v>13.027454</v>
      </c>
      <c r="E20672" s="1">
        <v>80.234563</v>
      </c>
      <c r="F20672" s="1">
        <v>5339.0</v>
      </c>
      <c r="G20672" s="1">
        <v>41.0</v>
      </c>
    </row>
    <row r="20673">
      <c r="A20673" s="1" t="s">
        <v>8</v>
      </c>
      <c r="B20673" s="2">
        <v>44802.0</v>
      </c>
      <c r="C20673" s="3">
        <v>0.31700231481481483</v>
      </c>
      <c r="D20673" s="1">
        <v>13.02643</v>
      </c>
      <c r="E20673" s="1">
        <v>80.232807</v>
      </c>
      <c r="F20673" s="1">
        <v>5339.0</v>
      </c>
      <c r="G20673" s="1">
        <v>40.0</v>
      </c>
    </row>
    <row r="20674">
      <c r="A20674" s="1" t="s">
        <v>8</v>
      </c>
      <c r="B20674" s="2">
        <v>44802.0</v>
      </c>
      <c r="C20674" s="3">
        <v>0.31703703703703706</v>
      </c>
      <c r="D20674" s="1">
        <v>13.02643</v>
      </c>
      <c r="E20674" s="1">
        <v>80.232807</v>
      </c>
      <c r="F20674" s="1">
        <v>5339.0</v>
      </c>
      <c r="G20674" s="1">
        <v>40.0</v>
      </c>
    </row>
    <row r="20675">
      <c r="A20675" s="1" t="s">
        <v>9</v>
      </c>
      <c r="B20675" s="2">
        <v>44802.0</v>
      </c>
      <c r="C20675" s="3">
        <v>0.31766203703703705</v>
      </c>
      <c r="D20675" s="1">
        <v>12.97927</v>
      </c>
      <c r="E20675" s="1">
        <v>80.226749</v>
      </c>
      <c r="F20675" s="1">
        <v>3143.0</v>
      </c>
      <c r="G20675" s="1">
        <v>43.0</v>
      </c>
    </row>
    <row r="20676">
      <c r="A20676" s="1" t="s">
        <v>8</v>
      </c>
      <c r="B20676" s="2">
        <v>44802.0</v>
      </c>
      <c r="C20676" s="3">
        <v>0.3180439814814815</v>
      </c>
      <c r="D20676" s="1">
        <v>13.024306</v>
      </c>
      <c r="E20676" s="1">
        <v>80.228631</v>
      </c>
      <c r="F20676" s="1">
        <v>5339.0</v>
      </c>
      <c r="G20676" s="1">
        <v>29.0</v>
      </c>
    </row>
    <row r="20677">
      <c r="A20677" s="1" t="s">
        <v>8</v>
      </c>
      <c r="B20677" s="2">
        <v>44802.0</v>
      </c>
      <c r="C20677" s="3">
        <v>0.3188078703703704</v>
      </c>
      <c r="D20677" s="1">
        <v>13.020151</v>
      </c>
      <c r="E20677" s="1">
        <v>80.224922</v>
      </c>
      <c r="F20677" s="1">
        <v>5339.0</v>
      </c>
      <c r="G20677" s="1">
        <v>22.0</v>
      </c>
    </row>
    <row r="20678">
      <c r="A20678" s="1" t="s">
        <v>8</v>
      </c>
      <c r="B20678" s="2">
        <v>44802.0</v>
      </c>
      <c r="C20678" s="3">
        <v>0.31881944444444443</v>
      </c>
      <c r="D20678" s="1">
        <v>13.020151</v>
      </c>
      <c r="E20678" s="1">
        <v>80.224922</v>
      </c>
      <c r="F20678" s="1">
        <v>5339.0</v>
      </c>
      <c r="G20678" s="1">
        <v>22.0</v>
      </c>
    </row>
    <row r="20679">
      <c r="A20679" s="1" t="s">
        <v>8</v>
      </c>
      <c r="B20679" s="2">
        <v>44802.0</v>
      </c>
      <c r="C20679" s="3">
        <v>0.31899305555555557</v>
      </c>
      <c r="D20679" s="1">
        <v>13.018805</v>
      </c>
      <c r="E20679" s="1">
        <v>80.224508</v>
      </c>
      <c r="F20679" s="1">
        <v>5339.0</v>
      </c>
      <c r="G20679" s="1">
        <v>35.0</v>
      </c>
    </row>
    <row r="20680">
      <c r="A20680" s="1" t="s">
        <v>8</v>
      </c>
      <c r="B20680" s="2">
        <v>44802.0</v>
      </c>
      <c r="C20680" s="3">
        <v>0.31916666666666665</v>
      </c>
      <c r="D20680" s="1">
        <v>13.017881</v>
      </c>
      <c r="E20680" s="1">
        <v>80.224878</v>
      </c>
      <c r="F20680" s="1">
        <v>5339.0</v>
      </c>
      <c r="G20680" s="1">
        <v>38.0</v>
      </c>
    </row>
    <row r="20681">
      <c r="A20681" s="1" t="s">
        <v>8</v>
      </c>
      <c r="B20681" s="2">
        <v>44802.0</v>
      </c>
      <c r="C20681" s="3">
        <v>0.3192361111111111</v>
      </c>
      <c r="D20681" s="1">
        <v>12.967462</v>
      </c>
      <c r="E20681" s="1">
        <v>80.217628</v>
      </c>
      <c r="F20681" s="1">
        <v>3143.0</v>
      </c>
      <c r="G20681" s="1">
        <v>47.0</v>
      </c>
    </row>
    <row r="20682">
      <c r="A20682" s="1" t="s">
        <v>8</v>
      </c>
      <c r="B20682" s="2">
        <v>44802.0</v>
      </c>
      <c r="C20682" s="3">
        <v>0.3200810185185185</v>
      </c>
      <c r="D20682" s="1">
        <v>13.011063</v>
      </c>
      <c r="E20682" s="1">
        <v>80.227528</v>
      </c>
      <c r="F20682" s="1">
        <v>5339.0</v>
      </c>
      <c r="G20682" s="1">
        <v>40.0</v>
      </c>
    </row>
    <row r="20683">
      <c r="A20683" s="1" t="s">
        <v>8</v>
      </c>
      <c r="B20683" s="2">
        <v>44802.0</v>
      </c>
      <c r="C20683" s="3">
        <v>0.3204513888888889</v>
      </c>
      <c r="D20683" s="1">
        <v>13.009681</v>
      </c>
      <c r="E20683" s="1">
        <v>80.227218</v>
      </c>
      <c r="F20683" s="1">
        <v>5339.0</v>
      </c>
      <c r="G20683" s="1">
        <v>26.0</v>
      </c>
    </row>
    <row r="20684">
      <c r="A20684" s="1" t="s">
        <v>9</v>
      </c>
      <c r="B20684" s="2">
        <v>44802.0</v>
      </c>
      <c r="C20684" s="3">
        <v>0.3207638888888889</v>
      </c>
      <c r="D20684" s="1">
        <v>12.964146</v>
      </c>
      <c r="E20684" s="1">
        <v>80.212942</v>
      </c>
      <c r="F20684" s="1">
        <v>3143.0</v>
      </c>
      <c r="G20684" s="1">
        <v>32.0</v>
      </c>
    </row>
    <row r="20685">
      <c r="A20685" s="1" t="s">
        <v>8</v>
      </c>
      <c r="B20685" s="2">
        <v>44802.0</v>
      </c>
      <c r="C20685" s="3">
        <v>0.3212037037037037</v>
      </c>
      <c r="D20685" s="1">
        <v>13.011439</v>
      </c>
      <c r="E20685" s="1">
        <v>80.22315</v>
      </c>
      <c r="F20685" s="1">
        <v>5339.0</v>
      </c>
      <c r="G20685" s="1">
        <v>24.0</v>
      </c>
    </row>
    <row r="20686">
      <c r="A20686" s="1" t="s">
        <v>8</v>
      </c>
      <c r="B20686" s="2">
        <v>44802.0</v>
      </c>
      <c r="C20686" s="3">
        <v>0.3226273148148148</v>
      </c>
      <c r="D20686" s="1">
        <v>13.009291</v>
      </c>
      <c r="E20686" s="1">
        <v>80.212652</v>
      </c>
      <c r="F20686" s="1">
        <v>5339.0</v>
      </c>
      <c r="G20686" s="1">
        <v>56.0</v>
      </c>
    </row>
    <row r="20687">
      <c r="A20687" s="1" t="s">
        <v>7</v>
      </c>
      <c r="B20687" s="2">
        <v>44802.0</v>
      </c>
      <c r="C20687" s="3">
        <v>0.32310185185185186</v>
      </c>
      <c r="D20687" s="1">
        <v>13.007894</v>
      </c>
      <c r="E20687" s="1">
        <v>80.208197</v>
      </c>
      <c r="F20687" s="1">
        <v>5339.0</v>
      </c>
      <c r="G20687" s="1">
        <v>48.0</v>
      </c>
    </row>
    <row r="20688">
      <c r="A20688" s="1" t="s">
        <v>8</v>
      </c>
      <c r="B20688" s="2">
        <v>44802.0</v>
      </c>
      <c r="C20688" s="3">
        <v>0.32319444444444445</v>
      </c>
      <c r="D20688" s="1">
        <v>13.00766</v>
      </c>
      <c r="E20688" s="1">
        <v>80.206938</v>
      </c>
      <c r="F20688" s="1">
        <v>5339.0</v>
      </c>
      <c r="G20688" s="1">
        <v>51.0</v>
      </c>
    </row>
    <row r="20689">
      <c r="A20689" s="1" t="s">
        <v>8</v>
      </c>
      <c r="B20689" s="2">
        <v>44802.0</v>
      </c>
      <c r="C20689" s="3">
        <v>0.3237847222222222</v>
      </c>
      <c r="D20689" s="1">
        <v>13.005442</v>
      </c>
      <c r="E20689" s="1">
        <v>80.201974</v>
      </c>
      <c r="F20689" s="1">
        <v>5339.0</v>
      </c>
      <c r="G20689" s="1">
        <v>44.0</v>
      </c>
    </row>
    <row r="20690">
      <c r="A20690" s="1" t="s">
        <v>8</v>
      </c>
      <c r="B20690" s="2">
        <v>44802.0</v>
      </c>
      <c r="C20690" s="3">
        <v>0.32381944444444444</v>
      </c>
      <c r="D20690" s="1">
        <v>13.005442</v>
      </c>
      <c r="E20690" s="1">
        <v>80.201974</v>
      </c>
      <c r="F20690" s="1">
        <v>5339.0</v>
      </c>
      <c r="G20690" s="1">
        <v>44.0</v>
      </c>
    </row>
    <row r="20691">
      <c r="A20691" s="1" t="s">
        <v>8</v>
      </c>
      <c r="B20691" s="2">
        <v>44802.0</v>
      </c>
      <c r="C20691" s="3">
        <v>0.32403935185185184</v>
      </c>
      <c r="D20691" s="1">
        <v>13.002225</v>
      </c>
      <c r="E20691" s="1">
        <v>80.200457</v>
      </c>
      <c r="F20691" s="1">
        <v>5339.0</v>
      </c>
      <c r="G20691" s="1">
        <v>45.0</v>
      </c>
    </row>
    <row r="20692">
      <c r="A20692" s="1" t="s">
        <v>8</v>
      </c>
      <c r="B20692" s="2">
        <v>44802.0</v>
      </c>
      <c r="C20692" s="3">
        <v>0.3241898148148148</v>
      </c>
      <c r="D20692" s="1">
        <v>13.00173</v>
      </c>
      <c r="E20692" s="1">
        <v>80.199534</v>
      </c>
      <c r="F20692" s="1">
        <v>5339.0</v>
      </c>
      <c r="G20692" s="1">
        <v>42.0</v>
      </c>
    </row>
    <row r="20693">
      <c r="A20693" s="1" t="s">
        <v>8</v>
      </c>
      <c r="B20693" s="2">
        <v>44802.0</v>
      </c>
      <c r="C20693" s="3">
        <v>0.3243287037037037</v>
      </c>
      <c r="D20693" s="1">
        <v>13.001808</v>
      </c>
      <c r="E20693" s="1">
        <v>80.198552</v>
      </c>
      <c r="F20693" s="1">
        <v>5339.0</v>
      </c>
      <c r="G20693" s="1">
        <v>35.0</v>
      </c>
    </row>
    <row r="20694">
      <c r="A20694" s="1" t="s">
        <v>8</v>
      </c>
      <c r="B20694" s="2">
        <v>44802.0</v>
      </c>
      <c r="C20694" s="3">
        <v>0.32447916666666665</v>
      </c>
      <c r="D20694" s="1">
        <v>13.001957</v>
      </c>
      <c r="E20694" s="1">
        <v>80.197577</v>
      </c>
      <c r="F20694" s="1">
        <v>5339.0</v>
      </c>
      <c r="G20694" s="1">
        <v>43.0</v>
      </c>
    </row>
    <row r="20695">
      <c r="A20695" s="1" t="s">
        <v>10</v>
      </c>
      <c r="B20695" s="2">
        <v>44802.0</v>
      </c>
      <c r="C20695" s="3">
        <v>0.3247337962962963</v>
      </c>
      <c r="D20695" s="1">
        <v>12.964769</v>
      </c>
      <c r="E20695" s="1">
        <v>80.195192</v>
      </c>
      <c r="F20695" s="1">
        <v>3143.0</v>
      </c>
      <c r="G20695" s="1">
        <v>25.0</v>
      </c>
    </row>
    <row r="20696">
      <c r="A20696" s="1" t="s">
        <v>7</v>
      </c>
      <c r="B20696" s="2">
        <v>44802.0</v>
      </c>
      <c r="C20696" s="3">
        <v>0.3257175925925926</v>
      </c>
      <c r="D20696" s="1">
        <v>12.997614</v>
      </c>
      <c r="E20696" s="1">
        <v>80.19125</v>
      </c>
      <c r="F20696" s="1">
        <v>5339.0</v>
      </c>
      <c r="G20696" s="1">
        <v>58.0</v>
      </c>
    </row>
    <row r="20697">
      <c r="A20697" s="1" t="s">
        <v>10</v>
      </c>
      <c r="B20697" s="2">
        <v>44802.0</v>
      </c>
      <c r="C20697" s="3">
        <v>0.32601851851851854</v>
      </c>
      <c r="D20697" s="1">
        <v>12.965634</v>
      </c>
      <c r="E20697" s="1">
        <v>80.190383</v>
      </c>
      <c r="F20697" s="1">
        <v>3143.0</v>
      </c>
      <c r="G20697" s="1">
        <v>10.0</v>
      </c>
    </row>
    <row r="20698">
      <c r="A20698" s="1" t="s">
        <v>10</v>
      </c>
      <c r="B20698" s="2">
        <v>44802.0</v>
      </c>
      <c r="C20698" s="3">
        <v>0.3278587962962963</v>
      </c>
      <c r="D20698" s="1">
        <v>12.964386</v>
      </c>
      <c r="E20698" s="1">
        <v>80.188062</v>
      </c>
      <c r="F20698" s="1">
        <v>3143.0</v>
      </c>
      <c r="G20698" s="1">
        <v>21.0</v>
      </c>
    </row>
    <row r="20699">
      <c r="A20699" s="1" t="s">
        <v>8</v>
      </c>
      <c r="B20699" s="2">
        <v>44802.0</v>
      </c>
      <c r="C20699" s="3">
        <v>0.3279976851851852</v>
      </c>
      <c r="D20699" s="1">
        <v>12.989275</v>
      </c>
      <c r="E20699" s="1">
        <v>80.178721</v>
      </c>
      <c r="F20699" s="1">
        <v>5339.0</v>
      </c>
      <c r="G20699" s="1">
        <v>30.0</v>
      </c>
    </row>
    <row r="20700">
      <c r="A20700" s="1" t="s">
        <v>9</v>
      </c>
      <c r="B20700" s="2">
        <v>44802.0</v>
      </c>
      <c r="C20700" s="3">
        <v>0.3280324074074074</v>
      </c>
      <c r="D20700" s="1">
        <v>12.989275</v>
      </c>
      <c r="E20700" s="1">
        <v>80.178721</v>
      </c>
      <c r="F20700" s="1">
        <v>5339.0</v>
      </c>
      <c r="G20700" s="1">
        <v>30.0</v>
      </c>
    </row>
    <row r="20701">
      <c r="A20701" s="1" t="s">
        <v>10</v>
      </c>
      <c r="B20701" s="2">
        <v>44802.0</v>
      </c>
      <c r="C20701" s="3">
        <v>0.3284259259259259</v>
      </c>
      <c r="D20701" s="1">
        <v>12.963279</v>
      </c>
      <c r="E20701" s="1">
        <v>80.187699</v>
      </c>
      <c r="F20701" s="1">
        <v>3143.0</v>
      </c>
      <c r="G20701" s="1">
        <v>14.0</v>
      </c>
    </row>
    <row r="20702">
      <c r="A20702" s="1" t="s">
        <v>8</v>
      </c>
      <c r="B20702" s="2">
        <v>44802.0</v>
      </c>
      <c r="C20702" s="3">
        <v>0.32908564814814817</v>
      </c>
      <c r="D20702" s="1">
        <v>12.984753</v>
      </c>
      <c r="E20702" s="1">
        <v>80.172362</v>
      </c>
      <c r="F20702" s="1">
        <v>5339.0</v>
      </c>
      <c r="G20702" s="1">
        <v>46.0</v>
      </c>
    </row>
    <row r="20703">
      <c r="A20703" s="1" t="s">
        <v>10</v>
      </c>
      <c r="B20703" s="2">
        <v>44802.0</v>
      </c>
      <c r="C20703" s="3">
        <v>0.32927083333333335</v>
      </c>
      <c r="D20703" s="1">
        <v>12.958174</v>
      </c>
      <c r="E20703" s="1">
        <v>80.187052</v>
      </c>
      <c r="F20703" s="1">
        <v>3143.0</v>
      </c>
      <c r="G20703" s="1">
        <v>30.0</v>
      </c>
    </row>
    <row r="20704">
      <c r="A20704" s="1" t="s">
        <v>8</v>
      </c>
      <c r="B20704" s="2">
        <v>44802.0</v>
      </c>
      <c r="C20704" s="3">
        <v>0.329525462962963</v>
      </c>
      <c r="D20704" s="1">
        <v>12.982561</v>
      </c>
      <c r="E20704" s="1">
        <v>80.168679</v>
      </c>
      <c r="F20704" s="1">
        <v>5339.0</v>
      </c>
      <c r="G20704" s="1">
        <v>45.0</v>
      </c>
    </row>
    <row r="20705">
      <c r="A20705" s="1" t="s">
        <v>10</v>
      </c>
      <c r="B20705" s="2">
        <v>44802.0</v>
      </c>
      <c r="C20705" s="3">
        <v>0.329849537037037</v>
      </c>
      <c r="D20705" s="1">
        <v>12.955955</v>
      </c>
      <c r="E20705" s="1">
        <v>80.187009</v>
      </c>
      <c r="F20705" s="1">
        <v>3143.0</v>
      </c>
      <c r="G20705" s="1">
        <v>9.0</v>
      </c>
    </row>
    <row r="20706">
      <c r="A20706" s="1" t="s">
        <v>8</v>
      </c>
      <c r="B20706" s="2">
        <v>44802.0</v>
      </c>
      <c r="C20706" s="3">
        <v>0.3305092592592593</v>
      </c>
      <c r="D20706" s="1">
        <v>12.979365</v>
      </c>
      <c r="E20706" s="1">
        <v>80.162131</v>
      </c>
      <c r="F20706" s="1">
        <v>5339.0</v>
      </c>
      <c r="G20706" s="1">
        <v>34.0</v>
      </c>
    </row>
    <row r="20707">
      <c r="A20707" s="1" t="s">
        <v>9</v>
      </c>
      <c r="B20707" s="2">
        <v>44802.0</v>
      </c>
      <c r="C20707" s="3">
        <v>0.3305787037037037</v>
      </c>
      <c r="D20707" s="1">
        <v>12.978789</v>
      </c>
      <c r="E20707" s="1">
        <v>80.161284</v>
      </c>
      <c r="F20707" s="1">
        <v>5339.0</v>
      </c>
      <c r="G20707" s="1">
        <v>45.0</v>
      </c>
    </row>
    <row r="20708">
      <c r="A20708" s="1" t="s">
        <v>8</v>
      </c>
      <c r="B20708" s="2">
        <v>44802.0</v>
      </c>
      <c r="C20708" s="3">
        <v>0.33077546296296295</v>
      </c>
      <c r="D20708" s="1">
        <v>12.977506</v>
      </c>
      <c r="E20708" s="1">
        <v>80.159416</v>
      </c>
      <c r="F20708" s="1">
        <v>5339.0</v>
      </c>
      <c r="G20708" s="1">
        <v>43.0</v>
      </c>
    </row>
    <row r="20709">
      <c r="A20709" s="1" t="s">
        <v>8</v>
      </c>
      <c r="B20709" s="2">
        <v>44802.0</v>
      </c>
      <c r="C20709" s="3">
        <v>0.33109953703703704</v>
      </c>
      <c r="D20709" s="1">
        <v>12.975318</v>
      </c>
      <c r="E20709" s="1">
        <v>80.156152</v>
      </c>
      <c r="F20709" s="1">
        <v>5339.0</v>
      </c>
      <c r="G20709" s="1">
        <v>48.0</v>
      </c>
    </row>
    <row r="20710">
      <c r="A20710" s="1" t="s">
        <v>8</v>
      </c>
      <c r="B20710" s="2">
        <v>44802.0</v>
      </c>
      <c r="C20710" s="3">
        <v>0.3317361111111111</v>
      </c>
      <c r="D20710" s="1">
        <v>12.947405</v>
      </c>
      <c r="E20710" s="1">
        <v>80.184601</v>
      </c>
      <c r="F20710" s="1">
        <v>3143.0</v>
      </c>
      <c r="G20710" s="1">
        <v>33.0</v>
      </c>
    </row>
    <row r="20711">
      <c r="A20711" s="1" t="s">
        <v>8</v>
      </c>
      <c r="B20711" s="2">
        <v>44802.0</v>
      </c>
      <c r="C20711" s="3">
        <v>0.33185185185185184</v>
      </c>
      <c r="D20711" s="1">
        <v>12.971829</v>
      </c>
      <c r="E20711" s="1">
        <v>80.151324</v>
      </c>
      <c r="F20711" s="1">
        <v>5339.0</v>
      </c>
      <c r="G20711" s="1">
        <v>33.0</v>
      </c>
    </row>
    <row r="20712">
      <c r="A20712" s="1" t="s">
        <v>8</v>
      </c>
      <c r="B20712" s="2">
        <v>44802.0</v>
      </c>
      <c r="C20712" s="3">
        <v>0.3323263888888889</v>
      </c>
      <c r="D20712" s="1">
        <v>12.968472</v>
      </c>
      <c r="E20712" s="1">
        <v>80.149636</v>
      </c>
      <c r="F20712" s="1">
        <v>5339.0</v>
      </c>
      <c r="G20712" s="1">
        <v>36.0</v>
      </c>
    </row>
    <row r="20713">
      <c r="A20713" s="1" t="s">
        <v>8</v>
      </c>
      <c r="B20713" s="2">
        <v>44802.0</v>
      </c>
      <c r="C20713" s="3">
        <v>0.3323611111111111</v>
      </c>
      <c r="D20713" s="1">
        <v>12.968472</v>
      </c>
      <c r="E20713" s="1">
        <v>80.149636</v>
      </c>
      <c r="F20713" s="1">
        <v>5339.0</v>
      </c>
      <c r="G20713" s="1">
        <v>36.0</v>
      </c>
    </row>
    <row r="20714">
      <c r="A20714" s="1" t="s">
        <v>8</v>
      </c>
      <c r="B20714" s="2">
        <v>44802.0</v>
      </c>
      <c r="C20714" s="3">
        <v>0.33240740740740743</v>
      </c>
      <c r="D20714" s="1">
        <v>12.967726</v>
      </c>
      <c r="E20714" s="1">
        <v>80.149308</v>
      </c>
      <c r="F20714" s="1">
        <v>5339.0</v>
      </c>
      <c r="G20714" s="1">
        <v>30.0</v>
      </c>
    </row>
    <row r="20715">
      <c r="A20715" s="1" t="s">
        <v>7</v>
      </c>
      <c r="B20715" s="2">
        <v>44802.0</v>
      </c>
      <c r="C20715" s="3">
        <v>0.3332175925925926</v>
      </c>
      <c r="D20715" s="1">
        <v>12.963327</v>
      </c>
      <c r="E20715" s="1">
        <v>80.147048</v>
      </c>
      <c r="F20715" s="1">
        <v>5339.0</v>
      </c>
      <c r="G20715" s="1">
        <v>52.0</v>
      </c>
    </row>
    <row r="20716">
      <c r="A20716" s="1" t="s">
        <v>10</v>
      </c>
      <c r="B20716" s="2">
        <v>44802.0</v>
      </c>
      <c r="C20716" s="3">
        <v>0.3336689814814815</v>
      </c>
      <c r="D20716" s="1">
        <v>12.939955</v>
      </c>
      <c r="E20716" s="1">
        <v>80.182746</v>
      </c>
      <c r="F20716" s="1">
        <v>3143.0</v>
      </c>
      <c r="G20716" s="1">
        <v>28.0</v>
      </c>
    </row>
    <row r="20717">
      <c r="A20717" s="1" t="s">
        <v>8</v>
      </c>
      <c r="B20717" s="2">
        <v>44802.0</v>
      </c>
      <c r="C20717" s="3">
        <v>0.3337962962962963</v>
      </c>
      <c r="D20717" s="1">
        <v>12.960722</v>
      </c>
      <c r="E20717" s="1">
        <v>80.145658</v>
      </c>
      <c r="F20717" s="1">
        <v>5339.0</v>
      </c>
      <c r="G20717" s="1">
        <v>36.0</v>
      </c>
    </row>
    <row r="20718">
      <c r="A20718" s="1" t="s">
        <v>8</v>
      </c>
      <c r="B20718" s="2">
        <v>44802.0</v>
      </c>
      <c r="C20718" s="3">
        <v>0.3341087962962963</v>
      </c>
      <c r="D20718" s="1">
        <v>12.95739</v>
      </c>
      <c r="E20718" s="1">
        <v>80.143831</v>
      </c>
      <c r="F20718" s="1">
        <v>5339.0</v>
      </c>
      <c r="G20718" s="1">
        <v>57.0</v>
      </c>
    </row>
    <row r="20719">
      <c r="A20719" s="1" t="s">
        <v>7</v>
      </c>
      <c r="B20719" s="2">
        <v>44802.0</v>
      </c>
      <c r="C20719" s="3">
        <v>0.33619212962962963</v>
      </c>
      <c r="D20719" s="1">
        <v>12.9486</v>
      </c>
      <c r="E20719" s="1">
        <v>80.138113</v>
      </c>
      <c r="F20719" s="1">
        <v>5339.0</v>
      </c>
      <c r="G20719" s="1">
        <v>56.0</v>
      </c>
    </row>
    <row r="20720">
      <c r="A20720" s="1" t="s">
        <v>7</v>
      </c>
      <c r="B20720" s="2">
        <v>44802.0</v>
      </c>
      <c r="C20720" s="3">
        <v>0.33633101851851854</v>
      </c>
      <c r="D20720" s="1">
        <v>12.947368</v>
      </c>
      <c r="E20720" s="1">
        <v>80.137202</v>
      </c>
      <c r="F20720" s="1">
        <v>5339.0</v>
      </c>
      <c r="G20720" s="1">
        <v>59.0</v>
      </c>
    </row>
    <row r="20721">
      <c r="A20721" s="1" t="s">
        <v>7</v>
      </c>
      <c r="B20721" s="2">
        <v>44802.0</v>
      </c>
      <c r="C20721" s="3">
        <v>0.33671296296296294</v>
      </c>
      <c r="D20721" s="1">
        <v>12.944144</v>
      </c>
      <c r="E20721" s="1">
        <v>80.134717</v>
      </c>
      <c r="F20721" s="1">
        <v>5339.0</v>
      </c>
      <c r="G20721" s="1">
        <v>52.0</v>
      </c>
    </row>
    <row r="20722">
      <c r="A20722" s="1" t="s">
        <v>8</v>
      </c>
      <c r="B20722" s="2">
        <v>44802.0</v>
      </c>
      <c r="C20722" s="3">
        <v>0.33695601851851853</v>
      </c>
      <c r="D20722" s="1">
        <v>12.942527</v>
      </c>
      <c r="E20722" s="1">
        <v>80.133317</v>
      </c>
      <c r="F20722" s="1">
        <v>5339.0</v>
      </c>
      <c r="G20722" s="1">
        <v>14.0</v>
      </c>
    </row>
    <row r="20723">
      <c r="A20723" s="1" t="s">
        <v>8</v>
      </c>
      <c r="B20723" s="2">
        <v>44802.0</v>
      </c>
      <c r="C20723" s="3">
        <v>0.3371412037037037</v>
      </c>
      <c r="D20723" s="1">
        <v>12.94162</v>
      </c>
      <c r="E20723" s="1">
        <v>80.132333</v>
      </c>
      <c r="F20723" s="1">
        <v>5339.0</v>
      </c>
      <c r="G20723" s="1">
        <v>32.0</v>
      </c>
    </row>
    <row r="20724">
      <c r="A20724" s="1" t="s">
        <v>8</v>
      </c>
      <c r="B20724" s="2">
        <v>44802.0</v>
      </c>
      <c r="C20724" s="3">
        <v>0.3374189814814815</v>
      </c>
      <c r="D20724" s="1">
        <v>12.940334</v>
      </c>
      <c r="E20724" s="1">
        <v>80.130962</v>
      </c>
      <c r="F20724" s="1">
        <v>5339.0</v>
      </c>
      <c r="G20724" s="1">
        <v>40.0</v>
      </c>
    </row>
    <row r="20725">
      <c r="A20725" s="1" t="s">
        <v>8</v>
      </c>
      <c r="B20725" s="2">
        <v>44802.0</v>
      </c>
      <c r="C20725" s="3">
        <v>0.3376388888888889</v>
      </c>
      <c r="D20725" s="1">
        <v>12.939023</v>
      </c>
      <c r="E20725" s="1">
        <v>80.129677</v>
      </c>
      <c r="F20725" s="1">
        <v>5339.0</v>
      </c>
      <c r="G20725" s="1">
        <v>43.0</v>
      </c>
    </row>
    <row r="20726">
      <c r="A20726" s="1" t="s">
        <v>8</v>
      </c>
      <c r="B20726" s="2">
        <v>44802.0</v>
      </c>
      <c r="C20726" s="3">
        <v>0.3376736111111111</v>
      </c>
      <c r="D20726" s="1">
        <v>12.939023</v>
      </c>
      <c r="E20726" s="1">
        <v>80.129677</v>
      </c>
      <c r="F20726" s="1">
        <v>5339.0</v>
      </c>
      <c r="G20726" s="1">
        <v>43.0</v>
      </c>
    </row>
    <row r="20727">
      <c r="A20727" s="1" t="s">
        <v>8</v>
      </c>
      <c r="B20727" s="2">
        <v>44802.0</v>
      </c>
      <c r="C20727" s="3">
        <v>0.3379976851851852</v>
      </c>
      <c r="D20727" s="1">
        <v>12.936613</v>
      </c>
      <c r="E20727" s="1">
        <v>80.12761</v>
      </c>
      <c r="F20727" s="1">
        <v>5339.0</v>
      </c>
      <c r="G20727" s="1">
        <v>16.0</v>
      </c>
    </row>
    <row r="20728">
      <c r="A20728" s="1" t="s">
        <v>8</v>
      </c>
      <c r="B20728" s="2">
        <v>44802.0</v>
      </c>
      <c r="C20728" s="3">
        <v>0.3380324074074074</v>
      </c>
      <c r="D20728" s="1">
        <v>12.936613</v>
      </c>
      <c r="E20728" s="1">
        <v>80.12761</v>
      </c>
      <c r="F20728" s="1">
        <v>5339.0</v>
      </c>
      <c r="G20728" s="1">
        <v>16.0</v>
      </c>
    </row>
    <row r="20729">
      <c r="A20729" s="1" t="s">
        <v>8</v>
      </c>
      <c r="B20729" s="2">
        <v>44802.0</v>
      </c>
      <c r="C20729" s="3">
        <v>0.3382986111111111</v>
      </c>
      <c r="D20729" s="1">
        <v>12.935154</v>
      </c>
      <c r="E20729" s="1">
        <v>80.126276</v>
      </c>
      <c r="F20729" s="1">
        <v>5339.0</v>
      </c>
      <c r="G20729" s="1">
        <v>37.0</v>
      </c>
    </row>
    <row r="20730">
      <c r="A20730" s="1" t="s">
        <v>8</v>
      </c>
      <c r="B20730" s="2">
        <v>44802.0</v>
      </c>
      <c r="C20730" s="3">
        <v>0.33924768518518517</v>
      </c>
      <c r="D20730" s="1">
        <v>12.931488</v>
      </c>
      <c r="E20730" s="1">
        <v>80.122743</v>
      </c>
      <c r="F20730" s="1">
        <v>5339.0</v>
      </c>
      <c r="G20730" s="1">
        <v>15.0</v>
      </c>
    </row>
    <row r="20731">
      <c r="A20731" s="1" t="s">
        <v>8</v>
      </c>
      <c r="B20731" s="2">
        <v>44802.0</v>
      </c>
      <c r="C20731" s="3">
        <v>0.33925925925925926</v>
      </c>
      <c r="D20731" s="1">
        <v>12.931488</v>
      </c>
      <c r="E20731" s="1">
        <v>80.122743</v>
      </c>
      <c r="F20731" s="1">
        <v>5339.0</v>
      </c>
      <c r="G20731" s="1">
        <v>15.0</v>
      </c>
    </row>
    <row r="20732">
      <c r="A20732" s="1" t="s">
        <v>8</v>
      </c>
      <c r="B20732" s="2">
        <v>44802.0</v>
      </c>
      <c r="C20732" s="3">
        <v>0.339375</v>
      </c>
      <c r="D20732" s="1">
        <v>12.931056</v>
      </c>
      <c r="E20732" s="1">
        <v>80.122302</v>
      </c>
      <c r="F20732" s="1">
        <v>5339.0</v>
      </c>
      <c r="G20732" s="1">
        <v>29.0</v>
      </c>
    </row>
    <row r="20733">
      <c r="A20733" s="1" t="s">
        <v>8</v>
      </c>
      <c r="B20733" s="2">
        <v>44802.0</v>
      </c>
      <c r="C20733" s="3">
        <v>0.33946759259259257</v>
      </c>
      <c r="D20733" s="1">
        <v>12.930472</v>
      </c>
      <c r="E20733" s="1">
        <v>80.121754</v>
      </c>
      <c r="F20733" s="1">
        <v>5339.0</v>
      </c>
      <c r="G20733" s="1">
        <v>33.0</v>
      </c>
    </row>
    <row r="20734">
      <c r="A20734" s="1" t="s">
        <v>8</v>
      </c>
      <c r="B20734" s="2">
        <v>44802.0</v>
      </c>
      <c r="C20734" s="3">
        <v>0.33956018518518516</v>
      </c>
      <c r="D20734" s="1">
        <v>12.929792</v>
      </c>
      <c r="E20734" s="1">
        <v>80.121093</v>
      </c>
      <c r="F20734" s="1">
        <v>5339.0</v>
      </c>
      <c r="G20734" s="1">
        <v>39.0</v>
      </c>
    </row>
    <row r="20735">
      <c r="A20735" s="1" t="s">
        <v>8</v>
      </c>
      <c r="B20735" s="2">
        <v>44802.0</v>
      </c>
      <c r="C20735" s="3">
        <v>0.33975694444444443</v>
      </c>
      <c r="D20735" s="1">
        <v>12.929004</v>
      </c>
      <c r="E20735" s="1">
        <v>80.120242</v>
      </c>
      <c r="F20735" s="1">
        <v>5339.0</v>
      </c>
      <c r="G20735" s="1">
        <v>51.0</v>
      </c>
    </row>
    <row r="20736">
      <c r="A20736" s="1" t="s">
        <v>8</v>
      </c>
      <c r="B20736" s="2">
        <v>44802.0</v>
      </c>
      <c r="C20736" s="3">
        <v>0.33997685185185184</v>
      </c>
      <c r="D20736" s="1">
        <v>12.927327</v>
      </c>
      <c r="E20736" s="1">
        <v>80.118502</v>
      </c>
      <c r="F20736" s="1">
        <v>5339.0</v>
      </c>
      <c r="G20736" s="1">
        <v>41.0</v>
      </c>
    </row>
    <row r="20737">
      <c r="A20737" s="1" t="s">
        <v>8</v>
      </c>
      <c r="B20737" s="2">
        <v>44802.0</v>
      </c>
      <c r="C20737" s="3">
        <v>0.34023148148148147</v>
      </c>
      <c r="D20737" s="1">
        <v>12.925873</v>
      </c>
      <c r="E20737" s="1">
        <v>80.117029</v>
      </c>
      <c r="F20737" s="1">
        <v>5339.0</v>
      </c>
      <c r="G20737" s="1">
        <v>50.0</v>
      </c>
    </row>
    <row r="20738">
      <c r="A20738" s="1" t="s">
        <v>8</v>
      </c>
      <c r="B20738" s="2">
        <v>44802.0</v>
      </c>
      <c r="C20738" s="3">
        <v>0.342349537037037</v>
      </c>
      <c r="D20738" s="1">
        <v>12.914849</v>
      </c>
      <c r="E20738" s="1">
        <v>80.103222</v>
      </c>
      <c r="F20738" s="1">
        <v>5339.0</v>
      </c>
      <c r="G20738" s="1">
        <v>51.0</v>
      </c>
    </row>
    <row r="20739">
      <c r="A20739" s="1" t="s">
        <v>8</v>
      </c>
      <c r="B20739" s="2">
        <v>44802.0</v>
      </c>
      <c r="C20739" s="3">
        <v>0.3437037037037037</v>
      </c>
      <c r="D20739" s="1">
        <v>12.922594</v>
      </c>
      <c r="E20739" s="1">
        <v>80.149357</v>
      </c>
      <c r="F20739" s="1">
        <v>3143.0</v>
      </c>
      <c r="G20739" s="1">
        <v>48.0</v>
      </c>
    </row>
    <row r="20740">
      <c r="A20740" s="1" t="s">
        <v>8</v>
      </c>
      <c r="B20740" s="2">
        <v>44802.0</v>
      </c>
      <c r="C20740" s="3">
        <v>0.344375</v>
      </c>
      <c r="D20740" s="1">
        <v>12.922541</v>
      </c>
      <c r="E20740" s="1">
        <v>80.146238</v>
      </c>
      <c r="F20740" s="1">
        <v>3143.0</v>
      </c>
      <c r="G20740" s="1">
        <v>35.0</v>
      </c>
    </row>
    <row r="20741">
      <c r="A20741" s="1" t="s">
        <v>8</v>
      </c>
      <c r="B20741" s="2">
        <v>44802.0</v>
      </c>
      <c r="C20741" s="3">
        <v>0.34565972222222224</v>
      </c>
      <c r="D20741" s="1">
        <v>12.904716</v>
      </c>
      <c r="E20741" s="1">
        <v>80.095276</v>
      </c>
      <c r="F20741" s="1">
        <v>5339.0</v>
      </c>
      <c r="G20741" s="1">
        <v>28.0</v>
      </c>
    </row>
    <row r="20742">
      <c r="A20742" s="1" t="s">
        <v>8</v>
      </c>
      <c r="B20742" s="2">
        <v>44802.0</v>
      </c>
      <c r="C20742" s="3">
        <v>0.34569444444444447</v>
      </c>
      <c r="D20742" s="1">
        <v>12.904211</v>
      </c>
      <c r="E20742" s="1">
        <v>80.09485</v>
      </c>
      <c r="F20742" s="1">
        <v>5339.0</v>
      </c>
      <c r="G20742" s="1">
        <v>26.0</v>
      </c>
    </row>
    <row r="20743">
      <c r="A20743" s="1" t="s">
        <v>8</v>
      </c>
      <c r="B20743" s="2">
        <v>44802.0</v>
      </c>
      <c r="C20743" s="3">
        <v>0.3457060185185185</v>
      </c>
      <c r="D20743" s="1">
        <v>12.904211</v>
      </c>
      <c r="E20743" s="1">
        <v>80.09485</v>
      </c>
      <c r="F20743" s="1">
        <v>5339.0</v>
      </c>
      <c r="G20743" s="1">
        <v>26.0</v>
      </c>
    </row>
    <row r="20744">
      <c r="A20744" s="1" t="s">
        <v>8</v>
      </c>
      <c r="B20744" s="2">
        <v>44802.0</v>
      </c>
      <c r="C20744" s="3">
        <v>0.3457175925925926</v>
      </c>
      <c r="D20744" s="1">
        <v>12.904211</v>
      </c>
      <c r="E20744" s="1">
        <v>80.09485</v>
      </c>
      <c r="F20744" s="1">
        <v>5339.0</v>
      </c>
      <c r="G20744" s="1">
        <v>26.0</v>
      </c>
    </row>
    <row r="20745">
      <c r="A20745" s="1" t="s">
        <v>8</v>
      </c>
      <c r="B20745" s="2">
        <v>44802.0</v>
      </c>
      <c r="C20745" s="3">
        <v>0.3457986111111111</v>
      </c>
      <c r="D20745" s="1">
        <v>12.903576</v>
      </c>
      <c r="E20745" s="1">
        <v>80.094341</v>
      </c>
      <c r="F20745" s="1">
        <v>5339.0</v>
      </c>
      <c r="G20745" s="1">
        <v>33.0</v>
      </c>
    </row>
    <row r="20746">
      <c r="A20746" s="1" t="s">
        <v>8</v>
      </c>
      <c r="B20746" s="2">
        <v>44802.0</v>
      </c>
      <c r="C20746" s="3">
        <v>0.34836805555555556</v>
      </c>
      <c r="D20746" s="1">
        <v>12.885616</v>
      </c>
      <c r="E20746" s="1">
        <v>80.082824</v>
      </c>
      <c r="F20746" s="1">
        <v>5339.0</v>
      </c>
      <c r="G20746" s="1">
        <v>33.0</v>
      </c>
    </row>
    <row r="20747">
      <c r="A20747" s="1" t="s">
        <v>8</v>
      </c>
      <c r="B20747" s="2">
        <v>44802.0</v>
      </c>
      <c r="C20747" s="3">
        <v>0.3486458333333333</v>
      </c>
      <c r="D20747" s="1">
        <v>12.922646</v>
      </c>
      <c r="E20747" s="1">
        <v>80.132248</v>
      </c>
      <c r="F20747" s="1">
        <v>3143.0</v>
      </c>
      <c r="G20747" s="1">
        <v>31.0</v>
      </c>
    </row>
    <row r="20748">
      <c r="A20748" s="1" t="s">
        <v>8</v>
      </c>
      <c r="B20748" s="2">
        <v>44802.0</v>
      </c>
      <c r="C20748" s="3">
        <v>0.3506134259259259</v>
      </c>
      <c r="D20748" s="1">
        <v>12.923151</v>
      </c>
      <c r="E20748" s="1">
        <v>80.121804</v>
      </c>
      <c r="F20748" s="1">
        <v>3143.0</v>
      </c>
      <c r="G20748" s="1">
        <v>51.0</v>
      </c>
    </row>
    <row r="20749">
      <c r="A20749" s="1" t="s">
        <v>8</v>
      </c>
      <c r="B20749" s="2">
        <v>44802.0</v>
      </c>
      <c r="C20749" s="3">
        <v>0.3509143518518518</v>
      </c>
      <c r="D20749" s="1">
        <v>12.923331</v>
      </c>
      <c r="E20749" s="1">
        <v>80.1195</v>
      </c>
      <c r="F20749" s="1">
        <v>3143.0</v>
      </c>
      <c r="G20749" s="1">
        <v>48.0</v>
      </c>
    </row>
    <row r="20750">
      <c r="A20750" s="1" t="s">
        <v>8</v>
      </c>
      <c r="B20750" s="2">
        <v>44802.0</v>
      </c>
      <c r="C20750" s="3">
        <v>0.35238425925925926</v>
      </c>
      <c r="D20750" s="1">
        <v>12.919402</v>
      </c>
      <c r="E20750" s="1">
        <v>80.110395</v>
      </c>
      <c r="F20750" s="1">
        <v>3143.0</v>
      </c>
      <c r="G20750" s="1">
        <v>46.0</v>
      </c>
    </row>
    <row r="20751">
      <c r="A20751" s="1" t="s">
        <v>8</v>
      </c>
      <c r="B20751" s="2">
        <v>44802.0</v>
      </c>
      <c r="C20751" s="3">
        <v>0.35256944444444444</v>
      </c>
      <c r="D20751" s="1">
        <v>12.917774</v>
      </c>
      <c r="E20751" s="1">
        <v>80.108419</v>
      </c>
      <c r="F20751" s="1">
        <v>3143.0</v>
      </c>
      <c r="G20751" s="1">
        <v>55.0</v>
      </c>
    </row>
    <row r="20752">
      <c r="A20752" s="1" t="s">
        <v>8</v>
      </c>
      <c r="B20752" s="2">
        <v>44802.0</v>
      </c>
      <c r="C20752" s="3">
        <v>0.35292824074074075</v>
      </c>
      <c r="D20752" s="1">
        <v>12.916924</v>
      </c>
      <c r="E20752" s="1">
        <v>80.107147</v>
      </c>
      <c r="F20752" s="1">
        <v>3143.0</v>
      </c>
      <c r="G20752" s="1">
        <v>27.0</v>
      </c>
    </row>
    <row r="20753">
      <c r="A20753" s="1" t="s">
        <v>8</v>
      </c>
      <c r="B20753" s="2">
        <v>44802.0</v>
      </c>
      <c r="C20753" s="3">
        <v>0.3534143518518518</v>
      </c>
      <c r="D20753" s="1">
        <v>12.914852</v>
      </c>
      <c r="E20753" s="1">
        <v>80.103225</v>
      </c>
      <c r="F20753" s="1">
        <v>3143.0</v>
      </c>
      <c r="G20753" s="1">
        <v>47.0</v>
      </c>
    </row>
    <row r="20754">
      <c r="A20754" s="1" t="s">
        <v>8</v>
      </c>
      <c r="B20754" s="2">
        <v>44802.0</v>
      </c>
      <c r="C20754" s="3">
        <v>0.35443287037037036</v>
      </c>
      <c r="D20754" s="1">
        <v>12.908498</v>
      </c>
      <c r="E20754" s="1">
        <v>80.098194</v>
      </c>
      <c r="F20754" s="1">
        <v>3143.0</v>
      </c>
      <c r="G20754" s="1">
        <v>30.0</v>
      </c>
    </row>
    <row r="20755">
      <c r="A20755" s="1" t="s">
        <v>9</v>
      </c>
      <c r="B20755" s="2">
        <v>44802.0</v>
      </c>
      <c r="C20755" s="3">
        <v>0.35461805555555553</v>
      </c>
      <c r="D20755" s="1">
        <v>12.907858</v>
      </c>
      <c r="E20755" s="1">
        <v>80.097648</v>
      </c>
      <c r="F20755" s="1">
        <v>3143.0</v>
      </c>
      <c r="G20755" s="1">
        <v>35.0</v>
      </c>
    </row>
    <row r="20756">
      <c r="A20756" s="1" t="s">
        <v>8</v>
      </c>
      <c r="B20756" s="2">
        <v>44802.0</v>
      </c>
      <c r="C20756" s="3">
        <v>0.35605324074074074</v>
      </c>
      <c r="D20756" s="1">
        <v>12.904102</v>
      </c>
      <c r="E20756" s="1">
        <v>80.094743</v>
      </c>
      <c r="F20756" s="1">
        <v>3143.0</v>
      </c>
      <c r="G20756" s="1">
        <v>29.0</v>
      </c>
    </row>
    <row r="20757">
      <c r="A20757" s="1" t="s">
        <v>8</v>
      </c>
      <c r="B20757" s="2">
        <v>44802.0</v>
      </c>
      <c r="C20757" s="3">
        <v>0.35640046296296296</v>
      </c>
      <c r="D20757" s="1">
        <v>12.901306</v>
      </c>
      <c r="E20757" s="1">
        <v>80.092487</v>
      </c>
      <c r="F20757" s="1">
        <v>3143.0</v>
      </c>
      <c r="G20757" s="1">
        <v>56.0</v>
      </c>
    </row>
    <row r="20758">
      <c r="A20758" s="1" t="s">
        <v>8</v>
      </c>
      <c r="B20758" s="2">
        <v>44802.0</v>
      </c>
      <c r="C20758" s="3">
        <v>0.3564467592592593</v>
      </c>
      <c r="D20758" s="1">
        <v>12.901306</v>
      </c>
      <c r="E20758" s="1">
        <v>80.092487</v>
      </c>
      <c r="F20758" s="1">
        <v>3143.0</v>
      </c>
      <c r="G20758" s="1">
        <v>56.0</v>
      </c>
    </row>
    <row r="20759">
      <c r="A20759" s="1" t="s">
        <v>8</v>
      </c>
      <c r="B20759" s="2">
        <v>44802.0</v>
      </c>
      <c r="C20759" s="3">
        <v>0.35650462962962964</v>
      </c>
      <c r="D20759" s="1">
        <v>12.900122</v>
      </c>
      <c r="E20759" s="1">
        <v>80.09163</v>
      </c>
      <c r="F20759" s="1">
        <v>3143.0</v>
      </c>
      <c r="G20759" s="1">
        <v>55.0</v>
      </c>
    </row>
    <row r="20760">
      <c r="A20760" s="1" t="s">
        <v>7</v>
      </c>
      <c r="B20760" s="2">
        <v>44802.0</v>
      </c>
      <c r="C20760" s="3">
        <v>0.35734953703703703</v>
      </c>
      <c r="D20760" s="1">
        <v>12.893133</v>
      </c>
      <c r="E20760" s="1">
        <v>80.086347</v>
      </c>
      <c r="F20760" s="1">
        <v>3143.0</v>
      </c>
      <c r="G20760" s="1">
        <v>51.0</v>
      </c>
    </row>
    <row r="20761">
      <c r="A20761" s="1" t="s">
        <v>7</v>
      </c>
      <c r="B20761" s="2">
        <v>44802.0</v>
      </c>
      <c r="C20761" s="3">
        <v>0.3574421296296296</v>
      </c>
      <c r="D20761" s="1">
        <v>12.892043</v>
      </c>
      <c r="E20761" s="1">
        <v>80.085572</v>
      </c>
      <c r="F20761" s="1">
        <v>3143.0</v>
      </c>
      <c r="G20761" s="1">
        <v>54.0</v>
      </c>
    </row>
    <row r="20762">
      <c r="A20762" s="1" t="s">
        <v>8</v>
      </c>
      <c r="B20762" s="2">
        <v>44802.0</v>
      </c>
      <c r="C20762" s="3">
        <v>0.35758101851851853</v>
      </c>
      <c r="D20762" s="1">
        <v>12.890741</v>
      </c>
      <c r="E20762" s="1">
        <v>80.084917</v>
      </c>
      <c r="F20762" s="1">
        <v>3143.0</v>
      </c>
      <c r="G20762" s="1">
        <v>58.0</v>
      </c>
    </row>
    <row r="20763">
      <c r="A20763" s="1" t="s">
        <v>7</v>
      </c>
      <c r="B20763" s="2">
        <v>44802.0</v>
      </c>
      <c r="C20763" s="3">
        <v>0.35761574074074076</v>
      </c>
      <c r="D20763" s="1">
        <v>12.890741</v>
      </c>
      <c r="E20763" s="1">
        <v>80.084917</v>
      </c>
      <c r="F20763" s="1">
        <v>3143.0</v>
      </c>
      <c r="G20763" s="1">
        <v>58.0</v>
      </c>
    </row>
    <row r="20764">
      <c r="A20764" s="1" t="s">
        <v>8</v>
      </c>
      <c r="B20764" s="2">
        <v>44802.0</v>
      </c>
      <c r="C20764" s="3">
        <v>0.3576736111111111</v>
      </c>
      <c r="D20764" s="1">
        <v>12.889427</v>
      </c>
      <c r="E20764" s="1">
        <v>80.084366</v>
      </c>
      <c r="F20764" s="1">
        <v>3143.0</v>
      </c>
      <c r="G20764" s="1">
        <v>53.0</v>
      </c>
    </row>
    <row r="20765">
      <c r="A20765" s="1" t="s">
        <v>8</v>
      </c>
      <c r="B20765" s="2">
        <v>44802.0</v>
      </c>
      <c r="C20765" s="3">
        <v>0.3577430555555556</v>
      </c>
      <c r="D20765" s="1">
        <v>12.889427</v>
      </c>
      <c r="E20765" s="1">
        <v>80.084366</v>
      </c>
      <c r="F20765" s="1">
        <v>3143.0</v>
      </c>
      <c r="G20765" s="1">
        <v>53.0</v>
      </c>
    </row>
    <row r="20766">
      <c r="A20766" s="1" t="s">
        <v>8</v>
      </c>
      <c r="B20766" s="2">
        <v>44802.0</v>
      </c>
      <c r="C20766" s="3">
        <v>0.35792824074074076</v>
      </c>
      <c r="D20766" s="1">
        <v>12.887336</v>
      </c>
      <c r="E20766" s="1">
        <v>80.083547</v>
      </c>
      <c r="F20766" s="1">
        <v>3143.0</v>
      </c>
      <c r="G20766" s="1">
        <v>47.0</v>
      </c>
    </row>
    <row r="20767">
      <c r="A20767" s="1" t="s">
        <v>8</v>
      </c>
      <c r="B20767" s="2">
        <v>44802.0</v>
      </c>
      <c r="C20767" s="3">
        <v>0.35813657407407407</v>
      </c>
      <c r="D20767" s="1">
        <v>12.885179</v>
      </c>
      <c r="E20767" s="1">
        <v>80.08265</v>
      </c>
      <c r="F20767" s="1">
        <v>3143.0</v>
      </c>
      <c r="G20767" s="1">
        <v>45.0</v>
      </c>
    </row>
    <row r="20768">
      <c r="A20768" s="1" t="s">
        <v>10</v>
      </c>
      <c r="B20768" s="2">
        <v>44802.0</v>
      </c>
      <c r="C20768" s="3">
        <v>0.4246759259259259</v>
      </c>
      <c r="D20768" s="1">
        <v>12.875706</v>
      </c>
      <c r="E20768" s="1">
        <v>80.082905</v>
      </c>
      <c r="F20768" s="1">
        <v>3143.0</v>
      </c>
      <c r="G20768" s="1">
        <v>3.0</v>
      </c>
    </row>
    <row r="20769">
      <c r="A20769" s="1" t="s">
        <v>10</v>
      </c>
      <c r="B20769" s="2">
        <v>44802.0</v>
      </c>
      <c r="C20769" s="3">
        <v>0.5072800925925925</v>
      </c>
      <c r="D20769" s="1">
        <v>12.876111</v>
      </c>
      <c r="E20769" s="1">
        <v>80.083292</v>
      </c>
      <c r="F20769" s="1">
        <v>5339.0</v>
      </c>
      <c r="G20769" s="1">
        <v>12.0</v>
      </c>
    </row>
    <row r="20770">
      <c r="A20770" s="1" t="s">
        <v>10</v>
      </c>
      <c r="B20770" s="2">
        <v>44802.0</v>
      </c>
      <c r="C20770" s="3">
        <v>0.5227893518518518</v>
      </c>
      <c r="D20770" s="1">
        <v>12.875945</v>
      </c>
      <c r="E20770" s="1">
        <v>80.083591</v>
      </c>
      <c r="F20770" s="1">
        <v>3143.0</v>
      </c>
      <c r="G20770" s="1">
        <v>13.0</v>
      </c>
    </row>
    <row r="20771">
      <c r="A20771" s="1" t="s">
        <v>10</v>
      </c>
      <c r="B20771" s="2">
        <v>44802.0</v>
      </c>
      <c r="C20771" s="3">
        <v>0.5235532407407407</v>
      </c>
      <c r="D20771" s="1">
        <v>12.875556</v>
      </c>
      <c r="E20771" s="1">
        <v>80.084755</v>
      </c>
      <c r="F20771" s="1">
        <v>3143.0</v>
      </c>
      <c r="G20771" s="1">
        <v>10.0</v>
      </c>
    </row>
    <row r="20772">
      <c r="A20772" s="1" t="s">
        <v>10</v>
      </c>
      <c r="B20772" s="2">
        <v>44802.0</v>
      </c>
      <c r="C20772" s="3">
        <v>0.5437152777777777</v>
      </c>
      <c r="D20772" s="1">
        <v>12.874519</v>
      </c>
      <c r="E20772" s="1">
        <v>80.084343</v>
      </c>
      <c r="F20772" s="1">
        <v>5339.0</v>
      </c>
      <c r="G20772" s="1">
        <v>6.0</v>
      </c>
    </row>
    <row r="20773">
      <c r="A20773" s="1" t="s">
        <v>10</v>
      </c>
      <c r="B20773" s="2">
        <v>44802.0</v>
      </c>
      <c r="C20773" s="3">
        <v>0.5438657407407408</v>
      </c>
      <c r="D20773" s="1">
        <v>12.874774</v>
      </c>
      <c r="E20773" s="1">
        <v>80.084463</v>
      </c>
      <c r="F20773" s="1">
        <v>5339.0</v>
      </c>
      <c r="G20773" s="1">
        <v>9.0</v>
      </c>
    </row>
    <row r="20774">
      <c r="A20774" s="1" t="s">
        <v>10</v>
      </c>
      <c r="B20774" s="2">
        <v>44802.0</v>
      </c>
      <c r="C20774" s="3">
        <v>0.544074074074074</v>
      </c>
      <c r="D20774" s="1">
        <v>12.875284</v>
      </c>
      <c r="E20774" s="1">
        <v>80.08472</v>
      </c>
      <c r="F20774" s="1">
        <v>5339.0</v>
      </c>
      <c r="G20774" s="1">
        <v>7.0</v>
      </c>
    </row>
    <row r="20775">
      <c r="A20775" s="1" t="s">
        <v>10</v>
      </c>
      <c r="B20775" s="2">
        <v>44802.0</v>
      </c>
      <c r="C20775" s="3">
        <v>0.5444444444444444</v>
      </c>
      <c r="D20775" s="1">
        <v>12.875747</v>
      </c>
      <c r="E20775" s="1">
        <v>80.083992</v>
      </c>
      <c r="F20775" s="1">
        <v>5339.0</v>
      </c>
      <c r="G20775" s="1">
        <v>6.0</v>
      </c>
    </row>
    <row r="20776">
      <c r="A20776" s="1" t="s">
        <v>10</v>
      </c>
      <c r="B20776" s="2">
        <v>44802.0</v>
      </c>
      <c r="C20776" s="3">
        <v>0.5597685185185185</v>
      </c>
      <c r="D20776" s="1">
        <v>12.875192</v>
      </c>
      <c r="E20776" s="1">
        <v>80.084698</v>
      </c>
      <c r="F20776" s="1">
        <v>3143.0</v>
      </c>
      <c r="G20776" s="1">
        <v>12.0</v>
      </c>
    </row>
    <row r="20777">
      <c r="A20777" s="1" t="s">
        <v>10</v>
      </c>
      <c r="B20777" s="2">
        <v>44802.0</v>
      </c>
      <c r="C20777" s="3">
        <v>0.5598263888888889</v>
      </c>
      <c r="D20777" s="1">
        <v>12.875192</v>
      </c>
      <c r="E20777" s="1">
        <v>80.084698</v>
      </c>
      <c r="F20777" s="1">
        <v>3143.0</v>
      </c>
      <c r="G20777" s="1">
        <v>12.0</v>
      </c>
    </row>
    <row r="20778">
      <c r="A20778" s="1" t="s">
        <v>10</v>
      </c>
      <c r="B20778" s="2">
        <v>44802.0</v>
      </c>
      <c r="C20778" s="3">
        <v>0.5601388888888889</v>
      </c>
      <c r="D20778" s="1">
        <v>12.875667</v>
      </c>
      <c r="E20778" s="1">
        <v>80.084144</v>
      </c>
      <c r="F20778" s="1">
        <v>3143.0</v>
      </c>
      <c r="G20778" s="1">
        <v>14.0</v>
      </c>
    </row>
    <row r="20779">
      <c r="A20779" s="1" t="s">
        <v>10</v>
      </c>
      <c r="B20779" s="2">
        <v>44802.0</v>
      </c>
      <c r="C20779" s="3">
        <v>0.725925925925926</v>
      </c>
      <c r="D20779" s="1">
        <v>12.875936</v>
      </c>
      <c r="E20779" s="1">
        <v>80.083603</v>
      </c>
      <c r="F20779" s="1">
        <v>5339.0</v>
      </c>
      <c r="G20779" s="1">
        <v>10.0</v>
      </c>
    </row>
    <row r="20780">
      <c r="A20780" s="1" t="s">
        <v>10</v>
      </c>
      <c r="B20780" s="2">
        <v>44802.0</v>
      </c>
      <c r="C20780" s="3">
        <v>0.7284722222222222</v>
      </c>
      <c r="D20780" s="1">
        <v>12.881091</v>
      </c>
      <c r="E20780" s="1">
        <v>80.080669</v>
      </c>
      <c r="F20780" s="1">
        <v>3143.0</v>
      </c>
      <c r="G20780" s="1">
        <v>7.0</v>
      </c>
    </row>
    <row r="20781">
      <c r="A20781" s="1" t="s">
        <v>7</v>
      </c>
      <c r="B20781" s="2">
        <v>44802.0</v>
      </c>
      <c r="C20781" s="3">
        <v>0.7297337962962963</v>
      </c>
      <c r="D20781" s="1">
        <v>12.889704</v>
      </c>
      <c r="E20781" s="1">
        <v>80.084361</v>
      </c>
      <c r="F20781" s="1">
        <v>3143.0</v>
      </c>
      <c r="G20781" s="1">
        <v>59.0</v>
      </c>
    </row>
    <row r="20782">
      <c r="A20782" s="1" t="s">
        <v>8</v>
      </c>
      <c r="B20782" s="2">
        <v>44802.0</v>
      </c>
      <c r="C20782" s="3">
        <v>0.7301157407407407</v>
      </c>
      <c r="D20782" s="1">
        <v>12.893521</v>
      </c>
      <c r="E20782" s="1">
        <v>80.086498</v>
      </c>
      <c r="F20782" s="1">
        <v>3143.0</v>
      </c>
      <c r="G20782" s="1">
        <v>57.0</v>
      </c>
    </row>
    <row r="20783">
      <c r="A20783" s="1" t="s">
        <v>8</v>
      </c>
      <c r="B20783" s="2">
        <v>44802.0</v>
      </c>
      <c r="C20783" s="3">
        <v>0.7303703703703703</v>
      </c>
      <c r="D20783" s="1">
        <v>12.89576</v>
      </c>
      <c r="E20783" s="1">
        <v>80.088195</v>
      </c>
      <c r="F20783" s="1">
        <v>3143.0</v>
      </c>
      <c r="G20783" s="1">
        <v>52.0</v>
      </c>
    </row>
    <row r="20784">
      <c r="A20784" s="1" t="s">
        <v>8</v>
      </c>
      <c r="B20784" s="2">
        <v>44802.0</v>
      </c>
      <c r="C20784" s="3">
        <v>0.7306365740740741</v>
      </c>
      <c r="D20784" s="1">
        <v>12.898768</v>
      </c>
      <c r="E20784" s="1">
        <v>80.090403</v>
      </c>
      <c r="F20784" s="1">
        <v>3143.0</v>
      </c>
      <c r="G20784" s="1">
        <v>46.0</v>
      </c>
    </row>
    <row r="20785">
      <c r="A20785" s="1" t="s">
        <v>7</v>
      </c>
      <c r="B20785" s="2">
        <v>44802.0</v>
      </c>
      <c r="C20785" s="3">
        <v>0.7311226851851852</v>
      </c>
      <c r="D20785" s="1">
        <v>12.902687</v>
      </c>
      <c r="E20785" s="1">
        <v>80.093342</v>
      </c>
      <c r="F20785" s="1">
        <v>3143.0</v>
      </c>
      <c r="G20785" s="1">
        <v>48.0</v>
      </c>
    </row>
    <row r="20786">
      <c r="A20786" s="1" t="s">
        <v>8</v>
      </c>
      <c r="B20786" s="2">
        <v>44802.0</v>
      </c>
      <c r="C20786" s="3">
        <v>0.7312268518518519</v>
      </c>
      <c r="D20786" s="1">
        <v>12.890586</v>
      </c>
      <c r="E20786" s="1">
        <v>80.084753</v>
      </c>
      <c r="F20786" s="1">
        <v>5339.0</v>
      </c>
      <c r="G20786" s="1">
        <v>51.0</v>
      </c>
    </row>
    <row r="20787">
      <c r="A20787" s="1" t="s">
        <v>7</v>
      </c>
      <c r="B20787" s="2">
        <v>44802.0</v>
      </c>
      <c r="C20787" s="3">
        <v>0.7331944444444445</v>
      </c>
      <c r="D20787" s="1">
        <v>12.906289</v>
      </c>
      <c r="E20787" s="1">
        <v>80.096039</v>
      </c>
      <c r="F20787" s="1">
        <v>5339.0</v>
      </c>
      <c r="G20787" s="1">
        <v>52.0</v>
      </c>
    </row>
    <row r="20788">
      <c r="A20788" s="1" t="s">
        <v>8</v>
      </c>
      <c r="B20788" s="2">
        <v>44802.0</v>
      </c>
      <c r="C20788" s="3">
        <v>0.7349652777777778</v>
      </c>
      <c r="D20788" s="1">
        <v>12.918325</v>
      </c>
      <c r="E20788" s="1">
        <v>80.108835</v>
      </c>
      <c r="F20788" s="1">
        <v>3143.0</v>
      </c>
      <c r="G20788" s="1">
        <v>37.0</v>
      </c>
    </row>
    <row r="20789">
      <c r="A20789" s="1" t="s">
        <v>8</v>
      </c>
      <c r="B20789" s="2">
        <v>44802.0</v>
      </c>
      <c r="C20789" s="3">
        <v>0.7357291666666667</v>
      </c>
      <c r="D20789" s="1">
        <v>12.922909</v>
      </c>
      <c r="E20789" s="1">
        <v>80.113782</v>
      </c>
      <c r="F20789" s="1">
        <v>3143.0</v>
      </c>
      <c r="G20789" s="1">
        <v>37.0</v>
      </c>
    </row>
    <row r="20790">
      <c r="A20790" s="1" t="s">
        <v>8</v>
      </c>
      <c r="B20790" s="2">
        <v>44802.0</v>
      </c>
      <c r="C20790" s="3">
        <v>0.7364699074074074</v>
      </c>
      <c r="D20790" s="1">
        <v>12.919223</v>
      </c>
      <c r="E20790" s="1">
        <v>80.110015</v>
      </c>
      <c r="F20790" s="1">
        <v>5339.0</v>
      </c>
      <c r="G20790" s="1">
        <v>34.0</v>
      </c>
    </row>
    <row r="20791">
      <c r="A20791" s="1" t="s">
        <v>7</v>
      </c>
      <c r="B20791" s="2">
        <v>44802.0</v>
      </c>
      <c r="C20791" s="3">
        <v>0.7383564814814815</v>
      </c>
      <c r="D20791" s="1">
        <v>12.92315</v>
      </c>
      <c r="E20791" s="1">
        <v>80.122922</v>
      </c>
      <c r="F20791" s="1">
        <v>3143.0</v>
      </c>
      <c r="G20791" s="1">
        <v>48.0</v>
      </c>
    </row>
    <row r="20792">
      <c r="A20792" s="1" t="s">
        <v>8</v>
      </c>
      <c r="B20792" s="2">
        <v>44802.0</v>
      </c>
      <c r="C20792" s="3">
        <v>0.7394444444444445</v>
      </c>
      <c r="D20792" s="1">
        <v>12.922828</v>
      </c>
      <c r="E20792" s="1">
        <v>80.129677</v>
      </c>
      <c r="F20792" s="1">
        <v>3143.0</v>
      </c>
      <c r="G20792" s="1">
        <v>24.0</v>
      </c>
    </row>
    <row r="20793">
      <c r="A20793" s="1" t="s">
        <v>8</v>
      </c>
      <c r="B20793" s="2">
        <v>44802.0</v>
      </c>
      <c r="C20793" s="3">
        <v>0.7413078703703704</v>
      </c>
      <c r="D20793" s="1">
        <v>12.922409</v>
      </c>
      <c r="E20793" s="1">
        <v>80.138977</v>
      </c>
      <c r="F20793" s="1">
        <v>3143.0</v>
      </c>
      <c r="G20793" s="1">
        <v>29.0</v>
      </c>
    </row>
    <row r="20794">
      <c r="A20794" s="1" t="s">
        <v>8</v>
      </c>
      <c r="B20794" s="2">
        <v>44802.0</v>
      </c>
      <c r="C20794" s="3">
        <v>0.7489236111111112</v>
      </c>
      <c r="D20794" s="1">
        <v>12.932616</v>
      </c>
      <c r="E20794" s="1">
        <v>80.123741</v>
      </c>
      <c r="F20794" s="1">
        <v>5339.0</v>
      </c>
      <c r="G20794" s="1">
        <v>32.0</v>
      </c>
    </row>
    <row r="20795">
      <c r="A20795" s="1" t="s">
        <v>8</v>
      </c>
      <c r="B20795" s="2">
        <v>44802.0</v>
      </c>
      <c r="C20795" s="3">
        <v>0.7491319444444444</v>
      </c>
      <c r="D20795" s="1">
        <v>12.933226</v>
      </c>
      <c r="E20795" s="1">
        <v>80.124357</v>
      </c>
      <c r="F20795" s="1">
        <v>5339.0</v>
      </c>
      <c r="G20795" s="1">
        <v>34.0</v>
      </c>
    </row>
    <row r="20796">
      <c r="A20796" s="1" t="s">
        <v>8</v>
      </c>
      <c r="B20796" s="2">
        <v>44802.0</v>
      </c>
      <c r="C20796" s="3">
        <v>0.7509837962962963</v>
      </c>
      <c r="D20796" s="1">
        <v>12.936084</v>
      </c>
      <c r="E20796" s="1">
        <v>80.127025</v>
      </c>
      <c r="F20796" s="1">
        <v>5339.0</v>
      </c>
      <c r="G20796" s="1">
        <v>17.0</v>
      </c>
    </row>
    <row r="20797">
      <c r="A20797" s="1" t="s">
        <v>8</v>
      </c>
      <c r="B20797" s="2">
        <v>44802.0</v>
      </c>
      <c r="C20797" s="3">
        <v>0.7509953703703703</v>
      </c>
      <c r="D20797" s="1">
        <v>12.936084</v>
      </c>
      <c r="E20797" s="1">
        <v>80.127025</v>
      </c>
      <c r="F20797" s="1">
        <v>5339.0</v>
      </c>
      <c r="G20797" s="1">
        <v>17.0</v>
      </c>
    </row>
    <row r="20798">
      <c r="A20798" s="1" t="s">
        <v>8</v>
      </c>
      <c r="B20798" s="2">
        <v>44802.0</v>
      </c>
      <c r="C20798" s="3">
        <v>0.7511921296296297</v>
      </c>
      <c r="D20798" s="1">
        <v>12.937033</v>
      </c>
      <c r="E20798" s="1">
        <v>80.127863</v>
      </c>
      <c r="F20798" s="1">
        <v>5339.0</v>
      </c>
      <c r="G20798" s="1">
        <v>35.0</v>
      </c>
    </row>
    <row r="20799">
      <c r="A20799" s="1" t="s">
        <v>8</v>
      </c>
      <c r="B20799" s="2">
        <v>44802.0</v>
      </c>
      <c r="C20799" s="3">
        <v>0.7520833333333333</v>
      </c>
      <c r="D20799" s="1">
        <v>12.943555</v>
      </c>
      <c r="E20799" s="1">
        <v>80.134131</v>
      </c>
      <c r="F20799" s="1">
        <v>5339.0</v>
      </c>
      <c r="G20799" s="1">
        <v>41.0</v>
      </c>
    </row>
    <row r="20800">
      <c r="A20800" s="1" t="s">
        <v>7</v>
      </c>
      <c r="B20800" s="2">
        <v>44802.0</v>
      </c>
      <c r="C20800" s="3">
        <v>0.7522569444444445</v>
      </c>
      <c r="D20800" s="1">
        <v>12.944383</v>
      </c>
      <c r="E20800" s="1">
        <v>80.134823</v>
      </c>
      <c r="F20800" s="1">
        <v>5339.0</v>
      </c>
      <c r="G20800" s="1">
        <v>46.0</v>
      </c>
    </row>
    <row r="20801">
      <c r="A20801" s="1" t="s">
        <v>8</v>
      </c>
      <c r="B20801" s="2">
        <v>44802.0</v>
      </c>
      <c r="C20801" s="3">
        <v>0.7524537037037037</v>
      </c>
      <c r="D20801" s="1">
        <v>12.94647</v>
      </c>
      <c r="E20801" s="1">
        <v>80.136401</v>
      </c>
      <c r="F20801" s="1">
        <v>5339.0</v>
      </c>
      <c r="G20801" s="1">
        <v>53.0</v>
      </c>
    </row>
    <row r="20802">
      <c r="A20802" s="1" t="s">
        <v>8</v>
      </c>
      <c r="B20802" s="2">
        <v>44802.0</v>
      </c>
      <c r="C20802" s="3">
        <v>0.7537037037037037</v>
      </c>
      <c r="D20802" s="1">
        <v>12.952387</v>
      </c>
      <c r="E20802" s="1">
        <v>80.14095</v>
      </c>
      <c r="F20802" s="1">
        <v>5339.0</v>
      </c>
      <c r="G20802" s="1">
        <v>31.0</v>
      </c>
    </row>
    <row r="20803">
      <c r="A20803" s="1" t="s">
        <v>8</v>
      </c>
      <c r="B20803" s="2">
        <v>44802.0</v>
      </c>
      <c r="C20803" s="3">
        <v>0.7537615740740741</v>
      </c>
      <c r="D20803" s="1">
        <v>12.952387</v>
      </c>
      <c r="E20803" s="1">
        <v>80.14095</v>
      </c>
      <c r="F20803" s="1">
        <v>5339.0</v>
      </c>
      <c r="G20803" s="1">
        <v>31.0</v>
      </c>
    </row>
    <row r="20804">
      <c r="A20804" s="1" t="s">
        <v>8</v>
      </c>
      <c r="B20804" s="2">
        <v>44802.0</v>
      </c>
      <c r="C20804" s="3">
        <v>0.7537731481481481</v>
      </c>
      <c r="D20804" s="1">
        <v>12.952387</v>
      </c>
      <c r="E20804" s="1">
        <v>80.14095</v>
      </c>
      <c r="F20804" s="1">
        <v>5339.0</v>
      </c>
      <c r="G20804" s="1">
        <v>31.0</v>
      </c>
    </row>
    <row r="20805">
      <c r="A20805" s="1" t="s">
        <v>8</v>
      </c>
      <c r="B20805" s="2">
        <v>44802.0</v>
      </c>
      <c r="C20805" s="3">
        <v>0.7537731481481481</v>
      </c>
      <c r="D20805" s="1">
        <v>12.952387</v>
      </c>
      <c r="E20805" s="1">
        <v>80.14095</v>
      </c>
      <c r="F20805" s="1">
        <v>5339.0</v>
      </c>
      <c r="G20805" s="1">
        <v>31.0</v>
      </c>
    </row>
    <row r="20806">
      <c r="A20806" s="1" t="s">
        <v>8</v>
      </c>
      <c r="B20806" s="2">
        <v>44802.0</v>
      </c>
      <c r="C20806" s="3">
        <v>0.7538888888888889</v>
      </c>
      <c r="D20806" s="1">
        <v>12.952972</v>
      </c>
      <c r="E20806" s="1">
        <v>80.141378</v>
      </c>
      <c r="F20806" s="1">
        <v>5339.0</v>
      </c>
      <c r="G20806" s="1">
        <v>27.0</v>
      </c>
    </row>
    <row r="20807">
      <c r="A20807" s="1" t="s">
        <v>8</v>
      </c>
      <c r="B20807" s="2">
        <v>44802.0</v>
      </c>
      <c r="C20807" s="3">
        <v>0.753900462962963</v>
      </c>
      <c r="D20807" s="1">
        <v>12.953617</v>
      </c>
      <c r="E20807" s="1">
        <v>80.14176</v>
      </c>
      <c r="F20807" s="1">
        <v>5339.0</v>
      </c>
      <c r="G20807" s="1">
        <v>28.0</v>
      </c>
    </row>
    <row r="20808">
      <c r="A20808" s="1" t="s">
        <v>8</v>
      </c>
      <c r="B20808" s="2">
        <v>44802.0</v>
      </c>
      <c r="C20808" s="3">
        <v>0.753912037037037</v>
      </c>
      <c r="D20808" s="1">
        <v>12.953617</v>
      </c>
      <c r="E20808" s="1">
        <v>80.14176</v>
      </c>
      <c r="F20808" s="1">
        <v>5339.0</v>
      </c>
      <c r="G20808" s="1">
        <v>28.0</v>
      </c>
    </row>
    <row r="20809">
      <c r="A20809" s="1" t="s">
        <v>8</v>
      </c>
      <c r="B20809" s="2">
        <v>44802.0</v>
      </c>
      <c r="C20809" s="3">
        <v>0.7540509259259259</v>
      </c>
      <c r="D20809" s="1">
        <v>12.954257</v>
      </c>
      <c r="E20809" s="1">
        <v>80.142104</v>
      </c>
      <c r="F20809" s="1">
        <v>5339.0</v>
      </c>
      <c r="G20809" s="1">
        <v>24.0</v>
      </c>
    </row>
    <row r="20810">
      <c r="A20810" s="1" t="s">
        <v>8</v>
      </c>
      <c r="B20810" s="2">
        <v>44802.0</v>
      </c>
      <c r="C20810" s="3">
        <v>0.7562384259259259</v>
      </c>
      <c r="D20810" s="1">
        <v>12.962854</v>
      </c>
      <c r="E20810" s="1">
        <v>80.146688</v>
      </c>
      <c r="F20810" s="1">
        <v>5339.0</v>
      </c>
      <c r="G20810" s="1">
        <v>42.0</v>
      </c>
    </row>
    <row r="20811">
      <c r="A20811" s="1" t="s">
        <v>8</v>
      </c>
      <c r="B20811" s="2">
        <v>44802.0</v>
      </c>
      <c r="C20811" s="3">
        <v>0.7573263888888889</v>
      </c>
      <c r="D20811" s="1">
        <v>12.970915</v>
      </c>
      <c r="E20811" s="1">
        <v>80.150797</v>
      </c>
      <c r="F20811" s="1">
        <v>5339.0</v>
      </c>
      <c r="G20811" s="1">
        <v>48.0</v>
      </c>
    </row>
    <row r="20812">
      <c r="A20812" s="1" t="s">
        <v>8</v>
      </c>
      <c r="B20812" s="2">
        <v>44802.0</v>
      </c>
      <c r="C20812" s="3">
        <v>0.7573263888888889</v>
      </c>
      <c r="D20812" s="1">
        <v>12.970915</v>
      </c>
      <c r="E20812" s="1">
        <v>80.150797</v>
      </c>
      <c r="F20812" s="1">
        <v>5339.0</v>
      </c>
      <c r="G20812" s="1">
        <v>48.0</v>
      </c>
    </row>
    <row r="20813">
      <c r="A20813" s="1" t="s">
        <v>7</v>
      </c>
      <c r="B20813" s="2">
        <v>44802.0</v>
      </c>
      <c r="C20813" s="3">
        <v>0.7577893518518518</v>
      </c>
      <c r="D20813" s="1">
        <v>12.974287</v>
      </c>
      <c r="E20813" s="1">
        <v>80.154496</v>
      </c>
      <c r="F20813" s="1">
        <v>5339.0</v>
      </c>
      <c r="G20813" s="1">
        <v>51.0</v>
      </c>
    </row>
    <row r="20814">
      <c r="A20814" s="1" t="s">
        <v>8</v>
      </c>
      <c r="B20814" s="2">
        <v>44802.0</v>
      </c>
      <c r="C20814" s="3">
        <v>0.7578356481481482</v>
      </c>
      <c r="D20814" s="1">
        <v>12.974287</v>
      </c>
      <c r="E20814" s="1">
        <v>80.154496</v>
      </c>
      <c r="F20814" s="1">
        <v>5339.0</v>
      </c>
      <c r="G20814" s="1">
        <v>51.0</v>
      </c>
    </row>
    <row r="20815">
      <c r="A20815" s="1" t="s">
        <v>7</v>
      </c>
      <c r="B20815" s="2">
        <v>44802.0</v>
      </c>
      <c r="C20815" s="3">
        <v>0.7596296296296297</v>
      </c>
      <c r="D20815" s="1">
        <v>12.984095</v>
      </c>
      <c r="E20815" s="1">
        <v>80.171069</v>
      </c>
      <c r="F20815" s="1">
        <v>5339.0</v>
      </c>
      <c r="G20815" s="1">
        <v>50.0</v>
      </c>
    </row>
    <row r="20816">
      <c r="A20816" s="1" t="s">
        <v>8</v>
      </c>
      <c r="B20816" s="2">
        <v>44802.0</v>
      </c>
      <c r="C20816" s="3">
        <v>0.7606597222222222</v>
      </c>
      <c r="D20816" s="1">
        <v>12.987338</v>
      </c>
      <c r="E20816" s="1">
        <v>80.175881</v>
      </c>
      <c r="F20816" s="1">
        <v>5339.0</v>
      </c>
      <c r="G20816" s="1">
        <v>28.0</v>
      </c>
    </row>
    <row r="20817">
      <c r="A20817" s="1" t="s">
        <v>8</v>
      </c>
      <c r="B20817" s="2">
        <v>44802.0</v>
      </c>
      <c r="C20817" s="3">
        <v>0.7613078703703704</v>
      </c>
      <c r="D20817" s="1">
        <v>12.989051</v>
      </c>
      <c r="E20817" s="1">
        <v>80.178265</v>
      </c>
      <c r="F20817" s="1">
        <v>5339.0</v>
      </c>
      <c r="G20817" s="1">
        <v>23.0</v>
      </c>
    </row>
    <row r="20818">
      <c r="A20818" s="1" t="s">
        <v>10</v>
      </c>
      <c r="B20818" s="2">
        <v>44802.0</v>
      </c>
      <c r="C20818" s="3">
        <v>0.7617476851851852</v>
      </c>
      <c r="D20818" s="1">
        <v>12.965851</v>
      </c>
      <c r="E20818" s="1">
        <v>80.189398</v>
      </c>
      <c r="F20818" s="1">
        <v>3143.0</v>
      </c>
      <c r="G20818" s="1">
        <v>28.0</v>
      </c>
    </row>
    <row r="20819">
      <c r="A20819" s="1" t="s">
        <v>10</v>
      </c>
      <c r="B20819" s="2">
        <v>44802.0</v>
      </c>
      <c r="C20819" s="3">
        <v>0.7617939814814815</v>
      </c>
      <c r="D20819" s="1">
        <v>12.965851</v>
      </c>
      <c r="E20819" s="1">
        <v>80.189398</v>
      </c>
      <c r="F20819" s="1">
        <v>3143.0</v>
      </c>
      <c r="G20819" s="1">
        <v>28.0</v>
      </c>
    </row>
    <row r="20820">
      <c r="A20820" s="1" t="s">
        <v>8</v>
      </c>
      <c r="B20820" s="2">
        <v>44802.0</v>
      </c>
      <c r="C20820" s="3">
        <v>0.7619444444444444</v>
      </c>
      <c r="D20820" s="1">
        <v>12.992736</v>
      </c>
      <c r="E20820" s="1">
        <v>80.183132</v>
      </c>
      <c r="F20820" s="1">
        <v>5339.0</v>
      </c>
      <c r="G20820" s="1">
        <v>46.0</v>
      </c>
    </row>
    <row r="20821">
      <c r="A20821" s="1" t="s">
        <v>8</v>
      </c>
      <c r="B20821" s="2">
        <v>44802.0</v>
      </c>
      <c r="C20821" s="3">
        <v>0.7631828703703704</v>
      </c>
      <c r="D20821" s="1">
        <v>12.996503</v>
      </c>
      <c r="E20821" s="1">
        <v>80.189713</v>
      </c>
      <c r="F20821" s="1">
        <v>5339.0</v>
      </c>
      <c r="G20821" s="1">
        <v>41.0</v>
      </c>
    </row>
    <row r="20822">
      <c r="A20822" s="1" t="s">
        <v>8</v>
      </c>
      <c r="B20822" s="2">
        <v>44802.0</v>
      </c>
      <c r="C20822" s="3">
        <v>0.763275462962963</v>
      </c>
      <c r="D20822" s="1">
        <v>12.996503</v>
      </c>
      <c r="E20822" s="1">
        <v>80.189713</v>
      </c>
      <c r="F20822" s="1">
        <v>5339.0</v>
      </c>
      <c r="G20822" s="1">
        <v>41.0</v>
      </c>
    </row>
    <row r="20823">
      <c r="A20823" s="1" t="s">
        <v>8</v>
      </c>
      <c r="B20823" s="2">
        <v>44802.0</v>
      </c>
      <c r="C20823" s="3">
        <v>0.7635879629629629</v>
      </c>
      <c r="D20823" s="1">
        <v>12.998258</v>
      </c>
      <c r="E20823" s="1">
        <v>80.191858</v>
      </c>
      <c r="F20823" s="1">
        <v>5339.0</v>
      </c>
      <c r="G20823" s="1">
        <v>27.0</v>
      </c>
    </row>
    <row r="20824">
      <c r="A20824" s="1" t="s">
        <v>8</v>
      </c>
      <c r="B20824" s="2">
        <v>44802.0</v>
      </c>
      <c r="C20824" s="3">
        <v>0.7636342592592592</v>
      </c>
      <c r="D20824" s="1">
        <v>12.998752</v>
      </c>
      <c r="E20824" s="1">
        <v>80.192494</v>
      </c>
      <c r="F20824" s="1">
        <v>5339.0</v>
      </c>
      <c r="G20824" s="1">
        <v>34.0</v>
      </c>
    </row>
    <row r="20825">
      <c r="A20825" s="1" t="s">
        <v>8</v>
      </c>
      <c r="B20825" s="2">
        <v>44802.0</v>
      </c>
      <c r="C20825" s="3">
        <v>0.7639351851851852</v>
      </c>
      <c r="D20825" s="1">
        <v>12.999681</v>
      </c>
      <c r="E20825" s="1">
        <v>80.19366</v>
      </c>
      <c r="F20825" s="1">
        <v>5339.0</v>
      </c>
      <c r="G20825" s="1">
        <v>31.0</v>
      </c>
    </row>
    <row r="20826">
      <c r="A20826" s="1" t="s">
        <v>8</v>
      </c>
      <c r="B20826" s="2">
        <v>44802.0</v>
      </c>
      <c r="C20826" s="3">
        <v>0.7640162037037037</v>
      </c>
      <c r="D20826" s="1">
        <v>13.000213</v>
      </c>
      <c r="E20826" s="1">
        <v>80.194375</v>
      </c>
      <c r="F20826" s="1">
        <v>5339.0</v>
      </c>
      <c r="G20826" s="1">
        <v>32.0</v>
      </c>
    </row>
    <row r="20827">
      <c r="A20827" s="1" t="s">
        <v>10</v>
      </c>
      <c r="B20827" s="2">
        <v>44802.0</v>
      </c>
      <c r="C20827" s="3">
        <v>0.7645138888888889</v>
      </c>
      <c r="D20827" s="1">
        <v>12.964704</v>
      </c>
      <c r="E20827" s="1">
        <v>80.196084</v>
      </c>
      <c r="F20827" s="1">
        <v>3143.0</v>
      </c>
      <c r="G20827" s="1">
        <v>0.0</v>
      </c>
    </row>
    <row r="20828">
      <c r="A20828" s="1" t="s">
        <v>8</v>
      </c>
      <c r="B20828" s="2">
        <v>44802.0</v>
      </c>
      <c r="C20828" s="3">
        <v>0.7645486111111112</v>
      </c>
      <c r="D20828" s="1">
        <v>13.001956</v>
      </c>
      <c r="E20828" s="1">
        <v>80.196525</v>
      </c>
      <c r="F20828" s="1">
        <v>5339.0</v>
      </c>
      <c r="G20828" s="1">
        <v>33.0</v>
      </c>
    </row>
    <row r="20829">
      <c r="A20829" s="1" t="s">
        <v>8</v>
      </c>
      <c r="B20829" s="2">
        <v>44802.0</v>
      </c>
      <c r="C20829" s="3">
        <v>0.7647106481481482</v>
      </c>
      <c r="D20829" s="1">
        <v>13.001993</v>
      </c>
      <c r="E20829" s="1">
        <v>80.198518</v>
      </c>
      <c r="F20829" s="1">
        <v>5339.0</v>
      </c>
      <c r="G20829" s="1">
        <v>40.0</v>
      </c>
    </row>
    <row r="20830">
      <c r="A20830" s="1" t="s">
        <v>10</v>
      </c>
      <c r="B20830" s="2">
        <v>44802.0</v>
      </c>
      <c r="C20830" s="3">
        <v>0.7657175925925926</v>
      </c>
      <c r="D20830" s="1">
        <v>12.965206</v>
      </c>
      <c r="E20830" s="1">
        <v>80.200058</v>
      </c>
      <c r="F20830" s="1">
        <v>3143.0</v>
      </c>
      <c r="G20830" s="1">
        <v>16.0</v>
      </c>
    </row>
    <row r="20831">
      <c r="A20831" s="1" t="s">
        <v>8</v>
      </c>
      <c r="B20831" s="2">
        <v>44802.0</v>
      </c>
      <c r="C20831" s="3">
        <v>0.7659027777777778</v>
      </c>
      <c r="D20831" s="1">
        <v>13.006409</v>
      </c>
      <c r="E20831" s="1">
        <v>80.203058</v>
      </c>
      <c r="F20831" s="1">
        <v>5339.0</v>
      </c>
      <c r="G20831" s="1">
        <v>31.0</v>
      </c>
    </row>
    <row r="20832">
      <c r="A20832" s="1" t="s">
        <v>9</v>
      </c>
      <c r="B20832" s="2">
        <v>44802.0</v>
      </c>
      <c r="C20832" s="3">
        <v>0.766875</v>
      </c>
      <c r="D20832" s="1">
        <v>13.007965</v>
      </c>
      <c r="E20832" s="1">
        <v>80.207911</v>
      </c>
      <c r="F20832" s="1">
        <v>5339.0</v>
      </c>
      <c r="G20832" s="1">
        <v>32.0</v>
      </c>
    </row>
    <row r="20833">
      <c r="A20833" s="1" t="s">
        <v>8</v>
      </c>
      <c r="B20833" s="2">
        <v>44802.0</v>
      </c>
      <c r="C20833" s="3">
        <v>0.7675231481481481</v>
      </c>
      <c r="D20833" s="1">
        <v>13.009154</v>
      </c>
      <c r="E20833" s="1">
        <v>80.212085</v>
      </c>
      <c r="F20833" s="1">
        <v>5339.0</v>
      </c>
      <c r="G20833" s="1">
        <v>39.0</v>
      </c>
    </row>
    <row r="20834">
      <c r="A20834" s="1" t="s">
        <v>8</v>
      </c>
      <c r="B20834" s="2">
        <v>44802.0</v>
      </c>
      <c r="C20834" s="3">
        <v>0.767824074074074</v>
      </c>
      <c r="D20834" s="1">
        <v>13.010104</v>
      </c>
      <c r="E20834" s="1">
        <v>80.214488</v>
      </c>
      <c r="F20834" s="1">
        <v>5339.0</v>
      </c>
      <c r="G20834" s="1">
        <v>32.0</v>
      </c>
    </row>
    <row r="20835">
      <c r="A20835" s="1" t="s">
        <v>9</v>
      </c>
      <c r="B20835" s="2">
        <v>44802.0</v>
      </c>
      <c r="C20835" s="3">
        <v>0.7681597222222222</v>
      </c>
      <c r="D20835" s="1">
        <v>13.010792</v>
      </c>
      <c r="E20835" s="1">
        <v>80.216837</v>
      </c>
      <c r="F20835" s="1">
        <v>5339.0</v>
      </c>
      <c r="G20835" s="1">
        <v>32.0</v>
      </c>
    </row>
    <row r="20836">
      <c r="A20836" s="1" t="s">
        <v>10</v>
      </c>
      <c r="B20836" s="2">
        <v>44802.0</v>
      </c>
      <c r="C20836" s="3">
        <v>0.7681597222222222</v>
      </c>
      <c r="D20836" s="1">
        <v>12.96474</v>
      </c>
      <c r="E20836" s="1">
        <v>80.21055</v>
      </c>
      <c r="F20836" s="1">
        <v>3143.0</v>
      </c>
      <c r="G20836" s="1">
        <v>33.0</v>
      </c>
    </row>
    <row r="20837">
      <c r="A20837" s="1" t="s">
        <v>8</v>
      </c>
      <c r="B20837" s="2">
        <v>44802.0</v>
      </c>
      <c r="C20837" s="3">
        <v>0.7719328703703704</v>
      </c>
      <c r="D20837" s="1">
        <v>12.956162</v>
      </c>
      <c r="E20837" s="1">
        <v>80.213056</v>
      </c>
      <c r="F20837" s="1">
        <v>3143.0</v>
      </c>
      <c r="G20837" s="1">
        <v>45.0</v>
      </c>
    </row>
    <row r="20838">
      <c r="A20838" s="1" t="s">
        <v>8</v>
      </c>
      <c r="B20838" s="2">
        <v>44802.0</v>
      </c>
      <c r="C20838" s="3">
        <v>0.7719907407407407</v>
      </c>
      <c r="D20838" s="1">
        <v>12.956162</v>
      </c>
      <c r="E20838" s="1">
        <v>80.213056</v>
      </c>
      <c r="F20838" s="1">
        <v>3143.0</v>
      </c>
      <c r="G20838" s="1">
        <v>45.0</v>
      </c>
    </row>
    <row r="20839">
      <c r="A20839" s="1" t="s">
        <v>8</v>
      </c>
      <c r="B20839" s="2">
        <v>44802.0</v>
      </c>
      <c r="C20839" s="3">
        <v>0.7721759259259259</v>
      </c>
      <c r="D20839" s="1">
        <v>12.95444</v>
      </c>
      <c r="E20839" s="1">
        <v>80.212393</v>
      </c>
      <c r="F20839" s="1">
        <v>3143.0</v>
      </c>
      <c r="G20839" s="1">
        <v>30.0</v>
      </c>
    </row>
    <row r="20840">
      <c r="A20840" s="1" t="s">
        <v>8</v>
      </c>
      <c r="B20840" s="2">
        <v>44802.0</v>
      </c>
      <c r="C20840" s="3">
        <v>0.7762962962962963</v>
      </c>
      <c r="D20840" s="1">
        <v>12.948563</v>
      </c>
      <c r="E20840" s="1">
        <v>80.207525</v>
      </c>
      <c r="F20840" s="1">
        <v>3143.0</v>
      </c>
      <c r="G20840" s="1">
        <v>31.0</v>
      </c>
    </row>
    <row r="20841">
      <c r="A20841" s="1" t="s">
        <v>8</v>
      </c>
      <c r="B20841" s="2">
        <v>44802.0</v>
      </c>
      <c r="C20841" s="3">
        <v>0.7765509259259259</v>
      </c>
      <c r="D20841" s="1">
        <v>12.948655</v>
      </c>
      <c r="E20841" s="1">
        <v>80.206225</v>
      </c>
      <c r="F20841" s="1">
        <v>3143.0</v>
      </c>
      <c r="G20841" s="1">
        <v>19.0</v>
      </c>
    </row>
    <row r="20842">
      <c r="A20842" s="1" t="s">
        <v>8</v>
      </c>
      <c r="B20842" s="2">
        <v>44802.0</v>
      </c>
      <c r="C20842" s="3">
        <v>0.7765625</v>
      </c>
      <c r="D20842" s="1">
        <v>12.948686</v>
      </c>
      <c r="E20842" s="1">
        <v>80.205634</v>
      </c>
      <c r="F20842" s="1">
        <v>3143.0</v>
      </c>
      <c r="G20842" s="1">
        <v>27.0</v>
      </c>
    </row>
    <row r="20843">
      <c r="A20843" s="1" t="s">
        <v>8</v>
      </c>
      <c r="B20843" s="2">
        <v>44802.0</v>
      </c>
      <c r="C20843" s="3">
        <v>0.7767939814814815</v>
      </c>
      <c r="D20843" s="1">
        <v>12.948656</v>
      </c>
      <c r="E20843" s="1">
        <v>80.204144</v>
      </c>
      <c r="F20843" s="1">
        <v>3143.0</v>
      </c>
      <c r="G20843" s="1">
        <v>28.0</v>
      </c>
    </row>
    <row r="20844">
      <c r="A20844" s="1" t="s">
        <v>8</v>
      </c>
      <c r="B20844" s="2">
        <v>44802.0</v>
      </c>
      <c r="C20844" s="3">
        <v>0.7768287037037037</v>
      </c>
      <c r="D20844" s="1">
        <v>12.948656</v>
      </c>
      <c r="E20844" s="1">
        <v>80.204144</v>
      </c>
      <c r="F20844" s="1">
        <v>3143.0</v>
      </c>
      <c r="G20844" s="1">
        <v>28.0</v>
      </c>
    </row>
    <row r="20845">
      <c r="A20845" s="1" t="s">
        <v>8</v>
      </c>
      <c r="B20845" s="2">
        <v>44802.0</v>
      </c>
      <c r="C20845" s="3">
        <v>0.778125</v>
      </c>
      <c r="D20845" s="1">
        <v>12.9485</v>
      </c>
      <c r="E20845" s="1">
        <v>80.195135</v>
      </c>
      <c r="F20845" s="1">
        <v>3143.0</v>
      </c>
      <c r="G20845" s="1">
        <v>31.0</v>
      </c>
    </row>
    <row r="20846">
      <c r="A20846" s="1" t="s">
        <v>8</v>
      </c>
      <c r="B20846" s="2">
        <v>44802.0</v>
      </c>
      <c r="C20846" s="3">
        <v>0.7781365740740741</v>
      </c>
      <c r="D20846" s="1">
        <v>12.9485</v>
      </c>
      <c r="E20846" s="1">
        <v>80.195135</v>
      </c>
      <c r="F20846" s="1">
        <v>3143.0</v>
      </c>
      <c r="G20846" s="1">
        <v>31.0</v>
      </c>
    </row>
    <row r="20847">
      <c r="A20847" s="1" t="s">
        <v>8</v>
      </c>
      <c r="B20847" s="2">
        <v>44802.0</v>
      </c>
      <c r="C20847" s="3">
        <v>0.7781365740740741</v>
      </c>
      <c r="D20847" s="1">
        <v>12.9485</v>
      </c>
      <c r="E20847" s="1">
        <v>80.195135</v>
      </c>
      <c r="F20847" s="1">
        <v>3143.0</v>
      </c>
      <c r="G20847" s="1">
        <v>31.0</v>
      </c>
    </row>
    <row r="20848">
      <c r="A20848" s="1" t="s">
        <v>7</v>
      </c>
      <c r="B20848" s="2">
        <v>44802.0</v>
      </c>
      <c r="C20848" s="3">
        <v>0.7786574074074074</v>
      </c>
      <c r="D20848" s="1">
        <v>12.948623</v>
      </c>
      <c r="E20848" s="1">
        <v>80.19115</v>
      </c>
      <c r="F20848" s="1">
        <v>3143.0</v>
      </c>
      <c r="G20848" s="1">
        <v>51.0</v>
      </c>
    </row>
    <row r="20849">
      <c r="A20849" s="1" t="s">
        <v>8</v>
      </c>
      <c r="B20849" s="2">
        <v>44802.0</v>
      </c>
      <c r="C20849" s="3">
        <v>0.7793055555555556</v>
      </c>
      <c r="D20849" s="1">
        <v>12.949</v>
      </c>
      <c r="E20849" s="1">
        <v>80.185418</v>
      </c>
      <c r="F20849" s="1">
        <v>3143.0</v>
      </c>
      <c r="G20849" s="1">
        <v>49.0</v>
      </c>
    </row>
    <row r="20850">
      <c r="A20850" s="1" t="s">
        <v>8</v>
      </c>
      <c r="B20850" s="2">
        <v>44802.0</v>
      </c>
      <c r="C20850" s="3">
        <v>0.7800231481481481</v>
      </c>
      <c r="D20850" s="1">
        <v>12.950043</v>
      </c>
      <c r="E20850" s="1">
        <v>80.179318</v>
      </c>
      <c r="F20850" s="1">
        <v>3143.0</v>
      </c>
      <c r="G20850" s="1">
        <v>41.0</v>
      </c>
    </row>
    <row r="20851">
      <c r="A20851" s="1" t="s">
        <v>8</v>
      </c>
      <c r="B20851" s="2">
        <v>44802.0</v>
      </c>
      <c r="C20851" s="3">
        <v>0.7801273148148148</v>
      </c>
      <c r="D20851" s="1">
        <v>12.9503</v>
      </c>
      <c r="E20851" s="1">
        <v>80.178314</v>
      </c>
      <c r="F20851" s="1">
        <v>3143.0</v>
      </c>
      <c r="G20851" s="1">
        <v>42.0</v>
      </c>
    </row>
    <row r="20852">
      <c r="A20852" s="1" t="s">
        <v>8</v>
      </c>
      <c r="B20852" s="2">
        <v>44802.0</v>
      </c>
      <c r="C20852" s="3">
        <v>0.780162037037037</v>
      </c>
      <c r="D20852" s="1">
        <v>12.950568</v>
      </c>
      <c r="E20852" s="1">
        <v>80.177326</v>
      </c>
      <c r="F20852" s="1">
        <v>3143.0</v>
      </c>
      <c r="G20852" s="1">
        <v>41.0</v>
      </c>
    </row>
    <row r="20853">
      <c r="A20853" s="1" t="s">
        <v>8</v>
      </c>
      <c r="B20853" s="2">
        <v>44802.0</v>
      </c>
      <c r="C20853" s="3">
        <v>0.7813541666666667</v>
      </c>
      <c r="D20853" s="1">
        <v>12.952263</v>
      </c>
      <c r="E20853" s="1">
        <v>80.168688</v>
      </c>
      <c r="F20853" s="1">
        <v>3143.0</v>
      </c>
      <c r="G20853" s="1">
        <v>47.0</v>
      </c>
    </row>
    <row r="20854">
      <c r="A20854" s="1" t="s">
        <v>7</v>
      </c>
      <c r="B20854" s="2">
        <v>44802.0</v>
      </c>
      <c r="C20854" s="3">
        <v>0.7813888888888889</v>
      </c>
      <c r="D20854" s="1">
        <v>12.952263</v>
      </c>
      <c r="E20854" s="1">
        <v>80.168688</v>
      </c>
      <c r="F20854" s="1">
        <v>3143.0</v>
      </c>
      <c r="G20854" s="1">
        <v>47.0</v>
      </c>
    </row>
    <row r="20855">
      <c r="A20855" s="1" t="s">
        <v>8</v>
      </c>
      <c r="B20855" s="2">
        <v>44802.0</v>
      </c>
      <c r="C20855" s="3">
        <v>0.7814699074074074</v>
      </c>
      <c r="D20855" s="1">
        <v>12.952579</v>
      </c>
      <c r="E20855" s="1">
        <v>80.167448</v>
      </c>
      <c r="F20855" s="1">
        <v>3143.0</v>
      </c>
      <c r="G20855" s="1">
        <v>51.0</v>
      </c>
    </row>
    <row r="20856">
      <c r="A20856" s="1" t="s">
        <v>7</v>
      </c>
      <c r="B20856" s="2">
        <v>44802.0</v>
      </c>
      <c r="C20856" s="3">
        <v>0.7827430555555556</v>
      </c>
      <c r="D20856" s="1">
        <v>12.953935</v>
      </c>
      <c r="E20856" s="1">
        <v>80.161433</v>
      </c>
      <c r="F20856" s="1">
        <v>3143.0</v>
      </c>
      <c r="G20856" s="1">
        <v>51.0</v>
      </c>
    </row>
    <row r="20857">
      <c r="A20857" s="1" t="s">
        <v>8</v>
      </c>
      <c r="B20857" s="2">
        <v>44802.0</v>
      </c>
      <c r="C20857" s="3">
        <v>0.7828703703703703</v>
      </c>
      <c r="D20857" s="1">
        <v>12.954223</v>
      </c>
      <c r="E20857" s="1">
        <v>80.160062</v>
      </c>
      <c r="F20857" s="1">
        <v>3143.0</v>
      </c>
      <c r="G20857" s="1">
        <v>56.0</v>
      </c>
    </row>
    <row r="20858">
      <c r="A20858" s="1" t="s">
        <v>8</v>
      </c>
      <c r="B20858" s="2">
        <v>44802.0</v>
      </c>
      <c r="C20858" s="3">
        <v>0.7834953703703704</v>
      </c>
      <c r="D20858" s="1">
        <v>12.955272</v>
      </c>
      <c r="E20858" s="1">
        <v>80.155026</v>
      </c>
      <c r="F20858" s="1">
        <v>3143.0</v>
      </c>
      <c r="G20858" s="1">
        <v>45.0</v>
      </c>
    </row>
    <row r="20859">
      <c r="A20859" s="1" t="s">
        <v>8</v>
      </c>
      <c r="B20859" s="2">
        <v>44802.0</v>
      </c>
      <c r="C20859" s="3">
        <v>0.7836805555555556</v>
      </c>
      <c r="D20859" s="1">
        <v>12.955686</v>
      </c>
      <c r="E20859" s="1">
        <v>80.153411</v>
      </c>
      <c r="F20859" s="1">
        <v>3143.0</v>
      </c>
      <c r="G20859" s="1">
        <v>30.0</v>
      </c>
    </row>
    <row r="20860">
      <c r="A20860" s="1" t="s">
        <v>8</v>
      </c>
      <c r="B20860" s="2">
        <v>44802.0</v>
      </c>
      <c r="C20860" s="3">
        <v>0.7842013888888889</v>
      </c>
      <c r="D20860" s="1">
        <v>12.95883</v>
      </c>
      <c r="E20860" s="1">
        <v>80.15006</v>
      </c>
      <c r="F20860" s="1">
        <v>3143.0</v>
      </c>
      <c r="G20860" s="1">
        <v>33.0</v>
      </c>
    </row>
    <row r="20861">
      <c r="A20861" s="1" t="s">
        <v>8</v>
      </c>
      <c r="B20861" s="2">
        <v>44802.0</v>
      </c>
      <c r="C20861" s="3">
        <v>0.789375</v>
      </c>
      <c r="D20861" s="1">
        <v>12.950354</v>
      </c>
      <c r="E20861" s="1">
        <v>80.139619</v>
      </c>
      <c r="F20861" s="1">
        <v>3143.0</v>
      </c>
      <c r="G20861" s="1">
        <v>20.0</v>
      </c>
    </row>
    <row r="20862">
      <c r="A20862" s="1" t="s">
        <v>8</v>
      </c>
      <c r="B20862" s="2">
        <v>44802.0</v>
      </c>
      <c r="C20862" s="3">
        <v>0.7898032407407407</v>
      </c>
      <c r="D20862" s="1">
        <v>12.947025</v>
      </c>
      <c r="E20862" s="1">
        <v>80.136981</v>
      </c>
      <c r="F20862" s="1">
        <v>3143.0</v>
      </c>
      <c r="G20862" s="1">
        <v>43.0</v>
      </c>
    </row>
    <row r="20863">
      <c r="A20863" s="1" t="s">
        <v>8</v>
      </c>
      <c r="B20863" s="2">
        <v>44802.0</v>
      </c>
      <c r="C20863" s="3">
        <v>0.7909143518518519</v>
      </c>
      <c r="D20863" s="1">
        <v>12.939693</v>
      </c>
      <c r="E20863" s="1">
        <v>80.130354</v>
      </c>
      <c r="F20863" s="1">
        <v>3143.0</v>
      </c>
      <c r="G20863" s="1">
        <v>42.0</v>
      </c>
    </row>
    <row r="20864">
      <c r="A20864" s="1" t="s">
        <v>8</v>
      </c>
      <c r="B20864" s="2">
        <v>44802.0</v>
      </c>
      <c r="C20864" s="3">
        <v>0.791238425925926</v>
      </c>
      <c r="D20864" s="1">
        <v>12.938261</v>
      </c>
      <c r="E20864" s="1">
        <v>80.129055</v>
      </c>
      <c r="F20864" s="1">
        <v>3143.0</v>
      </c>
      <c r="G20864" s="1">
        <v>31.0</v>
      </c>
    </row>
    <row r="20865">
      <c r="A20865" s="1" t="s">
        <v>8</v>
      </c>
      <c r="B20865" s="2">
        <v>44802.0</v>
      </c>
      <c r="C20865" s="3">
        <v>0.8020486111111111</v>
      </c>
      <c r="D20865" s="1">
        <v>12.921018</v>
      </c>
      <c r="E20865" s="1">
        <v>80.112222</v>
      </c>
      <c r="F20865" s="1">
        <v>3143.0</v>
      </c>
      <c r="G20865" s="1">
        <v>33.0</v>
      </c>
    </row>
    <row r="20866">
      <c r="A20866" s="1" t="s">
        <v>8</v>
      </c>
      <c r="B20866" s="2">
        <v>44802.0</v>
      </c>
      <c r="C20866" s="3">
        <v>0.8032175925925926</v>
      </c>
      <c r="D20866" s="1">
        <v>12.915147</v>
      </c>
      <c r="E20866" s="1">
        <v>80.103788</v>
      </c>
      <c r="F20866" s="1">
        <v>3143.0</v>
      </c>
      <c r="G20866" s="1">
        <v>46.0</v>
      </c>
    </row>
    <row r="20867">
      <c r="A20867" s="1" t="s">
        <v>8</v>
      </c>
      <c r="B20867" s="2">
        <v>44802.0</v>
      </c>
      <c r="C20867" s="3">
        <v>0.8037847222222222</v>
      </c>
      <c r="D20867" s="1">
        <v>12.912778</v>
      </c>
      <c r="E20867" s="1">
        <v>80.101573</v>
      </c>
      <c r="F20867" s="1">
        <v>3143.0</v>
      </c>
      <c r="G20867" s="1">
        <v>29.0</v>
      </c>
    </row>
    <row r="20868">
      <c r="A20868" s="1" t="s">
        <v>8</v>
      </c>
      <c r="B20868" s="2">
        <v>44802.0</v>
      </c>
      <c r="C20868" s="3">
        <v>0.808125</v>
      </c>
      <c r="D20868" s="1">
        <v>12.886117</v>
      </c>
      <c r="E20868" s="1">
        <v>80.08305</v>
      </c>
      <c r="F20868" s="1">
        <v>3143.0</v>
      </c>
      <c r="G20868" s="1">
        <v>46.0</v>
      </c>
    </row>
    <row r="20869">
      <c r="A20869" s="1" t="s">
        <v>8</v>
      </c>
      <c r="B20869" s="2">
        <v>44802.0</v>
      </c>
      <c r="C20869" s="3">
        <v>0.8084027777777778</v>
      </c>
      <c r="D20869" s="1">
        <v>13.068156</v>
      </c>
      <c r="E20869" s="1">
        <v>80.271554</v>
      </c>
      <c r="F20869" s="1">
        <v>5339.0</v>
      </c>
      <c r="G20869" s="1">
        <v>13.0</v>
      </c>
    </row>
    <row r="20870">
      <c r="A20870" s="1" t="s">
        <v>8</v>
      </c>
      <c r="B20870" s="2">
        <v>44802.0</v>
      </c>
      <c r="C20870" s="3">
        <v>0.8084837962962963</v>
      </c>
      <c r="D20870" s="1">
        <v>13.067044</v>
      </c>
      <c r="E20870" s="1">
        <v>80.270231</v>
      </c>
      <c r="F20870" s="1">
        <v>5339.0</v>
      </c>
      <c r="G20870" s="1">
        <v>33.0</v>
      </c>
    </row>
    <row r="20871">
      <c r="A20871" s="1" t="s">
        <v>8</v>
      </c>
      <c r="B20871" s="2">
        <v>44802.0</v>
      </c>
      <c r="C20871" s="3">
        <v>0.8085300925925926</v>
      </c>
      <c r="D20871" s="1">
        <v>13.067044</v>
      </c>
      <c r="E20871" s="1">
        <v>80.270231</v>
      </c>
      <c r="F20871" s="1">
        <v>5339.0</v>
      </c>
      <c r="G20871" s="1">
        <v>33.0</v>
      </c>
    </row>
    <row r="20872">
      <c r="A20872" s="1" t="s">
        <v>8</v>
      </c>
      <c r="B20872" s="2">
        <v>44802.0</v>
      </c>
      <c r="C20872" s="3">
        <v>0.8085416666666667</v>
      </c>
      <c r="D20872" s="1">
        <v>13.067044</v>
      </c>
      <c r="E20872" s="1">
        <v>80.270231</v>
      </c>
      <c r="F20872" s="1">
        <v>5339.0</v>
      </c>
      <c r="G20872" s="1">
        <v>33.0</v>
      </c>
    </row>
    <row r="20873">
      <c r="A20873" s="1" t="s">
        <v>8</v>
      </c>
      <c r="B20873" s="2">
        <v>44802.0</v>
      </c>
      <c r="C20873" s="3">
        <v>0.8085763888888889</v>
      </c>
      <c r="D20873" s="1">
        <v>13.067044</v>
      </c>
      <c r="E20873" s="1">
        <v>80.270231</v>
      </c>
      <c r="F20873" s="1">
        <v>5339.0</v>
      </c>
      <c r="G20873" s="1">
        <v>33.0</v>
      </c>
    </row>
    <row r="20874">
      <c r="A20874" s="1" t="s">
        <v>10</v>
      </c>
      <c r="B20874" s="2">
        <v>44802.0</v>
      </c>
      <c r="C20874" s="3">
        <v>0.8090277777777778</v>
      </c>
      <c r="D20874" s="1">
        <v>13.066106</v>
      </c>
      <c r="E20874" s="1">
        <v>80.26813</v>
      </c>
      <c r="F20874" s="1">
        <v>5339.0</v>
      </c>
      <c r="G20874" s="1">
        <v>7.0</v>
      </c>
    </row>
    <row r="20875">
      <c r="A20875" s="1" t="s">
        <v>10</v>
      </c>
      <c r="B20875" s="2">
        <v>44802.0</v>
      </c>
      <c r="C20875" s="3">
        <v>0.8140972222222222</v>
      </c>
      <c r="D20875" s="1">
        <v>13.065333</v>
      </c>
      <c r="E20875" s="1">
        <v>80.2572</v>
      </c>
      <c r="F20875" s="1">
        <v>5339.0</v>
      </c>
      <c r="G20875" s="1">
        <v>15.0</v>
      </c>
    </row>
    <row r="20876">
      <c r="A20876" s="1" t="s">
        <v>10</v>
      </c>
      <c r="B20876" s="2">
        <v>44802.0</v>
      </c>
      <c r="C20876" s="3">
        <v>0.8143055555555555</v>
      </c>
      <c r="D20876" s="1">
        <v>13.065786</v>
      </c>
      <c r="E20876" s="1">
        <v>80.256423</v>
      </c>
      <c r="F20876" s="1">
        <v>5339.0</v>
      </c>
      <c r="G20876" s="1">
        <v>21.0</v>
      </c>
    </row>
    <row r="20877">
      <c r="A20877" s="1" t="s">
        <v>8</v>
      </c>
      <c r="B20877" s="2">
        <v>44802.0</v>
      </c>
      <c r="C20877" s="3">
        <v>0.815949074074074</v>
      </c>
      <c r="D20877" s="1">
        <v>13.067416</v>
      </c>
      <c r="E20877" s="1">
        <v>80.2536</v>
      </c>
      <c r="F20877" s="1">
        <v>5339.0</v>
      </c>
      <c r="G20877" s="1">
        <v>27.0</v>
      </c>
    </row>
    <row r="20878">
      <c r="A20878" s="1" t="s">
        <v>7</v>
      </c>
      <c r="B20878" s="2">
        <v>44803.0</v>
      </c>
      <c r="C20878" s="3">
        <v>0.27797453703703706</v>
      </c>
      <c r="D20878" s="1">
        <v>12.88835</v>
      </c>
      <c r="E20878" s="1">
        <v>80.083831</v>
      </c>
      <c r="F20878" s="1">
        <v>3143.0</v>
      </c>
      <c r="G20878" s="1">
        <v>51.0</v>
      </c>
    </row>
    <row r="20879">
      <c r="A20879" s="1" t="s">
        <v>8</v>
      </c>
      <c r="B20879" s="2">
        <v>44803.0</v>
      </c>
      <c r="C20879" s="3">
        <v>0.2785300925925926</v>
      </c>
      <c r="D20879" s="1">
        <v>12.894135</v>
      </c>
      <c r="E20879" s="1">
        <v>80.086983</v>
      </c>
      <c r="F20879" s="1">
        <v>3143.0</v>
      </c>
      <c r="G20879" s="1">
        <v>55.0</v>
      </c>
    </row>
    <row r="20880">
      <c r="A20880" s="1" t="s">
        <v>8</v>
      </c>
      <c r="B20880" s="2">
        <v>44803.0</v>
      </c>
      <c r="C20880" s="3">
        <v>0.27868055555555554</v>
      </c>
      <c r="D20880" s="1">
        <v>12.895246</v>
      </c>
      <c r="E20880" s="1">
        <v>80.087822</v>
      </c>
      <c r="F20880" s="1">
        <v>3143.0</v>
      </c>
      <c r="G20880" s="1">
        <v>52.0</v>
      </c>
    </row>
    <row r="20881">
      <c r="A20881" s="1" t="s">
        <v>7</v>
      </c>
      <c r="B20881" s="2">
        <v>44803.0</v>
      </c>
      <c r="C20881" s="3">
        <v>0.28002314814814816</v>
      </c>
      <c r="D20881" s="1">
        <v>12.907502</v>
      </c>
      <c r="E20881" s="1">
        <v>80.09695</v>
      </c>
      <c r="F20881" s="1">
        <v>3143.0</v>
      </c>
      <c r="G20881" s="1">
        <v>52.0</v>
      </c>
    </row>
    <row r="20882">
      <c r="A20882" s="1" t="s">
        <v>7</v>
      </c>
      <c r="B20882" s="2">
        <v>44803.0</v>
      </c>
      <c r="C20882" s="3">
        <v>0.2800694444444444</v>
      </c>
      <c r="D20882" s="1">
        <v>12.907502</v>
      </c>
      <c r="E20882" s="1">
        <v>80.09695</v>
      </c>
      <c r="F20882" s="1">
        <v>3143.0</v>
      </c>
      <c r="G20882" s="1">
        <v>52.0</v>
      </c>
    </row>
    <row r="20883">
      <c r="A20883" s="1" t="s">
        <v>9</v>
      </c>
      <c r="B20883" s="2">
        <v>44803.0</v>
      </c>
      <c r="C20883" s="3">
        <v>0.2801736111111111</v>
      </c>
      <c r="D20883" s="1">
        <v>12.90853</v>
      </c>
      <c r="E20883" s="1">
        <v>80.097763</v>
      </c>
      <c r="F20883" s="1">
        <v>3143.0</v>
      </c>
      <c r="G20883" s="1">
        <v>50.0</v>
      </c>
    </row>
    <row r="20884">
      <c r="A20884" s="1" t="s">
        <v>8</v>
      </c>
      <c r="B20884" s="2">
        <v>44803.0</v>
      </c>
      <c r="C20884" s="3">
        <v>0.28064814814814815</v>
      </c>
      <c r="D20884" s="1">
        <v>12.910748</v>
      </c>
      <c r="E20884" s="1">
        <v>80.100894</v>
      </c>
      <c r="F20884" s="1">
        <v>3143.0</v>
      </c>
      <c r="G20884" s="1">
        <v>35.0</v>
      </c>
    </row>
    <row r="20885">
      <c r="A20885" s="1" t="s">
        <v>8</v>
      </c>
      <c r="B20885" s="2">
        <v>44803.0</v>
      </c>
      <c r="C20885" s="3">
        <v>0.2808101851851852</v>
      </c>
      <c r="D20885" s="1">
        <v>12.912347</v>
      </c>
      <c r="E20885" s="1">
        <v>80.101407</v>
      </c>
      <c r="F20885" s="1">
        <v>3143.0</v>
      </c>
      <c r="G20885" s="1">
        <v>40.0</v>
      </c>
    </row>
    <row r="20886">
      <c r="A20886" s="1" t="s">
        <v>7</v>
      </c>
      <c r="B20886" s="2">
        <v>44803.0</v>
      </c>
      <c r="C20886" s="3">
        <v>0.2812847222222222</v>
      </c>
      <c r="D20886" s="1">
        <v>12.915727</v>
      </c>
      <c r="E20886" s="1">
        <v>80.104082</v>
      </c>
      <c r="F20886" s="1">
        <v>3143.0</v>
      </c>
      <c r="G20886" s="1">
        <v>49.0</v>
      </c>
    </row>
    <row r="20887">
      <c r="A20887" s="1" t="s">
        <v>7</v>
      </c>
      <c r="B20887" s="2">
        <v>44803.0</v>
      </c>
      <c r="C20887" s="3">
        <v>0.2817824074074074</v>
      </c>
      <c r="D20887" s="1">
        <v>12.917845</v>
      </c>
      <c r="E20887" s="1">
        <v>80.108259</v>
      </c>
      <c r="F20887" s="1">
        <v>3143.0</v>
      </c>
      <c r="G20887" s="1">
        <v>47.0</v>
      </c>
    </row>
    <row r="20888">
      <c r="A20888" s="1" t="s">
        <v>7</v>
      </c>
      <c r="B20888" s="2">
        <v>44803.0</v>
      </c>
      <c r="C20888" s="3">
        <v>0.2820023148148148</v>
      </c>
      <c r="D20888" s="1">
        <v>12.919498</v>
      </c>
      <c r="E20888" s="1">
        <v>80.110315</v>
      </c>
      <c r="F20888" s="1">
        <v>3143.0</v>
      </c>
      <c r="G20888" s="1">
        <v>50.0</v>
      </c>
    </row>
    <row r="20889">
      <c r="A20889" s="1" t="s">
        <v>7</v>
      </c>
      <c r="B20889" s="2">
        <v>44803.0</v>
      </c>
      <c r="C20889" s="3">
        <v>0.28399305555555554</v>
      </c>
      <c r="D20889" s="1">
        <v>12.923203</v>
      </c>
      <c r="E20889" s="1">
        <v>80.122874</v>
      </c>
      <c r="F20889" s="1">
        <v>3143.0</v>
      </c>
      <c r="G20889" s="1">
        <v>51.0</v>
      </c>
    </row>
    <row r="20890">
      <c r="A20890" s="1" t="s">
        <v>8</v>
      </c>
      <c r="B20890" s="2">
        <v>44803.0</v>
      </c>
      <c r="C20890" s="3">
        <v>0.28587962962962965</v>
      </c>
      <c r="D20890" s="1">
        <v>12.922419</v>
      </c>
      <c r="E20890" s="1">
        <v>80.138934</v>
      </c>
      <c r="F20890" s="1">
        <v>3143.0</v>
      </c>
      <c r="G20890" s="1">
        <v>35.0</v>
      </c>
    </row>
    <row r="20891">
      <c r="A20891" s="1" t="s">
        <v>8</v>
      </c>
      <c r="B20891" s="2">
        <v>44803.0</v>
      </c>
      <c r="C20891" s="3">
        <v>0.2864814814814815</v>
      </c>
      <c r="D20891" s="1">
        <v>12.922533</v>
      </c>
      <c r="E20891" s="1">
        <v>80.144018</v>
      </c>
      <c r="F20891" s="1">
        <v>3143.0</v>
      </c>
      <c r="G20891" s="1">
        <v>37.0</v>
      </c>
    </row>
    <row r="20892">
      <c r="A20892" s="1" t="s">
        <v>7</v>
      </c>
      <c r="B20892" s="2">
        <v>44803.0</v>
      </c>
      <c r="C20892" s="3">
        <v>0.2895023148148148</v>
      </c>
      <c r="D20892" s="1">
        <v>12.922465</v>
      </c>
      <c r="E20892" s="1">
        <v>80.163032</v>
      </c>
      <c r="F20892" s="1">
        <v>3143.0</v>
      </c>
      <c r="G20892" s="1">
        <v>53.0</v>
      </c>
    </row>
    <row r="20893">
      <c r="A20893" s="1" t="s">
        <v>7</v>
      </c>
      <c r="B20893" s="2">
        <v>44803.0</v>
      </c>
      <c r="C20893" s="3">
        <v>0.29086805555555556</v>
      </c>
      <c r="D20893" s="1">
        <v>12.918605</v>
      </c>
      <c r="E20893" s="1">
        <v>80.175887</v>
      </c>
      <c r="F20893" s="1">
        <v>3143.0</v>
      </c>
      <c r="G20893" s="1">
        <v>51.0</v>
      </c>
    </row>
    <row r="20894">
      <c r="A20894" s="1" t="s">
        <v>7</v>
      </c>
      <c r="B20894" s="2">
        <v>44803.0</v>
      </c>
      <c r="C20894" s="3">
        <v>0.2921412037037037</v>
      </c>
      <c r="D20894" s="1">
        <v>12.918479</v>
      </c>
      <c r="E20894" s="1">
        <v>80.188424</v>
      </c>
      <c r="F20894" s="1">
        <v>3143.0</v>
      </c>
      <c r="G20894" s="1">
        <v>49.0</v>
      </c>
    </row>
    <row r="20895">
      <c r="A20895" s="1" t="s">
        <v>7</v>
      </c>
      <c r="B20895" s="2">
        <v>44803.0</v>
      </c>
      <c r="C20895" s="3">
        <v>0.29233796296296294</v>
      </c>
      <c r="D20895" s="1">
        <v>12.917801</v>
      </c>
      <c r="E20895" s="1">
        <v>80.189343</v>
      </c>
      <c r="F20895" s="1">
        <v>3143.0</v>
      </c>
      <c r="G20895" s="1">
        <v>0.0</v>
      </c>
    </row>
    <row r="20896">
      <c r="A20896" s="1" t="s">
        <v>7</v>
      </c>
      <c r="B20896" s="2">
        <v>44803.0</v>
      </c>
      <c r="C20896" s="3">
        <v>0.2927199074074074</v>
      </c>
      <c r="D20896" s="1">
        <v>12.917552</v>
      </c>
      <c r="E20896" s="1">
        <v>80.194588</v>
      </c>
      <c r="F20896" s="1">
        <v>3143.0</v>
      </c>
      <c r="G20896" s="1">
        <v>50.0</v>
      </c>
    </row>
    <row r="20897">
      <c r="A20897" s="1" t="s">
        <v>7</v>
      </c>
      <c r="B20897" s="2">
        <v>44803.0</v>
      </c>
      <c r="C20897" s="3">
        <v>0.29280092592592594</v>
      </c>
      <c r="D20897" s="1">
        <v>12.917552</v>
      </c>
      <c r="E20897" s="1">
        <v>80.194588</v>
      </c>
      <c r="F20897" s="1">
        <v>3143.0</v>
      </c>
      <c r="G20897" s="1">
        <v>50.0</v>
      </c>
    </row>
    <row r="20898">
      <c r="A20898" s="1" t="s">
        <v>7</v>
      </c>
      <c r="B20898" s="2">
        <v>44803.0</v>
      </c>
      <c r="C20898" s="3">
        <v>0.2929513888888889</v>
      </c>
      <c r="D20898" s="1">
        <v>12.919628</v>
      </c>
      <c r="E20898" s="1">
        <v>80.196326</v>
      </c>
      <c r="F20898" s="1">
        <v>3143.0</v>
      </c>
      <c r="G20898" s="1">
        <v>0.0</v>
      </c>
    </row>
    <row r="20899">
      <c r="A20899" s="1" t="s">
        <v>9</v>
      </c>
      <c r="B20899" s="2">
        <v>44803.0</v>
      </c>
      <c r="C20899" s="3">
        <v>0.29399305555555555</v>
      </c>
      <c r="D20899" s="1">
        <v>12.928306</v>
      </c>
      <c r="E20899" s="1">
        <v>80.199418</v>
      </c>
      <c r="F20899" s="1">
        <v>3143.0</v>
      </c>
      <c r="G20899" s="1">
        <v>44.0</v>
      </c>
    </row>
    <row r="20900">
      <c r="A20900" s="1" t="s">
        <v>8</v>
      </c>
      <c r="B20900" s="2">
        <v>44803.0</v>
      </c>
      <c r="C20900" s="3">
        <v>0.29789351851851853</v>
      </c>
      <c r="D20900" s="1">
        <v>12.957632</v>
      </c>
      <c r="E20900" s="1">
        <v>80.213564</v>
      </c>
      <c r="F20900" s="1">
        <v>3143.0</v>
      </c>
      <c r="G20900" s="1">
        <v>45.0</v>
      </c>
    </row>
    <row r="20901">
      <c r="A20901" s="1" t="s">
        <v>10</v>
      </c>
      <c r="B20901" s="2">
        <v>44803.0</v>
      </c>
      <c r="C20901" s="3">
        <v>0.3103125</v>
      </c>
      <c r="D20901" s="1">
        <v>13.063703</v>
      </c>
      <c r="E20901" s="1">
        <v>80.250894</v>
      </c>
      <c r="F20901" s="1">
        <v>5339.0</v>
      </c>
      <c r="G20901" s="1">
        <v>0.0</v>
      </c>
    </row>
    <row r="20902">
      <c r="A20902" s="1" t="s">
        <v>10</v>
      </c>
      <c r="B20902" s="2">
        <v>44803.0</v>
      </c>
      <c r="C20902" s="3">
        <v>0.3105671296296296</v>
      </c>
      <c r="D20902" s="1">
        <v>13.058456</v>
      </c>
      <c r="E20902" s="1">
        <v>80.274276</v>
      </c>
      <c r="F20902" s="1">
        <v>5339.0</v>
      </c>
      <c r="G20902" s="1">
        <v>30.0</v>
      </c>
    </row>
    <row r="20903">
      <c r="A20903" s="1" t="s">
        <v>10</v>
      </c>
      <c r="B20903" s="2">
        <v>44803.0</v>
      </c>
      <c r="C20903" s="3">
        <v>0.31243055555555554</v>
      </c>
      <c r="D20903" s="1">
        <v>13.05314</v>
      </c>
      <c r="E20903" s="1">
        <v>80.272009</v>
      </c>
      <c r="F20903" s="1">
        <v>5339.0</v>
      </c>
      <c r="G20903" s="1">
        <v>0.0</v>
      </c>
    </row>
    <row r="20904">
      <c r="A20904" s="1" t="s">
        <v>10</v>
      </c>
      <c r="B20904" s="2">
        <v>44803.0</v>
      </c>
      <c r="C20904" s="3">
        <v>0.3128472222222222</v>
      </c>
      <c r="D20904" s="1">
        <v>13.053436</v>
      </c>
      <c r="E20904" s="1">
        <v>80.269581</v>
      </c>
      <c r="F20904" s="1">
        <v>5339.0</v>
      </c>
      <c r="G20904" s="1">
        <v>21.0</v>
      </c>
    </row>
    <row r="20905">
      <c r="A20905" s="1" t="s">
        <v>10</v>
      </c>
      <c r="B20905" s="2">
        <v>44803.0</v>
      </c>
      <c r="C20905" s="3">
        <v>0.313125</v>
      </c>
      <c r="D20905" s="1">
        <v>13.053458</v>
      </c>
      <c r="E20905" s="1">
        <v>80.269004</v>
      </c>
      <c r="F20905" s="1">
        <v>5339.0</v>
      </c>
      <c r="G20905" s="1">
        <v>0.0</v>
      </c>
    </row>
    <row r="20906">
      <c r="A20906" s="1" t="s">
        <v>8</v>
      </c>
      <c r="B20906" s="2">
        <v>44803.0</v>
      </c>
      <c r="C20906" s="3">
        <v>0.3141203703703704</v>
      </c>
      <c r="D20906" s="1">
        <v>13.053914</v>
      </c>
      <c r="E20906" s="1">
        <v>80.263459</v>
      </c>
      <c r="F20906" s="1">
        <v>5339.0</v>
      </c>
      <c r="G20906" s="1">
        <v>52.0</v>
      </c>
    </row>
    <row r="20907">
      <c r="A20907" s="1" t="s">
        <v>8</v>
      </c>
      <c r="B20907" s="2">
        <v>44803.0</v>
      </c>
      <c r="C20907" s="3">
        <v>0.3142013888888889</v>
      </c>
      <c r="D20907" s="1">
        <v>13.054012</v>
      </c>
      <c r="E20907" s="1">
        <v>80.262394</v>
      </c>
      <c r="F20907" s="1">
        <v>5339.0</v>
      </c>
      <c r="G20907" s="1">
        <v>34.0</v>
      </c>
    </row>
    <row r="20908">
      <c r="A20908" s="1" t="s">
        <v>7</v>
      </c>
      <c r="B20908" s="2">
        <v>44803.0</v>
      </c>
      <c r="C20908" s="3">
        <v>0.3145833333333333</v>
      </c>
      <c r="D20908" s="1">
        <v>13.05423</v>
      </c>
      <c r="E20908" s="1">
        <v>80.260123</v>
      </c>
      <c r="F20908" s="1">
        <v>5339.0</v>
      </c>
      <c r="G20908" s="1">
        <v>47.0</v>
      </c>
    </row>
    <row r="20909">
      <c r="A20909" s="1" t="s">
        <v>8</v>
      </c>
      <c r="B20909" s="2">
        <v>44803.0</v>
      </c>
      <c r="C20909" s="3">
        <v>0.31482638888888886</v>
      </c>
      <c r="D20909" s="1">
        <v>13.05445</v>
      </c>
      <c r="E20909" s="1">
        <v>80.257695</v>
      </c>
      <c r="F20909" s="1">
        <v>5339.0</v>
      </c>
      <c r="G20909" s="1">
        <v>39.0</v>
      </c>
    </row>
    <row r="20910">
      <c r="A20910" s="1" t="s">
        <v>7</v>
      </c>
      <c r="B20910" s="2">
        <v>44803.0</v>
      </c>
      <c r="C20910" s="3">
        <v>0.31636574074074075</v>
      </c>
      <c r="D20910" s="1">
        <v>13.04736</v>
      </c>
      <c r="E20910" s="1">
        <v>80.248707</v>
      </c>
      <c r="F20910" s="1">
        <v>5339.0</v>
      </c>
      <c r="G20910" s="1">
        <v>44.0</v>
      </c>
    </row>
    <row r="20911">
      <c r="A20911" s="1" t="s">
        <v>7</v>
      </c>
      <c r="B20911" s="2">
        <v>44803.0</v>
      </c>
      <c r="C20911" s="3">
        <v>0.31809027777777776</v>
      </c>
      <c r="D20911" s="1">
        <v>13.034617</v>
      </c>
      <c r="E20911" s="1">
        <v>80.245494</v>
      </c>
      <c r="F20911" s="1">
        <v>5339.0</v>
      </c>
      <c r="G20911" s="1">
        <v>43.0</v>
      </c>
    </row>
    <row r="20912">
      <c r="A20912" s="1" t="s">
        <v>9</v>
      </c>
      <c r="B20912" s="2">
        <v>44803.0</v>
      </c>
      <c r="C20912" s="3">
        <v>0.31818287037037035</v>
      </c>
      <c r="D20912" s="1">
        <v>13.033848</v>
      </c>
      <c r="E20912" s="1">
        <v>80.244468</v>
      </c>
      <c r="F20912" s="1">
        <v>5339.0</v>
      </c>
      <c r="G20912" s="1">
        <v>51.0</v>
      </c>
    </row>
    <row r="20913">
      <c r="A20913" s="1" t="s">
        <v>8</v>
      </c>
      <c r="B20913" s="2">
        <v>44803.0</v>
      </c>
      <c r="C20913" s="3">
        <v>0.32092592592592595</v>
      </c>
      <c r="D20913" s="1">
        <v>13.027712</v>
      </c>
      <c r="E20913" s="1">
        <v>80.235042</v>
      </c>
      <c r="F20913" s="1">
        <v>5339.0</v>
      </c>
      <c r="G20913" s="1">
        <v>59.0</v>
      </c>
    </row>
    <row r="20914">
      <c r="A20914" s="1" t="s">
        <v>7</v>
      </c>
      <c r="B20914" s="2">
        <v>44803.0</v>
      </c>
      <c r="C20914" s="3">
        <v>0.32133101851851853</v>
      </c>
      <c r="D20914" s="1">
        <v>13.026008</v>
      </c>
      <c r="E20914" s="1">
        <v>80.231542</v>
      </c>
      <c r="F20914" s="1">
        <v>5339.0</v>
      </c>
      <c r="G20914" s="1">
        <v>45.0</v>
      </c>
    </row>
    <row r="20915">
      <c r="A20915" s="1" t="s">
        <v>8</v>
      </c>
      <c r="B20915" s="2">
        <v>44803.0</v>
      </c>
      <c r="C20915" s="3">
        <v>0.3219328703703704</v>
      </c>
      <c r="D20915" s="1">
        <v>13.021048</v>
      </c>
      <c r="E20915" s="1">
        <v>80.225638</v>
      </c>
      <c r="F20915" s="1">
        <v>5339.0</v>
      </c>
      <c r="G20915" s="1">
        <v>48.0</v>
      </c>
    </row>
    <row r="20916">
      <c r="A20916" s="1" t="s">
        <v>8</v>
      </c>
      <c r="B20916" s="2">
        <v>44803.0</v>
      </c>
      <c r="C20916" s="3">
        <v>0.3221759259259259</v>
      </c>
      <c r="D20916" s="1">
        <v>13.01909</v>
      </c>
      <c r="E20916" s="1">
        <v>80.224458</v>
      </c>
      <c r="F20916" s="1">
        <v>5339.0</v>
      </c>
      <c r="G20916" s="1">
        <v>46.0</v>
      </c>
    </row>
    <row r="20917">
      <c r="A20917" s="1" t="s">
        <v>8</v>
      </c>
      <c r="B20917" s="2">
        <v>44803.0</v>
      </c>
      <c r="C20917" s="3">
        <v>0.3231597222222222</v>
      </c>
      <c r="D20917" s="1">
        <v>13.012667</v>
      </c>
      <c r="E20917" s="1">
        <v>80.226874</v>
      </c>
      <c r="F20917" s="1">
        <v>5339.0</v>
      </c>
      <c r="G20917" s="1">
        <v>43.0</v>
      </c>
    </row>
    <row r="20918">
      <c r="A20918" s="1" t="s">
        <v>8</v>
      </c>
      <c r="B20918" s="2">
        <v>44803.0</v>
      </c>
      <c r="C20918" s="3">
        <v>0.32377314814814817</v>
      </c>
      <c r="D20918" s="1">
        <v>13.009894</v>
      </c>
      <c r="E20918" s="1">
        <v>80.226783</v>
      </c>
      <c r="F20918" s="1">
        <v>5339.0</v>
      </c>
      <c r="G20918" s="1">
        <v>37.0</v>
      </c>
    </row>
    <row r="20919">
      <c r="A20919" s="1" t="s">
        <v>10</v>
      </c>
      <c r="B20919" s="2">
        <v>44803.0</v>
      </c>
      <c r="C20919" s="3">
        <v>0.3237847222222222</v>
      </c>
      <c r="D20919" s="1">
        <v>12.965326</v>
      </c>
      <c r="E20919" s="1">
        <v>80.20116</v>
      </c>
      <c r="F20919" s="1">
        <v>3143.0</v>
      </c>
      <c r="G20919" s="1">
        <v>25.0</v>
      </c>
    </row>
    <row r="20920">
      <c r="A20920" s="1" t="s">
        <v>8</v>
      </c>
      <c r="B20920" s="2">
        <v>44803.0</v>
      </c>
      <c r="C20920" s="3">
        <v>0.32417824074074075</v>
      </c>
      <c r="D20920" s="1">
        <v>13.011482</v>
      </c>
      <c r="E20920" s="1">
        <v>80.223127</v>
      </c>
      <c r="F20920" s="1">
        <v>5339.0</v>
      </c>
      <c r="G20920" s="1">
        <v>40.0</v>
      </c>
    </row>
    <row r="20921">
      <c r="A20921" s="1" t="s">
        <v>7</v>
      </c>
      <c r="B20921" s="2">
        <v>44803.0</v>
      </c>
      <c r="C20921" s="3">
        <v>0.32605324074074077</v>
      </c>
      <c r="D20921" s="1">
        <v>13.008378</v>
      </c>
      <c r="E20921" s="1">
        <v>80.210216</v>
      </c>
      <c r="F20921" s="1">
        <v>5339.0</v>
      </c>
      <c r="G20921" s="1">
        <v>55.0</v>
      </c>
    </row>
    <row r="20922">
      <c r="A20922" s="1" t="s">
        <v>8</v>
      </c>
      <c r="B20922" s="2">
        <v>44803.0</v>
      </c>
      <c r="C20922" s="3">
        <v>0.3269328703703704</v>
      </c>
      <c r="D20922" s="1">
        <v>13.004788</v>
      </c>
      <c r="E20922" s="1">
        <v>80.20138</v>
      </c>
      <c r="F20922" s="1">
        <v>5339.0</v>
      </c>
      <c r="G20922" s="1">
        <v>45.0</v>
      </c>
    </row>
    <row r="20923">
      <c r="A20923" s="1" t="s">
        <v>8</v>
      </c>
      <c r="B20923" s="2">
        <v>44803.0</v>
      </c>
      <c r="C20923" s="3">
        <v>0.3271296296296296</v>
      </c>
      <c r="D20923" s="1">
        <v>13.003904</v>
      </c>
      <c r="E20923" s="1">
        <v>80.201016</v>
      </c>
      <c r="F20923" s="1">
        <v>5339.0</v>
      </c>
      <c r="G20923" s="1">
        <v>30.0</v>
      </c>
    </row>
    <row r="20924">
      <c r="A20924" s="1" t="s">
        <v>8</v>
      </c>
      <c r="B20924" s="2">
        <v>44803.0</v>
      </c>
      <c r="C20924" s="3">
        <v>0.3282523148148148</v>
      </c>
      <c r="D20924" s="1">
        <v>13.00001</v>
      </c>
      <c r="E20924" s="1">
        <v>80.194248</v>
      </c>
      <c r="F20924" s="1">
        <v>5339.0</v>
      </c>
      <c r="G20924" s="1">
        <v>42.0</v>
      </c>
    </row>
    <row r="20925">
      <c r="A20925" s="1" t="s">
        <v>8</v>
      </c>
      <c r="B20925" s="2">
        <v>44803.0</v>
      </c>
      <c r="C20925" s="3">
        <v>0.32938657407407407</v>
      </c>
      <c r="D20925" s="1">
        <v>12.996021</v>
      </c>
      <c r="E20925" s="1">
        <v>80.189332</v>
      </c>
      <c r="F20925" s="1">
        <v>5339.0</v>
      </c>
      <c r="G20925" s="1">
        <v>19.0</v>
      </c>
    </row>
    <row r="20926">
      <c r="A20926" s="1" t="s">
        <v>8</v>
      </c>
      <c r="B20926" s="2">
        <v>44803.0</v>
      </c>
      <c r="C20926" s="3">
        <v>0.3319328703703704</v>
      </c>
      <c r="D20926" s="1">
        <v>12.987768</v>
      </c>
      <c r="E20926" s="1">
        <v>80.176739</v>
      </c>
      <c r="F20926" s="1">
        <v>5339.0</v>
      </c>
      <c r="G20926" s="1">
        <v>44.0</v>
      </c>
    </row>
    <row r="20927">
      <c r="A20927" s="1" t="s">
        <v>8</v>
      </c>
      <c r="B20927" s="2">
        <v>44803.0</v>
      </c>
      <c r="C20927" s="3">
        <v>0.3320138888888889</v>
      </c>
      <c r="D20927" s="1">
        <v>12.987037</v>
      </c>
      <c r="E20927" s="1">
        <v>80.175633</v>
      </c>
      <c r="F20927" s="1">
        <v>5339.0</v>
      </c>
      <c r="G20927" s="1">
        <v>52.0</v>
      </c>
    </row>
    <row r="20928">
      <c r="A20928" s="1" t="s">
        <v>8</v>
      </c>
      <c r="B20928" s="2">
        <v>44803.0</v>
      </c>
      <c r="C20928" s="3">
        <v>0.3323263888888889</v>
      </c>
      <c r="D20928" s="1">
        <v>12.985425</v>
      </c>
      <c r="E20928" s="1">
        <v>80.173325</v>
      </c>
      <c r="F20928" s="1">
        <v>5339.0</v>
      </c>
      <c r="G20928" s="1">
        <v>51.0</v>
      </c>
    </row>
    <row r="20929">
      <c r="A20929" s="1" t="s">
        <v>8</v>
      </c>
      <c r="B20929" s="2">
        <v>44803.0</v>
      </c>
      <c r="C20929" s="3">
        <v>0.33269675925925923</v>
      </c>
      <c r="D20929" s="1">
        <v>12.983768</v>
      </c>
      <c r="E20929" s="1">
        <v>80.170708</v>
      </c>
      <c r="F20929" s="1">
        <v>5339.0</v>
      </c>
      <c r="G20929" s="1">
        <v>42.0</v>
      </c>
    </row>
    <row r="20930">
      <c r="A20930" s="1" t="s">
        <v>8</v>
      </c>
      <c r="B20930" s="2">
        <v>44803.0</v>
      </c>
      <c r="C20930" s="3">
        <v>0.33273148148148146</v>
      </c>
      <c r="D20930" s="1">
        <v>12.983221</v>
      </c>
      <c r="E20930" s="1">
        <v>80.169761</v>
      </c>
      <c r="F20930" s="1">
        <v>5339.0</v>
      </c>
      <c r="G20930" s="1">
        <v>44.0</v>
      </c>
    </row>
    <row r="20931">
      <c r="A20931" s="1" t="s">
        <v>7</v>
      </c>
      <c r="B20931" s="2">
        <v>44803.0</v>
      </c>
      <c r="C20931" s="3">
        <v>0.33296296296296296</v>
      </c>
      <c r="D20931" s="1">
        <v>12.982085</v>
      </c>
      <c r="E20931" s="1">
        <v>80.167912</v>
      </c>
      <c r="F20931" s="1">
        <v>5339.0</v>
      </c>
      <c r="G20931" s="1">
        <v>47.0</v>
      </c>
    </row>
    <row r="20932">
      <c r="A20932" s="1" t="s">
        <v>7</v>
      </c>
      <c r="B20932" s="2">
        <v>44803.0</v>
      </c>
      <c r="C20932" s="3">
        <v>0.33318287037037037</v>
      </c>
      <c r="D20932" s="1">
        <v>12.980695</v>
      </c>
      <c r="E20932" s="1">
        <v>80.165526</v>
      </c>
      <c r="F20932" s="1">
        <v>5339.0</v>
      </c>
      <c r="G20932" s="1">
        <v>59.0</v>
      </c>
    </row>
    <row r="20933">
      <c r="A20933" s="1" t="s">
        <v>7</v>
      </c>
      <c r="B20933" s="2">
        <v>44803.0</v>
      </c>
      <c r="C20933" s="3">
        <v>0.3333101851851852</v>
      </c>
      <c r="D20933" s="1">
        <v>12.980193</v>
      </c>
      <c r="E20933" s="1">
        <v>80.164142</v>
      </c>
      <c r="F20933" s="1">
        <v>5339.0</v>
      </c>
      <c r="G20933" s="1">
        <v>57.0</v>
      </c>
    </row>
    <row r="20934">
      <c r="A20934" s="1" t="s">
        <v>7</v>
      </c>
      <c r="B20934" s="2">
        <v>44803.0</v>
      </c>
      <c r="C20934" s="3">
        <v>0.3337037037037037</v>
      </c>
      <c r="D20934" s="1">
        <v>12.979044</v>
      </c>
      <c r="E20934" s="1">
        <v>80.161576</v>
      </c>
      <c r="F20934" s="1">
        <v>5339.0</v>
      </c>
      <c r="G20934" s="1">
        <v>59.0</v>
      </c>
    </row>
    <row r="20935">
      <c r="A20935" s="1" t="s">
        <v>7</v>
      </c>
      <c r="B20935" s="2">
        <v>44803.0</v>
      </c>
      <c r="C20935" s="3">
        <v>0.33393518518518517</v>
      </c>
      <c r="D20935" s="1">
        <v>12.976581</v>
      </c>
      <c r="E20935" s="1">
        <v>80.158038</v>
      </c>
      <c r="F20935" s="1">
        <v>5339.0</v>
      </c>
      <c r="G20935" s="1">
        <v>54.0</v>
      </c>
    </row>
    <row r="20936">
      <c r="A20936" s="1" t="s">
        <v>10</v>
      </c>
      <c r="B20936" s="2">
        <v>44803.0</v>
      </c>
      <c r="C20936" s="3">
        <v>0.33645833333333336</v>
      </c>
      <c r="D20936" s="1">
        <v>12.935334</v>
      </c>
      <c r="E20936" s="1">
        <v>80.182426</v>
      </c>
      <c r="F20936" s="1">
        <v>3143.0</v>
      </c>
      <c r="G20936" s="1">
        <v>19.0</v>
      </c>
    </row>
    <row r="20937">
      <c r="A20937" s="1" t="s">
        <v>8</v>
      </c>
      <c r="B20937" s="2">
        <v>44803.0</v>
      </c>
      <c r="C20937" s="3">
        <v>0.3369097222222222</v>
      </c>
      <c r="D20937" s="1">
        <v>12.959844</v>
      </c>
      <c r="E20937" s="1">
        <v>80.145149</v>
      </c>
      <c r="F20937" s="1">
        <v>5339.0</v>
      </c>
      <c r="G20937" s="1">
        <v>46.0</v>
      </c>
    </row>
    <row r="20938">
      <c r="A20938" s="1" t="s">
        <v>8</v>
      </c>
      <c r="B20938" s="2">
        <v>44803.0</v>
      </c>
      <c r="C20938" s="3">
        <v>0.3370949074074074</v>
      </c>
      <c r="D20938" s="1">
        <v>12.957672</v>
      </c>
      <c r="E20938" s="1">
        <v>80.14399</v>
      </c>
      <c r="F20938" s="1">
        <v>5339.0</v>
      </c>
      <c r="G20938" s="1">
        <v>44.0</v>
      </c>
    </row>
    <row r="20939">
      <c r="A20939" s="1" t="s">
        <v>8</v>
      </c>
      <c r="B20939" s="2">
        <v>44803.0</v>
      </c>
      <c r="C20939" s="3">
        <v>0.3378009259259259</v>
      </c>
      <c r="D20939" s="1">
        <v>12.952122</v>
      </c>
      <c r="E20939" s="1">
        <v>80.14083</v>
      </c>
      <c r="F20939" s="1">
        <v>5339.0</v>
      </c>
      <c r="G20939" s="1">
        <v>29.0</v>
      </c>
    </row>
    <row r="20940">
      <c r="A20940" s="1" t="s">
        <v>9</v>
      </c>
      <c r="B20940" s="2">
        <v>44803.0</v>
      </c>
      <c r="C20940" s="3">
        <v>0.3387384259259259</v>
      </c>
      <c r="D20940" s="1">
        <v>12.948428</v>
      </c>
      <c r="E20940" s="1">
        <v>80.137919</v>
      </c>
      <c r="F20940" s="1">
        <v>5339.0</v>
      </c>
      <c r="G20940" s="1">
        <v>45.0</v>
      </c>
    </row>
    <row r="20941">
      <c r="A20941" s="1" t="s">
        <v>8</v>
      </c>
      <c r="B20941" s="2">
        <v>44803.0</v>
      </c>
      <c r="C20941" s="3">
        <v>0.33912037037037035</v>
      </c>
      <c r="D20941" s="1">
        <v>12.945609</v>
      </c>
      <c r="E20941" s="1">
        <v>80.135864</v>
      </c>
      <c r="F20941" s="1">
        <v>5339.0</v>
      </c>
      <c r="G20941" s="1">
        <v>47.0</v>
      </c>
    </row>
    <row r="20942">
      <c r="A20942" s="1" t="s">
        <v>8</v>
      </c>
      <c r="B20942" s="2">
        <v>44803.0</v>
      </c>
      <c r="C20942" s="3">
        <v>0.33971064814814816</v>
      </c>
      <c r="D20942" s="1">
        <v>12.94254</v>
      </c>
      <c r="E20942" s="1">
        <v>80.133207</v>
      </c>
      <c r="F20942" s="1">
        <v>5339.0</v>
      </c>
      <c r="G20942" s="1">
        <v>30.0</v>
      </c>
    </row>
    <row r="20943">
      <c r="A20943" s="1" t="s">
        <v>8</v>
      </c>
      <c r="B20943" s="2">
        <v>44803.0</v>
      </c>
      <c r="C20943" s="3">
        <v>0.33975694444444443</v>
      </c>
      <c r="D20943" s="1">
        <v>12.941932</v>
      </c>
      <c r="E20943" s="1">
        <v>80.132571</v>
      </c>
      <c r="F20943" s="1">
        <v>5339.0</v>
      </c>
      <c r="G20943" s="1">
        <v>40.0</v>
      </c>
    </row>
    <row r="20944">
      <c r="A20944" s="1" t="s">
        <v>8</v>
      </c>
      <c r="B20944" s="2">
        <v>44803.0</v>
      </c>
      <c r="C20944" s="3">
        <v>0.340162037037037</v>
      </c>
      <c r="D20944" s="1">
        <v>12.939657</v>
      </c>
      <c r="E20944" s="1">
        <v>80.130268</v>
      </c>
      <c r="F20944" s="1">
        <v>5339.0</v>
      </c>
      <c r="G20944" s="1">
        <v>40.0</v>
      </c>
    </row>
    <row r="20945">
      <c r="A20945" s="1" t="s">
        <v>7</v>
      </c>
      <c r="B20945" s="2">
        <v>44803.0</v>
      </c>
      <c r="C20945" s="3">
        <v>0.3410185185185185</v>
      </c>
      <c r="D20945" s="1">
        <v>12.935051</v>
      </c>
      <c r="E20945" s="1">
        <v>80.126224</v>
      </c>
      <c r="F20945" s="1">
        <v>5339.0</v>
      </c>
      <c r="G20945" s="1">
        <v>50.0</v>
      </c>
    </row>
    <row r="20946">
      <c r="A20946" s="1" t="s">
        <v>8</v>
      </c>
      <c r="B20946" s="2">
        <v>44803.0</v>
      </c>
      <c r="C20946" s="3">
        <v>0.34184027777777776</v>
      </c>
      <c r="D20946" s="1">
        <v>12.930261</v>
      </c>
      <c r="E20946" s="1">
        <v>80.121569</v>
      </c>
      <c r="F20946" s="1">
        <v>5339.0</v>
      </c>
      <c r="G20946" s="1">
        <v>30.0</v>
      </c>
    </row>
    <row r="20947">
      <c r="A20947" s="1" t="s">
        <v>8</v>
      </c>
      <c r="B20947" s="2">
        <v>44803.0</v>
      </c>
      <c r="C20947" s="3">
        <v>0.3422685185185185</v>
      </c>
      <c r="D20947" s="1">
        <v>12.922029</v>
      </c>
      <c r="E20947" s="1">
        <v>80.164096</v>
      </c>
      <c r="F20947" s="1">
        <v>3143.0</v>
      </c>
      <c r="G20947" s="1">
        <v>34.0</v>
      </c>
    </row>
    <row r="20948">
      <c r="A20948" s="1" t="s">
        <v>7</v>
      </c>
      <c r="B20948" s="2">
        <v>44803.0</v>
      </c>
      <c r="C20948" s="3">
        <v>0.34247685185185184</v>
      </c>
      <c r="D20948" s="1">
        <v>12.925323</v>
      </c>
      <c r="E20948" s="1">
        <v>80.116512</v>
      </c>
      <c r="F20948" s="1">
        <v>5339.0</v>
      </c>
      <c r="G20948" s="1">
        <v>53.0</v>
      </c>
    </row>
    <row r="20949">
      <c r="A20949" s="1" t="s">
        <v>8</v>
      </c>
      <c r="B20949" s="2">
        <v>44803.0</v>
      </c>
      <c r="C20949" s="3">
        <v>0.34498842592592593</v>
      </c>
      <c r="D20949" s="1">
        <v>12.912196</v>
      </c>
      <c r="E20949" s="1">
        <v>80.101525</v>
      </c>
      <c r="F20949" s="1">
        <v>5339.0</v>
      </c>
      <c r="G20949" s="1">
        <v>35.0</v>
      </c>
    </row>
    <row r="20950">
      <c r="A20950" s="1" t="s">
        <v>8</v>
      </c>
      <c r="B20950" s="2">
        <v>44803.0</v>
      </c>
      <c r="C20950" s="3">
        <v>0.3456712962962963</v>
      </c>
      <c r="D20950" s="1">
        <v>12.90969</v>
      </c>
      <c r="E20950" s="1">
        <v>80.100178</v>
      </c>
      <c r="F20950" s="1">
        <v>5339.0</v>
      </c>
      <c r="G20950" s="1">
        <v>45.0</v>
      </c>
    </row>
    <row r="20951">
      <c r="A20951" s="1" t="s">
        <v>8</v>
      </c>
      <c r="B20951" s="2">
        <v>44803.0</v>
      </c>
      <c r="C20951" s="3">
        <v>0.34569444444444447</v>
      </c>
      <c r="D20951" s="1">
        <v>12.908466</v>
      </c>
      <c r="E20951" s="1">
        <v>80.098193</v>
      </c>
      <c r="F20951" s="1">
        <v>5339.0</v>
      </c>
      <c r="G20951" s="1">
        <v>27.0</v>
      </c>
    </row>
    <row r="20952">
      <c r="A20952" s="1" t="s">
        <v>8</v>
      </c>
      <c r="B20952" s="2">
        <v>44803.0</v>
      </c>
      <c r="C20952" s="3">
        <v>0.3457060185185185</v>
      </c>
      <c r="D20952" s="1">
        <v>12.908466</v>
      </c>
      <c r="E20952" s="1">
        <v>80.098193</v>
      </c>
      <c r="F20952" s="1">
        <v>5339.0</v>
      </c>
      <c r="G20952" s="1">
        <v>27.0</v>
      </c>
    </row>
    <row r="20953">
      <c r="A20953" s="1" t="s">
        <v>8</v>
      </c>
      <c r="B20953" s="2">
        <v>44803.0</v>
      </c>
      <c r="C20953" s="3">
        <v>0.3457060185185185</v>
      </c>
      <c r="D20953" s="1">
        <v>12.908466</v>
      </c>
      <c r="E20953" s="1">
        <v>80.098193</v>
      </c>
      <c r="F20953" s="1">
        <v>5339.0</v>
      </c>
      <c r="G20953" s="1">
        <v>27.0</v>
      </c>
    </row>
    <row r="20954">
      <c r="A20954" s="1" t="s">
        <v>8</v>
      </c>
      <c r="B20954" s="2">
        <v>44803.0</v>
      </c>
      <c r="C20954" s="3">
        <v>0.3457175925925926</v>
      </c>
      <c r="D20954" s="1">
        <v>12.908466</v>
      </c>
      <c r="E20954" s="1">
        <v>80.098193</v>
      </c>
      <c r="F20954" s="1">
        <v>5339.0</v>
      </c>
      <c r="G20954" s="1">
        <v>27.0</v>
      </c>
    </row>
    <row r="20955">
      <c r="A20955" s="1" t="s">
        <v>8</v>
      </c>
      <c r="B20955" s="2">
        <v>44803.0</v>
      </c>
      <c r="C20955" s="3">
        <v>0.34628472222222223</v>
      </c>
      <c r="D20955" s="1">
        <v>12.92239</v>
      </c>
      <c r="E20955" s="1">
        <v>80.14153</v>
      </c>
      <c r="F20955" s="1">
        <v>3143.0</v>
      </c>
      <c r="G20955" s="1">
        <v>24.0</v>
      </c>
    </row>
    <row r="20956">
      <c r="A20956" s="1" t="s">
        <v>8</v>
      </c>
      <c r="B20956" s="2">
        <v>44803.0</v>
      </c>
      <c r="C20956" s="3">
        <v>0.3463310185185185</v>
      </c>
      <c r="D20956" s="1">
        <v>12.92239</v>
      </c>
      <c r="E20956" s="1">
        <v>80.14153</v>
      </c>
      <c r="F20956" s="1">
        <v>3143.0</v>
      </c>
      <c r="G20956" s="1">
        <v>24.0</v>
      </c>
    </row>
    <row r="20957">
      <c r="A20957" s="1" t="s">
        <v>7</v>
      </c>
      <c r="B20957" s="2">
        <v>44803.0</v>
      </c>
      <c r="C20957" s="3">
        <v>0.34804398148148147</v>
      </c>
      <c r="D20957" s="1">
        <v>12.895756</v>
      </c>
      <c r="E20957" s="1">
        <v>80.088333</v>
      </c>
      <c r="F20957" s="1">
        <v>5339.0</v>
      </c>
      <c r="G20957" s="1">
        <v>48.0</v>
      </c>
    </row>
    <row r="20958">
      <c r="A20958" s="1" t="s">
        <v>8</v>
      </c>
      <c r="B20958" s="2">
        <v>44803.0</v>
      </c>
      <c r="C20958" s="3">
        <v>0.34846064814814814</v>
      </c>
      <c r="D20958" s="1">
        <v>12.891936</v>
      </c>
      <c r="E20958" s="1">
        <v>80.085544</v>
      </c>
      <c r="F20958" s="1">
        <v>5339.0</v>
      </c>
      <c r="G20958" s="1">
        <v>48.0</v>
      </c>
    </row>
    <row r="20959">
      <c r="A20959" s="1" t="s">
        <v>8</v>
      </c>
      <c r="B20959" s="2">
        <v>44803.0</v>
      </c>
      <c r="C20959" s="3">
        <v>0.3485185185185185</v>
      </c>
      <c r="D20959" s="1">
        <v>12.891936</v>
      </c>
      <c r="E20959" s="1">
        <v>80.085544</v>
      </c>
      <c r="F20959" s="1">
        <v>5339.0</v>
      </c>
      <c r="G20959" s="1">
        <v>48.0</v>
      </c>
    </row>
    <row r="20960">
      <c r="A20960" s="1" t="s">
        <v>8</v>
      </c>
      <c r="B20960" s="2">
        <v>44803.0</v>
      </c>
      <c r="C20960" s="3">
        <v>0.3489699074074074</v>
      </c>
      <c r="D20960" s="1">
        <v>12.887047</v>
      </c>
      <c r="E20960" s="1">
        <v>80.083422</v>
      </c>
      <c r="F20960" s="1">
        <v>5339.0</v>
      </c>
      <c r="G20960" s="1">
        <v>56.0</v>
      </c>
    </row>
    <row r="20961">
      <c r="A20961" s="1" t="s">
        <v>10</v>
      </c>
      <c r="B20961" s="2">
        <v>44803.0</v>
      </c>
      <c r="C20961" s="3">
        <v>0.34935185185185186</v>
      </c>
      <c r="D20961" s="1">
        <v>12.922858</v>
      </c>
      <c r="E20961" s="1">
        <v>80.12777</v>
      </c>
      <c r="F20961" s="1">
        <v>3143.0</v>
      </c>
      <c r="G20961" s="1">
        <v>0.0</v>
      </c>
    </row>
    <row r="20962">
      <c r="A20962" s="1" t="s">
        <v>8</v>
      </c>
      <c r="B20962" s="2">
        <v>44803.0</v>
      </c>
      <c r="C20962" s="3">
        <v>0.35074074074074074</v>
      </c>
      <c r="D20962" s="1">
        <v>12.878954</v>
      </c>
      <c r="E20962" s="1">
        <v>80.0808</v>
      </c>
      <c r="F20962" s="1">
        <v>5339.0</v>
      </c>
      <c r="G20962" s="1">
        <v>21.0</v>
      </c>
    </row>
    <row r="20963">
      <c r="A20963" s="1" t="s">
        <v>8</v>
      </c>
      <c r="B20963" s="2">
        <v>44803.0</v>
      </c>
      <c r="C20963" s="3">
        <v>0.35075231481481484</v>
      </c>
      <c r="D20963" s="1">
        <v>12.878748</v>
      </c>
      <c r="E20963" s="1">
        <v>80.08142</v>
      </c>
      <c r="F20963" s="1">
        <v>5339.0</v>
      </c>
      <c r="G20963" s="1">
        <v>27.0</v>
      </c>
    </row>
    <row r="20964">
      <c r="A20964" s="1" t="s">
        <v>8</v>
      </c>
      <c r="B20964" s="2">
        <v>44803.0</v>
      </c>
      <c r="C20964" s="3">
        <v>0.35075231481481484</v>
      </c>
      <c r="D20964" s="1">
        <v>12.878748</v>
      </c>
      <c r="E20964" s="1">
        <v>80.08142</v>
      </c>
      <c r="F20964" s="1">
        <v>5339.0</v>
      </c>
      <c r="G20964" s="1">
        <v>27.0</v>
      </c>
    </row>
    <row r="20965">
      <c r="A20965" s="1" t="s">
        <v>8</v>
      </c>
      <c r="B20965" s="2">
        <v>44803.0</v>
      </c>
      <c r="C20965" s="3">
        <v>0.35077546296296297</v>
      </c>
      <c r="D20965" s="1">
        <v>12.878748</v>
      </c>
      <c r="E20965" s="1">
        <v>80.08142</v>
      </c>
      <c r="F20965" s="1">
        <v>5339.0</v>
      </c>
      <c r="G20965" s="1">
        <v>27.0</v>
      </c>
    </row>
    <row r="20966">
      <c r="A20966" s="1" t="s">
        <v>7</v>
      </c>
      <c r="B20966" s="2">
        <v>44803.0</v>
      </c>
      <c r="C20966" s="3">
        <v>0.3519097222222222</v>
      </c>
      <c r="D20966" s="1">
        <v>12.921293</v>
      </c>
      <c r="E20966" s="1">
        <v>80.112637</v>
      </c>
      <c r="F20966" s="1">
        <v>3143.0</v>
      </c>
      <c r="G20966" s="1">
        <v>45.0</v>
      </c>
    </row>
    <row r="20967">
      <c r="A20967" s="1" t="s">
        <v>8</v>
      </c>
      <c r="B20967" s="2">
        <v>44803.0</v>
      </c>
      <c r="C20967" s="3">
        <v>0.3519675925925926</v>
      </c>
      <c r="D20967" s="1">
        <v>12.9205</v>
      </c>
      <c r="E20967" s="1">
        <v>80.111708</v>
      </c>
      <c r="F20967" s="1">
        <v>3143.0</v>
      </c>
      <c r="G20967" s="1">
        <v>51.0</v>
      </c>
    </row>
    <row r="20968">
      <c r="A20968" s="1" t="s">
        <v>7</v>
      </c>
      <c r="B20968" s="2">
        <v>44803.0</v>
      </c>
      <c r="C20968" s="3">
        <v>0.3521875</v>
      </c>
      <c r="D20968" s="1">
        <v>12.919582</v>
      </c>
      <c r="E20968" s="1">
        <v>80.110635</v>
      </c>
      <c r="F20968" s="1">
        <v>3143.0</v>
      </c>
      <c r="G20968" s="1">
        <v>57.0</v>
      </c>
    </row>
    <row r="20969">
      <c r="A20969" s="1" t="s">
        <v>7</v>
      </c>
      <c r="B20969" s="2">
        <v>44803.0</v>
      </c>
      <c r="C20969" s="3">
        <v>0.3531712962962963</v>
      </c>
      <c r="D20969" s="1">
        <v>12.915054</v>
      </c>
      <c r="E20969" s="1">
        <v>80.103624</v>
      </c>
      <c r="F20969" s="1">
        <v>3143.0</v>
      </c>
      <c r="G20969" s="1">
        <v>55.0</v>
      </c>
    </row>
    <row r="20970">
      <c r="A20970" s="1" t="s">
        <v>8</v>
      </c>
      <c r="B20970" s="2">
        <v>44803.0</v>
      </c>
      <c r="C20970" s="3">
        <v>0.353287037037037</v>
      </c>
      <c r="D20970" s="1">
        <v>12.914286</v>
      </c>
      <c r="E20970" s="1">
        <v>80.102428</v>
      </c>
      <c r="F20970" s="1">
        <v>3143.0</v>
      </c>
      <c r="G20970" s="1">
        <v>55.0</v>
      </c>
    </row>
    <row r="20971">
      <c r="A20971" s="1" t="s">
        <v>8</v>
      </c>
      <c r="B20971" s="2">
        <v>44803.0</v>
      </c>
      <c r="C20971" s="3">
        <v>0.35378472222222224</v>
      </c>
      <c r="D20971" s="1">
        <v>12.909271</v>
      </c>
      <c r="E20971" s="1">
        <v>80.099212</v>
      </c>
      <c r="F20971" s="1">
        <v>3143.0</v>
      </c>
      <c r="G20971" s="1">
        <v>45.0</v>
      </c>
    </row>
    <row r="20972">
      <c r="A20972" s="1" t="s">
        <v>8</v>
      </c>
      <c r="B20972" s="2">
        <v>44803.0</v>
      </c>
      <c r="C20972" s="3">
        <v>0.3541435185185185</v>
      </c>
      <c r="D20972" s="1">
        <v>12.907395</v>
      </c>
      <c r="E20972" s="1">
        <v>80.097267</v>
      </c>
      <c r="F20972" s="1">
        <v>3143.0</v>
      </c>
      <c r="G20972" s="1">
        <v>33.0</v>
      </c>
    </row>
    <row r="20973">
      <c r="A20973" s="1" t="s">
        <v>8</v>
      </c>
      <c r="B20973" s="2">
        <v>44803.0</v>
      </c>
      <c r="C20973" s="3">
        <v>0.3557638888888889</v>
      </c>
      <c r="D20973" s="1">
        <v>12.899474</v>
      </c>
      <c r="E20973" s="1">
        <v>80.091168</v>
      </c>
      <c r="F20973" s="1">
        <v>3143.0</v>
      </c>
      <c r="G20973" s="1">
        <v>57.0</v>
      </c>
    </row>
    <row r="20974">
      <c r="A20974" s="1" t="s">
        <v>8</v>
      </c>
      <c r="B20974" s="2">
        <v>44803.0</v>
      </c>
      <c r="C20974" s="3">
        <v>0.3559259259259259</v>
      </c>
      <c r="D20974" s="1">
        <v>12.89832</v>
      </c>
      <c r="E20974" s="1">
        <v>80.090271</v>
      </c>
      <c r="F20974" s="1">
        <v>3143.0</v>
      </c>
      <c r="G20974" s="1">
        <v>55.0</v>
      </c>
    </row>
    <row r="20975">
      <c r="A20975" s="1" t="s">
        <v>7</v>
      </c>
      <c r="B20975" s="2">
        <v>44803.0</v>
      </c>
      <c r="C20975" s="3">
        <v>0.35636574074074073</v>
      </c>
      <c r="D20975" s="1">
        <v>12.895289</v>
      </c>
      <c r="E20975" s="1">
        <v>80.088009</v>
      </c>
      <c r="F20975" s="1">
        <v>3143.0</v>
      </c>
      <c r="G20975" s="1">
        <v>53.0</v>
      </c>
    </row>
    <row r="20976">
      <c r="A20976" s="1" t="s">
        <v>8</v>
      </c>
      <c r="B20976" s="2">
        <v>44803.0</v>
      </c>
      <c r="C20976" s="3">
        <v>0.35682870370370373</v>
      </c>
      <c r="D20976" s="1">
        <v>12.891555</v>
      </c>
      <c r="E20976" s="1">
        <v>80.085328</v>
      </c>
      <c r="F20976" s="1">
        <v>3143.0</v>
      </c>
      <c r="G20976" s="1">
        <v>41.0</v>
      </c>
    </row>
    <row r="20977">
      <c r="A20977" s="1" t="s">
        <v>8</v>
      </c>
      <c r="B20977" s="2">
        <v>44803.0</v>
      </c>
      <c r="C20977" s="3">
        <v>0.35684027777777777</v>
      </c>
      <c r="D20977" s="1">
        <v>12.891555</v>
      </c>
      <c r="E20977" s="1">
        <v>80.085328</v>
      </c>
      <c r="F20977" s="1">
        <v>3143.0</v>
      </c>
      <c r="G20977" s="1">
        <v>41.0</v>
      </c>
    </row>
    <row r="20978">
      <c r="A20978" s="1" t="s">
        <v>8</v>
      </c>
      <c r="B20978" s="2">
        <v>44803.0</v>
      </c>
      <c r="C20978" s="3">
        <v>0.3568865740740741</v>
      </c>
      <c r="D20978" s="1">
        <v>12.891555</v>
      </c>
      <c r="E20978" s="1">
        <v>80.085328</v>
      </c>
      <c r="F20978" s="1">
        <v>3143.0</v>
      </c>
      <c r="G20978" s="1">
        <v>41.0</v>
      </c>
    </row>
    <row r="20979">
      <c r="A20979" s="1" t="s">
        <v>8</v>
      </c>
      <c r="B20979" s="2">
        <v>44803.0</v>
      </c>
      <c r="C20979" s="3">
        <v>0.35726851851851854</v>
      </c>
      <c r="D20979" s="1">
        <v>12.887264</v>
      </c>
      <c r="E20979" s="1">
        <v>80.083526</v>
      </c>
      <c r="F20979" s="1">
        <v>3143.0</v>
      </c>
      <c r="G20979" s="1">
        <v>48.0</v>
      </c>
    </row>
    <row r="20980">
      <c r="A20980" s="1" t="s">
        <v>8</v>
      </c>
      <c r="B20980" s="2">
        <v>44803.0</v>
      </c>
      <c r="C20980" s="3">
        <v>0.3573148148148148</v>
      </c>
      <c r="D20980" s="1">
        <v>12.887264</v>
      </c>
      <c r="E20980" s="1">
        <v>80.083526</v>
      </c>
      <c r="F20980" s="1">
        <v>3143.0</v>
      </c>
      <c r="G20980" s="1">
        <v>48.0</v>
      </c>
    </row>
    <row r="20981">
      <c r="A20981" s="1" t="s">
        <v>8</v>
      </c>
      <c r="B20981" s="2">
        <v>44803.0</v>
      </c>
      <c r="C20981" s="3">
        <v>0.35739583333333336</v>
      </c>
      <c r="D20981" s="1">
        <v>12.886142</v>
      </c>
      <c r="E20981" s="1">
        <v>80.083052</v>
      </c>
      <c r="F20981" s="1">
        <v>3143.0</v>
      </c>
      <c r="G20981" s="1">
        <v>45.0</v>
      </c>
    </row>
    <row r="20982">
      <c r="A20982" s="1" t="s">
        <v>10</v>
      </c>
      <c r="B20982" s="2">
        <v>44803.0</v>
      </c>
      <c r="C20982" s="3">
        <v>0.36050925925925925</v>
      </c>
      <c r="D20982" s="1">
        <v>12.876292</v>
      </c>
      <c r="E20982" s="1">
        <v>80.084185</v>
      </c>
      <c r="F20982" s="1">
        <v>3143.0</v>
      </c>
      <c r="G20982" s="1">
        <v>20.0</v>
      </c>
    </row>
    <row r="20983">
      <c r="A20983" s="1" t="s">
        <v>8</v>
      </c>
      <c r="B20983" s="2">
        <v>44803.0</v>
      </c>
      <c r="C20983" s="3">
        <v>0.7306481481481482</v>
      </c>
      <c r="D20983" s="1">
        <v>12.883352</v>
      </c>
      <c r="E20983" s="1">
        <v>80.081437</v>
      </c>
      <c r="F20983" s="1">
        <v>3143.0</v>
      </c>
      <c r="G20983" s="1">
        <v>35.0</v>
      </c>
    </row>
    <row r="20984">
      <c r="A20984" s="1" t="s">
        <v>8</v>
      </c>
      <c r="B20984" s="2">
        <v>44803.0</v>
      </c>
      <c r="C20984" s="3">
        <v>0.7317708333333334</v>
      </c>
      <c r="D20984" s="1">
        <v>12.894013</v>
      </c>
      <c r="E20984" s="1">
        <v>80.086861</v>
      </c>
      <c r="F20984" s="1">
        <v>3143.0</v>
      </c>
      <c r="G20984" s="1">
        <v>46.0</v>
      </c>
    </row>
    <row r="20985">
      <c r="A20985" s="1" t="s">
        <v>8</v>
      </c>
      <c r="B20985" s="2">
        <v>44803.0</v>
      </c>
      <c r="C20985" s="3">
        <v>0.7318634259259259</v>
      </c>
      <c r="D20985" s="1">
        <v>12.895049</v>
      </c>
      <c r="E20985" s="1">
        <v>80.087643</v>
      </c>
      <c r="F20985" s="1">
        <v>3143.0</v>
      </c>
      <c r="G20985" s="1">
        <v>55.0</v>
      </c>
    </row>
    <row r="20986">
      <c r="A20986" s="1" t="s">
        <v>8</v>
      </c>
      <c r="B20986" s="2">
        <v>44803.0</v>
      </c>
      <c r="C20986" s="3">
        <v>0.7320601851851852</v>
      </c>
      <c r="D20986" s="1">
        <v>12.896027</v>
      </c>
      <c r="E20986" s="1">
        <v>80.088376</v>
      </c>
      <c r="F20986" s="1">
        <v>3143.0</v>
      </c>
      <c r="G20986" s="1">
        <v>43.0</v>
      </c>
    </row>
    <row r="20987">
      <c r="A20987" s="1" t="s">
        <v>8</v>
      </c>
      <c r="B20987" s="2">
        <v>44803.0</v>
      </c>
      <c r="C20987" s="3">
        <v>0.7329166666666667</v>
      </c>
      <c r="D20987" s="1">
        <v>12.904468</v>
      </c>
      <c r="E20987" s="1">
        <v>80.0947</v>
      </c>
      <c r="F20987" s="1">
        <v>3143.0</v>
      </c>
      <c r="G20987" s="1">
        <v>40.0</v>
      </c>
    </row>
    <row r="20988">
      <c r="A20988" s="1" t="s">
        <v>8</v>
      </c>
      <c r="B20988" s="2">
        <v>44803.0</v>
      </c>
      <c r="C20988" s="3">
        <v>0.7359027777777778</v>
      </c>
      <c r="D20988" s="1">
        <v>12.909473</v>
      </c>
      <c r="E20988" s="1">
        <v>80.09904</v>
      </c>
      <c r="F20988" s="1">
        <v>3143.0</v>
      </c>
      <c r="G20988" s="1">
        <v>23.0</v>
      </c>
    </row>
    <row r="20989">
      <c r="A20989" s="1" t="s">
        <v>8</v>
      </c>
      <c r="B20989" s="2">
        <v>44803.0</v>
      </c>
      <c r="C20989" s="3">
        <v>0.7367013888888889</v>
      </c>
      <c r="D20989" s="1">
        <v>12.911604</v>
      </c>
      <c r="E20989" s="1">
        <v>80.101288</v>
      </c>
      <c r="F20989" s="1">
        <v>3143.0</v>
      </c>
      <c r="G20989" s="1">
        <v>17.0</v>
      </c>
    </row>
    <row r="20990">
      <c r="A20990" s="1" t="s">
        <v>8</v>
      </c>
      <c r="B20990" s="2">
        <v>44803.0</v>
      </c>
      <c r="C20990" s="3">
        <v>0.7368518518518519</v>
      </c>
      <c r="D20990" s="1">
        <v>12.913401</v>
      </c>
      <c r="E20990" s="1">
        <v>80.101542</v>
      </c>
      <c r="F20990" s="1">
        <v>3143.0</v>
      </c>
      <c r="G20990" s="1">
        <v>48.0</v>
      </c>
    </row>
    <row r="20991">
      <c r="A20991" s="1" t="s">
        <v>7</v>
      </c>
      <c r="B20991" s="2">
        <v>44803.0</v>
      </c>
      <c r="C20991" s="3">
        <v>0.7371875</v>
      </c>
      <c r="D20991" s="1">
        <v>12.915781</v>
      </c>
      <c r="E20991" s="1">
        <v>80.1042</v>
      </c>
      <c r="F20991" s="1">
        <v>3143.0</v>
      </c>
      <c r="G20991" s="1">
        <v>55.0</v>
      </c>
    </row>
    <row r="20992">
      <c r="A20992" s="1" t="s">
        <v>8</v>
      </c>
      <c r="B20992" s="2">
        <v>44803.0</v>
      </c>
      <c r="C20992" s="3">
        <v>0.7374189814814814</v>
      </c>
      <c r="D20992" s="1">
        <v>12.916708</v>
      </c>
      <c r="E20992" s="1">
        <v>80.106449</v>
      </c>
      <c r="F20992" s="1">
        <v>3143.0</v>
      </c>
      <c r="G20992" s="1">
        <v>33.0</v>
      </c>
    </row>
    <row r="20993">
      <c r="A20993" s="1" t="s">
        <v>8</v>
      </c>
      <c r="B20993" s="2">
        <v>44803.0</v>
      </c>
      <c r="C20993" s="3">
        <v>0.7382175925925926</v>
      </c>
      <c r="D20993" s="1">
        <v>12.919224</v>
      </c>
      <c r="E20993" s="1">
        <v>80.109973</v>
      </c>
      <c r="F20993" s="1">
        <v>3143.0</v>
      </c>
      <c r="G20993" s="1">
        <v>45.0</v>
      </c>
    </row>
    <row r="20994">
      <c r="A20994" s="1" t="s">
        <v>8</v>
      </c>
      <c r="B20994" s="2">
        <v>44803.0</v>
      </c>
      <c r="C20994" s="3">
        <v>0.7397106481481481</v>
      </c>
      <c r="D20994" s="1">
        <v>12.923836</v>
      </c>
      <c r="E20994" s="1">
        <v>80.116928</v>
      </c>
      <c r="F20994" s="1">
        <v>3143.0</v>
      </c>
      <c r="G20994" s="1">
        <v>36.0</v>
      </c>
    </row>
    <row r="20995">
      <c r="A20995" s="1" t="s">
        <v>8</v>
      </c>
      <c r="B20995" s="2">
        <v>44803.0</v>
      </c>
      <c r="C20995" s="3">
        <v>0.740625</v>
      </c>
      <c r="D20995" s="1">
        <v>12.92324</v>
      </c>
      <c r="E20995" s="1">
        <v>80.12153</v>
      </c>
      <c r="F20995" s="1">
        <v>3143.0</v>
      </c>
      <c r="G20995" s="1">
        <v>42.0</v>
      </c>
    </row>
    <row r="20996">
      <c r="A20996" s="1" t="s">
        <v>8</v>
      </c>
      <c r="B20996" s="2">
        <v>44803.0</v>
      </c>
      <c r="C20996" s="3">
        <v>0.7407870370370371</v>
      </c>
      <c r="D20996" s="1">
        <v>12.923134</v>
      </c>
      <c r="E20996" s="1">
        <v>80.123937</v>
      </c>
      <c r="F20996" s="1">
        <v>3143.0</v>
      </c>
      <c r="G20996" s="1">
        <v>50.0</v>
      </c>
    </row>
    <row r="20997">
      <c r="A20997" s="1" t="s">
        <v>8</v>
      </c>
      <c r="B20997" s="2">
        <v>44803.0</v>
      </c>
      <c r="C20997" s="3">
        <v>0.7425694444444444</v>
      </c>
      <c r="D20997" s="1">
        <v>12.9228</v>
      </c>
      <c r="E20997" s="1">
        <v>80.131543</v>
      </c>
      <c r="F20997" s="1">
        <v>3143.0</v>
      </c>
      <c r="G20997" s="1">
        <v>27.0</v>
      </c>
    </row>
    <row r="20998">
      <c r="A20998" s="1" t="s">
        <v>8</v>
      </c>
      <c r="B20998" s="2">
        <v>44803.0</v>
      </c>
      <c r="C20998" s="3">
        <v>0.7428125</v>
      </c>
      <c r="D20998" s="1">
        <v>12.922734</v>
      </c>
      <c r="E20998" s="1">
        <v>80.133029</v>
      </c>
      <c r="F20998" s="1">
        <v>3143.0</v>
      </c>
      <c r="G20998" s="1">
        <v>33.0</v>
      </c>
    </row>
    <row r="20999">
      <c r="A20999" s="1" t="s">
        <v>8</v>
      </c>
      <c r="B20999" s="2">
        <v>44803.0</v>
      </c>
      <c r="C20999" s="3">
        <v>0.7435185185185185</v>
      </c>
      <c r="D20999" s="1">
        <v>12.922486</v>
      </c>
      <c r="E20999" s="1">
        <v>80.137986</v>
      </c>
      <c r="F20999" s="1">
        <v>3143.0</v>
      </c>
      <c r="G20999" s="1">
        <v>23.0</v>
      </c>
    </row>
    <row r="21000">
      <c r="A21000" s="1" t="s">
        <v>8</v>
      </c>
      <c r="B21000" s="2">
        <v>44803.0</v>
      </c>
      <c r="C21000" s="3">
        <v>0.7452662037037037</v>
      </c>
      <c r="D21000" s="1">
        <v>12.92267</v>
      </c>
      <c r="E21000" s="1">
        <v>80.148837</v>
      </c>
      <c r="F21000" s="1">
        <v>3143.0</v>
      </c>
      <c r="G21000" s="1">
        <v>38.0</v>
      </c>
    </row>
    <row r="21001">
      <c r="A21001" s="1" t="s">
        <v>10</v>
      </c>
      <c r="B21001" s="2">
        <v>44803.0</v>
      </c>
      <c r="C21001" s="3">
        <v>0.7456944444444444</v>
      </c>
      <c r="D21001" s="1">
        <v>12.922787</v>
      </c>
      <c r="E21001" s="1">
        <v>80.151509</v>
      </c>
      <c r="F21001" s="1">
        <v>3143.0</v>
      </c>
      <c r="G21001" s="1">
        <v>5.0</v>
      </c>
    </row>
    <row r="21002">
      <c r="A21002" s="1" t="s">
        <v>8</v>
      </c>
      <c r="B21002" s="2">
        <v>44803.0</v>
      </c>
      <c r="C21002" s="3">
        <v>0.7476041666666666</v>
      </c>
      <c r="D21002" s="1">
        <v>12.921846</v>
      </c>
      <c r="E21002" s="1">
        <v>80.164888</v>
      </c>
      <c r="F21002" s="1">
        <v>3143.0</v>
      </c>
      <c r="G21002" s="1">
        <v>37.0</v>
      </c>
    </row>
    <row r="21003">
      <c r="A21003" s="1" t="s">
        <v>8</v>
      </c>
      <c r="B21003" s="2">
        <v>44803.0</v>
      </c>
      <c r="C21003" s="3">
        <v>0.7478587962962963</v>
      </c>
      <c r="D21003" s="1">
        <v>12.921173</v>
      </c>
      <c r="E21003" s="1">
        <v>80.166937</v>
      </c>
      <c r="F21003" s="1">
        <v>3143.0</v>
      </c>
      <c r="G21003" s="1">
        <v>43.0</v>
      </c>
    </row>
    <row r="21004">
      <c r="A21004" s="1" t="s">
        <v>8</v>
      </c>
      <c r="B21004" s="2">
        <v>44803.0</v>
      </c>
      <c r="C21004" s="3">
        <v>0.7478935185185185</v>
      </c>
      <c r="D21004" s="1">
        <v>12.921173</v>
      </c>
      <c r="E21004" s="1">
        <v>80.166937</v>
      </c>
      <c r="F21004" s="1">
        <v>3143.0</v>
      </c>
      <c r="G21004" s="1">
        <v>43.0</v>
      </c>
    </row>
    <row r="21005">
      <c r="A21005" s="1" t="s">
        <v>8</v>
      </c>
      <c r="B21005" s="2">
        <v>44803.0</v>
      </c>
      <c r="C21005" s="3">
        <v>0.7478935185185185</v>
      </c>
      <c r="D21005" s="1">
        <v>12.921173</v>
      </c>
      <c r="E21005" s="1">
        <v>80.166937</v>
      </c>
      <c r="F21005" s="1">
        <v>3143.0</v>
      </c>
      <c r="G21005" s="1">
        <v>43.0</v>
      </c>
    </row>
    <row r="21006">
      <c r="A21006" s="1" t="s">
        <v>8</v>
      </c>
      <c r="B21006" s="2">
        <v>44803.0</v>
      </c>
      <c r="C21006" s="3">
        <v>0.7479282407407407</v>
      </c>
      <c r="D21006" s="1">
        <v>12.921173</v>
      </c>
      <c r="E21006" s="1">
        <v>80.166937</v>
      </c>
      <c r="F21006" s="1">
        <v>3143.0</v>
      </c>
      <c r="G21006" s="1">
        <v>43.0</v>
      </c>
    </row>
    <row r="21007">
      <c r="A21007" s="1" t="s">
        <v>8</v>
      </c>
      <c r="B21007" s="2">
        <v>44803.0</v>
      </c>
      <c r="C21007" s="3">
        <v>0.7479282407407407</v>
      </c>
      <c r="D21007" s="1">
        <v>12.921173</v>
      </c>
      <c r="E21007" s="1">
        <v>80.166937</v>
      </c>
      <c r="F21007" s="1">
        <v>3143.0</v>
      </c>
      <c r="G21007" s="1">
        <v>43.0</v>
      </c>
    </row>
    <row r="21008">
      <c r="A21008" s="1" t="s">
        <v>9</v>
      </c>
      <c r="B21008" s="2">
        <v>44803.0</v>
      </c>
      <c r="C21008" s="3">
        <v>0.7494560185185185</v>
      </c>
      <c r="D21008" s="1">
        <v>12.918842</v>
      </c>
      <c r="E21008" s="1">
        <v>80.178784</v>
      </c>
      <c r="F21008" s="1">
        <v>3143.0</v>
      </c>
      <c r="G21008" s="1">
        <v>32.0</v>
      </c>
    </row>
    <row r="21009">
      <c r="A21009" s="1" t="s">
        <v>8</v>
      </c>
      <c r="B21009" s="2">
        <v>44803.0</v>
      </c>
      <c r="C21009" s="3">
        <v>0.7584953703703704</v>
      </c>
      <c r="D21009" s="1">
        <v>12.948296</v>
      </c>
      <c r="E21009" s="1">
        <v>80.184936</v>
      </c>
      <c r="F21009" s="1">
        <v>3143.0</v>
      </c>
      <c r="G21009" s="1">
        <v>34.0</v>
      </c>
    </row>
    <row r="21010">
      <c r="A21010" s="1" t="s">
        <v>10</v>
      </c>
      <c r="B21010" s="2">
        <v>44803.0</v>
      </c>
      <c r="C21010" s="3">
        <v>0.7610069444444445</v>
      </c>
      <c r="D21010" s="1">
        <v>12.955547</v>
      </c>
      <c r="E21010" s="1">
        <v>80.186793</v>
      </c>
      <c r="F21010" s="1">
        <v>3143.0</v>
      </c>
      <c r="G21010" s="1">
        <v>0.0</v>
      </c>
    </row>
    <row r="21011">
      <c r="A21011" s="1" t="s">
        <v>8</v>
      </c>
      <c r="B21011" s="2">
        <v>44803.0</v>
      </c>
      <c r="C21011" s="3">
        <v>0.7753472222222222</v>
      </c>
      <c r="D21011" s="1">
        <v>12.972474</v>
      </c>
      <c r="E21011" s="1">
        <v>80.219482</v>
      </c>
      <c r="F21011" s="1">
        <v>3143.0</v>
      </c>
      <c r="G21011" s="1">
        <v>39.0</v>
      </c>
    </row>
    <row r="21012">
      <c r="A21012" s="1" t="s">
        <v>8</v>
      </c>
      <c r="B21012" s="2">
        <v>44803.0</v>
      </c>
      <c r="C21012" s="3">
        <v>0.7753703703703704</v>
      </c>
      <c r="D21012" s="1">
        <v>12.972474</v>
      </c>
      <c r="E21012" s="1">
        <v>80.219482</v>
      </c>
      <c r="F21012" s="1">
        <v>3143.0</v>
      </c>
      <c r="G21012" s="1">
        <v>39.0</v>
      </c>
    </row>
    <row r="21013">
      <c r="A21013" s="1" t="s">
        <v>8</v>
      </c>
      <c r="B21013" s="2">
        <v>44803.0</v>
      </c>
      <c r="C21013" s="3">
        <v>0.7771643518518518</v>
      </c>
      <c r="D21013" s="1">
        <v>12.966733</v>
      </c>
      <c r="E21013" s="1">
        <v>80.217344</v>
      </c>
      <c r="F21013" s="1">
        <v>3143.0</v>
      </c>
      <c r="G21013" s="1">
        <v>42.0</v>
      </c>
    </row>
    <row r="21014">
      <c r="A21014" s="1" t="s">
        <v>8</v>
      </c>
      <c r="B21014" s="2">
        <v>44803.0</v>
      </c>
      <c r="C21014" s="3">
        <v>0.7781597222222222</v>
      </c>
      <c r="D21014" s="1">
        <v>12.963</v>
      </c>
      <c r="E21014" s="1">
        <v>80.215785</v>
      </c>
      <c r="F21014" s="1">
        <v>3143.0</v>
      </c>
      <c r="G21014" s="1">
        <v>30.0</v>
      </c>
    </row>
    <row r="21015">
      <c r="A21015" s="1" t="s">
        <v>8</v>
      </c>
      <c r="B21015" s="2">
        <v>44803.0</v>
      </c>
      <c r="C21015" s="3">
        <v>0.7782638888888889</v>
      </c>
      <c r="D21015" s="1">
        <v>12.963</v>
      </c>
      <c r="E21015" s="1">
        <v>80.215785</v>
      </c>
      <c r="F21015" s="1">
        <v>3143.0</v>
      </c>
      <c r="G21015" s="1">
        <v>30.0</v>
      </c>
    </row>
    <row r="21016">
      <c r="A21016" s="1" t="s">
        <v>8</v>
      </c>
      <c r="B21016" s="2">
        <v>44803.0</v>
      </c>
      <c r="C21016" s="3">
        <v>0.7784837962962963</v>
      </c>
      <c r="D21016" s="1">
        <v>12.961347</v>
      </c>
      <c r="E21016" s="1">
        <v>80.215127</v>
      </c>
      <c r="F21016" s="1">
        <v>3143.0</v>
      </c>
      <c r="G21016" s="1">
        <v>35.0</v>
      </c>
    </row>
    <row r="21017">
      <c r="A21017" s="1" t="s">
        <v>8</v>
      </c>
      <c r="B21017" s="2">
        <v>44803.0</v>
      </c>
      <c r="C21017" s="3">
        <v>0.7787847222222222</v>
      </c>
      <c r="D21017" s="1">
        <v>12.958726</v>
      </c>
      <c r="E21017" s="1">
        <v>80.214088</v>
      </c>
      <c r="F21017" s="1">
        <v>3143.0</v>
      </c>
      <c r="G21017" s="1">
        <v>44.0</v>
      </c>
    </row>
    <row r="21018">
      <c r="A21018" s="1" t="s">
        <v>8</v>
      </c>
      <c r="B21018" s="2">
        <v>44803.0</v>
      </c>
      <c r="C21018" s="3">
        <v>0.7788310185185185</v>
      </c>
      <c r="D21018" s="1">
        <v>12.958726</v>
      </c>
      <c r="E21018" s="1">
        <v>80.214088</v>
      </c>
      <c r="F21018" s="1">
        <v>3143.0</v>
      </c>
      <c r="G21018" s="1">
        <v>44.0</v>
      </c>
    </row>
    <row r="21019">
      <c r="A21019" s="1" t="s">
        <v>8</v>
      </c>
      <c r="B21019" s="2">
        <v>44803.0</v>
      </c>
      <c r="C21019" s="3">
        <v>0.7790972222222222</v>
      </c>
      <c r="D21019" s="1">
        <v>12.956307</v>
      </c>
      <c r="E21019" s="1">
        <v>80.21313</v>
      </c>
      <c r="F21019" s="1">
        <v>3143.0</v>
      </c>
      <c r="G21019" s="1">
        <v>41.0</v>
      </c>
    </row>
    <row r="21020">
      <c r="A21020" s="1" t="s">
        <v>8</v>
      </c>
      <c r="B21020" s="2">
        <v>44803.0</v>
      </c>
      <c r="C21020" s="3">
        <v>0.7792476851851852</v>
      </c>
      <c r="D21020" s="1">
        <v>12.955423</v>
      </c>
      <c r="E21020" s="1">
        <v>80.212799</v>
      </c>
      <c r="F21020" s="1">
        <v>3143.0</v>
      </c>
      <c r="G21020" s="1">
        <v>35.0</v>
      </c>
    </row>
    <row r="21021">
      <c r="A21021" s="1" t="s">
        <v>8</v>
      </c>
      <c r="B21021" s="2">
        <v>44803.0</v>
      </c>
      <c r="C21021" s="3">
        <v>0.7793055555555556</v>
      </c>
      <c r="D21021" s="1">
        <v>12.955423</v>
      </c>
      <c r="E21021" s="1">
        <v>80.212799</v>
      </c>
      <c r="F21021" s="1">
        <v>3143.0</v>
      </c>
      <c r="G21021" s="1">
        <v>35.0</v>
      </c>
    </row>
    <row r="21022">
      <c r="A21022" s="1" t="s">
        <v>8</v>
      </c>
      <c r="B21022" s="2">
        <v>44803.0</v>
      </c>
      <c r="C21022" s="3">
        <v>0.7795949074074074</v>
      </c>
      <c r="D21022" s="1">
        <v>12.953547</v>
      </c>
      <c r="E21022" s="1">
        <v>80.212103</v>
      </c>
      <c r="F21022" s="1">
        <v>3143.0</v>
      </c>
      <c r="G21022" s="1">
        <v>17.0</v>
      </c>
    </row>
    <row r="21023">
      <c r="A21023" s="1" t="s">
        <v>8</v>
      </c>
      <c r="B21023" s="2">
        <v>44803.0</v>
      </c>
      <c r="C21023" s="3">
        <v>0.7795949074074074</v>
      </c>
      <c r="D21023" s="1">
        <v>12.953547</v>
      </c>
      <c r="E21023" s="1">
        <v>80.212103</v>
      </c>
      <c r="F21023" s="1">
        <v>3143.0</v>
      </c>
      <c r="G21023" s="1">
        <v>17.0</v>
      </c>
    </row>
    <row r="21024">
      <c r="A21024" s="1" t="s">
        <v>8</v>
      </c>
      <c r="B21024" s="2">
        <v>44803.0</v>
      </c>
      <c r="C21024" s="3">
        <v>0.7798379629629629</v>
      </c>
      <c r="D21024" s="1">
        <v>12.952027</v>
      </c>
      <c r="E21024" s="1">
        <v>80.211459</v>
      </c>
      <c r="F21024" s="1">
        <v>3143.0</v>
      </c>
      <c r="G21024" s="1">
        <v>42.0</v>
      </c>
    </row>
    <row r="21025">
      <c r="A21025" s="1" t="s">
        <v>7</v>
      </c>
      <c r="B21025" s="2">
        <v>44803.0</v>
      </c>
      <c r="C21025" s="3">
        <v>0.7899537037037037</v>
      </c>
      <c r="D21025" s="1">
        <v>12.917201</v>
      </c>
      <c r="E21025" s="1">
        <v>80.194379</v>
      </c>
      <c r="F21025" s="1">
        <v>3143.0</v>
      </c>
      <c r="G21025" s="1">
        <v>47.0</v>
      </c>
    </row>
    <row r="21026">
      <c r="A21026" s="1" t="s">
        <v>8</v>
      </c>
      <c r="B21026" s="2">
        <v>44803.0</v>
      </c>
      <c r="C21026" s="3">
        <v>0.7934143518518518</v>
      </c>
      <c r="D21026" s="1">
        <v>12.918801</v>
      </c>
      <c r="E21026" s="1">
        <v>80.174829</v>
      </c>
      <c r="F21026" s="1">
        <v>3143.0</v>
      </c>
      <c r="G21026" s="1">
        <v>44.0</v>
      </c>
    </row>
    <row r="21027">
      <c r="A21027" s="1" t="s">
        <v>8</v>
      </c>
      <c r="B21027" s="2">
        <v>44803.0</v>
      </c>
      <c r="C21027" s="3">
        <v>0.7956365740740741</v>
      </c>
      <c r="D21027" s="1">
        <v>12.922841</v>
      </c>
      <c r="E21027" s="1">
        <v>80.161283</v>
      </c>
      <c r="F21027" s="1">
        <v>3143.0</v>
      </c>
      <c r="G21027" s="1">
        <v>33.0</v>
      </c>
    </row>
    <row r="21028">
      <c r="A21028" s="1" t="s">
        <v>8</v>
      </c>
      <c r="B21028" s="2">
        <v>44803.0</v>
      </c>
      <c r="C21028" s="3">
        <v>0.7971412037037037</v>
      </c>
      <c r="D21028" s="1">
        <v>12.923096</v>
      </c>
      <c r="E21028" s="1">
        <v>80.15363</v>
      </c>
      <c r="F21028" s="1">
        <v>3143.0</v>
      </c>
      <c r="G21028" s="1">
        <v>30.0</v>
      </c>
    </row>
    <row r="21029">
      <c r="A21029" s="1" t="s">
        <v>8</v>
      </c>
      <c r="B21029" s="2">
        <v>44803.0</v>
      </c>
      <c r="C21029" s="3">
        <v>0.800625</v>
      </c>
      <c r="D21029" s="1">
        <v>12.922524</v>
      </c>
      <c r="E21029" s="1">
        <v>80.145502</v>
      </c>
      <c r="F21029" s="1">
        <v>3143.0</v>
      </c>
      <c r="G21029" s="1">
        <v>43.0</v>
      </c>
    </row>
    <row r="21030">
      <c r="A21030" s="1" t="s">
        <v>8</v>
      </c>
      <c r="B21030" s="2">
        <v>44803.0</v>
      </c>
      <c r="C21030" s="3">
        <v>0.8007060185185185</v>
      </c>
      <c r="D21030" s="1">
        <v>12.922383</v>
      </c>
      <c r="E21030" s="1">
        <v>80.142228</v>
      </c>
      <c r="F21030" s="1">
        <v>3143.0</v>
      </c>
      <c r="G21030" s="1">
        <v>20.0</v>
      </c>
    </row>
    <row r="21031">
      <c r="A21031" s="1" t="s">
        <v>8</v>
      </c>
      <c r="B21031" s="2">
        <v>44803.0</v>
      </c>
      <c r="C21031" s="3">
        <v>0.8009837962962963</v>
      </c>
      <c r="D21031" s="1">
        <v>12.922341</v>
      </c>
      <c r="E21031" s="1">
        <v>80.140152</v>
      </c>
      <c r="F21031" s="1">
        <v>3143.0</v>
      </c>
      <c r="G21031" s="1">
        <v>30.0</v>
      </c>
    </row>
    <row r="21032">
      <c r="A21032" s="1" t="s">
        <v>8</v>
      </c>
      <c r="B21032" s="2">
        <v>44803.0</v>
      </c>
      <c r="C21032" s="3">
        <v>0.8023958333333333</v>
      </c>
      <c r="D21032" s="1">
        <v>12.922628</v>
      </c>
      <c r="E21032" s="1">
        <v>80.133607</v>
      </c>
      <c r="F21032" s="1">
        <v>3143.0</v>
      </c>
      <c r="G21032" s="1">
        <v>41.0</v>
      </c>
    </row>
    <row r="21033">
      <c r="A21033" s="1" t="s">
        <v>8</v>
      </c>
      <c r="B21033" s="2">
        <v>44803.0</v>
      </c>
      <c r="C21033" s="3">
        <v>0.804837962962963</v>
      </c>
      <c r="D21033" s="1">
        <v>12.923341</v>
      </c>
      <c r="E21033" s="1">
        <v>80.11955</v>
      </c>
      <c r="F21033" s="1">
        <v>3143.0</v>
      </c>
      <c r="G21033" s="1">
        <v>35.0</v>
      </c>
    </row>
    <row r="21034">
      <c r="A21034" s="1" t="s">
        <v>8</v>
      </c>
      <c r="B21034" s="2">
        <v>44803.0</v>
      </c>
      <c r="C21034" s="3">
        <v>0.805775462962963</v>
      </c>
      <c r="D21034" s="1">
        <v>12.921022</v>
      </c>
      <c r="E21034" s="1">
        <v>80.112333</v>
      </c>
      <c r="F21034" s="1">
        <v>3143.0</v>
      </c>
      <c r="G21034" s="1">
        <v>44.0</v>
      </c>
    </row>
    <row r="21035">
      <c r="A21035" s="1" t="s">
        <v>7</v>
      </c>
      <c r="B21035" s="2">
        <v>44803.0</v>
      </c>
      <c r="C21035" s="3">
        <v>0.8058564814814815</v>
      </c>
      <c r="D21035" s="1">
        <v>12.921022</v>
      </c>
      <c r="E21035" s="1">
        <v>80.112333</v>
      </c>
      <c r="F21035" s="1">
        <v>3143.0</v>
      </c>
      <c r="G21035" s="1">
        <v>44.0</v>
      </c>
    </row>
    <row r="21036">
      <c r="A21036" s="1" t="s">
        <v>7</v>
      </c>
      <c r="B21036" s="2">
        <v>44803.0</v>
      </c>
      <c r="C21036" s="3">
        <v>0.8059143518518519</v>
      </c>
      <c r="D21036" s="1">
        <v>12.921022</v>
      </c>
      <c r="E21036" s="1">
        <v>80.112333</v>
      </c>
      <c r="F21036" s="1">
        <v>3143.0</v>
      </c>
      <c r="G21036" s="1">
        <v>44.0</v>
      </c>
    </row>
    <row r="21037">
      <c r="A21037" s="1" t="s">
        <v>7</v>
      </c>
      <c r="B21037" s="2">
        <v>44803.0</v>
      </c>
      <c r="C21037" s="3">
        <v>0.8060763888888889</v>
      </c>
      <c r="D21037" s="1">
        <v>12.919768</v>
      </c>
      <c r="E21037" s="1">
        <v>80.110884</v>
      </c>
      <c r="F21037" s="1">
        <v>3143.0</v>
      </c>
      <c r="G21037" s="1">
        <v>57.0</v>
      </c>
    </row>
    <row r="21038">
      <c r="A21038" s="1" t="s">
        <v>8</v>
      </c>
      <c r="B21038" s="2">
        <v>44803.0</v>
      </c>
      <c r="C21038" s="3">
        <v>0.8063425925925926</v>
      </c>
      <c r="D21038" s="1">
        <v>12.917078</v>
      </c>
      <c r="E21038" s="1">
        <v>80.107421</v>
      </c>
      <c r="F21038" s="1">
        <v>3143.0</v>
      </c>
      <c r="G21038" s="1">
        <v>26.0</v>
      </c>
    </row>
    <row r="21039">
      <c r="A21039" s="1" t="s">
        <v>8</v>
      </c>
      <c r="B21039" s="2">
        <v>44803.0</v>
      </c>
      <c r="C21039" s="3">
        <v>0.8063541666666667</v>
      </c>
      <c r="D21039" s="1">
        <v>12.917078</v>
      </c>
      <c r="E21039" s="1">
        <v>80.107421</v>
      </c>
      <c r="F21039" s="1">
        <v>3143.0</v>
      </c>
      <c r="G21039" s="1">
        <v>26.0</v>
      </c>
    </row>
    <row r="21040">
      <c r="A21040" s="1" t="s">
        <v>8</v>
      </c>
      <c r="B21040" s="2">
        <v>44803.0</v>
      </c>
      <c r="C21040" s="3">
        <v>0.8069675925925925</v>
      </c>
      <c r="D21040" s="1">
        <v>12.913981</v>
      </c>
      <c r="E21040" s="1">
        <v>80.102027</v>
      </c>
      <c r="F21040" s="1">
        <v>3143.0</v>
      </c>
      <c r="G21040" s="1">
        <v>56.0</v>
      </c>
    </row>
    <row r="21041">
      <c r="A21041" s="1" t="s">
        <v>8</v>
      </c>
      <c r="B21041" s="2">
        <v>44803.0</v>
      </c>
      <c r="C21041" s="3">
        <v>0.8099768518518519</v>
      </c>
      <c r="D21041" s="1">
        <v>12.903561</v>
      </c>
      <c r="E21041" s="1">
        <v>80.09434</v>
      </c>
      <c r="F21041" s="1">
        <v>3143.0</v>
      </c>
      <c r="G21041" s="1">
        <v>30.0</v>
      </c>
    </row>
    <row r="21042">
      <c r="A21042" s="1" t="s">
        <v>8</v>
      </c>
      <c r="B21042" s="2">
        <v>44803.0</v>
      </c>
      <c r="C21042" s="3">
        <v>0.81</v>
      </c>
      <c r="D21042" s="1">
        <v>12.903561</v>
      </c>
      <c r="E21042" s="1">
        <v>80.09434</v>
      </c>
      <c r="F21042" s="1">
        <v>3143.0</v>
      </c>
      <c r="G21042" s="1">
        <v>30.0</v>
      </c>
    </row>
    <row r="21043">
      <c r="A21043" s="1" t="s">
        <v>8</v>
      </c>
      <c r="B21043" s="2">
        <v>44803.0</v>
      </c>
      <c r="C21043" s="3">
        <v>0.8101157407407408</v>
      </c>
      <c r="D21043" s="1">
        <v>12.902658</v>
      </c>
      <c r="E21043" s="1">
        <v>80.093602</v>
      </c>
      <c r="F21043" s="1">
        <v>3143.0</v>
      </c>
      <c r="G21043" s="1">
        <v>29.0</v>
      </c>
    </row>
    <row r="21044">
      <c r="A21044" s="1" t="s">
        <v>8</v>
      </c>
      <c r="B21044" s="2">
        <v>44803.0</v>
      </c>
      <c r="C21044" s="3">
        <v>0.8106597222222223</v>
      </c>
      <c r="D21044" s="1">
        <v>12.89845</v>
      </c>
      <c r="E21044" s="1">
        <v>80.090392</v>
      </c>
      <c r="F21044" s="1">
        <v>3143.0</v>
      </c>
      <c r="G21044" s="1">
        <v>56.0</v>
      </c>
    </row>
    <row r="21045">
      <c r="A21045" s="1" t="s">
        <v>8</v>
      </c>
      <c r="B21045" s="2">
        <v>44803.0</v>
      </c>
      <c r="C21045" s="3">
        <v>0.8108680555555555</v>
      </c>
      <c r="D21045" s="1">
        <v>12.897058</v>
      </c>
      <c r="E21045" s="1">
        <v>80.089338</v>
      </c>
      <c r="F21045" s="1">
        <v>3143.0</v>
      </c>
      <c r="G21045" s="1">
        <v>28.0</v>
      </c>
    </row>
    <row r="21046">
      <c r="A21046" s="1" t="s">
        <v>8</v>
      </c>
      <c r="B21046" s="2">
        <v>44803.0</v>
      </c>
      <c r="C21046" s="3">
        <v>0.8109722222222222</v>
      </c>
      <c r="D21046" s="1">
        <v>12.896309</v>
      </c>
      <c r="E21046" s="1">
        <v>80.088779</v>
      </c>
      <c r="F21046" s="1">
        <v>3143.0</v>
      </c>
      <c r="G21046" s="1">
        <v>36.0</v>
      </c>
    </row>
    <row r="21047">
      <c r="A21047" s="1" t="s">
        <v>8</v>
      </c>
      <c r="B21047" s="2">
        <v>44803.0</v>
      </c>
      <c r="C21047" s="3">
        <v>0.8110185185185185</v>
      </c>
      <c r="D21047" s="1">
        <v>12.895495</v>
      </c>
      <c r="E21047" s="1">
        <v>80.088151</v>
      </c>
      <c r="F21047" s="1">
        <v>3143.0</v>
      </c>
      <c r="G21047" s="1">
        <v>45.0</v>
      </c>
    </row>
    <row r="21048">
      <c r="A21048" s="1" t="s">
        <v>8</v>
      </c>
      <c r="B21048" s="2">
        <v>44803.0</v>
      </c>
      <c r="C21048" s="3">
        <v>0.8117245370370371</v>
      </c>
      <c r="D21048" s="1">
        <v>12.888856</v>
      </c>
      <c r="E21048" s="1">
        <v>80.084165</v>
      </c>
      <c r="F21048" s="1">
        <v>3143.0</v>
      </c>
      <c r="G21048" s="1">
        <v>53.0</v>
      </c>
    </row>
    <row r="21049">
      <c r="A21049" s="1" t="s">
        <v>10</v>
      </c>
      <c r="B21049" s="2">
        <v>44803.0</v>
      </c>
      <c r="C21049" s="3">
        <v>0.8128587962962963</v>
      </c>
      <c r="D21049" s="1">
        <v>12.879247</v>
      </c>
      <c r="E21049" s="1">
        <v>80.080421</v>
      </c>
      <c r="F21049" s="1">
        <v>3143.0</v>
      </c>
      <c r="G21049" s="1">
        <v>11.0</v>
      </c>
    </row>
    <row r="21050">
      <c r="A21050" s="1" t="s">
        <v>7</v>
      </c>
      <c r="B21050" s="2">
        <v>44804.0</v>
      </c>
      <c r="C21050" s="3">
        <v>0.2442361111111111</v>
      </c>
      <c r="D21050" s="1">
        <v>12.885623</v>
      </c>
      <c r="E21050" s="1">
        <v>80.082601</v>
      </c>
      <c r="F21050" s="1">
        <v>5339.0</v>
      </c>
      <c r="G21050" s="1">
        <v>49.0</v>
      </c>
    </row>
    <row r="21051">
      <c r="A21051" s="1" t="s">
        <v>8</v>
      </c>
      <c r="B21051" s="2">
        <v>44804.0</v>
      </c>
      <c r="C21051" s="3">
        <v>0.24439814814814814</v>
      </c>
      <c r="D21051" s="1">
        <v>12.886808</v>
      </c>
      <c r="E21051" s="1">
        <v>80.083132</v>
      </c>
      <c r="F21051" s="1">
        <v>5339.0</v>
      </c>
      <c r="G21051" s="1">
        <v>52.0</v>
      </c>
    </row>
    <row r="21052">
      <c r="A21052" s="1" t="s">
        <v>8</v>
      </c>
      <c r="B21052" s="2">
        <v>44804.0</v>
      </c>
      <c r="C21052" s="3">
        <v>0.2445138888888889</v>
      </c>
      <c r="D21052" s="1">
        <v>12.88803</v>
      </c>
      <c r="E21052" s="1">
        <v>80.083656</v>
      </c>
      <c r="F21052" s="1">
        <v>5339.0</v>
      </c>
      <c r="G21052" s="1">
        <v>46.0</v>
      </c>
    </row>
    <row r="21053">
      <c r="A21053" s="1" t="s">
        <v>7</v>
      </c>
      <c r="B21053" s="2">
        <v>44804.0</v>
      </c>
      <c r="C21053" s="3">
        <v>0.2446875</v>
      </c>
      <c r="D21053" s="1">
        <v>12.89036</v>
      </c>
      <c r="E21053" s="1">
        <v>80.084593</v>
      </c>
      <c r="F21053" s="1">
        <v>5339.0</v>
      </c>
      <c r="G21053" s="1">
        <v>56.0</v>
      </c>
    </row>
    <row r="21054">
      <c r="A21054" s="1" t="s">
        <v>7</v>
      </c>
      <c r="B21054" s="2">
        <v>44804.0</v>
      </c>
      <c r="C21054" s="3">
        <v>0.24511574074074075</v>
      </c>
      <c r="D21054" s="1">
        <v>12.894082</v>
      </c>
      <c r="E21054" s="1">
        <v>80.0869</v>
      </c>
      <c r="F21054" s="1">
        <v>5339.0</v>
      </c>
      <c r="G21054" s="1">
        <v>58.0</v>
      </c>
    </row>
    <row r="21055">
      <c r="A21055" s="1" t="s">
        <v>7</v>
      </c>
      <c r="B21055" s="2">
        <v>44804.0</v>
      </c>
      <c r="C21055" s="3">
        <v>0.24600694444444443</v>
      </c>
      <c r="D21055" s="1">
        <v>12.903316</v>
      </c>
      <c r="E21055" s="1">
        <v>80.093933</v>
      </c>
      <c r="F21055" s="1">
        <v>5339.0</v>
      </c>
      <c r="G21055" s="1">
        <v>53.0</v>
      </c>
    </row>
    <row r="21056">
      <c r="A21056" s="1" t="s">
        <v>8</v>
      </c>
      <c r="B21056" s="2">
        <v>44804.0</v>
      </c>
      <c r="C21056" s="3">
        <v>0.24628472222222222</v>
      </c>
      <c r="D21056" s="1">
        <v>12.905268</v>
      </c>
      <c r="E21056" s="1">
        <v>80.09551</v>
      </c>
      <c r="F21056" s="1">
        <v>5339.0</v>
      </c>
      <c r="G21056" s="1">
        <v>21.0</v>
      </c>
    </row>
    <row r="21057">
      <c r="A21057" s="1" t="s">
        <v>7</v>
      </c>
      <c r="B21057" s="2">
        <v>44804.0</v>
      </c>
      <c r="C21057" s="3">
        <v>0.24710648148148148</v>
      </c>
      <c r="D21057" s="1">
        <v>12.912077</v>
      </c>
      <c r="E21057" s="1">
        <v>80.101353</v>
      </c>
      <c r="F21057" s="1">
        <v>5339.0</v>
      </c>
      <c r="G21057" s="1">
        <v>49.0</v>
      </c>
    </row>
    <row r="21058">
      <c r="A21058" s="1" t="s">
        <v>8</v>
      </c>
      <c r="B21058" s="2">
        <v>44804.0</v>
      </c>
      <c r="C21058" s="3">
        <v>0.24734953703703705</v>
      </c>
      <c r="D21058" s="1">
        <v>12.914792</v>
      </c>
      <c r="E21058" s="1">
        <v>80.101865</v>
      </c>
      <c r="F21058" s="1">
        <v>5339.0</v>
      </c>
      <c r="G21058" s="1">
        <v>55.0</v>
      </c>
    </row>
    <row r="21059">
      <c r="A21059" s="1" t="s">
        <v>8</v>
      </c>
      <c r="B21059" s="2">
        <v>44804.0</v>
      </c>
      <c r="C21059" s="3">
        <v>0.24770833333333334</v>
      </c>
      <c r="D21059" s="1">
        <v>12.916345</v>
      </c>
      <c r="E21059" s="1">
        <v>80.105865</v>
      </c>
      <c r="F21059" s="1">
        <v>5339.0</v>
      </c>
      <c r="G21059" s="1">
        <v>47.0</v>
      </c>
    </row>
    <row r="21060">
      <c r="A21060" s="1" t="s">
        <v>9</v>
      </c>
      <c r="B21060" s="2">
        <v>44804.0</v>
      </c>
      <c r="C21060" s="3">
        <v>0.24784722222222222</v>
      </c>
      <c r="D21060" s="1">
        <v>12.91683</v>
      </c>
      <c r="E21060" s="1">
        <v>80.106753</v>
      </c>
      <c r="F21060" s="1">
        <v>5339.0</v>
      </c>
      <c r="G21060" s="1">
        <v>36.0</v>
      </c>
    </row>
    <row r="21061">
      <c r="A21061" s="1" t="s">
        <v>8</v>
      </c>
      <c r="B21061" s="2">
        <v>44804.0</v>
      </c>
      <c r="C21061" s="3">
        <v>0.24898148148148147</v>
      </c>
      <c r="D21061" s="1">
        <v>12.923505</v>
      </c>
      <c r="E21061" s="1">
        <v>80.114396</v>
      </c>
      <c r="F21061" s="1">
        <v>5339.0</v>
      </c>
      <c r="G21061" s="1">
        <v>39.0</v>
      </c>
    </row>
    <row r="21062">
      <c r="A21062" s="1" t="s">
        <v>8</v>
      </c>
      <c r="B21062" s="2">
        <v>44804.0</v>
      </c>
      <c r="C21062" s="3">
        <v>0.24952546296296296</v>
      </c>
      <c r="D21062" s="1">
        <v>12.925335</v>
      </c>
      <c r="E21062" s="1">
        <v>80.116234</v>
      </c>
      <c r="F21062" s="1">
        <v>5339.0</v>
      </c>
      <c r="G21062" s="1">
        <v>38.0</v>
      </c>
    </row>
    <row r="21063">
      <c r="A21063" s="1" t="s">
        <v>8</v>
      </c>
      <c r="B21063" s="2">
        <v>44804.0</v>
      </c>
      <c r="C21063" s="3">
        <v>0.2507175925925926</v>
      </c>
      <c r="D21063" s="1">
        <v>12.928269</v>
      </c>
      <c r="E21063" s="1">
        <v>80.119388</v>
      </c>
      <c r="F21063" s="1">
        <v>5339.0</v>
      </c>
      <c r="G21063" s="1">
        <v>24.0</v>
      </c>
    </row>
    <row r="21064">
      <c r="A21064" s="1" t="s">
        <v>8</v>
      </c>
      <c r="B21064" s="2">
        <v>44804.0</v>
      </c>
      <c r="C21064" s="3">
        <v>0.25125</v>
      </c>
      <c r="D21064" s="1">
        <v>12.931186</v>
      </c>
      <c r="E21064" s="1">
        <v>80.122297</v>
      </c>
      <c r="F21064" s="1">
        <v>5339.0</v>
      </c>
      <c r="G21064" s="1">
        <v>44.0</v>
      </c>
    </row>
    <row r="21065">
      <c r="A21065" s="1" t="s">
        <v>8</v>
      </c>
      <c r="B21065" s="2">
        <v>44804.0</v>
      </c>
      <c r="C21065" s="3">
        <v>0.2516203703703704</v>
      </c>
      <c r="D21065" s="1">
        <v>12.934792</v>
      </c>
      <c r="E21065" s="1">
        <v>80.125892</v>
      </c>
      <c r="F21065" s="1">
        <v>5339.0</v>
      </c>
      <c r="G21065" s="1">
        <v>51.0</v>
      </c>
    </row>
    <row r="21066">
      <c r="A21066" s="1" t="s">
        <v>7</v>
      </c>
      <c r="B21066" s="2">
        <v>44804.0</v>
      </c>
      <c r="C21066" s="3">
        <v>0.2530787037037037</v>
      </c>
      <c r="D21066" s="1">
        <v>12.944952</v>
      </c>
      <c r="E21066" s="1">
        <v>80.135253</v>
      </c>
      <c r="F21066" s="1">
        <v>5339.0</v>
      </c>
      <c r="G21066" s="1">
        <v>46.0</v>
      </c>
    </row>
    <row r="21067">
      <c r="A21067" s="1" t="s">
        <v>7</v>
      </c>
      <c r="B21067" s="2">
        <v>44804.0</v>
      </c>
      <c r="C21067" s="3">
        <v>0.25322916666666667</v>
      </c>
      <c r="D21067" s="1">
        <v>12.94636</v>
      </c>
      <c r="E21067" s="1">
        <v>80.136349</v>
      </c>
      <c r="F21067" s="1">
        <v>5339.0</v>
      </c>
      <c r="G21067" s="1">
        <v>52.0</v>
      </c>
    </row>
    <row r="21068">
      <c r="A21068" s="1" t="s">
        <v>7</v>
      </c>
      <c r="B21068" s="2">
        <v>44804.0</v>
      </c>
      <c r="C21068" s="3">
        <v>0.25332175925925926</v>
      </c>
      <c r="D21068" s="1">
        <v>12.947889</v>
      </c>
      <c r="E21068" s="1">
        <v>80.13745</v>
      </c>
      <c r="F21068" s="1">
        <v>5339.0</v>
      </c>
      <c r="G21068" s="1">
        <v>52.0</v>
      </c>
    </row>
    <row r="21069">
      <c r="A21069" s="1" t="s">
        <v>8</v>
      </c>
      <c r="B21069" s="2">
        <v>44804.0</v>
      </c>
      <c r="C21069" s="3">
        <v>0.25599537037037035</v>
      </c>
      <c r="D21069" s="1">
        <v>12.952306</v>
      </c>
      <c r="E21069" s="1">
        <v>80.1408</v>
      </c>
      <c r="F21069" s="1">
        <v>5339.0</v>
      </c>
      <c r="G21069" s="1">
        <v>10.0</v>
      </c>
    </row>
    <row r="21070">
      <c r="A21070" s="1" t="s">
        <v>8</v>
      </c>
      <c r="B21070" s="2">
        <v>44804.0</v>
      </c>
      <c r="C21070" s="3">
        <v>0.25604166666666667</v>
      </c>
      <c r="D21070" s="1">
        <v>12.952306</v>
      </c>
      <c r="E21070" s="1">
        <v>80.1408</v>
      </c>
      <c r="F21070" s="1">
        <v>5339.0</v>
      </c>
      <c r="G21070" s="1">
        <v>10.0</v>
      </c>
    </row>
    <row r="21071">
      <c r="A21071" s="1" t="s">
        <v>8</v>
      </c>
      <c r="B21071" s="2">
        <v>44804.0</v>
      </c>
      <c r="C21071" s="3">
        <v>0.2571875</v>
      </c>
      <c r="D21071" s="1">
        <v>12.960052</v>
      </c>
      <c r="E21071" s="1">
        <v>80.145143</v>
      </c>
      <c r="F21071" s="1">
        <v>5339.0</v>
      </c>
      <c r="G21071" s="1">
        <v>42.0</v>
      </c>
    </row>
    <row r="21072">
      <c r="A21072" s="1" t="s">
        <v>7</v>
      </c>
      <c r="B21072" s="2">
        <v>44804.0</v>
      </c>
      <c r="C21072" s="3">
        <v>0.25787037037037036</v>
      </c>
      <c r="D21072" s="1">
        <v>12.9658</v>
      </c>
      <c r="E21072" s="1">
        <v>80.148313</v>
      </c>
      <c r="F21072" s="1">
        <v>5339.0</v>
      </c>
      <c r="G21072" s="1">
        <v>42.0</v>
      </c>
    </row>
    <row r="21073">
      <c r="A21073" s="1" t="s">
        <v>7</v>
      </c>
      <c r="B21073" s="2">
        <v>44804.0</v>
      </c>
      <c r="C21073" s="3">
        <v>0.2581481481481481</v>
      </c>
      <c r="D21073" s="1">
        <v>12.967605</v>
      </c>
      <c r="E21073" s="1">
        <v>80.1492</v>
      </c>
      <c r="F21073" s="1">
        <v>5339.0</v>
      </c>
      <c r="G21073" s="1">
        <v>52.0</v>
      </c>
    </row>
    <row r="21074">
      <c r="A21074" s="1" t="s">
        <v>7</v>
      </c>
      <c r="B21074" s="2">
        <v>44804.0</v>
      </c>
      <c r="C21074" s="3">
        <v>0.2582291666666667</v>
      </c>
      <c r="D21074" s="1">
        <v>12.969716</v>
      </c>
      <c r="E21074" s="1">
        <v>80.150196</v>
      </c>
      <c r="F21074" s="1">
        <v>5339.0</v>
      </c>
      <c r="G21074" s="1">
        <v>58.0</v>
      </c>
    </row>
    <row r="21075">
      <c r="A21075" s="1" t="s">
        <v>8</v>
      </c>
      <c r="B21075" s="2">
        <v>44804.0</v>
      </c>
      <c r="C21075" s="3">
        <v>0.2583449074074074</v>
      </c>
      <c r="D21075" s="1">
        <v>12.969716</v>
      </c>
      <c r="E21075" s="1">
        <v>80.150196</v>
      </c>
      <c r="F21075" s="1">
        <v>5339.0</v>
      </c>
      <c r="G21075" s="1">
        <v>58.0</v>
      </c>
    </row>
    <row r="21076">
      <c r="A21076" s="1" t="s">
        <v>7</v>
      </c>
      <c r="B21076" s="2">
        <v>44804.0</v>
      </c>
      <c r="C21076" s="3">
        <v>0.2591550925925926</v>
      </c>
      <c r="D21076" s="1">
        <v>12.977011</v>
      </c>
      <c r="E21076" s="1">
        <v>80.158526</v>
      </c>
      <c r="F21076" s="1">
        <v>5339.0</v>
      </c>
      <c r="G21076" s="1">
        <v>59.0</v>
      </c>
    </row>
    <row r="21077">
      <c r="A21077" s="1" t="s">
        <v>7</v>
      </c>
      <c r="B21077" s="2">
        <v>44804.0</v>
      </c>
      <c r="C21077" s="3">
        <v>0.2594328703703704</v>
      </c>
      <c r="D21077" s="1">
        <v>12.978335</v>
      </c>
      <c r="E21077" s="1">
        <v>80.160473</v>
      </c>
      <c r="F21077" s="1">
        <v>5339.0</v>
      </c>
      <c r="G21077" s="1">
        <v>57.0</v>
      </c>
    </row>
    <row r="21078">
      <c r="A21078" s="1" t="s">
        <v>7</v>
      </c>
      <c r="B21078" s="2">
        <v>44804.0</v>
      </c>
      <c r="C21078" s="3">
        <v>0.2597685185185185</v>
      </c>
      <c r="D21078" s="1">
        <v>12.980457</v>
      </c>
      <c r="E21078" s="1">
        <v>80.164574</v>
      </c>
      <c r="F21078" s="1">
        <v>5339.0</v>
      </c>
      <c r="G21078" s="1">
        <v>57.0</v>
      </c>
    </row>
    <row r="21079">
      <c r="A21079" s="1" t="s">
        <v>8</v>
      </c>
      <c r="B21079" s="2">
        <v>44804.0</v>
      </c>
      <c r="C21079" s="3">
        <v>0.25994212962962965</v>
      </c>
      <c r="D21079" s="1">
        <v>12.981529</v>
      </c>
      <c r="E21079" s="1">
        <v>80.166691</v>
      </c>
      <c r="F21079" s="1">
        <v>5339.0</v>
      </c>
      <c r="G21079" s="1">
        <v>57.0</v>
      </c>
    </row>
    <row r="21080">
      <c r="A21080" s="1" t="s">
        <v>8</v>
      </c>
      <c r="B21080" s="2">
        <v>44804.0</v>
      </c>
      <c r="C21080" s="3">
        <v>0.26385416666666667</v>
      </c>
      <c r="D21080" s="1">
        <v>12.990066</v>
      </c>
      <c r="E21080" s="1">
        <v>80.179554</v>
      </c>
      <c r="F21080" s="1">
        <v>5339.0</v>
      </c>
      <c r="G21080" s="1">
        <v>33.0</v>
      </c>
    </row>
    <row r="21081">
      <c r="A21081" s="1" t="s">
        <v>7</v>
      </c>
      <c r="B21081" s="2">
        <v>44804.0</v>
      </c>
      <c r="C21081" s="3">
        <v>0.26415509259259257</v>
      </c>
      <c r="D21081" s="1">
        <v>12.993128</v>
      </c>
      <c r="E21081" s="1">
        <v>80.183781</v>
      </c>
      <c r="F21081" s="1">
        <v>5339.0</v>
      </c>
      <c r="G21081" s="1">
        <v>49.0</v>
      </c>
    </row>
    <row r="21082">
      <c r="A21082" s="1" t="s">
        <v>7</v>
      </c>
      <c r="B21082" s="2">
        <v>44804.0</v>
      </c>
      <c r="C21082" s="3">
        <v>0.2694328703703704</v>
      </c>
      <c r="D21082" s="1">
        <v>13.009356</v>
      </c>
      <c r="E21082" s="1">
        <v>80.212734</v>
      </c>
      <c r="F21082" s="1">
        <v>5339.0</v>
      </c>
      <c r="G21082" s="1">
        <v>45.0</v>
      </c>
    </row>
    <row r="21083">
      <c r="A21083" s="1" t="s">
        <v>8</v>
      </c>
      <c r="B21083" s="2">
        <v>44804.0</v>
      </c>
      <c r="C21083" s="3">
        <v>0.27133101851851854</v>
      </c>
      <c r="D21083" s="1">
        <v>13.018697</v>
      </c>
      <c r="E21083" s="1">
        <v>80.224488</v>
      </c>
      <c r="F21083" s="1">
        <v>5339.0</v>
      </c>
      <c r="G21083" s="1">
        <v>39.0</v>
      </c>
    </row>
    <row r="21084">
      <c r="A21084" s="1" t="s">
        <v>8</v>
      </c>
      <c r="B21084" s="2">
        <v>44804.0</v>
      </c>
      <c r="C21084" s="3">
        <v>0.27143518518518517</v>
      </c>
      <c r="D21084" s="1">
        <v>13.020096</v>
      </c>
      <c r="E21084" s="1">
        <v>80.224811</v>
      </c>
      <c r="F21084" s="1">
        <v>5339.0</v>
      </c>
      <c r="G21084" s="1">
        <v>34.0</v>
      </c>
    </row>
    <row r="21085">
      <c r="A21085" s="1" t="s">
        <v>8</v>
      </c>
      <c r="B21085" s="2">
        <v>44804.0</v>
      </c>
      <c r="C21085" s="3">
        <v>0.2715972222222222</v>
      </c>
      <c r="D21085" s="1">
        <v>13.021074</v>
      </c>
      <c r="E21085" s="1">
        <v>80.225554</v>
      </c>
      <c r="F21085" s="1">
        <v>5339.0</v>
      </c>
      <c r="G21085" s="1">
        <v>32.0</v>
      </c>
    </row>
    <row r="21086">
      <c r="A21086" s="1" t="s">
        <v>8</v>
      </c>
      <c r="B21086" s="2">
        <v>44804.0</v>
      </c>
      <c r="C21086" s="3">
        <v>0.2717361111111111</v>
      </c>
      <c r="D21086" s="1">
        <v>13.021074</v>
      </c>
      <c r="E21086" s="1">
        <v>80.225554</v>
      </c>
      <c r="F21086" s="1">
        <v>5339.0</v>
      </c>
      <c r="G21086" s="1">
        <v>32.0</v>
      </c>
    </row>
    <row r="21087">
      <c r="A21087" s="1" t="s">
        <v>8</v>
      </c>
      <c r="B21087" s="2">
        <v>44804.0</v>
      </c>
      <c r="C21087" s="3">
        <v>0.27188657407407407</v>
      </c>
      <c r="D21087" s="1">
        <v>13.022228</v>
      </c>
      <c r="E21087" s="1">
        <v>80.226401</v>
      </c>
      <c r="F21087" s="1">
        <v>5339.0</v>
      </c>
      <c r="G21087" s="1">
        <v>39.0</v>
      </c>
    </row>
    <row r="21088">
      <c r="A21088" s="1" t="s">
        <v>8</v>
      </c>
      <c r="B21088" s="2">
        <v>44804.0</v>
      </c>
      <c r="C21088" s="3">
        <v>0.27189814814814817</v>
      </c>
      <c r="D21088" s="1">
        <v>13.022228</v>
      </c>
      <c r="E21088" s="1">
        <v>80.226401</v>
      </c>
      <c r="F21088" s="1">
        <v>5339.0</v>
      </c>
      <c r="G21088" s="1">
        <v>39.0</v>
      </c>
    </row>
    <row r="21089">
      <c r="A21089" s="1" t="s">
        <v>8</v>
      </c>
      <c r="B21089" s="2">
        <v>44804.0</v>
      </c>
      <c r="C21089" s="3">
        <v>0.27194444444444443</v>
      </c>
      <c r="D21089" s="1">
        <v>13.022228</v>
      </c>
      <c r="E21089" s="1">
        <v>80.226401</v>
      </c>
      <c r="F21089" s="1">
        <v>5339.0</v>
      </c>
      <c r="G21089" s="1">
        <v>39.0</v>
      </c>
    </row>
    <row r="21090">
      <c r="A21090" s="1" t="s">
        <v>8</v>
      </c>
      <c r="B21090" s="2">
        <v>44804.0</v>
      </c>
      <c r="C21090" s="3">
        <v>0.27194444444444443</v>
      </c>
      <c r="D21090" s="1">
        <v>13.022228</v>
      </c>
      <c r="E21090" s="1">
        <v>80.226401</v>
      </c>
      <c r="F21090" s="1">
        <v>5339.0</v>
      </c>
      <c r="G21090" s="1">
        <v>39.0</v>
      </c>
    </row>
    <row r="21091">
      <c r="A21091" s="1" t="s">
        <v>8</v>
      </c>
      <c r="B21091" s="2">
        <v>44804.0</v>
      </c>
      <c r="C21091" s="3">
        <v>0.27197916666666666</v>
      </c>
      <c r="D21091" s="1">
        <v>13.023699</v>
      </c>
      <c r="E21091" s="1">
        <v>80.227754</v>
      </c>
      <c r="F21091" s="1">
        <v>5339.0</v>
      </c>
      <c r="G21091" s="1">
        <v>45.0</v>
      </c>
    </row>
    <row r="21092">
      <c r="A21092" s="1" t="s">
        <v>8</v>
      </c>
      <c r="B21092" s="2">
        <v>44804.0</v>
      </c>
      <c r="C21092" s="3">
        <v>0.2723611111111111</v>
      </c>
      <c r="D21092" s="1">
        <v>13.023699</v>
      </c>
      <c r="E21092" s="1">
        <v>80.227754</v>
      </c>
      <c r="F21092" s="1">
        <v>5339.0</v>
      </c>
      <c r="G21092" s="1">
        <v>45.0</v>
      </c>
    </row>
    <row r="21093">
      <c r="A21093" s="1" t="s">
        <v>8</v>
      </c>
      <c r="B21093" s="2">
        <v>44804.0</v>
      </c>
      <c r="C21093" s="3">
        <v>0.27266203703703706</v>
      </c>
      <c r="D21093" s="1">
        <v>13.026007</v>
      </c>
      <c r="E21093" s="1">
        <v>80.231215</v>
      </c>
      <c r="F21093" s="1">
        <v>5339.0</v>
      </c>
      <c r="G21093" s="1">
        <v>26.0</v>
      </c>
    </row>
    <row r="21094">
      <c r="A21094" s="1" t="s">
        <v>8</v>
      </c>
      <c r="B21094" s="2">
        <v>44804.0</v>
      </c>
      <c r="C21094" s="3">
        <v>0.27269675925925924</v>
      </c>
      <c r="D21094" s="1">
        <v>13.026007</v>
      </c>
      <c r="E21094" s="1">
        <v>80.231215</v>
      </c>
      <c r="F21094" s="1">
        <v>5339.0</v>
      </c>
      <c r="G21094" s="1">
        <v>26.0</v>
      </c>
    </row>
    <row r="21095">
      <c r="A21095" s="1" t="s">
        <v>8</v>
      </c>
      <c r="B21095" s="2">
        <v>44804.0</v>
      </c>
      <c r="C21095" s="3">
        <v>0.2729050925925926</v>
      </c>
      <c r="D21095" s="1">
        <v>13.026306</v>
      </c>
      <c r="E21095" s="1">
        <v>80.232357</v>
      </c>
      <c r="F21095" s="1">
        <v>5339.0</v>
      </c>
      <c r="G21095" s="1">
        <v>36.0</v>
      </c>
    </row>
    <row r="21096">
      <c r="A21096" s="1" t="s">
        <v>8</v>
      </c>
      <c r="B21096" s="2">
        <v>44804.0</v>
      </c>
      <c r="C21096" s="3">
        <v>0.2734027777777778</v>
      </c>
      <c r="D21096" s="1">
        <v>13.029832</v>
      </c>
      <c r="E21096" s="1">
        <v>80.237528</v>
      </c>
      <c r="F21096" s="1">
        <v>5339.0</v>
      </c>
      <c r="G21096" s="1">
        <v>50.0</v>
      </c>
    </row>
    <row r="21097">
      <c r="A21097" s="1" t="s">
        <v>8</v>
      </c>
      <c r="B21097" s="2">
        <v>44804.0</v>
      </c>
      <c r="C21097" s="3">
        <v>0.27599537037037036</v>
      </c>
      <c r="D21097" s="1">
        <v>13.038911</v>
      </c>
      <c r="E21097" s="1">
        <v>80.246775</v>
      </c>
      <c r="F21097" s="1">
        <v>5339.0</v>
      </c>
      <c r="G21097" s="1">
        <v>0.0</v>
      </c>
    </row>
    <row r="21098">
      <c r="A21098" s="1" t="s">
        <v>8</v>
      </c>
      <c r="B21098" s="2">
        <v>44804.0</v>
      </c>
      <c r="C21098" s="3">
        <v>0.2760300925925926</v>
      </c>
      <c r="D21098" s="1">
        <v>13.038911</v>
      </c>
      <c r="E21098" s="1">
        <v>80.246775</v>
      </c>
      <c r="F21098" s="1">
        <v>5339.0</v>
      </c>
      <c r="G21098" s="1">
        <v>0.0</v>
      </c>
    </row>
    <row r="21099">
      <c r="A21099" s="1" t="s">
        <v>8</v>
      </c>
      <c r="B21099" s="2">
        <v>44804.0</v>
      </c>
      <c r="C21099" s="3">
        <v>0.2761574074074074</v>
      </c>
      <c r="D21099" s="1">
        <v>13.038911</v>
      </c>
      <c r="E21099" s="1">
        <v>80.246775</v>
      </c>
      <c r="F21099" s="1">
        <v>5339.0</v>
      </c>
      <c r="G21099" s="1">
        <v>0.0</v>
      </c>
    </row>
    <row r="21100">
      <c r="A21100" s="1" t="s">
        <v>8</v>
      </c>
      <c r="B21100" s="2">
        <v>44804.0</v>
      </c>
      <c r="C21100" s="3">
        <v>0.27619212962962963</v>
      </c>
      <c r="D21100" s="1">
        <v>13.038943</v>
      </c>
      <c r="E21100" s="1">
        <v>80.246828</v>
      </c>
      <c r="F21100" s="1">
        <v>5339.0</v>
      </c>
      <c r="G21100" s="1">
        <v>0.0</v>
      </c>
    </row>
    <row r="21101">
      <c r="A21101" s="1" t="s">
        <v>8</v>
      </c>
      <c r="B21101" s="2">
        <v>44804.0</v>
      </c>
      <c r="C21101" s="3">
        <v>0.27633101851851855</v>
      </c>
      <c r="D21101" s="1">
        <v>13.038943</v>
      </c>
      <c r="E21101" s="1">
        <v>80.246828</v>
      </c>
      <c r="F21101" s="1">
        <v>5339.0</v>
      </c>
      <c r="G21101" s="1">
        <v>0.0</v>
      </c>
    </row>
    <row r="21102">
      <c r="A21102" s="1" t="s">
        <v>8</v>
      </c>
      <c r="B21102" s="2">
        <v>44804.0</v>
      </c>
      <c r="C21102" s="3">
        <v>0.2764699074074074</v>
      </c>
      <c r="D21102" s="1">
        <v>13.039409</v>
      </c>
      <c r="E21102" s="1">
        <v>80.246957</v>
      </c>
      <c r="F21102" s="1">
        <v>5339.0</v>
      </c>
      <c r="G21102" s="1">
        <v>26.0</v>
      </c>
    </row>
    <row r="21103">
      <c r="A21103" s="1" t="s">
        <v>8</v>
      </c>
      <c r="B21103" s="2">
        <v>44804.0</v>
      </c>
      <c r="C21103" s="3">
        <v>0.2765625</v>
      </c>
      <c r="D21103" s="1">
        <v>13.039409</v>
      </c>
      <c r="E21103" s="1">
        <v>80.246957</v>
      </c>
      <c r="F21103" s="1">
        <v>5339.0</v>
      </c>
      <c r="G21103" s="1">
        <v>26.0</v>
      </c>
    </row>
    <row r="21104">
      <c r="A21104" s="1" t="s">
        <v>8</v>
      </c>
      <c r="B21104" s="2">
        <v>44804.0</v>
      </c>
      <c r="C21104" s="3">
        <v>0.2766550925925926</v>
      </c>
      <c r="D21104" s="1">
        <v>13.04095</v>
      </c>
      <c r="E21104" s="1">
        <v>80.247236</v>
      </c>
      <c r="F21104" s="1">
        <v>5339.0</v>
      </c>
      <c r="G21104" s="1">
        <v>42.0</v>
      </c>
    </row>
    <row r="21105">
      <c r="A21105" s="1" t="s">
        <v>8</v>
      </c>
      <c r="B21105" s="2">
        <v>44804.0</v>
      </c>
      <c r="C21105" s="3">
        <v>0.2770023148148148</v>
      </c>
      <c r="D21105" s="1">
        <v>13.044593</v>
      </c>
      <c r="E21105" s="1">
        <v>80.24796</v>
      </c>
      <c r="F21105" s="1">
        <v>5339.0</v>
      </c>
      <c r="G21105" s="1">
        <v>52.0</v>
      </c>
    </row>
    <row r="21106">
      <c r="A21106" s="1" t="s">
        <v>8</v>
      </c>
      <c r="B21106" s="2">
        <v>44804.0</v>
      </c>
      <c r="C21106" s="3">
        <v>0.27717592592592594</v>
      </c>
      <c r="D21106" s="1">
        <v>13.044593</v>
      </c>
      <c r="E21106" s="1">
        <v>80.24796</v>
      </c>
      <c r="F21106" s="1">
        <v>5339.0</v>
      </c>
      <c r="G21106" s="1">
        <v>52.0</v>
      </c>
    </row>
    <row r="21107">
      <c r="A21107" s="1" t="s">
        <v>7</v>
      </c>
      <c r="B21107" s="2">
        <v>44804.0</v>
      </c>
      <c r="C21107" s="3">
        <v>0.27747685185185184</v>
      </c>
      <c r="D21107" s="1">
        <v>13.048557</v>
      </c>
      <c r="E21107" s="1">
        <v>80.249601</v>
      </c>
      <c r="F21107" s="1">
        <v>5339.0</v>
      </c>
      <c r="G21107" s="1">
        <v>54.0</v>
      </c>
    </row>
    <row r="21108">
      <c r="A21108" s="1" t="s">
        <v>8</v>
      </c>
      <c r="B21108" s="2">
        <v>44804.0</v>
      </c>
      <c r="C21108" s="3">
        <v>0.27769675925925924</v>
      </c>
      <c r="D21108" s="1">
        <v>13.050707</v>
      </c>
      <c r="E21108" s="1">
        <v>80.249982</v>
      </c>
      <c r="F21108" s="1">
        <v>5339.0</v>
      </c>
      <c r="G21108" s="1">
        <v>55.0</v>
      </c>
    </row>
    <row r="21109">
      <c r="A21109" s="1" t="s">
        <v>8</v>
      </c>
      <c r="B21109" s="2">
        <v>44804.0</v>
      </c>
      <c r="C21109" s="3">
        <v>0.2785185185185185</v>
      </c>
      <c r="D21109" s="1">
        <v>13.057498</v>
      </c>
      <c r="E21109" s="1">
        <v>80.254947</v>
      </c>
      <c r="F21109" s="1">
        <v>5339.0</v>
      </c>
      <c r="G21109" s="1">
        <v>38.0</v>
      </c>
    </row>
    <row r="21110">
      <c r="A21110" s="1" t="s">
        <v>8</v>
      </c>
      <c r="B21110" s="2">
        <v>44804.0</v>
      </c>
      <c r="C21110" s="3">
        <v>0.2787615740740741</v>
      </c>
      <c r="D21110" s="1">
        <v>13.058844</v>
      </c>
      <c r="E21110" s="1">
        <v>80.254134</v>
      </c>
      <c r="F21110" s="1">
        <v>5339.0</v>
      </c>
      <c r="G21110" s="1">
        <v>38.0</v>
      </c>
    </row>
    <row r="21111">
      <c r="A21111" s="1" t="s">
        <v>8</v>
      </c>
      <c r="B21111" s="2">
        <v>44804.0</v>
      </c>
      <c r="C21111" s="3">
        <v>0.2789814814814815</v>
      </c>
      <c r="D21111" s="1">
        <v>13.060479</v>
      </c>
      <c r="E21111" s="1">
        <v>80.25434</v>
      </c>
      <c r="F21111" s="1">
        <v>5339.0</v>
      </c>
      <c r="G21111" s="1">
        <v>31.0</v>
      </c>
    </row>
    <row r="21112">
      <c r="A21112" s="1" t="s">
        <v>8</v>
      </c>
      <c r="B21112" s="2">
        <v>44804.0</v>
      </c>
      <c r="C21112" s="3">
        <v>0.27988425925925925</v>
      </c>
      <c r="D21112" s="1">
        <v>13.067598</v>
      </c>
      <c r="E21112" s="1">
        <v>80.25347</v>
      </c>
      <c r="F21112" s="1">
        <v>5339.0</v>
      </c>
      <c r="G21112" s="1">
        <v>40.0</v>
      </c>
    </row>
    <row r="21113">
      <c r="A21113" s="1" t="s">
        <v>8</v>
      </c>
      <c r="B21113" s="2">
        <v>44804.0</v>
      </c>
      <c r="C21113" s="3">
        <v>0.28043981481481484</v>
      </c>
      <c r="D21113" s="1">
        <v>13.067304</v>
      </c>
      <c r="E21113" s="1">
        <v>80.251458</v>
      </c>
      <c r="F21113" s="1">
        <v>5339.0</v>
      </c>
      <c r="G21113" s="1">
        <v>29.0</v>
      </c>
    </row>
    <row r="21114">
      <c r="A21114" s="1" t="s">
        <v>8</v>
      </c>
      <c r="B21114" s="2">
        <v>44804.0</v>
      </c>
      <c r="C21114" s="3">
        <v>0.28043981481481484</v>
      </c>
      <c r="D21114" s="1">
        <v>13.067304</v>
      </c>
      <c r="E21114" s="1">
        <v>80.251458</v>
      </c>
      <c r="F21114" s="1">
        <v>5339.0</v>
      </c>
      <c r="G21114" s="1">
        <v>29.0</v>
      </c>
    </row>
    <row r="21115">
      <c r="A21115" s="1" t="s">
        <v>8</v>
      </c>
      <c r="B21115" s="2">
        <v>44804.0</v>
      </c>
      <c r="C21115" s="3">
        <v>0.2804513888888889</v>
      </c>
      <c r="D21115" s="1">
        <v>13.067495</v>
      </c>
      <c r="E21115" s="1">
        <v>80.250305</v>
      </c>
      <c r="F21115" s="1">
        <v>5339.0</v>
      </c>
      <c r="G21115" s="1">
        <v>28.0</v>
      </c>
    </row>
    <row r="21116">
      <c r="A21116" s="1" t="s">
        <v>8</v>
      </c>
      <c r="B21116" s="2">
        <v>44804.0</v>
      </c>
      <c r="C21116" s="3">
        <v>0.2806018518518518</v>
      </c>
      <c r="D21116" s="1">
        <v>13.067648</v>
      </c>
      <c r="E21116" s="1">
        <v>80.249356</v>
      </c>
      <c r="F21116" s="1">
        <v>5339.0</v>
      </c>
      <c r="G21116" s="1">
        <v>19.0</v>
      </c>
    </row>
    <row r="21117">
      <c r="A21117" s="1" t="s">
        <v>8</v>
      </c>
      <c r="B21117" s="2">
        <v>44804.0</v>
      </c>
      <c r="C21117" s="3">
        <v>0.2810648148148148</v>
      </c>
      <c r="D21117" s="1">
        <v>12.916922</v>
      </c>
      <c r="E21117" s="1">
        <v>80.106912</v>
      </c>
      <c r="F21117" s="1">
        <v>3143.0</v>
      </c>
      <c r="G21117" s="1">
        <v>47.0</v>
      </c>
    </row>
    <row r="21118">
      <c r="A21118" s="1" t="s">
        <v>8</v>
      </c>
      <c r="B21118" s="2">
        <v>44804.0</v>
      </c>
      <c r="C21118" s="3">
        <v>0.2813773148148148</v>
      </c>
      <c r="D21118" s="1">
        <v>12.91908</v>
      </c>
      <c r="E21118" s="1">
        <v>80.109778</v>
      </c>
      <c r="F21118" s="1">
        <v>3143.0</v>
      </c>
      <c r="G21118" s="1">
        <v>42.0</v>
      </c>
    </row>
    <row r="21119">
      <c r="A21119" s="1" t="s">
        <v>10</v>
      </c>
      <c r="B21119" s="2">
        <v>44804.0</v>
      </c>
      <c r="C21119" s="3">
        <v>0.28195601851851854</v>
      </c>
      <c r="D21119" s="1">
        <v>13.063676</v>
      </c>
      <c r="E21119" s="1">
        <v>80.250567</v>
      </c>
      <c r="F21119" s="1">
        <v>5339.0</v>
      </c>
      <c r="G21119" s="1">
        <v>10.0</v>
      </c>
    </row>
    <row r="21120">
      <c r="A21120" s="1" t="s">
        <v>8</v>
      </c>
      <c r="B21120" s="2">
        <v>44804.0</v>
      </c>
      <c r="C21120" s="3">
        <v>0.28497685185185184</v>
      </c>
      <c r="D21120" s="1">
        <v>12.92269</v>
      </c>
      <c r="E21120" s="1">
        <v>80.133956</v>
      </c>
      <c r="F21120" s="1">
        <v>3143.0</v>
      </c>
      <c r="G21120" s="1">
        <v>52.0</v>
      </c>
    </row>
    <row r="21121">
      <c r="A21121" s="1" t="s">
        <v>8</v>
      </c>
      <c r="B21121" s="2">
        <v>44804.0</v>
      </c>
      <c r="C21121" s="3">
        <v>0.2851388888888889</v>
      </c>
      <c r="D21121" s="1">
        <v>12.922596</v>
      </c>
      <c r="E21121" s="1">
        <v>80.135821</v>
      </c>
      <c r="F21121" s="1">
        <v>3143.0</v>
      </c>
      <c r="G21121" s="1">
        <v>40.0</v>
      </c>
    </row>
    <row r="21122">
      <c r="A21122" s="1" t="s">
        <v>7</v>
      </c>
      <c r="B21122" s="2">
        <v>44804.0</v>
      </c>
      <c r="C21122" s="3">
        <v>0.28881944444444446</v>
      </c>
      <c r="D21122" s="1">
        <v>12.922753</v>
      </c>
      <c r="E21122" s="1">
        <v>80.162029</v>
      </c>
      <c r="F21122" s="1">
        <v>3143.0</v>
      </c>
      <c r="G21122" s="1">
        <v>47.0</v>
      </c>
    </row>
    <row r="21123">
      <c r="A21123" s="1" t="s">
        <v>7</v>
      </c>
      <c r="B21123" s="2">
        <v>44804.0</v>
      </c>
      <c r="C21123" s="3">
        <v>0.29212962962962963</v>
      </c>
      <c r="D21123" s="1">
        <v>12.917183</v>
      </c>
      <c r="E21123" s="1">
        <v>80.193214</v>
      </c>
      <c r="F21123" s="1">
        <v>3143.0</v>
      </c>
      <c r="G21123" s="1">
        <v>45.0</v>
      </c>
    </row>
    <row r="21124">
      <c r="A21124" s="1" t="s">
        <v>7</v>
      </c>
      <c r="B21124" s="2">
        <v>44804.0</v>
      </c>
      <c r="C21124" s="3">
        <v>0.29225694444444444</v>
      </c>
      <c r="D21124" s="1">
        <v>12.91783</v>
      </c>
      <c r="E21124" s="1">
        <v>80.194835</v>
      </c>
      <c r="F21124" s="1">
        <v>3143.0</v>
      </c>
      <c r="G21124" s="1">
        <v>47.0</v>
      </c>
    </row>
    <row r="21125">
      <c r="A21125" s="1" t="s">
        <v>8</v>
      </c>
      <c r="B21125" s="2">
        <v>44804.0</v>
      </c>
      <c r="C21125" s="3">
        <v>0.2954513888888889</v>
      </c>
      <c r="D21125" s="1">
        <v>12.940454</v>
      </c>
      <c r="E21125" s="1">
        <v>80.205726</v>
      </c>
      <c r="F21125" s="1">
        <v>3143.0</v>
      </c>
      <c r="G21125" s="1">
        <v>34.0</v>
      </c>
    </row>
    <row r="21126">
      <c r="A21126" s="1" t="s">
        <v>10</v>
      </c>
      <c r="B21126" s="2">
        <v>44804.0</v>
      </c>
      <c r="C21126" s="3">
        <v>0.30115740740740743</v>
      </c>
      <c r="D21126" s="1">
        <v>13.06326</v>
      </c>
      <c r="E21126" s="1">
        <v>80.244207</v>
      </c>
      <c r="F21126" s="1">
        <v>5339.0</v>
      </c>
      <c r="G21126" s="1">
        <v>43.0</v>
      </c>
    </row>
    <row r="21127">
      <c r="A21127" s="1" t="s">
        <v>9</v>
      </c>
      <c r="B21127" s="2">
        <v>44804.0</v>
      </c>
      <c r="C21127" s="3">
        <v>0.3018402777777778</v>
      </c>
      <c r="D21127" s="1">
        <v>13.066781</v>
      </c>
      <c r="E21127" s="1">
        <v>80.246055</v>
      </c>
      <c r="F21127" s="1">
        <v>5339.0</v>
      </c>
      <c r="G21127" s="1">
        <v>37.0</v>
      </c>
    </row>
    <row r="21128">
      <c r="A21128" s="1" t="s">
        <v>10</v>
      </c>
      <c r="B21128" s="2">
        <v>44804.0</v>
      </c>
      <c r="C21128" s="3">
        <v>0.3060763888888889</v>
      </c>
      <c r="D21128" s="1">
        <v>13.069217</v>
      </c>
      <c r="E21128" s="1">
        <v>80.267027</v>
      </c>
      <c r="F21128" s="1">
        <v>5339.0</v>
      </c>
      <c r="G21128" s="1">
        <v>33.0</v>
      </c>
    </row>
    <row r="21129">
      <c r="A21129" s="1" t="s">
        <v>10</v>
      </c>
      <c r="B21129" s="2">
        <v>44804.0</v>
      </c>
      <c r="C21129" s="3">
        <v>0.3078125</v>
      </c>
      <c r="D21129" s="1">
        <v>13.064886</v>
      </c>
      <c r="E21129" s="1">
        <v>80.273879</v>
      </c>
      <c r="F21129" s="1">
        <v>5339.0</v>
      </c>
      <c r="G21129" s="1">
        <v>15.0</v>
      </c>
    </row>
    <row r="21130">
      <c r="A21130" s="1" t="s">
        <v>10</v>
      </c>
      <c r="B21130" s="2">
        <v>44804.0</v>
      </c>
      <c r="C21130" s="3">
        <v>0.3081712962962963</v>
      </c>
      <c r="D21130" s="1">
        <v>13.063888</v>
      </c>
      <c r="E21130" s="1">
        <v>80.27396</v>
      </c>
      <c r="F21130" s="1">
        <v>5339.0</v>
      </c>
      <c r="G21130" s="1">
        <v>30.0</v>
      </c>
    </row>
    <row r="21131">
      <c r="A21131" s="1" t="s">
        <v>10</v>
      </c>
      <c r="B21131" s="2">
        <v>44804.0</v>
      </c>
      <c r="C21131" s="3">
        <v>0.30939814814814814</v>
      </c>
      <c r="D21131" s="1">
        <v>13.059448</v>
      </c>
      <c r="E21131" s="1">
        <v>80.274211</v>
      </c>
      <c r="F21131" s="1">
        <v>5339.0</v>
      </c>
      <c r="G21131" s="1">
        <v>16.0</v>
      </c>
    </row>
    <row r="21132">
      <c r="A21132" s="1" t="s">
        <v>10</v>
      </c>
      <c r="B21132" s="2">
        <v>44804.0</v>
      </c>
      <c r="C21132" s="3">
        <v>0.3098842592592593</v>
      </c>
      <c r="D21132" s="1">
        <v>13.0569</v>
      </c>
      <c r="E21132" s="1">
        <v>80.273951</v>
      </c>
      <c r="F21132" s="1">
        <v>5339.0</v>
      </c>
      <c r="G21132" s="1">
        <v>30.0</v>
      </c>
    </row>
    <row r="21133">
      <c r="A21133" s="1" t="s">
        <v>10</v>
      </c>
      <c r="B21133" s="2">
        <v>44804.0</v>
      </c>
      <c r="C21133" s="3">
        <v>0.31052083333333336</v>
      </c>
      <c r="D21133" s="1">
        <v>13.05451</v>
      </c>
      <c r="E21133" s="1">
        <v>80.273768</v>
      </c>
      <c r="F21133" s="1">
        <v>5339.0</v>
      </c>
      <c r="G21133" s="1">
        <v>26.0</v>
      </c>
    </row>
    <row r="21134">
      <c r="A21134" s="1" t="s">
        <v>10</v>
      </c>
      <c r="B21134" s="2">
        <v>44804.0</v>
      </c>
      <c r="C21134" s="3">
        <v>0.31083333333333335</v>
      </c>
      <c r="D21134" s="1">
        <v>13.053349</v>
      </c>
      <c r="E21134" s="1">
        <v>80.273748</v>
      </c>
      <c r="F21134" s="1">
        <v>5339.0</v>
      </c>
      <c r="G21134" s="1">
        <v>27.0</v>
      </c>
    </row>
    <row r="21135">
      <c r="A21135" s="1" t="s">
        <v>10</v>
      </c>
      <c r="B21135" s="2">
        <v>44804.0</v>
      </c>
      <c r="C21135" s="3">
        <v>0.3112037037037037</v>
      </c>
      <c r="D21135" s="1">
        <v>13.053029</v>
      </c>
      <c r="E21135" s="1">
        <v>80.272352</v>
      </c>
      <c r="F21135" s="1">
        <v>5339.0</v>
      </c>
      <c r="G21135" s="1">
        <v>24.0</v>
      </c>
    </row>
    <row r="21136">
      <c r="A21136" s="1" t="s">
        <v>10</v>
      </c>
      <c r="B21136" s="2">
        <v>44804.0</v>
      </c>
      <c r="C21136" s="3">
        <v>0.3113773148148148</v>
      </c>
      <c r="D21136" s="1">
        <v>13.053098</v>
      </c>
      <c r="E21136" s="1">
        <v>80.272004</v>
      </c>
      <c r="F21136" s="1">
        <v>5339.0</v>
      </c>
      <c r="G21136" s="1">
        <v>0.0</v>
      </c>
    </row>
    <row r="21137">
      <c r="A21137" s="1" t="s">
        <v>10</v>
      </c>
      <c r="B21137" s="2">
        <v>44804.0</v>
      </c>
      <c r="C21137" s="3">
        <v>0.31166666666666665</v>
      </c>
      <c r="D21137" s="1">
        <v>13.053348</v>
      </c>
      <c r="E21137" s="1">
        <v>80.270227</v>
      </c>
      <c r="F21137" s="1">
        <v>5339.0</v>
      </c>
      <c r="G21137" s="1">
        <v>26.0</v>
      </c>
    </row>
    <row r="21138">
      <c r="A21138" s="1" t="s">
        <v>10</v>
      </c>
      <c r="B21138" s="2">
        <v>44804.0</v>
      </c>
      <c r="C21138" s="3">
        <v>0.31189814814814815</v>
      </c>
      <c r="D21138" s="1">
        <v>13.053442</v>
      </c>
      <c r="E21138" s="1">
        <v>80.269144</v>
      </c>
      <c r="F21138" s="1">
        <v>5339.0</v>
      </c>
      <c r="G21138" s="1">
        <v>16.0</v>
      </c>
    </row>
    <row r="21139">
      <c r="A21139" s="1" t="s">
        <v>8</v>
      </c>
      <c r="B21139" s="2">
        <v>44804.0</v>
      </c>
      <c r="C21139" s="3">
        <v>0.31451388888888887</v>
      </c>
      <c r="D21139" s="1">
        <v>13.054349</v>
      </c>
      <c r="E21139" s="1">
        <v>80.253848</v>
      </c>
      <c r="F21139" s="1">
        <v>5339.0</v>
      </c>
      <c r="G21139" s="1">
        <v>34.0</v>
      </c>
    </row>
    <row r="21140">
      <c r="A21140" s="1" t="s">
        <v>8</v>
      </c>
      <c r="B21140" s="2">
        <v>44804.0</v>
      </c>
      <c r="C21140" s="3">
        <v>0.3145486111111111</v>
      </c>
      <c r="D21140" s="1">
        <v>13.054349</v>
      </c>
      <c r="E21140" s="1">
        <v>80.253848</v>
      </c>
      <c r="F21140" s="1">
        <v>5339.0</v>
      </c>
      <c r="G21140" s="1">
        <v>34.0</v>
      </c>
    </row>
    <row r="21141">
      <c r="A21141" s="1" t="s">
        <v>8</v>
      </c>
      <c r="B21141" s="2">
        <v>44804.0</v>
      </c>
      <c r="C21141" s="3">
        <v>0.31626157407407407</v>
      </c>
      <c r="D21141" s="1">
        <v>13.039659</v>
      </c>
      <c r="E21141" s="1">
        <v>80.247033</v>
      </c>
      <c r="F21141" s="1">
        <v>5339.0</v>
      </c>
      <c r="G21141" s="1">
        <v>43.0</v>
      </c>
    </row>
    <row r="21142">
      <c r="A21142" s="1" t="s">
        <v>8</v>
      </c>
      <c r="B21142" s="2">
        <v>44804.0</v>
      </c>
      <c r="C21142" s="3">
        <v>0.31730324074074073</v>
      </c>
      <c r="D21142" s="1">
        <v>13.033632</v>
      </c>
      <c r="E21142" s="1">
        <v>80.24421</v>
      </c>
      <c r="F21142" s="1">
        <v>5339.0</v>
      </c>
      <c r="G21142" s="1">
        <v>45.0</v>
      </c>
    </row>
    <row r="21143">
      <c r="A21143" s="1" t="s">
        <v>9</v>
      </c>
      <c r="B21143" s="2">
        <v>44804.0</v>
      </c>
      <c r="C21143" s="3">
        <v>0.3184490740740741</v>
      </c>
      <c r="D21143" s="1">
        <v>13.03066</v>
      </c>
      <c r="E21143" s="1">
        <v>80.239131</v>
      </c>
      <c r="F21143" s="1">
        <v>5339.0</v>
      </c>
      <c r="G21143" s="1">
        <v>33.0</v>
      </c>
    </row>
    <row r="21144">
      <c r="A21144" s="1" t="s">
        <v>8</v>
      </c>
      <c r="B21144" s="2">
        <v>44804.0</v>
      </c>
      <c r="C21144" s="3">
        <v>0.31876157407407407</v>
      </c>
      <c r="D21144" s="1">
        <v>13.029243</v>
      </c>
      <c r="E21144" s="1">
        <v>80.236882</v>
      </c>
      <c r="F21144" s="1">
        <v>5339.0</v>
      </c>
      <c r="G21144" s="1">
        <v>38.0</v>
      </c>
    </row>
    <row r="21145">
      <c r="A21145" s="1" t="s">
        <v>7</v>
      </c>
      <c r="B21145" s="2">
        <v>44804.0</v>
      </c>
      <c r="C21145" s="3">
        <v>0.3199768518518519</v>
      </c>
      <c r="D21145" s="1">
        <v>13.02587</v>
      </c>
      <c r="E21145" s="1">
        <v>80.23097</v>
      </c>
      <c r="F21145" s="1">
        <v>5339.0</v>
      </c>
      <c r="G21145" s="1">
        <v>48.0</v>
      </c>
    </row>
    <row r="21146">
      <c r="A21146" s="1" t="s">
        <v>7</v>
      </c>
      <c r="B21146" s="2">
        <v>44804.0</v>
      </c>
      <c r="C21146" s="3">
        <v>0.3205208333333333</v>
      </c>
      <c r="D21146" s="1">
        <v>13.022175</v>
      </c>
      <c r="E21146" s="1">
        <v>80.226466</v>
      </c>
      <c r="F21146" s="1">
        <v>5339.0</v>
      </c>
      <c r="G21146" s="1">
        <v>55.0</v>
      </c>
    </row>
    <row r="21147">
      <c r="A21147" s="1" t="s">
        <v>8</v>
      </c>
      <c r="B21147" s="2">
        <v>44804.0</v>
      </c>
      <c r="C21147" s="3">
        <v>0.3211921296296296</v>
      </c>
      <c r="D21147" s="1">
        <v>13.01899</v>
      </c>
      <c r="E21147" s="1">
        <v>80.22447</v>
      </c>
      <c r="F21147" s="1">
        <v>5339.0</v>
      </c>
      <c r="G21147" s="1">
        <v>38.0</v>
      </c>
    </row>
    <row r="21148">
      <c r="A21148" s="1" t="s">
        <v>8</v>
      </c>
      <c r="B21148" s="2">
        <v>44804.0</v>
      </c>
      <c r="C21148" s="3">
        <v>0.3214814814814815</v>
      </c>
      <c r="D21148" s="1">
        <v>13.016741</v>
      </c>
      <c r="E21148" s="1">
        <v>80.225322</v>
      </c>
      <c r="F21148" s="1">
        <v>5339.0</v>
      </c>
      <c r="G21148" s="1">
        <v>49.0</v>
      </c>
    </row>
    <row r="21149">
      <c r="A21149" s="1" t="s">
        <v>8</v>
      </c>
      <c r="B21149" s="2">
        <v>44804.0</v>
      </c>
      <c r="C21149" s="3">
        <v>0.32185185185185183</v>
      </c>
      <c r="D21149" s="1">
        <v>13.012602</v>
      </c>
      <c r="E21149" s="1">
        <v>80.226912</v>
      </c>
      <c r="F21149" s="1">
        <v>5339.0</v>
      </c>
      <c r="G21149" s="1">
        <v>51.0</v>
      </c>
    </row>
    <row r="21150">
      <c r="A21150" s="1" t="s">
        <v>7</v>
      </c>
      <c r="B21150" s="2">
        <v>44804.0</v>
      </c>
      <c r="C21150" s="3">
        <v>0.3220486111111111</v>
      </c>
      <c r="D21150" s="1">
        <v>13.011338</v>
      </c>
      <c r="E21150" s="1">
        <v>80.227392</v>
      </c>
      <c r="F21150" s="1">
        <v>5339.0</v>
      </c>
      <c r="G21150" s="1">
        <v>55.0</v>
      </c>
    </row>
    <row r="21151">
      <c r="A21151" s="1" t="s">
        <v>8</v>
      </c>
      <c r="B21151" s="2">
        <v>44804.0</v>
      </c>
      <c r="C21151" s="3">
        <v>0.3221759259259259</v>
      </c>
      <c r="D21151" s="1">
        <v>13.010007</v>
      </c>
      <c r="E21151" s="1">
        <v>80.227904</v>
      </c>
      <c r="F21151" s="1">
        <v>5339.0</v>
      </c>
      <c r="G21151" s="1">
        <v>49.0</v>
      </c>
    </row>
    <row r="21152">
      <c r="A21152" s="1" t="s">
        <v>8</v>
      </c>
      <c r="B21152" s="2">
        <v>44804.0</v>
      </c>
      <c r="C21152" s="3">
        <v>0.32310185185185186</v>
      </c>
      <c r="D21152" s="1">
        <v>13.01141</v>
      </c>
      <c r="E21152" s="1">
        <v>80.223277</v>
      </c>
      <c r="F21152" s="1">
        <v>5339.0</v>
      </c>
      <c r="G21152" s="1">
        <v>13.0</v>
      </c>
    </row>
    <row r="21153">
      <c r="A21153" s="1" t="s">
        <v>7</v>
      </c>
      <c r="B21153" s="2">
        <v>44804.0</v>
      </c>
      <c r="C21153" s="3">
        <v>0.3235648148148148</v>
      </c>
      <c r="D21153" s="1">
        <v>13.011841</v>
      </c>
      <c r="E21153" s="1">
        <v>80.220056</v>
      </c>
      <c r="F21153" s="1">
        <v>5339.0</v>
      </c>
      <c r="G21153" s="1">
        <v>48.0</v>
      </c>
    </row>
    <row r="21154">
      <c r="A21154" s="1" t="s">
        <v>7</v>
      </c>
      <c r="B21154" s="2">
        <v>44804.0</v>
      </c>
      <c r="C21154" s="3">
        <v>0.32373842592592594</v>
      </c>
      <c r="D21154" s="1">
        <v>13.010895</v>
      </c>
      <c r="E21154" s="1">
        <v>80.217336</v>
      </c>
      <c r="F21154" s="1">
        <v>5339.0</v>
      </c>
      <c r="G21154" s="1">
        <v>54.0</v>
      </c>
    </row>
    <row r="21155">
      <c r="A21155" s="1" t="s">
        <v>7</v>
      </c>
      <c r="B21155" s="2">
        <v>44804.0</v>
      </c>
      <c r="C21155" s="3">
        <v>0.32449074074074075</v>
      </c>
      <c r="D21155" s="1">
        <v>13.008073</v>
      </c>
      <c r="E21155" s="1">
        <v>80.209045</v>
      </c>
      <c r="F21155" s="1">
        <v>5339.0</v>
      </c>
      <c r="G21155" s="1">
        <v>55.0</v>
      </c>
    </row>
    <row r="21156">
      <c r="A21156" s="1" t="s">
        <v>7</v>
      </c>
      <c r="B21156" s="2">
        <v>44804.0</v>
      </c>
      <c r="C21156" s="3">
        <v>0.32466435185185183</v>
      </c>
      <c r="D21156" s="1">
        <v>13.007598</v>
      </c>
      <c r="E21156" s="1">
        <v>80.206207</v>
      </c>
      <c r="F21156" s="1">
        <v>5339.0</v>
      </c>
      <c r="G21156" s="1">
        <v>51.0</v>
      </c>
    </row>
    <row r="21157">
      <c r="A21157" s="1" t="s">
        <v>7</v>
      </c>
      <c r="B21157" s="2">
        <v>44804.0</v>
      </c>
      <c r="C21157" s="3">
        <v>0.32483796296296297</v>
      </c>
      <c r="D21157" s="1">
        <v>13.007195</v>
      </c>
      <c r="E21157" s="1">
        <v>80.204891</v>
      </c>
      <c r="F21157" s="1">
        <v>5339.0</v>
      </c>
      <c r="G21157" s="1">
        <v>55.0</v>
      </c>
    </row>
    <row r="21158">
      <c r="A21158" s="1" t="s">
        <v>7</v>
      </c>
      <c r="B21158" s="2">
        <v>44804.0</v>
      </c>
      <c r="C21158" s="3">
        <v>0.32513888888888887</v>
      </c>
      <c r="D21158" s="1">
        <v>13.005028</v>
      </c>
      <c r="E21158" s="1">
        <v>80.201529</v>
      </c>
      <c r="F21158" s="1">
        <v>5339.0</v>
      </c>
      <c r="G21158" s="1">
        <v>51.0</v>
      </c>
    </row>
    <row r="21159">
      <c r="A21159" s="1" t="s">
        <v>8</v>
      </c>
      <c r="B21159" s="2">
        <v>44804.0</v>
      </c>
      <c r="C21159" s="3">
        <v>0.3251851851851852</v>
      </c>
      <c r="D21159" s="1">
        <v>13.005028</v>
      </c>
      <c r="E21159" s="1">
        <v>80.201529</v>
      </c>
      <c r="F21159" s="1">
        <v>5339.0</v>
      </c>
      <c r="G21159" s="1">
        <v>51.0</v>
      </c>
    </row>
    <row r="21160">
      <c r="A21160" s="1" t="s">
        <v>8</v>
      </c>
      <c r="B21160" s="2">
        <v>44804.0</v>
      </c>
      <c r="C21160" s="3">
        <v>0.3253125</v>
      </c>
      <c r="D21160" s="1">
        <v>13.003871</v>
      </c>
      <c r="E21160" s="1">
        <v>80.200994</v>
      </c>
      <c r="F21160" s="1">
        <v>5339.0</v>
      </c>
      <c r="G21160" s="1">
        <v>42.0</v>
      </c>
    </row>
    <row r="21161">
      <c r="A21161" s="1" t="s">
        <v>7</v>
      </c>
      <c r="B21161" s="2">
        <v>44804.0</v>
      </c>
      <c r="C21161" s="3">
        <v>0.32568287037037036</v>
      </c>
      <c r="D21161" s="1">
        <v>13.001911</v>
      </c>
      <c r="E21161" s="1">
        <v>80.197958</v>
      </c>
      <c r="F21161" s="1">
        <v>5339.0</v>
      </c>
      <c r="G21161" s="1">
        <v>54.0</v>
      </c>
    </row>
    <row r="21162">
      <c r="A21162" s="1" t="s">
        <v>8</v>
      </c>
      <c r="B21162" s="2">
        <v>44804.0</v>
      </c>
      <c r="C21162" s="3">
        <v>0.3257407407407407</v>
      </c>
      <c r="D21162" s="1">
        <v>13.001911</v>
      </c>
      <c r="E21162" s="1">
        <v>80.197958</v>
      </c>
      <c r="F21162" s="1">
        <v>5339.0</v>
      </c>
      <c r="G21162" s="1">
        <v>54.0</v>
      </c>
    </row>
    <row r="21163">
      <c r="A21163" s="1" t="s">
        <v>8</v>
      </c>
      <c r="B21163" s="2">
        <v>44804.0</v>
      </c>
      <c r="C21163" s="3">
        <v>0.32633101851851853</v>
      </c>
      <c r="D21163" s="1">
        <v>13.000441</v>
      </c>
      <c r="E21163" s="1">
        <v>80.194883</v>
      </c>
      <c r="F21163" s="1">
        <v>5339.0</v>
      </c>
      <c r="G21163" s="1">
        <v>38.0</v>
      </c>
    </row>
    <row r="21164">
      <c r="A21164" s="1" t="s">
        <v>8</v>
      </c>
      <c r="B21164" s="2">
        <v>44804.0</v>
      </c>
      <c r="C21164" s="3">
        <v>0.3263773148148148</v>
      </c>
      <c r="D21164" s="1">
        <v>12.999786</v>
      </c>
      <c r="E21164" s="1">
        <v>80.194057</v>
      </c>
      <c r="F21164" s="1">
        <v>5339.0</v>
      </c>
      <c r="G21164" s="1">
        <v>35.0</v>
      </c>
    </row>
    <row r="21165">
      <c r="A21165" s="1" t="s">
        <v>8</v>
      </c>
      <c r="B21165" s="2">
        <v>44804.0</v>
      </c>
      <c r="C21165" s="3">
        <v>0.3264930555555556</v>
      </c>
      <c r="D21165" s="1">
        <v>12.999786</v>
      </c>
      <c r="E21165" s="1">
        <v>80.194057</v>
      </c>
      <c r="F21165" s="1">
        <v>5339.0</v>
      </c>
      <c r="G21165" s="1">
        <v>35.0</v>
      </c>
    </row>
    <row r="21166">
      <c r="A21166" s="1" t="s">
        <v>8</v>
      </c>
      <c r="B21166" s="2">
        <v>44804.0</v>
      </c>
      <c r="C21166" s="3">
        <v>0.32653935185185184</v>
      </c>
      <c r="D21166" s="1">
        <v>12.999786</v>
      </c>
      <c r="E21166" s="1">
        <v>80.194057</v>
      </c>
      <c r="F21166" s="1">
        <v>5339.0</v>
      </c>
      <c r="G21166" s="1">
        <v>35.0</v>
      </c>
    </row>
    <row r="21167">
      <c r="A21167" s="1" t="s">
        <v>8</v>
      </c>
      <c r="B21167" s="2">
        <v>44804.0</v>
      </c>
      <c r="C21167" s="3">
        <v>0.3265625</v>
      </c>
      <c r="D21167" s="1">
        <v>12.999238</v>
      </c>
      <c r="E21167" s="1">
        <v>80.193414</v>
      </c>
      <c r="F21167" s="1">
        <v>5339.0</v>
      </c>
      <c r="G21167" s="1">
        <v>38.0</v>
      </c>
    </row>
    <row r="21168">
      <c r="A21168" s="1" t="s">
        <v>8</v>
      </c>
      <c r="B21168" s="2">
        <v>44804.0</v>
      </c>
      <c r="C21168" s="3">
        <v>0.3267476851851852</v>
      </c>
      <c r="D21168" s="1">
        <v>12.998055</v>
      </c>
      <c r="E21168" s="1">
        <v>80.191866</v>
      </c>
      <c r="F21168" s="1">
        <v>5339.0</v>
      </c>
      <c r="G21168" s="1">
        <v>37.0</v>
      </c>
    </row>
    <row r="21169">
      <c r="A21169" s="1" t="s">
        <v>8</v>
      </c>
      <c r="B21169" s="2">
        <v>44804.0</v>
      </c>
      <c r="C21169" s="3">
        <v>0.32677083333333334</v>
      </c>
      <c r="D21169" s="1">
        <v>12.998055</v>
      </c>
      <c r="E21169" s="1">
        <v>80.191866</v>
      </c>
      <c r="F21169" s="1">
        <v>5339.0</v>
      </c>
      <c r="G21169" s="1">
        <v>37.0</v>
      </c>
    </row>
    <row r="21170">
      <c r="A21170" s="1" t="s">
        <v>8</v>
      </c>
      <c r="B21170" s="2">
        <v>44804.0</v>
      </c>
      <c r="C21170" s="3">
        <v>0.326875</v>
      </c>
      <c r="D21170" s="1">
        <v>12.997341</v>
      </c>
      <c r="E21170" s="1">
        <v>80.190926</v>
      </c>
      <c r="F21170" s="1">
        <v>5339.0</v>
      </c>
      <c r="G21170" s="1">
        <v>49.0</v>
      </c>
    </row>
    <row r="21171">
      <c r="A21171" s="1" t="s">
        <v>8</v>
      </c>
      <c r="B21171" s="2">
        <v>44804.0</v>
      </c>
      <c r="C21171" s="3">
        <v>0.327025462962963</v>
      </c>
      <c r="D21171" s="1">
        <v>12.996587</v>
      </c>
      <c r="E21171" s="1">
        <v>80.189976</v>
      </c>
      <c r="F21171" s="1">
        <v>5339.0</v>
      </c>
      <c r="G21171" s="1">
        <v>46.0</v>
      </c>
    </row>
    <row r="21172">
      <c r="A21172" s="1" t="s">
        <v>9</v>
      </c>
      <c r="B21172" s="2">
        <v>44804.0</v>
      </c>
      <c r="C21172" s="3">
        <v>0.3282175925925926</v>
      </c>
      <c r="D21172" s="1">
        <v>12.993408</v>
      </c>
      <c r="E21172" s="1">
        <v>80.184513</v>
      </c>
      <c r="F21172" s="1">
        <v>5339.0</v>
      </c>
      <c r="G21172" s="1">
        <v>42.0</v>
      </c>
    </row>
    <row r="21173">
      <c r="A21173" s="1" t="s">
        <v>8</v>
      </c>
      <c r="B21173" s="2">
        <v>44804.0</v>
      </c>
      <c r="C21173" s="3">
        <v>0.32849537037037035</v>
      </c>
      <c r="D21173" s="1">
        <v>12.992255</v>
      </c>
      <c r="E21173" s="1">
        <v>80.182553</v>
      </c>
      <c r="F21173" s="1">
        <v>5339.0</v>
      </c>
      <c r="G21173" s="1">
        <v>47.0</v>
      </c>
    </row>
    <row r="21174">
      <c r="A21174" s="1" t="s">
        <v>8</v>
      </c>
      <c r="B21174" s="2">
        <v>44804.0</v>
      </c>
      <c r="C21174" s="3">
        <v>0.3285763888888889</v>
      </c>
      <c r="D21174" s="1">
        <v>12.991582</v>
      </c>
      <c r="E21174" s="1">
        <v>80.181679</v>
      </c>
      <c r="F21174" s="1">
        <v>5339.0</v>
      </c>
      <c r="G21174" s="1">
        <v>41.0</v>
      </c>
    </row>
    <row r="21175">
      <c r="A21175" s="1" t="s">
        <v>10</v>
      </c>
      <c r="B21175" s="2">
        <v>44804.0</v>
      </c>
      <c r="C21175" s="3">
        <v>0.32871527777777776</v>
      </c>
      <c r="D21175" s="1">
        <v>12.957496</v>
      </c>
      <c r="E21175" s="1">
        <v>80.187124</v>
      </c>
      <c r="F21175" s="1">
        <v>3143.0</v>
      </c>
      <c r="G21175" s="1">
        <v>9.0</v>
      </c>
    </row>
    <row r="21176">
      <c r="A21176" s="1" t="s">
        <v>8</v>
      </c>
      <c r="B21176" s="2">
        <v>44804.0</v>
      </c>
      <c r="C21176" s="3">
        <v>0.32971064814814816</v>
      </c>
      <c r="D21176" s="1">
        <v>12.989397</v>
      </c>
      <c r="E21176" s="1">
        <v>80.178929</v>
      </c>
      <c r="F21176" s="1">
        <v>5339.0</v>
      </c>
      <c r="G21176" s="1">
        <v>20.0</v>
      </c>
    </row>
    <row r="21177">
      <c r="A21177" s="1" t="s">
        <v>7</v>
      </c>
      <c r="B21177" s="2">
        <v>44804.0</v>
      </c>
      <c r="C21177" s="3">
        <v>0.3299768518518518</v>
      </c>
      <c r="D21177" s="1">
        <v>12.987389</v>
      </c>
      <c r="E21177" s="1">
        <v>80.176088</v>
      </c>
      <c r="F21177" s="1">
        <v>5339.0</v>
      </c>
      <c r="G21177" s="1">
        <v>59.0</v>
      </c>
    </row>
    <row r="21178">
      <c r="A21178" s="1" t="s">
        <v>8</v>
      </c>
      <c r="B21178" s="2">
        <v>44804.0</v>
      </c>
      <c r="C21178" s="3">
        <v>0.3300462962962963</v>
      </c>
      <c r="D21178" s="1">
        <v>12.987389</v>
      </c>
      <c r="E21178" s="1">
        <v>80.176088</v>
      </c>
      <c r="F21178" s="1">
        <v>5339.0</v>
      </c>
      <c r="G21178" s="1">
        <v>59.0</v>
      </c>
    </row>
    <row r="21179">
      <c r="A21179" s="1" t="s">
        <v>8</v>
      </c>
      <c r="B21179" s="2">
        <v>44804.0</v>
      </c>
      <c r="C21179" s="3">
        <v>0.33016203703703706</v>
      </c>
      <c r="D21179" s="1">
        <v>12.986485</v>
      </c>
      <c r="E21179" s="1">
        <v>80.174882</v>
      </c>
      <c r="F21179" s="1">
        <v>5339.0</v>
      </c>
      <c r="G21179" s="1">
        <v>57.0</v>
      </c>
    </row>
    <row r="21180">
      <c r="A21180" s="1" t="s">
        <v>7</v>
      </c>
      <c r="B21180" s="2">
        <v>44804.0</v>
      </c>
      <c r="C21180" s="3">
        <v>0.3307175925925926</v>
      </c>
      <c r="D21180" s="1">
        <v>12.983531</v>
      </c>
      <c r="E21180" s="1">
        <v>80.1703</v>
      </c>
      <c r="F21180" s="1">
        <v>5339.0</v>
      </c>
      <c r="G21180" s="1">
        <v>41.0</v>
      </c>
    </row>
    <row r="21181">
      <c r="A21181" s="1" t="s">
        <v>8</v>
      </c>
      <c r="B21181" s="2">
        <v>44804.0</v>
      </c>
      <c r="C21181" s="3">
        <v>0.3308564814814815</v>
      </c>
      <c r="D21181" s="1">
        <v>12.982897</v>
      </c>
      <c r="E21181" s="1">
        <v>80.169257</v>
      </c>
      <c r="F21181" s="1">
        <v>5339.0</v>
      </c>
      <c r="G21181" s="1">
        <v>52.0</v>
      </c>
    </row>
    <row r="21182">
      <c r="A21182" s="1" t="s">
        <v>7</v>
      </c>
      <c r="B21182" s="2">
        <v>44804.0</v>
      </c>
      <c r="C21182" s="3">
        <v>0.3311226851851852</v>
      </c>
      <c r="D21182" s="1">
        <v>12.980864</v>
      </c>
      <c r="E21182" s="1">
        <v>80.165831</v>
      </c>
      <c r="F21182" s="1">
        <v>5339.0</v>
      </c>
      <c r="G21182" s="1">
        <v>50.0</v>
      </c>
    </row>
    <row r="21183">
      <c r="A21183" s="1" t="s">
        <v>8</v>
      </c>
      <c r="B21183" s="2">
        <v>44804.0</v>
      </c>
      <c r="C21183" s="3">
        <v>0.33119212962962963</v>
      </c>
      <c r="D21183" s="1">
        <v>12.980864</v>
      </c>
      <c r="E21183" s="1">
        <v>80.165831</v>
      </c>
      <c r="F21183" s="1">
        <v>5339.0</v>
      </c>
      <c r="G21183" s="1">
        <v>50.0</v>
      </c>
    </row>
    <row r="21184">
      <c r="A21184" s="1" t="s">
        <v>7</v>
      </c>
      <c r="B21184" s="2">
        <v>44804.0</v>
      </c>
      <c r="C21184" s="3">
        <v>0.3320601851851852</v>
      </c>
      <c r="D21184" s="1">
        <v>12.978092</v>
      </c>
      <c r="E21184" s="1">
        <v>80.160323</v>
      </c>
      <c r="F21184" s="1">
        <v>5339.0</v>
      </c>
      <c r="G21184" s="1">
        <v>49.0</v>
      </c>
    </row>
    <row r="21185">
      <c r="A21185" s="1" t="s">
        <v>8</v>
      </c>
      <c r="B21185" s="2">
        <v>44804.0</v>
      </c>
      <c r="C21185" s="3">
        <v>0.33207175925925925</v>
      </c>
      <c r="D21185" s="1">
        <v>12.978092</v>
      </c>
      <c r="E21185" s="1">
        <v>80.160323</v>
      </c>
      <c r="F21185" s="1">
        <v>5339.0</v>
      </c>
      <c r="G21185" s="1">
        <v>49.0</v>
      </c>
    </row>
    <row r="21186">
      <c r="A21186" s="1" t="s">
        <v>7</v>
      </c>
      <c r="B21186" s="2">
        <v>44804.0</v>
      </c>
      <c r="C21186" s="3">
        <v>0.33221064814814816</v>
      </c>
      <c r="D21186" s="1">
        <v>12.977322</v>
      </c>
      <c r="E21186" s="1">
        <v>80.159178</v>
      </c>
      <c r="F21186" s="1">
        <v>5339.0</v>
      </c>
      <c r="G21186" s="1">
        <v>58.0</v>
      </c>
    </row>
    <row r="21187">
      <c r="A21187" s="1" t="s">
        <v>7</v>
      </c>
      <c r="B21187" s="2">
        <v>44804.0</v>
      </c>
      <c r="C21187" s="3">
        <v>0.33247685185185183</v>
      </c>
      <c r="D21187" s="1">
        <v>12.976525</v>
      </c>
      <c r="E21187" s="1">
        <v>80.157933</v>
      </c>
      <c r="F21187" s="1">
        <v>5339.0</v>
      </c>
      <c r="G21187" s="1">
        <v>57.0</v>
      </c>
    </row>
    <row r="21188">
      <c r="A21188" s="1" t="s">
        <v>8</v>
      </c>
      <c r="B21188" s="2">
        <v>44804.0</v>
      </c>
      <c r="C21188" s="3">
        <v>0.33251157407407406</v>
      </c>
      <c r="D21188" s="1">
        <v>12.975714</v>
      </c>
      <c r="E21188" s="1">
        <v>80.156702</v>
      </c>
      <c r="F21188" s="1">
        <v>5339.0</v>
      </c>
      <c r="G21188" s="1">
        <v>58.0</v>
      </c>
    </row>
    <row r="21189">
      <c r="A21189" s="1" t="s">
        <v>7</v>
      </c>
      <c r="B21189" s="2">
        <v>44804.0</v>
      </c>
      <c r="C21189" s="3">
        <v>0.3327893518518519</v>
      </c>
      <c r="D21189" s="1">
        <v>12.973544</v>
      </c>
      <c r="E21189" s="1">
        <v>80.153519</v>
      </c>
      <c r="F21189" s="1">
        <v>5339.0</v>
      </c>
      <c r="G21189" s="1">
        <v>48.0</v>
      </c>
    </row>
    <row r="21190">
      <c r="A21190" s="1" t="s">
        <v>7</v>
      </c>
      <c r="B21190" s="2">
        <v>44804.0</v>
      </c>
      <c r="C21190" s="3">
        <v>0.3328935185185185</v>
      </c>
      <c r="D21190" s="1">
        <v>12.97279</v>
      </c>
      <c r="E21190" s="1">
        <v>80.152379</v>
      </c>
      <c r="F21190" s="1">
        <v>5339.0</v>
      </c>
      <c r="G21190" s="1">
        <v>57.0</v>
      </c>
    </row>
    <row r="21191">
      <c r="A21191" s="1" t="s">
        <v>8</v>
      </c>
      <c r="B21191" s="2">
        <v>44804.0</v>
      </c>
      <c r="C21191" s="3">
        <v>0.3334259259259259</v>
      </c>
      <c r="D21191" s="1">
        <v>12.967132</v>
      </c>
      <c r="E21191" s="1">
        <v>80.149023</v>
      </c>
      <c r="F21191" s="1">
        <v>5339.0</v>
      </c>
      <c r="G21191" s="1">
        <v>34.0</v>
      </c>
    </row>
    <row r="21192">
      <c r="A21192" s="1" t="s">
        <v>10</v>
      </c>
      <c r="B21192" s="2">
        <v>44804.0</v>
      </c>
      <c r="C21192" s="3">
        <v>0.33578703703703705</v>
      </c>
      <c r="D21192" s="1">
        <v>12.937097</v>
      </c>
      <c r="E21192" s="1">
        <v>80.182302</v>
      </c>
      <c r="F21192" s="1">
        <v>3143.0</v>
      </c>
      <c r="G21192" s="1">
        <v>22.0</v>
      </c>
    </row>
    <row r="21193">
      <c r="A21193" s="1" t="s">
        <v>8</v>
      </c>
      <c r="B21193" s="2">
        <v>44804.0</v>
      </c>
      <c r="C21193" s="3">
        <v>0.33587962962962964</v>
      </c>
      <c r="D21193" s="1">
        <v>12.953387</v>
      </c>
      <c r="E21193" s="1">
        <v>80.141708</v>
      </c>
      <c r="F21193" s="1">
        <v>5339.0</v>
      </c>
      <c r="G21193" s="1">
        <v>46.0</v>
      </c>
    </row>
    <row r="21194">
      <c r="A21194" s="1" t="s">
        <v>8</v>
      </c>
      <c r="B21194" s="2">
        <v>44804.0</v>
      </c>
      <c r="C21194" s="3">
        <v>0.336875</v>
      </c>
      <c r="D21194" s="1">
        <v>12.948943</v>
      </c>
      <c r="E21194" s="1">
        <v>80.138285</v>
      </c>
      <c r="F21194" s="1">
        <v>5339.0</v>
      </c>
      <c r="G21194" s="1">
        <v>45.0</v>
      </c>
    </row>
    <row r="21195">
      <c r="A21195" s="1" t="s">
        <v>8</v>
      </c>
      <c r="B21195" s="2">
        <v>44804.0</v>
      </c>
      <c r="C21195" s="3">
        <v>0.3370601851851852</v>
      </c>
      <c r="D21195" s="1">
        <v>12.948009</v>
      </c>
      <c r="E21195" s="1">
        <v>80.137619</v>
      </c>
      <c r="F21195" s="1">
        <v>5339.0</v>
      </c>
      <c r="G21195" s="1">
        <v>43.0</v>
      </c>
    </row>
    <row r="21196">
      <c r="A21196" s="1" t="s">
        <v>8</v>
      </c>
      <c r="B21196" s="2">
        <v>44804.0</v>
      </c>
      <c r="C21196" s="3">
        <v>0.33747685185185183</v>
      </c>
      <c r="D21196" s="1">
        <v>12.944619</v>
      </c>
      <c r="E21196" s="1">
        <v>80.135094</v>
      </c>
      <c r="F21196" s="1">
        <v>5339.0</v>
      </c>
      <c r="G21196" s="1">
        <v>50.0</v>
      </c>
    </row>
    <row r="21197">
      <c r="A21197" s="1" t="s">
        <v>8</v>
      </c>
      <c r="B21197" s="2">
        <v>44804.0</v>
      </c>
      <c r="C21197" s="3">
        <v>0.33836805555555555</v>
      </c>
      <c r="D21197" s="1">
        <v>12.940385</v>
      </c>
      <c r="E21197" s="1">
        <v>80.130957</v>
      </c>
      <c r="F21197" s="1">
        <v>5339.0</v>
      </c>
      <c r="G21197" s="1">
        <v>52.0</v>
      </c>
    </row>
    <row r="21198">
      <c r="A21198" s="1" t="s">
        <v>8</v>
      </c>
      <c r="B21198" s="2">
        <v>44804.0</v>
      </c>
      <c r="C21198" s="3">
        <v>0.33914351851851854</v>
      </c>
      <c r="D21198" s="1">
        <v>12.93566</v>
      </c>
      <c r="E21198" s="1">
        <v>80.12678</v>
      </c>
      <c r="F21198" s="1">
        <v>5339.0</v>
      </c>
      <c r="G21198" s="1">
        <v>33.0</v>
      </c>
    </row>
    <row r="21199">
      <c r="A21199" s="1" t="s">
        <v>8</v>
      </c>
      <c r="B21199" s="2">
        <v>44804.0</v>
      </c>
      <c r="C21199" s="3">
        <v>0.34043981481481483</v>
      </c>
      <c r="D21199" s="1">
        <v>12.919266</v>
      </c>
      <c r="E21199" s="1">
        <v>80.179916</v>
      </c>
      <c r="F21199" s="1">
        <v>3143.0</v>
      </c>
      <c r="G21199" s="1">
        <v>40.0</v>
      </c>
    </row>
    <row r="21200">
      <c r="A21200" s="1" t="s">
        <v>8</v>
      </c>
      <c r="B21200" s="2">
        <v>44804.0</v>
      </c>
      <c r="C21200" s="3">
        <v>0.34052083333333333</v>
      </c>
      <c r="D21200" s="1">
        <v>12.929742</v>
      </c>
      <c r="E21200" s="1">
        <v>80.120948</v>
      </c>
      <c r="F21200" s="1">
        <v>5339.0</v>
      </c>
      <c r="G21200" s="1">
        <v>52.0</v>
      </c>
    </row>
    <row r="21201">
      <c r="A21201" s="1" t="s">
        <v>8</v>
      </c>
      <c r="B21201" s="2">
        <v>44804.0</v>
      </c>
      <c r="C21201" s="3">
        <v>0.3408217592592593</v>
      </c>
      <c r="D21201" s="1">
        <v>12.91836</v>
      </c>
      <c r="E21201" s="1">
        <v>80.176733</v>
      </c>
      <c r="F21201" s="1">
        <v>3143.0</v>
      </c>
      <c r="G21201" s="1">
        <v>40.0</v>
      </c>
    </row>
    <row r="21202">
      <c r="A21202" s="1" t="s">
        <v>7</v>
      </c>
      <c r="B21202" s="2">
        <v>44804.0</v>
      </c>
      <c r="C21202" s="3">
        <v>0.34120370370370373</v>
      </c>
      <c r="D21202" s="1">
        <v>12.924823</v>
      </c>
      <c r="E21202" s="1">
        <v>80.116022</v>
      </c>
      <c r="F21202" s="1">
        <v>5339.0</v>
      </c>
      <c r="G21202" s="1">
        <v>52.0</v>
      </c>
    </row>
    <row r="21203">
      <c r="A21203" s="1" t="s">
        <v>8</v>
      </c>
      <c r="B21203" s="2">
        <v>44804.0</v>
      </c>
      <c r="C21203" s="3">
        <v>0.34131944444444445</v>
      </c>
      <c r="D21203" s="1">
        <v>12.919573</v>
      </c>
      <c r="E21203" s="1">
        <v>80.171908</v>
      </c>
      <c r="F21203" s="1">
        <v>3143.0</v>
      </c>
      <c r="G21203" s="1">
        <v>25.0</v>
      </c>
    </row>
    <row r="21204">
      <c r="A21204" s="1" t="s">
        <v>8</v>
      </c>
      <c r="B21204" s="2">
        <v>44804.0</v>
      </c>
      <c r="C21204" s="3">
        <v>0.3413425925925926</v>
      </c>
      <c r="D21204" s="1">
        <v>12.919573</v>
      </c>
      <c r="E21204" s="1">
        <v>80.171908</v>
      </c>
      <c r="F21204" s="1">
        <v>3143.0</v>
      </c>
      <c r="G21204" s="1">
        <v>25.0</v>
      </c>
    </row>
    <row r="21205">
      <c r="A21205" s="1" t="s">
        <v>7</v>
      </c>
      <c r="B21205" s="2">
        <v>44804.0</v>
      </c>
      <c r="C21205" s="3">
        <v>0.34155092592592595</v>
      </c>
      <c r="D21205" s="1">
        <v>12.921715</v>
      </c>
      <c r="E21205" s="1">
        <v>80.112903</v>
      </c>
      <c r="F21205" s="1">
        <v>5339.0</v>
      </c>
      <c r="G21205" s="1">
        <v>58.0</v>
      </c>
    </row>
    <row r="21206">
      <c r="A21206" s="1" t="s">
        <v>8</v>
      </c>
      <c r="B21206" s="2">
        <v>44804.0</v>
      </c>
      <c r="C21206" s="3">
        <v>0.34164351851851854</v>
      </c>
      <c r="D21206" s="1">
        <v>12.920047</v>
      </c>
      <c r="E21206" s="1">
        <v>80.170302</v>
      </c>
      <c r="F21206" s="1">
        <v>3143.0</v>
      </c>
      <c r="G21206" s="1">
        <v>31.0</v>
      </c>
    </row>
    <row r="21207">
      <c r="A21207" s="1" t="s">
        <v>8</v>
      </c>
      <c r="B21207" s="2">
        <v>44804.0</v>
      </c>
      <c r="C21207" s="3">
        <v>0.3423148148148148</v>
      </c>
      <c r="D21207" s="1">
        <v>12.917135</v>
      </c>
      <c r="E21207" s="1">
        <v>80.107428</v>
      </c>
      <c r="F21207" s="1">
        <v>5339.0</v>
      </c>
      <c r="G21207" s="1">
        <v>20.0</v>
      </c>
    </row>
    <row r="21208">
      <c r="A21208" s="1" t="s">
        <v>8</v>
      </c>
      <c r="B21208" s="2">
        <v>44804.0</v>
      </c>
      <c r="C21208" s="3">
        <v>0.34248842592592593</v>
      </c>
      <c r="D21208" s="1">
        <v>12.916378</v>
      </c>
      <c r="E21208" s="1">
        <v>80.106036</v>
      </c>
      <c r="F21208" s="1">
        <v>5339.0</v>
      </c>
      <c r="G21208" s="1">
        <v>47.0</v>
      </c>
    </row>
    <row r="21209">
      <c r="A21209" s="1" t="s">
        <v>8</v>
      </c>
      <c r="B21209" s="2">
        <v>44804.0</v>
      </c>
      <c r="C21209" s="3">
        <v>0.3428935185185185</v>
      </c>
      <c r="D21209" s="1">
        <v>12.914682</v>
      </c>
      <c r="E21209" s="1">
        <v>80.102933</v>
      </c>
      <c r="F21209" s="1">
        <v>5339.0</v>
      </c>
      <c r="G21209" s="1">
        <v>42.0</v>
      </c>
    </row>
    <row r="21210">
      <c r="A21210" s="1" t="s">
        <v>8</v>
      </c>
      <c r="B21210" s="2">
        <v>44804.0</v>
      </c>
      <c r="C21210" s="3">
        <v>0.34326388888888887</v>
      </c>
      <c r="D21210" s="1">
        <v>12.911857</v>
      </c>
      <c r="E21210" s="1">
        <v>80.101441</v>
      </c>
      <c r="F21210" s="1">
        <v>5339.0</v>
      </c>
      <c r="G21210" s="1">
        <v>26.0</v>
      </c>
    </row>
    <row r="21211">
      <c r="A21211" s="1" t="s">
        <v>8</v>
      </c>
      <c r="B21211" s="2">
        <v>44804.0</v>
      </c>
      <c r="C21211" s="3">
        <v>0.3461342592592593</v>
      </c>
      <c r="D21211" s="1">
        <v>12.922413</v>
      </c>
      <c r="E21211" s="1">
        <v>80.142564</v>
      </c>
      <c r="F21211" s="1">
        <v>3143.0</v>
      </c>
      <c r="G21211" s="1">
        <v>22.0</v>
      </c>
    </row>
    <row r="21212">
      <c r="A21212" s="1" t="s">
        <v>9</v>
      </c>
      <c r="B21212" s="2">
        <v>44804.0</v>
      </c>
      <c r="C21212" s="3">
        <v>0.34651620370370373</v>
      </c>
      <c r="D21212" s="1">
        <v>12.922392</v>
      </c>
      <c r="E21212" s="1">
        <v>80.140597</v>
      </c>
      <c r="F21212" s="1">
        <v>3143.0</v>
      </c>
      <c r="G21212" s="1">
        <v>17.0</v>
      </c>
    </row>
    <row r="21213">
      <c r="A21213" s="1" t="s">
        <v>7</v>
      </c>
      <c r="B21213" s="2">
        <v>44804.0</v>
      </c>
      <c r="C21213" s="3">
        <v>0.3478819444444444</v>
      </c>
      <c r="D21213" s="1">
        <v>12.894582</v>
      </c>
      <c r="E21213" s="1">
        <v>80.087457</v>
      </c>
      <c r="F21213" s="1">
        <v>5339.0</v>
      </c>
      <c r="G21213" s="1">
        <v>51.0</v>
      </c>
    </row>
    <row r="21214">
      <c r="A21214" s="1" t="s">
        <v>7</v>
      </c>
      <c r="B21214" s="2">
        <v>44804.0</v>
      </c>
      <c r="C21214" s="3">
        <v>0.34837962962962965</v>
      </c>
      <c r="D21214" s="1">
        <v>12.88932</v>
      </c>
      <c r="E21214" s="1">
        <v>80.084288</v>
      </c>
      <c r="F21214" s="1">
        <v>5339.0</v>
      </c>
      <c r="G21214" s="1">
        <v>55.0</v>
      </c>
    </row>
    <row r="21215">
      <c r="A21215" s="1" t="s">
        <v>8</v>
      </c>
      <c r="B21215" s="2">
        <v>44804.0</v>
      </c>
      <c r="C21215" s="3">
        <v>0.3484837962962963</v>
      </c>
      <c r="D21215" s="1">
        <v>12.887948</v>
      </c>
      <c r="E21215" s="1">
        <v>80.083753</v>
      </c>
      <c r="F21215" s="1">
        <v>5339.0</v>
      </c>
      <c r="G21215" s="1">
        <v>58.0</v>
      </c>
    </row>
    <row r="21216">
      <c r="A21216" s="1" t="s">
        <v>8</v>
      </c>
      <c r="B21216" s="2">
        <v>44804.0</v>
      </c>
      <c r="C21216" s="3">
        <v>0.3487152777777778</v>
      </c>
      <c r="D21216" s="1">
        <v>12.885248</v>
      </c>
      <c r="E21216" s="1">
        <v>80.082653</v>
      </c>
      <c r="F21216" s="1">
        <v>5339.0</v>
      </c>
      <c r="G21216" s="1">
        <v>56.0</v>
      </c>
    </row>
    <row r="21217">
      <c r="A21217" s="1" t="s">
        <v>7</v>
      </c>
      <c r="B21217" s="2">
        <v>44804.0</v>
      </c>
      <c r="C21217" s="3">
        <v>0.3489583333333333</v>
      </c>
      <c r="D21217" s="1">
        <v>12.882806</v>
      </c>
      <c r="E21217" s="1">
        <v>80.081767</v>
      </c>
      <c r="F21217" s="1">
        <v>5339.0</v>
      </c>
      <c r="G21217" s="1">
        <v>54.0</v>
      </c>
    </row>
    <row r="21218">
      <c r="A21218" s="1" t="s">
        <v>8</v>
      </c>
      <c r="B21218" s="2">
        <v>44804.0</v>
      </c>
      <c r="C21218" s="3">
        <v>0.3491087962962963</v>
      </c>
      <c r="D21218" s="1">
        <v>12.881679</v>
      </c>
      <c r="E21218" s="1">
        <v>80.081306</v>
      </c>
      <c r="F21218" s="1">
        <v>5339.0</v>
      </c>
      <c r="G21218" s="1">
        <v>46.0</v>
      </c>
    </row>
    <row r="21219">
      <c r="A21219" s="1" t="s">
        <v>8</v>
      </c>
      <c r="B21219" s="2">
        <v>44804.0</v>
      </c>
      <c r="C21219" s="3">
        <v>0.3492476851851852</v>
      </c>
      <c r="D21219" s="1">
        <v>12.880541</v>
      </c>
      <c r="E21219" s="1">
        <v>80.080817</v>
      </c>
      <c r="F21219" s="1">
        <v>5339.0</v>
      </c>
      <c r="G21219" s="1">
        <v>51.0</v>
      </c>
    </row>
    <row r="21220">
      <c r="A21220" s="1" t="s">
        <v>8</v>
      </c>
      <c r="B21220" s="2">
        <v>44804.0</v>
      </c>
      <c r="C21220" s="3">
        <v>0.34975694444444444</v>
      </c>
      <c r="D21220" s="1">
        <v>12.878434</v>
      </c>
      <c r="E21220" s="1">
        <v>80.082275</v>
      </c>
      <c r="F21220" s="1">
        <v>5339.0</v>
      </c>
      <c r="G21220" s="1">
        <v>44.0</v>
      </c>
    </row>
    <row r="21221">
      <c r="A21221" s="1" t="s">
        <v>7</v>
      </c>
      <c r="B21221" s="2">
        <v>44804.0</v>
      </c>
      <c r="C21221" s="3">
        <v>0.34997685185185184</v>
      </c>
      <c r="D21221" s="1">
        <v>12.923263</v>
      </c>
      <c r="E21221" s="1">
        <v>80.120547</v>
      </c>
      <c r="F21221" s="1">
        <v>3143.0</v>
      </c>
      <c r="G21221" s="1">
        <v>0.0</v>
      </c>
    </row>
    <row r="21222">
      <c r="A21222" s="1" t="s">
        <v>7</v>
      </c>
      <c r="B21222" s="2">
        <v>44804.0</v>
      </c>
      <c r="C21222" s="3">
        <v>0.3510185185185185</v>
      </c>
      <c r="D21222" s="1">
        <v>12.921786</v>
      </c>
      <c r="E21222" s="1">
        <v>80.113172</v>
      </c>
      <c r="F21222" s="1">
        <v>3143.0</v>
      </c>
      <c r="G21222" s="1">
        <v>42.0</v>
      </c>
    </row>
    <row r="21223">
      <c r="A21223" s="1" t="s">
        <v>7</v>
      </c>
      <c r="B21223" s="2">
        <v>44804.0</v>
      </c>
      <c r="C21223" s="3">
        <v>0.35107638888888887</v>
      </c>
      <c r="D21223" s="1">
        <v>12.921786</v>
      </c>
      <c r="E21223" s="1">
        <v>80.113172</v>
      </c>
      <c r="F21223" s="1">
        <v>3143.0</v>
      </c>
      <c r="G21223" s="1">
        <v>42.0</v>
      </c>
    </row>
    <row r="21224">
      <c r="A21224" s="1" t="s">
        <v>7</v>
      </c>
      <c r="B21224" s="2">
        <v>44804.0</v>
      </c>
      <c r="C21224" s="3">
        <v>0.3511458333333333</v>
      </c>
      <c r="D21224" s="1">
        <v>12.920379</v>
      </c>
      <c r="E21224" s="1">
        <v>80.111605</v>
      </c>
      <c r="F21224" s="1">
        <v>3143.0</v>
      </c>
      <c r="G21224" s="1">
        <v>58.0</v>
      </c>
    </row>
    <row r="21225">
      <c r="A21225" s="1" t="s">
        <v>8</v>
      </c>
      <c r="B21225" s="2">
        <v>44804.0</v>
      </c>
      <c r="C21225" s="3">
        <v>0.35116898148148146</v>
      </c>
      <c r="D21225" s="1">
        <v>12.920379</v>
      </c>
      <c r="E21225" s="1">
        <v>80.111605</v>
      </c>
      <c r="F21225" s="1">
        <v>3143.0</v>
      </c>
      <c r="G21225" s="1">
        <v>58.0</v>
      </c>
    </row>
    <row r="21226">
      <c r="A21226" s="1" t="s">
        <v>8</v>
      </c>
      <c r="B21226" s="2">
        <v>44804.0</v>
      </c>
      <c r="C21226" s="3">
        <v>0.3524421296296296</v>
      </c>
      <c r="D21226" s="1">
        <v>12.915679</v>
      </c>
      <c r="E21226" s="1">
        <v>80.104792</v>
      </c>
      <c r="F21226" s="1">
        <v>3143.0</v>
      </c>
      <c r="G21226" s="1">
        <v>55.0</v>
      </c>
    </row>
    <row r="21227">
      <c r="A21227" s="1" t="s">
        <v>7</v>
      </c>
      <c r="B21227" s="2">
        <v>44804.0</v>
      </c>
      <c r="C21227" s="3">
        <v>0.35282407407407407</v>
      </c>
      <c r="D21227" s="1">
        <v>12.912965</v>
      </c>
      <c r="E21227" s="1">
        <v>80.101588</v>
      </c>
      <c r="F21227" s="1">
        <v>3143.0</v>
      </c>
      <c r="G21227" s="1">
        <v>43.0</v>
      </c>
    </row>
    <row r="21228">
      <c r="A21228" s="1" t="s">
        <v>8</v>
      </c>
      <c r="B21228" s="2">
        <v>44804.0</v>
      </c>
      <c r="C21228" s="3">
        <v>0.3534143518518518</v>
      </c>
      <c r="D21228" s="1">
        <v>12.909345</v>
      </c>
      <c r="E21228" s="1">
        <v>80.099412</v>
      </c>
      <c r="F21228" s="1">
        <v>3143.0</v>
      </c>
      <c r="G21228" s="1">
        <v>0.0</v>
      </c>
    </row>
    <row r="21229">
      <c r="A21229" s="1" t="s">
        <v>9</v>
      </c>
      <c r="B21229" s="2">
        <v>44804.0</v>
      </c>
      <c r="C21229" s="3">
        <v>0.35354166666666664</v>
      </c>
      <c r="D21229" s="1">
        <v>12.909057</v>
      </c>
      <c r="E21229" s="1">
        <v>80.098864</v>
      </c>
      <c r="F21229" s="1">
        <v>3143.0</v>
      </c>
      <c r="G21229" s="1">
        <v>21.0</v>
      </c>
    </row>
    <row r="21230">
      <c r="A21230" s="1" t="s">
        <v>8</v>
      </c>
      <c r="B21230" s="2">
        <v>44804.0</v>
      </c>
      <c r="C21230" s="3">
        <v>0.35369212962962965</v>
      </c>
      <c r="D21230" s="1">
        <v>12.908258</v>
      </c>
      <c r="E21230" s="1">
        <v>80.097924</v>
      </c>
      <c r="F21230" s="1">
        <v>3143.0</v>
      </c>
      <c r="G21230" s="1">
        <v>32.0</v>
      </c>
    </row>
    <row r="21231">
      <c r="A21231" s="1" t="s">
        <v>8</v>
      </c>
      <c r="B21231" s="2">
        <v>44804.0</v>
      </c>
      <c r="C21231" s="3">
        <v>0.3551388888888889</v>
      </c>
      <c r="D21231" s="1">
        <v>12.902948</v>
      </c>
      <c r="E21231" s="1">
        <v>80.093785</v>
      </c>
      <c r="F21231" s="1">
        <v>3143.0</v>
      </c>
      <c r="G21231" s="1">
        <v>46.0</v>
      </c>
    </row>
    <row r="21232">
      <c r="A21232" s="1" t="s">
        <v>8</v>
      </c>
      <c r="B21232" s="2">
        <v>44804.0</v>
      </c>
      <c r="C21232" s="3">
        <v>0.3553935185185185</v>
      </c>
      <c r="D21232" s="1">
        <v>12.901463</v>
      </c>
      <c r="E21232" s="1">
        <v>80.092644</v>
      </c>
      <c r="F21232" s="1">
        <v>3143.0</v>
      </c>
      <c r="G21232" s="1">
        <v>44.0</v>
      </c>
    </row>
    <row r="21233">
      <c r="A21233" s="1" t="s">
        <v>8</v>
      </c>
      <c r="B21233" s="2">
        <v>44804.0</v>
      </c>
      <c r="C21233" s="3">
        <v>0.35682870370370373</v>
      </c>
      <c r="D21233" s="1">
        <v>12.897559</v>
      </c>
      <c r="E21233" s="1">
        <v>80.089692</v>
      </c>
      <c r="F21233" s="1">
        <v>3143.0</v>
      </c>
      <c r="G21233" s="1">
        <v>8.0</v>
      </c>
    </row>
    <row r="21234">
      <c r="A21234" s="1" t="s">
        <v>8</v>
      </c>
      <c r="B21234" s="2">
        <v>44804.0</v>
      </c>
      <c r="C21234" s="3">
        <v>0.3569212962962963</v>
      </c>
      <c r="D21234" s="1">
        <v>12.896947</v>
      </c>
      <c r="E21234" s="1">
        <v>80.089232</v>
      </c>
      <c r="F21234" s="1">
        <v>3143.0</v>
      </c>
      <c r="G21234" s="1">
        <v>29.0</v>
      </c>
    </row>
    <row r="21235">
      <c r="A21235" s="1" t="s">
        <v>8</v>
      </c>
      <c r="B21235" s="2">
        <v>44804.0</v>
      </c>
      <c r="C21235" s="3">
        <v>0.35737268518518517</v>
      </c>
      <c r="D21235" s="1">
        <v>12.894391</v>
      </c>
      <c r="E21235" s="1">
        <v>80.087305</v>
      </c>
      <c r="F21235" s="1">
        <v>3143.0</v>
      </c>
      <c r="G21235" s="1">
        <v>52.0</v>
      </c>
    </row>
    <row r="21236">
      <c r="A21236" s="1" t="s">
        <v>7</v>
      </c>
      <c r="B21236" s="2">
        <v>44804.0</v>
      </c>
      <c r="C21236" s="3">
        <v>0.357650462962963</v>
      </c>
      <c r="D21236" s="1">
        <v>12.890628</v>
      </c>
      <c r="E21236" s="1">
        <v>80.084883</v>
      </c>
      <c r="F21236" s="1">
        <v>3143.0</v>
      </c>
      <c r="G21236" s="1">
        <v>57.0</v>
      </c>
    </row>
    <row r="21237">
      <c r="A21237" s="1" t="s">
        <v>8</v>
      </c>
      <c r="B21237" s="2">
        <v>44804.0</v>
      </c>
      <c r="C21237" s="3">
        <v>0.35814814814814816</v>
      </c>
      <c r="D21237" s="1">
        <v>12.886458</v>
      </c>
      <c r="E21237" s="1">
        <v>80.083178</v>
      </c>
      <c r="F21237" s="1">
        <v>3143.0</v>
      </c>
      <c r="G21237" s="1">
        <v>56.0</v>
      </c>
    </row>
    <row r="21238">
      <c r="A21238" s="1" t="s">
        <v>9</v>
      </c>
      <c r="B21238" s="2">
        <v>44804.0</v>
      </c>
      <c r="C21238" s="3">
        <v>0.3584375</v>
      </c>
      <c r="D21238" s="1">
        <v>12.882956</v>
      </c>
      <c r="E21238" s="1">
        <v>80.081853</v>
      </c>
      <c r="F21238" s="1">
        <v>3143.0</v>
      </c>
      <c r="G21238" s="1">
        <v>40.0</v>
      </c>
    </row>
    <row r="21239">
      <c r="A21239" s="1" t="s">
        <v>8</v>
      </c>
      <c r="B21239" s="2">
        <v>44804.0</v>
      </c>
      <c r="C21239" s="3">
        <v>0.359375</v>
      </c>
      <c r="D21239" s="1">
        <v>12.879078</v>
      </c>
      <c r="E21239" s="1">
        <v>80.080399</v>
      </c>
      <c r="F21239" s="1">
        <v>3143.0</v>
      </c>
      <c r="G21239" s="1">
        <v>3.0</v>
      </c>
    </row>
    <row r="21240">
      <c r="A21240" s="1" t="s">
        <v>8</v>
      </c>
      <c r="B21240" s="2">
        <v>44804.0</v>
      </c>
      <c r="C21240" s="3">
        <v>0.3594097222222222</v>
      </c>
      <c r="D21240" s="1">
        <v>12.879078</v>
      </c>
      <c r="E21240" s="1">
        <v>80.080399</v>
      </c>
      <c r="F21240" s="1">
        <v>3143.0</v>
      </c>
      <c r="G21240" s="1">
        <v>3.0</v>
      </c>
    </row>
    <row r="21241">
      <c r="A21241" s="1" t="s">
        <v>8</v>
      </c>
      <c r="B21241" s="2">
        <v>44804.0</v>
      </c>
      <c r="C21241" s="3">
        <v>0.692337962962963</v>
      </c>
      <c r="D21241" s="1">
        <v>12.888512</v>
      </c>
      <c r="E21241" s="1">
        <v>80.083829</v>
      </c>
      <c r="F21241" s="1">
        <v>5339.0</v>
      </c>
      <c r="G21241" s="1">
        <v>47.0</v>
      </c>
    </row>
    <row r="21242">
      <c r="A21242" s="1" t="s">
        <v>8</v>
      </c>
      <c r="B21242" s="2">
        <v>44804.0</v>
      </c>
      <c r="C21242" s="3">
        <v>0.692488425925926</v>
      </c>
      <c r="D21242" s="1">
        <v>12.889664</v>
      </c>
      <c r="E21242" s="1">
        <v>80.084294</v>
      </c>
      <c r="F21242" s="1">
        <v>5339.0</v>
      </c>
      <c r="G21242" s="1">
        <v>49.0</v>
      </c>
    </row>
    <row r="21243">
      <c r="A21243" s="1" t="s">
        <v>8</v>
      </c>
      <c r="B21243" s="2">
        <v>44804.0</v>
      </c>
      <c r="C21243" s="3">
        <v>0.6929513888888889</v>
      </c>
      <c r="D21243" s="1">
        <v>12.892988</v>
      </c>
      <c r="E21243" s="1">
        <v>80.08607</v>
      </c>
      <c r="F21243" s="1">
        <v>5339.0</v>
      </c>
      <c r="G21243" s="1">
        <v>43.0</v>
      </c>
    </row>
    <row r="21244">
      <c r="A21244" s="1" t="s">
        <v>8</v>
      </c>
      <c r="B21244" s="2">
        <v>44804.0</v>
      </c>
      <c r="C21244" s="3">
        <v>0.6934259259259259</v>
      </c>
      <c r="D21244" s="1">
        <v>12.896976</v>
      </c>
      <c r="E21244" s="1">
        <v>80.08909</v>
      </c>
      <c r="F21244" s="1">
        <v>5339.0</v>
      </c>
      <c r="G21244" s="1">
        <v>48.0</v>
      </c>
    </row>
    <row r="21245">
      <c r="A21245" s="1" t="s">
        <v>8</v>
      </c>
      <c r="B21245" s="2">
        <v>44804.0</v>
      </c>
      <c r="C21245" s="3">
        <v>0.6940277777777778</v>
      </c>
      <c r="D21245" s="1">
        <v>12.902216</v>
      </c>
      <c r="E21245" s="1">
        <v>80.093013</v>
      </c>
      <c r="F21245" s="1">
        <v>5339.0</v>
      </c>
      <c r="G21245" s="1">
        <v>52.0</v>
      </c>
    </row>
    <row r="21246">
      <c r="A21246" s="1" t="s">
        <v>9</v>
      </c>
      <c r="B21246" s="2">
        <v>44804.0</v>
      </c>
      <c r="C21246" s="3">
        <v>0.6944212962962963</v>
      </c>
      <c r="D21246" s="1">
        <v>12.9057</v>
      </c>
      <c r="E21246" s="1">
        <v>80.095599</v>
      </c>
      <c r="F21246" s="1">
        <v>5339.0</v>
      </c>
      <c r="G21246" s="1">
        <v>49.0</v>
      </c>
    </row>
    <row r="21247">
      <c r="A21247" s="1" t="s">
        <v>8</v>
      </c>
      <c r="B21247" s="2">
        <v>44804.0</v>
      </c>
      <c r="C21247" s="3">
        <v>0.6967361111111111</v>
      </c>
      <c r="D21247" s="1">
        <v>12.915744</v>
      </c>
      <c r="E21247" s="1">
        <v>80.103714</v>
      </c>
      <c r="F21247" s="1">
        <v>5339.0</v>
      </c>
      <c r="G21247" s="1">
        <v>45.0</v>
      </c>
    </row>
    <row r="21248">
      <c r="A21248" s="1" t="s">
        <v>8</v>
      </c>
      <c r="B21248" s="2">
        <v>44804.0</v>
      </c>
      <c r="C21248" s="3">
        <v>0.6969560185185185</v>
      </c>
      <c r="D21248" s="1">
        <v>12.916402</v>
      </c>
      <c r="E21248" s="1">
        <v>80.105901</v>
      </c>
      <c r="F21248" s="1">
        <v>5339.0</v>
      </c>
      <c r="G21248" s="1">
        <v>44.0</v>
      </c>
    </row>
    <row r="21249">
      <c r="A21249" s="1" t="s">
        <v>8</v>
      </c>
      <c r="B21249" s="2">
        <v>44804.0</v>
      </c>
      <c r="C21249" s="3">
        <v>0.6977430555555556</v>
      </c>
      <c r="D21249" s="1">
        <v>12.918323</v>
      </c>
      <c r="E21249" s="1">
        <v>80.108865</v>
      </c>
      <c r="F21249" s="1">
        <v>5339.0</v>
      </c>
      <c r="G21249" s="1">
        <v>42.0</v>
      </c>
    </row>
    <row r="21250">
      <c r="A21250" s="1" t="s">
        <v>7</v>
      </c>
      <c r="B21250" s="2">
        <v>44804.0</v>
      </c>
      <c r="C21250" s="3">
        <v>0.6980092592592593</v>
      </c>
      <c r="D21250" s="1">
        <v>12.919795</v>
      </c>
      <c r="E21250" s="1">
        <v>80.110728</v>
      </c>
      <c r="F21250" s="1">
        <v>5339.0</v>
      </c>
      <c r="G21250" s="1">
        <v>49.0</v>
      </c>
    </row>
    <row r="21251">
      <c r="A21251" s="1" t="s">
        <v>8</v>
      </c>
      <c r="B21251" s="2">
        <v>44804.0</v>
      </c>
      <c r="C21251" s="3">
        <v>0.7029050925925926</v>
      </c>
      <c r="D21251" s="1">
        <v>12.939495</v>
      </c>
      <c r="E21251" s="1">
        <v>80.12997</v>
      </c>
      <c r="F21251" s="1">
        <v>5339.0</v>
      </c>
      <c r="G21251" s="1">
        <v>51.0</v>
      </c>
    </row>
    <row r="21252">
      <c r="A21252" s="1" t="s">
        <v>7</v>
      </c>
      <c r="B21252" s="2">
        <v>44804.0</v>
      </c>
      <c r="C21252" s="3">
        <v>0.7031481481481482</v>
      </c>
      <c r="D21252" s="1">
        <v>12.941484</v>
      </c>
      <c r="E21252" s="1">
        <v>80.131926</v>
      </c>
      <c r="F21252" s="1">
        <v>5339.0</v>
      </c>
      <c r="G21252" s="1">
        <v>53.0</v>
      </c>
    </row>
    <row r="21253">
      <c r="A21253" s="1" t="s">
        <v>8</v>
      </c>
      <c r="B21253" s="2">
        <v>44804.0</v>
      </c>
      <c r="C21253" s="3">
        <v>0.7031944444444445</v>
      </c>
      <c r="D21253" s="1">
        <v>12.9424</v>
      </c>
      <c r="E21253" s="1">
        <v>80.132897</v>
      </c>
      <c r="F21253" s="1">
        <v>5339.0</v>
      </c>
      <c r="G21253" s="1">
        <v>49.0</v>
      </c>
    </row>
    <row r="21254">
      <c r="A21254" s="1" t="s">
        <v>8</v>
      </c>
      <c r="B21254" s="2">
        <v>44804.0</v>
      </c>
      <c r="C21254" s="3">
        <v>0.7033101851851852</v>
      </c>
      <c r="D21254" s="1">
        <v>12.942935</v>
      </c>
      <c r="E21254" s="1">
        <v>80.133481</v>
      </c>
      <c r="F21254" s="1">
        <v>5339.0</v>
      </c>
      <c r="G21254" s="1">
        <v>26.0</v>
      </c>
    </row>
    <row r="21255">
      <c r="A21255" s="1" t="s">
        <v>8</v>
      </c>
      <c r="B21255" s="2">
        <v>44804.0</v>
      </c>
      <c r="C21255" s="3">
        <v>0.7033217592592592</v>
      </c>
      <c r="D21255" s="1">
        <v>12.942935</v>
      </c>
      <c r="E21255" s="1">
        <v>80.133481</v>
      </c>
      <c r="F21255" s="1">
        <v>5339.0</v>
      </c>
      <c r="G21255" s="1">
        <v>26.0</v>
      </c>
    </row>
    <row r="21256">
      <c r="A21256" s="1" t="s">
        <v>8</v>
      </c>
      <c r="B21256" s="2">
        <v>44804.0</v>
      </c>
      <c r="C21256" s="3">
        <v>0.7043634259259259</v>
      </c>
      <c r="D21256" s="1">
        <v>12.950273</v>
      </c>
      <c r="E21256" s="1">
        <v>80.139306</v>
      </c>
      <c r="F21256" s="1">
        <v>5339.0</v>
      </c>
      <c r="G21256" s="1">
        <v>36.0</v>
      </c>
    </row>
    <row r="21257">
      <c r="A21257" s="1" t="s">
        <v>8</v>
      </c>
      <c r="B21257" s="2">
        <v>44804.0</v>
      </c>
      <c r="C21257" s="3">
        <v>0.7049884259259259</v>
      </c>
      <c r="D21257" s="1">
        <v>12.953182</v>
      </c>
      <c r="E21257" s="1">
        <v>80.141496</v>
      </c>
      <c r="F21257" s="1">
        <v>5339.0</v>
      </c>
      <c r="G21257" s="1">
        <v>36.0</v>
      </c>
    </row>
    <row r="21258">
      <c r="A21258" s="1" t="s">
        <v>8</v>
      </c>
      <c r="B21258" s="2">
        <v>44804.0</v>
      </c>
      <c r="C21258" s="3">
        <v>0.705625</v>
      </c>
      <c r="D21258" s="1">
        <v>12.956718</v>
      </c>
      <c r="E21258" s="1">
        <v>80.143394</v>
      </c>
      <c r="F21258" s="1">
        <v>5339.0</v>
      </c>
      <c r="G21258" s="1">
        <v>26.0</v>
      </c>
    </row>
    <row r="21259">
      <c r="A21259" s="1" t="s">
        <v>8</v>
      </c>
      <c r="B21259" s="2">
        <v>44804.0</v>
      </c>
      <c r="C21259" s="3">
        <v>0.7056365740740741</v>
      </c>
      <c r="D21259" s="1">
        <v>12.956718</v>
      </c>
      <c r="E21259" s="1">
        <v>80.143394</v>
      </c>
      <c r="F21259" s="1">
        <v>5339.0</v>
      </c>
      <c r="G21259" s="1">
        <v>26.0</v>
      </c>
    </row>
    <row r="21260">
      <c r="A21260" s="1" t="s">
        <v>8</v>
      </c>
      <c r="B21260" s="2">
        <v>44804.0</v>
      </c>
      <c r="C21260" s="3">
        <v>0.7071643518518519</v>
      </c>
      <c r="D21260" s="1">
        <v>12.962504</v>
      </c>
      <c r="E21260" s="1">
        <v>80.146471</v>
      </c>
      <c r="F21260" s="1">
        <v>5339.0</v>
      </c>
      <c r="G21260" s="1">
        <v>32.0</v>
      </c>
    </row>
    <row r="21261">
      <c r="A21261" s="1" t="s">
        <v>8</v>
      </c>
      <c r="B21261" s="2">
        <v>44804.0</v>
      </c>
      <c r="C21261" s="3">
        <v>0.7073263888888889</v>
      </c>
      <c r="D21261" s="1">
        <v>12.963251</v>
      </c>
      <c r="E21261" s="1">
        <v>80.146874</v>
      </c>
      <c r="F21261" s="1">
        <v>5339.0</v>
      </c>
      <c r="G21261" s="1">
        <v>33.0</v>
      </c>
    </row>
    <row r="21262">
      <c r="A21262" s="1" t="s">
        <v>8</v>
      </c>
      <c r="B21262" s="2">
        <v>44804.0</v>
      </c>
      <c r="C21262" s="3">
        <v>0.7073958333333333</v>
      </c>
      <c r="D21262" s="1">
        <v>12.964026</v>
      </c>
      <c r="E21262" s="1">
        <v>80.147308</v>
      </c>
      <c r="F21262" s="1">
        <v>5339.0</v>
      </c>
      <c r="G21262" s="1">
        <v>34.0</v>
      </c>
    </row>
    <row r="21263">
      <c r="A21263" s="1" t="s">
        <v>8</v>
      </c>
      <c r="B21263" s="2">
        <v>44804.0</v>
      </c>
      <c r="C21263" s="3">
        <v>0.7075462962962963</v>
      </c>
      <c r="D21263" s="1">
        <v>12.964684</v>
      </c>
      <c r="E21263" s="1">
        <v>80.147689</v>
      </c>
      <c r="F21263" s="1">
        <v>5339.0</v>
      </c>
      <c r="G21263" s="1">
        <v>26.0</v>
      </c>
    </row>
    <row r="21264">
      <c r="A21264" s="1" t="s">
        <v>8</v>
      </c>
      <c r="B21264" s="2">
        <v>44804.0</v>
      </c>
      <c r="C21264" s="3">
        <v>0.7080671296296296</v>
      </c>
      <c r="D21264" s="1">
        <v>12.969178</v>
      </c>
      <c r="E21264" s="1">
        <v>80.149989</v>
      </c>
      <c r="F21264" s="1">
        <v>5339.0</v>
      </c>
      <c r="G21264" s="1">
        <v>56.0</v>
      </c>
    </row>
    <row r="21265">
      <c r="A21265" s="1" t="s">
        <v>7</v>
      </c>
      <c r="B21265" s="2">
        <v>44804.0</v>
      </c>
      <c r="C21265" s="3">
        <v>0.7083449074074074</v>
      </c>
      <c r="D21265" s="1">
        <v>12.971823</v>
      </c>
      <c r="E21265" s="1">
        <v>80.15127</v>
      </c>
      <c r="F21265" s="1">
        <v>5339.0</v>
      </c>
      <c r="G21265" s="1">
        <v>58.0</v>
      </c>
    </row>
    <row r="21266">
      <c r="A21266" s="1" t="s">
        <v>8</v>
      </c>
      <c r="B21266" s="2">
        <v>44804.0</v>
      </c>
      <c r="C21266" s="3">
        <v>0.7084722222222222</v>
      </c>
      <c r="D21266" s="1">
        <v>12.972824</v>
      </c>
      <c r="E21266" s="1">
        <v>80.152337</v>
      </c>
      <c r="F21266" s="1">
        <v>5339.0</v>
      </c>
      <c r="G21266" s="1">
        <v>58.0</v>
      </c>
    </row>
    <row r="21267">
      <c r="A21267" s="1" t="s">
        <v>7</v>
      </c>
      <c r="B21267" s="2">
        <v>44804.0</v>
      </c>
      <c r="C21267" s="3">
        <v>0.7086458333333333</v>
      </c>
      <c r="D21267" s="1">
        <v>12.974508</v>
      </c>
      <c r="E21267" s="1">
        <v>80.154793</v>
      </c>
      <c r="F21267" s="1">
        <v>5339.0</v>
      </c>
      <c r="G21267" s="1">
        <v>61.0</v>
      </c>
    </row>
    <row r="21268">
      <c r="A21268" s="1" t="s">
        <v>8</v>
      </c>
      <c r="B21268" s="2">
        <v>44804.0</v>
      </c>
      <c r="C21268" s="3">
        <v>0.7087152777777778</v>
      </c>
      <c r="D21268" s="1">
        <v>12.974508</v>
      </c>
      <c r="E21268" s="1">
        <v>80.154793</v>
      </c>
      <c r="F21268" s="1">
        <v>5339.0</v>
      </c>
      <c r="G21268" s="1">
        <v>61.0</v>
      </c>
    </row>
    <row r="21269">
      <c r="A21269" s="1" t="s">
        <v>8</v>
      </c>
      <c r="B21269" s="2">
        <v>44804.0</v>
      </c>
      <c r="C21269" s="3">
        <v>0.7089120370370371</v>
      </c>
      <c r="D21269" s="1">
        <v>12.976128</v>
      </c>
      <c r="E21269" s="1">
        <v>80.157134</v>
      </c>
      <c r="F21269" s="1">
        <v>5339.0</v>
      </c>
      <c r="G21269" s="1">
        <v>44.0</v>
      </c>
    </row>
    <row r="21270">
      <c r="A21270" s="1" t="s">
        <v>7</v>
      </c>
      <c r="B21270" s="2">
        <v>44804.0</v>
      </c>
      <c r="C21270" s="3">
        <v>0.7093287037037037</v>
      </c>
      <c r="D21270" s="1">
        <v>12.979002</v>
      </c>
      <c r="E21270" s="1">
        <v>80.161363</v>
      </c>
      <c r="F21270" s="1">
        <v>5339.0</v>
      </c>
      <c r="G21270" s="1">
        <v>54.0</v>
      </c>
    </row>
    <row r="21271">
      <c r="A21271" s="1" t="s">
        <v>8</v>
      </c>
      <c r="B21271" s="2">
        <v>44804.0</v>
      </c>
      <c r="C21271" s="3">
        <v>0.7095833333333333</v>
      </c>
      <c r="D21271" s="1">
        <v>12.980235</v>
      </c>
      <c r="E21271" s="1">
        <v>80.1638</v>
      </c>
      <c r="F21271" s="1">
        <v>5339.0</v>
      </c>
      <c r="G21271" s="1">
        <v>53.0</v>
      </c>
    </row>
    <row r="21272">
      <c r="A21272" s="1" t="s">
        <v>7</v>
      </c>
      <c r="B21272" s="2">
        <v>44804.0</v>
      </c>
      <c r="C21272" s="3">
        <v>0.7099537037037037</v>
      </c>
      <c r="D21272" s="1">
        <v>12.980646</v>
      </c>
      <c r="E21272" s="1">
        <v>80.165069</v>
      </c>
      <c r="F21272" s="1">
        <v>5339.0</v>
      </c>
      <c r="G21272" s="1">
        <v>51.0</v>
      </c>
    </row>
    <row r="21273">
      <c r="A21273" s="1" t="s">
        <v>8</v>
      </c>
      <c r="B21273" s="2">
        <v>44804.0</v>
      </c>
      <c r="C21273" s="3">
        <v>0.7103125</v>
      </c>
      <c r="D21273" s="1">
        <v>12.984005</v>
      </c>
      <c r="E21273" s="1">
        <v>80.170928</v>
      </c>
      <c r="F21273" s="1">
        <v>5339.0</v>
      </c>
      <c r="G21273" s="1">
        <v>47.0</v>
      </c>
    </row>
    <row r="21274">
      <c r="A21274" s="1" t="s">
        <v>8</v>
      </c>
      <c r="B21274" s="2">
        <v>44804.0</v>
      </c>
      <c r="C21274" s="3">
        <v>0.7105555555555556</v>
      </c>
      <c r="D21274" s="1">
        <v>12.985141</v>
      </c>
      <c r="E21274" s="1">
        <v>80.172706</v>
      </c>
      <c r="F21274" s="1">
        <v>5339.0</v>
      </c>
      <c r="G21274" s="1">
        <v>43.0</v>
      </c>
    </row>
    <row r="21275">
      <c r="A21275" s="1" t="s">
        <v>8</v>
      </c>
      <c r="B21275" s="2">
        <v>44804.0</v>
      </c>
      <c r="C21275" s="3">
        <v>0.7112152777777778</v>
      </c>
      <c r="D21275" s="1">
        <v>12.986809</v>
      </c>
      <c r="E21275" s="1">
        <v>80.175138</v>
      </c>
      <c r="F21275" s="1">
        <v>5339.0</v>
      </c>
      <c r="G21275" s="1">
        <v>29.0</v>
      </c>
    </row>
    <row r="21276">
      <c r="A21276" s="1" t="s">
        <v>8</v>
      </c>
      <c r="B21276" s="2">
        <v>44804.0</v>
      </c>
      <c r="C21276" s="3">
        <v>0.71125</v>
      </c>
      <c r="D21276" s="1">
        <v>12.986809</v>
      </c>
      <c r="E21276" s="1">
        <v>80.175138</v>
      </c>
      <c r="F21276" s="1">
        <v>5339.0</v>
      </c>
      <c r="G21276" s="1">
        <v>29.0</v>
      </c>
    </row>
    <row r="21277">
      <c r="A21277" s="1" t="s">
        <v>8</v>
      </c>
      <c r="B21277" s="2">
        <v>44804.0</v>
      </c>
      <c r="C21277" s="3">
        <v>0.7145601851851852</v>
      </c>
      <c r="D21277" s="1">
        <v>12.998899</v>
      </c>
      <c r="E21277" s="1">
        <v>80.192683</v>
      </c>
      <c r="F21277" s="1">
        <v>5339.0</v>
      </c>
      <c r="G21277" s="1">
        <v>27.0</v>
      </c>
    </row>
    <row r="21278">
      <c r="A21278" s="1" t="s">
        <v>8</v>
      </c>
      <c r="B21278" s="2">
        <v>44804.0</v>
      </c>
      <c r="C21278" s="3">
        <v>0.7145717592592593</v>
      </c>
      <c r="D21278" s="1">
        <v>12.998899</v>
      </c>
      <c r="E21278" s="1">
        <v>80.192683</v>
      </c>
      <c r="F21278" s="1">
        <v>5339.0</v>
      </c>
      <c r="G21278" s="1">
        <v>27.0</v>
      </c>
    </row>
    <row r="21279">
      <c r="A21279" s="1" t="s">
        <v>8</v>
      </c>
      <c r="B21279" s="2">
        <v>44804.0</v>
      </c>
      <c r="C21279" s="3">
        <v>0.7146180555555556</v>
      </c>
      <c r="D21279" s="1">
        <v>12.998899</v>
      </c>
      <c r="E21279" s="1">
        <v>80.192683</v>
      </c>
      <c r="F21279" s="1">
        <v>5339.0</v>
      </c>
      <c r="G21279" s="1">
        <v>27.0</v>
      </c>
    </row>
    <row r="21280">
      <c r="A21280" s="1" t="s">
        <v>8</v>
      </c>
      <c r="B21280" s="2">
        <v>44804.0</v>
      </c>
      <c r="C21280" s="3">
        <v>0.7159606481481482</v>
      </c>
      <c r="D21280" s="1">
        <v>13.002094</v>
      </c>
      <c r="E21280" s="1">
        <v>80.197001</v>
      </c>
      <c r="F21280" s="1">
        <v>5339.0</v>
      </c>
      <c r="G21280" s="1">
        <v>40.0</v>
      </c>
    </row>
    <row r="21281">
      <c r="A21281" s="1" t="s">
        <v>8</v>
      </c>
      <c r="B21281" s="2">
        <v>44804.0</v>
      </c>
      <c r="C21281" s="3">
        <v>0.7161342592592592</v>
      </c>
      <c r="D21281" s="1">
        <v>13.001972</v>
      </c>
      <c r="E21281" s="1">
        <v>80.198172</v>
      </c>
      <c r="F21281" s="1">
        <v>5339.0</v>
      </c>
      <c r="G21281" s="1">
        <v>47.0</v>
      </c>
    </row>
    <row r="21282">
      <c r="A21282" s="1" t="s">
        <v>8</v>
      </c>
      <c r="B21282" s="2">
        <v>44804.0</v>
      </c>
      <c r="C21282" s="3">
        <v>0.7161689814814814</v>
      </c>
      <c r="D21282" s="1">
        <v>13.001825</v>
      </c>
      <c r="E21282" s="1">
        <v>80.199327</v>
      </c>
      <c r="F21282" s="1">
        <v>5339.0</v>
      </c>
      <c r="G21282" s="1">
        <v>42.0</v>
      </c>
    </row>
    <row r="21283">
      <c r="A21283" s="1" t="s">
        <v>8</v>
      </c>
      <c r="B21283" s="2">
        <v>44804.0</v>
      </c>
      <c r="C21283" s="3">
        <v>0.7174189814814815</v>
      </c>
      <c r="D21283" s="1">
        <v>13.00799</v>
      </c>
      <c r="E21283" s="1">
        <v>80.203669</v>
      </c>
      <c r="F21283" s="1">
        <v>5339.0</v>
      </c>
      <c r="G21283" s="1">
        <v>31.0</v>
      </c>
    </row>
    <row r="21284">
      <c r="A21284" s="1" t="s">
        <v>8</v>
      </c>
      <c r="B21284" s="2">
        <v>44804.0</v>
      </c>
      <c r="C21284" s="3">
        <v>0.718136574074074</v>
      </c>
      <c r="D21284" s="1">
        <v>13.007976</v>
      </c>
      <c r="E21284" s="1">
        <v>80.207939</v>
      </c>
      <c r="F21284" s="1">
        <v>5339.0</v>
      </c>
      <c r="G21284" s="1">
        <v>48.0</v>
      </c>
    </row>
    <row r="21285">
      <c r="A21285" s="1" t="s">
        <v>8</v>
      </c>
      <c r="B21285" s="2">
        <v>44804.0</v>
      </c>
      <c r="C21285" s="3">
        <v>0.718287037037037</v>
      </c>
      <c r="D21285" s="1">
        <v>13.008126</v>
      </c>
      <c r="E21285" s="1">
        <v>80.208994</v>
      </c>
      <c r="F21285" s="1">
        <v>5339.0</v>
      </c>
      <c r="G21285" s="1">
        <v>36.0</v>
      </c>
    </row>
    <row r="21286">
      <c r="A21286" s="1" t="s">
        <v>8</v>
      </c>
      <c r="B21286" s="2">
        <v>44804.0</v>
      </c>
      <c r="C21286" s="3">
        <v>0.7183333333333334</v>
      </c>
      <c r="D21286" s="1">
        <v>13.008126</v>
      </c>
      <c r="E21286" s="1">
        <v>80.208994</v>
      </c>
      <c r="F21286" s="1">
        <v>5339.0</v>
      </c>
      <c r="G21286" s="1">
        <v>36.0</v>
      </c>
    </row>
    <row r="21287">
      <c r="A21287" s="1" t="s">
        <v>8</v>
      </c>
      <c r="B21287" s="2">
        <v>44804.0</v>
      </c>
      <c r="C21287" s="3">
        <v>0.7184722222222222</v>
      </c>
      <c r="D21287" s="1">
        <v>13.008759</v>
      </c>
      <c r="E21287" s="1">
        <v>80.210946</v>
      </c>
      <c r="F21287" s="1">
        <v>5339.0</v>
      </c>
      <c r="G21287" s="1">
        <v>39.0</v>
      </c>
    </row>
    <row r="21288">
      <c r="A21288" s="1" t="s">
        <v>8</v>
      </c>
      <c r="B21288" s="2">
        <v>44804.0</v>
      </c>
      <c r="C21288" s="3">
        <v>0.7205439814814815</v>
      </c>
      <c r="D21288" s="1">
        <v>13.014028</v>
      </c>
      <c r="E21288" s="1">
        <v>80.223466</v>
      </c>
      <c r="F21288" s="1">
        <v>5339.0</v>
      </c>
      <c r="G21288" s="1">
        <v>35.0</v>
      </c>
    </row>
    <row r="21289">
      <c r="A21289" s="1" t="s">
        <v>8</v>
      </c>
      <c r="B21289" s="2">
        <v>44804.0</v>
      </c>
      <c r="C21289" s="3">
        <v>0.722037037037037</v>
      </c>
      <c r="D21289" s="1">
        <v>13.013234</v>
      </c>
      <c r="E21289" s="1">
        <v>80.226687</v>
      </c>
      <c r="F21289" s="1">
        <v>5339.0</v>
      </c>
      <c r="G21289" s="1">
        <v>40.0</v>
      </c>
    </row>
    <row r="21290">
      <c r="A21290" s="1" t="s">
        <v>10</v>
      </c>
      <c r="B21290" s="2">
        <v>44804.0</v>
      </c>
      <c r="C21290" s="3">
        <v>0.7280092592592593</v>
      </c>
      <c r="D21290" s="1">
        <v>13.006784</v>
      </c>
      <c r="E21290" s="1">
        <v>80.246874</v>
      </c>
      <c r="F21290" s="1">
        <v>5339.0</v>
      </c>
      <c r="G21290" s="1">
        <v>18.0</v>
      </c>
    </row>
    <row r="21291">
      <c r="A21291" s="1" t="s">
        <v>8</v>
      </c>
      <c r="B21291" s="2">
        <v>44804.0</v>
      </c>
      <c r="C21291" s="3">
        <v>0.7285300925925926</v>
      </c>
      <c r="D21291" s="1">
        <v>13.006838</v>
      </c>
      <c r="E21291" s="1">
        <v>80.249972</v>
      </c>
      <c r="F21291" s="1">
        <v>5339.0</v>
      </c>
      <c r="G21291" s="1">
        <v>42.0</v>
      </c>
    </row>
    <row r="21292">
      <c r="A21292" s="1" t="s">
        <v>8</v>
      </c>
      <c r="B21292" s="2">
        <v>44804.0</v>
      </c>
      <c r="C21292" s="3">
        <v>0.7297569444444445</v>
      </c>
      <c r="D21292" s="1">
        <v>13.006608</v>
      </c>
      <c r="E21292" s="1">
        <v>80.25253</v>
      </c>
      <c r="F21292" s="1">
        <v>5339.0</v>
      </c>
      <c r="G21292" s="1">
        <v>37.0</v>
      </c>
    </row>
    <row r="21293">
      <c r="A21293" s="1" t="s">
        <v>9</v>
      </c>
      <c r="B21293" s="2">
        <v>44804.0</v>
      </c>
      <c r="C21293" s="3">
        <v>0.7299074074074074</v>
      </c>
      <c r="D21293" s="1">
        <v>13.006577</v>
      </c>
      <c r="E21293" s="1">
        <v>80.253451</v>
      </c>
      <c r="F21293" s="1">
        <v>5339.0</v>
      </c>
      <c r="G21293" s="1">
        <v>37.0</v>
      </c>
    </row>
    <row r="21294">
      <c r="A21294" s="1" t="s">
        <v>8</v>
      </c>
      <c r="B21294" s="2">
        <v>44804.0</v>
      </c>
      <c r="C21294" s="3">
        <v>0.731550925925926</v>
      </c>
      <c r="D21294" s="1">
        <v>13.007044</v>
      </c>
      <c r="E21294" s="1">
        <v>80.25811</v>
      </c>
      <c r="F21294" s="1">
        <v>5339.0</v>
      </c>
      <c r="G21294" s="1">
        <v>28.0</v>
      </c>
    </row>
    <row r="21295">
      <c r="A21295" s="1" t="s">
        <v>8</v>
      </c>
      <c r="B21295" s="2">
        <v>44804.0</v>
      </c>
      <c r="C21295" s="3">
        <v>0.7326157407407408</v>
      </c>
      <c r="D21295" s="1">
        <v>13.011897</v>
      </c>
      <c r="E21295" s="1">
        <v>80.259085</v>
      </c>
      <c r="F21295" s="1">
        <v>5339.0</v>
      </c>
      <c r="G21295" s="1">
        <v>45.0</v>
      </c>
    </row>
    <row r="21296">
      <c r="A21296" s="1" t="s">
        <v>8</v>
      </c>
      <c r="B21296" s="2">
        <v>44804.0</v>
      </c>
      <c r="C21296" s="3">
        <v>0.7334143518518519</v>
      </c>
      <c r="D21296" s="1">
        <v>13.017504</v>
      </c>
      <c r="E21296" s="1">
        <v>80.260434</v>
      </c>
      <c r="F21296" s="1">
        <v>5339.0</v>
      </c>
      <c r="G21296" s="1">
        <v>23.0</v>
      </c>
    </row>
    <row r="21297">
      <c r="A21297" s="1" t="s">
        <v>8</v>
      </c>
      <c r="B21297" s="2">
        <v>44804.0</v>
      </c>
      <c r="C21297" s="3">
        <v>0.7334143518518519</v>
      </c>
      <c r="D21297" s="1">
        <v>13.017504</v>
      </c>
      <c r="E21297" s="1">
        <v>80.260434</v>
      </c>
      <c r="F21297" s="1">
        <v>5339.0</v>
      </c>
      <c r="G21297" s="1">
        <v>23.0</v>
      </c>
    </row>
    <row r="21298">
      <c r="A21298" s="1" t="s">
        <v>8</v>
      </c>
      <c r="B21298" s="2">
        <v>44804.0</v>
      </c>
      <c r="C21298" s="3">
        <v>0.7334259259259259</v>
      </c>
      <c r="D21298" s="1">
        <v>13.017504</v>
      </c>
      <c r="E21298" s="1">
        <v>80.260434</v>
      </c>
      <c r="F21298" s="1">
        <v>5339.0</v>
      </c>
      <c r="G21298" s="1">
        <v>23.0</v>
      </c>
    </row>
    <row r="21299">
      <c r="A21299" s="1" t="s">
        <v>8</v>
      </c>
      <c r="B21299" s="2">
        <v>44804.0</v>
      </c>
      <c r="C21299" s="3">
        <v>0.7334606481481482</v>
      </c>
      <c r="D21299" s="1">
        <v>13.017504</v>
      </c>
      <c r="E21299" s="1">
        <v>80.260434</v>
      </c>
      <c r="F21299" s="1">
        <v>5339.0</v>
      </c>
      <c r="G21299" s="1">
        <v>23.0</v>
      </c>
    </row>
    <row r="21300">
      <c r="A21300" s="1" t="s">
        <v>10</v>
      </c>
      <c r="B21300" s="2">
        <v>44804.0</v>
      </c>
      <c r="C21300" s="3">
        <v>0.7337962962962963</v>
      </c>
      <c r="D21300" s="1">
        <v>13.018694</v>
      </c>
      <c r="E21300" s="1">
        <v>80.261209</v>
      </c>
      <c r="F21300" s="1">
        <v>5339.0</v>
      </c>
      <c r="G21300" s="1">
        <v>24.0</v>
      </c>
    </row>
    <row r="21301">
      <c r="A21301" s="1" t="s">
        <v>8</v>
      </c>
      <c r="B21301" s="2">
        <v>44804.0</v>
      </c>
      <c r="C21301" s="3">
        <v>0.7347337962962963</v>
      </c>
      <c r="D21301" s="1">
        <v>13.022494</v>
      </c>
      <c r="E21301" s="1">
        <v>80.263552</v>
      </c>
      <c r="F21301" s="1">
        <v>5339.0</v>
      </c>
      <c r="G21301" s="1">
        <v>37.0</v>
      </c>
    </row>
    <row r="21302">
      <c r="A21302" s="1" t="s">
        <v>8</v>
      </c>
      <c r="B21302" s="2">
        <v>44804.0</v>
      </c>
      <c r="C21302" s="3">
        <v>0.7347453703703704</v>
      </c>
      <c r="D21302" s="1">
        <v>13.022494</v>
      </c>
      <c r="E21302" s="1">
        <v>80.263552</v>
      </c>
      <c r="F21302" s="1">
        <v>5339.0</v>
      </c>
      <c r="G21302" s="1">
        <v>37.0</v>
      </c>
    </row>
    <row r="21303">
      <c r="A21303" s="1" t="s">
        <v>8</v>
      </c>
      <c r="B21303" s="2">
        <v>44804.0</v>
      </c>
      <c r="C21303" s="3">
        <v>0.7349074074074075</v>
      </c>
      <c r="D21303" s="1">
        <v>13.023839</v>
      </c>
      <c r="E21303" s="1">
        <v>80.264262</v>
      </c>
      <c r="F21303" s="1">
        <v>5339.0</v>
      </c>
      <c r="G21303" s="1">
        <v>30.0</v>
      </c>
    </row>
    <row r="21304">
      <c r="A21304" s="1" t="s">
        <v>8</v>
      </c>
      <c r="B21304" s="2">
        <v>44804.0</v>
      </c>
      <c r="C21304" s="3">
        <v>0.7349074074074075</v>
      </c>
      <c r="D21304" s="1">
        <v>13.023839</v>
      </c>
      <c r="E21304" s="1">
        <v>80.264262</v>
      </c>
      <c r="F21304" s="1">
        <v>5339.0</v>
      </c>
      <c r="G21304" s="1">
        <v>30.0</v>
      </c>
    </row>
    <row r="21305">
      <c r="A21305" s="1" t="s">
        <v>8</v>
      </c>
      <c r="B21305" s="2">
        <v>44804.0</v>
      </c>
      <c r="C21305" s="3">
        <v>0.7349189814814815</v>
      </c>
      <c r="D21305" s="1">
        <v>13.023839</v>
      </c>
      <c r="E21305" s="1">
        <v>80.264262</v>
      </c>
      <c r="F21305" s="1">
        <v>5339.0</v>
      </c>
      <c r="G21305" s="1">
        <v>30.0</v>
      </c>
    </row>
    <row r="21306">
      <c r="A21306" s="1" t="s">
        <v>10</v>
      </c>
      <c r="B21306" s="2">
        <v>44804.0</v>
      </c>
      <c r="C21306" s="3">
        <v>0.747175925925926</v>
      </c>
      <c r="D21306" s="1">
        <v>13.053688</v>
      </c>
      <c r="E21306" s="1">
        <v>80.263904</v>
      </c>
      <c r="F21306" s="1">
        <v>5339.0</v>
      </c>
      <c r="G21306" s="1">
        <v>12.0</v>
      </c>
    </row>
    <row r="21307">
      <c r="A21307" s="1" t="s">
        <v>10</v>
      </c>
      <c r="B21307" s="2">
        <v>44804.0</v>
      </c>
      <c r="C21307" s="3">
        <v>0.7474652777777778</v>
      </c>
      <c r="D21307" s="1">
        <v>13.053878</v>
      </c>
      <c r="E21307" s="1">
        <v>80.264098</v>
      </c>
      <c r="F21307" s="1">
        <v>5339.0</v>
      </c>
      <c r="G21307" s="1">
        <v>7.0</v>
      </c>
    </row>
    <row r="21308">
      <c r="A21308" s="1" t="s">
        <v>10</v>
      </c>
      <c r="B21308" s="2">
        <v>44804.0</v>
      </c>
      <c r="C21308" s="3">
        <v>0.7490162037037037</v>
      </c>
      <c r="D21308" s="1">
        <v>13.053478</v>
      </c>
      <c r="E21308" s="1">
        <v>80.268321</v>
      </c>
      <c r="F21308" s="1">
        <v>5339.0</v>
      </c>
      <c r="G21308" s="1">
        <v>3.0</v>
      </c>
    </row>
    <row r="21309">
      <c r="A21309" s="1" t="s">
        <v>10</v>
      </c>
      <c r="B21309" s="2">
        <v>44804.0</v>
      </c>
      <c r="C21309" s="3">
        <v>0.7506597222222222</v>
      </c>
      <c r="D21309" s="1">
        <v>13.053186</v>
      </c>
      <c r="E21309" s="1">
        <v>80.271993</v>
      </c>
      <c r="F21309" s="1">
        <v>5339.0</v>
      </c>
      <c r="G21309" s="1">
        <v>23.0</v>
      </c>
    </row>
    <row r="21310">
      <c r="A21310" s="1" t="s">
        <v>10</v>
      </c>
      <c r="B21310" s="2">
        <v>44804.0</v>
      </c>
      <c r="C21310" s="3">
        <v>0.7513425925925926</v>
      </c>
      <c r="D21310" s="1">
        <v>13.052958</v>
      </c>
      <c r="E21310" s="1">
        <v>80.273674</v>
      </c>
      <c r="F21310" s="1">
        <v>5339.0</v>
      </c>
      <c r="G21310" s="1">
        <v>9.0</v>
      </c>
    </row>
    <row r="21311">
      <c r="A21311" s="1" t="s">
        <v>10</v>
      </c>
      <c r="B21311" s="2">
        <v>44804.0</v>
      </c>
      <c r="C21311" s="3">
        <v>0.7516319444444445</v>
      </c>
      <c r="D21311" s="1">
        <v>13.052958</v>
      </c>
      <c r="E21311" s="1">
        <v>80.273674</v>
      </c>
      <c r="F21311" s="1">
        <v>5339.0</v>
      </c>
      <c r="G21311" s="1">
        <v>9.0</v>
      </c>
    </row>
    <row r="21312">
      <c r="A21312" s="1" t="s">
        <v>10</v>
      </c>
      <c r="B21312" s="2">
        <v>44804.0</v>
      </c>
      <c r="C21312" s="3">
        <v>0.7518981481481481</v>
      </c>
      <c r="D21312" s="1">
        <v>13.055132</v>
      </c>
      <c r="E21312" s="1">
        <v>80.273804</v>
      </c>
      <c r="F21312" s="1">
        <v>5339.0</v>
      </c>
      <c r="G21312" s="1">
        <v>16.0</v>
      </c>
    </row>
    <row r="21313">
      <c r="A21313" s="1" t="s">
        <v>10</v>
      </c>
      <c r="B21313" s="2">
        <v>44804.0</v>
      </c>
      <c r="C21313" s="3">
        <v>0.7520370370370371</v>
      </c>
      <c r="D21313" s="1">
        <v>13.055715</v>
      </c>
      <c r="E21313" s="1">
        <v>80.273887</v>
      </c>
      <c r="F21313" s="1">
        <v>5339.0</v>
      </c>
      <c r="G21313" s="1">
        <v>13.0</v>
      </c>
    </row>
    <row r="21314">
      <c r="A21314" s="1" t="s">
        <v>10</v>
      </c>
      <c r="B21314" s="2">
        <v>44804.0</v>
      </c>
      <c r="C21314" s="3">
        <v>0.7522916666666667</v>
      </c>
      <c r="D21314" s="1">
        <v>13.056727</v>
      </c>
      <c r="E21314" s="1">
        <v>80.273977</v>
      </c>
      <c r="F21314" s="1">
        <v>5339.0</v>
      </c>
      <c r="G21314" s="1">
        <v>13.0</v>
      </c>
    </row>
    <row r="21315">
      <c r="A21315" s="1" t="s">
        <v>10</v>
      </c>
      <c r="B21315" s="2">
        <v>44804.0</v>
      </c>
      <c r="C21315" s="3">
        <v>0.7527199074074075</v>
      </c>
      <c r="D21315" s="1">
        <v>13.058564</v>
      </c>
      <c r="E21315" s="1">
        <v>80.274156</v>
      </c>
      <c r="F21315" s="1">
        <v>5339.0</v>
      </c>
      <c r="G21315" s="1">
        <v>15.0</v>
      </c>
    </row>
    <row r="21316">
      <c r="A21316" s="1" t="s">
        <v>10</v>
      </c>
      <c r="B21316" s="2">
        <v>44804.0</v>
      </c>
      <c r="C21316" s="3">
        <v>0.753125</v>
      </c>
      <c r="D21316" s="1">
        <v>13.059311</v>
      </c>
      <c r="E21316" s="1">
        <v>80.274246</v>
      </c>
      <c r="F21316" s="1">
        <v>5339.0</v>
      </c>
      <c r="G21316" s="1">
        <v>20.0</v>
      </c>
    </row>
    <row r="21317">
      <c r="A21317" s="1" t="s">
        <v>10</v>
      </c>
      <c r="B21317" s="2">
        <v>44804.0</v>
      </c>
      <c r="C21317" s="3">
        <v>0.754537037037037</v>
      </c>
      <c r="D21317" s="1">
        <v>13.063161</v>
      </c>
      <c r="E21317" s="1">
        <v>80.27409</v>
      </c>
      <c r="F21317" s="1">
        <v>5339.0</v>
      </c>
      <c r="G21317" s="1">
        <v>0.0</v>
      </c>
    </row>
    <row r="21318">
      <c r="A21318" s="1" t="s">
        <v>8</v>
      </c>
      <c r="B21318" s="2">
        <v>44804.0</v>
      </c>
      <c r="C21318" s="3">
        <v>0.7566435185185185</v>
      </c>
      <c r="D21318" s="1">
        <v>13.067242</v>
      </c>
      <c r="E21318" s="1">
        <v>80.270387</v>
      </c>
      <c r="F21318" s="1">
        <v>5339.0</v>
      </c>
      <c r="G21318" s="1">
        <v>25.0</v>
      </c>
    </row>
    <row r="21319">
      <c r="A21319" s="1" t="s">
        <v>8</v>
      </c>
      <c r="B21319" s="2">
        <v>44804.0</v>
      </c>
      <c r="C21319" s="3">
        <v>0.7574189814814815</v>
      </c>
      <c r="D21319" s="1">
        <v>13.067022</v>
      </c>
      <c r="E21319" s="1">
        <v>80.268574</v>
      </c>
      <c r="F21319" s="1">
        <v>5339.0</v>
      </c>
      <c r="G21319" s="1">
        <v>26.0</v>
      </c>
    </row>
    <row r="21320">
      <c r="A21320" s="1" t="s">
        <v>10</v>
      </c>
      <c r="B21320" s="2">
        <v>44804.0</v>
      </c>
      <c r="C21320" s="3">
        <v>0.7577546296296296</v>
      </c>
      <c r="D21320" s="1">
        <v>13.068362</v>
      </c>
      <c r="E21320" s="1">
        <v>80.269104</v>
      </c>
      <c r="F21320" s="1">
        <v>5339.0</v>
      </c>
      <c r="G21320" s="1">
        <v>17.0</v>
      </c>
    </row>
    <row r="21321">
      <c r="A21321" s="1" t="s">
        <v>10</v>
      </c>
      <c r="B21321" s="2">
        <v>44804.0</v>
      </c>
      <c r="C21321" s="3">
        <v>0.7586689814814814</v>
      </c>
      <c r="D21321" s="1">
        <v>13.070668</v>
      </c>
      <c r="E21321" s="1">
        <v>80.265539</v>
      </c>
      <c r="F21321" s="1">
        <v>5339.0</v>
      </c>
      <c r="G21321" s="1">
        <v>30.0</v>
      </c>
    </row>
    <row r="21322">
      <c r="A21322" s="1" t="s">
        <v>10</v>
      </c>
      <c r="B21322" s="2">
        <v>44804.0</v>
      </c>
      <c r="C21322" s="3">
        <v>0.7590393518518519</v>
      </c>
      <c r="D21322" s="1">
        <v>13.071554</v>
      </c>
      <c r="E21322" s="1">
        <v>80.264616</v>
      </c>
      <c r="F21322" s="1">
        <v>5339.0</v>
      </c>
      <c r="G21322" s="1">
        <v>34.0</v>
      </c>
    </row>
    <row r="21323">
      <c r="A21323" s="1" t="s">
        <v>8</v>
      </c>
      <c r="B21323" s="2">
        <v>44804.0</v>
      </c>
      <c r="C21323" s="3">
        <v>0.760474537037037</v>
      </c>
      <c r="D21323" s="1">
        <v>13.071181</v>
      </c>
      <c r="E21323" s="1">
        <v>80.258729</v>
      </c>
      <c r="F21323" s="1">
        <v>5339.0</v>
      </c>
      <c r="G21323" s="1">
        <v>24.0</v>
      </c>
    </row>
    <row r="21324">
      <c r="A21324" s="1" t="s">
        <v>10</v>
      </c>
      <c r="B21324" s="2">
        <v>44804.0</v>
      </c>
      <c r="C21324" s="3">
        <v>0.7615162037037037</v>
      </c>
      <c r="D21324" s="1">
        <v>13.067723</v>
      </c>
      <c r="E21324" s="1">
        <v>80.255065</v>
      </c>
      <c r="F21324" s="1">
        <v>5339.0</v>
      </c>
      <c r="G21324" s="1">
        <v>23.0</v>
      </c>
    </row>
    <row r="21325">
      <c r="A21325" s="1" t="s">
        <v>8</v>
      </c>
      <c r="B21325" s="2">
        <v>44804.0</v>
      </c>
      <c r="C21325" s="3">
        <v>0.7634606481481482</v>
      </c>
      <c r="D21325" s="1">
        <v>13.065917</v>
      </c>
      <c r="E21325" s="1">
        <v>80.247777</v>
      </c>
      <c r="F21325" s="1">
        <v>5339.0</v>
      </c>
      <c r="G21325" s="1">
        <v>22.0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tr">
        <f>IFERROR(__xludf.DUMMYFUNCTION("query(unnati_phase1_data_revised.csv!1:100000, ""Select * Where A = 'cas_hmw' and G &lt;= 20"",1)"),"Alert")</f>
        <v>Alert</v>
      </c>
      <c r="B1" s="4" t="str">
        <f>IFERROR(__xludf.DUMMYFUNCTION("""COMPUTED_VALUE"""),"Date")</f>
        <v>Date</v>
      </c>
      <c r="C1" s="4" t="str">
        <f>IFERROR(__xludf.DUMMYFUNCTION("""COMPUTED_VALUE"""),"Time")</f>
        <v>Time</v>
      </c>
      <c r="D1" s="4" t="str">
        <f>IFERROR(__xludf.DUMMYFUNCTION("""COMPUTED_VALUE"""),"Lat")</f>
        <v>Lat</v>
      </c>
      <c r="E1" s="4" t="str">
        <f>IFERROR(__xludf.DUMMYFUNCTION("""COMPUTED_VALUE"""),"Long")</f>
        <v>Long</v>
      </c>
      <c r="F1" s="4" t="str">
        <f>IFERROR(__xludf.DUMMYFUNCTION("""COMPUTED_VALUE"""),"Vehicle")</f>
        <v>Vehicle</v>
      </c>
      <c r="G1" s="4" t="str">
        <f>IFERROR(__xludf.DUMMYFUNCTION("""COMPUTED_VALUE"""),"Speed")</f>
        <v>Speed</v>
      </c>
      <c r="H1" s="4" t="str">
        <f>IFERROR(__xludf.DUMMYFUNCTION("""COMPUTED_VALUE"""),"")</f>
        <v/>
      </c>
      <c r="I1" s="4" t="str">
        <f>IFERROR(__xludf.DUMMYFUNCTION("""COMPUTED_VALUE"""),"")</f>
        <v/>
      </c>
    </row>
    <row r="2">
      <c r="A2" s="4" t="str">
        <f>IFERROR(__xludf.DUMMYFUNCTION("""COMPUTED_VALUE"""),"cas_hmw")</f>
        <v>cas_hmw</v>
      </c>
      <c r="B2" s="5">
        <f>IFERROR(__xludf.DUMMYFUNCTION("""COMPUTED_VALUE"""),44713.0)</f>
        <v>44713</v>
      </c>
      <c r="C2" s="6">
        <f>IFERROR(__xludf.DUMMYFUNCTION("""COMPUTED_VALUE"""),0.26164351851912215)</f>
        <v>0.2616435185</v>
      </c>
      <c r="D2" s="4">
        <f>IFERROR(__xludf.DUMMYFUNCTION("""COMPUTED_VALUE"""),12.795046)</f>
        <v>12.795046</v>
      </c>
      <c r="E2" s="4">
        <f>IFERROR(__xludf.DUMMYFUNCTION("""COMPUTED_VALUE"""),80.020296)</f>
        <v>80.020296</v>
      </c>
      <c r="F2" s="4">
        <f>IFERROR(__xludf.DUMMYFUNCTION("""COMPUTED_VALUE"""),805.0)</f>
        <v>805</v>
      </c>
      <c r="G2" s="4">
        <f>IFERROR(__xludf.DUMMYFUNCTION("""COMPUTED_VALUE"""),0.0)</f>
        <v>0</v>
      </c>
      <c r="H2" s="4"/>
      <c r="I2" s="4"/>
    </row>
    <row r="3">
      <c r="A3" s="4" t="str">
        <f>IFERROR(__xludf.DUMMYFUNCTION("""COMPUTED_VALUE"""),"cas_hmw")</f>
        <v>cas_hmw</v>
      </c>
      <c r="B3" s="5">
        <f>IFERROR(__xludf.DUMMYFUNCTION("""COMPUTED_VALUE"""),44713.0)</f>
        <v>44713</v>
      </c>
      <c r="C3" s="6">
        <f>IFERROR(__xludf.DUMMYFUNCTION("""COMPUTED_VALUE"""),0.27094907407445135)</f>
        <v>0.2709490741</v>
      </c>
      <c r="D3" s="4">
        <f>IFERROR(__xludf.DUMMYFUNCTION("""COMPUTED_VALUE"""),13.039036)</f>
        <v>13.039036</v>
      </c>
      <c r="E3" s="4">
        <f>IFERROR(__xludf.DUMMYFUNCTION("""COMPUTED_VALUE"""),80.246748)</f>
        <v>80.246748</v>
      </c>
      <c r="F3" s="4">
        <f>IFERROR(__xludf.DUMMYFUNCTION("""COMPUTED_VALUE"""),2846.0)</f>
        <v>2846</v>
      </c>
      <c r="G3" s="4">
        <f>IFERROR(__xludf.DUMMYFUNCTION("""COMPUTED_VALUE"""),17.0)</f>
        <v>17</v>
      </c>
      <c r="H3" s="4"/>
      <c r="I3" s="4"/>
    </row>
    <row r="4">
      <c r="A4" s="4" t="str">
        <f>IFERROR(__xludf.DUMMYFUNCTION("""COMPUTED_VALUE"""),"cas_hmw")</f>
        <v>cas_hmw</v>
      </c>
      <c r="B4" s="5">
        <f>IFERROR(__xludf.DUMMYFUNCTION("""COMPUTED_VALUE"""),44713.0)</f>
        <v>44713</v>
      </c>
      <c r="C4" s="6">
        <f>IFERROR(__xludf.DUMMYFUNCTION("""COMPUTED_VALUE"""),0.29627314814933925)</f>
        <v>0.2962731481</v>
      </c>
      <c r="D4" s="4">
        <f>IFERROR(__xludf.DUMMYFUNCTION("""COMPUTED_VALUE"""),12.509666)</f>
        <v>12.509666</v>
      </c>
      <c r="E4" s="4">
        <f>IFERROR(__xludf.DUMMYFUNCTION("""COMPUTED_VALUE"""),79.884816)</f>
        <v>79.884816</v>
      </c>
      <c r="F4" s="4">
        <f>IFERROR(__xludf.DUMMYFUNCTION("""COMPUTED_VALUE"""),805.0)</f>
        <v>805</v>
      </c>
      <c r="G4" s="4">
        <f>IFERROR(__xludf.DUMMYFUNCTION("""COMPUTED_VALUE"""),17.0)</f>
        <v>17</v>
      </c>
      <c r="H4" s="4"/>
      <c r="I4" s="4"/>
    </row>
    <row r="5">
      <c r="A5" s="4" t="str">
        <f>IFERROR(__xludf.DUMMYFUNCTION("""COMPUTED_VALUE"""),"cas_hmw")</f>
        <v>cas_hmw</v>
      </c>
      <c r="B5" s="5">
        <f>IFERROR(__xludf.DUMMYFUNCTION("""COMPUTED_VALUE"""),44713.0)</f>
        <v>44713</v>
      </c>
      <c r="C5" s="6">
        <f>IFERROR(__xludf.DUMMYFUNCTION("""COMPUTED_VALUE"""),0.2963657407417486)</f>
        <v>0.2963657407</v>
      </c>
      <c r="D5" s="4">
        <f>IFERROR(__xludf.DUMMYFUNCTION("""COMPUTED_VALUE"""),12.509666)</f>
        <v>12.509666</v>
      </c>
      <c r="E5" s="4">
        <f>IFERROR(__xludf.DUMMYFUNCTION("""COMPUTED_VALUE"""),79.884816)</f>
        <v>79.884816</v>
      </c>
      <c r="F5" s="4">
        <f>IFERROR(__xludf.DUMMYFUNCTION("""COMPUTED_VALUE"""),805.0)</f>
        <v>805</v>
      </c>
      <c r="G5" s="4">
        <f>IFERROR(__xludf.DUMMYFUNCTION("""COMPUTED_VALUE"""),17.0)</f>
        <v>17</v>
      </c>
      <c r="H5" s="4"/>
      <c r="I5" s="4"/>
    </row>
    <row r="6">
      <c r="A6" s="4" t="str">
        <f>IFERROR(__xludf.DUMMYFUNCTION("""COMPUTED_VALUE"""),"cas_hmw")</f>
        <v>cas_hmw</v>
      </c>
      <c r="B6" s="5">
        <f>IFERROR(__xludf.DUMMYFUNCTION("""COMPUTED_VALUE"""),44713.0)</f>
        <v>44713</v>
      </c>
      <c r="C6" s="6">
        <f>IFERROR(__xludf.DUMMYFUNCTION("""COMPUTED_VALUE"""),0.30074074074218515)</f>
        <v>0.3007407407</v>
      </c>
      <c r="D6" s="4">
        <f>IFERROR(__xludf.DUMMYFUNCTION("""COMPUTED_VALUE"""),13.073034)</f>
        <v>13.073034</v>
      </c>
      <c r="E6" s="4">
        <f>IFERROR(__xludf.DUMMYFUNCTION("""COMPUTED_VALUE"""),80.261821)</f>
        <v>80.261821</v>
      </c>
      <c r="F6" s="4">
        <f>IFERROR(__xludf.DUMMYFUNCTION("""COMPUTED_VALUE"""),2846.0)</f>
        <v>2846</v>
      </c>
      <c r="G6" s="4">
        <f>IFERROR(__xludf.DUMMYFUNCTION("""COMPUTED_VALUE"""),20.0)</f>
        <v>20</v>
      </c>
      <c r="H6" s="4"/>
      <c r="I6" s="4"/>
    </row>
    <row r="7">
      <c r="A7" s="4" t="str">
        <f>IFERROR(__xludf.DUMMYFUNCTION("""COMPUTED_VALUE"""),"cas_hmw")</f>
        <v>cas_hmw</v>
      </c>
      <c r="B7" s="5">
        <f>IFERROR(__xludf.DUMMYFUNCTION("""COMPUTED_VALUE"""),44713.0)</f>
        <v>44713</v>
      </c>
      <c r="C7" s="6">
        <f>IFERROR(__xludf.DUMMYFUNCTION("""COMPUTED_VALUE"""),0.3151967592602887)</f>
        <v>0.3151967593</v>
      </c>
      <c r="D7" s="4">
        <f>IFERROR(__xludf.DUMMYFUNCTION("""COMPUTED_VALUE"""),13.034943)</f>
        <v>13.034943</v>
      </c>
      <c r="E7" s="4">
        <f>IFERROR(__xludf.DUMMYFUNCTION("""COMPUTED_VALUE"""),80.245836)</f>
        <v>80.245836</v>
      </c>
      <c r="F7" s="4">
        <f>IFERROR(__xludf.DUMMYFUNCTION("""COMPUTED_VALUE"""),2846.0)</f>
        <v>2846</v>
      </c>
      <c r="G7" s="4">
        <f>IFERROR(__xludf.DUMMYFUNCTION("""COMPUTED_VALUE"""),18.0)</f>
        <v>18</v>
      </c>
      <c r="H7" s="4"/>
      <c r="I7" s="4"/>
    </row>
    <row r="8">
      <c r="A8" s="4" t="str">
        <f>IFERROR(__xludf.DUMMYFUNCTION("""COMPUTED_VALUE"""),"cas_hmw")</f>
        <v>cas_hmw</v>
      </c>
      <c r="B8" s="5">
        <f>IFERROR(__xludf.DUMMYFUNCTION("""COMPUTED_VALUE"""),44713.0)</f>
        <v>44713</v>
      </c>
      <c r="C8" s="6">
        <f>IFERROR(__xludf.DUMMYFUNCTION("""COMPUTED_VALUE"""),0.3173379629624833)</f>
        <v>0.317337963</v>
      </c>
      <c r="D8" s="4">
        <f>IFERROR(__xludf.DUMMYFUNCTION("""COMPUTED_VALUE"""),13.026211)</f>
        <v>13.026211</v>
      </c>
      <c r="E8" s="4">
        <f>IFERROR(__xludf.DUMMYFUNCTION("""COMPUTED_VALUE"""),80.232366)</f>
        <v>80.232366</v>
      </c>
      <c r="F8" s="4">
        <f>IFERROR(__xludf.DUMMYFUNCTION("""COMPUTED_VALUE"""),2846.0)</f>
        <v>2846</v>
      </c>
      <c r="G8" s="4">
        <f>IFERROR(__xludf.DUMMYFUNCTION("""COMPUTED_VALUE"""),18.0)</f>
        <v>18</v>
      </c>
      <c r="H8" s="4"/>
      <c r="I8" s="4"/>
    </row>
    <row r="9">
      <c r="A9" s="4" t="str">
        <f>IFERROR(__xludf.DUMMYFUNCTION("""COMPUTED_VALUE"""),"cas_hmw")</f>
        <v>cas_hmw</v>
      </c>
      <c r="B9" s="5">
        <f>IFERROR(__xludf.DUMMYFUNCTION("""COMPUTED_VALUE"""),44713.0)</f>
        <v>44713</v>
      </c>
      <c r="C9" s="6">
        <f>IFERROR(__xludf.DUMMYFUNCTION("""COMPUTED_VALUE"""),0.32193287037080154)</f>
        <v>0.3219328704</v>
      </c>
      <c r="D9" s="4">
        <f>IFERROR(__xludf.DUMMYFUNCTION("""COMPUTED_VALUE"""),13.011305)</f>
        <v>13.011305</v>
      </c>
      <c r="E9" s="4">
        <f>IFERROR(__xludf.DUMMYFUNCTION("""COMPUTED_VALUE"""),80.223556)</f>
        <v>80.223556</v>
      </c>
      <c r="F9" s="4">
        <f>IFERROR(__xludf.DUMMYFUNCTION("""COMPUTED_VALUE"""),2846.0)</f>
        <v>2846</v>
      </c>
      <c r="G9" s="4">
        <f>IFERROR(__xludf.DUMMYFUNCTION("""COMPUTED_VALUE"""),10.0)</f>
        <v>10</v>
      </c>
      <c r="H9" s="4"/>
      <c r="I9" s="4"/>
    </row>
    <row r="10">
      <c r="A10" s="4" t="str">
        <f>IFERROR(__xludf.DUMMYFUNCTION("""COMPUTED_VALUE"""),"cas_hmw")</f>
        <v>cas_hmw</v>
      </c>
      <c r="B10" s="5">
        <f>IFERROR(__xludf.DUMMYFUNCTION("""COMPUTED_VALUE"""),44713.0)</f>
        <v>44713</v>
      </c>
      <c r="C10" s="6">
        <f>IFERROR(__xludf.DUMMYFUNCTION("""COMPUTED_VALUE"""),0.32349537036861875)</f>
        <v>0.3234953704</v>
      </c>
      <c r="D10" s="4">
        <f>IFERROR(__xludf.DUMMYFUNCTION("""COMPUTED_VALUE"""),12.697702)</f>
        <v>12.697702</v>
      </c>
      <c r="E10" s="4">
        <f>IFERROR(__xludf.DUMMYFUNCTION("""COMPUTED_VALUE"""),79.976182)</f>
        <v>79.976182</v>
      </c>
      <c r="F10" s="4">
        <f>IFERROR(__xludf.DUMMYFUNCTION("""COMPUTED_VALUE"""),805.0)</f>
        <v>805</v>
      </c>
      <c r="G10" s="4">
        <f>IFERROR(__xludf.DUMMYFUNCTION("""COMPUTED_VALUE"""),17.0)</f>
        <v>17</v>
      </c>
      <c r="H10" s="4"/>
      <c r="I10" s="4"/>
    </row>
    <row r="11">
      <c r="A11" s="4" t="str">
        <f>IFERROR(__xludf.DUMMYFUNCTION("""COMPUTED_VALUE"""),"cas_hmw")</f>
        <v>cas_hmw</v>
      </c>
      <c r="B11" s="5">
        <f>IFERROR(__xludf.DUMMYFUNCTION("""COMPUTED_VALUE"""),44713.0)</f>
        <v>44713</v>
      </c>
      <c r="C11" s="6">
        <f>IFERROR(__xludf.DUMMYFUNCTION("""COMPUTED_VALUE"""),0.32578703703620704)</f>
        <v>0.325787037</v>
      </c>
      <c r="D11" s="4">
        <f>IFERROR(__xludf.DUMMYFUNCTION("""COMPUTED_VALUE"""),12.697522)</f>
        <v>12.697522</v>
      </c>
      <c r="E11" s="4">
        <f>IFERROR(__xludf.DUMMYFUNCTION("""COMPUTED_VALUE"""),79.971618)</f>
        <v>79.971618</v>
      </c>
      <c r="F11" s="4">
        <f>IFERROR(__xludf.DUMMYFUNCTION("""COMPUTED_VALUE"""),805.0)</f>
        <v>805</v>
      </c>
      <c r="G11" s="4">
        <f>IFERROR(__xludf.DUMMYFUNCTION("""COMPUTED_VALUE"""),0.0)</f>
        <v>0</v>
      </c>
      <c r="H11" s="4"/>
      <c r="I11" s="4"/>
    </row>
    <row r="12">
      <c r="A12" s="4" t="str">
        <f>IFERROR(__xludf.DUMMYFUNCTION("""COMPUTED_VALUE"""),"cas_hmw")</f>
        <v>cas_hmw</v>
      </c>
      <c r="B12" s="5">
        <f>IFERROR(__xludf.DUMMYFUNCTION("""COMPUTED_VALUE"""),44713.0)</f>
        <v>44713</v>
      </c>
      <c r="C12" s="6">
        <f>IFERROR(__xludf.DUMMYFUNCTION("""COMPUTED_VALUE"""),0.32865740740817273)</f>
        <v>0.3286574074</v>
      </c>
      <c r="D12" s="4">
        <f>IFERROR(__xludf.DUMMYFUNCTION("""COMPUTED_VALUE"""),12.989675)</f>
        <v>12.989675</v>
      </c>
      <c r="E12" s="4">
        <f>IFERROR(__xludf.DUMMYFUNCTION("""COMPUTED_VALUE"""),80.179192)</f>
        <v>80.179192</v>
      </c>
      <c r="F12" s="4">
        <f>IFERROR(__xludf.DUMMYFUNCTION("""COMPUTED_VALUE"""),2846.0)</f>
        <v>2846</v>
      </c>
      <c r="G12" s="4">
        <f>IFERROR(__xludf.DUMMYFUNCTION("""COMPUTED_VALUE"""),0.0)</f>
        <v>0</v>
      </c>
      <c r="H12" s="4"/>
      <c r="I12" s="4"/>
    </row>
    <row r="13">
      <c r="A13" s="4" t="str">
        <f>IFERROR(__xludf.DUMMYFUNCTION("""COMPUTED_VALUE"""),"cas_hmw")</f>
        <v>cas_hmw</v>
      </c>
      <c r="B13" s="5">
        <f>IFERROR(__xludf.DUMMYFUNCTION("""COMPUTED_VALUE"""),44713.0)</f>
        <v>44713</v>
      </c>
      <c r="C13" s="6">
        <f>IFERROR(__xludf.DUMMYFUNCTION("""COMPUTED_VALUE"""),0.3300115740748879)</f>
        <v>0.3300115741</v>
      </c>
      <c r="D13" s="4">
        <f>IFERROR(__xludf.DUMMYFUNCTION("""COMPUTED_VALUE"""),12.986581)</f>
        <v>12.986581</v>
      </c>
      <c r="E13" s="4">
        <f>IFERROR(__xludf.DUMMYFUNCTION("""COMPUTED_VALUE"""),80.175037)</f>
        <v>80.175037</v>
      </c>
      <c r="F13" s="4">
        <f>IFERROR(__xludf.DUMMYFUNCTION("""COMPUTED_VALUE"""),2846.0)</f>
        <v>2846</v>
      </c>
      <c r="G13" s="4">
        <f>IFERROR(__xludf.DUMMYFUNCTION("""COMPUTED_VALUE"""),0.0)</f>
        <v>0</v>
      </c>
      <c r="H13" s="4"/>
      <c r="I13" s="4"/>
    </row>
    <row r="14">
      <c r="A14" s="4" t="str">
        <f>IFERROR(__xludf.DUMMYFUNCTION("""COMPUTED_VALUE"""),"cas_hmw")</f>
        <v>cas_hmw</v>
      </c>
      <c r="B14" s="5">
        <f>IFERROR(__xludf.DUMMYFUNCTION("""COMPUTED_VALUE"""),44713.0)</f>
        <v>44713</v>
      </c>
      <c r="C14" s="6">
        <f>IFERROR(__xludf.DUMMYFUNCTION("""COMPUTED_VALUE"""),0.33377314814788406)</f>
        <v>0.3337731481</v>
      </c>
      <c r="D14" s="4">
        <f>IFERROR(__xludf.DUMMYFUNCTION("""COMPUTED_VALUE"""),12.972404)</f>
        <v>12.972404</v>
      </c>
      <c r="E14" s="4">
        <f>IFERROR(__xludf.DUMMYFUNCTION("""COMPUTED_VALUE"""),80.151786)</f>
        <v>80.151786</v>
      </c>
      <c r="F14" s="4">
        <f>IFERROR(__xludf.DUMMYFUNCTION("""COMPUTED_VALUE"""),2846.0)</f>
        <v>2846</v>
      </c>
      <c r="G14" s="4">
        <f>IFERROR(__xludf.DUMMYFUNCTION("""COMPUTED_VALUE"""),0.0)</f>
        <v>0</v>
      </c>
      <c r="H14" s="4"/>
      <c r="I14" s="4"/>
    </row>
    <row r="15">
      <c r="A15" s="4" t="str">
        <f>IFERROR(__xludf.DUMMYFUNCTION("""COMPUTED_VALUE"""),"cas_hmw")</f>
        <v>cas_hmw</v>
      </c>
      <c r="B15" s="5">
        <f>IFERROR(__xludf.DUMMYFUNCTION("""COMPUTED_VALUE"""),44713.0)</f>
        <v>44713</v>
      </c>
      <c r="C15" s="6">
        <f>IFERROR(__xludf.DUMMYFUNCTION("""COMPUTED_VALUE"""),0.3344560185178125)</f>
        <v>0.3344560185</v>
      </c>
      <c r="D15" s="4">
        <f>IFERROR(__xludf.DUMMYFUNCTION("""COMPUTED_VALUE"""),12.966983)</f>
        <v>12.966983</v>
      </c>
      <c r="E15" s="4">
        <f>IFERROR(__xludf.DUMMYFUNCTION("""COMPUTED_VALUE"""),80.148989)</f>
        <v>80.148989</v>
      </c>
      <c r="F15" s="4">
        <f>IFERROR(__xludf.DUMMYFUNCTION("""COMPUTED_VALUE"""),2846.0)</f>
        <v>2846</v>
      </c>
      <c r="G15" s="4">
        <f>IFERROR(__xludf.DUMMYFUNCTION("""COMPUTED_VALUE"""),12.0)</f>
        <v>12</v>
      </c>
      <c r="H15" s="4"/>
      <c r="I15" s="4"/>
    </row>
    <row r="16">
      <c r="A16" s="4" t="str">
        <f>IFERROR(__xludf.DUMMYFUNCTION("""COMPUTED_VALUE"""),"cas_hmw")</f>
        <v>cas_hmw</v>
      </c>
      <c r="B16" s="5">
        <f>IFERROR(__xludf.DUMMYFUNCTION("""COMPUTED_VALUE"""),44713.0)</f>
        <v>44713</v>
      </c>
      <c r="C16" s="6">
        <f>IFERROR(__xludf.DUMMYFUNCTION("""COMPUTED_VALUE"""),0.3411226851858373)</f>
        <v>0.3411226852</v>
      </c>
      <c r="D16" s="4">
        <f>IFERROR(__xludf.DUMMYFUNCTION("""COMPUTED_VALUE"""),12.926884)</f>
        <v>12.926884</v>
      </c>
      <c r="E16" s="4">
        <f>IFERROR(__xludf.DUMMYFUNCTION("""COMPUTED_VALUE"""),80.118105)</f>
        <v>80.118105</v>
      </c>
      <c r="F16" s="4">
        <f>IFERROR(__xludf.DUMMYFUNCTION("""COMPUTED_VALUE"""),2846.0)</f>
        <v>2846</v>
      </c>
      <c r="G16" s="4">
        <f>IFERROR(__xludf.DUMMYFUNCTION("""COMPUTED_VALUE"""),12.0)</f>
        <v>12</v>
      </c>
      <c r="H16" s="4"/>
      <c r="I16" s="4"/>
    </row>
    <row r="17">
      <c r="A17" s="4" t="str">
        <f>IFERROR(__xludf.DUMMYFUNCTION("""COMPUTED_VALUE"""),"cas_hmw")</f>
        <v>cas_hmw</v>
      </c>
      <c r="B17" s="5">
        <f>IFERROR(__xludf.DUMMYFUNCTION("""COMPUTED_VALUE"""),44713.0)</f>
        <v>44713</v>
      </c>
      <c r="C17" s="6">
        <f>IFERROR(__xludf.DUMMYFUNCTION("""COMPUTED_VALUE"""),0.3457523148135806)</f>
        <v>0.3457523148</v>
      </c>
      <c r="D17" s="4">
        <f>IFERROR(__xludf.DUMMYFUNCTION("""COMPUTED_VALUE"""),12.90601)</f>
        <v>12.90601</v>
      </c>
      <c r="E17" s="4">
        <f>IFERROR(__xludf.DUMMYFUNCTION("""COMPUTED_VALUE"""),80.096193)</f>
        <v>80.096193</v>
      </c>
      <c r="F17" s="4">
        <f>IFERROR(__xludf.DUMMYFUNCTION("""COMPUTED_VALUE"""),2846.0)</f>
        <v>2846</v>
      </c>
      <c r="G17" s="4">
        <f>IFERROR(__xludf.DUMMYFUNCTION("""COMPUTED_VALUE"""),16.0)</f>
        <v>16</v>
      </c>
      <c r="H17" s="4"/>
      <c r="I17" s="4"/>
    </row>
    <row r="18">
      <c r="A18" s="4" t="str">
        <f>IFERROR(__xludf.DUMMYFUNCTION("""COMPUTED_VALUE"""),"cas_hmw")</f>
        <v>cas_hmw</v>
      </c>
      <c r="B18" s="5">
        <f>IFERROR(__xludf.DUMMYFUNCTION("""COMPUTED_VALUE"""),44713.0)</f>
        <v>44713</v>
      </c>
      <c r="C18" s="6">
        <f>IFERROR(__xludf.DUMMYFUNCTION("""COMPUTED_VALUE"""),0.34590277777897427)</f>
        <v>0.3459027778</v>
      </c>
      <c r="D18" s="4">
        <f>IFERROR(__xludf.DUMMYFUNCTION("""COMPUTED_VALUE"""),12.905251)</f>
        <v>12.905251</v>
      </c>
      <c r="E18" s="4">
        <f>IFERROR(__xludf.DUMMYFUNCTION("""COMPUTED_VALUE"""),80.095648)</f>
        <v>80.095648</v>
      </c>
      <c r="F18" s="4">
        <f>IFERROR(__xludf.DUMMYFUNCTION("""COMPUTED_VALUE"""),2846.0)</f>
        <v>2846</v>
      </c>
      <c r="G18" s="4">
        <f>IFERROR(__xludf.DUMMYFUNCTION("""COMPUTED_VALUE"""),19.0)</f>
        <v>19</v>
      </c>
      <c r="H18" s="4"/>
      <c r="I18" s="4"/>
    </row>
    <row r="19">
      <c r="A19" s="4" t="str">
        <f>IFERROR(__xludf.DUMMYFUNCTION("""COMPUTED_VALUE"""),"cas_hmw")</f>
        <v>cas_hmw</v>
      </c>
      <c r="B19" s="5">
        <f>IFERROR(__xludf.DUMMYFUNCTION("""COMPUTED_VALUE"""),44713.0)</f>
        <v>44713</v>
      </c>
      <c r="C19" s="6">
        <f>IFERROR(__xludf.DUMMYFUNCTION("""COMPUTED_VALUE"""),0.4196527777785377)</f>
        <v>0.4196527778</v>
      </c>
      <c r="D19" s="4">
        <f>IFERROR(__xludf.DUMMYFUNCTION("""COMPUTED_VALUE"""),12.877598)</f>
        <v>12.877598</v>
      </c>
      <c r="E19" s="4">
        <f>IFERROR(__xludf.DUMMYFUNCTION("""COMPUTED_VALUE"""),80.084304)</f>
        <v>80.084304</v>
      </c>
      <c r="F19" s="4">
        <f>IFERROR(__xludf.DUMMYFUNCTION("""COMPUTED_VALUE"""),5339.0)</f>
        <v>5339</v>
      </c>
      <c r="G19" s="4">
        <f>IFERROR(__xludf.DUMMYFUNCTION("""COMPUTED_VALUE"""),20.0)</f>
        <v>20</v>
      </c>
      <c r="H19" s="4"/>
      <c r="I19" s="4"/>
    </row>
    <row r="20">
      <c r="A20" s="4" t="str">
        <f>IFERROR(__xludf.DUMMYFUNCTION("""COMPUTED_VALUE"""),"cas_hmw")</f>
        <v>cas_hmw</v>
      </c>
      <c r="B20" s="5">
        <f>IFERROR(__xludf.DUMMYFUNCTION("""COMPUTED_VALUE"""),44713.0)</f>
        <v>44713</v>
      </c>
      <c r="C20" s="6">
        <f>IFERROR(__xludf.DUMMYFUNCTION("""COMPUTED_VALUE"""),0.6979398148141627)</f>
        <v>0.6979398148</v>
      </c>
      <c r="D20" s="4">
        <f>IFERROR(__xludf.DUMMYFUNCTION("""COMPUTED_VALUE"""),12.84065)</f>
        <v>12.84065</v>
      </c>
      <c r="E20" s="4">
        <f>IFERROR(__xludf.DUMMYFUNCTION("""COMPUTED_VALUE"""),80.056479)</f>
        <v>80.056479</v>
      </c>
      <c r="F20" s="4">
        <f>IFERROR(__xludf.DUMMYFUNCTION("""COMPUTED_VALUE"""),805.0)</f>
        <v>805</v>
      </c>
      <c r="G20" s="4">
        <f>IFERROR(__xludf.DUMMYFUNCTION("""COMPUTED_VALUE"""),0.0)</f>
        <v>0</v>
      </c>
      <c r="H20" s="4"/>
      <c r="I20" s="4"/>
    </row>
    <row r="21">
      <c r="A21" s="4" t="str">
        <f>IFERROR(__xludf.DUMMYFUNCTION("""COMPUTED_VALUE"""),"cas_hmw")</f>
        <v>cas_hmw</v>
      </c>
      <c r="B21" s="5">
        <f>IFERROR(__xludf.DUMMYFUNCTION("""COMPUTED_VALUE"""),44713.0)</f>
        <v>44713</v>
      </c>
      <c r="C21" s="6">
        <f>IFERROR(__xludf.DUMMYFUNCTION("""COMPUTED_VALUE"""),0.7422800925924093)</f>
        <v>0.7422800926</v>
      </c>
      <c r="D21" s="4">
        <f>IFERROR(__xludf.DUMMYFUNCTION("""COMPUTED_VALUE"""),12.514417)</f>
        <v>12.514417</v>
      </c>
      <c r="E21" s="4">
        <f>IFERROR(__xludf.DUMMYFUNCTION("""COMPUTED_VALUE"""),79.888285)</f>
        <v>79.888285</v>
      </c>
      <c r="F21" s="4">
        <f>IFERROR(__xludf.DUMMYFUNCTION("""COMPUTED_VALUE"""),805.0)</f>
        <v>805</v>
      </c>
      <c r="G21" s="4">
        <f>IFERROR(__xludf.DUMMYFUNCTION("""COMPUTED_VALUE"""),17.0)</f>
        <v>17</v>
      </c>
      <c r="H21" s="4"/>
      <c r="I21" s="4"/>
    </row>
    <row r="22">
      <c r="A22" s="4" t="str">
        <f>IFERROR(__xludf.DUMMYFUNCTION("""COMPUTED_VALUE"""),"cas_hmw")</f>
        <v>cas_hmw</v>
      </c>
      <c r="B22" s="5">
        <f>IFERROR(__xludf.DUMMYFUNCTION("""COMPUTED_VALUE"""),44713.0)</f>
        <v>44713</v>
      </c>
      <c r="C22" s="6">
        <f>IFERROR(__xludf.DUMMYFUNCTION("""COMPUTED_VALUE"""),0.7736921296309447)</f>
        <v>0.7736921296</v>
      </c>
      <c r="D22" s="4">
        <f>IFERROR(__xludf.DUMMYFUNCTION("""COMPUTED_VALUE"""),12.762815)</f>
        <v>12.762815</v>
      </c>
      <c r="E22" s="4">
        <f>IFERROR(__xludf.DUMMYFUNCTION("""COMPUTED_VALUE"""),80.00389)</f>
        <v>80.00389</v>
      </c>
      <c r="F22" s="4">
        <f>IFERROR(__xludf.DUMMYFUNCTION("""COMPUTED_VALUE"""),805.0)</f>
        <v>805</v>
      </c>
      <c r="G22" s="4">
        <f>IFERROR(__xludf.DUMMYFUNCTION("""COMPUTED_VALUE"""),19.0)</f>
        <v>19</v>
      </c>
      <c r="H22" s="4"/>
      <c r="I22" s="4"/>
    </row>
    <row r="23">
      <c r="A23" s="4" t="str">
        <f>IFERROR(__xludf.DUMMYFUNCTION("""COMPUTED_VALUE"""),"cas_hmw")</f>
        <v>cas_hmw</v>
      </c>
      <c r="B23" s="5">
        <f>IFERROR(__xludf.DUMMYFUNCTION("""COMPUTED_VALUE"""),44713.0)</f>
        <v>44713</v>
      </c>
      <c r="C23" s="6">
        <f>IFERROR(__xludf.DUMMYFUNCTION("""COMPUTED_VALUE"""),0.7738310185195587)</f>
        <v>0.7738310185</v>
      </c>
      <c r="D23" s="4">
        <f>IFERROR(__xludf.DUMMYFUNCTION("""COMPUTED_VALUE"""),12.762815)</f>
        <v>12.762815</v>
      </c>
      <c r="E23" s="4">
        <f>IFERROR(__xludf.DUMMYFUNCTION("""COMPUTED_VALUE"""),80.00389)</f>
        <v>80.00389</v>
      </c>
      <c r="F23" s="4">
        <f>IFERROR(__xludf.DUMMYFUNCTION("""COMPUTED_VALUE"""),805.0)</f>
        <v>805</v>
      </c>
      <c r="G23" s="4">
        <f>IFERROR(__xludf.DUMMYFUNCTION("""COMPUTED_VALUE"""),19.0)</f>
        <v>19</v>
      </c>
      <c r="H23" s="4"/>
      <c r="I23" s="4"/>
    </row>
    <row r="24">
      <c r="A24" s="4" t="str">
        <f>IFERROR(__xludf.DUMMYFUNCTION("""COMPUTED_VALUE"""),"cas_hmw")</f>
        <v>cas_hmw</v>
      </c>
      <c r="B24" s="5">
        <f>IFERROR(__xludf.DUMMYFUNCTION("""COMPUTED_VALUE"""),44713.0)</f>
        <v>44713</v>
      </c>
      <c r="C24" s="6">
        <f>IFERROR(__xludf.DUMMYFUNCTION("""COMPUTED_VALUE"""),0.7818750000005821)</f>
        <v>0.781875</v>
      </c>
      <c r="D24" s="4">
        <f>IFERROR(__xludf.DUMMYFUNCTION("""COMPUTED_VALUE"""),12.83092)</f>
        <v>12.83092</v>
      </c>
      <c r="E24" s="4">
        <f>IFERROR(__xludf.DUMMYFUNCTION("""COMPUTED_VALUE"""),80.04594)</f>
        <v>80.04594</v>
      </c>
      <c r="F24" s="4">
        <f>IFERROR(__xludf.DUMMYFUNCTION("""COMPUTED_VALUE"""),805.0)</f>
        <v>805</v>
      </c>
      <c r="G24" s="4">
        <f>IFERROR(__xludf.DUMMYFUNCTION("""COMPUTED_VALUE"""),13.0)</f>
        <v>13</v>
      </c>
      <c r="H24" s="4"/>
      <c r="I24" s="4"/>
    </row>
    <row r="25">
      <c r="A25" s="4" t="str">
        <f>IFERROR(__xludf.DUMMYFUNCTION("""COMPUTED_VALUE"""),"cas_hmw")</f>
        <v>cas_hmw</v>
      </c>
      <c r="B25" s="5">
        <f>IFERROR(__xludf.DUMMYFUNCTION("""COMPUTED_VALUE"""),44713.0)</f>
        <v>44713</v>
      </c>
      <c r="C25" s="6">
        <f>IFERROR(__xludf.DUMMYFUNCTION("""COMPUTED_VALUE"""),0.7819560185198497)</f>
        <v>0.7819560185</v>
      </c>
      <c r="D25" s="4">
        <f>IFERROR(__xludf.DUMMYFUNCTION("""COMPUTED_VALUE"""),12.83092)</f>
        <v>12.83092</v>
      </c>
      <c r="E25" s="4">
        <f>IFERROR(__xludf.DUMMYFUNCTION("""COMPUTED_VALUE"""),80.04594)</f>
        <v>80.04594</v>
      </c>
      <c r="F25" s="4">
        <f>IFERROR(__xludf.DUMMYFUNCTION("""COMPUTED_VALUE"""),805.0)</f>
        <v>805</v>
      </c>
      <c r="G25" s="4">
        <f>IFERROR(__xludf.DUMMYFUNCTION("""COMPUTED_VALUE"""),13.0)</f>
        <v>13</v>
      </c>
      <c r="H25" s="4"/>
      <c r="I25" s="4"/>
    </row>
    <row r="26">
      <c r="A26" s="4" t="str">
        <f>IFERROR(__xludf.DUMMYFUNCTION("""COMPUTED_VALUE"""),"cas_hmw")</f>
        <v>cas_hmw</v>
      </c>
      <c r="B26" s="5">
        <f>IFERROR(__xludf.DUMMYFUNCTION("""COMPUTED_VALUE"""),44713.0)</f>
        <v>44713</v>
      </c>
      <c r="C26" s="6">
        <f>IFERROR(__xludf.DUMMYFUNCTION("""COMPUTED_VALUE"""),0.7846296296302171)</f>
        <v>0.7846296296</v>
      </c>
      <c r="D26" s="4">
        <f>IFERROR(__xludf.DUMMYFUNCTION("""COMPUTED_VALUE"""),12.843754)</f>
        <v>12.843754</v>
      </c>
      <c r="E26" s="4">
        <f>IFERROR(__xludf.DUMMYFUNCTION("""COMPUTED_VALUE"""),80.059473)</f>
        <v>80.059473</v>
      </c>
      <c r="F26" s="4">
        <f>IFERROR(__xludf.DUMMYFUNCTION("""COMPUTED_VALUE"""),805.0)</f>
        <v>805</v>
      </c>
      <c r="G26" s="4">
        <f>IFERROR(__xludf.DUMMYFUNCTION("""COMPUTED_VALUE"""),0.0)</f>
        <v>0</v>
      </c>
      <c r="H26" s="4"/>
      <c r="I26" s="4"/>
    </row>
    <row r="27">
      <c r="A27" s="4" t="str">
        <f>IFERROR(__xludf.DUMMYFUNCTION("""COMPUTED_VALUE"""),"cas_hmw")</f>
        <v>cas_hmw</v>
      </c>
      <c r="B27" s="5">
        <f>IFERROR(__xludf.DUMMYFUNCTION("""COMPUTED_VALUE"""),44714.0)</f>
        <v>44714</v>
      </c>
      <c r="C27" s="6">
        <f>IFERROR(__xludf.DUMMYFUNCTION("""COMPUTED_VALUE"""),0.24725694444350665)</f>
        <v>0.2472569444</v>
      </c>
      <c r="D27" s="4">
        <f>IFERROR(__xludf.DUMMYFUNCTION("""COMPUTED_VALUE"""),12.929972)</f>
        <v>12.929972</v>
      </c>
      <c r="E27" s="4">
        <f>IFERROR(__xludf.DUMMYFUNCTION("""COMPUTED_VALUE"""),80.121041)</f>
        <v>80.121041</v>
      </c>
      <c r="F27" s="4">
        <f>IFERROR(__xludf.DUMMYFUNCTION("""COMPUTED_VALUE"""),2846.0)</f>
        <v>2846</v>
      </c>
      <c r="G27" s="4">
        <f>IFERROR(__xludf.DUMMYFUNCTION("""COMPUTED_VALUE"""),15.0)</f>
        <v>15</v>
      </c>
      <c r="H27" s="4"/>
      <c r="I27" s="4"/>
    </row>
    <row r="28">
      <c r="A28" s="4" t="str">
        <f>IFERROR(__xludf.DUMMYFUNCTION("""COMPUTED_VALUE"""),"cas_hmw")</f>
        <v>cas_hmw</v>
      </c>
      <c r="B28" s="5">
        <f>IFERROR(__xludf.DUMMYFUNCTION("""COMPUTED_VALUE"""),44714.0)</f>
        <v>44714</v>
      </c>
      <c r="C28" s="6">
        <f>IFERROR(__xludf.DUMMYFUNCTION("""COMPUTED_VALUE"""),0.24731481481649098)</f>
        <v>0.2473148148</v>
      </c>
      <c r="D28" s="4">
        <f>IFERROR(__xludf.DUMMYFUNCTION("""COMPUTED_VALUE"""),12.929972)</f>
        <v>12.929972</v>
      </c>
      <c r="E28" s="4">
        <f>IFERROR(__xludf.DUMMYFUNCTION("""COMPUTED_VALUE"""),80.121041)</f>
        <v>80.121041</v>
      </c>
      <c r="F28" s="4">
        <f>IFERROR(__xludf.DUMMYFUNCTION("""COMPUTED_VALUE"""),2846.0)</f>
        <v>2846</v>
      </c>
      <c r="G28" s="4">
        <f>IFERROR(__xludf.DUMMYFUNCTION("""COMPUTED_VALUE"""),15.0)</f>
        <v>15</v>
      </c>
      <c r="H28" s="4"/>
      <c r="I28" s="4"/>
    </row>
    <row r="29">
      <c r="A29" s="4" t="str">
        <f>IFERROR(__xludf.DUMMYFUNCTION("""COMPUTED_VALUE"""),"cas_hmw")</f>
        <v>cas_hmw</v>
      </c>
      <c r="B29" s="5">
        <f>IFERROR(__xludf.DUMMYFUNCTION("""COMPUTED_VALUE"""),44714.0)</f>
        <v>44714</v>
      </c>
      <c r="C29" s="6">
        <f>IFERROR(__xludf.DUMMYFUNCTION("""COMPUTED_VALUE"""),0.3321180555540195)</f>
        <v>0.3321180556</v>
      </c>
      <c r="D29" s="4">
        <f>IFERROR(__xludf.DUMMYFUNCTION("""COMPUTED_VALUE"""),12.979899)</f>
        <v>12.979899</v>
      </c>
      <c r="E29" s="4">
        <f>IFERROR(__xludf.DUMMYFUNCTION("""COMPUTED_VALUE"""),80.163054)</f>
        <v>80.163054</v>
      </c>
      <c r="F29" s="4">
        <f>IFERROR(__xludf.DUMMYFUNCTION("""COMPUTED_VALUE"""),2846.0)</f>
        <v>2846</v>
      </c>
      <c r="G29" s="4">
        <f>IFERROR(__xludf.DUMMYFUNCTION("""COMPUTED_VALUE"""),18.0)</f>
        <v>18</v>
      </c>
      <c r="H29" s="4"/>
      <c r="I29" s="4"/>
    </row>
    <row r="30">
      <c r="A30" s="4" t="str">
        <f>IFERROR(__xludf.DUMMYFUNCTION("""COMPUTED_VALUE"""),"cas_hmw")</f>
        <v>cas_hmw</v>
      </c>
      <c r="B30" s="5">
        <f>IFERROR(__xludf.DUMMYFUNCTION("""COMPUTED_VALUE"""),44714.0)</f>
        <v>44714</v>
      </c>
      <c r="C30" s="6">
        <f>IFERROR(__xludf.DUMMYFUNCTION("""COMPUTED_VALUE"""),0.6905902777762094)</f>
        <v>0.6905902778</v>
      </c>
      <c r="D30" s="4">
        <f>IFERROR(__xludf.DUMMYFUNCTION("""COMPUTED_VALUE"""),12.879365)</f>
        <v>12.879365</v>
      </c>
      <c r="E30" s="4">
        <f>IFERROR(__xludf.DUMMYFUNCTION("""COMPUTED_VALUE"""),80.079999)</f>
        <v>80.079999</v>
      </c>
      <c r="F30" s="4">
        <f>IFERROR(__xludf.DUMMYFUNCTION("""COMPUTED_VALUE"""),2846.0)</f>
        <v>2846</v>
      </c>
      <c r="G30" s="4">
        <f>IFERROR(__xludf.DUMMYFUNCTION("""COMPUTED_VALUE"""),14.0)</f>
        <v>14</v>
      </c>
      <c r="H30" s="4"/>
      <c r="I30" s="4"/>
    </row>
    <row r="31">
      <c r="A31" s="4" t="str">
        <f>IFERROR(__xludf.DUMMYFUNCTION("""COMPUTED_VALUE"""),"cas_hmw")</f>
        <v>cas_hmw</v>
      </c>
      <c r="B31" s="5">
        <f>IFERROR(__xludf.DUMMYFUNCTION("""COMPUTED_VALUE"""),44714.0)</f>
        <v>44714</v>
      </c>
      <c r="C31" s="6">
        <f>IFERROR(__xludf.DUMMYFUNCTION("""COMPUTED_VALUE"""),0.6906018518529891)</f>
        <v>0.6906018519</v>
      </c>
      <c r="D31" s="4">
        <f>IFERROR(__xludf.DUMMYFUNCTION("""COMPUTED_VALUE"""),12.879365)</f>
        <v>12.879365</v>
      </c>
      <c r="E31" s="4">
        <f>IFERROR(__xludf.DUMMYFUNCTION("""COMPUTED_VALUE"""),80.079999)</f>
        <v>80.079999</v>
      </c>
      <c r="F31" s="4">
        <f>IFERROR(__xludf.DUMMYFUNCTION("""COMPUTED_VALUE"""),2846.0)</f>
        <v>2846</v>
      </c>
      <c r="G31" s="4">
        <f>IFERROR(__xludf.DUMMYFUNCTION("""COMPUTED_VALUE"""),14.0)</f>
        <v>14</v>
      </c>
      <c r="H31" s="4"/>
      <c r="I31" s="4"/>
    </row>
    <row r="32">
      <c r="A32" s="4" t="str">
        <f>IFERROR(__xludf.DUMMYFUNCTION("""COMPUTED_VALUE"""),"cas_hmw")</f>
        <v>cas_hmw</v>
      </c>
      <c r="B32" s="5">
        <f>IFERROR(__xludf.DUMMYFUNCTION("""COMPUTED_VALUE"""),44714.0)</f>
        <v>44714</v>
      </c>
      <c r="C32" s="6">
        <f>IFERROR(__xludf.DUMMYFUNCTION("""COMPUTED_VALUE"""),0.6919212962966412)</f>
        <v>0.6919212963</v>
      </c>
      <c r="D32" s="4">
        <f>IFERROR(__xludf.DUMMYFUNCTION("""COMPUTED_VALUE"""),12.860419)</f>
        <v>12.860419</v>
      </c>
      <c r="E32" s="4">
        <f>IFERROR(__xludf.DUMMYFUNCTION("""COMPUTED_VALUE"""),80.072637)</f>
        <v>80.072637</v>
      </c>
      <c r="F32" s="4">
        <f>IFERROR(__xludf.DUMMYFUNCTION("""COMPUTED_VALUE"""),805.0)</f>
        <v>805</v>
      </c>
      <c r="G32" s="4">
        <f>IFERROR(__xludf.DUMMYFUNCTION("""COMPUTED_VALUE"""),8.0)</f>
        <v>8</v>
      </c>
      <c r="H32" s="4"/>
      <c r="I32" s="4"/>
    </row>
    <row r="33">
      <c r="A33" s="4" t="str">
        <f>IFERROR(__xludf.DUMMYFUNCTION("""COMPUTED_VALUE"""),"cas_hmw")</f>
        <v>cas_hmw</v>
      </c>
      <c r="B33" s="5">
        <f>IFERROR(__xludf.DUMMYFUNCTION("""COMPUTED_VALUE"""),44714.0)</f>
        <v>44714</v>
      </c>
      <c r="C33" s="6">
        <f>IFERROR(__xludf.DUMMYFUNCTION("""COMPUTED_VALUE"""),0.6920370370353339)</f>
        <v>0.692037037</v>
      </c>
      <c r="D33" s="4">
        <f>IFERROR(__xludf.DUMMYFUNCTION("""COMPUTED_VALUE"""),12.860256)</f>
        <v>12.860256</v>
      </c>
      <c r="E33" s="4">
        <f>IFERROR(__xludf.DUMMYFUNCTION("""COMPUTED_VALUE"""),80.072542)</f>
        <v>80.072542</v>
      </c>
      <c r="F33" s="4">
        <f>IFERROR(__xludf.DUMMYFUNCTION("""COMPUTED_VALUE"""),805.0)</f>
        <v>805</v>
      </c>
      <c r="G33" s="4">
        <f>IFERROR(__xludf.DUMMYFUNCTION("""COMPUTED_VALUE"""),0.0)</f>
        <v>0</v>
      </c>
      <c r="H33" s="4"/>
      <c r="I33" s="4"/>
    </row>
    <row r="34">
      <c r="A34" s="4" t="str">
        <f>IFERROR(__xludf.DUMMYFUNCTION("""COMPUTED_VALUE"""),"cas_hmw")</f>
        <v>cas_hmw</v>
      </c>
      <c r="B34" s="5">
        <f>IFERROR(__xludf.DUMMYFUNCTION("""COMPUTED_VALUE"""),44714.0)</f>
        <v>44714</v>
      </c>
      <c r="C34" s="6">
        <f>IFERROR(__xludf.DUMMYFUNCTION("""COMPUTED_VALUE"""),0.6920717592583969)</f>
        <v>0.6920717593</v>
      </c>
      <c r="D34" s="4">
        <f>IFERROR(__xludf.DUMMYFUNCTION("""COMPUTED_VALUE"""),12.860256)</f>
        <v>12.860256</v>
      </c>
      <c r="E34" s="4">
        <f>IFERROR(__xludf.DUMMYFUNCTION("""COMPUTED_VALUE"""),80.072542)</f>
        <v>80.072542</v>
      </c>
      <c r="F34" s="4">
        <f>IFERROR(__xludf.DUMMYFUNCTION("""COMPUTED_VALUE"""),805.0)</f>
        <v>805</v>
      </c>
      <c r="G34" s="4">
        <f>IFERROR(__xludf.DUMMYFUNCTION("""COMPUTED_VALUE"""),0.0)</f>
        <v>0</v>
      </c>
      <c r="H34" s="4"/>
      <c r="I34" s="4"/>
    </row>
    <row r="35">
      <c r="A35" s="4" t="str">
        <f>IFERROR(__xludf.DUMMYFUNCTION("""COMPUTED_VALUE"""),"cas_hmw")</f>
        <v>cas_hmw</v>
      </c>
      <c r="B35" s="5">
        <f>IFERROR(__xludf.DUMMYFUNCTION("""COMPUTED_VALUE"""),44714.0)</f>
        <v>44714</v>
      </c>
      <c r="C35" s="6">
        <f>IFERROR(__xludf.DUMMYFUNCTION("""COMPUTED_VALUE"""),0.6995486111118225)</f>
        <v>0.6995486111</v>
      </c>
      <c r="D35" s="4">
        <f>IFERROR(__xludf.DUMMYFUNCTION("""COMPUTED_VALUE"""),12.926247)</f>
        <v>12.926247</v>
      </c>
      <c r="E35" s="4">
        <f>IFERROR(__xludf.DUMMYFUNCTION("""COMPUTED_VALUE"""),80.117359)</f>
        <v>80.117359</v>
      </c>
      <c r="F35" s="4">
        <f>IFERROR(__xludf.DUMMYFUNCTION("""COMPUTED_VALUE"""),2846.0)</f>
        <v>2846</v>
      </c>
      <c r="G35" s="4">
        <f>IFERROR(__xludf.DUMMYFUNCTION("""COMPUTED_VALUE"""),4.0)</f>
        <v>4</v>
      </c>
      <c r="H35" s="4"/>
      <c r="I35" s="4"/>
    </row>
    <row r="36">
      <c r="A36" s="4" t="str">
        <f>IFERROR(__xludf.DUMMYFUNCTION("""COMPUTED_VALUE"""),"cas_hmw")</f>
        <v>cas_hmw</v>
      </c>
      <c r="B36" s="5">
        <f>IFERROR(__xludf.DUMMYFUNCTION("""COMPUTED_VALUE"""),44714.0)</f>
        <v>44714</v>
      </c>
      <c r="C36" s="6">
        <f>IFERROR(__xludf.DUMMYFUNCTION("""COMPUTED_VALUE"""),0.6996064814811689)</f>
        <v>0.6996064815</v>
      </c>
      <c r="D36" s="4">
        <f>IFERROR(__xludf.DUMMYFUNCTION("""COMPUTED_VALUE"""),12.926336)</f>
        <v>12.926336</v>
      </c>
      <c r="E36" s="4">
        <f>IFERROR(__xludf.DUMMYFUNCTION("""COMPUTED_VALUE"""),80.117448)</f>
        <v>80.117448</v>
      </c>
      <c r="F36" s="4">
        <f>IFERROR(__xludf.DUMMYFUNCTION("""COMPUTED_VALUE"""),2846.0)</f>
        <v>2846</v>
      </c>
      <c r="G36" s="4">
        <f>IFERROR(__xludf.DUMMYFUNCTION("""COMPUTED_VALUE"""),12.0)</f>
        <v>12</v>
      </c>
      <c r="H36" s="4"/>
      <c r="I36" s="4"/>
    </row>
    <row r="37">
      <c r="A37" s="4" t="str">
        <f>IFERROR(__xludf.DUMMYFUNCTION("""COMPUTED_VALUE"""),"cas_hmw")</f>
        <v>cas_hmw</v>
      </c>
      <c r="B37" s="5">
        <f>IFERROR(__xludf.DUMMYFUNCTION("""COMPUTED_VALUE"""),44714.0)</f>
        <v>44714</v>
      </c>
      <c r="C37" s="6">
        <f>IFERROR(__xludf.DUMMYFUNCTION("""COMPUTED_VALUE"""),0.7053356481483206)</f>
        <v>0.7053356481</v>
      </c>
      <c r="D37" s="4">
        <f>IFERROR(__xludf.DUMMYFUNCTION("""COMPUTED_VALUE"""),12.957264)</f>
        <v>12.957264</v>
      </c>
      <c r="E37" s="4">
        <f>IFERROR(__xludf.DUMMYFUNCTION("""COMPUTED_VALUE"""),80.143684)</f>
        <v>80.143684</v>
      </c>
      <c r="F37" s="4">
        <f>IFERROR(__xludf.DUMMYFUNCTION("""COMPUTED_VALUE"""),2846.0)</f>
        <v>2846</v>
      </c>
      <c r="G37" s="4">
        <f>IFERROR(__xludf.DUMMYFUNCTION("""COMPUTED_VALUE"""),18.0)</f>
        <v>18</v>
      </c>
      <c r="H37" s="4"/>
      <c r="I37" s="4"/>
    </row>
    <row r="38">
      <c r="A38" s="4" t="str">
        <f>IFERROR(__xludf.DUMMYFUNCTION("""COMPUTED_VALUE"""),"cas_hmw")</f>
        <v>cas_hmw</v>
      </c>
      <c r="B38" s="5">
        <f>IFERROR(__xludf.DUMMYFUNCTION("""COMPUTED_VALUE"""),44714.0)</f>
        <v>44714</v>
      </c>
      <c r="C38" s="6">
        <f>IFERROR(__xludf.DUMMYFUNCTION("""COMPUTED_VALUE"""),0.7073611111118225)</f>
        <v>0.7073611111</v>
      </c>
      <c r="D38" s="4">
        <f>IFERROR(__xludf.DUMMYFUNCTION("""COMPUTED_VALUE"""),12.743122)</f>
        <v>12.743122</v>
      </c>
      <c r="E38" s="4">
        <f>IFERROR(__xludf.DUMMYFUNCTION("""COMPUTED_VALUE"""),79.992531)</f>
        <v>79.992531</v>
      </c>
      <c r="F38" s="4">
        <f>IFERROR(__xludf.DUMMYFUNCTION("""COMPUTED_VALUE"""),805.0)</f>
        <v>805</v>
      </c>
      <c r="G38" s="4">
        <f>IFERROR(__xludf.DUMMYFUNCTION("""COMPUTED_VALUE"""),0.0)</f>
        <v>0</v>
      </c>
      <c r="H38" s="4"/>
      <c r="I38" s="4"/>
    </row>
    <row r="39">
      <c r="A39" s="4" t="str">
        <f>IFERROR(__xludf.DUMMYFUNCTION("""COMPUTED_VALUE"""),"cas_hmw")</f>
        <v>cas_hmw</v>
      </c>
      <c r="B39" s="5">
        <f>IFERROR(__xludf.DUMMYFUNCTION("""COMPUTED_VALUE"""),44714.0)</f>
        <v>44714</v>
      </c>
      <c r="C39" s="6">
        <f>IFERROR(__xludf.DUMMYFUNCTION("""COMPUTED_VALUE"""),0.7079050925931369)</f>
        <v>0.7079050926</v>
      </c>
      <c r="D39" s="4">
        <f>IFERROR(__xludf.DUMMYFUNCTION("""COMPUTED_VALUE"""),12.743122)</f>
        <v>12.743122</v>
      </c>
      <c r="E39" s="4">
        <f>IFERROR(__xludf.DUMMYFUNCTION("""COMPUTED_VALUE"""),79.992531)</f>
        <v>79.992531</v>
      </c>
      <c r="F39" s="4">
        <f>IFERROR(__xludf.DUMMYFUNCTION("""COMPUTED_VALUE"""),805.0)</f>
        <v>805</v>
      </c>
      <c r="G39" s="4">
        <f>IFERROR(__xludf.DUMMYFUNCTION("""COMPUTED_VALUE"""),0.0)</f>
        <v>0</v>
      </c>
      <c r="H39" s="4"/>
      <c r="I39" s="4"/>
    </row>
    <row r="40">
      <c r="A40" s="4" t="str">
        <f>IFERROR(__xludf.DUMMYFUNCTION("""COMPUTED_VALUE"""),"cas_hmw")</f>
        <v>cas_hmw</v>
      </c>
      <c r="B40" s="5">
        <f>IFERROR(__xludf.DUMMYFUNCTION("""COMPUTED_VALUE"""),44714.0)</f>
        <v>44714</v>
      </c>
      <c r="C40" s="6">
        <f>IFERROR(__xludf.DUMMYFUNCTION("""COMPUTED_VALUE"""),0.708703703705396)</f>
        <v>0.7087037037</v>
      </c>
      <c r="D40" s="4">
        <f>IFERROR(__xludf.DUMMYFUNCTION("""COMPUTED_VALUE"""),12.977543)</f>
        <v>12.977543</v>
      </c>
      <c r="E40" s="4">
        <f>IFERROR(__xludf.DUMMYFUNCTION("""COMPUTED_VALUE"""),80.159315)</f>
        <v>80.159315</v>
      </c>
      <c r="F40" s="4">
        <f>IFERROR(__xludf.DUMMYFUNCTION("""COMPUTED_VALUE"""),2846.0)</f>
        <v>2846</v>
      </c>
      <c r="G40" s="4">
        <f>IFERROR(__xludf.DUMMYFUNCTION("""COMPUTED_VALUE"""),0.0)</f>
        <v>0</v>
      </c>
      <c r="H40" s="4"/>
      <c r="I40" s="4"/>
    </row>
    <row r="41">
      <c r="A41" s="4" t="str">
        <f>IFERROR(__xludf.DUMMYFUNCTION("""COMPUTED_VALUE"""),"cas_hmw")</f>
        <v>cas_hmw</v>
      </c>
      <c r="B41" s="5">
        <f>IFERROR(__xludf.DUMMYFUNCTION("""COMPUTED_VALUE"""),44714.0)</f>
        <v>44714</v>
      </c>
      <c r="C41" s="6">
        <f>IFERROR(__xludf.DUMMYFUNCTION("""COMPUTED_VALUE"""),0.7158101851855463)</f>
        <v>0.7158101852</v>
      </c>
      <c r="D41" s="4">
        <f>IFERROR(__xludf.DUMMYFUNCTION("""COMPUTED_VALUE"""),12.693917)</f>
        <v>12.693917</v>
      </c>
      <c r="E41" s="4">
        <f>IFERROR(__xludf.DUMMYFUNCTION("""COMPUTED_VALUE"""),79.979085)</f>
        <v>79.979085</v>
      </c>
      <c r="F41" s="4">
        <f>IFERROR(__xludf.DUMMYFUNCTION("""COMPUTED_VALUE"""),805.0)</f>
        <v>805</v>
      </c>
      <c r="G41" s="4">
        <f>IFERROR(__xludf.DUMMYFUNCTION("""COMPUTED_VALUE"""),15.0)</f>
        <v>15</v>
      </c>
      <c r="H41" s="4"/>
      <c r="I41" s="4"/>
    </row>
    <row r="42">
      <c r="A42" s="4" t="str">
        <f>IFERROR(__xludf.DUMMYFUNCTION("""COMPUTED_VALUE"""),"cas_hmw")</f>
        <v>cas_hmw</v>
      </c>
      <c r="B42" s="5">
        <f>IFERROR(__xludf.DUMMYFUNCTION("""COMPUTED_VALUE"""),44714.0)</f>
        <v>44714</v>
      </c>
      <c r="C42" s="6">
        <f>IFERROR(__xludf.DUMMYFUNCTION("""COMPUTED_VALUE"""),0.7219444444453984)</f>
        <v>0.7219444444</v>
      </c>
      <c r="D42" s="4">
        <f>IFERROR(__xludf.DUMMYFUNCTION("""COMPUTED_VALUE"""),13.021846)</f>
        <v>13.021846</v>
      </c>
      <c r="E42" s="4">
        <f>IFERROR(__xludf.DUMMYFUNCTION("""COMPUTED_VALUE"""),80.226027)</f>
        <v>80.226027</v>
      </c>
      <c r="F42" s="4">
        <f>IFERROR(__xludf.DUMMYFUNCTION("""COMPUTED_VALUE"""),2846.0)</f>
        <v>2846</v>
      </c>
      <c r="G42" s="4">
        <f>IFERROR(__xludf.DUMMYFUNCTION("""COMPUTED_VALUE"""),0.0)</f>
        <v>0</v>
      </c>
      <c r="H42" s="4"/>
      <c r="I42" s="4"/>
    </row>
    <row r="43">
      <c r="A43" s="4" t="str">
        <f>IFERROR(__xludf.DUMMYFUNCTION("""COMPUTED_VALUE"""),"cas_hmw")</f>
        <v>cas_hmw</v>
      </c>
      <c r="B43" s="5">
        <f>IFERROR(__xludf.DUMMYFUNCTION("""COMPUTED_VALUE"""),44714.0)</f>
        <v>44714</v>
      </c>
      <c r="C43" s="6">
        <f>IFERROR(__xludf.DUMMYFUNCTION("""COMPUTED_VALUE"""),0.7219675925916818)</f>
        <v>0.7219675926</v>
      </c>
      <c r="D43" s="4">
        <f>IFERROR(__xludf.DUMMYFUNCTION("""COMPUTED_VALUE"""),13.021846)</f>
        <v>13.021846</v>
      </c>
      <c r="E43" s="4">
        <f>IFERROR(__xludf.DUMMYFUNCTION("""COMPUTED_VALUE"""),80.226027)</f>
        <v>80.226027</v>
      </c>
      <c r="F43" s="4">
        <f>IFERROR(__xludf.DUMMYFUNCTION("""COMPUTED_VALUE"""),2846.0)</f>
        <v>2846</v>
      </c>
      <c r="G43" s="4">
        <f>IFERROR(__xludf.DUMMYFUNCTION("""COMPUTED_VALUE"""),0.0)</f>
        <v>0</v>
      </c>
      <c r="H43" s="4"/>
      <c r="I43" s="4"/>
    </row>
    <row r="44">
      <c r="A44" s="4" t="str">
        <f>IFERROR(__xludf.DUMMYFUNCTION("""COMPUTED_VALUE"""),"cas_hmw")</f>
        <v>cas_hmw</v>
      </c>
      <c r="B44" s="5">
        <f>IFERROR(__xludf.DUMMYFUNCTION("""COMPUTED_VALUE"""),44714.0)</f>
        <v>44714</v>
      </c>
      <c r="C44" s="6">
        <f>IFERROR(__xludf.DUMMYFUNCTION("""COMPUTED_VALUE"""),0.7298958333340124)</f>
        <v>0.7298958333</v>
      </c>
      <c r="D44" s="4">
        <f>IFERROR(__xludf.DUMMYFUNCTION("""COMPUTED_VALUE"""),13.039127)</f>
        <v>13.039127</v>
      </c>
      <c r="E44" s="4">
        <f>IFERROR(__xludf.DUMMYFUNCTION("""COMPUTED_VALUE"""),80.246799)</f>
        <v>80.246799</v>
      </c>
      <c r="F44" s="4">
        <f>IFERROR(__xludf.DUMMYFUNCTION("""COMPUTED_VALUE"""),2846.0)</f>
        <v>2846</v>
      </c>
      <c r="G44" s="4">
        <f>IFERROR(__xludf.DUMMYFUNCTION("""COMPUTED_VALUE"""),18.0)</f>
        <v>18</v>
      </c>
      <c r="H44" s="4"/>
      <c r="I44" s="4"/>
    </row>
    <row r="45">
      <c r="A45" s="4" t="str">
        <f>IFERROR(__xludf.DUMMYFUNCTION("""COMPUTED_VALUE"""),"cas_hmw")</f>
        <v>cas_hmw</v>
      </c>
      <c r="B45" s="5">
        <f>IFERROR(__xludf.DUMMYFUNCTION("""COMPUTED_VALUE"""),44714.0)</f>
        <v>44714</v>
      </c>
      <c r="C45" s="6">
        <f>IFERROR(__xludf.DUMMYFUNCTION("""COMPUTED_VALUE"""),0.7442129629635019)</f>
        <v>0.744212963</v>
      </c>
      <c r="D45" s="4">
        <f>IFERROR(__xludf.DUMMYFUNCTION("""COMPUTED_VALUE"""),13.066352)</f>
        <v>13.066352</v>
      </c>
      <c r="E45" s="4">
        <f>IFERROR(__xludf.DUMMYFUNCTION("""COMPUTED_VALUE"""),80.273718)</f>
        <v>80.273718</v>
      </c>
      <c r="F45" s="4">
        <f>IFERROR(__xludf.DUMMYFUNCTION("""COMPUTED_VALUE"""),2846.0)</f>
        <v>2846</v>
      </c>
      <c r="G45" s="4">
        <f>IFERROR(__xludf.DUMMYFUNCTION("""COMPUTED_VALUE"""),15.0)</f>
        <v>15</v>
      </c>
      <c r="H45" s="4"/>
      <c r="I45" s="4"/>
    </row>
    <row r="46">
      <c r="A46" s="4" t="str">
        <f>IFERROR(__xludf.DUMMYFUNCTION("""COMPUTED_VALUE"""),"cas_hmw")</f>
        <v>cas_hmw</v>
      </c>
      <c r="B46" s="5">
        <f>IFERROR(__xludf.DUMMYFUNCTION("""COMPUTED_VALUE"""),44714.0)</f>
        <v>44714</v>
      </c>
      <c r="C46" s="6">
        <f>IFERROR(__xludf.DUMMYFUNCTION("""COMPUTED_VALUE"""),0.7479745370364981)</f>
        <v>0.747974537</v>
      </c>
      <c r="D46" s="4">
        <f>IFERROR(__xludf.DUMMYFUNCTION("""COMPUTED_VALUE"""),13.071461)</f>
        <v>13.071461</v>
      </c>
      <c r="E46" s="4">
        <f>IFERROR(__xludf.DUMMYFUNCTION("""COMPUTED_VALUE"""),80.26471)</f>
        <v>80.26471</v>
      </c>
      <c r="F46" s="4">
        <f>IFERROR(__xludf.DUMMYFUNCTION("""COMPUTED_VALUE"""),2846.0)</f>
        <v>2846</v>
      </c>
      <c r="G46" s="4">
        <f>IFERROR(__xludf.DUMMYFUNCTION("""COMPUTED_VALUE"""),19.0)</f>
        <v>19</v>
      </c>
      <c r="H46" s="4"/>
      <c r="I46" s="4"/>
    </row>
    <row r="47">
      <c r="A47" s="4" t="str">
        <f>IFERROR(__xludf.DUMMYFUNCTION("""COMPUTED_VALUE"""),"cas_hmw")</f>
        <v>cas_hmw</v>
      </c>
      <c r="B47" s="5">
        <f>IFERROR(__xludf.DUMMYFUNCTION("""COMPUTED_VALUE"""),44714.0)</f>
        <v>44714</v>
      </c>
      <c r="C47" s="6">
        <f>IFERROR(__xludf.DUMMYFUNCTION("""COMPUTED_VALUE"""),0.7479861111096398)</f>
        <v>0.7479861111</v>
      </c>
      <c r="D47" s="4">
        <f>IFERROR(__xludf.DUMMYFUNCTION("""COMPUTED_VALUE"""),13.071461)</f>
        <v>13.071461</v>
      </c>
      <c r="E47" s="4">
        <f>IFERROR(__xludf.DUMMYFUNCTION("""COMPUTED_VALUE"""),80.26471)</f>
        <v>80.26471</v>
      </c>
      <c r="F47" s="4">
        <f>IFERROR(__xludf.DUMMYFUNCTION("""COMPUTED_VALUE"""),2846.0)</f>
        <v>2846</v>
      </c>
      <c r="G47" s="4">
        <f>IFERROR(__xludf.DUMMYFUNCTION("""COMPUTED_VALUE"""),19.0)</f>
        <v>19</v>
      </c>
      <c r="H47" s="4"/>
      <c r="I47" s="4"/>
    </row>
    <row r="48">
      <c r="A48" s="4" t="str">
        <f>IFERROR(__xludf.DUMMYFUNCTION("""COMPUTED_VALUE"""),"cas_hmw")</f>
        <v>cas_hmw</v>
      </c>
      <c r="B48" s="5">
        <f>IFERROR(__xludf.DUMMYFUNCTION("""COMPUTED_VALUE"""),44714.0)</f>
        <v>44714</v>
      </c>
      <c r="C48" s="6">
        <f>IFERROR(__xludf.DUMMYFUNCTION("""COMPUTED_VALUE"""),0.7846990740727051)</f>
        <v>0.7846990741</v>
      </c>
      <c r="D48" s="4">
        <f>IFERROR(__xludf.DUMMYFUNCTION("""COMPUTED_VALUE"""),12.845681)</f>
        <v>12.845681</v>
      </c>
      <c r="E48" s="4">
        <f>IFERROR(__xludf.DUMMYFUNCTION("""COMPUTED_VALUE"""),80.061438)</f>
        <v>80.061438</v>
      </c>
      <c r="F48" s="4">
        <f>IFERROR(__xludf.DUMMYFUNCTION("""COMPUTED_VALUE"""),805.0)</f>
        <v>805</v>
      </c>
      <c r="G48" s="4">
        <f>IFERROR(__xludf.DUMMYFUNCTION("""COMPUTED_VALUE"""),8.0)</f>
        <v>8</v>
      </c>
      <c r="H48" s="4"/>
      <c r="I48" s="4"/>
    </row>
    <row r="49">
      <c r="A49" s="4" t="str">
        <f>IFERROR(__xludf.DUMMYFUNCTION("""COMPUTED_VALUE"""),"cas_hmw")</f>
        <v>cas_hmw</v>
      </c>
      <c r="B49" s="5">
        <f>IFERROR(__xludf.DUMMYFUNCTION("""COMPUTED_VALUE"""),44714.0)</f>
        <v>44714</v>
      </c>
      <c r="C49" s="6">
        <f>IFERROR(__xludf.DUMMYFUNCTION("""COMPUTED_VALUE"""),0.7875578703715291)</f>
        <v>0.7875578704</v>
      </c>
      <c r="D49" s="4">
        <f>IFERROR(__xludf.DUMMYFUNCTION("""COMPUTED_VALUE"""),12.866537)</f>
        <v>12.866537</v>
      </c>
      <c r="E49" s="4">
        <f>IFERROR(__xludf.DUMMYFUNCTION("""COMPUTED_VALUE"""),80.075133)</f>
        <v>80.075133</v>
      </c>
      <c r="F49" s="4">
        <f>IFERROR(__xludf.DUMMYFUNCTION("""COMPUTED_VALUE"""),805.0)</f>
        <v>805</v>
      </c>
      <c r="G49" s="4">
        <f>IFERROR(__xludf.DUMMYFUNCTION("""COMPUTED_VALUE"""),9.0)</f>
        <v>9</v>
      </c>
      <c r="H49" s="4"/>
      <c r="I49" s="4"/>
    </row>
    <row r="50">
      <c r="A50" s="4" t="str">
        <f>IFERROR(__xludf.DUMMYFUNCTION("""COMPUTED_VALUE"""),"cas_hmw")</f>
        <v>cas_hmw</v>
      </c>
      <c r="B50" s="5">
        <f>IFERROR(__xludf.DUMMYFUNCTION("""COMPUTED_VALUE"""),44715.0)</f>
        <v>44715</v>
      </c>
      <c r="C50" s="6">
        <f>IFERROR(__xludf.DUMMYFUNCTION("""COMPUTED_VALUE"""),0.3148958333331393)</f>
        <v>0.3148958333</v>
      </c>
      <c r="D50" s="4">
        <f>IFERROR(__xludf.DUMMYFUNCTION("""COMPUTED_VALUE"""),13.039199)</f>
        <v>13.039199</v>
      </c>
      <c r="E50" s="4">
        <f>IFERROR(__xludf.DUMMYFUNCTION("""COMPUTED_VALUE"""),80.247002)</f>
        <v>80.247002</v>
      </c>
      <c r="F50" s="4">
        <f>IFERROR(__xludf.DUMMYFUNCTION("""COMPUTED_VALUE"""),2846.0)</f>
        <v>2846</v>
      </c>
      <c r="G50" s="4">
        <f>IFERROR(__xludf.DUMMYFUNCTION("""COMPUTED_VALUE"""),17.0)</f>
        <v>17</v>
      </c>
      <c r="H50" s="4"/>
      <c r="I50" s="4"/>
    </row>
    <row r="51">
      <c r="A51" s="4" t="str">
        <f>IFERROR(__xludf.DUMMYFUNCTION("""COMPUTED_VALUE"""),"cas_hmw")</f>
        <v>cas_hmw</v>
      </c>
      <c r="B51" s="5">
        <f>IFERROR(__xludf.DUMMYFUNCTION("""COMPUTED_VALUE"""),44715.0)</f>
        <v>44715</v>
      </c>
      <c r="C51" s="6">
        <f>IFERROR(__xludf.DUMMYFUNCTION("""COMPUTED_VALUE"""),0.3171527777776646)</f>
        <v>0.3171527778</v>
      </c>
      <c r="D51" s="4">
        <f>IFERROR(__xludf.DUMMYFUNCTION("""COMPUTED_VALUE"""),12.687115)</f>
        <v>12.687115</v>
      </c>
      <c r="E51" s="4">
        <f>IFERROR(__xludf.DUMMYFUNCTION("""COMPUTED_VALUE"""),79.983044)</f>
        <v>79.983044</v>
      </c>
      <c r="F51" s="4">
        <f>IFERROR(__xludf.DUMMYFUNCTION("""COMPUTED_VALUE"""),805.0)</f>
        <v>805</v>
      </c>
      <c r="G51" s="4">
        <f>IFERROR(__xludf.DUMMYFUNCTION("""COMPUTED_VALUE"""),19.0)</f>
        <v>19</v>
      </c>
      <c r="H51" s="4"/>
      <c r="I51" s="4"/>
    </row>
    <row r="52">
      <c r="A52" s="4" t="str">
        <f>IFERROR(__xludf.DUMMYFUNCTION("""COMPUTED_VALUE"""),"cas_hmw")</f>
        <v>cas_hmw</v>
      </c>
      <c r="B52" s="5">
        <f>IFERROR(__xludf.DUMMYFUNCTION("""COMPUTED_VALUE"""),44715.0)</f>
        <v>44715</v>
      </c>
      <c r="C52" s="6">
        <f>IFERROR(__xludf.DUMMYFUNCTION("""COMPUTED_VALUE"""),0.3171527777776646)</f>
        <v>0.3171527778</v>
      </c>
      <c r="D52" s="4">
        <f>IFERROR(__xludf.DUMMYFUNCTION("""COMPUTED_VALUE"""),12.687115)</f>
        <v>12.687115</v>
      </c>
      <c r="E52" s="4">
        <f>IFERROR(__xludf.DUMMYFUNCTION("""COMPUTED_VALUE"""),79.983044)</f>
        <v>79.983044</v>
      </c>
      <c r="F52" s="4">
        <f>IFERROR(__xludf.DUMMYFUNCTION("""COMPUTED_VALUE"""),805.0)</f>
        <v>805</v>
      </c>
      <c r="G52" s="4">
        <f>IFERROR(__xludf.DUMMYFUNCTION("""COMPUTED_VALUE"""),19.0)</f>
        <v>19</v>
      </c>
      <c r="H52" s="4"/>
      <c r="I52" s="4"/>
    </row>
    <row r="53">
      <c r="A53" s="4" t="str">
        <f>IFERROR(__xludf.DUMMYFUNCTION("""COMPUTED_VALUE"""),"cas_hmw")</f>
        <v>cas_hmw</v>
      </c>
      <c r="B53" s="5">
        <f>IFERROR(__xludf.DUMMYFUNCTION("""COMPUTED_VALUE"""),44715.0)</f>
        <v>44715</v>
      </c>
      <c r="C53" s="6">
        <f>IFERROR(__xludf.DUMMYFUNCTION("""COMPUTED_VALUE"""),0.3171759259275859)</f>
        <v>0.3171759259</v>
      </c>
      <c r="D53" s="4">
        <f>IFERROR(__xludf.DUMMYFUNCTION("""COMPUTED_VALUE"""),12.687115)</f>
        <v>12.687115</v>
      </c>
      <c r="E53" s="4">
        <f>IFERROR(__xludf.DUMMYFUNCTION("""COMPUTED_VALUE"""),79.983044)</f>
        <v>79.983044</v>
      </c>
      <c r="F53" s="4">
        <f>IFERROR(__xludf.DUMMYFUNCTION("""COMPUTED_VALUE"""),805.0)</f>
        <v>805</v>
      </c>
      <c r="G53" s="4">
        <f>IFERROR(__xludf.DUMMYFUNCTION("""COMPUTED_VALUE"""),19.0)</f>
        <v>19</v>
      </c>
      <c r="H53" s="4"/>
      <c r="I53" s="4"/>
    </row>
    <row r="54">
      <c r="A54" s="4" t="str">
        <f>IFERROR(__xludf.DUMMYFUNCTION("""COMPUTED_VALUE"""),"cas_hmw")</f>
        <v>cas_hmw</v>
      </c>
      <c r="B54" s="5">
        <f>IFERROR(__xludf.DUMMYFUNCTION("""COMPUTED_VALUE"""),44715.0)</f>
        <v>44715</v>
      </c>
      <c r="C54" s="6">
        <f>IFERROR(__xludf.DUMMYFUNCTION("""COMPUTED_VALUE"""),0.3210069444430701)</f>
        <v>0.3210069444</v>
      </c>
      <c r="D54" s="4">
        <f>IFERROR(__xludf.DUMMYFUNCTION("""COMPUTED_VALUE"""),12.694423)</f>
        <v>12.694423</v>
      </c>
      <c r="E54" s="4">
        <f>IFERROR(__xludf.DUMMYFUNCTION("""COMPUTED_VALUE"""),79.978464)</f>
        <v>79.978464</v>
      </c>
      <c r="F54" s="4">
        <f>IFERROR(__xludf.DUMMYFUNCTION("""COMPUTED_VALUE"""),805.0)</f>
        <v>805</v>
      </c>
      <c r="G54" s="4">
        <f>IFERROR(__xludf.DUMMYFUNCTION("""COMPUTED_VALUE"""),0.0)</f>
        <v>0</v>
      </c>
      <c r="H54" s="4"/>
      <c r="I54" s="4"/>
    </row>
    <row r="55">
      <c r="A55" s="4" t="str">
        <f>IFERROR(__xludf.DUMMYFUNCTION("""COMPUTED_VALUE"""),"cas_hmw")</f>
        <v>cas_hmw</v>
      </c>
      <c r="B55" s="5">
        <f>IFERROR(__xludf.DUMMYFUNCTION("""COMPUTED_VALUE"""),44715.0)</f>
        <v>44715</v>
      </c>
      <c r="C55" s="6">
        <f>IFERROR(__xludf.DUMMYFUNCTION("""COMPUTED_VALUE"""),0.333391203705105)</f>
        <v>0.3333912037</v>
      </c>
      <c r="D55" s="4">
        <f>IFERROR(__xludf.DUMMYFUNCTION("""COMPUTED_VALUE"""),12.972348)</f>
        <v>12.972348</v>
      </c>
      <c r="E55" s="4">
        <f>IFERROR(__xludf.DUMMYFUNCTION("""COMPUTED_VALUE"""),80.151788)</f>
        <v>80.151788</v>
      </c>
      <c r="F55" s="4">
        <f>IFERROR(__xludf.DUMMYFUNCTION("""COMPUTED_VALUE"""),2846.0)</f>
        <v>2846</v>
      </c>
      <c r="G55" s="4">
        <f>IFERROR(__xludf.DUMMYFUNCTION("""COMPUTED_VALUE"""),13.0)</f>
        <v>13</v>
      </c>
      <c r="H55" s="4"/>
      <c r="I55" s="4"/>
    </row>
    <row r="56">
      <c r="A56" s="4" t="str">
        <f>IFERROR(__xludf.DUMMYFUNCTION("""COMPUTED_VALUE"""),"cas_hmw")</f>
        <v>cas_hmw</v>
      </c>
      <c r="B56" s="5">
        <f>IFERROR(__xludf.DUMMYFUNCTION("""COMPUTED_VALUE"""),44715.0)</f>
        <v>44715</v>
      </c>
      <c r="C56" s="6">
        <f>IFERROR(__xludf.DUMMYFUNCTION("""COMPUTED_VALUE"""),0.3344907407408755)</f>
        <v>0.3344907407</v>
      </c>
      <c r="D56" s="4">
        <f>IFERROR(__xludf.DUMMYFUNCTION("""COMPUTED_VALUE"""),12.966885)</f>
        <v>12.966885</v>
      </c>
      <c r="E56" s="4">
        <f>IFERROR(__xludf.DUMMYFUNCTION("""COMPUTED_VALUE"""),80.14893)</f>
        <v>80.14893</v>
      </c>
      <c r="F56" s="4">
        <f>IFERROR(__xludf.DUMMYFUNCTION("""COMPUTED_VALUE"""),2846.0)</f>
        <v>2846</v>
      </c>
      <c r="G56" s="4">
        <f>IFERROR(__xludf.DUMMYFUNCTION("""COMPUTED_VALUE"""),19.0)</f>
        <v>19</v>
      </c>
      <c r="H56" s="4"/>
      <c r="I56" s="4"/>
    </row>
    <row r="57">
      <c r="A57" s="4" t="str">
        <f>IFERROR(__xludf.DUMMYFUNCTION("""COMPUTED_VALUE"""),"cas_hmw")</f>
        <v>cas_hmw</v>
      </c>
      <c r="B57" s="5">
        <f>IFERROR(__xludf.DUMMYFUNCTION("""COMPUTED_VALUE"""),44715.0)</f>
        <v>44715</v>
      </c>
      <c r="C57" s="6">
        <f>IFERROR(__xludf.DUMMYFUNCTION("""COMPUTED_VALUE"""),0.3356828703690553)</f>
        <v>0.3356828704</v>
      </c>
      <c r="D57" s="4">
        <f>IFERROR(__xludf.DUMMYFUNCTION("""COMPUTED_VALUE"""),12.961513)</f>
        <v>12.961513</v>
      </c>
      <c r="E57" s="4">
        <f>IFERROR(__xludf.DUMMYFUNCTION("""COMPUTED_VALUE"""),80.146125)</f>
        <v>80.146125</v>
      </c>
      <c r="F57" s="4">
        <f>IFERROR(__xludf.DUMMYFUNCTION("""COMPUTED_VALUE"""),2846.0)</f>
        <v>2846</v>
      </c>
      <c r="G57" s="4">
        <f>IFERROR(__xludf.DUMMYFUNCTION("""COMPUTED_VALUE"""),0.0)</f>
        <v>0</v>
      </c>
      <c r="H57" s="4"/>
      <c r="I57" s="4"/>
    </row>
    <row r="58">
      <c r="A58" s="4" t="str">
        <f>IFERROR(__xludf.DUMMYFUNCTION("""COMPUTED_VALUE"""),"cas_hmw")</f>
        <v>cas_hmw</v>
      </c>
      <c r="B58" s="5">
        <f>IFERROR(__xludf.DUMMYFUNCTION("""COMPUTED_VALUE"""),44715.0)</f>
        <v>44715</v>
      </c>
      <c r="C58" s="6">
        <f>IFERROR(__xludf.DUMMYFUNCTION("""COMPUTED_VALUE"""),0.3367361111122591)</f>
        <v>0.3367361111</v>
      </c>
      <c r="D58" s="4">
        <f>IFERROR(__xludf.DUMMYFUNCTION("""COMPUTED_VALUE"""),12.955953)</f>
        <v>12.955953</v>
      </c>
      <c r="E58" s="4">
        <f>IFERROR(__xludf.DUMMYFUNCTION("""COMPUTED_VALUE"""),80.143162)</f>
        <v>80.143162</v>
      </c>
      <c r="F58" s="4">
        <f>IFERROR(__xludf.DUMMYFUNCTION("""COMPUTED_VALUE"""),2846.0)</f>
        <v>2846</v>
      </c>
      <c r="G58" s="4">
        <f>IFERROR(__xludf.DUMMYFUNCTION("""COMPUTED_VALUE"""),20.0)</f>
        <v>20</v>
      </c>
      <c r="H58" s="4"/>
      <c r="I58" s="4"/>
    </row>
    <row r="59">
      <c r="A59" s="4" t="str">
        <f>IFERROR(__xludf.DUMMYFUNCTION("""COMPUTED_VALUE"""),"cas_hmw")</f>
        <v>cas_hmw</v>
      </c>
      <c r="B59" s="5">
        <f>IFERROR(__xludf.DUMMYFUNCTION("""COMPUTED_VALUE"""),44715.0)</f>
        <v>44715</v>
      </c>
      <c r="C59" s="6">
        <f>IFERROR(__xludf.DUMMYFUNCTION("""COMPUTED_VALUE"""),0.3376041666670062)</f>
        <v>0.3376041667</v>
      </c>
      <c r="D59" s="4">
        <f>IFERROR(__xludf.DUMMYFUNCTION("""COMPUTED_VALUE"""),12.952315)</f>
        <v>12.952315</v>
      </c>
      <c r="E59" s="4">
        <f>IFERROR(__xludf.DUMMYFUNCTION("""COMPUTED_VALUE"""),80.141002)</f>
        <v>80.141002</v>
      </c>
      <c r="F59" s="4">
        <f>IFERROR(__xludf.DUMMYFUNCTION("""COMPUTED_VALUE"""),2846.0)</f>
        <v>2846</v>
      </c>
      <c r="G59" s="4">
        <f>IFERROR(__xludf.DUMMYFUNCTION("""COMPUTED_VALUE"""),6.0)</f>
        <v>6</v>
      </c>
      <c r="H59" s="4"/>
      <c r="I59" s="4"/>
    </row>
    <row r="60">
      <c r="A60" s="4" t="str">
        <f>IFERROR(__xludf.DUMMYFUNCTION("""COMPUTED_VALUE"""),"cas_hmw")</f>
        <v>cas_hmw</v>
      </c>
      <c r="B60" s="5">
        <f>IFERROR(__xludf.DUMMYFUNCTION("""COMPUTED_VALUE"""),44715.0)</f>
        <v>44715</v>
      </c>
      <c r="C60" s="6">
        <f>IFERROR(__xludf.DUMMYFUNCTION("""COMPUTED_VALUE"""),0.3376157407401479)</f>
        <v>0.3376157407</v>
      </c>
      <c r="D60" s="4">
        <f>IFERROR(__xludf.DUMMYFUNCTION("""COMPUTED_VALUE"""),12.952093)</f>
        <v>12.952093</v>
      </c>
      <c r="E60" s="4">
        <f>IFERROR(__xludf.DUMMYFUNCTION("""COMPUTED_VALUE"""),80.140834)</f>
        <v>80.140834</v>
      </c>
      <c r="F60" s="4">
        <f>IFERROR(__xludf.DUMMYFUNCTION("""COMPUTED_VALUE"""),2846.0)</f>
        <v>2846</v>
      </c>
      <c r="G60" s="4">
        <f>IFERROR(__xludf.DUMMYFUNCTION("""COMPUTED_VALUE"""),17.0)</f>
        <v>17</v>
      </c>
      <c r="H60" s="4"/>
      <c r="I60" s="4"/>
    </row>
    <row r="61">
      <c r="A61" s="4" t="str">
        <f>IFERROR(__xludf.DUMMYFUNCTION("""COMPUTED_VALUE"""),"cas_hmw")</f>
        <v>cas_hmw</v>
      </c>
      <c r="B61" s="5">
        <f>IFERROR(__xludf.DUMMYFUNCTION("""COMPUTED_VALUE"""),44715.0)</f>
        <v>44715</v>
      </c>
      <c r="C61" s="6">
        <f>IFERROR(__xludf.DUMMYFUNCTION("""COMPUTED_VALUE"""),0.3376504629632109)</f>
        <v>0.337650463</v>
      </c>
      <c r="D61" s="4">
        <f>IFERROR(__xludf.DUMMYFUNCTION("""COMPUTED_VALUE"""),12.952093)</f>
        <v>12.952093</v>
      </c>
      <c r="E61" s="4">
        <f>IFERROR(__xludf.DUMMYFUNCTION("""COMPUTED_VALUE"""),80.140834)</f>
        <v>80.140834</v>
      </c>
      <c r="F61" s="4">
        <f>IFERROR(__xludf.DUMMYFUNCTION("""COMPUTED_VALUE"""),2846.0)</f>
        <v>2846</v>
      </c>
      <c r="G61" s="4">
        <f>IFERROR(__xludf.DUMMYFUNCTION("""COMPUTED_VALUE"""),17.0)</f>
        <v>17</v>
      </c>
      <c r="H61" s="4"/>
      <c r="I61" s="4"/>
    </row>
    <row r="62">
      <c r="A62" s="4" t="str">
        <f>IFERROR(__xludf.DUMMYFUNCTION("""COMPUTED_VALUE"""),"cas_hmw")</f>
        <v>cas_hmw</v>
      </c>
      <c r="B62" s="5">
        <f>IFERROR(__xludf.DUMMYFUNCTION("""COMPUTED_VALUE"""),44715.0)</f>
        <v>44715</v>
      </c>
      <c r="C62" s="6">
        <f>IFERROR(__xludf.DUMMYFUNCTION("""COMPUTED_VALUE"""),0.6993981481464289)</f>
        <v>0.6993981481</v>
      </c>
      <c r="D62" s="4">
        <f>IFERROR(__xludf.DUMMYFUNCTION("""COMPUTED_VALUE"""),12.879064)</f>
        <v>12.879064</v>
      </c>
      <c r="E62" s="4">
        <f>IFERROR(__xludf.DUMMYFUNCTION("""COMPUTED_VALUE"""),80.080317)</f>
        <v>80.080317</v>
      </c>
      <c r="F62" s="4">
        <f>IFERROR(__xludf.DUMMYFUNCTION("""COMPUTED_VALUE"""),2846.0)</f>
        <v>2846</v>
      </c>
      <c r="G62" s="4">
        <f>IFERROR(__xludf.DUMMYFUNCTION("""COMPUTED_VALUE"""),14.0)</f>
        <v>14</v>
      </c>
      <c r="H62" s="4"/>
      <c r="I62" s="4"/>
    </row>
    <row r="63">
      <c r="A63" s="4" t="str">
        <f>IFERROR(__xludf.DUMMYFUNCTION("""COMPUTED_VALUE"""),"cas_hmw")</f>
        <v>cas_hmw</v>
      </c>
      <c r="B63" s="5">
        <f>IFERROR(__xludf.DUMMYFUNCTION("""COMPUTED_VALUE"""),44715.0)</f>
        <v>44715</v>
      </c>
      <c r="C63" s="6">
        <f>IFERROR(__xludf.DUMMYFUNCTION("""COMPUTED_VALUE"""),0.7023379629645206)</f>
        <v>0.702337963</v>
      </c>
      <c r="D63" s="4">
        <f>IFERROR(__xludf.DUMMYFUNCTION("""COMPUTED_VALUE"""),12.866683)</f>
        <v>12.866683</v>
      </c>
      <c r="E63" s="4">
        <f>IFERROR(__xludf.DUMMYFUNCTION("""COMPUTED_VALUE"""),80.075311)</f>
        <v>80.075311</v>
      </c>
      <c r="F63" s="4">
        <f>IFERROR(__xludf.DUMMYFUNCTION("""COMPUTED_VALUE"""),805.0)</f>
        <v>805</v>
      </c>
      <c r="G63" s="4">
        <f>IFERROR(__xludf.DUMMYFUNCTION("""COMPUTED_VALUE"""),19.0)</f>
        <v>19</v>
      </c>
      <c r="H63" s="4"/>
      <c r="I63" s="4"/>
    </row>
    <row r="64">
      <c r="A64" s="4" t="str">
        <f>IFERROR(__xludf.DUMMYFUNCTION("""COMPUTED_VALUE"""),"cas_hmw")</f>
        <v>cas_hmw</v>
      </c>
      <c r="B64" s="5">
        <f>IFERROR(__xludf.DUMMYFUNCTION("""COMPUTED_VALUE"""),44715.0)</f>
        <v>44715</v>
      </c>
      <c r="C64" s="6">
        <f>IFERROR(__xludf.DUMMYFUNCTION("""COMPUTED_VALUE"""),0.7070486111115315)</f>
        <v>0.7070486111</v>
      </c>
      <c r="D64" s="4">
        <f>IFERROR(__xludf.DUMMYFUNCTION("""COMPUTED_VALUE"""),12.840665)</f>
        <v>12.840665</v>
      </c>
      <c r="E64" s="4">
        <f>IFERROR(__xludf.DUMMYFUNCTION("""COMPUTED_VALUE"""),80.056475)</f>
        <v>80.056475</v>
      </c>
      <c r="F64" s="4">
        <f>IFERROR(__xludf.DUMMYFUNCTION("""COMPUTED_VALUE"""),805.0)</f>
        <v>805</v>
      </c>
      <c r="G64" s="4">
        <f>IFERROR(__xludf.DUMMYFUNCTION("""COMPUTED_VALUE"""),0.0)</f>
        <v>0</v>
      </c>
      <c r="H64" s="4"/>
      <c r="I64" s="4"/>
    </row>
    <row r="65">
      <c r="A65" s="4" t="str">
        <f>IFERROR(__xludf.DUMMYFUNCTION("""COMPUTED_VALUE"""),"cas_hmw")</f>
        <v>cas_hmw</v>
      </c>
      <c r="B65" s="5">
        <f>IFERROR(__xludf.DUMMYFUNCTION("""COMPUTED_VALUE"""),44715.0)</f>
        <v>44715</v>
      </c>
      <c r="C65" s="6">
        <f>IFERROR(__xludf.DUMMYFUNCTION("""COMPUTED_VALUE"""),0.7096180555563478)</f>
        <v>0.7096180556</v>
      </c>
      <c r="D65" s="4">
        <f>IFERROR(__xludf.DUMMYFUNCTION("""COMPUTED_VALUE"""),12.821444)</f>
        <v>12.821444</v>
      </c>
      <c r="E65" s="4">
        <f>IFERROR(__xludf.DUMMYFUNCTION("""COMPUTED_VALUE"""),80.037815)</f>
        <v>80.037815</v>
      </c>
      <c r="F65" s="4">
        <f>IFERROR(__xludf.DUMMYFUNCTION("""COMPUTED_VALUE"""),805.0)</f>
        <v>805</v>
      </c>
      <c r="G65" s="4">
        <f>IFERROR(__xludf.DUMMYFUNCTION("""COMPUTED_VALUE"""),0.0)</f>
        <v>0</v>
      </c>
      <c r="H65" s="4"/>
      <c r="I65" s="4"/>
    </row>
    <row r="66">
      <c r="A66" s="4" t="str">
        <f>IFERROR(__xludf.DUMMYFUNCTION("""COMPUTED_VALUE"""),"cas_hmw")</f>
        <v>cas_hmw</v>
      </c>
      <c r="B66" s="5">
        <f>IFERROR(__xludf.DUMMYFUNCTION("""COMPUTED_VALUE"""),44715.0)</f>
        <v>44715</v>
      </c>
      <c r="C66" s="6">
        <f>IFERROR(__xludf.DUMMYFUNCTION("""COMPUTED_VALUE"""),0.7100115740722686)</f>
        <v>0.7100115741</v>
      </c>
      <c r="D66" s="4">
        <f>IFERROR(__xludf.DUMMYFUNCTION("""COMPUTED_VALUE"""),12.92994)</f>
        <v>12.92994</v>
      </c>
      <c r="E66" s="4">
        <f>IFERROR(__xludf.DUMMYFUNCTION("""COMPUTED_VALUE"""),80.12102)</f>
        <v>80.12102</v>
      </c>
      <c r="F66" s="4">
        <f>IFERROR(__xludf.DUMMYFUNCTION("""COMPUTED_VALUE"""),2846.0)</f>
        <v>2846</v>
      </c>
      <c r="G66" s="4">
        <f>IFERROR(__xludf.DUMMYFUNCTION("""COMPUTED_VALUE"""),18.0)</f>
        <v>18</v>
      </c>
      <c r="H66" s="4"/>
      <c r="I66" s="4"/>
    </row>
    <row r="67">
      <c r="A67" s="4" t="str">
        <f>IFERROR(__xludf.DUMMYFUNCTION("""COMPUTED_VALUE"""),"cas_hmw")</f>
        <v>cas_hmw</v>
      </c>
      <c r="B67" s="5">
        <f>IFERROR(__xludf.DUMMYFUNCTION("""COMPUTED_VALUE"""),44715.0)</f>
        <v>44715</v>
      </c>
      <c r="C67" s="6">
        <f>IFERROR(__xludf.DUMMYFUNCTION("""COMPUTED_VALUE"""),0.7109606481499213)</f>
        <v>0.7109606481</v>
      </c>
      <c r="D67" s="4">
        <f>IFERROR(__xludf.DUMMYFUNCTION("""COMPUTED_VALUE"""),12.931463)</f>
        <v>12.931463</v>
      </c>
      <c r="E67" s="4">
        <f>IFERROR(__xludf.DUMMYFUNCTION("""COMPUTED_VALUE"""),80.122583)</f>
        <v>80.122583</v>
      </c>
      <c r="F67" s="4">
        <f>IFERROR(__xludf.DUMMYFUNCTION("""COMPUTED_VALUE"""),2846.0)</f>
        <v>2846</v>
      </c>
      <c r="G67" s="4">
        <f>IFERROR(__xludf.DUMMYFUNCTION("""COMPUTED_VALUE"""),10.0)</f>
        <v>10</v>
      </c>
      <c r="H67" s="4"/>
      <c r="I67" s="4"/>
    </row>
    <row r="68">
      <c r="A68" s="4" t="str">
        <f>IFERROR(__xludf.DUMMYFUNCTION("""COMPUTED_VALUE"""),"cas_hmw")</f>
        <v>cas_hmw</v>
      </c>
      <c r="B68" s="5">
        <f>IFERROR(__xludf.DUMMYFUNCTION("""COMPUTED_VALUE"""),44715.0)</f>
        <v>44715</v>
      </c>
      <c r="C68" s="6">
        <f>IFERROR(__xludf.DUMMYFUNCTION("""COMPUTED_VALUE"""),0.7122569444436522)</f>
        <v>0.7122569444</v>
      </c>
      <c r="D68" s="4">
        <f>IFERROR(__xludf.DUMMYFUNCTION("""COMPUTED_VALUE"""),12.799767)</f>
        <v>12.799767</v>
      </c>
      <c r="E68" s="4">
        <f>IFERROR(__xludf.DUMMYFUNCTION("""COMPUTED_VALUE"""),80.023316)</f>
        <v>80.023316</v>
      </c>
      <c r="F68" s="4">
        <f>IFERROR(__xludf.DUMMYFUNCTION("""COMPUTED_VALUE"""),805.0)</f>
        <v>805</v>
      </c>
      <c r="G68" s="4">
        <f>IFERROR(__xludf.DUMMYFUNCTION("""COMPUTED_VALUE"""),19.0)</f>
        <v>19</v>
      </c>
      <c r="H68" s="4"/>
      <c r="I68" s="4"/>
    </row>
    <row r="69">
      <c r="A69" s="4" t="str">
        <f>IFERROR(__xludf.DUMMYFUNCTION("""COMPUTED_VALUE"""),"cas_hmw")</f>
        <v>cas_hmw</v>
      </c>
      <c r="B69" s="5">
        <f>IFERROR(__xludf.DUMMYFUNCTION("""COMPUTED_VALUE"""),44715.0)</f>
        <v>44715</v>
      </c>
      <c r="C69" s="6">
        <f>IFERROR(__xludf.DUMMYFUNCTION("""COMPUTED_VALUE"""),0.7153240740735782)</f>
        <v>0.7153240741</v>
      </c>
      <c r="D69" s="4">
        <f>IFERROR(__xludf.DUMMYFUNCTION("""COMPUTED_VALUE"""),12.955956)</f>
        <v>12.955956</v>
      </c>
      <c r="E69" s="4">
        <f>IFERROR(__xludf.DUMMYFUNCTION("""COMPUTED_VALUE"""),80.14297)</f>
        <v>80.14297</v>
      </c>
      <c r="F69" s="4">
        <f>IFERROR(__xludf.DUMMYFUNCTION("""COMPUTED_VALUE"""),2846.0)</f>
        <v>2846</v>
      </c>
      <c r="G69" s="4">
        <f>IFERROR(__xludf.DUMMYFUNCTION("""COMPUTED_VALUE"""),14.0)</f>
        <v>14</v>
      </c>
      <c r="H69" s="4"/>
      <c r="I69" s="4"/>
    </row>
    <row r="70">
      <c r="A70" s="4" t="str">
        <f>IFERROR(__xludf.DUMMYFUNCTION("""COMPUTED_VALUE"""),"cas_hmw")</f>
        <v>cas_hmw</v>
      </c>
      <c r="B70" s="5">
        <f>IFERROR(__xludf.DUMMYFUNCTION("""COMPUTED_VALUE"""),44715.0)</f>
        <v>44715</v>
      </c>
      <c r="C70" s="6">
        <f>IFERROR(__xludf.DUMMYFUNCTION("""COMPUTED_VALUE"""),0.7153356481467199)</f>
        <v>0.7153356481</v>
      </c>
      <c r="D70" s="4">
        <f>IFERROR(__xludf.DUMMYFUNCTION("""COMPUTED_VALUE"""),12.955956)</f>
        <v>12.955956</v>
      </c>
      <c r="E70" s="4">
        <f>IFERROR(__xludf.DUMMYFUNCTION("""COMPUTED_VALUE"""),80.14297)</f>
        <v>80.14297</v>
      </c>
      <c r="F70" s="4">
        <f>IFERROR(__xludf.DUMMYFUNCTION("""COMPUTED_VALUE"""),2846.0)</f>
        <v>2846</v>
      </c>
      <c r="G70" s="4">
        <f>IFERROR(__xludf.DUMMYFUNCTION("""COMPUTED_VALUE"""),14.0)</f>
        <v>14</v>
      </c>
      <c r="H70" s="4"/>
      <c r="I70" s="4"/>
    </row>
    <row r="71">
      <c r="A71" s="4" t="str">
        <f>IFERROR(__xludf.DUMMYFUNCTION("""COMPUTED_VALUE"""),"cas_hmw")</f>
        <v>cas_hmw</v>
      </c>
      <c r="B71" s="5">
        <f>IFERROR(__xludf.DUMMYFUNCTION("""COMPUTED_VALUE"""),44715.0)</f>
        <v>44715</v>
      </c>
      <c r="C71" s="6">
        <f>IFERROR(__xludf.DUMMYFUNCTION("""COMPUTED_VALUE"""),0.7153472222234996)</f>
        <v>0.7153472222</v>
      </c>
      <c r="D71" s="4">
        <f>IFERROR(__xludf.DUMMYFUNCTION("""COMPUTED_VALUE"""),12.955956)</f>
        <v>12.955956</v>
      </c>
      <c r="E71" s="4">
        <f>IFERROR(__xludf.DUMMYFUNCTION("""COMPUTED_VALUE"""),80.14297)</f>
        <v>80.14297</v>
      </c>
      <c r="F71" s="4">
        <f>IFERROR(__xludf.DUMMYFUNCTION("""COMPUTED_VALUE"""),2846.0)</f>
        <v>2846</v>
      </c>
      <c r="G71" s="4">
        <f>IFERROR(__xludf.DUMMYFUNCTION("""COMPUTED_VALUE"""),14.0)</f>
        <v>14</v>
      </c>
      <c r="H71" s="4"/>
      <c r="I71" s="4"/>
    </row>
    <row r="72">
      <c r="A72" s="4" t="str">
        <f>IFERROR(__xludf.DUMMYFUNCTION("""COMPUTED_VALUE"""),"cas_hmw")</f>
        <v>cas_hmw</v>
      </c>
      <c r="B72" s="5">
        <f>IFERROR(__xludf.DUMMYFUNCTION("""COMPUTED_VALUE"""),44715.0)</f>
        <v>44715</v>
      </c>
      <c r="C72" s="6">
        <f>IFERROR(__xludf.DUMMYFUNCTION("""COMPUTED_VALUE"""),0.7175347222218988)</f>
        <v>0.7175347222</v>
      </c>
      <c r="D72" s="4">
        <f>IFERROR(__xludf.DUMMYFUNCTION("""COMPUTED_VALUE"""),12.961166)</f>
        <v>12.961166</v>
      </c>
      <c r="E72" s="4">
        <f>IFERROR(__xludf.DUMMYFUNCTION("""COMPUTED_VALUE"""),80.145725)</f>
        <v>80.145725</v>
      </c>
      <c r="F72" s="4">
        <f>IFERROR(__xludf.DUMMYFUNCTION("""COMPUTED_VALUE"""),2846.0)</f>
        <v>2846</v>
      </c>
      <c r="G72" s="4">
        <f>IFERROR(__xludf.DUMMYFUNCTION("""COMPUTED_VALUE"""),19.0)</f>
        <v>19</v>
      </c>
      <c r="H72" s="4"/>
      <c r="I72" s="4"/>
    </row>
    <row r="73">
      <c r="A73" s="4" t="str">
        <f>IFERROR(__xludf.DUMMYFUNCTION("""COMPUTED_VALUE"""),"cas_hmw")</f>
        <v>cas_hmw</v>
      </c>
      <c r="B73" s="5">
        <f>IFERROR(__xludf.DUMMYFUNCTION("""COMPUTED_VALUE"""),44715.0)</f>
        <v>44715</v>
      </c>
      <c r="C73" s="6">
        <f>IFERROR(__xludf.DUMMYFUNCTION("""COMPUTED_VALUE"""),0.7327893518522615)</f>
        <v>0.7327893519</v>
      </c>
      <c r="D73" s="4">
        <f>IFERROR(__xludf.DUMMYFUNCTION("""COMPUTED_VALUE"""),12.697356)</f>
        <v>12.697356</v>
      </c>
      <c r="E73" s="4">
        <f>IFERROR(__xludf.DUMMYFUNCTION("""COMPUTED_VALUE"""),79.972257)</f>
        <v>79.972257</v>
      </c>
      <c r="F73" s="4">
        <f>IFERROR(__xludf.DUMMYFUNCTION("""COMPUTED_VALUE"""),805.0)</f>
        <v>805</v>
      </c>
      <c r="G73" s="4">
        <f>IFERROR(__xludf.DUMMYFUNCTION("""COMPUTED_VALUE"""),0.0)</f>
        <v>0</v>
      </c>
      <c r="H73" s="4"/>
      <c r="I73" s="4"/>
    </row>
    <row r="74">
      <c r="A74" s="4" t="str">
        <f>IFERROR(__xludf.DUMMYFUNCTION("""COMPUTED_VALUE"""),"cas_hmw")</f>
        <v>cas_hmw</v>
      </c>
      <c r="B74" s="5">
        <f>IFERROR(__xludf.DUMMYFUNCTION("""COMPUTED_VALUE"""),44715.0)</f>
        <v>44715</v>
      </c>
      <c r="C74" s="6">
        <f>IFERROR(__xludf.DUMMYFUNCTION("""COMPUTED_VALUE"""),0.7337384259262762)</f>
        <v>0.7337384259</v>
      </c>
      <c r="D74" s="4">
        <f>IFERROR(__xludf.DUMMYFUNCTION("""COMPUTED_VALUE"""),13.019802)</f>
        <v>13.019802</v>
      </c>
      <c r="E74" s="4">
        <f>IFERROR(__xludf.DUMMYFUNCTION("""COMPUTED_VALUE"""),80.224494)</f>
        <v>80.224494</v>
      </c>
      <c r="F74" s="4">
        <f>IFERROR(__xludf.DUMMYFUNCTION("""COMPUTED_VALUE"""),2846.0)</f>
        <v>2846</v>
      </c>
      <c r="G74" s="4">
        <f>IFERROR(__xludf.DUMMYFUNCTION("""COMPUTED_VALUE"""),13.0)</f>
        <v>13</v>
      </c>
      <c r="H74" s="4"/>
      <c r="I74" s="4"/>
    </row>
    <row r="75">
      <c r="A75" s="4" t="str">
        <f>IFERROR(__xludf.DUMMYFUNCTION("""COMPUTED_VALUE"""),"cas_hmw")</f>
        <v>cas_hmw</v>
      </c>
      <c r="B75" s="5">
        <f>IFERROR(__xludf.DUMMYFUNCTION("""COMPUTED_VALUE"""),44715.0)</f>
        <v>44715</v>
      </c>
      <c r="C75" s="6">
        <f>IFERROR(__xludf.DUMMYFUNCTION("""COMPUTED_VALUE"""),0.7337499999994179)</f>
        <v>0.73375</v>
      </c>
      <c r="D75" s="4">
        <f>IFERROR(__xludf.DUMMYFUNCTION("""COMPUTED_VALUE"""),13.019802)</f>
        <v>13.019802</v>
      </c>
      <c r="E75" s="4">
        <f>IFERROR(__xludf.DUMMYFUNCTION("""COMPUTED_VALUE"""),80.224494)</f>
        <v>80.224494</v>
      </c>
      <c r="F75" s="4">
        <f>IFERROR(__xludf.DUMMYFUNCTION("""COMPUTED_VALUE"""),2846.0)</f>
        <v>2846</v>
      </c>
      <c r="G75" s="4">
        <f>IFERROR(__xludf.DUMMYFUNCTION("""COMPUTED_VALUE"""),13.0)</f>
        <v>13</v>
      </c>
      <c r="H75" s="4"/>
      <c r="I75" s="4"/>
    </row>
    <row r="76">
      <c r="A76" s="4" t="str">
        <f>IFERROR(__xludf.DUMMYFUNCTION("""COMPUTED_VALUE"""),"cas_hmw")</f>
        <v>cas_hmw</v>
      </c>
      <c r="B76" s="5">
        <f>IFERROR(__xludf.DUMMYFUNCTION("""COMPUTED_VALUE"""),44715.0)</f>
        <v>44715</v>
      </c>
      <c r="C76" s="6">
        <f>IFERROR(__xludf.DUMMYFUNCTION("""COMPUTED_VALUE"""),0.734097222222772)</f>
        <v>0.7340972222</v>
      </c>
      <c r="D76" s="4">
        <f>IFERROR(__xludf.DUMMYFUNCTION("""COMPUTED_VALUE"""),13.021258)</f>
        <v>13.021258</v>
      </c>
      <c r="E76" s="4">
        <f>IFERROR(__xludf.DUMMYFUNCTION("""COMPUTED_VALUE"""),80.225609)</f>
        <v>80.225609</v>
      </c>
      <c r="F76" s="4">
        <f>IFERROR(__xludf.DUMMYFUNCTION("""COMPUTED_VALUE"""),2846.0)</f>
        <v>2846</v>
      </c>
      <c r="G76" s="4">
        <f>IFERROR(__xludf.DUMMYFUNCTION("""COMPUTED_VALUE"""),11.0)</f>
        <v>11</v>
      </c>
      <c r="H76" s="4"/>
      <c r="I76" s="4"/>
    </row>
    <row r="77">
      <c r="A77" s="4" t="str">
        <f>IFERROR(__xludf.DUMMYFUNCTION("""COMPUTED_VALUE"""),"cas_hmw")</f>
        <v>cas_hmw</v>
      </c>
      <c r="B77" s="5">
        <f>IFERROR(__xludf.DUMMYFUNCTION("""COMPUTED_VALUE"""),44715.0)</f>
        <v>44715</v>
      </c>
      <c r="C77" s="6">
        <f>IFERROR(__xludf.DUMMYFUNCTION("""COMPUTED_VALUE"""),0.7363773148135806)</f>
        <v>0.7363773148</v>
      </c>
      <c r="D77" s="4">
        <f>IFERROR(__xludf.DUMMYFUNCTION("""COMPUTED_VALUE"""),12.691049)</f>
        <v>12.691049</v>
      </c>
      <c r="E77" s="4">
        <f>IFERROR(__xludf.DUMMYFUNCTION("""COMPUTED_VALUE"""),79.981031)</f>
        <v>79.981031</v>
      </c>
      <c r="F77" s="4">
        <f>IFERROR(__xludf.DUMMYFUNCTION("""COMPUTED_VALUE"""),805.0)</f>
        <v>805</v>
      </c>
      <c r="G77" s="4">
        <f>IFERROR(__xludf.DUMMYFUNCTION("""COMPUTED_VALUE"""),18.0)</f>
        <v>18</v>
      </c>
      <c r="H77" s="4"/>
      <c r="I77" s="4"/>
    </row>
    <row r="78">
      <c r="A78" s="4" t="str">
        <f>IFERROR(__xludf.DUMMYFUNCTION("""COMPUTED_VALUE"""),"cas_hmw")</f>
        <v>cas_hmw</v>
      </c>
      <c r="B78" s="5">
        <f>IFERROR(__xludf.DUMMYFUNCTION("""COMPUTED_VALUE"""),44715.0)</f>
        <v>44715</v>
      </c>
      <c r="C78" s="6">
        <f>IFERROR(__xludf.DUMMYFUNCTION("""COMPUTED_VALUE"""),0.7421296296306537)</f>
        <v>0.7421296296</v>
      </c>
      <c r="D78" s="4">
        <f>IFERROR(__xludf.DUMMYFUNCTION("""COMPUTED_VALUE"""),12.66571)</f>
        <v>12.66571</v>
      </c>
      <c r="E78" s="4">
        <f>IFERROR(__xludf.DUMMYFUNCTION("""COMPUTED_VALUE"""),79.969948)</f>
        <v>79.969948</v>
      </c>
      <c r="F78" s="4">
        <f>IFERROR(__xludf.DUMMYFUNCTION("""COMPUTED_VALUE"""),805.0)</f>
        <v>805</v>
      </c>
      <c r="G78" s="4">
        <f>IFERROR(__xludf.DUMMYFUNCTION("""COMPUTED_VALUE"""),17.0)</f>
        <v>17</v>
      </c>
      <c r="H78" s="4"/>
      <c r="I78" s="4"/>
    </row>
    <row r="79">
      <c r="A79" s="4" t="str">
        <f>IFERROR(__xludf.DUMMYFUNCTION("""COMPUTED_VALUE"""),"cas_hmw")</f>
        <v>cas_hmw</v>
      </c>
      <c r="B79" s="5">
        <f>IFERROR(__xludf.DUMMYFUNCTION("""COMPUTED_VALUE"""),44715.0)</f>
        <v>44715</v>
      </c>
      <c r="C79" s="6">
        <f>IFERROR(__xludf.DUMMYFUNCTION("""COMPUTED_VALUE"""),0.7531828703686188)</f>
        <v>0.7531828704</v>
      </c>
      <c r="D79" s="4">
        <f>IFERROR(__xludf.DUMMYFUNCTION("""COMPUTED_VALUE"""),13.062082)</f>
        <v>13.062082</v>
      </c>
      <c r="E79" s="4">
        <f>IFERROR(__xludf.DUMMYFUNCTION("""COMPUTED_VALUE"""),80.262747)</f>
        <v>80.262747</v>
      </c>
      <c r="F79" s="4">
        <f>IFERROR(__xludf.DUMMYFUNCTION("""COMPUTED_VALUE"""),2846.0)</f>
        <v>2846</v>
      </c>
      <c r="G79" s="4">
        <f>IFERROR(__xludf.DUMMYFUNCTION("""COMPUTED_VALUE"""),15.0)</f>
        <v>15</v>
      </c>
      <c r="H79" s="4"/>
      <c r="I79" s="4"/>
    </row>
    <row r="80">
      <c r="A80" s="4" t="str">
        <f>IFERROR(__xludf.DUMMYFUNCTION("""COMPUTED_VALUE"""),"cas_hmw")</f>
        <v>cas_hmw</v>
      </c>
      <c r="B80" s="5">
        <f>IFERROR(__xludf.DUMMYFUNCTION("""COMPUTED_VALUE"""),44715.0)</f>
        <v>44715</v>
      </c>
      <c r="C80" s="6">
        <f>IFERROR(__xludf.DUMMYFUNCTION("""COMPUTED_VALUE"""),0.7531944444453984)</f>
        <v>0.7531944444</v>
      </c>
      <c r="D80" s="4">
        <f>IFERROR(__xludf.DUMMYFUNCTION("""COMPUTED_VALUE"""),13.062082)</f>
        <v>13.062082</v>
      </c>
      <c r="E80" s="4">
        <f>IFERROR(__xludf.DUMMYFUNCTION("""COMPUTED_VALUE"""),80.262747)</f>
        <v>80.262747</v>
      </c>
      <c r="F80" s="4">
        <f>IFERROR(__xludf.DUMMYFUNCTION("""COMPUTED_VALUE"""),2846.0)</f>
        <v>2846</v>
      </c>
      <c r="G80" s="4">
        <f>IFERROR(__xludf.DUMMYFUNCTION("""COMPUTED_VALUE"""),15.0)</f>
        <v>15</v>
      </c>
      <c r="H80" s="4"/>
      <c r="I80" s="4"/>
    </row>
    <row r="81">
      <c r="A81" s="4" t="str">
        <f>IFERROR(__xludf.DUMMYFUNCTION("""COMPUTED_VALUE"""),"cas_hmw")</f>
        <v>cas_hmw</v>
      </c>
      <c r="B81" s="5">
        <f>IFERROR(__xludf.DUMMYFUNCTION("""COMPUTED_VALUE"""),44715.0)</f>
        <v>44715</v>
      </c>
      <c r="C81" s="6">
        <f>IFERROR(__xludf.DUMMYFUNCTION("""COMPUTED_VALUE"""),0.7531944444453984)</f>
        <v>0.7531944444</v>
      </c>
      <c r="D81" s="4">
        <f>IFERROR(__xludf.DUMMYFUNCTION("""COMPUTED_VALUE"""),13.062082)</f>
        <v>13.062082</v>
      </c>
      <c r="E81" s="4">
        <f>IFERROR(__xludf.DUMMYFUNCTION("""COMPUTED_VALUE"""),80.262747)</f>
        <v>80.262747</v>
      </c>
      <c r="F81" s="4">
        <f>IFERROR(__xludf.DUMMYFUNCTION("""COMPUTED_VALUE"""),2846.0)</f>
        <v>2846</v>
      </c>
      <c r="G81" s="4">
        <f>IFERROR(__xludf.DUMMYFUNCTION("""COMPUTED_VALUE"""),15.0)</f>
        <v>15</v>
      </c>
      <c r="H81" s="4"/>
      <c r="I81" s="4"/>
    </row>
    <row r="82">
      <c r="A82" s="4" t="str">
        <f>IFERROR(__xludf.DUMMYFUNCTION("""COMPUTED_VALUE"""),"cas_hmw")</f>
        <v>cas_hmw</v>
      </c>
      <c r="B82" s="5">
        <f>IFERROR(__xludf.DUMMYFUNCTION("""COMPUTED_VALUE"""),44715.0)</f>
        <v>44715</v>
      </c>
      <c r="C82" s="6">
        <f>IFERROR(__xludf.DUMMYFUNCTION("""COMPUTED_VALUE"""),0.7652199074072996)</f>
        <v>0.7652199074</v>
      </c>
      <c r="D82" s="4">
        <f>IFERROR(__xludf.DUMMYFUNCTION("""COMPUTED_VALUE"""),12.49612)</f>
        <v>12.49612</v>
      </c>
      <c r="E82" s="4">
        <f>IFERROR(__xludf.DUMMYFUNCTION("""COMPUTED_VALUE"""),79.872126)</f>
        <v>79.872126</v>
      </c>
      <c r="F82" s="4">
        <f>IFERROR(__xludf.DUMMYFUNCTION("""COMPUTED_VALUE"""),805.0)</f>
        <v>805</v>
      </c>
      <c r="G82" s="4">
        <f>IFERROR(__xludf.DUMMYFUNCTION("""COMPUTED_VALUE"""),0.0)</f>
        <v>0</v>
      </c>
      <c r="H82" s="4"/>
      <c r="I82" s="4"/>
    </row>
    <row r="83">
      <c r="A83" s="4" t="str">
        <f>IFERROR(__xludf.DUMMYFUNCTION("""COMPUTED_VALUE"""),"cas_hmw")</f>
        <v>cas_hmw</v>
      </c>
      <c r="B83" s="5">
        <f>IFERROR(__xludf.DUMMYFUNCTION("""COMPUTED_VALUE"""),44715.0)</f>
        <v>44715</v>
      </c>
      <c r="C83" s="6">
        <f>IFERROR(__xludf.DUMMYFUNCTION("""COMPUTED_VALUE"""),0.7816666666658421)</f>
        <v>0.7816666667</v>
      </c>
      <c r="D83" s="4">
        <f>IFERROR(__xludf.DUMMYFUNCTION("""COMPUTED_VALUE"""),13.024578)</f>
        <v>13.024578</v>
      </c>
      <c r="E83" s="4">
        <f>IFERROR(__xludf.DUMMYFUNCTION("""COMPUTED_VALUE"""),80.229131)</f>
        <v>80.229131</v>
      </c>
      <c r="F83" s="4">
        <f>IFERROR(__xludf.DUMMYFUNCTION("""COMPUTED_VALUE"""),2846.0)</f>
        <v>2846</v>
      </c>
      <c r="G83" s="4">
        <f>IFERROR(__xludf.DUMMYFUNCTION("""COMPUTED_VALUE"""),5.0)</f>
        <v>5</v>
      </c>
      <c r="H83" s="4"/>
      <c r="I83" s="4"/>
    </row>
    <row r="84">
      <c r="A84" s="4" t="str">
        <f>IFERROR(__xludf.DUMMYFUNCTION("""COMPUTED_VALUE"""),"cas_hmw")</f>
        <v>cas_hmw</v>
      </c>
      <c r="B84" s="5">
        <f>IFERROR(__xludf.DUMMYFUNCTION("""COMPUTED_VALUE"""),44715.0)</f>
        <v>44715</v>
      </c>
      <c r="C84" s="6">
        <f>IFERROR(__xludf.DUMMYFUNCTION("""COMPUTED_VALUE"""),0.7894328703696374)</f>
        <v>0.7894328704</v>
      </c>
      <c r="D84" s="4">
        <f>IFERROR(__xludf.DUMMYFUNCTION("""COMPUTED_VALUE"""),13.007477)</f>
        <v>13.007477</v>
      </c>
      <c r="E84" s="4">
        <f>IFERROR(__xludf.DUMMYFUNCTION("""COMPUTED_VALUE"""),80.205824)</f>
        <v>80.205824</v>
      </c>
      <c r="F84" s="4">
        <f>IFERROR(__xludf.DUMMYFUNCTION("""COMPUTED_VALUE"""),2846.0)</f>
        <v>2846</v>
      </c>
      <c r="G84" s="4">
        <f>IFERROR(__xludf.DUMMYFUNCTION("""COMPUTED_VALUE"""),11.0)</f>
        <v>11</v>
      </c>
      <c r="H84" s="4"/>
      <c r="I84" s="4"/>
    </row>
    <row r="85">
      <c r="A85" s="4" t="str">
        <f>IFERROR(__xludf.DUMMYFUNCTION("""COMPUTED_VALUE"""),"cas_hmw")</f>
        <v>cas_hmw</v>
      </c>
      <c r="B85" s="5">
        <f>IFERROR(__xludf.DUMMYFUNCTION("""COMPUTED_VALUE"""),44715.0)</f>
        <v>44715</v>
      </c>
      <c r="C85" s="6">
        <f>IFERROR(__xludf.DUMMYFUNCTION("""COMPUTED_VALUE"""),0.7947106481478841)</f>
        <v>0.7947106481</v>
      </c>
      <c r="D85" s="4">
        <f>IFERROR(__xludf.DUMMYFUNCTION("""COMPUTED_VALUE"""),12.762541)</f>
        <v>12.762541</v>
      </c>
      <c r="E85" s="4">
        <f>IFERROR(__xludf.DUMMYFUNCTION("""COMPUTED_VALUE"""),80.003841)</f>
        <v>80.003841</v>
      </c>
      <c r="F85" s="4">
        <f>IFERROR(__xludf.DUMMYFUNCTION("""COMPUTED_VALUE"""),805.0)</f>
        <v>805</v>
      </c>
      <c r="G85" s="4">
        <f>IFERROR(__xludf.DUMMYFUNCTION("""COMPUTED_VALUE"""),0.0)</f>
        <v>0</v>
      </c>
      <c r="H85" s="4"/>
      <c r="I85" s="4"/>
    </row>
    <row r="86">
      <c r="A86" s="4" t="str">
        <f>IFERROR(__xludf.DUMMYFUNCTION("""COMPUTED_VALUE"""),"cas_hmw")</f>
        <v>cas_hmw</v>
      </c>
      <c r="B86" s="5">
        <f>IFERROR(__xludf.DUMMYFUNCTION("""COMPUTED_VALUE"""),44715.0)</f>
        <v>44715</v>
      </c>
      <c r="C86" s="6">
        <f>IFERROR(__xludf.DUMMYFUNCTION("""COMPUTED_VALUE"""),0.7947685185172304)</f>
        <v>0.7947685185</v>
      </c>
      <c r="D86" s="4">
        <f>IFERROR(__xludf.DUMMYFUNCTION("""COMPUTED_VALUE"""),12.762541)</f>
        <v>12.762541</v>
      </c>
      <c r="E86" s="4">
        <f>IFERROR(__xludf.DUMMYFUNCTION("""COMPUTED_VALUE"""),80.003841)</f>
        <v>80.003841</v>
      </c>
      <c r="F86" s="4">
        <f>IFERROR(__xludf.DUMMYFUNCTION("""COMPUTED_VALUE"""),805.0)</f>
        <v>805</v>
      </c>
      <c r="G86" s="4">
        <f>IFERROR(__xludf.DUMMYFUNCTION("""COMPUTED_VALUE"""),0.0)</f>
        <v>0</v>
      </c>
      <c r="H86" s="4"/>
      <c r="I86" s="4"/>
    </row>
    <row r="87">
      <c r="A87" s="4" t="str">
        <f>IFERROR(__xludf.DUMMYFUNCTION("""COMPUTED_VALUE"""),"cas_hmw")</f>
        <v>cas_hmw</v>
      </c>
      <c r="B87" s="5">
        <f>IFERROR(__xludf.DUMMYFUNCTION("""COMPUTED_VALUE"""),44715.0)</f>
        <v>44715</v>
      </c>
      <c r="C87" s="6">
        <f>IFERROR(__xludf.DUMMYFUNCTION("""COMPUTED_VALUE"""),0.7994675925910997)</f>
        <v>0.7994675926</v>
      </c>
      <c r="D87" s="4">
        <f>IFERROR(__xludf.DUMMYFUNCTION("""COMPUTED_VALUE"""),12.989584)</f>
        <v>12.989584</v>
      </c>
      <c r="E87" s="4">
        <f>IFERROR(__xludf.DUMMYFUNCTION("""COMPUTED_VALUE"""),80.179135)</f>
        <v>80.179135</v>
      </c>
      <c r="F87" s="4">
        <f>IFERROR(__xludf.DUMMYFUNCTION("""COMPUTED_VALUE"""),2846.0)</f>
        <v>2846</v>
      </c>
      <c r="G87" s="4">
        <f>IFERROR(__xludf.DUMMYFUNCTION("""COMPUTED_VALUE"""),12.0)</f>
        <v>12</v>
      </c>
      <c r="H87" s="4"/>
      <c r="I87" s="4"/>
    </row>
    <row r="88">
      <c r="A88" s="4" t="str">
        <f>IFERROR(__xludf.DUMMYFUNCTION("""COMPUTED_VALUE"""),"cas_hmw")</f>
        <v>cas_hmw</v>
      </c>
      <c r="B88" s="5">
        <f>IFERROR(__xludf.DUMMYFUNCTION("""COMPUTED_VALUE"""),44715.0)</f>
        <v>44715</v>
      </c>
      <c r="C88" s="6">
        <f>IFERROR(__xludf.DUMMYFUNCTION("""COMPUTED_VALUE"""),0.8016898148161999)</f>
        <v>0.8016898148</v>
      </c>
      <c r="D88" s="4">
        <f>IFERROR(__xludf.DUMMYFUNCTION("""COMPUTED_VALUE"""),12.98402)</f>
        <v>12.98402</v>
      </c>
      <c r="E88" s="4">
        <f>IFERROR(__xludf.DUMMYFUNCTION("""COMPUTED_VALUE"""),80.171166)</f>
        <v>80.171166</v>
      </c>
      <c r="F88" s="4">
        <f>IFERROR(__xludf.DUMMYFUNCTION("""COMPUTED_VALUE"""),2846.0)</f>
        <v>2846</v>
      </c>
      <c r="G88" s="4">
        <f>IFERROR(__xludf.DUMMYFUNCTION("""COMPUTED_VALUE"""),17.0)</f>
        <v>17</v>
      </c>
      <c r="H88" s="4"/>
      <c r="I88" s="4"/>
    </row>
    <row r="89">
      <c r="A89" s="4" t="str">
        <f>IFERROR(__xludf.DUMMYFUNCTION("""COMPUTED_VALUE"""),"cas_hmw")</f>
        <v>cas_hmw</v>
      </c>
      <c r="B89" s="5">
        <f>IFERROR(__xludf.DUMMYFUNCTION("""COMPUTED_VALUE"""),44715.0)</f>
        <v>44715</v>
      </c>
      <c r="C89" s="6">
        <f>IFERROR(__xludf.DUMMYFUNCTION("""COMPUTED_VALUE"""),0.8147106481483206)</f>
        <v>0.8147106481</v>
      </c>
      <c r="D89" s="4">
        <f>IFERROR(__xludf.DUMMYFUNCTION("""COMPUTED_VALUE"""),12.878971)</f>
        <v>12.878971</v>
      </c>
      <c r="E89" s="4">
        <f>IFERROR(__xludf.DUMMYFUNCTION("""COMPUTED_VALUE"""),80.079879)</f>
        <v>80.079879</v>
      </c>
      <c r="F89" s="4">
        <f>IFERROR(__xludf.DUMMYFUNCTION("""COMPUTED_VALUE"""),805.0)</f>
        <v>805</v>
      </c>
      <c r="G89" s="4">
        <f>IFERROR(__xludf.DUMMYFUNCTION("""COMPUTED_VALUE"""),2.0)</f>
        <v>2</v>
      </c>
      <c r="H89" s="4"/>
      <c r="I89" s="4"/>
    </row>
    <row r="90">
      <c r="A90" s="4" t="str">
        <f>IFERROR(__xludf.DUMMYFUNCTION("""COMPUTED_VALUE"""),"cas_hmw")</f>
        <v>cas_hmw</v>
      </c>
      <c r="B90" s="5">
        <f>IFERROR(__xludf.DUMMYFUNCTION("""COMPUTED_VALUE"""),44715.0)</f>
        <v>44715</v>
      </c>
      <c r="C90" s="6">
        <f>IFERROR(__xludf.DUMMYFUNCTION("""COMPUTED_VALUE"""),0.8189120370370802)</f>
        <v>0.818912037</v>
      </c>
      <c r="D90" s="4">
        <f>IFERROR(__xludf.DUMMYFUNCTION("""COMPUTED_VALUE"""),12.950698)</f>
        <v>12.950698</v>
      </c>
      <c r="E90" s="4">
        <f>IFERROR(__xludf.DUMMYFUNCTION("""COMPUTED_VALUE"""),80.139762)</f>
        <v>80.139762</v>
      </c>
      <c r="F90" s="4">
        <f>IFERROR(__xludf.DUMMYFUNCTION("""COMPUTED_VALUE"""),2846.0)</f>
        <v>2846</v>
      </c>
      <c r="G90" s="4">
        <f>IFERROR(__xludf.DUMMYFUNCTION("""COMPUTED_VALUE"""),5.0)</f>
        <v>5</v>
      </c>
      <c r="H90" s="4"/>
      <c r="I90" s="4"/>
    </row>
    <row r="91">
      <c r="A91" s="4" t="str">
        <f>IFERROR(__xludf.DUMMYFUNCTION("""COMPUTED_VALUE"""),"cas_hmw")</f>
        <v>cas_hmw</v>
      </c>
      <c r="B91" s="5">
        <f>IFERROR(__xludf.DUMMYFUNCTION("""COMPUTED_VALUE"""),44715.0)</f>
        <v>44715</v>
      </c>
      <c r="C91" s="6">
        <f>IFERROR(__xludf.DUMMYFUNCTION("""COMPUTED_VALUE"""),0.8189351851870015)</f>
        <v>0.8189351852</v>
      </c>
      <c r="D91" s="4">
        <f>IFERROR(__xludf.DUMMYFUNCTION("""COMPUTED_VALUE"""),12.950698)</f>
        <v>12.950698</v>
      </c>
      <c r="E91" s="4">
        <f>IFERROR(__xludf.DUMMYFUNCTION("""COMPUTED_VALUE"""),80.139762)</f>
        <v>80.139762</v>
      </c>
      <c r="F91" s="4">
        <f>IFERROR(__xludf.DUMMYFUNCTION("""COMPUTED_VALUE"""),2846.0)</f>
        <v>2846</v>
      </c>
      <c r="G91" s="4">
        <f>IFERROR(__xludf.DUMMYFUNCTION("""COMPUTED_VALUE"""),5.0)</f>
        <v>5</v>
      </c>
      <c r="H91" s="4"/>
      <c r="I91" s="4"/>
    </row>
    <row r="92">
      <c r="A92" s="4" t="str">
        <f>IFERROR(__xludf.DUMMYFUNCTION("""COMPUTED_VALUE"""),"cas_hmw")</f>
        <v>cas_hmw</v>
      </c>
      <c r="B92" s="5">
        <f>IFERROR(__xludf.DUMMYFUNCTION("""COMPUTED_VALUE"""),44715.0)</f>
        <v>44715</v>
      </c>
      <c r="C92" s="6">
        <f>IFERROR(__xludf.DUMMYFUNCTION("""COMPUTED_VALUE"""),0.8220486111094942)</f>
        <v>0.8220486111</v>
      </c>
      <c r="D92" s="4">
        <f>IFERROR(__xludf.DUMMYFUNCTION("""COMPUTED_VALUE"""),12.932066)</f>
        <v>12.932066</v>
      </c>
      <c r="E92" s="4">
        <f>IFERROR(__xludf.DUMMYFUNCTION("""COMPUTED_VALUE"""),80.123387)</f>
        <v>80.123387</v>
      </c>
      <c r="F92" s="4">
        <f>IFERROR(__xludf.DUMMYFUNCTION("""COMPUTED_VALUE"""),2846.0)</f>
        <v>2846</v>
      </c>
      <c r="G92" s="4">
        <f>IFERROR(__xludf.DUMMYFUNCTION("""COMPUTED_VALUE"""),20.0)</f>
        <v>20</v>
      </c>
      <c r="H92" s="4"/>
      <c r="I92" s="4"/>
    </row>
    <row r="93">
      <c r="A93" s="4" t="str">
        <f>IFERROR(__xludf.DUMMYFUNCTION("""COMPUTED_VALUE"""),"cas_hmw")</f>
        <v>cas_hmw</v>
      </c>
      <c r="B93" s="5">
        <f>IFERROR(__xludf.DUMMYFUNCTION("""COMPUTED_VALUE"""),44715.0)</f>
        <v>44715</v>
      </c>
      <c r="C93" s="6">
        <f>IFERROR(__xludf.DUMMYFUNCTION("""COMPUTED_VALUE"""),0.8234953703686188)</f>
        <v>0.8234953704</v>
      </c>
      <c r="D93" s="4">
        <f>IFERROR(__xludf.DUMMYFUNCTION("""COMPUTED_VALUE"""),12.926278)</f>
        <v>12.926278</v>
      </c>
      <c r="E93" s="4">
        <f>IFERROR(__xludf.DUMMYFUNCTION("""COMPUTED_VALUE"""),80.117505)</f>
        <v>80.117505</v>
      </c>
      <c r="F93" s="4">
        <f>IFERROR(__xludf.DUMMYFUNCTION("""COMPUTED_VALUE"""),2846.0)</f>
        <v>2846</v>
      </c>
      <c r="G93" s="4">
        <f>IFERROR(__xludf.DUMMYFUNCTION("""COMPUTED_VALUE"""),20.0)</f>
        <v>20</v>
      </c>
      <c r="H93" s="4"/>
      <c r="I93" s="4"/>
    </row>
    <row r="94">
      <c r="A94" s="4" t="str">
        <f>IFERROR(__xludf.DUMMYFUNCTION("""COMPUTED_VALUE"""),"cas_hmw")</f>
        <v>cas_hmw</v>
      </c>
      <c r="B94" s="5">
        <f>IFERROR(__xludf.DUMMYFUNCTION("""COMPUTED_VALUE"""),44715.0)</f>
        <v>44715</v>
      </c>
      <c r="C94" s="6">
        <f>IFERROR(__xludf.DUMMYFUNCTION("""COMPUTED_VALUE"""),0.8293518518512428)</f>
        <v>0.8293518519</v>
      </c>
      <c r="D94" s="4">
        <f>IFERROR(__xludf.DUMMYFUNCTION("""COMPUTED_VALUE"""),12.90628)</f>
        <v>12.90628</v>
      </c>
      <c r="E94" s="4">
        <f>IFERROR(__xludf.DUMMYFUNCTION("""COMPUTED_VALUE"""),80.096374)</f>
        <v>80.096374</v>
      </c>
      <c r="F94" s="4">
        <f>IFERROR(__xludf.DUMMYFUNCTION("""COMPUTED_VALUE"""),2846.0)</f>
        <v>2846</v>
      </c>
      <c r="G94" s="4">
        <f>IFERROR(__xludf.DUMMYFUNCTION("""COMPUTED_VALUE"""),8.0)</f>
        <v>8</v>
      </c>
      <c r="H94" s="4"/>
      <c r="I94" s="4"/>
    </row>
    <row r="95">
      <c r="A95" s="4" t="str">
        <f>IFERROR(__xludf.DUMMYFUNCTION("""COMPUTED_VALUE"""),"cas_hmw")</f>
        <v>cas_hmw</v>
      </c>
      <c r="B95" s="5">
        <f>IFERROR(__xludf.DUMMYFUNCTION("""COMPUTED_VALUE"""),44715.0)</f>
        <v>44715</v>
      </c>
      <c r="C95" s="6">
        <f>IFERROR(__xludf.DUMMYFUNCTION("""COMPUTED_VALUE"""),0.8293634259243845)</f>
        <v>0.8293634259</v>
      </c>
      <c r="D95" s="4">
        <f>IFERROR(__xludf.DUMMYFUNCTION("""COMPUTED_VALUE"""),12.90628)</f>
        <v>12.90628</v>
      </c>
      <c r="E95" s="4">
        <f>IFERROR(__xludf.DUMMYFUNCTION("""COMPUTED_VALUE"""),80.096374)</f>
        <v>80.096374</v>
      </c>
      <c r="F95" s="4">
        <f>IFERROR(__xludf.DUMMYFUNCTION("""COMPUTED_VALUE"""),2846.0)</f>
        <v>2846</v>
      </c>
      <c r="G95" s="4">
        <f>IFERROR(__xludf.DUMMYFUNCTION("""COMPUTED_VALUE"""),8.0)</f>
        <v>8</v>
      </c>
      <c r="H95" s="4"/>
      <c r="I95" s="4"/>
    </row>
    <row r="96">
      <c r="A96" s="4" t="str">
        <f>IFERROR(__xludf.DUMMYFUNCTION("""COMPUTED_VALUE"""),"cas_hmw")</f>
        <v>cas_hmw</v>
      </c>
      <c r="B96" s="5">
        <f>IFERROR(__xludf.DUMMYFUNCTION("""COMPUTED_VALUE"""),44715.0)</f>
        <v>44715</v>
      </c>
      <c r="C96" s="6">
        <f>IFERROR(__xludf.DUMMYFUNCTION("""COMPUTED_VALUE"""),0.8295949074090458)</f>
        <v>0.8295949074</v>
      </c>
      <c r="D96" s="4">
        <f>IFERROR(__xludf.DUMMYFUNCTION("""COMPUTED_VALUE"""),12.905368)</f>
        <v>12.905368</v>
      </c>
      <c r="E96" s="4">
        <f>IFERROR(__xludf.DUMMYFUNCTION("""COMPUTED_VALUE"""),80.095676)</f>
        <v>80.095676</v>
      </c>
      <c r="F96" s="4">
        <f>IFERROR(__xludf.DUMMYFUNCTION("""COMPUTED_VALUE"""),2846.0)</f>
        <v>2846</v>
      </c>
      <c r="G96" s="4">
        <f>IFERROR(__xludf.DUMMYFUNCTION("""COMPUTED_VALUE"""),20.0)</f>
        <v>20</v>
      </c>
      <c r="H96" s="4"/>
      <c r="I96" s="4"/>
    </row>
    <row r="97">
      <c r="A97" s="4" t="str">
        <f>IFERROR(__xludf.DUMMYFUNCTION("""COMPUTED_VALUE"""),"cas_hmw")</f>
        <v>cas_hmw</v>
      </c>
      <c r="B97" s="5">
        <f>IFERROR(__xludf.DUMMYFUNCTION("""COMPUTED_VALUE"""),44715.0)</f>
        <v>44715</v>
      </c>
      <c r="C97" s="6">
        <f>IFERROR(__xludf.DUMMYFUNCTION("""COMPUTED_VALUE"""),0.8330671296280343)</f>
        <v>0.8330671296</v>
      </c>
      <c r="D97" s="4">
        <f>IFERROR(__xludf.DUMMYFUNCTION("""COMPUTED_VALUE"""),12.882126)</f>
        <v>12.882126</v>
      </c>
      <c r="E97" s="4">
        <f>IFERROR(__xludf.DUMMYFUNCTION("""COMPUTED_VALUE"""),80.081533)</f>
        <v>80.081533</v>
      </c>
      <c r="F97" s="4">
        <f>IFERROR(__xludf.DUMMYFUNCTION("""COMPUTED_VALUE"""),2846.0)</f>
        <v>2846</v>
      </c>
      <c r="G97" s="4">
        <f>IFERROR(__xludf.DUMMYFUNCTION("""COMPUTED_VALUE"""),18.0)</f>
        <v>18</v>
      </c>
      <c r="H97" s="4"/>
      <c r="I97" s="4"/>
    </row>
    <row r="98">
      <c r="A98" s="4" t="str">
        <f>IFERROR(__xludf.DUMMYFUNCTION("""COMPUTED_VALUE"""),"cas_hmw")</f>
        <v>cas_hmw</v>
      </c>
      <c r="B98" s="5">
        <f>IFERROR(__xludf.DUMMYFUNCTION("""COMPUTED_VALUE"""),44716.0)</f>
        <v>44716</v>
      </c>
      <c r="C98" s="6">
        <f>IFERROR(__xludf.DUMMYFUNCTION("""COMPUTED_VALUE"""),0.49452546296379296)</f>
        <v>0.494525463</v>
      </c>
      <c r="D98" s="4">
        <f>IFERROR(__xludf.DUMMYFUNCTION("""COMPUTED_VALUE"""),13.054751)</f>
        <v>13.054751</v>
      </c>
      <c r="E98" s="4">
        <f>IFERROR(__xludf.DUMMYFUNCTION("""COMPUTED_VALUE"""),80.123746)</f>
        <v>80.123746</v>
      </c>
      <c r="F98" s="4">
        <f>IFERROR(__xludf.DUMMYFUNCTION("""COMPUTED_VALUE"""),5339.0)</f>
        <v>5339</v>
      </c>
      <c r="G98" s="4">
        <f>IFERROR(__xludf.DUMMYFUNCTION("""COMPUTED_VALUE"""),4.0)</f>
        <v>4</v>
      </c>
      <c r="H98" s="4"/>
      <c r="I98" s="4"/>
    </row>
    <row r="99">
      <c r="A99" s="4" t="str">
        <f>IFERROR(__xludf.DUMMYFUNCTION("""COMPUTED_VALUE"""),"cas_hmw")</f>
        <v>cas_hmw</v>
      </c>
      <c r="B99" s="5">
        <f>IFERROR(__xludf.DUMMYFUNCTION("""COMPUTED_VALUE"""),44716.0)</f>
        <v>44716</v>
      </c>
      <c r="C99" s="6">
        <f>IFERROR(__xludf.DUMMYFUNCTION("""COMPUTED_VALUE"""),0.4981365740750334)</f>
        <v>0.4981365741</v>
      </c>
      <c r="D99" s="4">
        <f>IFERROR(__xludf.DUMMYFUNCTION("""COMPUTED_VALUE"""),13.056509)</f>
        <v>13.056509</v>
      </c>
      <c r="E99" s="4">
        <f>IFERROR(__xludf.DUMMYFUNCTION("""COMPUTED_VALUE"""),80.098002)</f>
        <v>80.098002</v>
      </c>
      <c r="F99" s="4">
        <f>IFERROR(__xludf.DUMMYFUNCTION("""COMPUTED_VALUE"""),5339.0)</f>
        <v>5339</v>
      </c>
      <c r="G99" s="4">
        <f>IFERROR(__xludf.DUMMYFUNCTION("""COMPUTED_VALUE"""),0.0)</f>
        <v>0</v>
      </c>
      <c r="H99" s="4"/>
      <c r="I99" s="4"/>
    </row>
    <row r="100">
      <c r="A100" s="4" t="str">
        <f>IFERROR(__xludf.DUMMYFUNCTION("""COMPUTED_VALUE"""),"cas_hmw")</f>
        <v>cas_hmw</v>
      </c>
      <c r="B100" s="5">
        <f>IFERROR(__xludf.DUMMYFUNCTION("""COMPUTED_VALUE"""),44718.0)</f>
        <v>44718</v>
      </c>
      <c r="C100" s="6">
        <f>IFERROR(__xludf.DUMMYFUNCTION("""COMPUTED_VALUE"""),0.2525694444448163)</f>
        <v>0.2525694444</v>
      </c>
      <c r="D100" s="4">
        <f>IFERROR(__xludf.DUMMYFUNCTION("""COMPUTED_VALUE"""),12.843869)</f>
        <v>12.843869</v>
      </c>
      <c r="E100" s="4">
        <f>IFERROR(__xludf.DUMMYFUNCTION("""COMPUTED_VALUE"""),80.059744)</f>
        <v>80.059744</v>
      </c>
      <c r="F100" s="4">
        <f>IFERROR(__xludf.DUMMYFUNCTION("""COMPUTED_VALUE"""),805.0)</f>
        <v>805</v>
      </c>
      <c r="G100" s="4">
        <f>IFERROR(__xludf.DUMMYFUNCTION("""COMPUTED_VALUE"""),19.0)</f>
        <v>19</v>
      </c>
      <c r="H100" s="4"/>
      <c r="I100" s="4"/>
    </row>
    <row r="101">
      <c r="A101" s="4" t="str">
        <f>IFERROR(__xludf.DUMMYFUNCTION("""COMPUTED_VALUE"""),"cas_hmw")</f>
        <v>cas_hmw</v>
      </c>
      <c r="B101" s="5">
        <f>IFERROR(__xludf.DUMMYFUNCTION("""COMPUTED_VALUE"""),44718.0)</f>
        <v>44718</v>
      </c>
      <c r="C101" s="6">
        <f>IFERROR(__xludf.DUMMYFUNCTION("""COMPUTED_VALUE"""),0.252581018517958)</f>
        <v>0.2525810185</v>
      </c>
      <c r="D101" s="4">
        <f>IFERROR(__xludf.DUMMYFUNCTION("""COMPUTED_VALUE"""),12.843869)</f>
        <v>12.843869</v>
      </c>
      <c r="E101" s="4">
        <f>IFERROR(__xludf.DUMMYFUNCTION("""COMPUTED_VALUE"""),80.059744)</f>
        <v>80.059744</v>
      </c>
      <c r="F101" s="4">
        <f>IFERROR(__xludf.DUMMYFUNCTION("""COMPUTED_VALUE"""),805.0)</f>
        <v>805</v>
      </c>
      <c r="G101" s="4">
        <f>IFERROR(__xludf.DUMMYFUNCTION("""COMPUTED_VALUE"""),19.0)</f>
        <v>19</v>
      </c>
      <c r="H101" s="4"/>
      <c r="I101" s="4"/>
    </row>
    <row r="102">
      <c r="A102" s="4" t="str">
        <f>IFERROR(__xludf.DUMMYFUNCTION("""COMPUTED_VALUE"""),"cas_hmw")</f>
        <v>cas_hmw</v>
      </c>
      <c r="B102" s="5">
        <f>IFERROR(__xludf.DUMMYFUNCTION("""COMPUTED_VALUE"""),44718.0)</f>
        <v>44718</v>
      </c>
      <c r="C102" s="6">
        <f>IFERROR(__xludf.DUMMYFUNCTION("""COMPUTED_VALUE"""),0.28043981481459923)</f>
        <v>0.2804398148</v>
      </c>
      <c r="D102" s="4">
        <f>IFERROR(__xludf.DUMMYFUNCTION("""COMPUTED_VALUE"""),13.031015)</f>
        <v>13.031015</v>
      </c>
      <c r="E102" s="4">
        <f>IFERROR(__xludf.DUMMYFUNCTION("""COMPUTED_VALUE"""),80.23935)</f>
        <v>80.23935</v>
      </c>
      <c r="F102" s="4">
        <f>IFERROR(__xludf.DUMMYFUNCTION("""COMPUTED_VALUE"""),2846.0)</f>
        <v>2846</v>
      </c>
      <c r="G102" s="4">
        <f>IFERROR(__xludf.DUMMYFUNCTION("""COMPUTED_VALUE"""),0.0)</f>
        <v>0</v>
      </c>
      <c r="H102" s="4"/>
      <c r="I102" s="4"/>
    </row>
    <row r="103">
      <c r="A103" s="4" t="str">
        <f>IFERROR(__xludf.DUMMYFUNCTION("""COMPUTED_VALUE"""),"cas_hmw")</f>
        <v>cas_hmw</v>
      </c>
      <c r="B103" s="5">
        <f>IFERROR(__xludf.DUMMYFUNCTION("""COMPUTED_VALUE"""),44718.0)</f>
        <v>44718</v>
      </c>
      <c r="C103" s="6">
        <f>IFERROR(__xludf.DUMMYFUNCTION("""COMPUTED_VALUE"""),0.2804976851839456)</f>
        <v>0.2804976852</v>
      </c>
      <c r="D103" s="4">
        <f>IFERROR(__xludf.DUMMYFUNCTION("""COMPUTED_VALUE"""),13.031015)</f>
        <v>13.031015</v>
      </c>
      <c r="E103" s="4">
        <f>IFERROR(__xludf.DUMMYFUNCTION("""COMPUTED_VALUE"""),80.23935)</f>
        <v>80.23935</v>
      </c>
      <c r="F103" s="4">
        <f>IFERROR(__xludf.DUMMYFUNCTION("""COMPUTED_VALUE"""),2846.0)</f>
        <v>2846</v>
      </c>
      <c r="G103" s="4">
        <f>IFERROR(__xludf.DUMMYFUNCTION("""COMPUTED_VALUE"""),0.0)</f>
        <v>0</v>
      </c>
      <c r="H103" s="4"/>
      <c r="I103" s="4"/>
    </row>
    <row r="104">
      <c r="A104" s="4" t="str">
        <f>IFERROR(__xludf.DUMMYFUNCTION("""COMPUTED_VALUE"""),"cas_hmw")</f>
        <v>cas_hmw</v>
      </c>
      <c r="B104" s="5">
        <f>IFERROR(__xludf.DUMMYFUNCTION("""COMPUTED_VALUE"""),44718.0)</f>
        <v>44718</v>
      </c>
      <c r="C104" s="6">
        <f>IFERROR(__xludf.DUMMYFUNCTION("""COMPUTED_VALUE"""),0.2838541666678793)</f>
        <v>0.2838541667</v>
      </c>
      <c r="D104" s="4">
        <f>IFERROR(__xludf.DUMMYFUNCTION("""COMPUTED_VALUE"""),13.05705)</f>
        <v>13.05705</v>
      </c>
      <c r="E104" s="4">
        <f>IFERROR(__xludf.DUMMYFUNCTION("""COMPUTED_VALUE"""),80.255062)</f>
        <v>80.255062</v>
      </c>
      <c r="F104" s="4">
        <f>IFERROR(__xludf.DUMMYFUNCTION("""COMPUTED_VALUE"""),2846.0)</f>
        <v>2846</v>
      </c>
      <c r="G104" s="4">
        <f>IFERROR(__xludf.DUMMYFUNCTION("""COMPUTED_VALUE"""),13.0)</f>
        <v>13</v>
      </c>
      <c r="H104" s="4"/>
      <c r="I104" s="4"/>
    </row>
    <row r="105">
      <c r="A105" s="4" t="str">
        <f>IFERROR(__xludf.DUMMYFUNCTION("""COMPUTED_VALUE"""),"cas_hmw")</f>
        <v>cas_hmw</v>
      </c>
      <c r="B105" s="5">
        <f>IFERROR(__xludf.DUMMYFUNCTION("""COMPUTED_VALUE"""),44718.0)</f>
        <v>44718</v>
      </c>
      <c r="C105" s="6">
        <f>IFERROR(__xludf.DUMMYFUNCTION("""COMPUTED_VALUE"""),0.31361111111255013)</f>
        <v>0.3136111111</v>
      </c>
      <c r="D105" s="4">
        <f>IFERROR(__xludf.DUMMYFUNCTION("""COMPUTED_VALUE"""),12.980324)</f>
        <v>12.980324</v>
      </c>
      <c r="E105" s="4">
        <f>IFERROR(__xludf.DUMMYFUNCTION("""COMPUTED_VALUE"""),80.228192)</f>
        <v>80.228192</v>
      </c>
      <c r="F105" s="4">
        <f>IFERROR(__xludf.DUMMYFUNCTION("""COMPUTED_VALUE"""),3143.0)</f>
        <v>3143</v>
      </c>
      <c r="G105" s="4">
        <f>IFERROR(__xludf.DUMMYFUNCTION("""COMPUTED_VALUE"""),5.0)</f>
        <v>5</v>
      </c>
      <c r="H105" s="4"/>
      <c r="I105" s="4"/>
    </row>
    <row r="106">
      <c r="A106" s="4" t="str">
        <f>IFERROR(__xludf.DUMMYFUNCTION("""COMPUTED_VALUE"""),"cas_hmw")</f>
        <v>cas_hmw</v>
      </c>
      <c r="B106" s="5">
        <f>IFERROR(__xludf.DUMMYFUNCTION("""COMPUTED_VALUE"""),44718.0)</f>
        <v>44718</v>
      </c>
      <c r="C106" s="6">
        <f>IFERROR(__xludf.DUMMYFUNCTION("""COMPUTED_VALUE"""),0.3167939814811689)</f>
        <v>0.3167939815</v>
      </c>
      <c r="D106" s="4">
        <f>IFERROR(__xludf.DUMMYFUNCTION("""COMPUTED_VALUE"""),12.679712)</f>
        <v>12.679712</v>
      </c>
      <c r="E106" s="4">
        <f>IFERROR(__xludf.DUMMYFUNCTION("""COMPUTED_VALUE"""),79.980664)</f>
        <v>79.980664</v>
      </c>
      <c r="F106" s="4">
        <f>IFERROR(__xludf.DUMMYFUNCTION("""COMPUTED_VALUE"""),805.0)</f>
        <v>805</v>
      </c>
      <c r="G106" s="4">
        <f>IFERROR(__xludf.DUMMYFUNCTION("""COMPUTED_VALUE"""),18.0)</f>
        <v>18</v>
      </c>
      <c r="H106" s="4"/>
      <c r="I106" s="4"/>
    </row>
    <row r="107">
      <c r="A107" s="4" t="str">
        <f>IFERROR(__xludf.DUMMYFUNCTION("""COMPUTED_VALUE"""),"cas_hmw")</f>
        <v>cas_hmw</v>
      </c>
      <c r="B107" s="5">
        <f>IFERROR(__xludf.DUMMYFUNCTION("""COMPUTED_VALUE"""),44718.0)</f>
        <v>44718</v>
      </c>
      <c r="C107" s="6">
        <f>IFERROR(__xludf.DUMMYFUNCTION("""COMPUTED_VALUE"""),0.31724537037007394)</f>
        <v>0.3172453704</v>
      </c>
      <c r="D107" s="4">
        <f>IFERROR(__xludf.DUMMYFUNCTION("""COMPUTED_VALUE"""),13.035845)</f>
        <v>13.035845</v>
      </c>
      <c r="E107" s="4">
        <f>IFERROR(__xludf.DUMMYFUNCTION("""COMPUTED_VALUE"""),80.246231)</f>
        <v>80.246231</v>
      </c>
      <c r="F107" s="4">
        <f>IFERROR(__xludf.DUMMYFUNCTION("""COMPUTED_VALUE"""),2846.0)</f>
        <v>2846</v>
      </c>
      <c r="G107" s="4">
        <f>IFERROR(__xludf.DUMMYFUNCTION("""COMPUTED_VALUE"""),0.0)</f>
        <v>0</v>
      </c>
      <c r="H107" s="4"/>
      <c r="I107" s="4"/>
    </row>
    <row r="108">
      <c r="A108" s="4" t="str">
        <f>IFERROR(__xludf.DUMMYFUNCTION("""COMPUTED_VALUE"""),"cas_hmw")</f>
        <v>cas_hmw</v>
      </c>
      <c r="B108" s="5">
        <f>IFERROR(__xludf.DUMMYFUNCTION("""COMPUTED_VALUE"""),44718.0)</f>
        <v>44718</v>
      </c>
      <c r="C108" s="6">
        <f>IFERROR(__xludf.DUMMYFUNCTION("""COMPUTED_VALUE"""),0.31792824074000237)</f>
        <v>0.3179282407</v>
      </c>
      <c r="D108" s="4">
        <f>IFERROR(__xludf.DUMMYFUNCTION("""COMPUTED_VALUE"""),12.682501)</f>
        <v>12.682501</v>
      </c>
      <c r="E108" s="4">
        <f>IFERROR(__xludf.DUMMYFUNCTION("""COMPUTED_VALUE"""),79.982361)</f>
        <v>79.982361</v>
      </c>
      <c r="F108" s="4">
        <f>IFERROR(__xludf.DUMMYFUNCTION("""COMPUTED_VALUE"""),805.0)</f>
        <v>805</v>
      </c>
      <c r="G108" s="4">
        <f>IFERROR(__xludf.DUMMYFUNCTION("""COMPUTED_VALUE"""),17.0)</f>
        <v>17</v>
      </c>
      <c r="H108" s="4"/>
      <c r="I108" s="4"/>
    </row>
    <row r="109">
      <c r="A109" s="4" t="str">
        <f>IFERROR(__xludf.DUMMYFUNCTION("""COMPUTED_VALUE"""),"cas_hmw")</f>
        <v>cas_hmw</v>
      </c>
      <c r="B109" s="5">
        <f>IFERROR(__xludf.DUMMYFUNCTION("""COMPUTED_VALUE"""),44718.0)</f>
        <v>44718</v>
      </c>
      <c r="C109" s="6">
        <f>IFERROR(__xludf.DUMMYFUNCTION("""COMPUTED_VALUE"""),0.31792824074000237)</f>
        <v>0.3179282407</v>
      </c>
      <c r="D109" s="4">
        <f>IFERROR(__xludf.DUMMYFUNCTION("""COMPUTED_VALUE"""),12.682501)</f>
        <v>12.682501</v>
      </c>
      <c r="E109" s="4">
        <f>IFERROR(__xludf.DUMMYFUNCTION("""COMPUTED_VALUE"""),79.982361)</f>
        <v>79.982361</v>
      </c>
      <c r="F109" s="4">
        <f>IFERROR(__xludf.DUMMYFUNCTION("""COMPUTED_VALUE"""),805.0)</f>
        <v>805</v>
      </c>
      <c r="G109" s="4">
        <f>IFERROR(__xludf.DUMMYFUNCTION("""COMPUTED_VALUE"""),17.0)</f>
        <v>17</v>
      </c>
      <c r="H109" s="4"/>
      <c r="I109" s="4"/>
    </row>
    <row r="110">
      <c r="A110" s="4" t="str">
        <f>IFERROR(__xludf.DUMMYFUNCTION("""COMPUTED_VALUE"""),"cas_hmw")</f>
        <v>cas_hmw</v>
      </c>
      <c r="B110" s="5">
        <f>IFERROR(__xludf.DUMMYFUNCTION("""COMPUTED_VALUE"""),44718.0)</f>
        <v>44718</v>
      </c>
      <c r="C110" s="6">
        <f>IFERROR(__xludf.DUMMYFUNCTION("""COMPUTED_VALUE"""),0.3269907407411665)</f>
        <v>0.3269907407</v>
      </c>
      <c r="D110" s="4">
        <f>IFERROR(__xludf.DUMMYFUNCTION("""COMPUTED_VALUE"""),12.72414)</f>
        <v>12.72414</v>
      </c>
      <c r="E110" s="4">
        <f>IFERROR(__xludf.DUMMYFUNCTION("""COMPUTED_VALUE"""),79.98172)</f>
        <v>79.98172</v>
      </c>
      <c r="F110" s="4">
        <f>IFERROR(__xludf.DUMMYFUNCTION("""COMPUTED_VALUE"""),805.0)</f>
        <v>805</v>
      </c>
      <c r="G110" s="4">
        <f>IFERROR(__xludf.DUMMYFUNCTION("""COMPUTED_VALUE"""),0.0)</f>
        <v>0</v>
      </c>
      <c r="H110" s="4"/>
      <c r="I110" s="4"/>
    </row>
    <row r="111">
      <c r="A111" s="4" t="str">
        <f>IFERROR(__xludf.DUMMYFUNCTION("""COMPUTED_VALUE"""),"cas_hmw")</f>
        <v>cas_hmw</v>
      </c>
      <c r="B111" s="5">
        <f>IFERROR(__xludf.DUMMYFUNCTION("""COMPUTED_VALUE"""),44718.0)</f>
        <v>44718</v>
      </c>
      <c r="C111" s="6">
        <f>IFERROR(__xludf.DUMMYFUNCTION("""COMPUTED_VALUE"""),0.33438657407532446)</f>
        <v>0.3343865741</v>
      </c>
      <c r="D111" s="4">
        <f>IFERROR(__xludf.DUMMYFUNCTION("""COMPUTED_VALUE"""),12.971773)</f>
        <v>12.971773</v>
      </c>
      <c r="E111" s="4">
        <f>IFERROR(__xludf.DUMMYFUNCTION("""COMPUTED_VALUE"""),80.151236)</f>
        <v>80.151236</v>
      </c>
      <c r="F111" s="4">
        <f>IFERROR(__xludf.DUMMYFUNCTION("""COMPUTED_VALUE"""),2846.0)</f>
        <v>2846</v>
      </c>
      <c r="G111" s="4">
        <f>IFERROR(__xludf.DUMMYFUNCTION("""COMPUTED_VALUE"""),20.0)</f>
        <v>20</v>
      </c>
      <c r="H111" s="4"/>
      <c r="I111" s="4"/>
    </row>
    <row r="112">
      <c r="A112" s="4" t="str">
        <f>IFERROR(__xludf.DUMMYFUNCTION("""COMPUTED_VALUE"""),"cas_hmw")</f>
        <v>cas_hmw</v>
      </c>
      <c r="B112" s="5">
        <f>IFERROR(__xludf.DUMMYFUNCTION("""COMPUTED_VALUE"""),44718.0)</f>
        <v>44718</v>
      </c>
      <c r="C112" s="6">
        <f>IFERROR(__xludf.DUMMYFUNCTION("""COMPUTED_VALUE"""),0.33570601851897663)</f>
        <v>0.3357060185</v>
      </c>
      <c r="D112" s="4">
        <f>IFERROR(__xludf.DUMMYFUNCTION("""COMPUTED_VALUE"""),12.961659)</f>
        <v>12.961659</v>
      </c>
      <c r="E112" s="4">
        <f>IFERROR(__xludf.DUMMYFUNCTION("""COMPUTED_VALUE"""),80.146195)</f>
        <v>80.146195</v>
      </c>
      <c r="F112" s="4">
        <f>IFERROR(__xludf.DUMMYFUNCTION("""COMPUTED_VALUE"""),2846.0)</f>
        <v>2846</v>
      </c>
      <c r="G112" s="4">
        <f>IFERROR(__xludf.DUMMYFUNCTION("""COMPUTED_VALUE"""),20.0)</f>
        <v>20</v>
      </c>
      <c r="H112" s="4"/>
      <c r="I112" s="4"/>
    </row>
    <row r="113">
      <c r="A113" s="4" t="str">
        <f>IFERROR(__xludf.DUMMYFUNCTION("""COMPUTED_VALUE"""),"cas_hmw")</f>
        <v>cas_hmw</v>
      </c>
      <c r="B113" s="5">
        <f>IFERROR(__xludf.DUMMYFUNCTION("""COMPUTED_VALUE"""),44718.0)</f>
        <v>44718</v>
      </c>
      <c r="C113" s="6">
        <f>IFERROR(__xludf.DUMMYFUNCTION("""COMPUTED_VALUE"""),0.3398726851846732)</f>
        <v>0.3398726852</v>
      </c>
      <c r="D113" s="4">
        <f>IFERROR(__xludf.DUMMYFUNCTION("""COMPUTED_VALUE"""),12.942698)</f>
        <v>12.942698</v>
      </c>
      <c r="E113" s="4">
        <f>IFERROR(__xludf.DUMMYFUNCTION("""COMPUTED_VALUE"""),80.133381)</f>
        <v>80.133381</v>
      </c>
      <c r="F113" s="4">
        <f>IFERROR(__xludf.DUMMYFUNCTION("""COMPUTED_VALUE"""),2846.0)</f>
        <v>2846</v>
      </c>
      <c r="G113" s="4">
        <f>IFERROR(__xludf.DUMMYFUNCTION("""COMPUTED_VALUE"""),0.0)</f>
        <v>0</v>
      </c>
      <c r="H113" s="4"/>
      <c r="I113" s="4"/>
    </row>
    <row r="114">
      <c r="A114" s="4" t="str">
        <f>IFERROR(__xludf.DUMMYFUNCTION("""COMPUTED_VALUE"""),"cas_hmw")</f>
        <v>cas_hmw</v>
      </c>
      <c r="B114" s="5">
        <f>IFERROR(__xludf.DUMMYFUNCTION("""COMPUTED_VALUE"""),44718.0)</f>
        <v>44718</v>
      </c>
      <c r="C114" s="6">
        <f>IFERROR(__xludf.DUMMYFUNCTION("""COMPUTED_VALUE"""),0.3401504629619012)</f>
        <v>0.340150463</v>
      </c>
      <c r="D114" s="4">
        <f>IFERROR(__xludf.DUMMYFUNCTION("""COMPUTED_VALUE"""),12.94258)</f>
        <v>12.94258</v>
      </c>
      <c r="E114" s="4">
        <f>IFERROR(__xludf.DUMMYFUNCTION("""COMPUTED_VALUE"""),80.13327)</f>
        <v>80.13327</v>
      </c>
      <c r="F114" s="4">
        <f>IFERROR(__xludf.DUMMYFUNCTION("""COMPUTED_VALUE"""),2846.0)</f>
        <v>2846</v>
      </c>
      <c r="G114" s="4">
        <f>IFERROR(__xludf.DUMMYFUNCTION("""COMPUTED_VALUE"""),10.0)</f>
        <v>10</v>
      </c>
      <c r="H114" s="4"/>
      <c r="I114" s="4"/>
    </row>
    <row r="115">
      <c r="A115" s="4" t="str">
        <f>IFERROR(__xludf.DUMMYFUNCTION("""COMPUTED_VALUE"""),"cas_hmw")</f>
        <v>cas_hmw</v>
      </c>
      <c r="B115" s="5">
        <f>IFERROR(__xludf.DUMMYFUNCTION("""COMPUTED_VALUE"""),44718.0)</f>
        <v>44718</v>
      </c>
      <c r="C115" s="6">
        <f>IFERROR(__xludf.DUMMYFUNCTION("""COMPUTED_VALUE"""),0.34035879629664123)</f>
        <v>0.3403587963</v>
      </c>
      <c r="D115" s="4">
        <f>IFERROR(__xludf.DUMMYFUNCTION("""COMPUTED_VALUE"""),12.942425)</f>
        <v>12.942425</v>
      </c>
      <c r="E115" s="4">
        <f>IFERROR(__xludf.DUMMYFUNCTION("""COMPUTED_VALUE"""),80.133112)</f>
        <v>80.133112</v>
      </c>
      <c r="F115" s="4">
        <f>IFERROR(__xludf.DUMMYFUNCTION("""COMPUTED_VALUE"""),2846.0)</f>
        <v>2846</v>
      </c>
      <c r="G115" s="4">
        <f>IFERROR(__xludf.DUMMYFUNCTION("""COMPUTED_VALUE"""),16.0)</f>
        <v>16</v>
      </c>
      <c r="H115" s="4"/>
      <c r="I115" s="4"/>
    </row>
    <row r="116">
      <c r="A116" s="4" t="str">
        <f>IFERROR(__xludf.DUMMYFUNCTION("""COMPUTED_VALUE"""),"cas_hmw")</f>
        <v>cas_hmw</v>
      </c>
      <c r="B116" s="5">
        <f>IFERROR(__xludf.DUMMYFUNCTION("""COMPUTED_VALUE"""),44718.0)</f>
        <v>44718</v>
      </c>
      <c r="C116" s="6">
        <f>IFERROR(__xludf.DUMMYFUNCTION("""COMPUTED_VALUE"""),0.34042824073912925)</f>
        <v>0.3404282407</v>
      </c>
      <c r="D116" s="4">
        <f>IFERROR(__xludf.DUMMYFUNCTION("""COMPUTED_VALUE"""),12.942425)</f>
        <v>12.942425</v>
      </c>
      <c r="E116" s="4">
        <f>IFERROR(__xludf.DUMMYFUNCTION("""COMPUTED_VALUE"""),80.133112)</f>
        <v>80.133112</v>
      </c>
      <c r="F116" s="4">
        <f>IFERROR(__xludf.DUMMYFUNCTION("""COMPUTED_VALUE"""),2846.0)</f>
        <v>2846</v>
      </c>
      <c r="G116" s="4">
        <f>IFERROR(__xludf.DUMMYFUNCTION("""COMPUTED_VALUE"""),16.0)</f>
        <v>16</v>
      </c>
      <c r="H116" s="4"/>
      <c r="I116" s="4"/>
    </row>
    <row r="117">
      <c r="A117" s="4" t="str">
        <f>IFERROR(__xludf.DUMMYFUNCTION("""COMPUTED_VALUE"""),"cas_hmw")</f>
        <v>cas_hmw</v>
      </c>
      <c r="B117" s="5">
        <f>IFERROR(__xludf.DUMMYFUNCTION("""COMPUTED_VALUE"""),44718.0)</f>
        <v>44718</v>
      </c>
      <c r="C117" s="6">
        <f>IFERROR(__xludf.DUMMYFUNCTION("""COMPUTED_VALUE"""),0.34104166666656965)</f>
        <v>0.3410416667</v>
      </c>
      <c r="D117" s="4">
        <f>IFERROR(__xludf.DUMMYFUNCTION("""COMPUTED_VALUE"""),12.93734)</f>
        <v>12.93734</v>
      </c>
      <c r="E117" s="4">
        <f>IFERROR(__xludf.DUMMYFUNCTION("""COMPUTED_VALUE"""),80.128242)</f>
        <v>80.128242</v>
      </c>
      <c r="F117" s="4">
        <f>IFERROR(__xludf.DUMMYFUNCTION("""COMPUTED_VALUE"""),2846.0)</f>
        <v>2846</v>
      </c>
      <c r="G117" s="4">
        <f>IFERROR(__xludf.DUMMYFUNCTION("""COMPUTED_VALUE"""),14.0)</f>
        <v>14</v>
      </c>
      <c r="H117" s="4"/>
      <c r="I117" s="4"/>
    </row>
    <row r="118">
      <c r="A118" s="4" t="str">
        <f>IFERROR(__xludf.DUMMYFUNCTION("""COMPUTED_VALUE"""),"cas_hmw")</f>
        <v>cas_hmw</v>
      </c>
      <c r="B118" s="5">
        <f>IFERROR(__xludf.DUMMYFUNCTION("""COMPUTED_VALUE"""),44718.0)</f>
        <v>44718</v>
      </c>
      <c r="C118" s="6">
        <f>IFERROR(__xludf.DUMMYFUNCTION("""COMPUTED_VALUE"""),0.3414930555554747)</f>
        <v>0.3414930556</v>
      </c>
      <c r="D118" s="4">
        <f>IFERROR(__xludf.DUMMYFUNCTION("""COMPUTED_VALUE"""),12.844723)</f>
        <v>12.844723</v>
      </c>
      <c r="E118" s="4">
        <f>IFERROR(__xludf.DUMMYFUNCTION("""COMPUTED_VALUE"""),80.060398)</f>
        <v>80.060398</v>
      </c>
      <c r="F118" s="4">
        <f>IFERROR(__xludf.DUMMYFUNCTION("""COMPUTED_VALUE"""),805.0)</f>
        <v>805</v>
      </c>
      <c r="G118" s="4">
        <f>IFERROR(__xludf.DUMMYFUNCTION("""COMPUTED_VALUE"""),17.0)</f>
        <v>17</v>
      </c>
      <c r="H118" s="4"/>
      <c r="I118" s="4"/>
    </row>
    <row r="119">
      <c r="A119" s="4" t="str">
        <f>IFERROR(__xludf.DUMMYFUNCTION("""COMPUTED_VALUE"""),"cas_hmw")</f>
        <v>cas_hmw</v>
      </c>
      <c r="B119" s="5">
        <f>IFERROR(__xludf.DUMMYFUNCTION("""COMPUTED_VALUE"""),44718.0)</f>
        <v>44718</v>
      </c>
      <c r="C119" s="6">
        <f>IFERROR(__xludf.DUMMYFUNCTION("""COMPUTED_VALUE"""),0.34336805555722094)</f>
        <v>0.3433680556</v>
      </c>
      <c r="D119" s="4">
        <f>IFERROR(__xludf.DUMMYFUNCTION("""COMPUTED_VALUE"""),12.851592)</f>
        <v>12.851592</v>
      </c>
      <c r="E119" s="4">
        <f>IFERROR(__xludf.DUMMYFUNCTION("""COMPUTED_VALUE"""),80.065775)</f>
        <v>80.065775</v>
      </c>
      <c r="F119" s="4">
        <f>IFERROR(__xludf.DUMMYFUNCTION("""COMPUTED_VALUE"""),805.0)</f>
        <v>805</v>
      </c>
      <c r="G119" s="4">
        <f>IFERROR(__xludf.DUMMYFUNCTION("""COMPUTED_VALUE"""),16.0)</f>
        <v>16</v>
      </c>
      <c r="H119" s="4"/>
      <c r="I119" s="4"/>
    </row>
    <row r="120">
      <c r="A120" s="4" t="str">
        <f>IFERROR(__xludf.DUMMYFUNCTION("""COMPUTED_VALUE"""),"cas_hmw")</f>
        <v>cas_hmw</v>
      </c>
      <c r="B120" s="5">
        <f>IFERROR(__xludf.DUMMYFUNCTION("""COMPUTED_VALUE"""),44718.0)</f>
        <v>44718</v>
      </c>
      <c r="C120" s="6">
        <f>IFERROR(__xludf.DUMMYFUNCTION("""COMPUTED_VALUE"""),0.34820601851970423)</f>
        <v>0.3482060185</v>
      </c>
      <c r="D120" s="4">
        <f>IFERROR(__xludf.DUMMYFUNCTION("""COMPUTED_VALUE"""),12.922868)</f>
        <v>12.922868</v>
      </c>
      <c r="E120" s="4">
        <f>IFERROR(__xludf.DUMMYFUNCTION("""COMPUTED_VALUE"""),80.127332)</f>
        <v>80.127332</v>
      </c>
      <c r="F120" s="4">
        <f>IFERROR(__xludf.DUMMYFUNCTION("""COMPUTED_VALUE"""),3143.0)</f>
        <v>3143</v>
      </c>
      <c r="G120" s="4">
        <f>IFERROR(__xludf.DUMMYFUNCTION("""COMPUTED_VALUE"""),9.0)</f>
        <v>9</v>
      </c>
      <c r="H120" s="4"/>
      <c r="I120" s="4"/>
    </row>
    <row r="121">
      <c r="A121" s="4" t="str">
        <f>IFERROR(__xludf.DUMMYFUNCTION("""COMPUTED_VALUE"""),"cas_hmw")</f>
        <v>cas_hmw</v>
      </c>
      <c r="B121" s="5">
        <f>IFERROR(__xludf.DUMMYFUNCTION("""COMPUTED_VALUE"""),44718.0)</f>
        <v>44718</v>
      </c>
      <c r="C121" s="6">
        <f>IFERROR(__xludf.DUMMYFUNCTION("""COMPUTED_VALUE"""),0.3562037037045229)</f>
        <v>0.3562037037</v>
      </c>
      <c r="D121" s="4">
        <f>IFERROR(__xludf.DUMMYFUNCTION("""COMPUTED_VALUE"""),12.909003)</f>
        <v>12.909003</v>
      </c>
      <c r="E121" s="4">
        <f>IFERROR(__xludf.DUMMYFUNCTION("""COMPUTED_VALUE"""),80.098753)</f>
        <v>80.098753</v>
      </c>
      <c r="F121" s="4">
        <f>IFERROR(__xludf.DUMMYFUNCTION("""COMPUTED_VALUE"""),3143.0)</f>
        <v>3143</v>
      </c>
      <c r="G121" s="4">
        <f>IFERROR(__xludf.DUMMYFUNCTION("""COMPUTED_VALUE"""),11.0)</f>
        <v>11</v>
      </c>
      <c r="H121" s="4"/>
      <c r="I121" s="4"/>
    </row>
    <row r="122">
      <c r="A122" s="4" t="str">
        <f>IFERROR(__xludf.DUMMYFUNCTION("""COMPUTED_VALUE"""),"cas_hmw")</f>
        <v>cas_hmw</v>
      </c>
      <c r="B122" s="5">
        <f>IFERROR(__xludf.DUMMYFUNCTION("""COMPUTED_VALUE"""),44718.0)</f>
        <v>44718</v>
      </c>
      <c r="C122" s="6">
        <f>IFERROR(__xludf.DUMMYFUNCTION("""COMPUTED_VALUE"""),0.35771990740613546)</f>
        <v>0.3577199074</v>
      </c>
      <c r="D122" s="4">
        <f>IFERROR(__xludf.DUMMYFUNCTION("""COMPUTED_VALUE"""),12.90691)</f>
        <v>12.90691</v>
      </c>
      <c r="E122" s="4">
        <f>IFERROR(__xludf.DUMMYFUNCTION("""COMPUTED_VALUE"""),80.096865)</f>
        <v>80.096865</v>
      </c>
      <c r="F122" s="4">
        <f>IFERROR(__xludf.DUMMYFUNCTION("""COMPUTED_VALUE"""),3143.0)</f>
        <v>3143</v>
      </c>
      <c r="G122" s="4">
        <f>IFERROR(__xludf.DUMMYFUNCTION("""COMPUTED_VALUE"""),12.0)</f>
        <v>12</v>
      </c>
      <c r="H122" s="4"/>
      <c r="I122" s="4"/>
    </row>
    <row r="123">
      <c r="A123" s="4" t="str">
        <f>IFERROR(__xludf.DUMMYFUNCTION("""COMPUTED_VALUE"""),"cas_hmw")</f>
        <v>cas_hmw</v>
      </c>
      <c r="B123" s="5">
        <f>IFERROR(__xludf.DUMMYFUNCTION("""COMPUTED_VALUE"""),44718.0)</f>
        <v>44718</v>
      </c>
      <c r="C123" s="6">
        <f>IFERROR(__xludf.DUMMYFUNCTION("""COMPUTED_VALUE"""),0.3581018518525525)</f>
        <v>0.3581018519</v>
      </c>
      <c r="D123" s="4">
        <f>IFERROR(__xludf.DUMMYFUNCTION("""COMPUTED_VALUE"""),12.90525)</f>
        <v>12.90525</v>
      </c>
      <c r="E123" s="4">
        <f>IFERROR(__xludf.DUMMYFUNCTION("""COMPUTED_VALUE"""),80.095608)</f>
        <v>80.095608</v>
      </c>
      <c r="F123" s="4">
        <f>IFERROR(__xludf.DUMMYFUNCTION("""COMPUTED_VALUE"""),3143.0)</f>
        <v>3143</v>
      </c>
      <c r="G123" s="4">
        <f>IFERROR(__xludf.DUMMYFUNCTION("""COMPUTED_VALUE"""),13.0)</f>
        <v>13</v>
      </c>
      <c r="H123" s="4"/>
      <c r="I123" s="4"/>
    </row>
    <row r="124">
      <c r="A124" s="4" t="str">
        <f>IFERROR(__xludf.DUMMYFUNCTION("""COMPUTED_VALUE"""),"cas_hmw")</f>
        <v>cas_hmw</v>
      </c>
      <c r="B124" s="5">
        <f>IFERROR(__xludf.DUMMYFUNCTION("""COMPUTED_VALUE"""),44718.0)</f>
        <v>44718</v>
      </c>
      <c r="C124" s="6">
        <f>IFERROR(__xludf.DUMMYFUNCTION("""COMPUTED_VALUE"""),0.3654861111099308)</f>
        <v>0.3654861111</v>
      </c>
      <c r="D124" s="4">
        <f>IFERROR(__xludf.DUMMYFUNCTION("""COMPUTED_VALUE"""),12.879055)</f>
        <v>12.879055</v>
      </c>
      <c r="E124" s="4">
        <f>IFERROR(__xludf.DUMMYFUNCTION("""COMPUTED_VALUE"""),80.08045)</f>
        <v>80.08045</v>
      </c>
      <c r="F124" s="4">
        <f>IFERROR(__xludf.DUMMYFUNCTION("""COMPUTED_VALUE"""),3143.0)</f>
        <v>3143</v>
      </c>
      <c r="G124" s="4">
        <f>IFERROR(__xludf.DUMMYFUNCTION("""COMPUTED_VALUE"""),9.0)</f>
        <v>9</v>
      </c>
      <c r="H124" s="4"/>
      <c r="I124" s="4"/>
    </row>
    <row r="125">
      <c r="A125" s="4" t="str">
        <f>IFERROR(__xludf.DUMMYFUNCTION("""COMPUTED_VALUE"""),"cas_hmw")</f>
        <v>cas_hmw</v>
      </c>
      <c r="B125" s="5">
        <f>IFERROR(__xludf.DUMMYFUNCTION("""COMPUTED_VALUE"""),44718.0)</f>
        <v>44718</v>
      </c>
      <c r="C125" s="6">
        <f>IFERROR(__xludf.DUMMYFUNCTION("""COMPUTED_VALUE"""),0.692488425924239)</f>
        <v>0.6924884259</v>
      </c>
      <c r="D125" s="4">
        <f>IFERROR(__xludf.DUMMYFUNCTION("""COMPUTED_VALUE"""),12.878779)</f>
        <v>12.878779</v>
      </c>
      <c r="E125" s="4">
        <f>IFERROR(__xludf.DUMMYFUNCTION("""COMPUTED_VALUE"""),80.080981)</f>
        <v>80.080981</v>
      </c>
      <c r="F125" s="4">
        <f>IFERROR(__xludf.DUMMYFUNCTION("""COMPUTED_VALUE"""),805.0)</f>
        <v>805</v>
      </c>
      <c r="G125" s="4">
        <f>IFERROR(__xludf.DUMMYFUNCTION("""COMPUTED_VALUE"""),11.0)</f>
        <v>11</v>
      </c>
      <c r="H125" s="4"/>
      <c r="I125" s="4"/>
    </row>
    <row r="126">
      <c r="A126" s="4" t="str">
        <f>IFERROR(__xludf.DUMMYFUNCTION("""COMPUTED_VALUE"""),"cas_hmw")</f>
        <v>cas_hmw</v>
      </c>
      <c r="B126" s="5">
        <f>IFERROR(__xludf.DUMMYFUNCTION("""COMPUTED_VALUE"""),44718.0)</f>
        <v>44718</v>
      </c>
      <c r="C126" s="6">
        <f>IFERROR(__xludf.DUMMYFUNCTION("""COMPUTED_VALUE"""),0.6925115740741603)</f>
        <v>0.6925115741</v>
      </c>
      <c r="D126" s="4">
        <f>IFERROR(__xludf.DUMMYFUNCTION("""COMPUTED_VALUE"""),12.878779)</f>
        <v>12.878779</v>
      </c>
      <c r="E126" s="4">
        <f>IFERROR(__xludf.DUMMYFUNCTION("""COMPUTED_VALUE"""),80.080981)</f>
        <v>80.080981</v>
      </c>
      <c r="F126" s="4">
        <f>IFERROR(__xludf.DUMMYFUNCTION("""COMPUTED_VALUE"""),805.0)</f>
        <v>805</v>
      </c>
      <c r="G126" s="4">
        <f>IFERROR(__xludf.DUMMYFUNCTION("""COMPUTED_VALUE"""),11.0)</f>
        <v>11</v>
      </c>
      <c r="H126" s="4"/>
      <c r="I126" s="4"/>
    </row>
    <row r="127">
      <c r="A127" s="4" t="str">
        <f>IFERROR(__xludf.DUMMYFUNCTION("""COMPUTED_VALUE"""),"cas_hmw")</f>
        <v>cas_hmw</v>
      </c>
      <c r="B127" s="5">
        <f>IFERROR(__xludf.DUMMYFUNCTION("""COMPUTED_VALUE"""),44718.0)</f>
        <v>44718</v>
      </c>
      <c r="C127" s="6">
        <f>IFERROR(__xludf.DUMMYFUNCTION("""COMPUTED_VALUE"""),0.692870370370656)</f>
        <v>0.6928703704</v>
      </c>
      <c r="D127" s="4">
        <f>IFERROR(__xludf.DUMMYFUNCTION("""COMPUTED_VALUE"""),12.878922)</f>
        <v>12.878922</v>
      </c>
      <c r="E127" s="4">
        <f>IFERROR(__xludf.DUMMYFUNCTION("""COMPUTED_VALUE"""),80.080516)</f>
        <v>80.080516</v>
      </c>
      <c r="F127" s="4">
        <f>IFERROR(__xludf.DUMMYFUNCTION("""COMPUTED_VALUE"""),805.0)</f>
        <v>805</v>
      </c>
      <c r="G127" s="4">
        <f>IFERROR(__xludf.DUMMYFUNCTION("""COMPUTED_VALUE"""),9.0)</f>
        <v>9</v>
      </c>
      <c r="H127" s="4"/>
      <c r="I127" s="4"/>
    </row>
    <row r="128">
      <c r="A128" s="4" t="str">
        <f>IFERROR(__xludf.DUMMYFUNCTION("""COMPUTED_VALUE"""),"cas_hmw")</f>
        <v>cas_hmw</v>
      </c>
      <c r="B128" s="5">
        <f>IFERROR(__xludf.DUMMYFUNCTION("""COMPUTED_VALUE"""),44718.0)</f>
        <v>44718</v>
      </c>
      <c r="C128" s="6">
        <f>IFERROR(__xludf.DUMMYFUNCTION("""COMPUTED_VALUE"""),0.6940509259256942)</f>
        <v>0.6940509259</v>
      </c>
      <c r="D128" s="4">
        <f>IFERROR(__xludf.DUMMYFUNCTION("""COMPUTED_VALUE"""),12.881299)</f>
        <v>12.881299</v>
      </c>
      <c r="E128" s="4">
        <f>IFERROR(__xludf.DUMMYFUNCTION("""COMPUTED_VALUE"""),80.080624)</f>
        <v>80.080624</v>
      </c>
      <c r="F128" s="4">
        <f>IFERROR(__xludf.DUMMYFUNCTION("""COMPUTED_VALUE"""),2846.0)</f>
        <v>2846</v>
      </c>
      <c r="G128" s="4">
        <f>IFERROR(__xludf.DUMMYFUNCTION("""COMPUTED_VALUE"""),11.0)</f>
        <v>11</v>
      </c>
      <c r="H128" s="4"/>
      <c r="I128" s="4"/>
    </row>
    <row r="129">
      <c r="A129" s="4" t="str">
        <f>IFERROR(__xludf.DUMMYFUNCTION("""COMPUTED_VALUE"""),"cas_hmw")</f>
        <v>cas_hmw</v>
      </c>
      <c r="B129" s="5">
        <f>IFERROR(__xludf.DUMMYFUNCTION("""COMPUTED_VALUE"""),44718.0)</f>
        <v>44718</v>
      </c>
      <c r="C129" s="6">
        <f>IFERROR(__xludf.DUMMYFUNCTION("""COMPUTED_VALUE"""),0.6965972222205892)</f>
        <v>0.6965972222</v>
      </c>
      <c r="D129" s="4">
        <f>IFERROR(__xludf.DUMMYFUNCTION("""COMPUTED_VALUE"""),12.911098)</f>
        <v>12.911098</v>
      </c>
      <c r="E129" s="4">
        <f>IFERROR(__xludf.DUMMYFUNCTION("""COMPUTED_VALUE"""),80.101092)</f>
        <v>80.101092</v>
      </c>
      <c r="F129" s="4">
        <f>IFERROR(__xludf.DUMMYFUNCTION("""COMPUTED_VALUE"""),2846.0)</f>
        <v>2846</v>
      </c>
      <c r="G129" s="4">
        <f>IFERROR(__xludf.DUMMYFUNCTION("""COMPUTED_VALUE"""),8.0)</f>
        <v>8</v>
      </c>
      <c r="H129" s="4"/>
      <c r="I129" s="4"/>
    </row>
    <row r="130">
      <c r="A130" s="4" t="str">
        <f>IFERROR(__xludf.DUMMYFUNCTION("""COMPUTED_VALUE"""),"cas_hmw")</f>
        <v>cas_hmw</v>
      </c>
      <c r="B130" s="5">
        <f>IFERROR(__xludf.DUMMYFUNCTION("""COMPUTED_VALUE"""),44718.0)</f>
        <v>44718</v>
      </c>
      <c r="C130" s="6">
        <f>IFERROR(__xludf.DUMMYFUNCTION("""COMPUTED_VALUE"""),0.7013078703712381)</f>
        <v>0.7013078704</v>
      </c>
      <c r="D130" s="4">
        <f>IFERROR(__xludf.DUMMYFUNCTION("""COMPUTED_VALUE"""),12.929737)</f>
        <v>12.929737</v>
      </c>
      <c r="E130" s="4">
        <f>IFERROR(__xludf.DUMMYFUNCTION("""COMPUTED_VALUE"""),80.120772)</f>
        <v>80.120772</v>
      </c>
      <c r="F130" s="4">
        <f>IFERROR(__xludf.DUMMYFUNCTION("""COMPUTED_VALUE"""),2846.0)</f>
        <v>2846</v>
      </c>
      <c r="G130" s="4">
        <f>IFERROR(__xludf.DUMMYFUNCTION("""COMPUTED_VALUE"""),13.0)</f>
        <v>13</v>
      </c>
      <c r="H130" s="4"/>
      <c r="I130" s="4"/>
    </row>
    <row r="131">
      <c r="A131" s="4" t="str">
        <f>IFERROR(__xludf.DUMMYFUNCTION("""COMPUTED_VALUE"""),"cas_hmw")</f>
        <v>cas_hmw</v>
      </c>
      <c r="B131" s="5">
        <f>IFERROR(__xludf.DUMMYFUNCTION("""COMPUTED_VALUE"""),44718.0)</f>
        <v>44718</v>
      </c>
      <c r="C131" s="6">
        <f>IFERROR(__xludf.DUMMYFUNCTION("""COMPUTED_VALUE"""),0.7044212962973688)</f>
        <v>0.7044212963</v>
      </c>
      <c r="D131" s="4">
        <f>IFERROR(__xludf.DUMMYFUNCTION("""COMPUTED_VALUE"""),12.795946)</f>
        <v>12.795946</v>
      </c>
      <c r="E131" s="4">
        <f>IFERROR(__xludf.DUMMYFUNCTION("""COMPUTED_VALUE"""),80.020812)</f>
        <v>80.020812</v>
      </c>
      <c r="F131" s="4">
        <f>IFERROR(__xludf.DUMMYFUNCTION("""COMPUTED_VALUE"""),805.0)</f>
        <v>805</v>
      </c>
      <c r="G131" s="4">
        <f>IFERROR(__xludf.DUMMYFUNCTION("""COMPUTED_VALUE"""),0.0)</f>
        <v>0</v>
      </c>
      <c r="H131" s="4"/>
      <c r="I131" s="4"/>
    </row>
    <row r="132">
      <c r="A132" s="4" t="str">
        <f>IFERROR(__xludf.DUMMYFUNCTION("""COMPUTED_VALUE"""),"cas_hmw")</f>
        <v>cas_hmw</v>
      </c>
      <c r="B132" s="5">
        <f>IFERROR(__xludf.DUMMYFUNCTION("""COMPUTED_VALUE"""),44718.0)</f>
        <v>44718</v>
      </c>
      <c r="C132" s="6">
        <f>IFERROR(__xludf.DUMMYFUNCTION("""COMPUTED_VALUE"""),0.7045138888897782)</f>
        <v>0.7045138889</v>
      </c>
      <c r="D132" s="4">
        <f>IFERROR(__xludf.DUMMYFUNCTION("""COMPUTED_VALUE"""),12.795946)</f>
        <v>12.795946</v>
      </c>
      <c r="E132" s="4">
        <f>IFERROR(__xludf.DUMMYFUNCTION("""COMPUTED_VALUE"""),80.020812)</f>
        <v>80.020812</v>
      </c>
      <c r="F132" s="4">
        <f>IFERROR(__xludf.DUMMYFUNCTION("""COMPUTED_VALUE"""),805.0)</f>
        <v>805</v>
      </c>
      <c r="G132" s="4">
        <f>IFERROR(__xludf.DUMMYFUNCTION("""COMPUTED_VALUE"""),0.0)</f>
        <v>0</v>
      </c>
      <c r="H132" s="4"/>
      <c r="I132" s="4"/>
    </row>
    <row r="133">
      <c r="A133" s="4" t="str">
        <f>IFERROR(__xludf.DUMMYFUNCTION("""COMPUTED_VALUE"""),"cas_hmw")</f>
        <v>cas_hmw</v>
      </c>
      <c r="B133" s="5">
        <f>IFERROR(__xludf.DUMMYFUNCTION("""COMPUTED_VALUE"""),44718.0)</f>
        <v>44718</v>
      </c>
      <c r="C133" s="6">
        <f>IFERROR(__xludf.DUMMYFUNCTION("""COMPUTED_VALUE"""),0.7047106481477385)</f>
        <v>0.7047106481</v>
      </c>
      <c r="D133" s="4">
        <f>IFERROR(__xludf.DUMMYFUNCTION("""COMPUTED_VALUE"""),12.795946)</f>
        <v>12.795946</v>
      </c>
      <c r="E133" s="4">
        <f>IFERROR(__xludf.DUMMYFUNCTION("""COMPUTED_VALUE"""),80.020812)</f>
        <v>80.020812</v>
      </c>
      <c r="F133" s="4">
        <f>IFERROR(__xludf.DUMMYFUNCTION("""COMPUTED_VALUE"""),805.0)</f>
        <v>805</v>
      </c>
      <c r="G133" s="4">
        <f>IFERROR(__xludf.DUMMYFUNCTION("""COMPUTED_VALUE"""),0.0)</f>
        <v>0</v>
      </c>
      <c r="H133" s="4"/>
      <c r="I133" s="4"/>
    </row>
    <row r="134">
      <c r="A134" s="4" t="str">
        <f>IFERROR(__xludf.DUMMYFUNCTION("""COMPUTED_VALUE"""),"cas_hmw")</f>
        <v>cas_hmw</v>
      </c>
      <c r="B134" s="5">
        <f>IFERROR(__xludf.DUMMYFUNCTION("""COMPUTED_VALUE"""),44718.0)</f>
        <v>44718</v>
      </c>
      <c r="C134" s="6">
        <f>IFERROR(__xludf.DUMMYFUNCTION("""COMPUTED_VALUE"""),0.7047337962976599)</f>
        <v>0.7047337963</v>
      </c>
      <c r="D134" s="4">
        <f>IFERROR(__xludf.DUMMYFUNCTION("""COMPUTED_VALUE"""),12.795946)</f>
        <v>12.795946</v>
      </c>
      <c r="E134" s="4">
        <f>IFERROR(__xludf.DUMMYFUNCTION("""COMPUTED_VALUE"""),80.020812)</f>
        <v>80.020812</v>
      </c>
      <c r="F134" s="4">
        <f>IFERROR(__xludf.DUMMYFUNCTION("""COMPUTED_VALUE"""),805.0)</f>
        <v>805</v>
      </c>
      <c r="G134" s="4">
        <f>IFERROR(__xludf.DUMMYFUNCTION("""COMPUTED_VALUE"""),0.0)</f>
        <v>0</v>
      </c>
      <c r="H134" s="4"/>
      <c r="I134" s="4"/>
    </row>
    <row r="135">
      <c r="A135" s="4" t="str">
        <f>IFERROR(__xludf.DUMMYFUNCTION("""COMPUTED_VALUE"""),"cas_hmw")</f>
        <v>cas_hmw</v>
      </c>
      <c r="B135" s="5">
        <f>IFERROR(__xludf.DUMMYFUNCTION("""COMPUTED_VALUE"""),44718.0)</f>
        <v>44718</v>
      </c>
      <c r="C135" s="6">
        <f>IFERROR(__xludf.DUMMYFUNCTION("""COMPUTED_VALUE"""),0.7048495370363526)</f>
        <v>0.704849537</v>
      </c>
      <c r="D135" s="4">
        <f>IFERROR(__xludf.DUMMYFUNCTION("""COMPUTED_VALUE"""),12.795946)</f>
        <v>12.795946</v>
      </c>
      <c r="E135" s="4">
        <f>IFERROR(__xludf.DUMMYFUNCTION("""COMPUTED_VALUE"""),80.020812)</f>
        <v>80.020812</v>
      </c>
      <c r="F135" s="4">
        <f>IFERROR(__xludf.DUMMYFUNCTION("""COMPUTED_VALUE"""),805.0)</f>
        <v>805</v>
      </c>
      <c r="G135" s="4">
        <f>IFERROR(__xludf.DUMMYFUNCTION("""COMPUTED_VALUE"""),0.0)</f>
        <v>0</v>
      </c>
      <c r="H135" s="4"/>
      <c r="I135" s="4"/>
    </row>
    <row r="136">
      <c r="A136" s="4" t="str">
        <f>IFERROR(__xludf.DUMMYFUNCTION("""COMPUTED_VALUE"""),"cas_hmw")</f>
        <v>cas_hmw</v>
      </c>
      <c r="B136" s="5">
        <f>IFERROR(__xludf.DUMMYFUNCTION("""COMPUTED_VALUE"""),44718.0)</f>
        <v>44718</v>
      </c>
      <c r="C136" s="6">
        <f>IFERROR(__xludf.DUMMYFUNCTION("""COMPUTED_VALUE"""),0.7075694444429246)</f>
        <v>0.7075694444</v>
      </c>
      <c r="D136" s="4">
        <f>IFERROR(__xludf.DUMMYFUNCTION("""COMPUTED_VALUE"""),12.960846)</f>
        <v>12.960846</v>
      </c>
      <c r="E136" s="4">
        <f>IFERROR(__xludf.DUMMYFUNCTION("""COMPUTED_VALUE"""),80.145549)</f>
        <v>80.145549</v>
      </c>
      <c r="F136" s="4">
        <f>IFERROR(__xludf.DUMMYFUNCTION("""COMPUTED_VALUE"""),2846.0)</f>
        <v>2846</v>
      </c>
      <c r="G136" s="4">
        <f>IFERROR(__xludf.DUMMYFUNCTION("""COMPUTED_VALUE"""),0.0)</f>
        <v>0</v>
      </c>
      <c r="H136" s="4"/>
      <c r="I136" s="4"/>
    </row>
    <row r="137">
      <c r="A137" s="4" t="str">
        <f>IFERROR(__xludf.DUMMYFUNCTION("""COMPUTED_VALUE"""),"cas_hmw")</f>
        <v>cas_hmw</v>
      </c>
      <c r="B137" s="5">
        <f>IFERROR(__xludf.DUMMYFUNCTION("""COMPUTED_VALUE"""),44718.0)</f>
        <v>44718</v>
      </c>
      <c r="C137" s="6">
        <f>IFERROR(__xludf.DUMMYFUNCTION("""COMPUTED_VALUE"""),0.7076967592583969)</f>
        <v>0.7076967593</v>
      </c>
      <c r="D137" s="4">
        <f>IFERROR(__xludf.DUMMYFUNCTION("""COMPUTED_VALUE"""),12.960846)</f>
        <v>12.960846</v>
      </c>
      <c r="E137" s="4">
        <f>IFERROR(__xludf.DUMMYFUNCTION("""COMPUTED_VALUE"""),80.145549)</f>
        <v>80.145549</v>
      </c>
      <c r="F137" s="4">
        <f>IFERROR(__xludf.DUMMYFUNCTION("""COMPUTED_VALUE"""),2846.0)</f>
        <v>2846</v>
      </c>
      <c r="G137" s="4">
        <f>IFERROR(__xludf.DUMMYFUNCTION("""COMPUTED_VALUE"""),0.0)</f>
        <v>0</v>
      </c>
      <c r="H137" s="4"/>
      <c r="I137" s="4"/>
    </row>
    <row r="138">
      <c r="A138" s="4" t="str">
        <f>IFERROR(__xludf.DUMMYFUNCTION("""COMPUTED_VALUE"""),"cas_hmw")</f>
        <v>cas_hmw</v>
      </c>
      <c r="B138" s="5">
        <f>IFERROR(__xludf.DUMMYFUNCTION("""COMPUTED_VALUE"""),44718.0)</f>
        <v>44718</v>
      </c>
      <c r="C138" s="6">
        <f>IFERROR(__xludf.DUMMYFUNCTION("""COMPUTED_VALUE"""),0.7078472222237906)</f>
        <v>0.7078472222</v>
      </c>
      <c r="D138" s="4">
        <f>IFERROR(__xludf.DUMMYFUNCTION("""COMPUTED_VALUE"""),12.960893)</f>
        <v>12.960893</v>
      </c>
      <c r="E138" s="4">
        <f>IFERROR(__xludf.DUMMYFUNCTION("""COMPUTED_VALUE"""),80.145572)</f>
        <v>80.145572</v>
      </c>
      <c r="F138" s="4">
        <f>IFERROR(__xludf.DUMMYFUNCTION("""COMPUTED_VALUE"""),2846.0)</f>
        <v>2846</v>
      </c>
      <c r="G138" s="4">
        <f>IFERROR(__xludf.DUMMYFUNCTION("""COMPUTED_VALUE"""),8.0)</f>
        <v>8</v>
      </c>
      <c r="H138" s="4"/>
      <c r="I138" s="4"/>
    </row>
    <row r="139">
      <c r="A139" s="4" t="str">
        <f>IFERROR(__xludf.DUMMYFUNCTION("""COMPUTED_VALUE"""),"cas_hmw")</f>
        <v>cas_hmw</v>
      </c>
      <c r="B139" s="5">
        <f>IFERROR(__xludf.DUMMYFUNCTION("""COMPUTED_VALUE"""),44718.0)</f>
        <v>44718</v>
      </c>
      <c r="C139" s="6">
        <f>IFERROR(__xludf.DUMMYFUNCTION("""COMPUTED_VALUE"""),0.7155208333315386)</f>
        <v>0.7155208333</v>
      </c>
      <c r="D139" s="4">
        <f>IFERROR(__xludf.DUMMYFUNCTION("""COMPUTED_VALUE"""),12.996098)</f>
        <v>12.996098</v>
      </c>
      <c r="E139" s="4">
        <f>IFERROR(__xludf.DUMMYFUNCTION("""COMPUTED_VALUE"""),80.189292)</f>
        <v>80.189292</v>
      </c>
      <c r="F139" s="4">
        <f>IFERROR(__xludf.DUMMYFUNCTION("""COMPUTED_VALUE"""),2846.0)</f>
        <v>2846</v>
      </c>
      <c r="G139" s="4">
        <f>IFERROR(__xludf.DUMMYFUNCTION("""COMPUTED_VALUE"""),5.0)</f>
        <v>5</v>
      </c>
      <c r="H139" s="4"/>
      <c r="I139" s="4"/>
    </row>
    <row r="140">
      <c r="A140" s="4" t="str">
        <f>IFERROR(__xludf.DUMMYFUNCTION("""COMPUTED_VALUE"""),"cas_hmw")</f>
        <v>cas_hmw</v>
      </c>
      <c r="B140" s="5">
        <f>IFERROR(__xludf.DUMMYFUNCTION("""COMPUTED_VALUE"""),44718.0)</f>
        <v>44718</v>
      </c>
      <c r="C140" s="6">
        <f>IFERROR(__xludf.DUMMYFUNCTION("""COMPUTED_VALUE"""),0.7166666666671517)</f>
        <v>0.7166666667</v>
      </c>
      <c r="D140" s="4">
        <f>IFERROR(__xludf.DUMMYFUNCTION("""COMPUTED_VALUE"""),13.00114)</f>
        <v>13.00114</v>
      </c>
      <c r="E140" s="4">
        <f>IFERROR(__xludf.DUMMYFUNCTION("""COMPUTED_VALUE"""),80.195399)</f>
        <v>80.195399</v>
      </c>
      <c r="F140" s="4">
        <f>IFERROR(__xludf.DUMMYFUNCTION("""COMPUTED_VALUE"""),2846.0)</f>
        <v>2846</v>
      </c>
      <c r="G140" s="4">
        <f>IFERROR(__xludf.DUMMYFUNCTION("""COMPUTED_VALUE"""),10.0)</f>
        <v>10</v>
      </c>
      <c r="H140" s="4"/>
      <c r="I140" s="4"/>
    </row>
    <row r="141">
      <c r="A141" s="4" t="str">
        <f>IFERROR(__xludf.DUMMYFUNCTION("""COMPUTED_VALUE"""),"cas_hmw")</f>
        <v>cas_hmw</v>
      </c>
      <c r="B141" s="5">
        <f>IFERROR(__xludf.DUMMYFUNCTION("""COMPUTED_VALUE"""),44718.0)</f>
        <v>44718</v>
      </c>
      <c r="C141" s="6">
        <f>IFERROR(__xludf.DUMMYFUNCTION("""COMPUTED_VALUE"""),0.7181249999994179)</f>
        <v>0.718125</v>
      </c>
      <c r="D141" s="4">
        <f>IFERROR(__xludf.DUMMYFUNCTION("""COMPUTED_VALUE"""),12.697315)</f>
        <v>12.697315</v>
      </c>
      <c r="E141" s="4">
        <f>IFERROR(__xludf.DUMMYFUNCTION("""COMPUTED_VALUE"""),79.972203)</f>
        <v>79.972203</v>
      </c>
      <c r="F141" s="4">
        <f>IFERROR(__xludf.DUMMYFUNCTION("""COMPUTED_VALUE"""),805.0)</f>
        <v>805</v>
      </c>
      <c r="G141" s="4">
        <f>IFERROR(__xludf.DUMMYFUNCTION("""COMPUTED_VALUE"""),19.0)</f>
        <v>19</v>
      </c>
      <c r="H141" s="4"/>
      <c r="I141" s="4"/>
    </row>
    <row r="142">
      <c r="A142" s="4" t="str">
        <f>IFERROR(__xludf.DUMMYFUNCTION("""COMPUTED_VALUE"""),"cas_hmw")</f>
        <v>cas_hmw</v>
      </c>
      <c r="B142" s="5">
        <f>IFERROR(__xludf.DUMMYFUNCTION("""COMPUTED_VALUE"""),44718.0)</f>
        <v>44718</v>
      </c>
      <c r="C142" s="6">
        <f>IFERROR(__xludf.DUMMYFUNCTION("""COMPUTED_VALUE"""),0.7181249999994179)</f>
        <v>0.718125</v>
      </c>
      <c r="D142" s="4">
        <f>IFERROR(__xludf.DUMMYFUNCTION("""COMPUTED_VALUE"""),12.697315)</f>
        <v>12.697315</v>
      </c>
      <c r="E142" s="4">
        <f>IFERROR(__xludf.DUMMYFUNCTION("""COMPUTED_VALUE"""),79.972203)</f>
        <v>79.972203</v>
      </c>
      <c r="F142" s="4">
        <f>IFERROR(__xludf.DUMMYFUNCTION("""COMPUTED_VALUE"""),805.0)</f>
        <v>805</v>
      </c>
      <c r="G142" s="4">
        <f>IFERROR(__xludf.DUMMYFUNCTION("""COMPUTED_VALUE"""),19.0)</f>
        <v>19</v>
      </c>
      <c r="H142" s="4"/>
      <c r="I142" s="4"/>
    </row>
    <row r="143">
      <c r="A143" s="4" t="str">
        <f>IFERROR(__xludf.DUMMYFUNCTION("""COMPUTED_VALUE"""),"cas_hmw")</f>
        <v>cas_hmw</v>
      </c>
      <c r="B143" s="5">
        <f>IFERROR(__xludf.DUMMYFUNCTION("""COMPUTED_VALUE"""),44718.0)</f>
        <v>44718</v>
      </c>
      <c r="C143" s="6">
        <f>IFERROR(__xludf.DUMMYFUNCTION("""COMPUTED_VALUE"""),0.7182175925918273)</f>
        <v>0.7182175926</v>
      </c>
      <c r="D143" s="4">
        <f>IFERROR(__xludf.DUMMYFUNCTION("""COMPUTED_VALUE"""),12.697315)</f>
        <v>12.697315</v>
      </c>
      <c r="E143" s="4">
        <f>IFERROR(__xludf.DUMMYFUNCTION("""COMPUTED_VALUE"""),79.972203)</f>
        <v>79.972203</v>
      </c>
      <c r="F143" s="4">
        <f>IFERROR(__xludf.DUMMYFUNCTION("""COMPUTED_VALUE"""),805.0)</f>
        <v>805</v>
      </c>
      <c r="G143" s="4">
        <f>IFERROR(__xludf.DUMMYFUNCTION("""COMPUTED_VALUE"""),19.0)</f>
        <v>19</v>
      </c>
      <c r="H143" s="4"/>
      <c r="I143" s="4"/>
    </row>
    <row r="144">
      <c r="A144" s="4" t="str">
        <f>IFERROR(__xludf.DUMMYFUNCTION("""COMPUTED_VALUE"""),"cas_hmw")</f>
        <v>cas_hmw</v>
      </c>
      <c r="B144" s="5">
        <f>IFERROR(__xludf.DUMMYFUNCTION("""COMPUTED_VALUE"""),44718.0)</f>
        <v>44718</v>
      </c>
      <c r="C144" s="6">
        <f>IFERROR(__xludf.DUMMYFUNCTION("""COMPUTED_VALUE"""),0.7192939814813144)</f>
        <v>0.7192939815</v>
      </c>
      <c r="D144" s="4">
        <f>IFERROR(__xludf.DUMMYFUNCTION("""COMPUTED_VALUE"""),12.697423)</f>
        <v>12.697423</v>
      </c>
      <c r="E144" s="4">
        <f>IFERROR(__xludf.DUMMYFUNCTION("""COMPUTED_VALUE"""),79.97648)</f>
        <v>79.97648</v>
      </c>
      <c r="F144" s="4">
        <f>IFERROR(__xludf.DUMMYFUNCTION("""COMPUTED_VALUE"""),805.0)</f>
        <v>805</v>
      </c>
      <c r="G144" s="4">
        <f>IFERROR(__xludf.DUMMYFUNCTION("""COMPUTED_VALUE"""),16.0)</f>
        <v>16</v>
      </c>
      <c r="H144" s="4"/>
      <c r="I144" s="4"/>
    </row>
    <row r="145">
      <c r="A145" s="4" t="str">
        <f>IFERROR(__xludf.DUMMYFUNCTION("""COMPUTED_VALUE"""),"cas_hmw")</f>
        <v>cas_hmw</v>
      </c>
      <c r="B145" s="5">
        <f>IFERROR(__xludf.DUMMYFUNCTION("""COMPUTED_VALUE"""),44718.0)</f>
        <v>44718</v>
      </c>
      <c r="C145" s="6">
        <f>IFERROR(__xludf.DUMMYFUNCTION("""COMPUTED_VALUE"""),0.7193171296312357)</f>
        <v>0.7193171296</v>
      </c>
      <c r="D145" s="4">
        <f>IFERROR(__xludf.DUMMYFUNCTION("""COMPUTED_VALUE"""),12.697423)</f>
        <v>12.697423</v>
      </c>
      <c r="E145" s="4">
        <f>IFERROR(__xludf.DUMMYFUNCTION("""COMPUTED_VALUE"""),79.97648)</f>
        <v>79.97648</v>
      </c>
      <c r="F145" s="4">
        <f>IFERROR(__xludf.DUMMYFUNCTION("""COMPUTED_VALUE"""),805.0)</f>
        <v>805</v>
      </c>
      <c r="G145" s="4">
        <f>IFERROR(__xludf.DUMMYFUNCTION("""COMPUTED_VALUE"""),16.0)</f>
        <v>16</v>
      </c>
      <c r="H145" s="4"/>
      <c r="I145" s="4"/>
    </row>
    <row r="146">
      <c r="A146" s="4" t="str">
        <f>IFERROR(__xludf.DUMMYFUNCTION("""COMPUTED_VALUE"""),"cas_hmw")</f>
        <v>cas_hmw</v>
      </c>
      <c r="B146" s="5">
        <f>IFERROR(__xludf.DUMMYFUNCTION("""COMPUTED_VALUE"""),44718.0)</f>
        <v>44718</v>
      </c>
      <c r="C146" s="6">
        <f>IFERROR(__xludf.DUMMYFUNCTION("""COMPUTED_VALUE"""),0.7249189814829151)</f>
        <v>0.7249189815</v>
      </c>
      <c r="D146" s="4">
        <f>IFERROR(__xludf.DUMMYFUNCTION("""COMPUTED_VALUE"""),13.025763)</f>
        <v>13.025763</v>
      </c>
      <c r="E146" s="4">
        <f>IFERROR(__xludf.DUMMYFUNCTION("""COMPUTED_VALUE"""),80.230478)</f>
        <v>80.230478</v>
      </c>
      <c r="F146" s="4">
        <f>IFERROR(__xludf.DUMMYFUNCTION("""COMPUTED_VALUE"""),2846.0)</f>
        <v>2846</v>
      </c>
      <c r="G146" s="4">
        <f>IFERROR(__xludf.DUMMYFUNCTION("""COMPUTED_VALUE"""),0.0)</f>
        <v>0</v>
      </c>
      <c r="H146" s="4"/>
      <c r="I146" s="4"/>
    </row>
    <row r="147">
      <c r="A147" s="4" t="str">
        <f>IFERROR(__xludf.DUMMYFUNCTION("""COMPUTED_VALUE"""),"cas_hmw")</f>
        <v>cas_hmw</v>
      </c>
      <c r="B147" s="5">
        <f>IFERROR(__xludf.DUMMYFUNCTION("""COMPUTED_VALUE"""),44718.0)</f>
        <v>44718</v>
      </c>
      <c r="C147" s="6">
        <f>IFERROR(__xludf.DUMMYFUNCTION("""COMPUTED_VALUE"""),0.7255787037029222)</f>
        <v>0.7255787037</v>
      </c>
      <c r="D147" s="4">
        <f>IFERROR(__xludf.DUMMYFUNCTION("""COMPUTED_VALUE"""),12.68296)</f>
        <v>12.68296</v>
      </c>
      <c r="E147" s="4">
        <f>IFERROR(__xludf.DUMMYFUNCTION("""COMPUTED_VALUE"""),79.982962)</f>
        <v>79.982962</v>
      </c>
      <c r="F147" s="4">
        <f>IFERROR(__xludf.DUMMYFUNCTION("""COMPUTED_VALUE"""),805.0)</f>
        <v>805</v>
      </c>
      <c r="G147" s="4">
        <f>IFERROR(__xludf.DUMMYFUNCTION("""COMPUTED_VALUE"""),10.0)</f>
        <v>10</v>
      </c>
      <c r="H147" s="4"/>
      <c r="I147" s="4"/>
    </row>
    <row r="148">
      <c r="A148" s="4" t="str">
        <f>IFERROR(__xludf.DUMMYFUNCTION("""COMPUTED_VALUE"""),"cas_hmw")</f>
        <v>cas_hmw</v>
      </c>
      <c r="B148" s="5">
        <f>IFERROR(__xludf.DUMMYFUNCTION("""COMPUTED_VALUE"""),44718.0)</f>
        <v>44718</v>
      </c>
      <c r="C148" s="6">
        <f>IFERROR(__xludf.DUMMYFUNCTION("""COMPUTED_VALUE"""),0.7267129629617557)</f>
        <v>0.726712963</v>
      </c>
      <c r="D148" s="4">
        <f>IFERROR(__xludf.DUMMYFUNCTION("""COMPUTED_VALUE"""),12.679746)</f>
        <v>12.679746</v>
      </c>
      <c r="E148" s="4">
        <f>IFERROR(__xludf.DUMMYFUNCTION("""COMPUTED_VALUE"""),79.980869)</f>
        <v>79.980869</v>
      </c>
      <c r="F148" s="4">
        <f>IFERROR(__xludf.DUMMYFUNCTION("""COMPUTED_VALUE"""),805.0)</f>
        <v>805</v>
      </c>
      <c r="G148" s="4">
        <f>IFERROR(__xludf.DUMMYFUNCTION("""COMPUTED_VALUE"""),0.0)</f>
        <v>0</v>
      </c>
      <c r="H148" s="4"/>
      <c r="I148" s="4"/>
    </row>
    <row r="149">
      <c r="A149" s="4" t="str">
        <f>IFERROR(__xludf.DUMMYFUNCTION("""COMPUTED_VALUE"""),"cas_hmw")</f>
        <v>cas_hmw</v>
      </c>
      <c r="B149" s="5">
        <f>IFERROR(__xludf.DUMMYFUNCTION("""COMPUTED_VALUE"""),44718.0)</f>
        <v>44718</v>
      </c>
      <c r="C149" s="6">
        <f>IFERROR(__xludf.DUMMYFUNCTION("""COMPUTED_VALUE"""),0.726805555554165)</f>
        <v>0.7268055556</v>
      </c>
      <c r="D149" s="4">
        <f>IFERROR(__xludf.DUMMYFUNCTION("""COMPUTED_VALUE"""),12.679746)</f>
        <v>12.679746</v>
      </c>
      <c r="E149" s="4">
        <f>IFERROR(__xludf.DUMMYFUNCTION("""COMPUTED_VALUE"""),79.980869)</f>
        <v>79.980869</v>
      </c>
      <c r="F149" s="4">
        <f>IFERROR(__xludf.DUMMYFUNCTION("""COMPUTED_VALUE"""),805.0)</f>
        <v>805</v>
      </c>
      <c r="G149" s="4">
        <f>IFERROR(__xludf.DUMMYFUNCTION("""COMPUTED_VALUE"""),0.0)</f>
        <v>0</v>
      </c>
      <c r="H149" s="4"/>
      <c r="I149" s="4"/>
    </row>
    <row r="150">
      <c r="A150" s="4" t="str">
        <f>IFERROR(__xludf.DUMMYFUNCTION("""COMPUTED_VALUE"""),"cas_hmw")</f>
        <v>cas_hmw</v>
      </c>
      <c r="B150" s="5">
        <f>IFERROR(__xludf.DUMMYFUNCTION("""COMPUTED_VALUE"""),44718.0)</f>
        <v>44718</v>
      </c>
      <c r="C150" s="6">
        <f>IFERROR(__xludf.DUMMYFUNCTION("""COMPUTED_VALUE"""),0.7268171296309447)</f>
        <v>0.7268171296</v>
      </c>
      <c r="D150" s="4">
        <f>IFERROR(__xludf.DUMMYFUNCTION("""COMPUTED_VALUE"""),12.679746)</f>
        <v>12.679746</v>
      </c>
      <c r="E150" s="4">
        <f>IFERROR(__xludf.DUMMYFUNCTION("""COMPUTED_VALUE"""),79.980869)</f>
        <v>79.980869</v>
      </c>
      <c r="F150" s="4">
        <f>IFERROR(__xludf.DUMMYFUNCTION("""COMPUTED_VALUE"""),805.0)</f>
        <v>805</v>
      </c>
      <c r="G150" s="4">
        <f>IFERROR(__xludf.DUMMYFUNCTION("""COMPUTED_VALUE"""),0.0)</f>
        <v>0</v>
      </c>
      <c r="H150" s="4"/>
      <c r="I150" s="4"/>
    </row>
    <row r="151">
      <c r="A151" s="4" t="str">
        <f>IFERROR(__xludf.DUMMYFUNCTION("""COMPUTED_VALUE"""),"cas_hmw")</f>
        <v>cas_hmw</v>
      </c>
      <c r="B151" s="5">
        <f>IFERROR(__xludf.DUMMYFUNCTION("""COMPUTED_VALUE"""),44718.0)</f>
        <v>44718</v>
      </c>
      <c r="C151" s="6">
        <f>IFERROR(__xludf.DUMMYFUNCTION("""COMPUTED_VALUE"""),0.7268171296309447)</f>
        <v>0.7268171296</v>
      </c>
      <c r="D151" s="4">
        <f>IFERROR(__xludf.DUMMYFUNCTION("""COMPUTED_VALUE"""),12.679746)</f>
        <v>12.679746</v>
      </c>
      <c r="E151" s="4">
        <f>IFERROR(__xludf.DUMMYFUNCTION("""COMPUTED_VALUE"""),79.980869)</f>
        <v>79.980869</v>
      </c>
      <c r="F151" s="4">
        <f>IFERROR(__xludf.DUMMYFUNCTION("""COMPUTED_VALUE"""),805.0)</f>
        <v>805</v>
      </c>
      <c r="G151" s="4">
        <f>IFERROR(__xludf.DUMMYFUNCTION("""COMPUTED_VALUE"""),0.0)</f>
        <v>0</v>
      </c>
      <c r="H151" s="4"/>
      <c r="I151" s="4"/>
    </row>
    <row r="152">
      <c r="A152" s="4" t="str">
        <f>IFERROR(__xludf.DUMMYFUNCTION("""COMPUTED_VALUE"""),"cas_hmw")</f>
        <v>cas_hmw</v>
      </c>
      <c r="B152" s="5">
        <f>IFERROR(__xludf.DUMMYFUNCTION("""COMPUTED_VALUE"""),44718.0)</f>
        <v>44718</v>
      </c>
      <c r="C152" s="6">
        <f>IFERROR(__xludf.DUMMYFUNCTION("""COMPUTED_VALUE"""),0.7281365740745969)</f>
        <v>0.7281365741</v>
      </c>
      <c r="D152" s="4">
        <f>IFERROR(__xludf.DUMMYFUNCTION("""COMPUTED_VALUE"""),13.032996)</f>
        <v>13.032996</v>
      </c>
      <c r="E152" s="4">
        <f>IFERROR(__xludf.DUMMYFUNCTION("""COMPUTED_VALUE"""),80.243147)</f>
        <v>80.243147</v>
      </c>
      <c r="F152" s="4">
        <f>IFERROR(__xludf.DUMMYFUNCTION("""COMPUTED_VALUE"""),2846.0)</f>
        <v>2846</v>
      </c>
      <c r="G152" s="4">
        <f>IFERROR(__xludf.DUMMYFUNCTION("""COMPUTED_VALUE"""),7.0)</f>
        <v>7</v>
      </c>
      <c r="H152" s="4"/>
      <c r="I152" s="4"/>
    </row>
    <row r="153">
      <c r="A153" s="4" t="str">
        <f>IFERROR(__xludf.DUMMYFUNCTION("""COMPUTED_VALUE"""),"cas_hmw")</f>
        <v>cas_hmw</v>
      </c>
      <c r="B153" s="5">
        <f>IFERROR(__xludf.DUMMYFUNCTION("""COMPUTED_VALUE"""),44718.0)</f>
        <v>44718</v>
      </c>
      <c r="C153" s="6">
        <f>IFERROR(__xludf.DUMMYFUNCTION("""COMPUTED_VALUE"""),0.7282638888900692)</f>
        <v>0.7282638889</v>
      </c>
      <c r="D153" s="4">
        <f>IFERROR(__xludf.DUMMYFUNCTION("""COMPUTED_VALUE"""),12.675319)</f>
        <v>12.675319</v>
      </c>
      <c r="E153" s="4">
        <f>IFERROR(__xludf.DUMMYFUNCTION("""COMPUTED_VALUE"""),79.97774)</f>
        <v>79.97774</v>
      </c>
      <c r="F153" s="4">
        <f>IFERROR(__xludf.DUMMYFUNCTION("""COMPUTED_VALUE"""),805.0)</f>
        <v>805</v>
      </c>
      <c r="G153" s="4">
        <f>IFERROR(__xludf.DUMMYFUNCTION("""COMPUTED_VALUE"""),0.0)</f>
        <v>0</v>
      </c>
      <c r="H153" s="4"/>
      <c r="I153" s="4"/>
    </row>
    <row r="154">
      <c r="A154" s="4" t="str">
        <f>IFERROR(__xludf.DUMMYFUNCTION("""COMPUTED_VALUE"""),"cas_hmw")</f>
        <v>cas_hmw</v>
      </c>
      <c r="B154" s="5">
        <f>IFERROR(__xludf.DUMMYFUNCTION("""COMPUTED_VALUE"""),44718.0)</f>
        <v>44718</v>
      </c>
      <c r="C154" s="6">
        <f>IFERROR(__xludf.DUMMYFUNCTION("""COMPUTED_VALUE"""),0.7326273148137261)</f>
        <v>0.7326273148</v>
      </c>
      <c r="D154" s="4">
        <f>IFERROR(__xludf.DUMMYFUNCTION("""COMPUTED_VALUE"""),13.043596)</f>
        <v>13.043596</v>
      </c>
      <c r="E154" s="4">
        <f>IFERROR(__xludf.DUMMYFUNCTION("""COMPUTED_VALUE"""),80.247678)</f>
        <v>80.247678</v>
      </c>
      <c r="F154" s="4">
        <f>IFERROR(__xludf.DUMMYFUNCTION("""COMPUTED_VALUE"""),2846.0)</f>
        <v>2846</v>
      </c>
      <c r="G154" s="4">
        <f>IFERROR(__xludf.DUMMYFUNCTION("""COMPUTED_VALUE"""),20.0)</f>
        <v>20</v>
      </c>
      <c r="H154" s="4"/>
      <c r="I154" s="4"/>
    </row>
    <row r="155">
      <c r="A155" s="4" t="str">
        <f>IFERROR(__xludf.DUMMYFUNCTION("""COMPUTED_VALUE"""),"cas_hmw")</f>
        <v>cas_hmw</v>
      </c>
      <c r="B155" s="5">
        <f>IFERROR(__xludf.DUMMYFUNCTION("""COMPUTED_VALUE"""),44718.0)</f>
        <v>44718</v>
      </c>
      <c r="C155" s="6">
        <f>IFERROR(__xludf.DUMMYFUNCTION("""COMPUTED_VALUE"""),0.7336342592607252)</f>
        <v>0.7336342593</v>
      </c>
      <c r="D155" s="4">
        <f>IFERROR(__xludf.DUMMYFUNCTION("""COMPUTED_VALUE"""),13.045256)</f>
        <v>13.045256</v>
      </c>
      <c r="E155" s="4">
        <f>IFERROR(__xludf.DUMMYFUNCTION("""COMPUTED_VALUE"""),80.247964)</f>
        <v>80.247964</v>
      </c>
      <c r="F155" s="4">
        <f>IFERROR(__xludf.DUMMYFUNCTION("""COMPUTED_VALUE"""),2846.0)</f>
        <v>2846</v>
      </c>
      <c r="G155" s="4">
        <f>IFERROR(__xludf.DUMMYFUNCTION("""COMPUTED_VALUE"""),9.0)</f>
        <v>9</v>
      </c>
      <c r="H155" s="4"/>
      <c r="I155" s="4"/>
    </row>
    <row r="156">
      <c r="A156" s="4" t="str">
        <f>IFERROR(__xludf.DUMMYFUNCTION("""COMPUTED_VALUE"""),"cas_hmw")</f>
        <v>cas_hmw</v>
      </c>
      <c r="B156" s="5">
        <f>IFERROR(__xludf.DUMMYFUNCTION("""COMPUTED_VALUE"""),44718.0)</f>
        <v>44718</v>
      </c>
      <c r="C156" s="6">
        <f>IFERROR(__xludf.DUMMYFUNCTION("""COMPUTED_VALUE"""),0.7363888888903602)</f>
        <v>0.7363888889</v>
      </c>
      <c r="D156" s="4">
        <f>IFERROR(__xludf.DUMMYFUNCTION("""COMPUTED_VALUE"""),13.057105)</f>
        <v>13.057105</v>
      </c>
      <c r="E156" s="4">
        <f>IFERROR(__xludf.DUMMYFUNCTION("""COMPUTED_VALUE"""),80.25774)</f>
        <v>80.25774</v>
      </c>
      <c r="F156" s="4">
        <f>IFERROR(__xludf.DUMMYFUNCTION("""COMPUTED_VALUE"""),2846.0)</f>
        <v>2846</v>
      </c>
      <c r="G156" s="4">
        <f>IFERROR(__xludf.DUMMYFUNCTION("""COMPUTED_VALUE"""),7.0)</f>
        <v>7</v>
      </c>
      <c r="H156" s="4"/>
      <c r="I156" s="4"/>
    </row>
    <row r="157">
      <c r="A157" s="4" t="str">
        <f>IFERROR(__xludf.DUMMYFUNCTION("""COMPUTED_VALUE"""),"cas_hmw")</f>
        <v>cas_hmw</v>
      </c>
      <c r="B157" s="5">
        <f>IFERROR(__xludf.DUMMYFUNCTION("""COMPUTED_VALUE"""),44718.0)</f>
        <v>44718</v>
      </c>
      <c r="C157" s="6">
        <f>IFERROR(__xludf.DUMMYFUNCTION("""COMPUTED_VALUE"""),0.7374074074068631)</f>
        <v>0.7374074074</v>
      </c>
      <c r="D157" s="4">
        <f>IFERROR(__xludf.DUMMYFUNCTION("""COMPUTED_VALUE"""),13.054441)</f>
        <v>13.054441</v>
      </c>
      <c r="E157" s="4">
        <f>IFERROR(__xludf.DUMMYFUNCTION("""COMPUTED_VALUE"""),80.25853)</f>
        <v>80.25853</v>
      </c>
      <c r="F157" s="4">
        <f>IFERROR(__xludf.DUMMYFUNCTION("""COMPUTED_VALUE"""),2846.0)</f>
        <v>2846</v>
      </c>
      <c r="G157" s="4">
        <f>IFERROR(__xludf.DUMMYFUNCTION("""COMPUTED_VALUE"""),12.0)</f>
        <v>12</v>
      </c>
      <c r="H157" s="4"/>
      <c r="I157" s="4"/>
    </row>
    <row r="158">
      <c r="A158" s="4" t="str">
        <f>IFERROR(__xludf.DUMMYFUNCTION("""COMPUTED_VALUE"""),"cas_hmw")</f>
        <v>cas_hmw</v>
      </c>
      <c r="B158" s="5">
        <f>IFERROR(__xludf.DUMMYFUNCTION("""COMPUTED_VALUE"""),44718.0)</f>
        <v>44718</v>
      </c>
      <c r="C158" s="6">
        <f>IFERROR(__xludf.DUMMYFUNCTION("""COMPUTED_VALUE"""),0.7378240740727051)</f>
        <v>0.7378240741</v>
      </c>
      <c r="D158" s="4">
        <f>IFERROR(__xludf.DUMMYFUNCTION("""COMPUTED_VALUE"""),13.054135)</f>
        <v>13.054135</v>
      </c>
      <c r="E158" s="4">
        <f>IFERROR(__xludf.DUMMYFUNCTION("""COMPUTED_VALUE"""),80.261461)</f>
        <v>80.261461</v>
      </c>
      <c r="F158" s="4">
        <f>IFERROR(__xludf.DUMMYFUNCTION("""COMPUTED_VALUE"""),2846.0)</f>
        <v>2846</v>
      </c>
      <c r="G158" s="4">
        <f>IFERROR(__xludf.DUMMYFUNCTION("""COMPUTED_VALUE"""),20.0)</f>
        <v>20</v>
      </c>
      <c r="H158" s="4"/>
      <c r="I158" s="4"/>
    </row>
    <row r="159">
      <c r="A159" s="4" t="str">
        <f>IFERROR(__xludf.DUMMYFUNCTION("""COMPUTED_VALUE"""),"cas_hmw")</f>
        <v>cas_hmw</v>
      </c>
      <c r="B159" s="5">
        <f>IFERROR(__xludf.DUMMYFUNCTION("""COMPUTED_VALUE"""),44718.0)</f>
        <v>44718</v>
      </c>
      <c r="C159" s="6">
        <f>IFERROR(__xludf.DUMMYFUNCTION("""COMPUTED_VALUE"""),0.7477893518516794)</f>
        <v>0.7477893519</v>
      </c>
      <c r="D159" s="4">
        <f>IFERROR(__xludf.DUMMYFUNCTION("""COMPUTED_VALUE"""),12.510488)</f>
        <v>12.510488</v>
      </c>
      <c r="E159" s="4">
        <f>IFERROR(__xludf.DUMMYFUNCTION("""COMPUTED_VALUE"""),79.885025)</f>
        <v>79.885025</v>
      </c>
      <c r="F159" s="4">
        <f>IFERROR(__xludf.DUMMYFUNCTION("""COMPUTED_VALUE"""),805.0)</f>
        <v>805</v>
      </c>
      <c r="G159" s="4">
        <f>IFERROR(__xludf.DUMMYFUNCTION("""COMPUTED_VALUE"""),11.0)</f>
        <v>11</v>
      </c>
      <c r="H159" s="4"/>
      <c r="I159" s="4"/>
    </row>
    <row r="160">
      <c r="A160" s="4" t="str">
        <f>IFERROR(__xludf.DUMMYFUNCTION("""COMPUTED_VALUE"""),"cas_hmw")</f>
        <v>cas_hmw</v>
      </c>
      <c r="B160" s="5">
        <f>IFERROR(__xludf.DUMMYFUNCTION("""COMPUTED_VALUE"""),44718.0)</f>
        <v>44718</v>
      </c>
      <c r="C160" s="6">
        <f>IFERROR(__xludf.DUMMYFUNCTION("""COMPUTED_VALUE"""),0.7478125000016007)</f>
        <v>0.7478125</v>
      </c>
      <c r="D160" s="4">
        <f>IFERROR(__xludf.DUMMYFUNCTION("""COMPUTED_VALUE"""),12.510488)</f>
        <v>12.510488</v>
      </c>
      <c r="E160" s="4">
        <f>IFERROR(__xludf.DUMMYFUNCTION("""COMPUTED_VALUE"""),79.885025)</f>
        <v>79.885025</v>
      </c>
      <c r="F160" s="4">
        <f>IFERROR(__xludf.DUMMYFUNCTION("""COMPUTED_VALUE"""),805.0)</f>
        <v>805</v>
      </c>
      <c r="G160" s="4">
        <f>IFERROR(__xludf.DUMMYFUNCTION("""COMPUTED_VALUE"""),11.0)</f>
        <v>11</v>
      </c>
      <c r="H160" s="4"/>
      <c r="I160" s="4"/>
    </row>
    <row r="161">
      <c r="A161" s="4" t="str">
        <f>IFERROR(__xludf.DUMMYFUNCTION("""COMPUTED_VALUE"""),"cas_hmw")</f>
        <v>cas_hmw</v>
      </c>
      <c r="B161" s="5">
        <f>IFERROR(__xludf.DUMMYFUNCTION("""COMPUTED_VALUE"""),44718.0)</f>
        <v>44718</v>
      </c>
      <c r="C161" s="6">
        <f>IFERROR(__xludf.DUMMYFUNCTION("""COMPUTED_VALUE"""),0.7478356481478841)</f>
        <v>0.7478356481</v>
      </c>
      <c r="D161" s="4">
        <f>IFERROR(__xludf.DUMMYFUNCTION("""COMPUTED_VALUE"""),12.510488)</f>
        <v>12.510488</v>
      </c>
      <c r="E161" s="4">
        <f>IFERROR(__xludf.DUMMYFUNCTION("""COMPUTED_VALUE"""),79.885025)</f>
        <v>79.885025</v>
      </c>
      <c r="F161" s="4">
        <f>IFERROR(__xludf.DUMMYFUNCTION("""COMPUTED_VALUE"""),805.0)</f>
        <v>805</v>
      </c>
      <c r="G161" s="4">
        <f>IFERROR(__xludf.DUMMYFUNCTION("""COMPUTED_VALUE"""),11.0)</f>
        <v>11</v>
      </c>
      <c r="H161" s="4"/>
      <c r="I161" s="4"/>
    </row>
    <row r="162">
      <c r="A162" s="4" t="str">
        <f>IFERROR(__xludf.DUMMYFUNCTION("""COMPUTED_VALUE"""),"cas_hmw")</f>
        <v>cas_hmw</v>
      </c>
      <c r="B162" s="5">
        <f>IFERROR(__xludf.DUMMYFUNCTION("""COMPUTED_VALUE"""),44718.0)</f>
        <v>44718</v>
      </c>
      <c r="C162" s="6">
        <f>IFERROR(__xludf.DUMMYFUNCTION("""COMPUTED_VALUE"""),0.7530671296299261)</f>
        <v>0.7530671296</v>
      </c>
      <c r="D162" s="4">
        <f>IFERROR(__xludf.DUMMYFUNCTION("""COMPUTED_VALUE"""),13.067282)</f>
        <v>13.067282</v>
      </c>
      <c r="E162" s="4">
        <f>IFERROR(__xludf.DUMMYFUNCTION("""COMPUTED_VALUE"""),80.254806)</f>
        <v>80.254806</v>
      </c>
      <c r="F162" s="4">
        <f>IFERROR(__xludf.DUMMYFUNCTION("""COMPUTED_VALUE"""),2846.0)</f>
        <v>2846</v>
      </c>
      <c r="G162" s="4">
        <f>IFERROR(__xludf.DUMMYFUNCTION("""COMPUTED_VALUE"""),9.0)</f>
        <v>9</v>
      </c>
      <c r="H162" s="4"/>
      <c r="I162" s="4"/>
    </row>
    <row r="163">
      <c r="A163" s="4" t="str">
        <f>IFERROR(__xludf.DUMMYFUNCTION("""COMPUTED_VALUE"""),"cas_hmw")</f>
        <v>cas_hmw</v>
      </c>
      <c r="B163" s="5">
        <f>IFERROR(__xludf.DUMMYFUNCTION("""COMPUTED_VALUE"""),44718.0)</f>
        <v>44718</v>
      </c>
      <c r="C163" s="6">
        <f>IFERROR(__xludf.DUMMYFUNCTION("""COMPUTED_VALUE"""),0.7534259259264218)</f>
        <v>0.7534259259</v>
      </c>
      <c r="D163" s="4">
        <f>IFERROR(__xludf.DUMMYFUNCTION("""COMPUTED_VALUE"""),13.067173)</f>
        <v>13.067173</v>
      </c>
      <c r="E163" s="4">
        <f>IFERROR(__xludf.DUMMYFUNCTION("""COMPUTED_VALUE"""),80.254645)</f>
        <v>80.254645</v>
      </c>
      <c r="F163" s="4">
        <f>IFERROR(__xludf.DUMMYFUNCTION("""COMPUTED_VALUE"""),2846.0)</f>
        <v>2846</v>
      </c>
      <c r="G163" s="4">
        <f>IFERROR(__xludf.DUMMYFUNCTION("""COMPUTED_VALUE"""),2.0)</f>
        <v>2</v>
      </c>
      <c r="H163" s="4"/>
      <c r="I163" s="4"/>
    </row>
    <row r="164">
      <c r="A164" s="4" t="str">
        <f>IFERROR(__xludf.DUMMYFUNCTION("""COMPUTED_VALUE"""),"cas_hmw")</f>
        <v>cas_hmw</v>
      </c>
      <c r="B164" s="5">
        <f>IFERROR(__xludf.DUMMYFUNCTION("""COMPUTED_VALUE"""),44718.0)</f>
        <v>44718</v>
      </c>
      <c r="C164" s="6">
        <f>IFERROR(__xludf.DUMMYFUNCTION("""COMPUTED_VALUE"""),0.77364583333474)</f>
        <v>0.7736458333</v>
      </c>
      <c r="D164" s="4">
        <f>IFERROR(__xludf.DUMMYFUNCTION("""COMPUTED_VALUE"""),12.724134)</f>
        <v>12.724134</v>
      </c>
      <c r="E164" s="4">
        <f>IFERROR(__xludf.DUMMYFUNCTION("""COMPUTED_VALUE"""),79.981709)</f>
        <v>79.981709</v>
      </c>
      <c r="F164" s="4">
        <f>IFERROR(__xludf.DUMMYFUNCTION("""COMPUTED_VALUE"""),805.0)</f>
        <v>805</v>
      </c>
      <c r="G164" s="4">
        <f>IFERROR(__xludf.DUMMYFUNCTION("""COMPUTED_VALUE"""),0.0)</f>
        <v>0</v>
      </c>
      <c r="H164" s="4"/>
      <c r="I164" s="4"/>
    </row>
    <row r="165">
      <c r="A165" s="4" t="str">
        <f>IFERROR(__xludf.DUMMYFUNCTION("""COMPUTED_VALUE"""),"cas_hmw")</f>
        <v>cas_hmw</v>
      </c>
      <c r="B165" s="5">
        <f>IFERROR(__xludf.DUMMYFUNCTION("""COMPUTED_VALUE"""),44718.0)</f>
        <v>44718</v>
      </c>
      <c r="C165" s="6">
        <f>IFERROR(__xludf.DUMMYFUNCTION("""COMPUTED_VALUE"""),0.7738310185195587)</f>
        <v>0.7738310185</v>
      </c>
      <c r="D165" s="4">
        <f>IFERROR(__xludf.DUMMYFUNCTION("""COMPUTED_VALUE"""),12.724188)</f>
        <v>12.724188</v>
      </c>
      <c r="E165" s="4">
        <f>IFERROR(__xludf.DUMMYFUNCTION("""COMPUTED_VALUE"""),79.981721)</f>
        <v>79.981721</v>
      </c>
      <c r="F165" s="4">
        <f>IFERROR(__xludf.DUMMYFUNCTION("""COMPUTED_VALUE"""),805.0)</f>
        <v>805</v>
      </c>
      <c r="G165" s="4">
        <f>IFERROR(__xludf.DUMMYFUNCTION("""COMPUTED_VALUE"""),0.0)</f>
        <v>0</v>
      </c>
      <c r="H165" s="4"/>
      <c r="I165" s="4"/>
    </row>
    <row r="166">
      <c r="A166" s="4" t="str">
        <f>IFERROR(__xludf.DUMMYFUNCTION("""COMPUTED_VALUE"""),"cas_hmw")</f>
        <v>cas_hmw</v>
      </c>
      <c r="B166" s="5">
        <f>IFERROR(__xludf.DUMMYFUNCTION("""COMPUTED_VALUE"""),44718.0)</f>
        <v>44718</v>
      </c>
      <c r="C166" s="6">
        <f>IFERROR(__xludf.DUMMYFUNCTION("""COMPUTED_VALUE"""),0.7740509259274404)</f>
        <v>0.7740509259</v>
      </c>
      <c r="D166" s="4">
        <f>IFERROR(__xludf.DUMMYFUNCTION("""COMPUTED_VALUE"""),12.724188)</f>
        <v>12.724188</v>
      </c>
      <c r="E166" s="4">
        <f>IFERROR(__xludf.DUMMYFUNCTION("""COMPUTED_VALUE"""),79.981721)</f>
        <v>79.981721</v>
      </c>
      <c r="F166" s="4">
        <f>IFERROR(__xludf.DUMMYFUNCTION("""COMPUTED_VALUE"""),805.0)</f>
        <v>805</v>
      </c>
      <c r="G166" s="4">
        <f>IFERROR(__xludf.DUMMYFUNCTION("""COMPUTED_VALUE"""),0.0)</f>
        <v>0</v>
      </c>
      <c r="H166" s="4"/>
      <c r="I166" s="4"/>
    </row>
    <row r="167">
      <c r="A167" s="4" t="str">
        <f>IFERROR(__xludf.DUMMYFUNCTION("""COMPUTED_VALUE"""),"cas_hmw")</f>
        <v>cas_hmw</v>
      </c>
      <c r="B167" s="5">
        <f>IFERROR(__xludf.DUMMYFUNCTION("""COMPUTED_VALUE"""),44718.0)</f>
        <v>44718</v>
      </c>
      <c r="C167" s="6">
        <f>IFERROR(__xludf.DUMMYFUNCTION("""COMPUTED_VALUE"""),0.7740972222236451)</f>
        <v>0.7740972222</v>
      </c>
      <c r="D167" s="4">
        <f>IFERROR(__xludf.DUMMYFUNCTION("""COMPUTED_VALUE"""),12.724188)</f>
        <v>12.724188</v>
      </c>
      <c r="E167" s="4">
        <f>IFERROR(__xludf.DUMMYFUNCTION("""COMPUTED_VALUE"""),79.981721)</f>
        <v>79.981721</v>
      </c>
      <c r="F167" s="4">
        <f>IFERROR(__xludf.DUMMYFUNCTION("""COMPUTED_VALUE"""),805.0)</f>
        <v>805</v>
      </c>
      <c r="G167" s="4">
        <f>IFERROR(__xludf.DUMMYFUNCTION("""COMPUTED_VALUE"""),0.0)</f>
        <v>0</v>
      </c>
      <c r="H167" s="4"/>
      <c r="I167" s="4"/>
    </row>
    <row r="168">
      <c r="A168" s="4" t="str">
        <f>IFERROR(__xludf.DUMMYFUNCTION("""COMPUTED_VALUE"""),"cas_hmw")</f>
        <v>cas_hmw</v>
      </c>
      <c r="B168" s="5">
        <f>IFERROR(__xludf.DUMMYFUNCTION("""COMPUTED_VALUE"""),44718.0)</f>
        <v>44718</v>
      </c>
      <c r="C168" s="6">
        <f>IFERROR(__xludf.DUMMYFUNCTION("""COMPUTED_VALUE"""),0.7756597222214623)</f>
        <v>0.7756597222</v>
      </c>
      <c r="D168" s="4">
        <f>IFERROR(__xludf.DUMMYFUNCTION("""COMPUTED_VALUE"""),12.74268)</f>
        <v>12.74268</v>
      </c>
      <c r="E168" s="4">
        <f>IFERROR(__xludf.DUMMYFUNCTION("""COMPUTED_VALUE"""),79.991855)</f>
        <v>79.991855</v>
      </c>
      <c r="F168" s="4">
        <f>IFERROR(__xludf.DUMMYFUNCTION("""COMPUTED_VALUE"""),805.0)</f>
        <v>805</v>
      </c>
      <c r="G168" s="4">
        <f>IFERROR(__xludf.DUMMYFUNCTION("""COMPUTED_VALUE"""),0.0)</f>
        <v>0</v>
      </c>
      <c r="H168" s="4"/>
      <c r="I168" s="4"/>
    </row>
    <row r="169">
      <c r="A169" s="4" t="str">
        <f>IFERROR(__xludf.DUMMYFUNCTION("""COMPUTED_VALUE"""),"cas_hmw")</f>
        <v>cas_hmw</v>
      </c>
      <c r="B169" s="5">
        <f>IFERROR(__xludf.DUMMYFUNCTION("""COMPUTED_VALUE"""),44718.0)</f>
        <v>44718</v>
      </c>
      <c r="C169" s="6">
        <f>IFERROR(__xludf.DUMMYFUNCTION("""COMPUTED_VALUE"""),0.7892939814810234)</f>
        <v>0.7892939815</v>
      </c>
      <c r="D169" s="4">
        <f>IFERROR(__xludf.DUMMYFUNCTION("""COMPUTED_VALUE"""),12.843751)</f>
        <v>12.843751</v>
      </c>
      <c r="E169" s="4">
        <f>IFERROR(__xludf.DUMMYFUNCTION("""COMPUTED_VALUE"""),80.059367)</f>
        <v>80.059367</v>
      </c>
      <c r="F169" s="4">
        <f>IFERROR(__xludf.DUMMYFUNCTION("""COMPUTED_VALUE"""),805.0)</f>
        <v>805</v>
      </c>
      <c r="G169" s="4">
        <f>IFERROR(__xludf.DUMMYFUNCTION("""COMPUTED_VALUE"""),0.0)</f>
        <v>0</v>
      </c>
      <c r="H169" s="4"/>
      <c r="I169" s="4"/>
    </row>
    <row r="170">
      <c r="A170" s="4" t="str">
        <f>IFERROR(__xludf.DUMMYFUNCTION("""COMPUTED_VALUE"""),"cas_hmw")</f>
        <v>cas_hmw</v>
      </c>
      <c r="B170" s="5">
        <f>IFERROR(__xludf.DUMMYFUNCTION("""COMPUTED_VALUE"""),44718.0)</f>
        <v>44718</v>
      </c>
      <c r="C170" s="6">
        <f>IFERROR(__xludf.DUMMYFUNCTION("""COMPUTED_VALUE"""),0.7908449074056989)</f>
        <v>0.7908449074</v>
      </c>
      <c r="D170" s="4">
        <f>IFERROR(__xludf.DUMMYFUNCTION("""COMPUTED_VALUE"""),12.84766)</f>
        <v>12.84766</v>
      </c>
      <c r="E170" s="4">
        <f>IFERROR(__xludf.DUMMYFUNCTION("""COMPUTED_VALUE"""),80.063003)</f>
        <v>80.063003</v>
      </c>
      <c r="F170" s="4">
        <f>IFERROR(__xludf.DUMMYFUNCTION("""COMPUTED_VALUE"""),805.0)</f>
        <v>805</v>
      </c>
      <c r="G170" s="4">
        <f>IFERROR(__xludf.DUMMYFUNCTION("""COMPUTED_VALUE"""),0.0)</f>
        <v>0</v>
      </c>
      <c r="H170" s="4"/>
      <c r="I170" s="4"/>
    </row>
    <row r="171">
      <c r="A171" s="4" t="str">
        <f>IFERROR(__xludf.DUMMYFUNCTION("""COMPUTED_VALUE"""),"cas_hmw")</f>
        <v>cas_hmw</v>
      </c>
      <c r="B171" s="5">
        <f>IFERROR(__xludf.DUMMYFUNCTION("""COMPUTED_VALUE"""),44719.0)</f>
        <v>44719</v>
      </c>
      <c r="C171" s="6">
        <f>IFERROR(__xludf.DUMMYFUNCTION("""COMPUTED_VALUE"""),0.2904166666667152)</f>
        <v>0.2904166667</v>
      </c>
      <c r="D171" s="4">
        <f>IFERROR(__xludf.DUMMYFUNCTION("""COMPUTED_VALUE"""),12.506543)</f>
        <v>12.506543</v>
      </c>
      <c r="E171" s="4">
        <f>IFERROR(__xludf.DUMMYFUNCTION("""COMPUTED_VALUE"""),79.880626)</f>
        <v>79.880626</v>
      </c>
      <c r="F171" s="4">
        <f>IFERROR(__xludf.DUMMYFUNCTION("""COMPUTED_VALUE"""),805.0)</f>
        <v>805</v>
      </c>
      <c r="G171" s="4">
        <f>IFERROR(__xludf.DUMMYFUNCTION("""COMPUTED_VALUE"""),4.0)</f>
        <v>4</v>
      </c>
      <c r="H171" s="4"/>
      <c r="I171" s="4"/>
    </row>
    <row r="172">
      <c r="A172" s="4" t="str">
        <f>IFERROR(__xludf.DUMMYFUNCTION("""COMPUTED_VALUE"""),"cas_hmw")</f>
        <v>cas_hmw</v>
      </c>
      <c r="B172" s="5">
        <f>IFERROR(__xludf.DUMMYFUNCTION("""COMPUTED_VALUE"""),44719.0)</f>
        <v>44719</v>
      </c>
      <c r="C172" s="6">
        <f>IFERROR(__xludf.DUMMYFUNCTION("""COMPUTED_VALUE"""),0.3167939814811689)</f>
        <v>0.3167939815</v>
      </c>
      <c r="D172" s="4">
        <f>IFERROR(__xludf.DUMMYFUNCTION("""COMPUTED_VALUE"""),12.683641)</f>
        <v>12.683641</v>
      </c>
      <c r="E172" s="4">
        <f>IFERROR(__xludf.DUMMYFUNCTION("""COMPUTED_VALUE"""),79.983086)</f>
        <v>79.983086</v>
      </c>
      <c r="F172" s="4">
        <f>IFERROR(__xludf.DUMMYFUNCTION("""COMPUTED_VALUE"""),805.0)</f>
        <v>805</v>
      </c>
      <c r="G172" s="4">
        <f>IFERROR(__xludf.DUMMYFUNCTION("""COMPUTED_VALUE"""),0.0)</f>
        <v>0</v>
      </c>
      <c r="H172" s="4"/>
      <c r="I172" s="4"/>
    </row>
    <row r="173">
      <c r="A173" s="4" t="str">
        <f>IFERROR(__xludf.DUMMYFUNCTION("""COMPUTED_VALUE"""),"cas_hmw")</f>
        <v>cas_hmw</v>
      </c>
      <c r="B173" s="5">
        <f>IFERROR(__xludf.DUMMYFUNCTION("""COMPUTED_VALUE"""),44719.0)</f>
        <v>44719</v>
      </c>
      <c r="C173" s="6">
        <f>IFERROR(__xludf.DUMMYFUNCTION("""COMPUTED_VALUE"""),0.31684027777737356)</f>
        <v>0.3168402778</v>
      </c>
      <c r="D173" s="4">
        <f>IFERROR(__xludf.DUMMYFUNCTION("""COMPUTED_VALUE"""),12.683641)</f>
        <v>12.683641</v>
      </c>
      <c r="E173" s="4">
        <f>IFERROR(__xludf.DUMMYFUNCTION("""COMPUTED_VALUE"""),79.983086)</f>
        <v>79.983086</v>
      </c>
      <c r="F173" s="4">
        <f>IFERROR(__xludf.DUMMYFUNCTION("""COMPUTED_VALUE"""),805.0)</f>
        <v>805</v>
      </c>
      <c r="G173" s="4">
        <f>IFERROR(__xludf.DUMMYFUNCTION("""COMPUTED_VALUE"""),0.0)</f>
        <v>0</v>
      </c>
      <c r="H173" s="4"/>
      <c r="I173" s="4"/>
    </row>
    <row r="174">
      <c r="A174" s="4" t="str">
        <f>IFERROR(__xludf.DUMMYFUNCTION("""COMPUTED_VALUE"""),"cas_hmw")</f>
        <v>cas_hmw</v>
      </c>
      <c r="B174" s="5">
        <f>IFERROR(__xludf.DUMMYFUNCTION("""COMPUTED_VALUE"""),44719.0)</f>
        <v>44719</v>
      </c>
      <c r="C174" s="6">
        <f>IFERROR(__xludf.DUMMYFUNCTION("""COMPUTED_VALUE"""),0.31685185185051523)</f>
        <v>0.3168518519</v>
      </c>
      <c r="D174" s="4">
        <f>IFERROR(__xludf.DUMMYFUNCTION("""COMPUTED_VALUE"""),12.683656)</f>
        <v>12.683656</v>
      </c>
      <c r="E174" s="4">
        <f>IFERROR(__xludf.DUMMYFUNCTION("""COMPUTED_VALUE"""),79.98312)</f>
        <v>79.98312</v>
      </c>
      <c r="F174" s="4">
        <f>IFERROR(__xludf.DUMMYFUNCTION("""COMPUTED_VALUE"""),805.0)</f>
        <v>805</v>
      </c>
      <c r="G174" s="4">
        <f>IFERROR(__xludf.DUMMYFUNCTION("""COMPUTED_VALUE"""),4.0)</f>
        <v>4</v>
      </c>
      <c r="H174" s="4"/>
      <c r="I174" s="4"/>
    </row>
    <row r="175">
      <c r="A175" s="4" t="str">
        <f>IFERROR(__xludf.DUMMYFUNCTION("""COMPUTED_VALUE"""),"cas_hmw")</f>
        <v>cas_hmw</v>
      </c>
      <c r="B175" s="5">
        <f>IFERROR(__xludf.DUMMYFUNCTION("""COMPUTED_VALUE"""),44719.0)</f>
        <v>44719</v>
      </c>
      <c r="C175" s="6">
        <f>IFERROR(__xludf.DUMMYFUNCTION("""COMPUTED_VALUE"""),0.3173611111124046)</f>
        <v>0.3173611111</v>
      </c>
      <c r="D175" s="4">
        <f>IFERROR(__xludf.DUMMYFUNCTION("""COMPUTED_VALUE"""),12.686598)</f>
        <v>12.686598</v>
      </c>
      <c r="E175" s="4">
        <f>IFERROR(__xludf.DUMMYFUNCTION("""COMPUTED_VALUE"""),79.983211)</f>
        <v>79.983211</v>
      </c>
      <c r="F175" s="4">
        <f>IFERROR(__xludf.DUMMYFUNCTION("""COMPUTED_VALUE"""),805.0)</f>
        <v>805</v>
      </c>
      <c r="G175" s="4">
        <f>IFERROR(__xludf.DUMMYFUNCTION("""COMPUTED_VALUE"""),11.0)</f>
        <v>11</v>
      </c>
      <c r="H175" s="4"/>
      <c r="I175" s="4"/>
    </row>
    <row r="176">
      <c r="A176" s="4" t="str">
        <f>IFERROR(__xludf.DUMMYFUNCTION("""COMPUTED_VALUE"""),"cas_hmw")</f>
        <v>cas_hmw</v>
      </c>
      <c r="B176" s="5">
        <f>IFERROR(__xludf.DUMMYFUNCTION("""COMPUTED_VALUE"""),44719.0)</f>
        <v>44719</v>
      </c>
      <c r="C176" s="6">
        <f>IFERROR(__xludf.DUMMYFUNCTION("""COMPUTED_VALUE"""),0.3173611111124046)</f>
        <v>0.3173611111</v>
      </c>
      <c r="D176" s="4">
        <f>IFERROR(__xludf.DUMMYFUNCTION("""COMPUTED_VALUE"""),12.68699)</f>
        <v>12.68699</v>
      </c>
      <c r="E176" s="4">
        <f>IFERROR(__xludf.DUMMYFUNCTION("""COMPUTED_VALUE"""),79.983088)</f>
        <v>79.983088</v>
      </c>
      <c r="F176" s="4">
        <f>IFERROR(__xludf.DUMMYFUNCTION("""COMPUTED_VALUE"""),805.0)</f>
        <v>805</v>
      </c>
      <c r="G176" s="4">
        <f>IFERROR(__xludf.DUMMYFUNCTION("""COMPUTED_VALUE"""),20.0)</f>
        <v>20</v>
      </c>
      <c r="H176" s="4"/>
      <c r="I176" s="4"/>
    </row>
    <row r="177">
      <c r="A177" s="4" t="str">
        <f>IFERROR(__xludf.DUMMYFUNCTION("""COMPUTED_VALUE"""),"cas_hmw")</f>
        <v>cas_hmw</v>
      </c>
      <c r="B177" s="5">
        <f>IFERROR(__xludf.DUMMYFUNCTION("""COMPUTED_VALUE"""),44719.0)</f>
        <v>44719</v>
      </c>
      <c r="C177" s="6">
        <f>IFERROR(__xludf.DUMMYFUNCTION("""COMPUTED_VALUE"""),0.31738425925868796)</f>
        <v>0.3173842593</v>
      </c>
      <c r="D177" s="4">
        <f>IFERROR(__xludf.DUMMYFUNCTION("""COMPUTED_VALUE"""),12.68699)</f>
        <v>12.68699</v>
      </c>
      <c r="E177" s="4">
        <f>IFERROR(__xludf.DUMMYFUNCTION("""COMPUTED_VALUE"""),79.983088)</f>
        <v>79.983088</v>
      </c>
      <c r="F177" s="4">
        <f>IFERROR(__xludf.DUMMYFUNCTION("""COMPUTED_VALUE"""),805.0)</f>
        <v>805</v>
      </c>
      <c r="G177" s="4">
        <f>IFERROR(__xludf.DUMMYFUNCTION("""COMPUTED_VALUE"""),20.0)</f>
        <v>20</v>
      </c>
      <c r="H177" s="4"/>
      <c r="I177" s="4"/>
    </row>
    <row r="178">
      <c r="A178" s="4" t="str">
        <f>IFERROR(__xludf.DUMMYFUNCTION("""COMPUTED_VALUE"""),"cas_hmw")</f>
        <v>cas_hmw</v>
      </c>
      <c r="B178" s="5">
        <f>IFERROR(__xludf.DUMMYFUNCTION("""COMPUTED_VALUE"""),44719.0)</f>
        <v>44719</v>
      </c>
      <c r="C178" s="6">
        <f>IFERROR(__xludf.DUMMYFUNCTION("""COMPUTED_VALUE"""),0.31745370370481396)</f>
        <v>0.3174537037</v>
      </c>
      <c r="D178" s="4">
        <f>IFERROR(__xludf.DUMMYFUNCTION("""COMPUTED_VALUE"""),12.687557)</f>
        <v>12.687557</v>
      </c>
      <c r="E178" s="4">
        <f>IFERROR(__xludf.DUMMYFUNCTION("""COMPUTED_VALUE"""),79.983011)</f>
        <v>79.983011</v>
      </c>
      <c r="F178" s="4">
        <f>IFERROR(__xludf.DUMMYFUNCTION("""COMPUTED_VALUE"""),805.0)</f>
        <v>805</v>
      </c>
      <c r="G178" s="4">
        <f>IFERROR(__xludf.DUMMYFUNCTION("""COMPUTED_VALUE"""),0.0)</f>
        <v>0</v>
      </c>
      <c r="H178" s="4"/>
      <c r="I178" s="4"/>
    </row>
    <row r="179">
      <c r="A179" s="4" t="str">
        <f>IFERROR(__xludf.DUMMYFUNCTION("""COMPUTED_VALUE"""),"cas_hmw")</f>
        <v>cas_hmw</v>
      </c>
      <c r="B179" s="5">
        <f>IFERROR(__xludf.DUMMYFUNCTION("""COMPUTED_VALUE"""),44719.0)</f>
        <v>44719</v>
      </c>
      <c r="C179" s="6">
        <f>IFERROR(__xludf.DUMMYFUNCTION("""COMPUTED_VALUE"""),0.317488425924239)</f>
        <v>0.3174884259</v>
      </c>
      <c r="D179" s="4">
        <f>IFERROR(__xludf.DUMMYFUNCTION("""COMPUTED_VALUE"""),12.687557)</f>
        <v>12.687557</v>
      </c>
      <c r="E179" s="4">
        <f>IFERROR(__xludf.DUMMYFUNCTION("""COMPUTED_VALUE"""),79.983011)</f>
        <v>79.983011</v>
      </c>
      <c r="F179" s="4">
        <f>IFERROR(__xludf.DUMMYFUNCTION("""COMPUTED_VALUE"""),805.0)</f>
        <v>805</v>
      </c>
      <c r="G179" s="4">
        <f>IFERROR(__xludf.DUMMYFUNCTION("""COMPUTED_VALUE"""),0.0)</f>
        <v>0</v>
      </c>
      <c r="H179" s="4"/>
      <c r="I179" s="4"/>
    </row>
    <row r="180">
      <c r="A180" s="4" t="str">
        <f>IFERROR(__xludf.DUMMYFUNCTION("""COMPUTED_VALUE"""),"cas_hmw")</f>
        <v>cas_hmw</v>
      </c>
      <c r="B180" s="5">
        <f>IFERROR(__xludf.DUMMYFUNCTION("""COMPUTED_VALUE"""),44719.0)</f>
        <v>44719</v>
      </c>
      <c r="C180" s="6">
        <f>IFERROR(__xludf.DUMMYFUNCTION("""COMPUTED_VALUE"""),0.3207523148157634)</f>
        <v>0.3207523148</v>
      </c>
      <c r="D180" s="4">
        <f>IFERROR(__xludf.DUMMYFUNCTION("""COMPUTED_VALUE"""),12.697639)</f>
        <v>12.697639</v>
      </c>
      <c r="E180" s="4">
        <f>IFERROR(__xludf.DUMMYFUNCTION("""COMPUTED_VALUE"""),79.976341)</f>
        <v>79.976341</v>
      </c>
      <c r="F180" s="4">
        <f>IFERROR(__xludf.DUMMYFUNCTION("""COMPUTED_VALUE"""),805.0)</f>
        <v>805</v>
      </c>
      <c r="G180" s="4">
        <f>IFERROR(__xludf.DUMMYFUNCTION("""COMPUTED_VALUE"""),18.0)</f>
        <v>18</v>
      </c>
      <c r="H180" s="4"/>
      <c r="I180" s="4"/>
    </row>
    <row r="181">
      <c r="A181" s="4" t="str">
        <f>IFERROR(__xludf.DUMMYFUNCTION("""COMPUTED_VALUE"""),"cas_hmw")</f>
        <v>cas_hmw</v>
      </c>
      <c r="B181" s="5">
        <f>IFERROR(__xludf.DUMMYFUNCTION("""COMPUTED_VALUE"""),44719.0)</f>
        <v>44719</v>
      </c>
      <c r="C181" s="6">
        <f>IFERROR(__xludf.DUMMYFUNCTION("""COMPUTED_VALUE"""),0.3329282407394203)</f>
        <v>0.3329282407</v>
      </c>
      <c r="D181" s="4">
        <f>IFERROR(__xludf.DUMMYFUNCTION("""COMPUTED_VALUE"""),12.76528)</f>
        <v>12.76528</v>
      </c>
      <c r="E181" s="4">
        <f>IFERROR(__xludf.DUMMYFUNCTION("""COMPUTED_VALUE"""),80.004933)</f>
        <v>80.004933</v>
      </c>
      <c r="F181" s="4">
        <f>IFERROR(__xludf.DUMMYFUNCTION("""COMPUTED_VALUE"""),805.0)</f>
        <v>805</v>
      </c>
      <c r="G181" s="4">
        <f>IFERROR(__xludf.DUMMYFUNCTION("""COMPUTED_VALUE"""),18.0)</f>
        <v>18</v>
      </c>
      <c r="H181" s="4"/>
      <c r="I181" s="4"/>
    </row>
    <row r="182">
      <c r="A182" s="4" t="str">
        <f>IFERROR(__xludf.DUMMYFUNCTION("""COMPUTED_VALUE"""),"cas_hmw")</f>
        <v>cas_hmw</v>
      </c>
      <c r="B182" s="5">
        <f>IFERROR(__xludf.DUMMYFUNCTION("""COMPUTED_VALUE"""),44719.0)</f>
        <v>44719</v>
      </c>
      <c r="C182" s="6">
        <f>IFERROR(__xludf.DUMMYFUNCTION("""COMPUTED_VALUE"""),0.3404513888890506)</f>
        <v>0.3404513889</v>
      </c>
      <c r="D182" s="4">
        <f>IFERROR(__xludf.DUMMYFUNCTION("""COMPUTED_VALUE"""),12.944074)</f>
        <v>12.944074</v>
      </c>
      <c r="E182" s="4">
        <f>IFERROR(__xludf.DUMMYFUNCTION("""COMPUTED_VALUE"""),80.134691)</f>
        <v>80.134691</v>
      </c>
      <c r="F182" s="4">
        <f>IFERROR(__xludf.DUMMYFUNCTION("""COMPUTED_VALUE"""),2846.0)</f>
        <v>2846</v>
      </c>
      <c r="G182" s="4">
        <f>IFERROR(__xludf.DUMMYFUNCTION("""COMPUTED_VALUE"""),20.0)</f>
        <v>20</v>
      </c>
      <c r="H182" s="4"/>
      <c r="I182" s="4"/>
    </row>
    <row r="183">
      <c r="A183" s="4" t="str">
        <f>IFERROR(__xludf.DUMMYFUNCTION("""COMPUTED_VALUE"""),"cas_hmw")</f>
        <v>cas_hmw</v>
      </c>
      <c r="B183" s="5">
        <f>IFERROR(__xludf.DUMMYFUNCTION("""COMPUTED_VALUE"""),44719.0)</f>
        <v>44719</v>
      </c>
      <c r="C183" s="6">
        <f>IFERROR(__xludf.DUMMYFUNCTION("""COMPUTED_VALUE"""),0.34612268518685596)</f>
        <v>0.3461226852</v>
      </c>
      <c r="D183" s="4">
        <f>IFERROR(__xludf.DUMMYFUNCTION("""COMPUTED_VALUE"""),12.862834)</f>
        <v>12.862834</v>
      </c>
      <c r="E183" s="4">
        <f>IFERROR(__xludf.DUMMYFUNCTION("""COMPUTED_VALUE"""),80.073645)</f>
        <v>80.073645</v>
      </c>
      <c r="F183" s="4">
        <f>IFERROR(__xludf.DUMMYFUNCTION("""COMPUTED_VALUE"""),805.0)</f>
        <v>805</v>
      </c>
      <c r="G183" s="4">
        <f>IFERROR(__xludf.DUMMYFUNCTION("""COMPUTED_VALUE"""),0.0)</f>
        <v>0</v>
      </c>
      <c r="H183" s="4"/>
      <c r="I183" s="4"/>
    </row>
    <row r="184">
      <c r="A184" s="4" t="str">
        <f>IFERROR(__xludf.DUMMYFUNCTION("""COMPUTED_VALUE"""),"cas_hmw")</f>
        <v>cas_hmw</v>
      </c>
      <c r="B184" s="5">
        <f>IFERROR(__xludf.DUMMYFUNCTION("""COMPUTED_VALUE"""),44719.0)</f>
        <v>44719</v>
      </c>
      <c r="C184" s="6">
        <f>IFERROR(__xludf.DUMMYFUNCTION("""COMPUTED_VALUE"""),0.6954629629617557)</f>
        <v>0.695462963</v>
      </c>
      <c r="D184" s="4">
        <f>IFERROR(__xludf.DUMMYFUNCTION("""COMPUTED_VALUE"""),12.911629)</f>
        <v>12.911629</v>
      </c>
      <c r="E184" s="4">
        <f>IFERROR(__xludf.DUMMYFUNCTION("""COMPUTED_VALUE"""),80.10128)</f>
        <v>80.10128</v>
      </c>
      <c r="F184" s="4">
        <f>IFERROR(__xludf.DUMMYFUNCTION("""COMPUTED_VALUE"""),805.0)</f>
        <v>805</v>
      </c>
      <c r="G184" s="4">
        <f>IFERROR(__xludf.DUMMYFUNCTION("""COMPUTED_VALUE"""),8.0)</f>
        <v>8</v>
      </c>
      <c r="H184" s="4"/>
      <c r="I184" s="4"/>
    </row>
    <row r="185">
      <c r="A185" s="4" t="str">
        <f>IFERROR(__xludf.DUMMYFUNCTION("""COMPUTED_VALUE"""),"cas_hmw")</f>
        <v>cas_hmw</v>
      </c>
      <c r="B185" s="5">
        <f>IFERROR(__xludf.DUMMYFUNCTION("""COMPUTED_VALUE"""),44719.0)</f>
        <v>44719</v>
      </c>
      <c r="C185" s="6">
        <f>IFERROR(__xludf.DUMMYFUNCTION("""COMPUTED_VALUE"""),0.7021990740722686)</f>
        <v>0.7021990741</v>
      </c>
      <c r="D185" s="4">
        <f>IFERROR(__xludf.DUMMYFUNCTION("""COMPUTED_VALUE"""),12.923061)</f>
        <v>12.923061</v>
      </c>
      <c r="E185" s="4">
        <f>IFERROR(__xludf.DUMMYFUNCTION("""COMPUTED_VALUE"""),80.125512)</f>
        <v>80.125512</v>
      </c>
      <c r="F185" s="4">
        <f>IFERROR(__xludf.DUMMYFUNCTION("""COMPUTED_VALUE"""),2846.0)</f>
        <v>2846</v>
      </c>
      <c r="G185" s="4">
        <f>IFERROR(__xludf.DUMMYFUNCTION("""COMPUTED_VALUE"""),19.0)</f>
        <v>19</v>
      </c>
      <c r="H185" s="4"/>
      <c r="I185" s="4"/>
    </row>
    <row r="186">
      <c r="A186" s="4" t="str">
        <f>IFERROR(__xludf.DUMMYFUNCTION("""COMPUTED_VALUE"""),"cas_hmw")</f>
        <v>cas_hmw</v>
      </c>
      <c r="B186" s="5">
        <f>IFERROR(__xludf.DUMMYFUNCTION("""COMPUTED_VALUE"""),44719.0)</f>
        <v>44719</v>
      </c>
      <c r="C186" s="6">
        <f>IFERROR(__xludf.DUMMYFUNCTION("""COMPUTED_VALUE"""),0.7043055555550382)</f>
        <v>0.7043055556</v>
      </c>
      <c r="D186" s="4">
        <f>IFERROR(__xludf.DUMMYFUNCTION("""COMPUTED_VALUE"""),12.922646)</f>
        <v>12.922646</v>
      </c>
      <c r="E186" s="4">
        <f>IFERROR(__xludf.DUMMYFUNCTION("""COMPUTED_VALUE"""),80.135086)</f>
        <v>80.135086</v>
      </c>
      <c r="F186" s="4">
        <f>IFERROR(__xludf.DUMMYFUNCTION("""COMPUTED_VALUE"""),2846.0)</f>
        <v>2846</v>
      </c>
      <c r="G186" s="4">
        <f>IFERROR(__xludf.DUMMYFUNCTION("""COMPUTED_VALUE"""),11.0)</f>
        <v>11</v>
      </c>
      <c r="H186" s="4"/>
      <c r="I186" s="4"/>
    </row>
    <row r="187">
      <c r="A187" s="4" t="str">
        <f>IFERROR(__xludf.DUMMYFUNCTION("""COMPUTED_VALUE"""),"cas_hmw")</f>
        <v>cas_hmw</v>
      </c>
      <c r="B187" s="5">
        <f>IFERROR(__xludf.DUMMYFUNCTION("""COMPUTED_VALUE"""),44719.0)</f>
        <v>44719</v>
      </c>
      <c r="C187" s="6">
        <f>IFERROR(__xludf.DUMMYFUNCTION("""COMPUTED_VALUE"""),0.7090277777788287)</f>
        <v>0.7090277778</v>
      </c>
      <c r="D187" s="4">
        <f>IFERROR(__xludf.DUMMYFUNCTION("""COMPUTED_VALUE"""),12.987671)</f>
        <v>12.987671</v>
      </c>
      <c r="E187" s="4">
        <f>IFERROR(__xludf.DUMMYFUNCTION("""COMPUTED_VALUE"""),80.176282)</f>
        <v>80.176282</v>
      </c>
      <c r="F187" s="4">
        <f>IFERROR(__xludf.DUMMYFUNCTION("""COMPUTED_VALUE"""),805.0)</f>
        <v>805</v>
      </c>
      <c r="G187" s="4">
        <f>IFERROR(__xludf.DUMMYFUNCTION("""COMPUTED_VALUE"""),6.0)</f>
        <v>6</v>
      </c>
      <c r="H187" s="4"/>
      <c r="I187" s="4"/>
    </row>
    <row r="188">
      <c r="A188" s="4" t="str">
        <f>IFERROR(__xludf.DUMMYFUNCTION("""COMPUTED_VALUE"""),"cas_hmw")</f>
        <v>cas_hmw</v>
      </c>
      <c r="B188" s="5">
        <f>IFERROR(__xludf.DUMMYFUNCTION("""COMPUTED_VALUE"""),44719.0)</f>
        <v>44719</v>
      </c>
      <c r="C188" s="6">
        <f>IFERROR(__xludf.DUMMYFUNCTION("""COMPUTED_VALUE"""),0.7130787037021946)</f>
        <v>0.7130787037</v>
      </c>
      <c r="D188" s="4">
        <f>IFERROR(__xludf.DUMMYFUNCTION("""COMPUTED_VALUE"""),13.000885)</f>
        <v>13.000885</v>
      </c>
      <c r="E188" s="4">
        <f>IFERROR(__xludf.DUMMYFUNCTION("""COMPUTED_VALUE"""),80.19507)</f>
        <v>80.19507</v>
      </c>
      <c r="F188" s="4">
        <f>IFERROR(__xludf.DUMMYFUNCTION("""COMPUTED_VALUE"""),805.0)</f>
        <v>805</v>
      </c>
      <c r="G188" s="4">
        <f>IFERROR(__xludf.DUMMYFUNCTION("""COMPUTED_VALUE"""),19.0)</f>
        <v>19</v>
      </c>
      <c r="H188" s="4"/>
      <c r="I188" s="4"/>
    </row>
    <row r="189">
      <c r="A189" s="4" t="str">
        <f>IFERROR(__xludf.DUMMYFUNCTION("""COMPUTED_VALUE"""),"cas_hmw")</f>
        <v>cas_hmw</v>
      </c>
      <c r="B189" s="5">
        <f>IFERROR(__xludf.DUMMYFUNCTION("""COMPUTED_VALUE"""),44719.0)</f>
        <v>44719</v>
      </c>
      <c r="C189" s="6">
        <f>IFERROR(__xludf.DUMMYFUNCTION("""COMPUTED_VALUE"""),0.7131249999983993)</f>
        <v>0.713125</v>
      </c>
      <c r="D189" s="4">
        <f>IFERROR(__xludf.DUMMYFUNCTION("""COMPUTED_VALUE"""),13.001241)</f>
        <v>13.001241</v>
      </c>
      <c r="E189" s="4">
        <f>IFERROR(__xludf.DUMMYFUNCTION("""COMPUTED_VALUE"""),80.195531)</f>
        <v>80.195531</v>
      </c>
      <c r="F189" s="4">
        <f>IFERROR(__xludf.DUMMYFUNCTION("""COMPUTED_VALUE"""),805.0)</f>
        <v>805</v>
      </c>
      <c r="G189" s="4">
        <f>IFERROR(__xludf.DUMMYFUNCTION("""COMPUTED_VALUE"""),9.0)</f>
        <v>9</v>
      </c>
      <c r="H189" s="4"/>
      <c r="I189" s="4"/>
    </row>
    <row r="190">
      <c r="A190" s="4" t="str">
        <f>IFERROR(__xludf.DUMMYFUNCTION("""COMPUTED_VALUE"""),"cas_hmw")</f>
        <v>cas_hmw</v>
      </c>
      <c r="B190" s="5">
        <f>IFERROR(__xludf.DUMMYFUNCTION("""COMPUTED_VALUE"""),44719.0)</f>
        <v>44719</v>
      </c>
      <c r="C190" s="6">
        <f>IFERROR(__xludf.DUMMYFUNCTION("""COMPUTED_VALUE"""),0.7132870370369346)</f>
        <v>0.713287037</v>
      </c>
      <c r="D190" s="4">
        <f>IFERROR(__xludf.DUMMYFUNCTION("""COMPUTED_VALUE"""),13.001241)</f>
        <v>13.001241</v>
      </c>
      <c r="E190" s="4">
        <f>IFERROR(__xludf.DUMMYFUNCTION("""COMPUTED_VALUE"""),80.195531)</f>
        <v>80.195531</v>
      </c>
      <c r="F190" s="4">
        <f>IFERROR(__xludf.DUMMYFUNCTION("""COMPUTED_VALUE"""),805.0)</f>
        <v>805</v>
      </c>
      <c r="G190" s="4">
        <f>IFERROR(__xludf.DUMMYFUNCTION("""COMPUTED_VALUE"""),9.0)</f>
        <v>9</v>
      </c>
      <c r="H190" s="4"/>
      <c r="I190" s="4"/>
    </row>
    <row r="191">
      <c r="A191" s="4" t="str">
        <f>IFERROR(__xludf.DUMMYFUNCTION("""COMPUTED_VALUE"""),"cas_hmw")</f>
        <v>cas_hmw</v>
      </c>
      <c r="B191" s="5">
        <f>IFERROR(__xludf.DUMMYFUNCTION("""COMPUTED_VALUE"""),44719.0)</f>
        <v>44719</v>
      </c>
      <c r="C191" s="6">
        <f>IFERROR(__xludf.DUMMYFUNCTION("""COMPUTED_VALUE"""),0.7167129629633564)</f>
        <v>0.716712963</v>
      </c>
      <c r="D191" s="4">
        <f>IFERROR(__xludf.DUMMYFUNCTION("""COMPUTED_VALUE"""),13.011554)</f>
        <v>13.011554</v>
      </c>
      <c r="E191" s="4">
        <f>IFERROR(__xludf.DUMMYFUNCTION("""COMPUTED_VALUE"""),80.218631)</f>
        <v>80.218631</v>
      </c>
      <c r="F191" s="4">
        <f>IFERROR(__xludf.DUMMYFUNCTION("""COMPUTED_VALUE"""),805.0)</f>
        <v>805</v>
      </c>
      <c r="G191" s="4">
        <f>IFERROR(__xludf.DUMMYFUNCTION("""COMPUTED_VALUE"""),0.0)</f>
        <v>0</v>
      </c>
      <c r="H191" s="4"/>
      <c r="I191" s="4"/>
    </row>
    <row r="192">
      <c r="A192" s="4" t="str">
        <f>IFERROR(__xludf.DUMMYFUNCTION("""COMPUTED_VALUE"""),"cas_hmw")</f>
        <v>cas_hmw</v>
      </c>
      <c r="B192" s="5">
        <f>IFERROR(__xludf.DUMMYFUNCTION("""COMPUTED_VALUE"""),44719.0)</f>
        <v>44719</v>
      </c>
      <c r="C192" s="6">
        <f>IFERROR(__xludf.DUMMYFUNCTION("""COMPUTED_VALUE"""),0.7204976851862739)</f>
        <v>0.7204976852</v>
      </c>
      <c r="D192" s="4">
        <f>IFERROR(__xludf.DUMMYFUNCTION("""COMPUTED_VALUE"""),13.025699)</f>
        <v>13.025699</v>
      </c>
      <c r="E192" s="4">
        <f>IFERROR(__xludf.DUMMYFUNCTION("""COMPUTED_VALUE"""),80.230298)</f>
        <v>80.230298</v>
      </c>
      <c r="F192" s="4">
        <f>IFERROR(__xludf.DUMMYFUNCTION("""COMPUTED_VALUE"""),805.0)</f>
        <v>805</v>
      </c>
      <c r="G192" s="4">
        <f>IFERROR(__xludf.DUMMYFUNCTION("""COMPUTED_VALUE"""),17.0)</f>
        <v>17</v>
      </c>
      <c r="H192" s="4"/>
      <c r="I192" s="4"/>
    </row>
    <row r="193">
      <c r="A193" s="4" t="str">
        <f>IFERROR(__xludf.DUMMYFUNCTION("""COMPUTED_VALUE"""),"cas_hmw")</f>
        <v>cas_hmw</v>
      </c>
      <c r="B193" s="5">
        <f>IFERROR(__xludf.DUMMYFUNCTION("""COMPUTED_VALUE"""),44719.0)</f>
        <v>44719</v>
      </c>
      <c r="C193" s="6">
        <f>IFERROR(__xludf.DUMMYFUNCTION("""COMPUTED_VALUE"""),0.7206597222211713)</f>
        <v>0.7206597222</v>
      </c>
      <c r="D193" s="4">
        <f>IFERROR(__xludf.DUMMYFUNCTION("""COMPUTED_VALUE"""),13.025699)</f>
        <v>13.025699</v>
      </c>
      <c r="E193" s="4">
        <f>IFERROR(__xludf.DUMMYFUNCTION("""COMPUTED_VALUE"""),80.230298)</f>
        <v>80.230298</v>
      </c>
      <c r="F193" s="4">
        <f>IFERROR(__xludf.DUMMYFUNCTION("""COMPUTED_VALUE"""),805.0)</f>
        <v>805</v>
      </c>
      <c r="G193" s="4">
        <f>IFERROR(__xludf.DUMMYFUNCTION("""COMPUTED_VALUE"""),17.0)</f>
        <v>17</v>
      </c>
      <c r="H193" s="4"/>
      <c r="I193" s="4"/>
    </row>
    <row r="194">
      <c r="A194" s="4" t="str">
        <f>IFERROR(__xludf.DUMMYFUNCTION("""COMPUTED_VALUE"""),"cas_hmw")</f>
        <v>cas_hmw</v>
      </c>
      <c r="B194" s="5">
        <f>IFERROR(__xludf.DUMMYFUNCTION("""COMPUTED_VALUE"""),44719.0)</f>
        <v>44719</v>
      </c>
      <c r="C194" s="6">
        <f>IFERROR(__xludf.DUMMYFUNCTION("""COMPUTED_VALUE"""),0.7209259259252576)</f>
        <v>0.7209259259</v>
      </c>
      <c r="D194" s="4">
        <f>IFERROR(__xludf.DUMMYFUNCTION("""COMPUTED_VALUE"""),13.025699)</f>
        <v>13.025699</v>
      </c>
      <c r="E194" s="4">
        <f>IFERROR(__xludf.DUMMYFUNCTION("""COMPUTED_VALUE"""),80.230298)</f>
        <v>80.230298</v>
      </c>
      <c r="F194" s="4">
        <f>IFERROR(__xludf.DUMMYFUNCTION("""COMPUTED_VALUE"""),805.0)</f>
        <v>805</v>
      </c>
      <c r="G194" s="4">
        <f>IFERROR(__xludf.DUMMYFUNCTION("""COMPUTED_VALUE"""),17.0)</f>
        <v>17</v>
      </c>
      <c r="H194" s="4"/>
      <c r="I194" s="4"/>
    </row>
    <row r="195">
      <c r="A195" s="4" t="str">
        <f>IFERROR(__xludf.DUMMYFUNCTION("""COMPUTED_VALUE"""),"cas_hmw")</f>
        <v>cas_hmw</v>
      </c>
      <c r="B195" s="5">
        <f>IFERROR(__xludf.DUMMYFUNCTION("""COMPUTED_VALUE"""),44719.0)</f>
        <v>44719</v>
      </c>
      <c r="C195" s="6">
        <f>IFERROR(__xludf.DUMMYFUNCTION("""COMPUTED_VALUE"""),0.7210069444445253)</f>
        <v>0.7210069444</v>
      </c>
      <c r="D195" s="4">
        <f>IFERROR(__xludf.DUMMYFUNCTION("""COMPUTED_VALUE"""),13.025699)</f>
        <v>13.025699</v>
      </c>
      <c r="E195" s="4">
        <f>IFERROR(__xludf.DUMMYFUNCTION("""COMPUTED_VALUE"""),80.230298)</f>
        <v>80.230298</v>
      </c>
      <c r="F195" s="4">
        <f>IFERROR(__xludf.DUMMYFUNCTION("""COMPUTED_VALUE"""),805.0)</f>
        <v>805</v>
      </c>
      <c r="G195" s="4">
        <f>IFERROR(__xludf.DUMMYFUNCTION("""COMPUTED_VALUE"""),17.0)</f>
        <v>17</v>
      </c>
      <c r="H195" s="4"/>
      <c r="I195" s="4"/>
    </row>
    <row r="196">
      <c r="A196" s="4" t="str">
        <f>IFERROR(__xludf.DUMMYFUNCTION("""COMPUTED_VALUE"""),"cas_hmw")</f>
        <v>cas_hmw</v>
      </c>
      <c r="B196" s="5">
        <f>IFERROR(__xludf.DUMMYFUNCTION("""COMPUTED_VALUE"""),44719.0)</f>
        <v>44719</v>
      </c>
      <c r="C196" s="6">
        <f>IFERROR(__xludf.DUMMYFUNCTION("""COMPUTED_VALUE"""),0.721018518517667)</f>
        <v>0.7210185185</v>
      </c>
      <c r="D196" s="4">
        <f>IFERROR(__xludf.DUMMYFUNCTION("""COMPUTED_VALUE"""),13.025699)</f>
        <v>13.025699</v>
      </c>
      <c r="E196" s="4">
        <f>IFERROR(__xludf.DUMMYFUNCTION("""COMPUTED_VALUE"""),80.230298)</f>
        <v>80.230298</v>
      </c>
      <c r="F196" s="4">
        <f>IFERROR(__xludf.DUMMYFUNCTION("""COMPUTED_VALUE"""),805.0)</f>
        <v>805</v>
      </c>
      <c r="G196" s="4">
        <f>IFERROR(__xludf.DUMMYFUNCTION("""COMPUTED_VALUE"""),17.0)</f>
        <v>17</v>
      </c>
      <c r="H196" s="4"/>
      <c r="I196" s="4"/>
    </row>
    <row r="197">
      <c r="A197" s="4" t="str">
        <f>IFERROR(__xludf.DUMMYFUNCTION("""COMPUTED_VALUE"""),"cas_hmw")</f>
        <v>cas_hmw</v>
      </c>
      <c r="B197" s="5">
        <f>IFERROR(__xludf.DUMMYFUNCTION("""COMPUTED_VALUE"""),44719.0)</f>
        <v>44719</v>
      </c>
      <c r="C197" s="6">
        <f>IFERROR(__xludf.DUMMYFUNCTION("""COMPUTED_VALUE"""),0.7210416666675883)</f>
        <v>0.7210416667</v>
      </c>
      <c r="D197" s="4">
        <f>IFERROR(__xludf.DUMMYFUNCTION("""COMPUTED_VALUE"""),13.025699)</f>
        <v>13.025699</v>
      </c>
      <c r="E197" s="4">
        <f>IFERROR(__xludf.DUMMYFUNCTION("""COMPUTED_VALUE"""),80.230298)</f>
        <v>80.230298</v>
      </c>
      <c r="F197" s="4">
        <f>IFERROR(__xludf.DUMMYFUNCTION("""COMPUTED_VALUE"""),805.0)</f>
        <v>805</v>
      </c>
      <c r="G197" s="4">
        <f>IFERROR(__xludf.DUMMYFUNCTION("""COMPUTED_VALUE"""),17.0)</f>
        <v>17</v>
      </c>
      <c r="H197" s="4"/>
      <c r="I197" s="4"/>
    </row>
    <row r="198">
      <c r="A198" s="4" t="str">
        <f>IFERROR(__xludf.DUMMYFUNCTION("""COMPUTED_VALUE"""),"cas_hmw")</f>
        <v>cas_hmw</v>
      </c>
      <c r="B198" s="5">
        <f>IFERROR(__xludf.DUMMYFUNCTION("""COMPUTED_VALUE"""),44719.0)</f>
        <v>44719</v>
      </c>
      <c r="C198" s="6">
        <f>IFERROR(__xludf.DUMMYFUNCTION("""COMPUTED_VALUE"""),0.7210763888906513)</f>
        <v>0.7210763889</v>
      </c>
      <c r="D198" s="4">
        <f>IFERROR(__xludf.DUMMYFUNCTION("""COMPUTED_VALUE"""),13.025699)</f>
        <v>13.025699</v>
      </c>
      <c r="E198" s="4">
        <f>IFERROR(__xludf.DUMMYFUNCTION("""COMPUTED_VALUE"""),80.230298)</f>
        <v>80.230298</v>
      </c>
      <c r="F198" s="4">
        <f>IFERROR(__xludf.DUMMYFUNCTION("""COMPUTED_VALUE"""),805.0)</f>
        <v>805</v>
      </c>
      <c r="G198" s="4">
        <f>IFERROR(__xludf.DUMMYFUNCTION("""COMPUTED_VALUE"""),17.0)</f>
        <v>17</v>
      </c>
      <c r="H198" s="4"/>
      <c r="I198" s="4"/>
    </row>
    <row r="199">
      <c r="A199" s="4" t="str">
        <f>IFERROR(__xludf.DUMMYFUNCTION("""COMPUTED_VALUE"""),"cas_hmw")</f>
        <v>cas_hmw</v>
      </c>
      <c r="B199" s="5">
        <f>IFERROR(__xludf.DUMMYFUNCTION("""COMPUTED_VALUE"""),44719.0)</f>
        <v>44719</v>
      </c>
      <c r="C199" s="6">
        <f>IFERROR(__xludf.DUMMYFUNCTION("""COMPUTED_VALUE"""),0.721087962963793)</f>
        <v>0.721087963</v>
      </c>
      <c r="D199" s="4">
        <f>IFERROR(__xludf.DUMMYFUNCTION("""COMPUTED_VALUE"""),13.025699)</f>
        <v>13.025699</v>
      </c>
      <c r="E199" s="4">
        <f>IFERROR(__xludf.DUMMYFUNCTION("""COMPUTED_VALUE"""),80.230298)</f>
        <v>80.230298</v>
      </c>
      <c r="F199" s="4">
        <f>IFERROR(__xludf.DUMMYFUNCTION("""COMPUTED_VALUE"""),805.0)</f>
        <v>805</v>
      </c>
      <c r="G199" s="4">
        <f>IFERROR(__xludf.DUMMYFUNCTION("""COMPUTED_VALUE"""),17.0)</f>
        <v>17</v>
      </c>
      <c r="H199" s="4"/>
      <c r="I199" s="4"/>
    </row>
    <row r="200">
      <c r="A200" s="4" t="str">
        <f>IFERROR(__xludf.DUMMYFUNCTION("""COMPUTED_VALUE"""),"cas_hmw")</f>
        <v>cas_hmw</v>
      </c>
      <c r="B200" s="5">
        <f>IFERROR(__xludf.DUMMYFUNCTION("""COMPUTED_VALUE"""),44719.0)</f>
        <v>44719</v>
      </c>
      <c r="C200" s="6">
        <f>IFERROR(__xludf.DUMMYFUNCTION("""COMPUTED_VALUE"""),0.7210995370369346)</f>
        <v>0.721099537</v>
      </c>
      <c r="D200" s="4">
        <f>IFERROR(__xludf.DUMMYFUNCTION("""COMPUTED_VALUE"""),13.025699)</f>
        <v>13.025699</v>
      </c>
      <c r="E200" s="4">
        <f>IFERROR(__xludf.DUMMYFUNCTION("""COMPUTED_VALUE"""),80.230298)</f>
        <v>80.230298</v>
      </c>
      <c r="F200" s="4">
        <f>IFERROR(__xludf.DUMMYFUNCTION("""COMPUTED_VALUE"""),805.0)</f>
        <v>805</v>
      </c>
      <c r="G200" s="4">
        <f>IFERROR(__xludf.DUMMYFUNCTION("""COMPUTED_VALUE"""),17.0)</f>
        <v>17</v>
      </c>
      <c r="H200" s="4"/>
      <c r="I200" s="4"/>
    </row>
    <row r="201">
      <c r="A201" s="4" t="str">
        <f>IFERROR(__xludf.DUMMYFUNCTION("""COMPUTED_VALUE"""),"cas_hmw")</f>
        <v>cas_hmw</v>
      </c>
      <c r="B201" s="5">
        <f>IFERROR(__xludf.DUMMYFUNCTION("""COMPUTED_VALUE"""),44719.0)</f>
        <v>44719</v>
      </c>
      <c r="C201" s="6">
        <f>IFERROR(__xludf.DUMMYFUNCTION("""COMPUTED_VALUE"""),0.7212384259255487)</f>
        <v>0.7212384259</v>
      </c>
      <c r="D201" s="4">
        <f>IFERROR(__xludf.DUMMYFUNCTION("""COMPUTED_VALUE"""),13.025699)</f>
        <v>13.025699</v>
      </c>
      <c r="E201" s="4">
        <f>IFERROR(__xludf.DUMMYFUNCTION("""COMPUTED_VALUE"""),80.230298)</f>
        <v>80.230298</v>
      </c>
      <c r="F201" s="4">
        <f>IFERROR(__xludf.DUMMYFUNCTION("""COMPUTED_VALUE"""),805.0)</f>
        <v>805</v>
      </c>
      <c r="G201" s="4">
        <f>IFERROR(__xludf.DUMMYFUNCTION("""COMPUTED_VALUE"""),17.0)</f>
        <v>17</v>
      </c>
      <c r="H201" s="4"/>
      <c r="I201" s="4"/>
    </row>
    <row r="202">
      <c r="A202" s="4" t="str">
        <f>IFERROR(__xludf.DUMMYFUNCTION("""COMPUTED_VALUE"""),"cas_hmw")</f>
        <v>cas_hmw</v>
      </c>
      <c r="B202" s="5">
        <f>IFERROR(__xludf.DUMMYFUNCTION("""COMPUTED_VALUE"""),44719.0)</f>
        <v>44719</v>
      </c>
      <c r="C202" s="6">
        <f>IFERROR(__xludf.DUMMYFUNCTION("""COMPUTED_VALUE"""),0.7221064814802958)</f>
        <v>0.7221064815</v>
      </c>
      <c r="D202" s="4">
        <f>IFERROR(__xludf.DUMMYFUNCTION("""COMPUTED_VALUE"""),13.031354)</f>
        <v>13.031354</v>
      </c>
      <c r="E202" s="4">
        <f>IFERROR(__xludf.DUMMYFUNCTION("""COMPUTED_VALUE"""),80.240127)</f>
        <v>80.240127</v>
      </c>
      <c r="F202" s="4">
        <f>IFERROR(__xludf.DUMMYFUNCTION("""COMPUTED_VALUE"""),805.0)</f>
        <v>805</v>
      </c>
      <c r="G202" s="4">
        <f>IFERROR(__xludf.DUMMYFUNCTION("""COMPUTED_VALUE"""),13.0)</f>
        <v>13</v>
      </c>
      <c r="H202" s="4"/>
      <c r="I202" s="4"/>
    </row>
    <row r="203">
      <c r="A203" s="4" t="str">
        <f>IFERROR(__xludf.DUMMYFUNCTION("""COMPUTED_VALUE"""),"cas_hmw")</f>
        <v>cas_hmw</v>
      </c>
      <c r="B203" s="5">
        <f>IFERROR(__xludf.DUMMYFUNCTION("""COMPUTED_VALUE"""),44719.0)</f>
        <v>44719</v>
      </c>
      <c r="C203" s="6">
        <f>IFERROR(__xludf.DUMMYFUNCTION("""COMPUTED_VALUE"""),0.7227314814808778)</f>
        <v>0.7227314815</v>
      </c>
      <c r="D203" s="4">
        <f>IFERROR(__xludf.DUMMYFUNCTION("""COMPUTED_VALUE"""),13.033187)</f>
        <v>13.033187</v>
      </c>
      <c r="E203" s="4">
        <f>IFERROR(__xludf.DUMMYFUNCTION("""COMPUTED_VALUE"""),80.243371)</f>
        <v>80.243371</v>
      </c>
      <c r="F203" s="4">
        <f>IFERROR(__xludf.DUMMYFUNCTION("""COMPUTED_VALUE"""),805.0)</f>
        <v>805</v>
      </c>
      <c r="G203" s="4">
        <f>IFERROR(__xludf.DUMMYFUNCTION("""COMPUTED_VALUE"""),4.0)</f>
        <v>4</v>
      </c>
      <c r="H203" s="4"/>
      <c r="I203" s="4"/>
    </row>
    <row r="204">
      <c r="A204" s="4" t="str">
        <f>IFERROR(__xludf.DUMMYFUNCTION("""COMPUTED_VALUE"""),"cas_hmw")</f>
        <v>cas_hmw</v>
      </c>
      <c r="B204" s="5">
        <f>IFERROR(__xludf.DUMMYFUNCTION("""COMPUTED_VALUE"""),44719.0)</f>
        <v>44719</v>
      </c>
      <c r="C204" s="6">
        <f>IFERROR(__xludf.DUMMYFUNCTION("""COMPUTED_VALUE"""),0.7278472222205892)</f>
        <v>0.7278472222</v>
      </c>
      <c r="D204" s="4">
        <f>IFERROR(__xludf.DUMMYFUNCTION("""COMPUTED_VALUE"""),13.049039)</f>
        <v>13.049039</v>
      </c>
      <c r="E204" s="4">
        <f>IFERROR(__xludf.DUMMYFUNCTION("""COMPUTED_VALUE"""),80.249575)</f>
        <v>80.249575</v>
      </c>
      <c r="F204" s="4">
        <f>IFERROR(__xludf.DUMMYFUNCTION("""COMPUTED_VALUE"""),805.0)</f>
        <v>805</v>
      </c>
      <c r="G204" s="4">
        <f>IFERROR(__xludf.DUMMYFUNCTION("""COMPUTED_VALUE"""),0.0)</f>
        <v>0</v>
      </c>
      <c r="H204" s="4"/>
      <c r="I204" s="4"/>
    </row>
    <row r="205">
      <c r="A205" s="4" t="str">
        <f>IFERROR(__xludf.DUMMYFUNCTION("""COMPUTED_VALUE"""),"cas_hmw")</f>
        <v>cas_hmw</v>
      </c>
      <c r="B205" s="5">
        <f>IFERROR(__xludf.DUMMYFUNCTION("""COMPUTED_VALUE"""),44719.0)</f>
        <v>44719</v>
      </c>
      <c r="C205" s="6">
        <f>IFERROR(__xludf.DUMMYFUNCTION("""COMPUTED_VALUE"""),0.7288888888906513)</f>
        <v>0.7288888889</v>
      </c>
      <c r="D205" s="4">
        <f>IFERROR(__xludf.DUMMYFUNCTION("""COMPUTED_VALUE"""),13.055292)</f>
        <v>13.055292</v>
      </c>
      <c r="E205" s="4">
        <f>IFERROR(__xludf.DUMMYFUNCTION("""COMPUTED_VALUE"""),80.254886)</f>
        <v>80.254886</v>
      </c>
      <c r="F205" s="4">
        <f>IFERROR(__xludf.DUMMYFUNCTION("""COMPUTED_VALUE"""),805.0)</f>
        <v>805</v>
      </c>
      <c r="G205" s="4">
        <f>IFERROR(__xludf.DUMMYFUNCTION("""COMPUTED_VALUE"""),17.0)</f>
        <v>17</v>
      </c>
      <c r="H205" s="4"/>
      <c r="I205" s="4"/>
    </row>
    <row r="206">
      <c r="A206" s="4" t="str">
        <f>IFERROR(__xludf.DUMMYFUNCTION("""COMPUTED_VALUE"""),"cas_hmw")</f>
        <v>cas_hmw</v>
      </c>
      <c r="B206" s="5">
        <f>IFERROR(__xludf.DUMMYFUNCTION("""COMPUTED_VALUE"""),44719.0)</f>
        <v>44719</v>
      </c>
      <c r="C206" s="6">
        <f>IFERROR(__xludf.DUMMYFUNCTION("""COMPUTED_VALUE"""),0.7300578703689098)</f>
        <v>0.7300578704</v>
      </c>
      <c r="D206" s="4">
        <f>IFERROR(__xludf.DUMMYFUNCTION("""COMPUTED_VALUE"""),13.055821)</f>
        <v>13.055821</v>
      </c>
      <c r="E206" s="4">
        <f>IFERROR(__xludf.DUMMYFUNCTION("""COMPUTED_VALUE"""),80.257635)</f>
        <v>80.257635</v>
      </c>
      <c r="F206" s="4">
        <f>IFERROR(__xludf.DUMMYFUNCTION("""COMPUTED_VALUE"""),805.0)</f>
        <v>805</v>
      </c>
      <c r="G206" s="4">
        <f>IFERROR(__xludf.DUMMYFUNCTION("""COMPUTED_VALUE"""),20.0)</f>
        <v>20</v>
      </c>
      <c r="H206" s="4"/>
      <c r="I206" s="4"/>
    </row>
    <row r="207">
      <c r="A207" s="4" t="str">
        <f>IFERROR(__xludf.DUMMYFUNCTION("""COMPUTED_VALUE"""),"cas_hmw")</f>
        <v>cas_hmw</v>
      </c>
      <c r="B207" s="5">
        <f>IFERROR(__xludf.DUMMYFUNCTION("""COMPUTED_VALUE"""),44719.0)</f>
        <v>44719</v>
      </c>
      <c r="C207" s="6">
        <f>IFERROR(__xludf.DUMMYFUNCTION("""COMPUTED_VALUE"""),0.7300578703689098)</f>
        <v>0.7300578704</v>
      </c>
      <c r="D207" s="4">
        <f>IFERROR(__xludf.DUMMYFUNCTION("""COMPUTED_VALUE"""),13.055821)</f>
        <v>13.055821</v>
      </c>
      <c r="E207" s="4">
        <f>IFERROR(__xludf.DUMMYFUNCTION("""COMPUTED_VALUE"""),80.257635)</f>
        <v>80.257635</v>
      </c>
      <c r="F207" s="4">
        <f>IFERROR(__xludf.DUMMYFUNCTION("""COMPUTED_VALUE"""),805.0)</f>
        <v>805</v>
      </c>
      <c r="G207" s="4">
        <f>IFERROR(__xludf.DUMMYFUNCTION("""COMPUTED_VALUE"""),20.0)</f>
        <v>20</v>
      </c>
      <c r="H207" s="4"/>
      <c r="I207" s="4"/>
    </row>
    <row r="208">
      <c r="A208" s="4" t="str">
        <f>IFERROR(__xludf.DUMMYFUNCTION("""COMPUTED_VALUE"""),"cas_hmw")</f>
        <v>cas_hmw</v>
      </c>
      <c r="B208" s="5">
        <f>IFERROR(__xludf.DUMMYFUNCTION("""COMPUTED_VALUE"""),44719.0)</f>
        <v>44719</v>
      </c>
      <c r="C208" s="6">
        <f>IFERROR(__xludf.DUMMYFUNCTION("""COMPUTED_VALUE"""),0.7301273148150358)</f>
        <v>0.7301273148</v>
      </c>
      <c r="D208" s="4">
        <f>IFERROR(__xludf.DUMMYFUNCTION("""COMPUTED_VALUE"""),13.055821)</f>
        <v>13.055821</v>
      </c>
      <c r="E208" s="4">
        <f>IFERROR(__xludf.DUMMYFUNCTION("""COMPUTED_VALUE"""),80.257635)</f>
        <v>80.257635</v>
      </c>
      <c r="F208" s="4">
        <f>IFERROR(__xludf.DUMMYFUNCTION("""COMPUTED_VALUE"""),805.0)</f>
        <v>805</v>
      </c>
      <c r="G208" s="4">
        <f>IFERROR(__xludf.DUMMYFUNCTION("""COMPUTED_VALUE"""),20.0)</f>
        <v>20</v>
      </c>
      <c r="H208" s="4"/>
      <c r="I208" s="4"/>
    </row>
    <row r="209">
      <c r="A209" s="4" t="str">
        <f>IFERROR(__xludf.DUMMYFUNCTION("""COMPUTED_VALUE"""),"cas_hmw")</f>
        <v>cas_hmw</v>
      </c>
      <c r="B209" s="5">
        <f>IFERROR(__xludf.DUMMYFUNCTION("""COMPUTED_VALUE"""),44719.0)</f>
        <v>44719</v>
      </c>
      <c r="C209" s="6">
        <f>IFERROR(__xludf.DUMMYFUNCTION("""COMPUTED_VALUE"""),0.7386226851849642)</f>
        <v>0.7386226852</v>
      </c>
      <c r="D209" s="4">
        <f>IFERROR(__xludf.DUMMYFUNCTION("""COMPUTED_VALUE"""),12.971763)</f>
        <v>12.971763</v>
      </c>
      <c r="E209" s="4">
        <f>IFERROR(__xludf.DUMMYFUNCTION("""COMPUTED_VALUE"""),80.219294)</f>
        <v>80.219294</v>
      </c>
      <c r="F209" s="4">
        <f>IFERROR(__xludf.DUMMYFUNCTION("""COMPUTED_VALUE"""),2846.0)</f>
        <v>2846</v>
      </c>
      <c r="G209" s="4">
        <f>IFERROR(__xludf.DUMMYFUNCTION("""COMPUTED_VALUE"""),20.0)</f>
        <v>20</v>
      </c>
      <c r="H209" s="4"/>
      <c r="I209" s="4"/>
    </row>
    <row r="210">
      <c r="A210" s="4" t="str">
        <f>IFERROR(__xludf.DUMMYFUNCTION("""COMPUTED_VALUE"""),"cas_hmw")</f>
        <v>cas_hmw</v>
      </c>
      <c r="B210" s="5">
        <f>IFERROR(__xludf.DUMMYFUNCTION("""COMPUTED_VALUE"""),44719.0)</f>
        <v>44719</v>
      </c>
      <c r="C210" s="6">
        <f>IFERROR(__xludf.DUMMYFUNCTION("""COMPUTED_VALUE"""),0.739710648147593)</f>
        <v>0.7397106481</v>
      </c>
      <c r="D210" s="4">
        <f>IFERROR(__xludf.DUMMYFUNCTION("""COMPUTED_VALUE"""),12.963839)</f>
        <v>12.963839</v>
      </c>
      <c r="E210" s="4">
        <f>IFERROR(__xludf.DUMMYFUNCTION("""COMPUTED_VALUE"""),80.2161)</f>
        <v>80.2161</v>
      </c>
      <c r="F210" s="4">
        <f>IFERROR(__xludf.DUMMYFUNCTION("""COMPUTED_VALUE"""),2846.0)</f>
        <v>2846</v>
      </c>
      <c r="G210" s="4">
        <f>IFERROR(__xludf.DUMMYFUNCTION("""COMPUTED_VALUE"""),15.0)</f>
        <v>15</v>
      </c>
      <c r="H210" s="4"/>
      <c r="I210" s="4"/>
    </row>
    <row r="211">
      <c r="A211" s="4" t="str">
        <f>IFERROR(__xludf.DUMMYFUNCTION("""COMPUTED_VALUE"""),"cas_hmw")</f>
        <v>cas_hmw</v>
      </c>
      <c r="B211" s="5">
        <f>IFERROR(__xludf.DUMMYFUNCTION("""COMPUTED_VALUE"""),44719.0)</f>
        <v>44719</v>
      </c>
      <c r="C211" s="6">
        <f>IFERROR(__xludf.DUMMYFUNCTION("""COMPUTED_VALUE"""),0.7428819444430701)</f>
        <v>0.7428819444</v>
      </c>
      <c r="D211" s="4">
        <f>IFERROR(__xludf.DUMMYFUNCTION("""COMPUTED_VALUE"""),13.066656)</f>
        <v>13.066656</v>
      </c>
      <c r="E211" s="4">
        <f>IFERROR(__xludf.DUMMYFUNCTION("""COMPUTED_VALUE"""),80.268432)</f>
        <v>80.268432</v>
      </c>
      <c r="F211" s="4">
        <f>IFERROR(__xludf.DUMMYFUNCTION("""COMPUTED_VALUE"""),805.0)</f>
        <v>805</v>
      </c>
      <c r="G211" s="4">
        <f>IFERROR(__xludf.DUMMYFUNCTION("""COMPUTED_VALUE"""),10.0)</f>
        <v>10</v>
      </c>
      <c r="H211" s="4"/>
      <c r="I211" s="4"/>
    </row>
    <row r="212">
      <c r="A212" s="4" t="str">
        <f>IFERROR(__xludf.DUMMYFUNCTION("""COMPUTED_VALUE"""),"cas_hmw")</f>
        <v>cas_hmw</v>
      </c>
      <c r="B212" s="5">
        <f>IFERROR(__xludf.DUMMYFUNCTION("""COMPUTED_VALUE"""),44719.0)</f>
        <v>44719</v>
      </c>
      <c r="C212" s="6">
        <f>IFERROR(__xludf.DUMMYFUNCTION("""COMPUTED_VALUE"""),0.7429513888891961)</f>
        <v>0.7429513889</v>
      </c>
      <c r="D212" s="4">
        <f>IFERROR(__xludf.DUMMYFUNCTION("""COMPUTED_VALUE"""),13.066656)</f>
        <v>13.066656</v>
      </c>
      <c r="E212" s="4">
        <f>IFERROR(__xludf.DUMMYFUNCTION("""COMPUTED_VALUE"""),80.268432)</f>
        <v>80.268432</v>
      </c>
      <c r="F212" s="4">
        <f>IFERROR(__xludf.DUMMYFUNCTION("""COMPUTED_VALUE"""),805.0)</f>
        <v>805</v>
      </c>
      <c r="G212" s="4">
        <f>IFERROR(__xludf.DUMMYFUNCTION("""COMPUTED_VALUE"""),10.0)</f>
        <v>10</v>
      </c>
      <c r="H212" s="4"/>
      <c r="I212" s="4"/>
    </row>
    <row r="213">
      <c r="A213" s="4" t="str">
        <f>IFERROR(__xludf.DUMMYFUNCTION("""COMPUTED_VALUE"""),"cas_hmw")</f>
        <v>cas_hmw</v>
      </c>
      <c r="B213" s="5">
        <f>IFERROR(__xludf.DUMMYFUNCTION("""COMPUTED_VALUE"""),44719.0)</f>
        <v>44719</v>
      </c>
      <c r="C213" s="6">
        <f>IFERROR(__xludf.DUMMYFUNCTION("""COMPUTED_VALUE"""),0.7631597222207347)</f>
        <v>0.7631597222</v>
      </c>
      <c r="D213" s="4">
        <f>IFERROR(__xludf.DUMMYFUNCTION("""COMPUTED_VALUE"""),12.936251)</f>
        <v>12.936251</v>
      </c>
      <c r="E213" s="4">
        <f>IFERROR(__xludf.DUMMYFUNCTION("""COMPUTED_VALUE"""),80.127341)</f>
        <v>80.127341</v>
      </c>
      <c r="F213" s="4">
        <f>IFERROR(__xludf.DUMMYFUNCTION("""COMPUTED_VALUE"""),2846.0)</f>
        <v>2846</v>
      </c>
      <c r="G213" s="4">
        <f>IFERROR(__xludf.DUMMYFUNCTION("""COMPUTED_VALUE"""),0.0)</f>
        <v>0</v>
      </c>
      <c r="H213" s="4"/>
      <c r="I213" s="4"/>
    </row>
    <row r="214">
      <c r="A214" s="4" t="str">
        <f>IFERROR(__xludf.DUMMYFUNCTION("""COMPUTED_VALUE"""),"cas_hmw")</f>
        <v>cas_hmw</v>
      </c>
      <c r="B214" s="5">
        <f>IFERROR(__xludf.DUMMYFUNCTION("""COMPUTED_VALUE"""),44719.0)</f>
        <v>44719</v>
      </c>
      <c r="C214" s="6">
        <f>IFERROR(__xludf.DUMMYFUNCTION("""COMPUTED_VALUE"""),0.7740740740737238)</f>
        <v>0.7740740741</v>
      </c>
      <c r="D214" s="4">
        <f>IFERROR(__xludf.DUMMYFUNCTION("""COMPUTED_VALUE"""),12.879018)</f>
        <v>12.879018</v>
      </c>
      <c r="E214" s="4">
        <f>IFERROR(__xludf.DUMMYFUNCTION("""COMPUTED_VALUE"""),80.080502)</f>
        <v>80.080502</v>
      </c>
      <c r="F214" s="4">
        <f>IFERROR(__xludf.DUMMYFUNCTION("""COMPUTED_VALUE"""),2846.0)</f>
        <v>2846</v>
      </c>
      <c r="G214" s="4">
        <f>IFERROR(__xludf.DUMMYFUNCTION("""COMPUTED_VALUE"""),8.0)</f>
        <v>8</v>
      </c>
      <c r="H214" s="4"/>
      <c r="I214" s="4"/>
    </row>
    <row r="215">
      <c r="A215" s="4" t="str">
        <f>IFERROR(__xludf.DUMMYFUNCTION("""COMPUTED_VALUE"""),"cas_hmw")</f>
        <v>cas_hmw</v>
      </c>
      <c r="B215" s="5">
        <f>IFERROR(__xludf.DUMMYFUNCTION("""COMPUTED_VALUE"""),44720.0)</f>
        <v>44720</v>
      </c>
      <c r="C215" s="6">
        <f>IFERROR(__xludf.DUMMYFUNCTION("""COMPUTED_VALUE"""),0.2793634259251121)</f>
        <v>0.2793634259</v>
      </c>
      <c r="D215" s="4">
        <f>IFERROR(__xludf.DUMMYFUNCTION("""COMPUTED_VALUE"""),12.909152)</f>
        <v>12.909152</v>
      </c>
      <c r="E215" s="4">
        <f>IFERROR(__xludf.DUMMYFUNCTION("""COMPUTED_VALUE"""),80.098565)</f>
        <v>80.098565</v>
      </c>
      <c r="F215" s="4">
        <f>IFERROR(__xludf.DUMMYFUNCTION("""COMPUTED_VALUE"""),2846.0)</f>
        <v>2846</v>
      </c>
      <c r="G215" s="4">
        <f>IFERROR(__xludf.DUMMYFUNCTION("""COMPUTED_VALUE"""),11.0)</f>
        <v>11</v>
      </c>
      <c r="H215" s="4"/>
      <c r="I215" s="4"/>
    </row>
    <row r="216">
      <c r="A216" s="4" t="str">
        <f>IFERROR(__xludf.DUMMYFUNCTION("""COMPUTED_VALUE"""),"cas_hmw")</f>
        <v>cas_hmw</v>
      </c>
      <c r="B216" s="5">
        <f>IFERROR(__xludf.DUMMYFUNCTION("""COMPUTED_VALUE"""),44720.0)</f>
        <v>44720</v>
      </c>
      <c r="C216" s="6">
        <f>IFERROR(__xludf.DUMMYFUNCTION("""COMPUTED_VALUE"""),0.2843749999992724)</f>
        <v>0.284375</v>
      </c>
      <c r="D216" s="4">
        <f>IFERROR(__xludf.DUMMYFUNCTION("""COMPUTED_VALUE"""),13.070246)</f>
        <v>13.070246</v>
      </c>
      <c r="E216" s="4">
        <f>IFERROR(__xludf.DUMMYFUNCTION("""COMPUTED_VALUE"""),80.182138)</f>
        <v>80.182138</v>
      </c>
      <c r="F216" s="4">
        <f>IFERROR(__xludf.DUMMYFUNCTION("""COMPUTED_VALUE"""),3143.0)</f>
        <v>3143</v>
      </c>
      <c r="G216" s="4">
        <f>IFERROR(__xludf.DUMMYFUNCTION("""COMPUTED_VALUE"""),0.0)</f>
        <v>0</v>
      </c>
      <c r="H216" s="4"/>
      <c r="I216" s="4"/>
    </row>
    <row r="217">
      <c r="A217" s="4" t="str">
        <f>IFERROR(__xludf.DUMMYFUNCTION("""COMPUTED_VALUE"""),"cas_hmw")</f>
        <v>cas_hmw</v>
      </c>
      <c r="B217" s="5">
        <f>IFERROR(__xludf.DUMMYFUNCTION("""COMPUTED_VALUE"""),44720.0)</f>
        <v>44720</v>
      </c>
      <c r="C217" s="6">
        <f>IFERROR(__xludf.DUMMYFUNCTION("""COMPUTED_VALUE"""),0.28453703703780775)</f>
        <v>0.284537037</v>
      </c>
      <c r="D217" s="4">
        <f>IFERROR(__xludf.DUMMYFUNCTION("""COMPUTED_VALUE"""),13.070286)</f>
        <v>13.070286</v>
      </c>
      <c r="E217" s="4">
        <f>IFERROR(__xludf.DUMMYFUNCTION("""COMPUTED_VALUE"""),80.182209)</f>
        <v>80.182209</v>
      </c>
      <c r="F217" s="4">
        <f>IFERROR(__xludf.DUMMYFUNCTION("""COMPUTED_VALUE"""),3143.0)</f>
        <v>3143</v>
      </c>
      <c r="G217" s="4">
        <f>IFERROR(__xludf.DUMMYFUNCTION("""COMPUTED_VALUE"""),11.0)</f>
        <v>11</v>
      </c>
      <c r="H217" s="4"/>
      <c r="I217" s="4"/>
    </row>
    <row r="218">
      <c r="A218" s="4" t="str">
        <f>IFERROR(__xludf.DUMMYFUNCTION("""COMPUTED_VALUE"""),"cas_hmw")</f>
        <v>cas_hmw</v>
      </c>
      <c r="B218" s="5">
        <f>IFERROR(__xludf.DUMMYFUNCTION("""COMPUTED_VALUE"""),44720.0)</f>
        <v>44720</v>
      </c>
      <c r="C218" s="6">
        <f>IFERROR(__xludf.DUMMYFUNCTION("""COMPUTED_VALUE"""),0.31974537036876427)</f>
        <v>0.3197453704</v>
      </c>
      <c r="D218" s="4">
        <f>IFERROR(__xludf.DUMMYFUNCTION("""COMPUTED_VALUE"""),13.025866)</f>
        <v>13.025866</v>
      </c>
      <c r="E218" s="4">
        <f>IFERROR(__xludf.DUMMYFUNCTION("""COMPUTED_VALUE"""),80.2311)</f>
        <v>80.2311</v>
      </c>
      <c r="F218" s="4">
        <f>IFERROR(__xludf.DUMMYFUNCTION("""COMPUTED_VALUE"""),805.0)</f>
        <v>805</v>
      </c>
      <c r="G218" s="4">
        <f>IFERROR(__xludf.DUMMYFUNCTION("""COMPUTED_VALUE"""),9.0)</f>
        <v>9</v>
      </c>
      <c r="H218" s="4"/>
      <c r="I218" s="4"/>
    </row>
    <row r="219">
      <c r="A219" s="4" t="str">
        <f>IFERROR(__xludf.DUMMYFUNCTION("""COMPUTED_VALUE"""),"cas_hmw")</f>
        <v>cas_hmw</v>
      </c>
      <c r="B219" s="5">
        <f>IFERROR(__xludf.DUMMYFUNCTION("""COMPUTED_VALUE"""),44720.0)</f>
        <v>44720</v>
      </c>
      <c r="C219" s="6">
        <f>IFERROR(__xludf.DUMMYFUNCTION("""COMPUTED_VALUE"""),0.32167824073985685)</f>
        <v>0.3216782407</v>
      </c>
      <c r="D219" s="4">
        <f>IFERROR(__xludf.DUMMYFUNCTION("""COMPUTED_VALUE"""),13.014906)</f>
        <v>13.014906</v>
      </c>
      <c r="E219" s="4">
        <f>IFERROR(__xludf.DUMMYFUNCTION("""COMPUTED_VALUE"""),80.226042)</f>
        <v>80.226042</v>
      </c>
      <c r="F219" s="4">
        <f>IFERROR(__xludf.DUMMYFUNCTION("""COMPUTED_VALUE"""),805.0)</f>
        <v>805</v>
      </c>
      <c r="G219" s="4">
        <f>IFERROR(__xludf.DUMMYFUNCTION("""COMPUTED_VALUE"""),16.0)</f>
        <v>16</v>
      </c>
      <c r="H219" s="4"/>
      <c r="I219" s="4"/>
    </row>
    <row r="220">
      <c r="A220" s="4" t="str">
        <f>IFERROR(__xludf.DUMMYFUNCTION("""COMPUTED_VALUE"""),"cas_hmw")</f>
        <v>cas_hmw</v>
      </c>
      <c r="B220" s="5">
        <f>IFERROR(__xludf.DUMMYFUNCTION("""COMPUTED_VALUE"""),44720.0)</f>
        <v>44720</v>
      </c>
      <c r="C220" s="6">
        <f>IFERROR(__xludf.DUMMYFUNCTION("""COMPUTED_VALUE"""),0.3277893518534256)</f>
        <v>0.3277893519</v>
      </c>
      <c r="D220" s="4">
        <f>IFERROR(__xludf.DUMMYFUNCTION("""COMPUTED_VALUE"""),12.995932)</f>
        <v>12.995932</v>
      </c>
      <c r="E220" s="4">
        <f>IFERROR(__xludf.DUMMYFUNCTION("""COMPUTED_VALUE"""),80.189432)</f>
        <v>80.189432</v>
      </c>
      <c r="F220" s="4">
        <f>IFERROR(__xludf.DUMMYFUNCTION("""COMPUTED_VALUE"""),805.0)</f>
        <v>805</v>
      </c>
      <c r="G220" s="4">
        <f>IFERROR(__xludf.DUMMYFUNCTION("""COMPUTED_VALUE"""),16.0)</f>
        <v>16</v>
      </c>
      <c r="H220" s="4"/>
      <c r="I220" s="4"/>
    </row>
    <row r="221">
      <c r="A221" s="4" t="str">
        <f>IFERROR(__xludf.DUMMYFUNCTION("""COMPUTED_VALUE"""),"cas_hmw")</f>
        <v>cas_hmw</v>
      </c>
      <c r="B221" s="5">
        <f>IFERROR(__xludf.DUMMYFUNCTION("""COMPUTED_VALUE"""),44720.0)</f>
        <v>44720</v>
      </c>
      <c r="C221" s="6">
        <f>IFERROR(__xludf.DUMMYFUNCTION("""COMPUTED_VALUE"""),0.3301504629635019)</f>
        <v>0.330150463</v>
      </c>
      <c r="D221" s="4">
        <f>IFERROR(__xludf.DUMMYFUNCTION("""COMPUTED_VALUE"""),12.98939)</f>
        <v>12.98939</v>
      </c>
      <c r="E221" s="4">
        <f>IFERROR(__xludf.DUMMYFUNCTION("""COMPUTED_VALUE"""),80.178934)</f>
        <v>80.178934</v>
      </c>
      <c r="F221" s="4">
        <f>IFERROR(__xludf.DUMMYFUNCTION("""COMPUTED_VALUE"""),805.0)</f>
        <v>805</v>
      </c>
      <c r="G221" s="4">
        <f>IFERROR(__xludf.DUMMYFUNCTION("""COMPUTED_VALUE"""),20.0)</f>
        <v>20</v>
      </c>
      <c r="H221" s="4"/>
      <c r="I221" s="4"/>
    </row>
    <row r="222">
      <c r="A222" s="4" t="str">
        <f>IFERROR(__xludf.DUMMYFUNCTION("""COMPUTED_VALUE"""),"cas_hmw")</f>
        <v>cas_hmw</v>
      </c>
      <c r="B222" s="5">
        <f>IFERROR(__xludf.DUMMYFUNCTION("""COMPUTED_VALUE"""),44720.0)</f>
        <v>44720</v>
      </c>
      <c r="C222" s="6">
        <f>IFERROR(__xludf.DUMMYFUNCTION("""COMPUTED_VALUE"""),0.33759259259386454)</f>
        <v>0.3375925926</v>
      </c>
      <c r="D222" s="4">
        <f>IFERROR(__xludf.DUMMYFUNCTION("""COMPUTED_VALUE"""),12.950582)</f>
        <v>12.950582</v>
      </c>
      <c r="E222" s="4">
        <f>IFERROR(__xludf.DUMMYFUNCTION("""COMPUTED_VALUE"""),80.139727)</f>
        <v>80.139727</v>
      </c>
      <c r="F222" s="4">
        <f>IFERROR(__xludf.DUMMYFUNCTION("""COMPUTED_VALUE"""),805.0)</f>
        <v>805</v>
      </c>
      <c r="G222" s="4">
        <f>IFERROR(__xludf.DUMMYFUNCTION("""COMPUTED_VALUE"""),18.0)</f>
        <v>18</v>
      </c>
      <c r="H222" s="4"/>
      <c r="I222" s="4"/>
    </row>
    <row r="223">
      <c r="A223" s="4" t="str">
        <f>IFERROR(__xludf.DUMMYFUNCTION("""COMPUTED_VALUE"""),"cas_hmw")</f>
        <v>cas_hmw</v>
      </c>
      <c r="B223" s="5">
        <f>IFERROR(__xludf.DUMMYFUNCTION("""COMPUTED_VALUE"""),44720.0)</f>
        <v>44720</v>
      </c>
      <c r="C223" s="6">
        <f>IFERROR(__xludf.DUMMYFUNCTION("""COMPUTED_VALUE"""),0.7000462962969323)</f>
        <v>0.7000462963</v>
      </c>
      <c r="D223" s="4">
        <f>IFERROR(__xludf.DUMMYFUNCTION("""COMPUTED_VALUE"""),12.935964)</f>
        <v>12.935964</v>
      </c>
      <c r="E223" s="4">
        <f>IFERROR(__xludf.DUMMYFUNCTION("""COMPUTED_VALUE"""),80.12682)</f>
        <v>80.12682</v>
      </c>
      <c r="F223" s="4">
        <f>IFERROR(__xludf.DUMMYFUNCTION("""COMPUTED_VALUE"""),805.0)</f>
        <v>805</v>
      </c>
      <c r="G223" s="4">
        <f>IFERROR(__xludf.DUMMYFUNCTION("""COMPUTED_VALUE"""),18.0)</f>
        <v>18</v>
      </c>
      <c r="H223" s="4"/>
      <c r="I223" s="4"/>
    </row>
    <row r="224">
      <c r="A224" s="4" t="str">
        <f>IFERROR(__xludf.DUMMYFUNCTION("""COMPUTED_VALUE"""),"cas_hmw")</f>
        <v>cas_hmw</v>
      </c>
      <c r="B224" s="5">
        <f>IFERROR(__xludf.DUMMYFUNCTION("""COMPUTED_VALUE"""),44720.0)</f>
        <v>44720</v>
      </c>
      <c r="C224" s="6">
        <f>IFERROR(__xludf.DUMMYFUNCTION("""COMPUTED_VALUE"""),0.7039236111122591)</f>
        <v>0.7039236111</v>
      </c>
      <c r="D224" s="4">
        <f>IFERROR(__xludf.DUMMYFUNCTION("""COMPUTED_VALUE"""),12.960493)</f>
        <v>12.960493</v>
      </c>
      <c r="E224" s="4">
        <f>IFERROR(__xludf.DUMMYFUNCTION("""COMPUTED_VALUE"""),80.145196)</f>
        <v>80.145196</v>
      </c>
      <c r="F224" s="4">
        <f>IFERROR(__xludf.DUMMYFUNCTION("""COMPUTED_VALUE"""),805.0)</f>
        <v>805</v>
      </c>
      <c r="G224" s="4">
        <f>IFERROR(__xludf.DUMMYFUNCTION("""COMPUTED_VALUE"""),19.0)</f>
        <v>19</v>
      </c>
      <c r="H224" s="4"/>
      <c r="I224" s="4"/>
    </row>
    <row r="225">
      <c r="A225" s="4" t="str">
        <f>IFERROR(__xludf.DUMMYFUNCTION("""COMPUTED_VALUE"""),"cas_hmw")</f>
        <v>cas_hmw</v>
      </c>
      <c r="B225" s="5">
        <f>IFERROR(__xludf.DUMMYFUNCTION("""COMPUTED_VALUE"""),44720.0)</f>
        <v>44720</v>
      </c>
      <c r="C225" s="6">
        <f>IFERROR(__xludf.DUMMYFUNCTION("""COMPUTED_VALUE"""),0.7086111111093487)</f>
        <v>0.7086111111</v>
      </c>
      <c r="D225" s="4">
        <f>IFERROR(__xludf.DUMMYFUNCTION("""COMPUTED_VALUE"""),12.988205)</f>
        <v>12.988205</v>
      </c>
      <c r="E225" s="4">
        <f>IFERROR(__xludf.DUMMYFUNCTION("""COMPUTED_VALUE"""),80.17709)</f>
        <v>80.17709</v>
      </c>
      <c r="F225" s="4">
        <f>IFERROR(__xludf.DUMMYFUNCTION("""COMPUTED_VALUE"""),805.0)</f>
        <v>805</v>
      </c>
      <c r="G225" s="4">
        <f>IFERROR(__xludf.DUMMYFUNCTION("""COMPUTED_VALUE"""),0.0)</f>
        <v>0</v>
      </c>
      <c r="H225" s="4"/>
      <c r="I225" s="4"/>
    </row>
    <row r="226">
      <c r="A226" s="4" t="str">
        <f>IFERROR(__xludf.DUMMYFUNCTION("""COMPUTED_VALUE"""),"cas_hmw")</f>
        <v>cas_hmw</v>
      </c>
      <c r="B226" s="5">
        <f>IFERROR(__xludf.DUMMYFUNCTION("""COMPUTED_VALUE"""),44720.0)</f>
        <v>44720</v>
      </c>
      <c r="C226" s="6">
        <f>IFERROR(__xludf.DUMMYFUNCTION("""COMPUTED_VALUE"""),0.7090509259251121)</f>
        <v>0.7090509259</v>
      </c>
      <c r="D226" s="4">
        <f>IFERROR(__xludf.DUMMYFUNCTION("""COMPUTED_VALUE"""),12.989396)</f>
        <v>12.989396</v>
      </c>
      <c r="E226" s="4">
        <f>IFERROR(__xludf.DUMMYFUNCTION("""COMPUTED_VALUE"""),80.178605)</f>
        <v>80.178605</v>
      </c>
      <c r="F226" s="4">
        <f>IFERROR(__xludf.DUMMYFUNCTION("""COMPUTED_VALUE"""),805.0)</f>
        <v>805</v>
      </c>
      <c r="G226" s="4">
        <f>IFERROR(__xludf.DUMMYFUNCTION("""COMPUTED_VALUE"""),10.0)</f>
        <v>10</v>
      </c>
      <c r="H226" s="4"/>
      <c r="I226" s="4"/>
    </row>
    <row r="227">
      <c r="A227" s="4" t="str">
        <f>IFERROR(__xludf.DUMMYFUNCTION("""COMPUTED_VALUE"""),"cas_hmw")</f>
        <v>cas_hmw</v>
      </c>
      <c r="B227" s="5">
        <f>IFERROR(__xludf.DUMMYFUNCTION("""COMPUTED_VALUE"""),44720.0)</f>
        <v>44720</v>
      </c>
      <c r="C227" s="6">
        <f>IFERROR(__xludf.DUMMYFUNCTION("""COMPUTED_VALUE"""),0.7091898148137261)</f>
        <v>0.7091898148</v>
      </c>
      <c r="D227" s="4">
        <f>IFERROR(__xludf.DUMMYFUNCTION("""COMPUTED_VALUE"""),12.989396)</f>
        <v>12.989396</v>
      </c>
      <c r="E227" s="4">
        <f>IFERROR(__xludf.DUMMYFUNCTION("""COMPUTED_VALUE"""),80.178605)</f>
        <v>80.178605</v>
      </c>
      <c r="F227" s="4">
        <f>IFERROR(__xludf.DUMMYFUNCTION("""COMPUTED_VALUE"""),805.0)</f>
        <v>805</v>
      </c>
      <c r="G227" s="4">
        <f>IFERROR(__xludf.DUMMYFUNCTION("""COMPUTED_VALUE"""),10.0)</f>
        <v>10</v>
      </c>
      <c r="H227" s="4"/>
      <c r="I227" s="4"/>
    </row>
    <row r="228">
      <c r="A228" s="4" t="str">
        <f>IFERROR(__xludf.DUMMYFUNCTION("""COMPUTED_VALUE"""),"cas_hmw")</f>
        <v>cas_hmw</v>
      </c>
      <c r="B228" s="5">
        <f>IFERROR(__xludf.DUMMYFUNCTION("""COMPUTED_VALUE"""),44720.0)</f>
        <v>44720</v>
      </c>
      <c r="C228" s="6">
        <f>IFERROR(__xludf.DUMMYFUNCTION("""COMPUTED_VALUE"""),0.7174537037026312)</f>
        <v>0.7174537037</v>
      </c>
      <c r="D228" s="4">
        <f>IFERROR(__xludf.DUMMYFUNCTION("""COMPUTED_VALUE"""),13.019751)</f>
        <v>13.019751</v>
      </c>
      <c r="E228" s="4">
        <f>IFERROR(__xludf.DUMMYFUNCTION("""COMPUTED_VALUE"""),80.224471)</f>
        <v>80.224471</v>
      </c>
      <c r="F228" s="4">
        <f>IFERROR(__xludf.DUMMYFUNCTION("""COMPUTED_VALUE"""),805.0)</f>
        <v>805</v>
      </c>
      <c r="G228" s="4">
        <f>IFERROR(__xludf.DUMMYFUNCTION("""COMPUTED_VALUE"""),11.0)</f>
        <v>11</v>
      </c>
      <c r="H228" s="4"/>
      <c r="I228" s="4"/>
    </row>
    <row r="229">
      <c r="A229" s="4" t="str">
        <f>IFERROR(__xludf.DUMMYFUNCTION("""COMPUTED_VALUE"""),"cas_hmw")</f>
        <v>cas_hmw</v>
      </c>
      <c r="B229" s="5">
        <f>IFERROR(__xludf.DUMMYFUNCTION("""COMPUTED_VALUE"""),44720.0)</f>
        <v>44720</v>
      </c>
      <c r="C229" s="6">
        <f>IFERROR(__xludf.DUMMYFUNCTION("""COMPUTED_VALUE"""),0.7207291666672972)</f>
        <v>0.7207291667</v>
      </c>
      <c r="D229" s="4">
        <f>IFERROR(__xludf.DUMMYFUNCTION("""COMPUTED_VALUE"""),13.02683)</f>
        <v>13.02683</v>
      </c>
      <c r="E229" s="4">
        <f>IFERROR(__xludf.DUMMYFUNCTION("""COMPUTED_VALUE"""),80.233357)</f>
        <v>80.233357</v>
      </c>
      <c r="F229" s="4">
        <f>IFERROR(__xludf.DUMMYFUNCTION("""COMPUTED_VALUE"""),805.0)</f>
        <v>805</v>
      </c>
      <c r="G229" s="4">
        <f>IFERROR(__xludf.DUMMYFUNCTION("""COMPUTED_VALUE"""),20.0)</f>
        <v>20</v>
      </c>
      <c r="H229" s="4"/>
      <c r="I229" s="4"/>
    </row>
    <row r="230">
      <c r="A230" s="4" t="str">
        <f>IFERROR(__xludf.DUMMYFUNCTION("""COMPUTED_VALUE"""),"cas_hmw")</f>
        <v>cas_hmw</v>
      </c>
      <c r="B230" s="5">
        <f>IFERROR(__xludf.DUMMYFUNCTION("""COMPUTED_VALUE"""),44720.0)</f>
        <v>44720</v>
      </c>
      <c r="C230" s="6">
        <f>IFERROR(__xludf.DUMMYFUNCTION("""COMPUTED_VALUE"""),0.7236226851855463)</f>
        <v>0.7236226852</v>
      </c>
      <c r="D230" s="4">
        <f>IFERROR(__xludf.DUMMYFUNCTION("""COMPUTED_VALUE"""),13.033009)</f>
        <v>13.033009</v>
      </c>
      <c r="E230" s="4">
        <f>IFERROR(__xludf.DUMMYFUNCTION("""COMPUTED_VALUE"""),80.243139)</f>
        <v>80.243139</v>
      </c>
      <c r="F230" s="4">
        <f>IFERROR(__xludf.DUMMYFUNCTION("""COMPUTED_VALUE"""),805.0)</f>
        <v>805</v>
      </c>
      <c r="G230" s="4">
        <f>IFERROR(__xludf.DUMMYFUNCTION("""COMPUTED_VALUE"""),12.0)</f>
        <v>12</v>
      </c>
      <c r="H230" s="4"/>
      <c r="I230" s="4"/>
    </row>
    <row r="231">
      <c r="A231" s="4" t="str">
        <f>IFERROR(__xludf.DUMMYFUNCTION("""COMPUTED_VALUE"""),"cas_hmw")</f>
        <v>cas_hmw</v>
      </c>
      <c r="B231" s="5">
        <f>IFERROR(__xludf.DUMMYFUNCTION("""COMPUTED_VALUE"""),44720.0)</f>
        <v>44720</v>
      </c>
      <c r="C231" s="6">
        <f>IFERROR(__xludf.DUMMYFUNCTION("""COMPUTED_VALUE"""),0.7245601851864194)</f>
        <v>0.7245601852</v>
      </c>
      <c r="D231" s="4">
        <f>IFERROR(__xludf.DUMMYFUNCTION("""COMPUTED_VALUE"""),13.035435)</f>
        <v>13.035435</v>
      </c>
      <c r="E231" s="4">
        <f>IFERROR(__xludf.DUMMYFUNCTION("""COMPUTED_VALUE"""),80.245901)</f>
        <v>80.245901</v>
      </c>
      <c r="F231" s="4">
        <f>IFERROR(__xludf.DUMMYFUNCTION("""COMPUTED_VALUE"""),805.0)</f>
        <v>805</v>
      </c>
      <c r="G231" s="4">
        <f>IFERROR(__xludf.DUMMYFUNCTION("""COMPUTED_VALUE"""),0.0)</f>
        <v>0</v>
      </c>
      <c r="H231" s="4"/>
      <c r="I231" s="4"/>
    </row>
    <row r="232">
      <c r="A232" s="4" t="str">
        <f>IFERROR(__xludf.DUMMYFUNCTION("""COMPUTED_VALUE"""),"cas_hmw")</f>
        <v>cas_hmw</v>
      </c>
      <c r="B232" s="5">
        <f>IFERROR(__xludf.DUMMYFUNCTION("""COMPUTED_VALUE"""),44720.0)</f>
        <v>44720</v>
      </c>
      <c r="C232" s="6">
        <f>IFERROR(__xludf.DUMMYFUNCTION("""COMPUTED_VALUE"""),0.7294791666681704)</f>
        <v>0.7294791667</v>
      </c>
      <c r="D232" s="4">
        <f>IFERROR(__xludf.DUMMYFUNCTION("""COMPUTED_VALUE"""),13.042309)</f>
        <v>13.042309</v>
      </c>
      <c r="E232" s="4">
        <f>IFERROR(__xludf.DUMMYFUNCTION("""COMPUTED_VALUE"""),80.247426)</f>
        <v>80.247426</v>
      </c>
      <c r="F232" s="4">
        <f>IFERROR(__xludf.DUMMYFUNCTION("""COMPUTED_VALUE"""),805.0)</f>
        <v>805</v>
      </c>
      <c r="G232" s="4">
        <f>IFERROR(__xludf.DUMMYFUNCTION("""COMPUTED_VALUE"""),20.0)</f>
        <v>20</v>
      </c>
      <c r="H232" s="4"/>
      <c r="I232" s="4"/>
    </row>
    <row r="233">
      <c r="A233" s="4" t="str">
        <f>IFERROR(__xludf.DUMMYFUNCTION("""COMPUTED_VALUE"""),"cas_hmw")</f>
        <v>cas_hmw</v>
      </c>
      <c r="B233" s="5">
        <f>IFERROR(__xludf.DUMMYFUNCTION("""COMPUTED_VALUE"""),44720.0)</f>
        <v>44720</v>
      </c>
      <c r="C233" s="6">
        <f>IFERROR(__xludf.DUMMYFUNCTION("""COMPUTED_VALUE"""),0.7315277777779556)</f>
        <v>0.7315277778</v>
      </c>
      <c r="D233" s="4">
        <f>IFERROR(__xludf.DUMMYFUNCTION("""COMPUTED_VALUE"""),13.053959)</f>
        <v>13.053959</v>
      </c>
      <c r="E233" s="4">
        <f>IFERROR(__xludf.DUMMYFUNCTION("""COMPUTED_VALUE"""),80.253033)</f>
        <v>80.253033</v>
      </c>
      <c r="F233" s="4">
        <f>IFERROR(__xludf.DUMMYFUNCTION("""COMPUTED_VALUE"""),805.0)</f>
        <v>805</v>
      </c>
      <c r="G233" s="4">
        <f>IFERROR(__xludf.DUMMYFUNCTION("""COMPUTED_VALUE"""),0.0)</f>
        <v>0</v>
      </c>
      <c r="H233" s="4"/>
      <c r="I233" s="4"/>
    </row>
    <row r="234">
      <c r="A234" s="4" t="str">
        <f>IFERROR(__xludf.DUMMYFUNCTION("""COMPUTED_VALUE"""),"cas_hmw")</f>
        <v>cas_hmw</v>
      </c>
      <c r="B234" s="5">
        <f>IFERROR(__xludf.DUMMYFUNCTION("""COMPUTED_VALUE"""),44720.0)</f>
        <v>44720</v>
      </c>
      <c r="C234" s="6">
        <f>IFERROR(__xludf.DUMMYFUNCTION("""COMPUTED_VALUE"""),0.7315277777779556)</f>
        <v>0.7315277778</v>
      </c>
      <c r="D234" s="4">
        <f>IFERROR(__xludf.DUMMYFUNCTION("""COMPUTED_VALUE"""),13.053959)</f>
        <v>13.053959</v>
      </c>
      <c r="E234" s="4">
        <f>IFERROR(__xludf.DUMMYFUNCTION("""COMPUTED_VALUE"""),80.253033)</f>
        <v>80.253033</v>
      </c>
      <c r="F234" s="4">
        <f>IFERROR(__xludf.DUMMYFUNCTION("""COMPUTED_VALUE"""),805.0)</f>
        <v>805</v>
      </c>
      <c r="G234" s="4">
        <f>IFERROR(__xludf.DUMMYFUNCTION("""COMPUTED_VALUE"""),0.0)</f>
        <v>0</v>
      </c>
      <c r="H234" s="4"/>
      <c r="I234" s="4"/>
    </row>
    <row r="235">
      <c r="A235" s="4" t="str">
        <f>IFERROR(__xludf.DUMMYFUNCTION("""COMPUTED_VALUE"""),"cas_hmw")</f>
        <v>cas_hmw</v>
      </c>
      <c r="B235" s="5">
        <f>IFERROR(__xludf.DUMMYFUNCTION("""COMPUTED_VALUE"""),44720.0)</f>
        <v>44720</v>
      </c>
      <c r="C235" s="6">
        <f>IFERROR(__xludf.DUMMYFUNCTION("""COMPUTED_VALUE"""),0.7315393518510973)</f>
        <v>0.7315393519</v>
      </c>
      <c r="D235" s="4">
        <f>IFERROR(__xludf.DUMMYFUNCTION("""COMPUTED_VALUE"""),13.053959)</f>
        <v>13.053959</v>
      </c>
      <c r="E235" s="4">
        <f>IFERROR(__xludf.DUMMYFUNCTION("""COMPUTED_VALUE"""),80.253033)</f>
        <v>80.253033</v>
      </c>
      <c r="F235" s="4">
        <f>IFERROR(__xludf.DUMMYFUNCTION("""COMPUTED_VALUE"""),805.0)</f>
        <v>805</v>
      </c>
      <c r="G235" s="4">
        <f>IFERROR(__xludf.DUMMYFUNCTION("""COMPUTED_VALUE"""),0.0)</f>
        <v>0</v>
      </c>
      <c r="H235" s="4"/>
      <c r="I235" s="4"/>
    </row>
    <row r="236">
      <c r="A236" s="4" t="str">
        <f>IFERROR(__xludf.DUMMYFUNCTION("""COMPUTED_VALUE"""),"cas_hmw")</f>
        <v>cas_hmw</v>
      </c>
      <c r="B236" s="5">
        <f>IFERROR(__xludf.DUMMYFUNCTION("""COMPUTED_VALUE"""),44720.0)</f>
        <v>44720</v>
      </c>
      <c r="C236" s="6">
        <f>IFERROR(__xludf.DUMMYFUNCTION("""COMPUTED_VALUE"""),0.7340046296303626)</f>
        <v>0.7340046296</v>
      </c>
      <c r="D236" s="4">
        <f>IFERROR(__xludf.DUMMYFUNCTION("""COMPUTED_VALUE"""),13.054493)</f>
        <v>13.054493</v>
      </c>
      <c r="E236" s="4">
        <f>IFERROR(__xludf.DUMMYFUNCTION("""COMPUTED_VALUE"""),80.257955)</f>
        <v>80.257955</v>
      </c>
      <c r="F236" s="4">
        <f>IFERROR(__xludf.DUMMYFUNCTION("""COMPUTED_VALUE"""),805.0)</f>
        <v>805</v>
      </c>
      <c r="G236" s="4">
        <f>IFERROR(__xludf.DUMMYFUNCTION("""COMPUTED_VALUE"""),12.0)</f>
        <v>12</v>
      </c>
      <c r="H236" s="4"/>
      <c r="I236" s="4"/>
    </row>
    <row r="237">
      <c r="A237" s="4" t="str">
        <f>IFERROR(__xludf.DUMMYFUNCTION("""COMPUTED_VALUE"""),"cas_hmw")</f>
        <v>cas_hmw</v>
      </c>
      <c r="B237" s="5">
        <f>IFERROR(__xludf.DUMMYFUNCTION("""COMPUTED_VALUE"""),44720.0)</f>
        <v>44720</v>
      </c>
      <c r="C237" s="6">
        <f>IFERROR(__xludf.DUMMYFUNCTION("""COMPUTED_VALUE"""),0.7341087962959136)</f>
        <v>0.7341087963</v>
      </c>
      <c r="D237" s="4">
        <f>IFERROR(__xludf.DUMMYFUNCTION("""COMPUTED_VALUE"""),13.054493)</f>
        <v>13.054493</v>
      </c>
      <c r="E237" s="4">
        <f>IFERROR(__xludf.DUMMYFUNCTION("""COMPUTED_VALUE"""),80.257955)</f>
        <v>80.257955</v>
      </c>
      <c r="F237" s="4">
        <f>IFERROR(__xludf.DUMMYFUNCTION("""COMPUTED_VALUE"""),805.0)</f>
        <v>805</v>
      </c>
      <c r="G237" s="4">
        <f>IFERROR(__xludf.DUMMYFUNCTION("""COMPUTED_VALUE"""),12.0)</f>
        <v>12</v>
      </c>
      <c r="H237" s="4"/>
      <c r="I237" s="4"/>
    </row>
    <row r="238">
      <c r="A238" s="4" t="str">
        <f>IFERROR(__xludf.DUMMYFUNCTION("""COMPUTED_VALUE"""),"cas_hmw")</f>
        <v>cas_hmw</v>
      </c>
      <c r="B238" s="5">
        <f>IFERROR(__xludf.DUMMYFUNCTION("""COMPUTED_VALUE"""),44720.0)</f>
        <v>44720</v>
      </c>
      <c r="C238" s="6">
        <f>IFERROR(__xludf.DUMMYFUNCTION("""COMPUTED_VALUE"""),0.7342245370382443)</f>
        <v>0.734224537</v>
      </c>
      <c r="D238" s="4">
        <f>IFERROR(__xludf.DUMMYFUNCTION("""COMPUTED_VALUE"""),12.978007)</f>
        <v>12.978007</v>
      </c>
      <c r="E238" s="4">
        <f>IFERROR(__xludf.DUMMYFUNCTION("""COMPUTED_VALUE"""),80.224776)</f>
        <v>80.224776</v>
      </c>
      <c r="F238" s="4">
        <f>IFERROR(__xludf.DUMMYFUNCTION("""COMPUTED_VALUE"""),2846.0)</f>
        <v>2846</v>
      </c>
      <c r="G238" s="4">
        <f>IFERROR(__xludf.DUMMYFUNCTION("""COMPUTED_VALUE"""),20.0)</f>
        <v>20</v>
      </c>
      <c r="H238" s="4"/>
      <c r="I238" s="4"/>
    </row>
    <row r="239">
      <c r="A239" s="4" t="str">
        <f>IFERROR(__xludf.DUMMYFUNCTION("""COMPUTED_VALUE"""),"cas_hmw")</f>
        <v>cas_hmw</v>
      </c>
      <c r="B239" s="5">
        <f>IFERROR(__xludf.DUMMYFUNCTION("""COMPUTED_VALUE"""),44720.0)</f>
        <v>44720</v>
      </c>
      <c r="C239" s="6">
        <f>IFERROR(__xludf.DUMMYFUNCTION("""COMPUTED_VALUE"""),0.7431365740740148)</f>
        <v>0.7431365741</v>
      </c>
      <c r="D239" s="4">
        <f>IFERROR(__xludf.DUMMYFUNCTION("""COMPUTED_VALUE"""),13.066442)</f>
        <v>13.066442</v>
      </c>
      <c r="E239" s="4">
        <f>IFERROR(__xludf.DUMMYFUNCTION("""COMPUTED_VALUE"""),80.268538)</f>
        <v>80.268538</v>
      </c>
      <c r="F239" s="4">
        <f>IFERROR(__xludf.DUMMYFUNCTION("""COMPUTED_VALUE"""),805.0)</f>
        <v>805</v>
      </c>
      <c r="G239" s="4">
        <f>IFERROR(__xludf.DUMMYFUNCTION("""COMPUTED_VALUE"""),0.0)</f>
        <v>0</v>
      </c>
      <c r="H239" s="4"/>
      <c r="I239" s="4"/>
    </row>
    <row r="240">
      <c r="A240" s="4" t="str">
        <f>IFERROR(__xludf.DUMMYFUNCTION("""COMPUTED_VALUE"""),"cas_hmw")</f>
        <v>cas_hmw</v>
      </c>
      <c r="B240" s="5">
        <f>IFERROR(__xludf.DUMMYFUNCTION("""COMPUTED_VALUE"""),44720.0)</f>
        <v>44720</v>
      </c>
      <c r="C240" s="6">
        <f>IFERROR(__xludf.DUMMYFUNCTION("""COMPUTED_VALUE"""),0.7431481481471565)</f>
        <v>0.7431481481</v>
      </c>
      <c r="D240" s="4">
        <f>IFERROR(__xludf.DUMMYFUNCTION("""COMPUTED_VALUE"""),13.066442)</f>
        <v>13.066442</v>
      </c>
      <c r="E240" s="4">
        <f>IFERROR(__xludf.DUMMYFUNCTION("""COMPUTED_VALUE"""),80.268538)</f>
        <v>80.268538</v>
      </c>
      <c r="F240" s="4">
        <f>IFERROR(__xludf.DUMMYFUNCTION("""COMPUTED_VALUE"""),805.0)</f>
        <v>805</v>
      </c>
      <c r="G240" s="4">
        <f>IFERROR(__xludf.DUMMYFUNCTION("""COMPUTED_VALUE"""),0.0)</f>
        <v>0</v>
      </c>
      <c r="H240" s="4"/>
      <c r="I240" s="4"/>
    </row>
    <row r="241">
      <c r="A241" s="4" t="str">
        <f>IFERROR(__xludf.DUMMYFUNCTION("""COMPUTED_VALUE"""),"cas_hmw")</f>
        <v>cas_hmw</v>
      </c>
      <c r="B241" s="5">
        <f>IFERROR(__xludf.DUMMYFUNCTION("""COMPUTED_VALUE"""),44720.0)</f>
        <v>44720</v>
      </c>
      <c r="C241" s="6">
        <f>IFERROR(__xludf.DUMMYFUNCTION("""COMPUTED_VALUE"""),0.7468865740738693)</f>
        <v>0.7468865741</v>
      </c>
      <c r="D241" s="4">
        <f>IFERROR(__xludf.DUMMYFUNCTION("""COMPUTED_VALUE"""),12.95119)</f>
        <v>12.95119</v>
      </c>
      <c r="E241" s="4">
        <f>IFERROR(__xludf.DUMMYFUNCTION("""COMPUTED_VALUE"""),80.17453)</f>
        <v>80.17453</v>
      </c>
      <c r="F241" s="4">
        <f>IFERROR(__xludf.DUMMYFUNCTION("""COMPUTED_VALUE"""),2846.0)</f>
        <v>2846</v>
      </c>
      <c r="G241" s="4">
        <f>IFERROR(__xludf.DUMMYFUNCTION("""COMPUTED_VALUE"""),0.0)</f>
        <v>0</v>
      </c>
      <c r="H241" s="4"/>
      <c r="I241" s="4"/>
    </row>
    <row r="242">
      <c r="A242" s="4" t="str">
        <f>IFERROR(__xludf.DUMMYFUNCTION("""COMPUTED_VALUE"""),"cas_hmw")</f>
        <v>cas_hmw</v>
      </c>
      <c r="B242" s="5">
        <f>IFERROR(__xludf.DUMMYFUNCTION("""COMPUTED_VALUE"""),44720.0)</f>
        <v>44720</v>
      </c>
      <c r="C242" s="6">
        <f>IFERROR(__xludf.DUMMYFUNCTION("""COMPUTED_VALUE"""),0.7499884259268583)</f>
        <v>0.7499884259</v>
      </c>
      <c r="D242" s="4">
        <f>IFERROR(__xludf.DUMMYFUNCTION("""COMPUTED_VALUE"""),13.067239)</f>
        <v>13.067239</v>
      </c>
      <c r="E242" s="4">
        <f>IFERROR(__xludf.DUMMYFUNCTION("""COMPUTED_VALUE"""),80.251894)</f>
        <v>80.251894</v>
      </c>
      <c r="F242" s="4">
        <f>IFERROR(__xludf.DUMMYFUNCTION("""COMPUTED_VALUE"""),805.0)</f>
        <v>805</v>
      </c>
      <c r="G242" s="4">
        <f>IFERROR(__xludf.DUMMYFUNCTION("""COMPUTED_VALUE"""),13.0)</f>
        <v>13</v>
      </c>
      <c r="H242" s="4"/>
      <c r="I242" s="4"/>
    </row>
    <row r="243">
      <c r="A243" s="4" t="str">
        <f>IFERROR(__xludf.DUMMYFUNCTION("""COMPUTED_VALUE"""),"cas_hmw")</f>
        <v>cas_hmw</v>
      </c>
      <c r="B243" s="5">
        <f>IFERROR(__xludf.DUMMYFUNCTION("""COMPUTED_VALUE"""),44720.0)</f>
        <v>44720</v>
      </c>
      <c r="C243" s="6">
        <f>IFERROR(__xludf.DUMMYFUNCTION("""COMPUTED_VALUE"""),0.7880439814798592)</f>
        <v>0.7880439815</v>
      </c>
      <c r="D243" s="4">
        <f>IFERROR(__xludf.DUMMYFUNCTION("""COMPUTED_VALUE"""),12.953439)</f>
        <v>12.953439</v>
      </c>
      <c r="E243" s="4">
        <f>IFERROR(__xludf.DUMMYFUNCTION("""COMPUTED_VALUE"""),80.163838)</f>
        <v>80.163838</v>
      </c>
      <c r="F243" s="4">
        <f>IFERROR(__xludf.DUMMYFUNCTION("""COMPUTED_VALUE"""),2846.0)</f>
        <v>2846</v>
      </c>
      <c r="G243" s="4">
        <f>IFERROR(__xludf.DUMMYFUNCTION("""COMPUTED_VALUE"""),4.0)</f>
        <v>4</v>
      </c>
      <c r="H243" s="4"/>
      <c r="I243" s="4"/>
    </row>
    <row r="244">
      <c r="A244" s="4" t="str">
        <f>IFERROR(__xludf.DUMMYFUNCTION("""COMPUTED_VALUE"""),"cas_hmw")</f>
        <v>cas_hmw</v>
      </c>
      <c r="B244" s="5">
        <f>IFERROR(__xludf.DUMMYFUNCTION("""COMPUTED_VALUE"""),44720.0)</f>
        <v>44720</v>
      </c>
      <c r="C244" s="6">
        <f>IFERROR(__xludf.DUMMYFUNCTION("""COMPUTED_VALUE"""),0.7881597222221899)</f>
        <v>0.7881597222</v>
      </c>
      <c r="D244" s="4">
        <f>IFERROR(__xludf.DUMMYFUNCTION("""COMPUTED_VALUE"""),12.953476)</f>
        <v>12.953476</v>
      </c>
      <c r="E244" s="4">
        <f>IFERROR(__xludf.DUMMYFUNCTION("""COMPUTED_VALUE"""),80.163696)</f>
        <v>80.163696</v>
      </c>
      <c r="F244" s="4">
        <f>IFERROR(__xludf.DUMMYFUNCTION("""COMPUTED_VALUE"""),2846.0)</f>
        <v>2846</v>
      </c>
      <c r="G244" s="4">
        <f>IFERROR(__xludf.DUMMYFUNCTION("""COMPUTED_VALUE"""),6.0)</f>
        <v>6</v>
      </c>
      <c r="H244" s="4"/>
      <c r="I244" s="4"/>
    </row>
    <row r="245">
      <c r="A245" s="4" t="str">
        <f>IFERROR(__xludf.DUMMYFUNCTION("""COMPUTED_VALUE"""),"cas_hmw")</f>
        <v>cas_hmw</v>
      </c>
      <c r="B245" s="5">
        <f>IFERROR(__xludf.DUMMYFUNCTION("""COMPUTED_VALUE"""),44720.0)</f>
        <v>44720</v>
      </c>
      <c r="C245" s="6">
        <f>IFERROR(__xludf.DUMMYFUNCTION("""COMPUTED_VALUE"""),0.7940393518510973)</f>
        <v>0.7940393519</v>
      </c>
      <c r="D245" s="4">
        <f>IFERROR(__xludf.DUMMYFUNCTION("""COMPUTED_VALUE"""),12.95228)</f>
        <v>12.95228</v>
      </c>
      <c r="E245" s="4">
        <f>IFERROR(__xludf.DUMMYFUNCTION("""COMPUTED_VALUE"""),80.140969)</f>
        <v>80.140969</v>
      </c>
      <c r="F245" s="4">
        <f>IFERROR(__xludf.DUMMYFUNCTION("""COMPUTED_VALUE"""),2846.0)</f>
        <v>2846</v>
      </c>
      <c r="G245" s="4">
        <f>IFERROR(__xludf.DUMMYFUNCTION("""COMPUTED_VALUE"""),14.0)</f>
        <v>14</v>
      </c>
      <c r="H245" s="4"/>
      <c r="I245" s="4"/>
    </row>
    <row r="246">
      <c r="A246" s="4" t="str">
        <f>IFERROR(__xludf.DUMMYFUNCTION("""COMPUTED_VALUE"""),"cas_hmw")</f>
        <v>cas_hmw</v>
      </c>
      <c r="B246" s="5">
        <f>IFERROR(__xludf.DUMMYFUNCTION("""COMPUTED_VALUE"""),44720.0)</f>
        <v>44720</v>
      </c>
      <c r="C246" s="6">
        <f>IFERROR(__xludf.DUMMYFUNCTION("""COMPUTED_VALUE"""),0.7947916666671517)</f>
        <v>0.7947916667</v>
      </c>
      <c r="D246" s="4">
        <f>IFERROR(__xludf.DUMMYFUNCTION("""COMPUTED_VALUE"""),12.950686)</f>
        <v>12.950686</v>
      </c>
      <c r="E246" s="4">
        <f>IFERROR(__xludf.DUMMYFUNCTION("""COMPUTED_VALUE"""),80.139766)</f>
        <v>80.139766</v>
      </c>
      <c r="F246" s="4">
        <f>IFERROR(__xludf.DUMMYFUNCTION("""COMPUTED_VALUE"""),2846.0)</f>
        <v>2846</v>
      </c>
      <c r="G246" s="4">
        <f>IFERROR(__xludf.DUMMYFUNCTION("""COMPUTED_VALUE"""),0.0)</f>
        <v>0</v>
      </c>
      <c r="H246" s="4"/>
      <c r="I246" s="4"/>
    </row>
    <row r="247">
      <c r="A247" s="4" t="str">
        <f>IFERROR(__xludf.DUMMYFUNCTION("""COMPUTED_VALUE"""),"cas_hmw")</f>
        <v>cas_hmw</v>
      </c>
      <c r="B247" s="5">
        <f>IFERROR(__xludf.DUMMYFUNCTION("""COMPUTED_VALUE"""),44720.0)</f>
        <v>44720</v>
      </c>
      <c r="C247" s="6">
        <f>IFERROR(__xludf.DUMMYFUNCTION("""COMPUTED_VALUE"""),0.7951620370367891)</f>
        <v>0.795162037</v>
      </c>
      <c r="D247" s="4">
        <f>IFERROR(__xludf.DUMMYFUNCTION("""COMPUTED_VALUE"""),12.95055)</f>
        <v>12.95055</v>
      </c>
      <c r="E247" s="4">
        <f>IFERROR(__xludf.DUMMYFUNCTION("""COMPUTED_VALUE"""),80.139687)</f>
        <v>80.139687</v>
      </c>
      <c r="F247" s="4">
        <f>IFERROR(__xludf.DUMMYFUNCTION("""COMPUTED_VALUE"""),2846.0)</f>
        <v>2846</v>
      </c>
      <c r="G247" s="4">
        <f>IFERROR(__xludf.DUMMYFUNCTION("""COMPUTED_VALUE"""),11.0)</f>
        <v>11</v>
      </c>
      <c r="H247" s="4"/>
      <c r="I247" s="4"/>
    </row>
    <row r="248">
      <c r="A248" s="4" t="str">
        <f>IFERROR(__xludf.DUMMYFUNCTION("""COMPUTED_VALUE"""),"cas_hmw")</f>
        <v>cas_hmw</v>
      </c>
      <c r="B248" s="5">
        <f>IFERROR(__xludf.DUMMYFUNCTION("""COMPUTED_VALUE"""),44720.0)</f>
        <v>44720</v>
      </c>
      <c r="C248" s="6">
        <f>IFERROR(__xludf.DUMMYFUNCTION("""COMPUTED_VALUE"""),0.7998726851838001)</f>
        <v>0.7998726852</v>
      </c>
      <c r="D248" s="4">
        <f>IFERROR(__xludf.DUMMYFUNCTION("""COMPUTED_VALUE"""),12.927688)</f>
        <v>12.927688</v>
      </c>
      <c r="E248" s="4">
        <f>IFERROR(__xludf.DUMMYFUNCTION("""COMPUTED_VALUE"""),80.118876)</f>
        <v>80.118876</v>
      </c>
      <c r="F248" s="4">
        <f>IFERROR(__xludf.DUMMYFUNCTION("""COMPUTED_VALUE"""),2846.0)</f>
        <v>2846</v>
      </c>
      <c r="G248" s="4">
        <f>IFERROR(__xludf.DUMMYFUNCTION("""COMPUTED_VALUE"""),19.0)</f>
        <v>19</v>
      </c>
      <c r="H248" s="4"/>
      <c r="I248" s="4"/>
    </row>
    <row r="249">
      <c r="A249" s="4" t="str">
        <f>IFERROR(__xludf.DUMMYFUNCTION("""COMPUTED_VALUE"""),"cas_hmw")</f>
        <v>cas_hmw</v>
      </c>
      <c r="B249" s="5">
        <f>IFERROR(__xludf.DUMMYFUNCTION("""COMPUTED_VALUE"""),44721.0)</f>
        <v>44721</v>
      </c>
      <c r="C249" s="6">
        <f>IFERROR(__xludf.DUMMYFUNCTION("""COMPUTED_VALUE"""),0.27555555555591127)</f>
        <v>0.2755555556</v>
      </c>
      <c r="D249" s="4">
        <f>IFERROR(__xludf.DUMMYFUNCTION("""COMPUTED_VALUE"""),12.875655)</f>
        <v>12.875655</v>
      </c>
      <c r="E249" s="4">
        <f>IFERROR(__xludf.DUMMYFUNCTION("""COMPUTED_VALUE"""),80.082853)</f>
        <v>80.082853</v>
      </c>
      <c r="F249" s="4">
        <f>IFERROR(__xludf.DUMMYFUNCTION("""COMPUTED_VALUE"""),2846.0)</f>
        <v>2846</v>
      </c>
      <c r="G249" s="4">
        <f>IFERROR(__xludf.DUMMYFUNCTION("""COMPUTED_VALUE"""),0.0)</f>
        <v>0</v>
      </c>
      <c r="H249" s="4"/>
      <c r="I249" s="4"/>
    </row>
    <row r="250">
      <c r="A250" s="4" t="str">
        <f>IFERROR(__xludf.DUMMYFUNCTION("""COMPUTED_VALUE"""),"cas_hmw")</f>
        <v>cas_hmw</v>
      </c>
      <c r="B250" s="5">
        <f>IFERROR(__xludf.DUMMYFUNCTION("""COMPUTED_VALUE"""),44721.0)</f>
        <v>44721</v>
      </c>
      <c r="C250" s="6">
        <f>IFERROR(__xludf.DUMMYFUNCTION("""COMPUTED_VALUE"""),0.27694444444568944)</f>
        <v>0.2769444444</v>
      </c>
      <c r="D250" s="4">
        <f>IFERROR(__xludf.DUMMYFUNCTION("""COMPUTED_VALUE"""),12.875664)</f>
        <v>12.875664</v>
      </c>
      <c r="E250" s="4">
        <f>IFERROR(__xludf.DUMMYFUNCTION("""COMPUTED_VALUE"""),80.082834)</f>
        <v>80.082834</v>
      </c>
      <c r="F250" s="4">
        <f>IFERROR(__xludf.DUMMYFUNCTION("""COMPUTED_VALUE"""),2846.0)</f>
        <v>2846</v>
      </c>
      <c r="G250" s="4">
        <f>IFERROR(__xludf.DUMMYFUNCTION("""COMPUTED_VALUE"""),0.0)</f>
        <v>0</v>
      </c>
      <c r="H250" s="4"/>
      <c r="I250" s="4"/>
    </row>
    <row r="251">
      <c r="A251" s="4" t="str">
        <f>IFERROR(__xludf.DUMMYFUNCTION("""COMPUTED_VALUE"""),"cas_hmw")</f>
        <v>cas_hmw</v>
      </c>
      <c r="B251" s="5">
        <f>IFERROR(__xludf.DUMMYFUNCTION("""COMPUTED_VALUE"""),44721.0)</f>
        <v>44721</v>
      </c>
      <c r="C251" s="6">
        <f>IFERROR(__xludf.DUMMYFUNCTION("""COMPUTED_VALUE"""),0.27697916666511446)</f>
        <v>0.2769791667</v>
      </c>
      <c r="D251" s="4">
        <f>IFERROR(__xludf.DUMMYFUNCTION("""COMPUTED_VALUE"""),12.875664)</f>
        <v>12.875664</v>
      </c>
      <c r="E251" s="4">
        <f>IFERROR(__xludf.DUMMYFUNCTION("""COMPUTED_VALUE"""),80.082834)</f>
        <v>80.082834</v>
      </c>
      <c r="F251" s="4">
        <f>IFERROR(__xludf.DUMMYFUNCTION("""COMPUTED_VALUE"""),2846.0)</f>
        <v>2846</v>
      </c>
      <c r="G251" s="4">
        <f>IFERROR(__xludf.DUMMYFUNCTION("""COMPUTED_VALUE"""),0.0)</f>
        <v>0</v>
      </c>
      <c r="H251" s="4"/>
      <c r="I251" s="4"/>
    </row>
    <row r="252">
      <c r="A252" s="4" t="str">
        <f>IFERROR(__xludf.DUMMYFUNCTION("""COMPUTED_VALUE"""),"cas_hmw")</f>
        <v>cas_hmw</v>
      </c>
      <c r="B252" s="5">
        <f>IFERROR(__xludf.DUMMYFUNCTION("""COMPUTED_VALUE"""),44721.0)</f>
        <v>44721</v>
      </c>
      <c r="C252" s="6">
        <f>IFERROR(__xludf.DUMMYFUNCTION("""COMPUTED_VALUE"""),0.2771064814805868)</f>
        <v>0.2771064815</v>
      </c>
      <c r="D252" s="4">
        <f>IFERROR(__xludf.DUMMYFUNCTION("""COMPUTED_VALUE"""),12.875664)</f>
        <v>12.875664</v>
      </c>
      <c r="E252" s="4">
        <f>IFERROR(__xludf.DUMMYFUNCTION("""COMPUTED_VALUE"""),80.082834)</f>
        <v>80.082834</v>
      </c>
      <c r="F252" s="4">
        <f>IFERROR(__xludf.DUMMYFUNCTION("""COMPUTED_VALUE"""),2846.0)</f>
        <v>2846</v>
      </c>
      <c r="G252" s="4">
        <f>IFERROR(__xludf.DUMMYFUNCTION("""COMPUTED_VALUE"""),0.0)</f>
        <v>0</v>
      </c>
      <c r="H252" s="4"/>
      <c r="I252" s="4"/>
    </row>
    <row r="253">
      <c r="A253" s="4" t="str">
        <f>IFERROR(__xludf.DUMMYFUNCTION("""COMPUTED_VALUE"""),"cas_hmw")</f>
        <v>cas_hmw</v>
      </c>
      <c r="B253" s="5">
        <f>IFERROR(__xludf.DUMMYFUNCTION("""COMPUTED_VALUE"""),44721.0)</f>
        <v>44721</v>
      </c>
      <c r="C253" s="6">
        <f>IFERROR(__xludf.DUMMYFUNCTION("""COMPUTED_VALUE"""),0.2778009259272949)</f>
        <v>0.2778009259</v>
      </c>
      <c r="D253" s="4">
        <f>IFERROR(__xludf.DUMMYFUNCTION("""COMPUTED_VALUE"""),12.875664)</f>
        <v>12.875664</v>
      </c>
      <c r="E253" s="4">
        <f>IFERROR(__xludf.DUMMYFUNCTION("""COMPUTED_VALUE"""),80.082834)</f>
        <v>80.082834</v>
      </c>
      <c r="F253" s="4">
        <f>IFERROR(__xludf.DUMMYFUNCTION("""COMPUTED_VALUE"""),2846.0)</f>
        <v>2846</v>
      </c>
      <c r="G253" s="4">
        <f>IFERROR(__xludf.DUMMYFUNCTION("""COMPUTED_VALUE"""),0.0)</f>
        <v>0</v>
      </c>
      <c r="H253" s="4"/>
      <c r="I253" s="4"/>
    </row>
    <row r="254">
      <c r="A254" s="4" t="str">
        <f>IFERROR(__xludf.DUMMYFUNCTION("""COMPUTED_VALUE"""),"cas_hmw")</f>
        <v>cas_hmw</v>
      </c>
      <c r="B254" s="5">
        <f>IFERROR(__xludf.DUMMYFUNCTION("""COMPUTED_VALUE"""),44721.0)</f>
        <v>44721</v>
      </c>
      <c r="C254" s="6">
        <f>IFERROR(__xludf.DUMMYFUNCTION("""COMPUTED_VALUE"""),0.27828703703562496)</f>
        <v>0.278287037</v>
      </c>
      <c r="D254" s="4">
        <f>IFERROR(__xludf.DUMMYFUNCTION("""COMPUTED_VALUE"""),12.87566)</f>
        <v>12.87566</v>
      </c>
      <c r="E254" s="4">
        <f>IFERROR(__xludf.DUMMYFUNCTION("""COMPUTED_VALUE"""),80.08283)</f>
        <v>80.08283</v>
      </c>
      <c r="F254" s="4">
        <f>IFERROR(__xludf.DUMMYFUNCTION("""COMPUTED_VALUE"""),2846.0)</f>
        <v>2846</v>
      </c>
      <c r="G254" s="4">
        <f>IFERROR(__xludf.DUMMYFUNCTION("""COMPUTED_VALUE"""),0.0)</f>
        <v>0</v>
      </c>
      <c r="H254" s="4"/>
      <c r="I254" s="4"/>
    </row>
    <row r="255">
      <c r="A255" s="4" t="str">
        <f>IFERROR(__xludf.DUMMYFUNCTION("""COMPUTED_VALUE"""),"cas_hmw")</f>
        <v>cas_hmw</v>
      </c>
      <c r="B255" s="5">
        <f>IFERROR(__xludf.DUMMYFUNCTION("""COMPUTED_VALUE"""),44721.0)</f>
        <v>44721</v>
      </c>
      <c r="C255" s="6">
        <f>IFERROR(__xludf.DUMMYFUNCTION("""COMPUTED_VALUE"""),0.2783101851855463)</f>
        <v>0.2783101852</v>
      </c>
      <c r="D255" s="4">
        <f>IFERROR(__xludf.DUMMYFUNCTION("""COMPUTED_VALUE"""),12.87566)</f>
        <v>12.87566</v>
      </c>
      <c r="E255" s="4">
        <f>IFERROR(__xludf.DUMMYFUNCTION("""COMPUTED_VALUE"""),80.08283)</f>
        <v>80.08283</v>
      </c>
      <c r="F255" s="4">
        <f>IFERROR(__xludf.DUMMYFUNCTION("""COMPUTED_VALUE"""),2846.0)</f>
        <v>2846</v>
      </c>
      <c r="G255" s="4">
        <f>IFERROR(__xludf.DUMMYFUNCTION("""COMPUTED_VALUE"""),0.0)</f>
        <v>0</v>
      </c>
      <c r="H255" s="4"/>
      <c r="I255" s="4"/>
    </row>
    <row r="256">
      <c r="A256" s="4" t="str">
        <f>IFERROR(__xludf.DUMMYFUNCTION("""COMPUTED_VALUE"""),"cas_hmw")</f>
        <v>cas_hmw</v>
      </c>
      <c r="B256" s="5">
        <f>IFERROR(__xludf.DUMMYFUNCTION("""COMPUTED_VALUE"""),44721.0)</f>
        <v>44721</v>
      </c>
      <c r="C256" s="6">
        <f>IFERROR(__xludf.DUMMYFUNCTION("""COMPUTED_VALUE"""),0.27901620370539604)</f>
        <v>0.2790162037</v>
      </c>
      <c r="D256" s="4">
        <f>IFERROR(__xludf.DUMMYFUNCTION("""COMPUTED_VALUE"""),12.87566)</f>
        <v>12.87566</v>
      </c>
      <c r="E256" s="4">
        <f>IFERROR(__xludf.DUMMYFUNCTION("""COMPUTED_VALUE"""),80.08283)</f>
        <v>80.08283</v>
      </c>
      <c r="F256" s="4">
        <f>IFERROR(__xludf.DUMMYFUNCTION("""COMPUTED_VALUE"""),2846.0)</f>
        <v>2846</v>
      </c>
      <c r="G256" s="4">
        <f>IFERROR(__xludf.DUMMYFUNCTION("""COMPUTED_VALUE"""),0.0)</f>
        <v>0</v>
      </c>
      <c r="H256" s="4"/>
      <c r="I256" s="4"/>
    </row>
    <row r="257">
      <c r="A257" s="4" t="str">
        <f>IFERROR(__xludf.DUMMYFUNCTION("""COMPUTED_VALUE"""),"cas_hmw")</f>
        <v>cas_hmw</v>
      </c>
      <c r="B257" s="5">
        <f>IFERROR(__xludf.DUMMYFUNCTION("""COMPUTED_VALUE"""),44721.0)</f>
        <v>44721</v>
      </c>
      <c r="C257" s="6">
        <f>IFERROR(__xludf.DUMMYFUNCTION("""COMPUTED_VALUE"""),0.2842245370375167)</f>
        <v>0.284224537</v>
      </c>
      <c r="D257" s="4">
        <f>IFERROR(__xludf.DUMMYFUNCTION("""COMPUTED_VALUE"""),12.875646)</f>
        <v>12.875646</v>
      </c>
      <c r="E257" s="4">
        <f>IFERROR(__xludf.DUMMYFUNCTION("""COMPUTED_VALUE"""),80.082874)</f>
        <v>80.082874</v>
      </c>
      <c r="F257" s="4">
        <f>IFERROR(__xludf.DUMMYFUNCTION("""COMPUTED_VALUE"""),2846.0)</f>
        <v>2846</v>
      </c>
      <c r="G257" s="4">
        <f>IFERROR(__xludf.DUMMYFUNCTION("""COMPUTED_VALUE"""),0.0)</f>
        <v>0</v>
      </c>
      <c r="H257" s="4"/>
      <c r="I257" s="4"/>
    </row>
    <row r="258">
      <c r="A258" s="4" t="str">
        <f>IFERROR(__xludf.DUMMYFUNCTION("""COMPUTED_VALUE"""),"cas_hmw")</f>
        <v>cas_hmw</v>
      </c>
      <c r="B258" s="5">
        <f>IFERROR(__xludf.DUMMYFUNCTION("""COMPUTED_VALUE"""),44721.0)</f>
        <v>44721</v>
      </c>
      <c r="C258" s="6">
        <f>IFERROR(__xludf.DUMMYFUNCTION("""COMPUTED_VALUE"""),0.2842245370375167)</f>
        <v>0.284224537</v>
      </c>
      <c r="D258" s="4">
        <f>IFERROR(__xludf.DUMMYFUNCTION("""COMPUTED_VALUE"""),12.875646)</f>
        <v>12.875646</v>
      </c>
      <c r="E258" s="4">
        <f>IFERROR(__xludf.DUMMYFUNCTION("""COMPUTED_VALUE"""),80.082874)</f>
        <v>80.082874</v>
      </c>
      <c r="F258" s="4">
        <f>IFERROR(__xludf.DUMMYFUNCTION("""COMPUTED_VALUE"""),2846.0)</f>
        <v>2846</v>
      </c>
      <c r="G258" s="4">
        <f>IFERROR(__xludf.DUMMYFUNCTION("""COMPUTED_VALUE"""),0.0)</f>
        <v>0</v>
      </c>
      <c r="H258" s="4"/>
      <c r="I258" s="4"/>
    </row>
    <row r="259">
      <c r="A259" s="4" t="str">
        <f>IFERROR(__xludf.DUMMYFUNCTION("""COMPUTED_VALUE"""),"cas_hmw")</f>
        <v>cas_hmw</v>
      </c>
      <c r="B259" s="5">
        <f>IFERROR(__xludf.DUMMYFUNCTION("""COMPUTED_VALUE"""),44721.0)</f>
        <v>44721</v>
      </c>
      <c r="C259" s="6">
        <f>IFERROR(__xludf.DUMMYFUNCTION("""COMPUTED_VALUE"""),0.28424768518380006)</f>
        <v>0.2842476852</v>
      </c>
      <c r="D259" s="4">
        <f>IFERROR(__xludf.DUMMYFUNCTION("""COMPUTED_VALUE"""),12.875646)</f>
        <v>12.875646</v>
      </c>
      <c r="E259" s="4">
        <f>IFERROR(__xludf.DUMMYFUNCTION("""COMPUTED_VALUE"""),80.082874)</f>
        <v>80.082874</v>
      </c>
      <c r="F259" s="4">
        <f>IFERROR(__xludf.DUMMYFUNCTION("""COMPUTED_VALUE"""),2846.0)</f>
        <v>2846</v>
      </c>
      <c r="G259" s="4">
        <f>IFERROR(__xludf.DUMMYFUNCTION("""COMPUTED_VALUE"""),0.0)</f>
        <v>0</v>
      </c>
      <c r="H259" s="4"/>
      <c r="I259" s="4"/>
    </row>
    <row r="260">
      <c r="A260" s="4" t="str">
        <f>IFERROR(__xludf.DUMMYFUNCTION("""COMPUTED_VALUE"""),"cas_hmw")</f>
        <v>cas_hmw</v>
      </c>
      <c r="B260" s="5">
        <f>IFERROR(__xludf.DUMMYFUNCTION("""COMPUTED_VALUE"""),44721.0)</f>
        <v>44721</v>
      </c>
      <c r="C260" s="6">
        <f>IFERROR(__xludf.DUMMYFUNCTION("""COMPUTED_VALUE"""),0.2842592592605797)</f>
        <v>0.2842592593</v>
      </c>
      <c r="D260" s="4">
        <f>IFERROR(__xludf.DUMMYFUNCTION("""COMPUTED_VALUE"""),12.875646)</f>
        <v>12.875646</v>
      </c>
      <c r="E260" s="4">
        <f>IFERROR(__xludf.DUMMYFUNCTION("""COMPUTED_VALUE"""),80.082874)</f>
        <v>80.082874</v>
      </c>
      <c r="F260" s="4">
        <f>IFERROR(__xludf.DUMMYFUNCTION("""COMPUTED_VALUE"""),2846.0)</f>
        <v>2846</v>
      </c>
      <c r="G260" s="4">
        <f>IFERROR(__xludf.DUMMYFUNCTION("""COMPUTED_VALUE"""),0.0)</f>
        <v>0</v>
      </c>
      <c r="H260" s="4"/>
      <c r="I260" s="4"/>
    </row>
    <row r="261">
      <c r="A261" s="4" t="str">
        <f>IFERROR(__xludf.DUMMYFUNCTION("""COMPUTED_VALUE"""),"cas_hmw")</f>
        <v>cas_hmw</v>
      </c>
      <c r="B261" s="5">
        <f>IFERROR(__xludf.DUMMYFUNCTION("""COMPUTED_VALUE"""),44721.0)</f>
        <v>44721</v>
      </c>
      <c r="C261" s="6">
        <f>IFERROR(__xludf.DUMMYFUNCTION("""COMPUTED_VALUE"""),0.28560185185051523)</f>
        <v>0.2856018519</v>
      </c>
      <c r="D261" s="4">
        <f>IFERROR(__xludf.DUMMYFUNCTION("""COMPUTED_VALUE"""),12.875637)</f>
        <v>12.875637</v>
      </c>
      <c r="E261" s="4">
        <f>IFERROR(__xludf.DUMMYFUNCTION("""COMPUTED_VALUE"""),80.082887)</f>
        <v>80.082887</v>
      </c>
      <c r="F261" s="4">
        <f>IFERROR(__xludf.DUMMYFUNCTION("""COMPUTED_VALUE"""),2846.0)</f>
        <v>2846</v>
      </c>
      <c r="G261" s="4">
        <f>IFERROR(__xludf.DUMMYFUNCTION("""COMPUTED_VALUE"""),0.0)</f>
        <v>0</v>
      </c>
      <c r="H261" s="4"/>
      <c r="I261" s="4"/>
    </row>
    <row r="262">
      <c r="A262" s="4" t="str">
        <f>IFERROR(__xludf.DUMMYFUNCTION("""COMPUTED_VALUE"""),"cas_hmw")</f>
        <v>cas_hmw</v>
      </c>
      <c r="B262" s="5">
        <f>IFERROR(__xludf.DUMMYFUNCTION("""COMPUTED_VALUE"""),44721.0)</f>
        <v>44721</v>
      </c>
      <c r="C262" s="6">
        <f>IFERROR(__xludf.DUMMYFUNCTION("""COMPUTED_VALUE"""),0.28766203703708015)</f>
        <v>0.287662037</v>
      </c>
      <c r="D262" s="4">
        <f>IFERROR(__xludf.DUMMYFUNCTION("""COMPUTED_VALUE"""),12.875628)</f>
        <v>12.875628</v>
      </c>
      <c r="E262" s="4">
        <f>IFERROR(__xludf.DUMMYFUNCTION("""COMPUTED_VALUE"""),80.082894)</f>
        <v>80.082894</v>
      </c>
      <c r="F262" s="4">
        <f>IFERROR(__xludf.DUMMYFUNCTION("""COMPUTED_VALUE"""),2846.0)</f>
        <v>2846</v>
      </c>
      <c r="G262" s="4">
        <f>IFERROR(__xludf.DUMMYFUNCTION("""COMPUTED_VALUE"""),0.0)</f>
        <v>0</v>
      </c>
      <c r="H262" s="4"/>
      <c r="I262" s="4"/>
    </row>
    <row r="263">
      <c r="A263" s="4" t="str">
        <f>IFERROR(__xludf.DUMMYFUNCTION("""COMPUTED_VALUE"""),"cas_hmw")</f>
        <v>cas_hmw</v>
      </c>
      <c r="B263" s="5">
        <f>IFERROR(__xludf.DUMMYFUNCTION("""COMPUTED_VALUE"""),44721.0)</f>
        <v>44721</v>
      </c>
      <c r="C263" s="6">
        <f>IFERROR(__xludf.DUMMYFUNCTION("""COMPUTED_VALUE"""),0.2876851851870015)</f>
        <v>0.2876851852</v>
      </c>
      <c r="D263" s="4">
        <f>IFERROR(__xludf.DUMMYFUNCTION("""COMPUTED_VALUE"""),12.875628)</f>
        <v>12.875628</v>
      </c>
      <c r="E263" s="4">
        <f>IFERROR(__xludf.DUMMYFUNCTION("""COMPUTED_VALUE"""),80.082894)</f>
        <v>80.082894</v>
      </c>
      <c r="F263" s="4">
        <f>IFERROR(__xludf.DUMMYFUNCTION("""COMPUTED_VALUE"""),2846.0)</f>
        <v>2846</v>
      </c>
      <c r="G263" s="4">
        <f>IFERROR(__xludf.DUMMYFUNCTION("""COMPUTED_VALUE"""),0.0)</f>
        <v>0</v>
      </c>
      <c r="H263" s="4"/>
      <c r="I263" s="4"/>
    </row>
    <row r="264">
      <c r="A264" s="4" t="str">
        <f>IFERROR(__xludf.DUMMYFUNCTION("""COMPUTED_VALUE"""),"cas_hmw")</f>
        <v>cas_hmw</v>
      </c>
      <c r="B264" s="5">
        <f>IFERROR(__xludf.DUMMYFUNCTION("""COMPUTED_VALUE"""),44721.0)</f>
        <v>44721</v>
      </c>
      <c r="C264" s="6">
        <f>IFERROR(__xludf.DUMMYFUNCTION("""COMPUTED_VALUE"""),0.2914583333331393)</f>
        <v>0.2914583333</v>
      </c>
      <c r="D264" s="4">
        <f>IFERROR(__xludf.DUMMYFUNCTION("""COMPUTED_VALUE"""),12.875621)</f>
        <v>12.875621</v>
      </c>
      <c r="E264" s="4">
        <f>IFERROR(__xludf.DUMMYFUNCTION("""COMPUTED_VALUE"""),80.082901)</f>
        <v>80.082901</v>
      </c>
      <c r="F264" s="4">
        <f>IFERROR(__xludf.DUMMYFUNCTION("""COMPUTED_VALUE"""),2846.0)</f>
        <v>2846</v>
      </c>
      <c r="G264" s="4">
        <f>IFERROR(__xludf.DUMMYFUNCTION("""COMPUTED_VALUE"""),0.0)</f>
        <v>0</v>
      </c>
      <c r="H264" s="4"/>
      <c r="I264" s="4"/>
    </row>
    <row r="265">
      <c r="A265" s="4" t="str">
        <f>IFERROR(__xludf.DUMMYFUNCTION("""COMPUTED_VALUE"""),"cas_hmw")</f>
        <v>cas_hmw</v>
      </c>
      <c r="B265" s="5">
        <f>IFERROR(__xludf.DUMMYFUNCTION("""COMPUTED_VALUE"""),44721.0)</f>
        <v>44721</v>
      </c>
      <c r="C265" s="6">
        <f>IFERROR(__xludf.DUMMYFUNCTION("""COMPUTED_VALUE"""),0.2923958333340124)</f>
        <v>0.2923958333</v>
      </c>
      <c r="D265" s="4">
        <f>IFERROR(__xludf.DUMMYFUNCTION("""COMPUTED_VALUE"""),12.875621)</f>
        <v>12.875621</v>
      </c>
      <c r="E265" s="4">
        <f>IFERROR(__xludf.DUMMYFUNCTION("""COMPUTED_VALUE"""),80.082901)</f>
        <v>80.082901</v>
      </c>
      <c r="F265" s="4">
        <f>IFERROR(__xludf.DUMMYFUNCTION("""COMPUTED_VALUE"""),2846.0)</f>
        <v>2846</v>
      </c>
      <c r="G265" s="4">
        <f>IFERROR(__xludf.DUMMYFUNCTION("""COMPUTED_VALUE"""),0.0)</f>
        <v>0</v>
      </c>
      <c r="H265" s="4"/>
      <c r="I265" s="4"/>
    </row>
    <row r="266">
      <c r="A266" s="4" t="str">
        <f>IFERROR(__xludf.DUMMYFUNCTION("""COMPUTED_VALUE"""),"cas_hmw")</f>
        <v>cas_hmw</v>
      </c>
      <c r="B266" s="5">
        <f>IFERROR(__xludf.DUMMYFUNCTION("""COMPUTED_VALUE"""),44721.0)</f>
        <v>44721</v>
      </c>
      <c r="C266" s="6">
        <f>IFERROR(__xludf.DUMMYFUNCTION("""COMPUTED_VALUE"""),0.2929629629616102)</f>
        <v>0.292962963</v>
      </c>
      <c r="D266" s="4">
        <f>IFERROR(__xludf.DUMMYFUNCTION("""COMPUTED_VALUE"""),12.875621)</f>
        <v>12.875621</v>
      </c>
      <c r="E266" s="4">
        <f>IFERROR(__xludf.DUMMYFUNCTION("""COMPUTED_VALUE"""),80.082901)</f>
        <v>80.082901</v>
      </c>
      <c r="F266" s="4">
        <f>IFERROR(__xludf.DUMMYFUNCTION("""COMPUTED_VALUE"""),2846.0)</f>
        <v>2846</v>
      </c>
      <c r="G266" s="4">
        <f>IFERROR(__xludf.DUMMYFUNCTION("""COMPUTED_VALUE"""),0.0)</f>
        <v>0</v>
      </c>
      <c r="H266" s="4"/>
      <c r="I266" s="4"/>
    </row>
    <row r="267">
      <c r="A267" s="4" t="str">
        <f>IFERROR(__xludf.DUMMYFUNCTION("""COMPUTED_VALUE"""),"cas_hmw")</f>
        <v>cas_hmw</v>
      </c>
      <c r="B267" s="5">
        <f>IFERROR(__xludf.DUMMYFUNCTION("""COMPUTED_VALUE"""),44721.0)</f>
        <v>44721</v>
      </c>
      <c r="C267" s="6">
        <f>IFERROR(__xludf.DUMMYFUNCTION("""COMPUTED_VALUE"""),0.2975347222236451)</f>
        <v>0.2975347222</v>
      </c>
      <c r="D267" s="4">
        <f>IFERROR(__xludf.DUMMYFUNCTION("""COMPUTED_VALUE"""),13.063695)</f>
        <v>13.063695</v>
      </c>
      <c r="E267" s="4">
        <f>IFERROR(__xludf.DUMMYFUNCTION("""COMPUTED_VALUE"""),80.250872)</f>
        <v>80.250872</v>
      </c>
      <c r="F267" s="4">
        <f>IFERROR(__xludf.DUMMYFUNCTION("""COMPUTED_VALUE"""),805.0)</f>
        <v>805</v>
      </c>
      <c r="G267" s="4">
        <f>IFERROR(__xludf.DUMMYFUNCTION("""COMPUTED_VALUE"""),0.0)</f>
        <v>0</v>
      </c>
      <c r="H267" s="4"/>
      <c r="I267" s="4"/>
    </row>
    <row r="268">
      <c r="A268" s="4" t="str">
        <f>IFERROR(__xludf.DUMMYFUNCTION("""COMPUTED_VALUE"""),"cas_hmw")</f>
        <v>cas_hmw</v>
      </c>
      <c r="B268" s="5">
        <f>IFERROR(__xludf.DUMMYFUNCTION("""COMPUTED_VALUE"""),44721.0)</f>
        <v>44721</v>
      </c>
      <c r="C268" s="6">
        <f>IFERROR(__xludf.DUMMYFUNCTION("""COMPUTED_VALUE"""),0.29766203703547944)</f>
        <v>0.297662037</v>
      </c>
      <c r="D268" s="4">
        <f>IFERROR(__xludf.DUMMYFUNCTION("""COMPUTED_VALUE"""),13.063695)</f>
        <v>13.063695</v>
      </c>
      <c r="E268" s="4">
        <f>IFERROR(__xludf.DUMMYFUNCTION("""COMPUTED_VALUE"""),80.250872)</f>
        <v>80.250872</v>
      </c>
      <c r="F268" s="4">
        <f>IFERROR(__xludf.DUMMYFUNCTION("""COMPUTED_VALUE"""),805.0)</f>
        <v>805</v>
      </c>
      <c r="G268" s="4">
        <f>IFERROR(__xludf.DUMMYFUNCTION("""COMPUTED_VALUE"""),0.0)</f>
        <v>0</v>
      </c>
      <c r="H268" s="4"/>
      <c r="I268" s="4"/>
    </row>
    <row r="269">
      <c r="A269" s="4" t="str">
        <f>IFERROR(__xludf.DUMMYFUNCTION("""COMPUTED_VALUE"""),"cas_hmw")</f>
        <v>cas_hmw</v>
      </c>
      <c r="B269" s="5">
        <f>IFERROR(__xludf.DUMMYFUNCTION("""COMPUTED_VALUE"""),44721.0)</f>
        <v>44721</v>
      </c>
      <c r="C269" s="6">
        <f>IFERROR(__xludf.DUMMYFUNCTION("""COMPUTED_VALUE"""),0.2977546296278888)</f>
        <v>0.2977546296</v>
      </c>
      <c r="D269" s="4">
        <f>IFERROR(__xludf.DUMMYFUNCTION("""COMPUTED_VALUE"""),13.063698)</f>
        <v>13.063698</v>
      </c>
      <c r="E269" s="4">
        <f>IFERROR(__xludf.DUMMYFUNCTION("""COMPUTED_VALUE"""),80.25087)</f>
        <v>80.25087</v>
      </c>
      <c r="F269" s="4">
        <f>IFERROR(__xludf.DUMMYFUNCTION("""COMPUTED_VALUE"""),805.0)</f>
        <v>805</v>
      </c>
      <c r="G269" s="4">
        <f>IFERROR(__xludf.DUMMYFUNCTION("""COMPUTED_VALUE"""),0.0)</f>
        <v>0</v>
      </c>
      <c r="H269" s="4"/>
      <c r="I269" s="4"/>
    </row>
    <row r="270">
      <c r="A270" s="4" t="str">
        <f>IFERROR(__xludf.DUMMYFUNCTION("""COMPUTED_VALUE"""),"cas_hmw")</f>
        <v>cas_hmw</v>
      </c>
      <c r="B270" s="5">
        <f>IFERROR(__xludf.DUMMYFUNCTION("""COMPUTED_VALUE"""),44721.0)</f>
        <v>44721</v>
      </c>
      <c r="C270" s="6">
        <f>IFERROR(__xludf.DUMMYFUNCTION("""COMPUTED_VALUE"""),0.2981134259243845)</f>
        <v>0.2981134259</v>
      </c>
      <c r="D270" s="4">
        <f>IFERROR(__xludf.DUMMYFUNCTION("""COMPUTED_VALUE"""),12.875621)</f>
        <v>12.875621</v>
      </c>
      <c r="E270" s="4">
        <f>IFERROR(__xludf.DUMMYFUNCTION("""COMPUTED_VALUE"""),80.082901)</f>
        <v>80.082901</v>
      </c>
      <c r="F270" s="4">
        <f>IFERROR(__xludf.DUMMYFUNCTION("""COMPUTED_VALUE"""),2846.0)</f>
        <v>2846</v>
      </c>
      <c r="G270" s="4">
        <f>IFERROR(__xludf.DUMMYFUNCTION("""COMPUTED_VALUE"""),0.0)</f>
        <v>0</v>
      </c>
      <c r="H270" s="4"/>
      <c r="I270" s="4"/>
    </row>
    <row r="271">
      <c r="A271" s="4" t="str">
        <f>IFERROR(__xludf.DUMMYFUNCTION("""COMPUTED_VALUE"""),"cas_hmw")</f>
        <v>cas_hmw</v>
      </c>
      <c r="B271" s="5">
        <f>IFERROR(__xludf.DUMMYFUNCTION("""COMPUTED_VALUE"""),44721.0)</f>
        <v>44721</v>
      </c>
      <c r="C271" s="6">
        <f>IFERROR(__xludf.DUMMYFUNCTION("""COMPUTED_VALUE"""),0.2999305555567844)</f>
        <v>0.2999305556</v>
      </c>
      <c r="D271" s="4">
        <f>IFERROR(__xludf.DUMMYFUNCTION("""COMPUTED_VALUE"""),13.063709)</f>
        <v>13.063709</v>
      </c>
      <c r="E271" s="4">
        <f>IFERROR(__xludf.DUMMYFUNCTION("""COMPUTED_VALUE"""),80.250865)</f>
        <v>80.250865</v>
      </c>
      <c r="F271" s="4">
        <f>IFERROR(__xludf.DUMMYFUNCTION("""COMPUTED_VALUE"""),805.0)</f>
        <v>805</v>
      </c>
      <c r="G271" s="4">
        <f>IFERROR(__xludf.DUMMYFUNCTION("""COMPUTED_VALUE"""),0.0)</f>
        <v>0</v>
      </c>
      <c r="H271" s="4"/>
      <c r="I271" s="4"/>
    </row>
    <row r="272">
      <c r="A272" s="4" t="str">
        <f>IFERROR(__xludf.DUMMYFUNCTION("""COMPUTED_VALUE"""),"cas_hmw")</f>
        <v>cas_hmw</v>
      </c>
      <c r="B272" s="5">
        <f>IFERROR(__xludf.DUMMYFUNCTION("""COMPUTED_VALUE"""),44721.0)</f>
        <v>44721</v>
      </c>
      <c r="C272" s="6">
        <f>IFERROR(__xludf.DUMMYFUNCTION("""COMPUTED_VALUE"""),0.30307870370234014)</f>
        <v>0.3030787037</v>
      </c>
      <c r="D272" s="4">
        <f>IFERROR(__xludf.DUMMYFUNCTION("""COMPUTED_VALUE"""),13.06374)</f>
        <v>13.06374</v>
      </c>
      <c r="E272" s="4">
        <f>IFERROR(__xludf.DUMMYFUNCTION("""COMPUTED_VALUE"""),80.250854)</f>
        <v>80.250854</v>
      </c>
      <c r="F272" s="4">
        <f>IFERROR(__xludf.DUMMYFUNCTION("""COMPUTED_VALUE"""),805.0)</f>
        <v>805</v>
      </c>
      <c r="G272" s="4">
        <f>IFERROR(__xludf.DUMMYFUNCTION("""COMPUTED_VALUE"""),0.0)</f>
        <v>0</v>
      </c>
      <c r="H272" s="4"/>
      <c r="I272" s="4"/>
    </row>
    <row r="273">
      <c r="A273" s="4" t="str">
        <f>IFERROR(__xludf.DUMMYFUNCTION("""COMPUTED_VALUE"""),"cas_hmw")</f>
        <v>cas_hmw</v>
      </c>
      <c r="B273" s="5">
        <f>IFERROR(__xludf.DUMMYFUNCTION("""COMPUTED_VALUE"""),44721.0)</f>
        <v>44721</v>
      </c>
      <c r="C273" s="6">
        <f>IFERROR(__xludf.DUMMYFUNCTION("""COMPUTED_VALUE"""),0.30368055555663886)</f>
        <v>0.3036805556</v>
      </c>
      <c r="D273" s="4">
        <f>IFERROR(__xludf.DUMMYFUNCTION("""COMPUTED_VALUE"""),13.063773)</f>
        <v>13.063773</v>
      </c>
      <c r="E273" s="4">
        <f>IFERROR(__xludf.DUMMYFUNCTION("""COMPUTED_VALUE"""),80.250792)</f>
        <v>80.250792</v>
      </c>
      <c r="F273" s="4">
        <f>IFERROR(__xludf.DUMMYFUNCTION("""COMPUTED_VALUE"""),805.0)</f>
        <v>805</v>
      </c>
      <c r="G273" s="4">
        <f>IFERROR(__xludf.DUMMYFUNCTION("""COMPUTED_VALUE"""),0.0)</f>
        <v>0</v>
      </c>
      <c r="H273" s="4"/>
      <c r="I273" s="4"/>
    </row>
    <row r="274">
      <c r="A274" s="4" t="str">
        <f>IFERROR(__xludf.DUMMYFUNCTION("""COMPUTED_VALUE"""),"cas_hmw")</f>
        <v>cas_hmw</v>
      </c>
      <c r="B274" s="5">
        <f>IFERROR(__xludf.DUMMYFUNCTION("""COMPUTED_VALUE"""),44721.0)</f>
        <v>44721</v>
      </c>
      <c r="C274" s="6">
        <f>IFERROR(__xludf.DUMMYFUNCTION("""COMPUTED_VALUE"""),0.3039930555569299)</f>
        <v>0.3039930556</v>
      </c>
      <c r="D274" s="4">
        <f>IFERROR(__xludf.DUMMYFUNCTION("""COMPUTED_VALUE"""),13.063773)</f>
        <v>13.063773</v>
      </c>
      <c r="E274" s="4">
        <f>IFERROR(__xludf.DUMMYFUNCTION("""COMPUTED_VALUE"""),80.250792)</f>
        <v>80.250792</v>
      </c>
      <c r="F274" s="4">
        <f>IFERROR(__xludf.DUMMYFUNCTION("""COMPUTED_VALUE"""),805.0)</f>
        <v>805</v>
      </c>
      <c r="G274" s="4">
        <f>IFERROR(__xludf.DUMMYFUNCTION("""COMPUTED_VALUE"""),0.0)</f>
        <v>0</v>
      </c>
      <c r="H274" s="4"/>
      <c r="I274" s="4"/>
    </row>
    <row r="275">
      <c r="A275" s="4" t="str">
        <f>IFERROR(__xludf.DUMMYFUNCTION("""COMPUTED_VALUE"""),"cas_hmw")</f>
        <v>cas_hmw</v>
      </c>
      <c r="B275" s="5">
        <f>IFERROR(__xludf.DUMMYFUNCTION("""COMPUTED_VALUE"""),44721.0)</f>
        <v>44721</v>
      </c>
      <c r="C275" s="6">
        <f>IFERROR(__xludf.DUMMYFUNCTION("""COMPUTED_VALUE"""),0.3062500000014552)</f>
        <v>0.30625</v>
      </c>
      <c r="D275" s="4">
        <f>IFERROR(__xludf.DUMMYFUNCTION("""COMPUTED_VALUE"""),13.063791)</f>
        <v>13.063791</v>
      </c>
      <c r="E275" s="4">
        <f>IFERROR(__xludf.DUMMYFUNCTION("""COMPUTED_VALUE"""),80.250802)</f>
        <v>80.250802</v>
      </c>
      <c r="F275" s="4">
        <f>IFERROR(__xludf.DUMMYFUNCTION("""COMPUTED_VALUE"""),805.0)</f>
        <v>805</v>
      </c>
      <c r="G275" s="4">
        <f>IFERROR(__xludf.DUMMYFUNCTION("""COMPUTED_VALUE"""),0.0)</f>
        <v>0</v>
      </c>
      <c r="H275" s="4"/>
      <c r="I275" s="4"/>
    </row>
    <row r="276">
      <c r="A276" s="4" t="str">
        <f>IFERROR(__xludf.DUMMYFUNCTION("""COMPUTED_VALUE"""),"cas_hmw")</f>
        <v>cas_hmw</v>
      </c>
      <c r="B276" s="5">
        <f>IFERROR(__xludf.DUMMYFUNCTION("""COMPUTED_VALUE"""),44721.0)</f>
        <v>44721</v>
      </c>
      <c r="C276" s="6">
        <f>IFERROR(__xludf.DUMMYFUNCTION("""COMPUTED_VALUE"""),0.31225694444583496)</f>
        <v>0.3122569444</v>
      </c>
      <c r="D276" s="4">
        <f>IFERROR(__xludf.DUMMYFUNCTION("""COMPUTED_VALUE"""),13.063729)</f>
        <v>13.063729</v>
      </c>
      <c r="E276" s="4">
        <f>IFERROR(__xludf.DUMMYFUNCTION("""COMPUTED_VALUE"""),80.250795)</f>
        <v>80.250795</v>
      </c>
      <c r="F276" s="4">
        <f>IFERROR(__xludf.DUMMYFUNCTION("""COMPUTED_VALUE"""),805.0)</f>
        <v>805</v>
      </c>
      <c r="G276" s="4">
        <f>IFERROR(__xludf.DUMMYFUNCTION("""COMPUTED_VALUE"""),0.0)</f>
        <v>0</v>
      </c>
      <c r="H276" s="4"/>
      <c r="I276" s="4"/>
    </row>
    <row r="277">
      <c r="A277" s="4" t="str">
        <f>IFERROR(__xludf.DUMMYFUNCTION("""COMPUTED_VALUE"""),"cas_hmw")</f>
        <v>cas_hmw</v>
      </c>
      <c r="B277" s="5">
        <f>IFERROR(__xludf.DUMMYFUNCTION("""COMPUTED_VALUE"""),44721.0)</f>
        <v>44721</v>
      </c>
      <c r="C277" s="6">
        <f>IFERROR(__xludf.DUMMYFUNCTION("""COMPUTED_VALUE"""),0.3131828703699284)</f>
        <v>0.3131828704</v>
      </c>
      <c r="D277" s="4">
        <f>IFERROR(__xludf.DUMMYFUNCTION("""COMPUTED_VALUE"""),13.063706)</f>
        <v>13.063706</v>
      </c>
      <c r="E277" s="4">
        <f>IFERROR(__xludf.DUMMYFUNCTION("""COMPUTED_VALUE"""),80.250794)</f>
        <v>80.250794</v>
      </c>
      <c r="F277" s="4">
        <f>IFERROR(__xludf.DUMMYFUNCTION("""COMPUTED_VALUE"""),805.0)</f>
        <v>805</v>
      </c>
      <c r="G277" s="4">
        <f>IFERROR(__xludf.DUMMYFUNCTION("""COMPUTED_VALUE"""),0.0)</f>
        <v>0</v>
      </c>
      <c r="H277" s="4"/>
      <c r="I277" s="4"/>
    </row>
    <row r="278">
      <c r="A278" s="4" t="str">
        <f>IFERROR(__xludf.DUMMYFUNCTION("""COMPUTED_VALUE"""),"cas_hmw")</f>
        <v>cas_hmw</v>
      </c>
      <c r="B278" s="5">
        <f>IFERROR(__xludf.DUMMYFUNCTION("""COMPUTED_VALUE"""),44721.0)</f>
        <v>44721</v>
      </c>
      <c r="C278" s="6">
        <f>IFERROR(__xludf.DUMMYFUNCTION("""COMPUTED_VALUE"""),0.31427083333255723)</f>
        <v>0.3142708333</v>
      </c>
      <c r="D278" s="4">
        <f>IFERROR(__xludf.DUMMYFUNCTION("""COMPUTED_VALUE"""),13.063705)</f>
        <v>13.063705</v>
      </c>
      <c r="E278" s="4">
        <f>IFERROR(__xludf.DUMMYFUNCTION("""COMPUTED_VALUE"""),80.250766)</f>
        <v>80.250766</v>
      </c>
      <c r="F278" s="4">
        <f>IFERROR(__xludf.DUMMYFUNCTION("""COMPUTED_VALUE"""),805.0)</f>
        <v>805</v>
      </c>
      <c r="G278" s="4">
        <f>IFERROR(__xludf.DUMMYFUNCTION("""COMPUTED_VALUE"""),0.0)</f>
        <v>0</v>
      </c>
      <c r="H278" s="4"/>
      <c r="I278" s="4"/>
    </row>
    <row r="279">
      <c r="A279" s="4" t="str">
        <f>IFERROR(__xludf.DUMMYFUNCTION("""COMPUTED_VALUE"""),"cas_hmw")</f>
        <v>cas_hmw</v>
      </c>
      <c r="B279" s="5">
        <f>IFERROR(__xludf.DUMMYFUNCTION("""COMPUTED_VALUE"""),44721.0)</f>
        <v>44721</v>
      </c>
      <c r="C279" s="6">
        <f>IFERROR(__xludf.DUMMYFUNCTION("""COMPUTED_VALUE"""),0.3143518518518249)</f>
        <v>0.3143518519</v>
      </c>
      <c r="D279" s="4">
        <f>IFERROR(__xludf.DUMMYFUNCTION("""COMPUTED_VALUE"""),13.063705)</f>
        <v>13.063705</v>
      </c>
      <c r="E279" s="4">
        <f>IFERROR(__xludf.DUMMYFUNCTION("""COMPUTED_VALUE"""),80.250766)</f>
        <v>80.250766</v>
      </c>
      <c r="F279" s="4">
        <f>IFERROR(__xludf.DUMMYFUNCTION("""COMPUTED_VALUE"""),805.0)</f>
        <v>805</v>
      </c>
      <c r="G279" s="4">
        <f>IFERROR(__xludf.DUMMYFUNCTION("""COMPUTED_VALUE"""),0.0)</f>
        <v>0</v>
      </c>
      <c r="H279" s="4"/>
      <c r="I279" s="4"/>
    </row>
    <row r="280">
      <c r="A280" s="4" t="str">
        <f>IFERROR(__xludf.DUMMYFUNCTION("""COMPUTED_VALUE"""),"cas_hmw")</f>
        <v>cas_hmw</v>
      </c>
      <c r="B280" s="5">
        <f>IFERROR(__xludf.DUMMYFUNCTION("""COMPUTED_VALUE"""),44721.0)</f>
        <v>44721</v>
      </c>
      <c r="C280" s="6">
        <f>IFERROR(__xludf.DUMMYFUNCTION("""COMPUTED_VALUE"""),0.3153356481489027)</f>
        <v>0.3153356481</v>
      </c>
      <c r="D280" s="4">
        <f>IFERROR(__xludf.DUMMYFUNCTION("""COMPUTED_VALUE"""),13.063705)</f>
        <v>13.063705</v>
      </c>
      <c r="E280" s="4">
        <f>IFERROR(__xludf.DUMMYFUNCTION("""COMPUTED_VALUE"""),80.250766)</f>
        <v>80.250766</v>
      </c>
      <c r="F280" s="4">
        <f>IFERROR(__xludf.DUMMYFUNCTION("""COMPUTED_VALUE"""),805.0)</f>
        <v>805</v>
      </c>
      <c r="G280" s="4">
        <f>IFERROR(__xludf.DUMMYFUNCTION("""COMPUTED_VALUE"""),0.0)</f>
        <v>0</v>
      </c>
      <c r="H280" s="4"/>
      <c r="I280" s="4"/>
    </row>
    <row r="281">
      <c r="A281" s="4" t="str">
        <f>IFERROR(__xludf.DUMMYFUNCTION("""COMPUTED_VALUE"""),"cas_hmw")</f>
        <v>cas_hmw</v>
      </c>
      <c r="B281" s="5">
        <f>IFERROR(__xludf.DUMMYFUNCTION("""COMPUTED_VALUE"""),44721.0)</f>
        <v>44721</v>
      </c>
      <c r="C281" s="6">
        <f>IFERROR(__xludf.DUMMYFUNCTION("""COMPUTED_VALUE"""),0.3155092592605797)</f>
        <v>0.3155092593</v>
      </c>
      <c r="D281" s="4">
        <f>IFERROR(__xludf.DUMMYFUNCTION("""COMPUTED_VALUE"""),13.063705)</f>
        <v>13.063705</v>
      </c>
      <c r="E281" s="4">
        <f>IFERROR(__xludf.DUMMYFUNCTION("""COMPUTED_VALUE"""),80.250766)</f>
        <v>80.250766</v>
      </c>
      <c r="F281" s="4">
        <f>IFERROR(__xludf.DUMMYFUNCTION("""COMPUTED_VALUE"""),805.0)</f>
        <v>805</v>
      </c>
      <c r="G281" s="4">
        <f>IFERROR(__xludf.DUMMYFUNCTION("""COMPUTED_VALUE"""),0.0)</f>
        <v>0</v>
      </c>
      <c r="H281" s="4"/>
      <c r="I281" s="4"/>
    </row>
    <row r="282">
      <c r="A282" s="4" t="str">
        <f>IFERROR(__xludf.DUMMYFUNCTION("""COMPUTED_VALUE"""),"cas_hmw")</f>
        <v>cas_hmw</v>
      </c>
      <c r="B282" s="5">
        <f>IFERROR(__xludf.DUMMYFUNCTION("""COMPUTED_VALUE"""),44721.0)</f>
        <v>44721</v>
      </c>
      <c r="C282" s="6">
        <f>IFERROR(__xludf.DUMMYFUNCTION("""COMPUTED_VALUE"""),0.3155092592605797)</f>
        <v>0.3155092593</v>
      </c>
      <c r="D282" s="4">
        <f>IFERROR(__xludf.DUMMYFUNCTION("""COMPUTED_VALUE"""),13.063705)</f>
        <v>13.063705</v>
      </c>
      <c r="E282" s="4">
        <f>IFERROR(__xludf.DUMMYFUNCTION("""COMPUTED_VALUE"""),80.250766)</f>
        <v>80.250766</v>
      </c>
      <c r="F282" s="4">
        <f>IFERROR(__xludf.DUMMYFUNCTION("""COMPUTED_VALUE"""),805.0)</f>
        <v>805</v>
      </c>
      <c r="G282" s="4">
        <f>IFERROR(__xludf.DUMMYFUNCTION("""COMPUTED_VALUE"""),0.0)</f>
        <v>0</v>
      </c>
      <c r="H282" s="4"/>
      <c r="I282" s="4"/>
    </row>
    <row r="283">
      <c r="A283" s="4" t="str">
        <f>IFERROR(__xludf.DUMMYFUNCTION("""COMPUTED_VALUE"""),"cas_hmw")</f>
        <v>cas_hmw</v>
      </c>
      <c r="B283" s="5">
        <f>IFERROR(__xludf.DUMMYFUNCTION("""COMPUTED_VALUE"""),44721.0)</f>
        <v>44721</v>
      </c>
      <c r="C283" s="6">
        <f>IFERROR(__xludf.DUMMYFUNCTION("""COMPUTED_VALUE"""),0.3155208333337214)</f>
        <v>0.3155208333</v>
      </c>
      <c r="D283" s="4">
        <f>IFERROR(__xludf.DUMMYFUNCTION("""COMPUTED_VALUE"""),13.063706)</f>
        <v>13.063706</v>
      </c>
      <c r="E283" s="4">
        <f>IFERROR(__xludf.DUMMYFUNCTION("""COMPUTED_VALUE"""),80.250788)</f>
        <v>80.250788</v>
      </c>
      <c r="F283" s="4">
        <f>IFERROR(__xludf.DUMMYFUNCTION("""COMPUTED_VALUE"""),805.0)</f>
        <v>805</v>
      </c>
      <c r="G283" s="4">
        <f>IFERROR(__xludf.DUMMYFUNCTION("""COMPUTED_VALUE"""),0.0)</f>
        <v>0</v>
      </c>
      <c r="H283" s="4"/>
      <c r="I283" s="4"/>
    </row>
    <row r="284">
      <c r="A284" s="4" t="str">
        <f>IFERROR(__xludf.DUMMYFUNCTION("""COMPUTED_VALUE"""),"cas_hmw")</f>
        <v>cas_hmw</v>
      </c>
      <c r="B284" s="5">
        <f>IFERROR(__xludf.DUMMYFUNCTION("""COMPUTED_VALUE"""),44721.0)</f>
        <v>44721</v>
      </c>
      <c r="C284" s="6">
        <f>IFERROR(__xludf.DUMMYFUNCTION("""COMPUTED_VALUE"""),0.31597222222262644)</f>
        <v>0.3159722222</v>
      </c>
      <c r="D284" s="4">
        <f>IFERROR(__xludf.DUMMYFUNCTION("""COMPUTED_VALUE"""),13.169839)</f>
        <v>13.169839</v>
      </c>
      <c r="E284" s="4">
        <f>IFERROR(__xludf.DUMMYFUNCTION("""COMPUTED_VALUE"""),80.239495)</f>
        <v>80.239495</v>
      </c>
      <c r="F284" s="4">
        <f>IFERROR(__xludf.DUMMYFUNCTION("""COMPUTED_VALUE"""),1995.0)</f>
        <v>1995</v>
      </c>
      <c r="G284" s="4">
        <f>IFERROR(__xludf.DUMMYFUNCTION("""COMPUTED_VALUE"""),0.0)</f>
        <v>0</v>
      </c>
      <c r="H284" s="4"/>
      <c r="I284" s="4"/>
    </row>
    <row r="285">
      <c r="A285" s="4" t="str">
        <f>IFERROR(__xludf.DUMMYFUNCTION("""COMPUTED_VALUE"""),"cas_hmw")</f>
        <v>cas_hmw</v>
      </c>
      <c r="B285" s="5">
        <f>IFERROR(__xludf.DUMMYFUNCTION("""COMPUTED_VALUE"""),44721.0)</f>
        <v>44721</v>
      </c>
      <c r="C285" s="6">
        <f>IFERROR(__xludf.DUMMYFUNCTION("""COMPUTED_VALUE"""),0.3160300925919728)</f>
        <v>0.3160300926</v>
      </c>
      <c r="D285" s="4">
        <f>IFERROR(__xludf.DUMMYFUNCTION("""COMPUTED_VALUE"""),13.169839)</f>
        <v>13.169839</v>
      </c>
      <c r="E285" s="4">
        <f>IFERROR(__xludf.DUMMYFUNCTION("""COMPUTED_VALUE"""),80.239495)</f>
        <v>80.239495</v>
      </c>
      <c r="F285" s="4">
        <f>IFERROR(__xludf.DUMMYFUNCTION("""COMPUTED_VALUE"""),1995.0)</f>
        <v>1995</v>
      </c>
      <c r="G285" s="4">
        <f>IFERROR(__xludf.DUMMYFUNCTION("""COMPUTED_VALUE"""),0.0)</f>
        <v>0</v>
      </c>
      <c r="H285" s="4"/>
      <c r="I285" s="4"/>
    </row>
    <row r="286">
      <c r="A286" s="4" t="str">
        <f>IFERROR(__xludf.DUMMYFUNCTION("""COMPUTED_VALUE"""),"cas_hmw")</f>
        <v>cas_hmw</v>
      </c>
      <c r="B286" s="5">
        <f>IFERROR(__xludf.DUMMYFUNCTION("""COMPUTED_VALUE"""),44721.0)</f>
        <v>44721</v>
      </c>
      <c r="C286" s="6">
        <f>IFERROR(__xludf.DUMMYFUNCTION("""COMPUTED_VALUE"""),0.31614583333430346)</f>
        <v>0.3161458333</v>
      </c>
      <c r="D286" s="4">
        <f>IFERROR(__xludf.DUMMYFUNCTION("""COMPUTED_VALUE"""),13.169839)</f>
        <v>13.169839</v>
      </c>
      <c r="E286" s="4">
        <f>IFERROR(__xludf.DUMMYFUNCTION("""COMPUTED_VALUE"""),80.239495)</f>
        <v>80.239495</v>
      </c>
      <c r="F286" s="4">
        <f>IFERROR(__xludf.DUMMYFUNCTION("""COMPUTED_VALUE"""),1995.0)</f>
        <v>1995</v>
      </c>
      <c r="G286" s="4">
        <f>IFERROR(__xludf.DUMMYFUNCTION("""COMPUTED_VALUE"""),0.0)</f>
        <v>0</v>
      </c>
      <c r="H286" s="4"/>
      <c r="I286" s="4"/>
    </row>
    <row r="287">
      <c r="A287" s="4" t="str">
        <f>IFERROR(__xludf.DUMMYFUNCTION("""COMPUTED_VALUE"""),"cas_hmw")</f>
        <v>cas_hmw</v>
      </c>
      <c r="B287" s="5">
        <f>IFERROR(__xludf.DUMMYFUNCTION("""COMPUTED_VALUE"""),44721.0)</f>
        <v>44721</v>
      </c>
      <c r="C287" s="6">
        <f>IFERROR(__xludf.DUMMYFUNCTION("""COMPUTED_VALUE"""),0.31685185185051523)</f>
        <v>0.3168518519</v>
      </c>
      <c r="D287" s="4">
        <f>IFERROR(__xludf.DUMMYFUNCTION("""COMPUTED_VALUE"""),13.063706)</f>
        <v>13.063706</v>
      </c>
      <c r="E287" s="4">
        <f>IFERROR(__xludf.DUMMYFUNCTION("""COMPUTED_VALUE"""),80.250788)</f>
        <v>80.250788</v>
      </c>
      <c r="F287" s="4">
        <f>IFERROR(__xludf.DUMMYFUNCTION("""COMPUTED_VALUE"""),805.0)</f>
        <v>805</v>
      </c>
      <c r="G287" s="4">
        <f>IFERROR(__xludf.DUMMYFUNCTION("""COMPUTED_VALUE"""),0.0)</f>
        <v>0</v>
      </c>
      <c r="H287" s="4"/>
      <c r="I287" s="4"/>
    </row>
    <row r="288">
      <c r="A288" s="4" t="str">
        <f>IFERROR(__xludf.DUMMYFUNCTION("""COMPUTED_VALUE"""),"cas_hmw")</f>
        <v>cas_hmw</v>
      </c>
      <c r="B288" s="5">
        <f>IFERROR(__xludf.DUMMYFUNCTION("""COMPUTED_VALUE"""),44721.0)</f>
        <v>44721</v>
      </c>
      <c r="C288" s="6">
        <f>IFERROR(__xludf.DUMMYFUNCTION("""COMPUTED_VALUE"""),0.31796296296306537)</f>
        <v>0.317962963</v>
      </c>
      <c r="D288" s="4">
        <f>IFERROR(__xludf.DUMMYFUNCTION("""COMPUTED_VALUE"""),13.169839)</f>
        <v>13.169839</v>
      </c>
      <c r="E288" s="4">
        <f>IFERROR(__xludf.DUMMYFUNCTION("""COMPUTED_VALUE"""),80.239495)</f>
        <v>80.239495</v>
      </c>
      <c r="F288" s="4">
        <f>IFERROR(__xludf.DUMMYFUNCTION("""COMPUTED_VALUE"""),1995.0)</f>
        <v>1995</v>
      </c>
      <c r="G288" s="4">
        <f>IFERROR(__xludf.DUMMYFUNCTION("""COMPUTED_VALUE"""),0.0)</f>
        <v>0</v>
      </c>
      <c r="H288" s="4"/>
      <c r="I288" s="4"/>
    </row>
    <row r="289">
      <c r="A289" s="4" t="str">
        <f>IFERROR(__xludf.DUMMYFUNCTION("""COMPUTED_VALUE"""),"cas_hmw")</f>
        <v>cas_hmw</v>
      </c>
      <c r="B289" s="5">
        <f>IFERROR(__xludf.DUMMYFUNCTION("""COMPUTED_VALUE"""),44721.0)</f>
        <v>44721</v>
      </c>
      <c r="C289" s="6">
        <f>IFERROR(__xludf.DUMMYFUNCTION("""COMPUTED_VALUE"""),0.3183564814826241)</f>
        <v>0.3183564815</v>
      </c>
      <c r="D289" s="4">
        <f>IFERROR(__xludf.DUMMYFUNCTION("""COMPUTED_VALUE"""),13.06373)</f>
        <v>13.06373</v>
      </c>
      <c r="E289" s="4">
        <f>IFERROR(__xludf.DUMMYFUNCTION("""COMPUTED_VALUE"""),80.250824)</f>
        <v>80.250824</v>
      </c>
      <c r="F289" s="4">
        <f>IFERROR(__xludf.DUMMYFUNCTION("""COMPUTED_VALUE"""),805.0)</f>
        <v>805</v>
      </c>
      <c r="G289" s="4">
        <f>IFERROR(__xludf.DUMMYFUNCTION("""COMPUTED_VALUE"""),0.0)</f>
        <v>0</v>
      </c>
      <c r="H289" s="4"/>
      <c r="I289" s="4"/>
    </row>
    <row r="290">
      <c r="A290" s="4" t="str">
        <f>IFERROR(__xludf.DUMMYFUNCTION("""COMPUTED_VALUE"""),"cas_hmw")</f>
        <v>cas_hmw</v>
      </c>
      <c r="B290" s="5">
        <f>IFERROR(__xludf.DUMMYFUNCTION("""COMPUTED_VALUE"""),44721.0)</f>
        <v>44721</v>
      </c>
      <c r="C290" s="6">
        <f>IFERROR(__xludf.DUMMYFUNCTION("""COMPUTED_VALUE"""),0.3191435185181035)</f>
        <v>0.3191435185</v>
      </c>
      <c r="D290" s="4">
        <f>IFERROR(__xludf.DUMMYFUNCTION("""COMPUTED_VALUE"""),13.169853)</f>
        <v>13.169853</v>
      </c>
      <c r="E290" s="4">
        <f>IFERROR(__xludf.DUMMYFUNCTION("""COMPUTED_VALUE"""),80.239518)</f>
        <v>80.239518</v>
      </c>
      <c r="F290" s="4">
        <f>IFERROR(__xludf.DUMMYFUNCTION("""COMPUTED_VALUE"""),1995.0)</f>
        <v>1995</v>
      </c>
      <c r="G290" s="4">
        <f>IFERROR(__xludf.DUMMYFUNCTION("""COMPUTED_VALUE"""),0.0)</f>
        <v>0</v>
      </c>
      <c r="H290" s="4"/>
      <c r="I290" s="4"/>
    </row>
    <row r="291">
      <c r="A291" s="4" t="str">
        <f>IFERROR(__xludf.DUMMYFUNCTION("""COMPUTED_VALUE"""),"cas_hmw")</f>
        <v>cas_hmw</v>
      </c>
      <c r="B291" s="5">
        <f>IFERROR(__xludf.DUMMYFUNCTION("""COMPUTED_VALUE"""),44721.0)</f>
        <v>44721</v>
      </c>
      <c r="C291" s="6">
        <f>IFERROR(__xludf.DUMMYFUNCTION("""COMPUTED_VALUE"""),0.3193634259259852)</f>
        <v>0.3193634259</v>
      </c>
      <c r="D291" s="4">
        <f>IFERROR(__xludf.DUMMYFUNCTION("""COMPUTED_VALUE"""),13.169853)</f>
        <v>13.169853</v>
      </c>
      <c r="E291" s="4">
        <f>IFERROR(__xludf.DUMMYFUNCTION("""COMPUTED_VALUE"""),80.239518)</f>
        <v>80.239518</v>
      </c>
      <c r="F291" s="4">
        <f>IFERROR(__xludf.DUMMYFUNCTION("""COMPUTED_VALUE"""),1995.0)</f>
        <v>1995</v>
      </c>
      <c r="G291" s="4">
        <f>IFERROR(__xludf.DUMMYFUNCTION("""COMPUTED_VALUE"""),0.0)</f>
        <v>0</v>
      </c>
      <c r="H291" s="4"/>
      <c r="I291" s="4"/>
    </row>
    <row r="292">
      <c r="A292" s="4" t="str">
        <f>IFERROR(__xludf.DUMMYFUNCTION("""COMPUTED_VALUE"""),"cas_hmw")</f>
        <v>cas_hmw</v>
      </c>
      <c r="B292" s="5">
        <f>IFERROR(__xludf.DUMMYFUNCTION("""COMPUTED_VALUE"""),44721.0)</f>
        <v>44721</v>
      </c>
      <c r="C292" s="6">
        <f>IFERROR(__xludf.DUMMYFUNCTION("""COMPUTED_VALUE"""),0.32001157407285064)</f>
        <v>0.3200115741</v>
      </c>
      <c r="D292" s="4">
        <f>IFERROR(__xludf.DUMMYFUNCTION("""COMPUTED_VALUE"""),12.875633)</f>
        <v>12.875633</v>
      </c>
      <c r="E292" s="4">
        <f>IFERROR(__xludf.DUMMYFUNCTION("""COMPUTED_VALUE"""),80.082884)</f>
        <v>80.082884</v>
      </c>
      <c r="F292" s="4">
        <f>IFERROR(__xludf.DUMMYFUNCTION("""COMPUTED_VALUE"""),2846.0)</f>
        <v>2846</v>
      </c>
      <c r="G292" s="4">
        <f>IFERROR(__xludf.DUMMYFUNCTION("""COMPUTED_VALUE"""),0.0)</f>
        <v>0</v>
      </c>
      <c r="H292" s="4"/>
      <c r="I292" s="4"/>
    </row>
    <row r="293">
      <c r="A293" s="4" t="str">
        <f>IFERROR(__xludf.DUMMYFUNCTION("""COMPUTED_VALUE"""),"cas_hmw")</f>
        <v>cas_hmw</v>
      </c>
      <c r="B293" s="5">
        <f>IFERROR(__xludf.DUMMYFUNCTION("""COMPUTED_VALUE"""),44721.0)</f>
        <v>44721</v>
      </c>
      <c r="C293" s="6">
        <f>IFERROR(__xludf.DUMMYFUNCTION("""COMPUTED_VALUE"""),0.3200231481496303)</f>
        <v>0.3200231481</v>
      </c>
      <c r="D293" s="4">
        <f>IFERROR(__xludf.DUMMYFUNCTION("""COMPUTED_VALUE"""),12.875633)</f>
        <v>12.875633</v>
      </c>
      <c r="E293" s="4">
        <f>IFERROR(__xludf.DUMMYFUNCTION("""COMPUTED_VALUE"""),80.082884)</f>
        <v>80.082884</v>
      </c>
      <c r="F293" s="4">
        <f>IFERROR(__xludf.DUMMYFUNCTION("""COMPUTED_VALUE"""),2846.0)</f>
        <v>2846</v>
      </c>
      <c r="G293" s="4">
        <f>IFERROR(__xludf.DUMMYFUNCTION("""COMPUTED_VALUE"""),0.0)</f>
        <v>0</v>
      </c>
      <c r="H293" s="4"/>
      <c r="I293" s="4"/>
    </row>
    <row r="294">
      <c r="A294" s="4" t="str">
        <f>IFERROR(__xludf.DUMMYFUNCTION("""COMPUTED_VALUE"""),"cas_hmw")</f>
        <v>cas_hmw</v>
      </c>
      <c r="B294" s="5">
        <f>IFERROR(__xludf.DUMMYFUNCTION("""COMPUTED_VALUE"""),44721.0)</f>
        <v>44721</v>
      </c>
      <c r="C294" s="6">
        <f>IFERROR(__xludf.DUMMYFUNCTION("""COMPUTED_VALUE"""),0.32003472222277196)</f>
        <v>0.3200347222</v>
      </c>
      <c r="D294" s="4">
        <f>IFERROR(__xludf.DUMMYFUNCTION("""COMPUTED_VALUE"""),12.875633)</f>
        <v>12.875633</v>
      </c>
      <c r="E294" s="4">
        <f>IFERROR(__xludf.DUMMYFUNCTION("""COMPUTED_VALUE"""),80.082884)</f>
        <v>80.082884</v>
      </c>
      <c r="F294" s="4">
        <f>IFERROR(__xludf.DUMMYFUNCTION("""COMPUTED_VALUE"""),2846.0)</f>
        <v>2846</v>
      </c>
      <c r="G294" s="4">
        <f>IFERROR(__xludf.DUMMYFUNCTION("""COMPUTED_VALUE"""),0.0)</f>
        <v>0</v>
      </c>
      <c r="H294" s="4"/>
      <c r="I294" s="4"/>
    </row>
    <row r="295">
      <c r="A295" s="4" t="str">
        <f>IFERROR(__xludf.DUMMYFUNCTION("""COMPUTED_VALUE"""),"cas_hmw")</f>
        <v>cas_hmw</v>
      </c>
      <c r="B295" s="5">
        <f>IFERROR(__xludf.DUMMYFUNCTION("""COMPUTED_VALUE"""),44721.0)</f>
        <v>44721</v>
      </c>
      <c r="C295" s="6">
        <f>IFERROR(__xludf.DUMMYFUNCTION("""COMPUTED_VALUE"""),0.32130787037021946)</f>
        <v>0.3213078704</v>
      </c>
      <c r="D295" s="4">
        <f>IFERROR(__xludf.DUMMYFUNCTION("""COMPUTED_VALUE"""),13.063776)</f>
        <v>13.063776</v>
      </c>
      <c r="E295" s="4">
        <f>IFERROR(__xludf.DUMMYFUNCTION("""COMPUTED_VALUE"""),80.250754)</f>
        <v>80.250754</v>
      </c>
      <c r="F295" s="4">
        <f>IFERROR(__xludf.DUMMYFUNCTION("""COMPUTED_VALUE"""),805.0)</f>
        <v>805</v>
      </c>
      <c r="G295" s="4">
        <f>IFERROR(__xludf.DUMMYFUNCTION("""COMPUTED_VALUE"""),0.0)</f>
        <v>0</v>
      </c>
      <c r="H295" s="4"/>
      <c r="I295" s="4"/>
    </row>
    <row r="296">
      <c r="A296" s="4" t="str">
        <f>IFERROR(__xludf.DUMMYFUNCTION("""COMPUTED_VALUE"""),"cas_hmw")</f>
        <v>cas_hmw</v>
      </c>
      <c r="B296" s="5">
        <f>IFERROR(__xludf.DUMMYFUNCTION("""COMPUTED_VALUE"""),44721.0)</f>
        <v>44721</v>
      </c>
      <c r="C296" s="6">
        <f>IFERROR(__xludf.DUMMYFUNCTION("""COMPUTED_VALUE"""),0.3214814814818965)</f>
        <v>0.3214814815</v>
      </c>
      <c r="D296" s="4">
        <f>IFERROR(__xludf.DUMMYFUNCTION("""COMPUTED_VALUE"""),13.063776)</f>
        <v>13.063776</v>
      </c>
      <c r="E296" s="4">
        <f>IFERROR(__xludf.DUMMYFUNCTION("""COMPUTED_VALUE"""),80.250754)</f>
        <v>80.250754</v>
      </c>
      <c r="F296" s="4">
        <f>IFERROR(__xludf.DUMMYFUNCTION("""COMPUTED_VALUE"""),805.0)</f>
        <v>805</v>
      </c>
      <c r="G296" s="4">
        <f>IFERROR(__xludf.DUMMYFUNCTION("""COMPUTED_VALUE"""),0.0)</f>
        <v>0</v>
      </c>
      <c r="H296" s="4"/>
      <c r="I296" s="4"/>
    </row>
    <row r="297">
      <c r="A297" s="4" t="str">
        <f>IFERROR(__xludf.DUMMYFUNCTION("""COMPUTED_VALUE"""),"cas_hmw")</f>
        <v>cas_hmw</v>
      </c>
      <c r="B297" s="5">
        <f>IFERROR(__xludf.DUMMYFUNCTION("""COMPUTED_VALUE"""),44721.0)</f>
        <v>44721</v>
      </c>
      <c r="C297" s="6">
        <f>IFERROR(__xludf.DUMMYFUNCTION("""COMPUTED_VALUE"""),0.3222337962979509)</f>
        <v>0.3222337963</v>
      </c>
      <c r="D297" s="4">
        <f>IFERROR(__xludf.DUMMYFUNCTION("""COMPUTED_VALUE"""),12.87562)</f>
        <v>12.87562</v>
      </c>
      <c r="E297" s="4">
        <f>IFERROR(__xludf.DUMMYFUNCTION("""COMPUTED_VALUE"""),80.082888)</f>
        <v>80.082888</v>
      </c>
      <c r="F297" s="4">
        <f>IFERROR(__xludf.DUMMYFUNCTION("""COMPUTED_VALUE"""),2846.0)</f>
        <v>2846</v>
      </c>
      <c r="G297" s="4">
        <f>IFERROR(__xludf.DUMMYFUNCTION("""COMPUTED_VALUE"""),0.0)</f>
        <v>0</v>
      </c>
      <c r="H297" s="4"/>
      <c r="I297" s="4"/>
    </row>
    <row r="298">
      <c r="A298" s="4" t="str">
        <f>IFERROR(__xludf.DUMMYFUNCTION("""COMPUTED_VALUE"""),"cas_hmw")</f>
        <v>cas_hmw</v>
      </c>
      <c r="B298" s="5">
        <f>IFERROR(__xludf.DUMMYFUNCTION("""COMPUTED_VALUE"""),44721.0)</f>
        <v>44721</v>
      </c>
      <c r="C298" s="6">
        <f>IFERROR(__xludf.DUMMYFUNCTION("""COMPUTED_VALUE"""),0.3223726851865649)</f>
        <v>0.3223726852</v>
      </c>
      <c r="D298" s="4">
        <f>IFERROR(__xludf.DUMMYFUNCTION("""COMPUTED_VALUE"""),12.87562)</f>
        <v>12.87562</v>
      </c>
      <c r="E298" s="4">
        <f>IFERROR(__xludf.DUMMYFUNCTION("""COMPUTED_VALUE"""),80.082888)</f>
        <v>80.082888</v>
      </c>
      <c r="F298" s="4">
        <f>IFERROR(__xludf.DUMMYFUNCTION("""COMPUTED_VALUE"""),2846.0)</f>
        <v>2846</v>
      </c>
      <c r="G298" s="4">
        <f>IFERROR(__xludf.DUMMYFUNCTION("""COMPUTED_VALUE"""),0.0)</f>
        <v>0</v>
      </c>
      <c r="H298" s="4"/>
      <c r="I298" s="4"/>
    </row>
    <row r="299">
      <c r="A299" s="4" t="str">
        <f>IFERROR(__xludf.DUMMYFUNCTION("""COMPUTED_VALUE"""),"cas_hmw")</f>
        <v>cas_hmw</v>
      </c>
      <c r="B299" s="5">
        <f>IFERROR(__xludf.DUMMYFUNCTION("""COMPUTED_VALUE"""),44721.0)</f>
        <v>44721</v>
      </c>
      <c r="C299" s="6">
        <f>IFERROR(__xludf.DUMMYFUNCTION("""COMPUTED_VALUE"""),0.32239583333284827)</f>
        <v>0.3223958333</v>
      </c>
      <c r="D299" s="4">
        <f>IFERROR(__xludf.DUMMYFUNCTION("""COMPUTED_VALUE"""),12.87562)</f>
        <v>12.87562</v>
      </c>
      <c r="E299" s="4">
        <f>IFERROR(__xludf.DUMMYFUNCTION("""COMPUTED_VALUE"""),80.082888)</f>
        <v>80.082888</v>
      </c>
      <c r="F299" s="4">
        <f>IFERROR(__xludf.DUMMYFUNCTION("""COMPUTED_VALUE"""),2846.0)</f>
        <v>2846</v>
      </c>
      <c r="G299" s="4">
        <f>IFERROR(__xludf.DUMMYFUNCTION("""COMPUTED_VALUE"""),0.0)</f>
        <v>0</v>
      </c>
      <c r="H299" s="4"/>
      <c r="I299" s="4"/>
    </row>
    <row r="300">
      <c r="A300" s="4" t="str">
        <f>IFERROR(__xludf.DUMMYFUNCTION("""COMPUTED_VALUE"""),"cas_hmw")</f>
        <v>cas_hmw</v>
      </c>
      <c r="B300" s="5">
        <f>IFERROR(__xludf.DUMMYFUNCTION("""COMPUTED_VALUE"""),44721.0)</f>
        <v>44721</v>
      </c>
      <c r="C300" s="6">
        <f>IFERROR(__xludf.DUMMYFUNCTION("""COMPUTED_VALUE"""),0.322858796294895)</f>
        <v>0.3228587963</v>
      </c>
      <c r="D300" s="4">
        <f>IFERROR(__xludf.DUMMYFUNCTION("""COMPUTED_VALUE"""),13.063776)</f>
        <v>13.063776</v>
      </c>
      <c r="E300" s="4">
        <f>IFERROR(__xludf.DUMMYFUNCTION("""COMPUTED_VALUE"""),80.250729)</f>
        <v>80.250729</v>
      </c>
      <c r="F300" s="4">
        <f>IFERROR(__xludf.DUMMYFUNCTION("""COMPUTED_VALUE"""),805.0)</f>
        <v>805</v>
      </c>
      <c r="G300" s="4">
        <f>IFERROR(__xludf.DUMMYFUNCTION("""COMPUTED_VALUE"""),0.0)</f>
        <v>0</v>
      </c>
      <c r="H300" s="4"/>
      <c r="I300" s="4"/>
    </row>
    <row r="301">
      <c r="A301" s="4" t="str">
        <f>IFERROR(__xludf.DUMMYFUNCTION("""COMPUTED_VALUE"""),"cas_hmw")</f>
        <v>cas_hmw</v>
      </c>
      <c r="B301" s="5">
        <f>IFERROR(__xludf.DUMMYFUNCTION("""COMPUTED_VALUE"""),44721.0)</f>
        <v>44721</v>
      </c>
      <c r="C301" s="6">
        <f>IFERROR(__xludf.DUMMYFUNCTION("""COMPUTED_VALUE"""),0.3232986111106584)</f>
        <v>0.3232986111</v>
      </c>
      <c r="D301" s="4">
        <f>IFERROR(__xludf.DUMMYFUNCTION("""COMPUTED_VALUE"""),13.063796)</f>
        <v>13.063796</v>
      </c>
      <c r="E301" s="4">
        <f>IFERROR(__xludf.DUMMYFUNCTION("""COMPUTED_VALUE"""),80.250747)</f>
        <v>80.250747</v>
      </c>
      <c r="F301" s="4">
        <f>IFERROR(__xludf.DUMMYFUNCTION("""COMPUTED_VALUE"""),805.0)</f>
        <v>805</v>
      </c>
      <c r="G301" s="4">
        <f>IFERROR(__xludf.DUMMYFUNCTION("""COMPUTED_VALUE"""),0.0)</f>
        <v>0</v>
      </c>
      <c r="H301" s="4"/>
      <c r="I301" s="4"/>
    </row>
    <row r="302">
      <c r="A302" s="4" t="str">
        <f>IFERROR(__xludf.DUMMYFUNCTION("""COMPUTED_VALUE"""),"cas_hmw")</f>
        <v>cas_hmw</v>
      </c>
      <c r="B302" s="5">
        <f>IFERROR(__xludf.DUMMYFUNCTION("""COMPUTED_VALUE"""),44721.0)</f>
        <v>44721</v>
      </c>
      <c r="C302" s="6">
        <f>IFERROR(__xludf.DUMMYFUNCTION("""COMPUTED_VALUE"""),0.3236226851840911)</f>
        <v>0.3236226852</v>
      </c>
      <c r="D302" s="4">
        <f>IFERROR(__xludf.DUMMYFUNCTION("""COMPUTED_VALUE"""),13.063796)</f>
        <v>13.063796</v>
      </c>
      <c r="E302" s="4">
        <f>IFERROR(__xludf.DUMMYFUNCTION("""COMPUTED_VALUE"""),80.250747)</f>
        <v>80.250747</v>
      </c>
      <c r="F302" s="4">
        <f>IFERROR(__xludf.DUMMYFUNCTION("""COMPUTED_VALUE"""),805.0)</f>
        <v>805</v>
      </c>
      <c r="G302" s="4">
        <f>IFERROR(__xludf.DUMMYFUNCTION("""COMPUTED_VALUE"""),0.0)</f>
        <v>0</v>
      </c>
      <c r="H302" s="4"/>
      <c r="I302" s="4"/>
    </row>
    <row r="303">
      <c r="A303" s="4" t="str">
        <f>IFERROR(__xludf.DUMMYFUNCTION("""COMPUTED_VALUE"""),"cas_hmw")</f>
        <v>cas_hmw</v>
      </c>
      <c r="B303" s="5">
        <f>IFERROR(__xludf.DUMMYFUNCTION("""COMPUTED_VALUE"""),44721.0)</f>
        <v>44721</v>
      </c>
      <c r="C303" s="6">
        <f>IFERROR(__xludf.DUMMYFUNCTION("""COMPUTED_VALUE"""),0.3236574074071541)</f>
        <v>0.3236574074</v>
      </c>
      <c r="D303" s="4">
        <f>IFERROR(__xludf.DUMMYFUNCTION("""COMPUTED_VALUE"""),13.063796)</f>
        <v>13.063796</v>
      </c>
      <c r="E303" s="4">
        <f>IFERROR(__xludf.DUMMYFUNCTION("""COMPUTED_VALUE"""),80.250747)</f>
        <v>80.250747</v>
      </c>
      <c r="F303" s="4">
        <f>IFERROR(__xludf.DUMMYFUNCTION("""COMPUTED_VALUE"""),805.0)</f>
        <v>805</v>
      </c>
      <c r="G303" s="4">
        <f>IFERROR(__xludf.DUMMYFUNCTION("""COMPUTED_VALUE"""),0.0)</f>
        <v>0</v>
      </c>
      <c r="H303" s="4"/>
      <c r="I303" s="4"/>
    </row>
    <row r="304">
      <c r="A304" s="4" t="str">
        <f>IFERROR(__xludf.DUMMYFUNCTION("""COMPUTED_VALUE"""),"cas_hmw")</f>
        <v>cas_hmw</v>
      </c>
      <c r="B304" s="5">
        <f>IFERROR(__xludf.DUMMYFUNCTION("""COMPUTED_VALUE"""),44721.0)</f>
        <v>44721</v>
      </c>
      <c r="C304" s="6">
        <f>IFERROR(__xludf.DUMMYFUNCTION("""COMPUTED_VALUE"""),0.3236921296302171)</f>
        <v>0.3236921296</v>
      </c>
      <c r="D304" s="4">
        <f>IFERROR(__xludf.DUMMYFUNCTION("""COMPUTED_VALUE"""),13.063796)</f>
        <v>13.063796</v>
      </c>
      <c r="E304" s="4">
        <f>IFERROR(__xludf.DUMMYFUNCTION("""COMPUTED_VALUE"""),80.250747)</f>
        <v>80.250747</v>
      </c>
      <c r="F304" s="4">
        <f>IFERROR(__xludf.DUMMYFUNCTION("""COMPUTED_VALUE"""),805.0)</f>
        <v>805</v>
      </c>
      <c r="G304" s="4">
        <f>IFERROR(__xludf.DUMMYFUNCTION("""COMPUTED_VALUE"""),0.0)</f>
        <v>0</v>
      </c>
      <c r="H304" s="4"/>
      <c r="I304" s="4"/>
    </row>
    <row r="305">
      <c r="A305" s="4" t="str">
        <f>IFERROR(__xludf.DUMMYFUNCTION("""COMPUTED_VALUE"""),"cas_hmw")</f>
        <v>cas_hmw</v>
      </c>
      <c r="B305" s="5">
        <f>IFERROR(__xludf.DUMMYFUNCTION("""COMPUTED_VALUE"""),44721.0)</f>
        <v>44721</v>
      </c>
      <c r="C305" s="6">
        <f>IFERROR(__xludf.DUMMYFUNCTION("""COMPUTED_VALUE"""),0.32439814814642887)</f>
        <v>0.3243981481</v>
      </c>
      <c r="D305" s="4">
        <f>IFERROR(__xludf.DUMMYFUNCTION("""COMPUTED_VALUE"""),13.063796)</f>
        <v>13.063796</v>
      </c>
      <c r="E305" s="4">
        <f>IFERROR(__xludf.DUMMYFUNCTION("""COMPUTED_VALUE"""),80.250747)</f>
        <v>80.250747</v>
      </c>
      <c r="F305" s="4">
        <f>IFERROR(__xludf.DUMMYFUNCTION("""COMPUTED_VALUE"""),805.0)</f>
        <v>805</v>
      </c>
      <c r="G305" s="4">
        <f>IFERROR(__xludf.DUMMYFUNCTION("""COMPUTED_VALUE"""),0.0)</f>
        <v>0</v>
      </c>
      <c r="H305" s="4"/>
      <c r="I305" s="4"/>
    </row>
    <row r="306">
      <c r="A306" s="4" t="str">
        <f>IFERROR(__xludf.DUMMYFUNCTION("""COMPUTED_VALUE"""),"cas_hmw")</f>
        <v>cas_hmw</v>
      </c>
      <c r="B306" s="5">
        <f>IFERROR(__xludf.DUMMYFUNCTION("""COMPUTED_VALUE"""),44721.0)</f>
        <v>44721</v>
      </c>
      <c r="C306" s="6">
        <f>IFERROR(__xludf.DUMMYFUNCTION("""COMPUTED_VALUE"""),0.3273726851839456)</f>
        <v>0.3273726852</v>
      </c>
      <c r="D306" s="4">
        <f>IFERROR(__xludf.DUMMYFUNCTION("""COMPUTED_VALUE"""),13.063785)</f>
        <v>13.063785</v>
      </c>
      <c r="E306" s="4">
        <f>IFERROR(__xludf.DUMMYFUNCTION("""COMPUTED_VALUE"""),80.250798)</f>
        <v>80.250798</v>
      </c>
      <c r="F306" s="4">
        <f>IFERROR(__xludf.DUMMYFUNCTION("""COMPUTED_VALUE"""),805.0)</f>
        <v>805</v>
      </c>
      <c r="G306" s="4">
        <f>IFERROR(__xludf.DUMMYFUNCTION("""COMPUTED_VALUE"""),0.0)</f>
        <v>0</v>
      </c>
      <c r="H306" s="4"/>
      <c r="I306" s="4"/>
    </row>
    <row r="307">
      <c r="A307" s="4" t="str">
        <f>IFERROR(__xludf.DUMMYFUNCTION("""COMPUTED_VALUE"""),"cas_hmw")</f>
        <v>cas_hmw</v>
      </c>
      <c r="B307" s="5">
        <f>IFERROR(__xludf.DUMMYFUNCTION("""COMPUTED_VALUE"""),44721.0)</f>
        <v>44721</v>
      </c>
      <c r="C307" s="6">
        <f>IFERROR(__xludf.DUMMYFUNCTION("""COMPUTED_VALUE"""),0.32788194444583496)</f>
        <v>0.3278819444</v>
      </c>
      <c r="D307" s="4">
        <f>IFERROR(__xludf.DUMMYFUNCTION("""COMPUTED_VALUE"""),13.063749)</f>
        <v>13.063749</v>
      </c>
      <c r="E307" s="4">
        <f>IFERROR(__xludf.DUMMYFUNCTION("""COMPUTED_VALUE"""),80.250823)</f>
        <v>80.250823</v>
      </c>
      <c r="F307" s="4">
        <f>IFERROR(__xludf.DUMMYFUNCTION("""COMPUTED_VALUE"""),805.0)</f>
        <v>805</v>
      </c>
      <c r="G307" s="4">
        <f>IFERROR(__xludf.DUMMYFUNCTION("""COMPUTED_VALUE"""),0.0)</f>
        <v>0</v>
      </c>
      <c r="H307" s="4"/>
      <c r="I307" s="4"/>
    </row>
    <row r="308">
      <c r="A308" s="4" t="str">
        <f>IFERROR(__xludf.DUMMYFUNCTION("""COMPUTED_VALUE"""),"cas_hmw")</f>
        <v>cas_hmw</v>
      </c>
      <c r="B308" s="5">
        <f>IFERROR(__xludf.DUMMYFUNCTION("""COMPUTED_VALUE"""),44721.0)</f>
        <v>44721</v>
      </c>
      <c r="C308" s="6">
        <f>IFERROR(__xludf.DUMMYFUNCTION("""COMPUTED_VALUE"""),0.328125)</f>
        <v>0.328125</v>
      </c>
      <c r="D308" s="4">
        <f>IFERROR(__xludf.DUMMYFUNCTION("""COMPUTED_VALUE"""),13.063749)</f>
        <v>13.063749</v>
      </c>
      <c r="E308" s="4">
        <f>IFERROR(__xludf.DUMMYFUNCTION("""COMPUTED_VALUE"""),80.250823)</f>
        <v>80.250823</v>
      </c>
      <c r="F308" s="4">
        <f>IFERROR(__xludf.DUMMYFUNCTION("""COMPUTED_VALUE"""),805.0)</f>
        <v>805</v>
      </c>
      <c r="G308" s="4">
        <f>IFERROR(__xludf.DUMMYFUNCTION("""COMPUTED_VALUE"""),0.0)</f>
        <v>0</v>
      </c>
      <c r="H308" s="4"/>
      <c r="I308" s="4"/>
    </row>
    <row r="309">
      <c r="A309" s="4" t="str">
        <f>IFERROR(__xludf.DUMMYFUNCTION("""COMPUTED_VALUE"""),"cas_hmw")</f>
        <v>cas_hmw</v>
      </c>
      <c r="B309" s="5">
        <f>IFERROR(__xludf.DUMMYFUNCTION("""COMPUTED_VALUE"""),44721.0)</f>
        <v>44721</v>
      </c>
      <c r="C309" s="6">
        <f>IFERROR(__xludf.DUMMYFUNCTION("""COMPUTED_VALUE"""),0.32879629629678675)</f>
        <v>0.3287962963</v>
      </c>
      <c r="D309" s="4">
        <f>IFERROR(__xludf.DUMMYFUNCTION("""COMPUTED_VALUE"""),13.063749)</f>
        <v>13.063749</v>
      </c>
      <c r="E309" s="4">
        <f>IFERROR(__xludf.DUMMYFUNCTION("""COMPUTED_VALUE"""),80.250823)</f>
        <v>80.250823</v>
      </c>
      <c r="F309" s="4">
        <f>IFERROR(__xludf.DUMMYFUNCTION("""COMPUTED_VALUE"""),805.0)</f>
        <v>805</v>
      </c>
      <c r="G309" s="4">
        <f>IFERROR(__xludf.DUMMYFUNCTION("""COMPUTED_VALUE"""),0.0)</f>
        <v>0</v>
      </c>
      <c r="H309" s="4"/>
      <c r="I309" s="4"/>
    </row>
    <row r="310">
      <c r="A310" s="4" t="str">
        <f>IFERROR(__xludf.DUMMYFUNCTION("""COMPUTED_VALUE"""),"cas_hmw")</f>
        <v>cas_hmw</v>
      </c>
      <c r="B310" s="5">
        <f>IFERROR(__xludf.DUMMYFUNCTION("""COMPUTED_VALUE"""),44721.0)</f>
        <v>44721</v>
      </c>
      <c r="C310" s="6">
        <f>IFERROR(__xludf.DUMMYFUNCTION("""COMPUTED_VALUE"""),0.3295370370360615)</f>
        <v>0.329537037</v>
      </c>
      <c r="D310" s="4">
        <f>IFERROR(__xludf.DUMMYFUNCTION("""COMPUTED_VALUE"""),13.063779)</f>
        <v>13.063779</v>
      </c>
      <c r="E310" s="4">
        <f>IFERROR(__xludf.DUMMYFUNCTION("""COMPUTED_VALUE"""),80.250857)</f>
        <v>80.250857</v>
      </c>
      <c r="F310" s="4">
        <f>IFERROR(__xludf.DUMMYFUNCTION("""COMPUTED_VALUE"""),805.0)</f>
        <v>805</v>
      </c>
      <c r="G310" s="4">
        <f>IFERROR(__xludf.DUMMYFUNCTION("""COMPUTED_VALUE"""),0.0)</f>
        <v>0</v>
      </c>
      <c r="H310" s="4"/>
      <c r="I310" s="4"/>
    </row>
    <row r="311">
      <c r="A311" s="4" t="str">
        <f>IFERROR(__xludf.DUMMYFUNCTION("""COMPUTED_VALUE"""),"cas_hmw")</f>
        <v>cas_hmw</v>
      </c>
      <c r="B311" s="5">
        <f>IFERROR(__xludf.DUMMYFUNCTION("""COMPUTED_VALUE"""),44721.0)</f>
        <v>44721</v>
      </c>
      <c r="C311" s="6">
        <f>IFERROR(__xludf.DUMMYFUNCTION("""COMPUTED_VALUE"""),0.32954861111284117)</f>
        <v>0.3295486111</v>
      </c>
      <c r="D311" s="4">
        <f>IFERROR(__xludf.DUMMYFUNCTION("""COMPUTED_VALUE"""),13.063779)</f>
        <v>13.063779</v>
      </c>
      <c r="E311" s="4">
        <f>IFERROR(__xludf.DUMMYFUNCTION("""COMPUTED_VALUE"""),80.250857)</f>
        <v>80.250857</v>
      </c>
      <c r="F311" s="4">
        <f>IFERROR(__xludf.DUMMYFUNCTION("""COMPUTED_VALUE"""),805.0)</f>
        <v>805</v>
      </c>
      <c r="G311" s="4">
        <f>IFERROR(__xludf.DUMMYFUNCTION("""COMPUTED_VALUE"""),0.0)</f>
        <v>0</v>
      </c>
      <c r="H311" s="4"/>
      <c r="I311" s="4"/>
    </row>
    <row r="312">
      <c r="A312" s="4" t="str">
        <f>IFERROR(__xludf.DUMMYFUNCTION("""COMPUTED_VALUE"""),"cas_hmw")</f>
        <v>cas_hmw</v>
      </c>
      <c r="B312" s="5">
        <f>IFERROR(__xludf.DUMMYFUNCTION("""COMPUTED_VALUE"""),44721.0)</f>
        <v>44721</v>
      </c>
      <c r="C312" s="6">
        <f>IFERROR(__xludf.DUMMYFUNCTION("""COMPUTED_VALUE"""),0.32954861111284117)</f>
        <v>0.3295486111</v>
      </c>
      <c r="D312" s="4">
        <f>IFERROR(__xludf.DUMMYFUNCTION("""COMPUTED_VALUE"""),13.063779)</f>
        <v>13.063779</v>
      </c>
      <c r="E312" s="4">
        <f>IFERROR(__xludf.DUMMYFUNCTION("""COMPUTED_VALUE"""),80.250857)</f>
        <v>80.250857</v>
      </c>
      <c r="F312" s="4">
        <f>IFERROR(__xludf.DUMMYFUNCTION("""COMPUTED_VALUE"""),805.0)</f>
        <v>805</v>
      </c>
      <c r="G312" s="4">
        <f>IFERROR(__xludf.DUMMYFUNCTION("""COMPUTED_VALUE"""),0.0)</f>
        <v>0</v>
      </c>
      <c r="H312" s="4"/>
      <c r="I312" s="4"/>
    </row>
    <row r="313">
      <c r="A313" s="4" t="str">
        <f>IFERROR(__xludf.DUMMYFUNCTION("""COMPUTED_VALUE"""),"cas_hmw")</f>
        <v>cas_hmw</v>
      </c>
      <c r="B313" s="5">
        <f>IFERROR(__xludf.DUMMYFUNCTION("""COMPUTED_VALUE"""),44721.0)</f>
        <v>44721</v>
      </c>
      <c r="C313" s="6">
        <f>IFERROR(__xludf.DUMMYFUNCTION("""COMPUTED_VALUE"""),0.3297222222208802)</f>
        <v>0.3297222222</v>
      </c>
      <c r="D313" s="4">
        <f>IFERROR(__xludf.DUMMYFUNCTION("""COMPUTED_VALUE"""),13.063779)</f>
        <v>13.063779</v>
      </c>
      <c r="E313" s="4">
        <f>IFERROR(__xludf.DUMMYFUNCTION("""COMPUTED_VALUE"""),80.250857)</f>
        <v>80.250857</v>
      </c>
      <c r="F313" s="4">
        <f>IFERROR(__xludf.DUMMYFUNCTION("""COMPUTED_VALUE"""),805.0)</f>
        <v>805</v>
      </c>
      <c r="G313" s="4">
        <f>IFERROR(__xludf.DUMMYFUNCTION("""COMPUTED_VALUE"""),0.0)</f>
        <v>0</v>
      </c>
      <c r="H313" s="4"/>
      <c r="I313" s="4"/>
    </row>
    <row r="314">
      <c r="A314" s="4" t="str">
        <f>IFERROR(__xludf.DUMMYFUNCTION("""COMPUTED_VALUE"""),"cas_hmw")</f>
        <v>cas_hmw</v>
      </c>
      <c r="B314" s="5">
        <f>IFERROR(__xludf.DUMMYFUNCTION("""COMPUTED_VALUE"""),44721.0)</f>
        <v>44721</v>
      </c>
      <c r="C314" s="6">
        <f>IFERROR(__xludf.DUMMYFUNCTION("""COMPUTED_VALUE"""),0.3305902777792653)</f>
        <v>0.3305902778</v>
      </c>
      <c r="D314" s="4">
        <f>IFERROR(__xludf.DUMMYFUNCTION("""COMPUTED_VALUE"""),13.063779)</f>
        <v>13.063779</v>
      </c>
      <c r="E314" s="4">
        <f>IFERROR(__xludf.DUMMYFUNCTION("""COMPUTED_VALUE"""),80.250857)</f>
        <v>80.250857</v>
      </c>
      <c r="F314" s="4">
        <f>IFERROR(__xludf.DUMMYFUNCTION("""COMPUTED_VALUE"""),805.0)</f>
        <v>805</v>
      </c>
      <c r="G314" s="4">
        <f>IFERROR(__xludf.DUMMYFUNCTION("""COMPUTED_VALUE"""),0.0)</f>
        <v>0</v>
      </c>
      <c r="H314" s="4"/>
      <c r="I314" s="4"/>
    </row>
    <row r="315">
      <c r="A315" s="4" t="str">
        <f>IFERROR(__xludf.DUMMYFUNCTION("""COMPUTED_VALUE"""),"cas_hmw")</f>
        <v>cas_hmw</v>
      </c>
      <c r="B315" s="5">
        <f>IFERROR(__xludf.DUMMYFUNCTION("""COMPUTED_VALUE"""),44721.0)</f>
        <v>44721</v>
      </c>
      <c r="C315" s="6">
        <f>IFERROR(__xludf.DUMMYFUNCTION("""COMPUTED_VALUE"""),0.33155092592642177)</f>
        <v>0.3315509259</v>
      </c>
      <c r="D315" s="4">
        <f>IFERROR(__xludf.DUMMYFUNCTION("""COMPUTED_VALUE"""),13.063771)</f>
        <v>13.063771</v>
      </c>
      <c r="E315" s="4">
        <f>IFERROR(__xludf.DUMMYFUNCTION("""COMPUTED_VALUE"""),80.250819)</f>
        <v>80.250819</v>
      </c>
      <c r="F315" s="4">
        <f>IFERROR(__xludf.DUMMYFUNCTION("""COMPUTED_VALUE"""),805.0)</f>
        <v>805</v>
      </c>
      <c r="G315" s="4">
        <f>IFERROR(__xludf.DUMMYFUNCTION("""COMPUTED_VALUE"""),0.0)</f>
        <v>0</v>
      </c>
      <c r="H315" s="4"/>
      <c r="I315" s="4"/>
    </row>
    <row r="316">
      <c r="A316" s="4" t="str">
        <f>IFERROR(__xludf.DUMMYFUNCTION("""COMPUTED_VALUE"""),"cas_hmw")</f>
        <v>cas_hmw</v>
      </c>
      <c r="B316" s="5">
        <f>IFERROR(__xludf.DUMMYFUNCTION("""COMPUTED_VALUE"""),44721.0)</f>
        <v>44721</v>
      </c>
      <c r="C316" s="6">
        <f>IFERROR(__xludf.DUMMYFUNCTION("""COMPUTED_VALUE"""),0.33177083333430346)</f>
        <v>0.3317708333</v>
      </c>
      <c r="D316" s="4">
        <f>IFERROR(__xludf.DUMMYFUNCTION("""COMPUTED_VALUE"""),13.063771)</f>
        <v>13.063771</v>
      </c>
      <c r="E316" s="4">
        <f>IFERROR(__xludf.DUMMYFUNCTION("""COMPUTED_VALUE"""),80.250819)</f>
        <v>80.250819</v>
      </c>
      <c r="F316" s="4">
        <f>IFERROR(__xludf.DUMMYFUNCTION("""COMPUTED_VALUE"""),805.0)</f>
        <v>805</v>
      </c>
      <c r="G316" s="4">
        <f>IFERROR(__xludf.DUMMYFUNCTION("""COMPUTED_VALUE"""),0.0)</f>
        <v>0</v>
      </c>
      <c r="H316" s="4"/>
      <c r="I316" s="4"/>
    </row>
    <row r="317">
      <c r="A317" s="4" t="str">
        <f>IFERROR(__xludf.DUMMYFUNCTION("""COMPUTED_VALUE"""),"cas_hmw")</f>
        <v>cas_hmw</v>
      </c>
      <c r="B317" s="5">
        <f>IFERROR(__xludf.DUMMYFUNCTION("""COMPUTED_VALUE"""),44721.0)</f>
        <v>44721</v>
      </c>
      <c r="C317" s="6">
        <f>IFERROR(__xludf.DUMMYFUNCTION("""COMPUTED_VALUE"""),0.33181712963050813)</f>
        <v>0.3318171296</v>
      </c>
      <c r="D317" s="4">
        <f>IFERROR(__xludf.DUMMYFUNCTION("""COMPUTED_VALUE"""),13.063771)</f>
        <v>13.063771</v>
      </c>
      <c r="E317" s="4">
        <f>IFERROR(__xludf.DUMMYFUNCTION("""COMPUTED_VALUE"""),80.250819)</f>
        <v>80.250819</v>
      </c>
      <c r="F317" s="4">
        <f>IFERROR(__xludf.DUMMYFUNCTION("""COMPUTED_VALUE"""),805.0)</f>
        <v>805</v>
      </c>
      <c r="G317" s="4">
        <f>IFERROR(__xludf.DUMMYFUNCTION("""COMPUTED_VALUE"""),0.0)</f>
        <v>0</v>
      </c>
      <c r="H317" s="4"/>
      <c r="I317" s="4"/>
    </row>
    <row r="318">
      <c r="A318" s="4" t="str">
        <f>IFERROR(__xludf.DUMMYFUNCTION("""COMPUTED_VALUE"""),"cas_hmw")</f>
        <v>cas_hmw</v>
      </c>
      <c r="B318" s="5">
        <f>IFERROR(__xludf.DUMMYFUNCTION("""COMPUTED_VALUE"""),44721.0)</f>
        <v>44721</v>
      </c>
      <c r="C318" s="6">
        <f>IFERROR(__xludf.DUMMYFUNCTION("""COMPUTED_VALUE"""),0.3352199074070086)</f>
        <v>0.3352199074</v>
      </c>
      <c r="D318" s="4">
        <f>IFERROR(__xludf.DUMMYFUNCTION("""COMPUTED_VALUE"""),12.875591)</f>
        <v>12.875591</v>
      </c>
      <c r="E318" s="4">
        <f>IFERROR(__xludf.DUMMYFUNCTION("""COMPUTED_VALUE"""),80.082913)</f>
        <v>80.082913</v>
      </c>
      <c r="F318" s="4">
        <f>IFERROR(__xludf.DUMMYFUNCTION("""COMPUTED_VALUE"""),2846.0)</f>
        <v>2846</v>
      </c>
      <c r="G318" s="4">
        <f>IFERROR(__xludf.DUMMYFUNCTION("""COMPUTED_VALUE"""),0.0)</f>
        <v>0</v>
      </c>
      <c r="H318" s="4"/>
      <c r="I318" s="4"/>
    </row>
    <row r="319">
      <c r="A319" s="4" t="str">
        <f>IFERROR(__xludf.DUMMYFUNCTION("""COMPUTED_VALUE"""),"cas_hmw")</f>
        <v>cas_hmw</v>
      </c>
      <c r="B319" s="5">
        <f>IFERROR(__xludf.DUMMYFUNCTION("""COMPUTED_VALUE"""),44721.0)</f>
        <v>44721</v>
      </c>
      <c r="C319" s="6">
        <f>IFERROR(__xludf.DUMMYFUNCTION("""COMPUTED_VALUE"""),0.33693287037021946)</f>
        <v>0.3369328704</v>
      </c>
      <c r="D319" s="4">
        <f>IFERROR(__xludf.DUMMYFUNCTION("""COMPUTED_VALUE"""),13.063778)</f>
        <v>13.063778</v>
      </c>
      <c r="E319" s="4">
        <f>IFERROR(__xludf.DUMMYFUNCTION("""COMPUTED_VALUE"""),80.250737)</f>
        <v>80.250737</v>
      </c>
      <c r="F319" s="4">
        <f>IFERROR(__xludf.DUMMYFUNCTION("""COMPUTED_VALUE"""),805.0)</f>
        <v>805</v>
      </c>
      <c r="G319" s="4">
        <f>IFERROR(__xludf.DUMMYFUNCTION("""COMPUTED_VALUE"""),0.0)</f>
        <v>0</v>
      </c>
      <c r="H319" s="4"/>
      <c r="I319" s="4"/>
    </row>
    <row r="320">
      <c r="A320" s="4" t="str">
        <f>IFERROR(__xludf.DUMMYFUNCTION("""COMPUTED_VALUE"""),"cas_hmw")</f>
        <v>cas_hmw</v>
      </c>
      <c r="B320" s="5">
        <f>IFERROR(__xludf.DUMMYFUNCTION("""COMPUTED_VALUE"""),44721.0)</f>
        <v>44721</v>
      </c>
      <c r="C320" s="6">
        <f>IFERROR(__xludf.DUMMYFUNCTION("""COMPUTED_VALUE"""),0.33805555555591127)</f>
        <v>0.3380555556</v>
      </c>
      <c r="D320" s="4">
        <f>IFERROR(__xludf.DUMMYFUNCTION("""COMPUTED_VALUE"""),13.06373)</f>
        <v>13.06373</v>
      </c>
      <c r="E320" s="4">
        <f>IFERROR(__xludf.DUMMYFUNCTION("""COMPUTED_VALUE"""),80.250828)</f>
        <v>80.250828</v>
      </c>
      <c r="F320" s="4">
        <f>IFERROR(__xludf.DUMMYFUNCTION("""COMPUTED_VALUE"""),805.0)</f>
        <v>805</v>
      </c>
      <c r="G320" s="4">
        <f>IFERROR(__xludf.DUMMYFUNCTION("""COMPUTED_VALUE"""),0.0)</f>
        <v>0</v>
      </c>
      <c r="H320" s="4"/>
      <c r="I320" s="4"/>
    </row>
    <row r="321">
      <c r="A321" s="4" t="str">
        <f>IFERROR(__xludf.DUMMYFUNCTION("""COMPUTED_VALUE"""),"cas_hmw")</f>
        <v>cas_hmw</v>
      </c>
      <c r="B321" s="5">
        <f>IFERROR(__xludf.DUMMYFUNCTION("""COMPUTED_VALUE"""),44721.0)</f>
        <v>44721</v>
      </c>
      <c r="C321" s="6">
        <f>IFERROR(__xludf.DUMMYFUNCTION("""COMPUTED_VALUE"""),0.3385069444448163)</f>
        <v>0.3385069444</v>
      </c>
      <c r="D321" s="4">
        <f>IFERROR(__xludf.DUMMYFUNCTION("""COMPUTED_VALUE"""),12.87563)</f>
        <v>12.87563</v>
      </c>
      <c r="E321" s="4">
        <f>IFERROR(__xludf.DUMMYFUNCTION("""COMPUTED_VALUE"""),80.082909)</f>
        <v>80.082909</v>
      </c>
      <c r="F321" s="4">
        <f>IFERROR(__xludf.DUMMYFUNCTION("""COMPUTED_VALUE"""),2846.0)</f>
        <v>2846</v>
      </c>
      <c r="G321" s="4">
        <f>IFERROR(__xludf.DUMMYFUNCTION("""COMPUTED_VALUE"""),0.0)</f>
        <v>0</v>
      </c>
      <c r="H321" s="4"/>
      <c r="I321" s="4"/>
    </row>
    <row r="322">
      <c r="A322" s="4" t="str">
        <f>IFERROR(__xludf.DUMMYFUNCTION("""COMPUTED_VALUE"""),"cas_hmw")</f>
        <v>cas_hmw</v>
      </c>
      <c r="B322" s="5">
        <f>IFERROR(__xludf.DUMMYFUNCTION("""COMPUTED_VALUE"""),44721.0)</f>
        <v>44721</v>
      </c>
      <c r="C322" s="6">
        <f>IFERROR(__xludf.DUMMYFUNCTION("""COMPUTED_VALUE"""),0.3385069444448163)</f>
        <v>0.3385069444</v>
      </c>
      <c r="D322" s="4">
        <f>IFERROR(__xludf.DUMMYFUNCTION("""COMPUTED_VALUE"""),12.87563)</f>
        <v>12.87563</v>
      </c>
      <c r="E322" s="4">
        <f>IFERROR(__xludf.DUMMYFUNCTION("""COMPUTED_VALUE"""),80.082909)</f>
        <v>80.082909</v>
      </c>
      <c r="F322" s="4">
        <f>IFERROR(__xludf.DUMMYFUNCTION("""COMPUTED_VALUE"""),2846.0)</f>
        <v>2846</v>
      </c>
      <c r="G322" s="4">
        <f>IFERROR(__xludf.DUMMYFUNCTION("""COMPUTED_VALUE"""),0.0)</f>
        <v>0</v>
      </c>
      <c r="H322" s="4"/>
      <c r="I322" s="4"/>
    </row>
    <row r="323">
      <c r="A323" s="4" t="str">
        <f>IFERROR(__xludf.DUMMYFUNCTION("""COMPUTED_VALUE"""),"cas_hmw")</f>
        <v>cas_hmw</v>
      </c>
      <c r="B323" s="5">
        <f>IFERROR(__xludf.DUMMYFUNCTION("""COMPUTED_VALUE"""),44721.0)</f>
        <v>44721</v>
      </c>
      <c r="C323" s="6">
        <f>IFERROR(__xludf.DUMMYFUNCTION("""COMPUTED_VALUE"""),0.3385069444448163)</f>
        <v>0.3385069444</v>
      </c>
      <c r="D323" s="4">
        <f>IFERROR(__xludf.DUMMYFUNCTION("""COMPUTED_VALUE"""),12.87563)</f>
        <v>12.87563</v>
      </c>
      <c r="E323" s="4">
        <f>IFERROR(__xludf.DUMMYFUNCTION("""COMPUTED_VALUE"""),80.082909)</f>
        <v>80.082909</v>
      </c>
      <c r="F323" s="4">
        <f>IFERROR(__xludf.DUMMYFUNCTION("""COMPUTED_VALUE"""),2846.0)</f>
        <v>2846</v>
      </c>
      <c r="G323" s="4">
        <f>IFERROR(__xludf.DUMMYFUNCTION("""COMPUTED_VALUE"""),0.0)</f>
        <v>0</v>
      </c>
      <c r="H323" s="4"/>
      <c r="I323" s="4"/>
    </row>
    <row r="324">
      <c r="A324" s="4" t="str">
        <f>IFERROR(__xludf.DUMMYFUNCTION("""COMPUTED_VALUE"""),"cas_hmw")</f>
        <v>cas_hmw</v>
      </c>
      <c r="B324" s="5">
        <f>IFERROR(__xludf.DUMMYFUNCTION("""COMPUTED_VALUE"""),44721.0)</f>
        <v>44721</v>
      </c>
      <c r="C324" s="6">
        <f>IFERROR(__xludf.DUMMYFUNCTION("""COMPUTED_VALUE"""),0.338518518517958)</f>
        <v>0.3385185185</v>
      </c>
      <c r="D324" s="4">
        <f>IFERROR(__xludf.DUMMYFUNCTION("""COMPUTED_VALUE"""),12.87563)</f>
        <v>12.87563</v>
      </c>
      <c r="E324" s="4">
        <f>IFERROR(__xludf.DUMMYFUNCTION("""COMPUTED_VALUE"""),80.082909)</f>
        <v>80.082909</v>
      </c>
      <c r="F324" s="4">
        <f>IFERROR(__xludf.DUMMYFUNCTION("""COMPUTED_VALUE"""),2846.0)</f>
        <v>2846</v>
      </c>
      <c r="G324" s="4">
        <f>IFERROR(__xludf.DUMMYFUNCTION("""COMPUTED_VALUE"""),0.0)</f>
        <v>0</v>
      </c>
      <c r="H324" s="4"/>
      <c r="I324" s="4"/>
    </row>
    <row r="325">
      <c r="A325" s="4" t="str">
        <f>IFERROR(__xludf.DUMMYFUNCTION("""COMPUTED_VALUE"""),"cas_hmw")</f>
        <v>cas_hmw</v>
      </c>
      <c r="B325" s="5">
        <f>IFERROR(__xludf.DUMMYFUNCTION("""COMPUTED_VALUE"""),44721.0)</f>
        <v>44721</v>
      </c>
      <c r="C325" s="6">
        <f>IFERROR(__xludf.DUMMYFUNCTION("""COMPUTED_VALUE"""),0.3385648148141627)</f>
        <v>0.3385648148</v>
      </c>
      <c r="D325" s="4">
        <f>IFERROR(__xludf.DUMMYFUNCTION("""COMPUTED_VALUE"""),12.87563)</f>
        <v>12.87563</v>
      </c>
      <c r="E325" s="4">
        <f>IFERROR(__xludf.DUMMYFUNCTION("""COMPUTED_VALUE"""),80.082909)</f>
        <v>80.082909</v>
      </c>
      <c r="F325" s="4">
        <f>IFERROR(__xludf.DUMMYFUNCTION("""COMPUTED_VALUE"""),2846.0)</f>
        <v>2846</v>
      </c>
      <c r="G325" s="4">
        <f>IFERROR(__xludf.DUMMYFUNCTION("""COMPUTED_VALUE"""),0.0)</f>
        <v>0</v>
      </c>
      <c r="H325" s="4"/>
      <c r="I325" s="4"/>
    </row>
    <row r="326">
      <c r="A326" s="4" t="str">
        <f>IFERROR(__xludf.DUMMYFUNCTION("""COMPUTED_VALUE"""),"cas_hmw")</f>
        <v>cas_hmw</v>
      </c>
      <c r="B326" s="5">
        <f>IFERROR(__xludf.DUMMYFUNCTION("""COMPUTED_VALUE"""),44721.0)</f>
        <v>44721</v>
      </c>
      <c r="C326" s="6">
        <f>IFERROR(__xludf.DUMMYFUNCTION("""COMPUTED_VALUE"""),0.33857638888730435)</f>
        <v>0.3385763889</v>
      </c>
      <c r="D326" s="4">
        <f>IFERROR(__xludf.DUMMYFUNCTION("""COMPUTED_VALUE"""),13.063821)</f>
        <v>13.063821</v>
      </c>
      <c r="E326" s="4">
        <f>IFERROR(__xludf.DUMMYFUNCTION("""COMPUTED_VALUE"""),80.250806)</f>
        <v>80.250806</v>
      </c>
      <c r="F326" s="4">
        <f>IFERROR(__xludf.DUMMYFUNCTION("""COMPUTED_VALUE"""),805.0)</f>
        <v>805</v>
      </c>
      <c r="G326" s="4">
        <f>IFERROR(__xludf.DUMMYFUNCTION("""COMPUTED_VALUE"""),0.0)</f>
        <v>0</v>
      </c>
      <c r="H326" s="4"/>
      <c r="I326" s="4"/>
    </row>
    <row r="327">
      <c r="A327" s="4" t="str">
        <f>IFERROR(__xludf.DUMMYFUNCTION("""COMPUTED_VALUE"""),"cas_hmw")</f>
        <v>cas_hmw</v>
      </c>
      <c r="B327" s="5">
        <f>IFERROR(__xludf.DUMMYFUNCTION("""COMPUTED_VALUE"""),44721.0)</f>
        <v>44721</v>
      </c>
      <c r="C327" s="6">
        <f>IFERROR(__xludf.DUMMYFUNCTION("""COMPUTED_VALUE"""),0.3385995370372257)</f>
        <v>0.338599537</v>
      </c>
      <c r="D327" s="4">
        <f>IFERROR(__xludf.DUMMYFUNCTION("""COMPUTED_VALUE"""),12.87563)</f>
        <v>12.87563</v>
      </c>
      <c r="E327" s="4">
        <f>IFERROR(__xludf.DUMMYFUNCTION("""COMPUTED_VALUE"""),80.082909)</f>
        <v>80.082909</v>
      </c>
      <c r="F327" s="4">
        <f>IFERROR(__xludf.DUMMYFUNCTION("""COMPUTED_VALUE"""),2846.0)</f>
        <v>2846</v>
      </c>
      <c r="G327" s="4">
        <f>IFERROR(__xludf.DUMMYFUNCTION("""COMPUTED_VALUE"""),0.0)</f>
        <v>0</v>
      </c>
      <c r="H327" s="4"/>
      <c r="I327" s="4"/>
    </row>
    <row r="328">
      <c r="A328" s="4" t="str">
        <f>IFERROR(__xludf.DUMMYFUNCTION("""COMPUTED_VALUE"""),"cas_hmw")</f>
        <v>cas_hmw</v>
      </c>
      <c r="B328" s="5">
        <f>IFERROR(__xludf.DUMMYFUNCTION("""COMPUTED_VALUE"""),44721.0)</f>
        <v>44721</v>
      </c>
      <c r="C328" s="6">
        <f>IFERROR(__xludf.DUMMYFUNCTION("""COMPUTED_VALUE"""),0.33932870370335877)</f>
        <v>0.3393287037</v>
      </c>
      <c r="D328" s="4">
        <f>IFERROR(__xludf.DUMMYFUNCTION("""COMPUTED_VALUE"""),13.063811)</f>
        <v>13.063811</v>
      </c>
      <c r="E328" s="4">
        <f>IFERROR(__xludf.DUMMYFUNCTION("""COMPUTED_VALUE"""),80.250766)</f>
        <v>80.250766</v>
      </c>
      <c r="F328" s="4">
        <f>IFERROR(__xludf.DUMMYFUNCTION("""COMPUTED_VALUE"""),805.0)</f>
        <v>805</v>
      </c>
      <c r="G328" s="4">
        <f>IFERROR(__xludf.DUMMYFUNCTION("""COMPUTED_VALUE"""),0.0)</f>
        <v>0</v>
      </c>
      <c r="H328" s="4"/>
      <c r="I328" s="4"/>
    </row>
    <row r="329">
      <c r="A329" s="4" t="str">
        <f>IFERROR(__xludf.DUMMYFUNCTION("""COMPUTED_VALUE"""),"cas_hmw")</f>
        <v>cas_hmw</v>
      </c>
      <c r="B329" s="5">
        <f>IFERROR(__xludf.DUMMYFUNCTION("""COMPUTED_VALUE"""),44721.0)</f>
        <v>44721</v>
      </c>
      <c r="C329" s="6">
        <f>IFERROR(__xludf.DUMMYFUNCTION("""COMPUTED_VALUE"""),0.3396874999998545)</f>
        <v>0.3396875</v>
      </c>
      <c r="D329" s="4">
        <f>IFERROR(__xludf.DUMMYFUNCTION("""COMPUTED_VALUE"""),12.875636)</f>
        <v>12.875636</v>
      </c>
      <c r="E329" s="4">
        <f>IFERROR(__xludf.DUMMYFUNCTION("""COMPUTED_VALUE"""),80.0828)</f>
        <v>80.0828</v>
      </c>
      <c r="F329" s="4">
        <f>IFERROR(__xludf.DUMMYFUNCTION("""COMPUTED_VALUE"""),2846.0)</f>
        <v>2846</v>
      </c>
      <c r="G329" s="4">
        <f>IFERROR(__xludf.DUMMYFUNCTION("""COMPUTED_VALUE"""),0.0)</f>
        <v>0</v>
      </c>
      <c r="H329" s="4"/>
      <c r="I329" s="4"/>
    </row>
    <row r="330">
      <c r="A330" s="4" t="str">
        <f>IFERROR(__xludf.DUMMYFUNCTION("""COMPUTED_VALUE"""),"cas_hmw")</f>
        <v>cas_hmw</v>
      </c>
      <c r="B330" s="5">
        <f>IFERROR(__xludf.DUMMYFUNCTION("""COMPUTED_VALUE"""),44721.0)</f>
        <v>44721</v>
      </c>
      <c r="C330" s="6">
        <f>IFERROR(__xludf.DUMMYFUNCTION("""COMPUTED_VALUE"""),0.33980324074218515)</f>
        <v>0.3398032407</v>
      </c>
      <c r="D330" s="4">
        <f>IFERROR(__xludf.DUMMYFUNCTION("""COMPUTED_VALUE"""),13.063784)</f>
        <v>13.063784</v>
      </c>
      <c r="E330" s="4">
        <f>IFERROR(__xludf.DUMMYFUNCTION("""COMPUTED_VALUE"""),80.250803)</f>
        <v>80.250803</v>
      </c>
      <c r="F330" s="4">
        <f>IFERROR(__xludf.DUMMYFUNCTION("""COMPUTED_VALUE"""),805.0)</f>
        <v>805</v>
      </c>
      <c r="G330" s="4">
        <f>IFERROR(__xludf.DUMMYFUNCTION("""COMPUTED_VALUE"""),0.0)</f>
        <v>0</v>
      </c>
      <c r="H330" s="4"/>
      <c r="I330" s="4"/>
    </row>
    <row r="331">
      <c r="A331" s="4" t="str">
        <f>IFERROR(__xludf.DUMMYFUNCTION("""COMPUTED_VALUE"""),"cas_hmw")</f>
        <v>cas_hmw</v>
      </c>
      <c r="B331" s="5">
        <f>IFERROR(__xludf.DUMMYFUNCTION("""COMPUTED_VALUE"""),44721.0)</f>
        <v>44721</v>
      </c>
      <c r="C331" s="6">
        <f>IFERROR(__xludf.DUMMYFUNCTION("""COMPUTED_VALUE"""),0.3400347222232085)</f>
        <v>0.3400347222</v>
      </c>
      <c r="D331" s="4">
        <f>IFERROR(__xludf.DUMMYFUNCTION("""COMPUTED_VALUE"""),13.063793)</f>
        <v>13.063793</v>
      </c>
      <c r="E331" s="4">
        <f>IFERROR(__xludf.DUMMYFUNCTION("""COMPUTED_VALUE"""),80.250814)</f>
        <v>80.250814</v>
      </c>
      <c r="F331" s="4">
        <f>IFERROR(__xludf.DUMMYFUNCTION("""COMPUTED_VALUE"""),805.0)</f>
        <v>805</v>
      </c>
      <c r="G331" s="4">
        <f>IFERROR(__xludf.DUMMYFUNCTION("""COMPUTED_VALUE"""),0.0)</f>
        <v>0</v>
      </c>
      <c r="H331" s="4"/>
      <c r="I331" s="4"/>
    </row>
    <row r="332">
      <c r="A332" s="4" t="str">
        <f>IFERROR(__xludf.DUMMYFUNCTION("""COMPUTED_VALUE"""),"cas_hmw")</f>
        <v>cas_hmw</v>
      </c>
      <c r="B332" s="5">
        <f>IFERROR(__xludf.DUMMYFUNCTION("""COMPUTED_VALUE"""),44721.0)</f>
        <v>44721</v>
      </c>
      <c r="C332" s="6">
        <f>IFERROR(__xludf.DUMMYFUNCTION("""COMPUTED_VALUE"""),0.3401851851849642)</f>
        <v>0.3401851852</v>
      </c>
      <c r="D332" s="4">
        <f>IFERROR(__xludf.DUMMYFUNCTION("""COMPUTED_VALUE"""),13.063793)</f>
        <v>13.063793</v>
      </c>
      <c r="E332" s="4">
        <f>IFERROR(__xludf.DUMMYFUNCTION("""COMPUTED_VALUE"""),80.250814)</f>
        <v>80.250814</v>
      </c>
      <c r="F332" s="4">
        <f>IFERROR(__xludf.DUMMYFUNCTION("""COMPUTED_VALUE"""),805.0)</f>
        <v>805</v>
      </c>
      <c r="G332" s="4">
        <f>IFERROR(__xludf.DUMMYFUNCTION("""COMPUTED_VALUE"""),0.0)</f>
        <v>0</v>
      </c>
      <c r="H332" s="4"/>
      <c r="I332" s="4"/>
    </row>
    <row r="333">
      <c r="A333" s="4" t="str">
        <f>IFERROR(__xludf.DUMMYFUNCTION("""COMPUTED_VALUE"""),"cas_hmw")</f>
        <v>cas_hmw</v>
      </c>
      <c r="B333" s="5">
        <f>IFERROR(__xludf.DUMMYFUNCTION("""COMPUTED_VALUE"""),44721.0)</f>
        <v>44721</v>
      </c>
      <c r="C333" s="6">
        <f>IFERROR(__xludf.DUMMYFUNCTION("""COMPUTED_VALUE"""),0.3401967592581059)</f>
        <v>0.3401967593</v>
      </c>
      <c r="D333" s="4">
        <f>IFERROR(__xludf.DUMMYFUNCTION("""COMPUTED_VALUE"""),12.87563)</f>
        <v>12.87563</v>
      </c>
      <c r="E333" s="4">
        <f>IFERROR(__xludf.DUMMYFUNCTION("""COMPUTED_VALUE"""),80.082791)</f>
        <v>80.082791</v>
      </c>
      <c r="F333" s="4">
        <f>IFERROR(__xludf.DUMMYFUNCTION("""COMPUTED_VALUE"""),2846.0)</f>
        <v>2846</v>
      </c>
      <c r="G333" s="4">
        <f>IFERROR(__xludf.DUMMYFUNCTION("""COMPUTED_VALUE"""),0.0)</f>
        <v>0</v>
      </c>
      <c r="H333" s="4"/>
      <c r="I333" s="4"/>
    </row>
    <row r="334">
      <c r="A334" s="4" t="str">
        <f>IFERROR(__xludf.DUMMYFUNCTION("""COMPUTED_VALUE"""),"cas_hmw")</f>
        <v>cas_hmw</v>
      </c>
      <c r="B334" s="5">
        <f>IFERROR(__xludf.DUMMYFUNCTION("""COMPUTED_VALUE"""),44721.0)</f>
        <v>44721</v>
      </c>
      <c r="C334" s="6">
        <f>IFERROR(__xludf.DUMMYFUNCTION("""COMPUTED_VALUE"""),0.3402546296310902)</f>
        <v>0.3402546296</v>
      </c>
      <c r="D334" s="4">
        <f>IFERROR(__xludf.DUMMYFUNCTION("""COMPUTED_VALUE"""),13.063793)</f>
        <v>13.063793</v>
      </c>
      <c r="E334" s="4">
        <f>IFERROR(__xludf.DUMMYFUNCTION("""COMPUTED_VALUE"""),80.250808)</f>
        <v>80.250808</v>
      </c>
      <c r="F334" s="4">
        <f>IFERROR(__xludf.DUMMYFUNCTION("""COMPUTED_VALUE"""),805.0)</f>
        <v>805</v>
      </c>
      <c r="G334" s="4">
        <f>IFERROR(__xludf.DUMMYFUNCTION("""COMPUTED_VALUE"""),0.0)</f>
        <v>0</v>
      </c>
      <c r="H334" s="4"/>
      <c r="I334" s="4"/>
    </row>
    <row r="335">
      <c r="A335" s="4" t="str">
        <f>IFERROR(__xludf.DUMMYFUNCTION("""COMPUTED_VALUE"""),"cas_hmw")</f>
        <v>cas_hmw</v>
      </c>
      <c r="B335" s="5">
        <f>IFERROR(__xludf.DUMMYFUNCTION("""COMPUTED_VALUE"""),44721.0)</f>
        <v>44721</v>
      </c>
      <c r="C335" s="6">
        <f>IFERROR(__xludf.DUMMYFUNCTION("""COMPUTED_VALUE"""),0.34042824073912925)</f>
        <v>0.3404282407</v>
      </c>
      <c r="D335" s="4">
        <f>IFERROR(__xludf.DUMMYFUNCTION("""COMPUTED_VALUE"""),13.063744)</f>
        <v>13.063744</v>
      </c>
      <c r="E335" s="4">
        <f>IFERROR(__xludf.DUMMYFUNCTION("""COMPUTED_VALUE"""),80.250857)</f>
        <v>80.250857</v>
      </c>
      <c r="F335" s="4">
        <f>IFERROR(__xludf.DUMMYFUNCTION("""COMPUTED_VALUE"""),805.0)</f>
        <v>805</v>
      </c>
      <c r="G335" s="4">
        <f>IFERROR(__xludf.DUMMYFUNCTION("""COMPUTED_VALUE"""),0.0)</f>
        <v>0</v>
      </c>
      <c r="H335" s="4"/>
      <c r="I335" s="4"/>
    </row>
    <row r="336">
      <c r="A336" s="4" t="str">
        <f>IFERROR(__xludf.DUMMYFUNCTION("""COMPUTED_VALUE"""),"cas_hmw")</f>
        <v>cas_hmw</v>
      </c>
      <c r="B336" s="5">
        <f>IFERROR(__xludf.DUMMYFUNCTION("""COMPUTED_VALUE"""),44721.0)</f>
        <v>44721</v>
      </c>
      <c r="C336" s="6">
        <f>IFERROR(__xludf.DUMMYFUNCTION("""COMPUTED_VALUE"""),0.34067129629693227)</f>
        <v>0.3406712963</v>
      </c>
      <c r="D336" s="4">
        <f>IFERROR(__xludf.DUMMYFUNCTION("""COMPUTED_VALUE"""),13.063737)</f>
        <v>13.063737</v>
      </c>
      <c r="E336" s="4">
        <f>IFERROR(__xludf.DUMMYFUNCTION("""COMPUTED_VALUE"""),80.250852)</f>
        <v>80.250852</v>
      </c>
      <c r="F336" s="4">
        <f>IFERROR(__xludf.DUMMYFUNCTION("""COMPUTED_VALUE"""),805.0)</f>
        <v>805</v>
      </c>
      <c r="G336" s="4">
        <f>IFERROR(__xludf.DUMMYFUNCTION("""COMPUTED_VALUE"""),0.0)</f>
        <v>0</v>
      </c>
      <c r="H336" s="4"/>
      <c r="I336" s="4"/>
    </row>
    <row r="337">
      <c r="A337" s="4" t="str">
        <f>IFERROR(__xludf.DUMMYFUNCTION("""COMPUTED_VALUE"""),"cas_hmw")</f>
        <v>cas_hmw</v>
      </c>
      <c r="B337" s="5">
        <f>IFERROR(__xludf.DUMMYFUNCTION("""COMPUTED_VALUE"""),44721.0)</f>
        <v>44721</v>
      </c>
      <c r="C337" s="6">
        <f>IFERROR(__xludf.DUMMYFUNCTION("""COMPUTED_VALUE"""),0.3412847222207347)</f>
        <v>0.3412847222</v>
      </c>
      <c r="D337" s="4">
        <f>IFERROR(__xludf.DUMMYFUNCTION("""COMPUTED_VALUE"""),13.063729)</f>
        <v>13.063729</v>
      </c>
      <c r="E337" s="4">
        <f>IFERROR(__xludf.DUMMYFUNCTION("""COMPUTED_VALUE"""),80.250851)</f>
        <v>80.250851</v>
      </c>
      <c r="F337" s="4">
        <f>IFERROR(__xludf.DUMMYFUNCTION("""COMPUTED_VALUE"""),805.0)</f>
        <v>805</v>
      </c>
      <c r="G337" s="4">
        <f>IFERROR(__xludf.DUMMYFUNCTION("""COMPUTED_VALUE"""),0.0)</f>
        <v>0</v>
      </c>
      <c r="H337" s="4"/>
      <c r="I337" s="4"/>
    </row>
    <row r="338">
      <c r="A338" s="4" t="str">
        <f>IFERROR(__xludf.DUMMYFUNCTION("""COMPUTED_VALUE"""),"cas_hmw")</f>
        <v>cas_hmw</v>
      </c>
      <c r="B338" s="5">
        <f>IFERROR(__xludf.DUMMYFUNCTION("""COMPUTED_VALUE"""),44721.0)</f>
        <v>44721</v>
      </c>
      <c r="C338" s="6">
        <f>IFERROR(__xludf.DUMMYFUNCTION("""COMPUTED_VALUE"""),0.34143518518612836)</f>
        <v>0.3414351852</v>
      </c>
      <c r="D338" s="4">
        <f>IFERROR(__xludf.DUMMYFUNCTION("""COMPUTED_VALUE"""),13.063727)</f>
        <v>13.063727</v>
      </c>
      <c r="E338" s="4">
        <f>IFERROR(__xludf.DUMMYFUNCTION("""COMPUTED_VALUE"""),80.25082)</f>
        <v>80.25082</v>
      </c>
      <c r="F338" s="4">
        <f>IFERROR(__xludf.DUMMYFUNCTION("""COMPUTED_VALUE"""),805.0)</f>
        <v>805</v>
      </c>
      <c r="G338" s="4">
        <f>IFERROR(__xludf.DUMMYFUNCTION("""COMPUTED_VALUE"""),0.0)</f>
        <v>0</v>
      </c>
      <c r="H338" s="4"/>
      <c r="I338" s="4"/>
    </row>
    <row r="339">
      <c r="A339" s="4" t="str">
        <f>IFERROR(__xludf.DUMMYFUNCTION("""COMPUTED_VALUE"""),"cas_hmw")</f>
        <v>cas_hmw</v>
      </c>
      <c r="B339" s="5">
        <f>IFERROR(__xludf.DUMMYFUNCTION("""COMPUTED_VALUE"""),44721.0)</f>
        <v>44721</v>
      </c>
      <c r="C339" s="6">
        <f>IFERROR(__xludf.DUMMYFUNCTION("""COMPUTED_VALUE"""),0.34216435185226146)</f>
        <v>0.3421643519</v>
      </c>
      <c r="D339" s="4">
        <f>IFERROR(__xludf.DUMMYFUNCTION("""COMPUTED_VALUE"""),13.063784)</f>
        <v>13.063784</v>
      </c>
      <c r="E339" s="4">
        <f>IFERROR(__xludf.DUMMYFUNCTION("""COMPUTED_VALUE"""),80.250802)</f>
        <v>80.250802</v>
      </c>
      <c r="F339" s="4">
        <f>IFERROR(__xludf.DUMMYFUNCTION("""COMPUTED_VALUE"""),805.0)</f>
        <v>805</v>
      </c>
      <c r="G339" s="4">
        <f>IFERROR(__xludf.DUMMYFUNCTION("""COMPUTED_VALUE"""),0.0)</f>
        <v>0</v>
      </c>
      <c r="H339" s="4"/>
      <c r="I339" s="4"/>
    </row>
    <row r="340">
      <c r="A340" s="4" t="str">
        <f>IFERROR(__xludf.DUMMYFUNCTION("""COMPUTED_VALUE"""),"cas_hmw")</f>
        <v>cas_hmw</v>
      </c>
      <c r="B340" s="5">
        <f>IFERROR(__xludf.DUMMYFUNCTION("""COMPUTED_VALUE"""),44721.0)</f>
        <v>44721</v>
      </c>
      <c r="C340" s="6">
        <f>IFERROR(__xludf.DUMMYFUNCTION("""COMPUTED_VALUE"""),0.3424305555563478)</f>
        <v>0.3424305556</v>
      </c>
      <c r="D340" s="4">
        <f>IFERROR(__xludf.DUMMYFUNCTION("""COMPUTED_VALUE"""),12.875633)</f>
        <v>12.875633</v>
      </c>
      <c r="E340" s="4">
        <f>IFERROR(__xludf.DUMMYFUNCTION("""COMPUTED_VALUE"""),80.082917)</f>
        <v>80.082917</v>
      </c>
      <c r="F340" s="4">
        <f>IFERROR(__xludf.DUMMYFUNCTION("""COMPUTED_VALUE"""),2846.0)</f>
        <v>2846</v>
      </c>
      <c r="G340" s="4">
        <f>IFERROR(__xludf.DUMMYFUNCTION("""COMPUTED_VALUE"""),0.0)</f>
        <v>0</v>
      </c>
      <c r="H340" s="4"/>
      <c r="I340" s="4"/>
    </row>
    <row r="341">
      <c r="A341" s="4" t="str">
        <f>IFERROR(__xludf.DUMMYFUNCTION("""COMPUTED_VALUE"""),"cas_hmw")</f>
        <v>cas_hmw</v>
      </c>
      <c r="B341" s="5">
        <f>IFERROR(__xludf.DUMMYFUNCTION("""COMPUTED_VALUE"""),44721.0)</f>
        <v>44721</v>
      </c>
      <c r="C341" s="6">
        <f>IFERROR(__xludf.DUMMYFUNCTION("""COMPUTED_VALUE"""),0.3425925925912452)</f>
        <v>0.3425925926</v>
      </c>
      <c r="D341" s="4">
        <f>IFERROR(__xludf.DUMMYFUNCTION("""COMPUTED_VALUE"""),12.875633)</f>
        <v>12.875633</v>
      </c>
      <c r="E341" s="4">
        <f>IFERROR(__xludf.DUMMYFUNCTION("""COMPUTED_VALUE"""),80.082917)</f>
        <v>80.082917</v>
      </c>
      <c r="F341" s="4">
        <f>IFERROR(__xludf.DUMMYFUNCTION("""COMPUTED_VALUE"""),2846.0)</f>
        <v>2846</v>
      </c>
      <c r="G341" s="4">
        <f>IFERROR(__xludf.DUMMYFUNCTION("""COMPUTED_VALUE"""),0.0)</f>
        <v>0</v>
      </c>
      <c r="H341" s="4"/>
      <c r="I341" s="4"/>
    </row>
    <row r="342">
      <c r="A342" s="4" t="str">
        <f>IFERROR(__xludf.DUMMYFUNCTION("""COMPUTED_VALUE"""),"cas_hmw")</f>
        <v>cas_hmw</v>
      </c>
      <c r="B342" s="5">
        <f>IFERROR(__xludf.DUMMYFUNCTION("""COMPUTED_VALUE"""),44721.0)</f>
        <v>44721</v>
      </c>
      <c r="C342" s="6">
        <f>IFERROR(__xludf.DUMMYFUNCTION("""COMPUTED_VALUE"""),0.34328703703795327)</f>
        <v>0.343287037</v>
      </c>
      <c r="D342" s="4">
        <f>IFERROR(__xludf.DUMMYFUNCTION("""COMPUTED_VALUE"""),13.063827)</f>
        <v>13.063827</v>
      </c>
      <c r="E342" s="4">
        <f>IFERROR(__xludf.DUMMYFUNCTION("""COMPUTED_VALUE"""),80.250869)</f>
        <v>80.250869</v>
      </c>
      <c r="F342" s="4">
        <f>IFERROR(__xludf.DUMMYFUNCTION("""COMPUTED_VALUE"""),805.0)</f>
        <v>805</v>
      </c>
      <c r="G342" s="4">
        <f>IFERROR(__xludf.DUMMYFUNCTION("""COMPUTED_VALUE"""),0.0)</f>
        <v>0</v>
      </c>
      <c r="H342" s="4"/>
      <c r="I342" s="4"/>
    </row>
    <row r="343">
      <c r="A343" s="4" t="str">
        <f>IFERROR(__xludf.DUMMYFUNCTION("""COMPUTED_VALUE"""),"cas_hmw")</f>
        <v>cas_hmw</v>
      </c>
      <c r="B343" s="5">
        <f>IFERROR(__xludf.DUMMYFUNCTION("""COMPUTED_VALUE"""),44721.0)</f>
        <v>44721</v>
      </c>
      <c r="C343" s="6">
        <f>IFERROR(__xludf.DUMMYFUNCTION("""COMPUTED_VALUE"""),0.343611111111386)</f>
        <v>0.3436111111</v>
      </c>
      <c r="D343" s="4">
        <f>IFERROR(__xludf.DUMMYFUNCTION("""COMPUTED_VALUE"""),12.876007)</f>
        <v>12.876007</v>
      </c>
      <c r="E343" s="4">
        <f>IFERROR(__xludf.DUMMYFUNCTION("""COMPUTED_VALUE"""),80.083446)</f>
        <v>80.083446</v>
      </c>
      <c r="F343" s="4">
        <f>IFERROR(__xludf.DUMMYFUNCTION("""COMPUTED_VALUE"""),2846.0)</f>
        <v>2846</v>
      </c>
      <c r="G343" s="4">
        <f>IFERROR(__xludf.DUMMYFUNCTION("""COMPUTED_VALUE"""),9.0)</f>
        <v>9</v>
      </c>
      <c r="H343" s="4"/>
      <c r="I343" s="4"/>
    </row>
    <row r="344">
      <c r="A344" s="4" t="str">
        <f>IFERROR(__xludf.DUMMYFUNCTION("""COMPUTED_VALUE"""),"cas_hmw")</f>
        <v>cas_hmw</v>
      </c>
      <c r="B344" s="5">
        <f>IFERROR(__xludf.DUMMYFUNCTION("""COMPUTED_VALUE"""),44721.0)</f>
        <v>44721</v>
      </c>
      <c r="C344" s="6">
        <f>IFERROR(__xludf.DUMMYFUNCTION("""COMPUTED_VALUE"""),0.34547453703635256)</f>
        <v>0.345474537</v>
      </c>
      <c r="D344" s="4">
        <f>IFERROR(__xludf.DUMMYFUNCTION("""COMPUTED_VALUE"""),13.063816)</f>
        <v>13.063816</v>
      </c>
      <c r="E344" s="4">
        <f>IFERROR(__xludf.DUMMYFUNCTION("""COMPUTED_VALUE"""),80.25078)</f>
        <v>80.25078</v>
      </c>
      <c r="F344" s="4">
        <f>IFERROR(__xludf.DUMMYFUNCTION("""COMPUTED_VALUE"""),805.0)</f>
        <v>805</v>
      </c>
      <c r="G344" s="4">
        <f>IFERROR(__xludf.DUMMYFUNCTION("""COMPUTED_VALUE"""),0.0)</f>
        <v>0</v>
      </c>
      <c r="H344" s="4"/>
      <c r="I344" s="4"/>
    </row>
    <row r="345">
      <c r="A345" s="4" t="str">
        <f>IFERROR(__xludf.DUMMYFUNCTION("""COMPUTED_VALUE"""),"cas_hmw")</f>
        <v>cas_hmw</v>
      </c>
      <c r="B345" s="5">
        <f>IFERROR(__xludf.DUMMYFUNCTION("""COMPUTED_VALUE"""),44721.0)</f>
        <v>44721</v>
      </c>
      <c r="C345" s="6">
        <f>IFERROR(__xludf.DUMMYFUNCTION("""COMPUTED_VALUE"""),0.34572916666729725)</f>
        <v>0.3457291667</v>
      </c>
      <c r="D345" s="4">
        <f>IFERROR(__xludf.DUMMYFUNCTION("""COMPUTED_VALUE"""),12.912168)</f>
        <v>12.912168</v>
      </c>
      <c r="E345" s="4">
        <f>IFERROR(__xludf.DUMMYFUNCTION("""COMPUTED_VALUE"""),80.101401)</f>
        <v>80.101401</v>
      </c>
      <c r="F345" s="4">
        <f>IFERROR(__xludf.DUMMYFUNCTION("""COMPUTED_VALUE"""),2846.0)</f>
        <v>2846</v>
      </c>
      <c r="G345" s="4">
        <f>IFERROR(__xludf.DUMMYFUNCTION("""COMPUTED_VALUE"""),19.0)</f>
        <v>19</v>
      </c>
      <c r="H345" s="4"/>
      <c r="I345" s="4"/>
    </row>
    <row r="346">
      <c r="A346" s="4" t="str">
        <f>IFERROR(__xludf.DUMMYFUNCTION("""COMPUTED_VALUE"""),"cas_hmw")</f>
        <v>cas_hmw</v>
      </c>
      <c r="B346" s="5">
        <f>IFERROR(__xludf.DUMMYFUNCTION("""COMPUTED_VALUE"""),44721.0)</f>
        <v>44721</v>
      </c>
      <c r="C346" s="6">
        <f>IFERROR(__xludf.DUMMYFUNCTION("""COMPUTED_VALUE"""),0.34590277777897427)</f>
        <v>0.3459027778</v>
      </c>
      <c r="D346" s="4">
        <f>IFERROR(__xludf.DUMMYFUNCTION("""COMPUTED_VALUE"""),13.063839)</f>
        <v>13.063839</v>
      </c>
      <c r="E346" s="4">
        <f>IFERROR(__xludf.DUMMYFUNCTION("""COMPUTED_VALUE"""),80.250825)</f>
        <v>80.250825</v>
      </c>
      <c r="F346" s="4">
        <f>IFERROR(__xludf.DUMMYFUNCTION("""COMPUTED_VALUE"""),805.0)</f>
        <v>805</v>
      </c>
      <c r="G346" s="4">
        <f>IFERROR(__xludf.DUMMYFUNCTION("""COMPUTED_VALUE"""),0.0)</f>
        <v>0</v>
      </c>
      <c r="H346" s="4"/>
      <c r="I346" s="4"/>
    </row>
    <row r="347">
      <c r="A347" s="4" t="str">
        <f>IFERROR(__xludf.DUMMYFUNCTION("""COMPUTED_VALUE"""),"cas_hmw")</f>
        <v>cas_hmw</v>
      </c>
      <c r="B347" s="5">
        <f>IFERROR(__xludf.DUMMYFUNCTION("""COMPUTED_VALUE"""),44721.0)</f>
        <v>44721</v>
      </c>
      <c r="C347" s="6">
        <f>IFERROR(__xludf.DUMMYFUNCTION("""COMPUTED_VALUE"""),0.346157407406281)</f>
        <v>0.3461574074</v>
      </c>
      <c r="D347" s="4">
        <f>IFERROR(__xludf.DUMMYFUNCTION("""COMPUTED_VALUE"""),13.063874)</f>
        <v>13.063874</v>
      </c>
      <c r="E347" s="4">
        <f>IFERROR(__xludf.DUMMYFUNCTION("""COMPUTED_VALUE"""),80.250813)</f>
        <v>80.250813</v>
      </c>
      <c r="F347" s="4">
        <f>IFERROR(__xludf.DUMMYFUNCTION("""COMPUTED_VALUE"""),805.0)</f>
        <v>805</v>
      </c>
      <c r="G347" s="4">
        <f>IFERROR(__xludf.DUMMYFUNCTION("""COMPUTED_VALUE"""),0.0)</f>
        <v>0</v>
      </c>
      <c r="H347" s="4"/>
      <c r="I347" s="4"/>
    </row>
    <row r="348">
      <c r="A348" s="4" t="str">
        <f>IFERROR(__xludf.DUMMYFUNCTION("""COMPUTED_VALUE"""),"cas_hmw")</f>
        <v>cas_hmw</v>
      </c>
      <c r="B348" s="5">
        <f>IFERROR(__xludf.DUMMYFUNCTION("""COMPUTED_VALUE"""),44721.0)</f>
        <v>44721</v>
      </c>
      <c r="C348" s="6">
        <f>IFERROR(__xludf.DUMMYFUNCTION("""COMPUTED_VALUE"""),0.3466550925913907)</f>
        <v>0.3466550926</v>
      </c>
      <c r="D348" s="4">
        <f>IFERROR(__xludf.DUMMYFUNCTION("""COMPUTED_VALUE"""),12.925726)</f>
        <v>12.925726</v>
      </c>
      <c r="E348" s="4">
        <f>IFERROR(__xludf.DUMMYFUNCTION("""COMPUTED_VALUE"""),80.116707)</f>
        <v>80.116707</v>
      </c>
      <c r="F348" s="4">
        <f>IFERROR(__xludf.DUMMYFUNCTION("""COMPUTED_VALUE"""),2846.0)</f>
        <v>2846</v>
      </c>
      <c r="G348" s="4">
        <f>IFERROR(__xludf.DUMMYFUNCTION("""COMPUTED_VALUE"""),0.0)</f>
        <v>0</v>
      </c>
      <c r="H348" s="4"/>
      <c r="I348" s="4"/>
    </row>
    <row r="349">
      <c r="A349" s="4" t="str">
        <f>IFERROR(__xludf.DUMMYFUNCTION("""COMPUTED_VALUE"""),"cas_hmw")</f>
        <v>cas_hmw</v>
      </c>
      <c r="B349" s="5">
        <f>IFERROR(__xludf.DUMMYFUNCTION("""COMPUTED_VALUE"""),44721.0)</f>
        <v>44721</v>
      </c>
      <c r="C349" s="6">
        <f>IFERROR(__xludf.DUMMYFUNCTION("""COMPUTED_VALUE"""),0.3482175925928459)</f>
        <v>0.3482175926</v>
      </c>
      <c r="D349" s="4">
        <f>IFERROR(__xludf.DUMMYFUNCTION("""COMPUTED_VALUE"""),13.063805)</f>
        <v>13.063805</v>
      </c>
      <c r="E349" s="4">
        <f>IFERROR(__xludf.DUMMYFUNCTION("""COMPUTED_VALUE"""),80.250856)</f>
        <v>80.250856</v>
      </c>
      <c r="F349" s="4">
        <f>IFERROR(__xludf.DUMMYFUNCTION("""COMPUTED_VALUE"""),805.0)</f>
        <v>805</v>
      </c>
      <c r="G349" s="4">
        <f>IFERROR(__xludf.DUMMYFUNCTION("""COMPUTED_VALUE"""),0.0)</f>
        <v>0</v>
      </c>
      <c r="H349" s="4"/>
      <c r="I349" s="4"/>
    </row>
    <row r="350">
      <c r="A350" s="4" t="str">
        <f>IFERROR(__xludf.DUMMYFUNCTION("""COMPUTED_VALUE"""),"cas_hmw")</f>
        <v>cas_hmw</v>
      </c>
      <c r="B350" s="5">
        <f>IFERROR(__xludf.DUMMYFUNCTION("""COMPUTED_VALUE"""),44721.0)</f>
        <v>44721</v>
      </c>
      <c r="C350" s="6">
        <f>IFERROR(__xludf.DUMMYFUNCTION("""COMPUTED_VALUE"""),0.34961805555576575)</f>
        <v>0.3496180556</v>
      </c>
      <c r="D350" s="4">
        <f>IFERROR(__xludf.DUMMYFUNCTION("""COMPUTED_VALUE"""),13.063791)</f>
        <v>13.063791</v>
      </c>
      <c r="E350" s="4">
        <f>IFERROR(__xludf.DUMMYFUNCTION("""COMPUTED_VALUE"""),80.250866)</f>
        <v>80.250866</v>
      </c>
      <c r="F350" s="4">
        <f>IFERROR(__xludf.DUMMYFUNCTION("""COMPUTED_VALUE"""),805.0)</f>
        <v>805</v>
      </c>
      <c r="G350" s="4">
        <f>IFERROR(__xludf.DUMMYFUNCTION("""COMPUTED_VALUE"""),0.0)</f>
        <v>0</v>
      </c>
      <c r="H350" s="4"/>
      <c r="I350" s="4"/>
    </row>
    <row r="351">
      <c r="A351" s="4" t="str">
        <f>IFERROR(__xludf.DUMMYFUNCTION("""COMPUTED_VALUE"""),"cas_hmw")</f>
        <v>cas_hmw</v>
      </c>
      <c r="B351" s="5">
        <f>IFERROR(__xludf.DUMMYFUNCTION("""COMPUTED_VALUE"""),44721.0)</f>
        <v>44721</v>
      </c>
      <c r="C351" s="6">
        <f>IFERROR(__xludf.DUMMYFUNCTION("""COMPUTED_VALUE"""),0.35013888888715883)</f>
        <v>0.3501388889</v>
      </c>
      <c r="D351" s="4">
        <f>IFERROR(__xludf.DUMMYFUNCTION("""COMPUTED_VALUE"""),13.063776)</f>
        <v>13.063776</v>
      </c>
      <c r="E351" s="4">
        <f>IFERROR(__xludf.DUMMYFUNCTION("""COMPUTED_VALUE"""),80.250856)</f>
        <v>80.250856</v>
      </c>
      <c r="F351" s="4">
        <f>IFERROR(__xludf.DUMMYFUNCTION("""COMPUTED_VALUE"""),805.0)</f>
        <v>805</v>
      </c>
      <c r="G351" s="4">
        <f>IFERROR(__xludf.DUMMYFUNCTION("""COMPUTED_VALUE"""),0.0)</f>
        <v>0</v>
      </c>
      <c r="H351" s="4"/>
      <c r="I351" s="4"/>
    </row>
    <row r="352">
      <c r="A352" s="4" t="str">
        <f>IFERROR(__xludf.DUMMYFUNCTION("""COMPUTED_VALUE"""),"cas_hmw")</f>
        <v>cas_hmw</v>
      </c>
      <c r="B352" s="5">
        <f>IFERROR(__xludf.DUMMYFUNCTION("""COMPUTED_VALUE"""),44721.0)</f>
        <v>44721</v>
      </c>
      <c r="C352" s="6">
        <f>IFERROR(__xludf.DUMMYFUNCTION("""COMPUTED_VALUE"""),0.35299768518598285)</f>
        <v>0.3529976852</v>
      </c>
      <c r="D352" s="4">
        <f>IFERROR(__xludf.DUMMYFUNCTION("""COMPUTED_VALUE"""),12.979753)</f>
        <v>12.979753</v>
      </c>
      <c r="E352" s="4">
        <f>IFERROR(__xludf.DUMMYFUNCTION("""COMPUTED_VALUE"""),80.22725)</f>
        <v>80.22725</v>
      </c>
      <c r="F352" s="4">
        <f>IFERROR(__xludf.DUMMYFUNCTION("""COMPUTED_VALUE"""),2846.0)</f>
        <v>2846</v>
      </c>
      <c r="G352" s="4">
        <f>IFERROR(__xludf.DUMMYFUNCTION("""COMPUTED_VALUE"""),0.0)</f>
        <v>0</v>
      </c>
      <c r="H352" s="4"/>
      <c r="I352" s="4"/>
    </row>
    <row r="353">
      <c r="A353" s="4" t="str">
        <f>IFERROR(__xludf.DUMMYFUNCTION("""COMPUTED_VALUE"""),"cas_hmw")</f>
        <v>cas_hmw</v>
      </c>
      <c r="B353" s="5">
        <f>IFERROR(__xludf.DUMMYFUNCTION("""COMPUTED_VALUE"""),44721.0)</f>
        <v>44721</v>
      </c>
      <c r="C353" s="6">
        <f>IFERROR(__xludf.DUMMYFUNCTION("""COMPUTED_VALUE"""),0.35317129629765986)</f>
        <v>0.3531712963</v>
      </c>
      <c r="D353" s="4">
        <f>IFERROR(__xludf.DUMMYFUNCTION("""COMPUTED_VALUE"""),12.979753)</f>
        <v>12.979753</v>
      </c>
      <c r="E353" s="4">
        <f>IFERROR(__xludf.DUMMYFUNCTION("""COMPUTED_VALUE"""),80.22725)</f>
        <v>80.22725</v>
      </c>
      <c r="F353" s="4">
        <f>IFERROR(__xludf.DUMMYFUNCTION("""COMPUTED_VALUE"""),2846.0)</f>
        <v>2846</v>
      </c>
      <c r="G353" s="4">
        <f>IFERROR(__xludf.DUMMYFUNCTION("""COMPUTED_VALUE"""),0.0)</f>
        <v>0</v>
      </c>
      <c r="H353" s="4"/>
      <c r="I353" s="4"/>
    </row>
    <row r="354">
      <c r="A354" s="4" t="str">
        <f>IFERROR(__xludf.DUMMYFUNCTION("""COMPUTED_VALUE"""),"cas_hmw")</f>
        <v>cas_hmw</v>
      </c>
      <c r="B354" s="5">
        <f>IFERROR(__xludf.DUMMYFUNCTION("""COMPUTED_VALUE"""),44721.0)</f>
        <v>44721</v>
      </c>
      <c r="C354" s="6">
        <f>IFERROR(__xludf.DUMMYFUNCTION("""COMPUTED_VALUE"""),0.35329861110949423)</f>
        <v>0.3532986111</v>
      </c>
      <c r="D354" s="4">
        <f>IFERROR(__xludf.DUMMYFUNCTION("""COMPUTED_VALUE"""),12.979753)</f>
        <v>12.979753</v>
      </c>
      <c r="E354" s="4">
        <f>IFERROR(__xludf.DUMMYFUNCTION("""COMPUTED_VALUE"""),80.22725)</f>
        <v>80.22725</v>
      </c>
      <c r="F354" s="4">
        <f>IFERROR(__xludf.DUMMYFUNCTION("""COMPUTED_VALUE"""),2846.0)</f>
        <v>2846</v>
      </c>
      <c r="G354" s="4">
        <f>IFERROR(__xludf.DUMMYFUNCTION("""COMPUTED_VALUE"""),0.0)</f>
        <v>0</v>
      </c>
      <c r="H354" s="4"/>
      <c r="I354" s="4"/>
    </row>
    <row r="355">
      <c r="A355" s="4" t="str">
        <f>IFERROR(__xludf.DUMMYFUNCTION("""COMPUTED_VALUE"""),"cas_hmw")</f>
        <v>cas_hmw</v>
      </c>
      <c r="B355" s="5">
        <f>IFERROR(__xludf.DUMMYFUNCTION("""COMPUTED_VALUE"""),44721.0)</f>
        <v>44721</v>
      </c>
      <c r="C355" s="6">
        <f>IFERROR(__xludf.DUMMYFUNCTION("""COMPUTED_VALUE"""),0.35407407407547)</f>
        <v>0.3540740741</v>
      </c>
      <c r="D355" s="4">
        <f>IFERROR(__xludf.DUMMYFUNCTION("""COMPUTED_VALUE"""),12.979753)</f>
        <v>12.979753</v>
      </c>
      <c r="E355" s="4">
        <f>IFERROR(__xludf.DUMMYFUNCTION("""COMPUTED_VALUE"""),80.22725)</f>
        <v>80.22725</v>
      </c>
      <c r="F355" s="4">
        <f>IFERROR(__xludf.DUMMYFUNCTION("""COMPUTED_VALUE"""),2846.0)</f>
        <v>2846</v>
      </c>
      <c r="G355" s="4">
        <f>IFERROR(__xludf.DUMMYFUNCTION("""COMPUTED_VALUE"""),0.0)</f>
        <v>0</v>
      </c>
      <c r="H355" s="4"/>
      <c r="I355" s="4"/>
    </row>
    <row r="356">
      <c r="A356" s="4" t="str">
        <f>IFERROR(__xludf.DUMMYFUNCTION("""COMPUTED_VALUE"""),"cas_hmw")</f>
        <v>cas_hmw</v>
      </c>
      <c r="B356" s="5">
        <f>IFERROR(__xludf.DUMMYFUNCTION("""COMPUTED_VALUE"""),44721.0)</f>
        <v>44721</v>
      </c>
      <c r="C356" s="6">
        <f>IFERROR(__xludf.DUMMYFUNCTION("""COMPUTED_VALUE"""),0.3540972222217533)</f>
        <v>0.3540972222</v>
      </c>
      <c r="D356" s="4">
        <f>IFERROR(__xludf.DUMMYFUNCTION("""COMPUTED_VALUE"""),12.979753)</f>
        <v>12.979753</v>
      </c>
      <c r="E356" s="4">
        <f>IFERROR(__xludf.DUMMYFUNCTION("""COMPUTED_VALUE"""),80.22725)</f>
        <v>80.22725</v>
      </c>
      <c r="F356" s="4">
        <f>IFERROR(__xludf.DUMMYFUNCTION("""COMPUTED_VALUE"""),2846.0)</f>
        <v>2846</v>
      </c>
      <c r="G356" s="4">
        <f>IFERROR(__xludf.DUMMYFUNCTION("""COMPUTED_VALUE"""),0.0)</f>
        <v>0</v>
      </c>
      <c r="H356" s="4"/>
      <c r="I356" s="4"/>
    </row>
    <row r="357">
      <c r="A357" s="4" t="str">
        <f>IFERROR(__xludf.DUMMYFUNCTION("""COMPUTED_VALUE"""),"cas_hmw")</f>
        <v>cas_hmw</v>
      </c>
      <c r="B357" s="5">
        <f>IFERROR(__xludf.DUMMYFUNCTION("""COMPUTED_VALUE"""),44721.0)</f>
        <v>44721</v>
      </c>
      <c r="C357" s="6">
        <f>IFERROR(__xludf.DUMMYFUNCTION("""COMPUTED_VALUE"""),0.354108796294895)</f>
        <v>0.3541087963</v>
      </c>
      <c r="D357" s="4">
        <f>IFERROR(__xludf.DUMMYFUNCTION("""COMPUTED_VALUE"""),12.979753)</f>
        <v>12.979753</v>
      </c>
      <c r="E357" s="4">
        <f>IFERROR(__xludf.DUMMYFUNCTION("""COMPUTED_VALUE"""),80.22725)</f>
        <v>80.22725</v>
      </c>
      <c r="F357" s="4">
        <f>IFERROR(__xludf.DUMMYFUNCTION("""COMPUTED_VALUE"""),2846.0)</f>
        <v>2846</v>
      </c>
      <c r="G357" s="4">
        <f>IFERROR(__xludf.DUMMYFUNCTION("""COMPUTED_VALUE"""),0.0)</f>
        <v>0</v>
      </c>
      <c r="H357" s="4"/>
      <c r="I357" s="4"/>
    </row>
    <row r="358">
      <c r="A358" s="4" t="str">
        <f>IFERROR(__xludf.DUMMYFUNCTION("""COMPUTED_VALUE"""),"cas_hmw")</f>
        <v>cas_hmw</v>
      </c>
      <c r="B358" s="5">
        <f>IFERROR(__xludf.DUMMYFUNCTION("""COMPUTED_VALUE"""),44721.0)</f>
        <v>44721</v>
      </c>
      <c r="C358" s="6">
        <f>IFERROR(__xludf.DUMMYFUNCTION("""COMPUTED_VALUE"""),0.354108796294895)</f>
        <v>0.3541087963</v>
      </c>
      <c r="D358" s="4">
        <f>IFERROR(__xludf.DUMMYFUNCTION("""COMPUTED_VALUE"""),12.979753)</f>
        <v>12.979753</v>
      </c>
      <c r="E358" s="4">
        <f>IFERROR(__xludf.DUMMYFUNCTION("""COMPUTED_VALUE"""),80.22725)</f>
        <v>80.22725</v>
      </c>
      <c r="F358" s="4">
        <f>IFERROR(__xludf.DUMMYFUNCTION("""COMPUTED_VALUE"""),2846.0)</f>
        <v>2846</v>
      </c>
      <c r="G358" s="4">
        <f>IFERROR(__xludf.DUMMYFUNCTION("""COMPUTED_VALUE"""),0.0)</f>
        <v>0</v>
      </c>
      <c r="H358" s="4"/>
      <c r="I358" s="4"/>
    </row>
    <row r="359">
      <c r="A359" s="4" t="str">
        <f>IFERROR(__xludf.DUMMYFUNCTION("""COMPUTED_VALUE"""),"cas_hmw")</f>
        <v>cas_hmw</v>
      </c>
      <c r="B359" s="5">
        <f>IFERROR(__xludf.DUMMYFUNCTION("""COMPUTED_VALUE"""),44721.0)</f>
        <v>44721</v>
      </c>
      <c r="C359" s="6">
        <f>IFERROR(__xludf.DUMMYFUNCTION("""COMPUTED_VALUE"""),0.354317129629635)</f>
        <v>0.3543171296</v>
      </c>
      <c r="D359" s="4">
        <f>IFERROR(__xludf.DUMMYFUNCTION("""COMPUTED_VALUE"""),13.053108)</f>
        <v>13.053108</v>
      </c>
      <c r="E359" s="4">
        <f>IFERROR(__xludf.DUMMYFUNCTION("""COMPUTED_VALUE"""),80.271899)</f>
        <v>80.271899</v>
      </c>
      <c r="F359" s="4">
        <f>IFERROR(__xludf.DUMMYFUNCTION("""COMPUTED_VALUE"""),805.0)</f>
        <v>805</v>
      </c>
      <c r="G359" s="4">
        <f>IFERROR(__xludf.DUMMYFUNCTION("""COMPUTED_VALUE"""),0.0)</f>
        <v>0</v>
      </c>
      <c r="H359" s="4"/>
      <c r="I359" s="4"/>
    </row>
    <row r="360">
      <c r="A360" s="4" t="str">
        <f>IFERROR(__xludf.DUMMYFUNCTION("""COMPUTED_VALUE"""),"cas_hmw")</f>
        <v>cas_hmw</v>
      </c>
      <c r="B360" s="5">
        <f>IFERROR(__xludf.DUMMYFUNCTION("""COMPUTED_VALUE"""),44721.0)</f>
        <v>44721</v>
      </c>
      <c r="C360" s="6">
        <f>IFERROR(__xludf.DUMMYFUNCTION("""COMPUTED_VALUE"""),0.3555671296307992)</f>
        <v>0.3555671296</v>
      </c>
      <c r="D360" s="4">
        <f>IFERROR(__xludf.DUMMYFUNCTION("""COMPUTED_VALUE"""),12.979071)</f>
        <v>12.979071</v>
      </c>
      <c r="E360" s="4">
        <f>IFERROR(__xludf.DUMMYFUNCTION("""COMPUTED_VALUE"""),80.226517)</f>
        <v>80.226517</v>
      </c>
      <c r="F360" s="4">
        <f>IFERROR(__xludf.DUMMYFUNCTION("""COMPUTED_VALUE"""),2846.0)</f>
        <v>2846</v>
      </c>
      <c r="G360" s="4">
        <f>IFERROR(__xludf.DUMMYFUNCTION("""COMPUTED_VALUE"""),0.0)</f>
        <v>0</v>
      </c>
      <c r="H360" s="4"/>
      <c r="I360" s="4"/>
    </row>
    <row r="361">
      <c r="A361" s="4" t="str">
        <f>IFERROR(__xludf.DUMMYFUNCTION("""COMPUTED_VALUE"""),"cas_hmw")</f>
        <v>cas_hmw</v>
      </c>
      <c r="B361" s="5">
        <f>IFERROR(__xludf.DUMMYFUNCTION("""COMPUTED_VALUE"""),44721.0)</f>
        <v>44721</v>
      </c>
      <c r="C361" s="6">
        <f>IFERROR(__xludf.DUMMYFUNCTION("""COMPUTED_VALUE"""),0.3558796296310902)</f>
        <v>0.3558796296</v>
      </c>
      <c r="D361" s="4">
        <f>IFERROR(__xludf.DUMMYFUNCTION("""COMPUTED_VALUE"""),12.979071)</f>
        <v>12.979071</v>
      </c>
      <c r="E361" s="4">
        <f>IFERROR(__xludf.DUMMYFUNCTION("""COMPUTED_VALUE"""),80.226517)</f>
        <v>80.226517</v>
      </c>
      <c r="F361" s="4">
        <f>IFERROR(__xludf.DUMMYFUNCTION("""COMPUTED_VALUE"""),2846.0)</f>
        <v>2846</v>
      </c>
      <c r="G361" s="4">
        <f>IFERROR(__xludf.DUMMYFUNCTION("""COMPUTED_VALUE"""),0.0)</f>
        <v>0</v>
      </c>
      <c r="H361" s="4"/>
      <c r="I361" s="4"/>
    </row>
    <row r="362">
      <c r="A362" s="4" t="str">
        <f>IFERROR(__xludf.DUMMYFUNCTION("""COMPUTED_VALUE"""),"cas_hmw")</f>
        <v>cas_hmw</v>
      </c>
      <c r="B362" s="5">
        <f>IFERROR(__xludf.DUMMYFUNCTION("""COMPUTED_VALUE"""),44721.0)</f>
        <v>44721</v>
      </c>
      <c r="C362" s="6">
        <f>IFERROR(__xludf.DUMMYFUNCTION("""COMPUTED_VALUE"""),0.356689814816491)</f>
        <v>0.3566898148</v>
      </c>
      <c r="D362" s="4">
        <f>IFERROR(__xludf.DUMMYFUNCTION("""COMPUTED_VALUE"""),12.978978)</f>
        <v>12.978978</v>
      </c>
      <c r="E362" s="4">
        <f>IFERROR(__xludf.DUMMYFUNCTION("""COMPUTED_VALUE"""),80.226526)</f>
        <v>80.226526</v>
      </c>
      <c r="F362" s="4">
        <f>IFERROR(__xludf.DUMMYFUNCTION("""COMPUTED_VALUE"""),2846.0)</f>
        <v>2846</v>
      </c>
      <c r="G362" s="4">
        <f>IFERROR(__xludf.DUMMYFUNCTION("""COMPUTED_VALUE"""),0.0)</f>
        <v>0</v>
      </c>
      <c r="H362" s="4"/>
      <c r="I362" s="4"/>
    </row>
    <row r="363">
      <c r="A363" s="4" t="str">
        <f>IFERROR(__xludf.DUMMYFUNCTION("""COMPUTED_VALUE"""),"cas_hmw")</f>
        <v>cas_hmw</v>
      </c>
      <c r="B363" s="5">
        <f>IFERROR(__xludf.DUMMYFUNCTION("""COMPUTED_VALUE"""),44721.0)</f>
        <v>44721</v>
      </c>
      <c r="C363" s="6">
        <f>IFERROR(__xludf.DUMMYFUNCTION("""COMPUTED_VALUE"""),0.3567129629627743)</f>
        <v>0.356712963</v>
      </c>
      <c r="D363" s="4">
        <f>IFERROR(__xludf.DUMMYFUNCTION("""COMPUTED_VALUE"""),12.978978)</f>
        <v>12.978978</v>
      </c>
      <c r="E363" s="4">
        <f>IFERROR(__xludf.DUMMYFUNCTION("""COMPUTED_VALUE"""),80.226526)</f>
        <v>80.226526</v>
      </c>
      <c r="F363" s="4">
        <f>IFERROR(__xludf.DUMMYFUNCTION("""COMPUTED_VALUE"""),2846.0)</f>
        <v>2846</v>
      </c>
      <c r="G363" s="4">
        <f>IFERROR(__xludf.DUMMYFUNCTION("""COMPUTED_VALUE"""),0.0)</f>
        <v>0</v>
      </c>
      <c r="H363" s="4"/>
      <c r="I363" s="4"/>
    </row>
    <row r="364">
      <c r="A364" s="4" t="str">
        <f>IFERROR(__xludf.DUMMYFUNCTION("""COMPUTED_VALUE"""),"cas_hmw")</f>
        <v>cas_hmw</v>
      </c>
      <c r="B364" s="5">
        <f>IFERROR(__xludf.DUMMYFUNCTION("""COMPUTED_VALUE"""),44721.0)</f>
        <v>44721</v>
      </c>
      <c r="C364" s="6">
        <f>IFERROR(__xludf.DUMMYFUNCTION("""COMPUTED_VALUE"""),0.6919675925928459)</f>
        <v>0.6919675926</v>
      </c>
      <c r="D364" s="4">
        <f>IFERROR(__xludf.DUMMYFUNCTION("""COMPUTED_VALUE"""),12.881284)</f>
        <v>12.881284</v>
      </c>
      <c r="E364" s="4">
        <f>IFERROR(__xludf.DUMMYFUNCTION("""COMPUTED_VALUE"""),80.080627)</f>
        <v>80.080627</v>
      </c>
      <c r="F364" s="4">
        <f>IFERROR(__xludf.DUMMYFUNCTION("""COMPUTED_VALUE"""),805.0)</f>
        <v>805</v>
      </c>
      <c r="G364" s="4">
        <f>IFERROR(__xludf.DUMMYFUNCTION("""COMPUTED_VALUE"""),13.0)</f>
        <v>13</v>
      </c>
      <c r="H364" s="4"/>
      <c r="I364" s="4"/>
    </row>
    <row r="365">
      <c r="A365" s="4" t="str">
        <f>IFERROR(__xludf.DUMMYFUNCTION("""COMPUTED_VALUE"""),"cas_hmw")</f>
        <v>cas_hmw</v>
      </c>
      <c r="B365" s="5">
        <f>IFERROR(__xludf.DUMMYFUNCTION("""COMPUTED_VALUE"""),44721.0)</f>
        <v>44721</v>
      </c>
      <c r="C365" s="6">
        <f>IFERROR(__xludf.DUMMYFUNCTION("""COMPUTED_VALUE"""),0.7037384259274404)</f>
        <v>0.7037384259</v>
      </c>
      <c r="D365" s="4">
        <f>IFERROR(__xludf.DUMMYFUNCTION("""COMPUTED_VALUE"""),12.931436)</f>
        <v>12.931436</v>
      </c>
      <c r="E365" s="4">
        <f>IFERROR(__xludf.DUMMYFUNCTION("""COMPUTED_VALUE"""),80.122516)</f>
        <v>80.122516</v>
      </c>
      <c r="F365" s="4">
        <f>IFERROR(__xludf.DUMMYFUNCTION("""COMPUTED_VALUE"""),805.0)</f>
        <v>805</v>
      </c>
      <c r="G365" s="4">
        <f>IFERROR(__xludf.DUMMYFUNCTION("""COMPUTED_VALUE"""),16.0)</f>
        <v>16</v>
      </c>
      <c r="H365" s="4"/>
      <c r="I365" s="4"/>
    </row>
    <row r="366">
      <c r="A366" s="4" t="str">
        <f>IFERROR(__xludf.DUMMYFUNCTION("""COMPUTED_VALUE"""),"cas_hmw")</f>
        <v>cas_hmw</v>
      </c>
      <c r="B366" s="5">
        <f>IFERROR(__xludf.DUMMYFUNCTION("""COMPUTED_VALUE"""),44721.0)</f>
        <v>44721</v>
      </c>
      <c r="C366" s="6">
        <f>IFERROR(__xludf.DUMMYFUNCTION("""COMPUTED_VALUE"""),0.7065277777765004)</f>
        <v>0.7065277778</v>
      </c>
      <c r="D366" s="4">
        <f>IFERROR(__xludf.DUMMYFUNCTION("""COMPUTED_VALUE"""),12.950342)</f>
        <v>12.950342</v>
      </c>
      <c r="E366" s="4">
        <f>IFERROR(__xludf.DUMMYFUNCTION("""COMPUTED_VALUE"""),80.139354)</f>
        <v>80.139354</v>
      </c>
      <c r="F366" s="4">
        <f>IFERROR(__xludf.DUMMYFUNCTION("""COMPUTED_VALUE"""),805.0)</f>
        <v>805</v>
      </c>
      <c r="G366" s="4">
        <f>IFERROR(__xludf.DUMMYFUNCTION("""COMPUTED_VALUE"""),0.0)</f>
        <v>0</v>
      </c>
      <c r="H366" s="4"/>
      <c r="I366" s="4"/>
    </row>
    <row r="367">
      <c r="A367" s="4" t="str">
        <f>IFERROR(__xludf.DUMMYFUNCTION("""COMPUTED_VALUE"""),"cas_hmw")</f>
        <v>cas_hmw</v>
      </c>
      <c r="B367" s="5">
        <f>IFERROR(__xludf.DUMMYFUNCTION("""COMPUTED_VALUE"""),44721.0)</f>
        <v>44721</v>
      </c>
      <c r="C367" s="6">
        <f>IFERROR(__xludf.DUMMYFUNCTION("""COMPUTED_VALUE"""),0.7079861111124046)</f>
        <v>0.7079861111</v>
      </c>
      <c r="D367" s="4">
        <f>IFERROR(__xludf.DUMMYFUNCTION("""COMPUTED_VALUE"""),12.956093)</f>
        <v>12.956093</v>
      </c>
      <c r="E367" s="4">
        <f>IFERROR(__xludf.DUMMYFUNCTION("""COMPUTED_VALUE"""),80.142911)</f>
        <v>80.142911</v>
      </c>
      <c r="F367" s="4">
        <f>IFERROR(__xludf.DUMMYFUNCTION("""COMPUTED_VALUE"""),805.0)</f>
        <v>805</v>
      </c>
      <c r="G367" s="4">
        <f>IFERROR(__xludf.DUMMYFUNCTION("""COMPUTED_VALUE"""),0.0)</f>
        <v>0</v>
      </c>
      <c r="H367" s="4"/>
      <c r="I367" s="4"/>
    </row>
    <row r="368">
      <c r="A368" s="4" t="str">
        <f>IFERROR(__xludf.DUMMYFUNCTION("""COMPUTED_VALUE"""),"cas_hmw")</f>
        <v>cas_hmw</v>
      </c>
      <c r="B368" s="5">
        <f>IFERROR(__xludf.DUMMYFUNCTION("""COMPUTED_VALUE"""),44721.0)</f>
        <v>44721</v>
      </c>
      <c r="C368" s="6">
        <f>IFERROR(__xludf.DUMMYFUNCTION("""COMPUTED_VALUE"""),0.7112731481465744)</f>
        <v>0.7112731481</v>
      </c>
      <c r="D368" s="4">
        <f>IFERROR(__xludf.DUMMYFUNCTION("""COMPUTED_VALUE"""),12.923373)</f>
        <v>12.923373</v>
      </c>
      <c r="E368" s="4">
        <f>IFERROR(__xludf.DUMMYFUNCTION("""COMPUTED_VALUE"""),80.154532)</f>
        <v>80.154532</v>
      </c>
      <c r="F368" s="4">
        <f>IFERROR(__xludf.DUMMYFUNCTION("""COMPUTED_VALUE"""),2846.0)</f>
        <v>2846</v>
      </c>
      <c r="G368" s="4">
        <f>IFERROR(__xludf.DUMMYFUNCTION("""COMPUTED_VALUE"""),7.0)</f>
        <v>7</v>
      </c>
      <c r="H368" s="4"/>
      <c r="I368" s="4"/>
    </row>
    <row r="369">
      <c r="A369" s="4" t="str">
        <f>IFERROR(__xludf.DUMMYFUNCTION("""COMPUTED_VALUE"""),"cas_hmw")</f>
        <v>cas_hmw</v>
      </c>
      <c r="B369" s="5">
        <f>IFERROR(__xludf.DUMMYFUNCTION("""COMPUTED_VALUE"""),44721.0)</f>
        <v>44721</v>
      </c>
      <c r="C369" s="6">
        <f>IFERROR(__xludf.DUMMYFUNCTION("""COMPUTED_VALUE"""),0.7128587962979509)</f>
        <v>0.7128587963</v>
      </c>
      <c r="D369" s="4">
        <f>IFERROR(__xludf.DUMMYFUNCTION("""COMPUTED_VALUE"""),12.920921)</f>
        <v>12.920921</v>
      </c>
      <c r="E369" s="4">
        <f>IFERROR(__xludf.DUMMYFUNCTION("""COMPUTED_VALUE"""),80.16773)</f>
        <v>80.16773</v>
      </c>
      <c r="F369" s="4">
        <f>IFERROR(__xludf.DUMMYFUNCTION("""COMPUTED_VALUE"""),2846.0)</f>
        <v>2846</v>
      </c>
      <c r="G369" s="4">
        <f>IFERROR(__xludf.DUMMYFUNCTION("""COMPUTED_VALUE"""),19.0)</f>
        <v>19</v>
      </c>
      <c r="H369" s="4"/>
      <c r="I369" s="4"/>
    </row>
    <row r="370">
      <c r="A370" s="4" t="str">
        <f>IFERROR(__xludf.DUMMYFUNCTION("""COMPUTED_VALUE"""),"cas_hmw")</f>
        <v>cas_hmw</v>
      </c>
      <c r="B370" s="5">
        <f>IFERROR(__xludf.DUMMYFUNCTION("""COMPUTED_VALUE"""),44721.0)</f>
        <v>44721</v>
      </c>
      <c r="C370" s="6">
        <f>IFERROR(__xludf.DUMMYFUNCTION("""COMPUTED_VALUE"""),0.7128819444442343)</f>
        <v>0.7128819444</v>
      </c>
      <c r="D370" s="4">
        <f>IFERROR(__xludf.DUMMYFUNCTION("""COMPUTED_VALUE"""),12.920921)</f>
        <v>12.920921</v>
      </c>
      <c r="E370" s="4">
        <f>IFERROR(__xludf.DUMMYFUNCTION("""COMPUTED_VALUE"""),80.16773)</f>
        <v>80.16773</v>
      </c>
      <c r="F370" s="4">
        <f>IFERROR(__xludf.DUMMYFUNCTION("""COMPUTED_VALUE"""),2846.0)</f>
        <v>2846</v>
      </c>
      <c r="G370" s="4">
        <f>IFERROR(__xludf.DUMMYFUNCTION("""COMPUTED_VALUE"""),19.0)</f>
        <v>19</v>
      </c>
      <c r="H370" s="4"/>
      <c r="I370" s="4"/>
    </row>
    <row r="371">
      <c r="A371" s="4" t="str">
        <f>IFERROR(__xludf.DUMMYFUNCTION("""COMPUTED_VALUE"""),"cas_hmw")</f>
        <v>cas_hmw</v>
      </c>
      <c r="B371" s="5">
        <f>IFERROR(__xludf.DUMMYFUNCTION("""COMPUTED_VALUE"""),44721.0)</f>
        <v>44721</v>
      </c>
      <c r="C371" s="6">
        <f>IFERROR(__xludf.DUMMYFUNCTION("""COMPUTED_VALUE"""),0.7128935185173759)</f>
        <v>0.7128935185</v>
      </c>
      <c r="D371" s="4">
        <f>IFERROR(__xludf.DUMMYFUNCTION("""COMPUTED_VALUE"""),12.920921)</f>
        <v>12.920921</v>
      </c>
      <c r="E371" s="4">
        <f>IFERROR(__xludf.DUMMYFUNCTION("""COMPUTED_VALUE"""),80.16773)</f>
        <v>80.16773</v>
      </c>
      <c r="F371" s="4">
        <f>IFERROR(__xludf.DUMMYFUNCTION("""COMPUTED_VALUE"""),2846.0)</f>
        <v>2846</v>
      </c>
      <c r="G371" s="4">
        <f>IFERROR(__xludf.DUMMYFUNCTION("""COMPUTED_VALUE"""),19.0)</f>
        <v>19</v>
      </c>
      <c r="H371" s="4"/>
      <c r="I371" s="4"/>
    </row>
    <row r="372">
      <c r="A372" s="4" t="str">
        <f>IFERROR(__xludf.DUMMYFUNCTION("""COMPUTED_VALUE"""),"cas_hmw")</f>
        <v>cas_hmw</v>
      </c>
      <c r="B372" s="5">
        <f>IFERROR(__xludf.DUMMYFUNCTION("""COMPUTED_VALUE"""),44721.0)</f>
        <v>44721</v>
      </c>
      <c r="C372" s="6">
        <f>IFERROR(__xludf.DUMMYFUNCTION("""COMPUTED_VALUE"""),0.7134374999986903)</f>
        <v>0.7134375</v>
      </c>
      <c r="D372" s="4">
        <f>IFERROR(__xludf.DUMMYFUNCTION("""COMPUTED_VALUE"""),12.98953)</f>
        <v>12.98953</v>
      </c>
      <c r="E372" s="4">
        <f>IFERROR(__xludf.DUMMYFUNCTION("""COMPUTED_VALUE"""),80.178746)</f>
        <v>80.178746</v>
      </c>
      <c r="F372" s="4">
        <f>IFERROR(__xludf.DUMMYFUNCTION("""COMPUTED_VALUE"""),805.0)</f>
        <v>805</v>
      </c>
      <c r="G372" s="4">
        <f>IFERROR(__xludf.DUMMYFUNCTION("""COMPUTED_VALUE"""),10.0)</f>
        <v>10</v>
      </c>
      <c r="H372" s="4"/>
      <c r="I372" s="4"/>
    </row>
    <row r="373">
      <c r="A373" s="4" t="str">
        <f>IFERROR(__xludf.DUMMYFUNCTION("""COMPUTED_VALUE"""),"cas_hmw")</f>
        <v>cas_hmw</v>
      </c>
      <c r="B373" s="5">
        <f>IFERROR(__xludf.DUMMYFUNCTION("""COMPUTED_VALUE"""),44721.0)</f>
        <v>44721</v>
      </c>
      <c r="C373" s="6">
        <f>IFERROR(__xludf.DUMMYFUNCTION("""COMPUTED_VALUE"""),0.7139583333337214)</f>
        <v>0.7139583333</v>
      </c>
      <c r="D373" s="4">
        <f>IFERROR(__xludf.DUMMYFUNCTION("""COMPUTED_VALUE"""),12.993605)</f>
        <v>12.993605</v>
      </c>
      <c r="E373" s="4">
        <f>IFERROR(__xludf.DUMMYFUNCTION("""COMPUTED_VALUE"""),80.184572)</f>
        <v>80.184572</v>
      </c>
      <c r="F373" s="4">
        <f>IFERROR(__xludf.DUMMYFUNCTION("""COMPUTED_VALUE"""),805.0)</f>
        <v>805</v>
      </c>
      <c r="G373" s="4">
        <f>IFERROR(__xludf.DUMMYFUNCTION("""COMPUTED_VALUE"""),18.0)</f>
        <v>18</v>
      </c>
      <c r="H373" s="4"/>
      <c r="I373" s="4"/>
    </row>
    <row r="374">
      <c r="A374" s="4" t="str">
        <f>IFERROR(__xludf.DUMMYFUNCTION("""COMPUTED_VALUE"""),"cas_hmw")</f>
        <v>cas_hmw</v>
      </c>
      <c r="B374" s="5">
        <f>IFERROR(__xludf.DUMMYFUNCTION("""COMPUTED_VALUE"""),44721.0)</f>
        <v>44721</v>
      </c>
      <c r="C374" s="6">
        <f>IFERROR(__xludf.DUMMYFUNCTION("""COMPUTED_VALUE"""),0.7140972222223354)</f>
        <v>0.7140972222</v>
      </c>
      <c r="D374" s="4">
        <f>IFERROR(__xludf.DUMMYFUNCTION("""COMPUTED_VALUE"""),12.993605)</f>
        <v>12.993605</v>
      </c>
      <c r="E374" s="4">
        <f>IFERROR(__xludf.DUMMYFUNCTION("""COMPUTED_VALUE"""),80.184572)</f>
        <v>80.184572</v>
      </c>
      <c r="F374" s="4">
        <f>IFERROR(__xludf.DUMMYFUNCTION("""COMPUTED_VALUE"""),805.0)</f>
        <v>805</v>
      </c>
      <c r="G374" s="4">
        <f>IFERROR(__xludf.DUMMYFUNCTION("""COMPUTED_VALUE"""),18.0)</f>
        <v>18</v>
      </c>
      <c r="H374" s="4"/>
      <c r="I374" s="4"/>
    </row>
    <row r="375">
      <c r="A375" s="4" t="str">
        <f>IFERROR(__xludf.DUMMYFUNCTION("""COMPUTED_VALUE"""),"cas_hmw")</f>
        <v>cas_hmw</v>
      </c>
      <c r="B375" s="5">
        <f>IFERROR(__xludf.DUMMYFUNCTION("""COMPUTED_VALUE"""),44721.0)</f>
        <v>44721</v>
      </c>
      <c r="C375" s="6">
        <f>IFERROR(__xludf.DUMMYFUNCTION("""COMPUTED_VALUE"""),0.7164351851861284)</f>
        <v>0.7164351852</v>
      </c>
      <c r="D375" s="4">
        <f>IFERROR(__xludf.DUMMYFUNCTION("""COMPUTED_VALUE"""),13.001103)</f>
        <v>13.001103</v>
      </c>
      <c r="E375" s="4">
        <f>IFERROR(__xludf.DUMMYFUNCTION("""COMPUTED_VALUE"""),80.195476)</f>
        <v>80.195476</v>
      </c>
      <c r="F375" s="4">
        <f>IFERROR(__xludf.DUMMYFUNCTION("""COMPUTED_VALUE"""),805.0)</f>
        <v>805</v>
      </c>
      <c r="G375" s="4">
        <f>IFERROR(__xludf.DUMMYFUNCTION("""COMPUTED_VALUE"""),17.0)</f>
        <v>17</v>
      </c>
      <c r="H375" s="4"/>
      <c r="I375" s="4"/>
    </row>
    <row r="376">
      <c r="A376" s="4" t="str">
        <f>IFERROR(__xludf.DUMMYFUNCTION("""COMPUTED_VALUE"""),"cas_hmw")</f>
        <v>cas_hmw</v>
      </c>
      <c r="B376" s="5">
        <f>IFERROR(__xludf.DUMMYFUNCTION("""COMPUTED_VALUE"""),44721.0)</f>
        <v>44721</v>
      </c>
      <c r="C376" s="6">
        <f>IFERROR(__xludf.DUMMYFUNCTION("""COMPUTED_VALUE"""),0.7228819444426335)</f>
        <v>0.7228819444</v>
      </c>
      <c r="D376" s="4">
        <f>IFERROR(__xludf.DUMMYFUNCTION("""COMPUTED_VALUE"""),13.024083)</f>
        <v>13.024083</v>
      </c>
      <c r="E376" s="4">
        <f>IFERROR(__xludf.DUMMYFUNCTION("""COMPUTED_VALUE"""),80.228119)</f>
        <v>80.228119</v>
      </c>
      <c r="F376" s="4">
        <f>IFERROR(__xludf.DUMMYFUNCTION("""COMPUTED_VALUE"""),805.0)</f>
        <v>805</v>
      </c>
      <c r="G376" s="4">
        <f>IFERROR(__xludf.DUMMYFUNCTION("""COMPUTED_VALUE"""),0.0)</f>
        <v>0</v>
      </c>
      <c r="H376" s="4"/>
      <c r="I376" s="4"/>
    </row>
    <row r="377">
      <c r="A377" s="4" t="str">
        <f>IFERROR(__xludf.DUMMYFUNCTION("""COMPUTED_VALUE"""),"cas_hmw")</f>
        <v>cas_hmw</v>
      </c>
      <c r="B377" s="5">
        <f>IFERROR(__xludf.DUMMYFUNCTION("""COMPUTED_VALUE"""),44721.0)</f>
        <v>44721</v>
      </c>
      <c r="C377" s="6">
        <f>IFERROR(__xludf.DUMMYFUNCTION("""COMPUTED_VALUE"""),0.724016203705105)</f>
        <v>0.7240162037</v>
      </c>
      <c r="D377" s="4">
        <f>IFERROR(__xludf.DUMMYFUNCTION("""COMPUTED_VALUE"""),13.025998)</f>
        <v>13.025998</v>
      </c>
      <c r="E377" s="4">
        <f>IFERROR(__xludf.DUMMYFUNCTION("""COMPUTED_VALUE"""),80.231045)</f>
        <v>80.231045</v>
      </c>
      <c r="F377" s="4">
        <f>IFERROR(__xludf.DUMMYFUNCTION("""COMPUTED_VALUE"""),805.0)</f>
        <v>805</v>
      </c>
      <c r="G377" s="4">
        <f>IFERROR(__xludf.DUMMYFUNCTION("""COMPUTED_VALUE"""),15.0)</f>
        <v>15</v>
      </c>
      <c r="H377" s="4"/>
      <c r="I377" s="4"/>
    </row>
    <row r="378">
      <c r="A378" s="4" t="str">
        <f>IFERROR(__xludf.DUMMYFUNCTION("""COMPUTED_VALUE"""),"cas_hmw")</f>
        <v>cas_hmw</v>
      </c>
      <c r="B378" s="5">
        <f>IFERROR(__xludf.DUMMYFUNCTION("""COMPUTED_VALUE"""),44721.0)</f>
        <v>44721</v>
      </c>
      <c r="C378" s="6">
        <f>IFERROR(__xludf.DUMMYFUNCTION("""COMPUTED_VALUE"""),0.7241087962975143)</f>
        <v>0.7241087963</v>
      </c>
      <c r="D378" s="4">
        <f>IFERROR(__xludf.DUMMYFUNCTION("""COMPUTED_VALUE"""),13.025998)</f>
        <v>13.025998</v>
      </c>
      <c r="E378" s="4">
        <f>IFERROR(__xludf.DUMMYFUNCTION("""COMPUTED_VALUE"""),80.231045)</f>
        <v>80.231045</v>
      </c>
      <c r="F378" s="4">
        <f>IFERROR(__xludf.DUMMYFUNCTION("""COMPUTED_VALUE"""),805.0)</f>
        <v>805</v>
      </c>
      <c r="G378" s="4">
        <f>IFERROR(__xludf.DUMMYFUNCTION("""COMPUTED_VALUE"""),15.0)</f>
        <v>15</v>
      </c>
      <c r="H378" s="4"/>
      <c r="I378" s="4"/>
    </row>
    <row r="379">
      <c r="A379" s="4" t="str">
        <f>IFERROR(__xludf.DUMMYFUNCTION("""COMPUTED_VALUE"""),"cas_hmw")</f>
        <v>cas_hmw</v>
      </c>
      <c r="B379" s="5">
        <f>IFERROR(__xludf.DUMMYFUNCTION("""COMPUTED_VALUE"""),44721.0)</f>
        <v>44721</v>
      </c>
      <c r="C379" s="6">
        <f>IFERROR(__xludf.DUMMYFUNCTION("""COMPUTED_VALUE"""),0.7296759259261307)</f>
        <v>0.7296759259</v>
      </c>
      <c r="D379" s="4">
        <f>IFERROR(__xludf.DUMMYFUNCTION("""COMPUTED_VALUE"""),13.038948)</f>
        <v>13.038948</v>
      </c>
      <c r="E379" s="4">
        <f>IFERROR(__xludf.DUMMYFUNCTION("""COMPUTED_VALUE"""),80.246765)</f>
        <v>80.246765</v>
      </c>
      <c r="F379" s="4">
        <f>IFERROR(__xludf.DUMMYFUNCTION("""COMPUTED_VALUE"""),805.0)</f>
        <v>805</v>
      </c>
      <c r="G379" s="4">
        <f>IFERROR(__xludf.DUMMYFUNCTION("""COMPUTED_VALUE"""),0.0)</f>
        <v>0</v>
      </c>
      <c r="H379" s="4"/>
      <c r="I379" s="4"/>
    </row>
    <row r="380">
      <c r="A380" s="4" t="str">
        <f>IFERROR(__xludf.DUMMYFUNCTION("""COMPUTED_VALUE"""),"cas_hmw")</f>
        <v>cas_hmw</v>
      </c>
      <c r="B380" s="5">
        <f>IFERROR(__xludf.DUMMYFUNCTION("""COMPUTED_VALUE"""),44721.0)</f>
        <v>44721</v>
      </c>
      <c r="C380" s="6">
        <f>IFERROR(__xludf.DUMMYFUNCTION("""COMPUTED_VALUE"""),0.7304166666654055)</f>
        <v>0.7304166667</v>
      </c>
      <c r="D380" s="4">
        <f>IFERROR(__xludf.DUMMYFUNCTION("""COMPUTED_VALUE"""),13.042438)</f>
        <v>13.042438</v>
      </c>
      <c r="E380" s="4">
        <f>IFERROR(__xludf.DUMMYFUNCTION("""COMPUTED_VALUE"""),80.247402)</f>
        <v>80.247402</v>
      </c>
      <c r="F380" s="4">
        <f>IFERROR(__xludf.DUMMYFUNCTION("""COMPUTED_VALUE"""),805.0)</f>
        <v>805</v>
      </c>
      <c r="G380" s="4">
        <f>IFERROR(__xludf.DUMMYFUNCTION("""COMPUTED_VALUE"""),0.0)</f>
        <v>0</v>
      </c>
      <c r="H380" s="4"/>
      <c r="I380" s="4"/>
    </row>
    <row r="381">
      <c r="A381" s="4" t="str">
        <f>IFERROR(__xludf.DUMMYFUNCTION("""COMPUTED_VALUE"""),"cas_hmw")</f>
        <v>cas_hmw</v>
      </c>
      <c r="B381" s="5">
        <f>IFERROR(__xludf.DUMMYFUNCTION("""COMPUTED_VALUE"""),44721.0)</f>
        <v>44721</v>
      </c>
      <c r="C381" s="6">
        <f>IFERROR(__xludf.DUMMYFUNCTION("""COMPUTED_VALUE"""),0.7331597222218988)</f>
        <v>0.7331597222</v>
      </c>
      <c r="D381" s="4">
        <f>IFERROR(__xludf.DUMMYFUNCTION("""COMPUTED_VALUE"""),13.054823)</f>
        <v>13.054823</v>
      </c>
      <c r="E381" s="4">
        <f>IFERROR(__xludf.DUMMYFUNCTION("""COMPUTED_VALUE"""),80.254215)</f>
        <v>80.254215</v>
      </c>
      <c r="F381" s="4">
        <f>IFERROR(__xludf.DUMMYFUNCTION("""COMPUTED_VALUE"""),805.0)</f>
        <v>805</v>
      </c>
      <c r="G381" s="4">
        <f>IFERROR(__xludf.DUMMYFUNCTION("""COMPUTED_VALUE"""),7.0)</f>
        <v>7</v>
      </c>
      <c r="H381" s="4"/>
      <c r="I381" s="4"/>
    </row>
    <row r="382">
      <c r="A382" s="4" t="str">
        <f>IFERROR(__xludf.DUMMYFUNCTION("""COMPUTED_VALUE"""),"cas_hmw")</f>
        <v>cas_hmw</v>
      </c>
      <c r="B382" s="5">
        <f>IFERROR(__xludf.DUMMYFUNCTION("""COMPUTED_VALUE"""),44721.0)</f>
        <v>44721</v>
      </c>
      <c r="C382" s="6">
        <f>IFERROR(__xludf.DUMMYFUNCTION("""COMPUTED_VALUE"""),0.7349189814813144)</f>
        <v>0.7349189815</v>
      </c>
      <c r="D382" s="4">
        <f>IFERROR(__xludf.DUMMYFUNCTION("""COMPUTED_VALUE"""),13.054531)</f>
        <v>13.054531</v>
      </c>
      <c r="E382" s="4">
        <f>IFERROR(__xludf.DUMMYFUNCTION("""COMPUTED_VALUE"""),80.257919)</f>
        <v>80.257919</v>
      </c>
      <c r="F382" s="4">
        <f>IFERROR(__xludf.DUMMYFUNCTION("""COMPUTED_VALUE"""),805.0)</f>
        <v>805</v>
      </c>
      <c r="G382" s="4">
        <f>IFERROR(__xludf.DUMMYFUNCTION("""COMPUTED_VALUE"""),8.0)</f>
        <v>8</v>
      </c>
      <c r="H382" s="4"/>
      <c r="I382" s="4"/>
    </row>
    <row r="383">
      <c r="A383" s="4" t="str">
        <f>IFERROR(__xludf.DUMMYFUNCTION("""COMPUTED_VALUE"""),"cas_hmw")</f>
        <v>cas_hmw</v>
      </c>
      <c r="B383" s="5">
        <f>IFERROR(__xludf.DUMMYFUNCTION("""COMPUTED_VALUE"""),44721.0)</f>
        <v>44721</v>
      </c>
      <c r="C383" s="6">
        <f>IFERROR(__xludf.DUMMYFUNCTION("""COMPUTED_VALUE"""),0.7356828703705105)</f>
        <v>0.7356828704</v>
      </c>
      <c r="D383" s="4">
        <f>IFERROR(__xludf.DUMMYFUNCTION("""COMPUTED_VALUE"""),13.054138)</f>
        <v>13.054138</v>
      </c>
      <c r="E383" s="4">
        <f>IFERROR(__xludf.DUMMYFUNCTION("""COMPUTED_VALUE"""),80.261617)</f>
        <v>80.261617</v>
      </c>
      <c r="F383" s="4">
        <f>IFERROR(__xludf.DUMMYFUNCTION("""COMPUTED_VALUE"""),805.0)</f>
        <v>805</v>
      </c>
      <c r="G383" s="4">
        <f>IFERROR(__xludf.DUMMYFUNCTION("""COMPUTED_VALUE"""),19.0)</f>
        <v>19</v>
      </c>
      <c r="H383" s="4"/>
      <c r="I383" s="4"/>
    </row>
    <row r="384">
      <c r="A384" s="4" t="str">
        <f>IFERROR(__xludf.DUMMYFUNCTION("""COMPUTED_VALUE"""),"cas_hmw")</f>
        <v>cas_hmw</v>
      </c>
      <c r="B384" s="5">
        <f>IFERROR(__xludf.DUMMYFUNCTION("""COMPUTED_VALUE"""),44721.0)</f>
        <v>44721</v>
      </c>
      <c r="C384" s="6">
        <f>IFERROR(__xludf.DUMMYFUNCTION("""COMPUTED_VALUE"""),0.7391550925931369)</f>
        <v>0.7391550926</v>
      </c>
      <c r="D384" s="4">
        <f>IFERROR(__xludf.DUMMYFUNCTION("""COMPUTED_VALUE"""),12.976067)</f>
        <v>12.976067</v>
      </c>
      <c r="E384" s="4">
        <f>IFERROR(__xludf.DUMMYFUNCTION("""COMPUTED_VALUE"""),80.221228)</f>
        <v>80.221228</v>
      </c>
      <c r="F384" s="4">
        <f>IFERROR(__xludf.DUMMYFUNCTION("""COMPUTED_VALUE"""),2846.0)</f>
        <v>2846</v>
      </c>
      <c r="G384" s="4">
        <f>IFERROR(__xludf.DUMMYFUNCTION("""COMPUTED_VALUE"""),14.0)</f>
        <v>14</v>
      </c>
      <c r="H384" s="4"/>
      <c r="I384" s="4"/>
    </row>
    <row r="385">
      <c r="A385" s="4" t="str">
        <f>IFERROR(__xludf.DUMMYFUNCTION("""COMPUTED_VALUE"""),"cas_hmw")</f>
        <v>cas_hmw</v>
      </c>
      <c r="B385" s="5">
        <f>IFERROR(__xludf.DUMMYFUNCTION("""COMPUTED_VALUE"""),44721.0)</f>
        <v>44721</v>
      </c>
      <c r="C385" s="6">
        <f>IFERROR(__xludf.DUMMYFUNCTION("""COMPUTED_VALUE"""),0.7391550925931369)</f>
        <v>0.7391550926</v>
      </c>
      <c r="D385" s="4">
        <f>IFERROR(__xludf.DUMMYFUNCTION("""COMPUTED_VALUE"""),12.976067)</f>
        <v>12.976067</v>
      </c>
      <c r="E385" s="4">
        <f>IFERROR(__xludf.DUMMYFUNCTION("""COMPUTED_VALUE"""),80.221228)</f>
        <v>80.221228</v>
      </c>
      <c r="F385" s="4">
        <f>IFERROR(__xludf.DUMMYFUNCTION("""COMPUTED_VALUE"""),2846.0)</f>
        <v>2846</v>
      </c>
      <c r="G385" s="4">
        <f>IFERROR(__xludf.DUMMYFUNCTION("""COMPUTED_VALUE"""),14.0)</f>
        <v>14</v>
      </c>
      <c r="H385" s="4"/>
      <c r="I385" s="4"/>
    </row>
    <row r="386">
      <c r="A386" s="4" t="str">
        <f>IFERROR(__xludf.DUMMYFUNCTION("""COMPUTED_VALUE"""),"cas_hmw")</f>
        <v>cas_hmw</v>
      </c>
      <c r="B386" s="5">
        <f>IFERROR(__xludf.DUMMYFUNCTION("""COMPUTED_VALUE"""),44721.0)</f>
        <v>44721</v>
      </c>
      <c r="C386" s="6">
        <f>IFERROR(__xludf.DUMMYFUNCTION("""COMPUTED_VALUE"""),0.7392013888893416)</f>
        <v>0.7392013889</v>
      </c>
      <c r="D386" s="4">
        <f>IFERROR(__xludf.DUMMYFUNCTION("""COMPUTED_VALUE"""),12.976067)</f>
        <v>12.976067</v>
      </c>
      <c r="E386" s="4">
        <f>IFERROR(__xludf.DUMMYFUNCTION("""COMPUTED_VALUE"""),80.221228)</f>
        <v>80.221228</v>
      </c>
      <c r="F386" s="4">
        <f>IFERROR(__xludf.DUMMYFUNCTION("""COMPUTED_VALUE"""),2846.0)</f>
        <v>2846</v>
      </c>
      <c r="G386" s="4">
        <f>IFERROR(__xludf.DUMMYFUNCTION("""COMPUTED_VALUE"""),14.0)</f>
        <v>14</v>
      </c>
      <c r="H386" s="4"/>
      <c r="I386" s="4"/>
    </row>
    <row r="387">
      <c r="A387" s="4" t="str">
        <f>IFERROR(__xludf.DUMMYFUNCTION("""COMPUTED_VALUE"""),"cas_hmw")</f>
        <v>cas_hmw</v>
      </c>
      <c r="B387" s="5">
        <f>IFERROR(__xludf.DUMMYFUNCTION("""COMPUTED_VALUE"""),44721.0)</f>
        <v>44721</v>
      </c>
      <c r="C387" s="6">
        <f>IFERROR(__xludf.DUMMYFUNCTION("""COMPUTED_VALUE"""),0.7424421296309447)</f>
        <v>0.7424421296</v>
      </c>
      <c r="D387" s="4">
        <f>IFERROR(__xludf.DUMMYFUNCTION("""COMPUTED_VALUE"""),12.975894)</f>
        <v>12.975894</v>
      </c>
      <c r="E387" s="4">
        <f>IFERROR(__xludf.DUMMYFUNCTION("""COMPUTED_VALUE"""),80.221332)</f>
        <v>80.221332</v>
      </c>
      <c r="F387" s="4">
        <f>IFERROR(__xludf.DUMMYFUNCTION("""COMPUTED_VALUE"""),2846.0)</f>
        <v>2846</v>
      </c>
      <c r="G387" s="4">
        <f>IFERROR(__xludf.DUMMYFUNCTION("""COMPUTED_VALUE"""),14.0)</f>
        <v>14</v>
      </c>
      <c r="H387" s="4"/>
      <c r="I387" s="4"/>
    </row>
    <row r="388">
      <c r="A388" s="4" t="str">
        <f>IFERROR(__xludf.DUMMYFUNCTION("""COMPUTED_VALUE"""),"cas_hmw")</f>
        <v>cas_hmw</v>
      </c>
      <c r="B388" s="5">
        <f>IFERROR(__xludf.DUMMYFUNCTION("""COMPUTED_VALUE"""),44721.0)</f>
        <v>44721</v>
      </c>
      <c r="C388" s="6">
        <f>IFERROR(__xludf.DUMMYFUNCTION("""COMPUTED_VALUE"""),0.7432407407395658)</f>
        <v>0.7432407407</v>
      </c>
      <c r="D388" s="4">
        <f>IFERROR(__xludf.DUMMYFUNCTION("""COMPUTED_VALUE"""),12.972033)</f>
        <v>12.972033</v>
      </c>
      <c r="E388" s="4">
        <f>IFERROR(__xludf.DUMMYFUNCTION("""COMPUTED_VALUE"""),80.219506)</f>
        <v>80.219506</v>
      </c>
      <c r="F388" s="4">
        <f>IFERROR(__xludf.DUMMYFUNCTION("""COMPUTED_VALUE"""),2846.0)</f>
        <v>2846</v>
      </c>
      <c r="G388" s="4">
        <f>IFERROR(__xludf.DUMMYFUNCTION("""COMPUTED_VALUE"""),3.0)</f>
        <v>3</v>
      </c>
      <c r="H388" s="4"/>
      <c r="I388" s="4"/>
    </row>
    <row r="389">
      <c r="A389" s="4" t="str">
        <f>IFERROR(__xludf.DUMMYFUNCTION("""COMPUTED_VALUE"""),"cas_hmw")</f>
        <v>cas_hmw</v>
      </c>
      <c r="B389" s="5">
        <f>IFERROR(__xludf.DUMMYFUNCTION("""COMPUTED_VALUE"""),44721.0)</f>
        <v>44721</v>
      </c>
      <c r="C389" s="6">
        <f>IFERROR(__xludf.DUMMYFUNCTION("""COMPUTED_VALUE"""),0.7445023148138716)</f>
        <v>0.7445023148</v>
      </c>
      <c r="D389" s="4">
        <f>IFERROR(__xludf.DUMMYFUNCTION("""COMPUTED_VALUE"""),12.964014)</f>
        <v>12.964014</v>
      </c>
      <c r="E389" s="4">
        <f>IFERROR(__xludf.DUMMYFUNCTION("""COMPUTED_VALUE"""),80.216318)</f>
        <v>80.216318</v>
      </c>
      <c r="F389" s="4">
        <f>IFERROR(__xludf.DUMMYFUNCTION("""COMPUTED_VALUE"""),2846.0)</f>
        <v>2846</v>
      </c>
      <c r="G389" s="4">
        <f>IFERROR(__xludf.DUMMYFUNCTION("""COMPUTED_VALUE"""),0.0)</f>
        <v>0</v>
      </c>
      <c r="H389" s="4"/>
      <c r="I389" s="4"/>
    </row>
    <row r="390">
      <c r="A390" s="4" t="str">
        <f>IFERROR(__xludf.DUMMYFUNCTION("""COMPUTED_VALUE"""),"cas_hmw")</f>
        <v>cas_hmw</v>
      </c>
      <c r="B390" s="5">
        <f>IFERROR(__xludf.DUMMYFUNCTION("""COMPUTED_VALUE"""),44721.0)</f>
        <v>44721</v>
      </c>
      <c r="C390" s="6">
        <f>IFERROR(__xludf.DUMMYFUNCTION("""COMPUTED_VALUE"""),0.7445138888906513)</f>
        <v>0.7445138889</v>
      </c>
      <c r="D390" s="4">
        <f>IFERROR(__xludf.DUMMYFUNCTION("""COMPUTED_VALUE"""),12.964014)</f>
        <v>12.964014</v>
      </c>
      <c r="E390" s="4">
        <f>IFERROR(__xludf.DUMMYFUNCTION("""COMPUTED_VALUE"""),80.216318)</f>
        <v>80.216318</v>
      </c>
      <c r="F390" s="4">
        <f>IFERROR(__xludf.DUMMYFUNCTION("""COMPUTED_VALUE"""),2846.0)</f>
        <v>2846</v>
      </c>
      <c r="G390" s="4">
        <f>IFERROR(__xludf.DUMMYFUNCTION("""COMPUTED_VALUE"""),0.0)</f>
        <v>0</v>
      </c>
      <c r="H390" s="4"/>
      <c r="I390" s="4"/>
    </row>
    <row r="391">
      <c r="A391" s="4" t="str">
        <f>IFERROR(__xludf.DUMMYFUNCTION("""COMPUTED_VALUE"""),"cas_hmw")</f>
        <v>cas_hmw</v>
      </c>
      <c r="B391" s="5">
        <f>IFERROR(__xludf.DUMMYFUNCTION("""COMPUTED_VALUE"""),44721.0)</f>
        <v>44721</v>
      </c>
      <c r="C391" s="6">
        <f>IFERROR(__xludf.DUMMYFUNCTION("""COMPUTED_VALUE"""),0.7447453703716747)</f>
        <v>0.7447453704</v>
      </c>
      <c r="D391" s="4">
        <f>IFERROR(__xludf.DUMMYFUNCTION("""COMPUTED_VALUE"""),12.963989)</f>
        <v>12.963989</v>
      </c>
      <c r="E391" s="4">
        <f>IFERROR(__xludf.DUMMYFUNCTION("""COMPUTED_VALUE"""),80.21631)</f>
        <v>80.21631</v>
      </c>
      <c r="F391" s="4">
        <f>IFERROR(__xludf.DUMMYFUNCTION("""COMPUTED_VALUE"""),2846.0)</f>
        <v>2846</v>
      </c>
      <c r="G391" s="4">
        <f>IFERROR(__xludf.DUMMYFUNCTION("""COMPUTED_VALUE"""),0.0)</f>
        <v>0</v>
      </c>
      <c r="H391" s="4"/>
      <c r="I391" s="4"/>
    </row>
    <row r="392">
      <c r="A392" s="4" t="str">
        <f>IFERROR(__xludf.DUMMYFUNCTION("""COMPUTED_VALUE"""),"cas_hmw")</f>
        <v>cas_hmw</v>
      </c>
      <c r="B392" s="5">
        <f>IFERROR(__xludf.DUMMYFUNCTION("""COMPUTED_VALUE"""),44721.0)</f>
        <v>44721</v>
      </c>
      <c r="C392" s="6">
        <f>IFERROR(__xludf.DUMMYFUNCTION("""COMPUTED_VALUE"""),0.7448842592602887)</f>
        <v>0.7448842593</v>
      </c>
      <c r="D392" s="4">
        <f>IFERROR(__xludf.DUMMYFUNCTION("""COMPUTED_VALUE"""),12.963576)</f>
        <v>12.963576</v>
      </c>
      <c r="E392" s="4">
        <f>IFERROR(__xludf.DUMMYFUNCTION("""COMPUTED_VALUE"""),80.216133)</f>
        <v>80.216133</v>
      </c>
      <c r="F392" s="4">
        <f>IFERROR(__xludf.DUMMYFUNCTION("""COMPUTED_VALUE"""),2846.0)</f>
        <v>2846</v>
      </c>
      <c r="G392" s="4">
        <f>IFERROR(__xludf.DUMMYFUNCTION("""COMPUTED_VALUE"""),18.0)</f>
        <v>18</v>
      </c>
      <c r="H392" s="4"/>
      <c r="I392" s="4"/>
    </row>
    <row r="393">
      <c r="A393" s="4" t="str">
        <f>IFERROR(__xludf.DUMMYFUNCTION("""COMPUTED_VALUE"""),"cas_hmw")</f>
        <v>cas_hmw</v>
      </c>
      <c r="B393" s="5">
        <f>IFERROR(__xludf.DUMMYFUNCTION("""COMPUTED_VALUE"""),44721.0)</f>
        <v>44721</v>
      </c>
      <c r="C393" s="6">
        <f>IFERROR(__xludf.DUMMYFUNCTION("""COMPUTED_VALUE"""),0.7457060185188311)</f>
        <v>0.7457060185</v>
      </c>
      <c r="D393" s="4">
        <f>IFERROR(__xludf.DUMMYFUNCTION("""COMPUTED_VALUE"""),13.068167)</f>
        <v>13.068167</v>
      </c>
      <c r="E393" s="4">
        <f>IFERROR(__xludf.DUMMYFUNCTION("""COMPUTED_VALUE"""),80.271718)</f>
        <v>80.271718</v>
      </c>
      <c r="F393" s="4">
        <f>IFERROR(__xludf.DUMMYFUNCTION("""COMPUTED_VALUE"""),805.0)</f>
        <v>805</v>
      </c>
      <c r="G393" s="4">
        <f>IFERROR(__xludf.DUMMYFUNCTION("""COMPUTED_VALUE"""),5.0)</f>
        <v>5</v>
      </c>
      <c r="H393" s="4"/>
      <c r="I393" s="4"/>
    </row>
    <row r="394">
      <c r="A394" s="4" t="str">
        <f>IFERROR(__xludf.DUMMYFUNCTION("""COMPUTED_VALUE"""),"cas_hmw")</f>
        <v>cas_hmw</v>
      </c>
      <c r="B394" s="5">
        <f>IFERROR(__xludf.DUMMYFUNCTION("""COMPUTED_VALUE"""),44721.0)</f>
        <v>44721</v>
      </c>
      <c r="C394" s="6">
        <f>IFERROR(__xludf.DUMMYFUNCTION("""COMPUTED_VALUE"""),0.7523495370369346)</f>
        <v>0.752349537</v>
      </c>
      <c r="D394" s="4">
        <f>IFERROR(__xludf.DUMMYFUNCTION("""COMPUTED_VALUE"""),12.948449)</f>
        <v>12.948449</v>
      </c>
      <c r="E394" s="4">
        <f>IFERROR(__xludf.DUMMYFUNCTION("""COMPUTED_VALUE"""),80.199359)</f>
        <v>80.199359</v>
      </c>
      <c r="F394" s="4">
        <f>IFERROR(__xludf.DUMMYFUNCTION("""COMPUTED_VALUE"""),2846.0)</f>
        <v>2846</v>
      </c>
      <c r="G394" s="4">
        <f>IFERROR(__xludf.DUMMYFUNCTION("""COMPUTED_VALUE"""),4.0)</f>
        <v>4</v>
      </c>
      <c r="H394" s="4"/>
      <c r="I394" s="4"/>
    </row>
    <row r="395">
      <c r="A395" s="4" t="str">
        <f>IFERROR(__xludf.DUMMYFUNCTION("""COMPUTED_VALUE"""),"cas_hmw")</f>
        <v>cas_hmw</v>
      </c>
      <c r="B395" s="5">
        <f>IFERROR(__xludf.DUMMYFUNCTION("""COMPUTED_VALUE"""),44721.0)</f>
        <v>44721</v>
      </c>
      <c r="C395" s="6">
        <f>IFERROR(__xludf.DUMMYFUNCTION("""COMPUTED_VALUE"""),0.752372685186856)</f>
        <v>0.7523726852</v>
      </c>
      <c r="D395" s="4">
        <f>IFERROR(__xludf.DUMMYFUNCTION("""COMPUTED_VALUE"""),12.948449)</f>
        <v>12.948449</v>
      </c>
      <c r="E395" s="4">
        <f>IFERROR(__xludf.DUMMYFUNCTION("""COMPUTED_VALUE"""),80.199359)</f>
        <v>80.199359</v>
      </c>
      <c r="F395" s="4">
        <f>IFERROR(__xludf.DUMMYFUNCTION("""COMPUTED_VALUE"""),2846.0)</f>
        <v>2846</v>
      </c>
      <c r="G395" s="4">
        <f>IFERROR(__xludf.DUMMYFUNCTION("""COMPUTED_VALUE"""),4.0)</f>
        <v>4</v>
      </c>
      <c r="H395" s="4"/>
      <c r="I395" s="4"/>
    </row>
    <row r="396">
      <c r="A396" s="4" t="str">
        <f>IFERROR(__xludf.DUMMYFUNCTION("""COMPUTED_VALUE"""),"cas_hmw")</f>
        <v>cas_hmw</v>
      </c>
      <c r="B396" s="5">
        <f>IFERROR(__xludf.DUMMYFUNCTION("""COMPUTED_VALUE"""),44721.0)</f>
        <v>44721</v>
      </c>
      <c r="C396" s="6">
        <f>IFERROR(__xludf.DUMMYFUNCTION("""COMPUTED_VALUE"""),0.752442129629344)</f>
        <v>0.7524421296</v>
      </c>
      <c r="D396" s="4">
        <f>IFERROR(__xludf.DUMMYFUNCTION("""COMPUTED_VALUE"""),12.948449)</f>
        <v>12.948449</v>
      </c>
      <c r="E396" s="4">
        <f>IFERROR(__xludf.DUMMYFUNCTION("""COMPUTED_VALUE"""),80.199359)</f>
        <v>80.199359</v>
      </c>
      <c r="F396" s="4">
        <f>IFERROR(__xludf.DUMMYFUNCTION("""COMPUTED_VALUE"""),2846.0)</f>
        <v>2846</v>
      </c>
      <c r="G396" s="4">
        <f>IFERROR(__xludf.DUMMYFUNCTION("""COMPUTED_VALUE"""),4.0)</f>
        <v>4</v>
      </c>
      <c r="H396" s="4"/>
      <c r="I396" s="4"/>
    </row>
    <row r="397">
      <c r="A397" s="4" t="str">
        <f>IFERROR(__xludf.DUMMYFUNCTION("""COMPUTED_VALUE"""),"cas_hmw")</f>
        <v>cas_hmw</v>
      </c>
      <c r="B397" s="5">
        <f>IFERROR(__xludf.DUMMYFUNCTION("""COMPUTED_VALUE"""),44721.0)</f>
        <v>44721</v>
      </c>
      <c r="C397" s="6">
        <f>IFERROR(__xludf.DUMMYFUNCTION("""COMPUTED_VALUE"""),0.7528472222220444)</f>
        <v>0.7528472222</v>
      </c>
      <c r="D397" s="4">
        <f>IFERROR(__xludf.DUMMYFUNCTION("""COMPUTED_VALUE"""),13.067596)</f>
        <v>13.067596</v>
      </c>
      <c r="E397" s="4">
        <f>IFERROR(__xludf.DUMMYFUNCTION("""COMPUTED_VALUE"""),80.249655)</f>
        <v>80.249655</v>
      </c>
      <c r="F397" s="4">
        <f>IFERROR(__xludf.DUMMYFUNCTION("""COMPUTED_VALUE"""),805.0)</f>
        <v>805</v>
      </c>
      <c r="G397" s="4">
        <f>IFERROR(__xludf.DUMMYFUNCTION("""COMPUTED_VALUE"""),19.0)</f>
        <v>19</v>
      </c>
      <c r="H397" s="4"/>
      <c r="I397" s="4"/>
    </row>
    <row r="398">
      <c r="A398" s="4" t="str">
        <f>IFERROR(__xludf.DUMMYFUNCTION("""COMPUTED_VALUE"""),"cas_hmw")</f>
        <v>cas_hmw</v>
      </c>
      <c r="B398" s="5">
        <f>IFERROR(__xludf.DUMMYFUNCTION("""COMPUTED_VALUE"""),44721.0)</f>
        <v>44721</v>
      </c>
      <c r="C398" s="6">
        <f>IFERROR(__xludf.DUMMYFUNCTION("""COMPUTED_VALUE"""),0.7528703703719657)</f>
        <v>0.7528703704</v>
      </c>
      <c r="D398" s="4">
        <f>IFERROR(__xludf.DUMMYFUNCTION("""COMPUTED_VALUE"""),13.067596)</f>
        <v>13.067596</v>
      </c>
      <c r="E398" s="4">
        <f>IFERROR(__xludf.DUMMYFUNCTION("""COMPUTED_VALUE"""),80.249655)</f>
        <v>80.249655</v>
      </c>
      <c r="F398" s="4">
        <f>IFERROR(__xludf.DUMMYFUNCTION("""COMPUTED_VALUE"""),805.0)</f>
        <v>805</v>
      </c>
      <c r="G398" s="4">
        <f>IFERROR(__xludf.DUMMYFUNCTION("""COMPUTED_VALUE"""),19.0)</f>
        <v>19</v>
      </c>
      <c r="H398" s="4"/>
      <c r="I398" s="4"/>
    </row>
    <row r="399">
      <c r="A399" s="4" t="str">
        <f>IFERROR(__xludf.DUMMYFUNCTION("""COMPUTED_VALUE"""),"cas_hmw")</f>
        <v>cas_hmw</v>
      </c>
      <c r="B399" s="5">
        <f>IFERROR(__xludf.DUMMYFUNCTION("""COMPUTED_VALUE"""),44721.0)</f>
        <v>44721</v>
      </c>
      <c r="C399" s="6">
        <f>IFERROR(__xludf.DUMMYFUNCTION("""COMPUTED_VALUE"""),0.7572685185186856)</f>
        <v>0.7572685185</v>
      </c>
      <c r="D399" s="4">
        <f>IFERROR(__xludf.DUMMYFUNCTION("""COMPUTED_VALUE"""),12.948428)</f>
        <v>12.948428</v>
      </c>
      <c r="E399" s="4">
        <f>IFERROR(__xludf.DUMMYFUNCTION("""COMPUTED_VALUE"""),80.194592)</f>
        <v>80.194592</v>
      </c>
      <c r="F399" s="4">
        <f>IFERROR(__xludf.DUMMYFUNCTION("""COMPUTED_VALUE"""),2846.0)</f>
        <v>2846</v>
      </c>
      <c r="G399" s="4">
        <f>IFERROR(__xludf.DUMMYFUNCTION("""COMPUTED_VALUE"""),0.0)</f>
        <v>0</v>
      </c>
      <c r="H399" s="4"/>
      <c r="I399" s="4"/>
    </row>
    <row r="400">
      <c r="A400" s="4" t="str">
        <f>IFERROR(__xludf.DUMMYFUNCTION("""COMPUTED_VALUE"""),"cas_hmw")</f>
        <v>cas_hmw</v>
      </c>
      <c r="B400" s="5">
        <f>IFERROR(__xludf.DUMMYFUNCTION("""COMPUTED_VALUE"""),44721.0)</f>
        <v>44721</v>
      </c>
      <c r="C400" s="6">
        <f>IFERROR(__xludf.DUMMYFUNCTION("""COMPUTED_VALUE"""),0.7588194444433611)</f>
        <v>0.7588194444</v>
      </c>
      <c r="D400" s="4">
        <f>IFERROR(__xludf.DUMMYFUNCTION("""COMPUTED_VALUE"""),12.949615)</f>
        <v>12.949615</v>
      </c>
      <c r="E400" s="4">
        <f>IFERROR(__xludf.DUMMYFUNCTION("""COMPUTED_VALUE"""),80.181276)</f>
        <v>80.181276</v>
      </c>
      <c r="F400" s="4">
        <f>IFERROR(__xludf.DUMMYFUNCTION("""COMPUTED_VALUE"""),2846.0)</f>
        <v>2846</v>
      </c>
      <c r="G400" s="4">
        <f>IFERROR(__xludf.DUMMYFUNCTION("""COMPUTED_VALUE"""),19.0)</f>
        <v>19</v>
      </c>
      <c r="H400" s="4"/>
      <c r="I400" s="4"/>
    </row>
    <row r="401">
      <c r="A401" s="4" t="str">
        <f>IFERROR(__xludf.DUMMYFUNCTION("""COMPUTED_VALUE"""),"cas_hmw")</f>
        <v>cas_hmw</v>
      </c>
      <c r="B401" s="5">
        <f>IFERROR(__xludf.DUMMYFUNCTION("""COMPUTED_VALUE"""),44721.0)</f>
        <v>44721</v>
      </c>
      <c r="C401" s="6">
        <f>IFERROR(__xludf.DUMMYFUNCTION("""COMPUTED_VALUE"""),0.7751041666670062)</f>
        <v>0.7751041667</v>
      </c>
      <c r="D401" s="4">
        <f>IFERROR(__xludf.DUMMYFUNCTION("""COMPUTED_VALUE"""),12.953481)</f>
        <v>12.953481</v>
      </c>
      <c r="E401" s="4">
        <f>IFERROR(__xludf.DUMMYFUNCTION("""COMPUTED_VALUE"""),80.163566)</f>
        <v>80.163566</v>
      </c>
      <c r="F401" s="4">
        <f>IFERROR(__xludf.DUMMYFUNCTION("""COMPUTED_VALUE"""),2846.0)</f>
        <v>2846</v>
      </c>
      <c r="G401" s="4">
        <f>IFERROR(__xludf.DUMMYFUNCTION("""COMPUTED_VALUE"""),13.0)</f>
        <v>13</v>
      </c>
      <c r="H401" s="4"/>
      <c r="I401" s="4"/>
    </row>
    <row r="402">
      <c r="A402" s="4" t="str">
        <f>IFERROR(__xludf.DUMMYFUNCTION("""COMPUTED_VALUE"""),"cas_hmw")</f>
        <v>cas_hmw</v>
      </c>
      <c r="B402" s="5">
        <f>IFERROR(__xludf.DUMMYFUNCTION("""COMPUTED_VALUE"""),44721.0)</f>
        <v>44721</v>
      </c>
      <c r="C402" s="6">
        <f>IFERROR(__xludf.DUMMYFUNCTION("""COMPUTED_VALUE"""),0.7781597222237906)</f>
        <v>0.7781597222</v>
      </c>
      <c r="D402" s="4">
        <f>IFERROR(__xludf.DUMMYFUNCTION("""COMPUTED_VALUE"""),12.960216)</f>
        <v>12.960216</v>
      </c>
      <c r="E402" s="4">
        <f>IFERROR(__xludf.DUMMYFUNCTION("""COMPUTED_VALUE"""),80.145793)</f>
        <v>80.145793</v>
      </c>
      <c r="F402" s="4">
        <f>IFERROR(__xludf.DUMMYFUNCTION("""COMPUTED_VALUE"""),2846.0)</f>
        <v>2846</v>
      </c>
      <c r="G402" s="4">
        <f>IFERROR(__xludf.DUMMYFUNCTION("""COMPUTED_VALUE"""),8.0)</f>
        <v>8</v>
      </c>
      <c r="H402" s="4"/>
      <c r="I402" s="4"/>
    </row>
    <row r="403">
      <c r="A403" s="4" t="str">
        <f>IFERROR(__xludf.DUMMYFUNCTION("""COMPUTED_VALUE"""),"cas_hmw")</f>
        <v>cas_hmw</v>
      </c>
      <c r="B403" s="5">
        <f>IFERROR(__xludf.DUMMYFUNCTION("""COMPUTED_VALUE"""),44721.0)</f>
        <v>44721</v>
      </c>
      <c r="C403" s="6">
        <f>IFERROR(__xludf.DUMMYFUNCTION("""COMPUTED_VALUE"""),0.7783796296280343)</f>
        <v>0.7783796296</v>
      </c>
      <c r="D403" s="4">
        <f>IFERROR(__xludf.DUMMYFUNCTION("""COMPUTED_VALUE"""),12.960215)</f>
        <v>12.960215</v>
      </c>
      <c r="E403" s="4">
        <f>IFERROR(__xludf.DUMMYFUNCTION("""COMPUTED_VALUE"""),80.14558)</f>
        <v>80.14558</v>
      </c>
      <c r="F403" s="4">
        <f>IFERROR(__xludf.DUMMYFUNCTION("""COMPUTED_VALUE"""),2846.0)</f>
        <v>2846</v>
      </c>
      <c r="G403" s="4">
        <f>IFERROR(__xludf.DUMMYFUNCTION("""COMPUTED_VALUE"""),0.0)</f>
        <v>0</v>
      </c>
      <c r="H403" s="4"/>
      <c r="I403" s="4"/>
    </row>
    <row r="404">
      <c r="A404" s="4" t="str">
        <f>IFERROR(__xludf.DUMMYFUNCTION("""COMPUTED_VALUE"""),"cas_hmw")</f>
        <v>cas_hmw</v>
      </c>
      <c r="B404" s="5">
        <f>IFERROR(__xludf.DUMMYFUNCTION("""COMPUTED_VALUE"""),44721.0)</f>
        <v>44721</v>
      </c>
      <c r="C404" s="6">
        <f>IFERROR(__xludf.DUMMYFUNCTION("""COMPUTED_VALUE"""),0.7808101851842366)</f>
        <v>0.7808101852</v>
      </c>
      <c r="D404" s="4">
        <f>IFERROR(__xludf.DUMMYFUNCTION("""COMPUTED_VALUE"""),12.95064)</f>
        <v>12.95064</v>
      </c>
      <c r="E404" s="4">
        <f>IFERROR(__xludf.DUMMYFUNCTION("""COMPUTED_VALUE"""),80.139761)</f>
        <v>80.139761</v>
      </c>
      <c r="F404" s="4">
        <f>IFERROR(__xludf.DUMMYFUNCTION("""COMPUTED_VALUE"""),2846.0)</f>
        <v>2846</v>
      </c>
      <c r="G404" s="4">
        <f>IFERROR(__xludf.DUMMYFUNCTION("""COMPUTED_VALUE"""),0.0)</f>
        <v>0</v>
      </c>
      <c r="H404" s="4"/>
      <c r="I404" s="4"/>
    </row>
    <row r="405">
      <c r="A405" s="4" t="str">
        <f>IFERROR(__xludf.DUMMYFUNCTION("""COMPUTED_VALUE"""),"cas_hmw")</f>
        <v>cas_hmw</v>
      </c>
      <c r="B405" s="5">
        <f>IFERROR(__xludf.DUMMYFUNCTION("""COMPUTED_VALUE"""),44721.0)</f>
        <v>44721</v>
      </c>
      <c r="C405" s="6">
        <f>IFERROR(__xludf.DUMMYFUNCTION("""COMPUTED_VALUE"""),0.7872453703712381)</f>
        <v>0.7872453704</v>
      </c>
      <c r="D405" s="4">
        <f>IFERROR(__xludf.DUMMYFUNCTION("""COMPUTED_VALUE"""),12.926233)</f>
        <v>12.926233</v>
      </c>
      <c r="E405" s="4">
        <f>IFERROR(__xludf.DUMMYFUNCTION("""COMPUTED_VALUE"""),80.117503)</f>
        <v>80.117503</v>
      </c>
      <c r="F405" s="4">
        <f>IFERROR(__xludf.DUMMYFUNCTION("""COMPUTED_VALUE"""),2846.0)</f>
        <v>2846</v>
      </c>
      <c r="G405" s="4">
        <f>IFERROR(__xludf.DUMMYFUNCTION("""COMPUTED_VALUE"""),12.0)</f>
        <v>12</v>
      </c>
      <c r="H405" s="4"/>
      <c r="I405" s="4"/>
    </row>
    <row r="406">
      <c r="A406" s="4" t="str">
        <f>IFERROR(__xludf.DUMMYFUNCTION("""COMPUTED_VALUE"""),"cas_hmw")</f>
        <v>cas_hmw</v>
      </c>
      <c r="B406" s="5">
        <f>IFERROR(__xludf.DUMMYFUNCTION("""COMPUTED_VALUE"""),44721.0)</f>
        <v>44721</v>
      </c>
      <c r="C406" s="6">
        <f>IFERROR(__xludf.DUMMYFUNCTION("""COMPUTED_VALUE"""),0.7921296296299261)</f>
        <v>0.7921296296</v>
      </c>
      <c r="D406" s="4">
        <f>IFERROR(__xludf.DUMMYFUNCTION("""COMPUTED_VALUE"""),12.905097)</f>
        <v>12.905097</v>
      </c>
      <c r="E406" s="4">
        <f>IFERROR(__xludf.DUMMYFUNCTION("""COMPUTED_VALUE"""),80.095539)</f>
        <v>80.095539</v>
      </c>
      <c r="F406" s="4">
        <f>IFERROR(__xludf.DUMMYFUNCTION("""COMPUTED_VALUE"""),2846.0)</f>
        <v>2846</v>
      </c>
      <c r="G406" s="4">
        <f>IFERROR(__xludf.DUMMYFUNCTION("""COMPUTED_VALUE"""),17.0)</f>
        <v>17</v>
      </c>
      <c r="H406" s="4"/>
      <c r="I406" s="4"/>
    </row>
    <row r="407">
      <c r="A407" s="4" t="str">
        <f>IFERROR(__xludf.DUMMYFUNCTION("""COMPUTED_VALUE"""),"cas_hmw")</f>
        <v>cas_hmw</v>
      </c>
      <c r="B407" s="5">
        <f>IFERROR(__xludf.DUMMYFUNCTION("""COMPUTED_VALUE"""),44722.0)</f>
        <v>44722</v>
      </c>
      <c r="C407" s="6">
        <f>IFERROR(__xludf.DUMMYFUNCTION("""COMPUTED_VALUE"""),0.2981018518512428)</f>
        <v>0.2981018519</v>
      </c>
      <c r="D407" s="4">
        <f>IFERROR(__xludf.DUMMYFUNCTION("""COMPUTED_VALUE"""),13.06376)</f>
        <v>13.06376</v>
      </c>
      <c r="E407" s="4">
        <f>IFERROR(__xludf.DUMMYFUNCTION("""COMPUTED_VALUE"""),80.250839)</f>
        <v>80.250839</v>
      </c>
      <c r="F407" s="4">
        <f>IFERROR(__xludf.DUMMYFUNCTION("""COMPUTED_VALUE"""),805.0)</f>
        <v>805</v>
      </c>
      <c r="G407" s="4">
        <f>IFERROR(__xludf.DUMMYFUNCTION("""COMPUTED_VALUE"""),0.0)</f>
        <v>0</v>
      </c>
      <c r="H407" s="4"/>
      <c r="I407" s="4"/>
    </row>
    <row r="408">
      <c r="A408" s="4" t="str">
        <f>IFERROR(__xludf.DUMMYFUNCTION("""COMPUTED_VALUE"""),"cas_hmw")</f>
        <v>cas_hmw</v>
      </c>
      <c r="B408" s="5">
        <f>IFERROR(__xludf.DUMMYFUNCTION("""COMPUTED_VALUE"""),44722.0)</f>
        <v>44722</v>
      </c>
      <c r="C408" s="6">
        <f>IFERROR(__xludf.DUMMYFUNCTION("""COMPUTED_VALUE"""),0.31557870370306773)</f>
        <v>0.3155787037</v>
      </c>
      <c r="D408" s="4">
        <f>IFERROR(__xludf.DUMMYFUNCTION("""COMPUTED_VALUE"""),13.061161)</f>
        <v>13.061161</v>
      </c>
      <c r="E408" s="4">
        <f>IFERROR(__xludf.DUMMYFUNCTION("""COMPUTED_VALUE"""),80.274346)</f>
        <v>80.274346</v>
      </c>
      <c r="F408" s="4">
        <f>IFERROR(__xludf.DUMMYFUNCTION("""COMPUTED_VALUE"""),805.0)</f>
        <v>805</v>
      </c>
      <c r="G408" s="4">
        <f>IFERROR(__xludf.DUMMYFUNCTION("""COMPUTED_VALUE"""),0.0)</f>
        <v>0</v>
      </c>
      <c r="H408" s="4"/>
      <c r="I408" s="4"/>
    </row>
    <row r="409">
      <c r="A409" s="4" t="str">
        <f>IFERROR(__xludf.DUMMYFUNCTION("""COMPUTED_VALUE"""),"cas_hmw")</f>
        <v>cas_hmw</v>
      </c>
      <c r="B409" s="5">
        <f>IFERROR(__xludf.DUMMYFUNCTION("""COMPUTED_VALUE"""),44722.0)</f>
        <v>44722</v>
      </c>
      <c r="C409" s="6">
        <f>IFERROR(__xludf.DUMMYFUNCTION("""COMPUTED_VALUE"""),0.3155902777762094)</f>
        <v>0.3155902778</v>
      </c>
      <c r="D409" s="4">
        <f>IFERROR(__xludf.DUMMYFUNCTION("""COMPUTED_VALUE"""),13.061161)</f>
        <v>13.061161</v>
      </c>
      <c r="E409" s="4">
        <f>IFERROR(__xludf.DUMMYFUNCTION("""COMPUTED_VALUE"""),80.274346)</f>
        <v>80.274346</v>
      </c>
      <c r="F409" s="4">
        <f>IFERROR(__xludf.DUMMYFUNCTION("""COMPUTED_VALUE"""),805.0)</f>
        <v>805</v>
      </c>
      <c r="G409" s="4">
        <f>IFERROR(__xludf.DUMMYFUNCTION("""COMPUTED_VALUE"""),0.0)</f>
        <v>0</v>
      </c>
      <c r="H409" s="4"/>
      <c r="I409" s="4"/>
    </row>
    <row r="410">
      <c r="A410" s="4" t="str">
        <f>IFERROR(__xludf.DUMMYFUNCTION("""COMPUTED_VALUE"""),"cas_hmw")</f>
        <v>cas_hmw</v>
      </c>
      <c r="B410" s="5">
        <f>IFERROR(__xludf.DUMMYFUNCTION("""COMPUTED_VALUE"""),44722.0)</f>
        <v>44722</v>
      </c>
      <c r="C410" s="6">
        <f>IFERROR(__xludf.DUMMYFUNCTION("""COMPUTED_VALUE"""),0.31560185185298906)</f>
        <v>0.3156018519</v>
      </c>
      <c r="D410" s="4">
        <f>IFERROR(__xludf.DUMMYFUNCTION("""COMPUTED_VALUE"""),13.062563)</f>
        <v>13.062563</v>
      </c>
      <c r="E410" s="4">
        <f>IFERROR(__xludf.DUMMYFUNCTION("""COMPUTED_VALUE"""),80.274207)</f>
        <v>80.274207</v>
      </c>
      <c r="F410" s="4">
        <f>IFERROR(__xludf.DUMMYFUNCTION("""COMPUTED_VALUE"""),805.0)</f>
        <v>805</v>
      </c>
      <c r="G410" s="4">
        <f>IFERROR(__xludf.DUMMYFUNCTION("""COMPUTED_VALUE"""),0.0)</f>
        <v>0</v>
      </c>
      <c r="H410" s="4"/>
      <c r="I410" s="4"/>
    </row>
    <row r="411">
      <c r="A411" s="4" t="str">
        <f>IFERROR(__xludf.DUMMYFUNCTION("""COMPUTED_VALUE"""),"cas_hmw")</f>
        <v>cas_hmw</v>
      </c>
      <c r="B411" s="5">
        <f>IFERROR(__xludf.DUMMYFUNCTION("""COMPUTED_VALUE"""),44722.0)</f>
        <v>44722</v>
      </c>
      <c r="C411" s="6">
        <f>IFERROR(__xludf.DUMMYFUNCTION("""COMPUTED_VALUE"""),0.3178125000013097)</f>
        <v>0.3178125</v>
      </c>
      <c r="D411" s="4">
        <f>IFERROR(__xludf.DUMMYFUNCTION("""COMPUTED_VALUE"""),12.979733)</f>
        <v>12.979733</v>
      </c>
      <c r="E411" s="4">
        <f>IFERROR(__xludf.DUMMYFUNCTION("""COMPUTED_VALUE"""),80.227179)</f>
        <v>80.227179</v>
      </c>
      <c r="F411" s="4">
        <f>IFERROR(__xludf.DUMMYFUNCTION("""COMPUTED_VALUE"""),2846.0)</f>
        <v>2846</v>
      </c>
      <c r="G411" s="4">
        <f>IFERROR(__xludf.DUMMYFUNCTION("""COMPUTED_VALUE"""),0.0)</f>
        <v>0</v>
      </c>
      <c r="H411" s="4"/>
      <c r="I411" s="4"/>
    </row>
    <row r="412">
      <c r="A412" s="4" t="str">
        <f>IFERROR(__xludf.DUMMYFUNCTION("""COMPUTED_VALUE"""),"cas_hmw")</f>
        <v>cas_hmw</v>
      </c>
      <c r="B412" s="5">
        <f>IFERROR(__xludf.DUMMYFUNCTION("""COMPUTED_VALUE"""),44722.0)</f>
        <v>44722</v>
      </c>
      <c r="C412" s="6">
        <f>IFERROR(__xludf.DUMMYFUNCTION("""COMPUTED_VALUE"""),0.3181250000016007)</f>
        <v>0.318125</v>
      </c>
      <c r="D412" s="4">
        <f>IFERROR(__xludf.DUMMYFUNCTION("""COMPUTED_VALUE"""),12.979733)</f>
        <v>12.979733</v>
      </c>
      <c r="E412" s="4">
        <f>IFERROR(__xludf.DUMMYFUNCTION("""COMPUTED_VALUE"""),80.227179)</f>
        <v>80.227179</v>
      </c>
      <c r="F412" s="4">
        <f>IFERROR(__xludf.DUMMYFUNCTION("""COMPUTED_VALUE"""),2846.0)</f>
        <v>2846</v>
      </c>
      <c r="G412" s="4">
        <f>IFERROR(__xludf.DUMMYFUNCTION("""COMPUTED_VALUE"""),0.0)</f>
        <v>0</v>
      </c>
      <c r="H412" s="4"/>
      <c r="I412" s="4"/>
    </row>
    <row r="413">
      <c r="A413" s="4" t="str">
        <f>IFERROR(__xludf.DUMMYFUNCTION("""COMPUTED_VALUE"""),"cas_hmw")</f>
        <v>cas_hmw</v>
      </c>
      <c r="B413" s="5">
        <f>IFERROR(__xludf.DUMMYFUNCTION("""COMPUTED_VALUE"""),44722.0)</f>
        <v>44722</v>
      </c>
      <c r="C413" s="6">
        <f>IFERROR(__xludf.DUMMYFUNCTION("""COMPUTED_VALUE"""),0.31850694444437977)</f>
        <v>0.3185069444</v>
      </c>
      <c r="D413" s="4">
        <f>IFERROR(__xludf.DUMMYFUNCTION("""COMPUTED_VALUE"""),13.052898)</f>
        <v>13.052898</v>
      </c>
      <c r="E413" s="4">
        <f>IFERROR(__xludf.DUMMYFUNCTION("""COMPUTED_VALUE"""),80.273683)</f>
        <v>80.273683</v>
      </c>
      <c r="F413" s="4">
        <f>IFERROR(__xludf.DUMMYFUNCTION("""COMPUTED_VALUE"""),805.0)</f>
        <v>805</v>
      </c>
      <c r="G413" s="4">
        <f>IFERROR(__xludf.DUMMYFUNCTION("""COMPUTED_VALUE"""),7.0)</f>
        <v>7</v>
      </c>
      <c r="H413" s="4"/>
      <c r="I413" s="4"/>
    </row>
    <row r="414">
      <c r="A414" s="4" t="str">
        <f>IFERROR(__xludf.DUMMYFUNCTION("""COMPUTED_VALUE"""),"cas_hmw")</f>
        <v>cas_hmw</v>
      </c>
      <c r="B414" s="5">
        <f>IFERROR(__xludf.DUMMYFUNCTION("""COMPUTED_VALUE"""),44722.0)</f>
        <v>44722</v>
      </c>
      <c r="C414" s="6">
        <f>IFERROR(__xludf.DUMMYFUNCTION("""COMPUTED_VALUE"""),0.3185648148137261)</f>
        <v>0.3185648148</v>
      </c>
      <c r="D414" s="4">
        <f>IFERROR(__xludf.DUMMYFUNCTION("""COMPUTED_VALUE"""),13.052898)</f>
        <v>13.052898</v>
      </c>
      <c r="E414" s="4">
        <f>IFERROR(__xludf.DUMMYFUNCTION("""COMPUTED_VALUE"""),80.273683)</f>
        <v>80.273683</v>
      </c>
      <c r="F414" s="4">
        <f>IFERROR(__xludf.DUMMYFUNCTION("""COMPUTED_VALUE"""),805.0)</f>
        <v>805</v>
      </c>
      <c r="G414" s="4">
        <f>IFERROR(__xludf.DUMMYFUNCTION("""COMPUTED_VALUE"""),7.0)</f>
        <v>7</v>
      </c>
      <c r="H414" s="4"/>
      <c r="I414" s="4"/>
    </row>
    <row r="415">
      <c r="A415" s="4" t="str">
        <f>IFERROR(__xludf.DUMMYFUNCTION("""COMPUTED_VALUE"""),"cas_hmw")</f>
        <v>cas_hmw</v>
      </c>
      <c r="B415" s="5">
        <f>IFERROR(__xludf.DUMMYFUNCTION("""COMPUTED_VALUE"""),44722.0)</f>
        <v>44722</v>
      </c>
      <c r="C415" s="6">
        <f>IFERROR(__xludf.DUMMYFUNCTION("""COMPUTED_VALUE"""),0.31894675926014315)</f>
        <v>0.3189467593</v>
      </c>
      <c r="D415" s="4">
        <f>IFERROR(__xludf.DUMMYFUNCTION("""COMPUTED_VALUE"""),13.053192)</f>
        <v>13.053192</v>
      </c>
      <c r="E415" s="4">
        <f>IFERROR(__xludf.DUMMYFUNCTION("""COMPUTED_VALUE"""),80.271064)</f>
        <v>80.271064</v>
      </c>
      <c r="F415" s="4">
        <f>IFERROR(__xludf.DUMMYFUNCTION("""COMPUTED_VALUE"""),805.0)</f>
        <v>805</v>
      </c>
      <c r="G415" s="4">
        <f>IFERROR(__xludf.DUMMYFUNCTION("""COMPUTED_VALUE"""),11.0)</f>
        <v>11</v>
      </c>
      <c r="H415" s="4"/>
      <c r="I415" s="4"/>
    </row>
    <row r="416">
      <c r="A416" s="4" t="str">
        <f>IFERROR(__xludf.DUMMYFUNCTION("""COMPUTED_VALUE"""),"cas_hmw")</f>
        <v>cas_hmw</v>
      </c>
      <c r="B416" s="5">
        <f>IFERROR(__xludf.DUMMYFUNCTION("""COMPUTED_VALUE"""),44722.0)</f>
        <v>44722</v>
      </c>
      <c r="C416" s="6">
        <f>IFERROR(__xludf.DUMMYFUNCTION("""COMPUTED_VALUE"""),0.3191435185181035)</f>
        <v>0.3191435185</v>
      </c>
      <c r="D416" s="4">
        <f>IFERROR(__xludf.DUMMYFUNCTION("""COMPUTED_VALUE"""),13.053232)</f>
        <v>13.053232</v>
      </c>
      <c r="E416" s="4">
        <f>IFERROR(__xludf.DUMMYFUNCTION("""COMPUTED_VALUE"""),80.270792)</f>
        <v>80.270792</v>
      </c>
      <c r="F416" s="4">
        <f>IFERROR(__xludf.DUMMYFUNCTION("""COMPUTED_VALUE"""),805.0)</f>
        <v>805</v>
      </c>
      <c r="G416" s="4">
        <f>IFERROR(__xludf.DUMMYFUNCTION("""COMPUTED_VALUE"""),0.0)</f>
        <v>0</v>
      </c>
      <c r="H416" s="4"/>
      <c r="I416" s="4"/>
    </row>
    <row r="417">
      <c r="A417" s="4" t="str">
        <f>IFERROR(__xludf.DUMMYFUNCTION("""COMPUTED_VALUE"""),"cas_hmw")</f>
        <v>cas_hmw</v>
      </c>
      <c r="B417" s="5">
        <f>IFERROR(__xludf.DUMMYFUNCTION("""COMPUTED_VALUE"""),44722.0)</f>
        <v>44722</v>
      </c>
      <c r="C417" s="6">
        <f>IFERROR(__xludf.DUMMYFUNCTION("""COMPUTED_VALUE"""),0.31950231481459923)</f>
        <v>0.3195023148</v>
      </c>
      <c r="D417" s="4">
        <f>IFERROR(__xludf.DUMMYFUNCTION("""COMPUTED_VALUE"""),13.053232)</f>
        <v>13.053232</v>
      </c>
      <c r="E417" s="4">
        <f>IFERROR(__xludf.DUMMYFUNCTION("""COMPUTED_VALUE"""),80.270792)</f>
        <v>80.270792</v>
      </c>
      <c r="F417" s="4">
        <f>IFERROR(__xludf.DUMMYFUNCTION("""COMPUTED_VALUE"""),805.0)</f>
        <v>805</v>
      </c>
      <c r="G417" s="4">
        <f>IFERROR(__xludf.DUMMYFUNCTION("""COMPUTED_VALUE"""),0.0)</f>
        <v>0</v>
      </c>
      <c r="H417" s="4"/>
      <c r="I417" s="4"/>
    </row>
    <row r="418">
      <c r="A418" s="4" t="str">
        <f>IFERROR(__xludf.DUMMYFUNCTION("""COMPUTED_VALUE"""),"cas_hmw")</f>
        <v>cas_hmw</v>
      </c>
      <c r="B418" s="5">
        <f>IFERROR(__xludf.DUMMYFUNCTION("""COMPUTED_VALUE"""),44722.0)</f>
        <v>44722</v>
      </c>
      <c r="C418" s="6">
        <f>IFERROR(__xludf.DUMMYFUNCTION("""COMPUTED_VALUE"""),0.32042824074233067)</f>
        <v>0.3204282407</v>
      </c>
      <c r="D418" s="4">
        <f>IFERROR(__xludf.DUMMYFUNCTION("""COMPUTED_VALUE"""),13.053232)</f>
        <v>13.053232</v>
      </c>
      <c r="E418" s="4">
        <f>IFERROR(__xludf.DUMMYFUNCTION("""COMPUTED_VALUE"""),80.270792)</f>
        <v>80.270792</v>
      </c>
      <c r="F418" s="4">
        <f>IFERROR(__xludf.DUMMYFUNCTION("""COMPUTED_VALUE"""),805.0)</f>
        <v>805</v>
      </c>
      <c r="G418" s="4">
        <f>IFERROR(__xludf.DUMMYFUNCTION("""COMPUTED_VALUE"""),0.0)</f>
        <v>0</v>
      </c>
      <c r="H418" s="4"/>
      <c r="I418" s="4"/>
    </row>
    <row r="419">
      <c r="A419" s="4" t="str">
        <f>IFERROR(__xludf.DUMMYFUNCTION("""COMPUTED_VALUE"""),"cas_hmw")</f>
        <v>cas_hmw</v>
      </c>
      <c r="B419" s="5">
        <f>IFERROR(__xludf.DUMMYFUNCTION("""COMPUTED_VALUE"""),44722.0)</f>
        <v>44722</v>
      </c>
      <c r="C419" s="6">
        <f>IFERROR(__xludf.DUMMYFUNCTION("""COMPUTED_VALUE"""),0.32806712963065365)</f>
        <v>0.3280671296</v>
      </c>
      <c r="D419" s="4">
        <f>IFERROR(__xludf.DUMMYFUNCTION("""COMPUTED_VALUE"""),13.039637)</f>
        <v>13.039637</v>
      </c>
      <c r="E419" s="4">
        <f>IFERROR(__xludf.DUMMYFUNCTION("""COMPUTED_VALUE"""),80.247111)</f>
        <v>80.247111</v>
      </c>
      <c r="F419" s="4">
        <f>IFERROR(__xludf.DUMMYFUNCTION("""COMPUTED_VALUE"""),805.0)</f>
        <v>805</v>
      </c>
      <c r="G419" s="4">
        <f>IFERROR(__xludf.DUMMYFUNCTION("""COMPUTED_VALUE"""),0.0)</f>
        <v>0</v>
      </c>
      <c r="H419" s="4"/>
      <c r="I419" s="4"/>
    </row>
    <row r="420">
      <c r="A420" s="4" t="str">
        <f>IFERROR(__xludf.DUMMYFUNCTION("""COMPUTED_VALUE"""),"cas_hmw")</f>
        <v>cas_hmw</v>
      </c>
      <c r="B420" s="5">
        <f>IFERROR(__xludf.DUMMYFUNCTION("""COMPUTED_VALUE"""),44722.0)</f>
        <v>44722</v>
      </c>
      <c r="C420" s="6">
        <f>IFERROR(__xludf.DUMMYFUNCTION("""COMPUTED_VALUE"""),0.3287152777775191)</f>
        <v>0.3287152778</v>
      </c>
      <c r="D420" s="4">
        <f>IFERROR(__xludf.DUMMYFUNCTION("""COMPUTED_VALUE"""),13.035046)</f>
        <v>13.035046</v>
      </c>
      <c r="E420" s="4">
        <f>IFERROR(__xludf.DUMMYFUNCTION("""COMPUTED_VALUE"""),80.246017)</f>
        <v>80.246017</v>
      </c>
      <c r="F420" s="4">
        <f>IFERROR(__xludf.DUMMYFUNCTION("""COMPUTED_VALUE"""),805.0)</f>
        <v>805</v>
      </c>
      <c r="G420" s="4">
        <f>IFERROR(__xludf.DUMMYFUNCTION("""COMPUTED_VALUE"""),19.0)</f>
        <v>19</v>
      </c>
      <c r="H420" s="4"/>
      <c r="I420" s="4"/>
    </row>
    <row r="421">
      <c r="A421" s="4" t="str">
        <f>IFERROR(__xludf.DUMMYFUNCTION("""COMPUTED_VALUE"""),"cas_hmw")</f>
        <v>cas_hmw</v>
      </c>
      <c r="B421" s="5">
        <f>IFERROR(__xludf.DUMMYFUNCTION("""COMPUTED_VALUE"""),44722.0)</f>
        <v>44722</v>
      </c>
      <c r="C421" s="6">
        <f>IFERROR(__xludf.DUMMYFUNCTION("""COMPUTED_VALUE"""),0.3287384259274404)</f>
        <v>0.3287384259</v>
      </c>
      <c r="D421" s="4">
        <f>IFERROR(__xludf.DUMMYFUNCTION("""COMPUTED_VALUE"""),13.035046)</f>
        <v>13.035046</v>
      </c>
      <c r="E421" s="4">
        <f>IFERROR(__xludf.DUMMYFUNCTION("""COMPUTED_VALUE"""),80.246017)</f>
        <v>80.246017</v>
      </c>
      <c r="F421" s="4">
        <f>IFERROR(__xludf.DUMMYFUNCTION("""COMPUTED_VALUE"""),805.0)</f>
        <v>805</v>
      </c>
      <c r="G421" s="4">
        <f>IFERROR(__xludf.DUMMYFUNCTION("""COMPUTED_VALUE"""),19.0)</f>
        <v>19</v>
      </c>
      <c r="H421" s="4"/>
      <c r="I421" s="4"/>
    </row>
    <row r="422">
      <c r="A422" s="4" t="str">
        <f>IFERROR(__xludf.DUMMYFUNCTION("""COMPUTED_VALUE"""),"cas_hmw")</f>
        <v>cas_hmw</v>
      </c>
      <c r="B422" s="5">
        <f>IFERROR(__xludf.DUMMYFUNCTION("""COMPUTED_VALUE"""),44722.0)</f>
        <v>44722</v>
      </c>
      <c r="C422" s="6">
        <f>IFERROR(__xludf.DUMMYFUNCTION("""COMPUTED_VALUE"""),0.3290625000008731)</f>
        <v>0.3290625</v>
      </c>
      <c r="D422" s="4">
        <f>IFERROR(__xludf.DUMMYFUNCTION("""COMPUTED_VALUE"""),13.035194)</f>
        <v>13.035194</v>
      </c>
      <c r="E422" s="4">
        <f>IFERROR(__xludf.DUMMYFUNCTION("""COMPUTED_VALUE"""),80.246116)</f>
        <v>80.246116</v>
      </c>
      <c r="F422" s="4">
        <f>IFERROR(__xludf.DUMMYFUNCTION("""COMPUTED_VALUE"""),805.0)</f>
        <v>805</v>
      </c>
      <c r="G422" s="4">
        <f>IFERROR(__xludf.DUMMYFUNCTION("""COMPUTED_VALUE"""),5.0)</f>
        <v>5</v>
      </c>
      <c r="H422" s="4"/>
      <c r="I422" s="4"/>
    </row>
    <row r="423">
      <c r="A423" s="4" t="str">
        <f>IFERROR(__xludf.DUMMYFUNCTION("""COMPUTED_VALUE"""),"cas_hmw")</f>
        <v>cas_hmw</v>
      </c>
      <c r="B423" s="5">
        <f>IFERROR(__xludf.DUMMYFUNCTION("""COMPUTED_VALUE"""),44722.0)</f>
        <v>44722</v>
      </c>
      <c r="C423" s="6">
        <f>IFERROR(__xludf.DUMMYFUNCTION("""COMPUTED_VALUE"""),0.32934027777810115)</f>
        <v>0.3293402778</v>
      </c>
      <c r="D423" s="4">
        <f>IFERROR(__xludf.DUMMYFUNCTION("""COMPUTED_VALUE"""),12.980417)</f>
        <v>12.980417</v>
      </c>
      <c r="E423" s="4">
        <f>IFERROR(__xludf.DUMMYFUNCTION("""COMPUTED_VALUE"""),80.228272)</f>
        <v>80.228272</v>
      </c>
      <c r="F423" s="4">
        <f>IFERROR(__xludf.DUMMYFUNCTION("""COMPUTED_VALUE"""),2846.0)</f>
        <v>2846</v>
      </c>
      <c r="G423" s="4">
        <f>IFERROR(__xludf.DUMMYFUNCTION("""COMPUTED_VALUE"""),0.0)</f>
        <v>0</v>
      </c>
      <c r="H423" s="4"/>
      <c r="I423" s="4"/>
    </row>
    <row r="424">
      <c r="A424" s="4" t="str">
        <f>IFERROR(__xludf.DUMMYFUNCTION("""COMPUTED_VALUE"""),"cas_hmw")</f>
        <v>cas_hmw</v>
      </c>
      <c r="B424" s="5">
        <f>IFERROR(__xludf.DUMMYFUNCTION("""COMPUTED_VALUE"""),44722.0)</f>
        <v>44722</v>
      </c>
      <c r="C424" s="6">
        <f>IFERROR(__xludf.DUMMYFUNCTION("""COMPUTED_VALUE"""),0.33105324074131204)</f>
        <v>0.3310532407</v>
      </c>
      <c r="D424" s="4">
        <f>IFERROR(__xludf.DUMMYFUNCTION("""COMPUTED_VALUE"""),13.032061)</f>
        <v>13.032061</v>
      </c>
      <c r="E424" s="4">
        <f>IFERROR(__xludf.DUMMYFUNCTION("""COMPUTED_VALUE"""),80.242119)</f>
        <v>80.242119</v>
      </c>
      <c r="F424" s="4">
        <f>IFERROR(__xludf.DUMMYFUNCTION("""COMPUTED_VALUE"""),805.0)</f>
        <v>805</v>
      </c>
      <c r="G424" s="4">
        <f>IFERROR(__xludf.DUMMYFUNCTION("""COMPUTED_VALUE"""),0.0)</f>
        <v>0</v>
      </c>
      <c r="H424" s="4"/>
      <c r="I424" s="4"/>
    </row>
    <row r="425">
      <c r="A425" s="4" t="str">
        <f>IFERROR(__xludf.DUMMYFUNCTION("""COMPUTED_VALUE"""),"cas_hmw")</f>
        <v>cas_hmw</v>
      </c>
      <c r="B425" s="5">
        <f>IFERROR(__xludf.DUMMYFUNCTION("""COMPUTED_VALUE"""),44722.0)</f>
        <v>44722</v>
      </c>
      <c r="C425" s="6">
        <f>IFERROR(__xludf.DUMMYFUNCTION("""COMPUTED_VALUE"""),0.3329513888893416)</f>
        <v>0.3329513889</v>
      </c>
      <c r="D425" s="4">
        <f>IFERROR(__xludf.DUMMYFUNCTION("""COMPUTED_VALUE"""),13.031164)</f>
        <v>13.031164</v>
      </c>
      <c r="E425" s="4">
        <f>IFERROR(__xludf.DUMMYFUNCTION("""COMPUTED_VALUE"""),80.240268)</f>
        <v>80.240268</v>
      </c>
      <c r="F425" s="4">
        <f>IFERROR(__xludf.DUMMYFUNCTION("""COMPUTED_VALUE"""),805.0)</f>
        <v>805</v>
      </c>
      <c r="G425" s="4">
        <f>IFERROR(__xludf.DUMMYFUNCTION("""COMPUTED_VALUE"""),0.0)</f>
        <v>0</v>
      </c>
      <c r="H425" s="4"/>
      <c r="I425" s="4"/>
    </row>
    <row r="426">
      <c r="A426" s="4" t="str">
        <f>IFERROR(__xludf.DUMMYFUNCTION("""COMPUTED_VALUE"""),"cas_hmw")</f>
        <v>cas_hmw</v>
      </c>
      <c r="B426" s="5">
        <f>IFERROR(__xludf.DUMMYFUNCTION("""COMPUTED_VALUE"""),44722.0)</f>
        <v>44722</v>
      </c>
      <c r="C426" s="6">
        <f>IFERROR(__xludf.DUMMYFUNCTION("""COMPUTED_VALUE"""),0.33640046296204673)</f>
        <v>0.336400463</v>
      </c>
      <c r="D426" s="4">
        <f>IFERROR(__xludf.DUMMYFUNCTION("""COMPUTED_VALUE"""),13.019709)</f>
        <v>13.019709</v>
      </c>
      <c r="E426" s="4">
        <f>IFERROR(__xludf.DUMMYFUNCTION("""COMPUTED_VALUE"""),80.2247)</f>
        <v>80.2247</v>
      </c>
      <c r="F426" s="4">
        <f>IFERROR(__xludf.DUMMYFUNCTION("""COMPUTED_VALUE"""),805.0)</f>
        <v>805</v>
      </c>
      <c r="G426" s="4">
        <f>IFERROR(__xludf.DUMMYFUNCTION("""COMPUTED_VALUE"""),20.0)</f>
        <v>20</v>
      </c>
      <c r="H426" s="4"/>
      <c r="I426" s="4"/>
    </row>
    <row r="427">
      <c r="A427" s="4" t="str">
        <f>IFERROR(__xludf.DUMMYFUNCTION("""COMPUTED_VALUE"""),"cas_hmw")</f>
        <v>cas_hmw</v>
      </c>
      <c r="B427" s="5">
        <f>IFERROR(__xludf.DUMMYFUNCTION("""COMPUTED_VALUE"""),44722.0)</f>
        <v>44722</v>
      </c>
      <c r="C427" s="6">
        <f>IFERROR(__xludf.DUMMYFUNCTION("""COMPUTED_VALUE"""),0.3400115740732872)</f>
        <v>0.3400115741</v>
      </c>
      <c r="D427" s="4">
        <f>IFERROR(__xludf.DUMMYFUNCTION("""COMPUTED_VALUE"""),12.964791)</f>
        <v>12.964791</v>
      </c>
      <c r="E427" s="4">
        <f>IFERROR(__xludf.DUMMYFUNCTION("""COMPUTED_VALUE"""),80.196205)</f>
        <v>80.196205</v>
      </c>
      <c r="F427" s="4">
        <f>IFERROR(__xludf.DUMMYFUNCTION("""COMPUTED_VALUE"""),2846.0)</f>
        <v>2846</v>
      </c>
      <c r="G427" s="4">
        <f>IFERROR(__xludf.DUMMYFUNCTION("""COMPUTED_VALUE"""),10.0)</f>
        <v>10</v>
      </c>
      <c r="H427" s="4"/>
      <c r="I427" s="4"/>
    </row>
    <row r="428">
      <c r="A428" s="4" t="str">
        <f>IFERROR(__xludf.DUMMYFUNCTION("""COMPUTED_VALUE"""),"cas_hmw")</f>
        <v>cas_hmw</v>
      </c>
      <c r="B428" s="5">
        <f>IFERROR(__xludf.DUMMYFUNCTION("""COMPUTED_VALUE"""),44722.0)</f>
        <v>44722</v>
      </c>
      <c r="C428" s="6">
        <f>IFERROR(__xludf.DUMMYFUNCTION("""COMPUTED_VALUE"""),0.34053240740831825)</f>
        <v>0.3405324074</v>
      </c>
      <c r="D428" s="4">
        <f>IFERROR(__xludf.DUMMYFUNCTION("""COMPUTED_VALUE"""),12.965617)</f>
        <v>12.965617</v>
      </c>
      <c r="E428" s="4">
        <f>IFERROR(__xludf.DUMMYFUNCTION("""COMPUTED_VALUE"""),80.190315)</f>
        <v>80.190315</v>
      </c>
      <c r="F428" s="4">
        <f>IFERROR(__xludf.DUMMYFUNCTION("""COMPUTED_VALUE"""),2846.0)</f>
        <v>2846</v>
      </c>
      <c r="G428" s="4">
        <f>IFERROR(__xludf.DUMMYFUNCTION("""COMPUTED_VALUE"""),19.0)</f>
        <v>19</v>
      </c>
      <c r="H428" s="4"/>
      <c r="I428" s="4"/>
    </row>
    <row r="429">
      <c r="A429" s="4" t="str">
        <f>IFERROR(__xludf.DUMMYFUNCTION("""COMPUTED_VALUE"""),"cas_hmw")</f>
        <v>cas_hmw</v>
      </c>
      <c r="B429" s="5">
        <f>IFERROR(__xludf.DUMMYFUNCTION("""COMPUTED_VALUE"""),44722.0)</f>
        <v>44722</v>
      </c>
      <c r="C429" s="6">
        <f>IFERROR(__xludf.DUMMYFUNCTION("""COMPUTED_VALUE"""),0.34289351851839456)</f>
        <v>0.3428935185</v>
      </c>
      <c r="D429" s="4">
        <f>IFERROR(__xludf.DUMMYFUNCTION("""COMPUTED_VALUE"""),13.00399)</f>
        <v>13.00399</v>
      </c>
      <c r="E429" s="4">
        <f>IFERROR(__xludf.DUMMYFUNCTION("""COMPUTED_VALUE"""),80.201201)</f>
        <v>80.201201</v>
      </c>
      <c r="F429" s="4">
        <f>IFERROR(__xludf.DUMMYFUNCTION("""COMPUTED_VALUE"""),805.0)</f>
        <v>805</v>
      </c>
      <c r="G429" s="4">
        <f>IFERROR(__xludf.DUMMYFUNCTION("""COMPUTED_VALUE"""),5.0)</f>
        <v>5</v>
      </c>
      <c r="H429" s="4"/>
      <c r="I429" s="4"/>
    </row>
    <row r="430">
      <c r="A430" s="4" t="str">
        <f>IFERROR(__xludf.DUMMYFUNCTION("""COMPUTED_VALUE"""),"cas_hmw")</f>
        <v>cas_hmw</v>
      </c>
      <c r="B430" s="5">
        <f>IFERROR(__xludf.DUMMYFUNCTION("""COMPUTED_VALUE"""),44722.0)</f>
        <v>44722</v>
      </c>
      <c r="C430" s="6">
        <f>IFERROR(__xludf.DUMMYFUNCTION("""COMPUTED_VALUE"""),0.35012731481401715)</f>
        <v>0.3501273148</v>
      </c>
      <c r="D430" s="4">
        <f>IFERROR(__xludf.DUMMYFUNCTION("""COMPUTED_VALUE"""),12.945427)</f>
        <v>12.945427</v>
      </c>
      <c r="E430" s="4">
        <f>IFERROR(__xludf.DUMMYFUNCTION("""COMPUTED_VALUE"""),80.183226)</f>
        <v>80.183226</v>
      </c>
      <c r="F430" s="4">
        <f>IFERROR(__xludf.DUMMYFUNCTION("""COMPUTED_VALUE"""),2846.0)</f>
        <v>2846</v>
      </c>
      <c r="G430" s="4">
        <f>IFERROR(__xludf.DUMMYFUNCTION("""COMPUTED_VALUE"""),0.0)</f>
        <v>0</v>
      </c>
      <c r="H430" s="4"/>
      <c r="I430" s="4"/>
    </row>
    <row r="431">
      <c r="A431" s="4" t="str">
        <f>IFERROR(__xludf.DUMMYFUNCTION("""COMPUTED_VALUE"""),"cas_hmw")</f>
        <v>cas_hmw</v>
      </c>
      <c r="B431" s="5">
        <f>IFERROR(__xludf.DUMMYFUNCTION("""COMPUTED_VALUE"""),44722.0)</f>
        <v>44722</v>
      </c>
      <c r="C431" s="6">
        <f>IFERROR(__xludf.DUMMYFUNCTION("""COMPUTED_VALUE"""),0.3502199074064265)</f>
        <v>0.3502199074</v>
      </c>
      <c r="D431" s="4">
        <f>IFERROR(__xludf.DUMMYFUNCTION("""COMPUTED_VALUE"""),12.945427)</f>
        <v>12.945427</v>
      </c>
      <c r="E431" s="4">
        <f>IFERROR(__xludf.DUMMYFUNCTION("""COMPUTED_VALUE"""),80.183226)</f>
        <v>80.183226</v>
      </c>
      <c r="F431" s="4">
        <f>IFERROR(__xludf.DUMMYFUNCTION("""COMPUTED_VALUE"""),2846.0)</f>
        <v>2846</v>
      </c>
      <c r="G431" s="4">
        <f>IFERROR(__xludf.DUMMYFUNCTION("""COMPUTED_VALUE"""),0.0)</f>
        <v>0</v>
      </c>
      <c r="H431" s="4"/>
      <c r="I431" s="4"/>
    </row>
    <row r="432">
      <c r="A432" s="4" t="str">
        <f>IFERROR(__xludf.DUMMYFUNCTION("""COMPUTED_VALUE"""),"cas_hmw")</f>
        <v>cas_hmw</v>
      </c>
      <c r="B432" s="5">
        <f>IFERROR(__xludf.DUMMYFUNCTION("""COMPUTED_VALUE"""),44722.0)</f>
        <v>44722</v>
      </c>
      <c r="C432" s="6">
        <f>IFERROR(__xludf.DUMMYFUNCTION("""COMPUTED_VALUE"""),0.3503240740756155)</f>
        <v>0.3503240741</v>
      </c>
      <c r="D432" s="4">
        <f>IFERROR(__xludf.DUMMYFUNCTION("""COMPUTED_VALUE"""),12.945427)</f>
        <v>12.945427</v>
      </c>
      <c r="E432" s="4">
        <f>IFERROR(__xludf.DUMMYFUNCTION("""COMPUTED_VALUE"""),80.183226)</f>
        <v>80.183226</v>
      </c>
      <c r="F432" s="4">
        <f>IFERROR(__xludf.DUMMYFUNCTION("""COMPUTED_VALUE"""),2846.0)</f>
        <v>2846</v>
      </c>
      <c r="G432" s="4">
        <f>IFERROR(__xludf.DUMMYFUNCTION("""COMPUTED_VALUE"""),0.0)</f>
        <v>0</v>
      </c>
      <c r="H432" s="4"/>
      <c r="I432" s="4"/>
    </row>
    <row r="433">
      <c r="A433" s="4" t="str">
        <f>IFERROR(__xludf.DUMMYFUNCTION("""COMPUTED_VALUE"""),"cas_hmw")</f>
        <v>cas_hmw</v>
      </c>
      <c r="B433" s="5">
        <f>IFERROR(__xludf.DUMMYFUNCTION("""COMPUTED_VALUE"""),44722.0)</f>
        <v>44722</v>
      </c>
      <c r="C433" s="6">
        <f>IFERROR(__xludf.DUMMYFUNCTION("""COMPUTED_VALUE"""),0.3503587962950405)</f>
        <v>0.3503587963</v>
      </c>
      <c r="D433" s="4">
        <f>IFERROR(__xludf.DUMMYFUNCTION("""COMPUTED_VALUE"""),12.945427)</f>
        <v>12.945427</v>
      </c>
      <c r="E433" s="4">
        <f>IFERROR(__xludf.DUMMYFUNCTION("""COMPUTED_VALUE"""),80.183226)</f>
        <v>80.183226</v>
      </c>
      <c r="F433" s="4">
        <f>IFERROR(__xludf.DUMMYFUNCTION("""COMPUTED_VALUE"""),2846.0)</f>
        <v>2846</v>
      </c>
      <c r="G433" s="4">
        <f>IFERROR(__xludf.DUMMYFUNCTION("""COMPUTED_VALUE"""),0.0)</f>
        <v>0</v>
      </c>
      <c r="H433" s="4"/>
      <c r="I433" s="4"/>
    </row>
    <row r="434">
      <c r="A434" s="4" t="str">
        <f>IFERROR(__xludf.DUMMYFUNCTION("""COMPUTED_VALUE"""),"cas_hmw")</f>
        <v>cas_hmw</v>
      </c>
      <c r="B434" s="5">
        <f>IFERROR(__xludf.DUMMYFUNCTION("""COMPUTED_VALUE"""),44722.0)</f>
        <v>44722</v>
      </c>
      <c r="C434" s="6">
        <f>IFERROR(__xludf.DUMMYFUNCTION("""COMPUTED_VALUE"""),0.3503703703718202)</f>
        <v>0.3503703704</v>
      </c>
      <c r="D434" s="4">
        <f>IFERROR(__xludf.DUMMYFUNCTION("""COMPUTED_VALUE"""),12.945427)</f>
        <v>12.945427</v>
      </c>
      <c r="E434" s="4">
        <f>IFERROR(__xludf.DUMMYFUNCTION("""COMPUTED_VALUE"""),80.183226)</f>
        <v>80.183226</v>
      </c>
      <c r="F434" s="4">
        <f>IFERROR(__xludf.DUMMYFUNCTION("""COMPUTED_VALUE"""),2846.0)</f>
        <v>2846</v>
      </c>
      <c r="G434" s="4">
        <f>IFERROR(__xludf.DUMMYFUNCTION("""COMPUTED_VALUE"""),0.0)</f>
        <v>0</v>
      </c>
      <c r="H434" s="4"/>
      <c r="I434" s="4"/>
    </row>
    <row r="435">
      <c r="A435" s="4" t="str">
        <f>IFERROR(__xludf.DUMMYFUNCTION("""COMPUTED_VALUE"""),"cas_hmw")</f>
        <v>cas_hmw</v>
      </c>
      <c r="B435" s="5">
        <f>IFERROR(__xludf.DUMMYFUNCTION("""COMPUTED_VALUE"""),44722.0)</f>
        <v>44722</v>
      </c>
      <c r="C435" s="6">
        <f>IFERROR(__xludf.DUMMYFUNCTION("""COMPUTED_VALUE"""),0.351423611111386)</f>
        <v>0.3514236111</v>
      </c>
      <c r="D435" s="4">
        <f>IFERROR(__xludf.DUMMYFUNCTION("""COMPUTED_VALUE"""),12.945335)</f>
        <v>12.945335</v>
      </c>
      <c r="E435" s="4">
        <f>IFERROR(__xludf.DUMMYFUNCTION("""COMPUTED_VALUE"""),80.183213)</f>
        <v>80.183213</v>
      </c>
      <c r="F435" s="4">
        <f>IFERROR(__xludf.DUMMYFUNCTION("""COMPUTED_VALUE"""),2846.0)</f>
        <v>2846</v>
      </c>
      <c r="G435" s="4">
        <f>IFERROR(__xludf.DUMMYFUNCTION("""COMPUTED_VALUE"""),4.0)</f>
        <v>4</v>
      </c>
      <c r="H435" s="4"/>
      <c r="I435" s="4"/>
    </row>
    <row r="436">
      <c r="A436" s="4" t="str">
        <f>IFERROR(__xludf.DUMMYFUNCTION("""COMPUTED_VALUE"""),"cas_hmw")</f>
        <v>cas_hmw</v>
      </c>
      <c r="B436" s="5">
        <f>IFERROR(__xludf.DUMMYFUNCTION("""COMPUTED_VALUE"""),44722.0)</f>
        <v>44722</v>
      </c>
      <c r="C436" s="6">
        <f>IFERROR(__xludf.DUMMYFUNCTION("""COMPUTED_VALUE"""),0.3542592592602887)</f>
        <v>0.3542592593</v>
      </c>
      <c r="D436" s="4">
        <f>IFERROR(__xludf.DUMMYFUNCTION("""COMPUTED_VALUE"""),12.936788)</f>
        <v>12.936788</v>
      </c>
      <c r="E436" s="4">
        <f>IFERROR(__xludf.DUMMYFUNCTION("""COMPUTED_VALUE"""),80.1823)</f>
        <v>80.1823</v>
      </c>
      <c r="F436" s="4">
        <f>IFERROR(__xludf.DUMMYFUNCTION("""COMPUTED_VALUE"""),2846.0)</f>
        <v>2846</v>
      </c>
      <c r="G436" s="4">
        <f>IFERROR(__xludf.DUMMYFUNCTION("""COMPUTED_VALUE"""),19.0)</f>
        <v>19</v>
      </c>
      <c r="H436" s="4"/>
      <c r="I436" s="4"/>
    </row>
    <row r="437">
      <c r="A437" s="4" t="str">
        <f>IFERROR(__xludf.DUMMYFUNCTION("""COMPUTED_VALUE"""),"cas_hmw")</f>
        <v>cas_hmw</v>
      </c>
      <c r="B437" s="5">
        <f>IFERROR(__xludf.DUMMYFUNCTION("""COMPUTED_VALUE"""),44722.0)</f>
        <v>44722</v>
      </c>
      <c r="C437" s="6">
        <f>IFERROR(__xludf.DUMMYFUNCTION("""COMPUTED_VALUE"""),0.35758101851752144)</f>
        <v>0.3575810185</v>
      </c>
      <c r="D437" s="4">
        <f>IFERROR(__xludf.DUMMYFUNCTION("""COMPUTED_VALUE"""),12.926964)</f>
        <v>12.926964</v>
      </c>
      <c r="E437" s="4">
        <f>IFERROR(__xludf.DUMMYFUNCTION("""COMPUTED_VALUE"""),80.182429)</f>
        <v>80.182429</v>
      </c>
      <c r="F437" s="4">
        <f>IFERROR(__xludf.DUMMYFUNCTION("""COMPUTED_VALUE"""),2846.0)</f>
        <v>2846</v>
      </c>
      <c r="G437" s="4">
        <f>IFERROR(__xludf.DUMMYFUNCTION("""COMPUTED_VALUE"""),18.0)</f>
        <v>18</v>
      </c>
      <c r="H437" s="4"/>
      <c r="I437" s="4"/>
    </row>
    <row r="438">
      <c r="A438" s="4" t="str">
        <f>IFERROR(__xludf.DUMMYFUNCTION("""COMPUTED_VALUE"""),"cas_hmw")</f>
        <v>cas_hmw</v>
      </c>
      <c r="B438" s="5">
        <f>IFERROR(__xludf.DUMMYFUNCTION("""COMPUTED_VALUE"""),44722.0)</f>
        <v>44722</v>
      </c>
      <c r="C438" s="6">
        <f>IFERROR(__xludf.DUMMYFUNCTION("""COMPUTED_VALUE"""),0.35797453703708015)</f>
        <v>0.357974537</v>
      </c>
      <c r="D438" s="4">
        <f>IFERROR(__xludf.DUMMYFUNCTION("""COMPUTED_VALUE"""),12.924298)</f>
        <v>12.924298</v>
      </c>
      <c r="E438" s="4">
        <f>IFERROR(__xludf.DUMMYFUNCTION("""COMPUTED_VALUE"""),80.182864)</f>
        <v>80.182864</v>
      </c>
      <c r="F438" s="4">
        <f>IFERROR(__xludf.DUMMYFUNCTION("""COMPUTED_VALUE"""),2846.0)</f>
        <v>2846</v>
      </c>
      <c r="G438" s="4">
        <f>IFERROR(__xludf.DUMMYFUNCTION("""COMPUTED_VALUE"""),20.0)</f>
        <v>20</v>
      </c>
      <c r="H438" s="4"/>
      <c r="I438" s="4"/>
    </row>
    <row r="439">
      <c r="A439" s="4" t="str">
        <f>IFERROR(__xludf.DUMMYFUNCTION("""COMPUTED_VALUE"""),"cas_hmw")</f>
        <v>cas_hmw</v>
      </c>
      <c r="B439" s="5">
        <f>IFERROR(__xludf.DUMMYFUNCTION("""COMPUTED_VALUE"""),44722.0)</f>
        <v>44722</v>
      </c>
      <c r="C439" s="6">
        <f>IFERROR(__xludf.DUMMYFUNCTION("""COMPUTED_VALUE"""),0.359305555553874)</f>
        <v>0.3593055556</v>
      </c>
      <c r="D439" s="4">
        <f>IFERROR(__xludf.DUMMYFUNCTION("""COMPUTED_VALUE"""),12.920877)</f>
        <v>12.920877</v>
      </c>
      <c r="E439" s="4">
        <f>IFERROR(__xludf.DUMMYFUNCTION("""COMPUTED_VALUE"""),80.183887)</f>
        <v>80.183887</v>
      </c>
      <c r="F439" s="4">
        <f>IFERROR(__xludf.DUMMYFUNCTION("""COMPUTED_VALUE"""),2846.0)</f>
        <v>2846</v>
      </c>
      <c r="G439" s="4">
        <f>IFERROR(__xludf.DUMMYFUNCTION("""COMPUTED_VALUE"""),17.0)</f>
        <v>17</v>
      </c>
      <c r="H439" s="4"/>
      <c r="I439" s="4"/>
    </row>
    <row r="440">
      <c r="A440" s="4" t="str">
        <f>IFERROR(__xludf.DUMMYFUNCTION("""COMPUTED_VALUE"""),"cas_hmw")</f>
        <v>cas_hmw</v>
      </c>
      <c r="B440" s="5">
        <f>IFERROR(__xludf.DUMMYFUNCTION("""COMPUTED_VALUE"""),44722.0)</f>
        <v>44722</v>
      </c>
      <c r="C440" s="6">
        <f>IFERROR(__xludf.DUMMYFUNCTION("""COMPUTED_VALUE"""),0.6969907407401479)</f>
        <v>0.6969907407</v>
      </c>
      <c r="D440" s="4">
        <f>IFERROR(__xludf.DUMMYFUNCTION("""COMPUTED_VALUE"""),12.911493)</f>
        <v>12.911493</v>
      </c>
      <c r="E440" s="4">
        <f>IFERROR(__xludf.DUMMYFUNCTION("""COMPUTED_VALUE"""),80.101256)</f>
        <v>80.101256</v>
      </c>
      <c r="F440" s="4">
        <f>IFERROR(__xludf.DUMMYFUNCTION("""COMPUTED_VALUE"""),805.0)</f>
        <v>805</v>
      </c>
      <c r="G440" s="4">
        <f>IFERROR(__xludf.DUMMYFUNCTION("""COMPUTED_VALUE"""),12.0)</f>
        <v>12</v>
      </c>
      <c r="H440" s="4"/>
      <c r="I440" s="4"/>
    </row>
    <row r="441">
      <c r="A441" s="4" t="str">
        <f>IFERROR(__xludf.DUMMYFUNCTION("""COMPUTED_VALUE"""),"cas_hmw")</f>
        <v>cas_hmw</v>
      </c>
      <c r="B441" s="5">
        <f>IFERROR(__xludf.DUMMYFUNCTION("""COMPUTED_VALUE"""),44722.0)</f>
        <v>44722</v>
      </c>
      <c r="C441" s="6">
        <f>IFERROR(__xludf.DUMMYFUNCTION("""COMPUTED_VALUE"""),0.7035532407389837)</f>
        <v>0.7035532407</v>
      </c>
      <c r="D441" s="4">
        <f>IFERROR(__xludf.DUMMYFUNCTION("""COMPUTED_VALUE"""),12.923031)</f>
        <v>12.923031</v>
      </c>
      <c r="E441" s="4">
        <f>IFERROR(__xludf.DUMMYFUNCTION("""COMPUTED_VALUE"""),80.125423)</f>
        <v>80.125423</v>
      </c>
      <c r="F441" s="4">
        <f>IFERROR(__xludf.DUMMYFUNCTION("""COMPUTED_VALUE"""),2846.0)</f>
        <v>2846</v>
      </c>
      <c r="G441" s="4">
        <f>IFERROR(__xludf.DUMMYFUNCTION("""COMPUTED_VALUE"""),3.0)</f>
        <v>3</v>
      </c>
      <c r="H441" s="4"/>
      <c r="I441" s="4"/>
    </row>
    <row r="442">
      <c r="A442" s="4" t="str">
        <f>IFERROR(__xludf.DUMMYFUNCTION("""COMPUTED_VALUE"""),"cas_hmw")</f>
        <v>cas_hmw</v>
      </c>
      <c r="B442" s="5">
        <f>IFERROR(__xludf.DUMMYFUNCTION("""COMPUTED_VALUE"""),44722.0)</f>
        <v>44722</v>
      </c>
      <c r="C442" s="6">
        <f>IFERROR(__xludf.DUMMYFUNCTION("""COMPUTED_VALUE"""),0.7077662037045229)</f>
        <v>0.7077662037</v>
      </c>
      <c r="D442" s="4">
        <f>IFERROR(__xludf.DUMMYFUNCTION("""COMPUTED_VALUE"""),12.968153)</f>
        <v>12.968153</v>
      </c>
      <c r="E442" s="4">
        <f>IFERROR(__xludf.DUMMYFUNCTION("""COMPUTED_VALUE"""),80.149359)</f>
        <v>80.149359</v>
      </c>
      <c r="F442" s="4">
        <f>IFERROR(__xludf.DUMMYFUNCTION("""COMPUTED_VALUE"""),805.0)</f>
        <v>805</v>
      </c>
      <c r="G442" s="4">
        <f>IFERROR(__xludf.DUMMYFUNCTION("""COMPUTED_VALUE"""),0.0)</f>
        <v>0</v>
      </c>
      <c r="H442" s="4"/>
      <c r="I442" s="4"/>
    </row>
    <row r="443">
      <c r="A443" s="4" t="str">
        <f>IFERROR(__xludf.DUMMYFUNCTION("""COMPUTED_VALUE"""),"cas_hmw")</f>
        <v>cas_hmw</v>
      </c>
      <c r="B443" s="5">
        <f>IFERROR(__xludf.DUMMYFUNCTION("""COMPUTED_VALUE"""),44722.0)</f>
        <v>44722</v>
      </c>
      <c r="C443" s="6">
        <f>IFERROR(__xludf.DUMMYFUNCTION("""COMPUTED_VALUE"""),0.707974537035625)</f>
        <v>0.707974537</v>
      </c>
      <c r="D443" s="4">
        <f>IFERROR(__xludf.DUMMYFUNCTION("""COMPUTED_VALUE"""),12.922547)</f>
        <v>12.922547</v>
      </c>
      <c r="E443" s="4">
        <f>IFERROR(__xludf.DUMMYFUNCTION("""COMPUTED_VALUE"""),80.143201)</f>
        <v>80.143201</v>
      </c>
      <c r="F443" s="4">
        <f>IFERROR(__xludf.DUMMYFUNCTION("""COMPUTED_VALUE"""),2846.0)</f>
        <v>2846</v>
      </c>
      <c r="G443" s="4">
        <f>IFERROR(__xludf.DUMMYFUNCTION("""COMPUTED_VALUE"""),16.0)</f>
        <v>16</v>
      </c>
      <c r="H443" s="4"/>
      <c r="I443" s="4"/>
    </row>
    <row r="444">
      <c r="A444" s="4" t="str">
        <f>IFERROR(__xludf.DUMMYFUNCTION("""COMPUTED_VALUE"""),"cas_hmw")</f>
        <v>cas_hmw</v>
      </c>
      <c r="B444" s="5">
        <f>IFERROR(__xludf.DUMMYFUNCTION("""COMPUTED_VALUE"""),44722.0)</f>
        <v>44722</v>
      </c>
      <c r="C444" s="6">
        <f>IFERROR(__xludf.DUMMYFUNCTION("""COMPUTED_VALUE"""),0.7097106481487572)</f>
        <v>0.7097106481</v>
      </c>
      <c r="D444" s="4">
        <f>IFERROR(__xludf.DUMMYFUNCTION("""COMPUTED_VALUE"""),12.92275)</f>
        <v>12.92275</v>
      </c>
      <c r="E444" s="4">
        <f>IFERROR(__xludf.DUMMYFUNCTION("""COMPUTED_VALUE"""),80.151348)</f>
        <v>80.151348</v>
      </c>
      <c r="F444" s="4">
        <f>IFERROR(__xludf.DUMMYFUNCTION("""COMPUTED_VALUE"""),2846.0)</f>
        <v>2846</v>
      </c>
      <c r="G444" s="4">
        <f>IFERROR(__xludf.DUMMYFUNCTION("""COMPUTED_VALUE"""),0.0)</f>
        <v>0</v>
      </c>
      <c r="H444" s="4"/>
      <c r="I444" s="4"/>
    </row>
    <row r="445">
      <c r="A445" s="4" t="str">
        <f>IFERROR(__xludf.DUMMYFUNCTION("""COMPUTED_VALUE"""),"cas_hmw")</f>
        <v>cas_hmw</v>
      </c>
      <c r="B445" s="5">
        <f>IFERROR(__xludf.DUMMYFUNCTION("""COMPUTED_VALUE"""),44722.0)</f>
        <v>44722</v>
      </c>
      <c r="C445" s="6">
        <f>IFERROR(__xludf.DUMMYFUNCTION("""COMPUTED_VALUE"""),0.7104166666649689)</f>
        <v>0.7104166667</v>
      </c>
      <c r="D445" s="4">
        <f>IFERROR(__xludf.DUMMYFUNCTION("""COMPUTED_VALUE"""),12.923394)</f>
        <v>12.923394</v>
      </c>
      <c r="E445" s="4">
        <f>IFERROR(__xludf.DUMMYFUNCTION("""COMPUTED_VALUE"""),80.15445)</f>
        <v>80.15445</v>
      </c>
      <c r="F445" s="4">
        <f>IFERROR(__xludf.DUMMYFUNCTION("""COMPUTED_VALUE"""),2846.0)</f>
        <v>2846</v>
      </c>
      <c r="G445" s="4">
        <f>IFERROR(__xludf.DUMMYFUNCTION("""COMPUTED_VALUE"""),4.0)</f>
        <v>4</v>
      </c>
      <c r="H445" s="4"/>
      <c r="I445" s="4"/>
    </row>
    <row r="446">
      <c r="A446" s="4" t="str">
        <f>IFERROR(__xludf.DUMMYFUNCTION("""COMPUTED_VALUE"""),"cas_hmw")</f>
        <v>cas_hmw</v>
      </c>
      <c r="B446" s="5">
        <f>IFERROR(__xludf.DUMMYFUNCTION("""COMPUTED_VALUE"""),44722.0)</f>
        <v>44722</v>
      </c>
      <c r="C446" s="6">
        <f>IFERROR(__xludf.DUMMYFUNCTION("""COMPUTED_VALUE"""),0.715891203704814)</f>
        <v>0.7158912037</v>
      </c>
      <c r="D446" s="4">
        <f>IFERROR(__xludf.DUMMYFUNCTION("""COMPUTED_VALUE"""),13.001312)</f>
        <v>13.001312</v>
      </c>
      <c r="E446" s="4">
        <f>IFERROR(__xludf.DUMMYFUNCTION("""COMPUTED_VALUE"""),80.195715)</f>
        <v>80.195715</v>
      </c>
      <c r="F446" s="4">
        <f>IFERROR(__xludf.DUMMYFUNCTION("""COMPUTED_VALUE"""),805.0)</f>
        <v>805</v>
      </c>
      <c r="G446" s="4">
        <f>IFERROR(__xludf.DUMMYFUNCTION("""COMPUTED_VALUE"""),13.0)</f>
        <v>13</v>
      </c>
      <c r="H446" s="4"/>
      <c r="I446" s="4"/>
    </row>
    <row r="447">
      <c r="A447" s="4" t="str">
        <f>IFERROR(__xludf.DUMMYFUNCTION("""COMPUTED_VALUE"""),"cas_hmw")</f>
        <v>cas_hmw</v>
      </c>
      <c r="B447" s="5">
        <f>IFERROR(__xludf.DUMMYFUNCTION("""COMPUTED_VALUE"""),44722.0)</f>
        <v>44722</v>
      </c>
      <c r="C447" s="6">
        <f>IFERROR(__xludf.DUMMYFUNCTION("""COMPUTED_VALUE"""),0.7159490740741603)</f>
        <v>0.7159490741</v>
      </c>
      <c r="D447" s="4">
        <f>IFERROR(__xludf.DUMMYFUNCTION("""COMPUTED_VALUE"""),13.001312)</f>
        <v>13.001312</v>
      </c>
      <c r="E447" s="4">
        <f>IFERROR(__xludf.DUMMYFUNCTION("""COMPUTED_VALUE"""),80.195715)</f>
        <v>80.195715</v>
      </c>
      <c r="F447" s="4">
        <f>IFERROR(__xludf.DUMMYFUNCTION("""COMPUTED_VALUE"""),805.0)</f>
        <v>805</v>
      </c>
      <c r="G447" s="4">
        <f>IFERROR(__xludf.DUMMYFUNCTION("""COMPUTED_VALUE"""),13.0)</f>
        <v>13</v>
      </c>
      <c r="H447" s="4"/>
      <c r="I447" s="4"/>
    </row>
    <row r="448">
      <c r="A448" s="4" t="str">
        <f>IFERROR(__xludf.DUMMYFUNCTION("""COMPUTED_VALUE"""),"cas_hmw")</f>
        <v>cas_hmw</v>
      </c>
      <c r="B448" s="5">
        <f>IFERROR(__xludf.DUMMYFUNCTION("""COMPUTED_VALUE"""),44722.0)</f>
        <v>44722</v>
      </c>
      <c r="C448" s="6">
        <f>IFERROR(__xludf.DUMMYFUNCTION("""COMPUTED_VALUE"""),0.7196412037046684)</f>
        <v>0.7196412037</v>
      </c>
      <c r="D448" s="4">
        <f>IFERROR(__xludf.DUMMYFUNCTION("""COMPUTED_VALUE"""),13.009683)</f>
        <v>13.009683</v>
      </c>
      <c r="E448" s="4">
        <f>IFERROR(__xludf.DUMMYFUNCTION("""COMPUTED_VALUE"""),80.21348)</f>
        <v>80.21348</v>
      </c>
      <c r="F448" s="4">
        <f>IFERROR(__xludf.DUMMYFUNCTION("""COMPUTED_VALUE"""),805.0)</f>
        <v>805</v>
      </c>
      <c r="G448" s="4">
        <f>IFERROR(__xludf.DUMMYFUNCTION("""COMPUTED_VALUE"""),7.0)</f>
        <v>7</v>
      </c>
      <c r="H448" s="4"/>
      <c r="I448" s="4"/>
    </row>
    <row r="449">
      <c r="A449" s="4" t="str">
        <f>IFERROR(__xludf.DUMMYFUNCTION("""COMPUTED_VALUE"""),"cas_hmw")</f>
        <v>cas_hmw</v>
      </c>
      <c r="B449" s="5">
        <f>IFERROR(__xludf.DUMMYFUNCTION("""COMPUTED_VALUE"""),44722.0)</f>
        <v>44722</v>
      </c>
      <c r="C449" s="6">
        <f>IFERROR(__xludf.DUMMYFUNCTION("""COMPUTED_VALUE"""),0.721504629629635)</f>
        <v>0.7215046296</v>
      </c>
      <c r="D449" s="4">
        <f>IFERROR(__xludf.DUMMYFUNCTION("""COMPUTED_VALUE"""),13.015014)</f>
        <v>13.015014</v>
      </c>
      <c r="E449" s="4">
        <f>IFERROR(__xludf.DUMMYFUNCTION("""COMPUTED_VALUE"""),80.224672)</f>
        <v>80.224672</v>
      </c>
      <c r="F449" s="4">
        <f>IFERROR(__xludf.DUMMYFUNCTION("""COMPUTED_VALUE"""),805.0)</f>
        <v>805</v>
      </c>
      <c r="G449" s="4">
        <f>IFERROR(__xludf.DUMMYFUNCTION("""COMPUTED_VALUE"""),16.0)</f>
        <v>16</v>
      </c>
      <c r="H449" s="4"/>
      <c r="I449" s="4"/>
    </row>
    <row r="450">
      <c r="A450" s="4" t="str">
        <f>IFERROR(__xludf.DUMMYFUNCTION("""COMPUTED_VALUE"""),"cas_hmw")</f>
        <v>cas_hmw</v>
      </c>
      <c r="B450" s="5">
        <f>IFERROR(__xludf.DUMMYFUNCTION("""COMPUTED_VALUE"""),44722.0)</f>
        <v>44722</v>
      </c>
      <c r="C450" s="6">
        <f>IFERROR(__xludf.DUMMYFUNCTION("""COMPUTED_VALUE"""),0.7215856481489027)</f>
        <v>0.7215856481</v>
      </c>
      <c r="D450" s="4">
        <f>IFERROR(__xludf.DUMMYFUNCTION("""COMPUTED_VALUE"""),13.015014)</f>
        <v>13.015014</v>
      </c>
      <c r="E450" s="4">
        <f>IFERROR(__xludf.DUMMYFUNCTION("""COMPUTED_VALUE"""),80.224672)</f>
        <v>80.224672</v>
      </c>
      <c r="F450" s="4">
        <f>IFERROR(__xludf.DUMMYFUNCTION("""COMPUTED_VALUE"""),805.0)</f>
        <v>805</v>
      </c>
      <c r="G450" s="4">
        <f>IFERROR(__xludf.DUMMYFUNCTION("""COMPUTED_VALUE"""),16.0)</f>
        <v>16</v>
      </c>
      <c r="H450" s="4"/>
      <c r="I450" s="4"/>
    </row>
    <row r="451">
      <c r="A451" s="4" t="str">
        <f>IFERROR(__xludf.DUMMYFUNCTION("""COMPUTED_VALUE"""),"cas_hmw")</f>
        <v>cas_hmw</v>
      </c>
      <c r="B451" s="5">
        <f>IFERROR(__xludf.DUMMYFUNCTION("""COMPUTED_VALUE"""),44722.0)</f>
        <v>44722</v>
      </c>
      <c r="C451" s="6">
        <f>IFERROR(__xludf.DUMMYFUNCTION("""COMPUTED_VALUE"""),0.7217824074068631)</f>
        <v>0.7217824074</v>
      </c>
      <c r="D451" s="4">
        <f>IFERROR(__xludf.DUMMYFUNCTION("""COMPUTED_VALUE"""),13.015462)</f>
        <v>13.015462</v>
      </c>
      <c r="E451" s="4">
        <f>IFERROR(__xludf.DUMMYFUNCTION("""COMPUTED_VALUE"""),80.225375)</f>
        <v>80.225375</v>
      </c>
      <c r="F451" s="4">
        <f>IFERROR(__xludf.DUMMYFUNCTION("""COMPUTED_VALUE"""),805.0)</f>
        <v>805</v>
      </c>
      <c r="G451" s="4">
        <f>IFERROR(__xludf.DUMMYFUNCTION("""COMPUTED_VALUE"""),11.0)</f>
        <v>11</v>
      </c>
      <c r="H451" s="4"/>
      <c r="I451" s="4"/>
    </row>
    <row r="452">
      <c r="A452" s="4" t="str">
        <f>IFERROR(__xludf.DUMMYFUNCTION("""COMPUTED_VALUE"""),"cas_hmw")</f>
        <v>cas_hmw</v>
      </c>
      <c r="B452" s="5">
        <f>IFERROR(__xludf.DUMMYFUNCTION("""COMPUTED_VALUE"""),44722.0)</f>
        <v>44722</v>
      </c>
      <c r="C452" s="6">
        <f>IFERROR(__xludf.DUMMYFUNCTION("""COMPUTED_VALUE"""),0.7234027777776646)</f>
        <v>0.7234027778</v>
      </c>
      <c r="D452" s="4">
        <f>IFERROR(__xludf.DUMMYFUNCTION("""COMPUTED_VALUE"""),13.007921)</f>
        <v>13.007921</v>
      </c>
      <c r="E452" s="4">
        <f>IFERROR(__xludf.DUMMYFUNCTION("""COMPUTED_VALUE"""),80.234943)</f>
        <v>80.234943</v>
      </c>
      <c r="F452" s="4">
        <f>IFERROR(__xludf.DUMMYFUNCTION("""COMPUTED_VALUE"""),805.0)</f>
        <v>805</v>
      </c>
      <c r="G452" s="4">
        <f>IFERROR(__xludf.DUMMYFUNCTION("""COMPUTED_VALUE"""),0.0)</f>
        <v>0</v>
      </c>
      <c r="H452" s="4"/>
      <c r="I452" s="4"/>
    </row>
    <row r="453">
      <c r="A453" s="4" t="str">
        <f>IFERROR(__xludf.DUMMYFUNCTION("""COMPUTED_VALUE"""),"cas_hmw")</f>
        <v>cas_hmw</v>
      </c>
      <c r="B453" s="5">
        <f>IFERROR(__xludf.DUMMYFUNCTION("""COMPUTED_VALUE"""),44722.0)</f>
        <v>44722</v>
      </c>
      <c r="C453" s="6">
        <f>IFERROR(__xludf.DUMMYFUNCTION("""COMPUTED_VALUE"""),0.7234606481470109)</f>
        <v>0.7234606481</v>
      </c>
      <c r="D453" s="4">
        <f>IFERROR(__xludf.DUMMYFUNCTION("""COMPUTED_VALUE"""),13.007921)</f>
        <v>13.007921</v>
      </c>
      <c r="E453" s="4">
        <f>IFERROR(__xludf.DUMMYFUNCTION("""COMPUTED_VALUE"""),80.234943)</f>
        <v>80.234943</v>
      </c>
      <c r="F453" s="4">
        <f>IFERROR(__xludf.DUMMYFUNCTION("""COMPUTED_VALUE"""),805.0)</f>
        <v>805</v>
      </c>
      <c r="G453" s="4">
        <f>IFERROR(__xludf.DUMMYFUNCTION("""COMPUTED_VALUE"""),0.0)</f>
        <v>0</v>
      </c>
      <c r="H453" s="4"/>
      <c r="I453" s="4"/>
    </row>
    <row r="454">
      <c r="A454" s="4" t="str">
        <f>IFERROR(__xludf.DUMMYFUNCTION("""COMPUTED_VALUE"""),"cas_hmw")</f>
        <v>cas_hmw</v>
      </c>
      <c r="B454" s="5">
        <f>IFERROR(__xludf.DUMMYFUNCTION("""COMPUTED_VALUE"""),44722.0)</f>
        <v>44722</v>
      </c>
      <c r="C454" s="6">
        <f>IFERROR(__xludf.DUMMYFUNCTION("""COMPUTED_VALUE"""),0.7235185185199953)</f>
        <v>0.7235185185</v>
      </c>
      <c r="D454" s="4">
        <f>IFERROR(__xludf.DUMMYFUNCTION("""COMPUTED_VALUE"""),13.007921)</f>
        <v>13.007921</v>
      </c>
      <c r="E454" s="4">
        <f>IFERROR(__xludf.DUMMYFUNCTION("""COMPUTED_VALUE"""),80.234943)</f>
        <v>80.234943</v>
      </c>
      <c r="F454" s="4">
        <f>IFERROR(__xludf.DUMMYFUNCTION("""COMPUTED_VALUE"""),805.0)</f>
        <v>805</v>
      </c>
      <c r="G454" s="4">
        <f>IFERROR(__xludf.DUMMYFUNCTION("""COMPUTED_VALUE"""),0.0)</f>
        <v>0</v>
      </c>
      <c r="H454" s="4"/>
      <c r="I454" s="4"/>
    </row>
    <row r="455">
      <c r="A455" s="4" t="str">
        <f>IFERROR(__xludf.DUMMYFUNCTION("""COMPUTED_VALUE"""),"cas_hmw")</f>
        <v>cas_hmw</v>
      </c>
      <c r="B455" s="5">
        <f>IFERROR(__xludf.DUMMYFUNCTION("""COMPUTED_VALUE"""),44722.0)</f>
        <v>44722</v>
      </c>
      <c r="C455" s="6">
        <f>IFERROR(__xludf.DUMMYFUNCTION("""COMPUTED_VALUE"""),0.7235879629624833)</f>
        <v>0.723587963</v>
      </c>
      <c r="D455" s="4">
        <f>IFERROR(__xludf.DUMMYFUNCTION("""COMPUTED_VALUE"""),13.007921)</f>
        <v>13.007921</v>
      </c>
      <c r="E455" s="4">
        <f>IFERROR(__xludf.DUMMYFUNCTION("""COMPUTED_VALUE"""),80.234943)</f>
        <v>80.234943</v>
      </c>
      <c r="F455" s="4">
        <f>IFERROR(__xludf.DUMMYFUNCTION("""COMPUTED_VALUE"""),805.0)</f>
        <v>805</v>
      </c>
      <c r="G455" s="4">
        <f>IFERROR(__xludf.DUMMYFUNCTION("""COMPUTED_VALUE"""),0.0)</f>
        <v>0</v>
      </c>
      <c r="H455" s="4"/>
      <c r="I455" s="4"/>
    </row>
    <row r="456">
      <c r="A456" s="4" t="str">
        <f>IFERROR(__xludf.DUMMYFUNCTION("""COMPUTED_VALUE"""),"cas_hmw")</f>
        <v>cas_hmw</v>
      </c>
      <c r="B456" s="5">
        <f>IFERROR(__xludf.DUMMYFUNCTION("""COMPUTED_VALUE"""),44722.0)</f>
        <v>44722</v>
      </c>
      <c r="C456" s="6">
        <f>IFERROR(__xludf.DUMMYFUNCTION("""COMPUTED_VALUE"""),0.7247685185175214)</f>
        <v>0.7247685185</v>
      </c>
      <c r="D456" s="4">
        <f>IFERROR(__xludf.DUMMYFUNCTION("""COMPUTED_VALUE"""),13.006694)</f>
        <v>13.006694</v>
      </c>
      <c r="E456" s="4">
        <f>IFERROR(__xludf.DUMMYFUNCTION("""COMPUTED_VALUE"""),80.24345)</f>
        <v>80.24345</v>
      </c>
      <c r="F456" s="4">
        <f>IFERROR(__xludf.DUMMYFUNCTION("""COMPUTED_VALUE"""),805.0)</f>
        <v>805</v>
      </c>
      <c r="G456" s="4">
        <f>IFERROR(__xludf.DUMMYFUNCTION("""COMPUTED_VALUE"""),0.0)</f>
        <v>0</v>
      </c>
      <c r="H456" s="4"/>
      <c r="I456" s="4"/>
    </row>
    <row r="457">
      <c r="A457" s="4" t="str">
        <f>IFERROR(__xludf.DUMMYFUNCTION("""COMPUTED_VALUE"""),"cas_hmw")</f>
        <v>cas_hmw</v>
      </c>
      <c r="B457" s="5">
        <f>IFERROR(__xludf.DUMMYFUNCTION("""COMPUTED_VALUE"""),44722.0)</f>
        <v>44722</v>
      </c>
      <c r="C457" s="6">
        <f>IFERROR(__xludf.DUMMYFUNCTION("""COMPUTED_VALUE"""),0.7247685185175214)</f>
        <v>0.7247685185</v>
      </c>
      <c r="D457" s="4">
        <f>IFERROR(__xludf.DUMMYFUNCTION("""COMPUTED_VALUE"""),13.006694)</f>
        <v>13.006694</v>
      </c>
      <c r="E457" s="4">
        <f>IFERROR(__xludf.DUMMYFUNCTION("""COMPUTED_VALUE"""),80.24345)</f>
        <v>80.24345</v>
      </c>
      <c r="F457" s="4">
        <f>IFERROR(__xludf.DUMMYFUNCTION("""COMPUTED_VALUE"""),805.0)</f>
        <v>805</v>
      </c>
      <c r="G457" s="4">
        <f>IFERROR(__xludf.DUMMYFUNCTION("""COMPUTED_VALUE"""),0.0)</f>
        <v>0</v>
      </c>
      <c r="H457" s="4"/>
      <c r="I457" s="4"/>
    </row>
    <row r="458">
      <c r="A458" s="4" t="str">
        <f>IFERROR(__xludf.DUMMYFUNCTION("""COMPUTED_VALUE"""),"cas_hmw")</f>
        <v>cas_hmw</v>
      </c>
      <c r="B458" s="5">
        <f>IFERROR(__xludf.DUMMYFUNCTION("""COMPUTED_VALUE"""),44722.0)</f>
        <v>44722</v>
      </c>
      <c r="C458" s="6">
        <f>IFERROR(__xludf.DUMMYFUNCTION("""COMPUTED_VALUE"""),0.7266898148154723)</f>
        <v>0.7266898148</v>
      </c>
      <c r="D458" s="4">
        <f>IFERROR(__xludf.DUMMYFUNCTION("""COMPUTED_VALUE"""),13.006898)</f>
        <v>13.006898</v>
      </c>
      <c r="E458" s="4">
        <f>IFERROR(__xludf.DUMMYFUNCTION("""COMPUTED_VALUE"""),80.251098)</f>
        <v>80.251098</v>
      </c>
      <c r="F458" s="4">
        <f>IFERROR(__xludf.DUMMYFUNCTION("""COMPUTED_VALUE"""),805.0)</f>
        <v>805</v>
      </c>
      <c r="G458" s="4">
        <f>IFERROR(__xludf.DUMMYFUNCTION("""COMPUTED_VALUE"""),0.0)</f>
        <v>0</v>
      </c>
      <c r="H458" s="4"/>
      <c r="I458" s="4"/>
    </row>
    <row r="459">
      <c r="A459" s="4" t="str">
        <f>IFERROR(__xludf.DUMMYFUNCTION("""COMPUTED_VALUE"""),"cas_hmw")</f>
        <v>cas_hmw</v>
      </c>
      <c r="B459" s="5">
        <f>IFERROR(__xludf.DUMMYFUNCTION("""COMPUTED_VALUE"""),44722.0)</f>
        <v>44722</v>
      </c>
      <c r="C459" s="6">
        <f>IFERROR(__xludf.DUMMYFUNCTION("""COMPUTED_VALUE"""),0.726736111111677)</f>
        <v>0.7267361111</v>
      </c>
      <c r="D459" s="4">
        <f>IFERROR(__xludf.DUMMYFUNCTION("""COMPUTED_VALUE"""),13.006898)</f>
        <v>13.006898</v>
      </c>
      <c r="E459" s="4">
        <f>IFERROR(__xludf.DUMMYFUNCTION("""COMPUTED_VALUE"""),80.251098)</f>
        <v>80.251098</v>
      </c>
      <c r="F459" s="4">
        <f>IFERROR(__xludf.DUMMYFUNCTION("""COMPUTED_VALUE"""),805.0)</f>
        <v>805</v>
      </c>
      <c r="G459" s="4">
        <f>IFERROR(__xludf.DUMMYFUNCTION("""COMPUTED_VALUE"""),0.0)</f>
        <v>0</v>
      </c>
      <c r="H459" s="4"/>
      <c r="I459" s="4"/>
    </row>
    <row r="460">
      <c r="A460" s="4" t="str">
        <f>IFERROR(__xludf.DUMMYFUNCTION("""COMPUTED_VALUE"""),"cas_hmw")</f>
        <v>cas_hmw</v>
      </c>
      <c r="B460" s="5">
        <f>IFERROR(__xludf.DUMMYFUNCTION("""COMPUTED_VALUE"""),44722.0)</f>
        <v>44722</v>
      </c>
      <c r="C460" s="6">
        <f>IFERROR(__xludf.DUMMYFUNCTION("""COMPUTED_VALUE"""),0.72886574074073)</f>
        <v>0.7288657407</v>
      </c>
      <c r="D460" s="4">
        <f>IFERROR(__xludf.DUMMYFUNCTION("""COMPUTED_VALUE"""),13.008583)</f>
        <v>13.008583</v>
      </c>
      <c r="E460" s="4">
        <f>IFERROR(__xludf.DUMMYFUNCTION("""COMPUTED_VALUE"""),80.258928)</f>
        <v>80.258928</v>
      </c>
      <c r="F460" s="4">
        <f>IFERROR(__xludf.DUMMYFUNCTION("""COMPUTED_VALUE"""),805.0)</f>
        <v>805</v>
      </c>
      <c r="G460" s="4">
        <f>IFERROR(__xludf.DUMMYFUNCTION("""COMPUTED_VALUE"""),12.0)</f>
        <v>12</v>
      </c>
      <c r="H460" s="4"/>
      <c r="I460" s="4"/>
    </row>
    <row r="461">
      <c r="A461" s="4" t="str">
        <f>IFERROR(__xludf.DUMMYFUNCTION("""COMPUTED_VALUE"""),"cas_hmw")</f>
        <v>cas_hmw</v>
      </c>
      <c r="B461" s="5">
        <f>IFERROR(__xludf.DUMMYFUNCTION("""COMPUTED_VALUE"""),44722.0)</f>
        <v>44722</v>
      </c>
      <c r="C461" s="6">
        <f>IFERROR(__xludf.DUMMYFUNCTION("""COMPUTED_VALUE"""),0.7311111111121136)</f>
        <v>0.7311111111</v>
      </c>
      <c r="D461" s="4">
        <f>IFERROR(__xludf.DUMMYFUNCTION("""COMPUTED_VALUE"""),12.965801)</f>
        <v>12.965801</v>
      </c>
      <c r="E461" s="4">
        <f>IFERROR(__xludf.DUMMYFUNCTION("""COMPUTED_VALUE"""),80.20178)</f>
        <v>80.20178</v>
      </c>
      <c r="F461" s="4">
        <f>IFERROR(__xludf.DUMMYFUNCTION("""COMPUTED_VALUE"""),2846.0)</f>
        <v>2846</v>
      </c>
      <c r="G461" s="4">
        <f>IFERROR(__xludf.DUMMYFUNCTION("""COMPUTED_VALUE"""),20.0)</f>
        <v>20</v>
      </c>
      <c r="H461" s="4"/>
      <c r="I461" s="4"/>
    </row>
    <row r="462">
      <c r="A462" s="4" t="str">
        <f>IFERROR(__xludf.DUMMYFUNCTION("""COMPUTED_VALUE"""),"cas_hmw")</f>
        <v>cas_hmw</v>
      </c>
      <c r="B462" s="5">
        <f>IFERROR(__xludf.DUMMYFUNCTION("""COMPUTED_VALUE"""),44722.0)</f>
        <v>44722</v>
      </c>
      <c r="C462" s="6">
        <f>IFERROR(__xludf.DUMMYFUNCTION("""COMPUTED_VALUE"""),0.7313078703700739)</f>
        <v>0.7313078704</v>
      </c>
      <c r="D462" s="4">
        <f>IFERROR(__xludf.DUMMYFUNCTION("""COMPUTED_VALUE"""),13.020695)</f>
        <v>13.020695</v>
      </c>
      <c r="E462" s="4">
        <f>IFERROR(__xludf.DUMMYFUNCTION("""COMPUTED_VALUE"""),80.262792)</f>
        <v>80.262792</v>
      </c>
      <c r="F462" s="4">
        <f>IFERROR(__xludf.DUMMYFUNCTION("""COMPUTED_VALUE"""),805.0)</f>
        <v>805</v>
      </c>
      <c r="G462" s="4">
        <f>IFERROR(__xludf.DUMMYFUNCTION("""COMPUTED_VALUE"""),6.0)</f>
        <v>6</v>
      </c>
      <c r="H462" s="4"/>
      <c r="I462" s="4"/>
    </row>
    <row r="463">
      <c r="A463" s="4" t="str">
        <f>IFERROR(__xludf.DUMMYFUNCTION("""COMPUTED_VALUE"""),"cas_hmw")</f>
        <v>cas_hmw</v>
      </c>
      <c r="B463" s="5">
        <f>IFERROR(__xludf.DUMMYFUNCTION("""COMPUTED_VALUE"""),44722.0)</f>
        <v>44722</v>
      </c>
      <c r="C463" s="6">
        <f>IFERROR(__xludf.DUMMYFUNCTION("""COMPUTED_VALUE"""),0.7315740740741603)</f>
        <v>0.7315740741</v>
      </c>
      <c r="D463" s="4">
        <f>IFERROR(__xludf.DUMMYFUNCTION("""COMPUTED_VALUE"""),13.022385)</f>
        <v>13.022385</v>
      </c>
      <c r="E463" s="4">
        <f>IFERROR(__xludf.DUMMYFUNCTION("""COMPUTED_VALUE"""),80.263431)</f>
        <v>80.263431</v>
      </c>
      <c r="F463" s="4">
        <f>IFERROR(__xludf.DUMMYFUNCTION("""COMPUTED_VALUE"""),805.0)</f>
        <v>805</v>
      </c>
      <c r="G463" s="4">
        <f>IFERROR(__xludf.DUMMYFUNCTION("""COMPUTED_VALUE"""),14.0)</f>
        <v>14</v>
      </c>
      <c r="H463" s="4"/>
      <c r="I463" s="4"/>
    </row>
    <row r="464">
      <c r="A464" s="4" t="str">
        <f>IFERROR(__xludf.DUMMYFUNCTION("""COMPUTED_VALUE"""),"cas_hmw")</f>
        <v>cas_hmw</v>
      </c>
      <c r="B464" s="5">
        <f>IFERROR(__xludf.DUMMYFUNCTION("""COMPUTED_VALUE"""),44722.0)</f>
        <v>44722</v>
      </c>
      <c r="C464" s="6">
        <f>IFERROR(__xludf.DUMMYFUNCTION("""COMPUTED_VALUE"""),0.731585648147302)</f>
        <v>0.7315856481</v>
      </c>
      <c r="D464" s="4">
        <f>IFERROR(__xludf.DUMMYFUNCTION("""COMPUTED_VALUE"""),13.022385)</f>
        <v>13.022385</v>
      </c>
      <c r="E464" s="4">
        <f>IFERROR(__xludf.DUMMYFUNCTION("""COMPUTED_VALUE"""),80.263431)</f>
        <v>80.263431</v>
      </c>
      <c r="F464" s="4">
        <f>IFERROR(__xludf.DUMMYFUNCTION("""COMPUTED_VALUE"""),805.0)</f>
        <v>805</v>
      </c>
      <c r="G464" s="4">
        <f>IFERROR(__xludf.DUMMYFUNCTION("""COMPUTED_VALUE"""),14.0)</f>
        <v>14</v>
      </c>
      <c r="H464" s="4"/>
      <c r="I464" s="4"/>
    </row>
    <row r="465">
      <c r="A465" s="4" t="str">
        <f>IFERROR(__xludf.DUMMYFUNCTION("""COMPUTED_VALUE"""),"cas_hmw")</f>
        <v>cas_hmw</v>
      </c>
      <c r="B465" s="5">
        <f>IFERROR(__xludf.DUMMYFUNCTION("""COMPUTED_VALUE"""),44722.0)</f>
        <v>44722</v>
      </c>
      <c r="C465" s="6">
        <f>IFERROR(__xludf.DUMMYFUNCTION("""COMPUTED_VALUE"""),0.7316087962972233)</f>
        <v>0.7316087963</v>
      </c>
      <c r="D465" s="4">
        <f>IFERROR(__xludf.DUMMYFUNCTION("""COMPUTED_VALUE"""),13.022385)</f>
        <v>13.022385</v>
      </c>
      <c r="E465" s="4">
        <f>IFERROR(__xludf.DUMMYFUNCTION("""COMPUTED_VALUE"""),80.263431)</f>
        <v>80.263431</v>
      </c>
      <c r="F465" s="4">
        <f>IFERROR(__xludf.DUMMYFUNCTION("""COMPUTED_VALUE"""),805.0)</f>
        <v>805</v>
      </c>
      <c r="G465" s="4">
        <f>IFERROR(__xludf.DUMMYFUNCTION("""COMPUTED_VALUE"""),14.0)</f>
        <v>14</v>
      </c>
      <c r="H465" s="4"/>
      <c r="I465" s="4"/>
    </row>
    <row r="466">
      <c r="A466" s="4" t="str">
        <f>IFERROR(__xludf.DUMMYFUNCTION("""COMPUTED_VALUE"""),"cas_hmw")</f>
        <v>cas_hmw</v>
      </c>
      <c r="B466" s="5">
        <f>IFERROR(__xludf.DUMMYFUNCTION("""COMPUTED_VALUE"""),44722.0)</f>
        <v>44722</v>
      </c>
      <c r="C466" s="6">
        <f>IFERROR(__xludf.DUMMYFUNCTION("""COMPUTED_VALUE"""),0.7316319444435067)</f>
        <v>0.7316319444</v>
      </c>
      <c r="D466" s="4">
        <f>IFERROR(__xludf.DUMMYFUNCTION("""COMPUTED_VALUE"""),13.022385)</f>
        <v>13.022385</v>
      </c>
      <c r="E466" s="4">
        <f>IFERROR(__xludf.DUMMYFUNCTION("""COMPUTED_VALUE"""),80.263431)</f>
        <v>80.263431</v>
      </c>
      <c r="F466" s="4">
        <f>IFERROR(__xludf.DUMMYFUNCTION("""COMPUTED_VALUE"""),805.0)</f>
        <v>805</v>
      </c>
      <c r="G466" s="4">
        <f>IFERROR(__xludf.DUMMYFUNCTION("""COMPUTED_VALUE"""),14.0)</f>
        <v>14</v>
      </c>
      <c r="H466" s="4"/>
      <c r="I466" s="4"/>
    </row>
    <row r="467">
      <c r="A467" s="4" t="str">
        <f>IFERROR(__xludf.DUMMYFUNCTION("""COMPUTED_VALUE"""),"cas_hmw")</f>
        <v>cas_hmw</v>
      </c>
      <c r="B467" s="5">
        <f>IFERROR(__xludf.DUMMYFUNCTION("""COMPUTED_VALUE"""),44722.0)</f>
        <v>44722</v>
      </c>
      <c r="C467" s="6">
        <f>IFERROR(__xludf.DUMMYFUNCTION("""COMPUTED_VALUE"""),0.7392361111124046)</f>
        <v>0.7392361111</v>
      </c>
      <c r="D467" s="4">
        <f>IFERROR(__xludf.DUMMYFUNCTION("""COMPUTED_VALUE"""),13.039902)</f>
        <v>13.039902</v>
      </c>
      <c r="E467" s="4">
        <f>IFERROR(__xludf.DUMMYFUNCTION("""COMPUTED_VALUE"""),80.267814)</f>
        <v>80.267814</v>
      </c>
      <c r="F467" s="4">
        <f>IFERROR(__xludf.DUMMYFUNCTION("""COMPUTED_VALUE"""),805.0)</f>
        <v>805</v>
      </c>
      <c r="G467" s="4">
        <f>IFERROR(__xludf.DUMMYFUNCTION("""COMPUTED_VALUE"""),11.0)</f>
        <v>11</v>
      </c>
      <c r="H467" s="4"/>
      <c r="I467" s="4"/>
    </row>
    <row r="468">
      <c r="A468" s="4" t="str">
        <f>IFERROR(__xludf.DUMMYFUNCTION("""COMPUTED_VALUE"""),"cas_hmw")</f>
        <v>cas_hmw</v>
      </c>
      <c r="B468" s="5">
        <f>IFERROR(__xludf.DUMMYFUNCTION("""COMPUTED_VALUE"""),44722.0)</f>
        <v>44722</v>
      </c>
      <c r="C468" s="6">
        <f>IFERROR(__xludf.DUMMYFUNCTION("""COMPUTED_VALUE"""),0.7430092592585424)</f>
        <v>0.7430092593</v>
      </c>
      <c r="D468" s="4">
        <f>IFERROR(__xludf.DUMMYFUNCTION("""COMPUTED_VALUE"""),13.053961)</f>
        <v>13.053961</v>
      </c>
      <c r="E468" s="4">
        <f>IFERROR(__xludf.DUMMYFUNCTION("""COMPUTED_VALUE"""),80.263907)</f>
        <v>80.263907</v>
      </c>
      <c r="F468" s="4">
        <f>IFERROR(__xludf.DUMMYFUNCTION("""COMPUTED_VALUE"""),805.0)</f>
        <v>805</v>
      </c>
      <c r="G468" s="4">
        <f>IFERROR(__xludf.DUMMYFUNCTION("""COMPUTED_VALUE"""),12.0)</f>
        <v>12</v>
      </c>
      <c r="H468" s="4"/>
      <c r="I468" s="4"/>
    </row>
    <row r="469">
      <c r="A469" s="4" t="str">
        <f>IFERROR(__xludf.DUMMYFUNCTION("""COMPUTED_VALUE"""),"cas_hmw")</f>
        <v>cas_hmw</v>
      </c>
      <c r="B469" s="5">
        <f>IFERROR(__xludf.DUMMYFUNCTION("""COMPUTED_VALUE"""),44722.0)</f>
        <v>44722</v>
      </c>
      <c r="C469" s="6">
        <f>IFERROR(__xludf.DUMMYFUNCTION("""COMPUTED_VALUE"""),0.7438657407401479)</f>
        <v>0.7438657407</v>
      </c>
      <c r="D469" s="4">
        <f>IFERROR(__xludf.DUMMYFUNCTION("""COMPUTED_VALUE"""),13.05835)</f>
        <v>13.05835</v>
      </c>
      <c r="E469" s="4">
        <f>IFERROR(__xludf.DUMMYFUNCTION("""COMPUTED_VALUE"""),80.265333)</f>
        <v>80.265333</v>
      </c>
      <c r="F469" s="4">
        <f>IFERROR(__xludf.DUMMYFUNCTION("""COMPUTED_VALUE"""),805.0)</f>
        <v>805</v>
      </c>
      <c r="G469" s="4">
        <f>IFERROR(__xludf.DUMMYFUNCTION("""COMPUTED_VALUE"""),16.0)</f>
        <v>16</v>
      </c>
      <c r="H469" s="4"/>
      <c r="I469" s="4"/>
    </row>
    <row r="470">
      <c r="A470" s="4" t="str">
        <f>IFERROR(__xludf.DUMMYFUNCTION("""COMPUTED_VALUE"""),"cas_hmw")</f>
        <v>cas_hmw</v>
      </c>
      <c r="B470" s="5">
        <f>IFERROR(__xludf.DUMMYFUNCTION("""COMPUTED_VALUE"""),44722.0)</f>
        <v>44722</v>
      </c>
      <c r="C470" s="6">
        <f>IFERROR(__xludf.DUMMYFUNCTION("""COMPUTED_VALUE"""),0.7438888888900692)</f>
        <v>0.7438888889</v>
      </c>
      <c r="D470" s="4">
        <f>IFERROR(__xludf.DUMMYFUNCTION("""COMPUTED_VALUE"""),13.05835)</f>
        <v>13.05835</v>
      </c>
      <c r="E470" s="4">
        <f>IFERROR(__xludf.DUMMYFUNCTION("""COMPUTED_VALUE"""),80.265333)</f>
        <v>80.265333</v>
      </c>
      <c r="F470" s="4">
        <f>IFERROR(__xludf.DUMMYFUNCTION("""COMPUTED_VALUE"""),805.0)</f>
        <v>805</v>
      </c>
      <c r="G470" s="4">
        <f>IFERROR(__xludf.DUMMYFUNCTION("""COMPUTED_VALUE"""),16.0)</f>
        <v>16</v>
      </c>
      <c r="H470" s="4"/>
      <c r="I470" s="4"/>
    </row>
    <row r="471">
      <c r="A471" s="4" t="str">
        <f>IFERROR(__xludf.DUMMYFUNCTION("""COMPUTED_VALUE"""),"cas_hmw")</f>
        <v>cas_hmw</v>
      </c>
      <c r="B471" s="5">
        <f>IFERROR(__xludf.DUMMYFUNCTION("""COMPUTED_VALUE"""),44722.0)</f>
        <v>44722</v>
      </c>
      <c r="C471" s="6">
        <f>IFERROR(__xludf.DUMMYFUNCTION("""COMPUTED_VALUE"""),0.7438888888900692)</f>
        <v>0.7438888889</v>
      </c>
      <c r="D471" s="4">
        <f>IFERROR(__xludf.DUMMYFUNCTION("""COMPUTED_VALUE"""),12.948992)</f>
        <v>12.948992</v>
      </c>
      <c r="E471" s="4">
        <f>IFERROR(__xludf.DUMMYFUNCTION("""COMPUTED_VALUE"""),80.21037)</f>
        <v>80.21037</v>
      </c>
      <c r="F471" s="4">
        <f>IFERROR(__xludf.DUMMYFUNCTION("""COMPUTED_VALUE"""),2846.0)</f>
        <v>2846</v>
      </c>
      <c r="G471" s="4">
        <f>IFERROR(__xludf.DUMMYFUNCTION("""COMPUTED_VALUE"""),11.0)</f>
        <v>11</v>
      </c>
      <c r="H471" s="4"/>
      <c r="I471" s="4"/>
    </row>
    <row r="472">
      <c r="A472" s="4" t="str">
        <f>IFERROR(__xludf.DUMMYFUNCTION("""COMPUTED_VALUE"""),"cas_hmw")</f>
        <v>cas_hmw</v>
      </c>
      <c r="B472" s="5">
        <f>IFERROR(__xludf.DUMMYFUNCTION("""COMPUTED_VALUE"""),44722.0)</f>
        <v>44722</v>
      </c>
      <c r="C472" s="6">
        <f>IFERROR(__xludf.DUMMYFUNCTION("""COMPUTED_VALUE"""),0.7439351851862739)</f>
        <v>0.7439351852</v>
      </c>
      <c r="D472" s="4">
        <f>IFERROR(__xludf.DUMMYFUNCTION("""COMPUTED_VALUE"""),13.05835)</f>
        <v>13.05835</v>
      </c>
      <c r="E472" s="4">
        <f>IFERROR(__xludf.DUMMYFUNCTION("""COMPUTED_VALUE"""),80.265333)</f>
        <v>80.265333</v>
      </c>
      <c r="F472" s="4">
        <f>IFERROR(__xludf.DUMMYFUNCTION("""COMPUTED_VALUE"""),805.0)</f>
        <v>805</v>
      </c>
      <c r="G472" s="4">
        <f>IFERROR(__xludf.DUMMYFUNCTION("""COMPUTED_VALUE"""),16.0)</f>
        <v>16</v>
      </c>
      <c r="H472" s="4"/>
      <c r="I472" s="4"/>
    </row>
    <row r="473">
      <c r="A473" s="4" t="str">
        <f>IFERROR(__xludf.DUMMYFUNCTION("""COMPUTED_VALUE"""),"cas_hmw")</f>
        <v>cas_hmw</v>
      </c>
      <c r="B473" s="5">
        <f>IFERROR(__xludf.DUMMYFUNCTION("""COMPUTED_VALUE"""),44722.0)</f>
        <v>44722</v>
      </c>
      <c r="C473" s="6">
        <f>IFERROR(__xludf.DUMMYFUNCTION("""COMPUTED_VALUE"""),0.7439351851862739)</f>
        <v>0.7439351852</v>
      </c>
      <c r="D473" s="4">
        <f>IFERROR(__xludf.DUMMYFUNCTION("""COMPUTED_VALUE"""),13.05835)</f>
        <v>13.05835</v>
      </c>
      <c r="E473" s="4">
        <f>IFERROR(__xludf.DUMMYFUNCTION("""COMPUTED_VALUE"""),80.265333)</f>
        <v>80.265333</v>
      </c>
      <c r="F473" s="4">
        <f>IFERROR(__xludf.DUMMYFUNCTION("""COMPUTED_VALUE"""),805.0)</f>
        <v>805</v>
      </c>
      <c r="G473" s="4">
        <f>IFERROR(__xludf.DUMMYFUNCTION("""COMPUTED_VALUE"""),16.0)</f>
        <v>16</v>
      </c>
      <c r="H473" s="4"/>
      <c r="I473" s="4"/>
    </row>
    <row r="474">
      <c r="A474" s="4" t="str">
        <f>IFERROR(__xludf.DUMMYFUNCTION("""COMPUTED_VALUE"""),"cas_hmw")</f>
        <v>cas_hmw</v>
      </c>
      <c r="B474" s="5">
        <f>IFERROR(__xludf.DUMMYFUNCTION("""COMPUTED_VALUE"""),44722.0)</f>
        <v>44722</v>
      </c>
      <c r="C474" s="6">
        <f>IFERROR(__xludf.DUMMYFUNCTION("""COMPUTED_VALUE"""),0.7440162037019036)</f>
        <v>0.7440162037</v>
      </c>
      <c r="D474" s="4">
        <f>IFERROR(__xludf.DUMMYFUNCTION("""COMPUTED_VALUE"""),12.948355)</f>
        <v>12.948355</v>
      </c>
      <c r="E474" s="4">
        <f>IFERROR(__xludf.DUMMYFUNCTION("""COMPUTED_VALUE"""),80.210042)</f>
        <v>80.210042</v>
      </c>
      <c r="F474" s="4">
        <f>IFERROR(__xludf.DUMMYFUNCTION("""COMPUTED_VALUE"""),2846.0)</f>
        <v>2846</v>
      </c>
      <c r="G474" s="4">
        <f>IFERROR(__xludf.DUMMYFUNCTION("""COMPUTED_VALUE"""),13.0)</f>
        <v>13</v>
      </c>
      <c r="H474" s="4"/>
      <c r="I474" s="4"/>
    </row>
    <row r="475">
      <c r="A475" s="4" t="str">
        <f>IFERROR(__xludf.DUMMYFUNCTION("""COMPUTED_VALUE"""),"cas_hmw")</f>
        <v>cas_hmw</v>
      </c>
      <c r="B475" s="5">
        <f>IFERROR(__xludf.DUMMYFUNCTION("""COMPUTED_VALUE"""),44722.0)</f>
        <v>44722</v>
      </c>
      <c r="C475" s="6">
        <f>IFERROR(__xludf.DUMMYFUNCTION("""COMPUTED_VALUE"""),0.7462037037039408)</f>
        <v>0.7462037037</v>
      </c>
      <c r="D475" s="4">
        <f>IFERROR(__xludf.DUMMYFUNCTION("""COMPUTED_VALUE"""),12.94849)</f>
        <v>12.94849</v>
      </c>
      <c r="E475" s="4">
        <f>IFERROR(__xludf.DUMMYFUNCTION("""COMPUTED_VALUE"""),80.199422)</f>
        <v>80.199422</v>
      </c>
      <c r="F475" s="4">
        <f>IFERROR(__xludf.DUMMYFUNCTION("""COMPUTED_VALUE"""),2846.0)</f>
        <v>2846</v>
      </c>
      <c r="G475" s="4">
        <f>IFERROR(__xludf.DUMMYFUNCTION("""COMPUTED_VALUE"""),0.0)</f>
        <v>0</v>
      </c>
      <c r="H475" s="4"/>
      <c r="I475" s="4"/>
    </row>
    <row r="476">
      <c r="A476" s="4" t="str">
        <f>IFERROR(__xludf.DUMMYFUNCTION("""COMPUTED_VALUE"""),"cas_hmw")</f>
        <v>cas_hmw</v>
      </c>
      <c r="B476" s="5">
        <f>IFERROR(__xludf.DUMMYFUNCTION("""COMPUTED_VALUE"""),44722.0)</f>
        <v>44722</v>
      </c>
      <c r="C476" s="6">
        <f>IFERROR(__xludf.DUMMYFUNCTION("""COMPUTED_VALUE"""),0.7463888888887595)</f>
        <v>0.7463888889</v>
      </c>
      <c r="D476" s="4">
        <f>IFERROR(__xludf.DUMMYFUNCTION("""COMPUTED_VALUE"""),12.94849)</f>
        <v>12.94849</v>
      </c>
      <c r="E476" s="4">
        <f>IFERROR(__xludf.DUMMYFUNCTION("""COMPUTED_VALUE"""),80.199137)</f>
        <v>80.199137</v>
      </c>
      <c r="F476" s="4">
        <f>IFERROR(__xludf.DUMMYFUNCTION("""COMPUTED_VALUE"""),2846.0)</f>
        <v>2846</v>
      </c>
      <c r="G476" s="4">
        <f>IFERROR(__xludf.DUMMYFUNCTION("""COMPUTED_VALUE"""),12.0)</f>
        <v>12</v>
      </c>
      <c r="H476" s="4"/>
      <c r="I476" s="4"/>
    </row>
    <row r="477">
      <c r="A477" s="4" t="str">
        <f>IFERROR(__xludf.DUMMYFUNCTION("""COMPUTED_VALUE"""),"cas_hmw")</f>
        <v>cas_hmw</v>
      </c>
      <c r="B477" s="5">
        <f>IFERROR(__xludf.DUMMYFUNCTION("""COMPUTED_VALUE"""),44722.0)</f>
        <v>44722</v>
      </c>
      <c r="C477" s="6">
        <f>IFERROR(__xludf.DUMMYFUNCTION("""COMPUTED_VALUE"""),0.7512500000011642)</f>
        <v>0.75125</v>
      </c>
      <c r="D477" s="4">
        <f>IFERROR(__xludf.DUMMYFUNCTION("""COMPUTED_VALUE"""),12.948466)</f>
        <v>12.948466</v>
      </c>
      <c r="E477" s="4">
        <f>IFERROR(__xludf.DUMMYFUNCTION("""COMPUTED_VALUE"""),80.194753)</f>
        <v>80.194753</v>
      </c>
      <c r="F477" s="4">
        <f>IFERROR(__xludf.DUMMYFUNCTION("""COMPUTED_VALUE"""),2846.0)</f>
        <v>2846</v>
      </c>
      <c r="G477" s="4">
        <f>IFERROR(__xludf.DUMMYFUNCTION("""COMPUTED_VALUE"""),0.0)</f>
        <v>0</v>
      </c>
      <c r="H477" s="4"/>
      <c r="I477" s="4"/>
    </row>
    <row r="478">
      <c r="A478" s="4" t="str">
        <f>IFERROR(__xludf.DUMMYFUNCTION("""COMPUTED_VALUE"""),"cas_hmw")</f>
        <v>cas_hmw</v>
      </c>
      <c r="B478" s="5">
        <f>IFERROR(__xludf.DUMMYFUNCTION("""COMPUTED_VALUE"""),44722.0)</f>
        <v>44722</v>
      </c>
      <c r="C478" s="6">
        <f>IFERROR(__xludf.DUMMYFUNCTION("""COMPUTED_VALUE"""),0.7656134259268583)</f>
        <v>0.7656134259</v>
      </c>
      <c r="D478" s="4">
        <f>IFERROR(__xludf.DUMMYFUNCTION("""COMPUTED_VALUE"""),13.067621)</f>
        <v>13.067621</v>
      </c>
      <c r="E478" s="4">
        <f>IFERROR(__xludf.DUMMYFUNCTION("""COMPUTED_VALUE"""),80.249498)</f>
        <v>80.249498</v>
      </c>
      <c r="F478" s="4">
        <f>IFERROR(__xludf.DUMMYFUNCTION("""COMPUTED_VALUE"""),805.0)</f>
        <v>805</v>
      </c>
      <c r="G478" s="4">
        <f>IFERROR(__xludf.DUMMYFUNCTION("""COMPUTED_VALUE"""),10.0)</f>
        <v>10</v>
      </c>
      <c r="H478" s="4"/>
      <c r="I478" s="4"/>
    </row>
    <row r="479">
      <c r="A479" s="4" t="str">
        <f>IFERROR(__xludf.DUMMYFUNCTION("""COMPUTED_VALUE"""),"cas_hmw")</f>
        <v>cas_hmw</v>
      </c>
      <c r="B479" s="5">
        <f>IFERROR(__xludf.DUMMYFUNCTION("""COMPUTED_VALUE"""),44722.0)</f>
        <v>44722</v>
      </c>
      <c r="C479" s="6">
        <f>IFERROR(__xludf.DUMMYFUNCTION("""COMPUTED_VALUE"""),0.7853703703694919)</f>
        <v>0.7853703704</v>
      </c>
      <c r="D479" s="4">
        <f>IFERROR(__xludf.DUMMYFUNCTION("""COMPUTED_VALUE"""),12.954355)</f>
        <v>12.954355</v>
      </c>
      <c r="E479" s="4">
        <f>IFERROR(__xludf.DUMMYFUNCTION("""COMPUTED_VALUE"""),80.159344)</f>
        <v>80.159344</v>
      </c>
      <c r="F479" s="4">
        <f>IFERROR(__xludf.DUMMYFUNCTION("""COMPUTED_VALUE"""),2846.0)</f>
        <v>2846</v>
      </c>
      <c r="G479" s="4">
        <f>IFERROR(__xludf.DUMMYFUNCTION("""COMPUTED_VALUE"""),17.0)</f>
        <v>17</v>
      </c>
      <c r="H479" s="4"/>
      <c r="I479" s="4"/>
    </row>
    <row r="480">
      <c r="A480" s="4" t="str">
        <f>IFERROR(__xludf.DUMMYFUNCTION("""COMPUTED_VALUE"""),"cas_hmw")</f>
        <v>cas_hmw</v>
      </c>
      <c r="B480" s="5">
        <f>IFERROR(__xludf.DUMMYFUNCTION("""COMPUTED_VALUE"""),44722.0)</f>
        <v>44722</v>
      </c>
      <c r="C480" s="6">
        <f>IFERROR(__xludf.DUMMYFUNCTION("""COMPUTED_VALUE"""),0.7867708333324117)</f>
        <v>0.7867708333</v>
      </c>
      <c r="D480" s="4">
        <f>IFERROR(__xludf.DUMMYFUNCTION("""COMPUTED_VALUE"""),12.95894)</f>
        <v>12.95894</v>
      </c>
      <c r="E480" s="4">
        <f>IFERROR(__xludf.DUMMYFUNCTION("""COMPUTED_VALUE"""),80.149999)</f>
        <v>80.149999</v>
      </c>
      <c r="F480" s="4">
        <f>IFERROR(__xludf.DUMMYFUNCTION("""COMPUTED_VALUE"""),2846.0)</f>
        <v>2846</v>
      </c>
      <c r="G480" s="4">
        <f>IFERROR(__xludf.DUMMYFUNCTION("""COMPUTED_VALUE"""),18.0)</f>
        <v>18</v>
      </c>
      <c r="H480" s="4"/>
      <c r="I480" s="4"/>
    </row>
    <row r="481">
      <c r="A481" s="4" t="str">
        <f>IFERROR(__xludf.DUMMYFUNCTION("""COMPUTED_VALUE"""),"cas_hmw")</f>
        <v>cas_hmw</v>
      </c>
      <c r="B481" s="5">
        <f>IFERROR(__xludf.DUMMYFUNCTION("""COMPUTED_VALUE"""),44722.0)</f>
        <v>44722</v>
      </c>
      <c r="C481" s="6">
        <f>IFERROR(__xludf.DUMMYFUNCTION("""COMPUTED_VALUE"""),0.7881712962953316)</f>
        <v>0.7881712963</v>
      </c>
      <c r="D481" s="4">
        <f>IFERROR(__xludf.DUMMYFUNCTION("""COMPUTED_VALUE"""),12.956466)</f>
        <v>12.956466</v>
      </c>
      <c r="E481" s="4">
        <f>IFERROR(__xludf.DUMMYFUNCTION("""COMPUTED_VALUE"""),80.143428)</f>
        <v>80.143428</v>
      </c>
      <c r="F481" s="4">
        <f>IFERROR(__xludf.DUMMYFUNCTION("""COMPUTED_VALUE"""),2846.0)</f>
        <v>2846</v>
      </c>
      <c r="G481" s="4">
        <f>IFERROR(__xludf.DUMMYFUNCTION("""COMPUTED_VALUE"""),0.0)</f>
        <v>0</v>
      </c>
      <c r="H481" s="4"/>
      <c r="I481" s="4"/>
    </row>
    <row r="482">
      <c r="A482" s="4" t="str">
        <f>IFERROR(__xludf.DUMMYFUNCTION("""COMPUTED_VALUE"""),"cas_hmw")</f>
        <v>cas_hmw</v>
      </c>
      <c r="B482" s="5">
        <f>IFERROR(__xludf.DUMMYFUNCTION("""COMPUTED_VALUE"""),44722.0)</f>
        <v>44722</v>
      </c>
      <c r="C482" s="6">
        <f>IFERROR(__xludf.DUMMYFUNCTION("""COMPUTED_VALUE"""),0.7882986111108039)</f>
        <v>0.7882986111</v>
      </c>
      <c r="D482" s="4">
        <f>IFERROR(__xludf.DUMMYFUNCTION("""COMPUTED_VALUE"""),12.956346)</f>
        <v>12.956346</v>
      </c>
      <c r="E482" s="4">
        <f>IFERROR(__xludf.DUMMYFUNCTION("""COMPUTED_VALUE"""),80.143348)</f>
        <v>80.143348</v>
      </c>
      <c r="F482" s="4">
        <f>IFERROR(__xludf.DUMMYFUNCTION("""COMPUTED_VALUE"""),2846.0)</f>
        <v>2846</v>
      </c>
      <c r="G482" s="4">
        <f>IFERROR(__xludf.DUMMYFUNCTION("""COMPUTED_VALUE"""),8.0)</f>
        <v>8</v>
      </c>
      <c r="H482" s="4"/>
      <c r="I482" s="4"/>
    </row>
    <row r="483">
      <c r="A483" s="4" t="str">
        <f>IFERROR(__xludf.DUMMYFUNCTION("""COMPUTED_VALUE"""),"cas_hmw")</f>
        <v>cas_hmw</v>
      </c>
      <c r="B483" s="5">
        <f>IFERROR(__xludf.DUMMYFUNCTION("""COMPUTED_VALUE"""),44722.0)</f>
        <v>44722</v>
      </c>
      <c r="C483" s="6">
        <f>IFERROR(__xludf.DUMMYFUNCTION("""COMPUTED_VALUE"""),0.7912268518521159)</f>
        <v>0.7912268519</v>
      </c>
      <c r="D483" s="4">
        <f>IFERROR(__xludf.DUMMYFUNCTION("""COMPUTED_VALUE"""),12.942482)</f>
        <v>12.942482</v>
      </c>
      <c r="E483" s="4">
        <f>IFERROR(__xludf.DUMMYFUNCTION("""COMPUTED_VALUE"""),80.133217)</f>
        <v>80.133217</v>
      </c>
      <c r="F483" s="4">
        <f>IFERROR(__xludf.DUMMYFUNCTION("""COMPUTED_VALUE"""),2846.0)</f>
        <v>2846</v>
      </c>
      <c r="G483" s="4">
        <f>IFERROR(__xludf.DUMMYFUNCTION("""COMPUTED_VALUE"""),19.0)</f>
        <v>19</v>
      </c>
      <c r="H483" s="4"/>
      <c r="I483" s="4"/>
    </row>
    <row r="484">
      <c r="A484" s="4" t="str">
        <f>IFERROR(__xludf.DUMMYFUNCTION("""COMPUTED_VALUE"""),"cas_hmw")</f>
        <v>cas_hmw</v>
      </c>
      <c r="B484" s="5">
        <f>IFERROR(__xludf.DUMMYFUNCTION("""COMPUTED_VALUE"""),44722.0)</f>
        <v>44722</v>
      </c>
      <c r="C484" s="6">
        <f>IFERROR(__xludf.DUMMYFUNCTION("""COMPUTED_VALUE"""),0.7932638888887595)</f>
        <v>0.7932638889</v>
      </c>
      <c r="D484" s="4">
        <f>IFERROR(__xludf.DUMMYFUNCTION("""COMPUTED_VALUE"""),12.932044)</f>
        <v>12.932044</v>
      </c>
      <c r="E484" s="4">
        <f>IFERROR(__xludf.DUMMYFUNCTION("""COMPUTED_VALUE"""),80.123308)</f>
        <v>80.123308</v>
      </c>
      <c r="F484" s="4">
        <f>IFERROR(__xludf.DUMMYFUNCTION("""COMPUTED_VALUE"""),2846.0)</f>
        <v>2846</v>
      </c>
      <c r="G484" s="4">
        <f>IFERROR(__xludf.DUMMYFUNCTION("""COMPUTED_VALUE"""),0.0)</f>
        <v>0</v>
      </c>
      <c r="H484" s="4"/>
      <c r="I484" s="4"/>
    </row>
    <row r="485">
      <c r="A485" s="4" t="str">
        <f>IFERROR(__xludf.DUMMYFUNCTION("""COMPUTED_VALUE"""),"cas_hmw")</f>
        <v>cas_hmw</v>
      </c>
      <c r="B485" s="5">
        <f>IFERROR(__xludf.DUMMYFUNCTION("""COMPUTED_VALUE"""),44722.0)</f>
        <v>44722</v>
      </c>
      <c r="C485" s="6">
        <f>IFERROR(__xludf.DUMMYFUNCTION("""COMPUTED_VALUE"""),0.8011921296310902)</f>
        <v>0.8011921296</v>
      </c>
      <c r="D485" s="4">
        <f>IFERROR(__xludf.DUMMYFUNCTION("""COMPUTED_VALUE"""),12.905378)</f>
        <v>12.905378</v>
      </c>
      <c r="E485" s="4">
        <f>IFERROR(__xludf.DUMMYFUNCTION("""COMPUTED_VALUE"""),80.095783)</f>
        <v>80.095783</v>
      </c>
      <c r="F485" s="4">
        <f>IFERROR(__xludf.DUMMYFUNCTION("""COMPUTED_VALUE"""),2846.0)</f>
        <v>2846</v>
      </c>
      <c r="G485" s="4">
        <f>IFERROR(__xludf.DUMMYFUNCTION("""COMPUTED_VALUE"""),0.0)</f>
        <v>0</v>
      </c>
      <c r="H485" s="4"/>
      <c r="I485" s="4"/>
    </row>
    <row r="486">
      <c r="A486" s="4" t="str">
        <f>IFERROR(__xludf.DUMMYFUNCTION("""COMPUTED_VALUE"""),"cas_hmw")</f>
        <v>cas_hmw</v>
      </c>
      <c r="B486" s="5">
        <f>IFERROR(__xludf.DUMMYFUNCTION("""COMPUTED_VALUE"""),44723.0)</f>
        <v>44723</v>
      </c>
      <c r="C486" s="6">
        <f>IFERROR(__xludf.DUMMYFUNCTION("""COMPUTED_VALUE"""),0.2907060185170849)</f>
        <v>0.2907060185</v>
      </c>
      <c r="D486" s="4">
        <f>IFERROR(__xludf.DUMMYFUNCTION("""COMPUTED_VALUE"""),12.952747)</f>
        <v>12.952747</v>
      </c>
      <c r="E486" s="4">
        <f>IFERROR(__xludf.DUMMYFUNCTION("""COMPUTED_VALUE"""),80.167387)</f>
        <v>80.167387</v>
      </c>
      <c r="F486" s="4">
        <f>IFERROR(__xludf.DUMMYFUNCTION("""COMPUTED_VALUE"""),2846.0)</f>
        <v>2846</v>
      </c>
      <c r="G486" s="4">
        <f>IFERROR(__xludf.DUMMYFUNCTION("""COMPUTED_VALUE"""),14.0)</f>
        <v>14</v>
      </c>
      <c r="H486" s="4"/>
      <c r="I486" s="4"/>
    </row>
    <row r="487">
      <c r="A487" s="4" t="str">
        <f>IFERROR(__xludf.DUMMYFUNCTION("""COMPUTED_VALUE"""),"cas_hmw")</f>
        <v>cas_hmw</v>
      </c>
      <c r="B487" s="5">
        <f>IFERROR(__xludf.DUMMYFUNCTION("""COMPUTED_VALUE"""),44723.0)</f>
        <v>44723</v>
      </c>
      <c r="C487" s="6">
        <f>IFERROR(__xludf.DUMMYFUNCTION("""COMPUTED_VALUE"""),0.2925925925919728)</f>
        <v>0.2925925926</v>
      </c>
      <c r="D487" s="4">
        <f>IFERROR(__xludf.DUMMYFUNCTION("""COMPUTED_VALUE"""),12.948586)</f>
        <v>12.948586</v>
      </c>
      <c r="E487" s="4">
        <f>IFERROR(__xludf.DUMMYFUNCTION("""COMPUTED_VALUE"""),80.198817)</f>
        <v>80.198817</v>
      </c>
      <c r="F487" s="4">
        <f>IFERROR(__xludf.DUMMYFUNCTION("""COMPUTED_VALUE"""),2846.0)</f>
        <v>2846</v>
      </c>
      <c r="G487" s="4">
        <f>IFERROR(__xludf.DUMMYFUNCTION("""COMPUTED_VALUE"""),12.0)</f>
        <v>12</v>
      </c>
      <c r="H487" s="4"/>
      <c r="I487" s="4"/>
    </row>
    <row r="488">
      <c r="A488" s="4" t="str">
        <f>IFERROR(__xludf.DUMMYFUNCTION("""COMPUTED_VALUE"""),"cas_hmw")</f>
        <v>cas_hmw</v>
      </c>
      <c r="B488" s="5">
        <f>IFERROR(__xludf.DUMMYFUNCTION("""COMPUTED_VALUE"""),44723.0)</f>
        <v>44723</v>
      </c>
      <c r="C488" s="6">
        <f>IFERROR(__xludf.DUMMYFUNCTION("""COMPUTED_VALUE"""),0.33035879629460396)</f>
        <v>0.3303587963</v>
      </c>
      <c r="D488" s="4">
        <f>IFERROR(__xludf.DUMMYFUNCTION("""COMPUTED_VALUE"""),13.012054)</f>
        <v>13.012054</v>
      </c>
      <c r="E488" s="4">
        <f>IFERROR(__xludf.DUMMYFUNCTION("""COMPUTED_VALUE"""),80.221305)</f>
        <v>80.221305</v>
      </c>
      <c r="F488" s="4">
        <f>IFERROR(__xludf.DUMMYFUNCTION("""COMPUTED_VALUE"""),805.0)</f>
        <v>805</v>
      </c>
      <c r="G488" s="4">
        <f>IFERROR(__xludf.DUMMYFUNCTION("""COMPUTED_VALUE"""),13.0)</f>
        <v>13</v>
      </c>
      <c r="H488" s="4"/>
      <c r="I488" s="4"/>
    </row>
    <row r="489">
      <c r="A489" s="4" t="str">
        <f>IFERROR(__xludf.DUMMYFUNCTION("""COMPUTED_VALUE"""),"cas_hmw")</f>
        <v>cas_hmw</v>
      </c>
      <c r="B489" s="5">
        <f>IFERROR(__xludf.DUMMYFUNCTION("""COMPUTED_VALUE"""),44723.0)</f>
        <v>44723</v>
      </c>
      <c r="C489" s="6">
        <f>IFERROR(__xludf.DUMMYFUNCTION("""COMPUTED_VALUE"""),0.3344444444446708)</f>
        <v>0.3344444444</v>
      </c>
      <c r="D489" s="4">
        <f>IFERROR(__xludf.DUMMYFUNCTION("""COMPUTED_VALUE"""),12.995392)</f>
        <v>12.995392</v>
      </c>
      <c r="E489" s="4">
        <f>IFERROR(__xludf.DUMMYFUNCTION("""COMPUTED_VALUE"""),80.18836)</f>
        <v>80.18836</v>
      </c>
      <c r="F489" s="4">
        <f>IFERROR(__xludf.DUMMYFUNCTION("""COMPUTED_VALUE"""),805.0)</f>
        <v>805</v>
      </c>
      <c r="G489" s="4">
        <f>IFERROR(__xludf.DUMMYFUNCTION("""COMPUTED_VALUE"""),0.0)</f>
        <v>0</v>
      </c>
      <c r="H489" s="4"/>
      <c r="I489" s="4"/>
    </row>
    <row r="490">
      <c r="A490" s="4" t="str">
        <f>IFERROR(__xludf.DUMMYFUNCTION("""COMPUTED_VALUE"""),"cas_hmw")</f>
        <v>cas_hmw</v>
      </c>
      <c r="B490" s="5">
        <f>IFERROR(__xludf.DUMMYFUNCTION("""COMPUTED_VALUE"""),44723.0)</f>
        <v>44723</v>
      </c>
      <c r="C490" s="6">
        <f>IFERROR(__xludf.DUMMYFUNCTION("""COMPUTED_VALUE"""),0.33777777777868323)</f>
        <v>0.3377777778</v>
      </c>
      <c r="D490" s="4">
        <f>IFERROR(__xludf.DUMMYFUNCTION("""COMPUTED_VALUE"""),12.980013)</f>
        <v>12.980013</v>
      </c>
      <c r="E490" s="4">
        <f>IFERROR(__xludf.DUMMYFUNCTION("""COMPUTED_VALUE"""),80.163256)</f>
        <v>80.163256</v>
      </c>
      <c r="F490" s="4">
        <f>IFERROR(__xludf.DUMMYFUNCTION("""COMPUTED_VALUE"""),805.0)</f>
        <v>805</v>
      </c>
      <c r="G490" s="4">
        <f>IFERROR(__xludf.DUMMYFUNCTION("""COMPUTED_VALUE"""),10.0)</f>
        <v>10</v>
      </c>
      <c r="H490" s="4"/>
      <c r="I490" s="4"/>
    </row>
    <row r="491">
      <c r="A491" s="4" t="str">
        <f>IFERROR(__xludf.DUMMYFUNCTION("""COMPUTED_VALUE"""),"cas_hmw")</f>
        <v>cas_hmw</v>
      </c>
      <c r="B491" s="5">
        <f>IFERROR(__xludf.DUMMYFUNCTION("""COMPUTED_VALUE"""),44723.0)</f>
        <v>44723</v>
      </c>
      <c r="C491" s="6">
        <f>IFERROR(__xludf.DUMMYFUNCTION("""COMPUTED_VALUE"""),0.3401504629619012)</f>
        <v>0.340150463</v>
      </c>
      <c r="D491" s="4">
        <f>IFERROR(__xludf.DUMMYFUNCTION("""COMPUTED_VALUE"""),12.969297)</f>
        <v>12.969297</v>
      </c>
      <c r="E491" s="4">
        <f>IFERROR(__xludf.DUMMYFUNCTION("""COMPUTED_VALUE"""),80.150142)</f>
        <v>80.150142</v>
      </c>
      <c r="F491" s="4">
        <f>IFERROR(__xludf.DUMMYFUNCTION("""COMPUTED_VALUE"""),805.0)</f>
        <v>805</v>
      </c>
      <c r="G491" s="4">
        <f>IFERROR(__xludf.DUMMYFUNCTION("""COMPUTED_VALUE"""),0.0)</f>
        <v>0</v>
      </c>
      <c r="H491" s="4"/>
      <c r="I491" s="4"/>
    </row>
    <row r="492">
      <c r="A492" s="4" t="str">
        <f>IFERROR(__xludf.DUMMYFUNCTION("""COMPUTED_VALUE"""),"cas_hmw")</f>
        <v>cas_hmw</v>
      </c>
      <c r="B492" s="5">
        <f>IFERROR(__xludf.DUMMYFUNCTION("""COMPUTED_VALUE"""),44723.0)</f>
        <v>44723</v>
      </c>
      <c r="C492" s="6">
        <f>IFERROR(__xludf.DUMMYFUNCTION("""COMPUTED_VALUE"""),0.3422569444446708)</f>
        <v>0.3422569444</v>
      </c>
      <c r="D492" s="4">
        <f>IFERROR(__xludf.DUMMYFUNCTION("""COMPUTED_VALUE"""),12.956092)</f>
        <v>12.956092</v>
      </c>
      <c r="E492" s="4">
        <f>IFERROR(__xludf.DUMMYFUNCTION("""COMPUTED_VALUE"""),80.14321)</f>
        <v>80.14321</v>
      </c>
      <c r="F492" s="4">
        <f>IFERROR(__xludf.DUMMYFUNCTION("""COMPUTED_VALUE"""),805.0)</f>
        <v>805</v>
      </c>
      <c r="G492" s="4">
        <f>IFERROR(__xludf.DUMMYFUNCTION("""COMPUTED_VALUE"""),16.0)</f>
        <v>16</v>
      </c>
      <c r="H492" s="4"/>
      <c r="I492" s="4"/>
    </row>
    <row r="493">
      <c r="A493" s="4" t="str">
        <f>IFERROR(__xludf.DUMMYFUNCTION("""COMPUTED_VALUE"""),"cas_hmw")</f>
        <v>cas_hmw</v>
      </c>
      <c r="B493" s="5">
        <f>IFERROR(__xludf.DUMMYFUNCTION("""COMPUTED_VALUE"""),44723.0)</f>
        <v>44723</v>
      </c>
      <c r="C493" s="6">
        <f>IFERROR(__xludf.DUMMYFUNCTION("""COMPUTED_VALUE"""),0.3509837962956226)</f>
        <v>0.3509837963</v>
      </c>
      <c r="D493" s="4">
        <f>IFERROR(__xludf.DUMMYFUNCTION("""COMPUTED_VALUE"""),12.917088)</f>
        <v>12.917088</v>
      </c>
      <c r="E493" s="4">
        <f>IFERROR(__xludf.DUMMYFUNCTION("""COMPUTED_VALUE"""),80.107312)</f>
        <v>80.107312</v>
      </c>
      <c r="F493" s="4">
        <f>IFERROR(__xludf.DUMMYFUNCTION("""COMPUTED_VALUE"""),2846.0)</f>
        <v>2846</v>
      </c>
      <c r="G493" s="4">
        <f>IFERROR(__xludf.DUMMYFUNCTION("""COMPUTED_VALUE"""),12.0)</f>
        <v>12</v>
      </c>
      <c r="H493" s="4"/>
      <c r="I493" s="4"/>
    </row>
    <row r="494">
      <c r="A494" s="4" t="str">
        <f>IFERROR(__xludf.DUMMYFUNCTION("""COMPUTED_VALUE"""),"cas_hmw")</f>
        <v>cas_hmw</v>
      </c>
      <c r="B494" s="5">
        <f>IFERROR(__xludf.DUMMYFUNCTION("""COMPUTED_VALUE"""),44723.0)</f>
        <v>44723</v>
      </c>
      <c r="C494" s="6">
        <f>IFERROR(__xludf.DUMMYFUNCTION("""COMPUTED_VALUE"""),0.35113425926101627)</f>
        <v>0.3511342593</v>
      </c>
      <c r="D494" s="4">
        <f>IFERROR(__xludf.DUMMYFUNCTION("""COMPUTED_VALUE"""),12.917088)</f>
        <v>12.917088</v>
      </c>
      <c r="E494" s="4">
        <f>IFERROR(__xludf.DUMMYFUNCTION("""COMPUTED_VALUE"""),80.107312)</f>
        <v>80.107312</v>
      </c>
      <c r="F494" s="4">
        <f>IFERROR(__xludf.DUMMYFUNCTION("""COMPUTED_VALUE"""),2846.0)</f>
        <v>2846</v>
      </c>
      <c r="G494" s="4">
        <f>IFERROR(__xludf.DUMMYFUNCTION("""COMPUTED_VALUE"""),12.0)</f>
        <v>12</v>
      </c>
      <c r="H494" s="4"/>
      <c r="I494" s="4"/>
    </row>
    <row r="495">
      <c r="A495" s="4" t="str">
        <f>IFERROR(__xludf.DUMMYFUNCTION("""COMPUTED_VALUE"""),"cas_hmw")</f>
        <v>cas_hmw</v>
      </c>
      <c r="B495" s="5">
        <f>IFERROR(__xludf.DUMMYFUNCTION("""COMPUTED_VALUE"""),44723.0)</f>
        <v>44723</v>
      </c>
      <c r="C495" s="6">
        <f>IFERROR(__xludf.DUMMYFUNCTION("""COMPUTED_VALUE"""),0.35513888888817746)</f>
        <v>0.3551388889</v>
      </c>
      <c r="D495" s="4">
        <f>IFERROR(__xludf.DUMMYFUNCTION("""COMPUTED_VALUE"""),12.904997)</f>
        <v>12.904997</v>
      </c>
      <c r="E495" s="4">
        <f>IFERROR(__xludf.DUMMYFUNCTION("""COMPUTED_VALUE"""),80.095367)</f>
        <v>80.095367</v>
      </c>
      <c r="F495" s="4">
        <f>IFERROR(__xludf.DUMMYFUNCTION("""COMPUTED_VALUE"""),2846.0)</f>
        <v>2846</v>
      </c>
      <c r="G495" s="4">
        <f>IFERROR(__xludf.DUMMYFUNCTION("""COMPUTED_VALUE"""),15.0)</f>
        <v>15</v>
      </c>
      <c r="H495" s="4"/>
      <c r="I495" s="4"/>
    </row>
    <row r="496">
      <c r="A496" s="4" t="str">
        <f>IFERROR(__xludf.DUMMYFUNCTION("""COMPUTED_VALUE"""),"cas_hmw")</f>
        <v>cas_hmw</v>
      </c>
      <c r="B496" s="5">
        <f>IFERROR(__xludf.DUMMYFUNCTION("""COMPUTED_VALUE"""),44723.0)</f>
        <v>44723</v>
      </c>
      <c r="C496" s="6">
        <f>IFERROR(__xludf.DUMMYFUNCTION("""COMPUTED_VALUE"""),0.6917592592581059)</f>
        <v>0.6917592593</v>
      </c>
      <c r="D496" s="4">
        <f>IFERROR(__xludf.DUMMYFUNCTION("""COMPUTED_VALUE"""),12.881364)</f>
        <v>12.881364</v>
      </c>
      <c r="E496" s="4">
        <f>IFERROR(__xludf.DUMMYFUNCTION("""COMPUTED_VALUE"""),80.080612)</f>
        <v>80.080612</v>
      </c>
      <c r="F496" s="4">
        <f>IFERROR(__xludf.DUMMYFUNCTION("""COMPUTED_VALUE"""),805.0)</f>
        <v>805</v>
      </c>
      <c r="G496" s="4">
        <f>IFERROR(__xludf.DUMMYFUNCTION("""COMPUTED_VALUE"""),20.0)</f>
        <v>20</v>
      </c>
      <c r="H496" s="4"/>
      <c r="I496" s="4"/>
    </row>
    <row r="497">
      <c r="A497" s="4" t="str">
        <f>IFERROR(__xludf.DUMMYFUNCTION("""COMPUTED_VALUE"""),"cas_hmw")</f>
        <v>cas_hmw</v>
      </c>
      <c r="B497" s="5">
        <f>IFERROR(__xludf.DUMMYFUNCTION("""COMPUTED_VALUE"""),44723.0)</f>
        <v>44723</v>
      </c>
      <c r="C497" s="6">
        <f>IFERROR(__xludf.DUMMYFUNCTION("""COMPUTED_VALUE"""),0.7015509259254031)</f>
        <v>0.7015509259</v>
      </c>
      <c r="D497" s="4">
        <f>IFERROR(__xludf.DUMMYFUNCTION("""COMPUTED_VALUE"""),12.929941)</f>
        <v>12.929941</v>
      </c>
      <c r="E497" s="4">
        <f>IFERROR(__xludf.DUMMYFUNCTION("""COMPUTED_VALUE"""),80.120903)</f>
        <v>80.120903</v>
      </c>
      <c r="F497" s="4">
        <f>IFERROR(__xludf.DUMMYFUNCTION("""COMPUTED_VALUE"""),805.0)</f>
        <v>805</v>
      </c>
      <c r="G497" s="4">
        <f>IFERROR(__xludf.DUMMYFUNCTION("""COMPUTED_VALUE"""),0.0)</f>
        <v>0</v>
      </c>
      <c r="H497" s="4"/>
      <c r="I497" s="4"/>
    </row>
    <row r="498">
      <c r="A498" s="4" t="str">
        <f>IFERROR(__xludf.DUMMYFUNCTION("""COMPUTED_VALUE"""),"cas_hmw")</f>
        <v>cas_hmw</v>
      </c>
      <c r="B498" s="5">
        <f>IFERROR(__xludf.DUMMYFUNCTION("""COMPUTED_VALUE"""),44723.0)</f>
        <v>44723</v>
      </c>
      <c r="C498" s="6">
        <f>IFERROR(__xludf.DUMMYFUNCTION("""COMPUTED_VALUE"""),0.7021874999991269)</f>
        <v>0.7021875</v>
      </c>
      <c r="D498" s="4">
        <f>IFERROR(__xludf.DUMMYFUNCTION("""COMPUTED_VALUE"""),12.931688)</f>
        <v>12.931688</v>
      </c>
      <c r="E498" s="4">
        <f>IFERROR(__xludf.DUMMYFUNCTION("""COMPUTED_VALUE"""),80.122632)</f>
        <v>80.122632</v>
      </c>
      <c r="F498" s="4">
        <f>IFERROR(__xludf.DUMMYFUNCTION("""COMPUTED_VALUE"""),805.0)</f>
        <v>805</v>
      </c>
      <c r="G498" s="4">
        <f>IFERROR(__xludf.DUMMYFUNCTION("""COMPUTED_VALUE"""),19.0)</f>
        <v>19</v>
      </c>
      <c r="H498" s="4"/>
      <c r="I498" s="4"/>
    </row>
    <row r="499">
      <c r="A499" s="4" t="str">
        <f>IFERROR(__xludf.DUMMYFUNCTION("""COMPUTED_VALUE"""),"cas_hmw")</f>
        <v>cas_hmw</v>
      </c>
      <c r="B499" s="5">
        <f>IFERROR(__xludf.DUMMYFUNCTION("""COMPUTED_VALUE"""),44723.0)</f>
        <v>44723</v>
      </c>
      <c r="C499" s="6">
        <f>IFERROR(__xludf.DUMMYFUNCTION("""COMPUTED_VALUE"""),0.702951388888323)</f>
        <v>0.7029513889</v>
      </c>
      <c r="D499" s="4">
        <f>IFERROR(__xludf.DUMMYFUNCTION("""COMPUTED_VALUE"""),12.935753)</f>
        <v>12.935753</v>
      </c>
      <c r="E499" s="4">
        <f>IFERROR(__xludf.DUMMYFUNCTION("""COMPUTED_VALUE"""),80.126547)</f>
        <v>80.126547</v>
      </c>
      <c r="F499" s="4">
        <f>IFERROR(__xludf.DUMMYFUNCTION("""COMPUTED_VALUE"""),805.0)</f>
        <v>805</v>
      </c>
      <c r="G499" s="4">
        <f>IFERROR(__xludf.DUMMYFUNCTION("""COMPUTED_VALUE"""),20.0)</f>
        <v>20</v>
      </c>
      <c r="H499" s="4"/>
      <c r="I499" s="4"/>
    </row>
    <row r="500">
      <c r="A500" s="4" t="str">
        <f>IFERROR(__xludf.DUMMYFUNCTION("""COMPUTED_VALUE"""),"cas_hmw")</f>
        <v>cas_hmw</v>
      </c>
      <c r="B500" s="5">
        <f>IFERROR(__xludf.DUMMYFUNCTION("""COMPUTED_VALUE"""),44723.0)</f>
        <v>44723</v>
      </c>
      <c r="C500" s="6">
        <f>IFERROR(__xludf.DUMMYFUNCTION("""COMPUTED_VALUE"""),0.7052430555559113)</f>
        <v>0.7052430556</v>
      </c>
      <c r="D500" s="4">
        <f>IFERROR(__xludf.DUMMYFUNCTION("""COMPUTED_VALUE"""),12.950264)</f>
        <v>12.950264</v>
      </c>
      <c r="E500" s="4">
        <f>IFERROR(__xludf.DUMMYFUNCTION("""COMPUTED_VALUE"""),80.139242)</f>
        <v>80.139242</v>
      </c>
      <c r="F500" s="4">
        <f>IFERROR(__xludf.DUMMYFUNCTION("""COMPUTED_VALUE"""),805.0)</f>
        <v>805</v>
      </c>
      <c r="G500" s="4">
        <f>IFERROR(__xludf.DUMMYFUNCTION("""COMPUTED_VALUE"""),0.0)</f>
        <v>0</v>
      </c>
      <c r="H500" s="4"/>
      <c r="I500" s="4"/>
    </row>
    <row r="501">
      <c r="A501" s="4" t="str">
        <f>IFERROR(__xludf.DUMMYFUNCTION("""COMPUTED_VALUE"""),"cas_hmw")</f>
        <v>cas_hmw</v>
      </c>
      <c r="B501" s="5">
        <f>IFERROR(__xludf.DUMMYFUNCTION("""COMPUTED_VALUE"""),44723.0)</f>
        <v>44723</v>
      </c>
      <c r="C501" s="6">
        <f>IFERROR(__xludf.DUMMYFUNCTION("""COMPUTED_VALUE"""),0.7075925925928459)</f>
        <v>0.7075925926</v>
      </c>
      <c r="D501" s="4">
        <f>IFERROR(__xludf.DUMMYFUNCTION("""COMPUTED_VALUE"""),12.965002)</f>
        <v>12.965002</v>
      </c>
      <c r="E501" s="4">
        <f>IFERROR(__xludf.DUMMYFUNCTION("""COMPUTED_VALUE"""),80.147854)</f>
        <v>80.147854</v>
      </c>
      <c r="F501" s="4">
        <f>IFERROR(__xludf.DUMMYFUNCTION("""COMPUTED_VALUE"""),805.0)</f>
        <v>805</v>
      </c>
      <c r="G501" s="4">
        <f>IFERROR(__xludf.DUMMYFUNCTION("""COMPUTED_VALUE"""),19.0)</f>
        <v>19</v>
      </c>
      <c r="H501" s="4"/>
      <c r="I501" s="4"/>
    </row>
    <row r="502">
      <c r="A502" s="4" t="str">
        <f>IFERROR(__xludf.DUMMYFUNCTION("""COMPUTED_VALUE"""),"cas_hmw")</f>
        <v>cas_hmw</v>
      </c>
      <c r="B502" s="5">
        <f>IFERROR(__xludf.DUMMYFUNCTION("""COMPUTED_VALUE"""),44723.0)</f>
        <v>44723</v>
      </c>
      <c r="C502" s="6">
        <f>IFERROR(__xludf.DUMMYFUNCTION("""COMPUTED_VALUE"""),0.7108564814807323)</f>
        <v>0.7108564815</v>
      </c>
      <c r="D502" s="4">
        <f>IFERROR(__xludf.DUMMYFUNCTION("""COMPUTED_VALUE"""),12.985647)</f>
        <v>12.985647</v>
      </c>
      <c r="E502" s="4">
        <f>IFERROR(__xludf.DUMMYFUNCTION("""COMPUTED_VALUE"""),80.173439)</f>
        <v>80.173439</v>
      </c>
      <c r="F502" s="4">
        <f>IFERROR(__xludf.DUMMYFUNCTION("""COMPUTED_VALUE"""),805.0)</f>
        <v>805</v>
      </c>
      <c r="G502" s="4">
        <f>IFERROR(__xludf.DUMMYFUNCTION("""COMPUTED_VALUE"""),4.0)</f>
        <v>4</v>
      </c>
      <c r="H502" s="4"/>
      <c r="I502" s="4"/>
    </row>
    <row r="503">
      <c r="A503" s="4" t="str">
        <f>IFERROR(__xludf.DUMMYFUNCTION("""COMPUTED_VALUE"""),"cas_hmw")</f>
        <v>cas_hmw</v>
      </c>
      <c r="B503" s="5">
        <f>IFERROR(__xludf.DUMMYFUNCTION("""COMPUTED_VALUE"""),44723.0)</f>
        <v>44723</v>
      </c>
      <c r="C503" s="6">
        <f>IFERROR(__xludf.DUMMYFUNCTION("""COMPUTED_VALUE"""),0.7108564814807323)</f>
        <v>0.7108564815</v>
      </c>
      <c r="D503" s="4">
        <f>IFERROR(__xludf.DUMMYFUNCTION("""COMPUTED_VALUE"""),12.985647)</f>
        <v>12.985647</v>
      </c>
      <c r="E503" s="4">
        <f>IFERROR(__xludf.DUMMYFUNCTION("""COMPUTED_VALUE"""),80.173439)</f>
        <v>80.173439</v>
      </c>
      <c r="F503" s="4">
        <f>IFERROR(__xludf.DUMMYFUNCTION("""COMPUTED_VALUE"""),805.0)</f>
        <v>805</v>
      </c>
      <c r="G503" s="4">
        <f>IFERROR(__xludf.DUMMYFUNCTION("""COMPUTED_VALUE"""),4.0)</f>
        <v>4</v>
      </c>
      <c r="H503" s="4"/>
      <c r="I503" s="4"/>
    </row>
    <row r="504">
      <c r="A504" s="4" t="str">
        <f>IFERROR(__xludf.DUMMYFUNCTION("""COMPUTED_VALUE"""),"cas_hmw")</f>
        <v>cas_hmw</v>
      </c>
      <c r="B504" s="5">
        <f>IFERROR(__xludf.DUMMYFUNCTION("""COMPUTED_VALUE"""),44723.0)</f>
        <v>44723</v>
      </c>
      <c r="C504" s="6">
        <f>IFERROR(__xludf.DUMMYFUNCTION("""COMPUTED_VALUE"""),0.7150810185194132)</f>
        <v>0.7150810185</v>
      </c>
      <c r="D504" s="4">
        <f>IFERROR(__xludf.DUMMYFUNCTION("""COMPUTED_VALUE"""),12.998345)</f>
        <v>12.998345</v>
      </c>
      <c r="E504" s="4">
        <f>IFERROR(__xludf.DUMMYFUNCTION("""COMPUTED_VALUE"""),80.191994)</f>
        <v>80.191994</v>
      </c>
      <c r="F504" s="4">
        <f>IFERROR(__xludf.DUMMYFUNCTION("""COMPUTED_VALUE"""),805.0)</f>
        <v>805</v>
      </c>
      <c r="G504" s="4">
        <f>IFERROR(__xludf.DUMMYFUNCTION("""COMPUTED_VALUE"""),0.0)</f>
        <v>0</v>
      </c>
      <c r="H504" s="4"/>
      <c r="I504" s="4"/>
    </row>
    <row r="505">
      <c r="A505" s="4" t="str">
        <f>IFERROR(__xludf.DUMMYFUNCTION("""COMPUTED_VALUE"""),"cas_hmw")</f>
        <v>cas_hmw</v>
      </c>
      <c r="B505" s="5">
        <f>IFERROR(__xludf.DUMMYFUNCTION("""COMPUTED_VALUE"""),44723.0)</f>
        <v>44723</v>
      </c>
      <c r="C505" s="6">
        <f>IFERROR(__xludf.DUMMYFUNCTION("""COMPUTED_VALUE"""),0.7196296296278888)</f>
        <v>0.7196296296</v>
      </c>
      <c r="D505" s="4">
        <f>IFERROR(__xludf.DUMMYFUNCTION("""COMPUTED_VALUE"""),13.012226)</f>
        <v>13.012226</v>
      </c>
      <c r="E505" s="4">
        <f>IFERROR(__xludf.DUMMYFUNCTION("""COMPUTED_VALUE"""),80.220667)</f>
        <v>80.220667</v>
      </c>
      <c r="F505" s="4">
        <f>IFERROR(__xludf.DUMMYFUNCTION("""COMPUTED_VALUE"""),805.0)</f>
        <v>805</v>
      </c>
      <c r="G505" s="4">
        <f>IFERROR(__xludf.DUMMYFUNCTION("""COMPUTED_VALUE"""),0.0)</f>
        <v>0</v>
      </c>
      <c r="H505" s="4"/>
      <c r="I505" s="4"/>
    </row>
    <row r="506">
      <c r="A506" s="4" t="str">
        <f>IFERROR(__xludf.DUMMYFUNCTION("""COMPUTED_VALUE"""),"cas_hmw")</f>
        <v>cas_hmw</v>
      </c>
      <c r="B506" s="5">
        <f>IFERROR(__xludf.DUMMYFUNCTION("""COMPUTED_VALUE"""),44723.0)</f>
        <v>44723</v>
      </c>
      <c r="C506" s="6">
        <f>IFERROR(__xludf.DUMMYFUNCTION("""COMPUTED_VALUE"""),0.7208680555559113)</f>
        <v>0.7208680556</v>
      </c>
      <c r="D506" s="4">
        <f>IFERROR(__xludf.DUMMYFUNCTION("""COMPUTED_VALUE"""),13.091147)</f>
        <v>13.091147</v>
      </c>
      <c r="E506" s="4">
        <f>IFERROR(__xludf.DUMMYFUNCTION("""COMPUTED_VALUE"""),80.161413)</f>
        <v>80.161413</v>
      </c>
      <c r="F506" s="4">
        <f>IFERROR(__xludf.DUMMYFUNCTION("""COMPUTED_VALUE"""),2846.0)</f>
        <v>2846</v>
      </c>
      <c r="G506" s="4">
        <f>IFERROR(__xludf.DUMMYFUNCTION("""COMPUTED_VALUE"""),0.0)</f>
        <v>0</v>
      </c>
      <c r="H506" s="4"/>
      <c r="I506" s="4"/>
    </row>
    <row r="507">
      <c r="A507" s="4" t="str">
        <f>IFERROR(__xludf.DUMMYFUNCTION("""COMPUTED_VALUE"""),"cas_hmw")</f>
        <v>cas_hmw</v>
      </c>
      <c r="B507" s="5">
        <f>IFERROR(__xludf.DUMMYFUNCTION("""COMPUTED_VALUE"""),44723.0)</f>
        <v>44723</v>
      </c>
      <c r="C507" s="6">
        <f>IFERROR(__xludf.DUMMYFUNCTION("""COMPUTED_VALUE"""),0.7209374999983993)</f>
        <v>0.7209375</v>
      </c>
      <c r="D507" s="4">
        <f>IFERROR(__xludf.DUMMYFUNCTION("""COMPUTED_VALUE"""),13.015412)</f>
        <v>13.015412</v>
      </c>
      <c r="E507" s="4">
        <f>IFERROR(__xludf.DUMMYFUNCTION("""COMPUTED_VALUE"""),80.225403)</f>
        <v>80.225403</v>
      </c>
      <c r="F507" s="4">
        <f>IFERROR(__xludf.DUMMYFUNCTION("""COMPUTED_VALUE"""),805.0)</f>
        <v>805</v>
      </c>
      <c r="G507" s="4">
        <f>IFERROR(__xludf.DUMMYFUNCTION("""COMPUTED_VALUE"""),19.0)</f>
        <v>19</v>
      </c>
      <c r="H507" s="4"/>
      <c r="I507" s="4"/>
    </row>
    <row r="508">
      <c r="A508" s="4" t="str">
        <f>IFERROR(__xludf.DUMMYFUNCTION("""COMPUTED_VALUE"""),"cas_hmw")</f>
        <v>cas_hmw</v>
      </c>
      <c r="B508" s="5">
        <f>IFERROR(__xludf.DUMMYFUNCTION("""COMPUTED_VALUE"""),44723.0)</f>
        <v>44723</v>
      </c>
      <c r="C508" s="6">
        <f>IFERROR(__xludf.DUMMYFUNCTION("""COMPUTED_VALUE"""),0.7209374999983993)</f>
        <v>0.7209375</v>
      </c>
      <c r="D508" s="4">
        <f>IFERROR(__xludf.DUMMYFUNCTION("""COMPUTED_VALUE"""),13.015412)</f>
        <v>13.015412</v>
      </c>
      <c r="E508" s="4">
        <f>IFERROR(__xludf.DUMMYFUNCTION("""COMPUTED_VALUE"""),80.225403)</f>
        <v>80.225403</v>
      </c>
      <c r="F508" s="4">
        <f>IFERROR(__xludf.DUMMYFUNCTION("""COMPUTED_VALUE"""),805.0)</f>
        <v>805</v>
      </c>
      <c r="G508" s="4">
        <f>IFERROR(__xludf.DUMMYFUNCTION("""COMPUTED_VALUE"""),19.0)</f>
        <v>19</v>
      </c>
      <c r="H508" s="4"/>
      <c r="I508" s="4"/>
    </row>
    <row r="509">
      <c r="A509" s="4" t="str">
        <f>IFERROR(__xludf.DUMMYFUNCTION("""COMPUTED_VALUE"""),"cas_hmw")</f>
        <v>cas_hmw</v>
      </c>
      <c r="B509" s="5">
        <f>IFERROR(__xludf.DUMMYFUNCTION("""COMPUTED_VALUE"""),44723.0)</f>
        <v>44723</v>
      </c>
      <c r="C509" s="6">
        <f>IFERROR(__xludf.DUMMYFUNCTION("""COMPUTED_VALUE"""),0.7209722222214623)</f>
        <v>0.7209722222</v>
      </c>
      <c r="D509" s="4">
        <f>IFERROR(__xludf.DUMMYFUNCTION("""COMPUTED_VALUE"""),13.015412)</f>
        <v>13.015412</v>
      </c>
      <c r="E509" s="4">
        <f>IFERROR(__xludf.DUMMYFUNCTION("""COMPUTED_VALUE"""),80.225403)</f>
        <v>80.225403</v>
      </c>
      <c r="F509" s="4">
        <f>IFERROR(__xludf.DUMMYFUNCTION("""COMPUTED_VALUE"""),805.0)</f>
        <v>805</v>
      </c>
      <c r="G509" s="4">
        <f>IFERROR(__xludf.DUMMYFUNCTION("""COMPUTED_VALUE"""),19.0)</f>
        <v>19</v>
      </c>
      <c r="H509" s="4"/>
      <c r="I509" s="4"/>
    </row>
    <row r="510">
      <c r="A510" s="4" t="str">
        <f>IFERROR(__xludf.DUMMYFUNCTION("""COMPUTED_VALUE"""),"cas_hmw")</f>
        <v>cas_hmw</v>
      </c>
      <c r="B510" s="5">
        <f>IFERROR(__xludf.DUMMYFUNCTION("""COMPUTED_VALUE"""),44723.0)</f>
        <v>44723</v>
      </c>
      <c r="C510" s="6">
        <f>IFERROR(__xludf.DUMMYFUNCTION("""COMPUTED_VALUE"""),0.72105324074073)</f>
        <v>0.7210532407</v>
      </c>
      <c r="D510" s="4">
        <f>IFERROR(__xludf.DUMMYFUNCTION("""COMPUTED_VALUE"""),13.015331)</f>
        <v>13.015331</v>
      </c>
      <c r="E510" s="4">
        <f>IFERROR(__xludf.DUMMYFUNCTION("""COMPUTED_VALUE"""),80.225674)</f>
        <v>80.225674</v>
      </c>
      <c r="F510" s="4">
        <f>IFERROR(__xludf.DUMMYFUNCTION("""COMPUTED_VALUE"""),805.0)</f>
        <v>805</v>
      </c>
      <c r="G510" s="4">
        <f>IFERROR(__xludf.DUMMYFUNCTION("""COMPUTED_VALUE"""),0.0)</f>
        <v>0</v>
      </c>
      <c r="H510" s="4"/>
      <c r="I510" s="4"/>
    </row>
    <row r="511">
      <c r="A511" s="4" t="str">
        <f>IFERROR(__xludf.DUMMYFUNCTION("""COMPUTED_VALUE"""),"cas_hmw")</f>
        <v>cas_hmw</v>
      </c>
      <c r="B511" s="5">
        <f>IFERROR(__xludf.DUMMYFUNCTION("""COMPUTED_VALUE"""),44723.0)</f>
        <v>44723</v>
      </c>
      <c r="C511" s="6">
        <f>IFERROR(__xludf.DUMMYFUNCTION("""COMPUTED_VALUE"""),0.7263078703690553)</f>
        <v>0.7263078704</v>
      </c>
      <c r="D511" s="4">
        <f>IFERROR(__xludf.DUMMYFUNCTION("""COMPUTED_VALUE"""),13.007329)</f>
        <v>13.007329</v>
      </c>
      <c r="E511" s="4">
        <f>IFERROR(__xludf.DUMMYFUNCTION("""COMPUTED_VALUE"""),80.237957)</f>
        <v>80.237957</v>
      </c>
      <c r="F511" s="4">
        <f>IFERROR(__xludf.DUMMYFUNCTION("""COMPUTED_VALUE"""),805.0)</f>
        <v>805</v>
      </c>
      <c r="G511" s="4">
        <f>IFERROR(__xludf.DUMMYFUNCTION("""COMPUTED_VALUE"""),12.0)</f>
        <v>12</v>
      </c>
      <c r="H511" s="4"/>
      <c r="I511" s="4"/>
    </row>
    <row r="512">
      <c r="A512" s="4" t="str">
        <f>IFERROR(__xludf.DUMMYFUNCTION("""COMPUTED_VALUE"""),"cas_hmw")</f>
        <v>cas_hmw</v>
      </c>
      <c r="B512" s="5">
        <f>IFERROR(__xludf.DUMMYFUNCTION("""COMPUTED_VALUE"""),44723.0)</f>
        <v>44723</v>
      </c>
      <c r="C512" s="6">
        <f>IFERROR(__xludf.DUMMYFUNCTION("""COMPUTED_VALUE"""),0.7265856481499213)</f>
        <v>0.7265856481</v>
      </c>
      <c r="D512" s="4">
        <f>IFERROR(__xludf.DUMMYFUNCTION("""COMPUTED_VALUE"""),13.007223)</f>
        <v>13.007223</v>
      </c>
      <c r="E512" s="4">
        <f>IFERROR(__xludf.DUMMYFUNCTION("""COMPUTED_VALUE"""),80.238333)</f>
        <v>80.238333</v>
      </c>
      <c r="F512" s="4">
        <f>IFERROR(__xludf.DUMMYFUNCTION("""COMPUTED_VALUE"""),805.0)</f>
        <v>805</v>
      </c>
      <c r="G512" s="4">
        <f>IFERROR(__xludf.DUMMYFUNCTION("""COMPUTED_VALUE"""),6.0)</f>
        <v>6</v>
      </c>
      <c r="H512" s="4"/>
      <c r="I512" s="4"/>
    </row>
    <row r="513">
      <c r="A513" s="4" t="str">
        <f>IFERROR(__xludf.DUMMYFUNCTION("""COMPUTED_VALUE"""),"cas_hmw")</f>
        <v>cas_hmw</v>
      </c>
      <c r="B513" s="5">
        <f>IFERROR(__xludf.DUMMYFUNCTION("""COMPUTED_VALUE"""),44723.0)</f>
        <v>44723</v>
      </c>
      <c r="C513" s="6">
        <f>IFERROR(__xludf.DUMMYFUNCTION("""COMPUTED_VALUE"""),0.7266782407423307)</f>
        <v>0.7266782407</v>
      </c>
      <c r="D513" s="4">
        <f>IFERROR(__xludf.DUMMYFUNCTION("""COMPUTED_VALUE"""),13.007223)</f>
        <v>13.007223</v>
      </c>
      <c r="E513" s="4">
        <f>IFERROR(__xludf.DUMMYFUNCTION("""COMPUTED_VALUE"""),80.238333)</f>
        <v>80.238333</v>
      </c>
      <c r="F513" s="4">
        <f>IFERROR(__xludf.DUMMYFUNCTION("""COMPUTED_VALUE"""),805.0)</f>
        <v>805</v>
      </c>
      <c r="G513" s="4">
        <f>IFERROR(__xludf.DUMMYFUNCTION("""COMPUTED_VALUE"""),6.0)</f>
        <v>6</v>
      </c>
      <c r="H513" s="4"/>
      <c r="I513" s="4"/>
    </row>
    <row r="514">
      <c r="A514" s="4" t="str">
        <f>IFERROR(__xludf.DUMMYFUNCTION("""COMPUTED_VALUE"""),"cas_hmw")</f>
        <v>cas_hmw</v>
      </c>
      <c r="B514" s="5">
        <f>IFERROR(__xludf.DUMMYFUNCTION("""COMPUTED_VALUE"""),44723.0)</f>
        <v>44723</v>
      </c>
      <c r="C514" s="6">
        <f>IFERROR(__xludf.DUMMYFUNCTION("""COMPUTED_VALUE"""),0.7266782407423307)</f>
        <v>0.7266782407</v>
      </c>
      <c r="D514" s="4">
        <f>IFERROR(__xludf.DUMMYFUNCTION("""COMPUTED_VALUE"""),13.007223)</f>
        <v>13.007223</v>
      </c>
      <c r="E514" s="4">
        <f>IFERROR(__xludf.DUMMYFUNCTION("""COMPUTED_VALUE"""),80.238333)</f>
        <v>80.238333</v>
      </c>
      <c r="F514" s="4">
        <f>IFERROR(__xludf.DUMMYFUNCTION("""COMPUTED_VALUE"""),805.0)</f>
        <v>805</v>
      </c>
      <c r="G514" s="4">
        <f>IFERROR(__xludf.DUMMYFUNCTION("""COMPUTED_VALUE"""),6.0)</f>
        <v>6</v>
      </c>
      <c r="H514" s="4"/>
      <c r="I514" s="4"/>
    </row>
    <row r="515">
      <c r="A515" s="4" t="str">
        <f>IFERROR(__xludf.DUMMYFUNCTION("""COMPUTED_VALUE"""),"cas_hmw")</f>
        <v>cas_hmw</v>
      </c>
      <c r="B515" s="5">
        <f>IFERROR(__xludf.DUMMYFUNCTION("""COMPUTED_VALUE"""),44723.0)</f>
        <v>44723</v>
      </c>
      <c r="C515" s="6">
        <f>IFERROR(__xludf.DUMMYFUNCTION("""COMPUTED_VALUE"""),0.726736111111677)</f>
        <v>0.7267361111</v>
      </c>
      <c r="D515" s="4">
        <f>IFERROR(__xludf.DUMMYFUNCTION("""COMPUTED_VALUE"""),13.08828)</f>
        <v>13.08828</v>
      </c>
      <c r="E515" s="4">
        <f>IFERROR(__xludf.DUMMYFUNCTION("""COMPUTED_VALUE"""),80.17963)</f>
        <v>80.17963</v>
      </c>
      <c r="F515" s="4">
        <f>IFERROR(__xludf.DUMMYFUNCTION("""COMPUTED_VALUE"""),2846.0)</f>
        <v>2846</v>
      </c>
      <c r="G515" s="4">
        <f>IFERROR(__xludf.DUMMYFUNCTION("""COMPUTED_VALUE"""),14.0)</f>
        <v>14</v>
      </c>
      <c r="H515" s="4"/>
      <c r="I515" s="4"/>
    </row>
    <row r="516">
      <c r="A516" s="4" t="str">
        <f>IFERROR(__xludf.DUMMYFUNCTION("""COMPUTED_VALUE"""),"cas_hmw")</f>
        <v>cas_hmw</v>
      </c>
      <c r="B516" s="5">
        <f>IFERROR(__xludf.DUMMYFUNCTION("""COMPUTED_VALUE"""),44723.0)</f>
        <v>44723</v>
      </c>
      <c r="C516" s="6">
        <f>IFERROR(__xludf.DUMMYFUNCTION("""COMPUTED_VALUE"""),0.7286458333328483)</f>
        <v>0.7286458333</v>
      </c>
      <c r="D516" s="4">
        <f>IFERROR(__xludf.DUMMYFUNCTION("""COMPUTED_VALUE"""),13.006773)</f>
        <v>13.006773</v>
      </c>
      <c r="E516" s="4">
        <f>IFERROR(__xludf.DUMMYFUNCTION("""COMPUTED_VALUE"""),80.247857)</f>
        <v>80.247857</v>
      </c>
      <c r="F516" s="4">
        <f>IFERROR(__xludf.DUMMYFUNCTION("""COMPUTED_VALUE"""),805.0)</f>
        <v>805</v>
      </c>
      <c r="G516" s="4">
        <f>IFERROR(__xludf.DUMMYFUNCTION("""COMPUTED_VALUE"""),0.0)</f>
        <v>0</v>
      </c>
      <c r="H516" s="4"/>
      <c r="I516" s="4"/>
    </row>
    <row r="517">
      <c r="A517" s="4" t="str">
        <f>IFERROR(__xludf.DUMMYFUNCTION("""COMPUTED_VALUE"""),"cas_hmw")</f>
        <v>cas_hmw</v>
      </c>
      <c r="B517" s="5">
        <f>IFERROR(__xludf.DUMMYFUNCTION("""COMPUTED_VALUE"""),44723.0)</f>
        <v>44723</v>
      </c>
      <c r="C517" s="6">
        <f>IFERROR(__xludf.DUMMYFUNCTION("""COMPUTED_VALUE"""),0.7286689814827696)</f>
        <v>0.7286689815</v>
      </c>
      <c r="D517" s="4">
        <f>IFERROR(__xludf.DUMMYFUNCTION("""COMPUTED_VALUE"""),13.006773)</f>
        <v>13.006773</v>
      </c>
      <c r="E517" s="4">
        <f>IFERROR(__xludf.DUMMYFUNCTION("""COMPUTED_VALUE"""),80.247857)</f>
        <v>80.247857</v>
      </c>
      <c r="F517" s="4">
        <f>IFERROR(__xludf.DUMMYFUNCTION("""COMPUTED_VALUE"""),805.0)</f>
        <v>805</v>
      </c>
      <c r="G517" s="4">
        <f>IFERROR(__xludf.DUMMYFUNCTION("""COMPUTED_VALUE"""),0.0)</f>
        <v>0</v>
      </c>
      <c r="H517" s="4"/>
      <c r="I517" s="4"/>
    </row>
    <row r="518">
      <c r="A518" s="4" t="str">
        <f>IFERROR(__xludf.DUMMYFUNCTION("""COMPUTED_VALUE"""),"cas_hmw")</f>
        <v>cas_hmw</v>
      </c>
      <c r="B518" s="5">
        <f>IFERROR(__xludf.DUMMYFUNCTION("""COMPUTED_VALUE"""),44723.0)</f>
        <v>44723</v>
      </c>
      <c r="C518" s="6">
        <f>IFERROR(__xludf.DUMMYFUNCTION("""COMPUTED_VALUE"""),0.7289467592599976)</f>
        <v>0.7289467593</v>
      </c>
      <c r="D518" s="4">
        <f>IFERROR(__xludf.DUMMYFUNCTION("""COMPUTED_VALUE"""),13.087884)</f>
        <v>13.087884</v>
      </c>
      <c r="E518" s="4">
        <f>IFERROR(__xludf.DUMMYFUNCTION("""COMPUTED_VALUE"""),80.188836)</f>
        <v>80.188836</v>
      </c>
      <c r="F518" s="4">
        <f>IFERROR(__xludf.DUMMYFUNCTION("""COMPUTED_VALUE"""),2846.0)</f>
        <v>2846</v>
      </c>
      <c r="G518" s="4">
        <f>IFERROR(__xludf.DUMMYFUNCTION("""COMPUTED_VALUE"""),0.0)</f>
        <v>0</v>
      </c>
      <c r="H518" s="4"/>
      <c r="I518" s="4"/>
    </row>
    <row r="519">
      <c r="A519" s="4" t="str">
        <f>IFERROR(__xludf.DUMMYFUNCTION("""COMPUTED_VALUE"""),"cas_hmw")</f>
        <v>cas_hmw</v>
      </c>
      <c r="B519" s="5">
        <f>IFERROR(__xludf.DUMMYFUNCTION("""COMPUTED_VALUE"""),44723.0)</f>
        <v>44723</v>
      </c>
      <c r="C519" s="6">
        <f>IFERROR(__xludf.DUMMYFUNCTION("""COMPUTED_VALUE"""),0.7310879629621923)</f>
        <v>0.731087963</v>
      </c>
      <c r="D519" s="4">
        <f>IFERROR(__xludf.DUMMYFUNCTION("""COMPUTED_VALUE"""),13.00846)</f>
        <v>13.00846</v>
      </c>
      <c r="E519" s="4">
        <f>IFERROR(__xludf.DUMMYFUNCTION("""COMPUTED_VALUE"""),80.258887)</f>
        <v>80.258887</v>
      </c>
      <c r="F519" s="4">
        <f>IFERROR(__xludf.DUMMYFUNCTION("""COMPUTED_VALUE"""),805.0)</f>
        <v>805</v>
      </c>
      <c r="G519" s="4">
        <f>IFERROR(__xludf.DUMMYFUNCTION("""COMPUTED_VALUE"""),7.0)</f>
        <v>7</v>
      </c>
      <c r="H519" s="4"/>
      <c r="I519" s="4"/>
    </row>
    <row r="520">
      <c r="A520" s="4" t="str">
        <f>IFERROR(__xludf.DUMMYFUNCTION("""COMPUTED_VALUE"""),"cas_hmw")</f>
        <v>cas_hmw</v>
      </c>
      <c r="B520" s="5">
        <f>IFERROR(__xludf.DUMMYFUNCTION("""COMPUTED_VALUE"""),44723.0)</f>
        <v>44723</v>
      </c>
      <c r="C520" s="6">
        <f>IFERROR(__xludf.DUMMYFUNCTION("""COMPUTED_VALUE"""),0.7335763888877409)</f>
        <v>0.7335763889</v>
      </c>
      <c r="D520" s="4">
        <f>IFERROR(__xludf.DUMMYFUNCTION("""COMPUTED_VALUE"""),13.085338)</f>
        <v>13.085338</v>
      </c>
      <c r="E520" s="4">
        <f>IFERROR(__xludf.DUMMYFUNCTION("""COMPUTED_VALUE"""),80.200331)</f>
        <v>80.200331</v>
      </c>
      <c r="F520" s="4">
        <f>IFERROR(__xludf.DUMMYFUNCTION("""COMPUTED_VALUE"""),2846.0)</f>
        <v>2846</v>
      </c>
      <c r="G520" s="4">
        <f>IFERROR(__xludf.DUMMYFUNCTION("""COMPUTED_VALUE"""),11.0)</f>
        <v>11</v>
      </c>
      <c r="H520" s="4"/>
      <c r="I520" s="4"/>
    </row>
    <row r="521">
      <c r="A521" s="4" t="str">
        <f>IFERROR(__xludf.DUMMYFUNCTION("""COMPUTED_VALUE"""),"cas_hmw")</f>
        <v>cas_hmw</v>
      </c>
      <c r="B521" s="5">
        <f>IFERROR(__xludf.DUMMYFUNCTION("""COMPUTED_VALUE"""),44723.0)</f>
        <v>44723</v>
      </c>
      <c r="C521" s="6">
        <f>IFERROR(__xludf.DUMMYFUNCTION("""COMPUTED_VALUE"""),0.7335763888877409)</f>
        <v>0.7335763889</v>
      </c>
      <c r="D521" s="4">
        <f>IFERROR(__xludf.DUMMYFUNCTION("""COMPUTED_VALUE"""),13.085338)</f>
        <v>13.085338</v>
      </c>
      <c r="E521" s="4">
        <f>IFERROR(__xludf.DUMMYFUNCTION("""COMPUTED_VALUE"""),80.200331)</f>
        <v>80.200331</v>
      </c>
      <c r="F521" s="4">
        <f>IFERROR(__xludf.DUMMYFUNCTION("""COMPUTED_VALUE"""),2846.0)</f>
        <v>2846</v>
      </c>
      <c r="G521" s="4">
        <f>IFERROR(__xludf.DUMMYFUNCTION("""COMPUTED_VALUE"""),11.0)</f>
        <v>11</v>
      </c>
      <c r="H521" s="4"/>
      <c r="I521" s="4"/>
    </row>
    <row r="522">
      <c r="A522" s="4" t="str">
        <f>IFERROR(__xludf.DUMMYFUNCTION("""COMPUTED_VALUE"""),"cas_hmw")</f>
        <v>cas_hmw</v>
      </c>
      <c r="B522" s="5">
        <f>IFERROR(__xludf.DUMMYFUNCTION("""COMPUTED_VALUE"""),44723.0)</f>
        <v>44723</v>
      </c>
      <c r="C522" s="6">
        <f>IFERROR(__xludf.DUMMYFUNCTION("""COMPUTED_VALUE"""),0.7343865740731417)</f>
        <v>0.7343865741</v>
      </c>
      <c r="D522" s="4">
        <f>IFERROR(__xludf.DUMMYFUNCTION("""COMPUTED_VALUE"""),13.020025)</f>
        <v>13.020025</v>
      </c>
      <c r="E522" s="4">
        <f>IFERROR(__xludf.DUMMYFUNCTION("""COMPUTED_VALUE"""),80.262408)</f>
        <v>80.262408</v>
      </c>
      <c r="F522" s="4">
        <f>IFERROR(__xludf.DUMMYFUNCTION("""COMPUTED_VALUE"""),805.0)</f>
        <v>805</v>
      </c>
      <c r="G522" s="4">
        <f>IFERROR(__xludf.DUMMYFUNCTION("""COMPUTED_VALUE"""),14.0)</f>
        <v>14</v>
      </c>
      <c r="H522" s="4"/>
      <c r="I522" s="4"/>
    </row>
    <row r="523">
      <c r="A523" s="4" t="str">
        <f>IFERROR(__xludf.DUMMYFUNCTION("""COMPUTED_VALUE"""),"cas_hmw")</f>
        <v>cas_hmw</v>
      </c>
      <c r="B523" s="5">
        <f>IFERROR(__xludf.DUMMYFUNCTION("""COMPUTED_VALUE"""),44723.0)</f>
        <v>44723</v>
      </c>
      <c r="C523" s="6">
        <f>IFERROR(__xludf.DUMMYFUNCTION("""COMPUTED_VALUE"""),0.7378356481494848)</f>
        <v>0.7378356481</v>
      </c>
      <c r="D523" s="4">
        <f>IFERROR(__xludf.DUMMYFUNCTION("""COMPUTED_VALUE"""),13.084898)</f>
        <v>13.084898</v>
      </c>
      <c r="E523" s="4">
        <f>IFERROR(__xludf.DUMMYFUNCTION("""COMPUTED_VALUE"""),80.212822)</f>
        <v>80.212822</v>
      </c>
      <c r="F523" s="4">
        <f>IFERROR(__xludf.DUMMYFUNCTION("""COMPUTED_VALUE"""),2846.0)</f>
        <v>2846</v>
      </c>
      <c r="G523" s="4">
        <f>IFERROR(__xludf.DUMMYFUNCTION("""COMPUTED_VALUE"""),0.0)</f>
        <v>0</v>
      </c>
      <c r="H523" s="4"/>
      <c r="I523" s="4"/>
    </row>
    <row r="524">
      <c r="A524" s="4" t="str">
        <f>IFERROR(__xludf.DUMMYFUNCTION("""COMPUTED_VALUE"""),"cas_hmw")</f>
        <v>cas_hmw</v>
      </c>
      <c r="B524" s="5">
        <f>IFERROR(__xludf.DUMMYFUNCTION("""COMPUTED_VALUE"""),44723.0)</f>
        <v>44723</v>
      </c>
      <c r="C524" s="6">
        <f>IFERROR(__xludf.DUMMYFUNCTION("""COMPUTED_VALUE"""),0.7473379629627743)</f>
        <v>0.747337963</v>
      </c>
      <c r="D524" s="4">
        <f>IFERROR(__xludf.DUMMYFUNCTION("""COMPUTED_VALUE"""),13.054211)</f>
        <v>13.054211</v>
      </c>
      <c r="E524" s="4">
        <f>IFERROR(__xludf.DUMMYFUNCTION("""COMPUTED_VALUE"""),80.26399)</f>
        <v>80.26399</v>
      </c>
      <c r="F524" s="4">
        <f>IFERROR(__xludf.DUMMYFUNCTION("""COMPUTED_VALUE"""),805.0)</f>
        <v>805</v>
      </c>
      <c r="G524" s="4">
        <f>IFERROR(__xludf.DUMMYFUNCTION("""COMPUTED_VALUE"""),20.0)</f>
        <v>20</v>
      </c>
      <c r="H524" s="4"/>
      <c r="I524" s="4"/>
    </row>
    <row r="525">
      <c r="A525" s="4" t="str">
        <f>IFERROR(__xludf.DUMMYFUNCTION("""COMPUTED_VALUE"""),"cas_hmw")</f>
        <v>cas_hmw</v>
      </c>
      <c r="B525" s="5">
        <f>IFERROR(__xludf.DUMMYFUNCTION("""COMPUTED_VALUE"""),44723.0)</f>
        <v>44723</v>
      </c>
      <c r="C525" s="6">
        <f>IFERROR(__xludf.DUMMYFUNCTION("""COMPUTED_VALUE"""),0.7499074074075907)</f>
        <v>0.7499074074</v>
      </c>
      <c r="D525" s="4">
        <f>IFERROR(__xludf.DUMMYFUNCTION("""COMPUTED_VALUE"""),13.084979)</f>
        <v>13.084979</v>
      </c>
      <c r="E525" s="4">
        <f>IFERROR(__xludf.DUMMYFUNCTION("""COMPUTED_VALUE"""),80.218049)</f>
        <v>80.218049</v>
      </c>
      <c r="F525" s="4">
        <f>IFERROR(__xludf.DUMMYFUNCTION("""COMPUTED_VALUE"""),2846.0)</f>
        <v>2846</v>
      </c>
      <c r="G525" s="4">
        <f>IFERROR(__xludf.DUMMYFUNCTION("""COMPUTED_VALUE"""),0.0)</f>
        <v>0</v>
      </c>
      <c r="H525" s="4"/>
      <c r="I525" s="4"/>
    </row>
    <row r="526">
      <c r="A526" s="4" t="str">
        <f>IFERROR(__xludf.DUMMYFUNCTION("""COMPUTED_VALUE"""),"cas_hmw")</f>
        <v>cas_hmw</v>
      </c>
      <c r="B526" s="5">
        <f>IFERROR(__xludf.DUMMYFUNCTION("""COMPUTED_VALUE"""),44723.0)</f>
        <v>44723</v>
      </c>
      <c r="C526" s="6">
        <f>IFERROR(__xludf.DUMMYFUNCTION("""COMPUTED_VALUE"""),0.7534027777765004)</f>
        <v>0.7534027778</v>
      </c>
      <c r="D526" s="4">
        <f>IFERROR(__xludf.DUMMYFUNCTION("""COMPUTED_VALUE"""),13.082205)</f>
        <v>13.082205</v>
      </c>
      <c r="E526" s="4">
        <f>IFERROR(__xludf.DUMMYFUNCTION("""COMPUTED_VALUE"""),80.215621)</f>
        <v>80.215621</v>
      </c>
      <c r="F526" s="4">
        <f>IFERROR(__xludf.DUMMYFUNCTION("""COMPUTED_VALUE"""),2846.0)</f>
        <v>2846</v>
      </c>
      <c r="G526" s="4">
        <f>IFERROR(__xludf.DUMMYFUNCTION("""COMPUTED_VALUE"""),3.0)</f>
        <v>3</v>
      </c>
      <c r="H526" s="4"/>
      <c r="I526" s="4"/>
    </row>
    <row r="527">
      <c r="A527" s="4" t="str">
        <f>IFERROR(__xludf.DUMMYFUNCTION("""COMPUTED_VALUE"""),"cas_hmw")</f>
        <v>cas_hmw</v>
      </c>
      <c r="B527" s="5">
        <f>IFERROR(__xludf.DUMMYFUNCTION("""COMPUTED_VALUE"""),44723.0)</f>
        <v>44723</v>
      </c>
      <c r="C527" s="6">
        <f>IFERROR(__xludf.DUMMYFUNCTION("""COMPUTED_VALUE"""),0.7558796296289074)</f>
        <v>0.7558796296</v>
      </c>
      <c r="D527" s="4">
        <f>IFERROR(__xludf.DUMMYFUNCTION("""COMPUTED_VALUE"""),13.082407)</f>
        <v>13.082407</v>
      </c>
      <c r="E527" s="4">
        <f>IFERROR(__xludf.DUMMYFUNCTION("""COMPUTED_VALUE"""),80.2098)</f>
        <v>80.2098</v>
      </c>
      <c r="F527" s="4">
        <f>IFERROR(__xludf.DUMMYFUNCTION("""COMPUTED_VALUE"""),2846.0)</f>
        <v>2846</v>
      </c>
      <c r="G527" s="4">
        <f>IFERROR(__xludf.DUMMYFUNCTION("""COMPUTED_VALUE"""),0.0)</f>
        <v>0</v>
      </c>
      <c r="H527" s="4"/>
      <c r="I527" s="4"/>
    </row>
    <row r="528">
      <c r="A528" s="4" t="str">
        <f>IFERROR(__xludf.DUMMYFUNCTION("""COMPUTED_VALUE"""),"cas_hmw")</f>
        <v>cas_hmw</v>
      </c>
      <c r="B528" s="5">
        <f>IFERROR(__xludf.DUMMYFUNCTION("""COMPUTED_VALUE"""),44723.0)</f>
        <v>44723</v>
      </c>
      <c r="C528" s="6">
        <f>IFERROR(__xludf.DUMMYFUNCTION("""COMPUTED_VALUE"""),0.7592939814821875)</f>
        <v>0.7592939815</v>
      </c>
      <c r="D528" s="4">
        <f>IFERROR(__xludf.DUMMYFUNCTION("""COMPUTED_VALUE"""),13.079859)</f>
        <v>13.079859</v>
      </c>
      <c r="E528" s="4">
        <f>IFERROR(__xludf.DUMMYFUNCTION("""COMPUTED_VALUE"""),80.198798)</f>
        <v>80.198798</v>
      </c>
      <c r="F528" s="4">
        <f>IFERROR(__xludf.DUMMYFUNCTION("""COMPUTED_VALUE"""),2846.0)</f>
        <v>2846</v>
      </c>
      <c r="G528" s="4">
        <f>IFERROR(__xludf.DUMMYFUNCTION("""COMPUTED_VALUE"""),9.0)</f>
        <v>9</v>
      </c>
      <c r="H528" s="4"/>
      <c r="I528" s="4"/>
    </row>
    <row r="529">
      <c r="A529" s="4" t="str">
        <f>IFERROR(__xludf.DUMMYFUNCTION("""COMPUTED_VALUE"""),"cas_hmw")</f>
        <v>cas_hmw</v>
      </c>
      <c r="B529" s="5">
        <f>IFERROR(__xludf.DUMMYFUNCTION("""COMPUTED_VALUE"""),44723.0)</f>
        <v>44723</v>
      </c>
      <c r="C529" s="6">
        <f>IFERROR(__xludf.DUMMYFUNCTION("""COMPUTED_VALUE"""),0.7594907407401479)</f>
        <v>0.7594907407</v>
      </c>
      <c r="D529" s="4">
        <f>IFERROR(__xludf.DUMMYFUNCTION("""COMPUTED_VALUE"""),13.067613)</f>
        <v>13.067613</v>
      </c>
      <c r="E529" s="4">
        <f>IFERROR(__xludf.DUMMYFUNCTION("""COMPUTED_VALUE"""),80.24942)</f>
        <v>80.24942</v>
      </c>
      <c r="F529" s="4">
        <f>IFERROR(__xludf.DUMMYFUNCTION("""COMPUTED_VALUE"""),805.0)</f>
        <v>805</v>
      </c>
      <c r="G529" s="4">
        <f>IFERROR(__xludf.DUMMYFUNCTION("""COMPUTED_VALUE"""),16.0)</f>
        <v>16</v>
      </c>
      <c r="H529" s="4"/>
      <c r="I529" s="4"/>
    </row>
    <row r="530">
      <c r="A530" s="4" t="str">
        <f>IFERROR(__xludf.DUMMYFUNCTION("""COMPUTED_VALUE"""),"cas_hmw")</f>
        <v>cas_hmw</v>
      </c>
      <c r="B530" s="5">
        <f>IFERROR(__xludf.DUMMYFUNCTION("""COMPUTED_VALUE"""),44723.0)</f>
        <v>44723</v>
      </c>
      <c r="C530" s="6">
        <f>IFERROR(__xludf.DUMMYFUNCTION("""COMPUTED_VALUE"""),0.7595601851862739)</f>
        <v>0.7595601852</v>
      </c>
      <c r="D530" s="4">
        <f>IFERROR(__xludf.DUMMYFUNCTION("""COMPUTED_VALUE"""),13.067613)</f>
        <v>13.067613</v>
      </c>
      <c r="E530" s="4">
        <f>IFERROR(__xludf.DUMMYFUNCTION("""COMPUTED_VALUE"""),80.24942)</f>
        <v>80.24942</v>
      </c>
      <c r="F530" s="4">
        <f>IFERROR(__xludf.DUMMYFUNCTION("""COMPUTED_VALUE"""),805.0)</f>
        <v>805</v>
      </c>
      <c r="G530" s="4">
        <f>IFERROR(__xludf.DUMMYFUNCTION("""COMPUTED_VALUE"""),16.0)</f>
        <v>16</v>
      </c>
      <c r="H530" s="4"/>
      <c r="I530" s="4"/>
    </row>
    <row r="531">
      <c r="A531" s="4" t="str">
        <f>IFERROR(__xludf.DUMMYFUNCTION("""COMPUTED_VALUE"""),"cas_hmw")</f>
        <v>cas_hmw</v>
      </c>
      <c r="B531" s="5">
        <f>IFERROR(__xludf.DUMMYFUNCTION("""COMPUTED_VALUE"""),44723.0)</f>
        <v>44723</v>
      </c>
      <c r="C531" s="6">
        <f>IFERROR(__xludf.DUMMYFUNCTION("""COMPUTED_VALUE"""),0.7613425925919728)</f>
        <v>0.7613425926</v>
      </c>
      <c r="D531" s="4">
        <f>IFERROR(__xludf.DUMMYFUNCTION("""COMPUTED_VALUE"""),13.074554)</f>
        <v>13.074554</v>
      </c>
      <c r="E531" s="4">
        <f>IFERROR(__xludf.DUMMYFUNCTION("""COMPUTED_VALUE"""),80.194871)</f>
        <v>80.194871</v>
      </c>
      <c r="F531" s="4">
        <f>IFERROR(__xludf.DUMMYFUNCTION("""COMPUTED_VALUE"""),2846.0)</f>
        <v>2846</v>
      </c>
      <c r="G531" s="4">
        <f>IFERROR(__xludf.DUMMYFUNCTION("""COMPUTED_VALUE"""),9.0)</f>
        <v>9</v>
      </c>
      <c r="H531" s="4"/>
      <c r="I531" s="4"/>
    </row>
    <row r="532">
      <c r="A532" s="4" t="str">
        <f>IFERROR(__xludf.DUMMYFUNCTION("""COMPUTED_VALUE"""),"cas_hmw")</f>
        <v>cas_hmw</v>
      </c>
      <c r="B532" s="5">
        <f>IFERROR(__xludf.DUMMYFUNCTION("""COMPUTED_VALUE"""),44723.0)</f>
        <v>44723</v>
      </c>
      <c r="C532" s="6">
        <f>IFERROR(__xludf.DUMMYFUNCTION("""COMPUTED_VALUE"""),0.7613657407418941)</f>
        <v>0.7613657407</v>
      </c>
      <c r="D532" s="4">
        <f>IFERROR(__xludf.DUMMYFUNCTION("""COMPUTED_VALUE"""),13.074554)</f>
        <v>13.074554</v>
      </c>
      <c r="E532" s="4">
        <f>IFERROR(__xludf.DUMMYFUNCTION("""COMPUTED_VALUE"""),80.194871)</f>
        <v>80.194871</v>
      </c>
      <c r="F532" s="4">
        <f>IFERROR(__xludf.DUMMYFUNCTION("""COMPUTED_VALUE"""),2846.0)</f>
        <v>2846</v>
      </c>
      <c r="G532" s="4">
        <f>IFERROR(__xludf.DUMMYFUNCTION("""COMPUTED_VALUE"""),9.0)</f>
        <v>9</v>
      </c>
      <c r="H532" s="4"/>
      <c r="I532" s="4"/>
    </row>
    <row r="533">
      <c r="A533" s="4" t="str">
        <f>IFERROR(__xludf.DUMMYFUNCTION("""COMPUTED_VALUE"""),"cas_hmw")</f>
        <v>cas_hmw</v>
      </c>
      <c r="B533" s="5">
        <f>IFERROR(__xludf.DUMMYFUNCTION("""COMPUTED_VALUE"""),44723.0)</f>
        <v>44723</v>
      </c>
      <c r="C533" s="6">
        <f>IFERROR(__xludf.DUMMYFUNCTION("""COMPUTED_VALUE"""),0.7638773148137261)</f>
        <v>0.7638773148</v>
      </c>
      <c r="D533" s="4">
        <f>IFERROR(__xludf.DUMMYFUNCTION("""COMPUTED_VALUE"""),13.070285)</f>
        <v>13.070285</v>
      </c>
      <c r="E533" s="4">
        <f>IFERROR(__xludf.DUMMYFUNCTION("""COMPUTED_VALUE"""),80.182469)</f>
        <v>80.182469</v>
      </c>
      <c r="F533" s="4">
        <f>IFERROR(__xludf.DUMMYFUNCTION("""COMPUTED_VALUE"""),2846.0)</f>
        <v>2846</v>
      </c>
      <c r="G533" s="4">
        <f>IFERROR(__xludf.DUMMYFUNCTION("""COMPUTED_VALUE"""),19.0)</f>
        <v>19</v>
      </c>
      <c r="H533" s="4"/>
      <c r="I533" s="4"/>
    </row>
    <row r="534">
      <c r="A534" s="4" t="str">
        <f>IFERROR(__xludf.DUMMYFUNCTION("""COMPUTED_VALUE"""),"cas_hmw")</f>
        <v>cas_hmw</v>
      </c>
      <c r="B534" s="5">
        <f>IFERROR(__xludf.DUMMYFUNCTION("""COMPUTED_VALUE"""),44725.0)</f>
        <v>44725</v>
      </c>
      <c r="C534" s="6">
        <f>IFERROR(__xludf.DUMMYFUNCTION("""COMPUTED_VALUE"""),0.3109722222216078)</f>
        <v>0.3109722222</v>
      </c>
      <c r="D534" s="4">
        <f>IFERROR(__xludf.DUMMYFUNCTION("""COMPUTED_VALUE"""),12.630242)</f>
        <v>12.630242</v>
      </c>
      <c r="E534" s="4">
        <f>IFERROR(__xludf.DUMMYFUNCTION("""COMPUTED_VALUE"""),79.93112)</f>
        <v>79.93112</v>
      </c>
      <c r="F534" s="4">
        <f>IFERROR(__xludf.DUMMYFUNCTION("""COMPUTED_VALUE"""),2846.0)</f>
        <v>2846</v>
      </c>
      <c r="G534" s="4">
        <f>IFERROR(__xludf.DUMMYFUNCTION("""COMPUTED_VALUE"""),0.0)</f>
        <v>0</v>
      </c>
      <c r="H534" s="4"/>
      <c r="I534" s="4"/>
    </row>
    <row r="535">
      <c r="A535" s="4" t="str">
        <f>IFERROR(__xludf.DUMMYFUNCTION("""COMPUTED_VALUE"""),"cas_hmw")</f>
        <v>cas_hmw</v>
      </c>
      <c r="B535" s="5">
        <f>IFERROR(__xludf.DUMMYFUNCTION("""COMPUTED_VALUE"""),44725.0)</f>
        <v>44725</v>
      </c>
      <c r="C535" s="6">
        <f>IFERROR(__xludf.DUMMYFUNCTION("""COMPUTED_VALUE"""),0.32840277777722804)</f>
        <v>0.3284027778</v>
      </c>
      <c r="D535" s="4">
        <f>IFERROR(__xludf.DUMMYFUNCTION("""COMPUTED_VALUE"""),13.011389)</f>
        <v>13.011389</v>
      </c>
      <c r="E535" s="4">
        <f>IFERROR(__xludf.DUMMYFUNCTION("""COMPUTED_VALUE"""),80.223193)</f>
        <v>80.223193</v>
      </c>
      <c r="F535" s="4">
        <f>IFERROR(__xludf.DUMMYFUNCTION("""COMPUTED_VALUE"""),805.0)</f>
        <v>805</v>
      </c>
      <c r="G535" s="4">
        <f>IFERROR(__xludf.DUMMYFUNCTION("""COMPUTED_VALUE"""),18.0)</f>
        <v>18</v>
      </c>
      <c r="H535" s="4"/>
      <c r="I535" s="4"/>
    </row>
    <row r="536">
      <c r="A536" s="4" t="str">
        <f>IFERROR(__xludf.DUMMYFUNCTION("""COMPUTED_VALUE"""),"cas_hmw")</f>
        <v>cas_hmw</v>
      </c>
      <c r="B536" s="5">
        <f>IFERROR(__xludf.DUMMYFUNCTION("""COMPUTED_VALUE"""),44726.0)</f>
        <v>44726</v>
      </c>
      <c r="C536" s="6">
        <f>IFERROR(__xludf.DUMMYFUNCTION("""COMPUTED_VALUE"""),0.33370370370539604)</f>
        <v>0.3337037037</v>
      </c>
      <c r="D536" s="4">
        <f>IFERROR(__xludf.DUMMYFUNCTION("""COMPUTED_VALUE"""),12.762893)</f>
        <v>12.762893</v>
      </c>
      <c r="E536" s="4">
        <f>IFERROR(__xludf.DUMMYFUNCTION("""COMPUTED_VALUE"""),80.003933)</f>
        <v>80.003933</v>
      </c>
      <c r="F536" s="4">
        <f>IFERROR(__xludf.DUMMYFUNCTION("""COMPUTED_VALUE"""),2846.0)</f>
        <v>2846</v>
      </c>
      <c r="G536" s="4">
        <f>IFERROR(__xludf.DUMMYFUNCTION("""COMPUTED_VALUE"""),14.0)</f>
        <v>14</v>
      </c>
      <c r="H536" s="4"/>
      <c r="I536" s="4"/>
    </row>
    <row r="537">
      <c r="A537" s="4" t="str">
        <f>IFERROR(__xludf.DUMMYFUNCTION("""COMPUTED_VALUE"""),"cas_hmw")</f>
        <v>cas_hmw</v>
      </c>
      <c r="B537" s="5">
        <f>IFERROR(__xludf.DUMMYFUNCTION("""COMPUTED_VALUE"""),44726.0)</f>
        <v>44726</v>
      </c>
      <c r="C537" s="6">
        <f>IFERROR(__xludf.DUMMYFUNCTION("""COMPUTED_VALUE"""),0.3395717592575238)</f>
        <v>0.3395717593</v>
      </c>
      <c r="D537" s="4">
        <f>IFERROR(__xludf.DUMMYFUNCTION("""COMPUTED_VALUE"""),12.962581)</f>
        <v>12.962581</v>
      </c>
      <c r="E537" s="4">
        <f>IFERROR(__xludf.DUMMYFUNCTION("""COMPUTED_VALUE"""),80.146658)</f>
        <v>80.146658</v>
      </c>
      <c r="F537" s="4">
        <f>IFERROR(__xludf.DUMMYFUNCTION("""COMPUTED_VALUE"""),805.0)</f>
        <v>805</v>
      </c>
      <c r="G537" s="4">
        <f>IFERROR(__xludf.DUMMYFUNCTION("""COMPUTED_VALUE"""),0.0)</f>
        <v>0</v>
      </c>
      <c r="H537" s="4"/>
      <c r="I537" s="4"/>
    </row>
    <row r="538">
      <c r="A538" s="4" t="str">
        <f>IFERROR(__xludf.DUMMYFUNCTION("""COMPUTED_VALUE"""),"cas_hmw")</f>
        <v>cas_hmw</v>
      </c>
      <c r="B538" s="5">
        <f>IFERROR(__xludf.DUMMYFUNCTION("""COMPUTED_VALUE"""),44726.0)</f>
        <v>44726</v>
      </c>
      <c r="C538" s="6">
        <f>IFERROR(__xludf.DUMMYFUNCTION("""COMPUTED_VALUE"""),0.3409490740741603)</f>
        <v>0.3409490741</v>
      </c>
      <c r="D538" s="4">
        <f>IFERROR(__xludf.DUMMYFUNCTION("""COMPUTED_VALUE"""),12.957018)</f>
        <v>12.957018</v>
      </c>
      <c r="E538" s="4">
        <f>IFERROR(__xludf.DUMMYFUNCTION("""COMPUTED_VALUE"""),80.143737)</f>
        <v>80.143737</v>
      </c>
      <c r="F538" s="4">
        <f>IFERROR(__xludf.DUMMYFUNCTION("""COMPUTED_VALUE"""),805.0)</f>
        <v>805</v>
      </c>
      <c r="G538" s="4">
        <f>IFERROR(__xludf.DUMMYFUNCTION("""COMPUTED_VALUE"""),0.0)</f>
        <v>0</v>
      </c>
      <c r="H538" s="4"/>
      <c r="I538" s="4"/>
    </row>
    <row r="539">
      <c r="A539" s="4" t="str">
        <f>IFERROR(__xludf.DUMMYFUNCTION("""COMPUTED_VALUE"""),"cas_hmw")</f>
        <v>cas_hmw</v>
      </c>
      <c r="B539" s="5">
        <f>IFERROR(__xludf.DUMMYFUNCTION("""COMPUTED_VALUE"""),44726.0)</f>
        <v>44726</v>
      </c>
      <c r="C539" s="6">
        <f>IFERROR(__xludf.DUMMYFUNCTION("""COMPUTED_VALUE"""),0.341030092593428)</f>
        <v>0.3410300926</v>
      </c>
      <c r="D539" s="4">
        <f>IFERROR(__xludf.DUMMYFUNCTION("""COMPUTED_VALUE"""),12.956924)</f>
        <v>12.956924</v>
      </c>
      <c r="E539" s="4">
        <f>IFERROR(__xludf.DUMMYFUNCTION("""COMPUTED_VALUE"""),80.143731)</f>
        <v>80.143731</v>
      </c>
      <c r="F539" s="4">
        <f>IFERROR(__xludf.DUMMYFUNCTION("""COMPUTED_VALUE"""),805.0)</f>
        <v>805</v>
      </c>
      <c r="G539" s="4">
        <f>IFERROR(__xludf.DUMMYFUNCTION("""COMPUTED_VALUE"""),12.0)</f>
        <v>12</v>
      </c>
      <c r="H539" s="4"/>
      <c r="I539" s="4"/>
    </row>
    <row r="540">
      <c r="A540" s="4" t="str">
        <f>IFERROR(__xludf.DUMMYFUNCTION("""COMPUTED_VALUE"""),"cas_hmw")</f>
        <v>cas_hmw</v>
      </c>
      <c r="B540" s="5">
        <f>IFERROR(__xludf.DUMMYFUNCTION("""COMPUTED_VALUE"""),44726.0)</f>
        <v>44726</v>
      </c>
      <c r="C540" s="6">
        <f>IFERROR(__xludf.DUMMYFUNCTION("""COMPUTED_VALUE"""),0.3410532407397113)</f>
        <v>0.3410532407</v>
      </c>
      <c r="D540" s="4">
        <f>IFERROR(__xludf.DUMMYFUNCTION("""COMPUTED_VALUE"""),12.956443)</f>
        <v>12.956443</v>
      </c>
      <c r="E540" s="4">
        <f>IFERROR(__xludf.DUMMYFUNCTION("""COMPUTED_VALUE"""),80.143436)</f>
        <v>80.143436</v>
      </c>
      <c r="F540" s="4">
        <f>IFERROR(__xludf.DUMMYFUNCTION("""COMPUTED_VALUE"""),805.0)</f>
        <v>805</v>
      </c>
      <c r="G540" s="4">
        <f>IFERROR(__xludf.DUMMYFUNCTION("""COMPUTED_VALUE"""),8.0)</f>
        <v>8</v>
      </c>
      <c r="H540" s="4"/>
      <c r="I540" s="4"/>
    </row>
    <row r="541">
      <c r="A541" s="4" t="str">
        <f>IFERROR(__xludf.DUMMYFUNCTION("""COMPUTED_VALUE"""),"cas_hmw")</f>
        <v>cas_hmw</v>
      </c>
      <c r="B541" s="5">
        <f>IFERROR(__xludf.DUMMYFUNCTION("""COMPUTED_VALUE"""),44726.0)</f>
        <v>44726</v>
      </c>
      <c r="C541" s="6">
        <f>IFERROR(__xludf.DUMMYFUNCTION("""COMPUTED_VALUE"""),0.34946759259401006)</f>
        <v>0.3494675926</v>
      </c>
      <c r="D541" s="4">
        <f>IFERROR(__xludf.DUMMYFUNCTION("""COMPUTED_VALUE"""),12.908886)</f>
        <v>12.908886</v>
      </c>
      <c r="E541" s="4">
        <f>IFERROR(__xludf.DUMMYFUNCTION("""COMPUTED_VALUE"""),80.098599)</f>
        <v>80.098599</v>
      </c>
      <c r="F541" s="4">
        <f>IFERROR(__xludf.DUMMYFUNCTION("""COMPUTED_VALUE"""),805.0)</f>
        <v>805</v>
      </c>
      <c r="G541" s="4">
        <f>IFERROR(__xludf.DUMMYFUNCTION("""COMPUTED_VALUE"""),12.0)</f>
        <v>12</v>
      </c>
      <c r="H541" s="4"/>
      <c r="I541" s="4"/>
    </row>
    <row r="542">
      <c r="A542" s="4" t="str">
        <f>IFERROR(__xludf.DUMMYFUNCTION("""COMPUTED_VALUE"""),"cas_hmw")</f>
        <v>cas_hmw</v>
      </c>
      <c r="B542" s="5">
        <f>IFERROR(__xludf.DUMMYFUNCTION("""COMPUTED_VALUE"""),44726.0)</f>
        <v>44726</v>
      </c>
      <c r="C542" s="6">
        <f>IFERROR(__xludf.DUMMYFUNCTION("""COMPUTED_VALUE"""),0.6963078703702195)</f>
        <v>0.6963078704</v>
      </c>
      <c r="D542" s="4">
        <f>IFERROR(__xludf.DUMMYFUNCTION("""COMPUTED_VALUE"""),12.911822)</f>
        <v>12.911822</v>
      </c>
      <c r="E542" s="4">
        <f>IFERROR(__xludf.DUMMYFUNCTION("""COMPUTED_VALUE"""),80.101324)</f>
        <v>80.101324</v>
      </c>
      <c r="F542" s="4">
        <f>IFERROR(__xludf.DUMMYFUNCTION("""COMPUTED_VALUE"""),805.0)</f>
        <v>805</v>
      </c>
      <c r="G542" s="4">
        <f>IFERROR(__xludf.DUMMYFUNCTION("""COMPUTED_VALUE"""),19.0)</f>
        <v>19</v>
      </c>
      <c r="H542" s="4"/>
      <c r="I542" s="4"/>
    </row>
    <row r="543">
      <c r="A543" s="4" t="str">
        <f>IFERROR(__xludf.DUMMYFUNCTION("""COMPUTED_VALUE"""),"cas_hmw")</f>
        <v>cas_hmw</v>
      </c>
      <c r="B543" s="5">
        <f>IFERROR(__xludf.DUMMYFUNCTION("""COMPUTED_VALUE"""),44726.0)</f>
        <v>44726</v>
      </c>
      <c r="C543" s="6">
        <f>IFERROR(__xludf.DUMMYFUNCTION("""COMPUTED_VALUE"""),0.6971990740748879)</f>
        <v>0.6971990741</v>
      </c>
      <c r="D543" s="4">
        <f>IFERROR(__xludf.DUMMYFUNCTION("""COMPUTED_VALUE"""),12.91704)</f>
        <v>12.91704</v>
      </c>
      <c r="E543" s="4">
        <f>IFERROR(__xludf.DUMMYFUNCTION("""COMPUTED_VALUE"""),80.106998)</f>
        <v>80.106998</v>
      </c>
      <c r="F543" s="4">
        <f>IFERROR(__xludf.DUMMYFUNCTION("""COMPUTED_VALUE"""),805.0)</f>
        <v>805</v>
      </c>
      <c r="G543" s="4">
        <f>IFERROR(__xludf.DUMMYFUNCTION("""COMPUTED_VALUE"""),20.0)</f>
        <v>20</v>
      </c>
      <c r="H543" s="4"/>
      <c r="I543" s="4"/>
    </row>
    <row r="544">
      <c r="A544" s="4" t="str">
        <f>IFERROR(__xludf.DUMMYFUNCTION("""COMPUTED_VALUE"""),"cas_hmw")</f>
        <v>cas_hmw</v>
      </c>
      <c r="B544" s="5">
        <f>IFERROR(__xludf.DUMMYFUNCTION("""COMPUTED_VALUE"""),44726.0)</f>
        <v>44726</v>
      </c>
      <c r="C544" s="6">
        <f>IFERROR(__xludf.DUMMYFUNCTION("""COMPUTED_VALUE"""),0.6981481481489027)</f>
        <v>0.6981481481</v>
      </c>
      <c r="D544" s="4">
        <f>IFERROR(__xludf.DUMMYFUNCTION("""COMPUTED_VALUE"""),12.923028)</f>
        <v>12.923028</v>
      </c>
      <c r="E544" s="4">
        <f>IFERROR(__xludf.DUMMYFUNCTION("""COMPUTED_VALUE"""),80.114021)</f>
        <v>80.114021</v>
      </c>
      <c r="F544" s="4">
        <f>IFERROR(__xludf.DUMMYFUNCTION("""COMPUTED_VALUE"""),805.0)</f>
        <v>805</v>
      </c>
      <c r="G544" s="4">
        <f>IFERROR(__xludf.DUMMYFUNCTION("""COMPUTED_VALUE"""),19.0)</f>
        <v>19</v>
      </c>
      <c r="H544" s="4"/>
      <c r="I544" s="4"/>
    </row>
    <row r="545">
      <c r="A545" s="4" t="str">
        <f>IFERROR(__xludf.DUMMYFUNCTION("""COMPUTED_VALUE"""),"cas_hmw")</f>
        <v>cas_hmw</v>
      </c>
      <c r="B545" s="5">
        <f>IFERROR(__xludf.DUMMYFUNCTION("""COMPUTED_VALUE"""),44726.0)</f>
        <v>44726</v>
      </c>
      <c r="C545" s="6">
        <f>IFERROR(__xludf.DUMMYFUNCTION("""COMPUTED_VALUE"""),0.7088310185172304)</f>
        <v>0.7088310185</v>
      </c>
      <c r="D545" s="4">
        <f>IFERROR(__xludf.DUMMYFUNCTION("""COMPUTED_VALUE"""),12.985976)</f>
        <v>12.985976</v>
      </c>
      <c r="E545" s="4">
        <f>IFERROR(__xludf.DUMMYFUNCTION("""COMPUTED_VALUE"""),80.173904)</f>
        <v>80.173904</v>
      </c>
      <c r="F545" s="4">
        <f>IFERROR(__xludf.DUMMYFUNCTION("""COMPUTED_VALUE"""),805.0)</f>
        <v>805</v>
      </c>
      <c r="G545" s="4">
        <f>IFERROR(__xludf.DUMMYFUNCTION("""COMPUTED_VALUE"""),0.0)</f>
        <v>0</v>
      </c>
      <c r="H545" s="4"/>
      <c r="I545" s="4"/>
    </row>
    <row r="546">
      <c r="A546" s="4" t="str">
        <f>IFERROR(__xludf.DUMMYFUNCTION("""COMPUTED_VALUE"""),"cas_hmw")</f>
        <v>cas_hmw</v>
      </c>
      <c r="B546" s="5">
        <f>IFERROR(__xludf.DUMMYFUNCTION("""COMPUTED_VALUE"""),44726.0)</f>
        <v>44726</v>
      </c>
      <c r="C546" s="6">
        <f>IFERROR(__xludf.DUMMYFUNCTION("""COMPUTED_VALUE"""),0.7090162037020491)</f>
        <v>0.7090162037</v>
      </c>
      <c r="D546" s="4">
        <f>IFERROR(__xludf.DUMMYFUNCTION("""COMPUTED_VALUE"""),12.98613)</f>
        <v>12.98613</v>
      </c>
      <c r="E546" s="4">
        <f>IFERROR(__xludf.DUMMYFUNCTION("""COMPUTED_VALUE"""),80.174122)</f>
        <v>80.174122</v>
      </c>
      <c r="F546" s="4">
        <f>IFERROR(__xludf.DUMMYFUNCTION("""COMPUTED_VALUE"""),805.0)</f>
        <v>805</v>
      </c>
      <c r="G546" s="4">
        <f>IFERROR(__xludf.DUMMYFUNCTION("""COMPUTED_VALUE"""),17.0)</f>
        <v>17</v>
      </c>
      <c r="H546" s="4"/>
      <c r="I546" s="4"/>
    </row>
    <row r="547">
      <c r="A547" s="4" t="str">
        <f>IFERROR(__xludf.DUMMYFUNCTION("""COMPUTED_VALUE"""),"cas_hmw")</f>
        <v>cas_hmw</v>
      </c>
      <c r="B547" s="5">
        <f>IFERROR(__xludf.DUMMYFUNCTION("""COMPUTED_VALUE"""),44726.0)</f>
        <v>44726</v>
      </c>
      <c r="C547" s="6">
        <f>IFERROR(__xludf.DUMMYFUNCTION("""COMPUTED_VALUE"""),0.7090277777788287)</f>
        <v>0.7090277778</v>
      </c>
      <c r="D547" s="4">
        <f>IFERROR(__xludf.DUMMYFUNCTION("""COMPUTED_VALUE"""),12.98613)</f>
        <v>12.98613</v>
      </c>
      <c r="E547" s="4">
        <f>IFERROR(__xludf.DUMMYFUNCTION("""COMPUTED_VALUE"""),80.174122)</f>
        <v>80.174122</v>
      </c>
      <c r="F547" s="4">
        <f>IFERROR(__xludf.DUMMYFUNCTION("""COMPUTED_VALUE"""),805.0)</f>
        <v>805</v>
      </c>
      <c r="G547" s="4">
        <f>IFERROR(__xludf.DUMMYFUNCTION("""COMPUTED_VALUE"""),17.0)</f>
        <v>17</v>
      </c>
      <c r="H547" s="4"/>
      <c r="I547" s="4"/>
    </row>
    <row r="548">
      <c r="A548" s="4" t="str">
        <f>IFERROR(__xludf.DUMMYFUNCTION("""COMPUTED_VALUE"""),"cas_hmw")</f>
        <v>cas_hmw</v>
      </c>
      <c r="B548" s="5">
        <f>IFERROR(__xludf.DUMMYFUNCTION("""COMPUTED_VALUE"""),44726.0)</f>
        <v>44726</v>
      </c>
      <c r="C548" s="6">
        <f>IFERROR(__xludf.DUMMYFUNCTION("""COMPUTED_VALUE"""),0.7090624999982538)</f>
        <v>0.7090625</v>
      </c>
      <c r="D548" s="4">
        <f>IFERROR(__xludf.DUMMYFUNCTION("""COMPUTED_VALUE"""),12.98613)</f>
        <v>12.98613</v>
      </c>
      <c r="E548" s="4">
        <f>IFERROR(__xludf.DUMMYFUNCTION("""COMPUTED_VALUE"""),80.174122)</f>
        <v>80.174122</v>
      </c>
      <c r="F548" s="4">
        <f>IFERROR(__xludf.DUMMYFUNCTION("""COMPUTED_VALUE"""),805.0)</f>
        <v>805</v>
      </c>
      <c r="G548" s="4">
        <f>IFERROR(__xludf.DUMMYFUNCTION("""COMPUTED_VALUE"""),17.0)</f>
        <v>17</v>
      </c>
      <c r="H548" s="4"/>
      <c r="I548" s="4"/>
    </row>
    <row r="549">
      <c r="A549" s="4" t="str">
        <f>IFERROR(__xludf.DUMMYFUNCTION("""COMPUTED_VALUE"""),"cas_hmw")</f>
        <v>cas_hmw</v>
      </c>
      <c r="B549" s="5">
        <f>IFERROR(__xludf.DUMMYFUNCTION("""COMPUTED_VALUE"""),44726.0)</f>
        <v>44726</v>
      </c>
      <c r="C549" s="6">
        <f>IFERROR(__xludf.DUMMYFUNCTION("""COMPUTED_VALUE"""),0.7093287037023401)</f>
        <v>0.7093287037</v>
      </c>
      <c r="D549" s="4">
        <f>IFERROR(__xludf.DUMMYFUNCTION("""COMPUTED_VALUE"""),12.986631)</f>
        <v>12.986631</v>
      </c>
      <c r="E549" s="4">
        <f>IFERROR(__xludf.DUMMYFUNCTION("""COMPUTED_VALUE"""),80.17484)</f>
        <v>80.17484</v>
      </c>
      <c r="F549" s="4">
        <f>IFERROR(__xludf.DUMMYFUNCTION("""COMPUTED_VALUE"""),805.0)</f>
        <v>805</v>
      </c>
      <c r="G549" s="4">
        <f>IFERROR(__xludf.DUMMYFUNCTION("""COMPUTED_VALUE"""),15.0)</f>
        <v>15</v>
      </c>
      <c r="H549" s="4"/>
      <c r="I549" s="4"/>
    </row>
    <row r="550">
      <c r="A550" s="4" t="str">
        <f>IFERROR(__xludf.DUMMYFUNCTION("""COMPUTED_VALUE"""),"cas_hmw")</f>
        <v>cas_hmw</v>
      </c>
      <c r="B550" s="5">
        <f>IFERROR(__xludf.DUMMYFUNCTION("""COMPUTED_VALUE"""),44726.0)</f>
        <v>44726</v>
      </c>
      <c r="C550" s="6">
        <f>IFERROR(__xludf.DUMMYFUNCTION("""COMPUTED_VALUE"""),0.7101041666683159)</f>
        <v>0.7101041667</v>
      </c>
      <c r="D550" s="4">
        <f>IFERROR(__xludf.DUMMYFUNCTION("""COMPUTED_VALUE"""),12.989424)</f>
        <v>12.989424</v>
      </c>
      <c r="E550" s="4">
        <f>IFERROR(__xludf.DUMMYFUNCTION("""COMPUTED_VALUE"""),80.178658)</f>
        <v>80.178658</v>
      </c>
      <c r="F550" s="4">
        <f>IFERROR(__xludf.DUMMYFUNCTION("""COMPUTED_VALUE"""),805.0)</f>
        <v>805</v>
      </c>
      <c r="G550" s="4">
        <f>IFERROR(__xludf.DUMMYFUNCTION("""COMPUTED_VALUE"""),11.0)</f>
        <v>11</v>
      </c>
      <c r="H550" s="4"/>
      <c r="I550" s="4"/>
    </row>
    <row r="551">
      <c r="A551" s="4" t="str">
        <f>IFERROR(__xludf.DUMMYFUNCTION("""COMPUTED_VALUE"""),"cas_hmw")</f>
        <v>cas_hmw</v>
      </c>
      <c r="B551" s="5">
        <f>IFERROR(__xludf.DUMMYFUNCTION("""COMPUTED_VALUE"""),44726.0)</f>
        <v>44726</v>
      </c>
      <c r="C551" s="6">
        <f>IFERROR(__xludf.DUMMYFUNCTION("""COMPUTED_VALUE"""),0.7135995370372257)</f>
        <v>0.713599537</v>
      </c>
      <c r="D551" s="4">
        <f>IFERROR(__xludf.DUMMYFUNCTION("""COMPUTED_VALUE"""),12.724184)</f>
        <v>12.724184</v>
      </c>
      <c r="E551" s="4">
        <f>IFERROR(__xludf.DUMMYFUNCTION("""COMPUTED_VALUE"""),79.981896)</f>
        <v>79.981896</v>
      </c>
      <c r="F551" s="4">
        <f>IFERROR(__xludf.DUMMYFUNCTION("""COMPUTED_VALUE"""),2846.0)</f>
        <v>2846</v>
      </c>
      <c r="G551" s="4">
        <f>IFERROR(__xludf.DUMMYFUNCTION("""COMPUTED_VALUE"""),0.0)</f>
        <v>0</v>
      </c>
      <c r="H551" s="4"/>
      <c r="I551" s="4"/>
    </row>
    <row r="552">
      <c r="A552" s="4" t="str">
        <f>IFERROR(__xludf.DUMMYFUNCTION("""COMPUTED_VALUE"""),"cas_hmw")</f>
        <v>cas_hmw</v>
      </c>
      <c r="B552" s="5">
        <f>IFERROR(__xludf.DUMMYFUNCTION("""COMPUTED_VALUE"""),44726.0)</f>
        <v>44726</v>
      </c>
      <c r="C552" s="6">
        <f>IFERROR(__xludf.DUMMYFUNCTION("""COMPUTED_VALUE"""),0.7355092592588335)</f>
        <v>0.7355092593</v>
      </c>
      <c r="D552" s="4">
        <f>IFERROR(__xludf.DUMMYFUNCTION("""COMPUTED_VALUE"""),12.629553)</f>
        <v>12.629553</v>
      </c>
      <c r="E552" s="4">
        <f>IFERROR(__xludf.DUMMYFUNCTION("""COMPUTED_VALUE"""),79.931038)</f>
        <v>79.931038</v>
      </c>
      <c r="F552" s="4">
        <f>IFERROR(__xludf.DUMMYFUNCTION("""COMPUTED_VALUE"""),2846.0)</f>
        <v>2846</v>
      </c>
      <c r="G552" s="4">
        <f>IFERROR(__xludf.DUMMYFUNCTION("""COMPUTED_VALUE"""),0.0)</f>
        <v>0</v>
      </c>
      <c r="H552" s="4"/>
      <c r="I552" s="4"/>
    </row>
    <row r="553">
      <c r="A553" s="4" t="str">
        <f>IFERROR(__xludf.DUMMYFUNCTION("""COMPUTED_VALUE"""),"cas_hmw")</f>
        <v>cas_hmw</v>
      </c>
      <c r="B553" s="5">
        <f>IFERROR(__xludf.DUMMYFUNCTION("""COMPUTED_VALUE"""),44726.0)</f>
        <v>44726</v>
      </c>
      <c r="C553" s="6">
        <f>IFERROR(__xludf.DUMMYFUNCTION("""COMPUTED_VALUE"""),0.7378935185188311)</f>
        <v>0.7378935185</v>
      </c>
      <c r="D553" s="4">
        <f>IFERROR(__xludf.DUMMYFUNCTION("""COMPUTED_VALUE"""),12.606152)</f>
        <v>12.606152</v>
      </c>
      <c r="E553" s="4">
        <f>IFERROR(__xludf.DUMMYFUNCTION("""COMPUTED_VALUE"""),79.920946)</f>
        <v>79.920946</v>
      </c>
      <c r="F553" s="4">
        <f>IFERROR(__xludf.DUMMYFUNCTION("""COMPUTED_VALUE"""),2846.0)</f>
        <v>2846</v>
      </c>
      <c r="G553" s="4">
        <f>IFERROR(__xludf.DUMMYFUNCTION("""COMPUTED_VALUE"""),0.0)</f>
        <v>0</v>
      </c>
      <c r="H553" s="4"/>
      <c r="I553" s="4"/>
    </row>
    <row r="554">
      <c r="A554" s="4" t="str">
        <f>IFERROR(__xludf.DUMMYFUNCTION("""COMPUTED_VALUE"""),"cas_hmw")</f>
        <v>cas_hmw</v>
      </c>
      <c r="B554" s="5">
        <f>IFERROR(__xludf.DUMMYFUNCTION("""COMPUTED_VALUE"""),44726.0)</f>
        <v>44726</v>
      </c>
      <c r="C554" s="6">
        <f>IFERROR(__xludf.DUMMYFUNCTION("""COMPUTED_VALUE"""),0.7379166666651145)</f>
        <v>0.7379166667</v>
      </c>
      <c r="D554" s="4">
        <f>IFERROR(__xludf.DUMMYFUNCTION("""COMPUTED_VALUE"""),12.606152)</f>
        <v>12.606152</v>
      </c>
      <c r="E554" s="4">
        <f>IFERROR(__xludf.DUMMYFUNCTION("""COMPUTED_VALUE"""),79.920946)</f>
        <v>79.920946</v>
      </c>
      <c r="F554" s="4">
        <f>IFERROR(__xludf.DUMMYFUNCTION("""COMPUTED_VALUE"""),2846.0)</f>
        <v>2846</v>
      </c>
      <c r="G554" s="4">
        <f>IFERROR(__xludf.DUMMYFUNCTION("""COMPUTED_VALUE"""),0.0)</f>
        <v>0</v>
      </c>
      <c r="H554" s="4"/>
      <c r="I554" s="4"/>
    </row>
    <row r="555">
      <c r="A555" s="4" t="str">
        <f>IFERROR(__xludf.DUMMYFUNCTION("""COMPUTED_VALUE"""),"cas_hmw")</f>
        <v>cas_hmw</v>
      </c>
      <c r="B555" s="5">
        <f>IFERROR(__xludf.DUMMYFUNCTION("""COMPUTED_VALUE"""),44726.0)</f>
        <v>44726</v>
      </c>
      <c r="C555" s="6">
        <f>IFERROR(__xludf.DUMMYFUNCTION("""COMPUTED_VALUE"""),0.7987500000017462)</f>
        <v>0.79875</v>
      </c>
      <c r="D555" s="4">
        <f>IFERROR(__xludf.DUMMYFUNCTION("""COMPUTED_VALUE"""),12.840616)</f>
        <v>12.840616</v>
      </c>
      <c r="E555" s="4">
        <f>IFERROR(__xludf.DUMMYFUNCTION("""COMPUTED_VALUE"""),80.056054)</f>
        <v>80.056054</v>
      </c>
      <c r="F555" s="4">
        <f>IFERROR(__xludf.DUMMYFUNCTION("""COMPUTED_VALUE"""),2846.0)</f>
        <v>2846</v>
      </c>
      <c r="G555" s="4">
        <f>IFERROR(__xludf.DUMMYFUNCTION("""COMPUTED_VALUE"""),9.0)</f>
        <v>9</v>
      </c>
      <c r="H555" s="4"/>
      <c r="I555" s="4"/>
    </row>
    <row r="556">
      <c r="A556" s="4" t="str">
        <f>IFERROR(__xludf.DUMMYFUNCTION("""COMPUTED_VALUE"""),"cas_hmw")</f>
        <v>cas_hmw</v>
      </c>
      <c r="B556" s="5">
        <f>IFERROR(__xludf.DUMMYFUNCTION("""COMPUTED_VALUE"""),44726.0)</f>
        <v>44726</v>
      </c>
      <c r="C556" s="6">
        <f>IFERROR(__xludf.DUMMYFUNCTION("""COMPUTED_VALUE"""),0.8007986111115315)</f>
        <v>0.8007986111</v>
      </c>
      <c r="D556" s="4">
        <f>IFERROR(__xludf.DUMMYFUNCTION("""COMPUTED_VALUE"""),12.849681)</f>
        <v>12.849681</v>
      </c>
      <c r="E556" s="4">
        <f>IFERROR(__xludf.DUMMYFUNCTION("""COMPUTED_VALUE"""),80.064417)</f>
        <v>80.064417</v>
      </c>
      <c r="F556" s="4">
        <f>IFERROR(__xludf.DUMMYFUNCTION("""COMPUTED_VALUE"""),2846.0)</f>
        <v>2846</v>
      </c>
      <c r="G556" s="4">
        <f>IFERROR(__xludf.DUMMYFUNCTION("""COMPUTED_VALUE"""),16.0)</f>
        <v>16</v>
      </c>
      <c r="H556" s="4"/>
      <c r="I556" s="4"/>
    </row>
    <row r="557">
      <c r="A557" s="4" t="str">
        <f>IFERROR(__xludf.DUMMYFUNCTION("""COMPUTED_VALUE"""),"cas_hmw")</f>
        <v>cas_hmw</v>
      </c>
      <c r="B557" s="5">
        <f>IFERROR(__xludf.DUMMYFUNCTION("""COMPUTED_VALUE"""),44727.0)</f>
        <v>44727</v>
      </c>
      <c r="C557" s="6">
        <f>IFERROR(__xludf.DUMMYFUNCTION("""COMPUTED_VALUE"""),0.3099305555551837)</f>
        <v>0.3099305556</v>
      </c>
      <c r="D557" s="4">
        <f>IFERROR(__xludf.DUMMYFUNCTION("""COMPUTED_VALUE"""),13.05231)</f>
        <v>13.05231</v>
      </c>
      <c r="E557" s="4">
        <f>IFERROR(__xludf.DUMMYFUNCTION("""COMPUTED_VALUE"""),80.263854)</f>
        <v>80.263854</v>
      </c>
      <c r="F557" s="4">
        <f>IFERROR(__xludf.DUMMYFUNCTION("""COMPUTED_VALUE"""),805.0)</f>
        <v>805</v>
      </c>
      <c r="G557" s="4">
        <f>IFERROR(__xludf.DUMMYFUNCTION("""COMPUTED_VALUE"""),0.0)</f>
        <v>0</v>
      </c>
      <c r="H557" s="4"/>
      <c r="I557" s="4"/>
    </row>
    <row r="558">
      <c r="A558" s="4" t="str">
        <f>IFERROR(__xludf.DUMMYFUNCTION("""COMPUTED_VALUE"""),"cas_hmw")</f>
        <v>cas_hmw</v>
      </c>
      <c r="B558" s="5">
        <f>IFERROR(__xludf.DUMMYFUNCTION("""COMPUTED_VALUE"""),44727.0)</f>
        <v>44727</v>
      </c>
      <c r="C558" s="6">
        <f>IFERROR(__xludf.DUMMYFUNCTION("""COMPUTED_VALUE"""),0.31821759259401006)</f>
        <v>0.3182175926</v>
      </c>
      <c r="D558" s="4">
        <f>IFERROR(__xludf.DUMMYFUNCTION("""COMPUTED_VALUE"""),13.017584)</f>
        <v>13.017584</v>
      </c>
      <c r="E558" s="4">
        <f>IFERROR(__xludf.DUMMYFUNCTION("""COMPUTED_VALUE"""),80.260634)</f>
        <v>80.260634</v>
      </c>
      <c r="F558" s="4">
        <f>IFERROR(__xludf.DUMMYFUNCTION("""COMPUTED_VALUE"""),805.0)</f>
        <v>805</v>
      </c>
      <c r="G558" s="4">
        <f>IFERROR(__xludf.DUMMYFUNCTION("""COMPUTED_VALUE"""),20.0)</f>
        <v>20</v>
      </c>
      <c r="H558" s="4"/>
      <c r="I558" s="4"/>
    </row>
    <row r="559">
      <c r="A559" s="4" t="str">
        <f>IFERROR(__xludf.DUMMYFUNCTION("""COMPUTED_VALUE"""),"cas_hmw")</f>
        <v>cas_hmw</v>
      </c>
      <c r="B559" s="5">
        <f>IFERROR(__xludf.DUMMYFUNCTION("""COMPUTED_VALUE"""),44727.0)</f>
        <v>44727</v>
      </c>
      <c r="C559" s="6">
        <f>IFERROR(__xludf.DUMMYFUNCTION("""COMPUTED_VALUE"""),0.6937962962947495)</f>
        <v>0.6937962963</v>
      </c>
      <c r="D559" s="4">
        <f>IFERROR(__xludf.DUMMYFUNCTION("""COMPUTED_VALUE"""),12.860283)</f>
        <v>12.860283</v>
      </c>
      <c r="E559" s="4">
        <f>IFERROR(__xludf.DUMMYFUNCTION("""COMPUTED_VALUE"""),80.072481)</f>
        <v>80.072481</v>
      </c>
      <c r="F559" s="4">
        <f>IFERROR(__xludf.DUMMYFUNCTION("""COMPUTED_VALUE"""),2846.0)</f>
        <v>2846</v>
      </c>
      <c r="G559" s="4">
        <f>IFERROR(__xludf.DUMMYFUNCTION("""COMPUTED_VALUE"""),16.0)</f>
        <v>16</v>
      </c>
      <c r="H559" s="4"/>
      <c r="I559" s="4"/>
    </row>
    <row r="560">
      <c r="A560" s="4" t="str">
        <f>IFERROR(__xludf.DUMMYFUNCTION("""COMPUTED_VALUE"""),"cas_hmw")</f>
        <v>cas_hmw</v>
      </c>
      <c r="B560" s="5">
        <f>IFERROR(__xludf.DUMMYFUNCTION("""COMPUTED_VALUE"""),44727.0)</f>
        <v>44727</v>
      </c>
      <c r="C560" s="6">
        <f>IFERROR(__xludf.DUMMYFUNCTION("""COMPUTED_VALUE"""),0.6958101851851097)</f>
        <v>0.6958101852</v>
      </c>
      <c r="D560" s="4">
        <f>IFERROR(__xludf.DUMMYFUNCTION("""COMPUTED_VALUE"""),12.909205)</f>
        <v>12.909205</v>
      </c>
      <c r="E560" s="4">
        <f>IFERROR(__xludf.DUMMYFUNCTION("""COMPUTED_VALUE"""),80.098572)</f>
        <v>80.098572</v>
      </c>
      <c r="F560" s="4">
        <f>IFERROR(__xludf.DUMMYFUNCTION("""COMPUTED_VALUE"""),805.0)</f>
        <v>805</v>
      </c>
      <c r="G560" s="4">
        <f>IFERROR(__xludf.DUMMYFUNCTION("""COMPUTED_VALUE"""),12.0)</f>
        <v>12</v>
      </c>
      <c r="H560" s="4"/>
      <c r="I560" s="4"/>
    </row>
    <row r="561">
      <c r="A561" s="4" t="str">
        <f>IFERROR(__xludf.DUMMYFUNCTION("""COMPUTED_VALUE"""),"cas_hmw")</f>
        <v>cas_hmw</v>
      </c>
      <c r="B561" s="5">
        <f>IFERROR(__xludf.DUMMYFUNCTION("""COMPUTED_VALUE"""),44727.0)</f>
        <v>44727</v>
      </c>
      <c r="C561" s="6">
        <f>IFERROR(__xludf.DUMMYFUNCTION("""COMPUTED_VALUE"""),0.6973958333328483)</f>
        <v>0.6973958333</v>
      </c>
      <c r="D561" s="4">
        <f>IFERROR(__xludf.DUMMYFUNCTION("""COMPUTED_VALUE"""),12.916682)</f>
        <v>12.916682</v>
      </c>
      <c r="E561" s="4">
        <f>IFERROR(__xludf.DUMMYFUNCTION("""COMPUTED_VALUE"""),80.106364)</f>
        <v>80.106364</v>
      </c>
      <c r="F561" s="4">
        <f>IFERROR(__xludf.DUMMYFUNCTION("""COMPUTED_VALUE"""),805.0)</f>
        <v>805</v>
      </c>
      <c r="G561" s="4">
        <f>IFERROR(__xludf.DUMMYFUNCTION("""COMPUTED_VALUE"""),20.0)</f>
        <v>20</v>
      </c>
      <c r="H561" s="4"/>
      <c r="I561" s="4"/>
    </row>
    <row r="562">
      <c r="A562" s="4" t="str">
        <f>IFERROR(__xludf.DUMMYFUNCTION("""COMPUTED_VALUE"""),"cas_hmw")</f>
        <v>cas_hmw</v>
      </c>
      <c r="B562" s="5">
        <f>IFERROR(__xludf.DUMMYFUNCTION("""COMPUTED_VALUE"""),44727.0)</f>
        <v>44727</v>
      </c>
      <c r="C562" s="6">
        <f>IFERROR(__xludf.DUMMYFUNCTION("""COMPUTED_VALUE"""),0.6974074074059899)</f>
        <v>0.6974074074</v>
      </c>
      <c r="D562" s="4">
        <f>IFERROR(__xludf.DUMMYFUNCTION("""COMPUTED_VALUE"""),12.916682)</f>
        <v>12.916682</v>
      </c>
      <c r="E562" s="4">
        <f>IFERROR(__xludf.DUMMYFUNCTION("""COMPUTED_VALUE"""),80.106364)</f>
        <v>80.106364</v>
      </c>
      <c r="F562" s="4">
        <f>IFERROR(__xludf.DUMMYFUNCTION("""COMPUTED_VALUE"""),805.0)</f>
        <v>805</v>
      </c>
      <c r="G562" s="4">
        <f>IFERROR(__xludf.DUMMYFUNCTION("""COMPUTED_VALUE"""),20.0)</f>
        <v>20</v>
      </c>
      <c r="H562" s="4"/>
      <c r="I562" s="4"/>
    </row>
    <row r="563">
      <c r="A563" s="4" t="str">
        <f>IFERROR(__xludf.DUMMYFUNCTION("""COMPUTED_VALUE"""),"cas_hmw")</f>
        <v>cas_hmw</v>
      </c>
      <c r="B563" s="5">
        <f>IFERROR(__xludf.DUMMYFUNCTION("""COMPUTED_VALUE"""),44727.0)</f>
        <v>44727</v>
      </c>
      <c r="C563" s="6">
        <f>IFERROR(__xludf.DUMMYFUNCTION("""COMPUTED_VALUE"""),0.6974305555559113)</f>
        <v>0.6974305556</v>
      </c>
      <c r="D563" s="4">
        <f>IFERROR(__xludf.DUMMYFUNCTION("""COMPUTED_VALUE"""),12.916682)</f>
        <v>12.916682</v>
      </c>
      <c r="E563" s="4">
        <f>IFERROR(__xludf.DUMMYFUNCTION("""COMPUTED_VALUE"""),80.106364)</f>
        <v>80.106364</v>
      </c>
      <c r="F563" s="4">
        <f>IFERROR(__xludf.DUMMYFUNCTION("""COMPUTED_VALUE"""),805.0)</f>
        <v>805</v>
      </c>
      <c r="G563" s="4">
        <f>IFERROR(__xludf.DUMMYFUNCTION("""COMPUTED_VALUE"""),20.0)</f>
        <v>20</v>
      </c>
      <c r="H563" s="4"/>
      <c r="I563" s="4"/>
    </row>
    <row r="564">
      <c r="A564" s="4" t="str">
        <f>IFERROR(__xludf.DUMMYFUNCTION("""COMPUTED_VALUE"""),"cas_hmw")</f>
        <v>cas_hmw</v>
      </c>
      <c r="B564" s="5">
        <f>IFERROR(__xludf.DUMMYFUNCTION("""COMPUTED_VALUE"""),44727.0)</f>
        <v>44727</v>
      </c>
      <c r="C564" s="6">
        <f>IFERROR(__xludf.DUMMYFUNCTION("""COMPUTED_VALUE"""),0.7010879629633564)</f>
        <v>0.701087963</v>
      </c>
      <c r="D564" s="4">
        <f>IFERROR(__xludf.DUMMYFUNCTION("""COMPUTED_VALUE"""),12.929577)</f>
        <v>12.929577</v>
      </c>
      <c r="E564" s="4">
        <f>IFERROR(__xludf.DUMMYFUNCTION("""COMPUTED_VALUE"""),80.120645)</f>
        <v>80.120645</v>
      </c>
      <c r="F564" s="4">
        <f>IFERROR(__xludf.DUMMYFUNCTION("""COMPUTED_VALUE"""),5339.0)</f>
        <v>5339</v>
      </c>
      <c r="G564" s="4">
        <f>IFERROR(__xludf.DUMMYFUNCTION("""COMPUTED_VALUE"""),0.0)</f>
        <v>0</v>
      </c>
      <c r="H564" s="4"/>
      <c r="I564" s="4"/>
    </row>
    <row r="565">
      <c r="A565" s="4" t="str">
        <f>IFERROR(__xludf.DUMMYFUNCTION("""COMPUTED_VALUE"""),"cas_hmw")</f>
        <v>cas_hmw</v>
      </c>
      <c r="B565" s="5">
        <f>IFERROR(__xludf.DUMMYFUNCTION("""COMPUTED_VALUE"""),44727.0)</f>
        <v>44727</v>
      </c>
      <c r="C565" s="6">
        <f>IFERROR(__xludf.DUMMYFUNCTION("""COMPUTED_VALUE"""),0.7051736111097853)</f>
        <v>0.7051736111</v>
      </c>
      <c r="D565" s="4">
        <f>IFERROR(__xludf.DUMMYFUNCTION("""COMPUTED_VALUE"""),12.955776)</f>
        <v>12.955776</v>
      </c>
      <c r="E565" s="4">
        <f>IFERROR(__xludf.DUMMYFUNCTION("""COMPUTED_VALUE"""),80.142818)</f>
        <v>80.142818</v>
      </c>
      <c r="F565" s="4">
        <f>IFERROR(__xludf.DUMMYFUNCTION("""COMPUTED_VALUE"""),5339.0)</f>
        <v>5339</v>
      </c>
      <c r="G565" s="4">
        <f>IFERROR(__xludf.DUMMYFUNCTION("""COMPUTED_VALUE"""),11.0)</f>
        <v>11</v>
      </c>
      <c r="H565" s="4"/>
      <c r="I565" s="4"/>
    </row>
    <row r="566">
      <c r="A566" s="4" t="str">
        <f>IFERROR(__xludf.DUMMYFUNCTION("""COMPUTED_VALUE"""),"cas_hmw")</f>
        <v>cas_hmw</v>
      </c>
      <c r="B566" s="5">
        <f>IFERROR(__xludf.DUMMYFUNCTION("""COMPUTED_VALUE"""),44727.0)</f>
        <v>44727</v>
      </c>
      <c r="C566" s="6">
        <f>IFERROR(__xludf.DUMMYFUNCTION("""COMPUTED_VALUE"""),0.7111921296309447)</f>
        <v>0.7111921296</v>
      </c>
      <c r="D566" s="4">
        <f>IFERROR(__xludf.DUMMYFUNCTION("""COMPUTED_VALUE"""),12.989307)</f>
        <v>12.989307</v>
      </c>
      <c r="E566" s="4">
        <f>IFERROR(__xludf.DUMMYFUNCTION("""COMPUTED_VALUE"""),80.178517)</f>
        <v>80.178517</v>
      </c>
      <c r="F566" s="4">
        <f>IFERROR(__xludf.DUMMYFUNCTION("""COMPUTED_VALUE"""),5339.0)</f>
        <v>5339</v>
      </c>
      <c r="G566" s="4">
        <f>IFERROR(__xludf.DUMMYFUNCTION("""COMPUTED_VALUE"""),16.0)</f>
        <v>16</v>
      </c>
      <c r="H566" s="4"/>
      <c r="I566" s="4"/>
    </row>
    <row r="567">
      <c r="A567" s="4" t="str">
        <f>IFERROR(__xludf.DUMMYFUNCTION("""COMPUTED_VALUE"""),"cas_hmw")</f>
        <v>cas_hmw</v>
      </c>
      <c r="B567" s="5">
        <f>IFERROR(__xludf.DUMMYFUNCTION("""COMPUTED_VALUE"""),44727.0)</f>
        <v>44727</v>
      </c>
      <c r="C567" s="6">
        <f>IFERROR(__xludf.DUMMYFUNCTION("""COMPUTED_VALUE"""),0.7127083333325572)</f>
        <v>0.7127083333</v>
      </c>
      <c r="D567" s="4">
        <f>IFERROR(__xludf.DUMMYFUNCTION("""COMPUTED_VALUE"""),12.99594)</f>
        <v>12.99594</v>
      </c>
      <c r="E567" s="4">
        <f>IFERROR(__xludf.DUMMYFUNCTION("""COMPUTED_VALUE"""),80.188996)</f>
        <v>80.188996</v>
      </c>
      <c r="F567" s="4">
        <f>IFERROR(__xludf.DUMMYFUNCTION("""COMPUTED_VALUE"""),805.0)</f>
        <v>805</v>
      </c>
      <c r="G567" s="4">
        <f>IFERROR(__xludf.DUMMYFUNCTION("""COMPUTED_VALUE"""),0.0)</f>
        <v>0</v>
      </c>
      <c r="H567" s="4"/>
      <c r="I567" s="4"/>
    </row>
    <row r="568">
      <c r="A568" s="4" t="str">
        <f>IFERROR(__xludf.DUMMYFUNCTION("""COMPUTED_VALUE"""),"cas_hmw")</f>
        <v>cas_hmw</v>
      </c>
      <c r="B568" s="5">
        <f>IFERROR(__xludf.DUMMYFUNCTION("""COMPUTED_VALUE"""),44727.0)</f>
        <v>44727</v>
      </c>
      <c r="C568" s="6">
        <f>IFERROR(__xludf.DUMMYFUNCTION("""COMPUTED_VALUE"""),0.7127083333325572)</f>
        <v>0.7127083333</v>
      </c>
      <c r="D568" s="4">
        <f>IFERROR(__xludf.DUMMYFUNCTION("""COMPUTED_VALUE"""),12.99594)</f>
        <v>12.99594</v>
      </c>
      <c r="E568" s="4">
        <f>IFERROR(__xludf.DUMMYFUNCTION("""COMPUTED_VALUE"""),80.188996)</f>
        <v>80.188996</v>
      </c>
      <c r="F568" s="4">
        <f>IFERROR(__xludf.DUMMYFUNCTION("""COMPUTED_VALUE"""),805.0)</f>
        <v>805</v>
      </c>
      <c r="G568" s="4">
        <f>IFERROR(__xludf.DUMMYFUNCTION("""COMPUTED_VALUE"""),0.0)</f>
        <v>0</v>
      </c>
      <c r="H568" s="4"/>
      <c r="I568" s="4"/>
    </row>
    <row r="569">
      <c r="A569" s="4" t="str">
        <f>IFERROR(__xludf.DUMMYFUNCTION("""COMPUTED_VALUE"""),"cas_hmw")</f>
        <v>cas_hmw</v>
      </c>
      <c r="B569" s="5">
        <f>IFERROR(__xludf.DUMMYFUNCTION("""COMPUTED_VALUE"""),44727.0)</f>
        <v>44727</v>
      </c>
      <c r="C569" s="6">
        <f>IFERROR(__xludf.DUMMYFUNCTION("""COMPUTED_VALUE"""),0.7127893518518249)</f>
        <v>0.7127893519</v>
      </c>
      <c r="D569" s="4">
        <f>IFERROR(__xludf.DUMMYFUNCTION("""COMPUTED_VALUE"""),12.99594)</f>
        <v>12.99594</v>
      </c>
      <c r="E569" s="4">
        <f>IFERROR(__xludf.DUMMYFUNCTION("""COMPUTED_VALUE"""),80.188996)</f>
        <v>80.188996</v>
      </c>
      <c r="F569" s="4">
        <f>IFERROR(__xludf.DUMMYFUNCTION("""COMPUTED_VALUE"""),805.0)</f>
        <v>805</v>
      </c>
      <c r="G569" s="4">
        <f>IFERROR(__xludf.DUMMYFUNCTION("""COMPUTED_VALUE"""),0.0)</f>
        <v>0</v>
      </c>
      <c r="H569" s="4"/>
      <c r="I569" s="4"/>
    </row>
    <row r="570">
      <c r="A570" s="4" t="str">
        <f>IFERROR(__xludf.DUMMYFUNCTION("""COMPUTED_VALUE"""),"cas_hmw")</f>
        <v>cas_hmw</v>
      </c>
      <c r="B570" s="5">
        <f>IFERROR(__xludf.DUMMYFUNCTION("""COMPUTED_VALUE"""),44727.0)</f>
        <v>44727</v>
      </c>
      <c r="C570" s="6">
        <f>IFERROR(__xludf.DUMMYFUNCTION("""COMPUTED_VALUE"""),0.7140277777762094)</f>
        <v>0.7140277778</v>
      </c>
      <c r="D570" s="4">
        <f>IFERROR(__xludf.DUMMYFUNCTION("""COMPUTED_VALUE"""),12.998799)</f>
        <v>12.998799</v>
      </c>
      <c r="E570" s="4">
        <f>IFERROR(__xludf.DUMMYFUNCTION("""COMPUTED_VALUE"""),80.192529)</f>
        <v>80.192529</v>
      </c>
      <c r="F570" s="4">
        <f>IFERROR(__xludf.DUMMYFUNCTION("""COMPUTED_VALUE"""),5339.0)</f>
        <v>5339</v>
      </c>
      <c r="G570" s="4">
        <f>IFERROR(__xludf.DUMMYFUNCTION("""COMPUTED_VALUE"""),10.0)</f>
        <v>10</v>
      </c>
      <c r="H570" s="4"/>
      <c r="I570" s="4"/>
    </row>
    <row r="571">
      <c r="A571" s="4" t="str">
        <f>IFERROR(__xludf.DUMMYFUNCTION("""COMPUTED_VALUE"""),"cas_hmw")</f>
        <v>cas_hmw</v>
      </c>
      <c r="B571" s="5">
        <f>IFERROR(__xludf.DUMMYFUNCTION("""COMPUTED_VALUE"""),44727.0)</f>
        <v>44727</v>
      </c>
      <c r="C571" s="6">
        <f>IFERROR(__xludf.DUMMYFUNCTION("""COMPUTED_VALUE"""),0.7173611111102218)</f>
        <v>0.7173611111</v>
      </c>
      <c r="D571" s="4">
        <f>IFERROR(__xludf.DUMMYFUNCTION("""COMPUTED_VALUE"""),13.012135)</f>
        <v>13.012135</v>
      </c>
      <c r="E571" s="4">
        <f>IFERROR(__xludf.DUMMYFUNCTION("""COMPUTED_VALUE"""),80.220476)</f>
        <v>80.220476</v>
      </c>
      <c r="F571" s="4">
        <f>IFERROR(__xludf.DUMMYFUNCTION("""COMPUTED_VALUE"""),805.0)</f>
        <v>805</v>
      </c>
      <c r="G571" s="4">
        <f>IFERROR(__xludf.DUMMYFUNCTION("""COMPUTED_VALUE"""),17.0)</f>
        <v>17</v>
      </c>
      <c r="H571" s="4"/>
      <c r="I571" s="4"/>
    </row>
    <row r="572">
      <c r="A572" s="4" t="str">
        <f>IFERROR(__xludf.DUMMYFUNCTION("""COMPUTED_VALUE"""),"cas_hmw")</f>
        <v>cas_hmw</v>
      </c>
      <c r="B572" s="5">
        <f>IFERROR(__xludf.DUMMYFUNCTION("""COMPUTED_VALUE"""),44727.0)</f>
        <v>44727</v>
      </c>
      <c r="C572" s="6">
        <f>IFERROR(__xludf.DUMMYFUNCTION("""COMPUTED_VALUE"""),0.7201851851859828)</f>
        <v>0.7201851852</v>
      </c>
      <c r="D572" s="4">
        <f>IFERROR(__xludf.DUMMYFUNCTION("""COMPUTED_VALUE"""),13.019862)</f>
        <v>13.019862</v>
      </c>
      <c r="E572" s="4">
        <f>IFERROR(__xludf.DUMMYFUNCTION("""COMPUTED_VALUE"""),80.224556)</f>
        <v>80.224556</v>
      </c>
      <c r="F572" s="4">
        <f>IFERROR(__xludf.DUMMYFUNCTION("""COMPUTED_VALUE"""),5339.0)</f>
        <v>5339</v>
      </c>
      <c r="G572" s="4">
        <f>IFERROR(__xludf.DUMMYFUNCTION("""COMPUTED_VALUE"""),20.0)</f>
        <v>20</v>
      </c>
      <c r="H572" s="4"/>
      <c r="I572" s="4"/>
    </row>
    <row r="573">
      <c r="A573" s="4" t="str">
        <f>IFERROR(__xludf.DUMMYFUNCTION("""COMPUTED_VALUE"""),"cas_hmw")</f>
        <v>cas_hmw</v>
      </c>
      <c r="B573" s="5">
        <f>IFERROR(__xludf.DUMMYFUNCTION("""COMPUTED_VALUE"""),44727.0)</f>
        <v>44727</v>
      </c>
      <c r="C573" s="6">
        <f>IFERROR(__xludf.DUMMYFUNCTION("""COMPUTED_VALUE"""),0.7201851851859828)</f>
        <v>0.7201851852</v>
      </c>
      <c r="D573" s="4">
        <f>IFERROR(__xludf.DUMMYFUNCTION("""COMPUTED_VALUE"""),13.019862)</f>
        <v>13.019862</v>
      </c>
      <c r="E573" s="4">
        <f>IFERROR(__xludf.DUMMYFUNCTION("""COMPUTED_VALUE"""),80.224556)</f>
        <v>80.224556</v>
      </c>
      <c r="F573" s="4">
        <f>IFERROR(__xludf.DUMMYFUNCTION("""COMPUTED_VALUE"""),5339.0)</f>
        <v>5339</v>
      </c>
      <c r="G573" s="4">
        <f>IFERROR(__xludf.DUMMYFUNCTION("""COMPUTED_VALUE"""),20.0)</f>
        <v>20</v>
      </c>
      <c r="H573" s="4"/>
      <c r="I573" s="4"/>
    </row>
    <row r="574">
      <c r="A574" s="4" t="str">
        <f>IFERROR(__xludf.DUMMYFUNCTION("""COMPUTED_VALUE"""),"cas_hmw")</f>
        <v>cas_hmw</v>
      </c>
      <c r="B574" s="5">
        <f>IFERROR(__xludf.DUMMYFUNCTION("""COMPUTED_VALUE"""),44727.0)</f>
        <v>44727</v>
      </c>
      <c r="C574" s="6">
        <f>IFERROR(__xludf.DUMMYFUNCTION("""COMPUTED_VALUE"""),0.7222106481494848)</f>
        <v>0.7222106481</v>
      </c>
      <c r="D574" s="4">
        <f>IFERROR(__xludf.DUMMYFUNCTION("""COMPUTED_VALUE"""),13.006731)</f>
        <v>13.006731</v>
      </c>
      <c r="E574" s="4">
        <f>IFERROR(__xludf.DUMMYFUNCTION("""COMPUTED_VALUE"""),80.245346)</f>
        <v>80.245346</v>
      </c>
      <c r="F574" s="4">
        <f>IFERROR(__xludf.DUMMYFUNCTION("""COMPUTED_VALUE"""),805.0)</f>
        <v>805</v>
      </c>
      <c r="G574" s="4">
        <f>IFERROR(__xludf.DUMMYFUNCTION("""COMPUTED_VALUE"""),18.0)</f>
        <v>18</v>
      </c>
      <c r="H574" s="4"/>
      <c r="I574" s="4"/>
    </row>
    <row r="575">
      <c r="A575" s="4" t="str">
        <f>IFERROR(__xludf.DUMMYFUNCTION("""COMPUTED_VALUE"""),"cas_hmw")</f>
        <v>cas_hmw</v>
      </c>
      <c r="B575" s="5">
        <f>IFERROR(__xludf.DUMMYFUNCTION("""COMPUTED_VALUE"""),44727.0)</f>
        <v>44727</v>
      </c>
      <c r="C575" s="6">
        <f>IFERROR(__xludf.DUMMYFUNCTION("""COMPUTED_VALUE"""),0.7264467592576693)</f>
        <v>0.7264467593</v>
      </c>
      <c r="D575" s="4">
        <f>IFERROR(__xludf.DUMMYFUNCTION("""COMPUTED_VALUE"""),13.016094)</f>
        <v>13.016094</v>
      </c>
      <c r="E575" s="4">
        <f>IFERROR(__xludf.DUMMYFUNCTION("""COMPUTED_VALUE"""),80.259456)</f>
        <v>80.259456</v>
      </c>
      <c r="F575" s="4">
        <f>IFERROR(__xludf.DUMMYFUNCTION("""COMPUTED_VALUE"""),805.0)</f>
        <v>805</v>
      </c>
      <c r="G575" s="4">
        <f>IFERROR(__xludf.DUMMYFUNCTION("""COMPUTED_VALUE"""),20.0)</f>
        <v>20</v>
      </c>
      <c r="H575" s="4"/>
      <c r="I575" s="4"/>
    </row>
    <row r="576">
      <c r="A576" s="4" t="str">
        <f>IFERROR(__xludf.DUMMYFUNCTION("""COMPUTED_VALUE"""),"cas_hmw")</f>
        <v>cas_hmw</v>
      </c>
      <c r="B576" s="5">
        <f>IFERROR(__xludf.DUMMYFUNCTION("""COMPUTED_VALUE"""),44727.0)</f>
        <v>44727</v>
      </c>
      <c r="C576" s="6">
        <f>IFERROR(__xludf.DUMMYFUNCTION("""COMPUTED_VALUE"""),0.7264467592576693)</f>
        <v>0.7264467593</v>
      </c>
      <c r="D576" s="4">
        <f>IFERROR(__xludf.DUMMYFUNCTION("""COMPUTED_VALUE"""),13.016094)</f>
        <v>13.016094</v>
      </c>
      <c r="E576" s="4">
        <f>IFERROR(__xludf.DUMMYFUNCTION("""COMPUTED_VALUE"""),80.259456)</f>
        <v>80.259456</v>
      </c>
      <c r="F576" s="4">
        <f>IFERROR(__xludf.DUMMYFUNCTION("""COMPUTED_VALUE"""),805.0)</f>
        <v>805</v>
      </c>
      <c r="G576" s="4">
        <f>IFERROR(__xludf.DUMMYFUNCTION("""COMPUTED_VALUE"""),20.0)</f>
        <v>20</v>
      </c>
      <c r="H576" s="4"/>
      <c r="I576" s="4"/>
    </row>
    <row r="577">
      <c r="A577" s="4" t="str">
        <f>IFERROR(__xludf.DUMMYFUNCTION("""COMPUTED_VALUE"""),"cas_hmw")</f>
        <v>cas_hmw</v>
      </c>
      <c r="B577" s="5">
        <f>IFERROR(__xludf.DUMMYFUNCTION("""COMPUTED_VALUE"""),44727.0)</f>
        <v>44727</v>
      </c>
      <c r="C577" s="6">
        <f>IFERROR(__xludf.DUMMYFUNCTION("""COMPUTED_VALUE"""),0.7265393518500787)</f>
        <v>0.7265393519</v>
      </c>
      <c r="D577" s="4">
        <f>IFERROR(__xludf.DUMMYFUNCTION("""COMPUTED_VALUE"""),13.016094)</f>
        <v>13.016094</v>
      </c>
      <c r="E577" s="4">
        <f>IFERROR(__xludf.DUMMYFUNCTION("""COMPUTED_VALUE"""),80.259456)</f>
        <v>80.259456</v>
      </c>
      <c r="F577" s="4">
        <f>IFERROR(__xludf.DUMMYFUNCTION("""COMPUTED_VALUE"""),805.0)</f>
        <v>805</v>
      </c>
      <c r="G577" s="4">
        <f>IFERROR(__xludf.DUMMYFUNCTION("""COMPUTED_VALUE"""),20.0)</f>
        <v>20</v>
      </c>
      <c r="H577" s="4"/>
      <c r="I577" s="4"/>
    </row>
    <row r="578">
      <c r="A578" s="4" t="str">
        <f>IFERROR(__xludf.DUMMYFUNCTION("""COMPUTED_VALUE"""),"cas_hmw")</f>
        <v>cas_hmw</v>
      </c>
      <c r="B578" s="5">
        <f>IFERROR(__xludf.DUMMYFUNCTION("""COMPUTED_VALUE"""),44727.0)</f>
        <v>44727</v>
      </c>
      <c r="C578" s="6">
        <f>IFERROR(__xludf.DUMMYFUNCTION("""COMPUTED_VALUE"""),0.726597222223063)</f>
        <v>0.7265972222</v>
      </c>
      <c r="D578" s="4">
        <f>IFERROR(__xludf.DUMMYFUNCTION("""COMPUTED_VALUE"""),13.016094)</f>
        <v>13.016094</v>
      </c>
      <c r="E578" s="4">
        <f>IFERROR(__xludf.DUMMYFUNCTION("""COMPUTED_VALUE"""),80.259456)</f>
        <v>80.259456</v>
      </c>
      <c r="F578" s="4">
        <f>IFERROR(__xludf.DUMMYFUNCTION("""COMPUTED_VALUE"""),805.0)</f>
        <v>805</v>
      </c>
      <c r="G578" s="4">
        <f>IFERROR(__xludf.DUMMYFUNCTION("""COMPUTED_VALUE"""),20.0)</f>
        <v>20</v>
      </c>
      <c r="H578" s="4"/>
      <c r="I578" s="4"/>
    </row>
    <row r="579">
      <c r="A579" s="4" t="str">
        <f>IFERROR(__xludf.DUMMYFUNCTION("""COMPUTED_VALUE"""),"cas_hmw")</f>
        <v>cas_hmw</v>
      </c>
      <c r="B579" s="5">
        <f>IFERROR(__xludf.DUMMYFUNCTION("""COMPUTED_VALUE"""),44727.0)</f>
        <v>44727</v>
      </c>
      <c r="C579" s="6">
        <f>IFERROR(__xludf.DUMMYFUNCTION("""COMPUTED_VALUE"""),0.726597222223063)</f>
        <v>0.7265972222</v>
      </c>
      <c r="D579" s="4">
        <f>IFERROR(__xludf.DUMMYFUNCTION("""COMPUTED_VALUE"""),13.016094)</f>
        <v>13.016094</v>
      </c>
      <c r="E579" s="4">
        <f>IFERROR(__xludf.DUMMYFUNCTION("""COMPUTED_VALUE"""),80.259456)</f>
        <v>80.259456</v>
      </c>
      <c r="F579" s="4">
        <f>IFERROR(__xludf.DUMMYFUNCTION("""COMPUTED_VALUE"""),805.0)</f>
        <v>805</v>
      </c>
      <c r="G579" s="4">
        <f>IFERROR(__xludf.DUMMYFUNCTION("""COMPUTED_VALUE"""),20.0)</f>
        <v>20</v>
      </c>
      <c r="H579" s="4"/>
      <c r="I579" s="4"/>
    </row>
    <row r="580">
      <c r="A580" s="4" t="str">
        <f>IFERROR(__xludf.DUMMYFUNCTION("""COMPUTED_VALUE"""),"cas_hmw")</f>
        <v>cas_hmw</v>
      </c>
      <c r="B580" s="5">
        <f>IFERROR(__xludf.DUMMYFUNCTION("""COMPUTED_VALUE"""),44727.0)</f>
        <v>44727</v>
      </c>
      <c r="C580" s="6">
        <f>IFERROR(__xludf.DUMMYFUNCTION("""COMPUTED_VALUE"""),0.731516203704814)</f>
        <v>0.7315162037</v>
      </c>
      <c r="D580" s="4">
        <f>IFERROR(__xludf.DUMMYFUNCTION("""COMPUTED_VALUE"""),13.054968)</f>
        <v>13.054968</v>
      </c>
      <c r="E580" s="4">
        <f>IFERROR(__xludf.DUMMYFUNCTION("""COMPUTED_VALUE"""),80.25442)</f>
        <v>80.25442</v>
      </c>
      <c r="F580" s="4">
        <f>IFERROR(__xludf.DUMMYFUNCTION("""COMPUTED_VALUE"""),5339.0)</f>
        <v>5339</v>
      </c>
      <c r="G580" s="4">
        <f>IFERROR(__xludf.DUMMYFUNCTION("""COMPUTED_VALUE"""),14.0)</f>
        <v>14</v>
      </c>
      <c r="H580" s="4"/>
      <c r="I580" s="4"/>
    </row>
    <row r="581">
      <c r="A581" s="4" t="str">
        <f>IFERROR(__xludf.DUMMYFUNCTION("""COMPUTED_VALUE"""),"cas_hmw")</f>
        <v>cas_hmw</v>
      </c>
      <c r="B581" s="5">
        <f>IFERROR(__xludf.DUMMYFUNCTION("""COMPUTED_VALUE"""),44727.0)</f>
        <v>44727</v>
      </c>
      <c r="C581" s="6">
        <f>IFERROR(__xludf.DUMMYFUNCTION("""COMPUTED_VALUE"""),0.731516203704814)</f>
        <v>0.7315162037</v>
      </c>
      <c r="D581" s="4">
        <f>IFERROR(__xludf.DUMMYFUNCTION("""COMPUTED_VALUE"""),13.054968)</f>
        <v>13.054968</v>
      </c>
      <c r="E581" s="4">
        <f>IFERROR(__xludf.DUMMYFUNCTION("""COMPUTED_VALUE"""),80.25442)</f>
        <v>80.25442</v>
      </c>
      <c r="F581" s="4">
        <f>IFERROR(__xludf.DUMMYFUNCTION("""COMPUTED_VALUE"""),5339.0)</f>
        <v>5339</v>
      </c>
      <c r="G581" s="4">
        <f>IFERROR(__xludf.DUMMYFUNCTION("""COMPUTED_VALUE"""),14.0)</f>
        <v>14</v>
      </c>
      <c r="H581" s="4"/>
      <c r="I581" s="4"/>
    </row>
    <row r="582">
      <c r="A582" s="4" t="str">
        <f>IFERROR(__xludf.DUMMYFUNCTION("""COMPUTED_VALUE"""),"cas_hmw")</f>
        <v>cas_hmw</v>
      </c>
      <c r="B582" s="5">
        <f>IFERROR(__xludf.DUMMYFUNCTION("""COMPUTED_VALUE"""),44727.0)</f>
        <v>44727</v>
      </c>
      <c r="C582" s="6">
        <f>IFERROR(__xludf.DUMMYFUNCTION("""COMPUTED_VALUE"""),0.7427662037043774)</f>
        <v>0.7427662037</v>
      </c>
      <c r="D582" s="4">
        <f>IFERROR(__xludf.DUMMYFUNCTION("""COMPUTED_VALUE"""),13.065434)</f>
        <v>13.065434</v>
      </c>
      <c r="E582" s="4">
        <f>IFERROR(__xludf.DUMMYFUNCTION("""COMPUTED_VALUE"""),80.27385)</f>
        <v>80.27385</v>
      </c>
      <c r="F582" s="4">
        <f>IFERROR(__xludf.DUMMYFUNCTION("""COMPUTED_VALUE"""),5339.0)</f>
        <v>5339</v>
      </c>
      <c r="G582" s="4">
        <f>IFERROR(__xludf.DUMMYFUNCTION("""COMPUTED_VALUE"""),9.0)</f>
        <v>9</v>
      </c>
      <c r="H582" s="4"/>
      <c r="I582" s="4"/>
    </row>
    <row r="583">
      <c r="A583" s="4" t="str">
        <f>IFERROR(__xludf.DUMMYFUNCTION("""COMPUTED_VALUE"""),"cas_hmw")</f>
        <v>cas_hmw</v>
      </c>
      <c r="B583" s="5">
        <f>IFERROR(__xludf.DUMMYFUNCTION("""COMPUTED_VALUE"""),44727.0)</f>
        <v>44727</v>
      </c>
      <c r="C583" s="6">
        <f>IFERROR(__xludf.DUMMYFUNCTION("""COMPUTED_VALUE"""),0.7493518518531346)</f>
        <v>0.7493518519</v>
      </c>
      <c r="D583" s="4">
        <f>IFERROR(__xludf.DUMMYFUNCTION("""COMPUTED_VALUE"""),13.071156)</f>
        <v>13.071156</v>
      </c>
      <c r="E583" s="4">
        <f>IFERROR(__xludf.DUMMYFUNCTION("""COMPUTED_VALUE"""),80.265045)</f>
        <v>80.265045</v>
      </c>
      <c r="F583" s="4">
        <f>IFERROR(__xludf.DUMMYFUNCTION("""COMPUTED_VALUE"""),5339.0)</f>
        <v>5339</v>
      </c>
      <c r="G583" s="4">
        <f>IFERROR(__xludf.DUMMYFUNCTION("""COMPUTED_VALUE"""),18.0)</f>
        <v>18</v>
      </c>
      <c r="H583" s="4"/>
      <c r="I583" s="4"/>
    </row>
    <row r="584">
      <c r="A584" s="4" t="str">
        <f>IFERROR(__xludf.DUMMYFUNCTION("""COMPUTED_VALUE"""),"cas_hmw")</f>
        <v>cas_hmw</v>
      </c>
      <c r="B584" s="5">
        <f>IFERROR(__xludf.DUMMYFUNCTION("""COMPUTED_VALUE"""),44727.0)</f>
        <v>44727</v>
      </c>
      <c r="C584" s="6">
        <f>IFERROR(__xludf.DUMMYFUNCTION("""COMPUTED_VALUE"""),0.7493981481493392)</f>
        <v>0.7493981481</v>
      </c>
      <c r="D584" s="4">
        <f>IFERROR(__xludf.DUMMYFUNCTION("""COMPUTED_VALUE"""),13.071156)</f>
        <v>13.071156</v>
      </c>
      <c r="E584" s="4">
        <f>IFERROR(__xludf.DUMMYFUNCTION("""COMPUTED_VALUE"""),80.265045)</f>
        <v>80.265045</v>
      </c>
      <c r="F584" s="4">
        <f>IFERROR(__xludf.DUMMYFUNCTION("""COMPUTED_VALUE"""),5339.0)</f>
        <v>5339</v>
      </c>
      <c r="G584" s="4">
        <f>IFERROR(__xludf.DUMMYFUNCTION("""COMPUTED_VALUE"""),18.0)</f>
        <v>18</v>
      </c>
      <c r="H584" s="4"/>
      <c r="I584" s="4"/>
    </row>
    <row r="585">
      <c r="A585" s="4" t="str">
        <f>IFERROR(__xludf.DUMMYFUNCTION("""COMPUTED_VALUE"""),"cas_hmw")</f>
        <v>cas_hmw</v>
      </c>
      <c r="B585" s="5">
        <f>IFERROR(__xludf.DUMMYFUNCTION("""COMPUTED_VALUE"""),44727.0)</f>
        <v>44727</v>
      </c>
      <c r="C585" s="6">
        <f>IFERROR(__xludf.DUMMYFUNCTION("""COMPUTED_VALUE"""),0.7494097222224809)</f>
        <v>0.7494097222</v>
      </c>
      <c r="D585" s="4">
        <f>IFERROR(__xludf.DUMMYFUNCTION("""COMPUTED_VALUE"""),13.071156)</f>
        <v>13.071156</v>
      </c>
      <c r="E585" s="4">
        <f>IFERROR(__xludf.DUMMYFUNCTION("""COMPUTED_VALUE"""),80.265045)</f>
        <v>80.265045</v>
      </c>
      <c r="F585" s="4">
        <f>IFERROR(__xludf.DUMMYFUNCTION("""COMPUTED_VALUE"""),5339.0)</f>
        <v>5339</v>
      </c>
      <c r="G585" s="4">
        <f>IFERROR(__xludf.DUMMYFUNCTION("""COMPUTED_VALUE"""),18.0)</f>
        <v>18</v>
      </c>
      <c r="H585" s="4"/>
      <c r="I585" s="4"/>
    </row>
    <row r="586">
      <c r="A586" s="4" t="str">
        <f>IFERROR(__xludf.DUMMYFUNCTION("""COMPUTED_VALUE"""),"cas_hmw")</f>
        <v>cas_hmw</v>
      </c>
      <c r="B586" s="5">
        <f>IFERROR(__xludf.DUMMYFUNCTION("""COMPUTED_VALUE"""),44728.0)</f>
        <v>44728</v>
      </c>
      <c r="C586" s="6">
        <f>IFERROR(__xludf.DUMMYFUNCTION("""COMPUTED_VALUE"""),0.32134259259328246)</f>
        <v>0.3213425926</v>
      </c>
      <c r="D586" s="4">
        <f>IFERROR(__xludf.DUMMYFUNCTION("""COMPUTED_VALUE"""),13.009533)</f>
        <v>13.009533</v>
      </c>
      <c r="E586" s="4">
        <f>IFERROR(__xludf.DUMMYFUNCTION("""COMPUTED_VALUE"""),80.227555)</f>
        <v>80.227555</v>
      </c>
      <c r="F586" s="4">
        <f>IFERROR(__xludf.DUMMYFUNCTION("""COMPUTED_VALUE"""),5339.0)</f>
        <v>5339</v>
      </c>
      <c r="G586" s="4">
        <f>IFERROR(__xludf.DUMMYFUNCTION("""COMPUTED_VALUE"""),19.0)</f>
        <v>19</v>
      </c>
      <c r="H586" s="4"/>
      <c r="I586" s="4"/>
    </row>
    <row r="587">
      <c r="A587" s="4" t="str">
        <f>IFERROR(__xludf.DUMMYFUNCTION("""COMPUTED_VALUE"""),"cas_hmw")</f>
        <v>cas_hmw</v>
      </c>
      <c r="B587" s="5">
        <f>IFERROR(__xludf.DUMMYFUNCTION("""COMPUTED_VALUE"""),44728.0)</f>
        <v>44728</v>
      </c>
      <c r="C587" s="6">
        <f>IFERROR(__xludf.DUMMYFUNCTION("""COMPUTED_VALUE"""),0.3264120370367891)</f>
        <v>0.326412037</v>
      </c>
      <c r="D587" s="4">
        <f>IFERROR(__xludf.DUMMYFUNCTION("""COMPUTED_VALUE"""),12.996143)</f>
        <v>12.996143</v>
      </c>
      <c r="E587" s="4">
        <f>IFERROR(__xludf.DUMMYFUNCTION("""COMPUTED_VALUE"""),80.189454)</f>
        <v>80.189454</v>
      </c>
      <c r="F587" s="4">
        <f>IFERROR(__xludf.DUMMYFUNCTION("""COMPUTED_VALUE"""),5339.0)</f>
        <v>5339</v>
      </c>
      <c r="G587" s="4">
        <f>IFERROR(__xludf.DUMMYFUNCTION("""COMPUTED_VALUE"""),15.0)</f>
        <v>15</v>
      </c>
      <c r="H587" s="4"/>
      <c r="I587" s="4"/>
    </row>
    <row r="588">
      <c r="A588" s="4" t="str">
        <f>IFERROR(__xludf.DUMMYFUNCTION("""COMPUTED_VALUE"""),"cas_hmw")</f>
        <v>cas_hmw</v>
      </c>
      <c r="B588" s="5">
        <f>IFERROR(__xludf.DUMMYFUNCTION("""COMPUTED_VALUE"""),44728.0)</f>
        <v>44728</v>
      </c>
      <c r="C588" s="6">
        <f>IFERROR(__xludf.DUMMYFUNCTION("""COMPUTED_VALUE"""),0.3274999999994179)</f>
        <v>0.3275</v>
      </c>
      <c r="D588" s="4">
        <f>IFERROR(__xludf.DUMMYFUNCTION("""COMPUTED_VALUE"""),12.994124)</f>
        <v>12.994124</v>
      </c>
      <c r="E588" s="4">
        <f>IFERROR(__xludf.DUMMYFUNCTION("""COMPUTED_VALUE"""),80.185803)</f>
        <v>80.185803</v>
      </c>
      <c r="F588" s="4">
        <f>IFERROR(__xludf.DUMMYFUNCTION("""COMPUTED_VALUE"""),5339.0)</f>
        <v>5339</v>
      </c>
      <c r="G588" s="4">
        <f>IFERROR(__xludf.DUMMYFUNCTION("""COMPUTED_VALUE"""),4.0)</f>
        <v>4</v>
      </c>
      <c r="H588" s="4"/>
      <c r="I588" s="4"/>
    </row>
    <row r="589">
      <c r="A589" s="4" t="str">
        <f>IFERROR(__xludf.DUMMYFUNCTION("""COMPUTED_VALUE"""),"cas_hmw")</f>
        <v>cas_hmw</v>
      </c>
      <c r="B589" s="5">
        <f>IFERROR(__xludf.DUMMYFUNCTION("""COMPUTED_VALUE"""),44728.0)</f>
        <v>44728</v>
      </c>
      <c r="C589" s="6">
        <f>IFERROR(__xludf.DUMMYFUNCTION("""COMPUTED_VALUE"""),0.33224537036949187)</f>
        <v>0.3322453704</v>
      </c>
      <c r="D589" s="4">
        <f>IFERROR(__xludf.DUMMYFUNCTION("""COMPUTED_VALUE"""),12.972009)</f>
        <v>12.972009</v>
      </c>
      <c r="E589" s="4">
        <f>IFERROR(__xludf.DUMMYFUNCTION("""COMPUTED_VALUE"""),80.151514)</f>
        <v>80.151514</v>
      </c>
      <c r="F589" s="4">
        <f>IFERROR(__xludf.DUMMYFUNCTION("""COMPUTED_VALUE"""),5339.0)</f>
        <v>5339</v>
      </c>
      <c r="G589" s="4">
        <f>IFERROR(__xludf.DUMMYFUNCTION("""COMPUTED_VALUE"""),14.0)</f>
        <v>14</v>
      </c>
      <c r="H589" s="4"/>
      <c r="I589" s="4"/>
    </row>
    <row r="590">
      <c r="A590" s="4" t="str">
        <f>IFERROR(__xludf.DUMMYFUNCTION("""COMPUTED_VALUE"""),"cas_hmw")</f>
        <v>cas_hmw</v>
      </c>
      <c r="B590" s="5">
        <f>IFERROR(__xludf.DUMMYFUNCTION("""COMPUTED_VALUE"""),44728.0)</f>
        <v>44728</v>
      </c>
      <c r="C590" s="6">
        <f>IFERROR(__xludf.DUMMYFUNCTION("""COMPUTED_VALUE"""),0.3365277777775191)</f>
        <v>0.3365277778</v>
      </c>
      <c r="D590" s="4">
        <f>IFERROR(__xludf.DUMMYFUNCTION("""COMPUTED_VALUE"""),12.951175)</f>
        <v>12.951175</v>
      </c>
      <c r="E590" s="4">
        <f>IFERROR(__xludf.DUMMYFUNCTION("""COMPUTED_VALUE"""),80.140103)</f>
        <v>80.140103</v>
      </c>
      <c r="F590" s="4">
        <f>IFERROR(__xludf.DUMMYFUNCTION("""COMPUTED_VALUE"""),5339.0)</f>
        <v>5339</v>
      </c>
      <c r="G590" s="4">
        <f>IFERROR(__xludf.DUMMYFUNCTION("""COMPUTED_VALUE"""),20.0)</f>
        <v>20</v>
      </c>
      <c r="H590" s="4"/>
      <c r="I590" s="4"/>
    </row>
    <row r="591">
      <c r="A591" s="4" t="str">
        <f>IFERROR(__xludf.DUMMYFUNCTION("""COMPUTED_VALUE"""),"cas_hmw")</f>
        <v>cas_hmw</v>
      </c>
      <c r="B591" s="5">
        <f>IFERROR(__xludf.DUMMYFUNCTION("""COMPUTED_VALUE"""),44728.0)</f>
        <v>44728</v>
      </c>
      <c r="C591" s="6">
        <f>IFERROR(__xludf.DUMMYFUNCTION("""COMPUTED_VALUE"""),0.33653935185066075)</f>
        <v>0.3365393519</v>
      </c>
      <c r="D591" s="4">
        <f>IFERROR(__xludf.DUMMYFUNCTION("""COMPUTED_VALUE"""),12.951175)</f>
        <v>12.951175</v>
      </c>
      <c r="E591" s="4">
        <f>IFERROR(__xludf.DUMMYFUNCTION("""COMPUTED_VALUE"""),80.140103)</f>
        <v>80.140103</v>
      </c>
      <c r="F591" s="4">
        <f>IFERROR(__xludf.DUMMYFUNCTION("""COMPUTED_VALUE"""),5339.0)</f>
        <v>5339</v>
      </c>
      <c r="G591" s="4">
        <f>IFERROR(__xludf.DUMMYFUNCTION("""COMPUTED_VALUE"""),20.0)</f>
        <v>20</v>
      </c>
      <c r="H591" s="4"/>
      <c r="I591" s="4"/>
    </row>
    <row r="592">
      <c r="A592" s="4" t="str">
        <f>IFERROR(__xludf.DUMMYFUNCTION("""COMPUTED_VALUE"""),"cas_hmw")</f>
        <v>cas_hmw</v>
      </c>
      <c r="B592" s="5">
        <f>IFERROR(__xludf.DUMMYFUNCTION("""COMPUTED_VALUE"""),44728.0)</f>
        <v>44728</v>
      </c>
      <c r="C592" s="6">
        <f>IFERROR(__xludf.DUMMYFUNCTION("""COMPUTED_VALUE"""),0.3480092592581059)</f>
        <v>0.3480092593</v>
      </c>
      <c r="D592" s="4">
        <f>IFERROR(__xludf.DUMMYFUNCTION("""COMPUTED_VALUE"""),12.917117)</f>
        <v>12.917117</v>
      </c>
      <c r="E592" s="4">
        <f>IFERROR(__xludf.DUMMYFUNCTION("""COMPUTED_VALUE"""),80.107387)</f>
        <v>80.107387</v>
      </c>
      <c r="F592" s="4">
        <f>IFERROR(__xludf.DUMMYFUNCTION("""COMPUTED_VALUE"""),805.0)</f>
        <v>805</v>
      </c>
      <c r="G592" s="4">
        <f>IFERROR(__xludf.DUMMYFUNCTION("""COMPUTED_VALUE"""),0.0)</f>
        <v>0</v>
      </c>
      <c r="H592" s="4"/>
      <c r="I592" s="4"/>
    </row>
    <row r="593">
      <c r="A593" s="4" t="str">
        <f>IFERROR(__xludf.DUMMYFUNCTION("""COMPUTED_VALUE"""),"cas_hmw")</f>
        <v>cas_hmw</v>
      </c>
      <c r="B593" s="5">
        <f>IFERROR(__xludf.DUMMYFUNCTION("""COMPUTED_VALUE"""),44728.0)</f>
        <v>44728</v>
      </c>
      <c r="C593" s="6">
        <f>IFERROR(__xludf.DUMMYFUNCTION("""COMPUTED_VALUE"""),0.34802083333488554)</f>
        <v>0.3480208333</v>
      </c>
      <c r="D593" s="4">
        <f>IFERROR(__xludf.DUMMYFUNCTION("""COMPUTED_VALUE"""),12.917117)</f>
        <v>12.917117</v>
      </c>
      <c r="E593" s="4">
        <f>IFERROR(__xludf.DUMMYFUNCTION("""COMPUTED_VALUE"""),80.107387)</f>
        <v>80.107387</v>
      </c>
      <c r="F593" s="4">
        <f>IFERROR(__xludf.DUMMYFUNCTION("""COMPUTED_VALUE"""),805.0)</f>
        <v>805</v>
      </c>
      <c r="G593" s="4">
        <f>IFERROR(__xludf.DUMMYFUNCTION("""COMPUTED_VALUE"""),0.0)</f>
        <v>0</v>
      </c>
      <c r="H593" s="4"/>
      <c r="I593" s="4"/>
    </row>
    <row r="594">
      <c r="A594" s="4" t="str">
        <f>IFERROR(__xludf.DUMMYFUNCTION("""COMPUTED_VALUE"""),"cas_hmw")</f>
        <v>cas_hmw</v>
      </c>
      <c r="B594" s="5">
        <f>IFERROR(__xludf.DUMMYFUNCTION("""COMPUTED_VALUE"""),44728.0)</f>
        <v>44728</v>
      </c>
      <c r="C594" s="6">
        <f>IFERROR(__xludf.DUMMYFUNCTION("""COMPUTED_VALUE"""),0.6420717592591245)</f>
        <v>0.6420717593</v>
      </c>
      <c r="D594" s="4">
        <f>IFERROR(__xludf.DUMMYFUNCTION("""COMPUTED_VALUE"""),12.869901)</f>
        <v>12.869901</v>
      </c>
      <c r="E594" s="4">
        <f>IFERROR(__xludf.DUMMYFUNCTION("""COMPUTED_VALUE"""),80.108554)</f>
        <v>80.108554</v>
      </c>
      <c r="F594" s="4">
        <f>IFERROR(__xludf.DUMMYFUNCTION("""COMPUTED_VALUE"""),805.0)</f>
        <v>805</v>
      </c>
      <c r="G594" s="4">
        <f>IFERROR(__xludf.DUMMYFUNCTION("""COMPUTED_VALUE"""),6.0)</f>
        <v>6</v>
      </c>
      <c r="H594" s="4"/>
      <c r="I594" s="4"/>
    </row>
    <row r="595">
      <c r="A595" s="4" t="str">
        <f>IFERROR(__xludf.DUMMYFUNCTION("""COMPUTED_VALUE"""),"cas_hmw")</f>
        <v>cas_hmw</v>
      </c>
      <c r="B595" s="5">
        <f>IFERROR(__xludf.DUMMYFUNCTION("""COMPUTED_VALUE"""),44728.0)</f>
        <v>44728</v>
      </c>
      <c r="C595" s="6">
        <f>IFERROR(__xludf.DUMMYFUNCTION("""COMPUTED_VALUE"""),0.6420717592591245)</f>
        <v>0.6420717593</v>
      </c>
      <c r="D595" s="4">
        <f>IFERROR(__xludf.DUMMYFUNCTION("""COMPUTED_VALUE"""),12.869901)</f>
        <v>12.869901</v>
      </c>
      <c r="E595" s="4">
        <f>IFERROR(__xludf.DUMMYFUNCTION("""COMPUTED_VALUE"""),80.108554)</f>
        <v>80.108554</v>
      </c>
      <c r="F595" s="4">
        <f>IFERROR(__xludf.DUMMYFUNCTION("""COMPUTED_VALUE"""),805.0)</f>
        <v>805</v>
      </c>
      <c r="G595" s="4">
        <f>IFERROR(__xludf.DUMMYFUNCTION("""COMPUTED_VALUE"""),6.0)</f>
        <v>6</v>
      </c>
      <c r="H595" s="4"/>
      <c r="I595" s="4"/>
    </row>
    <row r="596">
      <c r="A596" s="4" t="str">
        <f>IFERROR(__xludf.DUMMYFUNCTION("""COMPUTED_VALUE"""),"cas_hmw")</f>
        <v>cas_hmw</v>
      </c>
      <c r="B596" s="5">
        <f>IFERROR(__xludf.DUMMYFUNCTION("""COMPUTED_VALUE"""),44728.0)</f>
        <v>44728</v>
      </c>
      <c r="C596" s="6">
        <f>IFERROR(__xludf.DUMMYFUNCTION("""COMPUTED_VALUE"""),0.6999305555546016)</f>
        <v>0.6999305556</v>
      </c>
      <c r="D596" s="4">
        <f>IFERROR(__xludf.DUMMYFUNCTION("""COMPUTED_VALUE"""),12.93572)</f>
        <v>12.93572</v>
      </c>
      <c r="E596" s="4">
        <f>IFERROR(__xludf.DUMMYFUNCTION("""COMPUTED_VALUE"""),80.126531)</f>
        <v>80.126531</v>
      </c>
      <c r="F596" s="4">
        <f>IFERROR(__xludf.DUMMYFUNCTION("""COMPUTED_VALUE"""),805.0)</f>
        <v>805</v>
      </c>
      <c r="G596" s="4">
        <f>IFERROR(__xludf.DUMMYFUNCTION("""COMPUTED_VALUE"""),14.0)</f>
        <v>14</v>
      </c>
      <c r="H596" s="4"/>
      <c r="I596" s="4"/>
    </row>
    <row r="597">
      <c r="A597" s="4" t="str">
        <f>IFERROR(__xludf.DUMMYFUNCTION("""COMPUTED_VALUE"""),"cas_hmw")</f>
        <v>cas_hmw</v>
      </c>
      <c r="B597" s="5">
        <f>IFERROR(__xludf.DUMMYFUNCTION("""COMPUTED_VALUE"""),44728.0)</f>
        <v>44728</v>
      </c>
      <c r="C597" s="6">
        <f>IFERROR(__xludf.DUMMYFUNCTION("""COMPUTED_VALUE"""),0.6999768518508063)</f>
        <v>0.6999768519</v>
      </c>
      <c r="D597" s="4">
        <f>IFERROR(__xludf.DUMMYFUNCTION("""COMPUTED_VALUE"""),12.93572)</f>
        <v>12.93572</v>
      </c>
      <c r="E597" s="4">
        <f>IFERROR(__xludf.DUMMYFUNCTION("""COMPUTED_VALUE"""),80.126531)</f>
        <v>80.126531</v>
      </c>
      <c r="F597" s="4">
        <f>IFERROR(__xludf.DUMMYFUNCTION("""COMPUTED_VALUE"""),805.0)</f>
        <v>805</v>
      </c>
      <c r="G597" s="4">
        <f>IFERROR(__xludf.DUMMYFUNCTION("""COMPUTED_VALUE"""),14.0)</f>
        <v>14</v>
      </c>
      <c r="H597" s="4"/>
      <c r="I597" s="4"/>
    </row>
    <row r="598">
      <c r="A598" s="4" t="str">
        <f>IFERROR(__xludf.DUMMYFUNCTION("""COMPUTED_VALUE"""),"cas_hmw")</f>
        <v>cas_hmw</v>
      </c>
      <c r="B598" s="5">
        <f>IFERROR(__xludf.DUMMYFUNCTION("""COMPUTED_VALUE"""),44728.0)</f>
        <v>44728</v>
      </c>
      <c r="C598" s="6">
        <f>IFERROR(__xludf.DUMMYFUNCTION("""COMPUTED_VALUE"""),0.6999768518508063)</f>
        <v>0.6999768519</v>
      </c>
      <c r="D598" s="4">
        <f>IFERROR(__xludf.DUMMYFUNCTION("""COMPUTED_VALUE"""),12.93572)</f>
        <v>12.93572</v>
      </c>
      <c r="E598" s="4">
        <f>IFERROR(__xludf.DUMMYFUNCTION("""COMPUTED_VALUE"""),80.126531)</f>
        <v>80.126531</v>
      </c>
      <c r="F598" s="4">
        <f>IFERROR(__xludf.DUMMYFUNCTION("""COMPUTED_VALUE"""),805.0)</f>
        <v>805</v>
      </c>
      <c r="G598" s="4">
        <f>IFERROR(__xludf.DUMMYFUNCTION("""COMPUTED_VALUE"""),14.0)</f>
        <v>14</v>
      </c>
      <c r="H598" s="4"/>
      <c r="I598" s="4"/>
    </row>
    <row r="599">
      <c r="A599" s="4" t="str">
        <f>IFERROR(__xludf.DUMMYFUNCTION("""COMPUTED_VALUE"""),"cas_hmw")</f>
        <v>cas_hmw</v>
      </c>
      <c r="B599" s="5">
        <f>IFERROR(__xludf.DUMMYFUNCTION("""COMPUTED_VALUE"""),44728.0)</f>
        <v>44728</v>
      </c>
      <c r="C599" s="6">
        <f>IFERROR(__xludf.DUMMYFUNCTION("""COMPUTED_VALUE"""),0.7019675925912452)</f>
        <v>0.7019675926</v>
      </c>
      <c r="D599" s="4">
        <f>IFERROR(__xludf.DUMMYFUNCTION("""COMPUTED_VALUE"""),12.95015)</f>
        <v>12.95015</v>
      </c>
      <c r="E599" s="4">
        <f>IFERROR(__xludf.DUMMYFUNCTION("""COMPUTED_VALUE"""),80.139182)</f>
        <v>80.139182</v>
      </c>
      <c r="F599" s="4">
        <f>IFERROR(__xludf.DUMMYFUNCTION("""COMPUTED_VALUE"""),5339.0)</f>
        <v>5339</v>
      </c>
      <c r="G599" s="4">
        <f>IFERROR(__xludf.DUMMYFUNCTION("""COMPUTED_VALUE"""),17.0)</f>
        <v>17</v>
      </c>
      <c r="H599" s="4"/>
      <c r="I599" s="4"/>
    </row>
    <row r="600">
      <c r="A600" s="4" t="str">
        <f>IFERROR(__xludf.DUMMYFUNCTION("""COMPUTED_VALUE"""),"cas_hmw")</f>
        <v>cas_hmw</v>
      </c>
      <c r="B600" s="5">
        <f>IFERROR(__xludf.DUMMYFUNCTION("""COMPUTED_VALUE"""),44728.0)</f>
        <v>44728</v>
      </c>
      <c r="C600" s="6">
        <f>IFERROR(__xludf.DUMMYFUNCTION("""COMPUTED_VALUE"""),0.7033217592579604)</f>
        <v>0.7033217593</v>
      </c>
      <c r="D600" s="4">
        <f>IFERROR(__xludf.DUMMYFUNCTION("""COMPUTED_VALUE"""),12.955946)</f>
        <v>12.955946</v>
      </c>
      <c r="E600" s="4">
        <f>IFERROR(__xludf.DUMMYFUNCTION("""COMPUTED_VALUE"""),80.142952)</f>
        <v>80.142952</v>
      </c>
      <c r="F600" s="4">
        <f>IFERROR(__xludf.DUMMYFUNCTION("""COMPUTED_VALUE"""),805.0)</f>
        <v>805</v>
      </c>
      <c r="G600" s="4">
        <f>IFERROR(__xludf.DUMMYFUNCTION("""COMPUTED_VALUE"""),0.0)</f>
        <v>0</v>
      </c>
      <c r="H600" s="4"/>
      <c r="I600" s="4"/>
    </row>
    <row r="601">
      <c r="A601" s="4" t="str">
        <f>IFERROR(__xludf.DUMMYFUNCTION("""COMPUTED_VALUE"""),"cas_hmw")</f>
        <v>cas_hmw</v>
      </c>
      <c r="B601" s="5">
        <f>IFERROR(__xludf.DUMMYFUNCTION("""COMPUTED_VALUE"""),44728.0)</f>
        <v>44728</v>
      </c>
      <c r="C601" s="6">
        <f>IFERROR(__xludf.DUMMYFUNCTION("""COMPUTED_VALUE"""),0.7033449074078817)</f>
        <v>0.7033449074</v>
      </c>
      <c r="D601" s="4">
        <f>IFERROR(__xludf.DUMMYFUNCTION("""COMPUTED_VALUE"""),12.955946)</f>
        <v>12.955946</v>
      </c>
      <c r="E601" s="4">
        <f>IFERROR(__xludf.DUMMYFUNCTION("""COMPUTED_VALUE"""),80.142952)</f>
        <v>80.142952</v>
      </c>
      <c r="F601" s="4">
        <f>IFERROR(__xludf.DUMMYFUNCTION("""COMPUTED_VALUE"""),805.0)</f>
        <v>805</v>
      </c>
      <c r="G601" s="4">
        <f>IFERROR(__xludf.DUMMYFUNCTION("""COMPUTED_VALUE"""),0.0)</f>
        <v>0</v>
      </c>
      <c r="H601" s="4"/>
      <c r="I601" s="4"/>
    </row>
    <row r="602">
      <c r="A602" s="4" t="str">
        <f>IFERROR(__xludf.DUMMYFUNCTION("""COMPUTED_VALUE"""),"cas_hmw")</f>
        <v>cas_hmw</v>
      </c>
      <c r="B602" s="5">
        <f>IFERROR(__xludf.DUMMYFUNCTION("""COMPUTED_VALUE"""),44728.0)</f>
        <v>44728</v>
      </c>
      <c r="C602" s="6">
        <f>IFERROR(__xludf.DUMMYFUNCTION("""COMPUTED_VALUE"""),0.7033449074078817)</f>
        <v>0.7033449074</v>
      </c>
      <c r="D602" s="4">
        <f>IFERROR(__xludf.DUMMYFUNCTION("""COMPUTED_VALUE"""),12.955946)</f>
        <v>12.955946</v>
      </c>
      <c r="E602" s="4">
        <f>IFERROR(__xludf.DUMMYFUNCTION("""COMPUTED_VALUE"""),80.142952)</f>
        <v>80.142952</v>
      </c>
      <c r="F602" s="4">
        <f>IFERROR(__xludf.DUMMYFUNCTION("""COMPUTED_VALUE"""),805.0)</f>
        <v>805</v>
      </c>
      <c r="G602" s="4">
        <f>IFERROR(__xludf.DUMMYFUNCTION("""COMPUTED_VALUE"""),0.0)</f>
        <v>0</v>
      </c>
      <c r="H602" s="4"/>
      <c r="I602" s="4"/>
    </row>
    <row r="603">
      <c r="A603" s="4" t="str">
        <f>IFERROR(__xludf.DUMMYFUNCTION("""COMPUTED_VALUE"""),"cas_hmw")</f>
        <v>cas_hmw</v>
      </c>
      <c r="B603" s="5">
        <f>IFERROR(__xludf.DUMMYFUNCTION("""COMPUTED_VALUE"""),44728.0)</f>
        <v>44728</v>
      </c>
      <c r="C603" s="6">
        <f>IFERROR(__xludf.DUMMYFUNCTION("""COMPUTED_VALUE"""),0.7114236111119681)</f>
        <v>0.7114236111</v>
      </c>
      <c r="D603" s="4">
        <f>IFERROR(__xludf.DUMMYFUNCTION("""COMPUTED_VALUE"""),12.993791)</f>
        <v>12.993791</v>
      </c>
      <c r="E603" s="4">
        <f>IFERROR(__xludf.DUMMYFUNCTION("""COMPUTED_VALUE"""),80.184966)</f>
        <v>80.184966</v>
      </c>
      <c r="F603" s="4">
        <f>IFERROR(__xludf.DUMMYFUNCTION("""COMPUTED_VALUE"""),805.0)</f>
        <v>805</v>
      </c>
      <c r="G603" s="4">
        <f>IFERROR(__xludf.DUMMYFUNCTION("""COMPUTED_VALUE"""),18.0)</f>
        <v>18</v>
      </c>
      <c r="H603" s="4"/>
      <c r="I603" s="4"/>
    </row>
    <row r="604">
      <c r="A604" s="4" t="str">
        <f>IFERROR(__xludf.DUMMYFUNCTION("""COMPUTED_VALUE"""),"cas_hmw")</f>
        <v>cas_hmw</v>
      </c>
      <c r="B604" s="5">
        <f>IFERROR(__xludf.DUMMYFUNCTION("""COMPUTED_VALUE"""),44728.0)</f>
        <v>44728</v>
      </c>
      <c r="C604" s="6">
        <f>IFERROR(__xludf.DUMMYFUNCTION("""COMPUTED_VALUE"""),0.7178009259259852)</f>
        <v>0.7178009259</v>
      </c>
      <c r="D604" s="4">
        <f>IFERROR(__xludf.DUMMYFUNCTION("""COMPUTED_VALUE"""),13.015462)</f>
        <v>13.015462</v>
      </c>
      <c r="E604" s="4">
        <f>IFERROR(__xludf.DUMMYFUNCTION("""COMPUTED_VALUE"""),80.225258)</f>
        <v>80.225258</v>
      </c>
      <c r="F604" s="4">
        <f>IFERROR(__xludf.DUMMYFUNCTION("""COMPUTED_VALUE"""),805.0)</f>
        <v>805</v>
      </c>
      <c r="G604" s="4">
        <f>IFERROR(__xludf.DUMMYFUNCTION("""COMPUTED_VALUE"""),14.0)</f>
        <v>14</v>
      </c>
      <c r="H604" s="4"/>
      <c r="I604" s="4"/>
    </row>
    <row r="605">
      <c r="A605" s="4" t="str">
        <f>IFERROR(__xludf.DUMMYFUNCTION("""COMPUTED_VALUE"""),"cas_hmw")</f>
        <v>cas_hmw</v>
      </c>
      <c r="B605" s="5">
        <f>IFERROR(__xludf.DUMMYFUNCTION("""COMPUTED_VALUE"""),44728.0)</f>
        <v>44728</v>
      </c>
      <c r="C605" s="6">
        <f>IFERROR(__xludf.DUMMYFUNCTION("""COMPUTED_VALUE"""),0.7178124999991269)</f>
        <v>0.7178125</v>
      </c>
      <c r="D605" s="4">
        <f>IFERROR(__xludf.DUMMYFUNCTION("""COMPUTED_VALUE"""),13.015462)</f>
        <v>13.015462</v>
      </c>
      <c r="E605" s="4">
        <f>IFERROR(__xludf.DUMMYFUNCTION("""COMPUTED_VALUE"""),80.225258)</f>
        <v>80.225258</v>
      </c>
      <c r="F605" s="4">
        <f>IFERROR(__xludf.DUMMYFUNCTION("""COMPUTED_VALUE"""),805.0)</f>
        <v>805</v>
      </c>
      <c r="G605" s="4">
        <f>IFERROR(__xludf.DUMMYFUNCTION("""COMPUTED_VALUE"""),14.0)</f>
        <v>14</v>
      </c>
      <c r="H605" s="4"/>
      <c r="I605" s="4"/>
    </row>
    <row r="606">
      <c r="A606" s="4" t="str">
        <f>IFERROR(__xludf.DUMMYFUNCTION("""COMPUTED_VALUE"""),"cas_hmw")</f>
        <v>cas_hmw</v>
      </c>
      <c r="B606" s="5">
        <f>IFERROR(__xludf.DUMMYFUNCTION("""COMPUTED_VALUE"""),44728.0)</f>
        <v>44728</v>
      </c>
      <c r="C606" s="6">
        <f>IFERROR(__xludf.DUMMYFUNCTION("""COMPUTED_VALUE"""),0.7179050925915362)</f>
        <v>0.7179050926</v>
      </c>
      <c r="D606" s="4">
        <f>IFERROR(__xludf.DUMMYFUNCTION("""COMPUTED_VALUE"""),13.01544)</f>
        <v>13.01544</v>
      </c>
      <c r="E606" s="4">
        <f>IFERROR(__xludf.DUMMYFUNCTION("""COMPUTED_VALUE"""),80.22559)</f>
        <v>80.22559</v>
      </c>
      <c r="F606" s="4">
        <f>IFERROR(__xludf.DUMMYFUNCTION("""COMPUTED_VALUE"""),805.0)</f>
        <v>805</v>
      </c>
      <c r="G606" s="4">
        <f>IFERROR(__xludf.DUMMYFUNCTION("""COMPUTED_VALUE"""),8.0)</f>
        <v>8</v>
      </c>
      <c r="H606" s="4"/>
      <c r="I606" s="4"/>
    </row>
    <row r="607">
      <c r="A607" s="4" t="str">
        <f>IFERROR(__xludf.DUMMYFUNCTION("""COMPUTED_VALUE"""),"cas_hmw")</f>
        <v>cas_hmw</v>
      </c>
      <c r="B607" s="5">
        <f>IFERROR(__xludf.DUMMYFUNCTION("""COMPUTED_VALUE"""),44728.0)</f>
        <v>44728</v>
      </c>
      <c r="C607" s="6">
        <f>IFERROR(__xludf.DUMMYFUNCTION("""COMPUTED_VALUE"""),0.7180208333338669)</f>
        <v>0.7180208333</v>
      </c>
      <c r="D607" s="4">
        <f>IFERROR(__xludf.DUMMYFUNCTION("""COMPUTED_VALUE"""),13.01544)</f>
        <v>13.01544</v>
      </c>
      <c r="E607" s="4">
        <f>IFERROR(__xludf.DUMMYFUNCTION("""COMPUTED_VALUE"""),80.22559)</f>
        <v>80.22559</v>
      </c>
      <c r="F607" s="4">
        <f>IFERROR(__xludf.DUMMYFUNCTION("""COMPUTED_VALUE"""),805.0)</f>
        <v>805</v>
      </c>
      <c r="G607" s="4">
        <f>IFERROR(__xludf.DUMMYFUNCTION("""COMPUTED_VALUE"""),8.0)</f>
        <v>8</v>
      </c>
      <c r="H607" s="4"/>
      <c r="I607" s="4"/>
    </row>
    <row r="608">
      <c r="A608" s="4" t="str">
        <f>IFERROR(__xludf.DUMMYFUNCTION("""COMPUTED_VALUE"""),"cas_hmw")</f>
        <v>cas_hmw</v>
      </c>
      <c r="B608" s="5">
        <f>IFERROR(__xludf.DUMMYFUNCTION("""COMPUTED_VALUE"""),44728.0)</f>
        <v>44728</v>
      </c>
      <c r="C608" s="6">
        <f>IFERROR(__xludf.DUMMYFUNCTION("""COMPUTED_VALUE"""),0.7195717592585424)</f>
        <v>0.7195717593</v>
      </c>
      <c r="D608" s="4">
        <f>IFERROR(__xludf.DUMMYFUNCTION("""COMPUTED_VALUE"""),13.008016)</f>
        <v>13.008016</v>
      </c>
      <c r="E608" s="4">
        <f>IFERROR(__xludf.DUMMYFUNCTION("""COMPUTED_VALUE"""),80.234356)</f>
        <v>80.234356</v>
      </c>
      <c r="F608" s="4">
        <f>IFERROR(__xludf.DUMMYFUNCTION("""COMPUTED_VALUE"""),805.0)</f>
        <v>805</v>
      </c>
      <c r="G608" s="4">
        <f>IFERROR(__xludf.DUMMYFUNCTION("""COMPUTED_VALUE"""),0.0)</f>
        <v>0</v>
      </c>
      <c r="H608" s="4"/>
      <c r="I608" s="4"/>
    </row>
    <row r="609">
      <c r="A609" s="4" t="str">
        <f>IFERROR(__xludf.DUMMYFUNCTION("""COMPUTED_VALUE"""),"cas_hmw")</f>
        <v>cas_hmw</v>
      </c>
      <c r="B609" s="5">
        <f>IFERROR(__xludf.DUMMYFUNCTION("""COMPUTED_VALUE"""),44728.0)</f>
        <v>44728</v>
      </c>
      <c r="C609" s="6">
        <f>IFERROR(__xludf.DUMMYFUNCTION("""COMPUTED_VALUE"""),0.7233680555546016)</f>
        <v>0.7233680556</v>
      </c>
      <c r="D609" s="4">
        <f>IFERROR(__xludf.DUMMYFUNCTION("""COMPUTED_VALUE"""),13.006877)</f>
        <v>13.006877</v>
      </c>
      <c r="E609" s="4">
        <f>IFERROR(__xludf.DUMMYFUNCTION("""COMPUTED_VALUE"""),80.251075)</f>
        <v>80.251075</v>
      </c>
      <c r="F609" s="4">
        <f>IFERROR(__xludf.DUMMYFUNCTION("""COMPUTED_VALUE"""),805.0)</f>
        <v>805</v>
      </c>
      <c r="G609" s="4">
        <f>IFERROR(__xludf.DUMMYFUNCTION("""COMPUTED_VALUE"""),13.0)</f>
        <v>13</v>
      </c>
      <c r="H609" s="4"/>
      <c r="I609" s="4"/>
    </row>
    <row r="610">
      <c r="A610" s="4" t="str">
        <f>IFERROR(__xludf.DUMMYFUNCTION("""COMPUTED_VALUE"""),"cas_hmw")</f>
        <v>cas_hmw</v>
      </c>
      <c r="B610" s="5">
        <f>IFERROR(__xludf.DUMMYFUNCTION("""COMPUTED_VALUE"""),44728.0)</f>
        <v>44728</v>
      </c>
      <c r="C610" s="6">
        <f>IFERROR(__xludf.DUMMYFUNCTION("""COMPUTED_VALUE"""),0.7235532407394203)</f>
        <v>0.7235532407</v>
      </c>
      <c r="D610" s="4">
        <f>IFERROR(__xludf.DUMMYFUNCTION("""COMPUTED_VALUE"""),13.006762)</f>
        <v>13.006762</v>
      </c>
      <c r="E610" s="4">
        <f>IFERROR(__xludf.DUMMYFUNCTION("""COMPUTED_VALUE"""),80.251736)</f>
        <v>80.251736</v>
      </c>
      <c r="F610" s="4">
        <f>IFERROR(__xludf.DUMMYFUNCTION("""COMPUTED_VALUE"""),805.0)</f>
        <v>805</v>
      </c>
      <c r="G610" s="4">
        <f>IFERROR(__xludf.DUMMYFUNCTION("""COMPUTED_VALUE"""),16.0)</f>
        <v>16</v>
      </c>
      <c r="H610" s="4"/>
      <c r="I610" s="4"/>
    </row>
    <row r="611">
      <c r="A611" s="4" t="str">
        <f>IFERROR(__xludf.DUMMYFUNCTION("""COMPUTED_VALUE"""),"cas_hmw")</f>
        <v>cas_hmw</v>
      </c>
      <c r="B611" s="5">
        <f>IFERROR(__xludf.DUMMYFUNCTION("""COMPUTED_VALUE"""),44728.0)</f>
        <v>44728</v>
      </c>
      <c r="C611" s="6">
        <f>IFERROR(__xludf.DUMMYFUNCTION("""COMPUTED_VALUE"""),0.7240393518513883)</f>
        <v>0.7240393519</v>
      </c>
      <c r="D611" s="4">
        <f>IFERROR(__xludf.DUMMYFUNCTION("""COMPUTED_VALUE"""),13.035215)</f>
        <v>13.035215</v>
      </c>
      <c r="E611" s="4">
        <f>IFERROR(__xludf.DUMMYFUNCTION("""COMPUTED_VALUE"""),80.245939)</f>
        <v>80.245939</v>
      </c>
      <c r="F611" s="4">
        <f>IFERROR(__xludf.DUMMYFUNCTION("""COMPUTED_VALUE"""),5339.0)</f>
        <v>5339</v>
      </c>
      <c r="G611" s="4">
        <f>IFERROR(__xludf.DUMMYFUNCTION("""COMPUTED_VALUE"""),10.0)</f>
        <v>10</v>
      </c>
      <c r="H611" s="4"/>
      <c r="I611" s="4"/>
    </row>
    <row r="612">
      <c r="A612" s="4" t="str">
        <f>IFERROR(__xludf.DUMMYFUNCTION("""COMPUTED_VALUE"""),"cas_hmw")</f>
        <v>cas_hmw</v>
      </c>
      <c r="B612" s="5">
        <f>IFERROR(__xludf.DUMMYFUNCTION("""COMPUTED_VALUE"""),44728.0)</f>
        <v>44728</v>
      </c>
      <c r="C612" s="6">
        <f>IFERROR(__xludf.DUMMYFUNCTION("""COMPUTED_VALUE"""),0.7253009259256942)</f>
        <v>0.7253009259</v>
      </c>
      <c r="D612" s="4">
        <f>IFERROR(__xludf.DUMMYFUNCTION("""COMPUTED_VALUE"""),13.00756)</f>
        <v>13.00756</v>
      </c>
      <c r="E612" s="4">
        <f>IFERROR(__xludf.DUMMYFUNCTION("""COMPUTED_VALUE"""),80.258626)</f>
        <v>80.258626</v>
      </c>
      <c r="F612" s="4">
        <f>IFERROR(__xludf.DUMMYFUNCTION("""COMPUTED_VALUE"""),805.0)</f>
        <v>805</v>
      </c>
      <c r="G612" s="4">
        <f>IFERROR(__xludf.DUMMYFUNCTION("""COMPUTED_VALUE"""),10.0)</f>
        <v>10</v>
      </c>
      <c r="H612" s="4"/>
      <c r="I612" s="4"/>
    </row>
    <row r="613">
      <c r="A613" s="4" t="str">
        <f>IFERROR(__xludf.DUMMYFUNCTION("""COMPUTED_VALUE"""),"cas_hmw")</f>
        <v>cas_hmw</v>
      </c>
      <c r="B613" s="5">
        <f>IFERROR(__xludf.DUMMYFUNCTION("""COMPUTED_VALUE"""),44728.0)</f>
        <v>44728</v>
      </c>
      <c r="C613" s="6">
        <f>IFERROR(__xludf.DUMMYFUNCTION("""COMPUTED_VALUE"""),0.7253009259256942)</f>
        <v>0.7253009259</v>
      </c>
      <c r="D613" s="4">
        <f>IFERROR(__xludf.DUMMYFUNCTION("""COMPUTED_VALUE"""),13.00756)</f>
        <v>13.00756</v>
      </c>
      <c r="E613" s="4">
        <f>IFERROR(__xludf.DUMMYFUNCTION("""COMPUTED_VALUE"""),80.258626)</f>
        <v>80.258626</v>
      </c>
      <c r="F613" s="4">
        <f>IFERROR(__xludf.DUMMYFUNCTION("""COMPUTED_VALUE"""),805.0)</f>
        <v>805</v>
      </c>
      <c r="G613" s="4">
        <f>IFERROR(__xludf.DUMMYFUNCTION("""COMPUTED_VALUE"""),10.0)</f>
        <v>10</v>
      </c>
      <c r="H613" s="4"/>
      <c r="I613" s="4"/>
    </row>
    <row r="614">
      <c r="A614" s="4" t="str">
        <f>IFERROR(__xludf.DUMMYFUNCTION("""COMPUTED_VALUE"""),"cas_hmw")</f>
        <v>cas_hmw</v>
      </c>
      <c r="B614" s="5">
        <f>IFERROR(__xludf.DUMMYFUNCTION("""COMPUTED_VALUE"""),44728.0)</f>
        <v>44728</v>
      </c>
      <c r="C614" s="6">
        <f>IFERROR(__xludf.DUMMYFUNCTION("""COMPUTED_VALUE"""),0.7253240740756155)</f>
        <v>0.7253240741</v>
      </c>
      <c r="D614" s="4">
        <f>IFERROR(__xludf.DUMMYFUNCTION("""COMPUTED_VALUE"""),13.00756)</f>
        <v>13.00756</v>
      </c>
      <c r="E614" s="4">
        <f>IFERROR(__xludf.DUMMYFUNCTION("""COMPUTED_VALUE"""),80.258626)</f>
        <v>80.258626</v>
      </c>
      <c r="F614" s="4">
        <f>IFERROR(__xludf.DUMMYFUNCTION("""COMPUTED_VALUE"""),805.0)</f>
        <v>805</v>
      </c>
      <c r="G614" s="4">
        <f>IFERROR(__xludf.DUMMYFUNCTION("""COMPUTED_VALUE"""),10.0)</f>
        <v>10</v>
      </c>
      <c r="H614" s="4"/>
      <c r="I614" s="4"/>
    </row>
    <row r="615">
      <c r="A615" s="4" t="str">
        <f>IFERROR(__xludf.DUMMYFUNCTION("""COMPUTED_VALUE"""),"cas_hmw")</f>
        <v>cas_hmw</v>
      </c>
      <c r="B615" s="5">
        <f>IFERROR(__xludf.DUMMYFUNCTION("""COMPUTED_VALUE"""),44729.0)</f>
        <v>44729</v>
      </c>
      <c r="C615" s="6">
        <f>IFERROR(__xludf.DUMMYFUNCTION("""COMPUTED_VALUE"""),0.29812500000116415)</f>
        <v>0.298125</v>
      </c>
      <c r="D615" s="4">
        <f>IFERROR(__xludf.DUMMYFUNCTION("""COMPUTED_VALUE"""),13.065838)</f>
        <v>13.065838</v>
      </c>
      <c r="E615" s="4">
        <f>IFERROR(__xludf.DUMMYFUNCTION("""COMPUTED_VALUE"""),80.243493)</f>
        <v>80.243493</v>
      </c>
      <c r="F615" s="4">
        <f>IFERROR(__xludf.DUMMYFUNCTION("""COMPUTED_VALUE"""),805.0)</f>
        <v>805</v>
      </c>
      <c r="G615" s="4">
        <f>IFERROR(__xludf.DUMMYFUNCTION("""COMPUTED_VALUE"""),12.0)</f>
        <v>12</v>
      </c>
      <c r="H615" s="4"/>
      <c r="I615" s="4"/>
    </row>
    <row r="616">
      <c r="A616" s="4" t="str">
        <f>IFERROR(__xludf.DUMMYFUNCTION("""COMPUTED_VALUE"""),"cas_hmw")</f>
        <v>cas_hmw</v>
      </c>
      <c r="B616" s="5">
        <f>IFERROR(__xludf.DUMMYFUNCTION("""COMPUTED_VALUE"""),44729.0)</f>
        <v>44729</v>
      </c>
      <c r="C616" s="6">
        <f>IFERROR(__xludf.DUMMYFUNCTION("""COMPUTED_VALUE"""),0.31865740740613546)</f>
        <v>0.3186574074</v>
      </c>
      <c r="D616" s="4">
        <f>IFERROR(__xludf.DUMMYFUNCTION("""COMPUTED_VALUE"""),13.020252)</f>
        <v>13.020252</v>
      </c>
      <c r="E616" s="4">
        <f>IFERROR(__xludf.DUMMYFUNCTION("""COMPUTED_VALUE"""),80.262991)</f>
        <v>80.262991</v>
      </c>
      <c r="F616" s="4">
        <f>IFERROR(__xludf.DUMMYFUNCTION("""COMPUTED_VALUE"""),805.0)</f>
        <v>805</v>
      </c>
      <c r="G616" s="4">
        <f>IFERROR(__xludf.DUMMYFUNCTION("""COMPUTED_VALUE"""),8.0)</f>
        <v>8</v>
      </c>
      <c r="H616" s="4"/>
      <c r="I616" s="4"/>
    </row>
    <row r="617">
      <c r="A617" s="4" t="str">
        <f>IFERROR(__xludf.DUMMYFUNCTION("""COMPUTED_VALUE"""),"cas_hmw")</f>
        <v>cas_hmw</v>
      </c>
      <c r="B617" s="5">
        <f>IFERROR(__xludf.DUMMYFUNCTION("""COMPUTED_VALUE"""),44729.0)</f>
        <v>44729</v>
      </c>
      <c r="C617" s="6">
        <f>IFERROR(__xludf.DUMMYFUNCTION("""COMPUTED_VALUE"""),0.3186689814829151)</f>
        <v>0.3186689815</v>
      </c>
      <c r="D617" s="4">
        <f>IFERROR(__xludf.DUMMYFUNCTION("""COMPUTED_VALUE"""),13.020252)</f>
        <v>13.020252</v>
      </c>
      <c r="E617" s="4">
        <f>IFERROR(__xludf.DUMMYFUNCTION("""COMPUTED_VALUE"""),80.262991)</f>
        <v>80.262991</v>
      </c>
      <c r="F617" s="4">
        <f>IFERROR(__xludf.DUMMYFUNCTION("""COMPUTED_VALUE"""),805.0)</f>
        <v>805</v>
      </c>
      <c r="G617" s="4">
        <f>IFERROR(__xludf.DUMMYFUNCTION("""COMPUTED_VALUE"""),8.0)</f>
        <v>8</v>
      </c>
      <c r="H617" s="4"/>
      <c r="I617" s="4"/>
    </row>
    <row r="618">
      <c r="A618" s="4" t="str">
        <f>IFERROR(__xludf.DUMMYFUNCTION("""COMPUTED_VALUE"""),"cas_hmw")</f>
        <v>cas_hmw</v>
      </c>
      <c r="B618" s="5">
        <f>IFERROR(__xludf.DUMMYFUNCTION("""COMPUTED_VALUE"""),44729.0)</f>
        <v>44729</v>
      </c>
      <c r="C618" s="6">
        <f>IFERROR(__xludf.DUMMYFUNCTION("""COMPUTED_VALUE"""),0.3297569444439432)</f>
        <v>0.3297569444</v>
      </c>
      <c r="D618" s="4">
        <f>IFERROR(__xludf.DUMMYFUNCTION("""COMPUTED_VALUE"""),12.989787)</f>
        <v>12.989787</v>
      </c>
      <c r="E618" s="4">
        <f>IFERROR(__xludf.DUMMYFUNCTION("""COMPUTED_VALUE"""),80.179382)</f>
        <v>80.179382</v>
      </c>
      <c r="F618" s="4">
        <f>IFERROR(__xludf.DUMMYFUNCTION("""COMPUTED_VALUE"""),5339.0)</f>
        <v>5339</v>
      </c>
      <c r="G618" s="4">
        <f>IFERROR(__xludf.DUMMYFUNCTION("""COMPUTED_VALUE"""),0.0)</f>
        <v>0</v>
      </c>
      <c r="H618" s="4"/>
      <c r="I618" s="4"/>
    </row>
    <row r="619">
      <c r="A619" s="4" t="str">
        <f>IFERROR(__xludf.DUMMYFUNCTION("""COMPUTED_VALUE"""),"cas_hmw")</f>
        <v>cas_hmw</v>
      </c>
      <c r="B619" s="5">
        <f>IFERROR(__xludf.DUMMYFUNCTION("""COMPUTED_VALUE"""),44729.0)</f>
        <v>44729</v>
      </c>
      <c r="C619" s="6">
        <f>IFERROR(__xludf.DUMMYFUNCTION("""COMPUTED_VALUE"""),0.33428240740613546)</f>
        <v>0.3342824074</v>
      </c>
      <c r="D619" s="4">
        <f>IFERROR(__xludf.DUMMYFUNCTION("""COMPUTED_VALUE"""),12.989595)</f>
        <v>12.989595</v>
      </c>
      <c r="E619" s="4">
        <f>IFERROR(__xludf.DUMMYFUNCTION("""COMPUTED_VALUE"""),80.179196)</f>
        <v>80.179196</v>
      </c>
      <c r="F619" s="4">
        <f>IFERROR(__xludf.DUMMYFUNCTION("""COMPUTED_VALUE"""),805.0)</f>
        <v>805</v>
      </c>
      <c r="G619" s="4">
        <f>IFERROR(__xludf.DUMMYFUNCTION("""COMPUTED_VALUE"""),0.0)</f>
        <v>0</v>
      </c>
      <c r="H619" s="4"/>
      <c r="I619" s="4"/>
    </row>
    <row r="620">
      <c r="A620" s="4" t="str">
        <f>IFERROR(__xludf.DUMMYFUNCTION("""COMPUTED_VALUE"""),"cas_hmw")</f>
        <v>cas_hmw</v>
      </c>
      <c r="B620" s="5">
        <f>IFERROR(__xludf.DUMMYFUNCTION("""COMPUTED_VALUE"""),44729.0)</f>
        <v>44729</v>
      </c>
      <c r="C620" s="6">
        <f>IFERROR(__xludf.DUMMYFUNCTION("""COMPUTED_VALUE"""),0.3445833333316841)</f>
        <v>0.3445833333</v>
      </c>
      <c r="D620" s="4">
        <f>IFERROR(__xludf.DUMMYFUNCTION("""COMPUTED_VALUE"""),12.909041)</f>
        <v>12.909041</v>
      </c>
      <c r="E620" s="4">
        <f>IFERROR(__xludf.DUMMYFUNCTION("""COMPUTED_VALUE"""),80.098866)</f>
        <v>80.098866</v>
      </c>
      <c r="F620" s="4">
        <f>IFERROR(__xludf.DUMMYFUNCTION("""COMPUTED_VALUE"""),5339.0)</f>
        <v>5339</v>
      </c>
      <c r="G620" s="4">
        <f>IFERROR(__xludf.DUMMYFUNCTION("""COMPUTED_VALUE"""),19.0)</f>
        <v>19</v>
      </c>
      <c r="H620" s="4"/>
      <c r="I620" s="4"/>
    </row>
    <row r="621">
      <c r="A621" s="4" t="str">
        <f>IFERROR(__xludf.DUMMYFUNCTION("""COMPUTED_VALUE"""),"cas_hmw")</f>
        <v>cas_hmw</v>
      </c>
      <c r="B621" s="5">
        <f>IFERROR(__xludf.DUMMYFUNCTION("""COMPUTED_VALUE"""),44729.0)</f>
        <v>44729</v>
      </c>
      <c r="C621" s="6">
        <f>IFERROR(__xludf.DUMMYFUNCTION("""COMPUTED_VALUE"""),0.34459490740846377)</f>
        <v>0.3445949074</v>
      </c>
      <c r="D621" s="4">
        <f>IFERROR(__xludf.DUMMYFUNCTION("""COMPUTED_VALUE"""),12.909041)</f>
        <v>12.909041</v>
      </c>
      <c r="E621" s="4">
        <f>IFERROR(__xludf.DUMMYFUNCTION("""COMPUTED_VALUE"""),80.098866)</f>
        <v>80.098866</v>
      </c>
      <c r="F621" s="4">
        <f>IFERROR(__xludf.DUMMYFUNCTION("""COMPUTED_VALUE"""),5339.0)</f>
        <v>5339</v>
      </c>
      <c r="G621" s="4">
        <f>IFERROR(__xludf.DUMMYFUNCTION("""COMPUTED_VALUE"""),19.0)</f>
        <v>19</v>
      </c>
      <c r="H621" s="4"/>
      <c r="I621" s="4"/>
    </row>
    <row r="622">
      <c r="A622" s="4" t="str">
        <f>IFERROR(__xludf.DUMMYFUNCTION("""COMPUTED_VALUE"""),"cas_hmw")</f>
        <v>cas_hmw</v>
      </c>
      <c r="B622" s="5">
        <f>IFERROR(__xludf.DUMMYFUNCTION("""COMPUTED_VALUE"""),44729.0)</f>
        <v>44729</v>
      </c>
      <c r="C622" s="6">
        <f>IFERROR(__xludf.DUMMYFUNCTION("""COMPUTED_VALUE"""),0.3456828703710926)</f>
        <v>0.3456828704</v>
      </c>
      <c r="D622" s="4">
        <f>IFERROR(__xludf.DUMMYFUNCTION("""COMPUTED_VALUE"""),12.9052)</f>
        <v>12.9052</v>
      </c>
      <c r="E622" s="4">
        <f>IFERROR(__xludf.DUMMYFUNCTION("""COMPUTED_VALUE"""),80.095582)</f>
        <v>80.095582</v>
      </c>
      <c r="F622" s="4">
        <f>IFERROR(__xludf.DUMMYFUNCTION("""COMPUTED_VALUE"""),5339.0)</f>
        <v>5339</v>
      </c>
      <c r="G622" s="4">
        <f>IFERROR(__xludf.DUMMYFUNCTION("""COMPUTED_VALUE"""),18.0)</f>
        <v>18</v>
      </c>
      <c r="H622" s="4"/>
      <c r="I622" s="4"/>
    </row>
    <row r="623">
      <c r="A623" s="4" t="str">
        <f>IFERROR(__xludf.DUMMYFUNCTION("""COMPUTED_VALUE"""),"cas_hmw")</f>
        <v>cas_hmw</v>
      </c>
      <c r="B623" s="5">
        <f>IFERROR(__xludf.DUMMYFUNCTION("""COMPUTED_VALUE"""),44729.0)</f>
        <v>44729</v>
      </c>
      <c r="C623" s="6">
        <f>IFERROR(__xludf.DUMMYFUNCTION("""COMPUTED_VALUE"""),0.34569444444423425)</f>
        <v>0.3456944444</v>
      </c>
      <c r="D623" s="4">
        <f>IFERROR(__xludf.DUMMYFUNCTION("""COMPUTED_VALUE"""),12.9052)</f>
        <v>12.9052</v>
      </c>
      <c r="E623" s="4">
        <f>IFERROR(__xludf.DUMMYFUNCTION("""COMPUTED_VALUE"""),80.095582)</f>
        <v>80.095582</v>
      </c>
      <c r="F623" s="4">
        <f>IFERROR(__xludf.DUMMYFUNCTION("""COMPUTED_VALUE"""),5339.0)</f>
        <v>5339</v>
      </c>
      <c r="G623" s="4">
        <f>IFERROR(__xludf.DUMMYFUNCTION("""COMPUTED_VALUE"""),18.0)</f>
        <v>18</v>
      </c>
      <c r="H623" s="4"/>
      <c r="I623" s="4"/>
    </row>
    <row r="624">
      <c r="A624" s="4" t="str">
        <f>IFERROR(__xludf.DUMMYFUNCTION("""COMPUTED_VALUE"""),"cas_hmw")</f>
        <v>cas_hmw</v>
      </c>
      <c r="B624" s="5">
        <f>IFERROR(__xludf.DUMMYFUNCTION("""COMPUTED_VALUE"""),44729.0)</f>
        <v>44729</v>
      </c>
      <c r="C624" s="6">
        <f>IFERROR(__xludf.DUMMYFUNCTION("""COMPUTED_VALUE"""),0.35135416666526)</f>
        <v>0.3513541667</v>
      </c>
      <c r="D624" s="4">
        <f>IFERROR(__xludf.DUMMYFUNCTION("""COMPUTED_VALUE"""),12.902328)</f>
        <v>12.902328</v>
      </c>
      <c r="E624" s="4">
        <f>IFERROR(__xludf.DUMMYFUNCTION("""COMPUTED_VALUE"""),80.093295)</f>
        <v>80.093295</v>
      </c>
      <c r="F624" s="4">
        <f>IFERROR(__xludf.DUMMYFUNCTION("""COMPUTED_VALUE"""),805.0)</f>
        <v>805</v>
      </c>
      <c r="G624" s="4">
        <f>IFERROR(__xludf.DUMMYFUNCTION("""COMPUTED_VALUE"""),20.0)</f>
        <v>20</v>
      </c>
      <c r="H624" s="4"/>
      <c r="I624" s="4"/>
    </row>
    <row r="625">
      <c r="A625" s="4" t="str">
        <f>IFERROR(__xludf.DUMMYFUNCTION("""COMPUTED_VALUE"""),"cas_hmw")</f>
        <v>cas_hmw</v>
      </c>
      <c r="B625" s="5">
        <f>IFERROR(__xludf.DUMMYFUNCTION("""COMPUTED_VALUE"""),44729.0)</f>
        <v>44729</v>
      </c>
      <c r="C625" s="6">
        <f>IFERROR(__xludf.DUMMYFUNCTION("""COMPUTED_VALUE"""),0.7177083333335759)</f>
        <v>0.7177083333</v>
      </c>
      <c r="D625" s="4">
        <f>IFERROR(__xludf.DUMMYFUNCTION("""COMPUTED_VALUE"""),12.840857)</f>
        <v>12.840857</v>
      </c>
      <c r="E625" s="4">
        <f>IFERROR(__xludf.DUMMYFUNCTION("""COMPUTED_VALUE"""),80.056653)</f>
        <v>80.056653</v>
      </c>
      <c r="F625" s="4">
        <f>IFERROR(__xludf.DUMMYFUNCTION("""COMPUTED_VALUE"""),2846.0)</f>
        <v>2846</v>
      </c>
      <c r="G625" s="4">
        <f>IFERROR(__xludf.DUMMYFUNCTION("""COMPUTED_VALUE"""),19.0)</f>
        <v>19</v>
      </c>
      <c r="H625" s="4"/>
      <c r="I625" s="4"/>
    </row>
    <row r="626">
      <c r="A626" s="4" t="str">
        <f>IFERROR(__xludf.DUMMYFUNCTION("""COMPUTED_VALUE"""),"cas_hmw")</f>
        <v>cas_hmw</v>
      </c>
      <c r="B626" s="5">
        <f>IFERROR(__xludf.DUMMYFUNCTION("""COMPUTED_VALUE"""),44729.0)</f>
        <v>44729</v>
      </c>
      <c r="C626" s="6">
        <f>IFERROR(__xludf.DUMMYFUNCTION("""COMPUTED_VALUE"""),0.7192939814813144)</f>
        <v>0.7192939815</v>
      </c>
      <c r="D626" s="4">
        <f>IFERROR(__xludf.DUMMYFUNCTION("""COMPUTED_VALUE"""),12.92656)</f>
        <v>12.92656</v>
      </c>
      <c r="E626" s="4">
        <f>IFERROR(__xludf.DUMMYFUNCTION("""COMPUTED_VALUE"""),80.117656)</f>
        <v>80.117656</v>
      </c>
      <c r="F626" s="4">
        <f>IFERROR(__xludf.DUMMYFUNCTION("""COMPUTED_VALUE"""),805.0)</f>
        <v>805</v>
      </c>
      <c r="G626" s="4">
        <f>IFERROR(__xludf.DUMMYFUNCTION("""COMPUTED_VALUE"""),19.0)</f>
        <v>19</v>
      </c>
      <c r="H626" s="4"/>
      <c r="I626" s="4"/>
    </row>
    <row r="627">
      <c r="A627" s="4" t="str">
        <f>IFERROR(__xludf.DUMMYFUNCTION("""COMPUTED_VALUE"""),"cas_hmw")</f>
        <v>cas_hmw</v>
      </c>
      <c r="B627" s="5">
        <f>IFERROR(__xludf.DUMMYFUNCTION("""COMPUTED_VALUE"""),44729.0)</f>
        <v>44729</v>
      </c>
      <c r="C627" s="6">
        <f>IFERROR(__xludf.DUMMYFUNCTION("""COMPUTED_VALUE"""),0.7200694444436522)</f>
        <v>0.7200694444</v>
      </c>
      <c r="D627" s="4">
        <f>IFERROR(__xludf.DUMMYFUNCTION("""COMPUTED_VALUE"""),12.929319)</f>
        <v>12.929319</v>
      </c>
      <c r="E627" s="4">
        <f>IFERROR(__xludf.DUMMYFUNCTION("""COMPUTED_VALUE"""),80.120411)</f>
        <v>80.120411</v>
      </c>
      <c r="F627" s="4">
        <f>IFERROR(__xludf.DUMMYFUNCTION("""COMPUTED_VALUE"""),805.0)</f>
        <v>805</v>
      </c>
      <c r="G627" s="4">
        <f>IFERROR(__xludf.DUMMYFUNCTION("""COMPUTED_VALUE"""),0.0)</f>
        <v>0</v>
      </c>
      <c r="H627" s="4"/>
      <c r="I627" s="4"/>
    </row>
    <row r="628">
      <c r="A628" s="4" t="str">
        <f>IFERROR(__xludf.DUMMYFUNCTION("""COMPUTED_VALUE"""),"cas_hmw")</f>
        <v>cas_hmw</v>
      </c>
      <c r="B628" s="5">
        <f>IFERROR(__xludf.DUMMYFUNCTION("""COMPUTED_VALUE"""),44729.0)</f>
        <v>44729</v>
      </c>
      <c r="C628" s="6">
        <f>IFERROR(__xludf.DUMMYFUNCTION("""COMPUTED_VALUE"""),0.7200694444436522)</f>
        <v>0.7200694444</v>
      </c>
      <c r="D628" s="4">
        <f>IFERROR(__xludf.DUMMYFUNCTION("""COMPUTED_VALUE"""),12.929319)</f>
        <v>12.929319</v>
      </c>
      <c r="E628" s="4">
        <f>IFERROR(__xludf.DUMMYFUNCTION("""COMPUTED_VALUE"""),80.120411)</f>
        <v>80.120411</v>
      </c>
      <c r="F628" s="4">
        <f>IFERROR(__xludf.DUMMYFUNCTION("""COMPUTED_VALUE"""),805.0)</f>
        <v>805</v>
      </c>
      <c r="G628" s="4">
        <f>IFERROR(__xludf.DUMMYFUNCTION("""COMPUTED_VALUE"""),0.0)</f>
        <v>0</v>
      </c>
      <c r="H628" s="4"/>
      <c r="I628" s="4"/>
    </row>
    <row r="629">
      <c r="A629" s="4" t="str">
        <f>IFERROR(__xludf.DUMMYFUNCTION("""COMPUTED_VALUE"""),"cas_hmw")</f>
        <v>cas_hmw</v>
      </c>
      <c r="B629" s="5">
        <f>IFERROR(__xludf.DUMMYFUNCTION("""COMPUTED_VALUE"""),44729.0)</f>
        <v>44729</v>
      </c>
      <c r="C629" s="6">
        <f>IFERROR(__xludf.DUMMYFUNCTION("""COMPUTED_VALUE"""),0.7201041666667152)</f>
        <v>0.7201041667</v>
      </c>
      <c r="D629" s="4">
        <f>IFERROR(__xludf.DUMMYFUNCTION("""COMPUTED_VALUE"""),12.929319)</f>
        <v>12.929319</v>
      </c>
      <c r="E629" s="4">
        <f>IFERROR(__xludf.DUMMYFUNCTION("""COMPUTED_VALUE"""),80.120411)</f>
        <v>80.120411</v>
      </c>
      <c r="F629" s="4">
        <f>IFERROR(__xludf.DUMMYFUNCTION("""COMPUTED_VALUE"""),805.0)</f>
        <v>805</v>
      </c>
      <c r="G629" s="4">
        <f>IFERROR(__xludf.DUMMYFUNCTION("""COMPUTED_VALUE"""),0.0)</f>
        <v>0</v>
      </c>
      <c r="H629" s="4"/>
      <c r="I629" s="4"/>
    </row>
    <row r="630">
      <c r="A630" s="4" t="str">
        <f>IFERROR(__xludf.DUMMYFUNCTION("""COMPUTED_VALUE"""),"cas_hmw")</f>
        <v>cas_hmw</v>
      </c>
      <c r="B630" s="5">
        <f>IFERROR(__xludf.DUMMYFUNCTION("""COMPUTED_VALUE"""),44729.0)</f>
        <v>44729</v>
      </c>
      <c r="C630" s="6">
        <f>IFERROR(__xludf.DUMMYFUNCTION("""COMPUTED_VALUE"""),0.721678240741312)</f>
        <v>0.7216782407</v>
      </c>
      <c r="D630" s="4">
        <f>IFERROR(__xludf.DUMMYFUNCTION("""COMPUTED_VALUE"""),12.935825)</f>
        <v>12.935825</v>
      </c>
      <c r="E630" s="4">
        <f>IFERROR(__xludf.DUMMYFUNCTION("""COMPUTED_VALUE"""),80.126719)</f>
        <v>80.126719</v>
      </c>
      <c r="F630" s="4">
        <f>IFERROR(__xludf.DUMMYFUNCTION("""COMPUTED_VALUE"""),805.0)</f>
        <v>805</v>
      </c>
      <c r="G630" s="4">
        <f>IFERROR(__xludf.DUMMYFUNCTION("""COMPUTED_VALUE"""),0.0)</f>
        <v>0</v>
      </c>
      <c r="H630" s="4"/>
      <c r="I630" s="4"/>
    </row>
    <row r="631">
      <c r="A631" s="4" t="str">
        <f>IFERROR(__xludf.DUMMYFUNCTION("""COMPUTED_VALUE"""),"cas_hmw")</f>
        <v>cas_hmw</v>
      </c>
      <c r="B631" s="5">
        <f>IFERROR(__xludf.DUMMYFUNCTION("""COMPUTED_VALUE"""),44729.0)</f>
        <v>44729</v>
      </c>
      <c r="C631" s="6">
        <f>IFERROR(__xludf.DUMMYFUNCTION("""COMPUTED_VALUE"""),0.7239699074089003)</f>
        <v>0.7239699074</v>
      </c>
      <c r="D631" s="4">
        <f>IFERROR(__xludf.DUMMYFUNCTION("""COMPUTED_VALUE"""),12.950237)</f>
        <v>12.950237</v>
      </c>
      <c r="E631" s="4">
        <f>IFERROR(__xludf.DUMMYFUNCTION("""COMPUTED_VALUE"""),80.139282)</f>
        <v>80.139282</v>
      </c>
      <c r="F631" s="4">
        <f>IFERROR(__xludf.DUMMYFUNCTION("""COMPUTED_VALUE"""),805.0)</f>
        <v>805</v>
      </c>
      <c r="G631" s="4">
        <f>IFERROR(__xludf.DUMMYFUNCTION("""COMPUTED_VALUE"""),0.0)</f>
        <v>0</v>
      </c>
      <c r="H631" s="4"/>
      <c r="I631" s="4"/>
    </row>
    <row r="632">
      <c r="A632" s="4" t="str">
        <f>IFERROR(__xludf.DUMMYFUNCTION("""COMPUTED_VALUE"""),"cas_hmw")</f>
        <v>cas_hmw</v>
      </c>
      <c r="B632" s="5">
        <f>IFERROR(__xludf.DUMMYFUNCTION("""COMPUTED_VALUE"""),44729.0)</f>
        <v>44729</v>
      </c>
      <c r="C632" s="6">
        <f>IFERROR(__xludf.DUMMYFUNCTION("""COMPUTED_VALUE"""),0.7260532407417486)</f>
        <v>0.7260532407</v>
      </c>
      <c r="D632" s="4">
        <f>IFERROR(__xludf.DUMMYFUNCTION("""COMPUTED_VALUE"""),12.960236)</f>
        <v>12.960236</v>
      </c>
      <c r="E632" s="4">
        <f>IFERROR(__xludf.DUMMYFUNCTION("""COMPUTED_VALUE"""),80.145066)</f>
        <v>80.145066</v>
      </c>
      <c r="F632" s="4">
        <f>IFERROR(__xludf.DUMMYFUNCTION("""COMPUTED_VALUE"""),805.0)</f>
        <v>805</v>
      </c>
      <c r="G632" s="4">
        <f>IFERROR(__xludf.DUMMYFUNCTION("""COMPUTED_VALUE"""),6.0)</f>
        <v>6</v>
      </c>
      <c r="H632" s="4"/>
      <c r="I632" s="4"/>
    </row>
    <row r="633">
      <c r="A633" s="4" t="str">
        <f>IFERROR(__xludf.DUMMYFUNCTION("""COMPUTED_VALUE"""),"cas_hmw")</f>
        <v>cas_hmw</v>
      </c>
      <c r="B633" s="5">
        <f>IFERROR(__xludf.DUMMYFUNCTION("""COMPUTED_VALUE"""),44729.0)</f>
        <v>44729</v>
      </c>
      <c r="C633" s="6">
        <f>IFERROR(__xludf.DUMMYFUNCTION("""COMPUTED_VALUE"""),0.7273032407392748)</f>
        <v>0.7273032407</v>
      </c>
      <c r="D633" s="4">
        <f>IFERROR(__xludf.DUMMYFUNCTION("""COMPUTED_VALUE"""),12.960301)</f>
        <v>12.960301</v>
      </c>
      <c r="E633" s="4">
        <f>IFERROR(__xludf.DUMMYFUNCTION("""COMPUTED_VALUE"""),80.145121)</f>
        <v>80.145121</v>
      </c>
      <c r="F633" s="4">
        <f>IFERROR(__xludf.DUMMYFUNCTION("""COMPUTED_VALUE"""),5339.0)</f>
        <v>5339</v>
      </c>
      <c r="G633" s="4">
        <f>IFERROR(__xludf.DUMMYFUNCTION("""COMPUTED_VALUE"""),13.0)</f>
        <v>13</v>
      </c>
      <c r="H633" s="4"/>
      <c r="I633" s="4"/>
    </row>
    <row r="634">
      <c r="A634" s="4" t="str">
        <f>IFERROR(__xludf.DUMMYFUNCTION("""COMPUTED_VALUE"""),"cas_hmw")</f>
        <v>cas_hmw</v>
      </c>
      <c r="B634" s="5">
        <f>IFERROR(__xludf.DUMMYFUNCTION("""COMPUTED_VALUE"""),44729.0)</f>
        <v>44729</v>
      </c>
      <c r="C634" s="6">
        <f>IFERROR(__xludf.DUMMYFUNCTION("""COMPUTED_VALUE"""),0.7316666666665697)</f>
        <v>0.7316666667</v>
      </c>
      <c r="D634" s="4">
        <f>IFERROR(__xludf.DUMMYFUNCTION("""COMPUTED_VALUE"""),12.989356)</f>
        <v>12.989356</v>
      </c>
      <c r="E634" s="4">
        <f>IFERROR(__xludf.DUMMYFUNCTION("""COMPUTED_VALUE"""),80.178536)</f>
        <v>80.178536</v>
      </c>
      <c r="F634" s="4">
        <f>IFERROR(__xludf.DUMMYFUNCTION("""COMPUTED_VALUE"""),805.0)</f>
        <v>805</v>
      </c>
      <c r="G634" s="4">
        <f>IFERROR(__xludf.DUMMYFUNCTION("""COMPUTED_VALUE"""),12.0)</f>
        <v>12</v>
      </c>
      <c r="H634" s="4"/>
      <c r="I634" s="4"/>
    </row>
    <row r="635">
      <c r="A635" s="4" t="str">
        <f>IFERROR(__xludf.DUMMYFUNCTION("""COMPUTED_VALUE"""),"cas_hmw")</f>
        <v>cas_hmw</v>
      </c>
      <c r="B635" s="5">
        <f>IFERROR(__xludf.DUMMYFUNCTION("""COMPUTED_VALUE"""),44729.0)</f>
        <v>44729</v>
      </c>
      <c r="C635" s="6">
        <f>IFERROR(__xludf.DUMMYFUNCTION("""COMPUTED_VALUE"""),0.734618055554165)</f>
        <v>0.7346180556</v>
      </c>
      <c r="D635" s="4">
        <f>IFERROR(__xludf.DUMMYFUNCTION("""COMPUTED_VALUE"""),12.995673)</f>
        <v>12.995673</v>
      </c>
      <c r="E635" s="4">
        <f>IFERROR(__xludf.DUMMYFUNCTION("""COMPUTED_VALUE"""),80.188704)</f>
        <v>80.188704</v>
      </c>
      <c r="F635" s="4">
        <f>IFERROR(__xludf.DUMMYFUNCTION("""COMPUTED_VALUE"""),5339.0)</f>
        <v>5339</v>
      </c>
      <c r="G635" s="4">
        <f>IFERROR(__xludf.DUMMYFUNCTION("""COMPUTED_VALUE"""),12.0)</f>
        <v>12</v>
      </c>
      <c r="H635" s="4"/>
      <c r="I635" s="4"/>
    </row>
    <row r="636">
      <c r="A636" s="4" t="str">
        <f>IFERROR(__xludf.DUMMYFUNCTION("""COMPUTED_VALUE"""),"cas_hmw")</f>
        <v>cas_hmw</v>
      </c>
      <c r="B636" s="5">
        <f>IFERROR(__xludf.DUMMYFUNCTION("""COMPUTED_VALUE"""),44729.0)</f>
        <v>44729</v>
      </c>
      <c r="C636" s="6">
        <f>IFERROR(__xludf.DUMMYFUNCTION("""COMPUTED_VALUE"""),0.734618055554165)</f>
        <v>0.7346180556</v>
      </c>
      <c r="D636" s="4">
        <f>IFERROR(__xludf.DUMMYFUNCTION("""COMPUTED_VALUE"""),12.995673)</f>
        <v>12.995673</v>
      </c>
      <c r="E636" s="4">
        <f>IFERROR(__xludf.DUMMYFUNCTION("""COMPUTED_VALUE"""),80.188704)</f>
        <v>80.188704</v>
      </c>
      <c r="F636" s="4">
        <f>IFERROR(__xludf.DUMMYFUNCTION("""COMPUTED_VALUE"""),5339.0)</f>
        <v>5339</v>
      </c>
      <c r="G636" s="4">
        <f>IFERROR(__xludf.DUMMYFUNCTION("""COMPUTED_VALUE"""),12.0)</f>
        <v>12</v>
      </c>
      <c r="H636" s="4"/>
      <c r="I636" s="4"/>
    </row>
    <row r="637">
      <c r="A637" s="4" t="str">
        <f>IFERROR(__xludf.DUMMYFUNCTION("""COMPUTED_VALUE"""),"cas_hmw")</f>
        <v>cas_hmw</v>
      </c>
      <c r="B637" s="5">
        <f>IFERROR(__xludf.DUMMYFUNCTION("""COMPUTED_VALUE"""),44729.0)</f>
        <v>44729</v>
      </c>
      <c r="C637" s="6">
        <f>IFERROR(__xludf.DUMMYFUNCTION("""COMPUTED_VALUE"""),0.7346412037040864)</f>
        <v>0.7346412037</v>
      </c>
      <c r="D637" s="4">
        <f>IFERROR(__xludf.DUMMYFUNCTION("""COMPUTED_VALUE"""),12.995673)</f>
        <v>12.995673</v>
      </c>
      <c r="E637" s="4">
        <f>IFERROR(__xludf.DUMMYFUNCTION("""COMPUTED_VALUE"""),80.188704)</f>
        <v>80.188704</v>
      </c>
      <c r="F637" s="4">
        <f>IFERROR(__xludf.DUMMYFUNCTION("""COMPUTED_VALUE"""),5339.0)</f>
        <v>5339</v>
      </c>
      <c r="G637" s="4">
        <f>IFERROR(__xludf.DUMMYFUNCTION("""COMPUTED_VALUE"""),12.0)</f>
        <v>12</v>
      </c>
      <c r="H637" s="4"/>
      <c r="I637" s="4"/>
    </row>
    <row r="638">
      <c r="A638" s="4" t="str">
        <f>IFERROR(__xludf.DUMMYFUNCTION("""COMPUTED_VALUE"""),"cas_hmw")</f>
        <v>cas_hmw</v>
      </c>
      <c r="B638" s="5">
        <f>IFERROR(__xludf.DUMMYFUNCTION("""COMPUTED_VALUE"""),44729.0)</f>
        <v>44729</v>
      </c>
      <c r="C638" s="6">
        <f>IFERROR(__xludf.DUMMYFUNCTION("""COMPUTED_VALUE"""),0.734652777777228)</f>
        <v>0.7346527778</v>
      </c>
      <c r="D638" s="4">
        <f>IFERROR(__xludf.DUMMYFUNCTION("""COMPUTED_VALUE"""),12.995673)</f>
        <v>12.995673</v>
      </c>
      <c r="E638" s="4">
        <f>IFERROR(__xludf.DUMMYFUNCTION("""COMPUTED_VALUE"""),80.188704)</f>
        <v>80.188704</v>
      </c>
      <c r="F638" s="4">
        <f>IFERROR(__xludf.DUMMYFUNCTION("""COMPUTED_VALUE"""),5339.0)</f>
        <v>5339</v>
      </c>
      <c r="G638" s="4">
        <f>IFERROR(__xludf.DUMMYFUNCTION("""COMPUTED_VALUE"""),12.0)</f>
        <v>12</v>
      </c>
      <c r="H638" s="4"/>
      <c r="I638" s="4"/>
    </row>
    <row r="639">
      <c r="A639" s="4" t="str">
        <f>IFERROR(__xludf.DUMMYFUNCTION("""COMPUTED_VALUE"""),"cas_hmw")</f>
        <v>cas_hmw</v>
      </c>
      <c r="B639" s="5">
        <f>IFERROR(__xludf.DUMMYFUNCTION("""COMPUTED_VALUE"""),44729.0)</f>
        <v>44729</v>
      </c>
      <c r="C639" s="6">
        <f>IFERROR(__xludf.DUMMYFUNCTION("""COMPUTED_VALUE"""),0.737337962964375)</f>
        <v>0.737337963</v>
      </c>
      <c r="D639" s="4">
        <f>IFERROR(__xludf.DUMMYFUNCTION("""COMPUTED_VALUE"""),13.001753)</f>
        <v>13.001753</v>
      </c>
      <c r="E639" s="4">
        <f>IFERROR(__xludf.DUMMYFUNCTION("""COMPUTED_VALUE"""),80.196232)</f>
        <v>80.196232</v>
      </c>
      <c r="F639" s="4">
        <f>IFERROR(__xludf.DUMMYFUNCTION("""COMPUTED_VALUE"""),805.0)</f>
        <v>805</v>
      </c>
      <c r="G639" s="4">
        <f>IFERROR(__xludf.DUMMYFUNCTION("""COMPUTED_VALUE"""),20.0)</f>
        <v>20</v>
      </c>
      <c r="H639" s="4"/>
      <c r="I639" s="4"/>
    </row>
    <row r="640">
      <c r="A640" s="4" t="str">
        <f>IFERROR(__xludf.DUMMYFUNCTION("""COMPUTED_VALUE"""),"cas_hmw")</f>
        <v>cas_hmw</v>
      </c>
      <c r="B640" s="5">
        <f>IFERROR(__xludf.DUMMYFUNCTION("""COMPUTED_VALUE"""),44729.0)</f>
        <v>44729</v>
      </c>
      <c r="C640" s="6">
        <f>IFERROR(__xludf.DUMMYFUNCTION("""COMPUTED_VALUE"""),0.7386921296310902)</f>
        <v>0.7386921296</v>
      </c>
      <c r="D640" s="4">
        <f>IFERROR(__xludf.DUMMYFUNCTION("""COMPUTED_VALUE"""),13.001454)</f>
        <v>13.001454</v>
      </c>
      <c r="E640" s="4">
        <f>IFERROR(__xludf.DUMMYFUNCTION("""COMPUTED_VALUE"""),80.195914)</f>
        <v>80.195914</v>
      </c>
      <c r="F640" s="4">
        <f>IFERROR(__xludf.DUMMYFUNCTION("""COMPUTED_VALUE"""),5339.0)</f>
        <v>5339</v>
      </c>
      <c r="G640" s="4">
        <f>IFERROR(__xludf.DUMMYFUNCTION("""COMPUTED_VALUE"""),6.0)</f>
        <v>6</v>
      </c>
      <c r="H640" s="4"/>
      <c r="I640" s="4"/>
    </row>
    <row r="641">
      <c r="A641" s="4" t="str">
        <f>IFERROR(__xludf.DUMMYFUNCTION("""COMPUTED_VALUE"""),"cas_hmw")</f>
        <v>cas_hmw</v>
      </c>
      <c r="B641" s="5">
        <f>IFERROR(__xludf.DUMMYFUNCTION("""COMPUTED_VALUE"""),44729.0)</f>
        <v>44729</v>
      </c>
      <c r="C641" s="6">
        <f>IFERROR(__xludf.DUMMYFUNCTION("""COMPUTED_VALUE"""),0.7429513888891961)</f>
        <v>0.7429513889</v>
      </c>
      <c r="D641" s="4">
        <f>IFERROR(__xludf.DUMMYFUNCTION("""COMPUTED_VALUE"""),13.014855)</f>
        <v>13.014855</v>
      </c>
      <c r="E641" s="4">
        <f>IFERROR(__xludf.DUMMYFUNCTION("""COMPUTED_VALUE"""),80.224404)</f>
        <v>80.224404</v>
      </c>
      <c r="F641" s="4">
        <f>IFERROR(__xludf.DUMMYFUNCTION("""COMPUTED_VALUE"""),5339.0)</f>
        <v>5339</v>
      </c>
      <c r="G641" s="4">
        <f>IFERROR(__xludf.DUMMYFUNCTION("""COMPUTED_VALUE"""),13.0)</f>
        <v>13</v>
      </c>
      <c r="H641" s="4"/>
      <c r="I641" s="4"/>
    </row>
    <row r="642">
      <c r="A642" s="4" t="str">
        <f>IFERROR(__xludf.DUMMYFUNCTION("""COMPUTED_VALUE"""),"cas_hmw")</f>
        <v>cas_hmw</v>
      </c>
      <c r="B642" s="5">
        <f>IFERROR(__xludf.DUMMYFUNCTION("""COMPUTED_VALUE"""),44729.0)</f>
        <v>44729</v>
      </c>
      <c r="C642" s="6">
        <f>IFERROR(__xludf.DUMMYFUNCTION("""COMPUTED_VALUE"""),0.7450578703719657)</f>
        <v>0.7450578704</v>
      </c>
      <c r="D642" s="4">
        <f>IFERROR(__xludf.DUMMYFUNCTION("""COMPUTED_VALUE"""),13.024167)</f>
        <v>13.024167</v>
      </c>
      <c r="E642" s="4">
        <f>IFERROR(__xludf.DUMMYFUNCTION("""COMPUTED_VALUE"""),80.228306)</f>
        <v>80.228306</v>
      </c>
      <c r="F642" s="4">
        <f>IFERROR(__xludf.DUMMYFUNCTION("""COMPUTED_VALUE"""),5339.0)</f>
        <v>5339</v>
      </c>
      <c r="G642" s="4">
        <f>IFERROR(__xludf.DUMMYFUNCTION("""COMPUTED_VALUE"""),0.0)</f>
        <v>0</v>
      </c>
      <c r="H642" s="4"/>
      <c r="I642" s="4"/>
    </row>
    <row r="643">
      <c r="A643" s="4" t="str">
        <f>IFERROR(__xludf.DUMMYFUNCTION("""COMPUTED_VALUE"""),"cas_hmw")</f>
        <v>cas_hmw</v>
      </c>
      <c r="B643" s="5">
        <f>IFERROR(__xludf.DUMMYFUNCTION("""COMPUTED_VALUE"""),44729.0)</f>
        <v>44729</v>
      </c>
      <c r="C643" s="6">
        <f>IFERROR(__xludf.DUMMYFUNCTION("""COMPUTED_VALUE"""),0.7451620370375167)</f>
        <v>0.745162037</v>
      </c>
      <c r="D643" s="4">
        <f>IFERROR(__xludf.DUMMYFUNCTION("""COMPUTED_VALUE"""),13.024167)</f>
        <v>13.024167</v>
      </c>
      <c r="E643" s="4">
        <f>IFERROR(__xludf.DUMMYFUNCTION("""COMPUTED_VALUE"""),80.228306)</f>
        <v>80.228306</v>
      </c>
      <c r="F643" s="4">
        <f>IFERROR(__xludf.DUMMYFUNCTION("""COMPUTED_VALUE"""),5339.0)</f>
        <v>5339</v>
      </c>
      <c r="G643" s="4">
        <f>IFERROR(__xludf.DUMMYFUNCTION("""COMPUTED_VALUE"""),0.0)</f>
        <v>0</v>
      </c>
      <c r="H643" s="4"/>
      <c r="I643" s="4"/>
    </row>
    <row r="644">
      <c r="A644" s="4" t="str">
        <f>IFERROR(__xludf.DUMMYFUNCTION("""COMPUTED_VALUE"""),"cas_hmw")</f>
        <v>cas_hmw</v>
      </c>
      <c r="B644" s="5">
        <f>IFERROR(__xludf.DUMMYFUNCTION("""COMPUTED_VALUE"""),44729.0)</f>
        <v>44729</v>
      </c>
      <c r="C644" s="6">
        <f>IFERROR(__xludf.DUMMYFUNCTION("""COMPUTED_VALUE"""),0.7451736111106584)</f>
        <v>0.7451736111</v>
      </c>
      <c r="D644" s="4">
        <f>IFERROR(__xludf.DUMMYFUNCTION("""COMPUTED_VALUE"""),13.024167)</f>
        <v>13.024167</v>
      </c>
      <c r="E644" s="4">
        <f>IFERROR(__xludf.DUMMYFUNCTION("""COMPUTED_VALUE"""),80.228306)</f>
        <v>80.228306</v>
      </c>
      <c r="F644" s="4">
        <f>IFERROR(__xludf.DUMMYFUNCTION("""COMPUTED_VALUE"""),5339.0)</f>
        <v>5339</v>
      </c>
      <c r="G644" s="4">
        <f>IFERROR(__xludf.DUMMYFUNCTION("""COMPUTED_VALUE"""),0.0)</f>
        <v>0</v>
      </c>
      <c r="H644" s="4"/>
      <c r="I644" s="4"/>
    </row>
    <row r="645">
      <c r="A645" s="4" t="str">
        <f>IFERROR(__xludf.DUMMYFUNCTION("""COMPUTED_VALUE"""),"cas_hmw")</f>
        <v>cas_hmw</v>
      </c>
      <c r="B645" s="5">
        <f>IFERROR(__xludf.DUMMYFUNCTION("""COMPUTED_VALUE"""),44729.0)</f>
        <v>44729</v>
      </c>
      <c r="C645" s="6">
        <f>IFERROR(__xludf.DUMMYFUNCTION("""COMPUTED_VALUE"""),0.7460995370383898)</f>
        <v>0.746099537</v>
      </c>
      <c r="D645" s="4">
        <f>IFERROR(__xludf.DUMMYFUNCTION("""COMPUTED_VALUE"""),13.006657)</f>
        <v>13.006657</v>
      </c>
      <c r="E645" s="4">
        <f>IFERROR(__xludf.DUMMYFUNCTION("""COMPUTED_VALUE"""),80.241755)</f>
        <v>80.241755</v>
      </c>
      <c r="F645" s="4">
        <f>IFERROR(__xludf.DUMMYFUNCTION("""COMPUTED_VALUE"""),805.0)</f>
        <v>805</v>
      </c>
      <c r="G645" s="4">
        <f>IFERROR(__xludf.DUMMYFUNCTION("""COMPUTED_VALUE"""),14.0)</f>
        <v>14</v>
      </c>
      <c r="H645" s="4"/>
      <c r="I645" s="4"/>
    </row>
    <row r="646">
      <c r="A646" s="4" t="str">
        <f>IFERROR(__xludf.DUMMYFUNCTION("""COMPUTED_VALUE"""),"cas_hmw")</f>
        <v>cas_hmw</v>
      </c>
      <c r="B646" s="5">
        <f>IFERROR(__xludf.DUMMYFUNCTION("""COMPUTED_VALUE"""),44729.0)</f>
        <v>44729</v>
      </c>
      <c r="C646" s="6">
        <f>IFERROR(__xludf.DUMMYFUNCTION("""COMPUTED_VALUE"""),0.7461805555540195)</f>
        <v>0.7461805556</v>
      </c>
      <c r="D646" s="4">
        <f>IFERROR(__xludf.DUMMYFUNCTION("""COMPUTED_VALUE"""),13.006669)</f>
        <v>13.006669</v>
      </c>
      <c r="E646" s="4">
        <f>IFERROR(__xludf.DUMMYFUNCTION("""COMPUTED_VALUE"""),80.242446)</f>
        <v>80.242446</v>
      </c>
      <c r="F646" s="4">
        <f>IFERROR(__xludf.DUMMYFUNCTION("""COMPUTED_VALUE"""),805.0)</f>
        <v>805</v>
      </c>
      <c r="G646" s="4">
        <f>IFERROR(__xludf.DUMMYFUNCTION("""COMPUTED_VALUE"""),10.0)</f>
        <v>10</v>
      </c>
      <c r="H646" s="4"/>
      <c r="I646" s="4"/>
    </row>
    <row r="647">
      <c r="A647" s="4" t="str">
        <f>IFERROR(__xludf.DUMMYFUNCTION("""COMPUTED_VALUE"""),"cas_hmw")</f>
        <v>cas_hmw</v>
      </c>
      <c r="B647" s="5">
        <f>IFERROR(__xludf.DUMMYFUNCTION("""COMPUTED_VALUE"""),44729.0)</f>
        <v>44729</v>
      </c>
      <c r="C647" s="6">
        <f>IFERROR(__xludf.DUMMYFUNCTION("""COMPUTED_VALUE"""),0.7462962962963502)</f>
        <v>0.7462962963</v>
      </c>
      <c r="D647" s="4">
        <f>IFERROR(__xludf.DUMMYFUNCTION("""COMPUTED_VALUE"""),13.025887)</f>
        <v>13.025887</v>
      </c>
      <c r="E647" s="4">
        <f>IFERROR(__xludf.DUMMYFUNCTION("""COMPUTED_VALUE"""),80.23084)</f>
        <v>80.23084</v>
      </c>
      <c r="F647" s="4">
        <f>IFERROR(__xludf.DUMMYFUNCTION("""COMPUTED_VALUE"""),5339.0)</f>
        <v>5339</v>
      </c>
      <c r="G647" s="4">
        <f>IFERROR(__xludf.DUMMYFUNCTION("""COMPUTED_VALUE"""),0.0)</f>
        <v>0</v>
      </c>
      <c r="H647" s="4"/>
      <c r="I647" s="4"/>
    </row>
    <row r="648">
      <c r="A648" s="4" t="str">
        <f>IFERROR(__xludf.DUMMYFUNCTION("""COMPUTED_VALUE"""),"cas_hmw")</f>
        <v>cas_hmw</v>
      </c>
      <c r="B648" s="5">
        <f>IFERROR(__xludf.DUMMYFUNCTION("""COMPUTED_VALUE"""),44729.0)</f>
        <v>44729</v>
      </c>
      <c r="C648" s="6">
        <f>IFERROR(__xludf.DUMMYFUNCTION("""COMPUTED_VALUE"""),0.7463194444426335)</f>
        <v>0.7463194444</v>
      </c>
      <c r="D648" s="4">
        <f>IFERROR(__xludf.DUMMYFUNCTION("""COMPUTED_VALUE"""),13.025887)</f>
        <v>13.025887</v>
      </c>
      <c r="E648" s="4">
        <f>IFERROR(__xludf.DUMMYFUNCTION("""COMPUTED_VALUE"""),80.23084)</f>
        <v>80.23084</v>
      </c>
      <c r="F648" s="4">
        <f>IFERROR(__xludf.DUMMYFUNCTION("""COMPUTED_VALUE"""),5339.0)</f>
        <v>5339</v>
      </c>
      <c r="G648" s="4">
        <f>IFERROR(__xludf.DUMMYFUNCTION("""COMPUTED_VALUE"""),0.0)</f>
        <v>0</v>
      </c>
      <c r="H648" s="4"/>
      <c r="I648" s="4"/>
    </row>
    <row r="649">
      <c r="A649" s="4" t="str">
        <f>IFERROR(__xludf.DUMMYFUNCTION("""COMPUTED_VALUE"""),"cas_hmw")</f>
        <v>cas_hmw</v>
      </c>
      <c r="B649" s="5">
        <f>IFERROR(__xludf.DUMMYFUNCTION("""COMPUTED_VALUE"""),44729.0)</f>
        <v>44729</v>
      </c>
      <c r="C649" s="6">
        <f>IFERROR(__xludf.DUMMYFUNCTION("""COMPUTED_VALUE"""),0.7464930555543106)</f>
        <v>0.7464930556</v>
      </c>
      <c r="D649" s="4">
        <f>IFERROR(__xludf.DUMMYFUNCTION("""COMPUTED_VALUE"""),13.025887)</f>
        <v>13.025887</v>
      </c>
      <c r="E649" s="4">
        <f>IFERROR(__xludf.DUMMYFUNCTION("""COMPUTED_VALUE"""),80.23084)</f>
        <v>80.23084</v>
      </c>
      <c r="F649" s="4">
        <f>IFERROR(__xludf.DUMMYFUNCTION("""COMPUTED_VALUE"""),5339.0)</f>
        <v>5339</v>
      </c>
      <c r="G649" s="4">
        <f>IFERROR(__xludf.DUMMYFUNCTION("""COMPUTED_VALUE"""),0.0)</f>
        <v>0</v>
      </c>
      <c r="H649" s="4"/>
      <c r="I649" s="4"/>
    </row>
    <row r="650">
      <c r="A650" s="4" t="str">
        <f>IFERROR(__xludf.DUMMYFUNCTION("""COMPUTED_VALUE"""),"cas_hmw")</f>
        <v>cas_hmw</v>
      </c>
      <c r="B650" s="5">
        <f>IFERROR(__xludf.DUMMYFUNCTION("""COMPUTED_VALUE"""),44729.0)</f>
        <v>44729</v>
      </c>
      <c r="C650" s="6">
        <f>IFERROR(__xludf.DUMMYFUNCTION("""COMPUTED_VALUE"""),0.7465393518505152)</f>
        <v>0.7465393519</v>
      </c>
      <c r="D650" s="4">
        <f>IFERROR(__xludf.DUMMYFUNCTION("""COMPUTED_VALUE"""),13.025887)</f>
        <v>13.025887</v>
      </c>
      <c r="E650" s="4">
        <f>IFERROR(__xludf.DUMMYFUNCTION("""COMPUTED_VALUE"""),80.23084)</f>
        <v>80.23084</v>
      </c>
      <c r="F650" s="4">
        <f>IFERROR(__xludf.DUMMYFUNCTION("""COMPUTED_VALUE"""),5339.0)</f>
        <v>5339</v>
      </c>
      <c r="G650" s="4">
        <f>IFERROR(__xludf.DUMMYFUNCTION("""COMPUTED_VALUE"""),0.0)</f>
        <v>0</v>
      </c>
      <c r="H650" s="4"/>
      <c r="I650" s="4"/>
    </row>
    <row r="651">
      <c r="A651" s="4" t="str">
        <f>IFERROR(__xludf.DUMMYFUNCTION("""COMPUTED_VALUE"""),"cas_hmw")</f>
        <v>cas_hmw</v>
      </c>
      <c r="B651" s="5">
        <f>IFERROR(__xludf.DUMMYFUNCTION("""COMPUTED_VALUE"""),44729.0)</f>
        <v>44729</v>
      </c>
      <c r="C651" s="6">
        <f>IFERROR(__xludf.DUMMYFUNCTION("""COMPUTED_VALUE"""),0.7504629629620467)</f>
        <v>0.750462963</v>
      </c>
      <c r="D651" s="4">
        <f>IFERROR(__xludf.DUMMYFUNCTION("""COMPUTED_VALUE"""),13.006883)</f>
        <v>13.006883</v>
      </c>
      <c r="E651" s="4">
        <f>IFERROR(__xludf.DUMMYFUNCTION("""COMPUTED_VALUE"""),80.251173)</f>
        <v>80.251173</v>
      </c>
      <c r="F651" s="4">
        <f>IFERROR(__xludf.DUMMYFUNCTION("""COMPUTED_VALUE"""),805.0)</f>
        <v>805</v>
      </c>
      <c r="G651" s="4">
        <f>IFERROR(__xludf.DUMMYFUNCTION("""COMPUTED_VALUE"""),14.0)</f>
        <v>14</v>
      </c>
      <c r="H651" s="4"/>
      <c r="I651" s="4"/>
    </row>
    <row r="652">
      <c r="A652" s="4" t="str">
        <f>IFERROR(__xludf.DUMMYFUNCTION("""COMPUTED_VALUE"""),"cas_hmw")</f>
        <v>cas_hmw</v>
      </c>
      <c r="B652" s="5">
        <f>IFERROR(__xludf.DUMMYFUNCTION("""COMPUTED_VALUE"""),44729.0)</f>
        <v>44729</v>
      </c>
      <c r="C652" s="6">
        <f>IFERROR(__xludf.DUMMYFUNCTION("""COMPUTED_VALUE"""),0.7538773148153268)</f>
        <v>0.7538773148</v>
      </c>
      <c r="D652" s="4">
        <f>IFERROR(__xludf.DUMMYFUNCTION("""COMPUTED_VALUE"""),13.040656)</f>
        <v>13.040656</v>
      </c>
      <c r="E652" s="4">
        <f>IFERROR(__xludf.DUMMYFUNCTION("""COMPUTED_VALUE"""),80.247163)</f>
        <v>80.247163</v>
      </c>
      <c r="F652" s="4">
        <f>IFERROR(__xludf.DUMMYFUNCTION("""COMPUTED_VALUE"""),5339.0)</f>
        <v>5339</v>
      </c>
      <c r="G652" s="4">
        <f>IFERROR(__xludf.DUMMYFUNCTION("""COMPUTED_VALUE"""),20.0)</f>
        <v>20</v>
      </c>
      <c r="H652" s="4"/>
      <c r="I652" s="4"/>
    </row>
    <row r="653">
      <c r="A653" s="4" t="str">
        <f>IFERROR(__xludf.DUMMYFUNCTION("""COMPUTED_VALUE"""),"cas_hmw")</f>
        <v>cas_hmw</v>
      </c>
      <c r="B653" s="5">
        <f>IFERROR(__xludf.DUMMYFUNCTION("""COMPUTED_VALUE"""),44729.0)</f>
        <v>44729</v>
      </c>
      <c r="C653" s="6">
        <f>IFERROR(__xludf.DUMMYFUNCTION("""COMPUTED_VALUE"""),0.7573263888880319)</f>
        <v>0.7573263889</v>
      </c>
      <c r="D653" s="4">
        <f>IFERROR(__xludf.DUMMYFUNCTION("""COMPUTED_VALUE"""),13.020255)</f>
        <v>13.020255</v>
      </c>
      <c r="E653" s="4">
        <f>IFERROR(__xludf.DUMMYFUNCTION("""COMPUTED_VALUE"""),80.262546)</f>
        <v>80.262546</v>
      </c>
      <c r="F653" s="4">
        <f>IFERROR(__xludf.DUMMYFUNCTION("""COMPUTED_VALUE"""),805.0)</f>
        <v>805</v>
      </c>
      <c r="G653" s="4">
        <f>IFERROR(__xludf.DUMMYFUNCTION("""COMPUTED_VALUE"""),11.0)</f>
        <v>11</v>
      </c>
      <c r="H653" s="4"/>
      <c r="I653" s="4"/>
    </row>
    <row r="654">
      <c r="A654" s="4" t="str">
        <f>IFERROR(__xludf.DUMMYFUNCTION("""COMPUTED_VALUE"""),"cas_hmw")</f>
        <v>cas_hmw</v>
      </c>
      <c r="B654" s="5">
        <f>IFERROR(__xludf.DUMMYFUNCTION("""COMPUTED_VALUE"""),44729.0)</f>
        <v>44729</v>
      </c>
      <c r="C654" s="6">
        <f>IFERROR(__xludf.DUMMYFUNCTION("""COMPUTED_VALUE"""),0.7573495370379533)</f>
        <v>0.757349537</v>
      </c>
      <c r="D654" s="4">
        <f>IFERROR(__xludf.DUMMYFUNCTION("""COMPUTED_VALUE"""),13.020898)</f>
        <v>13.020898</v>
      </c>
      <c r="E654" s="4">
        <f>IFERROR(__xludf.DUMMYFUNCTION("""COMPUTED_VALUE"""),80.262834)</f>
        <v>80.262834</v>
      </c>
      <c r="F654" s="4">
        <f>IFERROR(__xludf.DUMMYFUNCTION("""COMPUTED_VALUE"""),805.0)</f>
        <v>805</v>
      </c>
      <c r="G654" s="4">
        <f>IFERROR(__xludf.DUMMYFUNCTION("""COMPUTED_VALUE"""),6.0)</f>
        <v>6</v>
      </c>
      <c r="H654" s="4"/>
      <c r="I654" s="4"/>
    </row>
    <row r="655">
      <c r="A655" s="4" t="str">
        <f>IFERROR(__xludf.DUMMYFUNCTION("""COMPUTED_VALUE"""),"cas_hmw")</f>
        <v>cas_hmw</v>
      </c>
      <c r="B655" s="5">
        <f>IFERROR(__xludf.DUMMYFUNCTION("""COMPUTED_VALUE"""),44729.0)</f>
        <v>44729</v>
      </c>
      <c r="C655" s="6">
        <f>IFERROR(__xludf.DUMMYFUNCTION("""COMPUTED_VALUE"""),0.7573842592610163)</f>
        <v>0.7573842593</v>
      </c>
      <c r="D655" s="4">
        <f>IFERROR(__xludf.DUMMYFUNCTION("""COMPUTED_VALUE"""),13.020898)</f>
        <v>13.020898</v>
      </c>
      <c r="E655" s="4">
        <f>IFERROR(__xludf.DUMMYFUNCTION("""COMPUTED_VALUE"""),80.262834)</f>
        <v>80.262834</v>
      </c>
      <c r="F655" s="4">
        <f>IFERROR(__xludf.DUMMYFUNCTION("""COMPUTED_VALUE"""),805.0)</f>
        <v>805</v>
      </c>
      <c r="G655" s="4">
        <f>IFERROR(__xludf.DUMMYFUNCTION("""COMPUTED_VALUE"""),6.0)</f>
        <v>6</v>
      </c>
      <c r="H655" s="4"/>
      <c r="I655" s="4"/>
    </row>
    <row r="656">
      <c r="A656" s="4" t="str">
        <f>IFERROR(__xludf.DUMMYFUNCTION("""COMPUTED_VALUE"""),"cas_hmw")</f>
        <v>cas_hmw</v>
      </c>
      <c r="B656" s="5">
        <f>IFERROR(__xludf.DUMMYFUNCTION("""COMPUTED_VALUE"""),44729.0)</f>
        <v>44729</v>
      </c>
      <c r="C656" s="6">
        <f>IFERROR(__xludf.DUMMYFUNCTION("""COMPUTED_VALUE"""),0.8203125)</f>
        <v>0.8203125</v>
      </c>
      <c r="D656" s="4">
        <f>IFERROR(__xludf.DUMMYFUNCTION("""COMPUTED_VALUE"""),13.077018)</f>
        <v>13.077018</v>
      </c>
      <c r="E656" s="4">
        <f>IFERROR(__xludf.DUMMYFUNCTION("""COMPUTED_VALUE"""),80.208071)</f>
        <v>80.208071</v>
      </c>
      <c r="F656" s="4">
        <f>IFERROR(__xludf.DUMMYFUNCTION("""COMPUTED_VALUE"""),805.0)</f>
        <v>805</v>
      </c>
      <c r="G656" s="4">
        <f>IFERROR(__xludf.DUMMYFUNCTION("""COMPUTED_VALUE"""),18.0)</f>
        <v>18</v>
      </c>
      <c r="H656" s="4"/>
      <c r="I656" s="4"/>
    </row>
    <row r="657">
      <c r="A657" s="4" t="str">
        <f>IFERROR(__xludf.DUMMYFUNCTION("""COMPUTED_VALUE"""),"cas_hmw")</f>
        <v>cas_hmw</v>
      </c>
      <c r="B657" s="5">
        <f>IFERROR(__xludf.DUMMYFUNCTION("""COMPUTED_VALUE"""),44729.0)</f>
        <v>44729</v>
      </c>
      <c r="C657" s="6">
        <f>IFERROR(__xludf.DUMMYFUNCTION("""COMPUTED_VALUE"""),0.8203125)</f>
        <v>0.8203125</v>
      </c>
      <c r="D657" s="4">
        <f>IFERROR(__xludf.DUMMYFUNCTION("""COMPUTED_VALUE"""),13.077018)</f>
        <v>13.077018</v>
      </c>
      <c r="E657" s="4">
        <f>IFERROR(__xludf.DUMMYFUNCTION("""COMPUTED_VALUE"""),80.208071)</f>
        <v>80.208071</v>
      </c>
      <c r="F657" s="4">
        <f>IFERROR(__xludf.DUMMYFUNCTION("""COMPUTED_VALUE"""),805.0)</f>
        <v>805</v>
      </c>
      <c r="G657" s="4">
        <f>IFERROR(__xludf.DUMMYFUNCTION("""COMPUTED_VALUE"""),18.0)</f>
        <v>18</v>
      </c>
      <c r="H657" s="4"/>
      <c r="I657" s="4"/>
    </row>
    <row r="658">
      <c r="A658" s="4" t="str">
        <f>IFERROR(__xludf.DUMMYFUNCTION("""COMPUTED_VALUE"""),"cas_hmw")</f>
        <v>cas_hmw</v>
      </c>
      <c r="B658" s="5">
        <f>IFERROR(__xludf.DUMMYFUNCTION("""COMPUTED_VALUE"""),44729.0)</f>
        <v>44729</v>
      </c>
      <c r="C658" s="6">
        <f>IFERROR(__xludf.DUMMYFUNCTION("""COMPUTED_VALUE"""),0.820347222223063)</f>
        <v>0.8203472222</v>
      </c>
      <c r="D658" s="4">
        <f>IFERROR(__xludf.DUMMYFUNCTION("""COMPUTED_VALUE"""),13.077018)</f>
        <v>13.077018</v>
      </c>
      <c r="E658" s="4">
        <f>IFERROR(__xludf.DUMMYFUNCTION("""COMPUTED_VALUE"""),80.208071)</f>
        <v>80.208071</v>
      </c>
      <c r="F658" s="4">
        <f>IFERROR(__xludf.DUMMYFUNCTION("""COMPUTED_VALUE"""),805.0)</f>
        <v>805</v>
      </c>
      <c r="G658" s="4">
        <f>IFERROR(__xludf.DUMMYFUNCTION("""COMPUTED_VALUE"""),18.0)</f>
        <v>18</v>
      </c>
      <c r="H658" s="4"/>
      <c r="I658" s="4"/>
    </row>
    <row r="659">
      <c r="A659" s="4" t="str">
        <f>IFERROR(__xludf.DUMMYFUNCTION("""COMPUTED_VALUE"""),"cas_hmw")</f>
        <v>cas_hmw</v>
      </c>
      <c r="B659" s="5">
        <f>IFERROR(__xludf.DUMMYFUNCTION("""COMPUTED_VALUE"""),44729.0)</f>
        <v>44729</v>
      </c>
      <c r="C659" s="6">
        <f>IFERROR(__xludf.DUMMYFUNCTION("""COMPUTED_VALUE"""),0.8203703703693463)</f>
        <v>0.8203703704</v>
      </c>
      <c r="D659" s="4">
        <f>IFERROR(__xludf.DUMMYFUNCTION("""COMPUTED_VALUE"""),13.077018)</f>
        <v>13.077018</v>
      </c>
      <c r="E659" s="4">
        <f>IFERROR(__xludf.DUMMYFUNCTION("""COMPUTED_VALUE"""),80.208071)</f>
        <v>80.208071</v>
      </c>
      <c r="F659" s="4">
        <f>IFERROR(__xludf.DUMMYFUNCTION("""COMPUTED_VALUE"""),805.0)</f>
        <v>805</v>
      </c>
      <c r="G659" s="4">
        <f>IFERROR(__xludf.DUMMYFUNCTION("""COMPUTED_VALUE"""),18.0)</f>
        <v>18</v>
      </c>
      <c r="H659" s="4"/>
      <c r="I659" s="4"/>
    </row>
    <row r="660">
      <c r="A660" s="4" t="str">
        <f>IFERROR(__xludf.DUMMYFUNCTION("""COMPUTED_VALUE"""),"cas_hmw")</f>
        <v>cas_hmw</v>
      </c>
      <c r="B660" s="5">
        <f>IFERROR(__xludf.DUMMYFUNCTION("""COMPUTED_VALUE"""),44729.0)</f>
        <v>44729</v>
      </c>
      <c r="C660" s="6">
        <f>IFERROR(__xludf.DUMMYFUNCTION("""COMPUTED_VALUE"""),0.8266782407408755)</f>
        <v>0.8266782407</v>
      </c>
      <c r="D660" s="4">
        <f>IFERROR(__xludf.DUMMYFUNCTION("""COMPUTED_VALUE"""),13.070423)</f>
        <v>13.070423</v>
      </c>
      <c r="E660" s="4">
        <f>IFERROR(__xludf.DUMMYFUNCTION("""COMPUTED_VALUE"""),80.182929)</f>
        <v>80.182929</v>
      </c>
      <c r="F660" s="4">
        <f>IFERROR(__xludf.DUMMYFUNCTION("""COMPUTED_VALUE"""),805.0)</f>
        <v>805</v>
      </c>
      <c r="G660" s="4">
        <f>IFERROR(__xludf.DUMMYFUNCTION("""COMPUTED_VALUE"""),8.0)</f>
        <v>8</v>
      </c>
      <c r="H660" s="4"/>
      <c r="I660" s="4"/>
    </row>
    <row r="661">
      <c r="A661" s="4" t="str">
        <f>IFERROR(__xludf.DUMMYFUNCTION("""COMPUTED_VALUE"""),"cas_hmw")</f>
        <v>cas_hmw</v>
      </c>
      <c r="B661" s="5">
        <f>IFERROR(__xludf.DUMMYFUNCTION("""COMPUTED_VALUE"""),44729.0)</f>
        <v>44729</v>
      </c>
      <c r="C661" s="6">
        <f>IFERROR(__xludf.DUMMYFUNCTION("""COMPUTED_VALUE"""),0.8266898148140172)</f>
        <v>0.8266898148</v>
      </c>
      <c r="D661" s="4">
        <f>IFERROR(__xludf.DUMMYFUNCTION("""COMPUTED_VALUE"""),13.070423)</f>
        <v>13.070423</v>
      </c>
      <c r="E661" s="4">
        <f>IFERROR(__xludf.DUMMYFUNCTION("""COMPUTED_VALUE"""),80.182929)</f>
        <v>80.182929</v>
      </c>
      <c r="F661" s="4">
        <f>IFERROR(__xludf.DUMMYFUNCTION("""COMPUTED_VALUE"""),805.0)</f>
        <v>805</v>
      </c>
      <c r="G661" s="4">
        <f>IFERROR(__xludf.DUMMYFUNCTION("""COMPUTED_VALUE"""),8.0)</f>
        <v>8</v>
      </c>
      <c r="H661" s="4"/>
      <c r="I661" s="4"/>
    </row>
    <row r="662">
      <c r="A662" s="4" t="str">
        <f>IFERROR(__xludf.DUMMYFUNCTION("""COMPUTED_VALUE"""),"cas_hmw")</f>
        <v>cas_hmw</v>
      </c>
      <c r="B662" s="5">
        <f>IFERROR(__xludf.DUMMYFUNCTION("""COMPUTED_VALUE"""),44729.0)</f>
        <v>44729</v>
      </c>
      <c r="C662" s="6">
        <f>IFERROR(__xludf.DUMMYFUNCTION("""COMPUTED_VALUE"""),0.828125)</f>
        <v>0.828125</v>
      </c>
      <c r="D662" s="4">
        <f>IFERROR(__xludf.DUMMYFUNCTION("""COMPUTED_VALUE"""),13.067021)</f>
        <v>13.067021</v>
      </c>
      <c r="E662" s="4">
        <f>IFERROR(__xludf.DUMMYFUNCTION("""COMPUTED_VALUE"""),80.175539)</f>
        <v>80.175539</v>
      </c>
      <c r="F662" s="4">
        <f>IFERROR(__xludf.DUMMYFUNCTION("""COMPUTED_VALUE"""),805.0)</f>
        <v>805</v>
      </c>
      <c r="G662" s="4">
        <f>IFERROR(__xludf.DUMMYFUNCTION("""COMPUTED_VALUE"""),0.0)</f>
        <v>0</v>
      </c>
      <c r="H662" s="4"/>
      <c r="I662" s="4"/>
    </row>
    <row r="663">
      <c r="A663" s="4" t="str">
        <f>IFERROR(__xludf.DUMMYFUNCTION("""COMPUTED_VALUE"""),"cas_hmw")</f>
        <v>cas_hmw</v>
      </c>
      <c r="B663" s="5">
        <f>IFERROR(__xludf.DUMMYFUNCTION("""COMPUTED_VALUE"""),44729.0)</f>
        <v>44729</v>
      </c>
      <c r="C663" s="6">
        <f>IFERROR(__xludf.DUMMYFUNCTION("""COMPUTED_VALUE"""),0.828125)</f>
        <v>0.828125</v>
      </c>
      <c r="D663" s="4">
        <f>IFERROR(__xludf.DUMMYFUNCTION("""COMPUTED_VALUE"""),13.067021)</f>
        <v>13.067021</v>
      </c>
      <c r="E663" s="4">
        <f>IFERROR(__xludf.DUMMYFUNCTION("""COMPUTED_VALUE"""),80.175539)</f>
        <v>80.175539</v>
      </c>
      <c r="F663" s="4">
        <f>IFERROR(__xludf.DUMMYFUNCTION("""COMPUTED_VALUE"""),805.0)</f>
        <v>805</v>
      </c>
      <c r="G663" s="4">
        <f>IFERROR(__xludf.DUMMYFUNCTION("""COMPUTED_VALUE"""),0.0)</f>
        <v>0</v>
      </c>
      <c r="H663" s="4"/>
      <c r="I663" s="4"/>
    </row>
    <row r="664">
      <c r="A664" s="4" t="str">
        <f>IFERROR(__xludf.DUMMYFUNCTION("""COMPUTED_VALUE"""),"cas_hmw")</f>
        <v>cas_hmw</v>
      </c>
      <c r="B664" s="5">
        <f>IFERROR(__xludf.DUMMYFUNCTION("""COMPUTED_VALUE"""),44729.0)</f>
        <v>44729</v>
      </c>
      <c r="C664" s="6">
        <f>IFERROR(__xludf.DUMMYFUNCTION("""COMPUTED_VALUE"""),0.8281481481499213)</f>
        <v>0.8281481481</v>
      </c>
      <c r="D664" s="4">
        <f>IFERROR(__xludf.DUMMYFUNCTION("""COMPUTED_VALUE"""),13.067021)</f>
        <v>13.067021</v>
      </c>
      <c r="E664" s="4">
        <f>IFERROR(__xludf.DUMMYFUNCTION("""COMPUTED_VALUE"""),80.175539)</f>
        <v>80.175539</v>
      </c>
      <c r="F664" s="4">
        <f>IFERROR(__xludf.DUMMYFUNCTION("""COMPUTED_VALUE"""),805.0)</f>
        <v>805</v>
      </c>
      <c r="G664" s="4">
        <f>IFERROR(__xludf.DUMMYFUNCTION("""COMPUTED_VALUE"""),0.0)</f>
        <v>0</v>
      </c>
      <c r="H664" s="4"/>
      <c r="I664" s="4"/>
    </row>
    <row r="665">
      <c r="A665" s="4" t="str">
        <f>IFERROR(__xludf.DUMMYFUNCTION("""COMPUTED_VALUE"""),"cas_hmw")</f>
        <v>cas_hmw</v>
      </c>
      <c r="B665" s="5">
        <f>IFERROR(__xludf.DUMMYFUNCTION("""COMPUTED_VALUE"""),44729.0)</f>
        <v>44729</v>
      </c>
      <c r="C665" s="6">
        <f>IFERROR(__xludf.DUMMYFUNCTION("""COMPUTED_VALUE"""),0.8282870370385353)</f>
        <v>0.828287037</v>
      </c>
      <c r="D665" s="4">
        <f>IFERROR(__xludf.DUMMYFUNCTION("""COMPUTED_VALUE"""),13.067021)</f>
        <v>13.067021</v>
      </c>
      <c r="E665" s="4">
        <f>IFERROR(__xludf.DUMMYFUNCTION("""COMPUTED_VALUE"""),80.175539)</f>
        <v>80.175539</v>
      </c>
      <c r="F665" s="4">
        <f>IFERROR(__xludf.DUMMYFUNCTION("""COMPUTED_VALUE"""),805.0)</f>
        <v>805</v>
      </c>
      <c r="G665" s="4">
        <f>IFERROR(__xludf.DUMMYFUNCTION("""COMPUTED_VALUE"""),0.0)</f>
        <v>0</v>
      </c>
      <c r="H665" s="4"/>
      <c r="I665" s="4"/>
    </row>
    <row r="666">
      <c r="A666" s="4" t="str">
        <f>IFERROR(__xludf.DUMMYFUNCTION("""COMPUTED_VALUE"""),"cas_hmw")</f>
        <v>cas_hmw</v>
      </c>
      <c r="B666" s="5">
        <f>IFERROR(__xludf.DUMMYFUNCTION("""COMPUTED_VALUE"""),44729.0)</f>
        <v>44729</v>
      </c>
      <c r="C666" s="6">
        <f>IFERROR(__xludf.DUMMYFUNCTION("""COMPUTED_VALUE"""),0.8612731481480296)</f>
        <v>0.8612731481</v>
      </c>
      <c r="D666" s="4">
        <f>IFERROR(__xludf.DUMMYFUNCTION("""COMPUTED_VALUE"""),12.903333)</f>
        <v>12.903333</v>
      </c>
      <c r="E666" s="4">
        <f>IFERROR(__xludf.DUMMYFUNCTION("""COMPUTED_VALUE"""),80.09411)</f>
        <v>80.09411</v>
      </c>
      <c r="F666" s="4">
        <f>IFERROR(__xludf.DUMMYFUNCTION("""COMPUTED_VALUE"""),805.0)</f>
        <v>805</v>
      </c>
      <c r="G666" s="4">
        <f>IFERROR(__xludf.DUMMYFUNCTION("""COMPUTED_VALUE"""),20.0)</f>
        <v>20</v>
      </c>
      <c r="H666" s="4"/>
      <c r="I666" s="4"/>
    </row>
    <row r="667">
      <c r="A667" s="4" t="str">
        <f>IFERROR(__xludf.DUMMYFUNCTION("""COMPUTED_VALUE"""),"cas_hmw")</f>
        <v>cas_hmw</v>
      </c>
      <c r="B667" s="5">
        <f>IFERROR(__xludf.DUMMYFUNCTION("""COMPUTED_VALUE"""),44729.0)</f>
        <v>44729</v>
      </c>
      <c r="C667" s="6">
        <f>IFERROR(__xludf.DUMMYFUNCTION("""COMPUTED_VALUE"""),0.8612847222211713)</f>
        <v>0.8612847222</v>
      </c>
      <c r="D667" s="4">
        <f>IFERROR(__xludf.DUMMYFUNCTION("""COMPUTED_VALUE"""),12.903333)</f>
        <v>12.903333</v>
      </c>
      <c r="E667" s="4">
        <f>IFERROR(__xludf.DUMMYFUNCTION("""COMPUTED_VALUE"""),80.09411)</f>
        <v>80.09411</v>
      </c>
      <c r="F667" s="4">
        <f>IFERROR(__xludf.DUMMYFUNCTION("""COMPUTED_VALUE"""),805.0)</f>
        <v>805</v>
      </c>
      <c r="G667" s="4">
        <f>IFERROR(__xludf.DUMMYFUNCTION("""COMPUTED_VALUE"""),20.0)</f>
        <v>20</v>
      </c>
      <c r="H667" s="4"/>
      <c r="I667" s="4"/>
    </row>
    <row r="668">
      <c r="A668" s="4" t="str">
        <f>IFERROR(__xludf.DUMMYFUNCTION("""COMPUTED_VALUE"""),"cas_hmw")</f>
        <v>cas_hmw</v>
      </c>
      <c r="B668" s="5">
        <f>IFERROR(__xludf.DUMMYFUNCTION("""COMPUTED_VALUE"""),44732.0)</f>
        <v>44732</v>
      </c>
      <c r="C668" s="6">
        <f>IFERROR(__xludf.DUMMYFUNCTION("""COMPUTED_VALUE"""),0.25822916666584206)</f>
        <v>0.2582291667</v>
      </c>
      <c r="D668" s="4">
        <f>IFERROR(__xludf.DUMMYFUNCTION("""COMPUTED_VALUE"""),12.956087)</f>
        <v>12.956087</v>
      </c>
      <c r="E668" s="4">
        <f>IFERROR(__xludf.DUMMYFUNCTION("""COMPUTED_VALUE"""),80.143013)</f>
        <v>80.143013</v>
      </c>
      <c r="F668" s="4">
        <f>IFERROR(__xludf.DUMMYFUNCTION("""COMPUTED_VALUE"""),5339.0)</f>
        <v>5339</v>
      </c>
      <c r="G668" s="4">
        <f>IFERROR(__xludf.DUMMYFUNCTION("""COMPUTED_VALUE"""),0.0)</f>
        <v>0</v>
      </c>
      <c r="H668" s="4"/>
      <c r="I668" s="4"/>
    </row>
    <row r="669">
      <c r="A669" s="4" t="str">
        <f>IFERROR(__xludf.DUMMYFUNCTION("""COMPUTED_VALUE"""),"cas_hmw")</f>
        <v>cas_hmw</v>
      </c>
      <c r="B669" s="5">
        <f>IFERROR(__xludf.DUMMYFUNCTION("""COMPUTED_VALUE"""),44732.0)</f>
        <v>44732</v>
      </c>
      <c r="C669" s="6">
        <f>IFERROR(__xludf.DUMMYFUNCTION("""COMPUTED_VALUE"""),0.26568287036934635)</f>
        <v>0.2656828704</v>
      </c>
      <c r="D669" s="4">
        <f>IFERROR(__xludf.DUMMYFUNCTION("""COMPUTED_VALUE"""),12.928661)</f>
        <v>12.928661</v>
      </c>
      <c r="E669" s="4">
        <f>IFERROR(__xludf.DUMMYFUNCTION("""COMPUTED_VALUE"""),80.119804)</f>
        <v>80.119804</v>
      </c>
      <c r="F669" s="4">
        <f>IFERROR(__xludf.DUMMYFUNCTION("""COMPUTED_VALUE"""),805.0)</f>
        <v>805</v>
      </c>
      <c r="G669" s="4">
        <f>IFERROR(__xludf.DUMMYFUNCTION("""COMPUTED_VALUE"""),13.0)</f>
        <v>13</v>
      </c>
      <c r="H669" s="4"/>
      <c r="I669" s="4"/>
    </row>
    <row r="670">
      <c r="A670" s="4" t="str">
        <f>IFERROR(__xludf.DUMMYFUNCTION("""COMPUTED_VALUE"""),"cas_hmw")</f>
        <v>cas_hmw</v>
      </c>
      <c r="B670" s="5">
        <f>IFERROR(__xludf.DUMMYFUNCTION("""COMPUTED_VALUE"""),44732.0)</f>
        <v>44732</v>
      </c>
      <c r="C670" s="6">
        <f>IFERROR(__xludf.DUMMYFUNCTION("""COMPUTED_VALUE"""),0.2663773148160544)</f>
        <v>0.2663773148</v>
      </c>
      <c r="D670" s="4">
        <f>IFERROR(__xludf.DUMMYFUNCTION("""COMPUTED_VALUE"""),12.931324)</f>
        <v>12.931324</v>
      </c>
      <c r="E670" s="4">
        <f>IFERROR(__xludf.DUMMYFUNCTION("""COMPUTED_VALUE"""),80.122451)</f>
        <v>80.122451</v>
      </c>
      <c r="F670" s="4">
        <f>IFERROR(__xludf.DUMMYFUNCTION("""COMPUTED_VALUE"""),805.0)</f>
        <v>805</v>
      </c>
      <c r="G670" s="4">
        <f>IFERROR(__xludf.DUMMYFUNCTION("""COMPUTED_VALUE"""),18.0)</f>
        <v>18</v>
      </c>
      <c r="H670" s="4"/>
      <c r="I670" s="4"/>
    </row>
    <row r="671">
      <c r="A671" s="4" t="str">
        <f>IFERROR(__xludf.DUMMYFUNCTION("""COMPUTED_VALUE"""),"cas_hmw")</f>
        <v>cas_hmw</v>
      </c>
      <c r="B671" s="5">
        <f>IFERROR(__xludf.DUMMYFUNCTION("""COMPUTED_VALUE"""),44732.0)</f>
        <v>44732</v>
      </c>
      <c r="C671" s="6">
        <f>IFERROR(__xludf.DUMMYFUNCTION("""COMPUTED_VALUE"""),0.27709490740744513)</f>
        <v>0.2770949074</v>
      </c>
      <c r="D671" s="4">
        <f>IFERROR(__xludf.DUMMYFUNCTION("""COMPUTED_VALUE"""),13.002962)</f>
        <v>13.002962</v>
      </c>
      <c r="E671" s="4">
        <f>IFERROR(__xludf.DUMMYFUNCTION("""COMPUTED_VALUE"""),80.200716)</f>
        <v>80.200716</v>
      </c>
      <c r="F671" s="4">
        <f>IFERROR(__xludf.DUMMYFUNCTION("""COMPUTED_VALUE"""),805.0)</f>
        <v>805</v>
      </c>
      <c r="G671" s="4">
        <f>IFERROR(__xludf.DUMMYFUNCTION("""COMPUTED_VALUE"""),7.0)</f>
        <v>7</v>
      </c>
      <c r="H671" s="4"/>
      <c r="I671" s="4"/>
    </row>
    <row r="672">
      <c r="A672" s="4" t="str">
        <f>IFERROR(__xludf.DUMMYFUNCTION("""COMPUTED_VALUE"""),"cas_hmw")</f>
        <v>cas_hmw</v>
      </c>
      <c r="B672" s="5">
        <f>IFERROR(__xludf.DUMMYFUNCTION("""COMPUTED_VALUE"""),44732.0)</f>
        <v>44732</v>
      </c>
      <c r="C672" s="6">
        <f>IFERROR(__xludf.DUMMYFUNCTION("""COMPUTED_VALUE"""),0.27712962963050813)</f>
        <v>0.2771296296</v>
      </c>
      <c r="D672" s="4">
        <f>IFERROR(__xludf.DUMMYFUNCTION("""COMPUTED_VALUE"""),13.002962)</f>
        <v>13.002962</v>
      </c>
      <c r="E672" s="4">
        <f>IFERROR(__xludf.DUMMYFUNCTION("""COMPUTED_VALUE"""),80.200716)</f>
        <v>80.200716</v>
      </c>
      <c r="F672" s="4">
        <f>IFERROR(__xludf.DUMMYFUNCTION("""COMPUTED_VALUE"""),805.0)</f>
        <v>805</v>
      </c>
      <c r="G672" s="4">
        <f>IFERROR(__xludf.DUMMYFUNCTION("""COMPUTED_VALUE"""),7.0)</f>
        <v>7</v>
      </c>
      <c r="H672" s="4"/>
      <c r="I672" s="4"/>
    </row>
    <row r="673">
      <c r="A673" s="4" t="str">
        <f>IFERROR(__xludf.DUMMYFUNCTION("""COMPUTED_VALUE"""),"cas_hmw")</f>
        <v>cas_hmw</v>
      </c>
      <c r="B673" s="5">
        <f>IFERROR(__xludf.DUMMYFUNCTION("""COMPUTED_VALUE"""),44732.0)</f>
        <v>44732</v>
      </c>
      <c r="C673" s="6">
        <f>IFERROR(__xludf.DUMMYFUNCTION("""COMPUTED_VALUE"""),0.27712962963050813)</f>
        <v>0.2771296296</v>
      </c>
      <c r="D673" s="4">
        <f>IFERROR(__xludf.DUMMYFUNCTION("""COMPUTED_VALUE"""),13.002962)</f>
        <v>13.002962</v>
      </c>
      <c r="E673" s="4">
        <f>IFERROR(__xludf.DUMMYFUNCTION("""COMPUTED_VALUE"""),80.200716)</f>
        <v>80.200716</v>
      </c>
      <c r="F673" s="4">
        <f>IFERROR(__xludf.DUMMYFUNCTION("""COMPUTED_VALUE"""),805.0)</f>
        <v>805</v>
      </c>
      <c r="G673" s="4">
        <f>IFERROR(__xludf.DUMMYFUNCTION("""COMPUTED_VALUE"""),7.0)</f>
        <v>7</v>
      </c>
      <c r="H673" s="4"/>
      <c r="I673" s="4"/>
    </row>
    <row r="674">
      <c r="A674" s="4" t="str">
        <f>IFERROR(__xludf.DUMMYFUNCTION("""COMPUTED_VALUE"""),"cas_hmw")</f>
        <v>cas_hmw</v>
      </c>
      <c r="B674" s="5">
        <f>IFERROR(__xludf.DUMMYFUNCTION("""COMPUTED_VALUE"""),44732.0)</f>
        <v>44732</v>
      </c>
      <c r="C674" s="6">
        <f>IFERROR(__xludf.DUMMYFUNCTION("""COMPUTED_VALUE"""),0.31273148148102337)</f>
        <v>0.3127314815</v>
      </c>
      <c r="D674" s="4">
        <f>IFERROR(__xludf.DUMMYFUNCTION("""COMPUTED_VALUE"""),13.051505)</f>
        <v>13.051505</v>
      </c>
      <c r="E674" s="4">
        <f>IFERROR(__xludf.DUMMYFUNCTION("""COMPUTED_VALUE"""),80.250296)</f>
        <v>80.250296</v>
      </c>
      <c r="F674" s="4">
        <f>IFERROR(__xludf.DUMMYFUNCTION("""COMPUTED_VALUE"""),5339.0)</f>
        <v>5339</v>
      </c>
      <c r="G674" s="4">
        <f>IFERROR(__xludf.DUMMYFUNCTION("""COMPUTED_VALUE"""),20.0)</f>
        <v>20</v>
      </c>
      <c r="H674" s="4"/>
      <c r="I674" s="4"/>
    </row>
    <row r="675">
      <c r="A675" s="4" t="str">
        <f>IFERROR(__xludf.DUMMYFUNCTION("""COMPUTED_VALUE"""),"cas_hmw")</f>
        <v>cas_hmw</v>
      </c>
      <c r="B675" s="5">
        <f>IFERROR(__xludf.DUMMYFUNCTION("""COMPUTED_VALUE"""),44732.0)</f>
        <v>44732</v>
      </c>
      <c r="C675" s="6">
        <f>IFERROR(__xludf.DUMMYFUNCTION("""COMPUTED_VALUE"""),0.3188310185178125)</f>
        <v>0.3188310185</v>
      </c>
      <c r="D675" s="4">
        <f>IFERROR(__xludf.DUMMYFUNCTION("""COMPUTED_VALUE"""),12.681405)</f>
        <v>12.681405</v>
      </c>
      <c r="E675" s="4">
        <f>IFERROR(__xludf.DUMMYFUNCTION("""COMPUTED_VALUE"""),79.981677)</f>
        <v>79.981677</v>
      </c>
      <c r="F675" s="4">
        <f>IFERROR(__xludf.DUMMYFUNCTION("""COMPUTED_VALUE"""),2846.0)</f>
        <v>2846</v>
      </c>
      <c r="G675" s="4">
        <f>IFERROR(__xludf.DUMMYFUNCTION("""COMPUTED_VALUE"""),11.0)</f>
        <v>11</v>
      </c>
      <c r="H675" s="4"/>
      <c r="I675" s="4"/>
    </row>
    <row r="676">
      <c r="A676" s="4" t="str">
        <f>IFERROR(__xludf.DUMMYFUNCTION("""COMPUTED_VALUE"""),"cas_hmw")</f>
        <v>cas_hmw</v>
      </c>
      <c r="B676" s="5">
        <f>IFERROR(__xludf.DUMMYFUNCTION("""COMPUTED_VALUE"""),44732.0)</f>
        <v>44732</v>
      </c>
      <c r="C676" s="6">
        <f>IFERROR(__xludf.DUMMYFUNCTION("""COMPUTED_VALUE"""),0.3191550925912452)</f>
        <v>0.3191550926</v>
      </c>
      <c r="D676" s="4">
        <f>IFERROR(__xludf.DUMMYFUNCTION("""COMPUTED_VALUE"""),13.022206)</f>
        <v>13.022206</v>
      </c>
      <c r="E676" s="4">
        <f>IFERROR(__xludf.DUMMYFUNCTION("""COMPUTED_VALUE"""),80.263488)</f>
        <v>80.263488</v>
      </c>
      <c r="F676" s="4">
        <f>IFERROR(__xludf.DUMMYFUNCTION("""COMPUTED_VALUE"""),805.0)</f>
        <v>805</v>
      </c>
      <c r="G676" s="4">
        <f>IFERROR(__xludf.DUMMYFUNCTION("""COMPUTED_VALUE"""),15.0)</f>
        <v>15</v>
      </c>
      <c r="H676" s="4"/>
      <c r="I676" s="4"/>
    </row>
    <row r="677">
      <c r="A677" s="4" t="str">
        <f>IFERROR(__xludf.DUMMYFUNCTION("""COMPUTED_VALUE"""),"cas_hmw")</f>
        <v>cas_hmw</v>
      </c>
      <c r="B677" s="5">
        <f>IFERROR(__xludf.DUMMYFUNCTION("""COMPUTED_VALUE"""),44732.0)</f>
        <v>44732</v>
      </c>
      <c r="C677" s="6">
        <f>IFERROR(__xludf.DUMMYFUNCTION("""COMPUTED_VALUE"""),0.3191550925912452)</f>
        <v>0.3191550926</v>
      </c>
      <c r="D677" s="4">
        <f>IFERROR(__xludf.DUMMYFUNCTION("""COMPUTED_VALUE"""),13.022206)</f>
        <v>13.022206</v>
      </c>
      <c r="E677" s="4">
        <f>IFERROR(__xludf.DUMMYFUNCTION("""COMPUTED_VALUE"""),80.263488)</f>
        <v>80.263488</v>
      </c>
      <c r="F677" s="4">
        <f>IFERROR(__xludf.DUMMYFUNCTION("""COMPUTED_VALUE"""),805.0)</f>
        <v>805</v>
      </c>
      <c r="G677" s="4">
        <f>IFERROR(__xludf.DUMMYFUNCTION("""COMPUTED_VALUE"""),15.0)</f>
        <v>15</v>
      </c>
      <c r="H677" s="4"/>
      <c r="I677" s="4"/>
    </row>
    <row r="678">
      <c r="A678" s="4" t="str">
        <f>IFERROR(__xludf.DUMMYFUNCTION("""COMPUTED_VALUE"""),"cas_hmw")</f>
        <v>cas_hmw</v>
      </c>
      <c r="B678" s="5">
        <f>IFERROR(__xludf.DUMMYFUNCTION("""COMPUTED_VALUE"""),44732.0)</f>
        <v>44732</v>
      </c>
      <c r="C678" s="6">
        <f>IFERROR(__xludf.DUMMYFUNCTION("""COMPUTED_VALUE"""),0.31916666666802485)</f>
        <v>0.3191666667</v>
      </c>
      <c r="D678" s="4">
        <f>IFERROR(__xludf.DUMMYFUNCTION("""COMPUTED_VALUE"""),13.022206)</f>
        <v>13.022206</v>
      </c>
      <c r="E678" s="4">
        <f>IFERROR(__xludf.DUMMYFUNCTION("""COMPUTED_VALUE"""),80.263488)</f>
        <v>80.263488</v>
      </c>
      <c r="F678" s="4">
        <f>IFERROR(__xludf.DUMMYFUNCTION("""COMPUTED_VALUE"""),805.0)</f>
        <v>805</v>
      </c>
      <c r="G678" s="4">
        <f>IFERROR(__xludf.DUMMYFUNCTION("""COMPUTED_VALUE"""),15.0)</f>
        <v>15</v>
      </c>
      <c r="H678" s="4"/>
      <c r="I678" s="4"/>
    </row>
    <row r="679">
      <c r="A679" s="4" t="str">
        <f>IFERROR(__xludf.DUMMYFUNCTION("""COMPUTED_VALUE"""),"cas_hmw")</f>
        <v>cas_hmw</v>
      </c>
      <c r="B679" s="5">
        <f>IFERROR(__xludf.DUMMYFUNCTION("""COMPUTED_VALUE"""),44732.0)</f>
        <v>44732</v>
      </c>
      <c r="C679" s="6">
        <f>IFERROR(__xludf.DUMMYFUNCTION("""COMPUTED_VALUE"""),0.3191782407411665)</f>
        <v>0.3191782407</v>
      </c>
      <c r="D679" s="4">
        <f>IFERROR(__xludf.DUMMYFUNCTION("""COMPUTED_VALUE"""),13.022206)</f>
        <v>13.022206</v>
      </c>
      <c r="E679" s="4">
        <f>IFERROR(__xludf.DUMMYFUNCTION("""COMPUTED_VALUE"""),80.263488)</f>
        <v>80.263488</v>
      </c>
      <c r="F679" s="4">
        <f>IFERROR(__xludf.DUMMYFUNCTION("""COMPUTED_VALUE"""),805.0)</f>
        <v>805</v>
      </c>
      <c r="G679" s="4">
        <f>IFERROR(__xludf.DUMMYFUNCTION("""COMPUTED_VALUE"""),15.0)</f>
        <v>15</v>
      </c>
      <c r="H679" s="4"/>
      <c r="I679" s="4"/>
    </row>
    <row r="680">
      <c r="A680" s="4" t="str">
        <f>IFERROR(__xludf.DUMMYFUNCTION("""COMPUTED_VALUE"""),"cas_hmw")</f>
        <v>cas_hmw</v>
      </c>
      <c r="B680" s="5">
        <f>IFERROR(__xludf.DUMMYFUNCTION("""COMPUTED_VALUE"""),44732.0)</f>
        <v>44732</v>
      </c>
      <c r="C680" s="6">
        <f>IFERROR(__xludf.DUMMYFUNCTION("""COMPUTED_VALUE"""),0.3272453703721112)</f>
        <v>0.3272453704</v>
      </c>
      <c r="D680" s="4">
        <f>IFERROR(__xludf.DUMMYFUNCTION("""COMPUTED_VALUE"""),12.989712)</f>
        <v>12.989712</v>
      </c>
      <c r="E680" s="4">
        <f>IFERROR(__xludf.DUMMYFUNCTION("""COMPUTED_VALUE"""),80.179277)</f>
        <v>80.179277</v>
      </c>
      <c r="F680" s="4">
        <f>IFERROR(__xludf.DUMMYFUNCTION("""COMPUTED_VALUE"""),5339.0)</f>
        <v>5339</v>
      </c>
      <c r="G680" s="4">
        <f>IFERROR(__xludf.DUMMYFUNCTION("""COMPUTED_VALUE"""),16.0)</f>
        <v>16</v>
      </c>
      <c r="H680" s="4"/>
      <c r="I680" s="4"/>
    </row>
    <row r="681">
      <c r="A681" s="4" t="str">
        <f>IFERROR(__xludf.DUMMYFUNCTION("""COMPUTED_VALUE"""),"cas_hmw")</f>
        <v>cas_hmw</v>
      </c>
      <c r="B681" s="5">
        <f>IFERROR(__xludf.DUMMYFUNCTION("""COMPUTED_VALUE"""),44732.0)</f>
        <v>44732</v>
      </c>
      <c r="C681" s="6">
        <f>IFERROR(__xludf.DUMMYFUNCTION("""COMPUTED_VALUE"""),0.32748842592627625)</f>
        <v>0.3274884259</v>
      </c>
      <c r="D681" s="4">
        <f>IFERROR(__xludf.DUMMYFUNCTION("""COMPUTED_VALUE"""),13.006582)</f>
        <v>13.006582</v>
      </c>
      <c r="E681" s="4">
        <f>IFERROR(__xludf.DUMMYFUNCTION("""COMPUTED_VALUE"""),80.242986)</f>
        <v>80.242986</v>
      </c>
      <c r="F681" s="4">
        <f>IFERROR(__xludf.DUMMYFUNCTION("""COMPUTED_VALUE"""),805.0)</f>
        <v>805</v>
      </c>
      <c r="G681" s="4">
        <f>IFERROR(__xludf.DUMMYFUNCTION("""COMPUTED_VALUE"""),17.0)</f>
        <v>17</v>
      </c>
      <c r="H681" s="4"/>
      <c r="I681" s="4"/>
    </row>
    <row r="682">
      <c r="A682" s="4" t="str">
        <f>IFERROR(__xludf.DUMMYFUNCTION("""COMPUTED_VALUE"""),"cas_hmw")</f>
        <v>cas_hmw</v>
      </c>
      <c r="B682" s="5">
        <f>IFERROR(__xludf.DUMMYFUNCTION("""COMPUTED_VALUE"""),44732.0)</f>
        <v>44732</v>
      </c>
      <c r="C682" s="6">
        <f>IFERROR(__xludf.DUMMYFUNCTION("""COMPUTED_VALUE"""),0.3274999999994179)</f>
        <v>0.3275</v>
      </c>
      <c r="D682" s="4">
        <f>IFERROR(__xludf.DUMMYFUNCTION("""COMPUTED_VALUE"""),13.006582)</f>
        <v>13.006582</v>
      </c>
      <c r="E682" s="4">
        <f>IFERROR(__xludf.DUMMYFUNCTION("""COMPUTED_VALUE"""),80.242986)</f>
        <v>80.242986</v>
      </c>
      <c r="F682" s="4">
        <f>IFERROR(__xludf.DUMMYFUNCTION("""COMPUTED_VALUE"""),805.0)</f>
        <v>805</v>
      </c>
      <c r="G682" s="4">
        <f>IFERROR(__xludf.DUMMYFUNCTION("""COMPUTED_VALUE"""),17.0)</f>
        <v>17</v>
      </c>
      <c r="H682" s="4"/>
      <c r="I682" s="4"/>
    </row>
    <row r="683">
      <c r="A683" s="4" t="str">
        <f>IFERROR(__xludf.DUMMYFUNCTION("""COMPUTED_VALUE"""),"cas_hmw")</f>
        <v>cas_hmw</v>
      </c>
      <c r="B683" s="5">
        <f>IFERROR(__xludf.DUMMYFUNCTION("""COMPUTED_VALUE"""),44732.0)</f>
        <v>44732</v>
      </c>
      <c r="C683" s="6">
        <f>IFERROR(__xludf.DUMMYFUNCTION("""COMPUTED_VALUE"""),0.32915509259328246)</f>
        <v>0.3291550926</v>
      </c>
      <c r="D683" s="4">
        <f>IFERROR(__xludf.DUMMYFUNCTION("""COMPUTED_VALUE"""),13.007862)</f>
        <v>13.007862</v>
      </c>
      <c r="E683" s="4">
        <f>IFERROR(__xludf.DUMMYFUNCTION("""COMPUTED_VALUE"""),80.23509)</f>
        <v>80.23509</v>
      </c>
      <c r="F683" s="4">
        <f>IFERROR(__xludf.DUMMYFUNCTION("""COMPUTED_VALUE"""),805.0)</f>
        <v>805</v>
      </c>
      <c r="G683" s="4">
        <f>IFERROR(__xludf.DUMMYFUNCTION("""COMPUTED_VALUE"""),12.0)</f>
        <v>12</v>
      </c>
      <c r="H683" s="4"/>
      <c r="I683" s="4"/>
    </row>
    <row r="684">
      <c r="A684" s="4" t="str">
        <f>IFERROR(__xludf.DUMMYFUNCTION("""COMPUTED_VALUE"""),"cas_hmw")</f>
        <v>cas_hmw</v>
      </c>
      <c r="B684" s="5">
        <f>IFERROR(__xludf.DUMMYFUNCTION("""COMPUTED_VALUE"""),44732.0)</f>
        <v>44732</v>
      </c>
      <c r="C684" s="6">
        <f>IFERROR(__xludf.DUMMYFUNCTION("""COMPUTED_VALUE"""),0.3328819444432156)</f>
        <v>0.3328819444</v>
      </c>
      <c r="D684" s="4">
        <f>IFERROR(__xludf.DUMMYFUNCTION("""COMPUTED_VALUE"""),12.962035)</f>
        <v>12.962035</v>
      </c>
      <c r="E684" s="4">
        <f>IFERROR(__xludf.DUMMYFUNCTION("""COMPUTED_VALUE"""),80.146373)</f>
        <v>80.146373</v>
      </c>
      <c r="F684" s="4">
        <f>IFERROR(__xludf.DUMMYFUNCTION("""COMPUTED_VALUE"""),5339.0)</f>
        <v>5339</v>
      </c>
      <c r="G684" s="4">
        <f>IFERROR(__xludf.DUMMYFUNCTION("""COMPUTED_VALUE"""),16.0)</f>
        <v>16</v>
      </c>
      <c r="H684" s="4"/>
      <c r="I684" s="4"/>
    </row>
    <row r="685">
      <c r="A685" s="4" t="str">
        <f>IFERROR(__xludf.DUMMYFUNCTION("""COMPUTED_VALUE"""),"cas_hmw")</f>
        <v>cas_hmw</v>
      </c>
      <c r="B685" s="5">
        <f>IFERROR(__xludf.DUMMYFUNCTION("""COMPUTED_VALUE"""),44732.0)</f>
        <v>44732</v>
      </c>
      <c r="C685" s="6">
        <f>IFERROR(__xludf.DUMMYFUNCTION("""COMPUTED_VALUE"""),0.3328819444432156)</f>
        <v>0.3328819444</v>
      </c>
      <c r="D685" s="4">
        <f>IFERROR(__xludf.DUMMYFUNCTION("""COMPUTED_VALUE"""),12.962035)</f>
        <v>12.962035</v>
      </c>
      <c r="E685" s="4">
        <f>IFERROR(__xludf.DUMMYFUNCTION("""COMPUTED_VALUE"""),80.146373)</f>
        <v>80.146373</v>
      </c>
      <c r="F685" s="4">
        <f>IFERROR(__xludf.DUMMYFUNCTION("""COMPUTED_VALUE"""),5339.0)</f>
        <v>5339</v>
      </c>
      <c r="G685" s="4">
        <f>IFERROR(__xludf.DUMMYFUNCTION("""COMPUTED_VALUE"""),16.0)</f>
        <v>16</v>
      </c>
      <c r="H685" s="4"/>
      <c r="I685" s="4"/>
    </row>
    <row r="686">
      <c r="A686" s="4" t="str">
        <f>IFERROR(__xludf.DUMMYFUNCTION("""COMPUTED_VALUE"""),"cas_hmw")</f>
        <v>cas_hmw</v>
      </c>
      <c r="B686" s="5">
        <f>IFERROR(__xludf.DUMMYFUNCTION("""COMPUTED_VALUE"""),44732.0)</f>
        <v>44732</v>
      </c>
      <c r="C686" s="6">
        <f>IFERROR(__xludf.DUMMYFUNCTION("""COMPUTED_VALUE"""),0.33646990740817273)</f>
        <v>0.3364699074</v>
      </c>
      <c r="D686" s="4">
        <f>IFERROR(__xludf.DUMMYFUNCTION("""COMPUTED_VALUE"""),13.002789)</f>
        <v>13.002789</v>
      </c>
      <c r="E686" s="4">
        <f>IFERROR(__xludf.DUMMYFUNCTION("""COMPUTED_VALUE"""),80.200793)</f>
        <v>80.200793</v>
      </c>
      <c r="F686" s="4">
        <f>IFERROR(__xludf.DUMMYFUNCTION("""COMPUTED_VALUE"""),805.0)</f>
        <v>805</v>
      </c>
      <c r="G686" s="4">
        <f>IFERROR(__xludf.DUMMYFUNCTION("""COMPUTED_VALUE"""),14.0)</f>
        <v>14</v>
      </c>
      <c r="H686" s="4"/>
      <c r="I686" s="4"/>
    </row>
    <row r="687">
      <c r="A687" s="4" t="str">
        <f>IFERROR(__xludf.DUMMYFUNCTION("""COMPUTED_VALUE"""),"cas_hmw")</f>
        <v>cas_hmw</v>
      </c>
      <c r="B687" s="5">
        <f>IFERROR(__xludf.DUMMYFUNCTION("""COMPUTED_VALUE"""),44732.0)</f>
        <v>44732</v>
      </c>
      <c r="C687" s="6">
        <f>IFERROR(__xludf.DUMMYFUNCTION("""COMPUTED_VALUE"""),0.33694444444336114)</f>
        <v>0.3369444444</v>
      </c>
      <c r="D687" s="4">
        <f>IFERROR(__xludf.DUMMYFUNCTION("""COMPUTED_VALUE"""),13.001967)</f>
        <v>13.001967</v>
      </c>
      <c r="E687" s="4">
        <f>IFERROR(__xludf.DUMMYFUNCTION("""COMPUTED_VALUE"""),80.197192)</f>
        <v>80.197192</v>
      </c>
      <c r="F687" s="4">
        <f>IFERROR(__xludf.DUMMYFUNCTION("""COMPUTED_VALUE"""),805.0)</f>
        <v>805</v>
      </c>
      <c r="G687" s="4">
        <f>IFERROR(__xludf.DUMMYFUNCTION("""COMPUTED_VALUE"""),0.0)</f>
        <v>0</v>
      </c>
      <c r="H687" s="4"/>
      <c r="I687" s="4"/>
    </row>
    <row r="688">
      <c r="A688" s="4" t="str">
        <f>IFERROR(__xludf.DUMMYFUNCTION("""COMPUTED_VALUE"""),"cas_hmw")</f>
        <v>cas_hmw</v>
      </c>
      <c r="B688" s="5">
        <f>IFERROR(__xludf.DUMMYFUNCTION("""COMPUTED_VALUE"""),44732.0)</f>
        <v>44732</v>
      </c>
      <c r="C688" s="6">
        <f>IFERROR(__xludf.DUMMYFUNCTION("""COMPUTED_VALUE"""),0.33701388888948713)</f>
        <v>0.3370138889</v>
      </c>
      <c r="D688" s="4">
        <f>IFERROR(__xludf.DUMMYFUNCTION("""COMPUTED_VALUE"""),13.001967)</f>
        <v>13.001967</v>
      </c>
      <c r="E688" s="4">
        <f>IFERROR(__xludf.DUMMYFUNCTION("""COMPUTED_VALUE"""),80.197192)</f>
        <v>80.197192</v>
      </c>
      <c r="F688" s="4">
        <f>IFERROR(__xludf.DUMMYFUNCTION("""COMPUTED_VALUE"""),805.0)</f>
        <v>805</v>
      </c>
      <c r="G688" s="4">
        <f>IFERROR(__xludf.DUMMYFUNCTION("""COMPUTED_VALUE"""),0.0)</f>
        <v>0</v>
      </c>
      <c r="H688" s="4"/>
      <c r="I688" s="4"/>
    </row>
    <row r="689">
      <c r="A689" s="4" t="str">
        <f>IFERROR(__xludf.DUMMYFUNCTION("""COMPUTED_VALUE"""),"cas_hmw")</f>
        <v>cas_hmw</v>
      </c>
      <c r="B689" s="5">
        <f>IFERROR(__xludf.DUMMYFUNCTION("""COMPUTED_VALUE"""),44732.0)</f>
        <v>44732</v>
      </c>
      <c r="C689" s="6">
        <f>IFERROR(__xludf.DUMMYFUNCTION("""COMPUTED_VALUE"""),0.3466550925913907)</f>
        <v>0.3466550926</v>
      </c>
      <c r="D689" s="4">
        <f>IFERROR(__xludf.DUMMYFUNCTION("""COMPUTED_VALUE"""),12.956126)</f>
        <v>12.956126</v>
      </c>
      <c r="E689" s="4">
        <f>IFERROR(__xludf.DUMMYFUNCTION("""COMPUTED_VALUE"""),80.143192)</f>
        <v>80.143192</v>
      </c>
      <c r="F689" s="4">
        <f>IFERROR(__xludf.DUMMYFUNCTION("""COMPUTED_VALUE"""),805.0)</f>
        <v>805</v>
      </c>
      <c r="G689" s="4">
        <f>IFERROR(__xludf.DUMMYFUNCTION("""COMPUTED_VALUE"""),0.0)</f>
        <v>0</v>
      </c>
      <c r="H689" s="4"/>
      <c r="I689" s="4"/>
    </row>
    <row r="690">
      <c r="A690" s="4" t="str">
        <f>IFERROR(__xludf.DUMMYFUNCTION("""COMPUTED_VALUE"""),"cas_hmw")</f>
        <v>cas_hmw</v>
      </c>
      <c r="B690" s="5">
        <f>IFERROR(__xludf.DUMMYFUNCTION("""COMPUTED_VALUE"""),44732.0)</f>
        <v>44732</v>
      </c>
      <c r="C690" s="6">
        <f>IFERROR(__xludf.DUMMYFUNCTION("""COMPUTED_VALUE"""),0.7856944444429246)</f>
        <v>0.7856944444</v>
      </c>
      <c r="D690" s="4">
        <f>IFERROR(__xludf.DUMMYFUNCTION("""COMPUTED_VALUE"""),12.8309)</f>
        <v>12.8309</v>
      </c>
      <c r="E690" s="4">
        <f>IFERROR(__xludf.DUMMYFUNCTION("""COMPUTED_VALUE"""),80.04618)</f>
        <v>80.04618</v>
      </c>
      <c r="F690" s="4">
        <f>IFERROR(__xludf.DUMMYFUNCTION("""COMPUTED_VALUE"""),2846.0)</f>
        <v>2846</v>
      </c>
      <c r="G690" s="4">
        <f>IFERROR(__xludf.DUMMYFUNCTION("""COMPUTED_VALUE"""),13.0)</f>
        <v>13</v>
      </c>
      <c r="H690" s="4"/>
      <c r="I690" s="4"/>
    </row>
    <row r="691">
      <c r="A691" s="4" t="str">
        <f>IFERROR(__xludf.DUMMYFUNCTION("""COMPUTED_VALUE"""),"cas_hmw")</f>
        <v>cas_hmw</v>
      </c>
      <c r="B691" s="5">
        <f>IFERROR(__xludf.DUMMYFUNCTION("""COMPUTED_VALUE"""),44732.0)</f>
        <v>44732</v>
      </c>
      <c r="C691" s="6">
        <f>IFERROR(__xludf.DUMMYFUNCTION("""COMPUTED_VALUE"""),0.7977430555547471)</f>
        <v>0.7977430556</v>
      </c>
      <c r="D691" s="4">
        <f>IFERROR(__xludf.DUMMYFUNCTION("""COMPUTED_VALUE"""),12.742923)</f>
        <v>12.742923</v>
      </c>
      <c r="E691" s="4">
        <f>IFERROR(__xludf.DUMMYFUNCTION("""COMPUTED_VALUE"""),79.992363)</f>
        <v>79.992363</v>
      </c>
      <c r="F691" s="4">
        <f>IFERROR(__xludf.DUMMYFUNCTION("""COMPUTED_VALUE"""),2846.0)</f>
        <v>2846</v>
      </c>
      <c r="G691" s="4">
        <f>IFERROR(__xludf.DUMMYFUNCTION("""COMPUTED_VALUE"""),0.0)</f>
        <v>0</v>
      </c>
      <c r="H691" s="4"/>
      <c r="I691" s="4"/>
    </row>
    <row r="692">
      <c r="A692" s="4" t="str">
        <f>IFERROR(__xludf.DUMMYFUNCTION("""COMPUTED_VALUE"""),"cas_hmw")</f>
        <v>cas_hmw</v>
      </c>
      <c r="B692" s="5">
        <f>IFERROR(__xludf.DUMMYFUNCTION("""COMPUTED_VALUE"""),44732.0)</f>
        <v>44732</v>
      </c>
      <c r="C692" s="6">
        <f>IFERROR(__xludf.DUMMYFUNCTION("""COMPUTED_VALUE"""),0.7998263888875954)</f>
        <v>0.7998263889</v>
      </c>
      <c r="D692" s="4">
        <f>IFERROR(__xludf.DUMMYFUNCTION("""COMPUTED_VALUE"""),12.724152)</f>
        <v>12.724152</v>
      </c>
      <c r="E692" s="4">
        <f>IFERROR(__xludf.DUMMYFUNCTION("""COMPUTED_VALUE"""),79.982052)</f>
        <v>79.982052</v>
      </c>
      <c r="F692" s="4">
        <f>IFERROR(__xludf.DUMMYFUNCTION("""COMPUTED_VALUE"""),2846.0)</f>
        <v>2846</v>
      </c>
      <c r="G692" s="4">
        <f>IFERROR(__xludf.DUMMYFUNCTION("""COMPUTED_VALUE"""),10.0)</f>
        <v>10</v>
      </c>
      <c r="H692" s="4"/>
      <c r="I692" s="4"/>
    </row>
    <row r="693">
      <c r="A693" s="4" t="str">
        <f>IFERROR(__xludf.DUMMYFUNCTION("""COMPUTED_VALUE"""),"cas_hmw")</f>
        <v>cas_hmw</v>
      </c>
      <c r="B693" s="5">
        <f>IFERROR(__xludf.DUMMYFUNCTION("""COMPUTED_VALUE"""),44732.0)</f>
        <v>44732</v>
      </c>
      <c r="C693" s="6">
        <f>IFERROR(__xludf.DUMMYFUNCTION("""COMPUTED_VALUE"""),0.8665972222224809)</f>
        <v>0.8665972222</v>
      </c>
      <c r="D693" s="4">
        <f>IFERROR(__xludf.DUMMYFUNCTION("""COMPUTED_VALUE"""),12.762531)</f>
        <v>12.762531</v>
      </c>
      <c r="E693" s="4">
        <f>IFERROR(__xludf.DUMMYFUNCTION("""COMPUTED_VALUE"""),80.003835)</f>
        <v>80.003835</v>
      </c>
      <c r="F693" s="4">
        <f>IFERROR(__xludf.DUMMYFUNCTION("""COMPUTED_VALUE"""),2846.0)</f>
        <v>2846</v>
      </c>
      <c r="G693" s="4">
        <f>IFERROR(__xludf.DUMMYFUNCTION("""COMPUTED_VALUE"""),0.0)</f>
        <v>0</v>
      </c>
      <c r="H693" s="4"/>
      <c r="I693" s="4"/>
    </row>
    <row r="694">
      <c r="A694" s="4" t="str">
        <f>IFERROR(__xludf.DUMMYFUNCTION("""COMPUTED_VALUE"""),"cas_hmw")</f>
        <v>cas_hmw</v>
      </c>
      <c r="B694" s="5">
        <f>IFERROR(__xludf.DUMMYFUNCTION("""COMPUTED_VALUE"""),44732.0)</f>
        <v>44732</v>
      </c>
      <c r="C694" s="6">
        <f>IFERROR(__xludf.DUMMYFUNCTION("""COMPUTED_VALUE"""),0.8668287037035043)</f>
        <v>0.8668287037</v>
      </c>
      <c r="D694" s="4">
        <f>IFERROR(__xludf.DUMMYFUNCTION("""COMPUTED_VALUE"""),12.762531)</f>
        <v>12.762531</v>
      </c>
      <c r="E694" s="4">
        <f>IFERROR(__xludf.DUMMYFUNCTION("""COMPUTED_VALUE"""),80.003835)</f>
        <v>80.003835</v>
      </c>
      <c r="F694" s="4">
        <f>IFERROR(__xludf.DUMMYFUNCTION("""COMPUTED_VALUE"""),2846.0)</f>
        <v>2846</v>
      </c>
      <c r="G694" s="4">
        <f>IFERROR(__xludf.DUMMYFUNCTION("""COMPUTED_VALUE"""),0.0)</f>
        <v>0</v>
      </c>
      <c r="H694" s="4"/>
      <c r="I694" s="4"/>
    </row>
    <row r="695">
      <c r="A695" s="4" t="str">
        <f>IFERROR(__xludf.DUMMYFUNCTION("""COMPUTED_VALUE"""),"cas_hmw")</f>
        <v>cas_hmw</v>
      </c>
      <c r="B695" s="5">
        <f>IFERROR(__xludf.DUMMYFUNCTION("""COMPUTED_VALUE"""),44732.0)</f>
        <v>44732</v>
      </c>
      <c r="C695" s="6">
        <f>IFERROR(__xludf.DUMMYFUNCTION("""COMPUTED_VALUE"""),0.8790625000001455)</f>
        <v>0.8790625</v>
      </c>
      <c r="D695" s="4">
        <f>IFERROR(__xludf.DUMMYFUNCTION("""COMPUTED_VALUE"""),12.866449)</f>
        <v>12.866449</v>
      </c>
      <c r="E695" s="4">
        <f>IFERROR(__xludf.DUMMYFUNCTION("""COMPUTED_VALUE"""),80.074991)</f>
        <v>80.074991</v>
      </c>
      <c r="F695" s="4">
        <f>IFERROR(__xludf.DUMMYFUNCTION("""COMPUTED_VALUE"""),2846.0)</f>
        <v>2846</v>
      </c>
      <c r="G695" s="4">
        <f>IFERROR(__xludf.DUMMYFUNCTION("""COMPUTED_VALUE"""),15.0)</f>
        <v>15</v>
      </c>
      <c r="H695" s="4"/>
      <c r="I695" s="4"/>
    </row>
    <row r="696">
      <c r="A696" s="4" t="str">
        <f>IFERROR(__xludf.DUMMYFUNCTION("""COMPUTED_VALUE"""),"cas_hmw")</f>
        <v>cas_hmw</v>
      </c>
      <c r="B696" s="5">
        <f>IFERROR(__xludf.DUMMYFUNCTION("""COMPUTED_VALUE"""),44733.0)</f>
        <v>44733</v>
      </c>
      <c r="C696" s="6">
        <f>IFERROR(__xludf.DUMMYFUNCTION("""COMPUTED_VALUE"""),0.26037037037167465)</f>
        <v>0.2603703704</v>
      </c>
      <c r="D696" s="4">
        <f>IFERROR(__xludf.DUMMYFUNCTION("""COMPUTED_VALUE"""),12.881143)</f>
        <v>12.881143</v>
      </c>
      <c r="E696" s="4">
        <f>IFERROR(__xludf.DUMMYFUNCTION("""COMPUTED_VALUE"""),80.080615)</f>
        <v>80.080615</v>
      </c>
      <c r="F696" s="4">
        <f>IFERROR(__xludf.DUMMYFUNCTION("""COMPUTED_VALUE"""),805.0)</f>
        <v>805</v>
      </c>
      <c r="G696" s="4">
        <f>IFERROR(__xludf.DUMMYFUNCTION("""COMPUTED_VALUE"""),14.0)</f>
        <v>14</v>
      </c>
      <c r="H696" s="4"/>
      <c r="I696" s="4"/>
    </row>
    <row r="697">
      <c r="A697" s="4" t="str">
        <f>IFERROR(__xludf.DUMMYFUNCTION("""COMPUTED_VALUE"""),"cas_hmw")</f>
        <v>cas_hmw</v>
      </c>
      <c r="B697" s="5">
        <f>IFERROR(__xludf.DUMMYFUNCTION("""COMPUTED_VALUE"""),44733.0)</f>
        <v>44733</v>
      </c>
      <c r="C697" s="6">
        <f>IFERROR(__xludf.DUMMYFUNCTION("""COMPUTED_VALUE"""),0.2999652777762094)</f>
        <v>0.2999652778</v>
      </c>
      <c r="D697" s="4">
        <f>IFERROR(__xludf.DUMMYFUNCTION("""COMPUTED_VALUE"""),13.072528)</f>
        <v>13.072528</v>
      </c>
      <c r="E697" s="4">
        <f>IFERROR(__xludf.DUMMYFUNCTION("""COMPUTED_VALUE"""),80.263296)</f>
        <v>80.263296</v>
      </c>
      <c r="F697" s="4">
        <f>IFERROR(__xludf.DUMMYFUNCTION("""COMPUTED_VALUE"""),5339.0)</f>
        <v>5339</v>
      </c>
      <c r="G697" s="4">
        <f>IFERROR(__xludf.DUMMYFUNCTION("""COMPUTED_VALUE"""),16.0)</f>
        <v>16</v>
      </c>
      <c r="H697" s="4"/>
      <c r="I697" s="4"/>
    </row>
    <row r="698">
      <c r="A698" s="4" t="str">
        <f>IFERROR(__xludf.DUMMYFUNCTION("""COMPUTED_VALUE"""),"cas_hmw")</f>
        <v>cas_hmw</v>
      </c>
      <c r="B698" s="5">
        <f>IFERROR(__xludf.DUMMYFUNCTION("""COMPUTED_VALUE"""),44733.0)</f>
        <v>44733</v>
      </c>
      <c r="C698" s="6">
        <f>IFERROR(__xludf.DUMMYFUNCTION("""COMPUTED_VALUE"""),0.2999652777762094)</f>
        <v>0.2999652778</v>
      </c>
      <c r="D698" s="4">
        <f>IFERROR(__xludf.DUMMYFUNCTION("""COMPUTED_VALUE"""),13.072528)</f>
        <v>13.072528</v>
      </c>
      <c r="E698" s="4">
        <f>IFERROR(__xludf.DUMMYFUNCTION("""COMPUTED_VALUE"""),80.263296)</f>
        <v>80.263296</v>
      </c>
      <c r="F698" s="4">
        <f>IFERROR(__xludf.DUMMYFUNCTION("""COMPUTED_VALUE"""),5339.0)</f>
        <v>5339</v>
      </c>
      <c r="G698" s="4">
        <f>IFERROR(__xludf.DUMMYFUNCTION("""COMPUTED_VALUE"""),16.0)</f>
        <v>16</v>
      </c>
      <c r="H698" s="4"/>
      <c r="I698" s="4"/>
    </row>
    <row r="699">
      <c r="A699" s="4" t="str">
        <f>IFERROR(__xludf.DUMMYFUNCTION("""COMPUTED_VALUE"""),"cas_hmw")</f>
        <v>cas_hmw</v>
      </c>
      <c r="B699" s="5">
        <f>IFERROR(__xludf.DUMMYFUNCTION("""COMPUTED_VALUE"""),44733.0)</f>
        <v>44733</v>
      </c>
      <c r="C699" s="6">
        <f>IFERROR(__xludf.DUMMYFUNCTION("""COMPUTED_VALUE"""),0.29997685185298906)</f>
        <v>0.2999768519</v>
      </c>
      <c r="D699" s="4">
        <f>IFERROR(__xludf.DUMMYFUNCTION("""COMPUTED_VALUE"""),13.072528)</f>
        <v>13.072528</v>
      </c>
      <c r="E699" s="4">
        <f>IFERROR(__xludf.DUMMYFUNCTION("""COMPUTED_VALUE"""),80.263296)</f>
        <v>80.263296</v>
      </c>
      <c r="F699" s="4">
        <f>IFERROR(__xludf.DUMMYFUNCTION("""COMPUTED_VALUE"""),5339.0)</f>
        <v>5339</v>
      </c>
      <c r="G699" s="4">
        <f>IFERROR(__xludf.DUMMYFUNCTION("""COMPUTED_VALUE"""),16.0)</f>
        <v>16</v>
      </c>
      <c r="H699" s="4"/>
      <c r="I699" s="4"/>
    </row>
    <row r="700">
      <c r="A700" s="4" t="str">
        <f>IFERROR(__xludf.DUMMYFUNCTION("""COMPUTED_VALUE"""),"cas_hmw")</f>
        <v>cas_hmw</v>
      </c>
      <c r="B700" s="5">
        <f>IFERROR(__xludf.DUMMYFUNCTION("""COMPUTED_VALUE"""),44733.0)</f>
        <v>44733</v>
      </c>
      <c r="C700" s="6">
        <f>IFERROR(__xludf.DUMMYFUNCTION("""COMPUTED_VALUE"""),0.30019675926087075)</f>
        <v>0.3001967593</v>
      </c>
      <c r="D700" s="4">
        <f>IFERROR(__xludf.DUMMYFUNCTION("""COMPUTED_VALUE"""),13.072528)</f>
        <v>13.072528</v>
      </c>
      <c r="E700" s="4">
        <f>IFERROR(__xludf.DUMMYFUNCTION("""COMPUTED_VALUE"""),80.263296)</f>
        <v>80.263296</v>
      </c>
      <c r="F700" s="4">
        <f>IFERROR(__xludf.DUMMYFUNCTION("""COMPUTED_VALUE"""),5339.0)</f>
        <v>5339</v>
      </c>
      <c r="G700" s="4">
        <f>IFERROR(__xludf.DUMMYFUNCTION("""COMPUTED_VALUE"""),16.0)</f>
        <v>16</v>
      </c>
      <c r="H700" s="4"/>
      <c r="I700" s="4"/>
    </row>
    <row r="701">
      <c r="A701" s="4" t="str">
        <f>IFERROR(__xludf.DUMMYFUNCTION("""COMPUTED_VALUE"""),"cas_hmw")</f>
        <v>cas_hmw</v>
      </c>
      <c r="B701" s="5">
        <f>IFERROR(__xludf.DUMMYFUNCTION("""COMPUTED_VALUE"""),44733.0)</f>
        <v>44733</v>
      </c>
      <c r="C701" s="6">
        <f>IFERROR(__xludf.DUMMYFUNCTION("""COMPUTED_VALUE"""),0.3002199074071541)</f>
        <v>0.3002199074</v>
      </c>
      <c r="D701" s="4">
        <f>IFERROR(__xludf.DUMMYFUNCTION("""COMPUTED_VALUE"""),13.071962)</f>
        <v>13.071962</v>
      </c>
      <c r="E701" s="4">
        <f>IFERROR(__xludf.DUMMYFUNCTION("""COMPUTED_VALUE"""),80.264231)</f>
        <v>80.264231</v>
      </c>
      <c r="F701" s="4">
        <f>IFERROR(__xludf.DUMMYFUNCTION("""COMPUTED_VALUE"""),5339.0)</f>
        <v>5339</v>
      </c>
      <c r="G701" s="4">
        <f>IFERROR(__xludf.DUMMYFUNCTION("""COMPUTED_VALUE"""),17.0)</f>
        <v>17</v>
      </c>
      <c r="H701" s="4"/>
      <c r="I701" s="4"/>
    </row>
    <row r="702">
      <c r="A702" s="4" t="str">
        <f>IFERROR(__xludf.DUMMYFUNCTION("""COMPUTED_VALUE"""),"cas_hmw")</f>
        <v>cas_hmw</v>
      </c>
      <c r="B702" s="5">
        <f>IFERROR(__xludf.DUMMYFUNCTION("""COMPUTED_VALUE"""),44733.0)</f>
        <v>44733</v>
      </c>
      <c r="C702" s="6">
        <f>IFERROR(__xludf.DUMMYFUNCTION("""COMPUTED_VALUE"""),0.3131828703699284)</f>
        <v>0.3131828704</v>
      </c>
      <c r="D702" s="4">
        <f>IFERROR(__xludf.DUMMYFUNCTION("""COMPUTED_VALUE"""),13.039154)</f>
        <v>13.039154</v>
      </c>
      <c r="E702" s="4">
        <f>IFERROR(__xludf.DUMMYFUNCTION("""COMPUTED_VALUE"""),80.246972)</f>
        <v>80.246972</v>
      </c>
      <c r="F702" s="4">
        <f>IFERROR(__xludf.DUMMYFUNCTION("""COMPUTED_VALUE"""),5339.0)</f>
        <v>5339</v>
      </c>
      <c r="G702" s="4">
        <f>IFERROR(__xludf.DUMMYFUNCTION("""COMPUTED_VALUE"""),18.0)</f>
        <v>18</v>
      </c>
      <c r="H702" s="4"/>
      <c r="I702" s="4"/>
    </row>
    <row r="703">
      <c r="A703" s="4" t="str">
        <f>IFERROR(__xludf.DUMMYFUNCTION("""COMPUTED_VALUE"""),"cas_hmw")</f>
        <v>cas_hmw</v>
      </c>
      <c r="B703" s="5">
        <f>IFERROR(__xludf.DUMMYFUNCTION("""COMPUTED_VALUE"""),44733.0)</f>
        <v>44733</v>
      </c>
      <c r="C703" s="6">
        <f>IFERROR(__xludf.DUMMYFUNCTION("""COMPUTED_VALUE"""),0.3131944444430701)</f>
        <v>0.3131944444</v>
      </c>
      <c r="D703" s="4">
        <f>IFERROR(__xludf.DUMMYFUNCTION("""COMPUTED_VALUE"""),13.039154)</f>
        <v>13.039154</v>
      </c>
      <c r="E703" s="4">
        <f>IFERROR(__xludf.DUMMYFUNCTION("""COMPUTED_VALUE"""),80.246972)</f>
        <v>80.246972</v>
      </c>
      <c r="F703" s="4">
        <f>IFERROR(__xludf.DUMMYFUNCTION("""COMPUTED_VALUE"""),5339.0)</f>
        <v>5339</v>
      </c>
      <c r="G703" s="4">
        <f>IFERROR(__xludf.DUMMYFUNCTION("""COMPUTED_VALUE"""),18.0)</f>
        <v>18</v>
      </c>
      <c r="H703" s="4"/>
      <c r="I703" s="4"/>
    </row>
    <row r="704">
      <c r="A704" s="4" t="str">
        <f>IFERROR(__xludf.DUMMYFUNCTION("""COMPUTED_VALUE"""),"cas_hmw")</f>
        <v>cas_hmw</v>
      </c>
      <c r="B704" s="5">
        <f>IFERROR(__xludf.DUMMYFUNCTION("""COMPUTED_VALUE"""),44733.0)</f>
        <v>44733</v>
      </c>
      <c r="C704" s="6">
        <f>IFERROR(__xludf.DUMMYFUNCTION("""COMPUTED_VALUE"""),0.31930555555663886)</f>
        <v>0.3193055556</v>
      </c>
      <c r="D704" s="4">
        <f>IFERROR(__xludf.DUMMYFUNCTION("""COMPUTED_VALUE"""),13.015084)</f>
        <v>13.015084</v>
      </c>
      <c r="E704" s="4">
        <f>IFERROR(__xludf.DUMMYFUNCTION("""COMPUTED_VALUE"""),80.225973)</f>
        <v>80.225973</v>
      </c>
      <c r="F704" s="4">
        <f>IFERROR(__xludf.DUMMYFUNCTION("""COMPUTED_VALUE"""),5339.0)</f>
        <v>5339</v>
      </c>
      <c r="G704" s="4">
        <f>IFERROR(__xludf.DUMMYFUNCTION("""COMPUTED_VALUE"""),16.0)</f>
        <v>16</v>
      </c>
      <c r="H704" s="4"/>
      <c r="I704" s="4"/>
    </row>
    <row r="705">
      <c r="A705" s="4" t="str">
        <f>IFERROR(__xludf.DUMMYFUNCTION("""COMPUTED_VALUE"""),"cas_hmw")</f>
        <v>cas_hmw</v>
      </c>
      <c r="B705" s="5">
        <f>IFERROR(__xludf.DUMMYFUNCTION("""COMPUTED_VALUE"""),44733.0)</f>
        <v>44733</v>
      </c>
      <c r="C705" s="6">
        <f>IFERROR(__xludf.DUMMYFUNCTION("""COMPUTED_VALUE"""),0.3287037037043774)</f>
        <v>0.3287037037</v>
      </c>
      <c r="D705" s="4">
        <f>IFERROR(__xludf.DUMMYFUNCTION("""COMPUTED_VALUE"""),12.979951)</f>
        <v>12.979951</v>
      </c>
      <c r="E705" s="4">
        <f>IFERROR(__xludf.DUMMYFUNCTION("""COMPUTED_VALUE"""),80.163284)</f>
        <v>80.163284</v>
      </c>
      <c r="F705" s="4">
        <f>IFERROR(__xludf.DUMMYFUNCTION("""COMPUTED_VALUE"""),5339.0)</f>
        <v>5339</v>
      </c>
      <c r="G705" s="4">
        <f>IFERROR(__xludf.DUMMYFUNCTION("""COMPUTED_VALUE"""),12.0)</f>
        <v>12</v>
      </c>
      <c r="H705" s="4"/>
      <c r="I705" s="4"/>
    </row>
    <row r="706">
      <c r="A706" s="4" t="str">
        <f>IFERROR(__xludf.DUMMYFUNCTION("""COMPUTED_VALUE"""),"cas_hmw")</f>
        <v>cas_hmw</v>
      </c>
      <c r="B706" s="5">
        <f>IFERROR(__xludf.DUMMYFUNCTION("""COMPUTED_VALUE"""),44733.0)</f>
        <v>44733</v>
      </c>
      <c r="C706" s="6">
        <f>IFERROR(__xludf.DUMMYFUNCTION("""COMPUTED_VALUE"""),0.33049768518685596)</f>
        <v>0.3304976852</v>
      </c>
      <c r="D706" s="4">
        <f>IFERROR(__xludf.DUMMYFUNCTION("""COMPUTED_VALUE"""),12.971971)</f>
        <v>12.971971</v>
      </c>
      <c r="E706" s="4">
        <f>IFERROR(__xludf.DUMMYFUNCTION("""COMPUTED_VALUE"""),80.151432)</f>
        <v>80.151432</v>
      </c>
      <c r="F706" s="4">
        <f>IFERROR(__xludf.DUMMYFUNCTION("""COMPUTED_VALUE"""),5339.0)</f>
        <v>5339</v>
      </c>
      <c r="G706" s="4">
        <f>IFERROR(__xludf.DUMMYFUNCTION("""COMPUTED_VALUE"""),0.0)</f>
        <v>0</v>
      </c>
      <c r="H706" s="4"/>
      <c r="I706" s="4"/>
    </row>
    <row r="707">
      <c r="A707" s="4" t="str">
        <f>IFERROR(__xludf.DUMMYFUNCTION("""COMPUTED_VALUE"""),"cas_hmw")</f>
        <v>cas_hmw</v>
      </c>
      <c r="B707" s="5">
        <f>IFERROR(__xludf.DUMMYFUNCTION("""COMPUTED_VALUE"""),44733.0)</f>
        <v>44733</v>
      </c>
      <c r="C707" s="6">
        <f>IFERROR(__xludf.DUMMYFUNCTION("""COMPUTED_VALUE"""),0.3329629629624833)</f>
        <v>0.332962963</v>
      </c>
      <c r="D707" s="4">
        <f>IFERROR(__xludf.DUMMYFUNCTION("""COMPUTED_VALUE"""),12.956503)</f>
        <v>12.956503</v>
      </c>
      <c r="E707" s="4">
        <f>IFERROR(__xludf.DUMMYFUNCTION("""COMPUTED_VALUE"""),80.143389)</f>
        <v>80.143389</v>
      </c>
      <c r="F707" s="4">
        <f>IFERROR(__xludf.DUMMYFUNCTION("""COMPUTED_VALUE"""),5339.0)</f>
        <v>5339</v>
      </c>
      <c r="G707" s="4">
        <f>IFERROR(__xludf.DUMMYFUNCTION("""COMPUTED_VALUE"""),14.0)</f>
        <v>14</v>
      </c>
      <c r="H707" s="4"/>
      <c r="I707" s="4"/>
    </row>
    <row r="708">
      <c r="A708" s="4" t="str">
        <f>IFERROR(__xludf.DUMMYFUNCTION("""COMPUTED_VALUE"""),"cas_hmw")</f>
        <v>cas_hmw</v>
      </c>
      <c r="B708" s="5">
        <f>IFERROR(__xludf.DUMMYFUNCTION("""COMPUTED_VALUE"""),44733.0)</f>
        <v>44733</v>
      </c>
      <c r="C708" s="6">
        <f>IFERROR(__xludf.DUMMYFUNCTION("""COMPUTED_VALUE"""),0.3341898148137261)</f>
        <v>0.3341898148</v>
      </c>
      <c r="D708" s="4">
        <f>IFERROR(__xludf.DUMMYFUNCTION("""COMPUTED_VALUE"""),12.951209)</f>
        <v>12.951209</v>
      </c>
      <c r="E708" s="4">
        <f>IFERROR(__xludf.DUMMYFUNCTION("""COMPUTED_VALUE"""),80.140152)</f>
        <v>80.140152</v>
      </c>
      <c r="F708" s="4">
        <f>IFERROR(__xludf.DUMMYFUNCTION("""COMPUTED_VALUE"""),5339.0)</f>
        <v>5339</v>
      </c>
      <c r="G708" s="4">
        <f>IFERROR(__xludf.DUMMYFUNCTION("""COMPUTED_VALUE"""),0.0)</f>
        <v>0</v>
      </c>
      <c r="H708" s="4"/>
      <c r="I708" s="4"/>
    </row>
    <row r="709">
      <c r="A709" s="4" t="str">
        <f>IFERROR(__xludf.DUMMYFUNCTION("""COMPUTED_VALUE"""),"cas_hmw")</f>
        <v>cas_hmw</v>
      </c>
      <c r="B709" s="5">
        <f>IFERROR(__xludf.DUMMYFUNCTION("""COMPUTED_VALUE"""),44733.0)</f>
        <v>44733</v>
      </c>
      <c r="C709" s="6">
        <f>IFERROR(__xludf.DUMMYFUNCTION("""COMPUTED_VALUE"""),0.33421296296364744)</f>
        <v>0.334212963</v>
      </c>
      <c r="D709" s="4">
        <f>IFERROR(__xludf.DUMMYFUNCTION("""COMPUTED_VALUE"""),12.951209)</f>
        <v>12.951209</v>
      </c>
      <c r="E709" s="4">
        <f>IFERROR(__xludf.DUMMYFUNCTION("""COMPUTED_VALUE"""),80.140152)</f>
        <v>80.140152</v>
      </c>
      <c r="F709" s="4">
        <f>IFERROR(__xludf.DUMMYFUNCTION("""COMPUTED_VALUE"""),5339.0)</f>
        <v>5339</v>
      </c>
      <c r="G709" s="4">
        <f>IFERROR(__xludf.DUMMYFUNCTION("""COMPUTED_VALUE"""),0.0)</f>
        <v>0</v>
      </c>
      <c r="H709" s="4"/>
      <c r="I709" s="4"/>
    </row>
    <row r="710">
      <c r="A710" s="4" t="str">
        <f>IFERROR(__xludf.DUMMYFUNCTION("""COMPUTED_VALUE"""),"cas_hmw")</f>
        <v>cas_hmw</v>
      </c>
      <c r="B710" s="5">
        <f>IFERROR(__xludf.DUMMYFUNCTION("""COMPUTED_VALUE"""),44733.0)</f>
        <v>44733</v>
      </c>
      <c r="C710" s="6">
        <f>IFERROR(__xludf.DUMMYFUNCTION("""COMPUTED_VALUE"""),0.3364930555544561)</f>
        <v>0.3364930556</v>
      </c>
      <c r="D710" s="4">
        <f>IFERROR(__xludf.DUMMYFUNCTION("""COMPUTED_VALUE"""),12.936562)</f>
        <v>12.936562</v>
      </c>
      <c r="E710" s="4">
        <f>IFERROR(__xludf.DUMMYFUNCTION("""COMPUTED_VALUE"""),80.12755)</f>
        <v>80.12755</v>
      </c>
      <c r="F710" s="4">
        <f>IFERROR(__xludf.DUMMYFUNCTION("""COMPUTED_VALUE"""),5339.0)</f>
        <v>5339</v>
      </c>
      <c r="G710" s="4">
        <f>IFERROR(__xludf.DUMMYFUNCTION("""COMPUTED_VALUE"""),13.0)</f>
        <v>13</v>
      </c>
      <c r="H710" s="4"/>
      <c r="I710" s="4"/>
    </row>
    <row r="711">
      <c r="A711" s="4" t="str">
        <f>IFERROR(__xludf.DUMMYFUNCTION("""COMPUTED_VALUE"""),"cas_hmw")</f>
        <v>cas_hmw</v>
      </c>
      <c r="B711" s="5">
        <f>IFERROR(__xludf.DUMMYFUNCTION("""COMPUTED_VALUE"""),44733.0)</f>
        <v>44733</v>
      </c>
      <c r="C711" s="6">
        <f>IFERROR(__xludf.DUMMYFUNCTION("""COMPUTED_VALUE"""),0.3372453703705105)</f>
        <v>0.3372453704</v>
      </c>
      <c r="D711" s="4">
        <f>IFERROR(__xludf.DUMMYFUNCTION("""COMPUTED_VALUE"""),12.931939)</f>
        <v>12.931939</v>
      </c>
      <c r="E711" s="4">
        <f>IFERROR(__xludf.DUMMYFUNCTION("""COMPUTED_VALUE"""),80.123257)</f>
        <v>80.123257</v>
      </c>
      <c r="F711" s="4">
        <f>IFERROR(__xludf.DUMMYFUNCTION("""COMPUTED_VALUE"""),5339.0)</f>
        <v>5339</v>
      </c>
      <c r="G711" s="4">
        <f>IFERROR(__xludf.DUMMYFUNCTION("""COMPUTED_VALUE"""),0.0)</f>
        <v>0</v>
      </c>
      <c r="H711" s="4"/>
      <c r="I711" s="4"/>
    </row>
    <row r="712">
      <c r="A712" s="4" t="str">
        <f>IFERROR(__xludf.DUMMYFUNCTION("""COMPUTED_VALUE"""),"cas_hmw")</f>
        <v>cas_hmw</v>
      </c>
      <c r="B712" s="5">
        <f>IFERROR(__xludf.DUMMYFUNCTION("""COMPUTED_VALUE"""),44733.0)</f>
        <v>44733</v>
      </c>
      <c r="C712" s="6">
        <f>IFERROR(__xludf.DUMMYFUNCTION("""COMPUTED_VALUE"""),0.3424768518525525)</f>
        <v>0.3424768519</v>
      </c>
      <c r="D712" s="4">
        <f>IFERROR(__xludf.DUMMYFUNCTION("""COMPUTED_VALUE"""),12.905776)</f>
        <v>12.905776</v>
      </c>
      <c r="E712" s="4">
        <f>IFERROR(__xludf.DUMMYFUNCTION("""COMPUTED_VALUE"""),80.096)</f>
        <v>80.096</v>
      </c>
      <c r="F712" s="4">
        <f>IFERROR(__xludf.DUMMYFUNCTION("""COMPUTED_VALUE"""),5339.0)</f>
        <v>5339</v>
      </c>
      <c r="G712" s="4">
        <f>IFERROR(__xludf.DUMMYFUNCTION("""COMPUTED_VALUE"""),0.0)</f>
        <v>0</v>
      </c>
      <c r="H712" s="4"/>
      <c r="I712" s="4"/>
    </row>
    <row r="713">
      <c r="A713" s="4" t="str">
        <f>IFERROR(__xludf.DUMMYFUNCTION("""COMPUTED_VALUE"""),"cas_hmw")</f>
        <v>cas_hmw</v>
      </c>
      <c r="B713" s="5">
        <f>IFERROR(__xludf.DUMMYFUNCTION("""COMPUTED_VALUE"""),44733.0)</f>
        <v>44733</v>
      </c>
      <c r="C713" s="6">
        <f>IFERROR(__xludf.DUMMYFUNCTION("""COMPUTED_VALUE"""),0.34325231481489027)</f>
        <v>0.3432523148</v>
      </c>
      <c r="D713" s="4">
        <f>IFERROR(__xludf.DUMMYFUNCTION("""COMPUTED_VALUE"""),12.951129)</f>
        <v>12.951129</v>
      </c>
      <c r="E713" s="4">
        <f>IFERROR(__xludf.DUMMYFUNCTION("""COMPUTED_VALUE"""),80.14005)</f>
        <v>80.14005</v>
      </c>
      <c r="F713" s="4">
        <f>IFERROR(__xludf.DUMMYFUNCTION("""COMPUTED_VALUE"""),805.0)</f>
        <v>805</v>
      </c>
      <c r="G713" s="4">
        <f>IFERROR(__xludf.DUMMYFUNCTION("""COMPUTED_VALUE"""),0.0)</f>
        <v>0</v>
      </c>
      <c r="H713" s="4"/>
      <c r="I713" s="4"/>
    </row>
    <row r="714">
      <c r="A714" s="4" t="str">
        <f>IFERROR(__xludf.DUMMYFUNCTION("""COMPUTED_VALUE"""),"cas_hmw")</f>
        <v>cas_hmw</v>
      </c>
      <c r="B714" s="5">
        <f>IFERROR(__xludf.DUMMYFUNCTION("""COMPUTED_VALUE"""),44733.0)</f>
        <v>44733</v>
      </c>
      <c r="C714" s="6">
        <f>IFERROR(__xludf.DUMMYFUNCTION("""COMPUTED_VALUE"""),0.34594907407517894)</f>
        <v>0.3459490741</v>
      </c>
      <c r="D714" s="4">
        <f>IFERROR(__xludf.DUMMYFUNCTION("""COMPUTED_VALUE"""),12.936199)</f>
        <v>12.936199</v>
      </c>
      <c r="E714" s="4">
        <f>IFERROR(__xludf.DUMMYFUNCTION("""COMPUTED_VALUE"""),80.127369)</f>
        <v>80.127369</v>
      </c>
      <c r="F714" s="4">
        <f>IFERROR(__xludf.DUMMYFUNCTION("""COMPUTED_VALUE"""),805.0)</f>
        <v>805</v>
      </c>
      <c r="G714" s="4">
        <f>IFERROR(__xludf.DUMMYFUNCTION("""COMPUTED_VALUE"""),15.0)</f>
        <v>15</v>
      </c>
      <c r="H714" s="4"/>
      <c r="I714" s="4"/>
    </row>
    <row r="715">
      <c r="A715" s="4" t="str">
        <f>IFERROR(__xludf.DUMMYFUNCTION("""COMPUTED_VALUE"""),"cas_hmw")</f>
        <v>cas_hmw</v>
      </c>
      <c r="B715" s="5">
        <f>IFERROR(__xludf.DUMMYFUNCTION("""COMPUTED_VALUE"""),44733.0)</f>
        <v>44733</v>
      </c>
      <c r="C715" s="6">
        <f>IFERROR(__xludf.DUMMYFUNCTION("""COMPUTED_VALUE"""),0.34863425925868796)</f>
        <v>0.3486342593</v>
      </c>
      <c r="D715" s="4">
        <f>IFERROR(__xludf.DUMMYFUNCTION("""COMPUTED_VALUE"""),12.923197)</f>
        <v>12.923197</v>
      </c>
      <c r="E715" s="4">
        <f>IFERROR(__xludf.DUMMYFUNCTION("""COMPUTED_VALUE"""),80.114386)</f>
        <v>80.114386</v>
      </c>
      <c r="F715" s="4">
        <f>IFERROR(__xludf.DUMMYFUNCTION("""COMPUTED_VALUE"""),805.0)</f>
        <v>805</v>
      </c>
      <c r="G715" s="4">
        <f>IFERROR(__xludf.DUMMYFUNCTION("""COMPUTED_VALUE"""),0.0)</f>
        <v>0</v>
      </c>
      <c r="H715" s="4"/>
      <c r="I715" s="4"/>
    </row>
    <row r="716">
      <c r="A716" s="4" t="str">
        <f>IFERROR(__xludf.DUMMYFUNCTION("""COMPUTED_VALUE"""),"cas_hmw")</f>
        <v>cas_hmw</v>
      </c>
      <c r="B716" s="5">
        <f>IFERROR(__xludf.DUMMYFUNCTION("""COMPUTED_VALUE"""),44733.0)</f>
        <v>44733</v>
      </c>
      <c r="C716" s="6">
        <f>IFERROR(__xludf.DUMMYFUNCTION("""COMPUTED_VALUE"""),0.34868055555489263)</f>
        <v>0.3486805556</v>
      </c>
      <c r="D716" s="4">
        <f>IFERROR(__xludf.DUMMYFUNCTION("""COMPUTED_VALUE"""),12.923197)</f>
        <v>12.923197</v>
      </c>
      <c r="E716" s="4">
        <f>IFERROR(__xludf.DUMMYFUNCTION("""COMPUTED_VALUE"""),80.114386)</f>
        <v>80.114386</v>
      </c>
      <c r="F716" s="4">
        <f>IFERROR(__xludf.DUMMYFUNCTION("""COMPUTED_VALUE"""),805.0)</f>
        <v>805</v>
      </c>
      <c r="G716" s="4">
        <f>IFERROR(__xludf.DUMMYFUNCTION("""COMPUTED_VALUE"""),0.0)</f>
        <v>0</v>
      </c>
      <c r="H716" s="4"/>
      <c r="I716" s="4"/>
    </row>
    <row r="717">
      <c r="A717" s="4" t="str">
        <f>IFERROR(__xludf.DUMMYFUNCTION("""COMPUTED_VALUE"""),"cas_hmw")</f>
        <v>cas_hmw</v>
      </c>
      <c r="B717" s="5">
        <f>IFERROR(__xludf.DUMMYFUNCTION("""COMPUTED_VALUE"""),44733.0)</f>
        <v>44733</v>
      </c>
      <c r="C717" s="6">
        <f>IFERROR(__xludf.DUMMYFUNCTION("""COMPUTED_VALUE"""),0.35129629629591363)</f>
        <v>0.3512962963</v>
      </c>
      <c r="D717" s="4">
        <f>IFERROR(__xludf.DUMMYFUNCTION("""COMPUTED_VALUE"""),12.909049)</f>
        <v>12.909049</v>
      </c>
      <c r="E717" s="4">
        <f>IFERROR(__xludf.DUMMYFUNCTION("""COMPUTED_VALUE"""),80.098858)</f>
        <v>80.098858</v>
      </c>
      <c r="F717" s="4">
        <f>IFERROR(__xludf.DUMMYFUNCTION("""COMPUTED_VALUE"""),805.0)</f>
        <v>805</v>
      </c>
      <c r="G717" s="4">
        <f>IFERROR(__xludf.DUMMYFUNCTION("""COMPUTED_VALUE"""),4.0)</f>
        <v>4</v>
      </c>
      <c r="H717" s="4"/>
      <c r="I717" s="4"/>
    </row>
    <row r="718">
      <c r="A718" s="4" t="str">
        <f>IFERROR(__xludf.DUMMYFUNCTION("""COMPUTED_VALUE"""),"cas_hmw")</f>
        <v>cas_hmw</v>
      </c>
      <c r="B718" s="5">
        <f>IFERROR(__xludf.DUMMYFUNCTION("""COMPUTED_VALUE"""),44733.0)</f>
        <v>44733</v>
      </c>
      <c r="C718" s="6">
        <f>IFERROR(__xludf.DUMMYFUNCTION("""COMPUTED_VALUE"""),0.3513078703690553)</f>
        <v>0.3513078704</v>
      </c>
      <c r="D718" s="4">
        <f>IFERROR(__xludf.DUMMYFUNCTION("""COMPUTED_VALUE"""),12.909049)</f>
        <v>12.909049</v>
      </c>
      <c r="E718" s="4">
        <f>IFERROR(__xludf.DUMMYFUNCTION("""COMPUTED_VALUE"""),80.098858)</f>
        <v>80.098858</v>
      </c>
      <c r="F718" s="4">
        <f>IFERROR(__xludf.DUMMYFUNCTION("""COMPUTED_VALUE"""),805.0)</f>
        <v>805</v>
      </c>
      <c r="G718" s="4">
        <f>IFERROR(__xludf.DUMMYFUNCTION("""COMPUTED_VALUE"""),4.0)</f>
        <v>4</v>
      </c>
      <c r="H718" s="4"/>
      <c r="I718" s="4"/>
    </row>
    <row r="719">
      <c r="A719" s="4" t="str">
        <f>IFERROR(__xludf.DUMMYFUNCTION("""COMPUTED_VALUE"""),"cas_hmw")</f>
        <v>cas_hmw</v>
      </c>
      <c r="B719" s="5">
        <f>IFERROR(__xludf.DUMMYFUNCTION("""COMPUTED_VALUE"""),44733.0)</f>
        <v>44733</v>
      </c>
      <c r="C719" s="6">
        <f>IFERROR(__xludf.DUMMYFUNCTION("""COMPUTED_VALUE"""),0.3513078703690553)</f>
        <v>0.3513078704</v>
      </c>
      <c r="D719" s="4">
        <f>IFERROR(__xludf.DUMMYFUNCTION("""COMPUTED_VALUE"""),12.909049)</f>
        <v>12.909049</v>
      </c>
      <c r="E719" s="4">
        <f>IFERROR(__xludf.DUMMYFUNCTION("""COMPUTED_VALUE"""),80.098858)</f>
        <v>80.098858</v>
      </c>
      <c r="F719" s="4">
        <f>IFERROR(__xludf.DUMMYFUNCTION("""COMPUTED_VALUE"""),805.0)</f>
        <v>805</v>
      </c>
      <c r="G719" s="4">
        <f>IFERROR(__xludf.DUMMYFUNCTION("""COMPUTED_VALUE"""),4.0)</f>
        <v>4</v>
      </c>
      <c r="H719" s="4"/>
      <c r="I719" s="4"/>
    </row>
    <row r="720">
      <c r="A720" s="4" t="str">
        <f>IFERROR(__xludf.DUMMYFUNCTION("""COMPUTED_VALUE"""),"cas_hmw")</f>
        <v>cas_hmw</v>
      </c>
      <c r="B720" s="5">
        <f>IFERROR(__xludf.DUMMYFUNCTION("""COMPUTED_VALUE"""),44733.0)</f>
        <v>44733</v>
      </c>
      <c r="C720" s="6">
        <f>IFERROR(__xludf.DUMMYFUNCTION("""COMPUTED_VALUE"""),0.3522222222236451)</f>
        <v>0.3522222222</v>
      </c>
      <c r="D720" s="4">
        <f>IFERROR(__xludf.DUMMYFUNCTION("""COMPUTED_VALUE"""),12.905617)</f>
        <v>12.905617</v>
      </c>
      <c r="E720" s="4">
        <f>IFERROR(__xludf.DUMMYFUNCTION("""COMPUTED_VALUE"""),80.095878)</f>
        <v>80.095878</v>
      </c>
      <c r="F720" s="4">
        <f>IFERROR(__xludf.DUMMYFUNCTION("""COMPUTED_VALUE"""),805.0)</f>
        <v>805</v>
      </c>
      <c r="G720" s="4">
        <f>IFERROR(__xludf.DUMMYFUNCTION("""COMPUTED_VALUE"""),0.0)</f>
        <v>0</v>
      </c>
      <c r="H720" s="4"/>
      <c r="I720" s="4"/>
    </row>
    <row r="721">
      <c r="A721" s="4" t="str">
        <f>IFERROR(__xludf.DUMMYFUNCTION("""COMPUTED_VALUE"""),"cas_hmw")</f>
        <v>cas_hmw</v>
      </c>
      <c r="B721" s="5">
        <f>IFERROR(__xludf.DUMMYFUNCTION("""COMPUTED_VALUE"""),44733.0)</f>
        <v>44733</v>
      </c>
      <c r="C721" s="6">
        <f>IFERROR(__xludf.DUMMYFUNCTION("""COMPUTED_VALUE"""),0.3524305555547471)</f>
        <v>0.3524305556</v>
      </c>
      <c r="D721" s="4">
        <f>IFERROR(__xludf.DUMMYFUNCTION("""COMPUTED_VALUE"""),12.905613)</f>
        <v>12.905613</v>
      </c>
      <c r="E721" s="4">
        <f>IFERROR(__xludf.DUMMYFUNCTION("""COMPUTED_VALUE"""),80.095878)</f>
        <v>80.095878</v>
      </c>
      <c r="F721" s="4">
        <f>IFERROR(__xludf.DUMMYFUNCTION("""COMPUTED_VALUE"""),805.0)</f>
        <v>805</v>
      </c>
      <c r="G721" s="4">
        <f>IFERROR(__xludf.DUMMYFUNCTION("""COMPUTED_VALUE"""),0.0)</f>
        <v>0</v>
      </c>
      <c r="H721" s="4"/>
      <c r="I721" s="4"/>
    </row>
    <row r="722">
      <c r="A722" s="4" t="str">
        <f>IFERROR(__xludf.DUMMYFUNCTION("""COMPUTED_VALUE"""),"cas_hmw")</f>
        <v>cas_hmw</v>
      </c>
      <c r="B722" s="5">
        <f>IFERROR(__xludf.DUMMYFUNCTION("""COMPUTED_VALUE"""),44733.0)</f>
        <v>44733</v>
      </c>
      <c r="C722" s="6">
        <f>IFERROR(__xludf.DUMMYFUNCTION("""COMPUTED_VALUE"""),0.35768518518671044)</f>
        <v>0.3576851852</v>
      </c>
      <c r="D722" s="4">
        <f>IFERROR(__xludf.DUMMYFUNCTION("""COMPUTED_VALUE"""),12.878942)</f>
        <v>12.878942</v>
      </c>
      <c r="E722" s="4">
        <f>IFERROR(__xludf.DUMMYFUNCTION("""COMPUTED_VALUE"""),80.080833)</f>
        <v>80.080833</v>
      </c>
      <c r="F722" s="4">
        <f>IFERROR(__xludf.DUMMYFUNCTION("""COMPUTED_VALUE"""),805.0)</f>
        <v>805</v>
      </c>
      <c r="G722" s="4">
        <f>IFERROR(__xludf.DUMMYFUNCTION("""COMPUTED_VALUE"""),0.0)</f>
        <v>0</v>
      </c>
      <c r="H722" s="4"/>
      <c r="I722" s="4"/>
    </row>
    <row r="723">
      <c r="A723" s="4" t="str">
        <f>IFERROR(__xludf.DUMMYFUNCTION("""COMPUTED_VALUE"""),"cas_hmw")</f>
        <v>cas_hmw</v>
      </c>
      <c r="B723" s="5">
        <f>IFERROR(__xludf.DUMMYFUNCTION("""COMPUTED_VALUE"""),44733.0)</f>
        <v>44733</v>
      </c>
      <c r="C723" s="6">
        <f>IFERROR(__xludf.DUMMYFUNCTION("""COMPUTED_VALUE"""),0.3577314814829151)</f>
        <v>0.3577314815</v>
      </c>
      <c r="D723" s="4">
        <f>IFERROR(__xludf.DUMMYFUNCTION("""COMPUTED_VALUE"""),12.878942)</f>
        <v>12.878942</v>
      </c>
      <c r="E723" s="4">
        <f>IFERROR(__xludf.DUMMYFUNCTION("""COMPUTED_VALUE"""),80.080833)</f>
        <v>80.080833</v>
      </c>
      <c r="F723" s="4">
        <f>IFERROR(__xludf.DUMMYFUNCTION("""COMPUTED_VALUE"""),805.0)</f>
        <v>805</v>
      </c>
      <c r="G723" s="4">
        <f>IFERROR(__xludf.DUMMYFUNCTION("""COMPUTED_VALUE"""),0.0)</f>
        <v>0</v>
      </c>
      <c r="H723" s="4"/>
      <c r="I723" s="4"/>
    </row>
    <row r="724">
      <c r="A724" s="4" t="str">
        <f>IFERROR(__xludf.DUMMYFUNCTION("""COMPUTED_VALUE"""),"cas_hmw")</f>
        <v>cas_hmw</v>
      </c>
      <c r="B724" s="5">
        <f>IFERROR(__xludf.DUMMYFUNCTION("""COMPUTED_VALUE"""),44733.0)</f>
        <v>44733</v>
      </c>
      <c r="C724" s="6">
        <f>IFERROR(__xludf.DUMMYFUNCTION("""COMPUTED_VALUE"""),0.700439814816491)</f>
        <v>0.7004398148</v>
      </c>
      <c r="D724" s="4">
        <f>IFERROR(__xludf.DUMMYFUNCTION("""COMPUTED_VALUE"""),12.811129)</f>
        <v>12.811129</v>
      </c>
      <c r="E724" s="4">
        <f>IFERROR(__xludf.DUMMYFUNCTION("""COMPUTED_VALUE"""),80.03069)</f>
        <v>80.03069</v>
      </c>
      <c r="F724" s="4">
        <f>IFERROR(__xludf.DUMMYFUNCTION("""COMPUTED_VALUE"""),2846.0)</f>
        <v>2846</v>
      </c>
      <c r="G724" s="4">
        <f>IFERROR(__xludf.DUMMYFUNCTION("""COMPUTED_VALUE"""),0.0)</f>
        <v>0</v>
      </c>
      <c r="H724" s="4"/>
      <c r="I724" s="4"/>
    </row>
    <row r="725">
      <c r="A725" s="4" t="str">
        <f>IFERROR(__xludf.DUMMYFUNCTION("""COMPUTED_VALUE"""),"cas_hmw")</f>
        <v>cas_hmw</v>
      </c>
      <c r="B725" s="5">
        <f>IFERROR(__xludf.DUMMYFUNCTION("""COMPUTED_VALUE"""),44733.0)</f>
        <v>44733</v>
      </c>
      <c r="C725" s="6">
        <f>IFERROR(__xludf.DUMMYFUNCTION("""COMPUTED_VALUE"""),0.7053009259252576)</f>
        <v>0.7053009259</v>
      </c>
      <c r="D725" s="4">
        <f>IFERROR(__xludf.DUMMYFUNCTION("""COMPUTED_VALUE"""),12.770427)</f>
        <v>12.770427</v>
      </c>
      <c r="E725" s="4">
        <f>IFERROR(__xludf.DUMMYFUNCTION("""COMPUTED_VALUE"""),80.007531)</f>
        <v>80.007531</v>
      </c>
      <c r="F725" s="4">
        <f>IFERROR(__xludf.DUMMYFUNCTION("""COMPUTED_VALUE"""),2846.0)</f>
        <v>2846</v>
      </c>
      <c r="G725" s="4">
        <f>IFERROR(__xludf.DUMMYFUNCTION("""COMPUTED_VALUE"""),19.0)</f>
        <v>19</v>
      </c>
      <c r="H725" s="4"/>
      <c r="I725" s="4"/>
    </row>
    <row r="726">
      <c r="A726" s="4" t="str">
        <f>IFERROR(__xludf.DUMMYFUNCTION("""COMPUTED_VALUE"""),"cas_hmw")</f>
        <v>cas_hmw</v>
      </c>
      <c r="B726" s="5">
        <f>IFERROR(__xludf.DUMMYFUNCTION("""COMPUTED_VALUE"""),44733.0)</f>
        <v>44733</v>
      </c>
      <c r="C726" s="6">
        <f>IFERROR(__xludf.DUMMYFUNCTION("""COMPUTED_VALUE"""),0.7112037037040864)</f>
        <v>0.7112037037</v>
      </c>
      <c r="D726" s="4">
        <f>IFERROR(__xludf.DUMMYFUNCTION("""COMPUTED_VALUE"""),12.986568)</f>
        <v>12.986568</v>
      </c>
      <c r="E726" s="4">
        <f>IFERROR(__xludf.DUMMYFUNCTION("""COMPUTED_VALUE"""),80.174902)</f>
        <v>80.174902</v>
      </c>
      <c r="F726" s="4">
        <f>IFERROR(__xludf.DUMMYFUNCTION("""COMPUTED_VALUE"""),5339.0)</f>
        <v>5339</v>
      </c>
      <c r="G726" s="4">
        <f>IFERROR(__xludf.DUMMYFUNCTION("""COMPUTED_VALUE"""),20.0)</f>
        <v>20</v>
      </c>
      <c r="H726" s="4"/>
      <c r="I726" s="4"/>
    </row>
    <row r="727">
      <c r="A727" s="4" t="str">
        <f>IFERROR(__xludf.DUMMYFUNCTION("""COMPUTED_VALUE"""),"cas_hmw")</f>
        <v>cas_hmw</v>
      </c>
      <c r="B727" s="5">
        <f>IFERROR(__xludf.DUMMYFUNCTION("""COMPUTED_VALUE"""),44733.0)</f>
        <v>44733</v>
      </c>
      <c r="C727" s="6">
        <f>IFERROR(__xludf.DUMMYFUNCTION("""COMPUTED_VALUE"""),0.7112731481465744)</f>
        <v>0.7112731481</v>
      </c>
      <c r="D727" s="4">
        <f>IFERROR(__xludf.DUMMYFUNCTION("""COMPUTED_VALUE"""),12.986568)</f>
        <v>12.986568</v>
      </c>
      <c r="E727" s="4">
        <f>IFERROR(__xludf.DUMMYFUNCTION("""COMPUTED_VALUE"""),80.174902)</f>
        <v>80.174902</v>
      </c>
      <c r="F727" s="4">
        <f>IFERROR(__xludf.DUMMYFUNCTION("""COMPUTED_VALUE"""),5339.0)</f>
        <v>5339</v>
      </c>
      <c r="G727" s="4">
        <f>IFERROR(__xludf.DUMMYFUNCTION("""COMPUTED_VALUE"""),20.0)</f>
        <v>20</v>
      </c>
      <c r="H727" s="4"/>
      <c r="I727" s="4"/>
    </row>
    <row r="728">
      <c r="A728" s="4" t="str">
        <f>IFERROR(__xludf.DUMMYFUNCTION("""COMPUTED_VALUE"""),"cas_hmw")</f>
        <v>cas_hmw</v>
      </c>
      <c r="B728" s="5">
        <f>IFERROR(__xludf.DUMMYFUNCTION("""COMPUTED_VALUE"""),44733.0)</f>
        <v>44733</v>
      </c>
      <c r="C728" s="6">
        <f>IFERROR(__xludf.DUMMYFUNCTION("""COMPUTED_VALUE"""),0.7126620370363526)</f>
        <v>0.712662037</v>
      </c>
      <c r="D728" s="4">
        <f>IFERROR(__xludf.DUMMYFUNCTION("""COMPUTED_VALUE"""),12.72413)</f>
        <v>12.72413</v>
      </c>
      <c r="E728" s="4">
        <f>IFERROR(__xludf.DUMMYFUNCTION("""COMPUTED_VALUE"""),79.982116)</f>
        <v>79.982116</v>
      </c>
      <c r="F728" s="4">
        <f>IFERROR(__xludf.DUMMYFUNCTION("""COMPUTED_VALUE"""),2846.0)</f>
        <v>2846</v>
      </c>
      <c r="G728" s="4">
        <f>IFERROR(__xludf.DUMMYFUNCTION("""COMPUTED_VALUE"""),1.0)</f>
        <v>1</v>
      </c>
      <c r="H728" s="4"/>
      <c r="I728" s="4"/>
    </row>
    <row r="729">
      <c r="A729" s="4" t="str">
        <f>IFERROR(__xludf.DUMMYFUNCTION("""COMPUTED_VALUE"""),"cas_hmw")</f>
        <v>cas_hmw</v>
      </c>
      <c r="B729" s="5">
        <f>IFERROR(__xludf.DUMMYFUNCTION("""COMPUTED_VALUE"""),44733.0)</f>
        <v>44733</v>
      </c>
      <c r="C729" s="6">
        <f>IFERROR(__xludf.DUMMYFUNCTION("""COMPUTED_VALUE"""),0.7136805555564933)</f>
        <v>0.7136805556</v>
      </c>
      <c r="D729" s="4">
        <f>IFERROR(__xludf.DUMMYFUNCTION("""COMPUTED_VALUE"""),12.993573)</f>
        <v>12.993573</v>
      </c>
      <c r="E729" s="4">
        <f>IFERROR(__xludf.DUMMYFUNCTION("""COMPUTED_VALUE"""),80.184656)</f>
        <v>80.184656</v>
      </c>
      <c r="F729" s="4">
        <f>IFERROR(__xludf.DUMMYFUNCTION("""COMPUTED_VALUE"""),5339.0)</f>
        <v>5339</v>
      </c>
      <c r="G729" s="4">
        <f>IFERROR(__xludf.DUMMYFUNCTION("""COMPUTED_VALUE"""),13.0)</f>
        <v>13</v>
      </c>
      <c r="H729" s="4"/>
      <c r="I729" s="4"/>
    </row>
    <row r="730">
      <c r="A730" s="4" t="str">
        <f>IFERROR(__xludf.DUMMYFUNCTION("""COMPUTED_VALUE"""),"cas_hmw")</f>
        <v>cas_hmw</v>
      </c>
      <c r="B730" s="5">
        <f>IFERROR(__xludf.DUMMYFUNCTION("""COMPUTED_VALUE"""),44733.0)</f>
        <v>44733</v>
      </c>
      <c r="C730" s="6">
        <f>IFERROR(__xludf.DUMMYFUNCTION("""COMPUTED_VALUE"""),0.7150694444426335)</f>
        <v>0.7150694444</v>
      </c>
      <c r="D730" s="4">
        <f>IFERROR(__xludf.DUMMYFUNCTION("""COMPUTED_VALUE"""),12.99825)</f>
        <v>12.99825</v>
      </c>
      <c r="E730" s="4">
        <f>IFERROR(__xludf.DUMMYFUNCTION("""COMPUTED_VALUE"""),80.191898)</f>
        <v>80.191898</v>
      </c>
      <c r="F730" s="4">
        <f>IFERROR(__xludf.DUMMYFUNCTION("""COMPUTED_VALUE"""),5339.0)</f>
        <v>5339</v>
      </c>
      <c r="G730" s="4">
        <f>IFERROR(__xludf.DUMMYFUNCTION("""COMPUTED_VALUE"""),0.0)</f>
        <v>0</v>
      </c>
      <c r="H730" s="4"/>
      <c r="I730" s="4"/>
    </row>
    <row r="731">
      <c r="A731" s="4" t="str">
        <f>IFERROR(__xludf.DUMMYFUNCTION("""COMPUTED_VALUE"""),"cas_hmw")</f>
        <v>cas_hmw</v>
      </c>
      <c r="B731" s="5">
        <f>IFERROR(__xludf.DUMMYFUNCTION("""COMPUTED_VALUE"""),44733.0)</f>
        <v>44733</v>
      </c>
      <c r="C731" s="6">
        <f>IFERROR(__xludf.DUMMYFUNCTION("""COMPUTED_VALUE"""),0.7152199074080272)</f>
        <v>0.7152199074</v>
      </c>
      <c r="D731" s="4">
        <f>IFERROR(__xludf.DUMMYFUNCTION("""COMPUTED_VALUE"""),12.998356)</f>
        <v>12.998356</v>
      </c>
      <c r="E731" s="4">
        <f>IFERROR(__xludf.DUMMYFUNCTION("""COMPUTED_VALUE"""),80.192035)</f>
        <v>80.192035</v>
      </c>
      <c r="F731" s="4">
        <f>IFERROR(__xludf.DUMMYFUNCTION("""COMPUTED_VALUE"""),5339.0)</f>
        <v>5339</v>
      </c>
      <c r="G731" s="4">
        <f>IFERROR(__xludf.DUMMYFUNCTION("""COMPUTED_VALUE"""),6.0)</f>
        <v>6</v>
      </c>
      <c r="H731" s="4"/>
      <c r="I731" s="4"/>
    </row>
    <row r="732">
      <c r="A732" s="4" t="str">
        <f>IFERROR(__xludf.DUMMYFUNCTION("""COMPUTED_VALUE"""),"cas_hmw")</f>
        <v>cas_hmw</v>
      </c>
      <c r="B732" s="5">
        <f>IFERROR(__xludf.DUMMYFUNCTION("""COMPUTED_VALUE"""),44733.0)</f>
        <v>44733</v>
      </c>
      <c r="C732" s="6">
        <f>IFERROR(__xludf.DUMMYFUNCTION("""COMPUTED_VALUE"""),0.7152199074080272)</f>
        <v>0.7152199074</v>
      </c>
      <c r="D732" s="4">
        <f>IFERROR(__xludf.DUMMYFUNCTION("""COMPUTED_VALUE"""),12.998356)</f>
        <v>12.998356</v>
      </c>
      <c r="E732" s="4">
        <f>IFERROR(__xludf.DUMMYFUNCTION("""COMPUTED_VALUE"""),80.192035)</f>
        <v>80.192035</v>
      </c>
      <c r="F732" s="4">
        <f>IFERROR(__xludf.DUMMYFUNCTION("""COMPUTED_VALUE"""),5339.0)</f>
        <v>5339</v>
      </c>
      <c r="G732" s="4">
        <f>IFERROR(__xludf.DUMMYFUNCTION("""COMPUTED_VALUE"""),6.0)</f>
        <v>6</v>
      </c>
      <c r="H732" s="4"/>
      <c r="I732" s="4"/>
    </row>
    <row r="733">
      <c r="A733" s="4" t="str">
        <f>IFERROR(__xludf.DUMMYFUNCTION("""COMPUTED_VALUE"""),"cas_hmw")</f>
        <v>cas_hmw</v>
      </c>
      <c r="B733" s="5">
        <f>IFERROR(__xludf.DUMMYFUNCTION("""COMPUTED_VALUE"""),44733.0)</f>
        <v>44733</v>
      </c>
      <c r="C733" s="6">
        <f>IFERROR(__xludf.DUMMYFUNCTION("""COMPUTED_VALUE"""),0.7152199074080272)</f>
        <v>0.7152199074</v>
      </c>
      <c r="D733" s="4">
        <f>IFERROR(__xludf.DUMMYFUNCTION("""COMPUTED_VALUE"""),12.998356)</f>
        <v>12.998356</v>
      </c>
      <c r="E733" s="4">
        <f>IFERROR(__xludf.DUMMYFUNCTION("""COMPUTED_VALUE"""),80.192035)</f>
        <v>80.192035</v>
      </c>
      <c r="F733" s="4">
        <f>IFERROR(__xludf.DUMMYFUNCTION("""COMPUTED_VALUE"""),5339.0)</f>
        <v>5339</v>
      </c>
      <c r="G733" s="4">
        <f>IFERROR(__xludf.DUMMYFUNCTION("""COMPUTED_VALUE"""),6.0)</f>
        <v>6</v>
      </c>
      <c r="H733" s="4"/>
      <c r="I733" s="4"/>
    </row>
    <row r="734">
      <c r="A734" s="4" t="str">
        <f>IFERROR(__xludf.DUMMYFUNCTION("""COMPUTED_VALUE"""),"cas_hmw")</f>
        <v>cas_hmw</v>
      </c>
      <c r="B734" s="5">
        <f>IFERROR(__xludf.DUMMYFUNCTION("""COMPUTED_VALUE"""),44733.0)</f>
        <v>44733</v>
      </c>
      <c r="C734" s="6">
        <f>IFERROR(__xludf.DUMMYFUNCTION("""COMPUTED_VALUE"""),0.7209722222214623)</f>
        <v>0.7209722222</v>
      </c>
      <c r="D734" s="4">
        <f>IFERROR(__xludf.DUMMYFUNCTION("""COMPUTED_VALUE"""),13.014869)</f>
        <v>13.014869</v>
      </c>
      <c r="E734" s="4">
        <f>IFERROR(__xludf.DUMMYFUNCTION("""COMPUTED_VALUE"""),80.224357)</f>
        <v>80.224357</v>
      </c>
      <c r="F734" s="4">
        <f>IFERROR(__xludf.DUMMYFUNCTION("""COMPUTED_VALUE"""),5339.0)</f>
        <v>5339</v>
      </c>
      <c r="G734" s="4">
        <f>IFERROR(__xludf.DUMMYFUNCTION("""COMPUTED_VALUE"""),9.0)</f>
        <v>9</v>
      </c>
      <c r="H734" s="4"/>
      <c r="I734" s="4"/>
    </row>
    <row r="735">
      <c r="A735" s="4" t="str">
        <f>IFERROR(__xludf.DUMMYFUNCTION("""COMPUTED_VALUE"""),"cas_hmw")</f>
        <v>cas_hmw</v>
      </c>
      <c r="B735" s="5">
        <f>IFERROR(__xludf.DUMMYFUNCTION("""COMPUTED_VALUE"""),44733.0)</f>
        <v>44733</v>
      </c>
      <c r="C735" s="6">
        <f>IFERROR(__xludf.DUMMYFUNCTION("""COMPUTED_VALUE"""),0.7217824074068631)</f>
        <v>0.7217824074</v>
      </c>
      <c r="D735" s="4">
        <f>IFERROR(__xludf.DUMMYFUNCTION("""COMPUTED_VALUE"""),13.019367)</f>
        <v>13.019367</v>
      </c>
      <c r="E735" s="4">
        <f>IFERROR(__xludf.DUMMYFUNCTION("""COMPUTED_VALUE"""),80.224434)</f>
        <v>80.224434</v>
      </c>
      <c r="F735" s="4">
        <f>IFERROR(__xludf.DUMMYFUNCTION("""COMPUTED_VALUE"""),5339.0)</f>
        <v>5339</v>
      </c>
      <c r="G735" s="4">
        <f>IFERROR(__xludf.DUMMYFUNCTION("""COMPUTED_VALUE"""),0.0)</f>
        <v>0</v>
      </c>
      <c r="H735" s="4"/>
      <c r="I735" s="4"/>
    </row>
    <row r="736">
      <c r="A736" s="4" t="str">
        <f>IFERROR(__xludf.DUMMYFUNCTION("""COMPUTED_VALUE"""),"cas_hmw")</f>
        <v>cas_hmw</v>
      </c>
      <c r="B736" s="5">
        <f>IFERROR(__xludf.DUMMYFUNCTION("""COMPUTED_VALUE"""),44733.0)</f>
        <v>44733</v>
      </c>
      <c r="C736" s="6">
        <f>IFERROR(__xludf.DUMMYFUNCTION("""COMPUTED_VALUE"""),0.7232638888890506)</f>
        <v>0.7232638889</v>
      </c>
      <c r="D736" s="4">
        <f>IFERROR(__xludf.DUMMYFUNCTION("""COMPUTED_VALUE"""),13.024587)</f>
        <v>13.024587</v>
      </c>
      <c r="E736" s="4">
        <f>IFERROR(__xludf.DUMMYFUNCTION("""COMPUTED_VALUE"""),80.228834)</f>
        <v>80.228834</v>
      </c>
      <c r="F736" s="4">
        <f>IFERROR(__xludf.DUMMYFUNCTION("""COMPUTED_VALUE"""),5339.0)</f>
        <v>5339</v>
      </c>
      <c r="G736" s="4">
        <f>IFERROR(__xludf.DUMMYFUNCTION("""COMPUTED_VALUE"""),0.0)</f>
        <v>0</v>
      </c>
      <c r="H736" s="4"/>
      <c r="I736" s="4"/>
    </row>
    <row r="737">
      <c r="A737" s="4" t="str">
        <f>IFERROR(__xludf.DUMMYFUNCTION("""COMPUTED_VALUE"""),"cas_hmw")</f>
        <v>cas_hmw</v>
      </c>
      <c r="B737" s="5">
        <f>IFERROR(__xludf.DUMMYFUNCTION("""COMPUTED_VALUE"""),44733.0)</f>
        <v>44733</v>
      </c>
      <c r="C737" s="6">
        <f>IFERROR(__xludf.DUMMYFUNCTION("""COMPUTED_VALUE"""),0.7233101851852552)</f>
        <v>0.7233101852</v>
      </c>
      <c r="D737" s="4">
        <f>IFERROR(__xludf.DUMMYFUNCTION("""COMPUTED_VALUE"""),13.024587)</f>
        <v>13.024587</v>
      </c>
      <c r="E737" s="4">
        <f>IFERROR(__xludf.DUMMYFUNCTION("""COMPUTED_VALUE"""),80.228834)</f>
        <v>80.228834</v>
      </c>
      <c r="F737" s="4">
        <f>IFERROR(__xludf.DUMMYFUNCTION("""COMPUTED_VALUE"""),5339.0)</f>
        <v>5339</v>
      </c>
      <c r="G737" s="4">
        <f>IFERROR(__xludf.DUMMYFUNCTION("""COMPUTED_VALUE"""),0.0)</f>
        <v>0</v>
      </c>
      <c r="H737" s="4"/>
      <c r="I737" s="4"/>
    </row>
    <row r="738">
      <c r="A738" s="4" t="str">
        <f>IFERROR(__xludf.DUMMYFUNCTION("""COMPUTED_VALUE"""),"cas_hmw")</f>
        <v>cas_hmw</v>
      </c>
      <c r="B738" s="5">
        <f>IFERROR(__xludf.DUMMYFUNCTION("""COMPUTED_VALUE"""),44733.0)</f>
        <v>44733</v>
      </c>
      <c r="C738" s="6">
        <f>IFERROR(__xludf.DUMMYFUNCTION("""COMPUTED_VALUE"""),0.7233796296313812)</f>
        <v>0.7233796296</v>
      </c>
      <c r="D738" s="4">
        <f>IFERROR(__xludf.DUMMYFUNCTION("""COMPUTED_VALUE"""),13.024587)</f>
        <v>13.024587</v>
      </c>
      <c r="E738" s="4">
        <f>IFERROR(__xludf.DUMMYFUNCTION("""COMPUTED_VALUE"""),80.228834)</f>
        <v>80.228834</v>
      </c>
      <c r="F738" s="4">
        <f>IFERROR(__xludf.DUMMYFUNCTION("""COMPUTED_VALUE"""),5339.0)</f>
        <v>5339</v>
      </c>
      <c r="G738" s="4">
        <f>IFERROR(__xludf.DUMMYFUNCTION("""COMPUTED_VALUE"""),0.0)</f>
        <v>0</v>
      </c>
      <c r="H738" s="4"/>
      <c r="I738" s="4"/>
    </row>
    <row r="739">
      <c r="A739" s="4" t="str">
        <f>IFERROR(__xludf.DUMMYFUNCTION("""COMPUTED_VALUE"""),"cas_hmw")</f>
        <v>cas_hmw</v>
      </c>
      <c r="B739" s="5">
        <f>IFERROR(__xludf.DUMMYFUNCTION("""COMPUTED_VALUE"""),44733.0)</f>
        <v>44733</v>
      </c>
      <c r="C739" s="6">
        <f>IFERROR(__xludf.DUMMYFUNCTION("""COMPUTED_VALUE"""),0.7248148148137261)</f>
        <v>0.7248148148</v>
      </c>
      <c r="D739" s="4">
        <f>IFERROR(__xludf.DUMMYFUNCTION("""COMPUTED_VALUE"""),13.02656)</f>
        <v>13.02656</v>
      </c>
      <c r="E739" s="4">
        <f>IFERROR(__xludf.DUMMYFUNCTION("""COMPUTED_VALUE"""),80.232808)</f>
        <v>80.232808</v>
      </c>
      <c r="F739" s="4">
        <f>IFERROR(__xludf.DUMMYFUNCTION("""COMPUTED_VALUE"""),5339.0)</f>
        <v>5339</v>
      </c>
      <c r="G739" s="4">
        <f>IFERROR(__xludf.DUMMYFUNCTION("""COMPUTED_VALUE"""),0.0)</f>
        <v>0</v>
      </c>
      <c r="H739" s="4"/>
      <c r="I739" s="4"/>
    </row>
    <row r="740">
      <c r="A740" s="4" t="str">
        <f>IFERROR(__xludf.DUMMYFUNCTION("""COMPUTED_VALUE"""),"cas_hmw")</f>
        <v>cas_hmw</v>
      </c>
      <c r="B740" s="5">
        <f>IFERROR(__xludf.DUMMYFUNCTION("""COMPUTED_VALUE"""),44733.0)</f>
        <v>44733</v>
      </c>
      <c r="C740" s="6">
        <f>IFERROR(__xludf.DUMMYFUNCTION("""COMPUTED_VALUE"""),0.7248379629636474)</f>
        <v>0.724837963</v>
      </c>
      <c r="D740" s="4">
        <f>IFERROR(__xludf.DUMMYFUNCTION("""COMPUTED_VALUE"""),13.02656)</f>
        <v>13.02656</v>
      </c>
      <c r="E740" s="4">
        <f>IFERROR(__xludf.DUMMYFUNCTION("""COMPUTED_VALUE"""),80.232808)</f>
        <v>80.232808</v>
      </c>
      <c r="F740" s="4">
        <f>IFERROR(__xludf.DUMMYFUNCTION("""COMPUTED_VALUE"""),5339.0)</f>
        <v>5339</v>
      </c>
      <c r="G740" s="4">
        <f>IFERROR(__xludf.DUMMYFUNCTION("""COMPUTED_VALUE"""),0.0)</f>
        <v>0</v>
      </c>
      <c r="H740" s="4"/>
      <c r="I740" s="4"/>
    </row>
    <row r="741">
      <c r="A741" s="4" t="str">
        <f>IFERROR(__xludf.DUMMYFUNCTION("""COMPUTED_VALUE"""),"cas_hmw")</f>
        <v>cas_hmw</v>
      </c>
      <c r="B741" s="5">
        <f>IFERROR(__xludf.DUMMYFUNCTION("""COMPUTED_VALUE"""),44733.0)</f>
        <v>44733</v>
      </c>
      <c r="C741" s="6">
        <f>IFERROR(__xludf.DUMMYFUNCTION("""COMPUTED_VALUE"""),0.7257060185183946)</f>
        <v>0.7257060185</v>
      </c>
      <c r="D741" s="4">
        <f>IFERROR(__xludf.DUMMYFUNCTION("""COMPUTED_VALUE"""),12.657403)</f>
        <v>12.657403</v>
      </c>
      <c r="E741" s="4">
        <f>IFERROR(__xludf.DUMMYFUNCTION("""COMPUTED_VALUE"""),79.957922)</f>
        <v>79.957922</v>
      </c>
      <c r="F741" s="4">
        <f>IFERROR(__xludf.DUMMYFUNCTION("""COMPUTED_VALUE"""),2846.0)</f>
        <v>2846</v>
      </c>
      <c r="G741" s="4">
        <f>IFERROR(__xludf.DUMMYFUNCTION("""COMPUTED_VALUE"""),0.0)</f>
        <v>0</v>
      </c>
      <c r="H741" s="4"/>
      <c r="I741" s="4"/>
    </row>
    <row r="742">
      <c r="A742" s="4" t="str">
        <f>IFERROR(__xludf.DUMMYFUNCTION("""COMPUTED_VALUE"""),"cas_hmw")</f>
        <v>cas_hmw</v>
      </c>
      <c r="B742" s="5">
        <f>IFERROR(__xludf.DUMMYFUNCTION("""COMPUTED_VALUE"""),44733.0)</f>
        <v>44733</v>
      </c>
      <c r="C742" s="6">
        <f>IFERROR(__xludf.DUMMYFUNCTION("""COMPUTED_VALUE"""),0.7270138888889051)</f>
        <v>0.7270138889</v>
      </c>
      <c r="D742" s="4">
        <f>IFERROR(__xludf.DUMMYFUNCTION("""COMPUTED_VALUE"""),13.031)</f>
        <v>13.031</v>
      </c>
      <c r="E742" s="4">
        <f>IFERROR(__xludf.DUMMYFUNCTION("""COMPUTED_VALUE"""),80.239389)</f>
        <v>80.239389</v>
      </c>
      <c r="F742" s="4">
        <f>IFERROR(__xludf.DUMMYFUNCTION("""COMPUTED_VALUE"""),5339.0)</f>
        <v>5339</v>
      </c>
      <c r="G742" s="4">
        <f>IFERROR(__xludf.DUMMYFUNCTION("""COMPUTED_VALUE"""),0.0)</f>
        <v>0</v>
      </c>
      <c r="H742" s="4"/>
      <c r="I742" s="4"/>
    </row>
    <row r="743">
      <c r="A743" s="4" t="str">
        <f>IFERROR(__xludf.DUMMYFUNCTION("""COMPUTED_VALUE"""),"cas_hmw")</f>
        <v>cas_hmw</v>
      </c>
      <c r="B743" s="5">
        <f>IFERROR(__xludf.DUMMYFUNCTION("""COMPUTED_VALUE"""),44733.0)</f>
        <v>44733</v>
      </c>
      <c r="C743" s="6">
        <f>IFERROR(__xludf.DUMMYFUNCTION("""COMPUTED_VALUE"""),0.7302777777767915)</f>
        <v>0.7302777778</v>
      </c>
      <c r="D743" s="4">
        <f>IFERROR(__xludf.DUMMYFUNCTION("""COMPUTED_VALUE"""),13.04234)</f>
        <v>13.04234</v>
      </c>
      <c r="E743" s="4">
        <f>IFERROR(__xludf.DUMMYFUNCTION("""COMPUTED_VALUE"""),80.24742)</f>
        <v>80.24742</v>
      </c>
      <c r="F743" s="4">
        <f>IFERROR(__xludf.DUMMYFUNCTION("""COMPUTED_VALUE"""),5339.0)</f>
        <v>5339</v>
      </c>
      <c r="G743" s="4">
        <f>IFERROR(__xludf.DUMMYFUNCTION("""COMPUTED_VALUE"""),16.0)</f>
        <v>16</v>
      </c>
      <c r="H743" s="4"/>
      <c r="I743" s="4"/>
    </row>
    <row r="744">
      <c r="A744" s="4" t="str">
        <f>IFERROR(__xludf.DUMMYFUNCTION("""COMPUTED_VALUE"""),"cas_hmw")</f>
        <v>cas_hmw</v>
      </c>
      <c r="B744" s="5">
        <f>IFERROR(__xludf.DUMMYFUNCTION("""COMPUTED_VALUE"""),44733.0)</f>
        <v>44733</v>
      </c>
      <c r="C744" s="6">
        <f>IFERROR(__xludf.DUMMYFUNCTION("""COMPUTED_VALUE"""),0.7302777777767915)</f>
        <v>0.7302777778</v>
      </c>
      <c r="D744" s="4">
        <f>IFERROR(__xludf.DUMMYFUNCTION("""COMPUTED_VALUE"""),13.04234)</f>
        <v>13.04234</v>
      </c>
      <c r="E744" s="4">
        <f>IFERROR(__xludf.DUMMYFUNCTION("""COMPUTED_VALUE"""),80.24742)</f>
        <v>80.24742</v>
      </c>
      <c r="F744" s="4">
        <f>IFERROR(__xludf.DUMMYFUNCTION("""COMPUTED_VALUE"""),5339.0)</f>
        <v>5339</v>
      </c>
      <c r="G744" s="4">
        <f>IFERROR(__xludf.DUMMYFUNCTION("""COMPUTED_VALUE"""),16.0)</f>
        <v>16</v>
      </c>
      <c r="H744" s="4"/>
      <c r="I744" s="4"/>
    </row>
    <row r="745">
      <c r="A745" s="4" t="str">
        <f>IFERROR(__xludf.DUMMYFUNCTION("""COMPUTED_VALUE"""),"cas_hmw")</f>
        <v>cas_hmw</v>
      </c>
      <c r="B745" s="5">
        <f>IFERROR(__xludf.DUMMYFUNCTION("""COMPUTED_VALUE"""),44733.0)</f>
        <v>44733</v>
      </c>
      <c r="C745" s="6">
        <f>IFERROR(__xludf.DUMMYFUNCTION("""COMPUTED_VALUE"""),0.7319097222207347)</f>
        <v>0.7319097222</v>
      </c>
      <c r="D745" s="4">
        <f>IFERROR(__xludf.DUMMYFUNCTION("""COMPUTED_VALUE"""),13.049588)</f>
        <v>13.049588</v>
      </c>
      <c r="E745" s="4">
        <f>IFERROR(__xludf.DUMMYFUNCTION("""COMPUTED_VALUE"""),80.249731)</f>
        <v>80.249731</v>
      </c>
      <c r="F745" s="4">
        <f>IFERROR(__xludf.DUMMYFUNCTION("""COMPUTED_VALUE"""),5339.0)</f>
        <v>5339</v>
      </c>
      <c r="G745" s="4">
        <f>IFERROR(__xludf.DUMMYFUNCTION("""COMPUTED_VALUE"""),12.0)</f>
        <v>12</v>
      </c>
      <c r="H745" s="4"/>
      <c r="I745" s="4"/>
    </row>
    <row r="746">
      <c r="A746" s="4" t="str">
        <f>IFERROR(__xludf.DUMMYFUNCTION("""COMPUTED_VALUE"""),"cas_hmw")</f>
        <v>cas_hmw</v>
      </c>
      <c r="B746" s="5">
        <f>IFERROR(__xludf.DUMMYFUNCTION("""COMPUTED_VALUE"""),44733.0)</f>
        <v>44733</v>
      </c>
      <c r="C746" s="6">
        <f>IFERROR(__xludf.DUMMYFUNCTION("""COMPUTED_VALUE"""),0.7356018518512428)</f>
        <v>0.7356018519</v>
      </c>
      <c r="D746" s="4">
        <f>IFERROR(__xludf.DUMMYFUNCTION("""COMPUTED_VALUE"""),13.054174)</f>
        <v>13.054174</v>
      </c>
      <c r="E746" s="4">
        <f>IFERROR(__xludf.DUMMYFUNCTION("""COMPUTED_VALUE"""),80.261401)</f>
        <v>80.261401</v>
      </c>
      <c r="F746" s="4">
        <f>IFERROR(__xludf.DUMMYFUNCTION("""COMPUTED_VALUE"""),5339.0)</f>
        <v>5339</v>
      </c>
      <c r="G746" s="4">
        <f>IFERROR(__xludf.DUMMYFUNCTION("""COMPUTED_VALUE"""),15.0)</f>
        <v>15</v>
      </c>
      <c r="H746" s="4"/>
      <c r="I746" s="4"/>
    </row>
    <row r="747">
      <c r="A747" s="4" t="str">
        <f>IFERROR(__xludf.DUMMYFUNCTION("""COMPUTED_VALUE"""),"cas_hmw")</f>
        <v>cas_hmw</v>
      </c>
      <c r="B747" s="5">
        <f>IFERROR(__xludf.DUMMYFUNCTION("""COMPUTED_VALUE"""),44733.0)</f>
        <v>44733</v>
      </c>
      <c r="C747" s="6">
        <f>IFERROR(__xludf.DUMMYFUNCTION("""COMPUTED_VALUE"""),0.7521296296290529)</f>
        <v>0.7521296296</v>
      </c>
      <c r="D747" s="4">
        <f>IFERROR(__xludf.DUMMYFUNCTION("""COMPUTED_VALUE"""),13.067681)</f>
        <v>13.067681</v>
      </c>
      <c r="E747" s="4">
        <f>IFERROR(__xludf.DUMMYFUNCTION("""COMPUTED_VALUE"""),80.249184)</f>
        <v>80.249184</v>
      </c>
      <c r="F747" s="4">
        <f>IFERROR(__xludf.DUMMYFUNCTION("""COMPUTED_VALUE"""),5339.0)</f>
        <v>5339</v>
      </c>
      <c r="G747" s="4">
        <f>IFERROR(__xludf.DUMMYFUNCTION("""COMPUTED_VALUE"""),20.0)</f>
        <v>20</v>
      </c>
      <c r="H747" s="4"/>
      <c r="I747" s="4"/>
    </row>
    <row r="748">
      <c r="A748" s="4" t="str">
        <f>IFERROR(__xludf.DUMMYFUNCTION("""COMPUTED_VALUE"""),"cas_hmw")</f>
        <v>cas_hmw</v>
      </c>
      <c r="B748" s="5">
        <f>IFERROR(__xludf.DUMMYFUNCTION("""COMPUTED_VALUE"""),44733.0)</f>
        <v>44733</v>
      </c>
      <c r="C748" s="6">
        <f>IFERROR(__xludf.DUMMYFUNCTION("""COMPUTED_VALUE"""),0.7522453703713836)</f>
        <v>0.7522453704</v>
      </c>
      <c r="D748" s="4">
        <f>IFERROR(__xludf.DUMMYFUNCTION("""COMPUTED_VALUE"""),13.067681)</f>
        <v>13.067681</v>
      </c>
      <c r="E748" s="4">
        <f>IFERROR(__xludf.DUMMYFUNCTION("""COMPUTED_VALUE"""),80.249184)</f>
        <v>80.249184</v>
      </c>
      <c r="F748" s="4">
        <f>IFERROR(__xludf.DUMMYFUNCTION("""COMPUTED_VALUE"""),5339.0)</f>
        <v>5339</v>
      </c>
      <c r="G748" s="4">
        <f>IFERROR(__xludf.DUMMYFUNCTION("""COMPUTED_VALUE"""),20.0)</f>
        <v>20</v>
      </c>
      <c r="H748" s="4"/>
      <c r="I748" s="4"/>
    </row>
    <row r="749">
      <c r="A749" s="4" t="str">
        <f>IFERROR(__xludf.DUMMYFUNCTION("""COMPUTED_VALUE"""),"cas_hmw")</f>
        <v>cas_hmw</v>
      </c>
      <c r="B749" s="5">
        <f>IFERROR(__xludf.DUMMYFUNCTION("""COMPUTED_VALUE"""),44733.0)</f>
        <v>44733</v>
      </c>
      <c r="C749" s="6">
        <f>IFERROR(__xludf.DUMMYFUNCTION("""COMPUTED_VALUE"""),0.752268518517667)</f>
        <v>0.7522685185</v>
      </c>
      <c r="D749" s="4">
        <f>IFERROR(__xludf.DUMMYFUNCTION("""COMPUTED_VALUE"""),13.067681)</f>
        <v>13.067681</v>
      </c>
      <c r="E749" s="4">
        <f>IFERROR(__xludf.DUMMYFUNCTION("""COMPUTED_VALUE"""),80.249184)</f>
        <v>80.249184</v>
      </c>
      <c r="F749" s="4">
        <f>IFERROR(__xludf.DUMMYFUNCTION("""COMPUTED_VALUE"""),5339.0)</f>
        <v>5339</v>
      </c>
      <c r="G749" s="4">
        <f>IFERROR(__xludf.DUMMYFUNCTION("""COMPUTED_VALUE"""),20.0)</f>
        <v>20</v>
      </c>
      <c r="H749" s="4"/>
      <c r="I749" s="4"/>
    </row>
    <row r="750">
      <c r="A750" s="4" t="str">
        <f>IFERROR(__xludf.DUMMYFUNCTION("""COMPUTED_VALUE"""),"cas_hmw")</f>
        <v>cas_hmw</v>
      </c>
      <c r="B750" s="5">
        <f>IFERROR(__xludf.DUMMYFUNCTION("""COMPUTED_VALUE"""),44733.0)</f>
        <v>44733</v>
      </c>
      <c r="C750" s="6">
        <f>IFERROR(__xludf.DUMMYFUNCTION("""COMPUTED_VALUE"""),0.752268518517667)</f>
        <v>0.7522685185</v>
      </c>
      <c r="D750" s="4">
        <f>IFERROR(__xludf.DUMMYFUNCTION("""COMPUTED_VALUE"""),13.067681)</f>
        <v>13.067681</v>
      </c>
      <c r="E750" s="4">
        <f>IFERROR(__xludf.DUMMYFUNCTION("""COMPUTED_VALUE"""),80.249184)</f>
        <v>80.249184</v>
      </c>
      <c r="F750" s="4">
        <f>IFERROR(__xludf.DUMMYFUNCTION("""COMPUTED_VALUE"""),5339.0)</f>
        <v>5339</v>
      </c>
      <c r="G750" s="4">
        <f>IFERROR(__xludf.DUMMYFUNCTION("""COMPUTED_VALUE"""),20.0)</f>
        <v>20</v>
      </c>
      <c r="H750" s="4"/>
      <c r="I750" s="4"/>
    </row>
    <row r="751">
      <c r="A751" s="4" t="str">
        <f>IFERROR(__xludf.DUMMYFUNCTION("""COMPUTED_VALUE"""),"cas_hmw")</f>
        <v>cas_hmw</v>
      </c>
      <c r="B751" s="5">
        <f>IFERROR(__xludf.DUMMYFUNCTION("""COMPUTED_VALUE"""),44733.0)</f>
        <v>44733</v>
      </c>
      <c r="C751" s="6">
        <f>IFERROR(__xludf.DUMMYFUNCTION("""COMPUTED_VALUE"""),0.7787615740744513)</f>
        <v>0.7787615741</v>
      </c>
      <c r="D751" s="4">
        <f>IFERROR(__xludf.DUMMYFUNCTION("""COMPUTED_VALUE"""),12.761872)</f>
        <v>12.761872</v>
      </c>
      <c r="E751" s="4">
        <f>IFERROR(__xludf.DUMMYFUNCTION("""COMPUTED_VALUE"""),80.003656)</f>
        <v>80.003656</v>
      </c>
      <c r="F751" s="4">
        <f>IFERROR(__xludf.DUMMYFUNCTION("""COMPUTED_VALUE"""),2846.0)</f>
        <v>2846</v>
      </c>
      <c r="G751" s="4">
        <f>IFERROR(__xludf.DUMMYFUNCTION("""COMPUTED_VALUE"""),4.0)</f>
        <v>4</v>
      </c>
      <c r="H751" s="4"/>
      <c r="I751" s="4"/>
    </row>
    <row r="752">
      <c r="A752" s="4" t="str">
        <f>IFERROR(__xludf.DUMMYFUNCTION("""COMPUTED_VALUE"""),"cas_hmw")</f>
        <v>cas_hmw</v>
      </c>
      <c r="B752" s="5">
        <f>IFERROR(__xludf.DUMMYFUNCTION("""COMPUTED_VALUE"""),44733.0)</f>
        <v>44733</v>
      </c>
      <c r="C752" s="6">
        <f>IFERROR(__xludf.DUMMYFUNCTION("""COMPUTED_VALUE"""),0.778981481482333)</f>
        <v>0.7789814815</v>
      </c>
      <c r="D752" s="4">
        <f>IFERROR(__xludf.DUMMYFUNCTION("""COMPUTED_VALUE"""),12.762104)</f>
        <v>12.762104</v>
      </c>
      <c r="E752" s="4">
        <f>IFERROR(__xludf.DUMMYFUNCTION("""COMPUTED_VALUE"""),80.003708)</f>
        <v>80.003708</v>
      </c>
      <c r="F752" s="4">
        <f>IFERROR(__xludf.DUMMYFUNCTION("""COMPUTED_VALUE"""),2846.0)</f>
        <v>2846</v>
      </c>
      <c r="G752" s="4">
        <f>IFERROR(__xludf.DUMMYFUNCTION("""COMPUTED_VALUE"""),0.0)</f>
        <v>0</v>
      </c>
      <c r="H752" s="4"/>
      <c r="I752" s="4"/>
    </row>
    <row r="753">
      <c r="A753" s="4" t="str">
        <f>IFERROR(__xludf.DUMMYFUNCTION("""COMPUTED_VALUE"""),"cas_hmw")</f>
        <v>cas_hmw</v>
      </c>
      <c r="B753" s="5">
        <f>IFERROR(__xludf.DUMMYFUNCTION("""COMPUTED_VALUE"""),44733.0)</f>
        <v>44733</v>
      </c>
      <c r="C753" s="6">
        <f>IFERROR(__xludf.DUMMYFUNCTION("""COMPUTED_VALUE"""),0.7839120370372257)</f>
        <v>0.783912037</v>
      </c>
      <c r="D753" s="4">
        <f>IFERROR(__xludf.DUMMYFUNCTION("""COMPUTED_VALUE"""),12.795195)</f>
        <v>12.795195</v>
      </c>
      <c r="E753" s="4">
        <f>IFERROR(__xludf.DUMMYFUNCTION("""COMPUTED_VALUE"""),80.020094)</f>
        <v>80.020094</v>
      </c>
      <c r="F753" s="4">
        <f>IFERROR(__xludf.DUMMYFUNCTION("""COMPUTED_VALUE"""),2846.0)</f>
        <v>2846</v>
      </c>
      <c r="G753" s="4">
        <f>IFERROR(__xludf.DUMMYFUNCTION("""COMPUTED_VALUE"""),6.0)</f>
        <v>6</v>
      </c>
      <c r="H753" s="4"/>
      <c r="I753" s="4"/>
    </row>
    <row r="754">
      <c r="A754" s="4" t="str">
        <f>IFERROR(__xludf.DUMMYFUNCTION("""COMPUTED_VALUE"""),"cas_hmw")</f>
        <v>cas_hmw</v>
      </c>
      <c r="B754" s="5">
        <f>IFERROR(__xludf.DUMMYFUNCTION("""COMPUTED_VALUE"""),44733.0)</f>
        <v>44733</v>
      </c>
      <c r="C754" s="6">
        <f>IFERROR(__xludf.DUMMYFUNCTION("""COMPUTED_VALUE"""),0.7880671296297805)</f>
        <v>0.7880671296</v>
      </c>
      <c r="D754" s="4">
        <f>IFERROR(__xludf.DUMMYFUNCTION("""COMPUTED_VALUE"""),12.830388)</f>
        <v>12.830388</v>
      </c>
      <c r="E754" s="4">
        <f>IFERROR(__xludf.DUMMYFUNCTION("""COMPUTED_VALUE"""),80.045325)</f>
        <v>80.045325</v>
      </c>
      <c r="F754" s="4">
        <f>IFERROR(__xludf.DUMMYFUNCTION("""COMPUTED_VALUE"""),2846.0)</f>
        <v>2846</v>
      </c>
      <c r="G754" s="4">
        <f>IFERROR(__xludf.DUMMYFUNCTION("""COMPUTED_VALUE"""),19.0)</f>
        <v>19</v>
      </c>
      <c r="H754" s="4"/>
      <c r="I754" s="4"/>
    </row>
    <row r="755">
      <c r="A755" s="4" t="str">
        <f>IFERROR(__xludf.DUMMYFUNCTION("""COMPUTED_VALUE"""),"cas_hmw")</f>
        <v>cas_hmw</v>
      </c>
      <c r="B755" s="5">
        <f>IFERROR(__xludf.DUMMYFUNCTION("""COMPUTED_VALUE"""),44733.0)</f>
        <v>44733</v>
      </c>
      <c r="C755" s="6">
        <f>IFERROR(__xludf.DUMMYFUNCTION("""COMPUTED_VALUE"""),0.7919444444451074)</f>
        <v>0.7919444444</v>
      </c>
      <c r="D755" s="4">
        <f>IFERROR(__xludf.DUMMYFUNCTION("""COMPUTED_VALUE"""),12.849479)</f>
        <v>12.849479</v>
      </c>
      <c r="E755" s="4">
        <f>IFERROR(__xludf.DUMMYFUNCTION("""COMPUTED_VALUE"""),80.064306)</f>
        <v>80.064306</v>
      </c>
      <c r="F755" s="4">
        <f>IFERROR(__xludf.DUMMYFUNCTION("""COMPUTED_VALUE"""),2846.0)</f>
        <v>2846</v>
      </c>
      <c r="G755" s="4">
        <f>IFERROR(__xludf.DUMMYFUNCTION("""COMPUTED_VALUE"""),18.0)</f>
        <v>18</v>
      </c>
      <c r="H755" s="4"/>
      <c r="I755" s="4"/>
    </row>
    <row r="756">
      <c r="A756" s="4" t="str">
        <f>IFERROR(__xludf.DUMMYFUNCTION("""COMPUTED_VALUE"""),"cas_hmw")</f>
        <v>cas_hmw</v>
      </c>
      <c r="B756" s="5">
        <f>IFERROR(__xludf.DUMMYFUNCTION("""COMPUTED_VALUE"""),44735.0)</f>
        <v>44735</v>
      </c>
      <c r="C756" s="6">
        <f>IFERROR(__xludf.DUMMYFUNCTION("""COMPUTED_VALUE"""),0.3191203703718202)</f>
        <v>0.3191203704</v>
      </c>
      <c r="D756" s="4">
        <f>IFERROR(__xludf.DUMMYFUNCTION("""COMPUTED_VALUE"""),13.019992)</f>
        <v>13.019992</v>
      </c>
      <c r="E756" s="4">
        <f>IFERROR(__xludf.DUMMYFUNCTION("""COMPUTED_VALUE"""),80.22482)</f>
        <v>80.22482</v>
      </c>
      <c r="F756" s="4">
        <f>IFERROR(__xludf.DUMMYFUNCTION("""COMPUTED_VALUE"""),5339.0)</f>
        <v>5339</v>
      </c>
      <c r="G756" s="4">
        <f>IFERROR(__xludf.DUMMYFUNCTION("""COMPUTED_VALUE"""),20.0)</f>
        <v>20</v>
      </c>
      <c r="H756" s="4"/>
      <c r="I756" s="4"/>
    </row>
    <row r="757">
      <c r="A757" s="4" t="str">
        <f>IFERROR(__xludf.DUMMYFUNCTION("""COMPUTED_VALUE"""),"cas_hmw")</f>
        <v>cas_hmw</v>
      </c>
      <c r="B757" s="5">
        <f>IFERROR(__xludf.DUMMYFUNCTION("""COMPUTED_VALUE"""),44735.0)</f>
        <v>44735</v>
      </c>
      <c r="C757" s="6">
        <f>IFERROR(__xludf.DUMMYFUNCTION("""COMPUTED_VALUE"""),0.32473379629664123)</f>
        <v>0.3247337963</v>
      </c>
      <c r="D757" s="4">
        <f>IFERROR(__xludf.DUMMYFUNCTION("""COMPUTED_VALUE"""),12.698852)</f>
        <v>12.698852</v>
      </c>
      <c r="E757" s="4">
        <f>IFERROR(__xludf.DUMMYFUNCTION("""COMPUTED_VALUE"""),79.969922)</f>
        <v>79.969922</v>
      </c>
      <c r="F757" s="4">
        <f>IFERROR(__xludf.DUMMYFUNCTION("""COMPUTED_VALUE"""),2846.0)</f>
        <v>2846</v>
      </c>
      <c r="G757" s="4">
        <f>IFERROR(__xludf.DUMMYFUNCTION("""COMPUTED_VALUE"""),18.0)</f>
        <v>18</v>
      </c>
      <c r="H757" s="4"/>
      <c r="I757" s="4"/>
    </row>
    <row r="758">
      <c r="A758" s="4" t="str">
        <f>IFERROR(__xludf.DUMMYFUNCTION("""COMPUTED_VALUE"""),"cas_hmw")</f>
        <v>cas_hmw</v>
      </c>
      <c r="B758" s="5">
        <f>IFERROR(__xludf.DUMMYFUNCTION("""COMPUTED_VALUE"""),44735.0)</f>
        <v>44735</v>
      </c>
      <c r="C758" s="6">
        <f>IFERROR(__xludf.DUMMYFUNCTION("""COMPUTED_VALUE"""),0.3247800925928459)</f>
        <v>0.3247800926</v>
      </c>
      <c r="D758" s="4">
        <f>IFERROR(__xludf.DUMMYFUNCTION("""COMPUTED_VALUE"""),12.698852)</f>
        <v>12.698852</v>
      </c>
      <c r="E758" s="4">
        <f>IFERROR(__xludf.DUMMYFUNCTION("""COMPUTED_VALUE"""),79.969922)</f>
        <v>79.969922</v>
      </c>
      <c r="F758" s="4">
        <f>IFERROR(__xludf.DUMMYFUNCTION("""COMPUTED_VALUE"""),2846.0)</f>
        <v>2846</v>
      </c>
      <c r="G758" s="4">
        <f>IFERROR(__xludf.DUMMYFUNCTION("""COMPUTED_VALUE"""),18.0)</f>
        <v>18</v>
      </c>
      <c r="H758" s="4"/>
      <c r="I758" s="4"/>
    </row>
    <row r="759">
      <c r="A759" s="4" t="str">
        <f>IFERROR(__xludf.DUMMYFUNCTION("""COMPUTED_VALUE"""),"cas_hmw")</f>
        <v>cas_hmw</v>
      </c>
      <c r="B759" s="5">
        <f>IFERROR(__xludf.DUMMYFUNCTION("""COMPUTED_VALUE"""),44735.0)</f>
        <v>44735</v>
      </c>
      <c r="C759" s="6">
        <f>IFERROR(__xludf.DUMMYFUNCTION("""COMPUTED_VALUE"""),0.327986111111386)</f>
        <v>0.3279861111</v>
      </c>
      <c r="D759" s="4">
        <f>IFERROR(__xludf.DUMMYFUNCTION("""COMPUTED_VALUE"""),12.724367)</f>
        <v>12.724367</v>
      </c>
      <c r="E759" s="4">
        <f>IFERROR(__xludf.DUMMYFUNCTION("""COMPUTED_VALUE"""),79.981668)</f>
        <v>79.981668</v>
      </c>
      <c r="F759" s="4">
        <f>IFERROR(__xludf.DUMMYFUNCTION("""COMPUTED_VALUE"""),2846.0)</f>
        <v>2846</v>
      </c>
      <c r="G759" s="4">
        <f>IFERROR(__xludf.DUMMYFUNCTION("""COMPUTED_VALUE"""),16.0)</f>
        <v>16</v>
      </c>
      <c r="H759" s="4"/>
      <c r="I759" s="4"/>
    </row>
    <row r="760">
      <c r="A760" s="4" t="str">
        <f>IFERROR(__xludf.DUMMYFUNCTION("""COMPUTED_VALUE"""),"cas_hmw")</f>
        <v>cas_hmw</v>
      </c>
      <c r="B760" s="5">
        <f>IFERROR(__xludf.DUMMYFUNCTION("""COMPUTED_VALUE"""),44735.0)</f>
        <v>44735</v>
      </c>
      <c r="C760" s="6">
        <f>IFERROR(__xludf.DUMMYFUNCTION("""COMPUTED_VALUE"""),0.708078703704814)</f>
        <v>0.7080787037</v>
      </c>
      <c r="D760" s="4">
        <f>IFERROR(__xludf.DUMMYFUNCTION("""COMPUTED_VALUE"""),12.860139)</f>
        <v>12.860139</v>
      </c>
      <c r="E760" s="4">
        <f>IFERROR(__xludf.DUMMYFUNCTION("""COMPUTED_VALUE"""),80.072414)</f>
        <v>80.072414</v>
      </c>
      <c r="F760" s="4">
        <f>IFERROR(__xludf.DUMMYFUNCTION("""COMPUTED_VALUE"""),2846.0)</f>
        <v>2846</v>
      </c>
      <c r="G760" s="4">
        <f>IFERROR(__xludf.DUMMYFUNCTION("""COMPUTED_VALUE"""),12.0)</f>
        <v>12</v>
      </c>
      <c r="H760" s="4"/>
      <c r="I760" s="4"/>
    </row>
    <row r="761">
      <c r="A761" s="4" t="str">
        <f>IFERROR(__xludf.DUMMYFUNCTION("""COMPUTED_VALUE"""),"cas_hmw")</f>
        <v>cas_hmw</v>
      </c>
      <c r="B761" s="5">
        <f>IFERROR(__xludf.DUMMYFUNCTION("""COMPUTED_VALUE"""),44735.0)</f>
        <v>44735</v>
      </c>
      <c r="C761" s="6">
        <f>IFERROR(__xludf.DUMMYFUNCTION("""COMPUTED_VALUE"""),0.7093055555560568)</f>
        <v>0.7093055556</v>
      </c>
      <c r="D761" s="4">
        <f>IFERROR(__xludf.DUMMYFUNCTION("""COMPUTED_VALUE"""),12.950315)</f>
        <v>12.950315</v>
      </c>
      <c r="E761" s="4">
        <f>IFERROR(__xludf.DUMMYFUNCTION("""COMPUTED_VALUE"""),80.139338)</f>
        <v>80.139338</v>
      </c>
      <c r="F761" s="4">
        <f>IFERROR(__xludf.DUMMYFUNCTION("""COMPUTED_VALUE"""),5339.0)</f>
        <v>5339</v>
      </c>
      <c r="G761" s="4">
        <f>IFERROR(__xludf.DUMMYFUNCTION("""COMPUTED_VALUE"""),8.0)</f>
        <v>8</v>
      </c>
      <c r="H761" s="4"/>
      <c r="I761" s="4"/>
    </row>
    <row r="762">
      <c r="A762" s="4" t="str">
        <f>IFERROR(__xludf.DUMMYFUNCTION("""COMPUTED_VALUE"""),"cas_hmw")</f>
        <v>cas_hmw</v>
      </c>
      <c r="B762" s="5">
        <f>IFERROR(__xludf.DUMMYFUNCTION("""COMPUTED_VALUE"""),44735.0)</f>
        <v>44735</v>
      </c>
      <c r="C762" s="6">
        <f>IFERROR(__xludf.DUMMYFUNCTION("""COMPUTED_VALUE"""),0.7093171296291985)</f>
        <v>0.7093171296</v>
      </c>
      <c r="D762" s="4">
        <f>IFERROR(__xludf.DUMMYFUNCTION("""COMPUTED_VALUE"""),12.950315)</f>
        <v>12.950315</v>
      </c>
      <c r="E762" s="4">
        <f>IFERROR(__xludf.DUMMYFUNCTION("""COMPUTED_VALUE"""),80.139338)</f>
        <v>80.139338</v>
      </c>
      <c r="F762" s="4">
        <f>IFERROR(__xludf.DUMMYFUNCTION("""COMPUTED_VALUE"""),5339.0)</f>
        <v>5339</v>
      </c>
      <c r="G762" s="4">
        <f>IFERROR(__xludf.DUMMYFUNCTION("""COMPUTED_VALUE"""),8.0)</f>
        <v>8</v>
      </c>
      <c r="H762" s="4"/>
      <c r="I762" s="4"/>
    </row>
    <row r="763">
      <c r="A763" s="4" t="str">
        <f>IFERROR(__xludf.DUMMYFUNCTION("""COMPUTED_VALUE"""),"cas_hmw")</f>
        <v>cas_hmw</v>
      </c>
      <c r="B763" s="5">
        <f>IFERROR(__xludf.DUMMYFUNCTION("""COMPUTED_VALUE"""),44735.0)</f>
        <v>44735</v>
      </c>
      <c r="C763" s="6">
        <f>IFERROR(__xludf.DUMMYFUNCTION("""COMPUTED_VALUE"""),0.7171874999985448)</f>
        <v>0.7171875</v>
      </c>
      <c r="D763" s="4">
        <f>IFERROR(__xludf.DUMMYFUNCTION("""COMPUTED_VALUE"""),12.986751)</f>
        <v>12.986751</v>
      </c>
      <c r="E763" s="4">
        <f>IFERROR(__xludf.DUMMYFUNCTION("""COMPUTED_VALUE"""),80.175008)</f>
        <v>80.175008</v>
      </c>
      <c r="F763" s="4">
        <f>IFERROR(__xludf.DUMMYFUNCTION("""COMPUTED_VALUE"""),5339.0)</f>
        <v>5339</v>
      </c>
      <c r="G763" s="4">
        <f>IFERROR(__xludf.DUMMYFUNCTION("""COMPUTED_VALUE"""),17.0)</f>
        <v>17</v>
      </c>
      <c r="H763" s="4"/>
      <c r="I763" s="4"/>
    </row>
    <row r="764">
      <c r="A764" s="4" t="str">
        <f>IFERROR(__xludf.DUMMYFUNCTION("""COMPUTED_VALUE"""),"cas_hmw")</f>
        <v>cas_hmw</v>
      </c>
      <c r="B764" s="5">
        <f>IFERROR(__xludf.DUMMYFUNCTION("""COMPUTED_VALUE"""),44735.0)</f>
        <v>44735</v>
      </c>
      <c r="C764" s="6">
        <f>IFERROR(__xludf.DUMMYFUNCTION("""COMPUTED_VALUE"""),0.7179745370376622)</f>
        <v>0.717974537</v>
      </c>
      <c r="D764" s="4">
        <f>IFERROR(__xludf.DUMMYFUNCTION("""COMPUTED_VALUE"""),12.802769)</f>
        <v>12.802769</v>
      </c>
      <c r="E764" s="4">
        <f>IFERROR(__xludf.DUMMYFUNCTION("""COMPUTED_VALUE"""),80.025392)</f>
        <v>80.025392</v>
      </c>
      <c r="F764" s="4">
        <f>IFERROR(__xludf.DUMMYFUNCTION("""COMPUTED_VALUE"""),2846.0)</f>
        <v>2846</v>
      </c>
      <c r="G764" s="4">
        <f>IFERROR(__xludf.DUMMYFUNCTION("""COMPUTED_VALUE"""),20.0)</f>
        <v>20</v>
      </c>
      <c r="H764" s="4"/>
      <c r="I764" s="4"/>
    </row>
    <row r="765">
      <c r="A765" s="4" t="str">
        <f>IFERROR(__xludf.DUMMYFUNCTION("""COMPUTED_VALUE"""),"cas_hmw")</f>
        <v>cas_hmw</v>
      </c>
      <c r="B765" s="5">
        <f>IFERROR(__xludf.DUMMYFUNCTION("""COMPUTED_VALUE"""),44735.0)</f>
        <v>44735</v>
      </c>
      <c r="C765" s="6">
        <f>IFERROR(__xludf.DUMMYFUNCTION("""COMPUTED_VALUE"""),0.7179745370376622)</f>
        <v>0.717974537</v>
      </c>
      <c r="D765" s="4">
        <f>IFERROR(__xludf.DUMMYFUNCTION("""COMPUTED_VALUE"""),12.802769)</f>
        <v>12.802769</v>
      </c>
      <c r="E765" s="4">
        <f>IFERROR(__xludf.DUMMYFUNCTION("""COMPUTED_VALUE"""),80.025392)</f>
        <v>80.025392</v>
      </c>
      <c r="F765" s="4">
        <f>IFERROR(__xludf.DUMMYFUNCTION("""COMPUTED_VALUE"""),2846.0)</f>
        <v>2846</v>
      </c>
      <c r="G765" s="4">
        <f>IFERROR(__xludf.DUMMYFUNCTION("""COMPUTED_VALUE"""),20.0)</f>
        <v>20</v>
      </c>
      <c r="H765" s="4"/>
      <c r="I765" s="4"/>
    </row>
    <row r="766">
      <c r="A766" s="4" t="str">
        <f>IFERROR(__xludf.DUMMYFUNCTION("""COMPUTED_VALUE"""),"cas_hmw")</f>
        <v>cas_hmw</v>
      </c>
      <c r="B766" s="5">
        <f>IFERROR(__xludf.DUMMYFUNCTION("""COMPUTED_VALUE"""),44735.0)</f>
        <v>44735</v>
      </c>
      <c r="C766" s="6">
        <f>IFERROR(__xludf.DUMMYFUNCTION("""COMPUTED_VALUE"""),0.7182754629611736)</f>
        <v>0.718275463</v>
      </c>
      <c r="D766" s="4">
        <f>IFERROR(__xludf.DUMMYFUNCTION("""COMPUTED_VALUE"""),12.986506)</f>
        <v>12.986506</v>
      </c>
      <c r="E766" s="4">
        <f>IFERROR(__xludf.DUMMYFUNCTION("""COMPUTED_VALUE"""),80.174684)</f>
        <v>80.174684</v>
      </c>
      <c r="F766" s="4">
        <f>IFERROR(__xludf.DUMMYFUNCTION("""COMPUTED_VALUE"""),805.0)</f>
        <v>805</v>
      </c>
      <c r="G766" s="4">
        <f>IFERROR(__xludf.DUMMYFUNCTION("""COMPUTED_VALUE"""),0.0)</f>
        <v>0</v>
      </c>
      <c r="H766" s="4"/>
      <c r="I766" s="4"/>
    </row>
    <row r="767">
      <c r="A767" s="4" t="str">
        <f>IFERROR(__xludf.DUMMYFUNCTION("""COMPUTED_VALUE"""),"cas_hmw")</f>
        <v>cas_hmw</v>
      </c>
      <c r="B767" s="5">
        <f>IFERROR(__xludf.DUMMYFUNCTION("""COMPUTED_VALUE"""),44735.0)</f>
        <v>44735</v>
      </c>
      <c r="C767" s="6">
        <f>IFERROR(__xludf.DUMMYFUNCTION("""COMPUTED_VALUE"""),0.7182986111110949)</f>
        <v>0.7182986111</v>
      </c>
      <c r="D767" s="4">
        <f>IFERROR(__xludf.DUMMYFUNCTION("""COMPUTED_VALUE"""),12.986506)</f>
        <v>12.986506</v>
      </c>
      <c r="E767" s="4">
        <f>IFERROR(__xludf.DUMMYFUNCTION("""COMPUTED_VALUE"""),80.174684)</f>
        <v>80.174684</v>
      </c>
      <c r="F767" s="4">
        <f>IFERROR(__xludf.DUMMYFUNCTION("""COMPUTED_VALUE"""),805.0)</f>
        <v>805</v>
      </c>
      <c r="G767" s="4">
        <f>IFERROR(__xludf.DUMMYFUNCTION("""COMPUTED_VALUE"""),0.0)</f>
        <v>0</v>
      </c>
      <c r="H767" s="4"/>
      <c r="I767" s="4"/>
    </row>
    <row r="768">
      <c r="A768" s="4" t="str">
        <f>IFERROR(__xludf.DUMMYFUNCTION("""COMPUTED_VALUE"""),"cas_hmw")</f>
        <v>cas_hmw</v>
      </c>
      <c r="B768" s="5">
        <f>IFERROR(__xludf.DUMMYFUNCTION("""COMPUTED_VALUE"""),44735.0)</f>
        <v>44735</v>
      </c>
      <c r="C768" s="6">
        <f>IFERROR(__xludf.DUMMYFUNCTION("""COMPUTED_VALUE"""),0.7185879629614647)</f>
        <v>0.718587963</v>
      </c>
      <c r="D768" s="4">
        <f>IFERROR(__xludf.DUMMYFUNCTION("""COMPUTED_VALUE"""),12.987451)</f>
        <v>12.987451</v>
      </c>
      <c r="E768" s="4">
        <f>IFERROR(__xludf.DUMMYFUNCTION("""COMPUTED_VALUE"""),80.175983)</f>
        <v>80.175983</v>
      </c>
      <c r="F768" s="4">
        <f>IFERROR(__xludf.DUMMYFUNCTION("""COMPUTED_VALUE"""),805.0)</f>
        <v>805</v>
      </c>
      <c r="G768" s="4">
        <f>IFERROR(__xludf.DUMMYFUNCTION("""COMPUTED_VALUE"""),0.0)</f>
        <v>0</v>
      </c>
      <c r="H768" s="4"/>
      <c r="I768" s="4"/>
    </row>
    <row r="769">
      <c r="A769" s="4" t="str">
        <f>IFERROR(__xludf.DUMMYFUNCTION("""COMPUTED_VALUE"""),"cas_hmw")</f>
        <v>cas_hmw</v>
      </c>
      <c r="B769" s="5">
        <f>IFERROR(__xludf.DUMMYFUNCTION("""COMPUTED_VALUE"""),44735.0)</f>
        <v>44735</v>
      </c>
      <c r="C769" s="6">
        <f>IFERROR(__xludf.DUMMYFUNCTION("""COMPUTED_VALUE"""),0.7207175925941556)</f>
        <v>0.7207175926</v>
      </c>
      <c r="D769" s="4">
        <f>IFERROR(__xludf.DUMMYFUNCTION("""COMPUTED_VALUE"""),12.995798)</f>
        <v>12.995798</v>
      </c>
      <c r="E769" s="4">
        <f>IFERROR(__xludf.DUMMYFUNCTION("""COMPUTED_VALUE"""),80.188924)</f>
        <v>80.188924</v>
      </c>
      <c r="F769" s="4">
        <f>IFERROR(__xludf.DUMMYFUNCTION("""COMPUTED_VALUE"""),805.0)</f>
        <v>805</v>
      </c>
      <c r="G769" s="4">
        <f>IFERROR(__xludf.DUMMYFUNCTION("""COMPUTED_VALUE"""),6.0)</f>
        <v>6</v>
      </c>
      <c r="H769" s="4"/>
      <c r="I769" s="4"/>
    </row>
    <row r="770">
      <c r="A770" s="4" t="str">
        <f>IFERROR(__xludf.DUMMYFUNCTION("""COMPUTED_VALUE"""),"cas_hmw")</f>
        <v>cas_hmw</v>
      </c>
      <c r="B770" s="5">
        <f>IFERROR(__xludf.DUMMYFUNCTION("""COMPUTED_VALUE"""),44735.0)</f>
        <v>44735</v>
      </c>
      <c r="C770" s="6">
        <f>IFERROR(__xludf.DUMMYFUNCTION("""COMPUTED_VALUE"""),0.7210416666675883)</f>
        <v>0.7210416667</v>
      </c>
      <c r="D770" s="4">
        <f>IFERROR(__xludf.DUMMYFUNCTION("""COMPUTED_VALUE"""),12.996204)</f>
        <v>12.996204</v>
      </c>
      <c r="E770" s="4">
        <f>IFERROR(__xludf.DUMMYFUNCTION("""COMPUTED_VALUE"""),80.189444)</f>
        <v>80.189444</v>
      </c>
      <c r="F770" s="4">
        <f>IFERROR(__xludf.DUMMYFUNCTION("""COMPUTED_VALUE"""),805.0)</f>
        <v>805</v>
      </c>
      <c r="G770" s="4">
        <f>IFERROR(__xludf.DUMMYFUNCTION("""COMPUTED_VALUE"""),19.0)</f>
        <v>19</v>
      </c>
      <c r="H770" s="4"/>
      <c r="I770" s="4"/>
    </row>
    <row r="771">
      <c r="A771" s="4" t="str">
        <f>IFERROR(__xludf.DUMMYFUNCTION("""COMPUTED_VALUE"""),"cas_hmw")</f>
        <v>cas_hmw</v>
      </c>
      <c r="B771" s="5">
        <f>IFERROR(__xludf.DUMMYFUNCTION("""COMPUTED_VALUE"""),44735.0)</f>
        <v>44735</v>
      </c>
      <c r="C771" s="6">
        <f>IFERROR(__xludf.DUMMYFUNCTION("""COMPUTED_VALUE"""),0.723773148147302)</f>
        <v>0.7237731481</v>
      </c>
      <c r="D771" s="4">
        <f>IFERROR(__xludf.DUMMYFUNCTION("""COMPUTED_VALUE"""),13.00797)</f>
        <v>13.00797</v>
      </c>
      <c r="E771" s="4">
        <f>IFERROR(__xludf.DUMMYFUNCTION("""COMPUTED_VALUE"""),80.208004)</f>
        <v>80.208004</v>
      </c>
      <c r="F771" s="4">
        <f>IFERROR(__xludf.DUMMYFUNCTION("""COMPUTED_VALUE"""),5339.0)</f>
        <v>5339</v>
      </c>
      <c r="G771" s="4">
        <f>IFERROR(__xludf.DUMMYFUNCTION("""COMPUTED_VALUE"""),19.0)</f>
        <v>19</v>
      </c>
      <c r="H771" s="4"/>
      <c r="I771" s="4"/>
    </row>
    <row r="772">
      <c r="A772" s="4" t="str">
        <f>IFERROR(__xludf.DUMMYFUNCTION("""COMPUTED_VALUE"""),"cas_hmw")</f>
        <v>cas_hmw</v>
      </c>
      <c r="B772" s="5">
        <f>IFERROR(__xludf.DUMMYFUNCTION("""COMPUTED_VALUE"""),44735.0)</f>
        <v>44735</v>
      </c>
      <c r="C772" s="6">
        <f>IFERROR(__xludf.DUMMYFUNCTION("""COMPUTED_VALUE"""),0.723773148147302)</f>
        <v>0.7237731481</v>
      </c>
      <c r="D772" s="4">
        <f>IFERROR(__xludf.DUMMYFUNCTION("""COMPUTED_VALUE"""),13.00797)</f>
        <v>13.00797</v>
      </c>
      <c r="E772" s="4">
        <f>IFERROR(__xludf.DUMMYFUNCTION("""COMPUTED_VALUE"""),80.208004)</f>
        <v>80.208004</v>
      </c>
      <c r="F772" s="4">
        <f>IFERROR(__xludf.DUMMYFUNCTION("""COMPUTED_VALUE"""),5339.0)</f>
        <v>5339</v>
      </c>
      <c r="G772" s="4">
        <f>IFERROR(__xludf.DUMMYFUNCTION("""COMPUTED_VALUE"""),19.0)</f>
        <v>19</v>
      </c>
      <c r="H772" s="4"/>
      <c r="I772" s="4"/>
    </row>
    <row r="773">
      <c r="A773" s="4" t="str">
        <f>IFERROR(__xludf.DUMMYFUNCTION("""COMPUTED_VALUE"""),"cas_hmw")</f>
        <v>cas_hmw</v>
      </c>
      <c r="B773" s="5">
        <f>IFERROR(__xludf.DUMMYFUNCTION("""COMPUTED_VALUE"""),44735.0)</f>
        <v>44735</v>
      </c>
      <c r="C773" s="6">
        <f>IFERROR(__xludf.DUMMYFUNCTION("""COMPUTED_VALUE"""),0.726736111111677)</f>
        <v>0.7267361111</v>
      </c>
      <c r="D773" s="4">
        <f>IFERROR(__xludf.DUMMYFUNCTION("""COMPUTED_VALUE"""),13.011206)</f>
        <v>13.011206</v>
      </c>
      <c r="E773" s="4">
        <f>IFERROR(__xludf.DUMMYFUNCTION("""COMPUTED_VALUE"""),80.217652)</f>
        <v>80.217652</v>
      </c>
      <c r="F773" s="4">
        <f>IFERROR(__xludf.DUMMYFUNCTION("""COMPUTED_VALUE"""),805.0)</f>
        <v>805</v>
      </c>
      <c r="G773" s="4">
        <f>IFERROR(__xludf.DUMMYFUNCTION("""COMPUTED_VALUE"""),13.0)</f>
        <v>13</v>
      </c>
      <c r="H773" s="4"/>
      <c r="I773" s="4"/>
    </row>
    <row r="774">
      <c r="A774" s="4" t="str">
        <f>IFERROR(__xludf.DUMMYFUNCTION("""COMPUTED_VALUE"""),"cas_hmw")</f>
        <v>cas_hmw</v>
      </c>
      <c r="B774" s="5">
        <f>IFERROR(__xludf.DUMMYFUNCTION("""COMPUTED_VALUE"""),44735.0)</f>
        <v>44735</v>
      </c>
      <c r="C774" s="6">
        <f>IFERROR(__xludf.DUMMYFUNCTION("""COMPUTED_VALUE"""),0.7283449074056989)</f>
        <v>0.7283449074</v>
      </c>
      <c r="D774" s="4">
        <f>IFERROR(__xludf.DUMMYFUNCTION("""COMPUTED_VALUE"""),13.015215)</f>
        <v>13.015215</v>
      </c>
      <c r="E774" s="4">
        <f>IFERROR(__xludf.DUMMYFUNCTION("""COMPUTED_VALUE"""),80.224817)</f>
        <v>80.224817</v>
      </c>
      <c r="F774" s="4">
        <f>IFERROR(__xludf.DUMMYFUNCTION("""COMPUTED_VALUE"""),805.0)</f>
        <v>805</v>
      </c>
      <c r="G774" s="4">
        <f>IFERROR(__xludf.DUMMYFUNCTION("""COMPUTED_VALUE"""),20.0)</f>
        <v>20</v>
      </c>
      <c r="H774" s="4"/>
      <c r="I774" s="4"/>
    </row>
    <row r="775">
      <c r="A775" s="4" t="str">
        <f>IFERROR(__xludf.DUMMYFUNCTION("""COMPUTED_VALUE"""),"cas_hmw")</f>
        <v>cas_hmw</v>
      </c>
      <c r="B775" s="5">
        <f>IFERROR(__xludf.DUMMYFUNCTION("""COMPUTED_VALUE"""),44735.0)</f>
        <v>44735</v>
      </c>
      <c r="C775" s="6">
        <f>IFERROR(__xludf.DUMMYFUNCTION("""COMPUTED_VALUE"""),0.7283564814824786)</f>
        <v>0.7283564815</v>
      </c>
      <c r="D775" s="4">
        <f>IFERROR(__xludf.DUMMYFUNCTION("""COMPUTED_VALUE"""),13.015215)</f>
        <v>13.015215</v>
      </c>
      <c r="E775" s="4">
        <f>IFERROR(__xludf.DUMMYFUNCTION("""COMPUTED_VALUE"""),80.224817)</f>
        <v>80.224817</v>
      </c>
      <c r="F775" s="4">
        <f>IFERROR(__xludf.DUMMYFUNCTION("""COMPUTED_VALUE"""),805.0)</f>
        <v>805</v>
      </c>
      <c r="G775" s="4">
        <f>IFERROR(__xludf.DUMMYFUNCTION("""COMPUTED_VALUE"""),20.0)</f>
        <v>20</v>
      </c>
      <c r="H775" s="4"/>
      <c r="I775" s="4"/>
    </row>
    <row r="776">
      <c r="A776" s="4" t="str">
        <f>IFERROR(__xludf.DUMMYFUNCTION("""COMPUTED_VALUE"""),"cas_hmw")</f>
        <v>cas_hmw</v>
      </c>
      <c r="B776" s="5">
        <f>IFERROR(__xludf.DUMMYFUNCTION("""COMPUTED_VALUE"""),44735.0)</f>
        <v>44735</v>
      </c>
      <c r="C776" s="6">
        <f>IFERROR(__xludf.DUMMYFUNCTION("""COMPUTED_VALUE"""),0.7284027777786832)</f>
        <v>0.7284027778</v>
      </c>
      <c r="D776" s="4">
        <f>IFERROR(__xludf.DUMMYFUNCTION("""COMPUTED_VALUE"""),13.015451)</f>
        <v>13.015451</v>
      </c>
      <c r="E776" s="4">
        <f>IFERROR(__xludf.DUMMYFUNCTION("""COMPUTED_VALUE"""),80.225392)</f>
        <v>80.225392</v>
      </c>
      <c r="F776" s="4">
        <f>IFERROR(__xludf.DUMMYFUNCTION("""COMPUTED_VALUE"""),805.0)</f>
        <v>805</v>
      </c>
      <c r="G776" s="4">
        <f>IFERROR(__xludf.DUMMYFUNCTION("""COMPUTED_VALUE"""),15.0)</f>
        <v>15</v>
      </c>
      <c r="H776" s="4"/>
      <c r="I776" s="4"/>
    </row>
    <row r="777">
      <c r="A777" s="4" t="str">
        <f>IFERROR(__xludf.DUMMYFUNCTION("""COMPUTED_VALUE"""),"cas_hmw")</f>
        <v>cas_hmw</v>
      </c>
      <c r="B777" s="5">
        <f>IFERROR(__xludf.DUMMYFUNCTION("""COMPUTED_VALUE"""),44735.0)</f>
        <v>44735</v>
      </c>
      <c r="C777" s="6">
        <f>IFERROR(__xludf.DUMMYFUNCTION("""COMPUTED_VALUE"""),0.7285879629635019)</f>
        <v>0.728587963</v>
      </c>
      <c r="D777" s="4">
        <f>IFERROR(__xludf.DUMMYFUNCTION("""COMPUTED_VALUE"""),13.015243)</f>
        <v>13.015243</v>
      </c>
      <c r="E777" s="4">
        <f>IFERROR(__xludf.DUMMYFUNCTION("""COMPUTED_VALUE"""),80.225786)</f>
        <v>80.225786</v>
      </c>
      <c r="F777" s="4">
        <f>IFERROR(__xludf.DUMMYFUNCTION("""COMPUTED_VALUE"""),805.0)</f>
        <v>805</v>
      </c>
      <c r="G777" s="4">
        <f>IFERROR(__xludf.DUMMYFUNCTION("""COMPUTED_VALUE"""),0.0)</f>
        <v>0</v>
      </c>
      <c r="H777" s="4"/>
      <c r="I777" s="4"/>
    </row>
    <row r="778">
      <c r="A778" s="4" t="str">
        <f>IFERROR(__xludf.DUMMYFUNCTION("""COMPUTED_VALUE"""),"cas_hmw")</f>
        <v>cas_hmw</v>
      </c>
      <c r="B778" s="5">
        <f>IFERROR(__xludf.DUMMYFUNCTION("""COMPUTED_VALUE"""),44735.0)</f>
        <v>44735</v>
      </c>
      <c r="C778" s="6">
        <f>IFERROR(__xludf.DUMMYFUNCTION("""COMPUTED_VALUE"""),0.7310069444429246)</f>
        <v>0.7310069444</v>
      </c>
      <c r="D778" s="4">
        <f>IFERROR(__xludf.DUMMYFUNCTION("""COMPUTED_VALUE"""),13.026365)</f>
        <v>13.026365</v>
      </c>
      <c r="E778" s="4">
        <f>IFERROR(__xludf.DUMMYFUNCTION("""COMPUTED_VALUE"""),80.232409)</f>
        <v>80.232409</v>
      </c>
      <c r="F778" s="4">
        <f>IFERROR(__xludf.DUMMYFUNCTION("""COMPUTED_VALUE"""),5339.0)</f>
        <v>5339</v>
      </c>
      <c r="G778" s="4">
        <f>IFERROR(__xludf.DUMMYFUNCTION("""COMPUTED_VALUE"""),9.0)</f>
        <v>9</v>
      </c>
      <c r="H778" s="4"/>
      <c r="I778" s="4"/>
    </row>
    <row r="779">
      <c r="A779" s="4" t="str">
        <f>IFERROR(__xludf.DUMMYFUNCTION("""COMPUTED_VALUE"""),"cas_hmw")</f>
        <v>cas_hmw</v>
      </c>
      <c r="B779" s="5">
        <f>IFERROR(__xludf.DUMMYFUNCTION("""COMPUTED_VALUE"""),44735.0)</f>
        <v>44735</v>
      </c>
      <c r="C779" s="6">
        <f>IFERROR(__xludf.DUMMYFUNCTION("""COMPUTED_VALUE"""),0.7310069444429246)</f>
        <v>0.7310069444</v>
      </c>
      <c r="D779" s="4">
        <f>IFERROR(__xludf.DUMMYFUNCTION("""COMPUTED_VALUE"""),13.026365)</f>
        <v>13.026365</v>
      </c>
      <c r="E779" s="4">
        <f>IFERROR(__xludf.DUMMYFUNCTION("""COMPUTED_VALUE"""),80.232409)</f>
        <v>80.232409</v>
      </c>
      <c r="F779" s="4">
        <f>IFERROR(__xludf.DUMMYFUNCTION("""COMPUTED_VALUE"""),5339.0)</f>
        <v>5339</v>
      </c>
      <c r="G779" s="4">
        <f>IFERROR(__xludf.DUMMYFUNCTION("""COMPUTED_VALUE"""),9.0)</f>
        <v>9</v>
      </c>
      <c r="H779" s="4"/>
      <c r="I779" s="4"/>
    </row>
    <row r="780">
      <c r="A780" s="4" t="str">
        <f>IFERROR(__xludf.DUMMYFUNCTION("""COMPUTED_VALUE"""),"cas_hmw")</f>
        <v>cas_hmw</v>
      </c>
      <c r="B780" s="5">
        <f>IFERROR(__xludf.DUMMYFUNCTION("""COMPUTED_VALUE"""),44735.0)</f>
        <v>44735</v>
      </c>
      <c r="C780" s="6">
        <f>IFERROR(__xludf.DUMMYFUNCTION("""COMPUTED_VALUE"""),0.7310185185197042)</f>
        <v>0.7310185185</v>
      </c>
      <c r="D780" s="4">
        <f>IFERROR(__xludf.DUMMYFUNCTION("""COMPUTED_VALUE"""),13.026365)</f>
        <v>13.026365</v>
      </c>
      <c r="E780" s="4">
        <f>IFERROR(__xludf.DUMMYFUNCTION("""COMPUTED_VALUE"""),80.232409)</f>
        <v>80.232409</v>
      </c>
      <c r="F780" s="4">
        <f>IFERROR(__xludf.DUMMYFUNCTION("""COMPUTED_VALUE"""),5339.0)</f>
        <v>5339</v>
      </c>
      <c r="G780" s="4">
        <f>IFERROR(__xludf.DUMMYFUNCTION("""COMPUTED_VALUE"""),9.0)</f>
        <v>9</v>
      </c>
      <c r="H780" s="4"/>
      <c r="I780" s="4"/>
    </row>
    <row r="781">
      <c r="A781" s="4" t="str">
        <f>IFERROR(__xludf.DUMMYFUNCTION("""COMPUTED_VALUE"""),"cas_hmw")</f>
        <v>cas_hmw</v>
      </c>
      <c r="B781" s="5">
        <f>IFERROR(__xludf.DUMMYFUNCTION("""COMPUTED_VALUE"""),44735.0)</f>
        <v>44735</v>
      </c>
      <c r="C781" s="6">
        <f>IFERROR(__xludf.DUMMYFUNCTION("""COMPUTED_VALUE"""),0.7310648148159089)</f>
        <v>0.7310648148</v>
      </c>
      <c r="D781" s="4">
        <f>IFERROR(__xludf.DUMMYFUNCTION("""COMPUTED_VALUE"""),13.007114)</f>
        <v>13.007114</v>
      </c>
      <c r="E781" s="4">
        <f>IFERROR(__xludf.DUMMYFUNCTION("""COMPUTED_VALUE"""),80.23901)</f>
        <v>80.23901</v>
      </c>
      <c r="F781" s="4">
        <f>IFERROR(__xludf.DUMMYFUNCTION("""COMPUTED_VALUE"""),805.0)</f>
        <v>805</v>
      </c>
      <c r="G781" s="4">
        <f>IFERROR(__xludf.DUMMYFUNCTION("""COMPUTED_VALUE"""),18.0)</f>
        <v>18</v>
      </c>
      <c r="H781" s="4"/>
      <c r="I781" s="4"/>
    </row>
    <row r="782">
      <c r="A782" s="4" t="str">
        <f>IFERROR(__xludf.DUMMYFUNCTION("""COMPUTED_VALUE"""),"cas_hmw")</f>
        <v>cas_hmw</v>
      </c>
      <c r="B782" s="5">
        <f>IFERROR(__xludf.DUMMYFUNCTION("""COMPUTED_VALUE"""),44735.0)</f>
        <v>44735</v>
      </c>
      <c r="C782" s="6">
        <f>IFERROR(__xludf.DUMMYFUNCTION("""COMPUTED_VALUE"""),0.7319791666668607)</f>
        <v>0.7319791667</v>
      </c>
      <c r="D782" s="4">
        <f>IFERROR(__xludf.DUMMYFUNCTION("""COMPUTED_VALUE"""),13.006695)</f>
        <v>13.006695</v>
      </c>
      <c r="E782" s="4">
        <f>IFERROR(__xludf.DUMMYFUNCTION("""COMPUTED_VALUE"""),80.243545)</f>
        <v>80.243545</v>
      </c>
      <c r="F782" s="4">
        <f>IFERROR(__xludf.DUMMYFUNCTION("""COMPUTED_VALUE"""),805.0)</f>
        <v>805</v>
      </c>
      <c r="G782" s="4">
        <f>IFERROR(__xludf.DUMMYFUNCTION("""COMPUTED_VALUE"""),7.0)</f>
        <v>7</v>
      </c>
      <c r="H782" s="4"/>
      <c r="I782" s="4"/>
    </row>
    <row r="783">
      <c r="A783" s="4" t="str">
        <f>IFERROR(__xludf.DUMMYFUNCTION("""COMPUTED_VALUE"""),"cas_hmw")</f>
        <v>cas_hmw</v>
      </c>
      <c r="B783" s="5">
        <f>IFERROR(__xludf.DUMMYFUNCTION("""COMPUTED_VALUE"""),44735.0)</f>
        <v>44735</v>
      </c>
      <c r="C783" s="6">
        <f>IFERROR(__xludf.DUMMYFUNCTION("""COMPUTED_VALUE"""),0.7320254629630654)</f>
        <v>0.732025463</v>
      </c>
      <c r="D783" s="4">
        <f>IFERROR(__xludf.DUMMYFUNCTION("""COMPUTED_VALUE"""),13.006695)</f>
        <v>13.006695</v>
      </c>
      <c r="E783" s="4">
        <f>IFERROR(__xludf.DUMMYFUNCTION("""COMPUTED_VALUE"""),80.243545)</f>
        <v>80.243545</v>
      </c>
      <c r="F783" s="4">
        <f>IFERROR(__xludf.DUMMYFUNCTION("""COMPUTED_VALUE"""),805.0)</f>
        <v>805</v>
      </c>
      <c r="G783" s="4">
        <f>IFERROR(__xludf.DUMMYFUNCTION("""COMPUTED_VALUE"""),7.0)</f>
        <v>7</v>
      </c>
      <c r="H783" s="4"/>
      <c r="I783" s="4"/>
    </row>
    <row r="784">
      <c r="A784" s="4" t="str">
        <f>IFERROR(__xludf.DUMMYFUNCTION("""COMPUTED_VALUE"""),"cas_hmw")</f>
        <v>cas_hmw</v>
      </c>
      <c r="B784" s="5">
        <f>IFERROR(__xludf.DUMMYFUNCTION("""COMPUTED_VALUE"""),44735.0)</f>
        <v>44735</v>
      </c>
      <c r="C784" s="6">
        <f>IFERROR(__xludf.DUMMYFUNCTION("""COMPUTED_VALUE"""),0.732106481482333)</f>
        <v>0.7321064815</v>
      </c>
      <c r="D784" s="4">
        <f>IFERROR(__xludf.DUMMYFUNCTION("""COMPUTED_VALUE"""),13.006695)</f>
        <v>13.006695</v>
      </c>
      <c r="E784" s="4">
        <f>IFERROR(__xludf.DUMMYFUNCTION("""COMPUTED_VALUE"""),80.243545)</f>
        <v>80.243545</v>
      </c>
      <c r="F784" s="4">
        <f>IFERROR(__xludf.DUMMYFUNCTION("""COMPUTED_VALUE"""),805.0)</f>
        <v>805</v>
      </c>
      <c r="G784" s="4">
        <f>IFERROR(__xludf.DUMMYFUNCTION("""COMPUTED_VALUE"""),7.0)</f>
        <v>7</v>
      </c>
      <c r="H784" s="4"/>
      <c r="I784" s="4"/>
    </row>
    <row r="785">
      <c r="A785" s="4" t="str">
        <f>IFERROR(__xludf.DUMMYFUNCTION("""COMPUTED_VALUE"""),"cas_hmw")</f>
        <v>cas_hmw</v>
      </c>
      <c r="B785" s="5">
        <f>IFERROR(__xludf.DUMMYFUNCTION("""COMPUTED_VALUE"""),44735.0)</f>
        <v>44735</v>
      </c>
      <c r="C785" s="6">
        <f>IFERROR(__xludf.DUMMYFUNCTION("""COMPUTED_VALUE"""),0.7328703703715291)</f>
        <v>0.7328703704</v>
      </c>
      <c r="D785" s="4">
        <f>IFERROR(__xludf.DUMMYFUNCTION("""COMPUTED_VALUE"""),13.006785)</f>
        <v>13.006785</v>
      </c>
      <c r="E785" s="4">
        <f>IFERROR(__xludf.DUMMYFUNCTION("""COMPUTED_VALUE"""),80.247846)</f>
        <v>80.247846</v>
      </c>
      <c r="F785" s="4">
        <f>IFERROR(__xludf.DUMMYFUNCTION("""COMPUTED_VALUE"""),805.0)</f>
        <v>805</v>
      </c>
      <c r="G785" s="4">
        <f>IFERROR(__xludf.DUMMYFUNCTION("""COMPUTED_VALUE"""),0.0)</f>
        <v>0</v>
      </c>
      <c r="H785" s="4"/>
      <c r="I785" s="4"/>
    </row>
    <row r="786">
      <c r="A786" s="4" t="str">
        <f>IFERROR(__xludf.DUMMYFUNCTION("""COMPUTED_VALUE"""),"cas_hmw")</f>
        <v>cas_hmw</v>
      </c>
      <c r="B786" s="5">
        <f>IFERROR(__xludf.DUMMYFUNCTION("""COMPUTED_VALUE"""),44735.0)</f>
        <v>44735</v>
      </c>
      <c r="C786" s="6">
        <f>IFERROR(__xludf.DUMMYFUNCTION("""COMPUTED_VALUE"""),0.7334953703721112)</f>
        <v>0.7334953704</v>
      </c>
      <c r="D786" s="4">
        <f>IFERROR(__xludf.DUMMYFUNCTION("""COMPUTED_VALUE"""),13.006892)</f>
        <v>13.006892</v>
      </c>
      <c r="E786" s="4">
        <f>IFERROR(__xludf.DUMMYFUNCTION("""COMPUTED_VALUE"""),80.251294)</f>
        <v>80.251294</v>
      </c>
      <c r="F786" s="4">
        <f>IFERROR(__xludf.DUMMYFUNCTION("""COMPUTED_VALUE"""),805.0)</f>
        <v>805</v>
      </c>
      <c r="G786" s="4">
        <f>IFERROR(__xludf.DUMMYFUNCTION("""COMPUTED_VALUE"""),16.0)</f>
        <v>16</v>
      </c>
      <c r="H786" s="4"/>
      <c r="I786" s="4"/>
    </row>
    <row r="787">
      <c r="A787" s="4" t="str">
        <f>IFERROR(__xludf.DUMMYFUNCTION("""COMPUTED_VALUE"""),"cas_hmw")</f>
        <v>cas_hmw</v>
      </c>
      <c r="B787" s="5">
        <f>IFERROR(__xludf.DUMMYFUNCTION("""COMPUTED_VALUE"""),44735.0)</f>
        <v>44735</v>
      </c>
      <c r="C787" s="6">
        <f>IFERROR(__xludf.DUMMYFUNCTION("""COMPUTED_VALUE"""),0.7359375000014552)</f>
        <v>0.7359375</v>
      </c>
      <c r="D787" s="4">
        <f>IFERROR(__xludf.DUMMYFUNCTION("""COMPUTED_VALUE"""),13.008817)</f>
        <v>13.008817</v>
      </c>
      <c r="E787" s="4">
        <f>IFERROR(__xludf.DUMMYFUNCTION("""COMPUTED_VALUE"""),80.259069)</f>
        <v>80.259069</v>
      </c>
      <c r="F787" s="4">
        <f>IFERROR(__xludf.DUMMYFUNCTION("""COMPUTED_VALUE"""),805.0)</f>
        <v>805</v>
      </c>
      <c r="G787" s="4">
        <f>IFERROR(__xludf.DUMMYFUNCTION("""COMPUTED_VALUE"""),11.0)</f>
        <v>11</v>
      </c>
      <c r="H787" s="4"/>
      <c r="I787" s="4"/>
    </row>
    <row r="788">
      <c r="A788" s="4" t="str">
        <f>IFERROR(__xludf.DUMMYFUNCTION("""COMPUTED_VALUE"""),"cas_hmw")</f>
        <v>cas_hmw</v>
      </c>
      <c r="B788" s="5">
        <f>IFERROR(__xludf.DUMMYFUNCTION("""COMPUTED_VALUE"""),44735.0)</f>
        <v>44735</v>
      </c>
      <c r="C788" s="6">
        <f>IFERROR(__xludf.DUMMYFUNCTION("""COMPUTED_VALUE"""),0.739918981482333)</f>
        <v>0.7399189815</v>
      </c>
      <c r="D788" s="4">
        <f>IFERROR(__xludf.DUMMYFUNCTION("""COMPUTED_VALUE"""),13.042102)</f>
        <v>13.042102</v>
      </c>
      <c r="E788" s="4">
        <f>IFERROR(__xludf.DUMMYFUNCTION("""COMPUTED_VALUE"""),80.247416)</f>
        <v>80.247416</v>
      </c>
      <c r="F788" s="4">
        <f>IFERROR(__xludf.DUMMYFUNCTION("""COMPUTED_VALUE"""),5339.0)</f>
        <v>5339</v>
      </c>
      <c r="G788" s="4">
        <f>IFERROR(__xludf.DUMMYFUNCTION("""COMPUTED_VALUE"""),17.0)</f>
        <v>17</v>
      </c>
      <c r="H788" s="4"/>
      <c r="I788" s="4"/>
    </row>
    <row r="789">
      <c r="A789" s="4" t="str">
        <f>IFERROR(__xludf.DUMMYFUNCTION("""COMPUTED_VALUE"""),"cas_hmw")</f>
        <v>cas_hmw</v>
      </c>
      <c r="B789" s="5">
        <f>IFERROR(__xludf.DUMMYFUNCTION("""COMPUTED_VALUE"""),44735.0)</f>
        <v>44735</v>
      </c>
      <c r="C789" s="6">
        <f>IFERROR(__xludf.DUMMYFUNCTION("""COMPUTED_VALUE"""),0.7516666666670062)</f>
        <v>0.7516666667</v>
      </c>
      <c r="D789" s="4">
        <f>IFERROR(__xludf.DUMMYFUNCTION("""COMPUTED_VALUE"""),13.054171)</f>
        <v>13.054171</v>
      </c>
      <c r="E789" s="4">
        <f>IFERROR(__xludf.DUMMYFUNCTION("""COMPUTED_VALUE"""),80.264012)</f>
        <v>80.264012</v>
      </c>
      <c r="F789" s="4">
        <f>IFERROR(__xludf.DUMMYFUNCTION("""COMPUTED_VALUE"""),805.0)</f>
        <v>805</v>
      </c>
      <c r="G789" s="4">
        <f>IFERROR(__xludf.DUMMYFUNCTION("""COMPUTED_VALUE"""),12.0)</f>
        <v>12</v>
      </c>
      <c r="H789" s="4"/>
      <c r="I789" s="4"/>
    </row>
    <row r="790">
      <c r="A790" s="4" t="str">
        <f>IFERROR(__xludf.DUMMYFUNCTION("""COMPUTED_VALUE"""),"cas_hmw")</f>
        <v>cas_hmw</v>
      </c>
      <c r="B790" s="5">
        <f>IFERROR(__xludf.DUMMYFUNCTION("""COMPUTED_VALUE"""),44735.0)</f>
        <v>44735</v>
      </c>
      <c r="C790" s="6">
        <f>IFERROR(__xludf.DUMMYFUNCTION("""COMPUTED_VALUE"""),0.7516666666670062)</f>
        <v>0.7516666667</v>
      </c>
      <c r="D790" s="4">
        <f>IFERROR(__xludf.DUMMYFUNCTION("""COMPUTED_VALUE"""),13.054171)</f>
        <v>13.054171</v>
      </c>
      <c r="E790" s="4">
        <f>IFERROR(__xludf.DUMMYFUNCTION("""COMPUTED_VALUE"""),80.264012)</f>
        <v>80.264012</v>
      </c>
      <c r="F790" s="4">
        <f>IFERROR(__xludf.DUMMYFUNCTION("""COMPUTED_VALUE"""),805.0)</f>
        <v>805</v>
      </c>
      <c r="G790" s="4">
        <f>IFERROR(__xludf.DUMMYFUNCTION("""COMPUTED_VALUE"""),12.0)</f>
        <v>12</v>
      </c>
      <c r="H790" s="4"/>
      <c r="I790" s="4"/>
    </row>
    <row r="791">
      <c r="A791" s="4" t="str">
        <f>IFERROR(__xludf.DUMMYFUNCTION("""COMPUTED_VALUE"""),"cas_hmw")</f>
        <v>cas_hmw</v>
      </c>
      <c r="B791" s="5">
        <f>IFERROR(__xludf.DUMMYFUNCTION("""COMPUTED_VALUE"""),44736.0)</f>
        <v>44736</v>
      </c>
      <c r="C791" s="6">
        <f>IFERROR(__xludf.DUMMYFUNCTION("""COMPUTED_VALUE"""),0.6954629629617557)</f>
        <v>0.695462963</v>
      </c>
      <c r="D791" s="4">
        <f>IFERROR(__xludf.DUMMYFUNCTION("""COMPUTED_VALUE"""),12.917158)</f>
        <v>12.917158</v>
      </c>
      <c r="E791" s="4">
        <f>IFERROR(__xludf.DUMMYFUNCTION("""COMPUTED_VALUE"""),80.107169)</f>
        <v>80.107169</v>
      </c>
      <c r="F791" s="4">
        <f>IFERROR(__xludf.DUMMYFUNCTION("""COMPUTED_VALUE"""),5339.0)</f>
        <v>5339</v>
      </c>
      <c r="G791" s="4">
        <f>IFERROR(__xludf.DUMMYFUNCTION("""COMPUTED_VALUE"""),20.0)</f>
        <v>20</v>
      </c>
      <c r="H791" s="4"/>
      <c r="I791" s="4"/>
    </row>
    <row r="792">
      <c r="A792" s="4" t="str">
        <f>IFERROR(__xludf.DUMMYFUNCTION("""COMPUTED_VALUE"""),"cas_hmw")</f>
        <v>cas_hmw</v>
      </c>
      <c r="B792" s="5">
        <f>IFERROR(__xludf.DUMMYFUNCTION("""COMPUTED_VALUE"""),44736.0)</f>
        <v>44736</v>
      </c>
      <c r="C792" s="6">
        <f>IFERROR(__xludf.DUMMYFUNCTION("""COMPUTED_VALUE"""),0.6978009259255487)</f>
        <v>0.6978009259</v>
      </c>
      <c r="D792" s="4">
        <f>IFERROR(__xludf.DUMMYFUNCTION("""COMPUTED_VALUE"""),12.930004)</f>
        <v>12.930004</v>
      </c>
      <c r="E792" s="4">
        <f>IFERROR(__xludf.DUMMYFUNCTION("""COMPUTED_VALUE"""),80.121059)</f>
        <v>80.121059</v>
      </c>
      <c r="F792" s="4">
        <f>IFERROR(__xludf.DUMMYFUNCTION("""COMPUTED_VALUE"""),5339.0)</f>
        <v>5339</v>
      </c>
      <c r="G792" s="4">
        <f>IFERROR(__xludf.DUMMYFUNCTION("""COMPUTED_VALUE"""),20.0)</f>
        <v>20</v>
      </c>
      <c r="H792" s="4"/>
      <c r="I792" s="4"/>
    </row>
    <row r="793">
      <c r="A793" s="4" t="str">
        <f>IFERROR(__xludf.DUMMYFUNCTION("""COMPUTED_VALUE"""),"cas_hmw")</f>
        <v>cas_hmw</v>
      </c>
      <c r="B793" s="5">
        <f>IFERROR(__xludf.DUMMYFUNCTION("""COMPUTED_VALUE"""),44736.0)</f>
        <v>44736</v>
      </c>
      <c r="C793" s="6">
        <f>IFERROR(__xludf.DUMMYFUNCTION("""COMPUTED_VALUE"""),0.6986689814802958)</f>
        <v>0.6986689815</v>
      </c>
      <c r="D793" s="4">
        <f>IFERROR(__xludf.DUMMYFUNCTION("""COMPUTED_VALUE"""),12.932532)</f>
        <v>12.932532</v>
      </c>
      <c r="E793" s="4">
        <f>IFERROR(__xludf.DUMMYFUNCTION("""COMPUTED_VALUE"""),80.123626)</f>
        <v>80.123626</v>
      </c>
      <c r="F793" s="4">
        <f>IFERROR(__xludf.DUMMYFUNCTION("""COMPUTED_VALUE"""),5339.0)</f>
        <v>5339</v>
      </c>
      <c r="G793" s="4">
        <f>IFERROR(__xludf.DUMMYFUNCTION("""COMPUTED_VALUE"""),20.0)</f>
        <v>20</v>
      </c>
      <c r="H793" s="4"/>
      <c r="I793" s="4"/>
    </row>
    <row r="794">
      <c r="A794" s="4" t="str">
        <f>IFERROR(__xludf.DUMMYFUNCTION("""COMPUTED_VALUE"""),"cas_hmw")</f>
        <v>cas_hmw</v>
      </c>
      <c r="B794" s="5">
        <f>IFERROR(__xludf.DUMMYFUNCTION("""COMPUTED_VALUE"""),44736.0)</f>
        <v>44736</v>
      </c>
      <c r="C794" s="6">
        <f>IFERROR(__xludf.DUMMYFUNCTION("""COMPUTED_VALUE"""),0.7155902777776646)</f>
        <v>0.7155902778</v>
      </c>
      <c r="D794" s="4">
        <f>IFERROR(__xludf.DUMMYFUNCTION("""COMPUTED_VALUE"""),12.696579)</f>
        <v>12.696579</v>
      </c>
      <c r="E794" s="4">
        <f>IFERROR(__xludf.DUMMYFUNCTION("""COMPUTED_VALUE"""),79.977109)</f>
        <v>79.977109</v>
      </c>
      <c r="F794" s="4">
        <f>IFERROR(__xludf.DUMMYFUNCTION("""COMPUTED_VALUE"""),2846.0)</f>
        <v>2846</v>
      </c>
      <c r="G794" s="4">
        <f>IFERROR(__xludf.DUMMYFUNCTION("""COMPUTED_VALUE"""),13.0)</f>
        <v>13</v>
      </c>
      <c r="H794" s="4"/>
      <c r="I794" s="4"/>
    </row>
    <row r="795">
      <c r="A795" s="4" t="str">
        <f>IFERROR(__xludf.DUMMYFUNCTION("""COMPUTED_VALUE"""),"cas_hmw")</f>
        <v>cas_hmw</v>
      </c>
      <c r="B795" s="5">
        <f>IFERROR(__xludf.DUMMYFUNCTION("""COMPUTED_VALUE"""),44736.0)</f>
        <v>44736</v>
      </c>
      <c r="C795" s="6">
        <f>IFERROR(__xludf.DUMMYFUNCTION("""COMPUTED_VALUE"""),0.7156481481470109)</f>
        <v>0.7156481481</v>
      </c>
      <c r="D795" s="4">
        <f>IFERROR(__xludf.DUMMYFUNCTION("""COMPUTED_VALUE"""),12.696376)</f>
        <v>12.696376</v>
      </c>
      <c r="E795" s="4">
        <f>IFERROR(__xludf.DUMMYFUNCTION("""COMPUTED_VALUE"""),79.977278)</f>
        <v>79.977278</v>
      </c>
      <c r="F795" s="4">
        <f>IFERROR(__xludf.DUMMYFUNCTION("""COMPUTED_VALUE"""),2846.0)</f>
        <v>2846</v>
      </c>
      <c r="G795" s="4">
        <f>IFERROR(__xludf.DUMMYFUNCTION("""COMPUTED_VALUE"""),13.0)</f>
        <v>13</v>
      </c>
      <c r="H795" s="4"/>
      <c r="I795" s="4"/>
    </row>
    <row r="796">
      <c r="A796" s="4" t="str">
        <f>IFERROR(__xludf.DUMMYFUNCTION("""COMPUTED_VALUE"""),"cas_hmw")</f>
        <v>cas_hmw</v>
      </c>
      <c r="B796" s="5">
        <f>IFERROR(__xludf.DUMMYFUNCTION("""COMPUTED_VALUE"""),44736.0)</f>
        <v>44736</v>
      </c>
      <c r="C796" s="6">
        <f>IFERROR(__xludf.DUMMYFUNCTION("""COMPUTED_VALUE"""),0.7174305555563478)</f>
        <v>0.7174305556</v>
      </c>
      <c r="D796" s="4">
        <f>IFERROR(__xludf.DUMMYFUNCTION("""COMPUTED_VALUE"""),12.696376)</f>
        <v>12.696376</v>
      </c>
      <c r="E796" s="4">
        <f>IFERROR(__xludf.DUMMYFUNCTION("""COMPUTED_VALUE"""),79.977278)</f>
        <v>79.977278</v>
      </c>
      <c r="F796" s="4">
        <f>IFERROR(__xludf.DUMMYFUNCTION("""COMPUTED_VALUE"""),2846.0)</f>
        <v>2846</v>
      </c>
      <c r="G796" s="4">
        <f>IFERROR(__xludf.DUMMYFUNCTION("""COMPUTED_VALUE"""),13.0)</f>
        <v>13</v>
      </c>
      <c r="H796" s="4"/>
      <c r="I796" s="4"/>
    </row>
    <row r="797">
      <c r="A797" s="4" t="str">
        <f>IFERROR(__xludf.DUMMYFUNCTION("""COMPUTED_VALUE"""),"cas_hmw")</f>
        <v>cas_hmw</v>
      </c>
      <c r="B797" s="5">
        <f>IFERROR(__xludf.DUMMYFUNCTION("""COMPUTED_VALUE"""),44736.0)</f>
        <v>44736</v>
      </c>
      <c r="C797" s="6">
        <f>IFERROR(__xludf.DUMMYFUNCTION("""COMPUTED_VALUE"""),0.7191898148157634)</f>
        <v>0.7191898148</v>
      </c>
      <c r="D797" s="4">
        <f>IFERROR(__xludf.DUMMYFUNCTION("""COMPUTED_VALUE"""),13.024307)</f>
        <v>13.024307</v>
      </c>
      <c r="E797" s="4">
        <f>IFERROR(__xludf.DUMMYFUNCTION("""COMPUTED_VALUE"""),80.228358)</f>
        <v>80.228358</v>
      </c>
      <c r="F797" s="4">
        <f>IFERROR(__xludf.DUMMYFUNCTION("""COMPUTED_VALUE"""),5339.0)</f>
        <v>5339</v>
      </c>
      <c r="G797" s="4">
        <f>IFERROR(__xludf.DUMMYFUNCTION("""COMPUTED_VALUE"""),20.0)</f>
        <v>20</v>
      </c>
      <c r="H797" s="4"/>
      <c r="I797" s="4"/>
    </row>
    <row r="798">
      <c r="A798" s="4" t="str">
        <f>IFERROR(__xludf.DUMMYFUNCTION("""COMPUTED_VALUE"""),"cas_hmw")</f>
        <v>cas_hmw</v>
      </c>
      <c r="B798" s="5">
        <f>IFERROR(__xludf.DUMMYFUNCTION("""COMPUTED_VALUE"""),44736.0)</f>
        <v>44736</v>
      </c>
      <c r="C798" s="6">
        <f>IFERROR(__xludf.DUMMYFUNCTION("""COMPUTED_VALUE"""),0.7192361111119681)</f>
        <v>0.7192361111</v>
      </c>
      <c r="D798" s="4">
        <f>IFERROR(__xludf.DUMMYFUNCTION("""COMPUTED_VALUE"""),13.024307)</f>
        <v>13.024307</v>
      </c>
      <c r="E798" s="4">
        <f>IFERROR(__xludf.DUMMYFUNCTION("""COMPUTED_VALUE"""),80.228358)</f>
        <v>80.228358</v>
      </c>
      <c r="F798" s="4">
        <f>IFERROR(__xludf.DUMMYFUNCTION("""COMPUTED_VALUE"""),5339.0)</f>
        <v>5339</v>
      </c>
      <c r="G798" s="4">
        <f>IFERROR(__xludf.DUMMYFUNCTION("""COMPUTED_VALUE"""),20.0)</f>
        <v>20</v>
      </c>
      <c r="H798" s="4"/>
      <c r="I798" s="4"/>
    </row>
    <row r="799">
      <c r="A799" s="4" t="str">
        <f>IFERROR(__xludf.DUMMYFUNCTION("""COMPUTED_VALUE"""),"cas_hmw")</f>
        <v>cas_hmw</v>
      </c>
      <c r="B799" s="5">
        <f>IFERROR(__xludf.DUMMYFUNCTION("""COMPUTED_VALUE"""),44736.0)</f>
        <v>44736</v>
      </c>
      <c r="C799" s="6">
        <f>IFERROR(__xludf.DUMMYFUNCTION("""COMPUTED_VALUE"""),0.7523148148138716)</f>
        <v>0.7523148148</v>
      </c>
      <c r="D799" s="4">
        <f>IFERROR(__xludf.DUMMYFUNCTION("""COMPUTED_VALUE"""),13.071527)</f>
        <v>13.071527</v>
      </c>
      <c r="E799" s="4">
        <f>IFERROR(__xludf.DUMMYFUNCTION("""COMPUTED_VALUE"""),80.259128)</f>
        <v>80.259128</v>
      </c>
      <c r="F799" s="4">
        <f>IFERROR(__xludf.DUMMYFUNCTION("""COMPUTED_VALUE"""),5339.0)</f>
        <v>5339</v>
      </c>
      <c r="G799" s="4">
        <f>IFERROR(__xludf.DUMMYFUNCTION("""COMPUTED_VALUE"""),16.0)</f>
        <v>16</v>
      </c>
      <c r="H799" s="4"/>
      <c r="I799" s="4"/>
    </row>
    <row r="800">
      <c r="A800" s="4" t="str">
        <f>IFERROR(__xludf.DUMMYFUNCTION("""COMPUTED_VALUE"""),"cas_hmw")</f>
        <v>cas_hmw</v>
      </c>
      <c r="B800" s="5">
        <f>IFERROR(__xludf.DUMMYFUNCTION("""COMPUTED_VALUE"""),44736.0)</f>
        <v>44736</v>
      </c>
      <c r="C800" s="6">
        <f>IFERROR(__xludf.DUMMYFUNCTION("""COMPUTED_VALUE"""),0.752337962963793)</f>
        <v>0.752337963</v>
      </c>
      <c r="D800" s="4">
        <f>IFERROR(__xludf.DUMMYFUNCTION("""COMPUTED_VALUE"""),13.071527)</f>
        <v>13.071527</v>
      </c>
      <c r="E800" s="4">
        <f>IFERROR(__xludf.DUMMYFUNCTION("""COMPUTED_VALUE"""),80.259128)</f>
        <v>80.259128</v>
      </c>
      <c r="F800" s="4">
        <f>IFERROR(__xludf.DUMMYFUNCTION("""COMPUTED_VALUE"""),5339.0)</f>
        <v>5339</v>
      </c>
      <c r="G800" s="4">
        <f>IFERROR(__xludf.DUMMYFUNCTION("""COMPUTED_VALUE"""),16.0)</f>
        <v>16</v>
      </c>
      <c r="H800" s="4"/>
      <c r="I800" s="4"/>
    </row>
    <row r="801">
      <c r="A801" s="4" t="str">
        <f>IFERROR(__xludf.DUMMYFUNCTION("""COMPUTED_VALUE"""),"cas_hmw")</f>
        <v>cas_hmw</v>
      </c>
      <c r="B801" s="5">
        <f>IFERROR(__xludf.DUMMYFUNCTION("""COMPUTED_VALUE"""),44736.0)</f>
        <v>44736</v>
      </c>
      <c r="C801" s="6">
        <f>IFERROR(__xludf.DUMMYFUNCTION("""COMPUTED_VALUE"""),0.7523495370369346)</f>
        <v>0.752349537</v>
      </c>
      <c r="D801" s="4">
        <f>IFERROR(__xludf.DUMMYFUNCTION("""COMPUTED_VALUE"""),13.071527)</f>
        <v>13.071527</v>
      </c>
      <c r="E801" s="4">
        <f>IFERROR(__xludf.DUMMYFUNCTION("""COMPUTED_VALUE"""),80.259128)</f>
        <v>80.259128</v>
      </c>
      <c r="F801" s="4">
        <f>IFERROR(__xludf.DUMMYFUNCTION("""COMPUTED_VALUE"""),5339.0)</f>
        <v>5339</v>
      </c>
      <c r="G801" s="4">
        <f>IFERROR(__xludf.DUMMYFUNCTION("""COMPUTED_VALUE"""),16.0)</f>
        <v>16</v>
      </c>
      <c r="H801" s="4"/>
      <c r="I801" s="4"/>
    </row>
    <row r="802">
      <c r="A802" s="4" t="str">
        <f>IFERROR(__xludf.DUMMYFUNCTION("""COMPUTED_VALUE"""),"cas_hmw")</f>
        <v>cas_hmw</v>
      </c>
      <c r="B802" s="5">
        <f>IFERROR(__xludf.DUMMYFUNCTION("""COMPUTED_VALUE"""),44736.0)</f>
        <v>44736</v>
      </c>
      <c r="C802" s="6">
        <f>IFERROR(__xludf.DUMMYFUNCTION("""COMPUTED_VALUE"""),0.7523611111100763)</f>
        <v>0.7523611111</v>
      </c>
      <c r="D802" s="4">
        <f>IFERROR(__xludf.DUMMYFUNCTION("""COMPUTED_VALUE"""),13.071527)</f>
        <v>13.071527</v>
      </c>
      <c r="E802" s="4">
        <f>IFERROR(__xludf.DUMMYFUNCTION("""COMPUTED_VALUE"""),80.259128)</f>
        <v>80.259128</v>
      </c>
      <c r="F802" s="4">
        <f>IFERROR(__xludf.DUMMYFUNCTION("""COMPUTED_VALUE"""),5339.0)</f>
        <v>5339</v>
      </c>
      <c r="G802" s="4">
        <f>IFERROR(__xludf.DUMMYFUNCTION("""COMPUTED_VALUE"""),16.0)</f>
        <v>16</v>
      </c>
      <c r="H802" s="4"/>
      <c r="I802" s="4"/>
    </row>
    <row r="803">
      <c r="A803" s="4" t="str">
        <f>IFERROR(__xludf.DUMMYFUNCTION("""COMPUTED_VALUE"""),"cas_hmw")</f>
        <v>cas_hmw</v>
      </c>
      <c r="B803" s="5">
        <f>IFERROR(__xludf.DUMMYFUNCTION("""COMPUTED_VALUE"""),44737.0)</f>
        <v>44737</v>
      </c>
      <c r="C803" s="6">
        <f>IFERROR(__xludf.DUMMYFUNCTION("""COMPUTED_VALUE"""),0.3061458333322662)</f>
        <v>0.3061458333</v>
      </c>
      <c r="D803" s="4">
        <f>IFERROR(__xludf.DUMMYFUNCTION("""COMPUTED_VALUE"""),13.067736)</f>
        <v>13.067736</v>
      </c>
      <c r="E803" s="4">
        <f>IFERROR(__xludf.DUMMYFUNCTION("""COMPUTED_VALUE"""),80.249285)</f>
        <v>80.249285</v>
      </c>
      <c r="F803" s="4">
        <f>IFERROR(__xludf.DUMMYFUNCTION("""COMPUTED_VALUE"""),5339.0)</f>
        <v>5339</v>
      </c>
      <c r="G803" s="4">
        <f>IFERROR(__xludf.DUMMYFUNCTION("""COMPUTED_VALUE"""),19.0)</f>
        <v>19</v>
      </c>
      <c r="H803" s="4"/>
      <c r="I803" s="4"/>
    </row>
    <row r="804">
      <c r="A804" s="4" t="str">
        <f>IFERROR(__xludf.DUMMYFUNCTION("""COMPUTED_VALUE"""),"cas_hmw")</f>
        <v>cas_hmw</v>
      </c>
      <c r="B804" s="5">
        <f>IFERROR(__xludf.DUMMYFUNCTION("""COMPUTED_VALUE"""),44737.0)</f>
        <v>44737</v>
      </c>
      <c r="C804" s="6">
        <f>IFERROR(__xludf.DUMMYFUNCTION("""COMPUTED_VALUE"""),0.31981481481489027)</f>
        <v>0.3198148148</v>
      </c>
      <c r="D804" s="4">
        <f>IFERROR(__xludf.DUMMYFUNCTION("""COMPUTED_VALUE"""),12.684092)</f>
        <v>12.684092</v>
      </c>
      <c r="E804" s="4">
        <f>IFERROR(__xludf.DUMMYFUNCTION("""COMPUTED_VALUE"""),79.983289)</f>
        <v>79.983289</v>
      </c>
      <c r="F804" s="4">
        <f>IFERROR(__xludf.DUMMYFUNCTION("""COMPUTED_VALUE"""),2846.0)</f>
        <v>2846</v>
      </c>
      <c r="G804" s="4">
        <f>IFERROR(__xludf.DUMMYFUNCTION("""COMPUTED_VALUE"""),18.0)</f>
        <v>18</v>
      </c>
      <c r="H804" s="4"/>
      <c r="I804" s="4"/>
    </row>
    <row r="805">
      <c r="A805" s="4" t="str">
        <f>IFERROR(__xludf.DUMMYFUNCTION("""COMPUTED_VALUE"""),"cas_hmw")</f>
        <v>cas_hmw</v>
      </c>
      <c r="B805" s="5">
        <f>IFERROR(__xludf.DUMMYFUNCTION("""COMPUTED_VALUE"""),44737.0)</f>
        <v>44737</v>
      </c>
      <c r="C805" s="6">
        <f>IFERROR(__xludf.DUMMYFUNCTION("""COMPUTED_VALUE"""),0.34363425925766933)</f>
        <v>0.3436342593</v>
      </c>
      <c r="D805" s="4">
        <f>IFERROR(__xludf.DUMMYFUNCTION("""COMPUTED_VALUE"""),12.843986)</f>
        <v>12.843986</v>
      </c>
      <c r="E805" s="4">
        <f>IFERROR(__xludf.DUMMYFUNCTION("""COMPUTED_VALUE"""),80.059549)</f>
        <v>80.059549</v>
      </c>
      <c r="F805" s="4">
        <f>IFERROR(__xludf.DUMMYFUNCTION("""COMPUTED_VALUE"""),2846.0)</f>
        <v>2846</v>
      </c>
      <c r="G805" s="4">
        <f>IFERROR(__xludf.DUMMYFUNCTION("""COMPUTED_VALUE"""),4.0)</f>
        <v>4</v>
      </c>
      <c r="H805" s="4"/>
      <c r="I805" s="4"/>
    </row>
    <row r="806">
      <c r="A806" s="4" t="str">
        <f>IFERROR(__xludf.DUMMYFUNCTION("""COMPUTED_VALUE"""),"cas_hmw")</f>
        <v>cas_hmw</v>
      </c>
      <c r="B806" s="5">
        <f>IFERROR(__xludf.DUMMYFUNCTION("""COMPUTED_VALUE"""),44737.0)</f>
        <v>44737</v>
      </c>
      <c r="C806" s="6">
        <f>IFERROR(__xludf.DUMMYFUNCTION("""COMPUTED_VALUE"""),0.6736805555556202)</f>
        <v>0.6736805556</v>
      </c>
      <c r="D806" s="4">
        <f>IFERROR(__xludf.DUMMYFUNCTION("""COMPUTED_VALUE"""),12.867145)</f>
        <v>12.867145</v>
      </c>
      <c r="E806" s="4">
        <f>IFERROR(__xludf.DUMMYFUNCTION("""COMPUTED_VALUE"""),80.075565)</f>
        <v>80.075565</v>
      </c>
      <c r="F806" s="4">
        <f>IFERROR(__xludf.DUMMYFUNCTION("""COMPUTED_VALUE"""),2846.0)</f>
        <v>2846</v>
      </c>
      <c r="G806" s="4">
        <f>IFERROR(__xludf.DUMMYFUNCTION("""COMPUTED_VALUE"""),0.0)</f>
        <v>0</v>
      </c>
      <c r="H806" s="4"/>
      <c r="I806" s="4"/>
    </row>
    <row r="807">
      <c r="A807" s="4" t="str">
        <f>IFERROR(__xludf.DUMMYFUNCTION("""COMPUTED_VALUE"""),"cas_hmw")</f>
        <v>cas_hmw</v>
      </c>
      <c r="B807" s="5">
        <f>IFERROR(__xludf.DUMMYFUNCTION("""COMPUTED_VALUE"""),44737.0)</f>
        <v>44737</v>
      </c>
      <c r="C807" s="6">
        <f>IFERROR(__xludf.DUMMYFUNCTION("""COMPUTED_VALUE"""),0.6769444444435067)</f>
        <v>0.6769444444</v>
      </c>
      <c r="D807" s="4">
        <f>IFERROR(__xludf.DUMMYFUNCTION("""COMPUTED_VALUE"""),12.882518)</f>
        <v>12.882518</v>
      </c>
      <c r="E807" s="4">
        <f>IFERROR(__xludf.DUMMYFUNCTION("""COMPUTED_VALUE"""),80.081098)</f>
        <v>80.081098</v>
      </c>
      <c r="F807" s="4">
        <f>IFERROR(__xludf.DUMMYFUNCTION("""COMPUTED_VALUE"""),805.0)</f>
        <v>805</v>
      </c>
      <c r="G807" s="4">
        <f>IFERROR(__xludf.DUMMYFUNCTION("""COMPUTED_VALUE"""),20.0)</f>
        <v>20</v>
      </c>
      <c r="H807" s="4"/>
      <c r="I807" s="4"/>
    </row>
    <row r="808">
      <c r="A808" s="4" t="str">
        <f>IFERROR(__xludf.DUMMYFUNCTION("""COMPUTED_VALUE"""),"cas_hmw")</f>
        <v>cas_hmw</v>
      </c>
      <c r="B808" s="5">
        <f>IFERROR(__xludf.DUMMYFUNCTION("""COMPUTED_VALUE"""),44737.0)</f>
        <v>44737</v>
      </c>
      <c r="C808" s="6">
        <f>IFERROR(__xludf.DUMMYFUNCTION("""COMPUTED_VALUE"""),0.6776388888902147)</f>
        <v>0.6776388889</v>
      </c>
      <c r="D808" s="4">
        <f>IFERROR(__xludf.DUMMYFUNCTION("""COMPUTED_VALUE"""),12.845838)</f>
        <v>12.845838</v>
      </c>
      <c r="E808" s="4">
        <f>IFERROR(__xludf.DUMMYFUNCTION("""COMPUTED_VALUE"""),80.061821)</f>
        <v>80.061821</v>
      </c>
      <c r="F808" s="4">
        <f>IFERROR(__xludf.DUMMYFUNCTION("""COMPUTED_VALUE"""),2846.0)</f>
        <v>2846</v>
      </c>
      <c r="G808" s="4">
        <f>IFERROR(__xludf.DUMMYFUNCTION("""COMPUTED_VALUE"""),19.0)</f>
        <v>19</v>
      </c>
      <c r="H808" s="4"/>
      <c r="I808" s="4"/>
    </row>
    <row r="809">
      <c r="A809" s="4" t="str">
        <f>IFERROR(__xludf.DUMMYFUNCTION("""COMPUTED_VALUE"""),"cas_hmw")</f>
        <v>cas_hmw</v>
      </c>
      <c r="B809" s="5">
        <f>IFERROR(__xludf.DUMMYFUNCTION("""COMPUTED_VALUE"""),44737.0)</f>
        <v>44737</v>
      </c>
      <c r="C809" s="6">
        <f>IFERROR(__xludf.DUMMYFUNCTION("""COMPUTED_VALUE"""),0.6781597222216078)</f>
        <v>0.6781597222</v>
      </c>
      <c r="D809" s="4">
        <f>IFERROR(__xludf.DUMMYFUNCTION("""COMPUTED_VALUE"""),12.916855)</f>
        <v>12.916855</v>
      </c>
      <c r="E809" s="4">
        <f>IFERROR(__xludf.DUMMYFUNCTION("""COMPUTED_VALUE"""),80.10676)</f>
        <v>80.10676</v>
      </c>
      <c r="F809" s="4">
        <f>IFERROR(__xludf.DUMMYFUNCTION("""COMPUTED_VALUE"""),5339.0)</f>
        <v>5339</v>
      </c>
      <c r="G809" s="4">
        <f>IFERROR(__xludf.DUMMYFUNCTION("""COMPUTED_VALUE"""),14.0)</f>
        <v>14</v>
      </c>
      <c r="H809" s="4"/>
      <c r="I809" s="4"/>
    </row>
    <row r="810">
      <c r="A810" s="4" t="str">
        <f>IFERROR(__xludf.DUMMYFUNCTION("""COMPUTED_VALUE"""),"cas_hmw")</f>
        <v>cas_hmw</v>
      </c>
      <c r="B810" s="5">
        <f>IFERROR(__xludf.DUMMYFUNCTION("""COMPUTED_VALUE"""),44737.0)</f>
        <v>44737</v>
      </c>
      <c r="C810" s="6">
        <f>IFERROR(__xludf.DUMMYFUNCTION("""COMPUTED_VALUE"""),0.6825578703719657)</f>
        <v>0.6825578704</v>
      </c>
      <c r="D810" s="4">
        <f>IFERROR(__xludf.DUMMYFUNCTION("""COMPUTED_VALUE"""),12.942172)</f>
        <v>12.942172</v>
      </c>
      <c r="E810" s="4">
        <f>IFERROR(__xludf.DUMMYFUNCTION("""COMPUTED_VALUE"""),80.132672)</f>
        <v>80.132672</v>
      </c>
      <c r="F810" s="4">
        <f>IFERROR(__xludf.DUMMYFUNCTION("""COMPUTED_VALUE"""),5339.0)</f>
        <v>5339</v>
      </c>
      <c r="G810" s="4">
        <f>IFERROR(__xludf.DUMMYFUNCTION("""COMPUTED_VALUE"""),16.0)</f>
        <v>16</v>
      </c>
      <c r="H810" s="4"/>
      <c r="I810" s="4"/>
    </row>
    <row r="811">
      <c r="A811" s="4" t="str">
        <f>IFERROR(__xludf.DUMMYFUNCTION("""COMPUTED_VALUE"""),"cas_hmw")</f>
        <v>cas_hmw</v>
      </c>
      <c r="B811" s="5">
        <f>IFERROR(__xludf.DUMMYFUNCTION("""COMPUTED_VALUE"""),44737.0)</f>
        <v>44737</v>
      </c>
      <c r="C811" s="6">
        <f>IFERROR(__xludf.DUMMYFUNCTION("""COMPUTED_VALUE"""),0.6825578703719657)</f>
        <v>0.6825578704</v>
      </c>
      <c r="D811" s="4">
        <f>IFERROR(__xludf.DUMMYFUNCTION("""COMPUTED_VALUE"""),12.942172)</f>
        <v>12.942172</v>
      </c>
      <c r="E811" s="4">
        <f>IFERROR(__xludf.DUMMYFUNCTION("""COMPUTED_VALUE"""),80.132672)</f>
        <v>80.132672</v>
      </c>
      <c r="F811" s="4">
        <f>IFERROR(__xludf.DUMMYFUNCTION("""COMPUTED_VALUE"""),5339.0)</f>
        <v>5339</v>
      </c>
      <c r="G811" s="4">
        <f>IFERROR(__xludf.DUMMYFUNCTION("""COMPUTED_VALUE"""),16.0)</f>
        <v>16</v>
      </c>
      <c r="H811" s="4"/>
      <c r="I811" s="4"/>
    </row>
    <row r="812">
      <c r="A812" s="4" t="str">
        <f>IFERROR(__xludf.DUMMYFUNCTION("""COMPUTED_VALUE"""),"cas_hmw")</f>
        <v>cas_hmw</v>
      </c>
      <c r="B812" s="5">
        <f>IFERROR(__xludf.DUMMYFUNCTION("""COMPUTED_VALUE"""),44737.0)</f>
        <v>44737</v>
      </c>
      <c r="C812" s="6">
        <f>IFERROR(__xludf.DUMMYFUNCTION("""COMPUTED_VALUE"""),0.6827083333337214)</f>
        <v>0.6827083333</v>
      </c>
      <c r="D812" s="4">
        <f>IFERROR(__xludf.DUMMYFUNCTION("""COMPUTED_VALUE"""),12.942172)</f>
        <v>12.942172</v>
      </c>
      <c r="E812" s="4">
        <f>IFERROR(__xludf.DUMMYFUNCTION("""COMPUTED_VALUE"""),80.132672)</f>
        <v>80.132672</v>
      </c>
      <c r="F812" s="4">
        <f>IFERROR(__xludf.DUMMYFUNCTION("""COMPUTED_VALUE"""),5339.0)</f>
        <v>5339</v>
      </c>
      <c r="G812" s="4">
        <f>IFERROR(__xludf.DUMMYFUNCTION("""COMPUTED_VALUE"""),16.0)</f>
        <v>16</v>
      </c>
      <c r="H812" s="4"/>
      <c r="I812" s="4"/>
    </row>
    <row r="813">
      <c r="A813" s="4" t="str">
        <f>IFERROR(__xludf.DUMMYFUNCTION("""COMPUTED_VALUE"""),"cas_hmw")</f>
        <v>cas_hmw</v>
      </c>
      <c r="B813" s="5">
        <f>IFERROR(__xludf.DUMMYFUNCTION("""COMPUTED_VALUE"""),44737.0)</f>
        <v>44737</v>
      </c>
      <c r="C813" s="6">
        <f>IFERROR(__xludf.DUMMYFUNCTION("""COMPUTED_VALUE"""),0.6833912037036498)</f>
        <v>0.6833912037</v>
      </c>
      <c r="D813" s="4">
        <f>IFERROR(__xludf.DUMMYFUNCTION("""COMPUTED_VALUE"""),12.926725)</f>
        <v>12.926725</v>
      </c>
      <c r="E813" s="4">
        <f>IFERROR(__xludf.DUMMYFUNCTION("""COMPUTED_VALUE"""),80.11779)</f>
        <v>80.11779</v>
      </c>
      <c r="F813" s="4">
        <f>IFERROR(__xludf.DUMMYFUNCTION("""COMPUTED_VALUE"""),805.0)</f>
        <v>805</v>
      </c>
      <c r="G813" s="4">
        <f>IFERROR(__xludf.DUMMYFUNCTION("""COMPUTED_VALUE"""),20.0)</f>
        <v>20</v>
      </c>
      <c r="H813" s="4"/>
      <c r="I813" s="4"/>
    </row>
    <row r="814">
      <c r="A814" s="4" t="str">
        <f>IFERROR(__xludf.DUMMYFUNCTION("""COMPUTED_VALUE"""),"cas_hmw")</f>
        <v>cas_hmw</v>
      </c>
      <c r="B814" s="5">
        <f>IFERROR(__xludf.DUMMYFUNCTION("""COMPUTED_VALUE"""),44737.0)</f>
        <v>44737</v>
      </c>
      <c r="C814" s="6">
        <f>IFERROR(__xludf.DUMMYFUNCTION("""COMPUTED_VALUE"""),0.6834143518535711)</f>
        <v>0.6834143519</v>
      </c>
      <c r="D814" s="4">
        <f>IFERROR(__xludf.DUMMYFUNCTION("""COMPUTED_VALUE"""),12.926725)</f>
        <v>12.926725</v>
      </c>
      <c r="E814" s="4">
        <f>IFERROR(__xludf.DUMMYFUNCTION("""COMPUTED_VALUE"""),80.11779)</f>
        <v>80.11779</v>
      </c>
      <c r="F814" s="4">
        <f>IFERROR(__xludf.DUMMYFUNCTION("""COMPUTED_VALUE"""),805.0)</f>
        <v>805</v>
      </c>
      <c r="G814" s="4">
        <f>IFERROR(__xludf.DUMMYFUNCTION("""COMPUTED_VALUE"""),20.0)</f>
        <v>20</v>
      </c>
      <c r="H814" s="4"/>
      <c r="I814" s="4"/>
    </row>
    <row r="815">
      <c r="A815" s="4" t="str">
        <f>IFERROR(__xludf.DUMMYFUNCTION("""COMPUTED_VALUE"""),"cas_hmw")</f>
        <v>cas_hmw</v>
      </c>
      <c r="B815" s="5">
        <f>IFERROR(__xludf.DUMMYFUNCTION("""COMPUTED_VALUE"""),44737.0)</f>
        <v>44737</v>
      </c>
      <c r="C815" s="6">
        <f>IFERROR(__xludf.DUMMYFUNCTION("""COMPUTED_VALUE"""),0.6834374999998545)</f>
        <v>0.6834375</v>
      </c>
      <c r="D815" s="4">
        <f>IFERROR(__xludf.DUMMYFUNCTION("""COMPUTED_VALUE"""),12.926725)</f>
        <v>12.926725</v>
      </c>
      <c r="E815" s="4">
        <f>IFERROR(__xludf.DUMMYFUNCTION("""COMPUTED_VALUE"""),80.11779)</f>
        <v>80.11779</v>
      </c>
      <c r="F815" s="4">
        <f>IFERROR(__xludf.DUMMYFUNCTION("""COMPUTED_VALUE"""),805.0)</f>
        <v>805</v>
      </c>
      <c r="G815" s="4">
        <f>IFERROR(__xludf.DUMMYFUNCTION("""COMPUTED_VALUE"""),20.0)</f>
        <v>20</v>
      </c>
      <c r="H815" s="4"/>
      <c r="I815" s="4"/>
    </row>
    <row r="816">
      <c r="A816" s="4" t="str">
        <f>IFERROR(__xludf.DUMMYFUNCTION("""COMPUTED_VALUE"""),"cas_hmw")</f>
        <v>cas_hmw</v>
      </c>
      <c r="B816" s="5">
        <f>IFERROR(__xludf.DUMMYFUNCTION("""COMPUTED_VALUE"""),44737.0)</f>
        <v>44737</v>
      </c>
      <c r="C816" s="6">
        <f>IFERROR(__xludf.DUMMYFUNCTION("""COMPUTED_VALUE"""),0.6840625000004366)</f>
        <v>0.6840625</v>
      </c>
      <c r="D816" s="4">
        <f>IFERROR(__xludf.DUMMYFUNCTION("""COMPUTED_VALUE"""),12.929386)</f>
        <v>12.929386</v>
      </c>
      <c r="E816" s="4">
        <f>IFERROR(__xludf.DUMMYFUNCTION("""COMPUTED_VALUE"""),80.120408)</f>
        <v>80.120408</v>
      </c>
      <c r="F816" s="4">
        <f>IFERROR(__xludf.DUMMYFUNCTION("""COMPUTED_VALUE"""),805.0)</f>
        <v>805</v>
      </c>
      <c r="G816" s="4">
        <f>IFERROR(__xludf.DUMMYFUNCTION("""COMPUTED_VALUE"""),11.0)</f>
        <v>11</v>
      </c>
      <c r="H816" s="4"/>
      <c r="I816" s="4"/>
    </row>
    <row r="817">
      <c r="A817" s="4" t="str">
        <f>IFERROR(__xludf.DUMMYFUNCTION("""COMPUTED_VALUE"""),"cas_hmw")</f>
        <v>cas_hmw</v>
      </c>
      <c r="B817" s="5">
        <f>IFERROR(__xludf.DUMMYFUNCTION("""COMPUTED_VALUE"""),44737.0)</f>
        <v>44737</v>
      </c>
      <c r="C817" s="6">
        <f>IFERROR(__xludf.DUMMYFUNCTION("""COMPUTED_VALUE"""),0.6840856481467199)</f>
        <v>0.6840856481</v>
      </c>
      <c r="D817" s="4">
        <f>IFERROR(__xludf.DUMMYFUNCTION("""COMPUTED_VALUE"""),12.929776)</f>
        <v>12.929776</v>
      </c>
      <c r="E817" s="4">
        <f>IFERROR(__xludf.DUMMYFUNCTION("""COMPUTED_VALUE"""),80.120782)</f>
        <v>80.120782</v>
      </c>
      <c r="F817" s="4">
        <f>IFERROR(__xludf.DUMMYFUNCTION("""COMPUTED_VALUE"""),805.0)</f>
        <v>805</v>
      </c>
      <c r="G817" s="4">
        <f>IFERROR(__xludf.DUMMYFUNCTION("""COMPUTED_VALUE"""),20.0)</f>
        <v>20</v>
      </c>
      <c r="H817" s="4"/>
      <c r="I817" s="4"/>
    </row>
    <row r="818">
      <c r="A818" s="4" t="str">
        <f>IFERROR(__xludf.DUMMYFUNCTION("""COMPUTED_VALUE"""),"cas_hmw")</f>
        <v>cas_hmw</v>
      </c>
      <c r="B818" s="5">
        <f>IFERROR(__xludf.DUMMYFUNCTION("""COMPUTED_VALUE"""),44737.0)</f>
        <v>44737</v>
      </c>
      <c r="C818" s="6">
        <f>IFERROR(__xludf.DUMMYFUNCTION("""COMPUTED_VALUE"""),0.6840856481467199)</f>
        <v>0.6840856481</v>
      </c>
      <c r="D818" s="4">
        <f>IFERROR(__xludf.DUMMYFUNCTION("""COMPUTED_VALUE"""),12.929776)</f>
        <v>12.929776</v>
      </c>
      <c r="E818" s="4">
        <f>IFERROR(__xludf.DUMMYFUNCTION("""COMPUTED_VALUE"""),80.120782)</f>
        <v>80.120782</v>
      </c>
      <c r="F818" s="4">
        <f>IFERROR(__xludf.DUMMYFUNCTION("""COMPUTED_VALUE"""),805.0)</f>
        <v>805</v>
      </c>
      <c r="G818" s="4">
        <f>IFERROR(__xludf.DUMMYFUNCTION("""COMPUTED_VALUE"""),20.0)</f>
        <v>20</v>
      </c>
      <c r="H818" s="4"/>
      <c r="I818" s="4"/>
    </row>
    <row r="819">
      <c r="A819" s="4" t="str">
        <f>IFERROR(__xludf.DUMMYFUNCTION("""COMPUTED_VALUE"""),"cas_hmw")</f>
        <v>cas_hmw</v>
      </c>
      <c r="B819" s="5">
        <f>IFERROR(__xludf.DUMMYFUNCTION("""COMPUTED_VALUE"""),44737.0)</f>
        <v>44737</v>
      </c>
      <c r="C819" s="6">
        <f>IFERROR(__xludf.DUMMYFUNCTION("""COMPUTED_VALUE"""),0.6841435185197042)</f>
        <v>0.6841435185</v>
      </c>
      <c r="D819" s="4">
        <f>IFERROR(__xludf.DUMMYFUNCTION("""COMPUTED_VALUE"""),12.929776)</f>
        <v>12.929776</v>
      </c>
      <c r="E819" s="4">
        <f>IFERROR(__xludf.DUMMYFUNCTION("""COMPUTED_VALUE"""),80.120782)</f>
        <v>80.120782</v>
      </c>
      <c r="F819" s="4">
        <f>IFERROR(__xludf.DUMMYFUNCTION("""COMPUTED_VALUE"""),805.0)</f>
        <v>805</v>
      </c>
      <c r="G819" s="4">
        <f>IFERROR(__xludf.DUMMYFUNCTION("""COMPUTED_VALUE"""),20.0)</f>
        <v>20</v>
      </c>
      <c r="H819" s="4"/>
      <c r="I819" s="4"/>
    </row>
    <row r="820">
      <c r="A820" s="4" t="str">
        <f>IFERROR(__xludf.DUMMYFUNCTION("""COMPUTED_VALUE"""),"cas_hmw")</f>
        <v>cas_hmw</v>
      </c>
      <c r="B820" s="5">
        <f>IFERROR(__xludf.DUMMYFUNCTION("""COMPUTED_VALUE"""),44737.0)</f>
        <v>44737</v>
      </c>
      <c r="C820" s="6">
        <f>IFERROR(__xludf.DUMMYFUNCTION("""COMPUTED_VALUE"""),0.6845138888893416)</f>
        <v>0.6845138889</v>
      </c>
      <c r="D820" s="4">
        <f>IFERROR(__xludf.DUMMYFUNCTION("""COMPUTED_VALUE"""),12.931261)</f>
        <v>12.931261</v>
      </c>
      <c r="E820" s="4">
        <f>IFERROR(__xludf.DUMMYFUNCTION("""COMPUTED_VALUE"""),80.122339)</f>
        <v>80.122339</v>
      </c>
      <c r="F820" s="4">
        <f>IFERROR(__xludf.DUMMYFUNCTION("""COMPUTED_VALUE"""),805.0)</f>
        <v>805</v>
      </c>
      <c r="G820" s="4">
        <f>IFERROR(__xludf.DUMMYFUNCTION("""COMPUTED_VALUE"""),15.0)</f>
        <v>15</v>
      </c>
      <c r="H820" s="4"/>
      <c r="I820" s="4"/>
    </row>
    <row r="821">
      <c r="A821" s="4" t="str">
        <f>IFERROR(__xludf.DUMMYFUNCTION("""COMPUTED_VALUE"""),"cas_hmw")</f>
        <v>cas_hmw</v>
      </c>
      <c r="B821" s="5">
        <f>IFERROR(__xludf.DUMMYFUNCTION("""COMPUTED_VALUE"""),44737.0)</f>
        <v>44737</v>
      </c>
      <c r="C821" s="6">
        <f>IFERROR(__xludf.DUMMYFUNCTION("""COMPUTED_VALUE"""),0.6890509259246755)</f>
        <v>0.6890509259</v>
      </c>
      <c r="D821" s="4">
        <f>IFERROR(__xludf.DUMMYFUNCTION("""COMPUTED_VALUE"""),12.95606)</f>
        <v>12.95606</v>
      </c>
      <c r="E821" s="4">
        <f>IFERROR(__xludf.DUMMYFUNCTION("""COMPUTED_VALUE"""),80.14292)</f>
        <v>80.14292</v>
      </c>
      <c r="F821" s="4">
        <f>IFERROR(__xludf.DUMMYFUNCTION("""COMPUTED_VALUE"""),805.0)</f>
        <v>805</v>
      </c>
      <c r="G821" s="4">
        <f>IFERROR(__xludf.DUMMYFUNCTION("""COMPUTED_VALUE"""),0.0)</f>
        <v>0</v>
      </c>
      <c r="H821" s="4"/>
      <c r="I821" s="4"/>
    </row>
    <row r="822">
      <c r="A822" s="4" t="str">
        <f>IFERROR(__xludf.DUMMYFUNCTION("""COMPUTED_VALUE"""),"cas_hmw")</f>
        <v>cas_hmw</v>
      </c>
      <c r="B822" s="5">
        <f>IFERROR(__xludf.DUMMYFUNCTION("""COMPUTED_VALUE"""),44737.0)</f>
        <v>44737</v>
      </c>
      <c r="C822" s="6">
        <f>IFERROR(__xludf.DUMMYFUNCTION("""COMPUTED_VALUE"""),0.6915277777770825)</f>
        <v>0.6915277778</v>
      </c>
      <c r="D822" s="4">
        <f>IFERROR(__xludf.DUMMYFUNCTION("""COMPUTED_VALUE"""),12.989291)</f>
        <v>12.989291</v>
      </c>
      <c r="E822" s="4">
        <f>IFERROR(__xludf.DUMMYFUNCTION("""COMPUTED_VALUE"""),80.178548)</f>
        <v>80.178548</v>
      </c>
      <c r="F822" s="4">
        <f>IFERROR(__xludf.DUMMYFUNCTION("""COMPUTED_VALUE"""),5339.0)</f>
        <v>5339</v>
      </c>
      <c r="G822" s="4">
        <f>IFERROR(__xludf.DUMMYFUNCTION("""COMPUTED_VALUE"""),0.0)</f>
        <v>0</v>
      </c>
      <c r="H822" s="4"/>
      <c r="I822" s="4"/>
    </row>
    <row r="823">
      <c r="A823" s="4" t="str">
        <f>IFERROR(__xludf.DUMMYFUNCTION("""COMPUTED_VALUE"""),"cas_hmw")</f>
        <v>cas_hmw</v>
      </c>
      <c r="B823" s="5">
        <f>IFERROR(__xludf.DUMMYFUNCTION("""COMPUTED_VALUE"""),44737.0)</f>
        <v>44737</v>
      </c>
      <c r="C823" s="6">
        <f>IFERROR(__xludf.DUMMYFUNCTION("""COMPUTED_VALUE"""),0.6915625000001455)</f>
        <v>0.6915625</v>
      </c>
      <c r="D823" s="4">
        <f>IFERROR(__xludf.DUMMYFUNCTION("""COMPUTED_VALUE"""),12.960914)</f>
        <v>12.960914</v>
      </c>
      <c r="E823" s="4">
        <f>IFERROR(__xludf.DUMMYFUNCTION("""COMPUTED_VALUE"""),80.145562)</f>
        <v>80.145562</v>
      </c>
      <c r="F823" s="4">
        <f>IFERROR(__xludf.DUMMYFUNCTION("""COMPUTED_VALUE"""),805.0)</f>
        <v>805</v>
      </c>
      <c r="G823" s="4">
        <f>IFERROR(__xludf.DUMMYFUNCTION("""COMPUTED_VALUE"""),6.0)</f>
        <v>6</v>
      </c>
      <c r="H823" s="4"/>
      <c r="I823" s="4"/>
    </row>
    <row r="824">
      <c r="A824" s="4" t="str">
        <f>IFERROR(__xludf.DUMMYFUNCTION("""COMPUTED_VALUE"""),"cas_hmw")</f>
        <v>cas_hmw</v>
      </c>
      <c r="B824" s="5">
        <f>IFERROR(__xludf.DUMMYFUNCTION("""COMPUTED_VALUE"""),44737.0)</f>
        <v>44737</v>
      </c>
      <c r="C824" s="6">
        <f>IFERROR(__xludf.DUMMYFUNCTION("""COMPUTED_VALUE"""),0.6940277777794108)</f>
        <v>0.6940277778</v>
      </c>
      <c r="D824" s="4">
        <f>IFERROR(__xludf.DUMMYFUNCTION("""COMPUTED_VALUE"""),13.00154)</f>
        <v>13.00154</v>
      </c>
      <c r="E824" s="4">
        <f>IFERROR(__xludf.DUMMYFUNCTION("""COMPUTED_VALUE"""),80.195995)</f>
        <v>80.195995</v>
      </c>
      <c r="F824" s="4">
        <f>IFERROR(__xludf.DUMMYFUNCTION("""COMPUTED_VALUE"""),5339.0)</f>
        <v>5339</v>
      </c>
      <c r="G824" s="4">
        <f>IFERROR(__xludf.DUMMYFUNCTION("""COMPUTED_VALUE"""),20.0)</f>
        <v>20</v>
      </c>
      <c r="H824" s="4"/>
      <c r="I824" s="4"/>
    </row>
    <row r="825">
      <c r="A825" s="4" t="str">
        <f>IFERROR(__xludf.DUMMYFUNCTION("""COMPUTED_VALUE"""),"cas_hmw")</f>
        <v>cas_hmw</v>
      </c>
      <c r="B825" s="5">
        <f>IFERROR(__xludf.DUMMYFUNCTION("""COMPUTED_VALUE"""),44737.0)</f>
        <v>44737</v>
      </c>
      <c r="C825" s="6">
        <f>IFERROR(__xludf.DUMMYFUNCTION("""COMPUTED_VALUE"""),0.6941203703718202)</f>
        <v>0.6941203704</v>
      </c>
      <c r="D825" s="4">
        <f>IFERROR(__xludf.DUMMYFUNCTION("""COMPUTED_VALUE"""),13.00154)</f>
        <v>13.00154</v>
      </c>
      <c r="E825" s="4">
        <f>IFERROR(__xludf.DUMMYFUNCTION("""COMPUTED_VALUE"""),80.195995)</f>
        <v>80.195995</v>
      </c>
      <c r="F825" s="4">
        <f>IFERROR(__xludf.DUMMYFUNCTION("""COMPUTED_VALUE"""),5339.0)</f>
        <v>5339</v>
      </c>
      <c r="G825" s="4">
        <f>IFERROR(__xludf.DUMMYFUNCTION("""COMPUTED_VALUE"""),20.0)</f>
        <v>20</v>
      </c>
      <c r="H825" s="4"/>
      <c r="I825" s="4"/>
    </row>
    <row r="826">
      <c r="A826" s="4" t="str">
        <f>IFERROR(__xludf.DUMMYFUNCTION("""COMPUTED_VALUE"""),"cas_hmw")</f>
        <v>cas_hmw</v>
      </c>
      <c r="B826" s="5">
        <f>IFERROR(__xludf.DUMMYFUNCTION("""COMPUTED_VALUE"""),44737.0)</f>
        <v>44737</v>
      </c>
      <c r="C826" s="6">
        <f>IFERROR(__xludf.DUMMYFUNCTION("""COMPUTED_VALUE"""),0.6965740740743058)</f>
        <v>0.6965740741</v>
      </c>
      <c r="D826" s="4">
        <f>IFERROR(__xludf.DUMMYFUNCTION("""COMPUTED_VALUE"""),12.697381)</f>
        <v>12.697381</v>
      </c>
      <c r="E826" s="4">
        <f>IFERROR(__xludf.DUMMYFUNCTION("""COMPUTED_VALUE"""),79.976494)</f>
        <v>79.976494</v>
      </c>
      <c r="F826" s="4">
        <f>IFERROR(__xludf.DUMMYFUNCTION("""COMPUTED_VALUE"""),2846.0)</f>
        <v>2846</v>
      </c>
      <c r="G826" s="4">
        <f>IFERROR(__xludf.DUMMYFUNCTION("""COMPUTED_VALUE"""),13.0)</f>
        <v>13</v>
      </c>
      <c r="H826" s="4"/>
      <c r="I826" s="4"/>
    </row>
    <row r="827">
      <c r="A827" s="4" t="str">
        <f>IFERROR(__xludf.DUMMYFUNCTION("""COMPUTED_VALUE"""),"cas_hmw")</f>
        <v>cas_hmw</v>
      </c>
      <c r="B827" s="5">
        <f>IFERROR(__xludf.DUMMYFUNCTION("""COMPUTED_VALUE"""),44737.0)</f>
        <v>44737</v>
      </c>
      <c r="C827" s="6">
        <f>IFERROR(__xludf.DUMMYFUNCTION("""COMPUTED_VALUE"""),0.6966087962973688)</f>
        <v>0.6966087963</v>
      </c>
      <c r="D827" s="4">
        <f>IFERROR(__xludf.DUMMYFUNCTION("""COMPUTED_VALUE"""),12.696698)</f>
        <v>12.696698</v>
      </c>
      <c r="E827" s="4">
        <f>IFERROR(__xludf.DUMMYFUNCTION("""COMPUTED_VALUE"""),79.976961)</f>
        <v>79.976961</v>
      </c>
      <c r="F827" s="4">
        <f>IFERROR(__xludf.DUMMYFUNCTION("""COMPUTED_VALUE"""),2846.0)</f>
        <v>2846</v>
      </c>
      <c r="G827" s="4">
        <f>IFERROR(__xludf.DUMMYFUNCTION("""COMPUTED_VALUE"""),7.0)</f>
        <v>7</v>
      </c>
      <c r="H827" s="4"/>
      <c r="I827" s="4"/>
    </row>
    <row r="828">
      <c r="A828" s="4" t="str">
        <f>IFERROR(__xludf.DUMMYFUNCTION("""COMPUTED_VALUE"""),"cas_hmw")</f>
        <v>cas_hmw</v>
      </c>
      <c r="B828" s="5">
        <f>IFERROR(__xludf.DUMMYFUNCTION("""COMPUTED_VALUE"""),44737.0)</f>
        <v>44737</v>
      </c>
      <c r="C828" s="6">
        <f>IFERROR(__xludf.DUMMYFUNCTION("""COMPUTED_VALUE"""),0.6967129629629198)</f>
        <v>0.696712963</v>
      </c>
      <c r="D828" s="4">
        <f>IFERROR(__xludf.DUMMYFUNCTION("""COMPUTED_VALUE"""),12.696687)</f>
        <v>12.696687</v>
      </c>
      <c r="E828" s="4">
        <f>IFERROR(__xludf.DUMMYFUNCTION("""COMPUTED_VALUE"""),79.97697)</f>
        <v>79.97697</v>
      </c>
      <c r="F828" s="4">
        <f>IFERROR(__xludf.DUMMYFUNCTION("""COMPUTED_VALUE"""),2846.0)</f>
        <v>2846</v>
      </c>
      <c r="G828" s="4">
        <f>IFERROR(__xludf.DUMMYFUNCTION("""COMPUTED_VALUE"""),0.0)</f>
        <v>0</v>
      </c>
      <c r="H828" s="4"/>
      <c r="I828" s="4"/>
    </row>
    <row r="829">
      <c r="A829" s="4" t="str">
        <f>IFERROR(__xludf.DUMMYFUNCTION("""COMPUTED_VALUE"""),"cas_hmw")</f>
        <v>cas_hmw</v>
      </c>
      <c r="B829" s="5">
        <f>IFERROR(__xludf.DUMMYFUNCTION("""COMPUTED_VALUE"""),44737.0)</f>
        <v>44737</v>
      </c>
      <c r="C829" s="6">
        <f>IFERROR(__xludf.DUMMYFUNCTION("""COMPUTED_VALUE"""),0.6975347222214623)</f>
        <v>0.6975347222</v>
      </c>
      <c r="D829" s="4">
        <f>IFERROR(__xludf.DUMMYFUNCTION("""COMPUTED_VALUE"""),13.010891)</f>
        <v>13.010891</v>
      </c>
      <c r="E829" s="4">
        <f>IFERROR(__xludf.DUMMYFUNCTION("""COMPUTED_VALUE"""),80.217021)</f>
        <v>80.217021</v>
      </c>
      <c r="F829" s="4">
        <f>IFERROR(__xludf.DUMMYFUNCTION("""COMPUTED_VALUE"""),5339.0)</f>
        <v>5339</v>
      </c>
      <c r="G829" s="4">
        <f>IFERROR(__xludf.DUMMYFUNCTION("""COMPUTED_VALUE"""),0.0)</f>
        <v>0</v>
      </c>
      <c r="H829" s="4"/>
      <c r="I829" s="4"/>
    </row>
    <row r="830">
      <c r="A830" s="4" t="str">
        <f>IFERROR(__xludf.DUMMYFUNCTION("""COMPUTED_VALUE"""),"cas_hmw")</f>
        <v>cas_hmw</v>
      </c>
      <c r="B830" s="5">
        <f>IFERROR(__xludf.DUMMYFUNCTION("""COMPUTED_VALUE"""),44737.0)</f>
        <v>44737</v>
      </c>
      <c r="C830" s="6">
        <f>IFERROR(__xludf.DUMMYFUNCTION("""COMPUTED_VALUE"""),0.6976388888906513)</f>
        <v>0.6976388889</v>
      </c>
      <c r="D830" s="4">
        <f>IFERROR(__xludf.DUMMYFUNCTION("""COMPUTED_VALUE"""),12.99595)</f>
        <v>12.99595</v>
      </c>
      <c r="E830" s="4">
        <f>IFERROR(__xludf.DUMMYFUNCTION("""COMPUTED_VALUE"""),80.189112)</f>
        <v>80.189112</v>
      </c>
      <c r="F830" s="4">
        <f>IFERROR(__xludf.DUMMYFUNCTION("""COMPUTED_VALUE"""),805.0)</f>
        <v>805</v>
      </c>
      <c r="G830" s="4">
        <f>IFERROR(__xludf.DUMMYFUNCTION("""COMPUTED_VALUE"""),0.0)</f>
        <v>0</v>
      </c>
      <c r="H830" s="4"/>
      <c r="I830" s="4"/>
    </row>
    <row r="831">
      <c r="A831" s="4" t="str">
        <f>IFERROR(__xludf.DUMMYFUNCTION("""COMPUTED_VALUE"""),"cas_hmw")</f>
        <v>cas_hmw</v>
      </c>
      <c r="B831" s="5">
        <f>IFERROR(__xludf.DUMMYFUNCTION("""COMPUTED_VALUE"""),44737.0)</f>
        <v>44737</v>
      </c>
      <c r="C831" s="6">
        <f>IFERROR(__xludf.DUMMYFUNCTION("""COMPUTED_VALUE"""),0.6977083333331393)</f>
        <v>0.6977083333</v>
      </c>
      <c r="D831" s="4">
        <f>IFERROR(__xludf.DUMMYFUNCTION("""COMPUTED_VALUE"""),12.99595)</f>
        <v>12.99595</v>
      </c>
      <c r="E831" s="4">
        <f>IFERROR(__xludf.DUMMYFUNCTION("""COMPUTED_VALUE"""),80.189112)</f>
        <v>80.189112</v>
      </c>
      <c r="F831" s="4">
        <f>IFERROR(__xludf.DUMMYFUNCTION("""COMPUTED_VALUE"""),805.0)</f>
        <v>805</v>
      </c>
      <c r="G831" s="4">
        <f>IFERROR(__xludf.DUMMYFUNCTION("""COMPUTED_VALUE"""),0.0)</f>
        <v>0</v>
      </c>
      <c r="H831" s="4"/>
      <c r="I831" s="4"/>
    </row>
    <row r="832">
      <c r="A832" s="4" t="str">
        <f>IFERROR(__xludf.DUMMYFUNCTION("""COMPUTED_VALUE"""),"cas_hmw")</f>
        <v>cas_hmw</v>
      </c>
      <c r="B832" s="5">
        <f>IFERROR(__xludf.DUMMYFUNCTION("""COMPUTED_VALUE"""),44737.0)</f>
        <v>44737</v>
      </c>
      <c r="C832" s="6">
        <f>IFERROR(__xludf.DUMMYFUNCTION("""COMPUTED_VALUE"""),0.6987384259264218)</f>
        <v>0.6987384259</v>
      </c>
      <c r="D832" s="4">
        <f>IFERROR(__xludf.DUMMYFUNCTION("""COMPUTED_VALUE"""),13.001351)</f>
        <v>13.001351</v>
      </c>
      <c r="E832" s="4">
        <f>IFERROR(__xludf.DUMMYFUNCTION("""COMPUTED_VALUE"""),80.195705)</f>
        <v>80.195705</v>
      </c>
      <c r="F832" s="4">
        <f>IFERROR(__xludf.DUMMYFUNCTION("""COMPUTED_VALUE"""),805.0)</f>
        <v>805</v>
      </c>
      <c r="G832" s="4">
        <f>IFERROR(__xludf.DUMMYFUNCTION("""COMPUTED_VALUE"""),16.0)</f>
        <v>16</v>
      </c>
      <c r="H832" s="4"/>
      <c r="I832" s="4"/>
    </row>
    <row r="833">
      <c r="A833" s="4" t="str">
        <f>IFERROR(__xludf.DUMMYFUNCTION("""COMPUTED_VALUE"""),"cas_hmw")</f>
        <v>cas_hmw</v>
      </c>
      <c r="B833" s="5">
        <f>IFERROR(__xludf.DUMMYFUNCTION("""COMPUTED_VALUE"""),44737.0)</f>
        <v>44737</v>
      </c>
      <c r="C833" s="6">
        <f>IFERROR(__xludf.DUMMYFUNCTION("""COMPUTED_VALUE"""),0.7000000000007276)</f>
        <v>0.7</v>
      </c>
      <c r="D833" s="4">
        <f>IFERROR(__xludf.DUMMYFUNCTION("""COMPUTED_VALUE"""),12.682688)</f>
        <v>12.682688</v>
      </c>
      <c r="E833" s="4">
        <f>IFERROR(__xludf.DUMMYFUNCTION("""COMPUTED_VALUE"""),79.982649)</f>
        <v>79.982649</v>
      </c>
      <c r="F833" s="4">
        <f>IFERROR(__xludf.DUMMYFUNCTION("""COMPUTED_VALUE"""),2846.0)</f>
        <v>2846</v>
      </c>
      <c r="G833" s="4">
        <f>IFERROR(__xludf.DUMMYFUNCTION("""COMPUTED_VALUE"""),18.0)</f>
        <v>18</v>
      </c>
      <c r="H833" s="4"/>
      <c r="I833" s="4"/>
    </row>
    <row r="834">
      <c r="A834" s="4" t="str">
        <f>IFERROR(__xludf.DUMMYFUNCTION("""COMPUTED_VALUE"""),"cas_hmw")</f>
        <v>cas_hmw</v>
      </c>
      <c r="B834" s="5">
        <f>IFERROR(__xludf.DUMMYFUNCTION("""COMPUTED_VALUE"""),44737.0)</f>
        <v>44737</v>
      </c>
      <c r="C834" s="6">
        <f>IFERROR(__xludf.DUMMYFUNCTION("""COMPUTED_VALUE"""),0.7002199074086093)</f>
        <v>0.7002199074</v>
      </c>
      <c r="D834" s="4">
        <f>IFERROR(__xludf.DUMMYFUNCTION("""COMPUTED_VALUE"""),13.016405)</f>
        <v>13.016405</v>
      </c>
      <c r="E834" s="4">
        <f>IFERROR(__xludf.DUMMYFUNCTION("""COMPUTED_VALUE"""),80.225306)</f>
        <v>80.225306</v>
      </c>
      <c r="F834" s="4">
        <f>IFERROR(__xludf.DUMMYFUNCTION("""COMPUTED_VALUE"""),5339.0)</f>
        <v>5339</v>
      </c>
      <c r="G834" s="4">
        <f>IFERROR(__xludf.DUMMYFUNCTION("""COMPUTED_VALUE"""),17.0)</f>
        <v>17</v>
      </c>
      <c r="H834" s="4"/>
      <c r="I834" s="4"/>
    </row>
    <row r="835">
      <c r="A835" s="4" t="str">
        <f>IFERROR(__xludf.DUMMYFUNCTION("""COMPUTED_VALUE"""),"cas_hmw")</f>
        <v>cas_hmw</v>
      </c>
      <c r="B835" s="5">
        <f>IFERROR(__xludf.DUMMYFUNCTION("""COMPUTED_VALUE"""),44737.0)</f>
        <v>44737</v>
      </c>
      <c r="C835" s="6">
        <f>IFERROR(__xludf.DUMMYFUNCTION("""COMPUTED_VALUE"""),0.7038310185198497)</f>
        <v>0.7038310185</v>
      </c>
      <c r="D835" s="4">
        <f>IFERROR(__xludf.DUMMYFUNCTION("""COMPUTED_VALUE"""),13.015451)</f>
        <v>13.015451</v>
      </c>
      <c r="E835" s="4">
        <f>IFERROR(__xludf.DUMMYFUNCTION("""COMPUTED_VALUE"""),80.225226)</f>
        <v>80.225226</v>
      </c>
      <c r="F835" s="4">
        <f>IFERROR(__xludf.DUMMYFUNCTION("""COMPUTED_VALUE"""),805.0)</f>
        <v>805</v>
      </c>
      <c r="G835" s="4">
        <f>IFERROR(__xludf.DUMMYFUNCTION("""COMPUTED_VALUE"""),0.0)</f>
        <v>0</v>
      </c>
      <c r="H835" s="4"/>
      <c r="I835" s="4"/>
    </row>
    <row r="836">
      <c r="A836" s="4" t="str">
        <f>IFERROR(__xludf.DUMMYFUNCTION("""COMPUTED_VALUE"""),"cas_hmw")</f>
        <v>cas_hmw</v>
      </c>
      <c r="B836" s="5">
        <f>IFERROR(__xludf.DUMMYFUNCTION("""COMPUTED_VALUE"""),44737.0)</f>
        <v>44737</v>
      </c>
      <c r="C836" s="6">
        <f>IFERROR(__xludf.DUMMYFUNCTION("""COMPUTED_VALUE"""),0.7039699074084638)</f>
        <v>0.7039699074</v>
      </c>
      <c r="D836" s="4">
        <f>IFERROR(__xludf.DUMMYFUNCTION("""COMPUTED_VALUE"""),13.015451)</f>
        <v>13.015451</v>
      </c>
      <c r="E836" s="4">
        <f>IFERROR(__xludf.DUMMYFUNCTION("""COMPUTED_VALUE"""),80.225226)</f>
        <v>80.225226</v>
      </c>
      <c r="F836" s="4">
        <f>IFERROR(__xludf.DUMMYFUNCTION("""COMPUTED_VALUE"""),805.0)</f>
        <v>805</v>
      </c>
      <c r="G836" s="4">
        <f>IFERROR(__xludf.DUMMYFUNCTION("""COMPUTED_VALUE"""),0.0)</f>
        <v>0</v>
      </c>
      <c r="H836" s="4"/>
      <c r="I836" s="4"/>
    </row>
    <row r="837">
      <c r="A837" s="4" t="str">
        <f>IFERROR(__xludf.DUMMYFUNCTION("""COMPUTED_VALUE"""),"cas_hmw")</f>
        <v>cas_hmw</v>
      </c>
      <c r="B837" s="5">
        <f>IFERROR(__xludf.DUMMYFUNCTION("""COMPUTED_VALUE"""),44737.0)</f>
        <v>44737</v>
      </c>
      <c r="C837" s="6">
        <f>IFERROR(__xludf.DUMMYFUNCTION("""COMPUTED_VALUE"""),0.7041550925932825)</f>
        <v>0.7041550926</v>
      </c>
      <c r="D837" s="4">
        <f>IFERROR(__xludf.DUMMYFUNCTION("""COMPUTED_VALUE"""),13.015465)</f>
        <v>13.015465</v>
      </c>
      <c r="E837" s="4">
        <f>IFERROR(__xludf.DUMMYFUNCTION("""COMPUTED_VALUE"""),80.225339)</f>
        <v>80.225339</v>
      </c>
      <c r="F837" s="4">
        <f>IFERROR(__xludf.DUMMYFUNCTION("""COMPUTED_VALUE"""),805.0)</f>
        <v>805</v>
      </c>
      <c r="G837" s="4">
        <f>IFERROR(__xludf.DUMMYFUNCTION("""COMPUTED_VALUE"""),6.0)</f>
        <v>6</v>
      </c>
      <c r="H837" s="4"/>
      <c r="I837" s="4"/>
    </row>
    <row r="838">
      <c r="A838" s="4" t="str">
        <f>IFERROR(__xludf.DUMMYFUNCTION("""COMPUTED_VALUE"""),"cas_hmw")</f>
        <v>cas_hmw</v>
      </c>
      <c r="B838" s="5">
        <f>IFERROR(__xludf.DUMMYFUNCTION("""COMPUTED_VALUE"""),44737.0)</f>
        <v>44737</v>
      </c>
      <c r="C838" s="6">
        <f>IFERROR(__xludf.DUMMYFUNCTION("""COMPUTED_VALUE"""),0.7048726851862739)</f>
        <v>0.7048726852</v>
      </c>
      <c r="D838" s="4">
        <f>IFERROR(__xludf.DUMMYFUNCTION("""COMPUTED_VALUE"""),13.026468)</f>
        <v>13.026468</v>
      </c>
      <c r="E838" s="4">
        <f>IFERROR(__xludf.DUMMYFUNCTION("""COMPUTED_VALUE"""),80.232622)</f>
        <v>80.232622</v>
      </c>
      <c r="F838" s="4">
        <f>IFERROR(__xludf.DUMMYFUNCTION("""COMPUTED_VALUE"""),5339.0)</f>
        <v>5339</v>
      </c>
      <c r="G838" s="4">
        <f>IFERROR(__xludf.DUMMYFUNCTION("""COMPUTED_VALUE"""),0.0)</f>
        <v>0</v>
      </c>
      <c r="H838" s="4"/>
      <c r="I838" s="4"/>
    </row>
    <row r="839">
      <c r="A839" s="4" t="str">
        <f>IFERROR(__xludf.DUMMYFUNCTION("""COMPUTED_VALUE"""),"cas_hmw")</f>
        <v>cas_hmw</v>
      </c>
      <c r="B839" s="5">
        <f>IFERROR(__xludf.DUMMYFUNCTION("""COMPUTED_VALUE"""),44737.0)</f>
        <v>44737</v>
      </c>
      <c r="C839" s="6">
        <f>IFERROR(__xludf.DUMMYFUNCTION("""COMPUTED_VALUE"""),0.7100925925915362)</f>
        <v>0.7100925926</v>
      </c>
      <c r="D839" s="4">
        <f>IFERROR(__xludf.DUMMYFUNCTION("""COMPUTED_VALUE"""),13.008019)</f>
        <v>13.008019</v>
      </c>
      <c r="E839" s="4">
        <f>IFERROR(__xludf.DUMMYFUNCTION("""COMPUTED_VALUE"""),80.234441)</f>
        <v>80.234441</v>
      </c>
      <c r="F839" s="4">
        <f>IFERROR(__xludf.DUMMYFUNCTION("""COMPUTED_VALUE"""),805.0)</f>
        <v>805</v>
      </c>
      <c r="G839" s="4">
        <f>IFERROR(__xludf.DUMMYFUNCTION("""COMPUTED_VALUE"""),0.0)</f>
        <v>0</v>
      </c>
      <c r="H839" s="4"/>
      <c r="I839" s="4"/>
    </row>
    <row r="840">
      <c r="A840" s="4" t="str">
        <f>IFERROR(__xludf.DUMMYFUNCTION("""COMPUTED_VALUE"""),"cas_hmw")</f>
        <v>cas_hmw</v>
      </c>
      <c r="B840" s="5">
        <f>IFERROR(__xludf.DUMMYFUNCTION("""COMPUTED_VALUE"""),44737.0)</f>
        <v>44737</v>
      </c>
      <c r="C840" s="6">
        <f>IFERROR(__xludf.DUMMYFUNCTION("""COMPUTED_VALUE"""),0.7101041666683159)</f>
        <v>0.7101041667</v>
      </c>
      <c r="D840" s="4">
        <f>IFERROR(__xludf.DUMMYFUNCTION("""COMPUTED_VALUE"""),13.008019)</f>
        <v>13.008019</v>
      </c>
      <c r="E840" s="4">
        <f>IFERROR(__xludf.DUMMYFUNCTION("""COMPUTED_VALUE"""),80.234441)</f>
        <v>80.234441</v>
      </c>
      <c r="F840" s="4">
        <f>IFERROR(__xludf.DUMMYFUNCTION("""COMPUTED_VALUE"""),805.0)</f>
        <v>805</v>
      </c>
      <c r="G840" s="4">
        <f>IFERROR(__xludf.DUMMYFUNCTION("""COMPUTED_VALUE"""),0.0)</f>
        <v>0</v>
      </c>
      <c r="H840" s="4"/>
      <c r="I840" s="4"/>
    </row>
    <row r="841">
      <c r="A841" s="4" t="str">
        <f>IFERROR(__xludf.DUMMYFUNCTION("""COMPUTED_VALUE"""),"cas_hmw")</f>
        <v>cas_hmw</v>
      </c>
      <c r="B841" s="5">
        <f>IFERROR(__xludf.DUMMYFUNCTION("""COMPUTED_VALUE"""),44737.0)</f>
        <v>44737</v>
      </c>
      <c r="C841" s="6">
        <f>IFERROR(__xludf.DUMMYFUNCTION("""COMPUTED_VALUE"""),0.7122800925935735)</f>
        <v>0.7122800926</v>
      </c>
      <c r="D841" s="4">
        <f>IFERROR(__xludf.DUMMYFUNCTION("""COMPUTED_VALUE"""),13.045133)</f>
        <v>13.045133</v>
      </c>
      <c r="E841" s="4">
        <f>IFERROR(__xludf.DUMMYFUNCTION("""COMPUTED_VALUE"""),80.248006)</f>
        <v>80.248006</v>
      </c>
      <c r="F841" s="4">
        <f>IFERROR(__xludf.DUMMYFUNCTION("""COMPUTED_VALUE"""),5339.0)</f>
        <v>5339</v>
      </c>
      <c r="G841" s="4">
        <f>IFERROR(__xludf.DUMMYFUNCTION("""COMPUTED_VALUE"""),16.0)</f>
        <v>16</v>
      </c>
      <c r="H841" s="4"/>
      <c r="I841" s="4"/>
    </row>
    <row r="842">
      <c r="A842" s="4" t="str">
        <f>IFERROR(__xludf.DUMMYFUNCTION("""COMPUTED_VALUE"""),"cas_hmw")</f>
        <v>cas_hmw</v>
      </c>
      <c r="B842" s="5">
        <f>IFERROR(__xludf.DUMMYFUNCTION("""COMPUTED_VALUE"""),44737.0)</f>
        <v>44737</v>
      </c>
      <c r="C842" s="6">
        <f>IFERROR(__xludf.DUMMYFUNCTION("""COMPUTED_VALUE"""),0.7123611111128412)</f>
        <v>0.7123611111</v>
      </c>
      <c r="D842" s="4">
        <f>IFERROR(__xludf.DUMMYFUNCTION("""COMPUTED_VALUE"""),13.045133)</f>
        <v>13.045133</v>
      </c>
      <c r="E842" s="4">
        <f>IFERROR(__xludf.DUMMYFUNCTION("""COMPUTED_VALUE"""),80.248006)</f>
        <v>80.248006</v>
      </c>
      <c r="F842" s="4">
        <f>IFERROR(__xludf.DUMMYFUNCTION("""COMPUTED_VALUE"""),5339.0)</f>
        <v>5339</v>
      </c>
      <c r="G842" s="4">
        <f>IFERROR(__xludf.DUMMYFUNCTION("""COMPUTED_VALUE"""),16.0)</f>
        <v>16</v>
      </c>
      <c r="H842" s="4"/>
      <c r="I842" s="4"/>
    </row>
    <row r="843">
      <c r="A843" s="4" t="str">
        <f>IFERROR(__xludf.DUMMYFUNCTION("""COMPUTED_VALUE"""),"cas_hmw")</f>
        <v>cas_hmw</v>
      </c>
      <c r="B843" s="5">
        <f>IFERROR(__xludf.DUMMYFUNCTION("""COMPUTED_VALUE"""),44737.0)</f>
        <v>44737</v>
      </c>
      <c r="C843" s="6">
        <f>IFERROR(__xludf.DUMMYFUNCTION("""COMPUTED_VALUE"""),0.7131944444445253)</f>
        <v>0.7131944444</v>
      </c>
      <c r="D843" s="4">
        <f>IFERROR(__xludf.DUMMYFUNCTION("""COMPUTED_VALUE"""),13.006759)</f>
        <v>13.006759</v>
      </c>
      <c r="E843" s="4">
        <f>IFERROR(__xludf.DUMMYFUNCTION("""COMPUTED_VALUE"""),80.247702)</f>
        <v>80.247702</v>
      </c>
      <c r="F843" s="4">
        <f>IFERROR(__xludf.DUMMYFUNCTION("""COMPUTED_VALUE"""),805.0)</f>
        <v>805</v>
      </c>
      <c r="G843" s="4">
        <f>IFERROR(__xludf.DUMMYFUNCTION("""COMPUTED_VALUE"""),20.0)</f>
        <v>20</v>
      </c>
      <c r="H843" s="4"/>
      <c r="I843" s="4"/>
    </row>
    <row r="844">
      <c r="A844" s="4" t="str">
        <f>IFERROR(__xludf.DUMMYFUNCTION("""COMPUTED_VALUE"""),"cas_hmw")</f>
        <v>cas_hmw</v>
      </c>
      <c r="B844" s="5">
        <f>IFERROR(__xludf.DUMMYFUNCTION("""COMPUTED_VALUE"""),44737.0)</f>
        <v>44737</v>
      </c>
      <c r="C844" s="6">
        <f>IFERROR(__xludf.DUMMYFUNCTION("""COMPUTED_VALUE"""),0.7147453703692008)</f>
        <v>0.7147453704</v>
      </c>
      <c r="D844" s="4">
        <f>IFERROR(__xludf.DUMMYFUNCTION("""COMPUTED_VALUE"""),13.006949)</f>
        <v>13.006949</v>
      </c>
      <c r="E844" s="4">
        <f>IFERROR(__xludf.DUMMYFUNCTION("""COMPUTED_VALUE"""),80.251108)</f>
        <v>80.251108</v>
      </c>
      <c r="F844" s="4">
        <f>IFERROR(__xludf.DUMMYFUNCTION("""COMPUTED_VALUE"""),805.0)</f>
        <v>805</v>
      </c>
      <c r="G844" s="4">
        <f>IFERROR(__xludf.DUMMYFUNCTION("""COMPUTED_VALUE"""),6.0)</f>
        <v>6</v>
      </c>
      <c r="H844" s="4"/>
      <c r="I844" s="4"/>
    </row>
    <row r="845">
      <c r="A845" s="4" t="str">
        <f>IFERROR(__xludf.DUMMYFUNCTION("""COMPUTED_VALUE"""),"cas_hmw")</f>
        <v>cas_hmw</v>
      </c>
      <c r="B845" s="5">
        <f>IFERROR(__xludf.DUMMYFUNCTION("""COMPUTED_VALUE"""),44737.0)</f>
        <v>44737</v>
      </c>
      <c r="C845" s="6">
        <f>IFERROR(__xludf.DUMMYFUNCTION("""COMPUTED_VALUE"""),0.7149768518502242)</f>
        <v>0.7149768519</v>
      </c>
      <c r="D845" s="4">
        <f>IFERROR(__xludf.DUMMYFUNCTION("""COMPUTED_VALUE"""),13.006907)</f>
        <v>13.006907</v>
      </c>
      <c r="E845" s="4">
        <f>IFERROR(__xludf.DUMMYFUNCTION("""COMPUTED_VALUE"""),80.251371)</f>
        <v>80.251371</v>
      </c>
      <c r="F845" s="4">
        <f>IFERROR(__xludf.DUMMYFUNCTION("""COMPUTED_VALUE"""),805.0)</f>
        <v>805</v>
      </c>
      <c r="G845" s="4">
        <f>IFERROR(__xludf.DUMMYFUNCTION("""COMPUTED_VALUE"""),11.0)</f>
        <v>11</v>
      </c>
      <c r="H845" s="4"/>
      <c r="I845" s="4"/>
    </row>
    <row r="846">
      <c r="A846" s="4" t="str">
        <f>IFERROR(__xludf.DUMMYFUNCTION("""COMPUTED_VALUE"""),"cas_hmw")</f>
        <v>cas_hmw</v>
      </c>
      <c r="B846" s="5">
        <f>IFERROR(__xludf.DUMMYFUNCTION("""COMPUTED_VALUE"""),44737.0)</f>
        <v>44737</v>
      </c>
      <c r="C846" s="6">
        <f>IFERROR(__xludf.DUMMYFUNCTION("""COMPUTED_VALUE"""),0.72425925925927)</f>
        <v>0.7242592593</v>
      </c>
      <c r="D846" s="4">
        <f>IFERROR(__xludf.DUMMYFUNCTION("""COMPUTED_VALUE"""),13.065509)</f>
        <v>13.065509</v>
      </c>
      <c r="E846" s="4">
        <f>IFERROR(__xludf.DUMMYFUNCTION("""COMPUTED_VALUE"""),80.273797)</f>
        <v>80.273797</v>
      </c>
      <c r="F846" s="4">
        <f>IFERROR(__xludf.DUMMYFUNCTION("""COMPUTED_VALUE"""),5339.0)</f>
        <v>5339</v>
      </c>
      <c r="G846" s="4">
        <f>IFERROR(__xludf.DUMMYFUNCTION("""COMPUTED_VALUE"""),12.0)</f>
        <v>12</v>
      </c>
      <c r="H846" s="4"/>
      <c r="I846" s="4"/>
    </row>
    <row r="847">
      <c r="A847" s="4" t="str">
        <f>IFERROR(__xludf.DUMMYFUNCTION("""COMPUTED_VALUE"""),"cas_hmw")</f>
        <v>cas_hmw</v>
      </c>
      <c r="B847" s="5">
        <f>IFERROR(__xludf.DUMMYFUNCTION("""COMPUTED_VALUE"""),44737.0)</f>
        <v>44737</v>
      </c>
      <c r="C847" s="6">
        <f>IFERROR(__xludf.DUMMYFUNCTION("""COMPUTED_VALUE"""),0.7242824074091914)</f>
        <v>0.7242824074</v>
      </c>
      <c r="D847" s="4">
        <f>IFERROR(__xludf.DUMMYFUNCTION("""COMPUTED_VALUE"""),13.065509)</f>
        <v>13.065509</v>
      </c>
      <c r="E847" s="4">
        <f>IFERROR(__xludf.DUMMYFUNCTION("""COMPUTED_VALUE"""),80.273797)</f>
        <v>80.273797</v>
      </c>
      <c r="F847" s="4">
        <f>IFERROR(__xludf.DUMMYFUNCTION("""COMPUTED_VALUE"""),5339.0)</f>
        <v>5339</v>
      </c>
      <c r="G847" s="4">
        <f>IFERROR(__xludf.DUMMYFUNCTION("""COMPUTED_VALUE"""),12.0)</f>
        <v>12</v>
      </c>
      <c r="H847" s="4"/>
      <c r="I847" s="4"/>
    </row>
    <row r="848">
      <c r="A848" s="4" t="str">
        <f>IFERROR(__xludf.DUMMYFUNCTION("""COMPUTED_VALUE"""),"cas_hmw")</f>
        <v>cas_hmw</v>
      </c>
      <c r="B848" s="5">
        <f>IFERROR(__xludf.DUMMYFUNCTION("""COMPUTED_VALUE"""),44737.0)</f>
        <v>44737</v>
      </c>
      <c r="C848" s="6">
        <f>IFERROR(__xludf.DUMMYFUNCTION("""COMPUTED_VALUE"""),0.7243750000016007)</f>
        <v>0.724375</v>
      </c>
      <c r="D848" s="4">
        <f>IFERROR(__xludf.DUMMYFUNCTION("""COMPUTED_VALUE"""),13.065509)</f>
        <v>13.065509</v>
      </c>
      <c r="E848" s="4">
        <f>IFERROR(__xludf.DUMMYFUNCTION("""COMPUTED_VALUE"""),80.273797)</f>
        <v>80.273797</v>
      </c>
      <c r="F848" s="4">
        <f>IFERROR(__xludf.DUMMYFUNCTION("""COMPUTED_VALUE"""),5339.0)</f>
        <v>5339</v>
      </c>
      <c r="G848" s="4">
        <f>IFERROR(__xludf.DUMMYFUNCTION("""COMPUTED_VALUE"""),12.0)</f>
        <v>12</v>
      </c>
      <c r="H848" s="4"/>
      <c r="I848" s="4"/>
    </row>
    <row r="849">
      <c r="A849" s="4" t="str">
        <f>IFERROR(__xludf.DUMMYFUNCTION("""COMPUTED_VALUE"""),"cas_hmw")</f>
        <v>cas_hmw</v>
      </c>
      <c r="B849" s="5">
        <f>IFERROR(__xludf.DUMMYFUNCTION("""COMPUTED_VALUE"""),44737.0)</f>
        <v>44737</v>
      </c>
      <c r="C849" s="6">
        <f>IFERROR(__xludf.DUMMYFUNCTION("""COMPUTED_VALUE"""),0.7313657407394203)</f>
        <v>0.7313657407</v>
      </c>
      <c r="D849" s="4">
        <f>IFERROR(__xludf.DUMMYFUNCTION("""COMPUTED_VALUE"""),13.047975)</f>
        <v>13.047975</v>
      </c>
      <c r="E849" s="4">
        <f>IFERROR(__xludf.DUMMYFUNCTION("""COMPUTED_VALUE"""),80.265972)</f>
        <v>80.265972</v>
      </c>
      <c r="F849" s="4">
        <f>IFERROR(__xludf.DUMMYFUNCTION("""COMPUTED_VALUE"""),805.0)</f>
        <v>805</v>
      </c>
      <c r="G849" s="4">
        <f>IFERROR(__xludf.DUMMYFUNCTION("""COMPUTED_VALUE"""),18.0)</f>
        <v>18</v>
      </c>
      <c r="H849" s="4"/>
      <c r="I849" s="4"/>
    </row>
    <row r="850">
      <c r="A850" s="4" t="str">
        <f>IFERROR(__xludf.DUMMYFUNCTION("""COMPUTED_VALUE"""),"cas_hmw")</f>
        <v>cas_hmw</v>
      </c>
      <c r="B850" s="5">
        <f>IFERROR(__xludf.DUMMYFUNCTION("""COMPUTED_VALUE"""),44737.0)</f>
        <v>44737</v>
      </c>
      <c r="C850" s="6">
        <f>IFERROR(__xludf.DUMMYFUNCTION("""COMPUTED_VALUE"""),0.7313657407394203)</f>
        <v>0.7313657407</v>
      </c>
      <c r="D850" s="4">
        <f>IFERROR(__xludf.DUMMYFUNCTION("""COMPUTED_VALUE"""),13.047975)</f>
        <v>13.047975</v>
      </c>
      <c r="E850" s="4">
        <f>IFERROR(__xludf.DUMMYFUNCTION("""COMPUTED_VALUE"""),80.265972)</f>
        <v>80.265972</v>
      </c>
      <c r="F850" s="4">
        <f>IFERROR(__xludf.DUMMYFUNCTION("""COMPUTED_VALUE"""),805.0)</f>
        <v>805</v>
      </c>
      <c r="G850" s="4">
        <f>IFERROR(__xludf.DUMMYFUNCTION("""COMPUTED_VALUE"""),18.0)</f>
        <v>18</v>
      </c>
      <c r="H850" s="4"/>
      <c r="I850" s="4"/>
    </row>
    <row r="851">
      <c r="A851" s="4" t="str">
        <f>IFERROR(__xludf.DUMMYFUNCTION("""COMPUTED_VALUE"""),"cas_hmw")</f>
        <v>cas_hmw</v>
      </c>
      <c r="B851" s="5">
        <f>IFERROR(__xludf.DUMMYFUNCTION("""COMPUTED_VALUE"""),44737.0)</f>
        <v>44737</v>
      </c>
      <c r="C851" s="6">
        <f>IFERROR(__xludf.DUMMYFUNCTION("""COMPUTED_VALUE"""),0.7313888888893416)</f>
        <v>0.7313888889</v>
      </c>
      <c r="D851" s="4">
        <f>IFERROR(__xludf.DUMMYFUNCTION("""COMPUTED_VALUE"""),13.047975)</f>
        <v>13.047975</v>
      </c>
      <c r="E851" s="4">
        <f>IFERROR(__xludf.DUMMYFUNCTION("""COMPUTED_VALUE"""),80.265972)</f>
        <v>80.265972</v>
      </c>
      <c r="F851" s="4">
        <f>IFERROR(__xludf.DUMMYFUNCTION("""COMPUTED_VALUE"""),805.0)</f>
        <v>805</v>
      </c>
      <c r="G851" s="4">
        <f>IFERROR(__xludf.DUMMYFUNCTION("""COMPUTED_VALUE"""),18.0)</f>
        <v>18</v>
      </c>
      <c r="H851" s="4"/>
      <c r="I851" s="4"/>
    </row>
    <row r="852">
      <c r="A852" s="4" t="str">
        <f>IFERROR(__xludf.DUMMYFUNCTION("""COMPUTED_VALUE"""),"cas_hmw")</f>
        <v>cas_hmw</v>
      </c>
      <c r="B852" s="5">
        <f>IFERROR(__xludf.DUMMYFUNCTION("""COMPUTED_VALUE"""),44737.0)</f>
        <v>44737</v>
      </c>
      <c r="C852" s="6">
        <f>IFERROR(__xludf.DUMMYFUNCTION("""COMPUTED_VALUE"""),0.7336574074070086)</f>
        <v>0.7336574074</v>
      </c>
      <c r="D852" s="4">
        <f>IFERROR(__xludf.DUMMYFUNCTION("""COMPUTED_VALUE"""),13.061594)</f>
        <v>13.061594</v>
      </c>
      <c r="E852" s="4">
        <f>IFERROR(__xludf.DUMMYFUNCTION("""COMPUTED_VALUE"""),80.246748)</f>
        <v>80.246748</v>
      </c>
      <c r="F852" s="4">
        <f>IFERROR(__xludf.DUMMYFUNCTION("""COMPUTED_VALUE"""),5339.0)</f>
        <v>5339</v>
      </c>
      <c r="G852" s="4">
        <f>IFERROR(__xludf.DUMMYFUNCTION("""COMPUTED_VALUE"""),20.0)</f>
        <v>20</v>
      </c>
      <c r="H852" s="4"/>
      <c r="I852" s="4"/>
    </row>
    <row r="853">
      <c r="A853" s="4" t="str">
        <f>IFERROR(__xludf.DUMMYFUNCTION("""COMPUTED_VALUE"""),"cas_hmw")</f>
        <v>cas_hmw</v>
      </c>
      <c r="B853" s="5">
        <f>IFERROR(__xludf.DUMMYFUNCTION("""COMPUTED_VALUE"""),44737.0)</f>
        <v>44737</v>
      </c>
      <c r="C853" s="6">
        <f>IFERROR(__xludf.DUMMYFUNCTION("""COMPUTED_VALUE"""),0.7417013888880319)</f>
        <v>0.7417013889</v>
      </c>
      <c r="D853" s="4">
        <f>IFERROR(__xludf.DUMMYFUNCTION("""COMPUTED_VALUE"""),13.07133)</f>
        <v>13.07133</v>
      </c>
      <c r="E853" s="4">
        <f>IFERROR(__xludf.DUMMYFUNCTION("""COMPUTED_VALUE"""),80.258878)</f>
        <v>80.258878</v>
      </c>
      <c r="F853" s="4">
        <f>IFERROR(__xludf.DUMMYFUNCTION("""COMPUTED_VALUE"""),805.0)</f>
        <v>805</v>
      </c>
      <c r="G853" s="4">
        <f>IFERROR(__xludf.DUMMYFUNCTION("""COMPUTED_VALUE"""),17.0)</f>
        <v>17</v>
      </c>
      <c r="H853" s="4"/>
      <c r="I853" s="4"/>
    </row>
    <row r="854">
      <c r="A854" s="4" t="str">
        <f>IFERROR(__xludf.DUMMYFUNCTION("""COMPUTED_VALUE"""),"cas_hmw")</f>
        <v>cas_hmw</v>
      </c>
      <c r="B854" s="5">
        <f>IFERROR(__xludf.DUMMYFUNCTION("""COMPUTED_VALUE"""),44737.0)</f>
        <v>44737</v>
      </c>
      <c r="C854" s="6">
        <f>IFERROR(__xludf.DUMMYFUNCTION("""COMPUTED_VALUE"""),0.7439583333325572)</f>
        <v>0.7439583333</v>
      </c>
      <c r="D854" s="4">
        <f>IFERROR(__xludf.DUMMYFUNCTION("""COMPUTED_VALUE"""),13.080579)</f>
        <v>13.080579</v>
      </c>
      <c r="E854" s="4">
        <f>IFERROR(__xludf.DUMMYFUNCTION("""COMPUTED_VALUE"""),80.265064)</f>
        <v>80.265064</v>
      </c>
      <c r="F854" s="4">
        <f>IFERROR(__xludf.DUMMYFUNCTION("""COMPUTED_VALUE"""),5339.0)</f>
        <v>5339</v>
      </c>
      <c r="G854" s="4">
        <f>IFERROR(__xludf.DUMMYFUNCTION("""COMPUTED_VALUE"""),14.0)</f>
        <v>14</v>
      </c>
      <c r="H854" s="4"/>
      <c r="I854" s="4"/>
    </row>
    <row r="855">
      <c r="A855" s="4" t="str">
        <f>IFERROR(__xludf.DUMMYFUNCTION("""COMPUTED_VALUE"""),"cas_hmw")</f>
        <v>cas_hmw</v>
      </c>
      <c r="B855" s="5">
        <f>IFERROR(__xludf.DUMMYFUNCTION("""COMPUTED_VALUE"""),44737.0)</f>
        <v>44737</v>
      </c>
      <c r="C855" s="6">
        <f>IFERROR(__xludf.DUMMYFUNCTION("""COMPUTED_VALUE"""),0.7439814814824786)</f>
        <v>0.7439814815</v>
      </c>
      <c r="D855" s="4">
        <f>IFERROR(__xludf.DUMMYFUNCTION("""COMPUTED_VALUE"""),13.080579)</f>
        <v>13.080579</v>
      </c>
      <c r="E855" s="4">
        <f>IFERROR(__xludf.DUMMYFUNCTION("""COMPUTED_VALUE"""),80.265064)</f>
        <v>80.265064</v>
      </c>
      <c r="F855" s="4">
        <f>IFERROR(__xludf.DUMMYFUNCTION("""COMPUTED_VALUE"""),5339.0)</f>
        <v>5339</v>
      </c>
      <c r="G855" s="4">
        <f>IFERROR(__xludf.DUMMYFUNCTION("""COMPUTED_VALUE"""),14.0)</f>
        <v>14</v>
      </c>
      <c r="H855" s="4"/>
      <c r="I855" s="4"/>
    </row>
    <row r="856">
      <c r="A856" s="4" t="str">
        <f>IFERROR(__xludf.DUMMYFUNCTION("""COMPUTED_VALUE"""),"cas_hmw")</f>
        <v>cas_hmw</v>
      </c>
      <c r="B856" s="5">
        <f>IFERROR(__xludf.DUMMYFUNCTION("""COMPUTED_VALUE"""),44737.0)</f>
        <v>44737</v>
      </c>
      <c r="C856" s="6">
        <f>IFERROR(__xludf.DUMMYFUNCTION("""COMPUTED_VALUE"""),0.7439814814824786)</f>
        <v>0.7439814815</v>
      </c>
      <c r="D856" s="4">
        <f>IFERROR(__xludf.DUMMYFUNCTION("""COMPUTED_VALUE"""),13.080579)</f>
        <v>13.080579</v>
      </c>
      <c r="E856" s="4">
        <f>IFERROR(__xludf.DUMMYFUNCTION("""COMPUTED_VALUE"""),80.265064)</f>
        <v>80.265064</v>
      </c>
      <c r="F856" s="4">
        <f>IFERROR(__xludf.DUMMYFUNCTION("""COMPUTED_VALUE"""),5339.0)</f>
        <v>5339</v>
      </c>
      <c r="G856" s="4">
        <f>IFERROR(__xludf.DUMMYFUNCTION("""COMPUTED_VALUE"""),14.0)</f>
        <v>14</v>
      </c>
      <c r="H856" s="4"/>
      <c r="I856" s="4"/>
    </row>
    <row r="857">
      <c r="A857" s="4" t="str">
        <f>IFERROR(__xludf.DUMMYFUNCTION("""COMPUTED_VALUE"""),"cas_hmw")</f>
        <v>cas_hmw</v>
      </c>
      <c r="B857" s="5">
        <f>IFERROR(__xludf.DUMMYFUNCTION("""COMPUTED_VALUE"""),44737.0)</f>
        <v>44737</v>
      </c>
      <c r="C857" s="6">
        <f>IFERROR(__xludf.DUMMYFUNCTION("""COMPUTED_VALUE"""),0.7446527777792653)</f>
        <v>0.7446527778</v>
      </c>
      <c r="D857" s="4">
        <f>IFERROR(__xludf.DUMMYFUNCTION("""COMPUTED_VALUE"""),13.067643)</f>
        <v>13.067643</v>
      </c>
      <c r="E857" s="4">
        <f>IFERROR(__xludf.DUMMYFUNCTION("""COMPUTED_VALUE"""),80.249418)</f>
        <v>80.249418</v>
      </c>
      <c r="F857" s="4">
        <f>IFERROR(__xludf.DUMMYFUNCTION("""COMPUTED_VALUE"""),805.0)</f>
        <v>805</v>
      </c>
      <c r="G857" s="4">
        <f>IFERROR(__xludf.DUMMYFUNCTION("""COMPUTED_VALUE"""),2.0)</f>
        <v>2</v>
      </c>
      <c r="H857" s="4"/>
      <c r="I857" s="4"/>
    </row>
    <row r="858">
      <c r="A858" s="4" t="str">
        <f>IFERROR(__xludf.DUMMYFUNCTION("""COMPUTED_VALUE"""),"cas_hmw")</f>
        <v>cas_hmw</v>
      </c>
      <c r="B858" s="5">
        <f>IFERROR(__xludf.DUMMYFUNCTION("""COMPUTED_VALUE"""),44737.0)</f>
        <v>44737</v>
      </c>
      <c r="C858" s="6">
        <f>IFERROR(__xludf.DUMMYFUNCTION("""COMPUTED_VALUE"""),0.8168287037042319)</f>
        <v>0.8168287037</v>
      </c>
      <c r="D858" s="4">
        <f>IFERROR(__xludf.DUMMYFUNCTION("""COMPUTED_VALUE"""),13.133742)</f>
        <v>13.133742</v>
      </c>
      <c r="E858" s="4">
        <f>IFERROR(__xludf.DUMMYFUNCTION("""COMPUTED_VALUE"""),80.297142)</f>
        <v>80.297142</v>
      </c>
      <c r="F858" s="4">
        <f>IFERROR(__xludf.DUMMYFUNCTION("""COMPUTED_VALUE"""),5339.0)</f>
        <v>5339</v>
      </c>
      <c r="G858" s="4">
        <f>IFERROR(__xludf.DUMMYFUNCTION("""COMPUTED_VALUE"""),14.0)</f>
        <v>14</v>
      </c>
      <c r="H858" s="4"/>
      <c r="I858" s="4"/>
    </row>
    <row r="859">
      <c r="A859" s="4" t="str">
        <f>IFERROR(__xludf.DUMMYFUNCTION("""COMPUTED_VALUE"""),"cas_hmw")</f>
        <v>cas_hmw</v>
      </c>
      <c r="B859" s="5">
        <f>IFERROR(__xludf.DUMMYFUNCTION("""COMPUTED_VALUE"""),44737.0)</f>
        <v>44737</v>
      </c>
      <c r="C859" s="6">
        <f>IFERROR(__xludf.DUMMYFUNCTION("""COMPUTED_VALUE"""),0.8168634259272949)</f>
        <v>0.8168634259</v>
      </c>
      <c r="D859" s="4">
        <f>IFERROR(__xludf.DUMMYFUNCTION("""COMPUTED_VALUE"""),13.133742)</f>
        <v>13.133742</v>
      </c>
      <c r="E859" s="4">
        <f>IFERROR(__xludf.DUMMYFUNCTION("""COMPUTED_VALUE"""),80.297142)</f>
        <v>80.297142</v>
      </c>
      <c r="F859" s="4">
        <f>IFERROR(__xludf.DUMMYFUNCTION("""COMPUTED_VALUE"""),5339.0)</f>
        <v>5339</v>
      </c>
      <c r="G859" s="4">
        <f>IFERROR(__xludf.DUMMYFUNCTION("""COMPUTED_VALUE"""),14.0)</f>
        <v>14</v>
      </c>
      <c r="H859" s="4"/>
      <c r="I859" s="4"/>
    </row>
    <row r="860">
      <c r="A860" s="4" t="str">
        <f>IFERROR(__xludf.DUMMYFUNCTION("""COMPUTED_VALUE"""),"cas_hmw")</f>
        <v>cas_hmw</v>
      </c>
      <c r="B860" s="5">
        <f>IFERROR(__xludf.DUMMYFUNCTION("""COMPUTED_VALUE"""),44737.0)</f>
        <v>44737</v>
      </c>
      <c r="C860" s="6">
        <f>IFERROR(__xludf.DUMMYFUNCTION("""COMPUTED_VALUE"""),0.8184606481481751)</f>
        <v>0.8184606481</v>
      </c>
      <c r="D860" s="4">
        <f>IFERROR(__xludf.DUMMYFUNCTION("""COMPUTED_VALUE"""),13.125258)</f>
        <v>13.125258</v>
      </c>
      <c r="E860" s="4">
        <f>IFERROR(__xludf.DUMMYFUNCTION("""COMPUTED_VALUE"""),80.2947)</f>
        <v>80.2947</v>
      </c>
      <c r="F860" s="4">
        <f>IFERROR(__xludf.DUMMYFUNCTION("""COMPUTED_VALUE"""),5339.0)</f>
        <v>5339</v>
      </c>
      <c r="G860" s="4">
        <f>IFERROR(__xludf.DUMMYFUNCTION("""COMPUTED_VALUE"""),15.0)</f>
        <v>15</v>
      </c>
      <c r="H860" s="4"/>
      <c r="I860" s="4"/>
    </row>
    <row r="861">
      <c r="A861" s="4" t="str">
        <f>IFERROR(__xludf.DUMMYFUNCTION("""COMPUTED_VALUE"""),"cas_hmw")</f>
        <v>cas_hmw</v>
      </c>
      <c r="B861" s="5">
        <f>IFERROR(__xludf.DUMMYFUNCTION("""COMPUTED_VALUE"""),44737.0)</f>
        <v>44737</v>
      </c>
      <c r="C861" s="6">
        <f>IFERROR(__xludf.DUMMYFUNCTION("""COMPUTED_VALUE"""),0.8184722222213168)</f>
        <v>0.8184722222</v>
      </c>
      <c r="D861" s="4">
        <f>IFERROR(__xludf.DUMMYFUNCTION("""COMPUTED_VALUE"""),13.125258)</f>
        <v>13.125258</v>
      </c>
      <c r="E861" s="4">
        <f>IFERROR(__xludf.DUMMYFUNCTION("""COMPUTED_VALUE"""),80.2947)</f>
        <v>80.2947</v>
      </c>
      <c r="F861" s="4">
        <f>IFERROR(__xludf.DUMMYFUNCTION("""COMPUTED_VALUE"""),5339.0)</f>
        <v>5339</v>
      </c>
      <c r="G861" s="4">
        <f>IFERROR(__xludf.DUMMYFUNCTION("""COMPUTED_VALUE"""),15.0)</f>
        <v>15</v>
      </c>
      <c r="H861" s="4"/>
      <c r="I861" s="4"/>
    </row>
    <row r="862">
      <c r="A862" s="4" t="str">
        <f>IFERROR(__xludf.DUMMYFUNCTION("""COMPUTED_VALUE"""),"cas_hmw")</f>
        <v>cas_hmw</v>
      </c>
      <c r="B862" s="5">
        <f>IFERROR(__xludf.DUMMYFUNCTION("""COMPUTED_VALUE"""),44737.0)</f>
        <v>44737</v>
      </c>
      <c r="C862" s="6">
        <f>IFERROR(__xludf.DUMMYFUNCTION("""COMPUTED_VALUE"""),0.822685185186856)</f>
        <v>0.8226851852</v>
      </c>
      <c r="D862" s="4">
        <f>IFERROR(__xludf.DUMMYFUNCTION("""COMPUTED_VALUE"""),13.114736)</f>
        <v>13.114736</v>
      </c>
      <c r="E862" s="4">
        <f>IFERROR(__xludf.DUMMYFUNCTION("""COMPUTED_VALUE"""),80.29257)</f>
        <v>80.29257</v>
      </c>
      <c r="F862" s="4">
        <f>IFERROR(__xludf.DUMMYFUNCTION("""COMPUTED_VALUE"""),5339.0)</f>
        <v>5339</v>
      </c>
      <c r="G862" s="4">
        <f>IFERROR(__xludf.DUMMYFUNCTION("""COMPUTED_VALUE"""),8.0)</f>
        <v>8</v>
      </c>
      <c r="H862" s="4"/>
      <c r="I862" s="4"/>
    </row>
    <row r="863">
      <c r="A863" s="4" t="str">
        <f>IFERROR(__xludf.DUMMYFUNCTION("""COMPUTED_VALUE"""),"cas_hmw")</f>
        <v>cas_hmw</v>
      </c>
      <c r="B863" s="5">
        <f>IFERROR(__xludf.DUMMYFUNCTION("""COMPUTED_VALUE"""),44737.0)</f>
        <v>44737</v>
      </c>
      <c r="C863" s="6">
        <f>IFERROR(__xludf.DUMMYFUNCTION("""COMPUTED_VALUE"""),0.8226967592599976)</f>
        <v>0.8226967593</v>
      </c>
      <c r="D863" s="4">
        <f>IFERROR(__xludf.DUMMYFUNCTION("""COMPUTED_VALUE"""),13.114736)</f>
        <v>13.114736</v>
      </c>
      <c r="E863" s="4">
        <f>IFERROR(__xludf.DUMMYFUNCTION("""COMPUTED_VALUE"""),80.29257)</f>
        <v>80.29257</v>
      </c>
      <c r="F863" s="4">
        <f>IFERROR(__xludf.DUMMYFUNCTION("""COMPUTED_VALUE"""),5339.0)</f>
        <v>5339</v>
      </c>
      <c r="G863" s="4">
        <f>IFERROR(__xludf.DUMMYFUNCTION("""COMPUTED_VALUE"""),8.0)</f>
        <v>8</v>
      </c>
      <c r="H863" s="4"/>
      <c r="I863" s="4"/>
    </row>
    <row r="864">
      <c r="A864" s="4" t="str">
        <f>IFERROR(__xludf.DUMMYFUNCTION("""COMPUTED_VALUE"""),"cas_hmw")</f>
        <v>cas_hmw</v>
      </c>
      <c r="B864" s="5">
        <f>IFERROR(__xludf.DUMMYFUNCTION("""COMPUTED_VALUE"""),44737.0)</f>
        <v>44737</v>
      </c>
      <c r="C864" s="6">
        <f>IFERROR(__xludf.DUMMYFUNCTION("""COMPUTED_VALUE"""),0.8257407407400024)</f>
        <v>0.8257407407</v>
      </c>
      <c r="D864" s="4">
        <f>IFERROR(__xludf.DUMMYFUNCTION("""COMPUTED_VALUE"""),13.106056)</f>
        <v>13.106056</v>
      </c>
      <c r="E864" s="4">
        <f>IFERROR(__xludf.DUMMYFUNCTION("""COMPUTED_VALUE"""),80.292543)</f>
        <v>80.292543</v>
      </c>
      <c r="F864" s="4">
        <f>IFERROR(__xludf.DUMMYFUNCTION("""COMPUTED_VALUE"""),5339.0)</f>
        <v>5339</v>
      </c>
      <c r="G864" s="4">
        <f>IFERROR(__xludf.DUMMYFUNCTION("""COMPUTED_VALUE"""),17.0)</f>
        <v>17</v>
      </c>
      <c r="H864" s="4"/>
      <c r="I864" s="4"/>
    </row>
    <row r="865">
      <c r="A865" s="4" t="str">
        <f>IFERROR(__xludf.DUMMYFUNCTION("""COMPUTED_VALUE"""),"cas_hmw")</f>
        <v>cas_hmw</v>
      </c>
      <c r="B865" s="5">
        <f>IFERROR(__xludf.DUMMYFUNCTION("""COMPUTED_VALUE"""),44737.0)</f>
        <v>44737</v>
      </c>
      <c r="C865" s="6">
        <f>IFERROR(__xludf.DUMMYFUNCTION("""COMPUTED_VALUE"""),0.8258101851861284)</f>
        <v>0.8258101852</v>
      </c>
      <c r="D865" s="4">
        <f>IFERROR(__xludf.DUMMYFUNCTION("""COMPUTED_VALUE"""),13.10599)</f>
        <v>13.10599</v>
      </c>
      <c r="E865" s="4">
        <f>IFERROR(__xludf.DUMMYFUNCTION("""COMPUTED_VALUE"""),80.293325)</f>
        <v>80.293325</v>
      </c>
      <c r="F865" s="4">
        <f>IFERROR(__xludf.DUMMYFUNCTION("""COMPUTED_VALUE"""),5339.0)</f>
        <v>5339</v>
      </c>
      <c r="G865" s="4">
        <f>IFERROR(__xludf.DUMMYFUNCTION("""COMPUTED_VALUE"""),18.0)</f>
        <v>18</v>
      </c>
      <c r="H865" s="4"/>
      <c r="I865" s="4"/>
    </row>
    <row r="866">
      <c r="A866" s="4" t="str">
        <f>IFERROR(__xludf.DUMMYFUNCTION("""COMPUTED_VALUE"""),"cas_hmw")</f>
        <v>cas_hmw</v>
      </c>
      <c r="B866" s="5">
        <f>IFERROR(__xludf.DUMMYFUNCTION("""COMPUTED_VALUE"""),44737.0)</f>
        <v>44737</v>
      </c>
      <c r="C866" s="6">
        <f>IFERROR(__xludf.DUMMYFUNCTION("""COMPUTED_VALUE"""),0.8382523148138716)</f>
        <v>0.8382523148</v>
      </c>
      <c r="D866" s="4">
        <f>IFERROR(__xludf.DUMMYFUNCTION("""COMPUTED_VALUE"""),13.062105)</f>
        <v>13.062105</v>
      </c>
      <c r="E866" s="4">
        <f>IFERROR(__xludf.DUMMYFUNCTION("""COMPUTED_VALUE"""),80.263221)</f>
        <v>80.263221</v>
      </c>
      <c r="F866" s="4">
        <f>IFERROR(__xludf.DUMMYFUNCTION("""COMPUTED_VALUE"""),5339.0)</f>
        <v>5339</v>
      </c>
      <c r="G866" s="4">
        <f>IFERROR(__xludf.DUMMYFUNCTION("""COMPUTED_VALUE"""),19.0)</f>
        <v>19</v>
      </c>
      <c r="H866" s="4"/>
      <c r="I866" s="4"/>
    </row>
    <row r="867">
      <c r="A867" s="4" t="str">
        <f>IFERROR(__xludf.DUMMYFUNCTION("""COMPUTED_VALUE"""),"cas_hmw")</f>
        <v>cas_hmw</v>
      </c>
      <c r="B867" s="5">
        <f>IFERROR(__xludf.DUMMYFUNCTION("""COMPUTED_VALUE"""),44739.0)</f>
        <v>44739</v>
      </c>
      <c r="C867" s="6">
        <f>IFERROR(__xludf.DUMMYFUNCTION("""COMPUTED_VALUE"""),0.3171180555546016)</f>
        <v>0.3171180556</v>
      </c>
      <c r="D867" s="4">
        <f>IFERROR(__xludf.DUMMYFUNCTION("""COMPUTED_VALUE"""),13.026699)</f>
        <v>13.026699</v>
      </c>
      <c r="E867" s="4">
        <f>IFERROR(__xludf.DUMMYFUNCTION("""COMPUTED_VALUE"""),80.233412)</f>
        <v>80.233412</v>
      </c>
      <c r="F867" s="4">
        <f>IFERROR(__xludf.DUMMYFUNCTION("""COMPUTED_VALUE"""),5339.0)</f>
        <v>5339</v>
      </c>
      <c r="G867" s="4">
        <f>IFERROR(__xludf.DUMMYFUNCTION("""COMPUTED_VALUE"""),8.0)</f>
        <v>8</v>
      </c>
      <c r="H867" s="4"/>
      <c r="I867" s="4"/>
    </row>
    <row r="868">
      <c r="A868" s="4" t="str">
        <f>IFERROR(__xludf.DUMMYFUNCTION("""COMPUTED_VALUE"""),"cas_hmw")</f>
        <v>cas_hmw</v>
      </c>
      <c r="B868" s="5">
        <f>IFERROR(__xludf.DUMMYFUNCTION("""COMPUTED_VALUE"""),44739.0)</f>
        <v>44739</v>
      </c>
      <c r="C868" s="6">
        <f>IFERROR(__xludf.DUMMYFUNCTION("""COMPUTED_VALUE"""),0.32052083333474)</f>
        <v>0.3205208333</v>
      </c>
      <c r="D868" s="4">
        <f>IFERROR(__xludf.DUMMYFUNCTION("""COMPUTED_VALUE"""),12.683804)</f>
        <v>12.683804</v>
      </c>
      <c r="E868" s="4">
        <f>IFERROR(__xludf.DUMMYFUNCTION("""COMPUTED_VALUE"""),79.983184)</f>
        <v>79.983184</v>
      </c>
      <c r="F868" s="4">
        <f>IFERROR(__xludf.DUMMYFUNCTION("""COMPUTED_VALUE"""),2846.0)</f>
        <v>2846</v>
      </c>
      <c r="G868" s="4">
        <f>IFERROR(__xludf.DUMMYFUNCTION("""COMPUTED_VALUE"""),19.0)</f>
        <v>19</v>
      </c>
      <c r="H868" s="4"/>
      <c r="I868" s="4"/>
    </row>
    <row r="869">
      <c r="A869" s="4" t="str">
        <f>IFERROR(__xludf.DUMMYFUNCTION("""COMPUTED_VALUE"""),"cas_hmw")</f>
        <v>cas_hmw</v>
      </c>
      <c r="B869" s="5">
        <f>IFERROR(__xludf.DUMMYFUNCTION("""COMPUTED_VALUE"""),44739.0)</f>
        <v>44739</v>
      </c>
      <c r="C869" s="6">
        <f>IFERROR(__xludf.DUMMYFUNCTION("""COMPUTED_VALUE"""),0.32704861111051287)</f>
        <v>0.3270486111</v>
      </c>
      <c r="D869" s="4">
        <f>IFERROR(__xludf.DUMMYFUNCTION("""COMPUTED_VALUE"""),12.700375)</f>
        <v>12.700375</v>
      </c>
      <c r="E869" s="4">
        <f>IFERROR(__xludf.DUMMYFUNCTION("""COMPUTED_VALUE"""),79.968595)</f>
        <v>79.968595</v>
      </c>
      <c r="F869" s="4">
        <f>IFERROR(__xludf.DUMMYFUNCTION("""COMPUTED_VALUE"""),2846.0)</f>
        <v>2846</v>
      </c>
      <c r="G869" s="4">
        <f>IFERROR(__xludf.DUMMYFUNCTION("""COMPUTED_VALUE"""),20.0)</f>
        <v>20</v>
      </c>
      <c r="H869" s="4"/>
      <c r="I869" s="4"/>
    </row>
    <row r="870">
      <c r="A870" s="4" t="str">
        <f>IFERROR(__xludf.DUMMYFUNCTION("""COMPUTED_VALUE"""),"cas_hmw")</f>
        <v>cas_hmw</v>
      </c>
      <c r="B870" s="5">
        <f>IFERROR(__xludf.DUMMYFUNCTION("""COMPUTED_VALUE"""),44739.0)</f>
        <v>44739</v>
      </c>
      <c r="C870" s="6">
        <f>IFERROR(__xludf.DUMMYFUNCTION("""COMPUTED_VALUE"""),0.330671296294895)</f>
        <v>0.3306712963</v>
      </c>
      <c r="D870" s="4">
        <f>IFERROR(__xludf.DUMMYFUNCTION("""COMPUTED_VALUE"""),12.974318)</f>
        <v>12.974318</v>
      </c>
      <c r="E870" s="4">
        <f>IFERROR(__xludf.DUMMYFUNCTION("""COMPUTED_VALUE"""),80.154709)</f>
        <v>80.154709</v>
      </c>
      <c r="F870" s="4">
        <f>IFERROR(__xludf.DUMMYFUNCTION("""COMPUTED_VALUE"""),5339.0)</f>
        <v>5339</v>
      </c>
      <c r="G870" s="4">
        <f>IFERROR(__xludf.DUMMYFUNCTION("""COMPUTED_VALUE"""),19.0)</f>
        <v>19</v>
      </c>
      <c r="H870" s="4"/>
      <c r="I870" s="4"/>
    </row>
    <row r="871">
      <c r="A871" s="4" t="str">
        <f>IFERROR(__xludf.DUMMYFUNCTION("""COMPUTED_VALUE"""),"cas_hmw")</f>
        <v>cas_hmw</v>
      </c>
      <c r="B871" s="5">
        <f>IFERROR(__xludf.DUMMYFUNCTION("""COMPUTED_VALUE"""),44739.0)</f>
        <v>44739</v>
      </c>
      <c r="C871" s="6">
        <f>IFERROR(__xludf.DUMMYFUNCTION("""COMPUTED_VALUE"""),0.3345949074064265)</f>
        <v>0.3345949074</v>
      </c>
      <c r="D871" s="4">
        <f>IFERROR(__xludf.DUMMYFUNCTION("""COMPUTED_VALUE"""),12.759655)</f>
        <v>12.759655</v>
      </c>
      <c r="E871" s="4">
        <f>IFERROR(__xludf.DUMMYFUNCTION("""COMPUTED_VALUE"""),80.003028)</f>
        <v>80.003028</v>
      </c>
      <c r="F871" s="4">
        <f>IFERROR(__xludf.DUMMYFUNCTION("""COMPUTED_VALUE"""),2846.0)</f>
        <v>2846</v>
      </c>
      <c r="G871" s="4">
        <f>IFERROR(__xludf.DUMMYFUNCTION("""COMPUTED_VALUE"""),12.0)</f>
        <v>12</v>
      </c>
      <c r="H871" s="4"/>
      <c r="I871" s="4"/>
    </row>
    <row r="872">
      <c r="A872" s="4" t="str">
        <f>IFERROR(__xludf.DUMMYFUNCTION("""COMPUTED_VALUE"""),"cas_hmw")</f>
        <v>cas_hmw</v>
      </c>
      <c r="B872" s="5">
        <f>IFERROR(__xludf.DUMMYFUNCTION("""COMPUTED_VALUE"""),44739.0)</f>
        <v>44739</v>
      </c>
      <c r="C872" s="6">
        <f>IFERROR(__xludf.DUMMYFUNCTION("""COMPUTED_VALUE"""),0.34039351851970423)</f>
        <v>0.3403935185</v>
      </c>
      <c r="D872" s="4">
        <f>IFERROR(__xludf.DUMMYFUNCTION("""COMPUTED_VALUE"""),12.974565)</f>
        <v>12.974565</v>
      </c>
      <c r="E872" s="4">
        <f>IFERROR(__xludf.DUMMYFUNCTION("""COMPUTED_VALUE"""),80.155082)</f>
        <v>80.155082</v>
      </c>
      <c r="F872" s="4">
        <f>IFERROR(__xludf.DUMMYFUNCTION("""COMPUTED_VALUE"""),805.0)</f>
        <v>805</v>
      </c>
      <c r="G872" s="4">
        <f>IFERROR(__xludf.DUMMYFUNCTION("""COMPUTED_VALUE"""),20.0)</f>
        <v>20</v>
      </c>
      <c r="H872" s="4"/>
      <c r="I872" s="4"/>
    </row>
    <row r="873">
      <c r="A873" s="4" t="str">
        <f>IFERROR(__xludf.DUMMYFUNCTION("""COMPUTED_VALUE"""),"cas_hmw")</f>
        <v>cas_hmw</v>
      </c>
      <c r="B873" s="5">
        <f>IFERROR(__xludf.DUMMYFUNCTION("""COMPUTED_VALUE"""),44739.0)</f>
        <v>44739</v>
      </c>
      <c r="C873" s="6">
        <f>IFERROR(__xludf.DUMMYFUNCTION("""COMPUTED_VALUE"""),0.34554398148247856)</f>
        <v>0.3455439815</v>
      </c>
      <c r="D873" s="4">
        <f>IFERROR(__xludf.DUMMYFUNCTION("""COMPUTED_VALUE"""),12.95083)</f>
        <v>12.95083</v>
      </c>
      <c r="E873" s="4">
        <f>IFERROR(__xludf.DUMMYFUNCTION("""COMPUTED_VALUE"""),80.139966)</f>
        <v>80.139966</v>
      </c>
      <c r="F873" s="4">
        <f>IFERROR(__xludf.DUMMYFUNCTION("""COMPUTED_VALUE"""),805.0)</f>
        <v>805</v>
      </c>
      <c r="G873" s="4">
        <f>IFERROR(__xludf.DUMMYFUNCTION("""COMPUTED_VALUE"""),9.0)</f>
        <v>9</v>
      </c>
      <c r="H873" s="4"/>
      <c r="I873" s="4"/>
    </row>
    <row r="874">
      <c r="A874" s="4" t="str">
        <f>IFERROR(__xludf.DUMMYFUNCTION("""COMPUTED_VALUE"""),"cas_hmw")</f>
        <v>cas_hmw</v>
      </c>
      <c r="B874" s="5">
        <f>IFERROR(__xludf.DUMMYFUNCTION("""COMPUTED_VALUE"""),44739.0)</f>
        <v>44739</v>
      </c>
      <c r="C874" s="6">
        <f>IFERROR(__xludf.DUMMYFUNCTION("""COMPUTED_VALUE"""),0.34773148148087785)</f>
        <v>0.3477314815</v>
      </c>
      <c r="D874" s="4">
        <f>IFERROR(__xludf.DUMMYFUNCTION("""COMPUTED_VALUE"""),12.862768)</f>
        <v>12.862768</v>
      </c>
      <c r="E874" s="4">
        <f>IFERROR(__xludf.DUMMYFUNCTION("""COMPUTED_VALUE"""),80.073593)</f>
        <v>80.073593</v>
      </c>
      <c r="F874" s="4">
        <f>IFERROR(__xludf.DUMMYFUNCTION("""COMPUTED_VALUE"""),2846.0)</f>
        <v>2846</v>
      </c>
      <c r="G874" s="4">
        <f>IFERROR(__xludf.DUMMYFUNCTION("""COMPUTED_VALUE"""),0.0)</f>
        <v>0</v>
      </c>
      <c r="H874" s="4"/>
      <c r="I874" s="4"/>
    </row>
    <row r="875">
      <c r="A875" s="4" t="str">
        <f>IFERROR(__xludf.DUMMYFUNCTION("""COMPUTED_VALUE"""),"cas_hmw")</f>
        <v>cas_hmw</v>
      </c>
      <c r="B875" s="5">
        <f>IFERROR(__xludf.DUMMYFUNCTION("""COMPUTED_VALUE"""),44739.0)</f>
        <v>44739</v>
      </c>
      <c r="C875" s="6">
        <f>IFERROR(__xludf.DUMMYFUNCTION("""COMPUTED_VALUE"""),0.3481134259272949)</f>
        <v>0.3481134259</v>
      </c>
      <c r="D875" s="4">
        <f>IFERROR(__xludf.DUMMYFUNCTION("""COMPUTED_VALUE"""),12.936313)</f>
        <v>12.936313</v>
      </c>
      <c r="E875" s="4">
        <f>IFERROR(__xludf.DUMMYFUNCTION("""COMPUTED_VALUE"""),80.127326)</f>
        <v>80.127326</v>
      </c>
      <c r="F875" s="4">
        <f>IFERROR(__xludf.DUMMYFUNCTION("""COMPUTED_VALUE"""),805.0)</f>
        <v>805</v>
      </c>
      <c r="G875" s="4">
        <f>IFERROR(__xludf.DUMMYFUNCTION("""COMPUTED_VALUE"""),13.0)</f>
        <v>13</v>
      </c>
      <c r="H875" s="4"/>
      <c r="I875" s="4"/>
    </row>
    <row r="876">
      <c r="A876" s="4" t="str">
        <f>IFERROR(__xludf.DUMMYFUNCTION("""COMPUTED_VALUE"""),"cas_hmw")</f>
        <v>cas_hmw</v>
      </c>
      <c r="B876" s="5">
        <f>IFERROR(__xludf.DUMMYFUNCTION("""COMPUTED_VALUE"""),44739.0)</f>
        <v>44739</v>
      </c>
      <c r="C876" s="6">
        <f>IFERROR(__xludf.DUMMYFUNCTION("""COMPUTED_VALUE"""),0.35048611111051287)</f>
        <v>0.3504861111</v>
      </c>
      <c r="D876" s="4">
        <f>IFERROR(__xludf.DUMMYFUNCTION("""COMPUTED_VALUE"""),12.927749)</f>
        <v>12.927749</v>
      </c>
      <c r="E876" s="4">
        <f>IFERROR(__xludf.DUMMYFUNCTION("""COMPUTED_VALUE"""),80.118917)</f>
        <v>80.118917</v>
      </c>
      <c r="F876" s="4">
        <f>IFERROR(__xludf.DUMMYFUNCTION("""COMPUTED_VALUE"""),805.0)</f>
        <v>805</v>
      </c>
      <c r="G876" s="4">
        <f>IFERROR(__xludf.DUMMYFUNCTION("""COMPUTED_VALUE"""),0.0)</f>
        <v>0</v>
      </c>
      <c r="H876" s="4"/>
      <c r="I876" s="4"/>
    </row>
    <row r="877">
      <c r="A877" s="4" t="str">
        <f>IFERROR(__xludf.DUMMYFUNCTION("""COMPUTED_VALUE"""),"cas_hmw")</f>
        <v>cas_hmw</v>
      </c>
      <c r="B877" s="5">
        <f>IFERROR(__xludf.DUMMYFUNCTION("""COMPUTED_VALUE"""),44739.0)</f>
        <v>44739</v>
      </c>
      <c r="C877" s="6">
        <f>IFERROR(__xludf.DUMMYFUNCTION("""COMPUTED_VALUE"""),0.35048611111051287)</f>
        <v>0.3504861111</v>
      </c>
      <c r="D877" s="4">
        <f>IFERROR(__xludf.DUMMYFUNCTION("""COMPUTED_VALUE"""),12.927749)</f>
        <v>12.927749</v>
      </c>
      <c r="E877" s="4">
        <f>IFERROR(__xludf.DUMMYFUNCTION("""COMPUTED_VALUE"""),80.118917)</f>
        <v>80.118917</v>
      </c>
      <c r="F877" s="4">
        <f>IFERROR(__xludf.DUMMYFUNCTION("""COMPUTED_VALUE"""),805.0)</f>
        <v>805</v>
      </c>
      <c r="G877" s="4">
        <f>IFERROR(__xludf.DUMMYFUNCTION("""COMPUTED_VALUE"""),0.0)</f>
        <v>0</v>
      </c>
      <c r="H877" s="4"/>
      <c r="I877" s="4"/>
    </row>
    <row r="878">
      <c r="A878" s="4" t="str">
        <f>IFERROR(__xludf.DUMMYFUNCTION("""COMPUTED_VALUE"""),"cas_hmw")</f>
        <v>cas_hmw</v>
      </c>
      <c r="B878" s="5">
        <f>IFERROR(__xludf.DUMMYFUNCTION("""COMPUTED_VALUE"""),44739.0)</f>
        <v>44739</v>
      </c>
      <c r="C878" s="6">
        <f>IFERROR(__xludf.DUMMYFUNCTION("""COMPUTED_VALUE"""),0.3561805555546016)</f>
        <v>0.3561805556</v>
      </c>
      <c r="D878" s="4">
        <f>IFERROR(__xludf.DUMMYFUNCTION("""COMPUTED_VALUE"""),12.906518)</f>
        <v>12.906518</v>
      </c>
      <c r="E878" s="4">
        <f>IFERROR(__xludf.DUMMYFUNCTION("""COMPUTED_VALUE"""),80.096614)</f>
        <v>80.096614</v>
      </c>
      <c r="F878" s="4">
        <f>IFERROR(__xludf.DUMMYFUNCTION("""COMPUTED_VALUE"""),805.0)</f>
        <v>805</v>
      </c>
      <c r="G878" s="4">
        <f>IFERROR(__xludf.DUMMYFUNCTION("""COMPUTED_VALUE"""),16.0)</f>
        <v>16</v>
      </c>
      <c r="H878" s="4"/>
      <c r="I878" s="4"/>
    </row>
    <row r="879">
      <c r="A879" s="4" t="str">
        <f>IFERROR(__xludf.DUMMYFUNCTION("""COMPUTED_VALUE"""),"cas_hmw")</f>
        <v>cas_hmw</v>
      </c>
      <c r="B879" s="5">
        <f>IFERROR(__xludf.DUMMYFUNCTION("""COMPUTED_VALUE"""),44739.0)</f>
        <v>44739</v>
      </c>
      <c r="C879" s="6">
        <f>IFERROR(__xludf.DUMMYFUNCTION("""COMPUTED_VALUE"""),0.3561805555546016)</f>
        <v>0.3561805556</v>
      </c>
      <c r="D879" s="4">
        <f>IFERROR(__xludf.DUMMYFUNCTION("""COMPUTED_VALUE"""),12.906518)</f>
        <v>12.906518</v>
      </c>
      <c r="E879" s="4">
        <f>IFERROR(__xludf.DUMMYFUNCTION("""COMPUTED_VALUE"""),80.096614)</f>
        <v>80.096614</v>
      </c>
      <c r="F879" s="4">
        <f>IFERROR(__xludf.DUMMYFUNCTION("""COMPUTED_VALUE"""),805.0)</f>
        <v>805</v>
      </c>
      <c r="G879" s="4">
        <f>IFERROR(__xludf.DUMMYFUNCTION("""COMPUTED_VALUE"""),16.0)</f>
        <v>16</v>
      </c>
      <c r="H879" s="4"/>
      <c r="I879" s="4"/>
    </row>
    <row r="880">
      <c r="A880" s="4" t="str">
        <f>IFERROR(__xludf.DUMMYFUNCTION("""COMPUTED_VALUE"""),"cas_hmw")</f>
        <v>cas_hmw</v>
      </c>
      <c r="B880" s="5">
        <f>IFERROR(__xludf.DUMMYFUNCTION("""COMPUTED_VALUE"""),44739.0)</f>
        <v>44739</v>
      </c>
      <c r="C880" s="6">
        <f>IFERROR(__xludf.DUMMYFUNCTION("""COMPUTED_VALUE"""),0.35619212963138125)</f>
        <v>0.3561921296</v>
      </c>
      <c r="D880" s="4">
        <f>IFERROR(__xludf.DUMMYFUNCTION("""COMPUTED_VALUE"""),12.906518)</f>
        <v>12.906518</v>
      </c>
      <c r="E880" s="4">
        <f>IFERROR(__xludf.DUMMYFUNCTION("""COMPUTED_VALUE"""),80.096614)</f>
        <v>80.096614</v>
      </c>
      <c r="F880" s="4">
        <f>IFERROR(__xludf.DUMMYFUNCTION("""COMPUTED_VALUE"""),805.0)</f>
        <v>805</v>
      </c>
      <c r="G880" s="4">
        <f>IFERROR(__xludf.DUMMYFUNCTION("""COMPUTED_VALUE"""),16.0)</f>
        <v>16</v>
      </c>
      <c r="H880" s="4"/>
      <c r="I880" s="4"/>
    </row>
    <row r="881">
      <c r="A881" s="4" t="str">
        <f>IFERROR(__xludf.DUMMYFUNCTION("""COMPUTED_VALUE"""),"cas_hmw")</f>
        <v>cas_hmw</v>
      </c>
      <c r="B881" s="5">
        <f>IFERROR(__xludf.DUMMYFUNCTION("""COMPUTED_VALUE"""),44739.0)</f>
        <v>44739</v>
      </c>
      <c r="C881" s="6">
        <f>IFERROR(__xludf.DUMMYFUNCTION("""COMPUTED_VALUE"""),0.3562152777776646)</f>
        <v>0.3562152778</v>
      </c>
      <c r="D881" s="4">
        <f>IFERROR(__xludf.DUMMYFUNCTION("""COMPUTED_VALUE"""),12.906518)</f>
        <v>12.906518</v>
      </c>
      <c r="E881" s="4">
        <f>IFERROR(__xludf.DUMMYFUNCTION("""COMPUTED_VALUE"""),80.096614)</f>
        <v>80.096614</v>
      </c>
      <c r="F881" s="4">
        <f>IFERROR(__xludf.DUMMYFUNCTION("""COMPUTED_VALUE"""),805.0)</f>
        <v>805</v>
      </c>
      <c r="G881" s="4">
        <f>IFERROR(__xludf.DUMMYFUNCTION("""COMPUTED_VALUE"""),16.0)</f>
        <v>16</v>
      </c>
      <c r="H881" s="4"/>
      <c r="I881" s="4"/>
    </row>
    <row r="882">
      <c r="A882" s="4" t="str">
        <f>IFERROR(__xludf.DUMMYFUNCTION("""COMPUTED_VALUE"""),"cas_hmw")</f>
        <v>cas_hmw</v>
      </c>
      <c r="B882" s="5">
        <f>IFERROR(__xludf.DUMMYFUNCTION("""COMPUTED_VALUE"""),44739.0)</f>
        <v>44739</v>
      </c>
      <c r="C882" s="6">
        <f>IFERROR(__xludf.DUMMYFUNCTION("""COMPUTED_VALUE"""),0.35659722222044365)</f>
        <v>0.3565972222</v>
      </c>
      <c r="D882" s="4">
        <f>IFERROR(__xludf.DUMMYFUNCTION("""COMPUTED_VALUE"""),12.905412)</f>
        <v>12.905412</v>
      </c>
      <c r="E882" s="4">
        <f>IFERROR(__xludf.DUMMYFUNCTION("""COMPUTED_VALUE"""),80.095708)</f>
        <v>80.095708</v>
      </c>
      <c r="F882" s="4">
        <f>IFERROR(__xludf.DUMMYFUNCTION("""COMPUTED_VALUE"""),805.0)</f>
        <v>805</v>
      </c>
      <c r="G882" s="4">
        <f>IFERROR(__xludf.DUMMYFUNCTION("""COMPUTED_VALUE"""),14.0)</f>
        <v>14</v>
      </c>
      <c r="H882" s="4"/>
      <c r="I882" s="4"/>
    </row>
    <row r="883">
      <c r="A883" s="4" t="str">
        <f>IFERROR(__xludf.DUMMYFUNCTION("""COMPUTED_VALUE"""),"cas_hmw")</f>
        <v>cas_hmw</v>
      </c>
      <c r="B883" s="5">
        <f>IFERROR(__xludf.DUMMYFUNCTION("""COMPUTED_VALUE"""),44739.0)</f>
        <v>44739</v>
      </c>
      <c r="C883" s="6">
        <f>IFERROR(__xludf.DUMMYFUNCTION("""COMPUTED_VALUE"""),0.6751851851840911)</f>
        <v>0.6751851852</v>
      </c>
      <c r="D883" s="4">
        <f>IFERROR(__xludf.DUMMYFUNCTION("""COMPUTED_VALUE"""),12.860304)</f>
        <v>12.860304</v>
      </c>
      <c r="E883" s="4">
        <f>IFERROR(__xludf.DUMMYFUNCTION("""COMPUTED_VALUE"""),80.072483)</f>
        <v>80.072483</v>
      </c>
      <c r="F883" s="4">
        <f>IFERROR(__xludf.DUMMYFUNCTION("""COMPUTED_VALUE"""),2846.0)</f>
        <v>2846</v>
      </c>
      <c r="G883" s="4">
        <f>IFERROR(__xludf.DUMMYFUNCTION("""COMPUTED_VALUE"""),20.0)</f>
        <v>20</v>
      </c>
      <c r="H883" s="4"/>
      <c r="I883" s="4"/>
    </row>
    <row r="884">
      <c r="A884" s="4" t="str">
        <f>IFERROR(__xludf.DUMMYFUNCTION("""COMPUTED_VALUE"""),"cas_hmw")</f>
        <v>cas_hmw</v>
      </c>
      <c r="B884" s="5">
        <f>IFERROR(__xludf.DUMMYFUNCTION("""COMPUTED_VALUE"""),44739.0)</f>
        <v>44739</v>
      </c>
      <c r="C884" s="6">
        <f>IFERROR(__xludf.DUMMYFUNCTION("""COMPUTED_VALUE"""),0.6783101851870015)</f>
        <v>0.6783101852</v>
      </c>
      <c r="D884" s="4">
        <f>IFERROR(__xludf.DUMMYFUNCTION("""COMPUTED_VALUE"""),12.916831)</f>
        <v>12.916831</v>
      </c>
      <c r="E884" s="4">
        <f>IFERROR(__xludf.DUMMYFUNCTION("""COMPUTED_VALUE"""),80.106779)</f>
        <v>80.106779</v>
      </c>
      <c r="F884" s="4">
        <f>IFERROR(__xludf.DUMMYFUNCTION("""COMPUTED_VALUE"""),805.0)</f>
        <v>805</v>
      </c>
      <c r="G884" s="4">
        <f>IFERROR(__xludf.DUMMYFUNCTION("""COMPUTED_VALUE"""),3.0)</f>
        <v>3</v>
      </c>
      <c r="H884" s="4"/>
      <c r="I884" s="4"/>
    </row>
    <row r="885">
      <c r="A885" s="4" t="str">
        <f>IFERROR(__xludf.DUMMYFUNCTION("""COMPUTED_VALUE"""),"cas_hmw")</f>
        <v>cas_hmw</v>
      </c>
      <c r="B885" s="5">
        <f>IFERROR(__xludf.DUMMYFUNCTION("""COMPUTED_VALUE"""),44739.0)</f>
        <v>44739</v>
      </c>
      <c r="C885" s="6">
        <f>IFERROR(__xludf.DUMMYFUNCTION("""COMPUTED_VALUE"""),0.6783796296294895)</f>
        <v>0.6783796296</v>
      </c>
      <c r="D885" s="4">
        <f>IFERROR(__xludf.DUMMYFUNCTION("""COMPUTED_VALUE"""),12.916831)</f>
        <v>12.916831</v>
      </c>
      <c r="E885" s="4">
        <f>IFERROR(__xludf.DUMMYFUNCTION("""COMPUTED_VALUE"""),80.106779)</f>
        <v>80.106779</v>
      </c>
      <c r="F885" s="4">
        <f>IFERROR(__xludf.DUMMYFUNCTION("""COMPUTED_VALUE"""),805.0)</f>
        <v>805</v>
      </c>
      <c r="G885" s="4">
        <f>IFERROR(__xludf.DUMMYFUNCTION("""COMPUTED_VALUE"""),3.0)</f>
        <v>3</v>
      </c>
      <c r="H885" s="4"/>
      <c r="I885" s="4"/>
    </row>
    <row r="886">
      <c r="A886" s="4" t="str">
        <f>IFERROR(__xludf.DUMMYFUNCTION("""COMPUTED_VALUE"""),"cas_hmw")</f>
        <v>cas_hmw</v>
      </c>
      <c r="B886" s="5">
        <f>IFERROR(__xludf.DUMMYFUNCTION("""COMPUTED_VALUE"""),44739.0)</f>
        <v>44739</v>
      </c>
      <c r="C886" s="6">
        <f>IFERROR(__xludf.DUMMYFUNCTION("""COMPUTED_VALUE"""),0.6798379629617557)</f>
        <v>0.679837963</v>
      </c>
      <c r="D886" s="4">
        <f>IFERROR(__xludf.DUMMYFUNCTION("""COMPUTED_VALUE"""),12.927041)</f>
        <v>12.927041</v>
      </c>
      <c r="E886" s="4">
        <f>IFERROR(__xludf.DUMMYFUNCTION("""COMPUTED_VALUE"""),80.118134)</f>
        <v>80.118134</v>
      </c>
      <c r="F886" s="4">
        <f>IFERROR(__xludf.DUMMYFUNCTION("""COMPUTED_VALUE"""),805.0)</f>
        <v>805</v>
      </c>
      <c r="G886" s="4">
        <f>IFERROR(__xludf.DUMMYFUNCTION("""COMPUTED_VALUE"""),17.0)</f>
        <v>17</v>
      </c>
      <c r="H886" s="4"/>
      <c r="I886" s="4"/>
    </row>
    <row r="887">
      <c r="A887" s="4" t="str">
        <f>IFERROR(__xludf.DUMMYFUNCTION("""COMPUTED_VALUE"""),"cas_hmw")</f>
        <v>cas_hmw</v>
      </c>
      <c r="B887" s="5">
        <f>IFERROR(__xludf.DUMMYFUNCTION("""COMPUTED_VALUE"""),44739.0)</f>
        <v>44739</v>
      </c>
      <c r="C887" s="6">
        <f>IFERROR(__xludf.DUMMYFUNCTION("""COMPUTED_VALUE"""),0.6825925925913907)</f>
        <v>0.6825925926</v>
      </c>
      <c r="D887" s="4">
        <f>IFERROR(__xludf.DUMMYFUNCTION("""COMPUTED_VALUE"""),12.934524)</f>
        <v>12.934524</v>
      </c>
      <c r="E887" s="4">
        <f>IFERROR(__xludf.DUMMYFUNCTION("""COMPUTED_VALUE"""),80.125525)</f>
        <v>80.125525</v>
      </c>
      <c r="F887" s="4">
        <f>IFERROR(__xludf.DUMMYFUNCTION("""COMPUTED_VALUE"""),805.0)</f>
        <v>805</v>
      </c>
      <c r="G887" s="4">
        <f>IFERROR(__xludf.DUMMYFUNCTION("""COMPUTED_VALUE"""),17.0)</f>
        <v>17</v>
      </c>
      <c r="H887" s="4"/>
      <c r="I887" s="4"/>
    </row>
    <row r="888">
      <c r="A888" s="4" t="str">
        <f>IFERROR(__xludf.DUMMYFUNCTION("""COMPUTED_VALUE"""),"cas_hmw")</f>
        <v>cas_hmw</v>
      </c>
      <c r="B888" s="5">
        <f>IFERROR(__xludf.DUMMYFUNCTION("""COMPUTED_VALUE"""),44739.0)</f>
        <v>44739</v>
      </c>
      <c r="C888" s="6">
        <f>IFERROR(__xludf.DUMMYFUNCTION("""COMPUTED_VALUE"""),0.6865162037029222)</f>
        <v>0.6865162037</v>
      </c>
      <c r="D888" s="4">
        <f>IFERROR(__xludf.DUMMYFUNCTION("""COMPUTED_VALUE"""),12.955958)</f>
        <v>12.955958</v>
      </c>
      <c r="E888" s="4">
        <f>IFERROR(__xludf.DUMMYFUNCTION("""COMPUTED_VALUE"""),80.142842)</f>
        <v>80.142842</v>
      </c>
      <c r="F888" s="4">
        <f>IFERROR(__xludf.DUMMYFUNCTION("""COMPUTED_VALUE"""),5339.0)</f>
        <v>5339</v>
      </c>
      <c r="G888" s="4">
        <f>IFERROR(__xludf.DUMMYFUNCTION("""COMPUTED_VALUE"""),0.0)</f>
        <v>0</v>
      </c>
      <c r="H888" s="4"/>
      <c r="I888" s="4"/>
    </row>
    <row r="889">
      <c r="A889" s="4" t="str">
        <f>IFERROR(__xludf.DUMMYFUNCTION("""COMPUTED_VALUE"""),"cas_hmw")</f>
        <v>cas_hmw</v>
      </c>
      <c r="B889" s="5">
        <f>IFERROR(__xludf.DUMMYFUNCTION("""COMPUTED_VALUE"""),44739.0)</f>
        <v>44739</v>
      </c>
      <c r="C889" s="6">
        <f>IFERROR(__xludf.DUMMYFUNCTION("""COMPUTED_VALUE"""),0.6865393518528435)</f>
        <v>0.6865393519</v>
      </c>
      <c r="D889" s="4">
        <f>IFERROR(__xludf.DUMMYFUNCTION("""COMPUTED_VALUE"""),12.95626)</f>
        <v>12.95626</v>
      </c>
      <c r="E889" s="4">
        <f>IFERROR(__xludf.DUMMYFUNCTION("""COMPUTED_VALUE"""),80.143063)</f>
        <v>80.143063</v>
      </c>
      <c r="F889" s="4">
        <f>IFERROR(__xludf.DUMMYFUNCTION("""COMPUTED_VALUE"""),5339.0)</f>
        <v>5339</v>
      </c>
      <c r="G889" s="4">
        <f>IFERROR(__xludf.DUMMYFUNCTION("""COMPUTED_VALUE"""),14.0)</f>
        <v>14</v>
      </c>
      <c r="H889" s="4"/>
      <c r="I889" s="4"/>
    </row>
    <row r="890">
      <c r="A890" s="4" t="str">
        <f>IFERROR(__xludf.DUMMYFUNCTION("""COMPUTED_VALUE"""),"cas_hmw")</f>
        <v>cas_hmw</v>
      </c>
      <c r="B890" s="5">
        <f>IFERROR(__xludf.DUMMYFUNCTION("""COMPUTED_VALUE"""),44739.0)</f>
        <v>44739</v>
      </c>
      <c r="C890" s="6">
        <f>IFERROR(__xludf.DUMMYFUNCTION("""COMPUTED_VALUE"""),0.6865509259259852)</f>
        <v>0.6865509259</v>
      </c>
      <c r="D890" s="4">
        <f>IFERROR(__xludf.DUMMYFUNCTION("""COMPUTED_VALUE"""),12.95626)</f>
        <v>12.95626</v>
      </c>
      <c r="E890" s="4">
        <f>IFERROR(__xludf.DUMMYFUNCTION("""COMPUTED_VALUE"""),80.143063)</f>
        <v>80.143063</v>
      </c>
      <c r="F890" s="4">
        <f>IFERROR(__xludf.DUMMYFUNCTION("""COMPUTED_VALUE"""),5339.0)</f>
        <v>5339</v>
      </c>
      <c r="G890" s="4">
        <f>IFERROR(__xludf.DUMMYFUNCTION("""COMPUTED_VALUE"""),14.0)</f>
        <v>14</v>
      </c>
      <c r="H890" s="4"/>
      <c r="I890" s="4"/>
    </row>
    <row r="891">
      <c r="A891" s="4" t="str">
        <f>IFERROR(__xludf.DUMMYFUNCTION("""COMPUTED_VALUE"""),"cas_hmw")</f>
        <v>cas_hmw</v>
      </c>
      <c r="B891" s="5">
        <f>IFERROR(__xludf.DUMMYFUNCTION("""COMPUTED_VALUE"""),44739.0)</f>
        <v>44739</v>
      </c>
      <c r="C891" s="6">
        <f>IFERROR(__xludf.DUMMYFUNCTION("""COMPUTED_VALUE"""),0.6869675925918273)</f>
        <v>0.6869675926</v>
      </c>
      <c r="D891" s="4">
        <f>IFERROR(__xludf.DUMMYFUNCTION("""COMPUTED_VALUE"""),12.958031)</f>
        <v>12.958031</v>
      </c>
      <c r="E891" s="4">
        <f>IFERROR(__xludf.DUMMYFUNCTION("""COMPUTED_VALUE"""),80.14399)</f>
        <v>80.14399</v>
      </c>
      <c r="F891" s="4">
        <f>IFERROR(__xludf.DUMMYFUNCTION("""COMPUTED_VALUE"""),5339.0)</f>
        <v>5339</v>
      </c>
      <c r="G891" s="4">
        <f>IFERROR(__xludf.DUMMYFUNCTION("""COMPUTED_VALUE"""),20.0)</f>
        <v>20</v>
      </c>
      <c r="H891" s="4"/>
      <c r="I891" s="4"/>
    </row>
    <row r="892">
      <c r="A892" s="4" t="str">
        <f>IFERROR(__xludf.DUMMYFUNCTION("""COMPUTED_VALUE"""),"cas_hmw")</f>
        <v>cas_hmw</v>
      </c>
      <c r="B892" s="5">
        <f>IFERROR(__xludf.DUMMYFUNCTION("""COMPUTED_VALUE"""),44739.0)</f>
        <v>44739</v>
      </c>
      <c r="C892" s="6">
        <f>IFERROR(__xludf.DUMMYFUNCTION("""COMPUTED_VALUE"""),0.6869907407417486)</f>
        <v>0.6869907407</v>
      </c>
      <c r="D892" s="4">
        <f>IFERROR(__xludf.DUMMYFUNCTION("""COMPUTED_VALUE"""),12.958031)</f>
        <v>12.958031</v>
      </c>
      <c r="E892" s="4">
        <f>IFERROR(__xludf.DUMMYFUNCTION("""COMPUTED_VALUE"""),80.14399)</f>
        <v>80.14399</v>
      </c>
      <c r="F892" s="4">
        <f>IFERROR(__xludf.DUMMYFUNCTION("""COMPUTED_VALUE"""),5339.0)</f>
        <v>5339</v>
      </c>
      <c r="G892" s="4">
        <f>IFERROR(__xludf.DUMMYFUNCTION("""COMPUTED_VALUE"""),20.0)</f>
        <v>20</v>
      </c>
      <c r="H892" s="4"/>
      <c r="I892" s="4"/>
    </row>
    <row r="893">
      <c r="A893" s="4" t="str">
        <f>IFERROR(__xludf.DUMMYFUNCTION("""COMPUTED_VALUE"""),"cas_hmw")</f>
        <v>cas_hmw</v>
      </c>
      <c r="B893" s="5">
        <f>IFERROR(__xludf.DUMMYFUNCTION("""COMPUTED_VALUE"""),44739.0)</f>
        <v>44739</v>
      </c>
      <c r="C893" s="6">
        <f>IFERROR(__xludf.DUMMYFUNCTION("""COMPUTED_VALUE"""),0.6914930555540195)</f>
        <v>0.6914930556</v>
      </c>
      <c r="D893" s="4">
        <f>IFERROR(__xludf.DUMMYFUNCTION("""COMPUTED_VALUE"""),12.98567)</f>
        <v>12.98567</v>
      </c>
      <c r="E893" s="4">
        <f>IFERROR(__xludf.DUMMYFUNCTION("""COMPUTED_VALUE"""),80.173443)</f>
        <v>80.173443</v>
      </c>
      <c r="F893" s="4">
        <f>IFERROR(__xludf.DUMMYFUNCTION("""COMPUTED_VALUE"""),5339.0)</f>
        <v>5339</v>
      </c>
      <c r="G893" s="4">
        <f>IFERROR(__xludf.DUMMYFUNCTION("""COMPUTED_VALUE"""),18.0)</f>
        <v>18</v>
      </c>
      <c r="H893" s="4"/>
      <c r="I893" s="4"/>
    </row>
    <row r="894">
      <c r="A894" s="4" t="str">
        <f>IFERROR(__xludf.DUMMYFUNCTION("""COMPUTED_VALUE"""),"cas_hmw")</f>
        <v>cas_hmw</v>
      </c>
      <c r="B894" s="5">
        <f>IFERROR(__xludf.DUMMYFUNCTION("""COMPUTED_VALUE"""),44739.0)</f>
        <v>44739</v>
      </c>
      <c r="C894" s="6">
        <f>IFERROR(__xludf.DUMMYFUNCTION("""COMPUTED_VALUE"""),0.6919560185197042)</f>
        <v>0.6919560185</v>
      </c>
      <c r="D894" s="4">
        <f>IFERROR(__xludf.DUMMYFUNCTION("""COMPUTED_VALUE"""),12.987186)</f>
        <v>12.987186</v>
      </c>
      <c r="E894" s="4">
        <f>IFERROR(__xludf.DUMMYFUNCTION("""COMPUTED_VALUE"""),80.175694)</f>
        <v>80.175694</v>
      </c>
      <c r="F894" s="4">
        <f>IFERROR(__xludf.DUMMYFUNCTION("""COMPUTED_VALUE"""),805.0)</f>
        <v>805</v>
      </c>
      <c r="G894" s="4">
        <f>IFERROR(__xludf.DUMMYFUNCTION("""COMPUTED_VALUE"""),15.0)</f>
        <v>15</v>
      </c>
      <c r="H894" s="4"/>
      <c r="I894" s="4"/>
    </row>
    <row r="895">
      <c r="A895" s="4" t="str">
        <f>IFERROR(__xludf.DUMMYFUNCTION("""COMPUTED_VALUE"""),"cas_hmw")</f>
        <v>cas_hmw</v>
      </c>
      <c r="B895" s="5">
        <f>IFERROR(__xludf.DUMMYFUNCTION("""COMPUTED_VALUE"""),44739.0)</f>
        <v>44739</v>
      </c>
      <c r="C895" s="6">
        <f>IFERROR(__xludf.DUMMYFUNCTION("""COMPUTED_VALUE"""),0.6935300925943011)</f>
        <v>0.6935300926</v>
      </c>
      <c r="D895" s="4">
        <f>IFERROR(__xludf.DUMMYFUNCTION("""COMPUTED_VALUE"""),12.993241)</f>
        <v>12.993241</v>
      </c>
      <c r="E895" s="4">
        <f>IFERROR(__xludf.DUMMYFUNCTION("""COMPUTED_VALUE"""),80.18405)</f>
        <v>80.18405</v>
      </c>
      <c r="F895" s="4">
        <f>IFERROR(__xludf.DUMMYFUNCTION("""COMPUTED_VALUE"""),805.0)</f>
        <v>805</v>
      </c>
      <c r="G895" s="4">
        <f>IFERROR(__xludf.DUMMYFUNCTION("""COMPUTED_VALUE"""),12.0)</f>
        <v>12</v>
      </c>
      <c r="H895" s="4"/>
      <c r="I895" s="4"/>
    </row>
    <row r="896">
      <c r="A896" s="4" t="str">
        <f>IFERROR(__xludf.DUMMYFUNCTION("""COMPUTED_VALUE"""),"cas_hmw")</f>
        <v>cas_hmw</v>
      </c>
      <c r="B896" s="5">
        <f>IFERROR(__xludf.DUMMYFUNCTION("""COMPUTED_VALUE"""),44739.0)</f>
        <v>44739</v>
      </c>
      <c r="C896" s="6">
        <f>IFERROR(__xludf.DUMMYFUNCTION("""COMPUTED_VALUE"""),0.6935879629636474)</f>
        <v>0.693587963</v>
      </c>
      <c r="D896" s="4">
        <f>IFERROR(__xludf.DUMMYFUNCTION("""COMPUTED_VALUE"""),12.993452)</f>
        <v>12.993452</v>
      </c>
      <c r="E896" s="4">
        <f>IFERROR(__xludf.DUMMYFUNCTION("""COMPUTED_VALUE"""),80.184436)</f>
        <v>80.184436</v>
      </c>
      <c r="F896" s="4">
        <f>IFERROR(__xludf.DUMMYFUNCTION("""COMPUTED_VALUE"""),805.0)</f>
        <v>805</v>
      </c>
      <c r="G896" s="4">
        <f>IFERROR(__xludf.DUMMYFUNCTION("""COMPUTED_VALUE"""),0.0)</f>
        <v>0</v>
      </c>
      <c r="H896" s="4"/>
      <c r="I896" s="4"/>
    </row>
    <row r="897">
      <c r="A897" s="4" t="str">
        <f>IFERROR(__xludf.DUMMYFUNCTION("""COMPUTED_VALUE"""),"cas_hmw")</f>
        <v>cas_hmw</v>
      </c>
      <c r="B897" s="5">
        <f>IFERROR(__xludf.DUMMYFUNCTION("""COMPUTED_VALUE"""),44739.0)</f>
        <v>44739</v>
      </c>
      <c r="C897" s="6">
        <f>IFERROR(__xludf.DUMMYFUNCTION("""COMPUTED_VALUE"""),0.6935995370367891)</f>
        <v>0.693599537</v>
      </c>
      <c r="D897" s="4">
        <f>IFERROR(__xludf.DUMMYFUNCTION("""COMPUTED_VALUE"""),12.993559)</f>
        <v>12.993559</v>
      </c>
      <c r="E897" s="4">
        <f>IFERROR(__xludf.DUMMYFUNCTION("""COMPUTED_VALUE"""),80.184609)</f>
        <v>80.184609</v>
      </c>
      <c r="F897" s="4">
        <f>IFERROR(__xludf.DUMMYFUNCTION("""COMPUTED_VALUE"""),5339.0)</f>
        <v>5339</v>
      </c>
      <c r="G897" s="4">
        <f>IFERROR(__xludf.DUMMYFUNCTION("""COMPUTED_VALUE"""),7.0)</f>
        <v>7</v>
      </c>
      <c r="H897" s="4"/>
      <c r="I897" s="4"/>
    </row>
    <row r="898">
      <c r="A898" s="4" t="str">
        <f>IFERROR(__xludf.DUMMYFUNCTION("""COMPUTED_VALUE"""),"cas_hmw")</f>
        <v>cas_hmw</v>
      </c>
      <c r="B898" s="5">
        <f>IFERROR(__xludf.DUMMYFUNCTION("""COMPUTED_VALUE"""),44739.0)</f>
        <v>44739</v>
      </c>
      <c r="C898" s="6">
        <f>IFERROR(__xludf.DUMMYFUNCTION("""COMPUTED_VALUE"""),0.6993518518502242)</f>
        <v>0.6993518519</v>
      </c>
      <c r="D898" s="4">
        <f>IFERROR(__xludf.DUMMYFUNCTION("""COMPUTED_VALUE"""),13.013332)</f>
        <v>13.013332</v>
      </c>
      <c r="E898" s="4">
        <f>IFERROR(__xludf.DUMMYFUNCTION("""COMPUTED_VALUE"""),80.222463)</f>
        <v>80.222463</v>
      </c>
      <c r="F898" s="4">
        <f>IFERROR(__xludf.DUMMYFUNCTION("""COMPUTED_VALUE"""),5339.0)</f>
        <v>5339</v>
      </c>
      <c r="G898" s="4">
        <f>IFERROR(__xludf.DUMMYFUNCTION("""COMPUTED_VALUE"""),8.0)</f>
        <v>8</v>
      </c>
      <c r="H898" s="4"/>
      <c r="I898" s="4"/>
    </row>
    <row r="899">
      <c r="A899" s="4" t="str">
        <f>IFERROR(__xludf.DUMMYFUNCTION("""COMPUTED_VALUE"""),"cas_hmw")</f>
        <v>cas_hmw</v>
      </c>
      <c r="B899" s="5">
        <f>IFERROR(__xludf.DUMMYFUNCTION("""COMPUTED_VALUE"""),44739.0)</f>
        <v>44739</v>
      </c>
      <c r="C899" s="6">
        <f>IFERROR(__xludf.DUMMYFUNCTION("""COMPUTED_VALUE"""),0.6993865740732872)</f>
        <v>0.6993865741</v>
      </c>
      <c r="D899" s="4">
        <f>IFERROR(__xludf.DUMMYFUNCTION("""COMPUTED_VALUE"""),13.013332)</f>
        <v>13.013332</v>
      </c>
      <c r="E899" s="4">
        <f>IFERROR(__xludf.DUMMYFUNCTION("""COMPUTED_VALUE"""),80.222463)</f>
        <v>80.222463</v>
      </c>
      <c r="F899" s="4">
        <f>IFERROR(__xludf.DUMMYFUNCTION("""COMPUTED_VALUE"""),5339.0)</f>
        <v>5339</v>
      </c>
      <c r="G899" s="4">
        <f>IFERROR(__xludf.DUMMYFUNCTION("""COMPUTED_VALUE"""),8.0)</f>
        <v>8</v>
      </c>
      <c r="H899" s="4"/>
      <c r="I899" s="4"/>
    </row>
    <row r="900">
      <c r="A900" s="4" t="str">
        <f>IFERROR(__xludf.DUMMYFUNCTION("""COMPUTED_VALUE"""),"cas_hmw")</f>
        <v>cas_hmw</v>
      </c>
      <c r="B900" s="5">
        <f>IFERROR(__xludf.DUMMYFUNCTION("""COMPUTED_VALUE"""),44739.0)</f>
        <v>44739</v>
      </c>
      <c r="C900" s="6">
        <f>IFERROR(__xludf.DUMMYFUNCTION("""COMPUTED_VALUE"""),0.6993981481464289)</f>
        <v>0.6993981481</v>
      </c>
      <c r="D900" s="4">
        <f>IFERROR(__xludf.DUMMYFUNCTION("""COMPUTED_VALUE"""),13.013332)</f>
        <v>13.013332</v>
      </c>
      <c r="E900" s="4">
        <f>IFERROR(__xludf.DUMMYFUNCTION("""COMPUTED_VALUE"""),80.222463)</f>
        <v>80.222463</v>
      </c>
      <c r="F900" s="4">
        <f>IFERROR(__xludf.DUMMYFUNCTION("""COMPUTED_VALUE"""),5339.0)</f>
        <v>5339</v>
      </c>
      <c r="G900" s="4">
        <f>IFERROR(__xludf.DUMMYFUNCTION("""COMPUTED_VALUE"""),8.0)</f>
        <v>8</v>
      </c>
      <c r="H900" s="4"/>
      <c r="I900" s="4"/>
    </row>
    <row r="901">
      <c r="A901" s="4" t="str">
        <f>IFERROR(__xludf.DUMMYFUNCTION("""COMPUTED_VALUE"""),"cas_hmw")</f>
        <v>cas_hmw</v>
      </c>
      <c r="B901" s="5">
        <f>IFERROR(__xludf.DUMMYFUNCTION("""COMPUTED_VALUE"""),44739.0)</f>
        <v>44739</v>
      </c>
      <c r="C901" s="6">
        <f>IFERROR(__xludf.DUMMYFUNCTION("""COMPUTED_VALUE"""),0.7004861111126957)</f>
        <v>0.7004861111</v>
      </c>
      <c r="D901" s="4">
        <f>IFERROR(__xludf.DUMMYFUNCTION("""COMPUTED_VALUE"""),13.015447)</f>
        <v>13.015447</v>
      </c>
      <c r="E901" s="4">
        <f>IFERROR(__xludf.DUMMYFUNCTION("""COMPUTED_VALUE"""),80.225308)</f>
        <v>80.225308</v>
      </c>
      <c r="F901" s="4">
        <f>IFERROR(__xludf.DUMMYFUNCTION("""COMPUTED_VALUE"""),805.0)</f>
        <v>805</v>
      </c>
      <c r="G901" s="4">
        <f>IFERROR(__xludf.DUMMYFUNCTION("""COMPUTED_VALUE"""),0.0)</f>
        <v>0</v>
      </c>
      <c r="H901" s="4"/>
      <c r="I901" s="4"/>
    </row>
    <row r="902">
      <c r="A902" s="4" t="str">
        <f>IFERROR(__xludf.DUMMYFUNCTION("""COMPUTED_VALUE"""),"cas_hmw")</f>
        <v>cas_hmw</v>
      </c>
      <c r="B902" s="5">
        <f>IFERROR(__xludf.DUMMYFUNCTION("""COMPUTED_VALUE"""),44739.0)</f>
        <v>44739</v>
      </c>
      <c r="C902" s="6">
        <f>IFERROR(__xludf.DUMMYFUNCTION("""COMPUTED_VALUE"""),0.7017939814832062)</f>
        <v>0.7017939815</v>
      </c>
      <c r="D902" s="4">
        <f>IFERROR(__xludf.DUMMYFUNCTION("""COMPUTED_VALUE"""),13.024254)</f>
        <v>13.024254</v>
      </c>
      <c r="E902" s="4">
        <f>IFERROR(__xludf.DUMMYFUNCTION("""COMPUTED_VALUE"""),80.228402)</f>
        <v>80.228402</v>
      </c>
      <c r="F902" s="4">
        <f>IFERROR(__xludf.DUMMYFUNCTION("""COMPUTED_VALUE"""),5339.0)</f>
        <v>5339</v>
      </c>
      <c r="G902" s="4">
        <f>IFERROR(__xludf.DUMMYFUNCTION("""COMPUTED_VALUE"""),0.0)</f>
        <v>0</v>
      </c>
      <c r="H902" s="4"/>
      <c r="I902" s="4"/>
    </row>
    <row r="903">
      <c r="A903" s="4" t="str">
        <f>IFERROR(__xludf.DUMMYFUNCTION("""COMPUTED_VALUE"""),"cas_hmw")</f>
        <v>cas_hmw</v>
      </c>
      <c r="B903" s="5">
        <f>IFERROR(__xludf.DUMMYFUNCTION("""COMPUTED_VALUE"""),44739.0)</f>
        <v>44739</v>
      </c>
      <c r="C903" s="6">
        <f>IFERROR(__xludf.DUMMYFUNCTION("""COMPUTED_VALUE"""),0.7045486111128412)</f>
        <v>0.7045486111</v>
      </c>
      <c r="D903" s="4">
        <f>IFERROR(__xludf.DUMMYFUNCTION("""COMPUTED_VALUE"""),13.026001)</f>
        <v>13.026001</v>
      </c>
      <c r="E903" s="4">
        <f>IFERROR(__xludf.DUMMYFUNCTION("""COMPUTED_VALUE"""),80.231065)</f>
        <v>80.231065</v>
      </c>
      <c r="F903" s="4">
        <f>IFERROR(__xludf.DUMMYFUNCTION("""COMPUTED_VALUE"""),5339.0)</f>
        <v>5339</v>
      </c>
      <c r="G903" s="4">
        <f>IFERROR(__xludf.DUMMYFUNCTION("""COMPUTED_VALUE"""),0.0)</f>
        <v>0</v>
      </c>
      <c r="H903" s="4"/>
      <c r="I903" s="4"/>
    </row>
    <row r="904">
      <c r="A904" s="4" t="str">
        <f>IFERROR(__xludf.DUMMYFUNCTION("""COMPUTED_VALUE"""),"cas_hmw")</f>
        <v>cas_hmw</v>
      </c>
      <c r="B904" s="5">
        <f>IFERROR(__xludf.DUMMYFUNCTION("""COMPUTED_VALUE"""),44739.0)</f>
        <v>44739</v>
      </c>
      <c r="C904" s="6">
        <f>IFERROR(__xludf.DUMMYFUNCTION("""COMPUTED_VALUE"""),0.7056828703716747)</f>
        <v>0.7056828704</v>
      </c>
      <c r="D904" s="4">
        <f>IFERROR(__xludf.DUMMYFUNCTION("""COMPUTED_VALUE"""),13.006878)</f>
        <v>13.006878</v>
      </c>
      <c r="E904" s="4">
        <f>IFERROR(__xludf.DUMMYFUNCTION("""COMPUTED_VALUE"""),80.251355)</f>
        <v>80.251355</v>
      </c>
      <c r="F904" s="4">
        <f>IFERROR(__xludf.DUMMYFUNCTION("""COMPUTED_VALUE"""),805.0)</f>
        <v>805</v>
      </c>
      <c r="G904" s="4">
        <f>IFERROR(__xludf.DUMMYFUNCTION("""COMPUTED_VALUE"""),0.0)</f>
        <v>0</v>
      </c>
      <c r="H904" s="4"/>
      <c r="I904" s="4"/>
    </row>
    <row r="905">
      <c r="A905" s="4" t="str">
        <f>IFERROR(__xludf.DUMMYFUNCTION("""COMPUTED_VALUE"""),"cas_hmw")</f>
        <v>cas_hmw</v>
      </c>
      <c r="B905" s="5">
        <f>IFERROR(__xludf.DUMMYFUNCTION("""COMPUTED_VALUE"""),44739.0)</f>
        <v>44739</v>
      </c>
      <c r="C905" s="6">
        <f>IFERROR(__xludf.DUMMYFUNCTION("""COMPUTED_VALUE"""),0.7074884259272949)</f>
        <v>0.7074884259</v>
      </c>
      <c r="D905" s="4">
        <f>IFERROR(__xludf.DUMMYFUNCTION("""COMPUTED_VALUE"""),12.656686)</f>
        <v>12.656686</v>
      </c>
      <c r="E905" s="4">
        <f>IFERROR(__xludf.DUMMYFUNCTION("""COMPUTED_VALUE"""),79.948955)</f>
        <v>79.948955</v>
      </c>
      <c r="F905" s="4">
        <f>IFERROR(__xludf.DUMMYFUNCTION("""COMPUTED_VALUE"""),2846.0)</f>
        <v>2846</v>
      </c>
      <c r="G905" s="4">
        <f>IFERROR(__xludf.DUMMYFUNCTION("""COMPUTED_VALUE"""),19.0)</f>
        <v>19</v>
      </c>
      <c r="H905" s="4"/>
      <c r="I905" s="4"/>
    </row>
    <row r="906">
      <c r="A906" s="4" t="str">
        <f>IFERROR(__xludf.DUMMYFUNCTION("""COMPUTED_VALUE"""),"cas_hmw")</f>
        <v>cas_hmw</v>
      </c>
      <c r="B906" s="5">
        <f>IFERROR(__xludf.DUMMYFUNCTION("""COMPUTED_VALUE"""),44739.0)</f>
        <v>44739</v>
      </c>
      <c r="C906" s="6">
        <f>IFERROR(__xludf.DUMMYFUNCTION("""COMPUTED_VALUE"""),0.7109490740731417)</f>
        <v>0.7109490741</v>
      </c>
      <c r="D906" s="4">
        <f>IFERROR(__xludf.DUMMYFUNCTION("""COMPUTED_VALUE"""),13.022941)</f>
        <v>13.022941</v>
      </c>
      <c r="E906" s="4">
        <f>IFERROR(__xludf.DUMMYFUNCTION("""COMPUTED_VALUE"""),80.263797)</f>
        <v>80.263797</v>
      </c>
      <c r="F906" s="4">
        <f>IFERROR(__xludf.DUMMYFUNCTION("""COMPUTED_VALUE"""),805.0)</f>
        <v>805</v>
      </c>
      <c r="G906" s="4">
        <f>IFERROR(__xludf.DUMMYFUNCTION("""COMPUTED_VALUE"""),19.0)</f>
        <v>19</v>
      </c>
      <c r="H906" s="4"/>
      <c r="I906" s="4"/>
    </row>
    <row r="907">
      <c r="A907" s="4" t="str">
        <f>IFERROR(__xludf.DUMMYFUNCTION("""COMPUTED_VALUE"""),"cas_hmw")</f>
        <v>cas_hmw</v>
      </c>
      <c r="B907" s="5">
        <f>IFERROR(__xludf.DUMMYFUNCTION("""COMPUTED_VALUE"""),44739.0)</f>
        <v>44739</v>
      </c>
      <c r="C907" s="6">
        <f>IFERROR(__xludf.DUMMYFUNCTION("""COMPUTED_VALUE"""),0.7109490740731417)</f>
        <v>0.7109490741</v>
      </c>
      <c r="D907" s="4">
        <f>IFERROR(__xludf.DUMMYFUNCTION("""COMPUTED_VALUE"""),13.022941)</f>
        <v>13.022941</v>
      </c>
      <c r="E907" s="4">
        <f>IFERROR(__xludf.DUMMYFUNCTION("""COMPUTED_VALUE"""),80.263797)</f>
        <v>80.263797</v>
      </c>
      <c r="F907" s="4">
        <f>IFERROR(__xludf.DUMMYFUNCTION("""COMPUTED_VALUE"""),805.0)</f>
        <v>805</v>
      </c>
      <c r="G907" s="4">
        <f>IFERROR(__xludf.DUMMYFUNCTION("""COMPUTED_VALUE"""),19.0)</f>
        <v>19</v>
      </c>
      <c r="H907" s="4"/>
      <c r="I907" s="4"/>
    </row>
    <row r="908">
      <c r="A908" s="4" t="str">
        <f>IFERROR(__xludf.DUMMYFUNCTION("""COMPUTED_VALUE"""),"cas_hmw")</f>
        <v>cas_hmw</v>
      </c>
      <c r="B908" s="5">
        <f>IFERROR(__xludf.DUMMYFUNCTION("""COMPUTED_VALUE"""),44739.0)</f>
        <v>44739</v>
      </c>
      <c r="C908" s="6">
        <f>IFERROR(__xludf.DUMMYFUNCTION("""COMPUTED_VALUE"""),0.7192824074081727)</f>
        <v>0.7192824074</v>
      </c>
      <c r="D908" s="4">
        <f>IFERROR(__xludf.DUMMYFUNCTION("""COMPUTED_VALUE"""),13.041006)</f>
        <v>13.041006</v>
      </c>
      <c r="E908" s="4">
        <f>IFERROR(__xludf.DUMMYFUNCTION("""COMPUTED_VALUE"""),80.268134)</f>
        <v>80.268134</v>
      </c>
      <c r="F908" s="4">
        <f>IFERROR(__xludf.DUMMYFUNCTION("""COMPUTED_VALUE"""),805.0)</f>
        <v>805</v>
      </c>
      <c r="G908" s="4">
        <f>IFERROR(__xludf.DUMMYFUNCTION("""COMPUTED_VALUE"""),16.0)</f>
        <v>16</v>
      </c>
      <c r="H908" s="4"/>
      <c r="I908" s="4"/>
    </row>
    <row r="909">
      <c r="A909" s="4" t="str">
        <f>IFERROR(__xludf.DUMMYFUNCTION("""COMPUTED_VALUE"""),"cas_hmw")</f>
        <v>cas_hmw</v>
      </c>
      <c r="B909" s="5">
        <f>IFERROR(__xludf.DUMMYFUNCTION("""COMPUTED_VALUE"""),44739.0)</f>
        <v>44739</v>
      </c>
      <c r="C909" s="6">
        <f>IFERROR(__xludf.DUMMYFUNCTION("""COMPUTED_VALUE"""),0.7193402777775191)</f>
        <v>0.7193402778</v>
      </c>
      <c r="D909" s="4">
        <f>IFERROR(__xludf.DUMMYFUNCTION("""COMPUTED_VALUE"""),13.041006)</f>
        <v>13.041006</v>
      </c>
      <c r="E909" s="4">
        <f>IFERROR(__xludf.DUMMYFUNCTION("""COMPUTED_VALUE"""),80.268134)</f>
        <v>80.268134</v>
      </c>
      <c r="F909" s="4">
        <f>IFERROR(__xludf.DUMMYFUNCTION("""COMPUTED_VALUE"""),805.0)</f>
        <v>805</v>
      </c>
      <c r="G909" s="4">
        <f>IFERROR(__xludf.DUMMYFUNCTION("""COMPUTED_VALUE"""),16.0)</f>
        <v>16</v>
      </c>
      <c r="H909" s="4"/>
      <c r="I909" s="4"/>
    </row>
    <row r="910">
      <c r="A910" s="4" t="str">
        <f>IFERROR(__xludf.DUMMYFUNCTION("""COMPUTED_VALUE"""),"cas_hmw")</f>
        <v>cas_hmw</v>
      </c>
      <c r="B910" s="5">
        <f>IFERROR(__xludf.DUMMYFUNCTION("""COMPUTED_VALUE"""),44739.0)</f>
        <v>44739</v>
      </c>
      <c r="C910" s="6">
        <f>IFERROR(__xludf.DUMMYFUNCTION("""COMPUTED_VALUE"""),0.7193750000005821)</f>
        <v>0.719375</v>
      </c>
      <c r="D910" s="4">
        <f>IFERROR(__xludf.DUMMYFUNCTION("""COMPUTED_VALUE"""),13.041006)</f>
        <v>13.041006</v>
      </c>
      <c r="E910" s="4">
        <f>IFERROR(__xludf.DUMMYFUNCTION("""COMPUTED_VALUE"""),80.268134)</f>
        <v>80.268134</v>
      </c>
      <c r="F910" s="4">
        <f>IFERROR(__xludf.DUMMYFUNCTION("""COMPUTED_VALUE"""),805.0)</f>
        <v>805</v>
      </c>
      <c r="G910" s="4">
        <f>IFERROR(__xludf.DUMMYFUNCTION("""COMPUTED_VALUE"""),16.0)</f>
        <v>16</v>
      </c>
      <c r="H910" s="4"/>
      <c r="I910" s="4"/>
    </row>
    <row r="911">
      <c r="A911" s="4" t="str">
        <f>IFERROR(__xludf.DUMMYFUNCTION("""COMPUTED_VALUE"""),"cas_hmw")</f>
        <v>cas_hmw</v>
      </c>
      <c r="B911" s="5">
        <f>IFERROR(__xludf.DUMMYFUNCTION("""COMPUTED_VALUE"""),44739.0)</f>
        <v>44739</v>
      </c>
      <c r="C911" s="6">
        <f>IFERROR(__xludf.DUMMYFUNCTION("""COMPUTED_VALUE"""),0.7195717592585424)</f>
        <v>0.7195717593</v>
      </c>
      <c r="D911" s="4">
        <f>IFERROR(__xludf.DUMMYFUNCTION("""COMPUTED_VALUE"""),13.041006)</f>
        <v>13.041006</v>
      </c>
      <c r="E911" s="4">
        <f>IFERROR(__xludf.DUMMYFUNCTION("""COMPUTED_VALUE"""),80.268134)</f>
        <v>80.268134</v>
      </c>
      <c r="F911" s="4">
        <f>IFERROR(__xludf.DUMMYFUNCTION("""COMPUTED_VALUE"""),805.0)</f>
        <v>805</v>
      </c>
      <c r="G911" s="4">
        <f>IFERROR(__xludf.DUMMYFUNCTION("""COMPUTED_VALUE"""),16.0)</f>
        <v>16</v>
      </c>
      <c r="H911" s="4"/>
      <c r="I911" s="4"/>
    </row>
    <row r="912">
      <c r="A912" s="4" t="str">
        <f>IFERROR(__xludf.DUMMYFUNCTION("""COMPUTED_VALUE"""),"cas_hmw")</f>
        <v>cas_hmw</v>
      </c>
      <c r="B912" s="5">
        <f>IFERROR(__xludf.DUMMYFUNCTION("""COMPUTED_VALUE"""),44739.0)</f>
        <v>44739</v>
      </c>
      <c r="C912" s="6">
        <f>IFERROR(__xludf.DUMMYFUNCTION("""COMPUTED_VALUE"""),0.7271180555544561)</f>
        <v>0.7271180556</v>
      </c>
      <c r="D912" s="4">
        <f>IFERROR(__xludf.DUMMYFUNCTION("""COMPUTED_VALUE"""),13.072452)</f>
        <v>13.072452</v>
      </c>
      <c r="E912" s="4">
        <f>IFERROR(__xludf.DUMMYFUNCTION("""COMPUTED_VALUE"""),80.263179)</f>
        <v>80.263179</v>
      </c>
      <c r="F912" s="4">
        <f>IFERROR(__xludf.DUMMYFUNCTION("""COMPUTED_VALUE"""),5339.0)</f>
        <v>5339</v>
      </c>
      <c r="G912" s="4">
        <f>IFERROR(__xludf.DUMMYFUNCTION("""COMPUTED_VALUE"""),12.0)</f>
        <v>12</v>
      </c>
      <c r="H912" s="4"/>
      <c r="I912" s="4"/>
    </row>
    <row r="913">
      <c r="A913" s="4" t="str">
        <f>IFERROR(__xludf.DUMMYFUNCTION("""COMPUTED_VALUE"""),"cas_hmw")</f>
        <v>cas_hmw</v>
      </c>
      <c r="B913" s="5">
        <f>IFERROR(__xludf.DUMMYFUNCTION("""COMPUTED_VALUE"""),44739.0)</f>
        <v>44739</v>
      </c>
      <c r="C913" s="6">
        <f>IFERROR(__xludf.DUMMYFUNCTION("""COMPUTED_VALUE"""),0.7271412037043774)</f>
        <v>0.7271412037</v>
      </c>
      <c r="D913" s="4">
        <f>IFERROR(__xludf.DUMMYFUNCTION("""COMPUTED_VALUE"""),13.072452)</f>
        <v>13.072452</v>
      </c>
      <c r="E913" s="4">
        <f>IFERROR(__xludf.DUMMYFUNCTION("""COMPUTED_VALUE"""),80.263179)</f>
        <v>80.263179</v>
      </c>
      <c r="F913" s="4">
        <f>IFERROR(__xludf.DUMMYFUNCTION("""COMPUTED_VALUE"""),5339.0)</f>
        <v>5339</v>
      </c>
      <c r="G913" s="4">
        <f>IFERROR(__xludf.DUMMYFUNCTION("""COMPUTED_VALUE"""),12.0)</f>
        <v>12</v>
      </c>
      <c r="H913" s="4"/>
      <c r="I913" s="4"/>
    </row>
    <row r="914">
      <c r="A914" s="4" t="str">
        <f>IFERROR(__xludf.DUMMYFUNCTION("""COMPUTED_VALUE"""),"cas_hmw")</f>
        <v>cas_hmw</v>
      </c>
      <c r="B914" s="5">
        <f>IFERROR(__xludf.DUMMYFUNCTION("""COMPUTED_VALUE"""),44739.0)</f>
        <v>44739</v>
      </c>
      <c r="C914" s="6">
        <f>IFERROR(__xludf.DUMMYFUNCTION("""COMPUTED_VALUE"""),0.7271875000005821)</f>
        <v>0.7271875</v>
      </c>
      <c r="D914" s="4">
        <f>IFERROR(__xludf.DUMMYFUNCTION("""COMPUTED_VALUE"""),13.072452)</f>
        <v>13.072452</v>
      </c>
      <c r="E914" s="4">
        <f>IFERROR(__xludf.DUMMYFUNCTION("""COMPUTED_VALUE"""),80.263179)</f>
        <v>80.263179</v>
      </c>
      <c r="F914" s="4">
        <f>IFERROR(__xludf.DUMMYFUNCTION("""COMPUTED_VALUE"""),5339.0)</f>
        <v>5339</v>
      </c>
      <c r="G914" s="4">
        <f>IFERROR(__xludf.DUMMYFUNCTION("""COMPUTED_VALUE"""),12.0)</f>
        <v>12</v>
      </c>
      <c r="H914" s="4"/>
      <c r="I914" s="4"/>
    </row>
    <row r="915">
      <c r="A915" s="4" t="str">
        <f>IFERROR(__xludf.DUMMYFUNCTION("""COMPUTED_VALUE"""),"cas_hmw")</f>
        <v>cas_hmw</v>
      </c>
      <c r="B915" s="5">
        <f>IFERROR(__xludf.DUMMYFUNCTION("""COMPUTED_VALUE"""),44739.0)</f>
        <v>44739</v>
      </c>
      <c r="C915" s="6">
        <f>IFERROR(__xludf.DUMMYFUNCTION("""COMPUTED_VALUE"""),0.7324189814826241)</f>
        <v>0.7324189815</v>
      </c>
      <c r="D915" s="4">
        <f>IFERROR(__xludf.DUMMYFUNCTION("""COMPUTED_VALUE"""),13.06766)</f>
        <v>13.06766</v>
      </c>
      <c r="E915" s="4">
        <f>IFERROR(__xludf.DUMMYFUNCTION("""COMPUTED_VALUE"""),80.255134)</f>
        <v>80.255134</v>
      </c>
      <c r="F915" s="4">
        <f>IFERROR(__xludf.DUMMYFUNCTION("""COMPUTED_VALUE"""),805.0)</f>
        <v>805</v>
      </c>
      <c r="G915" s="4">
        <f>IFERROR(__xludf.DUMMYFUNCTION("""COMPUTED_VALUE"""),0.0)</f>
        <v>0</v>
      </c>
      <c r="H915" s="4"/>
      <c r="I915" s="4"/>
    </row>
    <row r="916">
      <c r="A916" s="4" t="str">
        <f>IFERROR(__xludf.DUMMYFUNCTION("""COMPUTED_VALUE"""),"cas_hmw")</f>
        <v>cas_hmw</v>
      </c>
      <c r="B916" s="5">
        <f>IFERROR(__xludf.DUMMYFUNCTION("""COMPUTED_VALUE"""),44739.0)</f>
        <v>44739</v>
      </c>
      <c r="C916" s="6">
        <f>IFERROR(__xludf.DUMMYFUNCTION("""COMPUTED_VALUE"""),0.7324421296289074)</f>
        <v>0.7324421296</v>
      </c>
      <c r="D916" s="4">
        <f>IFERROR(__xludf.DUMMYFUNCTION("""COMPUTED_VALUE"""),13.06766)</f>
        <v>13.06766</v>
      </c>
      <c r="E916" s="4">
        <f>IFERROR(__xludf.DUMMYFUNCTION("""COMPUTED_VALUE"""),80.255134)</f>
        <v>80.255134</v>
      </c>
      <c r="F916" s="4">
        <f>IFERROR(__xludf.DUMMYFUNCTION("""COMPUTED_VALUE"""),805.0)</f>
        <v>805</v>
      </c>
      <c r="G916" s="4">
        <f>IFERROR(__xludf.DUMMYFUNCTION("""COMPUTED_VALUE"""),0.0)</f>
        <v>0</v>
      </c>
      <c r="H916" s="4"/>
      <c r="I916" s="4"/>
    </row>
    <row r="917">
      <c r="A917" s="4" t="str">
        <f>IFERROR(__xludf.DUMMYFUNCTION("""COMPUTED_VALUE"""),"cas_hmw")</f>
        <v>cas_hmw</v>
      </c>
      <c r="B917" s="5">
        <f>IFERROR(__xludf.DUMMYFUNCTION("""COMPUTED_VALUE"""),44739.0)</f>
        <v>44739</v>
      </c>
      <c r="C917" s="6">
        <f>IFERROR(__xludf.DUMMYFUNCTION("""COMPUTED_VALUE"""),0.7325810185175214)</f>
        <v>0.7325810185</v>
      </c>
      <c r="D917" s="4">
        <f>IFERROR(__xludf.DUMMYFUNCTION("""COMPUTED_VALUE"""),13.067515)</f>
        <v>13.067515</v>
      </c>
      <c r="E917" s="4">
        <f>IFERROR(__xludf.DUMMYFUNCTION("""COMPUTED_VALUE"""),80.255074)</f>
        <v>80.255074</v>
      </c>
      <c r="F917" s="4">
        <f>IFERROR(__xludf.DUMMYFUNCTION("""COMPUTED_VALUE"""),805.0)</f>
        <v>805</v>
      </c>
      <c r="G917" s="4">
        <f>IFERROR(__xludf.DUMMYFUNCTION("""COMPUTED_VALUE"""),0.0)</f>
        <v>0</v>
      </c>
      <c r="H917" s="4"/>
      <c r="I917" s="4"/>
    </row>
    <row r="918">
      <c r="A918" s="4" t="str">
        <f>IFERROR(__xludf.DUMMYFUNCTION("""COMPUTED_VALUE"""),"cas_hmw")</f>
        <v>cas_hmw</v>
      </c>
      <c r="B918" s="5">
        <f>IFERROR(__xludf.DUMMYFUNCTION("""COMPUTED_VALUE"""),44739.0)</f>
        <v>44739</v>
      </c>
      <c r="C918" s="6">
        <f>IFERROR(__xludf.DUMMYFUNCTION("""COMPUTED_VALUE"""),0.7353240740740148)</f>
        <v>0.7353240741</v>
      </c>
      <c r="D918" s="4">
        <f>IFERROR(__xludf.DUMMYFUNCTION("""COMPUTED_VALUE"""),13.065645)</f>
        <v>13.065645</v>
      </c>
      <c r="E918" s="4">
        <f>IFERROR(__xludf.DUMMYFUNCTION("""COMPUTED_VALUE"""),80.247829)</f>
        <v>80.247829</v>
      </c>
      <c r="F918" s="4">
        <f>IFERROR(__xludf.DUMMYFUNCTION("""COMPUTED_VALUE"""),5339.0)</f>
        <v>5339</v>
      </c>
      <c r="G918" s="4">
        <f>IFERROR(__xludf.DUMMYFUNCTION("""COMPUTED_VALUE"""),17.0)</f>
        <v>17</v>
      </c>
      <c r="H918" s="4"/>
      <c r="I918" s="4"/>
    </row>
    <row r="919">
      <c r="A919" s="4" t="str">
        <f>IFERROR(__xludf.DUMMYFUNCTION("""COMPUTED_VALUE"""),"cas_hmw")</f>
        <v>cas_hmw</v>
      </c>
      <c r="B919" s="5">
        <f>IFERROR(__xludf.DUMMYFUNCTION("""COMPUTED_VALUE"""),44740.0)</f>
        <v>44740</v>
      </c>
      <c r="C919" s="6">
        <f>IFERROR(__xludf.DUMMYFUNCTION("""COMPUTED_VALUE"""),0.315115740741021)</f>
        <v>0.3151157407</v>
      </c>
      <c r="D919" s="4">
        <f>IFERROR(__xludf.DUMMYFUNCTION("""COMPUTED_VALUE"""),13.039649)</f>
        <v>13.039649</v>
      </c>
      <c r="E919" s="4">
        <f>IFERROR(__xludf.DUMMYFUNCTION("""COMPUTED_VALUE"""),80.247084)</f>
        <v>80.247084</v>
      </c>
      <c r="F919" s="4">
        <f>IFERROR(__xludf.DUMMYFUNCTION("""COMPUTED_VALUE"""),5339.0)</f>
        <v>5339</v>
      </c>
      <c r="G919" s="4">
        <f>IFERROR(__xludf.DUMMYFUNCTION("""COMPUTED_VALUE"""),11.0)</f>
        <v>11</v>
      </c>
      <c r="H919" s="4"/>
      <c r="I919" s="4"/>
    </row>
    <row r="920">
      <c r="A920" s="4" t="str">
        <f>IFERROR(__xludf.DUMMYFUNCTION("""COMPUTED_VALUE"""),"cas_hmw")</f>
        <v>cas_hmw</v>
      </c>
      <c r="B920" s="5">
        <f>IFERROR(__xludf.DUMMYFUNCTION("""COMPUTED_VALUE"""),44740.0)</f>
        <v>44740</v>
      </c>
      <c r="C920" s="6">
        <f>IFERROR(__xludf.DUMMYFUNCTION("""COMPUTED_VALUE"""),0.3244097222232085)</f>
        <v>0.3244097222</v>
      </c>
      <c r="D920" s="4">
        <f>IFERROR(__xludf.DUMMYFUNCTION("""COMPUTED_VALUE"""),13.006894)</f>
        <v>13.006894</v>
      </c>
      <c r="E920" s="4">
        <f>IFERROR(__xludf.DUMMYFUNCTION("""COMPUTED_VALUE"""),80.240015)</f>
        <v>80.240015</v>
      </c>
      <c r="F920" s="4">
        <f>IFERROR(__xludf.DUMMYFUNCTION("""COMPUTED_VALUE"""),805.0)</f>
        <v>805</v>
      </c>
      <c r="G920" s="4">
        <f>IFERROR(__xludf.DUMMYFUNCTION("""COMPUTED_VALUE"""),0.0)</f>
        <v>0</v>
      </c>
      <c r="H920" s="4"/>
      <c r="I920" s="4"/>
    </row>
    <row r="921">
      <c r="A921" s="4" t="str">
        <f>IFERROR(__xludf.DUMMYFUNCTION("""COMPUTED_VALUE"""),"cas_hmw")</f>
        <v>cas_hmw</v>
      </c>
      <c r="B921" s="5">
        <f>IFERROR(__xludf.DUMMYFUNCTION("""COMPUTED_VALUE"""),44740.0)</f>
        <v>44740</v>
      </c>
      <c r="C921" s="6">
        <f>IFERROR(__xludf.DUMMYFUNCTION("""COMPUTED_VALUE"""),0.32454861111182254)</f>
        <v>0.3245486111</v>
      </c>
      <c r="D921" s="4">
        <f>IFERROR(__xludf.DUMMYFUNCTION("""COMPUTED_VALUE"""),12.694437)</f>
        <v>12.694437</v>
      </c>
      <c r="E921" s="4">
        <f>IFERROR(__xludf.DUMMYFUNCTION("""COMPUTED_VALUE"""),79.978488)</f>
        <v>79.978488</v>
      </c>
      <c r="F921" s="4">
        <f>IFERROR(__xludf.DUMMYFUNCTION("""COMPUTED_VALUE"""),2846.0)</f>
        <v>2846</v>
      </c>
      <c r="G921" s="4">
        <f>IFERROR(__xludf.DUMMYFUNCTION("""COMPUTED_VALUE"""),0.0)</f>
        <v>0</v>
      </c>
      <c r="H921" s="4"/>
      <c r="I921" s="4"/>
    </row>
    <row r="922">
      <c r="A922" s="4" t="str">
        <f>IFERROR(__xludf.DUMMYFUNCTION("""COMPUTED_VALUE"""),"cas_hmw")</f>
        <v>cas_hmw</v>
      </c>
      <c r="B922" s="5">
        <f>IFERROR(__xludf.DUMMYFUNCTION("""COMPUTED_VALUE"""),44740.0)</f>
        <v>44740</v>
      </c>
      <c r="C922" s="6">
        <f>IFERROR(__xludf.DUMMYFUNCTION("""COMPUTED_VALUE"""),0.3304166666675883)</f>
        <v>0.3304166667</v>
      </c>
      <c r="D922" s="4">
        <f>IFERROR(__xludf.DUMMYFUNCTION("""COMPUTED_VALUE"""),12.979922)</f>
        <v>12.979922</v>
      </c>
      <c r="E922" s="4">
        <f>IFERROR(__xludf.DUMMYFUNCTION("""COMPUTED_VALUE"""),80.163126)</f>
        <v>80.163126</v>
      </c>
      <c r="F922" s="4">
        <f>IFERROR(__xludf.DUMMYFUNCTION("""COMPUTED_VALUE"""),5339.0)</f>
        <v>5339</v>
      </c>
      <c r="G922" s="4">
        <f>IFERROR(__xludf.DUMMYFUNCTION("""COMPUTED_VALUE"""),19.0)</f>
        <v>19</v>
      </c>
      <c r="H922" s="4"/>
      <c r="I922" s="4"/>
    </row>
    <row r="923">
      <c r="A923" s="4" t="str">
        <f>IFERROR(__xludf.DUMMYFUNCTION("""COMPUTED_VALUE"""),"cas_hmw")</f>
        <v>cas_hmw</v>
      </c>
      <c r="B923" s="5">
        <f>IFERROR(__xludf.DUMMYFUNCTION("""COMPUTED_VALUE"""),44740.0)</f>
        <v>44740</v>
      </c>
      <c r="C923" s="6">
        <f>IFERROR(__xludf.DUMMYFUNCTION("""COMPUTED_VALUE"""),0.3364120370388264)</f>
        <v>0.336412037</v>
      </c>
      <c r="D923" s="4">
        <f>IFERROR(__xludf.DUMMYFUNCTION("""COMPUTED_VALUE"""),12.950557)</f>
        <v>12.950557</v>
      </c>
      <c r="E923" s="4">
        <f>IFERROR(__xludf.DUMMYFUNCTION("""COMPUTED_VALUE"""),80.139767)</f>
        <v>80.139767</v>
      </c>
      <c r="F923" s="4">
        <f>IFERROR(__xludf.DUMMYFUNCTION("""COMPUTED_VALUE"""),5339.0)</f>
        <v>5339</v>
      </c>
      <c r="G923" s="4">
        <f>IFERROR(__xludf.DUMMYFUNCTION("""COMPUTED_VALUE"""),15.0)</f>
        <v>15</v>
      </c>
      <c r="H923" s="4"/>
      <c r="I923" s="4"/>
    </row>
    <row r="924">
      <c r="A924" s="4" t="str">
        <f>IFERROR(__xludf.DUMMYFUNCTION("""COMPUTED_VALUE"""),"cas_hmw")</f>
        <v>cas_hmw</v>
      </c>
      <c r="B924" s="5">
        <f>IFERROR(__xludf.DUMMYFUNCTION("""COMPUTED_VALUE"""),44740.0)</f>
        <v>44740</v>
      </c>
      <c r="C924" s="6">
        <f>IFERROR(__xludf.DUMMYFUNCTION("""COMPUTED_VALUE"""),0.3368518518509518)</f>
        <v>0.3368518519</v>
      </c>
      <c r="D924" s="4">
        <f>IFERROR(__xludf.DUMMYFUNCTION("""COMPUTED_VALUE"""),12.96198)</f>
        <v>12.96198</v>
      </c>
      <c r="E924" s="4">
        <f>IFERROR(__xludf.DUMMYFUNCTION("""COMPUTED_VALUE"""),80.14635)</f>
        <v>80.14635</v>
      </c>
      <c r="F924" s="4">
        <f>IFERROR(__xludf.DUMMYFUNCTION("""COMPUTED_VALUE"""),805.0)</f>
        <v>805</v>
      </c>
      <c r="G924" s="4">
        <f>IFERROR(__xludf.DUMMYFUNCTION("""COMPUTED_VALUE"""),12.0)</f>
        <v>12</v>
      </c>
      <c r="H924" s="4"/>
      <c r="I924" s="4"/>
    </row>
    <row r="925">
      <c r="A925" s="4" t="str">
        <f>IFERROR(__xludf.DUMMYFUNCTION("""COMPUTED_VALUE"""),"cas_hmw")</f>
        <v>cas_hmw</v>
      </c>
      <c r="B925" s="5">
        <f>IFERROR(__xludf.DUMMYFUNCTION("""COMPUTED_VALUE"""),44740.0)</f>
        <v>44740</v>
      </c>
      <c r="C925" s="6">
        <f>IFERROR(__xludf.DUMMYFUNCTION("""COMPUTED_VALUE"""),0.3485879629624833)</f>
        <v>0.348587963</v>
      </c>
      <c r="D925" s="4">
        <f>IFERROR(__xludf.DUMMYFUNCTION("""COMPUTED_VALUE"""),12.897398)</f>
        <v>12.897398</v>
      </c>
      <c r="E925" s="4">
        <f>IFERROR(__xludf.DUMMYFUNCTION("""COMPUTED_VALUE"""),80.089571)</f>
        <v>80.089571</v>
      </c>
      <c r="F925" s="4">
        <f>IFERROR(__xludf.DUMMYFUNCTION("""COMPUTED_VALUE"""),805.0)</f>
        <v>805</v>
      </c>
      <c r="G925" s="4">
        <f>IFERROR(__xludf.DUMMYFUNCTION("""COMPUTED_VALUE"""),13.0)</f>
        <v>13</v>
      </c>
      <c r="H925" s="4"/>
      <c r="I925" s="4"/>
    </row>
    <row r="926">
      <c r="A926" s="4" t="str">
        <f>IFERROR(__xludf.DUMMYFUNCTION("""COMPUTED_VALUE"""),"cas_hmw")</f>
        <v>cas_hmw</v>
      </c>
      <c r="B926" s="5">
        <f>IFERROR(__xludf.DUMMYFUNCTION("""COMPUTED_VALUE"""),44740.0)</f>
        <v>44740</v>
      </c>
      <c r="C926" s="6">
        <f>IFERROR(__xludf.DUMMYFUNCTION("""COMPUTED_VALUE"""),0.6752199074071541)</f>
        <v>0.6752199074</v>
      </c>
      <c r="D926" s="4">
        <f>IFERROR(__xludf.DUMMYFUNCTION("""COMPUTED_VALUE"""),12.905368)</f>
        <v>12.905368</v>
      </c>
      <c r="E926" s="4">
        <f>IFERROR(__xludf.DUMMYFUNCTION("""COMPUTED_VALUE"""),80.095548)</f>
        <v>80.095548</v>
      </c>
      <c r="F926" s="4">
        <f>IFERROR(__xludf.DUMMYFUNCTION("""COMPUTED_VALUE"""),805.0)</f>
        <v>805</v>
      </c>
      <c r="G926" s="4">
        <f>IFERROR(__xludf.DUMMYFUNCTION("""COMPUTED_VALUE"""),8.0)</f>
        <v>8</v>
      </c>
      <c r="H926" s="4"/>
      <c r="I926" s="4"/>
    </row>
    <row r="927">
      <c r="A927" s="4" t="str">
        <f>IFERROR(__xludf.DUMMYFUNCTION("""COMPUTED_VALUE"""),"cas_hmw")</f>
        <v>cas_hmw</v>
      </c>
      <c r="B927" s="5">
        <f>IFERROR(__xludf.DUMMYFUNCTION("""COMPUTED_VALUE"""),44740.0)</f>
        <v>44740</v>
      </c>
      <c r="C927" s="6">
        <f>IFERROR(__xludf.DUMMYFUNCTION("""COMPUTED_VALUE"""),0.6773726851861284)</f>
        <v>0.6773726852</v>
      </c>
      <c r="D927" s="4">
        <f>IFERROR(__xludf.DUMMYFUNCTION("""COMPUTED_VALUE"""),12.916758)</f>
        <v>12.916758</v>
      </c>
      <c r="E927" s="4">
        <f>IFERROR(__xludf.DUMMYFUNCTION("""COMPUTED_VALUE"""),80.106608)</f>
        <v>80.106608</v>
      </c>
      <c r="F927" s="4">
        <f>IFERROR(__xludf.DUMMYFUNCTION("""COMPUTED_VALUE"""),805.0)</f>
        <v>805</v>
      </c>
      <c r="G927" s="4">
        <f>IFERROR(__xludf.DUMMYFUNCTION("""COMPUTED_VALUE"""),0.0)</f>
        <v>0</v>
      </c>
      <c r="H927" s="4"/>
      <c r="I927" s="4"/>
    </row>
    <row r="928">
      <c r="A928" s="4" t="str">
        <f>IFERROR(__xludf.DUMMYFUNCTION("""COMPUTED_VALUE"""),"cas_hmw")</f>
        <v>cas_hmw</v>
      </c>
      <c r="B928" s="5">
        <f>IFERROR(__xludf.DUMMYFUNCTION("""COMPUTED_VALUE"""),44740.0)</f>
        <v>44740</v>
      </c>
      <c r="C928" s="6">
        <f>IFERROR(__xludf.DUMMYFUNCTION("""COMPUTED_VALUE"""),0.6799768518503697)</f>
        <v>0.6799768519</v>
      </c>
      <c r="D928" s="4">
        <f>IFERROR(__xludf.DUMMYFUNCTION("""COMPUTED_VALUE"""),12.929922)</f>
        <v>12.929922</v>
      </c>
      <c r="E928" s="4">
        <f>IFERROR(__xludf.DUMMYFUNCTION("""COMPUTED_VALUE"""),80.121008)</f>
        <v>80.121008</v>
      </c>
      <c r="F928" s="4">
        <f>IFERROR(__xludf.DUMMYFUNCTION("""COMPUTED_VALUE"""),805.0)</f>
        <v>805</v>
      </c>
      <c r="G928" s="4">
        <f>IFERROR(__xludf.DUMMYFUNCTION("""COMPUTED_VALUE"""),14.0)</f>
        <v>14</v>
      </c>
      <c r="H928" s="4"/>
      <c r="I928" s="4"/>
    </row>
    <row r="929">
      <c r="A929" s="4" t="str">
        <f>IFERROR(__xludf.DUMMYFUNCTION("""COMPUTED_VALUE"""),"cas_hmw")</f>
        <v>cas_hmw</v>
      </c>
      <c r="B929" s="5">
        <f>IFERROR(__xludf.DUMMYFUNCTION("""COMPUTED_VALUE"""),44740.0)</f>
        <v>44740</v>
      </c>
      <c r="C929" s="6">
        <f>IFERROR(__xludf.DUMMYFUNCTION("""COMPUTED_VALUE"""),0.6829976851840911)</f>
        <v>0.6829976852</v>
      </c>
      <c r="D929" s="4">
        <f>IFERROR(__xludf.DUMMYFUNCTION("""COMPUTED_VALUE"""),12.945416)</f>
        <v>12.945416</v>
      </c>
      <c r="E929" s="4">
        <f>IFERROR(__xludf.DUMMYFUNCTION("""COMPUTED_VALUE"""),80.135599)</f>
        <v>80.135599</v>
      </c>
      <c r="F929" s="4">
        <f>IFERROR(__xludf.DUMMYFUNCTION("""COMPUTED_VALUE"""),5339.0)</f>
        <v>5339</v>
      </c>
      <c r="G929" s="4">
        <f>IFERROR(__xludf.DUMMYFUNCTION("""COMPUTED_VALUE"""),13.0)</f>
        <v>13</v>
      </c>
      <c r="H929" s="4"/>
      <c r="I929" s="4"/>
    </row>
    <row r="930">
      <c r="A930" s="4" t="str">
        <f>IFERROR(__xludf.DUMMYFUNCTION("""COMPUTED_VALUE"""),"cas_hmw")</f>
        <v>cas_hmw</v>
      </c>
      <c r="B930" s="5">
        <f>IFERROR(__xludf.DUMMYFUNCTION("""COMPUTED_VALUE"""),44740.0)</f>
        <v>44740</v>
      </c>
      <c r="C930" s="6">
        <f>IFERROR(__xludf.DUMMYFUNCTION("""COMPUTED_VALUE"""),0.6836689814808778)</f>
        <v>0.6836689815</v>
      </c>
      <c r="D930" s="4">
        <f>IFERROR(__xludf.DUMMYFUNCTION("""COMPUTED_VALUE"""),12.950444)</f>
        <v>12.950444</v>
      </c>
      <c r="E930" s="4">
        <f>IFERROR(__xludf.DUMMYFUNCTION("""COMPUTED_VALUE"""),80.139336)</f>
        <v>80.139336</v>
      </c>
      <c r="F930" s="4">
        <f>IFERROR(__xludf.DUMMYFUNCTION("""COMPUTED_VALUE"""),805.0)</f>
        <v>805</v>
      </c>
      <c r="G930" s="4">
        <f>IFERROR(__xludf.DUMMYFUNCTION("""COMPUTED_VALUE"""),20.0)</f>
        <v>20</v>
      </c>
      <c r="H930" s="4"/>
      <c r="I930" s="4"/>
    </row>
    <row r="931">
      <c r="A931" s="4" t="str">
        <f>IFERROR(__xludf.DUMMYFUNCTION("""COMPUTED_VALUE"""),"cas_hmw")</f>
        <v>cas_hmw</v>
      </c>
      <c r="B931" s="5">
        <f>IFERROR(__xludf.DUMMYFUNCTION("""COMPUTED_VALUE"""),44740.0)</f>
        <v>44740</v>
      </c>
      <c r="C931" s="6">
        <f>IFERROR(__xludf.DUMMYFUNCTION("""COMPUTED_VALUE"""),0.684953703705105)</f>
        <v>0.6849537037</v>
      </c>
      <c r="D931" s="4">
        <f>IFERROR(__xludf.DUMMYFUNCTION("""COMPUTED_VALUE"""),12.955808)</f>
        <v>12.955808</v>
      </c>
      <c r="E931" s="4">
        <f>IFERROR(__xludf.DUMMYFUNCTION("""COMPUTED_VALUE"""),80.142908)</f>
        <v>80.142908</v>
      </c>
      <c r="F931" s="4">
        <f>IFERROR(__xludf.DUMMYFUNCTION("""COMPUTED_VALUE"""),805.0)</f>
        <v>805</v>
      </c>
      <c r="G931" s="4">
        <f>IFERROR(__xludf.DUMMYFUNCTION("""COMPUTED_VALUE"""),0.0)</f>
        <v>0</v>
      </c>
      <c r="H931" s="4"/>
      <c r="I931" s="4"/>
    </row>
    <row r="932">
      <c r="A932" s="4" t="str">
        <f>IFERROR(__xludf.DUMMYFUNCTION("""COMPUTED_VALUE"""),"cas_hmw")</f>
        <v>cas_hmw</v>
      </c>
      <c r="B932" s="5">
        <f>IFERROR(__xludf.DUMMYFUNCTION("""COMPUTED_VALUE"""),44740.0)</f>
        <v>44740</v>
      </c>
      <c r="C932" s="6">
        <f>IFERROR(__xludf.DUMMYFUNCTION("""COMPUTED_VALUE"""),0.6849768518513883)</f>
        <v>0.6849768519</v>
      </c>
      <c r="D932" s="4">
        <f>IFERROR(__xludf.DUMMYFUNCTION("""COMPUTED_VALUE"""),12.955808)</f>
        <v>12.955808</v>
      </c>
      <c r="E932" s="4">
        <f>IFERROR(__xludf.DUMMYFUNCTION("""COMPUTED_VALUE"""),80.142908)</f>
        <v>80.142908</v>
      </c>
      <c r="F932" s="4">
        <f>IFERROR(__xludf.DUMMYFUNCTION("""COMPUTED_VALUE"""),805.0)</f>
        <v>805</v>
      </c>
      <c r="G932" s="4">
        <f>IFERROR(__xludf.DUMMYFUNCTION("""COMPUTED_VALUE"""),0.0)</f>
        <v>0</v>
      </c>
      <c r="H932" s="4"/>
      <c r="I932" s="4"/>
    </row>
    <row r="933">
      <c r="A933" s="4" t="str">
        <f>IFERROR(__xludf.DUMMYFUNCTION("""COMPUTED_VALUE"""),"cas_hmw")</f>
        <v>cas_hmw</v>
      </c>
      <c r="B933" s="5">
        <f>IFERROR(__xludf.DUMMYFUNCTION("""COMPUTED_VALUE"""),44740.0)</f>
        <v>44740</v>
      </c>
      <c r="C933" s="6">
        <f>IFERROR(__xludf.DUMMYFUNCTION("""COMPUTED_VALUE"""),0.6849768518513883)</f>
        <v>0.6849768519</v>
      </c>
      <c r="D933" s="4">
        <f>IFERROR(__xludf.DUMMYFUNCTION("""COMPUTED_VALUE"""),12.955808)</f>
        <v>12.955808</v>
      </c>
      <c r="E933" s="4">
        <f>IFERROR(__xludf.DUMMYFUNCTION("""COMPUTED_VALUE"""),80.142908)</f>
        <v>80.142908</v>
      </c>
      <c r="F933" s="4">
        <f>IFERROR(__xludf.DUMMYFUNCTION("""COMPUTED_VALUE"""),805.0)</f>
        <v>805</v>
      </c>
      <c r="G933" s="4">
        <f>IFERROR(__xludf.DUMMYFUNCTION("""COMPUTED_VALUE"""),0.0)</f>
        <v>0</v>
      </c>
      <c r="H933" s="4"/>
      <c r="I933" s="4"/>
    </row>
    <row r="934">
      <c r="A934" s="4" t="str">
        <f>IFERROR(__xludf.DUMMYFUNCTION("""COMPUTED_VALUE"""),"cas_hmw")</f>
        <v>cas_hmw</v>
      </c>
      <c r="B934" s="5">
        <f>IFERROR(__xludf.DUMMYFUNCTION("""COMPUTED_VALUE"""),44740.0)</f>
        <v>44740</v>
      </c>
      <c r="C934" s="6">
        <f>IFERROR(__xludf.DUMMYFUNCTION("""COMPUTED_VALUE"""),0.68498842592453)</f>
        <v>0.6849884259</v>
      </c>
      <c r="D934" s="4">
        <f>IFERROR(__xludf.DUMMYFUNCTION("""COMPUTED_VALUE"""),12.955808)</f>
        <v>12.955808</v>
      </c>
      <c r="E934" s="4">
        <f>IFERROR(__xludf.DUMMYFUNCTION("""COMPUTED_VALUE"""),80.142908)</f>
        <v>80.142908</v>
      </c>
      <c r="F934" s="4">
        <f>IFERROR(__xludf.DUMMYFUNCTION("""COMPUTED_VALUE"""),805.0)</f>
        <v>805</v>
      </c>
      <c r="G934" s="4">
        <f>IFERROR(__xludf.DUMMYFUNCTION("""COMPUTED_VALUE"""),0.0)</f>
        <v>0</v>
      </c>
      <c r="H934" s="4"/>
      <c r="I934" s="4"/>
    </row>
    <row r="935">
      <c r="A935" s="4" t="str">
        <f>IFERROR(__xludf.DUMMYFUNCTION("""COMPUTED_VALUE"""),"cas_hmw")</f>
        <v>cas_hmw</v>
      </c>
      <c r="B935" s="5">
        <f>IFERROR(__xludf.DUMMYFUNCTION("""COMPUTED_VALUE"""),44740.0)</f>
        <v>44740</v>
      </c>
      <c r="C935" s="6">
        <f>IFERROR(__xludf.DUMMYFUNCTION("""COMPUTED_VALUE"""),0.6850115740744513)</f>
        <v>0.6850115741</v>
      </c>
      <c r="D935" s="4">
        <f>IFERROR(__xludf.DUMMYFUNCTION("""COMPUTED_VALUE"""),12.955808)</f>
        <v>12.955808</v>
      </c>
      <c r="E935" s="4">
        <f>IFERROR(__xludf.DUMMYFUNCTION("""COMPUTED_VALUE"""),80.142908)</f>
        <v>80.142908</v>
      </c>
      <c r="F935" s="4">
        <f>IFERROR(__xludf.DUMMYFUNCTION("""COMPUTED_VALUE"""),805.0)</f>
        <v>805</v>
      </c>
      <c r="G935" s="4">
        <f>IFERROR(__xludf.DUMMYFUNCTION("""COMPUTED_VALUE"""),0.0)</f>
        <v>0</v>
      </c>
      <c r="H935" s="4"/>
      <c r="I935" s="4"/>
    </row>
    <row r="936">
      <c r="A936" s="4" t="str">
        <f>IFERROR(__xludf.DUMMYFUNCTION("""COMPUTED_VALUE"""),"cas_hmw")</f>
        <v>cas_hmw</v>
      </c>
      <c r="B936" s="5">
        <f>IFERROR(__xludf.DUMMYFUNCTION("""COMPUTED_VALUE"""),44740.0)</f>
        <v>44740</v>
      </c>
      <c r="C936" s="6">
        <f>IFERROR(__xludf.DUMMYFUNCTION("""COMPUTED_VALUE"""),0.6863657407411665)</f>
        <v>0.6863657407</v>
      </c>
      <c r="D936" s="4">
        <f>IFERROR(__xludf.DUMMYFUNCTION("""COMPUTED_VALUE"""),12.961002)</f>
        <v>12.961002</v>
      </c>
      <c r="E936" s="4">
        <f>IFERROR(__xludf.DUMMYFUNCTION("""COMPUTED_VALUE"""),80.145586)</f>
        <v>80.145586</v>
      </c>
      <c r="F936" s="4">
        <f>IFERROR(__xludf.DUMMYFUNCTION("""COMPUTED_VALUE"""),805.0)</f>
        <v>805</v>
      </c>
      <c r="G936" s="4">
        <f>IFERROR(__xludf.DUMMYFUNCTION("""COMPUTED_VALUE"""),0.0)</f>
        <v>0</v>
      </c>
      <c r="H936" s="4"/>
      <c r="I936" s="4"/>
    </row>
    <row r="937">
      <c r="A937" s="4" t="str">
        <f>IFERROR(__xludf.DUMMYFUNCTION("""COMPUTED_VALUE"""),"cas_hmw")</f>
        <v>cas_hmw</v>
      </c>
      <c r="B937" s="5">
        <f>IFERROR(__xludf.DUMMYFUNCTION("""COMPUTED_VALUE"""),44740.0)</f>
        <v>44740</v>
      </c>
      <c r="C937" s="6">
        <f>IFERROR(__xludf.DUMMYFUNCTION("""COMPUTED_VALUE"""),0.6898842592599976)</f>
        <v>0.6898842593</v>
      </c>
      <c r="D937" s="4">
        <f>IFERROR(__xludf.DUMMYFUNCTION("""COMPUTED_VALUE"""),12.985936)</f>
        <v>12.985936</v>
      </c>
      <c r="E937" s="4">
        <f>IFERROR(__xludf.DUMMYFUNCTION("""COMPUTED_VALUE"""),80.173953)</f>
        <v>80.173953</v>
      </c>
      <c r="F937" s="4">
        <f>IFERROR(__xludf.DUMMYFUNCTION("""COMPUTED_VALUE"""),805.0)</f>
        <v>805</v>
      </c>
      <c r="G937" s="4">
        <f>IFERROR(__xludf.DUMMYFUNCTION("""COMPUTED_VALUE"""),15.0)</f>
        <v>15</v>
      </c>
      <c r="H937" s="4"/>
      <c r="I937" s="4"/>
    </row>
    <row r="938">
      <c r="A938" s="4" t="str">
        <f>IFERROR(__xludf.DUMMYFUNCTION("""COMPUTED_VALUE"""),"cas_hmw")</f>
        <v>cas_hmw</v>
      </c>
      <c r="B938" s="5">
        <f>IFERROR(__xludf.DUMMYFUNCTION("""COMPUTED_VALUE"""),44740.0)</f>
        <v>44740</v>
      </c>
      <c r="C938" s="6">
        <f>IFERROR(__xludf.DUMMYFUNCTION("""COMPUTED_VALUE"""),0.6908449074071541)</f>
        <v>0.6908449074</v>
      </c>
      <c r="D938" s="4">
        <f>IFERROR(__xludf.DUMMYFUNCTION("""COMPUTED_VALUE"""),12.98587)</f>
        <v>12.98587</v>
      </c>
      <c r="E938" s="4">
        <f>IFERROR(__xludf.DUMMYFUNCTION("""COMPUTED_VALUE"""),80.173828)</f>
        <v>80.173828</v>
      </c>
      <c r="F938" s="4">
        <f>IFERROR(__xludf.DUMMYFUNCTION("""COMPUTED_VALUE"""),5339.0)</f>
        <v>5339</v>
      </c>
      <c r="G938" s="4">
        <f>IFERROR(__xludf.DUMMYFUNCTION("""COMPUTED_VALUE"""),18.0)</f>
        <v>18</v>
      </c>
      <c r="H938" s="4"/>
      <c r="I938" s="4"/>
    </row>
    <row r="939">
      <c r="A939" s="4" t="str">
        <f>IFERROR(__xludf.DUMMYFUNCTION("""COMPUTED_VALUE"""),"cas_hmw")</f>
        <v>cas_hmw</v>
      </c>
      <c r="B939" s="5">
        <f>IFERROR(__xludf.DUMMYFUNCTION("""COMPUTED_VALUE"""),44740.0)</f>
        <v>44740</v>
      </c>
      <c r="C939" s="6">
        <f>IFERROR(__xludf.DUMMYFUNCTION("""COMPUTED_VALUE"""),0.6909606481494848)</f>
        <v>0.6909606481</v>
      </c>
      <c r="D939" s="4">
        <f>IFERROR(__xludf.DUMMYFUNCTION("""COMPUTED_VALUE"""),12.989419)</f>
        <v>12.989419</v>
      </c>
      <c r="E939" s="4">
        <f>IFERROR(__xludf.DUMMYFUNCTION("""COMPUTED_VALUE"""),80.178711)</f>
        <v>80.178711</v>
      </c>
      <c r="F939" s="4">
        <f>IFERROR(__xludf.DUMMYFUNCTION("""COMPUTED_VALUE"""),805.0)</f>
        <v>805</v>
      </c>
      <c r="G939" s="4">
        <f>IFERROR(__xludf.DUMMYFUNCTION("""COMPUTED_VALUE"""),18.0)</f>
        <v>18</v>
      </c>
      <c r="H939" s="4"/>
      <c r="I939" s="4"/>
    </row>
    <row r="940">
      <c r="A940" s="4" t="str">
        <f>IFERROR(__xludf.DUMMYFUNCTION("""COMPUTED_VALUE"""),"cas_hmw")</f>
        <v>cas_hmw</v>
      </c>
      <c r="B940" s="5">
        <f>IFERROR(__xludf.DUMMYFUNCTION("""COMPUTED_VALUE"""),44740.0)</f>
        <v>44740</v>
      </c>
      <c r="C940" s="6">
        <f>IFERROR(__xludf.DUMMYFUNCTION("""COMPUTED_VALUE"""),0.6909953703689098)</f>
        <v>0.6909953704</v>
      </c>
      <c r="D940" s="4">
        <f>IFERROR(__xludf.DUMMYFUNCTION("""COMPUTED_VALUE"""),12.985939)</f>
        <v>12.985939</v>
      </c>
      <c r="E940" s="4">
        <f>IFERROR(__xludf.DUMMYFUNCTION("""COMPUTED_VALUE"""),80.173956)</f>
        <v>80.173956</v>
      </c>
      <c r="F940" s="4">
        <f>IFERROR(__xludf.DUMMYFUNCTION("""COMPUTED_VALUE"""),5339.0)</f>
        <v>5339</v>
      </c>
      <c r="G940" s="4">
        <f>IFERROR(__xludf.DUMMYFUNCTION("""COMPUTED_VALUE"""),0.0)</f>
        <v>0</v>
      </c>
      <c r="H940" s="4"/>
      <c r="I940" s="4"/>
    </row>
    <row r="941">
      <c r="A941" s="4" t="str">
        <f>IFERROR(__xludf.DUMMYFUNCTION("""COMPUTED_VALUE"""),"cas_hmw")</f>
        <v>cas_hmw</v>
      </c>
      <c r="B941" s="5">
        <f>IFERROR(__xludf.DUMMYFUNCTION("""COMPUTED_VALUE"""),44740.0)</f>
        <v>44740</v>
      </c>
      <c r="C941" s="6">
        <f>IFERROR(__xludf.DUMMYFUNCTION("""COMPUTED_VALUE"""),0.6926388888896327)</f>
        <v>0.6926388889</v>
      </c>
      <c r="D941" s="4">
        <f>IFERROR(__xludf.DUMMYFUNCTION("""COMPUTED_VALUE"""),12.99594)</f>
        <v>12.99594</v>
      </c>
      <c r="E941" s="4">
        <f>IFERROR(__xludf.DUMMYFUNCTION("""COMPUTED_VALUE"""),80.189134)</f>
        <v>80.189134</v>
      </c>
      <c r="F941" s="4">
        <f>IFERROR(__xludf.DUMMYFUNCTION("""COMPUTED_VALUE"""),805.0)</f>
        <v>805</v>
      </c>
      <c r="G941" s="4">
        <f>IFERROR(__xludf.DUMMYFUNCTION("""COMPUTED_VALUE"""),15.0)</f>
        <v>15</v>
      </c>
      <c r="H941" s="4"/>
      <c r="I941" s="4"/>
    </row>
    <row r="942">
      <c r="A942" s="4" t="str">
        <f>IFERROR(__xludf.DUMMYFUNCTION("""COMPUTED_VALUE"""),"cas_hmw")</f>
        <v>cas_hmw</v>
      </c>
      <c r="B942" s="5">
        <f>IFERROR(__xludf.DUMMYFUNCTION("""COMPUTED_VALUE"""),44740.0)</f>
        <v>44740</v>
      </c>
      <c r="C942" s="6">
        <f>IFERROR(__xludf.DUMMYFUNCTION("""COMPUTED_VALUE"""),0.6960763888891961)</f>
        <v>0.6960763889</v>
      </c>
      <c r="D942" s="4">
        <f>IFERROR(__xludf.DUMMYFUNCTION("""COMPUTED_VALUE"""),13.001288)</f>
        <v>13.001288</v>
      </c>
      <c r="E942" s="4">
        <f>IFERROR(__xludf.DUMMYFUNCTION("""COMPUTED_VALUE"""),80.195685)</f>
        <v>80.195685</v>
      </c>
      <c r="F942" s="4">
        <f>IFERROR(__xludf.DUMMYFUNCTION("""COMPUTED_VALUE"""),5339.0)</f>
        <v>5339</v>
      </c>
      <c r="G942" s="4">
        <f>IFERROR(__xludf.DUMMYFUNCTION("""COMPUTED_VALUE"""),0.0)</f>
        <v>0</v>
      </c>
      <c r="H942" s="4"/>
      <c r="I942" s="4"/>
    </row>
    <row r="943">
      <c r="A943" s="4" t="str">
        <f>IFERROR(__xludf.DUMMYFUNCTION("""COMPUTED_VALUE"""),"cas_hmw")</f>
        <v>cas_hmw</v>
      </c>
      <c r="B943" s="5">
        <f>IFERROR(__xludf.DUMMYFUNCTION("""COMPUTED_VALUE"""),44740.0)</f>
        <v>44740</v>
      </c>
      <c r="C943" s="6">
        <f>IFERROR(__xludf.DUMMYFUNCTION("""COMPUTED_VALUE"""),0.6972916666672972)</f>
        <v>0.6972916667</v>
      </c>
      <c r="D943" s="4">
        <f>IFERROR(__xludf.DUMMYFUNCTION("""COMPUTED_VALUE"""),13.012139)</f>
        <v>13.012139</v>
      </c>
      <c r="E943" s="4">
        <f>IFERROR(__xludf.DUMMYFUNCTION("""COMPUTED_VALUE"""),80.220627)</f>
        <v>80.220627</v>
      </c>
      <c r="F943" s="4">
        <f>IFERROR(__xludf.DUMMYFUNCTION("""COMPUTED_VALUE"""),805.0)</f>
        <v>805</v>
      </c>
      <c r="G943" s="4">
        <f>IFERROR(__xludf.DUMMYFUNCTION("""COMPUTED_VALUE"""),0.0)</f>
        <v>0</v>
      </c>
      <c r="H943" s="4"/>
      <c r="I943" s="4"/>
    </row>
    <row r="944">
      <c r="A944" s="4" t="str">
        <f>IFERROR(__xludf.DUMMYFUNCTION("""COMPUTED_VALUE"""),"cas_hmw")</f>
        <v>cas_hmw</v>
      </c>
      <c r="B944" s="5">
        <f>IFERROR(__xludf.DUMMYFUNCTION("""COMPUTED_VALUE"""),44740.0)</f>
        <v>44740</v>
      </c>
      <c r="C944" s="6">
        <f>IFERROR(__xludf.DUMMYFUNCTION("""COMPUTED_VALUE"""),0.6975231481483206)</f>
        <v>0.6975231481</v>
      </c>
      <c r="D944" s="4">
        <f>IFERROR(__xludf.DUMMYFUNCTION("""COMPUTED_VALUE"""),13.012328)</f>
        <v>13.012328</v>
      </c>
      <c r="E944" s="4">
        <f>IFERROR(__xludf.DUMMYFUNCTION("""COMPUTED_VALUE"""),80.221166)</f>
        <v>80.221166</v>
      </c>
      <c r="F944" s="4">
        <f>IFERROR(__xludf.DUMMYFUNCTION("""COMPUTED_VALUE"""),805.0)</f>
        <v>805</v>
      </c>
      <c r="G944" s="4">
        <f>IFERROR(__xludf.DUMMYFUNCTION("""COMPUTED_VALUE"""),18.0)</f>
        <v>18</v>
      </c>
      <c r="H944" s="4"/>
      <c r="I944" s="4"/>
    </row>
    <row r="945">
      <c r="A945" s="4" t="str">
        <f>IFERROR(__xludf.DUMMYFUNCTION("""COMPUTED_VALUE"""),"cas_hmw")</f>
        <v>cas_hmw</v>
      </c>
      <c r="B945" s="5">
        <f>IFERROR(__xludf.DUMMYFUNCTION("""COMPUTED_VALUE"""),44740.0)</f>
        <v>44740</v>
      </c>
      <c r="C945" s="6">
        <f>IFERROR(__xludf.DUMMYFUNCTION("""COMPUTED_VALUE"""),0.6983217592605797)</f>
        <v>0.6983217593</v>
      </c>
      <c r="D945" s="4">
        <f>IFERROR(__xludf.DUMMYFUNCTION("""COMPUTED_VALUE"""),13.015183)</f>
        <v>13.015183</v>
      </c>
      <c r="E945" s="4">
        <f>IFERROR(__xludf.DUMMYFUNCTION("""COMPUTED_VALUE"""),80.224897)</f>
        <v>80.224897</v>
      </c>
      <c r="F945" s="4">
        <f>IFERROR(__xludf.DUMMYFUNCTION("""COMPUTED_VALUE"""),805.0)</f>
        <v>805</v>
      </c>
      <c r="G945" s="4">
        <f>IFERROR(__xludf.DUMMYFUNCTION("""COMPUTED_VALUE"""),0.0)</f>
        <v>0</v>
      </c>
      <c r="H945" s="4"/>
      <c r="I945" s="4"/>
    </row>
    <row r="946">
      <c r="A946" s="4" t="str">
        <f>IFERROR(__xludf.DUMMYFUNCTION("""COMPUTED_VALUE"""),"cas_hmw")</f>
        <v>cas_hmw</v>
      </c>
      <c r="B946" s="5">
        <f>IFERROR(__xludf.DUMMYFUNCTION("""COMPUTED_VALUE"""),44740.0)</f>
        <v>44740</v>
      </c>
      <c r="C946" s="6">
        <f>IFERROR(__xludf.DUMMYFUNCTION("""COMPUTED_VALUE"""),0.6987384259264218)</f>
        <v>0.6987384259</v>
      </c>
      <c r="D946" s="4">
        <f>IFERROR(__xludf.DUMMYFUNCTION("""COMPUTED_VALUE"""),13.015452)</f>
        <v>13.015452</v>
      </c>
      <c r="E946" s="4">
        <f>IFERROR(__xludf.DUMMYFUNCTION("""COMPUTED_VALUE"""),80.225358)</f>
        <v>80.225358</v>
      </c>
      <c r="F946" s="4">
        <f>IFERROR(__xludf.DUMMYFUNCTION("""COMPUTED_VALUE"""),805.0)</f>
        <v>805</v>
      </c>
      <c r="G946" s="4">
        <f>IFERROR(__xludf.DUMMYFUNCTION("""COMPUTED_VALUE"""),18.0)</f>
        <v>18</v>
      </c>
      <c r="H946" s="4"/>
      <c r="I946" s="4"/>
    </row>
    <row r="947">
      <c r="A947" s="4" t="str">
        <f>IFERROR(__xludf.DUMMYFUNCTION("""COMPUTED_VALUE"""),"cas_hmw")</f>
        <v>cas_hmw</v>
      </c>
      <c r="B947" s="5">
        <f>IFERROR(__xludf.DUMMYFUNCTION("""COMPUTED_VALUE"""),44740.0)</f>
        <v>44740</v>
      </c>
      <c r="C947" s="6">
        <f>IFERROR(__xludf.DUMMYFUNCTION("""COMPUTED_VALUE"""),0.700162037035625)</f>
        <v>0.700162037</v>
      </c>
      <c r="D947" s="4">
        <f>IFERROR(__xludf.DUMMYFUNCTION("""COMPUTED_VALUE"""),12.693881)</f>
        <v>12.693881</v>
      </c>
      <c r="E947" s="4">
        <f>IFERROR(__xludf.DUMMYFUNCTION("""COMPUTED_VALUE"""),79.979155)</f>
        <v>79.979155</v>
      </c>
      <c r="F947" s="4">
        <f>IFERROR(__xludf.DUMMYFUNCTION("""COMPUTED_VALUE"""),2846.0)</f>
        <v>2846</v>
      </c>
      <c r="G947" s="4">
        <f>IFERROR(__xludf.DUMMYFUNCTION("""COMPUTED_VALUE"""),0.0)</f>
        <v>0</v>
      </c>
      <c r="H947" s="4"/>
      <c r="I947" s="4"/>
    </row>
    <row r="948">
      <c r="A948" s="4" t="str">
        <f>IFERROR(__xludf.DUMMYFUNCTION("""COMPUTED_VALUE"""),"cas_hmw")</f>
        <v>cas_hmw</v>
      </c>
      <c r="B948" s="5">
        <f>IFERROR(__xludf.DUMMYFUNCTION("""COMPUTED_VALUE"""),44740.0)</f>
        <v>44740</v>
      </c>
      <c r="C948" s="6">
        <f>IFERROR(__xludf.DUMMYFUNCTION("""COMPUTED_VALUE"""),0.7002893518510973)</f>
        <v>0.7002893519</v>
      </c>
      <c r="D948" s="4">
        <f>IFERROR(__xludf.DUMMYFUNCTION("""COMPUTED_VALUE"""),13.007912)</f>
        <v>13.007912</v>
      </c>
      <c r="E948" s="4">
        <f>IFERROR(__xludf.DUMMYFUNCTION("""COMPUTED_VALUE"""),80.234941)</f>
        <v>80.234941</v>
      </c>
      <c r="F948" s="4">
        <f>IFERROR(__xludf.DUMMYFUNCTION("""COMPUTED_VALUE"""),805.0)</f>
        <v>805</v>
      </c>
      <c r="G948" s="4">
        <f>IFERROR(__xludf.DUMMYFUNCTION("""COMPUTED_VALUE"""),17.0)</f>
        <v>17</v>
      </c>
      <c r="H948" s="4"/>
      <c r="I948" s="4"/>
    </row>
    <row r="949">
      <c r="A949" s="4" t="str">
        <f>IFERROR(__xludf.DUMMYFUNCTION("""COMPUTED_VALUE"""),"cas_hmw")</f>
        <v>cas_hmw</v>
      </c>
      <c r="B949" s="5">
        <f>IFERROR(__xludf.DUMMYFUNCTION("""COMPUTED_VALUE"""),44740.0)</f>
        <v>44740</v>
      </c>
      <c r="C949" s="6">
        <f>IFERROR(__xludf.DUMMYFUNCTION("""COMPUTED_VALUE"""),0.7016782407408755)</f>
        <v>0.7016782407</v>
      </c>
      <c r="D949" s="4">
        <f>IFERROR(__xludf.DUMMYFUNCTION("""COMPUTED_VALUE"""),12.683041)</f>
        <v>12.683041</v>
      </c>
      <c r="E949" s="4">
        <f>IFERROR(__xludf.DUMMYFUNCTION("""COMPUTED_VALUE"""),79.982964)</f>
        <v>79.982964</v>
      </c>
      <c r="F949" s="4">
        <f>IFERROR(__xludf.DUMMYFUNCTION("""COMPUTED_VALUE"""),2846.0)</f>
        <v>2846</v>
      </c>
      <c r="G949" s="4">
        <f>IFERROR(__xludf.DUMMYFUNCTION("""COMPUTED_VALUE"""),10.0)</f>
        <v>10</v>
      </c>
      <c r="H949" s="4"/>
      <c r="I949" s="4"/>
    </row>
    <row r="950">
      <c r="A950" s="4" t="str">
        <f>IFERROR(__xludf.DUMMYFUNCTION("""COMPUTED_VALUE"""),"cas_hmw")</f>
        <v>cas_hmw</v>
      </c>
      <c r="B950" s="5">
        <f>IFERROR(__xludf.DUMMYFUNCTION("""COMPUTED_VALUE"""),44740.0)</f>
        <v>44740</v>
      </c>
      <c r="C950" s="6">
        <f>IFERROR(__xludf.DUMMYFUNCTION("""COMPUTED_VALUE"""),0.7027430555572209)</f>
        <v>0.7027430556</v>
      </c>
      <c r="D950" s="4">
        <f>IFERROR(__xludf.DUMMYFUNCTION("""COMPUTED_VALUE"""),13.006756)</f>
        <v>13.006756</v>
      </c>
      <c r="E950" s="4">
        <f>IFERROR(__xludf.DUMMYFUNCTION("""COMPUTED_VALUE"""),80.247877)</f>
        <v>80.247877</v>
      </c>
      <c r="F950" s="4">
        <f>IFERROR(__xludf.DUMMYFUNCTION("""COMPUTED_VALUE"""),805.0)</f>
        <v>805</v>
      </c>
      <c r="G950" s="4">
        <f>IFERROR(__xludf.DUMMYFUNCTION("""COMPUTED_VALUE"""),0.0)</f>
        <v>0</v>
      </c>
      <c r="H950" s="4"/>
      <c r="I950" s="4"/>
    </row>
    <row r="951">
      <c r="A951" s="4" t="str">
        <f>IFERROR(__xludf.DUMMYFUNCTION("""COMPUTED_VALUE"""),"cas_hmw")</f>
        <v>cas_hmw</v>
      </c>
      <c r="B951" s="5">
        <f>IFERROR(__xludf.DUMMYFUNCTION("""COMPUTED_VALUE"""),44740.0)</f>
        <v>44740</v>
      </c>
      <c r="C951" s="6">
        <f>IFERROR(__xludf.DUMMYFUNCTION("""COMPUTED_VALUE"""),0.7033449074078817)</f>
        <v>0.7033449074</v>
      </c>
      <c r="D951" s="4">
        <f>IFERROR(__xludf.DUMMYFUNCTION("""COMPUTED_VALUE"""),13.006842)</f>
        <v>13.006842</v>
      </c>
      <c r="E951" s="4">
        <f>IFERROR(__xludf.DUMMYFUNCTION("""COMPUTED_VALUE"""),80.250909)</f>
        <v>80.250909</v>
      </c>
      <c r="F951" s="4">
        <f>IFERROR(__xludf.DUMMYFUNCTION("""COMPUTED_VALUE"""),805.0)</f>
        <v>805</v>
      </c>
      <c r="G951" s="4">
        <f>IFERROR(__xludf.DUMMYFUNCTION("""COMPUTED_VALUE"""),17.0)</f>
        <v>17</v>
      </c>
      <c r="H951" s="4"/>
      <c r="I951" s="4"/>
    </row>
    <row r="952">
      <c r="A952" s="4" t="str">
        <f>IFERROR(__xludf.DUMMYFUNCTION("""COMPUTED_VALUE"""),"cas_hmw")</f>
        <v>cas_hmw</v>
      </c>
      <c r="B952" s="5">
        <f>IFERROR(__xludf.DUMMYFUNCTION("""COMPUTED_VALUE"""),44740.0)</f>
        <v>44740</v>
      </c>
      <c r="C952" s="6">
        <f>IFERROR(__xludf.DUMMYFUNCTION("""COMPUTED_VALUE"""),0.703368055554165)</f>
        <v>0.7033680556</v>
      </c>
      <c r="D952" s="4">
        <f>IFERROR(__xludf.DUMMYFUNCTION("""COMPUTED_VALUE"""),13.006842)</f>
        <v>13.006842</v>
      </c>
      <c r="E952" s="4">
        <f>IFERROR(__xludf.DUMMYFUNCTION("""COMPUTED_VALUE"""),80.250909)</f>
        <v>80.250909</v>
      </c>
      <c r="F952" s="4">
        <f>IFERROR(__xludf.DUMMYFUNCTION("""COMPUTED_VALUE"""),805.0)</f>
        <v>805</v>
      </c>
      <c r="G952" s="4">
        <f>IFERROR(__xludf.DUMMYFUNCTION("""COMPUTED_VALUE"""),17.0)</f>
        <v>17</v>
      </c>
      <c r="H952" s="4"/>
      <c r="I952" s="4"/>
    </row>
    <row r="953">
      <c r="A953" s="4" t="str">
        <f>IFERROR(__xludf.DUMMYFUNCTION("""COMPUTED_VALUE"""),"cas_hmw")</f>
        <v>cas_hmw</v>
      </c>
      <c r="B953" s="5">
        <f>IFERROR(__xludf.DUMMYFUNCTION("""COMPUTED_VALUE"""),44740.0)</f>
        <v>44740</v>
      </c>
      <c r="C953" s="6">
        <f>IFERROR(__xludf.DUMMYFUNCTION("""COMPUTED_VALUE"""),0.703368055554165)</f>
        <v>0.7033680556</v>
      </c>
      <c r="D953" s="4">
        <f>IFERROR(__xludf.DUMMYFUNCTION("""COMPUTED_VALUE"""),13.006842)</f>
        <v>13.006842</v>
      </c>
      <c r="E953" s="4">
        <f>IFERROR(__xludf.DUMMYFUNCTION("""COMPUTED_VALUE"""),80.250909)</f>
        <v>80.250909</v>
      </c>
      <c r="F953" s="4">
        <f>IFERROR(__xludf.DUMMYFUNCTION("""COMPUTED_VALUE"""),805.0)</f>
        <v>805</v>
      </c>
      <c r="G953" s="4">
        <f>IFERROR(__xludf.DUMMYFUNCTION("""COMPUTED_VALUE"""),17.0)</f>
        <v>17</v>
      </c>
      <c r="H953" s="4"/>
      <c r="I953" s="4"/>
    </row>
    <row r="954">
      <c r="A954" s="4" t="str">
        <f>IFERROR(__xludf.DUMMYFUNCTION("""COMPUTED_VALUE"""),"cas_hmw")</f>
        <v>cas_hmw</v>
      </c>
      <c r="B954" s="5">
        <f>IFERROR(__xludf.DUMMYFUNCTION("""COMPUTED_VALUE"""),44740.0)</f>
        <v>44740</v>
      </c>
      <c r="C954" s="6">
        <f>IFERROR(__xludf.DUMMYFUNCTION("""COMPUTED_VALUE"""),0.7033796296309447)</f>
        <v>0.7033796296</v>
      </c>
      <c r="D954" s="4">
        <f>IFERROR(__xludf.DUMMYFUNCTION("""COMPUTED_VALUE"""),13.006842)</f>
        <v>13.006842</v>
      </c>
      <c r="E954" s="4">
        <f>IFERROR(__xludf.DUMMYFUNCTION("""COMPUTED_VALUE"""),80.250909)</f>
        <v>80.250909</v>
      </c>
      <c r="F954" s="4">
        <f>IFERROR(__xludf.DUMMYFUNCTION("""COMPUTED_VALUE"""),805.0)</f>
        <v>805</v>
      </c>
      <c r="G954" s="4">
        <f>IFERROR(__xludf.DUMMYFUNCTION("""COMPUTED_VALUE"""),17.0)</f>
        <v>17</v>
      </c>
      <c r="H954" s="4"/>
      <c r="I954" s="4"/>
    </row>
    <row r="955">
      <c r="A955" s="4" t="str">
        <f>IFERROR(__xludf.DUMMYFUNCTION("""COMPUTED_VALUE"""),"cas_hmw")</f>
        <v>cas_hmw</v>
      </c>
      <c r="B955" s="5">
        <f>IFERROR(__xludf.DUMMYFUNCTION("""COMPUTED_VALUE"""),44740.0)</f>
        <v>44740</v>
      </c>
      <c r="C955" s="6">
        <f>IFERROR(__xludf.DUMMYFUNCTION("""COMPUTED_VALUE"""),0.7051157407404389)</f>
        <v>0.7051157407</v>
      </c>
      <c r="D955" s="4">
        <f>IFERROR(__xludf.DUMMYFUNCTION("""COMPUTED_VALUE"""),13.00679)</f>
        <v>13.00679</v>
      </c>
      <c r="E955" s="4">
        <f>IFERROR(__xludf.DUMMYFUNCTION("""COMPUTED_VALUE"""),80.257327)</f>
        <v>80.257327</v>
      </c>
      <c r="F955" s="4">
        <f>IFERROR(__xludf.DUMMYFUNCTION("""COMPUTED_VALUE"""),805.0)</f>
        <v>805</v>
      </c>
      <c r="G955" s="4">
        <f>IFERROR(__xludf.DUMMYFUNCTION("""COMPUTED_VALUE"""),0.0)</f>
        <v>0</v>
      </c>
      <c r="H955" s="4"/>
      <c r="I955" s="4"/>
    </row>
    <row r="956">
      <c r="A956" s="4" t="str">
        <f>IFERROR(__xludf.DUMMYFUNCTION("""COMPUTED_VALUE"""),"cas_hmw")</f>
        <v>cas_hmw</v>
      </c>
      <c r="B956" s="5">
        <f>IFERROR(__xludf.DUMMYFUNCTION("""COMPUTED_VALUE"""),44740.0)</f>
        <v>44740</v>
      </c>
      <c r="C956" s="6">
        <f>IFERROR(__xludf.DUMMYFUNCTION("""COMPUTED_VALUE"""),0.705844907406572)</f>
        <v>0.7058449074</v>
      </c>
      <c r="D956" s="4">
        <f>IFERROR(__xludf.DUMMYFUNCTION("""COMPUTED_VALUE"""),13.030601)</f>
        <v>13.030601</v>
      </c>
      <c r="E956" s="4">
        <f>IFERROR(__xludf.DUMMYFUNCTION("""COMPUTED_VALUE"""),80.238815)</f>
        <v>80.238815</v>
      </c>
      <c r="F956" s="4">
        <f>IFERROR(__xludf.DUMMYFUNCTION("""COMPUTED_VALUE"""),5339.0)</f>
        <v>5339</v>
      </c>
      <c r="G956" s="4">
        <f>IFERROR(__xludf.DUMMYFUNCTION("""COMPUTED_VALUE"""),0.0)</f>
        <v>0</v>
      </c>
      <c r="H956" s="4"/>
      <c r="I956" s="4"/>
    </row>
    <row r="957">
      <c r="A957" s="4" t="str">
        <f>IFERROR(__xludf.DUMMYFUNCTION("""COMPUTED_VALUE"""),"cas_hmw")</f>
        <v>cas_hmw</v>
      </c>
      <c r="B957" s="5">
        <f>IFERROR(__xludf.DUMMYFUNCTION("""COMPUTED_VALUE"""),44740.0)</f>
        <v>44740</v>
      </c>
      <c r="C957" s="6">
        <f>IFERROR(__xludf.DUMMYFUNCTION("""COMPUTED_VALUE"""),0.705844907406572)</f>
        <v>0.7058449074</v>
      </c>
      <c r="D957" s="4">
        <f>IFERROR(__xludf.DUMMYFUNCTION("""COMPUTED_VALUE"""),13.030601)</f>
        <v>13.030601</v>
      </c>
      <c r="E957" s="4">
        <f>IFERROR(__xludf.DUMMYFUNCTION("""COMPUTED_VALUE"""),80.238815)</f>
        <v>80.238815</v>
      </c>
      <c r="F957" s="4">
        <f>IFERROR(__xludf.DUMMYFUNCTION("""COMPUTED_VALUE"""),5339.0)</f>
        <v>5339</v>
      </c>
      <c r="G957" s="4">
        <f>IFERROR(__xludf.DUMMYFUNCTION("""COMPUTED_VALUE"""),0.0)</f>
        <v>0</v>
      </c>
      <c r="H957" s="4"/>
      <c r="I957" s="4"/>
    </row>
    <row r="958">
      <c r="A958" s="4" t="str">
        <f>IFERROR(__xludf.DUMMYFUNCTION("""COMPUTED_VALUE"""),"cas_hmw")</f>
        <v>cas_hmw</v>
      </c>
      <c r="B958" s="5">
        <f>IFERROR(__xludf.DUMMYFUNCTION("""COMPUTED_VALUE"""),44740.0)</f>
        <v>44740</v>
      </c>
      <c r="C958" s="6">
        <f>IFERROR(__xludf.DUMMYFUNCTION("""COMPUTED_VALUE"""),0.7058680555564933)</f>
        <v>0.7058680556</v>
      </c>
      <c r="D958" s="4">
        <f>IFERROR(__xludf.DUMMYFUNCTION("""COMPUTED_VALUE"""),13.007516)</f>
        <v>13.007516</v>
      </c>
      <c r="E958" s="4">
        <f>IFERROR(__xludf.DUMMYFUNCTION("""COMPUTED_VALUE"""),80.258624)</f>
        <v>80.258624</v>
      </c>
      <c r="F958" s="4">
        <f>IFERROR(__xludf.DUMMYFUNCTION("""COMPUTED_VALUE"""),805.0)</f>
        <v>805</v>
      </c>
      <c r="G958" s="4">
        <f>IFERROR(__xludf.DUMMYFUNCTION("""COMPUTED_VALUE"""),12.0)</f>
        <v>12</v>
      </c>
      <c r="H958" s="4"/>
      <c r="I958" s="4"/>
    </row>
    <row r="959">
      <c r="A959" s="4" t="str">
        <f>IFERROR(__xludf.DUMMYFUNCTION("""COMPUTED_VALUE"""),"cas_hmw")</f>
        <v>cas_hmw</v>
      </c>
      <c r="B959" s="5">
        <f>IFERROR(__xludf.DUMMYFUNCTION("""COMPUTED_VALUE"""),44740.0)</f>
        <v>44740</v>
      </c>
      <c r="C959" s="6">
        <f>IFERROR(__xludf.DUMMYFUNCTION("""COMPUTED_VALUE"""),0.705983796295186)</f>
        <v>0.7059837963</v>
      </c>
      <c r="D959" s="4">
        <f>IFERROR(__xludf.DUMMYFUNCTION("""COMPUTED_VALUE"""),13.030601)</f>
        <v>13.030601</v>
      </c>
      <c r="E959" s="4">
        <f>IFERROR(__xludf.DUMMYFUNCTION("""COMPUTED_VALUE"""),80.238815)</f>
        <v>80.238815</v>
      </c>
      <c r="F959" s="4">
        <f>IFERROR(__xludf.DUMMYFUNCTION("""COMPUTED_VALUE"""),5339.0)</f>
        <v>5339</v>
      </c>
      <c r="G959" s="4">
        <f>IFERROR(__xludf.DUMMYFUNCTION("""COMPUTED_VALUE"""),0.0)</f>
        <v>0</v>
      </c>
      <c r="H959" s="4"/>
      <c r="I959" s="4"/>
    </row>
    <row r="960">
      <c r="A960" s="4" t="str">
        <f>IFERROR(__xludf.DUMMYFUNCTION("""COMPUTED_VALUE"""),"cas_hmw")</f>
        <v>cas_hmw</v>
      </c>
      <c r="B960" s="5">
        <f>IFERROR(__xludf.DUMMYFUNCTION("""COMPUTED_VALUE"""),44740.0)</f>
        <v>44740</v>
      </c>
      <c r="C960" s="6">
        <f>IFERROR(__xludf.DUMMYFUNCTION("""COMPUTED_VALUE"""),0.7148032407421852)</f>
        <v>0.7148032407</v>
      </c>
      <c r="D960" s="4">
        <f>IFERROR(__xludf.DUMMYFUNCTION("""COMPUTED_VALUE"""),13.053973)</f>
        <v>13.053973</v>
      </c>
      <c r="E960" s="4">
        <f>IFERROR(__xludf.DUMMYFUNCTION("""COMPUTED_VALUE"""),80.253133)</f>
        <v>80.253133</v>
      </c>
      <c r="F960" s="4">
        <f>IFERROR(__xludf.DUMMYFUNCTION("""COMPUTED_VALUE"""),5339.0)</f>
        <v>5339</v>
      </c>
      <c r="G960" s="4">
        <f>IFERROR(__xludf.DUMMYFUNCTION("""COMPUTED_VALUE"""),0.0)</f>
        <v>0</v>
      </c>
      <c r="H960" s="4"/>
      <c r="I960" s="4"/>
    </row>
    <row r="961">
      <c r="A961" s="4" t="str">
        <f>IFERROR(__xludf.DUMMYFUNCTION("""COMPUTED_VALUE"""),"cas_hmw")</f>
        <v>cas_hmw</v>
      </c>
      <c r="B961" s="5">
        <f>IFERROR(__xludf.DUMMYFUNCTION("""COMPUTED_VALUE"""),44740.0)</f>
        <v>44740</v>
      </c>
      <c r="C961" s="6">
        <f>IFERROR(__xludf.DUMMYFUNCTION("""COMPUTED_VALUE"""),0.7148148148153268)</f>
        <v>0.7148148148</v>
      </c>
      <c r="D961" s="4">
        <f>IFERROR(__xludf.DUMMYFUNCTION("""COMPUTED_VALUE"""),13.053973)</f>
        <v>13.053973</v>
      </c>
      <c r="E961" s="4">
        <f>IFERROR(__xludf.DUMMYFUNCTION("""COMPUTED_VALUE"""),80.253133)</f>
        <v>80.253133</v>
      </c>
      <c r="F961" s="4">
        <f>IFERROR(__xludf.DUMMYFUNCTION("""COMPUTED_VALUE"""),5339.0)</f>
        <v>5339</v>
      </c>
      <c r="G961" s="4">
        <f>IFERROR(__xludf.DUMMYFUNCTION("""COMPUTED_VALUE"""),0.0)</f>
        <v>0</v>
      </c>
      <c r="H961" s="4"/>
      <c r="I961" s="4"/>
    </row>
    <row r="962">
      <c r="A962" s="4" t="str">
        <f>IFERROR(__xludf.DUMMYFUNCTION("""COMPUTED_VALUE"""),"cas_hmw")</f>
        <v>cas_hmw</v>
      </c>
      <c r="B962" s="5">
        <f>IFERROR(__xludf.DUMMYFUNCTION("""COMPUTED_VALUE"""),44740.0)</f>
        <v>44740</v>
      </c>
      <c r="C962" s="6">
        <f>IFERROR(__xludf.DUMMYFUNCTION("""COMPUTED_VALUE"""),0.7160185185202863)</f>
        <v>0.7160185185</v>
      </c>
      <c r="D962" s="4">
        <f>IFERROR(__xludf.DUMMYFUNCTION("""COMPUTED_VALUE"""),13.057551)</f>
        <v>13.057551</v>
      </c>
      <c r="E962" s="4">
        <f>IFERROR(__xludf.DUMMYFUNCTION("""COMPUTED_VALUE"""),80.257682)</f>
        <v>80.257682</v>
      </c>
      <c r="F962" s="4">
        <f>IFERROR(__xludf.DUMMYFUNCTION("""COMPUTED_VALUE"""),5339.0)</f>
        <v>5339</v>
      </c>
      <c r="G962" s="4">
        <f>IFERROR(__xludf.DUMMYFUNCTION("""COMPUTED_VALUE"""),6.0)</f>
        <v>6</v>
      </c>
      <c r="H962" s="4"/>
      <c r="I962" s="4"/>
    </row>
    <row r="963">
      <c r="A963" s="4" t="str">
        <f>IFERROR(__xludf.DUMMYFUNCTION("""COMPUTED_VALUE"""),"cas_hmw")</f>
        <v>cas_hmw</v>
      </c>
      <c r="B963" s="5">
        <f>IFERROR(__xludf.DUMMYFUNCTION("""COMPUTED_VALUE"""),44740.0)</f>
        <v>44740</v>
      </c>
      <c r="C963" s="6">
        <f>IFERROR(__xludf.DUMMYFUNCTION("""COMPUTED_VALUE"""),0.7169444444443798)</f>
        <v>0.7169444444</v>
      </c>
      <c r="D963" s="4">
        <f>IFERROR(__xludf.DUMMYFUNCTION("""COMPUTED_VALUE"""),13.05471)</f>
        <v>13.05471</v>
      </c>
      <c r="E963" s="4">
        <f>IFERROR(__xludf.DUMMYFUNCTION("""COMPUTED_VALUE"""),80.254722)</f>
        <v>80.254722</v>
      </c>
      <c r="F963" s="4">
        <f>IFERROR(__xludf.DUMMYFUNCTION("""COMPUTED_VALUE"""),5339.0)</f>
        <v>5339</v>
      </c>
      <c r="G963" s="4">
        <f>IFERROR(__xludf.DUMMYFUNCTION("""COMPUTED_VALUE"""),18.0)</f>
        <v>18</v>
      </c>
      <c r="H963" s="4"/>
      <c r="I963" s="4"/>
    </row>
    <row r="964">
      <c r="A964" s="4" t="str">
        <f>IFERROR(__xludf.DUMMYFUNCTION("""COMPUTED_VALUE"""),"cas_hmw")</f>
        <v>cas_hmw</v>
      </c>
      <c r="B964" s="5">
        <f>IFERROR(__xludf.DUMMYFUNCTION("""COMPUTED_VALUE"""),44740.0)</f>
        <v>44740</v>
      </c>
      <c r="C964" s="6">
        <f>IFERROR(__xludf.DUMMYFUNCTION("""COMPUTED_VALUE"""),0.7209606481483206)</f>
        <v>0.7209606481</v>
      </c>
      <c r="D964" s="4">
        <f>IFERROR(__xludf.DUMMYFUNCTION("""COMPUTED_VALUE"""),13.055159)</f>
        <v>13.055159</v>
      </c>
      <c r="E964" s="4">
        <f>IFERROR(__xludf.DUMMYFUNCTION("""COMPUTED_VALUE"""),80.264319)</f>
        <v>80.264319</v>
      </c>
      <c r="F964" s="4">
        <f>IFERROR(__xludf.DUMMYFUNCTION("""COMPUTED_VALUE"""),805.0)</f>
        <v>805</v>
      </c>
      <c r="G964" s="4">
        <f>IFERROR(__xludf.DUMMYFUNCTION("""COMPUTED_VALUE"""),16.0)</f>
        <v>16</v>
      </c>
      <c r="H964" s="4"/>
      <c r="I964" s="4"/>
    </row>
    <row r="965">
      <c r="A965" s="4" t="str">
        <f>IFERROR(__xludf.DUMMYFUNCTION("""COMPUTED_VALUE"""),"cas_hmw")</f>
        <v>cas_hmw</v>
      </c>
      <c r="B965" s="5">
        <f>IFERROR(__xludf.DUMMYFUNCTION("""COMPUTED_VALUE"""),44740.0)</f>
        <v>44740</v>
      </c>
      <c r="C965" s="6">
        <f>IFERROR(__xludf.DUMMYFUNCTION("""COMPUTED_VALUE"""),0.7209953703713836)</f>
        <v>0.7209953704</v>
      </c>
      <c r="D965" s="4">
        <f>IFERROR(__xludf.DUMMYFUNCTION("""COMPUTED_VALUE"""),13.055159)</f>
        <v>13.055159</v>
      </c>
      <c r="E965" s="4">
        <f>IFERROR(__xludf.DUMMYFUNCTION("""COMPUTED_VALUE"""),80.264319)</f>
        <v>80.264319</v>
      </c>
      <c r="F965" s="4">
        <f>IFERROR(__xludf.DUMMYFUNCTION("""COMPUTED_VALUE"""),805.0)</f>
        <v>805</v>
      </c>
      <c r="G965" s="4">
        <f>IFERROR(__xludf.DUMMYFUNCTION("""COMPUTED_VALUE"""),16.0)</f>
        <v>16</v>
      </c>
      <c r="H965" s="4"/>
      <c r="I965" s="4"/>
    </row>
    <row r="966">
      <c r="A966" s="4" t="str">
        <f>IFERROR(__xludf.DUMMYFUNCTION("""COMPUTED_VALUE"""),"cas_hmw")</f>
        <v>cas_hmw</v>
      </c>
      <c r="B966" s="5">
        <f>IFERROR(__xludf.DUMMYFUNCTION("""COMPUTED_VALUE"""),44740.0)</f>
        <v>44740</v>
      </c>
      <c r="C966" s="6">
        <f>IFERROR(__xludf.DUMMYFUNCTION("""COMPUTED_VALUE"""),0.7209953703713836)</f>
        <v>0.7209953704</v>
      </c>
      <c r="D966" s="4">
        <f>IFERROR(__xludf.DUMMYFUNCTION("""COMPUTED_VALUE"""),13.055159)</f>
        <v>13.055159</v>
      </c>
      <c r="E966" s="4">
        <f>IFERROR(__xludf.DUMMYFUNCTION("""COMPUTED_VALUE"""),80.264319)</f>
        <v>80.264319</v>
      </c>
      <c r="F966" s="4">
        <f>IFERROR(__xludf.DUMMYFUNCTION("""COMPUTED_VALUE"""),805.0)</f>
        <v>805</v>
      </c>
      <c r="G966" s="4">
        <f>IFERROR(__xludf.DUMMYFUNCTION("""COMPUTED_VALUE"""),16.0)</f>
        <v>16</v>
      </c>
      <c r="H966" s="4"/>
      <c r="I966" s="4"/>
    </row>
    <row r="967">
      <c r="A967" s="4" t="str">
        <f>IFERROR(__xludf.DUMMYFUNCTION("""COMPUTED_VALUE"""),"cas_hmw")</f>
        <v>cas_hmw</v>
      </c>
      <c r="B967" s="5">
        <f>IFERROR(__xludf.DUMMYFUNCTION("""COMPUTED_VALUE"""),44740.0)</f>
        <v>44740</v>
      </c>
      <c r="C967" s="6">
        <f>IFERROR(__xludf.DUMMYFUNCTION("""COMPUTED_VALUE"""),0.721018518517667)</f>
        <v>0.7210185185</v>
      </c>
      <c r="D967" s="4">
        <f>IFERROR(__xludf.DUMMYFUNCTION("""COMPUTED_VALUE"""),13.055159)</f>
        <v>13.055159</v>
      </c>
      <c r="E967" s="4">
        <f>IFERROR(__xludf.DUMMYFUNCTION("""COMPUTED_VALUE"""),80.264319)</f>
        <v>80.264319</v>
      </c>
      <c r="F967" s="4">
        <f>IFERROR(__xludf.DUMMYFUNCTION("""COMPUTED_VALUE"""),805.0)</f>
        <v>805</v>
      </c>
      <c r="G967" s="4">
        <f>IFERROR(__xludf.DUMMYFUNCTION("""COMPUTED_VALUE"""),16.0)</f>
        <v>16</v>
      </c>
      <c r="H967" s="4"/>
      <c r="I967" s="4"/>
    </row>
    <row r="968">
      <c r="A968" s="4" t="str">
        <f>IFERROR(__xludf.DUMMYFUNCTION("""COMPUTED_VALUE"""),"cas_hmw")</f>
        <v>cas_hmw</v>
      </c>
      <c r="B968" s="5">
        <f>IFERROR(__xludf.DUMMYFUNCTION("""COMPUTED_VALUE"""),44740.0)</f>
        <v>44740</v>
      </c>
      <c r="C968" s="6">
        <f>IFERROR(__xludf.DUMMYFUNCTION("""COMPUTED_VALUE"""),0.721018518517667)</f>
        <v>0.7210185185</v>
      </c>
      <c r="D968" s="4">
        <f>IFERROR(__xludf.DUMMYFUNCTION("""COMPUTED_VALUE"""),13.055159)</f>
        <v>13.055159</v>
      </c>
      <c r="E968" s="4">
        <f>IFERROR(__xludf.DUMMYFUNCTION("""COMPUTED_VALUE"""),80.264319)</f>
        <v>80.264319</v>
      </c>
      <c r="F968" s="4">
        <f>IFERROR(__xludf.DUMMYFUNCTION("""COMPUTED_VALUE"""),805.0)</f>
        <v>805</v>
      </c>
      <c r="G968" s="4">
        <f>IFERROR(__xludf.DUMMYFUNCTION("""COMPUTED_VALUE"""),16.0)</f>
        <v>16</v>
      </c>
      <c r="H968" s="4"/>
      <c r="I968" s="4"/>
    </row>
    <row r="969">
      <c r="A969" s="4" t="str">
        <f>IFERROR(__xludf.DUMMYFUNCTION("""COMPUTED_VALUE"""),"cas_hmw")</f>
        <v>cas_hmw</v>
      </c>
      <c r="B969" s="5">
        <f>IFERROR(__xludf.DUMMYFUNCTION("""COMPUTED_VALUE"""),44740.0)</f>
        <v>44740</v>
      </c>
      <c r="C969" s="6">
        <f>IFERROR(__xludf.DUMMYFUNCTION("""COMPUTED_VALUE"""),0.7253935185181035)</f>
        <v>0.7253935185</v>
      </c>
      <c r="D969" s="4">
        <f>IFERROR(__xludf.DUMMYFUNCTION("""COMPUTED_VALUE"""),13.066271)</f>
        <v>13.066271</v>
      </c>
      <c r="E969" s="4">
        <f>IFERROR(__xludf.DUMMYFUNCTION("""COMPUTED_VALUE"""),80.26813)</f>
        <v>80.26813</v>
      </c>
      <c r="F969" s="4">
        <f>IFERROR(__xludf.DUMMYFUNCTION("""COMPUTED_VALUE"""),805.0)</f>
        <v>805</v>
      </c>
      <c r="G969" s="4">
        <f>IFERROR(__xludf.DUMMYFUNCTION("""COMPUTED_VALUE"""),9.0)</f>
        <v>9</v>
      </c>
      <c r="H969" s="4"/>
      <c r="I969" s="4"/>
    </row>
    <row r="970">
      <c r="A970" s="4" t="str">
        <f>IFERROR(__xludf.DUMMYFUNCTION("""COMPUTED_VALUE"""),"cas_hmw")</f>
        <v>cas_hmw</v>
      </c>
      <c r="B970" s="5">
        <f>IFERROR(__xludf.DUMMYFUNCTION("""COMPUTED_VALUE"""),44740.0)</f>
        <v>44740</v>
      </c>
      <c r="C970" s="6">
        <f>IFERROR(__xludf.DUMMYFUNCTION("""COMPUTED_VALUE"""),0.7254050925912452)</f>
        <v>0.7254050926</v>
      </c>
      <c r="D970" s="4">
        <f>IFERROR(__xludf.DUMMYFUNCTION("""COMPUTED_VALUE"""),13.066357)</f>
        <v>13.066357</v>
      </c>
      <c r="E970" s="4">
        <f>IFERROR(__xludf.DUMMYFUNCTION("""COMPUTED_VALUE"""),80.268217)</f>
        <v>80.268217</v>
      </c>
      <c r="F970" s="4">
        <f>IFERROR(__xludf.DUMMYFUNCTION("""COMPUTED_VALUE"""),805.0)</f>
        <v>805</v>
      </c>
      <c r="G970" s="4">
        <f>IFERROR(__xludf.DUMMYFUNCTION("""COMPUTED_VALUE"""),6.0)</f>
        <v>6</v>
      </c>
      <c r="H970" s="4"/>
      <c r="I970" s="4"/>
    </row>
    <row r="971">
      <c r="A971" s="4" t="str">
        <f>IFERROR(__xludf.DUMMYFUNCTION("""COMPUTED_VALUE"""),"cas_hmw")</f>
        <v>cas_hmw</v>
      </c>
      <c r="B971" s="5">
        <f>IFERROR(__xludf.DUMMYFUNCTION("""COMPUTED_VALUE"""),44740.0)</f>
        <v>44740</v>
      </c>
      <c r="C971" s="6">
        <f>IFERROR(__xludf.DUMMYFUNCTION("""COMPUTED_VALUE"""),0.7285416666672972)</f>
        <v>0.7285416667</v>
      </c>
      <c r="D971" s="4">
        <f>IFERROR(__xludf.DUMMYFUNCTION("""COMPUTED_VALUE"""),13.068126)</f>
        <v>13.068126</v>
      </c>
      <c r="E971" s="4">
        <f>IFERROR(__xludf.DUMMYFUNCTION("""COMPUTED_VALUE"""),80.271843)</f>
        <v>80.271843</v>
      </c>
      <c r="F971" s="4">
        <f>IFERROR(__xludf.DUMMYFUNCTION("""COMPUTED_VALUE"""),5339.0)</f>
        <v>5339</v>
      </c>
      <c r="G971" s="4">
        <f>IFERROR(__xludf.DUMMYFUNCTION("""COMPUTED_VALUE"""),2.0)</f>
        <v>2</v>
      </c>
      <c r="H971" s="4"/>
      <c r="I971" s="4"/>
    </row>
    <row r="972">
      <c r="A972" s="4" t="str">
        <f>IFERROR(__xludf.DUMMYFUNCTION("""COMPUTED_VALUE"""),"cas_hmw")</f>
        <v>cas_hmw</v>
      </c>
      <c r="B972" s="5">
        <f>IFERROR(__xludf.DUMMYFUNCTION("""COMPUTED_VALUE"""),44740.0)</f>
        <v>44740</v>
      </c>
      <c r="C972" s="6">
        <f>IFERROR(__xludf.DUMMYFUNCTION("""COMPUTED_VALUE"""),0.734027777776646)</f>
        <v>0.7340277778</v>
      </c>
      <c r="D972" s="4">
        <f>IFERROR(__xludf.DUMMYFUNCTION("""COMPUTED_VALUE"""),13.067597)</f>
        <v>13.067597</v>
      </c>
      <c r="E972" s="4">
        <f>IFERROR(__xludf.DUMMYFUNCTION("""COMPUTED_VALUE"""),80.24959)</f>
        <v>80.24959</v>
      </c>
      <c r="F972" s="4">
        <f>IFERROR(__xludf.DUMMYFUNCTION("""COMPUTED_VALUE"""),805.0)</f>
        <v>805</v>
      </c>
      <c r="G972" s="4">
        <f>IFERROR(__xludf.DUMMYFUNCTION("""COMPUTED_VALUE"""),7.0)</f>
        <v>7</v>
      </c>
      <c r="H972" s="4"/>
      <c r="I972" s="4"/>
    </row>
    <row r="973">
      <c r="A973" s="4" t="str">
        <f>IFERROR(__xludf.DUMMYFUNCTION("""COMPUTED_VALUE"""),"cas_hmw")</f>
        <v>cas_hmw</v>
      </c>
      <c r="B973" s="5">
        <f>IFERROR(__xludf.DUMMYFUNCTION("""COMPUTED_VALUE"""),44740.0)</f>
        <v>44740</v>
      </c>
      <c r="C973" s="6">
        <f>IFERROR(__xludf.DUMMYFUNCTION("""COMPUTED_VALUE"""),0.7357407407398568)</f>
        <v>0.7357407407</v>
      </c>
      <c r="D973" s="4">
        <f>IFERROR(__xludf.DUMMYFUNCTION("""COMPUTED_VALUE"""),13.067655)</f>
        <v>13.067655</v>
      </c>
      <c r="E973" s="4">
        <f>IFERROR(__xludf.DUMMYFUNCTION("""COMPUTED_VALUE"""),80.255068)</f>
        <v>80.255068</v>
      </c>
      <c r="F973" s="4">
        <f>IFERROR(__xludf.DUMMYFUNCTION("""COMPUTED_VALUE"""),5339.0)</f>
        <v>5339</v>
      </c>
      <c r="G973" s="4">
        <f>IFERROR(__xludf.DUMMYFUNCTION("""COMPUTED_VALUE"""),9.0)</f>
        <v>9</v>
      </c>
      <c r="H973" s="4"/>
      <c r="I973" s="4"/>
    </row>
    <row r="974">
      <c r="A974" s="4" t="str">
        <f>IFERROR(__xludf.DUMMYFUNCTION("""COMPUTED_VALUE"""),"cas_hmw")</f>
        <v>cas_hmw</v>
      </c>
      <c r="B974" s="5">
        <f>IFERROR(__xludf.DUMMYFUNCTION("""COMPUTED_VALUE"""),44740.0)</f>
        <v>44740</v>
      </c>
      <c r="C974" s="6">
        <f>IFERROR(__xludf.DUMMYFUNCTION("""COMPUTED_VALUE"""),0.7357407407398568)</f>
        <v>0.7357407407</v>
      </c>
      <c r="D974" s="4">
        <f>IFERROR(__xludf.DUMMYFUNCTION("""COMPUTED_VALUE"""),13.067655)</f>
        <v>13.067655</v>
      </c>
      <c r="E974" s="4">
        <f>IFERROR(__xludf.DUMMYFUNCTION("""COMPUTED_VALUE"""),80.255068)</f>
        <v>80.255068</v>
      </c>
      <c r="F974" s="4">
        <f>IFERROR(__xludf.DUMMYFUNCTION("""COMPUTED_VALUE"""),5339.0)</f>
        <v>5339</v>
      </c>
      <c r="G974" s="4">
        <f>IFERROR(__xludf.DUMMYFUNCTION("""COMPUTED_VALUE"""),9.0)</f>
        <v>9</v>
      </c>
      <c r="H974" s="4"/>
      <c r="I974" s="4"/>
    </row>
    <row r="975">
      <c r="A975" s="4" t="str">
        <f>IFERROR(__xludf.DUMMYFUNCTION("""COMPUTED_VALUE"""),"cas_hmw")</f>
        <v>cas_hmw</v>
      </c>
      <c r="B975" s="5">
        <f>IFERROR(__xludf.DUMMYFUNCTION("""COMPUTED_VALUE"""),44741.0)</f>
        <v>44741</v>
      </c>
      <c r="C975" s="6">
        <f>IFERROR(__xludf.DUMMYFUNCTION("""COMPUTED_VALUE"""),0.3214004629626288)</f>
        <v>0.321400463</v>
      </c>
      <c r="D975" s="4">
        <f>IFERROR(__xludf.DUMMYFUNCTION("""COMPUTED_VALUE"""),13.019963)</f>
        <v>13.019963</v>
      </c>
      <c r="E975" s="4">
        <f>IFERROR(__xludf.DUMMYFUNCTION("""COMPUTED_VALUE"""),80.2248)</f>
        <v>80.2248</v>
      </c>
      <c r="F975" s="4">
        <f>IFERROR(__xludf.DUMMYFUNCTION("""COMPUTED_VALUE"""),5339.0)</f>
        <v>5339</v>
      </c>
      <c r="G975" s="4">
        <f>IFERROR(__xludf.DUMMYFUNCTION("""COMPUTED_VALUE"""),19.0)</f>
        <v>19</v>
      </c>
      <c r="H975" s="4"/>
      <c r="I975" s="4"/>
    </row>
    <row r="976">
      <c r="A976" s="4" t="str">
        <f>IFERROR(__xludf.DUMMYFUNCTION("""COMPUTED_VALUE"""),"cas_hmw")</f>
        <v>cas_hmw</v>
      </c>
      <c r="B976" s="5">
        <f>IFERROR(__xludf.DUMMYFUNCTION("""COMPUTED_VALUE"""),44741.0)</f>
        <v>44741</v>
      </c>
      <c r="C976" s="6">
        <f>IFERROR(__xludf.DUMMYFUNCTION("""COMPUTED_VALUE"""),0.3219444444439432)</f>
        <v>0.3219444444</v>
      </c>
      <c r="D976" s="4">
        <f>IFERROR(__xludf.DUMMYFUNCTION("""COMPUTED_VALUE"""),12.691487)</f>
        <v>12.691487</v>
      </c>
      <c r="E976" s="4">
        <f>IFERROR(__xludf.DUMMYFUNCTION("""COMPUTED_VALUE"""),79.980614)</f>
        <v>79.980614</v>
      </c>
      <c r="F976" s="4">
        <f>IFERROR(__xludf.DUMMYFUNCTION("""COMPUTED_VALUE"""),2846.0)</f>
        <v>2846</v>
      </c>
      <c r="G976" s="4">
        <f>IFERROR(__xludf.DUMMYFUNCTION("""COMPUTED_VALUE"""),11.0)</f>
        <v>11</v>
      </c>
      <c r="H976" s="4"/>
      <c r="I976" s="4"/>
    </row>
    <row r="977">
      <c r="A977" s="4" t="str">
        <f>IFERROR(__xludf.DUMMYFUNCTION("""COMPUTED_VALUE"""),"cas_hmw")</f>
        <v>cas_hmw</v>
      </c>
      <c r="B977" s="5">
        <f>IFERROR(__xludf.DUMMYFUNCTION("""COMPUTED_VALUE"""),44741.0)</f>
        <v>44741</v>
      </c>
      <c r="C977" s="6">
        <f>IFERROR(__xludf.DUMMYFUNCTION("""COMPUTED_VALUE"""),0.34802083333488554)</f>
        <v>0.3480208333</v>
      </c>
      <c r="D977" s="4">
        <f>IFERROR(__xludf.DUMMYFUNCTION("""COMPUTED_VALUE"""),12.917104)</f>
        <v>12.917104</v>
      </c>
      <c r="E977" s="4">
        <f>IFERROR(__xludf.DUMMYFUNCTION("""COMPUTED_VALUE"""),80.107378)</f>
        <v>80.107378</v>
      </c>
      <c r="F977" s="4">
        <f>IFERROR(__xludf.DUMMYFUNCTION("""COMPUTED_VALUE"""),805.0)</f>
        <v>805</v>
      </c>
      <c r="G977" s="4">
        <f>IFERROR(__xludf.DUMMYFUNCTION("""COMPUTED_VALUE"""),16.0)</f>
        <v>16</v>
      </c>
      <c r="H977" s="4"/>
      <c r="I977" s="4"/>
    </row>
    <row r="978">
      <c r="A978" s="4" t="str">
        <f>IFERROR(__xludf.DUMMYFUNCTION("""COMPUTED_VALUE"""),"cas_hmw")</f>
        <v>cas_hmw</v>
      </c>
      <c r="B978" s="5">
        <f>IFERROR(__xludf.DUMMYFUNCTION("""COMPUTED_VALUE"""),44741.0)</f>
        <v>44741</v>
      </c>
      <c r="C978" s="6">
        <f>IFERROR(__xludf.DUMMYFUNCTION("""COMPUTED_VALUE"""),0.3480324074080272)</f>
        <v>0.3480324074</v>
      </c>
      <c r="D978" s="4">
        <f>IFERROR(__xludf.DUMMYFUNCTION("""COMPUTED_VALUE"""),12.917104)</f>
        <v>12.917104</v>
      </c>
      <c r="E978" s="4">
        <f>IFERROR(__xludf.DUMMYFUNCTION("""COMPUTED_VALUE"""),80.107378)</f>
        <v>80.107378</v>
      </c>
      <c r="F978" s="4">
        <f>IFERROR(__xludf.DUMMYFUNCTION("""COMPUTED_VALUE"""),805.0)</f>
        <v>805</v>
      </c>
      <c r="G978" s="4">
        <f>IFERROR(__xludf.DUMMYFUNCTION("""COMPUTED_VALUE"""),16.0)</f>
        <v>16</v>
      </c>
      <c r="H978" s="4"/>
      <c r="I978" s="4"/>
    </row>
    <row r="979">
      <c r="A979" s="4" t="str">
        <f>IFERROR(__xludf.DUMMYFUNCTION("""COMPUTED_VALUE"""),"cas_hmw")</f>
        <v>cas_hmw</v>
      </c>
      <c r="B979" s="5">
        <f>IFERROR(__xludf.DUMMYFUNCTION("""COMPUTED_VALUE"""),44741.0)</f>
        <v>44741</v>
      </c>
      <c r="C979" s="6">
        <f>IFERROR(__xludf.DUMMYFUNCTION("""COMPUTED_VALUE"""),0.3495949074058444)</f>
        <v>0.3495949074</v>
      </c>
      <c r="D979" s="4">
        <f>IFERROR(__xludf.DUMMYFUNCTION("""COMPUTED_VALUE"""),12.907094)</f>
        <v>12.907094</v>
      </c>
      <c r="E979" s="4">
        <f>IFERROR(__xludf.DUMMYFUNCTION("""COMPUTED_VALUE"""),80.097003)</f>
        <v>80.097003</v>
      </c>
      <c r="F979" s="4">
        <f>IFERROR(__xludf.DUMMYFUNCTION("""COMPUTED_VALUE"""),805.0)</f>
        <v>805</v>
      </c>
      <c r="G979" s="4">
        <f>IFERROR(__xludf.DUMMYFUNCTION("""COMPUTED_VALUE"""),14.0)</f>
        <v>14</v>
      </c>
      <c r="H979" s="4"/>
      <c r="I979" s="4"/>
    </row>
    <row r="980">
      <c r="A980" s="4" t="str">
        <f>IFERROR(__xludf.DUMMYFUNCTION("""COMPUTED_VALUE"""),"cas_hmw")</f>
        <v>cas_hmw</v>
      </c>
      <c r="B980" s="5">
        <f>IFERROR(__xludf.DUMMYFUNCTION("""COMPUTED_VALUE"""),44741.0)</f>
        <v>44741</v>
      </c>
      <c r="C980" s="6">
        <f>IFERROR(__xludf.DUMMYFUNCTION("""COMPUTED_VALUE"""),0.3495949074058444)</f>
        <v>0.3495949074</v>
      </c>
      <c r="D980" s="4">
        <f>IFERROR(__xludf.DUMMYFUNCTION("""COMPUTED_VALUE"""),12.907094)</f>
        <v>12.907094</v>
      </c>
      <c r="E980" s="4">
        <f>IFERROR(__xludf.DUMMYFUNCTION("""COMPUTED_VALUE"""),80.097003)</f>
        <v>80.097003</v>
      </c>
      <c r="F980" s="4">
        <f>IFERROR(__xludf.DUMMYFUNCTION("""COMPUTED_VALUE"""),805.0)</f>
        <v>805</v>
      </c>
      <c r="G980" s="4">
        <f>IFERROR(__xludf.DUMMYFUNCTION("""COMPUTED_VALUE"""),14.0)</f>
        <v>14</v>
      </c>
      <c r="H980" s="4"/>
      <c r="I980" s="4"/>
    </row>
    <row r="981">
      <c r="A981" s="4" t="str">
        <f>IFERROR(__xludf.DUMMYFUNCTION("""COMPUTED_VALUE"""),"cas_hmw")</f>
        <v>cas_hmw</v>
      </c>
      <c r="B981" s="5">
        <f>IFERROR(__xludf.DUMMYFUNCTION("""COMPUTED_VALUE"""),44741.0)</f>
        <v>44741</v>
      </c>
      <c r="C981" s="6">
        <f>IFERROR(__xludf.DUMMYFUNCTION("""COMPUTED_VALUE"""),0.6838657407424762)</f>
        <v>0.6838657407</v>
      </c>
      <c r="D981" s="4">
        <f>IFERROR(__xludf.DUMMYFUNCTION("""COMPUTED_VALUE"""),12.936165)</f>
        <v>12.936165</v>
      </c>
      <c r="E981" s="4">
        <f>IFERROR(__xludf.DUMMYFUNCTION("""COMPUTED_VALUE"""),80.127044)</f>
        <v>80.127044</v>
      </c>
      <c r="F981" s="4">
        <f>IFERROR(__xludf.DUMMYFUNCTION("""COMPUTED_VALUE"""),805.0)</f>
        <v>805</v>
      </c>
      <c r="G981" s="4">
        <f>IFERROR(__xludf.DUMMYFUNCTION("""COMPUTED_VALUE"""),15.0)</f>
        <v>15</v>
      </c>
      <c r="H981" s="4"/>
      <c r="I981" s="4"/>
    </row>
    <row r="982">
      <c r="A982" s="4" t="str">
        <f>IFERROR(__xludf.DUMMYFUNCTION("""COMPUTED_VALUE"""),"cas_hmw")</f>
        <v>cas_hmw</v>
      </c>
      <c r="B982" s="5">
        <f>IFERROR(__xludf.DUMMYFUNCTION("""COMPUTED_VALUE"""),44741.0)</f>
        <v>44741</v>
      </c>
      <c r="C982" s="6">
        <f>IFERROR(__xludf.DUMMYFUNCTION("""COMPUTED_VALUE"""),0.6839004629619012)</f>
        <v>0.683900463</v>
      </c>
      <c r="D982" s="4">
        <f>IFERROR(__xludf.DUMMYFUNCTION("""COMPUTED_VALUE"""),12.936165)</f>
        <v>12.936165</v>
      </c>
      <c r="E982" s="4">
        <f>IFERROR(__xludf.DUMMYFUNCTION("""COMPUTED_VALUE"""),80.127044)</f>
        <v>80.127044</v>
      </c>
      <c r="F982" s="4">
        <f>IFERROR(__xludf.DUMMYFUNCTION("""COMPUTED_VALUE"""),805.0)</f>
        <v>805</v>
      </c>
      <c r="G982" s="4">
        <f>IFERROR(__xludf.DUMMYFUNCTION("""COMPUTED_VALUE"""),15.0)</f>
        <v>15</v>
      </c>
      <c r="H982" s="4"/>
      <c r="I982" s="4"/>
    </row>
    <row r="983">
      <c r="A983" s="4" t="str">
        <f>IFERROR(__xludf.DUMMYFUNCTION("""COMPUTED_VALUE"""),"cas_hmw")</f>
        <v>cas_hmw</v>
      </c>
      <c r="B983" s="5">
        <f>IFERROR(__xludf.DUMMYFUNCTION("""COMPUTED_VALUE"""),44741.0)</f>
        <v>44741</v>
      </c>
      <c r="C983" s="6">
        <f>IFERROR(__xludf.DUMMYFUNCTION("""COMPUTED_VALUE"""),0.6839004629619012)</f>
        <v>0.683900463</v>
      </c>
      <c r="D983" s="4">
        <f>IFERROR(__xludf.DUMMYFUNCTION("""COMPUTED_VALUE"""),12.936165)</f>
        <v>12.936165</v>
      </c>
      <c r="E983" s="4">
        <f>IFERROR(__xludf.DUMMYFUNCTION("""COMPUTED_VALUE"""),80.127044)</f>
        <v>80.127044</v>
      </c>
      <c r="F983" s="4">
        <f>IFERROR(__xludf.DUMMYFUNCTION("""COMPUTED_VALUE"""),805.0)</f>
        <v>805</v>
      </c>
      <c r="G983" s="4">
        <f>IFERROR(__xludf.DUMMYFUNCTION("""COMPUTED_VALUE"""),15.0)</f>
        <v>15</v>
      </c>
      <c r="H983" s="4"/>
      <c r="I983" s="4"/>
    </row>
    <row r="984">
      <c r="A984" s="4" t="str">
        <f>IFERROR(__xludf.DUMMYFUNCTION("""COMPUTED_VALUE"""),"cas_hmw")</f>
        <v>cas_hmw</v>
      </c>
      <c r="B984" s="5">
        <f>IFERROR(__xludf.DUMMYFUNCTION("""COMPUTED_VALUE"""),44741.0)</f>
        <v>44741</v>
      </c>
      <c r="C984" s="6">
        <f>IFERROR(__xludf.DUMMYFUNCTION("""COMPUTED_VALUE"""),0.6845023148161999)</f>
        <v>0.6845023148</v>
      </c>
      <c r="D984" s="4">
        <f>IFERROR(__xludf.DUMMYFUNCTION("""COMPUTED_VALUE"""),12.928405)</f>
        <v>12.928405</v>
      </c>
      <c r="E984" s="4">
        <f>IFERROR(__xludf.DUMMYFUNCTION("""COMPUTED_VALUE"""),80.119548)</f>
        <v>80.119548</v>
      </c>
      <c r="F984" s="4">
        <f>IFERROR(__xludf.DUMMYFUNCTION("""COMPUTED_VALUE"""),5339.0)</f>
        <v>5339</v>
      </c>
      <c r="G984" s="4">
        <f>IFERROR(__xludf.DUMMYFUNCTION("""COMPUTED_VALUE"""),19.0)</f>
        <v>19</v>
      </c>
      <c r="H984" s="4"/>
      <c r="I984" s="4"/>
    </row>
    <row r="985">
      <c r="A985" s="4" t="str">
        <f>IFERROR(__xludf.DUMMYFUNCTION("""COMPUTED_VALUE"""),"cas_hmw")</f>
        <v>cas_hmw</v>
      </c>
      <c r="B985" s="5">
        <f>IFERROR(__xludf.DUMMYFUNCTION("""COMPUTED_VALUE"""),44741.0)</f>
        <v>44741</v>
      </c>
      <c r="C985" s="6">
        <f>IFERROR(__xludf.DUMMYFUNCTION("""COMPUTED_VALUE"""),0.6846527777779556)</f>
        <v>0.6846527778</v>
      </c>
      <c r="D985" s="4">
        <f>IFERROR(__xludf.DUMMYFUNCTION("""COMPUTED_VALUE"""),12.942248)</f>
        <v>12.942248</v>
      </c>
      <c r="E985" s="4">
        <f>IFERROR(__xludf.DUMMYFUNCTION("""COMPUTED_VALUE"""),80.132698)</f>
        <v>80.132698</v>
      </c>
      <c r="F985" s="4">
        <f>IFERROR(__xludf.DUMMYFUNCTION("""COMPUTED_VALUE"""),805.0)</f>
        <v>805</v>
      </c>
      <c r="G985" s="4">
        <f>IFERROR(__xludf.DUMMYFUNCTION("""COMPUTED_VALUE"""),7.0)</f>
        <v>7</v>
      </c>
      <c r="H985" s="4"/>
      <c r="I985" s="4"/>
    </row>
    <row r="986">
      <c r="A986" s="4" t="str">
        <f>IFERROR(__xludf.DUMMYFUNCTION("""COMPUTED_VALUE"""),"cas_hmw")</f>
        <v>cas_hmw</v>
      </c>
      <c r="B986" s="5">
        <f>IFERROR(__xludf.DUMMYFUNCTION("""COMPUTED_VALUE"""),44741.0)</f>
        <v>44741</v>
      </c>
      <c r="C986" s="6">
        <f>IFERROR(__xludf.DUMMYFUNCTION("""COMPUTED_VALUE"""),0.6847222222204437)</f>
        <v>0.6847222222</v>
      </c>
      <c r="D986" s="4">
        <f>IFERROR(__xludf.DUMMYFUNCTION("""COMPUTED_VALUE"""),12.942248)</f>
        <v>12.942248</v>
      </c>
      <c r="E986" s="4">
        <f>IFERROR(__xludf.DUMMYFUNCTION("""COMPUTED_VALUE"""),80.132698)</f>
        <v>80.132698</v>
      </c>
      <c r="F986" s="4">
        <f>IFERROR(__xludf.DUMMYFUNCTION("""COMPUTED_VALUE"""),805.0)</f>
        <v>805</v>
      </c>
      <c r="G986" s="4">
        <f>IFERROR(__xludf.DUMMYFUNCTION("""COMPUTED_VALUE"""),7.0)</f>
        <v>7</v>
      </c>
      <c r="H986" s="4"/>
      <c r="I986" s="4"/>
    </row>
    <row r="987">
      <c r="A987" s="4" t="str">
        <f>IFERROR(__xludf.DUMMYFUNCTION("""COMPUTED_VALUE"""),"cas_hmw")</f>
        <v>cas_hmw</v>
      </c>
      <c r="B987" s="5">
        <f>IFERROR(__xludf.DUMMYFUNCTION("""COMPUTED_VALUE"""),44741.0)</f>
        <v>44741</v>
      </c>
      <c r="C987" s="6">
        <f>IFERROR(__xludf.DUMMYFUNCTION("""COMPUTED_VALUE"""),0.684780092593428)</f>
        <v>0.6847800926</v>
      </c>
      <c r="D987" s="4">
        <f>IFERROR(__xludf.DUMMYFUNCTION("""COMPUTED_VALUE"""),12.942248)</f>
        <v>12.942248</v>
      </c>
      <c r="E987" s="4">
        <f>IFERROR(__xludf.DUMMYFUNCTION("""COMPUTED_VALUE"""),80.132698)</f>
        <v>80.132698</v>
      </c>
      <c r="F987" s="4">
        <f>IFERROR(__xludf.DUMMYFUNCTION("""COMPUTED_VALUE"""),805.0)</f>
        <v>805</v>
      </c>
      <c r="G987" s="4">
        <f>IFERROR(__xludf.DUMMYFUNCTION("""COMPUTED_VALUE"""),7.0)</f>
        <v>7</v>
      </c>
      <c r="H987" s="4"/>
      <c r="I987" s="4"/>
    </row>
    <row r="988">
      <c r="A988" s="4" t="str">
        <f>IFERROR(__xludf.DUMMYFUNCTION("""COMPUTED_VALUE"""),"cas_hmw")</f>
        <v>cas_hmw</v>
      </c>
      <c r="B988" s="5">
        <f>IFERROR(__xludf.DUMMYFUNCTION("""COMPUTED_VALUE"""),44741.0)</f>
        <v>44741</v>
      </c>
      <c r="C988" s="6">
        <f>IFERROR(__xludf.DUMMYFUNCTION("""COMPUTED_VALUE"""),0.684814814816491)</f>
        <v>0.6848148148</v>
      </c>
      <c r="D988" s="4">
        <f>IFERROR(__xludf.DUMMYFUNCTION("""COMPUTED_VALUE"""),12.942248)</f>
        <v>12.942248</v>
      </c>
      <c r="E988" s="4">
        <f>IFERROR(__xludf.DUMMYFUNCTION("""COMPUTED_VALUE"""),80.132698)</f>
        <v>80.132698</v>
      </c>
      <c r="F988" s="4">
        <f>IFERROR(__xludf.DUMMYFUNCTION("""COMPUTED_VALUE"""),805.0)</f>
        <v>805</v>
      </c>
      <c r="G988" s="4">
        <f>IFERROR(__xludf.DUMMYFUNCTION("""COMPUTED_VALUE"""),7.0)</f>
        <v>7</v>
      </c>
      <c r="H988" s="4"/>
      <c r="I988" s="4"/>
    </row>
    <row r="989">
      <c r="A989" s="4" t="str">
        <f>IFERROR(__xludf.DUMMYFUNCTION("""COMPUTED_VALUE"""),"cas_hmw")</f>
        <v>cas_hmw</v>
      </c>
      <c r="B989" s="5">
        <f>IFERROR(__xludf.DUMMYFUNCTION("""COMPUTED_VALUE"""),44741.0)</f>
        <v>44741</v>
      </c>
      <c r="C989" s="6">
        <f>IFERROR(__xludf.DUMMYFUNCTION("""COMPUTED_VALUE"""),0.6848726851858373)</f>
        <v>0.6848726852</v>
      </c>
      <c r="D989" s="4">
        <f>IFERROR(__xludf.DUMMYFUNCTION("""COMPUTED_VALUE"""),12.929692)</f>
        <v>12.929692</v>
      </c>
      <c r="E989" s="4">
        <f>IFERROR(__xludf.DUMMYFUNCTION("""COMPUTED_VALUE"""),80.120795)</f>
        <v>80.120795</v>
      </c>
      <c r="F989" s="4">
        <f>IFERROR(__xludf.DUMMYFUNCTION("""COMPUTED_VALUE"""),5339.0)</f>
        <v>5339</v>
      </c>
      <c r="G989" s="4">
        <f>IFERROR(__xludf.DUMMYFUNCTION("""COMPUTED_VALUE"""),18.0)</f>
        <v>18</v>
      </c>
      <c r="H989" s="4"/>
      <c r="I989" s="4"/>
    </row>
    <row r="990">
      <c r="A990" s="4" t="str">
        <f>IFERROR(__xludf.DUMMYFUNCTION("""COMPUTED_VALUE"""),"cas_hmw")</f>
        <v>cas_hmw</v>
      </c>
      <c r="B990" s="5">
        <f>IFERROR(__xludf.DUMMYFUNCTION("""COMPUTED_VALUE"""),44741.0)</f>
        <v>44741</v>
      </c>
      <c r="C990" s="6">
        <f>IFERROR(__xludf.DUMMYFUNCTION("""COMPUTED_VALUE"""),0.684884259258979)</f>
        <v>0.6848842593</v>
      </c>
      <c r="D990" s="4">
        <f>IFERROR(__xludf.DUMMYFUNCTION("""COMPUTED_VALUE"""),12.94276)</f>
        <v>12.94276</v>
      </c>
      <c r="E990" s="4">
        <f>IFERROR(__xludf.DUMMYFUNCTION("""COMPUTED_VALUE"""),80.13326)</f>
        <v>80.13326</v>
      </c>
      <c r="F990" s="4">
        <f>IFERROR(__xludf.DUMMYFUNCTION("""COMPUTED_VALUE"""),805.0)</f>
        <v>805</v>
      </c>
      <c r="G990" s="4">
        <f>IFERROR(__xludf.DUMMYFUNCTION("""COMPUTED_VALUE"""),20.0)</f>
        <v>20</v>
      </c>
      <c r="H990" s="4"/>
      <c r="I990" s="4"/>
    </row>
    <row r="991">
      <c r="A991" s="4" t="str">
        <f>IFERROR(__xludf.DUMMYFUNCTION("""COMPUTED_VALUE"""),"cas_hmw")</f>
        <v>cas_hmw</v>
      </c>
      <c r="B991" s="5">
        <f>IFERROR(__xludf.DUMMYFUNCTION("""COMPUTED_VALUE"""),44741.0)</f>
        <v>44741</v>
      </c>
      <c r="C991" s="6">
        <f>IFERROR(__xludf.DUMMYFUNCTION("""COMPUTED_VALUE"""),0.69300925925927)</f>
        <v>0.6930092593</v>
      </c>
      <c r="D991" s="4">
        <f>IFERROR(__xludf.DUMMYFUNCTION("""COMPUTED_VALUE"""),12.989043)</f>
        <v>12.989043</v>
      </c>
      <c r="E991" s="4">
        <f>IFERROR(__xludf.DUMMYFUNCTION("""COMPUTED_VALUE"""),80.178242)</f>
        <v>80.178242</v>
      </c>
      <c r="F991" s="4">
        <f>IFERROR(__xludf.DUMMYFUNCTION("""COMPUTED_VALUE"""),805.0)</f>
        <v>805</v>
      </c>
      <c r="G991" s="4">
        <f>IFERROR(__xludf.DUMMYFUNCTION("""COMPUTED_VALUE"""),10.0)</f>
        <v>10</v>
      </c>
      <c r="H991" s="4"/>
      <c r="I991" s="4"/>
    </row>
    <row r="992">
      <c r="A992" s="4" t="str">
        <f>IFERROR(__xludf.DUMMYFUNCTION("""COMPUTED_VALUE"""),"cas_hmw")</f>
        <v>cas_hmw</v>
      </c>
      <c r="B992" s="5">
        <f>IFERROR(__xludf.DUMMYFUNCTION("""COMPUTED_VALUE"""),44741.0)</f>
        <v>44741</v>
      </c>
      <c r="C992" s="6">
        <f>IFERROR(__xludf.DUMMYFUNCTION("""COMPUTED_VALUE"""),0.6946296296300716)</f>
        <v>0.6946296296</v>
      </c>
      <c r="D992" s="4">
        <f>IFERROR(__xludf.DUMMYFUNCTION("""COMPUTED_VALUE"""),12.995806)</f>
        <v>12.995806</v>
      </c>
      <c r="E992" s="4">
        <f>IFERROR(__xludf.DUMMYFUNCTION("""COMPUTED_VALUE"""),80.188903)</f>
        <v>80.188903</v>
      </c>
      <c r="F992" s="4">
        <f>IFERROR(__xludf.DUMMYFUNCTION("""COMPUTED_VALUE"""),805.0)</f>
        <v>805</v>
      </c>
      <c r="G992" s="4">
        <f>IFERROR(__xludf.DUMMYFUNCTION("""COMPUTED_VALUE"""),0.0)</f>
        <v>0</v>
      </c>
      <c r="H992" s="4"/>
      <c r="I992" s="4"/>
    </row>
    <row r="993">
      <c r="A993" s="4" t="str">
        <f>IFERROR(__xludf.DUMMYFUNCTION("""COMPUTED_VALUE"""),"cas_hmw")</f>
        <v>cas_hmw</v>
      </c>
      <c r="B993" s="5">
        <f>IFERROR(__xludf.DUMMYFUNCTION("""COMPUTED_VALUE"""),44741.0)</f>
        <v>44741</v>
      </c>
      <c r="C993" s="6">
        <f>IFERROR(__xludf.DUMMYFUNCTION("""COMPUTED_VALUE"""),0.6947453703687643)</f>
        <v>0.6947453704</v>
      </c>
      <c r="D993" s="4">
        <f>IFERROR(__xludf.DUMMYFUNCTION("""COMPUTED_VALUE"""),12.995806)</f>
        <v>12.995806</v>
      </c>
      <c r="E993" s="4">
        <f>IFERROR(__xludf.DUMMYFUNCTION("""COMPUTED_VALUE"""),80.188903)</f>
        <v>80.188903</v>
      </c>
      <c r="F993" s="4">
        <f>IFERROR(__xludf.DUMMYFUNCTION("""COMPUTED_VALUE"""),805.0)</f>
        <v>805</v>
      </c>
      <c r="G993" s="4">
        <f>IFERROR(__xludf.DUMMYFUNCTION("""COMPUTED_VALUE"""),0.0)</f>
        <v>0</v>
      </c>
      <c r="H993" s="4"/>
      <c r="I993" s="4"/>
    </row>
    <row r="994">
      <c r="A994" s="4" t="str">
        <f>IFERROR(__xludf.DUMMYFUNCTION("""COMPUTED_VALUE"""),"cas_hmw")</f>
        <v>cas_hmw</v>
      </c>
      <c r="B994" s="5">
        <f>IFERROR(__xludf.DUMMYFUNCTION("""COMPUTED_VALUE"""),44741.0)</f>
        <v>44741</v>
      </c>
      <c r="C994" s="6">
        <f>IFERROR(__xludf.DUMMYFUNCTION("""COMPUTED_VALUE"""),0.6948611111110949)</f>
        <v>0.6948611111</v>
      </c>
      <c r="D994" s="4">
        <f>IFERROR(__xludf.DUMMYFUNCTION("""COMPUTED_VALUE"""),12.995806)</f>
        <v>12.995806</v>
      </c>
      <c r="E994" s="4">
        <f>IFERROR(__xludf.DUMMYFUNCTION("""COMPUTED_VALUE"""),80.188903)</f>
        <v>80.188903</v>
      </c>
      <c r="F994" s="4">
        <f>IFERROR(__xludf.DUMMYFUNCTION("""COMPUTED_VALUE"""),805.0)</f>
        <v>805</v>
      </c>
      <c r="G994" s="4">
        <f>IFERROR(__xludf.DUMMYFUNCTION("""COMPUTED_VALUE"""),0.0)</f>
        <v>0</v>
      </c>
      <c r="H994" s="4"/>
      <c r="I994" s="4"/>
    </row>
    <row r="995">
      <c r="A995" s="4" t="str">
        <f>IFERROR(__xludf.DUMMYFUNCTION("""COMPUTED_VALUE"""),"cas_hmw")</f>
        <v>cas_hmw</v>
      </c>
      <c r="B995" s="5">
        <f>IFERROR(__xludf.DUMMYFUNCTION("""COMPUTED_VALUE"""),44741.0)</f>
        <v>44741</v>
      </c>
      <c r="C995" s="6">
        <f>IFERROR(__xludf.DUMMYFUNCTION("""COMPUTED_VALUE"""),0.695381944446126)</f>
        <v>0.6953819444</v>
      </c>
      <c r="D995" s="4">
        <f>IFERROR(__xludf.DUMMYFUNCTION("""COMPUTED_VALUE"""),12.72417)</f>
        <v>12.72417</v>
      </c>
      <c r="E995" s="4">
        <f>IFERROR(__xludf.DUMMYFUNCTION("""COMPUTED_VALUE"""),79.982128)</f>
        <v>79.982128</v>
      </c>
      <c r="F995" s="4">
        <f>IFERROR(__xludf.DUMMYFUNCTION("""COMPUTED_VALUE"""),2846.0)</f>
        <v>2846</v>
      </c>
      <c r="G995" s="4">
        <f>IFERROR(__xludf.DUMMYFUNCTION("""COMPUTED_VALUE"""),0.0)</f>
        <v>0</v>
      </c>
      <c r="H995" s="4"/>
      <c r="I995" s="4"/>
    </row>
    <row r="996">
      <c r="A996" s="4" t="str">
        <f>IFERROR(__xludf.DUMMYFUNCTION("""COMPUTED_VALUE"""),"cas_hmw")</f>
        <v>cas_hmw</v>
      </c>
      <c r="B996" s="5">
        <f>IFERROR(__xludf.DUMMYFUNCTION("""COMPUTED_VALUE"""),44741.0)</f>
        <v>44741</v>
      </c>
      <c r="C996" s="6">
        <f>IFERROR(__xludf.DUMMYFUNCTION("""COMPUTED_VALUE"""),0.6992592592578148)</f>
        <v>0.6992592593</v>
      </c>
      <c r="D996" s="4">
        <f>IFERROR(__xludf.DUMMYFUNCTION("""COMPUTED_VALUE"""),12.697293)</f>
        <v>12.697293</v>
      </c>
      <c r="E996" s="4">
        <f>IFERROR(__xludf.DUMMYFUNCTION("""COMPUTED_VALUE"""),79.976546)</f>
        <v>79.976546</v>
      </c>
      <c r="F996" s="4">
        <f>IFERROR(__xludf.DUMMYFUNCTION("""COMPUTED_VALUE"""),2846.0)</f>
        <v>2846</v>
      </c>
      <c r="G996" s="4">
        <f>IFERROR(__xludf.DUMMYFUNCTION("""COMPUTED_VALUE"""),10.0)</f>
        <v>10</v>
      </c>
      <c r="H996" s="4"/>
      <c r="I996" s="4"/>
    </row>
    <row r="997">
      <c r="A997" s="4" t="str">
        <f>IFERROR(__xludf.DUMMYFUNCTION("""COMPUTED_VALUE"""),"cas_hmw")</f>
        <v>cas_hmw</v>
      </c>
      <c r="B997" s="5">
        <f>IFERROR(__xludf.DUMMYFUNCTION("""COMPUTED_VALUE"""),44741.0)</f>
        <v>44741</v>
      </c>
      <c r="C997" s="6">
        <f>IFERROR(__xludf.DUMMYFUNCTION("""COMPUTED_VALUE"""),0.7016782407408755)</f>
        <v>0.7016782407</v>
      </c>
      <c r="D997" s="4">
        <f>IFERROR(__xludf.DUMMYFUNCTION("""COMPUTED_VALUE"""),13.015347)</f>
        <v>13.015347</v>
      </c>
      <c r="E997" s="4">
        <f>IFERROR(__xludf.DUMMYFUNCTION("""COMPUTED_VALUE"""),80.225671)</f>
        <v>80.225671</v>
      </c>
      <c r="F997" s="4">
        <f>IFERROR(__xludf.DUMMYFUNCTION("""COMPUTED_VALUE"""),805.0)</f>
        <v>805</v>
      </c>
      <c r="G997" s="4">
        <f>IFERROR(__xludf.DUMMYFUNCTION("""COMPUTED_VALUE"""),13.0)</f>
        <v>13</v>
      </c>
      <c r="H997" s="4"/>
      <c r="I997" s="4"/>
    </row>
    <row r="998">
      <c r="A998" s="4" t="str">
        <f>IFERROR(__xludf.DUMMYFUNCTION("""COMPUTED_VALUE"""),"cas_hmw")</f>
        <v>cas_hmw</v>
      </c>
      <c r="B998" s="5">
        <f>IFERROR(__xludf.DUMMYFUNCTION("""COMPUTED_VALUE"""),44741.0)</f>
        <v>44741</v>
      </c>
      <c r="C998" s="6">
        <f>IFERROR(__xludf.DUMMYFUNCTION("""COMPUTED_VALUE"""),0.7018402777794108)</f>
        <v>0.7018402778</v>
      </c>
      <c r="D998" s="4">
        <f>IFERROR(__xludf.DUMMYFUNCTION("""COMPUTED_VALUE"""),13.015016)</f>
        <v>13.015016</v>
      </c>
      <c r="E998" s="4">
        <f>IFERROR(__xludf.DUMMYFUNCTION("""COMPUTED_VALUE"""),80.225891)</f>
        <v>80.225891</v>
      </c>
      <c r="F998" s="4">
        <f>IFERROR(__xludf.DUMMYFUNCTION("""COMPUTED_VALUE"""),805.0)</f>
        <v>805</v>
      </c>
      <c r="G998" s="4">
        <f>IFERROR(__xludf.DUMMYFUNCTION("""COMPUTED_VALUE"""),0.0)</f>
        <v>0</v>
      </c>
      <c r="H998" s="4"/>
      <c r="I998" s="4"/>
    </row>
    <row r="999">
      <c r="A999" s="4" t="str">
        <f>IFERROR(__xludf.DUMMYFUNCTION("""COMPUTED_VALUE"""),"cas_hmw")</f>
        <v>cas_hmw</v>
      </c>
      <c r="B999" s="5">
        <f>IFERROR(__xludf.DUMMYFUNCTION("""COMPUTED_VALUE"""),44741.0)</f>
        <v>44741</v>
      </c>
      <c r="C999" s="6">
        <f>IFERROR(__xludf.DUMMYFUNCTION("""COMPUTED_VALUE"""),0.7021064814798592)</f>
        <v>0.7021064815</v>
      </c>
      <c r="D999" s="4">
        <f>IFERROR(__xludf.DUMMYFUNCTION("""COMPUTED_VALUE"""),13.015016)</f>
        <v>13.015016</v>
      </c>
      <c r="E999" s="4">
        <f>IFERROR(__xludf.DUMMYFUNCTION("""COMPUTED_VALUE"""),80.225891)</f>
        <v>80.225891</v>
      </c>
      <c r="F999" s="4">
        <f>IFERROR(__xludf.DUMMYFUNCTION("""COMPUTED_VALUE"""),805.0)</f>
        <v>805</v>
      </c>
      <c r="G999" s="4">
        <f>IFERROR(__xludf.DUMMYFUNCTION("""COMPUTED_VALUE"""),0.0)</f>
        <v>0</v>
      </c>
      <c r="H999" s="4"/>
      <c r="I999" s="4"/>
    </row>
    <row r="1000">
      <c r="A1000" s="4" t="str">
        <f>IFERROR(__xludf.DUMMYFUNCTION("""COMPUTED_VALUE"""),"cas_hmw")</f>
        <v>cas_hmw</v>
      </c>
      <c r="B1000" s="5">
        <f>IFERROR(__xludf.DUMMYFUNCTION("""COMPUTED_VALUE"""),44741.0)</f>
        <v>44741</v>
      </c>
      <c r="C1000" s="6">
        <f>IFERROR(__xludf.DUMMYFUNCTION("""COMPUTED_VALUE"""),0.7068171296305081)</f>
        <v>0.7068171296</v>
      </c>
      <c r="D1000" s="4">
        <f>IFERROR(__xludf.DUMMYFUNCTION("""COMPUTED_VALUE"""),13.00677)</f>
        <v>13.00677</v>
      </c>
      <c r="E1000" s="4">
        <f>IFERROR(__xludf.DUMMYFUNCTION("""COMPUTED_VALUE"""),80.247851)</f>
        <v>80.247851</v>
      </c>
      <c r="F1000" s="4">
        <f>IFERROR(__xludf.DUMMYFUNCTION("""COMPUTED_VALUE"""),805.0)</f>
        <v>805</v>
      </c>
      <c r="G1000" s="4">
        <f>IFERROR(__xludf.DUMMYFUNCTION("""COMPUTED_VALUE"""),0.0)</f>
        <v>0</v>
      </c>
      <c r="H1000" s="4"/>
      <c r="I1000" s="4"/>
    </row>
    <row r="1001">
      <c r="A1001" s="4" t="str">
        <f>IFERROR(__xludf.DUMMYFUNCTION("""COMPUTED_VALUE"""),"cas_hmw")</f>
        <v>cas_hmw</v>
      </c>
      <c r="B1001" s="5">
        <f>IFERROR(__xludf.DUMMYFUNCTION("""COMPUTED_VALUE"""),44741.0)</f>
        <v>44741</v>
      </c>
      <c r="C1001" s="6">
        <f>IFERROR(__xludf.DUMMYFUNCTION("""COMPUTED_VALUE"""),0.7091203703712381)</f>
        <v>0.7091203704</v>
      </c>
      <c r="D1001" s="4">
        <f>IFERROR(__xludf.DUMMYFUNCTION("""COMPUTED_VALUE"""),13.006703)</f>
        <v>13.006703</v>
      </c>
      <c r="E1001" s="4">
        <f>IFERROR(__xludf.DUMMYFUNCTION("""COMPUTED_VALUE"""),80.256965)</f>
        <v>80.256965</v>
      </c>
      <c r="F1001" s="4">
        <f>IFERROR(__xludf.DUMMYFUNCTION("""COMPUTED_VALUE"""),805.0)</f>
        <v>805</v>
      </c>
      <c r="G1001" s="4">
        <f>IFERROR(__xludf.DUMMYFUNCTION("""COMPUTED_VALUE"""),0.0)</f>
        <v>0</v>
      </c>
      <c r="H1001" s="4"/>
      <c r="I1001" s="4"/>
    </row>
    <row r="1002">
      <c r="A1002" s="4" t="str">
        <f>IFERROR(__xludf.DUMMYFUNCTION("""COMPUTED_VALUE"""),"cas_hmw")</f>
        <v>cas_hmw</v>
      </c>
      <c r="B1002" s="5">
        <f>IFERROR(__xludf.DUMMYFUNCTION("""COMPUTED_VALUE"""),44741.0)</f>
        <v>44741</v>
      </c>
      <c r="C1002" s="6">
        <f>IFERROR(__xludf.DUMMYFUNCTION("""COMPUTED_VALUE"""),0.7098726851836545)</f>
        <v>0.7098726852</v>
      </c>
      <c r="D1002" s="4">
        <f>IFERROR(__xludf.DUMMYFUNCTION("""COMPUTED_VALUE"""),13.026091)</f>
        <v>13.026091</v>
      </c>
      <c r="E1002" s="4">
        <f>IFERROR(__xludf.DUMMYFUNCTION("""COMPUTED_VALUE"""),80.231568)</f>
        <v>80.231568</v>
      </c>
      <c r="F1002" s="4">
        <f>IFERROR(__xludf.DUMMYFUNCTION("""COMPUTED_VALUE"""),5339.0)</f>
        <v>5339</v>
      </c>
      <c r="G1002" s="4">
        <f>IFERROR(__xludf.DUMMYFUNCTION("""COMPUTED_VALUE"""),19.0)</f>
        <v>19</v>
      </c>
      <c r="H1002" s="4"/>
      <c r="I1002" s="4"/>
    </row>
    <row r="1003">
      <c r="A1003" s="4" t="str">
        <f>IFERROR(__xludf.DUMMYFUNCTION("""COMPUTED_VALUE"""),"cas_hmw")</f>
        <v>cas_hmw</v>
      </c>
      <c r="B1003" s="5">
        <f>IFERROR(__xludf.DUMMYFUNCTION("""COMPUTED_VALUE"""),44741.0)</f>
        <v>44741</v>
      </c>
      <c r="C1003" s="6">
        <f>IFERROR(__xludf.DUMMYFUNCTION("""COMPUTED_VALUE"""),0.71072916666526)</f>
        <v>0.7107291667</v>
      </c>
      <c r="D1003" s="4">
        <f>IFERROR(__xludf.DUMMYFUNCTION("""COMPUTED_VALUE"""),13.007576)</f>
        <v>13.007576</v>
      </c>
      <c r="E1003" s="4">
        <f>IFERROR(__xludf.DUMMYFUNCTION("""COMPUTED_VALUE"""),80.258672)</f>
        <v>80.258672</v>
      </c>
      <c r="F1003" s="4">
        <f>IFERROR(__xludf.DUMMYFUNCTION("""COMPUTED_VALUE"""),805.0)</f>
        <v>805</v>
      </c>
      <c r="G1003" s="4">
        <f>IFERROR(__xludf.DUMMYFUNCTION("""COMPUTED_VALUE"""),0.0)</f>
        <v>0</v>
      </c>
      <c r="H1003" s="4"/>
      <c r="I1003" s="4"/>
    </row>
    <row r="1004">
      <c r="A1004" s="4" t="str">
        <f>IFERROR(__xludf.DUMMYFUNCTION("""COMPUTED_VALUE"""),"cas_hmw")</f>
        <v>cas_hmw</v>
      </c>
      <c r="B1004" s="5">
        <f>IFERROR(__xludf.DUMMYFUNCTION("""COMPUTED_VALUE"""),44741.0)</f>
        <v>44741</v>
      </c>
      <c r="C1004" s="6">
        <f>IFERROR(__xludf.DUMMYFUNCTION("""COMPUTED_VALUE"""),0.7121527777781012)</f>
        <v>0.7121527778</v>
      </c>
      <c r="D1004" s="4">
        <f>IFERROR(__xludf.DUMMYFUNCTION("""COMPUTED_VALUE"""),13.020326)</f>
        <v>13.020326</v>
      </c>
      <c r="E1004" s="4">
        <f>IFERROR(__xludf.DUMMYFUNCTION("""COMPUTED_VALUE"""),80.26264)</f>
        <v>80.26264</v>
      </c>
      <c r="F1004" s="4">
        <f>IFERROR(__xludf.DUMMYFUNCTION("""COMPUTED_VALUE"""),805.0)</f>
        <v>805</v>
      </c>
      <c r="G1004" s="4">
        <f>IFERROR(__xludf.DUMMYFUNCTION("""COMPUTED_VALUE"""),6.0)</f>
        <v>6</v>
      </c>
      <c r="H1004" s="4"/>
      <c r="I1004" s="4"/>
    </row>
    <row r="1005">
      <c r="A1005" s="4" t="str">
        <f>IFERROR(__xludf.DUMMYFUNCTION("""COMPUTED_VALUE"""),"cas_hmw")</f>
        <v>cas_hmw</v>
      </c>
      <c r="B1005" s="5">
        <f>IFERROR(__xludf.DUMMYFUNCTION("""COMPUTED_VALUE"""),44741.0)</f>
        <v>44741</v>
      </c>
      <c r="C1005" s="6">
        <f>IFERROR(__xludf.DUMMYFUNCTION("""COMPUTED_VALUE"""),0.7153009259272949)</f>
        <v>0.7153009259</v>
      </c>
      <c r="D1005" s="4">
        <f>IFERROR(__xludf.DUMMYFUNCTION("""COMPUTED_VALUE"""),13.042161)</f>
        <v>13.042161</v>
      </c>
      <c r="E1005" s="4">
        <f>IFERROR(__xludf.DUMMYFUNCTION("""COMPUTED_VALUE"""),80.247461)</f>
        <v>80.247461</v>
      </c>
      <c r="F1005" s="4">
        <f>IFERROR(__xludf.DUMMYFUNCTION("""COMPUTED_VALUE"""),5339.0)</f>
        <v>5339</v>
      </c>
      <c r="G1005" s="4">
        <f>IFERROR(__xludf.DUMMYFUNCTION("""COMPUTED_VALUE"""),16.0)</f>
        <v>16</v>
      </c>
      <c r="H1005" s="4"/>
      <c r="I1005" s="4"/>
    </row>
    <row r="1006">
      <c r="A1006" s="4" t="str">
        <f>IFERROR(__xludf.DUMMYFUNCTION("""COMPUTED_VALUE"""),"cas_hmw")</f>
        <v>cas_hmw</v>
      </c>
      <c r="B1006" s="5">
        <f>IFERROR(__xludf.DUMMYFUNCTION("""COMPUTED_VALUE"""),44741.0)</f>
        <v>44741</v>
      </c>
      <c r="C1006" s="6">
        <f>IFERROR(__xludf.DUMMYFUNCTION("""COMPUTED_VALUE"""),0.7286574074059899)</f>
        <v>0.7286574074</v>
      </c>
      <c r="D1006" s="4">
        <f>IFERROR(__xludf.DUMMYFUNCTION("""COMPUTED_VALUE"""),13.065543)</f>
        <v>13.065543</v>
      </c>
      <c r="E1006" s="4">
        <f>IFERROR(__xludf.DUMMYFUNCTION("""COMPUTED_VALUE"""),80.267395)</f>
        <v>80.267395</v>
      </c>
      <c r="F1006" s="4">
        <f>IFERROR(__xludf.DUMMYFUNCTION("""COMPUTED_VALUE"""),805.0)</f>
        <v>805</v>
      </c>
      <c r="G1006" s="4">
        <f>IFERROR(__xludf.DUMMYFUNCTION("""COMPUTED_VALUE"""),13.0)</f>
        <v>13</v>
      </c>
      <c r="H1006" s="4"/>
      <c r="I1006" s="4"/>
    </row>
    <row r="1007">
      <c r="A1007" s="4" t="str">
        <f>IFERROR(__xludf.DUMMYFUNCTION("""COMPUTED_VALUE"""),"cas_hmw")</f>
        <v>cas_hmw</v>
      </c>
      <c r="B1007" s="5">
        <f>IFERROR(__xludf.DUMMYFUNCTION("""COMPUTED_VALUE"""),44741.0)</f>
        <v>44741</v>
      </c>
      <c r="C1007" s="6">
        <f>IFERROR(__xludf.DUMMYFUNCTION("""COMPUTED_VALUE"""),0.7297685185185401)</f>
        <v>0.7297685185</v>
      </c>
      <c r="D1007" s="4">
        <f>IFERROR(__xludf.DUMMYFUNCTION("""COMPUTED_VALUE"""),13.068127)</f>
        <v>13.068127</v>
      </c>
      <c r="E1007" s="4">
        <f>IFERROR(__xludf.DUMMYFUNCTION("""COMPUTED_VALUE"""),80.271856)</f>
        <v>80.271856</v>
      </c>
      <c r="F1007" s="4">
        <f>IFERROR(__xludf.DUMMYFUNCTION("""COMPUTED_VALUE"""),5339.0)</f>
        <v>5339</v>
      </c>
      <c r="G1007" s="4">
        <f>IFERROR(__xludf.DUMMYFUNCTION("""COMPUTED_VALUE"""),11.0)</f>
        <v>11</v>
      </c>
      <c r="H1007" s="4"/>
      <c r="I1007" s="4"/>
    </row>
    <row r="1008">
      <c r="A1008" s="4" t="str">
        <f>IFERROR(__xludf.DUMMYFUNCTION("""COMPUTED_VALUE"""),"cas_hmw")</f>
        <v>cas_hmw</v>
      </c>
      <c r="B1008" s="5">
        <f>IFERROR(__xludf.DUMMYFUNCTION("""COMPUTED_VALUE"""),44741.0)</f>
        <v>44741</v>
      </c>
      <c r="C1008" s="6">
        <f>IFERROR(__xludf.DUMMYFUNCTION("""COMPUTED_VALUE"""),0.734548611111677)</f>
        <v>0.7345486111</v>
      </c>
      <c r="D1008" s="4">
        <f>IFERROR(__xludf.DUMMYFUNCTION("""COMPUTED_VALUE"""),13.069516)</f>
        <v>13.069516</v>
      </c>
      <c r="E1008" s="4">
        <f>IFERROR(__xludf.DUMMYFUNCTION("""COMPUTED_VALUE"""),80.256958)</f>
        <v>80.256958</v>
      </c>
      <c r="F1008" s="4">
        <f>IFERROR(__xludf.DUMMYFUNCTION("""COMPUTED_VALUE"""),5339.0)</f>
        <v>5339</v>
      </c>
      <c r="G1008" s="4">
        <f>IFERROR(__xludf.DUMMYFUNCTION("""COMPUTED_VALUE"""),17.0)</f>
        <v>17</v>
      </c>
      <c r="H1008" s="4"/>
      <c r="I1008" s="4"/>
    </row>
    <row r="1009">
      <c r="A1009" s="4" t="str">
        <f>IFERROR(__xludf.DUMMYFUNCTION("""COMPUTED_VALUE"""),"cas_hmw")</f>
        <v>cas_hmw</v>
      </c>
      <c r="B1009" s="5">
        <f>IFERROR(__xludf.DUMMYFUNCTION("""COMPUTED_VALUE"""),44742.0)</f>
        <v>44742</v>
      </c>
      <c r="C1009" s="6">
        <f>IFERROR(__xludf.DUMMYFUNCTION("""COMPUTED_VALUE"""),0.33151620370335877)</f>
        <v>0.3315162037</v>
      </c>
      <c r="D1009" s="4">
        <f>IFERROR(__xludf.DUMMYFUNCTION("""COMPUTED_VALUE"""),12.966499)</f>
        <v>12.966499</v>
      </c>
      <c r="E1009" s="4">
        <f>IFERROR(__xludf.DUMMYFUNCTION("""COMPUTED_VALUE"""),80.148774)</f>
        <v>80.148774</v>
      </c>
      <c r="F1009" s="4">
        <f>IFERROR(__xludf.DUMMYFUNCTION("""COMPUTED_VALUE"""),5339.0)</f>
        <v>5339</v>
      </c>
      <c r="G1009" s="4">
        <f>IFERROR(__xludf.DUMMYFUNCTION("""COMPUTED_VALUE"""),19.0)</f>
        <v>19</v>
      </c>
      <c r="H1009" s="4"/>
      <c r="I1009" s="4"/>
    </row>
    <row r="1010">
      <c r="A1010" s="4" t="str">
        <f>IFERROR(__xludf.DUMMYFUNCTION("""COMPUTED_VALUE"""),"cas_hmw")</f>
        <v>cas_hmw</v>
      </c>
      <c r="B1010" s="5">
        <f>IFERROR(__xludf.DUMMYFUNCTION("""COMPUTED_VALUE"""),44742.0)</f>
        <v>44742</v>
      </c>
      <c r="C1010" s="6">
        <f>IFERROR(__xludf.DUMMYFUNCTION("""COMPUTED_VALUE"""),0.34177083333270275)</f>
        <v>0.3417708333</v>
      </c>
      <c r="D1010" s="4">
        <f>IFERROR(__xludf.DUMMYFUNCTION("""COMPUTED_VALUE"""),12.957057)</f>
        <v>12.957057</v>
      </c>
      <c r="E1010" s="4">
        <f>IFERROR(__xludf.DUMMYFUNCTION("""COMPUTED_VALUE"""),80.143798)</f>
        <v>80.143798</v>
      </c>
      <c r="F1010" s="4">
        <f>IFERROR(__xludf.DUMMYFUNCTION("""COMPUTED_VALUE"""),805.0)</f>
        <v>805</v>
      </c>
      <c r="G1010" s="4">
        <f>IFERROR(__xludf.DUMMYFUNCTION("""COMPUTED_VALUE"""),15.0)</f>
        <v>15</v>
      </c>
      <c r="H1010" s="4"/>
      <c r="I1010" s="4"/>
    </row>
    <row r="1011">
      <c r="A1011" s="4" t="str">
        <f>IFERROR(__xludf.DUMMYFUNCTION("""COMPUTED_VALUE"""),"cas_hmw")</f>
        <v>cas_hmw</v>
      </c>
      <c r="B1011" s="5">
        <f>IFERROR(__xludf.DUMMYFUNCTION("""COMPUTED_VALUE"""),44742.0)</f>
        <v>44742</v>
      </c>
      <c r="C1011" s="6">
        <f>IFERROR(__xludf.DUMMYFUNCTION("""COMPUTED_VALUE"""),0.3426620370373712)</f>
        <v>0.342662037</v>
      </c>
      <c r="D1011" s="4">
        <f>IFERROR(__xludf.DUMMYFUNCTION("""COMPUTED_VALUE"""),12.955244)</f>
        <v>12.955244</v>
      </c>
      <c r="E1011" s="4">
        <f>IFERROR(__xludf.DUMMYFUNCTION("""COMPUTED_VALUE"""),80.14282)</f>
        <v>80.14282</v>
      </c>
      <c r="F1011" s="4">
        <f>IFERROR(__xludf.DUMMYFUNCTION("""COMPUTED_VALUE"""),805.0)</f>
        <v>805</v>
      </c>
      <c r="G1011" s="4">
        <f>IFERROR(__xludf.DUMMYFUNCTION("""COMPUTED_VALUE"""),17.0)</f>
        <v>17</v>
      </c>
      <c r="H1011" s="4"/>
      <c r="I1011" s="4"/>
    </row>
    <row r="1012">
      <c r="A1012" s="4" t="str">
        <f>IFERROR(__xludf.DUMMYFUNCTION("""COMPUTED_VALUE"""),"cas_hmw")</f>
        <v>cas_hmw</v>
      </c>
      <c r="B1012" s="5">
        <f>IFERROR(__xludf.DUMMYFUNCTION("""COMPUTED_VALUE"""),44742.0)</f>
        <v>44742</v>
      </c>
      <c r="C1012" s="6">
        <f>IFERROR(__xludf.DUMMYFUNCTION("""COMPUTED_VALUE"""),0.3481944444429246)</f>
        <v>0.3481944444</v>
      </c>
      <c r="D1012" s="4">
        <f>IFERROR(__xludf.DUMMYFUNCTION("""COMPUTED_VALUE"""),12.926339)</f>
        <v>12.926339</v>
      </c>
      <c r="E1012" s="4">
        <f>IFERROR(__xludf.DUMMYFUNCTION("""COMPUTED_VALUE"""),80.117543)</f>
        <v>80.117543</v>
      </c>
      <c r="F1012" s="4">
        <f>IFERROR(__xludf.DUMMYFUNCTION("""COMPUTED_VALUE"""),805.0)</f>
        <v>805</v>
      </c>
      <c r="G1012" s="4">
        <f>IFERROR(__xludf.DUMMYFUNCTION("""COMPUTED_VALUE"""),0.0)</f>
        <v>0</v>
      </c>
      <c r="H1012" s="4"/>
      <c r="I1012" s="4"/>
    </row>
    <row r="1013">
      <c r="A1013" s="4" t="str">
        <f>IFERROR(__xludf.DUMMYFUNCTION("""COMPUTED_VALUE"""),"cas_hmw")</f>
        <v>cas_hmw</v>
      </c>
      <c r="B1013" s="5">
        <f>IFERROR(__xludf.DUMMYFUNCTION("""COMPUTED_VALUE"""),44742.0)</f>
        <v>44742</v>
      </c>
      <c r="C1013" s="6">
        <f>IFERROR(__xludf.DUMMYFUNCTION("""COMPUTED_VALUE"""),0.679374999999709)</f>
        <v>0.679375</v>
      </c>
      <c r="D1013" s="4">
        <f>IFERROR(__xludf.DUMMYFUNCTION("""COMPUTED_VALUE"""),12.927037)</f>
        <v>12.927037</v>
      </c>
      <c r="E1013" s="4">
        <f>IFERROR(__xludf.DUMMYFUNCTION("""COMPUTED_VALUE"""),80.11815)</f>
        <v>80.11815</v>
      </c>
      <c r="F1013" s="4">
        <f>IFERROR(__xludf.DUMMYFUNCTION("""COMPUTED_VALUE"""),5339.0)</f>
        <v>5339</v>
      </c>
      <c r="G1013" s="4">
        <f>IFERROR(__xludf.DUMMYFUNCTION("""COMPUTED_VALUE"""),18.0)</f>
        <v>18</v>
      </c>
      <c r="H1013" s="4"/>
      <c r="I1013" s="4"/>
    </row>
    <row r="1014">
      <c r="A1014" s="4" t="str">
        <f>IFERROR(__xludf.DUMMYFUNCTION("""COMPUTED_VALUE"""),"cas_hmw")</f>
        <v>cas_hmw</v>
      </c>
      <c r="B1014" s="5">
        <f>IFERROR(__xludf.DUMMYFUNCTION("""COMPUTED_VALUE"""),44742.0)</f>
        <v>44742</v>
      </c>
      <c r="C1014" s="6">
        <f>IFERROR(__xludf.DUMMYFUNCTION("""COMPUTED_VALUE"""),0.6816435185173759)</f>
        <v>0.6816435185</v>
      </c>
      <c r="D1014" s="4">
        <f>IFERROR(__xludf.DUMMYFUNCTION("""COMPUTED_VALUE"""),12.821544)</f>
        <v>12.821544</v>
      </c>
      <c r="E1014" s="4">
        <f>IFERROR(__xludf.DUMMYFUNCTION("""COMPUTED_VALUE"""),80.037975)</f>
        <v>80.037975</v>
      </c>
      <c r="F1014" s="4">
        <f>IFERROR(__xludf.DUMMYFUNCTION("""COMPUTED_VALUE"""),2846.0)</f>
        <v>2846</v>
      </c>
      <c r="G1014" s="4">
        <f>IFERROR(__xludf.DUMMYFUNCTION("""COMPUTED_VALUE"""),16.0)</f>
        <v>16</v>
      </c>
      <c r="H1014" s="4"/>
      <c r="I1014" s="4"/>
    </row>
    <row r="1015">
      <c r="A1015" s="4" t="str">
        <f>IFERROR(__xludf.DUMMYFUNCTION("""COMPUTED_VALUE"""),"cas_hmw")</f>
        <v>cas_hmw</v>
      </c>
      <c r="B1015" s="5">
        <f>IFERROR(__xludf.DUMMYFUNCTION("""COMPUTED_VALUE"""),44742.0)</f>
        <v>44742</v>
      </c>
      <c r="C1015" s="6">
        <f>IFERROR(__xludf.DUMMYFUNCTION("""COMPUTED_VALUE"""),0.6816782407404389)</f>
        <v>0.6816782407</v>
      </c>
      <c r="D1015" s="4">
        <f>IFERROR(__xludf.DUMMYFUNCTION("""COMPUTED_VALUE"""),12.821544)</f>
        <v>12.821544</v>
      </c>
      <c r="E1015" s="4">
        <f>IFERROR(__xludf.DUMMYFUNCTION("""COMPUTED_VALUE"""),80.037975)</f>
        <v>80.037975</v>
      </c>
      <c r="F1015" s="4">
        <f>IFERROR(__xludf.DUMMYFUNCTION("""COMPUTED_VALUE"""),2846.0)</f>
        <v>2846</v>
      </c>
      <c r="G1015" s="4">
        <f>IFERROR(__xludf.DUMMYFUNCTION("""COMPUTED_VALUE"""),16.0)</f>
        <v>16</v>
      </c>
      <c r="H1015" s="4"/>
      <c r="I1015" s="4"/>
    </row>
    <row r="1016">
      <c r="A1016" s="4" t="str">
        <f>IFERROR(__xludf.DUMMYFUNCTION("""COMPUTED_VALUE"""),"cas_hmw")</f>
        <v>cas_hmw</v>
      </c>
      <c r="B1016" s="5">
        <f>IFERROR(__xludf.DUMMYFUNCTION("""COMPUTED_VALUE"""),44742.0)</f>
        <v>44742</v>
      </c>
      <c r="C1016" s="6">
        <f>IFERROR(__xludf.DUMMYFUNCTION("""COMPUTED_VALUE"""),0.6821527777792653)</f>
        <v>0.6821527778</v>
      </c>
      <c r="D1016" s="4">
        <f>IFERROR(__xludf.DUMMYFUNCTION("""COMPUTED_VALUE"""),12.819184)</f>
        <v>12.819184</v>
      </c>
      <c r="E1016" s="4">
        <f>IFERROR(__xludf.DUMMYFUNCTION("""COMPUTED_VALUE"""),80.036291)</f>
        <v>80.036291</v>
      </c>
      <c r="F1016" s="4">
        <f>IFERROR(__xludf.DUMMYFUNCTION("""COMPUTED_VALUE"""),2846.0)</f>
        <v>2846</v>
      </c>
      <c r="G1016" s="4">
        <f>IFERROR(__xludf.DUMMYFUNCTION("""COMPUTED_VALUE"""),17.0)</f>
        <v>17</v>
      </c>
      <c r="H1016" s="4"/>
      <c r="I1016" s="4"/>
    </row>
    <row r="1017">
      <c r="A1017" s="4" t="str">
        <f>IFERROR(__xludf.DUMMYFUNCTION("""COMPUTED_VALUE"""),"cas_hmw")</f>
        <v>cas_hmw</v>
      </c>
      <c r="B1017" s="5">
        <f>IFERROR(__xludf.DUMMYFUNCTION("""COMPUTED_VALUE"""),44742.0)</f>
        <v>44742</v>
      </c>
      <c r="C1017" s="6">
        <f>IFERROR(__xludf.DUMMYFUNCTION("""COMPUTED_VALUE"""),0.6848032407397113)</f>
        <v>0.6848032407</v>
      </c>
      <c r="D1017" s="4">
        <f>IFERROR(__xludf.DUMMYFUNCTION("""COMPUTED_VALUE"""),12.956)</f>
        <v>12.956</v>
      </c>
      <c r="E1017" s="4">
        <f>IFERROR(__xludf.DUMMYFUNCTION("""COMPUTED_VALUE"""),80.142819)</f>
        <v>80.142819</v>
      </c>
      <c r="F1017" s="4">
        <f>IFERROR(__xludf.DUMMYFUNCTION("""COMPUTED_VALUE"""),805.0)</f>
        <v>805</v>
      </c>
      <c r="G1017" s="4">
        <f>IFERROR(__xludf.DUMMYFUNCTION("""COMPUTED_VALUE"""),12.0)</f>
        <v>12</v>
      </c>
      <c r="H1017" s="4"/>
      <c r="I1017" s="4"/>
    </row>
    <row r="1018">
      <c r="A1018" s="4" t="str">
        <f>IFERROR(__xludf.DUMMYFUNCTION("""COMPUTED_VALUE"""),"cas_hmw")</f>
        <v>cas_hmw</v>
      </c>
      <c r="B1018" s="5">
        <f>IFERROR(__xludf.DUMMYFUNCTION("""COMPUTED_VALUE"""),44742.0)</f>
        <v>44742</v>
      </c>
      <c r="C1018" s="6">
        <f>IFERROR(__xludf.DUMMYFUNCTION("""COMPUTED_VALUE"""),0.6913773148153268)</f>
        <v>0.6913773148</v>
      </c>
      <c r="D1018" s="4">
        <f>IFERROR(__xludf.DUMMYFUNCTION("""COMPUTED_VALUE"""),12.99565)</f>
        <v>12.99565</v>
      </c>
      <c r="E1018" s="4">
        <f>IFERROR(__xludf.DUMMYFUNCTION("""COMPUTED_VALUE"""),80.188478)</f>
        <v>80.188478</v>
      </c>
      <c r="F1018" s="4">
        <f>IFERROR(__xludf.DUMMYFUNCTION("""COMPUTED_VALUE"""),5339.0)</f>
        <v>5339</v>
      </c>
      <c r="G1018" s="4">
        <f>IFERROR(__xludf.DUMMYFUNCTION("""COMPUTED_VALUE"""),0.0)</f>
        <v>0</v>
      </c>
      <c r="H1018" s="4"/>
      <c r="I1018" s="4"/>
    </row>
    <row r="1019">
      <c r="A1019" s="4" t="str">
        <f>IFERROR(__xludf.DUMMYFUNCTION("""COMPUTED_VALUE"""),"cas_hmw")</f>
        <v>cas_hmw</v>
      </c>
      <c r="B1019" s="5">
        <f>IFERROR(__xludf.DUMMYFUNCTION("""COMPUTED_VALUE"""),44742.0)</f>
        <v>44742</v>
      </c>
      <c r="C1019" s="6">
        <f>IFERROR(__xludf.DUMMYFUNCTION("""COMPUTED_VALUE"""),0.6914930555540195)</f>
        <v>0.6914930556</v>
      </c>
      <c r="D1019" s="4">
        <f>IFERROR(__xludf.DUMMYFUNCTION("""COMPUTED_VALUE"""),12.995814)</f>
        <v>12.995814</v>
      </c>
      <c r="E1019" s="4">
        <f>IFERROR(__xludf.DUMMYFUNCTION("""COMPUTED_VALUE"""),80.188761)</f>
        <v>80.188761</v>
      </c>
      <c r="F1019" s="4">
        <f>IFERROR(__xludf.DUMMYFUNCTION("""COMPUTED_VALUE"""),5339.0)</f>
        <v>5339</v>
      </c>
      <c r="G1019" s="4">
        <f>IFERROR(__xludf.DUMMYFUNCTION("""COMPUTED_VALUE"""),12.0)</f>
        <v>12</v>
      </c>
      <c r="H1019" s="4"/>
      <c r="I1019" s="4"/>
    </row>
    <row r="1020">
      <c r="A1020" s="4" t="str">
        <f>IFERROR(__xludf.DUMMYFUNCTION("""COMPUTED_VALUE"""),"cas_hmw")</f>
        <v>cas_hmw</v>
      </c>
      <c r="B1020" s="5">
        <f>IFERROR(__xludf.DUMMYFUNCTION("""COMPUTED_VALUE"""),44742.0)</f>
        <v>44742</v>
      </c>
      <c r="C1020" s="6">
        <f>IFERROR(__xludf.DUMMYFUNCTION("""COMPUTED_VALUE"""),0.6914930555540195)</f>
        <v>0.6914930556</v>
      </c>
      <c r="D1020" s="4">
        <f>IFERROR(__xludf.DUMMYFUNCTION("""COMPUTED_VALUE"""),12.995841)</f>
        <v>12.995841</v>
      </c>
      <c r="E1020" s="4">
        <f>IFERROR(__xludf.DUMMYFUNCTION("""COMPUTED_VALUE"""),80.188971)</f>
        <v>80.188971</v>
      </c>
      <c r="F1020" s="4">
        <f>IFERROR(__xludf.DUMMYFUNCTION("""COMPUTED_VALUE"""),805.0)</f>
        <v>805</v>
      </c>
      <c r="G1020" s="4">
        <f>IFERROR(__xludf.DUMMYFUNCTION("""COMPUTED_VALUE"""),11.0)</f>
        <v>11</v>
      </c>
      <c r="H1020" s="4"/>
      <c r="I1020" s="4"/>
    </row>
    <row r="1021">
      <c r="A1021" s="4" t="str">
        <f>IFERROR(__xludf.DUMMYFUNCTION("""COMPUTED_VALUE"""),"cas_hmw")</f>
        <v>cas_hmw</v>
      </c>
      <c r="B1021" s="5">
        <f>IFERROR(__xludf.DUMMYFUNCTION("""COMPUTED_VALUE"""),44742.0)</f>
        <v>44742</v>
      </c>
      <c r="C1021" s="6">
        <f>IFERROR(__xludf.DUMMYFUNCTION("""COMPUTED_VALUE"""),0.6915046296307992)</f>
        <v>0.6915046296</v>
      </c>
      <c r="D1021" s="4">
        <f>IFERROR(__xludf.DUMMYFUNCTION("""COMPUTED_VALUE"""),12.995841)</f>
        <v>12.995841</v>
      </c>
      <c r="E1021" s="4">
        <f>IFERROR(__xludf.DUMMYFUNCTION("""COMPUTED_VALUE"""),80.188971)</f>
        <v>80.188971</v>
      </c>
      <c r="F1021" s="4">
        <f>IFERROR(__xludf.DUMMYFUNCTION("""COMPUTED_VALUE"""),805.0)</f>
        <v>805</v>
      </c>
      <c r="G1021" s="4">
        <f>IFERROR(__xludf.DUMMYFUNCTION("""COMPUTED_VALUE"""),11.0)</f>
        <v>11</v>
      </c>
      <c r="H1021" s="4"/>
      <c r="I1021" s="4"/>
    </row>
    <row r="1022">
      <c r="A1022" s="4" t="str">
        <f>IFERROR(__xludf.DUMMYFUNCTION("""COMPUTED_VALUE"""),"cas_hmw")</f>
        <v>cas_hmw</v>
      </c>
      <c r="B1022" s="5">
        <f>IFERROR(__xludf.DUMMYFUNCTION("""COMPUTED_VALUE"""),44742.0)</f>
        <v>44742</v>
      </c>
      <c r="C1022" s="6">
        <f>IFERROR(__xludf.DUMMYFUNCTION("""COMPUTED_VALUE"""),0.6915046296307992)</f>
        <v>0.6915046296</v>
      </c>
      <c r="D1022" s="4">
        <f>IFERROR(__xludf.DUMMYFUNCTION("""COMPUTED_VALUE"""),12.995841)</f>
        <v>12.995841</v>
      </c>
      <c r="E1022" s="4">
        <f>IFERROR(__xludf.DUMMYFUNCTION("""COMPUTED_VALUE"""),80.188971)</f>
        <v>80.188971</v>
      </c>
      <c r="F1022" s="4">
        <f>IFERROR(__xludf.DUMMYFUNCTION("""COMPUTED_VALUE"""),805.0)</f>
        <v>805</v>
      </c>
      <c r="G1022" s="4">
        <f>IFERROR(__xludf.DUMMYFUNCTION("""COMPUTED_VALUE"""),11.0)</f>
        <v>11</v>
      </c>
      <c r="H1022" s="4"/>
      <c r="I1022" s="4"/>
    </row>
    <row r="1023">
      <c r="A1023" s="4" t="str">
        <f>IFERROR(__xludf.DUMMYFUNCTION("""COMPUTED_VALUE"""),"cas_hmw")</f>
        <v>cas_hmw</v>
      </c>
      <c r="B1023" s="5">
        <f>IFERROR(__xludf.DUMMYFUNCTION("""COMPUTED_VALUE"""),44742.0)</f>
        <v>44742</v>
      </c>
      <c r="C1023" s="6">
        <f>IFERROR(__xludf.DUMMYFUNCTION("""COMPUTED_VALUE"""),0.6915046296307992)</f>
        <v>0.6915046296</v>
      </c>
      <c r="D1023" s="4">
        <f>IFERROR(__xludf.DUMMYFUNCTION("""COMPUTED_VALUE"""),12.995841)</f>
        <v>12.995841</v>
      </c>
      <c r="E1023" s="4">
        <f>IFERROR(__xludf.DUMMYFUNCTION("""COMPUTED_VALUE"""),80.188971)</f>
        <v>80.188971</v>
      </c>
      <c r="F1023" s="4">
        <f>IFERROR(__xludf.DUMMYFUNCTION("""COMPUTED_VALUE"""),805.0)</f>
        <v>805</v>
      </c>
      <c r="G1023" s="4">
        <f>IFERROR(__xludf.DUMMYFUNCTION("""COMPUTED_VALUE"""),11.0)</f>
        <v>11</v>
      </c>
      <c r="H1023" s="4"/>
      <c r="I1023" s="4"/>
    </row>
    <row r="1024">
      <c r="A1024" s="4" t="str">
        <f>IFERROR(__xludf.DUMMYFUNCTION("""COMPUTED_VALUE"""),"cas_hmw")</f>
        <v>cas_hmw</v>
      </c>
      <c r="B1024" s="5">
        <f>IFERROR(__xludf.DUMMYFUNCTION("""COMPUTED_VALUE"""),44742.0)</f>
        <v>44742</v>
      </c>
      <c r="C1024" s="6">
        <f>IFERROR(__xludf.DUMMYFUNCTION("""COMPUTED_VALUE"""),0.6933217592595611)</f>
        <v>0.6933217593</v>
      </c>
      <c r="D1024" s="4">
        <f>IFERROR(__xludf.DUMMYFUNCTION("""COMPUTED_VALUE"""),13.004248)</f>
        <v>13.004248</v>
      </c>
      <c r="E1024" s="4">
        <f>IFERROR(__xludf.DUMMYFUNCTION("""COMPUTED_VALUE"""),80.201009)</f>
        <v>80.201009</v>
      </c>
      <c r="F1024" s="4">
        <f>IFERROR(__xludf.DUMMYFUNCTION("""COMPUTED_VALUE"""),805.0)</f>
        <v>805</v>
      </c>
      <c r="G1024" s="4">
        <f>IFERROR(__xludf.DUMMYFUNCTION("""COMPUTED_VALUE"""),16.0)</f>
        <v>16</v>
      </c>
      <c r="H1024" s="4"/>
      <c r="I1024" s="4"/>
    </row>
    <row r="1025">
      <c r="A1025" s="4" t="str">
        <f>IFERROR(__xludf.DUMMYFUNCTION("""COMPUTED_VALUE"""),"cas_hmw")</f>
        <v>cas_hmw</v>
      </c>
      <c r="B1025" s="5">
        <f>IFERROR(__xludf.DUMMYFUNCTION("""COMPUTED_VALUE"""),44742.0)</f>
        <v>44742</v>
      </c>
      <c r="C1025" s="6">
        <f>IFERROR(__xludf.DUMMYFUNCTION("""COMPUTED_VALUE"""),0.6975347222214623)</f>
        <v>0.6975347222</v>
      </c>
      <c r="D1025" s="4">
        <f>IFERROR(__xludf.DUMMYFUNCTION("""COMPUTED_VALUE"""),13.014918)</f>
        <v>13.014918</v>
      </c>
      <c r="E1025" s="4">
        <f>IFERROR(__xludf.DUMMYFUNCTION("""COMPUTED_VALUE"""),80.225962)</f>
        <v>80.225962</v>
      </c>
      <c r="F1025" s="4">
        <f>IFERROR(__xludf.DUMMYFUNCTION("""COMPUTED_VALUE"""),805.0)</f>
        <v>805</v>
      </c>
      <c r="G1025" s="4">
        <f>IFERROR(__xludf.DUMMYFUNCTION("""COMPUTED_VALUE"""),0.0)</f>
        <v>0</v>
      </c>
      <c r="H1025" s="4"/>
      <c r="I1025" s="4"/>
    </row>
    <row r="1026">
      <c r="A1026" s="4" t="str">
        <f>IFERROR(__xludf.DUMMYFUNCTION("""COMPUTED_VALUE"""),"cas_hmw")</f>
        <v>cas_hmw</v>
      </c>
      <c r="B1026" s="5">
        <f>IFERROR(__xludf.DUMMYFUNCTION("""COMPUTED_VALUE"""),44742.0)</f>
        <v>44742</v>
      </c>
      <c r="C1026" s="6">
        <f>IFERROR(__xludf.DUMMYFUNCTION("""COMPUTED_VALUE"""),0.6976041666675883)</f>
        <v>0.6976041667</v>
      </c>
      <c r="D1026" s="4">
        <f>IFERROR(__xludf.DUMMYFUNCTION("""COMPUTED_VALUE"""),13.014918)</f>
        <v>13.014918</v>
      </c>
      <c r="E1026" s="4">
        <f>IFERROR(__xludf.DUMMYFUNCTION("""COMPUTED_VALUE"""),80.225962)</f>
        <v>80.225962</v>
      </c>
      <c r="F1026" s="4">
        <f>IFERROR(__xludf.DUMMYFUNCTION("""COMPUTED_VALUE"""),805.0)</f>
        <v>805</v>
      </c>
      <c r="G1026" s="4">
        <f>IFERROR(__xludf.DUMMYFUNCTION("""COMPUTED_VALUE"""),0.0)</f>
        <v>0</v>
      </c>
      <c r="H1026" s="4"/>
      <c r="I1026" s="4"/>
    </row>
    <row r="1027">
      <c r="A1027" s="4" t="str">
        <f>IFERROR(__xludf.DUMMYFUNCTION("""COMPUTED_VALUE"""),"cas_hmw")</f>
        <v>cas_hmw</v>
      </c>
      <c r="B1027" s="5">
        <f>IFERROR(__xludf.DUMMYFUNCTION("""COMPUTED_VALUE"""),44742.0)</f>
        <v>44742</v>
      </c>
      <c r="C1027" s="6">
        <f>IFERROR(__xludf.DUMMYFUNCTION("""COMPUTED_VALUE"""),0.6988078703689098)</f>
        <v>0.6988078704</v>
      </c>
      <c r="D1027" s="4">
        <f>IFERROR(__xludf.DUMMYFUNCTION("""COMPUTED_VALUE"""),13.008064)</f>
        <v>13.008064</v>
      </c>
      <c r="E1027" s="4">
        <f>IFERROR(__xludf.DUMMYFUNCTION("""COMPUTED_VALUE"""),80.234098)</f>
        <v>80.234098</v>
      </c>
      <c r="F1027" s="4">
        <f>IFERROR(__xludf.DUMMYFUNCTION("""COMPUTED_VALUE"""),805.0)</f>
        <v>805</v>
      </c>
      <c r="G1027" s="4">
        <f>IFERROR(__xludf.DUMMYFUNCTION("""COMPUTED_VALUE"""),0.0)</f>
        <v>0</v>
      </c>
      <c r="H1027" s="4"/>
      <c r="I1027" s="4"/>
    </row>
    <row r="1028">
      <c r="A1028" s="4" t="str">
        <f>IFERROR(__xludf.DUMMYFUNCTION("""COMPUTED_VALUE"""),"cas_hmw")</f>
        <v>cas_hmw</v>
      </c>
      <c r="B1028" s="5">
        <f>IFERROR(__xludf.DUMMYFUNCTION("""COMPUTED_VALUE"""),44742.0)</f>
        <v>44742</v>
      </c>
      <c r="C1028" s="6">
        <f>IFERROR(__xludf.DUMMYFUNCTION("""COMPUTED_VALUE"""),0.6988194444456894)</f>
        <v>0.6988194444</v>
      </c>
      <c r="D1028" s="4">
        <f>IFERROR(__xludf.DUMMYFUNCTION("""COMPUTED_VALUE"""),13.008064)</f>
        <v>13.008064</v>
      </c>
      <c r="E1028" s="4">
        <f>IFERROR(__xludf.DUMMYFUNCTION("""COMPUTED_VALUE"""),80.234098)</f>
        <v>80.234098</v>
      </c>
      <c r="F1028" s="4">
        <f>IFERROR(__xludf.DUMMYFUNCTION("""COMPUTED_VALUE"""),805.0)</f>
        <v>805</v>
      </c>
      <c r="G1028" s="4">
        <f>IFERROR(__xludf.DUMMYFUNCTION("""COMPUTED_VALUE"""),0.0)</f>
        <v>0</v>
      </c>
      <c r="H1028" s="4"/>
      <c r="I1028" s="4"/>
    </row>
    <row r="1029">
      <c r="A1029" s="4" t="str">
        <f>IFERROR(__xludf.DUMMYFUNCTION("""COMPUTED_VALUE"""),"cas_hmw")</f>
        <v>cas_hmw</v>
      </c>
      <c r="B1029" s="5">
        <f>IFERROR(__xludf.DUMMYFUNCTION("""COMPUTED_VALUE"""),44742.0)</f>
        <v>44742</v>
      </c>
      <c r="C1029" s="6">
        <f>IFERROR(__xludf.DUMMYFUNCTION("""COMPUTED_VALUE"""),0.6997916666659876)</f>
        <v>0.6997916667</v>
      </c>
      <c r="D1029" s="4">
        <f>IFERROR(__xludf.DUMMYFUNCTION("""COMPUTED_VALUE"""),13.02654)</f>
        <v>13.02654</v>
      </c>
      <c r="E1029" s="4">
        <f>IFERROR(__xludf.DUMMYFUNCTION("""COMPUTED_VALUE"""),80.232716)</f>
        <v>80.232716</v>
      </c>
      <c r="F1029" s="4">
        <f>IFERROR(__xludf.DUMMYFUNCTION("""COMPUTED_VALUE"""),5339.0)</f>
        <v>5339</v>
      </c>
      <c r="G1029" s="4">
        <f>IFERROR(__xludf.DUMMYFUNCTION("""COMPUTED_VALUE"""),0.0)</f>
        <v>0</v>
      </c>
      <c r="H1029" s="4"/>
      <c r="I1029" s="4"/>
    </row>
    <row r="1030">
      <c r="A1030" s="4" t="str">
        <f>IFERROR(__xludf.DUMMYFUNCTION("""COMPUTED_VALUE"""),"cas_hmw")</f>
        <v>cas_hmw</v>
      </c>
      <c r="B1030" s="5">
        <f>IFERROR(__xludf.DUMMYFUNCTION("""COMPUTED_VALUE"""),44742.0)</f>
        <v>44742</v>
      </c>
      <c r="C1030" s="6">
        <f>IFERROR(__xludf.DUMMYFUNCTION("""COMPUTED_VALUE"""),0.7014467592598521)</f>
        <v>0.7014467593</v>
      </c>
      <c r="D1030" s="4">
        <f>IFERROR(__xludf.DUMMYFUNCTION("""COMPUTED_VALUE"""),13.006774)</f>
        <v>13.006774</v>
      </c>
      <c r="E1030" s="4">
        <f>IFERROR(__xludf.DUMMYFUNCTION("""COMPUTED_VALUE"""),80.247805)</f>
        <v>80.247805</v>
      </c>
      <c r="F1030" s="4">
        <f>IFERROR(__xludf.DUMMYFUNCTION("""COMPUTED_VALUE"""),805.0)</f>
        <v>805</v>
      </c>
      <c r="G1030" s="4">
        <f>IFERROR(__xludf.DUMMYFUNCTION("""COMPUTED_VALUE"""),0.0)</f>
        <v>0</v>
      </c>
      <c r="H1030" s="4"/>
      <c r="I1030" s="4"/>
    </row>
    <row r="1031">
      <c r="A1031" s="4" t="str">
        <f>IFERROR(__xludf.DUMMYFUNCTION("""COMPUTED_VALUE"""),"cas_hmw")</f>
        <v>cas_hmw</v>
      </c>
      <c r="B1031" s="5">
        <f>IFERROR(__xludf.DUMMYFUNCTION("""COMPUTED_VALUE"""),44742.0)</f>
        <v>44742</v>
      </c>
      <c r="C1031" s="6">
        <f>IFERROR(__xludf.DUMMYFUNCTION("""COMPUTED_VALUE"""),0.7044675925935735)</f>
        <v>0.7044675926</v>
      </c>
      <c r="D1031" s="4">
        <f>IFERROR(__xludf.DUMMYFUNCTION("""COMPUTED_VALUE"""),13.038633)</f>
        <v>13.038633</v>
      </c>
      <c r="E1031" s="4">
        <f>IFERROR(__xludf.DUMMYFUNCTION("""COMPUTED_VALUE"""),80.246744)</f>
        <v>80.246744</v>
      </c>
      <c r="F1031" s="4">
        <f>IFERROR(__xludf.DUMMYFUNCTION("""COMPUTED_VALUE"""),5339.0)</f>
        <v>5339</v>
      </c>
      <c r="G1031" s="4">
        <f>IFERROR(__xludf.DUMMYFUNCTION("""COMPUTED_VALUE"""),0.0)</f>
        <v>0</v>
      </c>
      <c r="H1031" s="4"/>
      <c r="I1031" s="4"/>
    </row>
    <row r="1032">
      <c r="A1032" s="4" t="str">
        <f>IFERROR(__xludf.DUMMYFUNCTION("""COMPUTED_VALUE"""),"cas_hmw")</f>
        <v>cas_hmw</v>
      </c>
      <c r="B1032" s="5">
        <f>IFERROR(__xludf.DUMMYFUNCTION("""COMPUTED_VALUE"""),44742.0)</f>
        <v>44742</v>
      </c>
      <c r="C1032" s="6">
        <f>IFERROR(__xludf.DUMMYFUNCTION("""COMPUTED_VALUE"""),0.7053124999983993)</f>
        <v>0.7053125</v>
      </c>
      <c r="D1032" s="4">
        <f>IFERROR(__xludf.DUMMYFUNCTION("""COMPUTED_VALUE"""),13.010692)</f>
        <v>13.010692</v>
      </c>
      <c r="E1032" s="4">
        <f>IFERROR(__xludf.DUMMYFUNCTION("""COMPUTED_VALUE"""),80.259089)</f>
        <v>80.259089</v>
      </c>
      <c r="F1032" s="4">
        <f>IFERROR(__xludf.DUMMYFUNCTION("""COMPUTED_VALUE"""),805.0)</f>
        <v>805</v>
      </c>
      <c r="G1032" s="4">
        <f>IFERROR(__xludf.DUMMYFUNCTION("""COMPUTED_VALUE"""),14.0)</f>
        <v>14</v>
      </c>
      <c r="H1032" s="4"/>
      <c r="I1032" s="4"/>
    </row>
    <row r="1033">
      <c r="A1033" s="4" t="str">
        <f>IFERROR(__xludf.DUMMYFUNCTION("""COMPUTED_VALUE"""),"cas_hmw")</f>
        <v>cas_hmw</v>
      </c>
      <c r="B1033" s="5">
        <f>IFERROR(__xludf.DUMMYFUNCTION("""COMPUTED_VALUE"""),44742.0)</f>
        <v>44742</v>
      </c>
      <c r="C1033" s="6">
        <f>IFERROR(__xludf.DUMMYFUNCTION("""COMPUTED_VALUE"""),0.7060300925913907)</f>
        <v>0.7060300926</v>
      </c>
      <c r="D1033" s="4">
        <f>IFERROR(__xludf.DUMMYFUNCTION("""COMPUTED_VALUE"""),13.0448)</f>
        <v>13.0448</v>
      </c>
      <c r="E1033" s="4">
        <f>IFERROR(__xludf.DUMMYFUNCTION("""COMPUTED_VALUE"""),80.247885)</f>
        <v>80.247885</v>
      </c>
      <c r="F1033" s="4">
        <f>IFERROR(__xludf.DUMMYFUNCTION("""COMPUTED_VALUE"""),5339.0)</f>
        <v>5339</v>
      </c>
      <c r="G1033" s="4">
        <f>IFERROR(__xludf.DUMMYFUNCTION("""COMPUTED_VALUE"""),0.0)</f>
        <v>0</v>
      </c>
      <c r="H1033" s="4"/>
      <c r="I1033" s="4"/>
    </row>
    <row r="1034">
      <c r="A1034" s="4" t="str">
        <f>IFERROR(__xludf.DUMMYFUNCTION("""COMPUTED_VALUE"""),"cas_hmw")</f>
        <v>cas_hmw</v>
      </c>
      <c r="B1034" s="5">
        <f>IFERROR(__xludf.DUMMYFUNCTION("""COMPUTED_VALUE"""),44742.0)</f>
        <v>44742</v>
      </c>
      <c r="C1034" s="6">
        <f>IFERROR(__xludf.DUMMYFUNCTION("""COMPUTED_VALUE"""),0.7065046296302171)</f>
        <v>0.7065046296</v>
      </c>
      <c r="D1034" s="4">
        <f>IFERROR(__xludf.DUMMYFUNCTION("""COMPUTED_VALUE"""),13.046227)</f>
        <v>13.046227</v>
      </c>
      <c r="E1034" s="4">
        <f>IFERROR(__xludf.DUMMYFUNCTION("""COMPUTED_VALUE"""),80.248127)</f>
        <v>80.248127</v>
      </c>
      <c r="F1034" s="4">
        <f>IFERROR(__xludf.DUMMYFUNCTION("""COMPUTED_VALUE"""),5339.0)</f>
        <v>5339</v>
      </c>
      <c r="G1034" s="4">
        <f>IFERROR(__xludf.DUMMYFUNCTION("""COMPUTED_VALUE"""),19.0)</f>
        <v>19</v>
      </c>
      <c r="H1034" s="4"/>
      <c r="I1034" s="4"/>
    </row>
    <row r="1035">
      <c r="A1035" s="4" t="str">
        <f>IFERROR(__xludf.DUMMYFUNCTION("""COMPUTED_VALUE"""),"cas_hmw")</f>
        <v>cas_hmw</v>
      </c>
      <c r="B1035" s="5">
        <f>IFERROR(__xludf.DUMMYFUNCTION("""COMPUTED_VALUE"""),44742.0)</f>
        <v>44742</v>
      </c>
      <c r="C1035" s="6">
        <f>IFERROR(__xludf.DUMMYFUNCTION("""COMPUTED_VALUE"""),0.7069560185191222)</f>
        <v>0.7069560185</v>
      </c>
      <c r="D1035" s="4">
        <f>IFERROR(__xludf.DUMMYFUNCTION("""COMPUTED_VALUE"""),12.659762)</f>
        <v>12.659762</v>
      </c>
      <c r="E1035" s="4">
        <f>IFERROR(__xludf.DUMMYFUNCTION("""COMPUTED_VALUE"""),79.964133)</f>
        <v>79.964133</v>
      </c>
      <c r="F1035" s="4">
        <f>IFERROR(__xludf.DUMMYFUNCTION("""COMPUTED_VALUE"""),2846.0)</f>
        <v>2846</v>
      </c>
      <c r="G1035" s="4">
        <f>IFERROR(__xludf.DUMMYFUNCTION("""COMPUTED_VALUE"""),16.0)</f>
        <v>16</v>
      </c>
      <c r="H1035" s="4"/>
      <c r="I1035" s="4"/>
    </row>
    <row r="1036">
      <c r="A1036" s="4" t="str">
        <f>IFERROR(__xludf.DUMMYFUNCTION("""COMPUTED_VALUE"""),"cas_hmw")</f>
        <v>cas_hmw</v>
      </c>
      <c r="B1036" s="5">
        <f>IFERROR(__xludf.DUMMYFUNCTION("""COMPUTED_VALUE"""),44742.0)</f>
        <v>44742</v>
      </c>
      <c r="C1036" s="6">
        <f>IFERROR(__xludf.DUMMYFUNCTION("""COMPUTED_VALUE"""),0.7081365740741603)</f>
        <v>0.7081365741</v>
      </c>
      <c r="D1036" s="4">
        <f>IFERROR(__xludf.DUMMYFUNCTION("""COMPUTED_VALUE"""),13.055172)</f>
        <v>13.055172</v>
      </c>
      <c r="E1036" s="4">
        <f>IFERROR(__xludf.DUMMYFUNCTION("""COMPUTED_VALUE"""),80.254738)</f>
        <v>80.254738</v>
      </c>
      <c r="F1036" s="4">
        <f>IFERROR(__xludf.DUMMYFUNCTION("""COMPUTED_VALUE"""),5339.0)</f>
        <v>5339</v>
      </c>
      <c r="G1036" s="4">
        <f>IFERROR(__xludf.DUMMYFUNCTION("""COMPUTED_VALUE"""),10.0)</f>
        <v>10</v>
      </c>
      <c r="H1036" s="4"/>
      <c r="I1036" s="4"/>
    </row>
    <row r="1037">
      <c r="A1037" s="4" t="str">
        <f>IFERROR(__xludf.DUMMYFUNCTION("""COMPUTED_VALUE"""),"cas_hmw")</f>
        <v>cas_hmw</v>
      </c>
      <c r="B1037" s="5">
        <f>IFERROR(__xludf.DUMMYFUNCTION("""COMPUTED_VALUE"""),44742.0)</f>
        <v>44742</v>
      </c>
      <c r="C1037" s="6">
        <f>IFERROR(__xludf.DUMMYFUNCTION("""COMPUTED_VALUE"""),0.7083333333321207)</f>
        <v>0.7083333333</v>
      </c>
      <c r="D1037" s="4">
        <f>IFERROR(__xludf.DUMMYFUNCTION("""COMPUTED_VALUE"""),13.055609)</f>
        <v>13.055609</v>
      </c>
      <c r="E1037" s="4">
        <f>IFERROR(__xludf.DUMMYFUNCTION("""COMPUTED_VALUE"""),80.255331)</f>
        <v>80.255331</v>
      </c>
      <c r="F1037" s="4">
        <f>IFERROR(__xludf.DUMMYFUNCTION("""COMPUTED_VALUE"""),5339.0)</f>
        <v>5339</v>
      </c>
      <c r="G1037" s="4">
        <f>IFERROR(__xludf.DUMMYFUNCTION("""COMPUTED_VALUE"""),20.0)</f>
        <v>20</v>
      </c>
      <c r="H1037" s="4"/>
      <c r="I1037" s="4"/>
    </row>
    <row r="1038">
      <c r="A1038" s="4" t="str">
        <f>IFERROR(__xludf.DUMMYFUNCTION("""COMPUTED_VALUE"""),"cas_hmw")</f>
        <v>cas_hmw</v>
      </c>
      <c r="B1038" s="5">
        <f>IFERROR(__xludf.DUMMYFUNCTION("""COMPUTED_VALUE"""),44742.0)</f>
        <v>44742</v>
      </c>
      <c r="C1038" s="6">
        <f>IFERROR(__xludf.DUMMYFUNCTION("""COMPUTED_VALUE"""),0.708356481482042)</f>
        <v>0.7083564815</v>
      </c>
      <c r="D1038" s="4">
        <f>IFERROR(__xludf.DUMMYFUNCTION("""COMPUTED_VALUE"""),13.055609)</f>
        <v>13.055609</v>
      </c>
      <c r="E1038" s="4">
        <f>IFERROR(__xludf.DUMMYFUNCTION("""COMPUTED_VALUE"""),80.255331)</f>
        <v>80.255331</v>
      </c>
      <c r="F1038" s="4">
        <f>IFERROR(__xludf.DUMMYFUNCTION("""COMPUTED_VALUE"""),5339.0)</f>
        <v>5339</v>
      </c>
      <c r="G1038" s="4">
        <f>IFERROR(__xludf.DUMMYFUNCTION("""COMPUTED_VALUE"""),20.0)</f>
        <v>20</v>
      </c>
      <c r="H1038" s="4"/>
      <c r="I1038" s="4"/>
    </row>
    <row r="1039">
      <c r="A1039" s="4" t="str">
        <f>IFERROR(__xludf.DUMMYFUNCTION("""COMPUTED_VALUE"""),"cas_hmw")</f>
        <v>cas_hmw</v>
      </c>
      <c r="B1039" s="5">
        <f>IFERROR(__xludf.DUMMYFUNCTION("""COMPUTED_VALUE"""),44742.0)</f>
        <v>44742</v>
      </c>
      <c r="C1039" s="6">
        <f>IFERROR(__xludf.DUMMYFUNCTION("""COMPUTED_VALUE"""),0.7101041666683159)</f>
        <v>0.7101041667</v>
      </c>
      <c r="D1039" s="4">
        <f>IFERROR(__xludf.DUMMYFUNCTION("""COMPUTED_VALUE"""),13.054329)</f>
        <v>13.054329</v>
      </c>
      <c r="E1039" s="4">
        <f>IFERROR(__xludf.DUMMYFUNCTION("""COMPUTED_VALUE"""),80.259907)</f>
        <v>80.259907</v>
      </c>
      <c r="F1039" s="4">
        <f>IFERROR(__xludf.DUMMYFUNCTION("""COMPUTED_VALUE"""),5339.0)</f>
        <v>5339</v>
      </c>
      <c r="G1039" s="4">
        <f>IFERROR(__xludf.DUMMYFUNCTION("""COMPUTED_VALUE"""),8.0)</f>
        <v>8</v>
      </c>
      <c r="H1039" s="4"/>
      <c r="I1039" s="4"/>
    </row>
    <row r="1040">
      <c r="A1040" s="4" t="str">
        <f>IFERROR(__xludf.DUMMYFUNCTION("""COMPUTED_VALUE"""),"cas_hmw")</f>
        <v>cas_hmw</v>
      </c>
      <c r="B1040" s="5">
        <f>IFERROR(__xludf.DUMMYFUNCTION("""COMPUTED_VALUE"""),44742.0)</f>
        <v>44742</v>
      </c>
      <c r="C1040" s="6">
        <f>IFERROR(__xludf.DUMMYFUNCTION("""COMPUTED_VALUE"""),0.7102314814801503)</f>
        <v>0.7102314815</v>
      </c>
      <c r="D1040" s="4">
        <f>IFERROR(__xludf.DUMMYFUNCTION("""COMPUTED_VALUE"""),13.054271)</f>
        <v>13.054271</v>
      </c>
      <c r="E1040" s="4">
        <f>IFERROR(__xludf.DUMMYFUNCTION("""COMPUTED_VALUE"""),80.260392)</f>
        <v>80.260392</v>
      </c>
      <c r="F1040" s="4">
        <f>IFERROR(__xludf.DUMMYFUNCTION("""COMPUTED_VALUE"""),5339.0)</f>
        <v>5339</v>
      </c>
      <c r="G1040" s="4">
        <f>IFERROR(__xludf.DUMMYFUNCTION("""COMPUTED_VALUE"""),19.0)</f>
        <v>19</v>
      </c>
      <c r="H1040" s="4"/>
      <c r="I1040" s="4"/>
    </row>
    <row r="1041">
      <c r="A1041" s="4" t="str">
        <f>IFERROR(__xludf.DUMMYFUNCTION("""COMPUTED_VALUE"""),"cas_hmw")</f>
        <v>cas_hmw</v>
      </c>
      <c r="B1041" s="5">
        <f>IFERROR(__xludf.DUMMYFUNCTION("""COMPUTED_VALUE"""),44742.0)</f>
        <v>44742</v>
      </c>
      <c r="C1041" s="6">
        <f>IFERROR(__xludf.DUMMYFUNCTION("""COMPUTED_VALUE"""),0.7103472222224809)</f>
        <v>0.7103472222</v>
      </c>
      <c r="D1041" s="4">
        <f>IFERROR(__xludf.DUMMYFUNCTION("""COMPUTED_VALUE"""),13.054271)</f>
        <v>13.054271</v>
      </c>
      <c r="E1041" s="4">
        <f>IFERROR(__xludf.DUMMYFUNCTION("""COMPUTED_VALUE"""),80.260392)</f>
        <v>80.260392</v>
      </c>
      <c r="F1041" s="4">
        <f>IFERROR(__xludf.DUMMYFUNCTION("""COMPUTED_VALUE"""),5339.0)</f>
        <v>5339</v>
      </c>
      <c r="G1041" s="4">
        <f>IFERROR(__xludf.DUMMYFUNCTION("""COMPUTED_VALUE"""),19.0)</f>
        <v>19</v>
      </c>
      <c r="H1041" s="4"/>
      <c r="I1041" s="4"/>
    </row>
    <row r="1042">
      <c r="A1042" s="4" t="str">
        <f>IFERROR(__xludf.DUMMYFUNCTION("""COMPUTED_VALUE"""),"cas_hmw")</f>
        <v>cas_hmw</v>
      </c>
      <c r="B1042" s="5">
        <f>IFERROR(__xludf.DUMMYFUNCTION("""COMPUTED_VALUE"""),44742.0)</f>
        <v>44742</v>
      </c>
      <c r="C1042" s="6">
        <f>IFERROR(__xludf.DUMMYFUNCTION("""COMPUTED_VALUE"""),0.7199768518512428)</f>
        <v>0.7199768519</v>
      </c>
      <c r="D1042" s="4">
        <f>IFERROR(__xludf.DUMMYFUNCTION("""COMPUTED_VALUE"""),13.040018)</f>
        <v>13.040018</v>
      </c>
      <c r="E1042" s="4">
        <f>IFERROR(__xludf.DUMMYFUNCTION("""COMPUTED_VALUE"""),80.267878)</f>
        <v>80.267878</v>
      </c>
      <c r="F1042" s="4">
        <f>IFERROR(__xludf.DUMMYFUNCTION("""COMPUTED_VALUE"""),805.0)</f>
        <v>805</v>
      </c>
      <c r="G1042" s="4">
        <f>IFERROR(__xludf.DUMMYFUNCTION("""COMPUTED_VALUE"""),12.0)</f>
        <v>12</v>
      </c>
      <c r="H1042" s="4"/>
      <c r="I1042" s="4"/>
    </row>
    <row r="1043">
      <c r="A1043" s="4" t="str">
        <f>IFERROR(__xludf.DUMMYFUNCTION("""COMPUTED_VALUE"""),"cas_hmw")</f>
        <v>cas_hmw</v>
      </c>
      <c r="B1043" s="5">
        <f>IFERROR(__xludf.DUMMYFUNCTION("""COMPUTED_VALUE"""),44742.0)</f>
        <v>44742</v>
      </c>
      <c r="C1043" s="6">
        <f>IFERROR(__xludf.DUMMYFUNCTION("""COMPUTED_VALUE"""),0.7201157407398568)</f>
        <v>0.7201157407</v>
      </c>
      <c r="D1043" s="4">
        <f>IFERROR(__xludf.DUMMYFUNCTION("""COMPUTED_VALUE"""),13.040018)</f>
        <v>13.040018</v>
      </c>
      <c r="E1043" s="4">
        <f>IFERROR(__xludf.DUMMYFUNCTION("""COMPUTED_VALUE"""),80.267878)</f>
        <v>80.267878</v>
      </c>
      <c r="F1043" s="4">
        <f>IFERROR(__xludf.DUMMYFUNCTION("""COMPUTED_VALUE"""),805.0)</f>
        <v>805</v>
      </c>
      <c r="G1043" s="4">
        <f>IFERROR(__xludf.DUMMYFUNCTION("""COMPUTED_VALUE"""),12.0)</f>
        <v>12</v>
      </c>
      <c r="H1043" s="4"/>
      <c r="I1043" s="4"/>
    </row>
    <row r="1044">
      <c r="A1044" s="4" t="str">
        <f>IFERROR(__xludf.DUMMYFUNCTION("""COMPUTED_VALUE"""),"cas_hmw")</f>
        <v>cas_hmw</v>
      </c>
      <c r="B1044" s="5">
        <f>IFERROR(__xludf.DUMMYFUNCTION("""COMPUTED_VALUE"""),44742.0)</f>
        <v>44742</v>
      </c>
      <c r="C1044" s="6">
        <f>IFERROR(__xludf.DUMMYFUNCTION("""COMPUTED_VALUE"""),0.7201157407398568)</f>
        <v>0.7201157407</v>
      </c>
      <c r="D1044" s="4">
        <f>IFERROR(__xludf.DUMMYFUNCTION("""COMPUTED_VALUE"""),13.040018)</f>
        <v>13.040018</v>
      </c>
      <c r="E1044" s="4">
        <f>IFERROR(__xludf.DUMMYFUNCTION("""COMPUTED_VALUE"""),80.267878)</f>
        <v>80.267878</v>
      </c>
      <c r="F1044" s="4">
        <f>IFERROR(__xludf.DUMMYFUNCTION("""COMPUTED_VALUE"""),805.0)</f>
        <v>805</v>
      </c>
      <c r="G1044" s="4">
        <f>IFERROR(__xludf.DUMMYFUNCTION("""COMPUTED_VALUE"""),12.0)</f>
        <v>12</v>
      </c>
      <c r="H1044" s="4"/>
      <c r="I1044" s="4"/>
    </row>
    <row r="1045">
      <c r="A1045" s="4" t="str">
        <f>IFERROR(__xludf.DUMMYFUNCTION("""COMPUTED_VALUE"""),"cas_hmw")</f>
        <v>cas_hmw</v>
      </c>
      <c r="B1045" s="5">
        <f>IFERROR(__xludf.DUMMYFUNCTION("""COMPUTED_VALUE"""),44742.0)</f>
        <v>44742</v>
      </c>
      <c r="C1045" s="6">
        <f>IFERROR(__xludf.DUMMYFUNCTION("""COMPUTED_VALUE"""),0.731620370370365)</f>
        <v>0.7316203704</v>
      </c>
      <c r="D1045" s="4">
        <f>IFERROR(__xludf.DUMMYFUNCTION("""COMPUTED_VALUE"""),13.073002)</f>
        <v>13.073002</v>
      </c>
      <c r="E1045" s="4">
        <f>IFERROR(__xludf.DUMMYFUNCTION("""COMPUTED_VALUE"""),80.260804)</f>
        <v>80.260804</v>
      </c>
      <c r="F1045" s="4">
        <f>IFERROR(__xludf.DUMMYFUNCTION("""COMPUTED_VALUE"""),5339.0)</f>
        <v>5339</v>
      </c>
      <c r="G1045" s="4">
        <f>IFERROR(__xludf.DUMMYFUNCTION("""COMPUTED_VALUE"""),19.0)</f>
        <v>19</v>
      </c>
      <c r="H1045" s="4"/>
      <c r="I1045" s="4"/>
    </row>
    <row r="1046">
      <c r="A1046" s="4" t="str">
        <f>IFERROR(__xludf.DUMMYFUNCTION("""COMPUTED_VALUE"""),"cas_hmw")</f>
        <v>cas_hmw</v>
      </c>
      <c r="B1046" s="5">
        <f>IFERROR(__xludf.DUMMYFUNCTION("""COMPUTED_VALUE"""),44742.0)</f>
        <v>44742</v>
      </c>
      <c r="C1046" s="6">
        <f>IFERROR(__xludf.DUMMYFUNCTION("""COMPUTED_VALUE"""),0.7342824074075907)</f>
        <v>0.7342824074</v>
      </c>
      <c r="D1046" s="4">
        <f>IFERROR(__xludf.DUMMYFUNCTION("""COMPUTED_VALUE"""),13.06697)</f>
        <v>13.06697</v>
      </c>
      <c r="E1046" s="4">
        <f>IFERROR(__xludf.DUMMYFUNCTION("""COMPUTED_VALUE"""),80.253886)</f>
        <v>80.253886</v>
      </c>
      <c r="F1046" s="4">
        <f>IFERROR(__xludf.DUMMYFUNCTION("""COMPUTED_VALUE"""),5339.0)</f>
        <v>5339</v>
      </c>
      <c r="G1046" s="4">
        <f>IFERROR(__xludf.DUMMYFUNCTION("""COMPUTED_VALUE"""),20.0)</f>
        <v>20</v>
      </c>
      <c r="H1046" s="4"/>
      <c r="I1046" s="4"/>
    </row>
    <row r="1047">
      <c r="A1047" s="4" t="str">
        <f>IFERROR(__xludf.DUMMYFUNCTION("""COMPUTED_VALUE"""),"cas_hmw")</f>
        <v>cas_hmw</v>
      </c>
      <c r="B1047" s="5">
        <f>IFERROR(__xludf.DUMMYFUNCTION("""COMPUTED_VALUE"""),44742.0)</f>
        <v>44742</v>
      </c>
      <c r="C1047" s="6">
        <f>IFERROR(__xludf.DUMMYFUNCTION("""COMPUTED_VALUE"""),0.7366666666675883)</f>
        <v>0.7366666667</v>
      </c>
      <c r="D1047" s="4">
        <f>IFERROR(__xludf.DUMMYFUNCTION("""COMPUTED_VALUE"""),13.066758)</f>
        <v>13.066758</v>
      </c>
      <c r="E1047" s="4">
        <f>IFERROR(__xludf.DUMMYFUNCTION("""COMPUTED_VALUE"""),80.254233)</f>
        <v>80.254233</v>
      </c>
      <c r="F1047" s="4">
        <f>IFERROR(__xludf.DUMMYFUNCTION("""COMPUTED_VALUE"""),805.0)</f>
        <v>805</v>
      </c>
      <c r="G1047" s="4">
        <f>IFERROR(__xludf.DUMMYFUNCTION("""COMPUTED_VALUE"""),19.0)</f>
        <v>19</v>
      </c>
      <c r="H1047" s="4"/>
      <c r="I1047" s="4"/>
    </row>
    <row r="1048">
      <c r="A1048" s="4" t="str">
        <f>IFERROR(__xludf.DUMMYFUNCTION("""COMPUTED_VALUE"""),"cas_hmw")</f>
        <v>cas_hmw</v>
      </c>
      <c r="B1048" s="5">
        <f>IFERROR(__xludf.DUMMYFUNCTION("""COMPUTED_VALUE"""),44742.0)</f>
        <v>44742</v>
      </c>
      <c r="C1048" s="6">
        <f>IFERROR(__xludf.DUMMYFUNCTION("""COMPUTED_VALUE"""),0.7366898148138716)</f>
        <v>0.7366898148</v>
      </c>
      <c r="D1048" s="4">
        <f>IFERROR(__xludf.DUMMYFUNCTION("""COMPUTED_VALUE"""),13.066758)</f>
        <v>13.066758</v>
      </c>
      <c r="E1048" s="4">
        <f>IFERROR(__xludf.DUMMYFUNCTION("""COMPUTED_VALUE"""),80.254233)</f>
        <v>80.254233</v>
      </c>
      <c r="F1048" s="4">
        <f>IFERROR(__xludf.DUMMYFUNCTION("""COMPUTED_VALUE"""),805.0)</f>
        <v>805</v>
      </c>
      <c r="G1048" s="4">
        <f>IFERROR(__xludf.DUMMYFUNCTION("""COMPUTED_VALUE"""),19.0)</f>
        <v>19</v>
      </c>
      <c r="H1048" s="4"/>
      <c r="I1048" s="4"/>
    </row>
    <row r="1049">
      <c r="A1049" s="4" t="str">
        <f>IFERROR(__xludf.DUMMYFUNCTION("""COMPUTED_VALUE"""),"cas_hmw")</f>
        <v>cas_hmw</v>
      </c>
      <c r="B1049" s="5">
        <f>IFERROR(__xludf.DUMMYFUNCTION("""COMPUTED_VALUE"""),44742.0)</f>
        <v>44742</v>
      </c>
      <c r="C1049" s="6">
        <f>IFERROR(__xludf.DUMMYFUNCTION("""COMPUTED_VALUE"""),0.7366898148138716)</f>
        <v>0.7366898148</v>
      </c>
      <c r="D1049" s="4">
        <f>IFERROR(__xludf.DUMMYFUNCTION("""COMPUTED_VALUE"""),13.066758)</f>
        <v>13.066758</v>
      </c>
      <c r="E1049" s="4">
        <f>IFERROR(__xludf.DUMMYFUNCTION("""COMPUTED_VALUE"""),80.254233)</f>
        <v>80.254233</v>
      </c>
      <c r="F1049" s="4">
        <f>IFERROR(__xludf.DUMMYFUNCTION("""COMPUTED_VALUE"""),805.0)</f>
        <v>805</v>
      </c>
      <c r="G1049" s="4">
        <f>IFERROR(__xludf.DUMMYFUNCTION("""COMPUTED_VALUE"""),19.0)</f>
        <v>19</v>
      </c>
      <c r="H1049" s="4"/>
      <c r="I1049" s="4"/>
    </row>
    <row r="1050">
      <c r="A1050" s="4" t="str">
        <f>IFERROR(__xludf.DUMMYFUNCTION("""COMPUTED_VALUE"""),"cas_hmw")</f>
        <v>cas_hmw</v>
      </c>
      <c r="B1050" s="5">
        <f>IFERROR(__xludf.DUMMYFUNCTION("""COMPUTED_VALUE"""),44743.0)</f>
        <v>44743</v>
      </c>
      <c r="C1050" s="6">
        <f>IFERROR(__xludf.DUMMYFUNCTION("""COMPUTED_VALUE"""),0.3238773148150358)</f>
        <v>0.3238773148</v>
      </c>
      <c r="D1050" s="4">
        <f>IFERROR(__xludf.DUMMYFUNCTION("""COMPUTED_VALUE"""),12.69765)</f>
        <v>12.69765</v>
      </c>
      <c r="E1050" s="4">
        <f>IFERROR(__xludf.DUMMYFUNCTION("""COMPUTED_VALUE"""),79.976323)</f>
        <v>79.976323</v>
      </c>
      <c r="F1050" s="4">
        <f>IFERROR(__xludf.DUMMYFUNCTION("""COMPUTED_VALUE"""),2846.0)</f>
        <v>2846</v>
      </c>
      <c r="G1050" s="4">
        <f>IFERROR(__xludf.DUMMYFUNCTION("""COMPUTED_VALUE"""),20.0)</f>
        <v>20</v>
      </c>
      <c r="H1050" s="4"/>
      <c r="I1050" s="4"/>
    </row>
    <row r="1051">
      <c r="A1051" s="4" t="str">
        <f>IFERROR(__xludf.DUMMYFUNCTION("""COMPUTED_VALUE"""),"cas_hmw")</f>
        <v>cas_hmw</v>
      </c>
      <c r="B1051" s="5">
        <f>IFERROR(__xludf.DUMMYFUNCTION("""COMPUTED_VALUE"""),44743.0)</f>
        <v>44743</v>
      </c>
      <c r="C1051" s="6">
        <f>IFERROR(__xludf.DUMMYFUNCTION("""COMPUTED_VALUE"""),0.32584490740919136)</f>
        <v>0.3258449074</v>
      </c>
      <c r="D1051" s="4">
        <f>IFERROR(__xludf.DUMMYFUNCTION("""COMPUTED_VALUE"""),13.006569)</f>
        <v>13.006569</v>
      </c>
      <c r="E1051" s="4">
        <f>IFERROR(__xludf.DUMMYFUNCTION("""COMPUTED_VALUE"""),80.251704)</f>
        <v>80.251704</v>
      </c>
      <c r="F1051" s="4">
        <f>IFERROR(__xludf.DUMMYFUNCTION("""COMPUTED_VALUE"""),805.0)</f>
        <v>805</v>
      </c>
      <c r="G1051" s="4">
        <f>IFERROR(__xludf.DUMMYFUNCTION("""COMPUTED_VALUE"""),19.0)</f>
        <v>19</v>
      </c>
      <c r="H1051" s="4"/>
      <c r="I1051" s="4"/>
    </row>
    <row r="1052">
      <c r="A1052" s="4" t="str">
        <f>IFERROR(__xludf.DUMMYFUNCTION("""COMPUTED_VALUE"""),"cas_hmw")</f>
        <v>cas_hmw</v>
      </c>
      <c r="B1052" s="5">
        <f>IFERROR(__xludf.DUMMYFUNCTION("""COMPUTED_VALUE"""),44743.0)</f>
        <v>44743</v>
      </c>
      <c r="C1052" s="6">
        <f>IFERROR(__xludf.DUMMYFUNCTION("""COMPUTED_VALUE"""),0.33104166666817036)</f>
        <v>0.3310416667</v>
      </c>
      <c r="D1052" s="4">
        <f>IFERROR(__xludf.DUMMYFUNCTION("""COMPUTED_VALUE"""),13.011127)</f>
        <v>13.011127</v>
      </c>
      <c r="E1052" s="4">
        <f>IFERROR(__xludf.DUMMYFUNCTION("""COMPUTED_VALUE"""),80.223868)</f>
        <v>80.223868</v>
      </c>
      <c r="F1052" s="4">
        <f>IFERROR(__xludf.DUMMYFUNCTION("""COMPUTED_VALUE"""),805.0)</f>
        <v>805</v>
      </c>
      <c r="G1052" s="4">
        <f>IFERROR(__xludf.DUMMYFUNCTION("""COMPUTED_VALUE"""),17.0)</f>
        <v>17</v>
      </c>
      <c r="H1052" s="4"/>
      <c r="I1052" s="4"/>
    </row>
    <row r="1053">
      <c r="A1053" s="4" t="str">
        <f>IFERROR(__xludf.DUMMYFUNCTION("""COMPUTED_VALUE"""),"cas_hmw")</f>
        <v>cas_hmw</v>
      </c>
      <c r="B1053" s="5">
        <f>IFERROR(__xludf.DUMMYFUNCTION("""COMPUTED_VALUE"""),44743.0)</f>
        <v>44743</v>
      </c>
      <c r="C1053" s="6">
        <f>IFERROR(__xludf.DUMMYFUNCTION("""COMPUTED_VALUE"""),0.3310648148144537)</f>
        <v>0.3310648148</v>
      </c>
      <c r="D1053" s="4">
        <f>IFERROR(__xludf.DUMMYFUNCTION("""COMPUTED_VALUE"""),13.011127)</f>
        <v>13.011127</v>
      </c>
      <c r="E1053" s="4">
        <f>IFERROR(__xludf.DUMMYFUNCTION("""COMPUTED_VALUE"""),80.223868)</f>
        <v>80.223868</v>
      </c>
      <c r="F1053" s="4">
        <f>IFERROR(__xludf.DUMMYFUNCTION("""COMPUTED_VALUE"""),805.0)</f>
        <v>805</v>
      </c>
      <c r="G1053" s="4">
        <f>IFERROR(__xludf.DUMMYFUNCTION("""COMPUTED_VALUE"""),17.0)</f>
        <v>17</v>
      </c>
      <c r="H1053" s="4"/>
      <c r="I1053" s="4"/>
    </row>
    <row r="1054">
      <c r="A1054" s="4" t="str">
        <f>IFERROR(__xludf.DUMMYFUNCTION("""COMPUTED_VALUE"""),"cas_hmw")</f>
        <v>cas_hmw</v>
      </c>
      <c r="B1054" s="5">
        <f>IFERROR(__xludf.DUMMYFUNCTION("""COMPUTED_VALUE"""),44743.0)</f>
        <v>44743</v>
      </c>
      <c r="C1054" s="6">
        <f>IFERROR(__xludf.DUMMYFUNCTION("""COMPUTED_VALUE"""),0.3310648148144537)</f>
        <v>0.3310648148</v>
      </c>
      <c r="D1054" s="4">
        <f>IFERROR(__xludf.DUMMYFUNCTION("""COMPUTED_VALUE"""),13.011127)</f>
        <v>13.011127</v>
      </c>
      <c r="E1054" s="4">
        <f>IFERROR(__xludf.DUMMYFUNCTION("""COMPUTED_VALUE"""),80.223868)</f>
        <v>80.223868</v>
      </c>
      <c r="F1054" s="4">
        <f>IFERROR(__xludf.DUMMYFUNCTION("""COMPUTED_VALUE"""),805.0)</f>
        <v>805</v>
      </c>
      <c r="G1054" s="4">
        <f>IFERROR(__xludf.DUMMYFUNCTION("""COMPUTED_VALUE"""),17.0)</f>
        <v>17</v>
      </c>
      <c r="H1054" s="4"/>
      <c r="I1054" s="4"/>
    </row>
    <row r="1055">
      <c r="A1055" s="4" t="str">
        <f>IFERROR(__xludf.DUMMYFUNCTION("""COMPUTED_VALUE"""),"cas_hmw")</f>
        <v>cas_hmw</v>
      </c>
      <c r="B1055" s="5">
        <f>IFERROR(__xludf.DUMMYFUNCTION("""COMPUTED_VALUE"""),44743.0)</f>
        <v>44743</v>
      </c>
      <c r="C1055" s="6">
        <f>IFERROR(__xludf.DUMMYFUNCTION("""COMPUTED_VALUE"""),0.3310763888875954)</f>
        <v>0.3310763889</v>
      </c>
      <c r="D1055" s="4">
        <f>IFERROR(__xludf.DUMMYFUNCTION("""COMPUTED_VALUE"""),13.011127)</f>
        <v>13.011127</v>
      </c>
      <c r="E1055" s="4">
        <f>IFERROR(__xludf.DUMMYFUNCTION("""COMPUTED_VALUE"""),80.223868)</f>
        <v>80.223868</v>
      </c>
      <c r="F1055" s="4">
        <f>IFERROR(__xludf.DUMMYFUNCTION("""COMPUTED_VALUE"""),805.0)</f>
        <v>805</v>
      </c>
      <c r="G1055" s="4">
        <f>IFERROR(__xludf.DUMMYFUNCTION("""COMPUTED_VALUE"""),17.0)</f>
        <v>17</v>
      </c>
      <c r="H1055" s="4"/>
      <c r="I1055" s="4"/>
    </row>
    <row r="1056">
      <c r="A1056" s="4" t="str">
        <f>IFERROR(__xludf.DUMMYFUNCTION("""COMPUTED_VALUE"""),"cas_hmw")</f>
        <v>cas_hmw</v>
      </c>
      <c r="B1056" s="5">
        <f>IFERROR(__xludf.DUMMYFUNCTION("""COMPUTED_VALUE"""),44743.0)</f>
        <v>44743</v>
      </c>
      <c r="C1056" s="6">
        <f>IFERROR(__xludf.DUMMYFUNCTION("""COMPUTED_VALUE"""),0.3336805555554747)</f>
        <v>0.3336805556</v>
      </c>
      <c r="D1056" s="4">
        <f>IFERROR(__xludf.DUMMYFUNCTION("""COMPUTED_VALUE"""),12.952513)</f>
        <v>12.952513</v>
      </c>
      <c r="E1056" s="4">
        <f>IFERROR(__xludf.DUMMYFUNCTION("""COMPUTED_VALUE"""),80.141126)</f>
        <v>80.141126</v>
      </c>
      <c r="F1056" s="4">
        <f>IFERROR(__xludf.DUMMYFUNCTION("""COMPUTED_VALUE"""),5339.0)</f>
        <v>5339</v>
      </c>
      <c r="G1056" s="4">
        <f>IFERROR(__xludf.DUMMYFUNCTION("""COMPUTED_VALUE"""),16.0)</f>
        <v>16</v>
      </c>
      <c r="H1056" s="4"/>
      <c r="I1056" s="4"/>
    </row>
    <row r="1057">
      <c r="A1057" s="4" t="str">
        <f>IFERROR(__xludf.DUMMYFUNCTION("""COMPUTED_VALUE"""),"cas_hmw")</f>
        <v>cas_hmw</v>
      </c>
      <c r="B1057" s="5">
        <f>IFERROR(__xludf.DUMMYFUNCTION("""COMPUTED_VALUE"""),44743.0)</f>
        <v>44743</v>
      </c>
      <c r="C1057" s="6">
        <f>IFERROR(__xludf.DUMMYFUNCTION("""COMPUTED_VALUE"""),0.3342361111099308)</f>
        <v>0.3342361111</v>
      </c>
      <c r="D1057" s="4">
        <f>IFERROR(__xludf.DUMMYFUNCTION("""COMPUTED_VALUE"""),12.950759)</f>
        <v>12.950759</v>
      </c>
      <c r="E1057" s="4">
        <f>IFERROR(__xludf.DUMMYFUNCTION("""COMPUTED_VALUE"""),80.13981)</f>
        <v>80.13981</v>
      </c>
      <c r="F1057" s="4">
        <f>IFERROR(__xludf.DUMMYFUNCTION("""COMPUTED_VALUE"""),5339.0)</f>
        <v>5339</v>
      </c>
      <c r="G1057" s="4">
        <f>IFERROR(__xludf.DUMMYFUNCTION("""COMPUTED_VALUE"""),18.0)</f>
        <v>18</v>
      </c>
      <c r="H1057" s="4"/>
      <c r="I1057" s="4"/>
    </row>
    <row r="1058">
      <c r="A1058" s="4" t="str">
        <f>IFERROR(__xludf.DUMMYFUNCTION("""COMPUTED_VALUE"""),"cas_hmw")</f>
        <v>cas_hmw</v>
      </c>
      <c r="B1058" s="5">
        <f>IFERROR(__xludf.DUMMYFUNCTION("""COMPUTED_VALUE"""),44743.0)</f>
        <v>44743</v>
      </c>
      <c r="C1058" s="6">
        <f>IFERROR(__xludf.DUMMYFUNCTION("""COMPUTED_VALUE"""),0.33625000000029104)</f>
        <v>0.33625</v>
      </c>
      <c r="D1058" s="4">
        <f>IFERROR(__xludf.DUMMYFUNCTION("""COMPUTED_VALUE"""),12.994088)</f>
        <v>12.994088</v>
      </c>
      <c r="E1058" s="4">
        <f>IFERROR(__xludf.DUMMYFUNCTION("""COMPUTED_VALUE"""),80.185802)</f>
        <v>80.185802</v>
      </c>
      <c r="F1058" s="4">
        <f>IFERROR(__xludf.DUMMYFUNCTION("""COMPUTED_VALUE"""),805.0)</f>
        <v>805</v>
      </c>
      <c r="G1058" s="4">
        <f>IFERROR(__xludf.DUMMYFUNCTION("""COMPUTED_VALUE"""),16.0)</f>
        <v>16</v>
      </c>
      <c r="H1058" s="4"/>
      <c r="I1058" s="4"/>
    </row>
    <row r="1059">
      <c r="A1059" s="4" t="str">
        <f>IFERROR(__xludf.DUMMYFUNCTION("""COMPUTED_VALUE"""),"cas_hmw")</f>
        <v>cas_hmw</v>
      </c>
      <c r="B1059" s="5">
        <f>IFERROR(__xludf.DUMMYFUNCTION("""COMPUTED_VALUE"""),44743.0)</f>
        <v>44743</v>
      </c>
      <c r="C1059" s="6">
        <f>IFERROR(__xludf.DUMMYFUNCTION("""COMPUTED_VALUE"""),0.3384722222217533)</f>
        <v>0.3384722222</v>
      </c>
      <c r="D1059" s="4">
        <f>IFERROR(__xludf.DUMMYFUNCTION("""COMPUTED_VALUE"""),12.986525)</f>
        <v>12.986525</v>
      </c>
      <c r="E1059" s="4">
        <f>IFERROR(__xludf.DUMMYFUNCTION("""COMPUTED_VALUE"""),80.174982)</f>
        <v>80.174982</v>
      </c>
      <c r="F1059" s="4">
        <f>IFERROR(__xludf.DUMMYFUNCTION("""COMPUTED_VALUE"""),805.0)</f>
        <v>805</v>
      </c>
      <c r="G1059" s="4">
        <f>IFERROR(__xludf.DUMMYFUNCTION("""COMPUTED_VALUE"""),7.0)</f>
        <v>7</v>
      </c>
      <c r="H1059" s="4"/>
      <c r="I1059" s="4"/>
    </row>
    <row r="1060">
      <c r="A1060" s="4" t="str">
        <f>IFERROR(__xludf.DUMMYFUNCTION("""COMPUTED_VALUE"""),"cas_hmw")</f>
        <v>cas_hmw</v>
      </c>
      <c r="B1060" s="5">
        <f>IFERROR(__xludf.DUMMYFUNCTION("""COMPUTED_VALUE"""),44743.0)</f>
        <v>44743</v>
      </c>
      <c r="C1060" s="6">
        <f>IFERROR(__xludf.DUMMYFUNCTION("""COMPUTED_VALUE"""),0.3389583333337214)</f>
        <v>0.3389583333</v>
      </c>
      <c r="D1060" s="4">
        <f>IFERROR(__xludf.DUMMYFUNCTION("""COMPUTED_VALUE"""),12.923229)</f>
        <v>12.923229</v>
      </c>
      <c r="E1060" s="4">
        <f>IFERROR(__xludf.DUMMYFUNCTION("""COMPUTED_VALUE"""),80.11439)</f>
        <v>80.11439</v>
      </c>
      <c r="F1060" s="4">
        <f>IFERROR(__xludf.DUMMYFUNCTION("""COMPUTED_VALUE"""),5339.0)</f>
        <v>5339</v>
      </c>
      <c r="G1060" s="4">
        <f>IFERROR(__xludf.DUMMYFUNCTION("""COMPUTED_VALUE"""),13.0)</f>
        <v>13</v>
      </c>
      <c r="H1060" s="4"/>
      <c r="I1060" s="4"/>
    </row>
    <row r="1061">
      <c r="A1061" s="4" t="str">
        <f>IFERROR(__xludf.DUMMYFUNCTION("""COMPUTED_VALUE"""),"cas_hmw")</f>
        <v>cas_hmw</v>
      </c>
      <c r="B1061" s="5">
        <f>IFERROR(__xludf.DUMMYFUNCTION("""COMPUTED_VALUE"""),44743.0)</f>
        <v>44743</v>
      </c>
      <c r="C1061" s="6">
        <f>IFERROR(__xludf.DUMMYFUNCTION("""COMPUTED_VALUE"""),0.33896990740686306)</f>
        <v>0.3389699074</v>
      </c>
      <c r="D1061" s="4">
        <f>IFERROR(__xludf.DUMMYFUNCTION("""COMPUTED_VALUE"""),12.923229)</f>
        <v>12.923229</v>
      </c>
      <c r="E1061" s="4">
        <f>IFERROR(__xludf.DUMMYFUNCTION("""COMPUTED_VALUE"""),80.11439)</f>
        <v>80.11439</v>
      </c>
      <c r="F1061" s="4">
        <f>IFERROR(__xludf.DUMMYFUNCTION("""COMPUTED_VALUE"""),5339.0)</f>
        <v>5339</v>
      </c>
      <c r="G1061" s="4">
        <f>IFERROR(__xludf.DUMMYFUNCTION("""COMPUTED_VALUE"""),13.0)</f>
        <v>13</v>
      </c>
      <c r="H1061" s="4"/>
      <c r="I1061" s="4"/>
    </row>
    <row r="1062">
      <c r="A1062" s="4" t="str">
        <f>IFERROR(__xludf.DUMMYFUNCTION("""COMPUTED_VALUE"""),"cas_hmw")</f>
        <v>cas_hmw</v>
      </c>
      <c r="B1062" s="5">
        <f>IFERROR(__xludf.DUMMYFUNCTION("""COMPUTED_VALUE"""),44743.0)</f>
        <v>44743</v>
      </c>
      <c r="C1062" s="6">
        <f>IFERROR(__xludf.DUMMYFUNCTION("""COMPUTED_VALUE"""),0.33898148148000473)</f>
        <v>0.3389814815</v>
      </c>
      <c r="D1062" s="4">
        <f>IFERROR(__xludf.DUMMYFUNCTION("""COMPUTED_VALUE"""),12.923229)</f>
        <v>12.923229</v>
      </c>
      <c r="E1062" s="4">
        <f>IFERROR(__xludf.DUMMYFUNCTION("""COMPUTED_VALUE"""),80.11439)</f>
        <v>80.11439</v>
      </c>
      <c r="F1062" s="4">
        <f>IFERROR(__xludf.DUMMYFUNCTION("""COMPUTED_VALUE"""),5339.0)</f>
        <v>5339</v>
      </c>
      <c r="G1062" s="4">
        <f>IFERROR(__xludf.DUMMYFUNCTION("""COMPUTED_VALUE"""),13.0)</f>
        <v>13</v>
      </c>
      <c r="H1062" s="4"/>
      <c r="I1062" s="4"/>
    </row>
    <row r="1063">
      <c r="A1063" s="4" t="str">
        <f>IFERROR(__xludf.DUMMYFUNCTION("""COMPUTED_VALUE"""),"cas_hmw")</f>
        <v>cas_hmw</v>
      </c>
      <c r="B1063" s="5">
        <f>IFERROR(__xludf.DUMMYFUNCTION("""COMPUTED_VALUE"""),44743.0)</f>
        <v>44743</v>
      </c>
      <c r="C1063" s="6">
        <f>IFERROR(__xludf.DUMMYFUNCTION("""COMPUTED_VALUE"""),0.3441435185195587)</f>
        <v>0.3441435185</v>
      </c>
      <c r="D1063" s="4">
        <f>IFERROR(__xludf.DUMMYFUNCTION("""COMPUTED_VALUE"""),12.961874)</f>
        <v>12.961874</v>
      </c>
      <c r="E1063" s="4">
        <f>IFERROR(__xludf.DUMMYFUNCTION("""COMPUTED_VALUE"""),80.146294)</f>
        <v>80.146294</v>
      </c>
      <c r="F1063" s="4">
        <f>IFERROR(__xludf.DUMMYFUNCTION("""COMPUTED_VALUE"""),805.0)</f>
        <v>805</v>
      </c>
      <c r="G1063" s="4">
        <f>IFERROR(__xludf.DUMMYFUNCTION("""COMPUTED_VALUE"""),17.0)</f>
        <v>17</v>
      </c>
      <c r="H1063" s="4"/>
      <c r="I1063" s="4"/>
    </row>
    <row r="1064">
      <c r="A1064" s="4" t="str">
        <f>IFERROR(__xludf.DUMMYFUNCTION("""COMPUTED_VALUE"""),"cas_hmw")</f>
        <v>cas_hmw</v>
      </c>
      <c r="B1064" s="5">
        <f>IFERROR(__xludf.DUMMYFUNCTION("""COMPUTED_VALUE"""),44743.0)</f>
        <v>44743</v>
      </c>
      <c r="C1064" s="6">
        <f>IFERROR(__xludf.DUMMYFUNCTION("""COMPUTED_VALUE"""),0.34428240740817273)</f>
        <v>0.3442824074</v>
      </c>
      <c r="D1064" s="4">
        <f>IFERROR(__xludf.DUMMYFUNCTION("""COMPUTED_VALUE"""),12.961874)</f>
        <v>12.961874</v>
      </c>
      <c r="E1064" s="4">
        <f>IFERROR(__xludf.DUMMYFUNCTION("""COMPUTED_VALUE"""),80.146294)</f>
        <v>80.146294</v>
      </c>
      <c r="F1064" s="4">
        <f>IFERROR(__xludf.DUMMYFUNCTION("""COMPUTED_VALUE"""),805.0)</f>
        <v>805</v>
      </c>
      <c r="G1064" s="4">
        <f>IFERROR(__xludf.DUMMYFUNCTION("""COMPUTED_VALUE"""),17.0)</f>
        <v>17</v>
      </c>
      <c r="H1064" s="4"/>
      <c r="I1064" s="4"/>
    </row>
    <row r="1065">
      <c r="A1065" s="4" t="str">
        <f>IFERROR(__xludf.DUMMYFUNCTION("""COMPUTED_VALUE"""),"cas_hmw")</f>
        <v>cas_hmw</v>
      </c>
      <c r="B1065" s="5">
        <f>IFERROR(__xludf.DUMMYFUNCTION("""COMPUTED_VALUE"""),44743.0)</f>
        <v>44743</v>
      </c>
      <c r="C1065" s="6">
        <f>IFERROR(__xludf.DUMMYFUNCTION("""COMPUTED_VALUE"""),0.34543981481328956)</f>
        <v>0.3454398148</v>
      </c>
      <c r="D1065" s="4">
        <f>IFERROR(__xludf.DUMMYFUNCTION("""COMPUTED_VALUE"""),12.86694)</f>
        <v>12.86694</v>
      </c>
      <c r="E1065" s="4">
        <f>IFERROR(__xludf.DUMMYFUNCTION("""COMPUTED_VALUE"""),80.075167)</f>
        <v>80.075167</v>
      </c>
      <c r="F1065" s="4">
        <f>IFERROR(__xludf.DUMMYFUNCTION("""COMPUTED_VALUE"""),2846.0)</f>
        <v>2846</v>
      </c>
      <c r="G1065" s="4">
        <f>IFERROR(__xludf.DUMMYFUNCTION("""COMPUTED_VALUE"""),16.0)</f>
        <v>16</v>
      </c>
      <c r="H1065" s="4"/>
      <c r="I1065" s="4"/>
    </row>
    <row r="1066">
      <c r="A1066" s="4" t="str">
        <f>IFERROR(__xludf.DUMMYFUNCTION("""COMPUTED_VALUE"""),"cas_hmw")</f>
        <v>cas_hmw</v>
      </c>
      <c r="B1066" s="5">
        <f>IFERROR(__xludf.DUMMYFUNCTION("""COMPUTED_VALUE"""),44743.0)</f>
        <v>44743</v>
      </c>
      <c r="C1066" s="6">
        <f>IFERROR(__xludf.DUMMYFUNCTION("""COMPUTED_VALUE"""),0.34552083333255723)</f>
        <v>0.3455208333</v>
      </c>
      <c r="D1066" s="4">
        <f>IFERROR(__xludf.DUMMYFUNCTION("""COMPUTED_VALUE"""),12.86694)</f>
        <v>12.86694</v>
      </c>
      <c r="E1066" s="4">
        <f>IFERROR(__xludf.DUMMYFUNCTION("""COMPUTED_VALUE"""),80.075167)</f>
        <v>80.075167</v>
      </c>
      <c r="F1066" s="4">
        <f>IFERROR(__xludf.DUMMYFUNCTION("""COMPUTED_VALUE"""),2846.0)</f>
        <v>2846</v>
      </c>
      <c r="G1066" s="4">
        <f>IFERROR(__xludf.DUMMYFUNCTION("""COMPUTED_VALUE"""),16.0)</f>
        <v>16</v>
      </c>
      <c r="H1066" s="4"/>
      <c r="I1066" s="4"/>
    </row>
    <row r="1067">
      <c r="A1067" s="4" t="str">
        <f>IFERROR(__xludf.DUMMYFUNCTION("""COMPUTED_VALUE"""),"cas_hmw")</f>
        <v>cas_hmw</v>
      </c>
      <c r="B1067" s="5">
        <f>IFERROR(__xludf.DUMMYFUNCTION("""COMPUTED_VALUE"""),44743.0)</f>
        <v>44743</v>
      </c>
      <c r="C1067" s="6">
        <f>IFERROR(__xludf.DUMMYFUNCTION("""COMPUTED_VALUE"""),0.34907407407445135)</f>
        <v>0.3490740741</v>
      </c>
      <c r="D1067" s="4">
        <f>IFERROR(__xludf.DUMMYFUNCTION("""COMPUTED_VALUE"""),12.931952)</f>
        <v>12.931952</v>
      </c>
      <c r="E1067" s="4">
        <f>IFERROR(__xludf.DUMMYFUNCTION("""COMPUTED_VALUE"""),80.123293)</f>
        <v>80.123293</v>
      </c>
      <c r="F1067" s="4">
        <f>IFERROR(__xludf.DUMMYFUNCTION("""COMPUTED_VALUE"""),805.0)</f>
        <v>805</v>
      </c>
      <c r="G1067" s="4">
        <f>IFERROR(__xludf.DUMMYFUNCTION("""COMPUTED_VALUE"""),17.0)</f>
        <v>17</v>
      </c>
      <c r="H1067" s="4"/>
      <c r="I1067" s="4"/>
    </row>
    <row r="1068">
      <c r="A1068" s="4" t="str">
        <f>IFERROR(__xludf.DUMMYFUNCTION("""COMPUTED_VALUE"""),"cas_hmw")</f>
        <v>cas_hmw</v>
      </c>
      <c r="B1068" s="5">
        <f>IFERROR(__xludf.DUMMYFUNCTION("""COMPUTED_VALUE"""),44743.0)</f>
        <v>44743</v>
      </c>
      <c r="C1068" s="6">
        <f>IFERROR(__xludf.DUMMYFUNCTION("""COMPUTED_VALUE"""),0.35055555555663886)</f>
        <v>0.3505555556</v>
      </c>
      <c r="D1068" s="4">
        <f>IFERROR(__xludf.DUMMYFUNCTION("""COMPUTED_VALUE"""),12.923254)</f>
        <v>12.923254</v>
      </c>
      <c r="E1068" s="4">
        <f>IFERROR(__xludf.DUMMYFUNCTION("""COMPUTED_VALUE"""),80.114477)</f>
        <v>80.114477</v>
      </c>
      <c r="F1068" s="4">
        <f>IFERROR(__xludf.DUMMYFUNCTION("""COMPUTED_VALUE"""),805.0)</f>
        <v>805</v>
      </c>
      <c r="G1068" s="4">
        <f>IFERROR(__xludf.DUMMYFUNCTION("""COMPUTED_VALUE"""),14.0)</f>
        <v>14</v>
      </c>
      <c r="H1068" s="4"/>
      <c r="I1068" s="4"/>
    </row>
    <row r="1069">
      <c r="A1069" s="4" t="str">
        <f>IFERROR(__xludf.DUMMYFUNCTION("""COMPUTED_VALUE"""),"cas_hmw")</f>
        <v>cas_hmw</v>
      </c>
      <c r="B1069" s="5">
        <f>IFERROR(__xludf.DUMMYFUNCTION("""COMPUTED_VALUE"""),44743.0)</f>
        <v>44743</v>
      </c>
      <c r="C1069" s="6">
        <f>IFERROR(__xludf.DUMMYFUNCTION("""COMPUTED_VALUE"""),0.3506249999991269)</f>
        <v>0.350625</v>
      </c>
      <c r="D1069" s="4">
        <f>IFERROR(__xludf.DUMMYFUNCTION("""COMPUTED_VALUE"""),12.923254)</f>
        <v>12.923254</v>
      </c>
      <c r="E1069" s="4">
        <f>IFERROR(__xludf.DUMMYFUNCTION("""COMPUTED_VALUE"""),80.114477)</f>
        <v>80.114477</v>
      </c>
      <c r="F1069" s="4">
        <f>IFERROR(__xludf.DUMMYFUNCTION("""COMPUTED_VALUE"""),805.0)</f>
        <v>805</v>
      </c>
      <c r="G1069" s="4">
        <f>IFERROR(__xludf.DUMMYFUNCTION("""COMPUTED_VALUE"""),14.0)</f>
        <v>14</v>
      </c>
      <c r="H1069" s="4"/>
      <c r="I1069" s="4"/>
    </row>
    <row r="1070">
      <c r="A1070" s="4" t="str">
        <f>IFERROR(__xludf.DUMMYFUNCTION("""COMPUTED_VALUE"""),"cas_hmw")</f>
        <v>cas_hmw</v>
      </c>
      <c r="B1070" s="5">
        <f>IFERROR(__xludf.DUMMYFUNCTION("""COMPUTED_VALUE"""),44743.0)</f>
        <v>44743</v>
      </c>
      <c r="C1070" s="6">
        <f>IFERROR(__xludf.DUMMYFUNCTION("""COMPUTED_VALUE"""),0.3519675925927004)</f>
        <v>0.3519675926</v>
      </c>
      <c r="D1070" s="4">
        <f>IFERROR(__xludf.DUMMYFUNCTION("""COMPUTED_VALUE"""),12.91705)</f>
        <v>12.91705</v>
      </c>
      <c r="E1070" s="4">
        <f>IFERROR(__xludf.DUMMYFUNCTION("""COMPUTED_VALUE"""),80.107304)</f>
        <v>80.107304</v>
      </c>
      <c r="F1070" s="4">
        <f>IFERROR(__xludf.DUMMYFUNCTION("""COMPUTED_VALUE"""),805.0)</f>
        <v>805</v>
      </c>
      <c r="G1070" s="4">
        <f>IFERROR(__xludf.DUMMYFUNCTION("""COMPUTED_VALUE"""),5.0)</f>
        <v>5</v>
      </c>
      <c r="H1070" s="4"/>
      <c r="I1070" s="4"/>
    </row>
    <row r="1071">
      <c r="A1071" s="4" t="str">
        <f>IFERROR(__xludf.DUMMYFUNCTION("""COMPUTED_VALUE"""),"cas_hmw")</f>
        <v>cas_hmw</v>
      </c>
      <c r="B1071" s="5">
        <f>IFERROR(__xludf.DUMMYFUNCTION("""COMPUTED_VALUE"""),44743.0)</f>
        <v>44743</v>
      </c>
      <c r="C1071" s="6">
        <f>IFERROR(__xludf.DUMMYFUNCTION("""COMPUTED_VALUE"""),0.3520370370388264)</f>
        <v>0.352037037</v>
      </c>
      <c r="D1071" s="4">
        <f>IFERROR(__xludf.DUMMYFUNCTION("""COMPUTED_VALUE"""),12.91705)</f>
        <v>12.91705</v>
      </c>
      <c r="E1071" s="4">
        <f>IFERROR(__xludf.DUMMYFUNCTION("""COMPUTED_VALUE"""),80.107304)</f>
        <v>80.107304</v>
      </c>
      <c r="F1071" s="4">
        <f>IFERROR(__xludf.DUMMYFUNCTION("""COMPUTED_VALUE"""),805.0)</f>
        <v>805</v>
      </c>
      <c r="G1071" s="4">
        <f>IFERROR(__xludf.DUMMYFUNCTION("""COMPUTED_VALUE"""),5.0)</f>
        <v>5</v>
      </c>
      <c r="H1071" s="4"/>
      <c r="I1071" s="4"/>
    </row>
    <row r="1072">
      <c r="A1072" s="4" t="str">
        <f>IFERROR(__xludf.DUMMYFUNCTION("""COMPUTED_VALUE"""),"cas_hmw")</f>
        <v>cas_hmw</v>
      </c>
      <c r="B1072" s="5">
        <f>IFERROR(__xludf.DUMMYFUNCTION("""COMPUTED_VALUE"""),44743.0)</f>
        <v>44743</v>
      </c>
      <c r="C1072" s="6">
        <f>IFERROR(__xludf.DUMMYFUNCTION("""COMPUTED_VALUE"""),0.35434027777955635)</f>
        <v>0.3543402778</v>
      </c>
      <c r="D1072" s="4">
        <f>IFERROR(__xludf.DUMMYFUNCTION("""COMPUTED_VALUE"""),12.906366)</f>
        <v>12.906366</v>
      </c>
      <c r="E1072" s="4">
        <f>IFERROR(__xludf.DUMMYFUNCTION("""COMPUTED_VALUE"""),80.096482)</f>
        <v>80.096482</v>
      </c>
      <c r="F1072" s="4">
        <f>IFERROR(__xludf.DUMMYFUNCTION("""COMPUTED_VALUE"""),805.0)</f>
        <v>805</v>
      </c>
      <c r="G1072" s="4">
        <f>IFERROR(__xludf.DUMMYFUNCTION("""COMPUTED_VALUE"""),16.0)</f>
        <v>16</v>
      </c>
      <c r="H1072" s="4"/>
      <c r="I1072" s="4"/>
    </row>
    <row r="1073">
      <c r="A1073" s="4" t="str">
        <f>IFERROR(__xludf.DUMMYFUNCTION("""COMPUTED_VALUE"""),"cas_hmw")</f>
        <v>cas_hmw</v>
      </c>
      <c r="B1073" s="5">
        <f>IFERROR(__xludf.DUMMYFUNCTION("""COMPUTED_VALUE"""),44743.0)</f>
        <v>44743</v>
      </c>
      <c r="C1073" s="6">
        <f>IFERROR(__xludf.DUMMYFUNCTION("""COMPUTED_VALUE"""),0.35445601851824904)</f>
        <v>0.3544560185</v>
      </c>
      <c r="D1073" s="4">
        <f>IFERROR(__xludf.DUMMYFUNCTION("""COMPUTED_VALUE"""),12.905765)</f>
        <v>12.905765</v>
      </c>
      <c r="E1073" s="4">
        <f>IFERROR(__xludf.DUMMYFUNCTION("""COMPUTED_VALUE"""),80.095987)</f>
        <v>80.095987</v>
      </c>
      <c r="F1073" s="4">
        <f>IFERROR(__xludf.DUMMYFUNCTION("""COMPUTED_VALUE"""),805.0)</f>
        <v>805</v>
      </c>
      <c r="G1073" s="4">
        <f>IFERROR(__xludf.DUMMYFUNCTION("""COMPUTED_VALUE"""),20.0)</f>
        <v>20</v>
      </c>
      <c r="H1073" s="4"/>
      <c r="I1073" s="4"/>
    </row>
    <row r="1074">
      <c r="A1074" s="4" t="str">
        <f>IFERROR(__xludf.DUMMYFUNCTION("""COMPUTED_VALUE"""),"cas_hmw")</f>
        <v>cas_hmw</v>
      </c>
      <c r="B1074" s="5">
        <f>IFERROR(__xludf.DUMMYFUNCTION("""COMPUTED_VALUE"""),44743.0)</f>
        <v>44743</v>
      </c>
      <c r="C1074" s="6">
        <f>IFERROR(__xludf.DUMMYFUNCTION("""COMPUTED_VALUE"""),0.3565393518510973)</f>
        <v>0.3565393519</v>
      </c>
      <c r="D1074" s="4">
        <f>IFERROR(__xludf.DUMMYFUNCTION("""COMPUTED_VALUE"""),12.89313)</f>
        <v>12.89313</v>
      </c>
      <c r="E1074" s="4">
        <f>IFERROR(__xludf.DUMMYFUNCTION("""COMPUTED_VALUE"""),80.086339)</f>
        <v>80.086339</v>
      </c>
      <c r="F1074" s="4">
        <f>IFERROR(__xludf.DUMMYFUNCTION("""COMPUTED_VALUE"""),805.0)</f>
        <v>805</v>
      </c>
      <c r="G1074" s="4">
        <f>IFERROR(__xludf.DUMMYFUNCTION("""COMPUTED_VALUE"""),13.0)</f>
        <v>13</v>
      </c>
      <c r="H1074" s="4"/>
      <c r="I1074" s="4"/>
    </row>
    <row r="1075">
      <c r="A1075" s="4" t="str">
        <f>IFERROR(__xludf.DUMMYFUNCTION("""COMPUTED_VALUE"""),"cas_hmw")</f>
        <v>cas_hmw</v>
      </c>
      <c r="B1075" s="5">
        <f>IFERROR(__xludf.DUMMYFUNCTION("""COMPUTED_VALUE"""),44743.0)</f>
        <v>44743</v>
      </c>
      <c r="C1075" s="6">
        <f>IFERROR(__xludf.DUMMYFUNCTION("""COMPUTED_VALUE"""),0.6729745370357705)</f>
        <v>0.672974537</v>
      </c>
      <c r="D1075" s="4">
        <f>IFERROR(__xludf.DUMMYFUNCTION("""COMPUTED_VALUE"""),12.875854)</f>
        <v>12.875854</v>
      </c>
      <c r="E1075" s="4">
        <f>IFERROR(__xludf.DUMMYFUNCTION("""COMPUTED_VALUE"""),80.083766)</f>
        <v>80.083766</v>
      </c>
      <c r="F1075" s="4">
        <f>IFERROR(__xludf.DUMMYFUNCTION("""COMPUTED_VALUE"""),805.0)</f>
        <v>805</v>
      </c>
      <c r="G1075" s="4">
        <f>IFERROR(__xludf.DUMMYFUNCTION("""COMPUTED_VALUE"""),0.0)</f>
        <v>0</v>
      </c>
      <c r="H1075" s="4"/>
      <c r="I1075" s="4"/>
    </row>
    <row r="1076">
      <c r="A1076" s="4" t="str">
        <f>IFERROR(__xludf.DUMMYFUNCTION("""COMPUTED_VALUE"""),"cas_hmw")</f>
        <v>cas_hmw</v>
      </c>
      <c r="B1076" s="5">
        <f>IFERROR(__xludf.DUMMYFUNCTION("""COMPUTED_VALUE"""),44743.0)</f>
        <v>44743</v>
      </c>
      <c r="C1076" s="6">
        <f>IFERROR(__xludf.DUMMYFUNCTION("""COMPUTED_VALUE"""),0.6729745370357705)</f>
        <v>0.672974537</v>
      </c>
      <c r="D1076" s="4">
        <f>IFERROR(__xludf.DUMMYFUNCTION("""COMPUTED_VALUE"""),12.875854)</f>
        <v>12.875854</v>
      </c>
      <c r="E1076" s="4">
        <f>IFERROR(__xludf.DUMMYFUNCTION("""COMPUTED_VALUE"""),80.083766)</f>
        <v>80.083766</v>
      </c>
      <c r="F1076" s="4">
        <f>IFERROR(__xludf.DUMMYFUNCTION("""COMPUTED_VALUE"""),805.0)</f>
        <v>805</v>
      </c>
      <c r="G1076" s="4">
        <f>IFERROR(__xludf.DUMMYFUNCTION("""COMPUTED_VALUE"""),0.0)</f>
        <v>0</v>
      </c>
      <c r="H1076" s="4"/>
      <c r="I1076" s="4"/>
    </row>
    <row r="1077">
      <c r="A1077" s="4" t="str">
        <f>IFERROR(__xludf.DUMMYFUNCTION("""COMPUTED_VALUE"""),"cas_hmw")</f>
        <v>cas_hmw</v>
      </c>
      <c r="B1077" s="5">
        <f>IFERROR(__xludf.DUMMYFUNCTION("""COMPUTED_VALUE"""),44743.0)</f>
        <v>44743</v>
      </c>
      <c r="C1077" s="6">
        <f>IFERROR(__xludf.DUMMYFUNCTION("""COMPUTED_VALUE"""),0.6729976851856918)</f>
        <v>0.6729976852</v>
      </c>
      <c r="D1077" s="4">
        <f>IFERROR(__xludf.DUMMYFUNCTION("""COMPUTED_VALUE"""),12.875854)</f>
        <v>12.875854</v>
      </c>
      <c r="E1077" s="4">
        <f>IFERROR(__xludf.DUMMYFUNCTION("""COMPUTED_VALUE"""),80.083766)</f>
        <v>80.083766</v>
      </c>
      <c r="F1077" s="4">
        <f>IFERROR(__xludf.DUMMYFUNCTION("""COMPUTED_VALUE"""),805.0)</f>
        <v>805</v>
      </c>
      <c r="G1077" s="4">
        <f>IFERROR(__xludf.DUMMYFUNCTION("""COMPUTED_VALUE"""),0.0)</f>
        <v>0</v>
      </c>
      <c r="H1077" s="4"/>
      <c r="I1077" s="4"/>
    </row>
    <row r="1078">
      <c r="A1078" s="4" t="str">
        <f>IFERROR(__xludf.DUMMYFUNCTION("""COMPUTED_VALUE"""),"cas_hmw")</f>
        <v>cas_hmw</v>
      </c>
      <c r="B1078" s="5">
        <f>IFERROR(__xludf.DUMMYFUNCTION("""COMPUTED_VALUE"""),44743.0)</f>
        <v>44743</v>
      </c>
      <c r="C1078" s="6">
        <f>IFERROR(__xludf.DUMMYFUNCTION("""COMPUTED_VALUE"""),0.6730092592588335)</f>
        <v>0.6730092593</v>
      </c>
      <c r="D1078" s="4">
        <f>IFERROR(__xludf.DUMMYFUNCTION("""COMPUTED_VALUE"""),12.875854)</f>
        <v>12.875854</v>
      </c>
      <c r="E1078" s="4">
        <f>IFERROR(__xludf.DUMMYFUNCTION("""COMPUTED_VALUE"""),80.083766)</f>
        <v>80.083766</v>
      </c>
      <c r="F1078" s="4">
        <f>IFERROR(__xludf.DUMMYFUNCTION("""COMPUTED_VALUE"""),805.0)</f>
        <v>805</v>
      </c>
      <c r="G1078" s="4">
        <f>IFERROR(__xludf.DUMMYFUNCTION("""COMPUTED_VALUE"""),0.0)</f>
        <v>0</v>
      </c>
      <c r="H1078" s="4"/>
      <c r="I1078" s="4"/>
    </row>
    <row r="1079">
      <c r="A1079" s="4" t="str">
        <f>IFERROR(__xludf.DUMMYFUNCTION("""COMPUTED_VALUE"""),"cas_hmw")</f>
        <v>cas_hmw</v>
      </c>
      <c r="B1079" s="5">
        <f>IFERROR(__xludf.DUMMYFUNCTION("""COMPUTED_VALUE"""),44743.0)</f>
        <v>44743</v>
      </c>
      <c r="C1079" s="6">
        <f>IFERROR(__xludf.DUMMYFUNCTION("""COMPUTED_VALUE"""),0.6730208333319752)</f>
        <v>0.6730208333</v>
      </c>
      <c r="D1079" s="4">
        <f>IFERROR(__xludf.DUMMYFUNCTION("""COMPUTED_VALUE"""),12.875854)</f>
        <v>12.875854</v>
      </c>
      <c r="E1079" s="4">
        <f>IFERROR(__xludf.DUMMYFUNCTION("""COMPUTED_VALUE"""),80.083766)</f>
        <v>80.083766</v>
      </c>
      <c r="F1079" s="4">
        <f>IFERROR(__xludf.DUMMYFUNCTION("""COMPUTED_VALUE"""),805.0)</f>
        <v>805</v>
      </c>
      <c r="G1079" s="4">
        <f>IFERROR(__xludf.DUMMYFUNCTION("""COMPUTED_VALUE"""),0.0)</f>
        <v>0</v>
      </c>
      <c r="H1079" s="4"/>
      <c r="I1079" s="4"/>
    </row>
    <row r="1080">
      <c r="A1080" s="4" t="str">
        <f>IFERROR(__xludf.DUMMYFUNCTION("""COMPUTED_VALUE"""),"cas_hmw")</f>
        <v>cas_hmw</v>
      </c>
      <c r="B1080" s="5">
        <f>IFERROR(__xludf.DUMMYFUNCTION("""COMPUTED_VALUE"""),44743.0)</f>
        <v>44743</v>
      </c>
      <c r="C1080" s="6">
        <f>IFERROR(__xludf.DUMMYFUNCTION("""COMPUTED_VALUE"""),0.679583333334449)</f>
        <v>0.6795833333</v>
      </c>
      <c r="D1080" s="4">
        <f>IFERROR(__xludf.DUMMYFUNCTION("""COMPUTED_VALUE"""),12.92723)</f>
        <v>12.92723</v>
      </c>
      <c r="E1080" s="4">
        <f>IFERROR(__xludf.DUMMYFUNCTION("""COMPUTED_VALUE"""),80.118325)</f>
        <v>80.118325</v>
      </c>
      <c r="F1080" s="4">
        <f>IFERROR(__xludf.DUMMYFUNCTION("""COMPUTED_VALUE"""),805.0)</f>
        <v>805</v>
      </c>
      <c r="G1080" s="4">
        <f>IFERROR(__xludf.DUMMYFUNCTION("""COMPUTED_VALUE"""),19.0)</f>
        <v>19</v>
      </c>
      <c r="H1080" s="4"/>
      <c r="I1080" s="4"/>
    </row>
    <row r="1081">
      <c r="A1081" s="4" t="str">
        <f>IFERROR(__xludf.DUMMYFUNCTION("""COMPUTED_VALUE"""),"cas_hmw")</f>
        <v>cas_hmw</v>
      </c>
      <c r="B1081" s="5">
        <f>IFERROR(__xludf.DUMMYFUNCTION("""COMPUTED_VALUE"""),44743.0)</f>
        <v>44743</v>
      </c>
      <c r="C1081" s="6">
        <f>IFERROR(__xludf.DUMMYFUNCTION("""COMPUTED_VALUE"""),0.6816203703710926)</f>
        <v>0.6816203704</v>
      </c>
      <c r="D1081" s="4">
        <f>IFERROR(__xludf.DUMMYFUNCTION("""COMPUTED_VALUE"""),12.935765)</f>
        <v>12.935765</v>
      </c>
      <c r="E1081" s="4">
        <f>IFERROR(__xludf.DUMMYFUNCTION("""COMPUTED_VALUE"""),80.126726)</f>
        <v>80.126726</v>
      </c>
      <c r="F1081" s="4">
        <f>IFERROR(__xludf.DUMMYFUNCTION("""COMPUTED_VALUE"""),805.0)</f>
        <v>805</v>
      </c>
      <c r="G1081" s="4">
        <f>IFERROR(__xludf.DUMMYFUNCTION("""COMPUTED_VALUE"""),6.0)</f>
        <v>6</v>
      </c>
      <c r="H1081" s="4"/>
      <c r="I1081" s="4"/>
    </row>
    <row r="1082">
      <c r="A1082" s="4" t="str">
        <f>IFERROR(__xludf.DUMMYFUNCTION("""COMPUTED_VALUE"""),"cas_hmw")</f>
        <v>cas_hmw</v>
      </c>
      <c r="B1082" s="5">
        <f>IFERROR(__xludf.DUMMYFUNCTION("""COMPUTED_VALUE"""),44743.0)</f>
        <v>44743</v>
      </c>
      <c r="C1082" s="6">
        <f>IFERROR(__xludf.DUMMYFUNCTION("""COMPUTED_VALUE"""),0.6829282407416031)</f>
        <v>0.6829282407</v>
      </c>
      <c r="D1082" s="4">
        <f>IFERROR(__xludf.DUMMYFUNCTION("""COMPUTED_VALUE"""),12.942398)</f>
        <v>12.942398</v>
      </c>
      <c r="E1082" s="4">
        <f>IFERROR(__xludf.DUMMYFUNCTION("""COMPUTED_VALUE"""),80.13291)</f>
        <v>80.13291</v>
      </c>
      <c r="F1082" s="4">
        <f>IFERROR(__xludf.DUMMYFUNCTION("""COMPUTED_VALUE"""),805.0)</f>
        <v>805</v>
      </c>
      <c r="G1082" s="4">
        <f>IFERROR(__xludf.DUMMYFUNCTION("""COMPUTED_VALUE"""),15.0)</f>
        <v>15</v>
      </c>
      <c r="H1082" s="4"/>
      <c r="I1082" s="4"/>
    </row>
    <row r="1083">
      <c r="A1083" s="4" t="str">
        <f>IFERROR(__xludf.DUMMYFUNCTION("""COMPUTED_VALUE"""),"cas_hmw")</f>
        <v>cas_hmw</v>
      </c>
      <c r="B1083" s="5">
        <f>IFERROR(__xludf.DUMMYFUNCTION("""COMPUTED_VALUE"""),44743.0)</f>
        <v>44743</v>
      </c>
      <c r="C1083" s="6">
        <f>IFERROR(__xludf.DUMMYFUNCTION("""COMPUTED_VALUE"""),0.6842939814814599)</f>
        <v>0.6842939815</v>
      </c>
      <c r="D1083" s="4">
        <f>IFERROR(__xludf.DUMMYFUNCTION("""COMPUTED_VALUE"""),12.950236)</f>
        <v>12.950236</v>
      </c>
      <c r="E1083" s="4">
        <f>IFERROR(__xludf.DUMMYFUNCTION("""COMPUTED_VALUE"""),80.139258)</f>
        <v>80.139258</v>
      </c>
      <c r="F1083" s="4">
        <f>IFERROR(__xludf.DUMMYFUNCTION("""COMPUTED_VALUE"""),805.0)</f>
        <v>805</v>
      </c>
      <c r="G1083" s="4">
        <f>IFERROR(__xludf.DUMMYFUNCTION("""COMPUTED_VALUE"""),8.0)</f>
        <v>8</v>
      </c>
      <c r="H1083" s="4"/>
      <c r="I1083" s="4"/>
    </row>
    <row r="1084">
      <c r="A1084" s="4" t="str">
        <f>IFERROR(__xludf.DUMMYFUNCTION("""COMPUTED_VALUE"""),"cas_hmw")</f>
        <v>cas_hmw</v>
      </c>
      <c r="B1084" s="5">
        <f>IFERROR(__xludf.DUMMYFUNCTION("""COMPUTED_VALUE"""),44743.0)</f>
        <v>44743</v>
      </c>
      <c r="C1084" s="6">
        <f>IFERROR(__xludf.DUMMYFUNCTION("""COMPUTED_VALUE"""),0.6842939814814599)</f>
        <v>0.6842939815</v>
      </c>
      <c r="D1084" s="4">
        <f>IFERROR(__xludf.DUMMYFUNCTION("""COMPUTED_VALUE"""),12.950236)</f>
        <v>12.950236</v>
      </c>
      <c r="E1084" s="4">
        <f>IFERROR(__xludf.DUMMYFUNCTION("""COMPUTED_VALUE"""),80.139258)</f>
        <v>80.139258</v>
      </c>
      <c r="F1084" s="4">
        <f>IFERROR(__xludf.DUMMYFUNCTION("""COMPUTED_VALUE"""),805.0)</f>
        <v>805</v>
      </c>
      <c r="G1084" s="4">
        <f>IFERROR(__xludf.DUMMYFUNCTION("""COMPUTED_VALUE"""),8.0)</f>
        <v>8</v>
      </c>
      <c r="H1084" s="4"/>
      <c r="I1084" s="4"/>
    </row>
    <row r="1085">
      <c r="A1085" s="4" t="str">
        <f>IFERROR(__xludf.DUMMYFUNCTION("""COMPUTED_VALUE"""),"cas_hmw")</f>
        <v>cas_hmw</v>
      </c>
      <c r="B1085" s="5">
        <f>IFERROR(__xludf.DUMMYFUNCTION("""COMPUTED_VALUE"""),44743.0)</f>
        <v>44743</v>
      </c>
      <c r="C1085" s="6">
        <f>IFERROR(__xludf.DUMMYFUNCTION("""COMPUTED_VALUE"""),0.6854629629633564)</f>
        <v>0.685462963</v>
      </c>
      <c r="D1085" s="4">
        <f>IFERROR(__xludf.DUMMYFUNCTION("""COMPUTED_VALUE"""),12.955826)</f>
        <v>12.955826</v>
      </c>
      <c r="E1085" s="4">
        <f>IFERROR(__xludf.DUMMYFUNCTION("""COMPUTED_VALUE"""),80.142861)</f>
        <v>80.142861</v>
      </c>
      <c r="F1085" s="4">
        <f>IFERROR(__xludf.DUMMYFUNCTION("""COMPUTED_VALUE"""),805.0)</f>
        <v>805</v>
      </c>
      <c r="G1085" s="4">
        <f>IFERROR(__xludf.DUMMYFUNCTION("""COMPUTED_VALUE"""),0.0)</f>
        <v>0</v>
      </c>
      <c r="H1085" s="4"/>
      <c r="I1085" s="4"/>
    </row>
    <row r="1086">
      <c r="A1086" s="4" t="str">
        <f>IFERROR(__xludf.DUMMYFUNCTION("""COMPUTED_VALUE"""),"cas_hmw")</f>
        <v>cas_hmw</v>
      </c>
      <c r="B1086" s="5">
        <f>IFERROR(__xludf.DUMMYFUNCTION("""COMPUTED_VALUE"""),44743.0)</f>
        <v>44743</v>
      </c>
      <c r="C1086" s="6">
        <f>IFERROR(__xludf.DUMMYFUNCTION("""COMPUTED_VALUE"""),0.6896064814827696)</f>
        <v>0.6896064815</v>
      </c>
      <c r="D1086" s="4">
        <f>IFERROR(__xludf.DUMMYFUNCTION("""COMPUTED_VALUE"""),12.986114)</f>
        <v>12.986114</v>
      </c>
      <c r="E1086" s="4">
        <f>IFERROR(__xludf.DUMMYFUNCTION("""COMPUTED_VALUE"""),80.174177)</f>
        <v>80.174177</v>
      </c>
      <c r="F1086" s="4">
        <f>IFERROR(__xludf.DUMMYFUNCTION("""COMPUTED_VALUE"""),805.0)</f>
        <v>805</v>
      </c>
      <c r="G1086" s="4">
        <f>IFERROR(__xludf.DUMMYFUNCTION("""COMPUTED_VALUE"""),8.0)</f>
        <v>8</v>
      </c>
      <c r="H1086" s="4"/>
      <c r="I1086" s="4"/>
    </row>
    <row r="1087">
      <c r="A1087" s="4" t="str">
        <f>IFERROR(__xludf.DUMMYFUNCTION("""COMPUTED_VALUE"""),"cas_hmw")</f>
        <v>cas_hmw</v>
      </c>
      <c r="B1087" s="5">
        <f>IFERROR(__xludf.DUMMYFUNCTION("""COMPUTED_VALUE"""),44743.0)</f>
        <v>44743</v>
      </c>
      <c r="C1087" s="6">
        <f>IFERROR(__xludf.DUMMYFUNCTION("""COMPUTED_VALUE"""),0.6906018518529891)</f>
        <v>0.6906018519</v>
      </c>
      <c r="D1087" s="4">
        <f>IFERROR(__xludf.DUMMYFUNCTION("""COMPUTED_VALUE"""),12.988779)</f>
        <v>12.988779</v>
      </c>
      <c r="E1087" s="4">
        <f>IFERROR(__xludf.DUMMYFUNCTION("""COMPUTED_VALUE"""),80.177934)</f>
        <v>80.177934</v>
      </c>
      <c r="F1087" s="4">
        <f>IFERROR(__xludf.DUMMYFUNCTION("""COMPUTED_VALUE"""),805.0)</f>
        <v>805</v>
      </c>
      <c r="G1087" s="4">
        <f>IFERROR(__xludf.DUMMYFUNCTION("""COMPUTED_VALUE"""),16.0)</f>
        <v>16</v>
      </c>
      <c r="H1087" s="4"/>
      <c r="I1087" s="4"/>
    </row>
    <row r="1088">
      <c r="A1088" s="4" t="str">
        <f>IFERROR(__xludf.DUMMYFUNCTION("""COMPUTED_VALUE"""),"cas_hmw")</f>
        <v>cas_hmw</v>
      </c>
      <c r="B1088" s="5">
        <f>IFERROR(__xludf.DUMMYFUNCTION("""COMPUTED_VALUE"""),44743.0)</f>
        <v>44743</v>
      </c>
      <c r="C1088" s="6">
        <f>IFERROR(__xludf.DUMMYFUNCTION("""COMPUTED_VALUE"""),0.6907754629646661)</f>
        <v>0.690775463</v>
      </c>
      <c r="D1088" s="4">
        <f>IFERROR(__xludf.DUMMYFUNCTION("""COMPUTED_VALUE"""),12.988779)</f>
        <v>12.988779</v>
      </c>
      <c r="E1088" s="4">
        <f>IFERROR(__xludf.DUMMYFUNCTION("""COMPUTED_VALUE"""),80.177934)</f>
        <v>80.177934</v>
      </c>
      <c r="F1088" s="4">
        <f>IFERROR(__xludf.DUMMYFUNCTION("""COMPUTED_VALUE"""),805.0)</f>
        <v>805</v>
      </c>
      <c r="G1088" s="4">
        <f>IFERROR(__xludf.DUMMYFUNCTION("""COMPUTED_VALUE"""),16.0)</f>
        <v>16</v>
      </c>
      <c r="H1088" s="4"/>
      <c r="I1088" s="4"/>
    </row>
    <row r="1089">
      <c r="A1089" s="4" t="str">
        <f>IFERROR(__xludf.DUMMYFUNCTION("""COMPUTED_VALUE"""),"cas_hmw")</f>
        <v>cas_hmw</v>
      </c>
      <c r="B1089" s="5">
        <f>IFERROR(__xludf.DUMMYFUNCTION("""COMPUTED_VALUE"""),44743.0)</f>
        <v>44743</v>
      </c>
      <c r="C1089" s="6">
        <f>IFERROR(__xludf.DUMMYFUNCTION("""COMPUTED_VALUE"""),0.6986111111109494)</f>
        <v>0.6986111111</v>
      </c>
      <c r="D1089" s="4">
        <f>IFERROR(__xludf.DUMMYFUNCTION("""COMPUTED_VALUE"""),13.015489)</f>
        <v>13.015489</v>
      </c>
      <c r="E1089" s="4">
        <f>IFERROR(__xludf.DUMMYFUNCTION("""COMPUTED_VALUE"""),80.22538)</f>
        <v>80.22538</v>
      </c>
      <c r="F1089" s="4">
        <f>IFERROR(__xludf.DUMMYFUNCTION("""COMPUTED_VALUE"""),805.0)</f>
        <v>805</v>
      </c>
      <c r="G1089" s="4">
        <f>IFERROR(__xludf.DUMMYFUNCTION("""COMPUTED_VALUE"""),14.0)</f>
        <v>14</v>
      </c>
      <c r="H1089" s="4"/>
      <c r="I1089" s="4"/>
    </row>
    <row r="1090">
      <c r="A1090" s="4" t="str">
        <f>IFERROR(__xludf.DUMMYFUNCTION("""COMPUTED_VALUE"""),"cas_hmw")</f>
        <v>cas_hmw</v>
      </c>
      <c r="B1090" s="5">
        <f>IFERROR(__xludf.DUMMYFUNCTION("""COMPUTED_VALUE"""),44743.0)</f>
        <v>44743</v>
      </c>
      <c r="C1090" s="6">
        <f>IFERROR(__xludf.DUMMYFUNCTION("""COMPUTED_VALUE"""),0.6988310185188311)</f>
        <v>0.6988310185</v>
      </c>
      <c r="D1090" s="4">
        <f>IFERROR(__xludf.DUMMYFUNCTION("""COMPUTED_VALUE"""),13.015064)</f>
        <v>13.015064</v>
      </c>
      <c r="E1090" s="4">
        <f>IFERROR(__xludf.DUMMYFUNCTION("""COMPUTED_VALUE"""),80.225942)</f>
        <v>80.225942</v>
      </c>
      <c r="F1090" s="4">
        <f>IFERROR(__xludf.DUMMYFUNCTION("""COMPUTED_VALUE"""),805.0)</f>
        <v>805</v>
      </c>
      <c r="G1090" s="4">
        <f>IFERROR(__xludf.DUMMYFUNCTION("""COMPUTED_VALUE"""),0.0)</f>
        <v>0</v>
      </c>
      <c r="H1090" s="4"/>
      <c r="I1090" s="4"/>
    </row>
    <row r="1091">
      <c r="A1091" s="4" t="str">
        <f>IFERROR(__xludf.DUMMYFUNCTION("""COMPUTED_VALUE"""),"cas_hmw")</f>
        <v>cas_hmw</v>
      </c>
      <c r="B1091" s="5">
        <f>IFERROR(__xludf.DUMMYFUNCTION("""COMPUTED_VALUE"""),44743.0)</f>
        <v>44743</v>
      </c>
      <c r="C1091" s="6">
        <f>IFERROR(__xludf.DUMMYFUNCTION("""COMPUTED_VALUE"""),0.6989236111112405)</f>
        <v>0.6989236111</v>
      </c>
      <c r="D1091" s="4">
        <f>IFERROR(__xludf.DUMMYFUNCTION("""COMPUTED_VALUE"""),13.015064)</f>
        <v>13.015064</v>
      </c>
      <c r="E1091" s="4">
        <f>IFERROR(__xludf.DUMMYFUNCTION("""COMPUTED_VALUE"""),80.225942)</f>
        <v>80.225942</v>
      </c>
      <c r="F1091" s="4">
        <f>IFERROR(__xludf.DUMMYFUNCTION("""COMPUTED_VALUE"""),805.0)</f>
        <v>805</v>
      </c>
      <c r="G1091" s="4">
        <f>IFERROR(__xludf.DUMMYFUNCTION("""COMPUTED_VALUE"""),0.0)</f>
        <v>0</v>
      </c>
      <c r="H1091" s="4"/>
      <c r="I1091" s="4"/>
    </row>
    <row r="1092">
      <c r="A1092" s="4" t="str">
        <f>IFERROR(__xludf.DUMMYFUNCTION("""COMPUTED_VALUE"""),"cas_hmw")</f>
        <v>cas_hmw</v>
      </c>
      <c r="B1092" s="5">
        <f>IFERROR(__xludf.DUMMYFUNCTION("""COMPUTED_VALUE"""),44743.0)</f>
        <v>44743</v>
      </c>
      <c r="C1092" s="6">
        <f>IFERROR(__xludf.DUMMYFUNCTION("""COMPUTED_VALUE"""),0.7018634259256942)</f>
        <v>0.7018634259</v>
      </c>
      <c r="D1092" s="4">
        <f>IFERROR(__xludf.DUMMYFUNCTION("""COMPUTED_VALUE"""),13.007167)</f>
        <v>13.007167</v>
      </c>
      <c r="E1092" s="4">
        <f>IFERROR(__xludf.DUMMYFUNCTION("""COMPUTED_VALUE"""),80.23865)</f>
        <v>80.23865</v>
      </c>
      <c r="F1092" s="4">
        <f>IFERROR(__xludf.DUMMYFUNCTION("""COMPUTED_VALUE"""),805.0)</f>
        <v>805</v>
      </c>
      <c r="G1092" s="4">
        <f>IFERROR(__xludf.DUMMYFUNCTION("""COMPUTED_VALUE"""),19.0)</f>
        <v>19</v>
      </c>
      <c r="H1092" s="4"/>
      <c r="I1092" s="4"/>
    </row>
    <row r="1093">
      <c r="A1093" s="4" t="str">
        <f>IFERROR(__xludf.DUMMYFUNCTION("""COMPUTED_VALUE"""),"cas_hmw")</f>
        <v>cas_hmw</v>
      </c>
      <c r="B1093" s="5">
        <f>IFERROR(__xludf.DUMMYFUNCTION("""COMPUTED_VALUE"""),44743.0)</f>
        <v>44743</v>
      </c>
      <c r="C1093" s="6">
        <f>IFERROR(__xludf.DUMMYFUNCTION("""COMPUTED_VALUE"""),0.7049189814824786)</f>
        <v>0.7049189815</v>
      </c>
      <c r="D1093" s="4">
        <f>IFERROR(__xludf.DUMMYFUNCTION("""COMPUTED_VALUE"""),13.006906)</f>
        <v>13.006906</v>
      </c>
      <c r="E1093" s="4">
        <f>IFERROR(__xludf.DUMMYFUNCTION("""COMPUTED_VALUE"""),80.251098)</f>
        <v>80.251098</v>
      </c>
      <c r="F1093" s="4">
        <f>IFERROR(__xludf.DUMMYFUNCTION("""COMPUTED_VALUE"""),805.0)</f>
        <v>805</v>
      </c>
      <c r="G1093" s="4">
        <f>IFERROR(__xludf.DUMMYFUNCTION("""COMPUTED_VALUE"""),10.0)</f>
        <v>10</v>
      </c>
      <c r="H1093" s="4"/>
      <c r="I1093" s="4"/>
    </row>
    <row r="1094">
      <c r="A1094" s="4" t="str">
        <f>IFERROR(__xludf.DUMMYFUNCTION("""COMPUTED_VALUE"""),"cas_hmw")</f>
        <v>cas_hmw</v>
      </c>
      <c r="B1094" s="5">
        <f>IFERROR(__xludf.DUMMYFUNCTION("""COMPUTED_VALUE"""),44743.0)</f>
        <v>44743</v>
      </c>
      <c r="C1094" s="6">
        <f>IFERROR(__xludf.DUMMYFUNCTION("""COMPUTED_VALUE"""),0.7050115740748879)</f>
        <v>0.7050115741</v>
      </c>
      <c r="D1094" s="4">
        <f>IFERROR(__xludf.DUMMYFUNCTION("""COMPUTED_VALUE"""),13.006767)</f>
        <v>13.006767</v>
      </c>
      <c r="E1094" s="4">
        <f>IFERROR(__xludf.DUMMYFUNCTION("""COMPUTED_VALUE"""),80.251802)</f>
        <v>80.251802</v>
      </c>
      <c r="F1094" s="4">
        <f>IFERROR(__xludf.DUMMYFUNCTION("""COMPUTED_VALUE"""),805.0)</f>
        <v>805</v>
      </c>
      <c r="G1094" s="4">
        <f>IFERROR(__xludf.DUMMYFUNCTION("""COMPUTED_VALUE"""),15.0)</f>
        <v>15</v>
      </c>
      <c r="H1094" s="4"/>
      <c r="I1094" s="4"/>
    </row>
    <row r="1095">
      <c r="A1095" s="4" t="str">
        <f>IFERROR(__xludf.DUMMYFUNCTION("""COMPUTED_VALUE"""),"cas_hmw")</f>
        <v>cas_hmw</v>
      </c>
      <c r="B1095" s="5">
        <f>IFERROR(__xludf.DUMMYFUNCTION("""COMPUTED_VALUE"""),44743.0)</f>
        <v>44743</v>
      </c>
      <c r="C1095" s="6">
        <f>IFERROR(__xludf.DUMMYFUNCTION("""COMPUTED_VALUE"""),0.7052546296290529)</f>
        <v>0.7052546296</v>
      </c>
      <c r="D1095" s="4">
        <f>IFERROR(__xludf.DUMMYFUNCTION("""COMPUTED_VALUE"""),13.006647)</f>
        <v>13.006647</v>
      </c>
      <c r="E1095" s="4">
        <f>IFERROR(__xludf.DUMMYFUNCTION("""COMPUTED_VALUE"""),80.252135)</f>
        <v>80.252135</v>
      </c>
      <c r="F1095" s="4">
        <f>IFERROR(__xludf.DUMMYFUNCTION("""COMPUTED_VALUE"""),805.0)</f>
        <v>805</v>
      </c>
      <c r="G1095" s="4">
        <f>IFERROR(__xludf.DUMMYFUNCTION("""COMPUTED_VALUE"""),8.0)</f>
        <v>8</v>
      </c>
      <c r="H1095" s="4"/>
      <c r="I1095" s="4"/>
    </row>
    <row r="1096">
      <c r="A1096" s="4" t="str">
        <f>IFERROR(__xludf.DUMMYFUNCTION("""COMPUTED_VALUE"""),"cas_hmw")</f>
        <v>cas_hmw</v>
      </c>
      <c r="B1096" s="5">
        <f>IFERROR(__xludf.DUMMYFUNCTION("""COMPUTED_VALUE"""),44743.0)</f>
        <v>44743</v>
      </c>
      <c r="C1096" s="6">
        <f>IFERROR(__xludf.DUMMYFUNCTION("""COMPUTED_VALUE"""),0.7052777777789743)</f>
        <v>0.7052777778</v>
      </c>
      <c r="D1096" s="4">
        <f>IFERROR(__xludf.DUMMYFUNCTION("""COMPUTED_VALUE"""),13.006647)</f>
        <v>13.006647</v>
      </c>
      <c r="E1096" s="4">
        <f>IFERROR(__xludf.DUMMYFUNCTION("""COMPUTED_VALUE"""),80.252135)</f>
        <v>80.252135</v>
      </c>
      <c r="F1096" s="4">
        <f>IFERROR(__xludf.DUMMYFUNCTION("""COMPUTED_VALUE"""),805.0)</f>
        <v>805</v>
      </c>
      <c r="G1096" s="4">
        <f>IFERROR(__xludf.DUMMYFUNCTION("""COMPUTED_VALUE"""),8.0)</f>
        <v>8</v>
      </c>
      <c r="H1096" s="4"/>
      <c r="I1096" s="4"/>
    </row>
    <row r="1097">
      <c r="A1097" s="4" t="str">
        <f>IFERROR(__xludf.DUMMYFUNCTION("""COMPUTED_VALUE"""),"cas_hmw")</f>
        <v>cas_hmw</v>
      </c>
      <c r="B1097" s="5">
        <f>IFERROR(__xludf.DUMMYFUNCTION("""COMPUTED_VALUE"""),44743.0)</f>
        <v>44743</v>
      </c>
      <c r="C1097" s="6">
        <f>IFERROR(__xludf.DUMMYFUNCTION("""COMPUTED_VALUE"""),0.7066550925919728)</f>
        <v>0.7066550926</v>
      </c>
      <c r="D1097" s="4">
        <f>IFERROR(__xludf.DUMMYFUNCTION("""COMPUTED_VALUE"""),13.006792)</f>
        <v>13.006792</v>
      </c>
      <c r="E1097" s="4">
        <f>IFERROR(__xludf.DUMMYFUNCTION("""COMPUTED_VALUE"""),80.257327)</f>
        <v>80.257327</v>
      </c>
      <c r="F1097" s="4">
        <f>IFERROR(__xludf.DUMMYFUNCTION("""COMPUTED_VALUE"""),805.0)</f>
        <v>805</v>
      </c>
      <c r="G1097" s="4">
        <f>IFERROR(__xludf.DUMMYFUNCTION("""COMPUTED_VALUE"""),0.0)</f>
        <v>0</v>
      </c>
      <c r="H1097" s="4"/>
      <c r="I1097" s="4"/>
    </row>
    <row r="1098">
      <c r="A1098" s="4" t="str">
        <f>IFERROR(__xludf.DUMMYFUNCTION("""COMPUTED_VALUE"""),"cas_hmw")</f>
        <v>cas_hmw</v>
      </c>
      <c r="B1098" s="5">
        <f>IFERROR(__xludf.DUMMYFUNCTION("""COMPUTED_VALUE"""),44743.0)</f>
        <v>44743</v>
      </c>
      <c r="C1098" s="6">
        <f>IFERROR(__xludf.DUMMYFUNCTION("""COMPUTED_VALUE"""),0.7078472222237906)</f>
        <v>0.7078472222</v>
      </c>
      <c r="D1098" s="4">
        <f>IFERROR(__xludf.DUMMYFUNCTION("""COMPUTED_VALUE"""),13.00881)</f>
        <v>13.00881</v>
      </c>
      <c r="E1098" s="4">
        <f>IFERROR(__xludf.DUMMYFUNCTION("""COMPUTED_VALUE"""),80.259012)</f>
        <v>80.259012</v>
      </c>
      <c r="F1098" s="4">
        <f>IFERROR(__xludf.DUMMYFUNCTION("""COMPUTED_VALUE"""),805.0)</f>
        <v>805</v>
      </c>
      <c r="G1098" s="4">
        <f>IFERROR(__xludf.DUMMYFUNCTION("""COMPUTED_VALUE"""),18.0)</f>
        <v>18</v>
      </c>
      <c r="H1098" s="4"/>
      <c r="I1098" s="4"/>
    </row>
    <row r="1099">
      <c r="A1099" s="4" t="str">
        <f>IFERROR(__xludf.DUMMYFUNCTION("""COMPUTED_VALUE"""),"cas_hmw")</f>
        <v>cas_hmw</v>
      </c>
      <c r="B1099" s="5">
        <f>IFERROR(__xludf.DUMMYFUNCTION("""COMPUTED_VALUE"""),44743.0)</f>
        <v>44743</v>
      </c>
      <c r="C1099" s="6">
        <f>IFERROR(__xludf.DUMMYFUNCTION("""COMPUTED_VALUE"""),0.7090624999982538)</f>
        <v>0.7090625</v>
      </c>
      <c r="D1099" s="4">
        <f>IFERROR(__xludf.DUMMYFUNCTION("""COMPUTED_VALUE"""),12.629708)</f>
        <v>12.629708</v>
      </c>
      <c r="E1099" s="4">
        <f>IFERROR(__xludf.DUMMYFUNCTION("""COMPUTED_VALUE"""),79.931121)</f>
        <v>79.931121</v>
      </c>
      <c r="F1099" s="4">
        <f>IFERROR(__xludf.DUMMYFUNCTION("""COMPUTED_VALUE"""),2846.0)</f>
        <v>2846</v>
      </c>
      <c r="G1099" s="4">
        <f>IFERROR(__xludf.DUMMYFUNCTION("""COMPUTED_VALUE"""),7.0)</f>
        <v>7</v>
      </c>
      <c r="H1099" s="4"/>
      <c r="I1099" s="4"/>
    </row>
    <row r="1100">
      <c r="A1100" s="4" t="str">
        <f>IFERROR(__xludf.DUMMYFUNCTION("""COMPUTED_VALUE"""),"cas_hmw")</f>
        <v>cas_hmw</v>
      </c>
      <c r="B1100" s="5">
        <f>IFERROR(__xludf.DUMMYFUNCTION("""COMPUTED_VALUE"""),44743.0)</f>
        <v>44743</v>
      </c>
      <c r="C1100" s="6">
        <f>IFERROR(__xludf.DUMMYFUNCTION("""COMPUTED_VALUE"""),0.7103240740725596)</f>
        <v>0.7103240741</v>
      </c>
      <c r="D1100" s="4">
        <f>IFERROR(__xludf.DUMMYFUNCTION("""COMPUTED_VALUE"""),13.021164)</f>
        <v>13.021164</v>
      </c>
      <c r="E1100" s="4">
        <f>IFERROR(__xludf.DUMMYFUNCTION("""COMPUTED_VALUE"""),80.26294)</f>
        <v>80.26294</v>
      </c>
      <c r="F1100" s="4">
        <f>IFERROR(__xludf.DUMMYFUNCTION("""COMPUTED_VALUE"""),805.0)</f>
        <v>805</v>
      </c>
      <c r="G1100" s="4">
        <f>IFERROR(__xludf.DUMMYFUNCTION("""COMPUTED_VALUE"""),10.0)</f>
        <v>10</v>
      </c>
      <c r="H1100" s="4"/>
      <c r="I1100" s="4"/>
    </row>
    <row r="1101">
      <c r="A1101" s="4" t="str">
        <f>IFERROR(__xludf.DUMMYFUNCTION("""COMPUTED_VALUE"""),"cas_hmw")</f>
        <v>cas_hmw</v>
      </c>
      <c r="B1101" s="5">
        <f>IFERROR(__xludf.DUMMYFUNCTION("""COMPUTED_VALUE"""),44743.0)</f>
        <v>44743</v>
      </c>
      <c r="C1101" s="6">
        <f>IFERROR(__xludf.DUMMYFUNCTION("""COMPUTED_VALUE"""),0.7141319444453984)</f>
        <v>0.7141319444</v>
      </c>
      <c r="D1101" s="4">
        <f>IFERROR(__xludf.DUMMYFUNCTION("""COMPUTED_VALUE"""),13.02925)</f>
        <v>13.02925</v>
      </c>
      <c r="E1101" s="4">
        <f>IFERROR(__xludf.DUMMYFUNCTION("""COMPUTED_VALUE"""),80.266478)</f>
        <v>80.266478</v>
      </c>
      <c r="F1101" s="4">
        <f>IFERROR(__xludf.DUMMYFUNCTION("""COMPUTED_VALUE"""),805.0)</f>
        <v>805</v>
      </c>
      <c r="G1101" s="4">
        <f>IFERROR(__xludf.DUMMYFUNCTION("""COMPUTED_VALUE"""),1.0)</f>
        <v>1</v>
      </c>
      <c r="H1101" s="4"/>
      <c r="I1101" s="4"/>
    </row>
    <row r="1102">
      <c r="A1102" s="4" t="str">
        <f>IFERROR(__xludf.DUMMYFUNCTION("""COMPUTED_VALUE"""),"cas_hmw")</f>
        <v>cas_hmw</v>
      </c>
      <c r="B1102" s="5">
        <f>IFERROR(__xludf.DUMMYFUNCTION("""COMPUTED_VALUE"""),44743.0)</f>
        <v>44743</v>
      </c>
      <c r="C1102" s="6">
        <f>IFERROR(__xludf.DUMMYFUNCTION("""COMPUTED_VALUE"""),0.7141435185185401)</f>
        <v>0.7141435185</v>
      </c>
      <c r="D1102" s="4">
        <f>IFERROR(__xludf.DUMMYFUNCTION("""COMPUTED_VALUE"""),13.02925)</f>
        <v>13.02925</v>
      </c>
      <c r="E1102" s="4">
        <f>IFERROR(__xludf.DUMMYFUNCTION("""COMPUTED_VALUE"""),80.266478)</f>
        <v>80.266478</v>
      </c>
      <c r="F1102" s="4">
        <f>IFERROR(__xludf.DUMMYFUNCTION("""COMPUTED_VALUE"""),805.0)</f>
        <v>805</v>
      </c>
      <c r="G1102" s="4">
        <f>IFERROR(__xludf.DUMMYFUNCTION("""COMPUTED_VALUE"""),1.0)</f>
        <v>1</v>
      </c>
      <c r="H1102" s="4"/>
      <c r="I1102" s="4"/>
    </row>
    <row r="1103">
      <c r="A1103" s="4" t="str">
        <f>IFERROR(__xludf.DUMMYFUNCTION("""COMPUTED_VALUE"""),"cas_hmw")</f>
        <v>cas_hmw</v>
      </c>
      <c r="B1103" s="5">
        <f>IFERROR(__xludf.DUMMYFUNCTION("""COMPUTED_VALUE"""),44743.0)</f>
        <v>44743</v>
      </c>
      <c r="C1103" s="6">
        <f>IFERROR(__xludf.DUMMYFUNCTION("""COMPUTED_VALUE"""),0.7142013888878864)</f>
        <v>0.7142013889</v>
      </c>
      <c r="D1103" s="4">
        <f>IFERROR(__xludf.DUMMYFUNCTION("""COMPUTED_VALUE"""),13.02925)</f>
        <v>13.02925</v>
      </c>
      <c r="E1103" s="4">
        <f>IFERROR(__xludf.DUMMYFUNCTION("""COMPUTED_VALUE"""),80.266478)</f>
        <v>80.266478</v>
      </c>
      <c r="F1103" s="4">
        <f>IFERROR(__xludf.DUMMYFUNCTION("""COMPUTED_VALUE"""),805.0)</f>
        <v>805</v>
      </c>
      <c r="G1103" s="4">
        <f>IFERROR(__xludf.DUMMYFUNCTION("""COMPUTED_VALUE"""),1.0)</f>
        <v>1</v>
      </c>
      <c r="H1103" s="4"/>
      <c r="I1103" s="4"/>
    </row>
    <row r="1104">
      <c r="A1104" s="4" t="str">
        <f>IFERROR(__xludf.DUMMYFUNCTION("""COMPUTED_VALUE"""),"cas_hmw")</f>
        <v>cas_hmw</v>
      </c>
      <c r="B1104" s="5">
        <f>IFERROR(__xludf.DUMMYFUNCTION("""COMPUTED_VALUE"""),44743.0)</f>
        <v>44743</v>
      </c>
      <c r="C1104" s="6">
        <f>IFERROR(__xludf.DUMMYFUNCTION("""COMPUTED_VALUE"""),0.7142013888878864)</f>
        <v>0.7142013889</v>
      </c>
      <c r="D1104" s="4">
        <f>IFERROR(__xludf.DUMMYFUNCTION("""COMPUTED_VALUE"""),13.02925)</f>
        <v>13.02925</v>
      </c>
      <c r="E1104" s="4">
        <f>IFERROR(__xludf.DUMMYFUNCTION("""COMPUTED_VALUE"""),80.266478)</f>
        <v>80.266478</v>
      </c>
      <c r="F1104" s="4">
        <f>IFERROR(__xludf.DUMMYFUNCTION("""COMPUTED_VALUE"""),805.0)</f>
        <v>805</v>
      </c>
      <c r="G1104" s="4">
        <f>IFERROR(__xludf.DUMMYFUNCTION("""COMPUTED_VALUE"""),1.0)</f>
        <v>1</v>
      </c>
      <c r="H1104" s="4"/>
      <c r="I1104" s="4"/>
    </row>
    <row r="1105">
      <c r="A1105" s="4" t="str">
        <f>IFERROR(__xludf.DUMMYFUNCTION("""COMPUTED_VALUE"""),"cas_hmw")</f>
        <v>cas_hmw</v>
      </c>
      <c r="B1105" s="5">
        <f>IFERROR(__xludf.DUMMYFUNCTION("""COMPUTED_VALUE"""),44743.0)</f>
        <v>44743</v>
      </c>
      <c r="C1105" s="6">
        <f>IFERROR(__xludf.DUMMYFUNCTION("""COMPUTED_VALUE"""),0.7142245370378077)</f>
        <v>0.714224537</v>
      </c>
      <c r="D1105" s="4">
        <f>IFERROR(__xludf.DUMMYFUNCTION("""COMPUTED_VALUE"""),13.02925)</f>
        <v>13.02925</v>
      </c>
      <c r="E1105" s="4">
        <f>IFERROR(__xludf.DUMMYFUNCTION("""COMPUTED_VALUE"""),80.266478)</f>
        <v>80.266478</v>
      </c>
      <c r="F1105" s="4">
        <f>IFERROR(__xludf.DUMMYFUNCTION("""COMPUTED_VALUE"""),805.0)</f>
        <v>805</v>
      </c>
      <c r="G1105" s="4">
        <f>IFERROR(__xludf.DUMMYFUNCTION("""COMPUTED_VALUE"""),1.0)</f>
        <v>1</v>
      </c>
      <c r="H1105" s="4"/>
      <c r="I1105" s="4"/>
    </row>
    <row r="1106">
      <c r="A1106" s="4" t="str">
        <f>IFERROR(__xludf.DUMMYFUNCTION("""COMPUTED_VALUE"""),"cas_hmw")</f>
        <v>cas_hmw</v>
      </c>
      <c r="B1106" s="5">
        <f>IFERROR(__xludf.DUMMYFUNCTION("""COMPUTED_VALUE"""),44743.0)</f>
        <v>44743</v>
      </c>
      <c r="C1106" s="6">
        <f>IFERROR(__xludf.DUMMYFUNCTION("""COMPUTED_VALUE"""),0.7142361111109494)</f>
        <v>0.7142361111</v>
      </c>
      <c r="D1106" s="4">
        <f>IFERROR(__xludf.DUMMYFUNCTION("""COMPUTED_VALUE"""),13.02925)</f>
        <v>13.02925</v>
      </c>
      <c r="E1106" s="4">
        <f>IFERROR(__xludf.DUMMYFUNCTION("""COMPUTED_VALUE"""),80.266478)</f>
        <v>80.266478</v>
      </c>
      <c r="F1106" s="4">
        <f>IFERROR(__xludf.DUMMYFUNCTION("""COMPUTED_VALUE"""),805.0)</f>
        <v>805</v>
      </c>
      <c r="G1106" s="4">
        <f>IFERROR(__xludf.DUMMYFUNCTION("""COMPUTED_VALUE"""),1.0)</f>
        <v>1</v>
      </c>
      <c r="H1106" s="4"/>
      <c r="I1106" s="4"/>
    </row>
    <row r="1107">
      <c r="A1107" s="4" t="str">
        <f>IFERROR(__xludf.DUMMYFUNCTION("""COMPUTED_VALUE"""),"cas_hmw")</f>
        <v>cas_hmw</v>
      </c>
      <c r="B1107" s="5">
        <f>IFERROR(__xludf.DUMMYFUNCTION("""COMPUTED_VALUE"""),44743.0)</f>
        <v>44743</v>
      </c>
      <c r="C1107" s="6">
        <f>IFERROR(__xludf.DUMMYFUNCTION("""COMPUTED_VALUE"""),0.7177314814798592)</f>
        <v>0.7177314815</v>
      </c>
      <c r="D1107" s="4">
        <f>IFERROR(__xludf.DUMMYFUNCTION("""COMPUTED_VALUE"""),13.036378)</f>
        <v>13.036378</v>
      </c>
      <c r="E1107" s="4">
        <f>IFERROR(__xludf.DUMMYFUNCTION("""COMPUTED_VALUE"""),80.267669)</f>
        <v>80.267669</v>
      </c>
      <c r="F1107" s="4">
        <f>IFERROR(__xludf.DUMMYFUNCTION("""COMPUTED_VALUE"""),805.0)</f>
        <v>805</v>
      </c>
      <c r="G1107" s="4">
        <f>IFERROR(__xludf.DUMMYFUNCTION("""COMPUTED_VALUE"""),0.0)</f>
        <v>0</v>
      </c>
      <c r="H1107" s="4"/>
      <c r="I1107" s="4"/>
    </row>
    <row r="1108">
      <c r="A1108" s="4" t="str">
        <f>IFERROR(__xludf.DUMMYFUNCTION("""COMPUTED_VALUE"""),"cas_hmw")</f>
        <v>cas_hmw</v>
      </c>
      <c r="B1108" s="5">
        <f>IFERROR(__xludf.DUMMYFUNCTION("""COMPUTED_VALUE"""),44743.0)</f>
        <v>44743</v>
      </c>
      <c r="C1108" s="6">
        <f>IFERROR(__xludf.DUMMYFUNCTION("""COMPUTED_VALUE"""),0.7177430555566389)</f>
        <v>0.7177430556</v>
      </c>
      <c r="D1108" s="4">
        <f>IFERROR(__xludf.DUMMYFUNCTION("""COMPUTED_VALUE"""),13.036378)</f>
        <v>13.036378</v>
      </c>
      <c r="E1108" s="4">
        <f>IFERROR(__xludf.DUMMYFUNCTION("""COMPUTED_VALUE"""),80.267669)</f>
        <v>80.267669</v>
      </c>
      <c r="F1108" s="4">
        <f>IFERROR(__xludf.DUMMYFUNCTION("""COMPUTED_VALUE"""),805.0)</f>
        <v>805</v>
      </c>
      <c r="G1108" s="4">
        <f>IFERROR(__xludf.DUMMYFUNCTION("""COMPUTED_VALUE"""),0.0)</f>
        <v>0</v>
      </c>
      <c r="H1108" s="4"/>
      <c r="I1108" s="4"/>
    </row>
    <row r="1109">
      <c r="A1109" s="4" t="str">
        <f>IFERROR(__xludf.DUMMYFUNCTION("""COMPUTED_VALUE"""),"cas_hmw")</f>
        <v>cas_hmw</v>
      </c>
      <c r="B1109" s="5">
        <f>IFERROR(__xludf.DUMMYFUNCTION("""COMPUTED_VALUE"""),44743.0)</f>
        <v>44743</v>
      </c>
      <c r="C1109" s="6">
        <f>IFERROR(__xludf.DUMMYFUNCTION("""COMPUTED_VALUE"""),0.7185995370382443)</f>
        <v>0.718599537</v>
      </c>
      <c r="D1109" s="4">
        <f>IFERROR(__xludf.DUMMYFUNCTION("""COMPUTED_VALUE"""),13.039862)</f>
        <v>13.039862</v>
      </c>
      <c r="E1109" s="4">
        <f>IFERROR(__xludf.DUMMYFUNCTION("""COMPUTED_VALUE"""),80.267819)</f>
        <v>80.267819</v>
      </c>
      <c r="F1109" s="4">
        <f>IFERROR(__xludf.DUMMYFUNCTION("""COMPUTED_VALUE"""),805.0)</f>
        <v>805</v>
      </c>
      <c r="G1109" s="4">
        <f>IFERROR(__xludf.DUMMYFUNCTION("""COMPUTED_VALUE"""),16.0)</f>
        <v>16</v>
      </c>
      <c r="H1109" s="4"/>
      <c r="I1109" s="4"/>
    </row>
    <row r="1110">
      <c r="A1110" s="4" t="str">
        <f>IFERROR(__xludf.DUMMYFUNCTION("""COMPUTED_VALUE"""),"cas_hmw")</f>
        <v>cas_hmw</v>
      </c>
      <c r="B1110" s="5">
        <f>IFERROR(__xludf.DUMMYFUNCTION("""COMPUTED_VALUE"""),44743.0)</f>
        <v>44743</v>
      </c>
      <c r="C1110" s="6">
        <f>IFERROR(__xludf.DUMMYFUNCTION("""COMPUTED_VALUE"""),0.718611111111386)</f>
        <v>0.7186111111</v>
      </c>
      <c r="D1110" s="4">
        <f>IFERROR(__xludf.DUMMYFUNCTION("""COMPUTED_VALUE"""),13.039862)</f>
        <v>13.039862</v>
      </c>
      <c r="E1110" s="4">
        <f>IFERROR(__xludf.DUMMYFUNCTION("""COMPUTED_VALUE"""),80.267819)</f>
        <v>80.267819</v>
      </c>
      <c r="F1110" s="4">
        <f>IFERROR(__xludf.DUMMYFUNCTION("""COMPUTED_VALUE"""),805.0)</f>
        <v>805</v>
      </c>
      <c r="G1110" s="4">
        <f>IFERROR(__xludf.DUMMYFUNCTION("""COMPUTED_VALUE"""),16.0)</f>
        <v>16</v>
      </c>
      <c r="H1110" s="4"/>
      <c r="I1110" s="4"/>
    </row>
    <row r="1111">
      <c r="A1111" s="4" t="str">
        <f>IFERROR(__xludf.DUMMYFUNCTION("""COMPUTED_VALUE"""),"cas_hmw")</f>
        <v>cas_hmw</v>
      </c>
      <c r="B1111" s="5">
        <f>IFERROR(__xludf.DUMMYFUNCTION("""COMPUTED_VALUE"""),44743.0)</f>
        <v>44743</v>
      </c>
      <c r="C1111" s="6">
        <f>IFERROR(__xludf.DUMMYFUNCTION("""COMPUTED_VALUE"""),0.718819444446126)</f>
        <v>0.7188194444</v>
      </c>
      <c r="D1111" s="4">
        <f>IFERROR(__xludf.DUMMYFUNCTION("""COMPUTED_VALUE"""),13.040571)</f>
        <v>13.040571</v>
      </c>
      <c r="E1111" s="4">
        <f>IFERROR(__xludf.DUMMYFUNCTION("""COMPUTED_VALUE"""),80.268051)</f>
        <v>80.268051</v>
      </c>
      <c r="F1111" s="4">
        <f>IFERROR(__xludf.DUMMYFUNCTION("""COMPUTED_VALUE"""),805.0)</f>
        <v>805</v>
      </c>
      <c r="G1111" s="4">
        <f>IFERROR(__xludf.DUMMYFUNCTION("""COMPUTED_VALUE"""),18.0)</f>
        <v>18</v>
      </c>
      <c r="H1111" s="4"/>
      <c r="I1111" s="4"/>
    </row>
    <row r="1112">
      <c r="A1112" s="4" t="str">
        <f>IFERROR(__xludf.DUMMYFUNCTION("""COMPUTED_VALUE"""),"cas_hmw")</f>
        <v>cas_hmw</v>
      </c>
      <c r="B1112" s="5">
        <f>IFERROR(__xludf.DUMMYFUNCTION("""COMPUTED_VALUE"""),44743.0)</f>
        <v>44743</v>
      </c>
      <c r="C1112" s="6">
        <f>IFERROR(__xludf.DUMMYFUNCTION("""COMPUTED_VALUE"""),0.7315625000010186)</f>
        <v>0.7315625</v>
      </c>
      <c r="D1112" s="4">
        <f>IFERROR(__xludf.DUMMYFUNCTION("""COMPUTED_VALUE"""),13.071481)</f>
        <v>13.071481</v>
      </c>
      <c r="E1112" s="4">
        <f>IFERROR(__xludf.DUMMYFUNCTION("""COMPUTED_VALUE"""),80.259112)</f>
        <v>80.259112</v>
      </c>
      <c r="F1112" s="4">
        <f>IFERROR(__xludf.DUMMYFUNCTION("""COMPUTED_VALUE"""),805.0)</f>
        <v>805</v>
      </c>
      <c r="G1112" s="4">
        <f>IFERROR(__xludf.DUMMYFUNCTION("""COMPUTED_VALUE"""),17.0)</f>
        <v>17</v>
      </c>
      <c r="H1112" s="4"/>
      <c r="I1112" s="4"/>
    </row>
    <row r="1113">
      <c r="A1113" s="4" t="str">
        <f>IFERROR(__xludf.DUMMYFUNCTION("""COMPUTED_VALUE"""),"cas_hmw")</f>
        <v>cas_hmw</v>
      </c>
      <c r="B1113" s="5">
        <f>IFERROR(__xludf.DUMMYFUNCTION("""COMPUTED_VALUE"""),44743.0)</f>
        <v>44743</v>
      </c>
      <c r="C1113" s="6">
        <f>IFERROR(__xludf.DUMMYFUNCTION("""COMPUTED_VALUE"""),0.7349652777775191)</f>
        <v>0.7349652778</v>
      </c>
      <c r="D1113" s="4">
        <f>IFERROR(__xludf.DUMMYFUNCTION("""COMPUTED_VALUE"""),13.067475)</f>
        <v>13.067475</v>
      </c>
      <c r="E1113" s="4">
        <f>IFERROR(__xludf.DUMMYFUNCTION("""COMPUTED_VALUE"""),80.250295)</f>
        <v>80.250295</v>
      </c>
      <c r="F1113" s="4">
        <f>IFERROR(__xludf.DUMMYFUNCTION("""COMPUTED_VALUE"""),805.0)</f>
        <v>805</v>
      </c>
      <c r="G1113" s="4">
        <f>IFERROR(__xludf.DUMMYFUNCTION("""COMPUTED_VALUE"""),0.0)</f>
        <v>0</v>
      </c>
      <c r="H1113" s="4"/>
      <c r="I1113" s="4"/>
    </row>
    <row r="1114">
      <c r="A1114" s="4" t="str">
        <f>IFERROR(__xludf.DUMMYFUNCTION("""COMPUTED_VALUE"""),"cas_hmw")</f>
        <v>cas_hmw</v>
      </c>
      <c r="B1114" s="5">
        <f>IFERROR(__xludf.DUMMYFUNCTION("""COMPUTED_VALUE"""),44743.0)</f>
        <v>44743</v>
      </c>
      <c r="C1114" s="6">
        <f>IFERROR(__xludf.DUMMYFUNCTION("""COMPUTED_VALUE"""),0.7349884259274404)</f>
        <v>0.7349884259</v>
      </c>
      <c r="D1114" s="4">
        <f>IFERROR(__xludf.DUMMYFUNCTION("""COMPUTED_VALUE"""),13.067585)</f>
        <v>13.067585</v>
      </c>
      <c r="E1114" s="4">
        <f>IFERROR(__xludf.DUMMYFUNCTION("""COMPUTED_VALUE"""),80.249678)</f>
        <v>80.249678</v>
      </c>
      <c r="F1114" s="4">
        <f>IFERROR(__xludf.DUMMYFUNCTION("""COMPUTED_VALUE"""),805.0)</f>
        <v>805</v>
      </c>
      <c r="G1114" s="4">
        <f>IFERROR(__xludf.DUMMYFUNCTION("""COMPUTED_VALUE"""),11.0)</f>
        <v>11</v>
      </c>
      <c r="H1114" s="4"/>
      <c r="I1114" s="4"/>
    </row>
    <row r="1115">
      <c r="A1115" s="4" t="str">
        <f>IFERROR(__xludf.DUMMYFUNCTION("""COMPUTED_VALUE"""),"cas_hmw")</f>
        <v>cas_hmw</v>
      </c>
      <c r="B1115" s="5">
        <f>IFERROR(__xludf.DUMMYFUNCTION("""COMPUTED_VALUE"""),44743.0)</f>
        <v>44743</v>
      </c>
      <c r="C1115" s="6">
        <f>IFERROR(__xludf.DUMMYFUNCTION("""COMPUTED_VALUE"""),0.7350462962967867)</f>
        <v>0.7350462963</v>
      </c>
      <c r="D1115" s="4">
        <f>IFERROR(__xludf.DUMMYFUNCTION("""COMPUTED_VALUE"""),13.067585)</f>
        <v>13.067585</v>
      </c>
      <c r="E1115" s="4">
        <f>IFERROR(__xludf.DUMMYFUNCTION("""COMPUTED_VALUE"""),80.249678)</f>
        <v>80.249678</v>
      </c>
      <c r="F1115" s="4">
        <f>IFERROR(__xludf.DUMMYFUNCTION("""COMPUTED_VALUE"""),805.0)</f>
        <v>805</v>
      </c>
      <c r="G1115" s="4">
        <f>IFERROR(__xludf.DUMMYFUNCTION("""COMPUTED_VALUE"""),11.0)</f>
        <v>11</v>
      </c>
      <c r="H1115" s="4"/>
      <c r="I1115" s="4"/>
    </row>
    <row r="1116">
      <c r="A1116" s="4" t="str">
        <f>IFERROR(__xludf.DUMMYFUNCTION("""COMPUTED_VALUE"""),"cas_hmw")</f>
        <v>cas_hmw</v>
      </c>
      <c r="B1116" s="5">
        <f>IFERROR(__xludf.DUMMYFUNCTION("""COMPUTED_VALUE"""),44743.0)</f>
        <v>44743</v>
      </c>
      <c r="C1116" s="6">
        <f>IFERROR(__xludf.DUMMYFUNCTION("""COMPUTED_VALUE"""),0.7350462962967867)</f>
        <v>0.7350462963</v>
      </c>
      <c r="D1116" s="4">
        <f>IFERROR(__xludf.DUMMYFUNCTION("""COMPUTED_VALUE"""),13.067585)</f>
        <v>13.067585</v>
      </c>
      <c r="E1116" s="4">
        <f>IFERROR(__xludf.DUMMYFUNCTION("""COMPUTED_VALUE"""),80.249678)</f>
        <v>80.249678</v>
      </c>
      <c r="F1116" s="4">
        <f>IFERROR(__xludf.DUMMYFUNCTION("""COMPUTED_VALUE"""),805.0)</f>
        <v>805</v>
      </c>
      <c r="G1116" s="4">
        <f>IFERROR(__xludf.DUMMYFUNCTION("""COMPUTED_VALUE"""),11.0)</f>
        <v>11</v>
      </c>
      <c r="H1116" s="4"/>
      <c r="I1116" s="4"/>
    </row>
    <row r="1117">
      <c r="A1117" s="4" t="str">
        <f>IFERROR(__xludf.DUMMYFUNCTION("""COMPUTED_VALUE"""),"cas_hmw")</f>
        <v>cas_hmw</v>
      </c>
      <c r="B1117" s="5">
        <f>IFERROR(__xludf.DUMMYFUNCTION("""COMPUTED_VALUE"""),44743.0)</f>
        <v>44743</v>
      </c>
      <c r="C1117" s="6">
        <f>IFERROR(__xludf.DUMMYFUNCTION("""COMPUTED_VALUE"""),0.7424189814810234)</f>
        <v>0.7424189815</v>
      </c>
      <c r="D1117" s="4">
        <f>IFERROR(__xludf.DUMMYFUNCTION("""COMPUTED_VALUE"""),13.081967)</f>
        <v>13.081967</v>
      </c>
      <c r="E1117" s="4">
        <f>IFERROR(__xludf.DUMMYFUNCTION("""COMPUTED_VALUE"""),80.281396)</f>
        <v>80.281396</v>
      </c>
      <c r="F1117" s="4">
        <f>IFERROR(__xludf.DUMMYFUNCTION("""COMPUTED_VALUE"""),5339.0)</f>
        <v>5339</v>
      </c>
      <c r="G1117" s="4">
        <f>IFERROR(__xludf.DUMMYFUNCTION("""COMPUTED_VALUE"""),14.0)</f>
        <v>14</v>
      </c>
      <c r="H1117" s="4"/>
      <c r="I1117" s="4"/>
    </row>
    <row r="1118">
      <c r="A1118" s="4" t="str">
        <f>IFERROR(__xludf.DUMMYFUNCTION("""COMPUTED_VALUE"""),"cas_hmw")</f>
        <v>cas_hmw</v>
      </c>
      <c r="B1118" s="5">
        <f>IFERROR(__xludf.DUMMYFUNCTION("""COMPUTED_VALUE"""),44743.0)</f>
        <v>44743</v>
      </c>
      <c r="C1118" s="6">
        <f>IFERROR(__xludf.DUMMYFUNCTION("""COMPUTED_VALUE"""),0.7437615740745969)</f>
        <v>0.7437615741</v>
      </c>
      <c r="D1118" s="4">
        <f>IFERROR(__xludf.DUMMYFUNCTION("""COMPUTED_VALUE"""),13.085483)</f>
        <v>13.085483</v>
      </c>
      <c r="E1118" s="4">
        <f>IFERROR(__xludf.DUMMYFUNCTION("""COMPUTED_VALUE"""),80.284532)</f>
        <v>80.284532</v>
      </c>
      <c r="F1118" s="4">
        <f>IFERROR(__xludf.DUMMYFUNCTION("""COMPUTED_VALUE"""),5339.0)</f>
        <v>5339</v>
      </c>
      <c r="G1118" s="4">
        <f>IFERROR(__xludf.DUMMYFUNCTION("""COMPUTED_VALUE"""),0.0)</f>
        <v>0</v>
      </c>
      <c r="H1118" s="4"/>
      <c r="I1118" s="4"/>
    </row>
    <row r="1119">
      <c r="A1119" s="4" t="str">
        <f>IFERROR(__xludf.DUMMYFUNCTION("""COMPUTED_VALUE"""),"cas_hmw")</f>
        <v>cas_hmw</v>
      </c>
      <c r="B1119" s="5">
        <f>IFERROR(__xludf.DUMMYFUNCTION("""COMPUTED_VALUE"""),44743.0)</f>
        <v>44743</v>
      </c>
      <c r="C1119" s="6">
        <f>IFERROR(__xludf.DUMMYFUNCTION("""COMPUTED_VALUE"""),0.7437615740745969)</f>
        <v>0.7437615741</v>
      </c>
      <c r="D1119" s="4">
        <f>IFERROR(__xludf.DUMMYFUNCTION("""COMPUTED_VALUE"""),13.085483)</f>
        <v>13.085483</v>
      </c>
      <c r="E1119" s="4">
        <f>IFERROR(__xludf.DUMMYFUNCTION("""COMPUTED_VALUE"""),80.284532)</f>
        <v>80.284532</v>
      </c>
      <c r="F1119" s="4">
        <f>IFERROR(__xludf.DUMMYFUNCTION("""COMPUTED_VALUE"""),5339.0)</f>
        <v>5339</v>
      </c>
      <c r="G1119" s="4">
        <f>IFERROR(__xludf.DUMMYFUNCTION("""COMPUTED_VALUE"""),0.0)</f>
        <v>0</v>
      </c>
      <c r="H1119" s="4"/>
      <c r="I1119" s="4"/>
    </row>
    <row r="1120">
      <c r="A1120" s="4" t="str">
        <f>IFERROR(__xludf.DUMMYFUNCTION("""COMPUTED_VALUE"""),"cas_hmw")</f>
        <v>cas_hmw</v>
      </c>
      <c r="B1120" s="5">
        <f>IFERROR(__xludf.DUMMYFUNCTION("""COMPUTED_VALUE"""),44743.0)</f>
        <v>44743</v>
      </c>
      <c r="C1120" s="6">
        <f>IFERROR(__xludf.DUMMYFUNCTION("""COMPUTED_VALUE"""),0.843715277776937)</f>
        <v>0.8437152778</v>
      </c>
      <c r="D1120" s="4">
        <f>IFERROR(__xludf.DUMMYFUNCTION("""COMPUTED_VALUE"""),13.085287)</f>
        <v>13.085287</v>
      </c>
      <c r="E1120" s="4">
        <f>IFERROR(__xludf.DUMMYFUNCTION("""COMPUTED_VALUE"""),80.284974)</f>
        <v>80.284974</v>
      </c>
      <c r="F1120" s="4">
        <f>IFERROR(__xludf.DUMMYFUNCTION("""COMPUTED_VALUE"""),5339.0)</f>
        <v>5339</v>
      </c>
      <c r="G1120" s="4">
        <f>IFERROR(__xludf.DUMMYFUNCTION("""COMPUTED_VALUE"""),20.0)</f>
        <v>20</v>
      </c>
      <c r="H1120" s="4"/>
      <c r="I1120" s="4"/>
    </row>
    <row r="1121">
      <c r="A1121" s="4" t="str">
        <f>IFERROR(__xludf.DUMMYFUNCTION("""COMPUTED_VALUE"""),"cas_hmw")</f>
        <v>cas_hmw</v>
      </c>
      <c r="B1121" s="5">
        <f>IFERROR(__xludf.DUMMYFUNCTION("""COMPUTED_VALUE"""),44743.0)</f>
        <v>44743</v>
      </c>
      <c r="C1121" s="6">
        <f>IFERROR(__xludf.DUMMYFUNCTION("""COMPUTED_VALUE"""),0.8437268518500787)</f>
        <v>0.8437268519</v>
      </c>
      <c r="D1121" s="4">
        <f>IFERROR(__xludf.DUMMYFUNCTION("""COMPUTED_VALUE"""),13.085287)</f>
        <v>13.085287</v>
      </c>
      <c r="E1121" s="4">
        <f>IFERROR(__xludf.DUMMYFUNCTION("""COMPUTED_VALUE"""),80.284974)</f>
        <v>80.284974</v>
      </c>
      <c r="F1121" s="4">
        <f>IFERROR(__xludf.DUMMYFUNCTION("""COMPUTED_VALUE"""),5339.0)</f>
        <v>5339</v>
      </c>
      <c r="G1121" s="4">
        <f>IFERROR(__xludf.DUMMYFUNCTION("""COMPUTED_VALUE"""),20.0)</f>
        <v>20</v>
      </c>
      <c r="H1121" s="4"/>
      <c r="I1121" s="4"/>
    </row>
    <row r="1122">
      <c r="A1122" s="4" t="str">
        <f>IFERROR(__xludf.DUMMYFUNCTION("""COMPUTED_VALUE"""),"cas_hmw")</f>
        <v>cas_hmw</v>
      </c>
      <c r="B1122" s="5">
        <f>IFERROR(__xludf.DUMMYFUNCTION("""COMPUTED_VALUE"""),44743.0)</f>
        <v>44743</v>
      </c>
      <c r="C1122" s="6">
        <f>IFERROR(__xludf.DUMMYFUNCTION("""COMPUTED_VALUE"""),0.8470601851840911)</f>
        <v>0.8470601852</v>
      </c>
      <c r="D1122" s="4">
        <f>IFERROR(__xludf.DUMMYFUNCTION("""COMPUTED_VALUE"""),13.071809)</f>
        <v>13.071809</v>
      </c>
      <c r="E1122" s="4">
        <f>IFERROR(__xludf.DUMMYFUNCTION("""COMPUTED_VALUE"""),80.2746)</f>
        <v>80.2746</v>
      </c>
      <c r="F1122" s="4">
        <f>IFERROR(__xludf.DUMMYFUNCTION("""COMPUTED_VALUE"""),5339.0)</f>
        <v>5339</v>
      </c>
      <c r="G1122" s="4">
        <f>IFERROR(__xludf.DUMMYFUNCTION("""COMPUTED_VALUE"""),0.0)</f>
        <v>0</v>
      </c>
      <c r="H1122" s="4"/>
      <c r="I1122" s="4"/>
    </row>
    <row r="1123">
      <c r="A1123" s="4" t="str">
        <f>IFERROR(__xludf.DUMMYFUNCTION("""COMPUTED_VALUE"""),"cas_hmw")</f>
        <v>cas_hmw</v>
      </c>
      <c r="B1123" s="5">
        <f>IFERROR(__xludf.DUMMYFUNCTION("""COMPUTED_VALUE"""),44743.0)</f>
        <v>44743</v>
      </c>
      <c r="C1123" s="6">
        <f>IFERROR(__xludf.DUMMYFUNCTION("""COMPUTED_VALUE"""),0.8484375000007276)</f>
        <v>0.8484375</v>
      </c>
      <c r="D1123" s="4">
        <f>IFERROR(__xludf.DUMMYFUNCTION("""COMPUTED_VALUE"""),13.068337)</f>
        <v>13.068337</v>
      </c>
      <c r="E1123" s="4">
        <f>IFERROR(__xludf.DUMMYFUNCTION("""COMPUTED_VALUE"""),80.271764)</f>
        <v>80.271764</v>
      </c>
      <c r="F1123" s="4">
        <f>IFERROR(__xludf.DUMMYFUNCTION("""COMPUTED_VALUE"""),5339.0)</f>
        <v>5339</v>
      </c>
      <c r="G1123" s="4">
        <f>IFERROR(__xludf.DUMMYFUNCTION("""COMPUTED_VALUE"""),12.0)</f>
        <v>12</v>
      </c>
      <c r="H1123" s="4"/>
      <c r="I1123" s="4"/>
    </row>
    <row r="1124">
      <c r="A1124" s="4" t="str">
        <f>IFERROR(__xludf.DUMMYFUNCTION("""COMPUTED_VALUE"""),"cas_hmw")</f>
        <v>cas_hmw</v>
      </c>
      <c r="B1124" s="5">
        <f>IFERROR(__xludf.DUMMYFUNCTION("""COMPUTED_VALUE"""),44743.0)</f>
        <v>44743</v>
      </c>
      <c r="C1124" s="6">
        <f>IFERROR(__xludf.DUMMYFUNCTION("""COMPUTED_VALUE"""),0.8486574074086093)</f>
        <v>0.8486574074</v>
      </c>
      <c r="D1124" s="4">
        <f>IFERROR(__xludf.DUMMYFUNCTION("""COMPUTED_VALUE"""),13.068176)</f>
        <v>13.068176</v>
      </c>
      <c r="E1124" s="4">
        <f>IFERROR(__xludf.DUMMYFUNCTION("""COMPUTED_VALUE"""),80.271503)</f>
        <v>80.271503</v>
      </c>
      <c r="F1124" s="4">
        <f>IFERROR(__xludf.DUMMYFUNCTION("""COMPUTED_VALUE"""),5339.0)</f>
        <v>5339</v>
      </c>
      <c r="G1124" s="4">
        <f>IFERROR(__xludf.DUMMYFUNCTION("""COMPUTED_VALUE"""),0.0)</f>
        <v>0</v>
      </c>
      <c r="H1124" s="4"/>
      <c r="I1124" s="4"/>
    </row>
    <row r="1125">
      <c r="A1125" s="4" t="str">
        <f>IFERROR(__xludf.DUMMYFUNCTION("""COMPUTED_VALUE"""),"cas_hmw")</f>
        <v>cas_hmw</v>
      </c>
      <c r="B1125" s="5">
        <f>IFERROR(__xludf.DUMMYFUNCTION("""COMPUTED_VALUE"""),44743.0)</f>
        <v>44743</v>
      </c>
      <c r="C1125" s="6">
        <f>IFERROR(__xludf.DUMMYFUNCTION("""COMPUTED_VALUE"""),0.8487152777779556)</f>
        <v>0.8487152778</v>
      </c>
      <c r="D1125" s="4">
        <f>IFERROR(__xludf.DUMMYFUNCTION("""COMPUTED_VALUE"""),13.067975)</f>
        <v>13.067975</v>
      </c>
      <c r="E1125" s="4">
        <f>IFERROR(__xludf.DUMMYFUNCTION("""COMPUTED_VALUE"""),80.271202)</f>
        <v>80.271202</v>
      </c>
      <c r="F1125" s="4">
        <f>IFERROR(__xludf.DUMMYFUNCTION("""COMPUTED_VALUE"""),5339.0)</f>
        <v>5339</v>
      </c>
      <c r="G1125" s="4">
        <f>IFERROR(__xludf.DUMMYFUNCTION("""COMPUTED_VALUE"""),12.0)</f>
        <v>12</v>
      </c>
      <c r="H1125" s="4"/>
      <c r="I1125" s="4"/>
    </row>
    <row r="1126">
      <c r="A1126" s="4" t="str">
        <f>IFERROR(__xludf.DUMMYFUNCTION("""COMPUTED_VALUE"""),"cas_hmw")</f>
        <v>cas_hmw</v>
      </c>
      <c r="B1126" s="5">
        <f>IFERROR(__xludf.DUMMYFUNCTION("""COMPUTED_VALUE"""),44743.0)</f>
        <v>44743</v>
      </c>
      <c r="C1126" s="6">
        <f>IFERROR(__xludf.DUMMYFUNCTION("""COMPUTED_VALUE"""),0.8504629629642295)</f>
        <v>0.850462963</v>
      </c>
      <c r="D1126" s="4">
        <f>IFERROR(__xludf.DUMMYFUNCTION("""COMPUTED_VALUE"""),13.062369)</f>
        <v>13.062369</v>
      </c>
      <c r="E1126" s="4">
        <f>IFERROR(__xludf.DUMMYFUNCTION("""COMPUTED_VALUE"""),80.263464)</f>
        <v>80.263464</v>
      </c>
      <c r="F1126" s="4">
        <f>IFERROR(__xludf.DUMMYFUNCTION("""COMPUTED_VALUE"""),5339.0)</f>
        <v>5339</v>
      </c>
      <c r="G1126" s="4">
        <f>IFERROR(__xludf.DUMMYFUNCTION("""COMPUTED_VALUE"""),10.0)</f>
        <v>10</v>
      </c>
      <c r="H1126" s="4"/>
      <c r="I1126" s="4"/>
    </row>
    <row r="1127">
      <c r="A1127" s="4" t="str">
        <f>IFERROR(__xludf.DUMMYFUNCTION("""COMPUTED_VALUE"""),"cas_hmw")</f>
        <v>cas_hmw</v>
      </c>
      <c r="B1127" s="5">
        <f>IFERROR(__xludf.DUMMYFUNCTION("""COMPUTED_VALUE"""),44743.0)</f>
        <v>44743</v>
      </c>
      <c r="C1127" s="6">
        <f>IFERROR(__xludf.DUMMYFUNCTION("""COMPUTED_VALUE"""),0.8535300925941556)</f>
        <v>0.8535300926</v>
      </c>
      <c r="D1127" s="4">
        <f>IFERROR(__xludf.DUMMYFUNCTION("""COMPUTED_VALUE"""),13.066866)</f>
        <v>13.066866</v>
      </c>
      <c r="E1127" s="4">
        <f>IFERROR(__xludf.DUMMYFUNCTION("""COMPUTED_VALUE"""),80.254351)</f>
        <v>80.254351</v>
      </c>
      <c r="F1127" s="4">
        <f>IFERROR(__xludf.DUMMYFUNCTION("""COMPUTED_VALUE"""),5339.0)</f>
        <v>5339</v>
      </c>
      <c r="G1127" s="4">
        <f>IFERROR(__xludf.DUMMYFUNCTION("""COMPUTED_VALUE"""),8.0)</f>
        <v>8</v>
      </c>
      <c r="H1127" s="4"/>
      <c r="I1127" s="4"/>
    </row>
    <row r="1128">
      <c r="A1128" s="4" t="str">
        <f>IFERROR(__xludf.DUMMYFUNCTION("""COMPUTED_VALUE"""),"cas_hmw")</f>
        <v>cas_hmw</v>
      </c>
      <c r="B1128" s="5">
        <f>IFERROR(__xludf.DUMMYFUNCTION("""COMPUTED_VALUE"""),44775.0)</f>
        <v>44775</v>
      </c>
      <c r="C1128" s="6">
        <f>IFERROR(__xludf.DUMMYFUNCTION("""COMPUTED_VALUE"""),0.29533564814846613)</f>
        <v>0.2953356481</v>
      </c>
      <c r="D1128" s="4">
        <f>IFERROR(__xludf.DUMMYFUNCTION("""COMPUTED_VALUE"""),12.510598)</f>
        <v>12.510598</v>
      </c>
      <c r="E1128" s="4">
        <f>IFERROR(__xludf.DUMMYFUNCTION("""COMPUTED_VALUE"""),79.885078)</f>
        <v>79.885078</v>
      </c>
      <c r="F1128" s="4">
        <f>IFERROR(__xludf.DUMMYFUNCTION("""COMPUTED_VALUE"""),2846.0)</f>
        <v>2846</v>
      </c>
      <c r="G1128" s="4">
        <f>IFERROR(__xludf.DUMMYFUNCTION("""COMPUTED_VALUE"""),18.0)</f>
        <v>18</v>
      </c>
      <c r="H1128" s="4"/>
      <c r="I1128" s="4"/>
    </row>
    <row r="1129">
      <c r="A1129" s="4" t="str">
        <f>IFERROR(__xludf.DUMMYFUNCTION("""COMPUTED_VALUE"""),"cas_hmw")</f>
        <v>cas_hmw</v>
      </c>
      <c r="B1129" s="5">
        <f>IFERROR(__xludf.DUMMYFUNCTION("""COMPUTED_VALUE"""),44775.0)</f>
        <v>44775</v>
      </c>
      <c r="C1129" s="6">
        <f>IFERROR(__xludf.DUMMYFUNCTION("""COMPUTED_VALUE"""),0.29703703703853535)</f>
        <v>0.297037037</v>
      </c>
      <c r="D1129" s="4">
        <f>IFERROR(__xludf.DUMMYFUNCTION("""COMPUTED_VALUE"""),13.063793)</f>
        <v>13.063793</v>
      </c>
      <c r="E1129" s="4">
        <f>IFERROR(__xludf.DUMMYFUNCTION("""COMPUTED_VALUE"""),80.250789)</f>
        <v>80.250789</v>
      </c>
      <c r="F1129" s="4">
        <f>IFERROR(__xludf.DUMMYFUNCTION("""COMPUTED_VALUE"""),5339.0)</f>
        <v>5339</v>
      </c>
      <c r="G1129" s="4">
        <f>IFERROR(__xludf.DUMMYFUNCTION("""COMPUTED_VALUE"""),10.0)</f>
        <v>10</v>
      </c>
      <c r="H1129" s="4"/>
      <c r="I1129" s="4"/>
    </row>
    <row r="1130">
      <c r="A1130" s="4" t="str">
        <f>IFERROR(__xludf.DUMMYFUNCTION("""COMPUTED_VALUE"""),"cas_hmw")</f>
        <v>cas_hmw</v>
      </c>
      <c r="B1130" s="5">
        <f>IFERROR(__xludf.DUMMYFUNCTION("""COMPUTED_VALUE"""),44775.0)</f>
        <v>44775</v>
      </c>
      <c r="C1130" s="6">
        <f>IFERROR(__xludf.DUMMYFUNCTION("""COMPUTED_VALUE"""),0.3004050925919728)</f>
        <v>0.3004050926</v>
      </c>
      <c r="D1130" s="4">
        <f>IFERROR(__xludf.DUMMYFUNCTION("""COMPUTED_VALUE"""),13.063793)</f>
        <v>13.063793</v>
      </c>
      <c r="E1130" s="4">
        <f>IFERROR(__xludf.DUMMYFUNCTION("""COMPUTED_VALUE"""),80.250789)</f>
        <v>80.250789</v>
      </c>
      <c r="F1130" s="4">
        <f>IFERROR(__xludf.DUMMYFUNCTION("""COMPUTED_VALUE"""),5339.0)</f>
        <v>5339</v>
      </c>
      <c r="G1130" s="4">
        <f>IFERROR(__xludf.DUMMYFUNCTION("""COMPUTED_VALUE"""),10.0)</f>
        <v>10</v>
      </c>
      <c r="H1130" s="4"/>
      <c r="I1130" s="4"/>
    </row>
    <row r="1131">
      <c r="A1131" s="4" t="str">
        <f>IFERROR(__xludf.DUMMYFUNCTION("""COMPUTED_VALUE"""),"cas_hmw")</f>
        <v>cas_hmw</v>
      </c>
      <c r="B1131" s="5">
        <f>IFERROR(__xludf.DUMMYFUNCTION("""COMPUTED_VALUE"""),44775.0)</f>
        <v>44775</v>
      </c>
      <c r="C1131" s="6">
        <f>IFERROR(__xludf.DUMMYFUNCTION("""COMPUTED_VALUE"""),0.30052083333430346)</f>
        <v>0.3005208333</v>
      </c>
      <c r="D1131" s="4">
        <f>IFERROR(__xludf.DUMMYFUNCTION("""COMPUTED_VALUE"""),13.063793)</f>
        <v>13.063793</v>
      </c>
      <c r="E1131" s="4">
        <f>IFERROR(__xludf.DUMMYFUNCTION("""COMPUTED_VALUE"""),80.250789)</f>
        <v>80.250789</v>
      </c>
      <c r="F1131" s="4">
        <f>IFERROR(__xludf.DUMMYFUNCTION("""COMPUTED_VALUE"""),5339.0)</f>
        <v>5339</v>
      </c>
      <c r="G1131" s="4">
        <f>IFERROR(__xludf.DUMMYFUNCTION("""COMPUTED_VALUE"""),10.0)</f>
        <v>10</v>
      </c>
      <c r="H1131" s="4"/>
      <c r="I1131" s="4"/>
    </row>
    <row r="1132">
      <c r="A1132" s="4" t="str">
        <f>IFERROR(__xludf.DUMMYFUNCTION("""COMPUTED_VALUE"""),"cas_hmw")</f>
        <v>cas_hmw</v>
      </c>
      <c r="B1132" s="5">
        <f>IFERROR(__xludf.DUMMYFUNCTION("""COMPUTED_VALUE"""),44775.0)</f>
        <v>44775</v>
      </c>
      <c r="C1132" s="6">
        <f>IFERROR(__xludf.DUMMYFUNCTION("""COMPUTED_VALUE"""),0.3005439814805868)</f>
        <v>0.3005439815</v>
      </c>
      <c r="D1132" s="4">
        <f>IFERROR(__xludf.DUMMYFUNCTION("""COMPUTED_VALUE"""),13.063793)</f>
        <v>13.063793</v>
      </c>
      <c r="E1132" s="4">
        <f>IFERROR(__xludf.DUMMYFUNCTION("""COMPUTED_VALUE"""),80.250789)</f>
        <v>80.250789</v>
      </c>
      <c r="F1132" s="4">
        <f>IFERROR(__xludf.DUMMYFUNCTION("""COMPUTED_VALUE"""),5339.0)</f>
        <v>5339</v>
      </c>
      <c r="G1132" s="4">
        <f>IFERROR(__xludf.DUMMYFUNCTION("""COMPUTED_VALUE"""),10.0)</f>
        <v>10</v>
      </c>
      <c r="H1132" s="4"/>
      <c r="I1132" s="4"/>
    </row>
    <row r="1133">
      <c r="A1133" s="4" t="str">
        <f>IFERROR(__xludf.DUMMYFUNCTION("""COMPUTED_VALUE"""),"cas_hmw")</f>
        <v>cas_hmw</v>
      </c>
      <c r="B1133" s="5">
        <f>IFERROR(__xludf.DUMMYFUNCTION("""COMPUTED_VALUE"""),44775.0)</f>
        <v>44775</v>
      </c>
      <c r="C1133" s="6">
        <f>IFERROR(__xludf.DUMMYFUNCTION("""COMPUTED_VALUE"""),0.3182754629633564)</f>
        <v>0.318275463</v>
      </c>
      <c r="D1133" s="4">
        <f>IFERROR(__xludf.DUMMYFUNCTION("""COMPUTED_VALUE"""),13.020318)</f>
        <v>13.020318</v>
      </c>
      <c r="E1133" s="4">
        <f>IFERROR(__xludf.DUMMYFUNCTION("""COMPUTED_VALUE"""),80.263016)</f>
        <v>80.263016</v>
      </c>
      <c r="F1133" s="4">
        <f>IFERROR(__xludf.DUMMYFUNCTION("""COMPUTED_VALUE"""),3143.0)</f>
        <v>3143</v>
      </c>
      <c r="G1133" s="4">
        <f>IFERROR(__xludf.DUMMYFUNCTION("""COMPUTED_VALUE"""),9.0)</f>
        <v>9</v>
      </c>
      <c r="H1133" s="4"/>
      <c r="I1133" s="4"/>
    </row>
    <row r="1134">
      <c r="A1134" s="4" t="str">
        <f>IFERROR(__xludf.DUMMYFUNCTION("""COMPUTED_VALUE"""),"cas_hmw")</f>
        <v>cas_hmw</v>
      </c>
      <c r="B1134" s="5">
        <f>IFERROR(__xludf.DUMMYFUNCTION("""COMPUTED_VALUE"""),44775.0)</f>
        <v>44775</v>
      </c>
      <c r="C1134" s="6">
        <f>IFERROR(__xludf.DUMMYFUNCTION("""COMPUTED_VALUE"""),0.32466435185051523)</f>
        <v>0.3246643519</v>
      </c>
      <c r="D1134" s="4">
        <f>IFERROR(__xludf.DUMMYFUNCTION("""COMPUTED_VALUE"""),12.697224)</f>
        <v>12.697224</v>
      </c>
      <c r="E1134" s="4">
        <f>IFERROR(__xludf.DUMMYFUNCTION("""COMPUTED_VALUE"""),79.972482)</f>
        <v>79.972482</v>
      </c>
      <c r="F1134" s="4">
        <f>IFERROR(__xludf.DUMMYFUNCTION("""COMPUTED_VALUE"""),2846.0)</f>
        <v>2846</v>
      </c>
      <c r="G1134" s="4">
        <f>IFERROR(__xludf.DUMMYFUNCTION("""COMPUTED_VALUE"""),13.0)</f>
        <v>13</v>
      </c>
      <c r="H1134" s="4"/>
      <c r="I1134" s="4"/>
    </row>
    <row r="1135">
      <c r="A1135" s="4" t="str">
        <f>IFERROR(__xludf.DUMMYFUNCTION("""COMPUTED_VALUE"""),"cas_hmw")</f>
        <v>cas_hmw</v>
      </c>
      <c r="B1135" s="5">
        <f>IFERROR(__xludf.DUMMYFUNCTION("""COMPUTED_VALUE"""),44775.0)</f>
        <v>44775</v>
      </c>
      <c r="C1135" s="6">
        <f>IFERROR(__xludf.DUMMYFUNCTION("""COMPUTED_VALUE"""),0.3301273148135806)</f>
        <v>0.3301273148</v>
      </c>
      <c r="D1135" s="4">
        <f>IFERROR(__xludf.DUMMYFUNCTION("""COMPUTED_VALUE"""),12.708316)</f>
        <v>12.708316</v>
      </c>
      <c r="E1135" s="4">
        <f>IFERROR(__xludf.DUMMYFUNCTION("""COMPUTED_VALUE"""),79.97683)</f>
        <v>79.97683</v>
      </c>
      <c r="F1135" s="4">
        <f>IFERROR(__xludf.DUMMYFUNCTION("""COMPUTED_VALUE"""),2846.0)</f>
        <v>2846</v>
      </c>
      <c r="G1135" s="4">
        <f>IFERROR(__xludf.DUMMYFUNCTION("""COMPUTED_VALUE"""),14.0)</f>
        <v>14</v>
      </c>
      <c r="H1135" s="4"/>
      <c r="I1135" s="4"/>
    </row>
    <row r="1136">
      <c r="A1136" s="4" t="str">
        <f>IFERROR(__xludf.DUMMYFUNCTION("""COMPUTED_VALUE"""),"cas_hmw")</f>
        <v>cas_hmw</v>
      </c>
      <c r="B1136" s="5">
        <f>IFERROR(__xludf.DUMMYFUNCTION("""COMPUTED_VALUE"""),44775.0)</f>
        <v>44775</v>
      </c>
      <c r="C1136" s="6">
        <f>IFERROR(__xludf.DUMMYFUNCTION("""COMPUTED_VALUE"""),0.3352199074070086)</f>
        <v>0.3352199074</v>
      </c>
      <c r="D1136" s="4">
        <f>IFERROR(__xludf.DUMMYFUNCTION("""COMPUTED_VALUE"""),12.965469)</f>
        <v>12.965469</v>
      </c>
      <c r="E1136" s="4">
        <f>IFERROR(__xludf.DUMMYFUNCTION("""COMPUTED_VALUE"""),80.148297)</f>
        <v>80.148297</v>
      </c>
      <c r="F1136" s="4">
        <f>IFERROR(__xludf.DUMMYFUNCTION("""COMPUTED_VALUE"""),5339.0)</f>
        <v>5339</v>
      </c>
      <c r="G1136" s="4">
        <f>IFERROR(__xludf.DUMMYFUNCTION("""COMPUTED_VALUE"""),20.0)</f>
        <v>20</v>
      </c>
      <c r="H1136" s="4"/>
      <c r="I1136" s="4"/>
    </row>
    <row r="1137">
      <c r="A1137" s="4" t="str">
        <f>IFERROR(__xludf.DUMMYFUNCTION("""COMPUTED_VALUE"""),"cas_hmw")</f>
        <v>cas_hmw</v>
      </c>
      <c r="B1137" s="5">
        <f>IFERROR(__xludf.DUMMYFUNCTION("""COMPUTED_VALUE"""),44775.0)</f>
        <v>44775</v>
      </c>
      <c r="C1137" s="6">
        <f>IFERROR(__xludf.DUMMYFUNCTION("""COMPUTED_VALUE"""),0.33570601851897663)</f>
        <v>0.3357060185</v>
      </c>
      <c r="D1137" s="4">
        <f>IFERROR(__xludf.DUMMYFUNCTION("""COMPUTED_VALUE"""),12.724495)</f>
        <v>12.724495</v>
      </c>
      <c r="E1137" s="4">
        <f>IFERROR(__xludf.DUMMYFUNCTION("""COMPUTED_VALUE"""),79.981725)</f>
        <v>79.981725</v>
      </c>
      <c r="F1137" s="4">
        <f>IFERROR(__xludf.DUMMYFUNCTION("""COMPUTED_VALUE"""),2846.0)</f>
        <v>2846</v>
      </c>
      <c r="G1137" s="4">
        <f>IFERROR(__xludf.DUMMYFUNCTION("""COMPUTED_VALUE"""),12.0)</f>
        <v>12</v>
      </c>
      <c r="H1137" s="4"/>
      <c r="I1137" s="4"/>
    </row>
    <row r="1138">
      <c r="A1138" s="4" t="str">
        <f>IFERROR(__xludf.DUMMYFUNCTION("""COMPUTED_VALUE"""),"cas_hmw")</f>
        <v>cas_hmw</v>
      </c>
      <c r="B1138" s="5">
        <f>IFERROR(__xludf.DUMMYFUNCTION("""COMPUTED_VALUE"""),44775.0)</f>
        <v>44775</v>
      </c>
      <c r="C1138" s="6">
        <f>IFERROR(__xludf.DUMMYFUNCTION("""COMPUTED_VALUE"""),0.33581018518452765)</f>
        <v>0.3358101852</v>
      </c>
      <c r="D1138" s="4">
        <f>IFERROR(__xludf.DUMMYFUNCTION("""COMPUTED_VALUE"""),12.724495)</f>
        <v>12.724495</v>
      </c>
      <c r="E1138" s="4">
        <f>IFERROR(__xludf.DUMMYFUNCTION("""COMPUTED_VALUE"""),79.981725)</f>
        <v>79.981725</v>
      </c>
      <c r="F1138" s="4">
        <f>IFERROR(__xludf.DUMMYFUNCTION("""COMPUTED_VALUE"""),2846.0)</f>
        <v>2846</v>
      </c>
      <c r="G1138" s="4">
        <f>IFERROR(__xludf.DUMMYFUNCTION("""COMPUTED_VALUE"""),12.0)</f>
        <v>12</v>
      </c>
      <c r="H1138" s="4"/>
      <c r="I1138" s="4"/>
    </row>
    <row r="1139">
      <c r="A1139" s="4" t="str">
        <f>IFERROR(__xludf.DUMMYFUNCTION("""COMPUTED_VALUE"""),"cas_hmw")</f>
        <v>cas_hmw</v>
      </c>
      <c r="B1139" s="5">
        <f>IFERROR(__xludf.DUMMYFUNCTION("""COMPUTED_VALUE"""),44775.0)</f>
        <v>44775</v>
      </c>
      <c r="C1139" s="6">
        <f>IFERROR(__xludf.DUMMYFUNCTION("""COMPUTED_VALUE"""),0.33606481481547235)</f>
        <v>0.3360648148</v>
      </c>
      <c r="D1139" s="4">
        <f>IFERROR(__xludf.DUMMYFUNCTION("""COMPUTED_VALUE"""),12.724495)</f>
        <v>12.724495</v>
      </c>
      <c r="E1139" s="4">
        <f>IFERROR(__xludf.DUMMYFUNCTION("""COMPUTED_VALUE"""),79.981725)</f>
        <v>79.981725</v>
      </c>
      <c r="F1139" s="4">
        <f>IFERROR(__xludf.DUMMYFUNCTION("""COMPUTED_VALUE"""),2846.0)</f>
        <v>2846</v>
      </c>
      <c r="G1139" s="4">
        <f>IFERROR(__xludf.DUMMYFUNCTION("""COMPUTED_VALUE"""),12.0)</f>
        <v>12</v>
      </c>
      <c r="H1139" s="4"/>
      <c r="I1139" s="4"/>
    </row>
    <row r="1140">
      <c r="A1140" s="4" t="str">
        <f>IFERROR(__xludf.DUMMYFUNCTION("""COMPUTED_VALUE"""),"cas_hmw")</f>
        <v>cas_hmw</v>
      </c>
      <c r="B1140" s="5">
        <f>IFERROR(__xludf.DUMMYFUNCTION("""COMPUTED_VALUE"""),44775.0)</f>
        <v>44775</v>
      </c>
      <c r="C1140" s="6">
        <f>IFERROR(__xludf.DUMMYFUNCTION("""COMPUTED_VALUE"""),0.3382986111100763)</f>
        <v>0.3382986111</v>
      </c>
      <c r="D1140" s="4">
        <f>IFERROR(__xludf.DUMMYFUNCTION("""COMPUTED_VALUE"""),12.952286)</f>
        <v>12.952286</v>
      </c>
      <c r="E1140" s="4">
        <f>IFERROR(__xludf.DUMMYFUNCTION("""COMPUTED_VALUE"""),80.140948)</f>
        <v>80.140948</v>
      </c>
      <c r="F1140" s="4">
        <f>IFERROR(__xludf.DUMMYFUNCTION("""COMPUTED_VALUE"""),5339.0)</f>
        <v>5339</v>
      </c>
      <c r="G1140" s="4">
        <f>IFERROR(__xludf.DUMMYFUNCTION("""COMPUTED_VALUE"""),19.0)</f>
        <v>19</v>
      </c>
      <c r="H1140" s="4"/>
      <c r="I1140" s="4"/>
    </row>
    <row r="1141">
      <c r="A1141" s="4" t="str">
        <f>IFERROR(__xludf.DUMMYFUNCTION("""COMPUTED_VALUE"""),"cas_hmw")</f>
        <v>cas_hmw</v>
      </c>
      <c r="B1141" s="5">
        <f>IFERROR(__xludf.DUMMYFUNCTION("""COMPUTED_VALUE"""),44775.0)</f>
        <v>44775</v>
      </c>
      <c r="C1141" s="6">
        <f>IFERROR(__xludf.DUMMYFUNCTION("""COMPUTED_VALUE"""),0.3394212962957681)</f>
        <v>0.3394212963</v>
      </c>
      <c r="D1141" s="4">
        <f>IFERROR(__xludf.DUMMYFUNCTION("""COMPUTED_VALUE"""),12.956332)</f>
        <v>12.956332</v>
      </c>
      <c r="E1141" s="4">
        <f>IFERROR(__xludf.DUMMYFUNCTION("""COMPUTED_VALUE"""),80.143386)</f>
        <v>80.143386</v>
      </c>
      <c r="F1141" s="4">
        <f>IFERROR(__xludf.DUMMYFUNCTION("""COMPUTED_VALUE"""),3143.0)</f>
        <v>3143</v>
      </c>
      <c r="G1141" s="4">
        <f>IFERROR(__xludf.DUMMYFUNCTION("""COMPUTED_VALUE"""),15.0)</f>
        <v>15</v>
      </c>
      <c r="H1141" s="4"/>
      <c r="I1141" s="4"/>
    </row>
    <row r="1142">
      <c r="A1142" s="4" t="str">
        <f>IFERROR(__xludf.DUMMYFUNCTION("""COMPUTED_VALUE"""),"cas_hmw")</f>
        <v>cas_hmw</v>
      </c>
      <c r="B1142" s="5">
        <f>IFERROR(__xludf.DUMMYFUNCTION("""COMPUTED_VALUE"""),44775.0)</f>
        <v>44775</v>
      </c>
      <c r="C1142" s="6">
        <f>IFERROR(__xludf.DUMMYFUNCTION("""COMPUTED_VALUE"""),0.3411805555551837)</f>
        <v>0.3411805556</v>
      </c>
      <c r="D1142" s="4">
        <f>IFERROR(__xludf.DUMMYFUNCTION("""COMPUTED_VALUE"""),12.95055)</f>
        <v>12.95055</v>
      </c>
      <c r="E1142" s="4">
        <f>IFERROR(__xludf.DUMMYFUNCTION("""COMPUTED_VALUE"""),80.139767)</f>
        <v>80.139767</v>
      </c>
      <c r="F1142" s="4">
        <f>IFERROR(__xludf.DUMMYFUNCTION("""COMPUTED_VALUE"""),3143.0)</f>
        <v>3143</v>
      </c>
      <c r="G1142" s="4">
        <f>IFERROR(__xludf.DUMMYFUNCTION("""COMPUTED_VALUE"""),0.0)</f>
        <v>0</v>
      </c>
      <c r="H1142" s="4"/>
      <c r="I1142" s="4"/>
    </row>
    <row r="1143">
      <c r="A1143" s="4" t="str">
        <f>IFERROR(__xludf.DUMMYFUNCTION("""COMPUTED_VALUE"""),"cas_hmw")</f>
        <v>cas_hmw</v>
      </c>
      <c r="B1143" s="5">
        <f>IFERROR(__xludf.DUMMYFUNCTION("""COMPUTED_VALUE"""),44775.0)</f>
        <v>44775</v>
      </c>
      <c r="C1143" s="6">
        <f>IFERROR(__xludf.DUMMYFUNCTION("""COMPUTED_VALUE"""),0.3509143518531346)</f>
        <v>0.3509143519</v>
      </c>
      <c r="D1143" s="4">
        <f>IFERROR(__xludf.DUMMYFUNCTION("""COMPUTED_VALUE"""),12.905254)</f>
        <v>12.905254</v>
      </c>
      <c r="E1143" s="4">
        <f>IFERROR(__xludf.DUMMYFUNCTION("""COMPUTED_VALUE"""),80.095636)</f>
        <v>80.095636</v>
      </c>
      <c r="F1143" s="4">
        <f>IFERROR(__xludf.DUMMYFUNCTION("""COMPUTED_VALUE"""),3143.0)</f>
        <v>3143</v>
      </c>
      <c r="G1143" s="4">
        <f>IFERROR(__xludf.DUMMYFUNCTION("""COMPUTED_VALUE"""),18.0)</f>
        <v>18</v>
      </c>
      <c r="H1143" s="4"/>
      <c r="I1143" s="4"/>
    </row>
    <row r="1144">
      <c r="A1144" s="4" t="str">
        <f>IFERROR(__xludf.DUMMYFUNCTION("""COMPUTED_VALUE"""),"cas_hmw")</f>
        <v>cas_hmw</v>
      </c>
      <c r="B1144" s="5">
        <f>IFERROR(__xludf.DUMMYFUNCTION("""COMPUTED_VALUE"""),44775.0)</f>
        <v>44775</v>
      </c>
      <c r="C1144" s="6">
        <f>IFERROR(__xludf.DUMMYFUNCTION("""COMPUTED_VALUE"""),0.6601388888884685)</f>
        <v>0.6601388889</v>
      </c>
      <c r="D1144" s="4">
        <f>IFERROR(__xludf.DUMMYFUNCTION("""COMPUTED_VALUE"""),12.955299)</f>
        <v>12.955299</v>
      </c>
      <c r="E1144" s="4">
        <f>IFERROR(__xludf.DUMMYFUNCTION("""COMPUTED_VALUE"""),80.089766)</f>
        <v>80.089766</v>
      </c>
      <c r="F1144" s="4">
        <f>IFERROR(__xludf.DUMMYFUNCTION("""COMPUTED_VALUE"""),805.0)</f>
        <v>805</v>
      </c>
      <c r="G1144" s="4">
        <f>IFERROR(__xludf.DUMMYFUNCTION("""COMPUTED_VALUE"""),11.0)</f>
        <v>11</v>
      </c>
      <c r="H1144" s="4"/>
      <c r="I1144" s="4"/>
    </row>
    <row r="1145">
      <c r="A1145" s="4" t="str">
        <f>IFERROR(__xludf.DUMMYFUNCTION("""COMPUTED_VALUE"""),"cas_hmw")</f>
        <v>cas_hmw</v>
      </c>
      <c r="B1145" s="5">
        <f>IFERROR(__xludf.DUMMYFUNCTION("""COMPUTED_VALUE"""),44775.0)</f>
        <v>44775</v>
      </c>
      <c r="C1145" s="6">
        <f>IFERROR(__xludf.DUMMYFUNCTION("""COMPUTED_VALUE"""),0.6939583333332848)</f>
        <v>0.6939583333</v>
      </c>
      <c r="D1145" s="4">
        <f>IFERROR(__xludf.DUMMYFUNCTION("""COMPUTED_VALUE"""),12.874284)</f>
        <v>12.874284</v>
      </c>
      <c r="E1145" s="4">
        <f>IFERROR(__xludf.DUMMYFUNCTION("""COMPUTED_VALUE"""),80.07834)</f>
        <v>80.07834</v>
      </c>
      <c r="F1145" s="4">
        <f>IFERROR(__xludf.DUMMYFUNCTION("""COMPUTED_VALUE"""),2846.0)</f>
        <v>2846</v>
      </c>
      <c r="G1145" s="4">
        <f>IFERROR(__xludf.DUMMYFUNCTION("""COMPUTED_VALUE"""),0.0)</f>
        <v>0</v>
      </c>
      <c r="H1145" s="4"/>
      <c r="I1145" s="4"/>
    </row>
    <row r="1146">
      <c r="A1146" s="4" t="str">
        <f>IFERROR(__xludf.DUMMYFUNCTION("""COMPUTED_VALUE"""),"cas_hmw")</f>
        <v>cas_hmw</v>
      </c>
      <c r="B1146" s="5">
        <f>IFERROR(__xludf.DUMMYFUNCTION("""COMPUTED_VALUE"""),44775.0)</f>
        <v>44775</v>
      </c>
      <c r="C1146" s="6">
        <f>IFERROR(__xludf.DUMMYFUNCTION("""COMPUTED_VALUE"""),0.6983333333337214)</f>
        <v>0.6983333333</v>
      </c>
      <c r="D1146" s="4">
        <f>IFERROR(__xludf.DUMMYFUNCTION("""COMPUTED_VALUE"""),12.880812)</f>
        <v>12.880812</v>
      </c>
      <c r="E1146" s="4">
        <f>IFERROR(__xludf.DUMMYFUNCTION("""COMPUTED_VALUE"""),80.080584)</f>
        <v>80.080584</v>
      </c>
      <c r="F1146" s="4">
        <f>IFERROR(__xludf.DUMMYFUNCTION("""COMPUTED_VALUE"""),805.0)</f>
        <v>805</v>
      </c>
      <c r="G1146" s="4">
        <f>IFERROR(__xludf.DUMMYFUNCTION("""COMPUTED_VALUE"""),17.0)</f>
        <v>17</v>
      </c>
      <c r="H1146" s="4"/>
      <c r="I1146" s="4"/>
    </row>
    <row r="1147">
      <c r="A1147" s="4" t="str">
        <f>IFERROR(__xludf.DUMMYFUNCTION("""COMPUTED_VALUE"""),"cas_hmw")</f>
        <v>cas_hmw</v>
      </c>
      <c r="B1147" s="5">
        <f>IFERROR(__xludf.DUMMYFUNCTION("""COMPUTED_VALUE"""),44775.0)</f>
        <v>44775</v>
      </c>
      <c r="C1147" s="6">
        <f>IFERROR(__xludf.DUMMYFUNCTION("""COMPUTED_VALUE"""),0.6984490740724141)</f>
        <v>0.6984490741</v>
      </c>
      <c r="D1147" s="4">
        <f>IFERROR(__xludf.DUMMYFUNCTION("""COMPUTED_VALUE"""),12.881101)</f>
        <v>12.881101</v>
      </c>
      <c r="E1147" s="4">
        <f>IFERROR(__xludf.DUMMYFUNCTION("""COMPUTED_VALUE"""),80.080585)</f>
        <v>80.080585</v>
      </c>
      <c r="F1147" s="4">
        <f>IFERROR(__xludf.DUMMYFUNCTION("""COMPUTED_VALUE"""),805.0)</f>
        <v>805</v>
      </c>
      <c r="G1147" s="4">
        <f>IFERROR(__xludf.DUMMYFUNCTION("""COMPUTED_VALUE"""),10.0)</f>
        <v>10</v>
      </c>
      <c r="H1147" s="4"/>
      <c r="I1147" s="4"/>
    </row>
    <row r="1148">
      <c r="A1148" s="4" t="str">
        <f>IFERROR(__xludf.DUMMYFUNCTION("""COMPUTED_VALUE"""),"cas_hmw")</f>
        <v>cas_hmw</v>
      </c>
      <c r="B1148" s="5">
        <f>IFERROR(__xludf.DUMMYFUNCTION("""COMPUTED_VALUE"""),44775.0)</f>
        <v>44775</v>
      </c>
      <c r="C1148" s="6">
        <f>IFERROR(__xludf.DUMMYFUNCTION("""COMPUTED_VALUE"""),0.6985300925916818)</f>
        <v>0.6985300926</v>
      </c>
      <c r="D1148" s="4">
        <f>IFERROR(__xludf.DUMMYFUNCTION("""COMPUTED_VALUE"""),12.881101)</f>
        <v>12.881101</v>
      </c>
      <c r="E1148" s="4">
        <f>IFERROR(__xludf.DUMMYFUNCTION("""COMPUTED_VALUE"""),80.080585)</f>
        <v>80.080585</v>
      </c>
      <c r="F1148" s="4">
        <f>IFERROR(__xludf.DUMMYFUNCTION("""COMPUTED_VALUE"""),805.0)</f>
        <v>805</v>
      </c>
      <c r="G1148" s="4">
        <f>IFERROR(__xludf.DUMMYFUNCTION("""COMPUTED_VALUE"""),10.0)</f>
        <v>10</v>
      </c>
      <c r="H1148" s="4"/>
      <c r="I1148" s="4"/>
    </row>
    <row r="1149">
      <c r="A1149" s="4" t="str">
        <f>IFERROR(__xludf.DUMMYFUNCTION("""COMPUTED_VALUE"""),"cas_hmw")</f>
        <v>cas_hmw</v>
      </c>
      <c r="B1149" s="5">
        <f>IFERROR(__xludf.DUMMYFUNCTION("""COMPUTED_VALUE"""),44775.0)</f>
        <v>44775</v>
      </c>
      <c r="C1149" s="6">
        <f>IFERROR(__xludf.DUMMYFUNCTION("""COMPUTED_VALUE"""),0.6985879629646661)</f>
        <v>0.698587963</v>
      </c>
      <c r="D1149" s="4">
        <f>IFERROR(__xludf.DUMMYFUNCTION("""COMPUTED_VALUE"""),12.881101)</f>
        <v>12.881101</v>
      </c>
      <c r="E1149" s="4">
        <f>IFERROR(__xludf.DUMMYFUNCTION("""COMPUTED_VALUE"""),80.080585)</f>
        <v>80.080585</v>
      </c>
      <c r="F1149" s="4">
        <f>IFERROR(__xludf.DUMMYFUNCTION("""COMPUTED_VALUE"""),805.0)</f>
        <v>805</v>
      </c>
      <c r="G1149" s="4">
        <f>IFERROR(__xludf.DUMMYFUNCTION("""COMPUTED_VALUE"""),10.0)</f>
        <v>10</v>
      </c>
      <c r="H1149" s="4"/>
      <c r="I1149" s="4"/>
    </row>
    <row r="1150">
      <c r="A1150" s="4" t="str">
        <f>IFERROR(__xludf.DUMMYFUNCTION("""COMPUTED_VALUE"""),"cas_hmw")</f>
        <v>cas_hmw</v>
      </c>
      <c r="B1150" s="5">
        <f>IFERROR(__xludf.DUMMYFUNCTION("""COMPUTED_VALUE"""),44775.0)</f>
        <v>44775</v>
      </c>
      <c r="C1150" s="6">
        <f>IFERROR(__xludf.DUMMYFUNCTION("""COMPUTED_VALUE"""),0.6989699074074451)</f>
        <v>0.6989699074</v>
      </c>
      <c r="D1150" s="4">
        <f>IFERROR(__xludf.DUMMYFUNCTION("""COMPUTED_VALUE"""),12.840838)</f>
        <v>12.840838</v>
      </c>
      <c r="E1150" s="4">
        <f>IFERROR(__xludf.DUMMYFUNCTION("""COMPUTED_VALUE"""),80.056681)</f>
        <v>80.056681</v>
      </c>
      <c r="F1150" s="4">
        <f>IFERROR(__xludf.DUMMYFUNCTION("""COMPUTED_VALUE"""),2846.0)</f>
        <v>2846</v>
      </c>
      <c r="G1150" s="4">
        <f>IFERROR(__xludf.DUMMYFUNCTION("""COMPUTED_VALUE"""),16.0)</f>
        <v>16</v>
      </c>
      <c r="H1150" s="4"/>
      <c r="I1150" s="4"/>
    </row>
    <row r="1151">
      <c r="A1151" s="4" t="str">
        <f>IFERROR(__xludf.DUMMYFUNCTION("""COMPUTED_VALUE"""),"cas_hmw")</f>
        <v>cas_hmw</v>
      </c>
      <c r="B1151" s="5">
        <f>IFERROR(__xludf.DUMMYFUNCTION("""COMPUTED_VALUE"""),44775.0)</f>
        <v>44775</v>
      </c>
      <c r="C1151" s="6">
        <f>IFERROR(__xludf.DUMMYFUNCTION("""COMPUTED_VALUE"""),0.7031481481499213)</f>
        <v>0.7031481481</v>
      </c>
      <c r="D1151" s="4">
        <f>IFERROR(__xludf.DUMMYFUNCTION("""COMPUTED_VALUE"""),12.925568)</f>
        <v>12.925568</v>
      </c>
      <c r="E1151" s="4">
        <f>IFERROR(__xludf.DUMMYFUNCTION("""COMPUTED_VALUE"""),80.10445)</f>
        <v>80.10445</v>
      </c>
      <c r="F1151" s="4">
        <f>IFERROR(__xludf.DUMMYFUNCTION("""COMPUTED_VALUE"""),3143.0)</f>
        <v>3143</v>
      </c>
      <c r="G1151" s="4">
        <f>IFERROR(__xludf.DUMMYFUNCTION("""COMPUTED_VALUE"""),10.0)</f>
        <v>10</v>
      </c>
      <c r="H1151" s="4"/>
      <c r="I1151" s="4"/>
    </row>
    <row r="1152">
      <c r="A1152" s="4" t="str">
        <f>IFERROR(__xludf.DUMMYFUNCTION("""COMPUTED_VALUE"""),"cas_hmw")</f>
        <v>cas_hmw</v>
      </c>
      <c r="B1152" s="5">
        <f>IFERROR(__xludf.DUMMYFUNCTION("""COMPUTED_VALUE"""),44775.0)</f>
        <v>44775</v>
      </c>
      <c r="C1152" s="6">
        <f>IFERROR(__xludf.DUMMYFUNCTION("""COMPUTED_VALUE"""),0.7060995370375167)</f>
        <v>0.706099537</v>
      </c>
      <c r="D1152" s="4">
        <f>IFERROR(__xludf.DUMMYFUNCTION("""COMPUTED_VALUE"""),12.931245)</f>
        <v>12.931245</v>
      </c>
      <c r="E1152" s="4">
        <f>IFERROR(__xludf.DUMMYFUNCTION("""COMPUTED_VALUE"""),80.122316)</f>
        <v>80.122316</v>
      </c>
      <c r="F1152" s="4">
        <f>IFERROR(__xludf.DUMMYFUNCTION("""COMPUTED_VALUE"""),805.0)</f>
        <v>805</v>
      </c>
      <c r="G1152" s="4">
        <f>IFERROR(__xludf.DUMMYFUNCTION("""COMPUTED_VALUE"""),4.0)</f>
        <v>4</v>
      </c>
      <c r="H1152" s="4"/>
      <c r="I1152" s="4"/>
    </row>
    <row r="1153">
      <c r="A1153" s="4" t="str">
        <f>IFERROR(__xludf.DUMMYFUNCTION("""COMPUTED_VALUE"""),"cas_hmw")</f>
        <v>cas_hmw</v>
      </c>
      <c r="B1153" s="5">
        <f>IFERROR(__xludf.DUMMYFUNCTION("""COMPUTED_VALUE"""),44775.0)</f>
        <v>44775</v>
      </c>
      <c r="C1153" s="6">
        <f>IFERROR(__xludf.DUMMYFUNCTION("""COMPUTED_VALUE"""),0.7062037037030677)</f>
        <v>0.7062037037</v>
      </c>
      <c r="D1153" s="4">
        <f>IFERROR(__xludf.DUMMYFUNCTION("""COMPUTED_VALUE"""),12.931245)</f>
        <v>12.931245</v>
      </c>
      <c r="E1153" s="4">
        <f>IFERROR(__xludf.DUMMYFUNCTION("""COMPUTED_VALUE"""),80.122316)</f>
        <v>80.122316</v>
      </c>
      <c r="F1153" s="4">
        <f>IFERROR(__xludf.DUMMYFUNCTION("""COMPUTED_VALUE"""),805.0)</f>
        <v>805</v>
      </c>
      <c r="G1153" s="4">
        <f>IFERROR(__xludf.DUMMYFUNCTION("""COMPUTED_VALUE"""),4.0)</f>
        <v>4</v>
      </c>
      <c r="H1153" s="4"/>
      <c r="I1153" s="4"/>
    </row>
    <row r="1154">
      <c r="A1154" s="4" t="str">
        <f>IFERROR(__xludf.DUMMYFUNCTION("""COMPUTED_VALUE"""),"cas_hmw")</f>
        <v>cas_hmw</v>
      </c>
      <c r="B1154" s="5">
        <f>IFERROR(__xludf.DUMMYFUNCTION("""COMPUTED_VALUE"""),44775.0)</f>
        <v>44775</v>
      </c>
      <c r="C1154" s="6">
        <f>IFERROR(__xludf.DUMMYFUNCTION("""COMPUTED_VALUE"""),0.7063194444453984)</f>
        <v>0.7063194444</v>
      </c>
      <c r="D1154" s="4">
        <f>IFERROR(__xludf.DUMMYFUNCTION("""COMPUTED_VALUE"""),12.93138)</f>
        <v>12.93138</v>
      </c>
      <c r="E1154" s="4">
        <f>IFERROR(__xludf.DUMMYFUNCTION("""COMPUTED_VALUE"""),80.122436)</f>
        <v>80.122436</v>
      </c>
      <c r="F1154" s="4">
        <f>IFERROR(__xludf.DUMMYFUNCTION("""COMPUTED_VALUE"""),805.0)</f>
        <v>805</v>
      </c>
      <c r="G1154" s="4">
        <f>IFERROR(__xludf.DUMMYFUNCTION("""COMPUTED_VALUE"""),19.0)</f>
        <v>19</v>
      </c>
      <c r="H1154" s="4"/>
      <c r="I1154" s="4"/>
    </row>
    <row r="1155">
      <c r="A1155" s="4" t="str">
        <f>IFERROR(__xludf.DUMMYFUNCTION("""COMPUTED_VALUE"""),"cas_hmw")</f>
        <v>cas_hmw</v>
      </c>
      <c r="B1155" s="5">
        <f>IFERROR(__xludf.DUMMYFUNCTION("""COMPUTED_VALUE"""),44775.0)</f>
        <v>44775</v>
      </c>
      <c r="C1155" s="6">
        <f>IFERROR(__xludf.DUMMYFUNCTION("""COMPUTED_VALUE"""),0.7077662037045229)</f>
        <v>0.7077662037</v>
      </c>
      <c r="D1155" s="4">
        <f>IFERROR(__xludf.DUMMYFUNCTION("""COMPUTED_VALUE"""),12.931245)</f>
        <v>12.931245</v>
      </c>
      <c r="E1155" s="4">
        <f>IFERROR(__xludf.DUMMYFUNCTION("""COMPUTED_VALUE"""),80.122303)</f>
        <v>80.122303</v>
      </c>
      <c r="F1155" s="4">
        <f>IFERROR(__xludf.DUMMYFUNCTION("""COMPUTED_VALUE"""),3143.0)</f>
        <v>3143</v>
      </c>
      <c r="G1155" s="4">
        <f>IFERROR(__xludf.DUMMYFUNCTION("""COMPUTED_VALUE"""),10.0)</f>
        <v>10</v>
      </c>
      <c r="H1155" s="4"/>
      <c r="I1155" s="4"/>
    </row>
    <row r="1156">
      <c r="A1156" s="4" t="str">
        <f>IFERROR(__xludf.DUMMYFUNCTION("""COMPUTED_VALUE"""),"cas_hmw")</f>
        <v>cas_hmw</v>
      </c>
      <c r="B1156" s="5">
        <f>IFERROR(__xludf.DUMMYFUNCTION("""COMPUTED_VALUE"""),44775.0)</f>
        <v>44775</v>
      </c>
      <c r="C1156" s="6">
        <f>IFERROR(__xludf.DUMMYFUNCTION("""COMPUTED_VALUE"""),0.7085763888899237)</f>
        <v>0.7085763889</v>
      </c>
      <c r="D1156" s="4">
        <f>IFERROR(__xludf.DUMMYFUNCTION("""COMPUTED_VALUE"""),12.955934)</f>
        <v>12.955934</v>
      </c>
      <c r="E1156" s="4">
        <f>IFERROR(__xludf.DUMMYFUNCTION("""COMPUTED_VALUE"""),80.143038)</f>
        <v>80.143038</v>
      </c>
      <c r="F1156" s="4">
        <f>IFERROR(__xludf.DUMMYFUNCTION("""COMPUTED_VALUE"""),5339.0)</f>
        <v>5339</v>
      </c>
      <c r="G1156" s="4">
        <f>IFERROR(__xludf.DUMMYFUNCTION("""COMPUTED_VALUE"""),11.0)</f>
        <v>11</v>
      </c>
      <c r="H1156" s="4"/>
      <c r="I1156" s="4"/>
    </row>
    <row r="1157">
      <c r="A1157" s="4" t="str">
        <f>IFERROR(__xludf.DUMMYFUNCTION("""COMPUTED_VALUE"""),"cas_hmw")</f>
        <v>cas_hmw</v>
      </c>
      <c r="B1157" s="5">
        <f>IFERROR(__xludf.DUMMYFUNCTION("""COMPUTED_VALUE"""),44775.0)</f>
        <v>44775</v>
      </c>
      <c r="C1157" s="6">
        <f>IFERROR(__xludf.DUMMYFUNCTION("""COMPUTED_VALUE"""),0.7087962962978054)</f>
        <v>0.7087962963</v>
      </c>
      <c r="D1157" s="4">
        <f>IFERROR(__xludf.DUMMYFUNCTION("""COMPUTED_VALUE"""),12.93662)</f>
        <v>12.93662</v>
      </c>
      <c r="E1157" s="4">
        <f>IFERROR(__xludf.DUMMYFUNCTION("""COMPUTED_VALUE"""),80.127437)</f>
        <v>80.127437</v>
      </c>
      <c r="F1157" s="4">
        <f>IFERROR(__xludf.DUMMYFUNCTION("""COMPUTED_VALUE"""),3143.0)</f>
        <v>3143</v>
      </c>
      <c r="G1157" s="4">
        <f>IFERROR(__xludf.DUMMYFUNCTION("""COMPUTED_VALUE"""),20.0)</f>
        <v>20</v>
      </c>
      <c r="H1157" s="4"/>
      <c r="I1157" s="4"/>
    </row>
    <row r="1158">
      <c r="A1158" s="4" t="str">
        <f>IFERROR(__xludf.DUMMYFUNCTION("""COMPUTED_VALUE"""),"cas_hmw")</f>
        <v>cas_hmw</v>
      </c>
      <c r="B1158" s="5">
        <f>IFERROR(__xludf.DUMMYFUNCTION("""COMPUTED_VALUE"""),44775.0)</f>
        <v>44775</v>
      </c>
      <c r="C1158" s="6">
        <f>IFERROR(__xludf.DUMMYFUNCTION("""COMPUTED_VALUE"""),0.7088310185172304)</f>
        <v>0.7088310185</v>
      </c>
      <c r="D1158" s="4">
        <f>IFERROR(__xludf.DUMMYFUNCTION("""COMPUTED_VALUE"""),12.93662)</f>
        <v>12.93662</v>
      </c>
      <c r="E1158" s="4">
        <f>IFERROR(__xludf.DUMMYFUNCTION("""COMPUTED_VALUE"""),80.127437)</f>
        <v>80.127437</v>
      </c>
      <c r="F1158" s="4">
        <f>IFERROR(__xludf.DUMMYFUNCTION("""COMPUTED_VALUE"""),3143.0)</f>
        <v>3143</v>
      </c>
      <c r="G1158" s="4">
        <f>IFERROR(__xludf.DUMMYFUNCTION("""COMPUTED_VALUE"""),20.0)</f>
        <v>20</v>
      </c>
      <c r="H1158" s="4"/>
      <c r="I1158" s="4"/>
    </row>
    <row r="1159">
      <c r="A1159" s="4" t="str">
        <f>IFERROR(__xludf.DUMMYFUNCTION("""COMPUTED_VALUE"""),"cas_hmw")</f>
        <v>cas_hmw</v>
      </c>
      <c r="B1159" s="5">
        <f>IFERROR(__xludf.DUMMYFUNCTION("""COMPUTED_VALUE"""),44775.0)</f>
        <v>44775</v>
      </c>
      <c r="C1159" s="6">
        <f>IFERROR(__xludf.DUMMYFUNCTION("""COMPUTED_VALUE"""),0.7088310185172304)</f>
        <v>0.7088310185</v>
      </c>
      <c r="D1159" s="4">
        <f>IFERROR(__xludf.DUMMYFUNCTION("""COMPUTED_VALUE"""),12.93662)</f>
        <v>12.93662</v>
      </c>
      <c r="E1159" s="4">
        <f>IFERROR(__xludf.DUMMYFUNCTION("""COMPUTED_VALUE"""),80.127437)</f>
        <v>80.127437</v>
      </c>
      <c r="F1159" s="4">
        <f>IFERROR(__xludf.DUMMYFUNCTION("""COMPUTED_VALUE"""),3143.0)</f>
        <v>3143</v>
      </c>
      <c r="G1159" s="4">
        <f>IFERROR(__xludf.DUMMYFUNCTION("""COMPUTED_VALUE"""),20.0)</f>
        <v>20</v>
      </c>
      <c r="H1159" s="4"/>
      <c r="I1159" s="4"/>
    </row>
    <row r="1160">
      <c r="A1160" s="4" t="str">
        <f>IFERROR(__xludf.DUMMYFUNCTION("""COMPUTED_VALUE"""),"cas_hmw")</f>
        <v>cas_hmw</v>
      </c>
      <c r="B1160" s="5">
        <f>IFERROR(__xludf.DUMMYFUNCTION("""COMPUTED_VALUE"""),44775.0)</f>
        <v>44775</v>
      </c>
      <c r="C1160" s="6">
        <f>IFERROR(__xludf.DUMMYFUNCTION("""COMPUTED_VALUE"""),0.7104398148148903)</f>
        <v>0.7104398148</v>
      </c>
      <c r="D1160" s="4">
        <f>IFERROR(__xludf.DUMMYFUNCTION("""COMPUTED_VALUE"""),12.956071)</f>
        <v>12.956071</v>
      </c>
      <c r="E1160" s="4">
        <f>IFERROR(__xludf.DUMMYFUNCTION("""COMPUTED_VALUE"""),80.143019)</f>
        <v>80.143019</v>
      </c>
      <c r="F1160" s="4">
        <f>IFERROR(__xludf.DUMMYFUNCTION("""COMPUTED_VALUE"""),805.0)</f>
        <v>805</v>
      </c>
      <c r="G1160" s="4">
        <f>IFERROR(__xludf.DUMMYFUNCTION("""COMPUTED_VALUE"""),12.0)</f>
        <v>12</v>
      </c>
      <c r="H1160" s="4"/>
      <c r="I1160" s="4"/>
    </row>
    <row r="1161">
      <c r="A1161" s="4" t="str">
        <f>IFERROR(__xludf.DUMMYFUNCTION("""COMPUTED_VALUE"""),"cas_hmw")</f>
        <v>cas_hmw</v>
      </c>
      <c r="B1161" s="5">
        <f>IFERROR(__xludf.DUMMYFUNCTION("""COMPUTED_VALUE"""),44775.0)</f>
        <v>44775</v>
      </c>
      <c r="C1161" s="6">
        <f>IFERROR(__xludf.DUMMYFUNCTION("""COMPUTED_VALUE"""),0.7150000000001455)</f>
        <v>0.715</v>
      </c>
      <c r="D1161" s="4">
        <f>IFERROR(__xludf.DUMMYFUNCTION("""COMPUTED_VALUE"""),12.699645)</f>
        <v>12.699645</v>
      </c>
      <c r="E1161" s="4">
        <f>IFERROR(__xludf.DUMMYFUNCTION("""COMPUTED_VALUE"""),79.968847)</f>
        <v>79.968847</v>
      </c>
      <c r="F1161" s="4">
        <f>IFERROR(__xludf.DUMMYFUNCTION("""COMPUTED_VALUE"""),2846.0)</f>
        <v>2846</v>
      </c>
      <c r="G1161" s="4">
        <f>IFERROR(__xludf.DUMMYFUNCTION("""COMPUTED_VALUE"""),11.0)</f>
        <v>11</v>
      </c>
      <c r="H1161" s="4"/>
      <c r="I1161" s="4"/>
    </row>
    <row r="1162">
      <c r="A1162" s="4" t="str">
        <f>IFERROR(__xludf.DUMMYFUNCTION("""COMPUTED_VALUE"""),"cas_hmw")</f>
        <v>cas_hmw</v>
      </c>
      <c r="B1162" s="5">
        <f>IFERROR(__xludf.DUMMYFUNCTION("""COMPUTED_VALUE"""),44775.0)</f>
        <v>44775</v>
      </c>
      <c r="C1162" s="6">
        <f>IFERROR(__xludf.DUMMYFUNCTION("""COMPUTED_VALUE"""),0.7150810185194132)</f>
        <v>0.7150810185</v>
      </c>
      <c r="D1162" s="4">
        <f>IFERROR(__xludf.DUMMYFUNCTION("""COMPUTED_VALUE"""),12.960919)</f>
        <v>12.960919</v>
      </c>
      <c r="E1162" s="4">
        <f>IFERROR(__xludf.DUMMYFUNCTION("""COMPUTED_VALUE"""),80.145644)</f>
        <v>80.145644</v>
      </c>
      <c r="F1162" s="4">
        <f>IFERROR(__xludf.DUMMYFUNCTION("""COMPUTED_VALUE"""),3143.0)</f>
        <v>3143</v>
      </c>
      <c r="G1162" s="4">
        <f>IFERROR(__xludf.DUMMYFUNCTION("""COMPUTED_VALUE"""),0.0)</f>
        <v>0</v>
      </c>
      <c r="H1162" s="4"/>
      <c r="I1162" s="4"/>
    </row>
    <row r="1163">
      <c r="A1163" s="4" t="str">
        <f>IFERROR(__xludf.DUMMYFUNCTION("""COMPUTED_VALUE"""),"cas_hmw")</f>
        <v>cas_hmw</v>
      </c>
      <c r="B1163" s="5">
        <f>IFERROR(__xludf.DUMMYFUNCTION("""COMPUTED_VALUE"""),44775.0)</f>
        <v>44775</v>
      </c>
      <c r="C1163" s="6">
        <f>IFERROR(__xludf.DUMMYFUNCTION("""COMPUTED_VALUE"""),0.7160069444435067)</f>
        <v>0.7160069444</v>
      </c>
      <c r="D1163" s="4">
        <f>IFERROR(__xludf.DUMMYFUNCTION("""COMPUTED_VALUE"""),12.986376)</f>
        <v>12.986376</v>
      </c>
      <c r="E1163" s="4">
        <f>IFERROR(__xludf.DUMMYFUNCTION("""COMPUTED_VALUE"""),80.174565)</f>
        <v>80.174565</v>
      </c>
      <c r="F1163" s="4">
        <f>IFERROR(__xludf.DUMMYFUNCTION("""COMPUTED_VALUE"""),805.0)</f>
        <v>805</v>
      </c>
      <c r="G1163" s="4">
        <f>IFERROR(__xludf.DUMMYFUNCTION("""COMPUTED_VALUE"""),18.0)</f>
        <v>18</v>
      </c>
      <c r="H1163" s="4"/>
      <c r="I1163" s="4"/>
    </row>
    <row r="1164">
      <c r="A1164" s="4" t="str">
        <f>IFERROR(__xludf.DUMMYFUNCTION("""COMPUTED_VALUE"""),"cas_hmw")</f>
        <v>cas_hmw</v>
      </c>
      <c r="B1164" s="5">
        <f>IFERROR(__xludf.DUMMYFUNCTION("""COMPUTED_VALUE"""),44775.0)</f>
        <v>44775</v>
      </c>
      <c r="C1164" s="6">
        <f>IFERROR(__xludf.DUMMYFUNCTION("""COMPUTED_VALUE"""),0.7167476851864194)</f>
        <v>0.7167476852</v>
      </c>
      <c r="D1164" s="4">
        <f>IFERROR(__xludf.DUMMYFUNCTION("""COMPUTED_VALUE"""),12.989179)</f>
        <v>12.989179</v>
      </c>
      <c r="E1164" s="4">
        <f>IFERROR(__xludf.DUMMYFUNCTION("""COMPUTED_VALUE"""),80.178362)</f>
        <v>80.178362</v>
      </c>
      <c r="F1164" s="4">
        <f>IFERROR(__xludf.DUMMYFUNCTION("""COMPUTED_VALUE"""),805.0)</f>
        <v>805</v>
      </c>
      <c r="G1164" s="4">
        <f>IFERROR(__xludf.DUMMYFUNCTION("""COMPUTED_VALUE"""),5.0)</f>
        <v>5</v>
      </c>
      <c r="H1164" s="4"/>
      <c r="I1164" s="4"/>
    </row>
    <row r="1165">
      <c r="A1165" s="4" t="str">
        <f>IFERROR(__xludf.DUMMYFUNCTION("""COMPUTED_VALUE"""),"cas_hmw")</f>
        <v>cas_hmw</v>
      </c>
      <c r="B1165" s="5">
        <f>IFERROR(__xludf.DUMMYFUNCTION("""COMPUTED_VALUE"""),44775.0)</f>
        <v>44775</v>
      </c>
      <c r="C1165" s="6">
        <f>IFERROR(__xludf.DUMMYFUNCTION("""COMPUTED_VALUE"""),0.7179861111108039)</f>
        <v>0.7179861111</v>
      </c>
      <c r="D1165" s="4">
        <f>IFERROR(__xludf.DUMMYFUNCTION("""COMPUTED_VALUE"""),12.993653)</f>
        <v>12.993653</v>
      </c>
      <c r="E1165" s="4">
        <f>IFERROR(__xludf.DUMMYFUNCTION("""COMPUTED_VALUE"""),80.18484)</f>
        <v>80.18484</v>
      </c>
      <c r="F1165" s="4">
        <f>IFERROR(__xludf.DUMMYFUNCTION("""COMPUTED_VALUE"""),805.0)</f>
        <v>805</v>
      </c>
      <c r="G1165" s="4">
        <f>IFERROR(__xludf.DUMMYFUNCTION("""COMPUTED_VALUE"""),0.0)</f>
        <v>0</v>
      </c>
      <c r="H1165" s="4"/>
      <c r="I1165" s="4"/>
    </row>
    <row r="1166">
      <c r="A1166" s="4" t="str">
        <f>IFERROR(__xludf.DUMMYFUNCTION("""COMPUTED_VALUE"""),"cas_hmw")</f>
        <v>cas_hmw</v>
      </c>
      <c r="B1166" s="5">
        <f>IFERROR(__xludf.DUMMYFUNCTION("""COMPUTED_VALUE"""),44775.0)</f>
        <v>44775</v>
      </c>
      <c r="C1166" s="6">
        <f>IFERROR(__xludf.DUMMYFUNCTION("""COMPUTED_VALUE"""),0.718680555553874)</f>
        <v>0.7186805556</v>
      </c>
      <c r="D1166" s="4">
        <f>IFERROR(__xludf.DUMMYFUNCTION("""COMPUTED_VALUE"""),12.995836)</f>
        <v>12.995836</v>
      </c>
      <c r="E1166" s="4">
        <f>IFERROR(__xludf.DUMMYFUNCTION("""COMPUTED_VALUE"""),80.188995)</f>
        <v>80.188995</v>
      </c>
      <c r="F1166" s="4">
        <f>IFERROR(__xludf.DUMMYFUNCTION("""COMPUTED_VALUE"""),805.0)</f>
        <v>805</v>
      </c>
      <c r="G1166" s="4">
        <f>IFERROR(__xludf.DUMMYFUNCTION("""COMPUTED_VALUE"""),0.0)</f>
        <v>0</v>
      </c>
      <c r="H1166" s="4"/>
      <c r="I1166" s="4"/>
    </row>
    <row r="1167">
      <c r="A1167" s="4" t="str">
        <f>IFERROR(__xludf.DUMMYFUNCTION("""COMPUTED_VALUE"""),"cas_hmw")</f>
        <v>cas_hmw</v>
      </c>
      <c r="B1167" s="5">
        <f>IFERROR(__xludf.DUMMYFUNCTION("""COMPUTED_VALUE"""),44775.0)</f>
        <v>44775</v>
      </c>
      <c r="C1167" s="6">
        <f>IFERROR(__xludf.DUMMYFUNCTION("""COMPUTED_VALUE"""),0.7187615740731417)</f>
        <v>0.7187615741</v>
      </c>
      <c r="D1167" s="4">
        <f>IFERROR(__xludf.DUMMYFUNCTION("""COMPUTED_VALUE"""),12.995836)</f>
        <v>12.995836</v>
      </c>
      <c r="E1167" s="4">
        <f>IFERROR(__xludf.DUMMYFUNCTION("""COMPUTED_VALUE"""),80.188995)</f>
        <v>80.188995</v>
      </c>
      <c r="F1167" s="4">
        <f>IFERROR(__xludf.DUMMYFUNCTION("""COMPUTED_VALUE"""),805.0)</f>
        <v>805</v>
      </c>
      <c r="G1167" s="4">
        <f>IFERROR(__xludf.DUMMYFUNCTION("""COMPUTED_VALUE"""),0.0)</f>
        <v>0</v>
      </c>
      <c r="H1167" s="4"/>
      <c r="I1167" s="4"/>
    </row>
    <row r="1168">
      <c r="A1168" s="4" t="str">
        <f>IFERROR(__xludf.DUMMYFUNCTION("""COMPUTED_VALUE"""),"cas_hmw")</f>
        <v>cas_hmw</v>
      </c>
      <c r="B1168" s="5">
        <f>IFERROR(__xludf.DUMMYFUNCTION("""COMPUTED_VALUE"""),44775.0)</f>
        <v>44775</v>
      </c>
      <c r="C1168" s="6">
        <f>IFERROR(__xludf.DUMMYFUNCTION("""COMPUTED_VALUE"""),0.7188078703693463)</f>
        <v>0.7188078704</v>
      </c>
      <c r="D1168" s="4">
        <f>IFERROR(__xludf.DUMMYFUNCTION("""COMPUTED_VALUE"""),12.995836)</f>
        <v>12.995836</v>
      </c>
      <c r="E1168" s="4">
        <f>IFERROR(__xludf.DUMMYFUNCTION("""COMPUTED_VALUE"""),80.188995)</f>
        <v>80.188995</v>
      </c>
      <c r="F1168" s="4">
        <f>IFERROR(__xludf.DUMMYFUNCTION("""COMPUTED_VALUE"""),805.0)</f>
        <v>805</v>
      </c>
      <c r="G1168" s="4">
        <f>IFERROR(__xludf.DUMMYFUNCTION("""COMPUTED_VALUE"""),0.0)</f>
        <v>0</v>
      </c>
      <c r="H1168" s="4"/>
      <c r="I1168" s="4"/>
    </row>
    <row r="1169">
      <c r="A1169" s="4" t="str">
        <f>IFERROR(__xludf.DUMMYFUNCTION("""COMPUTED_VALUE"""),"cas_hmw")</f>
        <v>cas_hmw</v>
      </c>
      <c r="B1169" s="5">
        <f>IFERROR(__xludf.DUMMYFUNCTION("""COMPUTED_VALUE"""),44775.0)</f>
        <v>44775</v>
      </c>
      <c r="C1169" s="6">
        <f>IFERROR(__xludf.DUMMYFUNCTION("""COMPUTED_VALUE"""),0.718854166665551)</f>
        <v>0.7188541667</v>
      </c>
      <c r="D1169" s="4">
        <f>IFERROR(__xludf.DUMMYFUNCTION("""COMPUTED_VALUE"""),12.995836)</f>
        <v>12.995836</v>
      </c>
      <c r="E1169" s="4">
        <f>IFERROR(__xludf.DUMMYFUNCTION("""COMPUTED_VALUE"""),80.188995)</f>
        <v>80.188995</v>
      </c>
      <c r="F1169" s="4">
        <f>IFERROR(__xludf.DUMMYFUNCTION("""COMPUTED_VALUE"""),805.0)</f>
        <v>805</v>
      </c>
      <c r="G1169" s="4">
        <f>IFERROR(__xludf.DUMMYFUNCTION("""COMPUTED_VALUE"""),0.0)</f>
        <v>0</v>
      </c>
      <c r="H1169" s="4"/>
      <c r="I1169" s="4"/>
    </row>
    <row r="1170">
      <c r="A1170" s="4" t="str">
        <f>IFERROR(__xludf.DUMMYFUNCTION("""COMPUTED_VALUE"""),"cas_hmw")</f>
        <v>cas_hmw</v>
      </c>
      <c r="B1170" s="5">
        <f>IFERROR(__xludf.DUMMYFUNCTION("""COMPUTED_VALUE"""),44775.0)</f>
        <v>44775</v>
      </c>
      <c r="C1170" s="6">
        <f>IFERROR(__xludf.DUMMYFUNCTION("""COMPUTED_VALUE"""),0.7198958333319752)</f>
        <v>0.7198958333</v>
      </c>
      <c r="D1170" s="4">
        <f>IFERROR(__xludf.DUMMYFUNCTION("""COMPUTED_VALUE"""),13.001172)</f>
        <v>13.001172</v>
      </c>
      <c r="E1170" s="4">
        <f>IFERROR(__xludf.DUMMYFUNCTION("""COMPUTED_VALUE"""),80.195501)</f>
        <v>80.195501</v>
      </c>
      <c r="F1170" s="4">
        <f>IFERROR(__xludf.DUMMYFUNCTION("""COMPUTED_VALUE"""),805.0)</f>
        <v>805</v>
      </c>
      <c r="G1170" s="4">
        <f>IFERROR(__xludf.DUMMYFUNCTION("""COMPUTED_VALUE"""),0.0)</f>
        <v>0</v>
      </c>
      <c r="H1170" s="4"/>
      <c r="I1170" s="4"/>
    </row>
    <row r="1171">
      <c r="A1171" s="4" t="str">
        <f>IFERROR(__xludf.DUMMYFUNCTION("""COMPUTED_VALUE"""),"cas_hmw")</f>
        <v>cas_hmw</v>
      </c>
      <c r="B1171" s="5">
        <f>IFERROR(__xludf.DUMMYFUNCTION("""COMPUTED_VALUE"""),44775.0)</f>
        <v>44775</v>
      </c>
      <c r="C1171" s="6">
        <f>IFERROR(__xludf.DUMMYFUNCTION("""COMPUTED_VALUE"""),0.7200694444436522)</f>
        <v>0.7200694444</v>
      </c>
      <c r="D1171" s="4">
        <f>IFERROR(__xludf.DUMMYFUNCTION("""COMPUTED_VALUE"""),13.001213)</f>
        <v>13.001213</v>
      </c>
      <c r="E1171" s="4">
        <f>IFERROR(__xludf.DUMMYFUNCTION("""COMPUTED_VALUE"""),80.195572)</f>
        <v>80.195572</v>
      </c>
      <c r="F1171" s="4">
        <f>IFERROR(__xludf.DUMMYFUNCTION("""COMPUTED_VALUE"""),805.0)</f>
        <v>805</v>
      </c>
      <c r="G1171" s="4">
        <f>IFERROR(__xludf.DUMMYFUNCTION("""COMPUTED_VALUE"""),6.0)</f>
        <v>6</v>
      </c>
      <c r="H1171" s="4"/>
      <c r="I1171" s="4"/>
    </row>
    <row r="1172">
      <c r="A1172" s="4" t="str">
        <f>IFERROR(__xludf.DUMMYFUNCTION("""COMPUTED_VALUE"""),"cas_hmw")</f>
        <v>cas_hmw</v>
      </c>
      <c r="B1172" s="5">
        <f>IFERROR(__xludf.DUMMYFUNCTION("""COMPUTED_VALUE"""),44775.0)</f>
        <v>44775</v>
      </c>
      <c r="C1172" s="6">
        <f>IFERROR(__xludf.DUMMYFUNCTION("""COMPUTED_VALUE"""),0.7243518518516794)</f>
        <v>0.7243518519</v>
      </c>
      <c r="D1172" s="4">
        <f>IFERROR(__xludf.DUMMYFUNCTION("""COMPUTED_VALUE"""),13.015408)</f>
        <v>13.015408</v>
      </c>
      <c r="E1172" s="4">
        <f>IFERROR(__xludf.DUMMYFUNCTION("""COMPUTED_VALUE"""),80.225136)</f>
        <v>80.225136</v>
      </c>
      <c r="F1172" s="4">
        <f>IFERROR(__xludf.DUMMYFUNCTION("""COMPUTED_VALUE"""),805.0)</f>
        <v>805</v>
      </c>
      <c r="G1172" s="4">
        <f>IFERROR(__xludf.DUMMYFUNCTION("""COMPUTED_VALUE"""),14.0)</f>
        <v>14</v>
      </c>
      <c r="H1172" s="4"/>
      <c r="I1172" s="4"/>
    </row>
    <row r="1173">
      <c r="A1173" s="4" t="str">
        <f>IFERROR(__xludf.DUMMYFUNCTION("""COMPUTED_VALUE"""),"cas_hmw")</f>
        <v>cas_hmw</v>
      </c>
      <c r="B1173" s="5">
        <f>IFERROR(__xludf.DUMMYFUNCTION("""COMPUTED_VALUE"""),44775.0)</f>
        <v>44775</v>
      </c>
      <c r="C1173" s="6">
        <f>IFERROR(__xludf.DUMMYFUNCTION("""COMPUTED_VALUE"""),0.7303703703692008)</f>
        <v>0.7303703704</v>
      </c>
      <c r="D1173" s="4">
        <f>IFERROR(__xludf.DUMMYFUNCTION("""COMPUTED_VALUE"""),13.006816)</f>
        <v>13.006816</v>
      </c>
      <c r="E1173" s="4">
        <f>IFERROR(__xludf.DUMMYFUNCTION("""COMPUTED_VALUE"""),80.251628)</f>
        <v>80.251628</v>
      </c>
      <c r="F1173" s="4">
        <f>IFERROR(__xludf.DUMMYFUNCTION("""COMPUTED_VALUE"""),805.0)</f>
        <v>805</v>
      </c>
      <c r="G1173" s="4">
        <f>IFERROR(__xludf.DUMMYFUNCTION("""COMPUTED_VALUE"""),17.0)</f>
        <v>17</v>
      </c>
      <c r="H1173" s="4"/>
      <c r="I1173" s="4"/>
    </row>
    <row r="1174">
      <c r="A1174" s="4" t="str">
        <f>IFERROR(__xludf.DUMMYFUNCTION("""COMPUTED_VALUE"""),"cas_hmw")</f>
        <v>cas_hmw</v>
      </c>
      <c r="B1174" s="5">
        <f>IFERROR(__xludf.DUMMYFUNCTION("""COMPUTED_VALUE"""),44775.0)</f>
        <v>44775</v>
      </c>
      <c r="C1174" s="6">
        <f>IFERROR(__xludf.DUMMYFUNCTION("""COMPUTED_VALUE"""),0.731932870370656)</f>
        <v>0.7319328704</v>
      </c>
      <c r="D1174" s="4">
        <f>IFERROR(__xludf.DUMMYFUNCTION("""COMPUTED_VALUE"""),13.007581)</f>
        <v>13.007581</v>
      </c>
      <c r="E1174" s="4">
        <f>IFERROR(__xludf.DUMMYFUNCTION("""COMPUTED_VALUE"""),80.258696)</f>
        <v>80.258696</v>
      </c>
      <c r="F1174" s="4">
        <f>IFERROR(__xludf.DUMMYFUNCTION("""COMPUTED_VALUE"""),805.0)</f>
        <v>805</v>
      </c>
      <c r="G1174" s="4">
        <f>IFERROR(__xludf.DUMMYFUNCTION("""COMPUTED_VALUE"""),0.0)</f>
        <v>0</v>
      </c>
      <c r="H1174" s="4"/>
      <c r="I1174" s="4"/>
    </row>
    <row r="1175">
      <c r="A1175" s="4" t="str">
        <f>IFERROR(__xludf.DUMMYFUNCTION("""COMPUTED_VALUE"""),"cas_hmw")</f>
        <v>cas_hmw</v>
      </c>
      <c r="B1175" s="5">
        <f>IFERROR(__xludf.DUMMYFUNCTION("""COMPUTED_VALUE"""),44775.0)</f>
        <v>44775</v>
      </c>
      <c r="C1175" s="6">
        <f>IFERROR(__xludf.DUMMYFUNCTION("""COMPUTED_VALUE"""),0.732037037036207)</f>
        <v>0.732037037</v>
      </c>
      <c r="D1175" s="4">
        <f>IFERROR(__xludf.DUMMYFUNCTION("""COMPUTED_VALUE"""),13.007732)</f>
        <v>13.007732</v>
      </c>
      <c r="E1175" s="4">
        <f>IFERROR(__xludf.DUMMYFUNCTION("""COMPUTED_VALUE"""),80.258789)</f>
        <v>80.258789</v>
      </c>
      <c r="F1175" s="4">
        <f>IFERROR(__xludf.DUMMYFUNCTION("""COMPUTED_VALUE"""),805.0)</f>
        <v>805</v>
      </c>
      <c r="G1175" s="4">
        <f>IFERROR(__xludf.DUMMYFUNCTION("""COMPUTED_VALUE"""),17.0)</f>
        <v>17</v>
      </c>
      <c r="H1175" s="4"/>
      <c r="I1175" s="4"/>
    </row>
    <row r="1176">
      <c r="A1176" s="4" t="str">
        <f>IFERROR(__xludf.DUMMYFUNCTION("""COMPUTED_VALUE"""),"cas_hmw")</f>
        <v>cas_hmw</v>
      </c>
      <c r="B1176" s="5">
        <f>IFERROR(__xludf.DUMMYFUNCTION("""COMPUTED_VALUE"""),44775.0)</f>
        <v>44775</v>
      </c>
      <c r="C1176" s="6">
        <f>IFERROR(__xludf.DUMMYFUNCTION("""COMPUTED_VALUE"""),0.7385069444426335)</f>
        <v>0.7385069444</v>
      </c>
      <c r="D1176" s="4">
        <f>IFERROR(__xludf.DUMMYFUNCTION("""COMPUTED_VALUE"""),13.029533)</f>
        <v>13.029533</v>
      </c>
      <c r="E1176" s="4">
        <f>IFERROR(__xludf.DUMMYFUNCTION("""COMPUTED_VALUE"""),80.266559)</f>
        <v>80.266559</v>
      </c>
      <c r="F1176" s="4">
        <f>IFERROR(__xludf.DUMMYFUNCTION("""COMPUTED_VALUE"""),805.0)</f>
        <v>805</v>
      </c>
      <c r="G1176" s="4">
        <f>IFERROR(__xludf.DUMMYFUNCTION("""COMPUTED_VALUE"""),20.0)</f>
        <v>20</v>
      </c>
      <c r="H1176" s="4"/>
      <c r="I1176" s="4"/>
    </row>
    <row r="1177">
      <c r="A1177" s="4" t="str">
        <f>IFERROR(__xludf.DUMMYFUNCTION("""COMPUTED_VALUE"""),"cas_hmw")</f>
        <v>cas_hmw</v>
      </c>
      <c r="B1177" s="5">
        <f>IFERROR(__xludf.DUMMYFUNCTION("""COMPUTED_VALUE"""),44775.0)</f>
        <v>44775</v>
      </c>
      <c r="C1177" s="6">
        <f>IFERROR(__xludf.DUMMYFUNCTION("""COMPUTED_VALUE"""),0.7420601851845277)</f>
        <v>0.7420601852</v>
      </c>
      <c r="D1177" s="4">
        <f>IFERROR(__xludf.DUMMYFUNCTION("""COMPUTED_VALUE"""),13.036681)</f>
        <v>13.036681</v>
      </c>
      <c r="E1177" s="4">
        <f>IFERROR(__xludf.DUMMYFUNCTION("""COMPUTED_VALUE"""),80.267572)</f>
        <v>80.267572</v>
      </c>
      <c r="F1177" s="4">
        <f>IFERROR(__xludf.DUMMYFUNCTION("""COMPUTED_VALUE"""),805.0)</f>
        <v>805</v>
      </c>
      <c r="G1177" s="4">
        <f>IFERROR(__xludf.DUMMYFUNCTION("""COMPUTED_VALUE"""),9.0)</f>
        <v>9</v>
      </c>
      <c r="H1177" s="4"/>
      <c r="I1177" s="4"/>
    </row>
    <row r="1178">
      <c r="A1178" s="4" t="str">
        <f>IFERROR(__xludf.DUMMYFUNCTION("""COMPUTED_VALUE"""),"cas_hmw")</f>
        <v>cas_hmw</v>
      </c>
      <c r="B1178" s="5">
        <f>IFERROR(__xludf.DUMMYFUNCTION("""COMPUTED_VALUE"""),44775.0)</f>
        <v>44775</v>
      </c>
      <c r="C1178" s="6">
        <f>IFERROR(__xludf.DUMMYFUNCTION("""COMPUTED_VALUE"""),0.7420717592576693)</f>
        <v>0.7420717593</v>
      </c>
      <c r="D1178" s="4">
        <f>IFERROR(__xludf.DUMMYFUNCTION("""COMPUTED_VALUE"""),13.036681)</f>
        <v>13.036681</v>
      </c>
      <c r="E1178" s="4">
        <f>IFERROR(__xludf.DUMMYFUNCTION("""COMPUTED_VALUE"""),80.267572)</f>
        <v>80.267572</v>
      </c>
      <c r="F1178" s="4">
        <f>IFERROR(__xludf.DUMMYFUNCTION("""COMPUTED_VALUE"""),805.0)</f>
        <v>805</v>
      </c>
      <c r="G1178" s="4">
        <f>IFERROR(__xludf.DUMMYFUNCTION("""COMPUTED_VALUE"""),9.0)</f>
        <v>9</v>
      </c>
      <c r="H1178" s="4"/>
      <c r="I1178" s="4"/>
    </row>
    <row r="1179">
      <c r="A1179" s="4" t="str">
        <f>IFERROR(__xludf.DUMMYFUNCTION("""COMPUTED_VALUE"""),"cas_hmw")</f>
        <v>cas_hmw</v>
      </c>
      <c r="B1179" s="5">
        <f>IFERROR(__xludf.DUMMYFUNCTION("""COMPUTED_VALUE"""),44775.0)</f>
        <v>44775</v>
      </c>
      <c r="C1179" s="6">
        <f>IFERROR(__xludf.DUMMYFUNCTION("""COMPUTED_VALUE"""),0.7420717592576693)</f>
        <v>0.7420717593</v>
      </c>
      <c r="D1179" s="4">
        <f>IFERROR(__xludf.DUMMYFUNCTION("""COMPUTED_VALUE"""),13.036681)</f>
        <v>13.036681</v>
      </c>
      <c r="E1179" s="4">
        <f>IFERROR(__xludf.DUMMYFUNCTION("""COMPUTED_VALUE"""),80.267572)</f>
        <v>80.267572</v>
      </c>
      <c r="F1179" s="4">
        <f>IFERROR(__xludf.DUMMYFUNCTION("""COMPUTED_VALUE"""),805.0)</f>
        <v>805</v>
      </c>
      <c r="G1179" s="4">
        <f>IFERROR(__xludf.DUMMYFUNCTION("""COMPUTED_VALUE"""),9.0)</f>
        <v>9</v>
      </c>
      <c r="H1179" s="4"/>
      <c r="I1179" s="4"/>
    </row>
    <row r="1180">
      <c r="A1180" s="4" t="str">
        <f>IFERROR(__xludf.DUMMYFUNCTION("""COMPUTED_VALUE"""),"cas_hmw")</f>
        <v>cas_hmw</v>
      </c>
      <c r="B1180" s="5">
        <f>IFERROR(__xludf.DUMMYFUNCTION("""COMPUTED_VALUE"""),44775.0)</f>
        <v>44775</v>
      </c>
      <c r="C1180" s="6">
        <f>IFERROR(__xludf.DUMMYFUNCTION("""COMPUTED_VALUE"""),0.7452546296299261)</f>
        <v>0.7452546296</v>
      </c>
      <c r="D1180" s="4">
        <f>IFERROR(__xludf.DUMMYFUNCTION("""COMPUTED_VALUE"""),13.006802)</f>
        <v>13.006802</v>
      </c>
      <c r="E1180" s="4">
        <f>IFERROR(__xludf.DUMMYFUNCTION("""COMPUTED_VALUE"""),80.100461)</f>
        <v>80.100461</v>
      </c>
      <c r="F1180" s="4">
        <f>IFERROR(__xludf.DUMMYFUNCTION("""COMPUTED_VALUE"""),3143.0)</f>
        <v>3143</v>
      </c>
      <c r="G1180" s="4">
        <f>IFERROR(__xludf.DUMMYFUNCTION("""COMPUTED_VALUE"""),12.0)</f>
        <v>12</v>
      </c>
      <c r="H1180" s="4"/>
      <c r="I1180" s="4"/>
    </row>
    <row r="1181">
      <c r="A1181" s="4" t="str">
        <f>IFERROR(__xludf.DUMMYFUNCTION("""COMPUTED_VALUE"""),"cas_hmw")</f>
        <v>cas_hmw</v>
      </c>
      <c r="B1181" s="5">
        <f>IFERROR(__xludf.DUMMYFUNCTION("""COMPUTED_VALUE"""),44775.0)</f>
        <v>44775</v>
      </c>
      <c r="C1181" s="6">
        <f>IFERROR(__xludf.DUMMYFUNCTION("""COMPUTED_VALUE"""),0.7481481481481751)</f>
        <v>0.7481481481</v>
      </c>
      <c r="D1181" s="4">
        <f>IFERROR(__xludf.DUMMYFUNCTION("""COMPUTED_VALUE"""),13.022402)</f>
        <v>13.022402</v>
      </c>
      <c r="E1181" s="4">
        <f>IFERROR(__xludf.DUMMYFUNCTION("""COMPUTED_VALUE"""),80.106718)</f>
        <v>80.106718</v>
      </c>
      <c r="F1181" s="4">
        <f>IFERROR(__xludf.DUMMYFUNCTION("""COMPUTED_VALUE"""),3143.0)</f>
        <v>3143</v>
      </c>
      <c r="G1181" s="4">
        <f>IFERROR(__xludf.DUMMYFUNCTION("""COMPUTED_VALUE"""),15.0)</f>
        <v>15</v>
      </c>
      <c r="H1181" s="4"/>
      <c r="I1181" s="4"/>
    </row>
    <row r="1182">
      <c r="A1182" s="4" t="str">
        <f>IFERROR(__xludf.DUMMYFUNCTION("""COMPUTED_VALUE"""),"cas_hmw")</f>
        <v>cas_hmw</v>
      </c>
      <c r="B1182" s="5">
        <f>IFERROR(__xludf.DUMMYFUNCTION("""COMPUTED_VALUE"""),44775.0)</f>
        <v>44775</v>
      </c>
      <c r="C1182" s="6">
        <f>IFERROR(__xludf.DUMMYFUNCTION("""COMPUTED_VALUE"""),0.7496296296303626)</f>
        <v>0.7496296296</v>
      </c>
      <c r="D1182" s="4">
        <f>IFERROR(__xludf.DUMMYFUNCTION("""COMPUTED_VALUE"""),13.059791)</f>
        <v>13.059791</v>
      </c>
      <c r="E1182" s="4">
        <f>IFERROR(__xludf.DUMMYFUNCTION("""COMPUTED_VALUE"""),80.265487)</f>
        <v>80.265487</v>
      </c>
      <c r="F1182" s="4">
        <f>IFERROR(__xludf.DUMMYFUNCTION("""COMPUTED_VALUE"""),805.0)</f>
        <v>805</v>
      </c>
      <c r="G1182" s="4">
        <f>IFERROR(__xludf.DUMMYFUNCTION("""COMPUTED_VALUE"""),16.0)</f>
        <v>16</v>
      </c>
      <c r="H1182" s="4"/>
      <c r="I1182" s="4"/>
    </row>
    <row r="1183">
      <c r="A1183" s="4" t="str">
        <f>IFERROR(__xludf.DUMMYFUNCTION("""COMPUTED_VALUE"""),"cas_hmw")</f>
        <v>cas_hmw</v>
      </c>
      <c r="B1183" s="5">
        <f>IFERROR(__xludf.DUMMYFUNCTION("""COMPUTED_VALUE"""),44775.0)</f>
        <v>44775</v>
      </c>
      <c r="C1183" s="6">
        <f>IFERROR(__xludf.DUMMYFUNCTION("""COMPUTED_VALUE"""),0.7496296296303626)</f>
        <v>0.7496296296</v>
      </c>
      <c r="D1183" s="4">
        <f>IFERROR(__xludf.DUMMYFUNCTION("""COMPUTED_VALUE"""),13.059791)</f>
        <v>13.059791</v>
      </c>
      <c r="E1183" s="4">
        <f>IFERROR(__xludf.DUMMYFUNCTION("""COMPUTED_VALUE"""),80.265487)</f>
        <v>80.265487</v>
      </c>
      <c r="F1183" s="4">
        <f>IFERROR(__xludf.DUMMYFUNCTION("""COMPUTED_VALUE"""),805.0)</f>
        <v>805</v>
      </c>
      <c r="G1183" s="4">
        <f>IFERROR(__xludf.DUMMYFUNCTION("""COMPUTED_VALUE"""),16.0)</f>
        <v>16</v>
      </c>
      <c r="H1183" s="4"/>
      <c r="I1183" s="4"/>
    </row>
    <row r="1184">
      <c r="A1184" s="4" t="str">
        <f>IFERROR(__xludf.DUMMYFUNCTION("""COMPUTED_VALUE"""),"cas_hmw")</f>
        <v>cas_hmw</v>
      </c>
      <c r="B1184" s="5">
        <f>IFERROR(__xludf.DUMMYFUNCTION("""COMPUTED_VALUE"""),44775.0)</f>
        <v>44775</v>
      </c>
      <c r="C1184" s="6">
        <f>IFERROR(__xludf.DUMMYFUNCTION("""COMPUTED_VALUE"""),0.76541666666526)</f>
        <v>0.7654166667</v>
      </c>
      <c r="D1184" s="4">
        <f>IFERROR(__xludf.DUMMYFUNCTION("""COMPUTED_VALUE"""),13.066792)</f>
        <v>13.066792</v>
      </c>
      <c r="E1184" s="4">
        <f>IFERROR(__xludf.DUMMYFUNCTION("""COMPUTED_VALUE"""),80.254196)</f>
        <v>80.254196</v>
      </c>
      <c r="F1184" s="4">
        <f>IFERROR(__xludf.DUMMYFUNCTION("""COMPUTED_VALUE"""),805.0)</f>
        <v>805</v>
      </c>
      <c r="G1184" s="4">
        <f>IFERROR(__xludf.DUMMYFUNCTION("""COMPUTED_VALUE"""),0.0)</f>
        <v>0</v>
      </c>
      <c r="H1184" s="4"/>
      <c r="I1184" s="4"/>
    </row>
    <row r="1185">
      <c r="A1185" s="4" t="str">
        <f>IFERROR(__xludf.DUMMYFUNCTION("""COMPUTED_VALUE"""),"cas_hmw")</f>
        <v>cas_hmw</v>
      </c>
      <c r="B1185" s="5">
        <f>IFERROR(__xludf.DUMMYFUNCTION("""COMPUTED_VALUE"""),44775.0)</f>
        <v>44775</v>
      </c>
      <c r="C1185" s="6">
        <f>IFERROR(__xludf.DUMMYFUNCTION("""COMPUTED_VALUE"""),0.7654282407420396)</f>
        <v>0.7654282407</v>
      </c>
      <c r="D1185" s="4">
        <f>IFERROR(__xludf.DUMMYFUNCTION("""COMPUTED_VALUE"""),13.066792)</f>
        <v>13.066792</v>
      </c>
      <c r="E1185" s="4">
        <f>IFERROR(__xludf.DUMMYFUNCTION("""COMPUTED_VALUE"""),80.254196)</f>
        <v>80.254196</v>
      </c>
      <c r="F1185" s="4">
        <f>IFERROR(__xludf.DUMMYFUNCTION("""COMPUTED_VALUE"""),805.0)</f>
        <v>805</v>
      </c>
      <c r="G1185" s="4">
        <f>IFERROR(__xludf.DUMMYFUNCTION("""COMPUTED_VALUE"""),0.0)</f>
        <v>0</v>
      </c>
      <c r="H1185" s="4"/>
      <c r="I1185" s="4"/>
    </row>
    <row r="1186">
      <c r="A1186" s="4" t="str">
        <f>IFERROR(__xludf.DUMMYFUNCTION("""COMPUTED_VALUE"""),"cas_hmw")</f>
        <v>cas_hmw</v>
      </c>
      <c r="B1186" s="5">
        <f>IFERROR(__xludf.DUMMYFUNCTION("""COMPUTED_VALUE"""),44775.0)</f>
        <v>44775</v>
      </c>
      <c r="C1186" s="6">
        <f>IFERROR(__xludf.DUMMYFUNCTION("""COMPUTED_VALUE"""),0.7654282407420396)</f>
        <v>0.7654282407</v>
      </c>
      <c r="D1186" s="4">
        <f>IFERROR(__xludf.DUMMYFUNCTION("""COMPUTED_VALUE"""),13.066792)</f>
        <v>13.066792</v>
      </c>
      <c r="E1186" s="4">
        <f>IFERROR(__xludf.DUMMYFUNCTION("""COMPUTED_VALUE"""),80.254196)</f>
        <v>80.254196</v>
      </c>
      <c r="F1186" s="4">
        <f>IFERROR(__xludf.DUMMYFUNCTION("""COMPUTED_VALUE"""),805.0)</f>
        <v>805</v>
      </c>
      <c r="G1186" s="4">
        <f>IFERROR(__xludf.DUMMYFUNCTION("""COMPUTED_VALUE"""),0.0)</f>
        <v>0</v>
      </c>
      <c r="H1186" s="4"/>
      <c r="I1186" s="4"/>
    </row>
    <row r="1187">
      <c r="A1187" s="4" t="str">
        <f>IFERROR(__xludf.DUMMYFUNCTION("""COMPUTED_VALUE"""),"cas_hmw")</f>
        <v>cas_hmw</v>
      </c>
      <c r="B1187" s="5">
        <f>IFERROR(__xludf.DUMMYFUNCTION("""COMPUTED_VALUE"""),44776.0)</f>
        <v>44776</v>
      </c>
      <c r="C1187" s="6">
        <f>IFERROR(__xludf.DUMMYFUNCTION("""COMPUTED_VALUE"""),0.2834722222214623)</f>
        <v>0.2834722222</v>
      </c>
      <c r="D1187" s="4">
        <f>IFERROR(__xludf.DUMMYFUNCTION("""COMPUTED_VALUE"""),13.056582)</f>
        <v>13.056582</v>
      </c>
      <c r="E1187" s="4">
        <f>IFERROR(__xludf.DUMMYFUNCTION("""COMPUTED_VALUE"""),80.097428)</f>
        <v>80.097428</v>
      </c>
      <c r="F1187" s="4">
        <f>IFERROR(__xludf.DUMMYFUNCTION("""COMPUTED_VALUE"""),3143.0)</f>
        <v>3143</v>
      </c>
      <c r="G1187" s="4">
        <f>IFERROR(__xludf.DUMMYFUNCTION("""COMPUTED_VALUE"""),10.0)</f>
        <v>10</v>
      </c>
      <c r="H1187" s="4"/>
      <c r="I1187" s="4"/>
    </row>
    <row r="1188">
      <c r="A1188" s="4" t="str">
        <f>IFERROR(__xludf.DUMMYFUNCTION("""COMPUTED_VALUE"""),"cas_hmw")</f>
        <v>cas_hmw</v>
      </c>
      <c r="B1188" s="5">
        <f>IFERROR(__xludf.DUMMYFUNCTION("""COMPUTED_VALUE"""),44776.0)</f>
        <v>44776</v>
      </c>
      <c r="C1188" s="6">
        <f>IFERROR(__xludf.DUMMYFUNCTION("""COMPUTED_VALUE"""),0.2835416666675883)</f>
        <v>0.2835416667</v>
      </c>
      <c r="D1188" s="4">
        <f>IFERROR(__xludf.DUMMYFUNCTION("""COMPUTED_VALUE"""),13.056582)</f>
        <v>13.056582</v>
      </c>
      <c r="E1188" s="4">
        <f>IFERROR(__xludf.DUMMYFUNCTION("""COMPUTED_VALUE"""),80.097428)</f>
        <v>80.097428</v>
      </c>
      <c r="F1188" s="4">
        <f>IFERROR(__xludf.DUMMYFUNCTION("""COMPUTED_VALUE"""),3143.0)</f>
        <v>3143</v>
      </c>
      <c r="G1188" s="4">
        <f>IFERROR(__xludf.DUMMYFUNCTION("""COMPUTED_VALUE"""),10.0)</f>
        <v>10</v>
      </c>
      <c r="H1188" s="4"/>
      <c r="I1188" s="4"/>
    </row>
    <row r="1189">
      <c r="A1189" s="4" t="str">
        <f>IFERROR(__xludf.DUMMYFUNCTION("""COMPUTED_VALUE"""),"cas_hmw")</f>
        <v>cas_hmw</v>
      </c>
      <c r="B1189" s="5">
        <f>IFERROR(__xludf.DUMMYFUNCTION("""COMPUTED_VALUE"""),44776.0)</f>
        <v>44776</v>
      </c>
      <c r="C1189" s="6">
        <f>IFERROR(__xludf.DUMMYFUNCTION("""COMPUTED_VALUE"""),0.29482638889021473)</f>
        <v>0.2948263889</v>
      </c>
      <c r="D1189" s="4">
        <f>IFERROR(__xludf.DUMMYFUNCTION("""COMPUTED_VALUE"""),12.510209)</f>
        <v>12.510209</v>
      </c>
      <c r="E1189" s="4">
        <f>IFERROR(__xludf.DUMMYFUNCTION("""COMPUTED_VALUE"""),79.885114)</f>
        <v>79.885114</v>
      </c>
      <c r="F1189" s="4">
        <f>IFERROR(__xludf.DUMMYFUNCTION("""COMPUTED_VALUE"""),2846.0)</f>
        <v>2846</v>
      </c>
      <c r="G1189" s="4">
        <f>IFERROR(__xludf.DUMMYFUNCTION("""COMPUTED_VALUE"""),14.0)</f>
        <v>14</v>
      </c>
      <c r="H1189" s="4"/>
      <c r="I1189" s="4"/>
    </row>
    <row r="1190">
      <c r="A1190" s="4" t="str">
        <f>IFERROR(__xludf.DUMMYFUNCTION("""COMPUTED_VALUE"""),"cas_hmw")</f>
        <v>cas_hmw</v>
      </c>
      <c r="B1190" s="5">
        <f>IFERROR(__xludf.DUMMYFUNCTION("""COMPUTED_VALUE"""),44776.0)</f>
        <v>44776</v>
      </c>
      <c r="C1190" s="6">
        <f>IFERROR(__xludf.DUMMYFUNCTION("""COMPUTED_VALUE"""),0.2949768518519704)</f>
        <v>0.2949768519</v>
      </c>
      <c r="D1190" s="4">
        <f>IFERROR(__xludf.DUMMYFUNCTION("""COMPUTED_VALUE"""),12.510209)</f>
        <v>12.510209</v>
      </c>
      <c r="E1190" s="4">
        <f>IFERROR(__xludf.DUMMYFUNCTION("""COMPUTED_VALUE"""),79.885114)</f>
        <v>79.885114</v>
      </c>
      <c r="F1190" s="4">
        <f>IFERROR(__xludf.DUMMYFUNCTION("""COMPUTED_VALUE"""),2846.0)</f>
        <v>2846</v>
      </c>
      <c r="G1190" s="4">
        <f>IFERROR(__xludf.DUMMYFUNCTION("""COMPUTED_VALUE"""),14.0)</f>
        <v>14</v>
      </c>
      <c r="H1190" s="4"/>
      <c r="I1190" s="4"/>
    </row>
    <row r="1191">
      <c r="A1191" s="4" t="str">
        <f>IFERROR(__xludf.DUMMYFUNCTION("""COMPUTED_VALUE"""),"cas_hmw")</f>
        <v>cas_hmw</v>
      </c>
      <c r="B1191" s="5">
        <f>IFERROR(__xludf.DUMMYFUNCTION("""COMPUTED_VALUE"""),44776.0)</f>
        <v>44776</v>
      </c>
      <c r="C1191" s="6">
        <f>IFERROR(__xludf.DUMMYFUNCTION("""COMPUTED_VALUE"""),0.3079513888878864)</f>
        <v>0.3079513889</v>
      </c>
      <c r="D1191" s="4">
        <f>IFERROR(__xludf.DUMMYFUNCTION("""COMPUTED_VALUE"""),13.012796)</f>
        <v>13.012796</v>
      </c>
      <c r="E1191" s="4">
        <f>IFERROR(__xludf.DUMMYFUNCTION("""COMPUTED_VALUE"""),80.102539)</f>
        <v>80.102539</v>
      </c>
      <c r="F1191" s="4">
        <f>IFERROR(__xludf.DUMMYFUNCTION("""COMPUTED_VALUE"""),3143.0)</f>
        <v>3143</v>
      </c>
      <c r="G1191" s="4">
        <f>IFERROR(__xludf.DUMMYFUNCTION("""COMPUTED_VALUE"""),13.0)</f>
        <v>13</v>
      </c>
      <c r="H1191" s="4"/>
      <c r="I1191" s="4"/>
    </row>
    <row r="1192">
      <c r="A1192" s="4" t="str">
        <f>IFERROR(__xludf.DUMMYFUNCTION("""COMPUTED_VALUE"""),"cas_hmw")</f>
        <v>cas_hmw</v>
      </c>
      <c r="B1192" s="5">
        <f>IFERROR(__xludf.DUMMYFUNCTION("""COMPUTED_VALUE"""),44776.0)</f>
        <v>44776</v>
      </c>
      <c r="C1192" s="6">
        <f>IFERROR(__xludf.DUMMYFUNCTION("""COMPUTED_VALUE"""),0.30811342592642177)</f>
        <v>0.3081134259</v>
      </c>
      <c r="D1192" s="4">
        <f>IFERROR(__xludf.DUMMYFUNCTION("""COMPUTED_VALUE"""),13.012432)</f>
        <v>13.012432</v>
      </c>
      <c r="E1192" s="4">
        <f>IFERROR(__xludf.DUMMYFUNCTION("""COMPUTED_VALUE"""),80.102436)</f>
        <v>80.102436</v>
      </c>
      <c r="F1192" s="4">
        <f>IFERROR(__xludf.DUMMYFUNCTION("""COMPUTED_VALUE"""),3143.0)</f>
        <v>3143</v>
      </c>
      <c r="G1192" s="4">
        <f>IFERROR(__xludf.DUMMYFUNCTION("""COMPUTED_VALUE"""),15.0)</f>
        <v>15</v>
      </c>
      <c r="H1192" s="4"/>
      <c r="I1192" s="4"/>
    </row>
    <row r="1193">
      <c r="A1193" s="4" t="str">
        <f>IFERROR(__xludf.DUMMYFUNCTION("""COMPUTED_VALUE"""),"cas_hmw")</f>
        <v>cas_hmw</v>
      </c>
      <c r="B1193" s="5">
        <f>IFERROR(__xludf.DUMMYFUNCTION("""COMPUTED_VALUE"""),44776.0)</f>
        <v>44776</v>
      </c>
      <c r="C1193" s="6">
        <f>IFERROR(__xludf.DUMMYFUNCTION("""COMPUTED_VALUE"""),0.31644675925781485)</f>
        <v>0.3164467593</v>
      </c>
      <c r="D1193" s="4">
        <f>IFERROR(__xludf.DUMMYFUNCTION("""COMPUTED_VALUE"""),13.039769)</f>
        <v>13.039769</v>
      </c>
      <c r="E1193" s="4">
        <f>IFERROR(__xludf.DUMMYFUNCTION("""COMPUTED_VALUE"""),80.247151)</f>
        <v>80.247151</v>
      </c>
      <c r="F1193" s="4">
        <f>IFERROR(__xludf.DUMMYFUNCTION("""COMPUTED_VALUE"""),5339.0)</f>
        <v>5339</v>
      </c>
      <c r="G1193" s="4">
        <f>IFERROR(__xludf.DUMMYFUNCTION("""COMPUTED_VALUE"""),10.0)</f>
        <v>10</v>
      </c>
      <c r="H1193" s="4"/>
      <c r="I1193" s="4"/>
    </row>
    <row r="1194">
      <c r="A1194" s="4" t="str">
        <f>IFERROR(__xludf.DUMMYFUNCTION("""COMPUTED_VALUE"""),"cas_hmw")</f>
        <v>cas_hmw</v>
      </c>
      <c r="B1194" s="5">
        <f>IFERROR(__xludf.DUMMYFUNCTION("""COMPUTED_VALUE"""),44776.0)</f>
        <v>44776</v>
      </c>
      <c r="C1194" s="6">
        <f>IFERROR(__xludf.DUMMYFUNCTION("""COMPUTED_VALUE"""),0.3222453703710926)</f>
        <v>0.3222453704</v>
      </c>
      <c r="D1194" s="4">
        <f>IFERROR(__xludf.DUMMYFUNCTION("""COMPUTED_VALUE"""),13.01534)</f>
        <v>13.01534</v>
      </c>
      <c r="E1194" s="4">
        <f>IFERROR(__xludf.DUMMYFUNCTION("""COMPUTED_VALUE"""),80.225855)</f>
        <v>80.225855</v>
      </c>
      <c r="F1194" s="4">
        <f>IFERROR(__xludf.DUMMYFUNCTION("""COMPUTED_VALUE"""),5339.0)</f>
        <v>5339</v>
      </c>
      <c r="G1194" s="4">
        <f>IFERROR(__xludf.DUMMYFUNCTION("""COMPUTED_VALUE"""),12.0)</f>
        <v>12</v>
      </c>
      <c r="H1194" s="4"/>
      <c r="I1194" s="4"/>
    </row>
    <row r="1195">
      <c r="A1195" s="4" t="str">
        <f>IFERROR(__xludf.DUMMYFUNCTION("""COMPUTED_VALUE"""),"cas_hmw")</f>
        <v>cas_hmw</v>
      </c>
      <c r="B1195" s="5">
        <f>IFERROR(__xludf.DUMMYFUNCTION("""COMPUTED_VALUE"""),44776.0)</f>
        <v>44776</v>
      </c>
      <c r="C1195" s="6">
        <f>IFERROR(__xludf.DUMMYFUNCTION("""COMPUTED_VALUE"""),0.32225694444423425)</f>
        <v>0.3222569444</v>
      </c>
      <c r="D1195" s="4">
        <f>IFERROR(__xludf.DUMMYFUNCTION("""COMPUTED_VALUE"""),13.01534)</f>
        <v>13.01534</v>
      </c>
      <c r="E1195" s="4">
        <f>IFERROR(__xludf.DUMMYFUNCTION("""COMPUTED_VALUE"""),80.225855)</f>
        <v>80.225855</v>
      </c>
      <c r="F1195" s="4">
        <f>IFERROR(__xludf.DUMMYFUNCTION("""COMPUTED_VALUE"""),5339.0)</f>
        <v>5339</v>
      </c>
      <c r="G1195" s="4">
        <f>IFERROR(__xludf.DUMMYFUNCTION("""COMPUTED_VALUE"""),12.0)</f>
        <v>12</v>
      </c>
      <c r="H1195" s="4"/>
      <c r="I1195" s="4"/>
    </row>
    <row r="1196">
      <c r="A1196" s="4" t="str">
        <f>IFERROR(__xludf.DUMMYFUNCTION("""COMPUTED_VALUE"""),"cas_hmw")</f>
        <v>cas_hmw</v>
      </c>
      <c r="B1196" s="5">
        <f>IFERROR(__xludf.DUMMYFUNCTION("""COMPUTED_VALUE"""),44776.0)</f>
        <v>44776</v>
      </c>
      <c r="C1196" s="6">
        <f>IFERROR(__xludf.DUMMYFUNCTION("""COMPUTED_VALUE"""),0.3371064814818965)</f>
        <v>0.3371064815</v>
      </c>
      <c r="D1196" s="4">
        <f>IFERROR(__xludf.DUMMYFUNCTION("""COMPUTED_VALUE"""),12.952991)</f>
        <v>12.952991</v>
      </c>
      <c r="E1196" s="4">
        <f>IFERROR(__xludf.DUMMYFUNCTION("""COMPUTED_VALUE"""),80.141445)</f>
        <v>80.141445</v>
      </c>
      <c r="F1196" s="4">
        <f>IFERROR(__xludf.DUMMYFUNCTION("""COMPUTED_VALUE"""),3143.0)</f>
        <v>3143</v>
      </c>
      <c r="G1196" s="4">
        <f>IFERROR(__xludf.DUMMYFUNCTION("""COMPUTED_VALUE"""),11.0)</f>
        <v>11</v>
      </c>
      <c r="H1196" s="4"/>
      <c r="I1196" s="4"/>
    </row>
    <row r="1197">
      <c r="A1197" s="4" t="str">
        <f>IFERROR(__xludf.DUMMYFUNCTION("""COMPUTED_VALUE"""),"cas_hmw")</f>
        <v>cas_hmw</v>
      </c>
      <c r="B1197" s="5">
        <f>IFERROR(__xludf.DUMMYFUNCTION("""COMPUTED_VALUE"""),44776.0)</f>
        <v>44776</v>
      </c>
      <c r="C1197" s="6">
        <f>IFERROR(__xludf.DUMMYFUNCTION("""COMPUTED_VALUE"""),0.3378703703710926)</f>
        <v>0.3378703704</v>
      </c>
      <c r="D1197" s="4">
        <f>IFERROR(__xludf.DUMMYFUNCTION("""COMPUTED_VALUE"""),12.950602)</f>
        <v>12.950602</v>
      </c>
      <c r="E1197" s="4">
        <f>IFERROR(__xludf.DUMMYFUNCTION("""COMPUTED_VALUE"""),80.139737)</f>
        <v>80.139737</v>
      </c>
      <c r="F1197" s="4">
        <f>IFERROR(__xludf.DUMMYFUNCTION("""COMPUTED_VALUE"""),3143.0)</f>
        <v>3143</v>
      </c>
      <c r="G1197" s="4">
        <f>IFERROR(__xludf.DUMMYFUNCTION("""COMPUTED_VALUE"""),0.0)</f>
        <v>0</v>
      </c>
      <c r="H1197" s="4"/>
      <c r="I1197" s="4"/>
    </row>
    <row r="1198">
      <c r="A1198" s="4" t="str">
        <f>IFERROR(__xludf.DUMMYFUNCTION("""COMPUTED_VALUE"""),"cas_hmw")</f>
        <v>cas_hmw</v>
      </c>
      <c r="B1198" s="5">
        <f>IFERROR(__xludf.DUMMYFUNCTION("""COMPUTED_VALUE"""),44776.0)</f>
        <v>44776</v>
      </c>
      <c r="C1198" s="6">
        <f>IFERROR(__xludf.DUMMYFUNCTION("""COMPUTED_VALUE"""),0.34583333333284827)</f>
        <v>0.3458333333</v>
      </c>
      <c r="D1198" s="4">
        <f>IFERROR(__xludf.DUMMYFUNCTION("""COMPUTED_VALUE"""),12.845969)</f>
        <v>12.845969</v>
      </c>
      <c r="E1198" s="4">
        <f>IFERROR(__xludf.DUMMYFUNCTION("""COMPUTED_VALUE"""),80.061589)</f>
        <v>80.061589</v>
      </c>
      <c r="F1198" s="4">
        <f>IFERROR(__xludf.DUMMYFUNCTION("""COMPUTED_VALUE"""),2846.0)</f>
        <v>2846</v>
      </c>
      <c r="G1198" s="4">
        <f>IFERROR(__xludf.DUMMYFUNCTION("""COMPUTED_VALUE"""),14.0)</f>
        <v>14</v>
      </c>
      <c r="H1198" s="4"/>
      <c r="I1198" s="4"/>
    </row>
    <row r="1199">
      <c r="A1199" s="4" t="str">
        <f>IFERROR(__xludf.DUMMYFUNCTION("""COMPUTED_VALUE"""),"cas_hmw")</f>
        <v>cas_hmw</v>
      </c>
      <c r="B1199" s="5">
        <f>IFERROR(__xludf.DUMMYFUNCTION("""COMPUTED_VALUE"""),44776.0)</f>
        <v>44776</v>
      </c>
      <c r="C1199" s="6">
        <f>IFERROR(__xludf.DUMMYFUNCTION("""COMPUTED_VALUE"""),0.34630787037167465)</f>
        <v>0.3463078704</v>
      </c>
      <c r="D1199" s="4">
        <f>IFERROR(__xludf.DUMMYFUNCTION("""COMPUTED_VALUE"""),12.925546)</f>
        <v>12.925546</v>
      </c>
      <c r="E1199" s="4">
        <f>IFERROR(__xludf.DUMMYFUNCTION("""COMPUTED_VALUE"""),80.104398)</f>
        <v>80.104398</v>
      </c>
      <c r="F1199" s="4">
        <f>IFERROR(__xludf.DUMMYFUNCTION("""COMPUTED_VALUE"""),3143.0)</f>
        <v>3143</v>
      </c>
      <c r="G1199" s="4">
        <f>IFERROR(__xludf.DUMMYFUNCTION("""COMPUTED_VALUE"""),9.0)</f>
        <v>9</v>
      </c>
      <c r="H1199" s="4"/>
      <c r="I1199" s="4"/>
    </row>
    <row r="1200">
      <c r="A1200" s="4" t="str">
        <f>IFERROR(__xludf.DUMMYFUNCTION("""COMPUTED_VALUE"""),"cas_hmw")</f>
        <v>cas_hmw</v>
      </c>
      <c r="B1200" s="5">
        <f>IFERROR(__xludf.DUMMYFUNCTION("""COMPUTED_VALUE"""),44776.0)</f>
        <v>44776</v>
      </c>
      <c r="C1200" s="6">
        <f>IFERROR(__xludf.DUMMYFUNCTION("""COMPUTED_VALUE"""),0.34630787037167465)</f>
        <v>0.3463078704</v>
      </c>
      <c r="D1200" s="4">
        <f>IFERROR(__xludf.DUMMYFUNCTION("""COMPUTED_VALUE"""),12.925546)</f>
        <v>12.925546</v>
      </c>
      <c r="E1200" s="4">
        <f>IFERROR(__xludf.DUMMYFUNCTION("""COMPUTED_VALUE"""),80.104398)</f>
        <v>80.104398</v>
      </c>
      <c r="F1200" s="4">
        <f>IFERROR(__xludf.DUMMYFUNCTION("""COMPUTED_VALUE"""),3143.0)</f>
        <v>3143</v>
      </c>
      <c r="G1200" s="4">
        <f>IFERROR(__xludf.DUMMYFUNCTION("""COMPUTED_VALUE"""),9.0)</f>
        <v>9</v>
      </c>
      <c r="H1200" s="4"/>
      <c r="I1200" s="4"/>
    </row>
    <row r="1201">
      <c r="A1201" s="4" t="str">
        <f>IFERROR(__xludf.DUMMYFUNCTION("""COMPUTED_VALUE"""),"cas_hmw")</f>
        <v>cas_hmw</v>
      </c>
      <c r="B1201" s="5">
        <f>IFERROR(__xludf.DUMMYFUNCTION("""COMPUTED_VALUE"""),44776.0)</f>
        <v>44776</v>
      </c>
      <c r="C1201" s="6">
        <f>IFERROR(__xludf.DUMMYFUNCTION("""COMPUTED_VALUE"""),0.3469444444453984)</f>
        <v>0.3469444444</v>
      </c>
      <c r="D1201" s="4">
        <f>IFERROR(__xludf.DUMMYFUNCTION("""COMPUTED_VALUE"""),12.926555)</f>
        <v>12.926555</v>
      </c>
      <c r="E1201" s="4">
        <f>IFERROR(__xludf.DUMMYFUNCTION("""COMPUTED_VALUE"""),80.117748)</f>
        <v>80.117748</v>
      </c>
      <c r="F1201" s="4">
        <f>IFERROR(__xludf.DUMMYFUNCTION("""COMPUTED_VALUE"""),805.0)</f>
        <v>805</v>
      </c>
      <c r="G1201" s="4">
        <f>IFERROR(__xludf.DUMMYFUNCTION("""COMPUTED_VALUE"""),11.0)</f>
        <v>11</v>
      </c>
      <c r="H1201" s="4"/>
      <c r="I1201" s="4"/>
    </row>
    <row r="1202">
      <c r="A1202" s="4" t="str">
        <f>IFERROR(__xludf.DUMMYFUNCTION("""COMPUTED_VALUE"""),"cas_hmw")</f>
        <v>cas_hmw</v>
      </c>
      <c r="B1202" s="5">
        <f>IFERROR(__xludf.DUMMYFUNCTION("""COMPUTED_VALUE"""),44776.0)</f>
        <v>44776</v>
      </c>
      <c r="C1202" s="6">
        <f>IFERROR(__xludf.DUMMYFUNCTION("""COMPUTED_VALUE"""),0.3472685185188311)</f>
        <v>0.3472685185</v>
      </c>
      <c r="D1202" s="4">
        <f>IFERROR(__xludf.DUMMYFUNCTION("""COMPUTED_VALUE"""),12.924731)</f>
        <v>12.924731</v>
      </c>
      <c r="E1202" s="4">
        <f>IFERROR(__xludf.DUMMYFUNCTION("""COMPUTED_VALUE"""),80.099706)</f>
        <v>80.099706</v>
      </c>
      <c r="F1202" s="4">
        <f>IFERROR(__xludf.DUMMYFUNCTION("""COMPUTED_VALUE"""),3143.0)</f>
        <v>3143</v>
      </c>
      <c r="G1202" s="4">
        <f>IFERROR(__xludf.DUMMYFUNCTION("""COMPUTED_VALUE"""),0.0)</f>
        <v>0</v>
      </c>
      <c r="H1202" s="4"/>
      <c r="I1202" s="4"/>
    </row>
    <row r="1203">
      <c r="A1203" s="4" t="str">
        <f>IFERROR(__xludf.DUMMYFUNCTION("""COMPUTED_VALUE"""),"cas_hmw")</f>
        <v>cas_hmw</v>
      </c>
      <c r="B1203" s="5">
        <f>IFERROR(__xludf.DUMMYFUNCTION("""COMPUTED_VALUE"""),44776.0)</f>
        <v>44776</v>
      </c>
      <c r="C1203" s="6">
        <f>IFERROR(__xludf.DUMMYFUNCTION("""COMPUTED_VALUE"""),0.34987268518671044)</f>
        <v>0.3498726852</v>
      </c>
      <c r="D1203" s="4">
        <f>IFERROR(__xludf.DUMMYFUNCTION("""COMPUTED_VALUE"""),12.909113)</f>
        <v>12.909113</v>
      </c>
      <c r="E1203" s="4">
        <f>IFERROR(__xludf.DUMMYFUNCTION("""COMPUTED_VALUE"""),80.098942)</f>
        <v>80.098942</v>
      </c>
      <c r="F1203" s="4">
        <f>IFERROR(__xludf.DUMMYFUNCTION("""COMPUTED_VALUE"""),805.0)</f>
        <v>805</v>
      </c>
      <c r="G1203" s="4">
        <f>IFERROR(__xludf.DUMMYFUNCTION("""COMPUTED_VALUE"""),0.0)</f>
        <v>0</v>
      </c>
      <c r="H1203" s="4"/>
      <c r="I1203" s="4"/>
    </row>
    <row r="1204">
      <c r="A1204" s="4" t="str">
        <f>IFERROR(__xludf.DUMMYFUNCTION("""COMPUTED_VALUE"""),"cas_hmw")</f>
        <v>cas_hmw</v>
      </c>
      <c r="B1204" s="5">
        <f>IFERROR(__xludf.DUMMYFUNCTION("""COMPUTED_VALUE"""),44776.0)</f>
        <v>44776</v>
      </c>
      <c r="C1204" s="6">
        <f>IFERROR(__xludf.DUMMYFUNCTION("""COMPUTED_VALUE"""),0.3504745370373712)</f>
        <v>0.350474537</v>
      </c>
      <c r="D1204" s="4">
        <f>IFERROR(__xludf.DUMMYFUNCTION("""COMPUTED_VALUE"""),12.91836)</f>
        <v>12.91836</v>
      </c>
      <c r="E1204" s="4">
        <f>IFERROR(__xludf.DUMMYFUNCTION("""COMPUTED_VALUE"""),80.0818)</f>
        <v>80.0818</v>
      </c>
      <c r="F1204" s="4">
        <f>IFERROR(__xludf.DUMMYFUNCTION("""COMPUTED_VALUE"""),3143.0)</f>
        <v>3143</v>
      </c>
      <c r="G1204" s="4">
        <f>IFERROR(__xludf.DUMMYFUNCTION("""COMPUTED_VALUE"""),0.0)</f>
        <v>0</v>
      </c>
      <c r="H1204" s="4"/>
      <c r="I1204" s="4"/>
    </row>
    <row r="1205">
      <c r="A1205" s="4" t="str">
        <f>IFERROR(__xludf.DUMMYFUNCTION("""COMPUTED_VALUE"""),"cas_hmw")</f>
        <v>cas_hmw</v>
      </c>
      <c r="B1205" s="5">
        <f>IFERROR(__xludf.DUMMYFUNCTION("""COMPUTED_VALUE"""),44776.0)</f>
        <v>44776</v>
      </c>
      <c r="C1205" s="6">
        <f>IFERROR(__xludf.DUMMYFUNCTION("""COMPUTED_VALUE"""),0.35521990740744513)</f>
        <v>0.3552199074</v>
      </c>
      <c r="D1205" s="4">
        <f>IFERROR(__xludf.DUMMYFUNCTION("""COMPUTED_VALUE"""),12.878925)</f>
        <v>12.878925</v>
      </c>
      <c r="E1205" s="4">
        <f>IFERROR(__xludf.DUMMYFUNCTION("""COMPUTED_VALUE"""),80.08085)</f>
        <v>80.08085</v>
      </c>
      <c r="F1205" s="4">
        <f>IFERROR(__xludf.DUMMYFUNCTION("""COMPUTED_VALUE"""),805.0)</f>
        <v>805</v>
      </c>
      <c r="G1205" s="4">
        <f>IFERROR(__xludf.DUMMYFUNCTION("""COMPUTED_VALUE"""),13.0)</f>
        <v>13</v>
      </c>
      <c r="H1205" s="4"/>
      <c r="I1205" s="4"/>
    </row>
    <row r="1206">
      <c r="A1206" s="4" t="str">
        <f>IFERROR(__xludf.DUMMYFUNCTION("""COMPUTED_VALUE"""),"cas_hmw")</f>
        <v>cas_hmw</v>
      </c>
      <c r="B1206" s="5">
        <f>IFERROR(__xludf.DUMMYFUNCTION("""COMPUTED_VALUE"""),44776.0)</f>
        <v>44776</v>
      </c>
      <c r="C1206" s="6">
        <f>IFERROR(__xludf.DUMMYFUNCTION("""COMPUTED_VALUE"""),0.35521990740744513)</f>
        <v>0.3552199074</v>
      </c>
      <c r="D1206" s="4">
        <f>IFERROR(__xludf.DUMMYFUNCTION("""COMPUTED_VALUE"""),12.878925)</f>
        <v>12.878925</v>
      </c>
      <c r="E1206" s="4">
        <f>IFERROR(__xludf.DUMMYFUNCTION("""COMPUTED_VALUE"""),80.08085)</f>
        <v>80.08085</v>
      </c>
      <c r="F1206" s="4">
        <f>IFERROR(__xludf.DUMMYFUNCTION("""COMPUTED_VALUE"""),805.0)</f>
        <v>805</v>
      </c>
      <c r="G1206" s="4">
        <f>IFERROR(__xludf.DUMMYFUNCTION("""COMPUTED_VALUE"""),13.0)</f>
        <v>13</v>
      </c>
      <c r="H1206" s="4"/>
      <c r="I1206" s="4"/>
    </row>
    <row r="1207">
      <c r="A1207" s="4" t="str">
        <f>IFERROR(__xludf.DUMMYFUNCTION("""COMPUTED_VALUE"""),"cas_hmw")</f>
        <v>cas_hmw</v>
      </c>
      <c r="B1207" s="5">
        <f>IFERROR(__xludf.DUMMYFUNCTION("""COMPUTED_VALUE"""),44776.0)</f>
        <v>44776</v>
      </c>
      <c r="C1207" s="6">
        <f>IFERROR(__xludf.DUMMYFUNCTION("""COMPUTED_VALUE"""),0.35521990740744513)</f>
        <v>0.3552199074</v>
      </c>
      <c r="D1207" s="4">
        <f>IFERROR(__xludf.DUMMYFUNCTION("""COMPUTED_VALUE"""),12.878925)</f>
        <v>12.878925</v>
      </c>
      <c r="E1207" s="4">
        <f>IFERROR(__xludf.DUMMYFUNCTION("""COMPUTED_VALUE"""),80.08085)</f>
        <v>80.08085</v>
      </c>
      <c r="F1207" s="4">
        <f>IFERROR(__xludf.DUMMYFUNCTION("""COMPUTED_VALUE"""),805.0)</f>
        <v>805</v>
      </c>
      <c r="G1207" s="4">
        <f>IFERROR(__xludf.DUMMYFUNCTION("""COMPUTED_VALUE"""),13.0)</f>
        <v>13</v>
      </c>
      <c r="H1207" s="4"/>
      <c r="I1207" s="4"/>
    </row>
    <row r="1208">
      <c r="A1208" s="4" t="str">
        <f>IFERROR(__xludf.DUMMYFUNCTION("""COMPUTED_VALUE"""),"cas_hmw")</f>
        <v>cas_hmw</v>
      </c>
      <c r="B1208" s="5">
        <f>IFERROR(__xludf.DUMMYFUNCTION("""COMPUTED_VALUE"""),44776.0)</f>
        <v>44776</v>
      </c>
      <c r="C1208" s="6">
        <f>IFERROR(__xludf.DUMMYFUNCTION("""COMPUTED_VALUE"""),0.35524305555736646)</f>
        <v>0.3552430556</v>
      </c>
      <c r="D1208" s="4">
        <f>IFERROR(__xludf.DUMMYFUNCTION("""COMPUTED_VALUE"""),12.878925)</f>
        <v>12.878925</v>
      </c>
      <c r="E1208" s="4">
        <f>IFERROR(__xludf.DUMMYFUNCTION("""COMPUTED_VALUE"""),80.08085)</f>
        <v>80.08085</v>
      </c>
      <c r="F1208" s="4">
        <f>IFERROR(__xludf.DUMMYFUNCTION("""COMPUTED_VALUE"""),805.0)</f>
        <v>805</v>
      </c>
      <c r="G1208" s="4">
        <f>IFERROR(__xludf.DUMMYFUNCTION("""COMPUTED_VALUE"""),13.0)</f>
        <v>13</v>
      </c>
      <c r="H1208" s="4"/>
      <c r="I1208" s="4"/>
    </row>
    <row r="1209">
      <c r="A1209" s="4" t="str">
        <f>IFERROR(__xludf.DUMMYFUNCTION("""COMPUTED_VALUE"""),"cas_hmw")</f>
        <v>cas_hmw</v>
      </c>
      <c r="B1209" s="5">
        <f>IFERROR(__xludf.DUMMYFUNCTION("""COMPUTED_VALUE"""),44776.0)</f>
        <v>44776</v>
      </c>
      <c r="C1209" s="6">
        <f>IFERROR(__xludf.DUMMYFUNCTION("""COMPUTED_VALUE"""),0.35524305555736646)</f>
        <v>0.3552430556</v>
      </c>
      <c r="D1209" s="4">
        <f>IFERROR(__xludf.DUMMYFUNCTION("""COMPUTED_VALUE"""),12.878925)</f>
        <v>12.878925</v>
      </c>
      <c r="E1209" s="4">
        <f>IFERROR(__xludf.DUMMYFUNCTION("""COMPUTED_VALUE"""),80.08085)</f>
        <v>80.08085</v>
      </c>
      <c r="F1209" s="4">
        <f>IFERROR(__xludf.DUMMYFUNCTION("""COMPUTED_VALUE"""),805.0)</f>
        <v>805</v>
      </c>
      <c r="G1209" s="4">
        <f>IFERROR(__xludf.DUMMYFUNCTION("""COMPUTED_VALUE"""),13.0)</f>
        <v>13</v>
      </c>
      <c r="H1209" s="4"/>
      <c r="I1209" s="4"/>
    </row>
    <row r="1210">
      <c r="A1210" s="4" t="str">
        <f>IFERROR(__xludf.DUMMYFUNCTION("""COMPUTED_VALUE"""),"cas_hmw")</f>
        <v>cas_hmw</v>
      </c>
      <c r="B1210" s="5">
        <f>IFERROR(__xludf.DUMMYFUNCTION("""COMPUTED_VALUE"""),44776.0)</f>
        <v>44776</v>
      </c>
      <c r="C1210" s="6">
        <f>IFERROR(__xludf.DUMMYFUNCTION("""COMPUTED_VALUE"""),0.693078703705396)</f>
        <v>0.6930787037</v>
      </c>
      <c r="D1210" s="4">
        <f>IFERROR(__xludf.DUMMYFUNCTION("""COMPUTED_VALUE"""),12.866759)</f>
        <v>12.866759</v>
      </c>
      <c r="E1210" s="4">
        <f>IFERROR(__xludf.DUMMYFUNCTION("""COMPUTED_VALUE"""),80.075458)</f>
        <v>80.075458</v>
      </c>
      <c r="F1210" s="4">
        <f>IFERROR(__xludf.DUMMYFUNCTION("""COMPUTED_VALUE"""),2846.0)</f>
        <v>2846</v>
      </c>
      <c r="G1210" s="4">
        <f>IFERROR(__xludf.DUMMYFUNCTION("""COMPUTED_VALUE"""),15.0)</f>
        <v>15</v>
      </c>
      <c r="H1210" s="4"/>
      <c r="I1210" s="4"/>
    </row>
    <row r="1211">
      <c r="A1211" s="4" t="str">
        <f>IFERROR(__xludf.DUMMYFUNCTION("""COMPUTED_VALUE"""),"cas_hmw")</f>
        <v>cas_hmw</v>
      </c>
      <c r="B1211" s="5">
        <f>IFERROR(__xludf.DUMMYFUNCTION("""COMPUTED_VALUE"""),44776.0)</f>
        <v>44776</v>
      </c>
      <c r="C1211" s="6">
        <f>IFERROR(__xludf.DUMMYFUNCTION("""COMPUTED_VALUE"""),0.700335648147302)</f>
        <v>0.7003356481</v>
      </c>
      <c r="D1211" s="4">
        <f>IFERROR(__xludf.DUMMYFUNCTION("""COMPUTED_VALUE"""),12.923552)</f>
        <v>12.923552</v>
      </c>
      <c r="E1211" s="4">
        <f>IFERROR(__xludf.DUMMYFUNCTION("""COMPUTED_VALUE"""),80.097479)</f>
        <v>80.097479</v>
      </c>
      <c r="F1211" s="4">
        <f>IFERROR(__xludf.DUMMYFUNCTION("""COMPUTED_VALUE"""),3143.0)</f>
        <v>3143</v>
      </c>
      <c r="G1211" s="4">
        <f>IFERROR(__xludf.DUMMYFUNCTION("""COMPUTED_VALUE"""),15.0)</f>
        <v>15</v>
      </c>
      <c r="H1211" s="4"/>
      <c r="I1211" s="4"/>
    </row>
    <row r="1212">
      <c r="A1212" s="4" t="str">
        <f>IFERROR(__xludf.DUMMYFUNCTION("""COMPUTED_VALUE"""),"cas_hmw")</f>
        <v>cas_hmw</v>
      </c>
      <c r="B1212" s="5">
        <f>IFERROR(__xludf.DUMMYFUNCTION("""COMPUTED_VALUE"""),44776.0)</f>
        <v>44776</v>
      </c>
      <c r="C1212" s="6">
        <f>IFERROR(__xludf.DUMMYFUNCTION("""COMPUTED_VALUE"""),0.7067824074074451)</f>
        <v>0.7067824074</v>
      </c>
      <c r="D1212" s="4">
        <f>IFERROR(__xludf.DUMMYFUNCTION("""COMPUTED_VALUE"""),12.763166)</f>
        <v>12.763166</v>
      </c>
      <c r="E1212" s="4">
        <f>IFERROR(__xludf.DUMMYFUNCTION("""COMPUTED_VALUE"""),80.004264)</f>
        <v>80.004264</v>
      </c>
      <c r="F1212" s="4">
        <f>IFERROR(__xludf.DUMMYFUNCTION("""COMPUTED_VALUE"""),2846.0)</f>
        <v>2846</v>
      </c>
      <c r="G1212" s="4">
        <f>IFERROR(__xludf.DUMMYFUNCTION("""COMPUTED_VALUE"""),7.0)</f>
        <v>7</v>
      </c>
      <c r="H1212" s="4"/>
      <c r="I1212" s="4"/>
    </row>
    <row r="1213">
      <c r="A1213" s="4" t="str">
        <f>IFERROR(__xludf.DUMMYFUNCTION("""COMPUTED_VALUE"""),"cas_hmw")</f>
        <v>cas_hmw</v>
      </c>
      <c r="B1213" s="5">
        <f>IFERROR(__xludf.DUMMYFUNCTION("""COMPUTED_VALUE"""),44776.0)</f>
        <v>44776</v>
      </c>
      <c r="C1213" s="6">
        <f>IFERROR(__xludf.DUMMYFUNCTION("""COMPUTED_VALUE"""),0.7067824074074451)</f>
        <v>0.7067824074</v>
      </c>
      <c r="D1213" s="4">
        <f>IFERROR(__xludf.DUMMYFUNCTION("""COMPUTED_VALUE"""),12.763166)</f>
        <v>12.763166</v>
      </c>
      <c r="E1213" s="4">
        <f>IFERROR(__xludf.DUMMYFUNCTION("""COMPUTED_VALUE"""),80.004264)</f>
        <v>80.004264</v>
      </c>
      <c r="F1213" s="4">
        <f>IFERROR(__xludf.DUMMYFUNCTION("""COMPUTED_VALUE"""),2846.0)</f>
        <v>2846</v>
      </c>
      <c r="G1213" s="4">
        <f>IFERROR(__xludf.DUMMYFUNCTION("""COMPUTED_VALUE"""),7.0)</f>
        <v>7</v>
      </c>
      <c r="H1213" s="4"/>
      <c r="I1213" s="4"/>
    </row>
    <row r="1214">
      <c r="A1214" s="4" t="str">
        <f>IFERROR(__xludf.DUMMYFUNCTION("""COMPUTED_VALUE"""),"cas_hmw")</f>
        <v>cas_hmw</v>
      </c>
      <c r="B1214" s="5">
        <f>IFERROR(__xludf.DUMMYFUNCTION("""COMPUTED_VALUE"""),44776.0)</f>
        <v>44776</v>
      </c>
      <c r="C1214" s="6">
        <f>IFERROR(__xludf.DUMMYFUNCTION("""COMPUTED_VALUE"""),0.7070601851846732)</f>
        <v>0.7070601852</v>
      </c>
      <c r="D1214" s="4">
        <f>IFERROR(__xludf.DUMMYFUNCTION("""COMPUTED_VALUE"""),12.930281)</f>
        <v>12.930281</v>
      </c>
      <c r="E1214" s="4">
        <f>IFERROR(__xludf.DUMMYFUNCTION("""COMPUTED_VALUE"""),80.121261)</f>
        <v>80.121261</v>
      </c>
      <c r="F1214" s="4">
        <f>IFERROR(__xludf.DUMMYFUNCTION("""COMPUTED_VALUE"""),3143.0)</f>
        <v>3143</v>
      </c>
      <c r="G1214" s="4">
        <f>IFERROR(__xludf.DUMMYFUNCTION("""COMPUTED_VALUE"""),18.0)</f>
        <v>18</v>
      </c>
      <c r="H1214" s="4"/>
      <c r="I1214" s="4"/>
    </row>
    <row r="1215">
      <c r="A1215" s="4" t="str">
        <f>IFERROR(__xludf.DUMMYFUNCTION("""COMPUTED_VALUE"""),"cas_hmw")</f>
        <v>cas_hmw</v>
      </c>
      <c r="B1215" s="5">
        <f>IFERROR(__xludf.DUMMYFUNCTION("""COMPUTED_VALUE"""),44776.0)</f>
        <v>44776</v>
      </c>
      <c r="C1215" s="6">
        <f>IFERROR(__xludf.DUMMYFUNCTION("""COMPUTED_VALUE"""),0.7085879629630654)</f>
        <v>0.708587963</v>
      </c>
      <c r="D1215" s="4">
        <f>IFERROR(__xludf.DUMMYFUNCTION("""COMPUTED_VALUE"""),12.96097)</f>
        <v>12.96097</v>
      </c>
      <c r="E1215" s="4">
        <f>IFERROR(__xludf.DUMMYFUNCTION("""COMPUTED_VALUE"""),80.14567)</f>
        <v>80.14567</v>
      </c>
      <c r="F1215" s="4">
        <f>IFERROR(__xludf.DUMMYFUNCTION("""COMPUTED_VALUE"""),5339.0)</f>
        <v>5339</v>
      </c>
      <c r="G1215" s="4">
        <f>IFERROR(__xludf.DUMMYFUNCTION("""COMPUTED_VALUE"""),20.0)</f>
        <v>20</v>
      </c>
      <c r="H1215" s="4"/>
      <c r="I1215" s="4"/>
    </row>
    <row r="1216">
      <c r="A1216" s="4" t="str">
        <f>IFERROR(__xludf.DUMMYFUNCTION("""COMPUTED_VALUE"""),"cas_hmw")</f>
        <v>cas_hmw</v>
      </c>
      <c r="B1216" s="5">
        <f>IFERROR(__xludf.DUMMYFUNCTION("""COMPUTED_VALUE"""),44776.0)</f>
        <v>44776</v>
      </c>
      <c r="C1216" s="6">
        <f>IFERROR(__xludf.DUMMYFUNCTION("""COMPUTED_VALUE"""),0.7117708333316841)</f>
        <v>0.7117708333</v>
      </c>
      <c r="D1216" s="4">
        <f>IFERROR(__xludf.DUMMYFUNCTION("""COMPUTED_VALUE"""),12.98142)</f>
        <v>12.98142</v>
      </c>
      <c r="E1216" s="4">
        <f>IFERROR(__xludf.DUMMYFUNCTION("""COMPUTED_VALUE"""),80.166618)</f>
        <v>80.166618</v>
      </c>
      <c r="F1216" s="4">
        <f>IFERROR(__xludf.DUMMYFUNCTION("""COMPUTED_VALUE"""),805.0)</f>
        <v>805</v>
      </c>
      <c r="G1216" s="4">
        <f>IFERROR(__xludf.DUMMYFUNCTION("""COMPUTED_VALUE"""),0.0)</f>
        <v>0</v>
      </c>
      <c r="H1216" s="4"/>
      <c r="I1216" s="4"/>
    </row>
    <row r="1217">
      <c r="A1217" s="4" t="str">
        <f>IFERROR(__xludf.DUMMYFUNCTION("""COMPUTED_VALUE"""),"cas_hmw")</f>
        <v>cas_hmw</v>
      </c>
      <c r="B1217" s="5">
        <f>IFERROR(__xludf.DUMMYFUNCTION("""COMPUTED_VALUE"""),44776.0)</f>
        <v>44776</v>
      </c>
      <c r="C1217" s="6">
        <f>IFERROR(__xludf.DUMMYFUNCTION("""COMPUTED_VALUE"""),0.7124305555553292)</f>
        <v>0.7124305556</v>
      </c>
      <c r="D1217" s="4">
        <f>IFERROR(__xludf.DUMMYFUNCTION("""COMPUTED_VALUE"""),12.72412)</f>
        <v>12.72412</v>
      </c>
      <c r="E1217" s="4">
        <f>IFERROR(__xludf.DUMMYFUNCTION("""COMPUTED_VALUE"""),79.982157)</f>
        <v>79.982157</v>
      </c>
      <c r="F1217" s="4">
        <f>IFERROR(__xludf.DUMMYFUNCTION("""COMPUTED_VALUE"""),2846.0)</f>
        <v>2846</v>
      </c>
      <c r="G1217" s="4">
        <f>IFERROR(__xludf.DUMMYFUNCTION("""COMPUTED_VALUE"""),5.0)</f>
        <v>5</v>
      </c>
      <c r="H1217" s="4"/>
      <c r="I1217" s="4"/>
    </row>
    <row r="1218">
      <c r="A1218" s="4" t="str">
        <f>IFERROR(__xludf.DUMMYFUNCTION("""COMPUTED_VALUE"""),"cas_hmw")</f>
        <v>cas_hmw</v>
      </c>
      <c r="B1218" s="5">
        <f>IFERROR(__xludf.DUMMYFUNCTION("""COMPUTED_VALUE"""),44776.0)</f>
        <v>44776</v>
      </c>
      <c r="C1218" s="6">
        <f>IFERROR(__xludf.DUMMYFUNCTION("""COMPUTED_VALUE"""),0.7127893518518249)</f>
        <v>0.7127893519</v>
      </c>
      <c r="D1218" s="4">
        <f>IFERROR(__xludf.DUMMYFUNCTION("""COMPUTED_VALUE"""),12.72412)</f>
        <v>12.72412</v>
      </c>
      <c r="E1218" s="4">
        <f>IFERROR(__xludf.DUMMYFUNCTION("""COMPUTED_VALUE"""),79.982157)</f>
        <v>79.982157</v>
      </c>
      <c r="F1218" s="4">
        <f>IFERROR(__xludf.DUMMYFUNCTION("""COMPUTED_VALUE"""),2846.0)</f>
        <v>2846</v>
      </c>
      <c r="G1218" s="4">
        <f>IFERROR(__xludf.DUMMYFUNCTION("""COMPUTED_VALUE"""),5.0)</f>
        <v>5</v>
      </c>
      <c r="H1218" s="4"/>
      <c r="I1218" s="4"/>
    </row>
    <row r="1219">
      <c r="A1219" s="4" t="str">
        <f>IFERROR(__xludf.DUMMYFUNCTION("""COMPUTED_VALUE"""),"cas_hmw")</f>
        <v>cas_hmw</v>
      </c>
      <c r="B1219" s="5">
        <f>IFERROR(__xludf.DUMMYFUNCTION("""COMPUTED_VALUE"""),44776.0)</f>
        <v>44776</v>
      </c>
      <c r="C1219" s="6">
        <f>IFERROR(__xludf.DUMMYFUNCTION("""COMPUTED_VALUE"""),0.7167129629633564)</f>
        <v>0.716712963</v>
      </c>
      <c r="D1219" s="4">
        <f>IFERROR(__xludf.DUMMYFUNCTION("""COMPUTED_VALUE"""),12.699975)</f>
        <v>12.699975</v>
      </c>
      <c r="E1219" s="4">
        <f>IFERROR(__xludf.DUMMYFUNCTION("""COMPUTED_VALUE"""),79.968773)</f>
        <v>79.968773</v>
      </c>
      <c r="F1219" s="4">
        <f>IFERROR(__xludf.DUMMYFUNCTION("""COMPUTED_VALUE"""),2846.0)</f>
        <v>2846</v>
      </c>
      <c r="G1219" s="4">
        <f>IFERROR(__xludf.DUMMYFUNCTION("""COMPUTED_VALUE"""),0.0)</f>
        <v>0</v>
      </c>
      <c r="H1219" s="4"/>
      <c r="I1219" s="4"/>
    </row>
    <row r="1220">
      <c r="A1220" s="4" t="str">
        <f>IFERROR(__xludf.DUMMYFUNCTION("""COMPUTED_VALUE"""),"cas_hmw")</f>
        <v>cas_hmw</v>
      </c>
      <c r="B1220" s="5">
        <f>IFERROR(__xludf.DUMMYFUNCTION("""COMPUTED_VALUE"""),44776.0)</f>
        <v>44776</v>
      </c>
      <c r="C1220" s="6">
        <f>IFERROR(__xludf.DUMMYFUNCTION("""COMPUTED_VALUE"""),0.7175810185181035)</f>
        <v>0.7175810185</v>
      </c>
      <c r="D1220" s="4">
        <f>IFERROR(__xludf.DUMMYFUNCTION("""COMPUTED_VALUE"""),12.699975)</f>
        <v>12.699975</v>
      </c>
      <c r="E1220" s="4">
        <f>IFERROR(__xludf.DUMMYFUNCTION("""COMPUTED_VALUE"""),79.968773)</f>
        <v>79.968773</v>
      </c>
      <c r="F1220" s="4">
        <f>IFERROR(__xludf.DUMMYFUNCTION("""COMPUTED_VALUE"""),2846.0)</f>
        <v>2846</v>
      </c>
      <c r="G1220" s="4">
        <f>IFERROR(__xludf.DUMMYFUNCTION("""COMPUTED_VALUE"""),0.0)</f>
        <v>0</v>
      </c>
      <c r="H1220" s="4"/>
      <c r="I1220" s="4"/>
    </row>
    <row r="1221">
      <c r="A1221" s="4" t="str">
        <f>IFERROR(__xludf.DUMMYFUNCTION("""COMPUTED_VALUE"""),"cas_hmw")</f>
        <v>cas_hmw</v>
      </c>
      <c r="B1221" s="5">
        <f>IFERROR(__xludf.DUMMYFUNCTION("""COMPUTED_VALUE"""),44776.0)</f>
        <v>44776</v>
      </c>
      <c r="C1221" s="6">
        <f>IFERROR(__xludf.DUMMYFUNCTION("""COMPUTED_VALUE"""),0.7185995370382443)</f>
        <v>0.718599537</v>
      </c>
      <c r="D1221" s="4">
        <f>IFERROR(__xludf.DUMMYFUNCTION("""COMPUTED_VALUE"""),12.696664)</f>
        <v>12.696664</v>
      </c>
      <c r="E1221" s="4">
        <f>IFERROR(__xludf.DUMMYFUNCTION("""COMPUTED_VALUE"""),79.97708)</f>
        <v>79.97708</v>
      </c>
      <c r="F1221" s="4">
        <f>IFERROR(__xludf.DUMMYFUNCTION("""COMPUTED_VALUE"""),2846.0)</f>
        <v>2846</v>
      </c>
      <c r="G1221" s="4">
        <f>IFERROR(__xludf.DUMMYFUNCTION("""COMPUTED_VALUE"""),9.0)</f>
        <v>9</v>
      </c>
      <c r="H1221" s="4"/>
      <c r="I1221" s="4"/>
    </row>
    <row r="1222">
      <c r="A1222" s="4" t="str">
        <f>IFERROR(__xludf.DUMMYFUNCTION("""COMPUTED_VALUE"""),"cas_hmw")</f>
        <v>cas_hmw</v>
      </c>
      <c r="B1222" s="5">
        <f>IFERROR(__xludf.DUMMYFUNCTION("""COMPUTED_VALUE"""),44776.0)</f>
        <v>44776</v>
      </c>
      <c r="C1222" s="6">
        <f>IFERROR(__xludf.DUMMYFUNCTION("""COMPUTED_VALUE"""),0.7247106481481751)</f>
        <v>0.7247106481</v>
      </c>
      <c r="D1222" s="4">
        <f>IFERROR(__xludf.DUMMYFUNCTION("""COMPUTED_VALUE"""),13.016129)</f>
        <v>13.016129</v>
      </c>
      <c r="E1222" s="4">
        <f>IFERROR(__xludf.DUMMYFUNCTION("""COMPUTED_VALUE"""),80.225384)</f>
        <v>80.225384</v>
      </c>
      <c r="F1222" s="4">
        <f>IFERROR(__xludf.DUMMYFUNCTION("""COMPUTED_VALUE"""),5339.0)</f>
        <v>5339</v>
      </c>
      <c r="G1222" s="4">
        <f>IFERROR(__xludf.DUMMYFUNCTION("""COMPUTED_VALUE"""),0.0)</f>
        <v>0</v>
      </c>
      <c r="H1222" s="4"/>
      <c r="I1222" s="4"/>
    </row>
    <row r="1223">
      <c r="A1223" s="4" t="str">
        <f>IFERROR(__xludf.DUMMYFUNCTION("""COMPUTED_VALUE"""),"cas_hmw")</f>
        <v>cas_hmw</v>
      </c>
      <c r="B1223" s="5">
        <f>IFERROR(__xludf.DUMMYFUNCTION("""COMPUTED_VALUE"""),44776.0)</f>
        <v>44776</v>
      </c>
      <c r="C1223" s="6">
        <f>IFERROR(__xludf.DUMMYFUNCTION("""COMPUTED_VALUE"""),0.7257870370376622)</f>
        <v>0.725787037</v>
      </c>
      <c r="D1223" s="4">
        <f>IFERROR(__xludf.DUMMYFUNCTION("""COMPUTED_VALUE"""),12.986638)</f>
        <v>12.986638</v>
      </c>
      <c r="E1223" s="4">
        <f>IFERROR(__xludf.DUMMYFUNCTION("""COMPUTED_VALUE"""),80.142079)</f>
        <v>80.142079</v>
      </c>
      <c r="F1223" s="4">
        <f>IFERROR(__xludf.DUMMYFUNCTION("""COMPUTED_VALUE"""),3143.0)</f>
        <v>3143</v>
      </c>
      <c r="G1223" s="4">
        <f>IFERROR(__xludf.DUMMYFUNCTION("""COMPUTED_VALUE"""),16.0)</f>
        <v>16</v>
      </c>
      <c r="H1223" s="4"/>
      <c r="I1223" s="4"/>
    </row>
    <row r="1224">
      <c r="A1224" s="4" t="str">
        <f>IFERROR(__xludf.DUMMYFUNCTION("""COMPUTED_VALUE"""),"cas_hmw")</f>
        <v>cas_hmw</v>
      </c>
      <c r="B1224" s="5">
        <f>IFERROR(__xludf.DUMMYFUNCTION("""COMPUTED_VALUE"""),44776.0)</f>
        <v>44776</v>
      </c>
      <c r="C1224" s="6">
        <f>IFERROR(__xludf.DUMMYFUNCTION("""COMPUTED_VALUE"""),0.7294328703719657)</f>
        <v>0.7294328704</v>
      </c>
      <c r="D1224" s="4">
        <f>IFERROR(__xludf.DUMMYFUNCTION("""COMPUTED_VALUE"""),13.006774)</f>
        <v>13.006774</v>
      </c>
      <c r="E1224" s="4">
        <f>IFERROR(__xludf.DUMMYFUNCTION("""COMPUTED_VALUE"""),80.257461)</f>
        <v>80.257461</v>
      </c>
      <c r="F1224" s="4">
        <f>IFERROR(__xludf.DUMMYFUNCTION("""COMPUTED_VALUE"""),805.0)</f>
        <v>805</v>
      </c>
      <c r="G1224" s="4">
        <f>IFERROR(__xludf.DUMMYFUNCTION("""COMPUTED_VALUE"""),14.0)</f>
        <v>14</v>
      </c>
      <c r="H1224" s="4"/>
      <c r="I1224" s="4"/>
    </row>
    <row r="1225">
      <c r="A1225" s="4" t="str">
        <f>IFERROR(__xludf.DUMMYFUNCTION("""COMPUTED_VALUE"""),"cas_hmw")</f>
        <v>cas_hmw</v>
      </c>
      <c r="B1225" s="5">
        <f>IFERROR(__xludf.DUMMYFUNCTION("""COMPUTED_VALUE"""),44776.0)</f>
        <v>44776</v>
      </c>
      <c r="C1225" s="6">
        <f>IFERROR(__xludf.DUMMYFUNCTION("""COMPUTED_VALUE"""),0.7346990740734327)</f>
        <v>0.7346990741</v>
      </c>
      <c r="D1225" s="4">
        <f>IFERROR(__xludf.DUMMYFUNCTION("""COMPUTED_VALUE"""),13.042526)</f>
        <v>13.042526</v>
      </c>
      <c r="E1225" s="4">
        <f>IFERROR(__xludf.DUMMYFUNCTION("""COMPUTED_VALUE"""),80.247535)</f>
        <v>80.247535</v>
      </c>
      <c r="F1225" s="4">
        <f>IFERROR(__xludf.DUMMYFUNCTION("""COMPUTED_VALUE"""),5339.0)</f>
        <v>5339</v>
      </c>
      <c r="G1225" s="4">
        <f>IFERROR(__xludf.DUMMYFUNCTION("""COMPUTED_VALUE"""),20.0)</f>
        <v>20</v>
      </c>
      <c r="H1225" s="4"/>
      <c r="I1225" s="4"/>
    </row>
    <row r="1226">
      <c r="A1226" s="4" t="str">
        <f>IFERROR(__xludf.DUMMYFUNCTION("""COMPUTED_VALUE"""),"cas_hmw")</f>
        <v>cas_hmw</v>
      </c>
      <c r="B1226" s="5">
        <f>IFERROR(__xludf.DUMMYFUNCTION("""COMPUTED_VALUE"""),44776.0)</f>
        <v>44776</v>
      </c>
      <c r="C1226" s="6">
        <f>IFERROR(__xludf.DUMMYFUNCTION("""COMPUTED_VALUE"""),0.7376967592608707)</f>
        <v>0.7376967593</v>
      </c>
      <c r="D1226" s="4">
        <f>IFERROR(__xludf.DUMMYFUNCTION("""COMPUTED_VALUE"""),13.033938)</f>
        <v>13.033938</v>
      </c>
      <c r="E1226" s="4">
        <f>IFERROR(__xludf.DUMMYFUNCTION("""COMPUTED_VALUE"""),80.267864)</f>
        <v>80.267864</v>
      </c>
      <c r="F1226" s="4">
        <f>IFERROR(__xludf.DUMMYFUNCTION("""COMPUTED_VALUE"""),805.0)</f>
        <v>805</v>
      </c>
      <c r="G1226" s="4">
        <f>IFERROR(__xludf.DUMMYFUNCTION("""COMPUTED_VALUE"""),19.0)</f>
        <v>19</v>
      </c>
      <c r="H1226" s="4"/>
      <c r="I1226" s="4"/>
    </row>
    <row r="1227">
      <c r="A1227" s="4" t="str">
        <f>IFERROR(__xludf.DUMMYFUNCTION("""COMPUTED_VALUE"""),"cas_hmw")</f>
        <v>cas_hmw</v>
      </c>
      <c r="B1227" s="5">
        <f>IFERROR(__xludf.DUMMYFUNCTION("""COMPUTED_VALUE"""),44776.0)</f>
        <v>44776</v>
      </c>
      <c r="C1227" s="6">
        <f>IFERROR(__xludf.DUMMYFUNCTION("""COMPUTED_VALUE"""),0.7552777777782467)</f>
        <v>0.7552777778</v>
      </c>
      <c r="D1227" s="4">
        <f>IFERROR(__xludf.DUMMYFUNCTION("""COMPUTED_VALUE"""),13.06763)</f>
        <v>13.06763</v>
      </c>
      <c r="E1227" s="4">
        <f>IFERROR(__xludf.DUMMYFUNCTION("""COMPUTED_VALUE"""),80.249232)</f>
        <v>80.249232</v>
      </c>
      <c r="F1227" s="4">
        <f>IFERROR(__xludf.DUMMYFUNCTION("""COMPUTED_VALUE"""),805.0)</f>
        <v>805</v>
      </c>
      <c r="G1227" s="4">
        <f>IFERROR(__xludf.DUMMYFUNCTION("""COMPUTED_VALUE"""),20.0)</f>
        <v>20</v>
      </c>
      <c r="H1227" s="4"/>
      <c r="I1227" s="4"/>
    </row>
    <row r="1228">
      <c r="A1228" s="4" t="str">
        <f>IFERROR(__xludf.DUMMYFUNCTION("""COMPUTED_VALUE"""),"cas_hmw")</f>
        <v>cas_hmw</v>
      </c>
      <c r="B1228" s="5">
        <f>IFERROR(__xludf.DUMMYFUNCTION("""COMPUTED_VALUE"""),44776.0)</f>
        <v>44776</v>
      </c>
      <c r="C1228" s="6">
        <f>IFERROR(__xludf.DUMMYFUNCTION("""COMPUTED_VALUE"""),0.7747222222205892)</f>
        <v>0.7747222222</v>
      </c>
      <c r="D1228" s="4">
        <f>IFERROR(__xludf.DUMMYFUNCTION("""COMPUTED_VALUE"""),12.930224)</f>
        <v>12.930224</v>
      </c>
      <c r="E1228" s="4">
        <f>IFERROR(__xludf.DUMMYFUNCTION("""COMPUTED_VALUE"""),80.080118)</f>
        <v>80.080118</v>
      </c>
      <c r="F1228" s="4">
        <f>IFERROR(__xludf.DUMMYFUNCTION("""COMPUTED_VALUE"""),3143.0)</f>
        <v>3143</v>
      </c>
      <c r="G1228" s="4">
        <f>IFERROR(__xludf.DUMMYFUNCTION("""COMPUTED_VALUE"""),0.0)</f>
        <v>0</v>
      </c>
      <c r="H1228" s="4"/>
      <c r="I1228" s="4"/>
    </row>
    <row r="1229">
      <c r="A1229" s="4" t="str">
        <f>IFERROR(__xludf.DUMMYFUNCTION("""COMPUTED_VALUE"""),"cas_hmw")</f>
        <v>cas_hmw</v>
      </c>
      <c r="B1229" s="5">
        <f>IFERROR(__xludf.DUMMYFUNCTION("""COMPUTED_VALUE"""),44777.0)</f>
        <v>44777</v>
      </c>
      <c r="C1229" s="6">
        <f>IFERROR(__xludf.DUMMYFUNCTION("""COMPUTED_VALUE"""),0.2793865740750334)</f>
        <v>0.2793865741</v>
      </c>
      <c r="D1229" s="4">
        <f>IFERROR(__xludf.DUMMYFUNCTION("""COMPUTED_VALUE"""),13.056546)</f>
        <v>13.056546</v>
      </c>
      <c r="E1229" s="4">
        <f>IFERROR(__xludf.DUMMYFUNCTION("""COMPUTED_VALUE"""),80.097259)</f>
        <v>80.097259</v>
      </c>
      <c r="F1229" s="4">
        <f>IFERROR(__xludf.DUMMYFUNCTION("""COMPUTED_VALUE"""),3143.0)</f>
        <v>3143</v>
      </c>
      <c r="G1229" s="4">
        <f>IFERROR(__xludf.DUMMYFUNCTION("""COMPUTED_VALUE"""),13.0)</f>
        <v>13</v>
      </c>
      <c r="H1229" s="4"/>
      <c r="I1229" s="4"/>
    </row>
    <row r="1230">
      <c r="A1230" s="4" t="str">
        <f>IFERROR(__xludf.DUMMYFUNCTION("""COMPUTED_VALUE"""),"cas_hmw")</f>
        <v>cas_hmw</v>
      </c>
      <c r="B1230" s="5">
        <f>IFERROR(__xludf.DUMMYFUNCTION("""COMPUTED_VALUE"""),44777.0)</f>
        <v>44777</v>
      </c>
      <c r="C1230" s="6">
        <f>IFERROR(__xludf.DUMMYFUNCTION("""COMPUTED_VALUE"""),0.2793865740750334)</f>
        <v>0.2793865741</v>
      </c>
      <c r="D1230" s="4">
        <f>IFERROR(__xludf.DUMMYFUNCTION("""COMPUTED_VALUE"""),13.056546)</f>
        <v>13.056546</v>
      </c>
      <c r="E1230" s="4">
        <f>IFERROR(__xludf.DUMMYFUNCTION("""COMPUTED_VALUE"""),80.097259)</f>
        <v>80.097259</v>
      </c>
      <c r="F1230" s="4">
        <f>IFERROR(__xludf.DUMMYFUNCTION("""COMPUTED_VALUE"""),3143.0)</f>
        <v>3143</v>
      </c>
      <c r="G1230" s="4">
        <f>IFERROR(__xludf.DUMMYFUNCTION("""COMPUTED_VALUE"""),13.0)</f>
        <v>13</v>
      </c>
      <c r="H1230" s="4"/>
      <c r="I1230" s="4"/>
    </row>
    <row r="1231">
      <c r="A1231" s="4" t="str">
        <f>IFERROR(__xludf.DUMMYFUNCTION("""COMPUTED_VALUE"""),"cas_hmw")</f>
        <v>cas_hmw</v>
      </c>
      <c r="B1231" s="5">
        <f>IFERROR(__xludf.DUMMYFUNCTION("""COMPUTED_VALUE"""),44777.0)</f>
        <v>44777</v>
      </c>
      <c r="C1231" s="6">
        <f>IFERROR(__xludf.DUMMYFUNCTION("""COMPUTED_VALUE"""),0.2793981481481751)</f>
        <v>0.2793981481</v>
      </c>
      <c r="D1231" s="4">
        <f>IFERROR(__xludf.DUMMYFUNCTION("""COMPUTED_VALUE"""),13.056546)</f>
        <v>13.056546</v>
      </c>
      <c r="E1231" s="4">
        <f>IFERROR(__xludf.DUMMYFUNCTION("""COMPUTED_VALUE"""),80.097259)</f>
        <v>80.097259</v>
      </c>
      <c r="F1231" s="4">
        <f>IFERROR(__xludf.DUMMYFUNCTION("""COMPUTED_VALUE"""),3143.0)</f>
        <v>3143</v>
      </c>
      <c r="G1231" s="4">
        <f>IFERROR(__xludf.DUMMYFUNCTION("""COMPUTED_VALUE"""),13.0)</f>
        <v>13</v>
      </c>
      <c r="H1231" s="4"/>
      <c r="I1231" s="4"/>
    </row>
    <row r="1232">
      <c r="A1232" s="4" t="str">
        <f>IFERROR(__xludf.DUMMYFUNCTION("""COMPUTED_VALUE"""),"cas_hmw")</f>
        <v>cas_hmw</v>
      </c>
      <c r="B1232" s="5">
        <f>IFERROR(__xludf.DUMMYFUNCTION("""COMPUTED_VALUE"""),44777.0)</f>
        <v>44777</v>
      </c>
      <c r="C1232" s="6">
        <f>IFERROR(__xludf.DUMMYFUNCTION("""COMPUTED_VALUE"""),0.33682870370466844)</f>
        <v>0.3368287037</v>
      </c>
      <c r="D1232" s="4">
        <f>IFERROR(__xludf.DUMMYFUNCTION("""COMPUTED_VALUE"""),12.951084)</f>
        <v>12.951084</v>
      </c>
      <c r="E1232" s="4">
        <f>IFERROR(__xludf.DUMMYFUNCTION("""COMPUTED_VALUE"""),80.14003)</f>
        <v>80.14003</v>
      </c>
      <c r="F1232" s="4">
        <f>IFERROR(__xludf.DUMMYFUNCTION("""COMPUTED_VALUE"""),3143.0)</f>
        <v>3143</v>
      </c>
      <c r="G1232" s="4">
        <f>IFERROR(__xludf.DUMMYFUNCTION("""COMPUTED_VALUE"""),4.0)</f>
        <v>4</v>
      </c>
      <c r="H1232" s="4"/>
      <c r="I1232" s="4"/>
    </row>
    <row r="1233">
      <c r="A1233" s="4" t="str">
        <f>IFERROR(__xludf.DUMMYFUNCTION("""COMPUTED_VALUE"""),"cas_hmw")</f>
        <v>cas_hmw</v>
      </c>
      <c r="B1233" s="5">
        <f>IFERROR(__xludf.DUMMYFUNCTION("""COMPUTED_VALUE"""),44777.0)</f>
        <v>44777</v>
      </c>
      <c r="C1233" s="6">
        <f>IFERROR(__xludf.DUMMYFUNCTION("""COMPUTED_VALUE"""),0.33803240740598994)</f>
        <v>0.3380324074</v>
      </c>
      <c r="D1233" s="4">
        <f>IFERROR(__xludf.DUMMYFUNCTION("""COMPUTED_VALUE"""),12.973124)</f>
        <v>12.973124</v>
      </c>
      <c r="E1233" s="4">
        <f>IFERROR(__xludf.DUMMYFUNCTION("""COMPUTED_VALUE"""),80.152921)</f>
        <v>80.152921</v>
      </c>
      <c r="F1233" s="4">
        <f>IFERROR(__xludf.DUMMYFUNCTION("""COMPUTED_VALUE"""),805.0)</f>
        <v>805</v>
      </c>
      <c r="G1233" s="4">
        <f>IFERROR(__xludf.DUMMYFUNCTION("""COMPUTED_VALUE"""),0.0)</f>
        <v>0</v>
      </c>
      <c r="H1233" s="4"/>
      <c r="I1233" s="4"/>
    </row>
    <row r="1234">
      <c r="A1234" s="4" t="str">
        <f>IFERROR(__xludf.DUMMYFUNCTION("""COMPUTED_VALUE"""),"cas_hmw")</f>
        <v>cas_hmw</v>
      </c>
      <c r="B1234" s="5">
        <f>IFERROR(__xludf.DUMMYFUNCTION("""COMPUTED_VALUE"""),44777.0)</f>
        <v>44777</v>
      </c>
      <c r="C1234" s="6">
        <f>IFERROR(__xludf.DUMMYFUNCTION("""COMPUTED_VALUE"""),0.3380787037021946)</f>
        <v>0.3380787037</v>
      </c>
      <c r="D1234" s="4">
        <f>IFERROR(__xludf.DUMMYFUNCTION("""COMPUTED_VALUE"""),12.973124)</f>
        <v>12.973124</v>
      </c>
      <c r="E1234" s="4">
        <f>IFERROR(__xludf.DUMMYFUNCTION("""COMPUTED_VALUE"""),80.152921)</f>
        <v>80.152921</v>
      </c>
      <c r="F1234" s="4">
        <f>IFERROR(__xludf.DUMMYFUNCTION("""COMPUTED_VALUE"""),805.0)</f>
        <v>805</v>
      </c>
      <c r="G1234" s="4">
        <f>IFERROR(__xludf.DUMMYFUNCTION("""COMPUTED_VALUE"""),0.0)</f>
        <v>0</v>
      </c>
      <c r="H1234" s="4"/>
      <c r="I1234" s="4"/>
    </row>
    <row r="1235">
      <c r="A1235" s="4" t="str">
        <f>IFERROR(__xludf.DUMMYFUNCTION("""COMPUTED_VALUE"""),"cas_hmw")</f>
        <v>cas_hmw</v>
      </c>
      <c r="B1235" s="5">
        <f>IFERROR(__xludf.DUMMYFUNCTION("""COMPUTED_VALUE"""),44777.0)</f>
        <v>44777</v>
      </c>
      <c r="C1235" s="6">
        <f>IFERROR(__xludf.DUMMYFUNCTION("""COMPUTED_VALUE"""),0.3409143518510973)</f>
        <v>0.3409143519</v>
      </c>
      <c r="D1235" s="4">
        <f>IFERROR(__xludf.DUMMYFUNCTION("""COMPUTED_VALUE"""),12.931769)</f>
        <v>12.931769</v>
      </c>
      <c r="E1235" s="4">
        <f>IFERROR(__xludf.DUMMYFUNCTION("""COMPUTED_VALUE"""),80.123)</f>
        <v>80.123</v>
      </c>
      <c r="F1235" s="4">
        <f>IFERROR(__xludf.DUMMYFUNCTION("""COMPUTED_VALUE"""),3143.0)</f>
        <v>3143</v>
      </c>
      <c r="G1235" s="4">
        <f>IFERROR(__xludf.DUMMYFUNCTION("""COMPUTED_VALUE"""),17.0)</f>
        <v>17</v>
      </c>
      <c r="H1235" s="4"/>
      <c r="I1235" s="4"/>
    </row>
    <row r="1236">
      <c r="A1236" s="4" t="str">
        <f>IFERROR(__xludf.DUMMYFUNCTION("""COMPUTED_VALUE"""),"cas_hmw")</f>
        <v>cas_hmw</v>
      </c>
      <c r="B1236" s="5">
        <f>IFERROR(__xludf.DUMMYFUNCTION("""COMPUTED_VALUE"""),44777.0)</f>
        <v>44777</v>
      </c>
      <c r="C1236" s="6">
        <f>IFERROR(__xludf.DUMMYFUNCTION("""COMPUTED_VALUE"""),0.340925925924239)</f>
        <v>0.3409259259</v>
      </c>
      <c r="D1236" s="4">
        <f>IFERROR(__xludf.DUMMYFUNCTION("""COMPUTED_VALUE"""),12.931769)</f>
        <v>12.931769</v>
      </c>
      <c r="E1236" s="4">
        <f>IFERROR(__xludf.DUMMYFUNCTION("""COMPUTED_VALUE"""),80.123)</f>
        <v>80.123</v>
      </c>
      <c r="F1236" s="4">
        <f>IFERROR(__xludf.DUMMYFUNCTION("""COMPUTED_VALUE"""),3143.0)</f>
        <v>3143</v>
      </c>
      <c r="G1236" s="4">
        <f>IFERROR(__xludf.DUMMYFUNCTION("""COMPUTED_VALUE"""),17.0)</f>
        <v>17</v>
      </c>
      <c r="H1236" s="4"/>
      <c r="I1236" s="4"/>
    </row>
    <row r="1237">
      <c r="A1237" s="4" t="str">
        <f>IFERROR(__xludf.DUMMYFUNCTION("""COMPUTED_VALUE"""),"cas_hmw")</f>
        <v>cas_hmw</v>
      </c>
      <c r="B1237" s="5">
        <f>IFERROR(__xludf.DUMMYFUNCTION("""COMPUTED_VALUE"""),44777.0)</f>
        <v>44777</v>
      </c>
      <c r="C1237" s="6">
        <f>IFERROR(__xludf.DUMMYFUNCTION("""COMPUTED_VALUE"""),0.34093750000101863)</f>
        <v>0.3409375</v>
      </c>
      <c r="D1237" s="4">
        <f>IFERROR(__xludf.DUMMYFUNCTION("""COMPUTED_VALUE"""),12.931769)</f>
        <v>12.931769</v>
      </c>
      <c r="E1237" s="4">
        <f>IFERROR(__xludf.DUMMYFUNCTION("""COMPUTED_VALUE"""),80.123)</f>
        <v>80.123</v>
      </c>
      <c r="F1237" s="4">
        <f>IFERROR(__xludf.DUMMYFUNCTION("""COMPUTED_VALUE"""),3143.0)</f>
        <v>3143</v>
      </c>
      <c r="G1237" s="4">
        <f>IFERROR(__xludf.DUMMYFUNCTION("""COMPUTED_VALUE"""),17.0)</f>
        <v>17</v>
      </c>
      <c r="H1237" s="4"/>
      <c r="I1237" s="4"/>
    </row>
    <row r="1238">
      <c r="A1238" s="4" t="str">
        <f>IFERROR(__xludf.DUMMYFUNCTION("""COMPUTED_VALUE"""),"cas_hmw")</f>
        <v>cas_hmw</v>
      </c>
      <c r="B1238" s="5">
        <f>IFERROR(__xludf.DUMMYFUNCTION("""COMPUTED_VALUE"""),44777.0)</f>
        <v>44777</v>
      </c>
      <c r="C1238" s="6">
        <f>IFERROR(__xludf.DUMMYFUNCTION("""COMPUTED_VALUE"""),0.34093750000101863)</f>
        <v>0.3409375</v>
      </c>
      <c r="D1238" s="4">
        <f>IFERROR(__xludf.DUMMYFUNCTION("""COMPUTED_VALUE"""),12.931769)</f>
        <v>12.931769</v>
      </c>
      <c r="E1238" s="4">
        <f>IFERROR(__xludf.DUMMYFUNCTION("""COMPUTED_VALUE"""),80.123)</f>
        <v>80.123</v>
      </c>
      <c r="F1238" s="4">
        <f>IFERROR(__xludf.DUMMYFUNCTION("""COMPUTED_VALUE"""),3143.0)</f>
        <v>3143</v>
      </c>
      <c r="G1238" s="4">
        <f>IFERROR(__xludf.DUMMYFUNCTION("""COMPUTED_VALUE"""),17.0)</f>
        <v>17</v>
      </c>
      <c r="H1238" s="4"/>
      <c r="I1238" s="4"/>
    </row>
    <row r="1239">
      <c r="A1239" s="4" t="str">
        <f>IFERROR(__xludf.DUMMYFUNCTION("""COMPUTED_VALUE"""),"cas_hmw")</f>
        <v>cas_hmw</v>
      </c>
      <c r="B1239" s="5">
        <f>IFERROR(__xludf.DUMMYFUNCTION("""COMPUTED_VALUE"""),44777.0)</f>
        <v>44777</v>
      </c>
      <c r="C1239" s="6">
        <f>IFERROR(__xludf.DUMMYFUNCTION("""COMPUTED_VALUE"""),0.3409490740741603)</f>
        <v>0.3409490741</v>
      </c>
      <c r="D1239" s="4">
        <f>IFERROR(__xludf.DUMMYFUNCTION("""COMPUTED_VALUE"""),12.931769)</f>
        <v>12.931769</v>
      </c>
      <c r="E1239" s="4">
        <f>IFERROR(__xludf.DUMMYFUNCTION("""COMPUTED_VALUE"""),80.123)</f>
        <v>80.123</v>
      </c>
      <c r="F1239" s="4">
        <f>IFERROR(__xludf.DUMMYFUNCTION("""COMPUTED_VALUE"""),3143.0)</f>
        <v>3143</v>
      </c>
      <c r="G1239" s="4">
        <f>IFERROR(__xludf.DUMMYFUNCTION("""COMPUTED_VALUE"""),17.0)</f>
        <v>17</v>
      </c>
      <c r="H1239" s="4"/>
      <c r="I1239" s="4"/>
    </row>
    <row r="1240">
      <c r="A1240" s="4" t="str">
        <f>IFERROR(__xludf.DUMMYFUNCTION("""COMPUTED_VALUE"""),"cas_hmw")</f>
        <v>cas_hmw</v>
      </c>
      <c r="B1240" s="5">
        <f>IFERROR(__xludf.DUMMYFUNCTION("""COMPUTED_VALUE"""),44777.0)</f>
        <v>44777</v>
      </c>
      <c r="C1240" s="6">
        <f>IFERROR(__xludf.DUMMYFUNCTION("""COMPUTED_VALUE"""),0.34107638888963265)</f>
        <v>0.3410763889</v>
      </c>
      <c r="D1240" s="4">
        <f>IFERROR(__xludf.DUMMYFUNCTION("""COMPUTED_VALUE"""),12.930918)</f>
        <v>12.930918</v>
      </c>
      <c r="E1240" s="4">
        <f>IFERROR(__xludf.DUMMYFUNCTION("""COMPUTED_VALUE"""),80.122141)</f>
        <v>80.122141</v>
      </c>
      <c r="F1240" s="4">
        <f>IFERROR(__xludf.DUMMYFUNCTION("""COMPUTED_VALUE"""),3143.0)</f>
        <v>3143</v>
      </c>
      <c r="G1240" s="4">
        <f>IFERROR(__xludf.DUMMYFUNCTION("""COMPUTED_VALUE"""),0.0)</f>
        <v>0</v>
      </c>
      <c r="H1240" s="4"/>
      <c r="I1240" s="4"/>
    </row>
    <row r="1241">
      <c r="A1241" s="4" t="str">
        <f>IFERROR(__xludf.DUMMYFUNCTION("""COMPUTED_VALUE"""),"cas_hmw")</f>
        <v>cas_hmw</v>
      </c>
      <c r="B1241" s="5">
        <f>IFERROR(__xludf.DUMMYFUNCTION("""COMPUTED_VALUE"""),44777.0)</f>
        <v>44777</v>
      </c>
      <c r="C1241" s="6">
        <f>IFERROR(__xludf.DUMMYFUNCTION("""COMPUTED_VALUE"""),0.3504745370373712)</f>
        <v>0.350474537</v>
      </c>
      <c r="D1241" s="4">
        <f>IFERROR(__xludf.DUMMYFUNCTION("""COMPUTED_VALUE"""),12.920827)</f>
        <v>12.920827</v>
      </c>
      <c r="E1241" s="4">
        <f>IFERROR(__xludf.DUMMYFUNCTION("""COMPUTED_VALUE"""),80.089594)</f>
        <v>80.089594</v>
      </c>
      <c r="F1241" s="4">
        <f>IFERROR(__xludf.DUMMYFUNCTION("""COMPUTED_VALUE"""),3143.0)</f>
        <v>3143</v>
      </c>
      <c r="G1241" s="4">
        <f>IFERROR(__xludf.DUMMYFUNCTION("""COMPUTED_VALUE"""),19.0)</f>
        <v>19</v>
      </c>
      <c r="H1241" s="4"/>
      <c r="I1241" s="4"/>
    </row>
    <row r="1242">
      <c r="A1242" s="4" t="str">
        <f>IFERROR(__xludf.DUMMYFUNCTION("""COMPUTED_VALUE"""),"cas_hmw")</f>
        <v>cas_hmw</v>
      </c>
      <c r="B1242" s="5">
        <f>IFERROR(__xludf.DUMMYFUNCTION("""COMPUTED_VALUE"""),44777.0)</f>
        <v>44777</v>
      </c>
      <c r="C1242" s="6">
        <f>IFERROR(__xludf.DUMMYFUNCTION("""COMPUTED_VALUE"""),0.7002777777779556)</f>
        <v>0.7002777778</v>
      </c>
      <c r="D1242" s="4">
        <f>IFERROR(__xludf.DUMMYFUNCTION("""COMPUTED_VALUE"""),12.92696)</f>
        <v>12.92696</v>
      </c>
      <c r="E1242" s="4">
        <f>IFERROR(__xludf.DUMMYFUNCTION("""COMPUTED_VALUE"""),80.118104)</f>
        <v>80.118104</v>
      </c>
      <c r="F1242" s="4">
        <f>IFERROR(__xludf.DUMMYFUNCTION("""COMPUTED_VALUE"""),5339.0)</f>
        <v>5339</v>
      </c>
      <c r="G1242" s="4">
        <f>IFERROR(__xludf.DUMMYFUNCTION("""COMPUTED_VALUE"""),7.0)</f>
        <v>7</v>
      </c>
      <c r="H1242" s="4"/>
      <c r="I1242" s="4"/>
    </row>
    <row r="1243">
      <c r="A1243" s="4" t="str">
        <f>IFERROR(__xludf.DUMMYFUNCTION("""COMPUTED_VALUE"""),"cas_hmw")</f>
        <v>cas_hmw</v>
      </c>
      <c r="B1243" s="5">
        <f>IFERROR(__xludf.DUMMYFUNCTION("""COMPUTED_VALUE"""),44777.0)</f>
        <v>44777</v>
      </c>
      <c r="C1243" s="6">
        <f>IFERROR(__xludf.DUMMYFUNCTION("""COMPUTED_VALUE"""),0.7072222222232085)</f>
        <v>0.7072222222</v>
      </c>
      <c r="D1243" s="4">
        <f>IFERROR(__xludf.DUMMYFUNCTION("""COMPUTED_VALUE"""),12.759979)</f>
        <v>12.759979</v>
      </c>
      <c r="E1243" s="4">
        <f>IFERROR(__xludf.DUMMYFUNCTION("""COMPUTED_VALUE"""),80.003385)</f>
        <v>80.003385</v>
      </c>
      <c r="F1243" s="4">
        <f>IFERROR(__xludf.DUMMYFUNCTION("""COMPUTED_VALUE"""),2846.0)</f>
        <v>2846</v>
      </c>
      <c r="G1243" s="4">
        <f>IFERROR(__xludf.DUMMYFUNCTION("""COMPUTED_VALUE"""),17.0)</f>
        <v>17</v>
      </c>
      <c r="H1243" s="4"/>
      <c r="I1243" s="4"/>
    </row>
    <row r="1244">
      <c r="A1244" s="4" t="str">
        <f>IFERROR(__xludf.DUMMYFUNCTION("""COMPUTED_VALUE"""),"cas_hmw")</f>
        <v>cas_hmw</v>
      </c>
      <c r="B1244" s="5">
        <f>IFERROR(__xludf.DUMMYFUNCTION("""COMPUTED_VALUE"""),44777.0)</f>
        <v>44777</v>
      </c>
      <c r="C1244" s="6">
        <f>IFERROR(__xludf.DUMMYFUNCTION("""COMPUTED_VALUE"""),0.7077430555546016)</f>
        <v>0.7077430556</v>
      </c>
      <c r="D1244" s="4">
        <f>IFERROR(__xludf.DUMMYFUNCTION("""COMPUTED_VALUE"""),12.935881)</f>
        <v>12.935881</v>
      </c>
      <c r="E1244" s="4">
        <f>IFERROR(__xludf.DUMMYFUNCTION("""COMPUTED_VALUE"""),80.126754)</f>
        <v>80.126754</v>
      </c>
      <c r="F1244" s="4">
        <f>IFERROR(__xludf.DUMMYFUNCTION("""COMPUTED_VALUE"""),805.0)</f>
        <v>805</v>
      </c>
      <c r="G1244" s="4">
        <f>IFERROR(__xludf.DUMMYFUNCTION("""COMPUTED_VALUE"""),8.0)</f>
        <v>8</v>
      </c>
      <c r="H1244" s="4"/>
      <c r="I1244" s="4"/>
    </row>
    <row r="1245">
      <c r="A1245" s="4" t="str">
        <f>IFERROR(__xludf.DUMMYFUNCTION("""COMPUTED_VALUE"""),"cas_hmw")</f>
        <v>cas_hmw</v>
      </c>
      <c r="B1245" s="5">
        <f>IFERROR(__xludf.DUMMYFUNCTION("""COMPUTED_VALUE"""),44777.0)</f>
        <v>44777</v>
      </c>
      <c r="C1245" s="6">
        <f>IFERROR(__xludf.DUMMYFUNCTION("""COMPUTED_VALUE"""),0.7077662037045229)</f>
        <v>0.7077662037</v>
      </c>
      <c r="D1245" s="4">
        <f>IFERROR(__xludf.DUMMYFUNCTION("""COMPUTED_VALUE"""),12.93632)</f>
        <v>12.93632</v>
      </c>
      <c r="E1245" s="4">
        <f>IFERROR(__xludf.DUMMYFUNCTION("""COMPUTED_VALUE"""),80.127194)</f>
        <v>80.127194</v>
      </c>
      <c r="F1245" s="4">
        <f>IFERROR(__xludf.DUMMYFUNCTION("""COMPUTED_VALUE"""),805.0)</f>
        <v>805</v>
      </c>
      <c r="G1245" s="4">
        <f>IFERROR(__xludf.DUMMYFUNCTION("""COMPUTED_VALUE"""),0.0)</f>
        <v>0</v>
      </c>
      <c r="H1245" s="4"/>
      <c r="I1245" s="4"/>
    </row>
    <row r="1246">
      <c r="A1246" s="4" t="str">
        <f>IFERROR(__xludf.DUMMYFUNCTION("""COMPUTED_VALUE"""),"cas_hmw")</f>
        <v>cas_hmw</v>
      </c>
      <c r="B1246" s="5">
        <f>IFERROR(__xludf.DUMMYFUNCTION("""COMPUTED_VALUE"""),44777.0)</f>
        <v>44777</v>
      </c>
      <c r="C1246" s="6">
        <f>IFERROR(__xludf.DUMMYFUNCTION("""COMPUTED_VALUE"""),0.7079050925931369)</f>
        <v>0.7079050926</v>
      </c>
      <c r="D1246" s="4">
        <f>IFERROR(__xludf.DUMMYFUNCTION("""COMPUTED_VALUE"""),12.93632)</f>
        <v>12.93632</v>
      </c>
      <c r="E1246" s="4">
        <f>IFERROR(__xludf.DUMMYFUNCTION("""COMPUTED_VALUE"""),80.127194)</f>
        <v>80.127194</v>
      </c>
      <c r="F1246" s="4">
        <f>IFERROR(__xludf.DUMMYFUNCTION("""COMPUTED_VALUE"""),805.0)</f>
        <v>805</v>
      </c>
      <c r="G1246" s="4">
        <f>IFERROR(__xludf.DUMMYFUNCTION("""COMPUTED_VALUE"""),0.0)</f>
        <v>0</v>
      </c>
      <c r="H1246" s="4"/>
      <c r="I1246" s="4"/>
    </row>
    <row r="1247">
      <c r="A1247" s="4" t="str">
        <f>IFERROR(__xludf.DUMMYFUNCTION("""COMPUTED_VALUE"""),"cas_hmw")</f>
        <v>cas_hmw</v>
      </c>
      <c r="B1247" s="5">
        <f>IFERROR(__xludf.DUMMYFUNCTION("""COMPUTED_VALUE"""),44777.0)</f>
        <v>44777</v>
      </c>
      <c r="C1247" s="6">
        <f>IFERROR(__xludf.DUMMYFUNCTION("""COMPUTED_VALUE"""),0.7125578703708015)</f>
        <v>0.7125578704</v>
      </c>
      <c r="D1247" s="4">
        <f>IFERROR(__xludf.DUMMYFUNCTION("""COMPUTED_VALUE"""),12.989525)</f>
        <v>12.989525</v>
      </c>
      <c r="E1247" s="4">
        <f>IFERROR(__xludf.DUMMYFUNCTION("""COMPUTED_VALUE"""),80.178679)</f>
        <v>80.178679</v>
      </c>
      <c r="F1247" s="4">
        <f>IFERROR(__xludf.DUMMYFUNCTION("""COMPUTED_VALUE"""),5339.0)</f>
        <v>5339</v>
      </c>
      <c r="G1247" s="4">
        <f>IFERROR(__xludf.DUMMYFUNCTION("""COMPUTED_VALUE"""),14.0)</f>
        <v>14</v>
      </c>
      <c r="H1247" s="4"/>
      <c r="I1247" s="4"/>
    </row>
    <row r="1248">
      <c r="A1248" s="4" t="str">
        <f>IFERROR(__xludf.DUMMYFUNCTION("""COMPUTED_VALUE"""),"cas_hmw")</f>
        <v>cas_hmw</v>
      </c>
      <c r="B1248" s="5">
        <f>IFERROR(__xludf.DUMMYFUNCTION("""COMPUTED_VALUE"""),44777.0)</f>
        <v>44777</v>
      </c>
      <c r="C1248" s="6">
        <f>IFERROR(__xludf.DUMMYFUNCTION("""COMPUTED_VALUE"""),0.713206018517667)</f>
        <v>0.7132060185</v>
      </c>
      <c r="D1248" s="4">
        <f>IFERROR(__xludf.DUMMYFUNCTION("""COMPUTED_VALUE"""),12.955969)</f>
        <v>12.955969</v>
      </c>
      <c r="E1248" s="4">
        <f>IFERROR(__xludf.DUMMYFUNCTION("""COMPUTED_VALUE"""),80.142984)</f>
        <v>80.142984</v>
      </c>
      <c r="F1248" s="4">
        <f>IFERROR(__xludf.DUMMYFUNCTION("""COMPUTED_VALUE"""),3143.0)</f>
        <v>3143</v>
      </c>
      <c r="G1248" s="4">
        <f>IFERROR(__xludf.DUMMYFUNCTION("""COMPUTED_VALUE"""),5.0)</f>
        <v>5</v>
      </c>
      <c r="H1248" s="4"/>
      <c r="I1248" s="4"/>
    </row>
    <row r="1249">
      <c r="A1249" s="4" t="str">
        <f>IFERROR(__xludf.DUMMYFUNCTION("""COMPUTED_VALUE"""),"cas_hmw")</f>
        <v>cas_hmw</v>
      </c>
      <c r="B1249" s="5">
        <f>IFERROR(__xludf.DUMMYFUNCTION("""COMPUTED_VALUE"""),44777.0)</f>
        <v>44777</v>
      </c>
      <c r="C1249" s="6">
        <f>IFERROR(__xludf.DUMMYFUNCTION("""COMPUTED_VALUE"""),0.7132175925908086)</f>
        <v>0.7132175926</v>
      </c>
      <c r="D1249" s="4">
        <f>IFERROR(__xludf.DUMMYFUNCTION("""COMPUTED_VALUE"""),12.955969)</f>
        <v>12.955969</v>
      </c>
      <c r="E1249" s="4">
        <f>IFERROR(__xludf.DUMMYFUNCTION("""COMPUTED_VALUE"""),80.142984)</f>
        <v>80.142984</v>
      </c>
      <c r="F1249" s="4">
        <f>IFERROR(__xludf.DUMMYFUNCTION("""COMPUTED_VALUE"""),3143.0)</f>
        <v>3143</v>
      </c>
      <c r="G1249" s="4">
        <f>IFERROR(__xludf.DUMMYFUNCTION("""COMPUTED_VALUE"""),5.0)</f>
        <v>5</v>
      </c>
      <c r="H1249" s="4"/>
      <c r="I1249" s="4"/>
    </row>
    <row r="1250">
      <c r="A1250" s="4" t="str">
        <f>IFERROR(__xludf.DUMMYFUNCTION("""COMPUTED_VALUE"""),"cas_hmw")</f>
        <v>cas_hmw</v>
      </c>
      <c r="B1250" s="5">
        <f>IFERROR(__xludf.DUMMYFUNCTION("""COMPUTED_VALUE"""),44777.0)</f>
        <v>44777</v>
      </c>
      <c r="C1250" s="6">
        <f>IFERROR(__xludf.DUMMYFUNCTION("""COMPUTED_VALUE"""),0.7136342592602887)</f>
        <v>0.7136342593</v>
      </c>
      <c r="D1250" s="4">
        <f>IFERROR(__xludf.DUMMYFUNCTION("""COMPUTED_VALUE"""),12.993881)</f>
        <v>12.993881</v>
      </c>
      <c r="E1250" s="4">
        <f>IFERROR(__xludf.DUMMYFUNCTION("""COMPUTED_VALUE"""),80.185168)</f>
        <v>80.185168</v>
      </c>
      <c r="F1250" s="4">
        <f>IFERROR(__xludf.DUMMYFUNCTION("""COMPUTED_VALUE"""),5339.0)</f>
        <v>5339</v>
      </c>
      <c r="G1250" s="4">
        <f>IFERROR(__xludf.DUMMYFUNCTION("""COMPUTED_VALUE"""),14.0)</f>
        <v>14</v>
      </c>
      <c r="H1250" s="4"/>
      <c r="I1250" s="4"/>
    </row>
    <row r="1251">
      <c r="A1251" s="4" t="str">
        <f>IFERROR(__xludf.DUMMYFUNCTION("""COMPUTED_VALUE"""),"cas_hmw")</f>
        <v>cas_hmw</v>
      </c>
      <c r="B1251" s="5">
        <f>IFERROR(__xludf.DUMMYFUNCTION("""COMPUTED_VALUE"""),44777.0)</f>
        <v>44777</v>
      </c>
      <c r="C1251" s="6">
        <f>IFERROR(__xludf.DUMMYFUNCTION("""COMPUTED_VALUE"""),0.7136458333334303)</f>
        <v>0.7136458333</v>
      </c>
      <c r="D1251" s="4">
        <f>IFERROR(__xludf.DUMMYFUNCTION("""COMPUTED_VALUE"""),12.993881)</f>
        <v>12.993881</v>
      </c>
      <c r="E1251" s="4">
        <f>IFERROR(__xludf.DUMMYFUNCTION("""COMPUTED_VALUE"""),80.185168)</f>
        <v>80.185168</v>
      </c>
      <c r="F1251" s="4">
        <f>IFERROR(__xludf.DUMMYFUNCTION("""COMPUTED_VALUE"""),5339.0)</f>
        <v>5339</v>
      </c>
      <c r="G1251" s="4">
        <f>IFERROR(__xludf.DUMMYFUNCTION("""COMPUTED_VALUE"""),14.0)</f>
        <v>14</v>
      </c>
      <c r="H1251" s="4"/>
      <c r="I1251" s="4"/>
    </row>
    <row r="1252">
      <c r="A1252" s="4" t="str">
        <f>IFERROR(__xludf.DUMMYFUNCTION("""COMPUTED_VALUE"""),"cas_hmw")</f>
        <v>cas_hmw</v>
      </c>
      <c r="B1252" s="5">
        <f>IFERROR(__xludf.DUMMYFUNCTION("""COMPUTED_VALUE"""),44777.0)</f>
        <v>44777</v>
      </c>
      <c r="C1252" s="6">
        <f>IFERROR(__xludf.DUMMYFUNCTION("""COMPUTED_VALUE"""),0.7206944444442343)</f>
        <v>0.7206944444</v>
      </c>
      <c r="D1252" s="4">
        <f>IFERROR(__xludf.DUMMYFUNCTION("""COMPUTED_VALUE"""),13.001128)</f>
        <v>13.001128</v>
      </c>
      <c r="E1252" s="4">
        <f>IFERROR(__xludf.DUMMYFUNCTION("""COMPUTED_VALUE"""),80.195471)</f>
        <v>80.195471</v>
      </c>
      <c r="F1252" s="4">
        <f>IFERROR(__xludf.DUMMYFUNCTION("""COMPUTED_VALUE"""),805.0)</f>
        <v>805</v>
      </c>
      <c r="G1252" s="4">
        <f>IFERROR(__xludf.DUMMYFUNCTION("""COMPUTED_VALUE"""),17.0)</f>
        <v>17</v>
      </c>
      <c r="H1252" s="4"/>
      <c r="I1252" s="4"/>
    </row>
    <row r="1253">
      <c r="A1253" s="4" t="str">
        <f>IFERROR(__xludf.DUMMYFUNCTION("""COMPUTED_VALUE"""),"cas_hmw")</f>
        <v>cas_hmw</v>
      </c>
      <c r="B1253" s="5">
        <f>IFERROR(__xludf.DUMMYFUNCTION("""COMPUTED_VALUE"""),44777.0)</f>
        <v>44777</v>
      </c>
      <c r="C1253" s="6">
        <f>IFERROR(__xludf.DUMMYFUNCTION("""COMPUTED_VALUE"""),0.7207754629635019)</f>
        <v>0.720775463</v>
      </c>
      <c r="D1253" s="4">
        <f>IFERROR(__xludf.DUMMYFUNCTION("""COMPUTED_VALUE"""),13.001128)</f>
        <v>13.001128</v>
      </c>
      <c r="E1253" s="4">
        <f>IFERROR(__xludf.DUMMYFUNCTION("""COMPUTED_VALUE"""),80.195471)</f>
        <v>80.195471</v>
      </c>
      <c r="F1253" s="4">
        <f>IFERROR(__xludf.DUMMYFUNCTION("""COMPUTED_VALUE"""),805.0)</f>
        <v>805</v>
      </c>
      <c r="G1253" s="4">
        <f>IFERROR(__xludf.DUMMYFUNCTION("""COMPUTED_VALUE"""),17.0)</f>
        <v>17</v>
      </c>
      <c r="H1253" s="4"/>
      <c r="I1253" s="4"/>
    </row>
    <row r="1254">
      <c r="A1254" s="4" t="str">
        <f>IFERROR(__xludf.DUMMYFUNCTION("""COMPUTED_VALUE"""),"cas_hmw")</f>
        <v>cas_hmw</v>
      </c>
      <c r="B1254" s="5">
        <f>IFERROR(__xludf.DUMMYFUNCTION("""COMPUTED_VALUE"""),44777.0)</f>
        <v>44777</v>
      </c>
      <c r="C1254" s="6">
        <f>IFERROR(__xludf.DUMMYFUNCTION("""COMPUTED_VALUE"""),0.7219212962954771)</f>
        <v>0.7219212963</v>
      </c>
      <c r="D1254" s="4">
        <f>IFERROR(__xludf.DUMMYFUNCTION("""COMPUTED_VALUE"""),13.019758)</f>
        <v>13.019758</v>
      </c>
      <c r="E1254" s="4">
        <f>IFERROR(__xludf.DUMMYFUNCTION("""COMPUTED_VALUE"""),80.224592)</f>
        <v>80.224592</v>
      </c>
      <c r="F1254" s="4">
        <f>IFERROR(__xludf.DUMMYFUNCTION("""COMPUTED_VALUE"""),5339.0)</f>
        <v>5339</v>
      </c>
      <c r="G1254" s="4">
        <f>IFERROR(__xludf.DUMMYFUNCTION("""COMPUTED_VALUE"""),16.0)</f>
        <v>16</v>
      </c>
      <c r="H1254" s="4"/>
      <c r="I1254" s="4"/>
    </row>
    <row r="1255">
      <c r="A1255" s="4" t="str">
        <f>IFERROR(__xludf.DUMMYFUNCTION("""COMPUTED_VALUE"""),"cas_hmw")</f>
        <v>cas_hmw</v>
      </c>
      <c r="B1255" s="5">
        <f>IFERROR(__xludf.DUMMYFUNCTION("""COMPUTED_VALUE"""),44777.0)</f>
        <v>44777</v>
      </c>
      <c r="C1255" s="6">
        <f>IFERROR(__xludf.DUMMYFUNCTION("""COMPUTED_VALUE"""),0.7241782407400024)</f>
        <v>0.7241782407</v>
      </c>
      <c r="D1255" s="4">
        <f>IFERROR(__xludf.DUMMYFUNCTION("""COMPUTED_VALUE"""),13.012331)</f>
        <v>13.012331</v>
      </c>
      <c r="E1255" s="4">
        <f>IFERROR(__xludf.DUMMYFUNCTION("""COMPUTED_VALUE"""),80.221185)</f>
        <v>80.221185</v>
      </c>
      <c r="F1255" s="4">
        <f>IFERROR(__xludf.DUMMYFUNCTION("""COMPUTED_VALUE"""),805.0)</f>
        <v>805</v>
      </c>
      <c r="G1255" s="4">
        <f>IFERROR(__xludf.DUMMYFUNCTION("""COMPUTED_VALUE"""),0.0)</f>
        <v>0</v>
      </c>
      <c r="H1255" s="4"/>
      <c r="I1255" s="4"/>
    </row>
    <row r="1256">
      <c r="A1256" s="4" t="str">
        <f>IFERROR(__xludf.DUMMYFUNCTION("""COMPUTED_VALUE"""),"cas_hmw")</f>
        <v>cas_hmw</v>
      </c>
      <c r="B1256" s="5">
        <f>IFERROR(__xludf.DUMMYFUNCTION("""COMPUTED_VALUE"""),44777.0)</f>
        <v>44777</v>
      </c>
      <c r="C1256" s="6">
        <f>IFERROR(__xludf.DUMMYFUNCTION("""COMPUTED_VALUE"""),0.7246064814826241)</f>
        <v>0.7246064815</v>
      </c>
      <c r="D1256" s="4">
        <f>IFERROR(__xludf.DUMMYFUNCTION("""COMPUTED_VALUE"""),13.025932)</f>
        <v>13.025932</v>
      </c>
      <c r="E1256" s="4">
        <f>IFERROR(__xludf.DUMMYFUNCTION("""COMPUTED_VALUE"""),80.231026)</f>
        <v>80.231026</v>
      </c>
      <c r="F1256" s="4">
        <f>IFERROR(__xludf.DUMMYFUNCTION("""COMPUTED_VALUE"""),5339.0)</f>
        <v>5339</v>
      </c>
      <c r="G1256" s="4">
        <f>IFERROR(__xludf.DUMMYFUNCTION("""COMPUTED_VALUE"""),0.0)</f>
        <v>0</v>
      </c>
      <c r="H1256" s="4"/>
      <c r="I1256" s="4"/>
    </row>
    <row r="1257">
      <c r="A1257" s="4" t="str">
        <f>IFERROR(__xludf.DUMMYFUNCTION("""COMPUTED_VALUE"""),"cas_hmw")</f>
        <v>cas_hmw</v>
      </c>
      <c r="B1257" s="5">
        <f>IFERROR(__xludf.DUMMYFUNCTION("""COMPUTED_VALUE"""),44777.0)</f>
        <v>44777</v>
      </c>
      <c r="C1257" s="6">
        <f>IFERROR(__xludf.DUMMYFUNCTION("""COMPUTED_VALUE"""),0.7249999999985448)</f>
        <v>0.725</v>
      </c>
      <c r="D1257" s="4">
        <f>IFERROR(__xludf.DUMMYFUNCTION("""COMPUTED_VALUE"""),13.025932)</f>
        <v>13.025932</v>
      </c>
      <c r="E1257" s="4">
        <f>IFERROR(__xludf.DUMMYFUNCTION("""COMPUTED_VALUE"""),80.231026)</f>
        <v>80.231026</v>
      </c>
      <c r="F1257" s="4">
        <f>IFERROR(__xludf.DUMMYFUNCTION("""COMPUTED_VALUE"""),5339.0)</f>
        <v>5339</v>
      </c>
      <c r="G1257" s="4">
        <f>IFERROR(__xludf.DUMMYFUNCTION("""COMPUTED_VALUE"""),0.0)</f>
        <v>0</v>
      </c>
      <c r="H1257" s="4"/>
      <c r="I1257" s="4"/>
    </row>
    <row r="1258">
      <c r="A1258" s="4" t="str">
        <f>IFERROR(__xludf.DUMMYFUNCTION("""COMPUTED_VALUE"""),"cas_hmw")</f>
        <v>cas_hmw</v>
      </c>
      <c r="B1258" s="5">
        <f>IFERROR(__xludf.DUMMYFUNCTION("""COMPUTED_VALUE"""),44777.0)</f>
        <v>44777</v>
      </c>
      <c r="C1258" s="6">
        <f>IFERROR(__xludf.DUMMYFUNCTION("""COMPUTED_VALUE"""),0.7250231481484661)</f>
        <v>0.7250231481</v>
      </c>
      <c r="D1258" s="4">
        <f>IFERROR(__xludf.DUMMYFUNCTION("""COMPUTED_VALUE"""),13.025932)</f>
        <v>13.025932</v>
      </c>
      <c r="E1258" s="4">
        <f>IFERROR(__xludf.DUMMYFUNCTION("""COMPUTED_VALUE"""),80.231026)</f>
        <v>80.231026</v>
      </c>
      <c r="F1258" s="4">
        <f>IFERROR(__xludf.DUMMYFUNCTION("""COMPUTED_VALUE"""),5339.0)</f>
        <v>5339</v>
      </c>
      <c r="G1258" s="4">
        <f>IFERROR(__xludf.DUMMYFUNCTION("""COMPUTED_VALUE"""),0.0)</f>
        <v>0</v>
      </c>
      <c r="H1258" s="4"/>
      <c r="I1258" s="4"/>
    </row>
    <row r="1259">
      <c r="A1259" s="4" t="str">
        <f>IFERROR(__xludf.DUMMYFUNCTION("""COMPUTED_VALUE"""),"cas_hmw")</f>
        <v>cas_hmw</v>
      </c>
      <c r="B1259" s="5">
        <f>IFERROR(__xludf.DUMMYFUNCTION("""COMPUTED_VALUE"""),44777.0)</f>
        <v>44777</v>
      </c>
      <c r="C1259" s="6">
        <f>IFERROR(__xludf.DUMMYFUNCTION("""COMPUTED_VALUE"""),0.7252314814832062)</f>
        <v>0.7252314815</v>
      </c>
      <c r="D1259" s="4">
        <f>IFERROR(__xludf.DUMMYFUNCTION("""COMPUTED_VALUE"""),13.015462)</f>
        <v>13.015462</v>
      </c>
      <c r="E1259" s="4">
        <f>IFERROR(__xludf.DUMMYFUNCTION("""COMPUTED_VALUE"""),80.225492)</f>
        <v>80.225492</v>
      </c>
      <c r="F1259" s="4">
        <f>IFERROR(__xludf.DUMMYFUNCTION("""COMPUTED_VALUE"""),805.0)</f>
        <v>805</v>
      </c>
      <c r="G1259" s="4">
        <f>IFERROR(__xludf.DUMMYFUNCTION("""COMPUTED_VALUE"""),8.0)</f>
        <v>8</v>
      </c>
      <c r="H1259" s="4"/>
      <c r="I1259" s="4"/>
    </row>
    <row r="1260">
      <c r="A1260" s="4" t="str">
        <f>IFERROR(__xludf.DUMMYFUNCTION("""COMPUTED_VALUE"""),"cas_hmw")</f>
        <v>cas_hmw</v>
      </c>
      <c r="B1260" s="5">
        <f>IFERROR(__xludf.DUMMYFUNCTION("""COMPUTED_VALUE"""),44777.0)</f>
        <v>44777</v>
      </c>
      <c r="C1260" s="6">
        <f>IFERROR(__xludf.DUMMYFUNCTION("""COMPUTED_VALUE"""),0.7253703703718202)</f>
        <v>0.7253703704</v>
      </c>
      <c r="D1260" s="4">
        <f>IFERROR(__xludf.DUMMYFUNCTION("""COMPUTED_VALUE"""),13.01503)</f>
        <v>13.01503</v>
      </c>
      <c r="E1260" s="4">
        <f>IFERROR(__xludf.DUMMYFUNCTION("""COMPUTED_VALUE"""),80.22593)</f>
        <v>80.22593</v>
      </c>
      <c r="F1260" s="4">
        <f>IFERROR(__xludf.DUMMYFUNCTION("""COMPUTED_VALUE"""),805.0)</f>
        <v>805</v>
      </c>
      <c r="G1260" s="4">
        <f>IFERROR(__xludf.DUMMYFUNCTION("""COMPUTED_VALUE"""),20.0)</f>
        <v>20</v>
      </c>
      <c r="H1260" s="4"/>
      <c r="I1260" s="4"/>
    </row>
    <row r="1261">
      <c r="A1261" s="4" t="str">
        <f>IFERROR(__xludf.DUMMYFUNCTION("""COMPUTED_VALUE"""),"cas_hmw")</f>
        <v>cas_hmw</v>
      </c>
      <c r="B1261" s="5">
        <f>IFERROR(__xludf.DUMMYFUNCTION("""COMPUTED_VALUE"""),44777.0)</f>
        <v>44777</v>
      </c>
      <c r="C1261" s="6">
        <f>IFERROR(__xludf.DUMMYFUNCTION("""COMPUTED_VALUE"""),0.7255092592604342)</f>
        <v>0.7255092593</v>
      </c>
      <c r="D1261" s="4">
        <f>IFERROR(__xludf.DUMMYFUNCTION("""COMPUTED_VALUE"""),12.987704)</f>
        <v>12.987704</v>
      </c>
      <c r="E1261" s="4">
        <f>IFERROR(__xludf.DUMMYFUNCTION("""COMPUTED_VALUE"""),80.14203)</f>
        <v>80.14203</v>
      </c>
      <c r="F1261" s="4">
        <f>IFERROR(__xludf.DUMMYFUNCTION("""COMPUTED_VALUE"""),3143.0)</f>
        <v>3143</v>
      </c>
      <c r="G1261" s="4">
        <f>IFERROR(__xludf.DUMMYFUNCTION("""COMPUTED_VALUE"""),0.0)</f>
        <v>0</v>
      </c>
      <c r="H1261" s="4"/>
      <c r="I1261" s="4"/>
    </row>
    <row r="1262">
      <c r="A1262" s="4" t="str">
        <f>IFERROR(__xludf.DUMMYFUNCTION("""COMPUTED_VALUE"""),"cas_hmw")</f>
        <v>cas_hmw</v>
      </c>
      <c r="B1262" s="5">
        <f>IFERROR(__xludf.DUMMYFUNCTION("""COMPUTED_VALUE"""),44777.0)</f>
        <v>44777</v>
      </c>
      <c r="C1262" s="6">
        <f>IFERROR(__xludf.DUMMYFUNCTION("""COMPUTED_VALUE"""),0.7323032407402934)</f>
        <v>0.7323032407</v>
      </c>
      <c r="D1262" s="4">
        <f>IFERROR(__xludf.DUMMYFUNCTION("""COMPUTED_VALUE"""),13.006938)</f>
        <v>13.006938</v>
      </c>
      <c r="E1262" s="4">
        <f>IFERROR(__xludf.DUMMYFUNCTION("""COMPUTED_VALUE"""),80.251224)</f>
        <v>80.251224</v>
      </c>
      <c r="F1262" s="4">
        <f>IFERROR(__xludf.DUMMYFUNCTION("""COMPUTED_VALUE"""),805.0)</f>
        <v>805</v>
      </c>
      <c r="G1262" s="4">
        <f>IFERROR(__xludf.DUMMYFUNCTION("""COMPUTED_VALUE"""),12.0)</f>
        <v>12</v>
      </c>
      <c r="H1262" s="4"/>
      <c r="I1262" s="4"/>
    </row>
    <row r="1263">
      <c r="A1263" s="4" t="str">
        <f>IFERROR(__xludf.DUMMYFUNCTION("""COMPUTED_VALUE"""),"cas_hmw")</f>
        <v>cas_hmw</v>
      </c>
      <c r="B1263" s="5">
        <f>IFERROR(__xludf.DUMMYFUNCTION("""COMPUTED_VALUE"""),44777.0)</f>
        <v>44777</v>
      </c>
      <c r="C1263" s="6">
        <f>IFERROR(__xludf.DUMMYFUNCTION("""COMPUTED_VALUE"""),0.7326157407405844)</f>
        <v>0.7326157407</v>
      </c>
      <c r="D1263" s="4">
        <f>IFERROR(__xludf.DUMMYFUNCTION("""COMPUTED_VALUE"""),13.006604)</f>
        <v>13.006604</v>
      </c>
      <c r="E1263" s="4">
        <f>IFERROR(__xludf.DUMMYFUNCTION("""COMPUTED_VALUE"""),80.252439)</f>
        <v>80.252439</v>
      </c>
      <c r="F1263" s="4">
        <f>IFERROR(__xludf.DUMMYFUNCTION("""COMPUTED_VALUE"""),805.0)</f>
        <v>805</v>
      </c>
      <c r="G1263" s="4">
        <f>IFERROR(__xludf.DUMMYFUNCTION("""COMPUTED_VALUE"""),17.0)</f>
        <v>17</v>
      </c>
      <c r="H1263" s="4"/>
      <c r="I1263" s="4"/>
    </row>
    <row r="1264">
      <c r="A1264" s="4" t="str">
        <f>IFERROR(__xludf.DUMMYFUNCTION("""COMPUTED_VALUE"""),"cas_hmw")</f>
        <v>cas_hmw</v>
      </c>
      <c r="B1264" s="5">
        <f>IFERROR(__xludf.DUMMYFUNCTION("""COMPUTED_VALUE"""),44777.0)</f>
        <v>44777</v>
      </c>
      <c r="C1264" s="6">
        <f>IFERROR(__xludf.DUMMYFUNCTION("""COMPUTED_VALUE"""),0.7328356481484661)</f>
        <v>0.7328356481</v>
      </c>
      <c r="D1264" s="4">
        <f>IFERROR(__xludf.DUMMYFUNCTION("""COMPUTED_VALUE"""),12.98313)</f>
        <v>12.98313</v>
      </c>
      <c r="E1264" s="4">
        <f>IFERROR(__xludf.DUMMYFUNCTION("""COMPUTED_VALUE"""),80.128249)</f>
        <v>80.128249</v>
      </c>
      <c r="F1264" s="4">
        <f>IFERROR(__xludf.DUMMYFUNCTION("""COMPUTED_VALUE"""),3143.0)</f>
        <v>3143</v>
      </c>
      <c r="G1264" s="4">
        <f>IFERROR(__xludf.DUMMYFUNCTION("""COMPUTED_VALUE"""),17.0)</f>
        <v>17</v>
      </c>
      <c r="H1264" s="4"/>
      <c r="I1264" s="4"/>
    </row>
    <row r="1265">
      <c r="A1265" s="4" t="str">
        <f>IFERROR(__xludf.DUMMYFUNCTION("""COMPUTED_VALUE"""),"cas_hmw")</f>
        <v>cas_hmw</v>
      </c>
      <c r="B1265" s="5">
        <f>IFERROR(__xludf.DUMMYFUNCTION("""COMPUTED_VALUE"""),44777.0)</f>
        <v>44777</v>
      </c>
      <c r="C1265" s="6">
        <f>IFERROR(__xludf.DUMMYFUNCTION("""COMPUTED_VALUE"""),0.7328587962947495)</f>
        <v>0.7328587963</v>
      </c>
      <c r="D1265" s="4">
        <f>IFERROR(__xludf.DUMMYFUNCTION("""COMPUTED_VALUE"""),12.98313)</f>
        <v>12.98313</v>
      </c>
      <c r="E1265" s="4">
        <f>IFERROR(__xludf.DUMMYFUNCTION("""COMPUTED_VALUE"""),80.128249)</f>
        <v>80.128249</v>
      </c>
      <c r="F1265" s="4">
        <f>IFERROR(__xludf.DUMMYFUNCTION("""COMPUTED_VALUE"""),3143.0)</f>
        <v>3143</v>
      </c>
      <c r="G1265" s="4">
        <f>IFERROR(__xludf.DUMMYFUNCTION("""COMPUTED_VALUE"""),17.0)</f>
        <v>17</v>
      </c>
      <c r="H1265" s="4"/>
      <c r="I1265" s="4"/>
    </row>
    <row r="1266">
      <c r="A1266" s="4" t="str">
        <f>IFERROR(__xludf.DUMMYFUNCTION("""COMPUTED_VALUE"""),"cas_hmw")</f>
        <v>cas_hmw</v>
      </c>
      <c r="B1266" s="5">
        <f>IFERROR(__xludf.DUMMYFUNCTION("""COMPUTED_VALUE"""),44777.0)</f>
        <v>44777</v>
      </c>
      <c r="C1266" s="6">
        <f>IFERROR(__xludf.DUMMYFUNCTION("""COMPUTED_VALUE"""),0.7328587962947495)</f>
        <v>0.7328587963</v>
      </c>
      <c r="D1266" s="4">
        <f>IFERROR(__xludf.DUMMYFUNCTION("""COMPUTED_VALUE"""),12.98313)</f>
        <v>12.98313</v>
      </c>
      <c r="E1266" s="4">
        <f>IFERROR(__xludf.DUMMYFUNCTION("""COMPUTED_VALUE"""),80.128249)</f>
        <v>80.128249</v>
      </c>
      <c r="F1266" s="4">
        <f>IFERROR(__xludf.DUMMYFUNCTION("""COMPUTED_VALUE"""),3143.0)</f>
        <v>3143</v>
      </c>
      <c r="G1266" s="4">
        <f>IFERROR(__xludf.DUMMYFUNCTION("""COMPUTED_VALUE"""),17.0)</f>
        <v>17</v>
      </c>
      <c r="H1266" s="4"/>
      <c r="I1266" s="4"/>
    </row>
    <row r="1267">
      <c r="A1267" s="4" t="str">
        <f>IFERROR(__xludf.DUMMYFUNCTION("""COMPUTED_VALUE"""),"cas_hmw")</f>
        <v>cas_hmw</v>
      </c>
      <c r="B1267" s="5">
        <f>IFERROR(__xludf.DUMMYFUNCTION("""COMPUTED_VALUE"""),44777.0)</f>
        <v>44777</v>
      </c>
      <c r="C1267" s="6">
        <f>IFERROR(__xludf.DUMMYFUNCTION("""COMPUTED_VALUE"""),0.7331018518525525)</f>
        <v>0.7331018519</v>
      </c>
      <c r="D1267" s="4">
        <f>IFERROR(__xludf.DUMMYFUNCTION("""COMPUTED_VALUE"""),12.983384)</f>
        <v>12.983384</v>
      </c>
      <c r="E1267" s="4">
        <f>IFERROR(__xludf.DUMMYFUNCTION("""COMPUTED_VALUE"""),80.126537)</f>
        <v>80.126537</v>
      </c>
      <c r="F1267" s="4">
        <f>IFERROR(__xludf.DUMMYFUNCTION("""COMPUTED_VALUE"""),3143.0)</f>
        <v>3143</v>
      </c>
      <c r="G1267" s="4">
        <f>IFERROR(__xludf.DUMMYFUNCTION("""COMPUTED_VALUE"""),18.0)</f>
        <v>18</v>
      </c>
      <c r="H1267" s="4"/>
      <c r="I1267" s="4"/>
    </row>
    <row r="1268">
      <c r="A1268" s="4" t="str">
        <f>IFERROR(__xludf.DUMMYFUNCTION("""COMPUTED_VALUE"""),"cas_hmw")</f>
        <v>cas_hmw</v>
      </c>
      <c r="B1268" s="5">
        <f>IFERROR(__xludf.DUMMYFUNCTION("""COMPUTED_VALUE"""),44777.0)</f>
        <v>44777</v>
      </c>
      <c r="C1268" s="6">
        <f>IFERROR(__xludf.DUMMYFUNCTION("""COMPUTED_VALUE"""),0.7348148148157634)</f>
        <v>0.7348148148</v>
      </c>
      <c r="D1268" s="4">
        <f>IFERROR(__xludf.DUMMYFUNCTION("""COMPUTED_VALUE"""),13.007786)</f>
        <v>13.007786</v>
      </c>
      <c r="E1268" s="4">
        <f>IFERROR(__xludf.DUMMYFUNCTION("""COMPUTED_VALUE"""),80.258744)</f>
        <v>80.258744</v>
      </c>
      <c r="F1268" s="4">
        <f>IFERROR(__xludf.DUMMYFUNCTION("""COMPUTED_VALUE"""),805.0)</f>
        <v>805</v>
      </c>
      <c r="G1268" s="4">
        <f>IFERROR(__xludf.DUMMYFUNCTION("""COMPUTED_VALUE"""),19.0)</f>
        <v>19</v>
      </c>
      <c r="H1268" s="4"/>
      <c r="I1268" s="4"/>
    </row>
    <row r="1269">
      <c r="A1269" s="4" t="str">
        <f>IFERROR(__xludf.DUMMYFUNCTION("""COMPUTED_VALUE"""),"cas_hmw")</f>
        <v>cas_hmw</v>
      </c>
      <c r="B1269" s="5">
        <f>IFERROR(__xludf.DUMMYFUNCTION("""COMPUTED_VALUE"""),44777.0)</f>
        <v>44777</v>
      </c>
      <c r="C1269" s="6">
        <f>IFERROR(__xludf.DUMMYFUNCTION("""COMPUTED_VALUE"""),0.7373842592605797)</f>
        <v>0.7373842593</v>
      </c>
      <c r="D1269" s="4">
        <f>IFERROR(__xludf.DUMMYFUNCTION("""COMPUTED_VALUE"""),13.018797)</f>
        <v>13.018797</v>
      </c>
      <c r="E1269" s="4">
        <f>IFERROR(__xludf.DUMMYFUNCTION("""COMPUTED_VALUE"""),80.261258)</f>
        <v>80.261258</v>
      </c>
      <c r="F1269" s="4">
        <f>IFERROR(__xludf.DUMMYFUNCTION("""COMPUTED_VALUE"""),805.0)</f>
        <v>805</v>
      </c>
      <c r="G1269" s="4">
        <f>IFERROR(__xludf.DUMMYFUNCTION("""COMPUTED_VALUE"""),2.0)</f>
        <v>2</v>
      </c>
      <c r="H1269" s="4"/>
      <c r="I1269" s="4"/>
    </row>
    <row r="1270">
      <c r="A1270" s="4" t="str">
        <f>IFERROR(__xludf.DUMMYFUNCTION("""COMPUTED_VALUE"""),"cas_hmw")</f>
        <v>cas_hmw</v>
      </c>
      <c r="B1270" s="5">
        <f>IFERROR(__xludf.DUMMYFUNCTION("""COMPUTED_VALUE"""),44777.0)</f>
        <v>44777</v>
      </c>
      <c r="C1270" s="6">
        <f>IFERROR(__xludf.DUMMYFUNCTION("""COMPUTED_VALUE"""),0.7373842592605797)</f>
        <v>0.7373842593</v>
      </c>
      <c r="D1270" s="4">
        <f>IFERROR(__xludf.DUMMYFUNCTION("""COMPUTED_VALUE"""),13.018797)</f>
        <v>13.018797</v>
      </c>
      <c r="E1270" s="4">
        <f>IFERROR(__xludf.DUMMYFUNCTION("""COMPUTED_VALUE"""),80.261258)</f>
        <v>80.261258</v>
      </c>
      <c r="F1270" s="4">
        <f>IFERROR(__xludf.DUMMYFUNCTION("""COMPUTED_VALUE"""),805.0)</f>
        <v>805</v>
      </c>
      <c r="G1270" s="4">
        <f>IFERROR(__xludf.DUMMYFUNCTION("""COMPUTED_VALUE"""),2.0)</f>
        <v>2</v>
      </c>
      <c r="H1270" s="4"/>
      <c r="I1270" s="4"/>
    </row>
    <row r="1271">
      <c r="A1271" s="4" t="str">
        <f>IFERROR(__xludf.DUMMYFUNCTION("""COMPUTED_VALUE"""),"cas_hmw")</f>
        <v>cas_hmw</v>
      </c>
      <c r="B1271" s="5">
        <f>IFERROR(__xludf.DUMMYFUNCTION("""COMPUTED_VALUE"""),44777.0)</f>
        <v>44777</v>
      </c>
      <c r="C1271" s="6">
        <f>IFERROR(__xludf.DUMMYFUNCTION("""COMPUTED_VALUE"""),0.7404629629636474)</f>
        <v>0.740462963</v>
      </c>
      <c r="D1271" s="4">
        <f>IFERROR(__xludf.DUMMYFUNCTION("""COMPUTED_VALUE"""),12.998282)</f>
        <v>12.998282</v>
      </c>
      <c r="E1271" s="4">
        <f>IFERROR(__xludf.DUMMYFUNCTION("""COMPUTED_VALUE"""),80.096551)</f>
        <v>80.096551</v>
      </c>
      <c r="F1271" s="4">
        <f>IFERROR(__xludf.DUMMYFUNCTION("""COMPUTED_VALUE"""),3143.0)</f>
        <v>3143</v>
      </c>
      <c r="G1271" s="4">
        <f>IFERROR(__xludf.DUMMYFUNCTION("""COMPUTED_VALUE"""),7.0)</f>
        <v>7</v>
      </c>
      <c r="H1271" s="4"/>
      <c r="I1271" s="4"/>
    </row>
    <row r="1272">
      <c r="A1272" s="4" t="str">
        <f>IFERROR(__xludf.DUMMYFUNCTION("""COMPUTED_VALUE"""),"cas_hmw")</f>
        <v>cas_hmw</v>
      </c>
      <c r="B1272" s="5">
        <f>IFERROR(__xludf.DUMMYFUNCTION("""COMPUTED_VALUE"""),44777.0)</f>
        <v>44777</v>
      </c>
      <c r="C1272" s="6">
        <f>IFERROR(__xludf.DUMMYFUNCTION("""COMPUTED_VALUE"""),0.7455092592608707)</f>
        <v>0.7455092593</v>
      </c>
      <c r="D1272" s="4">
        <f>IFERROR(__xludf.DUMMYFUNCTION("""COMPUTED_VALUE"""),13.041076)</f>
        <v>13.041076</v>
      </c>
      <c r="E1272" s="4">
        <f>IFERROR(__xludf.DUMMYFUNCTION("""COMPUTED_VALUE"""),80.268158)</f>
        <v>80.268158</v>
      </c>
      <c r="F1272" s="4">
        <f>IFERROR(__xludf.DUMMYFUNCTION("""COMPUTED_VALUE"""),805.0)</f>
        <v>805</v>
      </c>
      <c r="G1272" s="4">
        <f>IFERROR(__xludf.DUMMYFUNCTION("""COMPUTED_VALUE"""),16.0)</f>
        <v>16</v>
      </c>
      <c r="H1272" s="4"/>
      <c r="I1272" s="4"/>
    </row>
    <row r="1273">
      <c r="A1273" s="4" t="str">
        <f>IFERROR(__xludf.DUMMYFUNCTION("""COMPUTED_VALUE"""),"cas_hmw")</f>
        <v>cas_hmw</v>
      </c>
      <c r="B1273" s="5">
        <f>IFERROR(__xludf.DUMMYFUNCTION("""COMPUTED_VALUE"""),44777.0)</f>
        <v>44777</v>
      </c>
      <c r="C1273" s="6">
        <f>IFERROR(__xludf.DUMMYFUNCTION("""COMPUTED_VALUE"""),0.7455671296302171)</f>
        <v>0.7455671296</v>
      </c>
      <c r="D1273" s="4">
        <f>IFERROR(__xludf.DUMMYFUNCTION("""COMPUTED_VALUE"""),13.020292)</f>
        <v>13.020292</v>
      </c>
      <c r="E1273" s="4">
        <f>IFERROR(__xludf.DUMMYFUNCTION("""COMPUTED_VALUE"""),80.104777)</f>
        <v>80.104777</v>
      </c>
      <c r="F1273" s="4">
        <f>IFERROR(__xludf.DUMMYFUNCTION("""COMPUTED_VALUE"""),3143.0)</f>
        <v>3143</v>
      </c>
      <c r="G1273" s="4">
        <f>IFERROR(__xludf.DUMMYFUNCTION("""COMPUTED_VALUE"""),18.0)</f>
        <v>18</v>
      </c>
      <c r="H1273" s="4"/>
      <c r="I1273" s="4"/>
    </row>
    <row r="1274">
      <c r="A1274" s="4" t="str">
        <f>IFERROR(__xludf.DUMMYFUNCTION("""COMPUTED_VALUE"""),"cas_hmw")</f>
        <v>cas_hmw</v>
      </c>
      <c r="B1274" s="5">
        <f>IFERROR(__xludf.DUMMYFUNCTION("""COMPUTED_VALUE"""),44777.0)</f>
        <v>44777</v>
      </c>
      <c r="C1274" s="6">
        <f>IFERROR(__xludf.DUMMYFUNCTION("""COMPUTED_VALUE"""),0.7498379629614647)</f>
        <v>0.749837963</v>
      </c>
      <c r="D1274" s="4">
        <f>IFERROR(__xludf.DUMMYFUNCTION("""COMPUTED_VALUE"""),13.068025)</f>
        <v>13.068025</v>
      </c>
      <c r="E1274" s="4">
        <f>IFERROR(__xludf.DUMMYFUNCTION("""COMPUTED_VALUE"""),80.271384)</f>
        <v>80.271384</v>
      </c>
      <c r="F1274" s="4">
        <f>IFERROR(__xludf.DUMMYFUNCTION("""COMPUTED_VALUE"""),5339.0)</f>
        <v>5339</v>
      </c>
      <c r="G1274" s="4">
        <f>IFERROR(__xludf.DUMMYFUNCTION("""COMPUTED_VALUE"""),19.0)</f>
        <v>19</v>
      </c>
      <c r="H1274" s="4"/>
      <c r="I1274" s="4"/>
    </row>
    <row r="1275">
      <c r="A1275" s="4" t="str">
        <f>IFERROR(__xludf.DUMMYFUNCTION("""COMPUTED_VALUE"""),"cas_hmw")</f>
        <v>cas_hmw</v>
      </c>
      <c r="B1275" s="5">
        <f>IFERROR(__xludf.DUMMYFUNCTION("""COMPUTED_VALUE"""),44777.0)</f>
        <v>44777</v>
      </c>
      <c r="C1275" s="6">
        <f>IFERROR(__xludf.DUMMYFUNCTION("""COMPUTED_VALUE"""),0.7525578703716747)</f>
        <v>0.7525578704</v>
      </c>
      <c r="D1275" s="4">
        <f>IFERROR(__xludf.DUMMYFUNCTION("""COMPUTED_VALUE"""),13.045018)</f>
        <v>13.045018</v>
      </c>
      <c r="E1275" s="4">
        <f>IFERROR(__xludf.DUMMYFUNCTION("""COMPUTED_VALUE"""),80.115601)</f>
        <v>80.115601</v>
      </c>
      <c r="F1275" s="4">
        <f>IFERROR(__xludf.DUMMYFUNCTION("""COMPUTED_VALUE"""),3143.0)</f>
        <v>3143</v>
      </c>
      <c r="G1275" s="4">
        <f>IFERROR(__xludf.DUMMYFUNCTION("""COMPUTED_VALUE"""),6.0)</f>
        <v>6</v>
      </c>
      <c r="H1275" s="4"/>
      <c r="I1275" s="4"/>
    </row>
    <row r="1276">
      <c r="A1276" s="4" t="str">
        <f>IFERROR(__xludf.DUMMYFUNCTION("""COMPUTED_VALUE"""),"cas_hmw")</f>
        <v>cas_hmw</v>
      </c>
      <c r="B1276" s="5">
        <f>IFERROR(__xludf.DUMMYFUNCTION("""COMPUTED_VALUE"""),44777.0)</f>
        <v>44777</v>
      </c>
      <c r="C1276" s="6">
        <f>IFERROR(__xludf.DUMMYFUNCTION("""COMPUTED_VALUE"""),0.7554166666668607)</f>
        <v>0.7554166667</v>
      </c>
      <c r="D1276" s="4">
        <f>IFERROR(__xludf.DUMMYFUNCTION("""COMPUTED_VALUE"""),13.066906)</f>
        <v>13.066906</v>
      </c>
      <c r="E1276" s="4">
        <f>IFERROR(__xludf.DUMMYFUNCTION("""COMPUTED_VALUE"""),80.253973)</f>
        <v>80.253973</v>
      </c>
      <c r="F1276" s="4">
        <f>IFERROR(__xludf.DUMMYFUNCTION("""COMPUTED_VALUE"""),5339.0)</f>
        <v>5339</v>
      </c>
      <c r="G1276" s="4">
        <f>IFERROR(__xludf.DUMMYFUNCTION("""COMPUTED_VALUE"""),17.0)</f>
        <v>17</v>
      </c>
      <c r="H1276" s="4"/>
      <c r="I1276" s="4"/>
    </row>
    <row r="1277">
      <c r="A1277" s="4" t="str">
        <f>IFERROR(__xludf.DUMMYFUNCTION("""COMPUTED_VALUE"""),"cas_hmw")</f>
        <v>cas_hmw</v>
      </c>
      <c r="B1277" s="5">
        <f>IFERROR(__xludf.DUMMYFUNCTION("""COMPUTED_VALUE"""),44777.0)</f>
        <v>44777</v>
      </c>
      <c r="C1277" s="6">
        <f>IFERROR(__xludf.DUMMYFUNCTION("""COMPUTED_VALUE"""),0.7568981481490482)</f>
        <v>0.7568981481</v>
      </c>
      <c r="D1277" s="4">
        <f>IFERROR(__xludf.DUMMYFUNCTION("""COMPUTED_VALUE"""),13.062136)</f>
        <v>13.062136</v>
      </c>
      <c r="E1277" s="4">
        <f>IFERROR(__xludf.DUMMYFUNCTION("""COMPUTED_VALUE"""),80.263221)</f>
        <v>80.263221</v>
      </c>
      <c r="F1277" s="4">
        <f>IFERROR(__xludf.DUMMYFUNCTION("""COMPUTED_VALUE"""),805.0)</f>
        <v>805</v>
      </c>
      <c r="G1277" s="4">
        <f>IFERROR(__xludf.DUMMYFUNCTION("""COMPUTED_VALUE"""),0.0)</f>
        <v>0</v>
      </c>
      <c r="H1277" s="4"/>
      <c r="I1277" s="4"/>
    </row>
    <row r="1278">
      <c r="A1278" s="4" t="str">
        <f>IFERROR(__xludf.DUMMYFUNCTION("""COMPUTED_VALUE"""),"cas_hmw")</f>
        <v>cas_hmw</v>
      </c>
      <c r="B1278" s="5">
        <f>IFERROR(__xludf.DUMMYFUNCTION("""COMPUTED_VALUE"""),44777.0)</f>
        <v>44777</v>
      </c>
      <c r="C1278" s="6">
        <f>IFERROR(__xludf.DUMMYFUNCTION("""COMPUTED_VALUE"""),0.7569212962953316)</f>
        <v>0.7569212963</v>
      </c>
      <c r="D1278" s="4">
        <f>IFERROR(__xludf.DUMMYFUNCTION("""COMPUTED_VALUE"""),13.062136)</f>
        <v>13.062136</v>
      </c>
      <c r="E1278" s="4">
        <f>IFERROR(__xludf.DUMMYFUNCTION("""COMPUTED_VALUE"""),80.263221)</f>
        <v>80.263221</v>
      </c>
      <c r="F1278" s="4">
        <f>IFERROR(__xludf.DUMMYFUNCTION("""COMPUTED_VALUE"""),805.0)</f>
        <v>805</v>
      </c>
      <c r="G1278" s="4">
        <f>IFERROR(__xludf.DUMMYFUNCTION("""COMPUTED_VALUE"""),0.0)</f>
        <v>0</v>
      </c>
      <c r="H1278" s="4"/>
      <c r="I1278" s="4"/>
    </row>
    <row r="1279">
      <c r="A1279" s="4" t="str">
        <f>IFERROR(__xludf.DUMMYFUNCTION("""COMPUTED_VALUE"""),"cas_hmw")</f>
        <v>cas_hmw</v>
      </c>
      <c r="B1279" s="5">
        <f>IFERROR(__xludf.DUMMYFUNCTION("""COMPUTED_VALUE"""),44777.0)</f>
        <v>44777</v>
      </c>
      <c r="C1279" s="6">
        <f>IFERROR(__xludf.DUMMYFUNCTION("""COMPUTED_VALUE"""),0.7569212962953316)</f>
        <v>0.7569212963</v>
      </c>
      <c r="D1279" s="4">
        <f>IFERROR(__xludf.DUMMYFUNCTION("""COMPUTED_VALUE"""),13.062136)</f>
        <v>13.062136</v>
      </c>
      <c r="E1279" s="4">
        <f>IFERROR(__xludf.DUMMYFUNCTION("""COMPUTED_VALUE"""),80.263221)</f>
        <v>80.263221</v>
      </c>
      <c r="F1279" s="4">
        <f>IFERROR(__xludf.DUMMYFUNCTION("""COMPUTED_VALUE"""),805.0)</f>
        <v>805</v>
      </c>
      <c r="G1279" s="4">
        <f>IFERROR(__xludf.DUMMYFUNCTION("""COMPUTED_VALUE"""),0.0)</f>
        <v>0</v>
      </c>
      <c r="H1279" s="4"/>
      <c r="I1279" s="4"/>
    </row>
    <row r="1280">
      <c r="A1280" s="4" t="str">
        <f>IFERROR(__xludf.DUMMYFUNCTION("""COMPUTED_VALUE"""),"cas_hmw")</f>
        <v>cas_hmw</v>
      </c>
      <c r="B1280" s="5">
        <f>IFERROR(__xludf.DUMMYFUNCTION("""COMPUTED_VALUE"""),44777.0)</f>
        <v>44777</v>
      </c>
      <c r="C1280" s="6">
        <f>IFERROR(__xludf.DUMMYFUNCTION("""COMPUTED_VALUE"""),0.7569212962953316)</f>
        <v>0.7569212963</v>
      </c>
      <c r="D1280" s="4">
        <f>IFERROR(__xludf.DUMMYFUNCTION("""COMPUTED_VALUE"""),13.062136)</f>
        <v>13.062136</v>
      </c>
      <c r="E1280" s="4">
        <f>IFERROR(__xludf.DUMMYFUNCTION("""COMPUTED_VALUE"""),80.263221)</f>
        <v>80.263221</v>
      </c>
      <c r="F1280" s="4">
        <f>IFERROR(__xludf.DUMMYFUNCTION("""COMPUTED_VALUE"""),805.0)</f>
        <v>805</v>
      </c>
      <c r="G1280" s="4">
        <f>IFERROR(__xludf.DUMMYFUNCTION("""COMPUTED_VALUE"""),0.0)</f>
        <v>0</v>
      </c>
      <c r="H1280" s="4"/>
      <c r="I1280" s="4"/>
    </row>
    <row r="1281">
      <c r="A1281" s="4" t="str">
        <f>IFERROR(__xludf.DUMMYFUNCTION("""COMPUTED_VALUE"""),"cas_hmw")</f>
        <v>cas_hmw</v>
      </c>
      <c r="B1281" s="5">
        <f>IFERROR(__xludf.DUMMYFUNCTION("""COMPUTED_VALUE"""),44777.0)</f>
        <v>44777</v>
      </c>
      <c r="C1281" s="6">
        <f>IFERROR(__xludf.DUMMYFUNCTION("""COMPUTED_VALUE"""),0.7569444444452529)</f>
        <v>0.7569444444</v>
      </c>
      <c r="D1281" s="4">
        <f>IFERROR(__xludf.DUMMYFUNCTION("""COMPUTED_VALUE"""),13.062136)</f>
        <v>13.062136</v>
      </c>
      <c r="E1281" s="4">
        <f>IFERROR(__xludf.DUMMYFUNCTION("""COMPUTED_VALUE"""),80.263221)</f>
        <v>80.263221</v>
      </c>
      <c r="F1281" s="4">
        <f>IFERROR(__xludf.DUMMYFUNCTION("""COMPUTED_VALUE"""),805.0)</f>
        <v>805</v>
      </c>
      <c r="G1281" s="4">
        <f>IFERROR(__xludf.DUMMYFUNCTION("""COMPUTED_VALUE"""),0.0)</f>
        <v>0</v>
      </c>
      <c r="H1281" s="4"/>
      <c r="I1281" s="4"/>
    </row>
    <row r="1282">
      <c r="A1282" s="4" t="str">
        <f>IFERROR(__xludf.DUMMYFUNCTION("""COMPUTED_VALUE"""),"cas_hmw")</f>
        <v>cas_hmw</v>
      </c>
      <c r="B1282" s="5">
        <f>IFERROR(__xludf.DUMMYFUNCTION("""COMPUTED_VALUE"""),44777.0)</f>
        <v>44777</v>
      </c>
      <c r="C1282" s="6">
        <f>IFERROR(__xludf.DUMMYFUNCTION("""COMPUTED_VALUE"""),0.7570486111108039)</f>
        <v>0.7570486111</v>
      </c>
      <c r="D1282" s="4">
        <f>IFERROR(__xludf.DUMMYFUNCTION("""COMPUTED_VALUE"""),13.062136)</f>
        <v>13.062136</v>
      </c>
      <c r="E1282" s="4">
        <f>IFERROR(__xludf.DUMMYFUNCTION("""COMPUTED_VALUE"""),80.263221)</f>
        <v>80.263221</v>
      </c>
      <c r="F1282" s="4">
        <f>IFERROR(__xludf.DUMMYFUNCTION("""COMPUTED_VALUE"""),805.0)</f>
        <v>805</v>
      </c>
      <c r="G1282" s="4">
        <f>IFERROR(__xludf.DUMMYFUNCTION("""COMPUTED_VALUE"""),0.0)</f>
        <v>0</v>
      </c>
      <c r="H1282" s="4"/>
      <c r="I1282" s="4"/>
    </row>
    <row r="1283">
      <c r="A1283" s="4" t="str">
        <f>IFERROR(__xludf.DUMMYFUNCTION("""COMPUTED_VALUE"""),"cas_hmw")</f>
        <v>cas_hmw</v>
      </c>
      <c r="B1283" s="5">
        <f>IFERROR(__xludf.DUMMYFUNCTION("""COMPUTED_VALUE"""),44777.0)</f>
        <v>44777</v>
      </c>
      <c r="C1283" s="6">
        <f>IFERROR(__xludf.DUMMYFUNCTION("""COMPUTED_VALUE"""),0.7570833333338669)</f>
        <v>0.7570833333</v>
      </c>
      <c r="D1283" s="4">
        <f>IFERROR(__xludf.DUMMYFUNCTION("""COMPUTED_VALUE"""),13.062136)</f>
        <v>13.062136</v>
      </c>
      <c r="E1283" s="4">
        <f>IFERROR(__xludf.DUMMYFUNCTION("""COMPUTED_VALUE"""),80.263221)</f>
        <v>80.263221</v>
      </c>
      <c r="F1283" s="4">
        <f>IFERROR(__xludf.DUMMYFUNCTION("""COMPUTED_VALUE"""),805.0)</f>
        <v>805</v>
      </c>
      <c r="G1283" s="4">
        <f>IFERROR(__xludf.DUMMYFUNCTION("""COMPUTED_VALUE"""),0.0)</f>
        <v>0</v>
      </c>
      <c r="H1283" s="4"/>
      <c r="I1283" s="4"/>
    </row>
    <row r="1284">
      <c r="A1284" s="4" t="str">
        <f>IFERROR(__xludf.DUMMYFUNCTION("""COMPUTED_VALUE"""),"cas_hmw")</f>
        <v>cas_hmw</v>
      </c>
      <c r="B1284" s="5">
        <f>IFERROR(__xludf.DUMMYFUNCTION("""COMPUTED_VALUE"""),44777.0)</f>
        <v>44777</v>
      </c>
      <c r="C1284" s="6">
        <f>IFERROR(__xludf.DUMMYFUNCTION("""COMPUTED_VALUE"""),0.7607638888875954)</f>
        <v>0.7607638889</v>
      </c>
      <c r="D1284" s="4">
        <f>IFERROR(__xludf.DUMMYFUNCTION("""COMPUTED_VALUE"""),13.06677)</f>
        <v>13.06677</v>
      </c>
      <c r="E1284" s="4">
        <f>IFERROR(__xludf.DUMMYFUNCTION("""COMPUTED_VALUE"""),80.254269)</f>
        <v>80.254269</v>
      </c>
      <c r="F1284" s="4">
        <f>IFERROR(__xludf.DUMMYFUNCTION("""COMPUTED_VALUE"""),805.0)</f>
        <v>805</v>
      </c>
      <c r="G1284" s="4">
        <f>IFERROR(__xludf.DUMMYFUNCTION("""COMPUTED_VALUE"""),6.0)</f>
        <v>6</v>
      </c>
      <c r="H1284" s="4"/>
      <c r="I1284" s="4"/>
    </row>
    <row r="1285">
      <c r="A1285" s="4" t="str">
        <f>IFERROR(__xludf.DUMMYFUNCTION("""COMPUTED_VALUE"""),"cas_hmw")</f>
        <v>cas_hmw</v>
      </c>
      <c r="B1285" s="5">
        <f>IFERROR(__xludf.DUMMYFUNCTION("""COMPUTED_VALUE"""),44778.0)</f>
        <v>44778</v>
      </c>
      <c r="C1285" s="6">
        <f>IFERROR(__xludf.DUMMYFUNCTION("""COMPUTED_VALUE"""),0.3008449074077362)</f>
        <v>0.3008449074</v>
      </c>
      <c r="D1285" s="4">
        <f>IFERROR(__xludf.DUMMYFUNCTION("""COMPUTED_VALUE"""),13.063737)</f>
        <v>13.063737</v>
      </c>
      <c r="E1285" s="4">
        <f>IFERROR(__xludf.DUMMYFUNCTION("""COMPUTED_VALUE"""),80.250966)</f>
        <v>80.250966</v>
      </c>
      <c r="F1285" s="4">
        <f>IFERROR(__xludf.DUMMYFUNCTION("""COMPUTED_VALUE"""),5339.0)</f>
        <v>5339</v>
      </c>
      <c r="G1285" s="4">
        <f>IFERROR(__xludf.DUMMYFUNCTION("""COMPUTED_VALUE"""),0.0)</f>
        <v>0</v>
      </c>
      <c r="H1285" s="4"/>
      <c r="I1285" s="4"/>
    </row>
    <row r="1286">
      <c r="A1286" s="4" t="str">
        <f>IFERROR(__xludf.DUMMYFUNCTION("""COMPUTED_VALUE"""),"cas_hmw")</f>
        <v>cas_hmw</v>
      </c>
      <c r="B1286" s="5">
        <f>IFERROR(__xludf.DUMMYFUNCTION("""COMPUTED_VALUE"""),44778.0)</f>
        <v>44778</v>
      </c>
      <c r="C1286" s="6">
        <f>IFERROR(__xludf.DUMMYFUNCTION("""COMPUTED_VALUE"""),0.30085648148087785)</f>
        <v>0.3008564815</v>
      </c>
      <c r="D1286" s="4">
        <f>IFERROR(__xludf.DUMMYFUNCTION("""COMPUTED_VALUE"""),13.063737)</f>
        <v>13.063737</v>
      </c>
      <c r="E1286" s="4">
        <f>IFERROR(__xludf.DUMMYFUNCTION("""COMPUTED_VALUE"""),80.250966)</f>
        <v>80.250966</v>
      </c>
      <c r="F1286" s="4">
        <f>IFERROR(__xludf.DUMMYFUNCTION("""COMPUTED_VALUE"""),5339.0)</f>
        <v>5339</v>
      </c>
      <c r="G1286" s="4">
        <f>IFERROR(__xludf.DUMMYFUNCTION("""COMPUTED_VALUE"""),0.0)</f>
        <v>0</v>
      </c>
      <c r="H1286" s="4"/>
      <c r="I1286" s="4"/>
    </row>
    <row r="1287">
      <c r="A1287" s="4" t="str">
        <f>IFERROR(__xludf.DUMMYFUNCTION("""COMPUTED_VALUE"""),"cas_hmw")</f>
        <v>cas_hmw</v>
      </c>
      <c r="B1287" s="5">
        <f>IFERROR(__xludf.DUMMYFUNCTION("""COMPUTED_VALUE"""),44778.0)</f>
        <v>44778</v>
      </c>
      <c r="C1287" s="6">
        <f>IFERROR(__xludf.DUMMYFUNCTION("""COMPUTED_VALUE"""),0.3008680555540195)</f>
        <v>0.3008680556</v>
      </c>
      <c r="D1287" s="4">
        <f>IFERROR(__xludf.DUMMYFUNCTION("""COMPUTED_VALUE"""),13.063737)</f>
        <v>13.063737</v>
      </c>
      <c r="E1287" s="4">
        <f>IFERROR(__xludf.DUMMYFUNCTION("""COMPUTED_VALUE"""),80.250966)</f>
        <v>80.250966</v>
      </c>
      <c r="F1287" s="4">
        <f>IFERROR(__xludf.DUMMYFUNCTION("""COMPUTED_VALUE"""),5339.0)</f>
        <v>5339</v>
      </c>
      <c r="G1287" s="4">
        <f>IFERROR(__xludf.DUMMYFUNCTION("""COMPUTED_VALUE"""),0.0)</f>
        <v>0</v>
      </c>
      <c r="H1287" s="4"/>
      <c r="I1287" s="4"/>
    </row>
    <row r="1288">
      <c r="A1288" s="4" t="str">
        <f>IFERROR(__xludf.DUMMYFUNCTION("""COMPUTED_VALUE"""),"cas_hmw")</f>
        <v>cas_hmw</v>
      </c>
      <c r="B1288" s="5">
        <f>IFERROR(__xludf.DUMMYFUNCTION("""COMPUTED_VALUE"""),44778.0)</f>
        <v>44778</v>
      </c>
      <c r="C1288" s="6">
        <f>IFERROR(__xludf.DUMMYFUNCTION("""COMPUTED_VALUE"""),0.30092592592700385)</f>
        <v>0.3009259259</v>
      </c>
      <c r="D1288" s="4">
        <f>IFERROR(__xludf.DUMMYFUNCTION("""COMPUTED_VALUE"""),13.063737)</f>
        <v>13.063737</v>
      </c>
      <c r="E1288" s="4">
        <f>IFERROR(__xludf.DUMMYFUNCTION("""COMPUTED_VALUE"""),80.250966)</f>
        <v>80.250966</v>
      </c>
      <c r="F1288" s="4">
        <f>IFERROR(__xludf.DUMMYFUNCTION("""COMPUTED_VALUE"""),5339.0)</f>
        <v>5339</v>
      </c>
      <c r="G1288" s="4">
        <f>IFERROR(__xludf.DUMMYFUNCTION("""COMPUTED_VALUE"""),0.0)</f>
        <v>0</v>
      </c>
      <c r="H1288" s="4"/>
      <c r="I1288" s="4"/>
    </row>
    <row r="1289">
      <c r="A1289" s="4" t="str">
        <f>IFERROR(__xludf.DUMMYFUNCTION("""COMPUTED_VALUE"""),"cas_hmw")</f>
        <v>cas_hmw</v>
      </c>
      <c r="B1289" s="5">
        <f>IFERROR(__xludf.DUMMYFUNCTION("""COMPUTED_VALUE"""),44778.0)</f>
        <v>44778</v>
      </c>
      <c r="C1289" s="6">
        <f>IFERROR(__xludf.DUMMYFUNCTION("""COMPUTED_VALUE"""),0.3009375000001455)</f>
        <v>0.3009375</v>
      </c>
      <c r="D1289" s="4">
        <f>IFERROR(__xludf.DUMMYFUNCTION("""COMPUTED_VALUE"""),13.063737)</f>
        <v>13.063737</v>
      </c>
      <c r="E1289" s="4">
        <f>IFERROR(__xludf.DUMMYFUNCTION("""COMPUTED_VALUE"""),80.250966)</f>
        <v>80.250966</v>
      </c>
      <c r="F1289" s="4">
        <f>IFERROR(__xludf.DUMMYFUNCTION("""COMPUTED_VALUE"""),5339.0)</f>
        <v>5339</v>
      </c>
      <c r="G1289" s="4">
        <f>IFERROR(__xludf.DUMMYFUNCTION("""COMPUTED_VALUE"""),0.0)</f>
        <v>0</v>
      </c>
      <c r="H1289" s="4"/>
      <c r="I1289" s="4"/>
    </row>
    <row r="1290">
      <c r="A1290" s="4" t="str">
        <f>IFERROR(__xludf.DUMMYFUNCTION("""COMPUTED_VALUE"""),"cas_hmw")</f>
        <v>cas_hmw</v>
      </c>
      <c r="B1290" s="5">
        <f>IFERROR(__xludf.DUMMYFUNCTION("""COMPUTED_VALUE"""),44778.0)</f>
        <v>44778</v>
      </c>
      <c r="C1290" s="6">
        <f>IFERROR(__xludf.DUMMYFUNCTION("""COMPUTED_VALUE"""),0.3009490740732872)</f>
        <v>0.3009490741</v>
      </c>
      <c r="D1290" s="4">
        <f>IFERROR(__xludf.DUMMYFUNCTION("""COMPUTED_VALUE"""),13.063737)</f>
        <v>13.063737</v>
      </c>
      <c r="E1290" s="4">
        <f>IFERROR(__xludf.DUMMYFUNCTION("""COMPUTED_VALUE"""),80.250966)</f>
        <v>80.250966</v>
      </c>
      <c r="F1290" s="4">
        <f>IFERROR(__xludf.DUMMYFUNCTION("""COMPUTED_VALUE"""),5339.0)</f>
        <v>5339</v>
      </c>
      <c r="G1290" s="4">
        <f>IFERROR(__xludf.DUMMYFUNCTION("""COMPUTED_VALUE"""),0.0)</f>
        <v>0</v>
      </c>
      <c r="H1290" s="4"/>
      <c r="I1290" s="4"/>
    </row>
    <row r="1291">
      <c r="A1291" s="4" t="str">
        <f>IFERROR(__xludf.DUMMYFUNCTION("""COMPUTED_VALUE"""),"cas_hmw")</f>
        <v>cas_hmw</v>
      </c>
      <c r="B1291" s="5">
        <f>IFERROR(__xludf.DUMMYFUNCTION("""COMPUTED_VALUE"""),44778.0)</f>
        <v>44778</v>
      </c>
      <c r="C1291" s="6">
        <f>IFERROR(__xludf.DUMMYFUNCTION("""COMPUTED_VALUE"""),0.3338657407402934)</f>
        <v>0.3338657407</v>
      </c>
      <c r="D1291" s="4">
        <f>IFERROR(__xludf.DUMMYFUNCTION("""COMPUTED_VALUE"""),12.995882)</f>
        <v>12.995882</v>
      </c>
      <c r="E1291" s="4">
        <f>IFERROR(__xludf.DUMMYFUNCTION("""COMPUTED_VALUE"""),80.189301)</f>
        <v>80.189301</v>
      </c>
      <c r="F1291" s="4">
        <f>IFERROR(__xludf.DUMMYFUNCTION("""COMPUTED_VALUE"""),805.0)</f>
        <v>805</v>
      </c>
      <c r="G1291" s="4">
        <f>IFERROR(__xludf.DUMMYFUNCTION("""COMPUTED_VALUE"""),20.0)</f>
        <v>20</v>
      </c>
      <c r="H1291" s="4"/>
      <c r="I1291" s="4"/>
    </row>
    <row r="1292">
      <c r="A1292" s="4" t="str">
        <f>IFERROR(__xludf.DUMMYFUNCTION("""COMPUTED_VALUE"""),"cas_hmw")</f>
        <v>cas_hmw</v>
      </c>
      <c r="B1292" s="5">
        <f>IFERROR(__xludf.DUMMYFUNCTION("""COMPUTED_VALUE"""),44778.0)</f>
        <v>44778</v>
      </c>
      <c r="C1292" s="6">
        <f>IFERROR(__xludf.DUMMYFUNCTION("""COMPUTED_VALUE"""),0.3353587962956226)</f>
        <v>0.3353587963</v>
      </c>
      <c r="D1292" s="4">
        <f>IFERROR(__xludf.DUMMYFUNCTION("""COMPUTED_VALUE"""),12.956371)</f>
        <v>12.956371</v>
      </c>
      <c r="E1292" s="4">
        <f>IFERROR(__xludf.DUMMYFUNCTION("""COMPUTED_VALUE"""),80.143427)</f>
        <v>80.143427</v>
      </c>
      <c r="F1292" s="4">
        <f>IFERROR(__xludf.DUMMYFUNCTION("""COMPUTED_VALUE"""),3143.0)</f>
        <v>3143</v>
      </c>
      <c r="G1292" s="4">
        <f>IFERROR(__xludf.DUMMYFUNCTION("""COMPUTED_VALUE"""),10.0)</f>
        <v>10</v>
      </c>
      <c r="H1292" s="4"/>
      <c r="I1292" s="4"/>
    </row>
    <row r="1293">
      <c r="A1293" s="4" t="str">
        <f>IFERROR(__xludf.DUMMYFUNCTION("""COMPUTED_VALUE"""),"cas_hmw")</f>
        <v>cas_hmw</v>
      </c>
      <c r="B1293" s="5">
        <f>IFERROR(__xludf.DUMMYFUNCTION("""COMPUTED_VALUE"""),44778.0)</f>
        <v>44778</v>
      </c>
      <c r="C1293" s="6">
        <f>IFERROR(__xludf.DUMMYFUNCTION("""COMPUTED_VALUE"""),0.3353935185186856)</f>
        <v>0.3353935185</v>
      </c>
      <c r="D1293" s="4">
        <f>IFERROR(__xludf.DUMMYFUNCTION("""COMPUTED_VALUE"""),12.956371)</f>
        <v>12.956371</v>
      </c>
      <c r="E1293" s="4">
        <f>IFERROR(__xludf.DUMMYFUNCTION("""COMPUTED_VALUE"""),80.143427)</f>
        <v>80.143427</v>
      </c>
      <c r="F1293" s="4">
        <f>IFERROR(__xludf.DUMMYFUNCTION("""COMPUTED_VALUE"""),3143.0)</f>
        <v>3143</v>
      </c>
      <c r="G1293" s="4">
        <f>IFERROR(__xludf.DUMMYFUNCTION("""COMPUTED_VALUE"""),10.0)</f>
        <v>10</v>
      </c>
      <c r="H1293" s="4"/>
      <c r="I1293" s="4"/>
    </row>
    <row r="1294">
      <c r="A1294" s="4" t="str">
        <f>IFERROR(__xludf.DUMMYFUNCTION("""COMPUTED_VALUE"""),"cas_hmw")</f>
        <v>cas_hmw</v>
      </c>
      <c r="B1294" s="5">
        <f>IFERROR(__xludf.DUMMYFUNCTION("""COMPUTED_VALUE"""),44778.0)</f>
        <v>44778</v>
      </c>
      <c r="C1294" s="6">
        <f>IFERROR(__xludf.DUMMYFUNCTION("""COMPUTED_VALUE"""),0.3364120370388264)</f>
        <v>0.336412037</v>
      </c>
      <c r="D1294" s="4">
        <f>IFERROR(__xludf.DUMMYFUNCTION("""COMPUTED_VALUE"""),12.951264)</f>
        <v>12.951264</v>
      </c>
      <c r="E1294" s="4">
        <f>IFERROR(__xludf.DUMMYFUNCTION("""COMPUTED_VALUE"""),80.140234)</f>
        <v>80.140234</v>
      </c>
      <c r="F1294" s="4">
        <f>IFERROR(__xludf.DUMMYFUNCTION("""COMPUTED_VALUE"""),3143.0)</f>
        <v>3143</v>
      </c>
      <c r="G1294" s="4">
        <f>IFERROR(__xludf.DUMMYFUNCTION("""COMPUTED_VALUE"""),6.0)</f>
        <v>6</v>
      </c>
      <c r="H1294" s="4"/>
      <c r="I1294" s="4"/>
    </row>
    <row r="1295">
      <c r="A1295" s="4" t="str">
        <f>IFERROR(__xludf.DUMMYFUNCTION("""COMPUTED_VALUE"""),"cas_hmw")</f>
        <v>cas_hmw</v>
      </c>
      <c r="B1295" s="5">
        <f>IFERROR(__xludf.DUMMYFUNCTION("""COMPUTED_VALUE"""),44778.0)</f>
        <v>44778</v>
      </c>
      <c r="C1295" s="6">
        <f>IFERROR(__xludf.DUMMYFUNCTION("""COMPUTED_VALUE"""),0.33642361111196806)</f>
        <v>0.3364236111</v>
      </c>
      <c r="D1295" s="4">
        <f>IFERROR(__xludf.DUMMYFUNCTION("""COMPUTED_VALUE"""),12.951264)</f>
        <v>12.951264</v>
      </c>
      <c r="E1295" s="4">
        <f>IFERROR(__xludf.DUMMYFUNCTION("""COMPUTED_VALUE"""),80.140234)</f>
        <v>80.140234</v>
      </c>
      <c r="F1295" s="4">
        <f>IFERROR(__xludf.DUMMYFUNCTION("""COMPUTED_VALUE"""),3143.0)</f>
        <v>3143</v>
      </c>
      <c r="G1295" s="4">
        <f>IFERROR(__xludf.DUMMYFUNCTION("""COMPUTED_VALUE"""),6.0)</f>
        <v>6</v>
      </c>
      <c r="H1295" s="4"/>
      <c r="I1295" s="4"/>
    </row>
    <row r="1296">
      <c r="A1296" s="4" t="str">
        <f>IFERROR(__xludf.DUMMYFUNCTION("""COMPUTED_VALUE"""),"cas_hmw")</f>
        <v>cas_hmw</v>
      </c>
      <c r="B1296" s="5">
        <f>IFERROR(__xludf.DUMMYFUNCTION("""COMPUTED_VALUE"""),44778.0)</f>
        <v>44778</v>
      </c>
      <c r="C1296" s="6">
        <f>IFERROR(__xludf.DUMMYFUNCTION("""COMPUTED_VALUE"""),0.33645833333503106)</f>
        <v>0.3364583333</v>
      </c>
      <c r="D1296" s="4">
        <f>IFERROR(__xludf.DUMMYFUNCTION("""COMPUTED_VALUE"""),12.951264)</f>
        <v>12.951264</v>
      </c>
      <c r="E1296" s="4">
        <f>IFERROR(__xludf.DUMMYFUNCTION("""COMPUTED_VALUE"""),80.140234)</f>
        <v>80.140234</v>
      </c>
      <c r="F1296" s="4">
        <f>IFERROR(__xludf.DUMMYFUNCTION("""COMPUTED_VALUE"""),3143.0)</f>
        <v>3143</v>
      </c>
      <c r="G1296" s="4">
        <f>IFERROR(__xludf.DUMMYFUNCTION("""COMPUTED_VALUE"""),6.0)</f>
        <v>6</v>
      </c>
      <c r="H1296" s="4"/>
      <c r="I1296" s="4"/>
    </row>
    <row r="1297">
      <c r="A1297" s="4" t="str">
        <f>IFERROR(__xludf.DUMMYFUNCTION("""COMPUTED_VALUE"""),"cas_hmw")</f>
        <v>cas_hmw</v>
      </c>
      <c r="B1297" s="5">
        <f>IFERROR(__xludf.DUMMYFUNCTION("""COMPUTED_VALUE"""),44778.0)</f>
        <v>44778</v>
      </c>
      <c r="C1297" s="6">
        <f>IFERROR(__xludf.DUMMYFUNCTION("""COMPUTED_VALUE"""),0.3365972222236451)</f>
        <v>0.3365972222</v>
      </c>
      <c r="D1297" s="4">
        <f>IFERROR(__xludf.DUMMYFUNCTION("""COMPUTED_VALUE"""),12.95087)</f>
        <v>12.95087</v>
      </c>
      <c r="E1297" s="4">
        <f>IFERROR(__xludf.DUMMYFUNCTION("""COMPUTED_VALUE"""),80.139939)</f>
        <v>80.139939</v>
      </c>
      <c r="F1297" s="4">
        <f>IFERROR(__xludf.DUMMYFUNCTION("""COMPUTED_VALUE"""),3143.0)</f>
        <v>3143</v>
      </c>
      <c r="G1297" s="4">
        <f>IFERROR(__xludf.DUMMYFUNCTION("""COMPUTED_VALUE"""),20.0)</f>
        <v>20</v>
      </c>
      <c r="H1297" s="4"/>
      <c r="I1297" s="4"/>
    </row>
    <row r="1298">
      <c r="A1298" s="4" t="str">
        <f>IFERROR(__xludf.DUMMYFUNCTION("""COMPUTED_VALUE"""),"cas_hmw")</f>
        <v>cas_hmw</v>
      </c>
      <c r="B1298" s="5">
        <f>IFERROR(__xludf.DUMMYFUNCTION("""COMPUTED_VALUE"""),44778.0)</f>
        <v>44778</v>
      </c>
      <c r="C1298" s="6">
        <f>IFERROR(__xludf.DUMMYFUNCTION("""COMPUTED_VALUE"""),0.3389467592605797)</f>
        <v>0.3389467593</v>
      </c>
      <c r="D1298" s="4">
        <f>IFERROR(__xludf.DUMMYFUNCTION("""COMPUTED_VALUE"""),12.936209)</f>
        <v>12.936209</v>
      </c>
      <c r="E1298" s="4">
        <f>IFERROR(__xludf.DUMMYFUNCTION("""COMPUTED_VALUE"""),80.127345)</f>
        <v>80.127345</v>
      </c>
      <c r="F1298" s="4">
        <f>IFERROR(__xludf.DUMMYFUNCTION("""COMPUTED_VALUE"""),3143.0)</f>
        <v>3143</v>
      </c>
      <c r="G1298" s="4">
        <f>IFERROR(__xludf.DUMMYFUNCTION("""COMPUTED_VALUE"""),20.0)</f>
        <v>20</v>
      </c>
      <c r="H1298" s="4"/>
      <c r="I1298" s="4"/>
    </row>
    <row r="1299">
      <c r="A1299" s="4" t="str">
        <f>IFERROR(__xludf.DUMMYFUNCTION("""COMPUTED_VALUE"""),"cas_hmw")</f>
        <v>cas_hmw</v>
      </c>
      <c r="B1299" s="5">
        <f>IFERROR(__xludf.DUMMYFUNCTION("""COMPUTED_VALUE"""),44778.0)</f>
        <v>44778</v>
      </c>
      <c r="C1299" s="6">
        <f>IFERROR(__xludf.DUMMYFUNCTION("""COMPUTED_VALUE"""),0.33944444444568944)</f>
        <v>0.3394444444</v>
      </c>
      <c r="D1299" s="4">
        <f>IFERROR(__xludf.DUMMYFUNCTION("""COMPUTED_VALUE"""),12.97188)</f>
        <v>12.97188</v>
      </c>
      <c r="E1299" s="4">
        <f>IFERROR(__xludf.DUMMYFUNCTION("""COMPUTED_VALUE"""),80.151377)</f>
        <v>80.151377</v>
      </c>
      <c r="F1299" s="4">
        <f>IFERROR(__xludf.DUMMYFUNCTION("""COMPUTED_VALUE"""),805.0)</f>
        <v>805</v>
      </c>
      <c r="G1299" s="4">
        <f>IFERROR(__xludf.DUMMYFUNCTION("""COMPUTED_VALUE"""),10.0)</f>
        <v>10</v>
      </c>
      <c r="H1299" s="4"/>
      <c r="I1299" s="4"/>
    </row>
    <row r="1300">
      <c r="A1300" s="4" t="str">
        <f>IFERROR(__xludf.DUMMYFUNCTION("""COMPUTED_VALUE"""),"cas_hmw")</f>
        <v>cas_hmw</v>
      </c>
      <c r="B1300" s="5">
        <f>IFERROR(__xludf.DUMMYFUNCTION("""COMPUTED_VALUE"""),44778.0)</f>
        <v>44778</v>
      </c>
      <c r="C1300" s="6">
        <f>IFERROR(__xludf.DUMMYFUNCTION("""COMPUTED_VALUE"""),0.3394560185188311)</f>
        <v>0.3394560185</v>
      </c>
      <c r="D1300" s="4">
        <f>IFERROR(__xludf.DUMMYFUNCTION("""COMPUTED_VALUE"""),12.97188)</f>
        <v>12.97188</v>
      </c>
      <c r="E1300" s="4">
        <f>IFERROR(__xludf.DUMMYFUNCTION("""COMPUTED_VALUE"""),80.151377)</f>
        <v>80.151377</v>
      </c>
      <c r="F1300" s="4">
        <f>IFERROR(__xludf.DUMMYFUNCTION("""COMPUTED_VALUE"""),805.0)</f>
        <v>805</v>
      </c>
      <c r="G1300" s="4">
        <f>IFERROR(__xludf.DUMMYFUNCTION("""COMPUTED_VALUE"""),10.0)</f>
        <v>10</v>
      </c>
      <c r="H1300" s="4"/>
      <c r="I1300" s="4"/>
    </row>
    <row r="1301">
      <c r="A1301" s="4" t="str">
        <f>IFERROR(__xludf.DUMMYFUNCTION("""COMPUTED_VALUE"""),"cas_hmw")</f>
        <v>cas_hmw</v>
      </c>
      <c r="B1301" s="5">
        <f>IFERROR(__xludf.DUMMYFUNCTION("""COMPUTED_VALUE"""),44778.0)</f>
        <v>44778</v>
      </c>
      <c r="C1301" s="6">
        <f>IFERROR(__xludf.DUMMYFUNCTION("""COMPUTED_VALUE"""),0.3406944444432156)</f>
        <v>0.3406944444</v>
      </c>
      <c r="D1301" s="4">
        <f>IFERROR(__xludf.DUMMYFUNCTION("""COMPUTED_VALUE"""),12.965679)</f>
        <v>12.965679</v>
      </c>
      <c r="E1301" s="4">
        <f>IFERROR(__xludf.DUMMYFUNCTION("""COMPUTED_VALUE"""),80.148424)</f>
        <v>80.148424</v>
      </c>
      <c r="F1301" s="4">
        <f>IFERROR(__xludf.DUMMYFUNCTION("""COMPUTED_VALUE"""),805.0)</f>
        <v>805</v>
      </c>
      <c r="G1301" s="4">
        <f>IFERROR(__xludf.DUMMYFUNCTION("""COMPUTED_VALUE"""),20.0)</f>
        <v>20</v>
      </c>
      <c r="H1301" s="4"/>
      <c r="I1301" s="4"/>
    </row>
    <row r="1302">
      <c r="A1302" s="4" t="str">
        <f>IFERROR(__xludf.DUMMYFUNCTION("""COMPUTED_VALUE"""),"cas_hmw")</f>
        <v>cas_hmw</v>
      </c>
      <c r="B1302" s="5">
        <f>IFERROR(__xludf.DUMMYFUNCTION("""COMPUTED_VALUE"""),44778.0)</f>
        <v>44778</v>
      </c>
      <c r="C1302" s="6">
        <f>IFERROR(__xludf.DUMMYFUNCTION("""COMPUTED_VALUE"""),0.34071759259313694)</f>
        <v>0.3407175926</v>
      </c>
      <c r="D1302" s="4">
        <f>IFERROR(__xludf.DUMMYFUNCTION("""COMPUTED_VALUE"""),12.965679)</f>
        <v>12.965679</v>
      </c>
      <c r="E1302" s="4">
        <f>IFERROR(__xludf.DUMMYFUNCTION("""COMPUTED_VALUE"""),80.148424)</f>
        <v>80.148424</v>
      </c>
      <c r="F1302" s="4">
        <f>IFERROR(__xludf.DUMMYFUNCTION("""COMPUTED_VALUE"""),805.0)</f>
        <v>805</v>
      </c>
      <c r="G1302" s="4">
        <f>IFERROR(__xludf.DUMMYFUNCTION("""COMPUTED_VALUE"""),20.0)</f>
        <v>20</v>
      </c>
      <c r="H1302" s="4"/>
      <c r="I1302" s="4"/>
    </row>
    <row r="1303">
      <c r="A1303" s="4" t="str">
        <f>IFERROR(__xludf.DUMMYFUNCTION("""COMPUTED_VALUE"""),"cas_hmw")</f>
        <v>cas_hmw</v>
      </c>
      <c r="B1303" s="5">
        <f>IFERROR(__xludf.DUMMYFUNCTION("""COMPUTED_VALUE"""),44778.0)</f>
        <v>44778</v>
      </c>
      <c r="C1303" s="6">
        <f>IFERROR(__xludf.DUMMYFUNCTION("""COMPUTED_VALUE"""),0.34180555555576575)</f>
        <v>0.3418055556</v>
      </c>
      <c r="D1303" s="4">
        <f>IFERROR(__xludf.DUMMYFUNCTION("""COMPUTED_VALUE"""),12.956708)</f>
        <v>12.956708</v>
      </c>
      <c r="E1303" s="4">
        <f>IFERROR(__xludf.DUMMYFUNCTION("""COMPUTED_VALUE"""),80.143532)</f>
        <v>80.143532</v>
      </c>
      <c r="F1303" s="4">
        <f>IFERROR(__xludf.DUMMYFUNCTION("""COMPUTED_VALUE"""),805.0)</f>
        <v>805</v>
      </c>
      <c r="G1303" s="4">
        <f>IFERROR(__xludf.DUMMYFUNCTION("""COMPUTED_VALUE"""),0.0)</f>
        <v>0</v>
      </c>
      <c r="H1303" s="4"/>
      <c r="I1303" s="4"/>
    </row>
    <row r="1304">
      <c r="A1304" s="4" t="str">
        <f>IFERROR(__xludf.DUMMYFUNCTION("""COMPUTED_VALUE"""),"cas_hmw")</f>
        <v>cas_hmw</v>
      </c>
      <c r="B1304" s="5">
        <f>IFERROR(__xludf.DUMMYFUNCTION("""COMPUTED_VALUE"""),44778.0)</f>
        <v>44778</v>
      </c>
      <c r="C1304" s="6">
        <f>IFERROR(__xludf.DUMMYFUNCTION("""COMPUTED_VALUE"""),0.3430208333338669)</f>
        <v>0.3430208333</v>
      </c>
      <c r="D1304" s="4">
        <f>IFERROR(__xludf.DUMMYFUNCTION("""COMPUTED_VALUE"""),12.950815)</f>
        <v>12.950815</v>
      </c>
      <c r="E1304" s="4">
        <f>IFERROR(__xludf.DUMMYFUNCTION("""COMPUTED_VALUE"""),80.139918)</f>
        <v>80.139918</v>
      </c>
      <c r="F1304" s="4">
        <f>IFERROR(__xludf.DUMMYFUNCTION("""COMPUTED_VALUE"""),805.0)</f>
        <v>805</v>
      </c>
      <c r="G1304" s="4">
        <f>IFERROR(__xludf.DUMMYFUNCTION("""COMPUTED_VALUE"""),19.0)</f>
        <v>19</v>
      </c>
      <c r="H1304" s="4"/>
      <c r="I1304" s="4"/>
    </row>
    <row r="1305">
      <c r="A1305" s="4" t="str">
        <f>IFERROR(__xludf.DUMMYFUNCTION("""COMPUTED_VALUE"""),"cas_hmw")</f>
        <v>cas_hmw</v>
      </c>
      <c r="B1305" s="5">
        <f>IFERROR(__xludf.DUMMYFUNCTION("""COMPUTED_VALUE"""),44778.0)</f>
        <v>44778</v>
      </c>
      <c r="C1305" s="6">
        <f>IFERROR(__xludf.DUMMYFUNCTION("""COMPUTED_VALUE"""),0.6956134259271494)</f>
        <v>0.6956134259</v>
      </c>
      <c r="D1305" s="4">
        <f>IFERROR(__xludf.DUMMYFUNCTION("""COMPUTED_VALUE"""),12.911422)</f>
        <v>12.911422</v>
      </c>
      <c r="E1305" s="4">
        <f>IFERROR(__xludf.DUMMYFUNCTION("""COMPUTED_VALUE"""),80.101212)</f>
        <v>80.101212</v>
      </c>
      <c r="F1305" s="4">
        <f>IFERROR(__xludf.DUMMYFUNCTION("""COMPUTED_VALUE"""),5339.0)</f>
        <v>5339</v>
      </c>
      <c r="G1305" s="4">
        <f>IFERROR(__xludf.DUMMYFUNCTION("""COMPUTED_VALUE"""),12.0)</f>
        <v>12</v>
      </c>
      <c r="H1305" s="4"/>
      <c r="I1305" s="4"/>
    </row>
    <row r="1306">
      <c r="A1306" s="4" t="str">
        <f>IFERROR(__xludf.DUMMYFUNCTION("""COMPUTED_VALUE"""),"cas_hmw")</f>
        <v>cas_hmw</v>
      </c>
      <c r="B1306" s="5">
        <f>IFERROR(__xludf.DUMMYFUNCTION("""COMPUTED_VALUE"""),44778.0)</f>
        <v>44778</v>
      </c>
      <c r="C1306" s="6">
        <f>IFERROR(__xludf.DUMMYFUNCTION("""COMPUTED_VALUE"""),0.6957870370388264)</f>
        <v>0.695787037</v>
      </c>
      <c r="D1306" s="4">
        <f>IFERROR(__xludf.DUMMYFUNCTION("""COMPUTED_VALUE"""),12.843568)</f>
        <v>12.843568</v>
      </c>
      <c r="E1306" s="4">
        <f>IFERROR(__xludf.DUMMYFUNCTION("""COMPUTED_VALUE"""),80.05955)</f>
        <v>80.05955</v>
      </c>
      <c r="F1306" s="4">
        <f>IFERROR(__xludf.DUMMYFUNCTION("""COMPUTED_VALUE"""),2846.0)</f>
        <v>2846</v>
      </c>
      <c r="G1306" s="4">
        <f>IFERROR(__xludf.DUMMYFUNCTION("""COMPUTED_VALUE"""),19.0)</f>
        <v>19</v>
      </c>
      <c r="H1306" s="4"/>
      <c r="I1306" s="4"/>
    </row>
    <row r="1307">
      <c r="A1307" s="4" t="str">
        <f>IFERROR(__xludf.DUMMYFUNCTION("""COMPUTED_VALUE"""),"cas_hmw")</f>
        <v>cas_hmw</v>
      </c>
      <c r="B1307" s="5">
        <f>IFERROR(__xludf.DUMMYFUNCTION("""COMPUTED_VALUE"""),44778.0)</f>
        <v>44778</v>
      </c>
      <c r="C1307" s="6">
        <f>IFERROR(__xludf.DUMMYFUNCTION("""COMPUTED_VALUE"""),0.6967129629629198)</f>
        <v>0.696712963</v>
      </c>
      <c r="D1307" s="4">
        <f>IFERROR(__xludf.DUMMYFUNCTION("""COMPUTED_VALUE"""),12.916671)</f>
        <v>12.916671</v>
      </c>
      <c r="E1307" s="4">
        <f>IFERROR(__xludf.DUMMYFUNCTION("""COMPUTED_VALUE"""),80.106476)</f>
        <v>80.106476</v>
      </c>
      <c r="F1307" s="4">
        <f>IFERROR(__xludf.DUMMYFUNCTION("""COMPUTED_VALUE"""),5339.0)</f>
        <v>5339</v>
      </c>
      <c r="G1307" s="4">
        <f>IFERROR(__xludf.DUMMYFUNCTION("""COMPUTED_VALUE"""),0.0)</f>
        <v>0</v>
      </c>
      <c r="H1307" s="4"/>
      <c r="I1307" s="4"/>
    </row>
    <row r="1308">
      <c r="A1308" s="4" t="str">
        <f>IFERROR(__xludf.DUMMYFUNCTION("""COMPUTED_VALUE"""),"cas_hmw")</f>
        <v>cas_hmw</v>
      </c>
      <c r="B1308" s="5">
        <f>IFERROR(__xludf.DUMMYFUNCTION("""COMPUTED_VALUE"""),44778.0)</f>
        <v>44778</v>
      </c>
      <c r="C1308" s="6">
        <f>IFERROR(__xludf.DUMMYFUNCTION("""COMPUTED_VALUE"""),0.7029629629614647)</f>
        <v>0.702962963</v>
      </c>
      <c r="D1308" s="4">
        <f>IFERROR(__xludf.DUMMYFUNCTION("""COMPUTED_VALUE"""),12.951246)</f>
        <v>12.951246</v>
      </c>
      <c r="E1308" s="4">
        <f>IFERROR(__xludf.DUMMYFUNCTION("""COMPUTED_VALUE"""),80.140065)</f>
        <v>80.140065</v>
      </c>
      <c r="F1308" s="4">
        <f>IFERROR(__xludf.DUMMYFUNCTION("""COMPUTED_VALUE"""),805.0)</f>
        <v>805</v>
      </c>
      <c r="G1308" s="4">
        <f>IFERROR(__xludf.DUMMYFUNCTION("""COMPUTED_VALUE"""),19.0)</f>
        <v>19</v>
      </c>
      <c r="H1308" s="4"/>
      <c r="I1308" s="4"/>
    </row>
    <row r="1309">
      <c r="A1309" s="4" t="str">
        <f>IFERROR(__xludf.DUMMYFUNCTION("""COMPUTED_VALUE"""),"cas_hmw")</f>
        <v>cas_hmw</v>
      </c>
      <c r="B1309" s="5">
        <f>IFERROR(__xludf.DUMMYFUNCTION("""COMPUTED_VALUE"""),44778.0)</f>
        <v>44778</v>
      </c>
      <c r="C1309" s="6">
        <f>IFERROR(__xludf.DUMMYFUNCTION("""COMPUTED_VALUE"""),0.7036574074081727)</f>
        <v>0.7036574074</v>
      </c>
      <c r="D1309" s="4">
        <f>IFERROR(__xludf.DUMMYFUNCTION("""COMPUTED_VALUE"""),12.950204)</f>
        <v>12.950204</v>
      </c>
      <c r="E1309" s="4">
        <f>IFERROR(__xludf.DUMMYFUNCTION("""COMPUTED_VALUE"""),80.139272)</f>
        <v>80.139272</v>
      </c>
      <c r="F1309" s="4">
        <f>IFERROR(__xludf.DUMMYFUNCTION("""COMPUTED_VALUE"""),5339.0)</f>
        <v>5339</v>
      </c>
      <c r="G1309" s="4">
        <f>IFERROR(__xludf.DUMMYFUNCTION("""COMPUTED_VALUE"""),0.0)</f>
        <v>0</v>
      </c>
      <c r="H1309" s="4"/>
      <c r="I1309" s="4"/>
    </row>
    <row r="1310">
      <c r="A1310" s="4" t="str">
        <f>IFERROR(__xludf.DUMMYFUNCTION("""COMPUTED_VALUE"""),"cas_hmw")</f>
        <v>cas_hmw</v>
      </c>
      <c r="B1310" s="5">
        <f>IFERROR(__xludf.DUMMYFUNCTION("""COMPUTED_VALUE"""),44778.0)</f>
        <v>44778</v>
      </c>
      <c r="C1310" s="6">
        <f>IFERROR(__xludf.DUMMYFUNCTION("""COMPUTED_VALUE"""),0.7036574074081727)</f>
        <v>0.7036574074</v>
      </c>
      <c r="D1310" s="4">
        <f>IFERROR(__xludf.DUMMYFUNCTION("""COMPUTED_VALUE"""),12.950204)</f>
        <v>12.950204</v>
      </c>
      <c r="E1310" s="4">
        <f>IFERROR(__xludf.DUMMYFUNCTION("""COMPUTED_VALUE"""),80.139272)</f>
        <v>80.139272</v>
      </c>
      <c r="F1310" s="4">
        <f>IFERROR(__xludf.DUMMYFUNCTION("""COMPUTED_VALUE"""),5339.0)</f>
        <v>5339</v>
      </c>
      <c r="G1310" s="4">
        <f>IFERROR(__xludf.DUMMYFUNCTION("""COMPUTED_VALUE"""),0.0)</f>
        <v>0</v>
      </c>
      <c r="H1310" s="4"/>
      <c r="I1310" s="4"/>
    </row>
    <row r="1311">
      <c r="A1311" s="4" t="str">
        <f>IFERROR(__xludf.DUMMYFUNCTION("""COMPUTED_VALUE"""),"cas_hmw")</f>
        <v>cas_hmw</v>
      </c>
      <c r="B1311" s="5">
        <f>IFERROR(__xludf.DUMMYFUNCTION("""COMPUTED_VALUE"""),44778.0)</f>
        <v>44778</v>
      </c>
      <c r="C1311" s="6">
        <f>IFERROR(__xludf.DUMMYFUNCTION("""COMPUTED_VALUE"""),0.7046643518515339)</f>
        <v>0.7046643519</v>
      </c>
      <c r="D1311" s="4">
        <f>IFERROR(__xludf.DUMMYFUNCTION("""COMPUTED_VALUE"""),12.956104)</f>
        <v>12.956104</v>
      </c>
      <c r="E1311" s="4">
        <f>IFERROR(__xludf.DUMMYFUNCTION("""COMPUTED_VALUE"""),80.143036)</f>
        <v>80.143036</v>
      </c>
      <c r="F1311" s="4">
        <f>IFERROR(__xludf.DUMMYFUNCTION("""COMPUTED_VALUE"""),805.0)</f>
        <v>805</v>
      </c>
      <c r="G1311" s="4">
        <f>IFERROR(__xludf.DUMMYFUNCTION("""COMPUTED_VALUE"""),0.0)</f>
        <v>0</v>
      </c>
      <c r="H1311" s="4"/>
      <c r="I1311" s="4"/>
    </row>
    <row r="1312">
      <c r="A1312" s="4" t="str">
        <f>IFERROR(__xludf.DUMMYFUNCTION("""COMPUTED_VALUE"""),"cas_hmw")</f>
        <v>cas_hmw</v>
      </c>
      <c r="B1312" s="5">
        <f>IFERROR(__xludf.DUMMYFUNCTION("""COMPUTED_VALUE"""),44778.0)</f>
        <v>44778</v>
      </c>
      <c r="C1312" s="6">
        <f>IFERROR(__xludf.DUMMYFUNCTION("""COMPUTED_VALUE"""),0.7052777777789743)</f>
        <v>0.7052777778</v>
      </c>
      <c r="D1312" s="4">
        <f>IFERROR(__xludf.DUMMYFUNCTION("""COMPUTED_VALUE"""),12.955911)</f>
        <v>12.955911</v>
      </c>
      <c r="E1312" s="4">
        <f>IFERROR(__xludf.DUMMYFUNCTION("""COMPUTED_VALUE"""),80.142907)</f>
        <v>80.142907</v>
      </c>
      <c r="F1312" s="4">
        <f>IFERROR(__xludf.DUMMYFUNCTION("""COMPUTED_VALUE"""),5339.0)</f>
        <v>5339</v>
      </c>
      <c r="G1312" s="4">
        <f>IFERROR(__xludf.DUMMYFUNCTION("""COMPUTED_VALUE"""),15.0)</f>
        <v>15</v>
      </c>
      <c r="H1312" s="4"/>
      <c r="I1312" s="4"/>
    </row>
    <row r="1313">
      <c r="A1313" s="4" t="str">
        <f>IFERROR(__xludf.DUMMYFUNCTION("""COMPUTED_VALUE"""),"cas_hmw")</f>
        <v>cas_hmw</v>
      </c>
      <c r="B1313" s="5">
        <f>IFERROR(__xludf.DUMMYFUNCTION("""COMPUTED_VALUE"""),44778.0)</f>
        <v>44778</v>
      </c>
      <c r="C1313" s="6">
        <f>IFERROR(__xludf.DUMMYFUNCTION("""COMPUTED_VALUE"""),0.7053703703713836)</f>
        <v>0.7053703704</v>
      </c>
      <c r="D1313" s="4">
        <f>IFERROR(__xludf.DUMMYFUNCTION("""COMPUTED_VALUE"""),12.955911)</f>
        <v>12.955911</v>
      </c>
      <c r="E1313" s="4">
        <f>IFERROR(__xludf.DUMMYFUNCTION("""COMPUTED_VALUE"""),80.142907)</f>
        <v>80.142907</v>
      </c>
      <c r="F1313" s="4">
        <f>IFERROR(__xludf.DUMMYFUNCTION("""COMPUTED_VALUE"""),5339.0)</f>
        <v>5339</v>
      </c>
      <c r="G1313" s="4">
        <f>IFERROR(__xludf.DUMMYFUNCTION("""COMPUTED_VALUE"""),15.0)</f>
        <v>15</v>
      </c>
      <c r="H1313" s="4"/>
      <c r="I1313" s="4"/>
    </row>
    <row r="1314">
      <c r="A1314" s="4" t="str">
        <f>IFERROR(__xludf.DUMMYFUNCTION("""COMPUTED_VALUE"""),"cas_hmw")</f>
        <v>cas_hmw</v>
      </c>
      <c r="B1314" s="5">
        <f>IFERROR(__xludf.DUMMYFUNCTION("""COMPUTED_VALUE"""),44778.0)</f>
        <v>44778</v>
      </c>
      <c r="C1314" s="6">
        <f>IFERROR(__xludf.DUMMYFUNCTION("""COMPUTED_VALUE"""),0.7090624999982538)</f>
        <v>0.7090625</v>
      </c>
      <c r="D1314" s="4">
        <f>IFERROR(__xludf.DUMMYFUNCTION("""COMPUTED_VALUE"""),12.985433)</f>
        <v>12.985433</v>
      </c>
      <c r="E1314" s="4">
        <f>IFERROR(__xludf.DUMMYFUNCTION("""COMPUTED_VALUE"""),80.173133)</f>
        <v>80.173133</v>
      </c>
      <c r="F1314" s="4">
        <f>IFERROR(__xludf.DUMMYFUNCTION("""COMPUTED_VALUE"""),805.0)</f>
        <v>805</v>
      </c>
      <c r="G1314" s="4">
        <f>IFERROR(__xludf.DUMMYFUNCTION("""COMPUTED_VALUE"""),0.0)</f>
        <v>0</v>
      </c>
      <c r="H1314" s="4"/>
      <c r="I1314" s="4"/>
    </row>
    <row r="1315">
      <c r="A1315" s="4" t="str">
        <f>IFERROR(__xludf.DUMMYFUNCTION("""COMPUTED_VALUE"""),"cas_hmw")</f>
        <v>cas_hmw</v>
      </c>
      <c r="B1315" s="5">
        <f>IFERROR(__xludf.DUMMYFUNCTION("""COMPUTED_VALUE"""),44778.0)</f>
        <v>44778</v>
      </c>
      <c r="C1315" s="6">
        <f>IFERROR(__xludf.DUMMYFUNCTION("""COMPUTED_VALUE"""),0.7101851851839456)</f>
        <v>0.7101851852</v>
      </c>
      <c r="D1315" s="4">
        <f>IFERROR(__xludf.DUMMYFUNCTION("""COMPUTED_VALUE"""),12.987078)</f>
        <v>12.987078</v>
      </c>
      <c r="E1315" s="4">
        <f>IFERROR(__xludf.DUMMYFUNCTION("""COMPUTED_VALUE"""),80.17552)</f>
        <v>80.17552</v>
      </c>
      <c r="F1315" s="4">
        <f>IFERROR(__xludf.DUMMYFUNCTION("""COMPUTED_VALUE"""),5339.0)</f>
        <v>5339</v>
      </c>
      <c r="G1315" s="4">
        <f>IFERROR(__xludf.DUMMYFUNCTION("""COMPUTED_VALUE"""),13.0)</f>
        <v>13</v>
      </c>
      <c r="H1315" s="4"/>
      <c r="I1315" s="4"/>
    </row>
    <row r="1316">
      <c r="A1316" s="4" t="str">
        <f>IFERROR(__xludf.DUMMYFUNCTION("""COMPUTED_VALUE"""),"cas_hmw")</f>
        <v>cas_hmw</v>
      </c>
      <c r="B1316" s="5">
        <f>IFERROR(__xludf.DUMMYFUNCTION("""COMPUTED_VALUE"""),44778.0)</f>
        <v>44778</v>
      </c>
      <c r="C1316" s="6">
        <f>IFERROR(__xludf.DUMMYFUNCTION("""COMPUTED_VALUE"""),0.7101851851839456)</f>
        <v>0.7101851852</v>
      </c>
      <c r="D1316" s="4">
        <f>IFERROR(__xludf.DUMMYFUNCTION("""COMPUTED_VALUE"""),12.987078)</f>
        <v>12.987078</v>
      </c>
      <c r="E1316" s="4">
        <f>IFERROR(__xludf.DUMMYFUNCTION("""COMPUTED_VALUE"""),80.17552)</f>
        <v>80.17552</v>
      </c>
      <c r="F1316" s="4">
        <f>IFERROR(__xludf.DUMMYFUNCTION("""COMPUTED_VALUE"""),5339.0)</f>
        <v>5339</v>
      </c>
      <c r="G1316" s="4">
        <f>IFERROR(__xludf.DUMMYFUNCTION("""COMPUTED_VALUE"""),13.0)</f>
        <v>13</v>
      </c>
      <c r="H1316" s="4"/>
      <c r="I1316" s="4"/>
    </row>
    <row r="1317">
      <c r="A1317" s="4" t="str">
        <f>IFERROR(__xludf.DUMMYFUNCTION("""COMPUTED_VALUE"""),"cas_hmw")</f>
        <v>cas_hmw</v>
      </c>
      <c r="B1317" s="5">
        <f>IFERROR(__xludf.DUMMYFUNCTION("""COMPUTED_VALUE"""),44778.0)</f>
        <v>44778</v>
      </c>
      <c r="C1317" s="6">
        <f>IFERROR(__xludf.DUMMYFUNCTION("""COMPUTED_VALUE"""),0.710972222223063)</f>
        <v>0.7109722222</v>
      </c>
      <c r="D1317" s="4">
        <f>IFERROR(__xludf.DUMMYFUNCTION("""COMPUTED_VALUE"""),12.724096)</f>
        <v>12.724096</v>
      </c>
      <c r="E1317" s="4">
        <f>IFERROR(__xludf.DUMMYFUNCTION("""COMPUTED_VALUE"""),79.982104)</f>
        <v>79.982104</v>
      </c>
      <c r="F1317" s="4">
        <f>IFERROR(__xludf.DUMMYFUNCTION("""COMPUTED_VALUE"""),2846.0)</f>
        <v>2846</v>
      </c>
      <c r="G1317" s="4">
        <f>IFERROR(__xludf.DUMMYFUNCTION("""COMPUTED_VALUE"""),0.0)</f>
        <v>0</v>
      </c>
      <c r="H1317" s="4"/>
      <c r="I1317" s="4"/>
    </row>
    <row r="1318">
      <c r="A1318" s="4" t="str">
        <f>IFERROR(__xludf.DUMMYFUNCTION("""COMPUTED_VALUE"""),"cas_hmw")</f>
        <v>cas_hmw</v>
      </c>
      <c r="B1318" s="5">
        <f>IFERROR(__xludf.DUMMYFUNCTION("""COMPUTED_VALUE"""),44778.0)</f>
        <v>44778</v>
      </c>
      <c r="C1318" s="6">
        <f>IFERROR(__xludf.DUMMYFUNCTION("""COMPUTED_VALUE"""),0.7114004629620467)</f>
        <v>0.711400463</v>
      </c>
      <c r="D1318" s="4">
        <f>IFERROR(__xludf.DUMMYFUNCTION("""COMPUTED_VALUE"""),12.989213)</f>
        <v>12.989213</v>
      </c>
      <c r="E1318" s="4">
        <f>IFERROR(__xludf.DUMMYFUNCTION("""COMPUTED_VALUE"""),80.178333)</f>
        <v>80.178333</v>
      </c>
      <c r="F1318" s="4">
        <f>IFERROR(__xludf.DUMMYFUNCTION("""COMPUTED_VALUE"""),5339.0)</f>
        <v>5339</v>
      </c>
      <c r="G1318" s="4">
        <f>IFERROR(__xludf.DUMMYFUNCTION("""COMPUTED_VALUE"""),0.0)</f>
        <v>0</v>
      </c>
      <c r="H1318" s="4"/>
      <c r="I1318" s="4"/>
    </row>
    <row r="1319">
      <c r="A1319" s="4" t="str">
        <f>IFERROR(__xludf.DUMMYFUNCTION("""COMPUTED_VALUE"""),"cas_hmw")</f>
        <v>cas_hmw</v>
      </c>
      <c r="B1319" s="5">
        <f>IFERROR(__xludf.DUMMYFUNCTION("""COMPUTED_VALUE"""),44778.0)</f>
        <v>44778</v>
      </c>
      <c r="C1319" s="6">
        <f>IFERROR(__xludf.DUMMYFUNCTION("""COMPUTED_VALUE"""),0.7115046296312357)</f>
        <v>0.7115046296</v>
      </c>
      <c r="D1319" s="4">
        <f>IFERROR(__xludf.DUMMYFUNCTION("""COMPUTED_VALUE"""),12.989213)</f>
        <v>12.989213</v>
      </c>
      <c r="E1319" s="4">
        <f>IFERROR(__xludf.DUMMYFUNCTION("""COMPUTED_VALUE"""),80.178333)</f>
        <v>80.178333</v>
      </c>
      <c r="F1319" s="4">
        <f>IFERROR(__xludf.DUMMYFUNCTION("""COMPUTED_VALUE"""),5339.0)</f>
        <v>5339</v>
      </c>
      <c r="G1319" s="4">
        <f>IFERROR(__xludf.DUMMYFUNCTION("""COMPUTED_VALUE"""),0.0)</f>
        <v>0</v>
      </c>
      <c r="H1319" s="4"/>
      <c r="I1319" s="4"/>
    </row>
    <row r="1320">
      <c r="A1320" s="4" t="str">
        <f>IFERROR(__xludf.DUMMYFUNCTION("""COMPUTED_VALUE"""),"cas_hmw")</f>
        <v>cas_hmw</v>
      </c>
      <c r="B1320" s="5">
        <f>IFERROR(__xludf.DUMMYFUNCTION("""COMPUTED_VALUE"""),44778.0)</f>
        <v>44778</v>
      </c>
      <c r="C1320" s="6">
        <f>IFERROR(__xludf.DUMMYFUNCTION("""COMPUTED_VALUE"""),0.7117361111122591)</f>
        <v>0.7117361111</v>
      </c>
      <c r="D1320" s="4">
        <f>IFERROR(__xludf.DUMMYFUNCTION("""COMPUTED_VALUE"""),12.989213)</f>
        <v>12.989213</v>
      </c>
      <c r="E1320" s="4">
        <f>IFERROR(__xludf.DUMMYFUNCTION("""COMPUTED_VALUE"""),80.178333)</f>
        <v>80.178333</v>
      </c>
      <c r="F1320" s="4">
        <f>IFERROR(__xludf.DUMMYFUNCTION("""COMPUTED_VALUE"""),5339.0)</f>
        <v>5339</v>
      </c>
      <c r="G1320" s="4">
        <f>IFERROR(__xludf.DUMMYFUNCTION("""COMPUTED_VALUE"""),0.0)</f>
        <v>0</v>
      </c>
      <c r="H1320" s="4"/>
      <c r="I1320" s="4"/>
    </row>
    <row r="1321">
      <c r="A1321" s="4" t="str">
        <f>IFERROR(__xludf.DUMMYFUNCTION("""COMPUTED_VALUE"""),"cas_hmw")</f>
        <v>cas_hmw</v>
      </c>
      <c r="B1321" s="5">
        <f>IFERROR(__xludf.DUMMYFUNCTION("""COMPUTED_VALUE"""),44778.0)</f>
        <v>44778</v>
      </c>
      <c r="C1321" s="6">
        <f>IFERROR(__xludf.DUMMYFUNCTION("""COMPUTED_VALUE"""),0.7119675925932825)</f>
        <v>0.7119675926</v>
      </c>
      <c r="D1321" s="4">
        <f>IFERROR(__xludf.DUMMYFUNCTION("""COMPUTED_VALUE"""),12.993747)</f>
        <v>12.993747</v>
      </c>
      <c r="E1321" s="4">
        <f>IFERROR(__xludf.DUMMYFUNCTION("""COMPUTED_VALUE"""),80.184933)</f>
        <v>80.184933</v>
      </c>
      <c r="F1321" s="4">
        <f>IFERROR(__xludf.DUMMYFUNCTION("""COMPUTED_VALUE"""),805.0)</f>
        <v>805</v>
      </c>
      <c r="G1321" s="4">
        <f>IFERROR(__xludf.DUMMYFUNCTION("""COMPUTED_VALUE"""),14.0)</f>
        <v>14</v>
      </c>
      <c r="H1321" s="4"/>
      <c r="I1321" s="4"/>
    </row>
    <row r="1322">
      <c r="A1322" s="4" t="str">
        <f>IFERROR(__xludf.DUMMYFUNCTION("""COMPUTED_VALUE"""),"cas_hmw")</f>
        <v>cas_hmw</v>
      </c>
      <c r="B1322" s="5">
        <f>IFERROR(__xludf.DUMMYFUNCTION("""COMPUTED_VALUE"""),44778.0)</f>
        <v>44778</v>
      </c>
      <c r="C1322" s="6">
        <f>IFERROR(__xludf.DUMMYFUNCTION("""COMPUTED_VALUE"""),0.7126157407401479)</f>
        <v>0.7126157407</v>
      </c>
      <c r="D1322" s="4">
        <f>IFERROR(__xludf.DUMMYFUNCTION("""COMPUTED_VALUE"""),12.995766)</f>
        <v>12.995766</v>
      </c>
      <c r="E1322" s="4">
        <f>IFERROR(__xludf.DUMMYFUNCTION("""COMPUTED_VALUE"""),80.188856)</f>
        <v>80.188856</v>
      </c>
      <c r="F1322" s="4">
        <f>IFERROR(__xludf.DUMMYFUNCTION("""COMPUTED_VALUE"""),805.0)</f>
        <v>805</v>
      </c>
      <c r="G1322" s="4">
        <f>IFERROR(__xludf.DUMMYFUNCTION("""COMPUTED_VALUE"""),0.0)</f>
        <v>0</v>
      </c>
      <c r="H1322" s="4"/>
      <c r="I1322" s="4"/>
    </row>
    <row r="1323">
      <c r="A1323" s="4" t="str">
        <f>IFERROR(__xludf.DUMMYFUNCTION("""COMPUTED_VALUE"""),"cas_hmw")</f>
        <v>cas_hmw</v>
      </c>
      <c r="B1323" s="5">
        <f>IFERROR(__xludf.DUMMYFUNCTION("""COMPUTED_VALUE"""),44778.0)</f>
        <v>44778</v>
      </c>
      <c r="C1323" s="6">
        <f>IFERROR(__xludf.DUMMYFUNCTION("""COMPUTED_VALUE"""),0.7126273148132896)</f>
        <v>0.7126273148</v>
      </c>
      <c r="D1323" s="4">
        <f>IFERROR(__xludf.DUMMYFUNCTION("""COMPUTED_VALUE"""),12.699772)</f>
        <v>12.699772</v>
      </c>
      <c r="E1323" s="4">
        <f>IFERROR(__xludf.DUMMYFUNCTION("""COMPUTED_VALUE"""),79.968752)</f>
        <v>79.968752</v>
      </c>
      <c r="F1323" s="4">
        <f>IFERROR(__xludf.DUMMYFUNCTION("""COMPUTED_VALUE"""),2846.0)</f>
        <v>2846</v>
      </c>
      <c r="G1323" s="4">
        <f>IFERROR(__xludf.DUMMYFUNCTION("""COMPUTED_VALUE"""),14.0)</f>
        <v>14</v>
      </c>
      <c r="H1323" s="4"/>
      <c r="I1323" s="4"/>
    </row>
    <row r="1324">
      <c r="A1324" s="4" t="str">
        <f>IFERROR(__xludf.DUMMYFUNCTION("""COMPUTED_VALUE"""),"cas_hmw")</f>
        <v>cas_hmw</v>
      </c>
      <c r="B1324" s="5">
        <f>IFERROR(__xludf.DUMMYFUNCTION("""COMPUTED_VALUE"""),44778.0)</f>
        <v>44778</v>
      </c>
      <c r="C1324" s="6">
        <f>IFERROR(__xludf.DUMMYFUNCTION("""COMPUTED_VALUE"""),0.713657407406572)</f>
        <v>0.7136574074</v>
      </c>
      <c r="D1324" s="4">
        <f>IFERROR(__xludf.DUMMYFUNCTION("""COMPUTED_VALUE"""),12.697212)</f>
        <v>12.697212</v>
      </c>
      <c r="E1324" s="4">
        <f>IFERROR(__xludf.DUMMYFUNCTION("""COMPUTED_VALUE"""),79.972847)</f>
        <v>79.972847</v>
      </c>
      <c r="F1324" s="4">
        <f>IFERROR(__xludf.DUMMYFUNCTION("""COMPUTED_VALUE"""),2846.0)</f>
        <v>2846</v>
      </c>
      <c r="G1324" s="4">
        <f>IFERROR(__xludf.DUMMYFUNCTION("""COMPUTED_VALUE"""),0.0)</f>
        <v>0</v>
      </c>
      <c r="H1324" s="4"/>
      <c r="I1324" s="4"/>
    </row>
    <row r="1325">
      <c r="A1325" s="4" t="str">
        <f>IFERROR(__xludf.DUMMYFUNCTION("""COMPUTED_VALUE"""),"cas_hmw")</f>
        <v>cas_hmw</v>
      </c>
      <c r="B1325" s="5">
        <f>IFERROR(__xludf.DUMMYFUNCTION("""COMPUTED_VALUE"""),44778.0)</f>
        <v>44778</v>
      </c>
      <c r="C1325" s="6">
        <f>IFERROR(__xludf.DUMMYFUNCTION("""COMPUTED_VALUE"""),0.7144212962957681)</f>
        <v>0.7144212963</v>
      </c>
      <c r="D1325" s="4">
        <f>IFERROR(__xludf.DUMMYFUNCTION("""COMPUTED_VALUE"""),13.000572)</f>
        <v>13.000572</v>
      </c>
      <c r="E1325" s="4">
        <f>IFERROR(__xludf.DUMMYFUNCTION("""COMPUTED_VALUE"""),80.194806)</f>
        <v>80.194806</v>
      </c>
      <c r="F1325" s="4">
        <f>IFERROR(__xludf.DUMMYFUNCTION("""COMPUTED_VALUE"""),5339.0)</f>
        <v>5339</v>
      </c>
      <c r="G1325" s="4">
        <f>IFERROR(__xludf.DUMMYFUNCTION("""COMPUTED_VALUE"""),12.0)</f>
        <v>12</v>
      </c>
      <c r="H1325" s="4"/>
      <c r="I1325" s="4"/>
    </row>
    <row r="1326">
      <c r="A1326" s="4" t="str">
        <f>IFERROR(__xludf.DUMMYFUNCTION("""COMPUTED_VALUE"""),"cas_hmw")</f>
        <v>cas_hmw</v>
      </c>
      <c r="B1326" s="5">
        <f>IFERROR(__xludf.DUMMYFUNCTION("""COMPUTED_VALUE"""),44778.0)</f>
        <v>44778</v>
      </c>
      <c r="C1326" s="6">
        <f>IFERROR(__xludf.DUMMYFUNCTION("""COMPUTED_VALUE"""),0.7144212962957681)</f>
        <v>0.7144212963</v>
      </c>
      <c r="D1326" s="4">
        <f>IFERROR(__xludf.DUMMYFUNCTION("""COMPUTED_VALUE"""),13.000572)</f>
        <v>13.000572</v>
      </c>
      <c r="E1326" s="4">
        <f>IFERROR(__xludf.DUMMYFUNCTION("""COMPUTED_VALUE"""),80.194806)</f>
        <v>80.194806</v>
      </c>
      <c r="F1326" s="4">
        <f>IFERROR(__xludf.DUMMYFUNCTION("""COMPUTED_VALUE"""),5339.0)</f>
        <v>5339</v>
      </c>
      <c r="G1326" s="4">
        <f>IFERROR(__xludf.DUMMYFUNCTION("""COMPUTED_VALUE"""),12.0)</f>
        <v>12</v>
      </c>
      <c r="H1326" s="4"/>
      <c r="I1326" s="4"/>
    </row>
    <row r="1327">
      <c r="A1327" s="4" t="str">
        <f>IFERROR(__xludf.DUMMYFUNCTION("""COMPUTED_VALUE"""),"cas_hmw")</f>
        <v>cas_hmw</v>
      </c>
      <c r="B1327" s="5">
        <f>IFERROR(__xludf.DUMMYFUNCTION("""COMPUTED_VALUE"""),44778.0)</f>
        <v>44778</v>
      </c>
      <c r="C1327" s="6">
        <f>IFERROR(__xludf.DUMMYFUNCTION("""COMPUTED_VALUE"""),0.718993055554165)</f>
        <v>0.7189930556</v>
      </c>
      <c r="D1327" s="4">
        <f>IFERROR(__xludf.DUMMYFUNCTION("""COMPUTED_VALUE"""),13.015463)</f>
        <v>13.015463</v>
      </c>
      <c r="E1327" s="4">
        <f>IFERROR(__xludf.DUMMYFUNCTION("""COMPUTED_VALUE"""),80.22543)</f>
        <v>80.22543</v>
      </c>
      <c r="F1327" s="4">
        <f>IFERROR(__xludf.DUMMYFUNCTION("""COMPUTED_VALUE"""),805.0)</f>
        <v>805</v>
      </c>
      <c r="G1327" s="4">
        <f>IFERROR(__xludf.DUMMYFUNCTION("""COMPUTED_VALUE"""),13.0)</f>
        <v>13</v>
      </c>
      <c r="H1327" s="4"/>
      <c r="I1327" s="4"/>
    </row>
    <row r="1328">
      <c r="A1328" s="4" t="str">
        <f>IFERROR(__xludf.DUMMYFUNCTION("""COMPUTED_VALUE"""),"cas_hmw")</f>
        <v>cas_hmw</v>
      </c>
      <c r="B1328" s="5">
        <f>IFERROR(__xludf.DUMMYFUNCTION("""COMPUTED_VALUE"""),44778.0)</f>
        <v>44778</v>
      </c>
      <c r="C1328" s="6">
        <f>IFERROR(__xludf.DUMMYFUNCTION("""COMPUTED_VALUE"""),0.7191666666658421)</f>
        <v>0.7191666667</v>
      </c>
      <c r="D1328" s="4">
        <f>IFERROR(__xludf.DUMMYFUNCTION("""COMPUTED_VALUE"""),13.015155)</f>
        <v>13.015155</v>
      </c>
      <c r="E1328" s="4">
        <f>IFERROR(__xludf.DUMMYFUNCTION("""COMPUTED_VALUE"""),80.225837)</f>
        <v>80.225837</v>
      </c>
      <c r="F1328" s="4">
        <f>IFERROR(__xludf.DUMMYFUNCTION("""COMPUTED_VALUE"""),805.0)</f>
        <v>805</v>
      </c>
      <c r="G1328" s="4">
        <f>IFERROR(__xludf.DUMMYFUNCTION("""COMPUTED_VALUE"""),19.0)</f>
        <v>19</v>
      </c>
      <c r="H1328" s="4"/>
      <c r="I1328" s="4"/>
    </row>
    <row r="1329">
      <c r="A1329" s="4" t="str">
        <f>IFERROR(__xludf.DUMMYFUNCTION("""COMPUTED_VALUE"""),"cas_hmw")</f>
        <v>cas_hmw</v>
      </c>
      <c r="B1329" s="5">
        <f>IFERROR(__xludf.DUMMYFUNCTION("""COMPUTED_VALUE"""),44778.0)</f>
        <v>44778</v>
      </c>
      <c r="C1329" s="6">
        <f>IFERROR(__xludf.DUMMYFUNCTION("""COMPUTED_VALUE"""),0.7207986111097853)</f>
        <v>0.7207986111</v>
      </c>
      <c r="D1329" s="4">
        <f>IFERROR(__xludf.DUMMYFUNCTION("""COMPUTED_VALUE"""),13.007958)</f>
        <v>13.007958</v>
      </c>
      <c r="E1329" s="4">
        <f>IFERROR(__xludf.DUMMYFUNCTION("""COMPUTED_VALUE"""),80.234738)</f>
        <v>80.234738</v>
      </c>
      <c r="F1329" s="4">
        <f>IFERROR(__xludf.DUMMYFUNCTION("""COMPUTED_VALUE"""),805.0)</f>
        <v>805</v>
      </c>
      <c r="G1329" s="4">
        <f>IFERROR(__xludf.DUMMYFUNCTION("""COMPUTED_VALUE"""),2.0)</f>
        <v>2</v>
      </c>
      <c r="H1329" s="4"/>
      <c r="I1329" s="4"/>
    </row>
    <row r="1330">
      <c r="A1330" s="4" t="str">
        <f>IFERROR(__xludf.DUMMYFUNCTION("""COMPUTED_VALUE"""),"cas_hmw")</f>
        <v>cas_hmw</v>
      </c>
      <c r="B1330" s="5">
        <f>IFERROR(__xludf.DUMMYFUNCTION("""COMPUTED_VALUE"""),44778.0)</f>
        <v>44778</v>
      </c>
      <c r="C1330" s="6">
        <f>IFERROR(__xludf.DUMMYFUNCTION("""COMPUTED_VALUE"""),0.7208680555559113)</f>
        <v>0.7208680556</v>
      </c>
      <c r="D1330" s="4">
        <f>IFERROR(__xludf.DUMMYFUNCTION("""COMPUTED_VALUE"""),13.007958)</f>
        <v>13.007958</v>
      </c>
      <c r="E1330" s="4">
        <f>IFERROR(__xludf.DUMMYFUNCTION("""COMPUTED_VALUE"""),80.234738)</f>
        <v>80.234738</v>
      </c>
      <c r="F1330" s="4">
        <f>IFERROR(__xludf.DUMMYFUNCTION("""COMPUTED_VALUE"""),805.0)</f>
        <v>805</v>
      </c>
      <c r="G1330" s="4">
        <f>IFERROR(__xludf.DUMMYFUNCTION("""COMPUTED_VALUE"""),2.0)</f>
        <v>2</v>
      </c>
      <c r="H1330" s="4"/>
      <c r="I1330" s="4"/>
    </row>
    <row r="1331">
      <c r="A1331" s="4" t="str">
        <f>IFERROR(__xludf.DUMMYFUNCTION("""COMPUTED_VALUE"""),"cas_hmw")</f>
        <v>cas_hmw</v>
      </c>
      <c r="B1331" s="5">
        <f>IFERROR(__xludf.DUMMYFUNCTION("""COMPUTED_VALUE"""),44778.0)</f>
        <v>44778</v>
      </c>
      <c r="C1331" s="6">
        <f>IFERROR(__xludf.DUMMYFUNCTION("""COMPUTED_VALUE"""),0.7208796296290529)</f>
        <v>0.7208796296</v>
      </c>
      <c r="D1331" s="4">
        <f>IFERROR(__xludf.DUMMYFUNCTION("""COMPUTED_VALUE"""),13.007958)</f>
        <v>13.007958</v>
      </c>
      <c r="E1331" s="4">
        <f>IFERROR(__xludf.DUMMYFUNCTION("""COMPUTED_VALUE"""),80.234738)</f>
        <v>80.234738</v>
      </c>
      <c r="F1331" s="4">
        <f>IFERROR(__xludf.DUMMYFUNCTION("""COMPUTED_VALUE"""),805.0)</f>
        <v>805</v>
      </c>
      <c r="G1331" s="4">
        <f>IFERROR(__xludf.DUMMYFUNCTION("""COMPUTED_VALUE"""),2.0)</f>
        <v>2</v>
      </c>
      <c r="H1331" s="4"/>
      <c r="I1331" s="4"/>
    </row>
    <row r="1332">
      <c r="A1332" s="4" t="str">
        <f>IFERROR(__xludf.DUMMYFUNCTION("""COMPUTED_VALUE"""),"cas_hmw")</f>
        <v>cas_hmw</v>
      </c>
      <c r="B1332" s="5">
        <f>IFERROR(__xludf.DUMMYFUNCTION("""COMPUTED_VALUE"""),44778.0)</f>
        <v>44778</v>
      </c>
      <c r="C1332" s="6">
        <f>IFERROR(__xludf.DUMMYFUNCTION("""COMPUTED_VALUE"""),0.7217939814800047)</f>
        <v>0.7217939815</v>
      </c>
      <c r="D1332" s="4">
        <f>IFERROR(__xludf.DUMMYFUNCTION("""COMPUTED_VALUE"""),13.007295)</f>
        <v>13.007295</v>
      </c>
      <c r="E1332" s="4">
        <f>IFERROR(__xludf.DUMMYFUNCTION("""COMPUTED_VALUE"""),80.238092)</f>
        <v>80.238092</v>
      </c>
      <c r="F1332" s="4">
        <f>IFERROR(__xludf.DUMMYFUNCTION("""COMPUTED_VALUE"""),805.0)</f>
        <v>805</v>
      </c>
      <c r="G1332" s="4">
        <f>IFERROR(__xludf.DUMMYFUNCTION("""COMPUTED_VALUE"""),4.0)</f>
        <v>4</v>
      </c>
      <c r="H1332" s="4"/>
      <c r="I1332" s="4"/>
    </row>
    <row r="1333">
      <c r="A1333" s="4" t="str">
        <f>IFERROR(__xludf.DUMMYFUNCTION("""COMPUTED_VALUE"""),"cas_hmw")</f>
        <v>cas_hmw</v>
      </c>
      <c r="B1333" s="5">
        <f>IFERROR(__xludf.DUMMYFUNCTION("""COMPUTED_VALUE"""),44778.0)</f>
        <v>44778</v>
      </c>
      <c r="C1333" s="6">
        <f>IFERROR(__xludf.DUMMYFUNCTION("""COMPUTED_VALUE"""),0.7218518518529891)</f>
        <v>0.7218518519</v>
      </c>
      <c r="D1333" s="4">
        <f>IFERROR(__xludf.DUMMYFUNCTION("""COMPUTED_VALUE"""),13.007242)</f>
        <v>13.007242</v>
      </c>
      <c r="E1333" s="4">
        <f>IFERROR(__xludf.DUMMYFUNCTION("""COMPUTED_VALUE"""),80.23828)</f>
        <v>80.23828</v>
      </c>
      <c r="F1333" s="4">
        <f>IFERROR(__xludf.DUMMYFUNCTION("""COMPUTED_VALUE"""),805.0)</f>
        <v>805</v>
      </c>
      <c r="G1333" s="4">
        <f>IFERROR(__xludf.DUMMYFUNCTION("""COMPUTED_VALUE"""),7.0)</f>
        <v>7</v>
      </c>
      <c r="H1333" s="4"/>
      <c r="I1333" s="4"/>
    </row>
    <row r="1334">
      <c r="A1334" s="4" t="str">
        <f>IFERROR(__xludf.DUMMYFUNCTION("""COMPUTED_VALUE"""),"cas_hmw")</f>
        <v>cas_hmw</v>
      </c>
      <c r="B1334" s="5">
        <f>IFERROR(__xludf.DUMMYFUNCTION("""COMPUTED_VALUE"""),44778.0)</f>
        <v>44778</v>
      </c>
      <c r="C1334" s="6">
        <f>IFERROR(__xludf.DUMMYFUNCTION("""COMPUTED_VALUE"""),0.7218518518529891)</f>
        <v>0.7218518519</v>
      </c>
      <c r="D1334" s="4">
        <f>IFERROR(__xludf.DUMMYFUNCTION("""COMPUTED_VALUE"""),13.007242)</f>
        <v>13.007242</v>
      </c>
      <c r="E1334" s="4">
        <f>IFERROR(__xludf.DUMMYFUNCTION("""COMPUTED_VALUE"""),80.23828)</f>
        <v>80.23828</v>
      </c>
      <c r="F1334" s="4">
        <f>IFERROR(__xludf.DUMMYFUNCTION("""COMPUTED_VALUE"""),805.0)</f>
        <v>805</v>
      </c>
      <c r="G1334" s="4">
        <f>IFERROR(__xludf.DUMMYFUNCTION("""COMPUTED_VALUE"""),7.0)</f>
        <v>7</v>
      </c>
      <c r="H1334" s="4"/>
      <c r="I1334" s="4"/>
    </row>
    <row r="1335">
      <c r="A1335" s="4" t="str">
        <f>IFERROR(__xludf.DUMMYFUNCTION("""COMPUTED_VALUE"""),"cas_hmw")</f>
        <v>cas_hmw</v>
      </c>
      <c r="B1335" s="5">
        <f>IFERROR(__xludf.DUMMYFUNCTION("""COMPUTED_VALUE"""),44778.0)</f>
        <v>44778</v>
      </c>
      <c r="C1335" s="6">
        <f>IFERROR(__xludf.DUMMYFUNCTION("""COMPUTED_VALUE"""),0.7220138888878864)</f>
        <v>0.7220138889</v>
      </c>
      <c r="D1335" s="4">
        <f>IFERROR(__xludf.DUMMYFUNCTION("""COMPUTED_VALUE"""),13.007082)</f>
        <v>13.007082</v>
      </c>
      <c r="E1335" s="4">
        <f>IFERROR(__xludf.DUMMYFUNCTION("""COMPUTED_VALUE"""),80.239084)</f>
        <v>80.239084</v>
      </c>
      <c r="F1335" s="4">
        <f>IFERROR(__xludf.DUMMYFUNCTION("""COMPUTED_VALUE"""),805.0)</f>
        <v>805</v>
      </c>
      <c r="G1335" s="4">
        <f>IFERROR(__xludf.DUMMYFUNCTION("""COMPUTED_VALUE"""),18.0)</f>
        <v>18</v>
      </c>
      <c r="H1335" s="4"/>
      <c r="I1335" s="4"/>
    </row>
    <row r="1336">
      <c r="A1336" s="4" t="str">
        <f>IFERROR(__xludf.DUMMYFUNCTION("""COMPUTED_VALUE"""),"cas_hmw")</f>
        <v>cas_hmw</v>
      </c>
      <c r="B1336" s="5">
        <f>IFERROR(__xludf.DUMMYFUNCTION("""COMPUTED_VALUE"""),44778.0)</f>
        <v>44778</v>
      </c>
      <c r="C1336" s="6">
        <f>IFERROR(__xludf.DUMMYFUNCTION("""COMPUTED_VALUE"""),0.7240740740744513)</f>
        <v>0.7240740741</v>
      </c>
      <c r="D1336" s="4">
        <f>IFERROR(__xludf.DUMMYFUNCTION("""COMPUTED_VALUE"""),13.006788)</f>
        <v>13.006788</v>
      </c>
      <c r="E1336" s="4">
        <f>IFERROR(__xludf.DUMMYFUNCTION("""COMPUTED_VALUE"""),80.247845)</f>
        <v>80.247845</v>
      </c>
      <c r="F1336" s="4">
        <f>IFERROR(__xludf.DUMMYFUNCTION("""COMPUTED_VALUE"""),805.0)</f>
        <v>805</v>
      </c>
      <c r="G1336" s="4">
        <f>IFERROR(__xludf.DUMMYFUNCTION("""COMPUTED_VALUE"""),11.0)</f>
        <v>11</v>
      </c>
      <c r="H1336" s="4"/>
      <c r="I1336" s="4"/>
    </row>
    <row r="1337">
      <c r="A1337" s="4" t="str">
        <f>IFERROR(__xludf.DUMMYFUNCTION("""COMPUTED_VALUE"""),"cas_hmw")</f>
        <v>cas_hmw</v>
      </c>
      <c r="B1337" s="5">
        <f>IFERROR(__xludf.DUMMYFUNCTION("""COMPUTED_VALUE"""),44778.0)</f>
        <v>44778</v>
      </c>
      <c r="C1337" s="6">
        <f>IFERROR(__xludf.DUMMYFUNCTION("""COMPUTED_VALUE"""),0.7253703703718202)</f>
        <v>0.7253703704</v>
      </c>
      <c r="D1337" s="4">
        <f>IFERROR(__xludf.DUMMYFUNCTION("""COMPUTED_VALUE"""),13.00686)</f>
        <v>13.00686</v>
      </c>
      <c r="E1337" s="4">
        <f>IFERROR(__xludf.DUMMYFUNCTION("""COMPUTED_VALUE"""),80.251492)</f>
        <v>80.251492</v>
      </c>
      <c r="F1337" s="4">
        <f>IFERROR(__xludf.DUMMYFUNCTION("""COMPUTED_VALUE"""),805.0)</f>
        <v>805</v>
      </c>
      <c r="G1337" s="4">
        <f>IFERROR(__xludf.DUMMYFUNCTION("""COMPUTED_VALUE"""),0.0)</f>
        <v>0</v>
      </c>
      <c r="H1337" s="4"/>
      <c r="I1337" s="4"/>
    </row>
    <row r="1338">
      <c r="A1338" s="4" t="str">
        <f>IFERROR(__xludf.DUMMYFUNCTION("""COMPUTED_VALUE"""),"cas_hmw")</f>
        <v>cas_hmw</v>
      </c>
      <c r="B1338" s="5">
        <f>IFERROR(__xludf.DUMMYFUNCTION("""COMPUTED_VALUE"""),44778.0)</f>
        <v>44778</v>
      </c>
      <c r="C1338" s="6">
        <f>IFERROR(__xludf.DUMMYFUNCTION("""COMPUTED_VALUE"""),0.7303356481497758)</f>
        <v>0.7303356481</v>
      </c>
      <c r="D1338" s="4">
        <f>IFERROR(__xludf.DUMMYFUNCTION("""COMPUTED_VALUE"""),13.038987)</f>
        <v>13.038987</v>
      </c>
      <c r="E1338" s="4">
        <f>IFERROR(__xludf.DUMMYFUNCTION("""COMPUTED_VALUE"""),80.246819)</f>
        <v>80.246819</v>
      </c>
      <c r="F1338" s="4">
        <f>IFERROR(__xludf.DUMMYFUNCTION("""COMPUTED_VALUE"""),5339.0)</f>
        <v>5339</v>
      </c>
      <c r="G1338" s="4">
        <f>IFERROR(__xludf.DUMMYFUNCTION("""COMPUTED_VALUE"""),17.0)</f>
        <v>17</v>
      </c>
      <c r="H1338" s="4"/>
      <c r="I1338" s="4"/>
    </row>
    <row r="1339">
      <c r="A1339" s="4" t="str">
        <f>IFERROR(__xludf.DUMMYFUNCTION("""COMPUTED_VALUE"""),"cas_hmw")</f>
        <v>cas_hmw</v>
      </c>
      <c r="B1339" s="5">
        <f>IFERROR(__xludf.DUMMYFUNCTION("""COMPUTED_VALUE"""),44778.0)</f>
        <v>44778</v>
      </c>
      <c r="C1339" s="6">
        <f>IFERROR(__xludf.DUMMYFUNCTION("""COMPUTED_VALUE"""),0.7336111111108039)</f>
        <v>0.7336111111</v>
      </c>
      <c r="D1339" s="4">
        <f>IFERROR(__xludf.DUMMYFUNCTION("""COMPUTED_VALUE"""),12.986476)</f>
        <v>12.986476</v>
      </c>
      <c r="E1339" s="4">
        <f>IFERROR(__xludf.DUMMYFUNCTION("""COMPUTED_VALUE"""),80.119259)</f>
        <v>80.119259</v>
      </c>
      <c r="F1339" s="4">
        <f>IFERROR(__xludf.DUMMYFUNCTION("""COMPUTED_VALUE"""),3143.0)</f>
        <v>3143</v>
      </c>
      <c r="G1339" s="4">
        <f>IFERROR(__xludf.DUMMYFUNCTION("""COMPUTED_VALUE"""),17.0)</f>
        <v>17</v>
      </c>
      <c r="H1339" s="4"/>
      <c r="I1339" s="4"/>
    </row>
    <row r="1340">
      <c r="A1340" s="4" t="str">
        <f>IFERROR(__xludf.DUMMYFUNCTION("""COMPUTED_VALUE"""),"cas_hmw")</f>
        <v>cas_hmw</v>
      </c>
      <c r="B1340" s="5">
        <f>IFERROR(__xludf.DUMMYFUNCTION("""COMPUTED_VALUE"""),44778.0)</f>
        <v>44778</v>
      </c>
      <c r="C1340" s="6">
        <f>IFERROR(__xludf.DUMMYFUNCTION("""COMPUTED_VALUE"""),0.7344675925924093)</f>
        <v>0.7344675926</v>
      </c>
      <c r="D1340" s="4">
        <f>IFERROR(__xludf.DUMMYFUNCTION("""COMPUTED_VALUE"""),12.9899)</f>
        <v>12.9899</v>
      </c>
      <c r="E1340" s="4">
        <f>IFERROR(__xludf.DUMMYFUNCTION("""COMPUTED_VALUE"""),80.116792)</f>
        <v>80.116792</v>
      </c>
      <c r="F1340" s="4">
        <f>IFERROR(__xludf.DUMMYFUNCTION("""COMPUTED_VALUE"""),3143.0)</f>
        <v>3143</v>
      </c>
      <c r="G1340" s="4">
        <f>IFERROR(__xludf.DUMMYFUNCTION("""COMPUTED_VALUE"""),13.0)</f>
        <v>13</v>
      </c>
      <c r="H1340" s="4"/>
      <c r="I1340" s="4"/>
    </row>
    <row r="1341">
      <c r="A1341" s="4" t="str">
        <f>IFERROR(__xludf.DUMMYFUNCTION("""COMPUTED_VALUE"""),"cas_hmw")</f>
        <v>cas_hmw</v>
      </c>
      <c r="B1341" s="5">
        <f>IFERROR(__xludf.DUMMYFUNCTION("""COMPUTED_VALUE"""),44778.0)</f>
        <v>44778</v>
      </c>
      <c r="C1341" s="6">
        <f>IFERROR(__xludf.DUMMYFUNCTION("""COMPUTED_VALUE"""),0.7354398148163455)</f>
        <v>0.7354398148</v>
      </c>
      <c r="D1341" s="4">
        <f>IFERROR(__xludf.DUMMYFUNCTION("""COMPUTED_VALUE"""),12.992772)</f>
        <v>12.992772</v>
      </c>
      <c r="E1341" s="4">
        <f>IFERROR(__xludf.DUMMYFUNCTION("""COMPUTED_VALUE"""),80.114194)</f>
        <v>80.114194</v>
      </c>
      <c r="F1341" s="4">
        <f>IFERROR(__xludf.DUMMYFUNCTION("""COMPUTED_VALUE"""),3143.0)</f>
        <v>3143</v>
      </c>
      <c r="G1341" s="4">
        <f>IFERROR(__xludf.DUMMYFUNCTION("""COMPUTED_VALUE"""),19.0)</f>
        <v>19</v>
      </c>
      <c r="H1341" s="4"/>
      <c r="I1341" s="4"/>
    </row>
    <row r="1342">
      <c r="A1342" s="4" t="str">
        <f>IFERROR(__xludf.DUMMYFUNCTION("""COMPUTED_VALUE"""),"cas_hmw")</f>
        <v>cas_hmw</v>
      </c>
      <c r="B1342" s="5">
        <f>IFERROR(__xludf.DUMMYFUNCTION("""COMPUTED_VALUE"""),44778.0)</f>
        <v>44778</v>
      </c>
      <c r="C1342" s="6">
        <f>IFERROR(__xludf.DUMMYFUNCTION("""COMPUTED_VALUE"""),0.7443981481483206)</f>
        <v>0.7443981481</v>
      </c>
      <c r="D1342" s="4">
        <f>IFERROR(__xludf.DUMMYFUNCTION("""COMPUTED_VALUE"""),13.017978)</f>
        <v>13.017978</v>
      </c>
      <c r="E1342" s="4">
        <f>IFERROR(__xludf.DUMMYFUNCTION("""COMPUTED_VALUE"""),80.102646)</f>
        <v>80.102646</v>
      </c>
      <c r="F1342" s="4">
        <f>IFERROR(__xludf.DUMMYFUNCTION("""COMPUTED_VALUE"""),3143.0)</f>
        <v>3143</v>
      </c>
      <c r="G1342" s="4">
        <f>IFERROR(__xludf.DUMMYFUNCTION("""COMPUTED_VALUE"""),20.0)</f>
        <v>20</v>
      </c>
      <c r="H1342" s="4"/>
      <c r="I1342" s="4"/>
    </row>
    <row r="1343">
      <c r="A1343" s="4" t="str">
        <f>IFERROR(__xludf.DUMMYFUNCTION("""COMPUTED_VALUE"""),"cas_hmw")</f>
        <v>cas_hmw</v>
      </c>
      <c r="B1343" s="5">
        <f>IFERROR(__xludf.DUMMYFUNCTION("""COMPUTED_VALUE"""),44778.0)</f>
        <v>44778</v>
      </c>
      <c r="C1343" s="6">
        <f>IFERROR(__xludf.DUMMYFUNCTION("""COMPUTED_VALUE"""),0.7459027777767915)</f>
        <v>0.7459027778</v>
      </c>
      <c r="D1343" s="4">
        <f>IFERROR(__xludf.DUMMYFUNCTION("""COMPUTED_VALUE"""),13.065578)</f>
        <v>13.065578</v>
      </c>
      <c r="E1343" s="4">
        <f>IFERROR(__xludf.DUMMYFUNCTION("""COMPUTED_VALUE"""),80.267407)</f>
        <v>80.267407</v>
      </c>
      <c r="F1343" s="4">
        <f>IFERROR(__xludf.DUMMYFUNCTION("""COMPUTED_VALUE"""),805.0)</f>
        <v>805</v>
      </c>
      <c r="G1343" s="4">
        <f>IFERROR(__xludf.DUMMYFUNCTION("""COMPUTED_VALUE"""),12.0)</f>
        <v>12</v>
      </c>
      <c r="H1343" s="4"/>
      <c r="I1343" s="4"/>
    </row>
    <row r="1344">
      <c r="A1344" s="4" t="str">
        <f>IFERROR(__xludf.DUMMYFUNCTION("""COMPUTED_VALUE"""),"cas_hmw")</f>
        <v>cas_hmw</v>
      </c>
      <c r="B1344" s="5">
        <f>IFERROR(__xludf.DUMMYFUNCTION("""COMPUTED_VALUE"""),44778.0)</f>
        <v>44778</v>
      </c>
      <c r="C1344" s="6">
        <f>IFERROR(__xludf.DUMMYFUNCTION("""COMPUTED_VALUE"""),0.7466666666659876)</f>
        <v>0.7466666667</v>
      </c>
      <c r="D1344" s="4">
        <f>IFERROR(__xludf.DUMMYFUNCTION("""COMPUTED_VALUE"""),13.072347)</f>
        <v>13.072347</v>
      </c>
      <c r="E1344" s="4">
        <f>IFERROR(__xludf.DUMMYFUNCTION("""COMPUTED_VALUE"""),80.263547)</f>
        <v>80.263547</v>
      </c>
      <c r="F1344" s="4">
        <f>IFERROR(__xludf.DUMMYFUNCTION("""COMPUTED_VALUE"""),5339.0)</f>
        <v>5339</v>
      </c>
      <c r="G1344" s="4">
        <f>IFERROR(__xludf.DUMMYFUNCTION("""COMPUTED_VALUE"""),20.0)</f>
        <v>20</v>
      </c>
      <c r="H1344" s="4"/>
      <c r="I1344" s="4"/>
    </row>
    <row r="1345">
      <c r="A1345" s="4" t="str">
        <f>IFERROR(__xludf.DUMMYFUNCTION("""COMPUTED_VALUE"""),"cas_hmw")</f>
        <v>cas_hmw</v>
      </c>
      <c r="B1345" s="5">
        <f>IFERROR(__xludf.DUMMYFUNCTION("""COMPUTED_VALUE"""),44778.0)</f>
        <v>44778</v>
      </c>
      <c r="C1345" s="6">
        <f>IFERROR(__xludf.DUMMYFUNCTION("""COMPUTED_VALUE"""),0.7467013888890506)</f>
        <v>0.7467013889</v>
      </c>
      <c r="D1345" s="4">
        <f>IFERROR(__xludf.DUMMYFUNCTION("""COMPUTED_VALUE"""),13.072347)</f>
        <v>13.072347</v>
      </c>
      <c r="E1345" s="4">
        <f>IFERROR(__xludf.DUMMYFUNCTION("""COMPUTED_VALUE"""),80.263547)</f>
        <v>80.263547</v>
      </c>
      <c r="F1345" s="4">
        <f>IFERROR(__xludf.DUMMYFUNCTION("""COMPUTED_VALUE"""),5339.0)</f>
        <v>5339</v>
      </c>
      <c r="G1345" s="4">
        <f>IFERROR(__xludf.DUMMYFUNCTION("""COMPUTED_VALUE"""),20.0)</f>
        <v>20</v>
      </c>
      <c r="H1345" s="4"/>
      <c r="I1345" s="4"/>
    </row>
    <row r="1346">
      <c r="A1346" s="4" t="str">
        <f>IFERROR(__xludf.DUMMYFUNCTION("""COMPUTED_VALUE"""),"cas_hmw")</f>
        <v>cas_hmw</v>
      </c>
      <c r="B1346" s="5">
        <f>IFERROR(__xludf.DUMMYFUNCTION("""COMPUTED_VALUE"""),44778.0)</f>
        <v>44778</v>
      </c>
      <c r="C1346" s="6">
        <f>IFERROR(__xludf.DUMMYFUNCTION("""COMPUTED_VALUE"""),0.7488425925912452)</f>
        <v>0.7488425926</v>
      </c>
      <c r="D1346" s="4">
        <f>IFERROR(__xludf.DUMMYFUNCTION("""COMPUTED_VALUE"""),13.062154)</f>
        <v>13.062154</v>
      </c>
      <c r="E1346" s="4">
        <f>IFERROR(__xludf.DUMMYFUNCTION("""COMPUTED_VALUE"""),80.263191)</f>
        <v>80.263191</v>
      </c>
      <c r="F1346" s="4">
        <f>IFERROR(__xludf.DUMMYFUNCTION("""COMPUTED_VALUE"""),805.0)</f>
        <v>805</v>
      </c>
      <c r="G1346" s="4">
        <f>IFERROR(__xludf.DUMMYFUNCTION("""COMPUTED_VALUE"""),6.0)</f>
        <v>6</v>
      </c>
      <c r="H1346" s="4"/>
      <c r="I1346" s="4"/>
    </row>
    <row r="1347">
      <c r="A1347" s="4" t="str">
        <f>IFERROR(__xludf.DUMMYFUNCTION("""COMPUTED_VALUE"""),"cas_hmw")</f>
        <v>cas_hmw</v>
      </c>
      <c r="B1347" s="5">
        <f>IFERROR(__xludf.DUMMYFUNCTION("""COMPUTED_VALUE"""),44778.0)</f>
        <v>44778</v>
      </c>
      <c r="C1347" s="6">
        <f>IFERROR(__xludf.DUMMYFUNCTION("""COMPUTED_VALUE"""),0.7488541666680248)</f>
        <v>0.7488541667</v>
      </c>
      <c r="D1347" s="4">
        <f>IFERROR(__xludf.DUMMYFUNCTION("""COMPUTED_VALUE"""),13.062154)</f>
        <v>13.062154</v>
      </c>
      <c r="E1347" s="4">
        <f>IFERROR(__xludf.DUMMYFUNCTION("""COMPUTED_VALUE"""),80.263191)</f>
        <v>80.263191</v>
      </c>
      <c r="F1347" s="4">
        <f>IFERROR(__xludf.DUMMYFUNCTION("""COMPUTED_VALUE"""),805.0)</f>
        <v>805</v>
      </c>
      <c r="G1347" s="4">
        <f>IFERROR(__xludf.DUMMYFUNCTION("""COMPUTED_VALUE"""),6.0)</f>
        <v>6</v>
      </c>
      <c r="H1347" s="4"/>
      <c r="I1347" s="4"/>
    </row>
    <row r="1348">
      <c r="A1348" s="4" t="str">
        <f>IFERROR(__xludf.DUMMYFUNCTION("""COMPUTED_VALUE"""),"cas_hmw")</f>
        <v>cas_hmw</v>
      </c>
      <c r="B1348" s="5">
        <f>IFERROR(__xludf.DUMMYFUNCTION("""COMPUTED_VALUE"""),44778.0)</f>
        <v>44778</v>
      </c>
      <c r="C1348" s="6">
        <f>IFERROR(__xludf.DUMMYFUNCTION("""COMPUTED_VALUE"""),0.7490393518528435)</f>
        <v>0.7490393519</v>
      </c>
      <c r="D1348" s="4">
        <f>IFERROR(__xludf.DUMMYFUNCTION("""COMPUTED_VALUE"""),13.062132)</f>
        <v>13.062132</v>
      </c>
      <c r="E1348" s="4">
        <f>IFERROR(__xludf.DUMMYFUNCTION("""COMPUTED_VALUE"""),80.26281)</f>
        <v>80.26281</v>
      </c>
      <c r="F1348" s="4">
        <f>IFERROR(__xludf.DUMMYFUNCTION("""COMPUTED_VALUE"""),805.0)</f>
        <v>805</v>
      </c>
      <c r="G1348" s="4">
        <f>IFERROR(__xludf.DUMMYFUNCTION("""COMPUTED_VALUE"""),13.0)</f>
        <v>13</v>
      </c>
      <c r="H1348" s="4"/>
      <c r="I1348" s="4"/>
    </row>
    <row r="1349">
      <c r="A1349" s="4" t="str">
        <f>IFERROR(__xludf.DUMMYFUNCTION("""COMPUTED_VALUE"""),"cas_hmw")</f>
        <v>cas_hmw</v>
      </c>
      <c r="B1349" s="5">
        <f>IFERROR(__xludf.DUMMYFUNCTION("""COMPUTED_VALUE"""),44778.0)</f>
        <v>44778</v>
      </c>
      <c r="C1349" s="6">
        <f>IFERROR(__xludf.DUMMYFUNCTION("""COMPUTED_VALUE"""),0.7490509259259852)</f>
        <v>0.7490509259</v>
      </c>
      <c r="D1349" s="4">
        <f>IFERROR(__xludf.DUMMYFUNCTION("""COMPUTED_VALUE"""),13.062132)</f>
        <v>13.062132</v>
      </c>
      <c r="E1349" s="4">
        <f>IFERROR(__xludf.DUMMYFUNCTION("""COMPUTED_VALUE"""),80.26281)</f>
        <v>80.26281</v>
      </c>
      <c r="F1349" s="4">
        <f>IFERROR(__xludf.DUMMYFUNCTION("""COMPUTED_VALUE"""),805.0)</f>
        <v>805</v>
      </c>
      <c r="G1349" s="4">
        <f>IFERROR(__xludf.DUMMYFUNCTION("""COMPUTED_VALUE"""),13.0)</f>
        <v>13</v>
      </c>
      <c r="H1349" s="4"/>
      <c r="I1349" s="4"/>
    </row>
    <row r="1350">
      <c r="A1350" s="4" t="str">
        <f>IFERROR(__xludf.DUMMYFUNCTION("""COMPUTED_VALUE"""),"cas_hmw")</f>
        <v>cas_hmw</v>
      </c>
      <c r="B1350" s="5">
        <f>IFERROR(__xludf.DUMMYFUNCTION("""COMPUTED_VALUE"""),44778.0)</f>
        <v>44778</v>
      </c>
      <c r="C1350" s="6">
        <f>IFERROR(__xludf.DUMMYFUNCTION("""COMPUTED_VALUE"""),0.7490624999991269)</f>
        <v>0.7490625</v>
      </c>
      <c r="D1350" s="4">
        <f>IFERROR(__xludf.DUMMYFUNCTION("""COMPUTED_VALUE"""),13.062132)</f>
        <v>13.062132</v>
      </c>
      <c r="E1350" s="4">
        <f>IFERROR(__xludf.DUMMYFUNCTION("""COMPUTED_VALUE"""),80.26281)</f>
        <v>80.26281</v>
      </c>
      <c r="F1350" s="4">
        <f>IFERROR(__xludf.DUMMYFUNCTION("""COMPUTED_VALUE"""),805.0)</f>
        <v>805</v>
      </c>
      <c r="G1350" s="4">
        <f>IFERROR(__xludf.DUMMYFUNCTION("""COMPUTED_VALUE"""),13.0)</f>
        <v>13</v>
      </c>
      <c r="H1350" s="4"/>
      <c r="I1350" s="4"/>
    </row>
    <row r="1351">
      <c r="A1351" s="4" t="str">
        <f>IFERROR(__xludf.DUMMYFUNCTION("""COMPUTED_VALUE"""),"cas_hmw")</f>
        <v>cas_hmw</v>
      </c>
      <c r="B1351" s="5">
        <f>IFERROR(__xludf.DUMMYFUNCTION("""COMPUTED_VALUE"""),44778.0)</f>
        <v>44778</v>
      </c>
      <c r="C1351" s="6">
        <f>IFERROR(__xludf.DUMMYFUNCTION("""COMPUTED_VALUE"""),0.7515625000014552)</f>
        <v>0.7515625</v>
      </c>
      <c r="D1351" s="4">
        <f>IFERROR(__xludf.DUMMYFUNCTION("""COMPUTED_VALUE"""),13.067212)</f>
        <v>13.067212</v>
      </c>
      <c r="E1351" s="4">
        <f>IFERROR(__xludf.DUMMYFUNCTION("""COMPUTED_VALUE"""),80.254909)</f>
        <v>80.254909</v>
      </c>
      <c r="F1351" s="4">
        <f>IFERROR(__xludf.DUMMYFUNCTION("""COMPUTED_VALUE"""),805.0)</f>
        <v>805</v>
      </c>
      <c r="G1351" s="4">
        <f>IFERROR(__xludf.DUMMYFUNCTION("""COMPUTED_VALUE"""),0.0)</f>
        <v>0</v>
      </c>
      <c r="H1351" s="4"/>
      <c r="I1351" s="4"/>
    </row>
    <row r="1352">
      <c r="A1352" s="4" t="str">
        <f>IFERROR(__xludf.DUMMYFUNCTION("""COMPUTED_VALUE"""),"cas_hmw")</f>
        <v>cas_hmw</v>
      </c>
      <c r="B1352" s="5">
        <f>IFERROR(__xludf.DUMMYFUNCTION("""COMPUTED_VALUE"""),44778.0)</f>
        <v>44778</v>
      </c>
      <c r="C1352" s="6">
        <f>IFERROR(__xludf.DUMMYFUNCTION("""COMPUTED_VALUE"""),0.7516203703708015)</f>
        <v>0.7516203704</v>
      </c>
      <c r="D1352" s="4">
        <f>IFERROR(__xludf.DUMMYFUNCTION("""COMPUTED_VALUE"""),13.067096)</f>
        <v>13.067096</v>
      </c>
      <c r="E1352" s="4">
        <f>IFERROR(__xludf.DUMMYFUNCTION("""COMPUTED_VALUE"""),80.254571)</f>
        <v>80.254571</v>
      </c>
      <c r="F1352" s="4">
        <f>IFERROR(__xludf.DUMMYFUNCTION("""COMPUTED_VALUE"""),805.0)</f>
        <v>805</v>
      </c>
      <c r="G1352" s="4">
        <f>IFERROR(__xludf.DUMMYFUNCTION("""COMPUTED_VALUE"""),18.0)</f>
        <v>18</v>
      </c>
      <c r="H1352" s="4"/>
      <c r="I1352" s="4"/>
    </row>
    <row r="1353">
      <c r="A1353" s="4" t="str">
        <f>IFERROR(__xludf.DUMMYFUNCTION("""COMPUTED_VALUE"""),"cas_hmw")</f>
        <v>cas_hmw</v>
      </c>
      <c r="B1353" s="5">
        <f>IFERROR(__xludf.DUMMYFUNCTION("""COMPUTED_VALUE"""),44778.0)</f>
        <v>44778</v>
      </c>
      <c r="C1353" s="6">
        <f>IFERROR(__xludf.DUMMYFUNCTION("""COMPUTED_VALUE"""),0.7516319444439432)</f>
        <v>0.7516319444</v>
      </c>
      <c r="D1353" s="4">
        <f>IFERROR(__xludf.DUMMYFUNCTION("""COMPUTED_VALUE"""),13.067096)</f>
        <v>13.067096</v>
      </c>
      <c r="E1353" s="4">
        <f>IFERROR(__xludf.DUMMYFUNCTION("""COMPUTED_VALUE"""),80.254571)</f>
        <v>80.254571</v>
      </c>
      <c r="F1353" s="4">
        <f>IFERROR(__xludf.DUMMYFUNCTION("""COMPUTED_VALUE"""),805.0)</f>
        <v>805</v>
      </c>
      <c r="G1353" s="4">
        <f>IFERROR(__xludf.DUMMYFUNCTION("""COMPUTED_VALUE"""),18.0)</f>
        <v>18</v>
      </c>
      <c r="H1353" s="4"/>
      <c r="I1353" s="4"/>
    </row>
    <row r="1354">
      <c r="A1354" s="4" t="str">
        <f>IFERROR(__xludf.DUMMYFUNCTION("""COMPUTED_VALUE"""),"cas_hmw")</f>
        <v>cas_hmw</v>
      </c>
      <c r="B1354" s="5">
        <f>IFERROR(__xludf.DUMMYFUNCTION("""COMPUTED_VALUE"""),44778.0)</f>
        <v>44778</v>
      </c>
      <c r="C1354" s="6">
        <f>IFERROR(__xludf.DUMMYFUNCTION("""COMPUTED_VALUE"""),0.7516319444439432)</f>
        <v>0.7516319444</v>
      </c>
      <c r="D1354" s="4">
        <f>IFERROR(__xludf.DUMMYFUNCTION("""COMPUTED_VALUE"""),13.067096)</f>
        <v>13.067096</v>
      </c>
      <c r="E1354" s="4">
        <f>IFERROR(__xludf.DUMMYFUNCTION("""COMPUTED_VALUE"""),80.254571)</f>
        <v>80.254571</v>
      </c>
      <c r="F1354" s="4">
        <f>IFERROR(__xludf.DUMMYFUNCTION("""COMPUTED_VALUE"""),805.0)</f>
        <v>805</v>
      </c>
      <c r="G1354" s="4">
        <f>IFERROR(__xludf.DUMMYFUNCTION("""COMPUTED_VALUE"""),18.0)</f>
        <v>18</v>
      </c>
      <c r="H1354" s="4"/>
      <c r="I1354" s="4"/>
    </row>
    <row r="1355">
      <c r="A1355" s="4" t="str">
        <f>IFERROR(__xludf.DUMMYFUNCTION("""COMPUTED_VALUE"""),"cas_hmw")</f>
        <v>cas_hmw</v>
      </c>
      <c r="B1355" s="5">
        <f>IFERROR(__xludf.DUMMYFUNCTION("""COMPUTED_VALUE"""),44778.0)</f>
        <v>44778</v>
      </c>
      <c r="C1355" s="6">
        <f>IFERROR(__xludf.DUMMYFUNCTION("""COMPUTED_VALUE"""),0.7516435185170849)</f>
        <v>0.7516435185</v>
      </c>
      <c r="D1355" s="4">
        <f>IFERROR(__xludf.DUMMYFUNCTION("""COMPUTED_VALUE"""),13.067096)</f>
        <v>13.067096</v>
      </c>
      <c r="E1355" s="4">
        <f>IFERROR(__xludf.DUMMYFUNCTION("""COMPUTED_VALUE"""),80.254571)</f>
        <v>80.254571</v>
      </c>
      <c r="F1355" s="4">
        <f>IFERROR(__xludf.DUMMYFUNCTION("""COMPUTED_VALUE"""),805.0)</f>
        <v>805</v>
      </c>
      <c r="G1355" s="4">
        <f>IFERROR(__xludf.DUMMYFUNCTION("""COMPUTED_VALUE"""),18.0)</f>
        <v>18</v>
      </c>
      <c r="H1355" s="4"/>
      <c r="I1355" s="4"/>
    </row>
    <row r="1356">
      <c r="A1356" s="4" t="str">
        <f>IFERROR(__xludf.DUMMYFUNCTION("""COMPUTED_VALUE"""),"cas_hmw")</f>
        <v>cas_hmw</v>
      </c>
      <c r="B1356" s="5">
        <f>IFERROR(__xludf.DUMMYFUNCTION("""COMPUTED_VALUE"""),44778.0)</f>
        <v>44778</v>
      </c>
      <c r="C1356" s="6">
        <f>IFERROR(__xludf.DUMMYFUNCTION("""COMPUTED_VALUE"""),0.7518981481480296)</f>
        <v>0.7518981481</v>
      </c>
      <c r="D1356" s="4">
        <f>IFERROR(__xludf.DUMMYFUNCTION("""COMPUTED_VALUE"""),13.066804)</f>
        <v>13.066804</v>
      </c>
      <c r="E1356" s="4">
        <f>IFERROR(__xludf.DUMMYFUNCTION("""COMPUTED_VALUE"""),80.254248)</f>
        <v>80.254248</v>
      </c>
      <c r="F1356" s="4">
        <f>IFERROR(__xludf.DUMMYFUNCTION("""COMPUTED_VALUE"""),805.0)</f>
        <v>805</v>
      </c>
      <c r="G1356" s="4">
        <f>IFERROR(__xludf.DUMMYFUNCTION("""COMPUTED_VALUE"""),14.0)</f>
        <v>14</v>
      </c>
      <c r="H1356" s="4"/>
      <c r="I1356" s="4"/>
    </row>
    <row r="1357">
      <c r="A1357" s="4" t="str">
        <f>IFERROR(__xludf.DUMMYFUNCTION("""COMPUTED_VALUE"""),"cas_hmw")</f>
        <v>cas_hmw</v>
      </c>
      <c r="B1357" s="5">
        <f>IFERROR(__xludf.DUMMYFUNCTION("""COMPUTED_VALUE"""),44778.0)</f>
        <v>44778</v>
      </c>
      <c r="C1357" s="6">
        <f>IFERROR(__xludf.DUMMYFUNCTION("""COMPUTED_VALUE"""),0.7518981481480296)</f>
        <v>0.7518981481</v>
      </c>
      <c r="D1357" s="4">
        <f>IFERROR(__xludf.DUMMYFUNCTION("""COMPUTED_VALUE"""),13.066804)</f>
        <v>13.066804</v>
      </c>
      <c r="E1357" s="4">
        <f>IFERROR(__xludf.DUMMYFUNCTION("""COMPUTED_VALUE"""),80.254248)</f>
        <v>80.254248</v>
      </c>
      <c r="F1357" s="4">
        <f>IFERROR(__xludf.DUMMYFUNCTION("""COMPUTED_VALUE"""),805.0)</f>
        <v>805</v>
      </c>
      <c r="G1357" s="4">
        <f>IFERROR(__xludf.DUMMYFUNCTION("""COMPUTED_VALUE"""),14.0)</f>
        <v>14</v>
      </c>
      <c r="H1357" s="4"/>
      <c r="I1357" s="4"/>
    </row>
    <row r="1358">
      <c r="A1358" s="4" t="str">
        <f>IFERROR(__xludf.DUMMYFUNCTION("""COMPUTED_VALUE"""),"cas_hmw")</f>
        <v>cas_hmw</v>
      </c>
      <c r="B1358" s="5">
        <f>IFERROR(__xludf.DUMMYFUNCTION("""COMPUTED_VALUE"""),44778.0)</f>
        <v>44778</v>
      </c>
      <c r="C1358" s="6">
        <f>IFERROR(__xludf.DUMMYFUNCTION("""COMPUTED_VALUE"""),0.7606828703719657)</f>
        <v>0.7606828704</v>
      </c>
      <c r="D1358" s="4">
        <f>IFERROR(__xludf.DUMMYFUNCTION("""COMPUTED_VALUE"""),13.056586)</f>
        <v>13.056586</v>
      </c>
      <c r="E1358" s="4">
        <f>IFERROR(__xludf.DUMMYFUNCTION("""COMPUTED_VALUE"""),80.098477)</f>
        <v>80.098477</v>
      </c>
      <c r="F1358" s="4">
        <f>IFERROR(__xludf.DUMMYFUNCTION("""COMPUTED_VALUE"""),3143.0)</f>
        <v>3143</v>
      </c>
      <c r="G1358" s="4">
        <f>IFERROR(__xludf.DUMMYFUNCTION("""COMPUTED_VALUE"""),17.0)</f>
        <v>17</v>
      </c>
      <c r="H1358" s="4"/>
      <c r="I1358" s="4"/>
    </row>
    <row r="1359">
      <c r="A1359" s="4" t="str">
        <f>IFERROR(__xludf.DUMMYFUNCTION("""COMPUTED_VALUE"""),"cas_hmw")</f>
        <v>cas_hmw</v>
      </c>
      <c r="B1359" s="5">
        <f>IFERROR(__xludf.DUMMYFUNCTION("""COMPUTED_VALUE"""),44778.0)</f>
        <v>44778</v>
      </c>
      <c r="C1359" s="6">
        <f>IFERROR(__xludf.DUMMYFUNCTION("""COMPUTED_VALUE"""),0.7609027777762094)</f>
        <v>0.7609027778</v>
      </c>
      <c r="D1359" s="4">
        <f>IFERROR(__xludf.DUMMYFUNCTION("""COMPUTED_VALUE"""),13.056464)</f>
        <v>13.056464</v>
      </c>
      <c r="E1359" s="4">
        <f>IFERROR(__xludf.DUMMYFUNCTION("""COMPUTED_VALUE"""),80.09778)</f>
        <v>80.09778</v>
      </c>
      <c r="F1359" s="4">
        <f>IFERROR(__xludf.DUMMYFUNCTION("""COMPUTED_VALUE"""),3143.0)</f>
        <v>3143</v>
      </c>
      <c r="G1359" s="4">
        <f>IFERROR(__xludf.DUMMYFUNCTION("""COMPUTED_VALUE"""),17.0)</f>
        <v>17</v>
      </c>
      <c r="H1359" s="4"/>
      <c r="I1359" s="4"/>
    </row>
    <row r="1360">
      <c r="A1360" s="4" t="str">
        <f>IFERROR(__xludf.DUMMYFUNCTION("""COMPUTED_VALUE"""),"cas_hmw")</f>
        <v>cas_hmw</v>
      </c>
      <c r="B1360" s="5">
        <f>IFERROR(__xludf.DUMMYFUNCTION("""COMPUTED_VALUE"""),44778.0)</f>
        <v>44778</v>
      </c>
      <c r="C1360" s="6">
        <f>IFERROR(__xludf.DUMMYFUNCTION("""COMPUTED_VALUE"""),0.7654629629614647)</f>
        <v>0.765462963</v>
      </c>
      <c r="D1360" s="4">
        <f>IFERROR(__xludf.DUMMYFUNCTION("""COMPUTED_VALUE"""),13.029805)</f>
        <v>13.029805</v>
      </c>
      <c r="E1360" s="4">
        <f>IFERROR(__xludf.DUMMYFUNCTION("""COMPUTED_VALUE"""),80.090582)</f>
        <v>80.090582</v>
      </c>
      <c r="F1360" s="4">
        <f>IFERROR(__xludf.DUMMYFUNCTION("""COMPUTED_VALUE"""),3143.0)</f>
        <v>3143</v>
      </c>
      <c r="G1360" s="4">
        <f>IFERROR(__xludf.DUMMYFUNCTION("""COMPUTED_VALUE"""),11.0)</f>
        <v>11</v>
      </c>
      <c r="H1360" s="4"/>
      <c r="I1360" s="4"/>
    </row>
    <row r="1361">
      <c r="A1361" s="4" t="str">
        <f>IFERROR(__xludf.DUMMYFUNCTION("""COMPUTED_VALUE"""),"cas_hmw")</f>
        <v>cas_hmw</v>
      </c>
      <c r="B1361" s="5">
        <f>IFERROR(__xludf.DUMMYFUNCTION("""COMPUTED_VALUE"""),44779.0)</f>
        <v>44779</v>
      </c>
      <c r="C1361" s="6">
        <f>IFERROR(__xludf.DUMMYFUNCTION("""COMPUTED_VALUE"""),0.6960300925929914)</f>
        <v>0.6960300926</v>
      </c>
      <c r="D1361" s="4">
        <f>IFERROR(__xludf.DUMMYFUNCTION("""COMPUTED_VALUE"""),12.865746)</f>
        <v>12.865746</v>
      </c>
      <c r="E1361" s="4">
        <f>IFERROR(__xludf.DUMMYFUNCTION("""COMPUTED_VALUE"""),80.074743)</f>
        <v>80.074743</v>
      </c>
      <c r="F1361" s="4">
        <f>IFERROR(__xludf.DUMMYFUNCTION("""COMPUTED_VALUE"""),3143.0)</f>
        <v>3143</v>
      </c>
      <c r="G1361" s="4">
        <f>IFERROR(__xludf.DUMMYFUNCTION("""COMPUTED_VALUE"""),15.0)</f>
        <v>15</v>
      </c>
      <c r="H1361" s="4"/>
      <c r="I1361" s="4"/>
    </row>
    <row r="1362">
      <c r="A1362" s="4" t="str">
        <f>IFERROR(__xludf.DUMMYFUNCTION("""COMPUTED_VALUE"""),"cas_hmw")</f>
        <v>cas_hmw</v>
      </c>
      <c r="B1362" s="5">
        <f>IFERROR(__xludf.DUMMYFUNCTION("""COMPUTED_VALUE"""),44779.0)</f>
        <v>44779</v>
      </c>
      <c r="C1362" s="6">
        <f>IFERROR(__xludf.DUMMYFUNCTION("""COMPUTED_VALUE"""),0.6994444444426335)</f>
        <v>0.6994444444</v>
      </c>
      <c r="D1362" s="4">
        <f>IFERROR(__xludf.DUMMYFUNCTION("""COMPUTED_VALUE"""),12.878952)</f>
        <v>12.878952</v>
      </c>
      <c r="E1362" s="4">
        <f>IFERROR(__xludf.DUMMYFUNCTION("""COMPUTED_VALUE"""),80.080761)</f>
        <v>80.080761</v>
      </c>
      <c r="F1362" s="4">
        <f>IFERROR(__xludf.DUMMYFUNCTION("""COMPUTED_VALUE"""),3143.0)</f>
        <v>3143</v>
      </c>
      <c r="G1362" s="4">
        <f>IFERROR(__xludf.DUMMYFUNCTION("""COMPUTED_VALUE"""),5.0)</f>
        <v>5</v>
      </c>
      <c r="H1362" s="4"/>
      <c r="I1362" s="4"/>
    </row>
    <row r="1363">
      <c r="A1363" s="4" t="str">
        <f>IFERROR(__xludf.DUMMYFUNCTION("""COMPUTED_VALUE"""),"cas_hmw")</f>
        <v>cas_hmw</v>
      </c>
      <c r="B1363" s="5">
        <f>IFERROR(__xludf.DUMMYFUNCTION("""COMPUTED_VALUE"""),44781.0)</f>
        <v>44781</v>
      </c>
      <c r="C1363" s="6">
        <f>IFERROR(__xludf.DUMMYFUNCTION("""COMPUTED_VALUE"""),0.3091550925928459)</f>
        <v>0.3091550926</v>
      </c>
      <c r="D1363" s="4">
        <f>IFERROR(__xludf.DUMMYFUNCTION("""COMPUTED_VALUE"""),13.053986)</f>
        <v>13.053986</v>
      </c>
      <c r="E1363" s="4">
        <f>IFERROR(__xludf.DUMMYFUNCTION("""COMPUTED_VALUE"""),80.26405)</f>
        <v>80.26405</v>
      </c>
      <c r="F1363" s="4">
        <f>IFERROR(__xludf.DUMMYFUNCTION("""COMPUTED_VALUE"""),805.0)</f>
        <v>805</v>
      </c>
      <c r="G1363" s="4">
        <f>IFERROR(__xludf.DUMMYFUNCTION("""COMPUTED_VALUE"""),9.0)</f>
        <v>9</v>
      </c>
      <c r="H1363" s="4"/>
      <c r="I1363" s="4"/>
    </row>
    <row r="1364">
      <c r="A1364" s="4" t="str">
        <f>IFERROR(__xludf.DUMMYFUNCTION("""COMPUTED_VALUE"""),"cas_hmw")</f>
        <v>cas_hmw</v>
      </c>
      <c r="B1364" s="5">
        <f>IFERROR(__xludf.DUMMYFUNCTION("""COMPUTED_VALUE"""),44781.0)</f>
        <v>44781</v>
      </c>
      <c r="C1364" s="6">
        <f>IFERROR(__xludf.DUMMYFUNCTION("""COMPUTED_VALUE"""),0.3091666666659876)</f>
        <v>0.3091666667</v>
      </c>
      <c r="D1364" s="4">
        <f>IFERROR(__xludf.DUMMYFUNCTION("""COMPUTED_VALUE"""),13.053986)</f>
        <v>13.053986</v>
      </c>
      <c r="E1364" s="4">
        <f>IFERROR(__xludf.DUMMYFUNCTION("""COMPUTED_VALUE"""),80.26405)</f>
        <v>80.26405</v>
      </c>
      <c r="F1364" s="4">
        <f>IFERROR(__xludf.DUMMYFUNCTION("""COMPUTED_VALUE"""),805.0)</f>
        <v>805</v>
      </c>
      <c r="G1364" s="4">
        <f>IFERROR(__xludf.DUMMYFUNCTION("""COMPUTED_VALUE"""),9.0)</f>
        <v>9</v>
      </c>
      <c r="H1364" s="4"/>
      <c r="I1364" s="4"/>
    </row>
    <row r="1365">
      <c r="A1365" s="4" t="str">
        <f>IFERROR(__xludf.DUMMYFUNCTION("""COMPUTED_VALUE"""),"cas_hmw")</f>
        <v>cas_hmw</v>
      </c>
      <c r="B1365" s="5">
        <f>IFERROR(__xludf.DUMMYFUNCTION("""COMPUTED_VALUE"""),44781.0)</f>
        <v>44781</v>
      </c>
      <c r="C1365" s="6">
        <f>IFERROR(__xludf.DUMMYFUNCTION("""COMPUTED_VALUE"""),0.31797453703620704)</f>
        <v>0.317974537</v>
      </c>
      <c r="D1365" s="4">
        <f>IFERROR(__xludf.DUMMYFUNCTION("""COMPUTED_VALUE"""),12.674044)</f>
        <v>12.674044</v>
      </c>
      <c r="E1365" s="4">
        <f>IFERROR(__xludf.DUMMYFUNCTION("""COMPUTED_VALUE"""),79.976692)</f>
        <v>79.976692</v>
      </c>
      <c r="F1365" s="4">
        <f>IFERROR(__xludf.DUMMYFUNCTION("""COMPUTED_VALUE"""),2846.0)</f>
        <v>2846</v>
      </c>
      <c r="G1365" s="4">
        <f>IFERROR(__xludf.DUMMYFUNCTION("""COMPUTED_VALUE"""),14.0)</f>
        <v>14</v>
      </c>
      <c r="H1365" s="4"/>
      <c r="I1365" s="4"/>
    </row>
    <row r="1366">
      <c r="A1366" s="4" t="str">
        <f>IFERROR(__xludf.DUMMYFUNCTION("""COMPUTED_VALUE"""),"cas_hmw")</f>
        <v>cas_hmw</v>
      </c>
      <c r="B1366" s="5">
        <f>IFERROR(__xludf.DUMMYFUNCTION("""COMPUTED_VALUE"""),44781.0)</f>
        <v>44781</v>
      </c>
      <c r="C1366" s="6">
        <f>IFERROR(__xludf.DUMMYFUNCTION("""COMPUTED_VALUE"""),0.31971064814933925)</f>
        <v>0.3197106481</v>
      </c>
      <c r="D1366" s="4">
        <f>IFERROR(__xludf.DUMMYFUNCTION("""COMPUTED_VALUE"""),13.015085)</f>
        <v>13.015085</v>
      </c>
      <c r="E1366" s="4">
        <f>IFERROR(__xludf.DUMMYFUNCTION("""COMPUTED_VALUE"""),80.225984)</f>
        <v>80.225984</v>
      </c>
      <c r="F1366" s="4">
        <f>IFERROR(__xludf.DUMMYFUNCTION("""COMPUTED_VALUE"""),5339.0)</f>
        <v>5339</v>
      </c>
      <c r="G1366" s="4">
        <f>IFERROR(__xludf.DUMMYFUNCTION("""COMPUTED_VALUE"""),14.0)</f>
        <v>14</v>
      </c>
      <c r="H1366" s="4"/>
      <c r="I1366" s="4"/>
    </row>
    <row r="1367">
      <c r="A1367" s="4" t="str">
        <f>IFERROR(__xludf.DUMMYFUNCTION("""COMPUTED_VALUE"""),"cas_hmw")</f>
        <v>cas_hmw</v>
      </c>
      <c r="B1367" s="5">
        <f>IFERROR(__xludf.DUMMYFUNCTION("""COMPUTED_VALUE"""),44781.0)</f>
        <v>44781</v>
      </c>
      <c r="C1367" s="6">
        <f>IFERROR(__xludf.DUMMYFUNCTION("""COMPUTED_VALUE"""),0.31971064814933925)</f>
        <v>0.3197106481</v>
      </c>
      <c r="D1367" s="4">
        <f>IFERROR(__xludf.DUMMYFUNCTION("""COMPUTED_VALUE"""),13.015085)</f>
        <v>13.015085</v>
      </c>
      <c r="E1367" s="4">
        <f>IFERROR(__xludf.DUMMYFUNCTION("""COMPUTED_VALUE"""),80.225984)</f>
        <v>80.225984</v>
      </c>
      <c r="F1367" s="4">
        <f>IFERROR(__xludf.DUMMYFUNCTION("""COMPUTED_VALUE"""),5339.0)</f>
        <v>5339</v>
      </c>
      <c r="G1367" s="4">
        <f>IFERROR(__xludf.DUMMYFUNCTION("""COMPUTED_VALUE"""),14.0)</f>
        <v>14</v>
      </c>
      <c r="H1367" s="4"/>
      <c r="I1367" s="4"/>
    </row>
    <row r="1368">
      <c r="A1368" s="4" t="str">
        <f>IFERROR(__xludf.DUMMYFUNCTION("""COMPUTED_VALUE"""),"cas_hmw")</f>
        <v>cas_hmw</v>
      </c>
      <c r="B1368" s="5">
        <f>IFERROR(__xludf.DUMMYFUNCTION("""COMPUTED_VALUE"""),44781.0)</f>
        <v>44781</v>
      </c>
      <c r="C1368" s="6">
        <f>IFERROR(__xludf.DUMMYFUNCTION("""COMPUTED_VALUE"""),0.32302083333343035)</f>
        <v>0.3230208333</v>
      </c>
      <c r="D1368" s="4">
        <f>IFERROR(__xludf.DUMMYFUNCTION("""COMPUTED_VALUE"""),12.691414)</f>
        <v>12.691414</v>
      </c>
      <c r="E1368" s="4">
        <f>IFERROR(__xludf.DUMMYFUNCTION("""COMPUTED_VALUE"""),79.980615)</f>
        <v>79.980615</v>
      </c>
      <c r="F1368" s="4">
        <f>IFERROR(__xludf.DUMMYFUNCTION("""COMPUTED_VALUE"""),2846.0)</f>
        <v>2846</v>
      </c>
      <c r="G1368" s="4">
        <f>IFERROR(__xludf.DUMMYFUNCTION("""COMPUTED_VALUE"""),11.0)</f>
        <v>11</v>
      </c>
      <c r="H1368" s="4"/>
      <c r="I1368" s="4"/>
    </row>
    <row r="1369">
      <c r="A1369" s="4" t="str">
        <f>IFERROR(__xludf.DUMMYFUNCTION("""COMPUTED_VALUE"""),"cas_hmw")</f>
        <v>cas_hmw</v>
      </c>
      <c r="B1369" s="5">
        <f>IFERROR(__xludf.DUMMYFUNCTION("""COMPUTED_VALUE"""),44781.0)</f>
        <v>44781</v>
      </c>
      <c r="C1369" s="6">
        <f>IFERROR(__xludf.DUMMYFUNCTION("""COMPUTED_VALUE"""),0.3280439814807323)</f>
        <v>0.3280439815</v>
      </c>
      <c r="D1369" s="4">
        <f>IFERROR(__xludf.DUMMYFUNCTION("""COMPUTED_VALUE"""),13.011294)</f>
        <v>13.011294</v>
      </c>
      <c r="E1369" s="4">
        <f>IFERROR(__xludf.DUMMYFUNCTION("""COMPUTED_VALUE"""),80.223416)</f>
        <v>80.223416</v>
      </c>
      <c r="F1369" s="4">
        <f>IFERROR(__xludf.DUMMYFUNCTION("""COMPUTED_VALUE"""),805.0)</f>
        <v>805</v>
      </c>
      <c r="G1369" s="4">
        <f>IFERROR(__xludf.DUMMYFUNCTION("""COMPUTED_VALUE"""),15.0)</f>
        <v>15</v>
      </c>
      <c r="H1369" s="4"/>
      <c r="I1369" s="4"/>
    </row>
    <row r="1370">
      <c r="A1370" s="4" t="str">
        <f>IFERROR(__xludf.DUMMYFUNCTION("""COMPUTED_VALUE"""),"cas_hmw")</f>
        <v>cas_hmw</v>
      </c>
      <c r="B1370" s="5">
        <f>IFERROR(__xludf.DUMMYFUNCTION("""COMPUTED_VALUE"""),44781.0)</f>
        <v>44781</v>
      </c>
      <c r="C1370" s="6">
        <f>IFERROR(__xludf.DUMMYFUNCTION("""COMPUTED_VALUE"""),0.3287152777775191)</f>
        <v>0.3287152778</v>
      </c>
      <c r="D1370" s="4">
        <f>IFERROR(__xludf.DUMMYFUNCTION("""COMPUTED_VALUE"""),13.012121)</f>
        <v>13.012121</v>
      </c>
      <c r="E1370" s="4">
        <f>IFERROR(__xludf.DUMMYFUNCTION("""COMPUTED_VALUE"""),80.221205)</f>
        <v>80.221205</v>
      </c>
      <c r="F1370" s="4">
        <f>IFERROR(__xludf.DUMMYFUNCTION("""COMPUTED_VALUE"""),805.0)</f>
        <v>805</v>
      </c>
      <c r="G1370" s="4">
        <f>IFERROR(__xludf.DUMMYFUNCTION("""COMPUTED_VALUE"""),20.0)</f>
        <v>20</v>
      </c>
      <c r="H1370" s="4"/>
      <c r="I1370" s="4"/>
    </row>
    <row r="1371">
      <c r="A1371" s="4" t="str">
        <f>IFERROR(__xludf.DUMMYFUNCTION("""COMPUTED_VALUE"""),"cas_hmw")</f>
        <v>cas_hmw</v>
      </c>
      <c r="B1371" s="5">
        <f>IFERROR(__xludf.DUMMYFUNCTION("""COMPUTED_VALUE"""),44781.0)</f>
        <v>44781</v>
      </c>
      <c r="C1371" s="6">
        <f>IFERROR(__xludf.DUMMYFUNCTION("""COMPUTED_VALUE"""),0.3315046296302171)</f>
        <v>0.3315046296</v>
      </c>
      <c r="D1371" s="4">
        <f>IFERROR(__xludf.DUMMYFUNCTION("""COMPUTED_VALUE"""),13.001743)</f>
        <v>13.001743</v>
      </c>
      <c r="E1371" s="4">
        <f>IFERROR(__xludf.DUMMYFUNCTION("""COMPUTED_VALUE"""),80.19653)</f>
        <v>80.19653</v>
      </c>
      <c r="F1371" s="4">
        <f>IFERROR(__xludf.DUMMYFUNCTION("""COMPUTED_VALUE"""),805.0)</f>
        <v>805</v>
      </c>
      <c r="G1371" s="4">
        <f>IFERROR(__xludf.DUMMYFUNCTION("""COMPUTED_VALUE"""),0.0)</f>
        <v>0</v>
      </c>
      <c r="H1371" s="4"/>
      <c r="I1371" s="4"/>
    </row>
    <row r="1372">
      <c r="A1372" s="4" t="str">
        <f>IFERROR(__xludf.DUMMYFUNCTION("""COMPUTED_VALUE"""),"cas_hmw")</f>
        <v>cas_hmw</v>
      </c>
      <c r="B1372" s="5">
        <f>IFERROR(__xludf.DUMMYFUNCTION("""COMPUTED_VALUE"""),44781.0)</f>
        <v>44781</v>
      </c>
      <c r="C1372" s="6">
        <f>IFERROR(__xludf.DUMMYFUNCTION("""COMPUTED_VALUE"""),0.33435185185226146)</f>
        <v>0.3343518519</v>
      </c>
      <c r="D1372" s="4">
        <f>IFERROR(__xludf.DUMMYFUNCTION("""COMPUTED_VALUE"""),12.966396)</f>
        <v>12.966396</v>
      </c>
      <c r="E1372" s="4">
        <f>IFERROR(__xludf.DUMMYFUNCTION("""COMPUTED_VALUE"""),80.148754)</f>
        <v>80.148754</v>
      </c>
      <c r="F1372" s="4">
        <f>IFERROR(__xludf.DUMMYFUNCTION("""COMPUTED_VALUE"""),3143.0)</f>
        <v>3143</v>
      </c>
      <c r="G1372" s="4">
        <f>IFERROR(__xludf.DUMMYFUNCTION("""COMPUTED_VALUE"""),19.0)</f>
        <v>19</v>
      </c>
      <c r="H1372" s="4"/>
      <c r="I1372" s="4"/>
    </row>
    <row r="1373">
      <c r="A1373" s="4" t="str">
        <f>IFERROR(__xludf.DUMMYFUNCTION("""COMPUTED_VALUE"""),"cas_hmw")</f>
        <v>cas_hmw</v>
      </c>
      <c r="B1373" s="5">
        <f>IFERROR(__xludf.DUMMYFUNCTION("""COMPUTED_VALUE"""),44781.0)</f>
        <v>44781</v>
      </c>
      <c r="C1373" s="6">
        <f>IFERROR(__xludf.DUMMYFUNCTION("""COMPUTED_VALUE"""),0.33482638888744987)</f>
        <v>0.3348263889</v>
      </c>
      <c r="D1373" s="4">
        <f>IFERROR(__xludf.DUMMYFUNCTION("""COMPUTED_VALUE"""),12.98984)</f>
        <v>12.98984</v>
      </c>
      <c r="E1373" s="4">
        <f>IFERROR(__xludf.DUMMYFUNCTION("""COMPUTED_VALUE"""),80.179502)</f>
        <v>80.179502</v>
      </c>
      <c r="F1373" s="4">
        <f>IFERROR(__xludf.DUMMYFUNCTION("""COMPUTED_VALUE"""),805.0)</f>
        <v>805</v>
      </c>
      <c r="G1373" s="4">
        <f>IFERROR(__xludf.DUMMYFUNCTION("""COMPUTED_VALUE"""),12.0)</f>
        <v>12</v>
      </c>
      <c r="H1373" s="4"/>
      <c r="I1373" s="4"/>
    </row>
    <row r="1374">
      <c r="A1374" s="4" t="str">
        <f>IFERROR(__xludf.DUMMYFUNCTION("""COMPUTED_VALUE"""),"cas_hmw")</f>
        <v>cas_hmw</v>
      </c>
      <c r="B1374" s="5">
        <f>IFERROR(__xludf.DUMMYFUNCTION("""COMPUTED_VALUE"""),44781.0)</f>
        <v>44781</v>
      </c>
      <c r="C1374" s="6">
        <f>IFERROR(__xludf.DUMMYFUNCTION("""COMPUTED_VALUE"""),0.33489583333357587)</f>
        <v>0.3348958333</v>
      </c>
      <c r="D1374" s="4">
        <f>IFERROR(__xludf.DUMMYFUNCTION("""COMPUTED_VALUE"""),12.762548)</f>
        <v>12.762548</v>
      </c>
      <c r="E1374" s="4">
        <f>IFERROR(__xludf.DUMMYFUNCTION("""COMPUTED_VALUE"""),80.003803)</f>
        <v>80.003803</v>
      </c>
      <c r="F1374" s="4">
        <f>IFERROR(__xludf.DUMMYFUNCTION("""COMPUTED_VALUE"""),2846.0)</f>
        <v>2846</v>
      </c>
      <c r="G1374" s="4">
        <f>IFERROR(__xludf.DUMMYFUNCTION("""COMPUTED_VALUE"""),13.0)</f>
        <v>13</v>
      </c>
      <c r="H1374" s="4"/>
      <c r="I1374" s="4"/>
    </row>
    <row r="1375">
      <c r="A1375" s="4" t="str">
        <f>IFERROR(__xludf.DUMMYFUNCTION("""COMPUTED_VALUE"""),"cas_hmw")</f>
        <v>cas_hmw</v>
      </c>
      <c r="B1375" s="5">
        <f>IFERROR(__xludf.DUMMYFUNCTION("""COMPUTED_VALUE"""),44781.0)</f>
        <v>44781</v>
      </c>
      <c r="C1375" s="6">
        <f>IFERROR(__xludf.DUMMYFUNCTION("""COMPUTED_VALUE"""),0.33504629629533156)</f>
        <v>0.3350462963</v>
      </c>
      <c r="D1375" s="4">
        <f>IFERROR(__xludf.DUMMYFUNCTION("""COMPUTED_VALUE"""),12.989825)</f>
        <v>12.989825</v>
      </c>
      <c r="E1375" s="4">
        <f>IFERROR(__xludf.DUMMYFUNCTION("""COMPUTED_VALUE"""),80.179474)</f>
        <v>80.179474</v>
      </c>
      <c r="F1375" s="4">
        <f>IFERROR(__xludf.DUMMYFUNCTION("""COMPUTED_VALUE"""),805.0)</f>
        <v>805</v>
      </c>
      <c r="G1375" s="4">
        <f>IFERROR(__xludf.DUMMYFUNCTION("""COMPUTED_VALUE"""),0.0)</f>
        <v>0</v>
      </c>
      <c r="H1375" s="4"/>
      <c r="I1375" s="4"/>
    </row>
    <row r="1376">
      <c r="A1376" s="4" t="str">
        <f>IFERROR(__xludf.DUMMYFUNCTION("""COMPUTED_VALUE"""),"cas_hmw")</f>
        <v>cas_hmw</v>
      </c>
      <c r="B1376" s="5">
        <f>IFERROR(__xludf.DUMMYFUNCTION("""COMPUTED_VALUE"""),44781.0)</f>
        <v>44781</v>
      </c>
      <c r="C1376" s="6">
        <f>IFERROR(__xludf.DUMMYFUNCTION("""COMPUTED_VALUE"""),0.33512731481459923)</f>
        <v>0.3351273148</v>
      </c>
      <c r="D1376" s="4">
        <f>IFERROR(__xludf.DUMMYFUNCTION("""COMPUTED_VALUE"""),12.762548)</f>
        <v>12.762548</v>
      </c>
      <c r="E1376" s="4">
        <f>IFERROR(__xludf.DUMMYFUNCTION("""COMPUTED_VALUE"""),80.003803)</f>
        <v>80.003803</v>
      </c>
      <c r="F1376" s="4">
        <f>IFERROR(__xludf.DUMMYFUNCTION("""COMPUTED_VALUE"""),2846.0)</f>
        <v>2846</v>
      </c>
      <c r="G1376" s="4">
        <f>IFERROR(__xludf.DUMMYFUNCTION("""COMPUTED_VALUE"""),13.0)</f>
        <v>13</v>
      </c>
      <c r="H1376" s="4"/>
      <c r="I1376" s="4"/>
    </row>
    <row r="1377">
      <c r="A1377" s="4" t="str">
        <f>IFERROR(__xludf.DUMMYFUNCTION("""COMPUTED_VALUE"""),"cas_hmw")</f>
        <v>cas_hmw</v>
      </c>
      <c r="B1377" s="5">
        <f>IFERROR(__xludf.DUMMYFUNCTION("""COMPUTED_VALUE"""),44781.0)</f>
        <v>44781</v>
      </c>
      <c r="C1377" s="6">
        <f>IFERROR(__xludf.DUMMYFUNCTION("""COMPUTED_VALUE"""),0.3351736111108039)</f>
        <v>0.3351736111</v>
      </c>
      <c r="D1377" s="4">
        <f>IFERROR(__xludf.DUMMYFUNCTION("""COMPUTED_VALUE"""),12.762548)</f>
        <v>12.762548</v>
      </c>
      <c r="E1377" s="4">
        <f>IFERROR(__xludf.DUMMYFUNCTION("""COMPUTED_VALUE"""),80.003803)</f>
        <v>80.003803</v>
      </c>
      <c r="F1377" s="4">
        <f>IFERROR(__xludf.DUMMYFUNCTION("""COMPUTED_VALUE"""),2846.0)</f>
        <v>2846</v>
      </c>
      <c r="G1377" s="4">
        <f>IFERROR(__xludf.DUMMYFUNCTION("""COMPUTED_VALUE"""),13.0)</f>
        <v>13</v>
      </c>
      <c r="H1377" s="4"/>
      <c r="I1377" s="4"/>
    </row>
    <row r="1378">
      <c r="A1378" s="4" t="str">
        <f>IFERROR(__xludf.DUMMYFUNCTION("""COMPUTED_VALUE"""),"cas_hmw")</f>
        <v>cas_hmw</v>
      </c>
      <c r="B1378" s="5">
        <f>IFERROR(__xludf.DUMMYFUNCTION("""COMPUTED_VALUE"""),44781.0)</f>
        <v>44781</v>
      </c>
      <c r="C1378" s="6">
        <f>IFERROR(__xludf.DUMMYFUNCTION("""COMPUTED_VALUE"""),0.3357523148151813)</f>
        <v>0.3357523148</v>
      </c>
      <c r="D1378" s="4">
        <f>IFERROR(__xludf.DUMMYFUNCTION("""COMPUTED_VALUE"""),12.986804)</f>
        <v>12.986804</v>
      </c>
      <c r="E1378" s="4">
        <f>IFERROR(__xludf.DUMMYFUNCTION("""COMPUTED_VALUE"""),80.175382)</f>
        <v>80.175382</v>
      </c>
      <c r="F1378" s="4">
        <f>IFERROR(__xludf.DUMMYFUNCTION("""COMPUTED_VALUE"""),805.0)</f>
        <v>805</v>
      </c>
      <c r="G1378" s="4">
        <f>IFERROR(__xludf.DUMMYFUNCTION("""COMPUTED_VALUE"""),0.0)</f>
        <v>0</v>
      </c>
      <c r="H1378" s="4"/>
      <c r="I1378" s="4"/>
    </row>
    <row r="1379">
      <c r="A1379" s="4" t="str">
        <f>IFERROR(__xludf.DUMMYFUNCTION("""COMPUTED_VALUE"""),"cas_hmw")</f>
        <v>cas_hmw</v>
      </c>
      <c r="B1379" s="5">
        <f>IFERROR(__xludf.DUMMYFUNCTION("""COMPUTED_VALUE"""),44781.0)</f>
        <v>44781</v>
      </c>
      <c r="C1379" s="6">
        <f>IFERROR(__xludf.DUMMYFUNCTION("""COMPUTED_VALUE"""),0.3357523148151813)</f>
        <v>0.3357523148</v>
      </c>
      <c r="D1379" s="4">
        <f>IFERROR(__xludf.DUMMYFUNCTION("""COMPUTED_VALUE"""),12.986804)</f>
        <v>12.986804</v>
      </c>
      <c r="E1379" s="4">
        <f>IFERROR(__xludf.DUMMYFUNCTION("""COMPUTED_VALUE"""),80.175382)</f>
        <v>80.175382</v>
      </c>
      <c r="F1379" s="4">
        <f>IFERROR(__xludf.DUMMYFUNCTION("""COMPUTED_VALUE"""),805.0)</f>
        <v>805</v>
      </c>
      <c r="G1379" s="4">
        <f>IFERROR(__xludf.DUMMYFUNCTION("""COMPUTED_VALUE"""),0.0)</f>
        <v>0</v>
      </c>
      <c r="H1379" s="4"/>
      <c r="I1379" s="4"/>
    </row>
    <row r="1380">
      <c r="A1380" s="4" t="str">
        <f>IFERROR(__xludf.DUMMYFUNCTION("""COMPUTED_VALUE"""),"cas_hmw")</f>
        <v>cas_hmw</v>
      </c>
      <c r="B1380" s="5">
        <f>IFERROR(__xludf.DUMMYFUNCTION("""COMPUTED_VALUE"""),44781.0)</f>
        <v>44781</v>
      </c>
      <c r="C1380" s="6">
        <f>IFERROR(__xludf.DUMMYFUNCTION("""COMPUTED_VALUE"""),0.33616898148102337)</f>
        <v>0.3361689815</v>
      </c>
      <c r="D1380" s="4">
        <f>IFERROR(__xludf.DUMMYFUNCTION("""COMPUTED_VALUE"""),12.953111)</f>
        <v>12.953111</v>
      </c>
      <c r="E1380" s="4">
        <f>IFERROR(__xludf.DUMMYFUNCTION("""COMPUTED_VALUE"""),80.141586)</f>
        <v>80.141586</v>
      </c>
      <c r="F1380" s="4">
        <f>IFERROR(__xludf.DUMMYFUNCTION("""COMPUTED_VALUE"""),3143.0)</f>
        <v>3143</v>
      </c>
      <c r="G1380" s="4">
        <f>IFERROR(__xludf.DUMMYFUNCTION("""COMPUTED_VALUE"""),20.0)</f>
        <v>20</v>
      </c>
      <c r="H1380" s="4"/>
      <c r="I1380" s="4"/>
    </row>
    <row r="1381">
      <c r="A1381" s="4" t="str">
        <f>IFERROR(__xludf.DUMMYFUNCTION("""COMPUTED_VALUE"""),"cas_hmw")</f>
        <v>cas_hmw</v>
      </c>
      <c r="B1381" s="5">
        <f>IFERROR(__xludf.DUMMYFUNCTION("""COMPUTED_VALUE"""),44781.0)</f>
        <v>44781</v>
      </c>
      <c r="C1381" s="6">
        <f>IFERROR(__xludf.DUMMYFUNCTION("""COMPUTED_VALUE"""),0.3361921296309447)</f>
        <v>0.3361921296</v>
      </c>
      <c r="D1381" s="4">
        <f>IFERROR(__xludf.DUMMYFUNCTION("""COMPUTED_VALUE"""),12.953111)</f>
        <v>12.953111</v>
      </c>
      <c r="E1381" s="4">
        <f>IFERROR(__xludf.DUMMYFUNCTION("""COMPUTED_VALUE"""),80.141586)</f>
        <v>80.141586</v>
      </c>
      <c r="F1381" s="4">
        <f>IFERROR(__xludf.DUMMYFUNCTION("""COMPUTED_VALUE"""),3143.0)</f>
        <v>3143</v>
      </c>
      <c r="G1381" s="4">
        <f>IFERROR(__xludf.DUMMYFUNCTION("""COMPUTED_VALUE"""),20.0)</f>
        <v>20</v>
      </c>
      <c r="H1381" s="4"/>
      <c r="I1381" s="4"/>
    </row>
    <row r="1382">
      <c r="A1382" s="4" t="str">
        <f>IFERROR(__xludf.DUMMYFUNCTION("""COMPUTED_VALUE"""),"cas_hmw")</f>
        <v>cas_hmw</v>
      </c>
      <c r="B1382" s="5">
        <f>IFERROR(__xludf.DUMMYFUNCTION("""COMPUTED_VALUE"""),44781.0)</f>
        <v>44781</v>
      </c>
      <c r="C1382" s="6">
        <f>IFERROR(__xludf.DUMMYFUNCTION("""COMPUTED_VALUE"""),0.33620370370408637)</f>
        <v>0.3362037037</v>
      </c>
      <c r="D1382" s="4">
        <f>IFERROR(__xludf.DUMMYFUNCTION("""COMPUTED_VALUE"""),12.953111)</f>
        <v>12.953111</v>
      </c>
      <c r="E1382" s="4">
        <f>IFERROR(__xludf.DUMMYFUNCTION("""COMPUTED_VALUE"""),80.141586)</f>
        <v>80.141586</v>
      </c>
      <c r="F1382" s="4">
        <f>IFERROR(__xludf.DUMMYFUNCTION("""COMPUTED_VALUE"""),3143.0)</f>
        <v>3143</v>
      </c>
      <c r="G1382" s="4">
        <f>IFERROR(__xludf.DUMMYFUNCTION("""COMPUTED_VALUE"""),20.0)</f>
        <v>20</v>
      </c>
      <c r="H1382" s="4"/>
      <c r="I1382" s="4"/>
    </row>
    <row r="1383">
      <c r="A1383" s="4" t="str">
        <f>IFERROR(__xludf.DUMMYFUNCTION("""COMPUTED_VALUE"""),"cas_hmw")</f>
        <v>cas_hmw</v>
      </c>
      <c r="B1383" s="5">
        <f>IFERROR(__xludf.DUMMYFUNCTION("""COMPUTED_VALUE"""),44781.0)</f>
        <v>44781</v>
      </c>
      <c r="C1383" s="6">
        <f>IFERROR(__xludf.DUMMYFUNCTION("""COMPUTED_VALUE"""),0.33620370370408637)</f>
        <v>0.3362037037</v>
      </c>
      <c r="D1383" s="4">
        <f>IFERROR(__xludf.DUMMYFUNCTION("""COMPUTED_VALUE"""),12.953111)</f>
        <v>12.953111</v>
      </c>
      <c r="E1383" s="4">
        <f>IFERROR(__xludf.DUMMYFUNCTION("""COMPUTED_VALUE"""),80.141586)</f>
        <v>80.141586</v>
      </c>
      <c r="F1383" s="4">
        <f>IFERROR(__xludf.DUMMYFUNCTION("""COMPUTED_VALUE"""),3143.0)</f>
        <v>3143</v>
      </c>
      <c r="G1383" s="4">
        <f>IFERROR(__xludf.DUMMYFUNCTION("""COMPUTED_VALUE"""),20.0)</f>
        <v>20</v>
      </c>
      <c r="H1383" s="4"/>
      <c r="I1383" s="4"/>
    </row>
    <row r="1384">
      <c r="A1384" s="4" t="str">
        <f>IFERROR(__xludf.DUMMYFUNCTION("""COMPUTED_VALUE"""),"cas_hmw")</f>
        <v>cas_hmw</v>
      </c>
      <c r="B1384" s="5">
        <f>IFERROR(__xludf.DUMMYFUNCTION("""COMPUTED_VALUE"""),44781.0)</f>
        <v>44781</v>
      </c>
      <c r="C1384" s="6">
        <f>IFERROR(__xludf.DUMMYFUNCTION("""COMPUTED_VALUE"""),0.3377199074056989)</f>
        <v>0.3377199074</v>
      </c>
      <c r="D1384" s="4">
        <f>IFERROR(__xludf.DUMMYFUNCTION("""COMPUTED_VALUE"""),12.944044)</f>
        <v>12.944044</v>
      </c>
      <c r="E1384" s="4">
        <f>IFERROR(__xludf.DUMMYFUNCTION("""COMPUTED_VALUE"""),80.134675)</f>
        <v>80.134675</v>
      </c>
      <c r="F1384" s="4">
        <f>IFERROR(__xludf.DUMMYFUNCTION("""COMPUTED_VALUE"""),5339.0)</f>
        <v>5339</v>
      </c>
      <c r="G1384" s="4">
        <f>IFERROR(__xludf.DUMMYFUNCTION("""COMPUTED_VALUE"""),0.0)</f>
        <v>0</v>
      </c>
      <c r="H1384" s="4"/>
      <c r="I1384" s="4"/>
    </row>
    <row r="1385">
      <c r="A1385" s="4" t="str">
        <f>IFERROR(__xludf.DUMMYFUNCTION("""COMPUTED_VALUE"""),"cas_hmw")</f>
        <v>cas_hmw</v>
      </c>
      <c r="B1385" s="5">
        <f>IFERROR(__xludf.DUMMYFUNCTION("""COMPUTED_VALUE"""),44781.0)</f>
        <v>44781</v>
      </c>
      <c r="C1385" s="6">
        <f>IFERROR(__xludf.DUMMYFUNCTION("""COMPUTED_VALUE"""),0.33791666666729725)</f>
        <v>0.3379166667</v>
      </c>
      <c r="D1385" s="4">
        <f>IFERROR(__xludf.DUMMYFUNCTION("""COMPUTED_VALUE"""),12.979914)</f>
        <v>12.979914</v>
      </c>
      <c r="E1385" s="4">
        <f>IFERROR(__xludf.DUMMYFUNCTION("""COMPUTED_VALUE"""),80.163202)</f>
        <v>80.163202</v>
      </c>
      <c r="F1385" s="4">
        <f>IFERROR(__xludf.DUMMYFUNCTION("""COMPUTED_VALUE"""),805.0)</f>
        <v>805</v>
      </c>
      <c r="G1385" s="4">
        <f>IFERROR(__xludf.DUMMYFUNCTION("""COMPUTED_VALUE"""),0.0)</f>
        <v>0</v>
      </c>
      <c r="H1385" s="4"/>
      <c r="I1385" s="4"/>
    </row>
    <row r="1386">
      <c r="A1386" s="4" t="str">
        <f>IFERROR(__xludf.DUMMYFUNCTION("""COMPUTED_VALUE"""),"cas_hmw")</f>
        <v>cas_hmw</v>
      </c>
      <c r="B1386" s="5">
        <f>IFERROR(__xludf.DUMMYFUNCTION("""COMPUTED_VALUE"""),44781.0)</f>
        <v>44781</v>
      </c>
      <c r="C1386" s="6">
        <f>IFERROR(__xludf.DUMMYFUNCTION("""COMPUTED_VALUE"""),0.34209490740613546)</f>
        <v>0.3420949074</v>
      </c>
      <c r="D1386" s="4">
        <f>IFERROR(__xludf.DUMMYFUNCTION("""COMPUTED_VALUE"""),12.952934)</f>
        <v>12.952934</v>
      </c>
      <c r="E1386" s="4">
        <f>IFERROR(__xludf.DUMMYFUNCTION("""COMPUTED_VALUE"""),80.141473)</f>
        <v>80.141473</v>
      </c>
      <c r="F1386" s="4">
        <f>IFERROR(__xludf.DUMMYFUNCTION("""COMPUTED_VALUE"""),805.0)</f>
        <v>805</v>
      </c>
      <c r="G1386" s="4">
        <f>IFERROR(__xludf.DUMMYFUNCTION("""COMPUTED_VALUE"""),20.0)</f>
        <v>20</v>
      </c>
      <c r="H1386" s="4"/>
      <c r="I1386" s="4"/>
    </row>
    <row r="1387">
      <c r="A1387" s="4" t="str">
        <f>IFERROR(__xludf.DUMMYFUNCTION("""COMPUTED_VALUE"""),"cas_hmw")</f>
        <v>cas_hmw</v>
      </c>
      <c r="B1387" s="5">
        <f>IFERROR(__xludf.DUMMYFUNCTION("""COMPUTED_VALUE"""),44781.0)</f>
        <v>44781</v>
      </c>
      <c r="C1387" s="6">
        <f>IFERROR(__xludf.DUMMYFUNCTION("""COMPUTED_VALUE"""),0.3421064814829151)</f>
        <v>0.3421064815</v>
      </c>
      <c r="D1387" s="4">
        <f>IFERROR(__xludf.DUMMYFUNCTION("""COMPUTED_VALUE"""),12.952934)</f>
        <v>12.952934</v>
      </c>
      <c r="E1387" s="4">
        <f>IFERROR(__xludf.DUMMYFUNCTION("""COMPUTED_VALUE"""),80.141473)</f>
        <v>80.141473</v>
      </c>
      <c r="F1387" s="4">
        <f>IFERROR(__xludf.DUMMYFUNCTION("""COMPUTED_VALUE"""),805.0)</f>
        <v>805</v>
      </c>
      <c r="G1387" s="4">
        <f>IFERROR(__xludf.DUMMYFUNCTION("""COMPUTED_VALUE"""),20.0)</f>
        <v>20</v>
      </c>
      <c r="H1387" s="4"/>
      <c r="I1387" s="4"/>
    </row>
    <row r="1388">
      <c r="A1388" s="4" t="str">
        <f>IFERROR(__xludf.DUMMYFUNCTION("""COMPUTED_VALUE"""),"cas_hmw")</f>
        <v>cas_hmw</v>
      </c>
      <c r="B1388" s="5">
        <f>IFERROR(__xludf.DUMMYFUNCTION("""COMPUTED_VALUE"""),44781.0)</f>
        <v>44781</v>
      </c>
      <c r="C1388" s="6">
        <f>IFERROR(__xludf.DUMMYFUNCTION("""COMPUTED_VALUE"""),0.34221064814846613)</f>
        <v>0.3422106481</v>
      </c>
      <c r="D1388" s="4">
        <f>IFERROR(__xludf.DUMMYFUNCTION("""COMPUTED_VALUE"""),12.952934)</f>
        <v>12.952934</v>
      </c>
      <c r="E1388" s="4">
        <f>IFERROR(__xludf.DUMMYFUNCTION("""COMPUTED_VALUE"""),80.141473)</f>
        <v>80.141473</v>
      </c>
      <c r="F1388" s="4">
        <f>IFERROR(__xludf.DUMMYFUNCTION("""COMPUTED_VALUE"""),805.0)</f>
        <v>805</v>
      </c>
      <c r="G1388" s="4">
        <f>IFERROR(__xludf.DUMMYFUNCTION("""COMPUTED_VALUE"""),20.0)</f>
        <v>20</v>
      </c>
      <c r="H1388" s="4"/>
      <c r="I1388" s="4"/>
    </row>
    <row r="1389">
      <c r="A1389" s="4" t="str">
        <f>IFERROR(__xludf.DUMMYFUNCTION("""COMPUTED_VALUE"""),"cas_hmw")</f>
        <v>cas_hmw</v>
      </c>
      <c r="B1389" s="5">
        <f>IFERROR(__xludf.DUMMYFUNCTION("""COMPUTED_VALUE"""),44781.0)</f>
        <v>44781</v>
      </c>
      <c r="C1389" s="6">
        <f>IFERROR(__xludf.DUMMYFUNCTION("""COMPUTED_VALUE"""),0.34224537037152913)</f>
        <v>0.3422453704</v>
      </c>
      <c r="D1389" s="4">
        <f>IFERROR(__xludf.DUMMYFUNCTION("""COMPUTED_VALUE"""),12.952934)</f>
        <v>12.952934</v>
      </c>
      <c r="E1389" s="4">
        <f>IFERROR(__xludf.DUMMYFUNCTION("""COMPUTED_VALUE"""),80.141473)</f>
        <v>80.141473</v>
      </c>
      <c r="F1389" s="4">
        <f>IFERROR(__xludf.DUMMYFUNCTION("""COMPUTED_VALUE"""),805.0)</f>
        <v>805</v>
      </c>
      <c r="G1389" s="4">
        <f>IFERROR(__xludf.DUMMYFUNCTION("""COMPUTED_VALUE"""),20.0)</f>
        <v>20</v>
      </c>
      <c r="H1389" s="4"/>
      <c r="I1389" s="4"/>
    </row>
    <row r="1390">
      <c r="A1390" s="4" t="str">
        <f>IFERROR(__xludf.DUMMYFUNCTION("""COMPUTED_VALUE"""),"cas_hmw")</f>
        <v>cas_hmw</v>
      </c>
      <c r="B1390" s="5">
        <f>IFERROR(__xludf.DUMMYFUNCTION("""COMPUTED_VALUE"""),44781.0)</f>
        <v>44781</v>
      </c>
      <c r="C1390" s="6">
        <f>IFERROR(__xludf.DUMMYFUNCTION("""COMPUTED_VALUE"""),0.34481481481634546)</f>
        <v>0.3448148148</v>
      </c>
      <c r="D1390" s="4">
        <f>IFERROR(__xludf.DUMMYFUNCTION("""COMPUTED_VALUE"""),12.93634)</f>
        <v>12.93634</v>
      </c>
      <c r="E1390" s="4">
        <f>IFERROR(__xludf.DUMMYFUNCTION("""COMPUTED_VALUE"""),80.127405)</f>
        <v>80.127405</v>
      </c>
      <c r="F1390" s="4">
        <f>IFERROR(__xludf.DUMMYFUNCTION("""COMPUTED_VALUE"""),805.0)</f>
        <v>805</v>
      </c>
      <c r="G1390" s="4">
        <f>IFERROR(__xludf.DUMMYFUNCTION("""COMPUTED_VALUE"""),0.0)</f>
        <v>0</v>
      </c>
      <c r="H1390" s="4"/>
      <c r="I1390" s="4"/>
    </row>
    <row r="1391">
      <c r="A1391" s="4" t="str">
        <f>IFERROR(__xludf.DUMMYFUNCTION("""COMPUTED_VALUE"""),"cas_hmw")</f>
        <v>cas_hmw</v>
      </c>
      <c r="B1391" s="5">
        <f>IFERROR(__xludf.DUMMYFUNCTION("""COMPUTED_VALUE"""),44781.0)</f>
        <v>44781</v>
      </c>
      <c r="C1391" s="6">
        <f>IFERROR(__xludf.DUMMYFUNCTION("""COMPUTED_VALUE"""),0.34496527777810115)</f>
        <v>0.3449652778</v>
      </c>
      <c r="D1391" s="4">
        <f>IFERROR(__xludf.DUMMYFUNCTION("""COMPUTED_VALUE"""),12.93634)</f>
        <v>12.93634</v>
      </c>
      <c r="E1391" s="4">
        <f>IFERROR(__xludf.DUMMYFUNCTION("""COMPUTED_VALUE"""),80.127405)</f>
        <v>80.127405</v>
      </c>
      <c r="F1391" s="4">
        <f>IFERROR(__xludf.DUMMYFUNCTION("""COMPUTED_VALUE"""),805.0)</f>
        <v>805</v>
      </c>
      <c r="G1391" s="4">
        <f>IFERROR(__xludf.DUMMYFUNCTION("""COMPUTED_VALUE"""),0.0)</f>
        <v>0</v>
      </c>
      <c r="H1391" s="4"/>
      <c r="I1391" s="4"/>
    </row>
    <row r="1392">
      <c r="A1392" s="4" t="str">
        <f>IFERROR(__xludf.DUMMYFUNCTION("""COMPUTED_VALUE"""),"cas_hmw")</f>
        <v>cas_hmw</v>
      </c>
      <c r="B1392" s="5">
        <f>IFERROR(__xludf.DUMMYFUNCTION("""COMPUTED_VALUE"""),44781.0)</f>
        <v>44781</v>
      </c>
      <c r="C1392" s="6">
        <f>IFERROR(__xludf.DUMMYFUNCTION("""COMPUTED_VALUE"""),0.3457407407404389)</f>
        <v>0.3457407407</v>
      </c>
      <c r="D1392" s="4">
        <f>IFERROR(__xludf.DUMMYFUNCTION("""COMPUTED_VALUE"""),12.931394)</f>
        <v>12.931394</v>
      </c>
      <c r="E1392" s="4">
        <f>IFERROR(__xludf.DUMMYFUNCTION("""COMPUTED_VALUE"""),80.122693)</f>
        <v>80.122693</v>
      </c>
      <c r="F1392" s="4">
        <f>IFERROR(__xludf.DUMMYFUNCTION("""COMPUTED_VALUE"""),805.0)</f>
        <v>805</v>
      </c>
      <c r="G1392" s="4">
        <f>IFERROR(__xludf.DUMMYFUNCTION("""COMPUTED_VALUE"""),18.0)</f>
        <v>18</v>
      </c>
      <c r="H1392" s="4"/>
      <c r="I1392" s="4"/>
    </row>
    <row r="1393">
      <c r="A1393" s="4" t="str">
        <f>IFERROR(__xludf.DUMMYFUNCTION("""COMPUTED_VALUE"""),"cas_hmw")</f>
        <v>cas_hmw</v>
      </c>
      <c r="B1393" s="5">
        <f>IFERROR(__xludf.DUMMYFUNCTION("""COMPUTED_VALUE"""),44781.0)</f>
        <v>44781</v>
      </c>
      <c r="C1393" s="6">
        <f>IFERROR(__xludf.DUMMYFUNCTION("""COMPUTED_VALUE"""),0.34620370370248565)</f>
        <v>0.3462037037</v>
      </c>
      <c r="D1393" s="4">
        <f>IFERROR(__xludf.DUMMYFUNCTION("""COMPUTED_VALUE"""),12.925538)</f>
        <v>12.925538</v>
      </c>
      <c r="E1393" s="4">
        <f>IFERROR(__xludf.DUMMYFUNCTION("""COMPUTED_VALUE"""),80.10439)</f>
        <v>80.10439</v>
      </c>
      <c r="F1393" s="4">
        <f>IFERROR(__xludf.DUMMYFUNCTION("""COMPUTED_VALUE"""),3143.0)</f>
        <v>3143</v>
      </c>
      <c r="G1393" s="4">
        <f>IFERROR(__xludf.DUMMYFUNCTION("""COMPUTED_VALUE"""),6.0)</f>
        <v>6</v>
      </c>
      <c r="H1393" s="4"/>
      <c r="I1393" s="4"/>
    </row>
    <row r="1394">
      <c r="A1394" s="4" t="str">
        <f>IFERROR(__xludf.DUMMYFUNCTION("""COMPUTED_VALUE"""),"cas_hmw")</f>
        <v>cas_hmw</v>
      </c>
      <c r="B1394" s="5">
        <f>IFERROR(__xludf.DUMMYFUNCTION("""COMPUTED_VALUE"""),44781.0)</f>
        <v>44781</v>
      </c>
      <c r="C1394" s="6">
        <f>IFERROR(__xludf.DUMMYFUNCTION("""COMPUTED_VALUE"""),0.3467361111106584)</f>
        <v>0.3467361111</v>
      </c>
      <c r="D1394" s="4">
        <f>IFERROR(__xludf.DUMMYFUNCTION("""COMPUTED_VALUE"""),12.9266)</f>
        <v>12.9266</v>
      </c>
      <c r="E1394" s="4">
        <f>IFERROR(__xludf.DUMMYFUNCTION("""COMPUTED_VALUE"""),80.117814)</f>
        <v>80.117814</v>
      </c>
      <c r="F1394" s="4">
        <f>IFERROR(__xludf.DUMMYFUNCTION("""COMPUTED_VALUE"""),805.0)</f>
        <v>805</v>
      </c>
      <c r="G1394" s="4">
        <f>IFERROR(__xludf.DUMMYFUNCTION("""COMPUTED_VALUE"""),18.0)</f>
        <v>18</v>
      </c>
      <c r="H1394" s="4"/>
      <c r="I1394" s="4"/>
    </row>
    <row r="1395">
      <c r="A1395" s="4" t="str">
        <f>IFERROR(__xludf.DUMMYFUNCTION("""COMPUTED_VALUE"""),"cas_hmw")</f>
        <v>cas_hmw</v>
      </c>
      <c r="B1395" s="5">
        <f>IFERROR(__xludf.DUMMYFUNCTION("""COMPUTED_VALUE"""),44781.0)</f>
        <v>44781</v>
      </c>
      <c r="C1395" s="6">
        <f>IFERROR(__xludf.DUMMYFUNCTION("""COMPUTED_VALUE"""),0.34686342592613073)</f>
        <v>0.3468634259</v>
      </c>
      <c r="D1395" s="4">
        <f>IFERROR(__xludf.DUMMYFUNCTION("""COMPUTED_VALUE"""),12.866532)</f>
        <v>12.866532</v>
      </c>
      <c r="E1395" s="4">
        <f>IFERROR(__xludf.DUMMYFUNCTION("""COMPUTED_VALUE"""),80.07503)</f>
        <v>80.07503</v>
      </c>
      <c r="F1395" s="4">
        <f>IFERROR(__xludf.DUMMYFUNCTION("""COMPUTED_VALUE"""),2846.0)</f>
        <v>2846</v>
      </c>
      <c r="G1395" s="4">
        <f>IFERROR(__xludf.DUMMYFUNCTION("""COMPUTED_VALUE"""),17.0)</f>
        <v>17</v>
      </c>
      <c r="H1395" s="4"/>
      <c r="I1395" s="4"/>
    </row>
    <row r="1396">
      <c r="A1396" s="4" t="str">
        <f>IFERROR(__xludf.DUMMYFUNCTION("""COMPUTED_VALUE"""),"cas_hmw")</f>
        <v>cas_hmw</v>
      </c>
      <c r="B1396" s="5">
        <f>IFERROR(__xludf.DUMMYFUNCTION("""COMPUTED_VALUE"""),44781.0)</f>
        <v>44781</v>
      </c>
      <c r="C1396" s="6">
        <f>IFERROR(__xludf.DUMMYFUNCTION("""COMPUTED_VALUE"""),0.3486226851855463)</f>
        <v>0.3486226852</v>
      </c>
      <c r="D1396" s="4">
        <f>IFERROR(__xludf.DUMMYFUNCTION("""COMPUTED_VALUE"""),12.9225)</f>
        <v>12.9225</v>
      </c>
      <c r="E1396" s="4">
        <f>IFERROR(__xludf.DUMMYFUNCTION("""COMPUTED_VALUE"""),80.095928)</f>
        <v>80.095928</v>
      </c>
      <c r="F1396" s="4">
        <f>IFERROR(__xludf.DUMMYFUNCTION("""COMPUTED_VALUE"""),3143.0)</f>
        <v>3143</v>
      </c>
      <c r="G1396" s="4">
        <f>IFERROR(__xludf.DUMMYFUNCTION("""COMPUTED_VALUE"""),8.0)</f>
        <v>8</v>
      </c>
      <c r="H1396" s="4"/>
      <c r="I1396" s="4"/>
    </row>
    <row r="1397">
      <c r="A1397" s="4" t="str">
        <f>IFERROR(__xludf.DUMMYFUNCTION("""COMPUTED_VALUE"""),"cas_hmw")</f>
        <v>cas_hmw</v>
      </c>
      <c r="B1397" s="5">
        <f>IFERROR(__xludf.DUMMYFUNCTION("""COMPUTED_VALUE"""),44781.0)</f>
        <v>44781</v>
      </c>
      <c r="C1397" s="6">
        <f>IFERROR(__xludf.DUMMYFUNCTION("""COMPUTED_VALUE"""),0.35515046296131914)</f>
        <v>0.355150463</v>
      </c>
      <c r="D1397" s="4">
        <f>IFERROR(__xludf.DUMMYFUNCTION("""COMPUTED_VALUE"""),12.905432)</f>
        <v>12.905432</v>
      </c>
      <c r="E1397" s="4">
        <f>IFERROR(__xludf.DUMMYFUNCTION("""COMPUTED_VALUE"""),80.095742)</f>
        <v>80.095742</v>
      </c>
      <c r="F1397" s="4">
        <f>IFERROR(__xludf.DUMMYFUNCTION("""COMPUTED_VALUE"""),805.0)</f>
        <v>805</v>
      </c>
      <c r="G1397" s="4">
        <f>IFERROR(__xludf.DUMMYFUNCTION("""COMPUTED_VALUE"""),12.0)</f>
        <v>12</v>
      </c>
      <c r="H1397" s="4"/>
      <c r="I1397" s="4"/>
    </row>
    <row r="1398">
      <c r="A1398" s="4" t="str">
        <f>IFERROR(__xludf.DUMMYFUNCTION("""COMPUTED_VALUE"""),"cas_hmw")</f>
        <v>cas_hmw</v>
      </c>
      <c r="B1398" s="5">
        <f>IFERROR(__xludf.DUMMYFUNCTION("""COMPUTED_VALUE"""),44781.0)</f>
        <v>44781</v>
      </c>
      <c r="C1398" s="6">
        <f>IFERROR(__xludf.DUMMYFUNCTION("""COMPUTED_VALUE"""),0.3552662037036498)</f>
        <v>0.3552662037</v>
      </c>
      <c r="D1398" s="4">
        <f>IFERROR(__xludf.DUMMYFUNCTION("""COMPUTED_VALUE"""),12.90505)</f>
        <v>12.90505</v>
      </c>
      <c r="E1398" s="4">
        <f>IFERROR(__xludf.DUMMYFUNCTION("""COMPUTED_VALUE"""),80.095473)</f>
        <v>80.095473</v>
      </c>
      <c r="F1398" s="4">
        <f>IFERROR(__xludf.DUMMYFUNCTION("""COMPUTED_VALUE"""),805.0)</f>
        <v>805</v>
      </c>
      <c r="G1398" s="4">
        <f>IFERROR(__xludf.DUMMYFUNCTION("""COMPUTED_VALUE"""),13.0)</f>
        <v>13</v>
      </c>
      <c r="H1398" s="4"/>
      <c r="I1398" s="4"/>
    </row>
    <row r="1399">
      <c r="A1399" s="4" t="str">
        <f>IFERROR(__xludf.DUMMYFUNCTION("""COMPUTED_VALUE"""),"cas_hmw")</f>
        <v>cas_hmw</v>
      </c>
      <c r="B1399" s="5">
        <f>IFERROR(__xludf.DUMMYFUNCTION("""COMPUTED_VALUE"""),44781.0)</f>
        <v>44781</v>
      </c>
      <c r="C1399" s="6">
        <f>IFERROR(__xludf.DUMMYFUNCTION("""COMPUTED_VALUE"""),0.3587847222224809)</f>
        <v>0.3587847222</v>
      </c>
      <c r="D1399" s="4">
        <f>IFERROR(__xludf.DUMMYFUNCTION("""COMPUTED_VALUE"""),12.879347)</f>
        <v>12.879347</v>
      </c>
      <c r="E1399" s="4">
        <f>IFERROR(__xludf.DUMMYFUNCTION("""COMPUTED_VALUE"""),80.08039)</f>
        <v>80.08039</v>
      </c>
      <c r="F1399" s="4">
        <f>IFERROR(__xludf.DUMMYFUNCTION("""COMPUTED_VALUE"""),805.0)</f>
        <v>805</v>
      </c>
      <c r="G1399" s="4">
        <f>IFERROR(__xludf.DUMMYFUNCTION("""COMPUTED_VALUE"""),0.0)</f>
        <v>0</v>
      </c>
      <c r="H1399" s="4"/>
      <c r="I1399" s="4"/>
    </row>
    <row r="1400">
      <c r="A1400" s="4" t="str">
        <f>IFERROR(__xludf.DUMMYFUNCTION("""COMPUTED_VALUE"""),"cas_hmw")</f>
        <v>cas_hmw</v>
      </c>
      <c r="B1400" s="5">
        <f>IFERROR(__xludf.DUMMYFUNCTION("""COMPUTED_VALUE"""),44781.0)</f>
        <v>44781</v>
      </c>
      <c r="C1400" s="6">
        <f>IFERROR(__xludf.DUMMYFUNCTION("""COMPUTED_VALUE"""),0.35894675926101627)</f>
        <v>0.3589467593</v>
      </c>
      <c r="D1400" s="4">
        <f>IFERROR(__xludf.DUMMYFUNCTION("""COMPUTED_VALUE"""),12.879099)</f>
        <v>12.879099</v>
      </c>
      <c r="E1400" s="4">
        <f>IFERROR(__xludf.DUMMYFUNCTION("""COMPUTED_VALUE"""),80.080374)</f>
        <v>80.080374</v>
      </c>
      <c r="F1400" s="4">
        <f>IFERROR(__xludf.DUMMYFUNCTION("""COMPUTED_VALUE"""),805.0)</f>
        <v>805</v>
      </c>
      <c r="G1400" s="4">
        <f>IFERROR(__xludf.DUMMYFUNCTION("""COMPUTED_VALUE"""),6.0)</f>
        <v>6</v>
      </c>
      <c r="H1400" s="4"/>
      <c r="I1400" s="4"/>
    </row>
    <row r="1401">
      <c r="A1401" s="4" t="str">
        <f>IFERROR(__xludf.DUMMYFUNCTION("""COMPUTED_VALUE"""),"cas_hmw")</f>
        <v>cas_hmw</v>
      </c>
      <c r="B1401" s="5">
        <f>IFERROR(__xludf.DUMMYFUNCTION("""COMPUTED_VALUE"""),44781.0)</f>
        <v>44781</v>
      </c>
      <c r="C1401" s="6">
        <f>IFERROR(__xludf.DUMMYFUNCTION("""COMPUTED_VALUE"""),0.6945486111108039)</f>
        <v>0.6945486111</v>
      </c>
      <c r="D1401" s="4">
        <f>IFERROR(__xludf.DUMMYFUNCTION("""COMPUTED_VALUE"""),12.903803)</f>
        <v>12.903803</v>
      </c>
      <c r="E1401" s="4">
        <f>IFERROR(__xludf.DUMMYFUNCTION("""COMPUTED_VALUE"""),80.094213)</f>
        <v>80.094213</v>
      </c>
      <c r="F1401" s="4">
        <f>IFERROR(__xludf.DUMMYFUNCTION("""COMPUTED_VALUE"""),5339.0)</f>
        <v>5339</v>
      </c>
      <c r="G1401" s="4">
        <f>IFERROR(__xludf.DUMMYFUNCTION("""COMPUTED_VALUE"""),0.0)</f>
        <v>0</v>
      </c>
      <c r="H1401" s="4"/>
      <c r="I1401" s="4"/>
    </row>
    <row r="1402">
      <c r="A1402" s="4" t="str">
        <f>IFERROR(__xludf.DUMMYFUNCTION("""COMPUTED_VALUE"""),"cas_hmw")</f>
        <v>cas_hmw</v>
      </c>
      <c r="B1402" s="5">
        <f>IFERROR(__xludf.DUMMYFUNCTION("""COMPUTED_VALUE"""),44781.0)</f>
        <v>44781</v>
      </c>
      <c r="C1402" s="6">
        <f>IFERROR(__xludf.DUMMYFUNCTION("""COMPUTED_VALUE"""),0.7010648148134351)</f>
        <v>0.7010648148</v>
      </c>
      <c r="D1402" s="4">
        <f>IFERROR(__xludf.DUMMYFUNCTION("""COMPUTED_VALUE"""),12.931117)</f>
        <v>12.931117</v>
      </c>
      <c r="E1402" s="4">
        <f>IFERROR(__xludf.DUMMYFUNCTION("""COMPUTED_VALUE"""),80.122232)</f>
        <v>80.122232</v>
      </c>
      <c r="F1402" s="4">
        <f>IFERROR(__xludf.DUMMYFUNCTION("""COMPUTED_VALUE"""),805.0)</f>
        <v>805</v>
      </c>
      <c r="G1402" s="4">
        <f>IFERROR(__xludf.DUMMYFUNCTION("""COMPUTED_VALUE"""),11.0)</f>
        <v>11</v>
      </c>
      <c r="H1402" s="4"/>
      <c r="I1402" s="4"/>
    </row>
    <row r="1403">
      <c r="A1403" s="4" t="str">
        <f>IFERROR(__xludf.DUMMYFUNCTION("""COMPUTED_VALUE"""),"cas_hmw")</f>
        <v>cas_hmw</v>
      </c>
      <c r="B1403" s="5">
        <f>IFERROR(__xludf.DUMMYFUNCTION("""COMPUTED_VALUE"""),44781.0)</f>
        <v>44781</v>
      </c>
      <c r="C1403" s="6">
        <f>IFERROR(__xludf.DUMMYFUNCTION("""COMPUTED_VALUE"""),0.7010879629633564)</f>
        <v>0.701087963</v>
      </c>
      <c r="D1403" s="4">
        <f>IFERROR(__xludf.DUMMYFUNCTION("""COMPUTED_VALUE"""),12.931117)</f>
        <v>12.931117</v>
      </c>
      <c r="E1403" s="4">
        <f>IFERROR(__xludf.DUMMYFUNCTION("""COMPUTED_VALUE"""),80.122232)</f>
        <v>80.122232</v>
      </c>
      <c r="F1403" s="4">
        <f>IFERROR(__xludf.DUMMYFUNCTION("""COMPUTED_VALUE"""),805.0)</f>
        <v>805</v>
      </c>
      <c r="G1403" s="4">
        <f>IFERROR(__xludf.DUMMYFUNCTION("""COMPUTED_VALUE"""),11.0)</f>
        <v>11</v>
      </c>
      <c r="H1403" s="4"/>
      <c r="I1403" s="4"/>
    </row>
    <row r="1404">
      <c r="A1404" s="4" t="str">
        <f>IFERROR(__xludf.DUMMYFUNCTION("""COMPUTED_VALUE"""),"cas_hmw")</f>
        <v>cas_hmw</v>
      </c>
      <c r="B1404" s="5">
        <f>IFERROR(__xludf.DUMMYFUNCTION("""COMPUTED_VALUE"""),44781.0)</f>
        <v>44781</v>
      </c>
      <c r="C1404" s="6">
        <f>IFERROR(__xludf.DUMMYFUNCTION("""COMPUTED_VALUE"""),0.7010879629633564)</f>
        <v>0.701087963</v>
      </c>
      <c r="D1404" s="4">
        <f>IFERROR(__xludf.DUMMYFUNCTION("""COMPUTED_VALUE"""),12.931117)</f>
        <v>12.931117</v>
      </c>
      <c r="E1404" s="4">
        <f>IFERROR(__xludf.DUMMYFUNCTION("""COMPUTED_VALUE"""),80.122232)</f>
        <v>80.122232</v>
      </c>
      <c r="F1404" s="4">
        <f>IFERROR(__xludf.DUMMYFUNCTION("""COMPUTED_VALUE"""),805.0)</f>
        <v>805</v>
      </c>
      <c r="G1404" s="4">
        <f>IFERROR(__xludf.DUMMYFUNCTION("""COMPUTED_VALUE"""),11.0)</f>
        <v>11</v>
      </c>
      <c r="H1404" s="4"/>
      <c r="I1404" s="4"/>
    </row>
    <row r="1405">
      <c r="A1405" s="4" t="str">
        <f>IFERROR(__xludf.DUMMYFUNCTION("""COMPUTED_VALUE"""),"cas_hmw")</f>
        <v>cas_hmw</v>
      </c>
      <c r="B1405" s="5">
        <f>IFERROR(__xludf.DUMMYFUNCTION("""COMPUTED_VALUE"""),44781.0)</f>
        <v>44781</v>
      </c>
      <c r="C1405" s="6">
        <f>IFERROR(__xludf.DUMMYFUNCTION("""COMPUTED_VALUE"""),0.7011111111096398)</f>
        <v>0.7011111111</v>
      </c>
      <c r="D1405" s="4">
        <f>IFERROR(__xludf.DUMMYFUNCTION("""COMPUTED_VALUE"""),12.931117)</f>
        <v>12.931117</v>
      </c>
      <c r="E1405" s="4">
        <f>IFERROR(__xludf.DUMMYFUNCTION("""COMPUTED_VALUE"""),80.122232)</f>
        <v>80.122232</v>
      </c>
      <c r="F1405" s="4">
        <f>IFERROR(__xludf.DUMMYFUNCTION("""COMPUTED_VALUE"""),805.0)</f>
        <v>805</v>
      </c>
      <c r="G1405" s="4">
        <f>IFERROR(__xludf.DUMMYFUNCTION("""COMPUTED_VALUE"""),11.0)</f>
        <v>11</v>
      </c>
      <c r="H1405" s="4"/>
      <c r="I1405" s="4"/>
    </row>
    <row r="1406">
      <c r="A1406" s="4" t="str">
        <f>IFERROR(__xludf.DUMMYFUNCTION("""COMPUTED_VALUE"""),"cas_hmw")</f>
        <v>cas_hmw</v>
      </c>
      <c r="B1406" s="5">
        <f>IFERROR(__xludf.DUMMYFUNCTION("""COMPUTED_VALUE"""),44781.0)</f>
        <v>44781</v>
      </c>
      <c r="C1406" s="6">
        <f>IFERROR(__xludf.DUMMYFUNCTION("""COMPUTED_VALUE"""),0.7020717592604342)</f>
        <v>0.7020717593</v>
      </c>
      <c r="D1406" s="4">
        <f>IFERROR(__xludf.DUMMYFUNCTION("""COMPUTED_VALUE"""),12.935669)</f>
        <v>12.935669</v>
      </c>
      <c r="E1406" s="4">
        <f>IFERROR(__xludf.DUMMYFUNCTION("""COMPUTED_VALUE"""),80.126641)</f>
        <v>80.126641</v>
      </c>
      <c r="F1406" s="4">
        <f>IFERROR(__xludf.DUMMYFUNCTION("""COMPUTED_VALUE"""),805.0)</f>
        <v>805</v>
      </c>
      <c r="G1406" s="4">
        <f>IFERROR(__xludf.DUMMYFUNCTION("""COMPUTED_VALUE"""),16.0)</f>
        <v>16</v>
      </c>
      <c r="H1406" s="4"/>
      <c r="I1406" s="4"/>
    </row>
    <row r="1407">
      <c r="A1407" s="4" t="str">
        <f>IFERROR(__xludf.DUMMYFUNCTION("""COMPUTED_VALUE"""),"cas_hmw")</f>
        <v>cas_hmw</v>
      </c>
      <c r="B1407" s="5">
        <f>IFERROR(__xludf.DUMMYFUNCTION("""COMPUTED_VALUE"""),44781.0)</f>
        <v>44781</v>
      </c>
      <c r="C1407" s="6">
        <f>IFERROR(__xludf.DUMMYFUNCTION("""COMPUTED_VALUE"""),0.7020949074067175)</f>
        <v>0.7020949074</v>
      </c>
      <c r="D1407" s="4">
        <f>IFERROR(__xludf.DUMMYFUNCTION("""COMPUTED_VALUE"""),12.935669)</f>
        <v>12.935669</v>
      </c>
      <c r="E1407" s="4">
        <f>IFERROR(__xludf.DUMMYFUNCTION("""COMPUTED_VALUE"""),80.126641)</f>
        <v>80.126641</v>
      </c>
      <c r="F1407" s="4">
        <f>IFERROR(__xludf.DUMMYFUNCTION("""COMPUTED_VALUE"""),805.0)</f>
        <v>805</v>
      </c>
      <c r="G1407" s="4">
        <f>IFERROR(__xludf.DUMMYFUNCTION("""COMPUTED_VALUE"""),16.0)</f>
        <v>16</v>
      </c>
      <c r="H1407" s="4"/>
      <c r="I1407" s="4"/>
    </row>
    <row r="1408">
      <c r="A1408" s="4" t="str">
        <f>IFERROR(__xludf.DUMMYFUNCTION("""COMPUTED_VALUE"""),"cas_hmw")</f>
        <v>cas_hmw</v>
      </c>
      <c r="B1408" s="5">
        <f>IFERROR(__xludf.DUMMYFUNCTION("""COMPUTED_VALUE"""),44781.0)</f>
        <v>44781</v>
      </c>
      <c r="C1408" s="6">
        <f>IFERROR(__xludf.DUMMYFUNCTION("""COMPUTED_VALUE"""),0.7021759259259852)</f>
        <v>0.7021759259</v>
      </c>
      <c r="D1408" s="4">
        <f>IFERROR(__xludf.DUMMYFUNCTION("""COMPUTED_VALUE"""),12.935669)</f>
        <v>12.935669</v>
      </c>
      <c r="E1408" s="4">
        <f>IFERROR(__xludf.DUMMYFUNCTION("""COMPUTED_VALUE"""),80.126641)</f>
        <v>80.126641</v>
      </c>
      <c r="F1408" s="4">
        <f>IFERROR(__xludf.DUMMYFUNCTION("""COMPUTED_VALUE"""),805.0)</f>
        <v>805</v>
      </c>
      <c r="G1408" s="4">
        <f>IFERROR(__xludf.DUMMYFUNCTION("""COMPUTED_VALUE"""),16.0)</f>
        <v>16</v>
      </c>
      <c r="H1408" s="4"/>
      <c r="I1408" s="4"/>
    </row>
    <row r="1409">
      <c r="A1409" s="4" t="str">
        <f>IFERROR(__xludf.DUMMYFUNCTION("""COMPUTED_VALUE"""),"cas_hmw")</f>
        <v>cas_hmw</v>
      </c>
      <c r="B1409" s="5">
        <f>IFERROR(__xludf.DUMMYFUNCTION("""COMPUTED_VALUE"""),44781.0)</f>
        <v>44781</v>
      </c>
      <c r="C1409" s="6">
        <f>IFERROR(__xludf.DUMMYFUNCTION("""COMPUTED_VALUE"""),0.7024421296300716)</f>
        <v>0.7024421296</v>
      </c>
      <c r="D1409" s="4">
        <f>IFERROR(__xludf.DUMMYFUNCTION("""COMPUTED_VALUE"""),12.926838)</f>
        <v>12.926838</v>
      </c>
      <c r="E1409" s="4">
        <f>IFERROR(__xludf.DUMMYFUNCTION("""COMPUTED_VALUE"""),80.117942)</f>
        <v>80.117942</v>
      </c>
      <c r="F1409" s="4">
        <f>IFERROR(__xludf.DUMMYFUNCTION("""COMPUTED_VALUE"""),5339.0)</f>
        <v>5339</v>
      </c>
      <c r="G1409" s="4">
        <f>IFERROR(__xludf.DUMMYFUNCTION("""COMPUTED_VALUE"""),7.0)</f>
        <v>7</v>
      </c>
      <c r="H1409" s="4"/>
      <c r="I1409" s="4"/>
    </row>
    <row r="1410">
      <c r="A1410" s="4" t="str">
        <f>IFERROR(__xludf.DUMMYFUNCTION("""COMPUTED_VALUE"""),"cas_hmw")</f>
        <v>cas_hmw</v>
      </c>
      <c r="B1410" s="5">
        <f>IFERROR(__xludf.DUMMYFUNCTION("""COMPUTED_VALUE"""),44781.0)</f>
        <v>44781</v>
      </c>
      <c r="C1410" s="6">
        <f>IFERROR(__xludf.DUMMYFUNCTION("""COMPUTED_VALUE"""),0.7032523148154723)</f>
        <v>0.7032523148</v>
      </c>
      <c r="D1410" s="4">
        <f>IFERROR(__xludf.DUMMYFUNCTION("""COMPUTED_VALUE"""),12.931478)</f>
        <v>12.931478</v>
      </c>
      <c r="E1410" s="4">
        <f>IFERROR(__xludf.DUMMYFUNCTION("""COMPUTED_VALUE"""),80.122592)</f>
        <v>80.122592</v>
      </c>
      <c r="F1410" s="4">
        <f>IFERROR(__xludf.DUMMYFUNCTION("""COMPUTED_VALUE"""),5339.0)</f>
        <v>5339</v>
      </c>
      <c r="G1410" s="4">
        <f>IFERROR(__xludf.DUMMYFUNCTION("""COMPUTED_VALUE"""),0.0)</f>
        <v>0</v>
      </c>
      <c r="H1410" s="4"/>
      <c r="I1410" s="4"/>
    </row>
    <row r="1411">
      <c r="A1411" s="4" t="str">
        <f>IFERROR(__xludf.DUMMYFUNCTION("""COMPUTED_VALUE"""),"cas_hmw")</f>
        <v>cas_hmw</v>
      </c>
      <c r="B1411" s="5">
        <f>IFERROR(__xludf.DUMMYFUNCTION("""COMPUTED_VALUE"""),44781.0)</f>
        <v>44781</v>
      </c>
      <c r="C1411" s="6">
        <f>IFERROR(__xludf.DUMMYFUNCTION("""COMPUTED_VALUE"""),0.706018518518249)</f>
        <v>0.7060185185</v>
      </c>
      <c r="D1411" s="4">
        <f>IFERROR(__xludf.DUMMYFUNCTION("""COMPUTED_VALUE"""),12.950122)</f>
        <v>12.950122</v>
      </c>
      <c r="E1411" s="4">
        <f>IFERROR(__xludf.DUMMYFUNCTION("""COMPUTED_VALUE"""),80.139194)</f>
        <v>80.139194</v>
      </c>
      <c r="F1411" s="4">
        <f>IFERROR(__xludf.DUMMYFUNCTION("""COMPUTED_VALUE"""),805.0)</f>
        <v>805</v>
      </c>
      <c r="G1411" s="4">
        <f>IFERROR(__xludf.DUMMYFUNCTION("""COMPUTED_VALUE"""),0.0)</f>
        <v>0</v>
      </c>
      <c r="H1411" s="4"/>
      <c r="I1411" s="4"/>
    </row>
    <row r="1412">
      <c r="A1412" s="4" t="str">
        <f>IFERROR(__xludf.DUMMYFUNCTION("""COMPUTED_VALUE"""),"cas_hmw")</f>
        <v>cas_hmw</v>
      </c>
      <c r="B1412" s="5">
        <f>IFERROR(__xludf.DUMMYFUNCTION("""COMPUTED_VALUE"""),44781.0)</f>
        <v>44781</v>
      </c>
      <c r="C1412" s="6">
        <f>IFERROR(__xludf.DUMMYFUNCTION("""COMPUTED_VALUE"""),0.7061689814800047)</f>
        <v>0.7061689815</v>
      </c>
      <c r="D1412" s="4">
        <f>IFERROR(__xludf.DUMMYFUNCTION("""COMPUTED_VALUE"""),12.950213)</f>
        <v>12.950213</v>
      </c>
      <c r="E1412" s="4">
        <f>IFERROR(__xludf.DUMMYFUNCTION("""COMPUTED_VALUE"""),80.139274)</f>
        <v>80.139274</v>
      </c>
      <c r="F1412" s="4">
        <f>IFERROR(__xludf.DUMMYFUNCTION("""COMPUTED_VALUE"""),805.0)</f>
        <v>805</v>
      </c>
      <c r="G1412" s="4">
        <f>IFERROR(__xludf.DUMMYFUNCTION("""COMPUTED_VALUE"""),11.0)</f>
        <v>11</v>
      </c>
      <c r="H1412" s="4"/>
      <c r="I1412" s="4"/>
    </row>
    <row r="1413">
      <c r="A1413" s="4" t="str">
        <f>IFERROR(__xludf.DUMMYFUNCTION("""COMPUTED_VALUE"""),"cas_hmw")</f>
        <v>cas_hmw</v>
      </c>
      <c r="B1413" s="5">
        <f>IFERROR(__xludf.DUMMYFUNCTION("""COMPUTED_VALUE"""),44781.0)</f>
        <v>44781</v>
      </c>
      <c r="C1413" s="6">
        <f>IFERROR(__xludf.DUMMYFUNCTION("""COMPUTED_VALUE"""),0.7062037037030677)</f>
        <v>0.7062037037</v>
      </c>
      <c r="D1413" s="4">
        <f>IFERROR(__xludf.DUMMYFUNCTION("""COMPUTED_VALUE"""),12.950213)</f>
        <v>12.950213</v>
      </c>
      <c r="E1413" s="4">
        <f>IFERROR(__xludf.DUMMYFUNCTION("""COMPUTED_VALUE"""),80.139274)</f>
        <v>80.139274</v>
      </c>
      <c r="F1413" s="4">
        <f>IFERROR(__xludf.DUMMYFUNCTION("""COMPUTED_VALUE"""),805.0)</f>
        <v>805</v>
      </c>
      <c r="G1413" s="4">
        <f>IFERROR(__xludf.DUMMYFUNCTION("""COMPUTED_VALUE"""),11.0)</f>
        <v>11</v>
      </c>
      <c r="H1413" s="4"/>
      <c r="I1413" s="4"/>
    </row>
    <row r="1414">
      <c r="A1414" s="4" t="str">
        <f>IFERROR(__xludf.DUMMYFUNCTION("""COMPUTED_VALUE"""),"cas_hmw")</f>
        <v>cas_hmw</v>
      </c>
      <c r="B1414" s="5">
        <f>IFERROR(__xludf.DUMMYFUNCTION("""COMPUTED_VALUE"""),44781.0)</f>
        <v>44781</v>
      </c>
      <c r="C1414" s="6">
        <f>IFERROR(__xludf.DUMMYFUNCTION("""COMPUTED_VALUE"""),0.7062847222223354)</f>
        <v>0.7062847222</v>
      </c>
      <c r="D1414" s="4">
        <f>IFERROR(__xludf.DUMMYFUNCTION("""COMPUTED_VALUE"""),12.950213)</f>
        <v>12.950213</v>
      </c>
      <c r="E1414" s="4">
        <f>IFERROR(__xludf.DUMMYFUNCTION("""COMPUTED_VALUE"""),80.139274)</f>
        <v>80.139274</v>
      </c>
      <c r="F1414" s="4">
        <f>IFERROR(__xludf.DUMMYFUNCTION("""COMPUTED_VALUE"""),805.0)</f>
        <v>805</v>
      </c>
      <c r="G1414" s="4">
        <f>IFERROR(__xludf.DUMMYFUNCTION("""COMPUTED_VALUE"""),11.0)</f>
        <v>11</v>
      </c>
      <c r="H1414" s="4"/>
      <c r="I1414" s="4"/>
    </row>
    <row r="1415">
      <c r="A1415" s="4" t="str">
        <f>IFERROR(__xludf.DUMMYFUNCTION("""COMPUTED_VALUE"""),"cas_hmw")</f>
        <v>cas_hmw</v>
      </c>
      <c r="B1415" s="5">
        <f>IFERROR(__xludf.DUMMYFUNCTION("""COMPUTED_VALUE"""),44781.0)</f>
        <v>44781</v>
      </c>
      <c r="C1415" s="6">
        <f>IFERROR(__xludf.DUMMYFUNCTION("""COMPUTED_VALUE"""),0.7075810185197042)</f>
        <v>0.7075810185</v>
      </c>
      <c r="D1415" s="4">
        <f>IFERROR(__xludf.DUMMYFUNCTION("""COMPUTED_VALUE"""),12.950101)</f>
        <v>12.950101</v>
      </c>
      <c r="E1415" s="4">
        <f>IFERROR(__xludf.DUMMYFUNCTION("""COMPUTED_VALUE"""),80.13922)</f>
        <v>80.13922</v>
      </c>
      <c r="F1415" s="4">
        <f>IFERROR(__xludf.DUMMYFUNCTION("""COMPUTED_VALUE"""),5339.0)</f>
        <v>5339</v>
      </c>
      <c r="G1415" s="4">
        <f>IFERROR(__xludf.DUMMYFUNCTION("""COMPUTED_VALUE"""),0.0)</f>
        <v>0</v>
      </c>
      <c r="H1415" s="4"/>
      <c r="I1415" s="4"/>
    </row>
    <row r="1416">
      <c r="A1416" s="4" t="str">
        <f>IFERROR(__xludf.DUMMYFUNCTION("""COMPUTED_VALUE"""),"cas_hmw")</f>
        <v>cas_hmw</v>
      </c>
      <c r="B1416" s="5">
        <f>IFERROR(__xludf.DUMMYFUNCTION("""COMPUTED_VALUE"""),44781.0)</f>
        <v>44781</v>
      </c>
      <c r="C1416" s="6">
        <f>IFERROR(__xludf.DUMMYFUNCTION("""COMPUTED_VALUE"""),0.7075810185197042)</f>
        <v>0.7075810185</v>
      </c>
      <c r="D1416" s="4">
        <f>IFERROR(__xludf.DUMMYFUNCTION("""COMPUTED_VALUE"""),12.950101)</f>
        <v>12.950101</v>
      </c>
      <c r="E1416" s="4">
        <f>IFERROR(__xludf.DUMMYFUNCTION("""COMPUTED_VALUE"""),80.13922)</f>
        <v>80.13922</v>
      </c>
      <c r="F1416" s="4">
        <f>IFERROR(__xludf.DUMMYFUNCTION("""COMPUTED_VALUE"""),5339.0)</f>
        <v>5339</v>
      </c>
      <c r="G1416" s="4">
        <f>IFERROR(__xludf.DUMMYFUNCTION("""COMPUTED_VALUE"""),0.0)</f>
        <v>0</v>
      </c>
      <c r="H1416" s="4"/>
      <c r="I1416" s="4"/>
    </row>
    <row r="1417">
      <c r="A1417" s="4" t="str">
        <f>IFERROR(__xludf.DUMMYFUNCTION("""COMPUTED_VALUE"""),"cas_hmw")</f>
        <v>cas_hmw</v>
      </c>
      <c r="B1417" s="5">
        <f>IFERROR(__xludf.DUMMYFUNCTION("""COMPUTED_VALUE"""),44781.0)</f>
        <v>44781</v>
      </c>
      <c r="C1417" s="6">
        <f>IFERROR(__xludf.DUMMYFUNCTION("""COMPUTED_VALUE"""),0.7075810185197042)</f>
        <v>0.7075810185</v>
      </c>
      <c r="D1417" s="4">
        <f>IFERROR(__xludf.DUMMYFUNCTION("""COMPUTED_VALUE"""),12.950101)</f>
        <v>12.950101</v>
      </c>
      <c r="E1417" s="4">
        <f>IFERROR(__xludf.DUMMYFUNCTION("""COMPUTED_VALUE"""),80.13922)</f>
        <v>80.13922</v>
      </c>
      <c r="F1417" s="4">
        <f>IFERROR(__xludf.DUMMYFUNCTION("""COMPUTED_VALUE"""),5339.0)</f>
        <v>5339</v>
      </c>
      <c r="G1417" s="4">
        <f>IFERROR(__xludf.DUMMYFUNCTION("""COMPUTED_VALUE"""),0.0)</f>
        <v>0</v>
      </c>
      <c r="H1417" s="4"/>
      <c r="I1417" s="4"/>
    </row>
    <row r="1418">
      <c r="A1418" s="4" t="str">
        <f>IFERROR(__xludf.DUMMYFUNCTION("""COMPUTED_VALUE"""),"cas_hmw")</f>
        <v>cas_hmw</v>
      </c>
      <c r="B1418" s="5">
        <f>IFERROR(__xludf.DUMMYFUNCTION("""COMPUTED_VALUE"""),44781.0)</f>
        <v>44781</v>
      </c>
      <c r="C1418" s="6">
        <f>IFERROR(__xludf.DUMMYFUNCTION("""COMPUTED_VALUE"""),0.707974537035625)</f>
        <v>0.707974537</v>
      </c>
      <c r="D1418" s="4">
        <f>IFERROR(__xludf.DUMMYFUNCTION("""COMPUTED_VALUE"""),12.931528)</f>
        <v>12.931528</v>
      </c>
      <c r="E1418" s="4">
        <f>IFERROR(__xludf.DUMMYFUNCTION("""COMPUTED_VALUE"""),80.122551)</f>
        <v>80.122551</v>
      </c>
      <c r="F1418" s="4">
        <f>IFERROR(__xludf.DUMMYFUNCTION("""COMPUTED_VALUE"""),3143.0)</f>
        <v>3143</v>
      </c>
      <c r="G1418" s="4">
        <f>IFERROR(__xludf.DUMMYFUNCTION("""COMPUTED_VALUE"""),0.0)</f>
        <v>0</v>
      </c>
      <c r="H1418" s="4"/>
      <c r="I1418" s="4"/>
    </row>
    <row r="1419">
      <c r="A1419" s="4" t="str">
        <f>IFERROR(__xludf.DUMMYFUNCTION("""COMPUTED_VALUE"""),"cas_hmw")</f>
        <v>cas_hmw</v>
      </c>
      <c r="B1419" s="5">
        <f>IFERROR(__xludf.DUMMYFUNCTION("""COMPUTED_VALUE"""),44781.0)</f>
        <v>44781</v>
      </c>
      <c r="C1419" s="6">
        <f>IFERROR(__xludf.DUMMYFUNCTION("""COMPUTED_VALUE"""),0.708217592593428)</f>
        <v>0.7082175926</v>
      </c>
      <c r="D1419" s="4">
        <f>IFERROR(__xludf.DUMMYFUNCTION("""COMPUTED_VALUE"""),12.960176)</f>
        <v>12.960176</v>
      </c>
      <c r="E1419" s="4">
        <f>IFERROR(__xludf.DUMMYFUNCTION("""COMPUTED_VALUE"""),80.145069)</f>
        <v>80.145069</v>
      </c>
      <c r="F1419" s="4">
        <f>IFERROR(__xludf.DUMMYFUNCTION("""COMPUTED_VALUE"""),805.0)</f>
        <v>805</v>
      </c>
      <c r="G1419" s="4">
        <f>IFERROR(__xludf.DUMMYFUNCTION("""COMPUTED_VALUE"""),6.0)</f>
        <v>6</v>
      </c>
      <c r="H1419" s="4"/>
      <c r="I1419" s="4"/>
    </row>
    <row r="1420">
      <c r="A1420" s="4" t="str">
        <f>IFERROR(__xludf.DUMMYFUNCTION("""COMPUTED_VALUE"""),"cas_hmw")</f>
        <v>cas_hmw</v>
      </c>
      <c r="B1420" s="5">
        <f>IFERROR(__xludf.DUMMYFUNCTION("""COMPUTED_VALUE"""),44781.0)</f>
        <v>44781</v>
      </c>
      <c r="C1420" s="6">
        <f>IFERROR(__xludf.DUMMYFUNCTION("""COMPUTED_VALUE"""),0.7083333333321207)</f>
        <v>0.7083333333</v>
      </c>
      <c r="D1420" s="4">
        <f>IFERROR(__xludf.DUMMYFUNCTION("""COMPUTED_VALUE"""),12.960176)</f>
        <v>12.960176</v>
      </c>
      <c r="E1420" s="4">
        <f>IFERROR(__xludf.DUMMYFUNCTION("""COMPUTED_VALUE"""),80.145069)</f>
        <v>80.145069</v>
      </c>
      <c r="F1420" s="4">
        <f>IFERROR(__xludf.DUMMYFUNCTION("""COMPUTED_VALUE"""),805.0)</f>
        <v>805</v>
      </c>
      <c r="G1420" s="4">
        <f>IFERROR(__xludf.DUMMYFUNCTION("""COMPUTED_VALUE"""),6.0)</f>
        <v>6</v>
      </c>
      <c r="H1420" s="4"/>
      <c r="I1420" s="4"/>
    </row>
    <row r="1421">
      <c r="A1421" s="4" t="str">
        <f>IFERROR(__xludf.DUMMYFUNCTION("""COMPUTED_VALUE"""),"cas_hmw")</f>
        <v>cas_hmw</v>
      </c>
      <c r="B1421" s="5">
        <f>IFERROR(__xludf.DUMMYFUNCTION("""COMPUTED_VALUE"""),44781.0)</f>
        <v>44781</v>
      </c>
      <c r="C1421" s="6">
        <f>IFERROR(__xludf.DUMMYFUNCTION("""COMPUTED_VALUE"""),0.7083333333321207)</f>
        <v>0.7083333333</v>
      </c>
      <c r="D1421" s="4">
        <f>IFERROR(__xludf.DUMMYFUNCTION("""COMPUTED_VALUE"""),12.960176)</f>
        <v>12.960176</v>
      </c>
      <c r="E1421" s="4">
        <f>IFERROR(__xludf.DUMMYFUNCTION("""COMPUTED_VALUE"""),80.145069)</f>
        <v>80.145069</v>
      </c>
      <c r="F1421" s="4">
        <f>IFERROR(__xludf.DUMMYFUNCTION("""COMPUTED_VALUE"""),805.0)</f>
        <v>805</v>
      </c>
      <c r="G1421" s="4">
        <f>IFERROR(__xludf.DUMMYFUNCTION("""COMPUTED_VALUE"""),6.0)</f>
        <v>6</v>
      </c>
      <c r="H1421" s="4"/>
      <c r="I1421" s="4"/>
    </row>
    <row r="1422">
      <c r="A1422" s="4" t="str">
        <f>IFERROR(__xludf.DUMMYFUNCTION("""COMPUTED_VALUE"""),"cas_hmw")</f>
        <v>cas_hmw</v>
      </c>
      <c r="B1422" s="5">
        <f>IFERROR(__xludf.DUMMYFUNCTION("""COMPUTED_VALUE"""),44781.0)</f>
        <v>44781</v>
      </c>
      <c r="C1422" s="6">
        <f>IFERROR(__xludf.DUMMYFUNCTION("""COMPUTED_VALUE"""),0.7092245370367891)</f>
        <v>0.709224537</v>
      </c>
      <c r="D1422" s="4">
        <f>IFERROR(__xludf.DUMMYFUNCTION("""COMPUTED_VALUE"""),12.95609)</f>
        <v>12.95609</v>
      </c>
      <c r="E1422" s="4">
        <f>IFERROR(__xludf.DUMMYFUNCTION("""COMPUTED_VALUE"""),80.143056)</f>
        <v>80.143056</v>
      </c>
      <c r="F1422" s="4">
        <f>IFERROR(__xludf.DUMMYFUNCTION("""COMPUTED_VALUE"""),5339.0)</f>
        <v>5339</v>
      </c>
      <c r="G1422" s="4">
        <f>IFERROR(__xludf.DUMMYFUNCTION("""COMPUTED_VALUE"""),0.0)</f>
        <v>0</v>
      </c>
      <c r="H1422" s="4"/>
      <c r="I1422" s="4"/>
    </row>
    <row r="1423">
      <c r="A1423" s="4" t="str">
        <f>IFERROR(__xludf.DUMMYFUNCTION("""COMPUTED_VALUE"""),"cas_hmw")</f>
        <v>cas_hmw</v>
      </c>
      <c r="B1423" s="5">
        <f>IFERROR(__xludf.DUMMYFUNCTION("""COMPUTED_VALUE"""),44781.0)</f>
        <v>44781</v>
      </c>
      <c r="C1423" s="6">
        <f>IFERROR(__xludf.DUMMYFUNCTION("""COMPUTED_VALUE"""),0.7095254629639385)</f>
        <v>0.709525463</v>
      </c>
      <c r="D1423" s="4">
        <f>IFERROR(__xludf.DUMMYFUNCTION("""COMPUTED_VALUE"""),12.956223)</f>
        <v>12.956223</v>
      </c>
      <c r="E1423" s="4">
        <f>IFERROR(__xludf.DUMMYFUNCTION("""COMPUTED_VALUE"""),80.14311)</f>
        <v>80.14311</v>
      </c>
      <c r="F1423" s="4">
        <f>IFERROR(__xludf.DUMMYFUNCTION("""COMPUTED_VALUE"""),5339.0)</f>
        <v>5339</v>
      </c>
      <c r="G1423" s="4">
        <f>IFERROR(__xludf.DUMMYFUNCTION("""COMPUTED_VALUE"""),11.0)</f>
        <v>11</v>
      </c>
      <c r="H1423" s="4"/>
      <c r="I1423" s="4"/>
    </row>
    <row r="1424">
      <c r="A1424" s="4" t="str">
        <f>IFERROR(__xludf.DUMMYFUNCTION("""COMPUTED_VALUE"""),"cas_hmw")</f>
        <v>cas_hmw</v>
      </c>
      <c r="B1424" s="5">
        <f>IFERROR(__xludf.DUMMYFUNCTION("""COMPUTED_VALUE"""),44781.0)</f>
        <v>44781</v>
      </c>
      <c r="C1424" s="6">
        <f>IFERROR(__xludf.DUMMYFUNCTION("""COMPUTED_VALUE"""),0.7095254629639385)</f>
        <v>0.709525463</v>
      </c>
      <c r="D1424" s="4">
        <f>IFERROR(__xludf.DUMMYFUNCTION("""COMPUTED_VALUE"""),12.956223)</f>
        <v>12.956223</v>
      </c>
      <c r="E1424" s="4">
        <f>IFERROR(__xludf.DUMMYFUNCTION("""COMPUTED_VALUE"""),80.14311)</f>
        <v>80.14311</v>
      </c>
      <c r="F1424" s="4">
        <f>IFERROR(__xludf.DUMMYFUNCTION("""COMPUTED_VALUE"""),5339.0)</f>
        <v>5339</v>
      </c>
      <c r="G1424" s="4">
        <f>IFERROR(__xludf.DUMMYFUNCTION("""COMPUTED_VALUE"""),11.0)</f>
        <v>11</v>
      </c>
      <c r="H1424" s="4"/>
      <c r="I1424" s="4"/>
    </row>
    <row r="1425">
      <c r="A1425" s="4" t="str">
        <f>IFERROR(__xludf.DUMMYFUNCTION("""COMPUTED_VALUE"""),"cas_hmw")</f>
        <v>cas_hmw</v>
      </c>
      <c r="B1425" s="5">
        <f>IFERROR(__xludf.DUMMYFUNCTION("""COMPUTED_VALUE"""),44781.0)</f>
        <v>44781</v>
      </c>
      <c r="C1425" s="6">
        <f>IFERROR(__xludf.DUMMYFUNCTION("""COMPUTED_VALUE"""),0.7122685185167938)</f>
        <v>0.7122685185</v>
      </c>
      <c r="D1425" s="4">
        <f>IFERROR(__xludf.DUMMYFUNCTION("""COMPUTED_VALUE"""),12.950382)</f>
        <v>12.950382</v>
      </c>
      <c r="E1425" s="4">
        <f>IFERROR(__xludf.DUMMYFUNCTION("""COMPUTED_VALUE"""),80.139422)</f>
        <v>80.139422</v>
      </c>
      <c r="F1425" s="4">
        <f>IFERROR(__xludf.DUMMYFUNCTION("""COMPUTED_VALUE"""),3143.0)</f>
        <v>3143</v>
      </c>
      <c r="G1425" s="4">
        <f>IFERROR(__xludf.DUMMYFUNCTION("""COMPUTED_VALUE"""),18.0)</f>
        <v>18</v>
      </c>
      <c r="H1425" s="4"/>
      <c r="I1425" s="4"/>
    </row>
    <row r="1426">
      <c r="A1426" s="4" t="str">
        <f>IFERROR(__xludf.DUMMYFUNCTION("""COMPUTED_VALUE"""),"cas_hmw")</f>
        <v>cas_hmw</v>
      </c>
      <c r="B1426" s="5">
        <f>IFERROR(__xludf.DUMMYFUNCTION("""COMPUTED_VALUE"""),44781.0)</f>
        <v>44781</v>
      </c>
      <c r="C1426" s="6">
        <f>IFERROR(__xludf.DUMMYFUNCTION("""COMPUTED_VALUE"""),0.7122800925935735)</f>
        <v>0.7122800926</v>
      </c>
      <c r="D1426" s="4">
        <f>IFERROR(__xludf.DUMMYFUNCTION("""COMPUTED_VALUE"""),12.950382)</f>
        <v>12.950382</v>
      </c>
      <c r="E1426" s="4">
        <f>IFERROR(__xludf.DUMMYFUNCTION("""COMPUTED_VALUE"""),80.139422)</f>
        <v>80.139422</v>
      </c>
      <c r="F1426" s="4">
        <f>IFERROR(__xludf.DUMMYFUNCTION("""COMPUTED_VALUE"""),3143.0)</f>
        <v>3143</v>
      </c>
      <c r="G1426" s="4">
        <f>IFERROR(__xludf.DUMMYFUNCTION("""COMPUTED_VALUE"""),18.0)</f>
        <v>18</v>
      </c>
      <c r="H1426" s="4"/>
      <c r="I1426" s="4"/>
    </row>
    <row r="1427">
      <c r="A1427" s="4" t="str">
        <f>IFERROR(__xludf.DUMMYFUNCTION("""COMPUTED_VALUE"""),"cas_hmw")</f>
        <v>cas_hmw</v>
      </c>
      <c r="B1427" s="5">
        <f>IFERROR(__xludf.DUMMYFUNCTION("""COMPUTED_VALUE"""),44781.0)</f>
        <v>44781</v>
      </c>
      <c r="C1427" s="6">
        <f>IFERROR(__xludf.DUMMYFUNCTION("""COMPUTED_VALUE"""),0.7135300925910997)</f>
        <v>0.7135300926</v>
      </c>
      <c r="D1427" s="4">
        <f>IFERROR(__xludf.DUMMYFUNCTION("""COMPUTED_VALUE"""),12.993296)</f>
        <v>12.993296</v>
      </c>
      <c r="E1427" s="4">
        <f>IFERROR(__xludf.DUMMYFUNCTION("""COMPUTED_VALUE"""),80.184044)</f>
        <v>80.184044</v>
      </c>
      <c r="F1427" s="4">
        <f>IFERROR(__xludf.DUMMYFUNCTION("""COMPUTED_VALUE"""),805.0)</f>
        <v>805</v>
      </c>
      <c r="G1427" s="4">
        <f>IFERROR(__xludf.DUMMYFUNCTION("""COMPUTED_VALUE"""),5.0)</f>
        <v>5</v>
      </c>
      <c r="H1427" s="4"/>
      <c r="I1427" s="4"/>
    </row>
    <row r="1428">
      <c r="A1428" s="4" t="str">
        <f>IFERROR(__xludf.DUMMYFUNCTION("""COMPUTED_VALUE"""),"cas_hmw")</f>
        <v>cas_hmw</v>
      </c>
      <c r="B1428" s="5">
        <f>IFERROR(__xludf.DUMMYFUNCTION("""COMPUTED_VALUE"""),44781.0)</f>
        <v>44781</v>
      </c>
      <c r="C1428" s="6">
        <f>IFERROR(__xludf.DUMMYFUNCTION("""COMPUTED_VALUE"""),0.7167245370364981)</f>
        <v>0.716724537</v>
      </c>
      <c r="D1428" s="4">
        <f>IFERROR(__xludf.DUMMYFUNCTION("""COMPUTED_VALUE"""),12.961075)</f>
        <v>12.961075</v>
      </c>
      <c r="E1428" s="4">
        <f>IFERROR(__xludf.DUMMYFUNCTION("""COMPUTED_VALUE"""),80.145703)</f>
        <v>80.145703</v>
      </c>
      <c r="F1428" s="4">
        <f>IFERROR(__xludf.DUMMYFUNCTION("""COMPUTED_VALUE"""),3143.0)</f>
        <v>3143</v>
      </c>
      <c r="G1428" s="4">
        <f>IFERROR(__xludf.DUMMYFUNCTION("""COMPUTED_VALUE"""),6.0)</f>
        <v>6</v>
      </c>
      <c r="H1428" s="4"/>
      <c r="I1428" s="4"/>
    </row>
    <row r="1429">
      <c r="A1429" s="4" t="str">
        <f>IFERROR(__xludf.DUMMYFUNCTION("""COMPUTED_VALUE"""),"cas_hmw")</f>
        <v>cas_hmw</v>
      </c>
      <c r="B1429" s="5">
        <f>IFERROR(__xludf.DUMMYFUNCTION("""COMPUTED_VALUE"""),44781.0)</f>
        <v>44781</v>
      </c>
      <c r="C1429" s="6">
        <f>IFERROR(__xludf.DUMMYFUNCTION("""COMPUTED_VALUE"""),0.7168518518519704)</f>
        <v>0.7168518519</v>
      </c>
      <c r="D1429" s="4">
        <f>IFERROR(__xludf.DUMMYFUNCTION("""COMPUTED_VALUE"""),12.961075)</f>
        <v>12.961075</v>
      </c>
      <c r="E1429" s="4">
        <f>IFERROR(__xludf.DUMMYFUNCTION("""COMPUTED_VALUE"""),80.145703)</f>
        <v>80.145703</v>
      </c>
      <c r="F1429" s="4">
        <f>IFERROR(__xludf.DUMMYFUNCTION("""COMPUTED_VALUE"""),3143.0)</f>
        <v>3143</v>
      </c>
      <c r="G1429" s="4">
        <f>IFERROR(__xludf.DUMMYFUNCTION("""COMPUTED_VALUE"""),6.0)</f>
        <v>6</v>
      </c>
      <c r="H1429" s="4"/>
      <c r="I1429" s="4"/>
    </row>
    <row r="1430">
      <c r="A1430" s="4" t="str">
        <f>IFERROR(__xludf.DUMMYFUNCTION("""COMPUTED_VALUE"""),"cas_hmw")</f>
        <v>cas_hmw</v>
      </c>
      <c r="B1430" s="5">
        <f>IFERROR(__xludf.DUMMYFUNCTION("""COMPUTED_VALUE"""),44781.0)</f>
        <v>44781</v>
      </c>
      <c r="C1430" s="6">
        <f>IFERROR(__xludf.DUMMYFUNCTION("""COMPUTED_VALUE"""),0.7204050925938645)</f>
        <v>0.7204050926</v>
      </c>
      <c r="D1430" s="4">
        <f>IFERROR(__xludf.DUMMYFUNCTION("""COMPUTED_VALUE"""),13.015144)</f>
        <v>13.015144</v>
      </c>
      <c r="E1430" s="4">
        <f>IFERROR(__xludf.DUMMYFUNCTION("""COMPUTED_VALUE"""),80.225858)</f>
        <v>80.225858</v>
      </c>
      <c r="F1430" s="4">
        <f>IFERROR(__xludf.DUMMYFUNCTION("""COMPUTED_VALUE"""),805.0)</f>
        <v>805</v>
      </c>
      <c r="G1430" s="4">
        <f>IFERROR(__xludf.DUMMYFUNCTION("""COMPUTED_VALUE"""),0.0)</f>
        <v>0</v>
      </c>
      <c r="H1430" s="4"/>
      <c r="I1430" s="4"/>
    </row>
    <row r="1431">
      <c r="A1431" s="4" t="str">
        <f>IFERROR(__xludf.DUMMYFUNCTION("""COMPUTED_VALUE"""),"cas_hmw")</f>
        <v>cas_hmw</v>
      </c>
      <c r="B1431" s="5">
        <f>IFERROR(__xludf.DUMMYFUNCTION("""COMPUTED_VALUE"""),44781.0)</f>
        <v>44781</v>
      </c>
      <c r="C1431" s="6">
        <f>IFERROR(__xludf.DUMMYFUNCTION("""COMPUTED_VALUE"""),0.7234722222237906)</f>
        <v>0.7234722222</v>
      </c>
      <c r="D1431" s="4">
        <f>IFERROR(__xludf.DUMMYFUNCTION("""COMPUTED_VALUE"""),13.01942)</f>
        <v>13.01942</v>
      </c>
      <c r="E1431" s="4">
        <f>IFERROR(__xludf.DUMMYFUNCTION("""COMPUTED_VALUE"""),80.224418)</f>
        <v>80.224418</v>
      </c>
      <c r="F1431" s="4">
        <f>IFERROR(__xludf.DUMMYFUNCTION("""COMPUTED_VALUE"""),5339.0)</f>
        <v>5339</v>
      </c>
      <c r="G1431" s="4">
        <f>IFERROR(__xludf.DUMMYFUNCTION("""COMPUTED_VALUE"""),14.0)</f>
        <v>14</v>
      </c>
      <c r="H1431" s="4"/>
      <c r="I1431" s="4"/>
    </row>
    <row r="1432">
      <c r="A1432" s="4" t="str">
        <f>IFERROR(__xludf.DUMMYFUNCTION("""COMPUTED_VALUE"""),"cas_hmw")</f>
        <v>cas_hmw</v>
      </c>
      <c r="B1432" s="5">
        <f>IFERROR(__xludf.DUMMYFUNCTION("""COMPUTED_VALUE"""),44781.0)</f>
        <v>44781</v>
      </c>
      <c r="C1432" s="6">
        <f>IFERROR(__xludf.DUMMYFUNCTION("""COMPUTED_VALUE"""),0.724155092593719)</f>
        <v>0.7241550926</v>
      </c>
      <c r="D1432" s="4">
        <f>IFERROR(__xludf.DUMMYFUNCTION("""COMPUTED_VALUE"""),13.006738)</f>
        <v>13.006738</v>
      </c>
      <c r="E1432" s="4">
        <f>IFERROR(__xludf.DUMMYFUNCTION("""COMPUTED_VALUE"""),80.240867)</f>
        <v>80.240867</v>
      </c>
      <c r="F1432" s="4">
        <f>IFERROR(__xludf.DUMMYFUNCTION("""COMPUTED_VALUE"""),805.0)</f>
        <v>805</v>
      </c>
      <c r="G1432" s="4">
        <f>IFERROR(__xludf.DUMMYFUNCTION("""COMPUTED_VALUE"""),16.0)</f>
        <v>16</v>
      </c>
      <c r="H1432" s="4"/>
      <c r="I1432" s="4"/>
    </row>
    <row r="1433">
      <c r="A1433" s="4" t="str">
        <f>IFERROR(__xludf.DUMMYFUNCTION("""COMPUTED_VALUE"""),"cas_hmw")</f>
        <v>cas_hmw</v>
      </c>
      <c r="B1433" s="5">
        <f>IFERROR(__xludf.DUMMYFUNCTION("""COMPUTED_VALUE"""),44781.0)</f>
        <v>44781</v>
      </c>
      <c r="C1433" s="6">
        <f>IFERROR(__xludf.DUMMYFUNCTION("""COMPUTED_VALUE"""),0.7241666666668607)</f>
        <v>0.7241666667</v>
      </c>
      <c r="D1433" s="4">
        <f>IFERROR(__xludf.DUMMYFUNCTION("""COMPUTED_VALUE"""),13.006738)</f>
        <v>13.006738</v>
      </c>
      <c r="E1433" s="4">
        <f>IFERROR(__xludf.DUMMYFUNCTION("""COMPUTED_VALUE"""),80.240867)</f>
        <v>80.240867</v>
      </c>
      <c r="F1433" s="4">
        <f>IFERROR(__xludf.DUMMYFUNCTION("""COMPUTED_VALUE"""),805.0)</f>
        <v>805</v>
      </c>
      <c r="G1433" s="4">
        <f>IFERROR(__xludf.DUMMYFUNCTION("""COMPUTED_VALUE"""),16.0)</f>
        <v>16</v>
      </c>
      <c r="H1433" s="4"/>
      <c r="I1433" s="4"/>
    </row>
    <row r="1434">
      <c r="A1434" s="4" t="str">
        <f>IFERROR(__xludf.DUMMYFUNCTION("""COMPUTED_VALUE"""),"cas_hmw")</f>
        <v>cas_hmw</v>
      </c>
      <c r="B1434" s="5">
        <f>IFERROR(__xludf.DUMMYFUNCTION("""COMPUTED_VALUE"""),44781.0)</f>
        <v>44781</v>
      </c>
      <c r="C1434" s="6">
        <f>IFERROR(__xludf.DUMMYFUNCTION("""COMPUTED_VALUE"""),0.724189814813144)</f>
        <v>0.7241898148</v>
      </c>
      <c r="D1434" s="4">
        <f>IFERROR(__xludf.DUMMYFUNCTION("""COMPUTED_VALUE"""),13.006738)</f>
        <v>13.006738</v>
      </c>
      <c r="E1434" s="4">
        <f>IFERROR(__xludf.DUMMYFUNCTION("""COMPUTED_VALUE"""),80.240867)</f>
        <v>80.240867</v>
      </c>
      <c r="F1434" s="4">
        <f>IFERROR(__xludf.DUMMYFUNCTION("""COMPUTED_VALUE"""),805.0)</f>
        <v>805</v>
      </c>
      <c r="G1434" s="4">
        <f>IFERROR(__xludf.DUMMYFUNCTION("""COMPUTED_VALUE"""),16.0)</f>
        <v>16</v>
      </c>
      <c r="H1434" s="4"/>
      <c r="I1434" s="4"/>
    </row>
    <row r="1435">
      <c r="A1435" s="4" t="str">
        <f>IFERROR(__xludf.DUMMYFUNCTION("""COMPUTED_VALUE"""),"cas_hmw")</f>
        <v>cas_hmw</v>
      </c>
      <c r="B1435" s="5">
        <f>IFERROR(__xludf.DUMMYFUNCTION("""COMPUTED_VALUE"""),44781.0)</f>
        <v>44781</v>
      </c>
      <c r="C1435" s="6">
        <f>IFERROR(__xludf.DUMMYFUNCTION("""COMPUTED_VALUE"""),0.7260069444455439)</f>
        <v>0.7260069444</v>
      </c>
      <c r="D1435" s="4">
        <f>IFERROR(__xludf.DUMMYFUNCTION("""COMPUTED_VALUE"""),13.026296)</f>
        <v>13.026296</v>
      </c>
      <c r="E1435" s="4">
        <f>IFERROR(__xludf.DUMMYFUNCTION("""COMPUTED_VALUE"""),80.232222)</f>
        <v>80.232222</v>
      </c>
      <c r="F1435" s="4">
        <f>IFERROR(__xludf.DUMMYFUNCTION("""COMPUTED_VALUE"""),5339.0)</f>
        <v>5339</v>
      </c>
      <c r="G1435" s="4">
        <f>IFERROR(__xludf.DUMMYFUNCTION("""COMPUTED_VALUE"""),0.0)</f>
        <v>0</v>
      </c>
      <c r="H1435" s="4"/>
      <c r="I1435" s="4"/>
    </row>
    <row r="1436">
      <c r="A1436" s="4" t="str">
        <f>IFERROR(__xludf.DUMMYFUNCTION("""COMPUTED_VALUE"""),"cas_hmw")</f>
        <v>cas_hmw</v>
      </c>
      <c r="B1436" s="5">
        <f>IFERROR(__xludf.DUMMYFUNCTION("""COMPUTED_VALUE"""),44781.0)</f>
        <v>44781</v>
      </c>
      <c r="C1436" s="6">
        <f>IFERROR(__xludf.DUMMYFUNCTION("""COMPUTED_VALUE"""),0.7260069444455439)</f>
        <v>0.7260069444</v>
      </c>
      <c r="D1436" s="4">
        <f>IFERROR(__xludf.DUMMYFUNCTION("""COMPUTED_VALUE"""),13.026296)</f>
        <v>13.026296</v>
      </c>
      <c r="E1436" s="4">
        <f>IFERROR(__xludf.DUMMYFUNCTION("""COMPUTED_VALUE"""),80.232222)</f>
        <v>80.232222</v>
      </c>
      <c r="F1436" s="4">
        <f>IFERROR(__xludf.DUMMYFUNCTION("""COMPUTED_VALUE"""),5339.0)</f>
        <v>5339</v>
      </c>
      <c r="G1436" s="4">
        <f>IFERROR(__xludf.DUMMYFUNCTION("""COMPUTED_VALUE"""),0.0)</f>
        <v>0</v>
      </c>
      <c r="H1436" s="4"/>
      <c r="I1436" s="4"/>
    </row>
    <row r="1437">
      <c r="A1437" s="4" t="str">
        <f>IFERROR(__xludf.DUMMYFUNCTION("""COMPUTED_VALUE"""),"cas_hmw")</f>
        <v>cas_hmw</v>
      </c>
      <c r="B1437" s="5">
        <f>IFERROR(__xludf.DUMMYFUNCTION("""COMPUTED_VALUE"""),44781.0)</f>
        <v>44781</v>
      </c>
      <c r="C1437" s="6">
        <f>IFERROR(__xludf.DUMMYFUNCTION("""COMPUTED_VALUE"""),0.7260185185186856)</f>
        <v>0.7260185185</v>
      </c>
      <c r="D1437" s="4">
        <f>IFERROR(__xludf.DUMMYFUNCTION("""COMPUTED_VALUE"""),13.026296)</f>
        <v>13.026296</v>
      </c>
      <c r="E1437" s="4">
        <f>IFERROR(__xludf.DUMMYFUNCTION("""COMPUTED_VALUE"""),80.232222)</f>
        <v>80.232222</v>
      </c>
      <c r="F1437" s="4">
        <f>IFERROR(__xludf.DUMMYFUNCTION("""COMPUTED_VALUE"""),5339.0)</f>
        <v>5339</v>
      </c>
      <c r="G1437" s="4">
        <f>IFERROR(__xludf.DUMMYFUNCTION("""COMPUTED_VALUE"""),0.0)</f>
        <v>0</v>
      </c>
      <c r="H1437" s="4"/>
      <c r="I1437" s="4"/>
    </row>
    <row r="1438">
      <c r="A1438" s="4" t="str">
        <f>IFERROR(__xludf.DUMMYFUNCTION("""COMPUTED_VALUE"""),"cas_hmw")</f>
        <v>cas_hmw</v>
      </c>
      <c r="B1438" s="5">
        <f>IFERROR(__xludf.DUMMYFUNCTION("""COMPUTED_VALUE"""),44781.0)</f>
        <v>44781</v>
      </c>
      <c r="C1438" s="6">
        <f>IFERROR(__xludf.DUMMYFUNCTION("""COMPUTED_VALUE"""),0.726249999999709)</f>
        <v>0.72625</v>
      </c>
      <c r="D1438" s="4">
        <f>IFERROR(__xludf.DUMMYFUNCTION("""COMPUTED_VALUE"""),13.006772)</f>
        <v>13.006772</v>
      </c>
      <c r="E1438" s="4">
        <f>IFERROR(__xludf.DUMMYFUNCTION("""COMPUTED_VALUE"""),80.247692)</f>
        <v>80.247692</v>
      </c>
      <c r="F1438" s="4">
        <f>IFERROR(__xludf.DUMMYFUNCTION("""COMPUTED_VALUE"""),805.0)</f>
        <v>805</v>
      </c>
      <c r="G1438" s="4">
        <f>IFERROR(__xludf.DUMMYFUNCTION("""COMPUTED_VALUE"""),16.0)</f>
        <v>16</v>
      </c>
      <c r="H1438" s="4"/>
      <c r="I1438" s="4"/>
    </row>
    <row r="1439">
      <c r="A1439" s="4" t="str">
        <f>IFERROR(__xludf.DUMMYFUNCTION("""COMPUTED_VALUE"""),"cas_hmw")</f>
        <v>cas_hmw</v>
      </c>
      <c r="B1439" s="5">
        <f>IFERROR(__xludf.DUMMYFUNCTION("""COMPUTED_VALUE"""),44781.0)</f>
        <v>44781</v>
      </c>
      <c r="C1439" s="6">
        <f>IFERROR(__xludf.DUMMYFUNCTION("""COMPUTED_VALUE"""),0.7272222222236451)</f>
        <v>0.7272222222</v>
      </c>
      <c r="D1439" s="4">
        <f>IFERROR(__xludf.DUMMYFUNCTION("""COMPUTED_VALUE"""),13.006864)</f>
        <v>13.006864</v>
      </c>
      <c r="E1439" s="4">
        <f>IFERROR(__xludf.DUMMYFUNCTION("""COMPUTED_VALUE"""),80.251404)</f>
        <v>80.251404</v>
      </c>
      <c r="F1439" s="4">
        <f>IFERROR(__xludf.DUMMYFUNCTION("""COMPUTED_VALUE"""),805.0)</f>
        <v>805</v>
      </c>
      <c r="G1439" s="4">
        <f>IFERROR(__xludf.DUMMYFUNCTION("""COMPUTED_VALUE"""),0.0)</f>
        <v>0</v>
      </c>
      <c r="H1439" s="4"/>
      <c r="I1439" s="4"/>
    </row>
    <row r="1440">
      <c r="A1440" s="4" t="str">
        <f>IFERROR(__xludf.DUMMYFUNCTION("""COMPUTED_VALUE"""),"cas_hmw")</f>
        <v>cas_hmw</v>
      </c>
      <c r="B1440" s="5">
        <f>IFERROR(__xludf.DUMMYFUNCTION("""COMPUTED_VALUE"""),44781.0)</f>
        <v>44781</v>
      </c>
      <c r="C1440" s="6">
        <f>IFERROR(__xludf.DUMMYFUNCTION("""COMPUTED_VALUE"""),0.7275347222239361)</f>
        <v>0.7275347222</v>
      </c>
      <c r="D1440" s="4">
        <f>IFERROR(__xludf.DUMMYFUNCTION("""COMPUTED_VALUE"""),13.006864)</f>
        <v>13.006864</v>
      </c>
      <c r="E1440" s="4">
        <f>IFERROR(__xludf.DUMMYFUNCTION("""COMPUTED_VALUE"""),80.251404)</f>
        <v>80.251404</v>
      </c>
      <c r="F1440" s="4">
        <f>IFERROR(__xludf.DUMMYFUNCTION("""COMPUTED_VALUE"""),805.0)</f>
        <v>805</v>
      </c>
      <c r="G1440" s="4">
        <f>IFERROR(__xludf.DUMMYFUNCTION("""COMPUTED_VALUE"""),0.0)</f>
        <v>0</v>
      </c>
      <c r="H1440" s="4"/>
      <c r="I1440" s="4"/>
    </row>
    <row r="1441">
      <c r="A1441" s="4" t="str">
        <f>IFERROR(__xludf.DUMMYFUNCTION("""COMPUTED_VALUE"""),"cas_hmw")</f>
        <v>cas_hmw</v>
      </c>
      <c r="B1441" s="5">
        <f>IFERROR(__xludf.DUMMYFUNCTION("""COMPUTED_VALUE"""),44781.0)</f>
        <v>44781</v>
      </c>
      <c r="C1441" s="6">
        <f>IFERROR(__xludf.DUMMYFUNCTION("""COMPUTED_VALUE"""),0.7284375000017462)</f>
        <v>0.7284375</v>
      </c>
      <c r="D1441" s="4">
        <f>IFERROR(__xludf.DUMMYFUNCTION("""COMPUTED_VALUE"""),13.006659)</f>
        <v>13.006659</v>
      </c>
      <c r="E1441" s="4">
        <f>IFERROR(__xludf.DUMMYFUNCTION("""COMPUTED_VALUE"""),80.256791)</f>
        <v>80.256791</v>
      </c>
      <c r="F1441" s="4">
        <f>IFERROR(__xludf.DUMMYFUNCTION("""COMPUTED_VALUE"""),805.0)</f>
        <v>805</v>
      </c>
      <c r="G1441" s="4">
        <f>IFERROR(__xludf.DUMMYFUNCTION("""COMPUTED_VALUE"""),0.0)</f>
        <v>0</v>
      </c>
      <c r="H1441" s="4"/>
      <c r="I1441" s="4"/>
    </row>
    <row r="1442">
      <c r="A1442" s="4" t="str">
        <f>IFERROR(__xludf.DUMMYFUNCTION("""COMPUTED_VALUE"""),"cas_hmw")</f>
        <v>cas_hmw</v>
      </c>
      <c r="B1442" s="5">
        <f>IFERROR(__xludf.DUMMYFUNCTION("""COMPUTED_VALUE"""),44781.0)</f>
        <v>44781</v>
      </c>
      <c r="C1442" s="6">
        <f>IFERROR(__xludf.DUMMYFUNCTION("""COMPUTED_VALUE"""),0.7285532407404389)</f>
        <v>0.7285532407</v>
      </c>
      <c r="D1442" s="4">
        <f>IFERROR(__xludf.DUMMYFUNCTION("""COMPUTED_VALUE"""),13.006659)</f>
        <v>13.006659</v>
      </c>
      <c r="E1442" s="4">
        <f>IFERROR(__xludf.DUMMYFUNCTION("""COMPUTED_VALUE"""),80.256791)</f>
        <v>80.256791</v>
      </c>
      <c r="F1442" s="4">
        <f>IFERROR(__xludf.DUMMYFUNCTION("""COMPUTED_VALUE"""),805.0)</f>
        <v>805</v>
      </c>
      <c r="G1442" s="4">
        <f>IFERROR(__xludf.DUMMYFUNCTION("""COMPUTED_VALUE"""),0.0)</f>
        <v>0</v>
      </c>
      <c r="H1442" s="4"/>
      <c r="I1442" s="4"/>
    </row>
    <row r="1443">
      <c r="A1443" s="4" t="str">
        <f>IFERROR(__xludf.DUMMYFUNCTION("""COMPUTED_VALUE"""),"cas_hmw")</f>
        <v>cas_hmw</v>
      </c>
      <c r="B1443" s="5">
        <f>IFERROR(__xludf.DUMMYFUNCTION("""COMPUTED_VALUE"""),44781.0)</f>
        <v>44781</v>
      </c>
      <c r="C1443" s="6">
        <f>IFERROR(__xludf.DUMMYFUNCTION("""COMPUTED_VALUE"""),0.7285532407404389)</f>
        <v>0.7285532407</v>
      </c>
      <c r="D1443" s="4">
        <f>IFERROR(__xludf.DUMMYFUNCTION("""COMPUTED_VALUE"""),13.006659)</f>
        <v>13.006659</v>
      </c>
      <c r="E1443" s="4">
        <f>IFERROR(__xludf.DUMMYFUNCTION("""COMPUTED_VALUE"""),80.256791)</f>
        <v>80.256791</v>
      </c>
      <c r="F1443" s="4">
        <f>IFERROR(__xludf.DUMMYFUNCTION("""COMPUTED_VALUE"""),805.0)</f>
        <v>805</v>
      </c>
      <c r="G1443" s="4">
        <f>IFERROR(__xludf.DUMMYFUNCTION("""COMPUTED_VALUE"""),0.0)</f>
        <v>0</v>
      </c>
      <c r="H1443" s="4"/>
      <c r="I1443" s="4"/>
    </row>
    <row r="1444">
      <c r="A1444" s="4" t="str">
        <f>IFERROR(__xludf.DUMMYFUNCTION("""COMPUTED_VALUE"""),"cas_hmw")</f>
        <v>cas_hmw</v>
      </c>
      <c r="B1444" s="5">
        <f>IFERROR(__xludf.DUMMYFUNCTION("""COMPUTED_VALUE"""),44781.0)</f>
        <v>44781</v>
      </c>
      <c r="C1444" s="6">
        <f>IFERROR(__xludf.DUMMYFUNCTION("""COMPUTED_VALUE"""),0.7285763888903602)</f>
        <v>0.7285763889</v>
      </c>
      <c r="D1444" s="4">
        <f>IFERROR(__xludf.DUMMYFUNCTION("""COMPUTED_VALUE"""),13.006659)</f>
        <v>13.006659</v>
      </c>
      <c r="E1444" s="4">
        <f>IFERROR(__xludf.DUMMYFUNCTION("""COMPUTED_VALUE"""),80.256791)</f>
        <v>80.256791</v>
      </c>
      <c r="F1444" s="4">
        <f>IFERROR(__xludf.DUMMYFUNCTION("""COMPUTED_VALUE"""),805.0)</f>
        <v>805</v>
      </c>
      <c r="G1444" s="4">
        <f>IFERROR(__xludf.DUMMYFUNCTION("""COMPUTED_VALUE"""),0.0)</f>
        <v>0</v>
      </c>
      <c r="H1444" s="4"/>
      <c r="I1444" s="4"/>
    </row>
    <row r="1445">
      <c r="A1445" s="4" t="str">
        <f>IFERROR(__xludf.DUMMYFUNCTION("""COMPUTED_VALUE"""),"cas_hmw")</f>
        <v>cas_hmw</v>
      </c>
      <c r="B1445" s="5">
        <f>IFERROR(__xludf.DUMMYFUNCTION("""COMPUTED_VALUE"""),44781.0)</f>
        <v>44781</v>
      </c>
      <c r="C1445" s="6">
        <f>IFERROR(__xludf.DUMMYFUNCTION("""COMPUTED_VALUE"""),0.7285763888903602)</f>
        <v>0.7285763889</v>
      </c>
      <c r="D1445" s="4">
        <f>IFERROR(__xludf.DUMMYFUNCTION("""COMPUTED_VALUE"""),13.006659)</f>
        <v>13.006659</v>
      </c>
      <c r="E1445" s="4">
        <f>IFERROR(__xludf.DUMMYFUNCTION("""COMPUTED_VALUE"""),80.256791)</f>
        <v>80.256791</v>
      </c>
      <c r="F1445" s="4">
        <f>IFERROR(__xludf.DUMMYFUNCTION("""COMPUTED_VALUE"""),805.0)</f>
        <v>805</v>
      </c>
      <c r="G1445" s="4">
        <f>IFERROR(__xludf.DUMMYFUNCTION("""COMPUTED_VALUE"""),0.0)</f>
        <v>0</v>
      </c>
      <c r="H1445" s="4"/>
      <c r="I1445" s="4"/>
    </row>
    <row r="1446">
      <c r="A1446" s="4" t="str">
        <f>IFERROR(__xludf.DUMMYFUNCTION("""COMPUTED_VALUE"""),"cas_hmw")</f>
        <v>cas_hmw</v>
      </c>
      <c r="B1446" s="5">
        <f>IFERROR(__xludf.DUMMYFUNCTION("""COMPUTED_VALUE"""),44781.0)</f>
        <v>44781</v>
      </c>
      <c r="C1446" s="6">
        <f>IFERROR(__xludf.DUMMYFUNCTION("""COMPUTED_VALUE"""),0.7304166666654055)</f>
        <v>0.7304166667</v>
      </c>
      <c r="D1446" s="4">
        <f>IFERROR(__xludf.DUMMYFUNCTION("""COMPUTED_VALUE"""),13.015972)</f>
        <v>13.015972</v>
      </c>
      <c r="E1446" s="4">
        <f>IFERROR(__xludf.DUMMYFUNCTION("""COMPUTED_VALUE"""),80.259482)</f>
        <v>80.259482</v>
      </c>
      <c r="F1446" s="4">
        <f>IFERROR(__xludf.DUMMYFUNCTION("""COMPUTED_VALUE"""),805.0)</f>
        <v>805</v>
      </c>
      <c r="G1446" s="4">
        <f>IFERROR(__xludf.DUMMYFUNCTION("""COMPUTED_VALUE"""),20.0)</f>
        <v>20</v>
      </c>
      <c r="H1446" s="4"/>
      <c r="I1446" s="4"/>
    </row>
    <row r="1447">
      <c r="A1447" s="4" t="str">
        <f>IFERROR(__xludf.DUMMYFUNCTION("""COMPUTED_VALUE"""),"cas_hmw")</f>
        <v>cas_hmw</v>
      </c>
      <c r="B1447" s="5">
        <f>IFERROR(__xludf.DUMMYFUNCTION("""COMPUTED_VALUE"""),44781.0)</f>
        <v>44781</v>
      </c>
      <c r="C1447" s="6">
        <f>IFERROR(__xludf.DUMMYFUNCTION("""COMPUTED_VALUE"""),0.7319907407400024)</f>
        <v>0.7319907407</v>
      </c>
      <c r="D1447" s="4">
        <f>IFERROR(__xludf.DUMMYFUNCTION("""COMPUTED_VALUE"""),13.021515)</f>
        <v>13.021515</v>
      </c>
      <c r="E1447" s="4">
        <f>IFERROR(__xludf.DUMMYFUNCTION("""COMPUTED_VALUE"""),80.263049)</f>
        <v>80.263049</v>
      </c>
      <c r="F1447" s="4">
        <f>IFERROR(__xludf.DUMMYFUNCTION("""COMPUTED_VALUE"""),805.0)</f>
        <v>805</v>
      </c>
      <c r="G1447" s="4">
        <f>IFERROR(__xludf.DUMMYFUNCTION("""COMPUTED_VALUE"""),19.0)</f>
        <v>19</v>
      </c>
      <c r="H1447" s="4"/>
      <c r="I1447" s="4"/>
    </row>
    <row r="1448">
      <c r="A1448" s="4" t="str">
        <f>IFERROR(__xludf.DUMMYFUNCTION("""COMPUTED_VALUE"""),"cas_hmw")</f>
        <v>cas_hmw</v>
      </c>
      <c r="B1448" s="5">
        <f>IFERROR(__xludf.DUMMYFUNCTION("""COMPUTED_VALUE"""),44781.0)</f>
        <v>44781</v>
      </c>
      <c r="C1448" s="6">
        <f>IFERROR(__xludf.DUMMYFUNCTION("""COMPUTED_VALUE"""),0.7360532407401479)</f>
        <v>0.7360532407</v>
      </c>
      <c r="D1448" s="4">
        <f>IFERROR(__xludf.DUMMYFUNCTION("""COMPUTED_VALUE"""),12.983179)</f>
        <v>12.983179</v>
      </c>
      <c r="E1448" s="4">
        <f>IFERROR(__xludf.DUMMYFUNCTION("""COMPUTED_VALUE"""),80.12767)</f>
        <v>80.12767</v>
      </c>
      <c r="F1448" s="4">
        <f>IFERROR(__xludf.DUMMYFUNCTION("""COMPUTED_VALUE"""),3143.0)</f>
        <v>3143</v>
      </c>
      <c r="G1448" s="4">
        <f>IFERROR(__xludf.DUMMYFUNCTION("""COMPUTED_VALUE"""),19.0)</f>
        <v>19</v>
      </c>
      <c r="H1448" s="4"/>
      <c r="I1448" s="4"/>
    </row>
    <row r="1449">
      <c r="A1449" s="4" t="str">
        <f>IFERROR(__xludf.DUMMYFUNCTION("""COMPUTED_VALUE"""),"cas_hmw")</f>
        <v>cas_hmw</v>
      </c>
      <c r="B1449" s="5">
        <f>IFERROR(__xludf.DUMMYFUNCTION("""COMPUTED_VALUE"""),44781.0)</f>
        <v>44781</v>
      </c>
      <c r="C1449" s="6">
        <f>IFERROR(__xludf.DUMMYFUNCTION("""COMPUTED_VALUE"""),0.7377083333340124)</f>
        <v>0.7377083333</v>
      </c>
      <c r="D1449" s="4">
        <f>IFERROR(__xludf.DUMMYFUNCTION("""COMPUTED_VALUE"""),12.986518)</f>
        <v>12.986518</v>
      </c>
      <c r="E1449" s="4">
        <f>IFERROR(__xludf.DUMMYFUNCTION("""COMPUTED_VALUE"""),80.119218)</f>
        <v>80.119218</v>
      </c>
      <c r="F1449" s="4">
        <f>IFERROR(__xludf.DUMMYFUNCTION("""COMPUTED_VALUE"""),3143.0)</f>
        <v>3143</v>
      </c>
      <c r="G1449" s="4">
        <f>IFERROR(__xludf.DUMMYFUNCTION("""COMPUTED_VALUE"""),10.0)</f>
        <v>10</v>
      </c>
      <c r="H1449" s="4"/>
      <c r="I1449" s="4"/>
    </row>
    <row r="1450">
      <c r="A1450" s="4" t="str">
        <f>IFERROR(__xludf.DUMMYFUNCTION("""COMPUTED_VALUE"""),"cas_hmw")</f>
        <v>cas_hmw</v>
      </c>
      <c r="B1450" s="5">
        <f>IFERROR(__xludf.DUMMYFUNCTION("""COMPUTED_VALUE"""),44781.0)</f>
        <v>44781</v>
      </c>
      <c r="C1450" s="6">
        <f>IFERROR(__xludf.DUMMYFUNCTION("""COMPUTED_VALUE"""),0.7399074074091914)</f>
        <v>0.7399074074</v>
      </c>
      <c r="D1450" s="4">
        <f>IFERROR(__xludf.DUMMYFUNCTION("""COMPUTED_VALUE"""),12.99601)</f>
        <v>12.99601</v>
      </c>
      <c r="E1450" s="4">
        <f>IFERROR(__xludf.DUMMYFUNCTION("""COMPUTED_VALUE"""),80.109558)</f>
        <v>80.109558</v>
      </c>
      <c r="F1450" s="4">
        <f>IFERROR(__xludf.DUMMYFUNCTION("""COMPUTED_VALUE"""),3143.0)</f>
        <v>3143</v>
      </c>
      <c r="G1450" s="4">
        <f>IFERROR(__xludf.DUMMYFUNCTION("""COMPUTED_VALUE"""),20.0)</f>
        <v>20</v>
      </c>
      <c r="H1450" s="4"/>
      <c r="I1450" s="4"/>
    </row>
    <row r="1451">
      <c r="A1451" s="4" t="str">
        <f>IFERROR(__xludf.DUMMYFUNCTION("""COMPUTED_VALUE"""),"cas_hmw")</f>
        <v>cas_hmw</v>
      </c>
      <c r="B1451" s="5">
        <f>IFERROR(__xludf.DUMMYFUNCTION("""COMPUTED_VALUE"""),44781.0)</f>
        <v>44781</v>
      </c>
      <c r="C1451" s="6">
        <f>IFERROR(__xludf.DUMMYFUNCTION("""COMPUTED_VALUE"""),0.7409259259256942)</f>
        <v>0.7409259259</v>
      </c>
      <c r="D1451" s="4">
        <f>IFERROR(__xludf.DUMMYFUNCTION("""COMPUTED_VALUE"""),13.044476)</f>
        <v>13.044476</v>
      </c>
      <c r="E1451" s="4">
        <f>IFERROR(__xludf.DUMMYFUNCTION("""COMPUTED_VALUE"""),80.2668)</f>
        <v>80.2668</v>
      </c>
      <c r="F1451" s="4">
        <f>IFERROR(__xludf.DUMMYFUNCTION("""COMPUTED_VALUE"""),805.0)</f>
        <v>805</v>
      </c>
      <c r="G1451" s="4">
        <f>IFERROR(__xludf.DUMMYFUNCTION("""COMPUTED_VALUE"""),20.0)</f>
        <v>20</v>
      </c>
      <c r="H1451" s="4"/>
      <c r="I1451" s="4"/>
    </row>
    <row r="1452">
      <c r="A1452" s="4" t="str">
        <f>IFERROR(__xludf.DUMMYFUNCTION("""COMPUTED_VALUE"""),"cas_hmw")</f>
        <v>cas_hmw</v>
      </c>
      <c r="B1452" s="5">
        <f>IFERROR(__xludf.DUMMYFUNCTION("""COMPUTED_VALUE"""),44781.0)</f>
        <v>44781</v>
      </c>
      <c r="C1452" s="6">
        <f>IFERROR(__xludf.DUMMYFUNCTION("""COMPUTED_VALUE"""),0.7409259259256942)</f>
        <v>0.7409259259</v>
      </c>
      <c r="D1452" s="4">
        <f>IFERROR(__xludf.DUMMYFUNCTION("""COMPUTED_VALUE"""),13.044476)</f>
        <v>13.044476</v>
      </c>
      <c r="E1452" s="4">
        <f>IFERROR(__xludf.DUMMYFUNCTION("""COMPUTED_VALUE"""),80.2668)</f>
        <v>80.2668</v>
      </c>
      <c r="F1452" s="4">
        <f>IFERROR(__xludf.DUMMYFUNCTION("""COMPUTED_VALUE"""),805.0)</f>
        <v>805</v>
      </c>
      <c r="G1452" s="4">
        <f>IFERROR(__xludf.DUMMYFUNCTION("""COMPUTED_VALUE"""),20.0)</f>
        <v>20</v>
      </c>
      <c r="H1452" s="4"/>
      <c r="I1452" s="4"/>
    </row>
    <row r="1453">
      <c r="A1453" s="4" t="str">
        <f>IFERROR(__xludf.DUMMYFUNCTION("""COMPUTED_VALUE"""),"cas_hmw")</f>
        <v>cas_hmw</v>
      </c>
      <c r="B1453" s="5">
        <f>IFERROR(__xludf.DUMMYFUNCTION("""COMPUTED_VALUE"""),44781.0)</f>
        <v>44781</v>
      </c>
      <c r="C1453" s="6">
        <f>IFERROR(__xludf.DUMMYFUNCTION("""COMPUTED_VALUE"""),0.7409490740756155)</f>
        <v>0.7409490741</v>
      </c>
      <c r="D1453" s="4">
        <f>IFERROR(__xludf.DUMMYFUNCTION("""COMPUTED_VALUE"""),13.044476)</f>
        <v>13.044476</v>
      </c>
      <c r="E1453" s="4">
        <f>IFERROR(__xludf.DUMMYFUNCTION("""COMPUTED_VALUE"""),80.2668)</f>
        <v>80.2668</v>
      </c>
      <c r="F1453" s="4">
        <f>IFERROR(__xludf.DUMMYFUNCTION("""COMPUTED_VALUE"""),805.0)</f>
        <v>805</v>
      </c>
      <c r="G1453" s="4">
        <f>IFERROR(__xludf.DUMMYFUNCTION("""COMPUTED_VALUE"""),20.0)</f>
        <v>20</v>
      </c>
      <c r="H1453" s="4"/>
      <c r="I1453" s="4"/>
    </row>
    <row r="1454">
      <c r="A1454" s="4" t="str">
        <f>IFERROR(__xludf.DUMMYFUNCTION("""COMPUTED_VALUE"""),"cas_hmw")</f>
        <v>cas_hmw</v>
      </c>
      <c r="B1454" s="5">
        <f>IFERROR(__xludf.DUMMYFUNCTION("""COMPUTED_VALUE"""),44781.0)</f>
        <v>44781</v>
      </c>
      <c r="C1454" s="6">
        <f>IFERROR(__xludf.DUMMYFUNCTION("""COMPUTED_VALUE"""),0.7409837962950405)</f>
        <v>0.7409837963</v>
      </c>
      <c r="D1454" s="4">
        <f>IFERROR(__xludf.DUMMYFUNCTION("""COMPUTED_VALUE"""),13.044476)</f>
        <v>13.044476</v>
      </c>
      <c r="E1454" s="4">
        <f>IFERROR(__xludf.DUMMYFUNCTION("""COMPUTED_VALUE"""),80.2668)</f>
        <v>80.2668</v>
      </c>
      <c r="F1454" s="4">
        <f>IFERROR(__xludf.DUMMYFUNCTION("""COMPUTED_VALUE"""),805.0)</f>
        <v>805</v>
      </c>
      <c r="G1454" s="4">
        <f>IFERROR(__xludf.DUMMYFUNCTION("""COMPUTED_VALUE"""),20.0)</f>
        <v>20</v>
      </c>
      <c r="H1454" s="4"/>
      <c r="I1454" s="4"/>
    </row>
    <row r="1455">
      <c r="A1455" s="4" t="str">
        <f>IFERROR(__xludf.DUMMYFUNCTION("""COMPUTED_VALUE"""),"cas_hmw")</f>
        <v>cas_hmw</v>
      </c>
      <c r="B1455" s="5">
        <f>IFERROR(__xludf.DUMMYFUNCTION("""COMPUTED_VALUE"""),44781.0)</f>
        <v>44781</v>
      </c>
      <c r="C1455" s="6">
        <f>IFERROR(__xludf.DUMMYFUNCTION("""COMPUTED_VALUE"""),0.7409837962950405)</f>
        <v>0.7409837963</v>
      </c>
      <c r="D1455" s="4">
        <f>IFERROR(__xludf.DUMMYFUNCTION("""COMPUTED_VALUE"""),13.044476)</f>
        <v>13.044476</v>
      </c>
      <c r="E1455" s="4">
        <f>IFERROR(__xludf.DUMMYFUNCTION("""COMPUTED_VALUE"""),80.2668)</f>
        <v>80.2668</v>
      </c>
      <c r="F1455" s="4">
        <f>IFERROR(__xludf.DUMMYFUNCTION("""COMPUTED_VALUE"""),805.0)</f>
        <v>805</v>
      </c>
      <c r="G1455" s="4">
        <f>IFERROR(__xludf.DUMMYFUNCTION("""COMPUTED_VALUE"""),20.0)</f>
        <v>20</v>
      </c>
      <c r="H1455" s="4"/>
      <c r="I1455" s="4"/>
    </row>
    <row r="1456">
      <c r="A1456" s="4" t="str">
        <f>IFERROR(__xludf.DUMMYFUNCTION("""COMPUTED_VALUE"""),"cas_hmw")</f>
        <v>cas_hmw</v>
      </c>
      <c r="B1456" s="5">
        <f>IFERROR(__xludf.DUMMYFUNCTION("""COMPUTED_VALUE"""),44781.0)</f>
        <v>44781</v>
      </c>
      <c r="C1456" s="6">
        <f>IFERROR(__xludf.DUMMYFUNCTION("""COMPUTED_VALUE"""),0.7409953703718202)</f>
        <v>0.7409953704</v>
      </c>
      <c r="D1456" s="4">
        <f>IFERROR(__xludf.DUMMYFUNCTION("""COMPUTED_VALUE"""),13.044476)</f>
        <v>13.044476</v>
      </c>
      <c r="E1456" s="4">
        <f>IFERROR(__xludf.DUMMYFUNCTION("""COMPUTED_VALUE"""),80.2668)</f>
        <v>80.2668</v>
      </c>
      <c r="F1456" s="4">
        <f>IFERROR(__xludf.DUMMYFUNCTION("""COMPUTED_VALUE"""),805.0)</f>
        <v>805</v>
      </c>
      <c r="G1456" s="4">
        <f>IFERROR(__xludf.DUMMYFUNCTION("""COMPUTED_VALUE"""),20.0)</f>
        <v>20</v>
      </c>
      <c r="H1456" s="4"/>
      <c r="I1456" s="4"/>
    </row>
    <row r="1457">
      <c r="A1457" s="4" t="str">
        <f>IFERROR(__xludf.DUMMYFUNCTION("""COMPUTED_VALUE"""),"cas_hmw")</f>
        <v>cas_hmw</v>
      </c>
      <c r="B1457" s="5">
        <f>IFERROR(__xludf.DUMMYFUNCTION("""COMPUTED_VALUE"""),44781.0)</f>
        <v>44781</v>
      </c>
      <c r="C1457" s="6">
        <f>IFERROR(__xludf.DUMMYFUNCTION("""COMPUTED_VALUE"""),0.7509259259277314)</f>
        <v>0.7509259259</v>
      </c>
      <c r="D1457" s="4">
        <f>IFERROR(__xludf.DUMMYFUNCTION("""COMPUTED_VALUE"""),13.038316)</f>
        <v>13.038316</v>
      </c>
      <c r="E1457" s="4">
        <f>IFERROR(__xludf.DUMMYFUNCTION("""COMPUTED_VALUE"""),80.11316)</f>
        <v>80.11316</v>
      </c>
      <c r="F1457" s="4">
        <f>IFERROR(__xludf.DUMMYFUNCTION("""COMPUTED_VALUE"""),3143.0)</f>
        <v>3143</v>
      </c>
      <c r="G1457" s="4">
        <f>IFERROR(__xludf.DUMMYFUNCTION("""COMPUTED_VALUE"""),0.0)</f>
        <v>0</v>
      </c>
      <c r="H1457" s="4"/>
      <c r="I1457" s="4"/>
    </row>
    <row r="1458">
      <c r="A1458" s="4" t="str">
        <f>IFERROR(__xludf.DUMMYFUNCTION("""COMPUTED_VALUE"""),"cas_hmw")</f>
        <v>cas_hmw</v>
      </c>
      <c r="B1458" s="5">
        <f>IFERROR(__xludf.DUMMYFUNCTION("""COMPUTED_VALUE"""),44781.0)</f>
        <v>44781</v>
      </c>
      <c r="C1458" s="6">
        <f>IFERROR(__xludf.DUMMYFUNCTION("""COMPUTED_VALUE"""),0.7537152777767915)</f>
        <v>0.7537152778</v>
      </c>
      <c r="D1458" s="4">
        <f>IFERROR(__xludf.DUMMYFUNCTION("""COMPUTED_VALUE"""),13.045107)</f>
        <v>13.045107</v>
      </c>
      <c r="E1458" s="4">
        <f>IFERROR(__xludf.DUMMYFUNCTION("""COMPUTED_VALUE"""),80.116434)</f>
        <v>80.116434</v>
      </c>
      <c r="F1458" s="4">
        <f>IFERROR(__xludf.DUMMYFUNCTION("""COMPUTED_VALUE"""),3143.0)</f>
        <v>3143</v>
      </c>
      <c r="G1458" s="4">
        <f>IFERROR(__xludf.DUMMYFUNCTION("""COMPUTED_VALUE"""),19.0)</f>
        <v>19</v>
      </c>
      <c r="H1458" s="4"/>
      <c r="I1458" s="4"/>
    </row>
    <row r="1459">
      <c r="A1459" s="4" t="str">
        <f>IFERROR(__xludf.DUMMYFUNCTION("""COMPUTED_VALUE"""),"cas_hmw")</f>
        <v>cas_hmw</v>
      </c>
      <c r="B1459" s="5">
        <f>IFERROR(__xludf.DUMMYFUNCTION("""COMPUTED_VALUE"""),44781.0)</f>
        <v>44781</v>
      </c>
      <c r="C1459" s="6">
        <f>IFERROR(__xludf.DUMMYFUNCTION("""COMPUTED_VALUE"""),0.7544444444429246)</f>
        <v>0.7544444444</v>
      </c>
      <c r="D1459" s="4">
        <f>IFERROR(__xludf.DUMMYFUNCTION("""COMPUTED_VALUE"""),13.047978)</f>
        <v>13.047978</v>
      </c>
      <c r="E1459" s="4">
        <f>IFERROR(__xludf.DUMMYFUNCTION("""COMPUTED_VALUE"""),80.120264)</f>
        <v>80.120264</v>
      </c>
      <c r="F1459" s="4">
        <f>IFERROR(__xludf.DUMMYFUNCTION("""COMPUTED_VALUE"""),3143.0)</f>
        <v>3143</v>
      </c>
      <c r="G1459" s="4">
        <f>IFERROR(__xludf.DUMMYFUNCTION("""COMPUTED_VALUE"""),0.0)</f>
        <v>0</v>
      </c>
      <c r="H1459" s="4"/>
      <c r="I1459" s="4"/>
    </row>
    <row r="1460">
      <c r="A1460" s="4" t="str">
        <f>IFERROR(__xludf.DUMMYFUNCTION("""COMPUTED_VALUE"""),"cas_hmw")</f>
        <v>cas_hmw</v>
      </c>
      <c r="B1460" s="5">
        <f>IFERROR(__xludf.DUMMYFUNCTION("""COMPUTED_VALUE"""),44781.0)</f>
        <v>44781</v>
      </c>
      <c r="C1460" s="6">
        <f>IFERROR(__xludf.DUMMYFUNCTION("""COMPUTED_VALUE"""),0.7624074074083182)</f>
        <v>0.7624074074</v>
      </c>
      <c r="D1460" s="4">
        <f>IFERROR(__xludf.DUMMYFUNCTION("""COMPUTED_VALUE"""),13.041761)</f>
        <v>13.041761</v>
      </c>
      <c r="E1460" s="4">
        <f>IFERROR(__xludf.DUMMYFUNCTION("""COMPUTED_VALUE"""),80.086513)</f>
        <v>80.086513</v>
      </c>
      <c r="F1460" s="4">
        <f>IFERROR(__xludf.DUMMYFUNCTION("""COMPUTED_VALUE"""),3143.0)</f>
        <v>3143</v>
      </c>
      <c r="G1460" s="4">
        <f>IFERROR(__xludf.DUMMYFUNCTION("""COMPUTED_VALUE"""),13.0)</f>
        <v>13</v>
      </c>
      <c r="H1460" s="4"/>
      <c r="I1460" s="4"/>
    </row>
    <row r="1461">
      <c r="A1461" s="4" t="str">
        <f>IFERROR(__xludf.DUMMYFUNCTION("""COMPUTED_VALUE"""),"cas_hmw")</f>
        <v>cas_hmw</v>
      </c>
      <c r="B1461" s="5">
        <f>IFERROR(__xludf.DUMMYFUNCTION("""COMPUTED_VALUE"""),44781.0)</f>
        <v>44781</v>
      </c>
      <c r="C1461" s="6">
        <f>IFERROR(__xludf.DUMMYFUNCTION("""COMPUTED_VALUE"""),0.7626851851855463)</f>
        <v>0.7626851852</v>
      </c>
      <c r="D1461" s="4">
        <f>IFERROR(__xludf.DUMMYFUNCTION("""COMPUTED_VALUE"""),13.041292)</f>
        <v>13.041292</v>
      </c>
      <c r="E1461" s="4">
        <f>IFERROR(__xludf.DUMMYFUNCTION("""COMPUTED_VALUE"""),80.086623)</f>
        <v>80.086623</v>
      </c>
      <c r="F1461" s="4">
        <f>IFERROR(__xludf.DUMMYFUNCTION("""COMPUTED_VALUE"""),3143.0)</f>
        <v>3143</v>
      </c>
      <c r="G1461" s="4">
        <f>IFERROR(__xludf.DUMMYFUNCTION("""COMPUTED_VALUE"""),15.0)</f>
        <v>15</v>
      </c>
      <c r="H1461" s="4"/>
      <c r="I1461" s="4"/>
    </row>
    <row r="1462">
      <c r="A1462" s="4" t="str">
        <f>IFERROR(__xludf.DUMMYFUNCTION("""COMPUTED_VALUE"""),"cas_hmw")</f>
        <v>cas_hmw</v>
      </c>
      <c r="B1462" s="5">
        <f>IFERROR(__xludf.DUMMYFUNCTION("""COMPUTED_VALUE"""),44781.0)</f>
        <v>44781</v>
      </c>
      <c r="C1462" s="6">
        <f>IFERROR(__xludf.DUMMYFUNCTION("""COMPUTED_VALUE"""),0.7650810185186856)</f>
        <v>0.7650810185</v>
      </c>
      <c r="D1462" s="4">
        <f>IFERROR(__xludf.DUMMYFUNCTION("""COMPUTED_VALUE"""),13.026005)</f>
        <v>13.026005</v>
      </c>
      <c r="E1462" s="4">
        <f>IFERROR(__xludf.DUMMYFUNCTION("""COMPUTED_VALUE"""),80.092007)</f>
        <v>80.092007</v>
      </c>
      <c r="F1462" s="4">
        <f>IFERROR(__xludf.DUMMYFUNCTION("""COMPUTED_VALUE"""),3143.0)</f>
        <v>3143</v>
      </c>
      <c r="G1462" s="4">
        <f>IFERROR(__xludf.DUMMYFUNCTION("""COMPUTED_VALUE"""),18.0)</f>
        <v>18</v>
      </c>
      <c r="H1462" s="4"/>
      <c r="I1462" s="4"/>
    </row>
    <row r="1463">
      <c r="A1463" s="4" t="str">
        <f>IFERROR(__xludf.DUMMYFUNCTION("""COMPUTED_VALUE"""),"cas_hmw")</f>
        <v>cas_hmw</v>
      </c>
      <c r="B1463" s="5">
        <f>IFERROR(__xludf.DUMMYFUNCTION("""COMPUTED_VALUE"""),44781.0)</f>
        <v>44781</v>
      </c>
      <c r="C1463" s="6">
        <f>IFERROR(__xludf.DUMMYFUNCTION("""COMPUTED_VALUE"""),0.7800694444449618)</f>
        <v>0.7800694444</v>
      </c>
      <c r="D1463" s="4">
        <f>IFERROR(__xludf.DUMMYFUNCTION("""COMPUTED_VALUE"""),12.87947)</f>
        <v>12.87947</v>
      </c>
      <c r="E1463" s="4">
        <f>IFERROR(__xludf.DUMMYFUNCTION("""COMPUTED_VALUE"""),80.08043)</f>
        <v>80.08043</v>
      </c>
      <c r="F1463" s="4">
        <f>IFERROR(__xludf.DUMMYFUNCTION("""COMPUTED_VALUE"""),3143.0)</f>
        <v>3143</v>
      </c>
      <c r="G1463" s="4">
        <f>IFERROR(__xludf.DUMMYFUNCTION("""COMPUTED_VALUE"""),12.0)</f>
        <v>12</v>
      </c>
      <c r="H1463" s="4"/>
      <c r="I1463" s="4"/>
    </row>
    <row r="1464">
      <c r="A1464" s="4" t="str">
        <f>IFERROR(__xludf.DUMMYFUNCTION("""COMPUTED_VALUE"""),"cas_hmw")</f>
        <v>cas_hmw</v>
      </c>
      <c r="B1464" s="5">
        <f>IFERROR(__xludf.DUMMYFUNCTION("""COMPUTED_VALUE"""),44782.0)</f>
        <v>44782</v>
      </c>
      <c r="C1464" s="6">
        <f>IFERROR(__xludf.DUMMYFUNCTION("""COMPUTED_VALUE"""),0.2968287037037953)</f>
        <v>0.2968287037</v>
      </c>
      <c r="D1464" s="4">
        <f>IFERROR(__xludf.DUMMYFUNCTION("""COMPUTED_VALUE"""),13.063682)</f>
        <v>13.063682</v>
      </c>
      <c r="E1464" s="4">
        <f>IFERROR(__xludf.DUMMYFUNCTION("""COMPUTED_VALUE"""),80.250968)</f>
        <v>80.250968</v>
      </c>
      <c r="F1464" s="4">
        <f>IFERROR(__xludf.DUMMYFUNCTION("""COMPUTED_VALUE"""),805.0)</f>
        <v>805</v>
      </c>
      <c r="G1464" s="4">
        <f>IFERROR(__xludf.DUMMYFUNCTION("""COMPUTED_VALUE"""),0.0)</f>
        <v>0</v>
      </c>
      <c r="H1464" s="4"/>
      <c r="I1464" s="4"/>
    </row>
    <row r="1465">
      <c r="A1465" s="4" t="str">
        <f>IFERROR(__xludf.DUMMYFUNCTION("""COMPUTED_VALUE"""),"cas_hmw")</f>
        <v>cas_hmw</v>
      </c>
      <c r="B1465" s="5">
        <f>IFERROR(__xludf.DUMMYFUNCTION("""COMPUTED_VALUE"""),44782.0)</f>
        <v>44782</v>
      </c>
      <c r="C1465" s="6">
        <f>IFERROR(__xludf.DUMMYFUNCTION("""COMPUTED_VALUE"""),0.29848379629765986)</f>
        <v>0.2984837963</v>
      </c>
      <c r="D1465" s="4">
        <f>IFERROR(__xludf.DUMMYFUNCTION("""COMPUTED_VALUE"""),13.063682)</f>
        <v>13.063682</v>
      </c>
      <c r="E1465" s="4">
        <f>IFERROR(__xludf.DUMMYFUNCTION("""COMPUTED_VALUE"""),80.250968)</f>
        <v>80.250968</v>
      </c>
      <c r="F1465" s="4">
        <f>IFERROR(__xludf.DUMMYFUNCTION("""COMPUTED_VALUE"""),805.0)</f>
        <v>805</v>
      </c>
      <c r="G1465" s="4">
        <f>IFERROR(__xludf.DUMMYFUNCTION("""COMPUTED_VALUE"""),0.0)</f>
        <v>0</v>
      </c>
      <c r="H1465" s="4"/>
      <c r="I1465" s="4"/>
    </row>
    <row r="1466">
      <c r="A1466" s="4" t="str">
        <f>IFERROR(__xludf.DUMMYFUNCTION("""COMPUTED_VALUE"""),"cas_hmw")</f>
        <v>cas_hmw</v>
      </c>
      <c r="B1466" s="5">
        <f>IFERROR(__xludf.DUMMYFUNCTION("""COMPUTED_VALUE"""),44782.0)</f>
        <v>44782</v>
      </c>
      <c r="C1466" s="6">
        <f>IFERROR(__xludf.DUMMYFUNCTION("""COMPUTED_VALUE"""),0.33337962962832535)</f>
        <v>0.3333796296</v>
      </c>
      <c r="D1466" s="4">
        <f>IFERROR(__xludf.DUMMYFUNCTION("""COMPUTED_VALUE"""),12.967775)</f>
        <v>12.967775</v>
      </c>
      <c r="E1466" s="4">
        <f>IFERROR(__xludf.DUMMYFUNCTION("""COMPUTED_VALUE"""),80.149378)</f>
        <v>80.149378</v>
      </c>
      <c r="F1466" s="4">
        <f>IFERROR(__xludf.DUMMYFUNCTION("""COMPUTED_VALUE"""),3143.0)</f>
        <v>3143</v>
      </c>
      <c r="G1466" s="4">
        <f>IFERROR(__xludf.DUMMYFUNCTION("""COMPUTED_VALUE"""),0.0)</f>
        <v>0</v>
      </c>
      <c r="H1466" s="4"/>
      <c r="I1466" s="4"/>
    </row>
    <row r="1467">
      <c r="A1467" s="4" t="str">
        <f>IFERROR(__xludf.DUMMYFUNCTION("""COMPUTED_VALUE"""),"cas_hmw")</f>
        <v>cas_hmw</v>
      </c>
      <c r="B1467" s="5">
        <f>IFERROR(__xludf.DUMMYFUNCTION("""COMPUTED_VALUE"""),44782.0)</f>
        <v>44782</v>
      </c>
      <c r="C1467" s="6">
        <f>IFERROR(__xludf.DUMMYFUNCTION("""COMPUTED_VALUE"""),0.33344907407445135)</f>
        <v>0.3334490741</v>
      </c>
      <c r="D1467" s="4">
        <f>IFERROR(__xludf.DUMMYFUNCTION("""COMPUTED_VALUE"""),12.967775)</f>
        <v>12.967775</v>
      </c>
      <c r="E1467" s="4">
        <f>IFERROR(__xludf.DUMMYFUNCTION("""COMPUTED_VALUE"""),80.149378)</f>
        <v>80.149378</v>
      </c>
      <c r="F1467" s="4">
        <f>IFERROR(__xludf.DUMMYFUNCTION("""COMPUTED_VALUE"""),3143.0)</f>
        <v>3143</v>
      </c>
      <c r="G1467" s="4">
        <f>IFERROR(__xludf.DUMMYFUNCTION("""COMPUTED_VALUE"""),0.0)</f>
        <v>0</v>
      </c>
      <c r="H1467" s="4"/>
      <c r="I1467" s="4"/>
    </row>
    <row r="1468">
      <c r="A1468" s="4" t="str">
        <f>IFERROR(__xludf.DUMMYFUNCTION("""COMPUTED_VALUE"""),"cas_hmw")</f>
        <v>cas_hmw</v>
      </c>
      <c r="B1468" s="5">
        <f>IFERROR(__xludf.DUMMYFUNCTION("""COMPUTED_VALUE"""),44782.0)</f>
        <v>44782</v>
      </c>
      <c r="C1468" s="6">
        <f>IFERROR(__xludf.DUMMYFUNCTION("""COMPUTED_VALUE"""),0.333460648147593)</f>
        <v>0.3334606481</v>
      </c>
      <c r="D1468" s="4">
        <f>IFERROR(__xludf.DUMMYFUNCTION("""COMPUTED_VALUE"""),12.967775)</f>
        <v>12.967775</v>
      </c>
      <c r="E1468" s="4">
        <f>IFERROR(__xludf.DUMMYFUNCTION("""COMPUTED_VALUE"""),80.149378)</f>
        <v>80.149378</v>
      </c>
      <c r="F1468" s="4">
        <f>IFERROR(__xludf.DUMMYFUNCTION("""COMPUTED_VALUE"""),3143.0)</f>
        <v>3143</v>
      </c>
      <c r="G1468" s="4">
        <f>IFERROR(__xludf.DUMMYFUNCTION("""COMPUTED_VALUE"""),0.0)</f>
        <v>0</v>
      </c>
      <c r="H1468" s="4"/>
      <c r="I1468" s="4"/>
    </row>
    <row r="1469">
      <c r="A1469" s="4" t="str">
        <f>IFERROR(__xludf.DUMMYFUNCTION("""COMPUTED_VALUE"""),"cas_hmw")</f>
        <v>cas_hmw</v>
      </c>
      <c r="B1469" s="5">
        <f>IFERROR(__xludf.DUMMYFUNCTION("""COMPUTED_VALUE"""),44782.0)</f>
        <v>44782</v>
      </c>
      <c r="C1469" s="6">
        <f>IFERROR(__xludf.DUMMYFUNCTION("""COMPUTED_VALUE"""),0.333460648147593)</f>
        <v>0.3334606481</v>
      </c>
      <c r="D1469" s="4">
        <f>IFERROR(__xludf.DUMMYFUNCTION("""COMPUTED_VALUE"""),12.967775)</f>
        <v>12.967775</v>
      </c>
      <c r="E1469" s="4">
        <f>IFERROR(__xludf.DUMMYFUNCTION("""COMPUTED_VALUE"""),80.149378)</f>
        <v>80.149378</v>
      </c>
      <c r="F1469" s="4">
        <f>IFERROR(__xludf.DUMMYFUNCTION("""COMPUTED_VALUE"""),3143.0)</f>
        <v>3143</v>
      </c>
      <c r="G1469" s="4">
        <f>IFERROR(__xludf.DUMMYFUNCTION("""COMPUTED_VALUE"""),0.0)</f>
        <v>0</v>
      </c>
      <c r="H1469" s="4"/>
      <c r="I1469" s="4"/>
    </row>
    <row r="1470">
      <c r="A1470" s="4" t="str">
        <f>IFERROR(__xludf.DUMMYFUNCTION("""COMPUTED_VALUE"""),"cas_hmw")</f>
        <v>cas_hmw</v>
      </c>
      <c r="B1470" s="5">
        <f>IFERROR(__xludf.DUMMYFUNCTION("""COMPUTED_VALUE"""),44782.0)</f>
        <v>44782</v>
      </c>
      <c r="C1470" s="6">
        <f>IFERROR(__xludf.DUMMYFUNCTION("""COMPUTED_VALUE"""),0.3348495370373712)</f>
        <v>0.334849537</v>
      </c>
      <c r="D1470" s="4">
        <f>IFERROR(__xludf.DUMMYFUNCTION("""COMPUTED_VALUE"""),12.994402)</f>
        <v>12.994402</v>
      </c>
      <c r="E1470" s="4">
        <f>IFERROR(__xludf.DUMMYFUNCTION("""COMPUTED_VALUE"""),80.186406)</f>
        <v>80.186406</v>
      </c>
      <c r="F1470" s="4">
        <f>IFERROR(__xludf.DUMMYFUNCTION("""COMPUTED_VALUE"""),805.0)</f>
        <v>805</v>
      </c>
      <c r="G1470" s="4">
        <f>IFERROR(__xludf.DUMMYFUNCTION("""COMPUTED_VALUE"""),20.0)</f>
        <v>20</v>
      </c>
      <c r="H1470" s="4"/>
      <c r="I1470" s="4"/>
    </row>
    <row r="1471">
      <c r="A1471" s="4" t="str">
        <f>IFERROR(__xludf.DUMMYFUNCTION("""COMPUTED_VALUE"""),"cas_hmw")</f>
        <v>cas_hmw</v>
      </c>
      <c r="B1471" s="5">
        <f>IFERROR(__xludf.DUMMYFUNCTION("""COMPUTED_VALUE"""),44782.0)</f>
        <v>44782</v>
      </c>
      <c r="C1471" s="6">
        <f>IFERROR(__xludf.DUMMYFUNCTION("""COMPUTED_VALUE"""),0.3357175925921183)</f>
        <v>0.3357175926</v>
      </c>
      <c r="D1471" s="4">
        <f>IFERROR(__xludf.DUMMYFUNCTION("""COMPUTED_VALUE"""),12.955333)</f>
        <v>12.955333</v>
      </c>
      <c r="E1471" s="4">
        <f>IFERROR(__xludf.DUMMYFUNCTION("""COMPUTED_VALUE"""),80.142763)</f>
        <v>80.142763</v>
      </c>
      <c r="F1471" s="4">
        <f>IFERROR(__xludf.DUMMYFUNCTION("""COMPUTED_VALUE"""),3143.0)</f>
        <v>3143</v>
      </c>
      <c r="G1471" s="4">
        <f>IFERROR(__xludf.DUMMYFUNCTION("""COMPUTED_VALUE"""),0.0)</f>
        <v>0</v>
      </c>
      <c r="H1471" s="4"/>
      <c r="I1471" s="4"/>
    </row>
    <row r="1472">
      <c r="A1472" s="4" t="str">
        <f>IFERROR(__xludf.DUMMYFUNCTION("""COMPUTED_VALUE"""),"cas_hmw")</f>
        <v>cas_hmw</v>
      </c>
      <c r="B1472" s="5">
        <f>IFERROR(__xludf.DUMMYFUNCTION("""COMPUTED_VALUE"""),44782.0)</f>
        <v>44782</v>
      </c>
      <c r="C1472" s="6">
        <f>IFERROR(__xludf.DUMMYFUNCTION("""COMPUTED_VALUE"""),0.33646990740817273)</f>
        <v>0.3364699074</v>
      </c>
      <c r="D1472" s="4">
        <f>IFERROR(__xludf.DUMMYFUNCTION("""COMPUTED_VALUE"""),12.989565)</f>
        <v>12.989565</v>
      </c>
      <c r="E1472" s="4">
        <f>IFERROR(__xludf.DUMMYFUNCTION("""COMPUTED_VALUE"""),80.179136)</f>
        <v>80.179136</v>
      </c>
      <c r="F1472" s="4">
        <f>IFERROR(__xludf.DUMMYFUNCTION("""COMPUTED_VALUE"""),805.0)</f>
        <v>805</v>
      </c>
      <c r="G1472" s="4">
        <f>IFERROR(__xludf.DUMMYFUNCTION("""COMPUTED_VALUE"""),16.0)</f>
        <v>16</v>
      </c>
      <c r="H1472" s="4"/>
      <c r="I1472" s="4"/>
    </row>
    <row r="1473">
      <c r="A1473" s="4" t="str">
        <f>IFERROR(__xludf.DUMMYFUNCTION("""COMPUTED_VALUE"""),"cas_hmw")</f>
        <v>cas_hmw</v>
      </c>
      <c r="B1473" s="5">
        <f>IFERROR(__xludf.DUMMYFUNCTION("""COMPUTED_VALUE"""),44782.0)</f>
        <v>44782</v>
      </c>
      <c r="C1473" s="6">
        <f>IFERROR(__xludf.DUMMYFUNCTION("""COMPUTED_VALUE"""),0.3420023148137261)</f>
        <v>0.3420023148</v>
      </c>
      <c r="D1473" s="4">
        <f>IFERROR(__xludf.DUMMYFUNCTION("""COMPUTED_VALUE"""),12.844048)</f>
        <v>12.844048</v>
      </c>
      <c r="E1473" s="4">
        <f>IFERROR(__xludf.DUMMYFUNCTION("""COMPUTED_VALUE"""),80.059645)</f>
        <v>80.059645</v>
      </c>
      <c r="F1473" s="4">
        <f>IFERROR(__xludf.DUMMYFUNCTION("""COMPUTED_VALUE"""),2846.0)</f>
        <v>2846</v>
      </c>
      <c r="G1473" s="4">
        <f>IFERROR(__xludf.DUMMYFUNCTION("""COMPUTED_VALUE"""),11.0)</f>
        <v>11</v>
      </c>
      <c r="H1473" s="4"/>
      <c r="I1473" s="4"/>
    </row>
    <row r="1474">
      <c r="A1474" s="4" t="str">
        <f>IFERROR(__xludf.DUMMYFUNCTION("""COMPUTED_VALUE"""),"cas_hmw")</f>
        <v>cas_hmw</v>
      </c>
      <c r="B1474" s="5">
        <f>IFERROR(__xludf.DUMMYFUNCTION("""COMPUTED_VALUE"""),44782.0)</f>
        <v>44782</v>
      </c>
      <c r="C1474" s="6">
        <f>IFERROR(__xludf.DUMMYFUNCTION("""COMPUTED_VALUE"""),0.34217592592540313)</f>
        <v>0.3421759259</v>
      </c>
      <c r="D1474" s="4">
        <f>IFERROR(__xludf.DUMMYFUNCTION("""COMPUTED_VALUE"""),12.844048)</f>
        <v>12.844048</v>
      </c>
      <c r="E1474" s="4">
        <f>IFERROR(__xludf.DUMMYFUNCTION("""COMPUTED_VALUE"""),80.059645)</f>
        <v>80.059645</v>
      </c>
      <c r="F1474" s="4">
        <f>IFERROR(__xludf.DUMMYFUNCTION("""COMPUTED_VALUE"""),2846.0)</f>
        <v>2846</v>
      </c>
      <c r="G1474" s="4">
        <f>IFERROR(__xludf.DUMMYFUNCTION("""COMPUTED_VALUE"""),11.0)</f>
        <v>11</v>
      </c>
      <c r="H1474" s="4"/>
      <c r="I1474" s="4"/>
    </row>
    <row r="1475">
      <c r="A1475" s="4" t="str">
        <f>IFERROR(__xludf.DUMMYFUNCTION("""COMPUTED_VALUE"""),"cas_hmw")</f>
        <v>cas_hmw</v>
      </c>
      <c r="B1475" s="5">
        <f>IFERROR(__xludf.DUMMYFUNCTION("""COMPUTED_VALUE"""),44782.0)</f>
        <v>44782</v>
      </c>
      <c r="C1475" s="6">
        <f>IFERROR(__xludf.DUMMYFUNCTION("""COMPUTED_VALUE"""),0.3477777777770825)</f>
        <v>0.3477777778</v>
      </c>
      <c r="D1475" s="4">
        <f>IFERROR(__xludf.DUMMYFUNCTION("""COMPUTED_VALUE"""),12.923098)</f>
        <v>12.923098</v>
      </c>
      <c r="E1475" s="4">
        <f>IFERROR(__xludf.DUMMYFUNCTION("""COMPUTED_VALUE"""),80.114291)</f>
        <v>80.114291</v>
      </c>
      <c r="F1475" s="4">
        <f>IFERROR(__xludf.DUMMYFUNCTION("""COMPUTED_VALUE"""),805.0)</f>
        <v>805</v>
      </c>
      <c r="G1475" s="4">
        <f>IFERROR(__xludf.DUMMYFUNCTION("""COMPUTED_VALUE"""),15.0)</f>
        <v>15</v>
      </c>
      <c r="H1475" s="4"/>
      <c r="I1475" s="4"/>
    </row>
    <row r="1476">
      <c r="A1476" s="4" t="str">
        <f>IFERROR(__xludf.DUMMYFUNCTION("""COMPUTED_VALUE"""),"cas_hmw")</f>
        <v>cas_hmw</v>
      </c>
      <c r="B1476" s="5">
        <f>IFERROR(__xludf.DUMMYFUNCTION("""COMPUTED_VALUE"""),44782.0)</f>
        <v>44782</v>
      </c>
      <c r="C1476" s="6">
        <f>IFERROR(__xludf.DUMMYFUNCTION("""COMPUTED_VALUE"""),0.3477893518502242)</f>
        <v>0.3477893519</v>
      </c>
      <c r="D1476" s="4">
        <f>IFERROR(__xludf.DUMMYFUNCTION("""COMPUTED_VALUE"""),12.923098)</f>
        <v>12.923098</v>
      </c>
      <c r="E1476" s="4">
        <f>IFERROR(__xludf.DUMMYFUNCTION("""COMPUTED_VALUE"""),80.114291)</f>
        <v>80.114291</v>
      </c>
      <c r="F1476" s="4">
        <f>IFERROR(__xludf.DUMMYFUNCTION("""COMPUTED_VALUE"""),805.0)</f>
        <v>805</v>
      </c>
      <c r="G1476" s="4">
        <f>IFERROR(__xludf.DUMMYFUNCTION("""COMPUTED_VALUE"""),15.0)</f>
        <v>15</v>
      </c>
      <c r="H1476" s="4"/>
      <c r="I1476" s="4"/>
    </row>
    <row r="1477">
      <c r="A1477" s="4" t="str">
        <f>IFERROR(__xludf.DUMMYFUNCTION("""COMPUTED_VALUE"""),"cas_hmw")</f>
        <v>cas_hmw</v>
      </c>
      <c r="B1477" s="5">
        <f>IFERROR(__xludf.DUMMYFUNCTION("""COMPUTED_VALUE"""),44782.0)</f>
        <v>44782</v>
      </c>
      <c r="C1477" s="6">
        <f>IFERROR(__xludf.DUMMYFUNCTION("""COMPUTED_VALUE"""),0.35325231481328956)</f>
        <v>0.3532523148</v>
      </c>
      <c r="D1477" s="4">
        <f>IFERROR(__xludf.DUMMYFUNCTION("""COMPUTED_VALUE"""),12.892215)</f>
        <v>12.892215</v>
      </c>
      <c r="E1477" s="4">
        <f>IFERROR(__xludf.DUMMYFUNCTION("""COMPUTED_VALUE"""),80.085701)</f>
        <v>80.085701</v>
      </c>
      <c r="F1477" s="4">
        <f>IFERROR(__xludf.DUMMYFUNCTION("""COMPUTED_VALUE"""),805.0)</f>
        <v>805</v>
      </c>
      <c r="G1477" s="4">
        <f>IFERROR(__xludf.DUMMYFUNCTION("""COMPUTED_VALUE"""),17.0)</f>
        <v>17</v>
      </c>
      <c r="H1477" s="4"/>
      <c r="I1477" s="4"/>
    </row>
    <row r="1478">
      <c r="A1478" s="4" t="str">
        <f>IFERROR(__xludf.DUMMYFUNCTION("""COMPUTED_VALUE"""),"cas_hmw")</f>
        <v>cas_hmw</v>
      </c>
      <c r="B1478" s="5">
        <f>IFERROR(__xludf.DUMMYFUNCTION("""COMPUTED_VALUE"""),44782.0)</f>
        <v>44782</v>
      </c>
      <c r="C1478" s="6">
        <f>IFERROR(__xludf.DUMMYFUNCTION("""COMPUTED_VALUE"""),0.6953356481499213)</f>
        <v>0.6953356481</v>
      </c>
      <c r="D1478" s="4">
        <f>IFERROR(__xludf.DUMMYFUNCTION("""COMPUTED_VALUE"""),12.879407)</f>
        <v>12.879407</v>
      </c>
      <c r="E1478" s="4">
        <f>IFERROR(__xludf.DUMMYFUNCTION("""COMPUTED_VALUE"""),80.080073)</f>
        <v>80.080073</v>
      </c>
      <c r="F1478" s="4">
        <f>IFERROR(__xludf.DUMMYFUNCTION("""COMPUTED_VALUE"""),3143.0)</f>
        <v>3143</v>
      </c>
      <c r="G1478" s="4">
        <f>IFERROR(__xludf.DUMMYFUNCTION("""COMPUTED_VALUE"""),0.0)</f>
        <v>0</v>
      </c>
      <c r="H1478" s="4"/>
      <c r="I1478" s="4"/>
    </row>
    <row r="1479">
      <c r="A1479" s="4" t="str">
        <f>IFERROR(__xludf.DUMMYFUNCTION("""COMPUTED_VALUE"""),"cas_hmw")</f>
        <v>cas_hmw</v>
      </c>
      <c r="B1479" s="5">
        <f>IFERROR(__xludf.DUMMYFUNCTION("""COMPUTED_VALUE"""),44782.0)</f>
        <v>44782</v>
      </c>
      <c r="C1479" s="6">
        <f>IFERROR(__xludf.DUMMYFUNCTION("""COMPUTED_VALUE"""),0.70563657407547)</f>
        <v>0.7056365741</v>
      </c>
      <c r="D1479" s="4">
        <f>IFERROR(__xludf.DUMMYFUNCTION("""COMPUTED_VALUE"""),12.925584)</f>
        <v>12.925584</v>
      </c>
      <c r="E1479" s="4">
        <f>IFERROR(__xludf.DUMMYFUNCTION("""COMPUTED_VALUE"""),80.104311)</f>
        <v>80.104311</v>
      </c>
      <c r="F1479" s="4">
        <f>IFERROR(__xludf.DUMMYFUNCTION("""COMPUTED_VALUE"""),3143.0)</f>
        <v>3143</v>
      </c>
      <c r="G1479" s="4">
        <f>IFERROR(__xludf.DUMMYFUNCTION("""COMPUTED_VALUE"""),0.0)</f>
        <v>0</v>
      </c>
      <c r="H1479" s="4"/>
      <c r="I1479" s="4"/>
    </row>
    <row r="1480">
      <c r="A1480" s="4" t="str">
        <f>IFERROR(__xludf.DUMMYFUNCTION("""COMPUTED_VALUE"""),"cas_hmw")</f>
        <v>cas_hmw</v>
      </c>
      <c r="B1480" s="5">
        <f>IFERROR(__xludf.DUMMYFUNCTION("""COMPUTED_VALUE"""),44782.0)</f>
        <v>44782</v>
      </c>
      <c r="C1480" s="6">
        <f>IFERROR(__xludf.DUMMYFUNCTION("""COMPUTED_VALUE"""),0.70563657407547)</f>
        <v>0.7056365741</v>
      </c>
      <c r="D1480" s="4">
        <f>IFERROR(__xludf.DUMMYFUNCTION("""COMPUTED_VALUE"""),12.925584)</f>
        <v>12.925584</v>
      </c>
      <c r="E1480" s="4">
        <f>IFERROR(__xludf.DUMMYFUNCTION("""COMPUTED_VALUE"""),80.104311)</f>
        <v>80.104311</v>
      </c>
      <c r="F1480" s="4">
        <f>IFERROR(__xludf.DUMMYFUNCTION("""COMPUTED_VALUE"""),3143.0)</f>
        <v>3143</v>
      </c>
      <c r="G1480" s="4">
        <f>IFERROR(__xludf.DUMMYFUNCTION("""COMPUTED_VALUE"""),0.0)</f>
        <v>0</v>
      </c>
      <c r="H1480" s="4"/>
      <c r="I1480" s="4"/>
    </row>
    <row r="1481">
      <c r="A1481" s="4" t="str">
        <f>IFERROR(__xludf.DUMMYFUNCTION("""COMPUTED_VALUE"""),"cas_hmw")</f>
        <v>cas_hmw</v>
      </c>
      <c r="B1481" s="5">
        <f>IFERROR(__xludf.DUMMYFUNCTION("""COMPUTED_VALUE"""),44782.0)</f>
        <v>44782</v>
      </c>
      <c r="C1481" s="6">
        <f>IFERROR(__xludf.DUMMYFUNCTION("""COMPUTED_VALUE"""),0.7059027777795563)</f>
        <v>0.7059027778</v>
      </c>
      <c r="D1481" s="4">
        <f>IFERROR(__xludf.DUMMYFUNCTION("""COMPUTED_VALUE"""),12.95066)</f>
        <v>12.95066</v>
      </c>
      <c r="E1481" s="4">
        <f>IFERROR(__xludf.DUMMYFUNCTION("""COMPUTED_VALUE"""),80.139523)</f>
        <v>80.139523</v>
      </c>
      <c r="F1481" s="4">
        <f>IFERROR(__xludf.DUMMYFUNCTION("""COMPUTED_VALUE"""),805.0)</f>
        <v>805</v>
      </c>
      <c r="G1481" s="4">
        <f>IFERROR(__xludf.DUMMYFUNCTION("""COMPUTED_VALUE"""),19.0)</f>
        <v>19</v>
      </c>
      <c r="H1481" s="4"/>
      <c r="I1481" s="4"/>
    </row>
    <row r="1482">
      <c r="A1482" s="4" t="str">
        <f>IFERROR(__xludf.DUMMYFUNCTION("""COMPUTED_VALUE"""),"cas_hmw")</f>
        <v>cas_hmw</v>
      </c>
      <c r="B1482" s="5">
        <f>IFERROR(__xludf.DUMMYFUNCTION("""COMPUTED_VALUE"""),44782.0)</f>
        <v>44782</v>
      </c>
      <c r="C1482" s="6">
        <f>IFERROR(__xludf.DUMMYFUNCTION("""COMPUTED_VALUE"""),0.7059027777795563)</f>
        <v>0.7059027778</v>
      </c>
      <c r="D1482" s="4">
        <f>IFERROR(__xludf.DUMMYFUNCTION("""COMPUTED_VALUE"""),12.95066)</f>
        <v>12.95066</v>
      </c>
      <c r="E1482" s="4">
        <f>IFERROR(__xludf.DUMMYFUNCTION("""COMPUTED_VALUE"""),80.139523)</f>
        <v>80.139523</v>
      </c>
      <c r="F1482" s="4">
        <f>IFERROR(__xludf.DUMMYFUNCTION("""COMPUTED_VALUE"""),805.0)</f>
        <v>805</v>
      </c>
      <c r="G1482" s="4">
        <f>IFERROR(__xludf.DUMMYFUNCTION("""COMPUTED_VALUE"""),19.0)</f>
        <v>19</v>
      </c>
      <c r="H1482" s="4"/>
      <c r="I1482" s="4"/>
    </row>
    <row r="1483">
      <c r="A1483" s="4" t="str">
        <f>IFERROR(__xludf.DUMMYFUNCTION("""COMPUTED_VALUE"""),"cas_hmw")</f>
        <v>cas_hmw</v>
      </c>
      <c r="B1483" s="5">
        <f>IFERROR(__xludf.DUMMYFUNCTION("""COMPUTED_VALUE"""),44782.0)</f>
        <v>44782</v>
      </c>
      <c r="C1483" s="6">
        <f>IFERROR(__xludf.DUMMYFUNCTION("""COMPUTED_VALUE"""),0.7059259259258397)</f>
        <v>0.7059259259</v>
      </c>
      <c r="D1483" s="4">
        <f>IFERROR(__xludf.DUMMYFUNCTION("""COMPUTED_VALUE"""),12.95066)</f>
        <v>12.95066</v>
      </c>
      <c r="E1483" s="4">
        <f>IFERROR(__xludf.DUMMYFUNCTION("""COMPUTED_VALUE"""),80.139523)</f>
        <v>80.139523</v>
      </c>
      <c r="F1483" s="4">
        <f>IFERROR(__xludf.DUMMYFUNCTION("""COMPUTED_VALUE"""),805.0)</f>
        <v>805</v>
      </c>
      <c r="G1483" s="4">
        <f>IFERROR(__xludf.DUMMYFUNCTION("""COMPUTED_VALUE"""),19.0)</f>
        <v>19</v>
      </c>
      <c r="H1483" s="4"/>
      <c r="I1483" s="4"/>
    </row>
    <row r="1484">
      <c r="A1484" s="4" t="str">
        <f>IFERROR(__xludf.DUMMYFUNCTION("""COMPUTED_VALUE"""),"cas_hmw")</f>
        <v>cas_hmw</v>
      </c>
      <c r="B1484" s="5">
        <f>IFERROR(__xludf.DUMMYFUNCTION("""COMPUTED_VALUE"""),44782.0)</f>
        <v>44782</v>
      </c>
      <c r="C1484" s="6">
        <f>IFERROR(__xludf.DUMMYFUNCTION("""COMPUTED_VALUE"""),0.7076273148159089)</f>
        <v>0.7076273148</v>
      </c>
      <c r="D1484" s="4">
        <f>IFERROR(__xludf.DUMMYFUNCTION("""COMPUTED_VALUE"""),12.960311)</f>
        <v>12.960311</v>
      </c>
      <c r="E1484" s="4">
        <f>IFERROR(__xludf.DUMMYFUNCTION("""COMPUTED_VALUE"""),80.145119)</f>
        <v>80.145119</v>
      </c>
      <c r="F1484" s="4">
        <f>IFERROR(__xludf.DUMMYFUNCTION("""COMPUTED_VALUE"""),805.0)</f>
        <v>805</v>
      </c>
      <c r="G1484" s="4">
        <f>IFERROR(__xludf.DUMMYFUNCTION("""COMPUTED_VALUE"""),8.0)</f>
        <v>8</v>
      </c>
      <c r="H1484" s="4"/>
      <c r="I1484" s="4"/>
    </row>
    <row r="1485">
      <c r="A1485" s="4" t="str">
        <f>IFERROR(__xludf.DUMMYFUNCTION("""COMPUTED_VALUE"""),"cas_hmw")</f>
        <v>cas_hmw</v>
      </c>
      <c r="B1485" s="5">
        <f>IFERROR(__xludf.DUMMYFUNCTION("""COMPUTED_VALUE"""),44782.0)</f>
        <v>44782</v>
      </c>
      <c r="C1485" s="6">
        <f>IFERROR(__xludf.DUMMYFUNCTION("""COMPUTED_VALUE"""),0.7090509259251121)</f>
        <v>0.7090509259</v>
      </c>
      <c r="D1485" s="4">
        <f>IFERROR(__xludf.DUMMYFUNCTION("""COMPUTED_VALUE"""),12.760139)</f>
        <v>12.760139</v>
      </c>
      <c r="E1485" s="4">
        <f>IFERROR(__xludf.DUMMYFUNCTION("""COMPUTED_VALUE"""),80.003439)</f>
        <v>80.003439</v>
      </c>
      <c r="F1485" s="4">
        <f>IFERROR(__xludf.DUMMYFUNCTION("""COMPUTED_VALUE"""),2846.0)</f>
        <v>2846</v>
      </c>
      <c r="G1485" s="4">
        <f>IFERROR(__xludf.DUMMYFUNCTION("""COMPUTED_VALUE"""),0.0)</f>
        <v>0</v>
      </c>
      <c r="H1485" s="4"/>
      <c r="I1485" s="4"/>
    </row>
    <row r="1486">
      <c r="A1486" s="4" t="str">
        <f>IFERROR(__xludf.DUMMYFUNCTION("""COMPUTED_VALUE"""),"cas_hmw")</f>
        <v>cas_hmw</v>
      </c>
      <c r="B1486" s="5">
        <f>IFERROR(__xludf.DUMMYFUNCTION("""COMPUTED_VALUE"""),44782.0)</f>
        <v>44782</v>
      </c>
      <c r="C1486" s="6">
        <f>IFERROR(__xludf.DUMMYFUNCTION("""COMPUTED_VALUE"""),0.7107870370382443)</f>
        <v>0.710787037</v>
      </c>
      <c r="D1486" s="4">
        <f>IFERROR(__xludf.DUMMYFUNCTION("""COMPUTED_VALUE"""),12.930771)</f>
        <v>12.930771</v>
      </c>
      <c r="E1486" s="4">
        <f>IFERROR(__xludf.DUMMYFUNCTION("""COMPUTED_VALUE"""),80.121794)</f>
        <v>80.121794</v>
      </c>
      <c r="F1486" s="4">
        <f>IFERROR(__xludf.DUMMYFUNCTION("""COMPUTED_VALUE"""),3143.0)</f>
        <v>3143</v>
      </c>
      <c r="G1486" s="4">
        <f>IFERROR(__xludf.DUMMYFUNCTION("""COMPUTED_VALUE"""),0.0)</f>
        <v>0</v>
      </c>
      <c r="H1486" s="4"/>
      <c r="I1486" s="4"/>
    </row>
    <row r="1487">
      <c r="A1487" s="4" t="str">
        <f>IFERROR(__xludf.DUMMYFUNCTION("""COMPUTED_VALUE"""),"cas_hmw")</f>
        <v>cas_hmw</v>
      </c>
      <c r="B1487" s="5">
        <f>IFERROR(__xludf.DUMMYFUNCTION("""COMPUTED_VALUE"""),44782.0)</f>
        <v>44782</v>
      </c>
      <c r="C1487" s="6">
        <f>IFERROR(__xludf.DUMMYFUNCTION("""COMPUTED_VALUE"""),0.7108101851845277)</f>
        <v>0.7108101852</v>
      </c>
      <c r="D1487" s="4">
        <f>IFERROR(__xludf.DUMMYFUNCTION("""COMPUTED_VALUE"""),12.930771)</f>
        <v>12.930771</v>
      </c>
      <c r="E1487" s="4">
        <f>IFERROR(__xludf.DUMMYFUNCTION("""COMPUTED_VALUE"""),80.121794)</f>
        <v>80.121794</v>
      </c>
      <c r="F1487" s="4">
        <f>IFERROR(__xludf.DUMMYFUNCTION("""COMPUTED_VALUE"""),3143.0)</f>
        <v>3143</v>
      </c>
      <c r="G1487" s="4">
        <f>IFERROR(__xludf.DUMMYFUNCTION("""COMPUTED_VALUE"""),0.0)</f>
        <v>0</v>
      </c>
      <c r="H1487" s="4"/>
      <c r="I1487" s="4"/>
    </row>
    <row r="1488">
      <c r="A1488" s="4" t="str">
        <f>IFERROR(__xludf.DUMMYFUNCTION("""COMPUTED_VALUE"""),"cas_hmw")</f>
        <v>cas_hmw</v>
      </c>
      <c r="B1488" s="5">
        <f>IFERROR(__xludf.DUMMYFUNCTION("""COMPUTED_VALUE"""),44782.0)</f>
        <v>44782</v>
      </c>
      <c r="C1488" s="6">
        <f>IFERROR(__xludf.DUMMYFUNCTION("""COMPUTED_VALUE"""),0.710902777776937)</f>
        <v>0.7109027778</v>
      </c>
      <c r="D1488" s="4">
        <f>IFERROR(__xludf.DUMMYFUNCTION("""COMPUTED_VALUE"""),12.931015)</f>
        <v>12.931015</v>
      </c>
      <c r="E1488" s="4">
        <f>IFERROR(__xludf.DUMMYFUNCTION("""COMPUTED_VALUE"""),80.122081)</f>
        <v>80.122081</v>
      </c>
      <c r="F1488" s="4">
        <f>IFERROR(__xludf.DUMMYFUNCTION("""COMPUTED_VALUE"""),3143.0)</f>
        <v>3143</v>
      </c>
      <c r="G1488" s="4">
        <f>IFERROR(__xludf.DUMMYFUNCTION("""COMPUTED_VALUE"""),17.0)</f>
        <v>17</v>
      </c>
      <c r="H1488" s="4"/>
      <c r="I1488" s="4"/>
    </row>
    <row r="1489">
      <c r="A1489" s="4" t="str">
        <f>IFERROR(__xludf.DUMMYFUNCTION("""COMPUTED_VALUE"""),"cas_hmw")</f>
        <v>cas_hmw</v>
      </c>
      <c r="B1489" s="5">
        <f>IFERROR(__xludf.DUMMYFUNCTION("""COMPUTED_VALUE"""),44782.0)</f>
        <v>44782</v>
      </c>
      <c r="C1489" s="6">
        <f>IFERROR(__xludf.DUMMYFUNCTION("""COMPUTED_VALUE"""),0.7114467592582514)</f>
        <v>0.7114467593</v>
      </c>
      <c r="D1489" s="4">
        <f>IFERROR(__xludf.DUMMYFUNCTION("""COMPUTED_VALUE"""),12.986425)</f>
        <v>12.986425</v>
      </c>
      <c r="E1489" s="4">
        <f>IFERROR(__xludf.DUMMYFUNCTION("""COMPUTED_VALUE"""),80.174585)</f>
        <v>80.174585</v>
      </c>
      <c r="F1489" s="4">
        <f>IFERROR(__xludf.DUMMYFUNCTION("""COMPUTED_VALUE"""),805.0)</f>
        <v>805</v>
      </c>
      <c r="G1489" s="4">
        <f>IFERROR(__xludf.DUMMYFUNCTION("""COMPUTED_VALUE"""),0.0)</f>
        <v>0</v>
      </c>
      <c r="H1489" s="4"/>
      <c r="I1489" s="4"/>
    </row>
    <row r="1490">
      <c r="A1490" s="4" t="str">
        <f>IFERROR(__xludf.DUMMYFUNCTION("""COMPUTED_VALUE"""),"cas_hmw")</f>
        <v>cas_hmw</v>
      </c>
      <c r="B1490" s="5">
        <f>IFERROR(__xludf.DUMMYFUNCTION("""COMPUTED_VALUE"""),44782.0)</f>
        <v>44782</v>
      </c>
      <c r="C1490" s="6">
        <f>IFERROR(__xludf.DUMMYFUNCTION("""COMPUTED_VALUE"""),0.7122453703705105)</f>
        <v>0.7122453704</v>
      </c>
      <c r="D1490" s="4">
        <f>IFERROR(__xludf.DUMMYFUNCTION("""COMPUTED_VALUE"""),12.935746)</f>
        <v>12.935746</v>
      </c>
      <c r="E1490" s="4">
        <f>IFERROR(__xludf.DUMMYFUNCTION("""COMPUTED_VALUE"""),80.126576)</f>
        <v>80.126576</v>
      </c>
      <c r="F1490" s="4">
        <f>IFERROR(__xludf.DUMMYFUNCTION("""COMPUTED_VALUE"""),3143.0)</f>
        <v>3143</v>
      </c>
      <c r="G1490" s="4">
        <f>IFERROR(__xludf.DUMMYFUNCTION("""COMPUTED_VALUE"""),0.0)</f>
        <v>0</v>
      </c>
      <c r="H1490" s="4"/>
      <c r="I1490" s="4"/>
    </row>
    <row r="1491">
      <c r="A1491" s="4" t="str">
        <f>IFERROR(__xludf.DUMMYFUNCTION("""COMPUTED_VALUE"""),"cas_hmw")</f>
        <v>cas_hmw</v>
      </c>
      <c r="B1491" s="5">
        <f>IFERROR(__xludf.DUMMYFUNCTION("""COMPUTED_VALUE"""),44782.0)</f>
        <v>44782</v>
      </c>
      <c r="C1491" s="6">
        <f>IFERROR(__xludf.DUMMYFUNCTION("""COMPUTED_VALUE"""),0.7123032407398568)</f>
        <v>0.7123032407</v>
      </c>
      <c r="D1491" s="4">
        <f>IFERROR(__xludf.DUMMYFUNCTION("""COMPUTED_VALUE"""),12.935746)</f>
        <v>12.935746</v>
      </c>
      <c r="E1491" s="4">
        <f>IFERROR(__xludf.DUMMYFUNCTION("""COMPUTED_VALUE"""),80.126576)</f>
        <v>80.126576</v>
      </c>
      <c r="F1491" s="4">
        <f>IFERROR(__xludf.DUMMYFUNCTION("""COMPUTED_VALUE"""),3143.0)</f>
        <v>3143</v>
      </c>
      <c r="G1491" s="4">
        <f>IFERROR(__xludf.DUMMYFUNCTION("""COMPUTED_VALUE"""),0.0)</f>
        <v>0</v>
      </c>
      <c r="H1491" s="4"/>
      <c r="I1491" s="4"/>
    </row>
    <row r="1492">
      <c r="A1492" s="4" t="str">
        <f>IFERROR(__xludf.DUMMYFUNCTION("""COMPUTED_VALUE"""),"cas_hmw")</f>
        <v>cas_hmw</v>
      </c>
      <c r="B1492" s="5">
        <f>IFERROR(__xludf.DUMMYFUNCTION("""COMPUTED_VALUE"""),44782.0)</f>
        <v>44782</v>
      </c>
      <c r="C1492" s="6">
        <f>IFERROR(__xludf.DUMMYFUNCTION("""COMPUTED_VALUE"""),0.7123958333322662)</f>
        <v>0.7123958333</v>
      </c>
      <c r="D1492" s="4">
        <f>IFERROR(__xludf.DUMMYFUNCTION("""COMPUTED_VALUE"""),12.935963)</f>
        <v>12.935963</v>
      </c>
      <c r="E1492" s="4">
        <f>IFERROR(__xludf.DUMMYFUNCTION("""COMPUTED_VALUE"""),80.126825)</f>
        <v>80.126825</v>
      </c>
      <c r="F1492" s="4">
        <f>IFERROR(__xludf.DUMMYFUNCTION("""COMPUTED_VALUE"""),3143.0)</f>
        <v>3143</v>
      </c>
      <c r="G1492" s="4">
        <f>IFERROR(__xludf.DUMMYFUNCTION("""COMPUTED_VALUE"""),15.0)</f>
        <v>15</v>
      </c>
      <c r="H1492" s="4"/>
      <c r="I1492" s="4"/>
    </row>
    <row r="1493">
      <c r="A1493" s="4" t="str">
        <f>IFERROR(__xludf.DUMMYFUNCTION("""COMPUTED_VALUE"""),"cas_hmw")</f>
        <v>cas_hmw</v>
      </c>
      <c r="B1493" s="5">
        <f>IFERROR(__xludf.DUMMYFUNCTION("""COMPUTED_VALUE"""),44782.0)</f>
        <v>44782</v>
      </c>
      <c r="C1493" s="6">
        <f>IFERROR(__xludf.DUMMYFUNCTION("""COMPUTED_VALUE"""),0.7139814814800047)</f>
        <v>0.7139814815</v>
      </c>
      <c r="D1493" s="4">
        <f>IFERROR(__xludf.DUMMYFUNCTION("""COMPUTED_VALUE"""),12.996239)</f>
        <v>12.996239</v>
      </c>
      <c r="E1493" s="4">
        <f>IFERROR(__xludf.DUMMYFUNCTION("""COMPUTED_VALUE"""),80.18936)</f>
        <v>80.18936</v>
      </c>
      <c r="F1493" s="4">
        <f>IFERROR(__xludf.DUMMYFUNCTION("""COMPUTED_VALUE"""),805.0)</f>
        <v>805</v>
      </c>
      <c r="G1493" s="4">
        <f>IFERROR(__xludf.DUMMYFUNCTION("""COMPUTED_VALUE"""),17.0)</f>
        <v>17</v>
      </c>
      <c r="H1493" s="4"/>
      <c r="I1493" s="4"/>
    </row>
    <row r="1494">
      <c r="A1494" s="4" t="str">
        <f>IFERROR(__xludf.DUMMYFUNCTION("""COMPUTED_VALUE"""),"cas_hmw")</f>
        <v>cas_hmw</v>
      </c>
      <c r="B1494" s="5">
        <f>IFERROR(__xludf.DUMMYFUNCTION("""COMPUTED_VALUE"""),44782.0)</f>
        <v>44782</v>
      </c>
      <c r="C1494" s="6">
        <f>IFERROR(__xludf.DUMMYFUNCTION("""COMPUTED_VALUE"""),0.7148495370383898)</f>
        <v>0.714849537</v>
      </c>
      <c r="D1494" s="4">
        <f>IFERROR(__xludf.DUMMYFUNCTION("""COMPUTED_VALUE"""),13.000896)</f>
        <v>13.000896</v>
      </c>
      <c r="E1494" s="4">
        <f>IFERROR(__xludf.DUMMYFUNCTION("""COMPUTED_VALUE"""),80.195154)</f>
        <v>80.195154</v>
      </c>
      <c r="F1494" s="4">
        <f>IFERROR(__xludf.DUMMYFUNCTION("""COMPUTED_VALUE"""),805.0)</f>
        <v>805</v>
      </c>
      <c r="G1494" s="4">
        <f>IFERROR(__xludf.DUMMYFUNCTION("""COMPUTED_VALUE"""),15.0)</f>
        <v>15</v>
      </c>
      <c r="H1494" s="4"/>
      <c r="I1494" s="4"/>
    </row>
    <row r="1495">
      <c r="A1495" s="4" t="str">
        <f>IFERROR(__xludf.DUMMYFUNCTION("""COMPUTED_VALUE"""),"cas_hmw")</f>
        <v>cas_hmw</v>
      </c>
      <c r="B1495" s="5">
        <f>IFERROR(__xludf.DUMMYFUNCTION("""COMPUTED_VALUE"""),44782.0)</f>
        <v>44782</v>
      </c>
      <c r="C1495" s="6">
        <f>IFERROR(__xludf.DUMMYFUNCTION("""COMPUTED_VALUE"""),0.7148611111115315)</f>
        <v>0.7148611111</v>
      </c>
      <c r="D1495" s="4">
        <f>IFERROR(__xludf.DUMMYFUNCTION("""COMPUTED_VALUE"""),13.000896)</f>
        <v>13.000896</v>
      </c>
      <c r="E1495" s="4">
        <f>IFERROR(__xludf.DUMMYFUNCTION("""COMPUTED_VALUE"""),80.195154)</f>
        <v>80.195154</v>
      </c>
      <c r="F1495" s="4">
        <f>IFERROR(__xludf.DUMMYFUNCTION("""COMPUTED_VALUE"""),805.0)</f>
        <v>805</v>
      </c>
      <c r="G1495" s="4">
        <f>IFERROR(__xludf.DUMMYFUNCTION("""COMPUTED_VALUE"""),15.0)</f>
        <v>15</v>
      </c>
      <c r="H1495" s="4"/>
      <c r="I1495" s="4"/>
    </row>
    <row r="1496">
      <c r="A1496" s="4" t="str">
        <f>IFERROR(__xludf.DUMMYFUNCTION("""COMPUTED_VALUE"""),"cas_hmw")</f>
        <v>cas_hmw</v>
      </c>
      <c r="B1496" s="5">
        <f>IFERROR(__xludf.DUMMYFUNCTION("""COMPUTED_VALUE"""),44782.0)</f>
        <v>44782</v>
      </c>
      <c r="C1496" s="6">
        <f>IFERROR(__xludf.DUMMYFUNCTION("""COMPUTED_VALUE"""),0.7148958333345945)</f>
        <v>0.7148958333</v>
      </c>
      <c r="D1496" s="4">
        <f>IFERROR(__xludf.DUMMYFUNCTION("""COMPUTED_VALUE"""),13.000896)</f>
        <v>13.000896</v>
      </c>
      <c r="E1496" s="4">
        <f>IFERROR(__xludf.DUMMYFUNCTION("""COMPUTED_VALUE"""),80.195154)</f>
        <v>80.195154</v>
      </c>
      <c r="F1496" s="4">
        <f>IFERROR(__xludf.DUMMYFUNCTION("""COMPUTED_VALUE"""),805.0)</f>
        <v>805</v>
      </c>
      <c r="G1496" s="4">
        <f>IFERROR(__xludf.DUMMYFUNCTION("""COMPUTED_VALUE"""),15.0)</f>
        <v>15</v>
      </c>
      <c r="H1496" s="4"/>
      <c r="I1496" s="4"/>
    </row>
    <row r="1497">
      <c r="A1497" s="4" t="str">
        <f>IFERROR(__xludf.DUMMYFUNCTION("""COMPUTED_VALUE"""),"cas_hmw")</f>
        <v>cas_hmw</v>
      </c>
      <c r="B1497" s="5">
        <f>IFERROR(__xludf.DUMMYFUNCTION("""COMPUTED_VALUE"""),44782.0)</f>
        <v>44782</v>
      </c>
      <c r="C1497" s="6">
        <f>IFERROR(__xludf.DUMMYFUNCTION("""COMPUTED_VALUE"""),0.7150462962963502)</f>
        <v>0.7150462963</v>
      </c>
      <c r="D1497" s="4">
        <f>IFERROR(__xludf.DUMMYFUNCTION("""COMPUTED_VALUE"""),13.001212)</f>
        <v>13.001212</v>
      </c>
      <c r="E1497" s="4">
        <f>IFERROR(__xludf.DUMMYFUNCTION("""COMPUTED_VALUE"""),80.195572)</f>
        <v>80.195572</v>
      </c>
      <c r="F1497" s="4">
        <f>IFERROR(__xludf.DUMMYFUNCTION("""COMPUTED_VALUE"""),805.0)</f>
        <v>805</v>
      </c>
      <c r="G1497" s="4">
        <f>IFERROR(__xludf.DUMMYFUNCTION("""COMPUTED_VALUE"""),13.0)</f>
        <v>13</v>
      </c>
      <c r="H1497" s="4"/>
      <c r="I1497" s="4"/>
    </row>
    <row r="1498">
      <c r="A1498" s="4" t="str">
        <f>IFERROR(__xludf.DUMMYFUNCTION("""COMPUTED_VALUE"""),"cas_hmw")</f>
        <v>cas_hmw</v>
      </c>
      <c r="B1498" s="5">
        <f>IFERROR(__xludf.DUMMYFUNCTION("""COMPUTED_VALUE"""),44782.0)</f>
        <v>44782</v>
      </c>
      <c r="C1498" s="6">
        <f>IFERROR(__xludf.DUMMYFUNCTION("""COMPUTED_VALUE"""),0.7158796296280343)</f>
        <v>0.7158796296</v>
      </c>
      <c r="D1498" s="4">
        <f>IFERROR(__xludf.DUMMYFUNCTION("""COMPUTED_VALUE"""),12.956047)</f>
        <v>12.956047</v>
      </c>
      <c r="E1498" s="4">
        <f>IFERROR(__xludf.DUMMYFUNCTION("""COMPUTED_VALUE"""),80.142923)</f>
        <v>80.142923</v>
      </c>
      <c r="F1498" s="4">
        <f>IFERROR(__xludf.DUMMYFUNCTION("""COMPUTED_VALUE"""),3143.0)</f>
        <v>3143</v>
      </c>
      <c r="G1498" s="4">
        <f>IFERROR(__xludf.DUMMYFUNCTION("""COMPUTED_VALUE"""),0.0)</f>
        <v>0</v>
      </c>
      <c r="H1498" s="4"/>
      <c r="I1498" s="4"/>
    </row>
    <row r="1499">
      <c r="A1499" s="4" t="str">
        <f>IFERROR(__xludf.DUMMYFUNCTION("""COMPUTED_VALUE"""),"cas_hmw")</f>
        <v>cas_hmw</v>
      </c>
      <c r="B1499" s="5">
        <f>IFERROR(__xludf.DUMMYFUNCTION("""COMPUTED_VALUE"""),44782.0)</f>
        <v>44782</v>
      </c>
      <c r="C1499" s="6">
        <f>IFERROR(__xludf.DUMMYFUNCTION("""COMPUTED_VALUE"""),0.7160185185202863)</f>
        <v>0.7160185185</v>
      </c>
      <c r="D1499" s="4">
        <f>IFERROR(__xludf.DUMMYFUNCTION("""COMPUTED_VALUE"""),12.956047)</f>
        <v>12.956047</v>
      </c>
      <c r="E1499" s="4">
        <f>IFERROR(__xludf.DUMMYFUNCTION("""COMPUTED_VALUE"""),80.142923)</f>
        <v>80.142923</v>
      </c>
      <c r="F1499" s="4">
        <f>IFERROR(__xludf.DUMMYFUNCTION("""COMPUTED_VALUE"""),3143.0)</f>
        <v>3143</v>
      </c>
      <c r="G1499" s="4">
        <f>IFERROR(__xludf.DUMMYFUNCTION("""COMPUTED_VALUE"""),0.0)</f>
        <v>0</v>
      </c>
      <c r="H1499" s="4"/>
      <c r="I1499" s="4"/>
    </row>
    <row r="1500">
      <c r="A1500" s="4" t="str">
        <f>IFERROR(__xludf.DUMMYFUNCTION("""COMPUTED_VALUE"""),"cas_hmw")</f>
        <v>cas_hmw</v>
      </c>
      <c r="B1500" s="5">
        <f>IFERROR(__xludf.DUMMYFUNCTION("""COMPUTED_VALUE"""),44782.0)</f>
        <v>44782</v>
      </c>
      <c r="C1500" s="6">
        <f>IFERROR(__xludf.DUMMYFUNCTION("""COMPUTED_VALUE"""),0.7169212962980964)</f>
        <v>0.7169212963</v>
      </c>
      <c r="D1500" s="4">
        <f>IFERROR(__xludf.DUMMYFUNCTION("""COMPUTED_VALUE"""),12.960185)</f>
        <v>12.960185</v>
      </c>
      <c r="E1500" s="4">
        <f>IFERROR(__xludf.DUMMYFUNCTION("""COMPUTED_VALUE"""),80.145192)</f>
        <v>80.145192</v>
      </c>
      <c r="F1500" s="4">
        <f>IFERROR(__xludf.DUMMYFUNCTION("""COMPUTED_VALUE"""),3143.0)</f>
        <v>3143</v>
      </c>
      <c r="G1500" s="4">
        <f>IFERROR(__xludf.DUMMYFUNCTION("""COMPUTED_VALUE"""),6.0)</f>
        <v>6</v>
      </c>
      <c r="H1500" s="4"/>
      <c r="I1500" s="4"/>
    </row>
    <row r="1501">
      <c r="A1501" s="4" t="str">
        <f>IFERROR(__xludf.DUMMYFUNCTION("""COMPUTED_VALUE"""),"cas_hmw")</f>
        <v>cas_hmw</v>
      </c>
      <c r="B1501" s="5">
        <f>IFERROR(__xludf.DUMMYFUNCTION("""COMPUTED_VALUE"""),44782.0)</f>
        <v>44782</v>
      </c>
      <c r="C1501" s="6">
        <f>IFERROR(__xludf.DUMMYFUNCTION("""COMPUTED_VALUE"""),0.7170717592598521)</f>
        <v>0.7170717593</v>
      </c>
      <c r="D1501" s="4">
        <f>IFERROR(__xludf.DUMMYFUNCTION("""COMPUTED_VALUE"""),12.960399)</f>
        <v>12.960399</v>
      </c>
      <c r="E1501" s="4">
        <f>IFERROR(__xludf.DUMMYFUNCTION("""COMPUTED_VALUE"""),80.145307)</f>
        <v>80.145307</v>
      </c>
      <c r="F1501" s="4">
        <f>IFERROR(__xludf.DUMMYFUNCTION("""COMPUTED_VALUE"""),3143.0)</f>
        <v>3143</v>
      </c>
      <c r="G1501" s="4">
        <f>IFERROR(__xludf.DUMMYFUNCTION("""COMPUTED_VALUE"""),15.0)</f>
        <v>15</v>
      </c>
      <c r="H1501" s="4"/>
      <c r="I1501" s="4"/>
    </row>
    <row r="1502">
      <c r="A1502" s="4" t="str">
        <f>IFERROR(__xludf.DUMMYFUNCTION("""COMPUTED_VALUE"""),"cas_hmw")</f>
        <v>cas_hmw</v>
      </c>
      <c r="B1502" s="5">
        <f>IFERROR(__xludf.DUMMYFUNCTION("""COMPUTED_VALUE"""),44782.0)</f>
        <v>44782</v>
      </c>
      <c r="C1502" s="6">
        <f>IFERROR(__xludf.DUMMYFUNCTION("""COMPUTED_VALUE"""),0.7171874999985448)</f>
        <v>0.7171875</v>
      </c>
      <c r="D1502" s="4">
        <f>IFERROR(__xludf.DUMMYFUNCTION("""COMPUTED_VALUE"""),12.960399)</f>
        <v>12.960399</v>
      </c>
      <c r="E1502" s="4">
        <f>IFERROR(__xludf.DUMMYFUNCTION("""COMPUTED_VALUE"""),80.145307)</f>
        <v>80.145307</v>
      </c>
      <c r="F1502" s="4">
        <f>IFERROR(__xludf.DUMMYFUNCTION("""COMPUTED_VALUE"""),3143.0)</f>
        <v>3143</v>
      </c>
      <c r="G1502" s="4">
        <f>IFERROR(__xludf.DUMMYFUNCTION("""COMPUTED_VALUE"""),15.0)</f>
        <v>15</v>
      </c>
      <c r="H1502" s="4"/>
      <c r="I1502" s="4"/>
    </row>
    <row r="1503">
      <c r="A1503" s="4" t="str">
        <f>IFERROR(__xludf.DUMMYFUNCTION("""COMPUTED_VALUE"""),"cas_hmw")</f>
        <v>cas_hmw</v>
      </c>
      <c r="B1503" s="5">
        <f>IFERROR(__xludf.DUMMYFUNCTION("""COMPUTED_VALUE"""),44782.0)</f>
        <v>44782</v>
      </c>
      <c r="C1503" s="6">
        <f>IFERROR(__xludf.DUMMYFUNCTION("""COMPUTED_VALUE"""),0.7172106481484661)</f>
        <v>0.7172106481</v>
      </c>
      <c r="D1503" s="4">
        <f>IFERROR(__xludf.DUMMYFUNCTION("""COMPUTED_VALUE"""),12.960399)</f>
        <v>12.960399</v>
      </c>
      <c r="E1503" s="4">
        <f>IFERROR(__xludf.DUMMYFUNCTION("""COMPUTED_VALUE"""),80.145307)</f>
        <v>80.145307</v>
      </c>
      <c r="F1503" s="4">
        <f>IFERROR(__xludf.DUMMYFUNCTION("""COMPUTED_VALUE"""),3143.0)</f>
        <v>3143</v>
      </c>
      <c r="G1503" s="4">
        <f>IFERROR(__xludf.DUMMYFUNCTION("""COMPUTED_VALUE"""),15.0)</f>
        <v>15</v>
      </c>
      <c r="H1503" s="4"/>
      <c r="I1503" s="4"/>
    </row>
    <row r="1504">
      <c r="A1504" s="4" t="str">
        <f>IFERROR(__xludf.DUMMYFUNCTION("""COMPUTED_VALUE"""),"cas_hmw")</f>
        <v>cas_hmw</v>
      </c>
      <c r="B1504" s="5">
        <f>IFERROR(__xludf.DUMMYFUNCTION("""COMPUTED_VALUE"""),44782.0)</f>
        <v>44782</v>
      </c>
      <c r="C1504" s="6">
        <f>IFERROR(__xludf.DUMMYFUNCTION("""COMPUTED_VALUE"""),0.7172106481484661)</f>
        <v>0.7172106481</v>
      </c>
      <c r="D1504" s="4">
        <f>IFERROR(__xludf.DUMMYFUNCTION("""COMPUTED_VALUE"""),12.960399)</f>
        <v>12.960399</v>
      </c>
      <c r="E1504" s="4">
        <f>IFERROR(__xludf.DUMMYFUNCTION("""COMPUTED_VALUE"""),80.145307)</f>
        <v>80.145307</v>
      </c>
      <c r="F1504" s="4">
        <f>IFERROR(__xludf.DUMMYFUNCTION("""COMPUTED_VALUE"""),3143.0)</f>
        <v>3143</v>
      </c>
      <c r="G1504" s="4">
        <f>IFERROR(__xludf.DUMMYFUNCTION("""COMPUTED_VALUE"""),15.0)</f>
        <v>15</v>
      </c>
      <c r="H1504" s="4"/>
      <c r="I1504" s="4"/>
    </row>
    <row r="1505">
      <c r="A1505" s="4" t="str">
        <f>IFERROR(__xludf.DUMMYFUNCTION("""COMPUTED_VALUE"""),"cas_hmw")</f>
        <v>cas_hmw</v>
      </c>
      <c r="B1505" s="5">
        <f>IFERROR(__xludf.DUMMYFUNCTION("""COMPUTED_VALUE"""),44782.0)</f>
        <v>44782</v>
      </c>
      <c r="C1505" s="6">
        <f>IFERROR(__xludf.DUMMYFUNCTION("""COMPUTED_VALUE"""),0.7199768518512428)</f>
        <v>0.7199768519</v>
      </c>
      <c r="D1505" s="4">
        <f>IFERROR(__xludf.DUMMYFUNCTION("""COMPUTED_VALUE"""),13.015214)</f>
        <v>13.015214</v>
      </c>
      <c r="E1505" s="4">
        <f>IFERROR(__xludf.DUMMYFUNCTION("""COMPUTED_VALUE"""),80.225833)</f>
        <v>80.225833</v>
      </c>
      <c r="F1505" s="4">
        <f>IFERROR(__xludf.DUMMYFUNCTION("""COMPUTED_VALUE"""),805.0)</f>
        <v>805</v>
      </c>
      <c r="G1505" s="4">
        <f>IFERROR(__xludf.DUMMYFUNCTION("""COMPUTED_VALUE"""),14.0)</f>
        <v>14</v>
      </c>
      <c r="H1505" s="4"/>
      <c r="I1505" s="4"/>
    </row>
    <row r="1506">
      <c r="A1506" s="4" t="str">
        <f>IFERROR(__xludf.DUMMYFUNCTION("""COMPUTED_VALUE"""),"cas_hmw")</f>
        <v>cas_hmw</v>
      </c>
      <c r="B1506" s="5">
        <f>IFERROR(__xludf.DUMMYFUNCTION("""COMPUTED_VALUE"""),44782.0)</f>
        <v>44782</v>
      </c>
      <c r="C1506" s="6">
        <f>IFERROR(__xludf.DUMMYFUNCTION("""COMPUTED_VALUE"""),0.7443518518521159)</f>
        <v>0.7443518519</v>
      </c>
      <c r="D1506" s="4">
        <f>IFERROR(__xludf.DUMMYFUNCTION("""COMPUTED_VALUE"""),12.996004)</f>
        <v>12.996004</v>
      </c>
      <c r="E1506" s="4">
        <f>IFERROR(__xludf.DUMMYFUNCTION("""COMPUTED_VALUE"""),80.109704)</f>
        <v>80.109704</v>
      </c>
      <c r="F1506" s="4">
        <f>IFERROR(__xludf.DUMMYFUNCTION("""COMPUTED_VALUE"""),3143.0)</f>
        <v>3143</v>
      </c>
      <c r="G1506" s="4">
        <f>IFERROR(__xludf.DUMMYFUNCTION("""COMPUTED_VALUE"""),13.0)</f>
        <v>13</v>
      </c>
      <c r="H1506" s="4"/>
      <c r="I1506" s="4"/>
    </row>
    <row r="1507">
      <c r="A1507" s="4" t="str">
        <f>IFERROR(__xludf.DUMMYFUNCTION("""COMPUTED_VALUE"""),"cas_hmw")</f>
        <v>cas_hmw</v>
      </c>
      <c r="B1507" s="5">
        <f>IFERROR(__xludf.DUMMYFUNCTION("""COMPUTED_VALUE"""),44782.0)</f>
        <v>44782</v>
      </c>
      <c r="C1507" s="6">
        <f>IFERROR(__xludf.DUMMYFUNCTION("""COMPUTED_VALUE"""),0.7478356481478841)</f>
        <v>0.7478356481</v>
      </c>
      <c r="D1507" s="4">
        <f>IFERROR(__xludf.DUMMYFUNCTION("""COMPUTED_VALUE"""),12.999296)</f>
        <v>12.999296</v>
      </c>
      <c r="E1507" s="4">
        <f>IFERROR(__xludf.DUMMYFUNCTION("""COMPUTED_VALUE"""),80.096978)</f>
        <v>80.096978</v>
      </c>
      <c r="F1507" s="4">
        <f>IFERROR(__xludf.DUMMYFUNCTION("""COMPUTED_VALUE"""),3143.0)</f>
        <v>3143</v>
      </c>
      <c r="G1507" s="4">
        <f>IFERROR(__xludf.DUMMYFUNCTION("""COMPUTED_VALUE"""),20.0)</f>
        <v>20</v>
      </c>
      <c r="H1507" s="4"/>
      <c r="I1507" s="4"/>
    </row>
    <row r="1508">
      <c r="A1508" s="4" t="str">
        <f>IFERROR(__xludf.DUMMYFUNCTION("""COMPUTED_VALUE"""),"cas_hmw")</f>
        <v>cas_hmw</v>
      </c>
      <c r="B1508" s="5">
        <f>IFERROR(__xludf.DUMMYFUNCTION("""COMPUTED_VALUE"""),44782.0)</f>
        <v>44782</v>
      </c>
      <c r="C1508" s="6">
        <f>IFERROR(__xludf.DUMMYFUNCTION("""COMPUTED_VALUE"""),0.7497800925921183)</f>
        <v>0.7497800926</v>
      </c>
      <c r="D1508" s="4">
        <f>IFERROR(__xludf.DUMMYFUNCTION("""COMPUTED_VALUE"""),13.005531)</f>
        <v>13.005531</v>
      </c>
      <c r="E1508" s="4">
        <f>IFERROR(__xludf.DUMMYFUNCTION("""COMPUTED_VALUE"""),80.100312)</f>
        <v>80.100312</v>
      </c>
      <c r="F1508" s="4">
        <f>IFERROR(__xludf.DUMMYFUNCTION("""COMPUTED_VALUE"""),3143.0)</f>
        <v>3143</v>
      </c>
      <c r="G1508" s="4">
        <f>IFERROR(__xludf.DUMMYFUNCTION("""COMPUTED_VALUE"""),20.0)</f>
        <v>20</v>
      </c>
      <c r="H1508" s="4"/>
      <c r="I1508" s="4"/>
    </row>
    <row r="1509">
      <c r="A1509" s="4" t="str">
        <f>IFERROR(__xludf.DUMMYFUNCTION("""COMPUTED_VALUE"""),"cas_hmw")</f>
        <v>cas_hmw</v>
      </c>
      <c r="B1509" s="5">
        <f>IFERROR(__xludf.DUMMYFUNCTION("""COMPUTED_VALUE"""),44782.0)</f>
        <v>44782</v>
      </c>
      <c r="C1509" s="6">
        <f>IFERROR(__xludf.DUMMYFUNCTION("""COMPUTED_VALUE"""),0.7497800925921183)</f>
        <v>0.7497800926</v>
      </c>
      <c r="D1509" s="4">
        <f>IFERROR(__xludf.DUMMYFUNCTION("""COMPUTED_VALUE"""),13.005531)</f>
        <v>13.005531</v>
      </c>
      <c r="E1509" s="4">
        <f>IFERROR(__xludf.DUMMYFUNCTION("""COMPUTED_VALUE"""),80.100312)</f>
        <v>80.100312</v>
      </c>
      <c r="F1509" s="4">
        <f>IFERROR(__xludf.DUMMYFUNCTION("""COMPUTED_VALUE"""),3143.0)</f>
        <v>3143</v>
      </c>
      <c r="G1509" s="4">
        <f>IFERROR(__xludf.DUMMYFUNCTION("""COMPUTED_VALUE"""),20.0)</f>
        <v>20</v>
      </c>
      <c r="H1509" s="4"/>
      <c r="I1509" s="4"/>
    </row>
    <row r="1510">
      <c r="A1510" s="4" t="str">
        <f>IFERROR(__xludf.DUMMYFUNCTION("""COMPUTED_VALUE"""),"cas_hmw")</f>
        <v>cas_hmw</v>
      </c>
      <c r="B1510" s="5">
        <f>IFERROR(__xludf.DUMMYFUNCTION("""COMPUTED_VALUE"""),44782.0)</f>
        <v>44782</v>
      </c>
      <c r="C1510" s="6">
        <f>IFERROR(__xludf.DUMMYFUNCTION("""COMPUTED_VALUE"""),0.7499074074075907)</f>
        <v>0.7499074074</v>
      </c>
      <c r="D1510" s="4">
        <f>IFERROR(__xludf.DUMMYFUNCTION("""COMPUTED_VALUE"""),13.006615)</f>
        <v>13.006615</v>
      </c>
      <c r="E1510" s="4">
        <f>IFERROR(__xludf.DUMMYFUNCTION("""COMPUTED_VALUE"""),80.100375)</f>
        <v>80.100375</v>
      </c>
      <c r="F1510" s="4">
        <f>IFERROR(__xludf.DUMMYFUNCTION("""COMPUTED_VALUE"""),3143.0)</f>
        <v>3143</v>
      </c>
      <c r="G1510" s="4">
        <f>IFERROR(__xludf.DUMMYFUNCTION("""COMPUTED_VALUE"""),6.0)</f>
        <v>6</v>
      </c>
      <c r="H1510" s="4"/>
      <c r="I1510" s="4"/>
    </row>
    <row r="1511">
      <c r="A1511" s="4" t="str">
        <f>IFERROR(__xludf.DUMMYFUNCTION("""COMPUTED_VALUE"""),"cas_hmw")</f>
        <v>cas_hmw</v>
      </c>
      <c r="B1511" s="5">
        <f>IFERROR(__xludf.DUMMYFUNCTION("""COMPUTED_VALUE"""),44782.0)</f>
        <v>44782</v>
      </c>
      <c r="C1511" s="6">
        <f>IFERROR(__xludf.DUMMYFUNCTION("""COMPUTED_VALUE"""),0.7499421296306537)</f>
        <v>0.7499421296</v>
      </c>
      <c r="D1511" s="4">
        <f>IFERROR(__xludf.DUMMYFUNCTION("""COMPUTED_VALUE"""),13.006615)</f>
        <v>13.006615</v>
      </c>
      <c r="E1511" s="4">
        <f>IFERROR(__xludf.DUMMYFUNCTION("""COMPUTED_VALUE"""),80.100375)</f>
        <v>80.100375</v>
      </c>
      <c r="F1511" s="4">
        <f>IFERROR(__xludf.DUMMYFUNCTION("""COMPUTED_VALUE"""),3143.0)</f>
        <v>3143</v>
      </c>
      <c r="G1511" s="4">
        <f>IFERROR(__xludf.DUMMYFUNCTION("""COMPUTED_VALUE"""),6.0)</f>
        <v>6</v>
      </c>
      <c r="H1511" s="4"/>
      <c r="I1511" s="4"/>
    </row>
    <row r="1512">
      <c r="A1512" s="4" t="str">
        <f>IFERROR(__xludf.DUMMYFUNCTION("""COMPUTED_VALUE"""),"cas_hmw")</f>
        <v>cas_hmw</v>
      </c>
      <c r="B1512" s="5">
        <f>IFERROR(__xludf.DUMMYFUNCTION("""COMPUTED_VALUE"""),44782.0)</f>
        <v>44782</v>
      </c>
      <c r="C1512" s="6">
        <f>IFERROR(__xludf.DUMMYFUNCTION("""COMPUTED_VALUE"""),0.752407407406281)</f>
        <v>0.7524074074</v>
      </c>
      <c r="D1512" s="4">
        <f>IFERROR(__xludf.DUMMYFUNCTION("""COMPUTED_VALUE"""),13.018714)</f>
        <v>13.018714</v>
      </c>
      <c r="E1512" s="4">
        <f>IFERROR(__xludf.DUMMYFUNCTION("""COMPUTED_VALUE"""),80.103331)</f>
        <v>80.103331</v>
      </c>
      <c r="F1512" s="4">
        <f>IFERROR(__xludf.DUMMYFUNCTION("""COMPUTED_VALUE"""),3143.0)</f>
        <v>3143</v>
      </c>
      <c r="G1512" s="4">
        <f>IFERROR(__xludf.DUMMYFUNCTION("""COMPUTED_VALUE"""),16.0)</f>
        <v>16</v>
      </c>
      <c r="H1512" s="4"/>
      <c r="I1512" s="4"/>
    </row>
    <row r="1513">
      <c r="A1513" s="4" t="str">
        <f>IFERROR(__xludf.DUMMYFUNCTION("""COMPUTED_VALUE"""),"cas_hmw")</f>
        <v>cas_hmw</v>
      </c>
      <c r="B1513" s="5">
        <f>IFERROR(__xludf.DUMMYFUNCTION("""COMPUTED_VALUE"""),44782.0)</f>
        <v>44782</v>
      </c>
      <c r="C1513" s="6">
        <f>IFERROR(__xludf.DUMMYFUNCTION("""COMPUTED_VALUE"""),0.75251157407547)</f>
        <v>0.7525115741</v>
      </c>
      <c r="D1513" s="4">
        <f>IFERROR(__xludf.DUMMYFUNCTION("""COMPUTED_VALUE"""),13.018952)</f>
        <v>13.018952</v>
      </c>
      <c r="E1513" s="4">
        <f>IFERROR(__xludf.DUMMYFUNCTION("""COMPUTED_VALUE"""),80.103553)</f>
        <v>80.103553</v>
      </c>
      <c r="F1513" s="4">
        <f>IFERROR(__xludf.DUMMYFUNCTION("""COMPUTED_VALUE"""),3143.0)</f>
        <v>3143</v>
      </c>
      <c r="G1513" s="4">
        <f>IFERROR(__xludf.DUMMYFUNCTION("""COMPUTED_VALUE"""),13.0)</f>
        <v>13</v>
      </c>
      <c r="H1513" s="4"/>
      <c r="I1513" s="4"/>
    </row>
    <row r="1514">
      <c r="A1514" s="4" t="str">
        <f>IFERROR(__xludf.DUMMYFUNCTION("""COMPUTED_VALUE"""),"cas_hmw")</f>
        <v>cas_hmw</v>
      </c>
      <c r="B1514" s="5">
        <f>IFERROR(__xludf.DUMMYFUNCTION("""COMPUTED_VALUE"""),44782.0)</f>
        <v>44782</v>
      </c>
      <c r="C1514" s="6">
        <f>IFERROR(__xludf.DUMMYFUNCTION("""COMPUTED_VALUE"""),0.7525231481486117)</f>
        <v>0.7525231481</v>
      </c>
      <c r="D1514" s="4">
        <f>IFERROR(__xludf.DUMMYFUNCTION("""COMPUTED_VALUE"""),13.018952)</f>
        <v>13.018952</v>
      </c>
      <c r="E1514" s="4">
        <f>IFERROR(__xludf.DUMMYFUNCTION("""COMPUTED_VALUE"""),80.103553)</f>
        <v>80.103553</v>
      </c>
      <c r="F1514" s="4">
        <f>IFERROR(__xludf.DUMMYFUNCTION("""COMPUTED_VALUE"""),3143.0)</f>
        <v>3143</v>
      </c>
      <c r="G1514" s="4">
        <f>IFERROR(__xludf.DUMMYFUNCTION("""COMPUTED_VALUE"""),13.0)</f>
        <v>13</v>
      </c>
      <c r="H1514" s="4"/>
      <c r="I1514" s="4"/>
    </row>
    <row r="1515">
      <c r="A1515" s="4" t="str">
        <f>IFERROR(__xludf.DUMMYFUNCTION("""COMPUTED_VALUE"""),"cas_hmw")</f>
        <v>cas_hmw</v>
      </c>
      <c r="B1515" s="5">
        <f>IFERROR(__xludf.DUMMYFUNCTION("""COMPUTED_VALUE"""),44782.0)</f>
        <v>44782</v>
      </c>
      <c r="C1515" s="6">
        <f>IFERROR(__xludf.DUMMYFUNCTION("""COMPUTED_VALUE"""),0.752650462964084)</f>
        <v>0.752650463</v>
      </c>
      <c r="D1515" s="4">
        <f>IFERROR(__xludf.DUMMYFUNCTION("""COMPUTED_VALUE"""),13.018952)</f>
        <v>13.018952</v>
      </c>
      <c r="E1515" s="4">
        <f>IFERROR(__xludf.DUMMYFUNCTION("""COMPUTED_VALUE"""),80.103553)</f>
        <v>80.103553</v>
      </c>
      <c r="F1515" s="4">
        <f>IFERROR(__xludf.DUMMYFUNCTION("""COMPUTED_VALUE"""),3143.0)</f>
        <v>3143</v>
      </c>
      <c r="G1515" s="4">
        <f>IFERROR(__xludf.DUMMYFUNCTION("""COMPUTED_VALUE"""),13.0)</f>
        <v>13</v>
      </c>
      <c r="H1515" s="4"/>
      <c r="I1515" s="4"/>
    </row>
    <row r="1516">
      <c r="A1516" s="4" t="str">
        <f>IFERROR(__xludf.DUMMYFUNCTION("""COMPUTED_VALUE"""),"cas_hmw")</f>
        <v>cas_hmw</v>
      </c>
      <c r="B1516" s="5">
        <f>IFERROR(__xludf.DUMMYFUNCTION("""COMPUTED_VALUE"""),44782.0)</f>
        <v>44782</v>
      </c>
      <c r="C1516" s="6">
        <f>IFERROR(__xludf.DUMMYFUNCTION("""COMPUTED_VALUE"""),0.7556134259248211)</f>
        <v>0.7556134259</v>
      </c>
      <c r="D1516" s="4">
        <f>IFERROR(__xludf.DUMMYFUNCTION("""COMPUTED_VALUE"""),13.031006)</f>
        <v>13.031006</v>
      </c>
      <c r="E1516" s="4">
        <f>IFERROR(__xludf.DUMMYFUNCTION("""COMPUTED_VALUE"""),80.111183)</f>
        <v>80.111183</v>
      </c>
      <c r="F1516" s="4">
        <f>IFERROR(__xludf.DUMMYFUNCTION("""COMPUTED_VALUE"""),3143.0)</f>
        <v>3143</v>
      </c>
      <c r="G1516" s="4">
        <f>IFERROR(__xludf.DUMMYFUNCTION("""COMPUTED_VALUE"""),10.0)</f>
        <v>10</v>
      </c>
      <c r="H1516" s="4"/>
      <c r="I1516" s="4"/>
    </row>
    <row r="1517">
      <c r="A1517" s="4" t="str">
        <f>IFERROR(__xludf.DUMMYFUNCTION("""COMPUTED_VALUE"""),"cas_hmw")</f>
        <v>cas_hmw</v>
      </c>
      <c r="B1517" s="5">
        <f>IFERROR(__xludf.DUMMYFUNCTION("""COMPUTED_VALUE"""),44782.0)</f>
        <v>44782</v>
      </c>
      <c r="C1517" s="6">
        <f>IFERROR(__xludf.DUMMYFUNCTION("""COMPUTED_VALUE"""),0.7556134259248211)</f>
        <v>0.7556134259</v>
      </c>
      <c r="D1517" s="4">
        <f>IFERROR(__xludf.DUMMYFUNCTION("""COMPUTED_VALUE"""),13.031006)</f>
        <v>13.031006</v>
      </c>
      <c r="E1517" s="4">
        <f>IFERROR(__xludf.DUMMYFUNCTION("""COMPUTED_VALUE"""),80.111183)</f>
        <v>80.111183</v>
      </c>
      <c r="F1517" s="4">
        <f>IFERROR(__xludf.DUMMYFUNCTION("""COMPUTED_VALUE"""),3143.0)</f>
        <v>3143</v>
      </c>
      <c r="G1517" s="4">
        <f>IFERROR(__xludf.DUMMYFUNCTION("""COMPUTED_VALUE"""),10.0)</f>
        <v>10</v>
      </c>
      <c r="H1517" s="4"/>
      <c r="I1517" s="4"/>
    </row>
    <row r="1518">
      <c r="A1518" s="4" t="str">
        <f>IFERROR(__xludf.DUMMYFUNCTION("""COMPUTED_VALUE"""),"cas_hmw")</f>
        <v>cas_hmw</v>
      </c>
      <c r="B1518" s="5">
        <f>IFERROR(__xludf.DUMMYFUNCTION("""COMPUTED_VALUE"""),44782.0)</f>
        <v>44782</v>
      </c>
      <c r="C1518" s="6">
        <f>IFERROR(__xludf.DUMMYFUNCTION("""COMPUTED_VALUE"""),0.7556481481478841)</f>
        <v>0.7556481481</v>
      </c>
      <c r="D1518" s="4">
        <f>IFERROR(__xludf.DUMMYFUNCTION("""COMPUTED_VALUE"""),13.031006)</f>
        <v>13.031006</v>
      </c>
      <c r="E1518" s="4">
        <f>IFERROR(__xludf.DUMMYFUNCTION("""COMPUTED_VALUE"""),80.111183)</f>
        <v>80.111183</v>
      </c>
      <c r="F1518" s="4">
        <f>IFERROR(__xludf.DUMMYFUNCTION("""COMPUTED_VALUE"""),3143.0)</f>
        <v>3143</v>
      </c>
      <c r="G1518" s="4">
        <f>IFERROR(__xludf.DUMMYFUNCTION("""COMPUTED_VALUE"""),10.0)</f>
        <v>10</v>
      </c>
      <c r="H1518" s="4"/>
      <c r="I1518" s="4"/>
    </row>
    <row r="1519">
      <c r="A1519" s="4" t="str">
        <f>IFERROR(__xludf.DUMMYFUNCTION("""COMPUTED_VALUE"""),"cas_hmw")</f>
        <v>cas_hmw</v>
      </c>
      <c r="B1519" s="5">
        <f>IFERROR(__xludf.DUMMYFUNCTION("""COMPUTED_VALUE"""),44782.0)</f>
        <v>44782</v>
      </c>
      <c r="C1519" s="6">
        <f>IFERROR(__xludf.DUMMYFUNCTION("""COMPUTED_VALUE"""),0.7556828703709471)</f>
        <v>0.7556828704</v>
      </c>
      <c r="D1519" s="4">
        <f>IFERROR(__xludf.DUMMYFUNCTION("""COMPUTED_VALUE"""),13.031438)</f>
        <v>13.031438</v>
      </c>
      <c r="E1519" s="4">
        <f>IFERROR(__xludf.DUMMYFUNCTION("""COMPUTED_VALUE"""),80.111128)</f>
        <v>80.111128</v>
      </c>
      <c r="F1519" s="4">
        <f>IFERROR(__xludf.DUMMYFUNCTION("""COMPUTED_VALUE"""),3143.0)</f>
        <v>3143</v>
      </c>
      <c r="G1519" s="4">
        <f>IFERROR(__xludf.DUMMYFUNCTION("""COMPUTED_VALUE"""),0.0)</f>
        <v>0</v>
      </c>
      <c r="H1519" s="4"/>
      <c r="I1519" s="4"/>
    </row>
    <row r="1520">
      <c r="A1520" s="4" t="str">
        <f>IFERROR(__xludf.DUMMYFUNCTION("""COMPUTED_VALUE"""),"cas_hmw")</f>
        <v>cas_hmw</v>
      </c>
      <c r="B1520" s="5">
        <f>IFERROR(__xludf.DUMMYFUNCTION("""COMPUTED_VALUE"""),44782.0)</f>
        <v>44782</v>
      </c>
      <c r="C1520" s="6">
        <f>IFERROR(__xludf.DUMMYFUNCTION("""COMPUTED_VALUE"""),0.7556944444440887)</f>
        <v>0.7556944444</v>
      </c>
      <c r="D1520" s="4">
        <f>IFERROR(__xludf.DUMMYFUNCTION("""COMPUTED_VALUE"""),13.031438)</f>
        <v>13.031438</v>
      </c>
      <c r="E1520" s="4">
        <f>IFERROR(__xludf.DUMMYFUNCTION("""COMPUTED_VALUE"""),80.111128)</f>
        <v>80.111128</v>
      </c>
      <c r="F1520" s="4">
        <f>IFERROR(__xludf.DUMMYFUNCTION("""COMPUTED_VALUE"""),3143.0)</f>
        <v>3143</v>
      </c>
      <c r="G1520" s="4">
        <f>IFERROR(__xludf.DUMMYFUNCTION("""COMPUTED_VALUE"""),0.0)</f>
        <v>0</v>
      </c>
      <c r="H1520" s="4"/>
      <c r="I1520" s="4"/>
    </row>
    <row r="1521">
      <c r="A1521" s="4" t="str">
        <f>IFERROR(__xludf.DUMMYFUNCTION("""COMPUTED_VALUE"""),"cas_hmw")</f>
        <v>cas_hmw</v>
      </c>
      <c r="B1521" s="5">
        <f>IFERROR(__xludf.DUMMYFUNCTION("""COMPUTED_VALUE"""),44782.0)</f>
        <v>44782</v>
      </c>
      <c r="C1521" s="6">
        <f>IFERROR(__xludf.DUMMYFUNCTION("""COMPUTED_VALUE"""),0.7578125)</f>
        <v>0.7578125</v>
      </c>
      <c r="D1521" s="4">
        <f>IFERROR(__xludf.DUMMYFUNCTION("""COMPUTED_VALUE"""),13.039322)</f>
        <v>13.039322</v>
      </c>
      <c r="E1521" s="4">
        <f>IFERROR(__xludf.DUMMYFUNCTION("""COMPUTED_VALUE"""),80.113595)</f>
        <v>80.113595</v>
      </c>
      <c r="F1521" s="4">
        <f>IFERROR(__xludf.DUMMYFUNCTION("""COMPUTED_VALUE"""),3143.0)</f>
        <v>3143</v>
      </c>
      <c r="G1521" s="4">
        <f>IFERROR(__xludf.DUMMYFUNCTION("""COMPUTED_VALUE"""),16.0)</f>
        <v>16</v>
      </c>
      <c r="H1521" s="4"/>
      <c r="I1521" s="4"/>
    </row>
    <row r="1522">
      <c r="A1522" s="4" t="str">
        <f>IFERROR(__xludf.DUMMYFUNCTION("""COMPUTED_VALUE"""),"cas_hmw")</f>
        <v>cas_hmw</v>
      </c>
      <c r="B1522" s="5">
        <f>IFERROR(__xludf.DUMMYFUNCTION("""COMPUTED_VALUE"""),44782.0)</f>
        <v>44782</v>
      </c>
      <c r="C1522" s="6">
        <f>IFERROR(__xludf.DUMMYFUNCTION("""COMPUTED_VALUE"""),0.7594675925938645)</f>
        <v>0.7594675926</v>
      </c>
      <c r="D1522" s="4">
        <f>IFERROR(__xludf.DUMMYFUNCTION("""COMPUTED_VALUE"""),13.045085)</f>
        <v>13.045085</v>
      </c>
      <c r="E1522" s="4">
        <f>IFERROR(__xludf.DUMMYFUNCTION("""COMPUTED_VALUE"""),80.116323)</f>
        <v>80.116323</v>
      </c>
      <c r="F1522" s="4">
        <f>IFERROR(__xludf.DUMMYFUNCTION("""COMPUTED_VALUE"""),3143.0)</f>
        <v>3143</v>
      </c>
      <c r="G1522" s="4">
        <f>IFERROR(__xludf.DUMMYFUNCTION("""COMPUTED_VALUE"""),14.0)</f>
        <v>14</v>
      </c>
      <c r="H1522" s="4"/>
      <c r="I1522" s="4"/>
    </row>
    <row r="1523">
      <c r="A1523" s="4" t="str">
        <f>IFERROR(__xludf.DUMMYFUNCTION("""COMPUTED_VALUE"""),"cas_hmw")</f>
        <v>cas_hmw</v>
      </c>
      <c r="B1523" s="5">
        <f>IFERROR(__xludf.DUMMYFUNCTION("""COMPUTED_VALUE"""),44782.0)</f>
        <v>44782</v>
      </c>
      <c r="C1523" s="6">
        <f>IFERROR(__xludf.DUMMYFUNCTION("""COMPUTED_VALUE"""),0.7661111111119681)</f>
        <v>0.7661111111</v>
      </c>
      <c r="D1523" s="4">
        <f>IFERROR(__xludf.DUMMYFUNCTION("""COMPUTED_VALUE"""),13.056432)</f>
        <v>13.056432</v>
      </c>
      <c r="E1523" s="4">
        <f>IFERROR(__xludf.DUMMYFUNCTION("""COMPUTED_VALUE"""),80.097452)</f>
        <v>80.097452</v>
      </c>
      <c r="F1523" s="4">
        <f>IFERROR(__xludf.DUMMYFUNCTION("""COMPUTED_VALUE"""),3143.0)</f>
        <v>3143</v>
      </c>
      <c r="G1523" s="4">
        <f>IFERROR(__xludf.DUMMYFUNCTION("""COMPUTED_VALUE"""),12.0)</f>
        <v>12</v>
      </c>
      <c r="H1523" s="4"/>
      <c r="I1523" s="4"/>
    </row>
    <row r="1524">
      <c r="A1524" s="4" t="str">
        <f>IFERROR(__xludf.DUMMYFUNCTION("""COMPUTED_VALUE"""),"cas_hmw")</f>
        <v>cas_hmw</v>
      </c>
      <c r="B1524" s="5">
        <f>IFERROR(__xludf.DUMMYFUNCTION("""COMPUTED_VALUE"""),44783.0)</f>
        <v>44783</v>
      </c>
      <c r="C1524" s="6">
        <f>IFERROR(__xludf.DUMMYFUNCTION("""COMPUTED_VALUE"""),0.294189814816491)</f>
        <v>0.2941898148</v>
      </c>
      <c r="D1524" s="4">
        <f>IFERROR(__xludf.DUMMYFUNCTION("""COMPUTED_VALUE"""),12.508899)</f>
        <v>12.508899</v>
      </c>
      <c r="E1524" s="4">
        <f>IFERROR(__xludf.DUMMYFUNCTION("""COMPUTED_VALUE"""),79.882084)</f>
        <v>79.882084</v>
      </c>
      <c r="F1524" s="4">
        <f>IFERROR(__xludf.DUMMYFUNCTION("""COMPUTED_VALUE"""),2846.0)</f>
        <v>2846</v>
      </c>
      <c r="G1524" s="4">
        <f>IFERROR(__xludf.DUMMYFUNCTION("""COMPUTED_VALUE"""),15.0)</f>
        <v>15</v>
      </c>
      <c r="H1524" s="4"/>
      <c r="I1524" s="4"/>
    </row>
    <row r="1525">
      <c r="A1525" s="4" t="str">
        <f>IFERROR(__xludf.DUMMYFUNCTION("""COMPUTED_VALUE"""),"cas_hmw")</f>
        <v>cas_hmw</v>
      </c>
      <c r="B1525" s="5">
        <f>IFERROR(__xludf.DUMMYFUNCTION("""COMPUTED_VALUE"""),44783.0)</f>
        <v>44783</v>
      </c>
      <c r="C1525" s="6">
        <f>IFERROR(__xludf.DUMMYFUNCTION("""COMPUTED_VALUE"""),0.31568287036861875)</f>
        <v>0.3156828704</v>
      </c>
      <c r="D1525" s="4">
        <f>IFERROR(__xludf.DUMMYFUNCTION("""COMPUTED_VALUE"""),12.987754)</f>
        <v>12.987754</v>
      </c>
      <c r="E1525" s="4">
        <f>IFERROR(__xludf.DUMMYFUNCTION("""COMPUTED_VALUE"""),80.118356)</f>
        <v>80.118356</v>
      </c>
      <c r="F1525" s="4">
        <f>IFERROR(__xludf.DUMMYFUNCTION("""COMPUTED_VALUE"""),3143.0)</f>
        <v>3143</v>
      </c>
      <c r="G1525" s="4">
        <f>IFERROR(__xludf.DUMMYFUNCTION("""COMPUTED_VALUE"""),16.0)</f>
        <v>16</v>
      </c>
      <c r="H1525" s="4"/>
      <c r="I1525" s="4"/>
    </row>
    <row r="1526">
      <c r="A1526" s="4" t="str">
        <f>IFERROR(__xludf.DUMMYFUNCTION("""COMPUTED_VALUE"""),"cas_hmw")</f>
        <v>cas_hmw</v>
      </c>
      <c r="B1526" s="5">
        <f>IFERROR(__xludf.DUMMYFUNCTION("""COMPUTED_VALUE"""),44783.0)</f>
        <v>44783</v>
      </c>
      <c r="C1526" s="6">
        <f>IFERROR(__xludf.DUMMYFUNCTION("""COMPUTED_VALUE"""),0.31612268518438214)</f>
        <v>0.3161226852</v>
      </c>
      <c r="D1526" s="4">
        <f>IFERROR(__xludf.DUMMYFUNCTION("""COMPUTED_VALUE"""),12.9864)</f>
        <v>12.9864</v>
      </c>
      <c r="E1526" s="4">
        <f>IFERROR(__xludf.DUMMYFUNCTION("""COMPUTED_VALUE"""),80.119418)</f>
        <v>80.119418</v>
      </c>
      <c r="F1526" s="4">
        <f>IFERROR(__xludf.DUMMYFUNCTION("""COMPUTED_VALUE"""),3143.0)</f>
        <v>3143</v>
      </c>
      <c r="G1526" s="4">
        <f>IFERROR(__xludf.DUMMYFUNCTION("""COMPUTED_VALUE"""),19.0)</f>
        <v>19</v>
      </c>
      <c r="H1526" s="4"/>
      <c r="I1526" s="4"/>
    </row>
    <row r="1527">
      <c r="A1527" s="4" t="str">
        <f>IFERROR(__xludf.DUMMYFUNCTION("""COMPUTED_VALUE"""),"cas_hmw")</f>
        <v>cas_hmw</v>
      </c>
      <c r="B1527" s="5">
        <f>IFERROR(__xludf.DUMMYFUNCTION("""COMPUTED_VALUE"""),44783.0)</f>
        <v>44783</v>
      </c>
      <c r="C1527" s="6">
        <f>IFERROR(__xludf.DUMMYFUNCTION("""COMPUTED_VALUE"""),0.31811342592482106)</f>
        <v>0.3181134259</v>
      </c>
      <c r="D1527" s="4">
        <f>IFERROR(__xludf.DUMMYFUNCTION("""COMPUTED_VALUE"""),13.031121)</f>
        <v>13.031121</v>
      </c>
      <c r="E1527" s="4">
        <f>IFERROR(__xludf.DUMMYFUNCTION("""COMPUTED_VALUE"""),80.240028)</f>
        <v>80.240028</v>
      </c>
      <c r="F1527" s="4">
        <f>IFERROR(__xludf.DUMMYFUNCTION("""COMPUTED_VALUE"""),5339.0)</f>
        <v>5339</v>
      </c>
      <c r="G1527" s="4">
        <f>IFERROR(__xludf.DUMMYFUNCTION("""COMPUTED_VALUE"""),11.0)</f>
        <v>11</v>
      </c>
      <c r="H1527" s="4"/>
      <c r="I1527" s="4"/>
    </row>
    <row r="1528">
      <c r="A1528" s="4" t="str">
        <f>IFERROR(__xludf.DUMMYFUNCTION("""COMPUTED_VALUE"""),"cas_hmw")</f>
        <v>cas_hmw</v>
      </c>
      <c r="B1528" s="5">
        <f>IFERROR(__xludf.DUMMYFUNCTION("""COMPUTED_VALUE"""),44783.0)</f>
        <v>44783</v>
      </c>
      <c r="C1528" s="6">
        <f>IFERROR(__xludf.DUMMYFUNCTION("""COMPUTED_VALUE"""),0.3187962962947495)</f>
        <v>0.3187962963</v>
      </c>
      <c r="D1528" s="4">
        <f>IFERROR(__xludf.DUMMYFUNCTION("""COMPUTED_VALUE"""),12.981714)</f>
        <v>12.981714</v>
      </c>
      <c r="E1528" s="4">
        <f>IFERROR(__xludf.DUMMYFUNCTION("""COMPUTED_VALUE"""),80.129293)</f>
        <v>80.129293</v>
      </c>
      <c r="F1528" s="4">
        <f>IFERROR(__xludf.DUMMYFUNCTION("""COMPUTED_VALUE"""),3143.0)</f>
        <v>3143</v>
      </c>
      <c r="G1528" s="4">
        <f>IFERROR(__xludf.DUMMYFUNCTION("""COMPUTED_VALUE"""),14.0)</f>
        <v>14</v>
      </c>
      <c r="H1528" s="4"/>
      <c r="I1528" s="4"/>
    </row>
    <row r="1529">
      <c r="A1529" s="4" t="str">
        <f>IFERROR(__xludf.DUMMYFUNCTION("""COMPUTED_VALUE"""),"cas_hmw")</f>
        <v>cas_hmw</v>
      </c>
      <c r="B1529" s="5">
        <f>IFERROR(__xludf.DUMMYFUNCTION("""COMPUTED_VALUE"""),44783.0)</f>
        <v>44783</v>
      </c>
      <c r="C1529" s="6">
        <f>IFERROR(__xludf.DUMMYFUNCTION("""COMPUTED_VALUE"""),0.3191203703718202)</f>
        <v>0.3191203704</v>
      </c>
      <c r="D1529" s="4">
        <f>IFERROR(__xludf.DUMMYFUNCTION("""COMPUTED_VALUE"""),12.678012)</f>
        <v>12.678012</v>
      </c>
      <c r="E1529" s="4">
        <f>IFERROR(__xludf.DUMMYFUNCTION("""COMPUTED_VALUE"""),79.979569)</f>
        <v>79.979569</v>
      </c>
      <c r="F1529" s="4">
        <f>IFERROR(__xludf.DUMMYFUNCTION("""COMPUTED_VALUE"""),2846.0)</f>
        <v>2846</v>
      </c>
      <c r="G1529" s="4">
        <f>IFERROR(__xludf.DUMMYFUNCTION("""COMPUTED_VALUE"""),14.0)</f>
        <v>14</v>
      </c>
      <c r="H1529" s="4"/>
      <c r="I1529" s="4"/>
    </row>
    <row r="1530">
      <c r="A1530" s="4" t="str">
        <f>IFERROR(__xludf.DUMMYFUNCTION("""COMPUTED_VALUE"""),"cas_hmw")</f>
        <v>cas_hmw</v>
      </c>
      <c r="B1530" s="5">
        <f>IFERROR(__xludf.DUMMYFUNCTION("""COMPUTED_VALUE"""),44783.0)</f>
        <v>44783</v>
      </c>
      <c r="C1530" s="6">
        <f>IFERROR(__xludf.DUMMYFUNCTION("""COMPUTED_VALUE"""),0.32403935185357113)</f>
        <v>0.3240393519</v>
      </c>
      <c r="D1530" s="4">
        <f>IFERROR(__xludf.DUMMYFUNCTION("""COMPUTED_VALUE"""),13.008945)</f>
        <v>13.008945</v>
      </c>
      <c r="E1530" s="4">
        <f>IFERROR(__xludf.DUMMYFUNCTION("""COMPUTED_VALUE"""),80.211805)</f>
        <v>80.211805</v>
      </c>
      <c r="F1530" s="4">
        <f>IFERROR(__xludf.DUMMYFUNCTION("""COMPUTED_VALUE"""),5339.0)</f>
        <v>5339</v>
      </c>
      <c r="G1530" s="4">
        <f>IFERROR(__xludf.DUMMYFUNCTION("""COMPUTED_VALUE"""),17.0)</f>
        <v>17</v>
      </c>
      <c r="H1530" s="4"/>
      <c r="I1530" s="4"/>
    </row>
    <row r="1531">
      <c r="A1531" s="4" t="str">
        <f>IFERROR(__xludf.DUMMYFUNCTION("""COMPUTED_VALUE"""),"cas_hmw")</f>
        <v>cas_hmw</v>
      </c>
      <c r="B1531" s="5">
        <f>IFERROR(__xludf.DUMMYFUNCTION("""COMPUTED_VALUE"""),44783.0)</f>
        <v>44783</v>
      </c>
      <c r="C1531" s="6">
        <f>IFERROR(__xludf.DUMMYFUNCTION("""COMPUTED_VALUE"""),0.32490740740831825)</f>
        <v>0.3249074074</v>
      </c>
      <c r="D1531" s="4">
        <f>IFERROR(__xludf.DUMMYFUNCTION("""COMPUTED_VALUE"""),12.697189)</f>
        <v>12.697189</v>
      </c>
      <c r="E1531" s="4">
        <f>IFERROR(__xludf.DUMMYFUNCTION("""COMPUTED_VALUE"""),79.972602)</f>
        <v>79.972602</v>
      </c>
      <c r="F1531" s="4">
        <f>IFERROR(__xludf.DUMMYFUNCTION("""COMPUTED_VALUE"""),2846.0)</f>
        <v>2846</v>
      </c>
      <c r="G1531" s="4">
        <f>IFERROR(__xludf.DUMMYFUNCTION("""COMPUTED_VALUE"""),0.0)</f>
        <v>0</v>
      </c>
      <c r="H1531" s="4"/>
      <c r="I1531" s="4"/>
    </row>
    <row r="1532">
      <c r="A1532" s="4" t="str">
        <f>IFERROR(__xludf.DUMMYFUNCTION("""COMPUTED_VALUE"""),"cas_hmw")</f>
        <v>cas_hmw</v>
      </c>
      <c r="B1532" s="5">
        <f>IFERROR(__xludf.DUMMYFUNCTION("""COMPUTED_VALUE"""),44783.0)</f>
        <v>44783</v>
      </c>
      <c r="C1532" s="6">
        <f>IFERROR(__xludf.DUMMYFUNCTION("""COMPUTED_VALUE"""),0.33363425925927004)</f>
        <v>0.3336342593</v>
      </c>
      <c r="D1532" s="4">
        <f>IFERROR(__xludf.DUMMYFUNCTION("""COMPUTED_VALUE"""),12.966356)</f>
        <v>12.966356</v>
      </c>
      <c r="E1532" s="4">
        <f>IFERROR(__xludf.DUMMYFUNCTION("""COMPUTED_VALUE"""),80.148725)</f>
        <v>80.148725</v>
      </c>
      <c r="F1532" s="4">
        <f>IFERROR(__xludf.DUMMYFUNCTION("""COMPUTED_VALUE"""),3143.0)</f>
        <v>3143</v>
      </c>
      <c r="G1532" s="4">
        <f>IFERROR(__xludf.DUMMYFUNCTION("""COMPUTED_VALUE"""),20.0)</f>
        <v>20</v>
      </c>
      <c r="H1532" s="4"/>
      <c r="I1532" s="4"/>
    </row>
    <row r="1533">
      <c r="A1533" s="4" t="str">
        <f>IFERROR(__xludf.DUMMYFUNCTION("""COMPUTED_VALUE"""),"cas_hmw")</f>
        <v>cas_hmw</v>
      </c>
      <c r="B1533" s="5">
        <f>IFERROR(__xludf.DUMMYFUNCTION("""COMPUTED_VALUE"""),44783.0)</f>
        <v>44783</v>
      </c>
      <c r="C1533" s="6">
        <f>IFERROR(__xludf.DUMMYFUNCTION("""COMPUTED_VALUE"""),0.33547453703795327)</f>
        <v>0.335474537</v>
      </c>
      <c r="D1533" s="4">
        <f>IFERROR(__xludf.DUMMYFUNCTION("""COMPUTED_VALUE"""),12.955822)</f>
        <v>12.955822</v>
      </c>
      <c r="E1533" s="4">
        <f>IFERROR(__xludf.DUMMYFUNCTION("""COMPUTED_VALUE"""),80.143013)</f>
        <v>80.143013</v>
      </c>
      <c r="F1533" s="4">
        <f>IFERROR(__xludf.DUMMYFUNCTION("""COMPUTED_VALUE"""),5339.0)</f>
        <v>5339</v>
      </c>
      <c r="G1533" s="4">
        <f>IFERROR(__xludf.DUMMYFUNCTION("""COMPUTED_VALUE"""),18.0)</f>
        <v>18</v>
      </c>
      <c r="H1533" s="4"/>
      <c r="I1533" s="4"/>
    </row>
    <row r="1534">
      <c r="A1534" s="4" t="str">
        <f>IFERROR(__xludf.DUMMYFUNCTION("""COMPUTED_VALUE"""),"cas_hmw")</f>
        <v>cas_hmw</v>
      </c>
      <c r="B1534" s="5">
        <f>IFERROR(__xludf.DUMMYFUNCTION("""COMPUTED_VALUE"""),44783.0)</f>
        <v>44783</v>
      </c>
      <c r="C1534" s="6">
        <f>IFERROR(__xludf.DUMMYFUNCTION("""COMPUTED_VALUE"""),0.3429513888877409)</f>
        <v>0.3429513889</v>
      </c>
      <c r="D1534" s="4">
        <f>IFERROR(__xludf.DUMMYFUNCTION("""COMPUTED_VALUE"""),12.84063)</f>
        <v>12.84063</v>
      </c>
      <c r="E1534" s="4">
        <f>IFERROR(__xludf.DUMMYFUNCTION("""COMPUTED_VALUE"""),80.056032)</f>
        <v>80.056032</v>
      </c>
      <c r="F1534" s="4">
        <f>IFERROR(__xludf.DUMMYFUNCTION("""COMPUTED_VALUE"""),2846.0)</f>
        <v>2846</v>
      </c>
      <c r="G1534" s="4">
        <f>IFERROR(__xludf.DUMMYFUNCTION("""COMPUTED_VALUE"""),9.0)</f>
        <v>9</v>
      </c>
      <c r="H1534" s="4"/>
      <c r="I1534" s="4"/>
    </row>
    <row r="1535">
      <c r="A1535" s="4" t="str">
        <f>IFERROR(__xludf.DUMMYFUNCTION("""COMPUTED_VALUE"""),"cas_hmw")</f>
        <v>cas_hmw</v>
      </c>
      <c r="B1535" s="5">
        <f>IFERROR(__xludf.DUMMYFUNCTION("""COMPUTED_VALUE"""),44783.0)</f>
        <v>44783</v>
      </c>
      <c r="C1535" s="6">
        <f>IFERROR(__xludf.DUMMYFUNCTION("""COMPUTED_VALUE"""),0.3448032407395658)</f>
        <v>0.3448032407</v>
      </c>
      <c r="D1535" s="4">
        <f>IFERROR(__xludf.DUMMYFUNCTION("""COMPUTED_VALUE"""),12.925759)</f>
        <v>12.925759</v>
      </c>
      <c r="E1535" s="4">
        <f>IFERROR(__xludf.DUMMYFUNCTION("""COMPUTED_VALUE"""),80.106141)</f>
        <v>80.106141</v>
      </c>
      <c r="F1535" s="4">
        <f>IFERROR(__xludf.DUMMYFUNCTION("""COMPUTED_VALUE"""),3143.0)</f>
        <v>3143</v>
      </c>
      <c r="G1535" s="4">
        <f>IFERROR(__xludf.DUMMYFUNCTION("""COMPUTED_VALUE"""),0.0)</f>
        <v>0</v>
      </c>
      <c r="H1535" s="4"/>
      <c r="I1535" s="4"/>
    </row>
    <row r="1536">
      <c r="A1536" s="4" t="str">
        <f>IFERROR(__xludf.DUMMYFUNCTION("""COMPUTED_VALUE"""),"cas_hmw")</f>
        <v>cas_hmw</v>
      </c>
      <c r="B1536" s="5">
        <f>IFERROR(__xludf.DUMMYFUNCTION("""COMPUTED_VALUE"""),44783.0)</f>
        <v>44783</v>
      </c>
      <c r="C1536" s="6">
        <f>IFERROR(__xludf.DUMMYFUNCTION("""COMPUTED_VALUE"""),0.346435185183509)</f>
        <v>0.3464351852</v>
      </c>
      <c r="D1536" s="4">
        <f>IFERROR(__xludf.DUMMYFUNCTION("""COMPUTED_VALUE"""),12.924712)</f>
        <v>12.924712</v>
      </c>
      <c r="E1536" s="4">
        <f>IFERROR(__xludf.DUMMYFUNCTION("""COMPUTED_VALUE"""),80.09957)</f>
        <v>80.09957</v>
      </c>
      <c r="F1536" s="4">
        <f>IFERROR(__xludf.DUMMYFUNCTION("""COMPUTED_VALUE"""),3143.0)</f>
        <v>3143</v>
      </c>
      <c r="G1536" s="4">
        <f>IFERROR(__xludf.DUMMYFUNCTION("""COMPUTED_VALUE"""),14.0)</f>
        <v>14</v>
      </c>
      <c r="H1536" s="4"/>
      <c r="I1536" s="4"/>
    </row>
    <row r="1537">
      <c r="A1537" s="4" t="str">
        <f>IFERROR(__xludf.DUMMYFUNCTION("""COMPUTED_VALUE"""),"cas_hmw")</f>
        <v>cas_hmw</v>
      </c>
      <c r="B1537" s="5">
        <f>IFERROR(__xludf.DUMMYFUNCTION("""COMPUTED_VALUE"""),44783.0)</f>
        <v>44783</v>
      </c>
      <c r="C1537" s="6">
        <f>IFERROR(__xludf.DUMMYFUNCTION("""COMPUTED_VALUE"""),0.3494212962978054)</f>
        <v>0.3494212963</v>
      </c>
      <c r="D1537" s="4">
        <f>IFERROR(__xludf.DUMMYFUNCTION("""COMPUTED_VALUE"""),12.918997)</f>
        <v>12.918997</v>
      </c>
      <c r="E1537" s="4">
        <f>IFERROR(__xludf.DUMMYFUNCTION("""COMPUTED_VALUE"""),80.08354)</f>
        <v>80.08354</v>
      </c>
      <c r="F1537" s="4">
        <f>IFERROR(__xludf.DUMMYFUNCTION("""COMPUTED_VALUE"""),3143.0)</f>
        <v>3143</v>
      </c>
      <c r="G1537" s="4">
        <f>IFERROR(__xludf.DUMMYFUNCTION("""COMPUTED_VALUE"""),12.0)</f>
        <v>12</v>
      </c>
      <c r="H1537" s="4"/>
      <c r="I1537" s="4"/>
    </row>
    <row r="1538">
      <c r="A1538" s="4" t="str">
        <f>IFERROR(__xludf.DUMMYFUNCTION("""COMPUTED_VALUE"""),"cas_hmw")</f>
        <v>cas_hmw</v>
      </c>
      <c r="B1538" s="5">
        <f>IFERROR(__xludf.DUMMYFUNCTION("""COMPUTED_VALUE"""),44783.0)</f>
        <v>44783</v>
      </c>
      <c r="C1538" s="6">
        <f>IFERROR(__xludf.DUMMYFUNCTION("""COMPUTED_VALUE"""),0.3559953703697829)</f>
        <v>0.3559953704</v>
      </c>
      <c r="D1538" s="4">
        <f>IFERROR(__xludf.DUMMYFUNCTION("""COMPUTED_VALUE"""),12.878847)</f>
        <v>12.878847</v>
      </c>
      <c r="E1538" s="4">
        <f>IFERROR(__xludf.DUMMYFUNCTION("""COMPUTED_VALUE"""),80.081055)</f>
        <v>80.081055</v>
      </c>
      <c r="F1538" s="4">
        <f>IFERROR(__xludf.DUMMYFUNCTION("""COMPUTED_VALUE"""),3143.0)</f>
        <v>3143</v>
      </c>
      <c r="G1538" s="4">
        <f>IFERROR(__xludf.DUMMYFUNCTION("""COMPUTED_VALUE"""),20.0)</f>
        <v>20</v>
      </c>
      <c r="H1538" s="4"/>
      <c r="I1538" s="4"/>
    </row>
    <row r="1539">
      <c r="A1539" s="4" t="str">
        <f>IFERROR(__xludf.DUMMYFUNCTION("""COMPUTED_VALUE"""),"cas_hmw")</f>
        <v>cas_hmw</v>
      </c>
      <c r="B1539" s="5">
        <f>IFERROR(__xludf.DUMMYFUNCTION("""COMPUTED_VALUE"""),44783.0)</f>
        <v>44783</v>
      </c>
      <c r="C1539" s="6">
        <f>IFERROR(__xludf.DUMMYFUNCTION("""COMPUTED_VALUE"""),0.6924305555548926)</f>
        <v>0.6924305556</v>
      </c>
      <c r="D1539" s="4">
        <f>IFERROR(__xludf.DUMMYFUNCTION("""COMPUTED_VALUE"""),12.860504)</f>
        <v>12.860504</v>
      </c>
      <c r="E1539" s="4">
        <f>IFERROR(__xludf.DUMMYFUNCTION("""COMPUTED_VALUE"""),80.072712)</f>
        <v>80.072712</v>
      </c>
      <c r="F1539" s="4">
        <f>IFERROR(__xludf.DUMMYFUNCTION("""COMPUTED_VALUE"""),2846.0)</f>
        <v>2846</v>
      </c>
      <c r="G1539" s="4">
        <f>IFERROR(__xludf.DUMMYFUNCTION("""COMPUTED_VALUE"""),8.0)</f>
        <v>8</v>
      </c>
      <c r="H1539" s="4"/>
      <c r="I1539" s="4"/>
    </row>
    <row r="1540">
      <c r="A1540" s="4" t="str">
        <f>IFERROR(__xludf.DUMMYFUNCTION("""COMPUTED_VALUE"""),"cas_hmw")</f>
        <v>cas_hmw</v>
      </c>
      <c r="B1540" s="5">
        <f>IFERROR(__xludf.DUMMYFUNCTION("""COMPUTED_VALUE"""),44783.0)</f>
        <v>44783</v>
      </c>
      <c r="C1540" s="6">
        <f>IFERROR(__xludf.DUMMYFUNCTION("""COMPUTED_VALUE"""),0.6971180555556202)</f>
        <v>0.6971180556</v>
      </c>
      <c r="D1540" s="4">
        <f>IFERROR(__xludf.DUMMYFUNCTION("""COMPUTED_VALUE"""),12.911599)</f>
        <v>12.911599</v>
      </c>
      <c r="E1540" s="4">
        <f>IFERROR(__xludf.DUMMYFUNCTION("""COMPUTED_VALUE"""),80.101262)</f>
        <v>80.101262</v>
      </c>
      <c r="F1540" s="4">
        <f>IFERROR(__xludf.DUMMYFUNCTION("""COMPUTED_VALUE"""),805.0)</f>
        <v>805</v>
      </c>
      <c r="G1540" s="4">
        <f>IFERROR(__xludf.DUMMYFUNCTION("""COMPUTED_VALUE"""),15.0)</f>
        <v>15</v>
      </c>
      <c r="H1540" s="4"/>
      <c r="I1540" s="4"/>
    </row>
    <row r="1541">
      <c r="A1541" s="4" t="str">
        <f>IFERROR(__xludf.DUMMYFUNCTION("""COMPUTED_VALUE"""),"cas_hmw")</f>
        <v>cas_hmw</v>
      </c>
      <c r="B1541" s="5">
        <f>IFERROR(__xludf.DUMMYFUNCTION("""COMPUTED_VALUE"""),44783.0)</f>
        <v>44783</v>
      </c>
      <c r="C1541" s="6">
        <f>IFERROR(__xludf.DUMMYFUNCTION("""COMPUTED_VALUE"""),0.700335648147302)</f>
        <v>0.7003356481</v>
      </c>
      <c r="D1541" s="4">
        <f>IFERROR(__xludf.DUMMYFUNCTION("""COMPUTED_VALUE"""),12.917002)</f>
        <v>12.917002</v>
      </c>
      <c r="E1541" s="4">
        <f>IFERROR(__xludf.DUMMYFUNCTION("""COMPUTED_VALUE"""),80.107098)</f>
        <v>80.107098</v>
      </c>
      <c r="F1541" s="4">
        <f>IFERROR(__xludf.DUMMYFUNCTION("""COMPUTED_VALUE"""),3143.0)</f>
        <v>3143</v>
      </c>
      <c r="G1541" s="4">
        <f>IFERROR(__xludf.DUMMYFUNCTION("""COMPUTED_VALUE"""),20.0)</f>
        <v>20</v>
      </c>
      <c r="H1541" s="4"/>
      <c r="I1541" s="4"/>
    </row>
    <row r="1542">
      <c r="A1542" s="4" t="str">
        <f>IFERROR(__xludf.DUMMYFUNCTION("""COMPUTED_VALUE"""),"cas_hmw")</f>
        <v>cas_hmw</v>
      </c>
      <c r="B1542" s="5">
        <f>IFERROR(__xludf.DUMMYFUNCTION("""COMPUTED_VALUE"""),44783.0)</f>
        <v>44783</v>
      </c>
      <c r="C1542" s="6">
        <f>IFERROR(__xludf.DUMMYFUNCTION("""COMPUTED_VALUE"""),0.705601851852407)</f>
        <v>0.7056018519</v>
      </c>
      <c r="D1542" s="4">
        <f>IFERROR(__xludf.DUMMYFUNCTION("""COMPUTED_VALUE"""),12.935821)</f>
        <v>12.935821</v>
      </c>
      <c r="E1542" s="4">
        <f>IFERROR(__xludf.DUMMYFUNCTION("""COMPUTED_VALUE"""),80.126745)</f>
        <v>80.126745</v>
      </c>
      <c r="F1542" s="4">
        <f>IFERROR(__xludf.DUMMYFUNCTION("""COMPUTED_VALUE"""),805.0)</f>
        <v>805</v>
      </c>
      <c r="G1542" s="4">
        <f>IFERROR(__xludf.DUMMYFUNCTION("""COMPUTED_VALUE"""),15.0)</f>
        <v>15</v>
      </c>
      <c r="H1542" s="4"/>
      <c r="I1542" s="4"/>
    </row>
    <row r="1543">
      <c r="A1543" s="4" t="str">
        <f>IFERROR(__xludf.DUMMYFUNCTION("""COMPUTED_VALUE"""),"cas_hmw")</f>
        <v>cas_hmw</v>
      </c>
      <c r="B1543" s="5">
        <f>IFERROR(__xludf.DUMMYFUNCTION("""COMPUTED_VALUE"""),44783.0)</f>
        <v>44783</v>
      </c>
      <c r="C1543" s="6">
        <f>IFERROR(__xludf.DUMMYFUNCTION("""COMPUTED_VALUE"""),0.705601851852407)</f>
        <v>0.7056018519</v>
      </c>
      <c r="D1543" s="4">
        <f>IFERROR(__xludf.DUMMYFUNCTION("""COMPUTED_VALUE"""),12.935821)</f>
        <v>12.935821</v>
      </c>
      <c r="E1543" s="4">
        <f>IFERROR(__xludf.DUMMYFUNCTION("""COMPUTED_VALUE"""),80.126745)</f>
        <v>80.126745</v>
      </c>
      <c r="F1543" s="4">
        <f>IFERROR(__xludf.DUMMYFUNCTION("""COMPUTED_VALUE"""),805.0)</f>
        <v>805</v>
      </c>
      <c r="G1543" s="4">
        <f>IFERROR(__xludf.DUMMYFUNCTION("""COMPUTED_VALUE"""),15.0)</f>
        <v>15</v>
      </c>
      <c r="H1543" s="4"/>
      <c r="I1543" s="4"/>
    </row>
    <row r="1544">
      <c r="A1544" s="4" t="str">
        <f>IFERROR(__xludf.DUMMYFUNCTION("""COMPUTED_VALUE"""),"cas_hmw")</f>
        <v>cas_hmw</v>
      </c>
      <c r="B1544" s="5">
        <f>IFERROR(__xludf.DUMMYFUNCTION("""COMPUTED_VALUE"""),44783.0)</f>
        <v>44783</v>
      </c>
      <c r="C1544" s="6">
        <f>IFERROR(__xludf.DUMMYFUNCTION("""COMPUTED_VALUE"""),0.7101967592607252)</f>
        <v>0.7101967593</v>
      </c>
      <c r="D1544" s="4">
        <f>IFERROR(__xludf.DUMMYFUNCTION("""COMPUTED_VALUE"""),12.955771)</f>
        <v>12.955771</v>
      </c>
      <c r="E1544" s="4">
        <f>IFERROR(__xludf.DUMMYFUNCTION("""COMPUTED_VALUE"""),80.142878)</f>
        <v>80.142878</v>
      </c>
      <c r="F1544" s="4">
        <f>IFERROR(__xludf.DUMMYFUNCTION("""COMPUTED_VALUE"""),5339.0)</f>
        <v>5339</v>
      </c>
      <c r="G1544" s="4">
        <f>IFERROR(__xludf.DUMMYFUNCTION("""COMPUTED_VALUE"""),10.0)</f>
        <v>10</v>
      </c>
      <c r="H1544" s="4"/>
      <c r="I1544" s="4"/>
    </row>
    <row r="1545">
      <c r="A1545" s="4" t="str">
        <f>IFERROR(__xludf.DUMMYFUNCTION("""COMPUTED_VALUE"""),"cas_hmw")</f>
        <v>cas_hmw</v>
      </c>
      <c r="B1545" s="5">
        <f>IFERROR(__xludf.DUMMYFUNCTION("""COMPUTED_VALUE"""),44783.0)</f>
        <v>44783</v>
      </c>
      <c r="C1545" s="6">
        <f>IFERROR(__xludf.DUMMYFUNCTION("""COMPUTED_VALUE"""),0.7102199074070086)</f>
        <v>0.7102199074</v>
      </c>
      <c r="D1545" s="4">
        <f>IFERROR(__xludf.DUMMYFUNCTION("""COMPUTED_VALUE"""),12.955771)</f>
        <v>12.955771</v>
      </c>
      <c r="E1545" s="4">
        <f>IFERROR(__xludf.DUMMYFUNCTION("""COMPUTED_VALUE"""),80.142878)</f>
        <v>80.142878</v>
      </c>
      <c r="F1545" s="4">
        <f>IFERROR(__xludf.DUMMYFUNCTION("""COMPUTED_VALUE"""),5339.0)</f>
        <v>5339</v>
      </c>
      <c r="G1545" s="4">
        <f>IFERROR(__xludf.DUMMYFUNCTION("""COMPUTED_VALUE"""),10.0)</f>
        <v>10</v>
      </c>
      <c r="H1545" s="4"/>
      <c r="I1545" s="4"/>
    </row>
    <row r="1546">
      <c r="A1546" s="4" t="str">
        <f>IFERROR(__xludf.DUMMYFUNCTION("""COMPUTED_VALUE"""),"cas_hmw")</f>
        <v>cas_hmw</v>
      </c>
      <c r="B1546" s="5">
        <f>IFERROR(__xludf.DUMMYFUNCTION("""COMPUTED_VALUE"""),44783.0)</f>
        <v>44783</v>
      </c>
      <c r="C1546" s="6">
        <f>IFERROR(__xludf.DUMMYFUNCTION("""COMPUTED_VALUE"""),0.7333912037029222)</f>
        <v>0.7333912037</v>
      </c>
      <c r="D1546" s="4">
        <f>IFERROR(__xludf.DUMMYFUNCTION("""COMPUTED_VALUE"""),13.034046)</f>
        <v>13.034046</v>
      </c>
      <c r="E1546" s="4">
        <f>IFERROR(__xludf.DUMMYFUNCTION("""COMPUTED_VALUE"""),80.244644)</f>
        <v>80.244644</v>
      </c>
      <c r="F1546" s="4">
        <f>IFERROR(__xludf.DUMMYFUNCTION("""COMPUTED_VALUE"""),5339.0)</f>
        <v>5339</v>
      </c>
      <c r="G1546" s="4">
        <f>IFERROR(__xludf.DUMMYFUNCTION("""COMPUTED_VALUE"""),20.0)</f>
        <v>20</v>
      </c>
      <c r="H1546" s="4"/>
      <c r="I1546" s="4"/>
    </row>
    <row r="1547">
      <c r="A1547" s="4" t="str">
        <f>IFERROR(__xludf.DUMMYFUNCTION("""COMPUTED_VALUE"""),"cas_hmw")</f>
        <v>cas_hmw</v>
      </c>
      <c r="B1547" s="5">
        <f>IFERROR(__xludf.DUMMYFUNCTION("""COMPUTED_VALUE"""),44783.0)</f>
        <v>44783</v>
      </c>
      <c r="C1547" s="6">
        <f>IFERROR(__xludf.DUMMYFUNCTION("""COMPUTED_VALUE"""),0.7404513888905058)</f>
        <v>0.7404513889</v>
      </c>
      <c r="D1547" s="4">
        <f>IFERROR(__xludf.DUMMYFUNCTION("""COMPUTED_VALUE"""),12.976958)</f>
        <v>12.976958</v>
      </c>
      <c r="E1547" s="4">
        <f>IFERROR(__xludf.DUMMYFUNCTION("""COMPUTED_VALUE"""),80.222769)</f>
        <v>80.222769</v>
      </c>
      <c r="F1547" s="4">
        <f>IFERROR(__xludf.DUMMYFUNCTION("""COMPUTED_VALUE"""),3143.0)</f>
        <v>3143</v>
      </c>
      <c r="G1547" s="4">
        <f>IFERROR(__xludf.DUMMYFUNCTION("""COMPUTED_VALUE"""),0.0)</f>
        <v>0</v>
      </c>
      <c r="H1547" s="4"/>
      <c r="I1547" s="4"/>
    </row>
    <row r="1548">
      <c r="A1548" s="4" t="str">
        <f>IFERROR(__xludf.DUMMYFUNCTION("""COMPUTED_VALUE"""),"cas_hmw")</f>
        <v>cas_hmw</v>
      </c>
      <c r="B1548" s="5">
        <f>IFERROR(__xludf.DUMMYFUNCTION("""COMPUTED_VALUE"""),44783.0)</f>
        <v>44783</v>
      </c>
      <c r="C1548" s="6">
        <f>IFERROR(__xludf.DUMMYFUNCTION("""COMPUTED_VALUE"""),0.7404513888905058)</f>
        <v>0.7404513889</v>
      </c>
      <c r="D1548" s="4">
        <f>IFERROR(__xludf.DUMMYFUNCTION("""COMPUTED_VALUE"""),12.976958)</f>
        <v>12.976958</v>
      </c>
      <c r="E1548" s="4">
        <f>IFERROR(__xludf.DUMMYFUNCTION("""COMPUTED_VALUE"""),80.222769)</f>
        <v>80.222769</v>
      </c>
      <c r="F1548" s="4">
        <f>IFERROR(__xludf.DUMMYFUNCTION("""COMPUTED_VALUE"""),3143.0)</f>
        <v>3143</v>
      </c>
      <c r="G1548" s="4">
        <f>IFERROR(__xludf.DUMMYFUNCTION("""COMPUTED_VALUE"""),0.0)</f>
        <v>0</v>
      </c>
      <c r="H1548" s="4"/>
      <c r="I1548" s="4"/>
    </row>
    <row r="1549">
      <c r="A1549" s="4" t="str">
        <f>IFERROR(__xludf.DUMMYFUNCTION("""COMPUTED_VALUE"""),"cas_hmw")</f>
        <v>cas_hmw</v>
      </c>
      <c r="B1549" s="5">
        <f>IFERROR(__xludf.DUMMYFUNCTION("""COMPUTED_VALUE"""),44783.0)</f>
        <v>44783</v>
      </c>
      <c r="C1549" s="6">
        <f>IFERROR(__xludf.DUMMYFUNCTION("""COMPUTED_VALUE"""),0.7531365740724141)</f>
        <v>0.7531365741</v>
      </c>
      <c r="D1549" s="4">
        <f>IFERROR(__xludf.DUMMYFUNCTION("""COMPUTED_VALUE"""),13.06795)</f>
        <v>13.06795</v>
      </c>
      <c r="E1549" s="4">
        <f>IFERROR(__xludf.DUMMYFUNCTION("""COMPUTED_VALUE"""),80.271191)</f>
        <v>80.271191</v>
      </c>
      <c r="F1549" s="4">
        <f>IFERROR(__xludf.DUMMYFUNCTION("""COMPUTED_VALUE"""),5339.0)</f>
        <v>5339</v>
      </c>
      <c r="G1549" s="4">
        <f>IFERROR(__xludf.DUMMYFUNCTION("""COMPUTED_VALUE"""),11.0)</f>
        <v>11</v>
      </c>
      <c r="H1549" s="4"/>
      <c r="I1549" s="4"/>
    </row>
    <row r="1550">
      <c r="A1550" s="4" t="str">
        <f>IFERROR(__xludf.DUMMYFUNCTION("""COMPUTED_VALUE"""),"cas_hmw")</f>
        <v>cas_hmw</v>
      </c>
      <c r="B1550" s="5">
        <f>IFERROR(__xludf.DUMMYFUNCTION("""COMPUTED_VALUE"""),44783.0)</f>
        <v>44783</v>
      </c>
      <c r="C1550" s="6">
        <f>IFERROR(__xludf.DUMMYFUNCTION("""COMPUTED_VALUE"""),0.7605555555564933)</f>
        <v>0.7605555556</v>
      </c>
      <c r="D1550" s="4">
        <f>IFERROR(__xludf.DUMMYFUNCTION("""COMPUTED_VALUE"""),13.066782)</f>
        <v>13.066782</v>
      </c>
      <c r="E1550" s="4">
        <f>IFERROR(__xludf.DUMMYFUNCTION("""COMPUTED_VALUE"""),80.254074)</f>
        <v>80.254074</v>
      </c>
      <c r="F1550" s="4">
        <f>IFERROR(__xludf.DUMMYFUNCTION("""COMPUTED_VALUE"""),5339.0)</f>
        <v>5339</v>
      </c>
      <c r="G1550" s="4">
        <f>IFERROR(__xludf.DUMMYFUNCTION("""COMPUTED_VALUE"""),16.0)</f>
        <v>16</v>
      </c>
      <c r="H1550" s="4"/>
      <c r="I1550" s="4"/>
    </row>
    <row r="1551">
      <c r="A1551" s="4" t="str">
        <f>IFERROR(__xludf.DUMMYFUNCTION("""COMPUTED_VALUE"""),"cas_hmw")</f>
        <v>cas_hmw</v>
      </c>
      <c r="B1551" s="5">
        <f>IFERROR(__xludf.DUMMYFUNCTION("""COMPUTED_VALUE"""),44783.0)</f>
        <v>44783</v>
      </c>
      <c r="C1551" s="6">
        <f>IFERROR(__xludf.DUMMYFUNCTION("""COMPUTED_VALUE"""),0.7605787037027767)</f>
        <v>0.7605787037</v>
      </c>
      <c r="D1551" s="4">
        <f>IFERROR(__xludf.DUMMYFUNCTION("""COMPUTED_VALUE"""),13.066782)</f>
        <v>13.066782</v>
      </c>
      <c r="E1551" s="4">
        <f>IFERROR(__xludf.DUMMYFUNCTION("""COMPUTED_VALUE"""),80.254074)</f>
        <v>80.254074</v>
      </c>
      <c r="F1551" s="4">
        <f>IFERROR(__xludf.DUMMYFUNCTION("""COMPUTED_VALUE"""),5339.0)</f>
        <v>5339</v>
      </c>
      <c r="G1551" s="4">
        <f>IFERROR(__xludf.DUMMYFUNCTION("""COMPUTED_VALUE"""),16.0)</f>
        <v>16</v>
      </c>
      <c r="H1551" s="4"/>
      <c r="I1551" s="4"/>
    </row>
    <row r="1552">
      <c r="A1552" s="4" t="str">
        <f>IFERROR(__xludf.DUMMYFUNCTION("""COMPUTED_VALUE"""),"cas_hmw")</f>
        <v>cas_hmw</v>
      </c>
      <c r="B1552" s="5">
        <f>IFERROR(__xludf.DUMMYFUNCTION("""COMPUTED_VALUE"""),44783.0)</f>
        <v>44783</v>
      </c>
      <c r="C1552" s="6">
        <f>IFERROR(__xludf.DUMMYFUNCTION("""COMPUTED_VALUE"""),0.7721874999988358)</f>
        <v>0.7721875</v>
      </c>
      <c r="D1552" s="4">
        <f>IFERROR(__xludf.DUMMYFUNCTION("""COMPUTED_VALUE"""),12.942319)</f>
        <v>12.942319</v>
      </c>
      <c r="E1552" s="4">
        <f>IFERROR(__xludf.DUMMYFUNCTION("""COMPUTED_VALUE"""),80.133039)</f>
        <v>80.133039</v>
      </c>
      <c r="F1552" s="4">
        <f>IFERROR(__xludf.DUMMYFUNCTION("""COMPUTED_VALUE"""),3143.0)</f>
        <v>3143</v>
      </c>
      <c r="G1552" s="4">
        <f>IFERROR(__xludf.DUMMYFUNCTION("""COMPUTED_VALUE"""),0.0)</f>
        <v>0</v>
      </c>
      <c r="H1552" s="4"/>
      <c r="I1552" s="4"/>
    </row>
    <row r="1553">
      <c r="A1553" s="4" t="str">
        <f>IFERROR(__xludf.DUMMYFUNCTION("""COMPUTED_VALUE"""),"cas_hmw")</f>
        <v>cas_hmw</v>
      </c>
      <c r="B1553" s="5">
        <f>IFERROR(__xludf.DUMMYFUNCTION("""COMPUTED_VALUE"""),44784.0)</f>
        <v>44784</v>
      </c>
      <c r="C1553" s="6">
        <f>IFERROR(__xludf.DUMMYFUNCTION("""COMPUTED_VALUE"""),0.291608796294895)</f>
        <v>0.2916087963</v>
      </c>
      <c r="D1553" s="4">
        <f>IFERROR(__xludf.DUMMYFUNCTION("""COMPUTED_VALUE"""),12.950429)</f>
        <v>12.950429</v>
      </c>
      <c r="E1553" s="4">
        <f>IFERROR(__xludf.DUMMYFUNCTION("""COMPUTED_VALUE"""),80.139353)</f>
        <v>80.139353</v>
      </c>
      <c r="F1553" s="4">
        <f>IFERROR(__xludf.DUMMYFUNCTION("""COMPUTED_VALUE"""),3143.0)</f>
        <v>3143</v>
      </c>
      <c r="G1553" s="4">
        <f>IFERROR(__xludf.DUMMYFUNCTION("""COMPUTED_VALUE"""),19.0)</f>
        <v>19</v>
      </c>
      <c r="H1553" s="4"/>
      <c r="I1553" s="4"/>
    </row>
    <row r="1554">
      <c r="A1554" s="4" t="str">
        <f>IFERROR(__xludf.DUMMYFUNCTION("""COMPUTED_VALUE"""),"cas_hmw")</f>
        <v>cas_hmw</v>
      </c>
      <c r="B1554" s="5">
        <f>IFERROR(__xludf.DUMMYFUNCTION("""COMPUTED_VALUE"""),44784.0)</f>
        <v>44784</v>
      </c>
      <c r="C1554" s="6">
        <f>IFERROR(__xludf.DUMMYFUNCTION("""COMPUTED_VALUE"""),0.3022916666668607)</f>
        <v>0.3022916667</v>
      </c>
      <c r="D1554" s="4">
        <f>IFERROR(__xludf.DUMMYFUNCTION("""COMPUTED_VALUE"""),13.069418)</f>
        <v>13.069418</v>
      </c>
      <c r="E1554" s="4">
        <f>IFERROR(__xludf.DUMMYFUNCTION("""COMPUTED_VALUE"""),80.256759)</f>
        <v>80.256759</v>
      </c>
      <c r="F1554" s="4">
        <f>IFERROR(__xludf.DUMMYFUNCTION("""COMPUTED_VALUE"""),5339.0)</f>
        <v>5339</v>
      </c>
      <c r="G1554" s="4">
        <f>IFERROR(__xludf.DUMMYFUNCTION("""COMPUTED_VALUE"""),19.0)</f>
        <v>19</v>
      </c>
      <c r="H1554" s="4"/>
      <c r="I1554" s="4"/>
    </row>
    <row r="1555">
      <c r="A1555" s="4" t="str">
        <f>IFERROR(__xludf.DUMMYFUNCTION("""COMPUTED_VALUE"""),"cas_hmw")</f>
        <v>cas_hmw</v>
      </c>
      <c r="B1555" s="5">
        <f>IFERROR(__xludf.DUMMYFUNCTION("""COMPUTED_VALUE"""),44784.0)</f>
        <v>44784</v>
      </c>
      <c r="C1555" s="6">
        <f>IFERROR(__xludf.DUMMYFUNCTION("""COMPUTED_VALUE"""),0.30230324074000237)</f>
        <v>0.3023032407</v>
      </c>
      <c r="D1555" s="4">
        <f>IFERROR(__xludf.DUMMYFUNCTION("""COMPUTED_VALUE"""),13.069418)</f>
        <v>13.069418</v>
      </c>
      <c r="E1555" s="4">
        <f>IFERROR(__xludf.DUMMYFUNCTION("""COMPUTED_VALUE"""),80.256759)</f>
        <v>80.256759</v>
      </c>
      <c r="F1555" s="4">
        <f>IFERROR(__xludf.DUMMYFUNCTION("""COMPUTED_VALUE"""),5339.0)</f>
        <v>5339</v>
      </c>
      <c r="G1555" s="4">
        <f>IFERROR(__xludf.DUMMYFUNCTION("""COMPUTED_VALUE"""),19.0)</f>
        <v>19</v>
      </c>
      <c r="H1555" s="4"/>
      <c r="I1555" s="4"/>
    </row>
    <row r="1556">
      <c r="A1556" s="4" t="str">
        <f>IFERROR(__xludf.DUMMYFUNCTION("""COMPUTED_VALUE"""),"cas_hmw")</f>
        <v>cas_hmw</v>
      </c>
      <c r="B1556" s="5">
        <f>IFERROR(__xludf.DUMMYFUNCTION("""COMPUTED_VALUE"""),44784.0)</f>
        <v>44784</v>
      </c>
      <c r="C1556" s="6">
        <f>IFERROR(__xludf.DUMMYFUNCTION("""COMPUTED_VALUE"""),0.30231481481314404)</f>
        <v>0.3023148148</v>
      </c>
      <c r="D1556" s="4">
        <f>IFERROR(__xludf.DUMMYFUNCTION("""COMPUTED_VALUE"""),13.069418)</f>
        <v>13.069418</v>
      </c>
      <c r="E1556" s="4">
        <f>IFERROR(__xludf.DUMMYFUNCTION("""COMPUTED_VALUE"""),80.256759)</f>
        <v>80.256759</v>
      </c>
      <c r="F1556" s="4">
        <f>IFERROR(__xludf.DUMMYFUNCTION("""COMPUTED_VALUE"""),5339.0)</f>
        <v>5339</v>
      </c>
      <c r="G1556" s="4">
        <f>IFERROR(__xludf.DUMMYFUNCTION("""COMPUTED_VALUE"""),19.0)</f>
        <v>19</v>
      </c>
      <c r="H1556" s="4"/>
      <c r="I1556" s="4"/>
    </row>
    <row r="1557">
      <c r="A1557" s="4" t="str">
        <f>IFERROR(__xludf.DUMMYFUNCTION("""COMPUTED_VALUE"""),"cas_hmw")</f>
        <v>cas_hmw</v>
      </c>
      <c r="B1557" s="5">
        <f>IFERROR(__xludf.DUMMYFUNCTION("""COMPUTED_VALUE"""),44784.0)</f>
        <v>44784</v>
      </c>
      <c r="C1557" s="6">
        <f>IFERROR(__xludf.DUMMYFUNCTION("""COMPUTED_VALUE"""),0.3326620370353339)</f>
        <v>0.332662037</v>
      </c>
      <c r="D1557" s="4">
        <f>IFERROR(__xludf.DUMMYFUNCTION("""COMPUTED_VALUE"""),12.995871)</f>
        <v>12.995871</v>
      </c>
      <c r="E1557" s="4">
        <f>IFERROR(__xludf.DUMMYFUNCTION("""COMPUTED_VALUE"""),80.189348)</f>
        <v>80.189348</v>
      </c>
      <c r="F1557" s="4">
        <f>IFERROR(__xludf.DUMMYFUNCTION("""COMPUTED_VALUE"""),805.0)</f>
        <v>805</v>
      </c>
      <c r="G1557" s="4">
        <f>IFERROR(__xludf.DUMMYFUNCTION("""COMPUTED_VALUE"""),20.0)</f>
        <v>20</v>
      </c>
      <c r="H1557" s="4"/>
      <c r="I1557" s="4"/>
    </row>
    <row r="1558">
      <c r="A1558" s="4" t="str">
        <f>IFERROR(__xludf.DUMMYFUNCTION("""COMPUTED_VALUE"""),"cas_hmw")</f>
        <v>cas_hmw</v>
      </c>
      <c r="B1558" s="5">
        <f>IFERROR(__xludf.DUMMYFUNCTION("""COMPUTED_VALUE"""),44784.0)</f>
        <v>44784</v>
      </c>
      <c r="C1558" s="6">
        <f>IFERROR(__xludf.DUMMYFUNCTION("""COMPUTED_VALUE"""),0.3399652777770825)</f>
        <v>0.3399652778</v>
      </c>
      <c r="D1558" s="4">
        <f>IFERROR(__xludf.DUMMYFUNCTION("""COMPUTED_VALUE"""),12.919656)</f>
        <v>12.919656</v>
      </c>
      <c r="E1558" s="4">
        <f>IFERROR(__xludf.DUMMYFUNCTION("""COMPUTED_VALUE"""),80.171449)</f>
        <v>80.171449</v>
      </c>
      <c r="F1558" s="4">
        <f>IFERROR(__xludf.DUMMYFUNCTION("""COMPUTED_VALUE"""),3143.0)</f>
        <v>3143</v>
      </c>
      <c r="G1558" s="4">
        <f>IFERROR(__xludf.DUMMYFUNCTION("""COMPUTED_VALUE"""),0.0)</f>
        <v>0</v>
      </c>
      <c r="H1558" s="4"/>
      <c r="I1558" s="4"/>
    </row>
    <row r="1559">
      <c r="A1559" s="4" t="str">
        <f>IFERROR(__xludf.DUMMYFUNCTION("""COMPUTED_VALUE"""),"cas_hmw")</f>
        <v>cas_hmw</v>
      </c>
      <c r="B1559" s="5">
        <f>IFERROR(__xludf.DUMMYFUNCTION("""COMPUTED_VALUE"""),44784.0)</f>
        <v>44784</v>
      </c>
      <c r="C1559" s="6">
        <f>IFERROR(__xludf.DUMMYFUNCTION("""COMPUTED_VALUE"""),0.3413541666668607)</f>
        <v>0.3413541667</v>
      </c>
      <c r="D1559" s="4">
        <f>IFERROR(__xludf.DUMMYFUNCTION("""COMPUTED_VALUE"""),12.95629)</f>
        <v>12.95629</v>
      </c>
      <c r="E1559" s="4">
        <f>IFERROR(__xludf.DUMMYFUNCTION("""COMPUTED_VALUE"""),80.143276)</f>
        <v>80.143276</v>
      </c>
      <c r="F1559" s="4">
        <f>IFERROR(__xludf.DUMMYFUNCTION("""COMPUTED_VALUE"""),805.0)</f>
        <v>805</v>
      </c>
      <c r="G1559" s="4">
        <f>IFERROR(__xludf.DUMMYFUNCTION("""COMPUTED_VALUE"""),17.0)</f>
        <v>17</v>
      </c>
      <c r="H1559" s="4"/>
      <c r="I1559" s="4"/>
    </row>
    <row r="1560">
      <c r="A1560" s="4" t="str">
        <f>IFERROR(__xludf.DUMMYFUNCTION("""COMPUTED_VALUE"""),"cas_hmw")</f>
        <v>cas_hmw</v>
      </c>
      <c r="B1560" s="5">
        <f>IFERROR(__xludf.DUMMYFUNCTION("""COMPUTED_VALUE"""),44784.0)</f>
        <v>44784</v>
      </c>
      <c r="C1560" s="6">
        <f>IFERROR(__xludf.DUMMYFUNCTION("""COMPUTED_VALUE"""),0.34224537037152913)</f>
        <v>0.3422453704</v>
      </c>
      <c r="D1560" s="4">
        <f>IFERROR(__xludf.DUMMYFUNCTION("""COMPUTED_VALUE"""),12.923471)</f>
        <v>12.923471</v>
      </c>
      <c r="E1560" s="4">
        <f>IFERROR(__xludf.DUMMYFUNCTION("""COMPUTED_VALUE"""),80.155305)</f>
        <v>80.155305</v>
      </c>
      <c r="F1560" s="4">
        <f>IFERROR(__xludf.DUMMYFUNCTION("""COMPUTED_VALUE"""),3143.0)</f>
        <v>3143</v>
      </c>
      <c r="G1560" s="4">
        <f>IFERROR(__xludf.DUMMYFUNCTION("""COMPUTED_VALUE"""),9.0)</f>
        <v>9</v>
      </c>
      <c r="H1560" s="4"/>
      <c r="I1560" s="4"/>
    </row>
    <row r="1561">
      <c r="A1561" s="4" t="str">
        <f>IFERROR(__xludf.DUMMYFUNCTION("""COMPUTED_VALUE"""),"cas_hmw")</f>
        <v>cas_hmw</v>
      </c>
      <c r="B1561" s="5">
        <f>IFERROR(__xludf.DUMMYFUNCTION("""COMPUTED_VALUE"""),44784.0)</f>
        <v>44784</v>
      </c>
      <c r="C1561" s="6">
        <f>IFERROR(__xludf.DUMMYFUNCTION("""COMPUTED_VALUE"""),0.34555555555562023)</f>
        <v>0.3455555556</v>
      </c>
      <c r="D1561" s="4">
        <f>IFERROR(__xludf.DUMMYFUNCTION("""COMPUTED_VALUE"""),12.922485)</f>
        <v>12.922485</v>
      </c>
      <c r="E1561" s="4">
        <f>IFERROR(__xludf.DUMMYFUNCTION("""COMPUTED_VALUE"""),80.143365)</f>
        <v>80.143365</v>
      </c>
      <c r="F1561" s="4">
        <f>IFERROR(__xludf.DUMMYFUNCTION("""COMPUTED_VALUE"""),3143.0)</f>
        <v>3143</v>
      </c>
      <c r="G1561" s="4">
        <f>IFERROR(__xludf.DUMMYFUNCTION("""COMPUTED_VALUE"""),0.0)</f>
        <v>0</v>
      </c>
      <c r="H1561" s="4"/>
      <c r="I1561" s="4"/>
    </row>
    <row r="1562">
      <c r="A1562" s="4" t="str">
        <f>IFERROR(__xludf.DUMMYFUNCTION("""COMPUTED_VALUE"""),"cas_hmw")</f>
        <v>cas_hmw</v>
      </c>
      <c r="B1562" s="5">
        <f>IFERROR(__xludf.DUMMYFUNCTION("""COMPUTED_VALUE"""),44784.0)</f>
        <v>44784</v>
      </c>
      <c r="C1562" s="6">
        <f>IFERROR(__xludf.DUMMYFUNCTION("""COMPUTED_VALUE"""),0.34559027777868323)</f>
        <v>0.3455902778</v>
      </c>
      <c r="D1562" s="4">
        <f>IFERROR(__xludf.DUMMYFUNCTION("""COMPUTED_VALUE"""),12.922485)</f>
        <v>12.922485</v>
      </c>
      <c r="E1562" s="4">
        <f>IFERROR(__xludf.DUMMYFUNCTION("""COMPUTED_VALUE"""),80.143365)</f>
        <v>80.143365</v>
      </c>
      <c r="F1562" s="4">
        <f>IFERROR(__xludf.DUMMYFUNCTION("""COMPUTED_VALUE"""),3143.0)</f>
        <v>3143</v>
      </c>
      <c r="G1562" s="4">
        <f>IFERROR(__xludf.DUMMYFUNCTION("""COMPUTED_VALUE"""),0.0)</f>
        <v>0</v>
      </c>
      <c r="H1562" s="4"/>
      <c r="I1562" s="4"/>
    </row>
    <row r="1563">
      <c r="A1563" s="4" t="str">
        <f>IFERROR(__xludf.DUMMYFUNCTION("""COMPUTED_VALUE"""),"cas_hmw")</f>
        <v>cas_hmw</v>
      </c>
      <c r="B1563" s="5">
        <f>IFERROR(__xludf.DUMMYFUNCTION("""COMPUTED_VALUE"""),44784.0)</f>
        <v>44784</v>
      </c>
      <c r="C1563" s="6">
        <f>IFERROR(__xludf.DUMMYFUNCTION("""COMPUTED_VALUE"""),0.34947916666715173)</f>
        <v>0.3494791667</v>
      </c>
      <c r="D1563" s="4">
        <f>IFERROR(__xludf.DUMMYFUNCTION("""COMPUTED_VALUE"""),12.922934)</f>
        <v>12.922934</v>
      </c>
      <c r="E1563" s="4">
        <f>IFERROR(__xludf.DUMMYFUNCTION("""COMPUTED_VALUE"""),80.125751)</f>
        <v>80.125751</v>
      </c>
      <c r="F1563" s="4">
        <f>IFERROR(__xludf.DUMMYFUNCTION("""COMPUTED_VALUE"""),3143.0)</f>
        <v>3143</v>
      </c>
      <c r="G1563" s="4">
        <f>IFERROR(__xludf.DUMMYFUNCTION("""COMPUTED_VALUE"""),13.0)</f>
        <v>13</v>
      </c>
      <c r="H1563" s="4"/>
      <c r="I1563" s="4"/>
    </row>
    <row r="1564">
      <c r="A1564" s="4" t="str">
        <f>IFERROR(__xludf.DUMMYFUNCTION("""COMPUTED_VALUE"""),"cas_hmw")</f>
        <v>cas_hmw</v>
      </c>
      <c r="B1564" s="5">
        <f>IFERROR(__xludf.DUMMYFUNCTION("""COMPUTED_VALUE"""),44784.0)</f>
        <v>44784</v>
      </c>
      <c r="C1564" s="6">
        <f>IFERROR(__xludf.DUMMYFUNCTION("""COMPUTED_VALUE"""),0.3586574074070086)</f>
        <v>0.3586574074</v>
      </c>
      <c r="D1564" s="4">
        <f>IFERROR(__xludf.DUMMYFUNCTION("""COMPUTED_VALUE"""),12.879269)</f>
        <v>12.879269</v>
      </c>
      <c r="E1564" s="4">
        <f>IFERROR(__xludf.DUMMYFUNCTION("""COMPUTED_VALUE"""),80.080382)</f>
        <v>80.080382</v>
      </c>
      <c r="F1564" s="4">
        <f>IFERROR(__xludf.DUMMYFUNCTION("""COMPUTED_VALUE"""),3143.0)</f>
        <v>3143</v>
      </c>
      <c r="G1564" s="4">
        <f>IFERROR(__xludf.DUMMYFUNCTION("""COMPUTED_VALUE"""),5.0)</f>
        <v>5</v>
      </c>
      <c r="H1564" s="4"/>
      <c r="I1564" s="4"/>
    </row>
    <row r="1565">
      <c r="A1565" s="4" t="str">
        <f>IFERROR(__xludf.DUMMYFUNCTION("""COMPUTED_VALUE"""),"cas_hmw")</f>
        <v>cas_hmw</v>
      </c>
      <c r="B1565" s="5">
        <f>IFERROR(__xludf.DUMMYFUNCTION("""COMPUTED_VALUE"""),44784.0)</f>
        <v>44784</v>
      </c>
      <c r="C1565" s="6">
        <f>IFERROR(__xludf.DUMMYFUNCTION("""COMPUTED_VALUE"""),0.6999074074083182)</f>
        <v>0.6999074074</v>
      </c>
      <c r="D1565" s="4">
        <f>IFERROR(__xludf.DUMMYFUNCTION("""COMPUTED_VALUE"""),12.909082)</f>
        <v>12.909082</v>
      </c>
      <c r="E1565" s="4">
        <f>IFERROR(__xludf.DUMMYFUNCTION("""COMPUTED_VALUE"""),80.09855)</f>
        <v>80.09855</v>
      </c>
      <c r="F1565" s="4">
        <f>IFERROR(__xludf.DUMMYFUNCTION("""COMPUTED_VALUE"""),5339.0)</f>
        <v>5339</v>
      </c>
      <c r="G1565" s="4">
        <f>IFERROR(__xludf.DUMMYFUNCTION("""COMPUTED_VALUE"""),14.0)</f>
        <v>14</v>
      </c>
      <c r="H1565" s="4"/>
      <c r="I1565" s="4"/>
    </row>
    <row r="1566">
      <c r="A1566" s="4" t="str">
        <f>IFERROR(__xludf.DUMMYFUNCTION("""COMPUTED_VALUE"""),"cas_hmw")</f>
        <v>cas_hmw</v>
      </c>
      <c r="B1566" s="5">
        <f>IFERROR(__xludf.DUMMYFUNCTION("""COMPUTED_VALUE"""),44784.0)</f>
        <v>44784</v>
      </c>
      <c r="C1566" s="6">
        <f>IFERROR(__xludf.DUMMYFUNCTION("""COMPUTED_VALUE"""),0.6999189814814599)</f>
        <v>0.6999189815</v>
      </c>
      <c r="D1566" s="4">
        <f>IFERROR(__xludf.DUMMYFUNCTION("""COMPUTED_VALUE"""),12.909082)</f>
        <v>12.909082</v>
      </c>
      <c r="E1566" s="4">
        <f>IFERROR(__xludf.DUMMYFUNCTION("""COMPUTED_VALUE"""),80.09855)</f>
        <v>80.09855</v>
      </c>
      <c r="F1566" s="4">
        <f>IFERROR(__xludf.DUMMYFUNCTION("""COMPUTED_VALUE"""),5339.0)</f>
        <v>5339</v>
      </c>
      <c r="G1566" s="4">
        <f>IFERROR(__xludf.DUMMYFUNCTION("""COMPUTED_VALUE"""),14.0)</f>
        <v>14</v>
      </c>
      <c r="H1566" s="4"/>
      <c r="I1566" s="4"/>
    </row>
    <row r="1567">
      <c r="A1567" s="4" t="str">
        <f>IFERROR(__xludf.DUMMYFUNCTION("""COMPUTED_VALUE"""),"cas_hmw")</f>
        <v>cas_hmw</v>
      </c>
      <c r="B1567" s="5">
        <f>IFERROR(__xludf.DUMMYFUNCTION("""COMPUTED_VALUE"""),44784.0)</f>
        <v>44784</v>
      </c>
      <c r="C1567" s="6">
        <f>IFERROR(__xludf.DUMMYFUNCTION("""COMPUTED_VALUE"""),0.7016550925909542)</f>
        <v>0.7016550926</v>
      </c>
      <c r="D1567" s="4">
        <f>IFERROR(__xludf.DUMMYFUNCTION("""COMPUTED_VALUE"""),12.916978)</f>
        <v>12.916978</v>
      </c>
      <c r="E1567" s="4">
        <f>IFERROR(__xludf.DUMMYFUNCTION("""COMPUTED_VALUE"""),80.10704)</f>
        <v>80.10704</v>
      </c>
      <c r="F1567" s="4">
        <f>IFERROR(__xludf.DUMMYFUNCTION("""COMPUTED_VALUE"""),805.0)</f>
        <v>805</v>
      </c>
      <c r="G1567" s="4">
        <f>IFERROR(__xludf.DUMMYFUNCTION("""COMPUTED_VALUE"""),10.0)</f>
        <v>10</v>
      </c>
      <c r="H1567" s="4"/>
      <c r="I1567" s="4"/>
    </row>
    <row r="1568">
      <c r="A1568" s="4" t="str">
        <f>IFERROR(__xludf.DUMMYFUNCTION("""COMPUTED_VALUE"""),"cas_hmw")</f>
        <v>cas_hmw</v>
      </c>
      <c r="B1568" s="5">
        <f>IFERROR(__xludf.DUMMYFUNCTION("""COMPUTED_VALUE"""),44784.0)</f>
        <v>44784</v>
      </c>
      <c r="C1568" s="6">
        <f>IFERROR(__xludf.DUMMYFUNCTION("""COMPUTED_VALUE"""),0.7067476851843821)</f>
        <v>0.7067476852</v>
      </c>
      <c r="D1568" s="4">
        <f>IFERROR(__xludf.DUMMYFUNCTION("""COMPUTED_VALUE"""),12.931197)</f>
        <v>12.931197</v>
      </c>
      <c r="E1568" s="4">
        <f>IFERROR(__xludf.DUMMYFUNCTION("""COMPUTED_VALUE"""),80.122281)</f>
        <v>80.122281</v>
      </c>
      <c r="F1568" s="4">
        <f>IFERROR(__xludf.DUMMYFUNCTION("""COMPUTED_VALUE"""),805.0)</f>
        <v>805</v>
      </c>
      <c r="G1568" s="4">
        <f>IFERROR(__xludf.DUMMYFUNCTION("""COMPUTED_VALUE"""),13.0)</f>
        <v>13</v>
      </c>
      <c r="H1568" s="4"/>
      <c r="I1568" s="4"/>
    </row>
    <row r="1569">
      <c r="A1569" s="4" t="str">
        <f>IFERROR(__xludf.DUMMYFUNCTION("""COMPUTED_VALUE"""),"cas_hmw")</f>
        <v>cas_hmw</v>
      </c>
      <c r="B1569" s="5">
        <f>IFERROR(__xludf.DUMMYFUNCTION("""COMPUTED_VALUE"""),44784.0)</f>
        <v>44784</v>
      </c>
      <c r="C1569" s="6">
        <f>IFERROR(__xludf.DUMMYFUNCTION("""COMPUTED_VALUE"""),0.7067592592575238)</f>
        <v>0.7067592593</v>
      </c>
      <c r="D1569" s="4">
        <f>IFERROR(__xludf.DUMMYFUNCTION("""COMPUTED_VALUE"""),12.931197)</f>
        <v>12.931197</v>
      </c>
      <c r="E1569" s="4">
        <f>IFERROR(__xludf.DUMMYFUNCTION("""COMPUTED_VALUE"""),80.122281)</f>
        <v>80.122281</v>
      </c>
      <c r="F1569" s="4">
        <f>IFERROR(__xludf.DUMMYFUNCTION("""COMPUTED_VALUE"""),805.0)</f>
        <v>805</v>
      </c>
      <c r="G1569" s="4">
        <f>IFERROR(__xludf.DUMMYFUNCTION("""COMPUTED_VALUE"""),13.0)</f>
        <v>13</v>
      </c>
      <c r="H1569" s="4"/>
      <c r="I1569" s="4"/>
    </row>
    <row r="1570">
      <c r="A1570" s="4" t="str">
        <f>IFERROR(__xludf.DUMMYFUNCTION("""COMPUTED_VALUE"""),"cas_hmw")</f>
        <v>cas_hmw</v>
      </c>
      <c r="B1570" s="5">
        <f>IFERROR(__xludf.DUMMYFUNCTION("""COMPUTED_VALUE"""),44784.0)</f>
        <v>44784</v>
      </c>
      <c r="C1570" s="6">
        <f>IFERROR(__xludf.DUMMYFUNCTION("""COMPUTED_VALUE"""),0.7093055555560568)</f>
        <v>0.7093055556</v>
      </c>
      <c r="D1570" s="4">
        <f>IFERROR(__xludf.DUMMYFUNCTION("""COMPUTED_VALUE"""),12.942451)</f>
        <v>12.942451</v>
      </c>
      <c r="E1570" s="4">
        <f>IFERROR(__xludf.DUMMYFUNCTION("""COMPUTED_VALUE"""),80.133008)</f>
        <v>80.133008</v>
      </c>
      <c r="F1570" s="4">
        <f>IFERROR(__xludf.DUMMYFUNCTION("""COMPUTED_VALUE"""),805.0)</f>
        <v>805</v>
      </c>
      <c r="G1570" s="4">
        <f>IFERROR(__xludf.DUMMYFUNCTION("""COMPUTED_VALUE"""),19.0)</f>
        <v>19</v>
      </c>
      <c r="H1570" s="4"/>
      <c r="I1570" s="4"/>
    </row>
    <row r="1571">
      <c r="A1571" s="4" t="str">
        <f>IFERROR(__xludf.DUMMYFUNCTION("""COMPUTED_VALUE"""),"cas_hmw")</f>
        <v>cas_hmw</v>
      </c>
      <c r="B1571" s="5">
        <f>IFERROR(__xludf.DUMMYFUNCTION("""COMPUTED_VALUE"""),44784.0)</f>
        <v>44784</v>
      </c>
      <c r="C1571" s="6">
        <f>IFERROR(__xludf.DUMMYFUNCTION("""COMPUTED_VALUE"""),0.7095717592601432)</f>
        <v>0.7095717593</v>
      </c>
      <c r="D1571" s="4">
        <f>IFERROR(__xludf.DUMMYFUNCTION("""COMPUTED_VALUE"""),12.922734)</f>
        <v>12.922734</v>
      </c>
      <c r="E1571" s="4">
        <f>IFERROR(__xludf.DUMMYFUNCTION("""COMPUTED_VALUE"""),80.147524)</f>
        <v>80.147524</v>
      </c>
      <c r="F1571" s="4">
        <f>IFERROR(__xludf.DUMMYFUNCTION("""COMPUTED_VALUE"""),3143.0)</f>
        <v>3143</v>
      </c>
      <c r="G1571" s="4">
        <f>IFERROR(__xludf.DUMMYFUNCTION("""COMPUTED_VALUE"""),19.0)</f>
        <v>19</v>
      </c>
      <c r="H1571" s="4"/>
      <c r="I1571" s="4"/>
    </row>
    <row r="1572">
      <c r="A1572" s="4" t="str">
        <f>IFERROR(__xludf.DUMMYFUNCTION("""COMPUTED_VALUE"""),"cas_hmw")</f>
        <v>cas_hmw</v>
      </c>
      <c r="B1572" s="5">
        <f>IFERROR(__xludf.DUMMYFUNCTION("""COMPUTED_VALUE"""),44784.0)</f>
        <v>44784</v>
      </c>
      <c r="C1572" s="6">
        <f>IFERROR(__xludf.DUMMYFUNCTION("""COMPUTED_VALUE"""),0.7107407407420396)</f>
        <v>0.7107407407</v>
      </c>
      <c r="D1572" s="4">
        <f>IFERROR(__xludf.DUMMYFUNCTION("""COMPUTED_VALUE"""),12.923427)</f>
        <v>12.923427</v>
      </c>
      <c r="E1572" s="4">
        <f>IFERROR(__xludf.DUMMYFUNCTION("""COMPUTED_VALUE"""),80.154755)</f>
        <v>80.154755</v>
      </c>
      <c r="F1572" s="4">
        <f>IFERROR(__xludf.DUMMYFUNCTION("""COMPUTED_VALUE"""),3143.0)</f>
        <v>3143</v>
      </c>
      <c r="G1572" s="4">
        <f>IFERROR(__xludf.DUMMYFUNCTION("""COMPUTED_VALUE"""),13.0)</f>
        <v>13</v>
      </c>
      <c r="H1572" s="4"/>
      <c r="I1572" s="4"/>
    </row>
    <row r="1573">
      <c r="A1573" s="4" t="str">
        <f>IFERROR(__xludf.DUMMYFUNCTION("""COMPUTED_VALUE"""),"cas_hmw")</f>
        <v>cas_hmw</v>
      </c>
      <c r="B1573" s="5">
        <f>IFERROR(__xludf.DUMMYFUNCTION("""COMPUTED_VALUE"""),44784.0)</f>
        <v>44784</v>
      </c>
      <c r="C1573" s="6">
        <f>IFERROR(__xludf.DUMMYFUNCTION("""COMPUTED_VALUE"""),0.7184837962959136)</f>
        <v>0.7184837963</v>
      </c>
      <c r="D1573" s="4">
        <f>IFERROR(__xludf.DUMMYFUNCTION("""COMPUTED_VALUE"""),12.697246)</f>
        <v>12.697246</v>
      </c>
      <c r="E1573" s="4">
        <f>IFERROR(__xludf.DUMMYFUNCTION("""COMPUTED_VALUE"""),79.972816)</f>
        <v>79.972816</v>
      </c>
      <c r="F1573" s="4">
        <f>IFERROR(__xludf.DUMMYFUNCTION("""COMPUTED_VALUE"""),2846.0)</f>
        <v>2846</v>
      </c>
      <c r="G1573" s="4">
        <f>IFERROR(__xludf.DUMMYFUNCTION("""COMPUTED_VALUE"""),0.0)</f>
        <v>0</v>
      </c>
      <c r="H1573" s="4"/>
      <c r="I1573" s="4"/>
    </row>
    <row r="1574">
      <c r="A1574" s="4" t="str">
        <f>IFERROR(__xludf.DUMMYFUNCTION("""COMPUTED_VALUE"""),"cas_hmw")</f>
        <v>cas_hmw</v>
      </c>
      <c r="B1574" s="5">
        <f>IFERROR(__xludf.DUMMYFUNCTION("""COMPUTED_VALUE"""),44784.0)</f>
        <v>44784</v>
      </c>
      <c r="C1574" s="6">
        <f>IFERROR(__xludf.DUMMYFUNCTION("""COMPUTED_VALUE"""),0.7201273148129985)</f>
        <v>0.7201273148</v>
      </c>
      <c r="D1574" s="4">
        <f>IFERROR(__xludf.DUMMYFUNCTION("""COMPUTED_VALUE"""),12.696616)</f>
        <v>12.696616</v>
      </c>
      <c r="E1574" s="4">
        <f>IFERROR(__xludf.DUMMYFUNCTION("""COMPUTED_VALUE"""),79.977082)</f>
        <v>79.977082</v>
      </c>
      <c r="F1574" s="4">
        <f>IFERROR(__xludf.DUMMYFUNCTION("""COMPUTED_VALUE"""),2846.0)</f>
        <v>2846</v>
      </c>
      <c r="G1574" s="4">
        <f>IFERROR(__xludf.DUMMYFUNCTION("""COMPUTED_VALUE"""),12.0)</f>
        <v>12</v>
      </c>
      <c r="H1574" s="4"/>
      <c r="I1574" s="4"/>
    </row>
    <row r="1575">
      <c r="A1575" s="4" t="str">
        <f>IFERROR(__xludf.DUMMYFUNCTION("""COMPUTED_VALUE"""),"cas_hmw")</f>
        <v>cas_hmw</v>
      </c>
      <c r="B1575" s="5">
        <f>IFERROR(__xludf.DUMMYFUNCTION("""COMPUTED_VALUE"""),44784.0)</f>
        <v>44784</v>
      </c>
      <c r="C1575" s="6">
        <f>IFERROR(__xludf.DUMMYFUNCTION("""COMPUTED_VALUE"""),0.7244560185172304)</f>
        <v>0.7244560185</v>
      </c>
      <c r="D1575" s="4">
        <f>IFERROR(__xludf.DUMMYFUNCTION("""COMPUTED_VALUE"""),13.001735)</f>
        <v>13.001735</v>
      </c>
      <c r="E1575" s="4">
        <f>IFERROR(__xludf.DUMMYFUNCTION("""COMPUTED_VALUE"""),80.1963)</f>
        <v>80.1963</v>
      </c>
      <c r="F1575" s="4">
        <f>IFERROR(__xludf.DUMMYFUNCTION("""COMPUTED_VALUE"""),805.0)</f>
        <v>805</v>
      </c>
      <c r="G1575" s="4">
        <f>IFERROR(__xludf.DUMMYFUNCTION("""COMPUTED_VALUE"""),19.0)</f>
        <v>19</v>
      </c>
      <c r="H1575" s="4"/>
      <c r="I1575" s="4"/>
    </row>
    <row r="1576">
      <c r="A1576" s="4" t="str">
        <f>IFERROR(__xludf.DUMMYFUNCTION("""COMPUTED_VALUE"""),"cas_hmw")</f>
        <v>cas_hmw</v>
      </c>
      <c r="B1576" s="5">
        <f>IFERROR(__xludf.DUMMYFUNCTION("""COMPUTED_VALUE"""),44784.0)</f>
        <v>44784</v>
      </c>
      <c r="C1576" s="6">
        <f>IFERROR(__xludf.DUMMYFUNCTION("""COMPUTED_VALUE"""),0.7399884259248211)</f>
        <v>0.7399884259</v>
      </c>
      <c r="D1576" s="4">
        <f>IFERROR(__xludf.DUMMYFUNCTION("""COMPUTED_VALUE"""),13.006856)</f>
        <v>13.006856</v>
      </c>
      <c r="E1576" s="4">
        <f>IFERROR(__xludf.DUMMYFUNCTION("""COMPUTED_VALUE"""),80.257803)</f>
        <v>80.257803</v>
      </c>
      <c r="F1576" s="4">
        <f>IFERROR(__xludf.DUMMYFUNCTION("""COMPUTED_VALUE"""),805.0)</f>
        <v>805</v>
      </c>
      <c r="G1576" s="4">
        <f>IFERROR(__xludf.DUMMYFUNCTION("""COMPUTED_VALUE"""),18.0)</f>
        <v>18</v>
      </c>
      <c r="H1576" s="4"/>
      <c r="I1576" s="4"/>
    </row>
    <row r="1577">
      <c r="A1577" s="4" t="str">
        <f>IFERROR(__xludf.DUMMYFUNCTION("""COMPUTED_VALUE"""),"cas_hmw")</f>
        <v>cas_hmw</v>
      </c>
      <c r="B1577" s="5">
        <f>IFERROR(__xludf.DUMMYFUNCTION("""COMPUTED_VALUE"""),44784.0)</f>
        <v>44784</v>
      </c>
      <c r="C1577" s="6">
        <f>IFERROR(__xludf.DUMMYFUNCTION("""COMPUTED_VALUE"""),0.763252314813144)</f>
        <v>0.7632523148</v>
      </c>
      <c r="D1577" s="4">
        <f>IFERROR(__xludf.DUMMYFUNCTION("""COMPUTED_VALUE"""),13.066883)</f>
        <v>13.066883</v>
      </c>
      <c r="E1577" s="4">
        <f>IFERROR(__xludf.DUMMYFUNCTION("""COMPUTED_VALUE"""),80.253985)</f>
        <v>80.253985</v>
      </c>
      <c r="F1577" s="4">
        <f>IFERROR(__xludf.DUMMYFUNCTION("""COMPUTED_VALUE"""),5339.0)</f>
        <v>5339</v>
      </c>
      <c r="G1577" s="4">
        <f>IFERROR(__xludf.DUMMYFUNCTION("""COMPUTED_VALUE"""),11.0)</f>
        <v>11</v>
      </c>
      <c r="H1577" s="4"/>
      <c r="I1577" s="4"/>
    </row>
    <row r="1578">
      <c r="A1578" s="4" t="str">
        <f>IFERROR(__xludf.DUMMYFUNCTION("""COMPUTED_VALUE"""),"cas_hmw")</f>
        <v>cas_hmw</v>
      </c>
      <c r="B1578" s="5">
        <f>IFERROR(__xludf.DUMMYFUNCTION("""COMPUTED_VALUE"""),44785.0)</f>
        <v>44785</v>
      </c>
      <c r="C1578" s="6">
        <f>IFERROR(__xludf.DUMMYFUNCTION("""COMPUTED_VALUE"""),0.3196990740725596)</f>
        <v>0.3196990741</v>
      </c>
      <c r="D1578" s="4">
        <f>IFERROR(__xludf.DUMMYFUNCTION("""COMPUTED_VALUE"""),12.679866)</f>
        <v>12.679866</v>
      </c>
      <c r="E1578" s="4">
        <f>IFERROR(__xludf.DUMMYFUNCTION("""COMPUTED_VALUE"""),79.980783)</f>
        <v>79.980783</v>
      </c>
      <c r="F1578" s="4">
        <f>IFERROR(__xludf.DUMMYFUNCTION("""COMPUTED_VALUE"""),2846.0)</f>
        <v>2846</v>
      </c>
      <c r="G1578" s="4">
        <f>IFERROR(__xludf.DUMMYFUNCTION("""COMPUTED_VALUE"""),8.0)</f>
        <v>8</v>
      </c>
      <c r="H1578" s="4"/>
      <c r="I1578" s="4"/>
    </row>
    <row r="1579">
      <c r="A1579" s="4" t="str">
        <f>IFERROR(__xludf.DUMMYFUNCTION("""COMPUTED_VALUE"""),"cas_hmw")</f>
        <v>cas_hmw</v>
      </c>
      <c r="B1579" s="5">
        <f>IFERROR(__xludf.DUMMYFUNCTION("""COMPUTED_VALUE"""),44785.0)</f>
        <v>44785</v>
      </c>
      <c r="C1579" s="6">
        <f>IFERROR(__xludf.DUMMYFUNCTION("""COMPUTED_VALUE"""),0.6923032407394203)</f>
        <v>0.6923032407</v>
      </c>
      <c r="D1579" s="4">
        <f>IFERROR(__xludf.DUMMYFUNCTION("""COMPUTED_VALUE"""),12.881089)</f>
        <v>12.881089</v>
      </c>
      <c r="E1579" s="4">
        <f>IFERROR(__xludf.DUMMYFUNCTION("""COMPUTED_VALUE"""),80.080621)</f>
        <v>80.080621</v>
      </c>
      <c r="F1579" s="4">
        <f>IFERROR(__xludf.DUMMYFUNCTION("""COMPUTED_VALUE"""),805.0)</f>
        <v>805</v>
      </c>
      <c r="G1579" s="4">
        <f>IFERROR(__xludf.DUMMYFUNCTION("""COMPUTED_VALUE"""),13.0)</f>
        <v>13</v>
      </c>
      <c r="H1579" s="4"/>
      <c r="I1579" s="4"/>
    </row>
    <row r="1580">
      <c r="A1580" s="4" t="str">
        <f>IFERROR(__xludf.DUMMYFUNCTION("""COMPUTED_VALUE"""),"cas_hmw")</f>
        <v>cas_hmw</v>
      </c>
      <c r="B1580" s="5">
        <f>IFERROR(__xludf.DUMMYFUNCTION("""COMPUTED_VALUE"""),44785.0)</f>
        <v>44785</v>
      </c>
      <c r="C1580" s="6">
        <f>IFERROR(__xludf.DUMMYFUNCTION("""COMPUTED_VALUE"""),0.6956712962964957)</f>
        <v>0.6956712963</v>
      </c>
      <c r="D1580" s="4">
        <f>IFERROR(__xludf.DUMMYFUNCTION("""COMPUTED_VALUE"""),12.908783)</f>
        <v>12.908783</v>
      </c>
      <c r="E1580" s="4">
        <f>IFERROR(__xludf.DUMMYFUNCTION("""COMPUTED_VALUE"""),80.098066)</f>
        <v>80.098066</v>
      </c>
      <c r="F1580" s="4">
        <f>IFERROR(__xludf.DUMMYFUNCTION("""COMPUTED_VALUE"""),3143.0)</f>
        <v>3143</v>
      </c>
      <c r="G1580" s="4">
        <f>IFERROR(__xludf.DUMMYFUNCTION("""COMPUTED_VALUE"""),18.0)</f>
        <v>18</v>
      </c>
      <c r="H1580" s="4"/>
      <c r="I1580" s="4"/>
    </row>
    <row r="1581">
      <c r="A1581" s="4" t="str">
        <f>IFERROR(__xludf.DUMMYFUNCTION("""COMPUTED_VALUE"""),"cas_hmw")</f>
        <v>cas_hmw</v>
      </c>
      <c r="B1581" s="5">
        <f>IFERROR(__xludf.DUMMYFUNCTION("""COMPUTED_VALUE"""),44785.0)</f>
        <v>44785</v>
      </c>
      <c r="C1581" s="6">
        <f>IFERROR(__xludf.DUMMYFUNCTION("""COMPUTED_VALUE"""),0.6957754629620467)</f>
        <v>0.695775463</v>
      </c>
      <c r="D1581" s="4">
        <f>IFERROR(__xludf.DUMMYFUNCTION("""COMPUTED_VALUE"""),12.908917)</f>
        <v>12.908917</v>
      </c>
      <c r="E1581" s="4">
        <f>IFERROR(__xludf.DUMMYFUNCTION("""COMPUTED_VALUE"""),80.098256)</f>
        <v>80.098256</v>
      </c>
      <c r="F1581" s="4">
        <f>IFERROR(__xludf.DUMMYFUNCTION("""COMPUTED_VALUE"""),3143.0)</f>
        <v>3143</v>
      </c>
      <c r="G1581" s="4">
        <f>IFERROR(__xludf.DUMMYFUNCTION("""COMPUTED_VALUE"""),0.0)</f>
        <v>0</v>
      </c>
      <c r="H1581" s="4"/>
      <c r="I1581" s="4"/>
    </row>
    <row r="1582">
      <c r="A1582" s="4" t="str">
        <f>IFERROR(__xludf.DUMMYFUNCTION("""COMPUTED_VALUE"""),"cas_hmw")</f>
        <v>cas_hmw</v>
      </c>
      <c r="B1582" s="5">
        <f>IFERROR(__xludf.DUMMYFUNCTION("""COMPUTED_VALUE"""),44785.0)</f>
        <v>44785</v>
      </c>
      <c r="C1582" s="6">
        <f>IFERROR(__xludf.DUMMYFUNCTION("""COMPUTED_VALUE"""),0.6959259259274404)</f>
        <v>0.6959259259</v>
      </c>
      <c r="D1582" s="4">
        <f>IFERROR(__xludf.DUMMYFUNCTION("""COMPUTED_VALUE"""),12.908917)</f>
        <v>12.908917</v>
      </c>
      <c r="E1582" s="4">
        <f>IFERROR(__xludf.DUMMYFUNCTION("""COMPUTED_VALUE"""),80.098256)</f>
        <v>80.098256</v>
      </c>
      <c r="F1582" s="4">
        <f>IFERROR(__xludf.DUMMYFUNCTION("""COMPUTED_VALUE"""),3143.0)</f>
        <v>3143</v>
      </c>
      <c r="G1582" s="4">
        <f>IFERROR(__xludf.DUMMYFUNCTION("""COMPUTED_VALUE"""),0.0)</f>
        <v>0</v>
      </c>
      <c r="H1582" s="4"/>
      <c r="I1582" s="4"/>
    </row>
    <row r="1583">
      <c r="A1583" s="4" t="str">
        <f>IFERROR(__xludf.DUMMYFUNCTION("""COMPUTED_VALUE"""),"cas_hmw")</f>
        <v>cas_hmw</v>
      </c>
      <c r="B1583" s="5">
        <f>IFERROR(__xludf.DUMMYFUNCTION("""COMPUTED_VALUE"""),44785.0)</f>
        <v>44785</v>
      </c>
      <c r="C1583" s="6">
        <f>IFERROR(__xludf.DUMMYFUNCTION("""COMPUTED_VALUE"""),0.6995138888887595)</f>
        <v>0.6995138889</v>
      </c>
      <c r="D1583" s="4">
        <f>IFERROR(__xludf.DUMMYFUNCTION("""COMPUTED_VALUE"""),12.929134)</f>
        <v>12.929134</v>
      </c>
      <c r="E1583" s="4">
        <f>IFERROR(__xludf.DUMMYFUNCTION("""COMPUTED_VALUE"""),80.12022)</f>
        <v>80.12022</v>
      </c>
      <c r="F1583" s="4">
        <f>IFERROR(__xludf.DUMMYFUNCTION("""COMPUTED_VALUE"""),805.0)</f>
        <v>805</v>
      </c>
      <c r="G1583" s="4">
        <f>IFERROR(__xludf.DUMMYFUNCTION("""COMPUTED_VALUE"""),17.0)</f>
        <v>17</v>
      </c>
      <c r="H1583" s="4"/>
      <c r="I1583" s="4"/>
    </row>
    <row r="1584">
      <c r="A1584" s="4" t="str">
        <f>IFERROR(__xludf.DUMMYFUNCTION("""COMPUTED_VALUE"""),"cas_hmw")</f>
        <v>cas_hmw</v>
      </c>
      <c r="B1584" s="5">
        <f>IFERROR(__xludf.DUMMYFUNCTION("""COMPUTED_VALUE"""),44785.0)</f>
        <v>44785</v>
      </c>
      <c r="C1584" s="6">
        <f>IFERROR(__xludf.DUMMYFUNCTION("""COMPUTED_VALUE"""),0.6995254629619012)</f>
        <v>0.699525463</v>
      </c>
      <c r="D1584" s="4">
        <f>IFERROR(__xludf.DUMMYFUNCTION("""COMPUTED_VALUE"""),12.929134)</f>
        <v>12.929134</v>
      </c>
      <c r="E1584" s="4">
        <f>IFERROR(__xludf.DUMMYFUNCTION("""COMPUTED_VALUE"""),80.12022)</f>
        <v>80.12022</v>
      </c>
      <c r="F1584" s="4">
        <f>IFERROR(__xludf.DUMMYFUNCTION("""COMPUTED_VALUE"""),805.0)</f>
        <v>805</v>
      </c>
      <c r="G1584" s="4">
        <f>IFERROR(__xludf.DUMMYFUNCTION("""COMPUTED_VALUE"""),17.0)</f>
        <v>17</v>
      </c>
      <c r="H1584" s="4"/>
      <c r="I1584" s="4"/>
    </row>
    <row r="1585">
      <c r="A1585" s="4" t="str">
        <f>IFERROR(__xludf.DUMMYFUNCTION("""COMPUTED_VALUE"""),"cas_hmw")</f>
        <v>cas_hmw</v>
      </c>
      <c r="B1585" s="5">
        <f>IFERROR(__xludf.DUMMYFUNCTION("""COMPUTED_VALUE"""),44785.0)</f>
        <v>44785</v>
      </c>
      <c r="C1585" s="6">
        <f>IFERROR(__xludf.DUMMYFUNCTION("""COMPUTED_VALUE"""),0.7009953703709471)</f>
        <v>0.7009953704</v>
      </c>
      <c r="D1585" s="4">
        <f>IFERROR(__xludf.DUMMYFUNCTION("""COMPUTED_VALUE"""),12.923064)</f>
        <v>12.923064</v>
      </c>
      <c r="E1585" s="4">
        <f>IFERROR(__xludf.DUMMYFUNCTION("""COMPUTED_VALUE"""),80.125447)</f>
        <v>80.125447</v>
      </c>
      <c r="F1585" s="4">
        <f>IFERROR(__xludf.DUMMYFUNCTION("""COMPUTED_VALUE"""),3143.0)</f>
        <v>3143</v>
      </c>
      <c r="G1585" s="4">
        <f>IFERROR(__xludf.DUMMYFUNCTION("""COMPUTED_VALUE"""),0.0)</f>
        <v>0</v>
      </c>
      <c r="H1585" s="4"/>
      <c r="I1585" s="4"/>
    </row>
    <row r="1586">
      <c r="A1586" s="4" t="str">
        <f>IFERROR(__xludf.DUMMYFUNCTION("""COMPUTED_VALUE"""),"cas_hmw")</f>
        <v>cas_hmw</v>
      </c>
      <c r="B1586" s="5">
        <f>IFERROR(__xludf.DUMMYFUNCTION("""COMPUTED_VALUE"""),44785.0)</f>
        <v>44785</v>
      </c>
      <c r="C1586" s="6">
        <f>IFERROR(__xludf.DUMMYFUNCTION("""COMPUTED_VALUE"""),0.7086574074091914)</f>
        <v>0.7086574074</v>
      </c>
      <c r="D1586" s="4">
        <f>IFERROR(__xludf.DUMMYFUNCTION("""COMPUTED_VALUE"""),12.919919)</f>
        <v>12.919919</v>
      </c>
      <c r="E1586" s="4">
        <f>IFERROR(__xludf.DUMMYFUNCTION("""COMPUTED_VALUE"""),80.171036)</f>
        <v>80.171036</v>
      </c>
      <c r="F1586" s="4">
        <f>IFERROR(__xludf.DUMMYFUNCTION("""COMPUTED_VALUE"""),3143.0)</f>
        <v>3143</v>
      </c>
      <c r="G1586" s="4">
        <f>IFERROR(__xludf.DUMMYFUNCTION("""COMPUTED_VALUE"""),13.0)</f>
        <v>13</v>
      </c>
      <c r="H1586" s="4"/>
      <c r="I1586" s="4"/>
    </row>
    <row r="1587">
      <c r="A1587" s="4" t="str">
        <f>IFERROR(__xludf.DUMMYFUNCTION("""COMPUTED_VALUE"""),"cas_hmw")</f>
        <v>cas_hmw</v>
      </c>
      <c r="B1587" s="5">
        <f>IFERROR(__xludf.DUMMYFUNCTION("""COMPUTED_VALUE"""),44785.0)</f>
        <v>44785</v>
      </c>
      <c r="C1587" s="6">
        <f>IFERROR(__xludf.DUMMYFUNCTION("""COMPUTED_VALUE"""),0.7087731481478841)</f>
        <v>0.7087731481</v>
      </c>
      <c r="D1587" s="4">
        <f>IFERROR(__xludf.DUMMYFUNCTION("""COMPUTED_VALUE"""),12.919919)</f>
        <v>12.919919</v>
      </c>
      <c r="E1587" s="4">
        <f>IFERROR(__xludf.DUMMYFUNCTION("""COMPUTED_VALUE"""),80.171036)</f>
        <v>80.171036</v>
      </c>
      <c r="F1587" s="4">
        <f>IFERROR(__xludf.DUMMYFUNCTION("""COMPUTED_VALUE"""),3143.0)</f>
        <v>3143</v>
      </c>
      <c r="G1587" s="4">
        <f>IFERROR(__xludf.DUMMYFUNCTION("""COMPUTED_VALUE"""),13.0)</f>
        <v>13</v>
      </c>
      <c r="H1587" s="4"/>
      <c r="I1587" s="4"/>
    </row>
    <row r="1588">
      <c r="A1588" s="4" t="str">
        <f>IFERROR(__xludf.DUMMYFUNCTION("""COMPUTED_VALUE"""),"cas_hmw")</f>
        <v>cas_hmw</v>
      </c>
      <c r="B1588" s="5">
        <f>IFERROR(__xludf.DUMMYFUNCTION("""COMPUTED_VALUE"""),44785.0)</f>
        <v>44785</v>
      </c>
      <c r="C1588" s="6">
        <f>IFERROR(__xludf.DUMMYFUNCTION("""COMPUTED_VALUE"""),0.7104050925918273)</f>
        <v>0.7104050926</v>
      </c>
      <c r="D1588" s="4">
        <f>IFERROR(__xludf.DUMMYFUNCTION("""COMPUTED_VALUE"""),12.985953)</f>
        <v>12.985953</v>
      </c>
      <c r="E1588" s="4">
        <f>IFERROR(__xludf.DUMMYFUNCTION("""COMPUTED_VALUE"""),80.173945)</f>
        <v>80.173945</v>
      </c>
      <c r="F1588" s="4">
        <f>IFERROR(__xludf.DUMMYFUNCTION("""COMPUTED_VALUE"""),805.0)</f>
        <v>805</v>
      </c>
      <c r="G1588" s="4">
        <f>IFERROR(__xludf.DUMMYFUNCTION("""COMPUTED_VALUE"""),14.0)</f>
        <v>14</v>
      </c>
      <c r="H1588" s="4"/>
      <c r="I1588" s="4"/>
    </row>
    <row r="1589">
      <c r="A1589" s="4" t="str">
        <f>IFERROR(__xludf.DUMMYFUNCTION("""COMPUTED_VALUE"""),"cas_hmw")</f>
        <v>cas_hmw</v>
      </c>
      <c r="B1589" s="5">
        <f>IFERROR(__xludf.DUMMYFUNCTION("""COMPUTED_VALUE"""),44785.0)</f>
        <v>44785</v>
      </c>
      <c r="C1589" s="6">
        <f>IFERROR(__xludf.DUMMYFUNCTION("""COMPUTED_VALUE"""),0.710694444445835)</f>
        <v>0.7106944444</v>
      </c>
      <c r="D1589" s="4">
        <f>IFERROR(__xludf.DUMMYFUNCTION("""COMPUTED_VALUE"""),12.985984)</f>
        <v>12.985984</v>
      </c>
      <c r="E1589" s="4">
        <f>IFERROR(__xludf.DUMMYFUNCTION("""COMPUTED_VALUE"""),80.173898)</f>
        <v>80.173898</v>
      </c>
      <c r="F1589" s="4">
        <f>IFERROR(__xludf.DUMMYFUNCTION("""COMPUTED_VALUE"""),5339.0)</f>
        <v>5339</v>
      </c>
      <c r="G1589" s="4">
        <f>IFERROR(__xludf.DUMMYFUNCTION("""COMPUTED_VALUE"""),18.0)</f>
        <v>18</v>
      </c>
      <c r="H1589" s="4"/>
      <c r="I1589" s="4"/>
    </row>
    <row r="1590">
      <c r="A1590" s="4" t="str">
        <f>IFERROR(__xludf.DUMMYFUNCTION("""COMPUTED_VALUE"""),"cas_hmw")</f>
        <v>cas_hmw</v>
      </c>
      <c r="B1590" s="5">
        <f>IFERROR(__xludf.DUMMYFUNCTION("""COMPUTED_VALUE"""),44785.0)</f>
        <v>44785</v>
      </c>
      <c r="C1590" s="6">
        <f>IFERROR(__xludf.DUMMYFUNCTION("""COMPUTED_VALUE"""),0.7123379629629198)</f>
        <v>0.712337963</v>
      </c>
      <c r="D1590" s="4">
        <f>IFERROR(__xludf.DUMMYFUNCTION("""COMPUTED_VALUE"""),12.993858)</f>
        <v>12.993858</v>
      </c>
      <c r="E1590" s="4">
        <f>IFERROR(__xludf.DUMMYFUNCTION("""COMPUTED_VALUE"""),80.1851)</f>
        <v>80.1851</v>
      </c>
      <c r="F1590" s="4">
        <f>IFERROR(__xludf.DUMMYFUNCTION("""COMPUTED_VALUE"""),5339.0)</f>
        <v>5339</v>
      </c>
      <c r="G1590" s="4">
        <f>IFERROR(__xludf.DUMMYFUNCTION("""COMPUTED_VALUE"""),15.0)</f>
        <v>15</v>
      </c>
      <c r="H1590" s="4"/>
      <c r="I1590" s="4"/>
    </row>
    <row r="1591">
      <c r="A1591" s="4" t="str">
        <f>IFERROR(__xludf.DUMMYFUNCTION("""COMPUTED_VALUE"""),"cas_hmw")</f>
        <v>cas_hmw</v>
      </c>
      <c r="B1591" s="5">
        <f>IFERROR(__xludf.DUMMYFUNCTION("""COMPUTED_VALUE"""),44785.0)</f>
        <v>44785</v>
      </c>
      <c r="C1591" s="6">
        <f>IFERROR(__xludf.DUMMYFUNCTION("""COMPUTED_VALUE"""),0.7175231481487572)</f>
        <v>0.7175231481</v>
      </c>
      <c r="D1591" s="4">
        <f>IFERROR(__xludf.DUMMYFUNCTION("""COMPUTED_VALUE"""),12.690946)</f>
        <v>12.690946</v>
      </c>
      <c r="E1591" s="4">
        <f>IFERROR(__xludf.DUMMYFUNCTION("""COMPUTED_VALUE"""),79.981147)</f>
        <v>79.981147</v>
      </c>
      <c r="F1591" s="4">
        <f>IFERROR(__xludf.DUMMYFUNCTION("""COMPUTED_VALUE"""),2846.0)</f>
        <v>2846</v>
      </c>
      <c r="G1591" s="4">
        <f>IFERROR(__xludf.DUMMYFUNCTION("""COMPUTED_VALUE"""),15.0)</f>
        <v>15</v>
      </c>
      <c r="H1591" s="4"/>
      <c r="I1591" s="4"/>
    </row>
    <row r="1592">
      <c r="A1592" s="4" t="str">
        <f>IFERROR(__xludf.DUMMYFUNCTION("""COMPUTED_VALUE"""),"cas_hmw")</f>
        <v>cas_hmw</v>
      </c>
      <c r="B1592" s="5">
        <f>IFERROR(__xludf.DUMMYFUNCTION("""COMPUTED_VALUE"""),44785.0)</f>
        <v>44785</v>
      </c>
      <c r="C1592" s="6">
        <f>IFERROR(__xludf.DUMMYFUNCTION("""COMPUTED_VALUE"""),0.7187268518500787)</f>
        <v>0.7187268519</v>
      </c>
      <c r="D1592" s="4">
        <f>IFERROR(__xludf.DUMMYFUNCTION("""COMPUTED_VALUE"""),13.01546)</f>
        <v>13.01546</v>
      </c>
      <c r="E1592" s="4">
        <f>IFERROR(__xludf.DUMMYFUNCTION("""COMPUTED_VALUE"""),80.225526)</f>
        <v>80.225526</v>
      </c>
      <c r="F1592" s="4">
        <f>IFERROR(__xludf.DUMMYFUNCTION("""COMPUTED_VALUE"""),805.0)</f>
        <v>805</v>
      </c>
      <c r="G1592" s="4">
        <f>IFERROR(__xludf.DUMMYFUNCTION("""COMPUTED_VALUE"""),16.0)</f>
        <v>16</v>
      </c>
      <c r="H1592" s="4"/>
      <c r="I1592" s="4"/>
    </row>
    <row r="1593">
      <c r="A1593" s="4" t="str">
        <f>IFERROR(__xludf.DUMMYFUNCTION("""COMPUTED_VALUE"""),"cas_hmw")</f>
        <v>cas_hmw</v>
      </c>
      <c r="B1593" s="5">
        <f>IFERROR(__xludf.DUMMYFUNCTION("""COMPUTED_VALUE"""),44785.0)</f>
        <v>44785</v>
      </c>
      <c r="C1593" s="6">
        <f>IFERROR(__xludf.DUMMYFUNCTION("""COMPUTED_VALUE"""),0.7189120370385353)</f>
        <v>0.718912037</v>
      </c>
      <c r="D1593" s="4">
        <f>IFERROR(__xludf.DUMMYFUNCTION("""COMPUTED_VALUE"""),13.014871)</f>
        <v>13.014871</v>
      </c>
      <c r="E1593" s="4">
        <f>IFERROR(__xludf.DUMMYFUNCTION("""COMPUTED_VALUE"""),80.225973)</f>
        <v>80.225973</v>
      </c>
      <c r="F1593" s="4">
        <f>IFERROR(__xludf.DUMMYFUNCTION("""COMPUTED_VALUE"""),805.0)</f>
        <v>805</v>
      </c>
      <c r="G1593" s="4">
        <f>IFERROR(__xludf.DUMMYFUNCTION("""COMPUTED_VALUE"""),19.0)</f>
        <v>19</v>
      </c>
      <c r="H1593" s="4"/>
      <c r="I1593" s="4"/>
    </row>
    <row r="1594">
      <c r="A1594" s="4" t="str">
        <f>IFERROR(__xludf.DUMMYFUNCTION("""COMPUTED_VALUE"""),"cas_hmw")</f>
        <v>cas_hmw</v>
      </c>
      <c r="B1594" s="5">
        <f>IFERROR(__xludf.DUMMYFUNCTION("""COMPUTED_VALUE"""),44785.0)</f>
        <v>44785</v>
      </c>
      <c r="C1594" s="6">
        <f>IFERROR(__xludf.DUMMYFUNCTION("""COMPUTED_VALUE"""),0.7189120370385353)</f>
        <v>0.718912037</v>
      </c>
      <c r="D1594" s="4">
        <f>IFERROR(__xludf.DUMMYFUNCTION("""COMPUTED_VALUE"""),13.014871)</f>
        <v>13.014871</v>
      </c>
      <c r="E1594" s="4">
        <f>IFERROR(__xludf.DUMMYFUNCTION("""COMPUTED_VALUE"""),80.225973)</f>
        <v>80.225973</v>
      </c>
      <c r="F1594" s="4">
        <f>IFERROR(__xludf.DUMMYFUNCTION("""COMPUTED_VALUE"""),805.0)</f>
        <v>805</v>
      </c>
      <c r="G1594" s="4">
        <f>IFERROR(__xludf.DUMMYFUNCTION("""COMPUTED_VALUE"""),19.0)</f>
        <v>19</v>
      </c>
      <c r="H1594" s="4"/>
      <c r="I1594" s="4"/>
    </row>
    <row r="1595">
      <c r="A1595" s="4" t="str">
        <f>IFERROR(__xludf.DUMMYFUNCTION("""COMPUTED_VALUE"""),"cas_hmw")</f>
        <v>cas_hmw</v>
      </c>
      <c r="B1595" s="5">
        <f>IFERROR(__xludf.DUMMYFUNCTION("""COMPUTED_VALUE"""),44785.0)</f>
        <v>44785</v>
      </c>
      <c r="C1595" s="6">
        <f>IFERROR(__xludf.DUMMYFUNCTION("""COMPUTED_VALUE"""),0.7202083333322662)</f>
        <v>0.7202083333</v>
      </c>
      <c r="D1595" s="4">
        <f>IFERROR(__xludf.DUMMYFUNCTION("""COMPUTED_VALUE"""),12.679855)</f>
        <v>12.679855</v>
      </c>
      <c r="E1595" s="4">
        <f>IFERROR(__xludf.DUMMYFUNCTION("""COMPUTED_VALUE"""),79.980945)</f>
        <v>79.980945</v>
      </c>
      <c r="F1595" s="4">
        <f>IFERROR(__xludf.DUMMYFUNCTION("""COMPUTED_VALUE"""),2846.0)</f>
        <v>2846</v>
      </c>
      <c r="G1595" s="4">
        <f>IFERROR(__xludf.DUMMYFUNCTION("""COMPUTED_VALUE"""),7.0)</f>
        <v>7</v>
      </c>
      <c r="H1595" s="4"/>
      <c r="I1595" s="4"/>
    </row>
    <row r="1596">
      <c r="A1596" s="4" t="str">
        <f>IFERROR(__xludf.DUMMYFUNCTION("""COMPUTED_VALUE"""),"cas_hmw")</f>
        <v>cas_hmw</v>
      </c>
      <c r="B1596" s="5">
        <f>IFERROR(__xludf.DUMMYFUNCTION("""COMPUTED_VALUE"""),44785.0)</f>
        <v>44785</v>
      </c>
      <c r="C1596" s="6">
        <f>IFERROR(__xludf.DUMMYFUNCTION("""COMPUTED_VALUE"""),0.7253819444449618)</f>
        <v>0.7253819444</v>
      </c>
      <c r="D1596" s="4">
        <f>IFERROR(__xludf.DUMMYFUNCTION("""COMPUTED_VALUE"""),13.033274)</f>
        <v>13.033274</v>
      </c>
      <c r="E1596" s="4">
        <f>IFERROR(__xludf.DUMMYFUNCTION("""COMPUTED_VALUE"""),80.2435)</f>
        <v>80.2435</v>
      </c>
      <c r="F1596" s="4">
        <f>IFERROR(__xludf.DUMMYFUNCTION("""COMPUTED_VALUE"""),5339.0)</f>
        <v>5339</v>
      </c>
      <c r="G1596" s="4">
        <f>IFERROR(__xludf.DUMMYFUNCTION("""COMPUTED_VALUE"""),17.0)</f>
        <v>17</v>
      </c>
      <c r="H1596" s="4"/>
      <c r="I1596" s="4"/>
    </row>
    <row r="1597">
      <c r="A1597" s="4" t="str">
        <f>IFERROR(__xludf.DUMMYFUNCTION("""COMPUTED_VALUE"""),"cas_hmw")</f>
        <v>cas_hmw</v>
      </c>
      <c r="B1597" s="5">
        <f>IFERROR(__xludf.DUMMYFUNCTION("""COMPUTED_VALUE"""),44785.0)</f>
        <v>44785</v>
      </c>
      <c r="C1597" s="6">
        <f>IFERROR(__xludf.DUMMYFUNCTION("""COMPUTED_VALUE"""),0.7348263888889051)</f>
        <v>0.7348263889</v>
      </c>
      <c r="D1597" s="4">
        <f>IFERROR(__xludf.DUMMYFUNCTION("""COMPUTED_VALUE"""),12.975832)</f>
        <v>12.975832</v>
      </c>
      <c r="E1597" s="4">
        <f>IFERROR(__xludf.DUMMYFUNCTION("""COMPUTED_VALUE"""),80.221274)</f>
        <v>80.221274</v>
      </c>
      <c r="F1597" s="4">
        <f>IFERROR(__xludf.DUMMYFUNCTION("""COMPUTED_VALUE"""),3143.0)</f>
        <v>3143</v>
      </c>
      <c r="G1597" s="4">
        <f>IFERROR(__xludf.DUMMYFUNCTION("""COMPUTED_VALUE"""),7.0)</f>
        <v>7</v>
      </c>
      <c r="H1597" s="4"/>
      <c r="I1597" s="4"/>
    </row>
    <row r="1598">
      <c r="A1598" s="4" t="str">
        <f>IFERROR(__xludf.DUMMYFUNCTION("""COMPUTED_VALUE"""),"cas_hmw")</f>
        <v>cas_hmw</v>
      </c>
      <c r="B1598" s="5">
        <f>IFERROR(__xludf.DUMMYFUNCTION("""COMPUTED_VALUE"""),44785.0)</f>
        <v>44785</v>
      </c>
      <c r="C1598" s="6">
        <f>IFERROR(__xludf.DUMMYFUNCTION("""COMPUTED_VALUE"""),0.7441319444442343)</f>
        <v>0.7441319444</v>
      </c>
      <c r="D1598" s="4">
        <f>IFERROR(__xludf.DUMMYFUNCTION("""COMPUTED_VALUE"""),12.951079)</f>
        <v>12.951079</v>
      </c>
      <c r="E1598" s="4">
        <f>IFERROR(__xludf.DUMMYFUNCTION("""COMPUTED_VALUE"""),80.174819)</f>
        <v>80.174819</v>
      </c>
      <c r="F1598" s="4">
        <f>IFERROR(__xludf.DUMMYFUNCTION("""COMPUTED_VALUE"""),3143.0)</f>
        <v>3143</v>
      </c>
      <c r="G1598" s="4">
        <f>IFERROR(__xludf.DUMMYFUNCTION("""COMPUTED_VALUE"""),0.0)</f>
        <v>0</v>
      </c>
      <c r="H1598" s="4"/>
      <c r="I1598" s="4"/>
    </row>
    <row r="1599">
      <c r="A1599" s="4" t="str">
        <f>IFERROR(__xludf.DUMMYFUNCTION("""COMPUTED_VALUE"""),"cas_hmw")</f>
        <v>cas_hmw</v>
      </c>
      <c r="B1599" s="5">
        <f>IFERROR(__xludf.DUMMYFUNCTION("""COMPUTED_VALUE"""),44785.0)</f>
        <v>44785</v>
      </c>
      <c r="C1599" s="6">
        <f>IFERROR(__xludf.DUMMYFUNCTION("""COMPUTED_VALUE"""),0.7449652777795563)</f>
        <v>0.7449652778</v>
      </c>
      <c r="D1599" s="4">
        <f>IFERROR(__xludf.DUMMYFUNCTION("""COMPUTED_VALUE"""),12.951801)</f>
        <v>12.951801</v>
      </c>
      <c r="E1599" s="4">
        <f>IFERROR(__xludf.DUMMYFUNCTION("""COMPUTED_VALUE"""),80.171413)</f>
        <v>80.171413</v>
      </c>
      <c r="F1599" s="4">
        <f>IFERROR(__xludf.DUMMYFUNCTION("""COMPUTED_VALUE"""),3143.0)</f>
        <v>3143</v>
      </c>
      <c r="G1599" s="4">
        <f>IFERROR(__xludf.DUMMYFUNCTION("""COMPUTED_VALUE"""),9.0)</f>
        <v>9</v>
      </c>
      <c r="H1599" s="4"/>
      <c r="I1599" s="4"/>
    </row>
    <row r="1600">
      <c r="A1600" s="4" t="str">
        <f>IFERROR(__xludf.DUMMYFUNCTION("""COMPUTED_VALUE"""),"cas_hmw")</f>
        <v>cas_hmw</v>
      </c>
      <c r="B1600" s="5">
        <f>IFERROR(__xludf.DUMMYFUNCTION("""COMPUTED_VALUE"""),44785.0)</f>
        <v>44785</v>
      </c>
      <c r="C1600" s="6">
        <f>IFERROR(__xludf.DUMMYFUNCTION("""COMPUTED_VALUE"""),0.7496296296303626)</f>
        <v>0.7496296296</v>
      </c>
      <c r="D1600" s="4">
        <f>IFERROR(__xludf.DUMMYFUNCTION("""COMPUTED_VALUE"""),12.956382)</f>
        <v>12.956382</v>
      </c>
      <c r="E1600" s="4">
        <f>IFERROR(__xludf.DUMMYFUNCTION("""COMPUTED_VALUE"""),80.143426)</f>
        <v>80.143426</v>
      </c>
      <c r="F1600" s="4">
        <f>IFERROR(__xludf.DUMMYFUNCTION("""COMPUTED_VALUE"""),3143.0)</f>
        <v>3143</v>
      </c>
      <c r="G1600" s="4">
        <f>IFERROR(__xludf.DUMMYFUNCTION("""COMPUTED_VALUE"""),7.0)</f>
        <v>7</v>
      </c>
      <c r="H1600" s="4"/>
      <c r="I1600" s="4"/>
    </row>
    <row r="1601">
      <c r="A1601" s="4" t="str">
        <f>IFERROR(__xludf.DUMMYFUNCTION("""COMPUTED_VALUE"""),"cas_hmw")</f>
        <v>cas_hmw</v>
      </c>
      <c r="B1601" s="5">
        <f>IFERROR(__xludf.DUMMYFUNCTION("""COMPUTED_VALUE"""),44785.0)</f>
        <v>44785</v>
      </c>
      <c r="C1601" s="6">
        <f>IFERROR(__xludf.DUMMYFUNCTION("""COMPUTED_VALUE"""),0.7496296296303626)</f>
        <v>0.7496296296</v>
      </c>
      <c r="D1601" s="4">
        <f>IFERROR(__xludf.DUMMYFUNCTION("""COMPUTED_VALUE"""),12.956382)</f>
        <v>12.956382</v>
      </c>
      <c r="E1601" s="4">
        <f>IFERROR(__xludf.DUMMYFUNCTION("""COMPUTED_VALUE"""),80.143426)</f>
        <v>80.143426</v>
      </c>
      <c r="F1601" s="4">
        <f>IFERROR(__xludf.DUMMYFUNCTION("""COMPUTED_VALUE"""),3143.0)</f>
        <v>3143</v>
      </c>
      <c r="G1601" s="4">
        <f>IFERROR(__xludf.DUMMYFUNCTION("""COMPUTED_VALUE"""),7.0)</f>
        <v>7</v>
      </c>
      <c r="H1601" s="4"/>
      <c r="I1601" s="4"/>
    </row>
    <row r="1602">
      <c r="A1602" s="4" t="str">
        <f>IFERROR(__xludf.DUMMYFUNCTION("""COMPUTED_VALUE"""),"cas_hmw")</f>
        <v>cas_hmw</v>
      </c>
      <c r="B1602" s="5">
        <f>IFERROR(__xludf.DUMMYFUNCTION("""COMPUTED_VALUE"""),44785.0)</f>
        <v>44785</v>
      </c>
      <c r="C1602" s="6">
        <f>IFERROR(__xludf.DUMMYFUNCTION("""COMPUTED_VALUE"""),0.749652777776646)</f>
        <v>0.7496527778</v>
      </c>
      <c r="D1602" s="4">
        <f>IFERROR(__xludf.DUMMYFUNCTION("""COMPUTED_VALUE"""),12.956382)</f>
        <v>12.956382</v>
      </c>
      <c r="E1602" s="4">
        <f>IFERROR(__xludf.DUMMYFUNCTION("""COMPUTED_VALUE"""),80.143426)</f>
        <v>80.143426</v>
      </c>
      <c r="F1602" s="4">
        <f>IFERROR(__xludf.DUMMYFUNCTION("""COMPUTED_VALUE"""),3143.0)</f>
        <v>3143</v>
      </c>
      <c r="G1602" s="4">
        <f>IFERROR(__xludf.DUMMYFUNCTION("""COMPUTED_VALUE"""),7.0)</f>
        <v>7</v>
      </c>
      <c r="H1602" s="4"/>
      <c r="I1602" s="4"/>
    </row>
    <row r="1603">
      <c r="A1603" s="4" t="str">
        <f>IFERROR(__xludf.DUMMYFUNCTION("""COMPUTED_VALUE"""),"cas_hmw")</f>
        <v>cas_hmw</v>
      </c>
      <c r="B1603" s="5">
        <f>IFERROR(__xludf.DUMMYFUNCTION("""COMPUTED_VALUE"""),44785.0)</f>
        <v>44785</v>
      </c>
      <c r="C1603" s="6">
        <f>IFERROR(__xludf.DUMMYFUNCTION("""COMPUTED_VALUE"""),0.749652777776646)</f>
        <v>0.7496527778</v>
      </c>
      <c r="D1603" s="4">
        <f>IFERROR(__xludf.DUMMYFUNCTION("""COMPUTED_VALUE"""),12.956382)</f>
        <v>12.956382</v>
      </c>
      <c r="E1603" s="4">
        <f>IFERROR(__xludf.DUMMYFUNCTION("""COMPUTED_VALUE"""),80.143426)</f>
        <v>80.143426</v>
      </c>
      <c r="F1603" s="4">
        <f>IFERROR(__xludf.DUMMYFUNCTION("""COMPUTED_VALUE"""),3143.0)</f>
        <v>3143</v>
      </c>
      <c r="G1603" s="4">
        <f>IFERROR(__xludf.DUMMYFUNCTION("""COMPUTED_VALUE"""),7.0)</f>
        <v>7</v>
      </c>
      <c r="H1603" s="4"/>
      <c r="I1603" s="4"/>
    </row>
    <row r="1604">
      <c r="A1604" s="4" t="str">
        <f>IFERROR(__xludf.DUMMYFUNCTION("""COMPUTED_VALUE"""),"cas_hmw")</f>
        <v>cas_hmw</v>
      </c>
      <c r="B1604" s="5">
        <f>IFERROR(__xludf.DUMMYFUNCTION("""COMPUTED_VALUE"""),44785.0)</f>
        <v>44785</v>
      </c>
      <c r="C1604" s="6">
        <f>IFERROR(__xludf.DUMMYFUNCTION("""COMPUTED_VALUE"""),0.7498495370382443)</f>
        <v>0.749849537</v>
      </c>
      <c r="D1604" s="4">
        <f>IFERROR(__xludf.DUMMYFUNCTION("""COMPUTED_VALUE"""),12.956006)</f>
        <v>12.956006</v>
      </c>
      <c r="E1604" s="4">
        <f>IFERROR(__xludf.DUMMYFUNCTION("""COMPUTED_VALUE"""),80.143172)</f>
        <v>80.143172</v>
      </c>
      <c r="F1604" s="4">
        <f>IFERROR(__xludf.DUMMYFUNCTION("""COMPUTED_VALUE"""),3143.0)</f>
        <v>3143</v>
      </c>
      <c r="G1604" s="4">
        <f>IFERROR(__xludf.DUMMYFUNCTION("""COMPUTED_VALUE"""),9.0)</f>
        <v>9</v>
      </c>
      <c r="H1604" s="4"/>
      <c r="I1604" s="4"/>
    </row>
    <row r="1605">
      <c r="A1605" s="4" t="str">
        <f>IFERROR(__xludf.DUMMYFUNCTION("""COMPUTED_VALUE"""),"cas_hmw")</f>
        <v>cas_hmw</v>
      </c>
      <c r="B1605" s="5">
        <f>IFERROR(__xludf.DUMMYFUNCTION("""COMPUTED_VALUE"""),44785.0)</f>
        <v>44785</v>
      </c>
      <c r="C1605" s="6">
        <f>IFERROR(__xludf.DUMMYFUNCTION("""COMPUTED_VALUE"""),0.7510532407395658)</f>
        <v>0.7510532407</v>
      </c>
      <c r="D1605" s="4">
        <f>IFERROR(__xludf.DUMMYFUNCTION("""COMPUTED_VALUE"""),12.950772)</f>
        <v>12.950772</v>
      </c>
      <c r="E1605" s="4">
        <f>IFERROR(__xludf.DUMMYFUNCTION("""COMPUTED_VALUE"""),80.139885)</f>
        <v>80.139885</v>
      </c>
      <c r="F1605" s="4">
        <f>IFERROR(__xludf.DUMMYFUNCTION("""COMPUTED_VALUE"""),3143.0)</f>
        <v>3143</v>
      </c>
      <c r="G1605" s="4">
        <f>IFERROR(__xludf.DUMMYFUNCTION("""COMPUTED_VALUE"""),12.0)</f>
        <v>12</v>
      </c>
      <c r="H1605" s="4"/>
      <c r="I1605" s="4"/>
    </row>
    <row r="1606">
      <c r="A1606" s="4" t="str">
        <f>IFERROR(__xludf.DUMMYFUNCTION("""COMPUTED_VALUE"""),"cas_hmw")</f>
        <v>cas_hmw</v>
      </c>
      <c r="B1606" s="5">
        <f>IFERROR(__xludf.DUMMYFUNCTION("""COMPUTED_VALUE"""),44785.0)</f>
        <v>44785</v>
      </c>
      <c r="C1606" s="6">
        <f>IFERROR(__xludf.DUMMYFUNCTION("""COMPUTED_VALUE"""),0.7511689814818965)</f>
        <v>0.7511689815</v>
      </c>
      <c r="D1606" s="4">
        <f>IFERROR(__xludf.DUMMYFUNCTION("""COMPUTED_VALUE"""),12.950772)</f>
        <v>12.950772</v>
      </c>
      <c r="E1606" s="4">
        <f>IFERROR(__xludf.DUMMYFUNCTION("""COMPUTED_VALUE"""),80.139885)</f>
        <v>80.139885</v>
      </c>
      <c r="F1606" s="4">
        <f>IFERROR(__xludf.DUMMYFUNCTION("""COMPUTED_VALUE"""),3143.0)</f>
        <v>3143</v>
      </c>
      <c r="G1606" s="4">
        <f>IFERROR(__xludf.DUMMYFUNCTION("""COMPUTED_VALUE"""),12.0)</f>
        <v>12</v>
      </c>
      <c r="H1606" s="4"/>
      <c r="I1606" s="4"/>
    </row>
    <row r="1607">
      <c r="A1607" s="4" t="str">
        <f>IFERROR(__xludf.DUMMYFUNCTION("""COMPUTED_VALUE"""),"cas_hmw")</f>
        <v>cas_hmw</v>
      </c>
      <c r="B1607" s="5">
        <f>IFERROR(__xludf.DUMMYFUNCTION("""COMPUTED_VALUE"""),44785.0)</f>
        <v>44785</v>
      </c>
      <c r="C1607" s="6">
        <f>IFERROR(__xludf.DUMMYFUNCTION("""COMPUTED_VALUE"""),0.7514236111128412)</f>
        <v>0.7514236111</v>
      </c>
      <c r="D1607" s="4">
        <f>IFERROR(__xludf.DUMMYFUNCTION("""COMPUTED_VALUE"""),13.065849)</f>
        <v>13.065849</v>
      </c>
      <c r="E1607" s="4">
        <f>IFERROR(__xludf.DUMMYFUNCTION("""COMPUTED_VALUE"""),80.267575)</f>
        <v>80.267575</v>
      </c>
      <c r="F1607" s="4">
        <f>IFERROR(__xludf.DUMMYFUNCTION("""COMPUTED_VALUE"""),805.0)</f>
        <v>805</v>
      </c>
      <c r="G1607" s="4">
        <f>IFERROR(__xludf.DUMMYFUNCTION("""COMPUTED_VALUE"""),13.0)</f>
        <v>13</v>
      </c>
      <c r="H1607" s="4"/>
      <c r="I1607" s="4"/>
    </row>
    <row r="1608">
      <c r="A1608" s="4" t="str">
        <f>IFERROR(__xludf.DUMMYFUNCTION("""COMPUTED_VALUE"""),"cas_hmw")</f>
        <v>cas_hmw</v>
      </c>
      <c r="B1608" s="5">
        <f>IFERROR(__xludf.DUMMYFUNCTION("""COMPUTED_VALUE"""),44785.0)</f>
        <v>44785</v>
      </c>
      <c r="C1608" s="6">
        <f>IFERROR(__xludf.DUMMYFUNCTION("""COMPUTED_VALUE"""),0.7514814814821875)</f>
        <v>0.7514814815</v>
      </c>
      <c r="D1608" s="4">
        <f>IFERROR(__xludf.DUMMYFUNCTION("""COMPUTED_VALUE"""),13.065849)</f>
        <v>13.065849</v>
      </c>
      <c r="E1608" s="4">
        <f>IFERROR(__xludf.DUMMYFUNCTION("""COMPUTED_VALUE"""),80.267575)</f>
        <v>80.267575</v>
      </c>
      <c r="F1608" s="4">
        <f>IFERROR(__xludf.DUMMYFUNCTION("""COMPUTED_VALUE"""),805.0)</f>
        <v>805</v>
      </c>
      <c r="G1608" s="4">
        <f>IFERROR(__xludf.DUMMYFUNCTION("""COMPUTED_VALUE"""),13.0)</f>
        <v>13</v>
      </c>
      <c r="H1608" s="4"/>
      <c r="I1608" s="4"/>
    </row>
    <row r="1609">
      <c r="A1609" s="4" t="str">
        <f>IFERROR(__xludf.DUMMYFUNCTION("""COMPUTED_VALUE"""),"cas_hmw")</f>
        <v>cas_hmw</v>
      </c>
      <c r="B1609" s="5">
        <f>IFERROR(__xludf.DUMMYFUNCTION("""COMPUTED_VALUE"""),44785.0)</f>
        <v>44785</v>
      </c>
      <c r="C1609" s="6">
        <f>IFERROR(__xludf.DUMMYFUNCTION("""COMPUTED_VALUE"""),0.7534722222226264)</f>
        <v>0.7534722222</v>
      </c>
      <c r="D1609" s="4">
        <f>IFERROR(__xludf.DUMMYFUNCTION("""COMPUTED_VALUE"""),12.936551)</f>
        <v>12.936551</v>
      </c>
      <c r="E1609" s="4">
        <f>IFERROR(__xludf.DUMMYFUNCTION("""COMPUTED_VALUE"""),80.127635)</f>
        <v>80.127635</v>
      </c>
      <c r="F1609" s="4">
        <f>IFERROR(__xludf.DUMMYFUNCTION("""COMPUTED_VALUE"""),3143.0)</f>
        <v>3143</v>
      </c>
      <c r="G1609" s="4">
        <f>IFERROR(__xludf.DUMMYFUNCTION("""COMPUTED_VALUE"""),12.0)</f>
        <v>12</v>
      </c>
      <c r="H1609" s="4"/>
      <c r="I1609" s="4"/>
    </row>
    <row r="1610">
      <c r="A1610" s="4" t="str">
        <f>IFERROR(__xludf.DUMMYFUNCTION("""COMPUTED_VALUE"""),"cas_hmw")</f>
        <v>cas_hmw</v>
      </c>
      <c r="B1610" s="5">
        <f>IFERROR(__xludf.DUMMYFUNCTION("""COMPUTED_VALUE"""),44785.0)</f>
        <v>44785</v>
      </c>
      <c r="C1610" s="6">
        <f>IFERROR(__xludf.DUMMYFUNCTION("""COMPUTED_VALUE"""),0.7535416666651145)</f>
        <v>0.7535416667</v>
      </c>
      <c r="D1610" s="4">
        <f>IFERROR(__xludf.DUMMYFUNCTION("""COMPUTED_VALUE"""),12.935981)</f>
        <v>12.935981</v>
      </c>
      <c r="E1610" s="4">
        <f>IFERROR(__xludf.DUMMYFUNCTION("""COMPUTED_VALUE"""),80.127162)</f>
        <v>80.127162</v>
      </c>
      <c r="F1610" s="4">
        <f>IFERROR(__xludf.DUMMYFUNCTION("""COMPUTED_VALUE"""),3143.0)</f>
        <v>3143</v>
      </c>
      <c r="G1610" s="4">
        <f>IFERROR(__xludf.DUMMYFUNCTION("""COMPUTED_VALUE"""),16.0)</f>
        <v>16</v>
      </c>
      <c r="H1610" s="4"/>
      <c r="I1610" s="4"/>
    </row>
    <row r="1611">
      <c r="A1611" s="4" t="str">
        <f>IFERROR(__xludf.DUMMYFUNCTION("""COMPUTED_VALUE"""),"cas_hmw")</f>
        <v>cas_hmw</v>
      </c>
      <c r="B1611" s="5">
        <f>IFERROR(__xludf.DUMMYFUNCTION("""COMPUTED_VALUE"""),44785.0)</f>
        <v>44785</v>
      </c>
      <c r="C1611" s="6">
        <f>IFERROR(__xludf.DUMMYFUNCTION("""COMPUTED_VALUE"""),0.7535995370380988)</f>
        <v>0.753599537</v>
      </c>
      <c r="D1611" s="4">
        <f>IFERROR(__xludf.DUMMYFUNCTION("""COMPUTED_VALUE"""),12.935981)</f>
        <v>12.935981</v>
      </c>
      <c r="E1611" s="4">
        <f>IFERROR(__xludf.DUMMYFUNCTION("""COMPUTED_VALUE"""),80.127162)</f>
        <v>80.127162</v>
      </c>
      <c r="F1611" s="4">
        <f>IFERROR(__xludf.DUMMYFUNCTION("""COMPUTED_VALUE"""),3143.0)</f>
        <v>3143</v>
      </c>
      <c r="G1611" s="4">
        <f>IFERROR(__xludf.DUMMYFUNCTION("""COMPUTED_VALUE"""),16.0)</f>
        <v>16</v>
      </c>
      <c r="H1611" s="4"/>
      <c r="I1611" s="4"/>
    </row>
    <row r="1612">
      <c r="A1612" s="4" t="str">
        <f>IFERROR(__xludf.DUMMYFUNCTION("""COMPUTED_VALUE"""),"cas_hmw")</f>
        <v>cas_hmw</v>
      </c>
      <c r="B1612" s="5">
        <f>IFERROR(__xludf.DUMMYFUNCTION("""COMPUTED_VALUE"""),44785.0)</f>
        <v>44785</v>
      </c>
      <c r="C1612" s="6">
        <f>IFERROR(__xludf.DUMMYFUNCTION("""COMPUTED_VALUE"""),0.754953703704814)</f>
        <v>0.7549537037</v>
      </c>
      <c r="D1612" s="4">
        <f>IFERROR(__xludf.DUMMYFUNCTION("""COMPUTED_VALUE"""),12.931534)</f>
        <v>12.931534</v>
      </c>
      <c r="E1612" s="4">
        <f>IFERROR(__xludf.DUMMYFUNCTION("""COMPUTED_VALUE"""),80.122852)</f>
        <v>80.122852</v>
      </c>
      <c r="F1612" s="4">
        <f>IFERROR(__xludf.DUMMYFUNCTION("""COMPUTED_VALUE"""),3143.0)</f>
        <v>3143</v>
      </c>
      <c r="G1612" s="4">
        <f>IFERROR(__xludf.DUMMYFUNCTION("""COMPUTED_VALUE"""),11.0)</f>
        <v>11</v>
      </c>
      <c r="H1612" s="4"/>
      <c r="I1612" s="4"/>
    </row>
    <row r="1613">
      <c r="A1613" s="4" t="str">
        <f>IFERROR(__xludf.DUMMYFUNCTION("""COMPUTED_VALUE"""),"cas_hmw")</f>
        <v>cas_hmw</v>
      </c>
      <c r="B1613" s="5">
        <f>IFERROR(__xludf.DUMMYFUNCTION("""COMPUTED_VALUE"""),44785.0)</f>
        <v>44785</v>
      </c>
      <c r="C1613" s="6">
        <f>IFERROR(__xludf.DUMMYFUNCTION("""COMPUTED_VALUE"""),0.7618402777770825)</f>
        <v>0.7618402778</v>
      </c>
      <c r="D1613" s="4">
        <f>IFERROR(__xludf.DUMMYFUNCTION("""COMPUTED_VALUE"""),12.904951)</f>
        <v>12.904951</v>
      </c>
      <c r="E1613" s="4">
        <f>IFERROR(__xludf.DUMMYFUNCTION("""COMPUTED_VALUE"""),80.095423)</f>
        <v>80.095423</v>
      </c>
      <c r="F1613" s="4">
        <f>IFERROR(__xludf.DUMMYFUNCTION("""COMPUTED_VALUE"""),3143.0)</f>
        <v>3143</v>
      </c>
      <c r="G1613" s="4">
        <f>IFERROR(__xludf.DUMMYFUNCTION("""COMPUTED_VALUE"""),20.0)</f>
        <v>20</v>
      </c>
      <c r="H1613" s="4"/>
      <c r="I1613" s="4"/>
    </row>
    <row r="1614">
      <c r="A1614" s="4" t="str">
        <f>IFERROR(__xludf.DUMMYFUNCTION("""COMPUTED_VALUE"""),"cas_hmw")</f>
        <v>cas_hmw</v>
      </c>
      <c r="B1614" s="5">
        <f>IFERROR(__xludf.DUMMYFUNCTION("""COMPUTED_VALUE"""),44785.0)</f>
        <v>44785</v>
      </c>
      <c r="C1614" s="6">
        <f>IFERROR(__xludf.DUMMYFUNCTION("""COMPUTED_VALUE"""),0.7819097222236451)</f>
        <v>0.7819097222</v>
      </c>
      <c r="D1614" s="4">
        <f>IFERROR(__xludf.DUMMYFUNCTION("""COMPUTED_VALUE"""),13.075412)</f>
        <v>13.075412</v>
      </c>
      <c r="E1614" s="4">
        <f>IFERROR(__xludf.DUMMYFUNCTION("""COMPUTED_VALUE"""),80.214518)</f>
        <v>80.214518</v>
      </c>
      <c r="F1614" s="4">
        <f>IFERROR(__xludf.DUMMYFUNCTION("""COMPUTED_VALUE"""),5339.0)</f>
        <v>5339</v>
      </c>
      <c r="G1614" s="4">
        <f>IFERROR(__xludf.DUMMYFUNCTION("""COMPUTED_VALUE"""),20.0)</f>
        <v>20</v>
      </c>
      <c r="H1614" s="4"/>
      <c r="I1614" s="4"/>
    </row>
    <row r="1615">
      <c r="A1615" s="4" t="str">
        <f>IFERROR(__xludf.DUMMYFUNCTION("""COMPUTED_VALUE"""),"cas_hmw")</f>
        <v>cas_hmw</v>
      </c>
      <c r="B1615" s="5">
        <f>IFERROR(__xludf.DUMMYFUNCTION("""COMPUTED_VALUE"""),44785.0)</f>
        <v>44785</v>
      </c>
      <c r="C1615" s="6">
        <f>IFERROR(__xludf.DUMMYFUNCTION("""COMPUTED_VALUE"""),0.786307870370365)</f>
        <v>0.7863078704</v>
      </c>
      <c r="D1615" s="4">
        <f>IFERROR(__xludf.DUMMYFUNCTION("""COMPUTED_VALUE"""),13.075124)</f>
        <v>13.075124</v>
      </c>
      <c r="E1615" s="4">
        <f>IFERROR(__xludf.DUMMYFUNCTION("""COMPUTED_VALUE"""),80.195713)</f>
        <v>80.195713</v>
      </c>
      <c r="F1615" s="4">
        <f>IFERROR(__xludf.DUMMYFUNCTION("""COMPUTED_VALUE"""),5339.0)</f>
        <v>5339</v>
      </c>
      <c r="G1615" s="4">
        <f>IFERROR(__xludf.DUMMYFUNCTION("""COMPUTED_VALUE"""),16.0)</f>
        <v>16</v>
      </c>
      <c r="H1615" s="4"/>
      <c r="I1615" s="4"/>
    </row>
    <row r="1616">
      <c r="A1616" s="4" t="str">
        <f>IFERROR(__xludf.DUMMYFUNCTION("""COMPUTED_VALUE"""),"cas_hmw")</f>
        <v>cas_hmw</v>
      </c>
      <c r="B1616" s="5">
        <f>IFERROR(__xludf.DUMMYFUNCTION("""COMPUTED_VALUE"""),44785.0)</f>
        <v>44785</v>
      </c>
      <c r="C1616" s="6">
        <f>IFERROR(__xludf.DUMMYFUNCTION("""COMPUTED_VALUE"""),0.7905787037052505)</f>
        <v>0.7905787037</v>
      </c>
      <c r="D1616" s="4">
        <f>IFERROR(__xludf.DUMMYFUNCTION("""COMPUTED_VALUE"""),13.070152)</f>
        <v>13.070152</v>
      </c>
      <c r="E1616" s="4">
        <f>IFERROR(__xludf.DUMMYFUNCTION("""COMPUTED_VALUE"""),80.182321)</f>
        <v>80.182321</v>
      </c>
      <c r="F1616" s="4">
        <f>IFERROR(__xludf.DUMMYFUNCTION("""COMPUTED_VALUE"""),5339.0)</f>
        <v>5339</v>
      </c>
      <c r="G1616" s="4">
        <f>IFERROR(__xludf.DUMMYFUNCTION("""COMPUTED_VALUE"""),15.0)</f>
        <v>15</v>
      </c>
      <c r="H1616" s="4"/>
      <c r="I1616" s="4"/>
    </row>
    <row r="1617">
      <c r="A1617" s="4" t="str">
        <f>IFERROR(__xludf.DUMMYFUNCTION("""COMPUTED_VALUE"""),"cas_hmw")</f>
        <v>cas_hmw</v>
      </c>
      <c r="B1617" s="5">
        <f>IFERROR(__xludf.DUMMYFUNCTION("""COMPUTED_VALUE"""),44787.0)</f>
        <v>44787</v>
      </c>
      <c r="C1617" s="6">
        <f>IFERROR(__xludf.DUMMYFUNCTION("""COMPUTED_VALUE"""),0.3060995370360615)</f>
        <v>0.306099537</v>
      </c>
      <c r="D1617" s="4">
        <f>IFERROR(__xludf.DUMMYFUNCTION("""COMPUTED_VALUE"""),13.026033)</f>
        <v>13.026033</v>
      </c>
      <c r="E1617" s="4">
        <f>IFERROR(__xludf.DUMMYFUNCTION("""COMPUTED_VALUE"""),80.231355)</f>
        <v>80.231355</v>
      </c>
      <c r="F1617" s="4">
        <f>IFERROR(__xludf.DUMMYFUNCTION("""COMPUTED_VALUE"""),5339.0)</f>
        <v>5339</v>
      </c>
      <c r="G1617" s="4">
        <f>IFERROR(__xludf.DUMMYFUNCTION("""COMPUTED_VALUE"""),10.0)</f>
        <v>10</v>
      </c>
      <c r="H1617" s="4"/>
      <c r="I1617" s="4"/>
    </row>
    <row r="1618">
      <c r="A1618" s="4" t="str">
        <f>IFERROR(__xludf.DUMMYFUNCTION("""COMPUTED_VALUE"""),"cas_hmw")</f>
        <v>cas_hmw</v>
      </c>
      <c r="B1618" s="5">
        <f>IFERROR(__xludf.DUMMYFUNCTION("""COMPUTED_VALUE"""),44787.0)</f>
        <v>44787</v>
      </c>
      <c r="C1618" s="6">
        <f>IFERROR(__xludf.DUMMYFUNCTION("""COMPUTED_VALUE"""),0.31026620370539604)</f>
        <v>0.3102662037</v>
      </c>
      <c r="D1618" s="4">
        <f>IFERROR(__xludf.DUMMYFUNCTION("""COMPUTED_VALUE"""),13.038923)</f>
        <v>13.038923</v>
      </c>
      <c r="E1618" s="4">
        <f>IFERROR(__xludf.DUMMYFUNCTION("""COMPUTED_VALUE"""),80.246878)</f>
        <v>80.246878</v>
      </c>
      <c r="F1618" s="4">
        <f>IFERROR(__xludf.DUMMYFUNCTION("""COMPUTED_VALUE"""),5339.0)</f>
        <v>5339</v>
      </c>
      <c r="G1618" s="4">
        <f>IFERROR(__xludf.DUMMYFUNCTION("""COMPUTED_VALUE"""),0.0)</f>
        <v>0</v>
      </c>
      <c r="H1618" s="4"/>
      <c r="I1618" s="4"/>
    </row>
    <row r="1619">
      <c r="A1619" s="4" t="str">
        <f>IFERROR(__xludf.DUMMYFUNCTION("""COMPUTED_VALUE"""),"cas_hmw")</f>
        <v>cas_hmw</v>
      </c>
      <c r="B1619" s="5">
        <f>IFERROR(__xludf.DUMMYFUNCTION("""COMPUTED_VALUE"""),44787.0)</f>
        <v>44787</v>
      </c>
      <c r="C1619" s="6">
        <f>IFERROR(__xludf.DUMMYFUNCTION("""COMPUTED_VALUE"""),0.328090277776937)</f>
        <v>0.3280902778</v>
      </c>
      <c r="D1619" s="4">
        <f>IFERROR(__xludf.DUMMYFUNCTION("""COMPUTED_VALUE"""),13.079309)</f>
        <v>13.079309</v>
      </c>
      <c r="E1619" s="4">
        <f>IFERROR(__xludf.DUMMYFUNCTION("""COMPUTED_VALUE"""),80.281877)</f>
        <v>80.281877</v>
      </c>
      <c r="F1619" s="4">
        <f>IFERROR(__xludf.DUMMYFUNCTION("""COMPUTED_VALUE"""),5339.0)</f>
        <v>5339</v>
      </c>
      <c r="G1619" s="4">
        <f>IFERROR(__xludf.DUMMYFUNCTION("""COMPUTED_VALUE"""),0.0)</f>
        <v>0</v>
      </c>
      <c r="H1619" s="4"/>
      <c r="I1619" s="4"/>
    </row>
    <row r="1620">
      <c r="A1620" s="4" t="str">
        <f>IFERROR(__xludf.DUMMYFUNCTION("""COMPUTED_VALUE"""),"cas_hmw")</f>
        <v>cas_hmw</v>
      </c>
      <c r="B1620" s="5">
        <f>IFERROR(__xludf.DUMMYFUNCTION("""COMPUTED_VALUE"""),44787.0)</f>
        <v>44787</v>
      </c>
      <c r="C1620" s="6">
        <f>IFERROR(__xludf.DUMMYFUNCTION("""COMPUTED_VALUE"""),0.4961921296307992)</f>
        <v>0.4961921296</v>
      </c>
      <c r="D1620" s="4">
        <f>IFERROR(__xludf.DUMMYFUNCTION("""COMPUTED_VALUE"""),13.006516)</f>
        <v>13.006516</v>
      </c>
      <c r="E1620" s="4">
        <f>IFERROR(__xludf.DUMMYFUNCTION("""COMPUTED_VALUE"""),80.251955)</f>
        <v>80.251955</v>
      </c>
      <c r="F1620" s="4">
        <f>IFERROR(__xludf.DUMMYFUNCTION("""COMPUTED_VALUE"""),5339.0)</f>
        <v>5339</v>
      </c>
      <c r="G1620" s="4">
        <f>IFERROR(__xludf.DUMMYFUNCTION("""COMPUTED_VALUE"""),12.0)</f>
        <v>12</v>
      </c>
      <c r="H1620" s="4"/>
      <c r="I1620" s="4"/>
    </row>
    <row r="1621">
      <c r="A1621" s="4" t="str">
        <f>IFERROR(__xludf.DUMMYFUNCTION("""COMPUTED_VALUE"""),"cas_hmw")</f>
        <v>cas_hmw</v>
      </c>
      <c r="B1621" s="5">
        <f>IFERROR(__xludf.DUMMYFUNCTION("""COMPUTED_VALUE"""),44787.0)</f>
        <v>44787</v>
      </c>
      <c r="C1621" s="6">
        <f>IFERROR(__xludf.DUMMYFUNCTION("""COMPUTED_VALUE"""),0.4961921296307992)</f>
        <v>0.4961921296</v>
      </c>
      <c r="D1621" s="4">
        <f>IFERROR(__xludf.DUMMYFUNCTION("""COMPUTED_VALUE"""),13.006516)</f>
        <v>13.006516</v>
      </c>
      <c r="E1621" s="4">
        <f>IFERROR(__xludf.DUMMYFUNCTION("""COMPUTED_VALUE"""),80.251955)</f>
        <v>80.251955</v>
      </c>
      <c r="F1621" s="4">
        <f>IFERROR(__xludf.DUMMYFUNCTION("""COMPUTED_VALUE"""),5339.0)</f>
        <v>5339</v>
      </c>
      <c r="G1621" s="4">
        <f>IFERROR(__xludf.DUMMYFUNCTION("""COMPUTED_VALUE"""),12.0)</f>
        <v>12</v>
      </c>
      <c r="H1621" s="4"/>
      <c r="I1621" s="4"/>
    </row>
    <row r="1622">
      <c r="A1622" s="4" t="str">
        <f>IFERROR(__xludf.DUMMYFUNCTION("""COMPUTED_VALUE"""),"cas_hmw")</f>
        <v>cas_hmw</v>
      </c>
      <c r="B1622" s="5">
        <f>IFERROR(__xludf.DUMMYFUNCTION("""COMPUTED_VALUE"""),44787.0)</f>
        <v>44787</v>
      </c>
      <c r="C1622" s="6">
        <f>IFERROR(__xludf.DUMMYFUNCTION("""COMPUTED_VALUE"""),0.49620370370394085)</f>
        <v>0.4962037037</v>
      </c>
      <c r="D1622" s="4">
        <f>IFERROR(__xludf.DUMMYFUNCTION("""COMPUTED_VALUE"""),13.006516)</f>
        <v>13.006516</v>
      </c>
      <c r="E1622" s="4">
        <f>IFERROR(__xludf.DUMMYFUNCTION("""COMPUTED_VALUE"""),80.251955)</f>
        <v>80.251955</v>
      </c>
      <c r="F1622" s="4">
        <f>IFERROR(__xludf.DUMMYFUNCTION("""COMPUTED_VALUE"""),5339.0)</f>
        <v>5339</v>
      </c>
      <c r="G1622" s="4">
        <f>IFERROR(__xludf.DUMMYFUNCTION("""COMPUTED_VALUE"""),12.0)</f>
        <v>12</v>
      </c>
      <c r="H1622" s="4"/>
      <c r="I1622" s="4"/>
    </row>
    <row r="1623">
      <c r="A1623" s="4" t="str">
        <f>IFERROR(__xludf.DUMMYFUNCTION("""COMPUTED_VALUE"""),"cas_hmw")</f>
        <v>cas_hmw</v>
      </c>
      <c r="B1623" s="5">
        <f>IFERROR(__xludf.DUMMYFUNCTION("""COMPUTED_VALUE"""),44787.0)</f>
        <v>44787</v>
      </c>
      <c r="C1623" s="6">
        <f>IFERROR(__xludf.DUMMYFUNCTION("""COMPUTED_VALUE"""),0.5267708333340124)</f>
        <v>0.5267708333</v>
      </c>
      <c r="D1623" s="4">
        <f>IFERROR(__xludf.DUMMYFUNCTION("""COMPUTED_VALUE"""),12.917058)</f>
        <v>12.917058</v>
      </c>
      <c r="E1623" s="4">
        <f>IFERROR(__xludf.DUMMYFUNCTION("""COMPUTED_VALUE"""),80.107365)</f>
        <v>80.107365</v>
      </c>
      <c r="F1623" s="4">
        <f>IFERROR(__xludf.DUMMYFUNCTION("""COMPUTED_VALUE"""),5339.0)</f>
        <v>5339</v>
      </c>
      <c r="G1623" s="4">
        <f>IFERROR(__xludf.DUMMYFUNCTION("""COMPUTED_VALUE"""),0.0)</f>
        <v>0</v>
      </c>
      <c r="H1623" s="4"/>
      <c r="I1623" s="4"/>
    </row>
    <row r="1624">
      <c r="A1624" s="4" t="str">
        <f>IFERROR(__xludf.DUMMYFUNCTION("""COMPUTED_VALUE"""),"cas_hmw")</f>
        <v>cas_hmw</v>
      </c>
      <c r="B1624" s="5">
        <f>IFERROR(__xludf.DUMMYFUNCTION("""COMPUTED_VALUE"""),44787.0)</f>
        <v>44787</v>
      </c>
      <c r="C1624" s="6">
        <f>IFERROR(__xludf.DUMMYFUNCTION("""COMPUTED_VALUE"""),0.5308912037035043)</f>
        <v>0.5308912037</v>
      </c>
      <c r="D1624" s="4">
        <f>IFERROR(__xludf.DUMMYFUNCTION("""COMPUTED_VALUE"""),12.905055)</f>
        <v>12.905055</v>
      </c>
      <c r="E1624" s="4">
        <f>IFERROR(__xludf.DUMMYFUNCTION("""COMPUTED_VALUE"""),80.095538)</f>
        <v>80.095538</v>
      </c>
      <c r="F1624" s="4">
        <f>IFERROR(__xludf.DUMMYFUNCTION("""COMPUTED_VALUE"""),5339.0)</f>
        <v>5339</v>
      </c>
      <c r="G1624" s="4">
        <f>IFERROR(__xludf.DUMMYFUNCTION("""COMPUTED_VALUE"""),0.0)</f>
        <v>0</v>
      </c>
      <c r="H1624" s="4"/>
      <c r="I1624" s="4"/>
    </row>
    <row r="1625">
      <c r="A1625" s="4" t="str">
        <f>IFERROR(__xludf.DUMMYFUNCTION("""COMPUTED_VALUE"""),"cas_hmw")</f>
        <v>cas_hmw</v>
      </c>
      <c r="B1625" s="5">
        <f>IFERROR(__xludf.DUMMYFUNCTION("""COMPUTED_VALUE"""),44788.0)</f>
        <v>44788</v>
      </c>
      <c r="C1625" s="6">
        <f>IFERROR(__xludf.DUMMYFUNCTION("""COMPUTED_VALUE"""),0.2581712962964957)</f>
        <v>0.2581712963</v>
      </c>
      <c r="D1625" s="4">
        <f>IFERROR(__xludf.DUMMYFUNCTION("""COMPUTED_VALUE"""),12.955986)</f>
        <v>12.955986</v>
      </c>
      <c r="E1625" s="4">
        <f>IFERROR(__xludf.DUMMYFUNCTION("""COMPUTED_VALUE"""),80.142971)</f>
        <v>80.142971</v>
      </c>
      <c r="F1625" s="4">
        <f>IFERROR(__xludf.DUMMYFUNCTION("""COMPUTED_VALUE"""),5339.0)</f>
        <v>5339</v>
      </c>
      <c r="G1625" s="4">
        <f>IFERROR(__xludf.DUMMYFUNCTION("""COMPUTED_VALUE"""),15.0)</f>
        <v>15</v>
      </c>
      <c r="H1625" s="4"/>
      <c r="I1625" s="4"/>
    </row>
    <row r="1626">
      <c r="A1626" s="4" t="str">
        <f>IFERROR(__xludf.DUMMYFUNCTION("""COMPUTED_VALUE"""),"cas_hmw")</f>
        <v>cas_hmw</v>
      </c>
      <c r="B1626" s="5">
        <f>IFERROR(__xludf.DUMMYFUNCTION("""COMPUTED_VALUE"""),44788.0)</f>
        <v>44788</v>
      </c>
      <c r="C1626" s="6">
        <f>IFERROR(__xludf.DUMMYFUNCTION("""COMPUTED_VALUE"""),0.2581828703696374)</f>
        <v>0.2581828704</v>
      </c>
      <c r="D1626" s="4">
        <f>IFERROR(__xludf.DUMMYFUNCTION("""COMPUTED_VALUE"""),12.955986)</f>
        <v>12.955986</v>
      </c>
      <c r="E1626" s="4">
        <f>IFERROR(__xludf.DUMMYFUNCTION("""COMPUTED_VALUE"""),80.142971)</f>
        <v>80.142971</v>
      </c>
      <c r="F1626" s="4">
        <f>IFERROR(__xludf.DUMMYFUNCTION("""COMPUTED_VALUE"""),5339.0)</f>
        <v>5339</v>
      </c>
      <c r="G1626" s="4">
        <f>IFERROR(__xludf.DUMMYFUNCTION("""COMPUTED_VALUE"""),15.0)</f>
        <v>15</v>
      </c>
      <c r="H1626" s="4"/>
      <c r="I1626" s="4"/>
    </row>
    <row r="1627">
      <c r="A1627" s="4" t="str">
        <f>IFERROR(__xludf.DUMMYFUNCTION("""COMPUTED_VALUE"""),"cas_hmw")</f>
        <v>cas_hmw</v>
      </c>
      <c r="B1627" s="5">
        <f>IFERROR(__xludf.DUMMYFUNCTION("""COMPUTED_VALUE"""),44788.0)</f>
        <v>44788</v>
      </c>
      <c r="C1627" s="6">
        <f>IFERROR(__xludf.DUMMYFUNCTION("""COMPUTED_VALUE"""),0.2591087962973688)</f>
        <v>0.2591087963</v>
      </c>
      <c r="D1627" s="4">
        <f>IFERROR(__xludf.DUMMYFUNCTION("""COMPUTED_VALUE"""),12.960918)</f>
        <v>12.960918</v>
      </c>
      <c r="E1627" s="4">
        <f>IFERROR(__xludf.DUMMYFUNCTION("""COMPUTED_VALUE"""),80.145647)</f>
        <v>80.145647</v>
      </c>
      <c r="F1627" s="4">
        <f>IFERROR(__xludf.DUMMYFUNCTION("""COMPUTED_VALUE"""),5339.0)</f>
        <v>5339</v>
      </c>
      <c r="G1627" s="4">
        <f>IFERROR(__xludf.DUMMYFUNCTION("""COMPUTED_VALUE"""),0.0)</f>
        <v>0</v>
      </c>
      <c r="H1627" s="4"/>
      <c r="I1627" s="4"/>
    </row>
    <row r="1628">
      <c r="A1628" s="4" t="str">
        <f>IFERROR(__xludf.DUMMYFUNCTION("""COMPUTED_VALUE"""),"cas_hmw")</f>
        <v>cas_hmw</v>
      </c>
      <c r="B1628" s="5">
        <f>IFERROR(__xludf.DUMMYFUNCTION("""COMPUTED_VALUE"""),44788.0)</f>
        <v>44788</v>
      </c>
      <c r="C1628" s="6">
        <f>IFERROR(__xludf.DUMMYFUNCTION("""COMPUTED_VALUE"""),0.3007986111115315)</f>
        <v>0.3007986111</v>
      </c>
      <c r="D1628" s="4">
        <f>IFERROR(__xludf.DUMMYFUNCTION("""COMPUTED_VALUE"""),13.066064)</f>
        <v>13.066064</v>
      </c>
      <c r="E1628" s="4">
        <f>IFERROR(__xludf.DUMMYFUNCTION("""COMPUTED_VALUE"""),80.243749)</f>
        <v>80.243749</v>
      </c>
      <c r="F1628" s="4">
        <f>IFERROR(__xludf.DUMMYFUNCTION("""COMPUTED_VALUE"""),805.0)</f>
        <v>805</v>
      </c>
      <c r="G1628" s="4">
        <f>IFERROR(__xludf.DUMMYFUNCTION("""COMPUTED_VALUE"""),16.0)</f>
        <v>16</v>
      </c>
      <c r="H1628" s="4"/>
      <c r="I1628" s="4"/>
    </row>
    <row r="1629">
      <c r="A1629" s="4" t="str">
        <f>IFERROR(__xludf.DUMMYFUNCTION("""COMPUTED_VALUE"""),"cas_hmw")</f>
        <v>cas_hmw</v>
      </c>
      <c r="B1629" s="5">
        <f>IFERROR(__xludf.DUMMYFUNCTION("""COMPUTED_VALUE"""),44788.0)</f>
        <v>44788</v>
      </c>
      <c r="C1629" s="6">
        <f>IFERROR(__xludf.DUMMYFUNCTION("""COMPUTED_VALUE"""),0.32079861111196806)</f>
        <v>0.3207986111</v>
      </c>
      <c r="D1629" s="4">
        <f>IFERROR(__xludf.DUMMYFUNCTION("""COMPUTED_VALUE"""),13.017802)</f>
        <v>13.017802</v>
      </c>
      <c r="E1629" s="4">
        <f>IFERROR(__xludf.DUMMYFUNCTION("""COMPUTED_VALUE"""),80.260788)</f>
        <v>80.260788</v>
      </c>
      <c r="F1629" s="4">
        <f>IFERROR(__xludf.DUMMYFUNCTION("""COMPUTED_VALUE"""),805.0)</f>
        <v>805</v>
      </c>
      <c r="G1629" s="4">
        <f>IFERROR(__xludf.DUMMYFUNCTION("""COMPUTED_VALUE"""),0.0)</f>
        <v>0</v>
      </c>
      <c r="H1629" s="4"/>
      <c r="I1629" s="4"/>
    </row>
    <row r="1630">
      <c r="A1630" s="4" t="str">
        <f>IFERROR(__xludf.DUMMYFUNCTION("""COMPUTED_VALUE"""),"cas_hmw")</f>
        <v>cas_hmw</v>
      </c>
      <c r="B1630" s="5">
        <f>IFERROR(__xludf.DUMMYFUNCTION("""COMPUTED_VALUE"""),44788.0)</f>
        <v>44788</v>
      </c>
      <c r="C1630" s="6">
        <f>IFERROR(__xludf.DUMMYFUNCTION("""COMPUTED_VALUE"""),0.32081018518510973)</f>
        <v>0.3208101852</v>
      </c>
      <c r="D1630" s="4">
        <f>IFERROR(__xludf.DUMMYFUNCTION("""COMPUTED_VALUE"""),13.017802)</f>
        <v>13.017802</v>
      </c>
      <c r="E1630" s="4">
        <f>IFERROR(__xludf.DUMMYFUNCTION("""COMPUTED_VALUE"""),80.260788)</f>
        <v>80.260788</v>
      </c>
      <c r="F1630" s="4">
        <f>IFERROR(__xludf.DUMMYFUNCTION("""COMPUTED_VALUE"""),805.0)</f>
        <v>805</v>
      </c>
      <c r="G1630" s="4">
        <f>IFERROR(__xludf.DUMMYFUNCTION("""COMPUTED_VALUE"""),0.0)</f>
        <v>0</v>
      </c>
      <c r="H1630" s="4"/>
      <c r="I1630" s="4"/>
    </row>
    <row r="1631">
      <c r="A1631" s="4" t="str">
        <f>IFERROR(__xludf.DUMMYFUNCTION("""COMPUTED_VALUE"""),"cas_hmw")</f>
        <v>cas_hmw</v>
      </c>
      <c r="B1631" s="5">
        <f>IFERROR(__xludf.DUMMYFUNCTION("""COMPUTED_VALUE"""),44788.0)</f>
        <v>44788</v>
      </c>
      <c r="C1631" s="6">
        <f>IFERROR(__xludf.DUMMYFUNCTION("""COMPUTED_VALUE"""),0.3224537037021946)</f>
        <v>0.3224537037</v>
      </c>
      <c r="D1631" s="4">
        <f>IFERROR(__xludf.DUMMYFUNCTION("""COMPUTED_VALUE"""),13.007232)</f>
        <v>13.007232</v>
      </c>
      <c r="E1631" s="4">
        <f>IFERROR(__xludf.DUMMYFUNCTION("""COMPUTED_VALUE"""),80.258862)</f>
        <v>80.258862</v>
      </c>
      <c r="F1631" s="4">
        <f>IFERROR(__xludf.DUMMYFUNCTION("""COMPUTED_VALUE"""),805.0)</f>
        <v>805</v>
      </c>
      <c r="G1631" s="4">
        <f>IFERROR(__xludf.DUMMYFUNCTION("""COMPUTED_VALUE"""),4.0)</f>
        <v>4</v>
      </c>
      <c r="H1631" s="4"/>
      <c r="I1631" s="4"/>
    </row>
    <row r="1632">
      <c r="A1632" s="4" t="str">
        <f>IFERROR(__xludf.DUMMYFUNCTION("""COMPUTED_VALUE"""),"cas_hmw")</f>
        <v>cas_hmw</v>
      </c>
      <c r="B1632" s="5">
        <f>IFERROR(__xludf.DUMMYFUNCTION("""COMPUTED_VALUE"""),44788.0)</f>
        <v>44788</v>
      </c>
      <c r="C1632" s="6">
        <f>IFERROR(__xludf.DUMMYFUNCTION("""COMPUTED_VALUE"""),0.32246527777897427)</f>
        <v>0.3224652778</v>
      </c>
      <c r="D1632" s="4">
        <f>IFERROR(__xludf.DUMMYFUNCTION("""COMPUTED_VALUE"""),13.007232)</f>
        <v>13.007232</v>
      </c>
      <c r="E1632" s="4">
        <f>IFERROR(__xludf.DUMMYFUNCTION("""COMPUTED_VALUE"""),80.258862)</f>
        <v>80.258862</v>
      </c>
      <c r="F1632" s="4">
        <f>IFERROR(__xludf.DUMMYFUNCTION("""COMPUTED_VALUE"""),805.0)</f>
        <v>805</v>
      </c>
      <c r="G1632" s="4">
        <f>IFERROR(__xludf.DUMMYFUNCTION("""COMPUTED_VALUE"""),4.0)</f>
        <v>4</v>
      </c>
      <c r="H1632" s="4"/>
      <c r="I1632" s="4"/>
    </row>
    <row r="1633">
      <c r="A1633" s="4" t="str">
        <f>IFERROR(__xludf.DUMMYFUNCTION("""COMPUTED_VALUE"""),"cas_hmw")</f>
        <v>cas_hmw</v>
      </c>
      <c r="B1633" s="5">
        <f>IFERROR(__xludf.DUMMYFUNCTION("""COMPUTED_VALUE"""),44788.0)</f>
        <v>44788</v>
      </c>
      <c r="C1633" s="6">
        <f>IFERROR(__xludf.DUMMYFUNCTION("""COMPUTED_VALUE"""),0.3295138888897782)</f>
        <v>0.3295138889</v>
      </c>
      <c r="D1633" s="4">
        <f>IFERROR(__xludf.DUMMYFUNCTION("""COMPUTED_VALUE"""),12.686303)</f>
        <v>12.686303</v>
      </c>
      <c r="E1633" s="4">
        <f>IFERROR(__xludf.DUMMYFUNCTION("""COMPUTED_VALUE"""),79.983403)</f>
        <v>79.983403</v>
      </c>
      <c r="F1633" s="4">
        <f>IFERROR(__xludf.DUMMYFUNCTION("""COMPUTED_VALUE"""),2846.0)</f>
        <v>2846</v>
      </c>
      <c r="G1633" s="4">
        <f>IFERROR(__xludf.DUMMYFUNCTION("""COMPUTED_VALUE"""),11.0)</f>
        <v>11</v>
      </c>
      <c r="H1633" s="4"/>
      <c r="I1633" s="4"/>
    </row>
    <row r="1634">
      <c r="A1634" s="4" t="str">
        <f>IFERROR(__xludf.DUMMYFUNCTION("""COMPUTED_VALUE"""),"cas_hmw")</f>
        <v>cas_hmw</v>
      </c>
      <c r="B1634" s="5">
        <f>IFERROR(__xludf.DUMMYFUNCTION("""COMPUTED_VALUE"""),44788.0)</f>
        <v>44788</v>
      </c>
      <c r="C1634" s="6">
        <f>IFERROR(__xludf.DUMMYFUNCTION("""COMPUTED_VALUE"""),0.335868055553874)</f>
        <v>0.3358680556</v>
      </c>
      <c r="D1634" s="4">
        <f>IFERROR(__xludf.DUMMYFUNCTION("""COMPUTED_VALUE"""),12.986729)</f>
        <v>12.986729</v>
      </c>
      <c r="E1634" s="4">
        <f>IFERROR(__xludf.DUMMYFUNCTION("""COMPUTED_VALUE"""),80.175447)</f>
        <v>80.175447</v>
      </c>
      <c r="F1634" s="4">
        <f>IFERROR(__xludf.DUMMYFUNCTION("""COMPUTED_VALUE"""),805.0)</f>
        <v>805</v>
      </c>
      <c r="G1634" s="4">
        <f>IFERROR(__xludf.DUMMYFUNCTION("""COMPUTED_VALUE"""),18.0)</f>
        <v>18</v>
      </c>
      <c r="H1634" s="4"/>
      <c r="I1634" s="4"/>
    </row>
    <row r="1635">
      <c r="A1635" s="4" t="str">
        <f>IFERROR(__xludf.DUMMYFUNCTION("""COMPUTED_VALUE"""),"cas_hmw")</f>
        <v>cas_hmw</v>
      </c>
      <c r="B1635" s="5">
        <f>IFERROR(__xludf.DUMMYFUNCTION("""COMPUTED_VALUE"""),44788.0)</f>
        <v>44788</v>
      </c>
      <c r="C1635" s="6">
        <f>IFERROR(__xludf.DUMMYFUNCTION("""COMPUTED_VALUE"""),0.33937499999956344)</f>
        <v>0.339375</v>
      </c>
      <c r="D1635" s="4">
        <f>IFERROR(__xludf.DUMMYFUNCTION("""COMPUTED_VALUE"""),12.970198)</f>
        <v>12.970198</v>
      </c>
      <c r="E1635" s="4">
        <f>IFERROR(__xludf.DUMMYFUNCTION("""COMPUTED_VALUE"""),80.15051)</f>
        <v>80.15051</v>
      </c>
      <c r="F1635" s="4">
        <f>IFERROR(__xludf.DUMMYFUNCTION("""COMPUTED_VALUE"""),805.0)</f>
        <v>805</v>
      </c>
      <c r="G1635" s="4">
        <f>IFERROR(__xludf.DUMMYFUNCTION("""COMPUTED_VALUE"""),0.0)</f>
        <v>0</v>
      </c>
      <c r="H1635" s="4"/>
      <c r="I1635" s="4"/>
    </row>
    <row r="1636">
      <c r="A1636" s="4" t="str">
        <f>IFERROR(__xludf.DUMMYFUNCTION("""COMPUTED_VALUE"""),"cas_hmw")</f>
        <v>cas_hmw</v>
      </c>
      <c r="B1636" s="5">
        <f>IFERROR(__xludf.DUMMYFUNCTION("""COMPUTED_VALUE"""),44788.0)</f>
        <v>44788</v>
      </c>
      <c r="C1636" s="6">
        <f>IFERROR(__xludf.DUMMYFUNCTION("""COMPUTED_VALUE"""),0.3398726851846732)</f>
        <v>0.3398726852</v>
      </c>
      <c r="D1636" s="4">
        <f>IFERROR(__xludf.DUMMYFUNCTION("""COMPUTED_VALUE"""),12.920067)</f>
        <v>12.920067</v>
      </c>
      <c r="E1636" s="4">
        <f>IFERROR(__xludf.DUMMYFUNCTION("""COMPUTED_VALUE"""),80.183455)</f>
        <v>80.183455</v>
      </c>
      <c r="F1636" s="4">
        <f>IFERROR(__xludf.DUMMYFUNCTION("""COMPUTED_VALUE"""),3143.0)</f>
        <v>3143</v>
      </c>
      <c r="G1636" s="4">
        <f>IFERROR(__xludf.DUMMYFUNCTION("""COMPUTED_VALUE"""),17.0)</f>
        <v>17</v>
      </c>
      <c r="H1636" s="4"/>
      <c r="I1636" s="4"/>
    </row>
    <row r="1637">
      <c r="A1637" s="4" t="str">
        <f>IFERROR(__xludf.DUMMYFUNCTION("""COMPUTED_VALUE"""),"cas_hmw")</f>
        <v>cas_hmw</v>
      </c>
      <c r="B1637" s="5">
        <f>IFERROR(__xludf.DUMMYFUNCTION("""COMPUTED_VALUE"""),44788.0)</f>
        <v>44788</v>
      </c>
      <c r="C1637" s="6">
        <f>IFERROR(__xludf.DUMMYFUNCTION("""COMPUTED_VALUE"""),0.3415740740747424)</f>
        <v>0.3415740741</v>
      </c>
      <c r="D1637" s="4">
        <f>IFERROR(__xludf.DUMMYFUNCTION("""COMPUTED_VALUE"""),12.961313)</f>
        <v>12.961313</v>
      </c>
      <c r="E1637" s="4">
        <f>IFERROR(__xludf.DUMMYFUNCTION("""COMPUTED_VALUE"""),80.145972)</f>
        <v>80.145972</v>
      </c>
      <c r="F1637" s="4">
        <f>IFERROR(__xludf.DUMMYFUNCTION("""COMPUTED_VALUE"""),805.0)</f>
        <v>805</v>
      </c>
      <c r="G1637" s="4">
        <f>IFERROR(__xludf.DUMMYFUNCTION("""COMPUTED_VALUE"""),13.0)</f>
        <v>13</v>
      </c>
      <c r="H1637" s="4"/>
      <c r="I1637" s="4"/>
    </row>
    <row r="1638">
      <c r="A1638" s="4" t="str">
        <f>IFERROR(__xludf.DUMMYFUNCTION("""COMPUTED_VALUE"""),"cas_hmw")</f>
        <v>cas_hmw</v>
      </c>
      <c r="B1638" s="5">
        <f>IFERROR(__xludf.DUMMYFUNCTION("""COMPUTED_VALUE"""),44788.0)</f>
        <v>44788</v>
      </c>
      <c r="C1638" s="6">
        <f>IFERROR(__xludf.DUMMYFUNCTION("""COMPUTED_VALUE"""),0.34348379629591363)</f>
        <v>0.3434837963</v>
      </c>
      <c r="D1638" s="4">
        <f>IFERROR(__xludf.DUMMYFUNCTION("""COMPUTED_VALUE"""),12.951007)</f>
        <v>12.951007</v>
      </c>
      <c r="E1638" s="4">
        <f>IFERROR(__xludf.DUMMYFUNCTION("""COMPUTED_VALUE"""),80.140073)</f>
        <v>80.140073</v>
      </c>
      <c r="F1638" s="4">
        <f>IFERROR(__xludf.DUMMYFUNCTION("""COMPUTED_VALUE"""),805.0)</f>
        <v>805</v>
      </c>
      <c r="G1638" s="4">
        <f>IFERROR(__xludf.DUMMYFUNCTION("""COMPUTED_VALUE"""),0.0)</f>
        <v>0</v>
      </c>
      <c r="H1638" s="4"/>
      <c r="I1638" s="4"/>
    </row>
    <row r="1639">
      <c r="A1639" s="4" t="str">
        <f>IFERROR(__xludf.DUMMYFUNCTION("""COMPUTED_VALUE"""),"cas_hmw")</f>
        <v>cas_hmw</v>
      </c>
      <c r="B1639" s="5">
        <f>IFERROR(__xludf.DUMMYFUNCTION("""COMPUTED_VALUE"""),44788.0)</f>
        <v>44788</v>
      </c>
      <c r="C1639" s="6">
        <f>IFERROR(__xludf.DUMMYFUNCTION("""COMPUTED_VALUE"""),0.3436689814807323)</f>
        <v>0.3436689815</v>
      </c>
      <c r="D1639" s="4">
        <f>IFERROR(__xludf.DUMMYFUNCTION("""COMPUTED_VALUE"""),12.950784)</f>
        <v>12.950784</v>
      </c>
      <c r="E1639" s="4">
        <f>IFERROR(__xludf.DUMMYFUNCTION("""COMPUTED_VALUE"""),80.139927)</f>
        <v>80.139927</v>
      </c>
      <c r="F1639" s="4">
        <f>IFERROR(__xludf.DUMMYFUNCTION("""COMPUTED_VALUE"""),805.0)</f>
        <v>805</v>
      </c>
      <c r="G1639" s="4">
        <f>IFERROR(__xludf.DUMMYFUNCTION("""COMPUTED_VALUE"""),18.0)</f>
        <v>18</v>
      </c>
      <c r="H1639" s="4"/>
      <c r="I1639" s="4"/>
    </row>
    <row r="1640">
      <c r="A1640" s="4" t="str">
        <f>IFERROR(__xludf.DUMMYFUNCTION("""COMPUTED_VALUE"""),"cas_hmw")</f>
        <v>cas_hmw</v>
      </c>
      <c r="B1640" s="5">
        <f>IFERROR(__xludf.DUMMYFUNCTION("""COMPUTED_VALUE"""),44788.0)</f>
        <v>44788</v>
      </c>
      <c r="C1640" s="6">
        <f>IFERROR(__xludf.DUMMYFUNCTION("""COMPUTED_VALUE"""),0.3442245370388264)</f>
        <v>0.344224537</v>
      </c>
      <c r="D1640" s="4">
        <f>IFERROR(__xludf.DUMMYFUNCTION("""COMPUTED_VALUE"""),12.947328)</f>
        <v>12.947328</v>
      </c>
      <c r="E1640" s="4">
        <f>IFERROR(__xludf.DUMMYFUNCTION("""COMPUTED_VALUE"""),80.137241)</f>
        <v>80.137241</v>
      </c>
      <c r="F1640" s="4">
        <f>IFERROR(__xludf.DUMMYFUNCTION("""COMPUTED_VALUE"""),805.0)</f>
        <v>805</v>
      </c>
      <c r="G1640" s="4">
        <f>IFERROR(__xludf.DUMMYFUNCTION("""COMPUTED_VALUE"""),0.0)</f>
        <v>0</v>
      </c>
      <c r="H1640" s="4"/>
      <c r="I1640" s="4"/>
    </row>
    <row r="1641">
      <c r="A1641" s="4" t="str">
        <f>IFERROR(__xludf.DUMMYFUNCTION("""COMPUTED_VALUE"""),"cas_hmw")</f>
        <v>cas_hmw</v>
      </c>
      <c r="B1641" s="5">
        <f>IFERROR(__xludf.DUMMYFUNCTION("""COMPUTED_VALUE"""),44788.0)</f>
        <v>44788</v>
      </c>
      <c r="C1641" s="6">
        <f>IFERROR(__xludf.DUMMYFUNCTION("""COMPUTED_VALUE"""),0.34478009259328246)</f>
        <v>0.3447800926</v>
      </c>
      <c r="D1641" s="4">
        <f>IFERROR(__xludf.DUMMYFUNCTION("""COMPUTED_VALUE"""),12.922509)</f>
        <v>12.922509</v>
      </c>
      <c r="E1641" s="4">
        <f>IFERROR(__xludf.DUMMYFUNCTION("""COMPUTED_VALUE"""),80.14752)</f>
        <v>80.14752</v>
      </c>
      <c r="F1641" s="4">
        <f>IFERROR(__xludf.DUMMYFUNCTION("""COMPUTED_VALUE"""),3143.0)</f>
        <v>3143</v>
      </c>
      <c r="G1641" s="4">
        <f>IFERROR(__xludf.DUMMYFUNCTION("""COMPUTED_VALUE"""),18.0)</f>
        <v>18</v>
      </c>
      <c r="H1641" s="4"/>
      <c r="I1641" s="4"/>
    </row>
    <row r="1642">
      <c r="A1642" s="4" t="str">
        <f>IFERROR(__xludf.DUMMYFUNCTION("""COMPUTED_VALUE"""),"cas_hmw")</f>
        <v>cas_hmw</v>
      </c>
      <c r="B1642" s="5">
        <f>IFERROR(__xludf.DUMMYFUNCTION("""COMPUTED_VALUE"""),44788.0)</f>
        <v>44788</v>
      </c>
      <c r="C1642" s="6">
        <f>IFERROR(__xludf.DUMMYFUNCTION("""COMPUTED_VALUE"""),0.3457407407404389)</f>
        <v>0.3457407407</v>
      </c>
      <c r="D1642" s="4">
        <f>IFERROR(__xludf.DUMMYFUNCTION("""COMPUTED_VALUE"""),12.937569)</f>
        <v>12.937569</v>
      </c>
      <c r="E1642" s="4">
        <f>IFERROR(__xludf.DUMMYFUNCTION("""COMPUTED_VALUE"""),80.12846)</f>
        <v>80.12846</v>
      </c>
      <c r="F1642" s="4">
        <f>IFERROR(__xludf.DUMMYFUNCTION("""COMPUTED_VALUE"""),805.0)</f>
        <v>805</v>
      </c>
      <c r="G1642" s="4">
        <f>IFERROR(__xludf.DUMMYFUNCTION("""COMPUTED_VALUE"""),16.0)</f>
        <v>16</v>
      </c>
      <c r="H1642" s="4"/>
      <c r="I1642" s="4"/>
    </row>
    <row r="1643">
      <c r="A1643" s="4" t="str">
        <f>IFERROR(__xludf.DUMMYFUNCTION("""COMPUTED_VALUE"""),"cas_hmw")</f>
        <v>cas_hmw</v>
      </c>
      <c r="B1643" s="5">
        <f>IFERROR(__xludf.DUMMYFUNCTION("""COMPUTED_VALUE"""),44788.0)</f>
        <v>44788</v>
      </c>
      <c r="C1643" s="6">
        <f>IFERROR(__xludf.DUMMYFUNCTION("""COMPUTED_VALUE"""),0.3460416666675883)</f>
        <v>0.3460416667</v>
      </c>
      <c r="D1643" s="4">
        <f>IFERROR(__xludf.DUMMYFUNCTION("""COMPUTED_VALUE"""),12.922417)</f>
        <v>12.922417</v>
      </c>
      <c r="E1643" s="4">
        <f>IFERROR(__xludf.DUMMYFUNCTION("""COMPUTED_VALUE"""),80.142304)</f>
        <v>80.142304</v>
      </c>
      <c r="F1643" s="4">
        <f>IFERROR(__xludf.DUMMYFUNCTION("""COMPUTED_VALUE"""),3143.0)</f>
        <v>3143</v>
      </c>
      <c r="G1643" s="4">
        <f>IFERROR(__xludf.DUMMYFUNCTION("""COMPUTED_VALUE"""),6.0)</f>
        <v>6</v>
      </c>
      <c r="H1643" s="4"/>
      <c r="I1643" s="4"/>
    </row>
    <row r="1644">
      <c r="A1644" s="4" t="str">
        <f>IFERROR(__xludf.DUMMYFUNCTION("""COMPUTED_VALUE"""),"cas_hmw")</f>
        <v>cas_hmw</v>
      </c>
      <c r="B1644" s="5">
        <f>IFERROR(__xludf.DUMMYFUNCTION("""COMPUTED_VALUE"""),44788.0)</f>
        <v>44788</v>
      </c>
      <c r="C1644" s="6">
        <f>IFERROR(__xludf.DUMMYFUNCTION("""COMPUTED_VALUE"""),0.34783564814642887)</f>
        <v>0.3478356481</v>
      </c>
      <c r="D1644" s="4">
        <f>IFERROR(__xludf.DUMMYFUNCTION("""COMPUTED_VALUE"""),12.926821)</f>
        <v>12.926821</v>
      </c>
      <c r="E1644" s="4">
        <f>IFERROR(__xludf.DUMMYFUNCTION("""COMPUTED_VALUE"""),80.118077)</f>
        <v>80.118077</v>
      </c>
      <c r="F1644" s="4">
        <f>IFERROR(__xludf.DUMMYFUNCTION("""COMPUTED_VALUE"""),805.0)</f>
        <v>805</v>
      </c>
      <c r="G1644" s="4">
        <f>IFERROR(__xludf.DUMMYFUNCTION("""COMPUTED_VALUE"""),10.0)</f>
        <v>10</v>
      </c>
      <c r="H1644" s="4"/>
      <c r="I1644" s="4"/>
    </row>
    <row r="1645">
      <c r="A1645" s="4" t="str">
        <f>IFERROR(__xludf.DUMMYFUNCTION("""COMPUTED_VALUE"""),"cas_hmw")</f>
        <v>cas_hmw</v>
      </c>
      <c r="B1645" s="5">
        <f>IFERROR(__xludf.DUMMYFUNCTION("""COMPUTED_VALUE"""),44788.0)</f>
        <v>44788</v>
      </c>
      <c r="C1645" s="6">
        <f>IFERROR(__xludf.DUMMYFUNCTION("""COMPUTED_VALUE"""),0.3485763888893416)</f>
        <v>0.3485763889</v>
      </c>
      <c r="D1645" s="4">
        <f>IFERROR(__xludf.DUMMYFUNCTION("""COMPUTED_VALUE"""),12.923422)</f>
        <v>12.923422</v>
      </c>
      <c r="E1645" s="4">
        <f>IFERROR(__xludf.DUMMYFUNCTION("""COMPUTED_VALUE"""),80.114629)</f>
        <v>80.114629</v>
      </c>
      <c r="F1645" s="4">
        <f>IFERROR(__xludf.DUMMYFUNCTION("""COMPUTED_VALUE"""),805.0)</f>
        <v>805</v>
      </c>
      <c r="G1645" s="4">
        <f>IFERROR(__xludf.DUMMYFUNCTION("""COMPUTED_VALUE"""),15.0)</f>
        <v>15</v>
      </c>
      <c r="H1645" s="4"/>
      <c r="I1645" s="4"/>
    </row>
    <row r="1646">
      <c r="A1646" s="4" t="str">
        <f>IFERROR(__xludf.DUMMYFUNCTION("""COMPUTED_VALUE"""),"cas_hmw")</f>
        <v>cas_hmw</v>
      </c>
      <c r="B1646" s="5">
        <f>IFERROR(__xludf.DUMMYFUNCTION("""COMPUTED_VALUE"""),44788.0)</f>
        <v>44788</v>
      </c>
      <c r="C1646" s="6">
        <f>IFERROR(__xludf.DUMMYFUNCTION("""COMPUTED_VALUE"""),0.3497337962980964)</f>
        <v>0.3497337963</v>
      </c>
      <c r="D1646" s="4">
        <f>IFERROR(__xludf.DUMMYFUNCTION("""COMPUTED_VALUE"""),12.922961)</f>
        <v>12.922961</v>
      </c>
      <c r="E1646" s="4">
        <f>IFERROR(__xludf.DUMMYFUNCTION("""COMPUTED_VALUE"""),80.126029)</f>
        <v>80.126029</v>
      </c>
      <c r="F1646" s="4">
        <f>IFERROR(__xludf.DUMMYFUNCTION("""COMPUTED_VALUE"""),3143.0)</f>
        <v>3143</v>
      </c>
      <c r="G1646" s="4">
        <f>IFERROR(__xludf.DUMMYFUNCTION("""COMPUTED_VALUE"""),18.0)</f>
        <v>18</v>
      </c>
      <c r="H1646" s="4"/>
      <c r="I1646" s="4"/>
    </row>
    <row r="1647">
      <c r="A1647" s="4" t="str">
        <f>IFERROR(__xludf.DUMMYFUNCTION("""COMPUTED_VALUE"""),"cas_hmw")</f>
        <v>cas_hmw</v>
      </c>
      <c r="B1647" s="5">
        <f>IFERROR(__xludf.DUMMYFUNCTION("""COMPUTED_VALUE"""),44788.0)</f>
        <v>44788</v>
      </c>
      <c r="C1647" s="6">
        <f>IFERROR(__xludf.DUMMYFUNCTION("""COMPUTED_VALUE"""),0.351493055553874)</f>
        <v>0.3514930556</v>
      </c>
      <c r="D1647" s="4">
        <f>IFERROR(__xludf.DUMMYFUNCTION("""COMPUTED_VALUE"""),12.909081)</f>
        <v>12.909081</v>
      </c>
      <c r="E1647" s="4">
        <f>IFERROR(__xludf.DUMMYFUNCTION("""COMPUTED_VALUE"""),80.09889)</f>
        <v>80.09889</v>
      </c>
      <c r="F1647" s="4">
        <f>IFERROR(__xludf.DUMMYFUNCTION("""COMPUTED_VALUE"""),805.0)</f>
        <v>805</v>
      </c>
      <c r="G1647" s="4">
        <f>IFERROR(__xludf.DUMMYFUNCTION("""COMPUTED_VALUE"""),0.0)</f>
        <v>0</v>
      </c>
      <c r="H1647" s="4"/>
      <c r="I1647" s="4"/>
    </row>
    <row r="1648">
      <c r="A1648" s="4" t="str">
        <f>IFERROR(__xludf.DUMMYFUNCTION("""COMPUTED_VALUE"""),"cas_hmw")</f>
        <v>cas_hmw</v>
      </c>
      <c r="B1648" s="5">
        <f>IFERROR(__xludf.DUMMYFUNCTION("""COMPUTED_VALUE"""),44788.0)</f>
        <v>44788</v>
      </c>
      <c r="C1648" s="6">
        <f>IFERROR(__xludf.DUMMYFUNCTION("""COMPUTED_VALUE"""),0.351666666665551)</f>
        <v>0.3516666667</v>
      </c>
      <c r="D1648" s="4">
        <f>IFERROR(__xludf.DUMMYFUNCTION("""COMPUTED_VALUE"""),12.909018)</f>
        <v>12.909018</v>
      </c>
      <c r="E1648" s="4">
        <f>IFERROR(__xludf.DUMMYFUNCTION("""COMPUTED_VALUE"""),80.0988)</f>
        <v>80.0988</v>
      </c>
      <c r="F1648" s="4">
        <f>IFERROR(__xludf.DUMMYFUNCTION("""COMPUTED_VALUE"""),805.0)</f>
        <v>805</v>
      </c>
      <c r="G1648" s="4">
        <f>IFERROR(__xludf.DUMMYFUNCTION("""COMPUTED_VALUE"""),9.0)</f>
        <v>9</v>
      </c>
      <c r="H1648" s="4"/>
      <c r="I1648" s="4"/>
    </row>
    <row r="1649">
      <c r="A1649" s="4" t="str">
        <f>IFERROR(__xludf.DUMMYFUNCTION("""COMPUTED_VALUE"""),"cas_hmw")</f>
        <v>cas_hmw</v>
      </c>
      <c r="B1649" s="5">
        <f>IFERROR(__xludf.DUMMYFUNCTION("""COMPUTED_VALUE"""),44788.0)</f>
        <v>44788</v>
      </c>
      <c r="C1649" s="6">
        <f>IFERROR(__xludf.DUMMYFUNCTION("""COMPUTED_VALUE"""),0.35168981481547235)</f>
        <v>0.3516898148</v>
      </c>
      <c r="D1649" s="4">
        <f>IFERROR(__xludf.DUMMYFUNCTION("""COMPUTED_VALUE"""),12.909018)</f>
        <v>12.909018</v>
      </c>
      <c r="E1649" s="4">
        <f>IFERROR(__xludf.DUMMYFUNCTION("""COMPUTED_VALUE"""),80.0988)</f>
        <v>80.0988</v>
      </c>
      <c r="F1649" s="4">
        <f>IFERROR(__xludf.DUMMYFUNCTION("""COMPUTED_VALUE"""),805.0)</f>
        <v>805</v>
      </c>
      <c r="G1649" s="4">
        <f>IFERROR(__xludf.DUMMYFUNCTION("""COMPUTED_VALUE"""),9.0)</f>
        <v>9</v>
      </c>
      <c r="H1649" s="4"/>
      <c r="I1649" s="4"/>
    </row>
    <row r="1650">
      <c r="A1650" s="4" t="str">
        <f>IFERROR(__xludf.DUMMYFUNCTION("""COMPUTED_VALUE"""),"cas_hmw")</f>
        <v>cas_hmw</v>
      </c>
      <c r="B1650" s="5">
        <f>IFERROR(__xludf.DUMMYFUNCTION("""COMPUTED_VALUE"""),44788.0)</f>
        <v>44788</v>
      </c>
      <c r="C1650" s="6">
        <f>IFERROR(__xludf.DUMMYFUNCTION("""COMPUTED_VALUE"""),0.3533101851862739)</f>
        <v>0.3533101852</v>
      </c>
      <c r="D1650" s="4">
        <f>IFERROR(__xludf.DUMMYFUNCTION("""COMPUTED_VALUE"""),12.912554)</f>
        <v>12.912554</v>
      </c>
      <c r="E1650" s="4">
        <f>IFERROR(__xludf.DUMMYFUNCTION("""COMPUTED_VALUE"""),80.101568)</f>
        <v>80.101568</v>
      </c>
      <c r="F1650" s="4">
        <f>IFERROR(__xludf.DUMMYFUNCTION("""COMPUTED_VALUE"""),3143.0)</f>
        <v>3143</v>
      </c>
      <c r="G1650" s="4">
        <f>IFERROR(__xludf.DUMMYFUNCTION("""COMPUTED_VALUE"""),11.0)</f>
        <v>11</v>
      </c>
      <c r="H1650" s="4"/>
      <c r="I1650" s="4"/>
    </row>
    <row r="1651">
      <c r="A1651" s="4" t="str">
        <f>IFERROR(__xludf.DUMMYFUNCTION("""COMPUTED_VALUE"""),"cas_hmw")</f>
        <v>cas_hmw</v>
      </c>
      <c r="B1651" s="5">
        <f>IFERROR(__xludf.DUMMYFUNCTION("""COMPUTED_VALUE"""),44788.0)</f>
        <v>44788</v>
      </c>
      <c r="C1651" s="6">
        <f>IFERROR(__xludf.DUMMYFUNCTION("""COMPUTED_VALUE"""),0.3534606481480296)</f>
        <v>0.3534606481</v>
      </c>
      <c r="D1651" s="4">
        <f>IFERROR(__xludf.DUMMYFUNCTION("""COMPUTED_VALUE"""),12.897847)</f>
        <v>12.897847</v>
      </c>
      <c r="E1651" s="4">
        <f>IFERROR(__xludf.DUMMYFUNCTION("""COMPUTED_VALUE"""),80.090023)</f>
        <v>80.090023</v>
      </c>
      <c r="F1651" s="4">
        <f>IFERROR(__xludf.DUMMYFUNCTION("""COMPUTED_VALUE"""),805.0)</f>
        <v>805</v>
      </c>
      <c r="G1651" s="4">
        <f>IFERROR(__xludf.DUMMYFUNCTION("""COMPUTED_VALUE"""),11.0)</f>
        <v>11</v>
      </c>
      <c r="H1651" s="4"/>
      <c r="I1651" s="4"/>
    </row>
    <row r="1652">
      <c r="A1652" s="4" t="str">
        <f>IFERROR(__xludf.DUMMYFUNCTION("""COMPUTED_VALUE"""),"cas_hmw")</f>
        <v>cas_hmw</v>
      </c>
      <c r="B1652" s="5">
        <f>IFERROR(__xludf.DUMMYFUNCTION("""COMPUTED_VALUE"""),44788.0)</f>
        <v>44788</v>
      </c>
      <c r="C1652" s="6">
        <f>IFERROR(__xludf.DUMMYFUNCTION("""COMPUTED_VALUE"""),0.3534606481480296)</f>
        <v>0.3534606481</v>
      </c>
      <c r="D1652" s="4">
        <f>IFERROR(__xludf.DUMMYFUNCTION("""COMPUTED_VALUE"""),12.897847)</f>
        <v>12.897847</v>
      </c>
      <c r="E1652" s="4">
        <f>IFERROR(__xludf.DUMMYFUNCTION("""COMPUTED_VALUE"""),80.090023)</f>
        <v>80.090023</v>
      </c>
      <c r="F1652" s="4">
        <f>IFERROR(__xludf.DUMMYFUNCTION("""COMPUTED_VALUE"""),805.0)</f>
        <v>805</v>
      </c>
      <c r="G1652" s="4">
        <f>IFERROR(__xludf.DUMMYFUNCTION("""COMPUTED_VALUE"""),11.0)</f>
        <v>11</v>
      </c>
      <c r="H1652" s="4"/>
      <c r="I1652" s="4"/>
    </row>
    <row r="1653">
      <c r="A1653" s="4" t="str">
        <f>IFERROR(__xludf.DUMMYFUNCTION("""COMPUTED_VALUE"""),"cas_hmw")</f>
        <v>cas_hmw</v>
      </c>
      <c r="B1653" s="5">
        <f>IFERROR(__xludf.DUMMYFUNCTION("""COMPUTED_VALUE"""),44788.0)</f>
        <v>44788</v>
      </c>
      <c r="C1653" s="6">
        <f>IFERROR(__xludf.DUMMYFUNCTION("""COMPUTED_VALUE"""),0.3534837962979509)</f>
        <v>0.3534837963</v>
      </c>
      <c r="D1653" s="4">
        <f>IFERROR(__xludf.DUMMYFUNCTION("""COMPUTED_VALUE"""),12.897847)</f>
        <v>12.897847</v>
      </c>
      <c r="E1653" s="4">
        <f>IFERROR(__xludf.DUMMYFUNCTION("""COMPUTED_VALUE"""),80.090023)</f>
        <v>80.090023</v>
      </c>
      <c r="F1653" s="4">
        <f>IFERROR(__xludf.DUMMYFUNCTION("""COMPUTED_VALUE"""),805.0)</f>
        <v>805</v>
      </c>
      <c r="G1653" s="4">
        <f>IFERROR(__xludf.DUMMYFUNCTION("""COMPUTED_VALUE"""),11.0)</f>
        <v>11</v>
      </c>
      <c r="H1653" s="4"/>
      <c r="I1653" s="4"/>
    </row>
    <row r="1654">
      <c r="A1654" s="4" t="str">
        <f>IFERROR(__xludf.DUMMYFUNCTION("""COMPUTED_VALUE"""),"cas_hmw")</f>
        <v>cas_hmw</v>
      </c>
      <c r="B1654" s="5">
        <f>IFERROR(__xludf.DUMMYFUNCTION("""COMPUTED_VALUE"""),44788.0)</f>
        <v>44788</v>
      </c>
      <c r="C1654" s="6">
        <f>IFERROR(__xludf.DUMMYFUNCTION("""COMPUTED_VALUE"""),0.3534837962979509)</f>
        <v>0.3534837963</v>
      </c>
      <c r="D1654" s="4">
        <f>IFERROR(__xludf.DUMMYFUNCTION("""COMPUTED_VALUE"""),12.897847)</f>
        <v>12.897847</v>
      </c>
      <c r="E1654" s="4">
        <f>IFERROR(__xludf.DUMMYFUNCTION("""COMPUTED_VALUE"""),80.090023)</f>
        <v>80.090023</v>
      </c>
      <c r="F1654" s="4">
        <f>IFERROR(__xludf.DUMMYFUNCTION("""COMPUTED_VALUE"""),805.0)</f>
        <v>805</v>
      </c>
      <c r="G1654" s="4">
        <f>IFERROR(__xludf.DUMMYFUNCTION("""COMPUTED_VALUE"""),11.0)</f>
        <v>11</v>
      </c>
      <c r="H1654" s="4"/>
      <c r="I1654" s="4"/>
    </row>
    <row r="1655">
      <c r="A1655" s="4" t="str">
        <f>IFERROR(__xludf.DUMMYFUNCTION("""COMPUTED_VALUE"""),"cas_hmw")</f>
        <v>cas_hmw</v>
      </c>
      <c r="B1655" s="5">
        <f>IFERROR(__xludf.DUMMYFUNCTION("""COMPUTED_VALUE"""),44788.0)</f>
        <v>44788</v>
      </c>
      <c r="C1655" s="6">
        <f>IFERROR(__xludf.DUMMYFUNCTION("""COMPUTED_VALUE"""),0.3534953703710926)</f>
        <v>0.3534953704</v>
      </c>
      <c r="D1655" s="4">
        <f>IFERROR(__xludf.DUMMYFUNCTION("""COMPUTED_VALUE"""),12.897847)</f>
        <v>12.897847</v>
      </c>
      <c r="E1655" s="4">
        <f>IFERROR(__xludf.DUMMYFUNCTION("""COMPUTED_VALUE"""),80.090023)</f>
        <v>80.090023</v>
      </c>
      <c r="F1655" s="4">
        <f>IFERROR(__xludf.DUMMYFUNCTION("""COMPUTED_VALUE"""),805.0)</f>
        <v>805</v>
      </c>
      <c r="G1655" s="4">
        <f>IFERROR(__xludf.DUMMYFUNCTION("""COMPUTED_VALUE"""),11.0)</f>
        <v>11</v>
      </c>
      <c r="H1655" s="4"/>
      <c r="I1655" s="4"/>
    </row>
    <row r="1656">
      <c r="A1656" s="4" t="str">
        <f>IFERROR(__xludf.DUMMYFUNCTION("""COMPUTED_VALUE"""),"cas_hmw")</f>
        <v>cas_hmw</v>
      </c>
      <c r="B1656" s="5">
        <f>IFERROR(__xludf.DUMMYFUNCTION("""COMPUTED_VALUE"""),44788.0)</f>
        <v>44788</v>
      </c>
      <c r="C1656" s="6">
        <f>IFERROR(__xludf.DUMMYFUNCTION("""COMPUTED_VALUE"""),0.3535879629635019)</f>
        <v>0.353587963</v>
      </c>
      <c r="D1656" s="4">
        <f>IFERROR(__xludf.DUMMYFUNCTION("""COMPUTED_VALUE"""),12.897633)</f>
        <v>12.897633</v>
      </c>
      <c r="E1656" s="4">
        <f>IFERROR(__xludf.DUMMYFUNCTION("""COMPUTED_VALUE"""),80.08981)</f>
        <v>80.08981</v>
      </c>
      <c r="F1656" s="4">
        <f>IFERROR(__xludf.DUMMYFUNCTION("""COMPUTED_VALUE"""),805.0)</f>
        <v>805</v>
      </c>
      <c r="G1656" s="4">
        <f>IFERROR(__xludf.DUMMYFUNCTION("""COMPUTED_VALUE"""),6.0)</f>
        <v>6</v>
      </c>
      <c r="H1656" s="4"/>
      <c r="I1656" s="4"/>
    </row>
    <row r="1657">
      <c r="A1657" s="4" t="str">
        <f>IFERROR(__xludf.DUMMYFUNCTION("""COMPUTED_VALUE"""),"cas_hmw")</f>
        <v>cas_hmw</v>
      </c>
      <c r="B1657" s="5">
        <f>IFERROR(__xludf.DUMMYFUNCTION("""COMPUTED_VALUE"""),44788.0)</f>
        <v>44788</v>
      </c>
      <c r="C1657" s="6">
        <f>IFERROR(__xludf.DUMMYFUNCTION("""COMPUTED_VALUE"""),0.35535879629605915)</f>
        <v>0.3553587963</v>
      </c>
      <c r="D1657" s="4">
        <f>IFERROR(__xludf.DUMMYFUNCTION("""COMPUTED_VALUE"""),12.734101)</f>
        <v>12.734101</v>
      </c>
      <c r="E1657" s="4">
        <f>IFERROR(__xludf.DUMMYFUNCTION("""COMPUTED_VALUE"""),79.984399)</f>
        <v>79.984399</v>
      </c>
      <c r="F1657" s="4">
        <f>IFERROR(__xludf.DUMMYFUNCTION("""COMPUTED_VALUE"""),2846.0)</f>
        <v>2846</v>
      </c>
      <c r="G1657" s="4">
        <f>IFERROR(__xludf.DUMMYFUNCTION("""COMPUTED_VALUE"""),17.0)</f>
        <v>17</v>
      </c>
      <c r="H1657" s="4"/>
      <c r="I1657" s="4"/>
    </row>
    <row r="1658">
      <c r="A1658" s="4" t="str">
        <f>IFERROR(__xludf.DUMMYFUNCTION("""COMPUTED_VALUE"""),"cas_hmw")</f>
        <v>cas_hmw</v>
      </c>
      <c r="B1658" s="5">
        <f>IFERROR(__xludf.DUMMYFUNCTION("""COMPUTED_VALUE"""),44788.0)</f>
        <v>44788</v>
      </c>
      <c r="C1658" s="6">
        <f>IFERROR(__xludf.DUMMYFUNCTION("""COMPUTED_VALUE"""),0.3554398148153268)</f>
        <v>0.3554398148</v>
      </c>
      <c r="D1658" s="4">
        <f>IFERROR(__xludf.DUMMYFUNCTION("""COMPUTED_VALUE"""),12.906392)</f>
        <v>12.906392</v>
      </c>
      <c r="E1658" s="4">
        <f>IFERROR(__xludf.DUMMYFUNCTION("""COMPUTED_VALUE"""),80.096494)</f>
        <v>80.096494</v>
      </c>
      <c r="F1658" s="4">
        <f>IFERROR(__xludf.DUMMYFUNCTION("""COMPUTED_VALUE"""),3143.0)</f>
        <v>3143</v>
      </c>
      <c r="G1658" s="4">
        <f>IFERROR(__xludf.DUMMYFUNCTION("""COMPUTED_VALUE"""),4.0)</f>
        <v>4</v>
      </c>
      <c r="H1658" s="4"/>
      <c r="I1658" s="4"/>
    </row>
    <row r="1659">
      <c r="A1659" s="4" t="str">
        <f>IFERROR(__xludf.DUMMYFUNCTION("""COMPUTED_VALUE"""),"cas_hmw")</f>
        <v>cas_hmw</v>
      </c>
      <c r="B1659" s="5">
        <f>IFERROR(__xludf.DUMMYFUNCTION("""COMPUTED_VALUE"""),44788.0)</f>
        <v>44788</v>
      </c>
      <c r="C1659" s="6">
        <f>IFERROR(__xludf.DUMMYFUNCTION("""COMPUTED_VALUE"""),0.35699074074000237)</f>
        <v>0.3569907407</v>
      </c>
      <c r="D1659" s="4">
        <f>IFERROR(__xludf.DUMMYFUNCTION("""COMPUTED_VALUE"""),12.897458)</f>
        <v>12.897458</v>
      </c>
      <c r="E1659" s="4">
        <f>IFERROR(__xludf.DUMMYFUNCTION("""COMPUTED_VALUE"""),80.089558)</f>
        <v>80.089558</v>
      </c>
      <c r="F1659" s="4">
        <f>IFERROR(__xludf.DUMMYFUNCTION("""COMPUTED_VALUE"""),3143.0)</f>
        <v>3143</v>
      </c>
      <c r="G1659" s="4">
        <f>IFERROR(__xludf.DUMMYFUNCTION("""COMPUTED_VALUE"""),18.0)</f>
        <v>18</v>
      </c>
      <c r="H1659" s="4"/>
      <c r="I1659" s="4"/>
    </row>
    <row r="1660">
      <c r="A1660" s="4" t="str">
        <f>IFERROR(__xludf.DUMMYFUNCTION("""COMPUTED_VALUE"""),"cas_hmw")</f>
        <v>cas_hmw</v>
      </c>
      <c r="B1660" s="5">
        <f>IFERROR(__xludf.DUMMYFUNCTION("""COMPUTED_VALUE"""),44788.0)</f>
        <v>44788</v>
      </c>
      <c r="C1660" s="6">
        <f>IFERROR(__xludf.DUMMYFUNCTION("""COMPUTED_VALUE"""),0.37326388889050577)</f>
        <v>0.3732638889</v>
      </c>
      <c r="D1660" s="4">
        <f>IFERROR(__xludf.DUMMYFUNCTION("""COMPUTED_VALUE"""),12.840754)</f>
        <v>12.840754</v>
      </c>
      <c r="E1660" s="4">
        <f>IFERROR(__xludf.DUMMYFUNCTION("""COMPUTED_VALUE"""),80.056103)</f>
        <v>80.056103</v>
      </c>
      <c r="F1660" s="4">
        <f>IFERROR(__xludf.DUMMYFUNCTION("""COMPUTED_VALUE"""),2846.0)</f>
        <v>2846</v>
      </c>
      <c r="G1660" s="4">
        <f>IFERROR(__xludf.DUMMYFUNCTION("""COMPUTED_VALUE"""),10.0)</f>
        <v>10</v>
      </c>
      <c r="H1660" s="4"/>
      <c r="I1660" s="4"/>
    </row>
    <row r="1661">
      <c r="A1661" s="4" t="str">
        <f>IFERROR(__xludf.DUMMYFUNCTION("""COMPUTED_VALUE"""),"cas_hmw")</f>
        <v>cas_hmw</v>
      </c>
      <c r="B1661" s="5">
        <f>IFERROR(__xludf.DUMMYFUNCTION("""COMPUTED_VALUE"""),44788.0)</f>
        <v>44788</v>
      </c>
      <c r="C1661" s="6">
        <f>IFERROR(__xludf.DUMMYFUNCTION("""COMPUTED_VALUE"""),0.6939814814832062)</f>
        <v>0.6939814815</v>
      </c>
      <c r="D1661" s="4">
        <f>IFERROR(__xludf.DUMMYFUNCTION("""COMPUTED_VALUE"""),12.908901)</f>
        <v>12.908901</v>
      </c>
      <c r="E1661" s="4">
        <f>IFERROR(__xludf.DUMMYFUNCTION("""COMPUTED_VALUE"""),80.098274)</f>
        <v>80.098274</v>
      </c>
      <c r="F1661" s="4">
        <f>IFERROR(__xludf.DUMMYFUNCTION("""COMPUTED_VALUE"""),805.0)</f>
        <v>805</v>
      </c>
      <c r="G1661" s="4">
        <f>IFERROR(__xludf.DUMMYFUNCTION("""COMPUTED_VALUE"""),0.0)</f>
        <v>0</v>
      </c>
      <c r="H1661" s="4"/>
      <c r="I1661" s="4"/>
    </row>
    <row r="1662">
      <c r="A1662" s="4" t="str">
        <f>IFERROR(__xludf.DUMMYFUNCTION("""COMPUTED_VALUE"""),"cas_hmw")</f>
        <v>cas_hmw</v>
      </c>
      <c r="B1662" s="5">
        <f>IFERROR(__xludf.DUMMYFUNCTION("""COMPUTED_VALUE"""),44788.0)</f>
        <v>44788</v>
      </c>
      <c r="C1662" s="6">
        <f>IFERROR(__xludf.DUMMYFUNCTION("""COMPUTED_VALUE"""),0.6939814814832062)</f>
        <v>0.6939814815</v>
      </c>
      <c r="D1662" s="4">
        <f>IFERROR(__xludf.DUMMYFUNCTION("""COMPUTED_VALUE"""),12.908901)</f>
        <v>12.908901</v>
      </c>
      <c r="E1662" s="4">
        <f>IFERROR(__xludf.DUMMYFUNCTION("""COMPUTED_VALUE"""),80.098274)</f>
        <v>80.098274</v>
      </c>
      <c r="F1662" s="4">
        <f>IFERROR(__xludf.DUMMYFUNCTION("""COMPUTED_VALUE"""),805.0)</f>
        <v>805</v>
      </c>
      <c r="G1662" s="4">
        <f>IFERROR(__xludf.DUMMYFUNCTION("""COMPUTED_VALUE"""),0.0)</f>
        <v>0</v>
      </c>
      <c r="H1662" s="4"/>
      <c r="I1662" s="4"/>
    </row>
    <row r="1663">
      <c r="A1663" s="4" t="str">
        <f>IFERROR(__xludf.DUMMYFUNCTION("""COMPUTED_VALUE"""),"cas_hmw")</f>
        <v>cas_hmw</v>
      </c>
      <c r="B1663" s="5">
        <f>IFERROR(__xludf.DUMMYFUNCTION("""COMPUTED_VALUE"""),44788.0)</f>
        <v>44788</v>
      </c>
      <c r="C1663" s="6">
        <f>IFERROR(__xludf.DUMMYFUNCTION("""COMPUTED_VALUE"""),0.6952199074075907)</f>
        <v>0.6952199074</v>
      </c>
      <c r="D1663" s="4">
        <f>IFERROR(__xludf.DUMMYFUNCTION("""COMPUTED_VALUE"""),12.911555)</f>
        <v>12.911555</v>
      </c>
      <c r="E1663" s="4">
        <f>IFERROR(__xludf.DUMMYFUNCTION("""COMPUTED_VALUE"""),80.101312)</f>
        <v>80.101312</v>
      </c>
      <c r="F1663" s="4">
        <f>IFERROR(__xludf.DUMMYFUNCTION("""COMPUTED_VALUE"""),5339.0)</f>
        <v>5339</v>
      </c>
      <c r="G1663" s="4">
        <f>IFERROR(__xludf.DUMMYFUNCTION("""COMPUTED_VALUE"""),17.0)</f>
        <v>17</v>
      </c>
      <c r="H1663" s="4"/>
      <c r="I1663" s="4"/>
    </row>
    <row r="1664">
      <c r="A1664" s="4" t="str">
        <f>IFERROR(__xludf.DUMMYFUNCTION("""COMPUTED_VALUE"""),"cas_hmw")</f>
        <v>cas_hmw</v>
      </c>
      <c r="B1664" s="5">
        <f>IFERROR(__xludf.DUMMYFUNCTION("""COMPUTED_VALUE"""),44788.0)</f>
        <v>44788</v>
      </c>
      <c r="C1664" s="6">
        <f>IFERROR(__xludf.DUMMYFUNCTION("""COMPUTED_VALUE"""),0.6952314814807323)</f>
        <v>0.6952314815</v>
      </c>
      <c r="D1664" s="4">
        <f>IFERROR(__xludf.DUMMYFUNCTION("""COMPUTED_VALUE"""),12.911555)</f>
        <v>12.911555</v>
      </c>
      <c r="E1664" s="4">
        <f>IFERROR(__xludf.DUMMYFUNCTION("""COMPUTED_VALUE"""),80.101312)</f>
        <v>80.101312</v>
      </c>
      <c r="F1664" s="4">
        <f>IFERROR(__xludf.DUMMYFUNCTION("""COMPUTED_VALUE"""),5339.0)</f>
        <v>5339</v>
      </c>
      <c r="G1664" s="4">
        <f>IFERROR(__xludf.DUMMYFUNCTION("""COMPUTED_VALUE"""),17.0)</f>
        <v>17</v>
      </c>
      <c r="H1664" s="4"/>
      <c r="I1664" s="4"/>
    </row>
    <row r="1665">
      <c r="A1665" s="4" t="str">
        <f>IFERROR(__xludf.DUMMYFUNCTION("""COMPUTED_VALUE"""),"cas_hmw")</f>
        <v>cas_hmw</v>
      </c>
      <c r="B1665" s="5">
        <f>IFERROR(__xludf.DUMMYFUNCTION("""COMPUTED_VALUE"""),44788.0)</f>
        <v>44788</v>
      </c>
      <c r="C1665" s="6">
        <f>IFERROR(__xludf.DUMMYFUNCTION("""COMPUTED_VALUE"""),0.6952314814807323)</f>
        <v>0.6952314815</v>
      </c>
      <c r="D1665" s="4">
        <f>IFERROR(__xludf.DUMMYFUNCTION("""COMPUTED_VALUE"""),12.911555)</f>
        <v>12.911555</v>
      </c>
      <c r="E1665" s="4">
        <f>IFERROR(__xludf.DUMMYFUNCTION("""COMPUTED_VALUE"""),80.101312)</f>
        <v>80.101312</v>
      </c>
      <c r="F1665" s="4">
        <f>IFERROR(__xludf.DUMMYFUNCTION("""COMPUTED_VALUE"""),5339.0)</f>
        <v>5339</v>
      </c>
      <c r="G1665" s="4">
        <f>IFERROR(__xludf.DUMMYFUNCTION("""COMPUTED_VALUE"""),17.0)</f>
        <v>17</v>
      </c>
      <c r="H1665" s="4"/>
      <c r="I1665" s="4"/>
    </row>
    <row r="1666">
      <c r="A1666" s="4" t="str">
        <f>IFERROR(__xludf.DUMMYFUNCTION("""COMPUTED_VALUE"""),"cas_hmw")</f>
        <v>cas_hmw</v>
      </c>
      <c r="B1666" s="5">
        <f>IFERROR(__xludf.DUMMYFUNCTION("""COMPUTED_VALUE"""),44788.0)</f>
        <v>44788</v>
      </c>
      <c r="C1666" s="6">
        <f>IFERROR(__xludf.DUMMYFUNCTION("""COMPUTED_VALUE"""),0.6983564814800047)</f>
        <v>0.6983564815</v>
      </c>
      <c r="D1666" s="4">
        <f>IFERROR(__xludf.DUMMYFUNCTION("""COMPUTED_VALUE"""),12.929756)</f>
        <v>12.929756</v>
      </c>
      <c r="E1666" s="4">
        <f>IFERROR(__xludf.DUMMYFUNCTION("""COMPUTED_VALUE"""),80.120827)</f>
        <v>80.120827</v>
      </c>
      <c r="F1666" s="4">
        <f>IFERROR(__xludf.DUMMYFUNCTION("""COMPUTED_VALUE"""),805.0)</f>
        <v>805</v>
      </c>
      <c r="G1666" s="4">
        <f>IFERROR(__xludf.DUMMYFUNCTION("""COMPUTED_VALUE"""),1.0)</f>
        <v>1</v>
      </c>
      <c r="H1666" s="4"/>
      <c r="I1666" s="4"/>
    </row>
    <row r="1667">
      <c r="A1667" s="4" t="str">
        <f>IFERROR(__xludf.DUMMYFUNCTION("""COMPUTED_VALUE"""),"cas_hmw")</f>
        <v>cas_hmw</v>
      </c>
      <c r="B1667" s="5">
        <f>IFERROR(__xludf.DUMMYFUNCTION("""COMPUTED_VALUE"""),44788.0)</f>
        <v>44788</v>
      </c>
      <c r="C1667" s="6">
        <f>IFERROR(__xludf.DUMMYFUNCTION("""COMPUTED_VALUE"""),0.6983564814800047)</f>
        <v>0.6983564815</v>
      </c>
      <c r="D1667" s="4">
        <f>IFERROR(__xludf.DUMMYFUNCTION("""COMPUTED_VALUE"""),12.929756)</f>
        <v>12.929756</v>
      </c>
      <c r="E1667" s="4">
        <f>IFERROR(__xludf.DUMMYFUNCTION("""COMPUTED_VALUE"""),80.120827)</f>
        <v>80.120827</v>
      </c>
      <c r="F1667" s="4">
        <f>IFERROR(__xludf.DUMMYFUNCTION("""COMPUTED_VALUE"""),805.0)</f>
        <v>805</v>
      </c>
      <c r="G1667" s="4">
        <f>IFERROR(__xludf.DUMMYFUNCTION("""COMPUTED_VALUE"""),1.0)</f>
        <v>1</v>
      </c>
      <c r="H1667" s="4"/>
      <c r="I1667" s="4"/>
    </row>
    <row r="1668">
      <c r="A1668" s="4" t="str">
        <f>IFERROR(__xludf.DUMMYFUNCTION("""COMPUTED_VALUE"""),"cas_hmw")</f>
        <v>cas_hmw</v>
      </c>
      <c r="B1668" s="5">
        <f>IFERROR(__xludf.DUMMYFUNCTION("""COMPUTED_VALUE"""),44788.0)</f>
        <v>44788</v>
      </c>
      <c r="C1668" s="6">
        <f>IFERROR(__xludf.DUMMYFUNCTION("""COMPUTED_VALUE"""),0.6985069444453984)</f>
        <v>0.6985069444</v>
      </c>
      <c r="D1668" s="4">
        <f>IFERROR(__xludf.DUMMYFUNCTION("""COMPUTED_VALUE"""),12.93)</f>
        <v>12.93</v>
      </c>
      <c r="E1668" s="4">
        <f>IFERROR(__xludf.DUMMYFUNCTION("""COMPUTED_VALUE"""),80.121057)</f>
        <v>80.121057</v>
      </c>
      <c r="F1668" s="4">
        <f>IFERROR(__xludf.DUMMYFUNCTION("""COMPUTED_VALUE"""),805.0)</f>
        <v>805</v>
      </c>
      <c r="G1668" s="4">
        <f>IFERROR(__xludf.DUMMYFUNCTION("""COMPUTED_VALUE"""),14.0)</f>
        <v>14</v>
      </c>
      <c r="H1668" s="4"/>
      <c r="I1668" s="4"/>
    </row>
    <row r="1669">
      <c r="A1669" s="4" t="str">
        <f>IFERROR(__xludf.DUMMYFUNCTION("""COMPUTED_VALUE"""),"cas_hmw")</f>
        <v>cas_hmw</v>
      </c>
      <c r="B1669" s="5">
        <f>IFERROR(__xludf.DUMMYFUNCTION("""COMPUTED_VALUE"""),44788.0)</f>
        <v>44788</v>
      </c>
      <c r="C1669" s="6">
        <f>IFERROR(__xludf.DUMMYFUNCTION("""COMPUTED_VALUE"""),0.7094328703715291)</f>
        <v>0.7094328704</v>
      </c>
      <c r="D1669" s="4">
        <f>IFERROR(__xludf.DUMMYFUNCTION("""COMPUTED_VALUE"""),12.724024)</f>
        <v>12.724024</v>
      </c>
      <c r="E1669" s="4">
        <f>IFERROR(__xludf.DUMMYFUNCTION("""COMPUTED_VALUE"""),79.982148)</f>
        <v>79.982148</v>
      </c>
      <c r="F1669" s="4">
        <f>IFERROR(__xludf.DUMMYFUNCTION("""COMPUTED_VALUE"""),2846.0)</f>
        <v>2846</v>
      </c>
      <c r="G1669" s="4">
        <f>IFERROR(__xludf.DUMMYFUNCTION("""COMPUTED_VALUE"""),0.0)</f>
        <v>0</v>
      </c>
      <c r="H1669" s="4"/>
      <c r="I1669" s="4"/>
    </row>
    <row r="1670">
      <c r="A1670" s="4" t="str">
        <f>IFERROR(__xludf.DUMMYFUNCTION("""COMPUTED_VALUE"""),"cas_hmw")</f>
        <v>cas_hmw</v>
      </c>
      <c r="B1670" s="5">
        <f>IFERROR(__xludf.DUMMYFUNCTION("""COMPUTED_VALUE"""),44788.0)</f>
        <v>44788</v>
      </c>
      <c r="C1670" s="6">
        <f>IFERROR(__xludf.DUMMYFUNCTION("""COMPUTED_VALUE"""),0.7097569444449618)</f>
        <v>0.7097569444</v>
      </c>
      <c r="D1670" s="4">
        <f>IFERROR(__xludf.DUMMYFUNCTION("""COMPUTED_VALUE"""),12.993626)</f>
        <v>12.993626</v>
      </c>
      <c r="E1670" s="4">
        <f>IFERROR(__xludf.DUMMYFUNCTION("""COMPUTED_VALUE"""),80.184733)</f>
        <v>80.184733</v>
      </c>
      <c r="F1670" s="4">
        <f>IFERROR(__xludf.DUMMYFUNCTION("""COMPUTED_VALUE"""),805.0)</f>
        <v>805</v>
      </c>
      <c r="G1670" s="4">
        <f>IFERROR(__xludf.DUMMYFUNCTION("""COMPUTED_VALUE"""),16.0)</f>
        <v>16</v>
      </c>
      <c r="H1670" s="4"/>
      <c r="I1670" s="4"/>
    </row>
    <row r="1671">
      <c r="A1671" s="4" t="str">
        <f>IFERROR(__xludf.DUMMYFUNCTION("""COMPUTED_VALUE"""),"cas_hmw")</f>
        <v>cas_hmw</v>
      </c>
      <c r="B1671" s="5">
        <f>IFERROR(__xludf.DUMMYFUNCTION("""COMPUTED_VALUE"""),44788.0)</f>
        <v>44788</v>
      </c>
      <c r="C1671" s="6">
        <f>IFERROR(__xludf.DUMMYFUNCTION("""COMPUTED_VALUE"""),0.7097569444449618)</f>
        <v>0.7097569444</v>
      </c>
      <c r="D1671" s="4">
        <f>IFERROR(__xludf.DUMMYFUNCTION("""COMPUTED_VALUE"""),12.993626)</f>
        <v>12.993626</v>
      </c>
      <c r="E1671" s="4">
        <f>IFERROR(__xludf.DUMMYFUNCTION("""COMPUTED_VALUE"""),80.184733)</f>
        <v>80.184733</v>
      </c>
      <c r="F1671" s="4">
        <f>IFERROR(__xludf.DUMMYFUNCTION("""COMPUTED_VALUE"""),805.0)</f>
        <v>805</v>
      </c>
      <c r="G1671" s="4">
        <f>IFERROR(__xludf.DUMMYFUNCTION("""COMPUTED_VALUE"""),16.0)</f>
        <v>16</v>
      </c>
      <c r="H1671" s="4"/>
      <c r="I1671" s="4"/>
    </row>
    <row r="1672">
      <c r="A1672" s="4" t="str">
        <f>IFERROR(__xludf.DUMMYFUNCTION("""COMPUTED_VALUE"""),"cas_hmw")</f>
        <v>cas_hmw</v>
      </c>
      <c r="B1672" s="5">
        <f>IFERROR(__xludf.DUMMYFUNCTION("""COMPUTED_VALUE"""),44788.0)</f>
        <v>44788</v>
      </c>
      <c r="C1672" s="6">
        <f>IFERROR(__xludf.DUMMYFUNCTION("""COMPUTED_VALUE"""),0.7097569444449618)</f>
        <v>0.7097569444</v>
      </c>
      <c r="D1672" s="4">
        <f>IFERROR(__xludf.DUMMYFUNCTION("""COMPUTED_VALUE"""),12.993626)</f>
        <v>12.993626</v>
      </c>
      <c r="E1672" s="4">
        <f>IFERROR(__xludf.DUMMYFUNCTION("""COMPUTED_VALUE"""),80.184733)</f>
        <v>80.184733</v>
      </c>
      <c r="F1672" s="4">
        <f>IFERROR(__xludf.DUMMYFUNCTION("""COMPUTED_VALUE"""),805.0)</f>
        <v>805</v>
      </c>
      <c r="G1672" s="4">
        <f>IFERROR(__xludf.DUMMYFUNCTION("""COMPUTED_VALUE"""),16.0)</f>
        <v>16</v>
      </c>
      <c r="H1672" s="4"/>
      <c r="I1672" s="4"/>
    </row>
    <row r="1673">
      <c r="A1673" s="4" t="str">
        <f>IFERROR(__xludf.DUMMYFUNCTION("""COMPUTED_VALUE"""),"cas_hmw")</f>
        <v>cas_hmw</v>
      </c>
      <c r="B1673" s="5">
        <f>IFERROR(__xludf.DUMMYFUNCTION("""COMPUTED_VALUE"""),44788.0)</f>
        <v>44788</v>
      </c>
      <c r="C1673" s="6">
        <f>IFERROR(__xludf.DUMMYFUNCTION("""COMPUTED_VALUE"""),0.7106018518534256)</f>
        <v>0.7106018519</v>
      </c>
      <c r="D1673" s="4">
        <f>IFERROR(__xludf.DUMMYFUNCTION("""COMPUTED_VALUE"""),12.995697)</f>
        <v>12.995697</v>
      </c>
      <c r="E1673" s="4">
        <f>IFERROR(__xludf.DUMMYFUNCTION("""COMPUTED_VALUE"""),80.188663)</f>
        <v>80.188663</v>
      </c>
      <c r="F1673" s="4">
        <f>IFERROR(__xludf.DUMMYFUNCTION("""COMPUTED_VALUE"""),805.0)</f>
        <v>805</v>
      </c>
      <c r="G1673" s="4">
        <f>IFERROR(__xludf.DUMMYFUNCTION("""COMPUTED_VALUE"""),11.0)</f>
        <v>11</v>
      </c>
      <c r="H1673" s="4"/>
      <c r="I1673" s="4"/>
    </row>
    <row r="1674">
      <c r="A1674" s="4" t="str">
        <f>IFERROR(__xludf.DUMMYFUNCTION("""COMPUTED_VALUE"""),"cas_hmw")</f>
        <v>cas_hmw</v>
      </c>
      <c r="B1674" s="5">
        <f>IFERROR(__xludf.DUMMYFUNCTION("""COMPUTED_VALUE"""),44788.0)</f>
        <v>44788</v>
      </c>
      <c r="C1674" s="6">
        <f>IFERROR(__xludf.DUMMYFUNCTION("""COMPUTED_VALUE"""),0.7139351851838001)</f>
        <v>0.7139351852</v>
      </c>
      <c r="D1674" s="4">
        <f>IFERROR(__xludf.DUMMYFUNCTION("""COMPUTED_VALUE"""),13.001298)</f>
        <v>13.001298</v>
      </c>
      <c r="E1674" s="4">
        <f>IFERROR(__xludf.DUMMYFUNCTION("""COMPUTED_VALUE"""),80.195611)</f>
        <v>80.195611</v>
      </c>
      <c r="F1674" s="4">
        <f>IFERROR(__xludf.DUMMYFUNCTION("""COMPUTED_VALUE"""),5339.0)</f>
        <v>5339</v>
      </c>
      <c r="G1674" s="4">
        <f>IFERROR(__xludf.DUMMYFUNCTION("""COMPUTED_VALUE"""),16.0)</f>
        <v>16</v>
      </c>
      <c r="H1674" s="4"/>
      <c r="I1674" s="4"/>
    </row>
    <row r="1675">
      <c r="A1675" s="4" t="str">
        <f>IFERROR(__xludf.DUMMYFUNCTION("""COMPUTED_VALUE"""),"cas_hmw")</f>
        <v>cas_hmw</v>
      </c>
      <c r="B1675" s="5">
        <f>IFERROR(__xludf.DUMMYFUNCTION("""COMPUTED_VALUE"""),44788.0)</f>
        <v>44788</v>
      </c>
      <c r="C1675" s="6">
        <f>IFERROR(__xludf.DUMMYFUNCTION("""COMPUTED_VALUE"""),0.7142939814802958)</f>
        <v>0.7142939815</v>
      </c>
      <c r="D1675" s="4">
        <f>IFERROR(__xludf.DUMMYFUNCTION("""COMPUTED_VALUE"""),12.697236)</f>
        <v>12.697236</v>
      </c>
      <c r="E1675" s="4">
        <f>IFERROR(__xludf.DUMMYFUNCTION("""COMPUTED_VALUE"""),79.972871)</f>
        <v>79.972871</v>
      </c>
      <c r="F1675" s="4">
        <f>IFERROR(__xludf.DUMMYFUNCTION("""COMPUTED_VALUE"""),2846.0)</f>
        <v>2846</v>
      </c>
      <c r="G1675" s="4">
        <f>IFERROR(__xludf.DUMMYFUNCTION("""COMPUTED_VALUE"""),14.0)</f>
        <v>14</v>
      </c>
      <c r="H1675" s="4"/>
      <c r="I1675" s="4"/>
    </row>
    <row r="1676">
      <c r="A1676" s="4" t="str">
        <f>IFERROR(__xludf.DUMMYFUNCTION("""COMPUTED_VALUE"""),"cas_hmw")</f>
        <v>cas_hmw</v>
      </c>
      <c r="B1676" s="5">
        <f>IFERROR(__xludf.DUMMYFUNCTION("""COMPUTED_VALUE"""),44788.0)</f>
        <v>44788</v>
      </c>
      <c r="C1676" s="6">
        <f>IFERROR(__xludf.DUMMYFUNCTION("""COMPUTED_VALUE"""),0.7203935185170849)</f>
        <v>0.7203935185</v>
      </c>
      <c r="D1676" s="4">
        <f>IFERROR(__xludf.DUMMYFUNCTION("""COMPUTED_VALUE"""),13.02417)</f>
        <v>13.02417</v>
      </c>
      <c r="E1676" s="4">
        <f>IFERROR(__xludf.DUMMYFUNCTION("""COMPUTED_VALUE"""),80.228293)</f>
        <v>80.228293</v>
      </c>
      <c r="F1676" s="4">
        <f>IFERROR(__xludf.DUMMYFUNCTION("""COMPUTED_VALUE"""),5339.0)</f>
        <v>5339</v>
      </c>
      <c r="G1676" s="4">
        <f>IFERROR(__xludf.DUMMYFUNCTION("""COMPUTED_VALUE"""),5.0)</f>
        <v>5</v>
      </c>
      <c r="H1676" s="4"/>
      <c r="I1676" s="4"/>
    </row>
    <row r="1677">
      <c r="A1677" s="4" t="str">
        <f>IFERROR(__xludf.DUMMYFUNCTION("""COMPUTED_VALUE"""),"cas_hmw")</f>
        <v>cas_hmw</v>
      </c>
      <c r="B1677" s="5">
        <f>IFERROR(__xludf.DUMMYFUNCTION("""COMPUTED_VALUE"""),44788.0)</f>
        <v>44788</v>
      </c>
      <c r="C1677" s="6">
        <f>IFERROR(__xludf.DUMMYFUNCTION("""COMPUTED_VALUE"""),0.7218749999992724)</f>
        <v>0.721875</v>
      </c>
      <c r="D1677" s="4">
        <f>IFERROR(__xludf.DUMMYFUNCTION("""COMPUTED_VALUE"""),13.006862)</f>
        <v>13.006862</v>
      </c>
      <c r="E1677" s="4">
        <f>IFERROR(__xludf.DUMMYFUNCTION("""COMPUTED_VALUE"""),80.25143)</f>
        <v>80.25143</v>
      </c>
      <c r="F1677" s="4">
        <f>IFERROR(__xludf.DUMMYFUNCTION("""COMPUTED_VALUE"""),805.0)</f>
        <v>805</v>
      </c>
      <c r="G1677" s="4">
        <f>IFERROR(__xludf.DUMMYFUNCTION("""COMPUTED_VALUE"""),16.0)</f>
        <v>16</v>
      </c>
      <c r="H1677" s="4"/>
      <c r="I1677" s="4"/>
    </row>
    <row r="1678">
      <c r="A1678" s="4" t="str">
        <f>IFERROR(__xludf.DUMMYFUNCTION("""COMPUTED_VALUE"""),"cas_hmw")</f>
        <v>cas_hmw</v>
      </c>
      <c r="B1678" s="5">
        <f>IFERROR(__xludf.DUMMYFUNCTION("""COMPUTED_VALUE"""),44788.0)</f>
        <v>44788</v>
      </c>
      <c r="C1678" s="6">
        <f>IFERROR(__xludf.DUMMYFUNCTION("""COMPUTED_VALUE"""),0.7284837962979509)</f>
        <v>0.7284837963</v>
      </c>
      <c r="D1678" s="4">
        <f>IFERROR(__xludf.DUMMYFUNCTION("""COMPUTED_VALUE"""),13.042022)</f>
        <v>13.042022</v>
      </c>
      <c r="E1678" s="4">
        <f>IFERROR(__xludf.DUMMYFUNCTION("""COMPUTED_VALUE"""),80.247382)</f>
        <v>80.247382</v>
      </c>
      <c r="F1678" s="4">
        <f>IFERROR(__xludf.DUMMYFUNCTION("""COMPUTED_VALUE"""),5339.0)</f>
        <v>5339</v>
      </c>
      <c r="G1678" s="4">
        <f>IFERROR(__xludf.DUMMYFUNCTION("""COMPUTED_VALUE"""),19.0)</f>
        <v>19</v>
      </c>
      <c r="H1678" s="4"/>
      <c r="I1678" s="4"/>
    </row>
    <row r="1679">
      <c r="A1679" s="4" t="str">
        <f>IFERROR(__xludf.DUMMYFUNCTION("""COMPUTED_VALUE"""),"cas_hmw")</f>
        <v>cas_hmw</v>
      </c>
      <c r="B1679" s="5">
        <f>IFERROR(__xludf.DUMMYFUNCTION("""COMPUTED_VALUE"""),44788.0)</f>
        <v>44788</v>
      </c>
      <c r="C1679" s="6">
        <f>IFERROR(__xludf.DUMMYFUNCTION("""COMPUTED_VALUE"""),0.7285300925941556)</f>
        <v>0.7285300926</v>
      </c>
      <c r="D1679" s="4">
        <f>IFERROR(__xludf.DUMMYFUNCTION("""COMPUTED_VALUE"""),13.042022)</f>
        <v>13.042022</v>
      </c>
      <c r="E1679" s="4">
        <f>IFERROR(__xludf.DUMMYFUNCTION("""COMPUTED_VALUE"""),80.247382)</f>
        <v>80.247382</v>
      </c>
      <c r="F1679" s="4">
        <f>IFERROR(__xludf.DUMMYFUNCTION("""COMPUTED_VALUE"""),5339.0)</f>
        <v>5339</v>
      </c>
      <c r="G1679" s="4">
        <f>IFERROR(__xludf.DUMMYFUNCTION("""COMPUTED_VALUE"""),19.0)</f>
        <v>19</v>
      </c>
      <c r="H1679" s="4"/>
      <c r="I1679" s="4"/>
    </row>
    <row r="1680">
      <c r="A1680" s="4" t="str">
        <f>IFERROR(__xludf.DUMMYFUNCTION("""COMPUTED_VALUE"""),"cas_hmw")</f>
        <v>cas_hmw</v>
      </c>
      <c r="B1680" s="5">
        <f>IFERROR(__xludf.DUMMYFUNCTION("""COMPUTED_VALUE"""),44788.0)</f>
        <v>44788</v>
      </c>
      <c r="C1680" s="6">
        <f>IFERROR(__xludf.DUMMYFUNCTION("""COMPUTED_VALUE"""),0.7291666666678793)</f>
        <v>0.7291666667</v>
      </c>
      <c r="D1680" s="4">
        <f>IFERROR(__xludf.DUMMYFUNCTION("""COMPUTED_VALUE"""),13.044657)</f>
        <v>13.044657</v>
      </c>
      <c r="E1680" s="4">
        <f>IFERROR(__xludf.DUMMYFUNCTION("""COMPUTED_VALUE"""),80.247902)</f>
        <v>80.247902</v>
      </c>
      <c r="F1680" s="4">
        <f>IFERROR(__xludf.DUMMYFUNCTION("""COMPUTED_VALUE"""),5339.0)</f>
        <v>5339</v>
      </c>
      <c r="G1680" s="4">
        <f>IFERROR(__xludf.DUMMYFUNCTION("""COMPUTED_VALUE"""),0.0)</f>
        <v>0</v>
      </c>
      <c r="H1680" s="4"/>
      <c r="I1680" s="4"/>
    </row>
    <row r="1681">
      <c r="A1681" s="4" t="str">
        <f>IFERROR(__xludf.DUMMYFUNCTION("""COMPUTED_VALUE"""),"cas_hmw")</f>
        <v>cas_hmw</v>
      </c>
      <c r="B1681" s="5">
        <f>IFERROR(__xludf.DUMMYFUNCTION("""COMPUTED_VALUE"""),44788.0)</f>
        <v>44788</v>
      </c>
      <c r="C1681" s="6">
        <f>IFERROR(__xludf.DUMMYFUNCTION("""COMPUTED_VALUE"""),0.7310879629621923)</f>
        <v>0.731087963</v>
      </c>
      <c r="D1681" s="4">
        <f>IFERROR(__xludf.DUMMYFUNCTION("""COMPUTED_VALUE"""),13.05487)</f>
        <v>13.05487</v>
      </c>
      <c r="E1681" s="4">
        <f>IFERROR(__xludf.DUMMYFUNCTION("""COMPUTED_VALUE"""),80.25435)</f>
        <v>80.25435</v>
      </c>
      <c r="F1681" s="4">
        <f>IFERROR(__xludf.DUMMYFUNCTION("""COMPUTED_VALUE"""),5339.0)</f>
        <v>5339</v>
      </c>
      <c r="G1681" s="4">
        <f>IFERROR(__xludf.DUMMYFUNCTION("""COMPUTED_VALUE"""),18.0)</f>
        <v>18</v>
      </c>
      <c r="H1681" s="4"/>
      <c r="I1681" s="4"/>
    </row>
    <row r="1682">
      <c r="A1682" s="4" t="str">
        <f>IFERROR(__xludf.DUMMYFUNCTION("""COMPUTED_VALUE"""),"cas_hmw")</f>
        <v>cas_hmw</v>
      </c>
      <c r="B1682" s="5">
        <f>IFERROR(__xludf.DUMMYFUNCTION("""COMPUTED_VALUE"""),44788.0)</f>
        <v>44788</v>
      </c>
      <c r="C1682" s="6">
        <f>IFERROR(__xludf.DUMMYFUNCTION("""COMPUTED_VALUE"""),0.7311805555546016)</f>
        <v>0.7311805556</v>
      </c>
      <c r="D1682" s="4">
        <f>IFERROR(__xludf.DUMMYFUNCTION("""COMPUTED_VALUE"""),13.05487)</f>
        <v>13.05487</v>
      </c>
      <c r="E1682" s="4">
        <f>IFERROR(__xludf.DUMMYFUNCTION("""COMPUTED_VALUE"""),80.25435)</f>
        <v>80.25435</v>
      </c>
      <c r="F1682" s="4">
        <f>IFERROR(__xludf.DUMMYFUNCTION("""COMPUTED_VALUE"""),5339.0)</f>
        <v>5339</v>
      </c>
      <c r="G1682" s="4">
        <f>IFERROR(__xludf.DUMMYFUNCTION("""COMPUTED_VALUE"""),18.0)</f>
        <v>18</v>
      </c>
      <c r="H1682" s="4"/>
      <c r="I1682" s="4"/>
    </row>
    <row r="1683">
      <c r="A1683" s="4" t="str">
        <f>IFERROR(__xludf.DUMMYFUNCTION("""COMPUTED_VALUE"""),"cas_hmw")</f>
        <v>cas_hmw</v>
      </c>
      <c r="B1683" s="5">
        <f>IFERROR(__xludf.DUMMYFUNCTION("""COMPUTED_VALUE"""),44788.0)</f>
        <v>44788</v>
      </c>
      <c r="C1683" s="6">
        <f>IFERROR(__xludf.DUMMYFUNCTION("""COMPUTED_VALUE"""),0.7416435185186856)</f>
        <v>0.7416435185</v>
      </c>
      <c r="D1683" s="4">
        <f>IFERROR(__xludf.DUMMYFUNCTION("""COMPUTED_VALUE"""),13.068173)</f>
        <v>13.068173</v>
      </c>
      <c r="E1683" s="4">
        <f>IFERROR(__xludf.DUMMYFUNCTION("""COMPUTED_VALUE"""),80.271732)</f>
        <v>80.271732</v>
      </c>
      <c r="F1683" s="4">
        <f>IFERROR(__xludf.DUMMYFUNCTION("""COMPUTED_VALUE"""),5339.0)</f>
        <v>5339</v>
      </c>
      <c r="G1683" s="4">
        <f>IFERROR(__xludf.DUMMYFUNCTION("""COMPUTED_VALUE"""),0.0)</f>
        <v>0</v>
      </c>
      <c r="H1683" s="4"/>
      <c r="I1683" s="4"/>
    </row>
    <row r="1684">
      <c r="A1684" s="4" t="str">
        <f>IFERROR(__xludf.DUMMYFUNCTION("""COMPUTED_VALUE"""),"cas_hmw")</f>
        <v>cas_hmw</v>
      </c>
      <c r="B1684" s="5">
        <f>IFERROR(__xludf.DUMMYFUNCTION("""COMPUTED_VALUE"""),44788.0)</f>
        <v>44788</v>
      </c>
      <c r="C1684" s="6">
        <f>IFERROR(__xludf.DUMMYFUNCTION("""COMPUTED_VALUE"""),0.742361111111677)</f>
        <v>0.7423611111</v>
      </c>
      <c r="D1684" s="4">
        <f>IFERROR(__xludf.DUMMYFUNCTION("""COMPUTED_VALUE"""),13.066684)</f>
        <v>13.066684</v>
      </c>
      <c r="E1684" s="4">
        <f>IFERROR(__xludf.DUMMYFUNCTION("""COMPUTED_VALUE"""),80.268422)</f>
        <v>80.268422</v>
      </c>
      <c r="F1684" s="4">
        <f>IFERROR(__xludf.DUMMYFUNCTION("""COMPUTED_VALUE"""),5339.0)</f>
        <v>5339</v>
      </c>
      <c r="G1684" s="4">
        <f>IFERROR(__xludf.DUMMYFUNCTION("""COMPUTED_VALUE"""),10.0)</f>
        <v>10</v>
      </c>
      <c r="H1684" s="4"/>
      <c r="I1684" s="4"/>
    </row>
    <row r="1685">
      <c r="A1685" s="4" t="str">
        <f>IFERROR(__xludf.DUMMYFUNCTION("""COMPUTED_VALUE"""),"cas_hmw")</f>
        <v>cas_hmw</v>
      </c>
      <c r="B1685" s="5">
        <f>IFERROR(__xludf.DUMMYFUNCTION("""COMPUTED_VALUE"""),44789.0)</f>
        <v>44789</v>
      </c>
      <c r="C1685" s="6">
        <f>IFERROR(__xludf.DUMMYFUNCTION("""COMPUTED_VALUE"""),0.278460648147302)</f>
        <v>0.2784606481</v>
      </c>
      <c r="D1685" s="4">
        <f>IFERROR(__xludf.DUMMYFUNCTION("""COMPUTED_VALUE"""),12.930085)</f>
        <v>12.930085</v>
      </c>
      <c r="E1685" s="4">
        <f>IFERROR(__xludf.DUMMYFUNCTION("""COMPUTED_VALUE"""),80.121138)</f>
        <v>80.121138</v>
      </c>
      <c r="F1685" s="4">
        <f>IFERROR(__xludf.DUMMYFUNCTION("""COMPUTED_VALUE"""),3143.0)</f>
        <v>3143</v>
      </c>
      <c r="G1685" s="4">
        <f>IFERROR(__xludf.DUMMYFUNCTION("""COMPUTED_VALUE"""),19.0)</f>
        <v>19</v>
      </c>
      <c r="H1685" s="4"/>
      <c r="I1685" s="4"/>
    </row>
    <row r="1686">
      <c r="A1686" s="4" t="str">
        <f>IFERROR(__xludf.DUMMYFUNCTION("""COMPUTED_VALUE"""),"cas_hmw")</f>
        <v>cas_hmw</v>
      </c>
      <c r="B1686" s="5">
        <f>IFERROR(__xludf.DUMMYFUNCTION("""COMPUTED_VALUE"""),44789.0)</f>
        <v>44789</v>
      </c>
      <c r="C1686" s="6">
        <f>IFERROR(__xludf.DUMMYFUNCTION("""COMPUTED_VALUE"""),0.3167592592581059)</f>
        <v>0.3167592593</v>
      </c>
      <c r="D1686" s="4">
        <f>IFERROR(__xludf.DUMMYFUNCTION("""COMPUTED_VALUE"""),13.035514)</f>
        <v>13.035514</v>
      </c>
      <c r="E1686" s="4">
        <f>IFERROR(__xludf.DUMMYFUNCTION("""COMPUTED_VALUE"""),80.246204)</f>
        <v>80.246204</v>
      </c>
      <c r="F1686" s="4">
        <f>IFERROR(__xludf.DUMMYFUNCTION("""COMPUTED_VALUE"""),5339.0)</f>
        <v>5339</v>
      </c>
      <c r="G1686" s="4">
        <f>IFERROR(__xludf.DUMMYFUNCTION("""COMPUTED_VALUE"""),20.0)</f>
        <v>20</v>
      </c>
      <c r="H1686" s="4"/>
      <c r="I1686" s="4"/>
    </row>
    <row r="1687">
      <c r="A1687" s="4" t="str">
        <f>IFERROR(__xludf.DUMMYFUNCTION("""COMPUTED_VALUE"""),"cas_hmw")</f>
        <v>cas_hmw</v>
      </c>
      <c r="B1687" s="5">
        <f>IFERROR(__xludf.DUMMYFUNCTION("""COMPUTED_VALUE"""),44789.0)</f>
        <v>44789</v>
      </c>
      <c r="C1687" s="6">
        <f>IFERROR(__xludf.DUMMYFUNCTION("""COMPUTED_VALUE"""),0.31677083333488554)</f>
        <v>0.3167708333</v>
      </c>
      <c r="D1687" s="4">
        <f>IFERROR(__xludf.DUMMYFUNCTION("""COMPUTED_VALUE"""),13.035514)</f>
        <v>13.035514</v>
      </c>
      <c r="E1687" s="4">
        <f>IFERROR(__xludf.DUMMYFUNCTION("""COMPUTED_VALUE"""),80.246204)</f>
        <v>80.246204</v>
      </c>
      <c r="F1687" s="4">
        <f>IFERROR(__xludf.DUMMYFUNCTION("""COMPUTED_VALUE"""),5339.0)</f>
        <v>5339</v>
      </c>
      <c r="G1687" s="4">
        <f>IFERROR(__xludf.DUMMYFUNCTION("""COMPUTED_VALUE"""),20.0)</f>
        <v>20</v>
      </c>
      <c r="H1687" s="4"/>
      <c r="I1687" s="4"/>
    </row>
    <row r="1688">
      <c r="A1688" s="4" t="str">
        <f>IFERROR(__xludf.DUMMYFUNCTION("""COMPUTED_VALUE"""),"cas_hmw")</f>
        <v>cas_hmw</v>
      </c>
      <c r="B1688" s="5">
        <f>IFERROR(__xludf.DUMMYFUNCTION("""COMPUTED_VALUE"""),44789.0)</f>
        <v>44789</v>
      </c>
      <c r="C1688" s="6">
        <f>IFERROR(__xludf.DUMMYFUNCTION("""COMPUTED_VALUE"""),0.3202893518500787)</f>
        <v>0.3202893519</v>
      </c>
      <c r="D1688" s="4">
        <f>IFERROR(__xludf.DUMMYFUNCTION("""COMPUTED_VALUE"""),12.679827)</f>
        <v>12.679827</v>
      </c>
      <c r="E1688" s="4">
        <f>IFERROR(__xludf.DUMMYFUNCTION("""COMPUTED_VALUE"""),79.980758)</f>
        <v>79.980758</v>
      </c>
      <c r="F1688" s="4">
        <f>IFERROR(__xludf.DUMMYFUNCTION("""COMPUTED_VALUE"""),2846.0)</f>
        <v>2846</v>
      </c>
      <c r="G1688" s="4">
        <f>IFERROR(__xludf.DUMMYFUNCTION("""COMPUTED_VALUE"""),10.0)</f>
        <v>10</v>
      </c>
      <c r="H1688" s="4"/>
      <c r="I1688" s="4"/>
    </row>
    <row r="1689">
      <c r="A1689" s="4" t="str">
        <f>IFERROR(__xludf.DUMMYFUNCTION("""COMPUTED_VALUE"""),"cas_hmw")</f>
        <v>cas_hmw</v>
      </c>
      <c r="B1689" s="5">
        <f>IFERROR(__xludf.DUMMYFUNCTION("""COMPUTED_VALUE"""),44789.0)</f>
        <v>44789</v>
      </c>
      <c r="C1689" s="6">
        <f>IFERROR(__xludf.DUMMYFUNCTION("""COMPUTED_VALUE"""),0.3203009259268583)</f>
        <v>0.3203009259</v>
      </c>
      <c r="D1689" s="4">
        <f>IFERROR(__xludf.DUMMYFUNCTION("""COMPUTED_VALUE"""),12.679827)</f>
        <v>12.679827</v>
      </c>
      <c r="E1689" s="4">
        <f>IFERROR(__xludf.DUMMYFUNCTION("""COMPUTED_VALUE"""),79.980758)</f>
        <v>79.980758</v>
      </c>
      <c r="F1689" s="4">
        <f>IFERROR(__xludf.DUMMYFUNCTION("""COMPUTED_VALUE"""),2846.0)</f>
        <v>2846</v>
      </c>
      <c r="G1689" s="4">
        <f>IFERROR(__xludf.DUMMYFUNCTION("""COMPUTED_VALUE"""),10.0)</f>
        <v>10</v>
      </c>
      <c r="H1689" s="4"/>
      <c r="I1689" s="4"/>
    </row>
    <row r="1690">
      <c r="A1690" s="4" t="str">
        <f>IFERROR(__xludf.DUMMYFUNCTION("""COMPUTED_VALUE"""),"cas_hmw")</f>
        <v>cas_hmw</v>
      </c>
      <c r="B1690" s="5">
        <f>IFERROR(__xludf.DUMMYFUNCTION("""COMPUTED_VALUE"""),44789.0)</f>
        <v>44789</v>
      </c>
      <c r="C1690" s="6">
        <f>IFERROR(__xludf.DUMMYFUNCTION("""COMPUTED_VALUE"""),0.3261689814826241)</f>
        <v>0.3261689815</v>
      </c>
      <c r="D1690" s="4">
        <f>IFERROR(__xludf.DUMMYFUNCTION("""COMPUTED_VALUE"""),12.699924)</f>
        <v>12.699924</v>
      </c>
      <c r="E1690" s="4">
        <f>IFERROR(__xludf.DUMMYFUNCTION("""COMPUTED_VALUE"""),79.968366)</f>
        <v>79.968366</v>
      </c>
      <c r="F1690" s="4">
        <f>IFERROR(__xludf.DUMMYFUNCTION("""COMPUTED_VALUE"""),2846.0)</f>
        <v>2846</v>
      </c>
      <c r="G1690" s="4">
        <f>IFERROR(__xludf.DUMMYFUNCTION("""COMPUTED_VALUE"""),0.0)</f>
        <v>0</v>
      </c>
      <c r="H1690" s="4"/>
      <c r="I1690" s="4"/>
    </row>
    <row r="1691">
      <c r="A1691" s="4" t="str">
        <f>IFERROR(__xludf.DUMMYFUNCTION("""COMPUTED_VALUE"""),"cas_hmw")</f>
        <v>cas_hmw</v>
      </c>
      <c r="B1691" s="5">
        <f>IFERROR(__xludf.DUMMYFUNCTION("""COMPUTED_VALUE"""),44789.0)</f>
        <v>44789</v>
      </c>
      <c r="C1691" s="6">
        <f>IFERROR(__xludf.DUMMYFUNCTION("""COMPUTED_VALUE"""),0.32711805555663886)</f>
        <v>0.3271180556</v>
      </c>
      <c r="D1691" s="4">
        <f>IFERROR(__xludf.DUMMYFUNCTION("""COMPUTED_VALUE"""),12.994132)</f>
        <v>12.994132</v>
      </c>
      <c r="E1691" s="4">
        <f>IFERROR(__xludf.DUMMYFUNCTION("""COMPUTED_VALUE"""),80.185907)</f>
        <v>80.185907</v>
      </c>
      <c r="F1691" s="4">
        <f>IFERROR(__xludf.DUMMYFUNCTION("""COMPUTED_VALUE"""),5339.0)</f>
        <v>5339</v>
      </c>
      <c r="G1691" s="4">
        <f>IFERROR(__xludf.DUMMYFUNCTION("""COMPUTED_VALUE"""),12.0)</f>
        <v>12</v>
      </c>
      <c r="H1691" s="4"/>
      <c r="I1691" s="4"/>
    </row>
    <row r="1692">
      <c r="A1692" s="4" t="str">
        <f>IFERROR(__xludf.DUMMYFUNCTION("""COMPUTED_VALUE"""),"cas_hmw")</f>
        <v>cas_hmw</v>
      </c>
      <c r="B1692" s="5">
        <f>IFERROR(__xludf.DUMMYFUNCTION("""COMPUTED_VALUE"""),44789.0)</f>
        <v>44789</v>
      </c>
      <c r="C1692" s="6">
        <f>IFERROR(__xludf.DUMMYFUNCTION("""COMPUTED_VALUE"""),0.3356134259265673)</f>
        <v>0.3356134259</v>
      </c>
      <c r="D1692" s="4">
        <f>IFERROR(__xludf.DUMMYFUNCTION("""COMPUTED_VALUE"""),12.950465)</f>
        <v>12.950465</v>
      </c>
      <c r="E1692" s="4">
        <f>IFERROR(__xludf.DUMMYFUNCTION("""COMPUTED_VALUE"""),80.139678)</f>
        <v>80.139678</v>
      </c>
      <c r="F1692" s="4">
        <f>IFERROR(__xludf.DUMMYFUNCTION("""COMPUTED_VALUE"""),5339.0)</f>
        <v>5339</v>
      </c>
      <c r="G1692" s="4">
        <f>IFERROR(__xludf.DUMMYFUNCTION("""COMPUTED_VALUE"""),20.0)</f>
        <v>20</v>
      </c>
      <c r="H1692" s="4"/>
      <c r="I1692" s="4"/>
    </row>
    <row r="1693">
      <c r="A1693" s="4" t="str">
        <f>IFERROR(__xludf.DUMMYFUNCTION("""COMPUTED_VALUE"""),"cas_hmw")</f>
        <v>cas_hmw</v>
      </c>
      <c r="B1693" s="5">
        <f>IFERROR(__xludf.DUMMYFUNCTION("""COMPUTED_VALUE"""),44789.0)</f>
        <v>44789</v>
      </c>
      <c r="C1693" s="6">
        <f>IFERROR(__xludf.DUMMYFUNCTION("""COMPUTED_VALUE"""),0.33562499999970896)</f>
        <v>0.335625</v>
      </c>
      <c r="D1693" s="4">
        <f>IFERROR(__xludf.DUMMYFUNCTION("""COMPUTED_VALUE"""),12.950465)</f>
        <v>12.950465</v>
      </c>
      <c r="E1693" s="4">
        <f>IFERROR(__xludf.DUMMYFUNCTION("""COMPUTED_VALUE"""),80.139678)</f>
        <v>80.139678</v>
      </c>
      <c r="F1693" s="4">
        <f>IFERROR(__xludf.DUMMYFUNCTION("""COMPUTED_VALUE"""),5339.0)</f>
        <v>5339</v>
      </c>
      <c r="G1693" s="4">
        <f>IFERROR(__xludf.DUMMYFUNCTION("""COMPUTED_VALUE"""),20.0)</f>
        <v>20</v>
      </c>
      <c r="H1693" s="4"/>
      <c r="I1693" s="4"/>
    </row>
    <row r="1694">
      <c r="A1694" s="4" t="str">
        <f>IFERROR(__xludf.DUMMYFUNCTION("""COMPUTED_VALUE"""),"cas_hmw")</f>
        <v>cas_hmw</v>
      </c>
      <c r="B1694" s="5">
        <f>IFERROR(__xludf.DUMMYFUNCTION("""COMPUTED_VALUE"""),44789.0)</f>
        <v>44789</v>
      </c>
      <c r="C1694" s="6">
        <f>IFERROR(__xludf.DUMMYFUNCTION("""COMPUTED_VALUE"""),0.33715277777810115)</f>
        <v>0.3371527778</v>
      </c>
      <c r="D1694" s="4">
        <f>IFERROR(__xludf.DUMMYFUNCTION("""COMPUTED_VALUE"""),12.986546)</f>
        <v>12.986546</v>
      </c>
      <c r="E1694" s="4">
        <f>IFERROR(__xludf.DUMMYFUNCTION("""COMPUTED_VALUE"""),80.174994)</f>
        <v>80.174994</v>
      </c>
      <c r="F1694" s="4">
        <f>IFERROR(__xludf.DUMMYFUNCTION("""COMPUTED_VALUE"""),805.0)</f>
        <v>805</v>
      </c>
      <c r="G1694" s="4">
        <f>IFERROR(__xludf.DUMMYFUNCTION("""COMPUTED_VALUE"""),20.0)</f>
        <v>20</v>
      </c>
      <c r="H1694" s="4"/>
      <c r="I1694" s="4"/>
    </row>
    <row r="1695">
      <c r="A1695" s="4" t="str">
        <f>IFERROR(__xludf.DUMMYFUNCTION("""COMPUTED_VALUE"""),"cas_hmw")</f>
        <v>cas_hmw</v>
      </c>
      <c r="B1695" s="5">
        <f>IFERROR(__xludf.DUMMYFUNCTION("""COMPUTED_VALUE"""),44789.0)</f>
        <v>44789</v>
      </c>
      <c r="C1695" s="6">
        <f>IFERROR(__xludf.DUMMYFUNCTION("""COMPUTED_VALUE"""),0.34311342592627625)</f>
        <v>0.3431134259</v>
      </c>
      <c r="D1695" s="4">
        <f>IFERROR(__xludf.DUMMYFUNCTION("""COMPUTED_VALUE"""),12.922714)</f>
        <v>12.922714</v>
      </c>
      <c r="E1695" s="4">
        <f>IFERROR(__xludf.DUMMYFUNCTION("""COMPUTED_VALUE"""),80.152154)</f>
        <v>80.152154</v>
      </c>
      <c r="F1695" s="4">
        <f>IFERROR(__xludf.DUMMYFUNCTION("""COMPUTED_VALUE"""),3143.0)</f>
        <v>3143</v>
      </c>
      <c r="G1695" s="4">
        <f>IFERROR(__xludf.DUMMYFUNCTION("""COMPUTED_VALUE"""),0.0)</f>
        <v>0</v>
      </c>
      <c r="H1695" s="4"/>
      <c r="I1695" s="4"/>
    </row>
    <row r="1696">
      <c r="A1696" s="4" t="str">
        <f>IFERROR(__xludf.DUMMYFUNCTION("""COMPUTED_VALUE"""),"cas_hmw")</f>
        <v>cas_hmw</v>
      </c>
      <c r="B1696" s="5">
        <f>IFERROR(__xludf.DUMMYFUNCTION("""COMPUTED_VALUE"""),44789.0)</f>
        <v>44789</v>
      </c>
      <c r="C1696" s="6">
        <f>IFERROR(__xludf.DUMMYFUNCTION("""COMPUTED_VALUE"""),0.3441435185195587)</f>
        <v>0.3441435185</v>
      </c>
      <c r="D1696" s="4">
        <f>IFERROR(__xludf.DUMMYFUNCTION("""COMPUTED_VALUE"""),12.922528)</f>
        <v>12.922528</v>
      </c>
      <c r="E1696" s="4">
        <f>IFERROR(__xludf.DUMMYFUNCTION("""COMPUTED_VALUE"""),80.147759)</f>
        <v>80.147759</v>
      </c>
      <c r="F1696" s="4">
        <f>IFERROR(__xludf.DUMMYFUNCTION("""COMPUTED_VALUE"""),3143.0)</f>
        <v>3143</v>
      </c>
      <c r="G1696" s="4">
        <f>IFERROR(__xludf.DUMMYFUNCTION("""COMPUTED_VALUE"""),0.0)</f>
        <v>0</v>
      </c>
      <c r="H1696" s="4"/>
      <c r="I1696" s="4"/>
    </row>
    <row r="1697">
      <c r="A1697" s="4" t="str">
        <f>IFERROR(__xludf.DUMMYFUNCTION("""COMPUTED_VALUE"""),"cas_hmw")</f>
        <v>cas_hmw</v>
      </c>
      <c r="B1697" s="5">
        <f>IFERROR(__xludf.DUMMYFUNCTION("""COMPUTED_VALUE"""),44789.0)</f>
        <v>44789</v>
      </c>
      <c r="C1697" s="6">
        <f>IFERROR(__xludf.DUMMYFUNCTION("""COMPUTED_VALUE"""),0.3449189814818965)</f>
        <v>0.3449189815</v>
      </c>
      <c r="D1697" s="4">
        <f>IFERROR(__xludf.DUMMYFUNCTION("""COMPUTED_VALUE"""),12.942371)</f>
        <v>12.942371</v>
      </c>
      <c r="E1697" s="4">
        <f>IFERROR(__xludf.DUMMYFUNCTION("""COMPUTED_VALUE"""),80.133163)</f>
        <v>80.133163</v>
      </c>
      <c r="F1697" s="4">
        <f>IFERROR(__xludf.DUMMYFUNCTION("""COMPUTED_VALUE"""),805.0)</f>
        <v>805</v>
      </c>
      <c r="G1697" s="4">
        <f>IFERROR(__xludf.DUMMYFUNCTION("""COMPUTED_VALUE"""),20.0)</f>
        <v>20</v>
      </c>
      <c r="H1697" s="4"/>
      <c r="I1697" s="4"/>
    </row>
    <row r="1698">
      <c r="A1698" s="4" t="str">
        <f>IFERROR(__xludf.DUMMYFUNCTION("""COMPUTED_VALUE"""),"cas_hmw")</f>
        <v>cas_hmw</v>
      </c>
      <c r="B1698" s="5">
        <f>IFERROR(__xludf.DUMMYFUNCTION("""COMPUTED_VALUE"""),44789.0)</f>
        <v>44789</v>
      </c>
      <c r="C1698" s="6">
        <f>IFERROR(__xludf.DUMMYFUNCTION("""COMPUTED_VALUE"""),0.34620370370248565)</f>
        <v>0.3462037037</v>
      </c>
      <c r="D1698" s="4">
        <f>IFERROR(__xludf.DUMMYFUNCTION("""COMPUTED_VALUE"""),12.936162)</f>
        <v>12.936162</v>
      </c>
      <c r="E1698" s="4">
        <f>IFERROR(__xludf.DUMMYFUNCTION("""COMPUTED_VALUE"""),80.127318)</f>
        <v>80.127318</v>
      </c>
      <c r="F1698" s="4">
        <f>IFERROR(__xludf.DUMMYFUNCTION("""COMPUTED_VALUE"""),805.0)</f>
        <v>805</v>
      </c>
      <c r="G1698" s="4">
        <f>IFERROR(__xludf.DUMMYFUNCTION("""COMPUTED_VALUE"""),9.0)</f>
        <v>9</v>
      </c>
      <c r="H1698" s="4"/>
      <c r="I1698" s="4"/>
    </row>
    <row r="1699">
      <c r="A1699" s="4" t="str">
        <f>IFERROR(__xludf.DUMMYFUNCTION("""COMPUTED_VALUE"""),"cas_hmw")</f>
        <v>cas_hmw</v>
      </c>
      <c r="B1699" s="5">
        <f>IFERROR(__xludf.DUMMYFUNCTION("""COMPUTED_VALUE"""),44789.0)</f>
        <v>44789</v>
      </c>
      <c r="C1699" s="6">
        <f>IFERROR(__xludf.DUMMYFUNCTION("""COMPUTED_VALUE"""),0.695451388888614)</f>
        <v>0.6954513889</v>
      </c>
      <c r="D1699" s="4">
        <f>IFERROR(__xludf.DUMMYFUNCTION("""COMPUTED_VALUE"""),12.916874)</f>
        <v>12.916874</v>
      </c>
      <c r="E1699" s="4">
        <f>IFERROR(__xludf.DUMMYFUNCTION("""COMPUTED_VALUE"""),80.106834)</f>
        <v>80.106834</v>
      </c>
      <c r="F1699" s="4">
        <f>IFERROR(__xludf.DUMMYFUNCTION("""COMPUTED_VALUE"""),3143.0)</f>
        <v>3143</v>
      </c>
      <c r="G1699" s="4">
        <f>IFERROR(__xludf.DUMMYFUNCTION("""COMPUTED_VALUE"""),18.0)</f>
        <v>18</v>
      </c>
      <c r="H1699" s="4"/>
      <c r="I1699" s="4"/>
    </row>
    <row r="1700">
      <c r="A1700" s="4" t="str">
        <f>IFERROR(__xludf.DUMMYFUNCTION("""COMPUTED_VALUE"""),"cas_hmw")</f>
        <v>cas_hmw</v>
      </c>
      <c r="B1700" s="5">
        <f>IFERROR(__xludf.DUMMYFUNCTION("""COMPUTED_VALUE"""),44789.0)</f>
        <v>44789</v>
      </c>
      <c r="C1700" s="6">
        <f>IFERROR(__xludf.DUMMYFUNCTION("""COMPUTED_VALUE"""),0.6954745370385353)</f>
        <v>0.695474537</v>
      </c>
      <c r="D1700" s="4">
        <f>IFERROR(__xludf.DUMMYFUNCTION("""COMPUTED_VALUE"""),12.916874)</f>
        <v>12.916874</v>
      </c>
      <c r="E1700" s="4">
        <f>IFERROR(__xludf.DUMMYFUNCTION("""COMPUTED_VALUE"""),80.106834)</f>
        <v>80.106834</v>
      </c>
      <c r="F1700" s="4">
        <f>IFERROR(__xludf.DUMMYFUNCTION("""COMPUTED_VALUE"""),3143.0)</f>
        <v>3143</v>
      </c>
      <c r="G1700" s="4">
        <f>IFERROR(__xludf.DUMMYFUNCTION("""COMPUTED_VALUE"""),18.0)</f>
        <v>18</v>
      </c>
      <c r="H1700" s="4"/>
      <c r="I1700" s="4"/>
    </row>
    <row r="1701">
      <c r="A1701" s="4" t="str">
        <f>IFERROR(__xludf.DUMMYFUNCTION("""COMPUTED_VALUE"""),"cas_hmw")</f>
        <v>cas_hmw</v>
      </c>
      <c r="B1701" s="5">
        <f>IFERROR(__xludf.DUMMYFUNCTION("""COMPUTED_VALUE"""),44789.0)</f>
        <v>44789</v>
      </c>
      <c r="C1701" s="6">
        <f>IFERROR(__xludf.DUMMYFUNCTION("""COMPUTED_VALUE"""),0.6959837962967867)</f>
        <v>0.6959837963</v>
      </c>
      <c r="D1701" s="4">
        <f>IFERROR(__xludf.DUMMYFUNCTION("""COMPUTED_VALUE"""),12.923024)</f>
        <v>12.923024</v>
      </c>
      <c r="E1701" s="4">
        <f>IFERROR(__xludf.DUMMYFUNCTION("""COMPUTED_VALUE"""),80.114128)</f>
        <v>80.114128</v>
      </c>
      <c r="F1701" s="4">
        <f>IFERROR(__xludf.DUMMYFUNCTION("""COMPUTED_VALUE"""),805.0)</f>
        <v>805</v>
      </c>
      <c r="G1701" s="4">
        <f>IFERROR(__xludf.DUMMYFUNCTION("""COMPUTED_VALUE"""),0.0)</f>
        <v>0</v>
      </c>
      <c r="H1701" s="4"/>
      <c r="I1701" s="4"/>
    </row>
    <row r="1702">
      <c r="A1702" s="4" t="str">
        <f>IFERROR(__xludf.DUMMYFUNCTION("""COMPUTED_VALUE"""),"cas_hmw")</f>
        <v>cas_hmw</v>
      </c>
      <c r="B1702" s="5">
        <f>IFERROR(__xludf.DUMMYFUNCTION("""COMPUTED_VALUE"""),44789.0)</f>
        <v>44789</v>
      </c>
      <c r="C1702" s="6">
        <f>IFERROR(__xludf.DUMMYFUNCTION("""COMPUTED_VALUE"""),0.6967245370360615)</f>
        <v>0.696724537</v>
      </c>
      <c r="D1702" s="4">
        <f>IFERROR(__xludf.DUMMYFUNCTION("""COMPUTED_VALUE"""),12.923993)</f>
        <v>12.923993</v>
      </c>
      <c r="E1702" s="4">
        <f>IFERROR(__xludf.DUMMYFUNCTION("""COMPUTED_VALUE"""),80.114858)</f>
        <v>80.114858</v>
      </c>
      <c r="F1702" s="4">
        <f>IFERROR(__xludf.DUMMYFUNCTION("""COMPUTED_VALUE"""),3143.0)</f>
        <v>3143</v>
      </c>
      <c r="G1702" s="4">
        <f>IFERROR(__xludf.DUMMYFUNCTION("""COMPUTED_VALUE"""),10.0)</f>
        <v>10</v>
      </c>
      <c r="H1702" s="4"/>
      <c r="I1702" s="4"/>
    </row>
    <row r="1703">
      <c r="A1703" s="4" t="str">
        <f>IFERROR(__xludf.DUMMYFUNCTION("""COMPUTED_VALUE"""),"cas_hmw")</f>
        <v>cas_hmw</v>
      </c>
      <c r="B1703" s="5">
        <f>IFERROR(__xludf.DUMMYFUNCTION("""COMPUTED_VALUE"""),44789.0)</f>
        <v>44789</v>
      </c>
      <c r="C1703" s="6">
        <f>IFERROR(__xludf.DUMMYFUNCTION("""COMPUTED_VALUE"""),0.6968518518515339)</f>
        <v>0.6968518519</v>
      </c>
      <c r="D1703" s="4">
        <f>IFERROR(__xludf.DUMMYFUNCTION("""COMPUTED_VALUE"""),12.924029)</f>
        <v>12.924029</v>
      </c>
      <c r="E1703" s="4">
        <f>IFERROR(__xludf.DUMMYFUNCTION("""COMPUTED_VALUE"""),80.114893)</f>
        <v>80.114893</v>
      </c>
      <c r="F1703" s="4">
        <f>IFERROR(__xludf.DUMMYFUNCTION("""COMPUTED_VALUE"""),3143.0)</f>
        <v>3143</v>
      </c>
      <c r="G1703" s="4">
        <f>IFERROR(__xludf.DUMMYFUNCTION("""COMPUTED_VALUE"""),0.0)</f>
        <v>0</v>
      </c>
      <c r="H1703" s="4"/>
      <c r="I1703" s="4"/>
    </row>
    <row r="1704">
      <c r="A1704" s="4" t="str">
        <f>IFERROR(__xludf.DUMMYFUNCTION("""COMPUTED_VALUE"""),"cas_hmw")</f>
        <v>cas_hmw</v>
      </c>
      <c r="B1704" s="5">
        <f>IFERROR(__xludf.DUMMYFUNCTION("""COMPUTED_VALUE"""),44789.0)</f>
        <v>44789</v>
      </c>
      <c r="C1704" s="6">
        <f>IFERROR(__xludf.DUMMYFUNCTION("""COMPUTED_VALUE"""),0.6972800925941556)</f>
        <v>0.6972800926</v>
      </c>
      <c r="D1704" s="4">
        <f>IFERROR(__xludf.DUMMYFUNCTION("""COMPUTED_VALUE"""),12.929924)</f>
        <v>12.929924</v>
      </c>
      <c r="E1704" s="4">
        <f>IFERROR(__xludf.DUMMYFUNCTION("""COMPUTED_VALUE"""),80.120988)</f>
        <v>80.120988</v>
      </c>
      <c r="F1704" s="4">
        <f>IFERROR(__xludf.DUMMYFUNCTION("""COMPUTED_VALUE"""),805.0)</f>
        <v>805</v>
      </c>
      <c r="G1704" s="4">
        <f>IFERROR(__xludf.DUMMYFUNCTION("""COMPUTED_VALUE"""),20.0)</f>
        <v>20</v>
      </c>
      <c r="H1704" s="4"/>
      <c r="I1704" s="4"/>
    </row>
    <row r="1705">
      <c r="A1705" s="4" t="str">
        <f>IFERROR(__xludf.DUMMYFUNCTION("""COMPUTED_VALUE"""),"cas_hmw")</f>
        <v>cas_hmw</v>
      </c>
      <c r="B1705" s="5">
        <f>IFERROR(__xludf.DUMMYFUNCTION("""COMPUTED_VALUE"""),44789.0)</f>
        <v>44789</v>
      </c>
      <c r="C1705" s="6">
        <f>IFERROR(__xludf.DUMMYFUNCTION("""COMPUTED_VALUE"""),0.6972916666672972)</f>
        <v>0.6972916667</v>
      </c>
      <c r="D1705" s="4">
        <f>IFERROR(__xludf.DUMMYFUNCTION("""COMPUTED_VALUE"""),12.929924)</f>
        <v>12.929924</v>
      </c>
      <c r="E1705" s="4">
        <f>IFERROR(__xludf.DUMMYFUNCTION("""COMPUTED_VALUE"""),80.120988)</f>
        <v>80.120988</v>
      </c>
      <c r="F1705" s="4">
        <f>IFERROR(__xludf.DUMMYFUNCTION("""COMPUTED_VALUE"""),805.0)</f>
        <v>805</v>
      </c>
      <c r="G1705" s="4">
        <f>IFERROR(__xludf.DUMMYFUNCTION("""COMPUTED_VALUE"""),20.0)</f>
        <v>20</v>
      </c>
      <c r="H1705" s="4"/>
      <c r="I1705" s="4"/>
    </row>
    <row r="1706">
      <c r="A1706" s="4" t="str">
        <f>IFERROR(__xludf.DUMMYFUNCTION("""COMPUTED_VALUE"""),"cas_hmw")</f>
        <v>cas_hmw</v>
      </c>
      <c r="B1706" s="5">
        <f>IFERROR(__xludf.DUMMYFUNCTION("""COMPUTED_VALUE"""),44789.0)</f>
        <v>44789</v>
      </c>
      <c r="C1706" s="6">
        <f>IFERROR(__xludf.DUMMYFUNCTION("""COMPUTED_VALUE"""),0.6987731481494848)</f>
        <v>0.6987731481</v>
      </c>
      <c r="D1706" s="4">
        <f>IFERROR(__xludf.DUMMYFUNCTION("""COMPUTED_VALUE"""),12.935695)</f>
        <v>12.935695</v>
      </c>
      <c r="E1706" s="4">
        <f>IFERROR(__xludf.DUMMYFUNCTION("""COMPUTED_VALUE"""),80.126568)</f>
        <v>80.126568</v>
      </c>
      <c r="F1706" s="4">
        <f>IFERROR(__xludf.DUMMYFUNCTION("""COMPUTED_VALUE"""),805.0)</f>
        <v>805</v>
      </c>
      <c r="G1706" s="4">
        <f>IFERROR(__xludf.DUMMYFUNCTION("""COMPUTED_VALUE"""),15.0)</f>
        <v>15</v>
      </c>
      <c r="H1706" s="4"/>
      <c r="I1706" s="4"/>
    </row>
    <row r="1707">
      <c r="A1707" s="4" t="str">
        <f>IFERROR(__xludf.DUMMYFUNCTION("""COMPUTED_VALUE"""),"cas_hmw")</f>
        <v>cas_hmw</v>
      </c>
      <c r="B1707" s="5">
        <f>IFERROR(__xludf.DUMMYFUNCTION("""COMPUTED_VALUE"""),44789.0)</f>
        <v>44789</v>
      </c>
      <c r="C1707" s="6">
        <f>IFERROR(__xludf.DUMMYFUNCTION("""COMPUTED_VALUE"""),0.7019791666680248)</f>
        <v>0.7019791667</v>
      </c>
      <c r="D1707" s="4">
        <f>IFERROR(__xludf.DUMMYFUNCTION("""COMPUTED_VALUE"""),12.92252)</f>
        <v>12.92252</v>
      </c>
      <c r="E1707" s="4">
        <f>IFERROR(__xludf.DUMMYFUNCTION("""COMPUTED_VALUE"""),80.142695)</f>
        <v>80.142695</v>
      </c>
      <c r="F1707" s="4">
        <f>IFERROR(__xludf.DUMMYFUNCTION("""COMPUTED_VALUE"""),3143.0)</f>
        <v>3143</v>
      </c>
      <c r="G1707" s="4">
        <f>IFERROR(__xludf.DUMMYFUNCTION("""COMPUTED_VALUE"""),19.0)</f>
        <v>19</v>
      </c>
      <c r="H1707" s="4"/>
      <c r="I1707" s="4"/>
    </row>
    <row r="1708">
      <c r="A1708" s="4" t="str">
        <f>IFERROR(__xludf.DUMMYFUNCTION("""COMPUTED_VALUE"""),"cas_hmw")</f>
        <v>cas_hmw</v>
      </c>
      <c r="B1708" s="5">
        <f>IFERROR(__xludf.DUMMYFUNCTION("""COMPUTED_VALUE"""),44789.0)</f>
        <v>44789</v>
      </c>
      <c r="C1708" s="6">
        <f>IFERROR(__xludf.DUMMYFUNCTION("""COMPUTED_VALUE"""),0.7077199074083182)</f>
        <v>0.7077199074</v>
      </c>
      <c r="D1708" s="4">
        <f>IFERROR(__xludf.DUMMYFUNCTION("""COMPUTED_VALUE"""),12.987631)</f>
        <v>12.987631</v>
      </c>
      <c r="E1708" s="4">
        <f>IFERROR(__xludf.DUMMYFUNCTION("""COMPUTED_VALUE"""),80.176378)</f>
        <v>80.176378</v>
      </c>
      <c r="F1708" s="4">
        <f>IFERROR(__xludf.DUMMYFUNCTION("""COMPUTED_VALUE"""),805.0)</f>
        <v>805</v>
      </c>
      <c r="G1708" s="4">
        <f>IFERROR(__xludf.DUMMYFUNCTION("""COMPUTED_VALUE"""),13.0)</f>
        <v>13</v>
      </c>
      <c r="H1708" s="4"/>
      <c r="I1708" s="4"/>
    </row>
    <row r="1709">
      <c r="A1709" s="4" t="str">
        <f>IFERROR(__xludf.DUMMYFUNCTION("""COMPUTED_VALUE"""),"cas_hmw")</f>
        <v>cas_hmw</v>
      </c>
      <c r="B1709" s="5">
        <f>IFERROR(__xludf.DUMMYFUNCTION("""COMPUTED_VALUE"""),44789.0)</f>
        <v>44789</v>
      </c>
      <c r="C1709" s="6">
        <f>IFERROR(__xludf.DUMMYFUNCTION("""COMPUTED_VALUE"""),0.7077199074083182)</f>
        <v>0.7077199074</v>
      </c>
      <c r="D1709" s="4">
        <f>IFERROR(__xludf.DUMMYFUNCTION("""COMPUTED_VALUE"""),12.987631)</f>
        <v>12.987631</v>
      </c>
      <c r="E1709" s="4">
        <f>IFERROR(__xludf.DUMMYFUNCTION("""COMPUTED_VALUE"""),80.176378)</f>
        <v>80.176378</v>
      </c>
      <c r="F1709" s="4">
        <f>IFERROR(__xludf.DUMMYFUNCTION("""COMPUTED_VALUE"""),805.0)</f>
        <v>805</v>
      </c>
      <c r="G1709" s="4">
        <f>IFERROR(__xludf.DUMMYFUNCTION("""COMPUTED_VALUE"""),13.0)</f>
        <v>13</v>
      </c>
      <c r="H1709" s="4"/>
      <c r="I1709" s="4"/>
    </row>
    <row r="1710">
      <c r="A1710" s="4" t="str">
        <f>IFERROR(__xludf.DUMMYFUNCTION("""COMPUTED_VALUE"""),"cas_hmw")</f>
        <v>cas_hmw</v>
      </c>
      <c r="B1710" s="5">
        <f>IFERROR(__xludf.DUMMYFUNCTION("""COMPUTED_VALUE"""),44789.0)</f>
        <v>44789</v>
      </c>
      <c r="C1710" s="6">
        <f>IFERROR(__xludf.DUMMYFUNCTION("""COMPUTED_VALUE"""),0.7124074074090458)</f>
        <v>0.7124074074</v>
      </c>
      <c r="D1710" s="4">
        <f>IFERROR(__xludf.DUMMYFUNCTION("""COMPUTED_VALUE"""),12.724146)</f>
        <v>12.724146</v>
      </c>
      <c r="E1710" s="4">
        <f>IFERROR(__xludf.DUMMYFUNCTION("""COMPUTED_VALUE"""),79.982066)</f>
        <v>79.982066</v>
      </c>
      <c r="F1710" s="4">
        <f>IFERROR(__xludf.DUMMYFUNCTION("""COMPUTED_VALUE"""),2846.0)</f>
        <v>2846</v>
      </c>
      <c r="G1710" s="4">
        <f>IFERROR(__xludf.DUMMYFUNCTION("""COMPUTED_VALUE"""),12.0)</f>
        <v>12</v>
      </c>
      <c r="H1710" s="4"/>
      <c r="I1710" s="4"/>
    </row>
    <row r="1711">
      <c r="A1711" s="4" t="str">
        <f>IFERROR(__xludf.DUMMYFUNCTION("""COMPUTED_VALUE"""),"cas_hmw")</f>
        <v>cas_hmw</v>
      </c>
      <c r="B1711" s="5">
        <f>IFERROR(__xludf.DUMMYFUNCTION("""COMPUTED_VALUE"""),44789.0)</f>
        <v>44789</v>
      </c>
      <c r="C1711" s="6">
        <f>IFERROR(__xludf.DUMMYFUNCTION("""COMPUTED_VALUE"""),0.7125231481477385)</f>
        <v>0.7125231481</v>
      </c>
      <c r="D1711" s="4">
        <f>IFERROR(__xludf.DUMMYFUNCTION("""COMPUTED_VALUE"""),12.724146)</f>
        <v>12.724146</v>
      </c>
      <c r="E1711" s="4">
        <f>IFERROR(__xludf.DUMMYFUNCTION("""COMPUTED_VALUE"""),79.982066)</f>
        <v>79.982066</v>
      </c>
      <c r="F1711" s="4">
        <f>IFERROR(__xludf.DUMMYFUNCTION("""COMPUTED_VALUE"""),2846.0)</f>
        <v>2846</v>
      </c>
      <c r="G1711" s="4">
        <f>IFERROR(__xludf.DUMMYFUNCTION("""COMPUTED_VALUE"""),12.0)</f>
        <v>12</v>
      </c>
      <c r="H1711" s="4"/>
      <c r="I1711" s="4"/>
    </row>
    <row r="1712">
      <c r="A1712" s="4" t="str">
        <f>IFERROR(__xludf.DUMMYFUNCTION("""COMPUTED_VALUE"""),"cas_hmw")</f>
        <v>cas_hmw</v>
      </c>
      <c r="B1712" s="5">
        <f>IFERROR(__xludf.DUMMYFUNCTION("""COMPUTED_VALUE"""),44789.0)</f>
        <v>44789</v>
      </c>
      <c r="C1712" s="6">
        <f>IFERROR(__xludf.DUMMYFUNCTION("""COMPUTED_VALUE"""),0.7277199074087548)</f>
        <v>0.7277199074</v>
      </c>
      <c r="D1712" s="4">
        <f>IFERROR(__xludf.DUMMYFUNCTION("""COMPUTED_VALUE"""),12.975967)</f>
        <v>12.975967</v>
      </c>
      <c r="E1712" s="4">
        <f>IFERROR(__xludf.DUMMYFUNCTION("""COMPUTED_VALUE"""),80.221116)</f>
        <v>80.221116</v>
      </c>
      <c r="F1712" s="4">
        <f>IFERROR(__xludf.DUMMYFUNCTION("""COMPUTED_VALUE"""),3143.0)</f>
        <v>3143</v>
      </c>
      <c r="G1712" s="4">
        <f>IFERROR(__xludf.DUMMYFUNCTION("""COMPUTED_VALUE"""),20.0)</f>
        <v>20</v>
      </c>
      <c r="H1712" s="4"/>
      <c r="I1712" s="4"/>
    </row>
    <row r="1713">
      <c r="A1713" s="4" t="str">
        <f>IFERROR(__xludf.DUMMYFUNCTION("""COMPUTED_VALUE"""),"cas_hmw")</f>
        <v>cas_hmw</v>
      </c>
      <c r="B1713" s="5">
        <f>IFERROR(__xludf.DUMMYFUNCTION("""COMPUTED_VALUE"""),44789.0)</f>
        <v>44789</v>
      </c>
      <c r="C1713" s="6">
        <f>IFERROR(__xludf.DUMMYFUNCTION("""COMPUTED_VALUE"""),0.7285416666672972)</f>
        <v>0.7285416667</v>
      </c>
      <c r="D1713" s="4">
        <f>IFERROR(__xludf.DUMMYFUNCTION("""COMPUTED_VALUE"""),12.97846)</f>
        <v>12.97846</v>
      </c>
      <c r="E1713" s="4">
        <f>IFERROR(__xludf.DUMMYFUNCTION("""COMPUTED_VALUE"""),80.225131)</f>
        <v>80.225131</v>
      </c>
      <c r="F1713" s="4">
        <f>IFERROR(__xludf.DUMMYFUNCTION("""COMPUTED_VALUE"""),3143.0)</f>
        <v>3143</v>
      </c>
      <c r="G1713" s="4">
        <f>IFERROR(__xludf.DUMMYFUNCTION("""COMPUTED_VALUE"""),17.0)</f>
        <v>17</v>
      </c>
      <c r="H1713" s="4"/>
      <c r="I1713" s="4"/>
    </row>
    <row r="1714">
      <c r="A1714" s="4" t="str">
        <f>IFERROR(__xludf.DUMMYFUNCTION("""COMPUTED_VALUE"""),"cas_hmw")</f>
        <v>cas_hmw</v>
      </c>
      <c r="B1714" s="5">
        <f>IFERROR(__xludf.DUMMYFUNCTION("""COMPUTED_VALUE"""),44789.0)</f>
        <v>44789</v>
      </c>
      <c r="C1714" s="6">
        <f>IFERROR(__xludf.DUMMYFUNCTION("""COMPUTED_VALUE"""),0.7285532407404389)</f>
        <v>0.7285532407</v>
      </c>
      <c r="D1714" s="4">
        <f>IFERROR(__xludf.DUMMYFUNCTION("""COMPUTED_VALUE"""),12.97846)</f>
        <v>12.97846</v>
      </c>
      <c r="E1714" s="4">
        <f>IFERROR(__xludf.DUMMYFUNCTION("""COMPUTED_VALUE"""),80.225131)</f>
        <v>80.225131</v>
      </c>
      <c r="F1714" s="4">
        <f>IFERROR(__xludf.DUMMYFUNCTION("""COMPUTED_VALUE"""),3143.0)</f>
        <v>3143</v>
      </c>
      <c r="G1714" s="4">
        <f>IFERROR(__xludf.DUMMYFUNCTION("""COMPUTED_VALUE"""),17.0)</f>
        <v>17</v>
      </c>
      <c r="H1714" s="4"/>
      <c r="I1714" s="4"/>
    </row>
    <row r="1715">
      <c r="A1715" s="4" t="str">
        <f>IFERROR(__xludf.DUMMYFUNCTION("""COMPUTED_VALUE"""),"cas_hmw")</f>
        <v>cas_hmw</v>
      </c>
      <c r="B1715" s="5">
        <f>IFERROR(__xludf.DUMMYFUNCTION("""COMPUTED_VALUE"""),44789.0)</f>
        <v>44789</v>
      </c>
      <c r="C1715" s="6">
        <f>IFERROR(__xludf.DUMMYFUNCTION("""COMPUTED_VALUE"""),0.7295023148144537)</f>
        <v>0.7295023148</v>
      </c>
      <c r="D1715" s="4">
        <f>IFERROR(__xludf.DUMMYFUNCTION("""COMPUTED_VALUE"""),13.021444)</f>
        <v>13.021444</v>
      </c>
      <c r="E1715" s="4">
        <f>IFERROR(__xludf.DUMMYFUNCTION("""COMPUTED_VALUE"""),80.263037)</f>
        <v>80.263037</v>
      </c>
      <c r="F1715" s="4">
        <f>IFERROR(__xludf.DUMMYFUNCTION("""COMPUTED_VALUE"""),805.0)</f>
        <v>805</v>
      </c>
      <c r="G1715" s="4">
        <f>IFERROR(__xludf.DUMMYFUNCTION("""COMPUTED_VALUE"""),14.0)</f>
        <v>14</v>
      </c>
      <c r="H1715" s="4"/>
      <c r="I1715" s="4"/>
    </row>
    <row r="1716">
      <c r="A1716" s="4" t="str">
        <f>IFERROR(__xludf.DUMMYFUNCTION("""COMPUTED_VALUE"""),"cas_hmw")</f>
        <v>cas_hmw</v>
      </c>
      <c r="B1716" s="5">
        <f>IFERROR(__xludf.DUMMYFUNCTION("""COMPUTED_VALUE"""),44789.0)</f>
        <v>44789</v>
      </c>
      <c r="C1716" s="6">
        <f>IFERROR(__xludf.DUMMYFUNCTION("""COMPUTED_VALUE"""),0.7299189814802958)</f>
        <v>0.7299189815</v>
      </c>
      <c r="D1716" s="4">
        <f>IFERROR(__xludf.DUMMYFUNCTION("""COMPUTED_VALUE"""),13.044619)</f>
        <v>13.044619</v>
      </c>
      <c r="E1716" s="4">
        <f>IFERROR(__xludf.DUMMYFUNCTION("""COMPUTED_VALUE"""),80.247905)</f>
        <v>80.247905</v>
      </c>
      <c r="F1716" s="4">
        <f>IFERROR(__xludf.DUMMYFUNCTION("""COMPUTED_VALUE"""),5339.0)</f>
        <v>5339</v>
      </c>
      <c r="G1716" s="4">
        <f>IFERROR(__xludf.DUMMYFUNCTION("""COMPUTED_VALUE"""),8.0)</f>
        <v>8</v>
      </c>
      <c r="H1716" s="4"/>
      <c r="I1716" s="4"/>
    </row>
    <row r="1717">
      <c r="A1717" s="4" t="str">
        <f>IFERROR(__xludf.DUMMYFUNCTION("""COMPUTED_VALUE"""),"cas_hmw")</f>
        <v>cas_hmw</v>
      </c>
      <c r="B1717" s="5">
        <f>IFERROR(__xludf.DUMMYFUNCTION("""COMPUTED_VALUE"""),44789.0)</f>
        <v>44789</v>
      </c>
      <c r="C1717" s="6">
        <f>IFERROR(__xludf.DUMMYFUNCTION("""COMPUTED_VALUE"""),0.7300347222226264)</f>
        <v>0.7300347222</v>
      </c>
      <c r="D1717" s="4">
        <f>IFERROR(__xludf.DUMMYFUNCTION("""COMPUTED_VALUE"""),13.044619)</f>
        <v>13.044619</v>
      </c>
      <c r="E1717" s="4">
        <f>IFERROR(__xludf.DUMMYFUNCTION("""COMPUTED_VALUE"""),80.247905)</f>
        <v>80.247905</v>
      </c>
      <c r="F1717" s="4">
        <f>IFERROR(__xludf.DUMMYFUNCTION("""COMPUTED_VALUE"""),5339.0)</f>
        <v>5339</v>
      </c>
      <c r="G1717" s="4">
        <f>IFERROR(__xludf.DUMMYFUNCTION("""COMPUTED_VALUE"""),8.0)</f>
        <v>8</v>
      </c>
      <c r="H1717" s="4"/>
      <c r="I1717" s="4"/>
    </row>
    <row r="1718">
      <c r="A1718" s="4" t="str">
        <f>IFERROR(__xludf.DUMMYFUNCTION("""COMPUTED_VALUE"""),"cas_hmw")</f>
        <v>cas_hmw</v>
      </c>
      <c r="B1718" s="5">
        <f>IFERROR(__xludf.DUMMYFUNCTION("""COMPUTED_VALUE"""),44789.0)</f>
        <v>44789</v>
      </c>
      <c r="C1718" s="6">
        <f>IFERROR(__xludf.DUMMYFUNCTION("""COMPUTED_VALUE"""),0.7447916666678793)</f>
        <v>0.7447916667</v>
      </c>
      <c r="D1718" s="4">
        <f>IFERROR(__xludf.DUMMYFUNCTION("""COMPUTED_VALUE"""),13.06876)</f>
        <v>13.06876</v>
      </c>
      <c r="E1718" s="4">
        <f>IFERROR(__xludf.DUMMYFUNCTION("""COMPUTED_VALUE"""),80.267773)</f>
        <v>80.267773</v>
      </c>
      <c r="F1718" s="4">
        <f>IFERROR(__xludf.DUMMYFUNCTION("""COMPUTED_VALUE"""),5339.0)</f>
        <v>5339</v>
      </c>
      <c r="G1718" s="4">
        <f>IFERROR(__xludf.DUMMYFUNCTION("""COMPUTED_VALUE"""),13.0)</f>
        <v>13</v>
      </c>
      <c r="H1718" s="4"/>
      <c r="I1718" s="4"/>
    </row>
    <row r="1719">
      <c r="A1719" s="4" t="str">
        <f>IFERROR(__xludf.DUMMYFUNCTION("""COMPUTED_VALUE"""),"cas_hmw")</f>
        <v>cas_hmw</v>
      </c>
      <c r="B1719" s="5">
        <f>IFERROR(__xludf.DUMMYFUNCTION("""COMPUTED_VALUE"""),44789.0)</f>
        <v>44789</v>
      </c>
      <c r="C1719" s="6">
        <f>IFERROR(__xludf.DUMMYFUNCTION("""COMPUTED_VALUE"""),0.7450347222220444)</f>
        <v>0.7450347222</v>
      </c>
      <c r="D1719" s="4">
        <f>IFERROR(__xludf.DUMMYFUNCTION("""COMPUTED_VALUE"""),13.066608)</f>
        <v>13.066608</v>
      </c>
      <c r="E1719" s="4">
        <f>IFERROR(__xludf.DUMMYFUNCTION("""COMPUTED_VALUE"""),80.268358)</f>
        <v>80.268358</v>
      </c>
      <c r="F1719" s="4">
        <f>IFERROR(__xludf.DUMMYFUNCTION("""COMPUTED_VALUE"""),805.0)</f>
        <v>805</v>
      </c>
      <c r="G1719" s="4">
        <f>IFERROR(__xludf.DUMMYFUNCTION("""COMPUTED_VALUE"""),8.0)</f>
        <v>8</v>
      </c>
      <c r="H1719" s="4"/>
      <c r="I1719" s="4"/>
    </row>
    <row r="1720">
      <c r="A1720" s="4" t="str">
        <f>IFERROR(__xludf.DUMMYFUNCTION("""COMPUTED_VALUE"""),"cas_hmw")</f>
        <v>cas_hmw</v>
      </c>
      <c r="B1720" s="5">
        <f>IFERROR(__xludf.DUMMYFUNCTION("""COMPUTED_VALUE"""),44790.0)</f>
        <v>44790</v>
      </c>
      <c r="C1720" s="6">
        <f>IFERROR(__xludf.DUMMYFUNCTION("""COMPUTED_VALUE"""),0.320416666665551)</f>
        <v>0.3204166667</v>
      </c>
      <c r="D1720" s="4">
        <f>IFERROR(__xludf.DUMMYFUNCTION("""COMPUTED_VALUE"""),13.020177)</f>
        <v>13.020177</v>
      </c>
      <c r="E1720" s="4">
        <f>IFERROR(__xludf.DUMMYFUNCTION("""COMPUTED_VALUE"""),80.224921)</f>
        <v>80.224921</v>
      </c>
      <c r="F1720" s="4">
        <f>IFERROR(__xludf.DUMMYFUNCTION("""COMPUTED_VALUE"""),5339.0)</f>
        <v>5339</v>
      </c>
      <c r="G1720" s="4">
        <f>IFERROR(__xludf.DUMMYFUNCTION("""COMPUTED_VALUE"""),20.0)</f>
        <v>20</v>
      </c>
      <c r="H1720" s="4"/>
      <c r="I1720" s="4"/>
    </row>
    <row r="1721">
      <c r="A1721" s="4" t="str">
        <f>IFERROR(__xludf.DUMMYFUNCTION("""COMPUTED_VALUE"""),"cas_hmw")</f>
        <v>cas_hmw</v>
      </c>
      <c r="B1721" s="5">
        <f>IFERROR(__xludf.DUMMYFUNCTION("""COMPUTED_VALUE"""),44790.0)</f>
        <v>44790</v>
      </c>
      <c r="C1721" s="6">
        <f>IFERROR(__xludf.DUMMYFUNCTION("""COMPUTED_VALUE"""),0.3229745370372257)</f>
        <v>0.322974537</v>
      </c>
      <c r="D1721" s="4">
        <f>IFERROR(__xludf.DUMMYFUNCTION("""COMPUTED_VALUE"""),13.007216)</f>
        <v>13.007216</v>
      </c>
      <c r="E1721" s="4">
        <f>IFERROR(__xludf.DUMMYFUNCTION("""COMPUTED_VALUE"""),80.258839)</f>
        <v>80.258839</v>
      </c>
      <c r="F1721" s="4">
        <f>IFERROR(__xludf.DUMMYFUNCTION("""COMPUTED_VALUE"""),805.0)</f>
        <v>805</v>
      </c>
      <c r="G1721" s="4">
        <f>IFERROR(__xludf.DUMMYFUNCTION("""COMPUTED_VALUE"""),16.0)</f>
        <v>16</v>
      </c>
      <c r="H1721" s="4"/>
      <c r="I1721" s="4"/>
    </row>
    <row r="1722">
      <c r="A1722" s="4" t="str">
        <f>IFERROR(__xludf.DUMMYFUNCTION("""COMPUTED_VALUE"""),"cas_hmw")</f>
        <v>cas_hmw</v>
      </c>
      <c r="B1722" s="5">
        <f>IFERROR(__xludf.DUMMYFUNCTION("""COMPUTED_VALUE"""),44790.0)</f>
        <v>44790</v>
      </c>
      <c r="C1722" s="6">
        <f>IFERROR(__xludf.DUMMYFUNCTION("""COMPUTED_VALUE"""),0.3229745370372257)</f>
        <v>0.322974537</v>
      </c>
      <c r="D1722" s="4">
        <f>IFERROR(__xludf.DUMMYFUNCTION("""COMPUTED_VALUE"""),13.007216)</f>
        <v>13.007216</v>
      </c>
      <c r="E1722" s="4">
        <f>IFERROR(__xludf.DUMMYFUNCTION("""COMPUTED_VALUE"""),80.258839)</f>
        <v>80.258839</v>
      </c>
      <c r="F1722" s="4">
        <f>IFERROR(__xludf.DUMMYFUNCTION("""COMPUTED_VALUE"""),805.0)</f>
        <v>805</v>
      </c>
      <c r="G1722" s="4">
        <f>IFERROR(__xludf.DUMMYFUNCTION("""COMPUTED_VALUE"""),16.0)</f>
        <v>16</v>
      </c>
      <c r="H1722" s="4"/>
      <c r="I1722" s="4"/>
    </row>
    <row r="1723">
      <c r="A1723" s="4" t="str">
        <f>IFERROR(__xludf.DUMMYFUNCTION("""COMPUTED_VALUE"""),"cas_hmw")</f>
        <v>cas_hmw</v>
      </c>
      <c r="B1723" s="5">
        <f>IFERROR(__xludf.DUMMYFUNCTION("""COMPUTED_VALUE"""),44790.0)</f>
        <v>44790</v>
      </c>
      <c r="C1723" s="6">
        <f>IFERROR(__xludf.DUMMYFUNCTION("""COMPUTED_VALUE"""),0.3309953703719657)</f>
        <v>0.3309953704</v>
      </c>
      <c r="D1723" s="4">
        <f>IFERROR(__xludf.DUMMYFUNCTION("""COMPUTED_VALUE"""),13.008106)</f>
        <v>13.008106</v>
      </c>
      <c r="E1723" s="4">
        <f>IFERROR(__xludf.DUMMYFUNCTION("""COMPUTED_VALUE"""),80.209289)</f>
        <v>80.209289</v>
      </c>
      <c r="F1723" s="4">
        <f>IFERROR(__xludf.DUMMYFUNCTION("""COMPUTED_VALUE"""),805.0)</f>
        <v>805</v>
      </c>
      <c r="G1723" s="4">
        <f>IFERROR(__xludf.DUMMYFUNCTION("""COMPUTED_VALUE"""),0.0)</f>
        <v>0</v>
      </c>
      <c r="H1723" s="4"/>
      <c r="I1723" s="4"/>
    </row>
    <row r="1724">
      <c r="A1724" s="4" t="str">
        <f>IFERROR(__xludf.DUMMYFUNCTION("""COMPUTED_VALUE"""),"cas_hmw")</f>
        <v>cas_hmw</v>
      </c>
      <c r="B1724" s="5">
        <f>IFERROR(__xludf.DUMMYFUNCTION("""COMPUTED_VALUE"""),44790.0)</f>
        <v>44790</v>
      </c>
      <c r="C1724" s="6">
        <f>IFERROR(__xludf.DUMMYFUNCTION("""COMPUTED_VALUE"""),0.3346643518525525)</f>
        <v>0.3346643519</v>
      </c>
      <c r="D1724" s="4">
        <f>IFERROR(__xludf.DUMMYFUNCTION("""COMPUTED_VALUE"""),12.943766)</f>
        <v>12.943766</v>
      </c>
      <c r="E1724" s="4">
        <f>IFERROR(__xludf.DUMMYFUNCTION("""COMPUTED_VALUE"""),80.18304)</f>
        <v>80.18304</v>
      </c>
      <c r="F1724" s="4">
        <f>IFERROR(__xludf.DUMMYFUNCTION("""COMPUTED_VALUE"""),3143.0)</f>
        <v>3143</v>
      </c>
      <c r="G1724" s="4">
        <f>IFERROR(__xludf.DUMMYFUNCTION("""COMPUTED_VALUE"""),11.0)</f>
        <v>11</v>
      </c>
      <c r="H1724" s="4"/>
      <c r="I1724" s="4"/>
    </row>
    <row r="1725">
      <c r="A1725" s="4" t="str">
        <f>IFERROR(__xludf.DUMMYFUNCTION("""COMPUTED_VALUE"""),"cas_hmw")</f>
        <v>cas_hmw</v>
      </c>
      <c r="B1725" s="5">
        <f>IFERROR(__xludf.DUMMYFUNCTION("""COMPUTED_VALUE"""),44790.0)</f>
        <v>44790</v>
      </c>
      <c r="C1725" s="6">
        <f>IFERROR(__xludf.DUMMYFUNCTION("""COMPUTED_VALUE"""),0.33628472222335404)</f>
        <v>0.3362847222</v>
      </c>
      <c r="D1725" s="4">
        <f>IFERROR(__xludf.DUMMYFUNCTION("""COMPUTED_VALUE"""),12.950808)</f>
        <v>12.950808</v>
      </c>
      <c r="E1725" s="4">
        <f>IFERROR(__xludf.DUMMYFUNCTION("""COMPUTED_VALUE"""),80.139856)</f>
        <v>80.139856</v>
      </c>
      <c r="F1725" s="4">
        <f>IFERROR(__xludf.DUMMYFUNCTION("""COMPUTED_VALUE"""),5339.0)</f>
        <v>5339</v>
      </c>
      <c r="G1725" s="4">
        <f>IFERROR(__xludf.DUMMYFUNCTION("""COMPUTED_VALUE"""),12.0)</f>
        <v>12</v>
      </c>
      <c r="H1725" s="4"/>
      <c r="I1725" s="4"/>
    </row>
    <row r="1726">
      <c r="A1726" s="4" t="str">
        <f>IFERROR(__xludf.DUMMYFUNCTION("""COMPUTED_VALUE"""),"cas_hmw")</f>
        <v>cas_hmw</v>
      </c>
      <c r="B1726" s="5">
        <f>IFERROR(__xludf.DUMMYFUNCTION("""COMPUTED_VALUE"""),44790.0)</f>
        <v>44790</v>
      </c>
      <c r="C1726" s="6">
        <f>IFERROR(__xludf.DUMMYFUNCTION("""COMPUTED_VALUE"""),0.34170138889021473)</f>
        <v>0.3417013889</v>
      </c>
      <c r="D1726" s="4">
        <f>IFERROR(__xludf.DUMMYFUNCTION("""COMPUTED_VALUE"""),12.955742)</f>
        <v>12.955742</v>
      </c>
      <c r="E1726" s="4">
        <f>IFERROR(__xludf.DUMMYFUNCTION("""COMPUTED_VALUE"""),80.143076)</f>
        <v>80.143076</v>
      </c>
      <c r="F1726" s="4">
        <f>IFERROR(__xludf.DUMMYFUNCTION("""COMPUTED_VALUE"""),805.0)</f>
        <v>805</v>
      </c>
      <c r="G1726" s="4">
        <f>IFERROR(__xludf.DUMMYFUNCTION("""COMPUTED_VALUE"""),19.0)</f>
        <v>19</v>
      </c>
      <c r="H1726" s="4"/>
      <c r="I1726" s="4"/>
    </row>
    <row r="1727">
      <c r="A1727" s="4" t="str">
        <f>IFERROR(__xludf.DUMMYFUNCTION("""COMPUTED_VALUE"""),"cas_hmw")</f>
        <v>cas_hmw</v>
      </c>
      <c r="B1727" s="5">
        <f>IFERROR(__xludf.DUMMYFUNCTION("""COMPUTED_VALUE"""),44790.0)</f>
        <v>44790</v>
      </c>
      <c r="C1727" s="6">
        <f>IFERROR(__xludf.DUMMYFUNCTION("""COMPUTED_VALUE"""),0.3445023148160544)</f>
        <v>0.3445023148</v>
      </c>
      <c r="D1727" s="4">
        <f>IFERROR(__xludf.DUMMYFUNCTION("""COMPUTED_VALUE"""),12.922683)</f>
        <v>12.922683</v>
      </c>
      <c r="E1727" s="4">
        <f>IFERROR(__xludf.DUMMYFUNCTION("""COMPUTED_VALUE"""),80.151853)</f>
        <v>80.151853</v>
      </c>
      <c r="F1727" s="4">
        <f>IFERROR(__xludf.DUMMYFUNCTION("""COMPUTED_VALUE"""),3143.0)</f>
        <v>3143</v>
      </c>
      <c r="G1727" s="4">
        <f>IFERROR(__xludf.DUMMYFUNCTION("""COMPUTED_VALUE"""),20.0)</f>
        <v>20</v>
      </c>
      <c r="H1727" s="4"/>
      <c r="I1727" s="4"/>
    </row>
    <row r="1728">
      <c r="A1728" s="4" t="str">
        <f>IFERROR(__xludf.DUMMYFUNCTION("""COMPUTED_VALUE"""),"cas_hmw")</f>
        <v>cas_hmw</v>
      </c>
      <c r="B1728" s="5">
        <f>IFERROR(__xludf.DUMMYFUNCTION("""COMPUTED_VALUE"""),44790.0)</f>
        <v>44790</v>
      </c>
      <c r="C1728" s="6">
        <f>IFERROR(__xludf.DUMMYFUNCTION("""COMPUTED_VALUE"""),0.3476388888884685)</f>
        <v>0.3476388889</v>
      </c>
      <c r="D1728" s="4">
        <f>IFERROR(__xludf.DUMMYFUNCTION("""COMPUTED_VALUE"""),12.922511)</f>
        <v>12.922511</v>
      </c>
      <c r="E1728" s="4">
        <f>IFERROR(__xludf.DUMMYFUNCTION("""COMPUTED_VALUE"""),80.13718)</f>
        <v>80.13718</v>
      </c>
      <c r="F1728" s="4">
        <f>IFERROR(__xludf.DUMMYFUNCTION("""COMPUTED_VALUE"""),3143.0)</f>
        <v>3143</v>
      </c>
      <c r="G1728" s="4">
        <f>IFERROR(__xludf.DUMMYFUNCTION("""COMPUTED_VALUE"""),17.0)</f>
        <v>17</v>
      </c>
      <c r="H1728" s="4"/>
      <c r="I1728" s="4"/>
    </row>
    <row r="1729">
      <c r="A1729" s="4" t="str">
        <f>IFERROR(__xludf.DUMMYFUNCTION("""COMPUTED_VALUE"""),"cas_hmw")</f>
        <v>cas_hmw</v>
      </c>
      <c r="B1729" s="5">
        <f>IFERROR(__xludf.DUMMYFUNCTION("""COMPUTED_VALUE"""),44790.0)</f>
        <v>44790</v>
      </c>
      <c r="C1729" s="6">
        <f>IFERROR(__xludf.DUMMYFUNCTION("""COMPUTED_VALUE"""),0.35314814814773854)</f>
        <v>0.3531481481</v>
      </c>
      <c r="D1729" s="4">
        <f>IFERROR(__xludf.DUMMYFUNCTION("""COMPUTED_VALUE"""),12.879092)</f>
        <v>12.879092</v>
      </c>
      <c r="E1729" s="4">
        <f>IFERROR(__xludf.DUMMYFUNCTION("""COMPUTED_VALUE"""),80.080408)</f>
        <v>80.080408</v>
      </c>
      <c r="F1729" s="4">
        <f>IFERROR(__xludf.DUMMYFUNCTION("""COMPUTED_VALUE"""),805.0)</f>
        <v>805</v>
      </c>
      <c r="G1729" s="4">
        <f>IFERROR(__xludf.DUMMYFUNCTION("""COMPUTED_VALUE"""),8.0)</f>
        <v>8</v>
      </c>
      <c r="H1729" s="4"/>
      <c r="I1729" s="4"/>
    </row>
    <row r="1730">
      <c r="A1730" s="4" t="str">
        <f>IFERROR(__xludf.DUMMYFUNCTION("""COMPUTED_VALUE"""),"cas_hmw")</f>
        <v>cas_hmw</v>
      </c>
      <c r="B1730" s="5">
        <f>IFERROR(__xludf.DUMMYFUNCTION("""COMPUTED_VALUE"""),44790.0)</f>
        <v>44790</v>
      </c>
      <c r="C1730" s="6">
        <f>IFERROR(__xludf.DUMMYFUNCTION("""COMPUTED_VALUE"""),0.6981597222220444)</f>
        <v>0.6981597222</v>
      </c>
      <c r="D1730" s="4">
        <f>IFERROR(__xludf.DUMMYFUNCTION("""COMPUTED_VALUE"""),12.923551)</f>
        <v>12.923551</v>
      </c>
      <c r="E1730" s="4">
        <f>IFERROR(__xludf.DUMMYFUNCTION("""COMPUTED_VALUE"""),80.114575)</f>
        <v>80.114575</v>
      </c>
      <c r="F1730" s="4">
        <f>IFERROR(__xludf.DUMMYFUNCTION("""COMPUTED_VALUE"""),805.0)</f>
        <v>805</v>
      </c>
      <c r="G1730" s="4">
        <f>IFERROR(__xludf.DUMMYFUNCTION("""COMPUTED_VALUE"""),20.0)</f>
        <v>20</v>
      </c>
      <c r="H1730" s="4"/>
      <c r="I1730" s="4"/>
    </row>
    <row r="1731">
      <c r="A1731" s="4" t="str">
        <f>IFERROR(__xludf.DUMMYFUNCTION("""COMPUTED_VALUE"""),"cas_hmw")</f>
        <v>cas_hmw</v>
      </c>
      <c r="B1731" s="5">
        <f>IFERROR(__xludf.DUMMYFUNCTION("""COMPUTED_VALUE"""),44790.0)</f>
        <v>44790</v>
      </c>
      <c r="C1731" s="6">
        <f>IFERROR(__xludf.DUMMYFUNCTION("""COMPUTED_VALUE"""),0.7019097222218988)</f>
        <v>0.7019097222</v>
      </c>
      <c r="D1731" s="4">
        <f>IFERROR(__xludf.DUMMYFUNCTION("""COMPUTED_VALUE"""),12.929968)</f>
        <v>12.929968</v>
      </c>
      <c r="E1731" s="4">
        <f>IFERROR(__xludf.DUMMYFUNCTION("""COMPUTED_VALUE"""),80.121074)</f>
        <v>80.121074</v>
      </c>
      <c r="F1731" s="4">
        <f>IFERROR(__xludf.DUMMYFUNCTION("""COMPUTED_VALUE"""),805.0)</f>
        <v>805</v>
      </c>
      <c r="G1731" s="4">
        <f>IFERROR(__xludf.DUMMYFUNCTION("""COMPUTED_VALUE"""),20.0)</f>
        <v>20</v>
      </c>
      <c r="H1731" s="4"/>
      <c r="I1731" s="4"/>
    </row>
    <row r="1732">
      <c r="A1732" s="4" t="str">
        <f>IFERROR(__xludf.DUMMYFUNCTION("""COMPUTED_VALUE"""),"cas_hmw")</f>
        <v>cas_hmw</v>
      </c>
      <c r="B1732" s="5">
        <f>IFERROR(__xludf.DUMMYFUNCTION("""COMPUTED_VALUE"""),44790.0)</f>
        <v>44790</v>
      </c>
      <c r="C1732" s="6">
        <f>IFERROR(__xludf.DUMMYFUNCTION("""COMPUTED_VALUE"""),0.7019212962950405)</f>
        <v>0.7019212963</v>
      </c>
      <c r="D1732" s="4">
        <f>IFERROR(__xludf.DUMMYFUNCTION("""COMPUTED_VALUE"""),12.929968)</f>
        <v>12.929968</v>
      </c>
      <c r="E1732" s="4">
        <f>IFERROR(__xludf.DUMMYFUNCTION("""COMPUTED_VALUE"""),80.121074)</f>
        <v>80.121074</v>
      </c>
      <c r="F1732" s="4">
        <f>IFERROR(__xludf.DUMMYFUNCTION("""COMPUTED_VALUE"""),805.0)</f>
        <v>805</v>
      </c>
      <c r="G1732" s="4">
        <f>IFERROR(__xludf.DUMMYFUNCTION("""COMPUTED_VALUE"""),20.0)</f>
        <v>20</v>
      </c>
      <c r="H1732" s="4"/>
      <c r="I1732" s="4"/>
    </row>
    <row r="1733">
      <c r="A1733" s="4" t="str">
        <f>IFERROR(__xludf.DUMMYFUNCTION("""COMPUTED_VALUE"""),"cas_hmw")</f>
        <v>cas_hmw</v>
      </c>
      <c r="B1733" s="5">
        <f>IFERROR(__xludf.DUMMYFUNCTION("""COMPUTED_VALUE"""),44790.0)</f>
        <v>44790</v>
      </c>
      <c r="C1733" s="6">
        <f>IFERROR(__xludf.DUMMYFUNCTION("""COMPUTED_VALUE"""),0.7028703703690553)</f>
        <v>0.7028703704</v>
      </c>
      <c r="D1733" s="4">
        <f>IFERROR(__xludf.DUMMYFUNCTION("""COMPUTED_VALUE"""),12.929968)</f>
        <v>12.929968</v>
      </c>
      <c r="E1733" s="4">
        <f>IFERROR(__xludf.DUMMYFUNCTION("""COMPUTED_VALUE"""),80.121054)</f>
        <v>80.121054</v>
      </c>
      <c r="F1733" s="4">
        <f>IFERROR(__xludf.DUMMYFUNCTION("""COMPUTED_VALUE"""),5339.0)</f>
        <v>5339</v>
      </c>
      <c r="G1733" s="4">
        <f>IFERROR(__xludf.DUMMYFUNCTION("""COMPUTED_VALUE"""),14.0)</f>
        <v>14</v>
      </c>
      <c r="H1733" s="4"/>
      <c r="I1733" s="4"/>
    </row>
    <row r="1734">
      <c r="A1734" s="4" t="str">
        <f>IFERROR(__xludf.DUMMYFUNCTION("""COMPUTED_VALUE"""),"cas_hmw")</f>
        <v>cas_hmw</v>
      </c>
      <c r="B1734" s="5">
        <f>IFERROR(__xludf.DUMMYFUNCTION("""COMPUTED_VALUE"""),44790.0)</f>
        <v>44790</v>
      </c>
      <c r="C1734" s="6">
        <f>IFERROR(__xludf.DUMMYFUNCTION("""COMPUTED_VALUE"""),0.7087384259248211)</f>
        <v>0.7087384259</v>
      </c>
      <c r="D1734" s="4">
        <f>IFERROR(__xludf.DUMMYFUNCTION("""COMPUTED_VALUE"""),12.919883)</f>
        <v>12.919883</v>
      </c>
      <c r="E1734" s="4">
        <f>IFERROR(__xludf.DUMMYFUNCTION("""COMPUTED_VALUE"""),80.182442)</f>
        <v>80.182442</v>
      </c>
      <c r="F1734" s="4">
        <f>IFERROR(__xludf.DUMMYFUNCTION("""COMPUTED_VALUE"""),3143.0)</f>
        <v>3143</v>
      </c>
      <c r="G1734" s="4">
        <f>IFERROR(__xludf.DUMMYFUNCTION("""COMPUTED_VALUE"""),17.0)</f>
        <v>17</v>
      </c>
      <c r="H1734" s="4"/>
      <c r="I1734" s="4"/>
    </row>
    <row r="1735">
      <c r="A1735" s="4" t="str">
        <f>IFERROR(__xludf.DUMMYFUNCTION("""COMPUTED_VALUE"""),"cas_hmw")</f>
        <v>cas_hmw</v>
      </c>
      <c r="B1735" s="5">
        <f>IFERROR(__xludf.DUMMYFUNCTION("""COMPUTED_VALUE"""),44790.0)</f>
        <v>44790</v>
      </c>
      <c r="C1735" s="6">
        <f>IFERROR(__xludf.DUMMYFUNCTION("""COMPUTED_VALUE"""),0.7118750000008731)</f>
        <v>0.711875</v>
      </c>
      <c r="D1735" s="4">
        <f>IFERROR(__xludf.DUMMYFUNCTION("""COMPUTED_VALUE"""),12.724104)</f>
        <v>12.724104</v>
      </c>
      <c r="E1735" s="4">
        <f>IFERROR(__xludf.DUMMYFUNCTION("""COMPUTED_VALUE"""),79.982172)</f>
        <v>79.982172</v>
      </c>
      <c r="F1735" s="4">
        <f>IFERROR(__xludf.DUMMYFUNCTION("""COMPUTED_VALUE"""),2846.0)</f>
        <v>2846</v>
      </c>
      <c r="G1735" s="4">
        <f>IFERROR(__xludf.DUMMYFUNCTION("""COMPUTED_VALUE"""),0.0)</f>
        <v>0</v>
      </c>
      <c r="H1735" s="4"/>
      <c r="I1735" s="4"/>
    </row>
    <row r="1736">
      <c r="A1736" s="4" t="str">
        <f>IFERROR(__xludf.DUMMYFUNCTION("""COMPUTED_VALUE"""),"cas_hmw")</f>
        <v>cas_hmw</v>
      </c>
      <c r="B1736" s="5">
        <f>IFERROR(__xludf.DUMMYFUNCTION("""COMPUTED_VALUE"""),44790.0)</f>
        <v>44790</v>
      </c>
      <c r="C1736" s="6">
        <f>IFERROR(__xludf.DUMMYFUNCTION("""COMPUTED_VALUE"""),0.7154976851852552)</f>
        <v>0.7154976852</v>
      </c>
      <c r="D1736" s="4">
        <f>IFERROR(__xludf.DUMMYFUNCTION("""COMPUTED_VALUE"""),12.995792)</f>
        <v>12.995792</v>
      </c>
      <c r="E1736" s="4">
        <f>IFERROR(__xludf.DUMMYFUNCTION("""COMPUTED_VALUE"""),80.188697)</f>
        <v>80.188697</v>
      </c>
      <c r="F1736" s="4">
        <f>IFERROR(__xludf.DUMMYFUNCTION("""COMPUTED_VALUE"""),805.0)</f>
        <v>805</v>
      </c>
      <c r="G1736" s="4">
        <f>IFERROR(__xludf.DUMMYFUNCTION("""COMPUTED_VALUE"""),18.0)</f>
        <v>18</v>
      </c>
      <c r="H1736" s="4"/>
      <c r="I1736" s="4"/>
    </row>
    <row r="1737">
      <c r="A1737" s="4" t="str">
        <f>IFERROR(__xludf.DUMMYFUNCTION("""COMPUTED_VALUE"""),"cas_hmw")</f>
        <v>cas_hmw</v>
      </c>
      <c r="B1737" s="5">
        <f>IFERROR(__xludf.DUMMYFUNCTION("""COMPUTED_VALUE"""),44790.0)</f>
        <v>44790</v>
      </c>
      <c r="C1737" s="6">
        <f>IFERROR(__xludf.DUMMYFUNCTION("""COMPUTED_VALUE"""),0.7155092592583969)</f>
        <v>0.7155092593</v>
      </c>
      <c r="D1737" s="4">
        <f>IFERROR(__xludf.DUMMYFUNCTION("""COMPUTED_VALUE"""),12.995792)</f>
        <v>12.995792</v>
      </c>
      <c r="E1737" s="4">
        <f>IFERROR(__xludf.DUMMYFUNCTION("""COMPUTED_VALUE"""),80.188697)</f>
        <v>80.188697</v>
      </c>
      <c r="F1737" s="4">
        <f>IFERROR(__xludf.DUMMYFUNCTION("""COMPUTED_VALUE"""),805.0)</f>
        <v>805</v>
      </c>
      <c r="G1737" s="4">
        <f>IFERROR(__xludf.DUMMYFUNCTION("""COMPUTED_VALUE"""),18.0)</f>
        <v>18</v>
      </c>
      <c r="H1737" s="4"/>
      <c r="I1737" s="4"/>
    </row>
    <row r="1738">
      <c r="A1738" s="4" t="str">
        <f>IFERROR(__xludf.DUMMYFUNCTION("""COMPUTED_VALUE"""),"cas_hmw")</f>
        <v>cas_hmw</v>
      </c>
      <c r="B1738" s="5">
        <f>IFERROR(__xludf.DUMMYFUNCTION("""COMPUTED_VALUE"""),44790.0)</f>
        <v>44790</v>
      </c>
      <c r="C1738" s="6">
        <f>IFERROR(__xludf.DUMMYFUNCTION("""COMPUTED_VALUE"""),0.7155208333315386)</f>
        <v>0.7155208333</v>
      </c>
      <c r="D1738" s="4">
        <f>IFERROR(__xludf.DUMMYFUNCTION("""COMPUTED_VALUE"""),12.995792)</f>
        <v>12.995792</v>
      </c>
      <c r="E1738" s="4">
        <f>IFERROR(__xludf.DUMMYFUNCTION("""COMPUTED_VALUE"""),80.188697)</f>
        <v>80.188697</v>
      </c>
      <c r="F1738" s="4">
        <f>IFERROR(__xludf.DUMMYFUNCTION("""COMPUTED_VALUE"""),805.0)</f>
        <v>805</v>
      </c>
      <c r="G1738" s="4">
        <f>IFERROR(__xludf.DUMMYFUNCTION("""COMPUTED_VALUE"""),18.0)</f>
        <v>18</v>
      </c>
      <c r="H1738" s="4"/>
      <c r="I1738" s="4"/>
    </row>
    <row r="1739">
      <c r="A1739" s="4" t="str">
        <f>IFERROR(__xludf.DUMMYFUNCTION("""COMPUTED_VALUE"""),"cas_hmw")</f>
        <v>cas_hmw</v>
      </c>
      <c r="B1739" s="5">
        <f>IFERROR(__xludf.DUMMYFUNCTION("""COMPUTED_VALUE"""),44790.0)</f>
        <v>44790</v>
      </c>
      <c r="C1739" s="6">
        <f>IFERROR(__xludf.DUMMYFUNCTION("""COMPUTED_VALUE"""),0.7155208333315386)</f>
        <v>0.7155208333</v>
      </c>
      <c r="D1739" s="4">
        <f>IFERROR(__xludf.DUMMYFUNCTION("""COMPUTED_VALUE"""),12.995792)</f>
        <v>12.995792</v>
      </c>
      <c r="E1739" s="4">
        <f>IFERROR(__xludf.DUMMYFUNCTION("""COMPUTED_VALUE"""),80.188697)</f>
        <v>80.188697</v>
      </c>
      <c r="F1739" s="4">
        <f>IFERROR(__xludf.DUMMYFUNCTION("""COMPUTED_VALUE"""),805.0)</f>
        <v>805</v>
      </c>
      <c r="G1739" s="4">
        <f>IFERROR(__xludf.DUMMYFUNCTION("""COMPUTED_VALUE"""),18.0)</f>
        <v>18</v>
      </c>
      <c r="H1739" s="4"/>
      <c r="I1739" s="4"/>
    </row>
    <row r="1740">
      <c r="A1740" s="4" t="str">
        <f>IFERROR(__xludf.DUMMYFUNCTION("""COMPUTED_VALUE"""),"cas_hmw")</f>
        <v>cas_hmw</v>
      </c>
      <c r="B1740" s="5">
        <f>IFERROR(__xludf.DUMMYFUNCTION("""COMPUTED_VALUE"""),44790.0)</f>
        <v>44790</v>
      </c>
      <c r="C1740" s="6">
        <f>IFERROR(__xludf.DUMMYFUNCTION("""COMPUTED_VALUE"""),0.7177546296297805)</f>
        <v>0.7177546296</v>
      </c>
      <c r="D1740" s="4">
        <f>IFERROR(__xludf.DUMMYFUNCTION("""COMPUTED_VALUE"""),13.006991)</f>
        <v>13.006991</v>
      </c>
      <c r="E1740" s="4">
        <f>IFERROR(__xludf.DUMMYFUNCTION("""COMPUTED_VALUE"""),80.203461)</f>
        <v>80.203461</v>
      </c>
      <c r="F1740" s="4">
        <f>IFERROR(__xludf.DUMMYFUNCTION("""COMPUTED_VALUE"""),805.0)</f>
        <v>805</v>
      </c>
      <c r="G1740" s="4">
        <f>IFERROR(__xludf.DUMMYFUNCTION("""COMPUTED_VALUE"""),0.0)</f>
        <v>0</v>
      </c>
      <c r="H1740" s="4"/>
      <c r="I1740" s="4"/>
    </row>
    <row r="1741">
      <c r="A1741" s="4" t="str">
        <f>IFERROR(__xludf.DUMMYFUNCTION("""COMPUTED_VALUE"""),"cas_hmw")</f>
        <v>cas_hmw</v>
      </c>
      <c r="B1741" s="5">
        <f>IFERROR(__xludf.DUMMYFUNCTION("""COMPUTED_VALUE"""),44790.0)</f>
        <v>44790</v>
      </c>
      <c r="C1741" s="6">
        <f>IFERROR(__xludf.DUMMYFUNCTION("""COMPUTED_VALUE"""),0.7178356481490482)</f>
        <v>0.7178356481</v>
      </c>
      <c r="D1741" s="4">
        <f>IFERROR(__xludf.DUMMYFUNCTION("""COMPUTED_VALUE"""),13.006991)</f>
        <v>13.006991</v>
      </c>
      <c r="E1741" s="4">
        <f>IFERROR(__xludf.DUMMYFUNCTION("""COMPUTED_VALUE"""),80.203461)</f>
        <v>80.203461</v>
      </c>
      <c r="F1741" s="4">
        <f>IFERROR(__xludf.DUMMYFUNCTION("""COMPUTED_VALUE"""),805.0)</f>
        <v>805</v>
      </c>
      <c r="G1741" s="4">
        <f>IFERROR(__xludf.DUMMYFUNCTION("""COMPUTED_VALUE"""),0.0)</f>
        <v>0</v>
      </c>
      <c r="H1741" s="4"/>
      <c r="I1741" s="4"/>
    </row>
    <row r="1742">
      <c r="A1742" s="4" t="str">
        <f>IFERROR(__xludf.DUMMYFUNCTION("""COMPUTED_VALUE"""),"cas_hmw")</f>
        <v>cas_hmw</v>
      </c>
      <c r="B1742" s="5">
        <f>IFERROR(__xludf.DUMMYFUNCTION("""COMPUTED_VALUE"""),44790.0)</f>
        <v>44790</v>
      </c>
      <c r="C1742" s="6">
        <f>IFERROR(__xludf.DUMMYFUNCTION("""COMPUTED_VALUE"""),0.7178472222221899)</f>
        <v>0.7178472222</v>
      </c>
      <c r="D1742" s="4">
        <f>IFERROR(__xludf.DUMMYFUNCTION("""COMPUTED_VALUE"""),13.006991)</f>
        <v>13.006991</v>
      </c>
      <c r="E1742" s="4">
        <f>IFERROR(__xludf.DUMMYFUNCTION("""COMPUTED_VALUE"""),80.203461)</f>
        <v>80.203461</v>
      </c>
      <c r="F1742" s="4">
        <f>IFERROR(__xludf.DUMMYFUNCTION("""COMPUTED_VALUE"""),805.0)</f>
        <v>805</v>
      </c>
      <c r="G1742" s="4">
        <f>IFERROR(__xludf.DUMMYFUNCTION("""COMPUTED_VALUE"""),0.0)</f>
        <v>0</v>
      </c>
      <c r="H1742" s="4"/>
      <c r="I1742" s="4"/>
    </row>
    <row r="1743">
      <c r="A1743" s="4" t="str">
        <f>IFERROR(__xludf.DUMMYFUNCTION("""COMPUTED_VALUE"""),"cas_hmw")</f>
        <v>cas_hmw</v>
      </c>
      <c r="B1743" s="5">
        <f>IFERROR(__xludf.DUMMYFUNCTION("""COMPUTED_VALUE"""),44790.0)</f>
        <v>44790</v>
      </c>
      <c r="C1743" s="6">
        <f>IFERROR(__xludf.DUMMYFUNCTION("""COMPUTED_VALUE"""),0.7178587962953316)</f>
        <v>0.7178587963</v>
      </c>
      <c r="D1743" s="4">
        <f>IFERROR(__xludf.DUMMYFUNCTION("""COMPUTED_VALUE"""),13.006991)</f>
        <v>13.006991</v>
      </c>
      <c r="E1743" s="4">
        <f>IFERROR(__xludf.DUMMYFUNCTION("""COMPUTED_VALUE"""),80.203461)</f>
        <v>80.203461</v>
      </c>
      <c r="F1743" s="4">
        <f>IFERROR(__xludf.DUMMYFUNCTION("""COMPUTED_VALUE"""),805.0)</f>
        <v>805</v>
      </c>
      <c r="G1743" s="4">
        <f>IFERROR(__xludf.DUMMYFUNCTION("""COMPUTED_VALUE"""),0.0)</f>
        <v>0</v>
      </c>
      <c r="H1743" s="4"/>
      <c r="I1743" s="4"/>
    </row>
    <row r="1744">
      <c r="A1744" s="4" t="str">
        <f>IFERROR(__xludf.DUMMYFUNCTION("""COMPUTED_VALUE"""),"cas_hmw")</f>
        <v>cas_hmw</v>
      </c>
      <c r="B1744" s="5">
        <f>IFERROR(__xludf.DUMMYFUNCTION("""COMPUTED_VALUE"""),44790.0)</f>
        <v>44790</v>
      </c>
      <c r="C1744" s="6">
        <f>IFERROR(__xludf.DUMMYFUNCTION("""COMPUTED_VALUE"""),0.7227199074077362)</f>
        <v>0.7227199074</v>
      </c>
      <c r="D1744" s="4">
        <f>IFERROR(__xludf.DUMMYFUNCTION("""COMPUTED_VALUE"""),13.008001)</f>
        <v>13.008001</v>
      </c>
      <c r="E1744" s="4">
        <f>IFERROR(__xludf.DUMMYFUNCTION("""COMPUTED_VALUE"""),80.234792)</f>
        <v>80.234792</v>
      </c>
      <c r="F1744" s="4">
        <f>IFERROR(__xludf.DUMMYFUNCTION("""COMPUTED_VALUE"""),805.0)</f>
        <v>805</v>
      </c>
      <c r="G1744" s="4">
        <f>IFERROR(__xludf.DUMMYFUNCTION("""COMPUTED_VALUE"""),20.0)</f>
        <v>20</v>
      </c>
      <c r="H1744" s="4"/>
      <c r="I1744" s="4"/>
    </row>
    <row r="1745">
      <c r="A1745" s="4" t="str">
        <f>IFERROR(__xludf.DUMMYFUNCTION("""COMPUTED_VALUE"""),"cas_hmw")</f>
        <v>cas_hmw</v>
      </c>
      <c r="B1745" s="5">
        <f>IFERROR(__xludf.DUMMYFUNCTION("""COMPUTED_VALUE"""),44790.0)</f>
        <v>44790</v>
      </c>
      <c r="C1745" s="6">
        <f>IFERROR(__xludf.DUMMYFUNCTION("""COMPUTED_VALUE"""),0.7317708333321207)</f>
        <v>0.7317708333</v>
      </c>
      <c r="D1745" s="4">
        <f>IFERROR(__xludf.DUMMYFUNCTION("""COMPUTED_VALUE"""),13.042376)</f>
        <v>13.042376</v>
      </c>
      <c r="E1745" s="4">
        <f>IFERROR(__xludf.DUMMYFUNCTION("""COMPUTED_VALUE"""),80.247433)</f>
        <v>80.247433</v>
      </c>
      <c r="F1745" s="4">
        <f>IFERROR(__xludf.DUMMYFUNCTION("""COMPUTED_VALUE"""),5339.0)</f>
        <v>5339</v>
      </c>
      <c r="G1745" s="4">
        <f>IFERROR(__xludf.DUMMYFUNCTION("""COMPUTED_VALUE"""),13.0)</f>
        <v>13</v>
      </c>
      <c r="H1745" s="4"/>
      <c r="I1745" s="4"/>
    </row>
    <row r="1746">
      <c r="A1746" s="4" t="str">
        <f>IFERROR(__xludf.DUMMYFUNCTION("""COMPUTED_VALUE"""),"cas_hmw")</f>
        <v>cas_hmw</v>
      </c>
      <c r="B1746" s="5">
        <f>IFERROR(__xludf.DUMMYFUNCTION("""COMPUTED_VALUE"""),44790.0)</f>
        <v>44790</v>
      </c>
      <c r="C1746" s="6">
        <f>IFERROR(__xludf.DUMMYFUNCTION("""COMPUTED_VALUE"""),0.7317824074089003)</f>
        <v>0.7317824074</v>
      </c>
      <c r="D1746" s="4">
        <f>IFERROR(__xludf.DUMMYFUNCTION("""COMPUTED_VALUE"""),13.042376)</f>
        <v>13.042376</v>
      </c>
      <c r="E1746" s="4">
        <f>IFERROR(__xludf.DUMMYFUNCTION("""COMPUTED_VALUE"""),80.247433)</f>
        <v>80.247433</v>
      </c>
      <c r="F1746" s="4">
        <f>IFERROR(__xludf.DUMMYFUNCTION("""COMPUTED_VALUE"""),5339.0)</f>
        <v>5339</v>
      </c>
      <c r="G1746" s="4">
        <f>IFERROR(__xludf.DUMMYFUNCTION("""COMPUTED_VALUE"""),13.0)</f>
        <v>13</v>
      </c>
      <c r="H1746" s="4"/>
      <c r="I1746" s="4"/>
    </row>
    <row r="1747">
      <c r="A1747" s="4" t="str">
        <f>IFERROR(__xludf.DUMMYFUNCTION("""COMPUTED_VALUE"""),"cas_hmw")</f>
        <v>cas_hmw</v>
      </c>
      <c r="B1747" s="5">
        <f>IFERROR(__xludf.DUMMYFUNCTION("""COMPUTED_VALUE"""),44790.0)</f>
        <v>44790</v>
      </c>
      <c r="C1747" s="6">
        <f>IFERROR(__xludf.DUMMYFUNCTION("""COMPUTED_VALUE"""),0.7317824074089003)</f>
        <v>0.7317824074</v>
      </c>
      <c r="D1747" s="4">
        <f>IFERROR(__xludf.DUMMYFUNCTION("""COMPUTED_VALUE"""),13.042376)</f>
        <v>13.042376</v>
      </c>
      <c r="E1747" s="4">
        <f>IFERROR(__xludf.DUMMYFUNCTION("""COMPUTED_VALUE"""),80.247433)</f>
        <v>80.247433</v>
      </c>
      <c r="F1747" s="4">
        <f>IFERROR(__xludf.DUMMYFUNCTION("""COMPUTED_VALUE"""),5339.0)</f>
        <v>5339</v>
      </c>
      <c r="G1747" s="4">
        <f>IFERROR(__xludf.DUMMYFUNCTION("""COMPUTED_VALUE"""),13.0)</f>
        <v>13</v>
      </c>
      <c r="H1747" s="4"/>
      <c r="I1747" s="4"/>
    </row>
    <row r="1748">
      <c r="A1748" s="4" t="str">
        <f>IFERROR(__xludf.DUMMYFUNCTION("""COMPUTED_VALUE"""),"cas_hmw")</f>
        <v>cas_hmw</v>
      </c>
      <c r="B1748" s="5">
        <f>IFERROR(__xludf.DUMMYFUNCTION("""COMPUTED_VALUE"""),44790.0)</f>
        <v>44790</v>
      </c>
      <c r="C1748" s="6">
        <f>IFERROR(__xludf.DUMMYFUNCTION("""COMPUTED_VALUE"""),0.7318171296283253)</f>
        <v>0.7318171296</v>
      </c>
      <c r="D1748" s="4">
        <f>IFERROR(__xludf.DUMMYFUNCTION("""COMPUTED_VALUE"""),13.042376)</f>
        <v>13.042376</v>
      </c>
      <c r="E1748" s="4">
        <f>IFERROR(__xludf.DUMMYFUNCTION("""COMPUTED_VALUE"""),80.247433)</f>
        <v>80.247433</v>
      </c>
      <c r="F1748" s="4">
        <f>IFERROR(__xludf.DUMMYFUNCTION("""COMPUTED_VALUE"""),5339.0)</f>
        <v>5339</v>
      </c>
      <c r="G1748" s="4">
        <f>IFERROR(__xludf.DUMMYFUNCTION("""COMPUTED_VALUE"""),13.0)</f>
        <v>13</v>
      </c>
      <c r="H1748" s="4"/>
      <c r="I1748" s="4"/>
    </row>
    <row r="1749">
      <c r="A1749" s="4" t="str">
        <f>IFERROR(__xludf.DUMMYFUNCTION("""COMPUTED_VALUE"""),"cas_hmw")</f>
        <v>cas_hmw</v>
      </c>
      <c r="B1749" s="5">
        <f>IFERROR(__xludf.DUMMYFUNCTION("""COMPUTED_VALUE"""),44790.0)</f>
        <v>44790</v>
      </c>
      <c r="C1749" s="6">
        <f>IFERROR(__xludf.DUMMYFUNCTION("""COMPUTED_VALUE"""),0.7324999999982538)</f>
        <v>0.7325</v>
      </c>
      <c r="D1749" s="4">
        <f>IFERROR(__xludf.DUMMYFUNCTION("""COMPUTED_VALUE"""),13.046513)</f>
        <v>13.046513</v>
      </c>
      <c r="E1749" s="4">
        <f>IFERROR(__xludf.DUMMYFUNCTION("""COMPUTED_VALUE"""),80.248303)</f>
        <v>80.248303</v>
      </c>
      <c r="F1749" s="4">
        <f>IFERROR(__xludf.DUMMYFUNCTION("""COMPUTED_VALUE"""),5339.0)</f>
        <v>5339</v>
      </c>
      <c r="G1749" s="4">
        <f>IFERROR(__xludf.DUMMYFUNCTION("""COMPUTED_VALUE"""),12.0)</f>
        <v>12</v>
      </c>
      <c r="H1749" s="4"/>
      <c r="I1749" s="4"/>
    </row>
    <row r="1750">
      <c r="A1750" s="4" t="str">
        <f>IFERROR(__xludf.DUMMYFUNCTION("""COMPUTED_VALUE"""),"cas_hmw")</f>
        <v>cas_hmw</v>
      </c>
      <c r="B1750" s="5">
        <f>IFERROR(__xludf.DUMMYFUNCTION("""COMPUTED_VALUE"""),44790.0)</f>
        <v>44790</v>
      </c>
      <c r="C1750" s="6">
        <f>IFERROR(__xludf.DUMMYFUNCTION("""COMPUTED_VALUE"""),0.7325115740750334)</f>
        <v>0.7325115741</v>
      </c>
      <c r="D1750" s="4">
        <f>IFERROR(__xludf.DUMMYFUNCTION("""COMPUTED_VALUE"""),13.046513)</f>
        <v>13.046513</v>
      </c>
      <c r="E1750" s="4">
        <f>IFERROR(__xludf.DUMMYFUNCTION("""COMPUTED_VALUE"""),80.248303)</f>
        <v>80.248303</v>
      </c>
      <c r="F1750" s="4">
        <f>IFERROR(__xludf.DUMMYFUNCTION("""COMPUTED_VALUE"""),5339.0)</f>
        <v>5339</v>
      </c>
      <c r="G1750" s="4">
        <f>IFERROR(__xludf.DUMMYFUNCTION("""COMPUTED_VALUE"""),12.0)</f>
        <v>12</v>
      </c>
      <c r="H1750" s="4"/>
      <c r="I1750" s="4"/>
    </row>
    <row r="1751">
      <c r="A1751" s="4" t="str">
        <f>IFERROR(__xludf.DUMMYFUNCTION("""COMPUTED_VALUE"""),"cas_hmw")</f>
        <v>cas_hmw</v>
      </c>
      <c r="B1751" s="5">
        <f>IFERROR(__xludf.DUMMYFUNCTION("""COMPUTED_VALUE"""),44790.0)</f>
        <v>44790</v>
      </c>
      <c r="C1751" s="6">
        <f>IFERROR(__xludf.DUMMYFUNCTION("""COMPUTED_VALUE"""),0.7353819444433611)</f>
        <v>0.7353819444</v>
      </c>
      <c r="D1751" s="4">
        <f>IFERROR(__xludf.DUMMYFUNCTION("""COMPUTED_VALUE"""),13.055417)</f>
        <v>13.055417</v>
      </c>
      <c r="E1751" s="4">
        <f>IFERROR(__xludf.DUMMYFUNCTION("""COMPUTED_VALUE"""),80.255073)</f>
        <v>80.255073</v>
      </c>
      <c r="F1751" s="4">
        <f>IFERROR(__xludf.DUMMYFUNCTION("""COMPUTED_VALUE"""),5339.0)</f>
        <v>5339</v>
      </c>
      <c r="G1751" s="4">
        <f>IFERROR(__xludf.DUMMYFUNCTION("""COMPUTED_VALUE"""),18.0)</f>
        <v>18</v>
      </c>
      <c r="H1751" s="4"/>
      <c r="I1751" s="4"/>
    </row>
    <row r="1752">
      <c r="A1752" s="4" t="str">
        <f>IFERROR(__xludf.DUMMYFUNCTION("""COMPUTED_VALUE"""),"cas_hmw")</f>
        <v>cas_hmw</v>
      </c>
      <c r="B1752" s="5">
        <f>IFERROR(__xludf.DUMMYFUNCTION("""COMPUTED_VALUE"""),44790.0)</f>
        <v>44790</v>
      </c>
      <c r="C1752" s="6">
        <f>IFERROR(__xludf.DUMMYFUNCTION("""COMPUTED_VALUE"""),0.7353935185201408)</f>
        <v>0.7353935185</v>
      </c>
      <c r="D1752" s="4">
        <f>IFERROR(__xludf.DUMMYFUNCTION("""COMPUTED_VALUE"""),13.055417)</f>
        <v>13.055417</v>
      </c>
      <c r="E1752" s="4">
        <f>IFERROR(__xludf.DUMMYFUNCTION("""COMPUTED_VALUE"""),80.255073)</f>
        <v>80.255073</v>
      </c>
      <c r="F1752" s="4">
        <f>IFERROR(__xludf.DUMMYFUNCTION("""COMPUTED_VALUE"""),5339.0)</f>
        <v>5339</v>
      </c>
      <c r="G1752" s="4">
        <f>IFERROR(__xludf.DUMMYFUNCTION("""COMPUTED_VALUE"""),18.0)</f>
        <v>18</v>
      </c>
      <c r="H1752" s="4"/>
      <c r="I1752" s="4"/>
    </row>
    <row r="1753">
      <c r="A1753" s="4" t="str">
        <f>IFERROR(__xludf.DUMMYFUNCTION("""COMPUTED_VALUE"""),"cas_hmw")</f>
        <v>cas_hmw</v>
      </c>
      <c r="B1753" s="5">
        <f>IFERROR(__xludf.DUMMYFUNCTION("""COMPUTED_VALUE"""),44790.0)</f>
        <v>44790</v>
      </c>
      <c r="C1753" s="6">
        <f>IFERROR(__xludf.DUMMYFUNCTION("""COMPUTED_VALUE"""),0.7409490740756155)</f>
        <v>0.7409490741</v>
      </c>
      <c r="D1753" s="4">
        <f>IFERROR(__xludf.DUMMYFUNCTION("""COMPUTED_VALUE"""),13.03982)</f>
        <v>13.03982</v>
      </c>
      <c r="E1753" s="4">
        <f>IFERROR(__xludf.DUMMYFUNCTION("""COMPUTED_VALUE"""),80.267808)</f>
        <v>80.267808</v>
      </c>
      <c r="F1753" s="4">
        <f>IFERROR(__xludf.DUMMYFUNCTION("""COMPUTED_VALUE"""),805.0)</f>
        <v>805</v>
      </c>
      <c r="G1753" s="4">
        <f>IFERROR(__xludf.DUMMYFUNCTION("""COMPUTED_VALUE"""),6.0)</f>
        <v>6</v>
      </c>
      <c r="H1753" s="4"/>
      <c r="I1753" s="4"/>
    </row>
    <row r="1754">
      <c r="A1754" s="4" t="str">
        <f>IFERROR(__xludf.DUMMYFUNCTION("""COMPUTED_VALUE"""),"cas_hmw")</f>
        <v>cas_hmw</v>
      </c>
      <c r="B1754" s="5">
        <f>IFERROR(__xludf.DUMMYFUNCTION("""COMPUTED_VALUE"""),44790.0)</f>
        <v>44790</v>
      </c>
      <c r="C1754" s="6">
        <f>IFERROR(__xludf.DUMMYFUNCTION("""COMPUTED_VALUE"""),0.742256944446126)</f>
        <v>0.7422569444</v>
      </c>
      <c r="D1754" s="4">
        <f>IFERROR(__xludf.DUMMYFUNCTION("""COMPUTED_VALUE"""),12.948665)</f>
        <v>12.948665</v>
      </c>
      <c r="E1754" s="4">
        <f>IFERROR(__xludf.DUMMYFUNCTION("""COMPUTED_VALUE"""),80.206339)</f>
        <v>80.206339</v>
      </c>
      <c r="F1754" s="4">
        <f>IFERROR(__xludf.DUMMYFUNCTION("""COMPUTED_VALUE"""),3143.0)</f>
        <v>3143</v>
      </c>
      <c r="G1754" s="4">
        <f>IFERROR(__xludf.DUMMYFUNCTION("""COMPUTED_VALUE"""),13.0)</f>
        <v>13</v>
      </c>
      <c r="H1754" s="4"/>
      <c r="I1754" s="4"/>
    </row>
    <row r="1755">
      <c r="A1755" s="4" t="str">
        <f>IFERROR(__xludf.DUMMYFUNCTION("""COMPUTED_VALUE"""),"cas_hmw")</f>
        <v>cas_hmw</v>
      </c>
      <c r="B1755" s="5">
        <f>IFERROR(__xludf.DUMMYFUNCTION("""COMPUTED_VALUE"""),44790.0)</f>
        <v>44790</v>
      </c>
      <c r="C1755" s="6">
        <f>IFERROR(__xludf.DUMMYFUNCTION("""COMPUTED_VALUE"""),0.7422685185192677)</f>
        <v>0.7422685185</v>
      </c>
      <c r="D1755" s="4">
        <f>IFERROR(__xludf.DUMMYFUNCTION("""COMPUTED_VALUE"""),12.948665)</f>
        <v>12.948665</v>
      </c>
      <c r="E1755" s="4">
        <f>IFERROR(__xludf.DUMMYFUNCTION("""COMPUTED_VALUE"""),80.206339)</f>
        <v>80.206339</v>
      </c>
      <c r="F1755" s="4">
        <f>IFERROR(__xludf.DUMMYFUNCTION("""COMPUTED_VALUE"""),3143.0)</f>
        <v>3143</v>
      </c>
      <c r="G1755" s="4">
        <f>IFERROR(__xludf.DUMMYFUNCTION("""COMPUTED_VALUE"""),13.0)</f>
        <v>13</v>
      </c>
      <c r="H1755" s="4"/>
      <c r="I1755" s="4"/>
    </row>
    <row r="1756">
      <c r="A1756" s="4" t="str">
        <f>IFERROR(__xludf.DUMMYFUNCTION("""COMPUTED_VALUE"""),"cas_hmw")</f>
        <v>cas_hmw</v>
      </c>
      <c r="B1756" s="5">
        <f>IFERROR(__xludf.DUMMYFUNCTION("""COMPUTED_VALUE"""),44790.0)</f>
        <v>44790</v>
      </c>
      <c r="C1756" s="6">
        <f>IFERROR(__xludf.DUMMYFUNCTION("""COMPUTED_VALUE"""),0.7517129629632109)</f>
        <v>0.751712963</v>
      </c>
      <c r="D1756" s="4">
        <f>IFERROR(__xludf.DUMMYFUNCTION("""COMPUTED_VALUE"""),13.066872)</f>
        <v>13.066872</v>
      </c>
      <c r="E1756" s="4">
        <f>IFERROR(__xludf.DUMMYFUNCTION("""COMPUTED_VALUE"""),80.254355)</f>
        <v>80.254355</v>
      </c>
      <c r="F1756" s="4">
        <f>IFERROR(__xludf.DUMMYFUNCTION("""COMPUTED_VALUE"""),5339.0)</f>
        <v>5339</v>
      </c>
      <c r="G1756" s="4">
        <f>IFERROR(__xludf.DUMMYFUNCTION("""COMPUTED_VALUE"""),17.0)</f>
        <v>17</v>
      </c>
      <c r="H1756" s="4"/>
      <c r="I1756" s="4"/>
    </row>
    <row r="1757">
      <c r="A1757" s="4" t="str">
        <f>IFERROR(__xludf.DUMMYFUNCTION("""COMPUTED_VALUE"""),"cas_hmw")</f>
        <v>cas_hmw</v>
      </c>
      <c r="B1757" s="5">
        <f>IFERROR(__xludf.DUMMYFUNCTION("""COMPUTED_VALUE"""),44790.0)</f>
        <v>44790</v>
      </c>
      <c r="C1757" s="6">
        <f>IFERROR(__xludf.DUMMYFUNCTION("""COMPUTED_VALUE"""),0.7517245370363526)</f>
        <v>0.751724537</v>
      </c>
      <c r="D1757" s="4">
        <f>IFERROR(__xludf.DUMMYFUNCTION("""COMPUTED_VALUE"""),13.066872)</f>
        <v>13.066872</v>
      </c>
      <c r="E1757" s="4">
        <f>IFERROR(__xludf.DUMMYFUNCTION("""COMPUTED_VALUE"""),80.254355)</f>
        <v>80.254355</v>
      </c>
      <c r="F1757" s="4">
        <f>IFERROR(__xludf.DUMMYFUNCTION("""COMPUTED_VALUE"""),5339.0)</f>
        <v>5339</v>
      </c>
      <c r="G1757" s="4">
        <f>IFERROR(__xludf.DUMMYFUNCTION("""COMPUTED_VALUE"""),17.0)</f>
        <v>17</v>
      </c>
      <c r="H1757" s="4"/>
      <c r="I1757" s="4"/>
    </row>
    <row r="1758">
      <c r="A1758" s="4" t="str">
        <f>IFERROR(__xludf.DUMMYFUNCTION("""COMPUTED_VALUE"""),"cas_hmw")</f>
        <v>cas_hmw</v>
      </c>
      <c r="B1758" s="5">
        <f>IFERROR(__xludf.DUMMYFUNCTION("""COMPUTED_VALUE"""),44791.0)</f>
        <v>44791</v>
      </c>
      <c r="C1758" s="6">
        <f>IFERROR(__xludf.DUMMYFUNCTION("""COMPUTED_VALUE"""),0.2920833333337214)</f>
        <v>0.2920833333</v>
      </c>
      <c r="D1758" s="4">
        <f>IFERROR(__xludf.DUMMYFUNCTION("""COMPUTED_VALUE"""),12.975849)</f>
        <v>12.975849</v>
      </c>
      <c r="E1758" s="4">
        <f>IFERROR(__xludf.DUMMYFUNCTION("""COMPUTED_VALUE"""),80.221046)</f>
        <v>80.221046</v>
      </c>
      <c r="F1758" s="4">
        <f>IFERROR(__xludf.DUMMYFUNCTION("""COMPUTED_VALUE"""),3143.0)</f>
        <v>3143</v>
      </c>
      <c r="G1758" s="4">
        <f>IFERROR(__xludf.DUMMYFUNCTION("""COMPUTED_VALUE"""),0.0)</f>
        <v>0</v>
      </c>
      <c r="H1758" s="4"/>
      <c r="I1758" s="4"/>
    </row>
    <row r="1759">
      <c r="A1759" s="4" t="str">
        <f>IFERROR(__xludf.DUMMYFUNCTION("""COMPUTED_VALUE"""),"cas_hmw")</f>
        <v>cas_hmw</v>
      </c>
      <c r="B1759" s="5">
        <f>IFERROR(__xludf.DUMMYFUNCTION("""COMPUTED_VALUE"""),44791.0)</f>
        <v>44791</v>
      </c>
      <c r="C1759" s="6">
        <f>IFERROR(__xludf.DUMMYFUNCTION("""COMPUTED_VALUE"""),0.2924421296302171)</f>
        <v>0.2924421296</v>
      </c>
      <c r="D1759" s="4">
        <f>IFERROR(__xludf.DUMMYFUNCTION("""COMPUTED_VALUE"""),12.975931)</f>
        <v>12.975931</v>
      </c>
      <c r="E1759" s="4">
        <f>IFERROR(__xludf.DUMMYFUNCTION("""COMPUTED_VALUE"""),80.221132)</f>
        <v>80.221132</v>
      </c>
      <c r="F1759" s="4">
        <f>IFERROR(__xludf.DUMMYFUNCTION("""COMPUTED_VALUE"""),3143.0)</f>
        <v>3143</v>
      </c>
      <c r="G1759" s="4">
        <f>IFERROR(__xludf.DUMMYFUNCTION("""COMPUTED_VALUE"""),15.0)</f>
        <v>15</v>
      </c>
      <c r="H1759" s="4"/>
      <c r="I1759" s="4"/>
    </row>
    <row r="1760">
      <c r="A1760" s="4" t="str">
        <f>IFERROR(__xludf.DUMMYFUNCTION("""COMPUTED_VALUE"""),"cas_hmw")</f>
        <v>cas_hmw</v>
      </c>
      <c r="B1760" s="5">
        <f>IFERROR(__xludf.DUMMYFUNCTION("""COMPUTED_VALUE"""),44791.0)</f>
        <v>44791</v>
      </c>
      <c r="C1760" s="6">
        <f>IFERROR(__xludf.DUMMYFUNCTION("""COMPUTED_VALUE"""),0.29252314814948477)</f>
        <v>0.2925231481</v>
      </c>
      <c r="D1760" s="4">
        <f>IFERROR(__xludf.DUMMYFUNCTION("""COMPUTED_VALUE"""),12.975931)</f>
        <v>12.975931</v>
      </c>
      <c r="E1760" s="4">
        <f>IFERROR(__xludf.DUMMYFUNCTION("""COMPUTED_VALUE"""),80.221132)</f>
        <v>80.221132</v>
      </c>
      <c r="F1760" s="4">
        <f>IFERROR(__xludf.DUMMYFUNCTION("""COMPUTED_VALUE"""),3143.0)</f>
        <v>3143</v>
      </c>
      <c r="G1760" s="4">
        <f>IFERROR(__xludf.DUMMYFUNCTION("""COMPUTED_VALUE"""),15.0)</f>
        <v>15</v>
      </c>
      <c r="H1760" s="4"/>
      <c r="I1760" s="4"/>
    </row>
    <row r="1761">
      <c r="A1761" s="4" t="str">
        <f>IFERROR(__xludf.DUMMYFUNCTION("""COMPUTED_VALUE"""),"cas_hmw")</f>
        <v>cas_hmw</v>
      </c>
      <c r="B1761" s="5">
        <f>IFERROR(__xludf.DUMMYFUNCTION("""COMPUTED_VALUE"""),44791.0)</f>
        <v>44791</v>
      </c>
      <c r="C1761" s="6">
        <f>IFERROR(__xludf.DUMMYFUNCTION("""COMPUTED_VALUE"""),0.32116898148160544)</f>
        <v>0.3211689815</v>
      </c>
      <c r="D1761" s="4">
        <f>IFERROR(__xludf.DUMMYFUNCTION("""COMPUTED_VALUE"""),13.011279)</f>
        <v>13.011279</v>
      </c>
      <c r="E1761" s="4">
        <f>IFERROR(__xludf.DUMMYFUNCTION("""COMPUTED_VALUE"""),80.22363)</f>
        <v>80.22363</v>
      </c>
      <c r="F1761" s="4">
        <f>IFERROR(__xludf.DUMMYFUNCTION("""COMPUTED_VALUE"""),5339.0)</f>
        <v>5339</v>
      </c>
      <c r="G1761" s="4">
        <f>IFERROR(__xludf.DUMMYFUNCTION("""COMPUTED_VALUE"""),11.0)</f>
        <v>11</v>
      </c>
      <c r="H1761" s="4"/>
      <c r="I1761" s="4"/>
    </row>
    <row r="1762">
      <c r="A1762" s="4" t="str">
        <f>IFERROR(__xludf.DUMMYFUNCTION("""COMPUTED_VALUE"""),"cas_hmw")</f>
        <v>cas_hmw</v>
      </c>
      <c r="B1762" s="5">
        <f>IFERROR(__xludf.DUMMYFUNCTION("""COMPUTED_VALUE"""),44791.0)</f>
        <v>44791</v>
      </c>
      <c r="C1762" s="6">
        <f>IFERROR(__xludf.DUMMYFUNCTION("""COMPUTED_VALUE"""),0.3211805555547471)</f>
        <v>0.3211805556</v>
      </c>
      <c r="D1762" s="4">
        <f>IFERROR(__xludf.DUMMYFUNCTION("""COMPUTED_VALUE"""),13.011279)</f>
        <v>13.011279</v>
      </c>
      <c r="E1762" s="4">
        <f>IFERROR(__xludf.DUMMYFUNCTION("""COMPUTED_VALUE"""),80.22363)</f>
        <v>80.22363</v>
      </c>
      <c r="F1762" s="4">
        <f>IFERROR(__xludf.DUMMYFUNCTION("""COMPUTED_VALUE"""),5339.0)</f>
        <v>5339</v>
      </c>
      <c r="G1762" s="4">
        <f>IFERROR(__xludf.DUMMYFUNCTION("""COMPUTED_VALUE"""),11.0)</f>
        <v>11</v>
      </c>
      <c r="H1762" s="4"/>
      <c r="I1762" s="4"/>
    </row>
    <row r="1763">
      <c r="A1763" s="4" t="str">
        <f>IFERROR(__xludf.DUMMYFUNCTION("""COMPUTED_VALUE"""),"cas_hmw")</f>
        <v>cas_hmw</v>
      </c>
      <c r="B1763" s="5">
        <f>IFERROR(__xludf.DUMMYFUNCTION("""COMPUTED_VALUE"""),44791.0)</f>
        <v>44791</v>
      </c>
      <c r="C1763" s="6">
        <f>IFERROR(__xludf.DUMMYFUNCTION("""COMPUTED_VALUE"""),0.32563657407445135)</f>
        <v>0.3256365741</v>
      </c>
      <c r="D1763" s="4">
        <f>IFERROR(__xludf.DUMMYFUNCTION("""COMPUTED_VALUE"""),12.697177)</f>
        <v>12.697177</v>
      </c>
      <c r="E1763" s="4">
        <f>IFERROR(__xludf.DUMMYFUNCTION("""COMPUTED_VALUE"""),79.972624)</f>
        <v>79.972624</v>
      </c>
      <c r="F1763" s="4">
        <f>IFERROR(__xludf.DUMMYFUNCTION("""COMPUTED_VALUE"""),2846.0)</f>
        <v>2846</v>
      </c>
      <c r="G1763" s="4">
        <f>IFERROR(__xludf.DUMMYFUNCTION("""COMPUTED_VALUE"""),9.0)</f>
        <v>9</v>
      </c>
      <c r="H1763" s="4"/>
      <c r="I1763" s="4"/>
    </row>
    <row r="1764">
      <c r="A1764" s="4" t="str">
        <f>IFERROR(__xludf.DUMMYFUNCTION("""COMPUTED_VALUE"""),"cas_hmw")</f>
        <v>cas_hmw</v>
      </c>
      <c r="B1764" s="5">
        <f>IFERROR(__xludf.DUMMYFUNCTION("""COMPUTED_VALUE"""),44791.0)</f>
        <v>44791</v>
      </c>
      <c r="C1764" s="6">
        <f>IFERROR(__xludf.DUMMYFUNCTION("""COMPUTED_VALUE"""),0.3353935185186856)</f>
        <v>0.3353935185</v>
      </c>
      <c r="D1764" s="4">
        <f>IFERROR(__xludf.DUMMYFUNCTION("""COMPUTED_VALUE"""),12.952812)</f>
        <v>12.952812</v>
      </c>
      <c r="E1764" s="4">
        <f>IFERROR(__xludf.DUMMYFUNCTION("""COMPUTED_VALUE"""),80.141369)</f>
        <v>80.141369</v>
      </c>
      <c r="F1764" s="4">
        <f>IFERROR(__xludf.DUMMYFUNCTION("""COMPUTED_VALUE"""),5339.0)</f>
        <v>5339</v>
      </c>
      <c r="G1764" s="4">
        <f>IFERROR(__xludf.DUMMYFUNCTION("""COMPUTED_VALUE"""),14.0)</f>
        <v>14</v>
      </c>
      <c r="H1764" s="4"/>
      <c r="I1764" s="4"/>
    </row>
    <row r="1765">
      <c r="A1765" s="4" t="str">
        <f>IFERROR(__xludf.DUMMYFUNCTION("""COMPUTED_VALUE"""),"cas_hmw")</f>
        <v>cas_hmw</v>
      </c>
      <c r="B1765" s="5">
        <f>IFERROR(__xludf.DUMMYFUNCTION("""COMPUTED_VALUE"""),44791.0)</f>
        <v>44791</v>
      </c>
      <c r="C1765" s="6">
        <f>IFERROR(__xludf.DUMMYFUNCTION("""COMPUTED_VALUE"""),0.33540509259182727)</f>
        <v>0.3354050926</v>
      </c>
      <c r="D1765" s="4">
        <f>IFERROR(__xludf.DUMMYFUNCTION("""COMPUTED_VALUE"""),12.952812)</f>
        <v>12.952812</v>
      </c>
      <c r="E1765" s="4">
        <f>IFERROR(__xludf.DUMMYFUNCTION("""COMPUTED_VALUE"""),80.141369)</f>
        <v>80.141369</v>
      </c>
      <c r="F1765" s="4">
        <f>IFERROR(__xludf.DUMMYFUNCTION("""COMPUTED_VALUE"""),5339.0)</f>
        <v>5339</v>
      </c>
      <c r="G1765" s="4">
        <f>IFERROR(__xludf.DUMMYFUNCTION("""COMPUTED_VALUE"""),14.0)</f>
        <v>14</v>
      </c>
      <c r="H1765" s="4"/>
      <c r="I1765" s="4"/>
    </row>
    <row r="1766">
      <c r="A1766" s="4" t="str">
        <f>IFERROR(__xludf.DUMMYFUNCTION("""COMPUTED_VALUE"""),"cas_hmw")</f>
        <v>cas_hmw</v>
      </c>
      <c r="B1766" s="5">
        <f>IFERROR(__xludf.DUMMYFUNCTION("""COMPUTED_VALUE"""),44791.0)</f>
        <v>44791</v>
      </c>
      <c r="C1766" s="6">
        <f>IFERROR(__xludf.DUMMYFUNCTION("""COMPUTED_VALUE"""),0.3371296296281798)</f>
        <v>0.3371296296</v>
      </c>
      <c r="D1766" s="4">
        <f>IFERROR(__xludf.DUMMYFUNCTION("""COMPUTED_VALUE"""),12.942579)</f>
        <v>12.942579</v>
      </c>
      <c r="E1766" s="4">
        <f>IFERROR(__xludf.DUMMYFUNCTION("""COMPUTED_VALUE"""),80.133398)</f>
        <v>80.133398</v>
      </c>
      <c r="F1766" s="4">
        <f>IFERROR(__xludf.DUMMYFUNCTION("""COMPUTED_VALUE"""),5339.0)</f>
        <v>5339</v>
      </c>
      <c r="G1766" s="4">
        <f>IFERROR(__xludf.DUMMYFUNCTION("""COMPUTED_VALUE"""),11.0)</f>
        <v>11</v>
      </c>
      <c r="H1766" s="4"/>
      <c r="I1766" s="4"/>
    </row>
    <row r="1767">
      <c r="A1767" s="4" t="str">
        <f>IFERROR(__xludf.DUMMYFUNCTION("""COMPUTED_VALUE"""),"cas_hmw")</f>
        <v>cas_hmw</v>
      </c>
      <c r="B1767" s="5">
        <f>IFERROR(__xludf.DUMMYFUNCTION("""COMPUTED_VALUE"""),44791.0)</f>
        <v>44791</v>
      </c>
      <c r="C1767" s="6">
        <f>IFERROR(__xludf.DUMMYFUNCTION("""COMPUTED_VALUE"""),0.3371412037049595)</f>
        <v>0.3371412037</v>
      </c>
      <c r="D1767" s="4">
        <f>IFERROR(__xludf.DUMMYFUNCTION("""COMPUTED_VALUE"""),12.942579)</f>
        <v>12.942579</v>
      </c>
      <c r="E1767" s="4">
        <f>IFERROR(__xludf.DUMMYFUNCTION("""COMPUTED_VALUE"""),80.133398)</f>
        <v>80.133398</v>
      </c>
      <c r="F1767" s="4">
        <f>IFERROR(__xludf.DUMMYFUNCTION("""COMPUTED_VALUE"""),5339.0)</f>
        <v>5339</v>
      </c>
      <c r="G1767" s="4">
        <f>IFERROR(__xludf.DUMMYFUNCTION("""COMPUTED_VALUE"""),11.0)</f>
        <v>11</v>
      </c>
      <c r="H1767" s="4"/>
      <c r="I1767" s="4"/>
    </row>
    <row r="1768">
      <c r="A1768" s="4" t="str">
        <f>IFERROR(__xludf.DUMMYFUNCTION("""COMPUTED_VALUE"""),"cas_hmw")</f>
        <v>cas_hmw</v>
      </c>
      <c r="B1768" s="5">
        <f>IFERROR(__xludf.DUMMYFUNCTION("""COMPUTED_VALUE"""),44791.0)</f>
        <v>44791</v>
      </c>
      <c r="C1768" s="6">
        <f>IFERROR(__xludf.DUMMYFUNCTION("""COMPUTED_VALUE"""),0.3371412037049595)</f>
        <v>0.3371412037</v>
      </c>
      <c r="D1768" s="4">
        <f>IFERROR(__xludf.DUMMYFUNCTION("""COMPUTED_VALUE"""),12.942579)</f>
        <v>12.942579</v>
      </c>
      <c r="E1768" s="4">
        <f>IFERROR(__xludf.DUMMYFUNCTION("""COMPUTED_VALUE"""),80.133398)</f>
        <v>80.133398</v>
      </c>
      <c r="F1768" s="4">
        <f>IFERROR(__xludf.DUMMYFUNCTION("""COMPUTED_VALUE"""),5339.0)</f>
        <v>5339</v>
      </c>
      <c r="G1768" s="4">
        <f>IFERROR(__xludf.DUMMYFUNCTION("""COMPUTED_VALUE"""),11.0)</f>
        <v>11</v>
      </c>
      <c r="H1768" s="4"/>
      <c r="I1768" s="4"/>
    </row>
    <row r="1769">
      <c r="A1769" s="4" t="str">
        <f>IFERROR(__xludf.DUMMYFUNCTION("""COMPUTED_VALUE"""),"cas_hmw")</f>
        <v>cas_hmw</v>
      </c>
      <c r="B1769" s="5">
        <f>IFERROR(__xludf.DUMMYFUNCTION("""COMPUTED_VALUE"""),44791.0)</f>
        <v>44791</v>
      </c>
      <c r="C1769" s="6">
        <f>IFERROR(__xludf.DUMMYFUNCTION("""COMPUTED_VALUE"""),0.33715277777810115)</f>
        <v>0.3371527778</v>
      </c>
      <c r="D1769" s="4">
        <f>IFERROR(__xludf.DUMMYFUNCTION("""COMPUTED_VALUE"""),12.942579)</f>
        <v>12.942579</v>
      </c>
      <c r="E1769" s="4">
        <f>IFERROR(__xludf.DUMMYFUNCTION("""COMPUTED_VALUE"""),80.133398)</f>
        <v>80.133398</v>
      </c>
      <c r="F1769" s="4">
        <f>IFERROR(__xludf.DUMMYFUNCTION("""COMPUTED_VALUE"""),5339.0)</f>
        <v>5339</v>
      </c>
      <c r="G1769" s="4">
        <f>IFERROR(__xludf.DUMMYFUNCTION("""COMPUTED_VALUE"""),11.0)</f>
        <v>11</v>
      </c>
      <c r="H1769" s="4"/>
      <c r="I1769" s="4"/>
    </row>
    <row r="1770">
      <c r="A1770" s="4" t="str">
        <f>IFERROR(__xludf.DUMMYFUNCTION("""COMPUTED_VALUE"""),"cas_hmw")</f>
        <v>cas_hmw</v>
      </c>
      <c r="B1770" s="5">
        <f>IFERROR(__xludf.DUMMYFUNCTION("""COMPUTED_VALUE"""),44791.0)</f>
        <v>44791</v>
      </c>
      <c r="C1770" s="6">
        <f>IFERROR(__xludf.DUMMYFUNCTION("""COMPUTED_VALUE"""),0.3371643518512428)</f>
        <v>0.3371643519</v>
      </c>
      <c r="D1770" s="4">
        <f>IFERROR(__xludf.DUMMYFUNCTION("""COMPUTED_VALUE"""),12.942579)</f>
        <v>12.942579</v>
      </c>
      <c r="E1770" s="4">
        <f>IFERROR(__xludf.DUMMYFUNCTION("""COMPUTED_VALUE"""),80.133398)</f>
        <v>80.133398</v>
      </c>
      <c r="F1770" s="4">
        <f>IFERROR(__xludf.DUMMYFUNCTION("""COMPUTED_VALUE"""),5339.0)</f>
        <v>5339</v>
      </c>
      <c r="G1770" s="4">
        <f>IFERROR(__xludf.DUMMYFUNCTION("""COMPUTED_VALUE"""),11.0)</f>
        <v>11</v>
      </c>
      <c r="H1770" s="4"/>
      <c r="I1770" s="4"/>
    </row>
    <row r="1771">
      <c r="A1771" s="4" t="str">
        <f>IFERROR(__xludf.DUMMYFUNCTION("""COMPUTED_VALUE"""),"cas_hmw")</f>
        <v>cas_hmw</v>
      </c>
      <c r="B1771" s="5">
        <f>IFERROR(__xludf.DUMMYFUNCTION("""COMPUTED_VALUE"""),44791.0)</f>
        <v>44791</v>
      </c>
      <c r="C1771" s="6">
        <f>IFERROR(__xludf.DUMMYFUNCTION("""COMPUTED_VALUE"""),0.34325231481489027)</f>
        <v>0.3432523148</v>
      </c>
      <c r="D1771" s="4">
        <f>IFERROR(__xludf.DUMMYFUNCTION("""COMPUTED_VALUE"""),12.906603)</f>
        <v>12.906603</v>
      </c>
      <c r="E1771" s="4">
        <f>IFERROR(__xludf.DUMMYFUNCTION("""COMPUTED_VALUE"""),80.096666)</f>
        <v>80.096666</v>
      </c>
      <c r="F1771" s="4">
        <f>IFERROR(__xludf.DUMMYFUNCTION("""COMPUTED_VALUE"""),5339.0)</f>
        <v>5339</v>
      </c>
      <c r="G1771" s="4">
        <f>IFERROR(__xludf.DUMMYFUNCTION("""COMPUTED_VALUE"""),19.0)</f>
        <v>19</v>
      </c>
      <c r="H1771" s="4"/>
      <c r="I1771" s="4"/>
    </row>
    <row r="1772">
      <c r="A1772" s="4" t="str">
        <f>IFERROR(__xludf.DUMMYFUNCTION("""COMPUTED_VALUE"""),"cas_hmw")</f>
        <v>cas_hmw</v>
      </c>
      <c r="B1772" s="5">
        <f>IFERROR(__xludf.DUMMYFUNCTION("""COMPUTED_VALUE"""),44791.0)</f>
        <v>44791</v>
      </c>
      <c r="C1772" s="6">
        <f>IFERROR(__xludf.DUMMYFUNCTION("""COMPUTED_VALUE"""),0.34326388888803194)</f>
        <v>0.3432638889</v>
      </c>
      <c r="D1772" s="4">
        <f>IFERROR(__xludf.DUMMYFUNCTION("""COMPUTED_VALUE"""),12.906603)</f>
        <v>12.906603</v>
      </c>
      <c r="E1772" s="4">
        <f>IFERROR(__xludf.DUMMYFUNCTION("""COMPUTED_VALUE"""),80.096666)</f>
        <v>80.096666</v>
      </c>
      <c r="F1772" s="4">
        <f>IFERROR(__xludf.DUMMYFUNCTION("""COMPUTED_VALUE"""),5339.0)</f>
        <v>5339</v>
      </c>
      <c r="G1772" s="4">
        <f>IFERROR(__xludf.DUMMYFUNCTION("""COMPUTED_VALUE"""),19.0)</f>
        <v>19</v>
      </c>
      <c r="H1772" s="4"/>
      <c r="I1772" s="4"/>
    </row>
    <row r="1773">
      <c r="A1773" s="4" t="str">
        <f>IFERROR(__xludf.DUMMYFUNCTION("""COMPUTED_VALUE"""),"cas_hmw")</f>
        <v>cas_hmw</v>
      </c>
      <c r="B1773" s="5">
        <f>IFERROR(__xludf.DUMMYFUNCTION("""COMPUTED_VALUE"""),44791.0)</f>
        <v>44791</v>
      </c>
      <c r="C1773" s="6">
        <f>IFERROR(__xludf.DUMMYFUNCTION("""COMPUTED_VALUE"""),0.3433449074072996)</f>
        <v>0.3433449074</v>
      </c>
      <c r="D1773" s="4">
        <f>IFERROR(__xludf.DUMMYFUNCTION("""COMPUTED_VALUE"""),12.84587)</f>
        <v>12.84587</v>
      </c>
      <c r="E1773" s="4">
        <f>IFERROR(__xludf.DUMMYFUNCTION("""COMPUTED_VALUE"""),80.061466)</f>
        <v>80.061466</v>
      </c>
      <c r="F1773" s="4">
        <f>IFERROR(__xludf.DUMMYFUNCTION("""COMPUTED_VALUE"""),2846.0)</f>
        <v>2846</v>
      </c>
      <c r="G1773" s="4">
        <f>IFERROR(__xludf.DUMMYFUNCTION("""COMPUTED_VALUE"""),0.0)</f>
        <v>0</v>
      </c>
      <c r="H1773" s="4"/>
      <c r="I1773" s="4"/>
    </row>
    <row r="1774">
      <c r="A1774" s="4" t="str">
        <f>IFERROR(__xludf.DUMMYFUNCTION("""COMPUTED_VALUE"""),"cas_hmw")</f>
        <v>cas_hmw</v>
      </c>
      <c r="B1774" s="5">
        <f>IFERROR(__xludf.DUMMYFUNCTION("""COMPUTED_VALUE"""),44791.0)</f>
        <v>44791</v>
      </c>
      <c r="C1774" s="6">
        <f>IFERROR(__xludf.DUMMYFUNCTION("""COMPUTED_VALUE"""),0.3441550925927004)</f>
        <v>0.3441550926</v>
      </c>
      <c r="D1774" s="4">
        <f>IFERROR(__xludf.DUMMYFUNCTION("""COMPUTED_VALUE"""),12.849974)</f>
        <v>12.849974</v>
      </c>
      <c r="E1774" s="4">
        <f>IFERROR(__xludf.DUMMYFUNCTION("""COMPUTED_VALUE"""),80.064627)</f>
        <v>80.064627</v>
      </c>
      <c r="F1774" s="4">
        <f>IFERROR(__xludf.DUMMYFUNCTION("""COMPUTED_VALUE"""),2846.0)</f>
        <v>2846</v>
      </c>
      <c r="G1774" s="4">
        <f>IFERROR(__xludf.DUMMYFUNCTION("""COMPUTED_VALUE"""),0.0)</f>
        <v>0</v>
      </c>
      <c r="H1774" s="4"/>
      <c r="I1774" s="4"/>
    </row>
    <row r="1775">
      <c r="A1775" s="4" t="str">
        <f>IFERROR(__xludf.DUMMYFUNCTION("""COMPUTED_VALUE"""),"cas_hmw")</f>
        <v>cas_hmw</v>
      </c>
      <c r="B1775" s="5">
        <f>IFERROR(__xludf.DUMMYFUNCTION("""COMPUTED_VALUE"""),44791.0)</f>
        <v>44791</v>
      </c>
      <c r="C1775" s="6">
        <f>IFERROR(__xludf.DUMMYFUNCTION("""COMPUTED_VALUE"""),0.3443055555544561)</f>
        <v>0.3443055556</v>
      </c>
      <c r="D1775" s="4">
        <f>IFERROR(__xludf.DUMMYFUNCTION("""COMPUTED_VALUE"""),12.849995)</f>
        <v>12.849995</v>
      </c>
      <c r="E1775" s="4">
        <f>IFERROR(__xludf.DUMMYFUNCTION("""COMPUTED_VALUE"""),80.06462)</f>
        <v>80.06462</v>
      </c>
      <c r="F1775" s="4">
        <f>IFERROR(__xludf.DUMMYFUNCTION("""COMPUTED_VALUE"""),2846.0)</f>
        <v>2846</v>
      </c>
      <c r="G1775" s="4">
        <f>IFERROR(__xludf.DUMMYFUNCTION("""COMPUTED_VALUE"""),6.0)</f>
        <v>6</v>
      </c>
      <c r="H1775" s="4"/>
      <c r="I1775" s="4"/>
    </row>
    <row r="1776">
      <c r="A1776" s="4" t="str">
        <f>IFERROR(__xludf.DUMMYFUNCTION("""COMPUTED_VALUE"""),"cas_hmw")</f>
        <v>cas_hmw</v>
      </c>
      <c r="B1776" s="5">
        <f>IFERROR(__xludf.DUMMYFUNCTION("""COMPUTED_VALUE"""),44791.0)</f>
        <v>44791</v>
      </c>
      <c r="C1776" s="6">
        <f>IFERROR(__xludf.DUMMYFUNCTION("""COMPUTED_VALUE"""),0.6940740740756155)</f>
        <v>0.6940740741</v>
      </c>
      <c r="D1776" s="4">
        <f>IFERROR(__xludf.DUMMYFUNCTION("""COMPUTED_VALUE"""),12.846089)</f>
        <v>12.846089</v>
      </c>
      <c r="E1776" s="4">
        <f>IFERROR(__xludf.DUMMYFUNCTION("""COMPUTED_VALUE"""),80.062057)</f>
        <v>80.062057</v>
      </c>
      <c r="F1776" s="4">
        <f>IFERROR(__xludf.DUMMYFUNCTION("""COMPUTED_VALUE"""),2846.0)</f>
        <v>2846</v>
      </c>
      <c r="G1776" s="4">
        <f>IFERROR(__xludf.DUMMYFUNCTION("""COMPUTED_VALUE"""),20.0)</f>
        <v>20</v>
      </c>
      <c r="H1776" s="4"/>
      <c r="I1776" s="4"/>
    </row>
    <row r="1777">
      <c r="A1777" s="4" t="str">
        <f>IFERROR(__xludf.DUMMYFUNCTION("""COMPUTED_VALUE"""),"cas_hmw")</f>
        <v>cas_hmw</v>
      </c>
      <c r="B1777" s="5">
        <f>IFERROR(__xludf.DUMMYFUNCTION("""COMPUTED_VALUE"""),44791.0)</f>
        <v>44791</v>
      </c>
      <c r="C1777" s="6">
        <f>IFERROR(__xludf.DUMMYFUNCTION("""COMPUTED_VALUE"""),0.6943055555566389)</f>
        <v>0.6943055556</v>
      </c>
      <c r="D1777" s="4">
        <f>IFERROR(__xludf.DUMMYFUNCTION("""COMPUTED_VALUE"""),12.908399)</f>
        <v>12.908399</v>
      </c>
      <c r="E1777" s="4">
        <f>IFERROR(__xludf.DUMMYFUNCTION("""COMPUTED_VALUE"""),80.097663)</f>
        <v>80.097663</v>
      </c>
      <c r="F1777" s="4">
        <f>IFERROR(__xludf.DUMMYFUNCTION("""COMPUTED_VALUE"""),3143.0)</f>
        <v>3143</v>
      </c>
      <c r="G1777" s="4">
        <f>IFERROR(__xludf.DUMMYFUNCTION("""COMPUTED_VALUE"""),0.0)</f>
        <v>0</v>
      </c>
      <c r="H1777" s="4"/>
      <c r="I1777" s="4"/>
    </row>
    <row r="1778">
      <c r="A1778" s="4" t="str">
        <f>IFERROR(__xludf.DUMMYFUNCTION("""COMPUTED_VALUE"""),"cas_hmw")</f>
        <v>cas_hmw</v>
      </c>
      <c r="B1778" s="5">
        <f>IFERROR(__xludf.DUMMYFUNCTION("""COMPUTED_VALUE"""),44791.0)</f>
        <v>44791</v>
      </c>
      <c r="C1778" s="6">
        <f>IFERROR(__xludf.DUMMYFUNCTION("""COMPUTED_VALUE"""),0.7034953703696374)</f>
        <v>0.7034953704</v>
      </c>
      <c r="D1778" s="4">
        <f>IFERROR(__xludf.DUMMYFUNCTION("""COMPUTED_VALUE"""),12.950273)</f>
        <v>12.950273</v>
      </c>
      <c r="E1778" s="4">
        <f>IFERROR(__xludf.DUMMYFUNCTION("""COMPUTED_VALUE"""),80.139311)</f>
        <v>80.139311</v>
      </c>
      <c r="F1778" s="4">
        <f>IFERROR(__xludf.DUMMYFUNCTION("""COMPUTED_VALUE"""),5339.0)</f>
        <v>5339</v>
      </c>
      <c r="G1778" s="4">
        <f>IFERROR(__xludf.DUMMYFUNCTION("""COMPUTED_VALUE"""),16.0)</f>
        <v>16</v>
      </c>
      <c r="H1778" s="4"/>
      <c r="I1778" s="4"/>
    </row>
    <row r="1779">
      <c r="A1779" s="4" t="str">
        <f>IFERROR(__xludf.DUMMYFUNCTION("""COMPUTED_VALUE"""),"cas_hmw")</f>
        <v>cas_hmw</v>
      </c>
      <c r="B1779" s="5">
        <f>IFERROR(__xludf.DUMMYFUNCTION("""COMPUTED_VALUE"""),44791.0)</f>
        <v>44791</v>
      </c>
      <c r="C1779" s="6">
        <f>IFERROR(__xludf.DUMMYFUNCTION("""COMPUTED_VALUE"""),0.7045601851859828)</f>
        <v>0.7045601852</v>
      </c>
      <c r="D1779" s="4">
        <f>IFERROR(__xludf.DUMMYFUNCTION("""COMPUTED_VALUE"""),12.956148)</f>
        <v>12.956148</v>
      </c>
      <c r="E1779" s="4">
        <f>IFERROR(__xludf.DUMMYFUNCTION("""COMPUTED_VALUE"""),80.143079)</f>
        <v>80.143079</v>
      </c>
      <c r="F1779" s="4">
        <f>IFERROR(__xludf.DUMMYFUNCTION("""COMPUTED_VALUE"""),5339.0)</f>
        <v>5339</v>
      </c>
      <c r="G1779" s="4">
        <f>IFERROR(__xludf.DUMMYFUNCTION("""COMPUTED_VALUE"""),6.0)</f>
        <v>6</v>
      </c>
      <c r="H1779" s="4"/>
      <c r="I1779" s="4"/>
    </row>
    <row r="1780">
      <c r="A1780" s="4" t="str">
        <f>IFERROR(__xludf.DUMMYFUNCTION("""COMPUTED_VALUE"""),"cas_hmw")</f>
        <v>cas_hmw</v>
      </c>
      <c r="B1780" s="5">
        <f>IFERROR(__xludf.DUMMYFUNCTION("""COMPUTED_VALUE"""),44791.0)</f>
        <v>44791</v>
      </c>
      <c r="C1780" s="6">
        <f>IFERROR(__xludf.DUMMYFUNCTION("""COMPUTED_VALUE"""),0.7123379629629198)</f>
        <v>0.712337963</v>
      </c>
      <c r="D1780" s="4">
        <f>IFERROR(__xludf.DUMMYFUNCTION("""COMPUTED_VALUE"""),12.697269)</f>
        <v>12.697269</v>
      </c>
      <c r="E1780" s="4">
        <f>IFERROR(__xludf.DUMMYFUNCTION("""COMPUTED_VALUE"""),79.972842)</f>
        <v>79.972842</v>
      </c>
      <c r="F1780" s="4">
        <f>IFERROR(__xludf.DUMMYFUNCTION("""COMPUTED_VALUE"""),2846.0)</f>
        <v>2846</v>
      </c>
      <c r="G1780" s="4">
        <f>IFERROR(__xludf.DUMMYFUNCTION("""COMPUTED_VALUE"""),14.0)</f>
        <v>14</v>
      </c>
      <c r="H1780" s="4"/>
      <c r="I1780" s="4"/>
    </row>
    <row r="1781">
      <c r="A1781" s="4" t="str">
        <f>IFERROR(__xludf.DUMMYFUNCTION("""COMPUTED_VALUE"""),"cas_hmw")</f>
        <v>cas_hmw</v>
      </c>
      <c r="B1781" s="5">
        <f>IFERROR(__xludf.DUMMYFUNCTION("""COMPUTED_VALUE"""),44791.0)</f>
        <v>44791</v>
      </c>
      <c r="C1781" s="6">
        <f>IFERROR(__xludf.DUMMYFUNCTION("""COMPUTED_VALUE"""),0.7225347222229175)</f>
        <v>0.7225347222</v>
      </c>
      <c r="D1781" s="4">
        <f>IFERROR(__xludf.DUMMYFUNCTION("""COMPUTED_VALUE"""),13.026478)</f>
        <v>13.026478</v>
      </c>
      <c r="E1781" s="4">
        <f>IFERROR(__xludf.DUMMYFUNCTION("""COMPUTED_VALUE"""),80.232723)</f>
        <v>80.232723</v>
      </c>
      <c r="F1781" s="4">
        <f>IFERROR(__xludf.DUMMYFUNCTION("""COMPUTED_VALUE"""),5339.0)</f>
        <v>5339</v>
      </c>
      <c r="G1781" s="4">
        <f>IFERROR(__xludf.DUMMYFUNCTION("""COMPUTED_VALUE"""),20.0)</f>
        <v>20</v>
      </c>
      <c r="H1781" s="4"/>
      <c r="I1781" s="4"/>
    </row>
    <row r="1782">
      <c r="A1782" s="4" t="str">
        <f>IFERROR(__xludf.DUMMYFUNCTION("""COMPUTED_VALUE"""),"cas_hmw")</f>
        <v>cas_hmw</v>
      </c>
      <c r="B1782" s="5">
        <f>IFERROR(__xludf.DUMMYFUNCTION("""COMPUTED_VALUE"""),44791.0)</f>
        <v>44791</v>
      </c>
      <c r="C1782" s="6">
        <f>IFERROR(__xludf.DUMMYFUNCTION("""COMPUTED_VALUE"""),0.7294791666681704)</f>
        <v>0.7294791667</v>
      </c>
      <c r="D1782" s="4">
        <f>IFERROR(__xludf.DUMMYFUNCTION("""COMPUTED_VALUE"""),12.97929)</f>
        <v>12.97929</v>
      </c>
      <c r="E1782" s="4">
        <f>IFERROR(__xludf.DUMMYFUNCTION("""COMPUTED_VALUE"""),80.226445)</f>
        <v>80.226445</v>
      </c>
      <c r="F1782" s="4">
        <f>IFERROR(__xludf.DUMMYFUNCTION("""COMPUTED_VALUE"""),3143.0)</f>
        <v>3143</v>
      </c>
      <c r="G1782" s="4">
        <f>IFERROR(__xludf.DUMMYFUNCTION("""COMPUTED_VALUE"""),0.0)</f>
        <v>0</v>
      </c>
      <c r="H1782" s="4"/>
      <c r="I1782" s="4"/>
    </row>
    <row r="1783">
      <c r="A1783" s="4" t="str">
        <f>IFERROR(__xludf.DUMMYFUNCTION("""COMPUTED_VALUE"""),"cas_hmw")</f>
        <v>cas_hmw</v>
      </c>
      <c r="B1783" s="5">
        <f>IFERROR(__xludf.DUMMYFUNCTION("""COMPUTED_VALUE"""),44791.0)</f>
        <v>44791</v>
      </c>
      <c r="C1783" s="6">
        <f>IFERROR(__xludf.DUMMYFUNCTION("""COMPUTED_VALUE"""),0.7367245370369346)</f>
        <v>0.736724537</v>
      </c>
      <c r="D1783" s="4">
        <f>IFERROR(__xludf.DUMMYFUNCTION("""COMPUTED_VALUE"""),12.514288)</f>
        <v>12.514288</v>
      </c>
      <c r="E1783" s="4">
        <f>IFERROR(__xludf.DUMMYFUNCTION("""COMPUTED_VALUE"""),79.888176)</f>
        <v>79.888176</v>
      </c>
      <c r="F1783" s="4">
        <f>IFERROR(__xludf.DUMMYFUNCTION("""COMPUTED_VALUE"""),2846.0)</f>
        <v>2846</v>
      </c>
      <c r="G1783" s="4">
        <f>IFERROR(__xludf.DUMMYFUNCTION("""COMPUTED_VALUE"""),8.0)</f>
        <v>8</v>
      </c>
      <c r="H1783" s="4"/>
      <c r="I1783" s="4"/>
    </row>
    <row r="1784">
      <c r="A1784" s="4" t="str">
        <f>IFERROR(__xludf.DUMMYFUNCTION("""COMPUTED_VALUE"""),"cas_hmw")</f>
        <v>cas_hmw</v>
      </c>
      <c r="B1784" s="5">
        <f>IFERROR(__xludf.DUMMYFUNCTION("""COMPUTED_VALUE"""),44791.0)</f>
        <v>44791</v>
      </c>
      <c r="C1784" s="6">
        <f>IFERROR(__xludf.DUMMYFUNCTION("""COMPUTED_VALUE"""),0.7395486111126957)</f>
        <v>0.7395486111</v>
      </c>
      <c r="D1784" s="4">
        <f>IFERROR(__xludf.DUMMYFUNCTION("""COMPUTED_VALUE"""),12.506502)</f>
        <v>12.506502</v>
      </c>
      <c r="E1784" s="4">
        <f>IFERROR(__xludf.DUMMYFUNCTION("""COMPUTED_VALUE"""),79.880629)</f>
        <v>79.880629</v>
      </c>
      <c r="F1784" s="4">
        <f>IFERROR(__xludf.DUMMYFUNCTION("""COMPUTED_VALUE"""),2846.0)</f>
        <v>2846</v>
      </c>
      <c r="G1784" s="4">
        <f>IFERROR(__xludf.DUMMYFUNCTION("""COMPUTED_VALUE"""),16.0)</f>
        <v>16</v>
      </c>
      <c r="H1784" s="4"/>
      <c r="I1784" s="4"/>
    </row>
    <row r="1785">
      <c r="A1785" s="4" t="str">
        <f>IFERROR(__xludf.DUMMYFUNCTION("""COMPUTED_VALUE"""),"cas_hmw")</f>
        <v>cas_hmw</v>
      </c>
      <c r="B1785" s="5">
        <f>IFERROR(__xludf.DUMMYFUNCTION("""COMPUTED_VALUE"""),44792.0)</f>
        <v>44792</v>
      </c>
      <c r="C1785" s="6">
        <f>IFERROR(__xludf.DUMMYFUNCTION("""COMPUTED_VALUE"""),0.2961921296300716)</f>
        <v>0.2961921296</v>
      </c>
      <c r="D1785" s="4">
        <f>IFERROR(__xludf.DUMMYFUNCTION("""COMPUTED_VALUE"""),12.51025)</f>
        <v>12.51025</v>
      </c>
      <c r="E1785" s="4">
        <f>IFERROR(__xludf.DUMMYFUNCTION("""COMPUTED_VALUE"""),79.885073)</f>
        <v>79.885073</v>
      </c>
      <c r="F1785" s="4">
        <f>IFERROR(__xludf.DUMMYFUNCTION("""COMPUTED_VALUE"""),2846.0)</f>
        <v>2846</v>
      </c>
      <c r="G1785" s="4">
        <f>IFERROR(__xludf.DUMMYFUNCTION("""COMPUTED_VALUE"""),11.0)</f>
        <v>11</v>
      </c>
      <c r="H1785" s="4"/>
      <c r="I1785" s="4"/>
    </row>
    <row r="1786">
      <c r="A1786" s="4" t="str">
        <f>IFERROR(__xludf.DUMMYFUNCTION("""COMPUTED_VALUE"""),"cas_hmw")</f>
        <v>cas_hmw</v>
      </c>
      <c r="B1786" s="5">
        <f>IFERROR(__xludf.DUMMYFUNCTION("""COMPUTED_VALUE"""),44792.0)</f>
        <v>44792</v>
      </c>
      <c r="C1786" s="6">
        <f>IFERROR(__xludf.DUMMYFUNCTION("""COMPUTED_VALUE"""),0.3375000000014552)</f>
        <v>0.3375</v>
      </c>
      <c r="D1786" s="4">
        <f>IFERROR(__xludf.DUMMYFUNCTION("""COMPUTED_VALUE"""),12.950918)</f>
        <v>12.950918</v>
      </c>
      <c r="E1786" s="4">
        <f>IFERROR(__xludf.DUMMYFUNCTION("""COMPUTED_VALUE"""),80.139937)</f>
        <v>80.139937</v>
      </c>
      <c r="F1786" s="4">
        <f>IFERROR(__xludf.DUMMYFUNCTION("""COMPUTED_VALUE"""),5339.0)</f>
        <v>5339</v>
      </c>
      <c r="G1786" s="4">
        <f>IFERROR(__xludf.DUMMYFUNCTION("""COMPUTED_VALUE"""),0.0)</f>
        <v>0</v>
      </c>
      <c r="H1786" s="4"/>
      <c r="I1786" s="4"/>
    </row>
    <row r="1787">
      <c r="A1787" s="4" t="str">
        <f>IFERROR(__xludf.DUMMYFUNCTION("""COMPUTED_VALUE"""),"cas_hmw")</f>
        <v>cas_hmw</v>
      </c>
      <c r="B1787" s="5">
        <f>IFERROR(__xludf.DUMMYFUNCTION("""COMPUTED_VALUE"""),44792.0)</f>
        <v>44792</v>
      </c>
      <c r="C1787" s="6">
        <f>IFERROR(__xludf.DUMMYFUNCTION("""COMPUTED_VALUE"""),0.33893518518380006)</f>
        <v>0.3389351852</v>
      </c>
      <c r="D1787" s="4">
        <f>IFERROR(__xludf.DUMMYFUNCTION("""COMPUTED_VALUE"""),12.942694)</f>
        <v>12.942694</v>
      </c>
      <c r="E1787" s="4">
        <f>IFERROR(__xludf.DUMMYFUNCTION("""COMPUTED_VALUE"""),80.133384)</f>
        <v>80.133384</v>
      </c>
      <c r="F1787" s="4">
        <f>IFERROR(__xludf.DUMMYFUNCTION("""COMPUTED_VALUE"""),5339.0)</f>
        <v>5339</v>
      </c>
      <c r="G1787" s="4">
        <f>IFERROR(__xludf.DUMMYFUNCTION("""COMPUTED_VALUE"""),8.0)</f>
        <v>8</v>
      </c>
      <c r="H1787" s="4"/>
      <c r="I1787" s="4"/>
    </row>
    <row r="1788">
      <c r="A1788" s="4" t="str">
        <f>IFERROR(__xludf.DUMMYFUNCTION("""COMPUTED_VALUE"""),"cas_hmw")</f>
        <v>cas_hmw</v>
      </c>
      <c r="B1788" s="5">
        <f>IFERROR(__xludf.DUMMYFUNCTION("""COMPUTED_VALUE"""),44792.0)</f>
        <v>44792</v>
      </c>
      <c r="C1788" s="6">
        <f>IFERROR(__xludf.DUMMYFUNCTION("""COMPUTED_VALUE"""),0.3432407407417486)</f>
        <v>0.3432407407</v>
      </c>
      <c r="D1788" s="4">
        <f>IFERROR(__xludf.DUMMYFUNCTION("""COMPUTED_VALUE"""),12.91701)</f>
        <v>12.91701</v>
      </c>
      <c r="E1788" s="4">
        <f>IFERROR(__xludf.DUMMYFUNCTION("""COMPUTED_VALUE"""),80.107242)</f>
        <v>80.107242</v>
      </c>
      <c r="F1788" s="4">
        <f>IFERROR(__xludf.DUMMYFUNCTION("""COMPUTED_VALUE"""),5339.0)</f>
        <v>5339</v>
      </c>
      <c r="G1788" s="4">
        <f>IFERROR(__xludf.DUMMYFUNCTION("""COMPUTED_VALUE"""),3.0)</f>
        <v>3</v>
      </c>
      <c r="H1788" s="4"/>
      <c r="I1788" s="4"/>
    </row>
    <row r="1789">
      <c r="A1789" s="4" t="str">
        <f>IFERROR(__xludf.DUMMYFUNCTION("""COMPUTED_VALUE"""),"cas_hmw")</f>
        <v>cas_hmw</v>
      </c>
      <c r="B1789" s="5">
        <f>IFERROR(__xludf.DUMMYFUNCTION("""COMPUTED_VALUE"""),44792.0)</f>
        <v>44792</v>
      </c>
      <c r="C1789" s="6">
        <f>IFERROR(__xludf.DUMMYFUNCTION("""COMPUTED_VALUE"""),0.3489699074089003)</f>
        <v>0.3489699074</v>
      </c>
      <c r="D1789" s="4">
        <f>IFERROR(__xludf.DUMMYFUNCTION("""COMPUTED_VALUE"""),12.922874)</f>
        <v>12.922874</v>
      </c>
      <c r="E1789" s="4">
        <f>IFERROR(__xludf.DUMMYFUNCTION("""COMPUTED_VALUE"""),80.127183)</f>
        <v>80.127183</v>
      </c>
      <c r="F1789" s="4">
        <f>IFERROR(__xludf.DUMMYFUNCTION("""COMPUTED_VALUE"""),3143.0)</f>
        <v>3143</v>
      </c>
      <c r="G1789" s="4">
        <f>IFERROR(__xludf.DUMMYFUNCTION("""COMPUTED_VALUE"""),17.0)</f>
        <v>17</v>
      </c>
      <c r="H1789" s="4"/>
      <c r="I1789" s="4"/>
    </row>
    <row r="1790">
      <c r="A1790" s="4" t="str">
        <f>IFERROR(__xludf.DUMMYFUNCTION("""COMPUTED_VALUE"""),"cas_hmw")</f>
        <v>cas_hmw</v>
      </c>
      <c r="B1790" s="5">
        <f>IFERROR(__xludf.DUMMYFUNCTION("""COMPUTED_VALUE"""),44792.0)</f>
        <v>44792</v>
      </c>
      <c r="C1790" s="6">
        <f>IFERROR(__xludf.DUMMYFUNCTION("""COMPUTED_VALUE"""),0.6920254629621923)</f>
        <v>0.692025463</v>
      </c>
      <c r="D1790" s="4">
        <f>IFERROR(__xludf.DUMMYFUNCTION("""COMPUTED_VALUE"""),12.881273)</f>
        <v>12.881273</v>
      </c>
      <c r="E1790" s="4">
        <f>IFERROR(__xludf.DUMMYFUNCTION("""COMPUTED_VALUE"""),80.080671)</f>
        <v>80.080671</v>
      </c>
      <c r="F1790" s="4">
        <f>IFERROR(__xludf.DUMMYFUNCTION("""COMPUTED_VALUE"""),3143.0)</f>
        <v>3143</v>
      </c>
      <c r="G1790" s="4">
        <f>IFERROR(__xludf.DUMMYFUNCTION("""COMPUTED_VALUE"""),10.0)</f>
        <v>10</v>
      </c>
      <c r="H1790" s="4"/>
      <c r="I1790" s="4"/>
    </row>
    <row r="1791">
      <c r="A1791" s="4" t="str">
        <f>IFERROR(__xludf.DUMMYFUNCTION("""COMPUTED_VALUE"""),"cas_hmw")</f>
        <v>cas_hmw</v>
      </c>
      <c r="B1791" s="5">
        <f>IFERROR(__xludf.DUMMYFUNCTION("""COMPUTED_VALUE"""),44792.0)</f>
        <v>44792</v>
      </c>
      <c r="C1791" s="6">
        <f>IFERROR(__xludf.DUMMYFUNCTION("""COMPUTED_VALUE"""),0.7008333333324117)</f>
        <v>0.7008333333</v>
      </c>
      <c r="D1791" s="4">
        <f>IFERROR(__xludf.DUMMYFUNCTION("""COMPUTED_VALUE"""),12.936326)</f>
        <v>12.936326</v>
      </c>
      <c r="E1791" s="4">
        <f>IFERROR(__xludf.DUMMYFUNCTION("""COMPUTED_VALUE"""),80.127223)</f>
        <v>80.127223</v>
      </c>
      <c r="F1791" s="4">
        <f>IFERROR(__xludf.DUMMYFUNCTION("""COMPUTED_VALUE"""),5339.0)</f>
        <v>5339</v>
      </c>
      <c r="G1791" s="4">
        <f>IFERROR(__xludf.DUMMYFUNCTION("""COMPUTED_VALUE"""),17.0)</f>
        <v>17</v>
      </c>
      <c r="H1791" s="4"/>
      <c r="I1791" s="4"/>
    </row>
    <row r="1792">
      <c r="A1792" s="4" t="str">
        <f>IFERROR(__xludf.DUMMYFUNCTION("""COMPUTED_VALUE"""),"cas_hmw")</f>
        <v>cas_hmw</v>
      </c>
      <c r="B1792" s="5">
        <f>IFERROR(__xludf.DUMMYFUNCTION("""COMPUTED_VALUE"""),44792.0)</f>
        <v>44792</v>
      </c>
      <c r="C1792" s="6">
        <f>IFERROR(__xludf.DUMMYFUNCTION("""COMPUTED_VALUE"""),0.700856481482333)</f>
        <v>0.7008564815</v>
      </c>
      <c r="D1792" s="4">
        <f>IFERROR(__xludf.DUMMYFUNCTION("""COMPUTED_VALUE"""),12.936326)</f>
        <v>12.936326</v>
      </c>
      <c r="E1792" s="4">
        <f>IFERROR(__xludf.DUMMYFUNCTION("""COMPUTED_VALUE"""),80.127223)</f>
        <v>80.127223</v>
      </c>
      <c r="F1792" s="4">
        <f>IFERROR(__xludf.DUMMYFUNCTION("""COMPUTED_VALUE"""),5339.0)</f>
        <v>5339</v>
      </c>
      <c r="G1792" s="4">
        <f>IFERROR(__xludf.DUMMYFUNCTION("""COMPUTED_VALUE"""),17.0)</f>
        <v>17</v>
      </c>
      <c r="H1792" s="4"/>
      <c r="I1792" s="4"/>
    </row>
    <row r="1793">
      <c r="A1793" s="4" t="str">
        <f>IFERROR(__xludf.DUMMYFUNCTION("""COMPUTED_VALUE"""),"cas_hmw")</f>
        <v>cas_hmw</v>
      </c>
      <c r="B1793" s="5">
        <f>IFERROR(__xludf.DUMMYFUNCTION("""COMPUTED_VALUE"""),44792.0)</f>
        <v>44792</v>
      </c>
      <c r="C1793" s="6">
        <f>IFERROR(__xludf.DUMMYFUNCTION("""COMPUTED_VALUE"""),0.7029976851845277)</f>
        <v>0.7029976852</v>
      </c>
      <c r="D1793" s="4">
        <f>IFERROR(__xludf.DUMMYFUNCTION("""COMPUTED_VALUE"""),12.951287)</f>
        <v>12.951287</v>
      </c>
      <c r="E1793" s="4">
        <f>IFERROR(__xludf.DUMMYFUNCTION("""COMPUTED_VALUE"""),80.140099)</f>
        <v>80.140099</v>
      </c>
      <c r="F1793" s="4">
        <f>IFERROR(__xludf.DUMMYFUNCTION("""COMPUTED_VALUE"""),5339.0)</f>
        <v>5339</v>
      </c>
      <c r="G1793" s="4">
        <f>IFERROR(__xludf.DUMMYFUNCTION("""COMPUTED_VALUE"""),20.0)</f>
        <v>20</v>
      </c>
      <c r="H1793" s="4"/>
      <c r="I1793" s="4"/>
    </row>
    <row r="1794">
      <c r="A1794" s="4" t="str">
        <f>IFERROR(__xludf.DUMMYFUNCTION("""COMPUTED_VALUE"""),"cas_hmw")</f>
        <v>cas_hmw</v>
      </c>
      <c r="B1794" s="5">
        <f>IFERROR(__xludf.DUMMYFUNCTION("""COMPUTED_VALUE"""),44792.0)</f>
        <v>44792</v>
      </c>
      <c r="C1794" s="6">
        <f>IFERROR(__xludf.DUMMYFUNCTION("""COMPUTED_VALUE"""),0.7033449074078817)</f>
        <v>0.7033449074</v>
      </c>
      <c r="D1794" s="4">
        <f>IFERROR(__xludf.DUMMYFUNCTION("""COMPUTED_VALUE"""),12.922438)</f>
        <v>12.922438</v>
      </c>
      <c r="E1794" s="4">
        <f>IFERROR(__xludf.DUMMYFUNCTION("""COMPUTED_VALUE"""),80.140246)</f>
        <v>80.140246</v>
      </c>
      <c r="F1794" s="4">
        <f>IFERROR(__xludf.DUMMYFUNCTION("""COMPUTED_VALUE"""),3143.0)</f>
        <v>3143</v>
      </c>
      <c r="G1794" s="4">
        <f>IFERROR(__xludf.DUMMYFUNCTION("""COMPUTED_VALUE"""),20.0)</f>
        <v>20</v>
      </c>
      <c r="H1794" s="4"/>
      <c r="I1794" s="4"/>
    </row>
    <row r="1795">
      <c r="A1795" s="4" t="str">
        <f>IFERROR(__xludf.DUMMYFUNCTION("""COMPUTED_VALUE"""),"cas_hmw")</f>
        <v>cas_hmw</v>
      </c>
      <c r="B1795" s="5">
        <f>IFERROR(__xludf.DUMMYFUNCTION("""COMPUTED_VALUE"""),44792.0)</f>
        <v>44792</v>
      </c>
      <c r="C1795" s="6">
        <f>IFERROR(__xludf.DUMMYFUNCTION("""COMPUTED_VALUE"""),0.7033564814810234)</f>
        <v>0.7033564815</v>
      </c>
      <c r="D1795" s="4">
        <f>IFERROR(__xludf.DUMMYFUNCTION("""COMPUTED_VALUE"""),12.922438)</f>
        <v>12.922438</v>
      </c>
      <c r="E1795" s="4">
        <f>IFERROR(__xludf.DUMMYFUNCTION("""COMPUTED_VALUE"""),80.140246)</f>
        <v>80.140246</v>
      </c>
      <c r="F1795" s="4">
        <f>IFERROR(__xludf.DUMMYFUNCTION("""COMPUTED_VALUE"""),3143.0)</f>
        <v>3143</v>
      </c>
      <c r="G1795" s="4">
        <f>IFERROR(__xludf.DUMMYFUNCTION("""COMPUTED_VALUE"""),20.0)</f>
        <v>20</v>
      </c>
      <c r="H1795" s="4"/>
      <c r="I1795" s="4"/>
    </row>
    <row r="1796">
      <c r="A1796" s="4" t="str">
        <f>IFERROR(__xludf.DUMMYFUNCTION("""COMPUTED_VALUE"""),"cas_hmw")</f>
        <v>cas_hmw</v>
      </c>
      <c r="B1796" s="5">
        <f>IFERROR(__xludf.DUMMYFUNCTION("""COMPUTED_VALUE"""),44792.0)</f>
        <v>44792</v>
      </c>
      <c r="C1796" s="6">
        <f>IFERROR(__xludf.DUMMYFUNCTION("""COMPUTED_VALUE"""),0.7293634259258397)</f>
        <v>0.7293634259</v>
      </c>
      <c r="D1796" s="4">
        <f>IFERROR(__xludf.DUMMYFUNCTION("""COMPUTED_VALUE"""),12.960614)</f>
        <v>12.960614</v>
      </c>
      <c r="E1796" s="4">
        <f>IFERROR(__xludf.DUMMYFUNCTION("""COMPUTED_VALUE"""),80.214839)</f>
        <v>80.214839</v>
      </c>
      <c r="F1796" s="4">
        <f>IFERROR(__xludf.DUMMYFUNCTION("""COMPUTED_VALUE"""),3143.0)</f>
        <v>3143</v>
      </c>
      <c r="G1796" s="4">
        <f>IFERROR(__xludf.DUMMYFUNCTION("""COMPUTED_VALUE"""),0.0)</f>
        <v>0</v>
      </c>
      <c r="H1796" s="4"/>
      <c r="I1796" s="4"/>
    </row>
    <row r="1797">
      <c r="A1797" s="4" t="str">
        <f>IFERROR(__xludf.DUMMYFUNCTION("""COMPUTED_VALUE"""),"cas_hmw")</f>
        <v>cas_hmw</v>
      </c>
      <c r="B1797" s="5">
        <f>IFERROR(__xludf.DUMMYFUNCTION("""COMPUTED_VALUE"""),44792.0)</f>
        <v>44792</v>
      </c>
      <c r="C1797" s="6">
        <f>IFERROR(__xludf.DUMMYFUNCTION("""COMPUTED_VALUE"""),0.729386574075761)</f>
        <v>0.7293865741</v>
      </c>
      <c r="D1797" s="4">
        <f>IFERROR(__xludf.DUMMYFUNCTION("""COMPUTED_VALUE"""),12.95934)</f>
        <v>12.95934</v>
      </c>
      <c r="E1797" s="4">
        <f>IFERROR(__xludf.DUMMYFUNCTION("""COMPUTED_VALUE"""),80.214328)</f>
        <v>80.214328</v>
      </c>
      <c r="F1797" s="4">
        <f>IFERROR(__xludf.DUMMYFUNCTION("""COMPUTED_VALUE"""),3143.0)</f>
        <v>3143</v>
      </c>
      <c r="G1797" s="4">
        <f>IFERROR(__xludf.DUMMYFUNCTION("""COMPUTED_VALUE"""),0.0)</f>
        <v>0</v>
      </c>
      <c r="H1797" s="4"/>
      <c r="I1797" s="4"/>
    </row>
    <row r="1798">
      <c r="A1798" s="4" t="str">
        <f>IFERROR(__xludf.DUMMYFUNCTION("""COMPUTED_VALUE"""),"cas_hmw")</f>
        <v>cas_hmw</v>
      </c>
      <c r="B1798" s="5">
        <f>IFERROR(__xludf.DUMMYFUNCTION("""COMPUTED_VALUE"""),44792.0)</f>
        <v>44792</v>
      </c>
      <c r="C1798" s="6">
        <f>IFERROR(__xludf.DUMMYFUNCTION("""COMPUTED_VALUE"""),0.7295138888875954)</f>
        <v>0.7295138889</v>
      </c>
      <c r="D1798" s="4">
        <f>IFERROR(__xludf.DUMMYFUNCTION("""COMPUTED_VALUE"""),12.95934)</f>
        <v>12.95934</v>
      </c>
      <c r="E1798" s="4">
        <f>IFERROR(__xludf.DUMMYFUNCTION("""COMPUTED_VALUE"""),80.214328)</f>
        <v>80.214328</v>
      </c>
      <c r="F1798" s="4">
        <f>IFERROR(__xludf.DUMMYFUNCTION("""COMPUTED_VALUE"""),3143.0)</f>
        <v>3143</v>
      </c>
      <c r="G1798" s="4">
        <f>IFERROR(__xludf.DUMMYFUNCTION("""COMPUTED_VALUE"""),0.0)</f>
        <v>0</v>
      </c>
      <c r="H1798" s="4"/>
      <c r="I1798" s="4"/>
    </row>
    <row r="1799">
      <c r="A1799" s="4" t="str">
        <f>IFERROR(__xludf.DUMMYFUNCTION("""COMPUTED_VALUE"""),"cas_hmw")</f>
        <v>cas_hmw</v>
      </c>
      <c r="B1799" s="5">
        <f>IFERROR(__xludf.DUMMYFUNCTION("""COMPUTED_VALUE"""),44792.0)</f>
        <v>44792</v>
      </c>
      <c r="C1799" s="6">
        <f>IFERROR(__xludf.DUMMYFUNCTION("""COMPUTED_VALUE"""),0.7410995370373712)</f>
        <v>0.741099537</v>
      </c>
      <c r="D1799" s="4">
        <f>IFERROR(__xludf.DUMMYFUNCTION("""COMPUTED_VALUE"""),13.066673)</f>
        <v>13.066673</v>
      </c>
      <c r="E1799" s="4">
        <f>IFERROR(__xludf.DUMMYFUNCTION("""COMPUTED_VALUE"""),80.268412)</f>
        <v>80.268412</v>
      </c>
      <c r="F1799" s="4">
        <f>IFERROR(__xludf.DUMMYFUNCTION("""COMPUTED_VALUE"""),5339.0)</f>
        <v>5339</v>
      </c>
      <c r="G1799" s="4">
        <f>IFERROR(__xludf.DUMMYFUNCTION("""COMPUTED_VALUE"""),6.0)</f>
        <v>6</v>
      </c>
      <c r="H1799" s="4"/>
      <c r="I1799" s="4"/>
    </row>
    <row r="1800">
      <c r="A1800" s="4" t="str">
        <f>IFERROR(__xludf.DUMMYFUNCTION("""COMPUTED_VALUE"""),"cas_hmw")</f>
        <v>cas_hmw</v>
      </c>
      <c r="B1800" s="5">
        <f>IFERROR(__xludf.DUMMYFUNCTION("""COMPUTED_VALUE"""),44792.0)</f>
        <v>44792</v>
      </c>
      <c r="C1800" s="6">
        <f>IFERROR(__xludf.DUMMYFUNCTION("""COMPUTED_VALUE"""),0.7439583333325572)</f>
        <v>0.7439583333</v>
      </c>
      <c r="D1800" s="4">
        <f>IFERROR(__xludf.DUMMYFUNCTION("""COMPUTED_VALUE"""),12.950456)</f>
        <v>12.950456</v>
      </c>
      <c r="E1800" s="4">
        <f>IFERROR(__xludf.DUMMYFUNCTION("""COMPUTED_VALUE"""),80.139696)</f>
        <v>80.139696</v>
      </c>
      <c r="F1800" s="4">
        <f>IFERROR(__xludf.DUMMYFUNCTION("""COMPUTED_VALUE"""),3143.0)</f>
        <v>3143</v>
      </c>
      <c r="G1800" s="4">
        <f>IFERROR(__xludf.DUMMYFUNCTION("""COMPUTED_VALUE"""),14.0)</f>
        <v>14</v>
      </c>
      <c r="H1800" s="4"/>
      <c r="I1800" s="4"/>
    </row>
    <row r="1801">
      <c r="A1801" s="4" t="str">
        <f>IFERROR(__xludf.DUMMYFUNCTION("""COMPUTED_VALUE"""),"cas_hmw")</f>
        <v>cas_hmw</v>
      </c>
      <c r="B1801" s="5">
        <f>IFERROR(__xludf.DUMMYFUNCTION("""COMPUTED_VALUE"""),44792.0)</f>
        <v>44792</v>
      </c>
      <c r="C1801" s="6">
        <f>IFERROR(__xludf.DUMMYFUNCTION("""COMPUTED_VALUE"""),0.7458333333343035)</f>
        <v>0.7458333333</v>
      </c>
      <c r="D1801" s="4">
        <f>IFERROR(__xludf.DUMMYFUNCTION("""COMPUTED_VALUE"""),13.066844)</f>
        <v>13.066844</v>
      </c>
      <c r="E1801" s="4">
        <f>IFERROR(__xludf.DUMMYFUNCTION("""COMPUTED_VALUE"""),80.254036)</f>
        <v>80.254036</v>
      </c>
      <c r="F1801" s="4">
        <f>IFERROR(__xludf.DUMMYFUNCTION("""COMPUTED_VALUE"""),5339.0)</f>
        <v>5339</v>
      </c>
      <c r="G1801" s="4">
        <f>IFERROR(__xludf.DUMMYFUNCTION("""COMPUTED_VALUE"""),20.0)</f>
        <v>20</v>
      </c>
      <c r="H1801" s="4"/>
      <c r="I1801" s="4"/>
    </row>
    <row r="1802">
      <c r="A1802" s="4" t="str">
        <f>IFERROR(__xludf.DUMMYFUNCTION("""COMPUTED_VALUE"""),"cas_hmw")</f>
        <v>cas_hmw</v>
      </c>
      <c r="B1802" s="5">
        <f>IFERROR(__xludf.DUMMYFUNCTION("""COMPUTED_VALUE"""),44792.0)</f>
        <v>44792</v>
      </c>
      <c r="C1802" s="6">
        <f>IFERROR(__xludf.DUMMYFUNCTION("""COMPUTED_VALUE"""),0.7458680555573665)</f>
        <v>0.7458680556</v>
      </c>
      <c r="D1802" s="4">
        <f>IFERROR(__xludf.DUMMYFUNCTION("""COMPUTED_VALUE"""),13.066844)</f>
        <v>13.066844</v>
      </c>
      <c r="E1802" s="4">
        <f>IFERROR(__xludf.DUMMYFUNCTION("""COMPUTED_VALUE"""),80.254036)</f>
        <v>80.254036</v>
      </c>
      <c r="F1802" s="4">
        <f>IFERROR(__xludf.DUMMYFUNCTION("""COMPUTED_VALUE"""),5339.0)</f>
        <v>5339</v>
      </c>
      <c r="G1802" s="4">
        <f>IFERROR(__xludf.DUMMYFUNCTION("""COMPUTED_VALUE"""),20.0)</f>
        <v>20</v>
      </c>
      <c r="H1802" s="4"/>
      <c r="I1802" s="4"/>
    </row>
    <row r="1803">
      <c r="A1803" s="4" t="str">
        <f>IFERROR(__xludf.DUMMYFUNCTION("""COMPUTED_VALUE"""),"cas_hmw")</f>
        <v>cas_hmw</v>
      </c>
      <c r="B1803" s="5">
        <f>IFERROR(__xludf.DUMMYFUNCTION("""COMPUTED_VALUE"""),44792.0)</f>
        <v>44792</v>
      </c>
      <c r="C1803" s="6">
        <f>IFERROR(__xludf.DUMMYFUNCTION("""COMPUTED_VALUE"""),0.7465046296310902)</f>
        <v>0.7465046296</v>
      </c>
      <c r="D1803" s="4">
        <f>IFERROR(__xludf.DUMMYFUNCTION("""COMPUTED_VALUE"""),13.06742)</f>
        <v>13.06742</v>
      </c>
      <c r="E1803" s="4">
        <f>IFERROR(__xludf.DUMMYFUNCTION("""COMPUTED_VALUE"""),80.250821)</f>
        <v>80.250821</v>
      </c>
      <c r="F1803" s="4">
        <f>IFERROR(__xludf.DUMMYFUNCTION("""COMPUTED_VALUE"""),5339.0)</f>
        <v>5339</v>
      </c>
      <c r="G1803" s="4">
        <f>IFERROR(__xludf.DUMMYFUNCTION("""COMPUTED_VALUE"""),20.0)</f>
        <v>20</v>
      </c>
      <c r="H1803" s="4"/>
      <c r="I1803" s="4"/>
    </row>
    <row r="1804">
      <c r="A1804" s="4" t="str">
        <f>IFERROR(__xludf.DUMMYFUNCTION("""COMPUTED_VALUE"""),"cas_hmw")</f>
        <v>cas_hmw</v>
      </c>
      <c r="B1804" s="5">
        <f>IFERROR(__xludf.DUMMYFUNCTION("""COMPUTED_VALUE"""),44792.0)</f>
        <v>44792</v>
      </c>
      <c r="C1804" s="6">
        <f>IFERROR(__xludf.DUMMYFUNCTION("""COMPUTED_VALUE"""),0.7470254629624833)</f>
        <v>0.747025463</v>
      </c>
      <c r="D1804" s="4">
        <f>IFERROR(__xludf.DUMMYFUNCTION("""COMPUTED_VALUE"""),13.067619)</f>
        <v>13.067619</v>
      </c>
      <c r="E1804" s="4">
        <f>IFERROR(__xludf.DUMMYFUNCTION("""COMPUTED_VALUE"""),80.24964)</f>
        <v>80.24964</v>
      </c>
      <c r="F1804" s="4">
        <f>IFERROR(__xludf.DUMMYFUNCTION("""COMPUTED_VALUE"""),5339.0)</f>
        <v>5339</v>
      </c>
      <c r="G1804" s="4">
        <f>IFERROR(__xludf.DUMMYFUNCTION("""COMPUTED_VALUE"""),18.0)</f>
        <v>18</v>
      </c>
      <c r="H1804" s="4"/>
      <c r="I1804" s="4"/>
    </row>
    <row r="1805">
      <c r="A1805" s="4" t="str">
        <f>IFERROR(__xludf.DUMMYFUNCTION("""COMPUTED_VALUE"""),"cas_hmw")</f>
        <v>cas_hmw</v>
      </c>
      <c r="B1805" s="5">
        <f>IFERROR(__xludf.DUMMYFUNCTION("""COMPUTED_VALUE"""),44792.0)</f>
        <v>44792</v>
      </c>
      <c r="C1805" s="6">
        <f>IFERROR(__xludf.DUMMYFUNCTION("""COMPUTED_VALUE"""),0.7517824074056989)</f>
        <v>0.7517824074</v>
      </c>
      <c r="D1805" s="4">
        <f>IFERROR(__xludf.DUMMYFUNCTION("""COMPUTED_VALUE"""),12.912547)</f>
        <v>12.912547</v>
      </c>
      <c r="E1805" s="4">
        <f>IFERROR(__xludf.DUMMYFUNCTION("""COMPUTED_VALUE"""),80.101556)</f>
        <v>80.101556</v>
      </c>
      <c r="F1805" s="4">
        <f>IFERROR(__xludf.DUMMYFUNCTION("""COMPUTED_VALUE"""),3143.0)</f>
        <v>3143</v>
      </c>
      <c r="G1805" s="4">
        <f>IFERROR(__xludf.DUMMYFUNCTION("""COMPUTED_VALUE"""),0.0)</f>
        <v>0</v>
      </c>
      <c r="H1805" s="4"/>
      <c r="I1805" s="4"/>
    </row>
    <row r="1806">
      <c r="A1806" s="4" t="str">
        <f>IFERROR(__xludf.DUMMYFUNCTION("""COMPUTED_VALUE"""),"cas_hmw")</f>
        <v>cas_hmw</v>
      </c>
      <c r="B1806" s="5">
        <f>IFERROR(__xludf.DUMMYFUNCTION("""COMPUTED_VALUE"""),44795.0)</f>
        <v>44795</v>
      </c>
      <c r="C1806" s="6">
        <f>IFERROR(__xludf.DUMMYFUNCTION("""COMPUTED_VALUE"""),0.3017013888893416)</f>
        <v>0.3017013889</v>
      </c>
      <c r="D1806" s="4">
        <f>IFERROR(__xludf.DUMMYFUNCTION("""COMPUTED_VALUE"""),13.018882)</f>
        <v>13.018882</v>
      </c>
      <c r="E1806" s="4">
        <f>IFERROR(__xludf.DUMMYFUNCTION("""COMPUTED_VALUE"""),80.103564)</f>
        <v>80.103564</v>
      </c>
      <c r="F1806" s="4">
        <f>IFERROR(__xludf.DUMMYFUNCTION("""COMPUTED_VALUE"""),3143.0)</f>
        <v>3143</v>
      </c>
      <c r="G1806" s="4">
        <f>IFERROR(__xludf.DUMMYFUNCTION("""COMPUTED_VALUE"""),20.0)</f>
        <v>20</v>
      </c>
      <c r="H1806" s="4"/>
      <c r="I1806" s="4"/>
    </row>
    <row r="1807">
      <c r="A1807" s="4" t="str">
        <f>IFERROR(__xludf.DUMMYFUNCTION("""COMPUTED_VALUE"""),"cas_hmw")</f>
        <v>cas_hmw</v>
      </c>
      <c r="B1807" s="5">
        <f>IFERROR(__xludf.DUMMYFUNCTION("""COMPUTED_VALUE"""),44795.0)</f>
        <v>44795</v>
      </c>
      <c r="C1807" s="6">
        <f>IFERROR(__xludf.DUMMYFUNCTION("""COMPUTED_VALUE"""),0.3326967592583969)</f>
        <v>0.3326967593</v>
      </c>
      <c r="D1807" s="4">
        <f>IFERROR(__xludf.DUMMYFUNCTION("""COMPUTED_VALUE"""),12.74338)</f>
        <v>12.74338</v>
      </c>
      <c r="E1807" s="4">
        <f>IFERROR(__xludf.DUMMYFUNCTION("""COMPUTED_VALUE"""),79.992298)</f>
        <v>79.992298</v>
      </c>
      <c r="F1807" s="4">
        <f>IFERROR(__xludf.DUMMYFUNCTION("""COMPUTED_VALUE"""),2846.0)</f>
        <v>2846</v>
      </c>
      <c r="G1807" s="4">
        <f>IFERROR(__xludf.DUMMYFUNCTION("""COMPUTED_VALUE"""),0.0)</f>
        <v>0</v>
      </c>
      <c r="H1807" s="4"/>
      <c r="I1807" s="4"/>
    </row>
    <row r="1808">
      <c r="A1808" s="4" t="str">
        <f>IFERROR(__xludf.DUMMYFUNCTION("""COMPUTED_VALUE"""),"cas_hmw")</f>
        <v>cas_hmw</v>
      </c>
      <c r="B1808" s="5">
        <f>IFERROR(__xludf.DUMMYFUNCTION("""COMPUTED_VALUE"""),44795.0)</f>
        <v>44795</v>
      </c>
      <c r="C1808" s="6">
        <f>IFERROR(__xludf.DUMMYFUNCTION("""COMPUTED_VALUE"""),0.3381249999983993)</f>
        <v>0.338125</v>
      </c>
      <c r="D1808" s="4">
        <f>IFERROR(__xludf.DUMMYFUNCTION("""COMPUTED_VALUE"""),12.952294)</f>
        <v>12.952294</v>
      </c>
      <c r="E1808" s="4">
        <f>IFERROR(__xludf.DUMMYFUNCTION("""COMPUTED_VALUE"""),80.140989)</f>
        <v>80.140989</v>
      </c>
      <c r="F1808" s="4">
        <f>IFERROR(__xludf.DUMMYFUNCTION("""COMPUTED_VALUE"""),3143.0)</f>
        <v>3143</v>
      </c>
      <c r="G1808" s="4">
        <f>IFERROR(__xludf.DUMMYFUNCTION("""COMPUTED_VALUE"""),0.0)</f>
        <v>0</v>
      </c>
      <c r="H1808" s="4"/>
      <c r="I1808" s="4"/>
    </row>
    <row r="1809">
      <c r="A1809" s="4" t="str">
        <f>IFERROR(__xludf.DUMMYFUNCTION("""COMPUTED_VALUE"""),"cas_hmw")</f>
        <v>cas_hmw</v>
      </c>
      <c r="B1809" s="5">
        <f>IFERROR(__xludf.DUMMYFUNCTION("""COMPUTED_VALUE"""),44795.0)</f>
        <v>44795</v>
      </c>
      <c r="C1809" s="6">
        <f>IFERROR(__xludf.DUMMYFUNCTION("""COMPUTED_VALUE"""),0.33813657407517894)</f>
        <v>0.3381365741</v>
      </c>
      <c r="D1809" s="4">
        <f>IFERROR(__xludf.DUMMYFUNCTION("""COMPUTED_VALUE"""),12.952294)</f>
        <v>12.952294</v>
      </c>
      <c r="E1809" s="4">
        <f>IFERROR(__xludf.DUMMYFUNCTION("""COMPUTED_VALUE"""),80.140989)</f>
        <v>80.140989</v>
      </c>
      <c r="F1809" s="4">
        <f>IFERROR(__xludf.DUMMYFUNCTION("""COMPUTED_VALUE"""),3143.0)</f>
        <v>3143</v>
      </c>
      <c r="G1809" s="4">
        <f>IFERROR(__xludf.DUMMYFUNCTION("""COMPUTED_VALUE"""),0.0)</f>
        <v>0</v>
      </c>
      <c r="H1809" s="4"/>
      <c r="I1809" s="4"/>
    </row>
    <row r="1810">
      <c r="A1810" s="4" t="str">
        <f>IFERROR(__xludf.DUMMYFUNCTION("""COMPUTED_VALUE"""),"cas_hmw")</f>
        <v>cas_hmw</v>
      </c>
      <c r="B1810" s="5">
        <f>IFERROR(__xludf.DUMMYFUNCTION("""COMPUTED_VALUE"""),44795.0)</f>
        <v>44795</v>
      </c>
      <c r="C1810" s="6">
        <f>IFERROR(__xludf.DUMMYFUNCTION("""COMPUTED_VALUE"""),0.35182870370408637)</f>
        <v>0.3518287037</v>
      </c>
      <c r="D1810" s="4">
        <f>IFERROR(__xludf.DUMMYFUNCTION("""COMPUTED_VALUE"""),12.915475)</f>
        <v>12.915475</v>
      </c>
      <c r="E1810" s="4">
        <f>IFERROR(__xludf.DUMMYFUNCTION("""COMPUTED_VALUE"""),80.077125)</f>
        <v>80.077125</v>
      </c>
      <c r="F1810" s="4">
        <f>IFERROR(__xludf.DUMMYFUNCTION("""COMPUTED_VALUE"""),3143.0)</f>
        <v>3143</v>
      </c>
      <c r="G1810" s="4">
        <f>IFERROR(__xludf.DUMMYFUNCTION("""COMPUTED_VALUE"""),16.0)</f>
        <v>16</v>
      </c>
      <c r="H1810" s="4"/>
      <c r="I1810" s="4"/>
    </row>
    <row r="1811">
      <c r="A1811" s="4" t="str">
        <f>IFERROR(__xludf.DUMMYFUNCTION("""COMPUTED_VALUE"""),"cas_hmw")</f>
        <v>cas_hmw</v>
      </c>
      <c r="B1811" s="5">
        <f>IFERROR(__xludf.DUMMYFUNCTION("""COMPUTED_VALUE"""),44795.0)</f>
        <v>44795</v>
      </c>
      <c r="C1811" s="6">
        <f>IFERROR(__xludf.DUMMYFUNCTION("""COMPUTED_VALUE"""),0.6994444444426335)</f>
        <v>0.6994444444</v>
      </c>
      <c r="D1811" s="4">
        <f>IFERROR(__xludf.DUMMYFUNCTION("""COMPUTED_VALUE"""),12.916776)</f>
        <v>12.916776</v>
      </c>
      <c r="E1811" s="4">
        <f>IFERROR(__xludf.DUMMYFUNCTION("""COMPUTED_VALUE"""),80.106613)</f>
        <v>80.106613</v>
      </c>
      <c r="F1811" s="4">
        <f>IFERROR(__xludf.DUMMYFUNCTION("""COMPUTED_VALUE"""),3143.0)</f>
        <v>3143</v>
      </c>
      <c r="G1811" s="4">
        <f>IFERROR(__xludf.DUMMYFUNCTION("""COMPUTED_VALUE"""),4.0)</f>
        <v>4</v>
      </c>
      <c r="H1811" s="4"/>
      <c r="I1811" s="4"/>
    </row>
    <row r="1812">
      <c r="A1812" s="4" t="str">
        <f>IFERROR(__xludf.DUMMYFUNCTION("""COMPUTED_VALUE"""),"cas_hmw")</f>
        <v>cas_hmw</v>
      </c>
      <c r="B1812" s="5">
        <f>IFERROR(__xludf.DUMMYFUNCTION("""COMPUTED_VALUE"""),44795.0)</f>
        <v>44795</v>
      </c>
      <c r="C1812" s="6">
        <f>IFERROR(__xludf.DUMMYFUNCTION("""COMPUTED_VALUE"""),0.7009722222210257)</f>
        <v>0.7009722222</v>
      </c>
      <c r="D1812" s="4">
        <f>IFERROR(__xludf.DUMMYFUNCTION("""COMPUTED_VALUE"""),12.931406)</f>
        <v>12.931406</v>
      </c>
      <c r="E1812" s="4">
        <f>IFERROR(__xludf.DUMMYFUNCTION("""COMPUTED_VALUE"""),80.122494)</f>
        <v>80.122494</v>
      </c>
      <c r="F1812" s="4">
        <f>IFERROR(__xludf.DUMMYFUNCTION("""COMPUTED_VALUE"""),5339.0)</f>
        <v>5339</v>
      </c>
      <c r="G1812" s="4">
        <f>IFERROR(__xludf.DUMMYFUNCTION("""COMPUTED_VALUE"""),18.0)</f>
        <v>18</v>
      </c>
      <c r="H1812" s="4"/>
      <c r="I1812" s="4"/>
    </row>
    <row r="1813">
      <c r="A1813" s="4" t="str">
        <f>IFERROR(__xludf.DUMMYFUNCTION("""COMPUTED_VALUE"""),"cas_hmw")</f>
        <v>cas_hmw</v>
      </c>
      <c r="B1813" s="5">
        <f>IFERROR(__xludf.DUMMYFUNCTION("""COMPUTED_VALUE"""),44795.0)</f>
        <v>44795</v>
      </c>
      <c r="C1813" s="6">
        <f>IFERROR(__xludf.DUMMYFUNCTION("""COMPUTED_VALUE"""),0.7046759259246755)</f>
        <v>0.7046759259</v>
      </c>
      <c r="D1813" s="4">
        <f>IFERROR(__xludf.DUMMYFUNCTION("""COMPUTED_VALUE"""),12.950373)</f>
        <v>12.950373</v>
      </c>
      <c r="E1813" s="4">
        <f>IFERROR(__xludf.DUMMYFUNCTION("""COMPUTED_VALUE"""),80.139383)</f>
        <v>80.139383</v>
      </c>
      <c r="F1813" s="4">
        <f>IFERROR(__xludf.DUMMYFUNCTION("""COMPUTED_VALUE"""),5339.0)</f>
        <v>5339</v>
      </c>
      <c r="G1813" s="4">
        <f>IFERROR(__xludf.DUMMYFUNCTION("""COMPUTED_VALUE"""),0.0)</f>
        <v>0</v>
      </c>
      <c r="H1813" s="4"/>
      <c r="I1813" s="4"/>
    </row>
    <row r="1814">
      <c r="A1814" s="4" t="str">
        <f>IFERROR(__xludf.DUMMYFUNCTION("""COMPUTED_VALUE"""),"cas_hmw")</f>
        <v>cas_hmw</v>
      </c>
      <c r="B1814" s="5">
        <f>IFERROR(__xludf.DUMMYFUNCTION("""COMPUTED_VALUE"""),44795.0)</f>
        <v>44795</v>
      </c>
      <c r="C1814" s="6">
        <f>IFERROR(__xludf.DUMMYFUNCTION("""COMPUTED_VALUE"""),0.7059027777795563)</f>
        <v>0.7059027778</v>
      </c>
      <c r="D1814" s="4">
        <f>IFERROR(__xludf.DUMMYFUNCTION("""COMPUTED_VALUE"""),12.922538)</f>
        <v>12.922538</v>
      </c>
      <c r="E1814" s="4">
        <f>IFERROR(__xludf.DUMMYFUNCTION("""COMPUTED_VALUE"""),80.137556)</f>
        <v>80.137556</v>
      </c>
      <c r="F1814" s="4">
        <f>IFERROR(__xludf.DUMMYFUNCTION("""COMPUTED_VALUE"""),3143.0)</f>
        <v>3143</v>
      </c>
      <c r="G1814" s="4">
        <f>IFERROR(__xludf.DUMMYFUNCTION("""COMPUTED_VALUE"""),0.0)</f>
        <v>0</v>
      </c>
      <c r="H1814" s="4"/>
      <c r="I1814" s="4"/>
    </row>
    <row r="1815">
      <c r="A1815" s="4" t="str">
        <f>IFERROR(__xludf.DUMMYFUNCTION("""COMPUTED_VALUE"""),"cas_hmw")</f>
        <v>cas_hmw</v>
      </c>
      <c r="B1815" s="5">
        <f>IFERROR(__xludf.DUMMYFUNCTION("""COMPUTED_VALUE"""),44795.0)</f>
        <v>44795</v>
      </c>
      <c r="C1815" s="6">
        <f>IFERROR(__xludf.DUMMYFUNCTION("""COMPUTED_VALUE"""),0.706087962964375)</f>
        <v>0.706087963</v>
      </c>
      <c r="D1815" s="4">
        <f>IFERROR(__xludf.DUMMYFUNCTION("""COMPUTED_VALUE"""),12.922535)</f>
        <v>12.922535</v>
      </c>
      <c r="E1815" s="4">
        <f>IFERROR(__xludf.DUMMYFUNCTION("""COMPUTED_VALUE"""),80.137584)</f>
        <v>80.137584</v>
      </c>
      <c r="F1815" s="4">
        <f>IFERROR(__xludf.DUMMYFUNCTION("""COMPUTED_VALUE"""),3143.0)</f>
        <v>3143</v>
      </c>
      <c r="G1815" s="4">
        <f>IFERROR(__xludf.DUMMYFUNCTION("""COMPUTED_VALUE"""),0.0)</f>
        <v>0</v>
      </c>
      <c r="H1815" s="4"/>
      <c r="I1815" s="4"/>
    </row>
    <row r="1816">
      <c r="A1816" s="4" t="str">
        <f>IFERROR(__xludf.DUMMYFUNCTION("""COMPUTED_VALUE"""),"cas_hmw")</f>
        <v>cas_hmw</v>
      </c>
      <c r="B1816" s="5">
        <f>IFERROR(__xludf.DUMMYFUNCTION("""COMPUTED_VALUE"""),44795.0)</f>
        <v>44795</v>
      </c>
      <c r="C1816" s="6">
        <f>IFERROR(__xludf.DUMMYFUNCTION("""COMPUTED_VALUE"""),0.7105439814804413)</f>
        <v>0.7105439815</v>
      </c>
      <c r="D1816" s="4">
        <f>IFERROR(__xludf.DUMMYFUNCTION("""COMPUTED_VALUE"""),12.985453)</f>
        <v>12.985453</v>
      </c>
      <c r="E1816" s="4">
        <f>IFERROR(__xludf.DUMMYFUNCTION("""COMPUTED_VALUE"""),80.173187)</f>
        <v>80.173187</v>
      </c>
      <c r="F1816" s="4">
        <f>IFERROR(__xludf.DUMMYFUNCTION("""COMPUTED_VALUE"""),5339.0)</f>
        <v>5339</v>
      </c>
      <c r="G1816" s="4">
        <f>IFERROR(__xludf.DUMMYFUNCTION("""COMPUTED_VALUE"""),17.0)</f>
        <v>17</v>
      </c>
      <c r="H1816" s="4"/>
      <c r="I1816" s="4"/>
    </row>
    <row r="1817">
      <c r="A1817" s="4" t="str">
        <f>IFERROR(__xludf.DUMMYFUNCTION("""COMPUTED_VALUE"""),"cas_hmw")</f>
        <v>cas_hmw</v>
      </c>
      <c r="B1817" s="5">
        <f>IFERROR(__xludf.DUMMYFUNCTION("""COMPUTED_VALUE"""),44795.0)</f>
        <v>44795</v>
      </c>
      <c r="C1817" s="6">
        <f>IFERROR(__xludf.DUMMYFUNCTION("""COMPUTED_VALUE"""),0.7152777777773736)</f>
        <v>0.7152777778</v>
      </c>
      <c r="D1817" s="4">
        <f>IFERROR(__xludf.DUMMYFUNCTION("""COMPUTED_VALUE"""),12.998931)</f>
        <v>12.998931</v>
      </c>
      <c r="E1817" s="4">
        <f>IFERROR(__xludf.DUMMYFUNCTION("""COMPUTED_VALUE"""),80.192689)</f>
        <v>80.192689</v>
      </c>
      <c r="F1817" s="4">
        <f>IFERROR(__xludf.DUMMYFUNCTION("""COMPUTED_VALUE"""),5339.0)</f>
        <v>5339</v>
      </c>
      <c r="G1817" s="4">
        <f>IFERROR(__xludf.DUMMYFUNCTION("""COMPUTED_VALUE"""),11.0)</f>
        <v>11</v>
      </c>
      <c r="H1817" s="4"/>
      <c r="I1817" s="4"/>
    </row>
    <row r="1818">
      <c r="A1818" s="4" t="str">
        <f>IFERROR(__xludf.DUMMYFUNCTION("""COMPUTED_VALUE"""),"cas_hmw")</f>
        <v>cas_hmw</v>
      </c>
      <c r="B1818" s="5">
        <f>IFERROR(__xludf.DUMMYFUNCTION("""COMPUTED_VALUE"""),44795.0)</f>
        <v>44795</v>
      </c>
      <c r="C1818" s="6">
        <f>IFERROR(__xludf.DUMMYFUNCTION("""COMPUTED_VALUE"""),0.7152777777773736)</f>
        <v>0.7152777778</v>
      </c>
      <c r="D1818" s="4">
        <f>IFERROR(__xludf.DUMMYFUNCTION("""COMPUTED_VALUE"""),12.998931)</f>
        <v>12.998931</v>
      </c>
      <c r="E1818" s="4">
        <f>IFERROR(__xludf.DUMMYFUNCTION("""COMPUTED_VALUE"""),80.192689)</f>
        <v>80.192689</v>
      </c>
      <c r="F1818" s="4">
        <f>IFERROR(__xludf.DUMMYFUNCTION("""COMPUTED_VALUE"""),5339.0)</f>
        <v>5339</v>
      </c>
      <c r="G1818" s="4">
        <f>IFERROR(__xludf.DUMMYFUNCTION("""COMPUTED_VALUE"""),11.0)</f>
        <v>11</v>
      </c>
      <c r="H1818" s="4"/>
      <c r="I1818" s="4"/>
    </row>
    <row r="1819">
      <c r="A1819" s="4" t="str">
        <f>IFERROR(__xludf.DUMMYFUNCTION("""COMPUTED_VALUE"""),"cas_hmw")</f>
        <v>cas_hmw</v>
      </c>
      <c r="B1819" s="5">
        <f>IFERROR(__xludf.DUMMYFUNCTION("""COMPUTED_VALUE"""),44795.0)</f>
        <v>44795</v>
      </c>
      <c r="C1819" s="6">
        <f>IFERROR(__xludf.DUMMYFUNCTION("""COMPUTED_VALUE"""),0.7426967592582514)</f>
        <v>0.7426967593</v>
      </c>
      <c r="D1819" s="4">
        <f>IFERROR(__xludf.DUMMYFUNCTION("""COMPUTED_VALUE"""),12.953247)</f>
        <v>12.953247</v>
      </c>
      <c r="E1819" s="4">
        <f>IFERROR(__xludf.DUMMYFUNCTION("""COMPUTED_VALUE"""),80.21197)</f>
        <v>80.21197</v>
      </c>
      <c r="F1819" s="4">
        <f>IFERROR(__xludf.DUMMYFUNCTION("""COMPUTED_VALUE"""),3143.0)</f>
        <v>3143</v>
      </c>
      <c r="G1819" s="4">
        <f>IFERROR(__xludf.DUMMYFUNCTION("""COMPUTED_VALUE"""),20.0)</f>
        <v>20</v>
      </c>
      <c r="H1819" s="4"/>
      <c r="I1819" s="4"/>
    </row>
    <row r="1820">
      <c r="A1820" s="4" t="str">
        <f>IFERROR(__xludf.DUMMYFUNCTION("""COMPUTED_VALUE"""),"cas_hmw")</f>
        <v>cas_hmw</v>
      </c>
      <c r="B1820" s="5">
        <f>IFERROR(__xludf.DUMMYFUNCTION("""COMPUTED_VALUE"""),44795.0)</f>
        <v>44795</v>
      </c>
      <c r="C1820" s="6">
        <f>IFERROR(__xludf.DUMMYFUNCTION("""COMPUTED_VALUE"""),0.7478472222210257)</f>
        <v>0.7478472222</v>
      </c>
      <c r="D1820" s="4">
        <f>IFERROR(__xludf.DUMMYFUNCTION("""COMPUTED_VALUE"""),13.073013)</f>
        <v>13.073013</v>
      </c>
      <c r="E1820" s="4">
        <f>IFERROR(__xludf.DUMMYFUNCTION("""COMPUTED_VALUE"""),80.260762)</f>
        <v>80.260762</v>
      </c>
      <c r="F1820" s="4">
        <f>IFERROR(__xludf.DUMMYFUNCTION("""COMPUTED_VALUE"""),5339.0)</f>
        <v>5339</v>
      </c>
      <c r="G1820" s="4">
        <f>IFERROR(__xludf.DUMMYFUNCTION("""COMPUTED_VALUE"""),17.0)</f>
        <v>17</v>
      </c>
      <c r="H1820" s="4"/>
      <c r="I1820" s="4"/>
    </row>
    <row r="1821">
      <c r="A1821" s="4" t="str">
        <f>IFERROR(__xludf.DUMMYFUNCTION("""COMPUTED_VALUE"""),"cas_hmw")</f>
        <v>cas_hmw</v>
      </c>
      <c r="B1821" s="5">
        <f>IFERROR(__xludf.DUMMYFUNCTION("""COMPUTED_VALUE"""),44795.0)</f>
        <v>44795</v>
      </c>
      <c r="C1821" s="6">
        <f>IFERROR(__xludf.DUMMYFUNCTION("""COMPUTED_VALUE"""),0.7625925925931369)</f>
        <v>0.7625925926</v>
      </c>
      <c r="D1821" s="4">
        <f>IFERROR(__xludf.DUMMYFUNCTION("""COMPUTED_VALUE"""),12.934907)</f>
        <v>12.934907</v>
      </c>
      <c r="E1821" s="4">
        <f>IFERROR(__xludf.DUMMYFUNCTION("""COMPUTED_VALUE"""),80.126117)</f>
        <v>80.126117</v>
      </c>
      <c r="F1821" s="4">
        <f>IFERROR(__xludf.DUMMYFUNCTION("""COMPUTED_VALUE"""),3143.0)</f>
        <v>3143</v>
      </c>
      <c r="G1821" s="4">
        <f>IFERROR(__xludf.DUMMYFUNCTION("""COMPUTED_VALUE"""),17.0)</f>
        <v>17</v>
      </c>
      <c r="H1821" s="4"/>
      <c r="I1821" s="4"/>
    </row>
    <row r="1822">
      <c r="A1822" s="4" t="str">
        <f>IFERROR(__xludf.DUMMYFUNCTION("""COMPUTED_VALUE"""),"cas_hmw")</f>
        <v>cas_hmw</v>
      </c>
      <c r="B1822" s="5">
        <f>IFERROR(__xludf.DUMMYFUNCTION("""COMPUTED_VALUE"""),44796.0)</f>
        <v>44796</v>
      </c>
      <c r="C1822" s="6">
        <f>IFERROR(__xludf.DUMMYFUNCTION("""COMPUTED_VALUE"""),0.31542824074131204)</f>
        <v>0.3154282407</v>
      </c>
      <c r="D1822" s="4">
        <f>IFERROR(__xludf.DUMMYFUNCTION("""COMPUTED_VALUE"""),13.045466)</f>
        <v>13.045466</v>
      </c>
      <c r="E1822" s="4">
        <f>IFERROR(__xludf.DUMMYFUNCTION("""COMPUTED_VALUE"""),80.248195)</f>
        <v>80.248195</v>
      </c>
      <c r="F1822" s="4">
        <f>IFERROR(__xludf.DUMMYFUNCTION("""COMPUTED_VALUE"""),5339.0)</f>
        <v>5339</v>
      </c>
      <c r="G1822" s="4">
        <f>IFERROR(__xludf.DUMMYFUNCTION("""COMPUTED_VALUE"""),20.0)</f>
        <v>20</v>
      </c>
      <c r="H1822" s="4"/>
      <c r="I1822" s="4"/>
    </row>
    <row r="1823">
      <c r="A1823" s="4" t="str">
        <f>IFERROR(__xludf.DUMMYFUNCTION("""COMPUTED_VALUE"""),"cas_hmw")</f>
        <v>cas_hmw</v>
      </c>
      <c r="B1823" s="5">
        <f>IFERROR(__xludf.DUMMYFUNCTION("""COMPUTED_VALUE"""),44796.0)</f>
        <v>44796</v>
      </c>
      <c r="C1823" s="6">
        <f>IFERROR(__xludf.DUMMYFUNCTION("""COMPUTED_VALUE"""),0.31542824074131204)</f>
        <v>0.3154282407</v>
      </c>
      <c r="D1823" s="4">
        <f>IFERROR(__xludf.DUMMYFUNCTION("""COMPUTED_VALUE"""),13.045466)</f>
        <v>13.045466</v>
      </c>
      <c r="E1823" s="4">
        <f>IFERROR(__xludf.DUMMYFUNCTION("""COMPUTED_VALUE"""),80.248195)</f>
        <v>80.248195</v>
      </c>
      <c r="F1823" s="4">
        <f>IFERROR(__xludf.DUMMYFUNCTION("""COMPUTED_VALUE"""),5339.0)</f>
        <v>5339</v>
      </c>
      <c r="G1823" s="4">
        <f>IFERROR(__xludf.DUMMYFUNCTION("""COMPUTED_VALUE"""),20.0)</f>
        <v>20</v>
      </c>
      <c r="H1823" s="4"/>
      <c r="I1823" s="4"/>
    </row>
    <row r="1824">
      <c r="A1824" s="4" t="str">
        <f>IFERROR(__xludf.DUMMYFUNCTION("""COMPUTED_VALUE"""),"cas_hmw")</f>
        <v>cas_hmw</v>
      </c>
      <c r="B1824" s="5">
        <f>IFERROR(__xludf.DUMMYFUNCTION("""COMPUTED_VALUE"""),44796.0)</f>
        <v>44796</v>
      </c>
      <c r="C1824" s="6">
        <f>IFERROR(__xludf.DUMMYFUNCTION("""COMPUTED_VALUE"""),0.3366319444430701)</f>
        <v>0.3366319444</v>
      </c>
      <c r="D1824" s="4">
        <f>IFERROR(__xludf.DUMMYFUNCTION("""COMPUTED_VALUE"""),12.966259)</f>
        <v>12.966259</v>
      </c>
      <c r="E1824" s="4">
        <f>IFERROR(__xludf.DUMMYFUNCTION("""COMPUTED_VALUE"""),80.148678)</f>
        <v>80.148678</v>
      </c>
      <c r="F1824" s="4">
        <f>IFERROR(__xludf.DUMMYFUNCTION("""COMPUTED_VALUE"""),5339.0)</f>
        <v>5339</v>
      </c>
      <c r="G1824" s="4">
        <f>IFERROR(__xludf.DUMMYFUNCTION("""COMPUTED_VALUE"""),15.0)</f>
        <v>15</v>
      </c>
      <c r="H1824" s="4"/>
      <c r="I1824" s="4"/>
    </row>
    <row r="1825">
      <c r="A1825" s="4" t="str">
        <f>IFERROR(__xludf.DUMMYFUNCTION("""COMPUTED_VALUE"""),"cas_hmw")</f>
        <v>cas_hmw</v>
      </c>
      <c r="B1825" s="5">
        <f>IFERROR(__xludf.DUMMYFUNCTION("""COMPUTED_VALUE"""),44796.0)</f>
        <v>44796</v>
      </c>
      <c r="C1825" s="6">
        <f>IFERROR(__xludf.DUMMYFUNCTION("""COMPUTED_VALUE"""),0.3496759259251121)</f>
        <v>0.3496759259</v>
      </c>
      <c r="D1825" s="4">
        <f>IFERROR(__xludf.DUMMYFUNCTION("""COMPUTED_VALUE"""),12.905019)</f>
        <v>12.905019</v>
      </c>
      <c r="E1825" s="4">
        <f>IFERROR(__xludf.DUMMYFUNCTION("""COMPUTED_VALUE"""),80.095457)</f>
        <v>80.095457</v>
      </c>
      <c r="F1825" s="4">
        <f>IFERROR(__xludf.DUMMYFUNCTION("""COMPUTED_VALUE"""),5339.0)</f>
        <v>5339</v>
      </c>
      <c r="G1825" s="4">
        <f>IFERROR(__xludf.DUMMYFUNCTION("""COMPUTED_VALUE"""),14.0)</f>
        <v>14</v>
      </c>
      <c r="H1825" s="4"/>
      <c r="I1825" s="4"/>
    </row>
    <row r="1826">
      <c r="A1826" s="4" t="str">
        <f>IFERROR(__xludf.DUMMYFUNCTION("""COMPUTED_VALUE"""),"cas_hmw")</f>
        <v>cas_hmw</v>
      </c>
      <c r="B1826" s="5">
        <f>IFERROR(__xludf.DUMMYFUNCTION("""COMPUTED_VALUE"""),44796.0)</f>
        <v>44796</v>
      </c>
      <c r="C1826" s="6">
        <f>IFERROR(__xludf.DUMMYFUNCTION("""COMPUTED_VALUE"""),0.34968749999825377)</f>
        <v>0.3496875</v>
      </c>
      <c r="D1826" s="4">
        <f>IFERROR(__xludf.DUMMYFUNCTION("""COMPUTED_VALUE"""),12.905019)</f>
        <v>12.905019</v>
      </c>
      <c r="E1826" s="4">
        <f>IFERROR(__xludf.DUMMYFUNCTION("""COMPUTED_VALUE"""),80.095457)</f>
        <v>80.095457</v>
      </c>
      <c r="F1826" s="4">
        <f>IFERROR(__xludf.DUMMYFUNCTION("""COMPUTED_VALUE"""),5339.0)</f>
        <v>5339</v>
      </c>
      <c r="G1826" s="4">
        <f>IFERROR(__xludf.DUMMYFUNCTION("""COMPUTED_VALUE"""),14.0)</f>
        <v>14</v>
      </c>
      <c r="H1826" s="4"/>
      <c r="I1826" s="4"/>
    </row>
    <row r="1827">
      <c r="A1827" s="4" t="str">
        <f>IFERROR(__xludf.DUMMYFUNCTION("""COMPUTED_VALUE"""),"cas_hmw")</f>
        <v>cas_hmw</v>
      </c>
      <c r="B1827" s="5">
        <f>IFERROR(__xludf.DUMMYFUNCTION("""COMPUTED_VALUE"""),44796.0)</f>
        <v>44796</v>
      </c>
      <c r="C1827" s="6">
        <f>IFERROR(__xludf.DUMMYFUNCTION("""COMPUTED_VALUE"""),0.3529513888897782)</f>
        <v>0.3529513889</v>
      </c>
      <c r="D1827" s="4">
        <f>IFERROR(__xludf.DUMMYFUNCTION("""COMPUTED_VALUE"""),12.709456)</f>
        <v>12.709456</v>
      </c>
      <c r="E1827" s="4">
        <f>IFERROR(__xludf.DUMMYFUNCTION("""COMPUTED_VALUE"""),79.977512)</f>
        <v>79.977512</v>
      </c>
      <c r="F1827" s="4">
        <f>IFERROR(__xludf.DUMMYFUNCTION("""COMPUTED_VALUE"""),2846.0)</f>
        <v>2846</v>
      </c>
      <c r="G1827" s="4">
        <f>IFERROR(__xludf.DUMMYFUNCTION("""COMPUTED_VALUE"""),6.0)</f>
        <v>6</v>
      </c>
      <c r="H1827" s="4"/>
      <c r="I1827" s="4"/>
    </row>
    <row r="1828">
      <c r="A1828" s="4" t="str">
        <f>IFERROR(__xludf.DUMMYFUNCTION("""COMPUTED_VALUE"""),"cas_hmw")</f>
        <v>cas_hmw</v>
      </c>
      <c r="B1828" s="5">
        <f>IFERROR(__xludf.DUMMYFUNCTION("""COMPUTED_VALUE"""),44796.0)</f>
        <v>44796</v>
      </c>
      <c r="C1828" s="6">
        <f>IFERROR(__xludf.DUMMYFUNCTION("""COMPUTED_VALUE"""),0.36778935185066075)</f>
        <v>0.3677893519</v>
      </c>
      <c r="D1828" s="4">
        <f>IFERROR(__xludf.DUMMYFUNCTION("""COMPUTED_VALUE"""),12.840572)</f>
        <v>12.840572</v>
      </c>
      <c r="E1828" s="4">
        <f>IFERROR(__xludf.DUMMYFUNCTION("""COMPUTED_VALUE"""),80.055911)</f>
        <v>80.055911</v>
      </c>
      <c r="F1828" s="4">
        <f>IFERROR(__xludf.DUMMYFUNCTION("""COMPUTED_VALUE"""),2846.0)</f>
        <v>2846</v>
      </c>
      <c r="G1828" s="4">
        <f>IFERROR(__xludf.DUMMYFUNCTION("""COMPUTED_VALUE"""),17.0)</f>
        <v>17</v>
      </c>
      <c r="H1828" s="4"/>
      <c r="I1828" s="4"/>
    </row>
    <row r="1829">
      <c r="A1829" s="4" t="str">
        <f>IFERROR(__xludf.DUMMYFUNCTION("""COMPUTED_VALUE"""),"cas_hmw")</f>
        <v>cas_hmw</v>
      </c>
      <c r="B1829" s="5">
        <f>IFERROR(__xludf.DUMMYFUNCTION("""COMPUTED_VALUE"""),44796.0)</f>
        <v>44796</v>
      </c>
      <c r="C1829" s="6">
        <f>IFERROR(__xludf.DUMMYFUNCTION("""COMPUTED_VALUE"""),0.7170717592598521)</f>
        <v>0.7170717593</v>
      </c>
      <c r="D1829" s="4">
        <f>IFERROR(__xludf.DUMMYFUNCTION("""COMPUTED_VALUE"""),13.011291)</f>
        <v>13.011291</v>
      </c>
      <c r="E1829" s="4">
        <f>IFERROR(__xludf.DUMMYFUNCTION("""COMPUTED_VALUE"""),80.217976)</f>
        <v>80.217976</v>
      </c>
      <c r="F1829" s="4">
        <f>IFERROR(__xludf.DUMMYFUNCTION("""COMPUTED_VALUE"""),3143.0)</f>
        <v>3143</v>
      </c>
      <c r="G1829" s="4">
        <f>IFERROR(__xludf.DUMMYFUNCTION("""COMPUTED_VALUE"""),16.0)</f>
        <v>16</v>
      </c>
      <c r="H1829" s="4"/>
      <c r="I1829" s="4"/>
    </row>
    <row r="1830">
      <c r="A1830" s="4" t="str">
        <f>IFERROR(__xludf.DUMMYFUNCTION("""COMPUTED_VALUE"""),"cas_hmw")</f>
        <v>cas_hmw</v>
      </c>
      <c r="B1830" s="5">
        <f>IFERROR(__xludf.DUMMYFUNCTION("""COMPUTED_VALUE"""),44796.0)</f>
        <v>44796</v>
      </c>
      <c r="C1830" s="6">
        <f>IFERROR(__xludf.DUMMYFUNCTION("""COMPUTED_VALUE"""),0.7544675925928459)</f>
        <v>0.7544675926</v>
      </c>
      <c r="D1830" s="4">
        <f>IFERROR(__xludf.DUMMYFUNCTION("""COMPUTED_VALUE"""),13.066149)</f>
        <v>13.066149</v>
      </c>
      <c r="E1830" s="4">
        <f>IFERROR(__xludf.DUMMYFUNCTION("""COMPUTED_VALUE"""),80.24793)</f>
        <v>80.24793</v>
      </c>
      <c r="F1830" s="4">
        <f>IFERROR(__xludf.DUMMYFUNCTION("""COMPUTED_VALUE"""),5339.0)</f>
        <v>5339</v>
      </c>
      <c r="G1830" s="4">
        <f>IFERROR(__xludf.DUMMYFUNCTION("""COMPUTED_VALUE"""),13.0)</f>
        <v>13</v>
      </c>
      <c r="H1830" s="4"/>
      <c r="I1830" s="4"/>
    </row>
    <row r="1831">
      <c r="A1831" s="4" t="str">
        <f>IFERROR(__xludf.DUMMYFUNCTION("""COMPUTED_VALUE"""),"cas_hmw")</f>
        <v>cas_hmw</v>
      </c>
      <c r="B1831" s="5">
        <f>IFERROR(__xludf.DUMMYFUNCTION("""COMPUTED_VALUE"""),44797.0)</f>
        <v>44797</v>
      </c>
      <c r="C1831" s="6">
        <f>IFERROR(__xludf.DUMMYFUNCTION("""COMPUTED_VALUE"""),0.3392708333340124)</f>
        <v>0.3392708333</v>
      </c>
      <c r="D1831" s="4">
        <f>IFERROR(__xludf.DUMMYFUNCTION("""COMPUTED_VALUE"""),12.974318)</f>
        <v>12.974318</v>
      </c>
      <c r="E1831" s="4">
        <f>IFERROR(__xludf.DUMMYFUNCTION("""COMPUTED_VALUE"""),80.154749)</f>
        <v>80.154749</v>
      </c>
      <c r="F1831" s="4">
        <f>IFERROR(__xludf.DUMMYFUNCTION("""COMPUTED_VALUE"""),3143.0)</f>
        <v>3143</v>
      </c>
      <c r="G1831" s="4">
        <f>IFERROR(__xludf.DUMMYFUNCTION("""COMPUTED_VALUE"""),15.0)</f>
        <v>15</v>
      </c>
      <c r="H1831" s="4"/>
      <c r="I1831" s="4"/>
    </row>
    <row r="1832">
      <c r="A1832" s="4" t="str">
        <f>IFERROR(__xludf.DUMMYFUNCTION("""COMPUTED_VALUE"""),"cas_hmw")</f>
        <v>cas_hmw</v>
      </c>
      <c r="B1832" s="5">
        <f>IFERROR(__xludf.DUMMYFUNCTION("""COMPUTED_VALUE"""),44797.0)</f>
        <v>44797</v>
      </c>
      <c r="C1832" s="6">
        <f>IFERROR(__xludf.DUMMYFUNCTION("""COMPUTED_VALUE"""),0.3398726851846732)</f>
        <v>0.3398726852</v>
      </c>
      <c r="D1832" s="4">
        <f>IFERROR(__xludf.DUMMYFUNCTION("""COMPUTED_VALUE"""),12.920148)</f>
        <v>12.920148</v>
      </c>
      <c r="E1832" s="4">
        <f>IFERROR(__xludf.DUMMYFUNCTION("""COMPUTED_VALUE"""),80.111317)</f>
        <v>80.111317</v>
      </c>
      <c r="F1832" s="4">
        <f>IFERROR(__xludf.DUMMYFUNCTION("""COMPUTED_VALUE"""),5339.0)</f>
        <v>5339</v>
      </c>
      <c r="G1832" s="4">
        <f>IFERROR(__xludf.DUMMYFUNCTION("""COMPUTED_VALUE"""),0.0)</f>
        <v>0</v>
      </c>
      <c r="H1832" s="4"/>
      <c r="I1832" s="4"/>
    </row>
    <row r="1833">
      <c r="A1833" s="4" t="str">
        <f>IFERROR(__xludf.DUMMYFUNCTION("""COMPUTED_VALUE"""),"cas_hmw")</f>
        <v>cas_hmw</v>
      </c>
      <c r="B1833" s="5">
        <f>IFERROR(__xludf.DUMMYFUNCTION("""COMPUTED_VALUE"""),44797.0)</f>
        <v>44797</v>
      </c>
      <c r="C1833" s="6">
        <f>IFERROR(__xludf.DUMMYFUNCTION("""COMPUTED_VALUE"""),0.3421874999985448)</f>
        <v>0.3421875</v>
      </c>
      <c r="D1833" s="4">
        <f>IFERROR(__xludf.DUMMYFUNCTION("""COMPUTED_VALUE"""),12.962947)</f>
        <v>12.962947</v>
      </c>
      <c r="E1833" s="4">
        <f>IFERROR(__xludf.DUMMYFUNCTION("""COMPUTED_VALUE"""),80.146837)</f>
        <v>80.146837</v>
      </c>
      <c r="F1833" s="4">
        <f>IFERROR(__xludf.DUMMYFUNCTION("""COMPUTED_VALUE"""),3143.0)</f>
        <v>3143</v>
      </c>
      <c r="G1833" s="4">
        <f>IFERROR(__xludf.DUMMYFUNCTION("""COMPUTED_VALUE"""),0.0)</f>
        <v>0</v>
      </c>
      <c r="H1833" s="4"/>
      <c r="I1833" s="4"/>
    </row>
    <row r="1834">
      <c r="A1834" s="4" t="str">
        <f>IFERROR(__xludf.DUMMYFUNCTION("""COMPUTED_VALUE"""),"cas_hmw")</f>
        <v>cas_hmw</v>
      </c>
      <c r="B1834" s="5">
        <f>IFERROR(__xludf.DUMMYFUNCTION("""COMPUTED_VALUE"""),44797.0)</f>
        <v>44797</v>
      </c>
      <c r="C1834" s="6">
        <f>IFERROR(__xludf.DUMMYFUNCTION("""COMPUTED_VALUE"""),0.3427314814798592)</f>
        <v>0.3427314815</v>
      </c>
      <c r="D1834" s="4">
        <f>IFERROR(__xludf.DUMMYFUNCTION("""COMPUTED_VALUE"""),12.961442)</f>
        <v>12.961442</v>
      </c>
      <c r="E1834" s="4">
        <f>IFERROR(__xludf.DUMMYFUNCTION("""COMPUTED_VALUE"""),80.146053)</f>
        <v>80.146053</v>
      </c>
      <c r="F1834" s="4">
        <f>IFERROR(__xludf.DUMMYFUNCTION("""COMPUTED_VALUE"""),3143.0)</f>
        <v>3143</v>
      </c>
      <c r="G1834" s="4">
        <f>IFERROR(__xludf.DUMMYFUNCTION("""COMPUTED_VALUE"""),5.0)</f>
        <v>5</v>
      </c>
      <c r="H1834" s="4"/>
      <c r="I1834" s="4"/>
    </row>
    <row r="1835">
      <c r="A1835" s="4" t="str">
        <f>IFERROR(__xludf.DUMMYFUNCTION("""COMPUTED_VALUE"""),"cas_hmw")</f>
        <v>cas_hmw</v>
      </c>
      <c r="B1835" s="5">
        <f>IFERROR(__xludf.DUMMYFUNCTION("""COMPUTED_VALUE"""),44797.0)</f>
        <v>44797</v>
      </c>
      <c r="C1835" s="6">
        <f>IFERROR(__xludf.DUMMYFUNCTION("""COMPUTED_VALUE"""),0.3433564814804413)</f>
        <v>0.3433564815</v>
      </c>
      <c r="D1835" s="4">
        <f>IFERROR(__xludf.DUMMYFUNCTION("""COMPUTED_VALUE"""),12.95677)</f>
        <v>12.95677</v>
      </c>
      <c r="E1835" s="4">
        <f>IFERROR(__xludf.DUMMYFUNCTION("""COMPUTED_VALUE"""),80.143532)</f>
        <v>80.143532</v>
      </c>
      <c r="F1835" s="4">
        <f>IFERROR(__xludf.DUMMYFUNCTION("""COMPUTED_VALUE"""),3143.0)</f>
        <v>3143</v>
      </c>
      <c r="G1835" s="4">
        <f>IFERROR(__xludf.DUMMYFUNCTION("""COMPUTED_VALUE"""),20.0)</f>
        <v>20</v>
      </c>
      <c r="H1835" s="4"/>
      <c r="I1835" s="4"/>
    </row>
    <row r="1836">
      <c r="A1836" s="4" t="str">
        <f>IFERROR(__xludf.DUMMYFUNCTION("""COMPUTED_VALUE"""),"cas_hmw")</f>
        <v>cas_hmw</v>
      </c>
      <c r="B1836" s="5">
        <f>IFERROR(__xludf.DUMMYFUNCTION("""COMPUTED_VALUE"""),44797.0)</f>
        <v>44797</v>
      </c>
      <c r="C1836" s="6">
        <f>IFERROR(__xludf.DUMMYFUNCTION("""COMPUTED_VALUE"""),0.3433912037035043)</f>
        <v>0.3433912037</v>
      </c>
      <c r="D1836" s="4">
        <f>IFERROR(__xludf.DUMMYFUNCTION("""COMPUTED_VALUE"""),12.95677)</f>
        <v>12.95677</v>
      </c>
      <c r="E1836" s="4">
        <f>IFERROR(__xludf.DUMMYFUNCTION("""COMPUTED_VALUE"""),80.143532)</f>
        <v>80.143532</v>
      </c>
      <c r="F1836" s="4">
        <f>IFERROR(__xludf.DUMMYFUNCTION("""COMPUTED_VALUE"""),3143.0)</f>
        <v>3143</v>
      </c>
      <c r="G1836" s="4">
        <f>IFERROR(__xludf.DUMMYFUNCTION("""COMPUTED_VALUE"""),20.0)</f>
        <v>20</v>
      </c>
      <c r="H1836" s="4"/>
      <c r="I1836" s="4"/>
    </row>
    <row r="1837">
      <c r="A1837" s="4" t="str">
        <f>IFERROR(__xludf.DUMMYFUNCTION("""COMPUTED_VALUE"""),"cas_hmw")</f>
        <v>cas_hmw</v>
      </c>
      <c r="B1837" s="5">
        <f>IFERROR(__xludf.DUMMYFUNCTION("""COMPUTED_VALUE"""),44797.0)</f>
        <v>44797</v>
      </c>
      <c r="C1837" s="6">
        <f>IFERROR(__xludf.DUMMYFUNCTION("""COMPUTED_VALUE"""),0.35391203703693463)</f>
        <v>0.353912037</v>
      </c>
      <c r="D1837" s="4">
        <f>IFERROR(__xludf.DUMMYFUNCTION("""COMPUTED_VALUE"""),12.905102)</f>
        <v>12.905102</v>
      </c>
      <c r="E1837" s="4">
        <f>IFERROR(__xludf.DUMMYFUNCTION("""COMPUTED_VALUE"""),80.095534)</f>
        <v>80.095534</v>
      </c>
      <c r="F1837" s="4">
        <f>IFERROR(__xludf.DUMMYFUNCTION("""COMPUTED_VALUE"""),3143.0)</f>
        <v>3143</v>
      </c>
      <c r="G1837" s="4">
        <f>IFERROR(__xludf.DUMMYFUNCTION("""COMPUTED_VALUE"""),18.0)</f>
        <v>18</v>
      </c>
      <c r="H1837" s="4"/>
      <c r="I1837" s="4"/>
    </row>
    <row r="1838">
      <c r="A1838" s="4" t="str">
        <f>IFERROR(__xludf.DUMMYFUNCTION("""COMPUTED_VALUE"""),"cas_hmw")</f>
        <v>cas_hmw</v>
      </c>
      <c r="B1838" s="5">
        <f>IFERROR(__xludf.DUMMYFUNCTION("""COMPUTED_VALUE"""),44797.0)</f>
        <v>44797</v>
      </c>
      <c r="C1838" s="6">
        <f>IFERROR(__xludf.DUMMYFUNCTION("""COMPUTED_VALUE"""),0.7257986111108039)</f>
        <v>0.7257986111</v>
      </c>
      <c r="D1838" s="4">
        <f>IFERROR(__xludf.DUMMYFUNCTION("""COMPUTED_VALUE"""),13.031848)</f>
        <v>13.031848</v>
      </c>
      <c r="E1838" s="4">
        <f>IFERROR(__xludf.DUMMYFUNCTION("""COMPUTED_VALUE"""),80.241247)</f>
        <v>80.241247</v>
      </c>
      <c r="F1838" s="4">
        <f>IFERROR(__xludf.DUMMYFUNCTION("""COMPUTED_VALUE"""),5339.0)</f>
        <v>5339</v>
      </c>
      <c r="G1838" s="4">
        <f>IFERROR(__xludf.DUMMYFUNCTION("""COMPUTED_VALUE"""),9.0)</f>
        <v>9</v>
      </c>
      <c r="H1838" s="4"/>
      <c r="I1838" s="4"/>
    </row>
    <row r="1839">
      <c r="A1839" s="4" t="str">
        <f>IFERROR(__xludf.DUMMYFUNCTION("""COMPUTED_VALUE"""),"cas_hmw")</f>
        <v>cas_hmw</v>
      </c>
      <c r="B1839" s="5">
        <f>IFERROR(__xludf.DUMMYFUNCTION("""COMPUTED_VALUE"""),44797.0)</f>
        <v>44797</v>
      </c>
      <c r="C1839" s="6">
        <f>IFERROR(__xludf.DUMMYFUNCTION("""COMPUTED_VALUE"""),0.7332060185181035)</f>
        <v>0.7332060185</v>
      </c>
      <c r="D1839" s="4">
        <f>IFERROR(__xludf.DUMMYFUNCTION("""COMPUTED_VALUE"""),13.0536)</f>
        <v>13.0536</v>
      </c>
      <c r="E1839" s="4">
        <f>IFERROR(__xludf.DUMMYFUNCTION("""COMPUTED_VALUE"""),80.252693)</f>
        <v>80.252693</v>
      </c>
      <c r="F1839" s="4">
        <f>IFERROR(__xludf.DUMMYFUNCTION("""COMPUTED_VALUE"""),5339.0)</f>
        <v>5339</v>
      </c>
      <c r="G1839" s="4">
        <f>IFERROR(__xludf.DUMMYFUNCTION("""COMPUTED_VALUE"""),16.0)</f>
        <v>16</v>
      </c>
      <c r="H1839" s="4"/>
      <c r="I1839" s="4"/>
    </row>
    <row r="1840">
      <c r="A1840" s="4" t="str">
        <f>IFERROR(__xludf.DUMMYFUNCTION("""COMPUTED_VALUE"""),"cas_hmw")</f>
        <v>cas_hmw</v>
      </c>
      <c r="B1840" s="5">
        <f>IFERROR(__xludf.DUMMYFUNCTION("""COMPUTED_VALUE"""),44797.0)</f>
        <v>44797</v>
      </c>
      <c r="C1840" s="6">
        <f>IFERROR(__xludf.DUMMYFUNCTION("""COMPUTED_VALUE"""),0.7332060185181035)</f>
        <v>0.7332060185</v>
      </c>
      <c r="D1840" s="4">
        <f>IFERROR(__xludf.DUMMYFUNCTION("""COMPUTED_VALUE"""),13.0536)</f>
        <v>13.0536</v>
      </c>
      <c r="E1840" s="4">
        <f>IFERROR(__xludf.DUMMYFUNCTION("""COMPUTED_VALUE"""),80.252693)</f>
        <v>80.252693</v>
      </c>
      <c r="F1840" s="4">
        <f>IFERROR(__xludf.DUMMYFUNCTION("""COMPUTED_VALUE"""),5339.0)</f>
        <v>5339</v>
      </c>
      <c r="G1840" s="4">
        <f>IFERROR(__xludf.DUMMYFUNCTION("""COMPUTED_VALUE"""),16.0)</f>
        <v>16</v>
      </c>
      <c r="H1840" s="4"/>
      <c r="I1840" s="4"/>
    </row>
    <row r="1841">
      <c r="A1841" s="4" t="str">
        <f>IFERROR(__xludf.DUMMYFUNCTION("""COMPUTED_VALUE"""),"cas_hmw")</f>
        <v>cas_hmw</v>
      </c>
      <c r="B1841" s="5">
        <f>IFERROR(__xludf.DUMMYFUNCTION("""COMPUTED_VALUE"""),44798.0)</f>
        <v>44798</v>
      </c>
      <c r="C1841" s="6">
        <f>IFERROR(__xludf.DUMMYFUNCTION("""COMPUTED_VALUE"""),0.3183796296289074)</f>
        <v>0.3183796296</v>
      </c>
      <c r="D1841" s="4">
        <f>IFERROR(__xludf.DUMMYFUNCTION("""COMPUTED_VALUE"""),13.02472)</f>
        <v>13.02472</v>
      </c>
      <c r="E1841" s="4">
        <f>IFERROR(__xludf.DUMMYFUNCTION("""COMPUTED_VALUE"""),80.22915)</f>
        <v>80.22915</v>
      </c>
      <c r="F1841" s="4">
        <f>IFERROR(__xludf.DUMMYFUNCTION("""COMPUTED_VALUE"""),5339.0)</f>
        <v>5339</v>
      </c>
      <c r="G1841" s="4">
        <f>IFERROR(__xludf.DUMMYFUNCTION("""COMPUTED_VALUE"""),0.0)</f>
        <v>0</v>
      </c>
      <c r="H1841" s="4"/>
      <c r="I1841" s="4"/>
    </row>
    <row r="1842">
      <c r="A1842" s="4" t="str">
        <f>IFERROR(__xludf.DUMMYFUNCTION("""COMPUTED_VALUE"""),"cas_hmw")</f>
        <v>cas_hmw</v>
      </c>
      <c r="B1842" s="5">
        <f>IFERROR(__xludf.DUMMYFUNCTION("""COMPUTED_VALUE"""),44798.0)</f>
        <v>44798</v>
      </c>
      <c r="C1842" s="6">
        <f>IFERROR(__xludf.DUMMYFUNCTION("""COMPUTED_VALUE"""),0.3183796296289074)</f>
        <v>0.3183796296</v>
      </c>
      <c r="D1842" s="4">
        <f>IFERROR(__xludf.DUMMYFUNCTION("""COMPUTED_VALUE"""),13.02472)</f>
        <v>13.02472</v>
      </c>
      <c r="E1842" s="4">
        <f>IFERROR(__xludf.DUMMYFUNCTION("""COMPUTED_VALUE"""),80.22915)</f>
        <v>80.22915</v>
      </c>
      <c r="F1842" s="4">
        <f>IFERROR(__xludf.DUMMYFUNCTION("""COMPUTED_VALUE"""),5339.0)</f>
        <v>5339</v>
      </c>
      <c r="G1842" s="4">
        <f>IFERROR(__xludf.DUMMYFUNCTION("""COMPUTED_VALUE"""),0.0)</f>
        <v>0</v>
      </c>
      <c r="H1842" s="4"/>
      <c r="I1842" s="4"/>
    </row>
    <row r="1843">
      <c r="A1843" s="4" t="str">
        <f>IFERROR(__xludf.DUMMYFUNCTION("""COMPUTED_VALUE"""),"cas_hmw")</f>
        <v>cas_hmw</v>
      </c>
      <c r="B1843" s="5">
        <f>IFERROR(__xludf.DUMMYFUNCTION("""COMPUTED_VALUE"""),44798.0)</f>
        <v>44798</v>
      </c>
      <c r="C1843" s="6">
        <f>IFERROR(__xludf.DUMMYFUNCTION("""COMPUTED_VALUE"""),0.3272222222221899)</f>
        <v>0.3272222222</v>
      </c>
      <c r="D1843" s="4">
        <f>IFERROR(__xludf.DUMMYFUNCTION("""COMPUTED_VALUE"""),12.993996)</f>
        <v>12.993996</v>
      </c>
      <c r="E1843" s="4">
        <f>IFERROR(__xludf.DUMMYFUNCTION("""COMPUTED_VALUE"""),80.18555)</f>
        <v>80.18555</v>
      </c>
      <c r="F1843" s="4">
        <f>IFERROR(__xludf.DUMMYFUNCTION("""COMPUTED_VALUE"""),5339.0)</f>
        <v>5339</v>
      </c>
      <c r="G1843" s="4">
        <f>IFERROR(__xludf.DUMMYFUNCTION("""COMPUTED_VALUE"""),0.0)</f>
        <v>0</v>
      </c>
      <c r="H1843" s="4"/>
      <c r="I1843" s="4"/>
    </row>
    <row r="1844">
      <c r="A1844" s="4" t="str">
        <f>IFERROR(__xludf.DUMMYFUNCTION("""COMPUTED_VALUE"""),"cas_hmw")</f>
        <v>cas_hmw</v>
      </c>
      <c r="B1844" s="5">
        <f>IFERROR(__xludf.DUMMYFUNCTION("""COMPUTED_VALUE"""),44798.0)</f>
        <v>44798</v>
      </c>
      <c r="C1844" s="6">
        <f>IFERROR(__xludf.DUMMYFUNCTION("""COMPUTED_VALUE"""),0.3420717592598521)</f>
        <v>0.3420717593</v>
      </c>
      <c r="D1844" s="4">
        <f>IFERROR(__xludf.DUMMYFUNCTION("""COMPUTED_VALUE"""),12.917098)</f>
        <v>12.917098</v>
      </c>
      <c r="E1844" s="4">
        <f>IFERROR(__xludf.DUMMYFUNCTION("""COMPUTED_VALUE"""),80.107442)</f>
        <v>80.107442</v>
      </c>
      <c r="F1844" s="4">
        <f>IFERROR(__xludf.DUMMYFUNCTION("""COMPUTED_VALUE"""),5339.0)</f>
        <v>5339</v>
      </c>
      <c r="G1844" s="4">
        <f>IFERROR(__xludf.DUMMYFUNCTION("""COMPUTED_VALUE"""),0.0)</f>
        <v>0</v>
      </c>
      <c r="H1844" s="4"/>
      <c r="I1844" s="4"/>
    </row>
    <row r="1845">
      <c r="A1845" s="4" t="str">
        <f>IFERROR(__xludf.DUMMYFUNCTION("""COMPUTED_VALUE"""),"cas_hmw")</f>
        <v>cas_hmw</v>
      </c>
      <c r="B1845" s="5">
        <f>IFERROR(__xludf.DUMMYFUNCTION("""COMPUTED_VALUE"""),44798.0)</f>
        <v>44798</v>
      </c>
      <c r="C1845" s="6">
        <f>IFERROR(__xludf.DUMMYFUNCTION("""COMPUTED_VALUE"""),0.34209490740613546)</f>
        <v>0.3420949074</v>
      </c>
      <c r="D1845" s="4">
        <f>IFERROR(__xludf.DUMMYFUNCTION("""COMPUTED_VALUE"""),12.917098)</f>
        <v>12.917098</v>
      </c>
      <c r="E1845" s="4">
        <f>IFERROR(__xludf.DUMMYFUNCTION("""COMPUTED_VALUE"""),80.107442)</f>
        <v>80.107442</v>
      </c>
      <c r="F1845" s="4">
        <f>IFERROR(__xludf.DUMMYFUNCTION("""COMPUTED_VALUE"""),5339.0)</f>
        <v>5339</v>
      </c>
      <c r="G1845" s="4">
        <f>IFERROR(__xludf.DUMMYFUNCTION("""COMPUTED_VALUE"""),0.0)</f>
        <v>0</v>
      </c>
      <c r="H1845" s="4"/>
      <c r="I1845" s="4"/>
    </row>
    <row r="1846">
      <c r="A1846" s="4" t="str">
        <f>IFERROR(__xludf.DUMMYFUNCTION("""COMPUTED_VALUE"""),"cas_hmw")</f>
        <v>cas_hmw</v>
      </c>
      <c r="B1846" s="5">
        <f>IFERROR(__xludf.DUMMYFUNCTION("""COMPUTED_VALUE"""),44798.0)</f>
        <v>44798</v>
      </c>
      <c r="C1846" s="6">
        <f>IFERROR(__xludf.DUMMYFUNCTION("""COMPUTED_VALUE"""),0.3450115740743058)</f>
        <v>0.3450115741</v>
      </c>
      <c r="D1846" s="4">
        <f>IFERROR(__xludf.DUMMYFUNCTION("""COMPUTED_VALUE"""),12.905336)</f>
        <v>12.905336</v>
      </c>
      <c r="E1846" s="4">
        <f>IFERROR(__xludf.DUMMYFUNCTION("""COMPUTED_VALUE"""),80.095699)</f>
        <v>80.095699</v>
      </c>
      <c r="F1846" s="4">
        <f>IFERROR(__xludf.DUMMYFUNCTION("""COMPUTED_VALUE"""),5339.0)</f>
        <v>5339</v>
      </c>
      <c r="G1846" s="4">
        <f>IFERROR(__xludf.DUMMYFUNCTION("""COMPUTED_VALUE"""),0.0)</f>
        <v>0</v>
      </c>
      <c r="H1846" s="4"/>
      <c r="I1846" s="4"/>
    </row>
    <row r="1847">
      <c r="A1847" s="4" t="str">
        <f>IFERROR(__xludf.DUMMYFUNCTION("""COMPUTED_VALUE"""),"cas_hmw")</f>
        <v>cas_hmw</v>
      </c>
      <c r="B1847" s="5">
        <f>IFERROR(__xludf.DUMMYFUNCTION("""COMPUTED_VALUE"""),44798.0)</f>
        <v>44798</v>
      </c>
      <c r="C1847" s="6">
        <f>IFERROR(__xludf.DUMMYFUNCTION("""COMPUTED_VALUE"""),0.3450115740743058)</f>
        <v>0.3450115741</v>
      </c>
      <c r="D1847" s="4">
        <f>IFERROR(__xludf.DUMMYFUNCTION("""COMPUTED_VALUE"""),12.905336)</f>
        <v>12.905336</v>
      </c>
      <c r="E1847" s="4">
        <f>IFERROR(__xludf.DUMMYFUNCTION("""COMPUTED_VALUE"""),80.095699)</f>
        <v>80.095699</v>
      </c>
      <c r="F1847" s="4">
        <f>IFERROR(__xludf.DUMMYFUNCTION("""COMPUTED_VALUE"""),5339.0)</f>
        <v>5339</v>
      </c>
      <c r="G1847" s="4">
        <f>IFERROR(__xludf.DUMMYFUNCTION("""COMPUTED_VALUE"""),0.0)</f>
        <v>0</v>
      </c>
      <c r="H1847" s="4"/>
      <c r="I1847" s="4"/>
    </row>
    <row r="1848">
      <c r="A1848" s="4" t="str">
        <f>IFERROR(__xludf.DUMMYFUNCTION("""COMPUTED_VALUE"""),"cas_hmw")</f>
        <v>cas_hmw</v>
      </c>
      <c r="B1848" s="5">
        <f>IFERROR(__xludf.DUMMYFUNCTION("""COMPUTED_VALUE"""),44798.0)</f>
        <v>44798</v>
      </c>
      <c r="C1848" s="6">
        <f>IFERROR(__xludf.DUMMYFUNCTION("""COMPUTED_VALUE"""),0.3450231481474475)</f>
        <v>0.3450231481</v>
      </c>
      <c r="D1848" s="4">
        <f>IFERROR(__xludf.DUMMYFUNCTION("""COMPUTED_VALUE"""),12.905336)</f>
        <v>12.905336</v>
      </c>
      <c r="E1848" s="4">
        <f>IFERROR(__xludf.DUMMYFUNCTION("""COMPUTED_VALUE"""),80.095699)</f>
        <v>80.095699</v>
      </c>
      <c r="F1848" s="4">
        <f>IFERROR(__xludf.DUMMYFUNCTION("""COMPUTED_VALUE"""),5339.0)</f>
        <v>5339</v>
      </c>
      <c r="G1848" s="4">
        <f>IFERROR(__xludf.DUMMYFUNCTION("""COMPUTED_VALUE"""),0.0)</f>
        <v>0</v>
      </c>
      <c r="H1848" s="4"/>
      <c r="I1848" s="4"/>
    </row>
    <row r="1849">
      <c r="A1849" s="4" t="str">
        <f>IFERROR(__xludf.DUMMYFUNCTION("""COMPUTED_VALUE"""),"cas_hmw")</f>
        <v>cas_hmw</v>
      </c>
      <c r="B1849" s="5">
        <f>IFERROR(__xludf.DUMMYFUNCTION("""COMPUTED_VALUE"""),44798.0)</f>
        <v>44798</v>
      </c>
      <c r="C1849" s="6">
        <f>IFERROR(__xludf.DUMMYFUNCTION("""COMPUTED_VALUE"""),0.3450231481474475)</f>
        <v>0.3450231481</v>
      </c>
      <c r="D1849" s="4">
        <f>IFERROR(__xludf.DUMMYFUNCTION("""COMPUTED_VALUE"""),12.905336)</f>
        <v>12.905336</v>
      </c>
      <c r="E1849" s="4">
        <f>IFERROR(__xludf.DUMMYFUNCTION("""COMPUTED_VALUE"""),80.095699)</f>
        <v>80.095699</v>
      </c>
      <c r="F1849" s="4">
        <f>IFERROR(__xludf.DUMMYFUNCTION("""COMPUTED_VALUE"""),5339.0)</f>
        <v>5339</v>
      </c>
      <c r="G1849" s="4">
        <f>IFERROR(__xludf.DUMMYFUNCTION("""COMPUTED_VALUE"""),0.0)</f>
        <v>0</v>
      </c>
      <c r="H1849" s="4"/>
      <c r="I1849" s="4"/>
    </row>
    <row r="1850">
      <c r="A1850" s="4" t="str">
        <f>IFERROR(__xludf.DUMMYFUNCTION("""COMPUTED_VALUE"""),"cas_hmw")</f>
        <v>cas_hmw</v>
      </c>
      <c r="B1850" s="5">
        <f>IFERROR(__xludf.DUMMYFUNCTION("""COMPUTED_VALUE"""),44798.0)</f>
        <v>44798</v>
      </c>
      <c r="C1850" s="6">
        <f>IFERROR(__xludf.DUMMYFUNCTION("""COMPUTED_VALUE"""),0.3450347222205892)</f>
        <v>0.3450347222</v>
      </c>
      <c r="D1850" s="4">
        <f>IFERROR(__xludf.DUMMYFUNCTION("""COMPUTED_VALUE"""),12.905336)</f>
        <v>12.905336</v>
      </c>
      <c r="E1850" s="4">
        <f>IFERROR(__xludf.DUMMYFUNCTION("""COMPUTED_VALUE"""),80.095699)</f>
        <v>80.095699</v>
      </c>
      <c r="F1850" s="4">
        <f>IFERROR(__xludf.DUMMYFUNCTION("""COMPUTED_VALUE"""),5339.0)</f>
        <v>5339</v>
      </c>
      <c r="G1850" s="4">
        <f>IFERROR(__xludf.DUMMYFUNCTION("""COMPUTED_VALUE"""),0.0)</f>
        <v>0</v>
      </c>
      <c r="H1850" s="4"/>
      <c r="I1850" s="4"/>
    </row>
    <row r="1851">
      <c r="A1851" s="4" t="str">
        <f>IFERROR(__xludf.DUMMYFUNCTION("""COMPUTED_VALUE"""),"cas_hmw")</f>
        <v>cas_hmw</v>
      </c>
      <c r="B1851" s="5">
        <f>IFERROR(__xludf.DUMMYFUNCTION("""COMPUTED_VALUE"""),44798.0)</f>
        <v>44798</v>
      </c>
      <c r="C1851" s="6">
        <f>IFERROR(__xludf.DUMMYFUNCTION("""COMPUTED_VALUE"""),0.3475694444459805)</f>
        <v>0.3475694444</v>
      </c>
      <c r="D1851" s="4">
        <f>IFERROR(__xludf.DUMMYFUNCTION("""COMPUTED_VALUE"""),12.897265)</f>
        <v>12.897265</v>
      </c>
      <c r="E1851" s="4">
        <f>IFERROR(__xludf.DUMMYFUNCTION("""COMPUTED_VALUE"""),80.08944)</f>
        <v>80.08944</v>
      </c>
      <c r="F1851" s="4">
        <f>IFERROR(__xludf.DUMMYFUNCTION("""COMPUTED_VALUE"""),5339.0)</f>
        <v>5339</v>
      </c>
      <c r="G1851" s="4">
        <f>IFERROR(__xludf.DUMMYFUNCTION("""COMPUTED_VALUE"""),18.0)</f>
        <v>18</v>
      </c>
      <c r="H1851" s="4"/>
      <c r="I1851" s="4"/>
    </row>
    <row r="1852">
      <c r="A1852" s="4" t="str">
        <f>IFERROR(__xludf.DUMMYFUNCTION("""COMPUTED_VALUE"""),"cas_hmw")</f>
        <v>cas_hmw</v>
      </c>
      <c r="B1852" s="5">
        <f>IFERROR(__xludf.DUMMYFUNCTION("""COMPUTED_VALUE"""),44798.0)</f>
        <v>44798</v>
      </c>
      <c r="C1852" s="6">
        <f>IFERROR(__xludf.DUMMYFUNCTION("""COMPUTED_VALUE"""),0.3582407407411665)</f>
        <v>0.3582407407</v>
      </c>
      <c r="D1852" s="4">
        <f>IFERROR(__xludf.DUMMYFUNCTION("""COMPUTED_VALUE"""),12.904835)</f>
        <v>12.904835</v>
      </c>
      <c r="E1852" s="4">
        <f>IFERROR(__xludf.DUMMYFUNCTION("""COMPUTED_VALUE"""),80.095344)</f>
        <v>80.095344</v>
      </c>
      <c r="F1852" s="4">
        <f>IFERROR(__xludf.DUMMYFUNCTION("""COMPUTED_VALUE"""),3143.0)</f>
        <v>3143</v>
      </c>
      <c r="G1852" s="4">
        <f>IFERROR(__xludf.DUMMYFUNCTION("""COMPUTED_VALUE"""),19.0)</f>
        <v>19</v>
      </c>
      <c r="H1852" s="4"/>
      <c r="I1852" s="4"/>
    </row>
    <row r="1853">
      <c r="A1853" s="4" t="str">
        <f>IFERROR(__xludf.DUMMYFUNCTION("""COMPUTED_VALUE"""),"cas_hmw")</f>
        <v>cas_hmw</v>
      </c>
      <c r="B1853" s="5">
        <f>IFERROR(__xludf.DUMMYFUNCTION("""COMPUTED_VALUE"""),44798.0)</f>
        <v>44798</v>
      </c>
      <c r="C1853" s="6">
        <f>IFERROR(__xludf.DUMMYFUNCTION("""COMPUTED_VALUE"""),0.5559259259243845)</f>
        <v>0.5559259259</v>
      </c>
      <c r="D1853" s="4">
        <f>IFERROR(__xludf.DUMMYFUNCTION("""COMPUTED_VALUE"""),12.922787)</f>
        <v>12.922787</v>
      </c>
      <c r="E1853" s="4">
        <f>IFERROR(__xludf.DUMMYFUNCTION("""COMPUTED_VALUE"""),80.1328)</f>
        <v>80.1328</v>
      </c>
      <c r="F1853" s="4">
        <f>IFERROR(__xludf.DUMMYFUNCTION("""COMPUTED_VALUE"""),3143.0)</f>
        <v>3143</v>
      </c>
      <c r="G1853" s="4">
        <f>IFERROR(__xludf.DUMMYFUNCTION("""COMPUTED_VALUE"""),10.0)</f>
        <v>10</v>
      </c>
      <c r="H1853" s="4"/>
      <c r="I1853" s="4"/>
    </row>
    <row r="1854">
      <c r="A1854" s="4" t="str">
        <f>IFERROR(__xludf.DUMMYFUNCTION("""COMPUTED_VALUE"""),"cas_hmw")</f>
        <v>cas_hmw</v>
      </c>
      <c r="B1854" s="5">
        <f>IFERROR(__xludf.DUMMYFUNCTION("""COMPUTED_VALUE"""),44798.0)</f>
        <v>44798</v>
      </c>
      <c r="C1854" s="6">
        <f>IFERROR(__xludf.DUMMYFUNCTION("""COMPUTED_VALUE"""),0.5791319444433611)</f>
        <v>0.5791319444</v>
      </c>
      <c r="D1854" s="4">
        <f>IFERROR(__xludf.DUMMYFUNCTION("""COMPUTED_VALUE"""),12.964782)</f>
        <v>12.964782</v>
      </c>
      <c r="E1854" s="4">
        <f>IFERROR(__xludf.DUMMYFUNCTION("""COMPUTED_VALUE"""),80.210092)</f>
        <v>80.210092</v>
      </c>
      <c r="F1854" s="4">
        <f>IFERROR(__xludf.DUMMYFUNCTION("""COMPUTED_VALUE"""),3143.0)</f>
        <v>3143</v>
      </c>
      <c r="G1854" s="4">
        <f>IFERROR(__xludf.DUMMYFUNCTION("""COMPUTED_VALUE"""),0.0)</f>
        <v>0</v>
      </c>
      <c r="H1854" s="4"/>
      <c r="I1854" s="4"/>
    </row>
    <row r="1855">
      <c r="A1855" s="4" t="str">
        <f>IFERROR(__xludf.DUMMYFUNCTION("""COMPUTED_VALUE"""),"cas_hmw")</f>
        <v>cas_hmw</v>
      </c>
      <c r="B1855" s="5">
        <f>IFERROR(__xludf.DUMMYFUNCTION("""COMPUTED_VALUE"""),44798.0)</f>
        <v>44798</v>
      </c>
      <c r="C1855" s="6">
        <f>IFERROR(__xludf.DUMMYFUNCTION("""COMPUTED_VALUE"""),0.5911574074089003)</f>
        <v>0.5911574074</v>
      </c>
      <c r="D1855" s="4">
        <f>IFERROR(__xludf.DUMMYFUNCTION("""COMPUTED_VALUE"""),12.987726)</f>
        <v>12.987726</v>
      </c>
      <c r="E1855" s="4">
        <f>IFERROR(__xludf.DUMMYFUNCTION("""COMPUTED_VALUE"""),80.25568)</f>
        <v>80.25568</v>
      </c>
      <c r="F1855" s="4">
        <f>IFERROR(__xludf.DUMMYFUNCTION("""COMPUTED_VALUE"""),3143.0)</f>
        <v>3143</v>
      </c>
      <c r="G1855" s="4">
        <f>IFERROR(__xludf.DUMMYFUNCTION("""COMPUTED_VALUE"""),0.0)</f>
        <v>0</v>
      </c>
      <c r="H1855" s="4"/>
      <c r="I1855" s="4"/>
    </row>
    <row r="1856">
      <c r="A1856" s="4" t="str">
        <f>IFERROR(__xludf.DUMMYFUNCTION("""COMPUTED_VALUE"""),"cas_hmw")</f>
        <v>cas_hmw</v>
      </c>
      <c r="B1856" s="5">
        <f>IFERROR(__xludf.DUMMYFUNCTION("""COMPUTED_VALUE"""),44798.0)</f>
        <v>44798</v>
      </c>
      <c r="C1856" s="6">
        <f>IFERROR(__xludf.DUMMYFUNCTION("""COMPUTED_VALUE"""),0.5929166666683159)</f>
        <v>0.5929166667</v>
      </c>
      <c r="D1856" s="4">
        <f>IFERROR(__xludf.DUMMYFUNCTION("""COMPUTED_VALUE"""),12.983032)</f>
        <v>12.983032</v>
      </c>
      <c r="E1856" s="4">
        <f>IFERROR(__xludf.DUMMYFUNCTION("""COMPUTED_VALUE"""),80.259465)</f>
        <v>80.259465</v>
      </c>
      <c r="F1856" s="4">
        <f>IFERROR(__xludf.DUMMYFUNCTION("""COMPUTED_VALUE"""),3143.0)</f>
        <v>3143</v>
      </c>
      <c r="G1856" s="4">
        <f>IFERROR(__xludf.DUMMYFUNCTION("""COMPUTED_VALUE"""),17.0)</f>
        <v>17</v>
      </c>
      <c r="H1856" s="4"/>
      <c r="I1856" s="4"/>
    </row>
    <row r="1857">
      <c r="A1857" s="4" t="str">
        <f>IFERROR(__xludf.DUMMYFUNCTION("""COMPUTED_VALUE"""),"cas_hmw")</f>
        <v>cas_hmw</v>
      </c>
      <c r="B1857" s="5">
        <f>IFERROR(__xludf.DUMMYFUNCTION("""COMPUTED_VALUE"""),44798.0)</f>
        <v>44798</v>
      </c>
      <c r="C1857" s="6">
        <f>IFERROR(__xludf.DUMMYFUNCTION("""COMPUTED_VALUE"""),0.5929745370376622)</f>
        <v>0.592974537</v>
      </c>
      <c r="D1857" s="4">
        <f>IFERROR(__xludf.DUMMYFUNCTION("""COMPUTED_VALUE"""),12.983032)</f>
        <v>12.983032</v>
      </c>
      <c r="E1857" s="4">
        <f>IFERROR(__xludf.DUMMYFUNCTION("""COMPUTED_VALUE"""),80.259465)</f>
        <v>80.259465</v>
      </c>
      <c r="F1857" s="4">
        <f>IFERROR(__xludf.DUMMYFUNCTION("""COMPUTED_VALUE"""),3143.0)</f>
        <v>3143</v>
      </c>
      <c r="G1857" s="4">
        <f>IFERROR(__xludf.DUMMYFUNCTION("""COMPUTED_VALUE"""),17.0)</f>
        <v>17</v>
      </c>
      <c r="H1857" s="4"/>
      <c r="I1857" s="4"/>
    </row>
    <row r="1858">
      <c r="A1858" s="4" t="str">
        <f>IFERROR(__xludf.DUMMYFUNCTION("""COMPUTED_VALUE"""),"cas_hmw")</f>
        <v>cas_hmw</v>
      </c>
      <c r="B1858" s="5">
        <f>IFERROR(__xludf.DUMMYFUNCTION("""COMPUTED_VALUE"""),44798.0)</f>
        <v>44798</v>
      </c>
      <c r="C1858" s="6">
        <f>IFERROR(__xludf.DUMMYFUNCTION("""COMPUTED_VALUE"""),0.609687500000291)</f>
        <v>0.6096875</v>
      </c>
      <c r="D1858" s="4">
        <f>IFERROR(__xludf.DUMMYFUNCTION("""COMPUTED_VALUE"""),12.900797)</f>
        <v>12.900797</v>
      </c>
      <c r="E1858" s="4">
        <f>IFERROR(__xludf.DUMMYFUNCTION("""COMPUTED_VALUE"""),80.228086)</f>
        <v>80.228086</v>
      </c>
      <c r="F1858" s="4">
        <f>IFERROR(__xludf.DUMMYFUNCTION("""COMPUTED_VALUE"""),3143.0)</f>
        <v>3143</v>
      </c>
      <c r="G1858" s="4">
        <f>IFERROR(__xludf.DUMMYFUNCTION("""COMPUTED_VALUE"""),19.0)</f>
        <v>19</v>
      </c>
      <c r="H1858" s="4"/>
      <c r="I1858" s="4"/>
    </row>
    <row r="1859">
      <c r="A1859" s="4" t="str">
        <f>IFERROR(__xludf.DUMMYFUNCTION("""COMPUTED_VALUE"""),"cas_hmw")</f>
        <v>cas_hmw</v>
      </c>
      <c r="B1859" s="5">
        <f>IFERROR(__xludf.DUMMYFUNCTION("""COMPUTED_VALUE"""),44798.0)</f>
        <v>44798</v>
      </c>
      <c r="C1859" s="6">
        <f>IFERROR(__xludf.DUMMYFUNCTION("""COMPUTED_VALUE"""),0.6100347222236451)</f>
        <v>0.6100347222</v>
      </c>
      <c r="D1859" s="4">
        <f>IFERROR(__xludf.DUMMYFUNCTION("""COMPUTED_VALUE"""),12.900117)</f>
        <v>12.900117</v>
      </c>
      <c r="E1859" s="4">
        <f>IFERROR(__xludf.DUMMYFUNCTION("""COMPUTED_VALUE"""),80.227948)</f>
        <v>80.227948</v>
      </c>
      <c r="F1859" s="4">
        <f>IFERROR(__xludf.DUMMYFUNCTION("""COMPUTED_VALUE"""),3143.0)</f>
        <v>3143</v>
      </c>
      <c r="G1859" s="4">
        <f>IFERROR(__xludf.DUMMYFUNCTION("""COMPUTED_VALUE"""),20.0)</f>
        <v>20</v>
      </c>
      <c r="H1859" s="4"/>
      <c r="I1859" s="4"/>
    </row>
    <row r="1860">
      <c r="A1860" s="4" t="str">
        <f>IFERROR(__xludf.DUMMYFUNCTION("""COMPUTED_VALUE"""),"cas_hmw")</f>
        <v>cas_hmw</v>
      </c>
      <c r="B1860" s="5">
        <f>IFERROR(__xludf.DUMMYFUNCTION("""COMPUTED_VALUE"""),44798.0)</f>
        <v>44798</v>
      </c>
      <c r="C1860" s="6">
        <f>IFERROR(__xludf.DUMMYFUNCTION("""COMPUTED_VALUE"""),0.7491319444452529)</f>
        <v>0.7491319444</v>
      </c>
      <c r="D1860" s="4">
        <f>IFERROR(__xludf.DUMMYFUNCTION("""COMPUTED_VALUE"""),12.923484)</f>
        <v>12.923484</v>
      </c>
      <c r="E1860" s="4">
        <f>IFERROR(__xludf.DUMMYFUNCTION("""COMPUTED_VALUE"""),80.118581)</f>
        <v>80.118581</v>
      </c>
      <c r="F1860" s="4">
        <f>IFERROR(__xludf.DUMMYFUNCTION("""COMPUTED_VALUE"""),3143.0)</f>
        <v>3143</v>
      </c>
      <c r="G1860" s="4">
        <f>IFERROR(__xludf.DUMMYFUNCTION("""COMPUTED_VALUE"""),7.0)</f>
        <v>7</v>
      </c>
      <c r="H1860" s="4"/>
      <c r="I1860" s="4"/>
    </row>
    <row r="1861">
      <c r="A1861" s="4" t="str">
        <f>IFERROR(__xludf.DUMMYFUNCTION("""COMPUTED_VALUE"""),"cas_hmw")</f>
        <v>cas_hmw</v>
      </c>
      <c r="B1861" s="5">
        <f>IFERROR(__xludf.DUMMYFUNCTION("""COMPUTED_VALUE"""),44798.0)</f>
        <v>44798</v>
      </c>
      <c r="C1861" s="6">
        <f>IFERROR(__xludf.DUMMYFUNCTION("""COMPUTED_VALUE"""),0.7496412037035043)</f>
        <v>0.7496412037</v>
      </c>
      <c r="D1861" s="4">
        <f>IFERROR(__xludf.DUMMYFUNCTION("""COMPUTED_VALUE"""),12.923299)</f>
        <v>12.923299</v>
      </c>
      <c r="E1861" s="4">
        <f>IFERROR(__xludf.DUMMYFUNCTION("""COMPUTED_VALUE"""),80.120587)</f>
        <v>80.120587</v>
      </c>
      <c r="F1861" s="4">
        <f>IFERROR(__xludf.DUMMYFUNCTION("""COMPUTED_VALUE"""),3143.0)</f>
        <v>3143</v>
      </c>
      <c r="G1861" s="4">
        <f>IFERROR(__xludf.DUMMYFUNCTION("""COMPUTED_VALUE"""),20.0)</f>
        <v>20</v>
      </c>
      <c r="H1861" s="4"/>
      <c r="I1861" s="4"/>
    </row>
    <row r="1862">
      <c r="A1862" s="4" t="str">
        <f>IFERROR(__xludf.DUMMYFUNCTION("""COMPUTED_VALUE"""),"cas_hmw")</f>
        <v>cas_hmw</v>
      </c>
      <c r="B1862" s="5">
        <f>IFERROR(__xludf.DUMMYFUNCTION("""COMPUTED_VALUE"""),44798.0)</f>
        <v>44798</v>
      </c>
      <c r="C1862" s="6">
        <f>IFERROR(__xludf.DUMMYFUNCTION("""COMPUTED_VALUE"""),0.8271296296297805)</f>
        <v>0.8271296296</v>
      </c>
      <c r="D1862" s="4">
        <f>IFERROR(__xludf.DUMMYFUNCTION("""COMPUTED_VALUE"""),12.863372)</f>
        <v>12.863372</v>
      </c>
      <c r="E1862" s="4">
        <f>IFERROR(__xludf.DUMMYFUNCTION("""COMPUTED_VALUE"""),80.12726)</f>
        <v>80.12726</v>
      </c>
      <c r="F1862" s="4">
        <f>IFERROR(__xludf.DUMMYFUNCTION("""COMPUTED_VALUE"""),3143.0)</f>
        <v>3143</v>
      </c>
      <c r="G1862" s="4">
        <f>IFERROR(__xludf.DUMMYFUNCTION("""COMPUTED_VALUE"""),16.0)</f>
        <v>16</v>
      </c>
      <c r="H1862" s="4"/>
      <c r="I1862" s="4"/>
    </row>
    <row r="1863">
      <c r="A1863" s="4" t="str">
        <f>IFERROR(__xludf.DUMMYFUNCTION("""COMPUTED_VALUE"""),"cas_hmw")</f>
        <v>cas_hmw</v>
      </c>
      <c r="B1863" s="5">
        <f>IFERROR(__xludf.DUMMYFUNCTION("""COMPUTED_VALUE"""),44798.0)</f>
        <v>44798</v>
      </c>
      <c r="C1863" s="6">
        <f>IFERROR(__xludf.DUMMYFUNCTION("""COMPUTED_VALUE"""),0.8272106481490482)</f>
        <v>0.8272106481</v>
      </c>
      <c r="D1863" s="4">
        <f>IFERROR(__xludf.DUMMYFUNCTION("""COMPUTED_VALUE"""),12.862942)</f>
        <v>12.862942</v>
      </c>
      <c r="E1863" s="4">
        <f>IFERROR(__xludf.DUMMYFUNCTION("""COMPUTED_VALUE"""),80.12707)</f>
        <v>80.12707</v>
      </c>
      <c r="F1863" s="4">
        <f>IFERROR(__xludf.DUMMYFUNCTION("""COMPUTED_VALUE"""),3143.0)</f>
        <v>3143</v>
      </c>
      <c r="G1863" s="4">
        <f>IFERROR(__xludf.DUMMYFUNCTION("""COMPUTED_VALUE"""),4.0)</f>
        <v>4</v>
      </c>
      <c r="H1863" s="4"/>
      <c r="I1863" s="4"/>
    </row>
    <row r="1864">
      <c r="A1864" s="4" t="str">
        <f>IFERROR(__xludf.DUMMYFUNCTION("""COMPUTED_VALUE"""),"cas_hmw")</f>
        <v>cas_hmw</v>
      </c>
      <c r="B1864" s="5">
        <f>IFERROR(__xludf.DUMMYFUNCTION("""COMPUTED_VALUE"""),44802.0)</f>
        <v>44802</v>
      </c>
      <c r="C1864" s="6">
        <f>IFERROR(__xludf.DUMMYFUNCTION("""COMPUTED_VALUE"""),0.29274305555736646)</f>
        <v>0.2927430556</v>
      </c>
      <c r="D1864" s="4">
        <f>IFERROR(__xludf.DUMMYFUNCTION("""COMPUTED_VALUE"""),12.960401)</f>
        <v>12.960401</v>
      </c>
      <c r="E1864" s="4">
        <f>IFERROR(__xludf.DUMMYFUNCTION("""COMPUTED_VALUE"""),80.145714)</f>
        <v>80.145714</v>
      </c>
      <c r="F1864" s="4">
        <f>IFERROR(__xludf.DUMMYFUNCTION("""COMPUTED_VALUE"""),3143.0)</f>
        <v>3143</v>
      </c>
      <c r="G1864" s="4">
        <f>IFERROR(__xludf.DUMMYFUNCTION("""COMPUTED_VALUE"""),20.0)</f>
        <v>20</v>
      </c>
      <c r="H1864" s="4"/>
      <c r="I1864" s="4"/>
    </row>
    <row r="1865">
      <c r="A1865" s="4" t="str">
        <f>IFERROR(__xludf.DUMMYFUNCTION("""COMPUTED_VALUE"""),"cas_hmw")</f>
        <v>cas_hmw</v>
      </c>
      <c r="B1865" s="5">
        <f>IFERROR(__xludf.DUMMYFUNCTION("""COMPUTED_VALUE"""),44802.0)</f>
        <v>44802</v>
      </c>
      <c r="C1865" s="6">
        <f>IFERROR(__xludf.DUMMYFUNCTION("""COMPUTED_VALUE"""),0.3369560185201408)</f>
        <v>0.3369560185</v>
      </c>
      <c r="D1865" s="4">
        <f>IFERROR(__xludf.DUMMYFUNCTION("""COMPUTED_VALUE"""),12.942527)</f>
        <v>12.942527</v>
      </c>
      <c r="E1865" s="4">
        <f>IFERROR(__xludf.DUMMYFUNCTION("""COMPUTED_VALUE"""),80.133317)</f>
        <v>80.133317</v>
      </c>
      <c r="F1865" s="4">
        <f>IFERROR(__xludf.DUMMYFUNCTION("""COMPUTED_VALUE"""),5339.0)</f>
        <v>5339</v>
      </c>
      <c r="G1865" s="4">
        <f>IFERROR(__xludf.DUMMYFUNCTION("""COMPUTED_VALUE"""),14.0)</f>
        <v>14</v>
      </c>
      <c r="H1865" s="4"/>
      <c r="I1865" s="4"/>
    </row>
    <row r="1866">
      <c r="A1866" s="4" t="str">
        <f>IFERROR(__xludf.DUMMYFUNCTION("""COMPUTED_VALUE"""),"cas_hmw")</f>
        <v>cas_hmw</v>
      </c>
      <c r="B1866" s="5">
        <f>IFERROR(__xludf.DUMMYFUNCTION("""COMPUTED_VALUE"""),44802.0)</f>
        <v>44802</v>
      </c>
      <c r="C1866" s="6">
        <f>IFERROR(__xludf.DUMMYFUNCTION("""COMPUTED_VALUE"""),0.3379976851865649)</f>
        <v>0.3379976852</v>
      </c>
      <c r="D1866" s="4">
        <f>IFERROR(__xludf.DUMMYFUNCTION("""COMPUTED_VALUE"""),12.936613)</f>
        <v>12.936613</v>
      </c>
      <c r="E1866" s="4">
        <f>IFERROR(__xludf.DUMMYFUNCTION("""COMPUTED_VALUE"""),80.12761)</f>
        <v>80.12761</v>
      </c>
      <c r="F1866" s="4">
        <f>IFERROR(__xludf.DUMMYFUNCTION("""COMPUTED_VALUE"""),5339.0)</f>
        <v>5339</v>
      </c>
      <c r="G1866" s="4">
        <f>IFERROR(__xludf.DUMMYFUNCTION("""COMPUTED_VALUE"""),16.0)</f>
        <v>16</v>
      </c>
      <c r="H1866" s="4"/>
      <c r="I1866" s="4"/>
    </row>
    <row r="1867">
      <c r="A1867" s="4" t="str">
        <f>IFERROR(__xludf.DUMMYFUNCTION("""COMPUTED_VALUE"""),"cas_hmw")</f>
        <v>cas_hmw</v>
      </c>
      <c r="B1867" s="5">
        <f>IFERROR(__xludf.DUMMYFUNCTION("""COMPUTED_VALUE"""),44802.0)</f>
        <v>44802</v>
      </c>
      <c r="C1867" s="6">
        <f>IFERROR(__xludf.DUMMYFUNCTION("""COMPUTED_VALUE"""),0.33803240740598994)</f>
        <v>0.3380324074</v>
      </c>
      <c r="D1867" s="4">
        <f>IFERROR(__xludf.DUMMYFUNCTION("""COMPUTED_VALUE"""),12.936613)</f>
        <v>12.936613</v>
      </c>
      <c r="E1867" s="4">
        <f>IFERROR(__xludf.DUMMYFUNCTION("""COMPUTED_VALUE"""),80.12761)</f>
        <v>80.12761</v>
      </c>
      <c r="F1867" s="4">
        <f>IFERROR(__xludf.DUMMYFUNCTION("""COMPUTED_VALUE"""),5339.0)</f>
        <v>5339</v>
      </c>
      <c r="G1867" s="4">
        <f>IFERROR(__xludf.DUMMYFUNCTION("""COMPUTED_VALUE"""),16.0)</f>
        <v>16</v>
      </c>
      <c r="H1867" s="4"/>
      <c r="I1867" s="4"/>
    </row>
    <row r="1868">
      <c r="A1868" s="4" t="str">
        <f>IFERROR(__xludf.DUMMYFUNCTION("""COMPUTED_VALUE"""),"cas_hmw")</f>
        <v>cas_hmw</v>
      </c>
      <c r="B1868" s="5">
        <f>IFERROR(__xludf.DUMMYFUNCTION("""COMPUTED_VALUE"""),44802.0)</f>
        <v>44802</v>
      </c>
      <c r="C1868" s="6">
        <f>IFERROR(__xludf.DUMMYFUNCTION("""COMPUTED_VALUE"""),0.3392476851840911)</f>
        <v>0.3392476852</v>
      </c>
      <c r="D1868" s="4">
        <f>IFERROR(__xludf.DUMMYFUNCTION("""COMPUTED_VALUE"""),12.931488)</f>
        <v>12.931488</v>
      </c>
      <c r="E1868" s="4">
        <f>IFERROR(__xludf.DUMMYFUNCTION("""COMPUTED_VALUE"""),80.122743)</f>
        <v>80.122743</v>
      </c>
      <c r="F1868" s="4">
        <f>IFERROR(__xludf.DUMMYFUNCTION("""COMPUTED_VALUE"""),5339.0)</f>
        <v>5339</v>
      </c>
      <c r="G1868" s="4">
        <f>IFERROR(__xludf.DUMMYFUNCTION("""COMPUTED_VALUE"""),15.0)</f>
        <v>15</v>
      </c>
      <c r="H1868" s="4"/>
      <c r="I1868" s="4"/>
    </row>
    <row r="1869">
      <c r="A1869" s="4" t="str">
        <f>IFERROR(__xludf.DUMMYFUNCTION("""COMPUTED_VALUE"""),"cas_hmw")</f>
        <v>cas_hmw</v>
      </c>
      <c r="B1869" s="5">
        <f>IFERROR(__xludf.DUMMYFUNCTION("""COMPUTED_VALUE"""),44802.0)</f>
        <v>44802</v>
      </c>
      <c r="C1869" s="6">
        <f>IFERROR(__xludf.DUMMYFUNCTION("""COMPUTED_VALUE"""),0.33925925926087075)</f>
        <v>0.3392592593</v>
      </c>
      <c r="D1869" s="4">
        <f>IFERROR(__xludf.DUMMYFUNCTION("""COMPUTED_VALUE"""),12.931488)</f>
        <v>12.931488</v>
      </c>
      <c r="E1869" s="4">
        <f>IFERROR(__xludf.DUMMYFUNCTION("""COMPUTED_VALUE"""),80.122743)</f>
        <v>80.122743</v>
      </c>
      <c r="F1869" s="4">
        <f>IFERROR(__xludf.DUMMYFUNCTION("""COMPUTED_VALUE"""),5339.0)</f>
        <v>5339</v>
      </c>
      <c r="G1869" s="4">
        <f>IFERROR(__xludf.DUMMYFUNCTION("""COMPUTED_VALUE"""),15.0)</f>
        <v>15</v>
      </c>
      <c r="H1869" s="4"/>
      <c r="I1869" s="4"/>
    </row>
    <row r="1870">
      <c r="A1870" s="4" t="str">
        <f>IFERROR(__xludf.DUMMYFUNCTION("""COMPUTED_VALUE"""),"cas_hmw")</f>
        <v>cas_hmw</v>
      </c>
      <c r="B1870" s="5">
        <f>IFERROR(__xludf.DUMMYFUNCTION("""COMPUTED_VALUE"""),44802.0)</f>
        <v>44802</v>
      </c>
      <c r="C1870" s="6">
        <f>IFERROR(__xludf.DUMMYFUNCTION("""COMPUTED_VALUE"""),0.7509837962970778)</f>
        <v>0.7509837963</v>
      </c>
      <c r="D1870" s="4">
        <f>IFERROR(__xludf.DUMMYFUNCTION("""COMPUTED_VALUE"""),12.936084)</f>
        <v>12.936084</v>
      </c>
      <c r="E1870" s="4">
        <f>IFERROR(__xludf.DUMMYFUNCTION("""COMPUTED_VALUE"""),80.127025)</f>
        <v>80.127025</v>
      </c>
      <c r="F1870" s="4">
        <f>IFERROR(__xludf.DUMMYFUNCTION("""COMPUTED_VALUE"""),5339.0)</f>
        <v>5339</v>
      </c>
      <c r="G1870" s="4">
        <f>IFERROR(__xludf.DUMMYFUNCTION("""COMPUTED_VALUE"""),17.0)</f>
        <v>17</v>
      </c>
      <c r="H1870" s="4"/>
      <c r="I1870" s="4"/>
    </row>
    <row r="1871">
      <c r="A1871" s="4" t="str">
        <f>IFERROR(__xludf.DUMMYFUNCTION("""COMPUTED_VALUE"""),"cas_hmw")</f>
        <v>cas_hmw</v>
      </c>
      <c r="B1871" s="5">
        <f>IFERROR(__xludf.DUMMYFUNCTION("""COMPUTED_VALUE"""),44802.0)</f>
        <v>44802</v>
      </c>
      <c r="C1871" s="6">
        <f>IFERROR(__xludf.DUMMYFUNCTION("""COMPUTED_VALUE"""),0.7509953703702195)</f>
        <v>0.7509953704</v>
      </c>
      <c r="D1871" s="4">
        <f>IFERROR(__xludf.DUMMYFUNCTION("""COMPUTED_VALUE"""),12.936084)</f>
        <v>12.936084</v>
      </c>
      <c r="E1871" s="4">
        <f>IFERROR(__xludf.DUMMYFUNCTION("""COMPUTED_VALUE"""),80.127025)</f>
        <v>80.127025</v>
      </c>
      <c r="F1871" s="4">
        <f>IFERROR(__xludf.DUMMYFUNCTION("""COMPUTED_VALUE"""),5339.0)</f>
        <v>5339</v>
      </c>
      <c r="G1871" s="4">
        <f>IFERROR(__xludf.DUMMYFUNCTION("""COMPUTED_VALUE"""),17.0)</f>
        <v>17</v>
      </c>
      <c r="H1871" s="4"/>
      <c r="I1871" s="4"/>
    </row>
    <row r="1872">
      <c r="A1872" s="4" t="str">
        <f>IFERROR(__xludf.DUMMYFUNCTION("""COMPUTED_VALUE"""),"cas_hmw")</f>
        <v>cas_hmw</v>
      </c>
      <c r="B1872" s="5">
        <f>IFERROR(__xludf.DUMMYFUNCTION("""COMPUTED_VALUE"""),44802.0)</f>
        <v>44802</v>
      </c>
      <c r="C1872" s="6">
        <f>IFERROR(__xludf.DUMMYFUNCTION("""COMPUTED_VALUE"""),0.7765509259261307)</f>
        <v>0.7765509259</v>
      </c>
      <c r="D1872" s="4">
        <f>IFERROR(__xludf.DUMMYFUNCTION("""COMPUTED_VALUE"""),12.948655)</f>
        <v>12.948655</v>
      </c>
      <c r="E1872" s="4">
        <f>IFERROR(__xludf.DUMMYFUNCTION("""COMPUTED_VALUE"""),80.206225)</f>
        <v>80.206225</v>
      </c>
      <c r="F1872" s="4">
        <f>IFERROR(__xludf.DUMMYFUNCTION("""COMPUTED_VALUE"""),3143.0)</f>
        <v>3143</v>
      </c>
      <c r="G1872" s="4">
        <f>IFERROR(__xludf.DUMMYFUNCTION("""COMPUTED_VALUE"""),19.0)</f>
        <v>19</v>
      </c>
      <c r="H1872" s="4"/>
      <c r="I1872" s="4"/>
    </row>
    <row r="1873">
      <c r="A1873" s="4" t="str">
        <f>IFERROR(__xludf.DUMMYFUNCTION("""COMPUTED_VALUE"""),"cas_hmw")</f>
        <v>cas_hmw</v>
      </c>
      <c r="B1873" s="5">
        <f>IFERROR(__xludf.DUMMYFUNCTION("""COMPUTED_VALUE"""),44802.0)</f>
        <v>44802</v>
      </c>
      <c r="C1873" s="6">
        <f>IFERROR(__xludf.DUMMYFUNCTION("""COMPUTED_VALUE"""),0.789375000000291)</f>
        <v>0.789375</v>
      </c>
      <c r="D1873" s="4">
        <f>IFERROR(__xludf.DUMMYFUNCTION("""COMPUTED_VALUE"""),12.950354)</f>
        <v>12.950354</v>
      </c>
      <c r="E1873" s="4">
        <f>IFERROR(__xludf.DUMMYFUNCTION("""COMPUTED_VALUE"""),80.139619)</f>
        <v>80.139619</v>
      </c>
      <c r="F1873" s="4">
        <f>IFERROR(__xludf.DUMMYFUNCTION("""COMPUTED_VALUE"""),3143.0)</f>
        <v>3143</v>
      </c>
      <c r="G1873" s="4">
        <f>IFERROR(__xludf.DUMMYFUNCTION("""COMPUTED_VALUE"""),20.0)</f>
        <v>20</v>
      </c>
      <c r="H1873" s="4"/>
      <c r="I1873" s="4"/>
    </row>
    <row r="1874">
      <c r="A1874" s="4" t="str">
        <f>IFERROR(__xludf.DUMMYFUNCTION("""COMPUTED_VALUE"""),"cas_hmw")</f>
        <v>cas_hmw</v>
      </c>
      <c r="B1874" s="5">
        <f>IFERROR(__xludf.DUMMYFUNCTION("""COMPUTED_VALUE"""),44802.0)</f>
        <v>44802</v>
      </c>
      <c r="C1874" s="6">
        <f>IFERROR(__xludf.DUMMYFUNCTION("""COMPUTED_VALUE"""),0.8084027777767915)</f>
        <v>0.8084027778</v>
      </c>
      <c r="D1874" s="4">
        <f>IFERROR(__xludf.DUMMYFUNCTION("""COMPUTED_VALUE"""),13.068156)</f>
        <v>13.068156</v>
      </c>
      <c r="E1874" s="4">
        <f>IFERROR(__xludf.DUMMYFUNCTION("""COMPUTED_VALUE"""),80.271554)</f>
        <v>80.271554</v>
      </c>
      <c r="F1874" s="4">
        <f>IFERROR(__xludf.DUMMYFUNCTION("""COMPUTED_VALUE"""),5339.0)</f>
        <v>5339</v>
      </c>
      <c r="G1874" s="4">
        <f>IFERROR(__xludf.DUMMYFUNCTION("""COMPUTED_VALUE"""),13.0)</f>
        <v>13</v>
      </c>
      <c r="H1874" s="4"/>
      <c r="I1874" s="4"/>
    </row>
    <row r="1875">
      <c r="A1875" s="4" t="str">
        <f>IFERROR(__xludf.DUMMYFUNCTION("""COMPUTED_VALUE"""),"cas_hmw")</f>
        <v>cas_hmw</v>
      </c>
      <c r="B1875" s="5">
        <f>IFERROR(__xludf.DUMMYFUNCTION("""COMPUTED_VALUE"""),44803.0)</f>
        <v>44803</v>
      </c>
      <c r="C1875" s="6">
        <f>IFERROR(__xludf.DUMMYFUNCTION("""COMPUTED_VALUE"""),0.3293865740743058)</f>
        <v>0.3293865741</v>
      </c>
      <c r="D1875" s="4">
        <f>IFERROR(__xludf.DUMMYFUNCTION("""COMPUTED_VALUE"""),12.996021)</f>
        <v>12.996021</v>
      </c>
      <c r="E1875" s="4">
        <f>IFERROR(__xludf.DUMMYFUNCTION("""COMPUTED_VALUE"""),80.189332)</f>
        <v>80.189332</v>
      </c>
      <c r="F1875" s="4">
        <f>IFERROR(__xludf.DUMMYFUNCTION("""COMPUTED_VALUE"""),5339.0)</f>
        <v>5339</v>
      </c>
      <c r="G1875" s="4">
        <f>IFERROR(__xludf.DUMMYFUNCTION("""COMPUTED_VALUE"""),19.0)</f>
        <v>19</v>
      </c>
      <c r="H1875" s="4"/>
      <c r="I1875" s="4"/>
    </row>
    <row r="1876">
      <c r="A1876" s="4" t="str">
        <f>IFERROR(__xludf.DUMMYFUNCTION("""COMPUTED_VALUE"""),"cas_hmw")</f>
        <v>cas_hmw</v>
      </c>
      <c r="B1876" s="5">
        <f>IFERROR(__xludf.DUMMYFUNCTION("""COMPUTED_VALUE"""),44803.0)</f>
        <v>44803</v>
      </c>
      <c r="C1876" s="6">
        <f>IFERROR(__xludf.DUMMYFUNCTION("""COMPUTED_VALUE"""),0.7367013888906513)</f>
        <v>0.7367013889</v>
      </c>
      <c r="D1876" s="4">
        <f>IFERROR(__xludf.DUMMYFUNCTION("""COMPUTED_VALUE"""),12.911604)</f>
        <v>12.911604</v>
      </c>
      <c r="E1876" s="4">
        <f>IFERROR(__xludf.DUMMYFUNCTION("""COMPUTED_VALUE"""),80.101288)</f>
        <v>80.101288</v>
      </c>
      <c r="F1876" s="4">
        <f>IFERROR(__xludf.DUMMYFUNCTION("""COMPUTED_VALUE"""),3143.0)</f>
        <v>3143</v>
      </c>
      <c r="G1876" s="4">
        <f>IFERROR(__xludf.DUMMYFUNCTION("""COMPUTED_VALUE"""),17.0)</f>
        <v>17</v>
      </c>
      <c r="H1876" s="4"/>
      <c r="I1876" s="4"/>
    </row>
    <row r="1877">
      <c r="A1877" s="4" t="str">
        <f>IFERROR(__xludf.DUMMYFUNCTION("""COMPUTED_VALUE"""),"cas_hmw")</f>
        <v>cas_hmw</v>
      </c>
      <c r="B1877" s="5">
        <f>IFERROR(__xludf.DUMMYFUNCTION("""COMPUTED_VALUE"""),44803.0)</f>
        <v>44803</v>
      </c>
      <c r="C1877" s="6">
        <f>IFERROR(__xludf.DUMMYFUNCTION("""COMPUTED_VALUE"""),0.7795949074061355)</f>
        <v>0.7795949074</v>
      </c>
      <c r="D1877" s="4">
        <f>IFERROR(__xludf.DUMMYFUNCTION("""COMPUTED_VALUE"""),12.953547)</f>
        <v>12.953547</v>
      </c>
      <c r="E1877" s="4">
        <f>IFERROR(__xludf.DUMMYFUNCTION("""COMPUTED_VALUE"""),80.212103)</f>
        <v>80.212103</v>
      </c>
      <c r="F1877" s="4">
        <f>IFERROR(__xludf.DUMMYFUNCTION("""COMPUTED_VALUE"""),3143.0)</f>
        <v>3143</v>
      </c>
      <c r="G1877" s="4">
        <f>IFERROR(__xludf.DUMMYFUNCTION("""COMPUTED_VALUE"""),17.0)</f>
        <v>17</v>
      </c>
      <c r="H1877" s="4"/>
      <c r="I1877" s="4"/>
    </row>
    <row r="1878">
      <c r="A1878" s="4" t="str">
        <f>IFERROR(__xludf.DUMMYFUNCTION("""COMPUTED_VALUE"""),"cas_hmw")</f>
        <v>cas_hmw</v>
      </c>
      <c r="B1878" s="5">
        <f>IFERROR(__xludf.DUMMYFUNCTION("""COMPUTED_VALUE"""),44803.0)</f>
        <v>44803</v>
      </c>
      <c r="C1878" s="6">
        <f>IFERROR(__xludf.DUMMYFUNCTION("""COMPUTED_VALUE"""),0.7795949074061355)</f>
        <v>0.7795949074</v>
      </c>
      <c r="D1878" s="4">
        <f>IFERROR(__xludf.DUMMYFUNCTION("""COMPUTED_VALUE"""),12.953547)</f>
        <v>12.953547</v>
      </c>
      <c r="E1878" s="4">
        <f>IFERROR(__xludf.DUMMYFUNCTION("""COMPUTED_VALUE"""),80.212103)</f>
        <v>80.212103</v>
      </c>
      <c r="F1878" s="4">
        <f>IFERROR(__xludf.DUMMYFUNCTION("""COMPUTED_VALUE"""),3143.0)</f>
        <v>3143</v>
      </c>
      <c r="G1878" s="4">
        <f>IFERROR(__xludf.DUMMYFUNCTION("""COMPUTED_VALUE"""),17.0)</f>
        <v>17</v>
      </c>
      <c r="H1878" s="4"/>
      <c r="I1878" s="4"/>
    </row>
    <row r="1879">
      <c r="A1879" s="4" t="str">
        <f>IFERROR(__xludf.DUMMYFUNCTION("""COMPUTED_VALUE"""),"cas_hmw")</f>
        <v>cas_hmw</v>
      </c>
      <c r="B1879" s="5">
        <f>IFERROR(__xludf.DUMMYFUNCTION("""COMPUTED_VALUE"""),44803.0)</f>
        <v>44803</v>
      </c>
      <c r="C1879" s="6">
        <f>IFERROR(__xludf.DUMMYFUNCTION("""COMPUTED_VALUE"""),0.8007060185191222)</f>
        <v>0.8007060185</v>
      </c>
      <c r="D1879" s="4">
        <f>IFERROR(__xludf.DUMMYFUNCTION("""COMPUTED_VALUE"""),12.922383)</f>
        <v>12.922383</v>
      </c>
      <c r="E1879" s="4">
        <f>IFERROR(__xludf.DUMMYFUNCTION("""COMPUTED_VALUE"""),80.142228)</f>
        <v>80.142228</v>
      </c>
      <c r="F1879" s="4">
        <f>IFERROR(__xludf.DUMMYFUNCTION("""COMPUTED_VALUE"""),3143.0)</f>
        <v>3143</v>
      </c>
      <c r="G1879" s="4">
        <f>IFERROR(__xludf.DUMMYFUNCTION("""COMPUTED_VALUE"""),20.0)</f>
        <v>20</v>
      </c>
      <c r="H1879" s="4"/>
      <c r="I1879" s="4"/>
    </row>
    <row r="1880">
      <c r="A1880" s="4" t="str">
        <f>IFERROR(__xludf.DUMMYFUNCTION("""COMPUTED_VALUE"""),"cas_hmw")</f>
        <v>cas_hmw</v>
      </c>
      <c r="B1880" s="5">
        <f>IFERROR(__xludf.DUMMYFUNCTION("""COMPUTED_VALUE"""),44804.0)</f>
        <v>44804</v>
      </c>
      <c r="C1880" s="6">
        <f>IFERROR(__xludf.DUMMYFUNCTION("""COMPUTED_VALUE"""),0.2559953703712381)</f>
        <v>0.2559953704</v>
      </c>
      <c r="D1880" s="4">
        <f>IFERROR(__xludf.DUMMYFUNCTION("""COMPUTED_VALUE"""),12.952306)</f>
        <v>12.952306</v>
      </c>
      <c r="E1880" s="4">
        <f>IFERROR(__xludf.DUMMYFUNCTION("""COMPUTED_VALUE"""),80.1408)</f>
        <v>80.1408</v>
      </c>
      <c r="F1880" s="4">
        <f>IFERROR(__xludf.DUMMYFUNCTION("""COMPUTED_VALUE"""),5339.0)</f>
        <v>5339</v>
      </c>
      <c r="G1880" s="4">
        <f>IFERROR(__xludf.DUMMYFUNCTION("""COMPUTED_VALUE"""),10.0)</f>
        <v>10</v>
      </c>
      <c r="H1880" s="4"/>
      <c r="I1880" s="4"/>
    </row>
    <row r="1881">
      <c r="A1881" s="4" t="str">
        <f>IFERROR(__xludf.DUMMYFUNCTION("""COMPUTED_VALUE"""),"cas_hmw")</f>
        <v>cas_hmw</v>
      </c>
      <c r="B1881" s="5">
        <f>IFERROR(__xludf.DUMMYFUNCTION("""COMPUTED_VALUE"""),44804.0)</f>
        <v>44804</v>
      </c>
      <c r="C1881" s="6">
        <f>IFERROR(__xludf.DUMMYFUNCTION("""COMPUTED_VALUE"""),0.25604166666744277)</f>
        <v>0.2560416667</v>
      </c>
      <c r="D1881" s="4">
        <f>IFERROR(__xludf.DUMMYFUNCTION("""COMPUTED_VALUE"""),12.952306)</f>
        <v>12.952306</v>
      </c>
      <c r="E1881" s="4">
        <f>IFERROR(__xludf.DUMMYFUNCTION("""COMPUTED_VALUE"""),80.1408)</f>
        <v>80.1408</v>
      </c>
      <c r="F1881" s="4">
        <f>IFERROR(__xludf.DUMMYFUNCTION("""COMPUTED_VALUE"""),5339.0)</f>
        <v>5339</v>
      </c>
      <c r="G1881" s="4">
        <f>IFERROR(__xludf.DUMMYFUNCTION("""COMPUTED_VALUE"""),10.0)</f>
        <v>10</v>
      </c>
      <c r="H1881" s="4"/>
      <c r="I1881" s="4"/>
    </row>
    <row r="1882">
      <c r="A1882" s="4" t="str">
        <f>IFERROR(__xludf.DUMMYFUNCTION("""COMPUTED_VALUE"""),"cas_hmw")</f>
        <v>cas_hmw</v>
      </c>
      <c r="B1882" s="5">
        <f>IFERROR(__xludf.DUMMYFUNCTION("""COMPUTED_VALUE"""),44804.0)</f>
        <v>44804</v>
      </c>
      <c r="C1882" s="6">
        <f>IFERROR(__xludf.DUMMYFUNCTION("""COMPUTED_VALUE"""),0.27599537037167465)</f>
        <v>0.2759953704</v>
      </c>
      <c r="D1882" s="4">
        <f>IFERROR(__xludf.DUMMYFUNCTION("""COMPUTED_VALUE"""),13.038911)</f>
        <v>13.038911</v>
      </c>
      <c r="E1882" s="4">
        <f>IFERROR(__xludf.DUMMYFUNCTION("""COMPUTED_VALUE"""),80.246775)</f>
        <v>80.246775</v>
      </c>
      <c r="F1882" s="4">
        <f>IFERROR(__xludf.DUMMYFUNCTION("""COMPUTED_VALUE"""),5339.0)</f>
        <v>5339</v>
      </c>
      <c r="G1882" s="4">
        <f>IFERROR(__xludf.DUMMYFUNCTION("""COMPUTED_VALUE"""),0.0)</f>
        <v>0</v>
      </c>
      <c r="H1882" s="4"/>
      <c r="I1882" s="4"/>
    </row>
    <row r="1883">
      <c r="A1883" s="4" t="str">
        <f>IFERROR(__xludf.DUMMYFUNCTION("""COMPUTED_VALUE"""),"cas_hmw")</f>
        <v>cas_hmw</v>
      </c>
      <c r="B1883" s="5">
        <f>IFERROR(__xludf.DUMMYFUNCTION("""COMPUTED_VALUE"""),44804.0)</f>
        <v>44804</v>
      </c>
      <c r="C1883" s="6">
        <f>IFERROR(__xludf.DUMMYFUNCTION("""COMPUTED_VALUE"""),0.2760300925910997)</f>
        <v>0.2760300926</v>
      </c>
      <c r="D1883" s="4">
        <f>IFERROR(__xludf.DUMMYFUNCTION("""COMPUTED_VALUE"""),13.038911)</f>
        <v>13.038911</v>
      </c>
      <c r="E1883" s="4">
        <f>IFERROR(__xludf.DUMMYFUNCTION("""COMPUTED_VALUE"""),80.246775)</f>
        <v>80.246775</v>
      </c>
      <c r="F1883" s="4">
        <f>IFERROR(__xludf.DUMMYFUNCTION("""COMPUTED_VALUE"""),5339.0)</f>
        <v>5339</v>
      </c>
      <c r="G1883" s="4">
        <f>IFERROR(__xludf.DUMMYFUNCTION("""COMPUTED_VALUE"""),0.0)</f>
        <v>0</v>
      </c>
      <c r="H1883" s="4"/>
      <c r="I1883" s="4"/>
    </row>
    <row r="1884">
      <c r="A1884" s="4" t="str">
        <f>IFERROR(__xludf.DUMMYFUNCTION("""COMPUTED_VALUE"""),"cas_hmw")</f>
        <v>cas_hmw</v>
      </c>
      <c r="B1884" s="5">
        <f>IFERROR(__xludf.DUMMYFUNCTION("""COMPUTED_VALUE"""),44804.0)</f>
        <v>44804</v>
      </c>
      <c r="C1884" s="6">
        <f>IFERROR(__xludf.DUMMYFUNCTION("""COMPUTED_VALUE"""),0.276157407406572)</f>
        <v>0.2761574074</v>
      </c>
      <c r="D1884" s="4">
        <f>IFERROR(__xludf.DUMMYFUNCTION("""COMPUTED_VALUE"""),13.038911)</f>
        <v>13.038911</v>
      </c>
      <c r="E1884" s="4">
        <f>IFERROR(__xludf.DUMMYFUNCTION("""COMPUTED_VALUE"""),80.246775)</f>
        <v>80.246775</v>
      </c>
      <c r="F1884" s="4">
        <f>IFERROR(__xludf.DUMMYFUNCTION("""COMPUTED_VALUE"""),5339.0)</f>
        <v>5339</v>
      </c>
      <c r="G1884" s="4">
        <f>IFERROR(__xludf.DUMMYFUNCTION("""COMPUTED_VALUE"""),0.0)</f>
        <v>0</v>
      </c>
      <c r="H1884" s="4"/>
      <c r="I1884" s="4"/>
    </row>
    <row r="1885">
      <c r="A1885" s="4" t="str">
        <f>IFERROR(__xludf.DUMMYFUNCTION("""COMPUTED_VALUE"""),"cas_hmw")</f>
        <v>cas_hmw</v>
      </c>
      <c r="B1885" s="5">
        <f>IFERROR(__xludf.DUMMYFUNCTION("""COMPUTED_VALUE"""),44804.0)</f>
        <v>44804</v>
      </c>
      <c r="C1885" s="6">
        <f>IFERROR(__xludf.DUMMYFUNCTION("""COMPUTED_VALUE"""),0.276192129629635)</f>
        <v>0.2761921296</v>
      </c>
      <c r="D1885" s="4">
        <f>IFERROR(__xludf.DUMMYFUNCTION("""COMPUTED_VALUE"""),13.038943)</f>
        <v>13.038943</v>
      </c>
      <c r="E1885" s="4">
        <f>IFERROR(__xludf.DUMMYFUNCTION("""COMPUTED_VALUE"""),80.246828)</f>
        <v>80.246828</v>
      </c>
      <c r="F1885" s="4">
        <f>IFERROR(__xludf.DUMMYFUNCTION("""COMPUTED_VALUE"""),5339.0)</f>
        <v>5339</v>
      </c>
      <c r="G1885" s="4">
        <f>IFERROR(__xludf.DUMMYFUNCTION("""COMPUTED_VALUE"""),0.0)</f>
        <v>0</v>
      </c>
      <c r="H1885" s="4"/>
      <c r="I1885" s="4"/>
    </row>
    <row r="1886">
      <c r="A1886" s="4" t="str">
        <f>IFERROR(__xludf.DUMMYFUNCTION("""COMPUTED_VALUE"""),"cas_hmw")</f>
        <v>cas_hmw</v>
      </c>
      <c r="B1886" s="5">
        <f>IFERROR(__xludf.DUMMYFUNCTION("""COMPUTED_VALUE"""),44804.0)</f>
        <v>44804</v>
      </c>
      <c r="C1886" s="6">
        <f>IFERROR(__xludf.DUMMYFUNCTION("""COMPUTED_VALUE"""),0.27633101851824904)</f>
        <v>0.2763310185</v>
      </c>
      <c r="D1886" s="4">
        <f>IFERROR(__xludf.DUMMYFUNCTION("""COMPUTED_VALUE"""),13.038943)</f>
        <v>13.038943</v>
      </c>
      <c r="E1886" s="4">
        <f>IFERROR(__xludf.DUMMYFUNCTION("""COMPUTED_VALUE"""),80.246828)</f>
        <v>80.246828</v>
      </c>
      <c r="F1886" s="4">
        <f>IFERROR(__xludf.DUMMYFUNCTION("""COMPUTED_VALUE"""),5339.0)</f>
        <v>5339</v>
      </c>
      <c r="G1886" s="4">
        <f>IFERROR(__xludf.DUMMYFUNCTION("""COMPUTED_VALUE"""),0.0)</f>
        <v>0</v>
      </c>
      <c r="H1886" s="4"/>
      <c r="I1886" s="4"/>
    </row>
    <row r="1887">
      <c r="A1887" s="4" t="str">
        <f>IFERROR(__xludf.DUMMYFUNCTION("""COMPUTED_VALUE"""),"cas_hmw")</f>
        <v>cas_hmw</v>
      </c>
      <c r="B1887" s="5">
        <f>IFERROR(__xludf.DUMMYFUNCTION("""COMPUTED_VALUE"""),44804.0)</f>
        <v>44804</v>
      </c>
      <c r="C1887" s="6">
        <f>IFERROR(__xludf.DUMMYFUNCTION("""COMPUTED_VALUE"""),0.2806018518531346)</f>
        <v>0.2806018519</v>
      </c>
      <c r="D1887" s="4">
        <f>IFERROR(__xludf.DUMMYFUNCTION("""COMPUTED_VALUE"""),13.067648)</f>
        <v>13.067648</v>
      </c>
      <c r="E1887" s="4">
        <f>IFERROR(__xludf.DUMMYFUNCTION("""COMPUTED_VALUE"""),80.249356)</f>
        <v>80.249356</v>
      </c>
      <c r="F1887" s="4">
        <f>IFERROR(__xludf.DUMMYFUNCTION("""COMPUTED_VALUE"""),5339.0)</f>
        <v>5339</v>
      </c>
      <c r="G1887" s="4">
        <f>IFERROR(__xludf.DUMMYFUNCTION("""COMPUTED_VALUE"""),19.0)</f>
        <v>19</v>
      </c>
      <c r="H1887" s="4"/>
      <c r="I1887" s="4"/>
    </row>
    <row r="1888">
      <c r="A1888" s="4" t="str">
        <f>IFERROR(__xludf.DUMMYFUNCTION("""COMPUTED_VALUE"""),"cas_hmw")</f>
        <v>cas_hmw</v>
      </c>
      <c r="B1888" s="5">
        <f>IFERROR(__xludf.DUMMYFUNCTION("""COMPUTED_VALUE"""),44804.0)</f>
        <v>44804</v>
      </c>
      <c r="C1888" s="6">
        <f>IFERROR(__xludf.DUMMYFUNCTION("""COMPUTED_VALUE"""),0.323101851852698)</f>
        <v>0.3231018519</v>
      </c>
      <c r="D1888" s="4">
        <f>IFERROR(__xludf.DUMMYFUNCTION("""COMPUTED_VALUE"""),13.01141)</f>
        <v>13.01141</v>
      </c>
      <c r="E1888" s="4">
        <f>IFERROR(__xludf.DUMMYFUNCTION("""COMPUTED_VALUE"""),80.223277)</f>
        <v>80.223277</v>
      </c>
      <c r="F1888" s="4">
        <f>IFERROR(__xludf.DUMMYFUNCTION("""COMPUTED_VALUE"""),5339.0)</f>
        <v>5339</v>
      </c>
      <c r="G1888" s="4">
        <f>IFERROR(__xludf.DUMMYFUNCTION("""COMPUTED_VALUE"""),13.0)</f>
        <v>13</v>
      </c>
      <c r="H1888" s="4"/>
      <c r="I1888" s="4"/>
    </row>
    <row r="1889">
      <c r="A1889" s="4" t="str">
        <f>IFERROR(__xludf.DUMMYFUNCTION("""COMPUTED_VALUE"""),"cas_hmw")</f>
        <v>cas_hmw</v>
      </c>
      <c r="B1889" s="5">
        <f>IFERROR(__xludf.DUMMYFUNCTION("""COMPUTED_VALUE"""),44804.0)</f>
        <v>44804</v>
      </c>
      <c r="C1889" s="6">
        <f>IFERROR(__xludf.DUMMYFUNCTION("""COMPUTED_VALUE"""),0.32971064814773854)</f>
        <v>0.3297106481</v>
      </c>
      <c r="D1889" s="4">
        <f>IFERROR(__xludf.DUMMYFUNCTION("""COMPUTED_VALUE"""),12.989397)</f>
        <v>12.989397</v>
      </c>
      <c r="E1889" s="4">
        <f>IFERROR(__xludf.DUMMYFUNCTION("""COMPUTED_VALUE"""),80.178929)</f>
        <v>80.178929</v>
      </c>
      <c r="F1889" s="4">
        <f>IFERROR(__xludf.DUMMYFUNCTION("""COMPUTED_VALUE"""),5339.0)</f>
        <v>5339</v>
      </c>
      <c r="G1889" s="4">
        <f>IFERROR(__xludf.DUMMYFUNCTION("""COMPUTED_VALUE"""),20.0)</f>
        <v>20</v>
      </c>
      <c r="H1889" s="4"/>
      <c r="I1889" s="4"/>
    </row>
    <row r="1890">
      <c r="A1890" s="4" t="str">
        <f>IFERROR(__xludf.DUMMYFUNCTION("""COMPUTED_VALUE"""),"cas_hmw")</f>
        <v>cas_hmw</v>
      </c>
      <c r="B1890" s="5">
        <f>IFERROR(__xludf.DUMMYFUNCTION("""COMPUTED_VALUE"""),44804.0)</f>
        <v>44804</v>
      </c>
      <c r="C1890" s="6">
        <f>IFERROR(__xludf.DUMMYFUNCTION("""COMPUTED_VALUE"""),0.34231481481401715)</f>
        <v>0.3423148148</v>
      </c>
      <c r="D1890" s="4">
        <f>IFERROR(__xludf.DUMMYFUNCTION("""COMPUTED_VALUE"""),12.917135)</f>
        <v>12.917135</v>
      </c>
      <c r="E1890" s="4">
        <f>IFERROR(__xludf.DUMMYFUNCTION("""COMPUTED_VALUE"""),80.107428)</f>
        <v>80.107428</v>
      </c>
      <c r="F1890" s="4">
        <f>IFERROR(__xludf.DUMMYFUNCTION("""COMPUTED_VALUE"""),5339.0)</f>
        <v>5339</v>
      </c>
      <c r="G1890" s="4">
        <f>IFERROR(__xludf.DUMMYFUNCTION("""COMPUTED_VALUE"""),20.0)</f>
        <v>20</v>
      </c>
      <c r="H1890" s="4"/>
      <c r="I1890" s="4"/>
    </row>
    <row r="1891">
      <c r="A1891" s="4" t="str">
        <f>IFERROR(__xludf.DUMMYFUNCTION("""COMPUTED_VALUE"""),"cas_hmw")</f>
        <v>cas_hmw</v>
      </c>
      <c r="B1891" s="5">
        <f>IFERROR(__xludf.DUMMYFUNCTION("""COMPUTED_VALUE"""),44804.0)</f>
        <v>44804</v>
      </c>
      <c r="C1891" s="6">
        <f>IFERROR(__xludf.DUMMYFUNCTION("""COMPUTED_VALUE"""),0.3534143518518249)</f>
        <v>0.3534143519</v>
      </c>
      <c r="D1891" s="4">
        <f>IFERROR(__xludf.DUMMYFUNCTION("""COMPUTED_VALUE"""),12.909345)</f>
        <v>12.909345</v>
      </c>
      <c r="E1891" s="4">
        <f>IFERROR(__xludf.DUMMYFUNCTION("""COMPUTED_VALUE"""),80.099412)</f>
        <v>80.099412</v>
      </c>
      <c r="F1891" s="4">
        <f>IFERROR(__xludf.DUMMYFUNCTION("""COMPUTED_VALUE"""),3143.0)</f>
        <v>3143</v>
      </c>
      <c r="G1891" s="4">
        <f>IFERROR(__xludf.DUMMYFUNCTION("""COMPUTED_VALUE"""),0.0)</f>
        <v>0</v>
      </c>
      <c r="H1891" s="4"/>
      <c r="I1891" s="4"/>
    </row>
    <row r="1892">
      <c r="A1892" s="4" t="str">
        <f>IFERROR(__xludf.DUMMYFUNCTION("""COMPUTED_VALUE"""),"cas_hmw")</f>
        <v>cas_hmw</v>
      </c>
      <c r="B1892" s="5">
        <f>IFERROR(__xludf.DUMMYFUNCTION("""COMPUTED_VALUE"""),44804.0)</f>
        <v>44804</v>
      </c>
      <c r="C1892" s="6">
        <f>IFERROR(__xludf.DUMMYFUNCTION("""COMPUTED_VALUE"""),0.356828703705105)</f>
        <v>0.3568287037</v>
      </c>
      <c r="D1892" s="4">
        <f>IFERROR(__xludf.DUMMYFUNCTION("""COMPUTED_VALUE"""),12.897559)</f>
        <v>12.897559</v>
      </c>
      <c r="E1892" s="4">
        <f>IFERROR(__xludf.DUMMYFUNCTION("""COMPUTED_VALUE"""),80.089692)</f>
        <v>80.089692</v>
      </c>
      <c r="F1892" s="4">
        <f>IFERROR(__xludf.DUMMYFUNCTION("""COMPUTED_VALUE"""),3143.0)</f>
        <v>3143</v>
      </c>
      <c r="G1892" s="4">
        <f>IFERROR(__xludf.DUMMYFUNCTION("""COMPUTED_VALUE"""),8.0)</f>
        <v>8</v>
      </c>
      <c r="H1892" s="4"/>
      <c r="I1892" s="4"/>
    </row>
    <row r="1893">
      <c r="A1893" s="4" t="str">
        <f>IFERROR(__xludf.DUMMYFUNCTION("""COMPUTED_VALUE"""),"cas_hmw")</f>
        <v>cas_hmw</v>
      </c>
      <c r="B1893" s="5">
        <f>IFERROR(__xludf.DUMMYFUNCTION("""COMPUTED_VALUE"""),44804.0)</f>
        <v>44804</v>
      </c>
      <c r="C1893" s="6">
        <f>IFERROR(__xludf.DUMMYFUNCTION("""COMPUTED_VALUE"""),0.359375)</f>
        <v>0.359375</v>
      </c>
      <c r="D1893" s="4">
        <f>IFERROR(__xludf.DUMMYFUNCTION("""COMPUTED_VALUE"""),12.879078)</f>
        <v>12.879078</v>
      </c>
      <c r="E1893" s="4">
        <f>IFERROR(__xludf.DUMMYFUNCTION("""COMPUTED_VALUE"""),80.080399)</f>
        <v>80.080399</v>
      </c>
      <c r="F1893" s="4">
        <f>IFERROR(__xludf.DUMMYFUNCTION("""COMPUTED_VALUE"""),3143.0)</f>
        <v>3143</v>
      </c>
      <c r="G1893" s="4">
        <f>IFERROR(__xludf.DUMMYFUNCTION("""COMPUTED_VALUE"""),3.0)</f>
        <v>3</v>
      </c>
      <c r="H1893" s="4"/>
      <c r="I1893" s="4"/>
    </row>
    <row r="1894">
      <c r="A1894" s="4" t="str">
        <f>IFERROR(__xludf.DUMMYFUNCTION("""COMPUTED_VALUE"""),"cas_hmw")</f>
        <v>cas_hmw</v>
      </c>
      <c r="B1894" s="5">
        <f>IFERROR(__xludf.DUMMYFUNCTION("""COMPUTED_VALUE"""),44804.0)</f>
        <v>44804</v>
      </c>
      <c r="C1894" s="6">
        <f>IFERROR(__xludf.DUMMYFUNCTION("""COMPUTED_VALUE"""),0.359409722223063)</f>
        <v>0.3594097222</v>
      </c>
      <c r="D1894" s="4">
        <f>IFERROR(__xludf.DUMMYFUNCTION("""COMPUTED_VALUE"""),12.879078)</f>
        <v>12.879078</v>
      </c>
      <c r="E1894" s="4">
        <f>IFERROR(__xludf.DUMMYFUNCTION("""COMPUTED_VALUE"""),80.080399)</f>
        <v>80.080399</v>
      </c>
      <c r="F1894" s="4">
        <f>IFERROR(__xludf.DUMMYFUNCTION("""COMPUTED_VALUE"""),3143.0)</f>
        <v>3143</v>
      </c>
      <c r="G1894" s="4">
        <f>IFERROR(__xludf.DUMMYFUNCTION("""COMPUTED_VALUE"""),3.0)</f>
        <v>3</v>
      </c>
      <c r="H1894" s="4"/>
      <c r="I1894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11</v>
      </c>
      <c r="E1" s="1" t="s">
        <v>12</v>
      </c>
      <c r="F1" s="1" t="s">
        <v>5</v>
      </c>
      <c r="G1" s="1" t="s">
        <v>6</v>
      </c>
    </row>
    <row r="2">
      <c r="A2" s="4" t="s">
        <v>8</v>
      </c>
      <c r="B2" s="5">
        <v>44713.0</v>
      </c>
      <c r="C2" s="6">
        <v>0.29627314814933925</v>
      </c>
      <c r="D2" s="4">
        <v>12.509666</v>
      </c>
      <c r="E2" s="4">
        <v>79.884816</v>
      </c>
      <c r="F2" s="4">
        <v>805.0</v>
      </c>
      <c r="G2" s="4">
        <v>17.0</v>
      </c>
    </row>
    <row r="3">
      <c r="A3" s="4" t="s">
        <v>8</v>
      </c>
      <c r="B3" s="5">
        <v>44713.0</v>
      </c>
      <c r="C3" s="6">
        <v>0.2963657407417486</v>
      </c>
      <c r="D3" s="4">
        <v>12.509666</v>
      </c>
      <c r="E3" s="4">
        <v>79.884816</v>
      </c>
      <c r="F3" s="4">
        <v>805.0</v>
      </c>
      <c r="G3" s="4">
        <v>17.0</v>
      </c>
    </row>
    <row r="4">
      <c r="A4" s="4" t="s">
        <v>8</v>
      </c>
      <c r="B4" s="5">
        <v>44713.0</v>
      </c>
      <c r="C4" s="6">
        <v>0.3457523148135806</v>
      </c>
      <c r="D4" s="4">
        <v>12.90601</v>
      </c>
      <c r="E4" s="4">
        <v>80.096193</v>
      </c>
      <c r="F4" s="4">
        <v>2846.0</v>
      </c>
      <c r="G4" s="4">
        <v>16.0</v>
      </c>
    </row>
    <row r="5">
      <c r="A5" s="4" t="s">
        <v>8</v>
      </c>
      <c r="B5" s="5">
        <v>44713.0</v>
      </c>
      <c r="C5" s="6">
        <v>0.34590277777897427</v>
      </c>
      <c r="D5" s="4">
        <v>12.905251</v>
      </c>
      <c r="E5" s="4">
        <v>80.095648</v>
      </c>
      <c r="F5" s="4">
        <v>2846.0</v>
      </c>
      <c r="G5" s="4">
        <v>19.0</v>
      </c>
    </row>
    <row r="6">
      <c r="A6" s="4" t="s">
        <v>8</v>
      </c>
      <c r="B6" s="5">
        <v>44713.0</v>
      </c>
      <c r="C6" s="6">
        <v>0.7736921296309447</v>
      </c>
      <c r="D6" s="4">
        <v>12.762815</v>
      </c>
      <c r="E6" s="4">
        <v>80.00389</v>
      </c>
      <c r="F6" s="4">
        <v>805.0</v>
      </c>
      <c r="G6" s="4">
        <v>19.0</v>
      </c>
    </row>
    <row r="7">
      <c r="A7" s="4" t="s">
        <v>8</v>
      </c>
      <c r="B7" s="5">
        <v>44713.0</v>
      </c>
      <c r="C7" s="6">
        <v>0.7738310185195587</v>
      </c>
      <c r="D7" s="4">
        <v>12.762815</v>
      </c>
      <c r="E7" s="4">
        <v>80.00389</v>
      </c>
      <c r="F7" s="4">
        <v>805.0</v>
      </c>
      <c r="G7" s="4">
        <v>19.0</v>
      </c>
    </row>
    <row r="8">
      <c r="A8" s="4" t="s">
        <v>8</v>
      </c>
      <c r="B8" s="5">
        <v>44713.0</v>
      </c>
      <c r="C8" s="6">
        <v>0.7818750000005821</v>
      </c>
      <c r="D8" s="4">
        <v>12.83092</v>
      </c>
      <c r="E8" s="4">
        <v>80.04594</v>
      </c>
      <c r="F8" s="4">
        <v>805.0</v>
      </c>
      <c r="G8" s="4">
        <v>13.0</v>
      </c>
    </row>
    <row r="9">
      <c r="A9" s="4" t="s">
        <v>8</v>
      </c>
      <c r="B9" s="5">
        <v>44713.0</v>
      </c>
      <c r="C9" s="6">
        <v>0.7819560185198497</v>
      </c>
      <c r="D9" s="4">
        <v>12.83092</v>
      </c>
      <c r="E9" s="4">
        <v>80.04594</v>
      </c>
      <c r="F9" s="4">
        <v>805.0</v>
      </c>
      <c r="G9" s="4">
        <v>13.0</v>
      </c>
    </row>
    <row r="10">
      <c r="A10" s="4" t="s">
        <v>8</v>
      </c>
      <c r="B10" s="5">
        <v>44714.0</v>
      </c>
      <c r="C10" s="6">
        <v>0.24725694444350665</v>
      </c>
      <c r="D10" s="4">
        <v>12.929972</v>
      </c>
      <c r="E10" s="4">
        <v>80.121041</v>
      </c>
      <c r="F10" s="4">
        <v>2846.0</v>
      </c>
      <c r="G10" s="4">
        <v>15.0</v>
      </c>
    </row>
    <row r="11">
      <c r="A11" s="4" t="s">
        <v>8</v>
      </c>
      <c r="B11" s="5">
        <v>44714.0</v>
      </c>
      <c r="C11" s="6">
        <v>0.24731481481649098</v>
      </c>
      <c r="D11" s="4">
        <v>12.929972</v>
      </c>
      <c r="E11" s="4">
        <v>80.121041</v>
      </c>
      <c r="F11" s="4">
        <v>2846.0</v>
      </c>
      <c r="G11" s="4">
        <v>15.0</v>
      </c>
    </row>
    <row r="12">
      <c r="A12" s="4" t="s">
        <v>8</v>
      </c>
      <c r="B12" s="5">
        <v>44714.0</v>
      </c>
      <c r="C12" s="6">
        <v>0.6905902777762094</v>
      </c>
      <c r="D12" s="4">
        <v>12.879365</v>
      </c>
      <c r="E12" s="4">
        <v>80.079999</v>
      </c>
      <c r="F12" s="4">
        <v>2846.0</v>
      </c>
      <c r="G12" s="4">
        <v>14.0</v>
      </c>
    </row>
    <row r="13">
      <c r="A13" s="4" t="s">
        <v>8</v>
      </c>
      <c r="B13" s="5">
        <v>44714.0</v>
      </c>
      <c r="C13" s="6">
        <v>0.6906018518529891</v>
      </c>
      <c r="D13" s="4">
        <v>12.879365</v>
      </c>
      <c r="E13" s="4">
        <v>80.079999</v>
      </c>
      <c r="F13" s="4">
        <v>2846.0</v>
      </c>
      <c r="G13" s="4">
        <v>14.0</v>
      </c>
    </row>
    <row r="14">
      <c r="A14" s="4" t="s">
        <v>8</v>
      </c>
      <c r="B14" s="5">
        <v>44714.0</v>
      </c>
      <c r="C14" s="6">
        <v>0.6919212962966412</v>
      </c>
      <c r="D14" s="4">
        <v>12.860419</v>
      </c>
      <c r="E14" s="4">
        <v>80.072637</v>
      </c>
      <c r="F14" s="4">
        <v>805.0</v>
      </c>
      <c r="G14" s="4">
        <v>8.0</v>
      </c>
    </row>
    <row r="15">
      <c r="A15" s="4" t="s">
        <v>8</v>
      </c>
      <c r="B15" s="5">
        <v>44714.0</v>
      </c>
      <c r="C15" s="6">
        <v>0.6920370370353339</v>
      </c>
      <c r="D15" s="4">
        <v>12.860256</v>
      </c>
      <c r="E15" s="4">
        <v>80.072542</v>
      </c>
      <c r="F15" s="4">
        <v>805.0</v>
      </c>
      <c r="G15" s="4">
        <v>0.0</v>
      </c>
    </row>
    <row r="16">
      <c r="A16" s="4" t="s">
        <v>8</v>
      </c>
      <c r="B16" s="5">
        <v>44714.0</v>
      </c>
      <c r="C16" s="6">
        <v>0.6995486111118225</v>
      </c>
      <c r="D16" s="4">
        <v>12.926247</v>
      </c>
      <c r="E16" s="4">
        <v>80.117359</v>
      </c>
      <c r="F16" s="4">
        <v>2846.0</v>
      </c>
      <c r="G16" s="4">
        <v>4.0</v>
      </c>
    </row>
    <row r="17">
      <c r="A17" s="4" t="s">
        <v>8</v>
      </c>
      <c r="B17" s="5">
        <v>44714.0</v>
      </c>
      <c r="C17" s="6">
        <v>0.6996064814811689</v>
      </c>
      <c r="D17" s="4">
        <v>12.926336</v>
      </c>
      <c r="E17" s="4">
        <v>80.117448</v>
      </c>
      <c r="F17" s="4">
        <v>2846.0</v>
      </c>
      <c r="G17" s="4">
        <v>12.0</v>
      </c>
    </row>
    <row r="18">
      <c r="A18" s="4" t="s">
        <v>8</v>
      </c>
      <c r="B18" s="5">
        <v>44714.0</v>
      </c>
      <c r="C18" s="6">
        <v>0.7073611111118225</v>
      </c>
      <c r="D18" s="4">
        <v>12.743122</v>
      </c>
      <c r="E18" s="4">
        <v>79.992531</v>
      </c>
      <c r="F18" s="4">
        <v>805.0</v>
      </c>
      <c r="G18" s="4">
        <v>0.0</v>
      </c>
    </row>
    <row r="19">
      <c r="A19" s="4" t="s">
        <v>8</v>
      </c>
      <c r="B19" s="5">
        <v>44714.0</v>
      </c>
      <c r="C19" s="6">
        <v>0.7079050925931369</v>
      </c>
      <c r="D19" s="4">
        <v>12.743122</v>
      </c>
      <c r="E19" s="4">
        <v>79.992531</v>
      </c>
      <c r="F19" s="4">
        <v>805.0</v>
      </c>
      <c r="G19" s="4">
        <v>0.0</v>
      </c>
    </row>
    <row r="20">
      <c r="A20" s="4" t="s">
        <v>8</v>
      </c>
      <c r="B20" s="5">
        <v>44714.0</v>
      </c>
      <c r="C20" s="6">
        <v>0.7219444444453984</v>
      </c>
      <c r="D20" s="4">
        <v>13.021846</v>
      </c>
      <c r="E20" s="4">
        <v>80.226027</v>
      </c>
      <c r="F20" s="4">
        <v>2846.0</v>
      </c>
      <c r="G20" s="4">
        <v>0.0</v>
      </c>
    </row>
    <row r="21">
      <c r="A21" s="4" t="s">
        <v>8</v>
      </c>
      <c r="B21" s="5">
        <v>44714.0</v>
      </c>
      <c r="C21" s="6">
        <v>0.7219675925916818</v>
      </c>
      <c r="D21" s="4">
        <v>13.021846</v>
      </c>
      <c r="E21" s="4">
        <v>80.226027</v>
      </c>
      <c r="F21" s="4">
        <v>2846.0</v>
      </c>
      <c r="G21" s="4">
        <v>0.0</v>
      </c>
    </row>
    <row r="22">
      <c r="A22" s="4" t="s">
        <v>8</v>
      </c>
      <c r="B22" s="5">
        <v>44714.0</v>
      </c>
      <c r="C22" s="6">
        <v>0.7479745370364981</v>
      </c>
      <c r="D22" s="4">
        <v>13.071461</v>
      </c>
      <c r="E22" s="4">
        <v>80.26471</v>
      </c>
      <c r="F22" s="4">
        <v>2846.0</v>
      </c>
      <c r="G22" s="4">
        <v>19.0</v>
      </c>
    </row>
    <row r="23">
      <c r="A23" s="4" t="s">
        <v>8</v>
      </c>
      <c r="B23" s="5">
        <v>44714.0</v>
      </c>
      <c r="C23" s="6">
        <v>0.7479861111096398</v>
      </c>
      <c r="D23" s="4">
        <v>13.071461</v>
      </c>
      <c r="E23" s="4">
        <v>80.26471</v>
      </c>
      <c r="F23" s="4">
        <v>2846.0</v>
      </c>
      <c r="G23" s="4">
        <v>19.0</v>
      </c>
    </row>
    <row r="24">
      <c r="A24" s="4" t="s">
        <v>8</v>
      </c>
      <c r="B24" s="5">
        <v>44715.0</v>
      </c>
      <c r="C24" s="6">
        <v>0.3171527777776646</v>
      </c>
      <c r="D24" s="4">
        <v>12.687115</v>
      </c>
      <c r="E24" s="4">
        <v>79.983044</v>
      </c>
      <c r="F24" s="4">
        <v>805.0</v>
      </c>
      <c r="G24" s="4">
        <v>19.0</v>
      </c>
    </row>
    <row r="25">
      <c r="A25" s="4" t="s">
        <v>8</v>
      </c>
      <c r="B25" s="5">
        <v>44715.0</v>
      </c>
      <c r="C25" s="6">
        <v>0.3171527777776646</v>
      </c>
      <c r="D25" s="4">
        <v>12.687115</v>
      </c>
      <c r="E25" s="4">
        <v>79.983044</v>
      </c>
      <c r="F25" s="4">
        <v>805.0</v>
      </c>
      <c r="G25" s="4">
        <v>19.0</v>
      </c>
    </row>
    <row r="26">
      <c r="A26" s="4" t="s">
        <v>8</v>
      </c>
      <c r="B26" s="5">
        <v>44715.0</v>
      </c>
      <c r="C26" s="6">
        <v>0.3376041666670062</v>
      </c>
      <c r="D26" s="4">
        <v>12.952315</v>
      </c>
      <c r="E26" s="4">
        <v>80.141002</v>
      </c>
      <c r="F26" s="4">
        <v>2846.0</v>
      </c>
      <c r="G26" s="4">
        <v>6.0</v>
      </c>
    </row>
    <row r="27">
      <c r="A27" s="4" t="s">
        <v>8</v>
      </c>
      <c r="B27" s="5">
        <v>44715.0</v>
      </c>
      <c r="C27" s="6">
        <v>0.3376157407401479</v>
      </c>
      <c r="D27" s="4">
        <v>12.952093</v>
      </c>
      <c r="E27" s="4">
        <v>80.140834</v>
      </c>
      <c r="F27" s="4">
        <v>2846.0</v>
      </c>
      <c r="G27" s="4">
        <v>17.0</v>
      </c>
    </row>
    <row r="28">
      <c r="A28" s="4" t="s">
        <v>8</v>
      </c>
      <c r="B28" s="5">
        <v>44715.0</v>
      </c>
      <c r="C28" s="6">
        <v>0.3376504629632109</v>
      </c>
      <c r="D28" s="4">
        <v>12.952093</v>
      </c>
      <c r="E28" s="4">
        <v>80.140834</v>
      </c>
      <c r="F28" s="4">
        <v>2846.0</v>
      </c>
      <c r="G28" s="4">
        <v>17.0</v>
      </c>
    </row>
    <row r="29">
      <c r="A29" s="4" t="s">
        <v>8</v>
      </c>
      <c r="B29" s="5">
        <v>44715.0</v>
      </c>
      <c r="C29" s="6">
        <v>0.7153240740735782</v>
      </c>
      <c r="D29" s="4">
        <v>12.955956</v>
      </c>
      <c r="E29" s="4">
        <v>80.14297</v>
      </c>
      <c r="F29" s="4">
        <v>2846.0</v>
      </c>
      <c r="G29" s="4">
        <v>14.0</v>
      </c>
    </row>
    <row r="30">
      <c r="A30" s="4" t="s">
        <v>8</v>
      </c>
      <c r="B30" s="5">
        <v>44715.0</v>
      </c>
      <c r="C30" s="6">
        <v>0.7153356481467199</v>
      </c>
      <c r="D30" s="4">
        <v>12.955956</v>
      </c>
      <c r="E30" s="4">
        <v>80.14297</v>
      </c>
      <c r="F30" s="4">
        <v>2846.0</v>
      </c>
      <c r="G30" s="4">
        <v>14.0</v>
      </c>
    </row>
    <row r="31">
      <c r="A31" s="7" t="s">
        <v>8</v>
      </c>
      <c r="B31" s="8">
        <v>44715.0</v>
      </c>
      <c r="C31" s="9">
        <v>0.7153472222234996</v>
      </c>
      <c r="D31" s="10">
        <v>12.955956</v>
      </c>
      <c r="E31" s="10">
        <v>80.14297</v>
      </c>
      <c r="F31" s="10">
        <v>2846.0</v>
      </c>
      <c r="G31" s="10">
        <v>14.0</v>
      </c>
    </row>
    <row r="32">
      <c r="A32" s="4" t="s">
        <v>8</v>
      </c>
      <c r="B32" s="5">
        <v>44715.0</v>
      </c>
      <c r="C32" s="6">
        <v>0.7337384259262762</v>
      </c>
      <c r="D32" s="4">
        <v>13.019802</v>
      </c>
      <c r="E32" s="4">
        <v>80.224494</v>
      </c>
      <c r="F32" s="4">
        <v>2846.0</v>
      </c>
      <c r="G32" s="4">
        <v>13.0</v>
      </c>
    </row>
    <row r="33">
      <c r="A33" s="4" t="s">
        <v>8</v>
      </c>
      <c r="B33" s="5">
        <v>44715.0</v>
      </c>
      <c r="C33" s="6">
        <v>0.7337499999994179</v>
      </c>
      <c r="D33" s="4">
        <v>13.019802</v>
      </c>
      <c r="E33" s="4">
        <v>80.224494</v>
      </c>
      <c r="F33" s="4">
        <v>2846.0</v>
      </c>
      <c r="G33" s="4">
        <v>13.0</v>
      </c>
    </row>
    <row r="34">
      <c r="A34" s="4" t="s">
        <v>8</v>
      </c>
      <c r="B34" s="5">
        <v>44715.0</v>
      </c>
      <c r="C34" s="6">
        <v>0.7531828703686188</v>
      </c>
      <c r="D34" s="4">
        <v>13.062082</v>
      </c>
      <c r="E34" s="4">
        <v>80.262747</v>
      </c>
      <c r="F34" s="4">
        <v>2846.0</v>
      </c>
      <c r="G34" s="4">
        <v>15.0</v>
      </c>
    </row>
    <row r="35">
      <c r="A35" s="4" t="s">
        <v>8</v>
      </c>
      <c r="B35" s="5">
        <v>44715.0</v>
      </c>
      <c r="C35" s="6">
        <v>0.7531944444453984</v>
      </c>
      <c r="D35" s="4">
        <v>13.062082</v>
      </c>
      <c r="E35" s="4">
        <v>80.262747</v>
      </c>
      <c r="F35" s="4">
        <v>2846.0</v>
      </c>
      <c r="G35" s="4">
        <v>15.0</v>
      </c>
    </row>
    <row r="36">
      <c r="A36" s="4" t="s">
        <v>8</v>
      </c>
      <c r="B36" s="5">
        <v>44715.0</v>
      </c>
      <c r="C36" s="6">
        <v>0.7531944444453984</v>
      </c>
      <c r="D36" s="4">
        <v>13.062082</v>
      </c>
      <c r="E36" s="4">
        <v>80.262747</v>
      </c>
      <c r="F36" s="4">
        <v>2846.0</v>
      </c>
      <c r="G36" s="4">
        <v>15.0</v>
      </c>
    </row>
    <row r="37">
      <c r="A37" s="4" t="s">
        <v>8</v>
      </c>
      <c r="B37" s="5">
        <v>44715.0</v>
      </c>
      <c r="C37" s="6">
        <v>0.7947106481478841</v>
      </c>
      <c r="D37" s="4">
        <v>12.762541</v>
      </c>
      <c r="E37" s="4">
        <v>80.003841</v>
      </c>
      <c r="F37" s="4">
        <v>805.0</v>
      </c>
      <c r="G37" s="4">
        <v>0.0</v>
      </c>
    </row>
    <row r="38">
      <c r="A38" s="4" t="s">
        <v>8</v>
      </c>
      <c r="B38" s="5">
        <v>44715.0</v>
      </c>
      <c r="C38" s="6">
        <v>0.7947685185172304</v>
      </c>
      <c r="D38" s="4">
        <v>12.762541</v>
      </c>
      <c r="E38" s="4">
        <v>80.003841</v>
      </c>
      <c r="F38" s="4">
        <v>805.0</v>
      </c>
      <c r="G38" s="4">
        <v>0.0</v>
      </c>
    </row>
    <row r="39">
      <c r="A39" s="4" t="s">
        <v>8</v>
      </c>
      <c r="B39" s="5">
        <v>44715.0</v>
      </c>
      <c r="C39" s="6">
        <v>0.8189120370370802</v>
      </c>
      <c r="D39" s="4">
        <v>12.950698</v>
      </c>
      <c r="E39" s="4">
        <v>80.139762</v>
      </c>
      <c r="F39" s="4">
        <v>2846.0</v>
      </c>
      <c r="G39" s="4">
        <v>5.0</v>
      </c>
    </row>
    <row r="40">
      <c r="A40" s="4" t="s">
        <v>8</v>
      </c>
      <c r="B40" s="5">
        <v>44715.0</v>
      </c>
      <c r="C40" s="6">
        <v>0.8189351851870015</v>
      </c>
      <c r="D40" s="4">
        <v>12.950698</v>
      </c>
      <c r="E40" s="4">
        <v>80.139762</v>
      </c>
      <c r="F40" s="4">
        <v>2846.0</v>
      </c>
      <c r="G40" s="4">
        <v>5.0</v>
      </c>
    </row>
    <row r="41">
      <c r="A41" s="4" t="s">
        <v>8</v>
      </c>
      <c r="B41" s="5">
        <v>44715.0</v>
      </c>
      <c r="C41" s="6">
        <v>0.8293518518512428</v>
      </c>
      <c r="D41" s="4">
        <v>12.90628</v>
      </c>
      <c r="E41" s="4">
        <v>80.096374</v>
      </c>
      <c r="F41" s="4">
        <v>2846.0</v>
      </c>
      <c r="G41" s="4">
        <v>8.0</v>
      </c>
    </row>
    <row r="42">
      <c r="A42" s="4" t="s">
        <v>8</v>
      </c>
      <c r="B42" s="5">
        <v>44715.0</v>
      </c>
      <c r="C42" s="6">
        <v>0.8293634259243845</v>
      </c>
      <c r="D42" s="4">
        <v>12.90628</v>
      </c>
      <c r="E42" s="4">
        <v>80.096374</v>
      </c>
      <c r="F42" s="4">
        <v>2846.0</v>
      </c>
      <c r="G42" s="4">
        <v>8.0</v>
      </c>
    </row>
    <row r="43">
      <c r="A43" s="4" t="s">
        <v>8</v>
      </c>
      <c r="B43" s="5">
        <v>44718.0</v>
      </c>
      <c r="C43" s="6">
        <v>0.2525694444448163</v>
      </c>
      <c r="D43" s="4">
        <v>12.843869</v>
      </c>
      <c r="E43" s="4">
        <v>80.059744</v>
      </c>
      <c r="F43" s="4">
        <v>805.0</v>
      </c>
      <c r="G43" s="4">
        <v>19.0</v>
      </c>
    </row>
    <row r="44">
      <c r="A44" s="4" t="s">
        <v>8</v>
      </c>
      <c r="B44" s="5">
        <v>44718.0</v>
      </c>
      <c r="C44" s="6">
        <v>0.252581018517958</v>
      </c>
      <c r="D44" s="4">
        <v>12.843869</v>
      </c>
      <c r="E44" s="4">
        <v>80.059744</v>
      </c>
      <c r="F44" s="4">
        <v>805.0</v>
      </c>
      <c r="G44" s="4">
        <v>19.0</v>
      </c>
    </row>
    <row r="45">
      <c r="A45" s="4" t="s">
        <v>8</v>
      </c>
      <c r="B45" s="5">
        <v>44718.0</v>
      </c>
      <c r="C45" s="6">
        <v>0.28043981481459923</v>
      </c>
      <c r="D45" s="4">
        <v>13.031015</v>
      </c>
      <c r="E45" s="4">
        <v>80.23935</v>
      </c>
      <c r="F45" s="4">
        <v>2846.0</v>
      </c>
      <c r="G45" s="4">
        <v>0.0</v>
      </c>
    </row>
    <row r="46">
      <c r="A46" s="4" t="s">
        <v>8</v>
      </c>
      <c r="B46" s="5">
        <v>44718.0</v>
      </c>
      <c r="C46" s="6">
        <v>0.2804976851839456</v>
      </c>
      <c r="D46" s="4">
        <v>13.031015</v>
      </c>
      <c r="E46" s="4">
        <v>80.23935</v>
      </c>
      <c r="F46" s="4">
        <v>2846.0</v>
      </c>
      <c r="G46" s="4">
        <v>0.0</v>
      </c>
    </row>
    <row r="47">
      <c r="A47" s="4" t="s">
        <v>8</v>
      </c>
      <c r="B47" s="5">
        <v>44718.0</v>
      </c>
      <c r="C47" s="6">
        <v>0.31792824074000237</v>
      </c>
      <c r="D47" s="4">
        <v>12.682501</v>
      </c>
      <c r="E47" s="4">
        <v>79.982361</v>
      </c>
      <c r="F47" s="4">
        <v>805.0</v>
      </c>
      <c r="G47" s="4">
        <v>17.0</v>
      </c>
    </row>
    <row r="48">
      <c r="A48" s="4" t="s">
        <v>8</v>
      </c>
      <c r="B48" s="5">
        <v>44718.0</v>
      </c>
      <c r="C48" s="6">
        <v>0.31792824074000237</v>
      </c>
      <c r="D48" s="4">
        <v>12.682501</v>
      </c>
      <c r="E48" s="4">
        <v>79.982361</v>
      </c>
      <c r="F48" s="4">
        <v>805.0</v>
      </c>
      <c r="G48" s="4">
        <v>17.0</v>
      </c>
    </row>
    <row r="49">
      <c r="A49" s="4" t="s">
        <v>8</v>
      </c>
      <c r="B49" s="5">
        <v>44718.0</v>
      </c>
      <c r="C49" s="6">
        <v>0.34035879629664123</v>
      </c>
      <c r="D49" s="4">
        <v>12.942425</v>
      </c>
      <c r="E49" s="4">
        <v>80.133112</v>
      </c>
      <c r="F49" s="4">
        <v>2846.0</v>
      </c>
      <c r="G49" s="4">
        <v>16.0</v>
      </c>
    </row>
    <row r="50">
      <c r="A50" s="4" t="s">
        <v>8</v>
      </c>
      <c r="B50" s="5">
        <v>44718.0</v>
      </c>
      <c r="C50" s="6">
        <v>0.34042824073912925</v>
      </c>
      <c r="D50" s="4">
        <v>12.942425</v>
      </c>
      <c r="E50" s="4">
        <v>80.133112</v>
      </c>
      <c r="F50" s="4">
        <v>2846.0</v>
      </c>
      <c r="G50" s="4">
        <v>16.0</v>
      </c>
    </row>
    <row r="51">
      <c r="A51" s="4" t="s">
        <v>8</v>
      </c>
      <c r="B51" s="5">
        <v>44718.0</v>
      </c>
      <c r="C51" s="6">
        <v>0.692488425924239</v>
      </c>
      <c r="D51" s="4">
        <v>12.878779</v>
      </c>
      <c r="E51" s="4">
        <v>80.080981</v>
      </c>
      <c r="F51" s="4">
        <v>805.0</v>
      </c>
      <c r="G51" s="4">
        <v>11.0</v>
      </c>
    </row>
    <row r="52">
      <c r="A52" s="4" t="s">
        <v>8</v>
      </c>
      <c r="B52" s="5">
        <v>44718.0</v>
      </c>
      <c r="C52" s="6">
        <v>0.6925115740741603</v>
      </c>
      <c r="D52" s="4">
        <v>12.878779</v>
      </c>
      <c r="E52" s="4">
        <v>80.080981</v>
      </c>
      <c r="F52" s="4">
        <v>805.0</v>
      </c>
      <c r="G52" s="4">
        <v>11.0</v>
      </c>
    </row>
    <row r="53">
      <c r="A53" s="4" t="s">
        <v>8</v>
      </c>
      <c r="B53" s="5">
        <v>44718.0</v>
      </c>
      <c r="C53" s="6">
        <v>0.7044212962973688</v>
      </c>
      <c r="D53" s="4">
        <v>12.795946</v>
      </c>
      <c r="E53" s="4">
        <v>80.020812</v>
      </c>
      <c r="F53" s="4">
        <v>805.0</v>
      </c>
      <c r="G53" s="4">
        <v>0.0</v>
      </c>
    </row>
    <row r="54">
      <c r="A54" s="4" t="s">
        <v>8</v>
      </c>
      <c r="B54" s="5">
        <v>44718.0</v>
      </c>
      <c r="C54" s="6">
        <v>0.7045138888897782</v>
      </c>
      <c r="D54" s="4">
        <v>12.795946</v>
      </c>
      <c r="E54" s="4">
        <v>80.020812</v>
      </c>
      <c r="F54" s="4">
        <v>805.0</v>
      </c>
      <c r="G54" s="4">
        <v>0.0</v>
      </c>
    </row>
    <row r="55">
      <c r="A55" s="4" t="s">
        <v>8</v>
      </c>
      <c r="B55" s="5">
        <v>44718.0</v>
      </c>
      <c r="C55" s="6">
        <v>0.7047106481477385</v>
      </c>
      <c r="D55" s="4">
        <v>12.795946</v>
      </c>
      <c r="E55" s="4">
        <v>80.020812</v>
      </c>
      <c r="F55" s="4">
        <v>805.0</v>
      </c>
      <c r="G55" s="4">
        <v>0.0</v>
      </c>
    </row>
    <row r="56">
      <c r="A56" s="4" t="s">
        <v>8</v>
      </c>
      <c r="B56" s="5">
        <v>44718.0</v>
      </c>
      <c r="C56" s="6">
        <v>0.7047337962976599</v>
      </c>
      <c r="D56" s="4">
        <v>12.795946</v>
      </c>
      <c r="E56" s="4">
        <v>80.020812</v>
      </c>
      <c r="F56" s="4">
        <v>805.0</v>
      </c>
      <c r="G56" s="4">
        <v>0.0</v>
      </c>
    </row>
    <row r="57">
      <c r="A57" s="4" t="s">
        <v>8</v>
      </c>
      <c r="B57" s="5">
        <v>44718.0</v>
      </c>
      <c r="C57" s="6">
        <v>0.7048495370363526</v>
      </c>
      <c r="D57" s="4">
        <v>12.795946</v>
      </c>
      <c r="E57" s="4">
        <v>80.020812</v>
      </c>
      <c r="F57" s="4">
        <v>805.0</v>
      </c>
      <c r="G57" s="4">
        <v>0.0</v>
      </c>
    </row>
    <row r="58">
      <c r="A58" s="4" t="s">
        <v>8</v>
      </c>
      <c r="B58" s="5">
        <v>44718.0</v>
      </c>
      <c r="C58" s="6">
        <v>0.7075694444429246</v>
      </c>
      <c r="D58" s="4">
        <v>12.960846</v>
      </c>
      <c r="E58" s="4">
        <v>80.145549</v>
      </c>
      <c r="F58" s="4">
        <v>2846.0</v>
      </c>
      <c r="G58" s="4">
        <v>0.0</v>
      </c>
    </row>
    <row r="59">
      <c r="A59" s="4" t="s">
        <v>8</v>
      </c>
      <c r="B59" s="5">
        <v>44718.0</v>
      </c>
      <c r="C59" s="6">
        <v>0.7076967592583969</v>
      </c>
      <c r="D59" s="4">
        <v>12.960846</v>
      </c>
      <c r="E59" s="4">
        <v>80.145549</v>
      </c>
      <c r="F59" s="4">
        <v>2846.0</v>
      </c>
      <c r="G59" s="4">
        <v>0.0</v>
      </c>
    </row>
    <row r="60">
      <c r="A60" s="4" t="s">
        <v>8</v>
      </c>
      <c r="B60" s="5">
        <v>44718.0</v>
      </c>
      <c r="C60" s="6">
        <v>0.7078472222237906</v>
      </c>
      <c r="D60" s="4">
        <v>12.960893</v>
      </c>
      <c r="E60" s="4">
        <v>80.145572</v>
      </c>
      <c r="F60" s="4">
        <v>2846.0</v>
      </c>
      <c r="G60" s="4">
        <v>8.0</v>
      </c>
    </row>
    <row r="61">
      <c r="A61" s="4" t="s">
        <v>8</v>
      </c>
      <c r="B61" s="5">
        <v>44718.0</v>
      </c>
      <c r="C61" s="6">
        <v>0.7181249999994179</v>
      </c>
      <c r="D61" s="4">
        <v>12.697315</v>
      </c>
      <c r="E61" s="4">
        <v>79.972203</v>
      </c>
      <c r="F61" s="4">
        <v>805.0</v>
      </c>
      <c r="G61" s="4">
        <v>19.0</v>
      </c>
    </row>
    <row r="62">
      <c r="A62" s="4" t="s">
        <v>8</v>
      </c>
      <c r="B62" s="5">
        <v>44718.0</v>
      </c>
      <c r="C62" s="6">
        <v>0.7181249999994179</v>
      </c>
      <c r="D62" s="4">
        <v>12.697315</v>
      </c>
      <c r="E62" s="4">
        <v>79.972203</v>
      </c>
      <c r="F62" s="4">
        <v>805.0</v>
      </c>
      <c r="G62" s="4">
        <v>19.0</v>
      </c>
    </row>
    <row r="63">
      <c r="A63" s="4" t="s">
        <v>8</v>
      </c>
      <c r="B63" s="5">
        <v>44718.0</v>
      </c>
      <c r="C63" s="6">
        <v>0.7182175925918273</v>
      </c>
      <c r="D63" s="4">
        <v>12.697315</v>
      </c>
      <c r="E63" s="4">
        <v>79.972203</v>
      </c>
      <c r="F63" s="4">
        <v>805.0</v>
      </c>
      <c r="G63" s="4">
        <v>19.0</v>
      </c>
    </row>
    <row r="64">
      <c r="A64" s="4" t="s">
        <v>8</v>
      </c>
      <c r="B64" s="5">
        <v>44718.0</v>
      </c>
      <c r="C64" s="6">
        <v>0.7192939814813144</v>
      </c>
      <c r="D64" s="4">
        <v>12.697423</v>
      </c>
      <c r="E64" s="4">
        <v>79.97648</v>
      </c>
      <c r="F64" s="4">
        <v>805.0</v>
      </c>
      <c r="G64" s="4">
        <v>16.0</v>
      </c>
    </row>
    <row r="65">
      <c r="A65" s="4" t="s">
        <v>8</v>
      </c>
      <c r="B65" s="5">
        <v>44718.0</v>
      </c>
      <c r="C65" s="6">
        <v>0.7193171296312357</v>
      </c>
      <c r="D65" s="4">
        <v>12.697423</v>
      </c>
      <c r="E65" s="4">
        <v>79.97648</v>
      </c>
      <c r="F65" s="4">
        <v>805.0</v>
      </c>
      <c r="G65" s="4">
        <v>16.0</v>
      </c>
    </row>
    <row r="66">
      <c r="A66" s="4" t="s">
        <v>8</v>
      </c>
      <c r="B66" s="5">
        <v>44718.0</v>
      </c>
      <c r="C66" s="6">
        <v>0.7267129629617557</v>
      </c>
      <c r="D66" s="4">
        <v>12.679746</v>
      </c>
      <c r="E66" s="4">
        <v>79.980869</v>
      </c>
      <c r="F66" s="4">
        <v>805.0</v>
      </c>
      <c r="G66" s="4">
        <v>0.0</v>
      </c>
    </row>
    <row r="67">
      <c r="A67" s="4" t="s">
        <v>8</v>
      </c>
      <c r="B67" s="5">
        <v>44718.0</v>
      </c>
      <c r="C67" s="6">
        <v>0.726805555554165</v>
      </c>
      <c r="D67" s="4">
        <v>12.679746</v>
      </c>
      <c r="E67" s="4">
        <v>79.980869</v>
      </c>
      <c r="F67" s="4">
        <v>805.0</v>
      </c>
      <c r="G67" s="4">
        <v>0.0</v>
      </c>
    </row>
    <row r="68">
      <c r="A68" s="4" t="s">
        <v>8</v>
      </c>
      <c r="B68" s="5">
        <v>44718.0</v>
      </c>
      <c r="C68" s="6">
        <v>0.7268171296309447</v>
      </c>
      <c r="D68" s="4">
        <v>12.679746</v>
      </c>
      <c r="E68" s="4">
        <v>79.980869</v>
      </c>
      <c r="F68" s="4">
        <v>805.0</v>
      </c>
      <c r="G68" s="4">
        <v>0.0</v>
      </c>
    </row>
    <row r="69">
      <c r="A69" s="4" t="s">
        <v>8</v>
      </c>
      <c r="B69" s="5">
        <v>44718.0</v>
      </c>
      <c r="C69" s="6">
        <v>0.7268171296309447</v>
      </c>
      <c r="D69" s="4">
        <v>12.679746</v>
      </c>
      <c r="E69" s="4">
        <v>79.980869</v>
      </c>
      <c r="F69" s="4">
        <v>805.0</v>
      </c>
      <c r="G69" s="4">
        <v>0.0</v>
      </c>
    </row>
    <row r="70">
      <c r="A70" s="4" t="s">
        <v>8</v>
      </c>
      <c r="B70" s="5">
        <v>44718.0</v>
      </c>
      <c r="C70" s="6">
        <v>0.7477893518516794</v>
      </c>
      <c r="D70" s="4">
        <v>12.510488</v>
      </c>
      <c r="E70" s="4">
        <v>79.885025</v>
      </c>
      <c r="F70" s="4">
        <v>805.0</v>
      </c>
      <c r="G70" s="4">
        <v>11.0</v>
      </c>
    </row>
    <row r="71">
      <c r="A71" s="4" t="s">
        <v>8</v>
      </c>
      <c r="B71" s="5">
        <v>44718.0</v>
      </c>
      <c r="C71" s="6">
        <v>0.7478125000016007</v>
      </c>
      <c r="D71" s="4">
        <v>12.510488</v>
      </c>
      <c r="E71" s="4">
        <v>79.885025</v>
      </c>
      <c r="F71" s="4">
        <v>805.0</v>
      </c>
      <c r="G71" s="4">
        <v>11.0</v>
      </c>
    </row>
    <row r="72">
      <c r="A72" s="4" t="s">
        <v>8</v>
      </c>
      <c r="B72" s="5">
        <v>44718.0</v>
      </c>
      <c r="C72" s="6">
        <v>0.7478356481478841</v>
      </c>
      <c r="D72" s="4">
        <v>12.510488</v>
      </c>
      <c r="E72" s="4">
        <v>79.885025</v>
      </c>
      <c r="F72" s="4">
        <v>805.0</v>
      </c>
      <c r="G72" s="4">
        <v>11.0</v>
      </c>
    </row>
    <row r="73">
      <c r="A73" s="4" t="s">
        <v>8</v>
      </c>
      <c r="B73" s="5">
        <v>44718.0</v>
      </c>
      <c r="C73" s="6">
        <v>0.77364583333474</v>
      </c>
      <c r="D73" s="4">
        <v>12.724134</v>
      </c>
      <c r="E73" s="4">
        <v>79.981709</v>
      </c>
      <c r="F73" s="4">
        <v>805.0</v>
      </c>
      <c r="G73" s="4">
        <v>0.0</v>
      </c>
    </row>
    <row r="74">
      <c r="A74" s="4" t="s">
        <v>8</v>
      </c>
      <c r="B74" s="5">
        <v>44718.0</v>
      </c>
      <c r="C74" s="6">
        <v>0.7738310185195587</v>
      </c>
      <c r="D74" s="4">
        <v>12.724188</v>
      </c>
      <c r="E74" s="4">
        <v>79.981721</v>
      </c>
      <c r="F74" s="4">
        <v>805.0</v>
      </c>
      <c r="G74" s="4">
        <v>0.0</v>
      </c>
    </row>
    <row r="75">
      <c r="A75" s="4" t="s">
        <v>8</v>
      </c>
      <c r="B75" s="5">
        <v>44718.0</v>
      </c>
      <c r="C75" s="6">
        <v>0.7740509259274404</v>
      </c>
      <c r="D75" s="4">
        <v>12.724188</v>
      </c>
      <c r="E75" s="4">
        <v>79.981721</v>
      </c>
      <c r="F75" s="4">
        <v>805.0</v>
      </c>
      <c r="G75" s="4">
        <v>0.0</v>
      </c>
    </row>
    <row r="76">
      <c r="A76" s="4" t="s">
        <v>8</v>
      </c>
      <c r="B76" s="5">
        <v>44718.0</v>
      </c>
      <c r="C76" s="6">
        <v>0.7740972222236451</v>
      </c>
      <c r="D76" s="4">
        <v>12.724188</v>
      </c>
      <c r="E76" s="4">
        <v>79.981721</v>
      </c>
      <c r="F76" s="4">
        <v>805.0</v>
      </c>
      <c r="G76" s="4">
        <v>0.0</v>
      </c>
    </row>
    <row r="77">
      <c r="A77" s="4" t="s">
        <v>8</v>
      </c>
      <c r="B77" s="5">
        <v>44719.0</v>
      </c>
      <c r="C77" s="6">
        <v>0.3167939814811689</v>
      </c>
      <c r="D77" s="4">
        <v>12.683641</v>
      </c>
      <c r="E77" s="4">
        <v>79.983086</v>
      </c>
      <c r="F77" s="4">
        <v>805.0</v>
      </c>
      <c r="G77" s="4">
        <v>0.0</v>
      </c>
    </row>
    <row r="78">
      <c r="A78" s="4" t="s">
        <v>8</v>
      </c>
      <c r="B78" s="5">
        <v>44719.0</v>
      </c>
      <c r="C78" s="6">
        <v>0.31684027777737356</v>
      </c>
      <c r="D78" s="4">
        <v>12.683641</v>
      </c>
      <c r="E78" s="4">
        <v>79.983086</v>
      </c>
      <c r="F78" s="4">
        <v>805.0</v>
      </c>
      <c r="G78" s="4">
        <v>0.0</v>
      </c>
    </row>
    <row r="79">
      <c r="A79" s="4" t="s">
        <v>8</v>
      </c>
      <c r="B79" s="5">
        <v>44719.0</v>
      </c>
      <c r="C79" s="6">
        <v>0.31685185185051523</v>
      </c>
      <c r="D79" s="4">
        <v>12.683656</v>
      </c>
      <c r="E79" s="4">
        <v>79.98312</v>
      </c>
      <c r="F79" s="4">
        <v>805.0</v>
      </c>
      <c r="G79" s="4">
        <v>4.0</v>
      </c>
    </row>
    <row r="80">
      <c r="A80" s="4" t="s">
        <v>8</v>
      </c>
      <c r="B80" s="5">
        <v>44719.0</v>
      </c>
      <c r="C80" s="6">
        <v>0.3173611111124046</v>
      </c>
      <c r="D80" s="4">
        <v>12.686598</v>
      </c>
      <c r="E80" s="4">
        <v>79.983211</v>
      </c>
      <c r="F80" s="4">
        <v>805.0</v>
      </c>
      <c r="G80" s="4">
        <v>11.0</v>
      </c>
    </row>
    <row r="81">
      <c r="A81" s="4" t="s">
        <v>8</v>
      </c>
      <c r="B81" s="5">
        <v>44719.0</v>
      </c>
      <c r="C81" s="6">
        <v>0.3173611111124046</v>
      </c>
      <c r="D81" s="4">
        <v>12.68699</v>
      </c>
      <c r="E81" s="4">
        <v>79.983088</v>
      </c>
      <c r="F81" s="4">
        <v>805.0</v>
      </c>
      <c r="G81" s="4">
        <v>20.0</v>
      </c>
    </row>
    <row r="82">
      <c r="A82" s="4" t="s">
        <v>8</v>
      </c>
      <c r="B82" s="5">
        <v>44719.0</v>
      </c>
      <c r="C82" s="6">
        <v>0.31738425925868796</v>
      </c>
      <c r="D82" s="4">
        <v>12.68699</v>
      </c>
      <c r="E82" s="4">
        <v>79.983088</v>
      </c>
      <c r="F82" s="4">
        <v>805.0</v>
      </c>
      <c r="G82" s="4">
        <v>20.0</v>
      </c>
    </row>
    <row r="83">
      <c r="A83" s="4" t="s">
        <v>8</v>
      </c>
      <c r="B83" s="5">
        <v>44719.0</v>
      </c>
      <c r="C83" s="6">
        <v>0.31745370370481396</v>
      </c>
      <c r="D83" s="4">
        <v>12.687557</v>
      </c>
      <c r="E83" s="4">
        <v>79.983011</v>
      </c>
      <c r="F83" s="4">
        <v>805.0</v>
      </c>
      <c r="G83" s="4">
        <v>0.0</v>
      </c>
    </row>
    <row r="84">
      <c r="A84" s="4" t="s">
        <v>8</v>
      </c>
      <c r="B84" s="5">
        <v>44719.0</v>
      </c>
      <c r="C84" s="6">
        <v>0.317488425924239</v>
      </c>
      <c r="D84" s="4">
        <v>12.687557</v>
      </c>
      <c r="E84" s="4">
        <v>79.983011</v>
      </c>
      <c r="F84" s="4">
        <v>805.0</v>
      </c>
      <c r="G84" s="4">
        <v>0.0</v>
      </c>
    </row>
    <row r="85">
      <c r="A85" s="4" t="s">
        <v>8</v>
      </c>
      <c r="B85" s="5">
        <v>44719.0</v>
      </c>
      <c r="C85" s="6">
        <v>0.7130787037021946</v>
      </c>
      <c r="D85" s="4">
        <v>13.000885</v>
      </c>
      <c r="E85" s="4">
        <v>80.19507</v>
      </c>
      <c r="F85" s="4">
        <v>805.0</v>
      </c>
      <c r="G85" s="4">
        <v>19.0</v>
      </c>
    </row>
    <row r="86">
      <c r="A86" s="4" t="s">
        <v>8</v>
      </c>
      <c r="B86" s="5">
        <v>44719.0</v>
      </c>
      <c r="C86" s="6">
        <v>0.7131249999983993</v>
      </c>
      <c r="D86" s="4">
        <v>13.001241</v>
      </c>
      <c r="E86" s="4">
        <v>80.195531</v>
      </c>
      <c r="F86" s="4">
        <v>805.0</v>
      </c>
      <c r="G86" s="4">
        <v>9.0</v>
      </c>
    </row>
    <row r="87">
      <c r="A87" s="4" t="s">
        <v>8</v>
      </c>
      <c r="B87" s="5">
        <v>44719.0</v>
      </c>
      <c r="C87" s="6">
        <v>0.7132870370369346</v>
      </c>
      <c r="D87" s="4">
        <v>13.001241</v>
      </c>
      <c r="E87" s="4">
        <v>80.195531</v>
      </c>
      <c r="F87" s="4">
        <v>805.0</v>
      </c>
      <c r="G87" s="4">
        <v>9.0</v>
      </c>
    </row>
    <row r="88">
      <c r="A88" s="4" t="s">
        <v>8</v>
      </c>
      <c r="B88" s="5">
        <v>44719.0</v>
      </c>
      <c r="C88" s="6">
        <v>0.7300578703689098</v>
      </c>
      <c r="D88" s="4">
        <v>13.055821</v>
      </c>
      <c r="E88" s="4">
        <v>80.257635</v>
      </c>
      <c r="F88" s="4">
        <v>805.0</v>
      </c>
      <c r="G88" s="4">
        <v>20.0</v>
      </c>
    </row>
    <row r="89">
      <c r="A89" s="4" t="s">
        <v>8</v>
      </c>
      <c r="B89" s="5">
        <v>44719.0</v>
      </c>
      <c r="C89" s="6">
        <v>0.7300578703689098</v>
      </c>
      <c r="D89" s="4">
        <v>13.055821</v>
      </c>
      <c r="E89" s="4">
        <v>80.257635</v>
      </c>
      <c r="F89" s="4">
        <v>805.0</v>
      </c>
      <c r="G89" s="4">
        <v>20.0</v>
      </c>
    </row>
    <row r="90">
      <c r="A90" s="4" t="s">
        <v>8</v>
      </c>
      <c r="B90" s="5">
        <v>44719.0</v>
      </c>
      <c r="C90" s="6">
        <v>0.7301273148150358</v>
      </c>
      <c r="D90" s="4">
        <v>13.055821</v>
      </c>
      <c r="E90" s="4">
        <v>80.257635</v>
      </c>
      <c r="F90" s="4">
        <v>805.0</v>
      </c>
      <c r="G90" s="4">
        <v>20.0</v>
      </c>
    </row>
    <row r="91">
      <c r="A91" s="4" t="s">
        <v>8</v>
      </c>
      <c r="B91" s="5">
        <v>44719.0</v>
      </c>
      <c r="C91" s="6">
        <v>0.7428819444430701</v>
      </c>
      <c r="D91" s="4">
        <v>13.066656</v>
      </c>
      <c r="E91" s="4">
        <v>80.268432</v>
      </c>
      <c r="F91" s="4">
        <v>805.0</v>
      </c>
      <c r="G91" s="4">
        <v>10.0</v>
      </c>
    </row>
    <row r="92">
      <c r="A92" s="4" t="s">
        <v>8</v>
      </c>
      <c r="B92" s="5">
        <v>44719.0</v>
      </c>
      <c r="C92" s="6">
        <v>0.7429513888891961</v>
      </c>
      <c r="D92" s="4">
        <v>13.066656</v>
      </c>
      <c r="E92" s="4">
        <v>80.268432</v>
      </c>
      <c r="F92" s="4">
        <v>805.0</v>
      </c>
      <c r="G92" s="4">
        <v>10.0</v>
      </c>
    </row>
    <row r="93">
      <c r="A93" s="4" t="s">
        <v>8</v>
      </c>
      <c r="B93" s="5">
        <v>44720.0</v>
      </c>
      <c r="C93" s="6">
        <v>0.2843749999992724</v>
      </c>
      <c r="D93" s="4">
        <v>13.070246</v>
      </c>
      <c r="E93" s="4">
        <v>80.182138</v>
      </c>
      <c r="F93" s="4">
        <v>3143.0</v>
      </c>
      <c r="G93" s="4">
        <v>0.0</v>
      </c>
    </row>
    <row r="94">
      <c r="A94" s="4" t="s">
        <v>8</v>
      </c>
      <c r="B94" s="5">
        <v>44720.0</v>
      </c>
      <c r="C94" s="6">
        <v>0.28453703703780775</v>
      </c>
      <c r="D94" s="4">
        <v>13.070286</v>
      </c>
      <c r="E94" s="4">
        <v>80.182209</v>
      </c>
      <c r="F94" s="4">
        <v>3143.0</v>
      </c>
      <c r="G94" s="4">
        <v>11.0</v>
      </c>
    </row>
    <row r="95">
      <c r="A95" s="4" t="s">
        <v>8</v>
      </c>
      <c r="B95" s="5">
        <v>44720.0</v>
      </c>
      <c r="C95" s="6">
        <v>0.7090509259251121</v>
      </c>
      <c r="D95" s="4">
        <v>12.989396</v>
      </c>
      <c r="E95" s="4">
        <v>80.178605</v>
      </c>
      <c r="F95" s="4">
        <v>805.0</v>
      </c>
      <c r="G95" s="4">
        <v>10.0</v>
      </c>
    </row>
    <row r="96">
      <c r="A96" s="4" t="s">
        <v>8</v>
      </c>
      <c r="B96" s="5">
        <v>44720.0</v>
      </c>
      <c r="C96" s="6">
        <v>0.7091898148137261</v>
      </c>
      <c r="D96" s="4">
        <v>12.989396</v>
      </c>
      <c r="E96" s="4">
        <v>80.178605</v>
      </c>
      <c r="F96" s="4">
        <v>805.0</v>
      </c>
      <c r="G96" s="4">
        <v>10.0</v>
      </c>
    </row>
    <row r="97">
      <c r="A97" s="4" t="s">
        <v>8</v>
      </c>
      <c r="B97" s="5">
        <v>44720.0</v>
      </c>
      <c r="C97" s="6">
        <v>0.7315277777779556</v>
      </c>
      <c r="D97" s="4">
        <v>13.053959</v>
      </c>
      <c r="E97" s="4">
        <v>80.253033</v>
      </c>
      <c r="F97" s="4">
        <v>805.0</v>
      </c>
      <c r="G97" s="4">
        <v>0.0</v>
      </c>
    </row>
    <row r="98">
      <c r="A98" s="4" t="s">
        <v>8</v>
      </c>
      <c r="B98" s="5">
        <v>44720.0</v>
      </c>
      <c r="C98" s="6">
        <v>0.7315277777779556</v>
      </c>
      <c r="D98" s="4">
        <v>13.053959</v>
      </c>
      <c r="E98" s="4">
        <v>80.253033</v>
      </c>
      <c r="F98" s="4">
        <v>805.0</v>
      </c>
      <c r="G98" s="4">
        <v>0.0</v>
      </c>
    </row>
    <row r="99">
      <c r="A99" s="4" t="s">
        <v>8</v>
      </c>
      <c r="B99" s="5">
        <v>44720.0</v>
      </c>
      <c r="C99" s="6">
        <v>0.7315393518510973</v>
      </c>
      <c r="D99" s="4">
        <v>13.053959</v>
      </c>
      <c r="E99" s="4">
        <v>80.253033</v>
      </c>
      <c r="F99" s="4">
        <v>805.0</v>
      </c>
      <c r="G99" s="4">
        <v>0.0</v>
      </c>
    </row>
    <row r="100">
      <c r="A100" s="4" t="s">
        <v>8</v>
      </c>
      <c r="B100" s="5">
        <v>44720.0</v>
      </c>
      <c r="C100" s="6">
        <v>0.7340046296303626</v>
      </c>
      <c r="D100" s="4">
        <v>13.054493</v>
      </c>
      <c r="E100" s="4">
        <v>80.257955</v>
      </c>
      <c r="F100" s="4">
        <v>805.0</v>
      </c>
      <c r="G100" s="4">
        <v>12.0</v>
      </c>
    </row>
    <row r="101">
      <c r="A101" s="4" t="s">
        <v>8</v>
      </c>
      <c r="B101" s="5">
        <v>44720.0</v>
      </c>
      <c r="C101" s="6">
        <v>0.7341087962959136</v>
      </c>
      <c r="D101" s="4">
        <v>13.054493</v>
      </c>
      <c r="E101" s="4">
        <v>80.257955</v>
      </c>
      <c r="F101" s="4">
        <v>805.0</v>
      </c>
      <c r="G101" s="4">
        <v>12.0</v>
      </c>
    </row>
    <row r="102">
      <c r="A102" s="4" t="s">
        <v>8</v>
      </c>
      <c r="B102" s="5">
        <v>44720.0</v>
      </c>
      <c r="C102" s="6">
        <v>0.7431365740740148</v>
      </c>
      <c r="D102" s="4">
        <v>13.066442</v>
      </c>
      <c r="E102" s="4">
        <v>80.268538</v>
      </c>
      <c r="F102" s="4">
        <v>805.0</v>
      </c>
      <c r="G102" s="4">
        <v>0.0</v>
      </c>
    </row>
    <row r="103">
      <c r="A103" s="4" t="s">
        <v>8</v>
      </c>
      <c r="B103" s="5">
        <v>44720.0</v>
      </c>
      <c r="C103" s="6">
        <v>0.7431481481471565</v>
      </c>
      <c r="D103" s="4">
        <v>13.066442</v>
      </c>
      <c r="E103" s="4">
        <v>80.268538</v>
      </c>
      <c r="F103" s="4">
        <v>805.0</v>
      </c>
      <c r="G103" s="4">
        <v>0.0</v>
      </c>
    </row>
    <row r="104">
      <c r="A104" s="4" t="s">
        <v>8</v>
      </c>
      <c r="B104" s="5">
        <v>44720.0</v>
      </c>
      <c r="C104" s="6">
        <v>0.7880439814798592</v>
      </c>
      <c r="D104" s="4">
        <v>12.953439</v>
      </c>
      <c r="E104" s="4">
        <v>80.163838</v>
      </c>
      <c r="F104" s="4">
        <v>2846.0</v>
      </c>
      <c r="G104" s="4">
        <v>4.0</v>
      </c>
    </row>
    <row r="105">
      <c r="A105" s="4" t="s">
        <v>8</v>
      </c>
      <c r="B105" s="5">
        <v>44720.0</v>
      </c>
      <c r="C105" s="6">
        <v>0.7881597222221899</v>
      </c>
      <c r="D105" s="4">
        <v>12.953476</v>
      </c>
      <c r="E105" s="4">
        <v>80.163696</v>
      </c>
      <c r="F105" s="4">
        <v>2846.0</v>
      </c>
      <c r="G105" s="4">
        <v>6.0</v>
      </c>
    </row>
    <row r="106">
      <c r="A106" s="4" t="s">
        <v>8</v>
      </c>
      <c r="B106" s="5">
        <v>44721.0</v>
      </c>
      <c r="C106" s="6">
        <v>0.27694444444568944</v>
      </c>
      <c r="D106" s="4">
        <v>12.875664</v>
      </c>
      <c r="E106" s="4">
        <v>80.082834</v>
      </c>
      <c r="F106" s="4">
        <v>2846.0</v>
      </c>
      <c r="G106" s="4">
        <v>0.0</v>
      </c>
    </row>
    <row r="107">
      <c r="A107" s="4" t="s">
        <v>8</v>
      </c>
      <c r="B107" s="5">
        <v>44721.0</v>
      </c>
      <c r="C107" s="6">
        <v>0.27697916666511446</v>
      </c>
      <c r="D107" s="4">
        <v>12.875664</v>
      </c>
      <c r="E107" s="4">
        <v>80.082834</v>
      </c>
      <c r="F107" s="4">
        <v>2846.0</v>
      </c>
      <c r="G107" s="4">
        <v>0.0</v>
      </c>
    </row>
    <row r="108">
      <c r="A108" s="4" t="s">
        <v>8</v>
      </c>
      <c r="B108" s="5">
        <v>44721.0</v>
      </c>
      <c r="C108" s="6">
        <v>0.2771064814805868</v>
      </c>
      <c r="D108" s="4">
        <v>12.875664</v>
      </c>
      <c r="E108" s="4">
        <v>80.082834</v>
      </c>
      <c r="F108" s="4">
        <v>2846.0</v>
      </c>
      <c r="G108" s="4">
        <v>0.0</v>
      </c>
    </row>
    <row r="109">
      <c r="A109" s="4" t="s">
        <v>8</v>
      </c>
      <c r="B109" s="5">
        <v>44721.0</v>
      </c>
      <c r="C109" s="6">
        <v>0.27828703703562496</v>
      </c>
      <c r="D109" s="4">
        <v>12.87566</v>
      </c>
      <c r="E109" s="4">
        <v>80.08283</v>
      </c>
      <c r="F109" s="4">
        <v>2846.0</v>
      </c>
      <c r="G109" s="4">
        <v>0.0</v>
      </c>
    </row>
    <row r="110">
      <c r="A110" s="4" t="s">
        <v>8</v>
      </c>
      <c r="B110" s="5">
        <v>44721.0</v>
      </c>
      <c r="C110" s="6">
        <v>0.2783101851855463</v>
      </c>
      <c r="D110" s="4">
        <v>12.87566</v>
      </c>
      <c r="E110" s="4">
        <v>80.08283</v>
      </c>
      <c r="F110" s="4">
        <v>2846.0</v>
      </c>
      <c r="G110" s="4">
        <v>0.0</v>
      </c>
    </row>
    <row r="111">
      <c r="A111" s="4" t="s">
        <v>8</v>
      </c>
      <c r="B111" s="5">
        <v>44721.0</v>
      </c>
      <c r="C111" s="6">
        <v>0.2842245370375167</v>
      </c>
      <c r="D111" s="4">
        <v>12.875646</v>
      </c>
      <c r="E111" s="4">
        <v>80.082874</v>
      </c>
      <c r="F111" s="4">
        <v>2846.0</v>
      </c>
      <c r="G111" s="4">
        <v>0.0</v>
      </c>
    </row>
    <row r="112">
      <c r="A112" s="4" t="s">
        <v>8</v>
      </c>
      <c r="B112" s="5">
        <v>44721.0</v>
      </c>
      <c r="C112" s="6">
        <v>0.2842245370375167</v>
      </c>
      <c r="D112" s="4">
        <v>12.875646</v>
      </c>
      <c r="E112" s="4">
        <v>80.082874</v>
      </c>
      <c r="F112" s="4">
        <v>2846.0</v>
      </c>
      <c r="G112" s="4">
        <v>0.0</v>
      </c>
    </row>
    <row r="113">
      <c r="A113" s="4" t="s">
        <v>8</v>
      </c>
      <c r="B113" s="5">
        <v>44721.0</v>
      </c>
      <c r="C113" s="6">
        <v>0.28424768518380006</v>
      </c>
      <c r="D113" s="4">
        <v>12.875646</v>
      </c>
      <c r="E113" s="4">
        <v>80.082874</v>
      </c>
      <c r="F113" s="4">
        <v>2846.0</v>
      </c>
      <c r="G113" s="4">
        <v>0.0</v>
      </c>
    </row>
    <row r="114">
      <c r="A114" s="4" t="s">
        <v>8</v>
      </c>
      <c r="B114" s="5">
        <v>44721.0</v>
      </c>
      <c r="C114" s="6">
        <v>0.2842592592605797</v>
      </c>
      <c r="D114" s="4">
        <v>12.875646</v>
      </c>
      <c r="E114" s="4">
        <v>80.082874</v>
      </c>
      <c r="F114" s="4">
        <v>2846.0</v>
      </c>
      <c r="G114" s="4">
        <v>0.0</v>
      </c>
    </row>
    <row r="115">
      <c r="A115" s="4" t="s">
        <v>8</v>
      </c>
      <c r="B115" s="5">
        <v>44721.0</v>
      </c>
      <c r="C115" s="6">
        <v>0.28766203703708015</v>
      </c>
      <c r="D115" s="4">
        <v>12.875628</v>
      </c>
      <c r="E115" s="4">
        <v>80.082894</v>
      </c>
      <c r="F115" s="4">
        <v>2846.0</v>
      </c>
      <c r="G115" s="4">
        <v>0.0</v>
      </c>
    </row>
    <row r="116">
      <c r="A116" s="4" t="s">
        <v>8</v>
      </c>
      <c r="B116" s="5">
        <v>44721.0</v>
      </c>
      <c r="C116" s="6">
        <v>0.2876851851870015</v>
      </c>
      <c r="D116" s="4">
        <v>12.875628</v>
      </c>
      <c r="E116" s="4">
        <v>80.082894</v>
      </c>
      <c r="F116" s="4">
        <v>2846.0</v>
      </c>
      <c r="G116" s="4">
        <v>0.0</v>
      </c>
    </row>
    <row r="117">
      <c r="A117" s="4" t="s">
        <v>8</v>
      </c>
      <c r="B117" s="5">
        <v>44721.0</v>
      </c>
      <c r="C117" s="6">
        <v>0.2914583333331393</v>
      </c>
      <c r="D117" s="4">
        <v>12.875621</v>
      </c>
      <c r="E117" s="4">
        <v>80.082901</v>
      </c>
      <c r="F117" s="4">
        <v>2846.0</v>
      </c>
      <c r="G117" s="4">
        <v>0.0</v>
      </c>
    </row>
    <row r="118">
      <c r="A118" s="4" t="s">
        <v>8</v>
      </c>
      <c r="B118" s="5">
        <v>44721.0</v>
      </c>
      <c r="C118" s="6">
        <v>0.2923958333340124</v>
      </c>
      <c r="D118" s="4">
        <v>12.875621</v>
      </c>
      <c r="E118" s="4">
        <v>80.082901</v>
      </c>
      <c r="F118" s="4">
        <v>2846.0</v>
      </c>
      <c r="G118" s="4">
        <v>0.0</v>
      </c>
    </row>
    <row r="119">
      <c r="A119" s="4" t="s">
        <v>8</v>
      </c>
      <c r="B119" s="5">
        <v>44721.0</v>
      </c>
      <c r="C119" s="6">
        <v>0.2929629629616102</v>
      </c>
      <c r="D119" s="4">
        <v>12.875621</v>
      </c>
      <c r="E119" s="4">
        <v>80.082901</v>
      </c>
      <c r="F119" s="4">
        <v>2846.0</v>
      </c>
      <c r="G119" s="4">
        <v>0.0</v>
      </c>
    </row>
    <row r="120">
      <c r="A120" s="4" t="s">
        <v>8</v>
      </c>
      <c r="B120" s="5">
        <v>44721.0</v>
      </c>
      <c r="C120" s="6">
        <v>0.2975347222236451</v>
      </c>
      <c r="D120" s="4">
        <v>13.063695</v>
      </c>
      <c r="E120" s="4">
        <v>80.250872</v>
      </c>
      <c r="F120" s="4">
        <v>805.0</v>
      </c>
      <c r="G120" s="4">
        <v>0.0</v>
      </c>
    </row>
    <row r="121">
      <c r="A121" s="4" t="s">
        <v>8</v>
      </c>
      <c r="B121" s="5">
        <v>44721.0</v>
      </c>
      <c r="C121" s="6">
        <v>0.29766203703547944</v>
      </c>
      <c r="D121" s="4">
        <v>13.063695</v>
      </c>
      <c r="E121" s="4">
        <v>80.250872</v>
      </c>
      <c r="F121" s="4">
        <v>805.0</v>
      </c>
      <c r="G121" s="4">
        <v>0.0</v>
      </c>
    </row>
    <row r="122">
      <c r="A122" s="4" t="s">
        <v>8</v>
      </c>
      <c r="B122" s="5">
        <v>44721.0</v>
      </c>
      <c r="C122" s="6">
        <v>0.2977546296278888</v>
      </c>
      <c r="D122" s="4">
        <v>13.063698</v>
      </c>
      <c r="E122" s="4">
        <v>80.25087</v>
      </c>
      <c r="F122" s="4">
        <v>805.0</v>
      </c>
      <c r="G122" s="4">
        <v>0.0</v>
      </c>
    </row>
    <row r="123">
      <c r="A123" s="4" t="s">
        <v>8</v>
      </c>
      <c r="B123" s="5">
        <v>44721.0</v>
      </c>
      <c r="C123" s="6">
        <v>0.31427083333255723</v>
      </c>
      <c r="D123" s="4">
        <v>13.063705</v>
      </c>
      <c r="E123" s="4">
        <v>80.250766</v>
      </c>
      <c r="F123" s="4">
        <v>805.0</v>
      </c>
      <c r="G123" s="4">
        <v>0.0</v>
      </c>
    </row>
    <row r="124">
      <c r="A124" s="4" t="s">
        <v>8</v>
      </c>
      <c r="B124" s="5">
        <v>44721.0</v>
      </c>
      <c r="C124" s="6">
        <v>0.3143518518518249</v>
      </c>
      <c r="D124" s="4">
        <v>13.063705</v>
      </c>
      <c r="E124" s="4">
        <v>80.250766</v>
      </c>
      <c r="F124" s="4">
        <v>805.0</v>
      </c>
      <c r="G124" s="4">
        <v>0.0</v>
      </c>
    </row>
    <row r="125">
      <c r="A125" s="4" t="s">
        <v>8</v>
      </c>
      <c r="B125" s="5">
        <v>44721.0</v>
      </c>
      <c r="C125" s="6">
        <v>0.3153356481489027</v>
      </c>
      <c r="D125" s="4">
        <v>13.063705</v>
      </c>
      <c r="E125" s="4">
        <v>80.250766</v>
      </c>
      <c r="F125" s="4">
        <v>805.0</v>
      </c>
      <c r="G125" s="4">
        <v>0.0</v>
      </c>
    </row>
    <row r="126">
      <c r="A126" s="4" t="s">
        <v>8</v>
      </c>
      <c r="B126" s="5">
        <v>44721.0</v>
      </c>
      <c r="C126" s="6">
        <v>0.3155092592605797</v>
      </c>
      <c r="D126" s="4">
        <v>13.063705</v>
      </c>
      <c r="E126" s="4">
        <v>80.250766</v>
      </c>
      <c r="F126" s="4">
        <v>805.0</v>
      </c>
      <c r="G126" s="4">
        <v>0.0</v>
      </c>
    </row>
    <row r="127">
      <c r="A127" s="4" t="s">
        <v>8</v>
      </c>
      <c r="B127" s="5">
        <v>44721.0</v>
      </c>
      <c r="C127" s="6">
        <v>0.3155092592605797</v>
      </c>
      <c r="D127" s="4">
        <v>13.063705</v>
      </c>
      <c r="E127" s="4">
        <v>80.250766</v>
      </c>
      <c r="F127" s="4">
        <v>805.0</v>
      </c>
      <c r="G127" s="4">
        <v>0.0</v>
      </c>
    </row>
    <row r="128">
      <c r="A128" s="4" t="s">
        <v>8</v>
      </c>
      <c r="B128" s="5">
        <v>44721.0</v>
      </c>
      <c r="C128" s="6">
        <v>0.3155208333337214</v>
      </c>
      <c r="D128" s="4">
        <v>13.063706</v>
      </c>
      <c r="E128" s="4">
        <v>80.250788</v>
      </c>
      <c r="F128" s="4">
        <v>805.0</v>
      </c>
      <c r="G128" s="4">
        <v>0.0</v>
      </c>
    </row>
    <row r="129">
      <c r="A129" s="4" t="s">
        <v>8</v>
      </c>
      <c r="B129" s="5">
        <v>44721.0</v>
      </c>
      <c r="C129" s="6">
        <v>0.31597222222262644</v>
      </c>
      <c r="D129" s="4">
        <v>13.169839</v>
      </c>
      <c r="E129" s="4">
        <v>80.239495</v>
      </c>
      <c r="F129" s="4">
        <v>1995.0</v>
      </c>
      <c r="G129" s="4">
        <v>0.0</v>
      </c>
    </row>
    <row r="130">
      <c r="A130" s="4" t="s">
        <v>8</v>
      </c>
      <c r="B130" s="5">
        <v>44721.0</v>
      </c>
      <c r="C130" s="6">
        <v>0.3160300925919728</v>
      </c>
      <c r="D130" s="4">
        <v>13.169839</v>
      </c>
      <c r="E130" s="4">
        <v>80.239495</v>
      </c>
      <c r="F130" s="4">
        <v>1995.0</v>
      </c>
      <c r="G130" s="4">
        <v>0.0</v>
      </c>
    </row>
    <row r="131">
      <c r="A131" s="4" t="s">
        <v>8</v>
      </c>
      <c r="B131" s="5">
        <v>44721.0</v>
      </c>
      <c r="C131" s="6">
        <v>0.31614583333430346</v>
      </c>
      <c r="D131" s="4">
        <v>13.169839</v>
      </c>
      <c r="E131" s="4">
        <v>80.239495</v>
      </c>
      <c r="F131" s="4">
        <v>1995.0</v>
      </c>
      <c r="G131" s="4">
        <v>0.0</v>
      </c>
    </row>
    <row r="132">
      <c r="A132" s="4" t="s">
        <v>8</v>
      </c>
      <c r="B132" s="5">
        <v>44721.0</v>
      </c>
      <c r="C132" s="6">
        <v>0.32001157407285064</v>
      </c>
      <c r="D132" s="4">
        <v>12.875633</v>
      </c>
      <c r="E132" s="4">
        <v>80.082884</v>
      </c>
      <c r="F132" s="4">
        <v>2846.0</v>
      </c>
      <c r="G132" s="4">
        <v>0.0</v>
      </c>
    </row>
    <row r="133">
      <c r="A133" s="4" t="s">
        <v>8</v>
      </c>
      <c r="B133" s="5">
        <v>44721.0</v>
      </c>
      <c r="C133" s="6">
        <v>0.3200231481496303</v>
      </c>
      <c r="D133" s="4">
        <v>12.875633</v>
      </c>
      <c r="E133" s="4">
        <v>80.082884</v>
      </c>
      <c r="F133" s="4">
        <v>2846.0</v>
      </c>
      <c r="G133" s="4">
        <v>0.0</v>
      </c>
    </row>
    <row r="134">
      <c r="A134" s="4" t="s">
        <v>8</v>
      </c>
      <c r="B134" s="5">
        <v>44721.0</v>
      </c>
      <c r="C134" s="6">
        <v>0.32003472222277196</v>
      </c>
      <c r="D134" s="4">
        <v>12.875633</v>
      </c>
      <c r="E134" s="4">
        <v>80.082884</v>
      </c>
      <c r="F134" s="4">
        <v>2846.0</v>
      </c>
      <c r="G134" s="4">
        <v>0.0</v>
      </c>
    </row>
    <row r="135">
      <c r="A135" s="4" t="s">
        <v>8</v>
      </c>
      <c r="B135" s="5">
        <v>44721.0</v>
      </c>
      <c r="C135" s="6">
        <v>0.32130787037021946</v>
      </c>
      <c r="D135" s="4">
        <v>13.063776</v>
      </c>
      <c r="E135" s="4">
        <v>80.250754</v>
      </c>
      <c r="F135" s="4">
        <v>805.0</v>
      </c>
      <c r="G135" s="4">
        <v>0.0</v>
      </c>
    </row>
    <row r="136">
      <c r="A136" s="4" t="s">
        <v>8</v>
      </c>
      <c r="B136" s="5">
        <v>44721.0</v>
      </c>
      <c r="C136" s="6">
        <v>0.3214814814818965</v>
      </c>
      <c r="D136" s="4">
        <v>13.063776</v>
      </c>
      <c r="E136" s="4">
        <v>80.250754</v>
      </c>
      <c r="F136" s="4">
        <v>805.0</v>
      </c>
      <c r="G136" s="4">
        <v>0.0</v>
      </c>
    </row>
    <row r="137">
      <c r="A137" s="4" t="s">
        <v>8</v>
      </c>
      <c r="B137" s="5">
        <v>44721.0</v>
      </c>
      <c r="C137" s="6">
        <v>0.3222337962979509</v>
      </c>
      <c r="D137" s="4">
        <v>12.87562</v>
      </c>
      <c r="E137" s="4">
        <v>80.082888</v>
      </c>
      <c r="F137" s="4">
        <v>2846.0</v>
      </c>
      <c r="G137" s="4">
        <v>0.0</v>
      </c>
    </row>
    <row r="138">
      <c r="A138" s="4" t="s">
        <v>8</v>
      </c>
      <c r="B138" s="5">
        <v>44721.0</v>
      </c>
      <c r="C138" s="6">
        <v>0.3223726851865649</v>
      </c>
      <c r="D138" s="4">
        <v>12.87562</v>
      </c>
      <c r="E138" s="4">
        <v>80.082888</v>
      </c>
      <c r="F138" s="4">
        <v>2846.0</v>
      </c>
      <c r="G138" s="4">
        <v>0.0</v>
      </c>
    </row>
    <row r="139">
      <c r="A139" s="4" t="s">
        <v>8</v>
      </c>
      <c r="B139" s="5">
        <v>44721.0</v>
      </c>
      <c r="C139" s="6">
        <v>0.32239583333284827</v>
      </c>
      <c r="D139" s="4">
        <v>12.87562</v>
      </c>
      <c r="E139" s="4">
        <v>80.082888</v>
      </c>
      <c r="F139" s="4">
        <v>2846.0</v>
      </c>
      <c r="G139" s="4">
        <v>0.0</v>
      </c>
    </row>
    <row r="140">
      <c r="A140" s="4" t="s">
        <v>8</v>
      </c>
      <c r="B140" s="5">
        <v>44721.0</v>
      </c>
      <c r="C140" s="6">
        <v>0.3400347222232085</v>
      </c>
      <c r="D140" s="4">
        <v>13.063793</v>
      </c>
      <c r="E140" s="4">
        <v>80.250814</v>
      </c>
      <c r="F140" s="4">
        <v>805.0</v>
      </c>
      <c r="G140" s="4">
        <v>0.0</v>
      </c>
    </row>
    <row r="141">
      <c r="A141" s="4" t="s">
        <v>8</v>
      </c>
      <c r="B141" s="5">
        <v>44721.0</v>
      </c>
      <c r="C141" s="6">
        <v>0.3401851851849642</v>
      </c>
      <c r="D141" s="4">
        <v>13.063793</v>
      </c>
      <c r="E141" s="4">
        <v>80.250814</v>
      </c>
      <c r="F141" s="4">
        <v>805.0</v>
      </c>
      <c r="G141" s="4">
        <v>0.0</v>
      </c>
    </row>
    <row r="142">
      <c r="A142" s="4" t="s">
        <v>8</v>
      </c>
      <c r="B142" s="5">
        <v>44721.0</v>
      </c>
      <c r="C142" s="6">
        <v>0.3402546296310902</v>
      </c>
      <c r="D142" s="4">
        <v>13.063793</v>
      </c>
      <c r="E142" s="4">
        <v>80.250808</v>
      </c>
      <c r="F142" s="4">
        <v>805.0</v>
      </c>
      <c r="G142" s="4">
        <v>0.0</v>
      </c>
    </row>
    <row r="143">
      <c r="A143" s="4" t="s">
        <v>8</v>
      </c>
      <c r="B143" s="5">
        <v>44721.0</v>
      </c>
      <c r="C143" s="6">
        <v>0.3412847222207347</v>
      </c>
      <c r="D143" s="4">
        <v>13.063729</v>
      </c>
      <c r="E143" s="4">
        <v>80.250851</v>
      </c>
      <c r="F143" s="4">
        <v>805.0</v>
      </c>
      <c r="G143" s="4">
        <v>0.0</v>
      </c>
    </row>
    <row r="144">
      <c r="A144" s="4" t="s">
        <v>8</v>
      </c>
      <c r="B144" s="5">
        <v>44721.0</v>
      </c>
      <c r="C144" s="6">
        <v>0.34143518518612836</v>
      </c>
      <c r="D144" s="4">
        <v>13.063727</v>
      </c>
      <c r="E144" s="4">
        <v>80.25082</v>
      </c>
      <c r="F144" s="4">
        <v>805.0</v>
      </c>
      <c r="G144" s="4">
        <v>0.0</v>
      </c>
    </row>
    <row r="145">
      <c r="A145" s="4" t="s">
        <v>8</v>
      </c>
      <c r="B145" s="5">
        <v>44721.0</v>
      </c>
      <c r="C145" s="6">
        <v>0.34590277777897427</v>
      </c>
      <c r="D145" s="4">
        <v>13.063839</v>
      </c>
      <c r="E145" s="4">
        <v>80.250825</v>
      </c>
      <c r="F145" s="4">
        <v>805.0</v>
      </c>
      <c r="G145" s="4">
        <v>0.0</v>
      </c>
    </row>
    <row r="146">
      <c r="A146" s="4" t="s">
        <v>8</v>
      </c>
      <c r="B146" s="5">
        <v>44721.0</v>
      </c>
      <c r="C146" s="6">
        <v>0.346157407406281</v>
      </c>
      <c r="D146" s="4">
        <v>13.063874</v>
      </c>
      <c r="E146" s="4">
        <v>80.250813</v>
      </c>
      <c r="F146" s="4">
        <v>805.0</v>
      </c>
      <c r="G146" s="4">
        <v>0.0</v>
      </c>
    </row>
    <row r="147">
      <c r="A147" s="4" t="s">
        <v>8</v>
      </c>
      <c r="B147" s="5">
        <v>44721.0</v>
      </c>
      <c r="C147" s="6">
        <v>0.356689814816491</v>
      </c>
      <c r="D147" s="4">
        <v>12.978978</v>
      </c>
      <c r="E147" s="4">
        <v>80.226526</v>
      </c>
      <c r="F147" s="4">
        <v>2846.0</v>
      </c>
      <c r="G147" s="4">
        <v>0.0</v>
      </c>
    </row>
    <row r="148">
      <c r="A148" s="4" t="s">
        <v>8</v>
      </c>
      <c r="B148" s="5">
        <v>44721.0</v>
      </c>
      <c r="C148" s="6">
        <v>0.3567129629627743</v>
      </c>
      <c r="D148" s="4">
        <v>12.978978</v>
      </c>
      <c r="E148" s="4">
        <v>80.226526</v>
      </c>
      <c r="F148" s="4">
        <v>2846.0</v>
      </c>
      <c r="G148" s="4">
        <v>0.0</v>
      </c>
    </row>
    <row r="149">
      <c r="A149" s="4" t="s">
        <v>8</v>
      </c>
      <c r="B149" s="5">
        <v>44721.0</v>
      </c>
      <c r="C149" s="6">
        <v>0.7447453703716747</v>
      </c>
      <c r="D149" s="4">
        <v>12.963989</v>
      </c>
      <c r="E149" s="4">
        <v>80.21631</v>
      </c>
      <c r="F149" s="4">
        <v>2846.0</v>
      </c>
      <c r="G149" s="4">
        <v>0.0</v>
      </c>
    </row>
    <row r="150">
      <c r="A150" s="4" t="s">
        <v>8</v>
      </c>
      <c r="B150" s="5">
        <v>44721.0</v>
      </c>
      <c r="C150" s="6">
        <v>0.7448842592602887</v>
      </c>
      <c r="D150" s="4">
        <v>12.963576</v>
      </c>
      <c r="E150" s="4">
        <v>80.216133</v>
      </c>
      <c r="F150" s="4">
        <v>2846.0</v>
      </c>
      <c r="G150" s="4">
        <v>18.0</v>
      </c>
    </row>
    <row r="151">
      <c r="A151" s="4" t="s">
        <v>8</v>
      </c>
      <c r="B151" s="5">
        <v>44722.0</v>
      </c>
      <c r="C151" s="6">
        <v>0.7462037037039408</v>
      </c>
      <c r="D151" s="4">
        <v>12.94849</v>
      </c>
      <c r="E151" s="4">
        <v>80.199422</v>
      </c>
      <c r="F151" s="4">
        <v>2846.0</v>
      </c>
      <c r="G151" s="4">
        <v>0.0</v>
      </c>
    </row>
    <row r="152">
      <c r="A152" s="4" t="s">
        <v>8</v>
      </c>
      <c r="B152" s="5">
        <v>44722.0</v>
      </c>
      <c r="C152" s="6">
        <v>0.7463888888887595</v>
      </c>
      <c r="D152" s="4">
        <v>12.94849</v>
      </c>
      <c r="E152" s="4">
        <v>80.199137</v>
      </c>
      <c r="F152" s="4">
        <v>2846.0</v>
      </c>
      <c r="G152" s="4">
        <v>12.0</v>
      </c>
    </row>
    <row r="153">
      <c r="A153" s="4" t="s">
        <v>8</v>
      </c>
      <c r="B153" s="5">
        <v>44722.0</v>
      </c>
      <c r="C153" s="6">
        <v>0.7881712962953316</v>
      </c>
      <c r="D153" s="4">
        <v>12.956466</v>
      </c>
      <c r="E153" s="4">
        <v>80.143428</v>
      </c>
      <c r="F153" s="4">
        <v>2846.0</v>
      </c>
      <c r="G153" s="4">
        <v>0.0</v>
      </c>
    </row>
    <row r="154">
      <c r="A154" s="4" t="s">
        <v>8</v>
      </c>
      <c r="B154" s="5">
        <v>44722.0</v>
      </c>
      <c r="C154" s="6">
        <v>0.7882986111108039</v>
      </c>
      <c r="D154" s="4">
        <v>12.956346</v>
      </c>
      <c r="E154" s="4">
        <v>80.143348</v>
      </c>
      <c r="F154" s="4">
        <v>2846.0</v>
      </c>
      <c r="G154" s="4">
        <v>8.0</v>
      </c>
    </row>
    <row r="155">
      <c r="A155" s="4" t="s">
        <v>8</v>
      </c>
      <c r="B155" s="5">
        <v>44723.0</v>
      </c>
      <c r="C155" s="6">
        <v>0.7208680555559113</v>
      </c>
      <c r="D155" s="4">
        <v>13.091147</v>
      </c>
      <c r="E155" s="4">
        <v>80.161413</v>
      </c>
      <c r="F155" s="4">
        <v>2846.0</v>
      </c>
      <c r="G155" s="4">
        <v>0.0</v>
      </c>
    </row>
    <row r="156">
      <c r="A156" s="4" t="s">
        <v>8</v>
      </c>
      <c r="B156" s="5">
        <v>44723.0</v>
      </c>
      <c r="C156" s="6">
        <v>0.7209374999983993</v>
      </c>
      <c r="D156" s="4">
        <v>13.015412</v>
      </c>
      <c r="E156" s="4">
        <v>80.225403</v>
      </c>
      <c r="F156" s="4">
        <v>805.0</v>
      </c>
      <c r="G156" s="4">
        <v>19.0</v>
      </c>
    </row>
    <row r="157">
      <c r="A157" s="4" t="s">
        <v>8</v>
      </c>
      <c r="B157" s="5">
        <v>44723.0</v>
      </c>
      <c r="C157" s="6">
        <v>0.7209374999983993</v>
      </c>
      <c r="D157" s="4">
        <v>13.015412</v>
      </c>
      <c r="E157" s="4">
        <v>80.225403</v>
      </c>
      <c r="F157" s="4">
        <v>805.0</v>
      </c>
      <c r="G157" s="4">
        <v>19.0</v>
      </c>
    </row>
    <row r="158">
      <c r="A158" s="4" t="s">
        <v>8</v>
      </c>
      <c r="B158" s="5">
        <v>44723.0</v>
      </c>
      <c r="C158" s="6">
        <v>0.7209722222214623</v>
      </c>
      <c r="D158" s="4">
        <v>13.015412</v>
      </c>
      <c r="E158" s="4">
        <v>80.225403</v>
      </c>
      <c r="F158" s="4">
        <v>805.0</v>
      </c>
      <c r="G158" s="4">
        <v>19.0</v>
      </c>
    </row>
    <row r="159">
      <c r="A159" s="4" t="s">
        <v>8</v>
      </c>
      <c r="B159" s="5">
        <v>44723.0</v>
      </c>
      <c r="C159" s="6">
        <v>0.72105324074073</v>
      </c>
      <c r="D159" s="4">
        <v>13.015331</v>
      </c>
      <c r="E159" s="4">
        <v>80.225674</v>
      </c>
      <c r="F159" s="4">
        <v>805.0</v>
      </c>
      <c r="G159" s="4">
        <v>0.0</v>
      </c>
    </row>
    <row r="160">
      <c r="A160" s="4" t="s">
        <v>8</v>
      </c>
      <c r="B160" s="5">
        <v>44723.0</v>
      </c>
      <c r="C160" s="6">
        <v>0.7265856481499213</v>
      </c>
      <c r="D160" s="4">
        <v>13.007223</v>
      </c>
      <c r="E160" s="4">
        <v>80.238333</v>
      </c>
      <c r="F160" s="4">
        <v>805.0</v>
      </c>
      <c r="G160" s="4">
        <v>6.0</v>
      </c>
    </row>
    <row r="161">
      <c r="A161" s="4" t="s">
        <v>8</v>
      </c>
      <c r="B161" s="5">
        <v>44723.0</v>
      </c>
      <c r="C161" s="6">
        <v>0.7266782407423307</v>
      </c>
      <c r="D161" s="4">
        <v>13.007223</v>
      </c>
      <c r="E161" s="4">
        <v>80.238333</v>
      </c>
      <c r="F161" s="4">
        <v>805.0</v>
      </c>
      <c r="G161" s="4">
        <v>6.0</v>
      </c>
    </row>
    <row r="162">
      <c r="A162" s="4" t="s">
        <v>8</v>
      </c>
      <c r="B162" s="5">
        <v>44723.0</v>
      </c>
      <c r="C162" s="6">
        <v>0.7266782407423307</v>
      </c>
      <c r="D162" s="4">
        <v>13.007223</v>
      </c>
      <c r="E162" s="4">
        <v>80.238333</v>
      </c>
      <c r="F162" s="4">
        <v>805.0</v>
      </c>
      <c r="G162" s="4">
        <v>6.0</v>
      </c>
    </row>
    <row r="163">
      <c r="A163" s="4" t="s">
        <v>8</v>
      </c>
      <c r="B163" s="5">
        <v>44726.0</v>
      </c>
      <c r="C163" s="6">
        <v>0.3409490740741603</v>
      </c>
      <c r="D163" s="4">
        <v>12.957018</v>
      </c>
      <c r="E163" s="4">
        <v>80.143737</v>
      </c>
      <c r="F163" s="4">
        <v>805.0</v>
      </c>
      <c r="G163" s="4">
        <v>0.0</v>
      </c>
    </row>
    <row r="164">
      <c r="A164" s="4" t="s">
        <v>8</v>
      </c>
      <c r="B164" s="5">
        <v>44726.0</v>
      </c>
      <c r="C164" s="6">
        <v>0.341030092593428</v>
      </c>
      <c r="D164" s="4">
        <v>12.956924</v>
      </c>
      <c r="E164" s="4">
        <v>80.143731</v>
      </c>
      <c r="F164" s="4">
        <v>805.0</v>
      </c>
      <c r="G164" s="4">
        <v>12.0</v>
      </c>
    </row>
    <row r="165">
      <c r="A165" s="4" t="s">
        <v>8</v>
      </c>
      <c r="B165" s="5">
        <v>44726.0</v>
      </c>
      <c r="C165" s="6">
        <v>0.3410532407397113</v>
      </c>
      <c r="D165" s="4">
        <v>12.956443</v>
      </c>
      <c r="E165" s="4">
        <v>80.143436</v>
      </c>
      <c r="F165" s="4">
        <v>805.0</v>
      </c>
      <c r="G165" s="4">
        <v>8.0</v>
      </c>
    </row>
    <row r="166">
      <c r="A166" s="4" t="s">
        <v>8</v>
      </c>
      <c r="B166" s="5">
        <v>44729.0</v>
      </c>
      <c r="C166" s="6">
        <v>0.7460995370383898</v>
      </c>
      <c r="D166" s="4">
        <v>13.006657</v>
      </c>
      <c r="E166" s="4">
        <v>80.241755</v>
      </c>
      <c r="F166" s="4">
        <v>805.0</v>
      </c>
      <c r="G166" s="4">
        <v>14.0</v>
      </c>
    </row>
    <row r="167">
      <c r="A167" s="4" t="s">
        <v>8</v>
      </c>
      <c r="B167" s="5">
        <v>44729.0</v>
      </c>
      <c r="C167" s="6">
        <v>0.7461805555540195</v>
      </c>
      <c r="D167" s="4">
        <v>13.006669</v>
      </c>
      <c r="E167" s="4">
        <v>80.242446</v>
      </c>
      <c r="F167" s="4">
        <v>805.0</v>
      </c>
      <c r="G167" s="4">
        <v>10.0</v>
      </c>
    </row>
    <row r="168">
      <c r="A168" s="4" t="s">
        <v>8</v>
      </c>
      <c r="B168" s="5">
        <v>44729.0</v>
      </c>
      <c r="C168" s="6">
        <v>0.7573263888880319</v>
      </c>
      <c r="D168" s="4">
        <v>13.020255</v>
      </c>
      <c r="E168" s="4">
        <v>80.262546</v>
      </c>
      <c r="F168" s="4">
        <v>805.0</v>
      </c>
      <c r="G168" s="4">
        <v>11.0</v>
      </c>
    </row>
    <row r="169">
      <c r="A169" s="4" t="s">
        <v>8</v>
      </c>
      <c r="B169" s="5">
        <v>44729.0</v>
      </c>
      <c r="C169" s="6">
        <v>0.7573495370379533</v>
      </c>
      <c r="D169" s="4">
        <v>13.020898</v>
      </c>
      <c r="E169" s="4">
        <v>80.262834</v>
      </c>
      <c r="F169" s="4">
        <v>805.0</v>
      </c>
      <c r="G169" s="4">
        <v>6.0</v>
      </c>
    </row>
    <row r="170">
      <c r="A170" s="4" t="s">
        <v>8</v>
      </c>
      <c r="B170" s="5">
        <v>44729.0</v>
      </c>
      <c r="C170" s="6">
        <v>0.7573842592610163</v>
      </c>
      <c r="D170" s="4">
        <v>13.020898</v>
      </c>
      <c r="E170" s="4">
        <v>80.262834</v>
      </c>
      <c r="F170" s="4">
        <v>805.0</v>
      </c>
      <c r="G170" s="4">
        <v>6.0</v>
      </c>
    </row>
    <row r="171">
      <c r="A171" s="4" t="s">
        <v>8</v>
      </c>
      <c r="B171" s="5">
        <v>44733.0</v>
      </c>
      <c r="C171" s="6">
        <v>0.30019675926087075</v>
      </c>
      <c r="D171" s="4">
        <v>13.072528</v>
      </c>
      <c r="E171" s="4">
        <v>80.263296</v>
      </c>
      <c r="F171" s="4">
        <v>5339.0</v>
      </c>
      <c r="G171" s="4">
        <v>16.0</v>
      </c>
    </row>
    <row r="172">
      <c r="A172" s="4" t="s">
        <v>8</v>
      </c>
      <c r="B172" s="5">
        <v>44733.0</v>
      </c>
      <c r="C172" s="6">
        <v>0.3002199074071541</v>
      </c>
      <c r="D172" s="4">
        <v>13.071962</v>
      </c>
      <c r="E172" s="4">
        <v>80.264231</v>
      </c>
      <c r="F172" s="4">
        <v>5339.0</v>
      </c>
      <c r="G172" s="4">
        <v>17.0</v>
      </c>
    </row>
    <row r="173">
      <c r="A173" s="4" t="s">
        <v>8</v>
      </c>
      <c r="B173" s="5">
        <v>44733.0</v>
      </c>
      <c r="C173" s="6">
        <v>0.7150694444426335</v>
      </c>
      <c r="D173" s="4">
        <v>12.99825</v>
      </c>
      <c r="E173" s="4">
        <v>80.191898</v>
      </c>
      <c r="F173" s="4">
        <v>5339.0</v>
      </c>
      <c r="G173" s="4">
        <v>0.0</v>
      </c>
    </row>
    <row r="174">
      <c r="A174" s="4" t="s">
        <v>8</v>
      </c>
      <c r="B174" s="5">
        <v>44733.0</v>
      </c>
      <c r="C174" s="6">
        <v>0.7152199074080272</v>
      </c>
      <c r="D174" s="4">
        <v>12.998356</v>
      </c>
      <c r="E174" s="4">
        <v>80.192035</v>
      </c>
      <c r="F174" s="4">
        <v>5339.0</v>
      </c>
      <c r="G174" s="4">
        <v>6.0</v>
      </c>
    </row>
    <row r="175">
      <c r="A175" s="4" t="s">
        <v>8</v>
      </c>
      <c r="B175" s="5">
        <v>44735.0</v>
      </c>
      <c r="C175" s="6">
        <v>0.7283449074056989</v>
      </c>
      <c r="D175" s="4">
        <v>13.015215</v>
      </c>
      <c r="E175" s="4">
        <v>80.224817</v>
      </c>
      <c r="F175" s="4">
        <v>805.0</v>
      </c>
      <c r="G175" s="4">
        <v>20.0</v>
      </c>
    </row>
    <row r="176">
      <c r="A176" s="4" t="s">
        <v>8</v>
      </c>
      <c r="B176" s="5">
        <v>44735.0</v>
      </c>
      <c r="C176" s="6">
        <v>0.7283564814824786</v>
      </c>
      <c r="D176" s="4">
        <v>13.015215</v>
      </c>
      <c r="E176" s="4">
        <v>80.224817</v>
      </c>
      <c r="F176" s="4">
        <v>805.0</v>
      </c>
      <c r="G176" s="4">
        <v>20.0</v>
      </c>
    </row>
    <row r="177">
      <c r="A177" s="4" t="s">
        <v>8</v>
      </c>
      <c r="B177" s="5">
        <v>44735.0</v>
      </c>
      <c r="C177" s="6">
        <v>0.7284027777786832</v>
      </c>
      <c r="D177" s="4">
        <v>13.015451</v>
      </c>
      <c r="E177" s="4">
        <v>80.225392</v>
      </c>
      <c r="F177" s="4">
        <v>805.0</v>
      </c>
      <c r="G177" s="4">
        <v>15.0</v>
      </c>
    </row>
    <row r="178">
      <c r="A178" s="4" t="s">
        <v>8</v>
      </c>
      <c r="B178" s="5">
        <v>44735.0</v>
      </c>
      <c r="C178" s="6">
        <v>0.7285879629635019</v>
      </c>
      <c r="D178" s="4">
        <v>13.015243</v>
      </c>
      <c r="E178" s="4">
        <v>80.225786</v>
      </c>
      <c r="F178" s="4">
        <v>805.0</v>
      </c>
      <c r="G178" s="4">
        <v>0.0</v>
      </c>
    </row>
    <row r="179">
      <c r="A179" s="4" t="s">
        <v>8</v>
      </c>
      <c r="B179" s="5">
        <v>44736.0</v>
      </c>
      <c r="C179" s="6">
        <v>0.7155902777776646</v>
      </c>
      <c r="D179" s="4">
        <v>12.696579</v>
      </c>
      <c r="E179" s="4">
        <v>79.977109</v>
      </c>
      <c r="F179" s="4">
        <v>2846.0</v>
      </c>
      <c r="G179" s="4">
        <v>13.0</v>
      </c>
    </row>
    <row r="180">
      <c r="A180" s="4" t="s">
        <v>8</v>
      </c>
      <c r="B180" s="5">
        <v>44736.0</v>
      </c>
      <c r="C180" s="6">
        <v>0.7156481481470109</v>
      </c>
      <c r="D180" s="4">
        <v>12.696376</v>
      </c>
      <c r="E180" s="4">
        <v>79.977278</v>
      </c>
      <c r="F180" s="4">
        <v>2846.0</v>
      </c>
      <c r="G180" s="4">
        <v>13.0</v>
      </c>
    </row>
    <row r="181">
      <c r="A181" s="4" t="s">
        <v>8</v>
      </c>
      <c r="B181" s="5">
        <v>44736.0</v>
      </c>
      <c r="C181" s="6">
        <v>0.7174305555563478</v>
      </c>
      <c r="D181" s="4">
        <v>12.696376</v>
      </c>
      <c r="E181" s="4">
        <v>79.977278</v>
      </c>
      <c r="F181" s="4">
        <v>2846.0</v>
      </c>
      <c r="G181" s="4">
        <v>13.0</v>
      </c>
    </row>
    <row r="182">
      <c r="A182" s="4" t="s">
        <v>8</v>
      </c>
      <c r="B182" s="5">
        <v>44737.0</v>
      </c>
      <c r="C182" s="6">
        <v>0.6840625000004366</v>
      </c>
      <c r="D182" s="4">
        <v>12.929386</v>
      </c>
      <c r="E182" s="4">
        <v>80.120408</v>
      </c>
      <c r="F182" s="4">
        <v>805.0</v>
      </c>
      <c r="G182" s="4">
        <v>11.0</v>
      </c>
    </row>
    <row r="183">
      <c r="A183" s="4" t="s">
        <v>8</v>
      </c>
      <c r="B183" s="5">
        <v>44737.0</v>
      </c>
      <c r="C183" s="6">
        <v>0.6840856481467199</v>
      </c>
      <c r="D183" s="4">
        <v>12.929776</v>
      </c>
      <c r="E183" s="4">
        <v>80.120782</v>
      </c>
      <c r="F183" s="4">
        <v>805.0</v>
      </c>
      <c r="G183" s="4">
        <v>20.0</v>
      </c>
    </row>
    <row r="184">
      <c r="A184" s="4" t="s">
        <v>8</v>
      </c>
      <c r="B184" s="5">
        <v>44737.0</v>
      </c>
      <c r="C184" s="6">
        <v>0.6965740740743058</v>
      </c>
      <c r="D184" s="4">
        <v>12.697381</v>
      </c>
      <c r="E184" s="4">
        <v>79.976494</v>
      </c>
      <c r="F184" s="4">
        <v>2846.0</v>
      </c>
      <c r="G184" s="4">
        <v>13.0</v>
      </c>
    </row>
    <row r="185">
      <c r="A185" s="4" t="s">
        <v>8</v>
      </c>
      <c r="B185" s="5">
        <v>44737.0</v>
      </c>
      <c r="C185" s="6">
        <v>0.6966087962973688</v>
      </c>
      <c r="D185" s="4">
        <v>12.696698</v>
      </c>
      <c r="E185" s="4">
        <v>79.976961</v>
      </c>
      <c r="F185" s="4">
        <v>2846.0</v>
      </c>
      <c r="G185" s="4">
        <v>7.0</v>
      </c>
    </row>
    <row r="186">
      <c r="A186" s="4" t="s">
        <v>8</v>
      </c>
      <c r="B186" s="5">
        <v>44737.0</v>
      </c>
      <c r="C186" s="6">
        <v>0.6967129629629198</v>
      </c>
      <c r="D186" s="4">
        <v>12.696687</v>
      </c>
      <c r="E186" s="4">
        <v>79.97697</v>
      </c>
      <c r="F186" s="4">
        <v>2846.0</v>
      </c>
      <c r="G186" s="4">
        <v>0.0</v>
      </c>
    </row>
    <row r="187">
      <c r="A187" s="4" t="s">
        <v>8</v>
      </c>
      <c r="B187" s="5">
        <v>44737.0</v>
      </c>
      <c r="C187" s="6">
        <v>0.8257407407400024</v>
      </c>
      <c r="D187" s="4">
        <v>13.106056</v>
      </c>
      <c r="E187" s="4">
        <v>80.292543</v>
      </c>
      <c r="F187" s="4">
        <v>5339.0</v>
      </c>
      <c r="G187" s="4">
        <v>17.0</v>
      </c>
    </row>
    <row r="188">
      <c r="A188" s="4" t="s">
        <v>8</v>
      </c>
      <c r="B188" s="5">
        <v>44737.0</v>
      </c>
      <c r="C188" s="6">
        <v>0.8258101851861284</v>
      </c>
      <c r="D188" s="4">
        <v>13.10599</v>
      </c>
      <c r="E188" s="4">
        <v>80.293325</v>
      </c>
      <c r="F188" s="4">
        <v>5339.0</v>
      </c>
      <c r="G188" s="4">
        <v>18.0</v>
      </c>
    </row>
    <row r="189">
      <c r="A189" s="4" t="s">
        <v>8</v>
      </c>
      <c r="B189" s="5">
        <v>44739.0</v>
      </c>
      <c r="C189" s="6">
        <v>0.6865162037029222</v>
      </c>
      <c r="D189" s="4">
        <v>12.955958</v>
      </c>
      <c r="E189" s="4">
        <v>80.142842</v>
      </c>
      <c r="F189" s="4">
        <v>5339.0</v>
      </c>
      <c r="G189" s="4">
        <v>0.0</v>
      </c>
    </row>
    <row r="190">
      <c r="A190" s="4" t="s">
        <v>8</v>
      </c>
      <c r="B190" s="5">
        <v>44739.0</v>
      </c>
      <c r="C190" s="6">
        <v>0.6865393518528435</v>
      </c>
      <c r="D190" s="4">
        <v>12.95626</v>
      </c>
      <c r="E190" s="4">
        <v>80.143063</v>
      </c>
      <c r="F190" s="4">
        <v>5339.0</v>
      </c>
      <c r="G190" s="4">
        <v>14.0</v>
      </c>
    </row>
    <row r="191">
      <c r="A191" s="4" t="s">
        <v>8</v>
      </c>
      <c r="B191" s="5">
        <v>44739.0</v>
      </c>
      <c r="C191" s="6">
        <v>0.6935300925943011</v>
      </c>
      <c r="D191" s="4">
        <v>12.993241</v>
      </c>
      <c r="E191" s="4">
        <v>80.18405</v>
      </c>
      <c r="F191" s="4">
        <v>805.0</v>
      </c>
      <c r="G191" s="4">
        <v>12.0</v>
      </c>
    </row>
    <row r="192">
      <c r="A192" s="4" t="s">
        <v>8</v>
      </c>
      <c r="B192" s="5">
        <v>44739.0</v>
      </c>
      <c r="C192" s="6">
        <v>0.6935879629636474</v>
      </c>
      <c r="D192" s="4">
        <v>12.993452</v>
      </c>
      <c r="E192" s="4">
        <v>80.184436</v>
      </c>
      <c r="F192" s="4">
        <v>805.0</v>
      </c>
      <c r="G192" s="4">
        <v>0.0</v>
      </c>
    </row>
    <row r="193">
      <c r="A193" s="4" t="s">
        <v>8</v>
      </c>
      <c r="B193" s="5">
        <v>44740.0</v>
      </c>
      <c r="C193" s="6">
        <v>0.7253935185181035</v>
      </c>
      <c r="D193" s="4">
        <v>13.066271</v>
      </c>
      <c r="E193" s="4">
        <v>80.26813</v>
      </c>
      <c r="F193" s="4">
        <v>805.0</v>
      </c>
      <c r="G193" s="4">
        <v>9.0</v>
      </c>
    </row>
    <row r="194">
      <c r="A194" s="4" t="s">
        <v>8</v>
      </c>
      <c r="B194" s="5">
        <v>44740.0</v>
      </c>
      <c r="C194" s="6">
        <v>0.7254050925912452</v>
      </c>
      <c r="D194" s="4">
        <v>13.066357</v>
      </c>
      <c r="E194" s="4">
        <v>80.268217</v>
      </c>
      <c r="F194" s="4">
        <v>805.0</v>
      </c>
      <c r="G194" s="4">
        <v>6.0</v>
      </c>
    </row>
    <row r="195">
      <c r="A195" s="4" t="s">
        <v>8</v>
      </c>
      <c r="B195" s="5">
        <v>44742.0</v>
      </c>
      <c r="C195" s="6">
        <v>0.7101041666683159</v>
      </c>
      <c r="D195" s="4">
        <v>13.054329</v>
      </c>
      <c r="E195" s="4">
        <v>80.259907</v>
      </c>
      <c r="F195" s="4">
        <v>5339.0</v>
      </c>
      <c r="G195" s="4">
        <v>8.0</v>
      </c>
    </row>
    <row r="196">
      <c r="A196" s="4" t="s">
        <v>8</v>
      </c>
      <c r="B196" s="5">
        <v>44742.0</v>
      </c>
      <c r="C196" s="6">
        <v>0.7102314814801503</v>
      </c>
      <c r="D196" s="4">
        <v>13.054271</v>
      </c>
      <c r="E196" s="4">
        <v>80.260392</v>
      </c>
      <c r="F196" s="4">
        <v>5339.0</v>
      </c>
      <c r="G196" s="4">
        <v>19.0</v>
      </c>
    </row>
    <row r="197">
      <c r="A197" s="4" t="s">
        <v>8</v>
      </c>
      <c r="B197" s="5">
        <v>44742.0</v>
      </c>
      <c r="C197" s="6">
        <v>0.7103472222224809</v>
      </c>
      <c r="D197" s="4">
        <v>13.054271</v>
      </c>
      <c r="E197" s="4">
        <v>80.260392</v>
      </c>
      <c r="F197" s="4">
        <v>5339.0</v>
      </c>
      <c r="G197" s="4">
        <v>19.0</v>
      </c>
    </row>
    <row r="198">
      <c r="A198" s="4" t="s">
        <v>8</v>
      </c>
      <c r="B198" s="5">
        <v>44743.0</v>
      </c>
      <c r="C198" s="6">
        <v>0.7049189814824786</v>
      </c>
      <c r="D198" s="4">
        <v>13.006906</v>
      </c>
      <c r="E198" s="4">
        <v>80.251098</v>
      </c>
      <c r="F198" s="4">
        <v>805.0</v>
      </c>
      <c r="G198" s="4">
        <v>10.0</v>
      </c>
    </row>
    <row r="199">
      <c r="A199" s="4" t="s">
        <v>8</v>
      </c>
      <c r="B199" s="5">
        <v>44743.0</v>
      </c>
      <c r="C199" s="6">
        <v>0.7050115740748879</v>
      </c>
      <c r="D199" s="4">
        <v>13.006767</v>
      </c>
      <c r="E199" s="4">
        <v>80.251802</v>
      </c>
      <c r="F199" s="4">
        <v>805.0</v>
      </c>
      <c r="G199" s="4">
        <v>15.0</v>
      </c>
    </row>
    <row r="200">
      <c r="A200" s="4" t="s">
        <v>8</v>
      </c>
      <c r="B200" s="5">
        <v>44743.0</v>
      </c>
      <c r="C200" s="6">
        <v>0.7349652777775191</v>
      </c>
      <c r="D200" s="4">
        <v>13.067475</v>
      </c>
      <c r="E200" s="4">
        <v>80.250295</v>
      </c>
      <c r="F200" s="4">
        <v>805.0</v>
      </c>
      <c r="G200" s="4">
        <v>0.0</v>
      </c>
    </row>
    <row r="201">
      <c r="A201" s="4" t="s">
        <v>8</v>
      </c>
      <c r="B201" s="5">
        <v>44743.0</v>
      </c>
      <c r="C201" s="6">
        <v>0.7349884259274404</v>
      </c>
      <c r="D201" s="4">
        <v>13.067585</v>
      </c>
      <c r="E201" s="4">
        <v>80.249678</v>
      </c>
      <c r="F201" s="4">
        <v>805.0</v>
      </c>
      <c r="G201" s="4">
        <v>11.0</v>
      </c>
    </row>
    <row r="202">
      <c r="A202" s="4" t="s">
        <v>8</v>
      </c>
      <c r="B202" s="5">
        <v>44743.0</v>
      </c>
      <c r="C202" s="6">
        <v>0.8486574074086093</v>
      </c>
      <c r="D202" s="4">
        <v>13.068176</v>
      </c>
      <c r="E202" s="4">
        <v>80.271503</v>
      </c>
      <c r="F202" s="4">
        <v>5339.0</v>
      </c>
      <c r="G202" s="4">
        <v>0.0</v>
      </c>
    </row>
    <row r="203">
      <c r="A203" s="4" t="s">
        <v>8</v>
      </c>
      <c r="B203" s="5">
        <v>44743.0</v>
      </c>
      <c r="C203" s="6">
        <v>0.8487152777779556</v>
      </c>
      <c r="D203" s="4">
        <v>13.067975</v>
      </c>
      <c r="E203" s="4">
        <v>80.271202</v>
      </c>
      <c r="F203" s="4">
        <v>5339.0</v>
      </c>
      <c r="G203" s="4">
        <v>12.0</v>
      </c>
    </row>
    <row r="204">
      <c r="A204" s="4" t="s">
        <v>8</v>
      </c>
      <c r="B204" s="5">
        <v>44775.0</v>
      </c>
      <c r="C204" s="6">
        <v>0.6983333333337214</v>
      </c>
      <c r="D204" s="4">
        <v>12.880812</v>
      </c>
      <c r="E204" s="4">
        <v>80.080584</v>
      </c>
      <c r="F204" s="4">
        <v>805.0</v>
      </c>
      <c r="G204" s="4">
        <v>17.0</v>
      </c>
    </row>
    <row r="205">
      <c r="A205" s="4" t="s">
        <v>8</v>
      </c>
      <c r="B205" s="5">
        <v>44775.0</v>
      </c>
      <c r="C205" s="6">
        <v>0.6984490740724141</v>
      </c>
      <c r="D205" s="4">
        <v>12.881101</v>
      </c>
      <c r="E205" s="4">
        <v>80.080585</v>
      </c>
      <c r="F205" s="4">
        <v>805.0</v>
      </c>
      <c r="G205" s="4">
        <v>10.0</v>
      </c>
    </row>
    <row r="206">
      <c r="A206" s="4" t="s">
        <v>8</v>
      </c>
      <c r="B206" s="5">
        <v>44775.0</v>
      </c>
      <c r="C206" s="6">
        <v>0.7198958333319752</v>
      </c>
      <c r="D206" s="4">
        <v>13.001172</v>
      </c>
      <c r="E206" s="4">
        <v>80.195501</v>
      </c>
      <c r="F206" s="4">
        <v>805.0</v>
      </c>
      <c r="G206" s="4">
        <v>0.0</v>
      </c>
    </row>
    <row r="207">
      <c r="A207" s="4" t="s">
        <v>8</v>
      </c>
      <c r="B207" s="5">
        <v>44775.0</v>
      </c>
      <c r="C207" s="6">
        <v>0.7200694444436522</v>
      </c>
      <c r="D207" s="4">
        <v>13.001213</v>
      </c>
      <c r="E207" s="4">
        <v>80.195572</v>
      </c>
      <c r="F207" s="4">
        <v>805.0</v>
      </c>
      <c r="G207" s="4">
        <v>6.0</v>
      </c>
    </row>
    <row r="208">
      <c r="A208" s="4" t="s">
        <v>8</v>
      </c>
      <c r="B208" s="5">
        <v>44777.0</v>
      </c>
      <c r="C208" s="6">
        <v>0.7077430555546016</v>
      </c>
      <c r="D208" s="4">
        <v>12.935881</v>
      </c>
      <c r="E208" s="4">
        <v>80.126754</v>
      </c>
      <c r="F208" s="4">
        <v>805.0</v>
      </c>
      <c r="G208" s="4">
        <v>8.0</v>
      </c>
    </row>
    <row r="209">
      <c r="A209" s="4" t="s">
        <v>8</v>
      </c>
      <c r="B209" s="5">
        <v>44777.0</v>
      </c>
      <c r="C209" s="6">
        <v>0.7077662037045229</v>
      </c>
      <c r="D209" s="4">
        <v>12.93632</v>
      </c>
      <c r="E209" s="4">
        <v>80.127194</v>
      </c>
      <c r="F209" s="4">
        <v>805.0</v>
      </c>
      <c r="G209" s="4">
        <v>0.0</v>
      </c>
    </row>
    <row r="210">
      <c r="A210" s="4" t="s">
        <v>8</v>
      </c>
      <c r="B210" s="5">
        <v>44777.0</v>
      </c>
      <c r="C210" s="6">
        <v>0.7079050925931369</v>
      </c>
      <c r="D210" s="4">
        <v>12.93632</v>
      </c>
      <c r="E210" s="4">
        <v>80.127194</v>
      </c>
      <c r="F210" s="4">
        <v>805.0</v>
      </c>
      <c r="G210" s="4">
        <v>0.0</v>
      </c>
    </row>
    <row r="211">
      <c r="A211" s="4" t="s">
        <v>8</v>
      </c>
      <c r="B211" s="5">
        <v>44777.0</v>
      </c>
      <c r="C211" s="6">
        <v>0.7250231481484661</v>
      </c>
      <c r="D211" s="4">
        <v>13.025932</v>
      </c>
      <c r="E211" s="4">
        <v>80.231026</v>
      </c>
      <c r="F211" s="4">
        <v>5339.0</v>
      </c>
      <c r="G211" s="4">
        <v>0.0</v>
      </c>
    </row>
    <row r="212">
      <c r="A212" s="4" t="s">
        <v>8</v>
      </c>
      <c r="B212" s="5">
        <v>44777.0</v>
      </c>
      <c r="C212" s="6">
        <v>0.7252314814832062</v>
      </c>
      <c r="D212" s="4">
        <v>13.015462</v>
      </c>
      <c r="E212" s="4">
        <v>80.225492</v>
      </c>
      <c r="F212" s="4">
        <v>805.0</v>
      </c>
      <c r="G212" s="4">
        <v>8.0</v>
      </c>
    </row>
    <row r="213">
      <c r="A213" s="4" t="s">
        <v>8</v>
      </c>
      <c r="B213" s="5">
        <v>44785.0</v>
      </c>
      <c r="C213" s="6">
        <v>0.6956712962964957</v>
      </c>
      <c r="D213" s="4">
        <v>12.908783</v>
      </c>
      <c r="E213" s="4">
        <v>80.098066</v>
      </c>
      <c r="F213" s="4">
        <v>3143.0</v>
      </c>
      <c r="G213" s="4">
        <v>18.0</v>
      </c>
    </row>
    <row r="214">
      <c r="A214" s="4" t="s">
        <v>8</v>
      </c>
      <c r="B214" s="5">
        <v>44785.0</v>
      </c>
      <c r="C214" s="6">
        <v>0.6957754629620467</v>
      </c>
      <c r="D214" s="4">
        <v>12.908917</v>
      </c>
      <c r="E214" s="4">
        <v>80.098256</v>
      </c>
      <c r="F214" s="4">
        <v>3143.0</v>
      </c>
      <c r="G214" s="4">
        <v>0.0</v>
      </c>
    </row>
    <row r="215">
      <c r="A215" s="4" t="s">
        <v>8</v>
      </c>
      <c r="B215" s="5">
        <v>44789.0</v>
      </c>
      <c r="C215" s="6">
        <v>0.6967245370360615</v>
      </c>
      <c r="D215" s="4">
        <v>12.923993</v>
      </c>
      <c r="E215" s="4">
        <v>80.114858</v>
      </c>
      <c r="F215" s="4">
        <v>3143.0</v>
      </c>
      <c r="G215" s="4">
        <v>10.0</v>
      </c>
    </row>
    <row r="216">
      <c r="A216" s="4" t="s">
        <v>8</v>
      </c>
      <c r="B216" s="5">
        <v>44789.0</v>
      </c>
      <c r="C216" s="6">
        <v>0.6968518518515339</v>
      </c>
      <c r="D216" s="4">
        <v>12.924029</v>
      </c>
      <c r="E216" s="4">
        <v>80.114893</v>
      </c>
      <c r="F216" s="4">
        <v>3143.0</v>
      </c>
      <c r="G216" s="4">
        <v>0.0</v>
      </c>
    </row>
    <row r="217">
      <c r="A217" s="4" t="s">
        <v>8</v>
      </c>
      <c r="B217" s="5">
        <v>44791.0</v>
      </c>
      <c r="C217" s="6">
        <v>0.3441550925927004</v>
      </c>
      <c r="D217" s="4">
        <v>12.849974</v>
      </c>
      <c r="E217" s="4">
        <v>80.064627</v>
      </c>
      <c r="F217" s="4">
        <v>2846.0</v>
      </c>
      <c r="G217" s="4">
        <v>0.0</v>
      </c>
    </row>
    <row r="218">
      <c r="A218" s="4" t="s">
        <v>8</v>
      </c>
      <c r="B218" s="5">
        <v>44791.0</v>
      </c>
      <c r="C218" s="6">
        <v>0.3443055555544561</v>
      </c>
      <c r="D218" s="4">
        <v>12.849995</v>
      </c>
      <c r="E218" s="4">
        <v>80.06462</v>
      </c>
      <c r="F218" s="4">
        <v>2846.0</v>
      </c>
      <c r="G218" s="4">
        <v>6.0</v>
      </c>
    </row>
    <row r="219">
      <c r="A219" s="4" t="s">
        <v>8</v>
      </c>
      <c r="B219" s="5">
        <v>44792.0</v>
      </c>
      <c r="C219" s="6">
        <v>0.7293634259258397</v>
      </c>
      <c r="D219" s="4">
        <v>12.960614</v>
      </c>
      <c r="E219" s="4">
        <v>80.214839</v>
      </c>
      <c r="F219" s="4">
        <v>3143.0</v>
      </c>
      <c r="G219" s="4">
        <v>0.0</v>
      </c>
    </row>
    <row r="220">
      <c r="A220" s="4" t="s">
        <v>8</v>
      </c>
      <c r="B220" s="5">
        <v>44792.0</v>
      </c>
      <c r="C220" s="6">
        <v>0.729386574075761</v>
      </c>
      <c r="D220" s="4">
        <v>12.95934</v>
      </c>
      <c r="E220" s="4">
        <v>80.214328</v>
      </c>
      <c r="F220" s="4">
        <v>3143.0</v>
      </c>
      <c r="G220" s="4">
        <v>0.0</v>
      </c>
    </row>
    <row r="12329">
      <c r="A12329" s="4" t="str">
        <f>IFERROR(__xludf.DUMMYFUNCTION("query(unnati_phase1_data_revised.csv!1:100000, ""Select * Where A = 'cas_hmw'"",1)"),"Alert")</f>
        <v>Alert</v>
      </c>
      <c r="B12329" s="4" t="str">
        <f>IFERROR(__xludf.DUMMYFUNCTION("""COMPUTED_VALUE"""),"Date")</f>
        <v>Date</v>
      </c>
      <c r="C12329" s="4" t="str">
        <f>IFERROR(__xludf.DUMMYFUNCTION("""COMPUTED_VALUE"""),"Time")</f>
        <v>Time</v>
      </c>
      <c r="D12329" s="4" t="str">
        <f>IFERROR(__xludf.DUMMYFUNCTION("""COMPUTED_VALUE"""),"Lat")</f>
        <v>Lat</v>
      </c>
      <c r="E12329" s="4" t="str">
        <f>IFERROR(__xludf.DUMMYFUNCTION("""COMPUTED_VALUE"""),"Long")</f>
        <v>Long</v>
      </c>
      <c r="F12329" s="4" t="str">
        <f>IFERROR(__xludf.DUMMYFUNCTION("""COMPUTED_VALUE"""),"Vehicle")</f>
        <v>Vehicle</v>
      </c>
      <c r="G12329" s="4" t="str">
        <f>IFERROR(__xludf.DUMMYFUNCTION("""COMPUTED_VALUE"""),"Speed")</f>
        <v>Speed</v>
      </c>
      <c r="H12329" s="4" t="str">
        <f>IFERROR(__xludf.DUMMYFUNCTION("""COMPUTED_VALUE"""),"")</f>
        <v/>
      </c>
      <c r="I12329" s="4" t="str">
        <f>IFERROR(__xludf.DUMMYFUNCTION("""COMPUTED_VALUE"""),"")</f>
        <v/>
      </c>
    </row>
    <row r="12330">
      <c r="A12330" s="4" t="str">
        <f>IFERROR(__xludf.DUMMYFUNCTION("""COMPUTED_VALUE"""),"cas_hmw")</f>
        <v>cas_hmw</v>
      </c>
      <c r="B12330" s="5">
        <f>IFERROR(__xludf.DUMMYFUNCTION("""COMPUTED_VALUE"""),44713.0)</f>
        <v>44713</v>
      </c>
      <c r="C12330" s="6">
        <f>IFERROR(__xludf.DUMMYFUNCTION("""COMPUTED_VALUE"""),0.2382291666654055)</f>
        <v>0.2382291667</v>
      </c>
      <c r="D12330" s="4">
        <f>IFERROR(__xludf.DUMMYFUNCTION("""COMPUTED_VALUE"""),12.92877)</f>
        <v>12.92877</v>
      </c>
      <c r="E12330" s="4">
        <f>IFERROR(__xludf.DUMMYFUNCTION("""COMPUTED_VALUE"""),80.119872)</f>
        <v>80.119872</v>
      </c>
      <c r="F12330" s="4">
        <f>IFERROR(__xludf.DUMMYFUNCTION("""COMPUTED_VALUE"""),2846.0)</f>
        <v>2846</v>
      </c>
      <c r="G12330" s="4">
        <f>IFERROR(__xludf.DUMMYFUNCTION("""COMPUTED_VALUE"""),42.0)</f>
        <v>42</v>
      </c>
      <c r="H12330" s="4"/>
      <c r="I12330" s="4"/>
    </row>
    <row r="12331">
      <c r="A12331" s="4" t="str">
        <f>IFERROR(__xludf.DUMMYFUNCTION("""COMPUTED_VALUE"""),"cas_hmw")</f>
        <v>cas_hmw</v>
      </c>
      <c r="B12331" s="5">
        <f>IFERROR(__xludf.DUMMYFUNCTION("""COMPUTED_VALUE"""),44713.0)</f>
        <v>44713</v>
      </c>
      <c r="C12331" s="6">
        <f>IFERROR(__xludf.DUMMYFUNCTION("""COMPUTED_VALUE"""),0.2389583333315386)</f>
        <v>0.2389583333</v>
      </c>
      <c r="D12331" s="4">
        <f>IFERROR(__xludf.DUMMYFUNCTION("""COMPUTED_VALUE"""),12.932561)</f>
        <v>12.932561</v>
      </c>
      <c r="E12331" s="4">
        <f>IFERROR(__xludf.DUMMYFUNCTION("""COMPUTED_VALUE"""),80.123647)</f>
        <v>80.123647</v>
      </c>
      <c r="F12331" s="4">
        <f>IFERROR(__xludf.DUMMYFUNCTION("""COMPUTED_VALUE"""),2846.0)</f>
        <v>2846</v>
      </c>
      <c r="G12331" s="4">
        <f>IFERROR(__xludf.DUMMYFUNCTION("""COMPUTED_VALUE"""),38.0)</f>
        <v>38</v>
      </c>
      <c r="H12331" s="4"/>
      <c r="I12331" s="4"/>
    </row>
    <row r="12332">
      <c r="A12332" s="4" t="str">
        <f>IFERROR(__xludf.DUMMYFUNCTION("""COMPUTED_VALUE"""),"cas_hmw")</f>
        <v>cas_hmw</v>
      </c>
      <c r="B12332" s="5">
        <f>IFERROR(__xludf.DUMMYFUNCTION("""COMPUTED_VALUE"""),44713.0)</f>
        <v>44713</v>
      </c>
      <c r="C12332" s="6">
        <f>IFERROR(__xludf.DUMMYFUNCTION("""COMPUTED_VALUE"""),0.23973379629751435)</f>
        <v>0.2397337963</v>
      </c>
      <c r="D12332" s="4">
        <f>IFERROR(__xludf.DUMMYFUNCTION("""COMPUTED_VALUE"""),12.936615)</f>
        <v>12.936615</v>
      </c>
      <c r="E12332" s="4">
        <f>IFERROR(__xludf.DUMMYFUNCTION("""COMPUTED_VALUE"""),80.127451)</f>
        <v>80.127451</v>
      </c>
      <c r="F12332" s="4">
        <f>IFERROR(__xludf.DUMMYFUNCTION("""COMPUTED_VALUE"""),2846.0)</f>
        <v>2846</v>
      </c>
      <c r="G12332" s="4">
        <f>IFERROR(__xludf.DUMMYFUNCTION("""COMPUTED_VALUE"""),27.0)</f>
        <v>27</v>
      </c>
      <c r="H12332" s="4"/>
      <c r="I12332" s="4"/>
    </row>
    <row r="12333">
      <c r="A12333" s="4" t="str">
        <f>IFERROR(__xludf.DUMMYFUNCTION("""COMPUTED_VALUE"""),"cas_hmw")</f>
        <v>cas_hmw</v>
      </c>
      <c r="B12333" s="5">
        <f>IFERROR(__xludf.DUMMYFUNCTION("""COMPUTED_VALUE"""),44713.0)</f>
        <v>44713</v>
      </c>
      <c r="C12333" s="6">
        <f>IFERROR(__xludf.DUMMYFUNCTION("""COMPUTED_VALUE"""),0.26033564814861165)</f>
        <v>0.2603356481</v>
      </c>
      <c r="D12333" s="4">
        <f>IFERROR(__xludf.DUMMYFUNCTION("""COMPUTED_VALUE"""),12.815835)</f>
        <v>12.815835</v>
      </c>
      <c r="E12333" s="4">
        <f>IFERROR(__xludf.DUMMYFUNCTION("""COMPUTED_VALUE"""),80.033858)</f>
        <v>80.033858</v>
      </c>
      <c r="F12333" s="4">
        <f>IFERROR(__xludf.DUMMYFUNCTION("""COMPUTED_VALUE"""),805.0)</f>
        <v>805</v>
      </c>
      <c r="G12333" s="4">
        <f>IFERROR(__xludf.DUMMYFUNCTION("""COMPUTED_VALUE"""),45.0)</f>
        <v>45</v>
      </c>
      <c r="H12333" s="4"/>
      <c r="I12333" s="4"/>
    </row>
    <row r="12334">
      <c r="A12334" s="4" t="str">
        <f>IFERROR(__xludf.DUMMYFUNCTION("""COMPUTED_VALUE"""),"cas_hmw")</f>
        <v>cas_hmw</v>
      </c>
      <c r="B12334" s="5">
        <f>IFERROR(__xludf.DUMMYFUNCTION("""COMPUTED_VALUE"""),44713.0)</f>
        <v>44713</v>
      </c>
      <c r="C12334" s="6">
        <f>IFERROR(__xludf.DUMMYFUNCTION("""COMPUTED_VALUE"""),0.2608217592605797)</f>
        <v>0.2608217593</v>
      </c>
      <c r="D12334" s="4">
        <f>IFERROR(__xludf.DUMMYFUNCTION("""COMPUTED_VALUE"""),12.803876)</f>
        <v>12.803876</v>
      </c>
      <c r="E12334" s="4">
        <f>IFERROR(__xludf.DUMMYFUNCTION("""COMPUTED_VALUE"""),80.026072)</f>
        <v>80.026072</v>
      </c>
      <c r="F12334" s="4">
        <f>IFERROR(__xludf.DUMMYFUNCTION("""COMPUTED_VALUE"""),805.0)</f>
        <v>805</v>
      </c>
      <c r="G12334" s="4">
        <f>IFERROR(__xludf.DUMMYFUNCTION("""COMPUTED_VALUE"""),58.0)</f>
        <v>58</v>
      </c>
      <c r="H12334" s="4"/>
      <c r="I12334" s="4"/>
    </row>
    <row r="12335">
      <c r="A12335" s="4" t="str">
        <f>IFERROR(__xludf.DUMMYFUNCTION("""COMPUTED_VALUE"""),"cas_hmw")</f>
        <v>cas_hmw</v>
      </c>
      <c r="B12335" s="5">
        <f>IFERROR(__xludf.DUMMYFUNCTION("""COMPUTED_VALUE"""),44713.0)</f>
        <v>44713</v>
      </c>
      <c r="C12335" s="6">
        <f>IFERROR(__xludf.DUMMYFUNCTION("""COMPUTED_VALUE"""),0.26085648148000473)</f>
        <v>0.2608564815</v>
      </c>
      <c r="D12335" s="4">
        <f>IFERROR(__xludf.DUMMYFUNCTION("""COMPUTED_VALUE"""),12.803876)</f>
        <v>12.803876</v>
      </c>
      <c r="E12335" s="4">
        <f>IFERROR(__xludf.DUMMYFUNCTION("""COMPUTED_VALUE"""),80.026072)</f>
        <v>80.026072</v>
      </c>
      <c r="F12335" s="4">
        <f>IFERROR(__xludf.DUMMYFUNCTION("""COMPUTED_VALUE"""),805.0)</f>
        <v>805</v>
      </c>
      <c r="G12335" s="4">
        <f>IFERROR(__xludf.DUMMYFUNCTION("""COMPUTED_VALUE"""),58.0)</f>
        <v>58</v>
      </c>
      <c r="H12335" s="4"/>
      <c r="I12335" s="4"/>
    </row>
    <row r="12336">
      <c r="A12336" s="4" t="str">
        <f>IFERROR(__xludf.DUMMYFUNCTION("""COMPUTED_VALUE"""),"cas_hmw")</f>
        <v>cas_hmw</v>
      </c>
      <c r="B12336" s="5">
        <f>IFERROR(__xludf.DUMMYFUNCTION("""COMPUTED_VALUE"""),44713.0)</f>
        <v>44713</v>
      </c>
      <c r="C12336" s="6">
        <f>IFERROR(__xludf.DUMMYFUNCTION("""COMPUTED_VALUE"""),0.26153935185357113)</f>
        <v>0.2615393519</v>
      </c>
      <c r="D12336" s="4">
        <f>IFERROR(__xludf.DUMMYFUNCTION("""COMPUTED_VALUE"""),12.796555)</f>
        <v>12.796555</v>
      </c>
      <c r="E12336" s="4">
        <f>IFERROR(__xludf.DUMMYFUNCTION("""COMPUTED_VALUE"""),80.021272)</f>
        <v>80.021272</v>
      </c>
      <c r="F12336" s="4">
        <f>IFERROR(__xludf.DUMMYFUNCTION("""COMPUTED_VALUE"""),805.0)</f>
        <v>805</v>
      </c>
      <c r="G12336" s="4">
        <f>IFERROR(__xludf.DUMMYFUNCTION("""COMPUTED_VALUE"""),58.0)</f>
        <v>58</v>
      </c>
      <c r="H12336" s="4"/>
      <c r="I12336" s="4"/>
    </row>
    <row r="12337">
      <c r="A12337" s="4" t="str">
        <f>IFERROR(__xludf.DUMMYFUNCTION("""COMPUTED_VALUE"""),"cas_hmw")</f>
        <v>cas_hmw</v>
      </c>
      <c r="B12337" s="5">
        <f>IFERROR(__xludf.DUMMYFUNCTION("""COMPUTED_VALUE"""),44713.0)</f>
        <v>44713</v>
      </c>
      <c r="C12337" s="6">
        <f>IFERROR(__xludf.DUMMYFUNCTION("""COMPUTED_VALUE"""),0.26164351851912215)</f>
        <v>0.2616435185</v>
      </c>
      <c r="D12337" s="4">
        <f>IFERROR(__xludf.DUMMYFUNCTION("""COMPUTED_VALUE"""),12.795046)</f>
        <v>12.795046</v>
      </c>
      <c r="E12337" s="4">
        <f>IFERROR(__xludf.DUMMYFUNCTION("""COMPUTED_VALUE"""),80.020296)</f>
        <v>80.020296</v>
      </c>
      <c r="F12337" s="4">
        <f>IFERROR(__xludf.DUMMYFUNCTION("""COMPUTED_VALUE"""),805.0)</f>
        <v>805</v>
      </c>
      <c r="G12337" s="4">
        <f>IFERROR(__xludf.DUMMYFUNCTION("""COMPUTED_VALUE"""),0.0)</f>
        <v>0</v>
      </c>
      <c r="H12337" s="4"/>
      <c r="I12337" s="4"/>
    </row>
    <row r="12338">
      <c r="A12338" s="4" t="str">
        <f>IFERROR(__xludf.DUMMYFUNCTION("""COMPUTED_VALUE"""),"cas_hmw")</f>
        <v>cas_hmw</v>
      </c>
      <c r="B12338" s="5">
        <f>IFERROR(__xludf.DUMMYFUNCTION("""COMPUTED_VALUE"""),44713.0)</f>
        <v>44713</v>
      </c>
      <c r="C12338" s="6">
        <f>IFERROR(__xludf.DUMMYFUNCTION("""COMPUTED_VALUE"""),0.26313657407445135)</f>
        <v>0.2631365741</v>
      </c>
      <c r="D12338" s="4">
        <f>IFERROR(__xludf.DUMMYFUNCTION("""COMPUTED_VALUE"""),12.779812)</f>
        <v>12.779812</v>
      </c>
      <c r="E12338" s="4">
        <f>IFERROR(__xludf.DUMMYFUNCTION("""COMPUTED_VALUE"""),80.01172)</f>
        <v>80.01172</v>
      </c>
      <c r="F12338" s="4">
        <f>IFERROR(__xludf.DUMMYFUNCTION("""COMPUTED_VALUE"""),805.0)</f>
        <v>805</v>
      </c>
      <c r="G12338" s="4">
        <f>IFERROR(__xludf.DUMMYFUNCTION("""COMPUTED_VALUE"""),58.0)</f>
        <v>58</v>
      </c>
      <c r="H12338" s="4"/>
      <c r="I12338" s="4"/>
    </row>
    <row r="12339">
      <c r="A12339" s="4" t="str">
        <f>IFERROR(__xludf.DUMMYFUNCTION("""COMPUTED_VALUE"""),"cas_hmw")</f>
        <v>cas_hmw</v>
      </c>
      <c r="B12339" s="5">
        <f>IFERROR(__xludf.DUMMYFUNCTION("""COMPUTED_VALUE"""),44713.0)</f>
        <v>44713</v>
      </c>
      <c r="C12339" s="6">
        <f>IFERROR(__xludf.DUMMYFUNCTION("""COMPUTED_VALUE"""),0.26331018518612836)</f>
        <v>0.2633101852</v>
      </c>
      <c r="D12339" s="4">
        <f>IFERROR(__xludf.DUMMYFUNCTION("""COMPUTED_VALUE"""),12.777725)</f>
        <v>12.777725</v>
      </c>
      <c r="E12339" s="4">
        <f>IFERROR(__xludf.DUMMYFUNCTION("""COMPUTED_VALUE"""),80.010838)</f>
        <v>80.010838</v>
      </c>
      <c r="F12339" s="4">
        <f>IFERROR(__xludf.DUMMYFUNCTION("""COMPUTED_VALUE"""),805.0)</f>
        <v>805</v>
      </c>
      <c r="G12339" s="4">
        <f>IFERROR(__xludf.DUMMYFUNCTION("""COMPUTED_VALUE"""),48.0)</f>
        <v>48</v>
      </c>
      <c r="H12339" s="4"/>
      <c r="I12339" s="4"/>
    </row>
    <row r="12340">
      <c r="A12340" s="4" t="str">
        <f>IFERROR(__xludf.DUMMYFUNCTION("""COMPUTED_VALUE"""),"cas_hmw")</f>
        <v>cas_hmw</v>
      </c>
      <c r="B12340" s="5">
        <f>IFERROR(__xludf.DUMMYFUNCTION("""COMPUTED_VALUE"""),44713.0)</f>
        <v>44713</v>
      </c>
      <c r="C12340" s="6">
        <f>IFERROR(__xludf.DUMMYFUNCTION("""COMPUTED_VALUE"""),0.2642476851870015)</f>
        <v>0.2642476852</v>
      </c>
      <c r="D12340" s="4">
        <f>IFERROR(__xludf.DUMMYFUNCTION("""COMPUTED_VALUE"""),13.012897)</f>
        <v>13.012897</v>
      </c>
      <c r="E12340" s="4">
        <f>IFERROR(__xludf.DUMMYFUNCTION("""COMPUTED_VALUE"""),80.221989)</f>
        <v>80.221989</v>
      </c>
      <c r="F12340" s="4">
        <f>IFERROR(__xludf.DUMMYFUNCTION("""COMPUTED_VALUE"""),2846.0)</f>
        <v>2846</v>
      </c>
      <c r="G12340" s="4">
        <f>IFERROR(__xludf.DUMMYFUNCTION("""COMPUTED_VALUE"""),49.0)</f>
        <v>49</v>
      </c>
      <c r="H12340" s="4"/>
      <c r="I12340" s="4"/>
    </row>
    <row r="12341">
      <c r="A12341" s="4" t="str">
        <f>IFERROR(__xludf.DUMMYFUNCTION("""COMPUTED_VALUE"""),"cas_hmw")</f>
        <v>cas_hmw</v>
      </c>
      <c r="B12341" s="5">
        <f>IFERROR(__xludf.DUMMYFUNCTION("""COMPUTED_VALUE"""),44713.0)</f>
        <v>44713</v>
      </c>
      <c r="C12341" s="6">
        <f>IFERROR(__xludf.DUMMYFUNCTION("""COMPUTED_VALUE"""),0.26513888888803194)</f>
        <v>0.2651388889</v>
      </c>
      <c r="D12341" s="4">
        <f>IFERROR(__xludf.DUMMYFUNCTION("""COMPUTED_VALUE"""),12.757137)</f>
        <v>12.757137</v>
      </c>
      <c r="E12341" s="4">
        <f>IFERROR(__xludf.DUMMYFUNCTION("""COMPUTED_VALUE"""),80.002432)</f>
        <v>80.002432</v>
      </c>
      <c r="F12341" s="4">
        <f>IFERROR(__xludf.DUMMYFUNCTION("""COMPUTED_VALUE"""),805.0)</f>
        <v>805</v>
      </c>
      <c r="G12341" s="4">
        <f>IFERROR(__xludf.DUMMYFUNCTION("""COMPUTED_VALUE"""),58.0)</f>
        <v>58</v>
      </c>
      <c r="H12341" s="4"/>
      <c r="I12341" s="4"/>
    </row>
    <row r="12342">
      <c r="A12342" s="4" t="str">
        <f>IFERROR(__xludf.DUMMYFUNCTION("""COMPUTED_VALUE"""),"cas_hmw")</f>
        <v>cas_hmw</v>
      </c>
      <c r="B12342" s="5">
        <f>IFERROR(__xludf.DUMMYFUNCTION("""COMPUTED_VALUE"""),44713.0)</f>
        <v>44713</v>
      </c>
      <c r="C12342" s="6">
        <f>IFERROR(__xludf.DUMMYFUNCTION("""COMPUTED_VALUE"""),0.2689236111109494)</f>
        <v>0.2689236111</v>
      </c>
      <c r="D12342" s="4">
        <f>IFERROR(__xludf.DUMMYFUNCTION("""COMPUTED_VALUE"""),13.031173)</f>
        <v>13.031173</v>
      </c>
      <c r="E12342" s="4">
        <f>IFERROR(__xludf.DUMMYFUNCTION("""COMPUTED_VALUE"""),80.239814)</f>
        <v>80.239814</v>
      </c>
      <c r="F12342" s="4">
        <f>IFERROR(__xludf.DUMMYFUNCTION("""COMPUTED_VALUE"""),2846.0)</f>
        <v>2846</v>
      </c>
      <c r="G12342" s="4">
        <f>IFERROR(__xludf.DUMMYFUNCTION("""COMPUTED_VALUE"""),28.0)</f>
        <v>28</v>
      </c>
      <c r="H12342" s="4"/>
      <c r="I12342" s="4"/>
    </row>
    <row r="12343">
      <c r="A12343" s="4" t="str">
        <f>IFERROR(__xludf.DUMMYFUNCTION("""COMPUTED_VALUE"""),"cas_hmw")</f>
        <v>cas_hmw</v>
      </c>
      <c r="B12343" s="5">
        <f>IFERROR(__xludf.DUMMYFUNCTION("""COMPUTED_VALUE"""),44713.0)</f>
        <v>44713</v>
      </c>
      <c r="C12343" s="6">
        <f>IFERROR(__xludf.DUMMYFUNCTION("""COMPUTED_VALUE"""),0.2701620370353339)</f>
        <v>0.270162037</v>
      </c>
      <c r="D12343" s="4">
        <f>IFERROR(__xludf.DUMMYFUNCTION("""COMPUTED_VALUE"""),12.709089)</f>
        <v>12.709089</v>
      </c>
      <c r="E12343" s="4">
        <f>IFERROR(__xludf.DUMMYFUNCTION("""COMPUTED_VALUE"""),79.977492)</f>
        <v>79.977492</v>
      </c>
      <c r="F12343" s="4">
        <f>IFERROR(__xludf.DUMMYFUNCTION("""COMPUTED_VALUE"""),805.0)</f>
        <v>805</v>
      </c>
      <c r="G12343" s="4">
        <f>IFERROR(__xludf.DUMMYFUNCTION("""COMPUTED_VALUE"""),58.0)</f>
        <v>58</v>
      </c>
      <c r="H12343" s="4"/>
      <c r="I12343" s="4"/>
    </row>
    <row r="12344">
      <c r="A12344" s="4" t="str">
        <f>IFERROR(__xludf.DUMMYFUNCTION("""COMPUTED_VALUE"""),"cas_hmw")</f>
        <v>cas_hmw</v>
      </c>
      <c r="B12344" s="5">
        <f>IFERROR(__xludf.DUMMYFUNCTION("""COMPUTED_VALUE"""),44713.0)</f>
        <v>44713</v>
      </c>
      <c r="C12344" s="6">
        <f>IFERROR(__xludf.DUMMYFUNCTION("""COMPUTED_VALUE"""),0.27094907407445135)</f>
        <v>0.2709490741</v>
      </c>
      <c r="D12344" s="4">
        <f>IFERROR(__xludf.DUMMYFUNCTION("""COMPUTED_VALUE"""),13.039036)</f>
        <v>13.039036</v>
      </c>
      <c r="E12344" s="4">
        <f>IFERROR(__xludf.DUMMYFUNCTION("""COMPUTED_VALUE"""),80.246748)</f>
        <v>80.246748</v>
      </c>
      <c r="F12344" s="4">
        <f>IFERROR(__xludf.DUMMYFUNCTION("""COMPUTED_VALUE"""),2846.0)</f>
        <v>2846</v>
      </c>
      <c r="G12344" s="4">
        <f>IFERROR(__xludf.DUMMYFUNCTION("""COMPUTED_VALUE"""),17.0)</f>
        <v>17</v>
      </c>
      <c r="H12344" s="4"/>
      <c r="I12344" s="4"/>
    </row>
    <row r="12345">
      <c r="A12345" s="4" t="str">
        <f>IFERROR(__xludf.DUMMYFUNCTION("""COMPUTED_VALUE"""),"cas_hmw")</f>
        <v>cas_hmw</v>
      </c>
      <c r="B12345" s="5">
        <f>IFERROR(__xludf.DUMMYFUNCTION("""COMPUTED_VALUE"""),44713.0)</f>
        <v>44713</v>
      </c>
      <c r="C12345" s="6">
        <f>IFERROR(__xludf.DUMMYFUNCTION("""COMPUTED_VALUE"""),0.2710763888899237)</f>
        <v>0.2710763889</v>
      </c>
      <c r="D12345" s="4">
        <f>IFERROR(__xludf.DUMMYFUNCTION("""COMPUTED_VALUE"""),12.697469)</f>
        <v>12.697469</v>
      </c>
      <c r="E12345" s="4">
        <f>IFERROR(__xludf.DUMMYFUNCTION("""COMPUTED_VALUE"""),79.9672)</f>
        <v>79.9672</v>
      </c>
      <c r="F12345" s="4">
        <f>IFERROR(__xludf.DUMMYFUNCTION("""COMPUTED_VALUE"""),805.0)</f>
        <v>805</v>
      </c>
      <c r="G12345" s="4">
        <f>IFERROR(__xludf.DUMMYFUNCTION("""COMPUTED_VALUE"""),60.0)</f>
        <v>60</v>
      </c>
      <c r="H12345" s="4"/>
      <c r="I12345" s="4"/>
    </row>
    <row r="12346">
      <c r="A12346" s="4" t="str">
        <f>IFERROR(__xludf.DUMMYFUNCTION("""COMPUTED_VALUE"""),"cas_hmw")</f>
        <v>cas_hmw</v>
      </c>
      <c r="B12346" s="5">
        <f>IFERROR(__xludf.DUMMYFUNCTION("""COMPUTED_VALUE"""),44713.0)</f>
        <v>44713</v>
      </c>
      <c r="C12346" s="6">
        <f>IFERROR(__xludf.DUMMYFUNCTION("""COMPUTED_VALUE"""),0.27109953703620704)</f>
        <v>0.271099537</v>
      </c>
      <c r="D12346" s="4">
        <f>IFERROR(__xludf.DUMMYFUNCTION("""COMPUTED_VALUE"""),12.697469)</f>
        <v>12.697469</v>
      </c>
      <c r="E12346" s="4">
        <f>IFERROR(__xludf.DUMMYFUNCTION("""COMPUTED_VALUE"""),79.9672)</f>
        <v>79.9672</v>
      </c>
      <c r="F12346" s="4">
        <f>IFERROR(__xludf.DUMMYFUNCTION("""COMPUTED_VALUE"""),805.0)</f>
        <v>805</v>
      </c>
      <c r="G12346" s="4">
        <f>IFERROR(__xludf.DUMMYFUNCTION("""COMPUTED_VALUE"""),60.0)</f>
        <v>60</v>
      </c>
      <c r="H12346" s="4"/>
      <c r="I12346" s="4"/>
    </row>
    <row r="12347">
      <c r="A12347" s="4" t="str">
        <f>IFERROR(__xludf.DUMMYFUNCTION("""COMPUTED_VALUE"""),"cas_hmw")</f>
        <v>cas_hmw</v>
      </c>
      <c r="B12347" s="5">
        <f>IFERROR(__xludf.DUMMYFUNCTION("""COMPUTED_VALUE"""),44713.0)</f>
        <v>44713</v>
      </c>
      <c r="C12347" s="6">
        <f>IFERROR(__xludf.DUMMYFUNCTION("""COMPUTED_VALUE"""),0.2714004629633564)</f>
        <v>0.271400463</v>
      </c>
      <c r="D12347" s="4">
        <f>IFERROR(__xludf.DUMMYFUNCTION("""COMPUTED_VALUE"""),13.042432)</f>
        <v>13.042432</v>
      </c>
      <c r="E12347" s="4">
        <f>IFERROR(__xludf.DUMMYFUNCTION("""COMPUTED_VALUE"""),80.247439)</f>
        <v>80.247439</v>
      </c>
      <c r="F12347" s="4">
        <f>IFERROR(__xludf.DUMMYFUNCTION("""COMPUTED_VALUE"""),2846.0)</f>
        <v>2846</v>
      </c>
      <c r="G12347" s="4">
        <f>IFERROR(__xludf.DUMMYFUNCTION("""COMPUTED_VALUE"""),37.0)</f>
        <v>37</v>
      </c>
      <c r="H12347" s="4"/>
      <c r="I12347" s="4"/>
    </row>
    <row r="12348">
      <c r="A12348" s="4" t="str">
        <f>IFERROR(__xludf.DUMMYFUNCTION("""COMPUTED_VALUE"""),"cas_hmw")</f>
        <v>cas_hmw</v>
      </c>
      <c r="B12348" s="5">
        <f>IFERROR(__xludf.DUMMYFUNCTION("""COMPUTED_VALUE"""),44713.0)</f>
        <v>44713</v>
      </c>
      <c r="C12348" s="6">
        <f>IFERROR(__xludf.DUMMYFUNCTION("""COMPUTED_VALUE"""),0.2722106481487572)</f>
        <v>0.2722106481</v>
      </c>
      <c r="D12348" s="4">
        <f>IFERROR(__xludf.DUMMYFUNCTION("""COMPUTED_VALUE"""),12.685681)</f>
        <v>12.685681</v>
      </c>
      <c r="E12348" s="4">
        <f>IFERROR(__xludf.DUMMYFUNCTION("""COMPUTED_VALUE"""),79.959317)</f>
        <v>79.959317</v>
      </c>
      <c r="F12348" s="4">
        <f>IFERROR(__xludf.DUMMYFUNCTION("""COMPUTED_VALUE"""),805.0)</f>
        <v>805</v>
      </c>
      <c r="G12348" s="4">
        <f>IFERROR(__xludf.DUMMYFUNCTION("""COMPUTED_VALUE"""),23.0)</f>
        <v>23</v>
      </c>
      <c r="H12348" s="4"/>
      <c r="I12348" s="4"/>
    </row>
    <row r="12349">
      <c r="A12349" s="4" t="str">
        <f>IFERROR(__xludf.DUMMYFUNCTION("""COMPUTED_VALUE"""),"cas_hmw")</f>
        <v>cas_hmw</v>
      </c>
      <c r="B12349" s="5">
        <f>IFERROR(__xludf.DUMMYFUNCTION("""COMPUTED_VALUE"""),44713.0)</f>
        <v>44713</v>
      </c>
      <c r="C12349" s="6">
        <f>IFERROR(__xludf.DUMMYFUNCTION("""COMPUTED_VALUE"""),0.2723495370373712)</f>
        <v>0.272349537</v>
      </c>
      <c r="D12349" s="4">
        <f>IFERROR(__xludf.DUMMYFUNCTION("""COMPUTED_VALUE"""),12.684891)</f>
        <v>12.684891</v>
      </c>
      <c r="E12349" s="4">
        <f>IFERROR(__xludf.DUMMYFUNCTION("""COMPUTED_VALUE"""),79.959075)</f>
        <v>79.959075</v>
      </c>
      <c r="F12349" s="4">
        <f>IFERROR(__xludf.DUMMYFUNCTION("""COMPUTED_VALUE"""),805.0)</f>
        <v>805</v>
      </c>
      <c r="G12349" s="4">
        <f>IFERROR(__xludf.DUMMYFUNCTION("""COMPUTED_VALUE"""),21.0)</f>
        <v>21</v>
      </c>
      <c r="H12349" s="4"/>
      <c r="I12349" s="4"/>
    </row>
    <row r="12350">
      <c r="A12350" s="4" t="str">
        <f>IFERROR(__xludf.DUMMYFUNCTION("""COMPUTED_VALUE"""),"cas_hmw")</f>
        <v>cas_hmw</v>
      </c>
      <c r="B12350" s="5">
        <f>IFERROR(__xludf.DUMMYFUNCTION("""COMPUTED_VALUE"""),44713.0)</f>
        <v>44713</v>
      </c>
      <c r="C12350" s="6">
        <f>IFERROR(__xludf.DUMMYFUNCTION("""COMPUTED_VALUE"""),0.27244212962978054)</f>
        <v>0.2724421296</v>
      </c>
      <c r="D12350" s="4">
        <f>IFERROR(__xludf.DUMMYFUNCTION("""COMPUTED_VALUE"""),12.684891)</f>
        <v>12.684891</v>
      </c>
      <c r="E12350" s="4">
        <f>IFERROR(__xludf.DUMMYFUNCTION("""COMPUTED_VALUE"""),79.959075)</f>
        <v>79.959075</v>
      </c>
      <c r="F12350" s="4">
        <f>IFERROR(__xludf.DUMMYFUNCTION("""COMPUTED_VALUE"""),805.0)</f>
        <v>805</v>
      </c>
      <c r="G12350" s="4">
        <f>IFERROR(__xludf.DUMMYFUNCTION("""COMPUTED_VALUE"""),21.0)</f>
        <v>21</v>
      </c>
      <c r="H12350" s="4"/>
      <c r="I12350" s="4"/>
    </row>
    <row r="12351">
      <c r="A12351" s="4" t="str">
        <f>IFERROR(__xludf.DUMMYFUNCTION("""COMPUTED_VALUE"""),"cas_hmw")</f>
        <v>cas_hmw</v>
      </c>
      <c r="B12351" s="5">
        <f>IFERROR(__xludf.DUMMYFUNCTION("""COMPUTED_VALUE"""),44713.0)</f>
        <v>44713</v>
      </c>
      <c r="C12351" s="6">
        <f>IFERROR(__xludf.DUMMYFUNCTION("""COMPUTED_VALUE"""),0.2724652777760639)</f>
        <v>0.2724652778</v>
      </c>
      <c r="D12351" s="4">
        <f>IFERROR(__xludf.DUMMYFUNCTION("""COMPUTED_VALUE"""),13.053062)</f>
        <v>13.053062</v>
      </c>
      <c r="E12351" s="4">
        <f>IFERROR(__xludf.DUMMYFUNCTION("""COMPUTED_VALUE"""),80.251879)</f>
        <v>80.251879</v>
      </c>
      <c r="F12351" s="4">
        <f>IFERROR(__xludf.DUMMYFUNCTION("""COMPUTED_VALUE"""),2846.0)</f>
        <v>2846</v>
      </c>
      <c r="G12351" s="4">
        <f>IFERROR(__xludf.DUMMYFUNCTION("""COMPUTED_VALUE"""),56.0)</f>
        <v>56</v>
      </c>
      <c r="H12351" s="4"/>
      <c r="I12351" s="4"/>
    </row>
    <row r="12352">
      <c r="A12352" s="4" t="str">
        <f>IFERROR(__xludf.DUMMYFUNCTION("""COMPUTED_VALUE"""),"cas_hmw")</f>
        <v>cas_hmw</v>
      </c>
      <c r="B12352" s="5">
        <f>IFERROR(__xludf.DUMMYFUNCTION("""COMPUTED_VALUE"""),44713.0)</f>
        <v>44713</v>
      </c>
      <c r="C12352" s="6">
        <f>IFERROR(__xludf.DUMMYFUNCTION("""COMPUTED_VALUE"""),0.2753240740748879)</f>
        <v>0.2753240741</v>
      </c>
      <c r="D12352" s="4">
        <f>IFERROR(__xludf.DUMMYFUNCTION("""COMPUTED_VALUE"""),12.655738)</f>
        <v>12.655738</v>
      </c>
      <c r="E12352" s="4">
        <f>IFERROR(__xludf.DUMMYFUNCTION("""COMPUTED_VALUE"""),79.952993)</f>
        <v>79.952993</v>
      </c>
      <c r="F12352" s="4">
        <f>IFERROR(__xludf.DUMMYFUNCTION("""COMPUTED_VALUE"""),805.0)</f>
        <v>805</v>
      </c>
      <c r="G12352" s="4">
        <f>IFERROR(__xludf.DUMMYFUNCTION("""COMPUTED_VALUE"""),58.0)</f>
        <v>58</v>
      </c>
      <c r="H12352" s="4"/>
      <c r="I12352" s="4"/>
    </row>
    <row r="12353">
      <c r="A12353" s="4" t="str">
        <f>IFERROR(__xludf.DUMMYFUNCTION("""COMPUTED_VALUE"""),"cas_hmw")</f>
        <v>cas_hmw</v>
      </c>
      <c r="B12353" s="5">
        <f>IFERROR(__xludf.DUMMYFUNCTION("""COMPUTED_VALUE"""),44713.0)</f>
        <v>44713</v>
      </c>
      <c r="C12353" s="6">
        <f>IFERROR(__xludf.DUMMYFUNCTION("""COMPUTED_VALUE"""),0.27873842592453)</f>
        <v>0.2787384259</v>
      </c>
      <c r="D12353" s="4">
        <f>IFERROR(__xludf.DUMMYFUNCTION("""COMPUTED_VALUE"""),12.630791)</f>
        <v>12.630791</v>
      </c>
      <c r="E12353" s="4">
        <f>IFERROR(__xludf.DUMMYFUNCTION("""COMPUTED_VALUE"""),79.931575)</f>
        <v>79.931575</v>
      </c>
      <c r="F12353" s="4">
        <f>IFERROR(__xludf.DUMMYFUNCTION("""COMPUTED_VALUE"""),805.0)</f>
        <v>805</v>
      </c>
      <c r="G12353" s="4">
        <f>IFERROR(__xludf.DUMMYFUNCTION("""COMPUTED_VALUE"""),58.0)</f>
        <v>58</v>
      </c>
      <c r="H12353" s="4"/>
      <c r="I12353" s="4"/>
    </row>
    <row r="12354">
      <c r="A12354" s="4" t="str">
        <f>IFERROR(__xludf.DUMMYFUNCTION("""COMPUTED_VALUE"""),"cas_hmw")</f>
        <v>cas_hmw</v>
      </c>
      <c r="B12354" s="5">
        <f>IFERROR(__xludf.DUMMYFUNCTION("""COMPUTED_VALUE"""),44713.0)</f>
        <v>44713</v>
      </c>
      <c r="C12354" s="6">
        <f>IFERROR(__xludf.DUMMYFUNCTION("""COMPUTED_VALUE"""),0.2824189814818965)</f>
        <v>0.2824189815</v>
      </c>
      <c r="D12354" s="4">
        <f>IFERROR(__xludf.DUMMYFUNCTION("""COMPUTED_VALUE"""),12.586458)</f>
        <v>12.586458</v>
      </c>
      <c r="E12354" s="4">
        <f>IFERROR(__xludf.DUMMYFUNCTION("""COMPUTED_VALUE"""),79.919519)</f>
        <v>79.919519</v>
      </c>
      <c r="F12354" s="4">
        <f>IFERROR(__xludf.DUMMYFUNCTION("""COMPUTED_VALUE"""),805.0)</f>
        <v>805</v>
      </c>
      <c r="G12354" s="4">
        <f>IFERROR(__xludf.DUMMYFUNCTION("""COMPUTED_VALUE"""),58.0)</f>
        <v>58</v>
      </c>
      <c r="H12354" s="4"/>
      <c r="I12354" s="4"/>
    </row>
    <row r="12355">
      <c r="A12355" s="4" t="str">
        <f>IFERROR(__xludf.DUMMYFUNCTION("""COMPUTED_VALUE"""),"cas_hmw")</f>
        <v>cas_hmw</v>
      </c>
      <c r="B12355" s="5">
        <f>IFERROR(__xludf.DUMMYFUNCTION("""COMPUTED_VALUE"""),44713.0)</f>
        <v>44713</v>
      </c>
      <c r="C12355" s="6">
        <f>IFERROR(__xludf.DUMMYFUNCTION("""COMPUTED_VALUE"""),0.29627314814933925)</f>
        <v>0.2962731481</v>
      </c>
      <c r="D12355" s="4">
        <f>IFERROR(__xludf.DUMMYFUNCTION("""COMPUTED_VALUE"""),12.509666)</f>
        <v>12.509666</v>
      </c>
      <c r="E12355" s="4">
        <f>IFERROR(__xludf.DUMMYFUNCTION("""COMPUTED_VALUE"""),79.884816)</f>
        <v>79.884816</v>
      </c>
      <c r="F12355" s="4">
        <f>IFERROR(__xludf.DUMMYFUNCTION("""COMPUTED_VALUE"""),805.0)</f>
        <v>805</v>
      </c>
      <c r="G12355" s="4">
        <f>IFERROR(__xludf.DUMMYFUNCTION("""COMPUTED_VALUE"""),17.0)</f>
        <v>17</v>
      </c>
      <c r="H12355" s="4"/>
      <c r="I12355" s="4"/>
    </row>
    <row r="12356">
      <c r="A12356" s="4" t="str">
        <f>IFERROR(__xludf.DUMMYFUNCTION("""COMPUTED_VALUE"""),"cas_hmw")</f>
        <v>cas_hmw</v>
      </c>
      <c r="B12356" s="5">
        <f>IFERROR(__xludf.DUMMYFUNCTION("""COMPUTED_VALUE"""),44713.0)</f>
        <v>44713</v>
      </c>
      <c r="C12356" s="6">
        <f>IFERROR(__xludf.DUMMYFUNCTION("""COMPUTED_VALUE"""),0.2963657407417486)</f>
        <v>0.2963657407</v>
      </c>
      <c r="D12356" s="4">
        <f>IFERROR(__xludf.DUMMYFUNCTION("""COMPUTED_VALUE"""),12.509666)</f>
        <v>12.509666</v>
      </c>
      <c r="E12356" s="4">
        <f>IFERROR(__xludf.DUMMYFUNCTION("""COMPUTED_VALUE"""),79.884816)</f>
        <v>79.884816</v>
      </c>
      <c r="F12356" s="4">
        <f>IFERROR(__xludf.DUMMYFUNCTION("""COMPUTED_VALUE"""),805.0)</f>
        <v>805</v>
      </c>
      <c r="G12356" s="4">
        <f>IFERROR(__xludf.DUMMYFUNCTION("""COMPUTED_VALUE"""),17.0)</f>
        <v>17</v>
      </c>
      <c r="H12356" s="4"/>
      <c r="I12356" s="4"/>
    </row>
    <row r="12357">
      <c r="A12357" s="4" t="str">
        <f>IFERROR(__xludf.DUMMYFUNCTION("""COMPUTED_VALUE"""),"cas_hmw")</f>
        <v>cas_hmw</v>
      </c>
      <c r="B12357" s="5">
        <f>IFERROR(__xludf.DUMMYFUNCTION("""COMPUTED_VALUE"""),44713.0)</f>
        <v>44713</v>
      </c>
      <c r="C12357" s="6">
        <f>IFERROR(__xludf.DUMMYFUNCTION("""COMPUTED_VALUE"""),0.3001041666684614)</f>
        <v>0.3001041667</v>
      </c>
      <c r="D12357" s="4">
        <f>IFERROR(__xludf.DUMMYFUNCTION("""COMPUTED_VALUE"""),13.071684)</f>
        <v>13.071684</v>
      </c>
      <c r="E12357" s="4">
        <f>IFERROR(__xludf.DUMMYFUNCTION("""COMPUTED_VALUE"""),80.259156)</f>
        <v>80.259156</v>
      </c>
      <c r="F12357" s="4">
        <f>IFERROR(__xludf.DUMMYFUNCTION("""COMPUTED_VALUE"""),2846.0)</f>
        <v>2846</v>
      </c>
      <c r="G12357" s="4">
        <f>IFERROR(__xludf.DUMMYFUNCTION("""COMPUTED_VALUE"""),23.0)</f>
        <v>23</v>
      </c>
      <c r="H12357" s="4"/>
      <c r="I12357" s="4"/>
    </row>
    <row r="12358">
      <c r="A12358" s="4" t="str">
        <f>IFERROR(__xludf.DUMMYFUNCTION("""COMPUTED_VALUE"""),"cas_hmw")</f>
        <v>cas_hmw</v>
      </c>
      <c r="B12358" s="5">
        <f>IFERROR(__xludf.DUMMYFUNCTION("""COMPUTED_VALUE"""),44713.0)</f>
        <v>44713</v>
      </c>
      <c r="C12358" s="6">
        <f>IFERROR(__xludf.DUMMYFUNCTION("""COMPUTED_VALUE"""),0.30074074074218515)</f>
        <v>0.3007407407</v>
      </c>
      <c r="D12358" s="4">
        <f>IFERROR(__xludf.DUMMYFUNCTION("""COMPUTED_VALUE"""),13.073034)</f>
        <v>13.073034</v>
      </c>
      <c r="E12358" s="4">
        <f>IFERROR(__xludf.DUMMYFUNCTION("""COMPUTED_VALUE"""),80.261821)</f>
        <v>80.261821</v>
      </c>
      <c r="F12358" s="4">
        <f>IFERROR(__xludf.DUMMYFUNCTION("""COMPUTED_VALUE"""),2846.0)</f>
        <v>2846</v>
      </c>
      <c r="G12358" s="4">
        <f>IFERROR(__xludf.DUMMYFUNCTION("""COMPUTED_VALUE"""),20.0)</f>
        <v>20</v>
      </c>
      <c r="H12358" s="4"/>
      <c r="I12358" s="4"/>
    </row>
    <row r="12359">
      <c r="A12359" s="4" t="str">
        <f>IFERROR(__xludf.DUMMYFUNCTION("""COMPUTED_VALUE"""),"cas_hmw")</f>
        <v>cas_hmw</v>
      </c>
      <c r="B12359" s="5">
        <f>IFERROR(__xludf.DUMMYFUNCTION("""COMPUTED_VALUE"""),44713.0)</f>
        <v>44713</v>
      </c>
      <c r="C12359" s="6">
        <f>IFERROR(__xludf.DUMMYFUNCTION("""COMPUTED_VALUE"""),0.3025462962978054)</f>
        <v>0.3025462963</v>
      </c>
      <c r="D12359" s="4">
        <f>IFERROR(__xludf.DUMMYFUNCTION("""COMPUTED_VALUE"""),13.068967)</f>
        <v>13.068967</v>
      </c>
      <c r="E12359" s="4">
        <f>IFERROR(__xludf.DUMMYFUNCTION("""COMPUTED_VALUE"""),80.267456)</f>
        <v>80.267456</v>
      </c>
      <c r="F12359" s="4">
        <f>IFERROR(__xludf.DUMMYFUNCTION("""COMPUTED_VALUE"""),2846.0)</f>
        <v>2846</v>
      </c>
      <c r="G12359" s="4">
        <f>IFERROR(__xludf.DUMMYFUNCTION("""COMPUTED_VALUE"""),28.0)</f>
        <v>28</v>
      </c>
      <c r="H12359" s="4"/>
      <c r="I12359" s="4"/>
    </row>
    <row r="12360">
      <c r="A12360" s="4" t="str">
        <f>IFERROR(__xludf.DUMMYFUNCTION("""COMPUTED_VALUE"""),"cas_hmw")</f>
        <v>cas_hmw</v>
      </c>
      <c r="B12360" s="5">
        <f>IFERROR(__xludf.DUMMYFUNCTION("""COMPUTED_VALUE"""),44713.0)</f>
        <v>44713</v>
      </c>
      <c r="C12360" s="6">
        <f>IFERROR(__xludf.DUMMYFUNCTION("""COMPUTED_VALUE"""),0.3033101851870015)</f>
        <v>0.3033101852</v>
      </c>
      <c r="D12360" s="4">
        <f>IFERROR(__xludf.DUMMYFUNCTION("""COMPUTED_VALUE"""),12.572158)</f>
        <v>12.572158</v>
      </c>
      <c r="E12360" s="4">
        <f>IFERROR(__xludf.DUMMYFUNCTION("""COMPUTED_VALUE"""),79.916154)</f>
        <v>79.916154</v>
      </c>
      <c r="F12360" s="4">
        <f>IFERROR(__xludf.DUMMYFUNCTION("""COMPUTED_VALUE"""),805.0)</f>
        <v>805</v>
      </c>
      <c r="G12360" s="4">
        <f>IFERROR(__xludf.DUMMYFUNCTION("""COMPUTED_VALUE"""),58.0)</f>
        <v>58</v>
      </c>
      <c r="H12360" s="4"/>
      <c r="I12360" s="4"/>
    </row>
    <row r="12361">
      <c r="A12361" s="4" t="str">
        <f>IFERROR(__xludf.DUMMYFUNCTION("""COMPUTED_VALUE"""),"cas_hmw")</f>
        <v>cas_hmw</v>
      </c>
      <c r="B12361" s="5">
        <f>IFERROR(__xludf.DUMMYFUNCTION("""COMPUTED_VALUE"""),44713.0)</f>
        <v>44713</v>
      </c>
      <c r="C12361" s="6">
        <f>IFERROR(__xludf.DUMMYFUNCTION("""COMPUTED_VALUE"""),0.3093402777776646)</f>
        <v>0.3093402778</v>
      </c>
      <c r="D12361" s="4">
        <f>IFERROR(__xludf.DUMMYFUNCTION("""COMPUTED_VALUE"""),12.641655)</f>
        <v>12.641655</v>
      </c>
      <c r="E12361" s="4">
        <f>IFERROR(__xludf.DUMMYFUNCTION("""COMPUTED_VALUE"""),79.937271)</f>
        <v>79.937271</v>
      </c>
      <c r="F12361" s="4">
        <f>IFERROR(__xludf.DUMMYFUNCTION("""COMPUTED_VALUE"""),805.0)</f>
        <v>805</v>
      </c>
      <c r="G12361" s="4">
        <f>IFERROR(__xludf.DUMMYFUNCTION("""COMPUTED_VALUE"""),58.0)</f>
        <v>58</v>
      </c>
      <c r="H12361" s="4"/>
      <c r="I12361" s="4"/>
    </row>
    <row r="12362">
      <c r="A12362" s="4" t="str">
        <f>IFERROR(__xludf.DUMMYFUNCTION("""COMPUTED_VALUE"""),"cas_hmw")</f>
        <v>cas_hmw</v>
      </c>
      <c r="B12362" s="5">
        <f>IFERROR(__xludf.DUMMYFUNCTION("""COMPUTED_VALUE"""),44713.0)</f>
        <v>44713</v>
      </c>
      <c r="C12362" s="6">
        <f>IFERROR(__xludf.DUMMYFUNCTION("""COMPUTED_VALUE"""),0.3104745370364981)</f>
        <v>0.310474537</v>
      </c>
      <c r="D12362" s="4">
        <f>IFERROR(__xludf.DUMMYFUNCTION("""COMPUTED_VALUE"""),12.653916)</f>
        <v>12.653916</v>
      </c>
      <c r="E12362" s="4">
        <f>IFERROR(__xludf.DUMMYFUNCTION("""COMPUTED_VALUE"""),79.940029)</f>
        <v>79.940029</v>
      </c>
      <c r="F12362" s="4">
        <f>IFERROR(__xludf.DUMMYFUNCTION("""COMPUTED_VALUE"""),805.0)</f>
        <v>805</v>
      </c>
      <c r="G12362" s="4">
        <f>IFERROR(__xludf.DUMMYFUNCTION("""COMPUTED_VALUE"""),55.0)</f>
        <v>55</v>
      </c>
      <c r="H12362" s="4"/>
      <c r="I12362" s="4"/>
    </row>
    <row r="12363">
      <c r="A12363" s="4" t="str">
        <f>IFERROR(__xludf.DUMMYFUNCTION("""COMPUTED_VALUE"""),"cas_hmw")</f>
        <v>cas_hmw</v>
      </c>
      <c r="B12363" s="5">
        <f>IFERROR(__xludf.DUMMYFUNCTION("""COMPUTED_VALUE"""),44713.0)</f>
        <v>44713</v>
      </c>
      <c r="C12363" s="6">
        <f>IFERROR(__xludf.DUMMYFUNCTION("""COMPUTED_VALUE"""),0.3115277777760639)</f>
        <v>0.3115277778</v>
      </c>
      <c r="D12363" s="4">
        <f>IFERROR(__xludf.DUMMYFUNCTION("""COMPUTED_VALUE"""),12.657813)</f>
        <v>12.657813</v>
      </c>
      <c r="E12363" s="4">
        <f>IFERROR(__xludf.DUMMYFUNCTION("""COMPUTED_VALUE"""),79.941476)</f>
        <v>79.941476</v>
      </c>
      <c r="F12363" s="4">
        <f>IFERROR(__xludf.DUMMYFUNCTION("""COMPUTED_VALUE"""),805.0)</f>
        <v>805</v>
      </c>
      <c r="G12363" s="4">
        <f>IFERROR(__xludf.DUMMYFUNCTION("""COMPUTED_VALUE"""),56.0)</f>
        <v>56</v>
      </c>
      <c r="H12363" s="4"/>
      <c r="I12363" s="4"/>
    </row>
    <row r="12364">
      <c r="A12364" s="4" t="str">
        <f>IFERROR(__xludf.DUMMYFUNCTION("""COMPUTED_VALUE"""),"cas_hmw")</f>
        <v>cas_hmw</v>
      </c>
      <c r="B12364" s="5">
        <f>IFERROR(__xludf.DUMMYFUNCTION("""COMPUTED_VALUE"""),44713.0)</f>
        <v>44713</v>
      </c>
      <c r="C12364" s="6">
        <f>IFERROR(__xludf.DUMMYFUNCTION("""COMPUTED_VALUE"""),0.3119097222224809)</f>
        <v>0.3119097222</v>
      </c>
      <c r="D12364" s="4">
        <f>IFERROR(__xludf.DUMMYFUNCTION("""COMPUTED_VALUE"""),13.05436)</f>
        <v>13.05436</v>
      </c>
      <c r="E12364" s="4">
        <f>IFERROR(__xludf.DUMMYFUNCTION("""COMPUTED_VALUE"""),80.258608)</f>
        <v>80.258608</v>
      </c>
      <c r="F12364" s="4">
        <f>IFERROR(__xludf.DUMMYFUNCTION("""COMPUTED_VALUE"""),2846.0)</f>
        <v>2846</v>
      </c>
      <c r="G12364" s="4">
        <f>IFERROR(__xludf.DUMMYFUNCTION("""COMPUTED_VALUE"""),42.0)</f>
        <v>42</v>
      </c>
      <c r="H12364" s="4"/>
      <c r="I12364" s="4"/>
    </row>
    <row r="12365">
      <c r="A12365" s="4" t="str">
        <f>IFERROR(__xludf.DUMMYFUNCTION("""COMPUTED_VALUE"""),"cas_hmw")</f>
        <v>cas_hmw</v>
      </c>
      <c r="B12365" s="5">
        <f>IFERROR(__xludf.DUMMYFUNCTION("""COMPUTED_VALUE"""),44713.0)</f>
        <v>44713</v>
      </c>
      <c r="C12365" s="6">
        <f>IFERROR(__xludf.DUMMYFUNCTION("""COMPUTED_VALUE"""),0.3120949074072996)</f>
        <v>0.3120949074</v>
      </c>
      <c r="D12365" s="4">
        <f>IFERROR(__xludf.DUMMYFUNCTION("""COMPUTED_VALUE"""),13.054712)</f>
        <v>13.054712</v>
      </c>
      <c r="E12365" s="4">
        <f>IFERROR(__xludf.DUMMYFUNCTION("""COMPUTED_VALUE"""),80.254456)</f>
        <v>80.254456</v>
      </c>
      <c r="F12365" s="4">
        <f>IFERROR(__xludf.DUMMYFUNCTION("""COMPUTED_VALUE"""),2846.0)</f>
        <v>2846</v>
      </c>
      <c r="G12365" s="4">
        <f>IFERROR(__xludf.DUMMYFUNCTION("""COMPUTED_VALUE"""),21.0)</f>
        <v>21</v>
      </c>
      <c r="H12365" s="4"/>
      <c r="I12365" s="4"/>
    </row>
    <row r="12366">
      <c r="A12366" s="4" t="str">
        <f>IFERROR(__xludf.DUMMYFUNCTION("""COMPUTED_VALUE"""),"cas_hmw")</f>
        <v>cas_hmw</v>
      </c>
      <c r="B12366" s="5">
        <f>IFERROR(__xludf.DUMMYFUNCTION("""COMPUTED_VALUE"""),44713.0)</f>
        <v>44713</v>
      </c>
      <c r="C12366" s="6">
        <f>IFERROR(__xludf.DUMMYFUNCTION("""COMPUTED_VALUE"""),0.31218749999970896)</f>
        <v>0.3121875</v>
      </c>
      <c r="D12366" s="4">
        <f>IFERROR(__xludf.DUMMYFUNCTION("""COMPUTED_VALUE"""),13.053204)</f>
        <v>13.053204</v>
      </c>
      <c r="E12366" s="4">
        <f>IFERROR(__xludf.DUMMYFUNCTION("""COMPUTED_VALUE"""),80.252145)</f>
        <v>80.252145</v>
      </c>
      <c r="F12366" s="4">
        <f>IFERROR(__xludf.DUMMYFUNCTION("""COMPUTED_VALUE"""),2846.0)</f>
        <v>2846</v>
      </c>
      <c r="G12366" s="4">
        <f>IFERROR(__xludf.DUMMYFUNCTION("""COMPUTED_VALUE"""),46.0)</f>
        <v>46</v>
      </c>
      <c r="H12366" s="4"/>
      <c r="I12366" s="4"/>
    </row>
    <row r="12367">
      <c r="A12367" s="4" t="str">
        <f>IFERROR(__xludf.DUMMYFUNCTION("""COMPUTED_VALUE"""),"cas_hmw")</f>
        <v>cas_hmw</v>
      </c>
      <c r="B12367" s="5">
        <f>IFERROR(__xludf.DUMMYFUNCTION("""COMPUTED_VALUE"""),44713.0)</f>
        <v>44713</v>
      </c>
      <c r="C12367" s="6">
        <f>IFERROR(__xludf.DUMMYFUNCTION("""COMPUTED_VALUE"""),0.31440972222117125)</f>
        <v>0.3144097222</v>
      </c>
      <c r="D12367" s="4">
        <f>IFERROR(__xludf.DUMMYFUNCTION("""COMPUTED_VALUE"""),13.040589)</f>
        <v>13.040589</v>
      </c>
      <c r="E12367" s="4">
        <f>IFERROR(__xludf.DUMMYFUNCTION("""COMPUTED_VALUE"""),80.24727)</f>
        <v>80.24727</v>
      </c>
      <c r="F12367" s="4">
        <f>IFERROR(__xludf.DUMMYFUNCTION("""COMPUTED_VALUE"""),2846.0)</f>
        <v>2846</v>
      </c>
      <c r="G12367" s="4">
        <f>IFERROR(__xludf.DUMMYFUNCTION("""COMPUTED_VALUE"""),34.0)</f>
        <v>34</v>
      </c>
      <c r="H12367" s="4"/>
      <c r="I12367" s="4"/>
    </row>
    <row r="12368">
      <c r="A12368" s="4" t="str">
        <f>IFERROR(__xludf.DUMMYFUNCTION("""COMPUTED_VALUE"""),"cas_hmw")</f>
        <v>cas_hmw</v>
      </c>
      <c r="B12368" s="5">
        <f>IFERROR(__xludf.DUMMYFUNCTION("""COMPUTED_VALUE"""),44713.0)</f>
        <v>44713</v>
      </c>
      <c r="C12368" s="6">
        <f>IFERROR(__xludf.DUMMYFUNCTION("""COMPUTED_VALUE"""),0.3145023148135806)</f>
        <v>0.3145023148</v>
      </c>
      <c r="D12368" s="4">
        <f>IFERROR(__xludf.DUMMYFUNCTION("""COMPUTED_VALUE"""),13.03978)</f>
        <v>13.03978</v>
      </c>
      <c r="E12368" s="4">
        <f>IFERROR(__xludf.DUMMYFUNCTION("""COMPUTED_VALUE"""),80.247116)</f>
        <v>80.247116</v>
      </c>
      <c r="F12368" s="4">
        <f>IFERROR(__xludf.DUMMYFUNCTION("""COMPUTED_VALUE"""),2846.0)</f>
        <v>2846</v>
      </c>
      <c r="G12368" s="4">
        <f>IFERROR(__xludf.DUMMYFUNCTION("""COMPUTED_VALUE"""),29.0)</f>
        <v>29</v>
      </c>
      <c r="H12368" s="4"/>
      <c r="I12368" s="4"/>
    </row>
    <row r="12369">
      <c r="A12369" s="4" t="str">
        <f>IFERROR(__xludf.DUMMYFUNCTION("""COMPUTED_VALUE"""),"cas_hmw")</f>
        <v>cas_hmw</v>
      </c>
      <c r="B12369" s="5">
        <f>IFERROR(__xludf.DUMMYFUNCTION("""COMPUTED_VALUE"""),44713.0)</f>
        <v>44713</v>
      </c>
      <c r="C12369" s="6">
        <f>IFERROR(__xludf.DUMMYFUNCTION("""COMPUTED_VALUE"""),0.3145601851865649)</f>
        <v>0.3145601852</v>
      </c>
      <c r="D12369" s="4">
        <f>IFERROR(__xludf.DUMMYFUNCTION("""COMPUTED_VALUE"""),13.03978)</f>
        <v>13.03978</v>
      </c>
      <c r="E12369" s="4">
        <f>IFERROR(__xludf.DUMMYFUNCTION("""COMPUTED_VALUE"""),80.247116)</f>
        <v>80.247116</v>
      </c>
      <c r="F12369" s="4">
        <f>IFERROR(__xludf.DUMMYFUNCTION("""COMPUTED_VALUE"""),2846.0)</f>
        <v>2846</v>
      </c>
      <c r="G12369" s="4">
        <f>IFERROR(__xludf.DUMMYFUNCTION("""COMPUTED_VALUE"""),29.0)</f>
        <v>29</v>
      </c>
      <c r="H12369" s="4"/>
      <c r="I12369" s="4"/>
    </row>
    <row r="12370">
      <c r="A12370" s="4" t="str">
        <f>IFERROR(__xludf.DUMMYFUNCTION("""COMPUTED_VALUE"""),"cas_hmw")</f>
        <v>cas_hmw</v>
      </c>
      <c r="B12370" s="5">
        <f>IFERROR(__xludf.DUMMYFUNCTION("""COMPUTED_VALUE"""),44713.0)</f>
        <v>44713</v>
      </c>
      <c r="C12370" s="6">
        <f>IFERROR(__xludf.DUMMYFUNCTION("""COMPUTED_VALUE"""),0.3151967592602887)</f>
        <v>0.3151967593</v>
      </c>
      <c r="D12370" s="4">
        <f>IFERROR(__xludf.DUMMYFUNCTION("""COMPUTED_VALUE"""),13.034943)</f>
        <v>13.034943</v>
      </c>
      <c r="E12370" s="4">
        <f>IFERROR(__xludf.DUMMYFUNCTION("""COMPUTED_VALUE"""),80.245836)</f>
        <v>80.245836</v>
      </c>
      <c r="F12370" s="4">
        <f>IFERROR(__xludf.DUMMYFUNCTION("""COMPUTED_VALUE"""),2846.0)</f>
        <v>2846</v>
      </c>
      <c r="G12370" s="4">
        <f>IFERROR(__xludf.DUMMYFUNCTION("""COMPUTED_VALUE"""),18.0)</f>
        <v>18</v>
      </c>
      <c r="H12370" s="4"/>
      <c r="I12370" s="4"/>
    </row>
    <row r="12371">
      <c r="A12371" s="4" t="str">
        <f>IFERROR(__xludf.DUMMYFUNCTION("""COMPUTED_VALUE"""),"cas_hmw")</f>
        <v>cas_hmw</v>
      </c>
      <c r="B12371" s="5">
        <f>IFERROR(__xludf.DUMMYFUNCTION("""COMPUTED_VALUE"""),44713.0)</f>
        <v>44713</v>
      </c>
      <c r="C12371" s="6">
        <f>IFERROR(__xludf.DUMMYFUNCTION("""COMPUTED_VALUE"""),0.3173379629624833)</f>
        <v>0.317337963</v>
      </c>
      <c r="D12371" s="4">
        <f>IFERROR(__xludf.DUMMYFUNCTION("""COMPUTED_VALUE"""),13.026211)</f>
        <v>13.026211</v>
      </c>
      <c r="E12371" s="4">
        <f>IFERROR(__xludf.DUMMYFUNCTION("""COMPUTED_VALUE"""),80.232366)</f>
        <v>80.232366</v>
      </c>
      <c r="F12371" s="4">
        <f>IFERROR(__xludf.DUMMYFUNCTION("""COMPUTED_VALUE"""),2846.0)</f>
        <v>2846</v>
      </c>
      <c r="G12371" s="4">
        <f>IFERROR(__xludf.DUMMYFUNCTION("""COMPUTED_VALUE"""),18.0)</f>
        <v>18</v>
      </c>
      <c r="H12371" s="4"/>
      <c r="I12371" s="4"/>
    </row>
    <row r="12372">
      <c r="A12372" s="4" t="str">
        <f>IFERROR(__xludf.DUMMYFUNCTION("""COMPUTED_VALUE"""),"cas_hmw")</f>
        <v>cas_hmw</v>
      </c>
      <c r="B12372" s="5">
        <f>IFERROR(__xludf.DUMMYFUNCTION("""COMPUTED_VALUE"""),44713.0)</f>
        <v>44713</v>
      </c>
      <c r="C12372" s="6">
        <f>IFERROR(__xludf.DUMMYFUNCTION("""COMPUTED_VALUE"""),0.3181018518516794)</f>
        <v>0.3181018519</v>
      </c>
      <c r="D12372" s="4">
        <f>IFERROR(__xludf.DUMMYFUNCTION("""COMPUTED_VALUE"""),13.02456)</f>
        <v>13.02456</v>
      </c>
      <c r="E12372" s="4">
        <f>IFERROR(__xludf.DUMMYFUNCTION("""COMPUTED_VALUE"""),80.22893)</f>
        <v>80.22893</v>
      </c>
      <c r="F12372" s="4">
        <f>IFERROR(__xludf.DUMMYFUNCTION("""COMPUTED_VALUE"""),2846.0)</f>
        <v>2846</v>
      </c>
      <c r="G12372" s="4">
        <f>IFERROR(__xludf.DUMMYFUNCTION("""COMPUTED_VALUE"""),24.0)</f>
        <v>24</v>
      </c>
      <c r="H12372" s="4"/>
      <c r="I12372" s="4"/>
    </row>
    <row r="12373">
      <c r="A12373" s="4" t="str">
        <f>IFERROR(__xludf.DUMMYFUNCTION("""COMPUTED_VALUE"""),"cas_hmw")</f>
        <v>cas_hmw</v>
      </c>
      <c r="B12373" s="5">
        <f>IFERROR(__xludf.DUMMYFUNCTION("""COMPUTED_VALUE"""),44713.0)</f>
        <v>44713</v>
      </c>
      <c r="C12373" s="6">
        <f>IFERROR(__xludf.DUMMYFUNCTION("""COMPUTED_VALUE"""),0.3184837962980964)</f>
        <v>0.3184837963</v>
      </c>
      <c r="D12373" s="4">
        <f>IFERROR(__xludf.DUMMYFUNCTION("""COMPUTED_VALUE"""),13.023507)</f>
        <v>13.023507</v>
      </c>
      <c r="E12373" s="4">
        <f>IFERROR(__xludf.DUMMYFUNCTION("""COMPUTED_VALUE"""),80.227613)</f>
        <v>80.227613</v>
      </c>
      <c r="F12373" s="4">
        <f>IFERROR(__xludf.DUMMYFUNCTION("""COMPUTED_VALUE"""),2846.0)</f>
        <v>2846</v>
      </c>
      <c r="G12373" s="4">
        <f>IFERROR(__xludf.DUMMYFUNCTION("""COMPUTED_VALUE"""),36.0)</f>
        <v>36</v>
      </c>
      <c r="H12373" s="4"/>
      <c r="I12373" s="4"/>
    </row>
    <row r="12374">
      <c r="A12374" s="4" t="str">
        <f>IFERROR(__xludf.DUMMYFUNCTION("""COMPUTED_VALUE"""),"cas_hmw")</f>
        <v>cas_hmw</v>
      </c>
      <c r="B12374" s="5">
        <f>IFERROR(__xludf.DUMMYFUNCTION("""COMPUTED_VALUE"""),44713.0)</f>
        <v>44713</v>
      </c>
      <c r="C12374" s="6">
        <f>IFERROR(__xludf.DUMMYFUNCTION("""COMPUTED_VALUE"""),0.31857638889050577)</f>
        <v>0.3185763889</v>
      </c>
      <c r="D12374" s="4">
        <f>IFERROR(__xludf.DUMMYFUNCTION("""COMPUTED_VALUE"""),13.022054)</f>
        <v>13.022054</v>
      </c>
      <c r="E12374" s="4">
        <f>IFERROR(__xludf.DUMMYFUNCTION("""COMPUTED_VALUE"""),80.226318)</f>
        <v>80.226318</v>
      </c>
      <c r="F12374" s="4">
        <f>IFERROR(__xludf.DUMMYFUNCTION("""COMPUTED_VALUE"""),2846.0)</f>
        <v>2846</v>
      </c>
      <c r="G12374" s="4">
        <f>IFERROR(__xludf.DUMMYFUNCTION("""COMPUTED_VALUE"""),37.0)</f>
        <v>37</v>
      </c>
      <c r="H12374" s="4"/>
      <c r="I12374" s="4"/>
    </row>
    <row r="12375">
      <c r="A12375" s="4" t="str">
        <f>IFERROR(__xludf.DUMMYFUNCTION("""COMPUTED_VALUE"""),"cas_hmw")</f>
        <v>cas_hmw</v>
      </c>
      <c r="B12375" s="5">
        <f>IFERROR(__xludf.DUMMYFUNCTION("""COMPUTED_VALUE"""),44713.0)</f>
        <v>44713</v>
      </c>
      <c r="C12375" s="6">
        <f>IFERROR(__xludf.DUMMYFUNCTION("""COMPUTED_VALUE"""),0.31869212962919846)</f>
        <v>0.3186921296</v>
      </c>
      <c r="D12375" s="4">
        <f>IFERROR(__xludf.DUMMYFUNCTION("""COMPUTED_VALUE"""),13.021284)</f>
        <v>13.021284</v>
      </c>
      <c r="E12375" s="4">
        <f>IFERROR(__xludf.DUMMYFUNCTION("""COMPUTED_VALUE"""),80.225772)</f>
        <v>80.225772</v>
      </c>
      <c r="F12375" s="4">
        <f>IFERROR(__xludf.DUMMYFUNCTION("""COMPUTED_VALUE"""),2846.0)</f>
        <v>2846</v>
      </c>
      <c r="G12375" s="4">
        <f>IFERROR(__xludf.DUMMYFUNCTION("""COMPUTED_VALUE"""),34.0)</f>
        <v>34</v>
      </c>
      <c r="H12375" s="4"/>
      <c r="I12375" s="4"/>
    </row>
    <row r="12376">
      <c r="A12376" s="4" t="str">
        <f>IFERROR(__xludf.DUMMYFUNCTION("""COMPUTED_VALUE"""),"cas_hmw")</f>
        <v>cas_hmw</v>
      </c>
      <c r="B12376" s="5">
        <f>IFERROR(__xludf.DUMMYFUNCTION("""COMPUTED_VALUE"""),44713.0)</f>
        <v>44713</v>
      </c>
      <c r="C12376" s="6">
        <f>IFERROR(__xludf.DUMMYFUNCTION("""COMPUTED_VALUE"""),0.3208564814813144)</f>
        <v>0.3208564815</v>
      </c>
      <c r="D12376" s="4">
        <f>IFERROR(__xludf.DUMMYFUNCTION("""COMPUTED_VALUE"""),13.012879)</f>
        <v>13.012879</v>
      </c>
      <c r="E12376" s="4">
        <f>IFERROR(__xludf.DUMMYFUNCTION("""COMPUTED_VALUE"""),80.226848)</f>
        <v>80.226848</v>
      </c>
      <c r="F12376" s="4">
        <f>IFERROR(__xludf.DUMMYFUNCTION("""COMPUTED_VALUE"""),2846.0)</f>
        <v>2846</v>
      </c>
      <c r="G12376" s="4">
        <f>IFERROR(__xludf.DUMMYFUNCTION("""COMPUTED_VALUE"""),44.0)</f>
        <v>44</v>
      </c>
      <c r="H12376" s="4"/>
      <c r="I12376" s="4"/>
    </row>
    <row r="12377">
      <c r="A12377" s="4" t="str">
        <f>IFERROR(__xludf.DUMMYFUNCTION("""COMPUTED_VALUE"""),"cas_hmw")</f>
        <v>cas_hmw</v>
      </c>
      <c r="B12377" s="5">
        <f>IFERROR(__xludf.DUMMYFUNCTION("""COMPUTED_VALUE"""),44713.0)</f>
        <v>44713</v>
      </c>
      <c r="C12377" s="6">
        <f>IFERROR(__xludf.DUMMYFUNCTION("""COMPUTED_VALUE"""),0.3211921296278888)</f>
        <v>0.3211921296</v>
      </c>
      <c r="D12377" s="4">
        <f>IFERROR(__xludf.DUMMYFUNCTION("""COMPUTED_VALUE"""),13.009793)</f>
        <v>13.009793</v>
      </c>
      <c r="E12377" s="4">
        <f>IFERROR(__xludf.DUMMYFUNCTION("""COMPUTED_VALUE"""),80.226996)</f>
        <v>80.226996</v>
      </c>
      <c r="F12377" s="4">
        <f>IFERROR(__xludf.DUMMYFUNCTION("""COMPUTED_VALUE"""),2846.0)</f>
        <v>2846</v>
      </c>
      <c r="G12377" s="4">
        <f>IFERROR(__xludf.DUMMYFUNCTION("""COMPUTED_VALUE"""),39.0)</f>
        <v>39</v>
      </c>
      <c r="H12377" s="4"/>
      <c r="I12377" s="4"/>
    </row>
    <row r="12378">
      <c r="A12378" s="4" t="str">
        <f>IFERROR(__xludf.DUMMYFUNCTION("""COMPUTED_VALUE"""),"cas_hmw")</f>
        <v>cas_hmw</v>
      </c>
      <c r="B12378" s="5">
        <f>IFERROR(__xludf.DUMMYFUNCTION("""COMPUTED_VALUE"""),44713.0)</f>
        <v>44713</v>
      </c>
      <c r="C12378" s="6">
        <f>IFERROR(__xludf.DUMMYFUNCTION("""COMPUTED_VALUE"""),0.32193287037080154)</f>
        <v>0.3219328704</v>
      </c>
      <c r="D12378" s="4">
        <f>IFERROR(__xludf.DUMMYFUNCTION("""COMPUTED_VALUE"""),13.011305)</f>
        <v>13.011305</v>
      </c>
      <c r="E12378" s="4">
        <f>IFERROR(__xludf.DUMMYFUNCTION("""COMPUTED_VALUE"""),80.223556)</f>
        <v>80.223556</v>
      </c>
      <c r="F12378" s="4">
        <f>IFERROR(__xludf.DUMMYFUNCTION("""COMPUTED_VALUE"""),2846.0)</f>
        <v>2846</v>
      </c>
      <c r="G12378" s="4">
        <f>IFERROR(__xludf.DUMMYFUNCTION("""COMPUTED_VALUE"""),10.0)</f>
        <v>10</v>
      </c>
      <c r="H12378" s="4"/>
      <c r="I12378" s="4"/>
    </row>
    <row r="12379">
      <c r="A12379" s="4" t="str">
        <f>IFERROR(__xludf.DUMMYFUNCTION("""COMPUTED_VALUE"""),"cas_hmw")</f>
        <v>cas_hmw</v>
      </c>
      <c r="B12379" s="5">
        <f>IFERROR(__xludf.DUMMYFUNCTION("""COMPUTED_VALUE"""),44713.0)</f>
        <v>44713</v>
      </c>
      <c r="C12379" s="6">
        <f>IFERROR(__xludf.DUMMYFUNCTION("""COMPUTED_VALUE"""),0.3221296296287619)</f>
        <v>0.3221296296</v>
      </c>
      <c r="D12379" s="4">
        <f>IFERROR(__xludf.DUMMYFUNCTION("""COMPUTED_VALUE"""),13.011501)</f>
        <v>13.011501</v>
      </c>
      <c r="E12379" s="4">
        <f>IFERROR(__xludf.DUMMYFUNCTION("""COMPUTED_VALUE"""),80.223093)</f>
        <v>80.223093</v>
      </c>
      <c r="F12379" s="4">
        <f>IFERROR(__xludf.DUMMYFUNCTION("""COMPUTED_VALUE"""),2846.0)</f>
        <v>2846</v>
      </c>
      <c r="G12379" s="4">
        <f>IFERROR(__xludf.DUMMYFUNCTION("""COMPUTED_VALUE"""),29.0)</f>
        <v>29</v>
      </c>
      <c r="H12379" s="4"/>
      <c r="I12379" s="4"/>
    </row>
    <row r="12380">
      <c r="A12380" s="4" t="str">
        <f>IFERROR(__xludf.DUMMYFUNCTION("""COMPUTED_VALUE"""),"cas_hmw")</f>
        <v>cas_hmw</v>
      </c>
      <c r="B12380" s="5">
        <f>IFERROR(__xludf.DUMMYFUNCTION("""COMPUTED_VALUE"""),44713.0)</f>
        <v>44713</v>
      </c>
      <c r="C12380" s="6">
        <f>IFERROR(__xludf.DUMMYFUNCTION("""COMPUTED_VALUE"""),0.32349537036861875)</f>
        <v>0.3234953704</v>
      </c>
      <c r="D12380" s="4">
        <f>IFERROR(__xludf.DUMMYFUNCTION("""COMPUTED_VALUE"""),12.697702)</f>
        <v>12.697702</v>
      </c>
      <c r="E12380" s="4">
        <f>IFERROR(__xludf.DUMMYFUNCTION("""COMPUTED_VALUE"""),79.976182)</f>
        <v>79.976182</v>
      </c>
      <c r="F12380" s="4">
        <f>IFERROR(__xludf.DUMMYFUNCTION("""COMPUTED_VALUE"""),805.0)</f>
        <v>805</v>
      </c>
      <c r="G12380" s="4">
        <f>IFERROR(__xludf.DUMMYFUNCTION("""COMPUTED_VALUE"""),17.0)</f>
        <v>17</v>
      </c>
      <c r="H12380" s="4"/>
      <c r="I12380" s="4"/>
    </row>
    <row r="12381">
      <c r="A12381" s="4" t="str">
        <f>IFERROR(__xludf.DUMMYFUNCTION("""COMPUTED_VALUE"""),"cas_hmw")</f>
        <v>cas_hmw</v>
      </c>
      <c r="B12381" s="5">
        <f>IFERROR(__xludf.DUMMYFUNCTION("""COMPUTED_VALUE"""),44713.0)</f>
        <v>44713</v>
      </c>
      <c r="C12381" s="6">
        <f>IFERROR(__xludf.DUMMYFUNCTION("""COMPUTED_VALUE"""),0.32353009259168175)</f>
        <v>0.3235300926</v>
      </c>
      <c r="D12381" s="4">
        <f>IFERROR(__xludf.DUMMYFUNCTION("""COMPUTED_VALUE"""),13.010958)</f>
        <v>13.010958</v>
      </c>
      <c r="E12381" s="4">
        <f>IFERROR(__xludf.DUMMYFUNCTION("""COMPUTED_VALUE"""),80.217332)</f>
        <v>80.217332</v>
      </c>
      <c r="F12381" s="4">
        <f>IFERROR(__xludf.DUMMYFUNCTION("""COMPUTED_VALUE"""),2846.0)</f>
        <v>2846</v>
      </c>
      <c r="G12381" s="4">
        <f>IFERROR(__xludf.DUMMYFUNCTION("""COMPUTED_VALUE"""),52.0)</f>
        <v>52</v>
      </c>
      <c r="H12381" s="4"/>
      <c r="I12381" s="4"/>
    </row>
    <row r="12382">
      <c r="A12382" s="4" t="str">
        <f>IFERROR(__xludf.DUMMYFUNCTION("""COMPUTED_VALUE"""),"cas_hmw")</f>
        <v>cas_hmw</v>
      </c>
      <c r="B12382" s="5">
        <f>IFERROR(__xludf.DUMMYFUNCTION("""COMPUTED_VALUE"""),44713.0)</f>
        <v>44713</v>
      </c>
      <c r="C12382" s="6">
        <f>IFERROR(__xludf.DUMMYFUNCTION("""COMPUTED_VALUE"""),0.32454861111182254)</f>
        <v>0.3245486111</v>
      </c>
      <c r="D12382" s="4">
        <f>IFERROR(__xludf.DUMMYFUNCTION("""COMPUTED_VALUE"""),13.010101)</f>
        <v>13.010101</v>
      </c>
      <c r="E12382" s="4">
        <f>IFERROR(__xludf.DUMMYFUNCTION("""COMPUTED_VALUE"""),80.214912)</f>
        <v>80.214912</v>
      </c>
      <c r="F12382" s="4">
        <f>IFERROR(__xludf.DUMMYFUNCTION("""COMPUTED_VALUE"""),2846.0)</f>
        <v>2846</v>
      </c>
      <c r="G12382" s="4">
        <f>IFERROR(__xludf.DUMMYFUNCTION("""COMPUTED_VALUE"""),51.0)</f>
        <v>51</v>
      </c>
      <c r="H12382" s="4"/>
      <c r="I12382" s="4"/>
    </row>
    <row r="12383">
      <c r="A12383" s="4" t="str">
        <f>IFERROR(__xludf.DUMMYFUNCTION("""COMPUTED_VALUE"""),"cas_hmw")</f>
        <v>cas_hmw</v>
      </c>
      <c r="B12383" s="5">
        <f>IFERROR(__xludf.DUMMYFUNCTION("""COMPUTED_VALUE"""),44713.0)</f>
        <v>44713</v>
      </c>
      <c r="C12383" s="6">
        <f>IFERROR(__xludf.DUMMYFUNCTION("""COMPUTED_VALUE"""),0.32461805555431056)</f>
        <v>0.3246180556</v>
      </c>
      <c r="D12383" s="4">
        <f>IFERROR(__xludf.DUMMYFUNCTION("""COMPUTED_VALUE"""),13.009668)</f>
        <v>13.009668</v>
      </c>
      <c r="E12383" s="4">
        <f>IFERROR(__xludf.DUMMYFUNCTION("""COMPUTED_VALUE"""),80.2136)</f>
        <v>80.2136</v>
      </c>
      <c r="F12383" s="4">
        <f>IFERROR(__xludf.DUMMYFUNCTION("""COMPUTED_VALUE"""),2846.0)</f>
        <v>2846</v>
      </c>
      <c r="G12383" s="4">
        <f>IFERROR(__xludf.DUMMYFUNCTION("""COMPUTED_VALUE"""),55.0)</f>
        <v>55</v>
      </c>
      <c r="H12383" s="4"/>
      <c r="I12383" s="4"/>
    </row>
    <row r="12384">
      <c r="A12384" s="4" t="str">
        <f>IFERROR(__xludf.DUMMYFUNCTION("""COMPUTED_VALUE"""),"cas_hmw")</f>
        <v>cas_hmw</v>
      </c>
      <c r="B12384" s="5">
        <f>IFERROR(__xludf.DUMMYFUNCTION("""COMPUTED_VALUE"""),44713.0)</f>
        <v>44713</v>
      </c>
      <c r="C12384" s="6">
        <f>IFERROR(__xludf.DUMMYFUNCTION("""COMPUTED_VALUE"""),0.3246759259272949)</f>
        <v>0.3246759259</v>
      </c>
      <c r="D12384" s="4">
        <f>IFERROR(__xludf.DUMMYFUNCTION("""COMPUTED_VALUE"""),13.009668)</f>
        <v>13.009668</v>
      </c>
      <c r="E12384" s="4">
        <f>IFERROR(__xludf.DUMMYFUNCTION("""COMPUTED_VALUE"""),80.2136)</f>
        <v>80.2136</v>
      </c>
      <c r="F12384" s="4">
        <f>IFERROR(__xludf.DUMMYFUNCTION("""COMPUTED_VALUE"""),2846.0)</f>
        <v>2846</v>
      </c>
      <c r="G12384" s="4">
        <f>IFERROR(__xludf.DUMMYFUNCTION("""COMPUTED_VALUE"""),55.0)</f>
        <v>55</v>
      </c>
      <c r="H12384" s="4"/>
      <c r="I12384" s="4"/>
    </row>
    <row r="12385">
      <c r="A12385" s="4" t="str">
        <f>IFERROR(__xludf.DUMMYFUNCTION("""COMPUTED_VALUE"""),"cas_hmw")</f>
        <v>cas_hmw</v>
      </c>
      <c r="B12385" s="5">
        <f>IFERROR(__xludf.DUMMYFUNCTION("""COMPUTED_VALUE"""),44713.0)</f>
        <v>44713</v>
      </c>
      <c r="C12385" s="6">
        <f>IFERROR(__xludf.DUMMYFUNCTION("""COMPUTED_VALUE"""),0.32561342592453)</f>
        <v>0.3256134259</v>
      </c>
      <c r="D12385" s="4">
        <f>IFERROR(__xludf.DUMMYFUNCTION("""COMPUTED_VALUE"""),13.008908)</f>
        <v>13.008908</v>
      </c>
      <c r="E12385" s="4">
        <f>IFERROR(__xludf.DUMMYFUNCTION("""COMPUTED_VALUE"""),80.211645)</f>
        <v>80.211645</v>
      </c>
      <c r="F12385" s="4">
        <f>IFERROR(__xludf.DUMMYFUNCTION("""COMPUTED_VALUE"""),2846.0)</f>
        <v>2846</v>
      </c>
      <c r="G12385" s="4">
        <f>IFERROR(__xludf.DUMMYFUNCTION("""COMPUTED_VALUE"""),28.0)</f>
        <v>28</v>
      </c>
      <c r="H12385" s="4"/>
      <c r="I12385" s="4"/>
    </row>
    <row r="12386">
      <c r="A12386" s="4" t="str">
        <f>IFERROR(__xludf.DUMMYFUNCTION("""COMPUTED_VALUE"""),"cas_hmw")</f>
        <v>cas_hmw</v>
      </c>
      <c r="B12386" s="5">
        <f>IFERROR(__xludf.DUMMYFUNCTION("""COMPUTED_VALUE"""),44713.0)</f>
        <v>44713</v>
      </c>
      <c r="C12386" s="6">
        <f>IFERROR(__xludf.DUMMYFUNCTION("""COMPUTED_VALUE"""),0.32578703703620704)</f>
        <v>0.325787037</v>
      </c>
      <c r="D12386" s="4">
        <f>IFERROR(__xludf.DUMMYFUNCTION("""COMPUTED_VALUE"""),12.697522)</f>
        <v>12.697522</v>
      </c>
      <c r="E12386" s="4">
        <f>IFERROR(__xludf.DUMMYFUNCTION("""COMPUTED_VALUE"""),79.971618)</f>
        <v>79.971618</v>
      </c>
      <c r="F12386" s="4">
        <f>IFERROR(__xludf.DUMMYFUNCTION("""COMPUTED_VALUE"""),805.0)</f>
        <v>805</v>
      </c>
      <c r="G12386" s="4">
        <f>IFERROR(__xludf.DUMMYFUNCTION("""COMPUTED_VALUE"""),0.0)</f>
        <v>0</v>
      </c>
      <c r="H12386" s="4"/>
      <c r="I12386" s="4"/>
    </row>
    <row r="12387">
      <c r="A12387" s="4" t="str">
        <f>IFERROR(__xludf.DUMMYFUNCTION("""COMPUTED_VALUE"""),"cas_hmw")</f>
        <v>cas_hmw</v>
      </c>
      <c r="B12387" s="5">
        <f>IFERROR(__xludf.DUMMYFUNCTION("""COMPUTED_VALUE"""),44713.0)</f>
        <v>44713</v>
      </c>
      <c r="C12387" s="6">
        <f>IFERROR(__xludf.DUMMYFUNCTION("""COMPUTED_VALUE"""),0.32711805555663886)</f>
        <v>0.3271180556</v>
      </c>
      <c r="D12387" s="4">
        <f>IFERROR(__xludf.DUMMYFUNCTION("""COMPUTED_VALUE"""),13.003073)</f>
        <v>13.003073</v>
      </c>
      <c r="E12387" s="4">
        <f>IFERROR(__xludf.DUMMYFUNCTION("""COMPUTED_VALUE"""),80.200804)</f>
        <v>80.200804</v>
      </c>
      <c r="F12387" s="4">
        <f>IFERROR(__xludf.DUMMYFUNCTION("""COMPUTED_VALUE"""),2846.0)</f>
        <v>2846</v>
      </c>
      <c r="G12387" s="4">
        <f>IFERROR(__xludf.DUMMYFUNCTION("""COMPUTED_VALUE"""),42.0)</f>
        <v>42</v>
      </c>
      <c r="H12387" s="4"/>
      <c r="I12387" s="4"/>
    </row>
    <row r="12388">
      <c r="A12388" s="4" t="str">
        <f>IFERROR(__xludf.DUMMYFUNCTION("""COMPUTED_VALUE"""),"cas_hmw")</f>
        <v>cas_hmw</v>
      </c>
      <c r="B12388" s="5">
        <f>IFERROR(__xludf.DUMMYFUNCTION("""COMPUTED_VALUE"""),44713.0)</f>
        <v>44713</v>
      </c>
      <c r="C12388" s="6">
        <f>IFERROR(__xludf.DUMMYFUNCTION("""COMPUTED_VALUE"""),0.3272222222221899)</f>
        <v>0.3272222222</v>
      </c>
      <c r="D12388" s="4">
        <f>IFERROR(__xludf.DUMMYFUNCTION("""COMPUTED_VALUE"""),13.000922)</f>
        <v>13.000922</v>
      </c>
      <c r="E12388" s="4">
        <f>IFERROR(__xludf.DUMMYFUNCTION("""COMPUTED_VALUE"""),80.195361)</f>
        <v>80.195361</v>
      </c>
      <c r="F12388" s="4">
        <f>IFERROR(__xludf.DUMMYFUNCTION("""COMPUTED_VALUE"""),2846.0)</f>
        <v>2846</v>
      </c>
      <c r="G12388" s="4">
        <f>IFERROR(__xludf.DUMMYFUNCTION("""COMPUTED_VALUE"""),34.0)</f>
        <v>34</v>
      </c>
      <c r="H12388" s="4"/>
      <c r="I12388" s="4"/>
    </row>
    <row r="12389">
      <c r="A12389" s="4" t="str">
        <f>IFERROR(__xludf.DUMMYFUNCTION("""COMPUTED_VALUE"""),"cas_hmw")</f>
        <v>cas_hmw</v>
      </c>
      <c r="B12389" s="5">
        <f>IFERROR(__xludf.DUMMYFUNCTION("""COMPUTED_VALUE"""),44713.0)</f>
        <v>44713</v>
      </c>
      <c r="C12389" s="6">
        <f>IFERROR(__xludf.DUMMYFUNCTION("""COMPUTED_VALUE"""),0.3275810185186856)</f>
        <v>0.3275810185</v>
      </c>
      <c r="D12389" s="4">
        <f>IFERROR(__xludf.DUMMYFUNCTION("""COMPUTED_VALUE"""),12.71422)</f>
        <v>12.71422</v>
      </c>
      <c r="E12389" s="4">
        <f>IFERROR(__xludf.DUMMYFUNCTION("""COMPUTED_VALUE"""),79.98012)</f>
        <v>79.98012</v>
      </c>
      <c r="F12389" s="4">
        <f>IFERROR(__xludf.DUMMYFUNCTION("""COMPUTED_VALUE"""),805.0)</f>
        <v>805</v>
      </c>
      <c r="G12389" s="4">
        <f>IFERROR(__xludf.DUMMYFUNCTION("""COMPUTED_VALUE"""),46.0)</f>
        <v>46</v>
      </c>
      <c r="H12389" s="4"/>
      <c r="I12389" s="4"/>
    </row>
    <row r="12390">
      <c r="A12390" s="4" t="str">
        <f>IFERROR(__xludf.DUMMYFUNCTION("""COMPUTED_VALUE"""),"cas_hmw")</f>
        <v>cas_hmw</v>
      </c>
      <c r="B12390" s="5">
        <f>IFERROR(__xludf.DUMMYFUNCTION("""COMPUTED_VALUE"""),44713.0)</f>
        <v>44713</v>
      </c>
      <c r="C12390" s="6">
        <f>IFERROR(__xludf.DUMMYFUNCTION("""COMPUTED_VALUE"""),0.32865740740817273)</f>
        <v>0.3286574074</v>
      </c>
      <c r="D12390" s="4">
        <f>IFERROR(__xludf.DUMMYFUNCTION("""COMPUTED_VALUE"""),12.989675)</f>
        <v>12.989675</v>
      </c>
      <c r="E12390" s="4">
        <f>IFERROR(__xludf.DUMMYFUNCTION("""COMPUTED_VALUE"""),80.179192)</f>
        <v>80.179192</v>
      </c>
      <c r="F12390" s="4">
        <f>IFERROR(__xludf.DUMMYFUNCTION("""COMPUTED_VALUE"""),2846.0)</f>
        <v>2846</v>
      </c>
      <c r="G12390" s="4">
        <f>IFERROR(__xludf.DUMMYFUNCTION("""COMPUTED_VALUE"""),0.0)</f>
        <v>0</v>
      </c>
      <c r="H12390" s="4"/>
      <c r="I12390" s="4"/>
    </row>
    <row r="12391">
      <c r="A12391" s="4" t="str">
        <f>IFERROR(__xludf.DUMMYFUNCTION("""COMPUTED_VALUE"""),"cas_hmw")</f>
        <v>cas_hmw</v>
      </c>
      <c r="B12391" s="5">
        <f>IFERROR(__xludf.DUMMYFUNCTION("""COMPUTED_VALUE"""),44713.0)</f>
        <v>44713</v>
      </c>
      <c r="C12391" s="6">
        <f>IFERROR(__xludf.DUMMYFUNCTION("""COMPUTED_VALUE"""),0.3290740740740148)</f>
        <v>0.3290740741</v>
      </c>
      <c r="D12391" s="4">
        <f>IFERROR(__xludf.DUMMYFUNCTION("""COMPUTED_VALUE"""),12.729431)</f>
        <v>12.729431</v>
      </c>
      <c r="E12391" s="4">
        <f>IFERROR(__xludf.DUMMYFUNCTION("""COMPUTED_VALUE"""),79.98269)</f>
        <v>79.98269</v>
      </c>
      <c r="F12391" s="4">
        <f>IFERROR(__xludf.DUMMYFUNCTION("""COMPUTED_VALUE"""),805.0)</f>
        <v>805</v>
      </c>
      <c r="G12391" s="4">
        <f>IFERROR(__xludf.DUMMYFUNCTION("""COMPUTED_VALUE"""),53.0)</f>
        <v>53</v>
      </c>
      <c r="H12391" s="4"/>
      <c r="I12391" s="4"/>
    </row>
    <row r="12392">
      <c r="A12392" s="4" t="str">
        <f>IFERROR(__xludf.DUMMYFUNCTION("""COMPUTED_VALUE"""),"cas_hmw")</f>
        <v>cas_hmw</v>
      </c>
      <c r="B12392" s="5">
        <f>IFERROR(__xludf.DUMMYFUNCTION("""COMPUTED_VALUE"""),44713.0)</f>
        <v>44713</v>
      </c>
      <c r="C12392" s="6">
        <f>IFERROR(__xludf.DUMMYFUNCTION("""COMPUTED_VALUE"""),0.3294791666667152)</f>
        <v>0.3294791667</v>
      </c>
      <c r="D12392" s="4">
        <f>IFERROR(__xludf.DUMMYFUNCTION("""COMPUTED_VALUE"""),12.986855)</f>
        <v>12.986855</v>
      </c>
      <c r="E12392" s="4">
        <f>IFERROR(__xludf.DUMMYFUNCTION("""COMPUTED_VALUE"""),80.175451)</f>
        <v>80.175451</v>
      </c>
      <c r="F12392" s="4">
        <f>IFERROR(__xludf.DUMMYFUNCTION("""COMPUTED_VALUE"""),2846.0)</f>
        <v>2846</v>
      </c>
      <c r="G12392" s="4">
        <f>IFERROR(__xludf.DUMMYFUNCTION("""COMPUTED_VALUE"""),50.0)</f>
        <v>50</v>
      </c>
      <c r="H12392" s="4"/>
      <c r="I12392" s="4"/>
    </row>
    <row r="12393">
      <c r="A12393" s="4" t="str">
        <f>IFERROR(__xludf.DUMMYFUNCTION("""COMPUTED_VALUE"""),"cas_hmw")</f>
        <v>cas_hmw</v>
      </c>
      <c r="B12393" s="5">
        <f>IFERROR(__xludf.DUMMYFUNCTION("""COMPUTED_VALUE"""),44713.0)</f>
        <v>44713</v>
      </c>
      <c r="C12393" s="6">
        <f>IFERROR(__xludf.DUMMYFUNCTION("""COMPUTED_VALUE"""),0.3300115740748879)</f>
        <v>0.3300115741</v>
      </c>
      <c r="D12393" s="4">
        <f>IFERROR(__xludf.DUMMYFUNCTION("""COMPUTED_VALUE"""),12.986581)</f>
        <v>12.986581</v>
      </c>
      <c r="E12393" s="4">
        <f>IFERROR(__xludf.DUMMYFUNCTION("""COMPUTED_VALUE"""),80.175037)</f>
        <v>80.175037</v>
      </c>
      <c r="F12393" s="4">
        <f>IFERROR(__xludf.DUMMYFUNCTION("""COMPUTED_VALUE"""),2846.0)</f>
        <v>2846</v>
      </c>
      <c r="G12393" s="4">
        <f>IFERROR(__xludf.DUMMYFUNCTION("""COMPUTED_VALUE"""),0.0)</f>
        <v>0</v>
      </c>
      <c r="H12393" s="4"/>
      <c r="I12393" s="4"/>
    </row>
    <row r="12394">
      <c r="A12394" s="4" t="str">
        <f>IFERROR(__xludf.DUMMYFUNCTION("""COMPUTED_VALUE"""),"cas_hmw")</f>
        <v>cas_hmw</v>
      </c>
      <c r="B12394" s="5">
        <f>IFERROR(__xludf.DUMMYFUNCTION("""COMPUTED_VALUE"""),44713.0)</f>
        <v>44713</v>
      </c>
      <c r="C12394" s="6">
        <f>IFERROR(__xludf.DUMMYFUNCTION("""COMPUTED_VALUE"""),0.3315046296302171)</f>
        <v>0.3315046296</v>
      </c>
      <c r="D12394" s="4">
        <f>IFERROR(__xludf.DUMMYFUNCTION("""COMPUTED_VALUE"""),12.985184)</f>
        <v>12.985184</v>
      </c>
      <c r="E12394" s="4">
        <f>IFERROR(__xludf.DUMMYFUNCTION("""COMPUTED_VALUE"""),80.172958)</f>
        <v>80.172958</v>
      </c>
      <c r="F12394" s="4">
        <f>IFERROR(__xludf.DUMMYFUNCTION("""COMPUTED_VALUE"""),2846.0)</f>
        <v>2846</v>
      </c>
      <c r="G12394" s="4">
        <f>IFERROR(__xludf.DUMMYFUNCTION("""COMPUTED_VALUE"""),56.0)</f>
        <v>56</v>
      </c>
      <c r="H12394" s="4"/>
      <c r="I12394" s="4"/>
    </row>
    <row r="12395">
      <c r="A12395" s="4" t="str">
        <f>IFERROR(__xludf.DUMMYFUNCTION("""COMPUTED_VALUE"""),"cas_hmw")</f>
        <v>cas_hmw</v>
      </c>
      <c r="B12395" s="5">
        <f>IFERROR(__xludf.DUMMYFUNCTION("""COMPUTED_VALUE"""),44713.0)</f>
        <v>44713</v>
      </c>
      <c r="C12395" s="6">
        <f>IFERROR(__xludf.DUMMYFUNCTION("""COMPUTED_VALUE"""),0.3329513888893416)</f>
        <v>0.3329513889</v>
      </c>
      <c r="D12395" s="4">
        <f>IFERROR(__xludf.DUMMYFUNCTION("""COMPUTED_VALUE"""),12.980644)</f>
        <v>12.980644</v>
      </c>
      <c r="E12395" s="4">
        <f>IFERROR(__xludf.DUMMYFUNCTION("""COMPUTED_VALUE"""),80.165306)</f>
        <v>80.165306</v>
      </c>
      <c r="F12395" s="4">
        <f>IFERROR(__xludf.DUMMYFUNCTION("""COMPUTED_VALUE"""),2846.0)</f>
        <v>2846</v>
      </c>
      <c r="G12395" s="4">
        <f>IFERROR(__xludf.DUMMYFUNCTION("""COMPUTED_VALUE"""),58.0)</f>
        <v>58</v>
      </c>
      <c r="H12395" s="4"/>
      <c r="I12395" s="4"/>
    </row>
    <row r="12396">
      <c r="A12396" s="4" t="str">
        <f>IFERROR(__xludf.DUMMYFUNCTION("""COMPUTED_VALUE"""),"cas_hmw")</f>
        <v>cas_hmw</v>
      </c>
      <c r="B12396" s="5">
        <f>IFERROR(__xludf.DUMMYFUNCTION("""COMPUTED_VALUE"""),44713.0)</f>
        <v>44713</v>
      </c>
      <c r="C12396" s="6">
        <f>IFERROR(__xludf.DUMMYFUNCTION("""COMPUTED_VALUE"""),0.3337500000016007)</f>
        <v>0.33375</v>
      </c>
      <c r="D12396" s="4">
        <f>IFERROR(__xludf.DUMMYFUNCTION("""COMPUTED_VALUE"""),12.972456)</f>
        <v>12.972456</v>
      </c>
      <c r="E12396" s="4">
        <f>IFERROR(__xludf.DUMMYFUNCTION("""COMPUTED_VALUE"""),80.151849)</f>
        <v>80.151849</v>
      </c>
      <c r="F12396" s="4">
        <f>IFERROR(__xludf.DUMMYFUNCTION("""COMPUTED_VALUE"""),2846.0)</f>
        <v>2846</v>
      </c>
      <c r="G12396" s="4">
        <f>IFERROR(__xludf.DUMMYFUNCTION("""COMPUTED_VALUE"""),24.0)</f>
        <v>24</v>
      </c>
      <c r="H12396" s="4"/>
      <c r="I12396" s="4"/>
    </row>
    <row r="12397">
      <c r="A12397" s="4" t="str">
        <f>IFERROR(__xludf.DUMMYFUNCTION("""COMPUTED_VALUE"""),"cas_hmw")</f>
        <v>cas_hmw</v>
      </c>
      <c r="B12397" s="5">
        <f>IFERROR(__xludf.DUMMYFUNCTION("""COMPUTED_VALUE"""),44713.0)</f>
        <v>44713</v>
      </c>
      <c r="C12397" s="6">
        <f>IFERROR(__xludf.DUMMYFUNCTION("""COMPUTED_VALUE"""),0.33377314814788406)</f>
        <v>0.3337731481</v>
      </c>
      <c r="D12397" s="4">
        <f>IFERROR(__xludf.DUMMYFUNCTION("""COMPUTED_VALUE"""),12.972404)</f>
        <v>12.972404</v>
      </c>
      <c r="E12397" s="4">
        <f>IFERROR(__xludf.DUMMYFUNCTION("""COMPUTED_VALUE"""),80.151786)</f>
        <v>80.151786</v>
      </c>
      <c r="F12397" s="4">
        <f>IFERROR(__xludf.DUMMYFUNCTION("""COMPUTED_VALUE"""),2846.0)</f>
        <v>2846</v>
      </c>
      <c r="G12397" s="4">
        <f>IFERROR(__xludf.DUMMYFUNCTION("""COMPUTED_VALUE"""),0.0)</f>
        <v>0</v>
      </c>
      <c r="H12397" s="4"/>
      <c r="I12397" s="4"/>
    </row>
    <row r="12398">
      <c r="A12398" s="4" t="str">
        <f>IFERROR(__xludf.DUMMYFUNCTION("""COMPUTED_VALUE"""),"cas_hmw")</f>
        <v>cas_hmw</v>
      </c>
      <c r="B12398" s="5">
        <f>IFERROR(__xludf.DUMMYFUNCTION("""COMPUTED_VALUE"""),44713.0)</f>
        <v>44713</v>
      </c>
      <c r="C12398" s="6">
        <f>IFERROR(__xludf.DUMMYFUNCTION("""COMPUTED_VALUE"""),0.3344560185178125)</f>
        <v>0.3344560185</v>
      </c>
      <c r="D12398" s="4">
        <f>IFERROR(__xludf.DUMMYFUNCTION("""COMPUTED_VALUE"""),12.966983)</f>
        <v>12.966983</v>
      </c>
      <c r="E12398" s="4">
        <f>IFERROR(__xludf.DUMMYFUNCTION("""COMPUTED_VALUE"""),80.148989)</f>
        <v>80.148989</v>
      </c>
      <c r="F12398" s="4">
        <f>IFERROR(__xludf.DUMMYFUNCTION("""COMPUTED_VALUE"""),2846.0)</f>
        <v>2846</v>
      </c>
      <c r="G12398" s="4">
        <f>IFERROR(__xludf.DUMMYFUNCTION("""COMPUTED_VALUE"""),12.0)</f>
        <v>12</v>
      </c>
      <c r="H12398" s="4"/>
      <c r="I12398" s="4"/>
    </row>
    <row r="12399">
      <c r="A12399" s="4" t="str">
        <f>IFERROR(__xludf.DUMMYFUNCTION("""COMPUTED_VALUE"""),"cas_hmw")</f>
        <v>cas_hmw</v>
      </c>
      <c r="B12399" s="5">
        <f>IFERROR(__xludf.DUMMYFUNCTION("""COMPUTED_VALUE"""),44713.0)</f>
        <v>44713</v>
      </c>
      <c r="C12399" s="6">
        <f>IFERROR(__xludf.DUMMYFUNCTION("""COMPUTED_VALUE"""),0.3347685185181035)</f>
        <v>0.3347685185</v>
      </c>
      <c r="D12399" s="4">
        <f>IFERROR(__xludf.DUMMYFUNCTION("""COMPUTED_VALUE"""),12.96606)</f>
        <v>12.96606</v>
      </c>
      <c r="E12399" s="4">
        <f>IFERROR(__xludf.DUMMYFUNCTION("""COMPUTED_VALUE"""),80.148542)</f>
        <v>80.148542</v>
      </c>
      <c r="F12399" s="4">
        <f>IFERROR(__xludf.DUMMYFUNCTION("""COMPUTED_VALUE"""),2846.0)</f>
        <v>2846</v>
      </c>
      <c r="G12399" s="4">
        <f>IFERROR(__xludf.DUMMYFUNCTION("""COMPUTED_VALUE"""),29.0)</f>
        <v>29</v>
      </c>
      <c r="H12399" s="4"/>
      <c r="I12399" s="4"/>
    </row>
    <row r="12400">
      <c r="A12400" s="4" t="str">
        <f>IFERROR(__xludf.DUMMYFUNCTION("""COMPUTED_VALUE"""),"cas_hmw")</f>
        <v>cas_hmw</v>
      </c>
      <c r="B12400" s="5">
        <f>IFERROR(__xludf.DUMMYFUNCTION("""COMPUTED_VALUE"""),44713.0)</f>
        <v>44713</v>
      </c>
      <c r="C12400" s="6">
        <f>IFERROR(__xludf.DUMMYFUNCTION("""COMPUTED_VALUE"""),0.3363425925927004)</f>
        <v>0.3363425926</v>
      </c>
      <c r="D12400" s="4">
        <f>IFERROR(__xludf.DUMMYFUNCTION("""COMPUTED_VALUE"""),12.795164)</f>
        <v>12.795164</v>
      </c>
      <c r="E12400" s="4">
        <f>IFERROR(__xludf.DUMMYFUNCTION("""COMPUTED_VALUE"""),80.020115)</f>
        <v>80.020115</v>
      </c>
      <c r="F12400" s="4">
        <f>IFERROR(__xludf.DUMMYFUNCTION("""COMPUTED_VALUE"""),805.0)</f>
        <v>805</v>
      </c>
      <c r="G12400" s="4">
        <f>IFERROR(__xludf.DUMMYFUNCTION("""COMPUTED_VALUE"""),54.0)</f>
        <v>54</v>
      </c>
      <c r="H12400" s="4"/>
      <c r="I12400" s="4"/>
    </row>
    <row r="12401">
      <c r="A12401" s="4" t="str">
        <f>IFERROR(__xludf.DUMMYFUNCTION("""COMPUTED_VALUE"""),"cas_hmw")</f>
        <v>cas_hmw</v>
      </c>
      <c r="B12401" s="5">
        <f>IFERROR(__xludf.DUMMYFUNCTION("""COMPUTED_VALUE"""),44713.0)</f>
        <v>44713</v>
      </c>
      <c r="C12401" s="6">
        <f>IFERROR(__xludf.DUMMYFUNCTION("""COMPUTED_VALUE"""),0.3365625000005821)</f>
        <v>0.3365625</v>
      </c>
      <c r="D12401" s="4">
        <f>IFERROR(__xludf.DUMMYFUNCTION("""COMPUTED_VALUE"""),12.953242)</f>
        <v>12.953242</v>
      </c>
      <c r="E12401" s="4">
        <f>IFERROR(__xludf.DUMMYFUNCTION("""COMPUTED_VALUE"""),80.141675)</f>
        <v>80.141675</v>
      </c>
      <c r="F12401" s="4">
        <f>IFERROR(__xludf.DUMMYFUNCTION("""COMPUTED_VALUE"""),2846.0)</f>
        <v>2846</v>
      </c>
      <c r="G12401" s="4">
        <f>IFERROR(__xludf.DUMMYFUNCTION("""COMPUTED_VALUE"""),21.0)</f>
        <v>21</v>
      </c>
      <c r="H12401" s="4"/>
      <c r="I12401" s="4"/>
    </row>
    <row r="12402">
      <c r="A12402" s="4" t="str">
        <f>IFERROR(__xludf.DUMMYFUNCTION("""COMPUTED_VALUE"""),"cas_hmw")</f>
        <v>cas_hmw</v>
      </c>
      <c r="B12402" s="5">
        <f>IFERROR(__xludf.DUMMYFUNCTION("""COMPUTED_VALUE"""),44713.0)</f>
        <v>44713</v>
      </c>
      <c r="C12402" s="6">
        <f>IFERROR(__xludf.DUMMYFUNCTION("""COMPUTED_VALUE"""),0.3366898148160544)</f>
        <v>0.3366898148</v>
      </c>
      <c r="D12402" s="4">
        <f>IFERROR(__xludf.DUMMYFUNCTION("""COMPUTED_VALUE"""),12.953242)</f>
        <v>12.953242</v>
      </c>
      <c r="E12402" s="4">
        <f>IFERROR(__xludf.DUMMYFUNCTION("""COMPUTED_VALUE"""),80.141675)</f>
        <v>80.141675</v>
      </c>
      <c r="F12402" s="4">
        <f>IFERROR(__xludf.DUMMYFUNCTION("""COMPUTED_VALUE"""),2846.0)</f>
        <v>2846</v>
      </c>
      <c r="G12402" s="4">
        <f>IFERROR(__xludf.DUMMYFUNCTION("""COMPUTED_VALUE"""),21.0)</f>
        <v>21</v>
      </c>
      <c r="H12402" s="4"/>
      <c r="I12402" s="4"/>
    </row>
    <row r="12403">
      <c r="A12403" s="4" t="str">
        <f>IFERROR(__xludf.DUMMYFUNCTION("""COMPUTED_VALUE"""),"cas_hmw")</f>
        <v>cas_hmw</v>
      </c>
      <c r="B12403" s="5">
        <f>IFERROR(__xludf.DUMMYFUNCTION("""COMPUTED_VALUE"""),44713.0)</f>
        <v>44713</v>
      </c>
      <c r="C12403" s="6">
        <f>IFERROR(__xludf.DUMMYFUNCTION("""COMPUTED_VALUE"""),0.3370601851856918)</f>
        <v>0.3370601852</v>
      </c>
      <c r="D12403" s="4">
        <f>IFERROR(__xludf.DUMMYFUNCTION("""COMPUTED_VALUE"""),12.951464)</f>
        <v>12.951464</v>
      </c>
      <c r="E12403" s="4">
        <f>IFERROR(__xludf.DUMMYFUNCTION("""COMPUTED_VALUE"""),80.140379)</f>
        <v>80.140379</v>
      </c>
      <c r="F12403" s="4">
        <f>IFERROR(__xludf.DUMMYFUNCTION("""COMPUTED_VALUE"""),2846.0)</f>
        <v>2846</v>
      </c>
      <c r="G12403" s="4">
        <f>IFERROR(__xludf.DUMMYFUNCTION("""COMPUTED_VALUE"""),30.0)</f>
        <v>30</v>
      </c>
      <c r="H12403" s="4"/>
      <c r="I12403" s="4"/>
    </row>
    <row r="12404">
      <c r="A12404" s="4" t="str">
        <f>IFERROR(__xludf.DUMMYFUNCTION("""COMPUTED_VALUE"""),"cas_hmw")</f>
        <v>cas_hmw</v>
      </c>
      <c r="B12404" s="5">
        <f>IFERROR(__xludf.DUMMYFUNCTION("""COMPUTED_VALUE"""),44713.0)</f>
        <v>44713</v>
      </c>
      <c r="C12404" s="6">
        <f>IFERROR(__xludf.DUMMYFUNCTION("""COMPUTED_VALUE"""),0.3374537037052505)</f>
        <v>0.3374537037</v>
      </c>
      <c r="D12404" s="4">
        <f>IFERROR(__xludf.DUMMYFUNCTION("""COMPUTED_VALUE"""),12.947855)</f>
        <v>12.947855</v>
      </c>
      <c r="E12404" s="4">
        <f>IFERROR(__xludf.DUMMYFUNCTION("""COMPUTED_VALUE"""),80.137546)</f>
        <v>80.137546</v>
      </c>
      <c r="F12404" s="4">
        <f>IFERROR(__xludf.DUMMYFUNCTION("""COMPUTED_VALUE"""),2846.0)</f>
        <v>2846</v>
      </c>
      <c r="G12404" s="4">
        <f>IFERROR(__xludf.DUMMYFUNCTION("""COMPUTED_VALUE"""),52.0)</f>
        <v>52</v>
      </c>
      <c r="H12404" s="4"/>
      <c r="I12404" s="4"/>
    </row>
    <row r="12405">
      <c r="A12405" s="4" t="str">
        <f>IFERROR(__xludf.DUMMYFUNCTION("""COMPUTED_VALUE"""),"cas_hmw")</f>
        <v>cas_hmw</v>
      </c>
      <c r="B12405" s="5">
        <f>IFERROR(__xludf.DUMMYFUNCTION("""COMPUTED_VALUE"""),44713.0)</f>
        <v>44713</v>
      </c>
      <c r="C12405" s="6">
        <f>IFERROR(__xludf.DUMMYFUNCTION("""COMPUTED_VALUE"""),0.33878472222204437)</f>
        <v>0.3387847222</v>
      </c>
      <c r="D12405" s="4">
        <f>IFERROR(__xludf.DUMMYFUNCTION("""COMPUTED_VALUE"""),12.93565)</f>
        <v>12.93565</v>
      </c>
      <c r="E12405" s="4">
        <f>IFERROR(__xludf.DUMMYFUNCTION("""COMPUTED_VALUE"""),80.126782)</f>
        <v>80.126782</v>
      </c>
      <c r="F12405" s="4">
        <f>IFERROR(__xludf.DUMMYFUNCTION("""COMPUTED_VALUE"""),2846.0)</f>
        <v>2846</v>
      </c>
      <c r="G12405" s="4">
        <f>IFERROR(__xludf.DUMMYFUNCTION("""COMPUTED_VALUE"""),27.0)</f>
        <v>27</v>
      </c>
      <c r="H12405" s="4"/>
      <c r="I12405" s="4"/>
    </row>
    <row r="12406">
      <c r="A12406" s="4" t="str">
        <f>IFERROR(__xludf.DUMMYFUNCTION("""COMPUTED_VALUE"""),"cas_hmw")</f>
        <v>cas_hmw</v>
      </c>
      <c r="B12406" s="5">
        <f>IFERROR(__xludf.DUMMYFUNCTION("""COMPUTED_VALUE"""),44713.0)</f>
        <v>44713</v>
      </c>
      <c r="C12406" s="6">
        <f>IFERROR(__xludf.DUMMYFUNCTION("""COMPUTED_VALUE"""),0.3389467592605797)</f>
        <v>0.3389467593</v>
      </c>
      <c r="D12406" s="4">
        <f>IFERROR(__xludf.DUMMYFUNCTION("""COMPUTED_VALUE"""),12.934934)</f>
        <v>12.934934</v>
      </c>
      <c r="E12406" s="4">
        <f>IFERROR(__xludf.DUMMYFUNCTION("""COMPUTED_VALUE"""),80.126131)</f>
        <v>80.126131</v>
      </c>
      <c r="F12406" s="4">
        <f>IFERROR(__xludf.DUMMYFUNCTION("""COMPUTED_VALUE"""),2846.0)</f>
        <v>2846</v>
      </c>
      <c r="G12406" s="4">
        <f>IFERROR(__xludf.DUMMYFUNCTION("""COMPUTED_VALUE"""),44.0)</f>
        <v>44</v>
      </c>
      <c r="H12406" s="4"/>
      <c r="I12406" s="4"/>
    </row>
    <row r="12407">
      <c r="A12407" s="4" t="str">
        <f>IFERROR(__xludf.DUMMYFUNCTION("""COMPUTED_VALUE"""),"cas_hmw")</f>
        <v>cas_hmw</v>
      </c>
      <c r="B12407" s="5">
        <f>IFERROR(__xludf.DUMMYFUNCTION("""COMPUTED_VALUE"""),44713.0)</f>
        <v>44713</v>
      </c>
      <c r="C12407" s="6">
        <f>IFERROR(__xludf.DUMMYFUNCTION("""COMPUTED_VALUE"""),0.3390277777762094)</f>
        <v>0.3390277778</v>
      </c>
      <c r="D12407" s="4">
        <f>IFERROR(__xludf.DUMMYFUNCTION("""COMPUTED_VALUE"""),12.934045)</f>
        <v>12.934045</v>
      </c>
      <c r="E12407" s="4">
        <f>IFERROR(__xludf.DUMMYFUNCTION("""COMPUTED_VALUE"""),80.125261)</f>
        <v>80.125261</v>
      </c>
      <c r="F12407" s="4">
        <f>IFERROR(__xludf.DUMMYFUNCTION("""COMPUTED_VALUE"""),2846.0)</f>
        <v>2846</v>
      </c>
      <c r="G12407" s="4">
        <f>IFERROR(__xludf.DUMMYFUNCTION("""COMPUTED_VALUE"""),52.0)</f>
        <v>52</v>
      </c>
      <c r="H12407" s="4"/>
      <c r="I12407" s="4"/>
    </row>
    <row r="12408">
      <c r="A12408" s="4" t="str">
        <f>IFERROR(__xludf.DUMMYFUNCTION("""COMPUTED_VALUE"""),"cas_hmw")</f>
        <v>cas_hmw</v>
      </c>
      <c r="B12408" s="5">
        <f>IFERROR(__xludf.DUMMYFUNCTION("""COMPUTED_VALUE"""),44713.0)</f>
        <v>44713</v>
      </c>
      <c r="C12408" s="6">
        <f>IFERROR(__xludf.DUMMYFUNCTION("""COMPUTED_VALUE"""),0.33952546296131914)</f>
        <v>0.339525463</v>
      </c>
      <c r="D12408" s="4">
        <f>IFERROR(__xludf.DUMMYFUNCTION("""COMPUTED_VALUE"""),12.930063)</f>
        <v>12.930063</v>
      </c>
      <c r="E12408" s="4">
        <f>IFERROR(__xludf.DUMMYFUNCTION("""COMPUTED_VALUE"""),80.121326)</f>
        <v>80.121326</v>
      </c>
      <c r="F12408" s="4">
        <f>IFERROR(__xludf.DUMMYFUNCTION("""COMPUTED_VALUE"""),2846.0)</f>
        <v>2846</v>
      </c>
      <c r="G12408" s="4">
        <f>IFERROR(__xludf.DUMMYFUNCTION("""COMPUTED_VALUE"""),54.0)</f>
        <v>54</v>
      </c>
      <c r="H12408" s="4"/>
      <c r="I12408" s="4"/>
    </row>
    <row r="12409">
      <c r="A12409" s="4" t="str">
        <f>IFERROR(__xludf.DUMMYFUNCTION("""COMPUTED_VALUE"""),"cas_hmw")</f>
        <v>cas_hmw</v>
      </c>
      <c r="B12409" s="5">
        <f>IFERROR(__xludf.DUMMYFUNCTION("""COMPUTED_VALUE"""),44713.0)</f>
        <v>44713</v>
      </c>
      <c r="C12409" s="6">
        <f>IFERROR(__xludf.DUMMYFUNCTION("""COMPUTED_VALUE"""),0.3399305555540195)</f>
        <v>0.3399305556</v>
      </c>
      <c r="D12409" s="4">
        <f>IFERROR(__xludf.DUMMYFUNCTION("""COMPUTED_VALUE"""),12.836011)</f>
        <v>12.836011</v>
      </c>
      <c r="E12409" s="4">
        <f>IFERROR(__xludf.DUMMYFUNCTION("""COMPUTED_VALUE"""),80.051273)</f>
        <v>80.051273</v>
      </c>
      <c r="F12409" s="4">
        <f>IFERROR(__xludf.DUMMYFUNCTION("""COMPUTED_VALUE"""),805.0)</f>
        <v>805</v>
      </c>
      <c r="G12409" s="4">
        <f>IFERROR(__xludf.DUMMYFUNCTION("""COMPUTED_VALUE"""),58.0)</f>
        <v>58</v>
      </c>
      <c r="H12409" s="4"/>
      <c r="I12409" s="4"/>
    </row>
    <row r="12410">
      <c r="A12410" s="4" t="str">
        <f>IFERROR(__xludf.DUMMYFUNCTION("""COMPUTED_VALUE"""),"cas_hmw")</f>
        <v>cas_hmw</v>
      </c>
      <c r="B12410" s="5">
        <f>IFERROR(__xludf.DUMMYFUNCTION("""COMPUTED_VALUE"""),44713.0)</f>
        <v>44713</v>
      </c>
      <c r="C12410" s="6">
        <f>IFERROR(__xludf.DUMMYFUNCTION("""COMPUTED_VALUE"""),0.3411226851858373)</f>
        <v>0.3411226852</v>
      </c>
      <c r="D12410" s="4">
        <f>IFERROR(__xludf.DUMMYFUNCTION("""COMPUTED_VALUE"""),12.926884)</f>
        <v>12.926884</v>
      </c>
      <c r="E12410" s="4">
        <f>IFERROR(__xludf.DUMMYFUNCTION("""COMPUTED_VALUE"""),80.118105)</f>
        <v>80.118105</v>
      </c>
      <c r="F12410" s="4">
        <f>IFERROR(__xludf.DUMMYFUNCTION("""COMPUTED_VALUE"""),2846.0)</f>
        <v>2846</v>
      </c>
      <c r="G12410" s="4">
        <f>IFERROR(__xludf.DUMMYFUNCTION("""COMPUTED_VALUE"""),12.0)</f>
        <v>12</v>
      </c>
      <c r="H12410" s="4"/>
      <c r="I12410" s="4"/>
    </row>
    <row r="12411">
      <c r="A12411" s="4" t="str">
        <f>IFERROR(__xludf.DUMMYFUNCTION("""COMPUTED_VALUE"""),"cas_hmw")</f>
        <v>cas_hmw</v>
      </c>
      <c r="B12411" s="5">
        <f>IFERROR(__xludf.DUMMYFUNCTION("""COMPUTED_VALUE"""),44713.0)</f>
        <v>44713</v>
      </c>
      <c r="C12411" s="6">
        <f>IFERROR(__xludf.DUMMYFUNCTION("""COMPUTED_VALUE"""),0.34256944444496185)</f>
        <v>0.3425694444</v>
      </c>
      <c r="D12411" s="4">
        <f>IFERROR(__xludf.DUMMYFUNCTION("""COMPUTED_VALUE"""),12.920216)</f>
        <v>12.920216</v>
      </c>
      <c r="E12411" s="4">
        <f>IFERROR(__xludf.DUMMYFUNCTION("""COMPUTED_VALUE"""),80.111283)</f>
        <v>80.111283</v>
      </c>
      <c r="F12411" s="4">
        <f>IFERROR(__xludf.DUMMYFUNCTION("""COMPUTED_VALUE"""),2846.0)</f>
        <v>2846</v>
      </c>
      <c r="G12411" s="4">
        <f>IFERROR(__xludf.DUMMYFUNCTION("""COMPUTED_VALUE"""),58.0)</f>
        <v>58</v>
      </c>
      <c r="H12411" s="4"/>
      <c r="I12411" s="4"/>
    </row>
    <row r="12412">
      <c r="A12412" s="4" t="str">
        <f>IFERROR(__xludf.DUMMYFUNCTION("""COMPUTED_VALUE"""),"cas_hmw")</f>
        <v>cas_hmw</v>
      </c>
      <c r="B12412" s="5">
        <f>IFERROR(__xludf.DUMMYFUNCTION("""COMPUTED_VALUE"""),44713.0)</f>
        <v>44713</v>
      </c>
      <c r="C12412" s="6">
        <f>IFERROR(__xludf.DUMMYFUNCTION("""COMPUTED_VALUE"""),0.34275462962978054)</f>
        <v>0.3427546296</v>
      </c>
      <c r="D12412" s="4">
        <f>IFERROR(__xludf.DUMMYFUNCTION("""COMPUTED_VALUE"""),12.917444)</f>
        <v>12.917444</v>
      </c>
      <c r="E12412" s="4">
        <f>IFERROR(__xludf.DUMMYFUNCTION("""COMPUTED_VALUE"""),80.10787)</f>
        <v>80.10787</v>
      </c>
      <c r="F12412" s="4">
        <f>IFERROR(__xludf.DUMMYFUNCTION("""COMPUTED_VALUE"""),2846.0)</f>
        <v>2846</v>
      </c>
      <c r="G12412" s="4">
        <f>IFERROR(__xludf.DUMMYFUNCTION("""COMPUTED_VALUE"""),54.0)</f>
        <v>54</v>
      </c>
      <c r="H12412" s="4"/>
      <c r="I12412" s="4"/>
    </row>
    <row r="12413">
      <c r="A12413" s="4" t="str">
        <f>IFERROR(__xludf.DUMMYFUNCTION("""COMPUTED_VALUE"""),"cas_hmw")</f>
        <v>cas_hmw</v>
      </c>
      <c r="B12413" s="5">
        <f>IFERROR(__xludf.DUMMYFUNCTION("""COMPUTED_VALUE"""),44713.0)</f>
        <v>44713</v>
      </c>
      <c r="C12413" s="6">
        <f>IFERROR(__xludf.DUMMYFUNCTION("""COMPUTED_VALUE"""),0.3430902777763549)</f>
        <v>0.3430902778</v>
      </c>
      <c r="D12413" s="4">
        <f>IFERROR(__xludf.DUMMYFUNCTION("""COMPUTED_VALUE"""),12.910552)</f>
        <v>12.910552</v>
      </c>
      <c r="E12413" s="4">
        <f>IFERROR(__xludf.DUMMYFUNCTION("""COMPUTED_VALUE"""),80.101074)</f>
        <v>80.101074</v>
      </c>
      <c r="F12413" s="4">
        <f>IFERROR(__xludf.DUMMYFUNCTION("""COMPUTED_VALUE"""),2846.0)</f>
        <v>2846</v>
      </c>
      <c r="G12413" s="4">
        <f>IFERROR(__xludf.DUMMYFUNCTION("""COMPUTED_VALUE"""),52.0)</f>
        <v>52</v>
      </c>
      <c r="H12413" s="4"/>
      <c r="I12413" s="4"/>
    </row>
    <row r="12414">
      <c r="A12414" s="4" t="str">
        <f>IFERROR(__xludf.DUMMYFUNCTION("""COMPUTED_VALUE"""),"cas_hmw")</f>
        <v>cas_hmw</v>
      </c>
      <c r="B12414" s="5">
        <f>IFERROR(__xludf.DUMMYFUNCTION("""COMPUTED_VALUE"""),44713.0)</f>
        <v>44713</v>
      </c>
      <c r="C12414" s="6">
        <f>IFERROR(__xludf.DUMMYFUNCTION("""COMPUTED_VALUE"""),0.3431249999994179)</f>
        <v>0.343125</v>
      </c>
      <c r="D12414" s="4">
        <f>IFERROR(__xludf.DUMMYFUNCTION("""COMPUTED_VALUE"""),12.910552)</f>
        <v>12.910552</v>
      </c>
      <c r="E12414" s="4">
        <f>IFERROR(__xludf.DUMMYFUNCTION("""COMPUTED_VALUE"""),80.101074)</f>
        <v>80.101074</v>
      </c>
      <c r="F12414" s="4">
        <f>IFERROR(__xludf.DUMMYFUNCTION("""COMPUTED_VALUE"""),2846.0)</f>
        <v>2846</v>
      </c>
      <c r="G12414" s="4">
        <f>IFERROR(__xludf.DUMMYFUNCTION("""COMPUTED_VALUE"""),52.0)</f>
        <v>52</v>
      </c>
      <c r="H12414" s="4"/>
      <c r="I12414" s="4"/>
    </row>
    <row r="12415">
      <c r="A12415" s="4" t="str">
        <f>IFERROR(__xludf.DUMMYFUNCTION("""COMPUTED_VALUE"""),"cas_hmw")</f>
        <v>cas_hmw</v>
      </c>
      <c r="B12415" s="5">
        <f>IFERROR(__xludf.DUMMYFUNCTION("""COMPUTED_VALUE"""),44713.0)</f>
        <v>44713</v>
      </c>
      <c r="C12415" s="6">
        <f>IFERROR(__xludf.DUMMYFUNCTION("""COMPUTED_VALUE"""),0.3457523148135806)</f>
        <v>0.3457523148</v>
      </c>
      <c r="D12415" s="4">
        <f>IFERROR(__xludf.DUMMYFUNCTION("""COMPUTED_VALUE"""),12.90601)</f>
        <v>12.90601</v>
      </c>
      <c r="E12415" s="4">
        <f>IFERROR(__xludf.DUMMYFUNCTION("""COMPUTED_VALUE"""),80.096193)</f>
        <v>80.096193</v>
      </c>
      <c r="F12415" s="4">
        <f>IFERROR(__xludf.DUMMYFUNCTION("""COMPUTED_VALUE"""),2846.0)</f>
        <v>2846</v>
      </c>
      <c r="G12415" s="4">
        <f>IFERROR(__xludf.DUMMYFUNCTION("""COMPUTED_VALUE"""),16.0)</f>
        <v>16</v>
      </c>
      <c r="H12415" s="4"/>
      <c r="I12415" s="4"/>
    </row>
    <row r="12416">
      <c r="A12416" s="4" t="str">
        <f>IFERROR(__xludf.DUMMYFUNCTION("""COMPUTED_VALUE"""),"cas_hmw")</f>
        <v>cas_hmw</v>
      </c>
      <c r="B12416" s="5">
        <f>IFERROR(__xludf.DUMMYFUNCTION("""COMPUTED_VALUE"""),44713.0)</f>
        <v>44713</v>
      </c>
      <c r="C12416" s="6">
        <f>IFERROR(__xludf.DUMMYFUNCTION("""COMPUTED_VALUE"""),0.34590277777897427)</f>
        <v>0.3459027778</v>
      </c>
      <c r="D12416" s="4">
        <f>IFERROR(__xludf.DUMMYFUNCTION("""COMPUTED_VALUE"""),12.905251)</f>
        <v>12.905251</v>
      </c>
      <c r="E12416" s="4">
        <f>IFERROR(__xludf.DUMMYFUNCTION("""COMPUTED_VALUE"""),80.095648)</f>
        <v>80.095648</v>
      </c>
      <c r="F12416" s="4">
        <f>IFERROR(__xludf.DUMMYFUNCTION("""COMPUTED_VALUE"""),2846.0)</f>
        <v>2846</v>
      </c>
      <c r="G12416" s="4">
        <f>IFERROR(__xludf.DUMMYFUNCTION("""COMPUTED_VALUE"""),19.0)</f>
        <v>19</v>
      </c>
      <c r="H12416" s="4"/>
      <c r="I12416" s="4"/>
    </row>
    <row r="12417">
      <c r="A12417" s="4" t="str">
        <f>IFERROR(__xludf.DUMMYFUNCTION("""COMPUTED_VALUE"""),"cas_hmw")</f>
        <v>cas_hmw</v>
      </c>
      <c r="B12417" s="5">
        <f>IFERROR(__xludf.DUMMYFUNCTION("""COMPUTED_VALUE"""),44713.0)</f>
        <v>44713</v>
      </c>
      <c r="C12417" s="6">
        <f>IFERROR(__xludf.DUMMYFUNCTION("""COMPUTED_VALUE"""),0.3459722222214623)</f>
        <v>0.3459722222</v>
      </c>
      <c r="D12417" s="4">
        <f>IFERROR(__xludf.DUMMYFUNCTION("""COMPUTED_VALUE"""),12.865479)</f>
        <v>12.865479</v>
      </c>
      <c r="E12417" s="4">
        <f>IFERROR(__xludf.DUMMYFUNCTION("""COMPUTED_VALUE"""),80.074644)</f>
        <v>80.074644</v>
      </c>
      <c r="F12417" s="4">
        <f>IFERROR(__xludf.DUMMYFUNCTION("""COMPUTED_VALUE"""),805.0)</f>
        <v>805</v>
      </c>
      <c r="G12417" s="4">
        <f>IFERROR(__xludf.DUMMYFUNCTION("""COMPUTED_VALUE"""),39.0)</f>
        <v>39</v>
      </c>
      <c r="H12417" s="4"/>
      <c r="I12417" s="4"/>
    </row>
    <row r="12418">
      <c r="A12418" s="4" t="str">
        <f>IFERROR(__xludf.DUMMYFUNCTION("""COMPUTED_VALUE"""),"cas_hmw")</f>
        <v>cas_hmw</v>
      </c>
      <c r="B12418" s="5">
        <f>IFERROR(__xludf.DUMMYFUNCTION("""COMPUTED_VALUE"""),44713.0)</f>
        <v>44713</v>
      </c>
      <c r="C12418" s="6">
        <f>IFERROR(__xludf.DUMMYFUNCTION("""COMPUTED_VALUE"""),0.34671296296437504)</f>
        <v>0.346712963</v>
      </c>
      <c r="D12418" s="4">
        <f>IFERROR(__xludf.DUMMYFUNCTION("""COMPUTED_VALUE"""),12.869731)</f>
        <v>12.869731</v>
      </c>
      <c r="E12418" s="4">
        <f>IFERROR(__xludf.DUMMYFUNCTION("""COMPUTED_VALUE"""),80.076324)</f>
        <v>80.076324</v>
      </c>
      <c r="F12418" s="4">
        <f>IFERROR(__xludf.DUMMYFUNCTION("""COMPUTED_VALUE"""),805.0)</f>
        <v>805</v>
      </c>
      <c r="G12418" s="4">
        <f>IFERROR(__xludf.DUMMYFUNCTION("""COMPUTED_VALUE"""),33.0)</f>
        <v>33</v>
      </c>
      <c r="H12418" s="4"/>
      <c r="I12418" s="4"/>
    </row>
    <row r="12419">
      <c r="A12419" s="4" t="str">
        <f>IFERROR(__xludf.DUMMYFUNCTION("""COMPUTED_VALUE"""),"cas_hmw")</f>
        <v>cas_hmw</v>
      </c>
      <c r="B12419" s="5">
        <f>IFERROR(__xludf.DUMMYFUNCTION("""COMPUTED_VALUE"""),44713.0)</f>
        <v>44713</v>
      </c>
      <c r="C12419" s="6">
        <f>IFERROR(__xludf.DUMMYFUNCTION("""COMPUTED_VALUE"""),0.3468055555567844)</f>
        <v>0.3468055556</v>
      </c>
      <c r="D12419" s="4">
        <f>IFERROR(__xludf.DUMMYFUNCTION("""COMPUTED_VALUE"""),12.900835)</f>
        <v>12.900835</v>
      </c>
      <c r="E12419" s="4">
        <f>IFERROR(__xludf.DUMMYFUNCTION("""COMPUTED_VALUE"""),80.092213)</f>
        <v>80.092213</v>
      </c>
      <c r="F12419" s="4">
        <f>IFERROR(__xludf.DUMMYFUNCTION("""COMPUTED_VALUE"""),2846.0)</f>
        <v>2846</v>
      </c>
      <c r="G12419" s="4">
        <f>IFERROR(__xludf.DUMMYFUNCTION("""COMPUTED_VALUE"""),49.0)</f>
        <v>49</v>
      </c>
      <c r="H12419" s="4"/>
      <c r="I12419" s="4"/>
    </row>
    <row r="12420">
      <c r="A12420" s="4" t="str">
        <f>IFERROR(__xludf.DUMMYFUNCTION("""COMPUTED_VALUE"""),"cas_hmw")</f>
        <v>cas_hmw</v>
      </c>
      <c r="B12420" s="5">
        <f>IFERROR(__xludf.DUMMYFUNCTION("""COMPUTED_VALUE"""),44713.0)</f>
        <v>44713</v>
      </c>
      <c r="C12420" s="6">
        <f>IFERROR(__xludf.DUMMYFUNCTION("""COMPUTED_VALUE"""),0.34776620370394085)</f>
        <v>0.3477662037</v>
      </c>
      <c r="D12420" s="4">
        <f>IFERROR(__xludf.DUMMYFUNCTION("""COMPUTED_VALUE"""),12.886148)</f>
        <v>12.886148</v>
      </c>
      <c r="E12420" s="4">
        <f>IFERROR(__xludf.DUMMYFUNCTION("""COMPUTED_VALUE"""),80.083047)</f>
        <v>80.083047</v>
      </c>
      <c r="F12420" s="4">
        <f>IFERROR(__xludf.DUMMYFUNCTION("""COMPUTED_VALUE"""),2846.0)</f>
        <v>2846</v>
      </c>
      <c r="G12420" s="4">
        <f>IFERROR(__xludf.DUMMYFUNCTION("""COMPUTED_VALUE"""),61.0)</f>
        <v>61</v>
      </c>
      <c r="H12420" s="4"/>
      <c r="I12420" s="4"/>
    </row>
    <row r="12421">
      <c r="A12421" s="4" t="str">
        <f>IFERROR(__xludf.DUMMYFUNCTION("""COMPUTED_VALUE"""),"cas_hmw")</f>
        <v>cas_hmw</v>
      </c>
      <c r="B12421" s="5">
        <f>IFERROR(__xludf.DUMMYFUNCTION("""COMPUTED_VALUE"""),44713.0)</f>
        <v>44713</v>
      </c>
      <c r="C12421" s="6">
        <f>IFERROR(__xludf.DUMMYFUNCTION("""COMPUTED_VALUE"""),0.3482523148159089)</f>
        <v>0.3482523148</v>
      </c>
      <c r="D12421" s="4">
        <f>IFERROR(__xludf.DUMMYFUNCTION("""COMPUTED_VALUE"""),12.999845)</f>
        <v>12.999845</v>
      </c>
      <c r="E12421" s="4">
        <f>IFERROR(__xludf.DUMMYFUNCTION("""COMPUTED_VALUE"""),80.12545)</f>
        <v>80.12545</v>
      </c>
      <c r="F12421" s="4">
        <f>IFERROR(__xludf.DUMMYFUNCTION("""COMPUTED_VALUE"""),1995.0)</f>
        <v>1995</v>
      </c>
      <c r="G12421" s="4">
        <f>IFERROR(__xludf.DUMMYFUNCTION("""COMPUTED_VALUE"""),58.0)</f>
        <v>58</v>
      </c>
      <c r="H12421" s="4"/>
      <c r="I12421" s="4"/>
    </row>
    <row r="12422">
      <c r="A12422" s="4" t="str">
        <f>IFERROR(__xludf.DUMMYFUNCTION("""COMPUTED_VALUE"""),"cas_hmw")</f>
        <v>cas_hmw</v>
      </c>
      <c r="B12422" s="5">
        <f>IFERROR(__xludf.DUMMYFUNCTION("""COMPUTED_VALUE"""),44713.0)</f>
        <v>44713</v>
      </c>
      <c r="C12422" s="6">
        <f>IFERROR(__xludf.DUMMYFUNCTION("""COMPUTED_VALUE"""),0.3500694444446708)</f>
        <v>0.3500694444</v>
      </c>
      <c r="D12422" s="4">
        <f>IFERROR(__xludf.DUMMYFUNCTION("""COMPUTED_VALUE"""),12.984884)</f>
        <v>12.984884</v>
      </c>
      <c r="E12422" s="4">
        <f>IFERROR(__xludf.DUMMYFUNCTION("""COMPUTED_VALUE"""),80.120986)</f>
        <v>80.120986</v>
      </c>
      <c r="F12422" s="4">
        <f>IFERROR(__xludf.DUMMYFUNCTION("""COMPUTED_VALUE"""),1995.0)</f>
        <v>1995</v>
      </c>
      <c r="G12422" s="4">
        <f>IFERROR(__xludf.DUMMYFUNCTION("""COMPUTED_VALUE"""),58.0)</f>
        <v>58</v>
      </c>
      <c r="H12422" s="4"/>
      <c r="I12422" s="4"/>
    </row>
    <row r="12423">
      <c r="A12423" s="4" t="str">
        <f>IFERROR(__xludf.DUMMYFUNCTION("""COMPUTED_VALUE"""),"cas_hmw")</f>
        <v>cas_hmw</v>
      </c>
      <c r="B12423" s="5">
        <f>IFERROR(__xludf.DUMMYFUNCTION("""COMPUTED_VALUE"""),44713.0)</f>
        <v>44713</v>
      </c>
      <c r="C12423" s="6">
        <f>IFERROR(__xludf.DUMMYFUNCTION("""COMPUTED_VALUE"""),0.4196527777785377)</f>
        <v>0.4196527778</v>
      </c>
      <c r="D12423" s="4">
        <f>IFERROR(__xludf.DUMMYFUNCTION("""COMPUTED_VALUE"""),12.877598)</f>
        <v>12.877598</v>
      </c>
      <c r="E12423" s="4">
        <f>IFERROR(__xludf.DUMMYFUNCTION("""COMPUTED_VALUE"""),80.084304)</f>
        <v>80.084304</v>
      </c>
      <c r="F12423" s="4">
        <f>IFERROR(__xludf.DUMMYFUNCTION("""COMPUTED_VALUE"""),5339.0)</f>
        <v>5339</v>
      </c>
      <c r="G12423" s="4">
        <f>IFERROR(__xludf.DUMMYFUNCTION("""COMPUTED_VALUE"""),20.0)</f>
        <v>20</v>
      </c>
      <c r="H12423" s="4"/>
      <c r="I12423" s="4"/>
    </row>
    <row r="12424">
      <c r="A12424" s="4" t="str">
        <f>IFERROR(__xludf.DUMMYFUNCTION("""COMPUTED_VALUE"""),"cas_hmw")</f>
        <v>cas_hmw</v>
      </c>
      <c r="B12424" s="5">
        <f>IFERROR(__xludf.DUMMYFUNCTION("""COMPUTED_VALUE"""),44713.0)</f>
        <v>44713</v>
      </c>
      <c r="C12424" s="6">
        <f>IFERROR(__xludf.DUMMYFUNCTION("""COMPUTED_VALUE"""),0.4214814814804413)</f>
        <v>0.4214814815</v>
      </c>
      <c r="D12424" s="4">
        <f>IFERROR(__xludf.DUMMYFUNCTION("""COMPUTED_VALUE"""),12.864632)</f>
        <v>12.864632</v>
      </c>
      <c r="E12424" s="4">
        <f>IFERROR(__xludf.DUMMYFUNCTION("""COMPUTED_VALUE"""),80.074536)</f>
        <v>80.074536</v>
      </c>
      <c r="F12424" s="4">
        <f>IFERROR(__xludf.DUMMYFUNCTION("""COMPUTED_VALUE"""),5339.0)</f>
        <v>5339</v>
      </c>
      <c r="G12424" s="4">
        <f>IFERROR(__xludf.DUMMYFUNCTION("""COMPUTED_VALUE"""),43.0)</f>
        <v>43</v>
      </c>
      <c r="H12424" s="4"/>
      <c r="I12424" s="4"/>
    </row>
    <row r="12425">
      <c r="A12425" s="4" t="str">
        <f>IFERROR(__xludf.DUMMYFUNCTION("""COMPUTED_VALUE"""),"cas_hmw")</f>
        <v>cas_hmw</v>
      </c>
      <c r="B12425" s="5">
        <f>IFERROR(__xludf.DUMMYFUNCTION("""COMPUTED_VALUE"""),44713.0)</f>
        <v>44713</v>
      </c>
      <c r="C12425" s="6">
        <f>IFERROR(__xludf.DUMMYFUNCTION("""COMPUTED_VALUE"""),0.5014467592591245)</f>
        <v>0.5014467593</v>
      </c>
      <c r="D12425" s="4">
        <f>IFERROR(__xludf.DUMMYFUNCTION("""COMPUTED_VALUE"""),12.854437)</f>
        <v>12.854437</v>
      </c>
      <c r="E12425" s="4">
        <f>IFERROR(__xludf.DUMMYFUNCTION("""COMPUTED_VALUE"""),80.0679)</f>
        <v>80.0679</v>
      </c>
      <c r="F12425" s="4">
        <f>IFERROR(__xludf.DUMMYFUNCTION("""COMPUTED_VALUE"""),5339.0)</f>
        <v>5339</v>
      </c>
      <c r="G12425" s="4">
        <f>IFERROR(__xludf.DUMMYFUNCTION("""COMPUTED_VALUE"""),39.0)</f>
        <v>39</v>
      </c>
      <c r="H12425" s="4"/>
      <c r="I12425" s="4"/>
    </row>
    <row r="12426">
      <c r="A12426" s="4" t="str">
        <f>IFERROR(__xludf.DUMMYFUNCTION("""COMPUTED_VALUE"""),"cas_hmw")</f>
        <v>cas_hmw</v>
      </c>
      <c r="B12426" s="5">
        <f>IFERROR(__xludf.DUMMYFUNCTION("""COMPUTED_VALUE"""),44713.0)</f>
        <v>44713</v>
      </c>
      <c r="C12426" s="6">
        <f>IFERROR(__xludf.DUMMYFUNCTION("""COMPUTED_VALUE"""),0.6894212962979509)</f>
        <v>0.6894212963</v>
      </c>
      <c r="D12426" s="4">
        <f>IFERROR(__xludf.DUMMYFUNCTION("""COMPUTED_VALUE"""),12.878074)</f>
        <v>12.878074</v>
      </c>
      <c r="E12426" s="4">
        <f>IFERROR(__xludf.DUMMYFUNCTION("""COMPUTED_VALUE"""),80.083032)</f>
        <v>80.083032</v>
      </c>
      <c r="F12426" s="4">
        <f>IFERROR(__xludf.DUMMYFUNCTION("""COMPUTED_VALUE"""),805.0)</f>
        <v>805</v>
      </c>
      <c r="G12426" s="4">
        <f>IFERROR(__xludf.DUMMYFUNCTION("""COMPUTED_VALUE"""),49.0)</f>
        <v>49</v>
      </c>
      <c r="H12426" s="4"/>
      <c r="I12426" s="4"/>
    </row>
    <row r="12427">
      <c r="A12427" s="4" t="str">
        <f>IFERROR(__xludf.DUMMYFUNCTION("""COMPUTED_VALUE"""),"cas_hmw")</f>
        <v>cas_hmw</v>
      </c>
      <c r="B12427" s="5">
        <f>IFERROR(__xludf.DUMMYFUNCTION("""COMPUTED_VALUE"""),44713.0)</f>
        <v>44713</v>
      </c>
      <c r="C12427" s="6">
        <f>IFERROR(__xludf.DUMMYFUNCTION("""COMPUTED_VALUE"""),0.6946064814801503)</f>
        <v>0.6946064815</v>
      </c>
      <c r="D12427" s="4">
        <f>IFERROR(__xludf.DUMMYFUNCTION("""COMPUTED_VALUE"""),12.859471)</f>
        <v>12.859471</v>
      </c>
      <c r="E12427" s="4">
        <f>IFERROR(__xludf.DUMMYFUNCTION("""COMPUTED_VALUE"""),80.07196)</f>
        <v>80.07196</v>
      </c>
      <c r="F12427" s="4">
        <f>IFERROR(__xludf.DUMMYFUNCTION("""COMPUTED_VALUE"""),805.0)</f>
        <v>805</v>
      </c>
      <c r="G12427" s="4">
        <f>IFERROR(__xludf.DUMMYFUNCTION("""COMPUTED_VALUE"""),35.0)</f>
        <v>35</v>
      </c>
      <c r="H12427" s="4"/>
      <c r="I12427" s="4"/>
    </row>
    <row r="12428">
      <c r="A12428" s="4" t="str">
        <f>IFERROR(__xludf.DUMMYFUNCTION("""COMPUTED_VALUE"""),"cas_hmw")</f>
        <v>cas_hmw</v>
      </c>
      <c r="B12428" s="5">
        <f>IFERROR(__xludf.DUMMYFUNCTION("""COMPUTED_VALUE"""),44713.0)</f>
        <v>44713</v>
      </c>
      <c r="C12428" s="6">
        <f>IFERROR(__xludf.DUMMYFUNCTION("""COMPUTED_VALUE"""),0.6946527777763549)</f>
        <v>0.6946527778</v>
      </c>
      <c r="D12428" s="4">
        <f>IFERROR(__xludf.DUMMYFUNCTION("""COMPUTED_VALUE"""),12.859471)</f>
        <v>12.859471</v>
      </c>
      <c r="E12428" s="4">
        <f>IFERROR(__xludf.DUMMYFUNCTION("""COMPUTED_VALUE"""),80.07196)</f>
        <v>80.07196</v>
      </c>
      <c r="F12428" s="4">
        <f>IFERROR(__xludf.DUMMYFUNCTION("""COMPUTED_VALUE"""),805.0)</f>
        <v>805</v>
      </c>
      <c r="G12428" s="4">
        <f>IFERROR(__xludf.DUMMYFUNCTION("""COMPUTED_VALUE"""),35.0)</f>
        <v>35</v>
      </c>
      <c r="H12428" s="4"/>
      <c r="I12428" s="4"/>
    </row>
    <row r="12429">
      <c r="A12429" s="4" t="str">
        <f>IFERROR(__xludf.DUMMYFUNCTION("""COMPUTED_VALUE"""),"cas_hmw")</f>
        <v>cas_hmw</v>
      </c>
      <c r="B12429" s="5">
        <f>IFERROR(__xludf.DUMMYFUNCTION("""COMPUTED_VALUE"""),44713.0)</f>
        <v>44713</v>
      </c>
      <c r="C12429" s="6">
        <f>IFERROR(__xludf.DUMMYFUNCTION("""COMPUTED_VALUE"""),0.6949768518534256)</f>
        <v>0.6949768519</v>
      </c>
      <c r="D12429" s="4">
        <f>IFERROR(__xludf.DUMMYFUNCTION("""COMPUTED_VALUE"""),12.856501)</f>
        <v>12.856501</v>
      </c>
      <c r="E12429" s="4">
        <f>IFERROR(__xludf.DUMMYFUNCTION("""COMPUTED_VALUE"""),80.069621)</f>
        <v>80.069621</v>
      </c>
      <c r="F12429" s="4">
        <f>IFERROR(__xludf.DUMMYFUNCTION("""COMPUTED_VALUE"""),805.0)</f>
        <v>805</v>
      </c>
      <c r="G12429" s="4">
        <f>IFERROR(__xludf.DUMMYFUNCTION("""COMPUTED_VALUE"""),56.0)</f>
        <v>56</v>
      </c>
      <c r="H12429" s="4"/>
      <c r="I12429" s="4"/>
    </row>
    <row r="12430">
      <c r="A12430" s="4" t="str">
        <f>IFERROR(__xludf.DUMMYFUNCTION("""COMPUTED_VALUE"""),"cas_hmw")</f>
        <v>cas_hmw</v>
      </c>
      <c r="B12430" s="5">
        <f>IFERROR(__xludf.DUMMYFUNCTION("""COMPUTED_VALUE"""),44713.0)</f>
        <v>44713</v>
      </c>
      <c r="C12430" s="6">
        <f>IFERROR(__xludf.DUMMYFUNCTION("""COMPUTED_VALUE"""),0.695625000000291)</f>
        <v>0.695625</v>
      </c>
      <c r="D12430" s="4">
        <f>IFERROR(__xludf.DUMMYFUNCTION("""COMPUTED_VALUE"""),12.850645)</f>
        <v>12.850645</v>
      </c>
      <c r="E12430" s="4">
        <f>IFERROR(__xludf.DUMMYFUNCTION("""COMPUTED_VALUE"""),80.06538)</f>
        <v>80.06538</v>
      </c>
      <c r="F12430" s="4">
        <f>IFERROR(__xludf.DUMMYFUNCTION("""COMPUTED_VALUE"""),805.0)</f>
        <v>805</v>
      </c>
      <c r="G12430" s="4">
        <f>IFERROR(__xludf.DUMMYFUNCTION("""COMPUTED_VALUE"""),47.0)</f>
        <v>47</v>
      </c>
      <c r="H12430" s="4"/>
      <c r="I12430" s="4"/>
    </row>
    <row r="12431">
      <c r="A12431" s="4" t="str">
        <f>IFERROR(__xludf.DUMMYFUNCTION("""COMPUTED_VALUE"""),"cas_hmw")</f>
        <v>cas_hmw</v>
      </c>
      <c r="B12431" s="5">
        <f>IFERROR(__xludf.DUMMYFUNCTION("""COMPUTED_VALUE"""),44713.0)</f>
        <v>44713</v>
      </c>
      <c r="C12431" s="6">
        <f>IFERROR(__xludf.DUMMYFUNCTION("""COMPUTED_VALUE"""),0.6956365740734327)</f>
        <v>0.6956365741</v>
      </c>
      <c r="D12431" s="4">
        <f>IFERROR(__xludf.DUMMYFUNCTION("""COMPUTED_VALUE"""),12.850645)</f>
        <v>12.850645</v>
      </c>
      <c r="E12431" s="4">
        <f>IFERROR(__xludf.DUMMYFUNCTION("""COMPUTED_VALUE"""),80.06538)</f>
        <v>80.06538</v>
      </c>
      <c r="F12431" s="4">
        <f>IFERROR(__xludf.DUMMYFUNCTION("""COMPUTED_VALUE"""),805.0)</f>
        <v>805</v>
      </c>
      <c r="G12431" s="4">
        <f>IFERROR(__xludf.DUMMYFUNCTION("""COMPUTED_VALUE"""),47.0)</f>
        <v>47</v>
      </c>
      <c r="H12431" s="4"/>
      <c r="I12431" s="4"/>
    </row>
    <row r="12432">
      <c r="A12432" s="4" t="str">
        <f>IFERROR(__xludf.DUMMYFUNCTION("""COMPUTED_VALUE"""),"cas_hmw")</f>
        <v>cas_hmw</v>
      </c>
      <c r="B12432" s="5">
        <f>IFERROR(__xludf.DUMMYFUNCTION("""COMPUTED_VALUE"""),44713.0)</f>
        <v>44713</v>
      </c>
      <c r="C12432" s="6">
        <f>IFERROR(__xludf.DUMMYFUNCTION("""COMPUTED_VALUE"""),0.6979398148141627)</f>
        <v>0.6979398148</v>
      </c>
      <c r="D12432" s="4">
        <f>IFERROR(__xludf.DUMMYFUNCTION("""COMPUTED_VALUE"""),12.84065)</f>
        <v>12.84065</v>
      </c>
      <c r="E12432" s="4">
        <f>IFERROR(__xludf.DUMMYFUNCTION("""COMPUTED_VALUE"""),80.056479)</f>
        <v>80.056479</v>
      </c>
      <c r="F12432" s="4">
        <f>IFERROR(__xludf.DUMMYFUNCTION("""COMPUTED_VALUE"""),805.0)</f>
        <v>805</v>
      </c>
      <c r="G12432" s="4">
        <f>IFERROR(__xludf.DUMMYFUNCTION("""COMPUTED_VALUE"""),0.0)</f>
        <v>0</v>
      </c>
      <c r="H12432" s="4"/>
      <c r="I12432" s="4"/>
    </row>
    <row r="12433">
      <c r="A12433" s="4" t="str">
        <f>IFERROR(__xludf.DUMMYFUNCTION("""COMPUTED_VALUE"""),"cas_hmw")</f>
        <v>cas_hmw</v>
      </c>
      <c r="B12433" s="5">
        <f>IFERROR(__xludf.DUMMYFUNCTION("""COMPUTED_VALUE"""),44713.0)</f>
        <v>44713</v>
      </c>
      <c r="C12433" s="6">
        <f>IFERROR(__xludf.DUMMYFUNCTION("""COMPUTED_VALUE"""),0.6989930555573665)</f>
        <v>0.6989930556</v>
      </c>
      <c r="D12433" s="4">
        <f>IFERROR(__xludf.DUMMYFUNCTION("""COMPUTED_VALUE"""),12.832443)</f>
        <v>12.832443</v>
      </c>
      <c r="E12433" s="4">
        <f>IFERROR(__xludf.DUMMYFUNCTION("""COMPUTED_VALUE"""),80.047778)</f>
        <v>80.047778</v>
      </c>
      <c r="F12433" s="4">
        <f>IFERROR(__xludf.DUMMYFUNCTION("""COMPUTED_VALUE"""),805.0)</f>
        <v>805</v>
      </c>
      <c r="G12433" s="4">
        <f>IFERROR(__xludf.DUMMYFUNCTION("""COMPUTED_VALUE"""),57.0)</f>
        <v>57</v>
      </c>
      <c r="H12433" s="4"/>
      <c r="I12433" s="4"/>
    </row>
    <row r="12434">
      <c r="A12434" s="4" t="str">
        <f>IFERROR(__xludf.DUMMYFUNCTION("""COMPUTED_VALUE"""),"cas_hmw")</f>
        <v>cas_hmw</v>
      </c>
      <c r="B12434" s="5">
        <f>IFERROR(__xludf.DUMMYFUNCTION("""COMPUTED_VALUE"""),44713.0)</f>
        <v>44713</v>
      </c>
      <c r="C12434" s="6">
        <f>IFERROR(__xludf.DUMMYFUNCTION("""COMPUTED_VALUE"""),0.70061342592453)</f>
        <v>0.7006134259</v>
      </c>
      <c r="D12434" s="4">
        <f>IFERROR(__xludf.DUMMYFUNCTION("""COMPUTED_VALUE"""),12.821134)</f>
        <v>12.821134</v>
      </c>
      <c r="E12434" s="4">
        <f>IFERROR(__xludf.DUMMYFUNCTION("""COMPUTED_VALUE"""),80.037588)</f>
        <v>80.037588</v>
      </c>
      <c r="F12434" s="4">
        <f>IFERROR(__xludf.DUMMYFUNCTION("""COMPUTED_VALUE"""),805.0)</f>
        <v>805</v>
      </c>
      <c r="G12434" s="4">
        <f>IFERROR(__xludf.DUMMYFUNCTION("""COMPUTED_VALUE"""),31.0)</f>
        <v>31</v>
      </c>
      <c r="H12434" s="4"/>
      <c r="I12434" s="4"/>
    </row>
    <row r="12435">
      <c r="A12435" s="4" t="str">
        <f>IFERROR(__xludf.DUMMYFUNCTION("""COMPUTED_VALUE"""),"cas_hmw")</f>
        <v>cas_hmw</v>
      </c>
      <c r="B12435" s="5">
        <f>IFERROR(__xludf.DUMMYFUNCTION("""COMPUTED_VALUE"""),44713.0)</f>
        <v>44713</v>
      </c>
      <c r="C12435" s="6">
        <f>IFERROR(__xludf.DUMMYFUNCTION("""COMPUTED_VALUE"""),0.7027314814804413)</f>
        <v>0.7027314815</v>
      </c>
      <c r="D12435" s="4">
        <f>IFERROR(__xludf.DUMMYFUNCTION("""COMPUTED_VALUE"""),12.80241)</f>
        <v>12.80241</v>
      </c>
      <c r="E12435" s="4">
        <f>IFERROR(__xludf.DUMMYFUNCTION("""COMPUTED_VALUE"""),80.025049)</f>
        <v>80.025049</v>
      </c>
      <c r="F12435" s="4">
        <f>IFERROR(__xludf.DUMMYFUNCTION("""COMPUTED_VALUE"""),805.0)</f>
        <v>805</v>
      </c>
      <c r="G12435" s="4">
        <f>IFERROR(__xludf.DUMMYFUNCTION("""COMPUTED_VALUE"""),57.0)</f>
        <v>57</v>
      </c>
      <c r="H12435" s="4"/>
      <c r="I12435" s="4"/>
    </row>
    <row r="12436">
      <c r="A12436" s="4" t="str">
        <f>IFERROR(__xludf.DUMMYFUNCTION("""COMPUTED_VALUE"""),"cas_hmw")</f>
        <v>cas_hmw</v>
      </c>
      <c r="B12436" s="5">
        <f>IFERROR(__xludf.DUMMYFUNCTION("""COMPUTED_VALUE"""),44713.0)</f>
        <v>44713</v>
      </c>
      <c r="C12436" s="6">
        <f>IFERROR(__xludf.DUMMYFUNCTION("""COMPUTED_VALUE"""),0.703229166665551)</f>
        <v>0.7032291667</v>
      </c>
      <c r="D12436" s="4">
        <f>IFERROR(__xludf.DUMMYFUNCTION("""COMPUTED_VALUE"""),12.798124)</f>
        <v>12.798124</v>
      </c>
      <c r="E12436" s="4">
        <f>IFERROR(__xludf.DUMMYFUNCTION("""COMPUTED_VALUE"""),80.022267)</f>
        <v>80.022267</v>
      </c>
      <c r="F12436" s="4">
        <f>IFERROR(__xludf.DUMMYFUNCTION("""COMPUTED_VALUE"""),805.0)</f>
        <v>805</v>
      </c>
      <c r="G12436" s="4">
        <f>IFERROR(__xludf.DUMMYFUNCTION("""COMPUTED_VALUE"""),50.0)</f>
        <v>50</v>
      </c>
      <c r="H12436" s="4"/>
      <c r="I12436" s="4"/>
    </row>
    <row r="12437">
      <c r="A12437" s="4" t="str">
        <f>IFERROR(__xludf.DUMMYFUNCTION("""COMPUTED_VALUE"""),"cas_hmw")</f>
        <v>cas_hmw</v>
      </c>
      <c r="B12437" s="5">
        <f>IFERROR(__xludf.DUMMYFUNCTION("""COMPUTED_VALUE"""),44713.0)</f>
        <v>44713</v>
      </c>
      <c r="C12437" s="6">
        <f>IFERROR(__xludf.DUMMYFUNCTION("""COMPUTED_VALUE"""),0.7032523148154723)</f>
        <v>0.7032523148</v>
      </c>
      <c r="D12437" s="4">
        <f>IFERROR(__xludf.DUMMYFUNCTION("""COMPUTED_VALUE"""),12.798124)</f>
        <v>12.798124</v>
      </c>
      <c r="E12437" s="4">
        <f>IFERROR(__xludf.DUMMYFUNCTION("""COMPUTED_VALUE"""),80.022267)</f>
        <v>80.022267</v>
      </c>
      <c r="F12437" s="4">
        <f>IFERROR(__xludf.DUMMYFUNCTION("""COMPUTED_VALUE"""),805.0)</f>
        <v>805</v>
      </c>
      <c r="G12437" s="4">
        <f>IFERROR(__xludf.DUMMYFUNCTION("""COMPUTED_VALUE"""),50.0)</f>
        <v>50</v>
      </c>
      <c r="H12437" s="4"/>
      <c r="I12437" s="4"/>
    </row>
    <row r="12438">
      <c r="A12438" s="4" t="str">
        <f>IFERROR(__xludf.DUMMYFUNCTION("""COMPUTED_VALUE"""),"cas_hmw")</f>
        <v>cas_hmw</v>
      </c>
      <c r="B12438" s="5">
        <f>IFERROR(__xludf.DUMMYFUNCTION("""COMPUTED_VALUE"""),44713.0)</f>
        <v>44713</v>
      </c>
      <c r="C12438" s="6">
        <f>IFERROR(__xludf.DUMMYFUNCTION("""COMPUTED_VALUE"""),0.7032523148154723)</f>
        <v>0.7032523148</v>
      </c>
      <c r="D12438" s="4">
        <f>IFERROR(__xludf.DUMMYFUNCTION("""COMPUTED_VALUE"""),12.798124)</f>
        <v>12.798124</v>
      </c>
      <c r="E12438" s="4">
        <f>IFERROR(__xludf.DUMMYFUNCTION("""COMPUTED_VALUE"""),80.022267)</f>
        <v>80.022267</v>
      </c>
      <c r="F12438" s="4">
        <f>IFERROR(__xludf.DUMMYFUNCTION("""COMPUTED_VALUE"""),805.0)</f>
        <v>805</v>
      </c>
      <c r="G12438" s="4">
        <f>IFERROR(__xludf.DUMMYFUNCTION("""COMPUTED_VALUE"""),50.0)</f>
        <v>50</v>
      </c>
      <c r="H12438" s="4"/>
      <c r="I12438" s="4"/>
    </row>
    <row r="12439">
      <c r="A12439" s="4" t="str">
        <f>IFERROR(__xludf.DUMMYFUNCTION("""COMPUTED_VALUE"""),"cas_hmw")</f>
        <v>cas_hmw</v>
      </c>
      <c r="B12439" s="5">
        <f>IFERROR(__xludf.DUMMYFUNCTION("""COMPUTED_VALUE"""),44713.0)</f>
        <v>44713</v>
      </c>
      <c r="C12439" s="6">
        <f>IFERROR(__xludf.DUMMYFUNCTION("""COMPUTED_VALUE"""),0.7128009259249666)</f>
        <v>0.7128009259</v>
      </c>
      <c r="D12439" s="4">
        <f>IFERROR(__xludf.DUMMYFUNCTION("""COMPUTED_VALUE"""),12.723498)</f>
        <v>12.723498</v>
      </c>
      <c r="E12439" s="4">
        <f>IFERROR(__xludf.DUMMYFUNCTION("""COMPUTED_VALUE"""),79.981837)</f>
        <v>79.981837</v>
      </c>
      <c r="F12439" s="4">
        <f>IFERROR(__xludf.DUMMYFUNCTION("""COMPUTED_VALUE"""),805.0)</f>
        <v>805</v>
      </c>
      <c r="G12439" s="4">
        <f>IFERROR(__xludf.DUMMYFUNCTION("""COMPUTED_VALUE"""),28.0)</f>
        <v>28</v>
      </c>
      <c r="H12439" s="4"/>
      <c r="I12439" s="4"/>
    </row>
    <row r="12440">
      <c r="A12440" s="4" t="str">
        <f>IFERROR(__xludf.DUMMYFUNCTION("""COMPUTED_VALUE"""),"cas_hmw")</f>
        <v>cas_hmw</v>
      </c>
      <c r="B12440" s="5">
        <f>IFERROR(__xludf.DUMMYFUNCTION("""COMPUTED_VALUE"""),44713.0)</f>
        <v>44713</v>
      </c>
      <c r="C12440" s="6">
        <f>IFERROR(__xludf.DUMMYFUNCTION("""COMPUTED_VALUE"""),0.7147916666654055)</f>
        <v>0.7147916667</v>
      </c>
      <c r="D12440" s="4">
        <f>IFERROR(__xludf.DUMMYFUNCTION("""COMPUTED_VALUE"""),12.704411)</f>
        <v>12.704411</v>
      </c>
      <c r="E12440" s="4">
        <f>IFERROR(__xludf.DUMMYFUNCTION("""COMPUTED_VALUE"""),79.973162)</f>
        <v>79.973162</v>
      </c>
      <c r="F12440" s="4">
        <f>IFERROR(__xludf.DUMMYFUNCTION("""COMPUTED_VALUE"""),805.0)</f>
        <v>805</v>
      </c>
      <c r="G12440" s="4">
        <f>IFERROR(__xludf.DUMMYFUNCTION("""COMPUTED_VALUE"""),48.0)</f>
        <v>48</v>
      </c>
      <c r="H12440" s="4"/>
      <c r="I12440" s="4"/>
    </row>
    <row r="12441">
      <c r="A12441" s="4" t="str">
        <f>IFERROR(__xludf.DUMMYFUNCTION("""COMPUTED_VALUE"""),"cas_hmw")</f>
        <v>cas_hmw</v>
      </c>
      <c r="B12441" s="5">
        <f>IFERROR(__xludf.DUMMYFUNCTION("""COMPUTED_VALUE"""),44713.0)</f>
        <v>44713</v>
      </c>
      <c r="C12441" s="6">
        <f>IFERROR(__xludf.DUMMYFUNCTION("""COMPUTED_VALUE"""),0.7150000000001455)</f>
        <v>0.715</v>
      </c>
      <c r="D12441" s="4">
        <f>IFERROR(__xludf.DUMMYFUNCTION("""COMPUTED_VALUE"""),12.703771)</f>
        <v>12.703771</v>
      </c>
      <c r="E12441" s="4">
        <f>IFERROR(__xludf.DUMMYFUNCTION("""COMPUTED_VALUE"""),79.972302)</f>
        <v>79.972302</v>
      </c>
      <c r="F12441" s="4">
        <f>IFERROR(__xludf.DUMMYFUNCTION("""COMPUTED_VALUE"""),805.0)</f>
        <v>805</v>
      </c>
      <c r="G12441" s="4">
        <f>IFERROR(__xludf.DUMMYFUNCTION("""COMPUTED_VALUE"""),40.0)</f>
        <v>40</v>
      </c>
      <c r="H12441" s="4"/>
      <c r="I12441" s="4"/>
    </row>
    <row r="12442">
      <c r="A12442" s="4" t="str">
        <f>IFERROR(__xludf.DUMMYFUNCTION("""COMPUTED_VALUE"""),"cas_hmw")</f>
        <v>cas_hmw</v>
      </c>
      <c r="B12442" s="5">
        <f>IFERROR(__xludf.DUMMYFUNCTION("""COMPUTED_VALUE"""),44713.0)</f>
        <v>44713</v>
      </c>
      <c r="C12442" s="6">
        <f>IFERROR(__xludf.DUMMYFUNCTION("""COMPUTED_VALUE"""),0.7152199074080272)</f>
        <v>0.7152199074</v>
      </c>
      <c r="D12442" s="4">
        <f>IFERROR(__xludf.DUMMYFUNCTION("""COMPUTED_VALUE"""),12.702188)</f>
        <v>12.702188</v>
      </c>
      <c r="E12442" s="4">
        <f>IFERROR(__xludf.DUMMYFUNCTION("""COMPUTED_VALUE"""),79.970316)</f>
        <v>79.970316</v>
      </c>
      <c r="F12442" s="4">
        <f>IFERROR(__xludf.DUMMYFUNCTION("""COMPUTED_VALUE"""),805.0)</f>
        <v>805</v>
      </c>
      <c r="G12442" s="4">
        <f>IFERROR(__xludf.DUMMYFUNCTION("""COMPUTED_VALUE"""),53.0)</f>
        <v>53</v>
      </c>
      <c r="H12442" s="4"/>
      <c r="I12442" s="4"/>
    </row>
    <row r="12443">
      <c r="A12443" s="4" t="str">
        <f>IFERROR(__xludf.DUMMYFUNCTION("""COMPUTED_VALUE"""),"cas_hmw")</f>
        <v>cas_hmw</v>
      </c>
      <c r="B12443" s="5">
        <f>IFERROR(__xludf.DUMMYFUNCTION("""COMPUTED_VALUE"""),44713.0)</f>
        <v>44713</v>
      </c>
      <c r="C12443" s="6">
        <f>IFERROR(__xludf.DUMMYFUNCTION("""COMPUTED_VALUE"""),0.7152777777773736)</f>
        <v>0.7152777778</v>
      </c>
      <c r="D12443" s="4">
        <f>IFERROR(__xludf.DUMMYFUNCTION("""COMPUTED_VALUE"""),12.702188)</f>
        <v>12.702188</v>
      </c>
      <c r="E12443" s="4">
        <f>IFERROR(__xludf.DUMMYFUNCTION("""COMPUTED_VALUE"""),79.970316)</f>
        <v>79.970316</v>
      </c>
      <c r="F12443" s="4">
        <f>IFERROR(__xludf.DUMMYFUNCTION("""COMPUTED_VALUE"""),805.0)</f>
        <v>805</v>
      </c>
      <c r="G12443" s="4">
        <f>IFERROR(__xludf.DUMMYFUNCTION("""COMPUTED_VALUE"""),53.0)</f>
        <v>53</v>
      </c>
      <c r="H12443" s="4"/>
      <c r="I12443" s="4"/>
    </row>
    <row r="12444">
      <c r="A12444" s="4" t="str">
        <f>IFERROR(__xludf.DUMMYFUNCTION("""COMPUTED_VALUE"""),"cas_hmw")</f>
        <v>cas_hmw</v>
      </c>
      <c r="B12444" s="5">
        <f>IFERROR(__xludf.DUMMYFUNCTION("""COMPUTED_VALUE"""),44713.0)</f>
        <v>44713</v>
      </c>
      <c r="C12444" s="6">
        <f>IFERROR(__xludf.DUMMYFUNCTION("""COMPUTED_VALUE"""),0.7171296296291985)</f>
        <v>0.7171296296</v>
      </c>
      <c r="D12444" s="4">
        <f>IFERROR(__xludf.DUMMYFUNCTION("""COMPUTED_VALUE"""),12.69758)</f>
        <v>12.69758</v>
      </c>
      <c r="E12444" s="4">
        <f>IFERROR(__xludf.DUMMYFUNCTION("""COMPUTED_VALUE"""),79.975137)</f>
        <v>79.975137</v>
      </c>
      <c r="F12444" s="4">
        <f>IFERROR(__xludf.DUMMYFUNCTION("""COMPUTED_VALUE"""),805.0)</f>
        <v>805</v>
      </c>
      <c r="G12444" s="4">
        <f>IFERROR(__xludf.DUMMYFUNCTION("""COMPUTED_VALUE"""),31.0)</f>
        <v>31</v>
      </c>
      <c r="H12444" s="4"/>
      <c r="I12444" s="4"/>
    </row>
    <row r="12445">
      <c r="A12445" s="4" t="str">
        <f>IFERROR(__xludf.DUMMYFUNCTION("""COMPUTED_VALUE"""),"cas_hmw")</f>
        <v>cas_hmw</v>
      </c>
      <c r="B12445" s="5">
        <f>IFERROR(__xludf.DUMMYFUNCTION("""COMPUTED_VALUE"""),44713.0)</f>
        <v>44713</v>
      </c>
      <c r="C12445" s="6">
        <f>IFERROR(__xludf.DUMMYFUNCTION("""COMPUTED_VALUE"""),0.718506944445835)</f>
        <v>0.7185069444</v>
      </c>
      <c r="D12445" s="4">
        <f>IFERROR(__xludf.DUMMYFUNCTION("""COMPUTED_VALUE"""),12.694532)</f>
        <v>12.694532</v>
      </c>
      <c r="E12445" s="4">
        <f>IFERROR(__xludf.DUMMYFUNCTION("""COMPUTED_VALUE"""),79.978446)</f>
        <v>79.978446</v>
      </c>
      <c r="F12445" s="4">
        <f>IFERROR(__xludf.DUMMYFUNCTION("""COMPUTED_VALUE"""),805.0)</f>
        <v>805</v>
      </c>
      <c r="G12445" s="4">
        <f>IFERROR(__xludf.DUMMYFUNCTION("""COMPUTED_VALUE"""),28.0)</f>
        <v>28</v>
      </c>
      <c r="H12445" s="4"/>
      <c r="I12445" s="4"/>
    </row>
    <row r="12446">
      <c r="A12446" s="4" t="str">
        <f>IFERROR(__xludf.DUMMYFUNCTION("""COMPUTED_VALUE"""),"cas_hmw")</f>
        <v>cas_hmw</v>
      </c>
      <c r="B12446" s="5">
        <f>IFERROR(__xludf.DUMMYFUNCTION("""COMPUTED_VALUE"""),44713.0)</f>
        <v>44713</v>
      </c>
      <c r="C12446" s="6">
        <f>IFERROR(__xludf.DUMMYFUNCTION("""COMPUTED_VALUE"""),0.7223958333343035)</f>
        <v>0.7223958333</v>
      </c>
      <c r="D12446" s="4">
        <f>IFERROR(__xludf.DUMMYFUNCTION("""COMPUTED_VALUE"""),12.681486)</f>
        <v>12.681486</v>
      </c>
      <c r="E12446" s="4">
        <f>IFERROR(__xludf.DUMMYFUNCTION("""COMPUTED_VALUE"""),79.981856)</f>
        <v>79.981856</v>
      </c>
      <c r="F12446" s="4">
        <f>IFERROR(__xludf.DUMMYFUNCTION("""COMPUTED_VALUE"""),805.0)</f>
        <v>805</v>
      </c>
      <c r="G12446" s="4">
        <f>IFERROR(__xludf.DUMMYFUNCTION("""COMPUTED_VALUE"""),37.0)</f>
        <v>37</v>
      </c>
      <c r="H12446" s="4"/>
      <c r="I12446" s="4"/>
    </row>
    <row r="12447">
      <c r="A12447" s="4" t="str">
        <f>IFERROR(__xludf.DUMMYFUNCTION("""COMPUTED_VALUE"""),"cas_hmw")</f>
        <v>cas_hmw</v>
      </c>
      <c r="B12447" s="5">
        <f>IFERROR(__xludf.DUMMYFUNCTION("""COMPUTED_VALUE"""),44713.0)</f>
        <v>44713</v>
      </c>
      <c r="C12447" s="6">
        <f>IFERROR(__xludf.DUMMYFUNCTION("""COMPUTED_VALUE"""),0.7224305555573665)</f>
        <v>0.7224305556</v>
      </c>
      <c r="D12447" s="4">
        <f>IFERROR(__xludf.DUMMYFUNCTION("""COMPUTED_VALUE"""),12.680532)</f>
        <v>12.680532</v>
      </c>
      <c r="E12447" s="4">
        <f>IFERROR(__xludf.DUMMYFUNCTION("""COMPUTED_VALUE"""),79.981268)</f>
        <v>79.981268</v>
      </c>
      <c r="F12447" s="4">
        <f>IFERROR(__xludf.DUMMYFUNCTION("""COMPUTED_VALUE"""),805.0)</f>
        <v>805</v>
      </c>
      <c r="G12447" s="4">
        <f>IFERROR(__xludf.DUMMYFUNCTION("""COMPUTED_VALUE"""),38.0)</f>
        <v>38</v>
      </c>
      <c r="H12447" s="4"/>
      <c r="I12447" s="4"/>
    </row>
    <row r="12448">
      <c r="A12448" s="4" t="str">
        <f>IFERROR(__xludf.DUMMYFUNCTION("""COMPUTED_VALUE"""),"cas_hmw")</f>
        <v>cas_hmw</v>
      </c>
      <c r="B12448" s="5">
        <f>IFERROR(__xludf.DUMMYFUNCTION("""COMPUTED_VALUE"""),44713.0)</f>
        <v>44713</v>
      </c>
      <c r="C12448" s="6">
        <f>IFERROR(__xludf.DUMMYFUNCTION("""COMPUTED_VALUE"""),0.7224421296305081)</f>
        <v>0.7224421296</v>
      </c>
      <c r="D12448" s="4">
        <f>IFERROR(__xludf.DUMMYFUNCTION("""COMPUTED_VALUE"""),12.680532)</f>
        <v>12.680532</v>
      </c>
      <c r="E12448" s="4">
        <f>IFERROR(__xludf.DUMMYFUNCTION("""COMPUTED_VALUE"""),79.981268)</f>
        <v>79.981268</v>
      </c>
      <c r="F12448" s="4">
        <f>IFERROR(__xludf.DUMMYFUNCTION("""COMPUTED_VALUE"""),805.0)</f>
        <v>805</v>
      </c>
      <c r="G12448" s="4">
        <f>IFERROR(__xludf.DUMMYFUNCTION("""COMPUTED_VALUE"""),38.0)</f>
        <v>38</v>
      </c>
      <c r="H12448" s="4"/>
      <c r="I12448" s="4"/>
    </row>
    <row r="12449">
      <c r="A12449" s="4" t="str">
        <f>IFERROR(__xludf.DUMMYFUNCTION("""COMPUTED_VALUE"""),"cas_hmw")</f>
        <v>cas_hmw</v>
      </c>
      <c r="B12449" s="5">
        <f>IFERROR(__xludf.DUMMYFUNCTION("""COMPUTED_VALUE"""),44713.0)</f>
        <v>44713</v>
      </c>
      <c r="C12449" s="6">
        <f>IFERROR(__xludf.DUMMYFUNCTION("""COMPUTED_VALUE"""),0.7291666666678793)</f>
        <v>0.7291666667</v>
      </c>
      <c r="D12449" s="4">
        <f>IFERROR(__xludf.DUMMYFUNCTION("""COMPUTED_VALUE"""),12.653173)</f>
        <v>12.653173</v>
      </c>
      <c r="E12449" s="4">
        <f>IFERROR(__xludf.DUMMYFUNCTION("""COMPUTED_VALUE"""),79.942308)</f>
        <v>79.942308</v>
      </c>
      <c r="F12449" s="4">
        <f>IFERROR(__xludf.DUMMYFUNCTION("""COMPUTED_VALUE"""),805.0)</f>
        <v>805</v>
      </c>
      <c r="G12449" s="4">
        <f>IFERROR(__xludf.DUMMYFUNCTION("""COMPUTED_VALUE"""),51.0)</f>
        <v>51</v>
      </c>
      <c r="H12449" s="4"/>
      <c r="I12449" s="4"/>
    </row>
    <row r="12450">
      <c r="A12450" s="4" t="str">
        <f>IFERROR(__xludf.DUMMYFUNCTION("""COMPUTED_VALUE"""),"cas_hmw")</f>
        <v>cas_hmw</v>
      </c>
      <c r="B12450" s="5">
        <f>IFERROR(__xludf.DUMMYFUNCTION("""COMPUTED_VALUE"""),44713.0)</f>
        <v>44713</v>
      </c>
      <c r="C12450" s="6">
        <f>IFERROR(__xludf.DUMMYFUNCTION("""COMPUTED_VALUE"""),0.7297106481491937)</f>
        <v>0.7297106481</v>
      </c>
      <c r="D12450" s="4">
        <f>IFERROR(__xludf.DUMMYFUNCTION("""COMPUTED_VALUE"""),12.647325)</f>
        <v>12.647325</v>
      </c>
      <c r="E12450" s="4">
        <f>IFERROR(__xludf.DUMMYFUNCTION("""COMPUTED_VALUE"""),79.940521)</f>
        <v>79.940521</v>
      </c>
      <c r="F12450" s="4">
        <f>IFERROR(__xludf.DUMMYFUNCTION("""COMPUTED_VALUE"""),805.0)</f>
        <v>805</v>
      </c>
      <c r="G12450" s="4">
        <f>IFERROR(__xludf.DUMMYFUNCTION("""COMPUTED_VALUE"""),50.0)</f>
        <v>50</v>
      </c>
      <c r="H12450" s="4"/>
      <c r="I12450" s="4"/>
    </row>
    <row r="12451">
      <c r="A12451" s="4" t="str">
        <f>IFERROR(__xludf.DUMMYFUNCTION("""COMPUTED_VALUE"""),"cas_hmw")</f>
        <v>cas_hmw</v>
      </c>
      <c r="B12451" s="5">
        <f>IFERROR(__xludf.DUMMYFUNCTION("""COMPUTED_VALUE"""),44713.0)</f>
        <v>44713</v>
      </c>
      <c r="C12451" s="6">
        <f>IFERROR(__xludf.DUMMYFUNCTION("""COMPUTED_VALUE"""),0.7323263888902147)</f>
        <v>0.7323263889</v>
      </c>
      <c r="D12451" s="4">
        <f>IFERROR(__xludf.DUMMYFUNCTION("""COMPUTED_VALUE"""),12.618543)</f>
        <v>12.618543</v>
      </c>
      <c r="E12451" s="4">
        <f>IFERROR(__xludf.DUMMYFUNCTION("""COMPUTED_VALUE"""),79.926772)</f>
        <v>79.926772</v>
      </c>
      <c r="F12451" s="4">
        <f>IFERROR(__xludf.DUMMYFUNCTION("""COMPUTED_VALUE"""),805.0)</f>
        <v>805</v>
      </c>
      <c r="G12451" s="4">
        <f>IFERROR(__xludf.DUMMYFUNCTION("""COMPUTED_VALUE"""),58.0)</f>
        <v>58</v>
      </c>
      <c r="H12451" s="4"/>
      <c r="I12451" s="4"/>
    </row>
    <row r="12452">
      <c r="A12452" s="4" t="str">
        <f>IFERROR(__xludf.DUMMYFUNCTION("""COMPUTED_VALUE"""),"cas_hmw")</f>
        <v>cas_hmw</v>
      </c>
      <c r="B12452" s="5">
        <f>IFERROR(__xludf.DUMMYFUNCTION("""COMPUTED_VALUE"""),44713.0)</f>
        <v>44713</v>
      </c>
      <c r="C12452" s="6">
        <f>IFERROR(__xludf.DUMMYFUNCTION("""COMPUTED_VALUE"""),0.7327546296291985)</f>
        <v>0.7327546296</v>
      </c>
      <c r="D12452" s="4">
        <f>IFERROR(__xludf.DUMMYFUNCTION("""COMPUTED_VALUE"""),12.614432)</f>
        <v>12.614432</v>
      </c>
      <c r="E12452" s="4">
        <f>IFERROR(__xludf.DUMMYFUNCTION("""COMPUTED_VALUE"""),79.925271)</f>
        <v>79.925271</v>
      </c>
      <c r="F12452" s="4">
        <f>IFERROR(__xludf.DUMMYFUNCTION("""COMPUTED_VALUE"""),805.0)</f>
        <v>805</v>
      </c>
      <c r="G12452" s="4">
        <f>IFERROR(__xludf.DUMMYFUNCTION("""COMPUTED_VALUE"""),58.0)</f>
        <v>58</v>
      </c>
      <c r="H12452" s="4"/>
      <c r="I12452" s="4"/>
    </row>
    <row r="12453">
      <c r="A12453" s="4" t="str">
        <f>IFERROR(__xludf.DUMMYFUNCTION("""COMPUTED_VALUE"""),"cas_hmw")</f>
        <v>cas_hmw</v>
      </c>
      <c r="B12453" s="5">
        <f>IFERROR(__xludf.DUMMYFUNCTION("""COMPUTED_VALUE"""),44713.0)</f>
        <v>44713</v>
      </c>
      <c r="C12453" s="6">
        <f>IFERROR(__xludf.DUMMYFUNCTION("""COMPUTED_VALUE"""),0.7327893518522615)</f>
        <v>0.7327893519</v>
      </c>
      <c r="D12453" s="4">
        <f>IFERROR(__xludf.DUMMYFUNCTION("""COMPUTED_VALUE"""),12.612638)</f>
        <v>12.612638</v>
      </c>
      <c r="E12453" s="4">
        <f>IFERROR(__xludf.DUMMYFUNCTION("""COMPUTED_VALUE"""),79.924241)</f>
        <v>79.924241</v>
      </c>
      <c r="F12453" s="4">
        <f>IFERROR(__xludf.DUMMYFUNCTION("""COMPUTED_VALUE"""),805.0)</f>
        <v>805</v>
      </c>
      <c r="G12453" s="4">
        <f>IFERROR(__xludf.DUMMYFUNCTION("""COMPUTED_VALUE"""),55.0)</f>
        <v>55</v>
      </c>
      <c r="H12453" s="4"/>
      <c r="I12453" s="4"/>
    </row>
    <row r="12454">
      <c r="A12454" s="4" t="str">
        <f>IFERROR(__xludf.DUMMYFUNCTION("""COMPUTED_VALUE"""),"cas_hmw")</f>
        <v>cas_hmw</v>
      </c>
      <c r="B12454" s="5">
        <f>IFERROR(__xludf.DUMMYFUNCTION("""COMPUTED_VALUE"""),44713.0)</f>
        <v>44713</v>
      </c>
      <c r="C12454" s="6">
        <f>IFERROR(__xludf.DUMMYFUNCTION("""COMPUTED_VALUE"""),0.7356250000011642)</f>
        <v>0.735625</v>
      </c>
      <c r="D12454" s="4">
        <f>IFERROR(__xludf.DUMMYFUNCTION("""COMPUTED_VALUE"""),12.580941)</f>
        <v>12.580941</v>
      </c>
      <c r="E12454" s="4">
        <f>IFERROR(__xludf.DUMMYFUNCTION("""COMPUTED_VALUE"""),79.918765)</f>
        <v>79.918765</v>
      </c>
      <c r="F12454" s="4">
        <f>IFERROR(__xludf.DUMMYFUNCTION("""COMPUTED_VALUE"""),805.0)</f>
        <v>805</v>
      </c>
      <c r="G12454" s="4">
        <f>IFERROR(__xludf.DUMMYFUNCTION("""COMPUTED_VALUE"""),58.0)</f>
        <v>58</v>
      </c>
      <c r="H12454" s="4"/>
      <c r="I12454" s="4"/>
    </row>
    <row r="12455">
      <c r="A12455" s="4" t="str">
        <f>IFERROR(__xludf.DUMMYFUNCTION("""COMPUTED_VALUE"""),"cas_hmw")</f>
        <v>cas_hmw</v>
      </c>
      <c r="B12455" s="5">
        <f>IFERROR(__xludf.DUMMYFUNCTION("""COMPUTED_VALUE"""),44713.0)</f>
        <v>44713</v>
      </c>
      <c r="C12455" s="6">
        <f>IFERROR(__xludf.DUMMYFUNCTION("""COMPUTED_VALUE"""),0.7357060185167938)</f>
        <v>0.7357060185</v>
      </c>
      <c r="D12455" s="4">
        <f>IFERROR(__xludf.DUMMYFUNCTION("""COMPUTED_VALUE"""),12.578793)</f>
        <v>12.578793</v>
      </c>
      <c r="E12455" s="4">
        <f>IFERROR(__xludf.DUMMYFUNCTION("""COMPUTED_VALUE"""),79.917837)</f>
        <v>79.917837</v>
      </c>
      <c r="F12455" s="4">
        <f>IFERROR(__xludf.DUMMYFUNCTION("""COMPUTED_VALUE"""),805.0)</f>
        <v>805</v>
      </c>
      <c r="G12455" s="4">
        <f>IFERROR(__xludf.DUMMYFUNCTION("""COMPUTED_VALUE"""),58.0)</f>
        <v>58</v>
      </c>
      <c r="H12455" s="4"/>
      <c r="I12455" s="4"/>
    </row>
    <row r="12456">
      <c r="A12456" s="4" t="str">
        <f>IFERROR(__xludf.DUMMYFUNCTION("""COMPUTED_VALUE"""),"cas_hmw")</f>
        <v>cas_hmw</v>
      </c>
      <c r="B12456" s="5">
        <f>IFERROR(__xludf.DUMMYFUNCTION("""COMPUTED_VALUE"""),44713.0)</f>
        <v>44713</v>
      </c>
      <c r="C12456" s="6">
        <f>IFERROR(__xludf.DUMMYFUNCTION("""COMPUTED_VALUE"""),0.7359143518515339)</f>
        <v>0.7359143519</v>
      </c>
      <c r="D12456" s="4">
        <f>IFERROR(__xludf.DUMMYFUNCTION("""COMPUTED_VALUE"""),12.576391)</f>
        <v>12.576391</v>
      </c>
      <c r="E12456" s="4">
        <f>IFERROR(__xludf.DUMMYFUNCTION("""COMPUTED_VALUE"""),79.917196)</f>
        <v>79.917196</v>
      </c>
      <c r="F12456" s="4">
        <f>IFERROR(__xludf.DUMMYFUNCTION("""COMPUTED_VALUE"""),805.0)</f>
        <v>805</v>
      </c>
      <c r="G12456" s="4">
        <f>IFERROR(__xludf.DUMMYFUNCTION("""COMPUTED_VALUE"""),57.0)</f>
        <v>57</v>
      </c>
      <c r="H12456" s="4"/>
      <c r="I12456" s="4"/>
    </row>
    <row r="12457">
      <c r="A12457" s="4" t="str">
        <f>IFERROR(__xludf.DUMMYFUNCTION("""COMPUTED_VALUE"""),"cas_hmw")</f>
        <v>cas_hmw</v>
      </c>
      <c r="B12457" s="5">
        <f>IFERROR(__xludf.DUMMYFUNCTION("""COMPUTED_VALUE"""),44713.0)</f>
        <v>44713</v>
      </c>
      <c r="C12457" s="6">
        <f>IFERROR(__xludf.DUMMYFUNCTION("""COMPUTED_VALUE"""),0.7359953703708015)</f>
        <v>0.7359953704</v>
      </c>
      <c r="D12457" s="4">
        <f>IFERROR(__xludf.DUMMYFUNCTION("""COMPUTED_VALUE"""),12.576391)</f>
        <v>12.576391</v>
      </c>
      <c r="E12457" s="4">
        <f>IFERROR(__xludf.DUMMYFUNCTION("""COMPUTED_VALUE"""),79.917196)</f>
        <v>79.917196</v>
      </c>
      <c r="F12457" s="4">
        <f>IFERROR(__xludf.DUMMYFUNCTION("""COMPUTED_VALUE"""),805.0)</f>
        <v>805</v>
      </c>
      <c r="G12457" s="4">
        <f>IFERROR(__xludf.DUMMYFUNCTION("""COMPUTED_VALUE"""),57.0)</f>
        <v>57</v>
      </c>
      <c r="H12457" s="4"/>
      <c r="I12457" s="4"/>
    </row>
    <row r="12458">
      <c r="A12458" s="4" t="str">
        <f>IFERROR(__xludf.DUMMYFUNCTION("""COMPUTED_VALUE"""),"cas_hmw")</f>
        <v>cas_hmw</v>
      </c>
      <c r="B12458" s="5">
        <f>IFERROR(__xludf.DUMMYFUNCTION("""COMPUTED_VALUE"""),44713.0)</f>
        <v>44713</v>
      </c>
      <c r="C12458" s="6">
        <f>IFERROR(__xludf.DUMMYFUNCTION("""COMPUTED_VALUE"""),0.7363194444442343)</f>
        <v>0.7363194444</v>
      </c>
      <c r="D12458" s="4">
        <f>IFERROR(__xludf.DUMMYFUNCTION("""COMPUTED_VALUE"""),12.571883)</f>
        <v>12.571883</v>
      </c>
      <c r="E12458" s="4">
        <f>IFERROR(__xludf.DUMMYFUNCTION("""COMPUTED_VALUE"""),79.916218)</f>
        <v>79.916218</v>
      </c>
      <c r="F12458" s="4">
        <f>IFERROR(__xludf.DUMMYFUNCTION("""COMPUTED_VALUE"""),805.0)</f>
        <v>805</v>
      </c>
      <c r="G12458" s="4">
        <f>IFERROR(__xludf.DUMMYFUNCTION("""COMPUTED_VALUE"""),55.0)</f>
        <v>55</v>
      </c>
      <c r="H12458" s="4"/>
      <c r="I12458" s="4"/>
    </row>
    <row r="12459">
      <c r="A12459" s="4" t="str">
        <f>IFERROR(__xludf.DUMMYFUNCTION("""COMPUTED_VALUE"""),"cas_hmw")</f>
        <v>cas_hmw</v>
      </c>
      <c r="B12459" s="5">
        <f>IFERROR(__xludf.DUMMYFUNCTION("""COMPUTED_VALUE"""),44713.0)</f>
        <v>44713</v>
      </c>
      <c r="C12459" s="6">
        <f>IFERROR(__xludf.DUMMYFUNCTION("""COMPUTED_VALUE"""),0.7422800925924093)</f>
        <v>0.7422800926</v>
      </c>
      <c r="D12459" s="4">
        <f>IFERROR(__xludf.DUMMYFUNCTION("""COMPUTED_VALUE"""),12.514417)</f>
        <v>12.514417</v>
      </c>
      <c r="E12459" s="4">
        <f>IFERROR(__xludf.DUMMYFUNCTION("""COMPUTED_VALUE"""),79.888285)</f>
        <v>79.888285</v>
      </c>
      <c r="F12459" s="4">
        <f>IFERROR(__xludf.DUMMYFUNCTION("""COMPUTED_VALUE"""),805.0)</f>
        <v>805</v>
      </c>
      <c r="G12459" s="4">
        <f>IFERROR(__xludf.DUMMYFUNCTION("""COMPUTED_VALUE"""),17.0)</f>
        <v>17</v>
      </c>
      <c r="H12459" s="4"/>
      <c r="I12459" s="4"/>
    </row>
    <row r="12460">
      <c r="A12460" s="4" t="str">
        <f>IFERROR(__xludf.DUMMYFUNCTION("""COMPUTED_VALUE"""),"cas_hmw")</f>
        <v>cas_hmw</v>
      </c>
      <c r="B12460" s="5">
        <f>IFERROR(__xludf.DUMMYFUNCTION("""COMPUTED_VALUE"""),44713.0)</f>
        <v>44713</v>
      </c>
      <c r="C12460" s="6">
        <f>IFERROR(__xludf.DUMMYFUNCTION("""COMPUTED_VALUE"""),0.7454050925916818)</f>
        <v>0.7454050926</v>
      </c>
      <c r="D12460" s="4">
        <f>IFERROR(__xludf.DUMMYFUNCTION("""COMPUTED_VALUE"""),12.504652)</f>
        <v>12.504652</v>
      </c>
      <c r="E12460" s="4">
        <f>IFERROR(__xludf.DUMMYFUNCTION("""COMPUTED_VALUE"""),79.879036)</f>
        <v>79.879036</v>
      </c>
      <c r="F12460" s="4">
        <f>IFERROR(__xludf.DUMMYFUNCTION("""COMPUTED_VALUE"""),805.0)</f>
        <v>805</v>
      </c>
      <c r="G12460" s="4">
        <f>IFERROR(__xludf.DUMMYFUNCTION("""COMPUTED_VALUE"""),52.0)</f>
        <v>52</v>
      </c>
      <c r="H12460" s="4"/>
      <c r="I12460" s="4"/>
    </row>
    <row r="12461">
      <c r="A12461" s="4" t="str">
        <f>IFERROR(__xludf.DUMMYFUNCTION("""COMPUTED_VALUE"""),"cas_hmw")</f>
        <v>cas_hmw</v>
      </c>
      <c r="B12461" s="5">
        <f>IFERROR(__xludf.DUMMYFUNCTION("""COMPUTED_VALUE"""),44713.0)</f>
        <v>44713</v>
      </c>
      <c r="C12461" s="6">
        <f>IFERROR(__xludf.DUMMYFUNCTION("""COMPUTED_VALUE"""),0.7521412037021946)</f>
        <v>0.7521412037</v>
      </c>
      <c r="D12461" s="4">
        <f>IFERROR(__xludf.DUMMYFUNCTION("""COMPUTED_VALUE"""),12.543968)</f>
        <v>12.543968</v>
      </c>
      <c r="E12461" s="4">
        <f>IFERROR(__xludf.DUMMYFUNCTION("""COMPUTED_VALUE"""),79.904934)</f>
        <v>79.904934</v>
      </c>
      <c r="F12461" s="4">
        <f>IFERROR(__xludf.DUMMYFUNCTION("""COMPUTED_VALUE"""),805.0)</f>
        <v>805</v>
      </c>
      <c r="G12461" s="4">
        <f>IFERROR(__xludf.DUMMYFUNCTION("""COMPUTED_VALUE"""),59.0)</f>
        <v>59</v>
      </c>
      <c r="H12461" s="4"/>
      <c r="I12461" s="4"/>
    </row>
    <row r="12462">
      <c r="A12462" s="4" t="str">
        <f>IFERROR(__xludf.DUMMYFUNCTION("""COMPUTED_VALUE"""),"cas_hmw")</f>
        <v>cas_hmw</v>
      </c>
      <c r="B12462" s="5">
        <f>IFERROR(__xludf.DUMMYFUNCTION("""COMPUTED_VALUE"""),44713.0)</f>
        <v>44713</v>
      </c>
      <c r="C12462" s="6">
        <f>IFERROR(__xludf.DUMMYFUNCTION("""COMPUTED_VALUE"""),0.7540509259270038)</f>
        <v>0.7540509259</v>
      </c>
      <c r="D12462" s="4">
        <f>IFERROR(__xludf.DUMMYFUNCTION("""COMPUTED_VALUE"""),12.56422)</f>
        <v>12.56422</v>
      </c>
      <c r="E12462" s="4">
        <f>IFERROR(__xludf.DUMMYFUNCTION("""COMPUTED_VALUE"""),79.913604)</f>
        <v>79.913604</v>
      </c>
      <c r="F12462" s="4">
        <f>IFERROR(__xludf.DUMMYFUNCTION("""COMPUTED_VALUE"""),805.0)</f>
        <v>805</v>
      </c>
      <c r="G12462" s="4">
        <f>IFERROR(__xludf.DUMMYFUNCTION("""COMPUTED_VALUE"""),58.0)</f>
        <v>58</v>
      </c>
      <c r="H12462" s="4"/>
      <c r="I12462" s="4"/>
    </row>
    <row r="12463">
      <c r="A12463" s="4" t="str">
        <f>IFERROR(__xludf.DUMMYFUNCTION("""COMPUTED_VALUE"""),"cas_hmw")</f>
        <v>cas_hmw</v>
      </c>
      <c r="B12463" s="5">
        <f>IFERROR(__xludf.DUMMYFUNCTION("""COMPUTED_VALUE"""),44713.0)</f>
        <v>44713</v>
      </c>
      <c r="C12463" s="6">
        <f>IFERROR(__xludf.DUMMYFUNCTION("""COMPUTED_VALUE"""),0.75550925925927)</f>
        <v>0.7555092593</v>
      </c>
      <c r="D12463" s="4">
        <f>IFERROR(__xludf.DUMMYFUNCTION("""COMPUTED_VALUE"""),12.582019)</f>
        <v>12.582019</v>
      </c>
      <c r="E12463" s="4">
        <f>IFERROR(__xludf.DUMMYFUNCTION("""COMPUTED_VALUE"""),79.91889)</f>
        <v>79.91889</v>
      </c>
      <c r="F12463" s="4">
        <f>IFERROR(__xludf.DUMMYFUNCTION("""COMPUTED_VALUE"""),805.0)</f>
        <v>805</v>
      </c>
      <c r="G12463" s="4">
        <f>IFERROR(__xludf.DUMMYFUNCTION("""COMPUTED_VALUE"""),57.0)</f>
        <v>57</v>
      </c>
      <c r="H12463" s="4"/>
      <c r="I12463" s="4"/>
    </row>
    <row r="12464">
      <c r="A12464" s="4" t="str">
        <f>IFERROR(__xludf.DUMMYFUNCTION("""COMPUTED_VALUE"""),"cas_hmw")</f>
        <v>cas_hmw</v>
      </c>
      <c r="B12464" s="5">
        <f>IFERROR(__xludf.DUMMYFUNCTION("""COMPUTED_VALUE"""),44713.0)</f>
        <v>44713</v>
      </c>
      <c r="C12464" s="6">
        <f>IFERROR(__xludf.DUMMYFUNCTION("""COMPUTED_VALUE"""),0.7568402777760639)</f>
        <v>0.7568402778</v>
      </c>
      <c r="D12464" s="4">
        <f>IFERROR(__xludf.DUMMYFUNCTION("""COMPUTED_VALUE"""),12.598005)</f>
        <v>12.598005</v>
      </c>
      <c r="E12464" s="4">
        <f>IFERROR(__xludf.DUMMYFUNCTION("""COMPUTED_VALUE"""),79.919608)</f>
        <v>79.919608</v>
      </c>
      <c r="F12464" s="4">
        <f>IFERROR(__xludf.DUMMYFUNCTION("""COMPUTED_VALUE"""),805.0)</f>
        <v>805</v>
      </c>
      <c r="G12464" s="4">
        <f>IFERROR(__xludf.DUMMYFUNCTION("""COMPUTED_VALUE"""),58.0)</f>
        <v>58</v>
      </c>
      <c r="H12464" s="4"/>
      <c r="I12464" s="4"/>
    </row>
    <row r="12465">
      <c r="A12465" s="4" t="str">
        <f>IFERROR(__xludf.DUMMYFUNCTION("""COMPUTED_VALUE"""),"cas_hmw")</f>
        <v>cas_hmw</v>
      </c>
      <c r="B12465" s="5">
        <f>IFERROR(__xludf.DUMMYFUNCTION("""COMPUTED_VALUE"""),44713.0)</f>
        <v>44713</v>
      </c>
      <c r="C12465" s="6">
        <f>IFERROR(__xludf.DUMMYFUNCTION("""COMPUTED_VALUE"""),0.7591666666667152)</f>
        <v>0.7591666667</v>
      </c>
      <c r="D12465" s="4">
        <f>IFERROR(__xludf.DUMMYFUNCTION("""COMPUTED_VALUE"""),12.626989)</f>
        <v>12.626989</v>
      </c>
      <c r="E12465" s="4">
        <f>IFERROR(__xludf.DUMMYFUNCTION("""COMPUTED_VALUE"""),79.929758)</f>
        <v>79.929758</v>
      </c>
      <c r="F12465" s="4">
        <f>IFERROR(__xludf.DUMMYFUNCTION("""COMPUTED_VALUE"""),805.0)</f>
        <v>805</v>
      </c>
      <c r="G12465" s="4">
        <f>IFERROR(__xludf.DUMMYFUNCTION("""COMPUTED_VALUE"""),58.0)</f>
        <v>58</v>
      </c>
      <c r="H12465" s="4"/>
      <c r="I12465" s="4"/>
    </row>
    <row r="12466">
      <c r="A12466" s="4" t="str">
        <f>IFERROR(__xludf.DUMMYFUNCTION("""COMPUTED_VALUE"""),"cas_hmw")</f>
        <v>cas_hmw</v>
      </c>
      <c r="B12466" s="5">
        <f>IFERROR(__xludf.DUMMYFUNCTION("""COMPUTED_VALUE"""),44713.0)</f>
        <v>44713</v>
      </c>
      <c r="C12466" s="6">
        <f>IFERROR(__xludf.DUMMYFUNCTION("""COMPUTED_VALUE"""),0.7616550925922638)</f>
        <v>0.7616550926</v>
      </c>
      <c r="D12466" s="4">
        <f>IFERROR(__xludf.DUMMYFUNCTION("""COMPUTED_VALUE"""),12.653768)</f>
        <v>12.653768</v>
      </c>
      <c r="E12466" s="4">
        <f>IFERROR(__xludf.DUMMYFUNCTION("""COMPUTED_VALUE"""),79.94006)</f>
        <v>79.94006</v>
      </c>
      <c r="F12466" s="4">
        <f>IFERROR(__xludf.DUMMYFUNCTION("""COMPUTED_VALUE"""),805.0)</f>
        <v>805</v>
      </c>
      <c r="G12466" s="4">
        <f>IFERROR(__xludf.DUMMYFUNCTION("""COMPUTED_VALUE"""),57.0)</f>
        <v>57</v>
      </c>
      <c r="H12466" s="4"/>
      <c r="I12466" s="4"/>
    </row>
    <row r="12467">
      <c r="A12467" s="4" t="str">
        <f>IFERROR(__xludf.DUMMYFUNCTION("""COMPUTED_VALUE"""),"cas_hmw")</f>
        <v>cas_hmw</v>
      </c>
      <c r="B12467" s="5">
        <f>IFERROR(__xludf.DUMMYFUNCTION("""COMPUTED_VALUE"""),44713.0)</f>
        <v>44713</v>
      </c>
      <c r="C12467" s="6">
        <f>IFERROR(__xludf.DUMMYFUNCTION("""COMPUTED_VALUE"""),0.7617245370383898)</f>
        <v>0.761724537</v>
      </c>
      <c r="D12467" s="4">
        <f>IFERROR(__xludf.DUMMYFUNCTION("""COMPUTED_VALUE"""),12.653768)</f>
        <v>12.653768</v>
      </c>
      <c r="E12467" s="4">
        <f>IFERROR(__xludf.DUMMYFUNCTION("""COMPUTED_VALUE"""),79.94006)</f>
        <v>79.94006</v>
      </c>
      <c r="F12467" s="4">
        <f>IFERROR(__xludf.DUMMYFUNCTION("""COMPUTED_VALUE"""),805.0)</f>
        <v>805</v>
      </c>
      <c r="G12467" s="4">
        <f>IFERROR(__xludf.DUMMYFUNCTION("""COMPUTED_VALUE"""),57.0)</f>
        <v>57</v>
      </c>
      <c r="H12467" s="4"/>
      <c r="I12467" s="4"/>
    </row>
    <row r="12468">
      <c r="A12468" s="4" t="str">
        <f>IFERROR(__xludf.DUMMYFUNCTION("""COMPUTED_VALUE"""),"cas_hmw")</f>
        <v>cas_hmw</v>
      </c>
      <c r="B12468" s="5">
        <f>IFERROR(__xludf.DUMMYFUNCTION("""COMPUTED_VALUE"""),44713.0)</f>
        <v>44713</v>
      </c>
      <c r="C12468" s="6">
        <f>IFERROR(__xludf.DUMMYFUNCTION("""COMPUTED_VALUE"""),0.7617939814808778)</f>
        <v>0.7617939815</v>
      </c>
      <c r="D12468" s="4">
        <f>IFERROR(__xludf.DUMMYFUNCTION("""COMPUTED_VALUE"""),12.65608)</f>
        <v>12.65608</v>
      </c>
      <c r="E12468" s="4">
        <f>IFERROR(__xludf.DUMMYFUNCTION("""COMPUTED_VALUE"""),79.940253)</f>
        <v>79.940253</v>
      </c>
      <c r="F12468" s="4">
        <f>IFERROR(__xludf.DUMMYFUNCTION("""COMPUTED_VALUE"""),805.0)</f>
        <v>805</v>
      </c>
      <c r="G12468" s="4">
        <f>IFERROR(__xludf.DUMMYFUNCTION("""COMPUTED_VALUE"""),57.0)</f>
        <v>57</v>
      </c>
      <c r="H12468" s="4"/>
      <c r="I12468" s="4"/>
    </row>
    <row r="12469">
      <c r="A12469" s="4" t="str">
        <f>IFERROR(__xludf.DUMMYFUNCTION("""COMPUTED_VALUE"""),"cas_hmw")</f>
        <v>cas_hmw</v>
      </c>
      <c r="B12469" s="5">
        <f>IFERROR(__xludf.DUMMYFUNCTION("""COMPUTED_VALUE"""),44713.0)</f>
        <v>44713</v>
      </c>
      <c r="C12469" s="6">
        <f>IFERROR(__xludf.DUMMYFUNCTION("""COMPUTED_VALUE"""),0.7676388888903602)</f>
        <v>0.7676388889</v>
      </c>
      <c r="D12469" s="4">
        <f>IFERROR(__xludf.DUMMYFUNCTION("""COMPUTED_VALUE"""),12.704158)</f>
        <v>12.704158</v>
      </c>
      <c r="E12469" s="4">
        <f>IFERROR(__xludf.DUMMYFUNCTION("""COMPUTED_VALUE"""),79.97259)</f>
        <v>79.97259</v>
      </c>
      <c r="F12469" s="4">
        <f>IFERROR(__xludf.DUMMYFUNCTION("""COMPUTED_VALUE"""),805.0)</f>
        <v>805</v>
      </c>
      <c r="G12469" s="4">
        <f>IFERROR(__xludf.DUMMYFUNCTION("""COMPUTED_VALUE"""),58.0)</f>
        <v>58</v>
      </c>
      <c r="H12469" s="4"/>
      <c r="I12469" s="4"/>
    </row>
    <row r="12470">
      <c r="A12470" s="4" t="str">
        <f>IFERROR(__xludf.DUMMYFUNCTION("""COMPUTED_VALUE"""),"cas_hmw")</f>
        <v>cas_hmw</v>
      </c>
      <c r="B12470" s="5">
        <f>IFERROR(__xludf.DUMMYFUNCTION("""COMPUTED_VALUE"""),44713.0)</f>
        <v>44713</v>
      </c>
      <c r="C12470" s="6">
        <f>IFERROR(__xludf.DUMMYFUNCTION("""COMPUTED_VALUE"""),0.7734606481499213)</f>
        <v>0.7734606481</v>
      </c>
      <c r="D12470" s="4">
        <f>IFERROR(__xludf.DUMMYFUNCTION("""COMPUTED_VALUE"""),12.76198)</f>
        <v>12.76198</v>
      </c>
      <c r="E12470" s="4">
        <f>IFERROR(__xludf.DUMMYFUNCTION("""COMPUTED_VALUE"""),80.003668)</f>
        <v>80.003668</v>
      </c>
      <c r="F12470" s="4">
        <f>IFERROR(__xludf.DUMMYFUNCTION("""COMPUTED_VALUE"""),805.0)</f>
        <v>805</v>
      </c>
      <c r="G12470" s="4">
        <f>IFERROR(__xludf.DUMMYFUNCTION("""COMPUTED_VALUE"""),34.0)</f>
        <v>34</v>
      </c>
      <c r="H12470" s="4"/>
      <c r="I12470" s="4"/>
    </row>
    <row r="12471">
      <c r="A12471" s="4" t="str">
        <f>IFERROR(__xludf.DUMMYFUNCTION("""COMPUTED_VALUE"""),"cas_hmw")</f>
        <v>cas_hmw</v>
      </c>
      <c r="B12471" s="5">
        <f>IFERROR(__xludf.DUMMYFUNCTION("""COMPUTED_VALUE"""),44713.0)</f>
        <v>44713</v>
      </c>
      <c r="C12471" s="6">
        <f>IFERROR(__xludf.DUMMYFUNCTION("""COMPUTED_VALUE"""),0.7736921296309447)</f>
        <v>0.7736921296</v>
      </c>
      <c r="D12471" s="4">
        <f>IFERROR(__xludf.DUMMYFUNCTION("""COMPUTED_VALUE"""),12.762815)</f>
        <v>12.762815</v>
      </c>
      <c r="E12471" s="4">
        <f>IFERROR(__xludf.DUMMYFUNCTION("""COMPUTED_VALUE"""),80.00389)</f>
        <v>80.00389</v>
      </c>
      <c r="F12471" s="4">
        <f>IFERROR(__xludf.DUMMYFUNCTION("""COMPUTED_VALUE"""),805.0)</f>
        <v>805</v>
      </c>
      <c r="G12471" s="4">
        <f>IFERROR(__xludf.DUMMYFUNCTION("""COMPUTED_VALUE"""),19.0)</f>
        <v>19</v>
      </c>
      <c r="H12471" s="4"/>
      <c r="I12471" s="4"/>
    </row>
    <row r="12472">
      <c r="A12472" s="4" t="str">
        <f>IFERROR(__xludf.DUMMYFUNCTION("""COMPUTED_VALUE"""),"cas_hmw")</f>
        <v>cas_hmw</v>
      </c>
      <c r="B12472" s="5">
        <f>IFERROR(__xludf.DUMMYFUNCTION("""COMPUTED_VALUE"""),44713.0)</f>
        <v>44713</v>
      </c>
      <c r="C12472" s="6">
        <f>IFERROR(__xludf.DUMMYFUNCTION("""COMPUTED_VALUE"""),0.7738310185195587)</f>
        <v>0.7738310185</v>
      </c>
      <c r="D12472" s="4">
        <f>IFERROR(__xludf.DUMMYFUNCTION("""COMPUTED_VALUE"""),12.762815)</f>
        <v>12.762815</v>
      </c>
      <c r="E12472" s="4">
        <f>IFERROR(__xludf.DUMMYFUNCTION("""COMPUTED_VALUE"""),80.00389)</f>
        <v>80.00389</v>
      </c>
      <c r="F12472" s="4">
        <f>IFERROR(__xludf.DUMMYFUNCTION("""COMPUTED_VALUE"""),805.0)</f>
        <v>805</v>
      </c>
      <c r="G12472" s="4">
        <f>IFERROR(__xludf.DUMMYFUNCTION("""COMPUTED_VALUE"""),19.0)</f>
        <v>19</v>
      </c>
      <c r="H12472" s="4"/>
      <c r="I12472" s="4"/>
    </row>
    <row r="12473">
      <c r="A12473" s="4" t="str">
        <f>IFERROR(__xludf.DUMMYFUNCTION("""COMPUTED_VALUE"""),"cas_hmw")</f>
        <v>cas_hmw</v>
      </c>
      <c r="B12473" s="5">
        <f>IFERROR(__xludf.DUMMYFUNCTION("""COMPUTED_VALUE"""),44713.0)</f>
        <v>44713</v>
      </c>
      <c r="C12473" s="6">
        <f>IFERROR(__xludf.DUMMYFUNCTION("""COMPUTED_VALUE"""),0.7738888888889051)</f>
        <v>0.7738888889</v>
      </c>
      <c r="D12473" s="4">
        <f>IFERROR(__xludf.DUMMYFUNCTION("""COMPUTED_VALUE"""),12.763836)</f>
        <v>12.763836</v>
      </c>
      <c r="E12473" s="4">
        <f>IFERROR(__xludf.DUMMYFUNCTION("""COMPUTED_VALUE"""),80.00433)</f>
        <v>80.00433</v>
      </c>
      <c r="F12473" s="4">
        <f>IFERROR(__xludf.DUMMYFUNCTION("""COMPUTED_VALUE"""),805.0)</f>
        <v>805</v>
      </c>
      <c r="G12473" s="4">
        <f>IFERROR(__xludf.DUMMYFUNCTION("""COMPUTED_VALUE"""),39.0)</f>
        <v>39</v>
      </c>
      <c r="H12473" s="4"/>
      <c r="I12473" s="4"/>
    </row>
    <row r="12474">
      <c r="A12474" s="4" t="str">
        <f>IFERROR(__xludf.DUMMYFUNCTION("""COMPUTED_VALUE"""),"cas_hmw")</f>
        <v>cas_hmw</v>
      </c>
      <c r="B12474" s="5">
        <f>IFERROR(__xludf.DUMMYFUNCTION("""COMPUTED_VALUE"""),44713.0)</f>
        <v>44713</v>
      </c>
      <c r="C12474" s="6">
        <f>IFERROR(__xludf.DUMMYFUNCTION("""COMPUTED_VALUE"""),0.7762152777795563)</f>
        <v>0.7762152778</v>
      </c>
      <c r="D12474" s="4">
        <f>IFERROR(__xludf.DUMMYFUNCTION("""COMPUTED_VALUE"""),12.782543)</f>
        <v>12.782543</v>
      </c>
      <c r="E12474" s="4">
        <f>IFERROR(__xludf.DUMMYFUNCTION("""COMPUTED_VALUE"""),80.012796)</f>
        <v>80.012796</v>
      </c>
      <c r="F12474" s="4">
        <f>IFERROR(__xludf.DUMMYFUNCTION("""COMPUTED_VALUE"""),805.0)</f>
        <v>805</v>
      </c>
      <c r="G12474" s="4">
        <f>IFERROR(__xludf.DUMMYFUNCTION("""COMPUTED_VALUE"""),56.0)</f>
        <v>56</v>
      </c>
      <c r="H12474" s="4"/>
      <c r="I12474" s="4"/>
    </row>
    <row r="12475">
      <c r="A12475" s="4" t="str">
        <f>IFERROR(__xludf.DUMMYFUNCTION("""COMPUTED_VALUE"""),"cas_hmw")</f>
        <v>cas_hmw</v>
      </c>
      <c r="B12475" s="5">
        <f>IFERROR(__xludf.DUMMYFUNCTION("""COMPUTED_VALUE"""),44713.0)</f>
        <v>44713</v>
      </c>
      <c r="C12475" s="6">
        <f>IFERROR(__xludf.DUMMYFUNCTION("""COMPUTED_VALUE"""),0.7763078703719657)</f>
        <v>0.7763078704</v>
      </c>
      <c r="D12475" s="4">
        <f>IFERROR(__xludf.DUMMYFUNCTION("""COMPUTED_VALUE"""),12.784551)</f>
        <v>12.784551</v>
      </c>
      <c r="E12475" s="4">
        <f>IFERROR(__xludf.DUMMYFUNCTION("""COMPUTED_VALUE"""),80.013691)</f>
        <v>80.013691</v>
      </c>
      <c r="F12475" s="4">
        <f>IFERROR(__xludf.DUMMYFUNCTION("""COMPUTED_VALUE"""),805.0)</f>
        <v>805</v>
      </c>
      <c r="G12475" s="4">
        <f>IFERROR(__xludf.DUMMYFUNCTION("""COMPUTED_VALUE"""),51.0)</f>
        <v>51</v>
      </c>
      <c r="H12475" s="4"/>
      <c r="I12475" s="4"/>
    </row>
    <row r="12476">
      <c r="A12476" s="4" t="str">
        <f>IFERROR(__xludf.DUMMYFUNCTION("""COMPUTED_VALUE"""),"cas_hmw")</f>
        <v>cas_hmw</v>
      </c>
      <c r="B12476" s="5">
        <f>IFERROR(__xludf.DUMMYFUNCTION("""COMPUTED_VALUE"""),44713.0)</f>
        <v>44713</v>
      </c>
      <c r="C12476" s="6">
        <f>IFERROR(__xludf.DUMMYFUNCTION("""COMPUTED_VALUE"""),0.7767708333340124)</f>
        <v>0.7767708333</v>
      </c>
      <c r="D12476" s="4">
        <f>IFERROR(__xludf.DUMMYFUNCTION("""COMPUTED_VALUE"""),12.787064)</f>
        <v>12.787064</v>
      </c>
      <c r="E12476" s="4">
        <f>IFERROR(__xludf.DUMMYFUNCTION("""COMPUTED_VALUE"""),80.015089)</f>
        <v>80.015089</v>
      </c>
      <c r="F12476" s="4">
        <f>IFERROR(__xludf.DUMMYFUNCTION("""COMPUTED_VALUE"""),805.0)</f>
        <v>805</v>
      </c>
      <c r="G12476" s="4">
        <f>IFERROR(__xludf.DUMMYFUNCTION("""COMPUTED_VALUE"""),33.0)</f>
        <v>33</v>
      </c>
      <c r="H12476" s="4"/>
      <c r="I12476" s="4"/>
    </row>
    <row r="12477">
      <c r="A12477" s="4" t="str">
        <f>IFERROR(__xludf.DUMMYFUNCTION("""COMPUTED_VALUE"""),"cas_hmw")</f>
        <v>cas_hmw</v>
      </c>
      <c r="B12477" s="5">
        <f>IFERROR(__xludf.DUMMYFUNCTION("""COMPUTED_VALUE"""),44713.0)</f>
        <v>44713</v>
      </c>
      <c r="C12477" s="6">
        <f>IFERROR(__xludf.DUMMYFUNCTION("""COMPUTED_VALUE"""),0.7770717592575238)</f>
        <v>0.7770717593</v>
      </c>
      <c r="D12477" s="4">
        <f>IFERROR(__xludf.DUMMYFUNCTION("""COMPUTED_VALUE"""),12.789516)</f>
        <v>12.789516</v>
      </c>
      <c r="E12477" s="4">
        <f>IFERROR(__xludf.DUMMYFUNCTION("""COMPUTED_VALUE"""),80.016524)</f>
        <v>80.016524</v>
      </c>
      <c r="F12477" s="4">
        <f>IFERROR(__xludf.DUMMYFUNCTION("""COMPUTED_VALUE"""),805.0)</f>
        <v>805</v>
      </c>
      <c r="G12477" s="4">
        <f>IFERROR(__xludf.DUMMYFUNCTION("""COMPUTED_VALUE"""),34.0)</f>
        <v>34</v>
      </c>
      <c r="H12477" s="4"/>
      <c r="I12477" s="4"/>
    </row>
    <row r="12478">
      <c r="A12478" s="4" t="str">
        <f>IFERROR(__xludf.DUMMYFUNCTION("""COMPUTED_VALUE"""),"cas_hmw")</f>
        <v>cas_hmw</v>
      </c>
      <c r="B12478" s="5">
        <f>IFERROR(__xludf.DUMMYFUNCTION("""COMPUTED_VALUE"""),44713.0)</f>
        <v>44713</v>
      </c>
      <c r="C12478" s="6">
        <f>IFERROR(__xludf.DUMMYFUNCTION("""COMPUTED_VALUE"""),0.7784027777779556)</f>
        <v>0.7784027778</v>
      </c>
      <c r="D12478" s="4">
        <f>IFERROR(__xludf.DUMMYFUNCTION("""COMPUTED_VALUE"""),12.79803)</f>
        <v>12.79803</v>
      </c>
      <c r="E12478" s="4">
        <f>IFERROR(__xludf.DUMMYFUNCTION("""COMPUTED_VALUE"""),80.022045)</f>
        <v>80.022045</v>
      </c>
      <c r="F12478" s="4">
        <f>IFERROR(__xludf.DUMMYFUNCTION("""COMPUTED_VALUE"""),805.0)</f>
        <v>805</v>
      </c>
      <c r="G12478" s="4">
        <f>IFERROR(__xludf.DUMMYFUNCTION("""COMPUTED_VALUE"""),61.0)</f>
        <v>61</v>
      </c>
      <c r="H12478" s="4"/>
      <c r="I12478" s="4"/>
    </row>
    <row r="12479">
      <c r="A12479" s="4" t="str">
        <f>IFERROR(__xludf.DUMMYFUNCTION("""COMPUTED_VALUE"""),"cas_hmw")</f>
        <v>cas_hmw</v>
      </c>
      <c r="B12479" s="5">
        <f>IFERROR(__xludf.DUMMYFUNCTION("""COMPUTED_VALUE"""),44713.0)</f>
        <v>44713</v>
      </c>
      <c r="C12479" s="6">
        <f>IFERROR(__xludf.DUMMYFUNCTION("""COMPUTED_VALUE"""),0.7818750000005821)</f>
        <v>0.781875</v>
      </c>
      <c r="D12479" s="4">
        <f>IFERROR(__xludf.DUMMYFUNCTION("""COMPUTED_VALUE"""),12.83092)</f>
        <v>12.83092</v>
      </c>
      <c r="E12479" s="4">
        <f>IFERROR(__xludf.DUMMYFUNCTION("""COMPUTED_VALUE"""),80.04594)</f>
        <v>80.04594</v>
      </c>
      <c r="F12479" s="4">
        <f>IFERROR(__xludf.DUMMYFUNCTION("""COMPUTED_VALUE"""),805.0)</f>
        <v>805</v>
      </c>
      <c r="G12479" s="4">
        <f>IFERROR(__xludf.DUMMYFUNCTION("""COMPUTED_VALUE"""),13.0)</f>
        <v>13</v>
      </c>
      <c r="H12479" s="4"/>
      <c r="I12479" s="4"/>
    </row>
    <row r="12480">
      <c r="A12480" s="4" t="str">
        <f>IFERROR(__xludf.DUMMYFUNCTION("""COMPUTED_VALUE"""),"cas_hmw")</f>
        <v>cas_hmw</v>
      </c>
      <c r="B12480" s="5">
        <f>IFERROR(__xludf.DUMMYFUNCTION("""COMPUTED_VALUE"""),44713.0)</f>
        <v>44713</v>
      </c>
      <c r="C12480" s="6">
        <f>IFERROR(__xludf.DUMMYFUNCTION("""COMPUTED_VALUE"""),0.7819560185198497)</f>
        <v>0.7819560185</v>
      </c>
      <c r="D12480" s="4">
        <f>IFERROR(__xludf.DUMMYFUNCTION("""COMPUTED_VALUE"""),12.83092)</f>
        <v>12.83092</v>
      </c>
      <c r="E12480" s="4">
        <f>IFERROR(__xludf.DUMMYFUNCTION("""COMPUTED_VALUE"""),80.04594)</f>
        <v>80.04594</v>
      </c>
      <c r="F12480" s="4">
        <f>IFERROR(__xludf.DUMMYFUNCTION("""COMPUTED_VALUE"""),805.0)</f>
        <v>805</v>
      </c>
      <c r="G12480" s="4">
        <f>IFERROR(__xludf.DUMMYFUNCTION("""COMPUTED_VALUE"""),13.0)</f>
        <v>13</v>
      </c>
      <c r="H12480" s="4"/>
      <c r="I12480" s="4"/>
    </row>
    <row r="12481">
      <c r="A12481" s="4" t="str">
        <f>IFERROR(__xludf.DUMMYFUNCTION("""COMPUTED_VALUE"""),"cas_hmw")</f>
        <v>cas_hmw</v>
      </c>
      <c r="B12481" s="5">
        <f>IFERROR(__xludf.DUMMYFUNCTION("""COMPUTED_VALUE"""),44713.0)</f>
        <v>44713</v>
      </c>
      <c r="C12481" s="6">
        <f>IFERROR(__xludf.DUMMYFUNCTION("""COMPUTED_VALUE"""),0.7834722222214623)</f>
        <v>0.7834722222</v>
      </c>
      <c r="D12481" s="4">
        <f>IFERROR(__xludf.DUMMYFUNCTION("""COMPUTED_VALUE"""),12.840076)</f>
        <v>12.840076</v>
      </c>
      <c r="E12481" s="4">
        <f>IFERROR(__xludf.DUMMYFUNCTION("""COMPUTED_VALUE"""),80.055555)</f>
        <v>80.055555</v>
      </c>
      <c r="F12481" s="4">
        <f>IFERROR(__xludf.DUMMYFUNCTION("""COMPUTED_VALUE"""),805.0)</f>
        <v>805</v>
      </c>
      <c r="G12481" s="4">
        <f>IFERROR(__xludf.DUMMYFUNCTION("""COMPUTED_VALUE"""),26.0)</f>
        <v>26</v>
      </c>
      <c r="H12481" s="4"/>
      <c r="I12481" s="4"/>
    </row>
    <row r="12482">
      <c r="A12482" s="4" t="str">
        <f>IFERROR(__xludf.DUMMYFUNCTION("""COMPUTED_VALUE"""),"cas_hmw")</f>
        <v>cas_hmw</v>
      </c>
      <c r="B12482" s="5">
        <f>IFERROR(__xludf.DUMMYFUNCTION("""COMPUTED_VALUE"""),44713.0)</f>
        <v>44713</v>
      </c>
      <c r="C12482" s="6">
        <f>IFERROR(__xludf.DUMMYFUNCTION("""COMPUTED_VALUE"""),0.7846296296302171)</f>
        <v>0.7846296296</v>
      </c>
      <c r="D12482" s="4">
        <f>IFERROR(__xludf.DUMMYFUNCTION("""COMPUTED_VALUE"""),12.843754)</f>
        <v>12.843754</v>
      </c>
      <c r="E12482" s="4">
        <f>IFERROR(__xludf.DUMMYFUNCTION("""COMPUTED_VALUE"""),80.059473)</f>
        <v>80.059473</v>
      </c>
      <c r="F12482" s="4">
        <f>IFERROR(__xludf.DUMMYFUNCTION("""COMPUTED_VALUE"""),805.0)</f>
        <v>805</v>
      </c>
      <c r="G12482" s="4">
        <f>IFERROR(__xludf.DUMMYFUNCTION("""COMPUTED_VALUE"""),0.0)</f>
        <v>0</v>
      </c>
      <c r="H12482" s="4"/>
      <c r="I12482" s="4"/>
    </row>
    <row r="12483">
      <c r="A12483" s="4" t="str">
        <f>IFERROR(__xludf.DUMMYFUNCTION("""COMPUTED_VALUE"""),"cas_hmw")</f>
        <v>cas_hmw</v>
      </c>
      <c r="B12483" s="5">
        <f>IFERROR(__xludf.DUMMYFUNCTION("""COMPUTED_VALUE"""),44713.0)</f>
        <v>44713</v>
      </c>
      <c r="C12483" s="6">
        <f>IFERROR(__xludf.DUMMYFUNCTION("""COMPUTED_VALUE"""),0.7874884259254031)</f>
        <v>0.7874884259</v>
      </c>
      <c r="D12483" s="4">
        <f>IFERROR(__xludf.DUMMYFUNCTION("""COMPUTED_VALUE"""),12.857884)</f>
        <v>12.857884</v>
      </c>
      <c r="E12483" s="4">
        <f>IFERROR(__xludf.DUMMYFUNCTION("""COMPUTED_VALUE"""),80.070514)</f>
        <v>80.070514</v>
      </c>
      <c r="F12483" s="4">
        <f>IFERROR(__xludf.DUMMYFUNCTION("""COMPUTED_VALUE"""),805.0)</f>
        <v>805</v>
      </c>
      <c r="G12483" s="4">
        <f>IFERROR(__xludf.DUMMYFUNCTION("""COMPUTED_VALUE"""),54.0)</f>
        <v>54</v>
      </c>
      <c r="H12483" s="4"/>
      <c r="I12483" s="4"/>
    </row>
    <row r="12484">
      <c r="A12484" s="4" t="str">
        <f>IFERROR(__xludf.DUMMYFUNCTION("""COMPUTED_VALUE"""),"cas_hmw")</f>
        <v>cas_hmw</v>
      </c>
      <c r="B12484" s="5">
        <f>IFERROR(__xludf.DUMMYFUNCTION("""COMPUTED_VALUE"""),44713.0)</f>
        <v>44713</v>
      </c>
      <c r="C12484" s="6">
        <f>IFERROR(__xludf.DUMMYFUNCTION("""COMPUTED_VALUE"""),0.7874999999985448)</f>
        <v>0.7875</v>
      </c>
      <c r="D12484" s="4">
        <f>IFERROR(__xludf.DUMMYFUNCTION("""COMPUTED_VALUE"""),12.857884)</f>
        <v>12.857884</v>
      </c>
      <c r="E12484" s="4">
        <f>IFERROR(__xludf.DUMMYFUNCTION("""COMPUTED_VALUE"""),80.070514)</f>
        <v>80.070514</v>
      </c>
      <c r="F12484" s="4">
        <f>IFERROR(__xludf.DUMMYFUNCTION("""COMPUTED_VALUE"""),805.0)</f>
        <v>805</v>
      </c>
      <c r="G12484" s="4">
        <f>IFERROR(__xludf.DUMMYFUNCTION("""COMPUTED_VALUE"""),54.0)</f>
        <v>54</v>
      </c>
      <c r="H12484" s="4"/>
      <c r="I12484" s="4"/>
    </row>
    <row r="12485">
      <c r="A12485" s="4" t="str">
        <f>IFERROR(__xludf.DUMMYFUNCTION("""COMPUTED_VALUE"""),"cas_hmw")</f>
        <v>cas_hmw</v>
      </c>
      <c r="B12485" s="5">
        <f>IFERROR(__xludf.DUMMYFUNCTION("""COMPUTED_VALUE"""),44713.0)</f>
        <v>44713</v>
      </c>
      <c r="C12485" s="6">
        <f>IFERROR(__xludf.DUMMYFUNCTION("""COMPUTED_VALUE"""),0.7879513888874499)</f>
        <v>0.7879513889</v>
      </c>
      <c r="D12485" s="4">
        <f>IFERROR(__xludf.DUMMYFUNCTION("""COMPUTED_VALUE"""),12.860663)</f>
        <v>12.860663</v>
      </c>
      <c r="E12485" s="4">
        <f>IFERROR(__xludf.DUMMYFUNCTION("""COMPUTED_VALUE"""),80.072513)</f>
        <v>80.072513</v>
      </c>
      <c r="F12485" s="4">
        <f>IFERROR(__xludf.DUMMYFUNCTION("""COMPUTED_VALUE"""),805.0)</f>
        <v>805</v>
      </c>
      <c r="G12485" s="4">
        <f>IFERROR(__xludf.DUMMYFUNCTION("""COMPUTED_VALUE"""),33.0)</f>
        <v>33</v>
      </c>
      <c r="H12485" s="4"/>
      <c r="I12485" s="4"/>
    </row>
    <row r="12486">
      <c r="A12486" s="4" t="str">
        <f>IFERROR(__xludf.DUMMYFUNCTION("""COMPUTED_VALUE"""),"cas_hmw")</f>
        <v>cas_hmw</v>
      </c>
      <c r="B12486" s="5">
        <f>IFERROR(__xludf.DUMMYFUNCTION("""COMPUTED_VALUE"""),44713.0)</f>
        <v>44713</v>
      </c>
      <c r="C12486" s="6">
        <f>IFERROR(__xludf.DUMMYFUNCTION("""COMPUTED_VALUE"""),0.7887268518534256)</f>
        <v>0.7887268519</v>
      </c>
      <c r="D12486" s="4">
        <f>IFERROR(__xludf.DUMMYFUNCTION("""COMPUTED_VALUE"""),12.86669)</f>
        <v>12.86669</v>
      </c>
      <c r="E12486" s="4">
        <f>IFERROR(__xludf.DUMMYFUNCTION("""COMPUTED_VALUE"""),80.075127)</f>
        <v>80.075127</v>
      </c>
      <c r="F12486" s="4">
        <f>IFERROR(__xludf.DUMMYFUNCTION("""COMPUTED_VALUE"""),805.0)</f>
        <v>805</v>
      </c>
      <c r="G12486" s="4">
        <f>IFERROR(__xludf.DUMMYFUNCTION("""COMPUTED_VALUE"""),44.0)</f>
        <v>44</v>
      </c>
      <c r="H12486" s="4"/>
      <c r="I12486" s="4"/>
    </row>
    <row r="12487">
      <c r="A12487" s="4" t="str">
        <f>IFERROR(__xludf.DUMMYFUNCTION("""COMPUTED_VALUE"""),"cas_hmw")</f>
        <v>cas_hmw</v>
      </c>
      <c r="B12487" s="5">
        <f>IFERROR(__xludf.DUMMYFUNCTION("""COMPUTED_VALUE"""),44713.0)</f>
        <v>44713</v>
      </c>
      <c r="C12487" s="6">
        <f>IFERROR(__xludf.DUMMYFUNCTION("""COMPUTED_VALUE"""),0.7890740740731417)</f>
        <v>0.7890740741</v>
      </c>
      <c r="D12487" s="4">
        <f>IFERROR(__xludf.DUMMYFUNCTION("""COMPUTED_VALUE"""),12.870037)</f>
        <v>12.870037</v>
      </c>
      <c r="E12487" s="4">
        <f>IFERROR(__xludf.DUMMYFUNCTION("""COMPUTED_VALUE"""),80.076465)</f>
        <v>80.076465</v>
      </c>
      <c r="F12487" s="4">
        <f>IFERROR(__xludf.DUMMYFUNCTION("""COMPUTED_VALUE"""),805.0)</f>
        <v>805</v>
      </c>
      <c r="G12487" s="4">
        <f>IFERROR(__xludf.DUMMYFUNCTION("""COMPUTED_VALUE"""),39.0)</f>
        <v>39</v>
      </c>
      <c r="H12487" s="4"/>
      <c r="I12487" s="4"/>
    </row>
    <row r="12488">
      <c r="A12488" s="4" t="str">
        <f>IFERROR(__xludf.DUMMYFUNCTION("""COMPUTED_VALUE"""),"cas_hmw")</f>
        <v>cas_hmw</v>
      </c>
      <c r="B12488" s="5">
        <f>IFERROR(__xludf.DUMMYFUNCTION("""COMPUTED_VALUE"""),44713.0)</f>
        <v>44713</v>
      </c>
      <c r="C12488" s="6">
        <f>IFERROR(__xludf.DUMMYFUNCTION("""COMPUTED_VALUE"""),0.7893634259271494)</f>
        <v>0.7893634259</v>
      </c>
      <c r="D12488" s="4">
        <f>IFERROR(__xludf.DUMMYFUNCTION("""COMPUTED_VALUE"""),12.873356)</f>
        <v>12.873356</v>
      </c>
      <c r="E12488" s="4">
        <f>IFERROR(__xludf.DUMMYFUNCTION("""COMPUTED_VALUE"""),80.077758)</f>
        <v>80.077758</v>
      </c>
      <c r="F12488" s="4">
        <f>IFERROR(__xludf.DUMMYFUNCTION("""COMPUTED_VALUE"""),805.0)</f>
        <v>805</v>
      </c>
      <c r="G12488" s="4">
        <f>IFERROR(__xludf.DUMMYFUNCTION("""COMPUTED_VALUE"""),40.0)</f>
        <v>40</v>
      </c>
      <c r="H12488" s="4"/>
      <c r="I12488" s="4"/>
    </row>
    <row r="12489">
      <c r="A12489" s="4" t="str">
        <f>IFERROR(__xludf.DUMMYFUNCTION("""COMPUTED_VALUE"""),"cas_hmw")</f>
        <v>cas_hmw</v>
      </c>
      <c r="B12489" s="5">
        <f>IFERROR(__xludf.DUMMYFUNCTION("""COMPUTED_VALUE"""),44714.0)</f>
        <v>44714</v>
      </c>
      <c r="C12489" s="6">
        <f>IFERROR(__xludf.DUMMYFUNCTION("""COMPUTED_VALUE"""),0.24681712963138125)</f>
        <v>0.2468171296</v>
      </c>
      <c r="D12489" s="4">
        <f>IFERROR(__xludf.DUMMYFUNCTION("""COMPUTED_VALUE"""),12.927967)</f>
        <v>12.927967</v>
      </c>
      <c r="E12489" s="4">
        <f>IFERROR(__xludf.DUMMYFUNCTION("""COMPUTED_VALUE"""),80.119092)</f>
        <v>80.119092</v>
      </c>
      <c r="F12489" s="4">
        <f>IFERROR(__xludf.DUMMYFUNCTION("""COMPUTED_VALUE"""),2846.0)</f>
        <v>2846</v>
      </c>
      <c r="G12489" s="4">
        <f>IFERROR(__xludf.DUMMYFUNCTION("""COMPUTED_VALUE"""),26.0)</f>
        <v>26</v>
      </c>
      <c r="H12489" s="4"/>
      <c r="I12489" s="4"/>
    </row>
    <row r="12490">
      <c r="A12490" s="4" t="str">
        <f>IFERROR(__xludf.DUMMYFUNCTION("""COMPUTED_VALUE"""),"cas_hmw")</f>
        <v>cas_hmw</v>
      </c>
      <c r="B12490" s="5">
        <f>IFERROR(__xludf.DUMMYFUNCTION("""COMPUTED_VALUE"""),44714.0)</f>
        <v>44714</v>
      </c>
      <c r="C12490" s="6">
        <f>IFERROR(__xludf.DUMMYFUNCTION("""COMPUTED_VALUE"""),0.24725694444350665)</f>
        <v>0.2472569444</v>
      </c>
      <c r="D12490" s="4">
        <f>IFERROR(__xludf.DUMMYFUNCTION("""COMPUTED_VALUE"""),12.929972)</f>
        <v>12.929972</v>
      </c>
      <c r="E12490" s="4">
        <f>IFERROR(__xludf.DUMMYFUNCTION("""COMPUTED_VALUE"""),80.121041)</f>
        <v>80.121041</v>
      </c>
      <c r="F12490" s="4">
        <f>IFERROR(__xludf.DUMMYFUNCTION("""COMPUTED_VALUE"""),2846.0)</f>
        <v>2846</v>
      </c>
      <c r="G12490" s="4">
        <f>IFERROR(__xludf.DUMMYFUNCTION("""COMPUTED_VALUE"""),15.0)</f>
        <v>15</v>
      </c>
      <c r="H12490" s="4"/>
      <c r="I12490" s="4"/>
    </row>
    <row r="12491">
      <c r="A12491" s="4" t="str">
        <f>IFERROR(__xludf.DUMMYFUNCTION("""COMPUTED_VALUE"""),"cas_hmw")</f>
        <v>cas_hmw</v>
      </c>
      <c r="B12491" s="5">
        <f>IFERROR(__xludf.DUMMYFUNCTION("""COMPUTED_VALUE"""),44714.0)</f>
        <v>44714</v>
      </c>
      <c r="C12491" s="6">
        <f>IFERROR(__xludf.DUMMYFUNCTION("""COMPUTED_VALUE"""),0.24731481481649098)</f>
        <v>0.2473148148</v>
      </c>
      <c r="D12491" s="4">
        <f>IFERROR(__xludf.DUMMYFUNCTION("""COMPUTED_VALUE"""),12.929972)</f>
        <v>12.929972</v>
      </c>
      <c r="E12491" s="4">
        <f>IFERROR(__xludf.DUMMYFUNCTION("""COMPUTED_VALUE"""),80.121041)</f>
        <v>80.121041</v>
      </c>
      <c r="F12491" s="4">
        <f>IFERROR(__xludf.DUMMYFUNCTION("""COMPUTED_VALUE"""),2846.0)</f>
        <v>2846</v>
      </c>
      <c r="G12491" s="4">
        <f>IFERROR(__xludf.DUMMYFUNCTION("""COMPUTED_VALUE"""),15.0)</f>
        <v>15</v>
      </c>
      <c r="H12491" s="4"/>
      <c r="I12491" s="4"/>
    </row>
    <row r="12492">
      <c r="A12492" s="4" t="str">
        <f>IFERROR(__xludf.DUMMYFUNCTION("""COMPUTED_VALUE"""),"cas_hmw")</f>
        <v>cas_hmw</v>
      </c>
      <c r="B12492" s="5">
        <f>IFERROR(__xludf.DUMMYFUNCTION("""COMPUTED_VALUE"""),44714.0)</f>
        <v>44714</v>
      </c>
      <c r="C12492" s="6">
        <f>IFERROR(__xludf.DUMMYFUNCTION("""COMPUTED_VALUE"""),0.25328703703780775)</f>
        <v>0.253287037</v>
      </c>
      <c r="D12492" s="4">
        <f>IFERROR(__xludf.DUMMYFUNCTION("""COMPUTED_VALUE"""),12.847218)</f>
        <v>12.847218</v>
      </c>
      <c r="E12492" s="4">
        <f>IFERROR(__xludf.DUMMYFUNCTION("""COMPUTED_VALUE"""),80.062866)</f>
        <v>80.062866</v>
      </c>
      <c r="F12492" s="4">
        <f>IFERROR(__xludf.DUMMYFUNCTION("""COMPUTED_VALUE"""),805.0)</f>
        <v>805</v>
      </c>
      <c r="G12492" s="4">
        <f>IFERROR(__xludf.DUMMYFUNCTION("""COMPUTED_VALUE"""),48.0)</f>
        <v>48</v>
      </c>
      <c r="H12492" s="4"/>
      <c r="I12492" s="4"/>
    </row>
    <row r="12493">
      <c r="A12493" s="4" t="str">
        <f>IFERROR(__xludf.DUMMYFUNCTION("""COMPUTED_VALUE"""),"cas_hmw")</f>
        <v>cas_hmw</v>
      </c>
      <c r="B12493" s="5">
        <f>IFERROR(__xludf.DUMMYFUNCTION("""COMPUTED_VALUE"""),44714.0)</f>
        <v>44714</v>
      </c>
      <c r="C12493" s="6">
        <f>IFERROR(__xludf.DUMMYFUNCTION("""COMPUTED_VALUE"""),0.26048611111036735)</f>
        <v>0.2604861111</v>
      </c>
      <c r="D12493" s="4">
        <f>IFERROR(__xludf.DUMMYFUNCTION("""COMPUTED_VALUE"""),12.774434)</f>
        <v>12.774434</v>
      </c>
      <c r="E12493" s="4">
        <f>IFERROR(__xludf.DUMMYFUNCTION("""COMPUTED_VALUE"""),80.009326)</f>
        <v>80.009326</v>
      </c>
      <c r="F12493" s="4">
        <f>IFERROR(__xludf.DUMMYFUNCTION("""COMPUTED_VALUE"""),805.0)</f>
        <v>805</v>
      </c>
      <c r="G12493" s="4">
        <f>IFERROR(__xludf.DUMMYFUNCTION("""COMPUTED_VALUE"""),58.0)</f>
        <v>58</v>
      </c>
      <c r="H12493" s="4"/>
      <c r="I12493" s="4"/>
    </row>
    <row r="12494">
      <c r="A12494" s="4" t="str">
        <f>IFERROR(__xludf.DUMMYFUNCTION("""COMPUTED_VALUE"""),"cas_hmw")</f>
        <v>cas_hmw</v>
      </c>
      <c r="B12494" s="5">
        <f>IFERROR(__xludf.DUMMYFUNCTION("""COMPUTED_VALUE"""),44714.0)</f>
        <v>44714</v>
      </c>
      <c r="C12494" s="6">
        <f>IFERROR(__xludf.DUMMYFUNCTION("""COMPUTED_VALUE"""),0.2616319444459805)</f>
        <v>0.2616319444</v>
      </c>
      <c r="D12494" s="4">
        <f>IFERROR(__xludf.DUMMYFUNCTION("""COMPUTED_VALUE"""),12.762931)</f>
        <v>12.762931</v>
      </c>
      <c r="E12494" s="4">
        <f>IFERROR(__xludf.DUMMYFUNCTION("""COMPUTED_VALUE"""),80.004107)</f>
        <v>80.004107</v>
      </c>
      <c r="F12494" s="4">
        <f>IFERROR(__xludf.DUMMYFUNCTION("""COMPUTED_VALUE"""),805.0)</f>
        <v>805</v>
      </c>
      <c r="G12494" s="4">
        <f>IFERROR(__xludf.DUMMYFUNCTION("""COMPUTED_VALUE"""),26.0)</f>
        <v>26</v>
      </c>
      <c r="H12494" s="4"/>
      <c r="I12494" s="4"/>
    </row>
    <row r="12495">
      <c r="A12495" s="4" t="str">
        <f>IFERROR(__xludf.DUMMYFUNCTION("""COMPUTED_VALUE"""),"cas_hmw")</f>
        <v>cas_hmw</v>
      </c>
      <c r="B12495" s="5">
        <f>IFERROR(__xludf.DUMMYFUNCTION("""COMPUTED_VALUE"""),44714.0)</f>
        <v>44714</v>
      </c>
      <c r="C12495" s="6">
        <f>IFERROR(__xludf.DUMMYFUNCTION("""COMPUTED_VALUE"""),0.2616550925922638)</f>
        <v>0.2616550926</v>
      </c>
      <c r="D12495" s="4">
        <f>IFERROR(__xludf.DUMMYFUNCTION("""COMPUTED_VALUE"""),12.762931)</f>
        <v>12.762931</v>
      </c>
      <c r="E12495" s="4">
        <f>IFERROR(__xludf.DUMMYFUNCTION("""COMPUTED_VALUE"""),80.004107)</f>
        <v>80.004107</v>
      </c>
      <c r="F12495" s="4">
        <f>IFERROR(__xludf.DUMMYFUNCTION("""COMPUTED_VALUE"""),805.0)</f>
        <v>805</v>
      </c>
      <c r="G12495" s="4">
        <f>IFERROR(__xludf.DUMMYFUNCTION("""COMPUTED_VALUE"""),26.0)</f>
        <v>26</v>
      </c>
      <c r="H12495" s="4"/>
      <c r="I12495" s="4"/>
    </row>
    <row r="12496">
      <c r="A12496" s="4" t="str">
        <f>IFERROR(__xludf.DUMMYFUNCTION("""COMPUTED_VALUE"""),"cas_hmw")</f>
        <v>cas_hmw</v>
      </c>
      <c r="B12496" s="5">
        <f>IFERROR(__xludf.DUMMYFUNCTION("""COMPUTED_VALUE"""),44714.0)</f>
        <v>44714</v>
      </c>
      <c r="C12496" s="6">
        <f>IFERROR(__xludf.DUMMYFUNCTION("""COMPUTED_VALUE"""),0.2616666666654055)</f>
        <v>0.2616666667</v>
      </c>
      <c r="D12496" s="4">
        <f>IFERROR(__xludf.DUMMYFUNCTION("""COMPUTED_VALUE"""),12.762931)</f>
        <v>12.762931</v>
      </c>
      <c r="E12496" s="4">
        <f>IFERROR(__xludf.DUMMYFUNCTION("""COMPUTED_VALUE"""),80.004107)</f>
        <v>80.004107</v>
      </c>
      <c r="F12496" s="4">
        <f>IFERROR(__xludf.DUMMYFUNCTION("""COMPUTED_VALUE"""),805.0)</f>
        <v>805</v>
      </c>
      <c r="G12496" s="4">
        <f>IFERROR(__xludf.DUMMYFUNCTION("""COMPUTED_VALUE"""),26.0)</f>
        <v>26</v>
      </c>
      <c r="H12496" s="4"/>
      <c r="I12496" s="4"/>
    </row>
    <row r="12497">
      <c r="A12497" s="4" t="str">
        <f>IFERROR(__xludf.DUMMYFUNCTION("""COMPUTED_VALUE"""),"cas_hmw")</f>
        <v>cas_hmw</v>
      </c>
      <c r="B12497" s="5">
        <f>IFERROR(__xludf.DUMMYFUNCTION("""COMPUTED_VALUE"""),44714.0)</f>
        <v>44714</v>
      </c>
      <c r="C12497" s="6">
        <f>IFERROR(__xludf.DUMMYFUNCTION("""COMPUTED_VALUE"""),0.2629282407397113)</f>
        <v>0.2629282407</v>
      </c>
      <c r="D12497" s="4">
        <f>IFERROR(__xludf.DUMMYFUNCTION("""COMPUTED_VALUE"""),13.008977)</f>
        <v>13.008977</v>
      </c>
      <c r="E12497" s="4">
        <f>IFERROR(__xludf.DUMMYFUNCTION("""COMPUTED_VALUE"""),80.211592)</f>
        <v>80.211592</v>
      </c>
      <c r="F12497" s="4">
        <f>IFERROR(__xludf.DUMMYFUNCTION("""COMPUTED_VALUE"""),2846.0)</f>
        <v>2846</v>
      </c>
      <c r="G12497" s="4">
        <f>IFERROR(__xludf.DUMMYFUNCTION("""COMPUTED_VALUE"""),32.0)</f>
        <v>32</v>
      </c>
      <c r="H12497" s="4"/>
      <c r="I12497" s="4"/>
    </row>
    <row r="12498">
      <c r="A12498" s="4" t="str">
        <f>IFERROR(__xludf.DUMMYFUNCTION("""COMPUTED_VALUE"""),"cas_hmw")</f>
        <v>cas_hmw</v>
      </c>
      <c r="B12498" s="5">
        <f>IFERROR(__xludf.DUMMYFUNCTION("""COMPUTED_VALUE"""),44714.0)</f>
        <v>44714</v>
      </c>
      <c r="C12498" s="6">
        <f>IFERROR(__xludf.DUMMYFUNCTION("""COMPUTED_VALUE"""),0.2663194444430701)</f>
        <v>0.2663194444</v>
      </c>
      <c r="D12498" s="4">
        <f>IFERROR(__xludf.DUMMYFUNCTION("""COMPUTED_VALUE"""),13.027952)</f>
        <v>13.027952</v>
      </c>
      <c r="E12498" s="4">
        <f>IFERROR(__xludf.DUMMYFUNCTION("""COMPUTED_VALUE"""),80.235308)</f>
        <v>80.235308</v>
      </c>
      <c r="F12498" s="4">
        <f>IFERROR(__xludf.DUMMYFUNCTION("""COMPUTED_VALUE"""),2846.0)</f>
        <v>2846</v>
      </c>
      <c r="G12498" s="4">
        <f>IFERROR(__xludf.DUMMYFUNCTION("""COMPUTED_VALUE"""),50.0)</f>
        <v>50</v>
      </c>
      <c r="H12498" s="4"/>
      <c r="I12498" s="4"/>
    </row>
    <row r="12499">
      <c r="A12499" s="4" t="str">
        <f>IFERROR(__xludf.DUMMYFUNCTION("""COMPUTED_VALUE"""),"cas_hmw")</f>
        <v>cas_hmw</v>
      </c>
      <c r="B12499" s="5">
        <f>IFERROR(__xludf.DUMMYFUNCTION("""COMPUTED_VALUE"""),44714.0)</f>
        <v>44714</v>
      </c>
      <c r="C12499" s="6">
        <f>IFERROR(__xludf.DUMMYFUNCTION("""COMPUTED_VALUE"""),0.26695601851679385)</f>
        <v>0.2669560185</v>
      </c>
      <c r="D12499" s="4">
        <f>IFERROR(__xludf.DUMMYFUNCTION("""COMPUTED_VALUE"""),12.71036)</f>
        <v>12.71036</v>
      </c>
      <c r="E12499" s="4">
        <f>IFERROR(__xludf.DUMMYFUNCTION("""COMPUTED_VALUE"""),79.978174)</f>
        <v>79.978174</v>
      </c>
      <c r="F12499" s="4">
        <f>IFERROR(__xludf.DUMMYFUNCTION("""COMPUTED_VALUE"""),805.0)</f>
        <v>805</v>
      </c>
      <c r="G12499" s="4">
        <f>IFERROR(__xludf.DUMMYFUNCTION("""COMPUTED_VALUE"""),28.0)</f>
        <v>28</v>
      </c>
      <c r="H12499" s="4"/>
      <c r="I12499" s="4"/>
    </row>
    <row r="12500">
      <c r="A12500" s="4" t="str">
        <f>IFERROR(__xludf.DUMMYFUNCTION("""COMPUTED_VALUE"""),"cas_hmw")</f>
        <v>cas_hmw</v>
      </c>
      <c r="B12500" s="5">
        <f>IFERROR(__xludf.DUMMYFUNCTION("""COMPUTED_VALUE"""),44714.0)</f>
        <v>44714</v>
      </c>
      <c r="C12500" s="6">
        <f>IFERROR(__xludf.DUMMYFUNCTION("""COMPUTED_VALUE"""),0.26699074073985685)</f>
        <v>0.2669907407</v>
      </c>
      <c r="D12500" s="4">
        <f>IFERROR(__xludf.DUMMYFUNCTION("""COMPUTED_VALUE"""),13.031689)</f>
        <v>13.031689</v>
      </c>
      <c r="E12500" s="4">
        <f>IFERROR(__xludf.DUMMYFUNCTION("""COMPUTED_VALUE"""),80.240882)</f>
        <v>80.240882</v>
      </c>
      <c r="F12500" s="4">
        <f>IFERROR(__xludf.DUMMYFUNCTION("""COMPUTED_VALUE"""),2846.0)</f>
        <v>2846</v>
      </c>
      <c r="G12500" s="4">
        <f>IFERROR(__xludf.DUMMYFUNCTION("""COMPUTED_VALUE"""),39.0)</f>
        <v>39</v>
      </c>
      <c r="H12500" s="4"/>
      <c r="I12500" s="4"/>
    </row>
    <row r="12501">
      <c r="A12501" s="4" t="str">
        <f>IFERROR(__xludf.DUMMYFUNCTION("""COMPUTED_VALUE"""),"cas_hmw")</f>
        <v>cas_hmw</v>
      </c>
      <c r="B12501" s="5">
        <f>IFERROR(__xludf.DUMMYFUNCTION("""COMPUTED_VALUE"""),44714.0)</f>
        <v>44714</v>
      </c>
      <c r="C12501" s="6">
        <f>IFERROR(__xludf.DUMMYFUNCTION("""COMPUTED_VALUE"""),0.2671527777783922)</f>
        <v>0.2671527778</v>
      </c>
      <c r="D12501" s="4">
        <f>IFERROR(__xludf.DUMMYFUNCTION("""COMPUTED_VALUE"""),13.03251)</f>
        <v>13.03251</v>
      </c>
      <c r="E12501" s="4">
        <f>IFERROR(__xludf.DUMMYFUNCTION("""COMPUTED_VALUE"""),80.24244)</f>
        <v>80.24244</v>
      </c>
      <c r="F12501" s="4">
        <f>IFERROR(__xludf.DUMMYFUNCTION("""COMPUTED_VALUE"""),2846.0)</f>
        <v>2846</v>
      </c>
      <c r="G12501" s="4">
        <f>IFERROR(__xludf.DUMMYFUNCTION("""COMPUTED_VALUE"""),31.0)</f>
        <v>31</v>
      </c>
      <c r="H12501" s="4"/>
      <c r="I12501" s="4"/>
    </row>
    <row r="12502">
      <c r="A12502" s="4" t="str">
        <f>IFERROR(__xludf.DUMMYFUNCTION("""COMPUTED_VALUE"""),"cas_hmw")</f>
        <v>cas_hmw</v>
      </c>
      <c r="B12502" s="5">
        <f>IFERROR(__xludf.DUMMYFUNCTION("""COMPUTED_VALUE"""),44714.0)</f>
        <v>44714</v>
      </c>
      <c r="C12502" s="6">
        <f>IFERROR(__xludf.DUMMYFUNCTION("""COMPUTED_VALUE"""),0.26716435185153387)</f>
        <v>0.2671643519</v>
      </c>
      <c r="D12502" s="4">
        <f>IFERROR(__xludf.DUMMYFUNCTION("""COMPUTED_VALUE"""),13.03251)</f>
        <v>13.03251</v>
      </c>
      <c r="E12502" s="4">
        <f>IFERROR(__xludf.DUMMYFUNCTION("""COMPUTED_VALUE"""),80.24244)</f>
        <v>80.24244</v>
      </c>
      <c r="F12502" s="4">
        <f>IFERROR(__xludf.DUMMYFUNCTION("""COMPUTED_VALUE"""),2846.0)</f>
        <v>2846</v>
      </c>
      <c r="G12502" s="4">
        <f>IFERROR(__xludf.DUMMYFUNCTION("""COMPUTED_VALUE"""),31.0)</f>
        <v>31</v>
      </c>
      <c r="H12502" s="4"/>
      <c r="I12502" s="4"/>
    </row>
    <row r="12503">
      <c r="A12503" s="4" t="str">
        <f>IFERROR(__xludf.DUMMYFUNCTION("""COMPUTED_VALUE"""),"cas_hmw")</f>
        <v>cas_hmw</v>
      </c>
      <c r="B12503" s="5">
        <f>IFERROR(__xludf.DUMMYFUNCTION("""COMPUTED_VALUE"""),44714.0)</f>
        <v>44714</v>
      </c>
      <c r="C12503" s="6">
        <f>IFERROR(__xludf.DUMMYFUNCTION("""COMPUTED_VALUE"""),0.2674768518518249)</f>
        <v>0.2674768519</v>
      </c>
      <c r="D12503" s="4">
        <f>IFERROR(__xludf.DUMMYFUNCTION("""COMPUTED_VALUE"""),12.708217)</f>
        <v>12.708217</v>
      </c>
      <c r="E12503" s="4">
        <f>IFERROR(__xludf.DUMMYFUNCTION("""COMPUTED_VALUE"""),79.976931)</f>
        <v>79.976931</v>
      </c>
      <c r="F12503" s="4">
        <f>IFERROR(__xludf.DUMMYFUNCTION("""COMPUTED_VALUE"""),805.0)</f>
        <v>805</v>
      </c>
      <c r="G12503" s="4">
        <f>IFERROR(__xludf.DUMMYFUNCTION("""COMPUTED_VALUE"""),52.0)</f>
        <v>52</v>
      </c>
      <c r="H12503" s="4"/>
      <c r="I12503" s="4"/>
    </row>
    <row r="12504">
      <c r="A12504" s="4" t="str">
        <f>IFERROR(__xludf.DUMMYFUNCTION("""COMPUTED_VALUE"""),"cas_hmw")</f>
        <v>cas_hmw</v>
      </c>
      <c r="B12504" s="5">
        <f>IFERROR(__xludf.DUMMYFUNCTION("""COMPUTED_VALUE"""),44714.0)</f>
        <v>44714</v>
      </c>
      <c r="C12504" s="6">
        <f>IFERROR(__xludf.DUMMYFUNCTION("""COMPUTED_VALUE"""),0.2675462962979509)</f>
        <v>0.2675462963</v>
      </c>
      <c r="D12504" s="4">
        <f>IFERROR(__xludf.DUMMYFUNCTION("""COMPUTED_VALUE"""),13.033906)</f>
        <v>13.033906</v>
      </c>
      <c r="E12504" s="4">
        <f>IFERROR(__xludf.DUMMYFUNCTION("""COMPUTED_VALUE"""),80.244356)</f>
        <v>80.244356</v>
      </c>
      <c r="F12504" s="4">
        <f>IFERROR(__xludf.DUMMYFUNCTION("""COMPUTED_VALUE"""),2846.0)</f>
        <v>2846</v>
      </c>
      <c r="G12504" s="4">
        <f>IFERROR(__xludf.DUMMYFUNCTION("""COMPUTED_VALUE"""),38.0)</f>
        <v>38</v>
      </c>
      <c r="H12504" s="4"/>
      <c r="I12504" s="4"/>
    </row>
    <row r="12505">
      <c r="A12505" s="4" t="str">
        <f>IFERROR(__xludf.DUMMYFUNCTION("""COMPUTED_VALUE"""),"cas_hmw")</f>
        <v>cas_hmw</v>
      </c>
      <c r="B12505" s="5">
        <f>IFERROR(__xludf.DUMMYFUNCTION("""COMPUTED_VALUE"""),44714.0)</f>
        <v>44714</v>
      </c>
      <c r="C12505" s="6">
        <f>IFERROR(__xludf.DUMMYFUNCTION("""COMPUTED_VALUE"""),0.2687499999992724)</f>
        <v>0.26875</v>
      </c>
      <c r="D12505" s="4">
        <f>IFERROR(__xludf.DUMMYFUNCTION("""COMPUTED_VALUE"""),13.039808)</f>
        <v>13.039808</v>
      </c>
      <c r="E12505" s="4">
        <f>IFERROR(__xludf.DUMMYFUNCTION("""COMPUTED_VALUE"""),80.246977)</f>
        <v>80.246977</v>
      </c>
      <c r="F12505" s="4">
        <f>IFERROR(__xludf.DUMMYFUNCTION("""COMPUTED_VALUE"""),2846.0)</f>
        <v>2846</v>
      </c>
      <c r="G12505" s="4">
        <f>IFERROR(__xludf.DUMMYFUNCTION("""COMPUTED_VALUE"""),36.0)</f>
        <v>36</v>
      </c>
      <c r="H12505" s="4"/>
      <c r="I12505" s="4"/>
    </row>
    <row r="12506">
      <c r="A12506" s="4" t="str">
        <f>IFERROR(__xludf.DUMMYFUNCTION("""COMPUTED_VALUE"""),"cas_hmw")</f>
        <v>cas_hmw</v>
      </c>
      <c r="B12506" s="5">
        <f>IFERROR(__xludf.DUMMYFUNCTION("""COMPUTED_VALUE"""),44714.0)</f>
        <v>44714</v>
      </c>
      <c r="C12506" s="6">
        <f>IFERROR(__xludf.DUMMYFUNCTION("""COMPUTED_VALUE"""),0.26906249999956344)</f>
        <v>0.2690625</v>
      </c>
      <c r="D12506" s="4">
        <f>IFERROR(__xludf.DUMMYFUNCTION("""COMPUTED_VALUE"""),12.691985)</f>
        <v>12.691985</v>
      </c>
      <c r="E12506" s="4">
        <f>IFERROR(__xludf.DUMMYFUNCTION("""COMPUTED_VALUE"""),79.964027)</f>
        <v>79.964027</v>
      </c>
      <c r="F12506" s="4">
        <f>IFERROR(__xludf.DUMMYFUNCTION("""COMPUTED_VALUE"""),805.0)</f>
        <v>805</v>
      </c>
      <c r="G12506" s="4">
        <f>IFERROR(__xludf.DUMMYFUNCTION("""COMPUTED_VALUE"""),58.0)</f>
        <v>58</v>
      </c>
      <c r="H12506" s="4"/>
      <c r="I12506" s="4"/>
    </row>
    <row r="12507">
      <c r="A12507" s="4" t="str">
        <f>IFERROR(__xludf.DUMMYFUNCTION("""COMPUTED_VALUE"""),"cas_hmw")</f>
        <v>cas_hmw</v>
      </c>
      <c r="B12507" s="5">
        <f>IFERROR(__xludf.DUMMYFUNCTION("""COMPUTED_VALUE"""),44714.0)</f>
        <v>44714</v>
      </c>
      <c r="C12507" s="6">
        <f>IFERROR(__xludf.DUMMYFUNCTION("""COMPUTED_VALUE"""),0.2691550925919728)</f>
        <v>0.2691550926</v>
      </c>
      <c r="D12507" s="4">
        <f>IFERROR(__xludf.DUMMYFUNCTION("""COMPUTED_VALUE"""),13.043725)</f>
        <v>13.043725</v>
      </c>
      <c r="E12507" s="4">
        <f>IFERROR(__xludf.DUMMYFUNCTION("""COMPUTED_VALUE"""),80.247717)</f>
        <v>80.247717</v>
      </c>
      <c r="F12507" s="4">
        <f>IFERROR(__xludf.DUMMYFUNCTION("""COMPUTED_VALUE"""),2846.0)</f>
        <v>2846</v>
      </c>
      <c r="G12507" s="4">
        <f>IFERROR(__xludf.DUMMYFUNCTION("""COMPUTED_VALUE"""),42.0)</f>
        <v>42</v>
      </c>
      <c r="H12507" s="4"/>
      <c r="I12507" s="4"/>
    </row>
    <row r="12508">
      <c r="A12508" s="4" t="str">
        <f>IFERROR(__xludf.DUMMYFUNCTION("""COMPUTED_VALUE"""),"cas_hmw")</f>
        <v>cas_hmw</v>
      </c>
      <c r="B12508" s="5">
        <f>IFERROR(__xludf.DUMMYFUNCTION("""COMPUTED_VALUE"""),44714.0)</f>
        <v>44714</v>
      </c>
      <c r="C12508" s="6">
        <f>IFERROR(__xludf.DUMMYFUNCTION("""COMPUTED_VALUE"""),0.2696180555540195)</f>
        <v>0.2696180556</v>
      </c>
      <c r="D12508" s="4">
        <f>IFERROR(__xludf.DUMMYFUNCTION("""COMPUTED_VALUE"""),13.047013)</f>
        <v>13.047013</v>
      </c>
      <c r="E12508" s="4">
        <f>IFERROR(__xludf.DUMMYFUNCTION("""COMPUTED_VALUE"""),80.248342)</f>
        <v>80.248342</v>
      </c>
      <c r="F12508" s="4">
        <f>IFERROR(__xludf.DUMMYFUNCTION("""COMPUTED_VALUE"""),2846.0)</f>
        <v>2846</v>
      </c>
      <c r="G12508" s="4">
        <f>IFERROR(__xludf.DUMMYFUNCTION("""COMPUTED_VALUE"""),41.0)</f>
        <v>41</v>
      </c>
      <c r="H12508" s="4"/>
      <c r="I12508" s="4"/>
    </row>
    <row r="12509">
      <c r="A12509" s="4" t="str">
        <f>IFERROR(__xludf.DUMMYFUNCTION("""COMPUTED_VALUE"""),"cas_hmw")</f>
        <v>cas_hmw</v>
      </c>
      <c r="B12509" s="5">
        <f>IFERROR(__xludf.DUMMYFUNCTION("""COMPUTED_VALUE"""),44714.0)</f>
        <v>44714</v>
      </c>
      <c r="C12509" s="6">
        <f>IFERROR(__xludf.DUMMYFUNCTION("""COMPUTED_VALUE"""),0.2698379629619012)</f>
        <v>0.269837963</v>
      </c>
      <c r="D12509" s="4">
        <f>IFERROR(__xludf.DUMMYFUNCTION("""COMPUTED_VALUE"""),13.048501)</f>
        <v>13.048501</v>
      </c>
      <c r="E12509" s="4">
        <f>IFERROR(__xludf.DUMMYFUNCTION("""COMPUTED_VALUE"""),80.24952)</f>
        <v>80.24952</v>
      </c>
      <c r="F12509" s="4">
        <f>IFERROR(__xludf.DUMMYFUNCTION("""COMPUTED_VALUE"""),2846.0)</f>
        <v>2846</v>
      </c>
      <c r="G12509" s="4">
        <f>IFERROR(__xludf.DUMMYFUNCTION("""COMPUTED_VALUE"""),26.0)</f>
        <v>26</v>
      </c>
      <c r="H12509" s="4"/>
      <c r="I12509" s="4"/>
    </row>
    <row r="12510">
      <c r="A12510" s="4" t="str">
        <f>IFERROR(__xludf.DUMMYFUNCTION("""COMPUTED_VALUE"""),"cas_hmw")</f>
        <v>cas_hmw</v>
      </c>
      <c r="B12510" s="5">
        <f>IFERROR(__xludf.DUMMYFUNCTION("""COMPUTED_VALUE"""),44714.0)</f>
        <v>44714</v>
      </c>
      <c r="C12510" s="6">
        <f>IFERROR(__xludf.DUMMYFUNCTION("""COMPUTED_VALUE"""),0.2704861111124046)</f>
        <v>0.2704861111</v>
      </c>
      <c r="D12510" s="4">
        <f>IFERROR(__xludf.DUMMYFUNCTION("""COMPUTED_VALUE"""),13.052857)</f>
        <v>13.052857</v>
      </c>
      <c r="E12510" s="4">
        <f>IFERROR(__xludf.DUMMYFUNCTION("""COMPUTED_VALUE"""),80.25164)</f>
        <v>80.25164</v>
      </c>
      <c r="F12510" s="4">
        <f>IFERROR(__xludf.DUMMYFUNCTION("""COMPUTED_VALUE"""),2846.0)</f>
        <v>2846</v>
      </c>
      <c r="G12510" s="4">
        <f>IFERROR(__xludf.DUMMYFUNCTION("""COMPUTED_VALUE"""),48.0)</f>
        <v>48</v>
      </c>
      <c r="H12510" s="4"/>
      <c r="I12510" s="4"/>
    </row>
    <row r="12511">
      <c r="A12511" s="4" t="str">
        <f>IFERROR(__xludf.DUMMYFUNCTION("""COMPUTED_VALUE"""),"cas_hmw")</f>
        <v>cas_hmw</v>
      </c>
      <c r="B12511" s="5">
        <f>IFERROR(__xludf.DUMMYFUNCTION("""COMPUTED_VALUE"""),44714.0)</f>
        <v>44714</v>
      </c>
      <c r="C12511" s="6">
        <f>IFERROR(__xludf.DUMMYFUNCTION("""COMPUTED_VALUE"""),0.2719212962947495)</f>
        <v>0.2719212963</v>
      </c>
      <c r="D12511" s="4">
        <f>IFERROR(__xludf.DUMMYFUNCTION("""COMPUTED_VALUE"""),12.660604)</f>
        <v>12.660604</v>
      </c>
      <c r="E12511" s="4">
        <f>IFERROR(__xludf.DUMMYFUNCTION("""COMPUTED_VALUE"""),79.960994)</f>
        <v>79.960994</v>
      </c>
      <c r="F12511" s="4">
        <f>IFERROR(__xludf.DUMMYFUNCTION("""COMPUTED_VALUE"""),805.0)</f>
        <v>805</v>
      </c>
      <c r="G12511" s="4">
        <f>IFERROR(__xludf.DUMMYFUNCTION("""COMPUTED_VALUE"""),58.0)</f>
        <v>58</v>
      </c>
      <c r="H12511" s="4"/>
      <c r="I12511" s="4"/>
    </row>
    <row r="12512">
      <c r="A12512" s="4" t="str">
        <f>IFERROR(__xludf.DUMMYFUNCTION("""COMPUTED_VALUE"""),"cas_hmw")</f>
        <v>cas_hmw</v>
      </c>
      <c r="B12512" s="5">
        <f>IFERROR(__xludf.DUMMYFUNCTION("""COMPUTED_VALUE"""),44714.0)</f>
        <v>44714</v>
      </c>
      <c r="C12512" s="6">
        <f>IFERROR(__xludf.DUMMYFUNCTION("""COMPUTED_VALUE"""),0.27229166666802485)</f>
        <v>0.2722916667</v>
      </c>
      <c r="D12512" s="4">
        <f>IFERROR(__xludf.DUMMYFUNCTION("""COMPUTED_VALUE"""),12.657403)</f>
        <v>12.657403</v>
      </c>
      <c r="E12512" s="4">
        <f>IFERROR(__xludf.DUMMYFUNCTION("""COMPUTED_VALUE"""),79.957753)</f>
        <v>79.957753</v>
      </c>
      <c r="F12512" s="4">
        <f>IFERROR(__xludf.DUMMYFUNCTION("""COMPUTED_VALUE"""),805.0)</f>
        <v>805</v>
      </c>
      <c r="G12512" s="4">
        <f>IFERROR(__xludf.DUMMYFUNCTION("""COMPUTED_VALUE"""),57.0)</f>
        <v>57</v>
      </c>
      <c r="H12512" s="4"/>
      <c r="I12512" s="4"/>
    </row>
    <row r="12513">
      <c r="A12513" s="4" t="str">
        <f>IFERROR(__xludf.DUMMYFUNCTION("""COMPUTED_VALUE"""),"cas_hmw")</f>
        <v>cas_hmw</v>
      </c>
      <c r="B12513" s="5">
        <f>IFERROR(__xludf.DUMMYFUNCTION("""COMPUTED_VALUE"""),44714.0)</f>
        <v>44714</v>
      </c>
      <c r="C12513" s="6">
        <f>IFERROR(__xludf.DUMMYFUNCTION("""COMPUTED_VALUE"""),0.2749305555553292)</f>
        <v>0.2749305556</v>
      </c>
      <c r="D12513" s="4">
        <f>IFERROR(__xludf.DUMMYFUNCTION("""COMPUTED_VALUE"""),12.642998)</f>
        <v>12.642998</v>
      </c>
      <c r="E12513" s="4">
        <f>IFERROR(__xludf.DUMMYFUNCTION("""COMPUTED_VALUE"""),79.938229)</f>
        <v>79.938229</v>
      </c>
      <c r="F12513" s="4">
        <f>IFERROR(__xludf.DUMMYFUNCTION("""COMPUTED_VALUE"""),805.0)</f>
        <v>805</v>
      </c>
      <c r="G12513" s="4">
        <f>IFERROR(__xludf.DUMMYFUNCTION("""COMPUTED_VALUE"""),53.0)</f>
        <v>53</v>
      </c>
      <c r="H12513" s="4"/>
      <c r="I12513" s="4"/>
    </row>
    <row r="12514">
      <c r="A12514" s="4" t="str">
        <f>IFERROR(__xludf.DUMMYFUNCTION("""COMPUTED_VALUE"""),"cas_hmw")</f>
        <v>cas_hmw</v>
      </c>
      <c r="B12514" s="5">
        <f>IFERROR(__xludf.DUMMYFUNCTION("""COMPUTED_VALUE"""),44714.0)</f>
        <v>44714</v>
      </c>
      <c r="C12514" s="6">
        <f>IFERROR(__xludf.DUMMYFUNCTION("""COMPUTED_VALUE"""),0.2754745370366436)</f>
        <v>0.275474537</v>
      </c>
      <c r="D12514" s="4">
        <f>IFERROR(__xludf.DUMMYFUNCTION("""COMPUTED_VALUE"""),12.63742)</f>
        <v>12.63742</v>
      </c>
      <c r="E12514" s="4">
        <f>IFERROR(__xludf.DUMMYFUNCTION("""COMPUTED_VALUE"""),79.934799)</f>
        <v>79.934799</v>
      </c>
      <c r="F12514" s="4">
        <f>IFERROR(__xludf.DUMMYFUNCTION("""COMPUTED_VALUE"""),805.0)</f>
        <v>805</v>
      </c>
      <c r="G12514" s="4">
        <f>IFERROR(__xludf.DUMMYFUNCTION("""COMPUTED_VALUE"""),44.0)</f>
        <v>44</v>
      </c>
      <c r="H12514" s="4"/>
      <c r="I12514" s="4"/>
    </row>
    <row r="12515">
      <c r="A12515" s="4" t="str">
        <f>IFERROR(__xludf.DUMMYFUNCTION("""COMPUTED_VALUE"""),"cas_hmw")</f>
        <v>cas_hmw</v>
      </c>
      <c r="B12515" s="5">
        <f>IFERROR(__xludf.DUMMYFUNCTION("""COMPUTED_VALUE"""),44714.0)</f>
        <v>44714</v>
      </c>
      <c r="C12515" s="6">
        <f>IFERROR(__xludf.DUMMYFUNCTION("""COMPUTED_VALUE"""),0.2800925925912452)</f>
        <v>0.2800925926</v>
      </c>
      <c r="D12515" s="4">
        <f>IFERROR(__xludf.DUMMYFUNCTION("""COMPUTED_VALUE"""),12.585734)</f>
        <v>12.585734</v>
      </c>
      <c r="E12515" s="4">
        <f>IFERROR(__xludf.DUMMYFUNCTION("""COMPUTED_VALUE"""),79.919495)</f>
        <v>79.919495</v>
      </c>
      <c r="F12515" s="4">
        <f>IFERROR(__xludf.DUMMYFUNCTION("""COMPUTED_VALUE"""),805.0)</f>
        <v>805</v>
      </c>
      <c r="G12515" s="4">
        <f>IFERROR(__xludf.DUMMYFUNCTION("""COMPUTED_VALUE"""),57.0)</f>
        <v>57</v>
      </c>
      <c r="H12515" s="4"/>
      <c r="I12515" s="4"/>
    </row>
    <row r="12516">
      <c r="A12516" s="4" t="str">
        <f>IFERROR(__xludf.DUMMYFUNCTION("""COMPUTED_VALUE"""),"cas_hmw")</f>
        <v>cas_hmw</v>
      </c>
      <c r="B12516" s="5">
        <f>IFERROR(__xludf.DUMMYFUNCTION("""COMPUTED_VALUE"""),44714.0)</f>
        <v>44714</v>
      </c>
      <c r="C12516" s="6">
        <f>IFERROR(__xludf.DUMMYFUNCTION("""COMPUTED_VALUE"""),0.2962152777763549)</f>
        <v>0.2962152778</v>
      </c>
      <c r="D12516" s="4">
        <f>IFERROR(__xludf.DUMMYFUNCTION("""COMPUTED_VALUE"""),12.519879)</f>
        <v>12.519879</v>
      </c>
      <c r="E12516" s="4">
        <f>IFERROR(__xludf.DUMMYFUNCTION("""COMPUTED_VALUE"""),79.893293)</f>
        <v>79.893293</v>
      </c>
      <c r="F12516" s="4">
        <f>IFERROR(__xludf.DUMMYFUNCTION("""COMPUTED_VALUE"""),805.0)</f>
        <v>805</v>
      </c>
      <c r="G12516" s="4">
        <f>IFERROR(__xludf.DUMMYFUNCTION("""COMPUTED_VALUE"""),59.0)</f>
        <v>59</v>
      </c>
      <c r="H12516" s="4"/>
      <c r="I12516" s="4"/>
    </row>
    <row r="12517">
      <c r="A12517" s="4" t="str">
        <f>IFERROR(__xludf.DUMMYFUNCTION("""COMPUTED_VALUE"""),"cas_hmw")</f>
        <v>cas_hmw</v>
      </c>
      <c r="B12517" s="5">
        <f>IFERROR(__xludf.DUMMYFUNCTION("""COMPUTED_VALUE"""),44714.0)</f>
        <v>44714</v>
      </c>
      <c r="C12517" s="6">
        <f>IFERROR(__xludf.DUMMYFUNCTION("""COMPUTED_VALUE"""),0.29715277777722804)</f>
        <v>0.2971527778</v>
      </c>
      <c r="D12517" s="4">
        <f>IFERROR(__xludf.DUMMYFUNCTION("""COMPUTED_VALUE"""),13.066447)</f>
        <v>13.066447</v>
      </c>
      <c r="E12517" s="4">
        <f>IFERROR(__xludf.DUMMYFUNCTION("""COMPUTED_VALUE"""),80.245731)</f>
        <v>80.245731</v>
      </c>
      <c r="F12517" s="4">
        <f>IFERROR(__xludf.DUMMYFUNCTION("""COMPUTED_VALUE"""),2846.0)</f>
        <v>2846</v>
      </c>
      <c r="G12517" s="4">
        <f>IFERROR(__xludf.DUMMYFUNCTION("""COMPUTED_VALUE"""),33.0)</f>
        <v>33</v>
      </c>
      <c r="H12517" s="4"/>
      <c r="I12517" s="4"/>
    </row>
    <row r="12518">
      <c r="A12518" s="4" t="str">
        <f>IFERROR(__xludf.DUMMYFUNCTION("""COMPUTED_VALUE"""),"cas_hmw")</f>
        <v>cas_hmw</v>
      </c>
      <c r="B12518" s="5">
        <f>IFERROR(__xludf.DUMMYFUNCTION("""COMPUTED_VALUE"""),44714.0)</f>
        <v>44714</v>
      </c>
      <c r="C12518" s="6">
        <f>IFERROR(__xludf.DUMMYFUNCTION("""COMPUTED_VALUE"""),0.299699074075761)</f>
        <v>0.2996990741</v>
      </c>
      <c r="D12518" s="4">
        <f>IFERROR(__xludf.DUMMYFUNCTION("""COMPUTED_VALUE"""),13.070818)</f>
        <v>13.070818</v>
      </c>
      <c r="E12518" s="4">
        <f>IFERROR(__xludf.DUMMYFUNCTION("""COMPUTED_VALUE"""),80.25826)</f>
        <v>80.25826</v>
      </c>
      <c r="F12518" s="4">
        <f>IFERROR(__xludf.DUMMYFUNCTION("""COMPUTED_VALUE"""),2846.0)</f>
        <v>2846</v>
      </c>
      <c r="G12518" s="4">
        <f>IFERROR(__xludf.DUMMYFUNCTION("""COMPUTED_VALUE"""),38.0)</f>
        <v>38</v>
      </c>
      <c r="H12518" s="4"/>
      <c r="I12518" s="4"/>
    </row>
    <row r="12519">
      <c r="A12519" s="4" t="str">
        <f>IFERROR(__xludf.DUMMYFUNCTION("""COMPUTED_VALUE"""),"cas_hmw")</f>
        <v>cas_hmw</v>
      </c>
      <c r="B12519" s="5">
        <f>IFERROR(__xludf.DUMMYFUNCTION("""COMPUTED_VALUE"""),44714.0)</f>
        <v>44714</v>
      </c>
      <c r="C12519" s="6">
        <f>IFERROR(__xludf.DUMMYFUNCTION("""COMPUTED_VALUE"""),0.30368055555663886)</f>
        <v>0.3036805556</v>
      </c>
      <c r="D12519" s="4">
        <f>IFERROR(__xludf.DUMMYFUNCTION("""COMPUTED_VALUE"""),12.598522)</f>
        <v>12.598522</v>
      </c>
      <c r="E12519" s="4">
        <f>IFERROR(__xludf.DUMMYFUNCTION("""COMPUTED_VALUE"""),79.919676)</f>
        <v>79.919676</v>
      </c>
      <c r="F12519" s="4">
        <f>IFERROR(__xludf.DUMMYFUNCTION("""COMPUTED_VALUE"""),805.0)</f>
        <v>805</v>
      </c>
      <c r="G12519" s="4">
        <f>IFERROR(__xludf.DUMMYFUNCTION("""COMPUTED_VALUE"""),58.0)</f>
        <v>58</v>
      </c>
      <c r="H12519" s="4"/>
      <c r="I12519" s="4"/>
    </row>
    <row r="12520">
      <c r="A12520" s="4" t="str">
        <f>IFERROR(__xludf.DUMMYFUNCTION("""COMPUTED_VALUE"""),"cas_hmw")</f>
        <v>cas_hmw</v>
      </c>
      <c r="B12520" s="5">
        <f>IFERROR(__xludf.DUMMYFUNCTION("""COMPUTED_VALUE"""),44714.0)</f>
        <v>44714</v>
      </c>
      <c r="C12520" s="6">
        <f>IFERROR(__xludf.DUMMYFUNCTION("""COMPUTED_VALUE"""),0.3067592592597066)</f>
        <v>0.3067592593</v>
      </c>
      <c r="D12520" s="4">
        <f>IFERROR(__xludf.DUMMYFUNCTION("""COMPUTED_VALUE"""),12.630748)</f>
        <v>12.630748</v>
      </c>
      <c r="E12520" s="4">
        <f>IFERROR(__xludf.DUMMYFUNCTION("""COMPUTED_VALUE"""),79.93135)</f>
        <v>79.93135</v>
      </c>
      <c r="F12520" s="4">
        <f>IFERROR(__xludf.DUMMYFUNCTION("""COMPUTED_VALUE"""),805.0)</f>
        <v>805</v>
      </c>
      <c r="G12520" s="4">
        <f>IFERROR(__xludf.DUMMYFUNCTION("""COMPUTED_VALUE"""),34.0)</f>
        <v>34</v>
      </c>
      <c r="H12520" s="4"/>
      <c r="I12520" s="4"/>
    </row>
    <row r="12521">
      <c r="A12521" s="4" t="str">
        <f>IFERROR(__xludf.DUMMYFUNCTION("""COMPUTED_VALUE"""),"cas_hmw")</f>
        <v>cas_hmw</v>
      </c>
      <c r="B12521" s="5">
        <f>IFERROR(__xludf.DUMMYFUNCTION("""COMPUTED_VALUE"""),44714.0)</f>
        <v>44714</v>
      </c>
      <c r="C12521" s="6">
        <f>IFERROR(__xludf.DUMMYFUNCTION("""COMPUTED_VALUE"""),0.31270833333474)</f>
        <v>0.3127083333</v>
      </c>
      <c r="D12521" s="4">
        <f>IFERROR(__xludf.DUMMYFUNCTION("""COMPUTED_VALUE"""),12.669737)</f>
        <v>12.669737</v>
      </c>
      <c r="E12521" s="4">
        <f>IFERROR(__xludf.DUMMYFUNCTION("""COMPUTED_VALUE"""),79.974801)</f>
        <v>79.974801</v>
      </c>
      <c r="F12521" s="4">
        <f>IFERROR(__xludf.DUMMYFUNCTION("""COMPUTED_VALUE"""),805.0)</f>
        <v>805</v>
      </c>
      <c r="G12521" s="4">
        <f>IFERROR(__xludf.DUMMYFUNCTION("""COMPUTED_VALUE"""),52.0)</f>
        <v>52</v>
      </c>
      <c r="H12521" s="4"/>
      <c r="I12521" s="4"/>
    </row>
    <row r="12522">
      <c r="A12522" s="4" t="str">
        <f>IFERROR(__xludf.DUMMYFUNCTION("""COMPUTED_VALUE"""),"cas_hmw")</f>
        <v>cas_hmw</v>
      </c>
      <c r="B12522" s="5">
        <f>IFERROR(__xludf.DUMMYFUNCTION("""COMPUTED_VALUE"""),44714.0)</f>
        <v>44714</v>
      </c>
      <c r="C12522" s="6">
        <f>IFERROR(__xludf.DUMMYFUNCTION("""COMPUTED_VALUE"""),0.31320601851984975)</f>
        <v>0.3132060185</v>
      </c>
      <c r="D12522" s="4">
        <f>IFERROR(__xludf.DUMMYFUNCTION("""COMPUTED_VALUE"""),12.671467)</f>
        <v>12.671467</v>
      </c>
      <c r="E12522" s="4">
        <f>IFERROR(__xludf.DUMMYFUNCTION("""COMPUTED_VALUE"""),79.976023)</f>
        <v>79.976023</v>
      </c>
      <c r="F12522" s="4">
        <f>IFERROR(__xludf.DUMMYFUNCTION("""COMPUTED_VALUE"""),805.0)</f>
        <v>805</v>
      </c>
      <c r="G12522" s="4">
        <f>IFERROR(__xludf.DUMMYFUNCTION("""COMPUTED_VALUE"""),35.0)</f>
        <v>35</v>
      </c>
      <c r="H12522" s="4"/>
      <c r="I12522" s="4"/>
    </row>
    <row r="12523">
      <c r="A12523" s="4" t="str">
        <f>IFERROR(__xludf.DUMMYFUNCTION("""COMPUTED_VALUE"""),"cas_hmw")</f>
        <v>cas_hmw</v>
      </c>
      <c r="B12523" s="5">
        <f>IFERROR(__xludf.DUMMYFUNCTION("""COMPUTED_VALUE"""),44714.0)</f>
        <v>44714</v>
      </c>
      <c r="C12523" s="6">
        <f>IFERROR(__xludf.DUMMYFUNCTION("""COMPUTED_VALUE"""),0.3137037037049595)</f>
        <v>0.3137037037</v>
      </c>
      <c r="D12523" s="4">
        <f>IFERROR(__xludf.DUMMYFUNCTION("""COMPUTED_VALUE"""),13.047175)</f>
        <v>13.047175</v>
      </c>
      <c r="E12523" s="4">
        <f>IFERROR(__xludf.DUMMYFUNCTION("""COMPUTED_VALUE"""),80.248611)</f>
        <v>80.248611</v>
      </c>
      <c r="F12523" s="4">
        <f>IFERROR(__xludf.DUMMYFUNCTION("""COMPUTED_VALUE"""),2846.0)</f>
        <v>2846</v>
      </c>
      <c r="G12523" s="4">
        <f>IFERROR(__xludf.DUMMYFUNCTION("""COMPUTED_VALUE"""),43.0)</f>
        <v>43</v>
      </c>
      <c r="H12523" s="4"/>
      <c r="I12523" s="4"/>
    </row>
    <row r="12524">
      <c r="A12524" s="4" t="str">
        <f>IFERROR(__xludf.DUMMYFUNCTION("""COMPUTED_VALUE"""),"cas_hmw")</f>
        <v>cas_hmw</v>
      </c>
      <c r="B12524" s="5">
        <f>IFERROR(__xludf.DUMMYFUNCTION("""COMPUTED_VALUE"""),44714.0)</f>
        <v>44714</v>
      </c>
      <c r="C12524" s="6">
        <f>IFERROR(__xludf.DUMMYFUNCTION("""COMPUTED_VALUE"""),0.3137962962973688)</f>
        <v>0.3137962963</v>
      </c>
      <c r="D12524" s="4">
        <f>IFERROR(__xludf.DUMMYFUNCTION("""COMPUTED_VALUE"""),12.674845)</f>
        <v>12.674845</v>
      </c>
      <c r="E12524" s="4">
        <f>IFERROR(__xludf.DUMMYFUNCTION("""COMPUTED_VALUE"""),79.977236)</f>
        <v>79.977236</v>
      </c>
      <c r="F12524" s="4">
        <f>IFERROR(__xludf.DUMMYFUNCTION("""COMPUTED_VALUE"""),805.0)</f>
        <v>805</v>
      </c>
      <c r="G12524" s="4">
        <f>IFERROR(__xludf.DUMMYFUNCTION("""COMPUTED_VALUE"""),33.0)</f>
        <v>33</v>
      </c>
      <c r="H12524" s="4"/>
      <c r="I12524" s="4"/>
    </row>
    <row r="12525">
      <c r="A12525" s="4" t="str">
        <f>IFERROR(__xludf.DUMMYFUNCTION("""COMPUTED_VALUE"""),"cas_hmw")</f>
        <v>cas_hmw</v>
      </c>
      <c r="B12525" s="5">
        <f>IFERROR(__xludf.DUMMYFUNCTION("""COMPUTED_VALUE"""),44714.0)</f>
        <v>44714</v>
      </c>
      <c r="C12525" s="6">
        <f>IFERROR(__xludf.DUMMYFUNCTION("""COMPUTED_VALUE"""),0.3143865740748879)</f>
        <v>0.3143865741</v>
      </c>
      <c r="D12525" s="4">
        <f>IFERROR(__xludf.DUMMYFUNCTION("""COMPUTED_VALUE"""),13.045476)</f>
        <v>13.045476</v>
      </c>
      <c r="E12525" s="4">
        <f>IFERROR(__xludf.DUMMYFUNCTION("""COMPUTED_VALUE"""),80.248232)</f>
        <v>80.248232</v>
      </c>
      <c r="F12525" s="4">
        <f>IFERROR(__xludf.DUMMYFUNCTION("""COMPUTED_VALUE"""),2846.0)</f>
        <v>2846</v>
      </c>
      <c r="G12525" s="4">
        <f>IFERROR(__xludf.DUMMYFUNCTION("""COMPUTED_VALUE"""),24.0)</f>
        <v>24</v>
      </c>
      <c r="H12525" s="4"/>
      <c r="I12525" s="4"/>
    </row>
    <row r="12526">
      <c r="A12526" s="4" t="str">
        <f>IFERROR(__xludf.DUMMYFUNCTION("""COMPUTED_VALUE"""),"cas_hmw")</f>
        <v>cas_hmw</v>
      </c>
      <c r="B12526" s="5">
        <f>IFERROR(__xludf.DUMMYFUNCTION("""COMPUTED_VALUE"""),44714.0)</f>
        <v>44714</v>
      </c>
      <c r="C12526" s="6">
        <f>IFERROR(__xludf.DUMMYFUNCTION("""COMPUTED_VALUE"""),0.3146064814827696)</f>
        <v>0.3146064815</v>
      </c>
      <c r="D12526" s="4">
        <f>IFERROR(__xludf.DUMMYFUNCTION("""COMPUTED_VALUE"""),13.043787)</f>
        <v>13.043787</v>
      </c>
      <c r="E12526" s="4">
        <f>IFERROR(__xludf.DUMMYFUNCTION("""COMPUTED_VALUE"""),80.247896)</f>
        <v>80.247896</v>
      </c>
      <c r="F12526" s="4">
        <f>IFERROR(__xludf.DUMMYFUNCTION("""COMPUTED_VALUE"""),2846.0)</f>
        <v>2846</v>
      </c>
      <c r="G12526" s="4">
        <f>IFERROR(__xludf.DUMMYFUNCTION("""COMPUTED_VALUE"""),39.0)</f>
        <v>39</v>
      </c>
      <c r="H12526" s="4"/>
      <c r="I12526" s="4"/>
    </row>
    <row r="12527">
      <c r="A12527" s="4" t="str">
        <f>IFERROR(__xludf.DUMMYFUNCTION("""COMPUTED_VALUE"""),"cas_hmw")</f>
        <v>cas_hmw</v>
      </c>
      <c r="B12527" s="5">
        <f>IFERROR(__xludf.DUMMYFUNCTION("""COMPUTED_VALUE"""),44714.0)</f>
        <v>44714</v>
      </c>
      <c r="C12527" s="6">
        <f>IFERROR(__xludf.DUMMYFUNCTION("""COMPUTED_VALUE"""),0.31481481481387164)</f>
        <v>0.3148148148</v>
      </c>
      <c r="D12527" s="4">
        <f>IFERROR(__xludf.DUMMYFUNCTION("""COMPUTED_VALUE"""),13.041753)</f>
        <v>13.041753</v>
      </c>
      <c r="E12527" s="4">
        <f>IFERROR(__xludf.DUMMYFUNCTION("""COMPUTED_VALUE"""),80.247491)</f>
        <v>80.247491</v>
      </c>
      <c r="F12527" s="4">
        <f>IFERROR(__xludf.DUMMYFUNCTION("""COMPUTED_VALUE"""),2846.0)</f>
        <v>2846</v>
      </c>
      <c r="G12527" s="4">
        <f>IFERROR(__xludf.DUMMYFUNCTION("""COMPUTED_VALUE"""),39.0)</f>
        <v>39</v>
      </c>
      <c r="H12527" s="4"/>
      <c r="I12527" s="4"/>
    </row>
    <row r="12528">
      <c r="A12528" s="4" t="str">
        <f>IFERROR(__xludf.DUMMYFUNCTION("""COMPUTED_VALUE"""),"cas_hmw")</f>
        <v>cas_hmw</v>
      </c>
      <c r="B12528" s="5">
        <f>IFERROR(__xludf.DUMMYFUNCTION("""COMPUTED_VALUE"""),44714.0)</f>
        <v>44714</v>
      </c>
      <c r="C12528" s="6">
        <f>IFERROR(__xludf.DUMMYFUNCTION("""COMPUTED_VALUE"""),0.31575231481474475)</f>
        <v>0.3157523148</v>
      </c>
      <c r="D12528" s="4">
        <f>IFERROR(__xludf.DUMMYFUNCTION("""COMPUTED_VALUE"""),13.038555)</f>
        <v>13.038555</v>
      </c>
      <c r="E12528" s="4">
        <f>IFERROR(__xludf.DUMMYFUNCTION("""COMPUTED_VALUE"""),80.246894)</f>
        <v>80.246894</v>
      </c>
      <c r="F12528" s="4">
        <f>IFERROR(__xludf.DUMMYFUNCTION("""COMPUTED_VALUE"""),2846.0)</f>
        <v>2846</v>
      </c>
      <c r="G12528" s="4">
        <f>IFERROR(__xludf.DUMMYFUNCTION("""COMPUTED_VALUE"""),27.0)</f>
        <v>27</v>
      </c>
      <c r="H12528" s="4"/>
      <c r="I12528" s="4"/>
    </row>
    <row r="12529">
      <c r="A12529" s="4" t="str">
        <f>IFERROR(__xludf.DUMMYFUNCTION("""COMPUTED_VALUE"""),"cas_hmw")</f>
        <v>cas_hmw</v>
      </c>
      <c r="B12529" s="5">
        <f>IFERROR(__xludf.DUMMYFUNCTION("""COMPUTED_VALUE"""),44714.0)</f>
        <v>44714</v>
      </c>
      <c r="C12529" s="6">
        <f>IFERROR(__xludf.DUMMYFUNCTION("""COMPUTED_VALUE"""),0.3173379629624833)</f>
        <v>0.317337963</v>
      </c>
      <c r="D12529" s="4">
        <f>IFERROR(__xludf.DUMMYFUNCTION("""COMPUTED_VALUE"""),13.033777)</f>
        <v>13.033777</v>
      </c>
      <c r="E12529" s="4">
        <f>IFERROR(__xludf.DUMMYFUNCTION("""COMPUTED_VALUE"""),80.244326)</f>
        <v>80.244326</v>
      </c>
      <c r="F12529" s="4">
        <f>IFERROR(__xludf.DUMMYFUNCTION("""COMPUTED_VALUE"""),2846.0)</f>
        <v>2846</v>
      </c>
      <c r="G12529" s="4">
        <f>IFERROR(__xludf.DUMMYFUNCTION("""COMPUTED_VALUE"""),42.0)</f>
        <v>42</v>
      </c>
      <c r="H12529" s="4"/>
      <c r="I12529" s="4"/>
    </row>
    <row r="12530">
      <c r="A12530" s="4" t="str">
        <f>IFERROR(__xludf.DUMMYFUNCTION("""COMPUTED_VALUE"""),"cas_hmw")</f>
        <v>cas_hmw</v>
      </c>
      <c r="B12530" s="5">
        <f>IFERROR(__xludf.DUMMYFUNCTION("""COMPUTED_VALUE"""),44714.0)</f>
        <v>44714</v>
      </c>
      <c r="C12530" s="6">
        <f>IFERROR(__xludf.DUMMYFUNCTION("""COMPUTED_VALUE"""),0.3185648148137261)</f>
        <v>0.3185648148</v>
      </c>
      <c r="D12530" s="4">
        <f>IFERROR(__xludf.DUMMYFUNCTION("""COMPUTED_VALUE"""),13.030104)</f>
        <v>13.030104</v>
      </c>
      <c r="E12530" s="4">
        <f>IFERROR(__xludf.DUMMYFUNCTION("""COMPUTED_VALUE"""),80.238219)</f>
        <v>80.238219</v>
      </c>
      <c r="F12530" s="4">
        <f>IFERROR(__xludf.DUMMYFUNCTION("""COMPUTED_VALUE"""),2846.0)</f>
        <v>2846</v>
      </c>
      <c r="G12530" s="4">
        <f>IFERROR(__xludf.DUMMYFUNCTION("""COMPUTED_VALUE"""),35.0)</f>
        <v>35</v>
      </c>
      <c r="H12530" s="4"/>
      <c r="I12530" s="4"/>
    </row>
    <row r="12531">
      <c r="A12531" s="4" t="str">
        <f>IFERROR(__xludf.DUMMYFUNCTION("""COMPUTED_VALUE"""),"cas_hmw")</f>
        <v>cas_hmw</v>
      </c>
      <c r="B12531" s="5">
        <f>IFERROR(__xludf.DUMMYFUNCTION("""COMPUTED_VALUE"""),44714.0)</f>
        <v>44714</v>
      </c>
      <c r="C12531" s="6">
        <f>IFERROR(__xludf.DUMMYFUNCTION("""COMPUTED_VALUE"""),0.3189236111102218)</f>
        <v>0.3189236111</v>
      </c>
      <c r="D12531" s="4">
        <f>IFERROR(__xludf.DUMMYFUNCTION("""COMPUTED_VALUE"""),13.027927)</f>
        <v>13.027927</v>
      </c>
      <c r="E12531" s="4">
        <f>IFERROR(__xludf.DUMMYFUNCTION("""COMPUTED_VALUE"""),80.235419)</f>
        <v>80.235419</v>
      </c>
      <c r="F12531" s="4">
        <f>IFERROR(__xludf.DUMMYFUNCTION("""COMPUTED_VALUE"""),2846.0)</f>
        <v>2846</v>
      </c>
      <c r="G12531" s="4">
        <f>IFERROR(__xludf.DUMMYFUNCTION("""COMPUTED_VALUE"""),56.0)</f>
        <v>56</v>
      </c>
      <c r="H12531" s="4"/>
      <c r="I12531" s="4"/>
    </row>
    <row r="12532">
      <c r="A12532" s="4" t="str">
        <f>IFERROR(__xludf.DUMMYFUNCTION("""COMPUTED_VALUE"""),"cas_hmw")</f>
        <v>cas_hmw</v>
      </c>
      <c r="B12532" s="5">
        <f>IFERROR(__xludf.DUMMYFUNCTION("""COMPUTED_VALUE"""),44714.0)</f>
        <v>44714</v>
      </c>
      <c r="C12532" s="6">
        <f>IFERROR(__xludf.DUMMYFUNCTION("""COMPUTED_VALUE"""),0.3216666666667152)</f>
        <v>0.3216666667</v>
      </c>
      <c r="D12532" s="4">
        <f>IFERROR(__xludf.DUMMYFUNCTION("""COMPUTED_VALUE"""),13.014956)</f>
        <v>13.014956</v>
      </c>
      <c r="E12532" s="4">
        <f>IFERROR(__xludf.DUMMYFUNCTION("""COMPUTED_VALUE"""),80.226016)</f>
        <v>80.226016</v>
      </c>
      <c r="F12532" s="4">
        <f>IFERROR(__xludf.DUMMYFUNCTION("""COMPUTED_VALUE"""),2846.0)</f>
        <v>2846</v>
      </c>
      <c r="G12532" s="4">
        <f>IFERROR(__xludf.DUMMYFUNCTION("""COMPUTED_VALUE"""),31.0)</f>
        <v>31</v>
      </c>
      <c r="H12532" s="4"/>
      <c r="I12532" s="4"/>
    </row>
    <row r="12533">
      <c r="A12533" s="4" t="str">
        <f>IFERROR(__xludf.DUMMYFUNCTION("""COMPUTED_VALUE"""),"cas_hmw")</f>
        <v>cas_hmw</v>
      </c>
      <c r="B12533" s="5">
        <f>IFERROR(__xludf.DUMMYFUNCTION("""COMPUTED_VALUE"""),44714.0)</f>
        <v>44714</v>
      </c>
      <c r="C12533" s="6">
        <f>IFERROR(__xludf.DUMMYFUNCTION("""COMPUTED_VALUE"""),0.32273148148306063)</f>
        <v>0.3227314815</v>
      </c>
      <c r="D12533" s="4">
        <f>IFERROR(__xludf.DUMMYFUNCTION("""COMPUTED_VALUE"""),12.702588)</f>
        <v>12.702588</v>
      </c>
      <c r="E12533" s="4">
        <f>IFERROR(__xludf.DUMMYFUNCTION("""COMPUTED_VALUE"""),79.970568)</f>
        <v>79.970568</v>
      </c>
      <c r="F12533" s="4">
        <f>IFERROR(__xludf.DUMMYFUNCTION("""COMPUTED_VALUE"""),805.0)</f>
        <v>805</v>
      </c>
      <c r="G12533" s="4">
        <f>IFERROR(__xludf.DUMMYFUNCTION("""COMPUTED_VALUE"""),56.0)</f>
        <v>56</v>
      </c>
      <c r="H12533" s="4"/>
      <c r="I12533" s="4"/>
    </row>
    <row r="12534">
      <c r="A12534" s="4" t="str">
        <f>IFERROR(__xludf.DUMMYFUNCTION("""COMPUTED_VALUE"""),"cas_hmw")</f>
        <v>cas_hmw</v>
      </c>
      <c r="B12534" s="5">
        <f>IFERROR(__xludf.DUMMYFUNCTION("""COMPUTED_VALUE"""),44714.0)</f>
        <v>44714</v>
      </c>
      <c r="C12534" s="6">
        <f>IFERROR(__xludf.DUMMYFUNCTION("""COMPUTED_VALUE"""),0.3229166666678793)</f>
        <v>0.3229166667</v>
      </c>
      <c r="D12534" s="4">
        <f>IFERROR(__xludf.DUMMYFUNCTION("""COMPUTED_VALUE"""),12.703888)</f>
        <v>12.703888</v>
      </c>
      <c r="E12534" s="4">
        <f>IFERROR(__xludf.DUMMYFUNCTION("""COMPUTED_VALUE"""),79.97229)</f>
        <v>79.97229</v>
      </c>
      <c r="F12534" s="4">
        <f>IFERROR(__xludf.DUMMYFUNCTION("""COMPUTED_VALUE"""),805.0)</f>
        <v>805</v>
      </c>
      <c r="G12534" s="4">
        <f>IFERROR(__xludf.DUMMYFUNCTION("""COMPUTED_VALUE"""),56.0)</f>
        <v>56</v>
      </c>
      <c r="H12534" s="4"/>
      <c r="I12534" s="4"/>
    </row>
    <row r="12535">
      <c r="A12535" s="4" t="str">
        <f>IFERROR(__xludf.DUMMYFUNCTION("""COMPUTED_VALUE"""),"cas_hmw")</f>
        <v>cas_hmw</v>
      </c>
      <c r="B12535" s="5">
        <f>IFERROR(__xludf.DUMMYFUNCTION("""COMPUTED_VALUE"""),44714.0)</f>
        <v>44714</v>
      </c>
      <c r="C12535" s="6">
        <f>IFERROR(__xludf.DUMMYFUNCTION("""COMPUTED_VALUE"""),0.32353009259168175)</f>
        <v>0.3235300926</v>
      </c>
      <c r="D12535" s="4">
        <f>IFERROR(__xludf.DUMMYFUNCTION("""COMPUTED_VALUE"""),13.01157)</f>
        <v>13.01157</v>
      </c>
      <c r="E12535" s="4">
        <f>IFERROR(__xludf.DUMMYFUNCTION("""COMPUTED_VALUE"""),80.222912)</f>
        <v>80.222912</v>
      </c>
      <c r="F12535" s="4">
        <f>IFERROR(__xludf.DUMMYFUNCTION("""COMPUTED_VALUE"""),2846.0)</f>
        <v>2846</v>
      </c>
      <c r="G12535" s="4">
        <f>IFERROR(__xludf.DUMMYFUNCTION("""COMPUTED_VALUE"""),26.0)</f>
        <v>26</v>
      </c>
      <c r="H12535" s="4"/>
      <c r="I12535" s="4"/>
    </row>
    <row r="12536">
      <c r="A12536" s="4" t="str">
        <f>IFERROR(__xludf.DUMMYFUNCTION("""COMPUTED_VALUE"""),"cas_hmw")</f>
        <v>cas_hmw</v>
      </c>
      <c r="B12536" s="5">
        <f>IFERROR(__xludf.DUMMYFUNCTION("""COMPUTED_VALUE"""),44714.0)</f>
        <v>44714</v>
      </c>
      <c r="C12536" s="6">
        <f>IFERROR(__xludf.DUMMYFUNCTION("""COMPUTED_VALUE"""),0.32374999999956344)</f>
        <v>0.32375</v>
      </c>
      <c r="D12536" s="4">
        <f>IFERROR(__xludf.DUMMYFUNCTION("""COMPUTED_VALUE"""),13.012153)</f>
        <v>13.012153</v>
      </c>
      <c r="E12536" s="4">
        <f>IFERROR(__xludf.DUMMYFUNCTION("""COMPUTED_VALUE"""),80.221208)</f>
        <v>80.221208</v>
      </c>
      <c r="F12536" s="4">
        <f>IFERROR(__xludf.DUMMYFUNCTION("""COMPUTED_VALUE"""),2846.0)</f>
        <v>2846</v>
      </c>
      <c r="G12536" s="4">
        <f>IFERROR(__xludf.DUMMYFUNCTION("""COMPUTED_VALUE"""),26.0)</f>
        <v>26</v>
      </c>
      <c r="H12536" s="4"/>
      <c r="I12536" s="4"/>
    </row>
    <row r="12537">
      <c r="A12537" s="4" t="str">
        <f>IFERROR(__xludf.DUMMYFUNCTION("""COMPUTED_VALUE"""),"cas_hmw")</f>
        <v>cas_hmw</v>
      </c>
      <c r="B12537" s="5">
        <f>IFERROR(__xludf.DUMMYFUNCTION("""COMPUTED_VALUE"""),44714.0)</f>
        <v>44714</v>
      </c>
      <c r="C12537" s="6">
        <f>IFERROR(__xludf.DUMMYFUNCTION("""COMPUTED_VALUE"""),0.3260648148134351)</f>
        <v>0.3260648148</v>
      </c>
      <c r="D12537" s="4">
        <f>IFERROR(__xludf.DUMMYFUNCTION("""COMPUTED_VALUE"""),13.004304)</f>
        <v>13.004304</v>
      </c>
      <c r="E12537" s="4">
        <f>IFERROR(__xludf.DUMMYFUNCTION("""COMPUTED_VALUE"""),80.201143)</f>
        <v>80.201143</v>
      </c>
      <c r="F12537" s="4">
        <f>IFERROR(__xludf.DUMMYFUNCTION("""COMPUTED_VALUE"""),2846.0)</f>
        <v>2846</v>
      </c>
      <c r="G12537" s="4">
        <f>IFERROR(__xludf.DUMMYFUNCTION("""COMPUTED_VALUE"""),43.0)</f>
        <v>43</v>
      </c>
      <c r="H12537" s="4"/>
      <c r="I12537" s="4"/>
    </row>
    <row r="12538">
      <c r="A12538" s="4" t="str">
        <f>IFERROR(__xludf.DUMMYFUNCTION("""COMPUTED_VALUE"""),"cas_hmw")</f>
        <v>cas_hmw</v>
      </c>
      <c r="B12538" s="5">
        <f>IFERROR(__xludf.DUMMYFUNCTION("""COMPUTED_VALUE"""),44714.0)</f>
        <v>44714</v>
      </c>
      <c r="C12538" s="6">
        <f>IFERROR(__xludf.DUMMYFUNCTION("""COMPUTED_VALUE"""),0.3264930555560568)</f>
        <v>0.3264930556</v>
      </c>
      <c r="D12538" s="4">
        <f>IFERROR(__xludf.DUMMYFUNCTION("""COMPUTED_VALUE"""),13.001893)</f>
        <v>13.001893</v>
      </c>
      <c r="E12538" s="4">
        <f>IFERROR(__xludf.DUMMYFUNCTION("""COMPUTED_VALUE"""),80.199991)</f>
        <v>80.199991</v>
      </c>
      <c r="F12538" s="4">
        <f>IFERROR(__xludf.DUMMYFUNCTION("""COMPUTED_VALUE"""),2846.0)</f>
        <v>2846</v>
      </c>
      <c r="G12538" s="4">
        <f>IFERROR(__xludf.DUMMYFUNCTION("""COMPUTED_VALUE"""),37.0)</f>
        <v>37</v>
      </c>
      <c r="H12538" s="4"/>
      <c r="I12538" s="4"/>
    </row>
    <row r="12539">
      <c r="A12539" s="4" t="str">
        <f>IFERROR(__xludf.DUMMYFUNCTION("""COMPUTED_VALUE"""),"cas_hmw")</f>
        <v>cas_hmw</v>
      </c>
      <c r="B12539" s="5">
        <f>IFERROR(__xludf.DUMMYFUNCTION("""COMPUTED_VALUE"""),44714.0)</f>
        <v>44714</v>
      </c>
      <c r="C12539" s="6">
        <f>IFERROR(__xludf.DUMMYFUNCTION("""COMPUTED_VALUE"""),0.32719907407226856)</f>
        <v>0.3271990741</v>
      </c>
      <c r="D12539" s="4">
        <f>IFERROR(__xludf.DUMMYFUNCTION("""COMPUTED_VALUE"""),13.000761)</f>
        <v>13.000761</v>
      </c>
      <c r="E12539" s="4">
        <f>IFERROR(__xludf.DUMMYFUNCTION("""COMPUTED_VALUE"""),80.195175)</f>
        <v>80.195175</v>
      </c>
      <c r="F12539" s="4">
        <f>IFERROR(__xludf.DUMMYFUNCTION("""COMPUTED_VALUE"""),2846.0)</f>
        <v>2846</v>
      </c>
      <c r="G12539" s="4">
        <f>IFERROR(__xludf.DUMMYFUNCTION("""COMPUTED_VALUE"""),40.0)</f>
        <v>40</v>
      </c>
      <c r="H12539" s="4"/>
      <c r="I12539" s="4"/>
    </row>
    <row r="12540">
      <c r="A12540" s="4" t="str">
        <f>IFERROR(__xludf.DUMMYFUNCTION("""COMPUTED_VALUE"""),"cas_hmw")</f>
        <v>cas_hmw</v>
      </c>
      <c r="B12540" s="5">
        <f>IFERROR(__xludf.DUMMYFUNCTION("""COMPUTED_VALUE"""),44714.0)</f>
        <v>44714</v>
      </c>
      <c r="C12540" s="6">
        <f>IFERROR(__xludf.DUMMYFUNCTION("""COMPUTED_VALUE"""),0.32782407407285064)</f>
        <v>0.3278240741</v>
      </c>
      <c r="D12540" s="4">
        <f>IFERROR(__xludf.DUMMYFUNCTION("""COMPUTED_VALUE"""),12.997672)</f>
        <v>12.997672</v>
      </c>
      <c r="E12540" s="4">
        <f>IFERROR(__xludf.DUMMYFUNCTION("""COMPUTED_VALUE"""),80.191256)</f>
        <v>80.191256</v>
      </c>
      <c r="F12540" s="4">
        <f>IFERROR(__xludf.DUMMYFUNCTION("""COMPUTED_VALUE"""),2846.0)</f>
        <v>2846</v>
      </c>
      <c r="G12540" s="4">
        <f>IFERROR(__xludf.DUMMYFUNCTION("""COMPUTED_VALUE"""),53.0)</f>
        <v>53</v>
      </c>
      <c r="H12540" s="4"/>
      <c r="I12540" s="4"/>
    </row>
    <row r="12541">
      <c r="A12541" s="4" t="str">
        <f>IFERROR(__xludf.DUMMYFUNCTION("""COMPUTED_VALUE"""),"cas_hmw")</f>
        <v>cas_hmw</v>
      </c>
      <c r="B12541" s="5">
        <f>IFERROR(__xludf.DUMMYFUNCTION("""COMPUTED_VALUE"""),44714.0)</f>
        <v>44714</v>
      </c>
      <c r="C12541" s="6">
        <f>IFERROR(__xludf.DUMMYFUNCTION("""COMPUTED_VALUE"""),0.3290046296278888)</f>
        <v>0.3290046296</v>
      </c>
      <c r="D12541" s="4">
        <f>IFERROR(__xludf.DUMMYFUNCTION("""COMPUTED_VALUE"""),12.99265)</f>
        <v>12.99265</v>
      </c>
      <c r="E12541" s="4">
        <f>IFERROR(__xludf.DUMMYFUNCTION("""COMPUTED_VALUE"""),80.183102)</f>
        <v>80.183102</v>
      </c>
      <c r="F12541" s="4">
        <f>IFERROR(__xludf.DUMMYFUNCTION("""COMPUTED_VALUE"""),2846.0)</f>
        <v>2846</v>
      </c>
      <c r="G12541" s="4">
        <f>IFERROR(__xludf.DUMMYFUNCTION("""COMPUTED_VALUE"""),45.0)</f>
        <v>45</v>
      </c>
      <c r="H12541" s="4"/>
      <c r="I12541" s="4"/>
    </row>
    <row r="12542">
      <c r="A12542" s="4" t="str">
        <f>IFERROR(__xludf.DUMMYFUNCTION("""COMPUTED_VALUE"""),"cas_hmw")</f>
        <v>cas_hmw</v>
      </c>
      <c r="B12542" s="5">
        <f>IFERROR(__xludf.DUMMYFUNCTION("""COMPUTED_VALUE"""),44714.0)</f>
        <v>44714</v>
      </c>
      <c r="C12542" s="6">
        <f>IFERROR(__xludf.DUMMYFUNCTION("""COMPUTED_VALUE"""),0.3295138888897782)</f>
        <v>0.3295138889</v>
      </c>
      <c r="D12542" s="4">
        <f>IFERROR(__xludf.DUMMYFUNCTION("""COMPUTED_VALUE"""),12.988661)</f>
        <v>12.988661</v>
      </c>
      <c r="E12542" s="4">
        <f>IFERROR(__xludf.DUMMYFUNCTION("""COMPUTED_VALUE"""),80.177906)</f>
        <v>80.177906</v>
      </c>
      <c r="F12542" s="4">
        <f>IFERROR(__xludf.DUMMYFUNCTION("""COMPUTED_VALUE"""),2846.0)</f>
        <v>2846</v>
      </c>
      <c r="G12542" s="4">
        <f>IFERROR(__xludf.DUMMYFUNCTION("""COMPUTED_VALUE"""),41.0)</f>
        <v>41</v>
      </c>
      <c r="H12542" s="4"/>
      <c r="I12542" s="4"/>
    </row>
    <row r="12543">
      <c r="A12543" s="4" t="str">
        <f>IFERROR(__xludf.DUMMYFUNCTION("""COMPUTED_VALUE"""),"cas_hmw")</f>
        <v>cas_hmw</v>
      </c>
      <c r="B12543" s="5">
        <f>IFERROR(__xludf.DUMMYFUNCTION("""COMPUTED_VALUE"""),44714.0)</f>
        <v>44714</v>
      </c>
      <c r="C12543" s="6">
        <f>IFERROR(__xludf.DUMMYFUNCTION("""COMPUTED_VALUE"""),0.330810185183509)</f>
        <v>0.3308101852</v>
      </c>
      <c r="D12543" s="4">
        <f>IFERROR(__xludf.DUMMYFUNCTION("""COMPUTED_VALUE"""),12.982844)</f>
        <v>12.982844</v>
      </c>
      <c r="E12543" s="4">
        <f>IFERROR(__xludf.DUMMYFUNCTION("""COMPUTED_VALUE"""),80.16913)</f>
        <v>80.16913</v>
      </c>
      <c r="F12543" s="4">
        <f>IFERROR(__xludf.DUMMYFUNCTION("""COMPUTED_VALUE"""),2846.0)</f>
        <v>2846</v>
      </c>
      <c r="G12543" s="4">
        <f>IFERROR(__xludf.DUMMYFUNCTION("""COMPUTED_VALUE"""),46.0)</f>
        <v>46</v>
      </c>
      <c r="H12543" s="4"/>
      <c r="I12543" s="4"/>
    </row>
    <row r="12544">
      <c r="A12544" s="4" t="str">
        <f>IFERROR(__xludf.DUMMYFUNCTION("""COMPUTED_VALUE"""),"cas_hmw")</f>
        <v>cas_hmw</v>
      </c>
      <c r="B12544" s="5">
        <f>IFERROR(__xludf.DUMMYFUNCTION("""COMPUTED_VALUE"""),44714.0)</f>
        <v>44714</v>
      </c>
      <c r="C12544" s="6">
        <f>IFERROR(__xludf.DUMMYFUNCTION("""COMPUTED_VALUE"""),0.33086805555649335)</f>
        <v>0.3308680556</v>
      </c>
      <c r="D12544" s="4">
        <f>IFERROR(__xludf.DUMMYFUNCTION("""COMPUTED_VALUE"""),12.982844)</f>
        <v>12.982844</v>
      </c>
      <c r="E12544" s="4">
        <f>IFERROR(__xludf.DUMMYFUNCTION("""COMPUTED_VALUE"""),80.16913)</f>
        <v>80.16913</v>
      </c>
      <c r="F12544" s="4">
        <f>IFERROR(__xludf.DUMMYFUNCTION("""COMPUTED_VALUE"""),2846.0)</f>
        <v>2846</v>
      </c>
      <c r="G12544" s="4">
        <f>IFERROR(__xludf.DUMMYFUNCTION("""COMPUTED_VALUE"""),46.0)</f>
        <v>46</v>
      </c>
      <c r="H12544" s="4"/>
      <c r="I12544" s="4"/>
    </row>
    <row r="12545">
      <c r="A12545" s="4" t="str">
        <f>IFERROR(__xludf.DUMMYFUNCTION("""COMPUTED_VALUE"""),"cas_hmw")</f>
        <v>cas_hmw</v>
      </c>
      <c r="B12545" s="5">
        <f>IFERROR(__xludf.DUMMYFUNCTION("""COMPUTED_VALUE"""),44714.0)</f>
        <v>44714</v>
      </c>
      <c r="C12545" s="6">
        <f>IFERROR(__xludf.DUMMYFUNCTION("""COMPUTED_VALUE"""),0.33199074074218515)</f>
        <v>0.3319907407</v>
      </c>
      <c r="D12545" s="4">
        <f>IFERROR(__xludf.DUMMYFUNCTION("""COMPUTED_VALUE"""),12.764601)</f>
        <v>12.764601</v>
      </c>
      <c r="E12545" s="4">
        <f>IFERROR(__xludf.DUMMYFUNCTION("""COMPUTED_VALUE"""),80.004642)</f>
        <v>80.004642</v>
      </c>
      <c r="F12545" s="4">
        <f>IFERROR(__xludf.DUMMYFUNCTION("""COMPUTED_VALUE"""),805.0)</f>
        <v>805</v>
      </c>
      <c r="G12545" s="4">
        <f>IFERROR(__xludf.DUMMYFUNCTION("""COMPUTED_VALUE"""),40.0)</f>
        <v>40</v>
      </c>
      <c r="H12545" s="4"/>
      <c r="I12545" s="4"/>
    </row>
    <row r="12546">
      <c r="A12546" s="4" t="str">
        <f>IFERROR(__xludf.DUMMYFUNCTION("""COMPUTED_VALUE"""),"cas_hmw")</f>
        <v>cas_hmw</v>
      </c>
      <c r="B12546" s="5">
        <f>IFERROR(__xludf.DUMMYFUNCTION("""COMPUTED_VALUE"""),44714.0)</f>
        <v>44714</v>
      </c>
      <c r="C12546" s="6">
        <f>IFERROR(__xludf.DUMMYFUNCTION("""COMPUTED_VALUE"""),0.3321180555540195)</f>
        <v>0.3321180556</v>
      </c>
      <c r="D12546" s="4">
        <f>IFERROR(__xludf.DUMMYFUNCTION("""COMPUTED_VALUE"""),12.979899)</f>
        <v>12.979899</v>
      </c>
      <c r="E12546" s="4">
        <f>IFERROR(__xludf.DUMMYFUNCTION("""COMPUTED_VALUE"""),80.163054)</f>
        <v>80.163054</v>
      </c>
      <c r="F12546" s="4">
        <f>IFERROR(__xludf.DUMMYFUNCTION("""COMPUTED_VALUE"""),2846.0)</f>
        <v>2846</v>
      </c>
      <c r="G12546" s="4">
        <f>IFERROR(__xludf.DUMMYFUNCTION("""COMPUTED_VALUE"""),18.0)</f>
        <v>18</v>
      </c>
      <c r="H12546" s="4"/>
      <c r="I12546" s="4"/>
    </row>
    <row r="12547">
      <c r="A12547" s="4" t="str">
        <f>IFERROR(__xludf.DUMMYFUNCTION("""COMPUTED_VALUE"""),"cas_hmw")</f>
        <v>cas_hmw</v>
      </c>
      <c r="B12547" s="5">
        <f>IFERROR(__xludf.DUMMYFUNCTION("""COMPUTED_VALUE"""),44714.0)</f>
        <v>44714</v>
      </c>
      <c r="C12547" s="6">
        <f>IFERROR(__xludf.DUMMYFUNCTION("""COMPUTED_VALUE"""),0.33417824074058444)</f>
        <v>0.3341782407</v>
      </c>
      <c r="D12547" s="4">
        <f>IFERROR(__xludf.DUMMYFUNCTION("""COMPUTED_VALUE"""),12.967817)</f>
        <v>12.967817</v>
      </c>
      <c r="E12547" s="4">
        <f>IFERROR(__xludf.DUMMYFUNCTION("""COMPUTED_VALUE"""),80.149427)</f>
        <v>80.149427</v>
      </c>
      <c r="F12547" s="4">
        <f>IFERROR(__xludf.DUMMYFUNCTION("""COMPUTED_VALUE"""),2846.0)</f>
        <v>2846</v>
      </c>
      <c r="G12547" s="4">
        <f>IFERROR(__xludf.DUMMYFUNCTION("""COMPUTED_VALUE"""),31.0)</f>
        <v>31</v>
      </c>
      <c r="H12547" s="4"/>
      <c r="I12547" s="4"/>
    </row>
    <row r="12548">
      <c r="A12548" s="4" t="str">
        <f>IFERROR(__xludf.DUMMYFUNCTION("""COMPUTED_VALUE"""),"cas_hmw")</f>
        <v>cas_hmw</v>
      </c>
      <c r="B12548" s="5">
        <f>IFERROR(__xludf.DUMMYFUNCTION("""COMPUTED_VALUE"""),44714.0)</f>
        <v>44714</v>
      </c>
      <c r="C12548" s="6">
        <f>IFERROR(__xludf.DUMMYFUNCTION("""COMPUTED_VALUE"""),0.3359259259268583)</f>
        <v>0.3359259259</v>
      </c>
      <c r="D12548" s="4">
        <f>IFERROR(__xludf.DUMMYFUNCTION("""COMPUTED_VALUE"""),12.960573)</f>
        <v>12.960573</v>
      </c>
      <c r="E12548" s="4">
        <f>IFERROR(__xludf.DUMMYFUNCTION("""COMPUTED_VALUE"""),80.145556)</f>
        <v>80.145556</v>
      </c>
      <c r="F12548" s="4">
        <f>IFERROR(__xludf.DUMMYFUNCTION("""COMPUTED_VALUE"""),2846.0)</f>
        <v>2846</v>
      </c>
      <c r="G12548" s="4">
        <f>IFERROR(__xludf.DUMMYFUNCTION("""COMPUTED_VALUE"""),35.0)</f>
        <v>35</v>
      </c>
      <c r="H12548" s="4"/>
      <c r="I12548" s="4"/>
    </row>
    <row r="12549">
      <c r="A12549" s="4" t="str">
        <f>IFERROR(__xludf.DUMMYFUNCTION("""COMPUTED_VALUE"""),"cas_hmw")</f>
        <v>cas_hmw</v>
      </c>
      <c r="B12549" s="5">
        <f>IFERROR(__xludf.DUMMYFUNCTION("""COMPUTED_VALUE"""),44714.0)</f>
        <v>44714</v>
      </c>
      <c r="C12549" s="6">
        <f>IFERROR(__xludf.DUMMYFUNCTION("""COMPUTED_VALUE"""),0.33711805555503815)</f>
        <v>0.3371180556</v>
      </c>
      <c r="D12549" s="4">
        <f>IFERROR(__xludf.DUMMYFUNCTION("""COMPUTED_VALUE"""),12.955536)</f>
        <v>12.955536</v>
      </c>
      <c r="E12549" s="4">
        <f>IFERROR(__xludf.DUMMYFUNCTION("""COMPUTED_VALUE"""),80.142927)</f>
        <v>80.142927</v>
      </c>
      <c r="F12549" s="4">
        <f>IFERROR(__xludf.DUMMYFUNCTION("""COMPUTED_VALUE"""),2846.0)</f>
        <v>2846</v>
      </c>
      <c r="G12549" s="4">
        <f>IFERROR(__xludf.DUMMYFUNCTION("""COMPUTED_VALUE"""),22.0)</f>
        <v>22</v>
      </c>
      <c r="H12549" s="4"/>
      <c r="I12549" s="4"/>
    </row>
    <row r="12550">
      <c r="A12550" s="4" t="str">
        <f>IFERROR(__xludf.DUMMYFUNCTION("""COMPUTED_VALUE"""),"cas_hmw")</f>
        <v>cas_hmw</v>
      </c>
      <c r="B12550" s="5">
        <f>IFERROR(__xludf.DUMMYFUNCTION("""COMPUTED_VALUE"""),44714.0)</f>
        <v>44714</v>
      </c>
      <c r="C12550" s="6">
        <f>IFERROR(__xludf.DUMMYFUNCTION("""COMPUTED_VALUE"""),0.3372337962973688)</f>
        <v>0.3372337963</v>
      </c>
      <c r="D12550" s="4">
        <f>IFERROR(__xludf.DUMMYFUNCTION("""COMPUTED_VALUE"""),12.954872)</f>
        <v>12.954872</v>
      </c>
      <c r="E12550" s="4">
        <f>IFERROR(__xludf.DUMMYFUNCTION("""COMPUTED_VALUE"""),80.14255)</f>
        <v>80.14255</v>
      </c>
      <c r="F12550" s="4">
        <f>IFERROR(__xludf.DUMMYFUNCTION("""COMPUTED_VALUE"""),2846.0)</f>
        <v>2846</v>
      </c>
      <c r="G12550" s="4">
        <f>IFERROR(__xludf.DUMMYFUNCTION("""COMPUTED_VALUE"""),30.0)</f>
        <v>30</v>
      </c>
      <c r="H12550" s="4"/>
      <c r="I12550" s="4"/>
    </row>
    <row r="12551">
      <c r="A12551" s="4" t="str">
        <f>IFERROR(__xludf.DUMMYFUNCTION("""COMPUTED_VALUE"""),"cas_hmw")</f>
        <v>cas_hmw</v>
      </c>
      <c r="B12551" s="5">
        <f>IFERROR(__xludf.DUMMYFUNCTION("""COMPUTED_VALUE"""),44714.0)</f>
        <v>44714</v>
      </c>
      <c r="C12551" s="6">
        <f>IFERROR(__xludf.DUMMYFUNCTION("""COMPUTED_VALUE"""),0.3372800925935735)</f>
        <v>0.3372800926</v>
      </c>
      <c r="D12551" s="4">
        <f>IFERROR(__xludf.DUMMYFUNCTION("""COMPUTED_VALUE"""),12.954189)</f>
        <v>12.954189</v>
      </c>
      <c r="E12551" s="4">
        <f>IFERROR(__xludf.DUMMYFUNCTION("""COMPUTED_VALUE"""),80.142173)</f>
        <v>80.142173</v>
      </c>
      <c r="F12551" s="4">
        <f>IFERROR(__xludf.DUMMYFUNCTION("""COMPUTED_VALUE"""),2846.0)</f>
        <v>2846</v>
      </c>
      <c r="G12551" s="4">
        <f>IFERROR(__xludf.DUMMYFUNCTION("""COMPUTED_VALUE"""),31.0)</f>
        <v>31</v>
      </c>
      <c r="H12551" s="4"/>
      <c r="I12551" s="4"/>
    </row>
    <row r="12552">
      <c r="A12552" s="4" t="str">
        <f>IFERROR(__xludf.DUMMYFUNCTION("""COMPUTED_VALUE"""),"cas_hmw")</f>
        <v>cas_hmw</v>
      </c>
      <c r="B12552" s="5">
        <f>IFERROR(__xludf.DUMMYFUNCTION("""COMPUTED_VALUE"""),44714.0)</f>
        <v>44714</v>
      </c>
      <c r="C12552" s="6">
        <f>IFERROR(__xludf.DUMMYFUNCTION("""COMPUTED_VALUE"""),0.33730324073985685)</f>
        <v>0.3373032407</v>
      </c>
      <c r="D12552" s="4">
        <f>IFERROR(__xludf.DUMMYFUNCTION("""COMPUTED_VALUE"""),12.954189)</f>
        <v>12.954189</v>
      </c>
      <c r="E12552" s="4">
        <f>IFERROR(__xludf.DUMMYFUNCTION("""COMPUTED_VALUE"""),80.142173)</f>
        <v>80.142173</v>
      </c>
      <c r="F12552" s="4">
        <f>IFERROR(__xludf.DUMMYFUNCTION("""COMPUTED_VALUE"""),2846.0)</f>
        <v>2846</v>
      </c>
      <c r="G12552" s="4">
        <f>IFERROR(__xludf.DUMMYFUNCTION("""COMPUTED_VALUE"""),31.0)</f>
        <v>31</v>
      </c>
      <c r="H12552" s="4"/>
      <c r="I12552" s="4"/>
    </row>
    <row r="12553">
      <c r="A12553" s="4" t="str">
        <f>IFERROR(__xludf.DUMMYFUNCTION("""COMPUTED_VALUE"""),"cas_hmw")</f>
        <v>cas_hmw</v>
      </c>
      <c r="B12553" s="5">
        <f>IFERROR(__xludf.DUMMYFUNCTION("""COMPUTED_VALUE"""),44714.0)</f>
        <v>44714</v>
      </c>
      <c r="C12553" s="6">
        <f>IFERROR(__xludf.DUMMYFUNCTION("""COMPUTED_VALUE"""),0.3376504629632109)</f>
        <v>0.337650463</v>
      </c>
      <c r="D12553" s="4">
        <f>IFERROR(__xludf.DUMMYFUNCTION("""COMPUTED_VALUE"""),12.952595)</f>
        <v>12.952595</v>
      </c>
      <c r="E12553" s="4">
        <f>IFERROR(__xludf.DUMMYFUNCTION("""COMPUTED_VALUE"""),80.14122)</f>
        <v>80.14122</v>
      </c>
      <c r="F12553" s="4">
        <f>IFERROR(__xludf.DUMMYFUNCTION("""COMPUTED_VALUE"""),2846.0)</f>
        <v>2846</v>
      </c>
      <c r="G12553" s="4">
        <f>IFERROR(__xludf.DUMMYFUNCTION("""COMPUTED_VALUE"""),28.0)</f>
        <v>28</v>
      </c>
      <c r="H12553" s="4"/>
      <c r="I12553" s="4"/>
    </row>
    <row r="12554">
      <c r="A12554" s="4" t="str">
        <f>IFERROR(__xludf.DUMMYFUNCTION("""COMPUTED_VALUE"""),"cas_hmw")</f>
        <v>cas_hmw</v>
      </c>
      <c r="B12554" s="5">
        <f>IFERROR(__xludf.DUMMYFUNCTION("""COMPUTED_VALUE"""),44714.0)</f>
        <v>44714</v>
      </c>
      <c r="C12554" s="6">
        <f>IFERROR(__xludf.DUMMYFUNCTION("""COMPUTED_VALUE"""),0.3379745370366436)</f>
        <v>0.337974537</v>
      </c>
      <c r="D12554" s="4">
        <f>IFERROR(__xludf.DUMMYFUNCTION("""COMPUTED_VALUE"""),12.821798)</f>
        <v>12.821798</v>
      </c>
      <c r="E12554" s="4">
        <f>IFERROR(__xludf.DUMMYFUNCTION("""COMPUTED_VALUE"""),80.037833)</f>
        <v>80.037833</v>
      </c>
      <c r="F12554" s="4">
        <f>IFERROR(__xludf.DUMMYFUNCTION("""COMPUTED_VALUE"""),805.0)</f>
        <v>805</v>
      </c>
      <c r="G12554" s="4">
        <f>IFERROR(__xludf.DUMMYFUNCTION("""COMPUTED_VALUE"""),37.0)</f>
        <v>37</v>
      </c>
      <c r="H12554" s="4"/>
      <c r="I12554" s="4"/>
    </row>
    <row r="12555">
      <c r="A12555" s="4" t="str">
        <f>IFERROR(__xludf.DUMMYFUNCTION("""COMPUTED_VALUE"""),"cas_hmw")</f>
        <v>cas_hmw</v>
      </c>
      <c r="B12555" s="5">
        <f>IFERROR(__xludf.DUMMYFUNCTION("""COMPUTED_VALUE"""),44714.0)</f>
        <v>44714</v>
      </c>
      <c r="C12555" s="6">
        <f>IFERROR(__xludf.DUMMYFUNCTION("""COMPUTED_VALUE"""),0.3387037037027767)</f>
        <v>0.3387037037</v>
      </c>
      <c r="D12555" s="4">
        <f>IFERROR(__xludf.DUMMYFUNCTION("""COMPUTED_VALUE"""),12.944338)</f>
        <v>12.944338</v>
      </c>
      <c r="E12555" s="4">
        <f>IFERROR(__xludf.DUMMYFUNCTION("""COMPUTED_VALUE"""),80.134846)</f>
        <v>80.134846</v>
      </c>
      <c r="F12555" s="4">
        <f>IFERROR(__xludf.DUMMYFUNCTION("""COMPUTED_VALUE"""),2846.0)</f>
        <v>2846</v>
      </c>
      <c r="G12555" s="4">
        <f>IFERROR(__xludf.DUMMYFUNCTION("""COMPUTED_VALUE"""),51.0)</f>
        <v>51</v>
      </c>
      <c r="H12555" s="4"/>
      <c r="I12555" s="4"/>
    </row>
    <row r="12556">
      <c r="A12556" s="4" t="str">
        <f>IFERROR(__xludf.DUMMYFUNCTION("""COMPUTED_VALUE"""),"cas_hmw")</f>
        <v>cas_hmw</v>
      </c>
      <c r="B12556" s="5">
        <f>IFERROR(__xludf.DUMMYFUNCTION("""COMPUTED_VALUE"""),44714.0)</f>
        <v>44714</v>
      </c>
      <c r="C12556" s="6">
        <f>IFERROR(__xludf.DUMMYFUNCTION("""COMPUTED_VALUE"""),0.3388773148144537)</f>
        <v>0.3388773148</v>
      </c>
      <c r="D12556" s="4">
        <f>IFERROR(__xludf.DUMMYFUNCTION("""COMPUTED_VALUE"""),12.943392)</f>
        <v>12.943392</v>
      </c>
      <c r="E12556" s="4">
        <f>IFERROR(__xludf.DUMMYFUNCTION("""COMPUTED_VALUE"""),80.134063)</f>
        <v>80.134063</v>
      </c>
      <c r="F12556" s="4">
        <f>IFERROR(__xludf.DUMMYFUNCTION("""COMPUTED_VALUE"""),2846.0)</f>
        <v>2846</v>
      </c>
      <c r="G12556" s="4">
        <f>IFERROR(__xludf.DUMMYFUNCTION("""COMPUTED_VALUE"""),41.0)</f>
        <v>41</v>
      </c>
      <c r="H12556" s="4"/>
      <c r="I12556" s="4"/>
    </row>
    <row r="12557">
      <c r="A12557" s="4" t="str">
        <f>IFERROR(__xludf.DUMMYFUNCTION("""COMPUTED_VALUE"""),"cas_hmw")</f>
        <v>cas_hmw</v>
      </c>
      <c r="B12557" s="5">
        <f>IFERROR(__xludf.DUMMYFUNCTION("""COMPUTED_VALUE"""),44714.0)</f>
        <v>44714</v>
      </c>
      <c r="C12557" s="6">
        <f>IFERROR(__xludf.DUMMYFUNCTION("""COMPUTED_VALUE"""),0.33925925926087075)</f>
        <v>0.3392592593</v>
      </c>
      <c r="D12557" s="4">
        <f>IFERROR(__xludf.DUMMYFUNCTION("""COMPUTED_VALUE"""),12.940865)</f>
        <v>12.940865</v>
      </c>
      <c r="E12557" s="4">
        <f>IFERROR(__xludf.DUMMYFUNCTION("""COMPUTED_VALUE"""),80.131439)</f>
        <v>80.131439</v>
      </c>
      <c r="F12557" s="4">
        <f>IFERROR(__xludf.DUMMYFUNCTION("""COMPUTED_VALUE"""),2846.0)</f>
        <v>2846</v>
      </c>
      <c r="G12557" s="4">
        <f>IFERROR(__xludf.DUMMYFUNCTION("""COMPUTED_VALUE"""),38.0)</f>
        <v>38</v>
      </c>
      <c r="H12557" s="4"/>
      <c r="I12557" s="4"/>
    </row>
    <row r="12558">
      <c r="A12558" s="4" t="str">
        <f>IFERROR(__xludf.DUMMYFUNCTION("""COMPUTED_VALUE"""),"cas_hmw")</f>
        <v>cas_hmw</v>
      </c>
      <c r="B12558" s="5">
        <f>IFERROR(__xludf.DUMMYFUNCTION("""COMPUTED_VALUE"""),44714.0)</f>
        <v>44714</v>
      </c>
      <c r="C12558" s="6">
        <f>IFERROR(__xludf.DUMMYFUNCTION("""COMPUTED_VALUE"""),0.3403356481467199)</f>
        <v>0.3403356481</v>
      </c>
      <c r="D12558" s="4">
        <f>IFERROR(__xludf.DUMMYFUNCTION("""COMPUTED_VALUE"""),12.8417)</f>
        <v>12.8417</v>
      </c>
      <c r="E12558" s="4">
        <f>IFERROR(__xludf.DUMMYFUNCTION("""COMPUTED_VALUE"""),80.057166)</f>
        <v>80.057166</v>
      </c>
      <c r="F12558" s="4">
        <f>IFERROR(__xludf.DUMMYFUNCTION("""COMPUTED_VALUE"""),805.0)</f>
        <v>805</v>
      </c>
      <c r="G12558" s="4">
        <f>IFERROR(__xludf.DUMMYFUNCTION("""COMPUTED_VALUE"""),46.0)</f>
        <v>46</v>
      </c>
      <c r="H12558" s="4"/>
      <c r="I12558" s="4"/>
    </row>
    <row r="12559">
      <c r="A12559" s="4" t="str">
        <f>IFERROR(__xludf.DUMMYFUNCTION("""COMPUTED_VALUE"""),"cas_hmw")</f>
        <v>cas_hmw</v>
      </c>
      <c r="B12559" s="5">
        <f>IFERROR(__xludf.DUMMYFUNCTION("""COMPUTED_VALUE"""),44714.0)</f>
        <v>44714</v>
      </c>
      <c r="C12559" s="6">
        <f>IFERROR(__xludf.DUMMYFUNCTION("""COMPUTED_VALUE"""),0.3405555555546016)</f>
        <v>0.3405555556</v>
      </c>
      <c r="D12559" s="4">
        <f>IFERROR(__xludf.DUMMYFUNCTION("""COMPUTED_VALUE"""),12.843477)</f>
        <v>12.843477</v>
      </c>
      <c r="E12559" s="4">
        <f>IFERROR(__xludf.DUMMYFUNCTION("""COMPUTED_VALUE"""),80.059036)</f>
        <v>80.059036</v>
      </c>
      <c r="F12559" s="4">
        <f>IFERROR(__xludf.DUMMYFUNCTION("""COMPUTED_VALUE"""),805.0)</f>
        <v>805</v>
      </c>
      <c r="G12559" s="4">
        <f>IFERROR(__xludf.DUMMYFUNCTION("""COMPUTED_VALUE"""),36.0)</f>
        <v>36</v>
      </c>
      <c r="H12559" s="4"/>
      <c r="I12559" s="4"/>
    </row>
    <row r="12560">
      <c r="A12560" s="4" t="str">
        <f>IFERROR(__xludf.DUMMYFUNCTION("""COMPUTED_VALUE"""),"cas_hmw")</f>
        <v>cas_hmw</v>
      </c>
      <c r="B12560" s="5">
        <f>IFERROR(__xludf.DUMMYFUNCTION("""COMPUTED_VALUE"""),44714.0)</f>
        <v>44714</v>
      </c>
      <c r="C12560" s="6">
        <f>IFERROR(__xludf.DUMMYFUNCTION("""COMPUTED_VALUE"""),0.341030092593428)</f>
        <v>0.3410300926</v>
      </c>
      <c r="D12560" s="4">
        <f>IFERROR(__xludf.DUMMYFUNCTION("""COMPUTED_VALUE"""),12.931454)</f>
        <v>12.931454</v>
      </c>
      <c r="E12560" s="4">
        <f>IFERROR(__xludf.DUMMYFUNCTION("""COMPUTED_VALUE"""),80.122749)</f>
        <v>80.122749</v>
      </c>
      <c r="F12560" s="4">
        <f>IFERROR(__xludf.DUMMYFUNCTION("""COMPUTED_VALUE"""),2846.0)</f>
        <v>2846</v>
      </c>
      <c r="G12560" s="4">
        <f>IFERROR(__xludf.DUMMYFUNCTION("""COMPUTED_VALUE"""),29.0)</f>
        <v>29</v>
      </c>
      <c r="H12560" s="4"/>
      <c r="I12560" s="4"/>
    </row>
    <row r="12561">
      <c r="A12561" s="4" t="str">
        <f>IFERROR(__xludf.DUMMYFUNCTION("""COMPUTED_VALUE"""),"cas_hmw")</f>
        <v>cas_hmw</v>
      </c>
      <c r="B12561" s="5">
        <f>IFERROR(__xludf.DUMMYFUNCTION("""COMPUTED_VALUE"""),44714.0)</f>
        <v>44714</v>
      </c>
      <c r="C12561" s="6">
        <f>IFERROR(__xludf.DUMMYFUNCTION("""COMPUTED_VALUE"""),0.3414236111093487)</f>
        <v>0.3414236111</v>
      </c>
      <c r="D12561" s="4">
        <f>IFERROR(__xludf.DUMMYFUNCTION("""COMPUTED_VALUE"""),12.929155)</f>
        <v>12.929155</v>
      </c>
      <c r="E12561" s="4">
        <f>IFERROR(__xludf.DUMMYFUNCTION("""COMPUTED_VALUE"""),80.120344)</f>
        <v>80.120344</v>
      </c>
      <c r="F12561" s="4">
        <f>IFERROR(__xludf.DUMMYFUNCTION("""COMPUTED_VALUE"""),2846.0)</f>
        <v>2846</v>
      </c>
      <c r="G12561" s="4">
        <f>IFERROR(__xludf.DUMMYFUNCTION("""COMPUTED_VALUE"""),53.0)</f>
        <v>53</v>
      </c>
      <c r="H12561" s="4"/>
      <c r="I12561" s="4"/>
    </row>
    <row r="12562">
      <c r="A12562" s="4" t="str">
        <f>IFERROR(__xludf.DUMMYFUNCTION("""COMPUTED_VALUE"""),"cas_hmw")</f>
        <v>cas_hmw</v>
      </c>
      <c r="B12562" s="5">
        <f>IFERROR(__xludf.DUMMYFUNCTION("""COMPUTED_VALUE"""),44714.0)</f>
        <v>44714</v>
      </c>
      <c r="C12562" s="6">
        <f>IFERROR(__xludf.DUMMYFUNCTION("""COMPUTED_VALUE"""),0.3423726851870015)</f>
        <v>0.3423726852</v>
      </c>
      <c r="D12562" s="4">
        <f>IFERROR(__xludf.DUMMYFUNCTION("""COMPUTED_VALUE"""),12.921514)</f>
        <v>12.921514</v>
      </c>
      <c r="E12562" s="4">
        <f>IFERROR(__xludf.DUMMYFUNCTION("""COMPUTED_VALUE"""),80.11269)</f>
        <v>80.11269</v>
      </c>
      <c r="F12562" s="4">
        <f>IFERROR(__xludf.DUMMYFUNCTION("""COMPUTED_VALUE"""),2846.0)</f>
        <v>2846</v>
      </c>
      <c r="G12562" s="4">
        <f>IFERROR(__xludf.DUMMYFUNCTION("""COMPUTED_VALUE"""),48.0)</f>
        <v>48</v>
      </c>
      <c r="H12562" s="4"/>
      <c r="I12562" s="4"/>
    </row>
    <row r="12563">
      <c r="A12563" s="4" t="str">
        <f>IFERROR(__xludf.DUMMYFUNCTION("""COMPUTED_VALUE"""),"cas_hmw")</f>
        <v>cas_hmw</v>
      </c>
      <c r="B12563" s="5">
        <f>IFERROR(__xludf.DUMMYFUNCTION("""COMPUTED_VALUE"""),44714.0)</f>
        <v>44714</v>
      </c>
      <c r="C12563" s="6">
        <f>IFERROR(__xludf.DUMMYFUNCTION("""COMPUTED_VALUE"""),0.34249999999883585)</f>
        <v>0.3425</v>
      </c>
      <c r="D12563" s="4">
        <f>IFERROR(__xludf.DUMMYFUNCTION("""COMPUTED_VALUE"""),12.84756)</f>
        <v>12.84756</v>
      </c>
      <c r="E12563" s="4">
        <f>IFERROR(__xludf.DUMMYFUNCTION("""COMPUTED_VALUE"""),80.062869)</f>
        <v>80.062869</v>
      </c>
      <c r="F12563" s="4">
        <f>IFERROR(__xludf.DUMMYFUNCTION("""COMPUTED_VALUE"""),805.0)</f>
        <v>805</v>
      </c>
      <c r="G12563" s="4">
        <f>IFERROR(__xludf.DUMMYFUNCTION("""COMPUTED_VALUE"""),42.0)</f>
        <v>42</v>
      </c>
      <c r="H12563" s="4"/>
      <c r="I12563" s="4"/>
    </row>
    <row r="12564">
      <c r="A12564" s="4" t="str">
        <f>IFERROR(__xludf.DUMMYFUNCTION("""COMPUTED_VALUE"""),"cas_hmw")</f>
        <v>cas_hmw</v>
      </c>
      <c r="B12564" s="5">
        <f>IFERROR(__xludf.DUMMYFUNCTION("""COMPUTED_VALUE"""),44714.0)</f>
        <v>44714</v>
      </c>
      <c r="C12564" s="6">
        <f>IFERROR(__xludf.DUMMYFUNCTION("""COMPUTED_VALUE"""),0.34267361111051287)</f>
        <v>0.3426736111</v>
      </c>
      <c r="D12564" s="4">
        <f>IFERROR(__xludf.DUMMYFUNCTION("""COMPUTED_VALUE"""),12.849103)</f>
        <v>12.849103</v>
      </c>
      <c r="E12564" s="4">
        <f>IFERROR(__xludf.DUMMYFUNCTION("""COMPUTED_VALUE"""),80.064011)</f>
        <v>80.064011</v>
      </c>
      <c r="F12564" s="4">
        <f>IFERROR(__xludf.DUMMYFUNCTION("""COMPUTED_VALUE"""),805.0)</f>
        <v>805</v>
      </c>
      <c r="G12564" s="4">
        <f>IFERROR(__xludf.DUMMYFUNCTION("""COMPUTED_VALUE"""),48.0)</f>
        <v>48</v>
      </c>
      <c r="H12564" s="4"/>
      <c r="I12564" s="4"/>
    </row>
    <row r="12565">
      <c r="A12565" s="4" t="str">
        <f>IFERROR(__xludf.DUMMYFUNCTION("""COMPUTED_VALUE"""),"cas_hmw")</f>
        <v>cas_hmw</v>
      </c>
      <c r="B12565" s="5">
        <f>IFERROR(__xludf.DUMMYFUNCTION("""COMPUTED_VALUE"""),44714.0)</f>
        <v>44714</v>
      </c>
      <c r="C12565" s="6">
        <f>IFERROR(__xludf.DUMMYFUNCTION("""COMPUTED_VALUE"""),0.3431944444455439)</f>
        <v>0.3431944444</v>
      </c>
      <c r="D12565" s="4">
        <f>IFERROR(__xludf.DUMMYFUNCTION("""COMPUTED_VALUE"""),12.854708)</f>
        <v>12.854708</v>
      </c>
      <c r="E12565" s="4">
        <f>IFERROR(__xludf.DUMMYFUNCTION("""COMPUTED_VALUE"""),80.068078)</f>
        <v>80.068078</v>
      </c>
      <c r="F12565" s="4">
        <f>IFERROR(__xludf.DUMMYFUNCTION("""COMPUTED_VALUE"""),805.0)</f>
        <v>805</v>
      </c>
      <c r="G12565" s="4">
        <f>IFERROR(__xludf.DUMMYFUNCTION("""COMPUTED_VALUE"""),55.0)</f>
        <v>55</v>
      </c>
      <c r="H12565" s="4"/>
      <c r="I12565" s="4"/>
    </row>
    <row r="12566">
      <c r="A12566" s="4" t="str">
        <f>IFERROR(__xludf.DUMMYFUNCTION("""COMPUTED_VALUE"""),"cas_hmw")</f>
        <v>cas_hmw</v>
      </c>
      <c r="B12566" s="5">
        <f>IFERROR(__xludf.DUMMYFUNCTION("""COMPUTED_VALUE"""),44714.0)</f>
        <v>44714</v>
      </c>
      <c r="C12566" s="6">
        <f>IFERROR(__xludf.DUMMYFUNCTION("""COMPUTED_VALUE"""),0.3434143518534256)</f>
        <v>0.3434143519</v>
      </c>
      <c r="D12566" s="4">
        <f>IFERROR(__xludf.DUMMYFUNCTION("""COMPUTED_VALUE"""),12.856638)</f>
        <v>12.856638</v>
      </c>
      <c r="E12566" s="4">
        <f>IFERROR(__xludf.DUMMYFUNCTION("""COMPUTED_VALUE"""),80.069524)</f>
        <v>80.069524</v>
      </c>
      <c r="F12566" s="4">
        <f>IFERROR(__xludf.DUMMYFUNCTION("""COMPUTED_VALUE"""),805.0)</f>
        <v>805</v>
      </c>
      <c r="G12566" s="4">
        <f>IFERROR(__xludf.DUMMYFUNCTION("""COMPUTED_VALUE"""),53.0)</f>
        <v>53</v>
      </c>
      <c r="H12566" s="4"/>
      <c r="I12566" s="4"/>
    </row>
    <row r="12567">
      <c r="A12567" s="4" t="str">
        <f>IFERROR(__xludf.DUMMYFUNCTION("""COMPUTED_VALUE"""),"cas_hmw")</f>
        <v>cas_hmw</v>
      </c>
      <c r="B12567" s="5">
        <f>IFERROR(__xludf.DUMMYFUNCTION("""COMPUTED_VALUE"""),44714.0)</f>
        <v>44714</v>
      </c>
      <c r="C12567" s="6">
        <f>IFERROR(__xludf.DUMMYFUNCTION("""COMPUTED_VALUE"""),0.34362268518452765)</f>
        <v>0.3436226852</v>
      </c>
      <c r="D12567" s="4">
        <f>IFERROR(__xludf.DUMMYFUNCTION("""COMPUTED_VALUE"""),12.859229)</f>
        <v>12.859229</v>
      </c>
      <c r="E12567" s="4">
        <f>IFERROR(__xludf.DUMMYFUNCTION("""COMPUTED_VALUE"""),80.07153)</f>
        <v>80.07153</v>
      </c>
      <c r="F12567" s="4">
        <f>IFERROR(__xludf.DUMMYFUNCTION("""COMPUTED_VALUE"""),805.0)</f>
        <v>805</v>
      </c>
      <c r="G12567" s="4">
        <f>IFERROR(__xludf.DUMMYFUNCTION("""COMPUTED_VALUE"""),37.0)</f>
        <v>37</v>
      </c>
      <c r="H12567" s="4"/>
      <c r="I12567" s="4"/>
    </row>
    <row r="12568">
      <c r="A12568" s="4" t="str">
        <f>IFERROR(__xludf.DUMMYFUNCTION("""COMPUTED_VALUE"""),"cas_hmw")</f>
        <v>cas_hmw</v>
      </c>
      <c r="B12568" s="5">
        <f>IFERROR(__xludf.DUMMYFUNCTION("""COMPUTED_VALUE"""),44714.0)</f>
        <v>44714</v>
      </c>
      <c r="C12568" s="6">
        <f>IFERROR(__xludf.DUMMYFUNCTION("""COMPUTED_VALUE"""),0.3441435185195587)</f>
        <v>0.3441435185</v>
      </c>
      <c r="D12568" s="4">
        <f>IFERROR(__xludf.DUMMYFUNCTION("""COMPUTED_VALUE"""),12.912523)</f>
        <v>12.912523</v>
      </c>
      <c r="E12568" s="4">
        <f>IFERROR(__xludf.DUMMYFUNCTION("""COMPUTED_VALUE"""),80.101516)</f>
        <v>80.101516</v>
      </c>
      <c r="F12568" s="4">
        <f>IFERROR(__xludf.DUMMYFUNCTION("""COMPUTED_VALUE"""),2846.0)</f>
        <v>2846</v>
      </c>
      <c r="G12568" s="4">
        <f>IFERROR(__xludf.DUMMYFUNCTION("""COMPUTED_VALUE"""),51.0)</f>
        <v>51</v>
      </c>
      <c r="H12568" s="4"/>
      <c r="I12568" s="4"/>
    </row>
    <row r="12569">
      <c r="A12569" s="4" t="str">
        <f>IFERROR(__xludf.DUMMYFUNCTION("""COMPUTED_VALUE"""),"cas_hmw")</f>
        <v>cas_hmw</v>
      </c>
      <c r="B12569" s="5">
        <f>IFERROR(__xludf.DUMMYFUNCTION("""COMPUTED_VALUE"""),44714.0)</f>
        <v>44714</v>
      </c>
      <c r="C12569" s="6">
        <f>IFERROR(__xludf.DUMMYFUNCTION("""COMPUTED_VALUE"""),0.34608796296379296)</f>
        <v>0.346087963</v>
      </c>
      <c r="D12569" s="4">
        <f>IFERROR(__xludf.DUMMYFUNCTION("""COMPUTED_VALUE"""),12.901998)</f>
        <v>12.901998</v>
      </c>
      <c r="E12569" s="4">
        <f>IFERROR(__xludf.DUMMYFUNCTION("""COMPUTED_VALUE"""),80.093002)</f>
        <v>80.093002</v>
      </c>
      <c r="F12569" s="4">
        <f>IFERROR(__xludf.DUMMYFUNCTION("""COMPUTED_VALUE"""),2846.0)</f>
        <v>2846</v>
      </c>
      <c r="G12569" s="4">
        <f>IFERROR(__xludf.DUMMYFUNCTION("""COMPUTED_VALUE"""),41.0)</f>
        <v>41</v>
      </c>
      <c r="H12569" s="4"/>
      <c r="I12569" s="4"/>
    </row>
    <row r="12570">
      <c r="A12570" s="4" t="str">
        <f>IFERROR(__xludf.DUMMYFUNCTION("""COMPUTED_VALUE"""),"cas_hmw")</f>
        <v>cas_hmw</v>
      </c>
      <c r="B12570" s="5">
        <f>IFERROR(__xludf.DUMMYFUNCTION("""COMPUTED_VALUE"""),44714.0)</f>
        <v>44714</v>
      </c>
      <c r="C12570" s="6">
        <f>IFERROR(__xludf.DUMMYFUNCTION("""COMPUTED_VALUE"""),0.34612268518685596)</f>
        <v>0.3461226852</v>
      </c>
      <c r="D12570" s="4">
        <f>IFERROR(__xludf.DUMMYFUNCTION("""COMPUTED_VALUE"""),12.87246)</f>
        <v>12.87246</v>
      </c>
      <c r="E12570" s="4">
        <f>IFERROR(__xludf.DUMMYFUNCTION("""COMPUTED_VALUE"""),80.077362)</f>
        <v>80.077362</v>
      </c>
      <c r="F12570" s="4">
        <f>IFERROR(__xludf.DUMMYFUNCTION("""COMPUTED_VALUE"""),805.0)</f>
        <v>805</v>
      </c>
      <c r="G12570" s="4">
        <f>IFERROR(__xludf.DUMMYFUNCTION("""COMPUTED_VALUE"""),46.0)</f>
        <v>46</v>
      </c>
      <c r="H12570" s="4"/>
      <c r="I12570" s="4"/>
    </row>
    <row r="12571">
      <c r="A12571" s="4" t="str">
        <f>IFERROR(__xludf.DUMMYFUNCTION("""COMPUTED_VALUE"""),"cas_hmw")</f>
        <v>cas_hmw</v>
      </c>
      <c r="B12571" s="5">
        <f>IFERROR(__xludf.DUMMYFUNCTION("""COMPUTED_VALUE"""),44714.0)</f>
        <v>44714</v>
      </c>
      <c r="C12571" s="6">
        <f>IFERROR(__xludf.DUMMYFUNCTION("""COMPUTED_VALUE"""),0.3464120370372257)</f>
        <v>0.346412037</v>
      </c>
      <c r="D12571" s="4">
        <f>IFERROR(__xludf.DUMMYFUNCTION("""COMPUTED_VALUE"""),12.898856)</f>
        <v>12.898856</v>
      </c>
      <c r="E12571" s="4">
        <f>IFERROR(__xludf.DUMMYFUNCTION("""COMPUTED_VALUE"""),80.090648)</f>
        <v>80.090648</v>
      </c>
      <c r="F12571" s="4">
        <f>IFERROR(__xludf.DUMMYFUNCTION("""COMPUTED_VALUE"""),2846.0)</f>
        <v>2846</v>
      </c>
      <c r="G12571" s="4">
        <f>IFERROR(__xludf.DUMMYFUNCTION("""COMPUTED_VALUE"""),50.0)</f>
        <v>50</v>
      </c>
      <c r="H12571" s="4"/>
      <c r="I12571" s="4"/>
    </row>
    <row r="12572">
      <c r="A12572" s="4" t="str">
        <f>IFERROR(__xludf.DUMMYFUNCTION("""COMPUTED_VALUE"""),"cas_hmw")</f>
        <v>cas_hmw</v>
      </c>
      <c r="B12572" s="5">
        <f>IFERROR(__xludf.DUMMYFUNCTION("""COMPUTED_VALUE"""),44714.0)</f>
        <v>44714</v>
      </c>
      <c r="C12572" s="6">
        <f>IFERROR(__xludf.DUMMYFUNCTION("""COMPUTED_VALUE"""),0.34659722222204437)</f>
        <v>0.3465972222</v>
      </c>
      <c r="D12572" s="4">
        <f>IFERROR(__xludf.DUMMYFUNCTION("""COMPUTED_VALUE"""),12.875736)</f>
        <v>12.875736</v>
      </c>
      <c r="E12572" s="4">
        <f>IFERROR(__xludf.DUMMYFUNCTION("""COMPUTED_VALUE"""),80.078644)</f>
        <v>80.078644</v>
      </c>
      <c r="F12572" s="4">
        <f>IFERROR(__xludf.DUMMYFUNCTION("""COMPUTED_VALUE"""),805.0)</f>
        <v>805</v>
      </c>
      <c r="G12572" s="4">
        <f>IFERROR(__xludf.DUMMYFUNCTION("""COMPUTED_VALUE"""),44.0)</f>
        <v>44</v>
      </c>
      <c r="H12572" s="4"/>
      <c r="I12572" s="4"/>
    </row>
    <row r="12573">
      <c r="A12573" s="4" t="str">
        <f>IFERROR(__xludf.DUMMYFUNCTION("""COMPUTED_VALUE"""),"cas_hmw")</f>
        <v>cas_hmw</v>
      </c>
      <c r="B12573" s="5">
        <f>IFERROR(__xludf.DUMMYFUNCTION("""COMPUTED_VALUE"""),44714.0)</f>
        <v>44714</v>
      </c>
      <c r="C12573" s="6">
        <f>IFERROR(__xludf.DUMMYFUNCTION("""COMPUTED_VALUE"""),0.3475694444459805)</f>
        <v>0.3475694444</v>
      </c>
      <c r="D12573" s="4">
        <f>IFERROR(__xludf.DUMMYFUNCTION("""COMPUTED_VALUE"""),12.891148)</f>
        <v>12.891148</v>
      </c>
      <c r="E12573" s="4">
        <f>IFERROR(__xludf.DUMMYFUNCTION("""COMPUTED_VALUE"""),80.085098)</f>
        <v>80.085098</v>
      </c>
      <c r="F12573" s="4">
        <f>IFERROR(__xludf.DUMMYFUNCTION("""COMPUTED_VALUE"""),2846.0)</f>
        <v>2846</v>
      </c>
      <c r="G12573" s="4">
        <f>IFERROR(__xludf.DUMMYFUNCTION("""COMPUTED_VALUE"""),56.0)</f>
        <v>56</v>
      </c>
      <c r="H12573" s="4"/>
      <c r="I12573" s="4"/>
    </row>
    <row r="12574">
      <c r="A12574" s="4" t="str">
        <f>IFERROR(__xludf.DUMMYFUNCTION("""COMPUTED_VALUE"""),"cas_hmw")</f>
        <v>cas_hmw</v>
      </c>
      <c r="B12574" s="5">
        <f>IFERROR(__xludf.DUMMYFUNCTION("""COMPUTED_VALUE"""),44714.0)</f>
        <v>44714</v>
      </c>
      <c r="C12574" s="6">
        <f>IFERROR(__xludf.DUMMYFUNCTION("""COMPUTED_VALUE"""),0.3478587962963502)</f>
        <v>0.3478587963</v>
      </c>
      <c r="D12574" s="4">
        <f>IFERROR(__xludf.DUMMYFUNCTION("""COMPUTED_VALUE"""),12.888983)</f>
        <v>12.888983</v>
      </c>
      <c r="E12574" s="4">
        <f>IFERROR(__xludf.DUMMYFUNCTION("""COMPUTED_VALUE"""),80.084178)</f>
        <v>80.084178</v>
      </c>
      <c r="F12574" s="4">
        <f>IFERROR(__xludf.DUMMYFUNCTION("""COMPUTED_VALUE"""),2846.0)</f>
        <v>2846</v>
      </c>
      <c r="G12574" s="4">
        <f>IFERROR(__xludf.DUMMYFUNCTION("""COMPUTED_VALUE"""),50.0)</f>
        <v>50</v>
      </c>
      <c r="H12574" s="4"/>
      <c r="I12574" s="4"/>
    </row>
    <row r="12575">
      <c r="A12575" s="4" t="str">
        <f>IFERROR(__xludf.DUMMYFUNCTION("""COMPUTED_VALUE"""),"cas_hmw")</f>
        <v>cas_hmw</v>
      </c>
      <c r="B12575" s="5">
        <f>IFERROR(__xludf.DUMMYFUNCTION("""COMPUTED_VALUE"""),44714.0)</f>
        <v>44714</v>
      </c>
      <c r="C12575" s="6">
        <f>IFERROR(__xludf.DUMMYFUNCTION("""COMPUTED_VALUE"""),0.3483564814814599)</f>
        <v>0.3483564815</v>
      </c>
      <c r="D12575" s="4">
        <f>IFERROR(__xludf.DUMMYFUNCTION("""COMPUTED_VALUE"""),12.878204)</f>
        <v>12.878204</v>
      </c>
      <c r="E12575" s="4">
        <f>IFERROR(__xludf.DUMMYFUNCTION("""COMPUTED_VALUE"""),80.082948)</f>
        <v>80.082948</v>
      </c>
      <c r="F12575" s="4">
        <f>IFERROR(__xludf.DUMMYFUNCTION("""COMPUTED_VALUE"""),805.0)</f>
        <v>805</v>
      </c>
      <c r="G12575" s="4">
        <f>IFERROR(__xludf.DUMMYFUNCTION("""COMPUTED_VALUE"""),40.0)</f>
        <v>40</v>
      </c>
      <c r="H12575" s="4"/>
      <c r="I12575" s="4"/>
    </row>
    <row r="12576">
      <c r="A12576" s="4" t="str">
        <f>IFERROR(__xludf.DUMMYFUNCTION("""COMPUTED_VALUE"""),"cas_hmw")</f>
        <v>cas_hmw</v>
      </c>
      <c r="B12576" s="5">
        <f>IFERROR(__xludf.DUMMYFUNCTION("""COMPUTED_VALUE"""),44714.0)</f>
        <v>44714</v>
      </c>
      <c r="C12576" s="6">
        <f>IFERROR(__xludf.DUMMYFUNCTION("""COMPUTED_VALUE"""),0.3484722222237906)</f>
        <v>0.3484722222</v>
      </c>
      <c r="D12576" s="4">
        <f>IFERROR(__xludf.DUMMYFUNCTION("""COMPUTED_VALUE"""),12.878204)</f>
        <v>12.878204</v>
      </c>
      <c r="E12576" s="4">
        <f>IFERROR(__xludf.DUMMYFUNCTION("""COMPUTED_VALUE"""),80.082948)</f>
        <v>80.082948</v>
      </c>
      <c r="F12576" s="4">
        <f>IFERROR(__xludf.DUMMYFUNCTION("""COMPUTED_VALUE"""),805.0)</f>
        <v>805</v>
      </c>
      <c r="G12576" s="4">
        <f>IFERROR(__xludf.DUMMYFUNCTION("""COMPUTED_VALUE"""),40.0)</f>
        <v>40</v>
      </c>
      <c r="H12576" s="4"/>
      <c r="I12576" s="4"/>
    </row>
    <row r="12577">
      <c r="A12577" s="4" t="str">
        <f>IFERROR(__xludf.DUMMYFUNCTION("""COMPUTED_VALUE"""),"cas_hmw")</f>
        <v>cas_hmw</v>
      </c>
      <c r="B12577" s="5">
        <f>IFERROR(__xludf.DUMMYFUNCTION("""COMPUTED_VALUE"""),44714.0)</f>
        <v>44714</v>
      </c>
      <c r="C12577" s="6">
        <f>IFERROR(__xludf.DUMMYFUNCTION("""COMPUTED_VALUE"""),0.39129629629678675)</f>
        <v>0.3912962963</v>
      </c>
      <c r="D12577" s="4">
        <f>IFERROR(__xludf.DUMMYFUNCTION("""COMPUTED_VALUE"""),12.879598)</f>
        <v>12.879598</v>
      </c>
      <c r="E12577" s="4">
        <f>IFERROR(__xludf.DUMMYFUNCTION("""COMPUTED_VALUE"""),80.080102)</f>
        <v>80.080102</v>
      </c>
      <c r="F12577" s="4">
        <f>IFERROR(__xludf.DUMMYFUNCTION("""COMPUTED_VALUE"""),5339.0)</f>
        <v>5339</v>
      </c>
      <c r="G12577" s="4">
        <f>IFERROR(__xludf.DUMMYFUNCTION("""COMPUTED_VALUE"""),26.0)</f>
        <v>26</v>
      </c>
      <c r="H12577" s="4"/>
      <c r="I12577" s="4"/>
    </row>
    <row r="12578">
      <c r="A12578" s="4" t="str">
        <f>IFERROR(__xludf.DUMMYFUNCTION("""COMPUTED_VALUE"""),"cas_hmw")</f>
        <v>cas_hmw</v>
      </c>
      <c r="B12578" s="5">
        <f>IFERROR(__xludf.DUMMYFUNCTION("""COMPUTED_VALUE"""),44714.0)</f>
        <v>44714</v>
      </c>
      <c r="C12578" s="6">
        <f>IFERROR(__xludf.DUMMYFUNCTION("""COMPUTED_VALUE"""),0.3913078703699284)</f>
        <v>0.3913078704</v>
      </c>
      <c r="D12578" s="4">
        <f>IFERROR(__xludf.DUMMYFUNCTION("""COMPUTED_VALUE"""),12.879598)</f>
        <v>12.879598</v>
      </c>
      <c r="E12578" s="4">
        <f>IFERROR(__xludf.DUMMYFUNCTION("""COMPUTED_VALUE"""),80.080102)</f>
        <v>80.080102</v>
      </c>
      <c r="F12578" s="4">
        <f>IFERROR(__xludf.DUMMYFUNCTION("""COMPUTED_VALUE"""),5339.0)</f>
        <v>5339</v>
      </c>
      <c r="G12578" s="4">
        <f>IFERROR(__xludf.DUMMYFUNCTION("""COMPUTED_VALUE"""),26.0)</f>
        <v>26</v>
      </c>
      <c r="H12578" s="4"/>
      <c r="I12578" s="4"/>
    </row>
    <row r="12579">
      <c r="A12579" s="4" t="str">
        <f>IFERROR(__xludf.DUMMYFUNCTION("""COMPUTED_VALUE"""),"cas_hmw")</f>
        <v>cas_hmw</v>
      </c>
      <c r="B12579" s="5">
        <f>IFERROR(__xludf.DUMMYFUNCTION("""COMPUTED_VALUE"""),44714.0)</f>
        <v>44714</v>
      </c>
      <c r="C12579" s="6">
        <f>IFERROR(__xludf.DUMMYFUNCTION("""COMPUTED_VALUE"""),0.3913078703699284)</f>
        <v>0.3913078704</v>
      </c>
      <c r="D12579" s="4">
        <f>IFERROR(__xludf.DUMMYFUNCTION("""COMPUTED_VALUE"""),12.879598)</f>
        <v>12.879598</v>
      </c>
      <c r="E12579" s="4">
        <f>IFERROR(__xludf.DUMMYFUNCTION("""COMPUTED_VALUE"""),80.080102)</f>
        <v>80.080102</v>
      </c>
      <c r="F12579" s="4">
        <f>IFERROR(__xludf.DUMMYFUNCTION("""COMPUTED_VALUE"""),5339.0)</f>
        <v>5339</v>
      </c>
      <c r="G12579" s="4">
        <f>IFERROR(__xludf.DUMMYFUNCTION("""COMPUTED_VALUE"""),26.0)</f>
        <v>26</v>
      </c>
      <c r="H12579" s="4"/>
      <c r="I12579" s="4"/>
    </row>
    <row r="12580">
      <c r="A12580" s="4" t="str">
        <f>IFERROR(__xludf.DUMMYFUNCTION("""COMPUTED_VALUE"""),"cas_hmw")</f>
        <v>cas_hmw</v>
      </c>
      <c r="B12580" s="5">
        <f>IFERROR(__xludf.DUMMYFUNCTION("""COMPUTED_VALUE"""),44714.0)</f>
        <v>44714</v>
      </c>
      <c r="C12580" s="6">
        <f>IFERROR(__xludf.DUMMYFUNCTION("""COMPUTED_VALUE"""),0.3913425925929914)</f>
        <v>0.3913425926</v>
      </c>
      <c r="D12580" s="4">
        <f>IFERROR(__xludf.DUMMYFUNCTION("""COMPUTED_VALUE"""),12.879598)</f>
        <v>12.879598</v>
      </c>
      <c r="E12580" s="4">
        <f>IFERROR(__xludf.DUMMYFUNCTION("""COMPUTED_VALUE"""),80.080102)</f>
        <v>80.080102</v>
      </c>
      <c r="F12580" s="4">
        <f>IFERROR(__xludf.DUMMYFUNCTION("""COMPUTED_VALUE"""),5339.0)</f>
        <v>5339</v>
      </c>
      <c r="G12580" s="4">
        <f>IFERROR(__xludf.DUMMYFUNCTION("""COMPUTED_VALUE"""),26.0)</f>
        <v>26</v>
      </c>
      <c r="H12580" s="4"/>
      <c r="I12580" s="4"/>
    </row>
    <row r="12581">
      <c r="A12581" s="4" t="str">
        <f>IFERROR(__xludf.DUMMYFUNCTION("""COMPUTED_VALUE"""),"cas_hmw")</f>
        <v>cas_hmw</v>
      </c>
      <c r="B12581" s="5">
        <f>IFERROR(__xludf.DUMMYFUNCTION("""COMPUTED_VALUE"""),44714.0)</f>
        <v>44714</v>
      </c>
      <c r="C12581" s="6">
        <f>IFERROR(__xludf.DUMMYFUNCTION("""COMPUTED_VALUE"""),0.39140046296233777)</f>
        <v>0.391400463</v>
      </c>
      <c r="D12581" s="4">
        <f>IFERROR(__xludf.DUMMYFUNCTION("""COMPUTED_VALUE"""),12.879598)</f>
        <v>12.879598</v>
      </c>
      <c r="E12581" s="4">
        <f>IFERROR(__xludf.DUMMYFUNCTION("""COMPUTED_VALUE"""),80.080102)</f>
        <v>80.080102</v>
      </c>
      <c r="F12581" s="4">
        <f>IFERROR(__xludf.DUMMYFUNCTION("""COMPUTED_VALUE"""),5339.0)</f>
        <v>5339</v>
      </c>
      <c r="G12581" s="4">
        <f>IFERROR(__xludf.DUMMYFUNCTION("""COMPUTED_VALUE"""),26.0)</f>
        <v>26</v>
      </c>
      <c r="H12581" s="4"/>
      <c r="I12581" s="4"/>
    </row>
    <row r="12582">
      <c r="A12582" s="4" t="str">
        <f>IFERROR(__xludf.DUMMYFUNCTION("""COMPUTED_VALUE"""),"cas_hmw")</f>
        <v>cas_hmw</v>
      </c>
      <c r="B12582" s="5">
        <f>IFERROR(__xludf.DUMMYFUNCTION("""COMPUTED_VALUE"""),44714.0)</f>
        <v>44714</v>
      </c>
      <c r="C12582" s="6">
        <f>IFERROR(__xludf.DUMMYFUNCTION("""COMPUTED_VALUE"""),0.39141203703547944)</f>
        <v>0.391412037</v>
      </c>
      <c r="D12582" s="4">
        <f>IFERROR(__xludf.DUMMYFUNCTION("""COMPUTED_VALUE"""),12.880265)</f>
        <v>12.880265</v>
      </c>
      <c r="E12582" s="4">
        <f>IFERROR(__xludf.DUMMYFUNCTION("""COMPUTED_VALUE"""),80.080372)</f>
        <v>80.080372</v>
      </c>
      <c r="F12582" s="4">
        <f>IFERROR(__xludf.DUMMYFUNCTION("""COMPUTED_VALUE"""),5339.0)</f>
        <v>5339</v>
      </c>
      <c r="G12582" s="4">
        <f>IFERROR(__xludf.DUMMYFUNCTION("""COMPUTED_VALUE"""),24.0)</f>
        <v>24</v>
      </c>
      <c r="H12582" s="4"/>
      <c r="I12582" s="4"/>
    </row>
    <row r="12583">
      <c r="A12583" s="4" t="str">
        <f>IFERROR(__xludf.DUMMYFUNCTION("""COMPUTED_VALUE"""),"cas_hmw")</f>
        <v>cas_hmw</v>
      </c>
      <c r="B12583" s="5">
        <f>IFERROR(__xludf.DUMMYFUNCTION("""COMPUTED_VALUE"""),44714.0)</f>
        <v>44714</v>
      </c>
      <c r="C12583" s="6">
        <f>IFERROR(__xludf.DUMMYFUNCTION("""COMPUTED_VALUE"""),0.40899305555649335)</f>
        <v>0.4089930556</v>
      </c>
      <c r="D12583" s="4">
        <f>IFERROR(__xludf.DUMMYFUNCTION("""COMPUTED_VALUE"""),13.040612)</f>
        <v>13.040612</v>
      </c>
      <c r="E12583" s="4">
        <f>IFERROR(__xludf.DUMMYFUNCTION("""COMPUTED_VALUE"""),80.086286)</f>
        <v>80.086286</v>
      </c>
      <c r="F12583" s="4">
        <f>IFERROR(__xludf.DUMMYFUNCTION("""COMPUTED_VALUE"""),5339.0)</f>
        <v>5339</v>
      </c>
      <c r="G12583" s="4">
        <f>IFERROR(__xludf.DUMMYFUNCTION("""COMPUTED_VALUE"""),43.0)</f>
        <v>43</v>
      </c>
      <c r="H12583" s="4"/>
      <c r="I12583" s="4"/>
    </row>
    <row r="12584">
      <c r="A12584" s="4" t="str">
        <f>IFERROR(__xludf.DUMMYFUNCTION("""COMPUTED_VALUE"""),"cas_hmw")</f>
        <v>cas_hmw</v>
      </c>
      <c r="B12584" s="5">
        <f>IFERROR(__xludf.DUMMYFUNCTION("""COMPUTED_VALUE"""),44714.0)</f>
        <v>44714</v>
      </c>
      <c r="C12584" s="6">
        <f>IFERROR(__xludf.DUMMYFUNCTION("""COMPUTED_VALUE"""),0.4096643518532801)</f>
        <v>0.4096643519</v>
      </c>
      <c r="D12584" s="4">
        <f>IFERROR(__xludf.DUMMYFUNCTION("""COMPUTED_VALUE"""),13.043992)</f>
        <v>13.043992</v>
      </c>
      <c r="E12584" s="4">
        <f>IFERROR(__xludf.DUMMYFUNCTION("""COMPUTED_VALUE"""),80.085355)</f>
        <v>80.085355</v>
      </c>
      <c r="F12584" s="4">
        <f>IFERROR(__xludf.DUMMYFUNCTION("""COMPUTED_VALUE"""),5339.0)</f>
        <v>5339</v>
      </c>
      <c r="G12584" s="4">
        <f>IFERROR(__xludf.DUMMYFUNCTION("""COMPUTED_VALUE"""),51.0)</f>
        <v>51</v>
      </c>
      <c r="H12584" s="4"/>
      <c r="I12584" s="4"/>
    </row>
    <row r="12585">
      <c r="A12585" s="4" t="str">
        <f>IFERROR(__xludf.DUMMYFUNCTION("""COMPUTED_VALUE"""),"cas_hmw")</f>
        <v>cas_hmw</v>
      </c>
      <c r="B12585" s="5">
        <f>IFERROR(__xludf.DUMMYFUNCTION("""COMPUTED_VALUE"""),44714.0)</f>
        <v>44714</v>
      </c>
      <c r="C12585" s="6">
        <f>IFERROR(__xludf.DUMMYFUNCTION("""COMPUTED_VALUE"""),0.40967592592642177)</f>
        <v>0.4096759259</v>
      </c>
      <c r="D12585" s="4">
        <f>IFERROR(__xludf.DUMMYFUNCTION("""COMPUTED_VALUE"""),13.043992)</f>
        <v>13.043992</v>
      </c>
      <c r="E12585" s="4">
        <f>IFERROR(__xludf.DUMMYFUNCTION("""COMPUTED_VALUE"""),80.085355)</f>
        <v>80.085355</v>
      </c>
      <c r="F12585" s="4">
        <f>IFERROR(__xludf.DUMMYFUNCTION("""COMPUTED_VALUE"""),5339.0)</f>
        <v>5339</v>
      </c>
      <c r="G12585" s="4">
        <f>IFERROR(__xludf.DUMMYFUNCTION("""COMPUTED_VALUE"""),51.0)</f>
        <v>51</v>
      </c>
      <c r="H12585" s="4"/>
      <c r="I12585" s="4"/>
    </row>
    <row r="12586">
      <c r="A12586" s="4" t="str">
        <f>IFERROR(__xludf.DUMMYFUNCTION("""COMPUTED_VALUE"""),"cas_hmw")</f>
        <v>cas_hmw</v>
      </c>
      <c r="B12586" s="5">
        <f>IFERROR(__xludf.DUMMYFUNCTION("""COMPUTED_VALUE"""),44714.0)</f>
        <v>44714</v>
      </c>
      <c r="C12586" s="6">
        <f>IFERROR(__xludf.DUMMYFUNCTION("""COMPUTED_VALUE"""),0.6886689814818965)</f>
        <v>0.6886689815</v>
      </c>
      <c r="D12586" s="4">
        <f>IFERROR(__xludf.DUMMYFUNCTION("""COMPUTED_VALUE"""),12.877757)</f>
        <v>12.877757</v>
      </c>
      <c r="E12586" s="4">
        <f>IFERROR(__xludf.DUMMYFUNCTION("""COMPUTED_VALUE"""),80.083942)</f>
        <v>80.083942</v>
      </c>
      <c r="F12586" s="4">
        <f>IFERROR(__xludf.DUMMYFUNCTION("""COMPUTED_VALUE"""),805.0)</f>
        <v>805</v>
      </c>
      <c r="G12586" s="4">
        <f>IFERROR(__xludf.DUMMYFUNCTION("""COMPUTED_VALUE"""),34.0)</f>
        <v>34</v>
      </c>
      <c r="H12586" s="4"/>
      <c r="I12586" s="4"/>
    </row>
    <row r="12587">
      <c r="A12587" s="4" t="str">
        <f>IFERROR(__xludf.DUMMYFUNCTION("""COMPUTED_VALUE"""),"cas_hmw")</f>
        <v>cas_hmw</v>
      </c>
      <c r="B12587" s="5">
        <f>IFERROR(__xludf.DUMMYFUNCTION("""COMPUTED_VALUE"""),44714.0)</f>
        <v>44714</v>
      </c>
      <c r="C12587" s="6">
        <f>IFERROR(__xludf.DUMMYFUNCTION("""COMPUTED_VALUE"""),0.6886689814818965)</f>
        <v>0.6886689815</v>
      </c>
      <c r="D12587" s="4">
        <f>IFERROR(__xludf.DUMMYFUNCTION("""COMPUTED_VALUE"""),12.878155)</f>
        <v>12.878155</v>
      </c>
      <c r="E12587" s="4">
        <f>IFERROR(__xludf.DUMMYFUNCTION("""COMPUTED_VALUE"""),80.082797)</f>
        <v>80.082797</v>
      </c>
      <c r="F12587" s="4">
        <f>IFERROR(__xludf.DUMMYFUNCTION("""COMPUTED_VALUE"""),805.0)</f>
        <v>805</v>
      </c>
      <c r="G12587" s="4">
        <f>IFERROR(__xludf.DUMMYFUNCTION("""COMPUTED_VALUE"""),57.0)</f>
        <v>57</v>
      </c>
      <c r="H12587" s="4"/>
      <c r="I12587" s="4"/>
    </row>
    <row r="12588">
      <c r="A12588" s="4" t="str">
        <f>IFERROR(__xludf.DUMMYFUNCTION("""COMPUTED_VALUE"""),"cas_hmw")</f>
        <v>cas_hmw</v>
      </c>
      <c r="B12588" s="5">
        <f>IFERROR(__xludf.DUMMYFUNCTION("""COMPUTED_VALUE"""),44714.0)</f>
        <v>44714</v>
      </c>
      <c r="C12588" s="6">
        <f>IFERROR(__xludf.DUMMYFUNCTION("""COMPUTED_VALUE"""),0.6905902777762094)</f>
        <v>0.6905902778</v>
      </c>
      <c r="D12588" s="4">
        <f>IFERROR(__xludf.DUMMYFUNCTION("""COMPUTED_VALUE"""),12.879365)</f>
        <v>12.879365</v>
      </c>
      <c r="E12588" s="4">
        <f>IFERROR(__xludf.DUMMYFUNCTION("""COMPUTED_VALUE"""),80.079999)</f>
        <v>80.079999</v>
      </c>
      <c r="F12588" s="4">
        <f>IFERROR(__xludf.DUMMYFUNCTION("""COMPUTED_VALUE"""),2846.0)</f>
        <v>2846</v>
      </c>
      <c r="G12588" s="4">
        <f>IFERROR(__xludf.DUMMYFUNCTION("""COMPUTED_VALUE"""),14.0)</f>
        <v>14</v>
      </c>
      <c r="H12588" s="4"/>
      <c r="I12588" s="4"/>
    </row>
    <row r="12589">
      <c r="A12589" s="4" t="str">
        <f>IFERROR(__xludf.DUMMYFUNCTION("""COMPUTED_VALUE"""),"cas_hmw")</f>
        <v>cas_hmw</v>
      </c>
      <c r="B12589" s="5">
        <f>IFERROR(__xludf.DUMMYFUNCTION("""COMPUTED_VALUE"""),44714.0)</f>
        <v>44714</v>
      </c>
      <c r="C12589" s="6">
        <f>IFERROR(__xludf.DUMMYFUNCTION("""COMPUTED_VALUE"""),0.6906018518529891)</f>
        <v>0.6906018519</v>
      </c>
      <c r="D12589" s="4">
        <f>IFERROR(__xludf.DUMMYFUNCTION("""COMPUTED_VALUE"""),12.879365)</f>
        <v>12.879365</v>
      </c>
      <c r="E12589" s="4">
        <f>IFERROR(__xludf.DUMMYFUNCTION("""COMPUTED_VALUE"""),80.079999)</f>
        <v>80.079999</v>
      </c>
      <c r="F12589" s="4">
        <f>IFERROR(__xludf.DUMMYFUNCTION("""COMPUTED_VALUE"""),2846.0)</f>
        <v>2846</v>
      </c>
      <c r="G12589" s="4">
        <f>IFERROR(__xludf.DUMMYFUNCTION("""COMPUTED_VALUE"""),14.0)</f>
        <v>14</v>
      </c>
      <c r="H12589" s="4"/>
      <c r="I12589" s="4"/>
    </row>
    <row r="12590">
      <c r="A12590" s="4" t="str">
        <f>IFERROR(__xludf.DUMMYFUNCTION("""COMPUTED_VALUE"""),"cas_hmw")</f>
        <v>cas_hmw</v>
      </c>
      <c r="B12590" s="5">
        <f>IFERROR(__xludf.DUMMYFUNCTION("""COMPUTED_VALUE"""),44714.0)</f>
        <v>44714</v>
      </c>
      <c r="C12590" s="6">
        <f>IFERROR(__xludf.DUMMYFUNCTION("""COMPUTED_VALUE"""),0.6907060185185401)</f>
        <v>0.6907060185</v>
      </c>
      <c r="D12590" s="4">
        <f>IFERROR(__xludf.DUMMYFUNCTION("""COMPUTED_VALUE"""),12.866327)</f>
        <v>12.866327</v>
      </c>
      <c r="E12590" s="4">
        <f>IFERROR(__xludf.DUMMYFUNCTION("""COMPUTED_VALUE"""),80.075213)</f>
        <v>80.075213</v>
      </c>
      <c r="F12590" s="4">
        <f>IFERROR(__xludf.DUMMYFUNCTION("""COMPUTED_VALUE"""),805.0)</f>
        <v>805</v>
      </c>
      <c r="G12590" s="4">
        <f>IFERROR(__xludf.DUMMYFUNCTION("""COMPUTED_VALUE"""),22.0)</f>
        <v>22</v>
      </c>
      <c r="H12590" s="4"/>
      <c r="I12590" s="4"/>
    </row>
    <row r="12591">
      <c r="A12591" s="4" t="str">
        <f>IFERROR(__xludf.DUMMYFUNCTION("""COMPUTED_VALUE"""),"cas_hmw")</f>
        <v>cas_hmw</v>
      </c>
      <c r="B12591" s="5">
        <f>IFERROR(__xludf.DUMMYFUNCTION("""COMPUTED_VALUE"""),44714.0)</f>
        <v>44714</v>
      </c>
      <c r="C12591" s="6">
        <f>IFERROR(__xludf.DUMMYFUNCTION("""COMPUTED_VALUE"""),0.6912962962960592)</f>
        <v>0.6912962963</v>
      </c>
      <c r="D12591" s="4">
        <f>IFERROR(__xludf.DUMMYFUNCTION("""COMPUTED_VALUE"""),12.864778)</f>
        <v>12.864778</v>
      </c>
      <c r="E12591" s="4">
        <f>IFERROR(__xludf.DUMMYFUNCTION("""COMPUTED_VALUE"""),80.074633)</f>
        <v>80.074633</v>
      </c>
      <c r="F12591" s="4">
        <f>IFERROR(__xludf.DUMMYFUNCTION("""COMPUTED_VALUE"""),805.0)</f>
        <v>805</v>
      </c>
      <c r="G12591" s="4">
        <f>IFERROR(__xludf.DUMMYFUNCTION("""COMPUTED_VALUE"""),39.0)</f>
        <v>39</v>
      </c>
      <c r="H12591" s="4"/>
      <c r="I12591" s="4"/>
    </row>
    <row r="12592">
      <c r="A12592" s="4" t="str">
        <f>IFERROR(__xludf.DUMMYFUNCTION("""COMPUTED_VALUE"""),"cas_hmw")</f>
        <v>cas_hmw</v>
      </c>
      <c r="B12592" s="5">
        <f>IFERROR(__xludf.DUMMYFUNCTION("""COMPUTED_VALUE"""),44714.0)</f>
        <v>44714</v>
      </c>
      <c r="C12592" s="6">
        <f>IFERROR(__xludf.DUMMYFUNCTION("""COMPUTED_VALUE"""),0.6917592592581059)</f>
        <v>0.6917592593</v>
      </c>
      <c r="D12592" s="4">
        <f>IFERROR(__xludf.DUMMYFUNCTION("""COMPUTED_VALUE"""),12.862839)</f>
        <v>12.862839</v>
      </c>
      <c r="E12592" s="4">
        <f>IFERROR(__xludf.DUMMYFUNCTION("""COMPUTED_VALUE"""),80.07389)</f>
        <v>80.07389</v>
      </c>
      <c r="F12592" s="4">
        <f>IFERROR(__xludf.DUMMYFUNCTION("""COMPUTED_VALUE"""),805.0)</f>
        <v>805</v>
      </c>
      <c r="G12592" s="4">
        <f>IFERROR(__xludf.DUMMYFUNCTION("""COMPUTED_VALUE"""),40.0)</f>
        <v>40</v>
      </c>
      <c r="H12592" s="4"/>
      <c r="I12592" s="4"/>
    </row>
    <row r="12593">
      <c r="A12593" s="4" t="str">
        <f>IFERROR(__xludf.DUMMYFUNCTION("""COMPUTED_VALUE"""),"cas_hmw")</f>
        <v>cas_hmw</v>
      </c>
      <c r="B12593" s="5">
        <f>IFERROR(__xludf.DUMMYFUNCTION("""COMPUTED_VALUE"""),44714.0)</f>
        <v>44714</v>
      </c>
      <c r="C12593" s="6">
        <f>IFERROR(__xludf.DUMMYFUNCTION("""COMPUTED_VALUE"""),0.6917592592581059)</f>
        <v>0.6917592593</v>
      </c>
      <c r="D12593" s="4">
        <f>IFERROR(__xludf.DUMMYFUNCTION("""COMPUTED_VALUE"""),12.862839)</f>
        <v>12.862839</v>
      </c>
      <c r="E12593" s="4">
        <f>IFERROR(__xludf.DUMMYFUNCTION("""COMPUTED_VALUE"""),80.07389)</f>
        <v>80.07389</v>
      </c>
      <c r="F12593" s="4">
        <f>IFERROR(__xludf.DUMMYFUNCTION("""COMPUTED_VALUE"""),805.0)</f>
        <v>805</v>
      </c>
      <c r="G12593" s="4">
        <f>IFERROR(__xludf.DUMMYFUNCTION("""COMPUTED_VALUE"""),40.0)</f>
        <v>40</v>
      </c>
      <c r="H12593" s="4"/>
      <c r="I12593" s="4"/>
    </row>
    <row r="12594">
      <c r="A12594" s="4" t="str">
        <f>IFERROR(__xludf.DUMMYFUNCTION("""COMPUTED_VALUE"""),"cas_hmw")</f>
        <v>cas_hmw</v>
      </c>
      <c r="B12594" s="5">
        <f>IFERROR(__xludf.DUMMYFUNCTION("""COMPUTED_VALUE"""),44714.0)</f>
        <v>44714</v>
      </c>
      <c r="C12594" s="6">
        <f>IFERROR(__xludf.DUMMYFUNCTION("""COMPUTED_VALUE"""),0.6918287037042319)</f>
        <v>0.6918287037</v>
      </c>
      <c r="D12594" s="4">
        <f>IFERROR(__xludf.DUMMYFUNCTION("""COMPUTED_VALUE"""),12.861844)</f>
        <v>12.861844</v>
      </c>
      <c r="E12594" s="4">
        <f>IFERROR(__xludf.DUMMYFUNCTION("""COMPUTED_VALUE"""),80.07345)</f>
        <v>80.07345</v>
      </c>
      <c r="F12594" s="4">
        <f>IFERROR(__xludf.DUMMYFUNCTION("""COMPUTED_VALUE"""),805.0)</f>
        <v>805</v>
      </c>
      <c r="G12594" s="4">
        <f>IFERROR(__xludf.DUMMYFUNCTION("""COMPUTED_VALUE"""),46.0)</f>
        <v>46</v>
      </c>
      <c r="H12594" s="4"/>
      <c r="I12594" s="4"/>
    </row>
    <row r="12595">
      <c r="A12595" s="4" t="str">
        <f>IFERROR(__xludf.DUMMYFUNCTION("""COMPUTED_VALUE"""),"cas_hmw")</f>
        <v>cas_hmw</v>
      </c>
      <c r="B12595" s="5">
        <f>IFERROR(__xludf.DUMMYFUNCTION("""COMPUTED_VALUE"""),44714.0)</f>
        <v>44714</v>
      </c>
      <c r="C12595" s="6">
        <f>IFERROR(__xludf.DUMMYFUNCTION("""COMPUTED_VALUE"""),0.6918865740735782)</f>
        <v>0.6918865741</v>
      </c>
      <c r="D12595" s="4">
        <f>IFERROR(__xludf.DUMMYFUNCTION("""COMPUTED_VALUE"""),12.861844)</f>
        <v>12.861844</v>
      </c>
      <c r="E12595" s="4">
        <f>IFERROR(__xludf.DUMMYFUNCTION("""COMPUTED_VALUE"""),80.07345)</f>
        <v>80.07345</v>
      </c>
      <c r="F12595" s="4">
        <f>IFERROR(__xludf.DUMMYFUNCTION("""COMPUTED_VALUE"""),805.0)</f>
        <v>805</v>
      </c>
      <c r="G12595" s="4">
        <f>IFERROR(__xludf.DUMMYFUNCTION("""COMPUTED_VALUE"""),46.0)</f>
        <v>46</v>
      </c>
      <c r="H12595" s="4"/>
      <c r="I12595" s="4"/>
    </row>
    <row r="12596">
      <c r="A12596" s="4" t="str">
        <f>IFERROR(__xludf.DUMMYFUNCTION("""COMPUTED_VALUE"""),"cas_hmw")</f>
        <v>cas_hmw</v>
      </c>
      <c r="B12596" s="5">
        <f>IFERROR(__xludf.DUMMYFUNCTION("""COMPUTED_VALUE"""),44714.0)</f>
        <v>44714</v>
      </c>
      <c r="C12596" s="6">
        <f>IFERROR(__xludf.DUMMYFUNCTION("""COMPUTED_VALUE"""),0.6919212962966412)</f>
        <v>0.6919212963</v>
      </c>
      <c r="D12596" s="4">
        <f>IFERROR(__xludf.DUMMYFUNCTION("""COMPUTED_VALUE"""),12.860419)</f>
        <v>12.860419</v>
      </c>
      <c r="E12596" s="4">
        <f>IFERROR(__xludf.DUMMYFUNCTION("""COMPUTED_VALUE"""),80.072637)</f>
        <v>80.072637</v>
      </c>
      <c r="F12596" s="4">
        <f>IFERROR(__xludf.DUMMYFUNCTION("""COMPUTED_VALUE"""),805.0)</f>
        <v>805</v>
      </c>
      <c r="G12596" s="4">
        <f>IFERROR(__xludf.DUMMYFUNCTION("""COMPUTED_VALUE"""),8.0)</f>
        <v>8</v>
      </c>
      <c r="H12596" s="4"/>
      <c r="I12596" s="4"/>
    </row>
    <row r="12597">
      <c r="A12597" s="4" t="str">
        <f>IFERROR(__xludf.DUMMYFUNCTION("""COMPUTED_VALUE"""),"cas_hmw")</f>
        <v>cas_hmw</v>
      </c>
      <c r="B12597" s="5">
        <f>IFERROR(__xludf.DUMMYFUNCTION("""COMPUTED_VALUE"""),44714.0)</f>
        <v>44714</v>
      </c>
      <c r="C12597" s="6">
        <f>IFERROR(__xludf.DUMMYFUNCTION("""COMPUTED_VALUE"""),0.6920370370353339)</f>
        <v>0.692037037</v>
      </c>
      <c r="D12597" s="4">
        <f>IFERROR(__xludf.DUMMYFUNCTION("""COMPUTED_VALUE"""),12.860256)</f>
        <v>12.860256</v>
      </c>
      <c r="E12597" s="4">
        <f>IFERROR(__xludf.DUMMYFUNCTION("""COMPUTED_VALUE"""),80.072542)</f>
        <v>80.072542</v>
      </c>
      <c r="F12597" s="4">
        <f>IFERROR(__xludf.DUMMYFUNCTION("""COMPUTED_VALUE"""),805.0)</f>
        <v>805</v>
      </c>
      <c r="G12597" s="4">
        <f>IFERROR(__xludf.DUMMYFUNCTION("""COMPUTED_VALUE"""),0.0)</f>
        <v>0</v>
      </c>
      <c r="H12597" s="4"/>
      <c r="I12597" s="4"/>
    </row>
    <row r="12598">
      <c r="A12598" s="4" t="str">
        <f>IFERROR(__xludf.DUMMYFUNCTION("""COMPUTED_VALUE"""),"cas_hmw")</f>
        <v>cas_hmw</v>
      </c>
      <c r="B12598" s="5">
        <f>IFERROR(__xludf.DUMMYFUNCTION("""COMPUTED_VALUE"""),44714.0)</f>
        <v>44714</v>
      </c>
      <c r="C12598" s="6">
        <f>IFERROR(__xludf.DUMMYFUNCTION("""COMPUTED_VALUE"""),0.6920717592583969)</f>
        <v>0.6920717593</v>
      </c>
      <c r="D12598" s="4">
        <f>IFERROR(__xludf.DUMMYFUNCTION("""COMPUTED_VALUE"""),12.860256)</f>
        <v>12.860256</v>
      </c>
      <c r="E12598" s="4">
        <f>IFERROR(__xludf.DUMMYFUNCTION("""COMPUTED_VALUE"""),80.072542)</f>
        <v>80.072542</v>
      </c>
      <c r="F12598" s="4">
        <f>IFERROR(__xludf.DUMMYFUNCTION("""COMPUTED_VALUE"""),805.0)</f>
        <v>805</v>
      </c>
      <c r="G12598" s="4">
        <f>IFERROR(__xludf.DUMMYFUNCTION("""COMPUTED_VALUE"""),0.0)</f>
        <v>0</v>
      </c>
      <c r="H12598" s="4"/>
      <c r="I12598" s="4"/>
    </row>
    <row r="12599">
      <c r="A12599" s="4" t="str">
        <f>IFERROR(__xludf.DUMMYFUNCTION("""COMPUTED_VALUE"""),"cas_hmw")</f>
        <v>cas_hmw</v>
      </c>
      <c r="B12599" s="5">
        <f>IFERROR(__xludf.DUMMYFUNCTION("""COMPUTED_VALUE"""),44714.0)</f>
        <v>44714</v>
      </c>
      <c r="C12599" s="6">
        <f>IFERROR(__xludf.DUMMYFUNCTION("""COMPUTED_VALUE"""),0.6922337962969323)</f>
        <v>0.6922337963</v>
      </c>
      <c r="D12599" s="4">
        <f>IFERROR(__xludf.DUMMYFUNCTION("""COMPUTED_VALUE"""),12.8597)</f>
        <v>12.8597</v>
      </c>
      <c r="E12599" s="4">
        <f>IFERROR(__xludf.DUMMYFUNCTION("""COMPUTED_VALUE"""),80.07213)</f>
        <v>80.07213</v>
      </c>
      <c r="F12599" s="4">
        <f>IFERROR(__xludf.DUMMYFUNCTION("""COMPUTED_VALUE"""),805.0)</f>
        <v>805</v>
      </c>
      <c r="G12599" s="4">
        <f>IFERROR(__xludf.DUMMYFUNCTION("""COMPUTED_VALUE"""),24.0)</f>
        <v>24</v>
      </c>
      <c r="H12599" s="4"/>
      <c r="I12599" s="4"/>
    </row>
    <row r="12600">
      <c r="A12600" s="4" t="str">
        <f>IFERROR(__xludf.DUMMYFUNCTION("""COMPUTED_VALUE"""),"cas_hmw")</f>
        <v>cas_hmw</v>
      </c>
      <c r="B12600" s="5">
        <f>IFERROR(__xludf.DUMMYFUNCTION("""COMPUTED_VALUE"""),44714.0)</f>
        <v>44714</v>
      </c>
      <c r="C12600" s="6">
        <f>IFERROR(__xludf.DUMMYFUNCTION("""COMPUTED_VALUE"""),0.692349537035625)</f>
        <v>0.692349537</v>
      </c>
      <c r="D12600" s="4">
        <f>IFERROR(__xludf.DUMMYFUNCTION("""COMPUTED_VALUE"""),12.858147)</f>
        <v>12.858147</v>
      </c>
      <c r="E12600" s="4">
        <f>IFERROR(__xludf.DUMMYFUNCTION("""COMPUTED_VALUE"""),80.070966)</f>
        <v>80.070966</v>
      </c>
      <c r="F12600" s="4">
        <f>IFERROR(__xludf.DUMMYFUNCTION("""COMPUTED_VALUE"""),805.0)</f>
        <v>805</v>
      </c>
      <c r="G12600" s="4">
        <f>IFERROR(__xludf.DUMMYFUNCTION("""COMPUTED_VALUE"""),43.0)</f>
        <v>43</v>
      </c>
      <c r="H12600" s="4"/>
      <c r="I12600" s="4"/>
    </row>
    <row r="12601">
      <c r="A12601" s="4" t="str">
        <f>IFERROR(__xludf.DUMMYFUNCTION("""COMPUTED_VALUE"""),"cas_hmw")</f>
        <v>cas_hmw</v>
      </c>
      <c r="B12601" s="5">
        <f>IFERROR(__xludf.DUMMYFUNCTION("""COMPUTED_VALUE"""),44714.0)</f>
        <v>44714</v>
      </c>
      <c r="C12601" s="6">
        <f>IFERROR(__xludf.DUMMYFUNCTION("""COMPUTED_VALUE"""),0.6924074074086093)</f>
        <v>0.6924074074</v>
      </c>
      <c r="D12601" s="4">
        <f>IFERROR(__xludf.DUMMYFUNCTION("""COMPUTED_VALUE"""),12.856496)</f>
        <v>12.856496</v>
      </c>
      <c r="E12601" s="4">
        <f>IFERROR(__xludf.DUMMYFUNCTION("""COMPUTED_VALUE"""),80.069688)</f>
        <v>80.069688</v>
      </c>
      <c r="F12601" s="4">
        <f>IFERROR(__xludf.DUMMYFUNCTION("""COMPUTED_VALUE"""),805.0)</f>
        <v>805</v>
      </c>
      <c r="G12601" s="4">
        <f>IFERROR(__xludf.DUMMYFUNCTION("""COMPUTED_VALUE"""),40.0)</f>
        <v>40</v>
      </c>
      <c r="H12601" s="4"/>
      <c r="I12601" s="4"/>
    </row>
    <row r="12602">
      <c r="A12602" s="4" t="str">
        <f>IFERROR(__xludf.DUMMYFUNCTION("""COMPUTED_VALUE"""),"cas_hmw")</f>
        <v>cas_hmw</v>
      </c>
      <c r="B12602" s="5">
        <f>IFERROR(__xludf.DUMMYFUNCTION("""COMPUTED_VALUE"""),44714.0)</f>
        <v>44714</v>
      </c>
      <c r="C12602" s="6">
        <f>IFERROR(__xludf.DUMMYFUNCTION("""COMPUTED_VALUE"""),0.6924768518510973)</f>
        <v>0.6924768519</v>
      </c>
      <c r="D12602" s="4">
        <f>IFERROR(__xludf.DUMMYFUNCTION("""COMPUTED_VALUE"""),12.894458)</f>
        <v>12.894458</v>
      </c>
      <c r="E12602" s="4">
        <f>IFERROR(__xludf.DUMMYFUNCTION("""COMPUTED_VALUE"""),80.087172)</f>
        <v>80.087172</v>
      </c>
      <c r="F12602" s="4">
        <f>IFERROR(__xludf.DUMMYFUNCTION("""COMPUTED_VALUE"""),2846.0)</f>
        <v>2846</v>
      </c>
      <c r="G12602" s="4">
        <f>IFERROR(__xludf.DUMMYFUNCTION("""COMPUTED_VALUE"""),57.0)</f>
        <v>57</v>
      </c>
      <c r="H12602" s="4"/>
      <c r="I12602" s="4"/>
    </row>
    <row r="12603">
      <c r="A12603" s="4" t="str">
        <f>IFERROR(__xludf.DUMMYFUNCTION("""COMPUTED_VALUE"""),"cas_hmw")</f>
        <v>cas_hmw</v>
      </c>
      <c r="B12603" s="5">
        <f>IFERROR(__xludf.DUMMYFUNCTION("""COMPUTED_VALUE"""),44714.0)</f>
        <v>44714</v>
      </c>
      <c r="C12603" s="6">
        <f>IFERROR(__xludf.DUMMYFUNCTION("""COMPUTED_VALUE"""),0.6928587962975143)</f>
        <v>0.6928587963</v>
      </c>
      <c r="D12603" s="4">
        <f>IFERROR(__xludf.DUMMYFUNCTION("""COMPUTED_VALUE"""),12.852223)</f>
        <v>12.852223</v>
      </c>
      <c r="E12603" s="4">
        <f>IFERROR(__xludf.DUMMYFUNCTION("""COMPUTED_VALUE"""),80.066504)</f>
        <v>80.066504</v>
      </c>
      <c r="F12603" s="4">
        <f>IFERROR(__xludf.DUMMYFUNCTION("""COMPUTED_VALUE"""),805.0)</f>
        <v>805</v>
      </c>
      <c r="G12603" s="4">
        <f>IFERROR(__xludf.DUMMYFUNCTION("""COMPUTED_VALUE"""),58.0)</f>
        <v>58</v>
      </c>
      <c r="H12603" s="4"/>
      <c r="I12603" s="4"/>
    </row>
    <row r="12604">
      <c r="A12604" s="4" t="str">
        <f>IFERROR(__xludf.DUMMYFUNCTION("""COMPUTED_VALUE"""),"cas_hmw")</f>
        <v>cas_hmw</v>
      </c>
      <c r="B12604" s="5">
        <f>IFERROR(__xludf.DUMMYFUNCTION("""COMPUTED_VALUE"""),44714.0)</f>
        <v>44714</v>
      </c>
      <c r="C12604" s="6">
        <f>IFERROR(__xludf.DUMMYFUNCTION("""COMPUTED_VALUE"""),0.6954050925924093)</f>
        <v>0.6954050926</v>
      </c>
      <c r="D12604" s="4">
        <f>IFERROR(__xludf.DUMMYFUNCTION("""COMPUTED_VALUE"""),12.841198)</f>
        <v>12.841198</v>
      </c>
      <c r="E12604" s="4">
        <f>IFERROR(__xludf.DUMMYFUNCTION("""COMPUTED_VALUE"""),80.057023)</f>
        <v>80.057023</v>
      </c>
      <c r="F12604" s="4">
        <f>IFERROR(__xludf.DUMMYFUNCTION("""COMPUTED_VALUE"""),805.0)</f>
        <v>805</v>
      </c>
      <c r="G12604" s="4">
        <f>IFERROR(__xludf.DUMMYFUNCTION("""COMPUTED_VALUE"""),53.0)</f>
        <v>53</v>
      </c>
      <c r="H12604" s="4"/>
      <c r="I12604" s="4"/>
    </row>
    <row r="12605">
      <c r="A12605" s="4" t="str">
        <f>IFERROR(__xludf.DUMMYFUNCTION("""COMPUTED_VALUE"""),"cas_hmw")</f>
        <v>cas_hmw</v>
      </c>
      <c r="B12605" s="5">
        <f>IFERROR(__xludf.DUMMYFUNCTION("""COMPUTED_VALUE"""),44714.0)</f>
        <v>44714</v>
      </c>
      <c r="C12605" s="6">
        <f>IFERROR(__xludf.DUMMYFUNCTION("""COMPUTED_VALUE"""),0.6955787037040864)</f>
        <v>0.6955787037</v>
      </c>
      <c r="D12605" s="4">
        <f>IFERROR(__xludf.DUMMYFUNCTION("""COMPUTED_VALUE"""),12.840329)</f>
        <v>12.840329</v>
      </c>
      <c r="E12605" s="4">
        <f>IFERROR(__xludf.DUMMYFUNCTION("""COMPUTED_VALUE"""),80.056045)</f>
        <v>80.056045</v>
      </c>
      <c r="F12605" s="4">
        <f>IFERROR(__xludf.DUMMYFUNCTION("""COMPUTED_VALUE"""),805.0)</f>
        <v>805</v>
      </c>
      <c r="G12605" s="4">
        <f>IFERROR(__xludf.DUMMYFUNCTION("""COMPUTED_VALUE"""),48.0)</f>
        <v>48</v>
      </c>
      <c r="H12605" s="4"/>
      <c r="I12605" s="4"/>
    </row>
    <row r="12606">
      <c r="A12606" s="4" t="str">
        <f>IFERROR(__xludf.DUMMYFUNCTION("""COMPUTED_VALUE"""),"cas_hmw")</f>
        <v>cas_hmw</v>
      </c>
      <c r="B12606" s="5">
        <f>IFERROR(__xludf.DUMMYFUNCTION("""COMPUTED_VALUE"""),44714.0)</f>
        <v>44714</v>
      </c>
      <c r="C12606" s="6">
        <f>IFERROR(__xludf.DUMMYFUNCTION("""COMPUTED_VALUE"""),0.6967013888897782)</f>
        <v>0.6967013889</v>
      </c>
      <c r="D12606" s="4">
        <f>IFERROR(__xludf.DUMMYFUNCTION("""COMPUTED_VALUE"""),12.835469)</f>
        <v>12.835469</v>
      </c>
      <c r="E12606" s="4">
        <f>IFERROR(__xludf.DUMMYFUNCTION("""COMPUTED_VALUE"""),80.050982)</f>
        <v>80.050982</v>
      </c>
      <c r="F12606" s="4">
        <f>IFERROR(__xludf.DUMMYFUNCTION("""COMPUTED_VALUE"""),805.0)</f>
        <v>805</v>
      </c>
      <c r="G12606" s="4">
        <f>IFERROR(__xludf.DUMMYFUNCTION("""COMPUTED_VALUE"""),57.0)</f>
        <v>57</v>
      </c>
      <c r="H12606" s="4"/>
      <c r="I12606" s="4"/>
    </row>
    <row r="12607">
      <c r="A12607" s="4" t="str">
        <f>IFERROR(__xludf.DUMMYFUNCTION("""COMPUTED_VALUE"""),"cas_hmw")</f>
        <v>cas_hmw</v>
      </c>
      <c r="B12607" s="5">
        <f>IFERROR(__xludf.DUMMYFUNCTION("""COMPUTED_VALUE"""),44714.0)</f>
        <v>44714</v>
      </c>
      <c r="C12607" s="6">
        <f>IFERROR(__xludf.DUMMYFUNCTION("""COMPUTED_VALUE"""),0.6976967592599976)</f>
        <v>0.6976967593</v>
      </c>
      <c r="D12607" s="4">
        <f>IFERROR(__xludf.DUMMYFUNCTION("""COMPUTED_VALUE"""),12.83244)</f>
        <v>12.83244</v>
      </c>
      <c r="E12607" s="4">
        <f>IFERROR(__xludf.DUMMYFUNCTION("""COMPUTED_VALUE"""),80.047759)</f>
        <v>80.047759</v>
      </c>
      <c r="F12607" s="4">
        <f>IFERROR(__xludf.DUMMYFUNCTION("""COMPUTED_VALUE"""),805.0)</f>
        <v>805</v>
      </c>
      <c r="G12607" s="4">
        <f>IFERROR(__xludf.DUMMYFUNCTION("""COMPUTED_VALUE"""),58.0)</f>
        <v>58</v>
      </c>
      <c r="H12607" s="4"/>
      <c r="I12607" s="4"/>
    </row>
    <row r="12608">
      <c r="A12608" s="4" t="str">
        <f>IFERROR(__xludf.DUMMYFUNCTION("""COMPUTED_VALUE"""),"cas_hmw")</f>
        <v>cas_hmw</v>
      </c>
      <c r="B12608" s="5">
        <f>IFERROR(__xludf.DUMMYFUNCTION("""COMPUTED_VALUE"""),44714.0)</f>
        <v>44714</v>
      </c>
      <c r="C12608" s="6">
        <f>IFERROR(__xludf.DUMMYFUNCTION("""COMPUTED_VALUE"""),0.6976967592599976)</f>
        <v>0.6976967593</v>
      </c>
      <c r="D12608" s="4">
        <f>IFERROR(__xludf.DUMMYFUNCTION("""COMPUTED_VALUE"""),12.83244)</f>
        <v>12.83244</v>
      </c>
      <c r="E12608" s="4">
        <f>IFERROR(__xludf.DUMMYFUNCTION("""COMPUTED_VALUE"""),80.047759)</f>
        <v>80.047759</v>
      </c>
      <c r="F12608" s="4">
        <f>IFERROR(__xludf.DUMMYFUNCTION("""COMPUTED_VALUE"""),805.0)</f>
        <v>805</v>
      </c>
      <c r="G12608" s="4">
        <f>IFERROR(__xludf.DUMMYFUNCTION("""COMPUTED_VALUE"""),58.0)</f>
        <v>58</v>
      </c>
      <c r="H12608" s="4"/>
      <c r="I12608" s="4"/>
    </row>
    <row r="12609">
      <c r="A12609" s="4" t="str">
        <f>IFERROR(__xludf.DUMMYFUNCTION("""COMPUTED_VALUE"""),"cas_hmw")</f>
        <v>cas_hmw</v>
      </c>
      <c r="B12609" s="5">
        <f>IFERROR(__xludf.DUMMYFUNCTION("""COMPUTED_VALUE"""),44714.0)</f>
        <v>44714</v>
      </c>
      <c r="C12609" s="6">
        <f>IFERROR(__xludf.DUMMYFUNCTION("""COMPUTED_VALUE"""),0.6980787037027767)</f>
        <v>0.6980787037</v>
      </c>
      <c r="D12609" s="4">
        <f>IFERROR(__xludf.DUMMYFUNCTION("""COMPUTED_VALUE"""),12.829417)</f>
        <v>12.829417</v>
      </c>
      <c r="E12609" s="4">
        <f>IFERROR(__xludf.DUMMYFUNCTION("""COMPUTED_VALUE"""),80.044537)</f>
        <v>80.044537</v>
      </c>
      <c r="F12609" s="4">
        <f>IFERROR(__xludf.DUMMYFUNCTION("""COMPUTED_VALUE"""),805.0)</f>
        <v>805</v>
      </c>
      <c r="G12609" s="4">
        <f>IFERROR(__xludf.DUMMYFUNCTION("""COMPUTED_VALUE"""),58.0)</f>
        <v>58</v>
      </c>
      <c r="H12609" s="4"/>
      <c r="I12609" s="4"/>
    </row>
    <row r="12610">
      <c r="A12610" s="4" t="str">
        <f>IFERROR(__xludf.DUMMYFUNCTION("""COMPUTED_VALUE"""),"cas_hmw")</f>
        <v>cas_hmw</v>
      </c>
      <c r="B12610" s="5">
        <f>IFERROR(__xludf.DUMMYFUNCTION("""COMPUTED_VALUE"""),44714.0)</f>
        <v>44714</v>
      </c>
      <c r="C12610" s="6">
        <f>IFERROR(__xludf.DUMMYFUNCTION("""COMPUTED_VALUE"""),0.6982175925913907)</f>
        <v>0.6982175926</v>
      </c>
      <c r="D12610" s="4">
        <f>IFERROR(__xludf.DUMMYFUNCTION("""COMPUTED_VALUE"""),12.828406)</f>
        <v>12.828406</v>
      </c>
      <c r="E12610" s="4">
        <f>IFERROR(__xludf.DUMMYFUNCTION("""COMPUTED_VALUE"""),80.043498)</f>
        <v>80.043498</v>
      </c>
      <c r="F12610" s="4">
        <f>IFERROR(__xludf.DUMMYFUNCTION("""COMPUTED_VALUE"""),805.0)</f>
        <v>805</v>
      </c>
      <c r="G12610" s="4">
        <f>IFERROR(__xludf.DUMMYFUNCTION("""COMPUTED_VALUE"""),54.0)</f>
        <v>54</v>
      </c>
      <c r="H12610" s="4"/>
      <c r="I12610" s="4"/>
    </row>
    <row r="12611">
      <c r="A12611" s="4" t="str">
        <f>IFERROR(__xludf.DUMMYFUNCTION("""COMPUTED_VALUE"""),"cas_hmw")</f>
        <v>cas_hmw</v>
      </c>
      <c r="B12611" s="5">
        <f>IFERROR(__xludf.DUMMYFUNCTION("""COMPUTED_VALUE"""),44714.0)</f>
        <v>44714</v>
      </c>
      <c r="C12611" s="6">
        <f>IFERROR(__xludf.DUMMYFUNCTION("""COMPUTED_VALUE"""),0.6995486111118225)</f>
        <v>0.6995486111</v>
      </c>
      <c r="D12611" s="4">
        <f>IFERROR(__xludf.DUMMYFUNCTION("""COMPUTED_VALUE"""),12.926247)</f>
        <v>12.926247</v>
      </c>
      <c r="E12611" s="4">
        <f>IFERROR(__xludf.DUMMYFUNCTION("""COMPUTED_VALUE"""),80.117359)</f>
        <v>80.117359</v>
      </c>
      <c r="F12611" s="4">
        <f>IFERROR(__xludf.DUMMYFUNCTION("""COMPUTED_VALUE"""),2846.0)</f>
        <v>2846</v>
      </c>
      <c r="G12611" s="4">
        <f>IFERROR(__xludf.DUMMYFUNCTION("""COMPUTED_VALUE"""),4.0)</f>
        <v>4</v>
      </c>
      <c r="H12611" s="4"/>
      <c r="I12611" s="4"/>
    </row>
    <row r="12612">
      <c r="A12612" s="4" t="str">
        <f>IFERROR(__xludf.DUMMYFUNCTION("""COMPUTED_VALUE"""),"cas_hmw")</f>
        <v>cas_hmw</v>
      </c>
      <c r="B12612" s="5">
        <f>IFERROR(__xludf.DUMMYFUNCTION("""COMPUTED_VALUE"""),44714.0)</f>
        <v>44714</v>
      </c>
      <c r="C12612" s="6">
        <f>IFERROR(__xludf.DUMMYFUNCTION("""COMPUTED_VALUE"""),0.6996064814811689)</f>
        <v>0.6996064815</v>
      </c>
      <c r="D12612" s="4">
        <f>IFERROR(__xludf.DUMMYFUNCTION("""COMPUTED_VALUE"""),12.926336)</f>
        <v>12.926336</v>
      </c>
      <c r="E12612" s="4">
        <f>IFERROR(__xludf.DUMMYFUNCTION("""COMPUTED_VALUE"""),80.117448)</f>
        <v>80.117448</v>
      </c>
      <c r="F12612" s="4">
        <f>IFERROR(__xludf.DUMMYFUNCTION("""COMPUTED_VALUE"""),2846.0)</f>
        <v>2846</v>
      </c>
      <c r="G12612" s="4">
        <f>IFERROR(__xludf.DUMMYFUNCTION("""COMPUTED_VALUE"""),12.0)</f>
        <v>12</v>
      </c>
      <c r="H12612" s="4"/>
      <c r="I12612" s="4"/>
    </row>
    <row r="12613">
      <c r="A12613" s="4" t="str">
        <f>IFERROR(__xludf.DUMMYFUNCTION("""COMPUTED_VALUE"""),"cas_hmw")</f>
        <v>cas_hmw</v>
      </c>
      <c r="B12613" s="5">
        <f>IFERROR(__xludf.DUMMYFUNCTION("""COMPUTED_VALUE"""),44714.0)</f>
        <v>44714</v>
      </c>
      <c r="C12613" s="6">
        <f>IFERROR(__xludf.DUMMYFUNCTION("""COMPUTED_VALUE"""),0.7004166666665697)</f>
        <v>0.7004166667</v>
      </c>
      <c r="D12613" s="4">
        <f>IFERROR(__xludf.DUMMYFUNCTION("""COMPUTED_VALUE"""),12.799092)</f>
        <v>12.799092</v>
      </c>
      <c r="E12613" s="4">
        <f>IFERROR(__xludf.DUMMYFUNCTION("""COMPUTED_VALUE"""),80.022863)</f>
        <v>80.022863</v>
      </c>
      <c r="F12613" s="4">
        <f>IFERROR(__xludf.DUMMYFUNCTION("""COMPUTED_VALUE"""),805.0)</f>
        <v>805</v>
      </c>
      <c r="G12613" s="4">
        <f>IFERROR(__xludf.DUMMYFUNCTION("""COMPUTED_VALUE"""),30.0)</f>
        <v>30</v>
      </c>
      <c r="H12613" s="4"/>
      <c r="I12613" s="4"/>
    </row>
    <row r="12614">
      <c r="A12614" s="4" t="str">
        <f>IFERROR(__xludf.DUMMYFUNCTION("""COMPUTED_VALUE"""),"cas_hmw")</f>
        <v>cas_hmw</v>
      </c>
      <c r="B12614" s="5">
        <f>IFERROR(__xludf.DUMMYFUNCTION("""COMPUTED_VALUE"""),44714.0)</f>
        <v>44714</v>
      </c>
      <c r="C12614" s="6">
        <f>IFERROR(__xludf.DUMMYFUNCTION("""COMPUTED_VALUE"""),0.7008449074091914)</f>
        <v>0.7008449074</v>
      </c>
      <c r="D12614" s="4">
        <f>IFERROR(__xludf.DUMMYFUNCTION("""COMPUTED_VALUE"""),12.794756)</f>
        <v>12.794756</v>
      </c>
      <c r="E12614" s="4">
        <f>IFERROR(__xludf.DUMMYFUNCTION("""COMPUTED_VALUE"""),80.020023)</f>
        <v>80.020023</v>
      </c>
      <c r="F12614" s="4">
        <f>IFERROR(__xludf.DUMMYFUNCTION("""COMPUTED_VALUE"""),805.0)</f>
        <v>805</v>
      </c>
      <c r="G12614" s="4">
        <f>IFERROR(__xludf.DUMMYFUNCTION("""COMPUTED_VALUE"""),58.0)</f>
        <v>58</v>
      </c>
      <c r="H12614" s="4"/>
      <c r="I12614" s="4"/>
    </row>
    <row r="12615">
      <c r="A12615" s="4" t="str">
        <f>IFERROR(__xludf.DUMMYFUNCTION("""COMPUTED_VALUE"""),"cas_hmw")</f>
        <v>cas_hmw</v>
      </c>
      <c r="B12615" s="5">
        <f>IFERROR(__xludf.DUMMYFUNCTION("""COMPUTED_VALUE"""),44714.0)</f>
        <v>44714</v>
      </c>
      <c r="C12615" s="6">
        <f>IFERROR(__xludf.DUMMYFUNCTION("""COMPUTED_VALUE"""),0.7027893518534256)</f>
        <v>0.7027893519</v>
      </c>
      <c r="D12615" s="4">
        <f>IFERROR(__xludf.DUMMYFUNCTION("""COMPUTED_VALUE"""),12.945341)</f>
        <v>12.945341</v>
      </c>
      <c r="E12615" s="4">
        <f>IFERROR(__xludf.DUMMYFUNCTION("""COMPUTED_VALUE"""),80.13554)</f>
        <v>80.13554</v>
      </c>
      <c r="F12615" s="4">
        <f>IFERROR(__xludf.DUMMYFUNCTION("""COMPUTED_VALUE"""),2846.0)</f>
        <v>2846</v>
      </c>
      <c r="G12615" s="4">
        <f>IFERROR(__xludf.DUMMYFUNCTION("""COMPUTED_VALUE"""),56.0)</f>
        <v>56</v>
      </c>
      <c r="H12615" s="4"/>
      <c r="I12615" s="4"/>
    </row>
    <row r="12616">
      <c r="A12616" s="4" t="str">
        <f>IFERROR(__xludf.DUMMYFUNCTION("""COMPUTED_VALUE"""),"cas_hmw")</f>
        <v>cas_hmw</v>
      </c>
      <c r="B12616" s="5">
        <f>IFERROR(__xludf.DUMMYFUNCTION("""COMPUTED_VALUE"""),44714.0)</f>
        <v>44714</v>
      </c>
      <c r="C12616" s="6">
        <f>IFERROR(__xludf.DUMMYFUNCTION("""COMPUTED_VALUE"""),0.7031018518500787)</f>
        <v>0.7031018519</v>
      </c>
      <c r="D12616" s="4">
        <f>IFERROR(__xludf.DUMMYFUNCTION("""COMPUTED_VALUE"""),12.773309)</f>
        <v>12.773309</v>
      </c>
      <c r="E12616" s="4">
        <f>IFERROR(__xludf.DUMMYFUNCTION("""COMPUTED_VALUE"""),80.008812)</f>
        <v>80.008812</v>
      </c>
      <c r="F12616" s="4">
        <f>IFERROR(__xludf.DUMMYFUNCTION("""COMPUTED_VALUE"""),805.0)</f>
        <v>805</v>
      </c>
      <c r="G12616" s="4">
        <f>IFERROR(__xludf.DUMMYFUNCTION("""COMPUTED_VALUE"""),50.0)</f>
        <v>50</v>
      </c>
      <c r="H12616" s="4"/>
      <c r="I12616" s="4"/>
    </row>
    <row r="12617">
      <c r="A12617" s="4" t="str">
        <f>IFERROR(__xludf.DUMMYFUNCTION("""COMPUTED_VALUE"""),"cas_hmw")</f>
        <v>cas_hmw</v>
      </c>
      <c r="B12617" s="5">
        <f>IFERROR(__xludf.DUMMYFUNCTION("""COMPUTED_VALUE"""),44714.0)</f>
        <v>44714</v>
      </c>
      <c r="C12617" s="6">
        <f>IFERROR(__xludf.DUMMYFUNCTION("""COMPUTED_VALUE"""),0.7032175925924093)</f>
        <v>0.7032175926</v>
      </c>
      <c r="D12617" s="4">
        <f>IFERROR(__xludf.DUMMYFUNCTION("""COMPUTED_VALUE"""),12.77088)</f>
        <v>12.77088</v>
      </c>
      <c r="E12617" s="4">
        <f>IFERROR(__xludf.DUMMYFUNCTION("""COMPUTED_VALUE"""),80.007704)</f>
        <v>80.007704</v>
      </c>
      <c r="F12617" s="4">
        <f>IFERROR(__xludf.DUMMYFUNCTION("""COMPUTED_VALUE"""),805.0)</f>
        <v>805</v>
      </c>
      <c r="G12617" s="4">
        <f>IFERROR(__xludf.DUMMYFUNCTION("""COMPUTED_VALUE"""),36.0)</f>
        <v>36</v>
      </c>
      <c r="H12617" s="4"/>
      <c r="I12617" s="4"/>
    </row>
    <row r="12618">
      <c r="A12618" s="4" t="str">
        <f>IFERROR(__xludf.DUMMYFUNCTION("""COMPUTED_VALUE"""),"cas_hmw")</f>
        <v>cas_hmw</v>
      </c>
      <c r="B12618" s="5">
        <f>IFERROR(__xludf.DUMMYFUNCTION("""COMPUTED_VALUE"""),44714.0)</f>
        <v>44714</v>
      </c>
      <c r="C12618" s="6">
        <f>IFERROR(__xludf.DUMMYFUNCTION("""COMPUTED_VALUE"""),0.7040972222239361)</f>
        <v>0.7040972222</v>
      </c>
      <c r="D12618" s="4">
        <f>IFERROR(__xludf.DUMMYFUNCTION("""COMPUTED_VALUE"""),12.95187)</f>
        <v>12.95187</v>
      </c>
      <c r="E12618" s="4">
        <f>IFERROR(__xludf.DUMMYFUNCTION("""COMPUTED_VALUE"""),80.140538)</f>
        <v>80.140538</v>
      </c>
      <c r="F12618" s="4">
        <f>IFERROR(__xludf.DUMMYFUNCTION("""COMPUTED_VALUE"""),2846.0)</f>
        <v>2846</v>
      </c>
      <c r="G12618" s="4">
        <f>IFERROR(__xludf.DUMMYFUNCTION("""COMPUTED_VALUE"""),50.0)</f>
        <v>50</v>
      </c>
      <c r="H12618" s="4"/>
      <c r="I12618" s="4"/>
    </row>
    <row r="12619">
      <c r="A12619" s="4" t="str">
        <f>IFERROR(__xludf.DUMMYFUNCTION("""COMPUTED_VALUE"""),"cas_hmw")</f>
        <v>cas_hmw</v>
      </c>
      <c r="B12619" s="5">
        <f>IFERROR(__xludf.DUMMYFUNCTION("""COMPUTED_VALUE"""),44714.0)</f>
        <v>44714</v>
      </c>
      <c r="C12619" s="6">
        <f>IFERROR(__xludf.DUMMYFUNCTION("""COMPUTED_VALUE"""),0.7051620370366436)</f>
        <v>0.705162037</v>
      </c>
      <c r="D12619" s="4">
        <f>IFERROR(__xludf.DUMMYFUNCTION("""COMPUTED_VALUE"""),12.756846)</f>
        <v>12.756846</v>
      </c>
      <c r="E12619" s="4">
        <f>IFERROR(__xludf.DUMMYFUNCTION("""COMPUTED_VALUE"""),80.002348)</f>
        <v>80.002348</v>
      </c>
      <c r="F12619" s="4">
        <f>IFERROR(__xludf.DUMMYFUNCTION("""COMPUTED_VALUE"""),805.0)</f>
        <v>805</v>
      </c>
      <c r="G12619" s="4">
        <f>IFERROR(__xludf.DUMMYFUNCTION("""COMPUTED_VALUE"""),57.0)</f>
        <v>57</v>
      </c>
      <c r="H12619" s="4"/>
      <c r="I12619" s="4"/>
    </row>
    <row r="12620">
      <c r="A12620" s="4" t="str">
        <f>IFERROR(__xludf.DUMMYFUNCTION("""COMPUTED_VALUE"""),"cas_hmw")</f>
        <v>cas_hmw</v>
      </c>
      <c r="B12620" s="5">
        <f>IFERROR(__xludf.DUMMYFUNCTION("""COMPUTED_VALUE"""),44714.0)</f>
        <v>44714</v>
      </c>
      <c r="C12620" s="6">
        <f>IFERROR(__xludf.DUMMYFUNCTION("""COMPUTED_VALUE"""),0.7053356481483206)</f>
        <v>0.7053356481</v>
      </c>
      <c r="D12620" s="4">
        <f>IFERROR(__xludf.DUMMYFUNCTION("""COMPUTED_VALUE"""),12.957264)</f>
        <v>12.957264</v>
      </c>
      <c r="E12620" s="4">
        <f>IFERROR(__xludf.DUMMYFUNCTION("""COMPUTED_VALUE"""),80.143684)</f>
        <v>80.143684</v>
      </c>
      <c r="F12620" s="4">
        <f>IFERROR(__xludf.DUMMYFUNCTION("""COMPUTED_VALUE"""),2846.0)</f>
        <v>2846</v>
      </c>
      <c r="G12620" s="4">
        <f>IFERROR(__xludf.DUMMYFUNCTION("""COMPUTED_VALUE"""),18.0)</f>
        <v>18</v>
      </c>
      <c r="H12620" s="4"/>
      <c r="I12620" s="4"/>
    </row>
    <row r="12621">
      <c r="A12621" s="4" t="str">
        <f>IFERROR(__xludf.DUMMYFUNCTION("""COMPUTED_VALUE"""),"cas_hmw")</f>
        <v>cas_hmw</v>
      </c>
      <c r="B12621" s="5">
        <f>IFERROR(__xludf.DUMMYFUNCTION("""COMPUTED_VALUE"""),44714.0)</f>
        <v>44714</v>
      </c>
      <c r="C12621" s="6">
        <f>IFERROR(__xludf.DUMMYFUNCTION("""COMPUTED_VALUE"""),0.7069328703692008)</f>
        <v>0.7069328704</v>
      </c>
      <c r="D12621" s="4">
        <f>IFERROR(__xludf.DUMMYFUNCTION("""COMPUTED_VALUE"""),12.965357)</f>
        <v>12.965357</v>
      </c>
      <c r="E12621" s="4">
        <f>IFERROR(__xludf.DUMMYFUNCTION("""COMPUTED_VALUE"""),80.148042)</f>
        <v>80.148042</v>
      </c>
      <c r="F12621" s="4">
        <f>IFERROR(__xludf.DUMMYFUNCTION("""COMPUTED_VALUE"""),2846.0)</f>
        <v>2846</v>
      </c>
      <c r="G12621" s="4">
        <f>IFERROR(__xludf.DUMMYFUNCTION("""COMPUTED_VALUE"""),30.0)</f>
        <v>30</v>
      </c>
      <c r="H12621" s="4"/>
      <c r="I12621" s="4"/>
    </row>
    <row r="12622">
      <c r="A12622" s="4" t="str">
        <f>IFERROR(__xludf.DUMMYFUNCTION("""COMPUTED_VALUE"""),"cas_hmw")</f>
        <v>cas_hmw</v>
      </c>
      <c r="B12622" s="5">
        <f>IFERROR(__xludf.DUMMYFUNCTION("""COMPUTED_VALUE"""),44714.0)</f>
        <v>44714</v>
      </c>
      <c r="C12622" s="6">
        <f>IFERROR(__xludf.DUMMYFUNCTION("""COMPUTED_VALUE"""),0.7071064814808778)</f>
        <v>0.7071064815</v>
      </c>
      <c r="D12622" s="4">
        <f>IFERROR(__xludf.DUMMYFUNCTION("""COMPUTED_VALUE"""),12.965357)</f>
        <v>12.965357</v>
      </c>
      <c r="E12622" s="4">
        <f>IFERROR(__xludf.DUMMYFUNCTION("""COMPUTED_VALUE"""),80.148042)</f>
        <v>80.148042</v>
      </c>
      <c r="F12622" s="4">
        <f>IFERROR(__xludf.DUMMYFUNCTION("""COMPUTED_VALUE"""),2846.0)</f>
        <v>2846</v>
      </c>
      <c r="G12622" s="4">
        <f>IFERROR(__xludf.DUMMYFUNCTION("""COMPUTED_VALUE"""),30.0)</f>
        <v>30</v>
      </c>
      <c r="H12622" s="4"/>
      <c r="I12622" s="4"/>
    </row>
    <row r="12623">
      <c r="A12623" s="4" t="str">
        <f>IFERROR(__xludf.DUMMYFUNCTION("""COMPUTED_VALUE"""),"cas_hmw")</f>
        <v>cas_hmw</v>
      </c>
      <c r="B12623" s="5">
        <f>IFERROR(__xludf.DUMMYFUNCTION("""COMPUTED_VALUE"""),44714.0)</f>
        <v>44714</v>
      </c>
      <c r="C12623" s="6">
        <f>IFERROR(__xludf.DUMMYFUNCTION("""COMPUTED_VALUE"""),0.7073611111118225)</f>
        <v>0.7073611111</v>
      </c>
      <c r="D12623" s="4">
        <f>IFERROR(__xludf.DUMMYFUNCTION("""COMPUTED_VALUE"""),12.743122)</f>
        <v>12.743122</v>
      </c>
      <c r="E12623" s="4">
        <f>IFERROR(__xludf.DUMMYFUNCTION("""COMPUTED_VALUE"""),79.992531)</f>
        <v>79.992531</v>
      </c>
      <c r="F12623" s="4">
        <f>IFERROR(__xludf.DUMMYFUNCTION("""COMPUTED_VALUE"""),805.0)</f>
        <v>805</v>
      </c>
      <c r="G12623" s="4">
        <f>IFERROR(__xludf.DUMMYFUNCTION("""COMPUTED_VALUE"""),0.0)</f>
        <v>0</v>
      </c>
      <c r="H12623" s="4"/>
      <c r="I12623" s="4"/>
    </row>
    <row r="12624">
      <c r="A12624" s="4" t="str">
        <f>IFERROR(__xludf.DUMMYFUNCTION("""COMPUTED_VALUE"""),"cas_hmw")</f>
        <v>cas_hmw</v>
      </c>
      <c r="B12624" s="5">
        <f>IFERROR(__xludf.DUMMYFUNCTION("""COMPUTED_VALUE"""),44714.0)</f>
        <v>44714</v>
      </c>
      <c r="C12624" s="6">
        <f>IFERROR(__xludf.DUMMYFUNCTION("""COMPUTED_VALUE"""),0.7074421296310902)</f>
        <v>0.7074421296</v>
      </c>
      <c r="D12624" s="4">
        <f>IFERROR(__xludf.DUMMYFUNCTION("""COMPUTED_VALUE"""),12.966102)</f>
        <v>12.966102</v>
      </c>
      <c r="E12624" s="4">
        <f>IFERROR(__xludf.DUMMYFUNCTION("""COMPUTED_VALUE"""),80.148442)</f>
        <v>80.148442</v>
      </c>
      <c r="F12624" s="4">
        <f>IFERROR(__xludf.DUMMYFUNCTION("""COMPUTED_VALUE"""),2846.0)</f>
        <v>2846</v>
      </c>
      <c r="G12624" s="4">
        <f>IFERROR(__xludf.DUMMYFUNCTION("""COMPUTED_VALUE"""),33.0)</f>
        <v>33</v>
      </c>
      <c r="H12624" s="4"/>
      <c r="I12624" s="4"/>
    </row>
    <row r="12625">
      <c r="A12625" s="4" t="str">
        <f>IFERROR(__xludf.DUMMYFUNCTION("""COMPUTED_VALUE"""),"cas_hmw")</f>
        <v>cas_hmw</v>
      </c>
      <c r="B12625" s="5">
        <f>IFERROR(__xludf.DUMMYFUNCTION("""COMPUTED_VALUE"""),44714.0)</f>
        <v>44714</v>
      </c>
      <c r="C12625" s="6">
        <f>IFERROR(__xludf.DUMMYFUNCTION("""COMPUTED_VALUE"""),0.7075231481467199)</f>
        <v>0.7075231481</v>
      </c>
      <c r="D12625" s="4">
        <f>IFERROR(__xludf.DUMMYFUNCTION("""COMPUTED_VALUE"""),12.966102)</f>
        <v>12.966102</v>
      </c>
      <c r="E12625" s="4">
        <f>IFERROR(__xludf.DUMMYFUNCTION("""COMPUTED_VALUE"""),80.148442)</f>
        <v>80.148442</v>
      </c>
      <c r="F12625" s="4">
        <f>IFERROR(__xludf.DUMMYFUNCTION("""COMPUTED_VALUE"""),2846.0)</f>
        <v>2846</v>
      </c>
      <c r="G12625" s="4">
        <f>IFERROR(__xludf.DUMMYFUNCTION("""COMPUTED_VALUE"""),33.0)</f>
        <v>33</v>
      </c>
      <c r="H12625" s="4"/>
      <c r="I12625" s="4"/>
    </row>
    <row r="12626">
      <c r="A12626" s="4" t="str">
        <f>IFERROR(__xludf.DUMMYFUNCTION("""COMPUTED_VALUE"""),"cas_hmw")</f>
        <v>cas_hmw</v>
      </c>
      <c r="B12626" s="5">
        <f>IFERROR(__xludf.DUMMYFUNCTION("""COMPUTED_VALUE"""),44714.0)</f>
        <v>44714</v>
      </c>
      <c r="C12626" s="6">
        <f>IFERROR(__xludf.DUMMYFUNCTION("""COMPUTED_VALUE"""),0.7079050925931369)</f>
        <v>0.7079050926</v>
      </c>
      <c r="D12626" s="4">
        <f>IFERROR(__xludf.DUMMYFUNCTION("""COMPUTED_VALUE"""),12.743122)</f>
        <v>12.743122</v>
      </c>
      <c r="E12626" s="4">
        <f>IFERROR(__xludf.DUMMYFUNCTION("""COMPUTED_VALUE"""),79.992531)</f>
        <v>79.992531</v>
      </c>
      <c r="F12626" s="4">
        <f>IFERROR(__xludf.DUMMYFUNCTION("""COMPUTED_VALUE"""),805.0)</f>
        <v>805</v>
      </c>
      <c r="G12626" s="4">
        <f>IFERROR(__xludf.DUMMYFUNCTION("""COMPUTED_VALUE"""),0.0)</f>
        <v>0</v>
      </c>
      <c r="H12626" s="4"/>
      <c r="I12626" s="4"/>
    </row>
    <row r="12627">
      <c r="A12627" s="4" t="str">
        <f>IFERROR(__xludf.DUMMYFUNCTION("""COMPUTED_VALUE"""),"cas_hmw")</f>
        <v>cas_hmw</v>
      </c>
      <c r="B12627" s="5">
        <f>IFERROR(__xludf.DUMMYFUNCTION("""COMPUTED_VALUE"""),44714.0)</f>
        <v>44714</v>
      </c>
      <c r="C12627" s="6">
        <f>IFERROR(__xludf.DUMMYFUNCTION("""COMPUTED_VALUE"""),0.7083101851858373)</f>
        <v>0.7083101852</v>
      </c>
      <c r="D12627" s="4">
        <f>IFERROR(__xludf.DUMMYFUNCTION("""COMPUTED_VALUE"""),12.975643)</f>
        <v>12.975643</v>
      </c>
      <c r="E12627" s="4">
        <f>IFERROR(__xludf.DUMMYFUNCTION("""COMPUTED_VALUE"""),80.156426)</f>
        <v>80.156426</v>
      </c>
      <c r="F12627" s="4">
        <f>IFERROR(__xludf.DUMMYFUNCTION("""COMPUTED_VALUE"""),2846.0)</f>
        <v>2846</v>
      </c>
      <c r="G12627" s="4">
        <f>IFERROR(__xludf.DUMMYFUNCTION("""COMPUTED_VALUE"""),40.0)</f>
        <v>40</v>
      </c>
      <c r="H12627" s="4"/>
      <c r="I12627" s="4"/>
    </row>
    <row r="12628">
      <c r="A12628" s="4" t="str">
        <f>IFERROR(__xludf.DUMMYFUNCTION("""COMPUTED_VALUE"""),"cas_hmw")</f>
        <v>cas_hmw</v>
      </c>
      <c r="B12628" s="5">
        <f>IFERROR(__xludf.DUMMYFUNCTION("""COMPUTED_VALUE"""),44714.0)</f>
        <v>44714</v>
      </c>
      <c r="C12628" s="6">
        <f>IFERROR(__xludf.DUMMYFUNCTION("""COMPUTED_VALUE"""),0.708703703705396)</f>
        <v>0.7087037037</v>
      </c>
      <c r="D12628" s="4">
        <f>IFERROR(__xludf.DUMMYFUNCTION("""COMPUTED_VALUE"""),12.977543)</f>
        <v>12.977543</v>
      </c>
      <c r="E12628" s="4">
        <f>IFERROR(__xludf.DUMMYFUNCTION("""COMPUTED_VALUE"""),80.159315)</f>
        <v>80.159315</v>
      </c>
      <c r="F12628" s="4">
        <f>IFERROR(__xludf.DUMMYFUNCTION("""COMPUTED_VALUE"""),2846.0)</f>
        <v>2846</v>
      </c>
      <c r="G12628" s="4">
        <f>IFERROR(__xludf.DUMMYFUNCTION("""COMPUTED_VALUE"""),0.0)</f>
        <v>0</v>
      </c>
      <c r="H12628" s="4"/>
      <c r="I12628" s="4"/>
    </row>
    <row r="12629">
      <c r="A12629" s="4" t="str">
        <f>IFERROR(__xludf.DUMMYFUNCTION("""COMPUTED_VALUE"""),"cas_hmw")</f>
        <v>cas_hmw</v>
      </c>
      <c r="B12629" s="5">
        <f>IFERROR(__xludf.DUMMYFUNCTION("""COMPUTED_VALUE"""),44714.0)</f>
        <v>44714</v>
      </c>
      <c r="C12629" s="6">
        <f>IFERROR(__xludf.DUMMYFUNCTION("""COMPUTED_VALUE"""),0.7098958333335759)</f>
        <v>0.7098958333</v>
      </c>
      <c r="D12629" s="4">
        <f>IFERROR(__xludf.DUMMYFUNCTION("""COMPUTED_VALUE"""),12.722149)</f>
        <v>12.722149</v>
      </c>
      <c r="E12629" s="4">
        <f>IFERROR(__xludf.DUMMYFUNCTION("""COMPUTED_VALUE"""),79.981501)</f>
        <v>79.981501</v>
      </c>
      <c r="F12629" s="4">
        <f>IFERROR(__xludf.DUMMYFUNCTION("""COMPUTED_VALUE"""),805.0)</f>
        <v>805</v>
      </c>
      <c r="G12629" s="4">
        <f>IFERROR(__xludf.DUMMYFUNCTION("""COMPUTED_VALUE"""),38.0)</f>
        <v>38</v>
      </c>
      <c r="H12629" s="4"/>
      <c r="I12629" s="4"/>
    </row>
    <row r="12630">
      <c r="A12630" s="4" t="str">
        <f>IFERROR(__xludf.DUMMYFUNCTION("""COMPUTED_VALUE"""),"cas_hmw")</f>
        <v>cas_hmw</v>
      </c>
      <c r="B12630" s="5">
        <f>IFERROR(__xludf.DUMMYFUNCTION("""COMPUTED_VALUE"""),44714.0)</f>
        <v>44714</v>
      </c>
      <c r="C12630" s="6">
        <f>IFERROR(__xludf.DUMMYFUNCTION("""COMPUTED_VALUE"""),0.711041666665551)</f>
        <v>0.7110416667</v>
      </c>
      <c r="D12630" s="4">
        <f>IFERROR(__xludf.DUMMYFUNCTION("""COMPUTED_VALUE"""),12.709195)</f>
        <v>12.709195</v>
      </c>
      <c r="E12630" s="4">
        <f>IFERROR(__xludf.DUMMYFUNCTION("""COMPUTED_VALUE"""),79.977532)</f>
        <v>79.977532</v>
      </c>
      <c r="F12630" s="4">
        <f>IFERROR(__xludf.DUMMYFUNCTION("""COMPUTED_VALUE"""),805.0)</f>
        <v>805</v>
      </c>
      <c r="G12630" s="4">
        <f>IFERROR(__xludf.DUMMYFUNCTION("""COMPUTED_VALUE"""),49.0)</f>
        <v>49</v>
      </c>
      <c r="H12630" s="4"/>
      <c r="I12630" s="4"/>
    </row>
    <row r="12631">
      <c r="A12631" s="4" t="str">
        <f>IFERROR(__xludf.DUMMYFUNCTION("""COMPUTED_VALUE"""),"cas_hmw")</f>
        <v>cas_hmw</v>
      </c>
      <c r="B12631" s="5">
        <f>IFERROR(__xludf.DUMMYFUNCTION("""COMPUTED_VALUE"""),44714.0)</f>
        <v>44714</v>
      </c>
      <c r="C12631" s="6">
        <f>IFERROR(__xludf.DUMMYFUNCTION("""COMPUTED_VALUE"""),0.7118055555547471)</f>
        <v>0.7118055556</v>
      </c>
      <c r="D12631" s="4">
        <f>IFERROR(__xludf.DUMMYFUNCTION("""COMPUTED_VALUE"""),12.702714)</f>
        <v>12.702714</v>
      </c>
      <c r="E12631" s="4">
        <f>IFERROR(__xludf.DUMMYFUNCTION("""COMPUTED_VALUE"""),79.970937)</f>
        <v>79.970937</v>
      </c>
      <c r="F12631" s="4">
        <f>IFERROR(__xludf.DUMMYFUNCTION("""COMPUTED_VALUE"""),805.0)</f>
        <v>805</v>
      </c>
      <c r="G12631" s="4">
        <f>IFERROR(__xludf.DUMMYFUNCTION("""COMPUTED_VALUE"""),58.0)</f>
        <v>58</v>
      </c>
      <c r="H12631" s="4"/>
      <c r="I12631" s="4"/>
    </row>
    <row r="12632">
      <c r="A12632" s="4" t="str">
        <f>IFERROR(__xludf.DUMMYFUNCTION("""COMPUTED_VALUE"""),"cas_hmw")</f>
        <v>cas_hmw</v>
      </c>
      <c r="B12632" s="5">
        <f>IFERROR(__xludf.DUMMYFUNCTION("""COMPUTED_VALUE"""),44714.0)</f>
        <v>44714</v>
      </c>
      <c r="C12632" s="6">
        <f>IFERROR(__xludf.DUMMYFUNCTION("""COMPUTED_VALUE"""),0.7123958333322662)</f>
        <v>0.7123958333</v>
      </c>
      <c r="D12632" s="4">
        <f>IFERROR(__xludf.DUMMYFUNCTION("""COMPUTED_VALUE"""),12.991624)</f>
        <v>12.991624</v>
      </c>
      <c r="E12632" s="4">
        <f>IFERROR(__xludf.DUMMYFUNCTION("""COMPUTED_VALUE"""),80.181502)</f>
        <v>80.181502</v>
      </c>
      <c r="F12632" s="4">
        <f>IFERROR(__xludf.DUMMYFUNCTION("""COMPUTED_VALUE"""),2846.0)</f>
        <v>2846</v>
      </c>
      <c r="G12632" s="4">
        <f>IFERROR(__xludf.DUMMYFUNCTION("""COMPUTED_VALUE"""),46.0)</f>
        <v>46</v>
      </c>
      <c r="H12632" s="4"/>
      <c r="I12632" s="4"/>
    </row>
    <row r="12633">
      <c r="A12633" s="4" t="str">
        <f>IFERROR(__xludf.DUMMYFUNCTION("""COMPUTED_VALUE"""),"cas_hmw")</f>
        <v>cas_hmw</v>
      </c>
      <c r="B12633" s="5">
        <f>IFERROR(__xludf.DUMMYFUNCTION("""COMPUTED_VALUE"""),44714.0)</f>
        <v>44714</v>
      </c>
      <c r="C12633" s="6">
        <f>IFERROR(__xludf.DUMMYFUNCTION("""COMPUTED_VALUE"""),0.7146759259267128)</f>
        <v>0.7146759259</v>
      </c>
      <c r="D12633" s="4">
        <f>IFERROR(__xludf.DUMMYFUNCTION("""COMPUTED_VALUE"""),12.99811)</f>
        <v>12.99811</v>
      </c>
      <c r="E12633" s="4">
        <f>IFERROR(__xludf.DUMMYFUNCTION("""COMPUTED_VALUE"""),80.19169)</f>
        <v>80.19169</v>
      </c>
      <c r="F12633" s="4">
        <f>IFERROR(__xludf.DUMMYFUNCTION("""COMPUTED_VALUE"""),2846.0)</f>
        <v>2846</v>
      </c>
      <c r="G12633" s="4">
        <f>IFERROR(__xludf.DUMMYFUNCTION("""COMPUTED_VALUE"""),36.0)</f>
        <v>36</v>
      </c>
      <c r="H12633" s="4"/>
      <c r="I12633" s="4"/>
    </row>
    <row r="12634">
      <c r="A12634" s="4" t="str">
        <f>IFERROR(__xludf.DUMMYFUNCTION("""COMPUTED_VALUE"""),"cas_hmw")</f>
        <v>cas_hmw</v>
      </c>
      <c r="B12634" s="5">
        <f>IFERROR(__xludf.DUMMYFUNCTION("""COMPUTED_VALUE"""),44714.0)</f>
        <v>44714</v>
      </c>
      <c r="C12634" s="6">
        <f>IFERROR(__xludf.DUMMYFUNCTION("""COMPUTED_VALUE"""),0.7158101851855463)</f>
        <v>0.7158101852</v>
      </c>
      <c r="D12634" s="4">
        <f>IFERROR(__xludf.DUMMYFUNCTION("""COMPUTED_VALUE"""),12.693917)</f>
        <v>12.693917</v>
      </c>
      <c r="E12634" s="4">
        <f>IFERROR(__xludf.DUMMYFUNCTION("""COMPUTED_VALUE"""),79.979085)</f>
        <v>79.979085</v>
      </c>
      <c r="F12634" s="4">
        <f>IFERROR(__xludf.DUMMYFUNCTION("""COMPUTED_VALUE"""),805.0)</f>
        <v>805</v>
      </c>
      <c r="G12634" s="4">
        <f>IFERROR(__xludf.DUMMYFUNCTION("""COMPUTED_VALUE"""),15.0)</f>
        <v>15</v>
      </c>
      <c r="H12634" s="4"/>
      <c r="I12634" s="4"/>
    </row>
    <row r="12635">
      <c r="A12635" s="4" t="str">
        <f>IFERROR(__xludf.DUMMYFUNCTION("""COMPUTED_VALUE"""),"cas_hmw")</f>
        <v>cas_hmw</v>
      </c>
      <c r="B12635" s="5">
        <f>IFERROR(__xludf.DUMMYFUNCTION("""COMPUTED_VALUE"""),44714.0)</f>
        <v>44714</v>
      </c>
      <c r="C12635" s="6">
        <f>IFERROR(__xludf.DUMMYFUNCTION("""COMPUTED_VALUE"""),0.7158333333318296)</f>
        <v>0.7158333333</v>
      </c>
      <c r="D12635" s="4">
        <f>IFERROR(__xludf.DUMMYFUNCTION("""COMPUTED_VALUE"""),12.692939)</f>
        <v>12.692939</v>
      </c>
      <c r="E12635" s="4">
        <f>IFERROR(__xludf.DUMMYFUNCTION("""COMPUTED_VALUE"""),79.979533)</f>
        <v>79.979533</v>
      </c>
      <c r="F12635" s="4">
        <f>IFERROR(__xludf.DUMMYFUNCTION("""COMPUTED_VALUE"""),805.0)</f>
        <v>805</v>
      </c>
      <c r="G12635" s="4">
        <f>IFERROR(__xludf.DUMMYFUNCTION("""COMPUTED_VALUE"""),26.0)</f>
        <v>26</v>
      </c>
      <c r="H12635" s="4"/>
      <c r="I12635" s="4"/>
    </row>
    <row r="12636">
      <c r="A12636" s="4" t="str">
        <f>IFERROR(__xludf.DUMMYFUNCTION("""COMPUTED_VALUE"""),"cas_hmw")</f>
        <v>cas_hmw</v>
      </c>
      <c r="B12636" s="5">
        <f>IFERROR(__xludf.DUMMYFUNCTION("""COMPUTED_VALUE"""),44714.0)</f>
        <v>44714</v>
      </c>
      <c r="C12636" s="6">
        <f>IFERROR(__xludf.DUMMYFUNCTION("""COMPUTED_VALUE"""),0.7158333333318296)</f>
        <v>0.7158333333</v>
      </c>
      <c r="D12636" s="4">
        <f>IFERROR(__xludf.DUMMYFUNCTION("""COMPUTED_VALUE"""),12.692939)</f>
        <v>12.692939</v>
      </c>
      <c r="E12636" s="4">
        <f>IFERROR(__xludf.DUMMYFUNCTION("""COMPUTED_VALUE"""),79.979533)</f>
        <v>79.979533</v>
      </c>
      <c r="F12636" s="4">
        <f>IFERROR(__xludf.DUMMYFUNCTION("""COMPUTED_VALUE"""),805.0)</f>
        <v>805</v>
      </c>
      <c r="G12636" s="4">
        <f>IFERROR(__xludf.DUMMYFUNCTION("""COMPUTED_VALUE"""),26.0)</f>
        <v>26</v>
      </c>
      <c r="H12636" s="4"/>
      <c r="I12636" s="4"/>
    </row>
    <row r="12637">
      <c r="A12637" s="4" t="str">
        <f>IFERROR(__xludf.DUMMYFUNCTION("""COMPUTED_VALUE"""),"cas_hmw")</f>
        <v>cas_hmw</v>
      </c>
      <c r="B12637" s="5">
        <f>IFERROR(__xludf.DUMMYFUNCTION("""COMPUTED_VALUE"""),44714.0)</f>
        <v>44714</v>
      </c>
      <c r="C12637" s="6">
        <f>IFERROR(__xludf.DUMMYFUNCTION("""COMPUTED_VALUE"""),0.715925925924239)</f>
        <v>0.7159259259</v>
      </c>
      <c r="D12637" s="4">
        <f>IFERROR(__xludf.DUMMYFUNCTION("""COMPUTED_VALUE"""),12.692939)</f>
        <v>12.692939</v>
      </c>
      <c r="E12637" s="4">
        <f>IFERROR(__xludf.DUMMYFUNCTION("""COMPUTED_VALUE"""),79.979533)</f>
        <v>79.979533</v>
      </c>
      <c r="F12637" s="4">
        <f>IFERROR(__xludf.DUMMYFUNCTION("""COMPUTED_VALUE"""),805.0)</f>
        <v>805</v>
      </c>
      <c r="G12637" s="4">
        <f>IFERROR(__xludf.DUMMYFUNCTION("""COMPUTED_VALUE"""),26.0)</f>
        <v>26</v>
      </c>
      <c r="H12637" s="4"/>
      <c r="I12637" s="4"/>
    </row>
    <row r="12638">
      <c r="A12638" s="4" t="str">
        <f>IFERROR(__xludf.DUMMYFUNCTION("""COMPUTED_VALUE"""),"cas_hmw")</f>
        <v>cas_hmw</v>
      </c>
      <c r="B12638" s="5">
        <f>IFERROR(__xludf.DUMMYFUNCTION("""COMPUTED_VALUE"""),44714.0)</f>
        <v>44714</v>
      </c>
      <c r="C12638" s="6">
        <f>IFERROR(__xludf.DUMMYFUNCTION("""COMPUTED_VALUE"""),0.7161574074089003)</f>
        <v>0.7161574074</v>
      </c>
      <c r="D12638" s="4">
        <f>IFERROR(__xludf.DUMMYFUNCTION("""COMPUTED_VALUE"""),13.001967)</f>
        <v>13.001967</v>
      </c>
      <c r="E12638" s="4">
        <f>IFERROR(__xludf.DUMMYFUNCTION("""COMPUTED_VALUE"""),80.19856)</f>
        <v>80.19856</v>
      </c>
      <c r="F12638" s="4">
        <f>IFERROR(__xludf.DUMMYFUNCTION("""COMPUTED_VALUE"""),2846.0)</f>
        <v>2846</v>
      </c>
      <c r="G12638" s="4">
        <f>IFERROR(__xludf.DUMMYFUNCTION("""COMPUTED_VALUE"""),50.0)</f>
        <v>50</v>
      </c>
      <c r="H12638" s="4"/>
      <c r="I12638" s="4"/>
    </row>
    <row r="12639">
      <c r="A12639" s="4" t="str">
        <f>IFERROR(__xludf.DUMMYFUNCTION("""COMPUTED_VALUE"""),"cas_hmw")</f>
        <v>cas_hmw</v>
      </c>
      <c r="B12639" s="5">
        <f>IFERROR(__xludf.DUMMYFUNCTION("""COMPUTED_VALUE"""),44714.0)</f>
        <v>44714</v>
      </c>
      <c r="C12639" s="6">
        <f>IFERROR(__xludf.DUMMYFUNCTION("""COMPUTED_VALUE"""),0.7164930555554747)</f>
        <v>0.7164930556</v>
      </c>
      <c r="D12639" s="4">
        <f>IFERROR(__xludf.DUMMYFUNCTION("""COMPUTED_VALUE"""),12.690267)</f>
        <v>12.690267</v>
      </c>
      <c r="E12639" s="4">
        <f>IFERROR(__xludf.DUMMYFUNCTION("""COMPUTED_VALUE"""),79.98174)</f>
        <v>79.98174</v>
      </c>
      <c r="F12639" s="4">
        <f>IFERROR(__xludf.DUMMYFUNCTION("""COMPUTED_VALUE"""),805.0)</f>
        <v>805</v>
      </c>
      <c r="G12639" s="4">
        <f>IFERROR(__xludf.DUMMYFUNCTION("""COMPUTED_VALUE"""),31.0)</f>
        <v>31</v>
      </c>
      <c r="H12639" s="4"/>
      <c r="I12639" s="4"/>
    </row>
    <row r="12640">
      <c r="A12640" s="4" t="str">
        <f>IFERROR(__xludf.DUMMYFUNCTION("""COMPUTED_VALUE"""),"cas_hmw")</f>
        <v>cas_hmw</v>
      </c>
      <c r="B12640" s="5">
        <f>IFERROR(__xludf.DUMMYFUNCTION("""COMPUTED_VALUE"""),44714.0)</f>
        <v>44714</v>
      </c>
      <c r="C12640" s="6">
        <f>IFERROR(__xludf.DUMMYFUNCTION("""COMPUTED_VALUE"""),0.7166550925940101)</f>
        <v>0.7166550926</v>
      </c>
      <c r="D12640" s="4">
        <f>IFERROR(__xludf.DUMMYFUNCTION("""COMPUTED_VALUE"""),13.003804)</f>
        <v>13.003804</v>
      </c>
      <c r="E12640" s="4">
        <f>IFERROR(__xludf.DUMMYFUNCTION("""COMPUTED_VALUE"""),80.200898)</f>
        <v>80.200898</v>
      </c>
      <c r="F12640" s="4">
        <f>IFERROR(__xludf.DUMMYFUNCTION("""COMPUTED_VALUE"""),2846.0)</f>
        <v>2846</v>
      </c>
      <c r="G12640" s="4">
        <f>IFERROR(__xludf.DUMMYFUNCTION("""COMPUTED_VALUE"""),35.0)</f>
        <v>35</v>
      </c>
      <c r="H12640" s="4"/>
      <c r="I12640" s="4"/>
    </row>
    <row r="12641">
      <c r="A12641" s="4" t="str">
        <f>IFERROR(__xludf.DUMMYFUNCTION("""COMPUTED_VALUE"""),"cas_hmw")</f>
        <v>cas_hmw</v>
      </c>
      <c r="B12641" s="5">
        <f>IFERROR(__xludf.DUMMYFUNCTION("""COMPUTED_VALUE"""),44714.0)</f>
        <v>44714</v>
      </c>
      <c r="C12641" s="6">
        <f>IFERROR(__xludf.DUMMYFUNCTION("""COMPUTED_VALUE"""),0.7167476851864194)</f>
        <v>0.7167476852</v>
      </c>
      <c r="D12641" s="4">
        <f>IFERROR(__xludf.DUMMYFUNCTION("""COMPUTED_VALUE"""),13.003804)</f>
        <v>13.003804</v>
      </c>
      <c r="E12641" s="4">
        <f>IFERROR(__xludf.DUMMYFUNCTION("""COMPUTED_VALUE"""),80.200898)</f>
        <v>80.200898</v>
      </c>
      <c r="F12641" s="4">
        <f>IFERROR(__xludf.DUMMYFUNCTION("""COMPUTED_VALUE"""),2846.0)</f>
        <v>2846</v>
      </c>
      <c r="G12641" s="4">
        <f>IFERROR(__xludf.DUMMYFUNCTION("""COMPUTED_VALUE"""),35.0)</f>
        <v>35</v>
      </c>
      <c r="H12641" s="4"/>
      <c r="I12641" s="4"/>
    </row>
    <row r="12642">
      <c r="A12642" s="4" t="str">
        <f>IFERROR(__xludf.DUMMYFUNCTION("""COMPUTED_VALUE"""),"cas_hmw")</f>
        <v>cas_hmw</v>
      </c>
      <c r="B12642" s="5">
        <f>IFERROR(__xludf.DUMMYFUNCTION("""COMPUTED_VALUE"""),44714.0)</f>
        <v>44714</v>
      </c>
      <c r="C12642" s="6">
        <f>IFERROR(__xludf.DUMMYFUNCTION("""COMPUTED_VALUE"""),0.7167592592595611)</f>
        <v>0.7167592593</v>
      </c>
      <c r="D12642" s="4">
        <f>IFERROR(__xludf.DUMMYFUNCTION("""COMPUTED_VALUE"""),13.003804)</f>
        <v>13.003804</v>
      </c>
      <c r="E12642" s="4">
        <f>IFERROR(__xludf.DUMMYFUNCTION("""COMPUTED_VALUE"""),80.200898)</f>
        <v>80.200898</v>
      </c>
      <c r="F12642" s="4">
        <f>IFERROR(__xludf.DUMMYFUNCTION("""COMPUTED_VALUE"""),2846.0)</f>
        <v>2846</v>
      </c>
      <c r="G12642" s="4">
        <f>IFERROR(__xludf.DUMMYFUNCTION("""COMPUTED_VALUE"""),35.0)</f>
        <v>35</v>
      </c>
      <c r="H12642" s="4"/>
      <c r="I12642" s="4"/>
    </row>
    <row r="12643">
      <c r="A12643" s="4" t="str">
        <f>IFERROR(__xludf.DUMMYFUNCTION("""COMPUTED_VALUE"""),"cas_hmw")</f>
        <v>cas_hmw</v>
      </c>
      <c r="B12643" s="5">
        <f>IFERROR(__xludf.DUMMYFUNCTION("""COMPUTED_VALUE"""),44714.0)</f>
        <v>44714</v>
      </c>
      <c r="C12643" s="6">
        <f>IFERROR(__xludf.DUMMYFUNCTION("""COMPUTED_VALUE"""),0.7183101851842366)</f>
        <v>0.7183101852</v>
      </c>
      <c r="D12643" s="4">
        <f>IFERROR(__xludf.DUMMYFUNCTION("""COMPUTED_VALUE"""),13.007645)</f>
        <v>13.007645</v>
      </c>
      <c r="E12643" s="4">
        <f>IFERROR(__xludf.DUMMYFUNCTION("""COMPUTED_VALUE"""),80.204986)</f>
        <v>80.204986</v>
      </c>
      <c r="F12643" s="4">
        <f>IFERROR(__xludf.DUMMYFUNCTION("""COMPUTED_VALUE"""),2846.0)</f>
        <v>2846</v>
      </c>
      <c r="G12643" s="4">
        <f>IFERROR(__xludf.DUMMYFUNCTION("""COMPUTED_VALUE"""),59.0)</f>
        <v>59</v>
      </c>
      <c r="H12643" s="4"/>
      <c r="I12643" s="4"/>
    </row>
    <row r="12644">
      <c r="A12644" s="4" t="str">
        <f>IFERROR(__xludf.DUMMYFUNCTION("""COMPUTED_VALUE"""),"cas_hmw")</f>
        <v>cas_hmw</v>
      </c>
      <c r="B12644" s="5">
        <f>IFERROR(__xludf.DUMMYFUNCTION("""COMPUTED_VALUE"""),44714.0)</f>
        <v>44714</v>
      </c>
      <c r="C12644" s="6">
        <f>IFERROR(__xludf.DUMMYFUNCTION("""COMPUTED_VALUE"""),0.718993055554165)</f>
        <v>0.7189930556</v>
      </c>
      <c r="D12644" s="4">
        <f>IFERROR(__xludf.DUMMYFUNCTION("""COMPUTED_VALUE"""),13.010572)</f>
        <v>13.010572</v>
      </c>
      <c r="E12644" s="4">
        <f>IFERROR(__xludf.DUMMYFUNCTION("""COMPUTED_VALUE"""),80.216359)</f>
        <v>80.216359</v>
      </c>
      <c r="F12644" s="4">
        <f>IFERROR(__xludf.DUMMYFUNCTION("""COMPUTED_VALUE"""),2846.0)</f>
        <v>2846</v>
      </c>
      <c r="G12644" s="4">
        <f>IFERROR(__xludf.DUMMYFUNCTION("""COMPUTED_VALUE"""),43.0)</f>
        <v>43</v>
      </c>
      <c r="H12644" s="4"/>
      <c r="I12644" s="4"/>
    </row>
    <row r="12645">
      <c r="A12645" s="4" t="str">
        <f>IFERROR(__xludf.DUMMYFUNCTION("""COMPUTED_VALUE"""),"cas_hmw")</f>
        <v>cas_hmw</v>
      </c>
      <c r="B12645" s="5">
        <f>IFERROR(__xludf.DUMMYFUNCTION("""COMPUTED_VALUE"""),44714.0)</f>
        <v>44714</v>
      </c>
      <c r="C12645" s="6">
        <f>IFERROR(__xludf.DUMMYFUNCTION("""COMPUTED_VALUE"""),0.719062500000291)</f>
        <v>0.7190625</v>
      </c>
      <c r="D12645" s="4">
        <f>IFERROR(__xludf.DUMMYFUNCTION("""COMPUTED_VALUE"""),13.010572)</f>
        <v>13.010572</v>
      </c>
      <c r="E12645" s="4">
        <f>IFERROR(__xludf.DUMMYFUNCTION("""COMPUTED_VALUE"""),80.216359)</f>
        <v>80.216359</v>
      </c>
      <c r="F12645" s="4">
        <f>IFERROR(__xludf.DUMMYFUNCTION("""COMPUTED_VALUE"""),2846.0)</f>
        <v>2846</v>
      </c>
      <c r="G12645" s="4">
        <f>IFERROR(__xludf.DUMMYFUNCTION("""COMPUTED_VALUE"""),43.0)</f>
        <v>43</v>
      </c>
      <c r="H12645" s="4"/>
      <c r="I12645" s="4"/>
    </row>
    <row r="12646">
      <c r="A12646" s="4" t="str">
        <f>IFERROR(__xludf.DUMMYFUNCTION("""COMPUTED_VALUE"""),"cas_hmw")</f>
        <v>cas_hmw</v>
      </c>
      <c r="B12646" s="5">
        <f>IFERROR(__xludf.DUMMYFUNCTION("""COMPUTED_VALUE"""),44714.0)</f>
        <v>44714</v>
      </c>
      <c r="C12646" s="6">
        <f>IFERROR(__xludf.DUMMYFUNCTION("""COMPUTED_VALUE"""),0.7192129629620467)</f>
        <v>0.719212963</v>
      </c>
      <c r="D12646" s="4">
        <f>IFERROR(__xludf.DUMMYFUNCTION("""COMPUTED_VALUE"""),13.011329)</f>
        <v>13.011329</v>
      </c>
      <c r="E12646" s="4">
        <f>IFERROR(__xludf.DUMMYFUNCTION("""COMPUTED_VALUE"""),80.21811)</f>
        <v>80.21811</v>
      </c>
      <c r="F12646" s="4">
        <f>IFERROR(__xludf.DUMMYFUNCTION("""COMPUTED_VALUE"""),2846.0)</f>
        <v>2846</v>
      </c>
      <c r="G12646" s="4">
        <f>IFERROR(__xludf.DUMMYFUNCTION("""COMPUTED_VALUE"""),41.0)</f>
        <v>41</v>
      </c>
      <c r="H12646" s="4"/>
      <c r="I12646" s="4"/>
    </row>
    <row r="12647">
      <c r="A12647" s="4" t="str">
        <f>IFERROR(__xludf.DUMMYFUNCTION("""COMPUTED_VALUE"""),"cas_hmw")</f>
        <v>cas_hmw</v>
      </c>
      <c r="B12647" s="5">
        <f>IFERROR(__xludf.DUMMYFUNCTION("""COMPUTED_VALUE"""),44714.0)</f>
        <v>44714</v>
      </c>
      <c r="C12647" s="6">
        <f>IFERROR(__xludf.DUMMYFUNCTION("""COMPUTED_VALUE"""),0.7193171296312357)</f>
        <v>0.7193171296</v>
      </c>
      <c r="D12647" s="4">
        <f>IFERROR(__xludf.DUMMYFUNCTION("""COMPUTED_VALUE"""),13.011713)</f>
        <v>13.011713</v>
      </c>
      <c r="E12647" s="4">
        <f>IFERROR(__xludf.DUMMYFUNCTION("""COMPUTED_VALUE"""),80.219094)</f>
        <v>80.219094</v>
      </c>
      <c r="F12647" s="4">
        <f>IFERROR(__xludf.DUMMYFUNCTION("""COMPUTED_VALUE"""),2846.0)</f>
        <v>2846</v>
      </c>
      <c r="G12647" s="4">
        <f>IFERROR(__xludf.DUMMYFUNCTION("""COMPUTED_VALUE"""),45.0)</f>
        <v>45</v>
      </c>
      <c r="H12647" s="4"/>
      <c r="I12647" s="4"/>
    </row>
    <row r="12648">
      <c r="A12648" s="4" t="str">
        <f>IFERROR(__xludf.DUMMYFUNCTION("""COMPUTED_VALUE"""),"cas_hmw")</f>
        <v>cas_hmw</v>
      </c>
      <c r="B12648" s="5">
        <f>IFERROR(__xludf.DUMMYFUNCTION("""COMPUTED_VALUE"""),44714.0)</f>
        <v>44714</v>
      </c>
      <c r="C12648" s="6">
        <f>IFERROR(__xludf.DUMMYFUNCTION("""COMPUTED_VALUE"""),0.7212499999986903)</f>
        <v>0.72125</v>
      </c>
      <c r="D12648" s="4">
        <f>IFERROR(__xludf.DUMMYFUNCTION("""COMPUTED_VALUE"""),13.018036)</f>
        <v>13.018036</v>
      </c>
      <c r="E12648" s="4">
        <f>IFERROR(__xludf.DUMMYFUNCTION("""COMPUTED_VALUE"""),80.224705)</f>
        <v>80.224705</v>
      </c>
      <c r="F12648" s="4">
        <f>IFERROR(__xludf.DUMMYFUNCTION("""COMPUTED_VALUE"""),2846.0)</f>
        <v>2846</v>
      </c>
      <c r="G12648" s="4">
        <f>IFERROR(__xludf.DUMMYFUNCTION("""COMPUTED_VALUE"""),32.0)</f>
        <v>32</v>
      </c>
      <c r="H12648" s="4"/>
      <c r="I12648" s="4"/>
    </row>
    <row r="12649">
      <c r="A12649" s="4" t="str">
        <f>IFERROR(__xludf.DUMMYFUNCTION("""COMPUTED_VALUE"""),"cas_hmw")</f>
        <v>cas_hmw</v>
      </c>
      <c r="B12649" s="5">
        <f>IFERROR(__xludf.DUMMYFUNCTION("""COMPUTED_VALUE"""),44714.0)</f>
        <v>44714</v>
      </c>
      <c r="C12649" s="6">
        <f>IFERROR(__xludf.DUMMYFUNCTION("""COMPUTED_VALUE"""),0.7215624999989814)</f>
        <v>0.7215625</v>
      </c>
      <c r="D12649" s="4">
        <f>IFERROR(__xludf.DUMMYFUNCTION("""COMPUTED_VALUE"""),12.674114)</f>
        <v>12.674114</v>
      </c>
      <c r="E12649" s="4">
        <f>IFERROR(__xludf.DUMMYFUNCTION("""COMPUTED_VALUE"""),79.976813)</f>
        <v>79.976813</v>
      </c>
      <c r="F12649" s="4">
        <f>IFERROR(__xludf.DUMMYFUNCTION("""COMPUTED_VALUE"""),805.0)</f>
        <v>805</v>
      </c>
      <c r="G12649" s="4">
        <f>IFERROR(__xludf.DUMMYFUNCTION("""COMPUTED_VALUE"""),24.0)</f>
        <v>24</v>
      </c>
      <c r="H12649" s="4"/>
      <c r="I12649" s="4"/>
    </row>
    <row r="12650">
      <c r="A12650" s="4" t="str">
        <f>IFERROR(__xludf.DUMMYFUNCTION("""COMPUTED_VALUE"""),"cas_hmw")</f>
        <v>cas_hmw</v>
      </c>
      <c r="B12650" s="5">
        <f>IFERROR(__xludf.DUMMYFUNCTION("""COMPUTED_VALUE"""),44714.0)</f>
        <v>44714</v>
      </c>
      <c r="C12650" s="6">
        <f>IFERROR(__xludf.DUMMYFUNCTION("""COMPUTED_VALUE"""),0.721574074075761)</f>
        <v>0.7215740741</v>
      </c>
      <c r="D12650" s="4">
        <f>IFERROR(__xludf.DUMMYFUNCTION("""COMPUTED_VALUE"""),12.674114)</f>
        <v>12.674114</v>
      </c>
      <c r="E12650" s="4">
        <f>IFERROR(__xludf.DUMMYFUNCTION("""COMPUTED_VALUE"""),79.976813)</f>
        <v>79.976813</v>
      </c>
      <c r="F12650" s="4">
        <f>IFERROR(__xludf.DUMMYFUNCTION("""COMPUTED_VALUE"""),805.0)</f>
        <v>805</v>
      </c>
      <c r="G12650" s="4">
        <f>IFERROR(__xludf.DUMMYFUNCTION("""COMPUTED_VALUE"""),24.0)</f>
        <v>24</v>
      </c>
      <c r="H12650" s="4"/>
      <c r="I12650" s="4"/>
    </row>
    <row r="12651">
      <c r="A12651" s="4" t="str">
        <f>IFERROR(__xludf.DUMMYFUNCTION("""COMPUTED_VALUE"""),"cas_hmw")</f>
        <v>cas_hmw</v>
      </c>
      <c r="B12651" s="5">
        <f>IFERROR(__xludf.DUMMYFUNCTION("""COMPUTED_VALUE"""),44714.0)</f>
        <v>44714</v>
      </c>
      <c r="C12651" s="6">
        <f>IFERROR(__xludf.DUMMYFUNCTION("""COMPUTED_VALUE"""),0.7219444444453984)</f>
        <v>0.7219444444</v>
      </c>
      <c r="D12651" s="4">
        <f>IFERROR(__xludf.DUMMYFUNCTION("""COMPUTED_VALUE"""),13.021846)</f>
        <v>13.021846</v>
      </c>
      <c r="E12651" s="4">
        <f>IFERROR(__xludf.DUMMYFUNCTION("""COMPUTED_VALUE"""),80.226027)</f>
        <v>80.226027</v>
      </c>
      <c r="F12651" s="4">
        <f>IFERROR(__xludf.DUMMYFUNCTION("""COMPUTED_VALUE"""),2846.0)</f>
        <v>2846</v>
      </c>
      <c r="G12651" s="4">
        <f>IFERROR(__xludf.DUMMYFUNCTION("""COMPUTED_VALUE"""),0.0)</f>
        <v>0</v>
      </c>
      <c r="H12651" s="4"/>
      <c r="I12651" s="4"/>
    </row>
    <row r="12652">
      <c r="A12652" s="4" t="str">
        <f>IFERROR(__xludf.DUMMYFUNCTION("""COMPUTED_VALUE"""),"cas_hmw")</f>
        <v>cas_hmw</v>
      </c>
      <c r="B12652" s="5">
        <f>IFERROR(__xludf.DUMMYFUNCTION("""COMPUTED_VALUE"""),44714.0)</f>
        <v>44714</v>
      </c>
      <c r="C12652" s="6">
        <f>IFERROR(__xludf.DUMMYFUNCTION("""COMPUTED_VALUE"""),0.7219675925916818)</f>
        <v>0.7219675926</v>
      </c>
      <c r="D12652" s="4">
        <f>IFERROR(__xludf.DUMMYFUNCTION("""COMPUTED_VALUE"""),13.021846)</f>
        <v>13.021846</v>
      </c>
      <c r="E12652" s="4">
        <f>IFERROR(__xludf.DUMMYFUNCTION("""COMPUTED_VALUE"""),80.226027)</f>
        <v>80.226027</v>
      </c>
      <c r="F12652" s="4">
        <f>IFERROR(__xludf.DUMMYFUNCTION("""COMPUTED_VALUE"""),2846.0)</f>
        <v>2846</v>
      </c>
      <c r="G12652" s="4">
        <f>IFERROR(__xludf.DUMMYFUNCTION("""COMPUTED_VALUE"""),0.0)</f>
        <v>0</v>
      </c>
      <c r="H12652" s="4"/>
      <c r="I12652" s="4"/>
    </row>
    <row r="12653">
      <c r="A12653" s="4" t="str">
        <f>IFERROR(__xludf.DUMMYFUNCTION("""COMPUTED_VALUE"""),"cas_hmw")</f>
        <v>cas_hmw</v>
      </c>
      <c r="B12653" s="5">
        <f>IFERROR(__xludf.DUMMYFUNCTION("""COMPUTED_VALUE"""),44714.0)</f>
        <v>44714</v>
      </c>
      <c r="C12653" s="6">
        <f>IFERROR(__xludf.DUMMYFUNCTION("""COMPUTED_VALUE"""),0.7220833333340124)</f>
        <v>0.7220833333</v>
      </c>
      <c r="D12653" s="4">
        <f>IFERROR(__xludf.DUMMYFUNCTION("""COMPUTED_VALUE"""),13.022584)</f>
        <v>13.022584</v>
      </c>
      <c r="E12653" s="4">
        <f>IFERROR(__xludf.DUMMYFUNCTION("""COMPUTED_VALUE"""),80.226644)</f>
        <v>80.226644</v>
      </c>
      <c r="F12653" s="4">
        <f>IFERROR(__xludf.DUMMYFUNCTION("""COMPUTED_VALUE"""),2846.0)</f>
        <v>2846</v>
      </c>
      <c r="G12653" s="4">
        <f>IFERROR(__xludf.DUMMYFUNCTION("""COMPUTED_VALUE"""),27.0)</f>
        <v>27</v>
      </c>
      <c r="H12653" s="4"/>
      <c r="I12653" s="4"/>
    </row>
    <row r="12654">
      <c r="A12654" s="4" t="str">
        <f>IFERROR(__xludf.DUMMYFUNCTION("""COMPUTED_VALUE"""),"cas_hmw")</f>
        <v>cas_hmw</v>
      </c>
      <c r="B12654" s="5">
        <f>IFERROR(__xludf.DUMMYFUNCTION("""COMPUTED_VALUE"""),44714.0)</f>
        <v>44714</v>
      </c>
      <c r="C12654" s="6">
        <f>IFERROR(__xludf.DUMMYFUNCTION("""COMPUTED_VALUE"""),0.7222337962957681)</f>
        <v>0.7222337963</v>
      </c>
      <c r="D12654" s="4">
        <f>IFERROR(__xludf.DUMMYFUNCTION("""COMPUTED_VALUE"""),12.670089)</f>
        <v>12.670089</v>
      </c>
      <c r="E12654" s="4">
        <f>IFERROR(__xludf.DUMMYFUNCTION("""COMPUTED_VALUE"""),79.975392)</f>
        <v>79.975392</v>
      </c>
      <c r="F12654" s="4">
        <f>IFERROR(__xludf.DUMMYFUNCTION("""COMPUTED_VALUE"""),805.0)</f>
        <v>805</v>
      </c>
      <c r="G12654" s="4">
        <f>IFERROR(__xludf.DUMMYFUNCTION("""COMPUTED_VALUE"""),32.0)</f>
        <v>32</v>
      </c>
      <c r="H12654" s="4"/>
      <c r="I12654" s="4"/>
    </row>
    <row r="12655">
      <c r="A12655" s="4" t="str">
        <f>IFERROR(__xludf.DUMMYFUNCTION("""COMPUTED_VALUE"""),"cas_hmw")</f>
        <v>cas_hmw</v>
      </c>
      <c r="B12655" s="5">
        <f>IFERROR(__xludf.DUMMYFUNCTION("""COMPUTED_VALUE"""),44714.0)</f>
        <v>44714</v>
      </c>
      <c r="C12655" s="6">
        <f>IFERROR(__xludf.DUMMYFUNCTION("""COMPUTED_VALUE"""),0.7224421296305081)</f>
        <v>0.7224421296</v>
      </c>
      <c r="D12655" s="4">
        <f>IFERROR(__xludf.DUMMYFUNCTION("""COMPUTED_VALUE"""),13.024941)</f>
        <v>13.024941</v>
      </c>
      <c r="E12655" s="4">
        <f>IFERROR(__xludf.DUMMYFUNCTION("""COMPUTED_VALUE"""),80.229302)</f>
        <v>80.229302</v>
      </c>
      <c r="F12655" s="4">
        <f>IFERROR(__xludf.DUMMYFUNCTION("""COMPUTED_VALUE"""),2846.0)</f>
        <v>2846</v>
      </c>
      <c r="G12655" s="4">
        <f>IFERROR(__xludf.DUMMYFUNCTION("""COMPUTED_VALUE"""),38.0)</f>
        <v>38</v>
      </c>
      <c r="H12655" s="4"/>
      <c r="I12655" s="4"/>
    </row>
    <row r="12656">
      <c r="A12656" s="4" t="str">
        <f>IFERROR(__xludf.DUMMYFUNCTION("""COMPUTED_VALUE"""),"cas_hmw")</f>
        <v>cas_hmw</v>
      </c>
      <c r="B12656" s="5">
        <f>IFERROR(__xludf.DUMMYFUNCTION("""COMPUTED_VALUE"""),44714.0)</f>
        <v>44714</v>
      </c>
      <c r="C12656" s="6">
        <f>IFERROR(__xludf.DUMMYFUNCTION("""COMPUTED_VALUE"""),0.7241087962975143)</f>
        <v>0.7241087963</v>
      </c>
      <c r="D12656" s="4">
        <f>IFERROR(__xludf.DUMMYFUNCTION("""COMPUTED_VALUE"""),13.027232)</f>
        <v>13.027232</v>
      </c>
      <c r="E12656" s="4">
        <f>IFERROR(__xludf.DUMMYFUNCTION("""COMPUTED_VALUE"""),80.23399)</f>
        <v>80.23399</v>
      </c>
      <c r="F12656" s="4">
        <f>IFERROR(__xludf.DUMMYFUNCTION("""COMPUTED_VALUE"""),2846.0)</f>
        <v>2846</v>
      </c>
      <c r="G12656" s="4">
        <f>IFERROR(__xludf.DUMMYFUNCTION("""COMPUTED_VALUE"""),46.0)</f>
        <v>46</v>
      </c>
      <c r="H12656" s="4"/>
      <c r="I12656" s="4"/>
    </row>
    <row r="12657">
      <c r="A12657" s="4" t="str">
        <f>IFERROR(__xludf.DUMMYFUNCTION("""COMPUTED_VALUE"""),"cas_hmw")</f>
        <v>cas_hmw</v>
      </c>
      <c r="B12657" s="5">
        <f>IFERROR(__xludf.DUMMYFUNCTION("""COMPUTED_VALUE"""),44714.0)</f>
        <v>44714</v>
      </c>
      <c r="C12657" s="6">
        <f>IFERROR(__xludf.DUMMYFUNCTION("""COMPUTED_VALUE"""),0.7244212962978054)</f>
        <v>0.7244212963</v>
      </c>
      <c r="D12657" s="4">
        <f>IFERROR(__xludf.DUMMYFUNCTION("""COMPUTED_VALUE"""),13.029163)</f>
        <v>13.029163</v>
      </c>
      <c r="E12657" s="4">
        <f>IFERROR(__xludf.DUMMYFUNCTION("""COMPUTED_VALUE"""),80.236695)</f>
        <v>80.236695</v>
      </c>
      <c r="F12657" s="4">
        <f>IFERROR(__xludf.DUMMYFUNCTION("""COMPUTED_VALUE"""),2846.0)</f>
        <v>2846</v>
      </c>
      <c r="G12657" s="4">
        <f>IFERROR(__xludf.DUMMYFUNCTION("""COMPUTED_VALUE"""),44.0)</f>
        <v>44</v>
      </c>
      <c r="H12657" s="4"/>
      <c r="I12657" s="4"/>
    </row>
    <row r="12658">
      <c r="A12658" s="4" t="str">
        <f>IFERROR(__xludf.DUMMYFUNCTION("""COMPUTED_VALUE"""),"cas_hmw")</f>
        <v>cas_hmw</v>
      </c>
      <c r="B12658" s="5">
        <f>IFERROR(__xludf.DUMMYFUNCTION("""COMPUTED_VALUE"""),44714.0)</f>
        <v>44714</v>
      </c>
      <c r="C12658" s="6">
        <f>IFERROR(__xludf.DUMMYFUNCTION("""COMPUTED_VALUE"""),0.7244328703709471)</f>
        <v>0.7244328704</v>
      </c>
      <c r="D12658" s="4">
        <f>IFERROR(__xludf.DUMMYFUNCTION("""COMPUTED_VALUE"""),13.029163)</f>
        <v>13.029163</v>
      </c>
      <c r="E12658" s="4">
        <f>IFERROR(__xludf.DUMMYFUNCTION("""COMPUTED_VALUE"""),80.236695)</f>
        <v>80.236695</v>
      </c>
      <c r="F12658" s="4">
        <f>IFERROR(__xludf.DUMMYFUNCTION("""COMPUTED_VALUE"""),2846.0)</f>
        <v>2846</v>
      </c>
      <c r="G12658" s="4">
        <f>IFERROR(__xludf.DUMMYFUNCTION("""COMPUTED_VALUE"""),44.0)</f>
        <v>44</v>
      </c>
      <c r="H12658" s="4"/>
      <c r="I12658" s="4"/>
    </row>
    <row r="12659">
      <c r="A12659" s="4" t="str">
        <f>IFERROR(__xludf.DUMMYFUNCTION("""COMPUTED_VALUE"""),"cas_hmw")</f>
        <v>cas_hmw</v>
      </c>
      <c r="B12659" s="5">
        <f>IFERROR(__xludf.DUMMYFUNCTION("""COMPUTED_VALUE"""),44714.0)</f>
        <v>44714</v>
      </c>
      <c r="C12659" s="6">
        <f>IFERROR(__xludf.DUMMYFUNCTION("""COMPUTED_VALUE"""),0.7249999999985448)</f>
        <v>0.725</v>
      </c>
      <c r="D12659" s="4">
        <f>IFERROR(__xludf.DUMMYFUNCTION("""COMPUTED_VALUE"""),13.029163)</f>
        <v>13.029163</v>
      </c>
      <c r="E12659" s="4">
        <f>IFERROR(__xludf.DUMMYFUNCTION("""COMPUTED_VALUE"""),80.236695)</f>
        <v>80.236695</v>
      </c>
      <c r="F12659" s="4">
        <f>IFERROR(__xludf.DUMMYFUNCTION("""COMPUTED_VALUE"""),2846.0)</f>
        <v>2846</v>
      </c>
      <c r="G12659" s="4">
        <f>IFERROR(__xludf.DUMMYFUNCTION("""COMPUTED_VALUE"""),44.0)</f>
        <v>44</v>
      </c>
      <c r="H12659" s="4"/>
      <c r="I12659" s="4"/>
    </row>
    <row r="12660">
      <c r="A12660" s="4" t="str">
        <f>IFERROR(__xludf.DUMMYFUNCTION("""COMPUTED_VALUE"""),"cas_hmw")</f>
        <v>cas_hmw</v>
      </c>
      <c r="B12660" s="5">
        <f>IFERROR(__xludf.DUMMYFUNCTION("""COMPUTED_VALUE"""),44714.0)</f>
        <v>44714</v>
      </c>
      <c r="C12660" s="6">
        <f>IFERROR(__xludf.DUMMYFUNCTION("""COMPUTED_VALUE"""),0.7253587962950405)</f>
        <v>0.7253587963</v>
      </c>
      <c r="D12660" s="4">
        <f>IFERROR(__xludf.DUMMYFUNCTION("""COMPUTED_VALUE"""),13.029163)</f>
        <v>13.029163</v>
      </c>
      <c r="E12660" s="4">
        <f>IFERROR(__xludf.DUMMYFUNCTION("""COMPUTED_VALUE"""),80.236695)</f>
        <v>80.236695</v>
      </c>
      <c r="F12660" s="4">
        <f>IFERROR(__xludf.DUMMYFUNCTION("""COMPUTED_VALUE"""),2846.0)</f>
        <v>2846</v>
      </c>
      <c r="G12660" s="4">
        <f>IFERROR(__xludf.DUMMYFUNCTION("""COMPUTED_VALUE"""),44.0)</f>
        <v>44</v>
      </c>
      <c r="H12660" s="4"/>
      <c r="I12660" s="4"/>
    </row>
    <row r="12661">
      <c r="A12661" s="4" t="str">
        <f>IFERROR(__xludf.DUMMYFUNCTION("""COMPUTED_VALUE"""),"cas_hmw")</f>
        <v>cas_hmw</v>
      </c>
      <c r="B12661" s="5">
        <f>IFERROR(__xludf.DUMMYFUNCTION("""COMPUTED_VALUE"""),44714.0)</f>
        <v>44714</v>
      </c>
      <c r="C12661" s="6">
        <f>IFERROR(__xludf.DUMMYFUNCTION("""COMPUTED_VALUE"""),0.7261342592610163)</f>
        <v>0.7261342593</v>
      </c>
      <c r="D12661" s="4">
        <f>IFERROR(__xludf.DUMMYFUNCTION("""COMPUTED_VALUE"""),12.657907)</f>
        <v>12.657907</v>
      </c>
      <c r="E12661" s="4">
        <f>IFERROR(__xludf.DUMMYFUNCTION("""COMPUTED_VALUE"""),79.943618)</f>
        <v>79.943618</v>
      </c>
      <c r="F12661" s="4">
        <f>IFERROR(__xludf.DUMMYFUNCTION("""COMPUTED_VALUE"""),805.0)</f>
        <v>805</v>
      </c>
      <c r="G12661" s="4">
        <f>IFERROR(__xludf.DUMMYFUNCTION("""COMPUTED_VALUE"""),39.0)</f>
        <v>39</v>
      </c>
      <c r="H12661" s="4"/>
      <c r="I12661" s="4"/>
    </row>
    <row r="12662">
      <c r="A12662" s="4" t="str">
        <f>IFERROR(__xludf.DUMMYFUNCTION("""COMPUTED_VALUE"""),"cas_hmw")</f>
        <v>cas_hmw</v>
      </c>
      <c r="B12662" s="5">
        <f>IFERROR(__xludf.DUMMYFUNCTION("""COMPUTED_VALUE"""),44714.0)</f>
        <v>44714</v>
      </c>
      <c r="C12662" s="6">
        <f>IFERROR(__xludf.DUMMYFUNCTION("""COMPUTED_VALUE"""),0.7298958333340124)</f>
        <v>0.7298958333</v>
      </c>
      <c r="D12662" s="4">
        <f>IFERROR(__xludf.DUMMYFUNCTION("""COMPUTED_VALUE"""),13.039127)</f>
        <v>13.039127</v>
      </c>
      <c r="E12662" s="4">
        <f>IFERROR(__xludf.DUMMYFUNCTION("""COMPUTED_VALUE"""),80.246799)</f>
        <v>80.246799</v>
      </c>
      <c r="F12662" s="4">
        <f>IFERROR(__xludf.DUMMYFUNCTION("""COMPUTED_VALUE"""),2846.0)</f>
        <v>2846</v>
      </c>
      <c r="G12662" s="4">
        <f>IFERROR(__xludf.DUMMYFUNCTION("""COMPUTED_VALUE"""),18.0)</f>
        <v>18</v>
      </c>
      <c r="H12662" s="4"/>
      <c r="I12662" s="4"/>
    </row>
    <row r="12663">
      <c r="A12663" s="4" t="str">
        <f>IFERROR(__xludf.DUMMYFUNCTION("""COMPUTED_VALUE"""),"cas_hmw")</f>
        <v>cas_hmw</v>
      </c>
      <c r="B12663" s="5">
        <f>IFERROR(__xludf.DUMMYFUNCTION("""COMPUTED_VALUE"""),44714.0)</f>
        <v>44714</v>
      </c>
      <c r="C12663" s="6">
        <f>IFERROR(__xludf.DUMMYFUNCTION("""COMPUTED_VALUE"""),0.7301736111112405)</f>
        <v>0.7301736111</v>
      </c>
      <c r="D12663" s="4">
        <f>IFERROR(__xludf.DUMMYFUNCTION("""COMPUTED_VALUE"""),13.041584)</f>
        <v>13.041584</v>
      </c>
      <c r="E12663" s="4">
        <f>IFERROR(__xludf.DUMMYFUNCTION("""COMPUTED_VALUE"""),80.247299)</f>
        <v>80.247299</v>
      </c>
      <c r="F12663" s="4">
        <f>IFERROR(__xludf.DUMMYFUNCTION("""COMPUTED_VALUE"""),2846.0)</f>
        <v>2846</v>
      </c>
      <c r="G12663" s="4">
        <f>IFERROR(__xludf.DUMMYFUNCTION("""COMPUTED_VALUE"""),39.0)</f>
        <v>39</v>
      </c>
      <c r="H12663" s="4"/>
      <c r="I12663" s="4"/>
    </row>
    <row r="12664">
      <c r="A12664" s="4" t="str">
        <f>IFERROR(__xludf.DUMMYFUNCTION("""COMPUTED_VALUE"""),"cas_hmw")</f>
        <v>cas_hmw</v>
      </c>
      <c r="B12664" s="5">
        <f>IFERROR(__xludf.DUMMYFUNCTION("""COMPUTED_VALUE"""),44714.0)</f>
        <v>44714</v>
      </c>
      <c r="C12664" s="6">
        <f>IFERROR(__xludf.DUMMYFUNCTION("""COMPUTED_VALUE"""),0.7302083333343035)</f>
        <v>0.7302083333</v>
      </c>
      <c r="D12664" s="4">
        <f>IFERROR(__xludf.DUMMYFUNCTION("""COMPUTED_VALUE"""),13.041584)</f>
        <v>13.041584</v>
      </c>
      <c r="E12664" s="4">
        <f>IFERROR(__xludf.DUMMYFUNCTION("""COMPUTED_VALUE"""),80.247299)</f>
        <v>80.247299</v>
      </c>
      <c r="F12664" s="4">
        <f>IFERROR(__xludf.DUMMYFUNCTION("""COMPUTED_VALUE"""),2846.0)</f>
        <v>2846</v>
      </c>
      <c r="G12664" s="4">
        <f>IFERROR(__xludf.DUMMYFUNCTION("""COMPUTED_VALUE"""),39.0)</f>
        <v>39</v>
      </c>
      <c r="H12664" s="4"/>
      <c r="I12664" s="4"/>
    </row>
    <row r="12665">
      <c r="A12665" s="4" t="str">
        <f>IFERROR(__xludf.DUMMYFUNCTION("""COMPUTED_VALUE"""),"cas_hmw")</f>
        <v>cas_hmw</v>
      </c>
      <c r="B12665" s="5">
        <f>IFERROR(__xludf.DUMMYFUNCTION("""COMPUTED_VALUE"""),44714.0)</f>
        <v>44714</v>
      </c>
      <c r="C12665" s="6">
        <f>IFERROR(__xludf.DUMMYFUNCTION("""COMPUTED_VALUE"""),0.7302083333343035)</f>
        <v>0.7302083333</v>
      </c>
      <c r="D12665" s="4">
        <f>IFERROR(__xludf.DUMMYFUNCTION("""COMPUTED_VALUE"""),13.041584)</f>
        <v>13.041584</v>
      </c>
      <c r="E12665" s="4">
        <f>IFERROR(__xludf.DUMMYFUNCTION("""COMPUTED_VALUE"""),80.247299)</f>
        <v>80.247299</v>
      </c>
      <c r="F12665" s="4">
        <f>IFERROR(__xludf.DUMMYFUNCTION("""COMPUTED_VALUE"""),2846.0)</f>
        <v>2846</v>
      </c>
      <c r="G12665" s="4">
        <f>IFERROR(__xludf.DUMMYFUNCTION("""COMPUTED_VALUE"""),39.0)</f>
        <v>39</v>
      </c>
      <c r="H12665" s="4"/>
      <c r="I12665" s="4"/>
    </row>
    <row r="12666">
      <c r="A12666" s="4" t="str">
        <f>IFERROR(__xludf.DUMMYFUNCTION("""COMPUTED_VALUE"""),"cas_hmw")</f>
        <v>cas_hmw</v>
      </c>
      <c r="B12666" s="5">
        <f>IFERROR(__xludf.DUMMYFUNCTION("""COMPUTED_VALUE"""),44714.0)</f>
        <v>44714</v>
      </c>
      <c r="C12666" s="6">
        <f>IFERROR(__xludf.DUMMYFUNCTION("""COMPUTED_VALUE"""),0.7304745370383898)</f>
        <v>0.730474537</v>
      </c>
      <c r="D12666" s="4">
        <f>IFERROR(__xludf.DUMMYFUNCTION("""COMPUTED_VALUE"""),13.043317)</f>
        <v>13.043317</v>
      </c>
      <c r="E12666" s="4">
        <f>IFERROR(__xludf.DUMMYFUNCTION("""COMPUTED_VALUE"""),80.247668)</f>
        <v>80.247668</v>
      </c>
      <c r="F12666" s="4">
        <f>IFERROR(__xludf.DUMMYFUNCTION("""COMPUTED_VALUE"""),2846.0)</f>
        <v>2846</v>
      </c>
      <c r="G12666" s="4">
        <f>IFERROR(__xludf.DUMMYFUNCTION("""COMPUTED_VALUE"""),40.0)</f>
        <v>40</v>
      </c>
      <c r="H12666" s="4"/>
      <c r="I12666" s="4"/>
    </row>
    <row r="12667">
      <c r="A12667" s="4" t="str">
        <f>IFERROR(__xludf.DUMMYFUNCTION("""COMPUTED_VALUE"""),"cas_hmw")</f>
        <v>cas_hmw</v>
      </c>
      <c r="B12667" s="5">
        <f>IFERROR(__xludf.DUMMYFUNCTION("""COMPUTED_VALUE"""),44714.0)</f>
        <v>44714</v>
      </c>
      <c r="C12667" s="6">
        <f>IFERROR(__xludf.DUMMYFUNCTION("""COMPUTED_VALUE"""),0.7306597222232085)</f>
        <v>0.7306597222</v>
      </c>
      <c r="D12667" s="4">
        <f>IFERROR(__xludf.DUMMYFUNCTION("""COMPUTED_VALUE"""),13.045072)</f>
        <v>13.045072</v>
      </c>
      <c r="E12667" s="4">
        <f>IFERROR(__xludf.DUMMYFUNCTION("""COMPUTED_VALUE"""),80.247997)</f>
        <v>80.247997</v>
      </c>
      <c r="F12667" s="4">
        <f>IFERROR(__xludf.DUMMYFUNCTION("""COMPUTED_VALUE"""),2846.0)</f>
        <v>2846</v>
      </c>
      <c r="G12667" s="4">
        <f>IFERROR(__xludf.DUMMYFUNCTION("""COMPUTED_VALUE"""),21.0)</f>
        <v>21</v>
      </c>
      <c r="H12667" s="4"/>
      <c r="I12667" s="4"/>
    </row>
    <row r="12668">
      <c r="A12668" s="4" t="str">
        <f>IFERROR(__xludf.DUMMYFUNCTION("""COMPUTED_VALUE"""),"cas_hmw")</f>
        <v>cas_hmw</v>
      </c>
      <c r="B12668" s="5">
        <f>IFERROR(__xludf.DUMMYFUNCTION("""COMPUTED_VALUE"""),44714.0)</f>
        <v>44714</v>
      </c>
      <c r="C12668" s="6">
        <f>IFERROR(__xludf.DUMMYFUNCTION("""COMPUTED_VALUE"""),0.7310416666659876)</f>
        <v>0.7310416667</v>
      </c>
      <c r="D12668" s="4">
        <f>IFERROR(__xludf.DUMMYFUNCTION("""COMPUTED_VALUE"""),13.04727)</f>
        <v>13.04727</v>
      </c>
      <c r="E12668" s="4">
        <f>IFERROR(__xludf.DUMMYFUNCTION("""COMPUTED_VALUE"""),80.248475)</f>
        <v>80.248475</v>
      </c>
      <c r="F12668" s="4">
        <f>IFERROR(__xludf.DUMMYFUNCTION("""COMPUTED_VALUE"""),2846.0)</f>
        <v>2846</v>
      </c>
      <c r="G12668" s="4">
        <f>IFERROR(__xludf.DUMMYFUNCTION("""COMPUTED_VALUE"""),33.0)</f>
        <v>33</v>
      </c>
      <c r="H12668" s="4"/>
      <c r="I12668" s="4"/>
    </row>
    <row r="12669">
      <c r="A12669" s="4" t="str">
        <f>IFERROR(__xludf.DUMMYFUNCTION("""COMPUTED_VALUE"""),"cas_hmw")</f>
        <v>cas_hmw</v>
      </c>
      <c r="B12669" s="5">
        <f>IFERROR(__xludf.DUMMYFUNCTION("""COMPUTED_VALUE"""),44714.0)</f>
        <v>44714</v>
      </c>
      <c r="C12669" s="6">
        <f>IFERROR(__xludf.DUMMYFUNCTION("""COMPUTED_VALUE"""),0.7318171296283253)</f>
        <v>0.7318171296</v>
      </c>
      <c r="D12669" s="4">
        <f>IFERROR(__xludf.DUMMYFUNCTION("""COMPUTED_VALUE"""),13.051143)</f>
        <v>13.051143</v>
      </c>
      <c r="E12669" s="4">
        <f>IFERROR(__xludf.DUMMYFUNCTION("""COMPUTED_VALUE"""),80.250028)</f>
        <v>80.250028</v>
      </c>
      <c r="F12669" s="4">
        <f>IFERROR(__xludf.DUMMYFUNCTION("""COMPUTED_VALUE"""),2846.0)</f>
        <v>2846</v>
      </c>
      <c r="G12669" s="4">
        <f>IFERROR(__xludf.DUMMYFUNCTION("""COMPUTED_VALUE"""),30.0)</f>
        <v>30</v>
      </c>
      <c r="H12669" s="4"/>
      <c r="I12669" s="4"/>
    </row>
    <row r="12670">
      <c r="A12670" s="4" t="str">
        <f>IFERROR(__xludf.DUMMYFUNCTION("""COMPUTED_VALUE"""),"cas_hmw")</f>
        <v>cas_hmw</v>
      </c>
      <c r="B12670" s="5">
        <f>IFERROR(__xludf.DUMMYFUNCTION("""COMPUTED_VALUE"""),44714.0)</f>
        <v>44714</v>
      </c>
      <c r="C12670" s="6">
        <f>IFERROR(__xludf.DUMMYFUNCTION("""COMPUTED_VALUE"""),0.7325925925943011)</f>
        <v>0.7325925926</v>
      </c>
      <c r="D12670" s="4">
        <f>IFERROR(__xludf.DUMMYFUNCTION("""COMPUTED_VALUE"""),13.054977)</f>
        <v>13.054977</v>
      </c>
      <c r="E12670" s="4">
        <f>IFERROR(__xludf.DUMMYFUNCTION("""COMPUTED_VALUE"""),80.254496)</f>
        <v>80.254496</v>
      </c>
      <c r="F12670" s="4">
        <f>IFERROR(__xludf.DUMMYFUNCTION("""COMPUTED_VALUE"""),2846.0)</f>
        <v>2846</v>
      </c>
      <c r="G12670" s="4">
        <f>IFERROR(__xludf.DUMMYFUNCTION("""COMPUTED_VALUE"""),23.0)</f>
        <v>23</v>
      </c>
      <c r="H12670" s="4"/>
      <c r="I12670" s="4"/>
    </row>
    <row r="12671">
      <c r="A12671" s="4" t="str">
        <f>IFERROR(__xludf.DUMMYFUNCTION("""COMPUTED_VALUE"""),"cas_hmw")</f>
        <v>cas_hmw</v>
      </c>
      <c r="B12671" s="5">
        <f>IFERROR(__xludf.DUMMYFUNCTION("""COMPUTED_VALUE"""),44714.0)</f>
        <v>44714</v>
      </c>
      <c r="C12671" s="6">
        <f>IFERROR(__xludf.DUMMYFUNCTION("""COMPUTED_VALUE"""),0.7326273148137261)</f>
        <v>0.7326273148</v>
      </c>
      <c r="D12671" s="4">
        <f>IFERROR(__xludf.DUMMYFUNCTION("""COMPUTED_VALUE"""),13.054977)</f>
        <v>13.054977</v>
      </c>
      <c r="E12671" s="4">
        <f>IFERROR(__xludf.DUMMYFUNCTION("""COMPUTED_VALUE"""),80.254496)</f>
        <v>80.254496</v>
      </c>
      <c r="F12671" s="4">
        <f>IFERROR(__xludf.DUMMYFUNCTION("""COMPUTED_VALUE"""),2846.0)</f>
        <v>2846</v>
      </c>
      <c r="G12671" s="4">
        <f>IFERROR(__xludf.DUMMYFUNCTION("""COMPUTED_VALUE"""),23.0)</f>
        <v>23</v>
      </c>
      <c r="H12671" s="4"/>
      <c r="I12671" s="4"/>
    </row>
    <row r="12672">
      <c r="A12672" s="4" t="str">
        <f>IFERROR(__xludf.DUMMYFUNCTION("""COMPUTED_VALUE"""),"cas_hmw")</f>
        <v>cas_hmw</v>
      </c>
      <c r="B12672" s="5">
        <f>IFERROR(__xludf.DUMMYFUNCTION("""COMPUTED_VALUE"""),44714.0)</f>
        <v>44714</v>
      </c>
      <c r="C12672" s="6">
        <f>IFERROR(__xludf.DUMMYFUNCTION("""COMPUTED_VALUE"""),0.7341087962959136)</f>
        <v>0.7341087963</v>
      </c>
      <c r="D12672" s="4">
        <f>IFERROR(__xludf.DUMMYFUNCTION("""COMPUTED_VALUE"""),13.056418)</f>
        <v>13.056418</v>
      </c>
      <c r="E12672" s="4">
        <f>IFERROR(__xludf.DUMMYFUNCTION("""COMPUTED_VALUE"""),80.256653)</f>
        <v>80.256653</v>
      </c>
      <c r="F12672" s="4">
        <f>IFERROR(__xludf.DUMMYFUNCTION("""COMPUTED_VALUE"""),2846.0)</f>
        <v>2846</v>
      </c>
      <c r="G12672" s="4">
        <f>IFERROR(__xludf.DUMMYFUNCTION("""COMPUTED_VALUE"""),26.0)</f>
        <v>26</v>
      </c>
      <c r="H12672" s="4"/>
      <c r="I12672" s="4"/>
    </row>
    <row r="12673">
      <c r="A12673" s="4" t="str">
        <f>IFERROR(__xludf.DUMMYFUNCTION("""COMPUTED_VALUE"""),"cas_hmw")</f>
        <v>cas_hmw</v>
      </c>
      <c r="B12673" s="5">
        <f>IFERROR(__xludf.DUMMYFUNCTION("""COMPUTED_VALUE"""),44714.0)</f>
        <v>44714</v>
      </c>
      <c r="C12673" s="6">
        <f>IFERROR(__xludf.DUMMYFUNCTION("""COMPUTED_VALUE"""),0.734131944445835)</f>
        <v>0.7341319444</v>
      </c>
      <c r="D12673" s="4">
        <f>IFERROR(__xludf.DUMMYFUNCTION("""COMPUTED_VALUE"""),13.056418)</f>
        <v>13.056418</v>
      </c>
      <c r="E12673" s="4">
        <f>IFERROR(__xludf.DUMMYFUNCTION("""COMPUTED_VALUE"""),80.256653)</f>
        <v>80.256653</v>
      </c>
      <c r="F12673" s="4">
        <f>IFERROR(__xludf.DUMMYFUNCTION("""COMPUTED_VALUE"""),2846.0)</f>
        <v>2846</v>
      </c>
      <c r="G12673" s="4">
        <f>IFERROR(__xludf.DUMMYFUNCTION("""COMPUTED_VALUE"""),26.0)</f>
        <v>26</v>
      </c>
      <c r="H12673" s="4"/>
      <c r="I12673" s="4"/>
    </row>
    <row r="12674">
      <c r="A12674" s="4" t="str">
        <f>IFERROR(__xludf.DUMMYFUNCTION("""COMPUTED_VALUE"""),"cas_hmw")</f>
        <v>cas_hmw</v>
      </c>
      <c r="B12674" s="5">
        <f>IFERROR(__xludf.DUMMYFUNCTION("""COMPUTED_VALUE"""),44714.0)</f>
        <v>44714</v>
      </c>
      <c r="C12674" s="6">
        <f>IFERROR(__xludf.DUMMYFUNCTION("""COMPUTED_VALUE"""),0.7341435185189766)</f>
        <v>0.7341435185</v>
      </c>
      <c r="D12674" s="4">
        <f>IFERROR(__xludf.DUMMYFUNCTION("""COMPUTED_VALUE"""),13.056418)</f>
        <v>13.056418</v>
      </c>
      <c r="E12674" s="4">
        <f>IFERROR(__xludf.DUMMYFUNCTION("""COMPUTED_VALUE"""),80.256653)</f>
        <v>80.256653</v>
      </c>
      <c r="F12674" s="4">
        <f>IFERROR(__xludf.DUMMYFUNCTION("""COMPUTED_VALUE"""),2846.0)</f>
        <v>2846</v>
      </c>
      <c r="G12674" s="4">
        <f>IFERROR(__xludf.DUMMYFUNCTION("""COMPUTED_VALUE"""),26.0)</f>
        <v>26</v>
      </c>
      <c r="H12674" s="4"/>
      <c r="I12674" s="4"/>
    </row>
    <row r="12675">
      <c r="A12675" s="4" t="str">
        <f>IFERROR(__xludf.DUMMYFUNCTION("""COMPUTED_VALUE"""),"cas_hmw")</f>
        <v>cas_hmw</v>
      </c>
      <c r="B12675" s="5">
        <f>IFERROR(__xludf.DUMMYFUNCTION("""COMPUTED_VALUE"""),44714.0)</f>
        <v>44714</v>
      </c>
      <c r="C12675" s="6">
        <f>IFERROR(__xludf.DUMMYFUNCTION("""COMPUTED_VALUE"""),0.73416666666526)</f>
        <v>0.7341666667</v>
      </c>
      <c r="D12675" s="4">
        <f>IFERROR(__xludf.DUMMYFUNCTION("""COMPUTED_VALUE"""),13.056418)</f>
        <v>13.056418</v>
      </c>
      <c r="E12675" s="4">
        <f>IFERROR(__xludf.DUMMYFUNCTION("""COMPUTED_VALUE"""),80.256653)</f>
        <v>80.256653</v>
      </c>
      <c r="F12675" s="4">
        <f>IFERROR(__xludf.DUMMYFUNCTION("""COMPUTED_VALUE"""),2846.0)</f>
        <v>2846</v>
      </c>
      <c r="G12675" s="4">
        <f>IFERROR(__xludf.DUMMYFUNCTION("""COMPUTED_VALUE"""),26.0)</f>
        <v>26</v>
      </c>
      <c r="H12675" s="4"/>
      <c r="I12675" s="4"/>
    </row>
    <row r="12676">
      <c r="A12676" s="4" t="str">
        <f>IFERROR(__xludf.DUMMYFUNCTION("""COMPUTED_VALUE"""),"cas_hmw")</f>
        <v>cas_hmw</v>
      </c>
      <c r="B12676" s="5">
        <f>IFERROR(__xludf.DUMMYFUNCTION("""COMPUTED_VALUE"""),44714.0)</f>
        <v>44714</v>
      </c>
      <c r="C12676" s="6">
        <f>IFERROR(__xludf.DUMMYFUNCTION("""COMPUTED_VALUE"""),0.7342824074075907)</f>
        <v>0.7342824074</v>
      </c>
      <c r="D12676" s="4">
        <f>IFERROR(__xludf.DUMMYFUNCTION("""COMPUTED_VALUE"""),13.056042)</f>
        <v>13.056042</v>
      </c>
      <c r="E12676" s="4">
        <f>IFERROR(__xludf.DUMMYFUNCTION("""COMPUTED_VALUE"""),80.256074)</f>
        <v>80.256074</v>
      </c>
      <c r="F12676" s="4">
        <f>IFERROR(__xludf.DUMMYFUNCTION("""COMPUTED_VALUE"""),2846.0)</f>
        <v>2846</v>
      </c>
      <c r="G12676" s="4">
        <f>IFERROR(__xludf.DUMMYFUNCTION("""COMPUTED_VALUE"""),27.0)</f>
        <v>27</v>
      </c>
      <c r="H12676" s="4"/>
      <c r="I12676" s="4"/>
    </row>
    <row r="12677">
      <c r="A12677" s="4" t="str">
        <f>IFERROR(__xludf.DUMMYFUNCTION("""COMPUTED_VALUE"""),"cas_hmw")</f>
        <v>cas_hmw</v>
      </c>
      <c r="B12677" s="5">
        <f>IFERROR(__xludf.DUMMYFUNCTION("""COMPUTED_VALUE"""),44714.0)</f>
        <v>44714</v>
      </c>
      <c r="C12677" s="6">
        <f>IFERROR(__xludf.DUMMYFUNCTION("""COMPUTED_VALUE"""),0.734375)</f>
        <v>0.734375</v>
      </c>
      <c r="D12677" s="4">
        <f>IFERROR(__xludf.DUMMYFUNCTION("""COMPUTED_VALUE"""),13.055561)</f>
        <v>13.055561</v>
      </c>
      <c r="E12677" s="4">
        <f>IFERROR(__xludf.DUMMYFUNCTION("""COMPUTED_VALUE"""),80.255502)</f>
        <v>80.255502</v>
      </c>
      <c r="F12677" s="4">
        <f>IFERROR(__xludf.DUMMYFUNCTION("""COMPUTED_VALUE"""),2846.0)</f>
        <v>2846</v>
      </c>
      <c r="G12677" s="4">
        <f>IFERROR(__xludf.DUMMYFUNCTION("""COMPUTED_VALUE"""),31.0)</f>
        <v>31</v>
      </c>
      <c r="H12677" s="4"/>
      <c r="I12677" s="4"/>
    </row>
    <row r="12678">
      <c r="A12678" s="4" t="str">
        <f>IFERROR(__xludf.DUMMYFUNCTION("""COMPUTED_VALUE"""),"cas_hmw")</f>
        <v>cas_hmw</v>
      </c>
      <c r="B12678" s="5">
        <f>IFERROR(__xludf.DUMMYFUNCTION("""COMPUTED_VALUE"""),44714.0)</f>
        <v>44714</v>
      </c>
      <c r="C12678" s="6">
        <f>IFERROR(__xludf.DUMMYFUNCTION("""COMPUTED_VALUE"""),0.7343865740731417)</f>
        <v>0.7343865741</v>
      </c>
      <c r="D12678" s="4">
        <f>IFERROR(__xludf.DUMMYFUNCTION("""COMPUTED_VALUE"""),13.055561)</f>
        <v>13.055561</v>
      </c>
      <c r="E12678" s="4">
        <f>IFERROR(__xludf.DUMMYFUNCTION("""COMPUTED_VALUE"""),80.255502)</f>
        <v>80.255502</v>
      </c>
      <c r="F12678" s="4">
        <f>IFERROR(__xludf.DUMMYFUNCTION("""COMPUTED_VALUE"""),2846.0)</f>
        <v>2846</v>
      </c>
      <c r="G12678" s="4">
        <f>IFERROR(__xludf.DUMMYFUNCTION("""COMPUTED_VALUE"""),31.0)</f>
        <v>31</v>
      </c>
      <c r="H12678" s="4"/>
      <c r="I12678" s="4"/>
    </row>
    <row r="12679">
      <c r="A12679" s="4" t="str">
        <f>IFERROR(__xludf.DUMMYFUNCTION("""COMPUTED_VALUE"""),"cas_hmw")</f>
        <v>cas_hmw</v>
      </c>
      <c r="B12679" s="5">
        <f>IFERROR(__xludf.DUMMYFUNCTION("""COMPUTED_VALUE"""),44714.0)</f>
        <v>44714</v>
      </c>
      <c r="C12679" s="6">
        <f>IFERROR(__xludf.DUMMYFUNCTION("""COMPUTED_VALUE"""),0.7349305555544561)</f>
        <v>0.7349305556</v>
      </c>
      <c r="D12679" s="4">
        <f>IFERROR(__xludf.DUMMYFUNCTION("""COMPUTED_VALUE"""),13.054365)</f>
        <v>13.054365</v>
      </c>
      <c r="E12679" s="4">
        <f>IFERROR(__xludf.DUMMYFUNCTION("""COMPUTED_VALUE"""),80.258714)</f>
        <v>80.258714</v>
      </c>
      <c r="F12679" s="4">
        <f>IFERROR(__xludf.DUMMYFUNCTION("""COMPUTED_VALUE"""),2846.0)</f>
        <v>2846</v>
      </c>
      <c r="G12679" s="4">
        <f>IFERROR(__xludf.DUMMYFUNCTION("""COMPUTED_VALUE"""),54.0)</f>
        <v>54</v>
      </c>
      <c r="H12679" s="4"/>
      <c r="I12679" s="4"/>
    </row>
    <row r="12680">
      <c r="A12680" s="4" t="str">
        <f>IFERROR(__xludf.DUMMYFUNCTION("""COMPUTED_VALUE"""),"cas_hmw")</f>
        <v>cas_hmw</v>
      </c>
      <c r="B12680" s="5">
        <f>IFERROR(__xludf.DUMMYFUNCTION("""COMPUTED_VALUE"""),44714.0)</f>
        <v>44714</v>
      </c>
      <c r="C12680" s="6">
        <f>IFERROR(__xludf.DUMMYFUNCTION("""COMPUTED_VALUE"""),0.7350925925929914)</f>
        <v>0.7350925926</v>
      </c>
      <c r="D12680" s="4">
        <f>IFERROR(__xludf.DUMMYFUNCTION("""COMPUTED_VALUE"""),13.054269)</f>
        <v>13.054269</v>
      </c>
      <c r="E12680" s="4">
        <f>IFERROR(__xludf.DUMMYFUNCTION("""COMPUTED_VALUE"""),80.259855)</f>
        <v>80.259855</v>
      </c>
      <c r="F12680" s="4">
        <f>IFERROR(__xludf.DUMMYFUNCTION("""COMPUTED_VALUE"""),2846.0)</f>
        <v>2846</v>
      </c>
      <c r="G12680" s="4">
        <f>IFERROR(__xludf.DUMMYFUNCTION("""COMPUTED_VALUE"""),37.0)</f>
        <v>37</v>
      </c>
      <c r="H12680" s="4"/>
      <c r="I12680" s="4"/>
    </row>
    <row r="12681">
      <c r="A12681" s="4" t="str">
        <f>IFERROR(__xludf.DUMMYFUNCTION("""COMPUTED_VALUE"""),"cas_hmw")</f>
        <v>cas_hmw</v>
      </c>
      <c r="B12681" s="5">
        <f>IFERROR(__xludf.DUMMYFUNCTION("""COMPUTED_VALUE"""),44714.0)</f>
        <v>44714</v>
      </c>
      <c r="C12681" s="6">
        <f>IFERROR(__xludf.DUMMYFUNCTION("""COMPUTED_VALUE"""),0.7351041666661331)</f>
        <v>0.7351041667</v>
      </c>
      <c r="D12681" s="4">
        <f>IFERROR(__xludf.DUMMYFUNCTION("""COMPUTED_VALUE"""),13.054269)</f>
        <v>13.054269</v>
      </c>
      <c r="E12681" s="4">
        <f>IFERROR(__xludf.DUMMYFUNCTION("""COMPUTED_VALUE"""),80.259855)</f>
        <v>80.259855</v>
      </c>
      <c r="F12681" s="4">
        <f>IFERROR(__xludf.DUMMYFUNCTION("""COMPUTED_VALUE"""),2846.0)</f>
        <v>2846</v>
      </c>
      <c r="G12681" s="4">
        <f>IFERROR(__xludf.DUMMYFUNCTION("""COMPUTED_VALUE"""),37.0)</f>
        <v>37</v>
      </c>
      <c r="H12681" s="4"/>
      <c r="I12681" s="4"/>
    </row>
    <row r="12682">
      <c r="A12682" s="4" t="str">
        <f>IFERROR(__xludf.DUMMYFUNCTION("""COMPUTED_VALUE"""),"cas_hmw")</f>
        <v>cas_hmw</v>
      </c>
      <c r="B12682" s="5">
        <f>IFERROR(__xludf.DUMMYFUNCTION("""COMPUTED_VALUE"""),44714.0)</f>
        <v>44714</v>
      </c>
      <c r="C12682" s="6">
        <f>IFERROR(__xludf.DUMMYFUNCTION("""COMPUTED_VALUE"""),0.7358912037052505)</f>
        <v>0.7358912037</v>
      </c>
      <c r="D12682" s="4">
        <f>IFERROR(__xludf.DUMMYFUNCTION("""COMPUTED_VALUE"""),13.053837)</f>
        <v>13.053837</v>
      </c>
      <c r="E12682" s="4">
        <f>IFERROR(__xludf.DUMMYFUNCTION("""COMPUTED_VALUE"""),80.264543)</f>
        <v>80.264543</v>
      </c>
      <c r="F12682" s="4">
        <f>IFERROR(__xludf.DUMMYFUNCTION("""COMPUTED_VALUE"""),2846.0)</f>
        <v>2846</v>
      </c>
      <c r="G12682" s="4">
        <f>IFERROR(__xludf.DUMMYFUNCTION("""COMPUTED_VALUE"""),33.0)</f>
        <v>33</v>
      </c>
      <c r="H12682" s="4"/>
      <c r="I12682" s="4"/>
    </row>
    <row r="12683">
      <c r="A12683" s="4" t="str">
        <f>IFERROR(__xludf.DUMMYFUNCTION("""COMPUTED_VALUE"""),"cas_hmw")</f>
        <v>cas_hmw</v>
      </c>
      <c r="B12683" s="5">
        <f>IFERROR(__xludf.DUMMYFUNCTION("""COMPUTED_VALUE"""),44714.0)</f>
        <v>44714</v>
      </c>
      <c r="C12683" s="6">
        <f>IFERROR(__xludf.DUMMYFUNCTION("""COMPUTED_VALUE"""),0.7359606481477385)</f>
        <v>0.7359606481</v>
      </c>
      <c r="D12683" s="4">
        <f>IFERROR(__xludf.DUMMYFUNCTION("""COMPUTED_VALUE"""),13.053748)</f>
        <v>13.053748</v>
      </c>
      <c r="E12683" s="4">
        <f>IFERROR(__xludf.DUMMYFUNCTION("""COMPUTED_VALUE"""),80.265506)</f>
        <v>80.265506</v>
      </c>
      <c r="F12683" s="4">
        <f>IFERROR(__xludf.DUMMYFUNCTION("""COMPUTED_VALUE"""),2846.0)</f>
        <v>2846</v>
      </c>
      <c r="G12683" s="4">
        <f>IFERROR(__xludf.DUMMYFUNCTION("""COMPUTED_VALUE"""),38.0)</f>
        <v>38</v>
      </c>
      <c r="H12683" s="4"/>
      <c r="I12683" s="4"/>
    </row>
    <row r="12684">
      <c r="A12684" s="4" t="str">
        <f>IFERROR(__xludf.DUMMYFUNCTION("""COMPUTED_VALUE"""),"cas_hmw")</f>
        <v>cas_hmw</v>
      </c>
      <c r="B12684" s="5">
        <f>IFERROR(__xludf.DUMMYFUNCTION("""COMPUTED_VALUE"""),44714.0)</f>
        <v>44714</v>
      </c>
      <c r="C12684" s="6">
        <f>IFERROR(__xludf.DUMMYFUNCTION("""COMPUTED_VALUE"""),0.7376967592608707)</f>
        <v>0.7376967593</v>
      </c>
      <c r="D12684" s="4">
        <f>IFERROR(__xludf.DUMMYFUNCTION("""COMPUTED_VALUE"""),12.529554)</f>
        <v>12.529554</v>
      </c>
      <c r="E12684" s="4">
        <f>IFERROR(__xludf.DUMMYFUNCTION("""COMPUTED_VALUE"""),79.899312)</f>
        <v>79.899312</v>
      </c>
      <c r="F12684" s="4">
        <f>IFERROR(__xludf.DUMMYFUNCTION("""COMPUTED_VALUE"""),805.0)</f>
        <v>805</v>
      </c>
      <c r="G12684" s="4">
        <f>IFERROR(__xludf.DUMMYFUNCTION("""COMPUTED_VALUE"""),56.0)</f>
        <v>56</v>
      </c>
      <c r="H12684" s="4"/>
      <c r="I12684" s="4"/>
    </row>
    <row r="12685">
      <c r="A12685" s="4" t="str">
        <f>IFERROR(__xludf.DUMMYFUNCTION("""COMPUTED_VALUE"""),"cas_hmw")</f>
        <v>cas_hmw</v>
      </c>
      <c r="B12685" s="5">
        <f>IFERROR(__xludf.DUMMYFUNCTION("""COMPUTED_VALUE"""),44714.0)</f>
        <v>44714</v>
      </c>
      <c r="C12685" s="6">
        <f>IFERROR(__xludf.DUMMYFUNCTION("""COMPUTED_VALUE"""),0.7379976851843821)</f>
        <v>0.7379976852</v>
      </c>
      <c r="D12685" s="4">
        <f>IFERROR(__xludf.DUMMYFUNCTION("""COMPUTED_VALUE"""),12.525153)</f>
        <v>12.525153</v>
      </c>
      <c r="E12685" s="4">
        <f>IFERROR(__xludf.DUMMYFUNCTION("""COMPUTED_VALUE"""),79.897149)</f>
        <v>79.897149</v>
      </c>
      <c r="F12685" s="4">
        <f>IFERROR(__xludf.DUMMYFUNCTION("""COMPUTED_VALUE"""),805.0)</f>
        <v>805</v>
      </c>
      <c r="G12685" s="4">
        <f>IFERROR(__xludf.DUMMYFUNCTION("""COMPUTED_VALUE"""),58.0)</f>
        <v>58</v>
      </c>
      <c r="H12685" s="4"/>
      <c r="I12685" s="4"/>
    </row>
    <row r="12686">
      <c r="A12686" s="4" t="str">
        <f>IFERROR(__xludf.DUMMYFUNCTION("""COMPUTED_VALUE"""),"cas_hmw")</f>
        <v>cas_hmw</v>
      </c>
      <c r="B12686" s="5">
        <f>IFERROR(__xludf.DUMMYFUNCTION("""COMPUTED_VALUE"""),44714.0)</f>
        <v>44714</v>
      </c>
      <c r="C12686" s="6">
        <f>IFERROR(__xludf.DUMMYFUNCTION("""COMPUTED_VALUE"""),0.7442129629635019)</f>
        <v>0.744212963</v>
      </c>
      <c r="D12686" s="4">
        <f>IFERROR(__xludf.DUMMYFUNCTION("""COMPUTED_VALUE"""),13.066352)</f>
        <v>13.066352</v>
      </c>
      <c r="E12686" s="4">
        <f>IFERROR(__xludf.DUMMYFUNCTION("""COMPUTED_VALUE"""),80.273718)</f>
        <v>80.273718</v>
      </c>
      <c r="F12686" s="4">
        <f>IFERROR(__xludf.DUMMYFUNCTION("""COMPUTED_VALUE"""),2846.0)</f>
        <v>2846</v>
      </c>
      <c r="G12686" s="4">
        <f>IFERROR(__xludf.DUMMYFUNCTION("""COMPUTED_VALUE"""),15.0)</f>
        <v>15</v>
      </c>
      <c r="H12686" s="4"/>
      <c r="I12686" s="4"/>
    </row>
    <row r="12687">
      <c r="A12687" s="4" t="str">
        <f>IFERROR(__xludf.DUMMYFUNCTION("""COMPUTED_VALUE"""),"cas_hmw")</f>
        <v>cas_hmw</v>
      </c>
      <c r="B12687" s="5">
        <f>IFERROR(__xludf.DUMMYFUNCTION("""COMPUTED_VALUE"""),44714.0)</f>
        <v>44714</v>
      </c>
      <c r="C12687" s="6">
        <f>IFERROR(__xludf.DUMMYFUNCTION("""COMPUTED_VALUE"""),0.7479745370364981)</f>
        <v>0.747974537</v>
      </c>
      <c r="D12687" s="4">
        <f>IFERROR(__xludf.DUMMYFUNCTION("""COMPUTED_VALUE"""),13.071461)</f>
        <v>13.071461</v>
      </c>
      <c r="E12687" s="4">
        <f>IFERROR(__xludf.DUMMYFUNCTION("""COMPUTED_VALUE"""),80.26471)</f>
        <v>80.26471</v>
      </c>
      <c r="F12687" s="4">
        <f>IFERROR(__xludf.DUMMYFUNCTION("""COMPUTED_VALUE"""),2846.0)</f>
        <v>2846</v>
      </c>
      <c r="G12687" s="4">
        <f>IFERROR(__xludf.DUMMYFUNCTION("""COMPUTED_VALUE"""),19.0)</f>
        <v>19</v>
      </c>
      <c r="H12687" s="4"/>
      <c r="I12687" s="4"/>
    </row>
    <row r="12688">
      <c r="A12688" s="4" t="str">
        <f>IFERROR(__xludf.DUMMYFUNCTION("""COMPUTED_VALUE"""),"cas_hmw")</f>
        <v>cas_hmw</v>
      </c>
      <c r="B12688" s="5">
        <f>IFERROR(__xludf.DUMMYFUNCTION("""COMPUTED_VALUE"""),44714.0)</f>
        <v>44714</v>
      </c>
      <c r="C12688" s="6">
        <f>IFERROR(__xludf.DUMMYFUNCTION("""COMPUTED_VALUE"""),0.7479861111096398)</f>
        <v>0.7479861111</v>
      </c>
      <c r="D12688" s="4">
        <f>IFERROR(__xludf.DUMMYFUNCTION("""COMPUTED_VALUE"""),13.071461)</f>
        <v>13.071461</v>
      </c>
      <c r="E12688" s="4">
        <f>IFERROR(__xludf.DUMMYFUNCTION("""COMPUTED_VALUE"""),80.26471)</f>
        <v>80.26471</v>
      </c>
      <c r="F12688" s="4">
        <f>IFERROR(__xludf.DUMMYFUNCTION("""COMPUTED_VALUE"""),2846.0)</f>
        <v>2846</v>
      </c>
      <c r="G12688" s="4">
        <f>IFERROR(__xludf.DUMMYFUNCTION("""COMPUTED_VALUE"""),19.0)</f>
        <v>19</v>
      </c>
      <c r="H12688" s="4"/>
      <c r="I12688" s="4"/>
    </row>
    <row r="12689">
      <c r="A12689" s="4" t="str">
        <f>IFERROR(__xludf.DUMMYFUNCTION("""COMPUTED_VALUE"""),"cas_hmw")</f>
        <v>cas_hmw</v>
      </c>
      <c r="B12689" s="5">
        <f>IFERROR(__xludf.DUMMYFUNCTION("""COMPUTED_VALUE"""),44714.0)</f>
        <v>44714</v>
      </c>
      <c r="C12689" s="6">
        <f>IFERROR(__xludf.DUMMYFUNCTION("""COMPUTED_VALUE"""),0.7480092592595611)</f>
        <v>0.7480092593</v>
      </c>
      <c r="D12689" s="4">
        <f>IFERROR(__xludf.DUMMYFUNCTION("""COMPUTED_VALUE"""),12.521421)</f>
        <v>12.521421</v>
      </c>
      <c r="E12689" s="4">
        <f>IFERROR(__xludf.DUMMYFUNCTION("""COMPUTED_VALUE"""),79.894773)</f>
        <v>79.894773</v>
      </c>
      <c r="F12689" s="4">
        <f>IFERROR(__xludf.DUMMYFUNCTION("""COMPUTED_VALUE"""),805.0)</f>
        <v>805</v>
      </c>
      <c r="G12689" s="4">
        <f>IFERROR(__xludf.DUMMYFUNCTION("""COMPUTED_VALUE"""),58.0)</f>
        <v>58</v>
      </c>
      <c r="H12689" s="4"/>
      <c r="I12689" s="4"/>
    </row>
    <row r="12690">
      <c r="A12690" s="4" t="str">
        <f>IFERROR(__xludf.DUMMYFUNCTION("""COMPUTED_VALUE"""),"cas_hmw")</f>
        <v>cas_hmw</v>
      </c>
      <c r="B12690" s="5">
        <f>IFERROR(__xludf.DUMMYFUNCTION("""COMPUTED_VALUE"""),44714.0)</f>
        <v>44714</v>
      </c>
      <c r="C12690" s="6">
        <f>IFERROR(__xludf.DUMMYFUNCTION("""COMPUTED_VALUE"""),0.7492361111108039)</f>
        <v>0.7492361111</v>
      </c>
      <c r="D12690" s="4">
        <f>IFERROR(__xludf.DUMMYFUNCTION("""COMPUTED_VALUE"""),13.072862)</f>
        <v>13.072862</v>
      </c>
      <c r="E12690" s="4">
        <f>IFERROR(__xludf.DUMMYFUNCTION("""COMPUTED_VALUE"""),80.262068)</f>
        <v>80.262068</v>
      </c>
      <c r="F12690" s="4">
        <f>IFERROR(__xludf.DUMMYFUNCTION("""COMPUTED_VALUE"""),2846.0)</f>
        <v>2846</v>
      </c>
      <c r="G12690" s="4">
        <f>IFERROR(__xludf.DUMMYFUNCTION("""COMPUTED_VALUE"""),25.0)</f>
        <v>25</v>
      </c>
      <c r="H12690" s="4"/>
      <c r="I12690" s="4"/>
    </row>
    <row r="12691">
      <c r="A12691" s="4" t="str">
        <f>IFERROR(__xludf.DUMMYFUNCTION("""COMPUTED_VALUE"""),"cas_hmw")</f>
        <v>cas_hmw</v>
      </c>
      <c r="B12691" s="5">
        <f>IFERROR(__xludf.DUMMYFUNCTION("""COMPUTED_VALUE"""),44714.0)</f>
        <v>44714</v>
      </c>
      <c r="C12691" s="6">
        <f>IFERROR(__xludf.DUMMYFUNCTION("""COMPUTED_VALUE"""),0.7591203703705105)</f>
        <v>0.7591203704</v>
      </c>
      <c r="D12691" s="4">
        <f>IFERROR(__xludf.DUMMYFUNCTION("""COMPUTED_VALUE"""),12.641497)</f>
        <v>12.641497</v>
      </c>
      <c r="E12691" s="4">
        <f>IFERROR(__xludf.DUMMYFUNCTION("""COMPUTED_VALUE"""),79.93717)</f>
        <v>79.93717</v>
      </c>
      <c r="F12691" s="4">
        <f>IFERROR(__xludf.DUMMYFUNCTION("""COMPUTED_VALUE"""),805.0)</f>
        <v>805</v>
      </c>
      <c r="G12691" s="4">
        <f>IFERROR(__xludf.DUMMYFUNCTION("""COMPUTED_VALUE"""),59.0)</f>
        <v>59</v>
      </c>
      <c r="H12691" s="4"/>
      <c r="I12691" s="4"/>
    </row>
    <row r="12692">
      <c r="A12692" s="4" t="str">
        <f>IFERROR(__xludf.DUMMYFUNCTION("""COMPUTED_VALUE"""),"cas_hmw")</f>
        <v>cas_hmw</v>
      </c>
      <c r="B12692" s="5">
        <f>IFERROR(__xludf.DUMMYFUNCTION("""COMPUTED_VALUE"""),44714.0)</f>
        <v>44714</v>
      </c>
      <c r="C12692" s="6">
        <f>IFERROR(__xludf.DUMMYFUNCTION("""COMPUTED_VALUE"""),0.7602314814830606)</f>
        <v>0.7602314815</v>
      </c>
      <c r="D12692" s="4">
        <f>IFERROR(__xludf.DUMMYFUNCTION("""COMPUTED_VALUE"""),12.65435)</f>
        <v>12.65435</v>
      </c>
      <c r="E12692" s="4">
        <f>IFERROR(__xludf.DUMMYFUNCTION("""COMPUTED_VALUE"""),79.939981)</f>
        <v>79.939981</v>
      </c>
      <c r="F12692" s="4">
        <f>IFERROR(__xludf.DUMMYFUNCTION("""COMPUTED_VALUE"""),805.0)</f>
        <v>805</v>
      </c>
      <c r="G12692" s="4">
        <f>IFERROR(__xludf.DUMMYFUNCTION("""COMPUTED_VALUE"""),58.0)</f>
        <v>58</v>
      </c>
      <c r="H12692" s="4"/>
      <c r="I12692" s="4"/>
    </row>
    <row r="12693">
      <c r="A12693" s="4" t="str">
        <f>IFERROR(__xludf.DUMMYFUNCTION("""COMPUTED_VALUE"""),"cas_hmw")</f>
        <v>cas_hmw</v>
      </c>
      <c r="B12693" s="5">
        <f>IFERROR(__xludf.DUMMYFUNCTION("""COMPUTED_VALUE"""),44714.0)</f>
        <v>44714</v>
      </c>
      <c r="C12693" s="6">
        <f>IFERROR(__xludf.DUMMYFUNCTION("""COMPUTED_VALUE"""),0.7603472222217533)</f>
        <v>0.7603472222</v>
      </c>
      <c r="D12693" s="4">
        <f>IFERROR(__xludf.DUMMYFUNCTION("""COMPUTED_VALUE"""),12.656629)</f>
        <v>12.656629</v>
      </c>
      <c r="E12693" s="4">
        <f>IFERROR(__xludf.DUMMYFUNCTION("""COMPUTED_VALUE"""),79.940467)</f>
        <v>79.940467</v>
      </c>
      <c r="F12693" s="4">
        <f>IFERROR(__xludf.DUMMYFUNCTION("""COMPUTED_VALUE"""),805.0)</f>
        <v>805</v>
      </c>
      <c r="G12693" s="4">
        <f>IFERROR(__xludf.DUMMYFUNCTION("""COMPUTED_VALUE"""),58.0)</f>
        <v>58</v>
      </c>
      <c r="H12693" s="4"/>
      <c r="I12693" s="4"/>
    </row>
    <row r="12694">
      <c r="A12694" s="4" t="str">
        <f>IFERROR(__xludf.DUMMYFUNCTION("""COMPUTED_VALUE"""),"cas_hmw")</f>
        <v>cas_hmw</v>
      </c>
      <c r="B12694" s="5">
        <f>IFERROR(__xludf.DUMMYFUNCTION("""COMPUTED_VALUE"""),44714.0)</f>
        <v>44714</v>
      </c>
      <c r="C12694" s="6">
        <f>IFERROR(__xludf.DUMMYFUNCTION("""COMPUTED_VALUE"""),0.7606597222220444)</f>
        <v>0.7606597222</v>
      </c>
      <c r="D12694" s="4">
        <f>IFERROR(__xludf.DUMMYFUNCTION("""COMPUTED_VALUE"""),12.658153)</f>
        <v>12.658153</v>
      </c>
      <c r="E12694" s="4">
        <f>IFERROR(__xludf.DUMMYFUNCTION("""COMPUTED_VALUE"""),79.942124)</f>
        <v>79.942124</v>
      </c>
      <c r="F12694" s="4">
        <f>IFERROR(__xludf.DUMMYFUNCTION("""COMPUTED_VALUE"""),805.0)</f>
        <v>805</v>
      </c>
      <c r="G12694" s="4">
        <f>IFERROR(__xludf.DUMMYFUNCTION("""COMPUTED_VALUE"""),51.0)</f>
        <v>51</v>
      </c>
      <c r="H12694" s="4"/>
      <c r="I12694" s="4"/>
    </row>
    <row r="12695">
      <c r="A12695" s="4" t="str">
        <f>IFERROR(__xludf.DUMMYFUNCTION("""COMPUTED_VALUE"""),"cas_hmw")</f>
        <v>cas_hmw</v>
      </c>
      <c r="B12695" s="5">
        <f>IFERROR(__xludf.DUMMYFUNCTION("""COMPUTED_VALUE"""),44714.0)</f>
        <v>44714</v>
      </c>
      <c r="C12695" s="6">
        <f>IFERROR(__xludf.DUMMYFUNCTION("""COMPUTED_VALUE"""),0.765937500000291)</f>
        <v>0.7659375</v>
      </c>
      <c r="D12695" s="4">
        <f>IFERROR(__xludf.DUMMYFUNCTION("""COMPUTED_VALUE"""),12.700938)</f>
        <v>12.700938</v>
      </c>
      <c r="E12695" s="4">
        <f>IFERROR(__xludf.DUMMYFUNCTION("""COMPUTED_VALUE"""),79.969027)</f>
        <v>79.969027</v>
      </c>
      <c r="F12695" s="4">
        <f>IFERROR(__xludf.DUMMYFUNCTION("""COMPUTED_VALUE"""),805.0)</f>
        <v>805</v>
      </c>
      <c r="G12695" s="4">
        <f>IFERROR(__xludf.DUMMYFUNCTION("""COMPUTED_VALUE"""),59.0)</f>
        <v>59</v>
      </c>
      <c r="H12695" s="4"/>
      <c r="I12695" s="4"/>
    </row>
    <row r="12696">
      <c r="A12696" s="4" t="str">
        <f>IFERROR(__xludf.DUMMYFUNCTION("""COMPUTED_VALUE"""),"cas_hmw")</f>
        <v>cas_hmw</v>
      </c>
      <c r="B12696" s="5">
        <f>IFERROR(__xludf.DUMMYFUNCTION("""COMPUTED_VALUE"""),44714.0)</f>
        <v>44714</v>
      </c>
      <c r="C12696" s="6">
        <f>IFERROR(__xludf.DUMMYFUNCTION("""COMPUTED_VALUE"""),0.7723958333335759)</f>
        <v>0.7723958333</v>
      </c>
      <c r="D12696" s="4">
        <f>IFERROR(__xludf.DUMMYFUNCTION("""COMPUTED_VALUE"""),12.755971)</f>
        <v>12.755971</v>
      </c>
      <c r="E12696" s="4">
        <f>IFERROR(__xludf.DUMMYFUNCTION("""COMPUTED_VALUE"""),80.001791)</f>
        <v>80.001791</v>
      </c>
      <c r="F12696" s="4">
        <f>IFERROR(__xludf.DUMMYFUNCTION("""COMPUTED_VALUE"""),805.0)</f>
        <v>805</v>
      </c>
      <c r="G12696" s="4">
        <f>IFERROR(__xludf.DUMMYFUNCTION("""COMPUTED_VALUE"""),58.0)</f>
        <v>58</v>
      </c>
      <c r="H12696" s="4"/>
      <c r="I12696" s="4"/>
    </row>
    <row r="12697">
      <c r="A12697" s="4" t="str">
        <f>IFERROR(__xludf.DUMMYFUNCTION("""COMPUTED_VALUE"""),"cas_hmw")</f>
        <v>cas_hmw</v>
      </c>
      <c r="B12697" s="5">
        <f>IFERROR(__xludf.DUMMYFUNCTION("""COMPUTED_VALUE"""),44714.0)</f>
        <v>44714</v>
      </c>
      <c r="C12697" s="6">
        <f>IFERROR(__xludf.DUMMYFUNCTION("""COMPUTED_VALUE"""),0.7728009259262762)</f>
        <v>0.7728009259</v>
      </c>
      <c r="D12697" s="4">
        <f>IFERROR(__xludf.DUMMYFUNCTION("""COMPUTED_VALUE"""),12.761987)</f>
        <v>12.761987</v>
      </c>
      <c r="E12697" s="4">
        <f>IFERROR(__xludf.DUMMYFUNCTION("""COMPUTED_VALUE"""),80.00368)</f>
        <v>80.00368</v>
      </c>
      <c r="F12697" s="4">
        <f>IFERROR(__xludf.DUMMYFUNCTION("""COMPUTED_VALUE"""),805.0)</f>
        <v>805</v>
      </c>
      <c r="G12697" s="4">
        <f>IFERROR(__xludf.DUMMYFUNCTION("""COMPUTED_VALUE"""),44.0)</f>
        <v>44</v>
      </c>
      <c r="H12697" s="4"/>
      <c r="I12697" s="4"/>
    </row>
    <row r="12698">
      <c r="A12698" s="4" t="str">
        <f>IFERROR(__xludf.DUMMYFUNCTION("""COMPUTED_VALUE"""),"cas_hmw")</f>
        <v>cas_hmw</v>
      </c>
      <c r="B12698" s="5">
        <f>IFERROR(__xludf.DUMMYFUNCTION("""COMPUTED_VALUE"""),44714.0)</f>
        <v>44714</v>
      </c>
      <c r="C12698" s="6">
        <f>IFERROR(__xludf.DUMMYFUNCTION("""COMPUTED_VALUE"""),0.7738657407389837)</f>
        <v>0.7738657407</v>
      </c>
      <c r="D12698" s="4">
        <f>IFERROR(__xludf.DUMMYFUNCTION("""COMPUTED_VALUE"""),12.770934)</f>
        <v>12.770934</v>
      </c>
      <c r="E12698" s="4">
        <f>IFERROR(__xludf.DUMMYFUNCTION("""COMPUTED_VALUE"""),80.007564)</f>
        <v>80.007564</v>
      </c>
      <c r="F12698" s="4">
        <f>IFERROR(__xludf.DUMMYFUNCTION("""COMPUTED_VALUE"""),805.0)</f>
        <v>805</v>
      </c>
      <c r="G12698" s="4">
        <f>IFERROR(__xludf.DUMMYFUNCTION("""COMPUTED_VALUE"""),46.0)</f>
        <v>46</v>
      </c>
      <c r="H12698" s="4"/>
      <c r="I12698" s="4"/>
    </row>
    <row r="12699">
      <c r="A12699" s="4" t="str">
        <f>IFERROR(__xludf.DUMMYFUNCTION("""COMPUTED_VALUE"""),"cas_hmw")</f>
        <v>cas_hmw</v>
      </c>
      <c r="B12699" s="5">
        <f>IFERROR(__xludf.DUMMYFUNCTION("""COMPUTED_VALUE"""),44714.0)</f>
        <v>44714</v>
      </c>
      <c r="C12699" s="6">
        <f>IFERROR(__xludf.DUMMYFUNCTION("""COMPUTED_VALUE"""),0.7770949074074451)</f>
        <v>0.7770949074</v>
      </c>
      <c r="D12699" s="4">
        <f>IFERROR(__xludf.DUMMYFUNCTION("""COMPUTED_VALUE"""),12.803412)</f>
        <v>12.803412</v>
      </c>
      <c r="E12699" s="4">
        <f>IFERROR(__xludf.DUMMYFUNCTION("""COMPUTED_VALUE"""),80.025596)</f>
        <v>80.025596</v>
      </c>
      <c r="F12699" s="4">
        <f>IFERROR(__xludf.DUMMYFUNCTION("""COMPUTED_VALUE"""),805.0)</f>
        <v>805</v>
      </c>
      <c r="G12699" s="4">
        <f>IFERROR(__xludf.DUMMYFUNCTION("""COMPUTED_VALUE"""),53.0)</f>
        <v>53</v>
      </c>
      <c r="H12699" s="4"/>
      <c r="I12699" s="4"/>
    </row>
    <row r="12700">
      <c r="A12700" s="4" t="str">
        <f>IFERROR(__xludf.DUMMYFUNCTION("""COMPUTED_VALUE"""),"cas_hmw")</f>
        <v>cas_hmw</v>
      </c>
      <c r="B12700" s="5">
        <f>IFERROR(__xludf.DUMMYFUNCTION("""COMPUTED_VALUE"""),44714.0)</f>
        <v>44714</v>
      </c>
      <c r="C12700" s="6">
        <f>IFERROR(__xludf.DUMMYFUNCTION("""COMPUTED_VALUE"""),0.7774189814808778)</f>
        <v>0.7774189815</v>
      </c>
      <c r="D12700" s="4">
        <f>IFERROR(__xludf.DUMMYFUNCTION("""COMPUTED_VALUE"""),12.803412)</f>
        <v>12.803412</v>
      </c>
      <c r="E12700" s="4">
        <f>IFERROR(__xludf.DUMMYFUNCTION("""COMPUTED_VALUE"""),80.025596)</f>
        <v>80.025596</v>
      </c>
      <c r="F12700" s="4">
        <f>IFERROR(__xludf.DUMMYFUNCTION("""COMPUTED_VALUE"""),805.0)</f>
        <v>805</v>
      </c>
      <c r="G12700" s="4">
        <f>IFERROR(__xludf.DUMMYFUNCTION("""COMPUTED_VALUE"""),53.0)</f>
        <v>53</v>
      </c>
      <c r="H12700" s="4"/>
      <c r="I12700" s="4"/>
    </row>
    <row r="12701">
      <c r="A12701" s="4" t="str">
        <f>IFERROR(__xludf.DUMMYFUNCTION("""COMPUTED_VALUE"""),"cas_hmw")</f>
        <v>cas_hmw</v>
      </c>
      <c r="B12701" s="5">
        <f>IFERROR(__xludf.DUMMYFUNCTION("""COMPUTED_VALUE"""),44714.0)</f>
        <v>44714</v>
      </c>
      <c r="C12701" s="6">
        <f>IFERROR(__xludf.DUMMYFUNCTION("""COMPUTED_VALUE"""),0.7785532407397113)</f>
        <v>0.7785532407</v>
      </c>
      <c r="D12701" s="4">
        <f>IFERROR(__xludf.DUMMYFUNCTION("""COMPUTED_VALUE"""),12.815758)</f>
        <v>12.815758</v>
      </c>
      <c r="E12701" s="4">
        <f>IFERROR(__xludf.DUMMYFUNCTION("""COMPUTED_VALUE"""),80.033637)</f>
        <v>80.033637</v>
      </c>
      <c r="F12701" s="4">
        <f>IFERROR(__xludf.DUMMYFUNCTION("""COMPUTED_VALUE"""),805.0)</f>
        <v>805</v>
      </c>
      <c r="G12701" s="4">
        <f>IFERROR(__xludf.DUMMYFUNCTION("""COMPUTED_VALUE"""),58.0)</f>
        <v>58</v>
      </c>
      <c r="H12701" s="4"/>
      <c r="I12701" s="4"/>
    </row>
    <row r="12702">
      <c r="A12702" s="4" t="str">
        <f>IFERROR(__xludf.DUMMYFUNCTION("""COMPUTED_VALUE"""),"cas_hmw")</f>
        <v>cas_hmw</v>
      </c>
      <c r="B12702" s="5">
        <f>IFERROR(__xludf.DUMMYFUNCTION("""COMPUTED_VALUE"""),44714.0)</f>
        <v>44714</v>
      </c>
      <c r="C12702" s="6">
        <f>IFERROR(__xludf.DUMMYFUNCTION("""COMPUTED_VALUE"""),0.7795949074061355)</f>
        <v>0.7795949074</v>
      </c>
      <c r="D12702" s="4">
        <f>IFERROR(__xludf.DUMMYFUNCTION("""COMPUTED_VALUE"""),12.826451)</f>
        <v>12.826451</v>
      </c>
      <c r="E12702" s="4">
        <f>IFERROR(__xludf.DUMMYFUNCTION("""COMPUTED_VALUE"""),80.041281)</f>
        <v>80.041281</v>
      </c>
      <c r="F12702" s="4">
        <f>IFERROR(__xludf.DUMMYFUNCTION("""COMPUTED_VALUE"""),805.0)</f>
        <v>805</v>
      </c>
      <c r="G12702" s="4">
        <f>IFERROR(__xludf.DUMMYFUNCTION("""COMPUTED_VALUE"""),49.0)</f>
        <v>49</v>
      </c>
      <c r="H12702" s="4"/>
      <c r="I12702" s="4"/>
    </row>
    <row r="12703">
      <c r="A12703" s="4" t="str">
        <f>IFERROR(__xludf.DUMMYFUNCTION("""COMPUTED_VALUE"""),"cas_hmw")</f>
        <v>cas_hmw</v>
      </c>
      <c r="B12703" s="5">
        <f>IFERROR(__xludf.DUMMYFUNCTION("""COMPUTED_VALUE"""),44714.0)</f>
        <v>44714</v>
      </c>
      <c r="C12703" s="6">
        <f>IFERROR(__xludf.DUMMYFUNCTION("""COMPUTED_VALUE"""),0.7796527777791198)</f>
        <v>0.7796527778</v>
      </c>
      <c r="D12703" s="4">
        <f>IFERROR(__xludf.DUMMYFUNCTION("""COMPUTED_VALUE"""),12.826451)</f>
        <v>12.826451</v>
      </c>
      <c r="E12703" s="4">
        <f>IFERROR(__xludf.DUMMYFUNCTION("""COMPUTED_VALUE"""),80.041281)</f>
        <v>80.041281</v>
      </c>
      <c r="F12703" s="4">
        <f>IFERROR(__xludf.DUMMYFUNCTION("""COMPUTED_VALUE"""),805.0)</f>
        <v>805</v>
      </c>
      <c r="G12703" s="4">
        <f>IFERROR(__xludf.DUMMYFUNCTION("""COMPUTED_VALUE"""),49.0)</f>
        <v>49</v>
      </c>
      <c r="H12703" s="4"/>
      <c r="I12703" s="4"/>
    </row>
    <row r="12704">
      <c r="A12704" s="4" t="str">
        <f>IFERROR(__xludf.DUMMYFUNCTION("""COMPUTED_VALUE"""),"cas_hmw")</f>
        <v>cas_hmw</v>
      </c>
      <c r="B12704" s="5">
        <f>IFERROR(__xludf.DUMMYFUNCTION("""COMPUTED_VALUE"""),44714.0)</f>
        <v>44714</v>
      </c>
      <c r="C12704" s="6">
        <f>IFERROR(__xludf.DUMMYFUNCTION("""COMPUTED_VALUE"""),0.7796874999985448)</f>
        <v>0.7796875</v>
      </c>
      <c r="D12704" s="4">
        <f>IFERROR(__xludf.DUMMYFUNCTION("""COMPUTED_VALUE"""),12.827656)</f>
        <v>12.827656</v>
      </c>
      <c r="E12704" s="4">
        <f>IFERROR(__xludf.DUMMYFUNCTION("""COMPUTED_VALUE"""),80.042522)</f>
        <v>80.042522</v>
      </c>
      <c r="F12704" s="4">
        <f>IFERROR(__xludf.DUMMYFUNCTION("""COMPUTED_VALUE"""),805.0)</f>
        <v>805</v>
      </c>
      <c r="G12704" s="4">
        <f>IFERROR(__xludf.DUMMYFUNCTION("""COMPUTED_VALUE"""),45.0)</f>
        <v>45</v>
      </c>
      <c r="H12704" s="4"/>
      <c r="I12704" s="4"/>
    </row>
    <row r="12705">
      <c r="A12705" s="4" t="str">
        <f>IFERROR(__xludf.DUMMYFUNCTION("""COMPUTED_VALUE"""),"cas_hmw")</f>
        <v>cas_hmw</v>
      </c>
      <c r="B12705" s="5">
        <f>IFERROR(__xludf.DUMMYFUNCTION("""COMPUTED_VALUE"""),44714.0)</f>
        <v>44714</v>
      </c>
      <c r="C12705" s="6">
        <f>IFERROR(__xludf.DUMMYFUNCTION("""COMPUTED_VALUE"""),0.7796990740753245)</f>
        <v>0.7796990741</v>
      </c>
      <c r="D12705" s="4">
        <f>IFERROR(__xludf.DUMMYFUNCTION("""COMPUTED_VALUE"""),12.827656)</f>
        <v>12.827656</v>
      </c>
      <c r="E12705" s="4">
        <f>IFERROR(__xludf.DUMMYFUNCTION("""COMPUTED_VALUE"""),80.042522)</f>
        <v>80.042522</v>
      </c>
      <c r="F12705" s="4">
        <f>IFERROR(__xludf.DUMMYFUNCTION("""COMPUTED_VALUE"""),805.0)</f>
        <v>805</v>
      </c>
      <c r="G12705" s="4">
        <f>IFERROR(__xludf.DUMMYFUNCTION("""COMPUTED_VALUE"""),45.0)</f>
        <v>45</v>
      </c>
      <c r="H12705" s="4"/>
      <c r="I12705" s="4"/>
    </row>
    <row r="12706">
      <c r="A12706" s="4" t="str">
        <f>IFERROR(__xludf.DUMMYFUNCTION("""COMPUTED_VALUE"""),"cas_hmw")</f>
        <v>cas_hmw</v>
      </c>
      <c r="B12706" s="5">
        <f>IFERROR(__xludf.DUMMYFUNCTION("""COMPUTED_VALUE"""),44714.0)</f>
        <v>44714</v>
      </c>
      <c r="C12706" s="6">
        <f>IFERROR(__xludf.DUMMYFUNCTION("""COMPUTED_VALUE"""),0.7797106481484661)</f>
        <v>0.7797106481</v>
      </c>
      <c r="D12706" s="4">
        <f>IFERROR(__xludf.DUMMYFUNCTION("""COMPUTED_VALUE"""),12.827656)</f>
        <v>12.827656</v>
      </c>
      <c r="E12706" s="4">
        <f>IFERROR(__xludf.DUMMYFUNCTION("""COMPUTED_VALUE"""),80.042522)</f>
        <v>80.042522</v>
      </c>
      <c r="F12706" s="4">
        <f>IFERROR(__xludf.DUMMYFUNCTION("""COMPUTED_VALUE"""),805.0)</f>
        <v>805</v>
      </c>
      <c r="G12706" s="4">
        <f>IFERROR(__xludf.DUMMYFUNCTION("""COMPUTED_VALUE"""),45.0)</f>
        <v>45</v>
      </c>
      <c r="H12706" s="4"/>
      <c r="I12706" s="4"/>
    </row>
    <row r="12707">
      <c r="A12707" s="4" t="str">
        <f>IFERROR(__xludf.DUMMYFUNCTION("""COMPUTED_VALUE"""),"cas_hmw")</f>
        <v>cas_hmw</v>
      </c>
      <c r="B12707" s="5">
        <f>IFERROR(__xludf.DUMMYFUNCTION("""COMPUTED_VALUE"""),44714.0)</f>
        <v>44714</v>
      </c>
      <c r="C12707" s="6">
        <f>IFERROR(__xludf.DUMMYFUNCTION("""COMPUTED_VALUE"""),0.7797222222216078)</f>
        <v>0.7797222222</v>
      </c>
      <c r="D12707" s="4">
        <f>IFERROR(__xludf.DUMMYFUNCTION("""COMPUTED_VALUE"""),12.827656)</f>
        <v>12.827656</v>
      </c>
      <c r="E12707" s="4">
        <f>IFERROR(__xludf.DUMMYFUNCTION("""COMPUTED_VALUE"""),80.042522)</f>
        <v>80.042522</v>
      </c>
      <c r="F12707" s="4">
        <f>IFERROR(__xludf.DUMMYFUNCTION("""COMPUTED_VALUE"""),805.0)</f>
        <v>805</v>
      </c>
      <c r="G12707" s="4">
        <f>IFERROR(__xludf.DUMMYFUNCTION("""COMPUTED_VALUE"""),45.0)</f>
        <v>45</v>
      </c>
      <c r="H12707" s="4"/>
      <c r="I12707" s="4"/>
    </row>
    <row r="12708">
      <c r="A12708" s="4" t="str">
        <f>IFERROR(__xludf.DUMMYFUNCTION("""COMPUTED_VALUE"""),"cas_hmw")</f>
        <v>cas_hmw</v>
      </c>
      <c r="B12708" s="5">
        <f>IFERROR(__xludf.DUMMYFUNCTION("""COMPUTED_VALUE"""),44714.0)</f>
        <v>44714</v>
      </c>
      <c r="C12708" s="6">
        <f>IFERROR(__xludf.DUMMYFUNCTION("""COMPUTED_VALUE"""),0.7801041666680248)</f>
        <v>0.7801041667</v>
      </c>
      <c r="D12708" s="4">
        <f>IFERROR(__xludf.DUMMYFUNCTION("""COMPUTED_VALUE"""),12.830275)</f>
        <v>12.830275</v>
      </c>
      <c r="E12708" s="4">
        <f>IFERROR(__xludf.DUMMYFUNCTION("""COMPUTED_VALUE"""),80.045267)</f>
        <v>80.045267</v>
      </c>
      <c r="F12708" s="4">
        <f>IFERROR(__xludf.DUMMYFUNCTION("""COMPUTED_VALUE"""),805.0)</f>
        <v>805</v>
      </c>
      <c r="G12708" s="4">
        <f>IFERROR(__xludf.DUMMYFUNCTION("""COMPUTED_VALUE"""),32.0)</f>
        <v>32</v>
      </c>
      <c r="H12708" s="4"/>
      <c r="I12708" s="4"/>
    </row>
    <row r="12709">
      <c r="A12709" s="4" t="str">
        <f>IFERROR(__xludf.DUMMYFUNCTION("""COMPUTED_VALUE"""),"cas_hmw")</f>
        <v>cas_hmw</v>
      </c>
      <c r="B12709" s="5">
        <f>IFERROR(__xludf.DUMMYFUNCTION("""COMPUTED_VALUE"""),44714.0)</f>
        <v>44714</v>
      </c>
      <c r="C12709" s="6">
        <f>IFERROR(__xludf.DUMMYFUNCTION("""COMPUTED_VALUE"""),0.7814814814810234)</f>
        <v>0.7814814815</v>
      </c>
      <c r="D12709" s="4">
        <f>IFERROR(__xludf.DUMMYFUNCTION("""COMPUTED_VALUE"""),12.838585)</f>
        <v>12.838585</v>
      </c>
      <c r="E12709" s="4">
        <f>IFERROR(__xludf.DUMMYFUNCTION("""COMPUTED_VALUE"""),80.054021)</f>
        <v>80.054021</v>
      </c>
      <c r="F12709" s="4">
        <f>IFERROR(__xludf.DUMMYFUNCTION("""COMPUTED_VALUE"""),805.0)</f>
        <v>805</v>
      </c>
      <c r="G12709" s="4">
        <f>IFERROR(__xludf.DUMMYFUNCTION("""COMPUTED_VALUE"""),48.0)</f>
        <v>48</v>
      </c>
      <c r="H12709" s="4"/>
      <c r="I12709" s="4"/>
    </row>
    <row r="12710">
      <c r="A12710" s="4" t="str">
        <f>IFERROR(__xludf.DUMMYFUNCTION("""COMPUTED_VALUE"""),"cas_hmw")</f>
        <v>cas_hmw</v>
      </c>
      <c r="B12710" s="5">
        <f>IFERROR(__xludf.DUMMYFUNCTION("""COMPUTED_VALUE"""),44714.0)</f>
        <v>44714</v>
      </c>
      <c r="C12710" s="6">
        <f>IFERROR(__xludf.DUMMYFUNCTION("""COMPUTED_VALUE"""),0.7846990740727051)</f>
        <v>0.7846990741</v>
      </c>
      <c r="D12710" s="4">
        <f>IFERROR(__xludf.DUMMYFUNCTION("""COMPUTED_VALUE"""),12.845681)</f>
        <v>12.845681</v>
      </c>
      <c r="E12710" s="4">
        <f>IFERROR(__xludf.DUMMYFUNCTION("""COMPUTED_VALUE"""),80.061438)</f>
        <v>80.061438</v>
      </c>
      <c r="F12710" s="4">
        <f>IFERROR(__xludf.DUMMYFUNCTION("""COMPUTED_VALUE"""),805.0)</f>
        <v>805</v>
      </c>
      <c r="G12710" s="4">
        <f>IFERROR(__xludf.DUMMYFUNCTION("""COMPUTED_VALUE"""),8.0)</f>
        <v>8</v>
      </c>
      <c r="H12710" s="4"/>
      <c r="I12710" s="4"/>
    </row>
    <row r="12711">
      <c r="A12711" s="4" t="str">
        <f>IFERROR(__xludf.DUMMYFUNCTION("""COMPUTED_VALUE"""),"cas_hmw")</f>
        <v>cas_hmw</v>
      </c>
      <c r="B12711" s="5">
        <f>IFERROR(__xludf.DUMMYFUNCTION("""COMPUTED_VALUE"""),44714.0)</f>
        <v>44714</v>
      </c>
      <c r="C12711" s="6">
        <f>IFERROR(__xludf.DUMMYFUNCTION("""COMPUTED_VALUE"""),0.7849768518535711)</f>
        <v>0.7849768519</v>
      </c>
      <c r="D12711" s="4">
        <f>IFERROR(__xludf.DUMMYFUNCTION("""COMPUTED_VALUE"""),12.846636)</f>
        <v>12.846636</v>
      </c>
      <c r="E12711" s="4">
        <f>IFERROR(__xludf.DUMMYFUNCTION("""COMPUTED_VALUE"""),80.062283)</f>
        <v>80.062283</v>
      </c>
      <c r="F12711" s="4">
        <f>IFERROR(__xludf.DUMMYFUNCTION("""COMPUTED_VALUE"""),805.0)</f>
        <v>805</v>
      </c>
      <c r="G12711" s="4">
        <f>IFERROR(__xludf.DUMMYFUNCTION("""COMPUTED_VALUE"""),30.0)</f>
        <v>30</v>
      </c>
      <c r="H12711" s="4"/>
      <c r="I12711" s="4"/>
    </row>
    <row r="12712">
      <c r="A12712" s="4" t="str">
        <f>IFERROR(__xludf.DUMMYFUNCTION("""COMPUTED_VALUE"""),"cas_hmw")</f>
        <v>cas_hmw</v>
      </c>
      <c r="B12712" s="5">
        <f>IFERROR(__xludf.DUMMYFUNCTION("""COMPUTED_VALUE"""),44714.0)</f>
        <v>44714</v>
      </c>
      <c r="C12712" s="6">
        <f>IFERROR(__xludf.DUMMYFUNCTION("""COMPUTED_VALUE"""),0.7852662037039408)</f>
        <v>0.7852662037</v>
      </c>
      <c r="D12712" s="4">
        <f>IFERROR(__xludf.DUMMYFUNCTION("""COMPUTED_VALUE"""),12.849183)</f>
        <v>12.849183</v>
      </c>
      <c r="E12712" s="4">
        <f>IFERROR(__xludf.DUMMYFUNCTION("""COMPUTED_VALUE"""),80.064076)</f>
        <v>80.064076</v>
      </c>
      <c r="F12712" s="4">
        <f>IFERROR(__xludf.DUMMYFUNCTION("""COMPUTED_VALUE"""),805.0)</f>
        <v>805</v>
      </c>
      <c r="G12712" s="4">
        <f>IFERROR(__xludf.DUMMYFUNCTION("""COMPUTED_VALUE"""),46.0)</f>
        <v>46</v>
      </c>
      <c r="H12712" s="4"/>
      <c r="I12712" s="4"/>
    </row>
    <row r="12713">
      <c r="A12713" s="4" t="str">
        <f>IFERROR(__xludf.DUMMYFUNCTION("""COMPUTED_VALUE"""),"cas_hmw")</f>
        <v>cas_hmw</v>
      </c>
      <c r="B12713" s="5">
        <f>IFERROR(__xludf.DUMMYFUNCTION("""COMPUTED_VALUE"""),44714.0)</f>
        <v>44714</v>
      </c>
      <c r="C12713" s="6">
        <f>IFERROR(__xludf.DUMMYFUNCTION("""COMPUTED_VALUE"""),0.7853356481464289)</f>
        <v>0.7853356481</v>
      </c>
      <c r="D12713" s="4">
        <f>IFERROR(__xludf.DUMMYFUNCTION("""COMPUTED_VALUE"""),12.849183)</f>
        <v>12.849183</v>
      </c>
      <c r="E12713" s="4">
        <f>IFERROR(__xludf.DUMMYFUNCTION("""COMPUTED_VALUE"""),80.064076)</f>
        <v>80.064076</v>
      </c>
      <c r="F12713" s="4">
        <f>IFERROR(__xludf.DUMMYFUNCTION("""COMPUTED_VALUE"""),805.0)</f>
        <v>805</v>
      </c>
      <c r="G12713" s="4">
        <f>IFERROR(__xludf.DUMMYFUNCTION("""COMPUTED_VALUE"""),46.0)</f>
        <v>46</v>
      </c>
      <c r="H12713" s="4"/>
      <c r="I12713" s="4"/>
    </row>
    <row r="12714">
      <c r="A12714" s="4" t="str">
        <f>IFERROR(__xludf.DUMMYFUNCTION("""COMPUTED_VALUE"""),"cas_hmw")</f>
        <v>cas_hmw</v>
      </c>
      <c r="B12714" s="5">
        <f>IFERROR(__xludf.DUMMYFUNCTION("""COMPUTED_VALUE"""),44714.0)</f>
        <v>44714</v>
      </c>
      <c r="C12714" s="6">
        <f>IFERROR(__xludf.DUMMYFUNCTION("""COMPUTED_VALUE"""),0.7860879629624833)</f>
        <v>0.786087963</v>
      </c>
      <c r="D12714" s="4">
        <f>IFERROR(__xludf.DUMMYFUNCTION("""COMPUTED_VALUE"""),12.854953)</f>
        <v>12.854953</v>
      </c>
      <c r="E12714" s="4">
        <f>IFERROR(__xludf.DUMMYFUNCTION("""COMPUTED_VALUE"""),80.068296)</f>
        <v>80.068296</v>
      </c>
      <c r="F12714" s="4">
        <f>IFERROR(__xludf.DUMMYFUNCTION("""COMPUTED_VALUE"""),805.0)</f>
        <v>805</v>
      </c>
      <c r="G12714" s="4">
        <f>IFERROR(__xludf.DUMMYFUNCTION("""COMPUTED_VALUE"""),47.0)</f>
        <v>47</v>
      </c>
      <c r="H12714" s="4"/>
      <c r="I12714" s="4"/>
    </row>
    <row r="12715">
      <c r="A12715" s="4" t="str">
        <f>IFERROR(__xludf.DUMMYFUNCTION("""COMPUTED_VALUE"""),"cas_hmw")</f>
        <v>cas_hmw</v>
      </c>
      <c r="B12715" s="5">
        <f>IFERROR(__xludf.DUMMYFUNCTION("""COMPUTED_VALUE"""),44714.0)</f>
        <v>44714</v>
      </c>
      <c r="C12715" s="6">
        <f>IFERROR(__xludf.DUMMYFUNCTION("""COMPUTED_VALUE"""),0.7865740740744513)</f>
        <v>0.7865740741</v>
      </c>
      <c r="D12715" s="4">
        <f>IFERROR(__xludf.DUMMYFUNCTION("""COMPUTED_VALUE"""),12.860018)</f>
        <v>12.860018</v>
      </c>
      <c r="E12715" s="4">
        <f>IFERROR(__xludf.DUMMYFUNCTION("""COMPUTED_VALUE"""),80.072133)</f>
        <v>80.072133</v>
      </c>
      <c r="F12715" s="4">
        <f>IFERROR(__xludf.DUMMYFUNCTION("""COMPUTED_VALUE"""),805.0)</f>
        <v>805</v>
      </c>
      <c r="G12715" s="4">
        <f>IFERROR(__xludf.DUMMYFUNCTION("""COMPUTED_VALUE"""),47.0)</f>
        <v>47</v>
      </c>
      <c r="H12715" s="4"/>
      <c r="I12715" s="4"/>
    </row>
    <row r="12716">
      <c r="A12716" s="4" t="str">
        <f>IFERROR(__xludf.DUMMYFUNCTION("""COMPUTED_VALUE"""),"cas_hmw")</f>
        <v>cas_hmw</v>
      </c>
      <c r="B12716" s="5">
        <f>IFERROR(__xludf.DUMMYFUNCTION("""COMPUTED_VALUE"""),44714.0)</f>
        <v>44714</v>
      </c>
      <c r="C12716" s="6">
        <f>IFERROR(__xludf.DUMMYFUNCTION("""COMPUTED_VALUE"""),0.7875578703715291)</f>
        <v>0.7875578704</v>
      </c>
      <c r="D12716" s="4">
        <f>IFERROR(__xludf.DUMMYFUNCTION("""COMPUTED_VALUE"""),12.866537)</f>
        <v>12.866537</v>
      </c>
      <c r="E12716" s="4">
        <f>IFERROR(__xludf.DUMMYFUNCTION("""COMPUTED_VALUE"""),80.075133)</f>
        <v>80.075133</v>
      </c>
      <c r="F12716" s="4">
        <f>IFERROR(__xludf.DUMMYFUNCTION("""COMPUTED_VALUE"""),805.0)</f>
        <v>805</v>
      </c>
      <c r="G12716" s="4">
        <f>IFERROR(__xludf.DUMMYFUNCTION("""COMPUTED_VALUE"""),9.0)</f>
        <v>9</v>
      </c>
      <c r="H12716" s="4"/>
      <c r="I12716" s="4"/>
    </row>
    <row r="12717">
      <c r="A12717" s="4" t="str">
        <f>IFERROR(__xludf.DUMMYFUNCTION("""COMPUTED_VALUE"""),"cas_hmw")</f>
        <v>cas_hmw</v>
      </c>
      <c r="B12717" s="5">
        <f>IFERROR(__xludf.DUMMYFUNCTION("""COMPUTED_VALUE"""),44715.0)</f>
        <v>44715</v>
      </c>
      <c r="C12717" s="6">
        <f>IFERROR(__xludf.DUMMYFUNCTION("""COMPUTED_VALUE"""),0.2515972222208802)</f>
        <v>0.2515972222</v>
      </c>
      <c r="D12717" s="4">
        <f>IFERROR(__xludf.DUMMYFUNCTION("""COMPUTED_VALUE"""),12.8604)</f>
        <v>12.8604</v>
      </c>
      <c r="E12717" s="4">
        <f>IFERROR(__xludf.DUMMYFUNCTION("""COMPUTED_VALUE"""),80.072555)</f>
        <v>80.072555</v>
      </c>
      <c r="F12717" s="4">
        <f>IFERROR(__xludf.DUMMYFUNCTION("""COMPUTED_VALUE"""),805.0)</f>
        <v>805</v>
      </c>
      <c r="G12717" s="4">
        <f>IFERROR(__xludf.DUMMYFUNCTION("""COMPUTED_VALUE"""),49.0)</f>
        <v>49</v>
      </c>
      <c r="H12717" s="4"/>
      <c r="I12717" s="4"/>
    </row>
    <row r="12718">
      <c r="A12718" s="4" t="str">
        <f>IFERROR(__xludf.DUMMYFUNCTION("""COMPUTED_VALUE"""),"cas_hmw")</f>
        <v>cas_hmw</v>
      </c>
      <c r="B12718" s="5">
        <f>IFERROR(__xludf.DUMMYFUNCTION("""COMPUTED_VALUE"""),44715.0)</f>
        <v>44715</v>
      </c>
      <c r="C12718" s="6">
        <f>IFERROR(__xludf.DUMMYFUNCTION("""COMPUTED_VALUE"""),0.2583680555544561)</f>
        <v>0.2583680556</v>
      </c>
      <c r="D12718" s="4">
        <f>IFERROR(__xludf.DUMMYFUNCTION("""COMPUTED_VALUE"""),12.799926)</f>
        <v>12.799926</v>
      </c>
      <c r="E12718" s="4">
        <f>IFERROR(__xludf.DUMMYFUNCTION("""COMPUTED_VALUE"""),80.023418)</f>
        <v>80.023418</v>
      </c>
      <c r="F12718" s="4">
        <f>IFERROR(__xludf.DUMMYFUNCTION("""COMPUTED_VALUE"""),805.0)</f>
        <v>805</v>
      </c>
      <c r="G12718" s="4">
        <f>IFERROR(__xludf.DUMMYFUNCTION("""COMPUTED_VALUE"""),50.0)</f>
        <v>50</v>
      </c>
      <c r="H12718" s="4"/>
      <c r="I12718" s="4"/>
    </row>
    <row r="12719">
      <c r="A12719" s="4" t="str">
        <f>IFERROR(__xludf.DUMMYFUNCTION("""COMPUTED_VALUE"""),"cas_hmw")</f>
        <v>cas_hmw</v>
      </c>
      <c r="B12719" s="5">
        <f>IFERROR(__xludf.DUMMYFUNCTION("""COMPUTED_VALUE"""),44715.0)</f>
        <v>44715</v>
      </c>
      <c r="C12719" s="6">
        <f>IFERROR(__xludf.DUMMYFUNCTION("""COMPUTED_VALUE"""),0.25881944444336114)</f>
        <v>0.2588194444</v>
      </c>
      <c r="D12719" s="4">
        <f>IFERROR(__xludf.DUMMYFUNCTION("""COMPUTED_VALUE"""),12.796286)</f>
        <v>12.796286</v>
      </c>
      <c r="E12719" s="4">
        <f>IFERROR(__xludf.DUMMYFUNCTION("""COMPUTED_VALUE"""),80.021048)</f>
        <v>80.021048</v>
      </c>
      <c r="F12719" s="4">
        <f>IFERROR(__xludf.DUMMYFUNCTION("""COMPUTED_VALUE"""),805.0)</f>
        <v>805</v>
      </c>
      <c r="G12719" s="4">
        <f>IFERROR(__xludf.DUMMYFUNCTION("""COMPUTED_VALUE"""),57.0)</f>
        <v>57</v>
      </c>
      <c r="H12719" s="4"/>
      <c r="I12719" s="4"/>
    </row>
    <row r="12720">
      <c r="A12720" s="4" t="str">
        <f>IFERROR(__xludf.DUMMYFUNCTION("""COMPUTED_VALUE"""),"cas_hmw")</f>
        <v>cas_hmw</v>
      </c>
      <c r="B12720" s="5">
        <f>IFERROR(__xludf.DUMMYFUNCTION("""COMPUTED_VALUE"""),44715.0)</f>
        <v>44715</v>
      </c>
      <c r="C12720" s="6">
        <f>IFERROR(__xludf.DUMMYFUNCTION("""COMPUTED_VALUE"""),0.25885416666642413)</f>
        <v>0.2588541667</v>
      </c>
      <c r="D12720" s="4">
        <f>IFERROR(__xludf.DUMMYFUNCTION("""COMPUTED_VALUE"""),12.796286)</f>
        <v>12.796286</v>
      </c>
      <c r="E12720" s="4">
        <f>IFERROR(__xludf.DUMMYFUNCTION("""COMPUTED_VALUE"""),80.021048)</f>
        <v>80.021048</v>
      </c>
      <c r="F12720" s="4">
        <f>IFERROR(__xludf.DUMMYFUNCTION("""COMPUTED_VALUE"""),805.0)</f>
        <v>805</v>
      </c>
      <c r="G12720" s="4">
        <f>IFERROR(__xludf.DUMMYFUNCTION("""COMPUTED_VALUE"""),57.0)</f>
        <v>57</v>
      </c>
      <c r="H12720" s="4"/>
      <c r="I12720" s="4"/>
    </row>
    <row r="12721">
      <c r="A12721" s="4" t="str">
        <f>IFERROR(__xludf.DUMMYFUNCTION("""COMPUTED_VALUE"""),"cas_hmw")</f>
        <v>cas_hmw</v>
      </c>
      <c r="B12721" s="5">
        <f>IFERROR(__xludf.DUMMYFUNCTION("""COMPUTED_VALUE"""),44715.0)</f>
        <v>44715</v>
      </c>
      <c r="C12721" s="6">
        <f>IFERROR(__xludf.DUMMYFUNCTION("""COMPUTED_VALUE"""),0.2590393518512428)</f>
        <v>0.2590393519</v>
      </c>
      <c r="D12721" s="4">
        <f>IFERROR(__xludf.DUMMYFUNCTION("""COMPUTED_VALUE"""),12.794345)</f>
        <v>12.794345</v>
      </c>
      <c r="E12721" s="4">
        <f>IFERROR(__xludf.DUMMYFUNCTION("""COMPUTED_VALUE"""),80.01979)</f>
        <v>80.01979</v>
      </c>
      <c r="F12721" s="4">
        <f>IFERROR(__xludf.DUMMYFUNCTION("""COMPUTED_VALUE"""),805.0)</f>
        <v>805</v>
      </c>
      <c r="G12721" s="4">
        <f>IFERROR(__xludf.DUMMYFUNCTION("""COMPUTED_VALUE"""),52.0)</f>
        <v>52</v>
      </c>
      <c r="H12721" s="4"/>
      <c r="I12721" s="4"/>
    </row>
    <row r="12722">
      <c r="A12722" s="4" t="str">
        <f>IFERROR(__xludf.DUMMYFUNCTION("""COMPUTED_VALUE"""),"cas_hmw")</f>
        <v>cas_hmw</v>
      </c>
      <c r="B12722" s="5">
        <f>IFERROR(__xludf.DUMMYFUNCTION("""COMPUTED_VALUE"""),44715.0)</f>
        <v>44715</v>
      </c>
      <c r="C12722" s="6">
        <f>IFERROR(__xludf.DUMMYFUNCTION("""COMPUTED_VALUE"""),0.25960648148247856)</f>
        <v>0.2596064815</v>
      </c>
      <c r="D12722" s="4">
        <f>IFERROR(__xludf.DUMMYFUNCTION("""COMPUTED_VALUE"""),12.788716)</f>
        <v>12.788716</v>
      </c>
      <c r="E12722" s="4">
        <f>IFERROR(__xludf.DUMMYFUNCTION("""COMPUTED_VALUE"""),80.016282)</f>
        <v>80.016282</v>
      </c>
      <c r="F12722" s="4">
        <f>IFERROR(__xludf.DUMMYFUNCTION("""COMPUTED_VALUE"""),805.0)</f>
        <v>805</v>
      </c>
      <c r="G12722" s="4">
        <f>IFERROR(__xludf.DUMMYFUNCTION("""COMPUTED_VALUE"""),53.0)</f>
        <v>53</v>
      </c>
      <c r="H12722" s="4"/>
      <c r="I12722" s="4"/>
    </row>
    <row r="12723">
      <c r="A12723" s="4" t="str">
        <f>IFERROR(__xludf.DUMMYFUNCTION("""COMPUTED_VALUE"""),"cas_hmw")</f>
        <v>cas_hmw</v>
      </c>
      <c r="B12723" s="5">
        <f>IFERROR(__xludf.DUMMYFUNCTION("""COMPUTED_VALUE"""),44715.0)</f>
        <v>44715</v>
      </c>
      <c r="C12723" s="6">
        <f>IFERROR(__xludf.DUMMYFUNCTION("""COMPUTED_VALUE"""),0.25994212962905294)</f>
        <v>0.2599421296</v>
      </c>
      <c r="D12723" s="4">
        <f>IFERROR(__xludf.DUMMYFUNCTION("""COMPUTED_VALUE"""),12.784816)</f>
        <v>12.784816</v>
      </c>
      <c r="E12723" s="4">
        <f>IFERROR(__xludf.DUMMYFUNCTION("""COMPUTED_VALUE"""),80.013942)</f>
        <v>80.013942</v>
      </c>
      <c r="F12723" s="4">
        <f>IFERROR(__xludf.DUMMYFUNCTION("""COMPUTED_VALUE"""),805.0)</f>
        <v>805</v>
      </c>
      <c r="G12723" s="4">
        <f>IFERROR(__xludf.DUMMYFUNCTION("""COMPUTED_VALUE"""),59.0)</f>
        <v>59</v>
      </c>
      <c r="H12723" s="4"/>
      <c r="I12723" s="4"/>
    </row>
    <row r="12724">
      <c r="A12724" s="4" t="str">
        <f>IFERROR(__xludf.DUMMYFUNCTION("""COMPUTED_VALUE"""),"cas_hmw")</f>
        <v>cas_hmw</v>
      </c>
      <c r="B12724" s="5">
        <f>IFERROR(__xludf.DUMMYFUNCTION("""COMPUTED_VALUE"""),44715.0)</f>
        <v>44715</v>
      </c>
      <c r="C12724" s="6">
        <f>IFERROR(__xludf.DUMMYFUNCTION("""COMPUTED_VALUE"""),0.2610185185185401)</f>
        <v>0.2610185185</v>
      </c>
      <c r="D12724" s="4">
        <f>IFERROR(__xludf.DUMMYFUNCTION("""COMPUTED_VALUE"""),12.772068)</f>
        <v>12.772068</v>
      </c>
      <c r="E12724" s="4">
        <f>IFERROR(__xludf.DUMMYFUNCTION("""COMPUTED_VALUE"""),80.008289)</f>
        <v>80.008289</v>
      </c>
      <c r="F12724" s="4">
        <f>IFERROR(__xludf.DUMMYFUNCTION("""COMPUTED_VALUE"""),805.0)</f>
        <v>805</v>
      </c>
      <c r="G12724" s="4">
        <f>IFERROR(__xludf.DUMMYFUNCTION("""COMPUTED_VALUE"""),58.0)</f>
        <v>58</v>
      </c>
      <c r="H12724" s="4"/>
      <c r="I12724" s="4"/>
    </row>
    <row r="12725">
      <c r="A12725" s="4" t="str">
        <f>IFERROR(__xludf.DUMMYFUNCTION("""COMPUTED_VALUE"""),"cas_hmw")</f>
        <v>cas_hmw</v>
      </c>
      <c r="B12725" s="5">
        <f>IFERROR(__xludf.DUMMYFUNCTION("""COMPUTED_VALUE"""),44715.0)</f>
        <v>44715</v>
      </c>
      <c r="C12725" s="6">
        <f>IFERROR(__xludf.DUMMYFUNCTION("""COMPUTED_VALUE"""),0.2612268518532801)</f>
        <v>0.2612268519</v>
      </c>
      <c r="D12725" s="4">
        <f>IFERROR(__xludf.DUMMYFUNCTION("""COMPUTED_VALUE"""),12.769906)</f>
        <v>12.769906</v>
      </c>
      <c r="E12725" s="4">
        <f>IFERROR(__xludf.DUMMYFUNCTION("""COMPUTED_VALUE"""),80.007255)</f>
        <v>80.007255</v>
      </c>
      <c r="F12725" s="4">
        <f>IFERROR(__xludf.DUMMYFUNCTION("""COMPUTED_VALUE"""),805.0)</f>
        <v>805</v>
      </c>
      <c r="G12725" s="4">
        <f>IFERROR(__xludf.DUMMYFUNCTION("""COMPUTED_VALUE"""),56.0)</f>
        <v>56</v>
      </c>
      <c r="H12725" s="4"/>
      <c r="I12725" s="4"/>
    </row>
    <row r="12726">
      <c r="A12726" s="4" t="str">
        <f>IFERROR(__xludf.DUMMYFUNCTION("""COMPUTED_VALUE"""),"cas_hmw")</f>
        <v>cas_hmw</v>
      </c>
      <c r="B12726" s="5">
        <f>IFERROR(__xludf.DUMMYFUNCTION("""COMPUTED_VALUE"""),44715.0)</f>
        <v>44715</v>
      </c>
      <c r="C12726" s="6">
        <f>IFERROR(__xludf.DUMMYFUNCTION("""COMPUTED_VALUE"""),0.27432870370466844)</f>
        <v>0.2743287037</v>
      </c>
      <c r="D12726" s="4">
        <f>IFERROR(__xludf.DUMMYFUNCTION("""COMPUTED_VALUE"""),12.65713)</f>
        <v>12.65713</v>
      </c>
      <c r="E12726" s="4">
        <f>IFERROR(__xludf.DUMMYFUNCTION("""COMPUTED_VALUE"""),79.942347)</f>
        <v>79.942347</v>
      </c>
      <c r="F12726" s="4">
        <f>IFERROR(__xludf.DUMMYFUNCTION("""COMPUTED_VALUE"""),805.0)</f>
        <v>805</v>
      </c>
      <c r="G12726" s="4">
        <f>IFERROR(__xludf.DUMMYFUNCTION("""COMPUTED_VALUE"""),55.0)</f>
        <v>55</v>
      </c>
      <c r="H12726" s="4"/>
      <c r="I12726" s="4"/>
    </row>
    <row r="12727">
      <c r="A12727" s="4" t="str">
        <f>IFERROR(__xludf.DUMMYFUNCTION("""COMPUTED_VALUE"""),"cas_hmw")</f>
        <v>cas_hmw</v>
      </c>
      <c r="B12727" s="5">
        <f>IFERROR(__xludf.DUMMYFUNCTION("""COMPUTED_VALUE"""),44715.0)</f>
        <v>44715</v>
      </c>
      <c r="C12727" s="6">
        <f>IFERROR(__xludf.DUMMYFUNCTION("""COMPUTED_VALUE"""),0.2747222222205892)</f>
        <v>0.2747222222</v>
      </c>
      <c r="D12727" s="4">
        <f>IFERROR(__xludf.DUMMYFUNCTION("""COMPUTED_VALUE"""),12.651228)</f>
        <v>12.651228</v>
      </c>
      <c r="E12727" s="4">
        <f>IFERROR(__xludf.DUMMYFUNCTION("""COMPUTED_VALUE"""),79.941788)</f>
        <v>79.941788</v>
      </c>
      <c r="F12727" s="4">
        <f>IFERROR(__xludf.DUMMYFUNCTION("""COMPUTED_VALUE"""),805.0)</f>
        <v>805</v>
      </c>
      <c r="G12727" s="4">
        <f>IFERROR(__xludf.DUMMYFUNCTION("""COMPUTED_VALUE"""),49.0)</f>
        <v>49</v>
      </c>
      <c r="H12727" s="4"/>
      <c r="I12727" s="4"/>
    </row>
    <row r="12728">
      <c r="A12728" s="4" t="str">
        <f>IFERROR(__xludf.DUMMYFUNCTION("""COMPUTED_VALUE"""),"cas_hmw")</f>
        <v>cas_hmw</v>
      </c>
      <c r="B12728" s="5">
        <f>IFERROR(__xludf.DUMMYFUNCTION("""COMPUTED_VALUE"""),44715.0)</f>
        <v>44715</v>
      </c>
      <c r="C12728" s="6">
        <f>IFERROR(__xludf.DUMMYFUNCTION("""COMPUTED_VALUE"""),0.28333333333284827)</f>
        <v>0.2833333333</v>
      </c>
      <c r="D12728" s="4">
        <f>IFERROR(__xludf.DUMMYFUNCTION("""COMPUTED_VALUE"""),12.564748)</f>
        <v>12.564748</v>
      </c>
      <c r="E12728" s="4">
        <f>IFERROR(__xludf.DUMMYFUNCTION("""COMPUTED_VALUE"""),79.914099)</f>
        <v>79.914099</v>
      </c>
      <c r="F12728" s="4">
        <f>IFERROR(__xludf.DUMMYFUNCTION("""COMPUTED_VALUE"""),805.0)</f>
        <v>805</v>
      </c>
      <c r="G12728" s="4">
        <f>IFERROR(__xludf.DUMMYFUNCTION("""COMPUTED_VALUE"""),58.0)</f>
        <v>58</v>
      </c>
      <c r="H12728" s="4"/>
      <c r="I12728" s="4"/>
    </row>
    <row r="12729">
      <c r="A12729" s="4" t="str">
        <f>IFERROR(__xludf.DUMMYFUNCTION("""COMPUTED_VALUE"""),"cas_hmw")</f>
        <v>cas_hmw</v>
      </c>
      <c r="B12729" s="5">
        <f>IFERROR(__xludf.DUMMYFUNCTION("""COMPUTED_VALUE"""),44715.0)</f>
        <v>44715</v>
      </c>
      <c r="C12729" s="6">
        <f>IFERROR(__xludf.DUMMYFUNCTION("""COMPUTED_VALUE"""),0.2835763888906513)</f>
        <v>0.2835763889</v>
      </c>
      <c r="D12729" s="4">
        <f>IFERROR(__xludf.DUMMYFUNCTION("""COMPUTED_VALUE"""),12.563475)</f>
        <v>12.563475</v>
      </c>
      <c r="E12729" s="4">
        <f>IFERROR(__xludf.DUMMYFUNCTION("""COMPUTED_VALUE"""),79.913351)</f>
        <v>79.913351</v>
      </c>
      <c r="F12729" s="4">
        <f>IFERROR(__xludf.DUMMYFUNCTION("""COMPUTED_VALUE"""),805.0)</f>
        <v>805</v>
      </c>
      <c r="G12729" s="4">
        <f>IFERROR(__xludf.DUMMYFUNCTION("""COMPUTED_VALUE"""),58.0)</f>
        <v>58</v>
      </c>
      <c r="H12729" s="4"/>
      <c r="I12729" s="4"/>
    </row>
    <row r="12730">
      <c r="A12730" s="4" t="str">
        <f>IFERROR(__xludf.DUMMYFUNCTION("""COMPUTED_VALUE"""),"cas_hmw")</f>
        <v>cas_hmw</v>
      </c>
      <c r="B12730" s="5">
        <f>IFERROR(__xludf.DUMMYFUNCTION("""COMPUTED_VALUE"""),44715.0)</f>
        <v>44715</v>
      </c>
      <c r="C12730" s="6">
        <f>IFERROR(__xludf.DUMMYFUNCTION("""COMPUTED_VALUE"""),0.2889814814807323)</f>
        <v>0.2889814815</v>
      </c>
      <c r="D12730" s="4">
        <f>IFERROR(__xludf.DUMMYFUNCTION("""COMPUTED_VALUE"""),12.522681)</f>
        <v>12.522681</v>
      </c>
      <c r="E12730" s="4">
        <f>IFERROR(__xludf.DUMMYFUNCTION("""COMPUTED_VALUE"""),79.896026)</f>
        <v>79.896026</v>
      </c>
      <c r="F12730" s="4">
        <f>IFERROR(__xludf.DUMMYFUNCTION("""COMPUTED_VALUE"""),805.0)</f>
        <v>805</v>
      </c>
      <c r="G12730" s="4">
        <f>IFERROR(__xludf.DUMMYFUNCTION("""COMPUTED_VALUE"""),57.0)</f>
        <v>57</v>
      </c>
      <c r="H12730" s="4"/>
      <c r="I12730" s="4"/>
    </row>
    <row r="12731">
      <c r="A12731" s="4" t="str">
        <f>IFERROR(__xludf.DUMMYFUNCTION("""COMPUTED_VALUE"""),"cas_hmw")</f>
        <v>cas_hmw</v>
      </c>
      <c r="B12731" s="5">
        <f>IFERROR(__xludf.DUMMYFUNCTION("""COMPUTED_VALUE"""),44715.0)</f>
        <v>44715</v>
      </c>
      <c r="C12731" s="6">
        <f>IFERROR(__xludf.DUMMYFUNCTION("""COMPUTED_VALUE"""),0.3001736111109494)</f>
        <v>0.3001736111</v>
      </c>
      <c r="D12731" s="4">
        <f>IFERROR(__xludf.DUMMYFUNCTION("""COMPUTED_VALUE"""),12.551489)</f>
        <v>12.551489</v>
      </c>
      <c r="E12731" s="4">
        <f>IFERROR(__xludf.DUMMYFUNCTION("""COMPUTED_VALUE"""),79.906663)</f>
        <v>79.906663</v>
      </c>
      <c r="F12731" s="4">
        <f>IFERROR(__xludf.DUMMYFUNCTION("""COMPUTED_VALUE"""),805.0)</f>
        <v>805</v>
      </c>
      <c r="G12731" s="4">
        <f>IFERROR(__xludf.DUMMYFUNCTION("""COMPUTED_VALUE"""),58.0)</f>
        <v>58</v>
      </c>
      <c r="H12731" s="4"/>
      <c r="I12731" s="4"/>
    </row>
    <row r="12732">
      <c r="A12732" s="4" t="str">
        <f>IFERROR(__xludf.DUMMYFUNCTION("""COMPUTED_VALUE"""),"cas_hmw")</f>
        <v>cas_hmw</v>
      </c>
      <c r="B12732" s="5">
        <f>IFERROR(__xludf.DUMMYFUNCTION("""COMPUTED_VALUE"""),44715.0)</f>
        <v>44715</v>
      </c>
      <c r="C12732" s="6">
        <f>IFERROR(__xludf.DUMMYFUNCTION("""COMPUTED_VALUE"""),0.30034722222262644)</f>
        <v>0.3003472222</v>
      </c>
      <c r="D12732" s="4">
        <f>IFERROR(__xludf.DUMMYFUNCTION("""COMPUTED_VALUE"""),12.55375)</f>
        <v>12.55375</v>
      </c>
      <c r="E12732" s="4">
        <f>IFERROR(__xludf.DUMMYFUNCTION("""COMPUTED_VALUE"""),79.90772)</f>
        <v>79.90772</v>
      </c>
      <c r="F12732" s="4">
        <f>IFERROR(__xludf.DUMMYFUNCTION("""COMPUTED_VALUE"""),805.0)</f>
        <v>805</v>
      </c>
      <c r="G12732" s="4">
        <f>IFERROR(__xludf.DUMMYFUNCTION("""COMPUTED_VALUE"""),58.0)</f>
        <v>58</v>
      </c>
      <c r="H12732" s="4"/>
      <c r="I12732" s="4"/>
    </row>
    <row r="12733">
      <c r="A12733" s="4" t="str">
        <f>IFERROR(__xludf.DUMMYFUNCTION("""COMPUTED_VALUE"""),"cas_hmw")</f>
        <v>cas_hmw</v>
      </c>
      <c r="B12733" s="5">
        <f>IFERROR(__xludf.DUMMYFUNCTION("""COMPUTED_VALUE"""),44715.0)</f>
        <v>44715</v>
      </c>
      <c r="C12733" s="6">
        <f>IFERROR(__xludf.DUMMYFUNCTION("""COMPUTED_VALUE"""),0.3011574074080272)</f>
        <v>0.3011574074</v>
      </c>
      <c r="D12733" s="4">
        <f>IFERROR(__xludf.DUMMYFUNCTION("""COMPUTED_VALUE"""),13.072147)</f>
        <v>13.072147</v>
      </c>
      <c r="E12733" s="4">
        <f>IFERROR(__xludf.DUMMYFUNCTION("""COMPUTED_VALUE"""),80.259668)</f>
        <v>80.259668</v>
      </c>
      <c r="F12733" s="4">
        <f>IFERROR(__xludf.DUMMYFUNCTION("""COMPUTED_VALUE"""),2846.0)</f>
        <v>2846</v>
      </c>
      <c r="G12733" s="4">
        <f>IFERROR(__xludf.DUMMYFUNCTION("""COMPUTED_VALUE"""),33.0)</f>
        <v>33</v>
      </c>
      <c r="H12733" s="4"/>
      <c r="I12733" s="4"/>
    </row>
    <row r="12734">
      <c r="A12734" s="4" t="str">
        <f>IFERROR(__xludf.DUMMYFUNCTION("""COMPUTED_VALUE"""),"cas_hmw")</f>
        <v>cas_hmw</v>
      </c>
      <c r="B12734" s="5">
        <f>IFERROR(__xludf.DUMMYFUNCTION("""COMPUTED_VALUE"""),44715.0)</f>
        <v>44715</v>
      </c>
      <c r="C12734" s="6">
        <f>IFERROR(__xludf.DUMMYFUNCTION("""COMPUTED_VALUE"""),0.3011689814811689)</f>
        <v>0.3011689815</v>
      </c>
      <c r="D12734" s="4">
        <f>IFERROR(__xludf.DUMMYFUNCTION("""COMPUTED_VALUE"""),13.072147)</f>
        <v>13.072147</v>
      </c>
      <c r="E12734" s="4">
        <f>IFERROR(__xludf.DUMMYFUNCTION("""COMPUTED_VALUE"""),80.259668)</f>
        <v>80.259668</v>
      </c>
      <c r="F12734" s="4">
        <f>IFERROR(__xludf.DUMMYFUNCTION("""COMPUTED_VALUE"""),2846.0)</f>
        <v>2846</v>
      </c>
      <c r="G12734" s="4">
        <f>IFERROR(__xludf.DUMMYFUNCTION("""COMPUTED_VALUE"""),33.0)</f>
        <v>33</v>
      </c>
      <c r="H12734" s="4"/>
      <c r="I12734" s="4"/>
    </row>
    <row r="12735">
      <c r="A12735" s="4" t="str">
        <f>IFERROR(__xludf.DUMMYFUNCTION("""COMPUTED_VALUE"""),"cas_hmw")</f>
        <v>cas_hmw</v>
      </c>
      <c r="B12735" s="5">
        <f>IFERROR(__xludf.DUMMYFUNCTION("""COMPUTED_VALUE"""),44715.0)</f>
        <v>44715</v>
      </c>
      <c r="C12735" s="6">
        <f>IFERROR(__xludf.DUMMYFUNCTION("""COMPUTED_VALUE"""),0.30445601851897663)</f>
        <v>0.3044560185</v>
      </c>
      <c r="D12735" s="4">
        <f>IFERROR(__xludf.DUMMYFUNCTION("""COMPUTED_VALUE"""),12.603771)</f>
        <v>12.603771</v>
      </c>
      <c r="E12735" s="4">
        <f>IFERROR(__xludf.DUMMYFUNCTION("""COMPUTED_VALUE"""),79.920275)</f>
        <v>79.920275</v>
      </c>
      <c r="F12735" s="4">
        <f>IFERROR(__xludf.DUMMYFUNCTION("""COMPUTED_VALUE"""),805.0)</f>
        <v>805</v>
      </c>
      <c r="G12735" s="4">
        <f>IFERROR(__xludf.DUMMYFUNCTION("""COMPUTED_VALUE"""),58.0)</f>
        <v>58</v>
      </c>
      <c r="H12735" s="4"/>
      <c r="I12735" s="4"/>
    </row>
    <row r="12736">
      <c r="A12736" s="4" t="str">
        <f>IFERROR(__xludf.DUMMYFUNCTION("""COMPUTED_VALUE"""),"cas_hmw")</f>
        <v>cas_hmw</v>
      </c>
      <c r="B12736" s="5">
        <f>IFERROR(__xludf.DUMMYFUNCTION("""COMPUTED_VALUE"""),44715.0)</f>
        <v>44715</v>
      </c>
      <c r="C12736" s="6">
        <f>IFERROR(__xludf.DUMMYFUNCTION("""COMPUTED_VALUE"""),0.30834490740744513)</f>
        <v>0.3083449074</v>
      </c>
      <c r="D12736" s="4">
        <f>IFERROR(__xludf.DUMMYFUNCTION("""COMPUTED_VALUE"""),12.633237)</f>
        <v>12.633237</v>
      </c>
      <c r="E12736" s="4">
        <f>IFERROR(__xludf.DUMMYFUNCTION("""COMPUTED_VALUE"""),79.932455)</f>
        <v>79.932455</v>
      </c>
      <c r="F12736" s="4">
        <f>IFERROR(__xludf.DUMMYFUNCTION("""COMPUTED_VALUE"""),805.0)</f>
        <v>805</v>
      </c>
      <c r="G12736" s="4">
        <f>IFERROR(__xludf.DUMMYFUNCTION("""COMPUTED_VALUE"""),56.0)</f>
        <v>56</v>
      </c>
      <c r="H12736" s="4"/>
      <c r="I12736" s="4"/>
    </row>
    <row r="12737">
      <c r="A12737" s="4" t="str">
        <f>IFERROR(__xludf.DUMMYFUNCTION("""COMPUTED_VALUE"""),"cas_hmw")</f>
        <v>cas_hmw</v>
      </c>
      <c r="B12737" s="5">
        <f>IFERROR(__xludf.DUMMYFUNCTION("""COMPUTED_VALUE"""),44715.0)</f>
        <v>44715</v>
      </c>
      <c r="C12737" s="6">
        <f>IFERROR(__xludf.DUMMYFUNCTION("""COMPUTED_VALUE"""),0.3095949074086093)</f>
        <v>0.3095949074</v>
      </c>
      <c r="D12737" s="4">
        <f>IFERROR(__xludf.DUMMYFUNCTION("""COMPUTED_VALUE"""),12.658376)</f>
        <v>12.658376</v>
      </c>
      <c r="E12737" s="4">
        <f>IFERROR(__xludf.DUMMYFUNCTION("""COMPUTED_VALUE"""),79.942765)</f>
        <v>79.942765</v>
      </c>
      <c r="F12737" s="4">
        <f>IFERROR(__xludf.DUMMYFUNCTION("""COMPUTED_VALUE"""),805.0)</f>
        <v>805</v>
      </c>
      <c r="G12737" s="4">
        <f>IFERROR(__xludf.DUMMYFUNCTION("""COMPUTED_VALUE"""),58.0)</f>
        <v>58</v>
      </c>
      <c r="H12737" s="4"/>
      <c r="I12737" s="4"/>
    </row>
    <row r="12738">
      <c r="A12738" s="4" t="str">
        <f>IFERROR(__xludf.DUMMYFUNCTION("""COMPUTED_VALUE"""),"cas_hmw")</f>
        <v>cas_hmw</v>
      </c>
      <c r="B12738" s="5">
        <f>IFERROR(__xludf.DUMMYFUNCTION("""COMPUTED_VALUE"""),44715.0)</f>
        <v>44715</v>
      </c>
      <c r="C12738" s="6">
        <f>IFERROR(__xludf.DUMMYFUNCTION("""COMPUTED_VALUE"""),0.30968750000101863)</f>
        <v>0.3096875</v>
      </c>
      <c r="D12738" s="4">
        <f>IFERROR(__xludf.DUMMYFUNCTION("""COMPUTED_VALUE"""),12.658376)</f>
        <v>12.658376</v>
      </c>
      <c r="E12738" s="4">
        <f>IFERROR(__xludf.DUMMYFUNCTION("""COMPUTED_VALUE"""),79.942765)</f>
        <v>79.942765</v>
      </c>
      <c r="F12738" s="4">
        <f>IFERROR(__xludf.DUMMYFUNCTION("""COMPUTED_VALUE"""),805.0)</f>
        <v>805</v>
      </c>
      <c r="G12738" s="4">
        <f>IFERROR(__xludf.DUMMYFUNCTION("""COMPUTED_VALUE"""),58.0)</f>
        <v>58</v>
      </c>
      <c r="H12738" s="4"/>
      <c r="I12738" s="4"/>
    </row>
    <row r="12739">
      <c r="A12739" s="4" t="str">
        <f>IFERROR(__xludf.DUMMYFUNCTION("""COMPUTED_VALUE"""),"cas_hmw")</f>
        <v>cas_hmw</v>
      </c>
      <c r="B12739" s="5">
        <f>IFERROR(__xludf.DUMMYFUNCTION("""COMPUTED_VALUE"""),44715.0)</f>
        <v>44715</v>
      </c>
      <c r="C12739" s="6">
        <f>IFERROR(__xludf.DUMMYFUNCTION("""COMPUTED_VALUE"""),0.3096990740741603)</f>
        <v>0.3096990741</v>
      </c>
      <c r="D12739" s="4">
        <f>IFERROR(__xludf.DUMMYFUNCTION("""COMPUTED_VALUE"""),12.658308)</f>
        <v>12.658308</v>
      </c>
      <c r="E12739" s="4">
        <f>IFERROR(__xludf.DUMMYFUNCTION("""COMPUTED_VALUE"""),79.944253)</f>
        <v>79.944253</v>
      </c>
      <c r="F12739" s="4">
        <f>IFERROR(__xludf.DUMMYFUNCTION("""COMPUTED_VALUE"""),805.0)</f>
        <v>805</v>
      </c>
      <c r="G12739" s="4">
        <f>IFERROR(__xludf.DUMMYFUNCTION("""COMPUTED_VALUE"""),58.0)</f>
        <v>58</v>
      </c>
      <c r="H12739" s="4"/>
      <c r="I12739" s="4"/>
    </row>
    <row r="12740">
      <c r="A12740" s="4" t="str">
        <f>IFERROR(__xludf.DUMMYFUNCTION("""COMPUTED_VALUE"""),"cas_hmw")</f>
        <v>cas_hmw</v>
      </c>
      <c r="B12740" s="5">
        <f>IFERROR(__xludf.DUMMYFUNCTION("""COMPUTED_VALUE"""),44715.0)</f>
        <v>44715</v>
      </c>
      <c r="C12740" s="6">
        <f>IFERROR(__xludf.DUMMYFUNCTION("""COMPUTED_VALUE"""),0.3096990740741603)</f>
        <v>0.3096990741</v>
      </c>
      <c r="D12740" s="4">
        <f>IFERROR(__xludf.DUMMYFUNCTION("""COMPUTED_VALUE"""),12.658308)</f>
        <v>12.658308</v>
      </c>
      <c r="E12740" s="4">
        <f>IFERROR(__xludf.DUMMYFUNCTION("""COMPUTED_VALUE"""),79.944253)</f>
        <v>79.944253</v>
      </c>
      <c r="F12740" s="4">
        <f>IFERROR(__xludf.DUMMYFUNCTION("""COMPUTED_VALUE"""),805.0)</f>
        <v>805</v>
      </c>
      <c r="G12740" s="4">
        <f>IFERROR(__xludf.DUMMYFUNCTION("""COMPUTED_VALUE"""),58.0)</f>
        <v>58</v>
      </c>
      <c r="H12740" s="4"/>
      <c r="I12740" s="4"/>
    </row>
    <row r="12741">
      <c r="A12741" s="4" t="str">
        <f>IFERROR(__xludf.DUMMYFUNCTION("""COMPUTED_VALUE"""),"cas_hmw")</f>
        <v>cas_hmw</v>
      </c>
      <c r="B12741" s="5">
        <f>IFERROR(__xludf.DUMMYFUNCTION("""COMPUTED_VALUE"""),44715.0)</f>
        <v>44715</v>
      </c>
      <c r="C12741" s="6">
        <f>IFERROR(__xludf.DUMMYFUNCTION("""COMPUTED_VALUE"""),0.3122800925921183)</f>
        <v>0.3122800926</v>
      </c>
      <c r="D12741" s="4">
        <f>IFERROR(__xludf.DUMMYFUNCTION("""COMPUTED_VALUE"""),13.053281)</f>
        <v>13.053281</v>
      </c>
      <c r="E12741" s="4">
        <f>IFERROR(__xludf.DUMMYFUNCTION("""COMPUTED_VALUE"""),80.252279)</f>
        <v>80.252279</v>
      </c>
      <c r="F12741" s="4">
        <f>IFERROR(__xludf.DUMMYFUNCTION("""COMPUTED_VALUE"""),2846.0)</f>
        <v>2846</v>
      </c>
      <c r="G12741" s="4">
        <f>IFERROR(__xludf.DUMMYFUNCTION("""COMPUTED_VALUE"""),47.0)</f>
        <v>47</v>
      </c>
      <c r="H12741" s="4"/>
      <c r="I12741" s="4"/>
    </row>
    <row r="12742">
      <c r="A12742" s="4" t="str">
        <f>IFERROR(__xludf.DUMMYFUNCTION("""COMPUTED_VALUE"""),"cas_hmw")</f>
        <v>cas_hmw</v>
      </c>
      <c r="B12742" s="5">
        <f>IFERROR(__xludf.DUMMYFUNCTION("""COMPUTED_VALUE"""),44715.0)</f>
        <v>44715</v>
      </c>
      <c r="C12742" s="6">
        <f>IFERROR(__xludf.DUMMYFUNCTION("""COMPUTED_VALUE"""),0.3135532407395658)</f>
        <v>0.3135532407</v>
      </c>
      <c r="D12742" s="4">
        <f>IFERROR(__xludf.DUMMYFUNCTION("""COMPUTED_VALUE"""),13.047371)</f>
        <v>13.047371</v>
      </c>
      <c r="E12742" s="4">
        <f>IFERROR(__xludf.DUMMYFUNCTION("""COMPUTED_VALUE"""),80.248749)</f>
        <v>80.248749</v>
      </c>
      <c r="F12742" s="4">
        <f>IFERROR(__xludf.DUMMYFUNCTION("""COMPUTED_VALUE"""),2846.0)</f>
        <v>2846</v>
      </c>
      <c r="G12742" s="4">
        <f>IFERROR(__xludf.DUMMYFUNCTION("""COMPUTED_VALUE"""),50.0)</f>
        <v>50</v>
      </c>
      <c r="H12742" s="4"/>
      <c r="I12742" s="4"/>
    </row>
    <row r="12743">
      <c r="A12743" s="4" t="str">
        <f>IFERROR(__xludf.DUMMYFUNCTION("""COMPUTED_VALUE"""),"cas_hmw")</f>
        <v>cas_hmw</v>
      </c>
      <c r="B12743" s="5">
        <f>IFERROR(__xludf.DUMMYFUNCTION("""COMPUTED_VALUE"""),44715.0)</f>
        <v>44715</v>
      </c>
      <c r="C12743" s="6">
        <f>IFERROR(__xludf.DUMMYFUNCTION("""COMPUTED_VALUE"""),0.3148958333331393)</f>
        <v>0.3148958333</v>
      </c>
      <c r="D12743" s="4">
        <f>IFERROR(__xludf.DUMMYFUNCTION("""COMPUTED_VALUE"""),13.039199)</f>
        <v>13.039199</v>
      </c>
      <c r="E12743" s="4">
        <f>IFERROR(__xludf.DUMMYFUNCTION("""COMPUTED_VALUE"""),80.247002)</f>
        <v>80.247002</v>
      </c>
      <c r="F12743" s="4">
        <f>IFERROR(__xludf.DUMMYFUNCTION("""COMPUTED_VALUE"""),2846.0)</f>
        <v>2846</v>
      </c>
      <c r="G12743" s="4">
        <f>IFERROR(__xludf.DUMMYFUNCTION("""COMPUTED_VALUE"""),17.0)</f>
        <v>17</v>
      </c>
      <c r="H12743" s="4"/>
      <c r="I12743" s="4"/>
    </row>
    <row r="12744">
      <c r="A12744" s="4" t="str">
        <f>IFERROR(__xludf.DUMMYFUNCTION("""COMPUTED_VALUE"""),"cas_hmw")</f>
        <v>cas_hmw</v>
      </c>
      <c r="B12744" s="5">
        <f>IFERROR(__xludf.DUMMYFUNCTION("""COMPUTED_VALUE"""),44715.0)</f>
        <v>44715</v>
      </c>
      <c r="C12744" s="6">
        <f>IFERROR(__xludf.DUMMYFUNCTION("""COMPUTED_VALUE"""),0.3149305555562023)</f>
        <v>0.3149305556</v>
      </c>
      <c r="D12744" s="4">
        <f>IFERROR(__xludf.DUMMYFUNCTION("""COMPUTED_VALUE"""),13.038678)</f>
        <v>13.038678</v>
      </c>
      <c r="E12744" s="4">
        <f>IFERROR(__xludf.DUMMYFUNCTION("""COMPUTED_VALUE"""),80.246897)</f>
        <v>80.246897</v>
      </c>
      <c r="F12744" s="4">
        <f>IFERROR(__xludf.DUMMYFUNCTION("""COMPUTED_VALUE"""),2846.0)</f>
        <v>2846</v>
      </c>
      <c r="G12744" s="4">
        <f>IFERROR(__xludf.DUMMYFUNCTION("""COMPUTED_VALUE"""),25.0)</f>
        <v>25</v>
      </c>
      <c r="H12744" s="4"/>
      <c r="I12744" s="4"/>
    </row>
    <row r="12745">
      <c r="A12745" s="4" t="str">
        <f>IFERROR(__xludf.DUMMYFUNCTION("""COMPUTED_VALUE"""),"cas_hmw")</f>
        <v>cas_hmw</v>
      </c>
      <c r="B12745" s="5">
        <f>IFERROR(__xludf.DUMMYFUNCTION("""COMPUTED_VALUE"""),44715.0)</f>
        <v>44715</v>
      </c>
      <c r="C12745" s="6">
        <f>IFERROR(__xludf.DUMMYFUNCTION("""COMPUTED_VALUE"""),0.3156365740724141)</f>
        <v>0.3156365741</v>
      </c>
      <c r="D12745" s="4">
        <f>IFERROR(__xludf.DUMMYFUNCTION("""COMPUTED_VALUE"""),13.034289)</f>
        <v>13.034289</v>
      </c>
      <c r="E12745" s="4">
        <f>IFERROR(__xludf.DUMMYFUNCTION("""COMPUTED_VALUE"""),80.245002)</f>
        <v>80.245002</v>
      </c>
      <c r="F12745" s="4">
        <f>IFERROR(__xludf.DUMMYFUNCTION("""COMPUTED_VALUE"""),2846.0)</f>
        <v>2846</v>
      </c>
      <c r="G12745" s="4">
        <f>IFERROR(__xludf.DUMMYFUNCTION("""COMPUTED_VALUE"""),36.0)</f>
        <v>36</v>
      </c>
      <c r="H12745" s="4"/>
      <c r="I12745" s="4"/>
    </row>
    <row r="12746">
      <c r="A12746" s="4" t="str">
        <f>IFERROR(__xludf.DUMMYFUNCTION("""COMPUTED_VALUE"""),"cas_hmw")</f>
        <v>cas_hmw</v>
      </c>
      <c r="B12746" s="5">
        <f>IFERROR(__xludf.DUMMYFUNCTION("""COMPUTED_VALUE"""),44715.0)</f>
        <v>44715</v>
      </c>
      <c r="C12746" s="6">
        <f>IFERROR(__xludf.DUMMYFUNCTION("""COMPUTED_VALUE"""),0.3159143518532801)</f>
        <v>0.3159143519</v>
      </c>
      <c r="D12746" s="4">
        <f>IFERROR(__xludf.DUMMYFUNCTION("""COMPUTED_VALUE"""),13.033226)</f>
        <v>13.033226</v>
      </c>
      <c r="E12746" s="4">
        <f>IFERROR(__xludf.DUMMYFUNCTION("""COMPUTED_VALUE"""),80.2437)</f>
        <v>80.2437</v>
      </c>
      <c r="F12746" s="4">
        <f>IFERROR(__xludf.DUMMYFUNCTION("""COMPUTED_VALUE"""),2846.0)</f>
        <v>2846</v>
      </c>
      <c r="G12746" s="4">
        <f>IFERROR(__xludf.DUMMYFUNCTION("""COMPUTED_VALUE"""),26.0)</f>
        <v>26</v>
      </c>
      <c r="H12746" s="4"/>
      <c r="I12746" s="4"/>
    </row>
    <row r="12747">
      <c r="A12747" s="4" t="str">
        <f>IFERROR(__xludf.DUMMYFUNCTION("""COMPUTED_VALUE"""),"cas_hmw")</f>
        <v>cas_hmw</v>
      </c>
      <c r="B12747" s="5">
        <f>IFERROR(__xludf.DUMMYFUNCTION("""COMPUTED_VALUE"""),44715.0)</f>
        <v>44715</v>
      </c>
      <c r="C12747" s="6">
        <f>IFERROR(__xludf.DUMMYFUNCTION("""COMPUTED_VALUE"""),0.3160300925919728)</f>
        <v>0.3160300926</v>
      </c>
      <c r="D12747" s="4">
        <f>IFERROR(__xludf.DUMMYFUNCTION("""COMPUTED_VALUE"""),13.03275)</f>
        <v>13.03275</v>
      </c>
      <c r="E12747" s="4">
        <f>IFERROR(__xludf.DUMMYFUNCTION("""COMPUTED_VALUE"""),80.243089)</f>
        <v>80.243089</v>
      </c>
      <c r="F12747" s="4">
        <f>IFERROR(__xludf.DUMMYFUNCTION("""COMPUTED_VALUE"""),2846.0)</f>
        <v>2846</v>
      </c>
      <c r="G12747" s="4">
        <f>IFERROR(__xludf.DUMMYFUNCTION("""COMPUTED_VALUE"""),32.0)</f>
        <v>32</v>
      </c>
      <c r="H12747" s="4"/>
      <c r="I12747" s="4"/>
    </row>
    <row r="12748">
      <c r="A12748" s="4" t="str">
        <f>IFERROR(__xludf.DUMMYFUNCTION("""COMPUTED_VALUE"""),"cas_hmw")</f>
        <v>cas_hmw</v>
      </c>
      <c r="B12748" s="5">
        <f>IFERROR(__xludf.DUMMYFUNCTION("""COMPUTED_VALUE"""),44715.0)</f>
        <v>44715</v>
      </c>
      <c r="C12748" s="6">
        <f>IFERROR(__xludf.DUMMYFUNCTION("""COMPUTED_VALUE"""),0.31614583333430346)</f>
        <v>0.3161458333</v>
      </c>
      <c r="D12748" s="4">
        <f>IFERROR(__xludf.DUMMYFUNCTION("""COMPUTED_VALUE"""),13.032252)</f>
        <v>13.032252</v>
      </c>
      <c r="E12748" s="4">
        <f>IFERROR(__xludf.DUMMYFUNCTION("""COMPUTED_VALUE"""),80.242223)</f>
        <v>80.242223</v>
      </c>
      <c r="F12748" s="4">
        <f>IFERROR(__xludf.DUMMYFUNCTION("""COMPUTED_VALUE"""),2846.0)</f>
        <v>2846</v>
      </c>
      <c r="G12748" s="4">
        <f>IFERROR(__xludf.DUMMYFUNCTION("""COMPUTED_VALUE"""),47.0)</f>
        <v>47</v>
      </c>
      <c r="H12748" s="4"/>
      <c r="I12748" s="4"/>
    </row>
    <row r="12749">
      <c r="A12749" s="4" t="str">
        <f>IFERROR(__xludf.DUMMYFUNCTION("""COMPUTED_VALUE"""),"cas_hmw")</f>
        <v>cas_hmw</v>
      </c>
      <c r="B12749" s="5">
        <f>IFERROR(__xludf.DUMMYFUNCTION("""COMPUTED_VALUE"""),44715.0)</f>
        <v>44715</v>
      </c>
      <c r="C12749" s="6">
        <f>IFERROR(__xludf.DUMMYFUNCTION("""COMPUTED_VALUE"""),0.3171527777776646)</f>
        <v>0.3171527778</v>
      </c>
      <c r="D12749" s="4">
        <f>IFERROR(__xludf.DUMMYFUNCTION("""COMPUTED_VALUE"""),12.687115)</f>
        <v>12.687115</v>
      </c>
      <c r="E12749" s="4">
        <f>IFERROR(__xludf.DUMMYFUNCTION("""COMPUTED_VALUE"""),79.983044)</f>
        <v>79.983044</v>
      </c>
      <c r="F12749" s="4">
        <f>IFERROR(__xludf.DUMMYFUNCTION("""COMPUTED_VALUE"""),805.0)</f>
        <v>805</v>
      </c>
      <c r="G12749" s="4">
        <f>IFERROR(__xludf.DUMMYFUNCTION("""COMPUTED_VALUE"""),19.0)</f>
        <v>19</v>
      </c>
      <c r="H12749" s="4"/>
      <c r="I12749" s="4"/>
    </row>
    <row r="12750">
      <c r="A12750" s="4" t="str">
        <f>IFERROR(__xludf.DUMMYFUNCTION("""COMPUTED_VALUE"""),"cas_hmw")</f>
        <v>cas_hmw</v>
      </c>
      <c r="B12750" s="5">
        <f>IFERROR(__xludf.DUMMYFUNCTION("""COMPUTED_VALUE"""),44715.0)</f>
        <v>44715</v>
      </c>
      <c r="C12750" s="6">
        <f>IFERROR(__xludf.DUMMYFUNCTION("""COMPUTED_VALUE"""),0.3171527777776646)</f>
        <v>0.3171527778</v>
      </c>
      <c r="D12750" s="4">
        <f>IFERROR(__xludf.DUMMYFUNCTION("""COMPUTED_VALUE"""),12.687115)</f>
        <v>12.687115</v>
      </c>
      <c r="E12750" s="4">
        <f>IFERROR(__xludf.DUMMYFUNCTION("""COMPUTED_VALUE"""),79.983044)</f>
        <v>79.983044</v>
      </c>
      <c r="F12750" s="4">
        <f>IFERROR(__xludf.DUMMYFUNCTION("""COMPUTED_VALUE"""),805.0)</f>
        <v>805</v>
      </c>
      <c r="G12750" s="4">
        <f>IFERROR(__xludf.DUMMYFUNCTION("""COMPUTED_VALUE"""),19.0)</f>
        <v>19</v>
      </c>
      <c r="H12750" s="4"/>
      <c r="I12750" s="4"/>
    </row>
    <row r="12751">
      <c r="A12751" s="4" t="str">
        <f>IFERROR(__xludf.DUMMYFUNCTION("""COMPUTED_VALUE"""),"cas_hmw")</f>
        <v>cas_hmw</v>
      </c>
      <c r="B12751" s="5">
        <f>IFERROR(__xludf.DUMMYFUNCTION("""COMPUTED_VALUE"""),44715.0)</f>
        <v>44715</v>
      </c>
      <c r="C12751" s="6">
        <f>IFERROR(__xludf.DUMMYFUNCTION("""COMPUTED_VALUE"""),0.3171759259275859)</f>
        <v>0.3171759259</v>
      </c>
      <c r="D12751" s="4">
        <f>IFERROR(__xludf.DUMMYFUNCTION("""COMPUTED_VALUE"""),12.687115)</f>
        <v>12.687115</v>
      </c>
      <c r="E12751" s="4">
        <f>IFERROR(__xludf.DUMMYFUNCTION("""COMPUTED_VALUE"""),79.983044)</f>
        <v>79.983044</v>
      </c>
      <c r="F12751" s="4">
        <f>IFERROR(__xludf.DUMMYFUNCTION("""COMPUTED_VALUE"""),805.0)</f>
        <v>805</v>
      </c>
      <c r="G12751" s="4">
        <f>IFERROR(__xludf.DUMMYFUNCTION("""COMPUTED_VALUE"""),19.0)</f>
        <v>19</v>
      </c>
      <c r="H12751" s="4"/>
      <c r="I12751" s="4"/>
    </row>
    <row r="12752">
      <c r="A12752" s="4" t="str">
        <f>IFERROR(__xludf.DUMMYFUNCTION("""COMPUTED_VALUE"""),"cas_hmw")</f>
        <v>cas_hmw</v>
      </c>
      <c r="B12752" s="5">
        <f>IFERROR(__xludf.DUMMYFUNCTION("""COMPUTED_VALUE"""),44715.0)</f>
        <v>44715</v>
      </c>
      <c r="C12752" s="6">
        <f>IFERROR(__xludf.DUMMYFUNCTION("""COMPUTED_VALUE"""),0.3175462962972233)</f>
        <v>0.3175462963</v>
      </c>
      <c r="D12752" s="4">
        <f>IFERROR(__xludf.DUMMYFUNCTION("""COMPUTED_VALUE"""),12.689366)</f>
        <v>12.689366</v>
      </c>
      <c r="E12752" s="4">
        <f>IFERROR(__xludf.DUMMYFUNCTION("""COMPUTED_VALUE"""),79.982401)</f>
        <v>79.982401</v>
      </c>
      <c r="F12752" s="4">
        <f>IFERROR(__xludf.DUMMYFUNCTION("""COMPUTED_VALUE"""),805.0)</f>
        <v>805</v>
      </c>
      <c r="G12752" s="4">
        <f>IFERROR(__xludf.DUMMYFUNCTION("""COMPUTED_VALUE"""),29.0)</f>
        <v>29</v>
      </c>
      <c r="H12752" s="4"/>
      <c r="I12752" s="4"/>
    </row>
    <row r="12753">
      <c r="A12753" s="4" t="str">
        <f>IFERROR(__xludf.DUMMYFUNCTION("""COMPUTED_VALUE"""),"cas_hmw")</f>
        <v>cas_hmw</v>
      </c>
      <c r="B12753" s="5">
        <f>IFERROR(__xludf.DUMMYFUNCTION("""COMPUTED_VALUE"""),44715.0)</f>
        <v>44715</v>
      </c>
      <c r="C12753" s="6">
        <f>IFERROR(__xludf.DUMMYFUNCTION("""COMPUTED_VALUE"""),0.3210069444430701)</f>
        <v>0.3210069444</v>
      </c>
      <c r="D12753" s="4">
        <f>IFERROR(__xludf.DUMMYFUNCTION("""COMPUTED_VALUE"""),12.694423)</f>
        <v>12.694423</v>
      </c>
      <c r="E12753" s="4">
        <f>IFERROR(__xludf.DUMMYFUNCTION("""COMPUTED_VALUE"""),79.978464)</f>
        <v>79.978464</v>
      </c>
      <c r="F12753" s="4">
        <f>IFERROR(__xludf.DUMMYFUNCTION("""COMPUTED_VALUE"""),805.0)</f>
        <v>805</v>
      </c>
      <c r="G12753" s="4">
        <f>IFERROR(__xludf.DUMMYFUNCTION("""COMPUTED_VALUE"""),0.0)</f>
        <v>0</v>
      </c>
      <c r="H12753" s="4"/>
      <c r="I12753" s="4"/>
    </row>
    <row r="12754">
      <c r="A12754" s="4" t="str">
        <f>IFERROR(__xludf.DUMMYFUNCTION("""COMPUTED_VALUE"""),"cas_hmw")</f>
        <v>cas_hmw</v>
      </c>
      <c r="B12754" s="5">
        <f>IFERROR(__xludf.DUMMYFUNCTION("""COMPUTED_VALUE"""),44715.0)</f>
        <v>44715</v>
      </c>
      <c r="C12754" s="6">
        <f>IFERROR(__xludf.DUMMYFUNCTION("""COMPUTED_VALUE"""),0.32113425925854244)</f>
        <v>0.3211342593</v>
      </c>
      <c r="D12754" s="4">
        <f>IFERROR(__xludf.DUMMYFUNCTION("""COMPUTED_VALUE"""),12.694692)</f>
        <v>12.694692</v>
      </c>
      <c r="E12754" s="4">
        <f>IFERROR(__xludf.DUMMYFUNCTION("""COMPUTED_VALUE"""),79.97826)</f>
        <v>79.97826</v>
      </c>
      <c r="F12754" s="4">
        <f>IFERROR(__xludf.DUMMYFUNCTION("""COMPUTED_VALUE"""),805.0)</f>
        <v>805</v>
      </c>
      <c r="G12754" s="4">
        <f>IFERROR(__xludf.DUMMYFUNCTION("""COMPUTED_VALUE"""),29.0)</f>
        <v>29</v>
      </c>
      <c r="H12754" s="4"/>
      <c r="I12754" s="4"/>
    </row>
    <row r="12755">
      <c r="A12755" s="4" t="str">
        <f>IFERROR(__xludf.DUMMYFUNCTION("""COMPUTED_VALUE"""),"cas_hmw")</f>
        <v>cas_hmw</v>
      </c>
      <c r="B12755" s="5">
        <f>IFERROR(__xludf.DUMMYFUNCTION("""COMPUTED_VALUE"""),44715.0)</f>
        <v>44715</v>
      </c>
      <c r="C12755" s="6">
        <f>IFERROR(__xludf.DUMMYFUNCTION("""COMPUTED_VALUE"""),0.3227777777792653)</f>
        <v>0.3227777778</v>
      </c>
      <c r="D12755" s="4">
        <f>IFERROR(__xludf.DUMMYFUNCTION("""COMPUTED_VALUE"""),12.697231)</f>
        <v>12.697231</v>
      </c>
      <c r="E12755" s="4">
        <f>IFERROR(__xludf.DUMMYFUNCTION("""COMPUTED_VALUE"""),79.972331)</f>
        <v>79.972331</v>
      </c>
      <c r="F12755" s="4">
        <f>IFERROR(__xludf.DUMMYFUNCTION("""COMPUTED_VALUE"""),805.0)</f>
        <v>805</v>
      </c>
      <c r="G12755" s="4">
        <f>IFERROR(__xludf.DUMMYFUNCTION("""COMPUTED_VALUE"""),23.0)</f>
        <v>23</v>
      </c>
      <c r="H12755" s="4"/>
      <c r="I12755" s="4"/>
    </row>
    <row r="12756">
      <c r="A12756" s="4" t="str">
        <f>IFERROR(__xludf.DUMMYFUNCTION("""COMPUTED_VALUE"""),"cas_hmw")</f>
        <v>cas_hmw</v>
      </c>
      <c r="B12756" s="5">
        <f>IFERROR(__xludf.DUMMYFUNCTION("""COMPUTED_VALUE"""),44715.0)</f>
        <v>44715</v>
      </c>
      <c r="C12756" s="6">
        <f>IFERROR(__xludf.DUMMYFUNCTION("""COMPUTED_VALUE"""),0.32283564814861165)</f>
        <v>0.3228356481</v>
      </c>
      <c r="D12756" s="4">
        <f>IFERROR(__xludf.DUMMYFUNCTION("""COMPUTED_VALUE"""),12.697538)</f>
        <v>12.697538</v>
      </c>
      <c r="E12756" s="4">
        <f>IFERROR(__xludf.DUMMYFUNCTION("""COMPUTED_VALUE"""),79.971612)</f>
        <v>79.971612</v>
      </c>
      <c r="F12756" s="4">
        <f>IFERROR(__xludf.DUMMYFUNCTION("""COMPUTED_VALUE"""),805.0)</f>
        <v>805</v>
      </c>
      <c r="G12756" s="4">
        <f>IFERROR(__xludf.DUMMYFUNCTION("""COMPUTED_VALUE"""),30.0)</f>
        <v>30</v>
      </c>
      <c r="H12756" s="4"/>
      <c r="I12756" s="4"/>
    </row>
    <row r="12757">
      <c r="A12757" s="4" t="str">
        <f>IFERROR(__xludf.DUMMYFUNCTION("""COMPUTED_VALUE"""),"cas_hmw")</f>
        <v>cas_hmw</v>
      </c>
      <c r="B12757" s="5">
        <f>IFERROR(__xludf.DUMMYFUNCTION("""COMPUTED_VALUE"""),44715.0)</f>
        <v>44715</v>
      </c>
      <c r="C12757" s="6">
        <f>IFERROR(__xludf.DUMMYFUNCTION("""COMPUTED_VALUE"""),0.3228472222217533)</f>
        <v>0.3228472222</v>
      </c>
      <c r="D12757" s="4">
        <f>IFERROR(__xludf.DUMMYFUNCTION("""COMPUTED_VALUE"""),12.697538)</f>
        <v>12.697538</v>
      </c>
      <c r="E12757" s="4">
        <f>IFERROR(__xludf.DUMMYFUNCTION("""COMPUTED_VALUE"""),79.971612)</f>
        <v>79.971612</v>
      </c>
      <c r="F12757" s="4">
        <f>IFERROR(__xludf.DUMMYFUNCTION("""COMPUTED_VALUE"""),805.0)</f>
        <v>805</v>
      </c>
      <c r="G12757" s="4">
        <f>IFERROR(__xludf.DUMMYFUNCTION("""COMPUTED_VALUE"""),30.0)</f>
        <v>30</v>
      </c>
      <c r="H12757" s="4"/>
      <c r="I12757" s="4"/>
    </row>
    <row r="12758">
      <c r="A12758" s="4" t="str">
        <f>IFERROR(__xludf.DUMMYFUNCTION("""COMPUTED_VALUE"""),"cas_hmw")</f>
        <v>cas_hmw</v>
      </c>
      <c r="B12758" s="5">
        <f>IFERROR(__xludf.DUMMYFUNCTION("""COMPUTED_VALUE"""),44715.0)</f>
        <v>44715</v>
      </c>
      <c r="C12758" s="6">
        <f>IFERROR(__xludf.DUMMYFUNCTION("""COMPUTED_VALUE"""),0.3228819444448163)</f>
        <v>0.3228819444</v>
      </c>
      <c r="D12758" s="4">
        <f>IFERROR(__xludf.DUMMYFUNCTION("""COMPUTED_VALUE"""),13.010104)</f>
        <v>13.010104</v>
      </c>
      <c r="E12758" s="4">
        <f>IFERROR(__xludf.DUMMYFUNCTION("""COMPUTED_VALUE"""),80.214982)</f>
        <v>80.214982</v>
      </c>
      <c r="F12758" s="4">
        <f>IFERROR(__xludf.DUMMYFUNCTION("""COMPUTED_VALUE"""),2846.0)</f>
        <v>2846</v>
      </c>
      <c r="G12758" s="4">
        <f>IFERROR(__xludf.DUMMYFUNCTION("""COMPUTED_VALUE"""),36.0)</f>
        <v>36</v>
      </c>
      <c r="H12758" s="4"/>
      <c r="I12758" s="4"/>
    </row>
    <row r="12759">
      <c r="A12759" s="4" t="str">
        <f>IFERROR(__xludf.DUMMYFUNCTION("""COMPUTED_VALUE"""),"cas_hmw")</f>
        <v>cas_hmw</v>
      </c>
      <c r="B12759" s="5">
        <f>IFERROR(__xludf.DUMMYFUNCTION("""COMPUTED_VALUE"""),44715.0)</f>
        <v>44715</v>
      </c>
      <c r="C12759" s="6">
        <f>IFERROR(__xludf.DUMMYFUNCTION("""COMPUTED_VALUE"""),0.323032407406572)</f>
        <v>0.3230324074</v>
      </c>
      <c r="D12759" s="4">
        <f>IFERROR(__xludf.DUMMYFUNCTION("""COMPUTED_VALUE"""),13.00984)</f>
        <v>13.00984</v>
      </c>
      <c r="E12759" s="4">
        <f>IFERROR(__xludf.DUMMYFUNCTION("""COMPUTED_VALUE"""),80.214081)</f>
        <v>80.214081</v>
      </c>
      <c r="F12759" s="4">
        <f>IFERROR(__xludf.DUMMYFUNCTION("""COMPUTED_VALUE"""),2846.0)</f>
        <v>2846</v>
      </c>
      <c r="G12759" s="4">
        <f>IFERROR(__xludf.DUMMYFUNCTION("""COMPUTED_VALUE"""),38.0)</f>
        <v>38</v>
      </c>
      <c r="H12759" s="4"/>
      <c r="I12759" s="4"/>
    </row>
    <row r="12760">
      <c r="A12760" s="4" t="str">
        <f>IFERROR(__xludf.DUMMYFUNCTION("""COMPUTED_VALUE"""),"cas_hmw")</f>
        <v>cas_hmw</v>
      </c>
      <c r="B12760" s="5">
        <f>IFERROR(__xludf.DUMMYFUNCTION("""COMPUTED_VALUE"""),44715.0)</f>
        <v>44715</v>
      </c>
      <c r="C12760" s="6">
        <f>IFERROR(__xludf.DUMMYFUNCTION("""COMPUTED_VALUE"""),0.32319444444510737)</f>
        <v>0.3231944444</v>
      </c>
      <c r="D12760" s="4">
        <f>IFERROR(__xludf.DUMMYFUNCTION("""COMPUTED_VALUE"""),13.009448)</f>
        <v>13.009448</v>
      </c>
      <c r="E12760" s="4">
        <f>IFERROR(__xludf.DUMMYFUNCTION("""COMPUTED_VALUE"""),80.21307)</f>
        <v>80.21307</v>
      </c>
      <c r="F12760" s="4">
        <f>IFERROR(__xludf.DUMMYFUNCTION("""COMPUTED_VALUE"""),2846.0)</f>
        <v>2846</v>
      </c>
      <c r="G12760" s="4">
        <f>IFERROR(__xludf.DUMMYFUNCTION("""COMPUTED_VALUE"""),42.0)</f>
        <v>42</v>
      </c>
      <c r="H12760" s="4"/>
      <c r="I12760" s="4"/>
    </row>
    <row r="12761">
      <c r="A12761" s="4" t="str">
        <f>IFERROR(__xludf.DUMMYFUNCTION("""COMPUTED_VALUE"""),"cas_hmw")</f>
        <v>cas_hmw</v>
      </c>
      <c r="B12761" s="5">
        <f>IFERROR(__xludf.DUMMYFUNCTION("""COMPUTED_VALUE"""),44715.0)</f>
        <v>44715</v>
      </c>
      <c r="C12761" s="6">
        <f>IFERROR(__xludf.DUMMYFUNCTION("""COMPUTED_VALUE"""),0.32353009259168175)</f>
        <v>0.3235300926</v>
      </c>
      <c r="D12761" s="4">
        <f>IFERROR(__xludf.DUMMYFUNCTION("""COMPUTED_VALUE"""),13.008316)</f>
        <v>13.008316</v>
      </c>
      <c r="E12761" s="4">
        <f>IFERROR(__xludf.DUMMYFUNCTION("""COMPUTED_VALUE"""),80.210109)</f>
        <v>80.210109</v>
      </c>
      <c r="F12761" s="4">
        <f>IFERROR(__xludf.DUMMYFUNCTION("""COMPUTED_VALUE"""),2846.0)</f>
        <v>2846</v>
      </c>
      <c r="G12761" s="4">
        <f>IFERROR(__xludf.DUMMYFUNCTION("""COMPUTED_VALUE"""),55.0)</f>
        <v>55</v>
      </c>
      <c r="H12761" s="4"/>
      <c r="I12761" s="4"/>
    </row>
    <row r="12762">
      <c r="A12762" s="4" t="str">
        <f>IFERROR(__xludf.DUMMYFUNCTION("""COMPUTED_VALUE"""),"cas_hmw")</f>
        <v>cas_hmw</v>
      </c>
      <c r="B12762" s="5">
        <f>IFERROR(__xludf.DUMMYFUNCTION("""COMPUTED_VALUE"""),44715.0)</f>
        <v>44715</v>
      </c>
      <c r="C12762" s="6">
        <f>IFERROR(__xludf.DUMMYFUNCTION("""COMPUTED_VALUE"""),0.32377314814948477)</f>
        <v>0.3237731481</v>
      </c>
      <c r="D12762" s="4">
        <f>IFERROR(__xludf.DUMMYFUNCTION("""COMPUTED_VALUE"""),13.007776)</f>
        <v>13.007776</v>
      </c>
      <c r="E12762" s="4">
        <f>IFERROR(__xludf.DUMMYFUNCTION("""COMPUTED_VALUE"""),80.207418)</f>
        <v>80.207418</v>
      </c>
      <c r="F12762" s="4">
        <f>IFERROR(__xludf.DUMMYFUNCTION("""COMPUTED_VALUE"""),2846.0)</f>
        <v>2846</v>
      </c>
      <c r="G12762" s="4">
        <f>IFERROR(__xludf.DUMMYFUNCTION("""COMPUTED_VALUE"""),51.0)</f>
        <v>51</v>
      </c>
      <c r="H12762" s="4"/>
      <c r="I12762" s="4"/>
    </row>
    <row r="12763">
      <c r="A12763" s="4" t="str">
        <f>IFERROR(__xludf.DUMMYFUNCTION("""COMPUTED_VALUE"""),"cas_hmw")</f>
        <v>cas_hmw</v>
      </c>
      <c r="B12763" s="5">
        <f>IFERROR(__xludf.DUMMYFUNCTION("""COMPUTED_VALUE"""),44715.0)</f>
        <v>44715</v>
      </c>
      <c r="C12763" s="6">
        <f>IFERROR(__xludf.DUMMYFUNCTION("""COMPUTED_VALUE"""),0.3244212962963502)</f>
        <v>0.3244212963</v>
      </c>
      <c r="D12763" s="4">
        <f>IFERROR(__xludf.DUMMYFUNCTION("""COMPUTED_VALUE"""),13.00493)</f>
        <v>13.00493</v>
      </c>
      <c r="E12763" s="4">
        <f>IFERROR(__xludf.DUMMYFUNCTION("""COMPUTED_VALUE"""),80.201447)</f>
        <v>80.201447</v>
      </c>
      <c r="F12763" s="4">
        <f>IFERROR(__xludf.DUMMYFUNCTION("""COMPUTED_VALUE"""),2846.0)</f>
        <v>2846</v>
      </c>
      <c r="G12763" s="4">
        <f>IFERROR(__xludf.DUMMYFUNCTION("""COMPUTED_VALUE"""),29.0)</f>
        <v>29</v>
      </c>
      <c r="H12763" s="4"/>
      <c r="I12763" s="4"/>
    </row>
    <row r="12764">
      <c r="A12764" s="4" t="str">
        <f>IFERROR(__xludf.DUMMYFUNCTION("""COMPUTED_VALUE"""),"cas_hmw")</f>
        <v>cas_hmw</v>
      </c>
      <c r="B12764" s="5">
        <f>IFERROR(__xludf.DUMMYFUNCTION("""COMPUTED_VALUE"""),44715.0)</f>
        <v>44715</v>
      </c>
      <c r="C12764" s="6">
        <f>IFERROR(__xludf.DUMMYFUNCTION("""COMPUTED_VALUE"""),0.3247453703697829)</f>
        <v>0.3247453704</v>
      </c>
      <c r="D12764" s="4">
        <f>IFERROR(__xludf.DUMMYFUNCTION("""COMPUTED_VALUE"""),13.002489)</f>
        <v>13.002489</v>
      </c>
      <c r="E12764" s="4">
        <f>IFERROR(__xludf.DUMMYFUNCTION("""COMPUTED_VALUE"""),80.200604)</f>
        <v>80.200604</v>
      </c>
      <c r="F12764" s="4">
        <f>IFERROR(__xludf.DUMMYFUNCTION("""COMPUTED_VALUE"""),2846.0)</f>
        <v>2846</v>
      </c>
      <c r="G12764" s="4">
        <f>IFERROR(__xludf.DUMMYFUNCTION("""COMPUTED_VALUE"""),37.0)</f>
        <v>37</v>
      </c>
      <c r="H12764" s="4"/>
      <c r="I12764" s="4"/>
    </row>
    <row r="12765">
      <c r="A12765" s="4" t="str">
        <f>IFERROR(__xludf.DUMMYFUNCTION("""COMPUTED_VALUE"""),"cas_hmw")</f>
        <v>cas_hmw</v>
      </c>
      <c r="B12765" s="5">
        <f>IFERROR(__xludf.DUMMYFUNCTION("""COMPUTED_VALUE"""),44715.0)</f>
        <v>44715</v>
      </c>
      <c r="C12765" s="6">
        <f>IFERROR(__xludf.DUMMYFUNCTION("""COMPUTED_VALUE"""),0.3249189814814599)</f>
        <v>0.3249189815</v>
      </c>
      <c r="D12765" s="4">
        <f>IFERROR(__xludf.DUMMYFUNCTION("""COMPUTED_VALUE"""),13.00178)</f>
        <v>13.00178</v>
      </c>
      <c r="E12765" s="4">
        <f>IFERROR(__xludf.DUMMYFUNCTION("""COMPUTED_VALUE"""),80.199821)</f>
        <v>80.199821</v>
      </c>
      <c r="F12765" s="4">
        <f>IFERROR(__xludf.DUMMYFUNCTION("""COMPUTED_VALUE"""),2846.0)</f>
        <v>2846</v>
      </c>
      <c r="G12765" s="4">
        <f>IFERROR(__xludf.DUMMYFUNCTION("""COMPUTED_VALUE"""),45.0)</f>
        <v>45</v>
      </c>
      <c r="H12765" s="4"/>
      <c r="I12765" s="4"/>
    </row>
    <row r="12766">
      <c r="A12766" s="4" t="str">
        <f>IFERROR(__xludf.DUMMYFUNCTION("""COMPUTED_VALUE"""),"cas_hmw")</f>
        <v>cas_hmw</v>
      </c>
      <c r="B12766" s="5">
        <f>IFERROR(__xludf.DUMMYFUNCTION("""COMPUTED_VALUE"""),44715.0)</f>
        <v>44715</v>
      </c>
      <c r="C12766" s="6">
        <f>IFERROR(__xludf.DUMMYFUNCTION("""COMPUTED_VALUE"""),0.3262615740750334)</f>
        <v>0.3262615741</v>
      </c>
      <c r="D12766" s="4">
        <f>IFERROR(__xludf.DUMMYFUNCTION("""COMPUTED_VALUE"""),12.999956)</f>
        <v>12.999956</v>
      </c>
      <c r="E12766" s="4">
        <f>IFERROR(__xludf.DUMMYFUNCTION("""COMPUTED_VALUE"""),80.194167)</f>
        <v>80.194167</v>
      </c>
      <c r="F12766" s="4">
        <f>IFERROR(__xludf.DUMMYFUNCTION("""COMPUTED_VALUE"""),2846.0)</f>
        <v>2846</v>
      </c>
      <c r="G12766" s="4">
        <f>IFERROR(__xludf.DUMMYFUNCTION("""COMPUTED_VALUE"""),52.0)</f>
        <v>52</v>
      </c>
      <c r="H12766" s="4"/>
      <c r="I12766" s="4"/>
    </row>
    <row r="12767">
      <c r="A12767" s="4" t="str">
        <f>IFERROR(__xludf.DUMMYFUNCTION("""COMPUTED_VALUE"""),"cas_hmw")</f>
        <v>cas_hmw</v>
      </c>
      <c r="B12767" s="5">
        <f>IFERROR(__xludf.DUMMYFUNCTION("""COMPUTED_VALUE"""),44715.0)</f>
        <v>44715</v>
      </c>
      <c r="C12767" s="6">
        <f>IFERROR(__xludf.DUMMYFUNCTION("""COMPUTED_VALUE"""),0.3295138888897782)</f>
        <v>0.3295138889</v>
      </c>
      <c r="D12767" s="4">
        <f>IFERROR(__xludf.DUMMYFUNCTION("""COMPUTED_VALUE"""),12.989046)</f>
        <v>12.989046</v>
      </c>
      <c r="E12767" s="4">
        <f>IFERROR(__xludf.DUMMYFUNCTION("""COMPUTED_VALUE"""),80.17839)</f>
        <v>80.17839</v>
      </c>
      <c r="F12767" s="4">
        <f>IFERROR(__xludf.DUMMYFUNCTION("""COMPUTED_VALUE"""),2846.0)</f>
        <v>2846</v>
      </c>
      <c r="G12767" s="4">
        <f>IFERROR(__xludf.DUMMYFUNCTION("""COMPUTED_VALUE"""),46.0)</f>
        <v>46</v>
      </c>
      <c r="H12767" s="4"/>
      <c r="I12767" s="4"/>
    </row>
    <row r="12768">
      <c r="A12768" s="4" t="str">
        <f>IFERROR(__xludf.DUMMYFUNCTION("""COMPUTED_VALUE"""),"cas_hmw")</f>
        <v>cas_hmw</v>
      </c>
      <c r="B12768" s="5">
        <f>IFERROR(__xludf.DUMMYFUNCTION("""COMPUTED_VALUE"""),44715.0)</f>
        <v>44715</v>
      </c>
      <c r="C12768" s="6">
        <f>IFERROR(__xludf.DUMMYFUNCTION("""COMPUTED_VALUE"""),0.32989583333255723)</f>
        <v>0.3298958333</v>
      </c>
      <c r="D12768" s="4">
        <f>IFERROR(__xludf.DUMMYFUNCTION("""COMPUTED_VALUE"""),12.98686)</f>
        <v>12.98686</v>
      </c>
      <c r="E12768" s="4">
        <f>IFERROR(__xludf.DUMMYFUNCTION("""COMPUTED_VALUE"""),80.175367)</f>
        <v>80.175367</v>
      </c>
      <c r="F12768" s="4">
        <f>IFERROR(__xludf.DUMMYFUNCTION("""COMPUTED_VALUE"""),2846.0)</f>
        <v>2846</v>
      </c>
      <c r="G12768" s="4">
        <f>IFERROR(__xludf.DUMMYFUNCTION("""COMPUTED_VALUE"""),46.0)</f>
        <v>46</v>
      </c>
      <c r="H12768" s="4"/>
      <c r="I12768" s="4"/>
    </row>
    <row r="12769">
      <c r="A12769" s="4" t="str">
        <f>IFERROR(__xludf.DUMMYFUNCTION("""COMPUTED_VALUE"""),"cas_hmw")</f>
        <v>cas_hmw</v>
      </c>
      <c r="B12769" s="5">
        <f>IFERROR(__xludf.DUMMYFUNCTION("""COMPUTED_VALUE"""),44715.0)</f>
        <v>44715</v>
      </c>
      <c r="C12769" s="6">
        <f>IFERROR(__xludf.DUMMYFUNCTION("""COMPUTED_VALUE"""),0.33010416666729725)</f>
        <v>0.3301041667</v>
      </c>
      <c r="D12769" s="4">
        <f>IFERROR(__xludf.DUMMYFUNCTION("""COMPUTED_VALUE"""),12.986173)</f>
        <v>12.986173</v>
      </c>
      <c r="E12769" s="4">
        <f>IFERROR(__xludf.DUMMYFUNCTION("""COMPUTED_VALUE"""),80.174378)</f>
        <v>80.174378</v>
      </c>
      <c r="F12769" s="4">
        <f>IFERROR(__xludf.DUMMYFUNCTION("""COMPUTED_VALUE"""),2846.0)</f>
        <v>2846</v>
      </c>
      <c r="G12769" s="4">
        <f>IFERROR(__xludf.DUMMYFUNCTION("""COMPUTED_VALUE"""),46.0)</f>
        <v>46</v>
      </c>
      <c r="H12769" s="4"/>
      <c r="I12769" s="4"/>
    </row>
    <row r="12770">
      <c r="A12770" s="4" t="str">
        <f>IFERROR(__xludf.DUMMYFUNCTION("""COMPUTED_VALUE"""),"cas_hmw")</f>
        <v>cas_hmw</v>
      </c>
      <c r="B12770" s="5">
        <f>IFERROR(__xludf.DUMMYFUNCTION("""COMPUTED_VALUE"""),44715.0)</f>
        <v>44715</v>
      </c>
      <c r="C12770" s="6">
        <f>IFERROR(__xludf.DUMMYFUNCTION("""COMPUTED_VALUE"""),0.3301273148135806)</f>
        <v>0.3301273148</v>
      </c>
      <c r="D12770" s="4">
        <f>IFERROR(__xludf.DUMMYFUNCTION("""COMPUTED_VALUE"""),12.986173)</f>
        <v>12.986173</v>
      </c>
      <c r="E12770" s="4">
        <f>IFERROR(__xludf.DUMMYFUNCTION("""COMPUTED_VALUE"""),80.174378)</f>
        <v>80.174378</v>
      </c>
      <c r="F12770" s="4">
        <f>IFERROR(__xludf.DUMMYFUNCTION("""COMPUTED_VALUE"""),2846.0)</f>
        <v>2846</v>
      </c>
      <c r="G12770" s="4">
        <f>IFERROR(__xludf.DUMMYFUNCTION("""COMPUTED_VALUE"""),46.0)</f>
        <v>46</v>
      </c>
      <c r="H12770" s="4"/>
      <c r="I12770" s="4"/>
    </row>
    <row r="12771">
      <c r="A12771" s="4" t="str">
        <f>IFERROR(__xludf.DUMMYFUNCTION("""COMPUTED_VALUE"""),"cas_hmw")</f>
        <v>cas_hmw</v>
      </c>
      <c r="B12771" s="5">
        <f>IFERROR(__xludf.DUMMYFUNCTION("""COMPUTED_VALUE"""),44715.0)</f>
        <v>44715</v>
      </c>
      <c r="C12771" s="6">
        <f>IFERROR(__xludf.DUMMYFUNCTION("""COMPUTED_VALUE"""),0.3303472222214623)</f>
        <v>0.3303472222</v>
      </c>
      <c r="D12771" s="4">
        <f>IFERROR(__xludf.DUMMYFUNCTION("""COMPUTED_VALUE"""),12.984023)</f>
        <v>12.984023</v>
      </c>
      <c r="E12771" s="4">
        <f>IFERROR(__xludf.DUMMYFUNCTION("""COMPUTED_VALUE"""),80.171146)</f>
        <v>80.171146</v>
      </c>
      <c r="F12771" s="4">
        <f>IFERROR(__xludf.DUMMYFUNCTION("""COMPUTED_VALUE"""),2846.0)</f>
        <v>2846</v>
      </c>
      <c r="G12771" s="4">
        <f>IFERROR(__xludf.DUMMYFUNCTION("""COMPUTED_VALUE"""),50.0)</f>
        <v>50</v>
      </c>
      <c r="H12771" s="4"/>
      <c r="I12771" s="4"/>
    </row>
    <row r="12772">
      <c r="A12772" s="4" t="str">
        <f>IFERROR(__xludf.DUMMYFUNCTION("""COMPUTED_VALUE"""),"cas_hmw")</f>
        <v>cas_hmw</v>
      </c>
      <c r="B12772" s="5">
        <f>IFERROR(__xludf.DUMMYFUNCTION("""COMPUTED_VALUE"""),44715.0)</f>
        <v>44715</v>
      </c>
      <c r="C12772" s="6">
        <f>IFERROR(__xludf.DUMMYFUNCTION("""COMPUTED_VALUE"""),0.3303819444445253)</f>
        <v>0.3303819444</v>
      </c>
      <c r="D12772" s="4">
        <f>IFERROR(__xludf.DUMMYFUNCTION("""COMPUTED_VALUE"""),12.984023)</f>
        <v>12.984023</v>
      </c>
      <c r="E12772" s="4">
        <f>IFERROR(__xludf.DUMMYFUNCTION("""COMPUTED_VALUE"""),80.171146)</f>
        <v>80.171146</v>
      </c>
      <c r="F12772" s="4">
        <f>IFERROR(__xludf.DUMMYFUNCTION("""COMPUTED_VALUE"""),2846.0)</f>
        <v>2846</v>
      </c>
      <c r="G12772" s="4">
        <f>IFERROR(__xludf.DUMMYFUNCTION("""COMPUTED_VALUE"""),50.0)</f>
        <v>50</v>
      </c>
      <c r="H12772" s="4"/>
      <c r="I12772" s="4"/>
    </row>
    <row r="12773">
      <c r="A12773" s="4" t="str">
        <f>IFERROR(__xludf.DUMMYFUNCTION("""COMPUTED_VALUE"""),"cas_hmw")</f>
        <v>cas_hmw</v>
      </c>
      <c r="B12773" s="5">
        <f>IFERROR(__xludf.DUMMYFUNCTION("""COMPUTED_VALUE"""),44715.0)</f>
        <v>44715</v>
      </c>
      <c r="C12773" s="6">
        <f>IFERROR(__xludf.DUMMYFUNCTION("""COMPUTED_VALUE"""),0.3304861111100763)</f>
        <v>0.3304861111</v>
      </c>
      <c r="D12773" s="4">
        <f>IFERROR(__xludf.DUMMYFUNCTION("""COMPUTED_VALUE"""),12.983366)</f>
        <v>12.983366</v>
      </c>
      <c r="E12773" s="4">
        <f>IFERROR(__xludf.DUMMYFUNCTION("""COMPUTED_VALUE"""),80.170017)</f>
        <v>80.170017</v>
      </c>
      <c r="F12773" s="4">
        <f>IFERROR(__xludf.DUMMYFUNCTION("""COMPUTED_VALUE"""),2846.0)</f>
        <v>2846</v>
      </c>
      <c r="G12773" s="4">
        <f>IFERROR(__xludf.DUMMYFUNCTION("""COMPUTED_VALUE"""),52.0)</f>
        <v>52</v>
      </c>
      <c r="H12773" s="4"/>
      <c r="I12773" s="4"/>
    </row>
    <row r="12774">
      <c r="A12774" s="4" t="str">
        <f>IFERROR(__xludf.DUMMYFUNCTION("""COMPUTED_VALUE"""),"cas_hmw")</f>
        <v>cas_hmw</v>
      </c>
      <c r="B12774" s="5">
        <f>IFERROR(__xludf.DUMMYFUNCTION("""COMPUTED_VALUE"""),44715.0)</f>
        <v>44715</v>
      </c>
      <c r="C12774" s="6">
        <f>IFERROR(__xludf.DUMMYFUNCTION("""COMPUTED_VALUE"""),0.330671296294895)</f>
        <v>0.3306712963</v>
      </c>
      <c r="D12774" s="4">
        <f>IFERROR(__xludf.DUMMYFUNCTION("""COMPUTED_VALUE"""),12.981957)</f>
        <v>12.981957</v>
      </c>
      <c r="E12774" s="4">
        <f>IFERROR(__xludf.DUMMYFUNCTION("""COMPUTED_VALUE"""),80.167627)</f>
        <v>80.167627</v>
      </c>
      <c r="F12774" s="4">
        <f>IFERROR(__xludf.DUMMYFUNCTION("""COMPUTED_VALUE"""),2846.0)</f>
        <v>2846</v>
      </c>
      <c r="G12774" s="4">
        <f>IFERROR(__xludf.DUMMYFUNCTION("""COMPUTED_VALUE"""),58.0)</f>
        <v>58</v>
      </c>
      <c r="H12774" s="4"/>
      <c r="I12774" s="4"/>
    </row>
    <row r="12775">
      <c r="A12775" s="4" t="str">
        <f>IFERROR(__xludf.DUMMYFUNCTION("""COMPUTED_VALUE"""),"cas_hmw")</f>
        <v>cas_hmw</v>
      </c>
      <c r="B12775" s="5">
        <f>IFERROR(__xludf.DUMMYFUNCTION("""COMPUTED_VALUE"""),44715.0)</f>
        <v>44715</v>
      </c>
      <c r="C12775" s="6">
        <f>IFERROR(__xludf.DUMMYFUNCTION("""COMPUTED_VALUE"""),0.33076388888730435)</f>
        <v>0.3307638889</v>
      </c>
      <c r="D12775" s="4">
        <f>IFERROR(__xludf.DUMMYFUNCTION("""COMPUTED_VALUE"""),12.981957)</f>
        <v>12.981957</v>
      </c>
      <c r="E12775" s="4">
        <f>IFERROR(__xludf.DUMMYFUNCTION("""COMPUTED_VALUE"""),80.167627)</f>
        <v>80.167627</v>
      </c>
      <c r="F12775" s="4">
        <f>IFERROR(__xludf.DUMMYFUNCTION("""COMPUTED_VALUE"""),2846.0)</f>
        <v>2846</v>
      </c>
      <c r="G12775" s="4">
        <f>IFERROR(__xludf.DUMMYFUNCTION("""COMPUTED_VALUE"""),58.0)</f>
        <v>58</v>
      </c>
      <c r="H12775" s="4"/>
      <c r="I12775" s="4"/>
    </row>
    <row r="12776">
      <c r="A12776" s="4" t="str">
        <f>IFERROR(__xludf.DUMMYFUNCTION("""COMPUTED_VALUE"""),"cas_hmw")</f>
        <v>cas_hmw</v>
      </c>
      <c r="B12776" s="5">
        <f>IFERROR(__xludf.DUMMYFUNCTION("""COMPUTED_VALUE"""),44715.0)</f>
        <v>44715</v>
      </c>
      <c r="C12776" s="6">
        <f>IFERROR(__xludf.DUMMYFUNCTION("""COMPUTED_VALUE"""),0.33097222222204437)</f>
        <v>0.3309722222</v>
      </c>
      <c r="D12776" s="4">
        <f>IFERROR(__xludf.DUMMYFUNCTION("""COMPUTED_VALUE"""),12.749494)</f>
        <v>12.749494</v>
      </c>
      <c r="E12776" s="4">
        <f>IFERROR(__xludf.DUMMYFUNCTION("""COMPUTED_VALUE"""),79.997352)</f>
        <v>79.997352</v>
      </c>
      <c r="F12776" s="4">
        <f>IFERROR(__xludf.DUMMYFUNCTION("""COMPUTED_VALUE"""),805.0)</f>
        <v>805</v>
      </c>
      <c r="G12776" s="4">
        <f>IFERROR(__xludf.DUMMYFUNCTION("""COMPUTED_VALUE"""),58.0)</f>
        <v>58</v>
      </c>
      <c r="H12776" s="4"/>
      <c r="I12776" s="4"/>
    </row>
    <row r="12777">
      <c r="A12777" s="4" t="str">
        <f>IFERROR(__xludf.DUMMYFUNCTION("""COMPUTED_VALUE"""),"cas_hmw")</f>
        <v>cas_hmw</v>
      </c>
      <c r="B12777" s="5">
        <f>IFERROR(__xludf.DUMMYFUNCTION("""COMPUTED_VALUE"""),44715.0)</f>
        <v>44715</v>
      </c>
      <c r="C12777" s="6">
        <f>IFERROR(__xludf.DUMMYFUNCTION("""COMPUTED_VALUE"""),0.33119212962992606)</f>
        <v>0.3311921296</v>
      </c>
      <c r="D12777" s="4">
        <f>IFERROR(__xludf.DUMMYFUNCTION("""COMPUTED_VALUE"""),12.755252)</f>
        <v>12.755252</v>
      </c>
      <c r="E12777" s="4">
        <f>IFERROR(__xludf.DUMMYFUNCTION("""COMPUTED_VALUE"""),80.001272)</f>
        <v>80.001272</v>
      </c>
      <c r="F12777" s="4">
        <f>IFERROR(__xludf.DUMMYFUNCTION("""COMPUTED_VALUE"""),805.0)</f>
        <v>805</v>
      </c>
      <c r="G12777" s="4">
        <f>IFERROR(__xludf.DUMMYFUNCTION("""COMPUTED_VALUE"""),46.0)</f>
        <v>46</v>
      </c>
      <c r="H12777" s="4"/>
      <c r="I12777" s="4"/>
    </row>
    <row r="12778">
      <c r="A12778" s="4" t="str">
        <f>IFERROR(__xludf.DUMMYFUNCTION("""COMPUTED_VALUE"""),"cas_hmw")</f>
        <v>cas_hmw</v>
      </c>
      <c r="B12778" s="5">
        <f>IFERROR(__xludf.DUMMYFUNCTION("""COMPUTED_VALUE"""),44715.0)</f>
        <v>44715</v>
      </c>
      <c r="C12778" s="6">
        <f>IFERROR(__xludf.DUMMYFUNCTION("""COMPUTED_VALUE"""),0.33130787036861875)</f>
        <v>0.3313078704</v>
      </c>
      <c r="D12778" s="4">
        <f>IFERROR(__xludf.DUMMYFUNCTION("""COMPUTED_VALUE"""),12.980626)</f>
        <v>12.980626</v>
      </c>
      <c r="E12778" s="4">
        <f>IFERROR(__xludf.DUMMYFUNCTION("""COMPUTED_VALUE"""),80.16528)</f>
        <v>80.16528</v>
      </c>
      <c r="F12778" s="4">
        <f>IFERROR(__xludf.DUMMYFUNCTION("""COMPUTED_VALUE"""),2846.0)</f>
        <v>2846</v>
      </c>
      <c r="G12778" s="4">
        <f>IFERROR(__xludf.DUMMYFUNCTION("""COMPUTED_VALUE"""),54.0)</f>
        <v>54</v>
      </c>
      <c r="H12778" s="4"/>
      <c r="I12778" s="4"/>
    </row>
    <row r="12779">
      <c r="A12779" s="4" t="str">
        <f>IFERROR(__xludf.DUMMYFUNCTION("""COMPUTED_VALUE"""),"cas_hmw")</f>
        <v>cas_hmw</v>
      </c>
      <c r="B12779" s="5">
        <f>IFERROR(__xludf.DUMMYFUNCTION("""COMPUTED_VALUE"""),44715.0)</f>
        <v>44715</v>
      </c>
      <c r="C12779" s="6">
        <f>IFERROR(__xludf.DUMMYFUNCTION("""COMPUTED_VALUE"""),0.3315740740727051)</f>
        <v>0.3315740741</v>
      </c>
      <c r="D12779" s="4">
        <f>IFERROR(__xludf.DUMMYFUNCTION("""COMPUTED_VALUE"""),12.97775)</f>
        <v>12.97775</v>
      </c>
      <c r="E12779" s="4">
        <f>IFERROR(__xludf.DUMMYFUNCTION("""COMPUTED_VALUE"""),80.159701)</f>
        <v>80.159701</v>
      </c>
      <c r="F12779" s="4">
        <f>IFERROR(__xludf.DUMMYFUNCTION("""COMPUTED_VALUE"""),2846.0)</f>
        <v>2846</v>
      </c>
      <c r="G12779" s="4">
        <f>IFERROR(__xludf.DUMMYFUNCTION("""COMPUTED_VALUE"""),48.0)</f>
        <v>48</v>
      </c>
      <c r="H12779" s="4"/>
      <c r="I12779" s="4"/>
    </row>
    <row r="12780">
      <c r="A12780" s="4" t="str">
        <f>IFERROR(__xludf.DUMMYFUNCTION("""COMPUTED_VALUE"""),"cas_hmw")</f>
        <v>cas_hmw</v>
      </c>
      <c r="B12780" s="5">
        <f>IFERROR(__xludf.DUMMYFUNCTION("""COMPUTED_VALUE"""),44715.0)</f>
        <v>44715</v>
      </c>
      <c r="C12780" s="6">
        <f>IFERROR(__xludf.DUMMYFUNCTION("""COMPUTED_VALUE"""),0.33254629629664123)</f>
        <v>0.3325462963</v>
      </c>
      <c r="D12780" s="4">
        <f>IFERROR(__xludf.DUMMYFUNCTION("""COMPUTED_VALUE"""),12.973788)</f>
        <v>12.973788</v>
      </c>
      <c r="E12780" s="4">
        <f>IFERROR(__xludf.DUMMYFUNCTION("""COMPUTED_VALUE"""),80.153913)</f>
        <v>80.153913</v>
      </c>
      <c r="F12780" s="4">
        <f>IFERROR(__xludf.DUMMYFUNCTION("""COMPUTED_VALUE"""),2846.0)</f>
        <v>2846</v>
      </c>
      <c r="G12780" s="4">
        <f>IFERROR(__xludf.DUMMYFUNCTION("""COMPUTED_VALUE"""),36.0)</f>
        <v>36</v>
      </c>
      <c r="H12780" s="4"/>
      <c r="I12780" s="4"/>
    </row>
    <row r="12781">
      <c r="A12781" s="4" t="str">
        <f>IFERROR(__xludf.DUMMYFUNCTION("""COMPUTED_VALUE"""),"cas_hmw")</f>
        <v>cas_hmw</v>
      </c>
      <c r="B12781" s="5">
        <f>IFERROR(__xludf.DUMMYFUNCTION("""COMPUTED_VALUE"""),44715.0)</f>
        <v>44715</v>
      </c>
      <c r="C12781" s="6">
        <f>IFERROR(__xludf.DUMMYFUNCTION("""COMPUTED_VALUE"""),0.333391203705105)</f>
        <v>0.3333912037</v>
      </c>
      <c r="D12781" s="4">
        <f>IFERROR(__xludf.DUMMYFUNCTION("""COMPUTED_VALUE"""),12.972348)</f>
        <v>12.972348</v>
      </c>
      <c r="E12781" s="4">
        <f>IFERROR(__xludf.DUMMYFUNCTION("""COMPUTED_VALUE"""),80.151788)</f>
        <v>80.151788</v>
      </c>
      <c r="F12781" s="4">
        <f>IFERROR(__xludf.DUMMYFUNCTION("""COMPUTED_VALUE"""),2846.0)</f>
        <v>2846</v>
      </c>
      <c r="G12781" s="4">
        <f>IFERROR(__xludf.DUMMYFUNCTION("""COMPUTED_VALUE"""),13.0)</f>
        <v>13</v>
      </c>
      <c r="H12781" s="4"/>
      <c r="I12781" s="4"/>
    </row>
    <row r="12782">
      <c r="A12782" s="4" t="str">
        <f>IFERROR(__xludf.DUMMYFUNCTION("""COMPUTED_VALUE"""),"cas_hmw")</f>
        <v>cas_hmw</v>
      </c>
      <c r="B12782" s="5">
        <f>IFERROR(__xludf.DUMMYFUNCTION("""COMPUTED_VALUE"""),44715.0)</f>
        <v>44715</v>
      </c>
      <c r="C12782" s="6">
        <f>IFERROR(__xludf.DUMMYFUNCTION("""COMPUTED_VALUE"""),0.3339120370364981)</f>
        <v>0.333912037</v>
      </c>
      <c r="D12782" s="4">
        <f>IFERROR(__xludf.DUMMYFUNCTION("""COMPUTED_VALUE"""),12.968973)</f>
        <v>12.968973</v>
      </c>
      <c r="E12782" s="4">
        <f>IFERROR(__xludf.DUMMYFUNCTION("""COMPUTED_VALUE"""),80.149861)</f>
        <v>80.149861</v>
      </c>
      <c r="F12782" s="4">
        <f>IFERROR(__xludf.DUMMYFUNCTION("""COMPUTED_VALUE"""),2846.0)</f>
        <v>2846</v>
      </c>
      <c r="G12782" s="4">
        <f>IFERROR(__xludf.DUMMYFUNCTION("""COMPUTED_VALUE"""),37.0)</f>
        <v>37</v>
      </c>
      <c r="H12782" s="4"/>
      <c r="I12782" s="4"/>
    </row>
    <row r="12783">
      <c r="A12783" s="4" t="str">
        <f>IFERROR(__xludf.DUMMYFUNCTION("""COMPUTED_VALUE"""),"cas_hmw")</f>
        <v>cas_hmw</v>
      </c>
      <c r="B12783" s="5">
        <f>IFERROR(__xludf.DUMMYFUNCTION("""COMPUTED_VALUE"""),44715.0)</f>
        <v>44715</v>
      </c>
      <c r="C12783" s="6">
        <f>IFERROR(__xludf.DUMMYFUNCTION("""COMPUTED_VALUE"""),0.3344444444446708)</f>
        <v>0.3344444444</v>
      </c>
      <c r="D12783" s="4">
        <f>IFERROR(__xludf.DUMMYFUNCTION("""COMPUTED_VALUE"""),12.785586)</f>
        <v>12.785586</v>
      </c>
      <c r="E12783" s="4">
        <f>IFERROR(__xludf.DUMMYFUNCTION("""COMPUTED_VALUE"""),80.014179)</f>
        <v>80.014179</v>
      </c>
      <c r="F12783" s="4">
        <f>IFERROR(__xludf.DUMMYFUNCTION("""COMPUTED_VALUE"""),805.0)</f>
        <v>805</v>
      </c>
      <c r="G12783" s="4">
        <f>IFERROR(__xludf.DUMMYFUNCTION("""COMPUTED_VALUE"""),38.0)</f>
        <v>38</v>
      </c>
      <c r="H12783" s="4"/>
      <c r="I12783" s="4"/>
    </row>
    <row r="12784">
      <c r="A12784" s="4" t="str">
        <f>IFERROR(__xludf.DUMMYFUNCTION("""COMPUTED_VALUE"""),"cas_hmw")</f>
        <v>cas_hmw</v>
      </c>
      <c r="B12784" s="5">
        <f>IFERROR(__xludf.DUMMYFUNCTION("""COMPUTED_VALUE"""),44715.0)</f>
        <v>44715</v>
      </c>
      <c r="C12784" s="6">
        <f>IFERROR(__xludf.DUMMYFUNCTION("""COMPUTED_VALUE"""),0.3344907407408755)</f>
        <v>0.3344907407</v>
      </c>
      <c r="D12784" s="4">
        <f>IFERROR(__xludf.DUMMYFUNCTION("""COMPUTED_VALUE"""),12.966885)</f>
        <v>12.966885</v>
      </c>
      <c r="E12784" s="4">
        <f>IFERROR(__xludf.DUMMYFUNCTION("""COMPUTED_VALUE"""),80.14893)</f>
        <v>80.14893</v>
      </c>
      <c r="F12784" s="4">
        <f>IFERROR(__xludf.DUMMYFUNCTION("""COMPUTED_VALUE"""),2846.0)</f>
        <v>2846</v>
      </c>
      <c r="G12784" s="4">
        <f>IFERROR(__xludf.DUMMYFUNCTION("""COMPUTED_VALUE"""),19.0)</f>
        <v>19</v>
      </c>
      <c r="H12784" s="4"/>
      <c r="I12784" s="4"/>
    </row>
    <row r="12785">
      <c r="A12785" s="4" t="str">
        <f>IFERROR(__xludf.DUMMYFUNCTION("""COMPUTED_VALUE"""),"cas_hmw")</f>
        <v>cas_hmw</v>
      </c>
      <c r="B12785" s="5">
        <f>IFERROR(__xludf.DUMMYFUNCTION("""COMPUTED_VALUE"""),44715.0)</f>
        <v>44715</v>
      </c>
      <c r="C12785" s="6">
        <f>IFERROR(__xludf.DUMMYFUNCTION("""COMPUTED_VALUE"""),0.3346643518525525)</f>
        <v>0.3346643519</v>
      </c>
      <c r="D12785" s="4">
        <f>IFERROR(__xludf.DUMMYFUNCTION("""COMPUTED_VALUE"""),12.787221)</f>
        <v>12.787221</v>
      </c>
      <c r="E12785" s="4">
        <f>IFERROR(__xludf.DUMMYFUNCTION("""COMPUTED_VALUE"""),80.015168)</f>
        <v>80.015168</v>
      </c>
      <c r="F12785" s="4">
        <f>IFERROR(__xludf.DUMMYFUNCTION("""COMPUTED_VALUE"""),805.0)</f>
        <v>805</v>
      </c>
      <c r="G12785" s="4">
        <f>IFERROR(__xludf.DUMMYFUNCTION("""COMPUTED_VALUE"""),39.0)</f>
        <v>39</v>
      </c>
      <c r="H12785" s="4"/>
      <c r="I12785" s="4"/>
    </row>
    <row r="12786">
      <c r="A12786" s="4" t="str">
        <f>IFERROR(__xludf.DUMMYFUNCTION("""COMPUTED_VALUE"""),"cas_hmw")</f>
        <v>cas_hmw</v>
      </c>
      <c r="B12786" s="5">
        <f>IFERROR(__xludf.DUMMYFUNCTION("""COMPUTED_VALUE"""),44715.0)</f>
        <v>44715</v>
      </c>
      <c r="C12786" s="6">
        <f>IFERROR(__xludf.DUMMYFUNCTION("""COMPUTED_VALUE"""),0.33493055555663886)</f>
        <v>0.3349305556</v>
      </c>
      <c r="D12786" s="4">
        <f>IFERROR(__xludf.DUMMYFUNCTION("""COMPUTED_VALUE"""),12.788887)</f>
        <v>12.788887</v>
      </c>
      <c r="E12786" s="4">
        <f>IFERROR(__xludf.DUMMYFUNCTION("""COMPUTED_VALUE"""),80.016149)</f>
        <v>80.016149</v>
      </c>
      <c r="F12786" s="4">
        <f>IFERROR(__xludf.DUMMYFUNCTION("""COMPUTED_VALUE"""),805.0)</f>
        <v>805</v>
      </c>
      <c r="G12786" s="4">
        <f>IFERROR(__xludf.DUMMYFUNCTION("""COMPUTED_VALUE"""),36.0)</f>
        <v>36</v>
      </c>
      <c r="H12786" s="4"/>
      <c r="I12786" s="4"/>
    </row>
    <row r="12787">
      <c r="A12787" s="4" t="str">
        <f>IFERROR(__xludf.DUMMYFUNCTION("""COMPUTED_VALUE"""),"cas_hmw")</f>
        <v>cas_hmw</v>
      </c>
      <c r="B12787" s="5">
        <f>IFERROR(__xludf.DUMMYFUNCTION("""COMPUTED_VALUE"""),44715.0)</f>
        <v>44715</v>
      </c>
      <c r="C12787" s="6">
        <f>IFERROR(__xludf.DUMMYFUNCTION("""COMPUTED_VALUE"""),0.33497685185284354)</f>
        <v>0.3349768519</v>
      </c>
      <c r="D12787" s="4">
        <f>IFERROR(__xludf.DUMMYFUNCTION("""COMPUTED_VALUE"""),12.963839)</f>
        <v>12.963839</v>
      </c>
      <c r="E12787" s="4">
        <f>IFERROR(__xludf.DUMMYFUNCTION("""COMPUTED_VALUE"""),80.147349)</f>
        <v>80.147349</v>
      </c>
      <c r="F12787" s="4">
        <f>IFERROR(__xludf.DUMMYFUNCTION("""COMPUTED_VALUE"""),2846.0)</f>
        <v>2846</v>
      </c>
      <c r="G12787" s="4">
        <f>IFERROR(__xludf.DUMMYFUNCTION("""COMPUTED_VALUE"""),54.0)</f>
        <v>54</v>
      </c>
      <c r="H12787" s="4"/>
      <c r="I12787" s="4"/>
    </row>
    <row r="12788">
      <c r="A12788" s="4" t="str">
        <f>IFERROR(__xludf.DUMMYFUNCTION("""COMPUTED_VALUE"""),"cas_hmw")</f>
        <v>cas_hmw</v>
      </c>
      <c r="B12788" s="5">
        <f>IFERROR(__xludf.DUMMYFUNCTION("""COMPUTED_VALUE"""),44715.0)</f>
        <v>44715</v>
      </c>
      <c r="C12788" s="6">
        <f>IFERROR(__xludf.DUMMYFUNCTION("""COMPUTED_VALUE"""),0.33511574074145756)</f>
        <v>0.3351157407</v>
      </c>
      <c r="D12788" s="4">
        <f>IFERROR(__xludf.DUMMYFUNCTION("""COMPUTED_VALUE"""),12.790838)</f>
        <v>12.790838</v>
      </c>
      <c r="E12788" s="4">
        <f>IFERROR(__xludf.DUMMYFUNCTION("""COMPUTED_VALUE"""),80.01734)</f>
        <v>80.01734</v>
      </c>
      <c r="F12788" s="4">
        <f>IFERROR(__xludf.DUMMYFUNCTION("""COMPUTED_VALUE"""),805.0)</f>
        <v>805</v>
      </c>
      <c r="G12788" s="4">
        <f>IFERROR(__xludf.DUMMYFUNCTION("""COMPUTED_VALUE"""),45.0)</f>
        <v>45</v>
      </c>
      <c r="H12788" s="4"/>
      <c r="I12788" s="4"/>
    </row>
    <row r="12789">
      <c r="A12789" s="4" t="str">
        <f>IFERROR(__xludf.DUMMYFUNCTION("""COMPUTED_VALUE"""),"cas_hmw")</f>
        <v>cas_hmw</v>
      </c>
      <c r="B12789" s="5">
        <f>IFERROR(__xludf.DUMMYFUNCTION("""COMPUTED_VALUE"""),44715.0)</f>
        <v>44715</v>
      </c>
      <c r="C12789" s="6">
        <f>IFERROR(__xludf.DUMMYFUNCTION("""COMPUTED_VALUE"""),0.3356828703690553)</f>
        <v>0.3356828704</v>
      </c>
      <c r="D12789" s="4">
        <f>IFERROR(__xludf.DUMMYFUNCTION("""COMPUTED_VALUE"""),12.961513)</f>
        <v>12.961513</v>
      </c>
      <c r="E12789" s="4">
        <f>IFERROR(__xludf.DUMMYFUNCTION("""COMPUTED_VALUE"""),80.146125)</f>
        <v>80.146125</v>
      </c>
      <c r="F12789" s="4">
        <f>IFERROR(__xludf.DUMMYFUNCTION("""COMPUTED_VALUE"""),2846.0)</f>
        <v>2846</v>
      </c>
      <c r="G12789" s="4">
        <f>IFERROR(__xludf.DUMMYFUNCTION("""COMPUTED_VALUE"""),0.0)</f>
        <v>0</v>
      </c>
      <c r="H12789" s="4"/>
      <c r="I12789" s="4"/>
    </row>
    <row r="12790">
      <c r="A12790" s="4" t="str">
        <f>IFERROR(__xludf.DUMMYFUNCTION("""COMPUTED_VALUE"""),"cas_hmw")</f>
        <v>cas_hmw</v>
      </c>
      <c r="B12790" s="5">
        <f>IFERROR(__xludf.DUMMYFUNCTION("""COMPUTED_VALUE"""),44715.0)</f>
        <v>44715</v>
      </c>
      <c r="C12790" s="6">
        <f>IFERROR(__xludf.DUMMYFUNCTION("""COMPUTED_VALUE"""),0.33581018518452765)</f>
        <v>0.3358101852</v>
      </c>
      <c r="D12790" s="4">
        <f>IFERROR(__xludf.DUMMYFUNCTION("""COMPUTED_VALUE"""),12.961075)</f>
        <v>12.961075</v>
      </c>
      <c r="E12790" s="4">
        <f>IFERROR(__xludf.DUMMYFUNCTION("""COMPUTED_VALUE"""),80.14585)</f>
        <v>80.14585</v>
      </c>
      <c r="F12790" s="4">
        <f>IFERROR(__xludf.DUMMYFUNCTION("""COMPUTED_VALUE"""),2846.0)</f>
        <v>2846</v>
      </c>
      <c r="G12790" s="4">
        <f>IFERROR(__xludf.DUMMYFUNCTION("""COMPUTED_VALUE"""),29.0)</f>
        <v>29</v>
      </c>
      <c r="H12790" s="4"/>
      <c r="I12790" s="4"/>
    </row>
    <row r="12791">
      <c r="A12791" s="4" t="str">
        <f>IFERROR(__xludf.DUMMYFUNCTION("""COMPUTED_VALUE"""),"cas_hmw")</f>
        <v>cas_hmw</v>
      </c>
      <c r="B12791" s="5">
        <f>IFERROR(__xludf.DUMMYFUNCTION("""COMPUTED_VALUE"""),44715.0)</f>
        <v>44715</v>
      </c>
      <c r="C12791" s="6">
        <f>IFERROR(__xludf.DUMMYFUNCTION("""COMPUTED_VALUE"""),0.3359259259268583)</f>
        <v>0.3359259259</v>
      </c>
      <c r="D12791" s="4">
        <f>IFERROR(__xludf.DUMMYFUNCTION("""COMPUTED_VALUE"""),12.960309)</f>
        <v>12.960309</v>
      </c>
      <c r="E12791" s="4">
        <f>IFERROR(__xludf.DUMMYFUNCTION("""COMPUTED_VALUE"""),80.145419)</f>
        <v>80.145419</v>
      </c>
      <c r="F12791" s="4">
        <f>IFERROR(__xludf.DUMMYFUNCTION("""COMPUTED_VALUE"""),2846.0)</f>
        <v>2846</v>
      </c>
      <c r="G12791" s="4">
        <f>IFERROR(__xludf.DUMMYFUNCTION("""COMPUTED_VALUE"""),39.0)</f>
        <v>39</v>
      </c>
      <c r="H12791" s="4"/>
      <c r="I12791" s="4"/>
    </row>
    <row r="12792">
      <c r="A12792" s="4" t="str">
        <f>IFERROR(__xludf.DUMMYFUNCTION("""COMPUTED_VALUE"""),"cas_hmw")</f>
        <v>cas_hmw</v>
      </c>
      <c r="B12792" s="5">
        <f>IFERROR(__xludf.DUMMYFUNCTION("""COMPUTED_VALUE"""),44715.0)</f>
        <v>44715</v>
      </c>
      <c r="C12792" s="6">
        <f>IFERROR(__xludf.DUMMYFUNCTION("""COMPUTED_VALUE"""),0.336041666665551)</f>
        <v>0.3360416667</v>
      </c>
      <c r="D12792" s="4">
        <f>IFERROR(__xludf.DUMMYFUNCTION("""COMPUTED_VALUE"""),12.959322)</f>
        <v>12.959322</v>
      </c>
      <c r="E12792" s="4">
        <f>IFERROR(__xludf.DUMMYFUNCTION("""COMPUTED_VALUE"""),80.144879)</f>
        <v>80.144879</v>
      </c>
      <c r="F12792" s="4">
        <f>IFERROR(__xludf.DUMMYFUNCTION("""COMPUTED_VALUE"""),2846.0)</f>
        <v>2846</v>
      </c>
      <c r="G12792" s="4">
        <f>IFERROR(__xludf.DUMMYFUNCTION("""COMPUTED_VALUE"""),44.0)</f>
        <v>44</v>
      </c>
      <c r="H12792" s="4"/>
      <c r="I12792" s="4"/>
    </row>
    <row r="12793">
      <c r="A12793" s="4" t="str">
        <f>IFERROR(__xludf.DUMMYFUNCTION("""COMPUTED_VALUE"""),"cas_hmw")</f>
        <v>cas_hmw</v>
      </c>
      <c r="B12793" s="5">
        <f>IFERROR(__xludf.DUMMYFUNCTION("""COMPUTED_VALUE"""),44715.0)</f>
        <v>44715</v>
      </c>
      <c r="C12793" s="6">
        <f>IFERROR(__xludf.DUMMYFUNCTION("""COMPUTED_VALUE"""),0.3361574074078817)</f>
        <v>0.3361574074</v>
      </c>
      <c r="D12793" s="4">
        <f>IFERROR(__xludf.DUMMYFUNCTION("""COMPUTED_VALUE"""),12.95833)</f>
        <v>12.95833</v>
      </c>
      <c r="E12793" s="4">
        <f>IFERROR(__xludf.DUMMYFUNCTION("""COMPUTED_VALUE"""),80.144356)</f>
        <v>80.144356</v>
      </c>
      <c r="F12793" s="4">
        <f>IFERROR(__xludf.DUMMYFUNCTION("""COMPUTED_VALUE"""),2846.0)</f>
        <v>2846</v>
      </c>
      <c r="G12793" s="4">
        <f>IFERROR(__xludf.DUMMYFUNCTION("""COMPUTED_VALUE"""),44.0)</f>
        <v>44</v>
      </c>
      <c r="H12793" s="4"/>
      <c r="I12793" s="4"/>
    </row>
    <row r="12794">
      <c r="A12794" s="4" t="str">
        <f>IFERROR(__xludf.DUMMYFUNCTION("""COMPUTED_VALUE"""),"cas_hmw")</f>
        <v>cas_hmw</v>
      </c>
      <c r="B12794" s="5">
        <f>IFERROR(__xludf.DUMMYFUNCTION("""COMPUTED_VALUE"""),44715.0)</f>
        <v>44715</v>
      </c>
      <c r="C12794" s="6">
        <f>IFERROR(__xludf.DUMMYFUNCTION("""COMPUTED_VALUE"""),0.3367361111122591)</f>
        <v>0.3367361111</v>
      </c>
      <c r="D12794" s="4">
        <f>IFERROR(__xludf.DUMMYFUNCTION("""COMPUTED_VALUE"""),12.955953)</f>
        <v>12.955953</v>
      </c>
      <c r="E12794" s="4">
        <f>IFERROR(__xludf.DUMMYFUNCTION("""COMPUTED_VALUE"""),80.143162)</f>
        <v>80.143162</v>
      </c>
      <c r="F12794" s="4">
        <f>IFERROR(__xludf.DUMMYFUNCTION("""COMPUTED_VALUE"""),2846.0)</f>
        <v>2846</v>
      </c>
      <c r="G12794" s="4">
        <f>IFERROR(__xludf.DUMMYFUNCTION("""COMPUTED_VALUE"""),20.0)</f>
        <v>20</v>
      </c>
      <c r="H12794" s="4"/>
      <c r="I12794" s="4"/>
    </row>
    <row r="12795">
      <c r="A12795" s="4" t="str">
        <f>IFERROR(__xludf.DUMMYFUNCTION("""COMPUTED_VALUE"""),"cas_hmw")</f>
        <v>cas_hmw</v>
      </c>
      <c r="B12795" s="5">
        <f>IFERROR(__xludf.DUMMYFUNCTION("""COMPUTED_VALUE"""),44715.0)</f>
        <v>44715</v>
      </c>
      <c r="C12795" s="6">
        <f>IFERROR(__xludf.DUMMYFUNCTION("""COMPUTED_VALUE"""),0.3376041666670062)</f>
        <v>0.3376041667</v>
      </c>
      <c r="D12795" s="4">
        <f>IFERROR(__xludf.DUMMYFUNCTION("""COMPUTED_VALUE"""),12.952315)</f>
        <v>12.952315</v>
      </c>
      <c r="E12795" s="4">
        <f>IFERROR(__xludf.DUMMYFUNCTION("""COMPUTED_VALUE"""),80.141002)</f>
        <v>80.141002</v>
      </c>
      <c r="F12795" s="4">
        <f>IFERROR(__xludf.DUMMYFUNCTION("""COMPUTED_VALUE"""),2846.0)</f>
        <v>2846</v>
      </c>
      <c r="G12795" s="4">
        <f>IFERROR(__xludf.DUMMYFUNCTION("""COMPUTED_VALUE"""),6.0)</f>
        <v>6</v>
      </c>
      <c r="H12795" s="4"/>
      <c r="I12795" s="4"/>
    </row>
    <row r="12796">
      <c r="A12796" s="4" t="str">
        <f>IFERROR(__xludf.DUMMYFUNCTION("""COMPUTED_VALUE"""),"cas_hmw")</f>
        <v>cas_hmw</v>
      </c>
      <c r="B12796" s="5">
        <f>IFERROR(__xludf.DUMMYFUNCTION("""COMPUTED_VALUE"""),44715.0)</f>
        <v>44715</v>
      </c>
      <c r="C12796" s="6">
        <f>IFERROR(__xludf.DUMMYFUNCTION("""COMPUTED_VALUE"""),0.3376157407401479)</f>
        <v>0.3376157407</v>
      </c>
      <c r="D12796" s="4">
        <f>IFERROR(__xludf.DUMMYFUNCTION("""COMPUTED_VALUE"""),12.952093)</f>
        <v>12.952093</v>
      </c>
      <c r="E12796" s="4">
        <f>IFERROR(__xludf.DUMMYFUNCTION("""COMPUTED_VALUE"""),80.140834)</f>
        <v>80.140834</v>
      </c>
      <c r="F12796" s="4">
        <f>IFERROR(__xludf.DUMMYFUNCTION("""COMPUTED_VALUE"""),2846.0)</f>
        <v>2846</v>
      </c>
      <c r="G12796" s="4">
        <f>IFERROR(__xludf.DUMMYFUNCTION("""COMPUTED_VALUE"""),17.0)</f>
        <v>17</v>
      </c>
      <c r="H12796" s="4"/>
      <c r="I12796" s="4"/>
    </row>
    <row r="12797">
      <c r="A12797" s="4" t="str">
        <f>IFERROR(__xludf.DUMMYFUNCTION("""COMPUTED_VALUE"""),"cas_hmw")</f>
        <v>cas_hmw</v>
      </c>
      <c r="B12797" s="5">
        <f>IFERROR(__xludf.DUMMYFUNCTION("""COMPUTED_VALUE"""),44715.0)</f>
        <v>44715</v>
      </c>
      <c r="C12797" s="6">
        <f>IFERROR(__xludf.DUMMYFUNCTION("""COMPUTED_VALUE"""),0.3376504629632109)</f>
        <v>0.337650463</v>
      </c>
      <c r="D12797" s="4">
        <f>IFERROR(__xludf.DUMMYFUNCTION("""COMPUTED_VALUE"""),12.952093)</f>
        <v>12.952093</v>
      </c>
      <c r="E12797" s="4">
        <f>IFERROR(__xludf.DUMMYFUNCTION("""COMPUTED_VALUE"""),80.140834)</f>
        <v>80.140834</v>
      </c>
      <c r="F12797" s="4">
        <f>IFERROR(__xludf.DUMMYFUNCTION("""COMPUTED_VALUE"""),2846.0)</f>
        <v>2846</v>
      </c>
      <c r="G12797" s="4">
        <f>IFERROR(__xludf.DUMMYFUNCTION("""COMPUTED_VALUE"""),17.0)</f>
        <v>17</v>
      </c>
      <c r="H12797" s="4"/>
      <c r="I12797" s="4"/>
    </row>
    <row r="12798">
      <c r="A12798" s="4" t="str">
        <f>IFERROR(__xludf.DUMMYFUNCTION("""COMPUTED_VALUE"""),"cas_hmw")</f>
        <v>cas_hmw</v>
      </c>
      <c r="B12798" s="5">
        <f>IFERROR(__xludf.DUMMYFUNCTION("""COMPUTED_VALUE"""),44715.0)</f>
        <v>44715</v>
      </c>
      <c r="C12798" s="6">
        <f>IFERROR(__xludf.DUMMYFUNCTION("""COMPUTED_VALUE"""),0.3379050925941556)</f>
        <v>0.3379050926</v>
      </c>
      <c r="D12798" s="4">
        <f>IFERROR(__xludf.DUMMYFUNCTION("""COMPUTED_VALUE"""),12.950861)</f>
        <v>12.950861</v>
      </c>
      <c r="E12798" s="4">
        <f>IFERROR(__xludf.DUMMYFUNCTION("""COMPUTED_VALUE"""),80.139923)</f>
        <v>80.139923</v>
      </c>
      <c r="F12798" s="4">
        <f>IFERROR(__xludf.DUMMYFUNCTION("""COMPUTED_VALUE"""),2846.0)</f>
        <v>2846</v>
      </c>
      <c r="G12798" s="4">
        <f>IFERROR(__xludf.DUMMYFUNCTION("""COMPUTED_VALUE"""),25.0)</f>
        <v>25</v>
      </c>
      <c r="H12798" s="4"/>
      <c r="I12798" s="4"/>
    </row>
    <row r="12799">
      <c r="A12799" s="4" t="str">
        <f>IFERROR(__xludf.DUMMYFUNCTION("""COMPUTED_VALUE"""),"cas_hmw")</f>
        <v>cas_hmw</v>
      </c>
      <c r="B12799" s="5">
        <f>IFERROR(__xludf.DUMMYFUNCTION("""COMPUTED_VALUE"""),44715.0)</f>
        <v>44715</v>
      </c>
      <c r="C12799" s="6">
        <f>IFERROR(__xludf.DUMMYFUNCTION("""COMPUTED_VALUE"""),0.33839120370248565)</f>
        <v>0.3383912037</v>
      </c>
      <c r="D12799" s="4">
        <f>IFERROR(__xludf.DUMMYFUNCTION("""COMPUTED_VALUE"""),12.946755)</f>
        <v>12.946755</v>
      </c>
      <c r="E12799" s="4">
        <f>IFERROR(__xludf.DUMMYFUNCTION("""COMPUTED_VALUE"""),80.136787)</f>
        <v>80.136787</v>
      </c>
      <c r="F12799" s="4">
        <f>IFERROR(__xludf.DUMMYFUNCTION("""COMPUTED_VALUE"""),2846.0)</f>
        <v>2846</v>
      </c>
      <c r="G12799" s="4">
        <f>IFERROR(__xludf.DUMMYFUNCTION("""COMPUTED_VALUE"""),48.0)</f>
        <v>48</v>
      </c>
      <c r="H12799" s="4"/>
      <c r="I12799" s="4"/>
    </row>
    <row r="12800">
      <c r="A12800" s="4" t="str">
        <f>IFERROR(__xludf.DUMMYFUNCTION("""COMPUTED_VALUE"""),"cas_hmw")</f>
        <v>cas_hmw</v>
      </c>
      <c r="B12800" s="5">
        <f>IFERROR(__xludf.DUMMYFUNCTION("""COMPUTED_VALUE"""),44715.0)</f>
        <v>44715</v>
      </c>
      <c r="C12800" s="6">
        <f>IFERROR(__xludf.DUMMYFUNCTION("""COMPUTED_VALUE"""),0.3384722222217533)</f>
        <v>0.3384722222</v>
      </c>
      <c r="D12800" s="4">
        <f>IFERROR(__xludf.DUMMYFUNCTION("""COMPUTED_VALUE"""),12.946755)</f>
        <v>12.946755</v>
      </c>
      <c r="E12800" s="4">
        <f>IFERROR(__xludf.DUMMYFUNCTION("""COMPUTED_VALUE"""),80.136787)</f>
        <v>80.136787</v>
      </c>
      <c r="F12800" s="4">
        <f>IFERROR(__xludf.DUMMYFUNCTION("""COMPUTED_VALUE"""),2846.0)</f>
        <v>2846</v>
      </c>
      <c r="G12800" s="4">
        <f>IFERROR(__xludf.DUMMYFUNCTION("""COMPUTED_VALUE"""),48.0)</f>
        <v>48</v>
      </c>
      <c r="H12800" s="4"/>
      <c r="I12800" s="4"/>
    </row>
    <row r="12801">
      <c r="A12801" s="4" t="str">
        <f>IFERROR(__xludf.DUMMYFUNCTION("""COMPUTED_VALUE"""),"cas_hmw")</f>
        <v>cas_hmw</v>
      </c>
      <c r="B12801" s="5">
        <f>IFERROR(__xludf.DUMMYFUNCTION("""COMPUTED_VALUE"""),44715.0)</f>
        <v>44715</v>
      </c>
      <c r="C12801" s="6">
        <f>IFERROR(__xludf.DUMMYFUNCTION("""COMPUTED_VALUE"""),0.3394907407418941)</f>
        <v>0.3394907407</v>
      </c>
      <c r="D12801" s="4">
        <f>IFERROR(__xludf.DUMMYFUNCTION("""COMPUTED_VALUE"""),12.940061)</f>
        <v>12.940061</v>
      </c>
      <c r="E12801" s="4">
        <f>IFERROR(__xludf.DUMMYFUNCTION("""COMPUTED_VALUE"""),80.130692)</f>
        <v>80.130692</v>
      </c>
      <c r="F12801" s="4">
        <f>IFERROR(__xludf.DUMMYFUNCTION("""COMPUTED_VALUE"""),2846.0)</f>
        <v>2846</v>
      </c>
      <c r="G12801" s="4">
        <f>IFERROR(__xludf.DUMMYFUNCTION("""COMPUTED_VALUE"""),53.0)</f>
        <v>53</v>
      </c>
      <c r="H12801" s="4"/>
      <c r="I12801" s="4"/>
    </row>
    <row r="12802">
      <c r="A12802" s="4" t="str">
        <f>IFERROR(__xludf.DUMMYFUNCTION("""COMPUTED_VALUE"""),"cas_hmw")</f>
        <v>cas_hmw</v>
      </c>
      <c r="B12802" s="5">
        <f>IFERROR(__xludf.DUMMYFUNCTION("""COMPUTED_VALUE"""),44715.0)</f>
        <v>44715</v>
      </c>
      <c r="C12802" s="6">
        <f>IFERROR(__xludf.DUMMYFUNCTION("""COMPUTED_VALUE"""),0.33973379629605915)</f>
        <v>0.3397337963</v>
      </c>
      <c r="D12802" s="4">
        <f>IFERROR(__xludf.DUMMYFUNCTION("""COMPUTED_VALUE"""),12.832242)</f>
        <v>12.832242</v>
      </c>
      <c r="E12802" s="4">
        <f>IFERROR(__xludf.DUMMYFUNCTION("""COMPUTED_VALUE"""),80.047303)</f>
        <v>80.047303</v>
      </c>
      <c r="F12802" s="4">
        <f>IFERROR(__xludf.DUMMYFUNCTION("""COMPUTED_VALUE"""),805.0)</f>
        <v>805</v>
      </c>
      <c r="G12802" s="4">
        <f>IFERROR(__xludf.DUMMYFUNCTION("""COMPUTED_VALUE"""),56.0)</f>
        <v>56</v>
      </c>
      <c r="H12802" s="4"/>
      <c r="I12802" s="4"/>
    </row>
    <row r="12803">
      <c r="A12803" s="4" t="str">
        <f>IFERROR(__xludf.DUMMYFUNCTION("""COMPUTED_VALUE"""),"cas_hmw")</f>
        <v>cas_hmw</v>
      </c>
      <c r="B12803" s="5">
        <f>IFERROR(__xludf.DUMMYFUNCTION("""COMPUTED_VALUE"""),44715.0)</f>
        <v>44715</v>
      </c>
      <c r="C12803" s="6">
        <f>IFERROR(__xludf.DUMMYFUNCTION("""COMPUTED_VALUE"""),0.3397453703692008)</f>
        <v>0.3397453704</v>
      </c>
      <c r="D12803" s="4">
        <f>IFERROR(__xludf.DUMMYFUNCTION("""COMPUTED_VALUE"""),12.938301)</f>
        <v>12.938301</v>
      </c>
      <c r="E12803" s="4">
        <f>IFERROR(__xludf.DUMMYFUNCTION("""COMPUTED_VALUE"""),80.129087)</f>
        <v>80.129087</v>
      </c>
      <c r="F12803" s="4">
        <f>IFERROR(__xludf.DUMMYFUNCTION("""COMPUTED_VALUE"""),2846.0)</f>
        <v>2846</v>
      </c>
      <c r="G12803" s="4">
        <f>IFERROR(__xludf.DUMMYFUNCTION("""COMPUTED_VALUE"""),56.0)</f>
        <v>56</v>
      </c>
      <c r="H12803" s="4"/>
      <c r="I12803" s="4"/>
    </row>
    <row r="12804">
      <c r="A12804" s="4" t="str">
        <f>IFERROR(__xludf.DUMMYFUNCTION("""COMPUTED_VALUE"""),"cas_hmw")</f>
        <v>cas_hmw</v>
      </c>
      <c r="B12804" s="5">
        <f>IFERROR(__xludf.DUMMYFUNCTION("""COMPUTED_VALUE"""),44715.0)</f>
        <v>44715</v>
      </c>
      <c r="C12804" s="6">
        <f>IFERROR(__xludf.DUMMYFUNCTION("""COMPUTED_VALUE"""),0.3402546296310902)</f>
        <v>0.3402546296</v>
      </c>
      <c r="D12804" s="4">
        <f>IFERROR(__xludf.DUMMYFUNCTION("""COMPUTED_VALUE"""),12.936014)</f>
        <v>12.936014</v>
      </c>
      <c r="E12804" s="4">
        <f>IFERROR(__xludf.DUMMYFUNCTION("""COMPUTED_VALUE"""),80.127174)</f>
        <v>80.127174</v>
      </c>
      <c r="F12804" s="4">
        <f>IFERROR(__xludf.DUMMYFUNCTION("""COMPUTED_VALUE"""),2846.0)</f>
        <v>2846</v>
      </c>
      <c r="G12804" s="4">
        <f>IFERROR(__xludf.DUMMYFUNCTION("""COMPUTED_VALUE"""),29.0)</f>
        <v>29</v>
      </c>
      <c r="H12804" s="4"/>
      <c r="I12804" s="4"/>
    </row>
    <row r="12805">
      <c r="A12805" s="4" t="str">
        <f>IFERROR(__xludf.DUMMYFUNCTION("""COMPUTED_VALUE"""),"cas_hmw")</f>
        <v>cas_hmw</v>
      </c>
      <c r="B12805" s="5">
        <f>IFERROR(__xludf.DUMMYFUNCTION("""COMPUTED_VALUE"""),44715.0)</f>
        <v>44715</v>
      </c>
      <c r="C12805" s="6">
        <f>IFERROR(__xludf.DUMMYFUNCTION("""COMPUTED_VALUE"""),0.3403009259272949)</f>
        <v>0.3403009259</v>
      </c>
      <c r="D12805" s="4">
        <f>IFERROR(__xludf.DUMMYFUNCTION("""COMPUTED_VALUE"""),12.936014)</f>
        <v>12.936014</v>
      </c>
      <c r="E12805" s="4">
        <f>IFERROR(__xludf.DUMMYFUNCTION("""COMPUTED_VALUE"""),80.127174)</f>
        <v>80.127174</v>
      </c>
      <c r="F12805" s="4">
        <f>IFERROR(__xludf.DUMMYFUNCTION("""COMPUTED_VALUE"""),2846.0)</f>
        <v>2846</v>
      </c>
      <c r="G12805" s="4">
        <f>IFERROR(__xludf.DUMMYFUNCTION("""COMPUTED_VALUE"""),29.0)</f>
        <v>29</v>
      </c>
      <c r="H12805" s="4"/>
      <c r="I12805" s="4"/>
    </row>
    <row r="12806">
      <c r="A12806" s="4" t="str">
        <f>IFERROR(__xludf.DUMMYFUNCTION("""COMPUTED_VALUE"""),"cas_hmw")</f>
        <v>cas_hmw</v>
      </c>
      <c r="B12806" s="5">
        <f>IFERROR(__xludf.DUMMYFUNCTION("""COMPUTED_VALUE"""),44715.0)</f>
        <v>44715</v>
      </c>
      <c r="C12806" s="6">
        <f>IFERROR(__xludf.DUMMYFUNCTION("""COMPUTED_VALUE"""),0.34042824073912925)</f>
        <v>0.3404282407</v>
      </c>
      <c r="D12806" s="4">
        <f>IFERROR(__xludf.DUMMYFUNCTION("""COMPUTED_VALUE"""),12.837058)</f>
        <v>12.837058</v>
      </c>
      <c r="E12806" s="4">
        <f>IFERROR(__xludf.DUMMYFUNCTION("""COMPUTED_VALUE"""),80.052329)</f>
        <v>80.052329</v>
      </c>
      <c r="F12806" s="4">
        <f>IFERROR(__xludf.DUMMYFUNCTION("""COMPUTED_VALUE"""),805.0)</f>
        <v>805</v>
      </c>
      <c r="G12806" s="4">
        <f>IFERROR(__xludf.DUMMYFUNCTION("""COMPUTED_VALUE"""),51.0)</f>
        <v>51</v>
      </c>
      <c r="H12806" s="4"/>
      <c r="I12806" s="4"/>
    </row>
    <row r="12807">
      <c r="A12807" s="4" t="str">
        <f>IFERROR(__xludf.DUMMYFUNCTION("""COMPUTED_VALUE"""),"cas_hmw")</f>
        <v>cas_hmw</v>
      </c>
      <c r="B12807" s="5">
        <f>IFERROR(__xludf.DUMMYFUNCTION("""COMPUTED_VALUE"""),44715.0)</f>
        <v>44715</v>
      </c>
      <c r="C12807" s="6">
        <f>IFERROR(__xludf.DUMMYFUNCTION("""COMPUTED_VALUE"""),0.34042824073912925)</f>
        <v>0.3404282407</v>
      </c>
      <c r="D12807" s="4">
        <f>IFERROR(__xludf.DUMMYFUNCTION("""COMPUTED_VALUE"""),12.936014)</f>
        <v>12.936014</v>
      </c>
      <c r="E12807" s="4">
        <f>IFERROR(__xludf.DUMMYFUNCTION("""COMPUTED_VALUE"""),80.127174)</f>
        <v>80.127174</v>
      </c>
      <c r="F12807" s="4">
        <f>IFERROR(__xludf.DUMMYFUNCTION("""COMPUTED_VALUE"""),2846.0)</f>
        <v>2846</v>
      </c>
      <c r="G12807" s="4">
        <f>IFERROR(__xludf.DUMMYFUNCTION("""COMPUTED_VALUE"""),29.0)</f>
        <v>29</v>
      </c>
      <c r="H12807" s="4"/>
      <c r="I12807" s="4"/>
    </row>
    <row r="12808">
      <c r="A12808" s="4" t="str">
        <f>IFERROR(__xludf.DUMMYFUNCTION("""COMPUTED_VALUE"""),"cas_hmw")</f>
        <v>cas_hmw</v>
      </c>
      <c r="B12808" s="5">
        <f>IFERROR(__xludf.DUMMYFUNCTION("""COMPUTED_VALUE"""),44715.0)</f>
        <v>44715</v>
      </c>
      <c r="C12808" s="6">
        <f>IFERROR(__xludf.DUMMYFUNCTION("""COMPUTED_VALUE"""),0.3404513888890506)</f>
        <v>0.3404513889</v>
      </c>
      <c r="D12808" s="4">
        <f>IFERROR(__xludf.DUMMYFUNCTION("""COMPUTED_VALUE"""),12.837058)</f>
        <v>12.837058</v>
      </c>
      <c r="E12808" s="4">
        <f>IFERROR(__xludf.DUMMYFUNCTION("""COMPUTED_VALUE"""),80.052329)</f>
        <v>80.052329</v>
      </c>
      <c r="F12808" s="4">
        <f>IFERROR(__xludf.DUMMYFUNCTION("""COMPUTED_VALUE"""),805.0)</f>
        <v>805</v>
      </c>
      <c r="G12808" s="4">
        <f>IFERROR(__xludf.DUMMYFUNCTION("""COMPUTED_VALUE"""),51.0)</f>
        <v>51</v>
      </c>
      <c r="H12808" s="4"/>
      <c r="I12808" s="4"/>
    </row>
    <row r="12809">
      <c r="A12809" s="4" t="str">
        <f>IFERROR(__xludf.DUMMYFUNCTION("""COMPUTED_VALUE"""),"cas_hmw")</f>
        <v>cas_hmw</v>
      </c>
      <c r="B12809" s="5">
        <f>IFERROR(__xludf.DUMMYFUNCTION("""COMPUTED_VALUE"""),44715.0)</f>
        <v>44715</v>
      </c>
      <c r="C12809" s="6">
        <f>IFERROR(__xludf.DUMMYFUNCTION("""COMPUTED_VALUE"""),0.34083333333182964)</f>
        <v>0.3408333333</v>
      </c>
      <c r="D12809" s="4">
        <f>IFERROR(__xludf.DUMMYFUNCTION("""COMPUTED_VALUE"""),12.83966)</f>
        <v>12.83966</v>
      </c>
      <c r="E12809" s="4">
        <f>IFERROR(__xludf.DUMMYFUNCTION("""COMPUTED_VALUE"""),80.055097)</f>
        <v>80.055097</v>
      </c>
      <c r="F12809" s="4">
        <f>IFERROR(__xludf.DUMMYFUNCTION("""COMPUTED_VALUE"""),805.0)</f>
        <v>805</v>
      </c>
      <c r="G12809" s="4">
        <f>IFERROR(__xludf.DUMMYFUNCTION("""COMPUTED_VALUE"""),53.0)</f>
        <v>53</v>
      </c>
      <c r="H12809" s="4"/>
      <c r="I12809" s="4"/>
    </row>
    <row r="12810">
      <c r="A12810" s="4" t="str">
        <f>IFERROR(__xludf.DUMMYFUNCTION("""COMPUTED_VALUE"""),"cas_hmw")</f>
        <v>cas_hmw</v>
      </c>
      <c r="B12810" s="5">
        <f>IFERROR(__xludf.DUMMYFUNCTION("""COMPUTED_VALUE"""),44715.0)</f>
        <v>44715</v>
      </c>
      <c r="C12810" s="6">
        <f>IFERROR(__xludf.DUMMYFUNCTION("""COMPUTED_VALUE"""),0.34083333333182964)</f>
        <v>0.3408333333</v>
      </c>
      <c r="D12810" s="4">
        <f>IFERROR(__xludf.DUMMYFUNCTION("""COMPUTED_VALUE"""),12.932164)</f>
        <v>12.932164</v>
      </c>
      <c r="E12810" s="4">
        <f>IFERROR(__xludf.DUMMYFUNCTION("""COMPUTED_VALUE"""),80.123495)</f>
        <v>80.123495</v>
      </c>
      <c r="F12810" s="4">
        <f>IFERROR(__xludf.DUMMYFUNCTION("""COMPUTED_VALUE"""),2846.0)</f>
        <v>2846</v>
      </c>
      <c r="G12810" s="4">
        <f>IFERROR(__xludf.DUMMYFUNCTION("""COMPUTED_VALUE"""),40.0)</f>
        <v>40</v>
      </c>
      <c r="H12810" s="4"/>
      <c r="I12810" s="4"/>
    </row>
    <row r="12811">
      <c r="A12811" s="4" t="str">
        <f>IFERROR(__xludf.DUMMYFUNCTION("""COMPUTED_VALUE"""),"cas_hmw")</f>
        <v>cas_hmw</v>
      </c>
      <c r="B12811" s="5">
        <f>IFERROR(__xludf.DUMMYFUNCTION("""COMPUTED_VALUE"""),44715.0)</f>
        <v>44715</v>
      </c>
      <c r="C12811" s="6">
        <f>IFERROR(__xludf.DUMMYFUNCTION("""COMPUTED_VALUE"""),0.3409490740741603)</f>
        <v>0.3409490741</v>
      </c>
      <c r="D12811" s="4">
        <f>IFERROR(__xludf.DUMMYFUNCTION("""COMPUTED_VALUE"""),12.840626)</f>
        <v>12.840626</v>
      </c>
      <c r="E12811" s="4">
        <f>IFERROR(__xludf.DUMMYFUNCTION("""COMPUTED_VALUE"""),80.056074)</f>
        <v>80.056074</v>
      </c>
      <c r="F12811" s="4">
        <f>IFERROR(__xludf.DUMMYFUNCTION("""COMPUTED_VALUE"""),805.0)</f>
        <v>805</v>
      </c>
      <c r="G12811" s="4">
        <f>IFERROR(__xludf.DUMMYFUNCTION("""COMPUTED_VALUE"""),50.0)</f>
        <v>50</v>
      </c>
      <c r="H12811" s="4"/>
      <c r="I12811" s="4"/>
    </row>
    <row r="12812">
      <c r="A12812" s="4" t="str">
        <f>IFERROR(__xludf.DUMMYFUNCTION("""COMPUTED_VALUE"""),"cas_hmw")</f>
        <v>cas_hmw</v>
      </c>
      <c r="B12812" s="5">
        <f>IFERROR(__xludf.DUMMYFUNCTION("""COMPUTED_VALUE"""),44715.0)</f>
        <v>44715</v>
      </c>
      <c r="C12812" s="6">
        <f>IFERROR(__xludf.DUMMYFUNCTION("""COMPUTED_VALUE"""),0.340960648147302)</f>
        <v>0.3409606481</v>
      </c>
      <c r="D12812" s="4">
        <f>IFERROR(__xludf.DUMMYFUNCTION("""COMPUTED_VALUE"""),12.931475)</f>
        <v>12.931475</v>
      </c>
      <c r="E12812" s="4">
        <f>IFERROR(__xludf.DUMMYFUNCTION("""COMPUTED_VALUE"""),80.122808)</f>
        <v>80.122808</v>
      </c>
      <c r="F12812" s="4">
        <f>IFERROR(__xludf.DUMMYFUNCTION("""COMPUTED_VALUE"""),2846.0)</f>
        <v>2846</v>
      </c>
      <c r="G12812" s="4">
        <f>IFERROR(__xludf.DUMMYFUNCTION("""COMPUTED_VALUE"""),36.0)</f>
        <v>36</v>
      </c>
      <c r="H12812" s="4"/>
      <c r="I12812" s="4"/>
    </row>
    <row r="12813">
      <c r="A12813" s="4" t="str">
        <f>IFERROR(__xludf.DUMMYFUNCTION("""COMPUTED_VALUE"""),"cas_hmw")</f>
        <v>cas_hmw</v>
      </c>
      <c r="B12813" s="5">
        <f>IFERROR(__xludf.DUMMYFUNCTION("""COMPUTED_VALUE"""),44715.0)</f>
        <v>44715</v>
      </c>
      <c r="C12813" s="6">
        <f>IFERROR(__xludf.DUMMYFUNCTION("""COMPUTED_VALUE"""),0.3410185185202863)</f>
        <v>0.3410185185</v>
      </c>
      <c r="D12813" s="4">
        <f>IFERROR(__xludf.DUMMYFUNCTION("""COMPUTED_VALUE"""),12.931475)</f>
        <v>12.931475</v>
      </c>
      <c r="E12813" s="4">
        <f>IFERROR(__xludf.DUMMYFUNCTION("""COMPUTED_VALUE"""),80.122808)</f>
        <v>80.122808</v>
      </c>
      <c r="F12813" s="4">
        <f>IFERROR(__xludf.DUMMYFUNCTION("""COMPUTED_VALUE"""),2846.0)</f>
        <v>2846</v>
      </c>
      <c r="G12813" s="4">
        <f>IFERROR(__xludf.DUMMYFUNCTION("""COMPUTED_VALUE"""),36.0)</f>
        <v>36</v>
      </c>
      <c r="H12813" s="4"/>
      <c r="I12813" s="4"/>
    </row>
    <row r="12814">
      <c r="A12814" s="4" t="str">
        <f>IFERROR(__xludf.DUMMYFUNCTION("""COMPUTED_VALUE"""),"cas_hmw")</f>
        <v>cas_hmw</v>
      </c>
      <c r="B12814" s="5">
        <f>IFERROR(__xludf.DUMMYFUNCTION("""COMPUTED_VALUE"""),44715.0)</f>
        <v>44715</v>
      </c>
      <c r="C12814" s="6">
        <f>IFERROR(__xludf.DUMMYFUNCTION("""COMPUTED_VALUE"""),0.341030092593428)</f>
        <v>0.3410300926</v>
      </c>
      <c r="D12814" s="4">
        <f>IFERROR(__xludf.DUMMYFUNCTION("""COMPUTED_VALUE"""),12.931475)</f>
        <v>12.931475</v>
      </c>
      <c r="E12814" s="4">
        <f>IFERROR(__xludf.DUMMYFUNCTION("""COMPUTED_VALUE"""),80.122808)</f>
        <v>80.122808</v>
      </c>
      <c r="F12814" s="4">
        <f>IFERROR(__xludf.DUMMYFUNCTION("""COMPUTED_VALUE"""),2846.0)</f>
        <v>2846</v>
      </c>
      <c r="G12814" s="4">
        <f>IFERROR(__xludf.DUMMYFUNCTION("""COMPUTED_VALUE"""),36.0)</f>
        <v>36</v>
      </c>
      <c r="H12814" s="4"/>
      <c r="I12814" s="4"/>
    </row>
    <row r="12815">
      <c r="A12815" s="4" t="str">
        <f>IFERROR(__xludf.DUMMYFUNCTION("""COMPUTED_VALUE"""),"cas_hmw")</f>
        <v>cas_hmw</v>
      </c>
      <c r="B12815" s="5">
        <f>IFERROR(__xludf.DUMMYFUNCTION("""COMPUTED_VALUE"""),44715.0)</f>
        <v>44715</v>
      </c>
      <c r="C12815" s="6">
        <f>IFERROR(__xludf.DUMMYFUNCTION("""COMPUTED_VALUE"""),0.34104166666656965)</f>
        <v>0.3410416667</v>
      </c>
      <c r="D12815" s="4">
        <f>IFERROR(__xludf.DUMMYFUNCTION("""COMPUTED_VALUE"""),12.931475)</f>
        <v>12.931475</v>
      </c>
      <c r="E12815" s="4">
        <f>IFERROR(__xludf.DUMMYFUNCTION("""COMPUTED_VALUE"""),80.122808)</f>
        <v>80.122808</v>
      </c>
      <c r="F12815" s="4">
        <f>IFERROR(__xludf.DUMMYFUNCTION("""COMPUTED_VALUE"""),2846.0)</f>
        <v>2846</v>
      </c>
      <c r="G12815" s="4">
        <f>IFERROR(__xludf.DUMMYFUNCTION("""COMPUTED_VALUE"""),36.0)</f>
        <v>36</v>
      </c>
      <c r="H12815" s="4"/>
      <c r="I12815" s="4"/>
    </row>
    <row r="12816">
      <c r="A12816" s="4" t="str">
        <f>IFERROR(__xludf.DUMMYFUNCTION("""COMPUTED_VALUE"""),"cas_hmw")</f>
        <v>cas_hmw</v>
      </c>
      <c r="B12816" s="5">
        <f>IFERROR(__xludf.DUMMYFUNCTION("""COMPUTED_VALUE"""),44715.0)</f>
        <v>44715</v>
      </c>
      <c r="C12816" s="6">
        <f>IFERROR(__xludf.DUMMYFUNCTION("""COMPUTED_VALUE"""),0.3411458333321207)</f>
        <v>0.3411458333</v>
      </c>
      <c r="D12816" s="4">
        <f>IFERROR(__xludf.DUMMYFUNCTION("""COMPUTED_VALUE"""),12.842354)</f>
        <v>12.842354</v>
      </c>
      <c r="E12816" s="4">
        <f>IFERROR(__xludf.DUMMYFUNCTION("""COMPUTED_VALUE"""),80.057817)</f>
        <v>80.057817</v>
      </c>
      <c r="F12816" s="4">
        <f>IFERROR(__xludf.DUMMYFUNCTION("""COMPUTED_VALUE"""),805.0)</f>
        <v>805</v>
      </c>
      <c r="G12816" s="4">
        <f>IFERROR(__xludf.DUMMYFUNCTION("""COMPUTED_VALUE"""),47.0)</f>
        <v>47</v>
      </c>
      <c r="H12816" s="4"/>
      <c r="I12816" s="4"/>
    </row>
    <row r="12817">
      <c r="A12817" s="4" t="str">
        <f>IFERROR(__xludf.DUMMYFUNCTION("""COMPUTED_VALUE"""),"cas_hmw")</f>
        <v>cas_hmw</v>
      </c>
      <c r="B12817" s="5">
        <f>IFERROR(__xludf.DUMMYFUNCTION("""COMPUTED_VALUE"""),44715.0)</f>
        <v>44715</v>
      </c>
      <c r="C12817" s="6">
        <f>IFERROR(__xludf.DUMMYFUNCTION("""COMPUTED_VALUE"""),0.3416782407402934)</f>
        <v>0.3416782407</v>
      </c>
      <c r="D12817" s="4">
        <f>IFERROR(__xludf.DUMMYFUNCTION("""COMPUTED_VALUE"""),12.927394)</f>
        <v>12.927394</v>
      </c>
      <c r="E12817" s="4">
        <f>IFERROR(__xludf.DUMMYFUNCTION("""COMPUTED_VALUE"""),80.1186)</f>
        <v>80.1186</v>
      </c>
      <c r="F12817" s="4">
        <f>IFERROR(__xludf.DUMMYFUNCTION("""COMPUTED_VALUE"""),2846.0)</f>
        <v>2846</v>
      </c>
      <c r="G12817" s="4">
        <f>IFERROR(__xludf.DUMMYFUNCTION("""COMPUTED_VALUE"""),48.0)</f>
        <v>48</v>
      </c>
      <c r="H12817" s="4"/>
      <c r="I12817" s="4"/>
    </row>
    <row r="12818">
      <c r="A12818" s="4" t="str">
        <f>IFERROR(__xludf.DUMMYFUNCTION("""COMPUTED_VALUE"""),"cas_hmw")</f>
        <v>cas_hmw</v>
      </c>
      <c r="B12818" s="5">
        <f>IFERROR(__xludf.DUMMYFUNCTION("""COMPUTED_VALUE"""),44715.0)</f>
        <v>44715</v>
      </c>
      <c r="C12818" s="6">
        <f>IFERROR(__xludf.DUMMYFUNCTION("""COMPUTED_VALUE"""),0.3431944444455439)</f>
        <v>0.3431944444</v>
      </c>
      <c r="D12818" s="4">
        <f>IFERROR(__xludf.DUMMYFUNCTION("""COMPUTED_VALUE"""),12.916299)</f>
        <v>12.916299</v>
      </c>
      <c r="E12818" s="4">
        <f>IFERROR(__xludf.DUMMYFUNCTION("""COMPUTED_VALUE"""),80.10588)</f>
        <v>80.10588</v>
      </c>
      <c r="F12818" s="4">
        <f>IFERROR(__xludf.DUMMYFUNCTION("""COMPUTED_VALUE"""),2846.0)</f>
        <v>2846</v>
      </c>
      <c r="G12818" s="4">
        <f>IFERROR(__xludf.DUMMYFUNCTION("""COMPUTED_VALUE"""),51.0)</f>
        <v>51</v>
      </c>
      <c r="H12818" s="4"/>
      <c r="I12818" s="4"/>
    </row>
    <row r="12819">
      <c r="A12819" s="4" t="str">
        <f>IFERROR(__xludf.DUMMYFUNCTION("""COMPUTED_VALUE"""),"cas_hmw")</f>
        <v>cas_hmw</v>
      </c>
      <c r="B12819" s="5">
        <f>IFERROR(__xludf.DUMMYFUNCTION("""COMPUTED_VALUE"""),44715.0)</f>
        <v>44715</v>
      </c>
      <c r="C12819" s="6">
        <f>IFERROR(__xludf.DUMMYFUNCTION("""COMPUTED_VALUE"""),0.34322916666496894)</f>
        <v>0.3432291667</v>
      </c>
      <c r="D12819" s="4">
        <f>IFERROR(__xludf.DUMMYFUNCTION("""COMPUTED_VALUE"""),12.850842)</f>
        <v>12.850842</v>
      </c>
      <c r="E12819" s="4">
        <f>IFERROR(__xludf.DUMMYFUNCTION("""COMPUTED_VALUE"""),80.065216)</f>
        <v>80.065216</v>
      </c>
      <c r="F12819" s="4">
        <f>IFERROR(__xludf.DUMMYFUNCTION("""COMPUTED_VALUE"""),805.0)</f>
        <v>805</v>
      </c>
      <c r="G12819" s="4">
        <f>IFERROR(__xludf.DUMMYFUNCTION("""COMPUTED_VALUE"""),45.0)</f>
        <v>45</v>
      </c>
      <c r="H12819" s="4"/>
      <c r="I12819" s="4"/>
    </row>
    <row r="12820">
      <c r="A12820" s="4" t="str">
        <f>IFERROR(__xludf.DUMMYFUNCTION("""COMPUTED_VALUE"""),"cas_hmw")</f>
        <v>cas_hmw</v>
      </c>
      <c r="B12820" s="5">
        <f>IFERROR(__xludf.DUMMYFUNCTION("""COMPUTED_VALUE"""),44715.0)</f>
        <v>44715</v>
      </c>
      <c r="C12820" s="6">
        <f>IFERROR(__xludf.DUMMYFUNCTION("""COMPUTED_VALUE"""),0.34347222222277196)</f>
        <v>0.3434722222</v>
      </c>
      <c r="D12820" s="4">
        <f>IFERROR(__xludf.DUMMYFUNCTION("""COMPUTED_VALUE"""),12.915171)</f>
        <v>12.915171</v>
      </c>
      <c r="E12820" s="4">
        <f>IFERROR(__xludf.DUMMYFUNCTION("""COMPUTED_VALUE"""),80.103814)</f>
        <v>80.103814</v>
      </c>
      <c r="F12820" s="4">
        <f>IFERROR(__xludf.DUMMYFUNCTION("""COMPUTED_VALUE"""),2846.0)</f>
        <v>2846</v>
      </c>
      <c r="G12820" s="4">
        <f>IFERROR(__xludf.DUMMYFUNCTION("""COMPUTED_VALUE"""),45.0)</f>
        <v>45</v>
      </c>
      <c r="H12820" s="4"/>
      <c r="I12820" s="4"/>
    </row>
    <row r="12821">
      <c r="A12821" s="4" t="str">
        <f>IFERROR(__xludf.DUMMYFUNCTION("""COMPUTED_VALUE"""),"cas_hmw")</f>
        <v>cas_hmw</v>
      </c>
      <c r="B12821" s="5">
        <f>IFERROR(__xludf.DUMMYFUNCTION("""COMPUTED_VALUE"""),44715.0)</f>
        <v>44715</v>
      </c>
      <c r="C12821" s="6">
        <f>IFERROR(__xludf.DUMMYFUNCTION("""COMPUTED_VALUE"""),0.34979166666744277)</f>
        <v>0.3497916667</v>
      </c>
      <c r="D12821" s="4">
        <f>IFERROR(__xludf.DUMMYFUNCTION("""COMPUTED_VALUE"""),12.904707)</f>
        <v>12.904707</v>
      </c>
      <c r="E12821" s="4">
        <f>IFERROR(__xludf.DUMMYFUNCTION("""COMPUTED_VALUE"""),80.095208)</f>
        <v>80.095208</v>
      </c>
      <c r="F12821" s="4">
        <f>IFERROR(__xludf.DUMMYFUNCTION("""COMPUTED_VALUE"""),2846.0)</f>
        <v>2846</v>
      </c>
      <c r="G12821" s="4">
        <f>IFERROR(__xludf.DUMMYFUNCTION("""COMPUTED_VALUE"""),30.0)</f>
        <v>30</v>
      </c>
      <c r="H12821" s="4"/>
      <c r="I12821" s="4"/>
    </row>
    <row r="12822">
      <c r="A12822" s="4" t="str">
        <f>IFERROR(__xludf.DUMMYFUNCTION("""COMPUTED_VALUE"""),"cas_hmw")</f>
        <v>cas_hmw</v>
      </c>
      <c r="B12822" s="5">
        <f>IFERROR(__xludf.DUMMYFUNCTION("""COMPUTED_VALUE"""),44715.0)</f>
        <v>44715</v>
      </c>
      <c r="C12822" s="6">
        <f>IFERROR(__xludf.DUMMYFUNCTION("""COMPUTED_VALUE"""),0.3502777777794108)</f>
        <v>0.3502777778</v>
      </c>
      <c r="D12822" s="4">
        <f>IFERROR(__xludf.DUMMYFUNCTION("""COMPUTED_VALUE"""),12.902094)</f>
        <v>12.902094</v>
      </c>
      <c r="E12822" s="4">
        <f>IFERROR(__xludf.DUMMYFUNCTION("""COMPUTED_VALUE"""),80.093067)</f>
        <v>80.093067</v>
      </c>
      <c r="F12822" s="4">
        <f>IFERROR(__xludf.DUMMYFUNCTION("""COMPUTED_VALUE"""),2846.0)</f>
        <v>2846</v>
      </c>
      <c r="G12822" s="4">
        <f>IFERROR(__xludf.DUMMYFUNCTION("""COMPUTED_VALUE"""),49.0)</f>
        <v>49</v>
      </c>
      <c r="H12822" s="4"/>
      <c r="I12822" s="4"/>
    </row>
    <row r="12823">
      <c r="A12823" s="4" t="str">
        <f>IFERROR(__xludf.DUMMYFUNCTION("""COMPUTED_VALUE"""),"cas_hmw")</f>
        <v>cas_hmw</v>
      </c>
      <c r="B12823" s="5">
        <f>IFERROR(__xludf.DUMMYFUNCTION("""COMPUTED_VALUE"""),44715.0)</f>
        <v>44715</v>
      </c>
      <c r="C12823" s="6">
        <f>IFERROR(__xludf.DUMMYFUNCTION("""COMPUTED_VALUE"""),0.3504050925912452)</f>
        <v>0.3504050926</v>
      </c>
      <c r="D12823" s="4">
        <f>IFERROR(__xludf.DUMMYFUNCTION("""COMPUTED_VALUE"""),12.902094)</f>
        <v>12.902094</v>
      </c>
      <c r="E12823" s="4">
        <f>IFERROR(__xludf.DUMMYFUNCTION("""COMPUTED_VALUE"""),80.093067)</f>
        <v>80.093067</v>
      </c>
      <c r="F12823" s="4">
        <f>IFERROR(__xludf.DUMMYFUNCTION("""COMPUTED_VALUE"""),2846.0)</f>
        <v>2846</v>
      </c>
      <c r="G12823" s="4">
        <f>IFERROR(__xludf.DUMMYFUNCTION("""COMPUTED_VALUE"""),49.0)</f>
        <v>49</v>
      </c>
      <c r="H12823" s="4"/>
      <c r="I12823" s="4"/>
    </row>
    <row r="12824">
      <c r="A12824" s="4" t="str">
        <f>IFERROR(__xludf.DUMMYFUNCTION("""COMPUTED_VALUE"""),"cas_hmw")</f>
        <v>cas_hmw</v>
      </c>
      <c r="B12824" s="5">
        <f>IFERROR(__xludf.DUMMYFUNCTION("""COMPUTED_VALUE"""),44715.0)</f>
        <v>44715</v>
      </c>
      <c r="C12824" s="6">
        <f>IFERROR(__xludf.DUMMYFUNCTION("""COMPUTED_VALUE"""),0.3521875000005821)</f>
        <v>0.3521875</v>
      </c>
      <c r="D12824" s="4">
        <f>IFERROR(__xludf.DUMMYFUNCTION("""COMPUTED_VALUE"""),12.884294)</f>
        <v>12.884294</v>
      </c>
      <c r="E12824" s="4">
        <f>IFERROR(__xludf.DUMMYFUNCTION("""COMPUTED_VALUE"""),80.082303)</f>
        <v>80.082303</v>
      </c>
      <c r="F12824" s="4">
        <f>IFERROR(__xludf.DUMMYFUNCTION("""COMPUTED_VALUE"""),2846.0)</f>
        <v>2846</v>
      </c>
      <c r="G12824" s="4">
        <f>IFERROR(__xludf.DUMMYFUNCTION("""COMPUTED_VALUE"""),33.0)</f>
        <v>33</v>
      </c>
      <c r="H12824" s="4"/>
      <c r="I12824" s="4"/>
    </row>
    <row r="12825">
      <c r="A12825" s="4" t="str">
        <f>IFERROR(__xludf.DUMMYFUNCTION("""COMPUTED_VALUE"""),"cas_hmw")</f>
        <v>cas_hmw</v>
      </c>
      <c r="B12825" s="5">
        <f>IFERROR(__xludf.DUMMYFUNCTION("""COMPUTED_VALUE"""),44715.0)</f>
        <v>44715</v>
      </c>
      <c r="C12825" s="6">
        <f>IFERROR(__xludf.DUMMYFUNCTION("""COMPUTED_VALUE"""),0.3522916666661331)</f>
        <v>0.3522916667</v>
      </c>
      <c r="D12825" s="4">
        <f>IFERROR(__xludf.DUMMYFUNCTION("""COMPUTED_VALUE"""),12.883507)</f>
        <v>12.883507</v>
      </c>
      <c r="E12825" s="4">
        <f>IFERROR(__xludf.DUMMYFUNCTION("""COMPUTED_VALUE"""),80.082089)</f>
        <v>80.082089</v>
      </c>
      <c r="F12825" s="4">
        <f>IFERROR(__xludf.DUMMYFUNCTION("""COMPUTED_VALUE"""),2846.0)</f>
        <v>2846</v>
      </c>
      <c r="G12825" s="4">
        <f>IFERROR(__xludf.DUMMYFUNCTION("""COMPUTED_VALUE"""),32.0)</f>
        <v>32</v>
      </c>
      <c r="H12825" s="4"/>
      <c r="I12825" s="4"/>
    </row>
    <row r="12826">
      <c r="A12826" s="4" t="str">
        <f>IFERROR(__xludf.DUMMYFUNCTION("""COMPUTED_VALUE"""),"cas_hmw")</f>
        <v>cas_hmw</v>
      </c>
      <c r="B12826" s="5">
        <f>IFERROR(__xludf.DUMMYFUNCTION("""COMPUTED_VALUE"""),44715.0)</f>
        <v>44715</v>
      </c>
      <c r="C12826" s="6">
        <f>IFERROR(__xludf.DUMMYFUNCTION("""COMPUTED_VALUE"""),0.35238425925854244)</f>
        <v>0.3523842593</v>
      </c>
      <c r="D12826" s="4">
        <f>IFERROR(__xludf.DUMMYFUNCTION("""COMPUTED_VALUE"""),12.882693)</f>
        <v>12.882693</v>
      </c>
      <c r="E12826" s="4">
        <f>IFERROR(__xludf.DUMMYFUNCTION("""COMPUTED_VALUE"""),80.081762)</f>
        <v>80.081762</v>
      </c>
      <c r="F12826" s="4">
        <f>IFERROR(__xludf.DUMMYFUNCTION("""COMPUTED_VALUE"""),2846.0)</f>
        <v>2846</v>
      </c>
      <c r="G12826" s="4">
        <f>IFERROR(__xludf.DUMMYFUNCTION("""COMPUTED_VALUE"""),36.0)</f>
        <v>36</v>
      </c>
      <c r="H12826" s="4"/>
      <c r="I12826" s="4"/>
    </row>
    <row r="12827">
      <c r="A12827" s="4" t="str">
        <f>IFERROR(__xludf.DUMMYFUNCTION("""COMPUTED_VALUE"""),"cas_hmw")</f>
        <v>cas_hmw</v>
      </c>
      <c r="B12827" s="5">
        <f>IFERROR(__xludf.DUMMYFUNCTION("""COMPUTED_VALUE"""),44715.0)</f>
        <v>44715</v>
      </c>
      <c r="C12827" s="6">
        <f>IFERROR(__xludf.DUMMYFUNCTION("""COMPUTED_VALUE"""),0.3538541666675883)</f>
        <v>0.3538541667</v>
      </c>
      <c r="D12827" s="4">
        <f>IFERROR(__xludf.DUMMYFUNCTION("""COMPUTED_VALUE"""),12.878166)</f>
        <v>12.878166</v>
      </c>
      <c r="E12827" s="4">
        <f>IFERROR(__xludf.DUMMYFUNCTION("""COMPUTED_VALUE"""),80.082977)</f>
        <v>80.082977</v>
      </c>
      <c r="F12827" s="4">
        <f>IFERROR(__xludf.DUMMYFUNCTION("""COMPUTED_VALUE"""),2846.0)</f>
        <v>2846</v>
      </c>
      <c r="G12827" s="4">
        <f>IFERROR(__xludf.DUMMYFUNCTION("""COMPUTED_VALUE"""),43.0)</f>
        <v>43</v>
      </c>
      <c r="H12827" s="4"/>
      <c r="I12827" s="4"/>
    </row>
    <row r="12828">
      <c r="A12828" s="4" t="str">
        <f>IFERROR(__xludf.DUMMYFUNCTION("""COMPUTED_VALUE"""),"cas_hmw")</f>
        <v>cas_hmw</v>
      </c>
      <c r="B12828" s="5">
        <f>IFERROR(__xludf.DUMMYFUNCTION("""COMPUTED_VALUE"""),44715.0)</f>
        <v>44715</v>
      </c>
      <c r="C12828" s="6">
        <f>IFERROR(__xludf.DUMMYFUNCTION("""COMPUTED_VALUE"""),0.6993981481464289)</f>
        <v>0.6993981481</v>
      </c>
      <c r="D12828" s="4">
        <f>IFERROR(__xludf.DUMMYFUNCTION("""COMPUTED_VALUE"""),12.879064)</f>
        <v>12.879064</v>
      </c>
      <c r="E12828" s="4">
        <f>IFERROR(__xludf.DUMMYFUNCTION("""COMPUTED_VALUE"""),80.080317)</f>
        <v>80.080317</v>
      </c>
      <c r="F12828" s="4">
        <f>IFERROR(__xludf.DUMMYFUNCTION("""COMPUTED_VALUE"""),2846.0)</f>
        <v>2846</v>
      </c>
      <c r="G12828" s="4">
        <f>IFERROR(__xludf.DUMMYFUNCTION("""COMPUTED_VALUE"""),14.0)</f>
        <v>14</v>
      </c>
      <c r="H12828" s="4"/>
      <c r="I12828" s="4"/>
    </row>
    <row r="12829">
      <c r="A12829" s="4" t="str">
        <f>IFERROR(__xludf.DUMMYFUNCTION("""COMPUTED_VALUE"""),"cas_hmw")</f>
        <v>cas_hmw</v>
      </c>
      <c r="B12829" s="5">
        <f>IFERROR(__xludf.DUMMYFUNCTION("""COMPUTED_VALUE"""),44715.0)</f>
        <v>44715</v>
      </c>
      <c r="C12829" s="6">
        <f>IFERROR(__xludf.DUMMYFUNCTION("""COMPUTED_VALUE"""),0.7003472222204437)</f>
        <v>0.7003472222</v>
      </c>
      <c r="D12829" s="4">
        <f>IFERROR(__xludf.DUMMYFUNCTION("""COMPUTED_VALUE"""),12.885913)</f>
        <v>12.885913</v>
      </c>
      <c r="E12829" s="4">
        <f>IFERROR(__xludf.DUMMYFUNCTION("""COMPUTED_VALUE"""),80.082742)</f>
        <v>80.082742</v>
      </c>
      <c r="F12829" s="4">
        <f>IFERROR(__xludf.DUMMYFUNCTION("""COMPUTED_VALUE"""),2846.0)</f>
        <v>2846</v>
      </c>
      <c r="G12829" s="4">
        <f>IFERROR(__xludf.DUMMYFUNCTION("""COMPUTED_VALUE"""),38.0)</f>
        <v>38</v>
      </c>
      <c r="H12829" s="4"/>
      <c r="I12829" s="4"/>
    </row>
    <row r="12830">
      <c r="A12830" s="4" t="str">
        <f>IFERROR(__xludf.DUMMYFUNCTION("""COMPUTED_VALUE"""),"cas_hmw")</f>
        <v>cas_hmw</v>
      </c>
      <c r="B12830" s="5">
        <f>IFERROR(__xludf.DUMMYFUNCTION("""COMPUTED_VALUE"""),44715.0)</f>
        <v>44715</v>
      </c>
      <c r="C12830" s="6">
        <f>IFERROR(__xludf.DUMMYFUNCTION("""COMPUTED_VALUE"""),0.7006365740744513)</f>
        <v>0.7006365741</v>
      </c>
      <c r="D12830" s="4">
        <f>IFERROR(__xludf.DUMMYFUNCTION("""COMPUTED_VALUE"""),12.88794)</f>
        <v>12.88794</v>
      </c>
      <c r="E12830" s="4">
        <f>IFERROR(__xludf.DUMMYFUNCTION("""COMPUTED_VALUE"""),80.083575)</f>
        <v>80.083575</v>
      </c>
      <c r="F12830" s="4">
        <f>IFERROR(__xludf.DUMMYFUNCTION("""COMPUTED_VALUE"""),2846.0)</f>
        <v>2846</v>
      </c>
      <c r="G12830" s="4">
        <f>IFERROR(__xludf.DUMMYFUNCTION("""COMPUTED_VALUE"""),44.0)</f>
        <v>44</v>
      </c>
      <c r="H12830" s="4"/>
      <c r="I12830" s="4"/>
    </row>
    <row r="12831">
      <c r="A12831" s="4" t="str">
        <f>IFERROR(__xludf.DUMMYFUNCTION("""COMPUTED_VALUE"""),"cas_hmw")</f>
        <v>cas_hmw</v>
      </c>
      <c r="B12831" s="5">
        <f>IFERROR(__xludf.DUMMYFUNCTION("""COMPUTED_VALUE"""),44715.0)</f>
        <v>44715</v>
      </c>
      <c r="C12831" s="6">
        <f>IFERROR(__xludf.DUMMYFUNCTION("""COMPUTED_VALUE"""),0.7020370370373712)</f>
        <v>0.702037037</v>
      </c>
      <c r="D12831" s="4">
        <f>IFERROR(__xludf.DUMMYFUNCTION("""COMPUTED_VALUE"""),12.900382)</f>
        <v>12.900382</v>
      </c>
      <c r="E12831" s="4">
        <f>IFERROR(__xludf.DUMMYFUNCTION("""COMPUTED_VALUE"""),80.091666)</f>
        <v>80.091666</v>
      </c>
      <c r="F12831" s="4">
        <f>IFERROR(__xludf.DUMMYFUNCTION("""COMPUTED_VALUE"""),2846.0)</f>
        <v>2846</v>
      </c>
      <c r="G12831" s="4">
        <f>IFERROR(__xludf.DUMMYFUNCTION("""COMPUTED_VALUE"""),56.0)</f>
        <v>56</v>
      </c>
      <c r="H12831" s="4"/>
      <c r="I12831" s="4"/>
    </row>
    <row r="12832">
      <c r="A12832" s="4" t="str">
        <f>IFERROR(__xludf.DUMMYFUNCTION("""COMPUTED_VALUE"""),"cas_hmw")</f>
        <v>cas_hmw</v>
      </c>
      <c r="B12832" s="5">
        <f>IFERROR(__xludf.DUMMYFUNCTION("""COMPUTED_VALUE"""),44715.0)</f>
        <v>44715</v>
      </c>
      <c r="C12832" s="6">
        <f>IFERROR(__xludf.DUMMYFUNCTION("""COMPUTED_VALUE"""),0.7023379629645206)</f>
        <v>0.702337963</v>
      </c>
      <c r="D12832" s="4">
        <f>IFERROR(__xludf.DUMMYFUNCTION("""COMPUTED_VALUE"""),12.866683)</f>
        <v>12.866683</v>
      </c>
      <c r="E12832" s="4">
        <f>IFERROR(__xludf.DUMMYFUNCTION("""COMPUTED_VALUE"""),80.075311)</f>
        <v>80.075311</v>
      </c>
      <c r="F12832" s="4">
        <f>IFERROR(__xludf.DUMMYFUNCTION("""COMPUTED_VALUE"""),805.0)</f>
        <v>805</v>
      </c>
      <c r="G12832" s="4">
        <f>IFERROR(__xludf.DUMMYFUNCTION("""COMPUTED_VALUE"""),19.0)</f>
        <v>19</v>
      </c>
      <c r="H12832" s="4"/>
      <c r="I12832" s="4"/>
    </row>
    <row r="12833">
      <c r="A12833" s="4" t="str">
        <f>IFERROR(__xludf.DUMMYFUNCTION("""COMPUTED_VALUE"""),"cas_hmw")</f>
        <v>cas_hmw</v>
      </c>
      <c r="B12833" s="5">
        <f>IFERROR(__xludf.DUMMYFUNCTION("""COMPUTED_VALUE"""),44715.0)</f>
        <v>44715</v>
      </c>
      <c r="C12833" s="6">
        <f>IFERROR(__xludf.DUMMYFUNCTION("""COMPUTED_VALUE"""),0.7024189814801503)</f>
        <v>0.7024189815</v>
      </c>
      <c r="D12833" s="4">
        <f>IFERROR(__xludf.DUMMYFUNCTION("""COMPUTED_VALUE"""),12.863585)</f>
        <v>12.863585</v>
      </c>
      <c r="E12833" s="4">
        <f>IFERROR(__xludf.DUMMYFUNCTION("""COMPUTED_VALUE"""),80.074145)</f>
        <v>80.074145</v>
      </c>
      <c r="F12833" s="4">
        <f>IFERROR(__xludf.DUMMYFUNCTION("""COMPUTED_VALUE"""),805.0)</f>
        <v>805</v>
      </c>
      <c r="G12833" s="4">
        <f>IFERROR(__xludf.DUMMYFUNCTION("""COMPUTED_VALUE"""),57.0)</f>
        <v>57</v>
      </c>
      <c r="H12833" s="4"/>
      <c r="I12833" s="4"/>
    </row>
    <row r="12834">
      <c r="A12834" s="4" t="str">
        <f>IFERROR(__xludf.DUMMYFUNCTION("""COMPUTED_VALUE"""),"cas_hmw")</f>
        <v>cas_hmw</v>
      </c>
      <c r="B12834" s="5">
        <f>IFERROR(__xludf.DUMMYFUNCTION("""COMPUTED_VALUE"""),44715.0)</f>
        <v>44715</v>
      </c>
      <c r="C12834" s="6">
        <f>IFERROR(__xludf.DUMMYFUNCTION("""COMPUTED_VALUE"""),0.7026157407417486)</f>
        <v>0.7026157407</v>
      </c>
      <c r="D12834" s="4">
        <f>IFERROR(__xludf.DUMMYFUNCTION("""COMPUTED_VALUE"""),12.903897)</f>
        <v>12.903897</v>
      </c>
      <c r="E12834" s="4">
        <f>IFERROR(__xludf.DUMMYFUNCTION("""COMPUTED_VALUE"""),80.094237)</f>
        <v>80.094237</v>
      </c>
      <c r="F12834" s="4">
        <f>IFERROR(__xludf.DUMMYFUNCTION("""COMPUTED_VALUE"""),2846.0)</f>
        <v>2846</v>
      </c>
      <c r="G12834" s="4">
        <f>IFERROR(__xludf.DUMMYFUNCTION("""COMPUTED_VALUE"""),24.0)</f>
        <v>24</v>
      </c>
      <c r="H12834" s="4"/>
      <c r="I12834" s="4"/>
    </row>
    <row r="12835">
      <c r="A12835" s="4" t="str">
        <f>IFERROR(__xludf.DUMMYFUNCTION("""COMPUTED_VALUE"""),"cas_hmw")</f>
        <v>cas_hmw</v>
      </c>
      <c r="B12835" s="5">
        <f>IFERROR(__xludf.DUMMYFUNCTION("""COMPUTED_VALUE"""),44715.0)</f>
        <v>44715</v>
      </c>
      <c r="C12835" s="6">
        <f>IFERROR(__xludf.DUMMYFUNCTION("""COMPUTED_VALUE"""),0.7026620370379533)</f>
        <v>0.702662037</v>
      </c>
      <c r="D12835" s="4">
        <f>IFERROR(__xludf.DUMMYFUNCTION("""COMPUTED_VALUE"""),12.904454)</f>
        <v>12.904454</v>
      </c>
      <c r="E12835" s="4">
        <f>IFERROR(__xludf.DUMMYFUNCTION("""COMPUTED_VALUE"""),80.094635)</f>
        <v>80.094635</v>
      </c>
      <c r="F12835" s="4">
        <f>IFERROR(__xludf.DUMMYFUNCTION("""COMPUTED_VALUE"""),2846.0)</f>
        <v>2846</v>
      </c>
      <c r="G12835" s="4">
        <f>IFERROR(__xludf.DUMMYFUNCTION("""COMPUTED_VALUE"""),29.0)</f>
        <v>29</v>
      </c>
      <c r="H12835" s="4"/>
      <c r="I12835" s="4"/>
    </row>
    <row r="12836">
      <c r="A12836" s="4" t="str">
        <f>IFERROR(__xludf.DUMMYFUNCTION("""COMPUTED_VALUE"""),"cas_hmw")</f>
        <v>cas_hmw</v>
      </c>
      <c r="B12836" s="5">
        <f>IFERROR(__xludf.DUMMYFUNCTION("""COMPUTED_VALUE"""),44715.0)</f>
        <v>44715</v>
      </c>
      <c r="C12836" s="6">
        <f>IFERROR(__xludf.DUMMYFUNCTION("""COMPUTED_VALUE"""),0.7028935185189766)</f>
        <v>0.7028935185</v>
      </c>
      <c r="D12836" s="4">
        <f>IFERROR(__xludf.DUMMYFUNCTION("""COMPUTED_VALUE"""),12.905899)</f>
        <v>12.905899</v>
      </c>
      <c r="E12836" s="4">
        <f>IFERROR(__xludf.DUMMYFUNCTION("""COMPUTED_VALUE"""),80.095714)</f>
        <v>80.095714</v>
      </c>
      <c r="F12836" s="4">
        <f>IFERROR(__xludf.DUMMYFUNCTION("""COMPUTED_VALUE"""),2846.0)</f>
        <v>2846</v>
      </c>
      <c r="G12836" s="4">
        <f>IFERROR(__xludf.DUMMYFUNCTION("""COMPUTED_VALUE"""),45.0)</f>
        <v>45</v>
      </c>
      <c r="H12836" s="4"/>
      <c r="I12836" s="4"/>
    </row>
    <row r="12837">
      <c r="A12837" s="4" t="str">
        <f>IFERROR(__xludf.DUMMYFUNCTION("""COMPUTED_VALUE"""),"cas_hmw")</f>
        <v>cas_hmw</v>
      </c>
      <c r="B12837" s="5">
        <f>IFERROR(__xludf.DUMMYFUNCTION("""COMPUTED_VALUE"""),44715.0)</f>
        <v>44715</v>
      </c>
      <c r="C12837" s="6">
        <f>IFERROR(__xludf.DUMMYFUNCTION("""COMPUTED_VALUE"""),0.7029398148151813)</f>
        <v>0.7029398148</v>
      </c>
      <c r="D12837" s="4">
        <f>IFERROR(__xludf.DUMMYFUNCTION("""COMPUTED_VALUE"""),12.905899)</f>
        <v>12.905899</v>
      </c>
      <c r="E12837" s="4">
        <f>IFERROR(__xludf.DUMMYFUNCTION("""COMPUTED_VALUE"""),80.095714)</f>
        <v>80.095714</v>
      </c>
      <c r="F12837" s="4">
        <f>IFERROR(__xludf.DUMMYFUNCTION("""COMPUTED_VALUE"""),2846.0)</f>
        <v>2846</v>
      </c>
      <c r="G12837" s="4">
        <f>IFERROR(__xludf.DUMMYFUNCTION("""COMPUTED_VALUE"""),45.0)</f>
        <v>45</v>
      </c>
      <c r="H12837" s="4"/>
      <c r="I12837" s="4"/>
    </row>
    <row r="12838">
      <c r="A12838" s="4" t="str">
        <f>IFERROR(__xludf.DUMMYFUNCTION("""COMPUTED_VALUE"""),"cas_hmw")</f>
        <v>cas_hmw</v>
      </c>
      <c r="B12838" s="5">
        <f>IFERROR(__xludf.DUMMYFUNCTION("""COMPUTED_VALUE"""),44715.0)</f>
        <v>44715</v>
      </c>
      <c r="C12838" s="6">
        <f>IFERROR(__xludf.DUMMYFUNCTION("""COMPUTED_VALUE"""),0.7034490740734327)</f>
        <v>0.7034490741</v>
      </c>
      <c r="D12838" s="4">
        <f>IFERROR(__xludf.DUMMYFUNCTION("""COMPUTED_VALUE"""),12.859059)</f>
        <v>12.859059</v>
      </c>
      <c r="E12838" s="4">
        <f>IFERROR(__xludf.DUMMYFUNCTION("""COMPUTED_VALUE"""),80.071626)</f>
        <v>80.071626</v>
      </c>
      <c r="F12838" s="4">
        <f>IFERROR(__xludf.DUMMYFUNCTION("""COMPUTED_VALUE"""),805.0)</f>
        <v>805</v>
      </c>
      <c r="G12838" s="4">
        <f>IFERROR(__xludf.DUMMYFUNCTION("""COMPUTED_VALUE"""),44.0)</f>
        <v>44</v>
      </c>
      <c r="H12838" s="4"/>
      <c r="I12838" s="4"/>
    </row>
    <row r="12839">
      <c r="A12839" s="4" t="str">
        <f>IFERROR(__xludf.DUMMYFUNCTION("""COMPUTED_VALUE"""),"cas_hmw")</f>
        <v>cas_hmw</v>
      </c>
      <c r="B12839" s="5">
        <f>IFERROR(__xludf.DUMMYFUNCTION("""COMPUTED_VALUE"""),44715.0)</f>
        <v>44715</v>
      </c>
      <c r="C12839" s="6">
        <f>IFERROR(__xludf.DUMMYFUNCTION("""COMPUTED_VALUE"""),0.7054398148138716)</f>
        <v>0.7054398148</v>
      </c>
      <c r="D12839" s="4">
        <f>IFERROR(__xludf.DUMMYFUNCTION("""COMPUTED_VALUE"""),12.845208)</f>
        <v>12.845208</v>
      </c>
      <c r="E12839" s="4">
        <f>IFERROR(__xludf.DUMMYFUNCTION("""COMPUTED_VALUE"""),80.061174)</f>
        <v>80.061174</v>
      </c>
      <c r="F12839" s="4">
        <f>IFERROR(__xludf.DUMMYFUNCTION("""COMPUTED_VALUE"""),805.0)</f>
        <v>805</v>
      </c>
      <c r="G12839" s="4">
        <f>IFERROR(__xludf.DUMMYFUNCTION("""COMPUTED_VALUE"""),34.0)</f>
        <v>34</v>
      </c>
      <c r="H12839" s="4"/>
      <c r="I12839" s="4"/>
    </row>
    <row r="12840">
      <c r="A12840" s="4" t="str">
        <f>IFERROR(__xludf.DUMMYFUNCTION("""COMPUTED_VALUE"""),"cas_hmw")</f>
        <v>cas_hmw</v>
      </c>
      <c r="B12840" s="5">
        <f>IFERROR(__xludf.DUMMYFUNCTION("""COMPUTED_VALUE"""),44715.0)</f>
        <v>44715</v>
      </c>
      <c r="C12840" s="6">
        <f>IFERROR(__xludf.DUMMYFUNCTION("""COMPUTED_VALUE"""),0.705844907406572)</f>
        <v>0.7058449074</v>
      </c>
      <c r="D12840" s="4">
        <f>IFERROR(__xludf.DUMMYFUNCTION("""COMPUTED_VALUE"""),12.91693)</f>
        <v>12.91693</v>
      </c>
      <c r="E12840" s="4">
        <f>IFERROR(__xludf.DUMMYFUNCTION("""COMPUTED_VALUE"""),80.106862)</f>
        <v>80.106862</v>
      </c>
      <c r="F12840" s="4">
        <f>IFERROR(__xludf.DUMMYFUNCTION("""COMPUTED_VALUE"""),2846.0)</f>
        <v>2846</v>
      </c>
      <c r="G12840" s="4">
        <f>IFERROR(__xludf.DUMMYFUNCTION("""COMPUTED_VALUE"""),47.0)</f>
        <v>47</v>
      </c>
      <c r="H12840" s="4"/>
      <c r="I12840" s="4"/>
    </row>
    <row r="12841">
      <c r="A12841" s="4" t="str">
        <f>IFERROR(__xludf.DUMMYFUNCTION("""COMPUTED_VALUE"""),"cas_hmw")</f>
        <v>cas_hmw</v>
      </c>
      <c r="B12841" s="5">
        <f>IFERROR(__xludf.DUMMYFUNCTION("""COMPUTED_VALUE"""),44715.0)</f>
        <v>44715</v>
      </c>
      <c r="C12841" s="6">
        <f>IFERROR(__xludf.DUMMYFUNCTION("""COMPUTED_VALUE"""),0.7062152777762094)</f>
        <v>0.7062152778</v>
      </c>
      <c r="D12841" s="4">
        <f>IFERROR(__xludf.DUMMYFUNCTION("""COMPUTED_VALUE"""),12.918752)</f>
        <v>12.918752</v>
      </c>
      <c r="E12841" s="4">
        <f>IFERROR(__xludf.DUMMYFUNCTION("""COMPUTED_VALUE"""),80.10939)</f>
        <v>80.10939</v>
      </c>
      <c r="F12841" s="4">
        <f>IFERROR(__xludf.DUMMYFUNCTION("""COMPUTED_VALUE"""),2846.0)</f>
        <v>2846</v>
      </c>
      <c r="G12841" s="4">
        <f>IFERROR(__xludf.DUMMYFUNCTION("""COMPUTED_VALUE"""),43.0)</f>
        <v>43</v>
      </c>
      <c r="H12841" s="4"/>
      <c r="I12841" s="4"/>
    </row>
    <row r="12842">
      <c r="A12842" s="4" t="str">
        <f>IFERROR(__xludf.DUMMYFUNCTION("""COMPUTED_VALUE"""),"cas_hmw")</f>
        <v>cas_hmw</v>
      </c>
      <c r="B12842" s="5">
        <f>IFERROR(__xludf.DUMMYFUNCTION("""COMPUTED_VALUE"""),44715.0)</f>
        <v>44715</v>
      </c>
      <c r="C12842" s="6">
        <f>IFERROR(__xludf.DUMMYFUNCTION("""COMPUTED_VALUE"""),0.7062268518529891)</f>
        <v>0.7062268519</v>
      </c>
      <c r="D12842" s="4">
        <f>IFERROR(__xludf.DUMMYFUNCTION("""COMPUTED_VALUE"""),12.919306)</f>
        <v>12.919306</v>
      </c>
      <c r="E12842" s="4">
        <f>IFERROR(__xludf.DUMMYFUNCTION("""COMPUTED_VALUE"""),80.110083)</f>
        <v>80.110083</v>
      </c>
      <c r="F12842" s="4">
        <f>IFERROR(__xludf.DUMMYFUNCTION("""COMPUTED_VALUE"""),2846.0)</f>
        <v>2846</v>
      </c>
      <c r="G12842" s="4">
        <f>IFERROR(__xludf.DUMMYFUNCTION("""COMPUTED_VALUE"""),29.0)</f>
        <v>29</v>
      </c>
      <c r="H12842" s="4"/>
      <c r="I12842" s="4"/>
    </row>
    <row r="12843">
      <c r="A12843" s="4" t="str">
        <f>IFERROR(__xludf.DUMMYFUNCTION("""COMPUTED_VALUE"""),"cas_hmw")</f>
        <v>cas_hmw</v>
      </c>
      <c r="B12843" s="5">
        <f>IFERROR(__xludf.DUMMYFUNCTION("""COMPUTED_VALUE"""),44715.0)</f>
        <v>44715</v>
      </c>
      <c r="C12843" s="6">
        <f>IFERROR(__xludf.DUMMYFUNCTION("""COMPUTED_VALUE"""),0.7062499999992724)</f>
        <v>0.70625</v>
      </c>
      <c r="D12843" s="4">
        <f>IFERROR(__xludf.DUMMYFUNCTION("""COMPUTED_VALUE"""),12.919306)</f>
        <v>12.919306</v>
      </c>
      <c r="E12843" s="4">
        <f>IFERROR(__xludf.DUMMYFUNCTION("""COMPUTED_VALUE"""),80.110083)</f>
        <v>80.110083</v>
      </c>
      <c r="F12843" s="4">
        <f>IFERROR(__xludf.DUMMYFUNCTION("""COMPUTED_VALUE"""),2846.0)</f>
        <v>2846</v>
      </c>
      <c r="G12843" s="4">
        <f>IFERROR(__xludf.DUMMYFUNCTION("""COMPUTED_VALUE"""),29.0)</f>
        <v>29</v>
      </c>
      <c r="H12843" s="4"/>
      <c r="I12843" s="4"/>
    </row>
    <row r="12844">
      <c r="A12844" s="4" t="str">
        <f>IFERROR(__xludf.DUMMYFUNCTION("""COMPUTED_VALUE"""),"cas_hmw")</f>
        <v>cas_hmw</v>
      </c>
      <c r="B12844" s="5">
        <f>IFERROR(__xludf.DUMMYFUNCTION("""COMPUTED_VALUE"""),44715.0)</f>
        <v>44715</v>
      </c>
      <c r="C12844" s="6">
        <f>IFERROR(__xludf.DUMMYFUNCTION("""COMPUTED_VALUE"""),0.7064120370378077)</f>
        <v>0.706412037</v>
      </c>
      <c r="D12844" s="4">
        <f>IFERROR(__xludf.DUMMYFUNCTION("""COMPUTED_VALUE"""),12.919784)</f>
        <v>12.919784</v>
      </c>
      <c r="E12844" s="4">
        <f>IFERROR(__xludf.DUMMYFUNCTION("""COMPUTED_VALUE"""),80.110705)</f>
        <v>80.110705</v>
      </c>
      <c r="F12844" s="4">
        <f>IFERROR(__xludf.DUMMYFUNCTION("""COMPUTED_VALUE"""),2846.0)</f>
        <v>2846</v>
      </c>
      <c r="G12844" s="4">
        <f>IFERROR(__xludf.DUMMYFUNCTION("""COMPUTED_VALUE"""),36.0)</f>
        <v>36</v>
      </c>
      <c r="H12844" s="4"/>
      <c r="I12844" s="4"/>
    </row>
    <row r="12845">
      <c r="A12845" s="4" t="str">
        <f>IFERROR(__xludf.DUMMYFUNCTION("""COMPUTED_VALUE"""),"cas_hmw")</f>
        <v>cas_hmw</v>
      </c>
      <c r="B12845" s="5">
        <f>IFERROR(__xludf.DUMMYFUNCTION("""COMPUTED_VALUE"""),44715.0)</f>
        <v>44715</v>
      </c>
      <c r="C12845" s="6">
        <f>IFERROR(__xludf.DUMMYFUNCTION("""COMPUTED_VALUE"""),0.7070486111115315)</f>
        <v>0.7070486111</v>
      </c>
      <c r="D12845" s="4">
        <f>IFERROR(__xludf.DUMMYFUNCTION("""COMPUTED_VALUE"""),12.840665)</f>
        <v>12.840665</v>
      </c>
      <c r="E12845" s="4">
        <f>IFERROR(__xludf.DUMMYFUNCTION("""COMPUTED_VALUE"""),80.056475)</f>
        <v>80.056475</v>
      </c>
      <c r="F12845" s="4">
        <f>IFERROR(__xludf.DUMMYFUNCTION("""COMPUTED_VALUE"""),805.0)</f>
        <v>805</v>
      </c>
      <c r="G12845" s="4">
        <f>IFERROR(__xludf.DUMMYFUNCTION("""COMPUTED_VALUE"""),0.0)</f>
        <v>0</v>
      </c>
      <c r="H12845" s="4"/>
      <c r="I12845" s="4"/>
    </row>
    <row r="12846">
      <c r="A12846" s="4" t="str">
        <f>IFERROR(__xludf.DUMMYFUNCTION("""COMPUTED_VALUE"""),"cas_hmw")</f>
        <v>cas_hmw</v>
      </c>
      <c r="B12846" s="5">
        <f>IFERROR(__xludf.DUMMYFUNCTION("""COMPUTED_VALUE"""),44715.0)</f>
        <v>44715</v>
      </c>
      <c r="C12846" s="6">
        <f>IFERROR(__xludf.DUMMYFUNCTION("""COMPUTED_VALUE"""),0.7071527777770825)</f>
        <v>0.7071527778</v>
      </c>
      <c r="D12846" s="4">
        <f>IFERROR(__xludf.DUMMYFUNCTION("""COMPUTED_VALUE"""),12.839946)</f>
        <v>12.839946</v>
      </c>
      <c r="E12846" s="4">
        <f>IFERROR(__xludf.DUMMYFUNCTION("""COMPUTED_VALUE"""),80.055661)</f>
        <v>80.055661</v>
      </c>
      <c r="F12846" s="4">
        <f>IFERROR(__xludf.DUMMYFUNCTION("""COMPUTED_VALUE"""),805.0)</f>
        <v>805</v>
      </c>
      <c r="G12846" s="4">
        <f>IFERROR(__xludf.DUMMYFUNCTION("""COMPUTED_VALUE"""),46.0)</f>
        <v>46</v>
      </c>
      <c r="H12846" s="4"/>
      <c r="I12846" s="4"/>
    </row>
    <row r="12847">
      <c r="A12847" s="4" t="str">
        <f>IFERROR(__xludf.DUMMYFUNCTION("""COMPUTED_VALUE"""),"cas_hmw")</f>
        <v>cas_hmw</v>
      </c>
      <c r="B12847" s="5">
        <f>IFERROR(__xludf.DUMMYFUNCTION("""COMPUTED_VALUE"""),44715.0)</f>
        <v>44715</v>
      </c>
      <c r="C12847" s="6">
        <f>IFERROR(__xludf.DUMMYFUNCTION("""COMPUTED_VALUE"""),0.7072800925925549)</f>
        <v>0.7072800926</v>
      </c>
      <c r="D12847" s="4">
        <f>IFERROR(__xludf.DUMMYFUNCTION("""COMPUTED_VALUE"""),12.924245)</f>
        <v>12.924245</v>
      </c>
      <c r="E12847" s="4">
        <f>IFERROR(__xludf.DUMMYFUNCTION("""COMPUTED_VALUE"""),80.115315)</f>
        <v>80.115315</v>
      </c>
      <c r="F12847" s="4">
        <f>IFERROR(__xludf.DUMMYFUNCTION("""COMPUTED_VALUE"""),2846.0)</f>
        <v>2846</v>
      </c>
      <c r="G12847" s="4">
        <f>IFERROR(__xludf.DUMMYFUNCTION("""COMPUTED_VALUE"""),49.0)</f>
        <v>49</v>
      </c>
      <c r="H12847" s="4"/>
      <c r="I12847" s="4"/>
    </row>
    <row r="12848">
      <c r="A12848" s="4" t="str">
        <f>IFERROR(__xludf.DUMMYFUNCTION("""COMPUTED_VALUE"""),"cas_hmw")</f>
        <v>cas_hmw</v>
      </c>
      <c r="B12848" s="5">
        <f>IFERROR(__xludf.DUMMYFUNCTION("""COMPUTED_VALUE"""),44715.0)</f>
        <v>44715</v>
      </c>
      <c r="C12848" s="6">
        <f>IFERROR(__xludf.DUMMYFUNCTION("""COMPUTED_VALUE"""),0.7073958333348855)</f>
        <v>0.7073958333</v>
      </c>
      <c r="D12848" s="4">
        <f>IFERROR(__xludf.DUMMYFUNCTION("""COMPUTED_VALUE"""),12.925155)</f>
        <v>12.925155</v>
      </c>
      <c r="E12848" s="4">
        <f>IFERROR(__xludf.DUMMYFUNCTION("""COMPUTED_VALUE"""),80.11623)</f>
        <v>80.11623</v>
      </c>
      <c r="F12848" s="4">
        <f>IFERROR(__xludf.DUMMYFUNCTION("""COMPUTED_VALUE"""),2846.0)</f>
        <v>2846</v>
      </c>
      <c r="G12848" s="4">
        <f>IFERROR(__xludf.DUMMYFUNCTION("""COMPUTED_VALUE"""),52.0)</f>
        <v>52</v>
      </c>
      <c r="H12848" s="4"/>
      <c r="I12848" s="4"/>
    </row>
    <row r="12849">
      <c r="A12849" s="4" t="str">
        <f>IFERROR(__xludf.DUMMYFUNCTION("""COMPUTED_VALUE"""),"cas_hmw")</f>
        <v>cas_hmw</v>
      </c>
      <c r="B12849" s="5">
        <f>IFERROR(__xludf.DUMMYFUNCTION("""COMPUTED_VALUE"""),44715.0)</f>
        <v>44715</v>
      </c>
      <c r="C12849" s="6">
        <f>IFERROR(__xludf.DUMMYFUNCTION("""COMPUTED_VALUE"""),0.7073958333348855)</f>
        <v>0.7073958333</v>
      </c>
      <c r="D12849" s="4">
        <f>IFERROR(__xludf.DUMMYFUNCTION("""COMPUTED_VALUE"""),12.925155)</f>
        <v>12.925155</v>
      </c>
      <c r="E12849" s="4">
        <f>IFERROR(__xludf.DUMMYFUNCTION("""COMPUTED_VALUE"""),80.11623)</f>
        <v>80.11623</v>
      </c>
      <c r="F12849" s="4">
        <f>IFERROR(__xludf.DUMMYFUNCTION("""COMPUTED_VALUE"""),2846.0)</f>
        <v>2846</v>
      </c>
      <c r="G12849" s="4">
        <f>IFERROR(__xludf.DUMMYFUNCTION("""COMPUTED_VALUE"""),52.0)</f>
        <v>52</v>
      </c>
      <c r="H12849" s="4"/>
      <c r="I12849" s="4"/>
    </row>
    <row r="12850">
      <c r="A12850" s="4" t="str">
        <f>IFERROR(__xludf.DUMMYFUNCTION("""COMPUTED_VALUE"""),"cas_hmw")</f>
        <v>cas_hmw</v>
      </c>
      <c r="B12850" s="5">
        <f>IFERROR(__xludf.DUMMYFUNCTION("""COMPUTED_VALUE"""),44715.0)</f>
        <v>44715</v>
      </c>
      <c r="C12850" s="6">
        <f>IFERROR(__xludf.DUMMYFUNCTION("""COMPUTED_VALUE"""),0.7074189814811689)</f>
        <v>0.7074189815</v>
      </c>
      <c r="D12850" s="4">
        <f>IFERROR(__xludf.DUMMYFUNCTION("""COMPUTED_VALUE"""),12.925155)</f>
        <v>12.925155</v>
      </c>
      <c r="E12850" s="4">
        <f>IFERROR(__xludf.DUMMYFUNCTION("""COMPUTED_VALUE"""),80.11623)</f>
        <v>80.11623</v>
      </c>
      <c r="F12850" s="4">
        <f>IFERROR(__xludf.DUMMYFUNCTION("""COMPUTED_VALUE"""),2846.0)</f>
        <v>2846</v>
      </c>
      <c r="G12850" s="4">
        <f>IFERROR(__xludf.DUMMYFUNCTION("""COMPUTED_VALUE"""),52.0)</f>
        <v>52</v>
      </c>
      <c r="H12850" s="4"/>
      <c r="I12850" s="4"/>
    </row>
    <row r="12851">
      <c r="A12851" s="4" t="str">
        <f>IFERROR(__xludf.DUMMYFUNCTION("""COMPUTED_VALUE"""),"cas_hmw")</f>
        <v>cas_hmw</v>
      </c>
      <c r="B12851" s="5">
        <f>IFERROR(__xludf.DUMMYFUNCTION("""COMPUTED_VALUE"""),44715.0)</f>
        <v>44715</v>
      </c>
      <c r="C12851" s="6">
        <f>IFERROR(__xludf.DUMMYFUNCTION("""COMPUTED_VALUE"""),0.7096180555563478)</f>
        <v>0.7096180556</v>
      </c>
      <c r="D12851" s="4">
        <f>IFERROR(__xludf.DUMMYFUNCTION("""COMPUTED_VALUE"""),12.821444)</f>
        <v>12.821444</v>
      </c>
      <c r="E12851" s="4">
        <f>IFERROR(__xludf.DUMMYFUNCTION("""COMPUTED_VALUE"""),80.037815)</f>
        <v>80.037815</v>
      </c>
      <c r="F12851" s="4">
        <f>IFERROR(__xludf.DUMMYFUNCTION("""COMPUTED_VALUE"""),805.0)</f>
        <v>805</v>
      </c>
      <c r="G12851" s="4">
        <f>IFERROR(__xludf.DUMMYFUNCTION("""COMPUTED_VALUE"""),0.0)</f>
        <v>0</v>
      </c>
      <c r="H12851" s="4"/>
      <c r="I12851" s="4"/>
    </row>
    <row r="12852">
      <c r="A12852" s="4" t="str">
        <f>IFERROR(__xludf.DUMMYFUNCTION("""COMPUTED_VALUE"""),"cas_hmw")</f>
        <v>cas_hmw</v>
      </c>
      <c r="B12852" s="5">
        <f>IFERROR(__xludf.DUMMYFUNCTION("""COMPUTED_VALUE"""),44715.0)</f>
        <v>44715</v>
      </c>
      <c r="C12852" s="6">
        <f>IFERROR(__xludf.DUMMYFUNCTION("""COMPUTED_VALUE"""),0.7099189814798592)</f>
        <v>0.7099189815</v>
      </c>
      <c r="D12852" s="4">
        <f>IFERROR(__xludf.DUMMYFUNCTION("""COMPUTED_VALUE"""),12.818493)</f>
        <v>12.818493</v>
      </c>
      <c r="E12852" s="4">
        <f>IFERROR(__xludf.DUMMYFUNCTION("""COMPUTED_VALUE"""),80.035768)</f>
        <v>80.035768</v>
      </c>
      <c r="F12852" s="4">
        <f>IFERROR(__xludf.DUMMYFUNCTION("""COMPUTED_VALUE"""),805.0)</f>
        <v>805</v>
      </c>
      <c r="G12852" s="4">
        <f>IFERROR(__xludf.DUMMYFUNCTION("""COMPUTED_VALUE"""),32.0)</f>
        <v>32</v>
      </c>
      <c r="H12852" s="4"/>
      <c r="I12852" s="4"/>
    </row>
    <row r="12853">
      <c r="A12853" s="4" t="str">
        <f>IFERROR(__xludf.DUMMYFUNCTION("""COMPUTED_VALUE"""),"cas_hmw")</f>
        <v>cas_hmw</v>
      </c>
      <c r="B12853" s="5">
        <f>IFERROR(__xludf.DUMMYFUNCTION("""COMPUTED_VALUE"""),44715.0)</f>
        <v>44715</v>
      </c>
      <c r="C12853" s="6">
        <f>IFERROR(__xludf.DUMMYFUNCTION("""COMPUTED_VALUE"""),0.7100115740722686)</f>
        <v>0.7100115741</v>
      </c>
      <c r="D12853" s="4">
        <f>IFERROR(__xludf.DUMMYFUNCTION("""COMPUTED_VALUE"""),12.92994)</f>
        <v>12.92994</v>
      </c>
      <c r="E12853" s="4">
        <f>IFERROR(__xludf.DUMMYFUNCTION("""COMPUTED_VALUE"""),80.12102)</f>
        <v>80.12102</v>
      </c>
      <c r="F12853" s="4">
        <f>IFERROR(__xludf.DUMMYFUNCTION("""COMPUTED_VALUE"""),2846.0)</f>
        <v>2846</v>
      </c>
      <c r="G12853" s="4">
        <f>IFERROR(__xludf.DUMMYFUNCTION("""COMPUTED_VALUE"""),18.0)</f>
        <v>18</v>
      </c>
      <c r="H12853" s="4"/>
      <c r="I12853" s="4"/>
    </row>
    <row r="12854">
      <c r="A12854" s="4" t="str">
        <f>IFERROR(__xludf.DUMMYFUNCTION("""COMPUTED_VALUE"""),"cas_hmw")</f>
        <v>cas_hmw</v>
      </c>
      <c r="B12854" s="5">
        <f>IFERROR(__xludf.DUMMYFUNCTION("""COMPUTED_VALUE"""),44715.0)</f>
        <v>44715</v>
      </c>
      <c r="C12854" s="6">
        <f>IFERROR(__xludf.DUMMYFUNCTION("""COMPUTED_VALUE"""),0.7103472222224809)</f>
        <v>0.7103472222</v>
      </c>
      <c r="D12854" s="4">
        <f>IFERROR(__xludf.DUMMYFUNCTION("""COMPUTED_VALUE"""),12.816042)</f>
        <v>12.816042</v>
      </c>
      <c r="E12854" s="4">
        <f>IFERROR(__xludf.DUMMYFUNCTION("""COMPUTED_VALUE"""),80.034022)</f>
        <v>80.034022</v>
      </c>
      <c r="F12854" s="4">
        <f>IFERROR(__xludf.DUMMYFUNCTION("""COMPUTED_VALUE"""),805.0)</f>
        <v>805</v>
      </c>
      <c r="G12854" s="4">
        <f>IFERROR(__xludf.DUMMYFUNCTION("""COMPUTED_VALUE"""),29.0)</f>
        <v>29</v>
      </c>
      <c r="H12854" s="4"/>
      <c r="I12854" s="4"/>
    </row>
    <row r="12855">
      <c r="A12855" s="4" t="str">
        <f>IFERROR(__xludf.DUMMYFUNCTION("""COMPUTED_VALUE"""),"cas_hmw")</f>
        <v>cas_hmw</v>
      </c>
      <c r="B12855" s="5">
        <f>IFERROR(__xludf.DUMMYFUNCTION("""COMPUTED_VALUE"""),44715.0)</f>
        <v>44715</v>
      </c>
      <c r="C12855" s="6">
        <f>IFERROR(__xludf.DUMMYFUNCTION("""COMPUTED_VALUE"""),0.7109606481499213)</f>
        <v>0.7109606481</v>
      </c>
      <c r="D12855" s="4">
        <f>IFERROR(__xludf.DUMMYFUNCTION("""COMPUTED_VALUE"""),12.931463)</f>
        <v>12.931463</v>
      </c>
      <c r="E12855" s="4">
        <f>IFERROR(__xludf.DUMMYFUNCTION("""COMPUTED_VALUE"""),80.122583)</f>
        <v>80.122583</v>
      </c>
      <c r="F12855" s="4">
        <f>IFERROR(__xludf.DUMMYFUNCTION("""COMPUTED_VALUE"""),2846.0)</f>
        <v>2846</v>
      </c>
      <c r="G12855" s="4">
        <f>IFERROR(__xludf.DUMMYFUNCTION("""COMPUTED_VALUE"""),10.0)</f>
        <v>10</v>
      </c>
      <c r="H12855" s="4"/>
      <c r="I12855" s="4"/>
    </row>
    <row r="12856">
      <c r="A12856" s="4" t="str">
        <f>IFERROR(__xludf.DUMMYFUNCTION("""COMPUTED_VALUE"""),"cas_hmw")</f>
        <v>cas_hmw</v>
      </c>
      <c r="B12856" s="5">
        <f>IFERROR(__xludf.DUMMYFUNCTION("""COMPUTED_VALUE"""),44715.0)</f>
        <v>44715</v>
      </c>
      <c r="C12856" s="6">
        <f>IFERROR(__xludf.DUMMYFUNCTION("""COMPUTED_VALUE"""),0.710972222223063)</f>
        <v>0.7109722222</v>
      </c>
      <c r="D12856" s="4">
        <f>IFERROR(__xludf.DUMMYFUNCTION("""COMPUTED_VALUE"""),12.931807)</f>
        <v>12.931807</v>
      </c>
      <c r="E12856" s="4">
        <f>IFERROR(__xludf.DUMMYFUNCTION("""COMPUTED_VALUE"""),80.122914)</f>
        <v>80.122914</v>
      </c>
      <c r="F12856" s="4">
        <f>IFERROR(__xludf.DUMMYFUNCTION("""COMPUTED_VALUE"""),2846.0)</f>
        <v>2846</v>
      </c>
      <c r="G12856" s="4">
        <f>IFERROR(__xludf.DUMMYFUNCTION("""COMPUTED_VALUE"""),26.0)</f>
        <v>26</v>
      </c>
      <c r="H12856" s="4"/>
      <c r="I12856" s="4"/>
    </row>
    <row r="12857">
      <c r="A12857" s="4" t="str">
        <f>IFERROR(__xludf.DUMMYFUNCTION("""COMPUTED_VALUE"""),"cas_hmw")</f>
        <v>cas_hmw</v>
      </c>
      <c r="B12857" s="5">
        <f>IFERROR(__xludf.DUMMYFUNCTION("""COMPUTED_VALUE"""),44715.0)</f>
        <v>44715</v>
      </c>
      <c r="C12857" s="6">
        <f>IFERROR(__xludf.DUMMYFUNCTION("""COMPUTED_VALUE"""),0.7111226851848187)</f>
        <v>0.7111226852</v>
      </c>
      <c r="D12857" s="4">
        <f>IFERROR(__xludf.DUMMYFUNCTION("""COMPUTED_VALUE"""),12.932365)</f>
        <v>12.932365</v>
      </c>
      <c r="E12857" s="4">
        <f>IFERROR(__xludf.DUMMYFUNCTION("""COMPUTED_VALUE"""),80.123471)</f>
        <v>80.123471</v>
      </c>
      <c r="F12857" s="4">
        <f>IFERROR(__xludf.DUMMYFUNCTION("""COMPUTED_VALUE"""),2846.0)</f>
        <v>2846</v>
      </c>
      <c r="G12857" s="4">
        <f>IFERROR(__xludf.DUMMYFUNCTION("""COMPUTED_VALUE"""),33.0)</f>
        <v>33</v>
      </c>
      <c r="H12857" s="4"/>
      <c r="I12857" s="4"/>
    </row>
    <row r="12858">
      <c r="A12858" s="4" t="str">
        <f>IFERROR(__xludf.DUMMYFUNCTION("""COMPUTED_VALUE"""),"cas_hmw")</f>
        <v>cas_hmw</v>
      </c>
      <c r="B12858" s="5">
        <f>IFERROR(__xludf.DUMMYFUNCTION("""COMPUTED_VALUE"""),44715.0)</f>
        <v>44715</v>
      </c>
      <c r="C12858" s="6">
        <f>IFERROR(__xludf.DUMMYFUNCTION("""COMPUTED_VALUE"""),0.7116203703699284)</f>
        <v>0.7116203704</v>
      </c>
      <c r="D12858" s="4">
        <f>IFERROR(__xludf.DUMMYFUNCTION("""COMPUTED_VALUE"""),12.804093)</f>
        <v>12.804093</v>
      </c>
      <c r="E12858" s="4">
        <f>IFERROR(__xludf.DUMMYFUNCTION("""COMPUTED_VALUE"""),80.026152)</f>
        <v>80.026152</v>
      </c>
      <c r="F12858" s="4">
        <f>IFERROR(__xludf.DUMMYFUNCTION("""COMPUTED_VALUE"""),805.0)</f>
        <v>805</v>
      </c>
      <c r="G12858" s="4">
        <f>IFERROR(__xludf.DUMMYFUNCTION("""COMPUTED_VALUE"""),57.0)</f>
        <v>57</v>
      </c>
      <c r="H12858" s="4"/>
      <c r="I12858" s="4"/>
    </row>
    <row r="12859">
      <c r="A12859" s="4" t="str">
        <f>IFERROR(__xludf.DUMMYFUNCTION("""COMPUTED_VALUE"""),"cas_hmw")</f>
        <v>cas_hmw</v>
      </c>
      <c r="B12859" s="5">
        <f>IFERROR(__xludf.DUMMYFUNCTION("""COMPUTED_VALUE"""),44715.0)</f>
        <v>44715</v>
      </c>
      <c r="C12859" s="6">
        <f>IFERROR(__xludf.DUMMYFUNCTION("""COMPUTED_VALUE"""),0.7122222222205892)</f>
        <v>0.7122222222</v>
      </c>
      <c r="D12859" s="4">
        <f>IFERROR(__xludf.DUMMYFUNCTION("""COMPUTED_VALUE"""),12.936744)</f>
        <v>12.936744</v>
      </c>
      <c r="E12859" s="4">
        <f>IFERROR(__xludf.DUMMYFUNCTION("""COMPUTED_VALUE"""),80.127506)</f>
        <v>80.127506</v>
      </c>
      <c r="F12859" s="4">
        <f>IFERROR(__xludf.DUMMYFUNCTION("""COMPUTED_VALUE"""),2846.0)</f>
        <v>2846</v>
      </c>
      <c r="G12859" s="4">
        <f>IFERROR(__xludf.DUMMYFUNCTION("""COMPUTED_VALUE"""),29.0)</f>
        <v>29</v>
      </c>
      <c r="H12859" s="4"/>
      <c r="I12859" s="4"/>
    </row>
    <row r="12860">
      <c r="A12860" s="4" t="str">
        <f>IFERROR(__xludf.DUMMYFUNCTION("""COMPUTED_VALUE"""),"cas_hmw")</f>
        <v>cas_hmw</v>
      </c>
      <c r="B12860" s="5">
        <f>IFERROR(__xludf.DUMMYFUNCTION("""COMPUTED_VALUE"""),44715.0)</f>
        <v>44715</v>
      </c>
      <c r="C12860" s="6">
        <f>IFERROR(__xludf.DUMMYFUNCTION("""COMPUTED_VALUE"""),0.7122569444436522)</f>
        <v>0.7122569444</v>
      </c>
      <c r="D12860" s="4">
        <f>IFERROR(__xludf.DUMMYFUNCTION("""COMPUTED_VALUE"""),12.799767)</f>
        <v>12.799767</v>
      </c>
      <c r="E12860" s="4">
        <f>IFERROR(__xludf.DUMMYFUNCTION("""COMPUTED_VALUE"""),80.023316)</f>
        <v>80.023316</v>
      </c>
      <c r="F12860" s="4">
        <f>IFERROR(__xludf.DUMMYFUNCTION("""COMPUTED_VALUE"""),805.0)</f>
        <v>805</v>
      </c>
      <c r="G12860" s="4">
        <f>IFERROR(__xludf.DUMMYFUNCTION("""COMPUTED_VALUE"""),19.0)</f>
        <v>19</v>
      </c>
      <c r="H12860" s="4"/>
      <c r="I12860" s="4"/>
    </row>
    <row r="12861">
      <c r="A12861" s="4" t="str">
        <f>IFERROR(__xludf.DUMMYFUNCTION("""COMPUTED_VALUE"""),"cas_hmw")</f>
        <v>cas_hmw</v>
      </c>
      <c r="B12861" s="5">
        <f>IFERROR(__xludf.DUMMYFUNCTION("""COMPUTED_VALUE"""),44715.0)</f>
        <v>44715</v>
      </c>
      <c r="C12861" s="6">
        <f>IFERROR(__xludf.DUMMYFUNCTION("""COMPUTED_VALUE"""),0.7125231481477385)</f>
        <v>0.7125231481</v>
      </c>
      <c r="D12861" s="4">
        <f>IFERROR(__xludf.DUMMYFUNCTION("""COMPUTED_VALUE"""),12.798596)</f>
        <v>12.798596</v>
      </c>
      <c r="E12861" s="4">
        <f>IFERROR(__xludf.DUMMYFUNCTION("""COMPUTED_VALUE"""),80.022549)</f>
        <v>80.022549</v>
      </c>
      <c r="F12861" s="4">
        <f>IFERROR(__xludf.DUMMYFUNCTION("""COMPUTED_VALUE"""),805.0)</f>
        <v>805</v>
      </c>
      <c r="G12861" s="4">
        <f>IFERROR(__xludf.DUMMYFUNCTION("""COMPUTED_VALUE"""),51.0)</f>
        <v>51</v>
      </c>
      <c r="H12861" s="4"/>
      <c r="I12861" s="4"/>
    </row>
    <row r="12862">
      <c r="A12862" s="4" t="str">
        <f>IFERROR(__xludf.DUMMYFUNCTION("""COMPUTED_VALUE"""),"cas_hmw")</f>
        <v>cas_hmw</v>
      </c>
      <c r="B12862" s="5">
        <f>IFERROR(__xludf.DUMMYFUNCTION("""COMPUTED_VALUE"""),44715.0)</f>
        <v>44715</v>
      </c>
      <c r="C12862" s="6">
        <f>IFERROR(__xludf.DUMMYFUNCTION("""COMPUTED_VALUE"""),0.7126273148132896)</f>
        <v>0.7126273148</v>
      </c>
      <c r="D12862" s="4">
        <f>IFERROR(__xludf.DUMMYFUNCTION("""COMPUTED_VALUE"""),12.940249)</f>
        <v>12.940249</v>
      </c>
      <c r="E12862" s="4">
        <f>IFERROR(__xludf.DUMMYFUNCTION("""COMPUTED_VALUE"""),80.130664)</f>
        <v>80.130664</v>
      </c>
      <c r="F12862" s="4">
        <f>IFERROR(__xludf.DUMMYFUNCTION("""COMPUTED_VALUE"""),2846.0)</f>
        <v>2846</v>
      </c>
      <c r="G12862" s="4">
        <f>IFERROR(__xludf.DUMMYFUNCTION("""COMPUTED_VALUE"""),55.0)</f>
        <v>55</v>
      </c>
      <c r="H12862" s="4"/>
      <c r="I12862" s="4"/>
    </row>
    <row r="12863">
      <c r="A12863" s="4" t="str">
        <f>IFERROR(__xludf.DUMMYFUNCTION("""COMPUTED_VALUE"""),"cas_hmw")</f>
        <v>cas_hmw</v>
      </c>
      <c r="B12863" s="5">
        <f>IFERROR(__xludf.DUMMYFUNCTION("""COMPUTED_VALUE"""),44715.0)</f>
        <v>44715</v>
      </c>
      <c r="C12863" s="6">
        <f>IFERROR(__xludf.DUMMYFUNCTION("""COMPUTED_VALUE"""),0.7128935185173759)</f>
        <v>0.7128935185</v>
      </c>
      <c r="D12863" s="4">
        <f>IFERROR(__xludf.DUMMYFUNCTION("""COMPUTED_VALUE"""),12.794844)</f>
        <v>12.794844</v>
      </c>
      <c r="E12863" s="4">
        <f>IFERROR(__xludf.DUMMYFUNCTION("""COMPUTED_VALUE"""),80.020118)</f>
        <v>80.020118</v>
      </c>
      <c r="F12863" s="4">
        <f>IFERROR(__xludf.DUMMYFUNCTION("""COMPUTED_VALUE"""),805.0)</f>
        <v>805</v>
      </c>
      <c r="G12863" s="4">
        <f>IFERROR(__xludf.DUMMYFUNCTION("""COMPUTED_VALUE"""),56.0)</f>
        <v>56</v>
      </c>
      <c r="H12863" s="4"/>
      <c r="I12863" s="4"/>
    </row>
    <row r="12864">
      <c r="A12864" s="4" t="str">
        <f>IFERROR(__xludf.DUMMYFUNCTION("""COMPUTED_VALUE"""),"cas_hmw")</f>
        <v>cas_hmw</v>
      </c>
      <c r="B12864" s="5">
        <f>IFERROR(__xludf.DUMMYFUNCTION("""COMPUTED_VALUE"""),44715.0)</f>
        <v>44715</v>
      </c>
      <c r="C12864" s="6">
        <f>IFERROR(__xludf.DUMMYFUNCTION("""COMPUTED_VALUE"""),0.7130439814827696)</f>
        <v>0.7130439815</v>
      </c>
      <c r="D12864" s="4">
        <f>IFERROR(__xludf.DUMMYFUNCTION("""COMPUTED_VALUE"""),12.793067)</f>
        <v>12.793067</v>
      </c>
      <c r="E12864" s="4">
        <f>IFERROR(__xludf.DUMMYFUNCTION("""COMPUTED_VALUE"""),80.018909)</f>
        <v>80.018909</v>
      </c>
      <c r="F12864" s="4">
        <f>IFERROR(__xludf.DUMMYFUNCTION("""COMPUTED_VALUE"""),805.0)</f>
        <v>805</v>
      </c>
      <c r="G12864" s="4">
        <f>IFERROR(__xludf.DUMMYFUNCTION("""COMPUTED_VALUE"""),55.0)</f>
        <v>55</v>
      </c>
      <c r="H12864" s="4"/>
      <c r="I12864" s="4"/>
    </row>
    <row r="12865">
      <c r="A12865" s="4" t="str">
        <f>IFERROR(__xludf.DUMMYFUNCTION("""COMPUTED_VALUE"""),"cas_hmw")</f>
        <v>cas_hmw</v>
      </c>
      <c r="B12865" s="5">
        <f>IFERROR(__xludf.DUMMYFUNCTION("""COMPUTED_VALUE"""),44715.0)</f>
        <v>44715</v>
      </c>
      <c r="C12865" s="6">
        <f>IFERROR(__xludf.DUMMYFUNCTION("""COMPUTED_VALUE"""),0.71344907407547)</f>
        <v>0.7134490741</v>
      </c>
      <c r="D12865" s="4">
        <f>IFERROR(__xludf.DUMMYFUNCTION("""COMPUTED_VALUE"""),12.942988)</f>
        <v>12.942988</v>
      </c>
      <c r="E12865" s="4">
        <f>IFERROR(__xludf.DUMMYFUNCTION("""COMPUTED_VALUE"""),80.133496)</f>
        <v>80.133496</v>
      </c>
      <c r="F12865" s="4">
        <f>IFERROR(__xludf.DUMMYFUNCTION("""COMPUTED_VALUE"""),2846.0)</f>
        <v>2846</v>
      </c>
      <c r="G12865" s="4">
        <f>IFERROR(__xludf.DUMMYFUNCTION("""COMPUTED_VALUE"""),38.0)</f>
        <v>38</v>
      </c>
      <c r="H12865" s="4"/>
      <c r="I12865" s="4"/>
    </row>
    <row r="12866">
      <c r="A12866" s="4" t="str">
        <f>IFERROR(__xludf.DUMMYFUNCTION("""COMPUTED_VALUE"""),"cas_hmw")</f>
        <v>cas_hmw</v>
      </c>
      <c r="B12866" s="5">
        <f>IFERROR(__xludf.DUMMYFUNCTION("""COMPUTED_VALUE"""),44715.0)</f>
        <v>44715</v>
      </c>
      <c r="C12866" s="6">
        <f>IFERROR(__xludf.DUMMYFUNCTION("""COMPUTED_VALUE"""),0.713587962964084)</f>
        <v>0.713587963</v>
      </c>
      <c r="D12866" s="4">
        <f>IFERROR(__xludf.DUMMYFUNCTION("""COMPUTED_VALUE"""),12.788344)</f>
        <v>12.788344</v>
      </c>
      <c r="E12866" s="4">
        <f>IFERROR(__xludf.DUMMYFUNCTION("""COMPUTED_VALUE"""),80.016008)</f>
        <v>80.016008</v>
      </c>
      <c r="F12866" s="4">
        <f>IFERROR(__xludf.DUMMYFUNCTION("""COMPUTED_VALUE"""),805.0)</f>
        <v>805</v>
      </c>
      <c r="G12866" s="4">
        <f>IFERROR(__xludf.DUMMYFUNCTION("""COMPUTED_VALUE"""),52.0)</f>
        <v>52</v>
      </c>
      <c r="H12866" s="4"/>
      <c r="I12866" s="4"/>
    </row>
    <row r="12867">
      <c r="A12867" s="4" t="str">
        <f>IFERROR(__xludf.DUMMYFUNCTION("""COMPUTED_VALUE"""),"cas_hmw")</f>
        <v>cas_hmw</v>
      </c>
      <c r="B12867" s="5">
        <f>IFERROR(__xludf.DUMMYFUNCTION("""COMPUTED_VALUE"""),44715.0)</f>
        <v>44715</v>
      </c>
      <c r="C12867" s="6">
        <f>IFERROR(__xludf.DUMMYFUNCTION("""COMPUTED_VALUE"""),0.7136342592602887)</f>
        <v>0.7136342593</v>
      </c>
      <c r="D12867" s="4">
        <f>IFERROR(__xludf.DUMMYFUNCTION("""COMPUTED_VALUE"""),12.944852)</f>
        <v>12.944852</v>
      </c>
      <c r="E12867" s="4">
        <f>IFERROR(__xludf.DUMMYFUNCTION("""COMPUTED_VALUE"""),80.13516)</f>
        <v>80.13516</v>
      </c>
      <c r="F12867" s="4">
        <f>IFERROR(__xludf.DUMMYFUNCTION("""COMPUTED_VALUE"""),2846.0)</f>
        <v>2846</v>
      </c>
      <c r="G12867" s="4">
        <f>IFERROR(__xludf.DUMMYFUNCTION("""COMPUTED_VALUE"""),54.0)</f>
        <v>54</v>
      </c>
      <c r="H12867" s="4"/>
      <c r="I12867" s="4"/>
    </row>
    <row r="12868">
      <c r="A12868" s="4" t="str">
        <f>IFERROR(__xludf.DUMMYFUNCTION("""COMPUTED_VALUE"""),"cas_hmw")</f>
        <v>cas_hmw</v>
      </c>
      <c r="B12868" s="5">
        <f>IFERROR(__xludf.DUMMYFUNCTION("""COMPUTED_VALUE"""),44715.0)</f>
        <v>44715</v>
      </c>
      <c r="C12868" s="6">
        <f>IFERROR(__xludf.DUMMYFUNCTION("""COMPUTED_VALUE"""),0.7138888888875954)</f>
        <v>0.7138888889</v>
      </c>
      <c r="D12868" s="4">
        <f>IFERROR(__xludf.DUMMYFUNCTION("""COMPUTED_VALUE"""),12.947135)</f>
        <v>12.947135</v>
      </c>
      <c r="E12868" s="4">
        <f>IFERROR(__xludf.DUMMYFUNCTION("""COMPUTED_VALUE"""),80.136906)</f>
        <v>80.136906</v>
      </c>
      <c r="F12868" s="4">
        <f>IFERROR(__xludf.DUMMYFUNCTION("""COMPUTED_VALUE"""),2846.0)</f>
        <v>2846</v>
      </c>
      <c r="G12868" s="4">
        <f>IFERROR(__xludf.DUMMYFUNCTION("""COMPUTED_VALUE"""),55.0)</f>
        <v>55</v>
      </c>
      <c r="H12868" s="4"/>
      <c r="I12868" s="4"/>
    </row>
    <row r="12869">
      <c r="A12869" s="4" t="str">
        <f>IFERROR(__xludf.DUMMYFUNCTION("""COMPUTED_VALUE"""),"cas_hmw")</f>
        <v>cas_hmw</v>
      </c>
      <c r="B12869" s="5">
        <f>IFERROR(__xludf.DUMMYFUNCTION("""COMPUTED_VALUE"""),44715.0)</f>
        <v>44715</v>
      </c>
      <c r="C12869" s="6">
        <f>IFERROR(__xludf.DUMMYFUNCTION("""COMPUTED_VALUE"""),0.7139814814800047)</f>
        <v>0.7139814815</v>
      </c>
      <c r="D12869" s="4">
        <f>IFERROR(__xludf.DUMMYFUNCTION("""COMPUTED_VALUE"""),12.785553)</f>
        <v>12.785553</v>
      </c>
      <c r="E12869" s="4">
        <f>IFERROR(__xludf.DUMMYFUNCTION("""COMPUTED_VALUE"""),80.014404)</f>
        <v>80.014404</v>
      </c>
      <c r="F12869" s="4">
        <f>IFERROR(__xludf.DUMMYFUNCTION("""COMPUTED_VALUE"""),805.0)</f>
        <v>805</v>
      </c>
      <c r="G12869" s="4">
        <f>IFERROR(__xludf.DUMMYFUNCTION("""COMPUTED_VALUE"""),51.0)</f>
        <v>51</v>
      </c>
      <c r="H12869" s="4"/>
      <c r="I12869" s="4"/>
    </row>
    <row r="12870">
      <c r="A12870" s="4" t="str">
        <f>IFERROR(__xludf.DUMMYFUNCTION("""COMPUTED_VALUE"""),"cas_hmw")</f>
        <v>cas_hmw</v>
      </c>
      <c r="B12870" s="5">
        <f>IFERROR(__xludf.DUMMYFUNCTION("""COMPUTED_VALUE"""),44715.0)</f>
        <v>44715</v>
      </c>
      <c r="C12870" s="6">
        <f>IFERROR(__xludf.DUMMYFUNCTION("""COMPUTED_VALUE"""),0.7147106481497758)</f>
        <v>0.7147106481</v>
      </c>
      <c r="D12870" s="4">
        <f>IFERROR(__xludf.DUMMYFUNCTION("""COMPUTED_VALUE"""),12.777572)</f>
        <v>12.777572</v>
      </c>
      <c r="E12870" s="4">
        <f>IFERROR(__xludf.DUMMYFUNCTION("""COMPUTED_VALUE"""),80.010708)</f>
        <v>80.010708</v>
      </c>
      <c r="F12870" s="4">
        <f>IFERROR(__xludf.DUMMYFUNCTION("""COMPUTED_VALUE"""),805.0)</f>
        <v>805</v>
      </c>
      <c r="G12870" s="4">
        <f>IFERROR(__xludf.DUMMYFUNCTION("""COMPUTED_VALUE"""),57.0)</f>
        <v>57</v>
      </c>
      <c r="H12870" s="4"/>
      <c r="I12870" s="4"/>
    </row>
    <row r="12871">
      <c r="A12871" s="4" t="str">
        <f>IFERROR(__xludf.DUMMYFUNCTION("""COMPUTED_VALUE"""),"cas_hmw")</f>
        <v>cas_hmw</v>
      </c>
      <c r="B12871" s="5">
        <f>IFERROR(__xludf.DUMMYFUNCTION("""COMPUTED_VALUE"""),44715.0)</f>
        <v>44715</v>
      </c>
      <c r="C12871" s="6">
        <f>IFERROR(__xludf.DUMMYFUNCTION("""COMPUTED_VALUE"""),0.7150578703694919)</f>
        <v>0.7150578704</v>
      </c>
      <c r="D12871" s="4">
        <f>IFERROR(__xludf.DUMMYFUNCTION("""COMPUTED_VALUE"""),12.773439)</f>
        <v>12.773439</v>
      </c>
      <c r="E12871" s="4">
        <f>IFERROR(__xludf.DUMMYFUNCTION("""COMPUTED_VALUE"""),80.008867)</f>
        <v>80.008867</v>
      </c>
      <c r="F12871" s="4">
        <f>IFERROR(__xludf.DUMMYFUNCTION("""COMPUTED_VALUE"""),805.0)</f>
        <v>805</v>
      </c>
      <c r="G12871" s="4">
        <f>IFERROR(__xludf.DUMMYFUNCTION("""COMPUTED_VALUE"""),54.0)</f>
        <v>54</v>
      </c>
      <c r="H12871" s="4"/>
      <c r="I12871" s="4"/>
    </row>
    <row r="12872">
      <c r="A12872" s="4" t="str">
        <f>IFERROR(__xludf.DUMMYFUNCTION("""COMPUTED_VALUE"""),"cas_hmw")</f>
        <v>cas_hmw</v>
      </c>
      <c r="B12872" s="5">
        <f>IFERROR(__xludf.DUMMYFUNCTION("""COMPUTED_VALUE"""),44715.0)</f>
        <v>44715</v>
      </c>
      <c r="C12872" s="6">
        <f>IFERROR(__xludf.DUMMYFUNCTION("""COMPUTED_VALUE"""),0.7153240740735782)</f>
        <v>0.7153240741</v>
      </c>
      <c r="D12872" s="4">
        <f>IFERROR(__xludf.DUMMYFUNCTION("""COMPUTED_VALUE"""),12.955956)</f>
        <v>12.955956</v>
      </c>
      <c r="E12872" s="4">
        <f>IFERROR(__xludf.DUMMYFUNCTION("""COMPUTED_VALUE"""),80.14297)</f>
        <v>80.14297</v>
      </c>
      <c r="F12872" s="4">
        <f>IFERROR(__xludf.DUMMYFUNCTION("""COMPUTED_VALUE"""),2846.0)</f>
        <v>2846</v>
      </c>
      <c r="G12872" s="4">
        <f>IFERROR(__xludf.DUMMYFUNCTION("""COMPUTED_VALUE"""),14.0)</f>
        <v>14</v>
      </c>
      <c r="H12872" s="4"/>
      <c r="I12872" s="4"/>
    </row>
    <row r="12873">
      <c r="A12873" s="4" t="str">
        <f>IFERROR(__xludf.DUMMYFUNCTION("""COMPUTED_VALUE"""),"cas_hmw")</f>
        <v>cas_hmw</v>
      </c>
      <c r="B12873" s="5">
        <f>IFERROR(__xludf.DUMMYFUNCTION("""COMPUTED_VALUE"""),44715.0)</f>
        <v>44715</v>
      </c>
      <c r="C12873" s="6">
        <f>IFERROR(__xludf.DUMMYFUNCTION("""COMPUTED_VALUE"""),0.7153356481467199)</f>
        <v>0.7153356481</v>
      </c>
      <c r="D12873" s="4">
        <f>IFERROR(__xludf.DUMMYFUNCTION("""COMPUTED_VALUE"""),12.955956)</f>
        <v>12.955956</v>
      </c>
      <c r="E12873" s="4">
        <f>IFERROR(__xludf.DUMMYFUNCTION("""COMPUTED_VALUE"""),80.14297)</f>
        <v>80.14297</v>
      </c>
      <c r="F12873" s="4">
        <f>IFERROR(__xludf.DUMMYFUNCTION("""COMPUTED_VALUE"""),2846.0)</f>
        <v>2846</v>
      </c>
      <c r="G12873" s="4">
        <f>IFERROR(__xludf.DUMMYFUNCTION("""COMPUTED_VALUE"""),14.0)</f>
        <v>14</v>
      </c>
      <c r="H12873" s="4"/>
      <c r="I12873" s="4"/>
    </row>
    <row r="12874">
      <c r="A12874" s="4" t="str">
        <f>IFERROR(__xludf.DUMMYFUNCTION("""COMPUTED_VALUE"""),"cas_hmw")</f>
        <v>cas_hmw</v>
      </c>
      <c r="B12874" s="5">
        <f>IFERROR(__xludf.DUMMYFUNCTION("""COMPUTED_VALUE"""),44715.0)</f>
        <v>44715</v>
      </c>
      <c r="C12874" s="6">
        <f>IFERROR(__xludf.DUMMYFUNCTION("""COMPUTED_VALUE"""),0.7153472222234996)</f>
        <v>0.7153472222</v>
      </c>
      <c r="D12874" s="4">
        <f>IFERROR(__xludf.DUMMYFUNCTION("""COMPUTED_VALUE"""),12.955956)</f>
        <v>12.955956</v>
      </c>
      <c r="E12874" s="4">
        <f>IFERROR(__xludf.DUMMYFUNCTION("""COMPUTED_VALUE"""),80.14297)</f>
        <v>80.14297</v>
      </c>
      <c r="F12874" s="4">
        <f>IFERROR(__xludf.DUMMYFUNCTION("""COMPUTED_VALUE"""),2846.0)</f>
        <v>2846</v>
      </c>
      <c r="G12874" s="4">
        <f>IFERROR(__xludf.DUMMYFUNCTION("""COMPUTED_VALUE"""),14.0)</f>
        <v>14</v>
      </c>
      <c r="H12874" s="4"/>
      <c r="I12874" s="4"/>
    </row>
    <row r="12875">
      <c r="A12875" s="4" t="str">
        <f>IFERROR(__xludf.DUMMYFUNCTION("""COMPUTED_VALUE"""),"cas_hmw")</f>
        <v>cas_hmw</v>
      </c>
      <c r="B12875" s="5">
        <f>IFERROR(__xludf.DUMMYFUNCTION("""COMPUTED_VALUE"""),44715.0)</f>
        <v>44715</v>
      </c>
      <c r="C12875" s="6">
        <f>IFERROR(__xludf.DUMMYFUNCTION("""COMPUTED_VALUE"""),0.7155092592583969)</f>
        <v>0.7155092593</v>
      </c>
      <c r="D12875" s="4">
        <f>IFERROR(__xludf.DUMMYFUNCTION("""COMPUTED_VALUE"""),12.957118)</f>
        <v>12.957118</v>
      </c>
      <c r="E12875" s="4">
        <f>IFERROR(__xludf.DUMMYFUNCTION("""COMPUTED_VALUE"""),80.143588)</f>
        <v>80.143588</v>
      </c>
      <c r="F12875" s="4">
        <f>IFERROR(__xludf.DUMMYFUNCTION("""COMPUTED_VALUE"""),2846.0)</f>
        <v>2846</v>
      </c>
      <c r="G12875" s="4">
        <f>IFERROR(__xludf.DUMMYFUNCTION("""COMPUTED_VALUE"""),31.0)</f>
        <v>31</v>
      </c>
      <c r="H12875" s="4"/>
      <c r="I12875" s="4"/>
    </row>
    <row r="12876">
      <c r="A12876" s="4" t="str">
        <f>IFERROR(__xludf.DUMMYFUNCTION("""COMPUTED_VALUE"""),"cas_hmw")</f>
        <v>cas_hmw</v>
      </c>
      <c r="B12876" s="5">
        <f>IFERROR(__xludf.DUMMYFUNCTION("""COMPUTED_VALUE"""),44715.0)</f>
        <v>44715</v>
      </c>
      <c r="C12876" s="6">
        <f>IFERROR(__xludf.DUMMYFUNCTION("""COMPUTED_VALUE"""),0.7155092592583969)</f>
        <v>0.7155092593</v>
      </c>
      <c r="D12876" s="4">
        <f>IFERROR(__xludf.DUMMYFUNCTION("""COMPUTED_VALUE"""),12.957118)</f>
        <v>12.957118</v>
      </c>
      <c r="E12876" s="4">
        <f>IFERROR(__xludf.DUMMYFUNCTION("""COMPUTED_VALUE"""),80.143588)</f>
        <v>80.143588</v>
      </c>
      <c r="F12876" s="4">
        <f>IFERROR(__xludf.DUMMYFUNCTION("""COMPUTED_VALUE"""),2846.0)</f>
        <v>2846</v>
      </c>
      <c r="G12876" s="4">
        <f>IFERROR(__xludf.DUMMYFUNCTION("""COMPUTED_VALUE"""),31.0)</f>
        <v>31</v>
      </c>
      <c r="H12876" s="4"/>
      <c r="I12876" s="4"/>
    </row>
    <row r="12877">
      <c r="A12877" s="4" t="str">
        <f>IFERROR(__xludf.DUMMYFUNCTION("""COMPUTED_VALUE"""),"cas_hmw")</f>
        <v>cas_hmw</v>
      </c>
      <c r="B12877" s="5">
        <f>IFERROR(__xludf.DUMMYFUNCTION("""COMPUTED_VALUE"""),44715.0)</f>
        <v>44715</v>
      </c>
      <c r="C12877" s="6">
        <f>IFERROR(__xludf.DUMMYFUNCTION("""COMPUTED_VALUE"""),0.7167824074058444)</f>
        <v>0.7167824074</v>
      </c>
      <c r="D12877" s="4">
        <f>IFERROR(__xludf.DUMMYFUNCTION("""COMPUTED_VALUE"""),12.759996)</f>
        <v>12.759996</v>
      </c>
      <c r="E12877" s="4">
        <f>IFERROR(__xludf.DUMMYFUNCTION("""COMPUTED_VALUE"""),80.003349)</f>
        <v>80.003349</v>
      </c>
      <c r="F12877" s="4">
        <f>IFERROR(__xludf.DUMMYFUNCTION("""COMPUTED_VALUE"""),805.0)</f>
        <v>805</v>
      </c>
      <c r="G12877" s="4">
        <f>IFERROR(__xludf.DUMMYFUNCTION("""COMPUTED_VALUE"""),32.0)</f>
        <v>32</v>
      </c>
      <c r="H12877" s="4"/>
      <c r="I12877" s="4"/>
    </row>
    <row r="12878">
      <c r="A12878" s="4" t="str">
        <f>IFERROR(__xludf.DUMMYFUNCTION("""COMPUTED_VALUE"""),"cas_hmw")</f>
        <v>cas_hmw</v>
      </c>
      <c r="B12878" s="5">
        <f>IFERROR(__xludf.DUMMYFUNCTION("""COMPUTED_VALUE"""),44715.0)</f>
        <v>44715</v>
      </c>
      <c r="C12878" s="6">
        <f>IFERROR(__xludf.DUMMYFUNCTION("""COMPUTED_VALUE"""),0.7175347222218988)</f>
        <v>0.7175347222</v>
      </c>
      <c r="D12878" s="4">
        <f>IFERROR(__xludf.DUMMYFUNCTION("""COMPUTED_VALUE"""),12.961166)</f>
        <v>12.961166</v>
      </c>
      <c r="E12878" s="4">
        <f>IFERROR(__xludf.DUMMYFUNCTION("""COMPUTED_VALUE"""),80.145725)</f>
        <v>80.145725</v>
      </c>
      <c r="F12878" s="4">
        <f>IFERROR(__xludf.DUMMYFUNCTION("""COMPUTED_VALUE"""),2846.0)</f>
        <v>2846</v>
      </c>
      <c r="G12878" s="4">
        <f>IFERROR(__xludf.DUMMYFUNCTION("""COMPUTED_VALUE"""),19.0)</f>
        <v>19</v>
      </c>
      <c r="H12878" s="4"/>
      <c r="I12878" s="4"/>
    </row>
    <row r="12879">
      <c r="A12879" s="4" t="str">
        <f>IFERROR(__xludf.DUMMYFUNCTION("""COMPUTED_VALUE"""),"cas_hmw")</f>
        <v>cas_hmw</v>
      </c>
      <c r="B12879" s="5">
        <f>IFERROR(__xludf.DUMMYFUNCTION("""COMPUTED_VALUE"""),44715.0)</f>
        <v>44715</v>
      </c>
      <c r="C12879" s="6">
        <f>IFERROR(__xludf.DUMMYFUNCTION("""COMPUTED_VALUE"""),0.7177662037029222)</f>
        <v>0.7177662037</v>
      </c>
      <c r="D12879" s="4">
        <f>IFERROR(__xludf.DUMMYFUNCTION("""COMPUTED_VALUE"""),12.962433)</f>
        <v>12.962433</v>
      </c>
      <c r="E12879" s="4">
        <f>IFERROR(__xludf.DUMMYFUNCTION("""COMPUTED_VALUE"""),80.146422)</f>
        <v>80.146422</v>
      </c>
      <c r="F12879" s="4">
        <f>IFERROR(__xludf.DUMMYFUNCTION("""COMPUTED_VALUE"""),2846.0)</f>
        <v>2846</v>
      </c>
      <c r="G12879" s="4">
        <f>IFERROR(__xludf.DUMMYFUNCTION("""COMPUTED_VALUE"""),30.0)</f>
        <v>30</v>
      </c>
      <c r="H12879" s="4"/>
      <c r="I12879" s="4"/>
    </row>
    <row r="12880">
      <c r="A12880" s="4" t="str">
        <f>IFERROR(__xludf.DUMMYFUNCTION("""COMPUTED_VALUE"""),"cas_hmw")</f>
        <v>cas_hmw</v>
      </c>
      <c r="B12880" s="5">
        <f>IFERROR(__xludf.DUMMYFUNCTION("""COMPUTED_VALUE"""),44715.0)</f>
        <v>44715</v>
      </c>
      <c r="C12880" s="6">
        <f>IFERROR(__xludf.DUMMYFUNCTION("""COMPUTED_VALUE"""),0.7179398148145992)</f>
        <v>0.7179398148</v>
      </c>
      <c r="D12880" s="4">
        <f>IFERROR(__xludf.DUMMYFUNCTION("""COMPUTED_VALUE"""),12.963183)</f>
        <v>12.963183</v>
      </c>
      <c r="E12880" s="4">
        <f>IFERROR(__xludf.DUMMYFUNCTION("""COMPUTED_VALUE"""),80.146832)</f>
        <v>80.146832</v>
      </c>
      <c r="F12880" s="4">
        <f>IFERROR(__xludf.DUMMYFUNCTION("""COMPUTED_VALUE"""),2846.0)</f>
        <v>2846</v>
      </c>
      <c r="G12880" s="4">
        <f>IFERROR(__xludf.DUMMYFUNCTION("""COMPUTED_VALUE"""),39.0)</f>
        <v>39</v>
      </c>
      <c r="H12880" s="4"/>
      <c r="I12880" s="4"/>
    </row>
    <row r="12881">
      <c r="A12881" s="4" t="str">
        <f>IFERROR(__xludf.DUMMYFUNCTION("""COMPUTED_VALUE"""),"cas_hmw")</f>
        <v>cas_hmw</v>
      </c>
      <c r="B12881" s="5">
        <f>IFERROR(__xludf.DUMMYFUNCTION("""COMPUTED_VALUE"""),44715.0)</f>
        <v>44715</v>
      </c>
      <c r="C12881" s="6">
        <f>IFERROR(__xludf.DUMMYFUNCTION("""COMPUTED_VALUE"""),0.7182060185186856)</f>
        <v>0.7182060185</v>
      </c>
      <c r="D12881" s="4">
        <f>IFERROR(__xludf.DUMMYFUNCTION("""COMPUTED_VALUE"""),12.745013)</f>
        <v>12.745013</v>
      </c>
      <c r="E12881" s="4">
        <f>IFERROR(__xludf.DUMMYFUNCTION("""COMPUTED_VALUE"""),79.993989)</f>
        <v>79.993989</v>
      </c>
      <c r="F12881" s="4">
        <f>IFERROR(__xludf.DUMMYFUNCTION("""COMPUTED_VALUE"""),805.0)</f>
        <v>805</v>
      </c>
      <c r="G12881" s="4">
        <f>IFERROR(__xludf.DUMMYFUNCTION("""COMPUTED_VALUE"""),57.0)</f>
        <v>57</v>
      </c>
      <c r="H12881" s="4"/>
      <c r="I12881" s="4"/>
    </row>
    <row r="12882">
      <c r="A12882" s="4" t="str">
        <f>IFERROR(__xludf.DUMMYFUNCTION("""COMPUTED_VALUE"""),"cas_hmw")</f>
        <v>cas_hmw</v>
      </c>
      <c r="B12882" s="5">
        <f>IFERROR(__xludf.DUMMYFUNCTION("""COMPUTED_VALUE"""),44715.0)</f>
        <v>44715</v>
      </c>
      <c r="C12882" s="6">
        <f>IFERROR(__xludf.DUMMYFUNCTION("""COMPUTED_VALUE"""),0.7183333333341579)</f>
        <v>0.7183333333</v>
      </c>
      <c r="D12882" s="4">
        <f>IFERROR(__xludf.DUMMYFUNCTION("""COMPUTED_VALUE"""),12.966332)</f>
        <v>12.966332</v>
      </c>
      <c r="E12882" s="4">
        <f>IFERROR(__xludf.DUMMYFUNCTION("""COMPUTED_VALUE"""),80.148471)</f>
        <v>80.148471</v>
      </c>
      <c r="F12882" s="4">
        <f>IFERROR(__xludf.DUMMYFUNCTION("""COMPUTED_VALUE"""),2846.0)</f>
        <v>2846</v>
      </c>
      <c r="G12882" s="4">
        <f>IFERROR(__xludf.DUMMYFUNCTION("""COMPUTED_VALUE"""),38.0)</f>
        <v>38</v>
      </c>
      <c r="H12882" s="4"/>
      <c r="I12882" s="4"/>
    </row>
    <row r="12883">
      <c r="A12883" s="4" t="str">
        <f>IFERROR(__xludf.DUMMYFUNCTION("""COMPUTED_VALUE"""),"cas_hmw")</f>
        <v>cas_hmw</v>
      </c>
      <c r="B12883" s="5">
        <f>IFERROR(__xludf.DUMMYFUNCTION("""COMPUTED_VALUE"""),44715.0)</f>
        <v>44715</v>
      </c>
      <c r="C12883" s="6">
        <f>IFERROR(__xludf.DUMMYFUNCTION("""COMPUTED_VALUE"""),0.7193750000005821)</f>
        <v>0.719375</v>
      </c>
      <c r="D12883" s="4">
        <f>IFERROR(__xludf.DUMMYFUNCTION("""COMPUTED_VALUE"""),12.736401)</f>
        <v>12.736401</v>
      </c>
      <c r="E12883" s="4">
        <f>IFERROR(__xludf.DUMMYFUNCTION("""COMPUTED_VALUE"""),79.987274)</f>
        <v>79.987274</v>
      </c>
      <c r="F12883" s="4">
        <f>IFERROR(__xludf.DUMMYFUNCTION("""COMPUTED_VALUE"""),805.0)</f>
        <v>805</v>
      </c>
      <c r="G12883" s="4">
        <f>IFERROR(__xludf.DUMMYFUNCTION("""COMPUTED_VALUE"""),52.0)</f>
        <v>52</v>
      </c>
      <c r="H12883" s="4"/>
      <c r="I12883" s="4"/>
    </row>
    <row r="12884">
      <c r="A12884" s="4" t="str">
        <f>IFERROR(__xludf.DUMMYFUNCTION("""COMPUTED_VALUE"""),"cas_hmw")</f>
        <v>cas_hmw</v>
      </c>
      <c r="B12884" s="5">
        <f>IFERROR(__xludf.DUMMYFUNCTION("""COMPUTED_VALUE"""),44715.0)</f>
        <v>44715</v>
      </c>
      <c r="C12884" s="6">
        <f>IFERROR(__xludf.DUMMYFUNCTION("""COMPUTED_VALUE"""),0.7198263888894871)</f>
        <v>0.7198263889</v>
      </c>
      <c r="D12884" s="4">
        <f>IFERROR(__xludf.DUMMYFUNCTION("""COMPUTED_VALUE"""),12.731992)</f>
        <v>12.731992</v>
      </c>
      <c r="E12884" s="4">
        <f>IFERROR(__xludf.DUMMYFUNCTION("""COMPUTED_VALUE"""),79.983161)</f>
        <v>79.983161</v>
      </c>
      <c r="F12884" s="4">
        <f>IFERROR(__xludf.DUMMYFUNCTION("""COMPUTED_VALUE"""),805.0)</f>
        <v>805</v>
      </c>
      <c r="G12884" s="4">
        <f>IFERROR(__xludf.DUMMYFUNCTION("""COMPUTED_VALUE"""),49.0)</f>
        <v>49</v>
      </c>
      <c r="H12884" s="4"/>
      <c r="I12884" s="4"/>
    </row>
    <row r="12885">
      <c r="A12885" s="4" t="str">
        <f>IFERROR(__xludf.DUMMYFUNCTION("""COMPUTED_VALUE"""),"cas_hmw")</f>
        <v>cas_hmw</v>
      </c>
      <c r="B12885" s="5">
        <f>IFERROR(__xludf.DUMMYFUNCTION("""COMPUTED_VALUE"""),44715.0)</f>
        <v>44715</v>
      </c>
      <c r="C12885" s="6">
        <f>IFERROR(__xludf.DUMMYFUNCTION("""COMPUTED_VALUE"""),0.7203009259246755)</f>
        <v>0.7203009259</v>
      </c>
      <c r="D12885" s="4">
        <f>IFERROR(__xludf.DUMMYFUNCTION("""COMPUTED_VALUE"""),12.976769)</f>
        <v>12.976769</v>
      </c>
      <c r="E12885" s="4">
        <f>IFERROR(__xludf.DUMMYFUNCTION("""COMPUTED_VALUE"""),80.157993)</f>
        <v>80.157993</v>
      </c>
      <c r="F12885" s="4">
        <f>IFERROR(__xludf.DUMMYFUNCTION("""COMPUTED_VALUE"""),2846.0)</f>
        <v>2846</v>
      </c>
      <c r="G12885" s="4">
        <f>IFERROR(__xludf.DUMMYFUNCTION("""COMPUTED_VALUE"""),36.0)</f>
        <v>36</v>
      </c>
      <c r="H12885" s="4"/>
      <c r="I12885" s="4"/>
    </row>
    <row r="12886">
      <c r="A12886" s="4" t="str">
        <f>IFERROR(__xludf.DUMMYFUNCTION("""COMPUTED_VALUE"""),"cas_hmw")</f>
        <v>cas_hmw</v>
      </c>
      <c r="B12886" s="5">
        <f>IFERROR(__xludf.DUMMYFUNCTION("""COMPUTED_VALUE"""),44715.0)</f>
        <v>44715</v>
      </c>
      <c r="C12886" s="6">
        <f>IFERROR(__xludf.DUMMYFUNCTION("""COMPUTED_VALUE"""),0.7212731481486117)</f>
        <v>0.7212731481</v>
      </c>
      <c r="D12886" s="4">
        <f>IFERROR(__xludf.DUMMYFUNCTION("""COMPUTED_VALUE"""),12.982667)</f>
        <v>12.982667</v>
      </c>
      <c r="E12886" s="4">
        <f>IFERROR(__xludf.DUMMYFUNCTION("""COMPUTED_VALUE"""),80.168575)</f>
        <v>80.168575</v>
      </c>
      <c r="F12886" s="4">
        <f>IFERROR(__xludf.DUMMYFUNCTION("""COMPUTED_VALUE"""),2846.0)</f>
        <v>2846</v>
      </c>
      <c r="G12886" s="4">
        <f>IFERROR(__xludf.DUMMYFUNCTION("""COMPUTED_VALUE"""),56.0)</f>
        <v>56</v>
      </c>
      <c r="H12886" s="4"/>
      <c r="I12886" s="4"/>
    </row>
    <row r="12887">
      <c r="A12887" s="4" t="str">
        <f>IFERROR(__xludf.DUMMYFUNCTION("""COMPUTED_VALUE"""),"cas_hmw")</f>
        <v>cas_hmw</v>
      </c>
      <c r="B12887" s="5">
        <f>IFERROR(__xludf.DUMMYFUNCTION("""COMPUTED_VALUE"""),44715.0)</f>
        <v>44715</v>
      </c>
      <c r="C12887" s="6">
        <f>IFERROR(__xludf.DUMMYFUNCTION("""COMPUTED_VALUE"""),0.7215277777795563)</f>
        <v>0.7215277778</v>
      </c>
      <c r="D12887" s="4">
        <f>IFERROR(__xludf.DUMMYFUNCTION("""COMPUTED_VALUE"""),12.984204)</f>
        <v>12.984204</v>
      </c>
      <c r="E12887" s="4">
        <f>IFERROR(__xludf.DUMMYFUNCTION("""COMPUTED_VALUE"""),80.171221)</f>
        <v>80.171221</v>
      </c>
      <c r="F12887" s="4">
        <f>IFERROR(__xludf.DUMMYFUNCTION("""COMPUTED_VALUE"""),2846.0)</f>
        <v>2846</v>
      </c>
      <c r="G12887" s="4">
        <f>IFERROR(__xludf.DUMMYFUNCTION("""COMPUTED_VALUE"""),60.0)</f>
        <v>60</v>
      </c>
      <c r="H12887" s="4"/>
      <c r="I12887" s="4"/>
    </row>
    <row r="12888">
      <c r="A12888" s="4" t="str">
        <f>IFERROR(__xludf.DUMMYFUNCTION("""COMPUTED_VALUE"""),"cas_hmw")</f>
        <v>cas_hmw</v>
      </c>
      <c r="B12888" s="5">
        <f>IFERROR(__xludf.DUMMYFUNCTION("""COMPUTED_VALUE"""),44715.0)</f>
        <v>44715</v>
      </c>
      <c r="C12888" s="6">
        <f>IFERROR(__xludf.DUMMYFUNCTION("""COMPUTED_VALUE"""),0.7245254629633564)</f>
        <v>0.724525463</v>
      </c>
      <c r="D12888" s="4">
        <f>IFERROR(__xludf.DUMMYFUNCTION("""COMPUTED_VALUE"""),12.99277)</f>
        <v>12.99277</v>
      </c>
      <c r="E12888" s="4">
        <f>IFERROR(__xludf.DUMMYFUNCTION("""COMPUTED_VALUE"""),80.183102)</f>
        <v>80.183102</v>
      </c>
      <c r="F12888" s="4">
        <f>IFERROR(__xludf.DUMMYFUNCTION("""COMPUTED_VALUE"""),2846.0)</f>
        <v>2846</v>
      </c>
      <c r="G12888" s="4">
        <f>IFERROR(__xludf.DUMMYFUNCTION("""COMPUTED_VALUE"""),50.0)</f>
        <v>50</v>
      </c>
      <c r="H12888" s="4"/>
      <c r="I12888" s="4"/>
    </row>
    <row r="12889">
      <c r="A12889" s="4" t="str">
        <f>IFERROR(__xludf.DUMMYFUNCTION("""COMPUTED_VALUE"""),"cas_hmw")</f>
        <v>cas_hmw</v>
      </c>
      <c r="B12889" s="5">
        <f>IFERROR(__xludf.DUMMYFUNCTION("""COMPUTED_VALUE"""),44715.0)</f>
        <v>44715</v>
      </c>
      <c r="C12889" s="6">
        <f>IFERROR(__xludf.DUMMYFUNCTION("""COMPUTED_VALUE"""),0.7261226851842366)</f>
        <v>0.7261226852</v>
      </c>
      <c r="D12889" s="4">
        <f>IFERROR(__xludf.DUMMYFUNCTION("""COMPUTED_VALUE"""),12.996259)</f>
        <v>12.996259</v>
      </c>
      <c r="E12889" s="4">
        <f>IFERROR(__xludf.DUMMYFUNCTION("""COMPUTED_VALUE"""),80.189402)</f>
        <v>80.189402</v>
      </c>
      <c r="F12889" s="4">
        <f>IFERROR(__xludf.DUMMYFUNCTION("""COMPUTED_VALUE"""),2846.0)</f>
        <v>2846</v>
      </c>
      <c r="G12889" s="4">
        <f>IFERROR(__xludf.DUMMYFUNCTION("""COMPUTED_VALUE"""),55.0)</f>
        <v>55</v>
      </c>
      <c r="H12889" s="4"/>
      <c r="I12889" s="4"/>
    </row>
    <row r="12890">
      <c r="A12890" s="4" t="str">
        <f>IFERROR(__xludf.DUMMYFUNCTION("""COMPUTED_VALUE"""),"cas_hmw")</f>
        <v>cas_hmw</v>
      </c>
      <c r="B12890" s="5">
        <f>IFERROR(__xludf.DUMMYFUNCTION("""COMPUTED_VALUE"""),44715.0)</f>
        <v>44715</v>
      </c>
      <c r="C12890" s="6">
        <f>IFERROR(__xludf.DUMMYFUNCTION("""COMPUTED_VALUE"""),0.7261574074072996)</f>
        <v>0.7261574074</v>
      </c>
      <c r="D12890" s="4">
        <f>IFERROR(__xludf.DUMMYFUNCTION("""COMPUTED_VALUE"""),12.997162)</f>
        <v>12.997162</v>
      </c>
      <c r="E12890" s="4">
        <f>IFERROR(__xludf.DUMMYFUNCTION("""COMPUTED_VALUE"""),80.190472)</f>
        <v>80.190472</v>
      </c>
      <c r="F12890" s="4">
        <f>IFERROR(__xludf.DUMMYFUNCTION("""COMPUTED_VALUE"""),2846.0)</f>
        <v>2846</v>
      </c>
      <c r="G12890" s="4">
        <f>IFERROR(__xludf.DUMMYFUNCTION("""COMPUTED_VALUE"""),53.0)</f>
        <v>53</v>
      </c>
      <c r="H12890" s="4"/>
      <c r="I12890" s="4"/>
    </row>
    <row r="12891">
      <c r="A12891" s="4" t="str">
        <f>IFERROR(__xludf.DUMMYFUNCTION("""COMPUTED_VALUE"""),"cas_hmw")</f>
        <v>cas_hmw</v>
      </c>
      <c r="B12891" s="5">
        <f>IFERROR(__xludf.DUMMYFUNCTION("""COMPUTED_VALUE"""),44715.0)</f>
        <v>44715</v>
      </c>
      <c r="C12891" s="6">
        <f>IFERROR(__xludf.DUMMYFUNCTION("""COMPUTED_VALUE"""),0.7283333333325572)</f>
        <v>0.7283333333</v>
      </c>
      <c r="D12891" s="4">
        <f>IFERROR(__xludf.DUMMYFUNCTION("""COMPUTED_VALUE"""),13.00214)</f>
        <v>13.00214</v>
      </c>
      <c r="E12891" s="4">
        <f>IFERROR(__xludf.DUMMYFUNCTION("""COMPUTED_VALUE"""),80.197211)</f>
        <v>80.197211</v>
      </c>
      <c r="F12891" s="4">
        <f>IFERROR(__xludf.DUMMYFUNCTION("""COMPUTED_VALUE"""),2846.0)</f>
        <v>2846</v>
      </c>
      <c r="G12891" s="4">
        <f>IFERROR(__xludf.DUMMYFUNCTION("""COMPUTED_VALUE"""),45.0)</f>
        <v>45</v>
      </c>
      <c r="H12891" s="4"/>
      <c r="I12891" s="4"/>
    </row>
    <row r="12892">
      <c r="A12892" s="4" t="str">
        <f>IFERROR(__xludf.DUMMYFUNCTION("""COMPUTED_VALUE"""),"cas_hmw")</f>
        <v>cas_hmw</v>
      </c>
      <c r="B12892" s="5">
        <f>IFERROR(__xludf.DUMMYFUNCTION("""COMPUTED_VALUE"""),44715.0)</f>
        <v>44715</v>
      </c>
      <c r="C12892" s="6">
        <f>IFERROR(__xludf.DUMMYFUNCTION("""COMPUTED_VALUE"""),0.7287268518521159)</f>
        <v>0.7287268519</v>
      </c>
      <c r="D12892" s="4">
        <f>IFERROR(__xludf.DUMMYFUNCTION("""COMPUTED_VALUE"""),13.002444)</f>
        <v>13.002444</v>
      </c>
      <c r="E12892" s="4">
        <f>IFERROR(__xludf.DUMMYFUNCTION("""COMPUTED_VALUE"""),80.200517)</f>
        <v>80.200517</v>
      </c>
      <c r="F12892" s="4">
        <f>IFERROR(__xludf.DUMMYFUNCTION("""COMPUTED_VALUE"""),2846.0)</f>
        <v>2846</v>
      </c>
      <c r="G12892" s="4">
        <f>IFERROR(__xludf.DUMMYFUNCTION("""COMPUTED_VALUE"""),41.0)</f>
        <v>41</v>
      </c>
      <c r="H12892" s="4"/>
      <c r="I12892" s="4"/>
    </row>
    <row r="12893">
      <c r="A12893" s="4" t="str">
        <f>IFERROR(__xludf.DUMMYFUNCTION("""COMPUTED_VALUE"""),"cas_hmw")</f>
        <v>cas_hmw</v>
      </c>
      <c r="B12893" s="5">
        <f>IFERROR(__xludf.DUMMYFUNCTION("""COMPUTED_VALUE"""),44715.0)</f>
        <v>44715</v>
      </c>
      <c r="C12893" s="6">
        <f>IFERROR(__xludf.DUMMYFUNCTION("""COMPUTED_VALUE"""),0.7289120370369346)</f>
        <v>0.728912037</v>
      </c>
      <c r="D12893" s="4">
        <f>IFERROR(__xludf.DUMMYFUNCTION("""COMPUTED_VALUE"""),13.004429)</f>
        <v>13.004429</v>
      </c>
      <c r="E12893" s="4">
        <f>IFERROR(__xludf.DUMMYFUNCTION("""COMPUTED_VALUE"""),80.2011)</f>
        <v>80.2011</v>
      </c>
      <c r="F12893" s="4">
        <f>IFERROR(__xludf.DUMMYFUNCTION("""COMPUTED_VALUE"""),2846.0)</f>
        <v>2846</v>
      </c>
      <c r="G12893" s="4">
        <f>IFERROR(__xludf.DUMMYFUNCTION("""COMPUTED_VALUE"""),37.0)</f>
        <v>37</v>
      </c>
      <c r="H12893" s="4"/>
      <c r="I12893" s="4"/>
    </row>
    <row r="12894">
      <c r="A12894" s="4" t="str">
        <f>IFERROR(__xludf.DUMMYFUNCTION("""COMPUTED_VALUE"""),"cas_hmw")</f>
        <v>cas_hmw</v>
      </c>
      <c r="B12894" s="5">
        <f>IFERROR(__xludf.DUMMYFUNCTION("""COMPUTED_VALUE"""),44715.0)</f>
        <v>44715</v>
      </c>
      <c r="C12894" s="6">
        <f>IFERROR(__xludf.DUMMYFUNCTION("""COMPUTED_VALUE"""),0.7289583333331393)</f>
        <v>0.7289583333</v>
      </c>
      <c r="D12894" s="4">
        <f>IFERROR(__xludf.DUMMYFUNCTION("""COMPUTED_VALUE"""),13.004429)</f>
        <v>13.004429</v>
      </c>
      <c r="E12894" s="4">
        <f>IFERROR(__xludf.DUMMYFUNCTION("""COMPUTED_VALUE"""),80.2011)</f>
        <v>80.2011</v>
      </c>
      <c r="F12894" s="4">
        <f>IFERROR(__xludf.DUMMYFUNCTION("""COMPUTED_VALUE"""),2846.0)</f>
        <v>2846</v>
      </c>
      <c r="G12894" s="4">
        <f>IFERROR(__xludf.DUMMYFUNCTION("""COMPUTED_VALUE"""),37.0)</f>
        <v>37</v>
      </c>
      <c r="H12894" s="4"/>
      <c r="I12894" s="4"/>
    </row>
    <row r="12895">
      <c r="A12895" s="4" t="str">
        <f>IFERROR(__xludf.DUMMYFUNCTION("""COMPUTED_VALUE"""),"cas_hmw")</f>
        <v>cas_hmw</v>
      </c>
      <c r="B12895" s="5">
        <f>IFERROR(__xludf.DUMMYFUNCTION("""COMPUTED_VALUE"""),44715.0)</f>
        <v>44715</v>
      </c>
      <c r="C12895" s="6">
        <f>IFERROR(__xludf.DUMMYFUNCTION("""COMPUTED_VALUE"""),0.7292245370372257)</f>
        <v>0.729224537</v>
      </c>
      <c r="D12895" s="4">
        <f>IFERROR(__xludf.DUMMYFUNCTION("""COMPUTED_VALUE"""),13.005992)</f>
        <v>13.005992</v>
      </c>
      <c r="E12895" s="4">
        <f>IFERROR(__xludf.DUMMYFUNCTION("""COMPUTED_VALUE"""),80.202417)</f>
        <v>80.202417</v>
      </c>
      <c r="F12895" s="4">
        <f>IFERROR(__xludf.DUMMYFUNCTION("""COMPUTED_VALUE"""),2846.0)</f>
        <v>2846</v>
      </c>
      <c r="G12895" s="4">
        <f>IFERROR(__xludf.DUMMYFUNCTION("""COMPUTED_VALUE"""),49.0)</f>
        <v>49</v>
      </c>
      <c r="H12895" s="4"/>
      <c r="I12895" s="4"/>
    </row>
    <row r="12896">
      <c r="A12896" s="4" t="str">
        <f>IFERROR(__xludf.DUMMYFUNCTION("""COMPUTED_VALUE"""),"cas_hmw")</f>
        <v>cas_hmw</v>
      </c>
      <c r="B12896" s="5">
        <f>IFERROR(__xludf.DUMMYFUNCTION("""COMPUTED_VALUE"""),44715.0)</f>
        <v>44715</v>
      </c>
      <c r="C12896" s="6">
        <f>IFERROR(__xludf.DUMMYFUNCTION("""COMPUTED_VALUE"""),0.7293749999989814)</f>
        <v>0.729375</v>
      </c>
      <c r="D12896" s="4">
        <f>IFERROR(__xludf.DUMMYFUNCTION("""COMPUTED_VALUE"""),13.007462)</f>
        <v>13.007462</v>
      </c>
      <c r="E12896" s="4">
        <f>IFERROR(__xludf.DUMMYFUNCTION("""COMPUTED_VALUE"""),80.203635)</f>
        <v>80.203635</v>
      </c>
      <c r="F12896" s="4">
        <f>IFERROR(__xludf.DUMMYFUNCTION("""COMPUTED_VALUE"""),2846.0)</f>
        <v>2846</v>
      </c>
      <c r="G12896" s="4">
        <f>IFERROR(__xludf.DUMMYFUNCTION("""COMPUTED_VALUE"""),37.0)</f>
        <v>37</v>
      </c>
      <c r="H12896" s="4"/>
      <c r="I12896" s="4"/>
    </row>
    <row r="12897">
      <c r="A12897" s="4" t="str">
        <f>IFERROR(__xludf.DUMMYFUNCTION("""COMPUTED_VALUE"""),"cas_hmw")</f>
        <v>cas_hmw</v>
      </c>
      <c r="B12897" s="5">
        <f>IFERROR(__xludf.DUMMYFUNCTION("""COMPUTED_VALUE"""),44715.0)</f>
        <v>44715</v>
      </c>
      <c r="C12897" s="6">
        <f>IFERROR(__xludf.DUMMYFUNCTION("""COMPUTED_VALUE"""),0.7312962962969323)</f>
        <v>0.7312962963</v>
      </c>
      <c r="D12897" s="4">
        <f>IFERROR(__xludf.DUMMYFUNCTION("""COMPUTED_VALUE"""),13.010238)</f>
        <v>13.010238</v>
      </c>
      <c r="E12897" s="4">
        <f>IFERROR(__xludf.DUMMYFUNCTION("""COMPUTED_VALUE"""),80.21538)</f>
        <v>80.21538</v>
      </c>
      <c r="F12897" s="4">
        <f>IFERROR(__xludf.DUMMYFUNCTION("""COMPUTED_VALUE"""),2846.0)</f>
        <v>2846</v>
      </c>
      <c r="G12897" s="4">
        <f>IFERROR(__xludf.DUMMYFUNCTION("""COMPUTED_VALUE"""),33.0)</f>
        <v>33</v>
      </c>
      <c r="H12897" s="4"/>
      <c r="I12897" s="4"/>
    </row>
    <row r="12898">
      <c r="A12898" s="4" t="str">
        <f>IFERROR(__xludf.DUMMYFUNCTION("""COMPUTED_VALUE"""),"cas_hmw")</f>
        <v>cas_hmw</v>
      </c>
      <c r="B12898" s="5">
        <f>IFERROR(__xludf.DUMMYFUNCTION("""COMPUTED_VALUE"""),44715.0)</f>
        <v>44715</v>
      </c>
      <c r="C12898" s="6">
        <f>IFERROR(__xludf.DUMMYFUNCTION("""COMPUTED_VALUE"""),0.7313194444432156)</f>
        <v>0.7313194444</v>
      </c>
      <c r="D12898" s="4">
        <f>IFERROR(__xludf.DUMMYFUNCTION("""COMPUTED_VALUE"""),13.010972)</f>
        <v>13.010972</v>
      </c>
      <c r="E12898" s="4">
        <f>IFERROR(__xludf.DUMMYFUNCTION("""COMPUTED_VALUE"""),80.217182)</f>
        <v>80.217182</v>
      </c>
      <c r="F12898" s="4">
        <f>IFERROR(__xludf.DUMMYFUNCTION("""COMPUTED_VALUE"""),2846.0)</f>
        <v>2846</v>
      </c>
      <c r="G12898" s="4">
        <f>IFERROR(__xludf.DUMMYFUNCTION("""COMPUTED_VALUE"""),38.0)</f>
        <v>38</v>
      </c>
      <c r="H12898" s="4"/>
      <c r="I12898" s="4"/>
    </row>
    <row r="12899">
      <c r="A12899" s="4" t="str">
        <f>IFERROR(__xludf.DUMMYFUNCTION("""COMPUTED_VALUE"""),"cas_hmw")</f>
        <v>cas_hmw</v>
      </c>
      <c r="B12899" s="5">
        <f>IFERROR(__xludf.DUMMYFUNCTION("""COMPUTED_VALUE"""),44715.0)</f>
        <v>44715</v>
      </c>
      <c r="C12899" s="6">
        <f>IFERROR(__xludf.DUMMYFUNCTION("""COMPUTED_VALUE"""),0.7315046296280343)</f>
        <v>0.7315046296</v>
      </c>
      <c r="D12899" s="4">
        <f>IFERROR(__xludf.DUMMYFUNCTION("""COMPUTED_VALUE"""),13.011694)</f>
        <v>13.011694</v>
      </c>
      <c r="E12899" s="4">
        <f>IFERROR(__xludf.DUMMYFUNCTION("""COMPUTED_VALUE"""),80.218997)</f>
        <v>80.218997</v>
      </c>
      <c r="F12899" s="4">
        <f>IFERROR(__xludf.DUMMYFUNCTION("""COMPUTED_VALUE"""),2846.0)</f>
        <v>2846</v>
      </c>
      <c r="G12899" s="4">
        <f>IFERROR(__xludf.DUMMYFUNCTION("""COMPUTED_VALUE"""),41.0)</f>
        <v>41</v>
      </c>
      <c r="H12899" s="4"/>
      <c r="I12899" s="4"/>
    </row>
    <row r="12900">
      <c r="A12900" s="4" t="str">
        <f>IFERROR(__xludf.DUMMYFUNCTION("""COMPUTED_VALUE"""),"cas_hmw")</f>
        <v>cas_hmw</v>
      </c>
      <c r="B12900" s="5">
        <f>IFERROR(__xludf.DUMMYFUNCTION("""COMPUTED_VALUE"""),44715.0)</f>
        <v>44715</v>
      </c>
      <c r="C12900" s="6">
        <f>IFERROR(__xludf.DUMMYFUNCTION("""COMPUTED_VALUE"""),0.7322106481478841)</f>
        <v>0.7322106481</v>
      </c>
      <c r="D12900" s="4">
        <f>IFERROR(__xludf.DUMMYFUNCTION("""COMPUTED_VALUE"""),13.012633)</f>
        <v>13.012633</v>
      </c>
      <c r="E12900" s="4">
        <f>IFERROR(__xludf.DUMMYFUNCTION("""COMPUTED_VALUE"""),80.221511)</f>
        <v>80.221511</v>
      </c>
      <c r="F12900" s="4">
        <f>IFERROR(__xludf.DUMMYFUNCTION("""COMPUTED_VALUE"""),2846.0)</f>
        <v>2846</v>
      </c>
      <c r="G12900" s="4">
        <f>IFERROR(__xludf.DUMMYFUNCTION("""COMPUTED_VALUE"""),24.0)</f>
        <v>24</v>
      </c>
      <c r="H12900" s="4"/>
      <c r="I12900" s="4"/>
    </row>
    <row r="12901">
      <c r="A12901" s="4" t="str">
        <f>IFERROR(__xludf.DUMMYFUNCTION("""COMPUTED_VALUE"""),"cas_hmw")</f>
        <v>cas_hmw</v>
      </c>
      <c r="B12901" s="5">
        <f>IFERROR(__xludf.DUMMYFUNCTION("""COMPUTED_VALUE"""),44715.0)</f>
        <v>44715</v>
      </c>
      <c r="C12901" s="6">
        <f>IFERROR(__xludf.DUMMYFUNCTION("""COMPUTED_VALUE"""),0.7326157407405844)</f>
        <v>0.7326157407</v>
      </c>
      <c r="D12901" s="4">
        <f>IFERROR(__xludf.DUMMYFUNCTION("""COMPUTED_VALUE"""),13.014755)</f>
        <v>13.014755</v>
      </c>
      <c r="E12901" s="4">
        <f>IFERROR(__xludf.DUMMYFUNCTION("""COMPUTED_VALUE"""),80.224167)</f>
        <v>80.224167</v>
      </c>
      <c r="F12901" s="4">
        <f>IFERROR(__xludf.DUMMYFUNCTION("""COMPUTED_VALUE"""),2846.0)</f>
        <v>2846</v>
      </c>
      <c r="G12901" s="4">
        <f>IFERROR(__xludf.DUMMYFUNCTION("""COMPUTED_VALUE"""),39.0)</f>
        <v>39</v>
      </c>
      <c r="H12901" s="4"/>
      <c r="I12901" s="4"/>
    </row>
    <row r="12902">
      <c r="A12902" s="4" t="str">
        <f>IFERROR(__xludf.DUMMYFUNCTION("""COMPUTED_VALUE"""),"cas_hmw")</f>
        <v>cas_hmw</v>
      </c>
      <c r="B12902" s="5">
        <f>IFERROR(__xludf.DUMMYFUNCTION("""COMPUTED_VALUE"""),44715.0)</f>
        <v>44715</v>
      </c>
      <c r="C12902" s="6">
        <f>IFERROR(__xludf.DUMMYFUNCTION("""COMPUTED_VALUE"""),0.7327777777791198)</f>
        <v>0.7327777778</v>
      </c>
      <c r="D12902" s="4">
        <f>IFERROR(__xludf.DUMMYFUNCTION("""COMPUTED_VALUE"""),13.015404)</f>
        <v>13.015404</v>
      </c>
      <c r="E12902" s="4">
        <f>IFERROR(__xludf.DUMMYFUNCTION("""COMPUTED_VALUE"""),80.224979)</f>
        <v>80.224979</v>
      </c>
      <c r="F12902" s="4">
        <f>IFERROR(__xludf.DUMMYFUNCTION("""COMPUTED_VALUE"""),2846.0)</f>
        <v>2846</v>
      </c>
      <c r="G12902" s="4">
        <f>IFERROR(__xludf.DUMMYFUNCTION("""COMPUTED_VALUE"""),42.0)</f>
        <v>42</v>
      </c>
      <c r="H12902" s="4"/>
      <c r="I12902" s="4"/>
    </row>
    <row r="12903">
      <c r="A12903" s="4" t="str">
        <f>IFERROR(__xludf.DUMMYFUNCTION("""COMPUTED_VALUE"""),"cas_hmw")</f>
        <v>cas_hmw</v>
      </c>
      <c r="B12903" s="5">
        <f>IFERROR(__xludf.DUMMYFUNCTION("""COMPUTED_VALUE"""),44715.0)</f>
        <v>44715</v>
      </c>
      <c r="C12903" s="6">
        <f>IFERROR(__xludf.DUMMYFUNCTION("""COMPUTED_VALUE"""),0.7327893518522615)</f>
        <v>0.7327893519</v>
      </c>
      <c r="D12903" s="4">
        <f>IFERROR(__xludf.DUMMYFUNCTION("""COMPUTED_VALUE"""),12.697356)</f>
        <v>12.697356</v>
      </c>
      <c r="E12903" s="4">
        <f>IFERROR(__xludf.DUMMYFUNCTION("""COMPUTED_VALUE"""),79.972257)</f>
        <v>79.972257</v>
      </c>
      <c r="F12903" s="4">
        <f>IFERROR(__xludf.DUMMYFUNCTION("""COMPUTED_VALUE"""),805.0)</f>
        <v>805</v>
      </c>
      <c r="G12903" s="4">
        <f>IFERROR(__xludf.DUMMYFUNCTION("""COMPUTED_VALUE"""),0.0)</f>
        <v>0</v>
      </c>
      <c r="H12903" s="4"/>
      <c r="I12903" s="4"/>
    </row>
    <row r="12904">
      <c r="A12904" s="4" t="str">
        <f>IFERROR(__xludf.DUMMYFUNCTION("""COMPUTED_VALUE"""),"cas_hmw")</f>
        <v>cas_hmw</v>
      </c>
      <c r="B12904" s="5">
        <f>IFERROR(__xludf.DUMMYFUNCTION("""COMPUTED_VALUE"""),44715.0)</f>
        <v>44715</v>
      </c>
      <c r="C12904" s="6">
        <f>IFERROR(__xludf.DUMMYFUNCTION("""COMPUTED_VALUE"""),0.7330092592601432)</f>
        <v>0.7330092593</v>
      </c>
      <c r="D12904" s="4">
        <f>IFERROR(__xludf.DUMMYFUNCTION("""COMPUTED_VALUE"""),13.017376)</f>
        <v>13.017376</v>
      </c>
      <c r="E12904" s="4">
        <f>IFERROR(__xludf.DUMMYFUNCTION("""COMPUTED_VALUE"""),80.225026)</f>
        <v>80.225026</v>
      </c>
      <c r="F12904" s="4">
        <f>IFERROR(__xludf.DUMMYFUNCTION("""COMPUTED_VALUE"""),2846.0)</f>
        <v>2846</v>
      </c>
      <c r="G12904" s="4">
        <f>IFERROR(__xludf.DUMMYFUNCTION("""COMPUTED_VALUE"""),45.0)</f>
        <v>45</v>
      </c>
      <c r="H12904" s="4"/>
      <c r="I12904" s="4"/>
    </row>
    <row r="12905">
      <c r="A12905" s="4" t="str">
        <f>IFERROR(__xludf.DUMMYFUNCTION("""COMPUTED_VALUE"""),"cas_hmw")</f>
        <v>cas_hmw</v>
      </c>
      <c r="B12905" s="5">
        <f>IFERROR(__xludf.DUMMYFUNCTION("""COMPUTED_VALUE"""),44715.0)</f>
        <v>44715</v>
      </c>
      <c r="C12905" s="6">
        <f>IFERROR(__xludf.DUMMYFUNCTION("""COMPUTED_VALUE"""),0.7330671296294895)</f>
        <v>0.7330671296</v>
      </c>
      <c r="D12905" s="4">
        <f>IFERROR(__xludf.DUMMYFUNCTION("""COMPUTED_VALUE"""),13.017376)</f>
        <v>13.017376</v>
      </c>
      <c r="E12905" s="4">
        <f>IFERROR(__xludf.DUMMYFUNCTION("""COMPUTED_VALUE"""),80.225026)</f>
        <v>80.225026</v>
      </c>
      <c r="F12905" s="4">
        <f>IFERROR(__xludf.DUMMYFUNCTION("""COMPUTED_VALUE"""),2846.0)</f>
        <v>2846</v>
      </c>
      <c r="G12905" s="4">
        <f>IFERROR(__xludf.DUMMYFUNCTION("""COMPUTED_VALUE"""),45.0)</f>
        <v>45</v>
      </c>
      <c r="H12905" s="4"/>
      <c r="I12905" s="4"/>
    </row>
    <row r="12906">
      <c r="A12906" s="4" t="str">
        <f>IFERROR(__xludf.DUMMYFUNCTION("""COMPUTED_VALUE"""),"cas_hmw")</f>
        <v>cas_hmw</v>
      </c>
      <c r="B12906" s="5">
        <f>IFERROR(__xludf.DUMMYFUNCTION("""COMPUTED_VALUE"""),44715.0)</f>
        <v>44715</v>
      </c>
      <c r="C12906" s="6">
        <f>IFERROR(__xludf.DUMMYFUNCTION("""COMPUTED_VALUE"""),0.7331018518525525)</f>
        <v>0.7331018519</v>
      </c>
      <c r="D12906" s="4">
        <f>IFERROR(__xludf.DUMMYFUNCTION("""COMPUTED_VALUE"""),13.018391)</f>
        <v>13.018391</v>
      </c>
      <c r="E12906" s="4">
        <f>IFERROR(__xludf.DUMMYFUNCTION("""COMPUTED_VALUE"""),80.224606)</f>
        <v>80.224606</v>
      </c>
      <c r="F12906" s="4">
        <f>IFERROR(__xludf.DUMMYFUNCTION("""COMPUTED_VALUE"""),2846.0)</f>
        <v>2846</v>
      </c>
      <c r="G12906" s="4">
        <f>IFERROR(__xludf.DUMMYFUNCTION("""COMPUTED_VALUE"""),32.0)</f>
        <v>32</v>
      </c>
      <c r="H12906" s="4"/>
      <c r="I12906" s="4"/>
    </row>
    <row r="12907">
      <c r="A12907" s="4" t="str">
        <f>IFERROR(__xludf.DUMMYFUNCTION("""COMPUTED_VALUE"""),"cas_hmw")</f>
        <v>cas_hmw</v>
      </c>
      <c r="B12907" s="5">
        <f>IFERROR(__xludf.DUMMYFUNCTION("""COMPUTED_VALUE"""),44715.0)</f>
        <v>44715</v>
      </c>
      <c r="C12907" s="6">
        <f>IFERROR(__xludf.DUMMYFUNCTION("""COMPUTED_VALUE"""),0.7337384259262762)</f>
        <v>0.7337384259</v>
      </c>
      <c r="D12907" s="4">
        <f>IFERROR(__xludf.DUMMYFUNCTION("""COMPUTED_VALUE"""),13.019802)</f>
        <v>13.019802</v>
      </c>
      <c r="E12907" s="4">
        <f>IFERROR(__xludf.DUMMYFUNCTION("""COMPUTED_VALUE"""),80.224494)</f>
        <v>80.224494</v>
      </c>
      <c r="F12907" s="4">
        <f>IFERROR(__xludf.DUMMYFUNCTION("""COMPUTED_VALUE"""),2846.0)</f>
        <v>2846</v>
      </c>
      <c r="G12907" s="4">
        <f>IFERROR(__xludf.DUMMYFUNCTION("""COMPUTED_VALUE"""),13.0)</f>
        <v>13</v>
      </c>
      <c r="H12907" s="4"/>
      <c r="I12907" s="4"/>
    </row>
    <row r="12908">
      <c r="A12908" s="4" t="str">
        <f>IFERROR(__xludf.DUMMYFUNCTION("""COMPUTED_VALUE"""),"cas_hmw")</f>
        <v>cas_hmw</v>
      </c>
      <c r="B12908" s="5">
        <f>IFERROR(__xludf.DUMMYFUNCTION("""COMPUTED_VALUE"""),44715.0)</f>
        <v>44715</v>
      </c>
      <c r="C12908" s="6">
        <f>IFERROR(__xludf.DUMMYFUNCTION("""COMPUTED_VALUE"""),0.7337499999994179)</f>
        <v>0.73375</v>
      </c>
      <c r="D12908" s="4">
        <f>IFERROR(__xludf.DUMMYFUNCTION("""COMPUTED_VALUE"""),13.019802)</f>
        <v>13.019802</v>
      </c>
      <c r="E12908" s="4">
        <f>IFERROR(__xludf.DUMMYFUNCTION("""COMPUTED_VALUE"""),80.224494)</f>
        <v>80.224494</v>
      </c>
      <c r="F12908" s="4">
        <f>IFERROR(__xludf.DUMMYFUNCTION("""COMPUTED_VALUE"""),2846.0)</f>
        <v>2846</v>
      </c>
      <c r="G12908" s="4">
        <f>IFERROR(__xludf.DUMMYFUNCTION("""COMPUTED_VALUE"""),13.0)</f>
        <v>13</v>
      </c>
      <c r="H12908" s="4"/>
      <c r="I12908" s="4"/>
    </row>
    <row r="12909">
      <c r="A12909" s="4" t="str">
        <f>IFERROR(__xludf.DUMMYFUNCTION("""COMPUTED_VALUE"""),"cas_hmw")</f>
        <v>cas_hmw</v>
      </c>
      <c r="B12909" s="5">
        <f>IFERROR(__xludf.DUMMYFUNCTION("""COMPUTED_VALUE"""),44715.0)</f>
        <v>44715</v>
      </c>
      <c r="C12909" s="6">
        <f>IFERROR(__xludf.DUMMYFUNCTION("""COMPUTED_VALUE"""),0.734097222222772)</f>
        <v>0.7340972222</v>
      </c>
      <c r="D12909" s="4">
        <f>IFERROR(__xludf.DUMMYFUNCTION("""COMPUTED_VALUE"""),13.021258)</f>
        <v>13.021258</v>
      </c>
      <c r="E12909" s="4">
        <f>IFERROR(__xludf.DUMMYFUNCTION("""COMPUTED_VALUE"""),80.225609)</f>
        <v>80.225609</v>
      </c>
      <c r="F12909" s="4">
        <f>IFERROR(__xludf.DUMMYFUNCTION("""COMPUTED_VALUE"""),2846.0)</f>
        <v>2846</v>
      </c>
      <c r="G12909" s="4">
        <f>IFERROR(__xludf.DUMMYFUNCTION("""COMPUTED_VALUE"""),11.0)</f>
        <v>11</v>
      </c>
      <c r="H12909" s="4"/>
      <c r="I12909" s="4"/>
    </row>
    <row r="12910">
      <c r="A12910" s="4" t="str">
        <f>IFERROR(__xludf.DUMMYFUNCTION("""COMPUTED_VALUE"""),"cas_hmw")</f>
        <v>cas_hmw</v>
      </c>
      <c r="B12910" s="5">
        <f>IFERROR(__xludf.DUMMYFUNCTION("""COMPUTED_VALUE"""),44715.0)</f>
        <v>44715</v>
      </c>
      <c r="C12910" s="6">
        <f>IFERROR(__xludf.DUMMYFUNCTION("""COMPUTED_VALUE"""),0.7341550925921183)</f>
        <v>0.7341550926</v>
      </c>
      <c r="D12910" s="4">
        <f>IFERROR(__xludf.DUMMYFUNCTION("""COMPUTED_VALUE"""),13.021739)</f>
        <v>13.021739</v>
      </c>
      <c r="E12910" s="4">
        <f>IFERROR(__xludf.DUMMYFUNCTION("""COMPUTED_VALUE"""),80.225962)</f>
        <v>80.225962</v>
      </c>
      <c r="F12910" s="4">
        <f>IFERROR(__xludf.DUMMYFUNCTION("""COMPUTED_VALUE"""),2846.0)</f>
        <v>2846</v>
      </c>
      <c r="G12910" s="4">
        <f>IFERROR(__xludf.DUMMYFUNCTION("""COMPUTED_VALUE"""),35.0)</f>
        <v>35</v>
      </c>
      <c r="H12910" s="4"/>
      <c r="I12910" s="4"/>
    </row>
    <row r="12911">
      <c r="A12911" s="4" t="str">
        <f>IFERROR(__xludf.DUMMYFUNCTION("""COMPUTED_VALUE"""),"cas_hmw")</f>
        <v>cas_hmw</v>
      </c>
      <c r="B12911" s="5">
        <f>IFERROR(__xludf.DUMMYFUNCTION("""COMPUTED_VALUE"""),44715.0)</f>
        <v>44715</v>
      </c>
      <c r="C12911" s="6">
        <f>IFERROR(__xludf.DUMMYFUNCTION("""COMPUTED_VALUE"""),0.7353356481471565)</f>
        <v>0.7353356481</v>
      </c>
      <c r="D12911" s="4">
        <f>IFERROR(__xludf.DUMMYFUNCTION("""COMPUTED_VALUE"""),13.025281)</f>
        <v>13.025281</v>
      </c>
      <c r="E12911" s="4">
        <f>IFERROR(__xludf.DUMMYFUNCTION("""COMPUTED_VALUE"""),80.229679)</f>
        <v>80.229679</v>
      </c>
      <c r="F12911" s="4">
        <f>IFERROR(__xludf.DUMMYFUNCTION("""COMPUTED_VALUE"""),2846.0)</f>
        <v>2846</v>
      </c>
      <c r="G12911" s="4">
        <f>IFERROR(__xludf.DUMMYFUNCTION("""COMPUTED_VALUE"""),36.0)</f>
        <v>36</v>
      </c>
      <c r="H12911" s="4"/>
      <c r="I12911" s="4"/>
    </row>
    <row r="12912">
      <c r="A12912" s="4" t="str">
        <f>IFERROR(__xludf.DUMMYFUNCTION("""COMPUTED_VALUE"""),"cas_hmw")</f>
        <v>cas_hmw</v>
      </c>
      <c r="B12912" s="5">
        <f>IFERROR(__xludf.DUMMYFUNCTION("""COMPUTED_VALUE"""),44715.0)</f>
        <v>44715</v>
      </c>
      <c r="C12912" s="6">
        <f>IFERROR(__xludf.DUMMYFUNCTION("""COMPUTED_VALUE"""),0.7363773148135806)</f>
        <v>0.7363773148</v>
      </c>
      <c r="D12912" s="4">
        <f>IFERROR(__xludf.DUMMYFUNCTION("""COMPUTED_VALUE"""),12.691049)</f>
        <v>12.691049</v>
      </c>
      <c r="E12912" s="4">
        <f>IFERROR(__xludf.DUMMYFUNCTION("""COMPUTED_VALUE"""),79.981031)</f>
        <v>79.981031</v>
      </c>
      <c r="F12912" s="4">
        <f>IFERROR(__xludf.DUMMYFUNCTION("""COMPUTED_VALUE"""),805.0)</f>
        <v>805</v>
      </c>
      <c r="G12912" s="4">
        <f>IFERROR(__xludf.DUMMYFUNCTION("""COMPUTED_VALUE"""),18.0)</f>
        <v>18</v>
      </c>
      <c r="H12912" s="4"/>
      <c r="I12912" s="4"/>
    </row>
    <row r="12913">
      <c r="A12913" s="4" t="str">
        <f>IFERROR(__xludf.DUMMYFUNCTION("""COMPUTED_VALUE"""),"cas_hmw")</f>
        <v>cas_hmw</v>
      </c>
      <c r="B12913" s="5">
        <f>IFERROR(__xludf.DUMMYFUNCTION("""COMPUTED_VALUE"""),44715.0)</f>
        <v>44715</v>
      </c>
      <c r="C12913" s="6">
        <f>IFERROR(__xludf.DUMMYFUNCTION("""COMPUTED_VALUE"""),0.7374537037030677)</f>
        <v>0.7374537037</v>
      </c>
      <c r="D12913" s="4">
        <f>IFERROR(__xludf.DUMMYFUNCTION("""COMPUTED_VALUE"""),13.027531)</f>
        <v>13.027531</v>
      </c>
      <c r="E12913" s="4">
        <f>IFERROR(__xludf.DUMMYFUNCTION("""COMPUTED_VALUE"""),80.234496)</f>
        <v>80.234496</v>
      </c>
      <c r="F12913" s="4">
        <f>IFERROR(__xludf.DUMMYFUNCTION("""COMPUTED_VALUE"""),2846.0)</f>
        <v>2846</v>
      </c>
      <c r="G12913" s="4">
        <f>IFERROR(__xludf.DUMMYFUNCTION("""COMPUTED_VALUE"""),43.0)</f>
        <v>43</v>
      </c>
      <c r="H12913" s="4"/>
      <c r="I12913" s="4"/>
    </row>
    <row r="12914">
      <c r="A12914" s="4" t="str">
        <f>IFERROR(__xludf.DUMMYFUNCTION("""COMPUTED_VALUE"""),"cas_hmw")</f>
        <v>cas_hmw</v>
      </c>
      <c r="B12914" s="5">
        <f>IFERROR(__xludf.DUMMYFUNCTION("""COMPUTED_VALUE"""),44715.0)</f>
        <v>44715</v>
      </c>
      <c r="C12914" s="6">
        <f>IFERROR(__xludf.DUMMYFUNCTION("""COMPUTED_VALUE"""),0.7376041666684614)</f>
        <v>0.7376041667</v>
      </c>
      <c r="D12914" s="4">
        <f>IFERROR(__xludf.DUMMYFUNCTION("""COMPUTED_VALUE"""),13.028675)</f>
        <v>13.028675</v>
      </c>
      <c r="E12914" s="4">
        <f>IFERROR(__xludf.DUMMYFUNCTION("""COMPUTED_VALUE"""),80.236151)</f>
        <v>80.236151</v>
      </c>
      <c r="F12914" s="4">
        <f>IFERROR(__xludf.DUMMYFUNCTION("""COMPUTED_VALUE"""),2846.0)</f>
        <v>2846</v>
      </c>
      <c r="G12914" s="4">
        <f>IFERROR(__xludf.DUMMYFUNCTION("""COMPUTED_VALUE"""),38.0)</f>
        <v>38</v>
      </c>
      <c r="H12914" s="4"/>
      <c r="I12914" s="4"/>
    </row>
    <row r="12915">
      <c r="A12915" s="4" t="str">
        <f>IFERROR(__xludf.DUMMYFUNCTION("""COMPUTED_VALUE"""),"cas_hmw")</f>
        <v>cas_hmw</v>
      </c>
      <c r="B12915" s="5">
        <f>IFERROR(__xludf.DUMMYFUNCTION("""COMPUTED_VALUE"""),44715.0)</f>
        <v>44715</v>
      </c>
      <c r="C12915" s="6">
        <f>IFERROR(__xludf.DUMMYFUNCTION("""COMPUTED_VALUE"""),0.7395486111126957)</f>
        <v>0.7395486111</v>
      </c>
      <c r="D12915" s="4">
        <f>IFERROR(__xludf.DUMMYFUNCTION("""COMPUTED_VALUE"""),13.031551)</f>
        <v>13.031551</v>
      </c>
      <c r="E12915" s="4">
        <f>IFERROR(__xludf.DUMMYFUNCTION("""COMPUTED_VALUE"""),80.240594)</f>
        <v>80.240594</v>
      </c>
      <c r="F12915" s="4">
        <f>IFERROR(__xludf.DUMMYFUNCTION("""COMPUTED_VALUE"""),2846.0)</f>
        <v>2846</v>
      </c>
      <c r="G12915" s="4">
        <f>IFERROR(__xludf.DUMMYFUNCTION("""COMPUTED_VALUE"""),41.0)</f>
        <v>41</v>
      </c>
      <c r="H12915" s="4"/>
      <c r="I12915" s="4"/>
    </row>
    <row r="12916">
      <c r="A12916" s="4" t="str">
        <f>IFERROR(__xludf.DUMMYFUNCTION("""COMPUTED_VALUE"""),"cas_hmw")</f>
        <v>cas_hmw</v>
      </c>
      <c r="B12916" s="5">
        <f>IFERROR(__xludf.DUMMYFUNCTION("""COMPUTED_VALUE"""),44715.0)</f>
        <v>44715</v>
      </c>
      <c r="C12916" s="6">
        <f>IFERROR(__xludf.DUMMYFUNCTION("""COMPUTED_VALUE"""),0.7408333333332848)</f>
        <v>0.7408333333</v>
      </c>
      <c r="D12916" s="4">
        <f>IFERROR(__xludf.DUMMYFUNCTION("""COMPUTED_VALUE"""),13.036955)</f>
        <v>13.036955</v>
      </c>
      <c r="E12916" s="4">
        <f>IFERROR(__xludf.DUMMYFUNCTION("""COMPUTED_VALUE"""),80.246398)</f>
        <v>80.246398</v>
      </c>
      <c r="F12916" s="4">
        <f>IFERROR(__xludf.DUMMYFUNCTION("""COMPUTED_VALUE"""),2846.0)</f>
        <v>2846</v>
      </c>
      <c r="G12916" s="4">
        <f>IFERROR(__xludf.DUMMYFUNCTION("""COMPUTED_VALUE"""),40.0)</f>
        <v>40</v>
      </c>
      <c r="H12916" s="4"/>
      <c r="I12916" s="4"/>
    </row>
    <row r="12917">
      <c r="A12917" s="4" t="str">
        <f>IFERROR(__xludf.DUMMYFUNCTION("""COMPUTED_VALUE"""),"cas_hmw")</f>
        <v>cas_hmw</v>
      </c>
      <c r="B12917" s="5">
        <f>IFERROR(__xludf.DUMMYFUNCTION("""COMPUTED_VALUE"""),44715.0)</f>
        <v>44715</v>
      </c>
      <c r="C12917" s="6">
        <f>IFERROR(__xludf.DUMMYFUNCTION("""COMPUTED_VALUE"""),0.7412847222221899)</f>
        <v>0.7412847222</v>
      </c>
      <c r="D12917" s="4">
        <f>IFERROR(__xludf.DUMMYFUNCTION("""COMPUTED_VALUE"""),12.671561)</f>
        <v>12.671561</v>
      </c>
      <c r="E12917" s="4">
        <f>IFERROR(__xludf.DUMMYFUNCTION("""COMPUTED_VALUE"""),79.976124)</f>
        <v>79.976124</v>
      </c>
      <c r="F12917" s="4">
        <f>IFERROR(__xludf.DUMMYFUNCTION("""COMPUTED_VALUE"""),805.0)</f>
        <v>805</v>
      </c>
      <c r="G12917" s="4">
        <f>IFERROR(__xludf.DUMMYFUNCTION("""COMPUTED_VALUE"""),47.0)</f>
        <v>47</v>
      </c>
      <c r="H12917" s="4"/>
      <c r="I12917" s="4"/>
    </row>
    <row r="12918">
      <c r="A12918" s="4" t="str">
        <f>IFERROR(__xludf.DUMMYFUNCTION("""COMPUTED_VALUE"""),"cas_hmw")</f>
        <v>cas_hmw</v>
      </c>
      <c r="B12918" s="5">
        <f>IFERROR(__xludf.DUMMYFUNCTION("""COMPUTED_VALUE"""),44715.0)</f>
        <v>44715</v>
      </c>
      <c r="C12918" s="6">
        <f>IFERROR(__xludf.DUMMYFUNCTION("""COMPUTED_VALUE"""),0.7421296296306537)</f>
        <v>0.7421296296</v>
      </c>
      <c r="D12918" s="4">
        <f>IFERROR(__xludf.DUMMYFUNCTION("""COMPUTED_VALUE"""),12.66571)</f>
        <v>12.66571</v>
      </c>
      <c r="E12918" s="4">
        <f>IFERROR(__xludf.DUMMYFUNCTION("""COMPUTED_VALUE"""),79.969948)</f>
        <v>79.969948</v>
      </c>
      <c r="F12918" s="4">
        <f>IFERROR(__xludf.DUMMYFUNCTION("""COMPUTED_VALUE"""),805.0)</f>
        <v>805</v>
      </c>
      <c r="G12918" s="4">
        <f>IFERROR(__xludf.DUMMYFUNCTION("""COMPUTED_VALUE"""),17.0)</f>
        <v>17</v>
      </c>
      <c r="H12918" s="4"/>
      <c r="I12918" s="4"/>
    </row>
    <row r="12919">
      <c r="A12919" s="4" t="str">
        <f>IFERROR(__xludf.DUMMYFUNCTION("""COMPUTED_VALUE"""),"cas_hmw")</f>
        <v>cas_hmw</v>
      </c>
      <c r="B12919" s="5">
        <f>IFERROR(__xludf.DUMMYFUNCTION("""COMPUTED_VALUE"""),44715.0)</f>
        <v>44715</v>
      </c>
      <c r="C12919" s="6">
        <f>IFERROR(__xludf.DUMMYFUNCTION("""COMPUTED_VALUE"""),0.7427893518506608)</f>
        <v>0.7427893519</v>
      </c>
      <c r="D12919" s="4">
        <f>IFERROR(__xludf.DUMMYFUNCTION("""COMPUTED_VALUE"""),12.663502)</f>
        <v>12.663502</v>
      </c>
      <c r="E12919" s="4">
        <f>IFERROR(__xludf.DUMMYFUNCTION("""COMPUTED_VALUE"""),79.968222)</f>
        <v>79.968222</v>
      </c>
      <c r="F12919" s="4">
        <f>IFERROR(__xludf.DUMMYFUNCTION("""COMPUTED_VALUE"""),805.0)</f>
        <v>805</v>
      </c>
      <c r="G12919" s="4">
        <f>IFERROR(__xludf.DUMMYFUNCTION("""COMPUTED_VALUE"""),43.0)</f>
        <v>43</v>
      </c>
      <c r="H12919" s="4"/>
      <c r="I12919" s="4"/>
    </row>
    <row r="12920">
      <c r="A12920" s="4" t="str">
        <f>IFERROR(__xludf.DUMMYFUNCTION("""COMPUTED_VALUE"""),"cas_hmw")</f>
        <v>cas_hmw</v>
      </c>
      <c r="B12920" s="5">
        <f>IFERROR(__xludf.DUMMYFUNCTION("""COMPUTED_VALUE"""),44715.0)</f>
        <v>44715</v>
      </c>
      <c r="C12920" s="6">
        <f>IFERROR(__xludf.DUMMYFUNCTION("""COMPUTED_VALUE"""),0.7430439814816054)</f>
        <v>0.7430439815</v>
      </c>
      <c r="D12920" s="4">
        <f>IFERROR(__xludf.DUMMYFUNCTION("""COMPUTED_VALUE"""),12.662032)</f>
        <v>12.662032</v>
      </c>
      <c r="E12920" s="4">
        <f>IFERROR(__xludf.DUMMYFUNCTION("""COMPUTED_VALUE"""),79.967304)</f>
        <v>79.967304</v>
      </c>
      <c r="F12920" s="4">
        <f>IFERROR(__xludf.DUMMYFUNCTION("""COMPUTED_VALUE"""),805.0)</f>
        <v>805</v>
      </c>
      <c r="G12920" s="4">
        <f>IFERROR(__xludf.DUMMYFUNCTION("""COMPUTED_VALUE"""),30.0)</f>
        <v>30</v>
      </c>
      <c r="H12920" s="4"/>
      <c r="I12920" s="4"/>
    </row>
    <row r="12921">
      <c r="A12921" s="4" t="str">
        <f>IFERROR(__xludf.DUMMYFUNCTION("""COMPUTED_VALUE"""),"cas_hmw")</f>
        <v>cas_hmw</v>
      </c>
      <c r="B12921" s="5">
        <f>IFERROR(__xludf.DUMMYFUNCTION("""COMPUTED_VALUE"""),44715.0)</f>
        <v>44715</v>
      </c>
      <c r="C12921" s="6">
        <f>IFERROR(__xludf.DUMMYFUNCTION("""COMPUTED_VALUE"""),0.7444328703713836)</f>
        <v>0.7444328704</v>
      </c>
      <c r="D12921" s="4">
        <f>IFERROR(__xludf.DUMMYFUNCTION("""COMPUTED_VALUE"""),12.656576)</f>
        <v>12.656576</v>
      </c>
      <c r="E12921" s="4">
        <f>IFERROR(__xludf.DUMMYFUNCTION("""COMPUTED_VALUE"""),79.955503)</f>
        <v>79.955503</v>
      </c>
      <c r="F12921" s="4">
        <f>IFERROR(__xludf.DUMMYFUNCTION("""COMPUTED_VALUE"""),805.0)</f>
        <v>805</v>
      </c>
      <c r="G12921" s="4">
        <f>IFERROR(__xludf.DUMMYFUNCTION("""COMPUTED_VALUE"""),62.0)</f>
        <v>62</v>
      </c>
      <c r="H12921" s="4"/>
      <c r="I12921" s="4"/>
    </row>
    <row r="12922">
      <c r="A12922" s="4" t="str">
        <f>IFERROR(__xludf.DUMMYFUNCTION("""COMPUTED_VALUE"""),"cas_hmw")</f>
        <v>cas_hmw</v>
      </c>
      <c r="B12922" s="5">
        <f>IFERROR(__xludf.DUMMYFUNCTION("""COMPUTED_VALUE"""),44715.0)</f>
        <v>44715</v>
      </c>
      <c r="C12922" s="6">
        <f>IFERROR(__xludf.DUMMYFUNCTION("""COMPUTED_VALUE"""),0.7457754629613191)</f>
        <v>0.745775463</v>
      </c>
      <c r="D12922" s="4">
        <f>IFERROR(__xludf.DUMMYFUNCTION("""COMPUTED_VALUE"""),12.657946)</f>
        <v>12.657946</v>
      </c>
      <c r="E12922" s="4">
        <f>IFERROR(__xludf.DUMMYFUNCTION("""COMPUTED_VALUE"""),79.94457)</f>
        <v>79.94457</v>
      </c>
      <c r="F12922" s="4">
        <f>IFERROR(__xludf.DUMMYFUNCTION("""COMPUTED_VALUE"""),805.0)</f>
        <v>805</v>
      </c>
      <c r="G12922" s="4">
        <f>IFERROR(__xludf.DUMMYFUNCTION("""COMPUTED_VALUE"""),43.0)</f>
        <v>43</v>
      </c>
      <c r="H12922" s="4"/>
      <c r="I12922" s="4"/>
    </row>
    <row r="12923">
      <c r="A12923" s="4" t="str">
        <f>IFERROR(__xludf.DUMMYFUNCTION("""COMPUTED_VALUE"""),"cas_hmw")</f>
        <v>cas_hmw</v>
      </c>
      <c r="B12923" s="5">
        <f>IFERROR(__xludf.DUMMYFUNCTION("""COMPUTED_VALUE"""),44715.0)</f>
        <v>44715</v>
      </c>
      <c r="C12923" s="6">
        <f>IFERROR(__xludf.DUMMYFUNCTION("""COMPUTED_VALUE"""),0.7473611111126957)</f>
        <v>0.7473611111</v>
      </c>
      <c r="D12923" s="4">
        <f>IFERROR(__xludf.DUMMYFUNCTION("""COMPUTED_VALUE"""),13.04849)</f>
        <v>13.04849</v>
      </c>
      <c r="E12923" s="4">
        <f>IFERROR(__xludf.DUMMYFUNCTION("""COMPUTED_VALUE"""),80.249506)</f>
        <v>80.249506</v>
      </c>
      <c r="F12923" s="4">
        <f>IFERROR(__xludf.DUMMYFUNCTION("""COMPUTED_VALUE"""),2846.0)</f>
        <v>2846</v>
      </c>
      <c r="G12923" s="4">
        <f>IFERROR(__xludf.DUMMYFUNCTION("""COMPUTED_VALUE"""),31.0)</f>
        <v>31</v>
      </c>
      <c r="H12923" s="4"/>
      <c r="I12923" s="4"/>
    </row>
    <row r="12924">
      <c r="A12924" s="4" t="str">
        <f>IFERROR(__xludf.DUMMYFUNCTION("""COMPUTED_VALUE"""),"cas_hmw")</f>
        <v>cas_hmw</v>
      </c>
      <c r="B12924" s="5">
        <f>IFERROR(__xludf.DUMMYFUNCTION("""COMPUTED_VALUE"""),44715.0)</f>
        <v>44715</v>
      </c>
      <c r="C12924" s="6">
        <f>IFERROR(__xludf.DUMMYFUNCTION("""COMPUTED_VALUE"""),0.7476504629630654)</f>
        <v>0.747650463</v>
      </c>
      <c r="D12924" s="4">
        <f>IFERROR(__xludf.DUMMYFUNCTION("""COMPUTED_VALUE"""),13.050153)</f>
        <v>13.050153</v>
      </c>
      <c r="E12924" s="4">
        <f>IFERROR(__xludf.DUMMYFUNCTION("""COMPUTED_VALUE"""),80.249816)</f>
        <v>80.249816</v>
      </c>
      <c r="F12924" s="4">
        <f>IFERROR(__xludf.DUMMYFUNCTION("""COMPUTED_VALUE"""),2846.0)</f>
        <v>2846</v>
      </c>
      <c r="G12924" s="4">
        <f>IFERROR(__xludf.DUMMYFUNCTION("""COMPUTED_VALUE"""),37.0)</f>
        <v>37</v>
      </c>
      <c r="H12924" s="4"/>
      <c r="I12924" s="4"/>
    </row>
    <row r="12925">
      <c r="A12925" s="4" t="str">
        <f>IFERROR(__xludf.DUMMYFUNCTION("""COMPUTED_VALUE"""),"cas_hmw")</f>
        <v>cas_hmw</v>
      </c>
      <c r="B12925" s="5">
        <f>IFERROR(__xludf.DUMMYFUNCTION("""COMPUTED_VALUE"""),44715.0)</f>
        <v>44715</v>
      </c>
      <c r="C12925" s="6">
        <f>IFERROR(__xludf.DUMMYFUNCTION("""COMPUTED_VALUE"""),0.7477893518516794)</f>
        <v>0.7477893519</v>
      </c>
      <c r="D12925" s="4">
        <f>IFERROR(__xludf.DUMMYFUNCTION("""COMPUTED_VALUE"""),13.050153)</f>
        <v>13.050153</v>
      </c>
      <c r="E12925" s="4">
        <f>IFERROR(__xludf.DUMMYFUNCTION("""COMPUTED_VALUE"""),80.249816)</f>
        <v>80.249816</v>
      </c>
      <c r="F12925" s="4">
        <f>IFERROR(__xludf.DUMMYFUNCTION("""COMPUTED_VALUE"""),2846.0)</f>
        <v>2846</v>
      </c>
      <c r="G12925" s="4">
        <f>IFERROR(__xludf.DUMMYFUNCTION("""COMPUTED_VALUE"""),37.0)</f>
        <v>37</v>
      </c>
      <c r="H12925" s="4"/>
      <c r="I12925" s="4"/>
    </row>
    <row r="12926">
      <c r="A12926" s="4" t="str">
        <f>IFERROR(__xludf.DUMMYFUNCTION("""COMPUTED_VALUE"""),"cas_hmw")</f>
        <v>cas_hmw</v>
      </c>
      <c r="B12926" s="5">
        <f>IFERROR(__xludf.DUMMYFUNCTION("""COMPUTED_VALUE"""),44715.0)</f>
        <v>44715</v>
      </c>
      <c r="C12926" s="6">
        <f>IFERROR(__xludf.DUMMYFUNCTION("""COMPUTED_VALUE"""),0.7479513888902147)</f>
        <v>0.7479513889</v>
      </c>
      <c r="D12926" s="4">
        <f>IFERROR(__xludf.DUMMYFUNCTION("""COMPUTED_VALUE"""),13.052511)</f>
        <v>13.052511</v>
      </c>
      <c r="E12926" s="4">
        <f>IFERROR(__xludf.DUMMYFUNCTION("""COMPUTED_VALUE"""),80.251043)</f>
        <v>80.251043</v>
      </c>
      <c r="F12926" s="4">
        <f>IFERROR(__xludf.DUMMYFUNCTION("""COMPUTED_VALUE"""),2846.0)</f>
        <v>2846</v>
      </c>
      <c r="G12926" s="4">
        <f>IFERROR(__xludf.DUMMYFUNCTION("""COMPUTED_VALUE"""),31.0)</f>
        <v>31</v>
      </c>
      <c r="H12926" s="4"/>
      <c r="I12926" s="4"/>
    </row>
    <row r="12927">
      <c r="A12927" s="4" t="str">
        <f>IFERROR(__xludf.DUMMYFUNCTION("""COMPUTED_VALUE"""),"cas_hmw")</f>
        <v>cas_hmw</v>
      </c>
      <c r="B12927" s="5">
        <f>IFERROR(__xludf.DUMMYFUNCTION("""COMPUTED_VALUE"""),44715.0)</f>
        <v>44715</v>
      </c>
      <c r="C12927" s="6">
        <f>IFERROR(__xludf.DUMMYFUNCTION("""COMPUTED_VALUE"""),0.7490277777760639)</f>
        <v>0.7490277778</v>
      </c>
      <c r="D12927" s="4">
        <f>IFERROR(__xludf.DUMMYFUNCTION("""COMPUTED_VALUE"""),13.055388)</f>
        <v>13.055388</v>
      </c>
      <c r="E12927" s="4">
        <f>IFERROR(__xludf.DUMMYFUNCTION("""COMPUTED_VALUE"""),80.254952)</f>
        <v>80.254952</v>
      </c>
      <c r="F12927" s="4">
        <f>IFERROR(__xludf.DUMMYFUNCTION("""COMPUTED_VALUE"""),2846.0)</f>
        <v>2846</v>
      </c>
      <c r="G12927" s="4">
        <f>IFERROR(__xludf.DUMMYFUNCTION("""COMPUTED_VALUE"""),24.0)</f>
        <v>24</v>
      </c>
      <c r="H12927" s="4"/>
      <c r="I12927" s="4"/>
    </row>
    <row r="12928">
      <c r="A12928" s="4" t="str">
        <f>IFERROR(__xludf.DUMMYFUNCTION("""COMPUTED_VALUE"""),"cas_hmw")</f>
        <v>cas_hmw</v>
      </c>
      <c r="B12928" s="5">
        <f>IFERROR(__xludf.DUMMYFUNCTION("""COMPUTED_VALUE"""),44715.0)</f>
        <v>44715</v>
      </c>
      <c r="C12928" s="6">
        <f>IFERROR(__xludf.DUMMYFUNCTION("""COMPUTED_VALUE"""),0.7499884259268583)</f>
        <v>0.7499884259</v>
      </c>
      <c r="D12928" s="4">
        <f>IFERROR(__xludf.DUMMYFUNCTION("""COMPUTED_VALUE"""),13.058295)</f>
        <v>13.058295</v>
      </c>
      <c r="E12928" s="4">
        <f>IFERROR(__xludf.DUMMYFUNCTION("""COMPUTED_VALUE"""),80.258166)</f>
        <v>80.258166</v>
      </c>
      <c r="F12928" s="4">
        <f>IFERROR(__xludf.DUMMYFUNCTION("""COMPUTED_VALUE"""),2846.0)</f>
        <v>2846</v>
      </c>
      <c r="G12928" s="4">
        <f>IFERROR(__xludf.DUMMYFUNCTION("""COMPUTED_VALUE"""),25.0)</f>
        <v>25</v>
      </c>
      <c r="H12928" s="4"/>
      <c r="I12928" s="4"/>
    </row>
    <row r="12929">
      <c r="A12929" s="4" t="str">
        <f>IFERROR(__xludf.DUMMYFUNCTION("""COMPUTED_VALUE"""),"cas_hmw")</f>
        <v>cas_hmw</v>
      </c>
      <c r="B12929" s="5">
        <f>IFERROR(__xludf.DUMMYFUNCTION("""COMPUTED_VALUE"""),44715.0)</f>
        <v>44715</v>
      </c>
      <c r="C12929" s="6">
        <f>IFERROR(__xludf.DUMMYFUNCTION("""COMPUTED_VALUE"""),0.75)</f>
        <v>0.75</v>
      </c>
      <c r="D12929" s="4">
        <f>IFERROR(__xludf.DUMMYFUNCTION("""COMPUTED_VALUE"""),13.058295)</f>
        <v>13.058295</v>
      </c>
      <c r="E12929" s="4">
        <f>IFERROR(__xludf.DUMMYFUNCTION("""COMPUTED_VALUE"""),80.258166)</f>
        <v>80.258166</v>
      </c>
      <c r="F12929" s="4">
        <f>IFERROR(__xludf.DUMMYFUNCTION("""COMPUTED_VALUE"""),2846.0)</f>
        <v>2846</v>
      </c>
      <c r="G12929" s="4">
        <f>IFERROR(__xludf.DUMMYFUNCTION("""COMPUTED_VALUE"""),25.0)</f>
        <v>25</v>
      </c>
      <c r="H12929" s="4"/>
      <c r="I12929" s="4"/>
    </row>
    <row r="12930">
      <c r="A12930" s="4" t="str">
        <f>IFERROR(__xludf.DUMMYFUNCTION("""COMPUTED_VALUE"""),"cas_hmw")</f>
        <v>cas_hmw</v>
      </c>
      <c r="B12930" s="5">
        <f>IFERROR(__xludf.DUMMYFUNCTION("""COMPUTED_VALUE"""),44715.0)</f>
        <v>44715</v>
      </c>
      <c r="C12930" s="6">
        <f>IFERROR(__xludf.DUMMYFUNCTION("""COMPUTED_VALUE"""),0.7501273148154723)</f>
        <v>0.7501273148</v>
      </c>
      <c r="D12930" s="4">
        <f>IFERROR(__xludf.DUMMYFUNCTION("""COMPUTED_VALUE"""),12.610794)</f>
        <v>12.610794</v>
      </c>
      <c r="E12930" s="4">
        <f>IFERROR(__xludf.DUMMYFUNCTION("""COMPUTED_VALUE"""),79.923158)</f>
        <v>79.923158</v>
      </c>
      <c r="F12930" s="4">
        <f>IFERROR(__xludf.DUMMYFUNCTION("""COMPUTED_VALUE"""),805.0)</f>
        <v>805</v>
      </c>
      <c r="G12930" s="4">
        <f>IFERROR(__xludf.DUMMYFUNCTION("""COMPUTED_VALUE"""),59.0)</f>
        <v>59</v>
      </c>
      <c r="H12930" s="4"/>
      <c r="I12930" s="4"/>
    </row>
    <row r="12931">
      <c r="A12931" s="4" t="str">
        <f>IFERROR(__xludf.DUMMYFUNCTION("""COMPUTED_VALUE"""),"cas_hmw")</f>
        <v>cas_hmw</v>
      </c>
      <c r="B12931" s="5">
        <f>IFERROR(__xludf.DUMMYFUNCTION("""COMPUTED_VALUE"""),44715.0)</f>
        <v>44715</v>
      </c>
      <c r="C12931" s="6">
        <f>IFERROR(__xludf.DUMMYFUNCTION("""COMPUTED_VALUE"""),0.7531828703686188)</f>
        <v>0.7531828704</v>
      </c>
      <c r="D12931" s="4">
        <f>IFERROR(__xludf.DUMMYFUNCTION("""COMPUTED_VALUE"""),13.062082)</f>
        <v>13.062082</v>
      </c>
      <c r="E12931" s="4">
        <f>IFERROR(__xludf.DUMMYFUNCTION("""COMPUTED_VALUE"""),80.262747)</f>
        <v>80.262747</v>
      </c>
      <c r="F12931" s="4">
        <f>IFERROR(__xludf.DUMMYFUNCTION("""COMPUTED_VALUE"""),2846.0)</f>
        <v>2846</v>
      </c>
      <c r="G12931" s="4">
        <f>IFERROR(__xludf.DUMMYFUNCTION("""COMPUTED_VALUE"""),15.0)</f>
        <v>15</v>
      </c>
      <c r="H12931" s="4"/>
      <c r="I12931" s="4"/>
    </row>
    <row r="12932">
      <c r="A12932" s="4" t="str">
        <f>IFERROR(__xludf.DUMMYFUNCTION("""COMPUTED_VALUE"""),"cas_hmw")</f>
        <v>cas_hmw</v>
      </c>
      <c r="B12932" s="5">
        <f>IFERROR(__xludf.DUMMYFUNCTION("""COMPUTED_VALUE"""),44715.0)</f>
        <v>44715</v>
      </c>
      <c r="C12932" s="6">
        <f>IFERROR(__xludf.DUMMYFUNCTION("""COMPUTED_VALUE"""),0.7531944444453984)</f>
        <v>0.7531944444</v>
      </c>
      <c r="D12932" s="4">
        <f>IFERROR(__xludf.DUMMYFUNCTION("""COMPUTED_VALUE"""),13.062082)</f>
        <v>13.062082</v>
      </c>
      <c r="E12932" s="4">
        <f>IFERROR(__xludf.DUMMYFUNCTION("""COMPUTED_VALUE"""),80.262747)</f>
        <v>80.262747</v>
      </c>
      <c r="F12932" s="4">
        <f>IFERROR(__xludf.DUMMYFUNCTION("""COMPUTED_VALUE"""),2846.0)</f>
        <v>2846</v>
      </c>
      <c r="G12932" s="4">
        <f>IFERROR(__xludf.DUMMYFUNCTION("""COMPUTED_VALUE"""),15.0)</f>
        <v>15</v>
      </c>
      <c r="H12932" s="4"/>
      <c r="I12932" s="4"/>
    </row>
    <row r="12933">
      <c r="A12933" s="4" t="str">
        <f>IFERROR(__xludf.DUMMYFUNCTION("""COMPUTED_VALUE"""),"cas_hmw")</f>
        <v>cas_hmw</v>
      </c>
      <c r="B12933" s="5">
        <f>IFERROR(__xludf.DUMMYFUNCTION("""COMPUTED_VALUE"""),44715.0)</f>
        <v>44715</v>
      </c>
      <c r="C12933" s="6">
        <f>IFERROR(__xludf.DUMMYFUNCTION("""COMPUTED_VALUE"""),0.7531944444453984)</f>
        <v>0.7531944444</v>
      </c>
      <c r="D12933" s="4">
        <f>IFERROR(__xludf.DUMMYFUNCTION("""COMPUTED_VALUE"""),13.062082)</f>
        <v>13.062082</v>
      </c>
      <c r="E12933" s="4">
        <f>IFERROR(__xludf.DUMMYFUNCTION("""COMPUTED_VALUE"""),80.262747)</f>
        <v>80.262747</v>
      </c>
      <c r="F12933" s="4">
        <f>IFERROR(__xludf.DUMMYFUNCTION("""COMPUTED_VALUE"""),2846.0)</f>
        <v>2846</v>
      </c>
      <c r="G12933" s="4">
        <f>IFERROR(__xludf.DUMMYFUNCTION("""COMPUTED_VALUE"""),15.0)</f>
        <v>15</v>
      </c>
      <c r="H12933" s="4"/>
      <c r="I12933" s="4"/>
    </row>
    <row r="12934">
      <c r="A12934" s="4" t="str">
        <f>IFERROR(__xludf.DUMMYFUNCTION("""COMPUTED_VALUE"""),"cas_hmw")</f>
        <v>cas_hmw</v>
      </c>
      <c r="B12934" s="5">
        <f>IFERROR(__xludf.DUMMYFUNCTION("""COMPUTED_VALUE"""),44715.0)</f>
        <v>44715</v>
      </c>
      <c r="C12934" s="6">
        <f>IFERROR(__xludf.DUMMYFUNCTION("""COMPUTED_VALUE"""),0.7545023148159089)</f>
        <v>0.7545023148</v>
      </c>
      <c r="D12934" s="4">
        <f>IFERROR(__xludf.DUMMYFUNCTION("""COMPUTED_VALUE"""),13.067052)</f>
        <v>13.067052</v>
      </c>
      <c r="E12934" s="4">
        <f>IFERROR(__xludf.DUMMYFUNCTION("""COMPUTED_VALUE"""),80.268587)</f>
        <v>80.268587</v>
      </c>
      <c r="F12934" s="4">
        <f>IFERROR(__xludf.DUMMYFUNCTION("""COMPUTED_VALUE"""),2846.0)</f>
        <v>2846</v>
      </c>
      <c r="G12934" s="4">
        <f>IFERROR(__xludf.DUMMYFUNCTION("""COMPUTED_VALUE"""),27.0)</f>
        <v>27</v>
      </c>
      <c r="H12934" s="4"/>
      <c r="I12934" s="4"/>
    </row>
    <row r="12935">
      <c r="A12935" s="4" t="str">
        <f>IFERROR(__xludf.DUMMYFUNCTION("""COMPUTED_VALUE"""),"cas_hmw")</f>
        <v>cas_hmw</v>
      </c>
      <c r="B12935" s="5">
        <f>IFERROR(__xludf.DUMMYFUNCTION("""COMPUTED_VALUE"""),44715.0)</f>
        <v>44715</v>
      </c>
      <c r="C12935" s="6">
        <f>IFERROR(__xludf.DUMMYFUNCTION("""COMPUTED_VALUE"""),0.75530092592453)</f>
        <v>0.7553009259</v>
      </c>
      <c r="D12935" s="4">
        <f>IFERROR(__xludf.DUMMYFUNCTION("""COMPUTED_VALUE"""),12.549588)</f>
        <v>12.549588</v>
      </c>
      <c r="E12935" s="4">
        <f>IFERROR(__xludf.DUMMYFUNCTION("""COMPUTED_VALUE"""),79.906133)</f>
        <v>79.906133</v>
      </c>
      <c r="F12935" s="4">
        <f>IFERROR(__xludf.DUMMYFUNCTION("""COMPUTED_VALUE"""),805.0)</f>
        <v>805</v>
      </c>
      <c r="G12935" s="4">
        <f>IFERROR(__xludf.DUMMYFUNCTION("""COMPUTED_VALUE"""),58.0)</f>
        <v>58</v>
      </c>
      <c r="H12935" s="4"/>
      <c r="I12935" s="4"/>
    </row>
    <row r="12936">
      <c r="A12936" s="4" t="str">
        <f>IFERROR(__xludf.DUMMYFUNCTION("""COMPUTED_VALUE"""),"cas_hmw")</f>
        <v>cas_hmw</v>
      </c>
      <c r="B12936" s="5">
        <f>IFERROR(__xludf.DUMMYFUNCTION("""COMPUTED_VALUE"""),44715.0)</f>
        <v>44715</v>
      </c>
      <c r="C12936" s="6">
        <f>IFERROR(__xludf.DUMMYFUNCTION("""COMPUTED_VALUE"""),0.7556944444440887)</f>
        <v>0.7556944444</v>
      </c>
      <c r="D12936" s="4">
        <f>IFERROR(__xludf.DUMMYFUNCTION("""COMPUTED_VALUE"""),13.067585)</f>
        <v>13.067585</v>
      </c>
      <c r="E12936" s="4">
        <f>IFERROR(__xludf.DUMMYFUNCTION("""COMPUTED_VALUE"""),80.272744)</f>
        <v>80.272744</v>
      </c>
      <c r="F12936" s="4">
        <f>IFERROR(__xludf.DUMMYFUNCTION("""COMPUTED_VALUE"""),2846.0)</f>
        <v>2846</v>
      </c>
      <c r="G12936" s="4">
        <f>IFERROR(__xludf.DUMMYFUNCTION("""COMPUTED_VALUE"""),38.0)</f>
        <v>38</v>
      </c>
      <c r="H12936" s="4"/>
      <c r="I12936" s="4"/>
    </row>
    <row r="12937">
      <c r="A12937" s="4" t="str">
        <f>IFERROR(__xludf.DUMMYFUNCTION("""COMPUTED_VALUE"""),"cas_hmw")</f>
        <v>cas_hmw</v>
      </c>
      <c r="B12937" s="5">
        <f>IFERROR(__xludf.DUMMYFUNCTION("""COMPUTED_VALUE"""),44715.0)</f>
        <v>44715</v>
      </c>
      <c r="C12937" s="6">
        <f>IFERROR(__xludf.DUMMYFUNCTION("""COMPUTED_VALUE"""),0.7557407407402934)</f>
        <v>0.7557407407</v>
      </c>
      <c r="D12937" s="4">
        <f>IFERROR(__xludf.DUMMYFUNCTION("""COMPUTED_VALUE"""),13.067585)</f>
        <v>13.067585</v>
      </c>
      <c r="E12937" s="4">
        <f>IFERROR(__xludf.DUMMYFUNCTION("""COMPUTED_VALUE"""),80.272744)</f>
        <v>80.272744</v>
      </c>
      <c r="F12937" s="4">
        <f>IFERROR(__xludf.DUMMYFUNCTION("""COMPUTED_VALUE"""),2846.0)</f>
        <v>2846</v>
      </c>
      <c r="G12937" s="4">
        <f>IFERROR(__xludf.DUMMYFUNCTION("""COMPUTED_VALUE"""),38.0)</f>
        <v>38</v>
      </c>
      <c r="H12937" s="4"/>
      <c r="I12937" s="4"/>
    </row>
    <row r="12938">
      <c r="A12938" s="4" t="str">
        <f>IFERROR(__xludf.DUMMYFUNCTION("""COMPUTED_VALUE"""),"cas_hmw")</f>
        <v>cas_hmw</v>
      </c>
      <c r="B12938" s="5">
        <f>IFERROR(__xludf.DUMMYFUNCTION("""COMPUTED_VALUE"""),44715.0)</f>
        <v>44715</v>
      </c>
      <c r="C12938" s="6">
        <f>IFERROR(__xludf.DUMMYFUNCTION("""COMPUTED_VALUE"""),0.7590625000011642)</f>
        <v>0.7590625</v>
      </c>
      <c r="D12938" s="4">
        <f>IFERROR(__xludf.DUMMYFUNCTION("""COMPUTED_VALUE"""),12.513882)</f>
        <v>12.513882</v>
      </c>
      <c r="E12938" s="4">
        <f>IFERROR(__xludf.DUMMYFUNCTION("""COMPUTED_VALUE"""),79.887648)</f>
        <v>79.887648</v>
      </c>
      <c r="F12938" s="4">
        <f>IFERROR(__xludf.DUMMYFUNCTION("""COMPUTED_VALUE"""),805.0)</f>
        <v>805</v>
      </c>
      <c r="G12938" s="4">
        <f>IFERROR(__xludf.DUMMYFUNCTION("""COMPUTED_VALUE"""),30.0)</f>
        <v>30</v>
      </c>
      <c r="H12938" s="4"/>
      <c r="I12938" s="4"/>
    </row>
    <row r="12939">
      <c r="A12939" s="4" t="str">
        <f>IFERROR(__xludf.DUMMYFUNCTION("""COMPUTED_VALUE"""),"cas_hmw")</f>
        <v>cas_hmw</v>
      </c>
      <c r="B12939" s="5">
        <f>IFERROR(__xludf.DUMMYFUNCTION("""COMPUTED_VALUE"""),44715.0)</f>
        <v>44715</v>
      </c>
      <c r="C12939" s="6">
        <f>IFERROR(__xludf.DUMMYFUNCTION("""COMPUTED_VALUE"""),0.7592592592591245)</f>
        <v>0.7592592593</v>
      </c>
      <c r="D12939" s="4">
        <f>IFERROR(__xludf.DUMMYFUNCTION("""COMPUTED_VALUE"""),12.513272)</f>
        <v>12.513272</v>
      </c>
      <c r="E12939" s="4">
        <f>IFERROR(__xludf.DUMMYFUNCTION("""COMPUTED_VALUE"""),79.887013)</f>
        <v>79.887013</v>
      </c>
      <c r="F12939" s="4">
        <f>IFERROR(__xludf.DUMMYFUNCTION("""COMPUTED_VALUE"""),805.0)</f>
        <v>805</v>
      </c>
      <c r="G12939" s="4">
        <f>IFERROR(__xludf.DUMMYFUNCTION("""COMPUTED_VALUE"""),27.0)</f>
        <v>27</v>
      </c>
      <c r="H12939" s="4"/>
      <c r="I12939" s="4"/>
    </row>
    <row r="12940">
      <c r="A12940" s="4" t="str">
        <f>IFERROR(__xludf.DUMMYFUNCTION("""COMPUTED_VALUE"""),"cas_hmw")</f>
        <v>cas_hmw</v>
      </c>
      <c r="B12940" s="5">
        <f>IFERROR(__xludf.DUMMYFUNCTION("""COMPUTED_VALUE"""),44715.0)</f>
        <v>44715</v>
      </c>
      <c r="C12940" s="6">
        <f>IFERROR(__xludf.DUMMYFUNCTION("""COMPUTED_VALUE"""),0.7592824074090458)</f>
        <v>0.7592824074</v>
      </c>
      <c r="D12940" s="4">
        <f>IFERROR(__xludf.DUMMYFUNCTION("""COMPUTED_VALUE"""),12.513272)</f>
        <v>12.513272</v>
      </c>
      <c r="E12940" s="4">
        <f>IFERROR(__xludf.DUMMYFUNCTION("""COMPUTED_VALUE"""),79.887013)</f>
        <v>79.887013</v>
      </c>
      <c r="F12940" s="4">
        <f>IFERROR(__xludf.DUMMYFUNCTION("""COMPUTED_VALUE"""),805.0)</f>
        <v>805</v>
      </c>
      <c r="G12940" s="4">
        <f>IFERROR(__xludf.DUMMYFUNCTION("""COMPUTED_VALUE"""),27.0)</f>
        <v>27</v>
      </c>
      <c r="H12940" s="4"/>
      <c r="I12940" s="4"/>
    </row>
    <row r="12941">
      <c r="A12941" s="4" t="str">
        <f>IFERROR(__xludf.DUMMYFUNCTION("""COMPUTED_VALUE"""),"cas_hmw")</f>
        <v>cas_hmw</v>
      </c>
      <c r="B12941" s="5">
        <f>IFERROR(__xludf.DUMMYFUNCTION("""COMPUTED_VALUE"""),44715.0)</f>
        <v>44715</v>
      </c>
      <c r="C12941" s="6">
        <f>IFERROR(__xludf.DUMMYFUNCTION("""COMPUTED_VALUE"""),0.7642824074064265)</f>
        <v>0.7642824074</v>
      </c>
      <c r="D12941" s="4">
        <f>IFERROR(__xludf.DUMMYFUNCTION("""COMPUTED_VALUE"""),12.502641)</f>
        <v>12.502641</v>
      </c>
      <c r="E12941" s="4">
        <f>IFERROR(__xludf.DUMMYFUNCTION("""COMPUTED_VALUE"""),79.877419)</f>
        <v>79.877419</v>
      </c>
      <c r="F12941" s="4">
        <f>IFERROR(__xludf.DUMMYFUNCTION("""COMPUTED_VALUE"""),805.0)</f>
        <v>805</v>
      </c>
      <c r="G12941" s="4">
        <f>IFERROR(__xludf.DUMMYFUNCTION("""COMPUTED_VALUE"""),57.0)</f>
        <v>57</v>
      </c>
      <c r="H12941" s="4"/>
      <c r="I12941" s="4"/>
    </row>
    <row r="12942">
      <c r="A12942" s="4" t="str">
        <f>IFERROR(__xludf.DUMMYFUNCTION("""COMPUTED_VALUE"""),"cas_hmw")</f>
        <v>cas_hmw</v>
      </c>
      <c r="B12942" s="5">
        <f>IFERROR(__xludf.DUMMYFUNCTION("""COMPUTED_VALUE"""),44715.0)</f>
        <v>44715</v>
      </c>
      <c r="C12942" s="6">
        <f>IFERROR(__xludf.DUMMYFUNCTION("""COMPUTED_VALUE"""),0.7647800925915362)</f>
        <v>0.7647800926</v>
      </c>
      <c r="D12942" s="4">
        <f>IFERROR(__xludf.DUMMYFUNCTION("""COMPUTED_VALUE"""),13.053845)</f>
        <v>13.053845</v>
      </c>
      <c r="E12942" s="4">
        <f>IFERROR(__xludf.DUMMYFUNCTION("""COMPUTED_VALUE"""),80.264155)</f>
        <v>80.264155</v>
      </c>
      <c r="F12942" s="4">
        <f>IFERROR(__xludf.DUMMYFUNCTION("""COMPUTED_VALUE"""),2846.0)</f>
        <v>2846</v>
      </c>
      <c r="G12942" s="4">
        <f>IFERROR(__xludf.DUMMYFUNCTION("""COMPUTED_VALUE"""),48.0)</f>
        <v>48</v>
      </c>
      <c r="H12942" s="4"/>
      <c r="I12942" s="4"/>
    </row>
    <row r="12943">
      <c r="A12943" s="4" t="str">
        <f>IFERROR(__xludf.DUMMYFUNCTION("""COMPUTED_VALUE"""),"cas_hmw")</f>
        <v>cas_hmw</v>
      </c>
      <c r="B12943" s="5">
        <f>IFERROR(__xludf.DUMMYFUNCTION("""COMPUTED_VALUE"""),44715.0)</f>
        <v>44715</v>
      </c>
      <c r="C12943" s="6">
        <f>IFERROR(__xludf.DUMMYFUNCTION("""COMPUTED_VALUE"""),0.7650810185186856)</f>
        <v>0.7650810185</v>
      </c>
      <c r="D12943" s="4">
        <f>IFERROR(__xludf.DUMMYFUNCTION("""COMPUTED_VALUE"""),13.054123)</f>
        <v>13.054123</v>
      </c>
      <c r="E12943" s="4">
        <f>IFERROR(__xludf.DUMMYFUNCTION("""COMPUTED_VALUE"""),80.261229)</f>
        <v>80.261229</v>
      </c>
      <c r="F12943" s="4">
        <f>IFERROR(__xludf.DUMMYFUNCTION("""COMPUTED_VALUE"""),2846.0)</f>
        <v>2846</v>
      </c>
      <c r="G12943" s="4">
        <f>IFERROR(__xludf.DUMMYFUNCTION("""COMPUTED_VALUE"""),21.0)</f>
        <v>21</v>
      </c>
      <c r="H12943" s="4"/>
      <c r="I12943" s="4"/>
    </row>
    <row r="12944">
      <c r="A12944" s="4" t="str">
        <f>IFERROR(__xludf.DUMMYFUNCTION("""COMPUTED_VALUE"""),"cas_hmw")</f>
        <v>cas_hmw</v>
      </c>
      <c r="B12944" s="5">
        <f>IFERROR(__xludf.DUMMYFUNCTION("""COMPUTED_VALUE"""),44715.0)</f>
        <v>44715</v>
      </c>
      <c r="C12944" s="6">
        <f>IFERROR(__xludf.DUMMYFUNCTION("""COMPUTED_VALUE"""),0.7651041666649689)</f>
        <v>0.7651041667</v>
      </c>
      <c r="D12944" s="4">
        <f>IFERROR(__xludf.DUMMYFUNCTION("""COMPUTED_VALUE"""),13.054123)</f>
        <v>13.054123</v>
      </c>
      <c r="E12944" s="4">
        <f>IFERROR(__xludf.DUMMYFUNCTION("""COMPUTED_VALUE"""),80.261229)</f>
        <v>80.261229</v>
      </c>
      <c r="F12944" s="4">
        <f>IFERROR(__xludf.DUMMYFUNCTION("""COMPUTED_VALUE"""),2846.0)</f>
        <v>2846</v>
      </c>
      <c r="G12944" s="4">
        <f>IFERROR(__xludf.DUMMYFUNCTION("""COMPUTED_VALUE"""),21.0)</f>
        <v>21</v>
      </c>
      <c r="H12944" s="4"/>
      <c r="I12944" s="4"/>
    </row>
    <row r="12945">
      <c r="A12945" s="4" t="str">
        <f>IFERROR(__xludf.DUMMYFUNCTION("""COMPUTED_VALUE"""),"cas_hmw")</f>
        <v>cas_hmw</v>
      </c>
      <c r="B12945" s="5">
        <f>IFERROR(__xludf.DUMMYFUNCTION("""COMPUTED_VALUE"""),44715.0)</f>
        <v>44715</v>
      </c>
      <c r="C12945" s="6">
        <f>IFERROR(__xludf.DUMMYFUNCTION("""COMPUTED_VALUE"""),0.7651041666649689)</f>
        <v>0.7651041667</v>
      </c>
      <c r="D12945" s="4">
        <f>IFERROR(__xludf.DUMMYFUNCTION("""COMPUTED_VALUE"""),13.054123)</f>
        <v>13.054123</v>
      </c>
      <c r="E12945" s="4">
        <f>IFERROR(__xludf.DUMMYFUNCTION("""COMPUTED_VALUE"""),80.261229)</f>
        <v>80.261229</v>
      </c>
      <c r="F12945" s="4">
        <f>IFERROR(__xludf.DUMMYFUNCTION("""COMPUTED_VALUE"""),2846.0)</f>
        <v>2846</v>
      </c>
      <c r="G12945" s="4">
        <f>IFERROR(__xludf.DUMMYFUNCTION("""COMPUTED_VALUE"""),21.0)</f>
        <v>21</v>
      </c>
      <c r="H12945" s="4"/>
      <c r="I12945" s="4"/>
    </row>
    <row r="12946">
      <c r="A12946" s="4" t="str">
        <f>IFERROR(__xludf.DUMMYFUNCTION("""COMPUTED_VALUE"""),"cas_hmw")</f>
        <v>cas_hmw</v>
      </c>
      <c r="B12946" s="5">
        <f>IFERROR(__xludf.DUMMYFUNCTION("""COMPUTED_VALUE"""),44715.0)</f>
        <v>44715</v>
      </c>
      <c r="C12946" s="6">
        <f>IFERROR(__xludf.DUMMYFUNCTION("""COMPUTED_VALUE"""),0.7651388888880319)</f>
        <v>0.7651388889</v>
      </c>
      <c r="D12946" s="4">
        <f>IFERROR(__xludf.DUMMYFUNCTION("""COMPUTED_VALUE"""),13.054188)</f>
        <v>13.054188</v>
      </c>
      <c r="E12946" s="4">
        <f>IFERROR(__xludf.DUMMYFUNCTION("""COMPUTED_VALUE"""),80.260496)</f>
        <v>80.260496</v>
      </c>
      <c r="F12946" s="4">
        <f>IFERROR(__xludf.DUMMYFUNCTION("""COMPUTED_VALUE"""),2846.0)</f>
        <v>2846</v>
      </c>
      <c r="G12946" s="4">
        <f>IFERROR(__xludf.DUMMYFUNCTION("""COMPUTED_VALUE"""),27.0)</f>
        <v>27</v>
      </c>
      <c r="H12946" s="4"/>
      <c r="I12946" s="4"/>
    </row>
    <row r="12947">
      <c r="A12947" s="4" t="str">
        <f>IFERROR(__xludf.DUMMYFUNCTION("""COMPUTED_VALUE"""),"cas_hmw")</f>
        <v>cas_hmw</v>
      </c>
      <c r="B12947" s="5">
        <f>IFERROR(__xludf.DUMMYFUNCTION("""COMPUTED_VALUE"""),44715.0)</f>
        <v>44715</v>
      </c>
      <c r="C12947" s="6">
        <f>IFERROR(__xludf.DUMMYFUNCTION("""COMPUTED_VALUE"""),0.7651388888880319)</f>
        <v>0.7651388889</v>
      </c>
      <c r="D12947" s="4">
        <f>IFERROR(__xludf.DUMMYFUNCTION("""COMPUTED_VALUE"""),13.054123)</f>
        <v>13.054123</v>
      </c>
      <c r="E12947" s="4">
        <f>IFERROR(__xludf.DUMMYFUNCTION("""COMPUTED_VALUE"""),80.261229)</f>
        <v>80.261229</v>
      </c>
      <c r="F12947" s="4">
        <f>IFERROR(__xludf.DUMMYFUNCTION("""COMPUTED_VALUE"""),2846.0)</f>
        <v>2846</v>
      </c>
      <c r="G12947" s="4">
        <f>IFERROR(__xludf.DUMMYFUNCTION("""COMPUTED_VALUE"""),21.0)</f>
        <v>21</v>
      </c>
      <c r="H12947" s="4"/>
      <c r="I12947" s="4"/>
    </row>
    <row r="12948">
      <c r="A12948" s="4" t="str">
        <f>IFERROR(__xludf.DUMMYFUNCTION("""COMPUTED_VALUE"""),"cas_hmw")</f>
        <v>cas_hmw</v>
      </c>
      <c r="B12948" s="5">
        <f>IFERROR(__xludf.DUMMYFUNCTION("""COMPUTED_VALUE"""),44715.0)</f>
        <v>44715</v>
      </c>
      <c r="C12948" s="6">
        <f>IFERROR(__xludf.DUMMYFUNCTION("""COMPUTED_VALUE"""),0.7651620370379533)</f>
        <v>0.765162037</v>
      </c>
      <c r="D12948" s="4">
        <f>IFERROR(__xludf.DUMMYFUNCTION("""COMPUTED_VALUE"""),13.054188)</f>
        <v>13.054188</v>
      </c>
      <c r="E12948" s="4">
        <f>IFERROR(__xludf.DUMMYFUNCTION("""COMPUTED_VALUE"""),80.260496)</f>
        <v>80.260496</v>
      </c>
      <c r="F12948" s="4">
        <f>IFERROR(__xludf.DUMMYFUNCTION("""COMPUTED_VALUE"""),2846.0)</f>
        <v>2846</v>
      </c>
      <c r="G12948" s="4">
        <f>IFERROR(__xludf.DUMMYFUNCTION("""COMPUTED_VALUE"""),27.0)</f>
        <v>27</v>
      </c>
      <c r="H12948" s="4"/>
      <c r="I12948" s="4"/>
    </row>
    <row r="12949">
      <c r="A12949" s="4" t="str">
        <f>IFERROR(__xludf.DUMMYFUNCTION("""COMPUTED_VALUE"""),"cas_hmw")</f>
        <v>cas_hmw</v>
      </c>
      <c r="B12949" s="5">
        <f>IFERROR(__xludf.DUMMYFUNCTION("""COMPUTED_VALUE"""),44715.0)</f>
        <v>44715</v>
      </c>
      <c r="C12949" s="6">
        <f>IFERROR(__xludf.DUMMYFUNCTION("""COMPUTED_VALUE"""),0.7651967592610163)</f>
        <v>0.7651967593</v>
      </c>
      <c r="D12949" s="4">
        <f>IFERROR(__xludf.DUMMYFUNCTION("""COMPUTED_VALUE"""),13.054188)</f>
        <v>13.054188</v>
      </c>
      <c r="E12949" s="4">
        <f>IFERROR(__xludf.DUMMYFUNCTION("""COMPUTED_VALUE"""),80.260496)</f>
        <v>80.260496</v>
      </c>
      <c r="F12949" s="4">
        <f>IFERROR(__xludf.DUMMYFUNCTION("""COMPUTED_VALUE"""),2846.0)</f>
        <v>2846</v>
      </c>
      <c r="G12949" s="4">
        <f>IFERROR(__xludf.DUMMYFUNCTION("""COMPUTED_VALUE"""),27.0)</f>
        <v>27</v>
      </c>
      <c r="H12949" s="4"/>
      <c r="I12949" s="4"/>
    </row>
    <row r="12950">
      <c r="A12950" s="4" t="str">
        <f>IFERROR(__xludf.DUMMYFUNCTION("""COMPUTED_VALUE"""),"cas_hmw")</f>
        <v>cas_hmw</v>
      </c>
      <c r="B12950" s="5">
        <f>IFERROR(__xludf.DUMMYFUNCTION("""COMPUTED_VALUE"""),44715.0)</f>
        <v>44715</v>
      </c>
      <c r="C12950" s="6">
        <f>IFERROR(__xludf.DUMMYFUNCTION("""COMPUTED_VALUE"""),0.7652083333341579)</f>
        <v>0.7652083333</v>
      </c>
      <c r="D12950" s="4">
        <f>IFERROR(__xludf.DUMMYFUNCTION("""COMPUTED_VALUE"""),13.054188)</f>
        <v>13.054188</v>
      </c>
      <c r="E12950" s="4">
        <f>IFERROR(__xludf.DUMMYFUNCTION("""COMPUTED_VALUE"""),80.260496)</f>
        <v>80.260496</v>
      </c>
      <c r="F12950" s="4">
        <f>IFERROR(__xludf.DUMMYFUNCTION("""COMPUTED_VALUE"""),2846.0)</f>
        <v>2846</v>
      </c>
      <c r="G12950" s="4">
        <f>IFERROR(__xludf.DUMMYFUNCTION("""COMPUTED_VALUE"""),27.0)</f>
        <v>27</v>
      </c>
      <c r="H12950" s="4"/>
      <c r="I12950" s="4"/>
    </row>
    <row r="12951">
      <c r="A12951" s="4" t="str">
        <f>IFERROR(__xludf.DUMMYFUNCTION("""COMPUTED_VALUE"""),"cas_hmw")</f>
        <v>cas_hmw</v>
      </c>
      <c r="B12951" s="5">
        <f>IFERROR(__xludf.DUMMYFUNCTION("""COMPUTED_VALUE"""),44715.0)</f>
        <v>44715</v>
      </c>
      <c r="C12951" s="6">
        <f>IFERROR(__xludf.DUMMYFUNCTION("""COMPUTED_VALUE"""),0.7652199074072996)</f>
        <v>0.7652199074</v>
      </c>
      <c r="D12951" s="4">
        <f>IFERROR(__xludf.DUMMYFUNCTION("""COMPUTED_VALUE"""),12.49612)</f>
        <v>12.49612</v>
      </c>
      <c r="E12951" s="4">
        <f>IFERROR(__xludf.DUMMYFUNCTION("""COMPUTED_VALUE"""),79.872126)</f>
        <v>79.872126</v>
      </c>
      <c r="F12951" s="4">
        <f>IFERROR(__xludf.DUMMYFUNCTION("""COMPUTED_VALUE"""),805.0)</f>
        <v>805</v>
      </c>
      <c r="G12951" s="4">
        <f>IFERROR(__xludf.DUMMYFUNCTION("""COMPUTED_VALUE"""),0.0)</f>
        <v>0</v>
      </c>
      <c r="H12951" s="4"/>
      <c r="I12951" s="4"/>
    </row>
    <row r="12952">
      <c r="A12952" s="4" t="str">
        <f>IFERROR(__xludf.DUMMYFUNCTION("""COMPUTED_VALUE"""),"cas_hmw")</f>
        <v>cas_hmw</v>
      </c>
      <c r="B12952" s="5">
        <f>IFERROR(__xludf.DUMMYFUNCTION("""COMPUTED_VALUE"""),44715.0)</f>
        <v>44715</v>
      </c>
      <c r="C12952" s="6">
        <f>IFERROR(__xludf.DUMMYFUNCTION("""COMPUTED_VALUE"""),0.765520833334449)</f>
        <v>0.7655208333</v>
      </c>
      <c r="D12952" s="4">
        <f>IFERROR(__xludf.DUMMYFUNCTION("""COMPUTED_VALUE"""),13.054464)</f>
        <v>13.054464</v>
      </c>
      <c r="E12952" s="4">
        <f>IFERROR(__xludf.DUMMYFUNCTION("""COMPUTED_VALUE"""),80.257679)</f>
        <v>80.257679</v>
      </c>
      <c r="F12952" s="4">
        <f>IFERROR(__xludf.DUMMYFUNCTION("""COMPUTED_VALUE"""),2846.0)</f>
        <v>2846</v>
      </c>
      <c r="G12952" s="4">
        <f>IFERROR(__xludf.DUMMYFUNCTION("""COMPUTED_VALUE"""),39.0)</f>
        <v>39</v>
      </c>
      <c r="H12952" s="4"/>
      <c r="I12952" s="4"/>
    </row>
    <row r="12953">
      <c r="A12953" s="4" t="str">
        <f>IFERROR(__xludf.DUMMYFUNCTION("""COMPUTED_VALUE"""),"cas_hmw")</f>
        <v>cas_hmw</v>
      </c>
      <c r="B12953" s="5">
        <f>IFERROR(__xludf.DUMMYFUNCTION("""COMPUTED_VALUE"""),44715.0)</f>
        <v>44715</v>
      </c>
      <c r="C12953" s="6">
        <f>IFERROR(__xludf.DUMMYFUNCTION("""COMPUTED_VALUE"""),0.765555555553874)</f>
        <v>0.7655555556</v>
      </c>
      <c r="D12953" s="4">
        <f>IFERROR(__xludf.DUMMYFUNCTION("""COMPUTED_VALUE"""),13.054464)</f>
        <v>13.054464</v>
      </c>
      <c r="E12953" s="4">
        <f>IFERROR(__xludf.DUMMYFUNCTION("""COMPUTED_VALUE"""),80.257679)</f>
        <v>80.257679</v>
      </c>
      <c r="F12953" s="4">
        <f>IFERROR(__xludf.DUMMYFUNCTION("""COMPUTED_VALUE"""),2846.0)</f>
        <v>2846</v>
      </c>
      <c r="G12953" s="4">
        <f>IFERROR(__xludf.DUMMYFUNCTION("""COMPUTED_VALUE"""),39.0)</f>
        <v>39</v>
      </c>
      <c r="H12953" s="4"/>
      <c r="I12953" s="4"/>
    </row>
    <row r="12954">
      <c r="A12954" s="4" t="str">
        <f>IFERROR(__xludf.DUMMYFUNCTION("""COMPUTED_VALUE"""),"cas_hmw")</f>
        <v>cas_hmw</v>
      </c>
      <c r="B12954" s="5">
        <f>IFERROR(__xludf.DUMMYFUNCTION("""COMPUTED_VALUE"""),44715.0)</f>
        <v>44715</v>
      </c>
      <c r="C12954" s="6">
        <f>IFERROR(__xludf.DUMMYFUNCTION("""COMPUTED_VALUE"""),0.7656134259268583)</f>
        <v>0.7656134259</v>
      </c>
      <c r="D12954" s="4">
        <f>IFERROR(__xludf.DUMMYFUNCTION("""COMPUTED_VALUE"""),13.054545)</f>
        <v>13.054545</v>
      </c>
      <c r="E12954" s="4">
        <f>IFERROR(__xludf.DUMMYFUNCTION("""COMPUTED_VALUE"""),80.256635)</f>
        <v>80.256635</v>
      </c>
      <c r="F12954" s="4">
        <f>IFERROR(__xludf.DUMMYFUNCTION("""COMPUTED_VALUE"""),2846.0)</f>
        <v>2846</v>
      </c>
      <c r="G12954" s="4">
        <f>IFERROR(__xludf.DUMMYFUNCTION("""COMPUTED_VALUE"""),41.0)</f>
        <v>41</v>
      </c>
      <c r="H12954" s="4"/>
      <c r="I12954" s="4"/>
    </row>
    <row r="12955">
      <c r="A12955" s="4" t="str">
        <f>IFERROR(__xludf.DUMMYFUNCTION("""COMPUTED_VALUE"""),"cas_hmw")</f>
        <v>cas_hmw</v>
      </c>
      <c r="B12955" s="5">
        <f>IFERROR(__xludf.DUMMYFUNCTION("""COMPUTED_VALUE"""),44715.0)</f>
        <v>44715</v>
      </c>
      <c r="C12955" s="6">
        <f>IFERROR(__xludf.DUMMYFUNCTION("""COMPUTED_VALUE"""),0.7663541666661331)</f>
        <v>0.7663541667</v>
      </c>
      <c r="D12955" s="4">
        <f>IFERROR(__xludf.DUMMYFUNCTION("""COMPUTED_VALUE"""),13.053544)</f>
        <v>13.053544</v>
      </c>
      <c r="E12955" s="4">
        <f>IFERROR(__xludf.DUMMYFUNCTION("""COMPUTED_VALUE"""),80.252675)</f>
        <v>80.252675</v>
      </c>
      <c r="F12955" s="4">
        <f>IFERROR(__xludf.DUMMYFUNCTION("""COMPUTED_VALUE"""),2846.0)</f>
        <v>2846</v>
      </c>
      <c r="G12955" s="4">
        <f>IFERROR(__xludf.DUMMYFUNCTION("""COMPUTED_VALUE"""),25.0)</f>
        <v>25</v>
      </c>
      <c r="H12955" s="4"/>
      <c r="I12955" s="4"/>
    </row>
    <row r="12956">
      <c r="A12956" s="4" t="str">
        <f>IFERROR(__xludf.DUMMYFUNCTION("""COMPUTED_VALUE"""),"cas_hmw")</f>
        <v>cas_hmw</v>
      </c>
      <c r="B12956" s="5">
        <f>IFERROR(__xludf.DUMMYFUNCTION("""COMPUTED_VALUE"""),44715.0)</f>
        <v>44715</v>
      </c>
      <c r="C12956" s="6">
        <f>IFERROR(__xludf.DUMMYFUNCTION("""COMPUTED_VALUE"""),0.7664351851854008)</f>
        <v>0.7664351852</v>
      </c>
      <c r="D12956" s="4">
        <f>IFERROR(__xludf.DUMMYFUNCTION("""COMPUTED_VALUE"""),13.053544)</f>
        <v>13.053544</v>
      </c>
      <c r="E12956" s="4">
        <f>IFERROR(__xludf.DUMMYFUNCTION("""COMPUTED_VALUE"""),80.252675)</f>
        <v>80.252675</v>
      </c>
      <c r="F12956" s="4">
        <f>IFERROR(__xludf.DUMMYFUNCTION("""COMPUTED_VALUE"""),2846.0)</f>
        <v>2846</v>
      </c>
      <c r="G12956" s="4">
        <f>IFERROR(__xludf.DUMMYFUNCTION("""COMPUTED_VALUE"""),25.0)</f>
        <v>25</v>
      </c>
      <c r="H12956" s="4"/>
      <c r="I12956" s="4"/>
    </row>
    <row r="12957">
      <c r="A12957" s="4" t="str">
        <f>IFERROR(__xludf.DUMMYFUNCTION("""COMPUTED_VALUE"""),"cas_hmw")</f>
        <v>cas_hmw</v>
      </c>
      <c r="B12957" s="5">
        <f>IFERROR(__xludf.DUMMYFUNCTION("""COMPUTED_VALUE"""),44715.0)</f>
        <v>44715</v>
      </c>
      <c r="C12957" s="6">
        <f>IFERROR(__xludf.DUMMYFUNCTION("""COMPUTED_VALUE"""),0.7666782407395658)</f>
        <v>0.7666782407</v>
      </c>
      <c r="D12957" s="4">
        <f>IFERROR(__xludf.DUMMYFUNCTION("""COMPUTED_VALUE"""),13.052375)</f>
        <v>13.052375</v>
      </c>
      <c r="E12957" s="4">
        <f>IFERROR(__xludf.DUMMYFUNCTION("""COMPUTED_VALUE"""),80.251035)</f>
        <v>80.251035</v>
      </c>
      <c r="F12957" s="4">
        <f>IFERROR(__xludf.DUMMYFUNCTION("""COMPUTED_VALUE"""),2846.0)</f>
        <v>2846</v>
      </c>
      <c r="G12957" s="4">
        <f>IFERROR(__xludf.DUMMYFUNCTION("""COMPUTED_VALUE"""),29.0)</f>
        <v>29</v>
      </c>
      <c r="H12957" s="4"/>
      <c r="I12957" s="4"/>
    </row>
    <row r="12958">
      <c r="A12958" s="4" t="str">
        <f>IFERROR(__xludf.DUMMYFUNCTION("""COMPUTED_VALUE"""),"cas_hmw")</f>
        <v>cas_hmw</v>
      </c>
      <c r="B12958" s="5">
        <f>IFERROR(__xludf.DUMMYFUNCTION("""COMPUTED_VALUE"""),44715.0)</f>
        <v>44715</v>
      </c>
      <c r="C12958" s="6">
        <f>IFERROR(__xludf.DUMMYFUNCTION("""COMPUTED_VALUE"""),0.7672337962976599)</f>
        <v>0.7672337963</v>
      </c>
      <c r="D12958" s="4">
        <f>IFERROR(__xludf.DUMMYFUNCTION("""COMPUTED_VALUE"""),13.049187)</f>
        <v>13.049187</v>
      </c>
      <c r="E12958" s="4">
        <f>IFERROR(__xludf.DUMMYFUNCTION("""COMPUTED_VALUE"""),80.249763)</f>
        <v>80.249763</v>
      </c>
      <c r="F12958" s="4">
        <f>IFERROR(__xludf.DUMMYFUNCTION("""COMPUTED_VALUE"""),2846.0)</f>
        <v>2846</v>
      </c>
      <c r="G12958" s="4">
        <f>IFERROR(__xludf.DUMMYFUNCTION("""COMPUTED_VALUE"""),40.0)</f>
        <v>40</v>
      </c>
      <c r="H12958" s="4"/>
      <c r="I12958" s="4"/>
    </row>
    <row r="12959">
      <c r="A12959" s="4" t="str">
        <f>IFERROR(__xludf.DUMMYFUNCTION("""COMPUTED_VALUE"""),"cas_hmw")</f>
        <v>cas_hmw</v>
      </c>
      <c r="B12959" s="5">
        <f>IFERROR(__xludf.DUMMYFUNCTION("""COMPUTED_VALUE"""),44715.0)</f>
        <v>44715</v>
      </c>
      <c r="C12959" s="6">
        <f>IFERROR(__xludf.DUMMYFUNCTION("""COMPUTED_VALUE"""),0.7698495370386809)</f>
        <v>0.769849537</v>
      </c>
      <c r="D12959" s="4">
        <f>IFERROR(__xludf.DUMMYFUNCTION("""COMPUTED_VALUE"""),12.536946)</f>
        <v>12.536946</v>
      </c>
      <c r="E12959" s="4">
        <f>IFERROR(__xludf.DUMMYFUNCTION("""COMPUTED_VALUE"""),79.902924)</f>
        <v>79.902924</v>
      </c>
      <c r="F12959" s="4">
        <f>IFERROR(__xludf.DUMMYFUNCTION("""COMPUTED_VALUE"""),805.0)</f>
        <v>805</v>
      </c>
      <c r="G12959" s="4">
        <f>IFERROR(__xludf.DUMMYFUNCTION("""COMPUTED_VALUE"""),58.0)</f>
        <v>58</v>
      </c>
      <c r="H12959" s="4"/>
      <c r="I12959" s="4"/>
    </row>
    <row r="12960">
      <c r="A12960" s="4" t="str">
        <f>IFERROR(__xludf.DUMMYFUNCTION("""COMPUTED_VALUE"""),"cas_hmw")</f>
        <v>cas_hmw</v>
      </c>
      <c r="B12960" s="5">
        <f>IFERROR(__xludf.DUMMYFUNCTION("""COMPUTED_VALUE"""),44715.0)</f>
        <v>44715</v>
      </c>
      <c r="C12960" s="6">
        <f>IFERROR(__xludf.DUMMYFUNCTION("""COMPUTED_VALUE"""),0.7699074074080272)</f>
        <v>0.7699074074</v>
      </c>
      <c r="D12960" s="4">
        <f>IFERROR(__xludf.DUMMYFUNCTION("""COMPUTED_VALUE"""),12.539022)</f>
        <v>12.539022</v>
      </c>
      <c r="E12960" s="4">
        <f>IFERROR(__xludf.DUMMYFUNCTION("""COMPUTED_VALUE"""),79.903991)</f>
        <v>79.903991</v>
      </c>
      <c r="F12960" s="4">
        <f>IFERROR(__xludf.DUMMYFUNCTION("""COMPUTED_VALUE"""),805.0)</f>
        <v>805</v>
      </c>
      <c r="G12960" s="4">
        <f>IFERROR(__xludf.DUMMYFUNCTION("""COMPUTED_VALUE"""),57.0)</f>
        <v>57</v>
      </c>
      <c r="H12960" s="4"/>
      <c r="I12960" s="4"/>
    </row>
    <row r="12961">
      <c r="A12961" s="4" t="str">
        <f>IFERROR(__xludf.DUMMYFUNCTION("""COMPUTED_VALUE"""),"cas_hmw")</f>
        <v>cas_hmw</v>
      </c>
      <c r="B12961" s="5">
        <f>IFERROR(__xludf.DUMMYFUNCTION("""COMPUTED_VALUE"""),44715.0)</f>
        <v>44715</v>
      </c>
      <c r="C12961" s="6">
        <f>IFERROR(__xludf.DUMMYFUNCTION("""COMPUTED_VALUE"""),0.7702199074083182)</f>
        <v>0.7702199074</v>
      </c>
      <c r="D12961" s="4">
        <f>IFERROR(__xludf.DUMMYFUNCTION("""COMPUTED_VALUE"""),12.541317)</f>
        <v>12.541317</v>
      </c>
      <c r="E12961" s="4">
        <f>IFERROR(__xludf.DUMMYFUNCTION("""COMPUTED_VALUE"""),79.90442)</f>
        <v>79.90442</v>
      </c>
      <c r="F12961" s="4">
        <f>IFERROR(__xludf.DUMMYFUNCTION("""COMPUTED_VALUE"""),805.0)</f>
        <v>805</v>
      </c>
      <c r="G12961" s="4">
        <f>IFERROR(__xludf.DUMMYFUNCTION("""COMPUTED_VALUE"""),58.0)</f>
        <v>58</v>
      </c>
      <c r="H12961" s="4"/>
      <c r="I12961" s="4"/>
    </row>
    <row r="12962">
      <c r="A12962" s="4" t="str">
        <f>IFERROR(__xludf.DUMMYFUNCTION("""COMPUTED_VALUE"""),"cas_hmw")</f>
        <v>cas_hmw</v>
      </c>
      <c r="B12962" s="5">
        <f>IFERROR(__xludf.DUMMYFUNCTION("""COMPUTED_VALUE"""),44715.0)</f>
        <v>44715</v>
      </c>
      <c r="C12962" s="6">
        <f>IFERROR(__xludf.DUMMYFUNCTION("""COMPUTED_VALUE"""),0.7703819444432156)</f>
        <v>0.7703819444</v>
      </c>
      <c r="D12962" s="4">
        <f>IFERROR(__xludf.DUMMYFUNCTION("""COMPUTED_VALUE"""),13.041674)</f>
        <v>13.041674</v>
      </c>
      <c r="E12962" s="4">
        <f>IFERROR(__xludf.DUMMYFUNCTION("""COMPUTED_VALUE"""),80.247525)</f>
        <v>80.247525</v>
      </c>
      <c r="F12962" s="4">
        <f>IFERROR(__xludf.DUMMYFUNCTION("""COMPUTED_VALUE"""),2846.0)</f>
        <v>2846</v>
      </c>
      <c r="G12962" s="4">
        <f>IFERROR(__xludf.DUMMYFUNCTION("""COMPUTED_VALUE"""),36.0)</f>
        <v>36</v>
      </c>
      <c r="H12962" s="4"/>
      <c r="I12962" s="4"/>
    </row>
    <row r="12963">
      <c r="A12963" s="4" t="str">
        <f>IFERROR(__xludf.DUMMYFUNCTION("""COMPUTED_VALUE"""),"cas_hmw")</f>
        <v>cas_hmw</v>
      </c>
      <c r="B12963" s="5">
        <f>IFERROR(__xludf.DUMMYFUNCTION("""COMPUTED_VALUE"""),44715.0)</f>
        <v>44715</v>
      </c>
      <c r="C12963" s="6">
        <f>IFERROR(__xludf.DUMMYFUNCTION("""COMPUTED_VALUE"""),0.7710185185169394)</f>
        <v>0.7710185185</v>
      </c>
      <c r="D12963" s="4">
        <f>IFERROR(__xludf.DUMMYFUNCTION("""COMPUTED_VALUE"""),12.551424)</f>
        <v>12.551424</v>
      </c>
      <c r="E12963" s="4">
        <f>IFERROR(__xludf.DUMMYFUNCTION("""COMPUTED_VALUE"""),79.906627)</f>
        <v>79.906627</v>
      </c>
      <c r="F12963" s="4">
        <f>IFERROR(__xludf.DUMMYFUNCTION("""COMPUTED_VALUE"""),805.0)</f>
        <v>805</v>
      </c>
      <c r="G12963" s="4">
        <f>IFERROR(__xludf.DUMMYFUNCTION("""COMPUTED_VALUE"""),57.0)</f>
        <v>57</v>
      </c>
      <c r="H12963" s="4"/>
      <c r="I12963" s="4"/>
    </row>
    <row r="12964">
      <c r="A12964" s="4" t="str">
        <f>IFERROR(__xludf.DUMMYFUNCTION("""COMPUTED_VALUE"""),"cas_hmw")</f>
        <v>cas_hmw</v>
      </c>
      <c r="B12964" s="5">
        <f>IFERROR(__xludf.DUMMYFUNCTION("""COMPUTED_VALUE"""),44715.0)</f>
        <v>44715</v>
      </c>
      <c r="C12964" s="6">
        <f>IFERROR(__xludf.DUMMYFUNCTION("""COMPUTED_VALUE"""),0.7716319444443798)</f>
        <v>0.7716319444</v>
      </c>
      <c r="D12964" s="4">
        <f>IFERROR(__xludf.DUMMYFUNCTION("""COMPUTED_VALUE"""),12.557684)</f>
        <v>12.557684</v>
      </c>
      <c r="E12964" s="4">
        <f>IFERROR(__xludf.DUMMYFUNCTION("""COMPUTED_VALUE"""),79.909829)</f>
        <v>79.909829</v>
      </c>
      <c r="F12964" s="4">
        <f>IFERROR(__xludf.DUMMYFUNCTION("""COMPUTED_VALUE"""),805.0)</f>
        <v>805</v>
      </c>
      <c r="G12964" s="4">
        <f>IFERROR(__xludf.DUMMYFUNCTION("""COMPUTED_VALUE"""),57.0)</f>
        <v>57</v>
      </c>
      <c r="H12964" s="4"/>
      <c r="I12964" s="4"/>
    </row>
    <row r="12965">
      <c r="A12965" s="4" t="str">
        <f>IFERROR(__xludf.DUMMYFUNCTION("""COMPUTED_VALUE"""),"cas_hmw")</f>
        <v>cas_hmw</v>
      </c>
      <c r="B12965" s="5">
        <f>IFERROR(__xludf.DUMMYFUNCTION("""COMPUTED_VALUE"""),44715.0)</f>
        <v>44715</v>
      </c>
      <c r="C12965" s="6">
        <f>IFERROR(__xludf.DUMMYFUNCTION("""COMPUTED_VALUE"""),0.7730092592610163)</f>
        <v>0.7730092593</v>
      </c>
      <c r="D12965" s="4">
        <f>IFERROR(__xludf.DUMMYFUNCTION("""COMPUTED_VALUE"""),13.038198)</f>
        <v>13.038198</v>
      </c>
      <c r="E12965" s="4">
        <f>IFERROR(__xludf.DUMMYFUNCTION("""COMPUTED_VALUE"""),80.246816)</f>
        <v>80.246816</v>
      </c>
      <c r="F12965" s="4">
        <f>IFERROR(__xludf.DUMMYFUNCTION("""COMPUTED_VALUE"""),2846.0)</f>
        <v>2846</v>
      </c>
      <c r="G12965" s="4">
        <f>IFERROR(__xludf.DUMMYFUNCTION("""COMPUTED_VALUE"""),22.0)</f>
        <v>22</v>
      </c>
      <c r="H12965" s="4"/>
      <c r="I12965" s="4"/>
    </row>
    <row r="12966">
      <c r="A12966" s="4" t="str">
        <f>IFERROR(__xludf.DUMMYFUNCTION("""COMPUTED_VALUE"""),"cas_hmw")</f>
        <v>cas_hmw</v>
      </c>
      <c r="B12966" s="5">
        <f>IFERROR(__xludf.DUMMYFUNCTION("""COMPUTED_VALUE"""),44715.0)</f>
        <v>44715</v>
      </c>
      <c r="C12966" s="6">
        <f>IFERROR(__xludf.DUMMYFUNCTION("""COMPUTED_VALUE"""),0.7730787037035043)</f>
        <v>0.7730787037</v>
      </c>
      <c r="D12966" s="4">
        <f>IFERROR(__xludf.DUMMYFUNCTION("""COMPUTED_VALUE"""),13.038198)</f>
        <v>13.038198</v>
      </c>
      <c r="E12966" s="4">
        <f>IFERROR(__xludf.DUMMYFUNCTION("""COMPUTED_VALUE"""),80.246816)</f>
        <v>80.246816</v>
      </c>
      <c r="F12966" s="4">
        <f>IFERROR(__xludf.DUMMYFUNCTION("""COMPUTED_VALUE"""),2846.0)</f>
        <v>2846</v>
      </c>
      <c r="G12966" s="4">
        <f>IFERROR(__xludf.DUMMYFUNCTION("""COMPUTED_VALUE"""),22.0)</f>
        <v>22</v>
      </c>
      <c r="H12966" s="4"/>
      <c r="I12966" s="4"/>
    </row>
    <row r="12967">
      <c r="A12967" s="4" t="str">
        <f>IFERROR(__xludf.DUMMYFUNCTION("""COMPUTED_VALUE"""),"cas_hmw")</f>
        <v>cas_hmw</v>
      </c>
      <c r="B12967" s="5">
        <f>IFERROR(__xludf.DUMMYFUNCTION("""COMPUTED_VALUE"""),44715.0)</f>
        <v>44715</v>
      </c>
      <c r="C12967" s="6">
        <f>IFERROR(__xludf.DUMMYFUNCTION("""COMPUTED_VALUE"""),0.7731134259265673)</f>
        <v>0.7731134259</v>
      </c>
      <c r="D12967" s="4">
        <f>IFERROR(__xludf.DUMMYFUNCTION("""COMPUTED_VALUE"""),13.038198)</f>
        <v>13.038198</v>
      </c>
      <c r="E12967" s="4">
        <f>IFERROR(__xludf.DUMMYFUNCTION("""COMPUTED_VALUE"""),80.246816)</f>
        <v>80.246816</v>
      </c>
      <c r="F12967" s="4">
        <f>IFERROR(__xludf.DUMMYFUNCTION("""COMPUTED_VALUE"""),2846.0)</f>
        <v>2846</v>
      </c>
      <c r="G12967" s="4">
        <f>IFERROR(__xludf.DUMMYFUNCTION("""COMPUTED_VALUE"""),22.0)</f>
        <v>22</v>
      </c>
      <c r="H12967" s="4"/>
      <c r="I12967" s="4"/>
    </row>
    <row r="12968">
      <c r="A12968" s="4" t="str">
        <f>IFERROR(__xludf.DUMMYFUNCTION("""COMPUTED_VALUE"""),"cas_hmw")</f>
        <v>cas_hmw</v>
      </c>
      <c r="B12968" s="5">
        <f>IFERROR(__xludf.DUMMYFUNCTION("""COMPUTED_VALUE"""),44715.0)</f>
        <v>44715</v>
      </c>
      <c r="C12968" s="6">
        <f>IFERROR(__xludf.DUMMYFUNCTION("""COMPUTED_VALUE"""),0.7731828703690553)</f>
        <v>0.7731828704</v>
      </c>
      <c r="D12968" s="4">
        <f>IFERROR(__xludf.DUMMYFUNCTION("""COMPUTED_VALUE"""),13.03736)</f>
        <v>13.03736</v>
      </c>
      <c r="E12968" s="4">
        <f>IFERROR(__xludf.DUMMYFUNCTION("""COMPUTED_VALUE"""),80.246579)</f>
        <v>80.246579</v>
      </c>
      <c r="F12968" s="4">
        <f>IFERROR(__xludf.DUMMYFUNCTION("""COMPUTED_VALUE"""),2846.0)</f>
        <v>2846</v>
      </c>
      <c r="G12968" s="4">
        <f>IFERROR(__xludf.DUMMYFUNCTION("""COMPUTED_VALUE"""),39.0)</f>
        <v>39</v>
      </c>
      <c r="H12968" s="4"/>
      <c r="I12968" s="4"/>
    </row>
    <row r="12969">
      <c r="A12969" s="4" t="str">
        <f>IFERROR(__xludf.DUMMYFUNCTION("""COMPUTED_VALUE"""),"cas_hmw")</f>
        <v>cas_hmw</v>
      </c>
      <c r="B12969" s="5">
        <f>IFERROR(__xludf.DUMMYFUNCTION("""COMPUTED_VALUE"""),44715.0)</f>
        <v>44715</v>
      </c>
      <c r="C12969" s="6">
        <f>IFERROR(__xludf.DUMMYFUNCTION("""COMPUTED_VALUE"""),0.7756597222214623)</f>
        <v>0.7756597222</v>
      </c>
      <c r="D12969" s="4">
        <f>IFERROR(__xludf.DUMMYFUNCTION("""COMPUTED_VALUE"""),13.032337)</f>
        <v>13.032337</v>
      </c>
      <c r="E12969" s="4">
        <f>IFERROR(__xludf.DUMMYFUNCTION("""COMPUTED_VALUE"""),80.242499)</f>
        <v>80.242499</v>
      </c>
      <c r="F12969" s="4">
        <f>IFERROR(__xludf.DUMMYFUNCTION("""COMPUTED_VALUE"""),2846.0)</f>
        <v>2846</v>
      </c>
      <c r="G12969" s="4">
        <f>IFERROR(__xludf.DUMMYFUNCTION("""COMPUTED_VALUE"""),48.0)</f>
        <v>48</v>
      </c>
      <c r="H12969" s="4"/>
      <c r="I12969" s="4"/>
    </row>
    <row r="12970">
      <c r="A12970" s="4" t="str">
        <f>IFERROR(__xludf.DUMMYFUNCTION("""COMPUTED_VALUE"""),"cas_hmw")</f>
        <v>cas_hmw</v>
      </c>
      <c r="B12970" s="5">
        <f>IFERROR(__xludf.DUMMYFUNCTION("""COMPUTED_VALUE"""),44715.0)</f>
        <v>44715</v>
      </c>
      <c r="C12970" s="6">
        <f>IFERROR(__xludf.DUMMYFUNCTION("""COMPUTED_VALUE"""),0.7757175925908086)</f>
        <v>0.7757175926</v>
      </c>
      <c r="D12970" s="4">
        <f>IFERROR(__xludf.DUMMYFUNCTION("""COMPUTED_VALUE"""),13.031731)</f>
        <v>13.031731</v>
      </c>
      <c r="E12970" s="4">
        <f>IFERROR(__xludf.DUMMYFUNCTION("""COMPUTED_VALUE"""),80.241314)</f>
        <v>80.241314</v>
      </c>
      <c r="F12970" s="4">
        <f>IFERROR(__xludf.DUMMYFUNCTION("""COMPUTED_VALUE"""),2846.0)</f>
        <v>2846</v>
      </c>
      <c r="G12970" s="4">
        <f>IFERROR(__xludf.DUMMYFUNCTION("""COMPUTED_VALUE"""),49.0)</f>
        <v>49</v>
      </c>
      <c r="H12970" s="4"/>
      <c r="I12970" s="4"/>
    </row>
    <row r="12971">
      <c r="A12971" s="4" t="str">
        <f>IFERROR(__xludf.DUMMYFUNCTION("""COMPUTED_VALUE"""),"cas_hmw")</f>
        <v>cas_hmw</v>
      </c>
      <c r="B12971" s="5">
        <f>IFERROR(__xludf.DUMMYFUNCTION("""COMPUTED_VALUE"""),44715.0)</f>
        <v>44715</v>
      </c>
      <c r="C12971" s="6">
        <f>IFERROR(__xludf.DUMMYFUNCTION("""COMPUTED_VALUE"""),0.7764583333337214)</f>
        <v>0.7764583333</v>
      </c>
      <c r="D12971" s="4">
        <f>IFERROR(__xludf.DUMMYFUNCTION("""COMPUTED_VALUE"""),12.615112)</f>
        <v>12.615112</v>
      </c>
      <c r="E12971" s="4">
        <f>IFERROR(__xludf.DUMMYFUNCTION("""COMPUTED_VALUE"""),79.925513)</f>
        <v>79.925513</v>
      </c>
      <c r="F12971" s="4">
        <f>IFERROR(__xludf.DUMMYFUNCTION("""COMPUTED_VALUE"""),805.0)</f>
        <v>805</v>
      </c>
      <c r="G12971" s="4">
        <f>IFERROR(__xludf.DUMMYFUNCTION("""COMPUTED_VALUE"""),58.0)</f>
        <v>58</v>
      </c>
      <c r="H12971" s="4"/>
      <c r="I12971" s="4"/>
    </row>
    <row r="12972">
      <c r="A12972" s="4" t="str">
        <f>IFERROR(__xludf.DUMMYFUNCTION("""COMPUTED_VALUE"""),"cas_hmw")</f>
        <v>cas_hmw</v>
      </c>
      <c r="B12972" s="5">
        <f>IFERROR(__xludf.DUMMYFUNCTION("""COMPUTED_VALUE"""),44715.0)</f>
        <v>44715</v>
      </c>
      <c r="C12972" s="6">
        <f>IFERROR(__xludf.DUMMYFUNCTION("""COMPUTED_VALUE"""),0.7780902777776646)</f>
        <v>0.7780902778</v>
      </c>
      <c r="D12972" s="4">
        <f>IFERROR(__xludf.DUMMYFUNCTION("""COMPUTED_VALUE"""),12.634514)</f>
        <v>12.634514</v>
      </c>
      <c r="E12972" s="4">
        <f>IFERROR(__xludf.DUMMYFUNCTION("""COMPUTED_VALUE"""),79.932967)</f>
        <v>79.932967</v>
      </c>
      <c r="F12972" s="4">
        <f>IFERROR(__xludf.DUMMYFUNCTION("""COMPUTED_VALUE"""),805.0)</f>
        <v>805</v>
      </c>
      <c r="G12972" s="4">
        <f>IFERROR(__xludf.DUMMYFUNCTION("""COMPUTED_VALUE"""),52.0)</f>
        <v>52</v>
      </c>
      <c r="H12972" s="4"/>
      <c r="I12972" s="4"/>
    </row>
    <row r="12973">
      <c r="A12973" s="4" t="str">
        <f>IFERROR(__xludf.DUMMYFUNCTION("""COMPUTED_VALUE"""),"cas_hmw")</f>
        <v>cas_hmw</v>
      </c>
      <c r="B12973" s="5">
        <f>IFERROR(__xludf.DUMMYFUNCTION("""COMPUTED_VALUE"""),44715.0)</f>
        <v>44715</v>
      </c>
      <c r="C12973" s="6">
        <f>IFERROR(__xludf.DUMMYFUNCTION("""COMPUTED_VALUE"""),0.7781597222237906)</f>
        <v>0.7781597222</v>
      </c>
      <c r="D12973" s="4">
        <f>IFERROR(__xludf.DUMMYFUNCTION("""COMPUTED_VALUE"""),12.634514)</f>
        <v>12.634514</v>
      </c>
      <c r="E12973" s="4">
        <f>IFERROR(__xludf.DUMMYFUNCTION("""COMPUTED_VALUE"""),79.932967)</f>
        <v>79.932967</v>
      </c>
      <c r="F12973" s="4">
        <f>IFERROR(__xludf.DUMMYFUNCTION("""COMPUTED_VALUE"""),805.0)</f>
        <v>805</v>
      </c>
      <c r="G12973" s="4">
        <f>IFERROR(__xludf.DUMMYFUNCTION("""COMPUTED_VALUE"""),52.0)</f>
        <v>52</v>
      </c>
      <c r="H12973" s="4"/>
      <c r="I12973" s="4"/>
    </row>
    <row r="12974">
      <c r="A12974" s="4" t="str">
        <f>IFERROR(__xludf.DUMMYFUNCTION("""COMPUTED_VALUE"""),"cas_hmw")</f>
        <v>cas_hmw</v>
      </c>
      <c r="B12974" s="5">
        <f>IFERROR(__xludf.DUMMYFUNCTION("""COMPUTED_VALUE"""),44715.0)</f>
        <v>44715</v>
      </c>
      <c r="C12974" s="6">
        <f>IFERROR(__xludf.DUMMYFUNCTION("""COMPUTED_VALUE"""),0.7782175925931369)</f>
        <v>0.7782175926</v>
      </c>
      <c r="D12974" s="4">
        <f>IFERROR(__xludf.DUMMYFUNCTION("""COMPUTED_VALUE"""),13.030863)</f>
        <v>13.030863</v>
      </c>
      <c r="E12974" s="4">
        <f>IFERROR(__xludf.DUMMYFUNCTION("""COMPUTED_VALUE"""),80.239523)</f>
        <v>80.239523</v>
      </c>
      <c r="F12974" s="4">
        <f>IFERROR(__xludf.DUMMYFUNCTION("""COMPUTED_VALUE"""),2846.0)</f>
        <v>2846</v>
      </c>
      <c r="G12974" s="4">
        <f>IFERROR(__xludf.DUMMYFUNCTION("""COMPUTED_VALUE"""),28.0)</f>
        <v>28</v>
      </c>
      <c r="H12974" s="4"/>
      <c r="I12974" s="4"/>
    </row>
    <row r="12975">
      <c r="A12975" s="4" t="str">
        <f>IFERROR(__xludf.DUMMYFUNCTION("""COMPUTED_VALUE"""),"cas_hmw")</f>
        <v>cas_hmw</v>
      </c>
      <c r="B12975" s="5">
        <f>IFERROR(__xludf.DUMMYFUNCTION("""COMPUTED_VALUE"""),44715.0)</f>
        <v>44715</v>
      </c>
      <c r="C12975" s="6">
        <f>IFERROR(__xludf.DUMMYFUNCTION("""COMPUTED_VALUE"""),0.7782638888893416)</f>
        <v>0.7782638889</v>
      </c>
      <c r="D12975" s="4">
        <f>IFERROR(__xludf.DUMMYFUNCTION("""COMPUTED_VALUE"""),13.030863)</f>
        <v>13.030863</v>
      </c>
      <c r="E12975" s="4">
        <f>IFERROR(__xludf.DUMMYFUNCTION("""COMPUTED_VALUE"""),80.239523)</f>
        <v>80.239523</v>
      </c>
      <c r="F12975" s="4">
        <f>IFERROR(__xludf.DUMMYFUNCTION("""COMPUTED_VALUE"""),2846.0)</f>
        <v>2846</v>
      </c>
      <c r="G12975" s="4">
        <f>IFERROR(__xludf.DUMMYFUNCTION("""COMPUTED_VALUE"""),28.0)</f>
        <v>28</v>
      </c>
      <c r="H12975" s="4"/>
      <c r="I12975" s="4"/>
    </row>
    <row r="12976">
      <c r="A12976" s="4" t="str">
        <f>IFERROR(__xludf.DUMMYFUNCTION("""COMPUTED_VALUE"""),"cas_hmw")</f>
        <v>cas_hmw</v>
      </c>
      <c r="B12976" s="5">
        <f>IFERROR(__xludf.DUMMYFUNCTION("""COMPUTED_VALUE"""),44715.0)</f>
        <v>44715</v>
      </c>
      <c r="C12976" s="6">
        <f>IFERROR(__xludf.DUMMYFUNCTION("""COMPUTED_VALUE"""),0.7783101851855463)</f>
        <v>0.7783101852</v>
      </c>
      <c r="D12976" s="4">
        <f>IFERROR(__xludf.DUMMYFUNCTION("""COMPUTED_VALUE"""),13.030863)</f>
        <v>13.030863</v>
      </c>
      <c r="E12976" s="4">
        <f>IFERROR(__xludf.DUMMYFUNCTION("""COMPUTED_VALUE"""),80.239523)</f>
        <v>80.239523</v>
      </c>
      <c r="F12976" s="4">
        <f>IFERROR(__xludf.DUMMYFUNCTION("""COMPUTED_VALUE"""),2846.0)</f>
        <v>2846</v>
      </c>
      <c r="G12976" s="4">
        <f>IFERROR(__xludf.DUMMYFUNCTION("""COMPUTED_VALUE"""),28.0)</f>
        <v>28</v>
      </c>
      <c r="H12976" s="4"/>
      <c r="I12976" s="4"/>
    </row>
    <row r="12977">
      <c r="A12977" s="4" t="str">
        <f>IFERROR(__xludf.DUMMYFUNCTION("""COMPUTED_VALUE"""),"cas_hmw")</f>
        <v>cas_hmw</v>
      </c>
      <c r="B12977" s="5">
        <f>IFERROR(__xludf.DUMMYFUNCTION("""COMPUTED_VALUE"""),44715.0)</f>
        <v>44715</v>
      </c>
      <c r="C12977" s="6">
        <f>IFERROR(__xludf.DUMMYFUNCTION("""COMPUTED_VALUE"""),0.778356481481751)</f>
        <v>0.7783564815</v>
      </c>
      <c r="D12977" s="4">
        <f>IFERROR(__xludf.DUMMYFUNCTION("""COMPUTED_VALUE"""),13.030501)</f>
        <v>13.030501</v>
      </c>
      <c r="E12977" s="4">
        <f>IFERROR(__xludf.DUMMYFUNCTION("""COMPUTED_VALUE"""),80.238868)</f>
        <v>80.238868</v>
      </c>
      <c r="F12977" s="4">
        <f>IFERROR(__xludf.DUMMYFUNCTION("""COMPUTED_VALUE"""),2846.0)</f>
        <v>2846</v>
      </c>
      <c r="G12977" s="4">
        <f>IFERROR(__xludf.DUMMYFUNCTION("""COMPUTED_VALUE"""),30.0)</f>
        <v>30</v>
      </c>
      <c r="H12977" s="4"/>
      <c r="I12977" s="4"/>
    </row>
    <row r="12978">
      <c r="A12978" s="4" t="str">
        <f>IFERROR(__xludf.DUMMYFUNCTION("""COMPUTED_VALUE"""),"cas_hmw")</f>
        <v>cas_hmw</v>
      </c>
      <c r="B12978" s="5">
        <f>IFERROR(__xludf.DUMMYFUNCTION("""COMPUTED_VALUE"""),44715.0)</f>
        <v>44715</v>
      </c>
      <c r="C12978" s="6">
        <f>IFERROR(__xludf.DUMMYFUNCTION("""COMPUTED_VALUE"""),0.7786226851858373)</f>
        <v>0.7786226852</v>
      </c>
      <c r="D12978" s="4">
        <f>IFERROR(__xludf.DUMMYFUNCTION("""COMPUTED_VALUE"""),13.029513)</f>
        <v>13.029513</v>
      </c>
      <c r="E12978" s="4">
        <f>IFERROR(__xludf.DUMMYFUNCTION("""COMPUTED_VALUE"""),80.237218)</f>
        <v>80.237218</v>
      </c>
      <c r="F12978" s="4">
        <f>IFERROR(__xludf.DUMMYFUNCTION("""COMPUTED_VALUE"""),2846.0)</f>
        <v>2846</v>
      </c>
      <c r="G12978" s="4">
        <f>IFERROR(__xludf.DUMMYFUNCTION("""COMPUTED_VALUE"""),45.0)</f>
        <v>45</v>
      </c>
      <c r="H12978" s="4"/>
      <c r="I12978" s="4"/>
    </row>
    <row r="12979">
      <c r="A12979" s="4" t="str">
        <f>IFERROR(__xludf.DUMMYFUNCTION("""COMPUTED_VALUE"""),"cas_hmw")</f>
        <v>cas_hmw</v>
      </c>
      <c r="B12979" s="5">
        <f>IFERROR(__xludf.DUMMYFUNCTION("""COMPUTED_VALUE"""),44715.0)</f>
        <v>44715</v>
      </c>
      <c r="C12979" s="6">
        <f>IFERROR(__xludf.DUMMYFUNCTION("""COMPUTED_VALUE"""),0.7798726851870015)</f>
        <v>0.7798726852</v>
      </c>
      <c r="D12979" s="4">
        <f>IFERROR(__xludf.DUMMYFUNCTION("""COMPUTED_VALUE"""),12.653425)</f>
        <v>12.653425</v>
      </c>
      <c r="E12979" s="4">
        <f>IFERROR(__xludf.DUMMYFUNCTION("""COMPUTED_VALUE"""),79.940111)</f>
        <v>79.940111</v>
      </c>
      <c r="F12979" s="4">
        <f>IFERROR(__xludf.DUMMYFUNCTION("""COMPUTED_VALUE"""),805.0)</f>
        <v>805</v>
      </c>
      <c r="G12979" s="4">
        <f>IFERROR(__xludf.DUMMYFUNCTION("""COMPUTED_VALUE"""),58.0)</f>
        <v>58</v>
      </c>
      <c r="H12979" s="4"/>
      <c r="I12979" s="4"/>
    </row>
    <row r="12980">
      <c r="A12980" s="4" t="str">
        <f>IFERROR(__xludf.DUMMYFUNCTION("""COMPUTED_VALUE"""),"cas_hmw")</f>
        <v>cas_hmw</v>
      </c>
      <c r="B12980" s="5">
        <f>IFERROR(__xludf.DUMMYFUNCTION("""COMPUTED_VALUE"""),44715.0)</f>
        <v>44715</v>
      </c>
      <c r="C12980" s="6">
        <f>IFERROR(__xludf.DUMMYFUNCTION("""COMPUTED_VALUE"""),0.7801041666680248)</f>
        <v>0.7801041667</v>
      </c>
      <c r="D12980" s="4">
        <f>IFERROR(__xludf.DUMMYFUNCTION("""COMPUTED_VALUE"""),12.657705)</f>
        <v>12.657705</v>
      </c>
      <c r="E12980" s="4">
        <f>IFERROR(__xludf.DUMMYFUNCTION("""COMPUTED_VALUE"""),79.941398)</f>
        <v>79.941398</v>
      </c>
      <c r="F12980" s="4">
        <f>IFERROR(__xludf.DUMMYFUNCTION("""COMPUTED_VALUE"""),805.0)</f>
        <v>805</v>
      </c>
      <c r="G12980" s="4">
        <f>IFERROR(__xludf.DUMMYFUNCTION("""COMPUTED_VALUE"""),58.0)</f>
        <v>58</v>
      </c>
      <c r="H12980" s="4"/>
      <c r="I12980" s="4"/>
    </row>
    <row r="12981">
      <c r="A12981" s="4" t="str">
        <f>IFERROR(__xludf.DUMMYFUNCTION("""COMPUTED_VALUE"""),"cas_hmw")</f>
        <v>cas_hmw</v>
      </c>
      <c r="B12981" s="5">
        <f>IFERROR(__xludf.DUMMYFUNCTION("""COMPUTED_VALUE"""),44715.0)</f>
        <v>44715</v>
      </c>
      <c r="C12981" s="6">
        <f>IFERROR(__xludf.DUMMYFUNCTION("""COMPUTED_VALUE"""),0.7816666666658421)</f>
        <v>0.7816666667</v>
      </c>
      <c r="D12981" s="4">
        <f>IFERROR(__xludf.DUMMYFUNCTION("""COMPUTED_VALUE"""),13.024578)</f>
        <v>13.024578</v>
      </c>
      <c r="E12981" s="4">
        <f>IFERROR(__xludf.DUMMYFUNCTION("""COMPUTED_VALUE"""),80.229131)</f>
        <v>80.229131</v>
      </c>
      <c r="F12981" s="4">
        <f>IFERROR(__xludf.DUMMYFUNCTION("""COMPUTED_VALUE"""),2846.0)</f>
        <v>2846</v>
      </c>
      <c r="G12981" s="4">
        <f>IFERROR(__xludf.DUMMYFUNCTION("""COMPUTED_VALUE"""),5.0)</f>
        <v>5</v>
      </c>
      <c r="H12981" s="4"/>
      <c r="I12981" s="4"/>
    </row>
    <row r="12982">
      <c r="A12982" s="4" t="str">
        <f>IFERROR(__xludf.DUMMYFUNCTION("""COMPUTED_VALUE"""),"cas_hmw")</f>
        <v>cas_hmw</v>
      </c>
      <c r="B12982" s="5">
        <f>IFERROR(__xludf.DUMMYFUNCTION("""COMPUTED_VALUE"""),44715.0)</f>
        <v>44715</v>
      </c>
      <c r="C12982" s="6">
        <f>IFERROR(__xludf.DUMMYFUNCTION("""COMPUTED_VALUE"""),0.7819560185198497)</f>
        <v>0.7819560185</v>
      </c>
      <c r="D12982" s="4">
        <f>IFERROR(__xludf.DUMMYFUNCTION("""COMPUTED_VALUE"""),13.022548)</f>
        <v>13.022548</v>
      </c>
      <c r="E12982" s="4">
        <f>IFERROR(__xludf.DUMMYFUNCTION("""COMPUTED_VALUE"""),80.22678)</f>
        <v>80.22678</v>
      </c>
      <c r="F12982" s="4">
        <f>IFERROR(__xludf.DUMMYFUNCTION("""COMPUTED_VALUE"""),2846.0)</f>
        <v>2846</v>
      </c>
      <c r="G12982" s="4">
        <f>IFERROR(__xludf.DUMMYFUNCTION("""COMPUTED_VALUE"""),55.0)</f>
        <v>55</v>
      </c>
      <c r="H12982" s="4"/>
      <c r="I12982" s="4"/>
    </row>
    <row r="12983">
      <c r="A12983" s="4" t="str">
        <f>IFERROR(__xludf.DUMMYFUNCTION("""COMPUTED_VALUE"""),"cas_hmw")</f>
        <v>cas_hmw</v>
      </c>
      <c r="B12983" s="5">
        <f>IFERROR(__xludf.DUMMYFUNCTION("""COMPUTED_VALUE"""),44715.0)</f>
        <v>44715</v>
      </c>
      <c r="C12983" s="6">
        <f>IFERROR(__xludf.DUMMYFUNCTION("""COMPUTED_VALUE"""),0.7823495370357705)</f>
        <v>0.782349537</v>
      </c>
      <c r="D12983" s="4">
        <f>IFERROR(__xludf.DUMMYFUNCTION("""COMPUTED_VALUE"""),13.019252)</f>
        <v>13.019252</v>
      </c>
      <c r="E12983" s="4">
        <f>IFERROR(__xludf.DUMMYFUNCTION("""COMPUTED_VALUE"""),80.224487)</f>
        <v>80.224487</v>
      </c>
      <c r="F12983" s="4">
        <f>IFERROR(__xludf.DUMMYFUNCTION("""COMPUTED_VALUE"""),2846.0)</f>
        <v>2846</v>
      </c>
      <c r="G12983" s="4">
        <f>IFERROR(__xludf.DUMMYFUNCTION("""COMPUTED_VALUE"""),46.0)</f>
        <v>46</v>
      </c>
      <c r="H12983" s="4"/>
      <c r="I12983" s="4"/>
    </row>
    <row r="12984">
      <c r="A12984" s="4" t="str">
        <f>IFERROR(__xludf.DUMMYFUNCTION("""COMPUTED_VALUE"""),"cas_hmw")</f>
        <v>cas_hmw</v>
      </c>
      <c r="B12984" s="5">
        <f>IFERROR(__xludf.DUMMYFUNCTION("""COMPUTED_VALUE"""),44715.0)</f>
        <v>44715</v>
      </c>
      <c r="C12984" s="6">
        <f>IFERROR(__xludf.DUMMYFUNCTION("""COMPUTED_VALUE"""),0.7825462962973688)</f>
        <v>0.7825462963</v>
      </c>
      <c r="D12984" s="4">
        <f>IFERROR(__xludf.DUMMYFUNCTION("""COMPUTED_VALUE"""),13.017547)</f>
        <v>13.017547</v>
      </c>
      <c r="E12984" s="4">
        <f>IFERROR(__xludf.DUMMYFUNCTION("""COMPUTED_VALUE"""),80.225026)</f>
        <v>80.225026</v>
      </c>
      <c r="F12984" s="4">
        <f>IFERROR(__xludf.DUMMYFUNCTION("""COMPUTED_VALUE"""),2846.0)</f>
        <v>2846</v>
      </c>
      <c r="G12984" s="4">
        <f>IFERROR(__xludf.DUMMYFUNCTION("""COMPUTED_VALUE"""),31.0)</f>
        <v>31</v>
      </c>
      <c r="H12984" s="4"/>
      <c r="I12984" s="4"/>
    </row>
    <row r="12985">
      <c r="A12985" s="4" t="str">
        <f>IFERROR(__xludf.DUMMYFUNCTION("""COMPUTED_VALUE"""),"cas_hmw")</f>
        <v>cas_hmw</v>
      </c>
      <c r="B12985" s="5">
        <f>IFERROR(__xludf.DUMMYFUNCTION("""COMPUTED_VALUE"""),44715.0)</f>
        <v>44715</v>
      </c>
      <c r="C12985" s="6">
        <f>IFERROR(__xludf.DUMMYFUNCTION("""COMPUTED_VALUE"""),0.7825694444436522)</f>
        <v>0.7825694444</v>
      </c>
      <c r="D12985" s="4">
        <f>IFERROR(__xludf.DUMMYFUNCTION("""COMPUTED_VALUE"""),13.017547)</f>
        <v>13.017547</v>
      </c>
      <c r="E12985" s="4">
        <f>IFERROR(__xludf.DUMMYFUNCTION("""COMPUTED_VALUE"""),80.225026)</f>
        <v>80.225026</v>
      </c>
      <c r="F12985" s="4">
        <f>IFERROR(__xludf.DUMMYFUNCTION("""COMPUTED_VALUE"""),2846.0)</f>
        <v>2846</v>
      </c>
      <c r="G12985" s="4">
        <f>IFERROR(__xludf.DUMMYFUNCTION("""COMPUTED_VALUE"""),31.0)</f>
        <v>31</v>
      </c>
      <c r="H12985" s="4"/>
      <c r="I12985" s="4"/>
    </row>
    <row r="12986">
      <c r="A12986" s="4" t="str">
        <f>IFERROR(__xludf.DUMMYFUNCTION("""COMPUTED_VALUE"""),"cas_hmw")</f>
        <v>cas_hmw</v>
      </c>
      <c r="B12986" s="5">
        <f>IFERROR(__xludf.DUMMYFUNCTION("""COMPUTED_VALUE"""),44715.0)</f>
        <v>44715</v>
      </c>
      <c r="C12986" s="6">
        <f>IFERROR(__xludf.DUMMYFUNCTION("""COMPUTED_VALUE"""),0.7826388888897782)</f>
        <v>0.7826388889</v>
      </c>
      <c r="D12986" s="4">
        <f>IFERROR(__xludf.DUMMYFUNCTION("""COMPUTED_VALUE"""),13.016648)</f>
        <v>13.016648</v>
      </c>
      <c r="E12986" s="4">
        <f>IFERROR(__xludf.DUMMYFUNCTION("""COMPUTED_VALUE"""),80.225387)</f>
        <v>80.225387</v>
      </c>
      <c r="F12986" s="4">
        <f>IFERROR(__xludf.DUMMYFUNCTION("""COMPUTED_VALUE"""),2846.0)</f>
        <v>2846</v>
      </c>
      <c r="G12986" s="4">
        <f>IFERROR(__xludf.DUMMYFUNCTION("""COMPUTED_VALUE"""),36.0)</f>
        <v>36</v>
      </c>
      <c r="H12986" s="4"/>
      <c r="I12986" s="4"/>
    </row>
    <row r="12987">
      <c r="A12987" s="4" t="str">
        <f>IFERROR(__xludf.DUMMYFUNCTION("""COMPUTED_VALUE"""),"cas_hmw")</f>
        <v>cas_hmw</v>
      </c>
      <c r="B12987" s="5">
        <f>IFERROR(__xludf.DUMMYFUNCTION("""COMPUTED_VALUE"""),44715.0)</f>
        <v>44715</v>
      </c>
      <c r="C12987" s="6">
        <f>IFERROR(__xludf.DUMMYFUNCTION("""COMPUTED_VALUE"""),0.7827083333322662)</f>
        <v>0.7827083333</v>
      </c>
      <c r="D12987" s="4">
        <f>IFERROR(__xludf.DUMMYFUNCTION("""COMPUTED_VALUE"""),13.016648)</f>
        <v>13.016648</v>
      </c>
      <c r="E12987" s="4">
        <f>IFERROR(__xludf.DUMMYFUNCTION("""COMPUTED_VALUE"""),80.225387)</f>
        <v>80.225387</v>
      </c>
      <c r="F12987" s="4">
        <f>IFERROR(__xludf.DUMMYFUNCTION("""COMPUTED_VALUE"""),2846.0)</f>
        <v>2846</v>
      </c>
      <c r="G12987" s="4">
        <f>IFERROR(__xludf.DUMMYFUNCTION("""COMPUTED_VALUE"""),36.0)</f>
        <v>36</v>
      </c>
      <c r="H12987" s="4"/>
      <c r="I12987" s="4"/>
    </row>
    <row r="12988">
      <c r="A12988" s="4" t="str">
        <f>IFERROR(__xludf.DUMMYFUNCTION("""COMPUTED_VALUE"""),"cas_hmw")</f>
        <v>cas_hmw</v>
      </c>
      <c r="B12988" s="5">
        <f>IFERROR(__xludf.DUMMYFUNCTION("""COMPUTED_VALUE"""),44715.0)</f>
        <v>44715</v>
      </c>
      <c r="C12988" s="6">
        <f>IFERROR(__xludf.DUMMYFUNCTION("""COMPUTED_VALUE"""),0.7832175925941556)</f>
        <v>0.7832175926</v>
      </c>
      <c r="D12988" s="4">
        <f>IFERROR(__xludf.DUMMYFUNCTION("""COMPUTED_VALUE"""),13.013958)</f>
        <v>13.013958</v>
      </c>
      <c r="E12988" s="4">
        <f>IFERROR(__xludf.DUMMYFUNCTION("""COMPUTED_VALUE"""),80.226373)</f>
        <v>80.226373</v>
      </c>
      <c r="F12988" s="4">
        <f>IFERROR(__xludf.DUMMYFUNCTION("""COMPUTED_VALUE"""),2846.0)</f>
        <v>2846</v>
      </c>
      <c r="G12988" s="4">
        <f>IFERROR(__xludf.DUMMYFUNCTION("""COMPUTED_VALUE"""),29.0)</f>
        <v>29</v>
      </c>
      <c r="H12988" s="4"/>
      <c r="I12988" s="4"/>
    </row>
    <row r="12989">
      <c r="A12989" s="4" t="str">
        <f>IFERROR(__xludf.DUMMYFUNCTION("""COMPUTED_VALUE"""),"cas_hmw")</f>
        <v>cas_hmw</v>
      </c>
      <c r="B12989" s="5">
        <f>IFERROR(__xludf.DUMMYFUNCTION("""COMPUTED_VALUE"""),44715.0)</f>
        <v>44715</v>
      </c>
      <c r="C12989" s="6">
        <f>IFERROR(__xludf.DUMMYFUNCTION("""COMPUTED_VALUE"""),0.7834259259252576)</f>
        <v>0.7834259259</v>
      </c>
      <c r="D12989" s="4">
        <f>IFERROR(__xludf.DUMMYFUNCTION("""COMPUTED_VALUE"""),13.01313)</f>
        <v>13.01313</v>
      </c>
      <c r="E12989" s="4">
        <f>IFERROR(__xludf.DUMMYFUNCTION("""COMPUTED_VALUE"""),80.226683)</f>
        <v>80.226683</v>
      </c>
      <c r="F12989" s="4">
        <f>IFERROR(__xludf.DUMMYFUNCTION("""COMPUTED_VALUE"""),2846.0)</f>
        <v>2846</v>
      </c>
      <c r="G12989" s="4">
        <f>IFERROR(__xludf.DUMMYFUNCTION("""COMPUTED_VALUE"""),34.0)</f>
        <v>34</v>
      </c>
      <c r="H12989" s="4"/>
      <c r="I12989" s="4"/>
    </row>
    <row r="12990">
      <c r="A12990" s="4" t="str">
        <f>IFERROR(__xludf.DUMMYFUNCTION("""COMPUTED_VALUE"""),"cas_hmw")</f>
        <v>cas_hmw</v>
      </c>
      <c r="B12990" s="5">
        <f>IFERROR(__xludf.DUMMYFUNCTION("""COMPUTED_VALUE"""),44715.0)</f>
        <v>44715</v>
      </c>
      <c r="C12990" s="6">
        <f>IFERROR(__xludf.DUMMYFUNCTION("""COMPUTED_VALUE"""),0.7835763888906513)</f>
        <v>0.7835763889</v>
      </c>
      <c r="D12990" s="4">
        <f>IFERROR(__xludf.DUMMYFUNCTION("""COMPUTED_VALUE"""),13.01109)</f>
        <v>13.01109</v>
      </c>
      <c r="E12990" s="4">
        <f>IFERROR(__xludf.DUMMYFUNCTION("""COMPUTED_VALUE"""),80.2275)</f>
        <v>80.2275</v>
      </c>
      <c r="F12990" s="4">
        <f>IFERROR(__xludf.DUMMYFUNCTION("""COMPUTED_VALUE"""),2846.0)</f>
        <v>2846</v>
      </c>
      <c r="G12990" s="4">
        <f>IFERROR(__xludf.DUMMYFUNCTION("""COMPUTED_VALUE"""),53.0)</f>
        <v>53</v>
      </c>
      <c r="H12990" s="4"/>
      <c r="I12990" s="4"/>
    </row>
    <row r="12991">
      <c r="A12991" s="4" t="str">
        <f>IFERROR(__xludf.DUMMYFUNCTION("""COMPUTED_VALUE"""),"cas_hmw")</f>
        <v>cas_hmw</v>
      </c>
      <c r="B12991" s="5">
        <f>IFERROR(__xludf.DUMMYFUNCTION("""COMPUTED_VALUE"""),44715.0)</f>
        <v>44715</v>
      </c>
      <c r="C12991" s="6">
        <f>IFERROR(__xludf.DUMMYFUNCTION("""COMPUTED_VALUE"""),0.7854398148156179)</f>
        <v>0.7854398148</v>
      </c>
      <c r="D12991" s="4">
        <f>IFERROR(__xludf.DUMMYFUNCTION("""COMPUTED_VALUE"""),13.011433)</f>
        <v>13.011433</v>
      </c>
      <c r="E12991" s="4">
        <f>IFERROR(__xludf.DUMMYFUNCTION("""COMPUTED_VALUE"""),80.223037)</f>
        <v>80.223037</v>
      </c>
      <c r="F12991" s="4">
        <f>IFERROR(__xludf.DUMMYFUNCTION("""COMPUTED_VALUE"""),2846.0)</f>
        <v>2846</v>
      </c>
      <c r="G12991" s="4">
        <f>IFERROR(__xludf.DUMMYFUNCTION("""COMPUTED_VALUE"""),29.0)</f>
        <v>29</v>
      </c>
      <c r="H12991" s="4"/>
      <c r="I12991" s="4"/>
    </row>
    <row r="12992">
      <c r="A12992" s="4" t="str">
        <f>IFERROR(__xludf.DUMMYFUNCTION("""COMPUTED_VALUE"""),"cas_hmw")</f>
        <v>cas_hmw</v>
      </c>
      <c r="B12992" s="5">
        <f>IFERROR(__xludf.DUMMYFUNCTION("""COMPUTED_VALUE"""),44715.0)</f>
        <v>44715</v>
      </c>
      <c r="C12992" s="6">
        <f>IFERROR(__xludf.DUMMYFUNCTION("""COMPUTED_VALUE"""),0.7858449074083182)</f>
        <v>0.7858449074</v>
      </c>
      <c r="D12992" s="4">
        <f>IFERROR(__xludf.DUMMYFUNCTION("""COMPUTED_VALUE"""),12.699414)</f>
        <v>12.699414</v>
      </c>
      <c r="E12992" s="4">
        <f>IFERROR(__xludf.DUMMYFUNCTION("""COMPUTED_VALUE"""),79.968186)</f>
        <v>79.968186</v>
      </c>
      <c r="F12992" s="4">
        <f>IFERROR(__xludf.DUMMYFUNCTION("""COMPUTED_VALUE"""),805.0)</f>
        <v>805</v>
      </c>
      <c r="G12992" s="4">
        <f>IFERROR(__xludf.DUMMYFUNCTION("""COMPUTED_VALUE"""),57.0)</f>
        <v>57</v>
      </c>
      <c r="H12992" s="4"/>
      <c r="I12992" s="4"/>
    </row>
    <row r="12993">
      <c r="A12993" s="4" t="str">
        <f>IFERROR(__xludf.DUMMYFUNCTION("""COMPUTED_VALUE"""),"cas_hmw")</f>
        <v>cas_hmw</v>
      </c>
      <c r="B12993" s="5">
        <f>IFERROR(__xludf.DUMMYFUNCTION("""COMPUTED_VALUE"""),44715.0)</f>
        <v>44715</v>
      </c>
      <c r="C12993" s="6">
        <f>IFERROR(__xludf.DUMMYFUNCTION("""COMPUTED_VALUE"""),0.7871412037020491)</f>
        <v>0.7871412037</v>
      </c>
      <c r="D12993" s="4">
        <f>IFERROR(__xludf.DUMMYFUNCTION("""COMPUTED_VALUE"""),13.010303)</f>
        <v>13.010303</v>
      </c>
      <c r="E12993" s="4">
        <f>IFERROR(__xludf.DUMMYFUNCTION("""COMPUTED_VALUE"""),80.21594)</f>
        <v>80.21594</v>
      </c>
      <c r="F12993" s="4">
        <f>IFERROR(__xludf.DUMMYFUNCTION("""COMPUTED_VALUE"""),2846.0)</f>
        <v>2846</v>
      </c>
      <c r="G12993" s="4">
        <f>IFERROR(__xludf.DUMMYFUNCTION("""COMPUTED_VALUE"""),30.0)</f>
        <v>30</v>
      </c>
      <c r="H12993" s="4"/>
      <c r="I12993" s="4"/>
    </row>
    <row r="12994">
      <c r="A12994" s="4" t="str">
        <f>IFERROR(__xludf.DUMMYFUNCTION("""COMPUTED_VALUE"""),"cas_hmw")</f>
        <v>cas_hmw</v>
      </c>
      <c r="B12994" s="5">
        <f>IFERROR(__xludf.DUMMYFUNCTION("""COMPUTED_VALUE"""),44715.0)</f>
        <v>44715</v>
      </c>
      <c r="C12994" s="6">
        <f>IFERROR(__xludf.DUMMYFUNCTION("""COMPUTED_VALUE"""),0.7882291666683159)</f>
        <v>0.7882291667</v>
      </c>
      <c r="D12994" s="4">
        <f>IFERROR(__xludf.DUMMYFUNCTION("""COMPUTED_VALUE"""),12.723739)</f>
        <v>12.723739</v>
      </c>
      <c r="E12994" s="4">
        <f>IFERROR(__xludf.DUMMYFUNCTION("""COMPUTED_VALUE"""),79.981616)</f>
        <v>79.981616</v>
      </c>
      <c r="F12994" s="4">
        <f>IFERROR(__xludf.DUMMYFUNCTION("""COMPUTED_VALUE"""),805.0)</f>
        <v>805</v>
      </c>
      <c r="G12994" s="4">
        <f>IFERROR(__xludf.DUMMYFUNCTION("""COMPUTED_VALUE"""),23.0)</f>
        <v>23</v>
      </c>
      <c r="H12994" s="4"/>
      <c r="I12994" s="4"/>
    </row>
    <row r="12995">
      <c r="A12995" s="4" t="str">
        <f>IFERROR(__xludf.DUMMYFUNCTION("""COMPUTED_VALUE"""),"cas_hmw")</f>
        <v>cas_hmw</v>
      </c>
      <c r="B12995" s="5">
        <f>IFERROR(__xludf.DUMMYFUNCTION("""COMPUTED_VALUE"""),44715.0)</f>
        <v>44715</v>
      </c>
      <c r="C12995" s="6">
        <f>IFERROR(__xludf.DUMMYFUNCTION("""COMPUTED_VALUE"""),0.788749999999709)</f>
        <v>0.78875</v>
      </c>
      <c r="D12995" s="4">
        <f>IFERROR(__xludf.DUMMYFUNCTION("""COMPUTED_VALUE"""),13.007911)</f>
        <v>13.007911</v>
      </c>
      <c r="E12995" s="4">
        <f>IFERROR(__xludf.DUMMYFUNCTION("""COMPUTED_VALUE"""),80.208459)</f>
        <v>80.208459</v>
      </c>
      <c r="F12995" s="4">
        <f>IFERROR(__xludf.DUMMYFUNCTION("""COMPUTED_VALUE"""),2846.0)</f>
        <v>2846</v>
      </c>
      <c r="G12995" s="4">
        <f>IFERROR(__xludf.DUMMYFUNCTION("""COMPUTED_VALUE"""),28.0)</f>
        <v>28</v>
      </c>
      <c r="H12995" s="4"/>
      <c r="I12995" s="4"/>
    </row>
    <row r="12996">
      <c r="A12996" s="4" t="str">
        <f>IFERROR(__xludf.DUMMYFUNCTION("""COMPUTED_VALUE"""),"cas_hmw")</f>
        <v>cas_hmw</v>
      </c>
      <c r="B12996" s="5">
        <f>IFERROR(__xludf.DUMMYFUNCTION("""COMPUTED_VALUE"""),44715.0)</f>
        <v>44715</v>
      </c>
      <c r="C12996" s="6">
        <f>IFERROR(__xludf.DUMMYFUNCTION("""COMPUTED_VALUE"""),0.78885416666526)</f>
        <v>0.7888541667</v>
      </c>
      <c r="D12996" s="4">
        <f>IFERROR(__xludf.DUMMYFUNCTION("""COMPUTED_VALUE"""),13.007911)</f>
        <v>13.007911</v>
      </c>
      <c r="E12996" s="4">
        <f>IFERROR(__xludf.DUMMYFUNCTION("""COMPUTED_VALUE"""),80.208459)</f>
        <v>80.208459</v>
      </c>
      <c r="F12996" s="4">
        <f>IFERROR(__xludf.DUMMYFUNCTION("""COMPUTED_VALUE"""),2846.0)</f>
        <v>2846</v>
      </c>
      <c r="G12996" s="4">
        <f>IFERROR(__xludf.DUMMYFUNCTION("""COMPUTED_VALUE"""),28.0)</f>
        <v>28</v>
      </c>
      <c r="H12996" s="4"/>
      <c r="I12996" s="4"/>
    </row>
    <row r="12997">
      <c r="A12997" s="4" t="str">
        <f>IFERROR(__xludf.DUMMYFUNCTION("""COMPUTED_VALUE"""),"cas_hmw")</f>
        <v>cas_hmw</v>
      </c>
      <c r="B12997" s="5">
        <f>IFERROR(__xludf.DUMMYFUNCTION("""COMPUTED_VALUE"""),44715.0)</f>
        <v>44715</v>
      </c>
      <c r="C12997" s="6">
        <f>IFERROR(__xludf.DUMMYFUNCTION("""COMPUTED_VALUE"""),0.7894328703696374)</f>
        <v>0.7894328704</v>
      </c>
      <c r="D12997" s="4">
        <f>IFERROR(__xludf.DUMMYFUNCTION("""COMPUTED_VALUE"""),13.007477)</f>
        <v>13.007477</v>
      </c>
      <c r="E12997" s="4">
        <f>IFERROR(__xludf.DUMMYFUNCTION("""COMPUTED_VALUE"""),80.205824)</f>
        <v>80.205824</v>
      </c>
      <c r="F12997" s="4">
        <f>IFERROR(__xludf.DUMMYFUNCTION("""COMPUTED_VALUE"""),2846.0)</f>
        <v>2846</v>
      </c>
      <c r="G12997" s="4">
        <f>IFERROR(__xludf.DUMMYFUNCTION("""COMPUTED_VALUE"""),11.0)</f>
        <v>11</v>
      </c>
      <c r="H12997" s="4"/>
      <c r="I12997" s="4"/>
    </row>
    <row r="12998">
      <c r="A12998" s="4" t="str">
        <f>IFERROR(__xludf.DUMMYFUNCTION("""COMPUTED_VALUE"""),"cas_hmw")</f>
        <v>cas_hmw</v>
      </c>
      <c r="B12998" s="5">
        <f>IFERROR(__xludf.DUMMYFUNCTION("""COMPUTED_VALUE"""),44715.0)</f>
        <v>44715</v>
      </c>
      <c r="C12998" s="6">
        <f>IFERROR(__xludf.DUMMYFUNCTION("""COMPUTED_VALUE"""),0.7922685185185401)</f>
        <v>0.7922685185</v>
      </c>
      <c r="D12998" s="4">
        <f>IFERROR(__xludf.DUMMYFUNCTION("""COMPUTED_VALUE"""),12.754015)</f>
        <v>12.754015</v>
      </c>
      <c r="E12998" s="4">
        <f>IFERROR(__xludf.DUMMYFUNCTION("""COMPUTED_VALUE"""),80.00054)</f>
        <v>80.00054</v>
      </c>
      <c r="F12998" s="4">
        <f>IFERROR(__xludf.DUMMYFUNCTION("""COMPUTED_VALUE"""),805.0)</f>
        <v>805</v>
      </c>
      <c r="G12998" s="4">
        <f>IFERROR(__xludf.DUMMYFUNCTION("""COMPUTED_VALUE"""),57.0)</f>
        <v>57</v>
      </c>
      <c r="H12998" s="4"/>
      <c r="I12998" s="4"/>
    </row>
    <row r="12999">
      <c r="A12999" s="4" t="str">
        <f>IFERROR(__xludf.DUMMYFUNCTION("""COMPUTED_VALUE"""),"cas_hmw")</f>
        <v>cas_hmw</v>
      </c>
      <c r="B12999" s="5">
        <f>IFERROR(__xludf.DUMMYFUNCTION("""COMPUTED_VALUE"""),44715.0)</f>
        <v>44715</v>
      </c>
      <c r="C12999" s="6">
        <f>IFERROR(__xludf.DUMMYFUNCTION("""COMPUTED_VALUE"""),0.7931944444426335)</f>
        <v>0.7931944444</v>
      </c>
      <c r="D12999" s="4">
        <f>IFERROR(__xludf.DUMMYFUNCTION("""COMPUTED_VALUE"""),13.001072)</f>
        <v>13.001072</v>
      </c>
      <c r="E12999" s="4">
        <f>IFERROR(__xludf.DUMMYFUNCTION("""COMPUTED_VALUE"""),80.195572)</f>
        <v>80.195572</v>
      </c>
      <c r="F12999" s="4">
        <f>IFERROR(__xludf.DUMMYFUNCTION("""COMPUTED_VALUE"""),2846.0)</f>
        <v>2846</v>
      </c>
      <c r="G12999" s="4">
        <f>IFERROR(__xludf.DUMMYFUNCTION("""COMPUTED_VALUE"""),40.0)</f>
        <v>40</v>
      </c>
      <c r="H12999" s="4"/>
      <c r="I12999" s="4"/>
    </row>
    <row r="13000">
      <c r="A13000" s="4" t="str">
        <f>IFERROR(__xludf.DUMMYFUNCTION("""COMPUTED_VALUE"""),"cas_hmw")</f>
        <v>cas_hmw</v>
      </c>
      <c r="B13000" s="5">
        <f>IFERROR(__xludf.DUMMYFUNCTION("""COMPUTED_VALUE"""),44715.0)</f>
        <v>44715</v>
      </c>
      <c r="C13000" s="6">
        <f>IFERROR(__xludf.DUMMYFUNCTION("""COMPUTED_VALUE"""),0.7932870370386809)</f>
        <v>0.793287037</v>
      </c>
      <c r="D13000" s="4">
        <f>IFERROR(__xludf.DUMMYFUNCTION("""COMPUTED_VALUE"""),13.000344)</f>
        <v>13.000344</v>
      </c>
      <c r="E13000" s="4">
        <f>IFERROR(__xludf.DUMMYFUNCTION("""COMPUTED_VALUE"""),80.194654)</f>
        <v>80.194654</v>
      </c>
      <c r="F13000" s="4">
        <f>IFERROR(__xludf.DUMMYFUNCTION("""COMPUTED_VALUE"""),2846.0)</f>
        <v>2846</v>
      </c>
      <c r="G13000" s="4">
        <f>IFERROR(__xludf.DUMMYFUNCTION("""COMPUTED_VALUE"""),45.0)</f>
        <v>45</v>
      </c>
      <c r="H13000" s="4"/>
      <c r="I13000" s="4"/>
    </row>
    <row r="13001">
      <c r="A13001" s="4" t="str">
        <f>IFERROR(__xludf.DUMMYFUNCTION("""COMPUTED_VALUE"""),"cas_hmw")</f>
        <v>cas_hmw</v>
      </c>
      <c r="B13001" s="5">
        <f>IFERROR(__xludf.DUMMYFUNCTION("""COMPUTED_VALUE"""),44715.0)</f>
        <v>44715</v>
      </c>
      <c r="C13001" s="6">
        <f>IFERROR(__xludf.DUMMYFUNCTION("""COMPUTED_VALUE"""),0.7947106481478841)</f>
        <v>0.7947106481</v>
      </c>
      <c r="D13001" s="4">
        <f>IFERROR(__xludf.DUMMYFUNCTION("""COMPUTED_VALUE"""),12.762541)</f>
        <v>12.762541</v>
      </c>
      <c r="E13001" s="4">
        <f>IFERROR(__xludf.DUMMYFUNCTION("""COMPUTED_VALUE"""),80.003841)</f>
        <v>80.003841</v>
      </c>
      <c r="F13001" s="4">
        <f>IFERROR(__xludf.DUMMYFUNCTION("""COMPUTED_VALUE"""),805.0)</f>
        <v>805</v>
      </c>
      <c r="G13001" s="4">
        <f>IFERROR(__xludf.DUMMYFUNCTION("""COMPUTED_VALUE"""),0.0)</f>
        <v>0</v>
      </c>
      <c r="H13001" s="4"/>
      <c r="I13001" s="4"/>
    </row>
    <row r="13002">
      <c r="A13002" s="4" t="str">
        <f>IFERROR(__xludf.DUMMYFUNCTION("""COMPUTED_VALUE"""),"cas_hmw")</f>
        <v>cas_hmw</v>
      </c>
      <c r="B13002" s="5">
        <f>IFERROR(__xludf.DUMMYFUNCTION("""COMPUTED_VALUE"""),44715.0)</f>
        <v>44715</v>
      </c>
      <c r="C13002" s="6">
        <f>IFERROR(__xludf.DUMMYFUNCTION("""COMPUTED_VALUE"""),0.7947685185172304)</f>
        <v>0.7947685185</v>
      </c>
      <c r="D13002" s="4">
        <f>IFERROR(__xludf.DUMMYFUNCTION("""COMPUTED_VALUE"""),12.762541)</f>
        <v>12.762541</v>
      </c>
      <c r="E13002" s="4">
        <f>IFERROR(__xludf.DUMMYFUNCTION("""COMPUTED_VALUE"""),80.003841)</f>
        <v>80.003841</v>
      </c>
      <c r="F13002" s="4">
        <f>IFERROR(__xludf.DUMMYFUNCTION("""COMPUTED_VALUE"""),805.0)</f>
        <v>805</v>
      </c>
      <c r="G13002" s="4">
        <f>IFERROR(__xludf.DUMMYFUNCTION("""COMPUTED_VALUE"""),0.0)</f>
        <v>0</v>
      </c>
      <c r="H13002" s="4"/>
      <c r="I13002" s="4"/>
    </row>
    <row r="13003">
      <c r="A13003" s="4" t="str">
        <f>IFERROR(__xludf.DUMMYFUNCTION("""COMPUTED_VALUE"""),"cas_hmw")</f>
        <v>cas_hmw</v>
      </c>
      <c r="B13003" s="5">
        <f>IFERROR(__xludf.DUMMYFUNCTION("""COMPUTED_VALUE"""),44715.0)</f>
        <v>44715</v>
      </c>
      <c r="C13003" s="6">
        <f>IFERROR(__xludf.DUMMYFUNCTION("""COMPUTED_VALUE"""),0.7979861111125501)</f>
        <v>0.7979861111</v>
      </c>
      <c r="D13003" s="4">
        <f>IFERROR(__xludf.DUMMYFUNCTION("""COMPUTED_VALUE"""),12.791454)</f>
        <v>12.791454</v>
      </c>
      <c r="E13003" s="4">
        <f>IFERROR(__xludf.DUMMYFUNCTION("""COMPUTED_VALUE"""),80.017684)</f>
        <v>80.017684</v>
      </c>
      <c r="F13003" s="4">
        <f>IFERROR(__xludf.DUMMYFUNCTION("""COMPUTED_VALUE"""),805.0)</f>
        <v>805</v>
      </c>
      <c r="G13003" s="4">
        <f>IFERROR(__xludf.DUMMYFUNCTION("""COMPUTED_VALUE"""),45.0)</f>
        <v>45</v>
      </c>
      <c r="H13003" s="4"/>
      <c r="I13003" s="4"/>
    </row>
    <row r="13004">
      <c r="A13004" s="4" t="str">
        <f>IFERROR(__xludf.DUMMYFUNCTION("""COMPUTED_VALUE"""),"cas_hmw")</f>
        <v>cas_hmw</v>
      </c>
      <c r="B13004" s="5">
        <f>IFERROR(__xludf.DUMMYFUNCTION("""COMPUTED_VALUE"""),44715.0)</f>
        <v>44715</v>
      </c>
      <c r="C13004" s="6">
        <f>IFERROR(__xludf.DUMMYFUNCTION("""COMPUTED_VALUE"""),0.7990046296290529)</f>
        <v>0.7990046296</v>
      </c>
      <c r="D13004" s="4">
        <f>IFERROR(__xludf.DUMMYFUNCTION("""COMPUTED_VALUE"""),12.991145)</f>
        <v>12.991145</v>
      </c>
      <c r="E13004" s="4">
        <f>IFERROR(__xludf.DUMMYFUNCTION("""COMPUTED_VALUE"""),80.181052)</f>
        <v>80.181052</v>
      </c>
      <c r="F13004" s="4">
        <f>IFERROR(__xludf.DUMMYFUNCTION("""COMPUTED_VALUE"""),2846.0)</f>
        <v>2846</v>
      </c>
      <c r="G13004" s="4">
        <f>IFERROR(__xludf.DUMMYFUNCTION("""COMPUTED_VALUE"""),27.0)</f>
        <v>27</v>
      </c>
      <c r="H13004" s="4"/>
      <c r="I13004" s="4"/>
    </row>
    <row r="13005">
      <c r="A13005" s="4" t="str">
        <f>IFERROR(__xludf.DUMMYFUNCTION("""COMPUTED_VALUE"""),"cas_hmw")</f>
        <v>cas_hmw</v>
      </c>
      <c r="B13005" s="5">
        <f>IFERROR(__xludf.DUMMYFUNCTION("""COMPUTED_VALUE"""),44715.0)</f>
        <v>44715</v>
      </c>
      <c r="C13005" s="6">
        <f>IFERROR(__xludf.DUMMYFUNCTION("""COMPUTED_VALUE"""),0.7994675925910997)</f>
        <v>0.7994675926</v>
      </c>
      <c r="D13005" s="4">
        <f>IFERROR(__xludf.DUMMYFUNCTION("""COMPUTED_VALUE"""),12.989584)</f>
        <v>12.989584</v>
      </c>
      <c r="E13005" s="4">
        <f>IFERROR(__xludf.DUMMYFUNCTION("""COMPUTED_VALUE"""),80.179135)</f>
        <v>80.179135</v>
      </c>
      <c r="F13005" s="4">
        <f>IFERROR(__xludf.DUMMYFUNCTION("""COMPUTED_VALUE"""),2846.0)</f>
        <v>2846</v>
      </c>
      <c r="G13005" s="4">
        <f>IFERROR(__xludf.DUMMYFUNCTION("""COMPUTED_VALUE"""),12.0)</f>
        <v>12</v>
      </c>
      <c r="H13005" s="4"/>
      <c r="I13005" s="4"/>
    </row>
    <row r="13006">
      <c r="A13006" s="4" t="str">
        <f>IFERROR(__xludf.DUMMYFUNCTION("""COMPUTED_VALUE"""),"cas_hmw")</f>
        <v>cas_hmw</v>
      </c>
      <c r="B13006" s="5">
        <f>IFERROR(__xludf.DUMMYFUNCTION("""COMPUTED_VALUE"""),44715.0)</f>
        <v>44715</v>
      </c>
      <c r="C13006" s="6">
        <f>IFERROR(__xludf.DUMMYFUNCTION("""COMPUTED_VALUE"""),0.8005555555573665)</f>
        <v>0.8005555556</v>
      </c>
      <c r="D13006" s="4">
        <f>IFERROR(__xludf.DUMMYFUNCTION("""COMPUTED_VALUE"""),12.987072)</f>
        <v>12.987072</v>
      </c>
      <c r="E13006" s="4">
        <f>IFERROR(__xludf.DUMMYFUNCTION("""COMPUTED_VALUE"""),80.175739)</f>
        <v>80.175739</v>
      </c>
      <c r="F13006" s="4">
        <f>IFERROR(__xludf.DUMMYFUNCTION("""COMPUTED_VALUE"""),2846.0)</f>
        <v>2846</v>
      </c>
      <c r="G13006" s="4">
        <f>IFERROR(__xludf.DUMMYFUNCTION("""COMPUTED_VALUE"""),26.0)</f>
        <v>26</v>
      </c>
      <c r="H13006" s="4"/>
      <c r="I13006" s="4"/>
    </row>
    <row r="13007">
      <c r="A13007" s="4" t="str">
        <f>IFERROR(__xludf.DUMMYFUNCTION("""COMPUTED_VALUE"""),"cas_hmw")</f>
        <v>cas_hmw</v>
      </c>
      <c r="B13007" s="5">
        <f>IFERROR(__xludf.DUMMYFUNCTION("""COMPUTED_VALUE"""),44715.0)</f>
        <v>44715</v>
      </c>
      <c r="C13007" s="6">
        <f>IFERROR(__xludf.DUMMYFUNCTION("""COMPUTED_VALUE"""),0.8006134259267128)</f>
        <v>0.8006134259</v>
      </c>
      <c r="D13007" s="4">
        <f>IFERROR(__xludf.DUMMYFUNCTION("""COMPUTED_VALUE"""),12.987072)</f>
        <v>12.987072</v>
      </c>
      <c r="E13007" s="4">
        <f>IFERROR(__xludf.DUMMYFUNCTION("""COMPUTED_VALUE"""),80.175739)</f>
        <v>80.175739</v>
      </c>
      <c r="F13007" s="4">
        <f>IFERROR(__xludf.DUMMYFUNCTION("""COMPUTED_VALUE"""),2846.0)</f>
        <v>2846</v>
      </c>
      <c r="G13007" s="4">
        <f>IFERROR(__xludf.DUMMYFUNCTION("""COMPUTED_VALUE"""),26.0)</f>
        <v>26</v>
      </c>
      <c r="H13007" s="4"/>
      <c r="I13007" s="4"/>
    </row>
    <row r="13008">
      <c r="A13008" s="4" t="str">
        <f>IFERROR(__xludf.DUMMYFUNCTION("""COMPUTED_VALUE"""),"cas_hmw")</f>
        <v>cas_hmw</v>
      </c>
      <c r="B13008" s="5">
        <f>IFERROR(__xludf.DUMMYFUNCTION("""COMPUTED_VALUE"""),44715.0)</f>
        <v>44715</v>
      </c>
      <c r="C13008" s="6">
        <f>IFERROR(__xludf.DUMMYFUNCTION("""COMPUTED_VALUE"""),0.8007986111115315)</f>
        <v>0.8007986111</v>
      </c>
      <c r="D13008" s="4">
        <f>IFERROR(__xludf.DUMMYFUNCTION("""COMPUTED_VALUE"""),12.986312)</f>
        <v>12.986312</v>
      </c>
      <c r="E13008" s="4">
        <f>IFERROR(__xludf.DUMMYFUNCTION("""COMPUTED_VALUE"""),80.174631)</f>
        <v>80.174631</v>
      </c>
      <c r="F13008" s="4">
        <f>IFERROR(__xludf.DUMMYFUNCTION("""COMPUTED_VALUE"""),2846.0)</f>
        <v>2846</v>
      </c>
      <c r="G13008" s="4">
        <f>IFERROR(__xludf.DUMMYFUNCTION("""COMPUTED_VALUE"""),25.0)</f>
        <v>25</v>
      </c>
      <c r="H13008" s="4"/>
      <c r="I13008" s="4"/>
    </row>
    <row r="13009">
      <c r="A13009" s="4" t="str">
        <f>IFERROR(__xludf.DUMMYFUNCTION("""COMPUTED_VALUE"""),"cas_hmw")</f>
        <v>cas_hmw</v>
      </c>
      <c r="B13009" s="5">
        <f>IFERROR(__xludf.DUMMYFUNCTION("""COMPUTED_VALUE"""),44715.0)</f>
        <v>44715</v>
      </c>
      <c r="C13009" s="6">
        <f>IFERROR(__xludf.DUMMYFUNCTION("""COMPUTED_VALUE"""),0.8010300925925549)</f>
        <v>0.8010300926</v>
      </c>
      <c r="D13009" s="4">
        <f>IFERROR(__xludf.DUMMYFUNCTION("""COMPUTED_VALUE"""),12.985567)</f>
        <v>12.985567</v>
      </c>
      <c r="E13009" s="4">
        <f>IFERROR(__xludf.DUMMYFUNCTION("""COMPUTED_VALUE"""),80.173556)</f>
        <v>80.173556</v>
      </c>
      <c r="F13009" s="4">
        <f>IFERROR(__xludf.DUMMYFUNCTION("""COMPUTED_VALUE"""),2846.0)</f>
        <v>2846</v>
      </c>
      <c r="G13009" s="4">
        <f>IFERROR(__xludf.DUMMYFUNCTION("""COMPUTED_VALUE"""),25.0)</f>
        <v>25</v>
      </c>
      <c r="H13009" s="4"/>
      <c r="I13009" s="4"/>
    </row>
    <row r="13010">
      <c r="A13010" s="4" t="str">
        <f>IFERROR(__xludf.DUMMYFUNCTION("""COMPUTED_VALUE"""),"cas_hmw")</f>
        <v>cas_hmw</v>
      </c>
      <c r="B13010" s="5">
        <f>IFERROR(__xludf.DUMMYFUNCTION("""COMPUTED_VALUE"""),44715.0)</f>
        <v>44715</v>
      </c>
      <c r="C13010" s="6">
        <f>IFERROR(__xludf.DUMMYFUNCTION("""COMPUTED_VALUE"""),0.8010648148156179)</f>
        <v>0.8010648148</v>
      </c>
      <c r="D13010" s="4">
        <f>IFERROR(__xludf.DUMMYFUNCTION("""COMPUTED_VALUE"""),12.985567)</f>
        <v>12.985567</v>
      </c>
      <c r="E13010" s="4">
        <f>IFERROR(__xludf.DUMMYFUNCTION("""COMPUTED_VALUE"""),80.173556)</f>
        <v>80.173556</v>
      </c>
      <c r="F13010" s="4">
        <f>IFERROR(__xludf.DUMMYFUNCTION("""COMPUTED_VALUE"""),2846.0)</f>
        <v>2846</v>
      </c>
      <c r="G13010" s="4">
        <f>IFERROR(__xludf.DUMMYFUNCTION("""COMPUTED_VALUE"""),25.0)</f>
        <v>25</v>
      </c>
      <c r="H13010" s="4"/>
      <c r="I13010" s="4"/>
    </row>
    <row r="13011">
      <c r="A13011" s="4" t="str">
        <f>IFERROR(__xludf.DUMMYFUNCTION("""COMPUTED_VALUE"""),"cas_hmw")</f>
        <v>cas_hmw</v>
      </c>
      <c r="B13011" s="5">
        <f>IFERROR(__xludf.DUMMYFUNCTION("""COMPUTED_VALUE"""),44715.0)</f>
        <v>44715</v>
      </c>
      <c r="C13011" s="6">
        <f>IFERROR(__xludf.DUMMYFUNCTION("""COMPUTED_VALUE"""),0.8011342592581059)</f>
        <v>0.8011342593</v>
      </c>
      <c r="D13011" s="4">
        <f>IFERROR(__xludf.DUMMYFUNCTION("""COMPUTED_VALUE"""),12.985102)</f>
        <v>12.985102</v>
      </c>
      <c r="E13011" s="4">
        <f>IFERROR(__xludf.DUMMYFUNCTION("""COMPUTED_VALUE"""),80.172881)</f>
        <v>80.172881</v>
      </c>
      <c r="F13011" s="4">
        <f>IFERROR(__xludf.DUMMYFUNCTION("""COMPUTED_VALUE"""),2846.0)</f>
        <v>2846</v>
      </c>
      <c r="G13011" s="4">
        <f>IFERROR(__xludf.DUMMYFUNCTION("""COMPUTED_VALUE"""),36.0)</f>
        <v>36</v>
      </c>
      <c r="H13011" s="4"/>
      <c r="I13011" s="4"/>
    </row>
    <row r="13012">
      <c r="A13012" s="4" t="str">
        <f>IFERROR(__xludf.DUMMYFUNCTION("""COMPUTED_VALUE"""),"cas_hmw")</f>
        <v>cas_hmw</v>
      </c>
      <c r="B13012" s="5">
        <f>IFERROR(__xludf.DUMMYFUNCTION("""COMPUTED_VALUE"""),44715.0)</f>
        <v>44715</v>
      </c>
      <c r="C13012" s="6">
        <f>IFERROR(__xludf.DUMMYFUNCTION("""COMPUTED_VALUE"""),0.8016898148161999)</f>
        <v>0.8016898148</v>
      </c>
      <c r="D13012" s="4">
        <f>IFERROR(__xludf.DUMMYFUNCTION("""COMPUTED_VALUE"""),12.98402)</f>
        <v>12.98402</v>
      </c>
      <c r="E13012" s="4">
        <f>IFERROR(__xludf.DUMMYFUNCTION("""COMPUTED_VALUE"""),80.171166)</f>
        <v>80.171166</v>
      </c>
      <c r="F13012" s="4">
        <f>IFERROR(__xludf.DUMMYFUNCTION("""COMPUTED_VALUE"""),2846.0)</f>
        <v>2846</v>
      </c>
      <c r="G13012" s="4">
        <f>IFERROR(__xludf.DUMMYFUNCTION("""COMPUTED_VALUE"""),17.0)</f>
        <v>17</v>
      </c>
      <c r="H13012" s="4"/>
      <c r="I13012" s="4"/>
    </row>
    <row r="13013">
      <c r="A13013" s="4" t="str">
        <f>IFERROR(__xludf.DUMMYFUNCTION("""COMPUTED_VALUE"""),"cas_hmw")</f>
        <v>cas_hmw</v>
      </c>
      <c r="B13013" s="5">
        <f>IFERROR(__xludf.DUMMYFUNCTION("""COMPUTED_VALUE"""),44715.0)</f>
        <v>44715</v>
      </c>
      <c r="C13013" s="6">
        <f>IFERROR(__xludf.DUMMYFUNCTION("""COMPUTED_VALUE"""),0.8017824074086093)</f>
        <v>0.8017824074</v>
      </c>
      <c r="D13013" s="4">
        <f>IFERROR(__xludf.DUMMYFUNCTION("""COMPUTED_VALUE"""),12.983664)</f>
        <v>12.983664</v>
      </c>
      <c r="E13013" s="4">
        <f>IFERROR(__xludf.DUMMYFUNCTION("""COMPUTED_VALUE"""),80.17055)</f>
        <v>80.17055</v>
      </c>
      <c r="F13013" s="4">
        <f>IFERROR(__xludf.DUMMYFUNCTION("""COMPUTED_VALUE"""),2846.0)</f>
        <v>2846</v>
      </c>
      <c r="G13013" s="4">
        <f>IFERROR(__xludf.DUMMYFUNCTION("""COMPUTED_VALUE"""),34.0)</f>
        <v>34</v>
      </c>
      <c r="H13013" s="4"/>
      <c r="I13013" s="4"/>
    </row>
    <row r="13014">
      <c r="A13014" s="4" t="str">
        <f>IFERROR(__xludf.DUMMYFUNCTION("""COMPUTED_VALUE"""),"cas_hmw")</f>
        <v>cas_hmw</v>
      </c>
      <c r="B13014" s="5">
        <f>IFERROR(__xludf.DUMMYFUNCTION("""COMPUTED_VALUE"""),44715.0)</f>
        <v>44715</v>
      </c>
      <c r="C13014" s="6">
        <f>IFERROR(__xludf.DUMMYFUNCTION("""COMPUTED_VALUE"""),0.8019560185202863)</f>
        <v>0.8019560185</v>
      </c>
      <c r="D13014" s="4">
        <f>IFERROR(__xludf.DUMMYFUNCTION("""COMPUTED_VALUE"""),12.982661)</f>
        <v>12.982661</v>
      </c>
      <c r="E13014" s="4">
        <f>IFERROR(__xludf.DUMMYFUNCTION("""COMPUTED_VALUE"""),80.168759)</f>
        <v>80.168759</v>
      </c>
      <c r="F13014" s="4">
        <f>IFERROR(__xludf.DUMMYFUNCTION("""COMPUTED_VALUE"""),2846.0)</f>
        <v>2846</v>
      </c>
      <c r="G13014" s="4">
        <f>IFERROR(__xludf.DUMMYFUNCTION("""COMPUTED_VALUE"""),51.0)</f>
        <v>51</v>
      </c>
      <c r="H13014" s="4"/>
      <c r="I13014" s="4"/>
    </row>
    <row r="13015">
      <c r="A13015" s="4" t="str">
        <f>IFERROR(__xludf.DUMMYFUNCTION("""COMPUTED_VALUE"""),"cas_hmw")</f>
        <v>cas_hmw</v>
      </c>
      <c r="B13015" s="5">
        <f>IFERROR(__xludf.DUMMYFUNCTION("""COMPUTED_VALUE"""),44715.0)</f>
        <v>44715</v>
      </c>
      <c r="C13015" s="6">
        <f>IFERROR(__xludf.DUMMYFUNCTION("""COMPUTED_VALUE"""),0.802106481482042)</f>
        <v>0.8021064815</v>
      </c>
      <c r="D13015" s="4">
        <f>IFERROR(__xludf.DUMMYFUNCTION("""COMPUTED_VALUE"""),12.981997)</f>
        <v>12.981997</v>
      </c>
      <c r="E13015" s="4">
        <f>IFERROR(__xludf.DUMMYFUNCTION("""COMPUTED_VALUE"""),80.167696)</f>
        <v>80.167696</v>
      </c>
      <c r="F13015" s="4">
        <f>IFERROR(__xludf.DUMMYFUNCTION("""COMPUTED_VALUE"""),2846.0)</f>
        <v>2846</v>
      </c>
      <c r="G13015" s="4">
        <f>IFERROR(__xludf.DUMMYFUNCTION("""COMPUTED_VALUE"""),44.0)</f>
        <v>44</v>
      </c>
      <c r="H13015" s="4"/>
      <c r="I13015" s="4"/>
    </row>
    <row r="13016">
      <c r="A13016" s="4" t="str">
        <f>IFERROR(__xludf.DUMMYFUNCTION("""COMPUTED_VALUE"""),"cas_hmw")</f>
        <v>cas_hmw</v>
      </c>
      <c r="B13016" s="5">
        <f>IFERROR(__xludf.DUMMYFUNCTION("""COMPUTED_VALUE"""),44715.0)</f>
        <v>44715</v>
      </c>
      <c r="C13016" s="6">
        <f>IFERROR(__xludf.DUMMYFUNCTION("""COMPUTED_VALUE"""),0.8023726851861284)</f>
        <v>0.8023726852</v>
      </c>
      <c r="D13016" s="4">
        <f>IFERROR(__xludf.DUMMYFUNCTION("""COMPUTED_VALUE"""),12.980957)</f>
        <v>12.980957</v>
      </c>
      <c r="E13016" s="4">
        <f>IFERROR(__xludf.DUMMYFUNCTION("""COMPUTED_VALUE"""),80.166041)</f>
        <v>80.166041</v>
      </c>
      <c r="F13016" s="4">
        <f>IFERROR(__xludf.DUMMYFUNCTION("""COMPUTED_VALUE"""),2846.0)</f>
        <v>2846</v>
      </c>
      <c r="G13016" s="4">
        <f>IFERROR(__xludf.DUMMYFUNCTION("""COMPUTED_VALUE"""),40.0)</f>
        <v>40</v>
      </c>
      <c r="H13016" s="4"/>
      <c r="I13016" s="4"/>
    </row>
    <row r="13017">
      <c r="A13017" s="4" t="str">
        <f>IFERROR(__xludf.DUMMYFUNCTION("""COMPUTED_VALUE"""),"cas_hmw")</f>
        <v>cas_hmw</v>
      </c>
      <c r="B13017" s="5">
        <f>IFERROR(__xludf.DUMMYFUNCTION("""COMPUTED_VALUE"""),44715.0)</f>
        <v>44715</v>
      </c>
      <c r="C13017" s="6">
        <f>IFERROR(__xludf.DUMMYFUNCTION("""COMPUTED_VALUE"""),0.8032986111102218)</f>
        <v>0.8032986111</v>
      </c>
      <c r="D13017" s="4">
        <f>IFERROR(__xludf.DUMMYFUNCTION("""COMPUTED_VALUE"""),12.979286)</f>
        <v>12.979286</v>
      </c>
      <c r="E13017" s="4">
        <f>IFERROR(__xludf.DUMMYFUNCTION("""COMPUTED_VALUE"""),80.161961)</f>
        <v>80.161961</v>
      </c>
      <c r="F13017" s="4">
        <f>IFERROR(__xludf.DUMMYFUNCTION("""COMPUTED_VALUE"""),2846.0)</f>
        <v>2846</v>
      </c>
      <c r="G13017" s="4">
        <f>IFERROR(__xludf.DUMMYFUNCTION("""COMPUTED_VALUE"""),33.0)</f>
        <v>33</v>
      </c>
      <c r="H13017" s="4"/>
      <c r="I13017" s="4"/>
    </row>
    <row r="13018">
      <c r="A13018" s="4" t="str">
        <f>IFERROR(__xludf.DUMMYFUNCTION("""COMPUTED_VALUE"""),"cas_hmw")</f>
        <v>cas_hmw</v>
      </c>
      <c r="B13018" s="5">
        <f>IFERROR(__xludf.DUMMYFUNCTION("""COMPUTED_VALUE"""),44715.0)</f>
        <v>44715</v>
      </c>
      <c r="C13018" s="6">
        <f>IFERROR(__xludf.DUMMYFUNCTION("""COMPUTED_VALUE"""),0.8034027777794108)</f>
        <v>0.8034027778</v>
      </c>
      <c r="D13018" s="4">
        <f>IFERROR(__xludf.DUMMYFUNCTION("""COMPUTED_VALUE"""),12.978695)</f>
        <v>12.978695</v>
      </c>
      <c r="E13018" s="4">
        <f>IFERROR(__xludf.DUMMYFUNCTION("""COMPUTED_VALUE"""),80.161163)</f>
        <v>80.161163</v>
      </c>
      <c r="F13018" s="4">
        <f>IFERROR(__xludf.DUMMYFUNCTION("""COMPUTED_VALUE"""),2846.0)</f>
        <v>2846</v>
      </c>
      <c r="G13018" s="4">
        <f>IFERROR(__xludf.DUMMYFUNCTION("""COMPUTED_VALUE"""),43.0)</f>
        <v>43</v>
      </c>
      <c r="H13018" s="4"/>
      <c r="I13018" s="4"/>
    </row>
    <row r="13019">
      <c r="A13019" s="4" t="str">
        <f>IFERROR(__xludf.DUMMYFUNCTION("""COMPUTED_VALUE"""),"cas_hmw")</f>
        <v>cas_hmw</v>
      </c>
      <c r="B13019" s="5">
        <f>IFERROR(__xludf.DUMMYFUNCTION("""COMPUTED_VALUE"""),44715.0)</f>
        <v>44715</v>
      </c>
      <c r="C13019" s="6">
        <f>IFERROR(__xludf.DUMMYFUNCTION("""COMPUTED_VALUE"""),0.8034953703718202)</f>
        <v>0.8034953704</v>
      </c>
      <c r="D13019" s="4">
        <f>IFERROR(__xludf.DUMMYFUNCTION("""COMPUTED_VALUE"""),12.831333)</f>
        <v>12.831333</v>
      </c>
      <c r="E13019" s="4">
        <f>IFERROR(__xludf.DUMMYFUNCTION("""COMPUTED_VALUE"""),80.046388)</f>
        <v>80.046388</v>
      </c>
      <c r="F13019" s="4">
        <f>IFERROR(__xludf.DUMMYFUNCTION("""COMPUTED_VALUE"""),805.0)</f>
        <v>805</v>
      </c>
      <c r="G13019" s="4">
        <f>IFERROR(__xludf.DUMMYFUNCTION("""COMPUTED_VALUE"""),46.0)</f>
        <v>46</v>
      </c>
      <c r="H13019" s="4"/>
      <c r="I13019" s="4"/>
    </row>
    <row r="13020">
      <c r="A13020" s="4" t="str">
        <f>IFERROR(__xludf.DUMMYFUNCTION("""COMPUTED_VALUE"""),"cas_hmw")</f>
        <v>cas_hmw</v>
      </c>
      <c r="B13020" s="5">
        <f>IFERROR(__xludf.DUMMYFUNCTION("""COMPUTED_VALUE"""),44715.0)</f>
        <v>44715</v>
      </c>
      <c r="C13020" s="6">
        <f>IFERROR(__xludf.DUMMYFUNCTION("""COMPUTED_VALUE"""),0.8038888888877409)</f>
        <v>0.8038888889</v>
      </c>
      <c r="D13020" s="4">
        <f>IFERROR(__xludf.DUMMYFUNCTION("""COMPUTED_VALUE"""),12.834372)</f>
        <v>12.834372</v>
      </c>
      <c r="E13020" s="4">
        <f>IFERROR(__xludf.DUMMYFUNCTION("""COMPUTED_VALUE"""),80.049611)</f>
        <v>80.049611</v>
      </c>
      <c r="F13020" s="4">
        <f>IFERROR(__xludf.DUMMYFUNCTION("""COMPUTED_VALUE"""),805.0)</f>
        <v>805</v>
      </c>
      <c r="G13020" s="4">
        <f>IFERROR(__xludf.DUMMYFUNCTION("""COMPUTED_VALUE"""),45.0)</f>
        <v>45</v>
      </c>
      <c r="H13020" s="4"/>
      <c r="I13020" s="4"/>
    </row>
    <row r="13021">
      <c r="A13021" s="4" t="str">
        <f>IFERROR(__xludf.DUMMYFUNCTION("""COMPUTED_VALUE"""),"cas_hmw")</f>
        <v>cas_hmw</v>
      </c>
      <c r="B13021" s="5">
        <f>IFERROR(__xludf.DUMMYFUNCTION("""COMPUTED_VALUE"""),44715.0)</f>
        <v>44715</v>
      </c>
      <c r="C13021" s="6">
        <f>IFERROR(__xludf.DUMMYFUNCTION("""COMPUTED_VALUE"""),0.807407407406572)</f>
        <v>0.8074074074</v>
      </c>
      <c r="D13021" s="4">
        <f>IFERROR(__xludf.DUMMYFUNCTION("""COMPUTED_VALUE"""),12.848623)</f>
        <v>12.848623</v>
      </c>
      <c r="E13021" s="4">
        <f>IFERROR(__xludf.DUMMYFUNCTION("""COMPUTED_VALUE"""),80.063651)</f>
        <v>80.063651</v>
      </c>
      <c r="F13021" s="4">
        <f>IFERROR(__xludf.DUMMYFUNCTION("""COMPUTED_VALUE"""),805.0)</f>
        <v>805</v>
      </c>
      <c r="G13021" s="4">
        <f>IFERROR(__xludf.DUMMYFUNCTION("""COMPUTED_VALUE"""),47.0)</f>
        <v>47</v>
      </c>
      <c r="H13021" s="4"/>
      <c r="I13021" s="4"/>
    </row>
    <row r="13022">
      <c r="A13022" s="4" t="str">
        <f>IFERROR(__xludf.DUMMYFUNCTION("""COMPUTED_VALUE"""),"cas_hmw")</f>
        <v>cas_hmw</v>
      </c>
      <c r="B13022" s="5">
        <f>IFERROR(__xludf.DUMMYFUNCTION("""COMPUTED_VALUE"""),44715.0)</f>
        <v>44715</v>
      </c>
      <c r="C13022" s="6">
        <f>IFERROR(__xludf.DUMMYFUNCTION("""COMPUTED_VALUE"""),0.8086689814808778)</f>
        <v>0.8086689815</v>
      </c>
      <c r="D13022" s="4">
        <f>IFERROR(__xludf.DUMMYFUNCTION("""COMPUTED_VALUE"""),12.97322)</f>
        <v>12.97322</v>
      </c>
      <c r="E13022" s="4">
        <f>IFERROR(__xludf.DUMMYFUNCTION("""COMPUTED_VALUE"""),80.153039)</f>
        <v>80.153039</v>
      </c>
      <c r="F13022" s="4">
        <f>IFERROR(__xludf.DUMMYFUNCTION("""COMPUTED_VALUE"""),2846.0)</f>
        <v>2846</v>
      </c>
      <c r="G13022" s="4">
        <f>IFERROR(__xludf.DUMMYFUNCTION("""COMPUTED_VALUE"""),42.0)</f>
        <v>42</v>
      </c>
      <c r="H13022" s="4"/>
      <c r="I13022" s="4"/>
    </row>
    <row r="13023">
      <c r="A13023" s="4" t="str">
        <f>IFERROR(__xludf.DUMMYFUNCTION("""COMPUTED_VALUE"""),"cas_hmw")</f>
        <v>cas_hmw</v>
      </c>
      <c r="B13023" s="5">
        <f>IFERROR(__xludf.DUMMYFUNCTION("""COMPUTED_VALUE"""),44715.0)</f>
        <v>44715</v>
      </c>
      <c r="C13023" s="6">
        <f>IFERROR(__xludf.DUMMYFUNCTION("""COMPUTED_VALUE"""),0.8087037037039408)</f>
        <v>0.8087037037</v>
      </c>
      <c r="D13023" s="4">
        <f>IFERROR(__xludf.DUMMYFUNCTION("""COMPUTED_VALUE"""),12.97322)</f>
        <v>12.97322</v>
      </c>
      <c r="E13023" s="4">
        <f>IFERROR(__xludf.DUMMYFUNCTION("""COMPUTED_VALUE"""),80.153039)</f>
        <v>80.153039</v>
      </c>
      <c r="F13023" s="4">
        <f>IFERROR(__xludf.DUMMYFUNCTION("""COMPUTED_VALUE"""),2846.0)</f>
        <v>2846</v>
      </c>
      <c r="G13023" s="4">
        <f>IFERROR(__xludf.DUMMYFUNCTION("""COMPUTED_VALUE"""),42.0)</f>
        <v>42</v>
      </c>
      <c r="H13023" s="4"/>
      <c r="I13023" s="4"/>
    </row>
    <row r="13024">
      <c r="A13024" s="4" t="str">
        <f>IFERROR(__xludf.DUMMYFUNCTION("""COMPUTED_VALUE"""),"cas_hmw")</f>
        <v>cas_hmw</v>
      </c>
      <c r="B13024" s="5">
        <f>IFERROR(__xludf.DUMMYFUNCTION("""COMPUTED_VALUE"""),44715.0)</f>
        <v>44715</v>
      </c>
      <c r="C13024" s="6">
        <f>IFERROR(__xludf.DUMMYFUNCTION("""COMPUTED_VALUE"""),0.8087847222232085)</f>
        <v>0.8087847222</v>
      </c>
      <c r="D13024" s="4">
        <f>IFERROR(__xludf.DUMMYFUNCTION("""COMPUTED_VALUE"""),12.972555)</f>
        <v>12.972555</v>
      </c>
      <c r="E13024" s="4">
        <f>IFERROR(__xludf.DUMMYFUNCTION("""COMPUTED_VALUE"""),80.152077)</f>
        <v>80.152077</v>
      </c>
      <c r="F13024" s="4">
        <f>IFERROR(__xludf.DUMMYFUNCTION("""COMPUTED_VALUE"""),2846.0)</f>
        <v>2846</v>
      </c>
      <c r="G13024" s="4">
        <f>IFERROR(__xludf.DUMMYFUNCTION("""COMPUTED_VALUE"""),40.0)</f>
        <v>40</v>
      </c>
      <c r="H13024" s="4"/>
      <c r="I13024" s="4"/>
    </row>
    <row r="13025">
      <c r="A13025" s="4" t="str">
        <f>IFERROR(__xludf.DUMMYFUNCTION("""COMPUTED_VALUE"""),"cas_hmw")</f>
        <v>cas_hmw</v>
      </c>
      <c r="B13025" s="5">
        <f>IFERROR(__xludf.DUMMYFUNCTION("""COMPUTED_VALUE"""),44715.0)</f>
        <v>44715</v>
      </c>
      <c r="C13025" s="6">
        <f>IFERROR(__xludf.DUMMYFUNCTION("""COMPUTED_VALUE"""),0.8089120370386809)</f>
        <v>0.808912037</v>
      </c>
      <c r="D13025" s="4">
        <f>IFERROR(__xludf.DUMMYFUNCTION("""COMPUTED_VALUE"""),12.972058)</f>
        <v>12.972058</v>
      </c>
      <c r="E13025" s="4">
        <f>IFERROR(__xludf.DUMMYFUNCTION("""COMPUTED_VALUE"""),80.151508)</f>
        <v>80.151508</v>
      </c>
      <c r="F13025" s="4">
        <f>IFERROR(__xludf.DUMMYFUNCTION("""COMPUTED_VALUE"""),2846.0)</f>
        <v>2846</v>
      </c>
      <c r="G13025" s="4">
        <f>IFERROR(__xludf.DUMMYFUNCTION("""COMPUTED_VALUE"""),25.0)</f>
        <v>25</v>
      </c>
      <c r="H13025" s="4"/>
      <c r="I13025" s="4"/>
    </row>
    <row r="13026">
      <c r="A13026" s="4" t="str">
        <f>IFERROR(__xludf.DUMMYFUNCTION("""COMPUTED_VALUE"""),"cas_hmw")</f>
        <v>cas_hmw</v>
      </c>
      <c r="B13026" s="5">
        <f>IFERROR(__xludf.DUMMYFUNCTION("""COMPUTED_VALUE"""),44715.0)</f>
        <v>44715</v>
      </c>
      <c r="C13026" s="6">
        <f>IFERROR(__xludf.DUMMYFUNCTION("""COMPUTED_VALUE"""),0.8089236111118225)</f>
        <v>0.8089236111</v>
      </c>
      <c r="D13026" s="4">
        <f>IFERROR(__xludf.DUMMYFUNCTION("""COMPUTED_VALUE"""),12.972058)</f>
        <v>12.972058</v>
      </c>
      <c r="E13026" s="4">
        <f>IFERROR(__xludf.DUMMYFUNCTION("""COMPUTED_VALUE"""),80.151508)</f>
        <v>80.151508</v>
      </c>
      <c r="F13026" s="4">
        <f>IFERROR(__xludf.DUMMYFUNCTION("""COMPUTED_VALUE"""),2846.0)</f>
        <v>2846</v>
      </c>
      <c r="G13026" s="4">
        <f>IFERROR(__xludf.DUMMYFUNCTION("""COMPUTED_VALUE"""),25.0)</f>
        <v>25</v>
      </c>
      <c r="H13026" s="4"/>
      <c r="I13026" s="4"/>
    </row>
    <row r="13027">
      <c r="A13027" s="4" t="str">
        <f>IFERROR(__xludf.DUMMYFUNCTION("""COMPUTED_VALUE"""),"cas_hmw")</f>
        <v>cas_hmw</v>
      </c>
      <c r="B13027" s="5">
        <f>IFERROR(__xludf.DUMMYFUNCTION("""COMPUTED_VALUE"""),44715.0)</f>
        <v>44715</v>
      </c>
      <c r="C13027" s="6">
        <f>IFERROR(__xludf.DUMMYFUNCTION("""COMPUTED_VALUE"""),0.8094212962969323)</f>
        <v>0.8094212963</v>
      </c>
      <c r="D13027" s="4">
        <f>IFERROR(__xludf.DUMMYFUNCTION("""COMPUTED_VALUE"""),12.864252)</f>
        <v>12.864252</v>
      </c>
      <c r="E13027" s="4">
        <f>IFERROR(__xludf.DUMMYFUNCTION("""COMPUTED_VALUE"""),80.074192)</f>
        <v>80.074192</v>
      </c>
      <c r="F13027" s="4">
        <f>IFERROR(__xludf.DUMMYFUNCTION("""COMPUTED_VALUE"""),805.0)</f>
        <v>805</v>
      </c>
      <c r="G13027" s="4">
        <f>IFERROR(__xludf.DUMMYFUNCTION("""COMPUTED_VALUE"""),40.0)</f>
        <v>40</v>
      </c>
      <c r="H13027" s="4"/>
      <c r="I13027" s="4"/>
    </row>
    <row r="13028">
      <c r="A13028" s="4" t="str">
        <f>IFERROR(__xludf.DUMMYFUNCTION("""COMPUTED_VALUE"""),"cas_hmw")</f>
        <v>cas_hmw</v>
      </c>
      <c r="B13028" s="5">
        <f>IFERROR(__xludf.DUMMYFUNCTION("""COMPUTED_VALUE"""),44715.0)</f>
        <v>44715</v>
      </c>
      <c r="C13028" s="6">
        <f>IFERROR(__xludf.DUMMYFUNCTION("""COMPUTED_VALUE"""),0.809849537035916)</f>
        <v>0.809849537</v>
      </c>
      <c r="D13028" s="4">
        <f>IFERROR(__xludf.DUMMYFUNCTION("""COMPUTED_VALUE"""),12.867752)</f>
        <v>12.867752</v>
      </c>
      <c r="E13028" s="4">
        <f>IFERROR(__xludf.DUMMYFUNCTION("""COMPUTED_VALUE"""),80.075591)</f>
        <v>80.075591</v>
      </c>
      <c r="F13028" s="4">
        <f>IFERROR(__xludf.DUMMYFUNCTION("""COMPUTED_VALUE"""),805.0)</f>
        <v>805</v>
      </c>
      <c r="G13028" s="4">
        <f>IFERROR(__xludf.DUMMYFUNCTION("""COMPUTED_VALUE"""),53.0)</f>
        <v>53</v>
      </c>
      <c r="H13028" s="4"/>
      <c r="I13028" s="4"/>
    </row>
    <row r="13029">
      <c r="A13029" s="4" t="str">
        <f>IFERROR(__xludf.DUMMYFUNCTION("""COMPUTED_VALUE"""),"cas_hmw")</f>
        <v>cas_hmw</v>
      </c>
      <c r="B13029" s="5">
        <f>IFERROR(__xludf.DUMMYFUNCTION("""COMPUTED_VALUE"""),44715.0)</f>
        <v>44715</v>
      </c>
      <c r="C13029" s="6">
        <f>IFERROR(__xludf.DUMMYFUNCTION("""COMPUTED_VALUE"""),0.8147106481483206)</f>
        <v>0.8147106481</v>
      </c>
      <c r="D13029" s="4">
        <f>IFERROR(__xludf.DUMMYFUNCTION("""COMPUTED_VALUE"""),12.878971)</f>
        <v>12.878971</v>
      </c>
      <c r="E13029" s="4">
        <f>IFERROR(__xludf.DUMMYFUNCTION("""COMPUTED_VALUE"""),80.079879)</f>
        <v>80.079879</v>
      </c>
      <c r="F13029" s="4">
        <f>IFERROR(__xludf.DUMMYFUNCTION("""COMPUTED_VALUE"""),805.0)</f>
        <v>805</v>
      </c>
      <c r="G13029" s="4">
        <f>IFERROR(__xludf.DUMMYFUNCTION("""COMPUTED_VALUE"""),2.0)</f>
        <v>2</v>
      </c>
      <c r="H13029" s="4"/>
      <c r="I13029" s="4"/>
    </row>
    <row r="13030">
      <c r="A13030" s="4" t="str">
        <f>IFERROR(__xludf.DUMMYFUNCTION("""COMPUTED_VALUE"""),"cas_hmw")</f>
        <v>cas_hmw</v>
      </c>
      <c r="B13030" s="5">
        <f>IFERROR(__xludf.DUMMYFUNCTION("""COMPUTED_VALUE"""),44715.0)</f>
        <v>44715</v>
      </c>
      <c r="C13030" s="6">
        <f>IFERROR(__xludf.DUMMYFUNCTION("""COMPUTED_VALUE"""),0.8162152777767915)</f>
        <v>0.8162152778</v>
      </c>
      <c r="D13030" s="4">
        <f>IFERROR(__xludf.DUMMYFUNCTION("""COMPUTED_VALUE"""),12.960578)</f>
        <v>12.960578</v>
      </c>
      <c r="E13030" s="4">
        <f>IFERROR(__xludf.DUMMYFUNCTION("""COMPUTED_VALUE"""),80.14561)</f>
        <v>80.14561</v>
      </c>
      <c r="F13030" s="4">
        <f>IFERROR(__xludf.DUMMYFUNCTION("""COMPUTED_VALUE"""),2846.0)</f>
        <v>2846</v>
      </c>
      <c r="G13030" s="4">
        <f>IFERROR(__xludf.DUMMYFUNCTION("""COMPUTED_VALUE"""),33.0)</f>
        <v>33</v>
      </c>
      <c r="H13030" s="4"/>
      <c r="I13030" s="4"/>
    </row>
    <row r="13031">
      <c r="A13031" s="4" t="str">
        <f>IFERROR(__xludf.DUMMYFUNCTION("""COMPUTED_VALUE"""),"cas_hmw")</f>
        <v>cas_hmw</v>
      </c>
      <c r="B13031" s="5">
        <f>IFERROR(__xludf.DUMMYFUNCTION("""COMPUTED_VALUE"""),44715.0)</f>
        <v>44715</v>
      </c>
      <c r="C13031" s="6">
        <f>IFERROR(__xludf.DUMMYFUNCTION("""COMPUTED_VALUE"""),0.8165856481464289)</f>
        <v>0.8165856481</v>
      </c>
      <c r="D13031" s="4">
        <f>IFERROR(__xludf.DUMMYFUNCTION("""COMPUTED_VALUE"""),12.957893)</f>
        <v>12.957893</v>
      </c>
      <c r="E13031" s="4">
        <f>IFERROR(__xludf.DUMMYFUNCTION("""COMPUTED_VALUE"""),80.144146)</f>
        <v>80.144146</v>
      </c>
      <c r="F13031" s="4">
        <f>IFERROR(__xludf.DUMMYFUNCTION("""COMPUTED_VALUE"""),2846.0)</f>
        <v>2846</v>
      </c>
      <c r="G13031" s="4">
        <f>IFERROR(__xludf.DUMMYFUNCTION("""COMPUTED_VALUE"""),40.0)</f>
        <v>40</v>
      </c>
      <c r="H13031" s="4"/>
      <c r="I13031" s="4"/>
    </row>
    <row r="13032">
      <c r="A13032" s="4" t="str">
        <f>IFERROR(__xludf.DUMMYFUNCTION("""COMPUTED_VALUE"""),"cas_hmw")</f>
        <v>cas_hmw</v>
      </c>
      <c r="B13032" s="5">
        <f>IFERROR(__xludf.DUMMYFUNCTION("""COMPUTED_VALUE"""),44715.0)</f>
        <v>44715</v>
      </c>
      <c r="C13032" s="6">
        <f>IFERROR(__xludf.DUMMYFUNCTION("""COMPUTED_VALUE"""),0.817453703704814)</f>
        <v>0.8174537037</v>
      </c>
      <c r="D13032" s="4">
        <f>IFERROR(__xludf.DUMMYFUNCTION("""COMPUTED_VALUE"""),12.95535)</f>
        <v>12.95535</v>
      </c>
      <c r="E13032" s="4">
        <f>IFERROR(__xludf.DUMMYFUNCTION("""COMPUTED_VALUE"""),80.142825)</f>
        <v>80.142825</v>
      </c>
      <c r="F13032" s="4">
        <f>IFERROR(__xludf.DUMMYFUNCTION("""COMPUTED_VALUE"""),2846.0)</f>
        <v>2846</v>
      </c>
      <c r="G13032" s="4">
        <f>IFERROR(__xludf.DUMMYFUNCTION("""COMPUTED_VALUE"""),26.0)</f>
        <v>26</v>
      </c>
      <c r="H13032" s="4"/>
      <c r="I13032" s="4"/>
    </row>
    <row r="13033">
      <c r="A13033" s="4" t="str">
        <f>IFERROR(__xludf.DUMMYFUNCTION("""COMPUTED_VALUE"""),"cas_hmw")</f>
        <v>cas_hmw</v>
      </c>
      <c r="B13033" s="5">
        <f>IFERROR(__xludf.DUMMYFUNCTION("""COMPUTED_VALUE"""),44715.0)</f>
        <v>44715</v>
      </c>
      <c r="C13033" s="6">
        <f>IFERROR(__xludf.DUMMYFUNCTION("""COMPUTED_VALUE"""),0.8183912037020491)</f>
        <v>0.8183912037</v>
      </c>
      <c r="D13033" s="4">
        <f>IFERROR(__xludf.DUMMYFUNCTION("""COMPUTED_VALUE"""),12.95172)</f>
        <v>12.95172</v>
      </c>
      <c r="E13033" s="4">
        <f>IFERROR(__xludf.DUMMYFUNCTION("""COMPUTED_VALUE"""),80.140576)</f>
        <v>80.140576</v>
      </c>
      <c r="F13033" s="4">
        <f>IFERROR(__xludf.DUMMYFUNCTION("""COMPUTED_VALUE"""),2846.0)</f>
        <v>2846</v>
      </c>
      <c r="G13033" s="4">
        <f>IFERROR(__xludf.DUMMYFUNCTION("""COMPUTED_VALUE"""),29.0)</f>
        <v>29</v>
      </c>
      <c r="H13033" s="4"/>
      <c r="I13033" s="4"/>
    </row>
    <row r="13034">
      <c r="A13034" s="4" t="str">
        <f>IFERROR(__xludf.DUMMYFUNCTION("""COMPUTED_VALUE"""),"cas_hmw")</f>
        <v>cas_hmw</v>
      </c>
      <c r="B13034" s="5">
        <f>IFERROR(__xludf.DUMMYFUNCTION("""COMPUTED_VALUE"""),44715.0)</f>
        <v>44715</v>
      </c>
      <c r="C13034" s="6">
        <f>IFERROR(__xludf.DUMMYFUNCTION("""COMPUTED_VALUE"""),0.8189120370370802)</f>
        <v>0.818912037</v>
      </c>
      <c r="D13034" s="4">
        <f>IFERROR(__xludf.DUMMYFUNCTION("""COMPUTED_VALUE"""),12.950698)</f>
        <v>12.950698</v>
      </c>
      <c r="E13034" s="4">
        <f>IFERROR(__xludf.DUMMYFUNCTION("""COMPUTED_VALUE"""),80.139762)</f>
        <v>80.139762</v>
      </c>
      <c r="F13034" s="4">
        <f>IFERROR(__xludf.DUMMYFUNCTION("""COMPUTED_VALUE"""),2846.0)</f>
        <v>2846</v>
      </c>
      <c r="G13034" s="4">
        <f>IFERROR(__xludf.DUMMYFUNCTION("""COMPUTED_VALUE"""),5.0)</f>
        <v>5</v>
      </c>
      <c r="H13034" s="4"/>
      <c r="I13034" s="4"/>
    </row>
    <row r="13035">
      <c r="A13035" s="4" t="str">
        <f>IFERROR(__xludf.DUMMYFUNCTION("""COMPUTED_VALUE"""),"cas_hmw")</f>
        <v>cas_hmw</v>
      </c>
      <c r="B13035" s="5">
        <f>IFERROR(__xludf.DUMMYFUNCTION("""COMPUTED_VALUE"""),44715.0)</f>
        <v>44715</v>
      </c>
      <c r="C13035" s="6">
        <f>IFERROR(__xludf.DUMMYFUNCTION("""COMPUTED_VALUE"""),0.8189351851870015)</f>
        <v>0.8189351852</v>
      </c>
      <c r="D13035" s="4">
        <f>IFERROR(__xludf.DUMMYFUNCTION("""COMPUTED_VALUE"""),12.950698)</f>
        <v>12.950698</v>
      </c>
      <c r="E13035" s="4">
        <f>IFERROR(__xludf.DUMMYFUNCTION("""COMPUTED_VALUE"""),80.139762)</f>
        <v>80.139762</v>
      </c>
      <c r="F13035" s="4">
        <f>IFERROR(__xludf.DUMMYFUNCTION("""COMPUTED_VALUE"""),2846.0)</f>
        <v>2846</v>
      </c>
      <c r="G13035" s="4">
        <f>IFERROR(__xludf.DUMMYFUNCTION("""COMPUTED_VALUE"""),5.0)</f>
        <v>5</v>
      </c>
      <c r="H13035" s="4"/>
      <c r="I13035" s="4"/>
    </row>
    <row r="13036">
      <c r="A13036" s="4" t="str">
        <f>IFERROR(__xludf.DUMMYFUNCTION("""COMPUTED_VALUE"""),"cas_hmw")</f>
        <v>cas_hmw</v>
      </c>
      <c r="B13036" s="5">
        <f>IFERROR(__xludf.DUMMYFUNCTION("""COMPUTED_VALUE"""),44715.0)</f>
        <v>44715</v>
      </c>
      <c r="C13036" s="6">
        <f>IFERROR(__xludf.DUMMYFUNCTION("""COMPUTED_VALUE"""),0.8190509259256942)</f>
        <v>0.8190509259</v>
      </c>
      <c r="D13036" s="4">
        <f>IFERROR(__xludf.DUMMYFUNCTION("""COMPUTED_VALUE"""),12.950228)</f>
        <v>12.950228</v>
      </c>
      <c r="E13036" s="4">
        <f>IFERROR(__xludf.DUMMYFUNCTION("""COMPUTED_VALUE"""),80.139424)</f>
        <v>80.139424</v>
      </c>
      <c r="F13036" s="4">
        <f>IFERROR(__xludf.DUMMYFUNCTION("""COMPUTED_VALUE"""),2846.0)</f>
        <v>2846</v>
      </c>
      <c r="G13036" s="4">
        <f>IFERROR(__xludf.DUMMYFUNCTION("""COMPUTED_VALUE"""),32.0)</f>
        <v>32</v>
      </c>
      <c r="H13036" s="4"/>
      <c r="I13036" s="4"/>
    </row>
    <row r="13037">
      <c r="A13037" s="4" t="str">
        <f>IFERROR(__xludf.DUMMYFUNCTION("""COMPUTED_VALUE"""),"cas_hmw")</f>
        <v>cas_hmw</v>
      </c>
      <c r="B13037" s="5">
        <f>IFERROR(__xludf.DUMMYFUNCTION("""COMPUTED_VALUE"""),44715.0)</f>
        <v>44715</v>
      </c>
      <c r="C13037" s="6">
        <f>IFERROR(__xludf.DUMMYFUNCTION("""COMPUTED_VALUE"""),0.8192824074067175)</f>
        <v>0.8192824074</v>
      </c>
      <c r="D13037" s="4">
        <f>IFERROR(__xludf.DUMMYFUNCTION("""COMPUTED_VALUE"""),12.948691)</f>
        <v>12.948691</v>
      </c>
      <c r="E13037" s="4">
        <f>IFERROR(__xludf.DUMMYFUNCTION("""COMPUTED_VALUE"""),80.13814)</f>
        <v>80.13814</v>
      </c>
      <c r="F13037" s="4">
        <f>IFERROR(__xludf.DUMMYFUNCTION("""COMPUTED_VALUE"""),2846.0)</f>
        <v>2846</v>
      </c>
      <c r="G13037" s="4">
        <f>IFERROR(__xludf.DUMMYFUNCTION("""COMPUTED_VALUE"""),48.0)</f>
        <v>48</v>
      </c>
      <c r="H13037" s="4"/>
      <c r="I13037" s="4"/>
    </row>
    <row r="13038">
      <c r="A13038" s="4" t="str">
        <f>IFERROR(__xludf.DUMMYFUNCTION("""COMPUTED_VALUE"""),"cas_hmw")</f>
        <v>cas_hmw</v>
      </c>
      <c r="B13038" s="5">
        <f>IFERROR(__xludf.DUMMYFUNCTION("""COMPUTED_VALUE"""),44715.0)</f>
        <v>44715</v>
      </c>
      <c r="C13038" s="6">
        <f>IFERROR(__xludf.DUMMYFUNCTION("""COMPUTED_VALUE"""),0.8201273148151813)</f>
        <v>0.8201273148</v>
      </c>
      <c r="D13038" s="4">
        <f>IFERROR(__xludf.DUMMYFUNCTION("""COMPUTED_VALUE"""),12.94192)</f>
        <v>12.94192</v>
      </c>
      <c r="E13038" s="4">
        <f>IFERROR(__xludf.DUMMYFUNCTION("""COMPUTED_VALUE"""),80.132599)</f>
        <v>80.132599</v>
      </c>
      <c r="F13038" s="4">
        <f>IFERROR(__xludf.DUMMYFUNCTION("""COMPUTED_VALUE"""),2846.0)</f>
        <v>2846</v>
      </c>
      <c r="G13038" s="4">
        <f>IFERROR(__xludf.DUMMYFUNCTION("""COMPUTED_VALUE"""),40.0)</f>
        <v>40</v>
      </c>
      <c r="H13038" s="4"/>
      <c r="I13038" s="4"/>
    </row>
    <row r="13039">
      <c r="A13039" s="4" t="str">
        <f>IFERROR(__xludf.DUMMYFUNCTION("""COMPUTED_VALUE"""),"cas_hmw")</f>
        <v>cas_hmw</v>
      </c>
      <c r="B13039" s="5">
        <f>IFERROR(__xludf.DUMMYFUNCTION("""COMPUTED_VALUE"""),44715.0)</f>
        <v>44715</v>
      </c>
      <c r="C13039" s="6">
        <f>IFERROR(__xludf.DUMMYFUNCTION("""COMPUTED_VALUE"""),0.820208333334449)</f>
        <v>0.8202083333</v>
      </c>
      <c r="D13039" s="4">
        <f>IFERROR(__xludf.DUMMYFUNCTION("""COMPUTED_VALUE"""),12.94192)</f>
        <v>12.94192</v>
      </c>
      <c r="E13039" s="4">
        <f>IFERROR(__xludf.DUMMYFUNCTION("""COMPUTED_VALUE"""),80.132599)</f>
        <v>80.132599</v>
      </c>
      <c r="F13039" s="4">
        <f>IFERROR(__xludf.DUMMYFUNCTION("""COMPUTED_VALUE"""),2846.0)</f>
        <v>2846</v>
      </c>
      <c r="G13039" s="4">
        <f>IFERROR(__xludf.DUMMYFUNCTION("""COMPUTED_VALUE"""),40.0)</f>
        <v>40</v>
      </c>
      <c r="H13039" s="4"/>
      <c r="I13039" s="4"/>
    </row>
    <row r="13040">
      <c r="A13040" s="4" t="str">
        <f>IFERROR(__xludf.DUMMYFUNCTION("""COMPUTED_VALUE"""),"cas_hmw")</f>
        <v>cas_hmw</v>
      </c>
      <c r="B13040" s="5">
        <f>IFERROR(__xludf.DUMMYFUNCTION("""COMPUTED_VALUE"""),44715.0)</f>
        <v>44715</v>
      </c>
      <c r="C13040" s="6">
        <f>IFERROR(__xludf.DUMMYFUNCTION("""COMPUTED_VALUE"""),0.8202546296306537)</f>
        <v>0.8202546296</v>
      </c>
      <c r="D13040" s="4">
        <f>IFERROR(__xludf.DUMMYFUNCTION("""COMPUTED_VALUE"""),12.941253)</f>
        <v>12.941253</v>
      </c>
      <c r="E13040" s="4">
        <f>IFERROR(__xludf.DUMMYFUNCTION("""COMPUTED_VALUE"""),80.131901)</f>
        <v>80.131901</v>
      </c>
      <c r="F13040" s="4">
        <f>IFERROR(__xludf.DUMMYFUNCTION("""COMPUTED_VALUE"""),2846.0)</f>
        <v>2846</v>
      </c>
      <c r="G13040" s="4">
        <f>IFERROR(__xludf.DUMMYFUNCTION("""COMPUTED_VALUE"""),35.0)</f>
        <v>35</v>
      </c>
      <c r="H13040" s="4"/>
      <c r="I13040" s="4"/>
    </row>
    <row r="13041">
      <c r="A13041" s="4" t="str">
        <f>IFERROR(__xludf.DUMMYFUNCTION("""COMPUTED_VALUE"""),"cas_hmw")</f>
        <v>cas_hmw</v>
      </c>
      <c r="B13041" s="5">
        <f>IFERROR(__xludf.DUMMYFUNCTION("""COMPUTED_VALUE"""),44715.0)</f>
        <v>44715</v>
      </c>
      <c r="C13041" s="6">
        <f>IFERROR(__xludf.DUMMYFUNCTION("""COMPUTED_VALUE"""),0.82052083333474)</f>
        <v>0.8205208333</v>
      </c>
      <c r="D13041" s="4">
        <f>IFERROR(__xludf.DUMMYFUNCTION("""COMPUTED_VALUE"""),12.940172)</f>
        <v>12.940172</v>
      </c>
      <c r="E13041" s="4">
        <f>IFERROR(__xludf.DUMMYFUNCTION("""COMPUTED_VALUE"""),80.130786)</f>
        <v>80.130786</v>
      </c>
      <c r="F13041" s="4">
        <f>IFERROR(__xludf.DUMMYFUNCTION("""COMPUTED_VALUE"""),2846.0)</f>
        <v>2846</v>
      </c>
      <c r="G13041" s="4">
        <f>IFERROR(__xludf.DUMMYFUNCTION("""COMPUTED_VALUE"""),25.0)</f>
        <v>25</v>
      </c>
      <c r="H13041" s="4"/>
      <c r="I13041" s="4"/>
    </row>
    <row r="13042">
      <c r="A13042" s="4" t="str">
        <f>IFERROR(__xludf.DUMMYFUNCTION("""COMPUTED_VALUE"""),"cas_hmw")</f>
        <v>cas_hmw</v>
      </c>
      <c r="B13042" s="5">
        <f>IFERROR(__xludf.DUMMYFUNCTION("""COMPUTED_VALUE"""),44715.0)</f>
        <v>44715</v>
      </c>
      <c r="C13042" s="6">
        <f>IFERROR(__xludf.DUMMYFUNCTION("""COMPUTED_VALUE"""),0.8205324074078817)</f>
        <v>0.8205324074</v>
      </c>
      <c r="D13042" s="4">
        <f>IFERROR(__xludf.DUMMYFUNCTION("""COMPUTED_VALUE"""),12.940172)</f>
        <v>12.940172</v>
      </c>
      <c r="E13042" s="4">
        <f>IFERROR(__xludf.DUMMYFUNCTION("""COMPUTED_VALUE"""),80.130786)</f>
        <v>80.130786</v>
      </c>
      <c r="F13042" s="4">
        <f>IFERROR(__xludf.DUMMYFUNCTION("""COMPUTED_VALUE"""),2846.0)</f>
        <v>2846</v>
      </c>
      <c r="G13042" s="4">
        <f>IFERROR(__xludf.DUMMYFUNCTION("""COMPUTED_VALUE"""),25.0)</f>
        <v>25</v>
      </c>
      <c r="H13042" s="4"/>
      <c r="I13042" s="4"/>
    </row>
    <row r="13043">
      <c r="A13043" s="4" t="str">
        <f>IFERROR(__xludf.DUMMYFUNCTION("""COMPUTED_VALUE"""),"cas_hmw")</f>
        <v>cas_hmw</v>
      </c>
      <c r="B13043" s="5">
        <f>IFERROR(__xludf.DUMMYFUNCTION("""COMPUTED_VALUE"""),44715.0)</f>
        <v>44715</v>
      </c>
      <c r="C13043" s="6">
        <f>IFERROR(__xludf.DUMMYFUNCTION("""COMPUTED_VALUE"""),0.8205324074078817)</f>
        <v>0.8205324074</v>
      </c>
      <c r="D13043" s="4">
        <f>IFERROR(__xludf.DUMMYFUNCTION("""COMPUTED_VALUE"""),12.940172)</f>
        <v>12.940172</v>
      </c>
      <c r="E13043" s="4">
        <f>IFERROR(__xludf.DUMMYFUNCTION("""COMPUTED_VALUE"""),80.130786)</f>
        <v>80.130786</v>
      </c>
      <c r="F13043" s="4">
        <f>IFERROR(__xludf.DUMMYFUNCTION("""COMPUTED_VALUE"""),2846.0)</f>
        <v>2846</v>
      </c>
      <c r="G13043" s="4">
        <f>IFERROR(__xludf.DUMMYFUNCTION("""COMPUTED_VALUE"""),25.0)</f>
        <v>25</v>
      </c>
      <c r="H13043" s="4"/>
      <c r="I13043" s="4"/>
    </row>
    <row r="13044">
      <c r="A13044" s="4" t="str">
        <f>IFERROR(__xludf.DUMMYFUNCTION("""COMPUTED_VALUE"""),"cas_hmw")</f>
        <v>cas_hmw</v>
      </c>
      <c r="B13044" s="5">
        <f>IFERROR(__xludf.DUMMYFUNCTION("""COMPUTED_VALUE"""),44715.0)</f>
        <v>44715</v>
      </c>
      <c r="C13044" s="6">
        <f>IFERROR(__xludf.DUMMYFUNCTION("""COMPUTED_VALUE"""),0.820555555554165)</f>
        <v>0.8205555556</v>
      </c>
      <c r="D13044" s="4">
        <f>IFERROR(__xludf.DUMMYFUNCTION("""COMPUTED_VALUE"""),12.940172)</f>
        <v>12.940172</v>
      </c>
      <c r="E13044" s="4">
        <f>IFERROR(__xludf.DUMMYFUNCTION("""COMPUTED_VALUE"""),80.130786)</f>
        <v>80.130786</v>
      </c>
      <c r="F13044" s="4">
        <f>IFERROR(__xludf.DUMMYFUNCTION("""COMPUTED_VALUE"""),2846.0)</f>
        <v>2846</v>
      </c>
      <c r="G13044" s="4">
        <f>IFERROR(__xludf.DUMMYFUNCTION("""COMPUTED_VALUE"""),25.0)</f>
        <v>25</v>
      </c>
      <c r="H13044" s="4"/>
      <c r="I13044" s="4"/>
    </row>
    <row r="13045">
      <c r="A13045" s="4" t="str">
        <f>IFERROR(__xludf.DUMMYFUNCTION("""COMPUTED_VALUE"""),"cas_hmw")</f>
        <v>cas_hmw</v>
      </c>
      <c r="B13045" s="5">
        <f>IFERROR(__xludf.DUMMYFUNCTION("""COMPUTED_VALUE"""),44715.0)</f>
        <v>44715</v>
      </c>
      <c r="C13045" s="6">
        <f>IFERROR(__xludf.DUMMYFUNCTION("""COMPUTED_VALUE"""),0.820590277777228)</f>
        <v>0.8205902778</v>
      </c>
      <c r="D13045" s="4">
        <f>IFERROR(__xludf.DUMMYFUNCTION("""COMPUTED_VALUE"""),12.939624)</f>
        <v>12.939624</v>
      </c>
      <c r="E13045" s="4">
        <f>IFERROR(__xludf.DUMMYFUNCTION("""COMPUTED_VALUE"""),80.130255)</f>
        <v>80.130255</v>
      </c>
      <c r="F13045" s="4">
        <f>IFERROR(__xludf.DUMMYFUNCTION("""COMPUTED_VALUE"""),2846.0)</f>
        <v>2846</v>
      </c>
      <c r="G13045" s="4">
        <f>IFERROR(__xludf.DUMMYFUNCTION("""COMPUTED_VALUE"""),28.0)</f>
        <v>28</v>
      </c>
      <c r="H13045" s="4"/>
      <c r="I13045" s="4"/>
    </row>
    <row r="13046">
      <c r="A13046" s="4" t="str">
        <f>IFERROR(__xludf.DUMMYFUNCTION("""COMPUTED_VALUE"""),"cas_hmw")</f>
        <v>cas_hmw</v>
      </c>
      <c r="B13046" s="5">
        <f>IFERROR(__xludf.DUMMYFUNCTION("""COMPUTED_VALUE"""),44715.0)</f>
        <v>44715</v>
      </c>
      <c r="C13046" s="6">
        <f>IFERROR(__xludf.DUMMYFUNCTION("""COMPUTED_VALUE"""),0.8215509259243845)</f>
        <v>0.8215509259</v>
      </c>
      <c r="D13046" s="4">
        <f>IFERROR(__xludf.DUMMYFUNCTION("""COMPUTED_VALUE"""),12.934787)</f>
        <v>12.934787</v>
      </c>
      <c r="E13046" s="4">
        <f>IFERROR(__xludf.DUMMYFUNCTION("""COMPUTED_VALUE"""),80.125998)</f>
        <v>80.125998</v>
      </c>
      <c r="F13046" s="4">
        <f>IFERROR(__xludf.DUMMYFUNCTION("""COMPUTED_VALUE"""),2846.0)</f>
        <v>2846</v>
      </c>
      <c r="G13046" s="4">
        <f>IFERROR(__xludf.DUMMYFUNCTION("""COMPUTED_VALUE"""),28.0)</f>
        <v>28</v>
      </c>
      <c r="H13046" s="4"/>
      <c r="I13046" s="4"/>
    </row>
    <row r="13047">
      <c r="A13047" s="4" t="str">
        <f>IFERROR(__xludf.DUMMYFUNCTION("""COMPUTED_VALUE"""),"cas_hmw")</f>
        <v>cas_hmw</v>
      </c>
      <c r="B13047" s="5">
        <f>IFERROR(__xludf.DUMMYFUNCTION("""COMPUTED_VALUE"""),44715.0)</f>
        <v>44715</v>
      </c>
      <c r="C13047" s="6">
        <f>IFERROR(__xludf.DUMMYFUNCTION("""COMPUTED_VALUE"""),0.8217245370360615)</f>
        <v>0.821724537</v>
      </c>
      <c r="D13047" s="4">
        <f>IFERROR(__xludf.DUMMYFUNCTION("""COMPUTED_VALUE"""),12.934146)</f>
        <v>12.934146</v>
      </c>
      <c r="E13047" s="4">
        <f>IFERROR(__xludf.DUMMYFUNCTION("""COMPUTED_VALUE"""),80.125409)</f>
        <v>80.125409</v>
      </c>
      <c r="F13047" s="4">
        <f>IFERROR(__xludf.DUMMYFUNCTION("""COMPUTED_VALUE"""),2846.0)</f>
        <v>2846</v>
      </c>
      <c r="G13047" s="4">
        <f>IFERROR(__xludf.DUMMYFUNCTION("""COMPUTED_VALUE"""),40.0)</f>
        <v>40</v>
      </c>
      <c r="H13047" s="4"/>
      <c r="I13047" s="4"/>
    </row>
    <row r="13048">
      <c r="A13048" s="4" t="str">
        <f>IFERROR(__xludf.DUMMYFUNCTION("""COMPUTED_VALUE"""),"cas_hmw")</f>
        <v>cas_hmw</v>
      </c>
      <c r="B13048" s="5">
        <f>IFERROR(__xludf.DUMMYFUNCTION("""COMPUTED_VALUE"""),44715.0)</f>
        <v>44715</v>
      </c>
      <c r="C13048" s="6">
        <f>IFERROR(__xludf.DUMMYFUNCTION("""COMPUTED_VALUE"""),0.8220486111094942)</f>
        <v>0.8220486111</v>
      </c>
      <c r="D13048" s="4">
        <f>IFERROR(__xludf.DUMMYFUNCTION("""COMPUTED_VALUE"""),12.932066)</f>
        <v>12.932066</v>
      </c>
      <c r="E13048" s="4">
        <f>IFERROR(__xludf.DUMMYFUNCTION("""COMPUTED_VALUE"""),80.123387)</f>
        <v>80.123387</v>
      </c>
      <c r="F13048" s="4">
        <f>IFERROR(__xludf.DUMMYFUNCTION("""COMPUTED_VALUE"""),2846.0)</f>
        <v>2846</v>
      </c>
      <c r="G13048" s="4">
        <f>IFERROR(__xludf.DUMMYFUNCTION("""COMPUTED_VALUE"""),20.0)</f>
        <v>20</v>
      </c>
      <c r="H13048" s="4"/>
      <c r="I13048" s="4"/>
    </row>
    <row r="13049">
      <c r="A13049" s="4" t="str">
        <f>IFERROR(__xludf.DUMMYFUNCTION("""COMPUTED_VALUE"""),"cas_hmw")</f>
        <v>cas_hmw</v>
      </c>
      <c r="B13049" s="5">
        <f>IFERROR(__xludf.DUMMYFUNCTION("""COMPUTED_VALUE"""),44715.0)</f>
        <v>44715</v>
      </c>
      <c r="C13049" s="6">
        <f>IFERROR(__xludf.DUMMYFUNCTION("""COMPUTED_VALUE"""),0.8225115740751789)</f>
        <v>0.8225115741</v>
      </c>
      <c r="D13049" s="4">
        <f>IFERROR(__xludf.DUMMYFUNCTION("""COMPUTED_VALUE"""),12.930333)</f>
        <v>12.930333</v>
      </c>
      <c r="E13049" s="4">
        <f>IFERROR(__xludf.DUMMYFUNCTION("""COMPUTED_VALUE"""),80.121665)</f>
        <v>80.121665</v>
      </c>
      <c r="F13049" s="4">
        <f>IFERROR(__xludf.DUMMYFUNCTION("""COMPUTED_VALUE"""),2846.0)</f>
        <v>2846</v>
      </c>
      <c r="G13049" s="4">
        <f>IFERROR(__xludf.DUMMYFUNCTION("""COMPUTED_VALUE"""),27.0)</f>
        <v>27</v>
      </c>
      <c r="H13049" s="4"/>
      <c r="I13049" s="4"/>
    </row>
    <row r="13050">
      <c r="A13050" s="4" t="str">
        <f>IFERROR(__xludf.DUMMYFUNCTION("""COMPUTED_VALUE"""),"cas_hmw")</f>
        <v>cas_hmw</v>
      </c>
      <c r="B13050" s="5">
        <f>IFERROR(__xludf.DUMMYFUNCTION("""COMPUTED_VALUE"""),44715.0)</f>
        <v>44715</v>
      </c>
      <c r="C13050" s="6">
        <f>IFERROR(__xludf.DUMMYFUNCTION("""COMPUTED_VALUE"""),0.8225231481483206)</f>
        <v>0.8225231481</v>
      </c>
      <c r="D13050" s="4">
        <f>IFERROR(__xludf.DUMMYFUNCTION("""COMPUTED_VALUE"""),12.930333)</f>
        <v>12.930333</v>
      </c>
      <c r="E13050" s="4">
        <f>IFERROR(__xludf.DUMMYFUNCTION("""COMPUTED_VALUE"""),80.121665)</f>
        <v>80.121665</v>
      </c>
      <c r="F13050" s="4">
        <f>IFERROR(__xludf.DUMMYFUNCTION("""COMPUTED_VALUE"""),2846.0)</f>
        <v>2846</v>
      </c>
      <c r="G13050" s="4">
        <f>IFERROR(__xludf.DUMMYFUNCTION("""COMPUTED_VALUE"""),27.0)</f>
        <v>27</v>
      </c>
      <c r="H13050" s="4"/>
      <c r="I13050" s="4"/>
    </row>
    <row r="13051">
      <c r="A13051" s="4" t="str">
        <f>IFERROR(__xludf.DUMMYFUNCTION("""COMPUTED_VALUE"""),"cas_hmw")</f>
        <v>cas_hmw</v>
      </c>
      <c r="B13051" s="5">
        <f>IFERROR(__xludf.DUMMYFUNCTION("""COMPUTED_VALUE"""),44715.0)</f>
        <v>44715</v>
      </c>
      <c r="C13051" s="6">
        <f>IFERROR(__xludf.DUMMYFUNCTION("""COMPUTED_VALUE"""),0.8225347222214623)</f>
        <v>0.8225347222</v>
      </c>
      <c r="D13051" s="4">
        <f>IFERROR(__xludf.DUMMYFUNCTION("""COMPUTED_VALUE"""),12.930333)</f>
        <v>12.930333</v>
      </c>
      <c r="E13051" s="4">
        <f>IFERROR(__xludf.DUMMYFUNCTION("""COMPUTED_VALUE"""),80.121665)</f>
        <v>80.121665</v>
      </c>
      <c r="F13051" s="4">
        <f>IFERROR(__xludf.DUMMYFUNCTION("""COMPUTED_VALUE"""),2846.0)</f>
        <v>2846</v>
      </c>
      <c r="G13051" s="4">
        <f>IFERROR(__xludf.DUMMYFUNCTION("""COMPUTED_VALUE"""),27.0)</f>
        <v>27</v>
      </c>
      <c r="H13051" s="4"/>
      <c r="I13051" s="4"/>
    </row>
    <row r="13052">
      <c r="A13052" s="4" t="str">
        <f>IFERROR(__xludf.DUMMYFUNCTION("""COMPUTED_VALUE"""),"cas_hmw")</f>
        <v>cas_hmw</v>
      </c>
      <c r="B13052" s="5">
        <f>IFERROR(__xludf.DUMMYFUNCTION("""COMPUTED_VALUE"""),44715.0)</f>
        <v>44715</v>
      </c>
      <c r="C13052" s="6">
        <f>IFERROR(__xludf.DUMMYFUNCTION("""COMPUTED_VALUE"""),0.8228009259255487)</f>
        <v>0.8228009259</v>
      </c>
      <c r="D13052" s="4">
        <f>IFERROR(__xludf.DUMMYFUNCTION("""COMPUTED_VALUE"""),12.928595)</f>
        <v>12.928595</v>
      </c>
      <c r="E13052" s="4">
        <f>IFERROR(__xludf.DUMMYFUNCTION("""COMPUTED_VALUE"""),80.11985)</f>
        <v>80.11985</v>
      </c>
      <c r="F13052" s="4">
        <f>IFERROR(__xludf.DUMMYFUNCTION("""COMPUTED_VALUE"""),2846.0)</f>
        <v>2846</v>
      </c>
      <c r="G13052" s="4">
        <f>IFERROR(__xludf.DUMMYFUNCTION("""COMPUTED_VALUE"""),37.0)</f>
        <v>37</v>
      </c>
      <c r="H13052" s="4"/>
      <c r="I13052" s="4"/>
    </row>
    <row r="13053">
      <c r="A13053" s="4" t="str">
        <f>IFERROR(__xludf.DUMMYFUNCTION("""COMPUTED_VALUE"""),"cas_hmw")</f>
        <v>cas_hmw</v>
      </c>
      <c r="B13053" s="5">
        <f>IFERROR(__xludf.DUMMYFUNCTION("""COMPUTED_VALUE"""),44715.0)</f>
        <v>44715</v>
      </c>
      <c r="C13053" s="6">
        <f>IFERROR(__xludf.DUMMYFUNCTION("""COMPUTED_VALUE"""),0.8234953703686188)</f>
        <v>0.8234953704</v>
      </c>
      <c r="D13053" s="4">
        <f>IFERROR(__xludf.DUMMYFUNCTION("""COMPUTED_VALUE"""),12.926278)</f>
        <v>12.926278</v>
      </c>
      <c r="E13053" s="4">
        <f>IFERROR(__xludf.DUMMYFUNCTION("""COMPUTED_VALUE"""),80.117505)</f>
        <v>80.117505</v>
      </c>
      <c r="F13053" s="4">
        <f>IFERROR(__xludf.DUMMYFUNCTION("""COMPUTED_VALUE"""),2846.0)</f>
        <v>2846</v>
      </c>
      <c r="G13053" s="4">
        <f>IFERROR(__xludf.DUMMYFUNCTION("""COMPUTED_VALUE"""),20.0)</f>
        <v>20</v>
      </c>
      <c r="H13053" s="4"/>
      <c r="I13053" s="4"/>
    </row>
    <row r="13054">
      <c r="A13054" s="4" t="str">
        <f>IFERROR(__xludf.DUMMYFUNCTION("""COMPUTED_VALUE"""),"cas_hmw")</f>
        <v>cas_hmw</v>
      </c>
      <c r="B13054" s="5">
        <f>IFERROR(__xludf.DUMMYFUNCTION("""COMPUTED_VALUE"""),44715.0)</f>
        <v>44715</v>
      </c>
      <c r="C13054" s="6">
        <f>IFERROR(__xludf.DUMMYFUNCTION("""COMPUTED_VALUE"""),0.8236805555570754)</f>
        <v>0.8236805556</v>
      </c>
      <c r="D13054" s="4">
        <f>IFERROR(__xludf.DUMMYFUNCTION("""COMPUTED_VALUE"""),12.925025)</f>
        <v>12.925025</v>
      </c>
      <c r="E13054" s="4">
        <f>IFERROR(__xludf.DUMMYFUNCTION("""COMPUTED_VALUE"""),80.116223)</f>
        <v>80.116223</v>
      </c>
      <c r="F13054" s="4">
        <f>IFERROR(__xludf.DUMMYFUNCTION("""COMPUTED_VALUE"""),2846.0)</f>
        <v>2846</v>
      </c>
      <c r="G13054" s="4">
        <f>IFERROR(__xludf.DUMMYFUNCTION("""COMPUTED_VALUE"""),35.0)</f>
        <v>35</v>
      </c>
      <c r="H13054" s="4"/>
      <c r="I13054" s="4"/>
    </row>
    <row r="13055">
      <c r="A13055" s="4" t="str">
        <f>IFERROR(__xludf.DUMMYFUNCTION("""COMPUTED_VALUE"""),"cas_hmw")</f>
        <v>cas_hmw</v>
      </c>
      <c r="B13055" s="5">
        <f>IFERROR(__xludf.DUMMYFUNCTION("""COMPUTED_VALUE"""),44715.0)</f>
        <v>44715</v>
      </c>
      <c r="C13055" s="6">
        <f>IFERROR(__xludf.DUMMYFUNCTION("""COMPUTED_VALUE"""),0.8245486111118225)</f>
        <v>0.8245486111</v>
      </c>
      <c r="D13055" s="4">
        <f>IFERROR(__xludf.DUMMYFUNCTION("""COMPUTED_VALUE"""),12.920446)</f>
        <v>12.920446</v>
      </c>
      <c r="E13055" s="4">
        <f>IFERROR(__xludf.DUMMYFUNCTION("""COMPUTED_VALUE"""),80.111583)</f>
        <v>80.111583</v>
      </c>
      <c r="F13055" s="4">
        <f>IFERROR(__xludf.DUMMYFUNCTION("""COMPUTED_VALUE"""),2846.0)</f>
        <v>2846</v>
      </c>
      <c r="G13055" s="4">
        <f>IFERROR(__xludf.DUMMYFUNCTION("""COMPUTED_VALUE"""),58.0)</f>
        <v>58</v>
      </c>
      <c r="H13055" s="4"/>
      <c r="I13055" s="4"/>
    </row>
    <row r="13056">
      <c r="A13056" s="4" t="str">
        <f>IFERROR(__xludf.DUMMYFUNCTION("""COMPUTED_VALUE"""),"cas_hmw")</f>
        <v>cas_hmw</v>
      </c>
      <c r="B13056" s="5">
        <f>IFERROR(__xludf.DUMMYFUNCTION("""COMPUTED_VALUE"""),44715.0)</f>
        <v>44715</v>
      </c>
      <c r="C13056" s="6">
        <f>IFERROR(__xludf.DUMMYFUNCTION("""COMPUTED_VALUE"""),0.8257754629630654)</f>
        <v>0.825775463</v>
      </c>
      <c r="D13056" s="4">
        <f>IFERROR(__xludf.DUMMYFUNCTION("""COMPUTED_VALUE"""),12.914626)</f>
        <v>12.914626</v>
      </c>
      <c r="E13056" s="4">
        <f>IFERROR(__xludf.DUMMYFUNCTION("""COMPUTED_VALUE"""),80.102824)</f>
        <v>80.102824</v>
      </c>
      <c r="F13056" s="4">
        <f>IFERROR(__xludf.DUMMYFUNCTION("""COMPUTED_VALUE"""),2846.0)</f>
        <v>2846</v>
      </c>
      <c r="G13056" s="4">
        <f>IFERROR(__xludf.DUMMYFUNCTION("""COMPUTED_VALUE"""),54.0)</f>
        <v>54</v>
      </c>
      <c r="H13056" s="4"/>
      <c r="I13056" s="4"/>
    </row>
    <row r="13057">
      <c r="A13057" s="4" t="str">
        <f>IFERROR(__xludf.DUMMYFUNCTION("""COMPUTED_VALUE"""),"cas_hmw")</f>
        <v>cas_hmw</v>
      </c>
      <c r="B13057" s="5">
        <f>IFERROR(__xludf.DUMMYFUNCTION("""COMPUTED_VALUE"""),44715.0)</f>
        <v>44715</v>
      </c>
      <c r="C13057" s="6">
        <f>IFERROR(__xludf.DUMMYFUNCTION("""COMPUTED_VALUE"""),0.8258333333324117)</f>
        <v>0.8258333333</v>
      </c>
      <c r="D13057" s="4">
        <f>IFERROR(__xludf.DUMMYFUNCTION("""COMPUTED_VALUE"""),12.913882)</f>
        <v>12.913882</v>
      </c>
      <c r="E13057" s="4">
        <f>IFERROR(__xludf.DUMMYFUNCTION("""COMPUTED_VALUE"""),80.101889)</f>
        <v>80.101889</v>
      </c>
      <c r="F13057" s="4">
        <f>IFERROR(__xludf.DUMMYFUNCTION("""COMPUTED_VALUE"""),2846.0)</f>
        <v>2846</v>
      </c>
      <c r="G13057" s="4">
        <f>IFERROR(__xludf.DUMMYFUNCTION("""COMPUTED_VALUE"""),37.0)</f>
        <v>37</v>
      </c>
      <c r="H13057" s="4"/>
      <c r="I13057" s="4"/>
    </row>
    <row r="13058">
      <c r="A13058" s="4" t="str">
        <f>IFERROR(__xludf.DUMMYFUNCTION("""COMPUTED_VALUE"""),"cas_hmw")</f>
        <v>cas_hmw</v>
      </c>
      <c r="B13058" s="5">
        <f>IFERROR(__xludf.DUMMYFUNCTION("""COMPUTED_VALUE"""),44715.0)</f>
        <v>44715</v>
      </c>
      <c r="C13058" s="6">
        <f>IFERROR(__xludf.DUMMYFUNCTION("""COMPUTED_VALUE"""),0.8259953703709471)</f>
        <v>0.8259953704</v>
      </c>
      <c r="D13058" s="4">
        <f>IFERROR(__xludf.DUMMYFUNCTION("""COMPUTED_VALUE"""),12.913111)</f>
        <v>12.913111</v>
      </c>
      <c r="E13058" s="4">
        <f>IFERROR(__xludf.DUMMYFUNCTION("""COMPUTED_VALUE"""),80.101566)</f>
        <v>80.101566</v>
      </c>
      <c r="F13058" s="4">
        <f>IFERROR(__xludf.DUMMYFUNCTION("""COMPUTED_VALUE"""),2846.0)</f>
        <v>2846</v>
      </c>
      <c r="G13058" s="4">
        <f>IFERROR(__xludf.DUMMYFUNCTION("""COMPUTED_VALUE"""),36.0)</f>
        <v>36</v>
      </c>
      <c r="H13058" s="4"/>
      <c r="I13058" s="4"/>
    </row>
    <row r="13059">
      <c r="A13059" s="4" t="str">
        <f>IFERROR(__xludf.DUMMYFUNCTION("""COMPUTED_VALUE"""),"cas_hmw")</f>
        <v>cas_hmw</v>
      </c>
      <c r="B13059" s="5">
        <f>IFERROR(__xludf.DUMMYFUNCTION("""COMPUTED_VALUE"""),44715.0)</f>
        <v>44715</v>
      </c>
      <c r="C13059" s="6">
        <f>IFERROR(__xludf.DUMMYFUNCTION("""COMPUTED_VALUE"""),0.8261111111096398)</f>
        <v>0.8261111111</v>
      </c>
      <c r="D13059" s="4">
        <f>IFERROR(__xludf.DUMMYFUNCTION("""COMPUTED_VALUE"""),12.912094)</f>
        <v>12.912094</v>
      </c>
      <c r="E13059" s="4">
        <f>IFERROR(__xludf.DUMMYFUNCTION("""COMPUTED_VALUE"""),80.10145)</f>
        <v>80.10145</v>
      </c>
      <c r="F13059" s="4">
        <f>IFERROR(__xludf.DUMMYFUNCTION("""COMPUTED_VALUE"""),2846.0)</f>
        <v>2846</v>
      </c>
      <c r="G13059" s="4">
        <f>IFERROR(__xludf.DUMMYFUNCTION("""COMPUTED_VALUE"""),41.0)</f>
        <v>41</v>
      </c>
      <c r="H13059" s="4"/>
      <c r="I13059" s="4"/>
    </row>
    <row r="13060">
      <c r="A13060" s="4" t="str">
        <f>IFERROR(__xludf.DUMMYFUNCTION("""COMPUTED_VALUE"""),"cas_hmw")</f>
        <v>cas_hmw</v>
      </c>
      <c r="B13060" s="5">
        <f>IFERROR(__xludf.DUMMYFUNCTION("""COMPUTED_VALUE"""),44715.0)</f>
        <v>44715</v>
      </c>
      <c r="C13060" s="6">
        <f>IFERROR(__xludf.DUMMYFUNCTION("""COMPUTED_VALUE"""),0.8293518518512428)</f>
        <v>0.8293518519</v>
      </c>
      <c r="D13060" s="4">
        <f>IFERROR(__xludf.DUMMYFUNCTION("""COMPUTED_VALUE"""),12.90628)</f>
        <v>12.90628</v>
      </c>
      <c r="E13060" s="4">
        <f>IFERROR(__xludf.DUMMYFUNCTION("""COMPUTED_VALUE"""),80.096374)</f>
        <v>80.096374</v>
      </c>
      <c r="F13060" s="4">
        <f>IFERROR(__xludf.DUMMYFUNCTION("""COMPUTED_VALUE"""),2846.0)</f>
        <v>2846</v>
      </c>
      <c r="G13060" s="4">
        <f>IFERROR(__xludf.DUMMYFUNCTION("""COMPUTED_VALUE"""),8.0)</f>
        <v>8</v>
      </c>
      <c r="H13060" s="4"/>
      <c r="I13060" s="4"/>
    </row>
    <row r="13061">
      <c r="A13061" s="4" t="str">
        <f>IFERROR(__xludf.DUMMYFUNCTION("""COMPUTED_VALUE"""),"cas_hmw")</f>
        <v>cas_hmw</v>
      </c>
      <c r="B13061" s="5">
        <f>IFERROR(__xludf.DUMMYFUNCTION("""COMPUTED_VALUE"""),44715.0)</f>
        <v>44715</v>
      </c>
      <c r="C13061" s="6">
        <f>IFERROR(__xludf.DUMMYFUNCTION("""COMPUTED_VALUE"""),0.8293634259243845)</f>
        <v>0.8293634259</v>
      </c>
      <c r="D13061" s="4">
        <f>IFERROR(__xludf.DUMMYFUNCTION("""COMPUTED_VALUE"""),12.90628)</f>
        <v>12.90628</v>
      </c>
      <c r="E13061" s="4">
        <f>IFERROR(__xludf.DUMMYFUNCTION("""COMPUTED_VALUE"""),80.096374)</f>
        <v>80.096374</v>
      </c>
      <c r="F13061" s="4">
        <f>IFERROR(__xludf.DUMMYFUNCTION("""COMPUTED_VALUE"""),2846.0)</f>
        <v>2846</v>
      </c>
      <c r="G13061" s="4">
        <f>IFERROR(__xludf.DUMMYFUNCTION("""COMPUTED_VALUE"""),8.0)</f>
        <v>8</v>
      </c>
      <c r="H13061" s="4"/>
      <c r="I13061" s="4"/>
    </row>
    <row r="13062">
      <c r="A13062" s="4" t="str">
        <f>IFERROR(__xludf.DUMMYFUNCTION("""COMPUTED_VALUE"""),"cas_hmw")</f>
        <v>cas_hmw</v>
      </c>
      <c r="B13062" s="5">
        <f>IFERROR(__xludf.DUMMYFUNCTION("""COMPUTED_VALUE"""),44715.0)</f>
        <v>44715</v>
      </c>
      <c r="C13062" s="6">
        <f>IFERROR(__xludf.DUMMYFUNCTION("""COMPUTED_VALUE"""),0.8295949074090458)</f>
        <v>0.8295949074</v>
      </c>
      <c r="D13062" s="4">
        <f>IFERROR(__xludf.DUMMYFUNCTION("""COMPUTED_VALUE"""),12.905368)</f>
        <v>12.905368</v>
      </c>
      <c r="E13062" s="4">
        <f>IFERROR(__xludf.DUMMYFUNCTION("""COMPUTED_VALUE"""),80.095676)</f>
        <v>80.095676</v>
      </c>
      <c r="F13062" s="4">
        <f>IFERROR(__xludf.DUMMYFUNCTION("""COMPUTED_VALUE"""),2846.0)</f>
        <v>2846</v>
      </c>
      <c r="G13062" s="4">
        <f>IFERROR(__xludf.DUMMYFUNCTION("""COMPUTED_VALUE"""),20.0)</f>
        <v>20</v>
      </c>
      <c r="H13062" s="4"/>
      <c r="I13062" s="4"/>
    </row>
    <row r="13063">
      <c r="A13063" s="4" t="str">
        <f>IFERROR(__xludf.DUMMYFUNCTION("""COMPUTED_VALUE"""),"cas_hmw")</f>
        <v>cas_hmw</v>
      </c>
      <c r="B13063" s="5">
        <f>IFERROR(__xludf.DUMMYFUNCTION("""COMPUTED_VALUE"""),44715.0)</f>
        <v>44715</v>
      </c>
      <c r="C13063" s="6">
        <f>IFERROR(__xludf.DUMMYFUNCTION("""COMPUTED_VALUE"""),0.8296296296284709)</f>
        <v>0.8296296296</v>
      </c>
      <c r="D13063" s="4">
        <f>IFERROR(__xludf.DUMMYFUNCTION("""COMPUTED_VALUE"""),12.904877)</f>
        <v>12.904877</v>
      </c>
      <c r="E13063" s="4">
        <f>IFERROR(__xludf.DUMMYFUNCTION("""COMPUTED_VALUE"""),80.095338)</f>
        <v>80.095338</v>
      </c>
      <c r="F13063" s="4">
        <f>IFERROR(__xludf.DUMMYFUNCTION("""COMPUTED_VALUE"""),2846.0)</f>
        <v>2846</v>
      </c>
      <c r="G13063" s="4">
        <f>IFERROR(__xludf.DUMMYFUNCTION("""COMPUTED_VALUE"""),26.0)</f>
        <v>26</v>
      </c>
      <c r="H13063" s="4"/>
      <c r="I13063" s="4"/>
    </row>
    <row r="13064">
      <c r="A13064" s="4" t="str">
        <f>IFERROR(__xludf.DUMMYFUNCTION("""COMPUTED_VALUE"""),"cas_hmw")</f>
        <v>cas_hmw</v>
      </c>
      <c r="B13064" s="5">
        <f>IFERROR(__xludf.DUMMYFUNCTION("""COMPUTED_VALUE"""),44715.0)</f>
        <v>44715</v>
      </c>
      <c r="C13064" s="6">
        <f>IFERROR(__xludf.DUMMYFUNCTION("""COMPUTED_VALUE"""),0.8296759259246755)</f>
        <v>0.8296759259</v>
      </c>
      <c r="D13064" s="4">
        <f>IFERROR(__xludf.DUMMYFUNCTION("""COMPUTED_VALUE"""),12.904877)</f>
        <v>12.904877</v>
      </c>
      <c r="E13064" s="4">
        <f>IFERROR(__xludf.DUMMYFUNCTION("""COMPUTED_VALUE"""),80.095338)</f>
        <v>80.095338</v>
      </c>
      <c r="F13064" s="4">
        <f>IFERROR(__xludf.DUMMYFUNCTION("""COMPUTED_VALUE"""),2846.0)</f>
        <v>2846</v>
      </c>
      <c r="G13064" s="4">
        <f>IFERROR(__xludf.DUMMYFUNCTION("""COMPUTED_VALUE"""),26.0)</f>
        <v>26</v>
      </c>
      <c r="H13064" s="4"/>
      <c r="I13064" s="4"/>
    </row>
    <row r="13065">
      <c r="A13065" s="4" t="str">
        <f>IFERROR(__xludf.DUMMYFUNCTION("""COMPUTED_VALUE"""),"cas_hmw")</f>
        <v>cas_hmw</v>
      </c>
      <c r="B13065" s="5">
        <f>IFERROR(__xludf.DUMMYFUNCTION("""COMPUTED_VALUE"""),44715.0)</f>
        <v>44715</v>
      </c>
      <c r="C13065" s="6">
        <f>IFERROR(__xludf.DUMMYFUNCTION("""COMPUTED_VALUE"""),0.8296875000014552)</f>
        <v>0.8296875</v>
      </c>
      <c r="D13065" s="4">
        <f>IFERROR(__xludf.DUMMYFUNCTION("""COMPUTED_VALUE"""),12.904877)</f>
        <v>12.904877</v>
      </c>
      <c r="E13065" s="4">
        <f>IFERROR(__xludf.DUMMYFUNCTION("""COMPUTED_VALUE"""),80.095338)</f>
        <v>80.095338</v>
      </c>
      <c r="F13065" s="4">
        <f>IFERROR(__xludf.DUMMYFUNCTION("""COMPUTED_VALUE"""),2846.0)</f>
        <v>2846</v>
      </c>
      <c r="G13065" s="4">
        <f>IFERROR(__xludf.DUMMYFUNCTION("""COMPUTED_VALUE"""),26.0)</f>
        <v>26</v>
      </c>
      <c r="H13065" s="4"/>
      <c r="I13065" s="4"/>
    </row>
    <row r="13066">
      <c r="A13066" s="4" t="str">
        <f>IFERROR(__xludf.DUMMYFUNCTION("""COMPUTED_VALUE"""),"cas_hmw")</f>
        <v>cas_hmw</v>
      </c>
      <c r="B13066" s="5">
        <f>IFERROR(__xludf.DUMMYFUNCTION("""COMPUTED_VALUE"""),44715.0)</f>
        <v>44715</v>
      </c>
      <c r="C13066" s="6">
        <f>IFERROR(__xludf.DUMMYFUNCTION("""COMPUTED_VALUE"""),0.8300000000017462)</f>
        <v>0.83</v>
      </c>
      <c r="D13066" s="4">
        <f>IFERROR(__xludf.DUMMYFUNCTION("""COMPUTED_VALUE"""),12.902846)</f>
        <v>12.902846</v>
      </c>
      <c r="E13066" s="4">
        <f>IFERROR(__xludf.DUMMYFUNCTION("""COMPUTED_VALUE"""),80.093656)</f>
        <v>80.093656</v>
      </c>
      <c r="F13066" s="4">
        <f>IFERROR(__xludf.DUMMYFUNCTION("""COMPUTED_VALUE"""),2846.0)</f>
        <v>2846</v>
      </c>
      <c r="G13066" s="4">
        <f>IFERROR(__xludf.DUMMYFUNCTION("""COMPUTED_VALUE"""),37.0)</f>
        <v>37</v>
      </c>
      <c r="H13066" s="4"/>
      <c r="I13066" s="4"/>
    </row>
    <row r="13067">
      <c r="A13067" s="4" t="str">
        <f>IFERROR(__xludf.DUMMYFUNCTION("""COMPUTED_VALUE"""),"cas_hmw")</f>
        <v>cas_hmw</v>
      </c>
      <c r="B13067" s="5">
        <f>IFERROR(__xludf.DUMMYFUNCTION("""COMPUTED_VALUE"""),44715.0)</f>
        <v>44715</v>
      </c>
      <c r="C13067" s="6">
        <f>IFERROR(__xludf.DUMMYFUNCTION("""COMPUTED_VALUE"""),0.8301273148135806)</f>
        <v>0.8301273148</v>
      </c>
      <c r="D13067" s="4">
        <f>IFERROR(__xludf.DUMMYFUNCTION("""COMPUTED_VALUE"""),12.902013)</f>
        <v>12.902013</v>
      </c>
      <c r="E13067" s="4">
        <f>IFERROR(__xludf.DUMMYFUNCTION("""COMPUTED_VALUE"""),80.093026)</f>
        <v>80.093026</v>
      </c>
      <c r="F13067" s="4">
        <f>IFERROR(__xludf.DUMMYFUNCTION("""COMPUTED_VALUE"""),2846.0)</f>
        <v>2846</v>
      </c>
      <c r="G13067" s="4">
        <f>IFERROR(__xludf.DUMMYFUNCTION("""COMPUTED_VALUE"""),45.0)</f>
        <v>45</v>
      </c>
      <c r="H13067" s="4"/>
      <c r="I13067" s="4"/>
    </row>
    <row r="13068">
      <c r="A13068" s="4" t="str">
        <f>IFERROR(__xludf.DUMMYFUNCTION("""COMPUTED_VALUE"""),"cas_hmw")</f>
        <v>cas_hmw</v>
      </c>
      <c r="B13068" s="5">
        <f>IFERROR(__xludf.DUMMYFUNCTION("""COMPUTED_VALUE"""),44715.0)</f>
        <v>44715</v>
      </c>
      <c r="C13068" s="6">
        <f>IFERROR(__xludf.DUMMYFUNCTION("""COMPUTED_VALUE"""),0.8302083333328483)</f>
        <v>0.8302083333</v>
      </c>
      <c r="D13068" s="4">
        <f>IFERROR(__xludf.DUMMYFUNCTION("""COMPUTED_VALUE"""),12.900977)</f>
        <v>12.900977</v>
      </c>
      <c r="E13068" s="4">
        <f>IFERROR(__xludf.DUMMYFUNCTION("""COMPUTED_VALUE"""),80.092259)</f>
        <v>80.092259</v>
      </c>
      <c r="F13068" s="4">
        <f>IFERROR(__xludf.DUMMYFUNCTION("""COMPUTED_VALUE"""),2846.0)</f>
        <v>2846</v>
      </c>
      <c r="G13068" s="4">
        <f>IFERROR(__xludf.DUMMYFUNCTION("""COMPUTED_VALUE"""),51.0)</f>
        <v>51</v>
      </c>
      <c r="H13068" s="4"/>
      <c r="I13068" s="4"/>
    </row>
    <row r="13069">
      <c r="A13069" s="4" t="str">
        <f>IFERROR(__xludf.DUMMYFUNCTION("""COMPUTED_VALUE"""),"cas_hmw")</f>
        <v>cas_hmw</v>
      </c>
      <c r="B13069" s="5">
        <f>IFERROR(__xludf.DUMMYFUNCTION("""COMPUTED_VALUE"""),44715.0)</f>
        <v>44715</v>
      </c>
      <c r="C13069" s="6">
        <f>IFERROR(__xludf.DUMMYFUNCTION("""COMPUTED_VALUE"""),0.8303356481483206)</f>
        <v>0.8303356481</v>
      </c>
      <c r="D13069" s="4">
        <f>IFERROR(__xludf.DUMMYFUNCTION("""COMPUTED_VALUE"""),12.900026)</f>
        <v>12.900026</v>
      </c>
      <c r="E13069" s="4">
        <f>IFERROR(__xludf.DUMMYFUNCTION("""COMPUTED_VALUE"""),80.091554)</f>
        <v>80.091554</v>
      </c>
      <c r="F13069" s="4">
        <f>IFERROR(__xludf.DUMMYFUNCTION("""COMPUTED_VALUE"""),2846.0)</f>
        <v>2846</v>
      </c>
      <c r="G13069" s="4">
        <f>IFERROR(__xludf.DUMMYFUNCTION("""COMPUTED_VALUE"""),44.0)</f>
        <v>44</v>
      </c>
      <c r="H13069" s="4"/>
      <c r="I13069" s="4"/>
    </row>
    <row r="13070">
      <c r="A13070" s="4" t="str">
        <f>IFERROR(__xludf.DUMMYFUNCTION("""COMPUTED_VALUE"""),"cas_hmw")</f>
        <v>cas_hmw</v>
      </c>
      <c r="B13070" s="5">
        <f>IFERROR(__xludf.DUMMYFUNCTION("""COMPUTED_VALUE"""),44715.0)</f>
        <v>44715</v>
      </c>
      <c r="C13070" s="6">
        <f>IFERROR(__xludf.DUMMYFUNCTION("""COMPUTED_VALUE"""),0.8309953703719657)</f>
        <v>0.8309953704</v>
      </c>
      <c r="D13070" s="4">
        <f>IFERROR(__xludf.DUMMYFUNCTION("""COMPUTED_VALUE"""),12.896579)</f>
        <v>12.896579</v>
      </c>
      <c r="E13070" s="4">
        <f>IFERROR(__xludf.DUMMYFUNCTION("""COMPUTED_VALUE"""),80.088948)</f>
        <v>80.088948</v>
      </c>
      <c r="F13070" s="4">
        <f>IFERROR(__xludf.DUMMYFUNCTION("""COMPUTED_VALUE"""),2846.0)</f>
        <v>2846</v>
      </c>
      <c r="G13070" s="4">
        <f>IFERROR(__xludf.DUMMYFUNCTION("""COMPUTED_VALUE"""),25.0)</f>
        <v>25</v>
      </c>
      <c r="H13070" s="4"/>
      <c r="I13070" s="4"/>
    </row>
    <row r="13071">
      <c r="A13071" s="4" t="str">
        <f>IFERROR(__xludf.DUMMYFUNCTION("""COMPUTED_VALUE"""),"cas_hmw")</f>
        <v>cas_hmw</v>
      </c>
      <c r="B13071" s="5">
        <f>IFERROR(__xludf.DUMMYFUNCTION("""COMPUTED_VALUE"""),44715.0)</f>
        <v>44715</v>
      </c>
      <c r="C13071" s="6">
        <f>IFERROR(__xludf.DUMMYFUNCTION("""COMPUTED_VALUE"""),0.8311574074068631)</f>
        <v>0.8311574074</v>
      </c>
      <c r="D13071" s="4">
        <f>IFERROR(__xludf.DUMMYFUNCTION("""COMPUTED_VALUE"""),12.895961)</f>
        <v>12.895961</v>
      </c>
      <c r="E13071" s="4">
        <f>IFERROR(__xludf.DUMMYFUNCTION("""COMPUTED_VALUE"""),80.088505)</f>
        <v>80.088505</v>
      </c>
      <c r="F13071" s="4">
        <f>IFERROR(__xludf.DUMMYFUNCTION("""COMPUTED_VALUE"""),2846.0)</f>
        <v>2846</v>
      </c>
      <c r="G13071" s="4">
        <f>IFERROR(__xludf.DUMMYFUNCTION("""COMPUTED_VALUE"""),31.0)</f>
        <v>31</v>
      </c>
      <c r="H13071" s="4"/>
      <c r="I13071" s="4"/>
    </row>
    <row r="13072">
      <c r="A13072" s="4" t="str">
        <f>IFERROR(__xludf.DUMMYFUNCTION("""COMPUTED_VALUE"""),"cas_hmw")</f>
        <v>cas_hmw</v>
      </c>
      <c r="B13072" s="5">
        <f>IFERROR(__xludf.DUMMYFUNCTION("""COMPUTED_VALUE"""),44715.0)</f>
        <v>44715</v>
      </c>
      <c r="C13072" s="6">
        <f>IFERROR(__xludf.DUMMYFUNCTION("""COMPUTED_VALUE"""),0.8311921296299261)</f>
        <v>0.8311921296</v>
      </c>
      <c r="D13072" s="4">
        <f>IFERROR(__xludf.DUMMYFUNCTION("""COMPUTED_VALUE"""),12.895961)</f>
        <v>12.895961</v>
      </c>
      <c r="E13072" s="4">
        <f>IFERROR(__xludf.DUMMYFUNCTION("""COMPUTED_VALUE"""),80.088505)</f>
        <v>80.088505</v>
      </c>
      <c r="F13072" s="4">
        <f>IFERROR(__xludf.DUMMYFUNCTION("""COMPUTED_VALUE"""),2846.0)</f>
        <v>2846</v>
      </c>
      <c r="G13072" s="4">
        <f>IFERROR(__xludf.DUMMYFUNCTION("""COMPUTED_VALUE"""),31.0)</f>
        <v>31</v>
      </c>
      <c r="H13072" s="4"/>
      <c r="I13072" s="4"/>
    </row>
    <row r="13073">
      <c r="A13073" s="4" t="str">
        <f>IFERROR(__xludf.DUMMYFUNCTION("""COMPUTED_VALUE"""),"cas_hmw")</f>
        <v>cas_hmw</v>
      </c>
      <c r="B13073" s="5">
        <f>IFERROR(__xludf.DUMMYFUNCTION("""COMPUTED_VALUE"""),44715.0)</f>
        <v>44715</v>
      </c>
      <c r="C13073" s="6">
        <f>IFERROR(__xludf.DUMMYFUNCTION("""COMPUTED_VALUE"""),0.8315624999995634)</f>
        <v>0.8315625</v>
      </c>
      <c r="D13073" s="4">
        <f>IFERROR(__xludf.DUMMYFUNCTION("""COMPUTED_VALUE"""),12.894216)</f>
        <v>12.894216</v>
      </c>
      <c r="E13073" s="4">
        <f>IFERROR(__xludf.DUMMYFUNCTION("""COMPUTED_VALUE"""),80.087173)</f>
        <v>80.087173</v>
      </c>
      <c r="F13073" s="4">
        <f>IFERROR(__xludf.DUMMYFUNCTION("""COMPUTED_VALUE"""),2846.0)</f>
        <v>2846</v>
      </c>
      <c r="G13073" s="4">
        <f>IFERROR(__xludf.DUMMYFUNCTION("""COMPUTED_VALUE"""),42.0)</f>
        <v>42</v>
      </c>
      <c r="H13073" s="4"/>
      <c r="I13073" s="4"/>
    </row>
    <row r="13074">
      <c r="A13074" s="4" t="str">
        <f>IFERROR(__xludf.DUMMYFUNCTION("""COMPUTED_VALUE"""),"cas_hmw")</f>
        <v>cas_hmw</v>
      </c>
      <c r="B13074" s="5">
        <f>IFERROR(__xludf.DUMMYFUNCTION("""COMPUTED_VALUE"""),44715.0)</f>
        <v>44715</v>
      </c>
      <c r="C13074" s="6">
        <f>IFERROR(__xludf.DUMMYFUNCTION("""COMPUTED_VALUE"""),0.8327314814814599)</f>
        <v>0.8327314815</v>
      </c>
      <c r="D13074" s="4">
        <f>IFERROR(__xludf.DUMMYFUNCTION("""COMPUTED_VALUE"""),12.883928)</f>
        <v>12.883928</v>
      </c>
      <c r="E13074" s="4">
        <f>IFERROR(__xludf.DUMMYFUNCTION("""COMPUTED_VALUE"""),80.082225)</f>
        <v>80.082225</v>
      </c>
      <c r="F13074" s="4">
        <f>IFERROR(__xludf.DUMMYFUNCTION("""COMPUTED_VALUE"""),2846.0)</f>
        <v>2846</v>
      </c>
      <c r="G13074" s="4">
        <f>IFERROR(__xludf.DUMMYFUNCTION("""COMPUTED_VALUE"""),35.0)</f>
        <v>35</v>
      </c>
      <c r="H13074" s="4"/>
      <c r="I13074" s="4"/>
    </row>
    <row r="13075">
      <c r="A13075" s="4" t="str">
        <f>IFERROR(__xludf.DUMMYFUNCTION("""COMPUTED_VALUE"""),"cas_hmw")</f>
        <v>cas_hmw</v>
      </c>
      <c r="B13075" s="5">
        <f>IFERROR(__xludf.DUMMYFUNCTION("""COMPUTED_VALUE"""),44715.0)</f>
        <v>44715</v>
      </c>
      <c r="C13075" s="6">
        <f>IFERROR(__xludf.DUMMYFUNCTION("""COMPUTED_VALUE"""),0.8330671296280343)</f>
        <v>0.8330671296</v>
      </c>
      <c r="D13075" s="4">
        <f>IFERROR(__xludf.DUMMYFUNCTION("""COMPUTED_VALUE"""),12.882126)</f>
        <v>12.882126</v>
      </c>
      <c r="E13075" s="4">
        <f>IFERROR(__xludf.DUMMYFUNCTION("""COMPUTED_VALUE"""),80.081533)</f>
        <v>80.081533</v>
      </c>
      <c r="F13075" s="4">
        <f>IFERROR(__xludf.DUMMYFUNCTION("""COMPUTED_VALUE"""),2846.0)</f>
        <v>2846</v>
      </c>
      <c r="G13075" s="4">
        <f>IFERROR(__xludf.DUMMYFUNCTION("""COMPUTED_VALUE"""),18.0)</f>
        <v>18</v>
      </c>
      <c r="H13075" s="4"/>
      <c r="I13075" s="4"/>
    </row>
    <row r="13076">
      <c r="A13076" s="4" t="str">
        <f>IFERROR(__xludf.DUMMYFUNCTION("""COMPUTED_VALUE"""),"cas_hmw")</f>
        <v>cas_hmw</v>
      </c>
      <c r="B13076" s="5">
        <f>IFERROR(__xludf.DUMMYFUNCTION("""COMPUTED_VALUE"""),44715.0)</f>
        <v>44715</v>
      </c>
      <c r="C13076" s="6">
        <f>IFERROR(__xludf.DUMMYFUNCTION("""COMPUTED_VALUE"""),0.8331250000010186)</f>
        <v>0.833125</v>
      </c>
      <c r="D13076" s="4">
        <f>IFERROR(__xludf.DUMMYFUNCTION("""COMPUTED_VALUE"""),12.881579)</f>
        <v>12.881579</v>
      </c>
      <c r="E13076" s="4">
        <f>IFERROR(__xludf.DUMMYFUNCTION("""COMPUTED_VALUE"""),80.081317)</f>
        <v>80.081317</v>
      </c>
      <c r="F13076" s="4">
        <f>IFERROR(__xludf.DUMMYFUNCTION("""COMPUTED_VALUE"""),2846.0)</f>
        <v>2846</v>
      </c>
      <c r="G13076" s="4">
        <f>IFERROR(__xludf.DUMMYFUNCTION("""COMPUTED_VALUE"""),28.0)</f>
        <v>28</v>
      </c>
      <c r="H13076" s="4"/>
      <c r="I13076" s="4"/>
    </row>
    <row r="13077">
      <c r="A13077" s="4" t="str">
        <f>IFERROR(__xludf.DUMMYFUNCTION("""COMPUTED_VALUE"""),"cas_hmw")</f>
        <v>cas_hmw</v>
      </c>
      <c r="B13077" s="5">
        <f>IFERROR(__xludf.DUMMYFUNCTION("""COMPUTED_VALUE"""),44715.0)</f>
        <v>44715</v>
      </c>
      <c r="C13077" s="6">
        <f>IFERROR(__xludf.DUMMYFUNCTION("""COMPUTED_VALUE"""),0.8331365740741603)</f>
        <v>0.8331365741</v>
      </c>
      <c r="D13077" s="4">
        <f>IFERROR(__xludf.DUMMYFUNCTION("""COMPUTED_VALUE"""),12.881579)</f>
        <v>12.881579</v>
      </c>
      <c r="E13077" s="4">
        <f>IFERROR(__xludf.DUMMYFUNCTION("""COMPUTED_VALUE"""),80.081317)</f>
        <v>80.081317</v>
      </c>
      <c r="F13077" s="4">
        <f>IFERROR(__xludf.DUMMYFUNCTION("""COMPUTED_VALUE"""),2846.0)</f>
        <v>2846</v>
      </c>
      <c r="G13077" s="4">
        <f>IFERROR(__xludf.DUMMYFUNCTION("""COMPUTED_VALUE"""),28.0)</f>
        <v>28</v>
      </c>
      <c r="H13077" s="4"/>
      <c r="I13077" s="4"/>
    </row>
    <row r="13078">
      <c r="A13078" s="4" t="str">
        <f>IFERROR(__xludf.DUMMYFUNCTION("""COMPUTED_VALUE"""),"cas_hmw")</f>
        <v>cas_hmw</v>
      </c>
      <c r="B13078" s="5">
        <f>IFERROR(__xludf.DUMMYFUNCTION("""COMPUTED_VALUE"""),44715.0)</f>
        <v>44715</v>
      </c>
      <c r="C13078" s="6">
        <f>IFERROR(__xludf.DUMMYFUNCTION("""COMPUTED_VALUE"""),0.833148148147302)</f>
        <v>0.8331481481</v>
      </c>
      <c r="D13078" s="4">
        <f>IFERROR(__xludf.DUMMYFUNCTION("""COMPUTED_VALUE"""),12.881579)</f>
        <v>12.881579</v>
      </c>
      <c r="E13078" s="4">
        <f>IFERROR(__xludf.DUMMYFUNCTION("""COMPUTED_VALUE"""),80.081317)</f>
        <v>80.081317</v>
      </c>
      <c r="F13078" s="4">
        <f>IFERROR(__xludf.DUMMYFUNCTION("""COMPUTED_VALUE"""),2846.0)</f>
        <v>2846</v>
      </c>
      <c r="G13078" s="4">
        <f>IFERROR(__xludf.DUMMYFUNCTION("""COMPUTED_VALUE"""),28.0)</f>
        <v>28</v>
      </c>
      <c r="H13078" s="4"/>
      <c r="I13078" s="4"/>
    </row>
    <row r="13079">
      <c r="A13079" s="4" t="str">
        <f>IFERROR(__xludf.DUMMYFUNCTION("""COMPUTED_VALUE"""),"cas_hmw")</f>
        <v>cas_hmw</v>
      </c>
      <c r="B13079" s="5">
        <f>IFERROR(__xludf.DUMMYFUNCTION("""COMPUTED_VALUE"""),44716.0)</f>
        <v>44716</v>
      </c>
      <c r="C13079" s="6">
        <f>IFERROR(__xludf.DUMMYFUNCTION("""COMPUTED_VALUE"""),0.49392361110949423)</f>
        <v>0.4939236111</v>
      </c>
      <c r="D13079" s="4">
        <f>IFERROR(__xludf.DUMMYFUNCTION("""COMPUTED_VALUE"""),13.056)</f>
        <v>13.056</v>
      </c>
      <c r="E13079" s="4">
        <f>IFERROR(__xludf.DUMMYFUNCTION("""COMPUTED_VALUE"""),80.118032)</f>
        <v>80.118032</v>
      </c>
      <c r="F13079" s="4">
        <f>IFERROR(__xludf.DUMMYFUNCTION("""COMPUTED_VALUE"""),5339.0)</f>
        <v>5339</v>
      </c>
      <c r="G13079" s="4">
        <f>IFERROR(__xludf.DUMMYFUNCTION("""COMPUTED_VALUE"""),37.0)</f>
        <v>37</v>
      </c>
      <c r="H13079" s="4"/>
      <c r="I13079" s="4"/>
    </row>
    <row r="13080">
      <c r="A13080" s="4" t="str">
        <f>IFERROR(__xludf.DUMMYFUNCTION("""COMPUTED_VALUE"""),"cas_hmw")</f>
        <v>cas_hmw</v>
      </c>
      <c r="B13080" s="5">
        <f>IFERROR(__xludf.DUMMYFUNCTION("""COMPUTED_VALUE"""),44716.0)</f>
        <v>44716</v>
      </c>
      <c r="C13080" s="6">
        <f>IFERROR(__xludf.DUMMYFUNCTION("""COMPUTED_VALUE"""),0.4942592592597066)</f>
        <v>0.4942592593</v>
      </c>
      <c r="D13080" s="4">
        <f>IFERROR(__xludf.DUMMYFUNCTION("""COMPUTED_VALUE"""),13.056)</f>
        <v>13.056</v>
      </c>
      <c r="E13080" s="4">
        <f>IFERROR(__xludf.DUMMYFUNCTION("""COMPUTED_VALUE"""),80.118032)</f>
        <v>80.118032</v>
      </c>
      <c r="F13080" s="4">
        <f>IFERROR(__xludf.DUMMYFUNCTION("""COMPUTED_VALUE"""),5339.0)</f>
        <v>5339</v>
      </c>
      <c r="G13080" s="4">
        <f>IFERROR(__xludf.DUMMYFUNCTION("""COMPUTED_VALUE"""),37.0)</f>
        <v>37</v>
      </c>
      <c r="H13080" s="4"/>
      <c r="I13080" s="4"/>
    </row>
    <row r="13081">
      <c r="A13081" s="4" t="str">
        <f>IFERROR(__xludf.DUMMYFUNCTION("""COMPUTED_VALUE"""),"cas_hmw")</f>
        <v>cas_hmw</v>
      </c>
      <c r="B13081" s="5">
        <f>IFERROR(__xludf.DUMMYFUNCTION("""COMPUTED_VALUE"""),44716.0)</f>
        <v>44716</v>
      </c>
      <c r="C13081" s="6">
        <f>IFERROR(__xludf.DUMMYFUNCTION("""COMPUTED_VALUE"""),0.49428240740598994)</f>
        <v>0.4942824074</v>
      </c>
      <c r="D13081" s="4">
        <f>IFERROR(__xludf.DUMMYFUNCTION("""COMPUTED_VALUE"""),13.056)</f>
        <v>13.056</v>
      </c>
      <c r="E13081" s="4">
        <f>IFERROR(__xludf.DUMMYFUNCTION("""COMPUTED_VALUE"""),80.118032)</f>
        <v>80.118032</v>
      </c>
      <c r="F13081" s="4">
        <f>IFERROR(__xludf.DUMMYFUNCTION("""COMPUTED_VALUE"""),5339.0)</f>
        <v>5339</v>
      </c>
      <c r="G13081" s="4">
        <f>IFERROR(__xludf.DUMMYFUNCTION("""COMPUTED_VALUE"""),37.0)</f>
        <v>37</v>
      </c>
      <c r="H13081" s="4"/>
      <c r="I13081" s="4"/>
    </row>
    <row r="13082">
      <c r="A13082" s="4" t="str">
        <f>IFERROR(__xludf.DUMMYFUNCTION("""COMPUTED_VALUE"""),"cas_hmw")</f>
        <v>cas_hmw</v>
      </c>
      <c r="B13082" s="5">
        <f>IFERROR(__xludf.DUMMYFUNCTION("""COMPUTED_VALUE"""),44716.0)</f>
        <v>44716</v>
      </c>
      <c r="C13082" s="6">
        <f>IFERROR(__xludf.DUMMYFUNCTION("""COMPUTED_VALUE"""),0.49452546296379296)</f>
        <v>0.494525463</v>
      </c>
      <c r="D13082" s="4">
        <f>IFERROR(__xludf.DUMMYFUNCTION("""COMPUTED_VALUE"""),13.054751)</f>
        <v>13.054751</v>
      </c>
      <c r="E13082" s="4">
        <f>IFERROR(__xludf.DUMMYFUNCTION("""COMPUTED_VALUE"""),80.123746)</f>
        <v>80.123746</v>
      </c>
      <c r="F13082" s="4">
        <f>IFERROR(__xludf.DUMMYFUNCTION("""COMPUTED_VALUE"""),5339.0)</f>
        <v>5339</v>
      </c>
      <c r="G13082" s="4">
        <f>IFERROR(__xludf.DUMMYFUNCTION("""COMPUTED_VALUE"""),4.0)</f>
        <v>4</v>
      </c>
      <c r="H13082" s="4"/>
      <c r="I13082" s="4"/>
    </row>
    <row r="13083">
      <c r="A13083" s="4" t="str">
        <f>IFERROR(__xludf.DUMMYFUNCTION("""COMPUTED_VALUE"""),"cas_hmw")</f>
        <v>cas_hmw</v>
      </c>
      <c r="B13083" s="5">
        <f>IFERROR(__xludf.DUMMYFUNCTION("""COMPUTED_VALUE"""),44716.0)</f>
        <v>44716</v>
      </c>
      <c r="C13083" s="6">
        <f>IFERROR(__xludf.DUMMYFUNCTION("""COMPUTED_VALUE"""),0.4981365740750334)</f>
        <v>0.4981365741</v>
      </c>
      <c r="D13083" s="4">
        <f>IFERROR(__xludf.DUMMYFUNCTION("""COMPUTED_VALUE"""),13.056509)</f>
        <v>13.056509</v>
      </c>
      <c r="E13083" s="4">
        <f>IFERROR(__xludf.DUMMYFUNCTION("""COMPUTED_VALUE"""),80.098002)</f>
        <v>80.098002</v>
      </c>
      <c r="F13083" s="4">
        <f>IFERROR(__xludf.DUMMYFUNCTION("""COMPUTED_VALUE"""),5339.0)</f>
        <v>5339</v>
      </c>
      <c r="G13083" s="4">
        <f>IFERROR(__xludf.DUMMYFUNCTION("""COMPUTED_VALUE"""),0.0)</f>
        <v>0</v>
      </c>
      <c r="H13083" s="4"/>
      <c r="I13083" s="4"/>
    </row>
    <row r="13084">
      <c r="A13084" s="4" t="str">
        <f>IFERROR(__xludf.DUMMYFUNCTION("""COMPUTED_VALUE"""),"cas_hmw")</f>
        <v>cas_hmw</v>
      </c>
      <c r="B13084" s="5">
        <f>IFERROR(__xludf.DUMMYFUNCTION("""COMPUTED_VALUE"""),44716.0)</f>
        <v>44716</v>
      </c>
      <c r="C13084" s="6">
        <f>IFERROR(__xludf.DUMMYFUNCTION("""COMPUTED_VALUE"""),0.5003587962964957)</f>
        <v>0.5003587963</v>
      </c>
      <c r="D13084" s="4">
        <f>IFERROR(__xludf.DUMMYFUNCTION("""COMPUTED_VALUE"""),13.050419)</f>
        <v>13.050419</v>
      </c>
      <c r="E13084" s="4">
        <f>IFERROR(__xludf.DUMMYFUNCTION("""COMPUTED_VALUE"""),80.088975)</f>
        <v>80.088975</v>
      </c>
      <c r="F13084" s="4">
        <f>IFERROR(__xludf.DUMMYFUNCTION("""COMPUTED_VALUE"""),5339.0)</f>
        <v>5339</v>
      </c>
      <c r="G13084" s="4">
        <f>IFERROR(__xludf.DUMMYFUNCTION("""COMPUTED_VALUE"""),41.0)</f>
        <v>41</v>
      </c>
      <c r="H13084" s="4"/>
      <c r="I13084" s="4"/>
    </row>
    <row r="13085">
      <c r="A13085" s="4" t="str">
        <f>IFERROR(__xludf.DUMMYFUNCTION("""COMPUTED_VALUE"""),"cas_hmw")</f>
        <v>cas_hmw</v>
      </c>
      <c r="B13085" s="5">
        <f>IFERROR(__xludf.DUMMYFUNCTION("""COMPUTED_VALUE"""),44716.0)</f>
        <v>44716</v>
      </c>
      <c r="C13085" s="6">
        <f>IFERROR(__xludf.DUMMYFUNCTION("""COMPUTED_VALUE"""),0.5003819444427791)</f>
        <v>0.5003819444</v>
      </c>
      <c r="D13085" s="4">
        <f>IFERROR(__xludf.DUMMYFUNCTION("""COMPUTED_VALUE"""),13.049045)</f>
        <v>13.049045</v>
      </c>
      <c r="E13085" s="4">
        <f>IFERROR(__xludf.DUMMYFUNCTION("""COMPUTED_VALUE"""),80.087668)</f>
        <v>80.087668</v>
      </c>
      <c r="F13085" s="4">
        <f>IFERROR(__xludf.DUMMYFUNCTION("""COMPUTED_VALUE"""),5339.0)</f>
        <v>5339</v>
      </c>
      <c r="G13085" s="4">
        <f>IFERROR(__xludf.DUMMYFUNCTION("""COMPUTED_VALUE"""),45.0)</f>
        <v>45</v>
      </c>
      <c r="H13085" s="4"/>
      <c r="I13085" s="4"/>
    </row>
    <row r="13086">
      <c r="A13086" s="4" t="str">
        <f>IFERROR(__xludf.DUMMYFUNCTION("""COMPUTED_VALUE"""),"cas_hmw")</f>
        <v>cas_hmw</v>
      </c>
      <c r="B13086" s="5">
        <f>IFERROR(__xludf.DUMMYFUNCTION("""COMPUTED_VALUE"""),44716.0)</f>
        <v>44716</v>
      </c>
      <c r="C13086" s="6">
        <f>IFERROR(__xludf.DUMMYFUNCTION("""COMPUTED_VALUE"""),0.502858796295186)</f>
        <v>0.5028587963</v>
      </c>
      <c r="D13086" s="4">
        <f>IFERROR(__xludf.DUMMYFUNCTION("""COMPUTED_VALUE"""),13.064102)</f>
        <v>13.064102</v>
      </c>
      <c r="E13086" s="4">
        <f>IFERROR(__xludf.DUMMYFUNCTION("""COMPUTED_VALUE"""),80.07554)</f>
        <v>80.07554</v>
      </c>
      <c r="F13086" s="4">
        <f>IFERROR(__xludf.DUMMYFUNCTION("""COMPUTED_VALUE"""),5339.0)</f>
        <v>5339</v>
      </c>
      <c r="G13086" s="4">
        <f>IFERROR(__xludf.DUMMYFUNCTION("""COMPUTED_VALUE"""),36.0)</f>
        <v>36</v>
      </c>
      <c r="H13086" s="4"/>
      <c r="I13086" s="4"/>
    </row>
    <row r="13087">
      <c r="A13087" s="4" t="str">
        <f>IFERROR(__xludf.DUMMYFUNCTION("""COMPUTED_VALUE"""),"cas_hmw")</f>
        <v>cas_hmw</v>
      </c>
      <c r="B13087" s="5">
        <f>IFERROR(__xludf.DUMMYFUNCTION("""COMPUTED_VALUE"""),44716.0)</f>
        <v>44716</v>
      </c>
      <c r="C13087" s="6">
        <f>IFERROR(__xludf.DUMMYFUNCTION("""COMPUTED_VALUE"""),0.7277314814818965)</f>
        <v>0.7277314815</v>
      </c>
      <c r="D13087" s="4">
        <f>IFERROR(__xludf.DUMMYFUNCTION("""COMPUTED_VALUE"""),12.909627)</f>
        <v>12.909627</v>
      </c>
      <c r="E13087" s="4">
        <f>IFERROR(__xludf.DUMMYFUNCTION("""COMPUTED_VALUE"""),80.099383)</f>
        <v>80.099383</v>
      </c>
      <c r="F13087" s="4">
        <f>IFERROR(__xludf.DUMMYFUNCTION("""COMPUTED_VALUE"""),2846.0)</f>
        <v>2846</v>
      </c>
      <c r="G13087" s="4">
        <f>IFERROR(__xludf.DUMMYFUNCTION("""COMPUTED_VALUE"""),36.0)</f>
        <v>36</v>
      </c>
      <c r="H13087" s="4"/>
      <c r="I13087" s="4"/>
    </row>
    <row r="13088">
      <c r="A13088" s="4" t="str">
        <f>IFERROR(__xludf.DUMMYFUNCTION("""COMPUTED_VALUE"""),"cas_hmw")</f>
        <v>cas_hmw</v>
      </c>
      <c r="B13088" s="5">
        <f>IFERROR(__xludf.DUMMYFUNCTION("""COMPUTED_VALUE"""),44716.0)</f>
        <v>44716</v>
      </c>
      <c r="C13088" s="6">
        <f>IFERROR(__xludf.DUMMYFUNCTION("""COMPUTED_VALUE"""),0.7287268518521159)</f>
        <v>0.7287268519</v>
      </c>
      <c r="D13088" s="4">
        <f>IFERROR(__xludf.DUMMYFUNCTION("""COMPUTED_VALUE"""),12.913489)</f>
        <v>12.913489</v>
      </c>
      <c r="E13088" s="4">
        <f>IFERROR(__xludf.DUMMYFUNCTION("""COMPUTED_VALUE"""),80.101499)</f>
        <v>80.101499</v>
      </c>
      <c r="F13088" s="4">
        <f>IFERROR(__xludf.DUMMYFUNCTION("""COMPUTED_VALUE"""),2846.0)</f>
        <v>2846</v>
      </c>
      <c r="G13088" s="4">
        <f>IFERROR(__xludf.DUMMYFUNCTION("""COMPUTED_VALUE"""),47.0)</f>
        <v>47</v>
      </c>
      <c r="H13088" s="4"/>
      <c r="I13088" s="4"/>
    </row>
    <row r="13089">
      <c r="A13089" s="4" t="str">
        <f>IFERROR(__xludf.DUMMYFUNCTION("""COMPUTED_VALUE"""),"cas_hmw")</f>
        <v>cas_hmw</v>
      </c>
      <c r="B13089" s="5">
        <f>IFERROR(__xludf.DUMMYFUNCTION("""COMPUTED_VALUE"""),44716.0)</f>
        <v>44716</v>
      </c>
      <c r="C13089" s="6">
        <f>IFERROR(__xludf.DUMMYFUNCTION("""COMPUTED_VALUE"""),0.7301041666651145)</f>
        <v>0.7301041667</v>
      </c>
      <c r="D13089" s="4">
        <f>IFERROR(__xludf.DUMMYFUNCTION("""COMPUTED_VALUE"""),12.918168)</f>
        <v>12.918168</v>
      </c>
      <c r="E13089" s="4">
        <f>IFERROR(__xludf.DUMMYFUNCTION("""COMPUTED_VALUE"""),80.108682)</f>
        <v>80.108682</v>
      </c>
      <c r="F13089" s="4">
        <f>IFERROR(__xludf.DUMMYFUNCTION("""COMPUTED_VALUE"""),2846.0)</f>
        <v>2846</v>
      </c>
      <c r="G13089" s="4">
        <f>IFERROR(__xludf.DUMMYFUNCTION("""COMPUTED_VALUE"""),47.0)</f>
        <v>47</v>
      </c>
      <c r="H13089" s="4"/>
      <c r="I13089" s="4"/>
    </row>
    <row r="13090">
      <c r="A13090" s="4" t="str">
        <f>IFERROR(__xludf.DUMMYFUNCTION("""COMPUTED_VALUE"""),"cas_hmw")</f>
        <v>cas_hmw</v>
      </c>
      <c r="B13090" s="5">
        <f>IFERROR(__xludf.DUMMYFUNCTION("""COMPUTED_VALUE"""),44716.0)</f>
        <v>44716</v>
      </c>
      <c r="C13090" s="6">
        <f>IFERROR(__xludf.DUMMYFUNCTION("""COMPUTED_VALUE"""),0.7302662037036498)</f>
        <v>0.7302662037</v>
      </c>
      <c r="D13090" s="4">
        <f>IFERROR(__xludf.DUMMYFUNCTION("""COMPUTED_VALUE"""),12.918905)</f>
        <v>12.918905</v>
      </c>
      <c r="E13090" s="4">
        <f>IFERROR(__xludf.DUMMYFUNCTION("""COMPUTED_VALUE"""),80.109586)</f>
        <v>80.109586</v>
      </c>
      <c r="F13090" s="4">
        <f>IFERROR(__xludf.DUMMYFUNCTION("""COMPUTED_VALUE"""),2846.0)</f>
        <v>2846</v>
      </c>
      <c r="G13090" s="4">
        <f>IFERROR(__xludf.DUMMYFUNCTION("""COMPUTED_VALUE"""),43.0)</f>
        <v>43</v>
      </c>
      <c r="H13090" s="4"/>
      <c r="I13090" s="4"/>
    </row>
    <row r="13091">
      <c r="A13091" s="4" t="str">
        <f>IFERROR(__xludf.DUMMYFUNCTION("""COMPUTED_VALUE"""),"cas_hmw")</f>
        <v>cas_hmw</v>
      </c>
      <c r="B13091" s="5">
        <f>IFERROR(__xludf.DUMMYFUNCTION("""COMPUTED_VALUE"""),44716.0)</f>
        <v>44716</v>
      </c>
      <c r="C13091" s="6">
        <f>IFERROR(__xludf.DUMMYFUNCTION("""COMPUTED_VALUE"""),0.7303240740729962)</f>
        <v>0.7303240741</v>
      </c>
      <c r="D13091" s="4">
        <f>IFERROR(__xludf.DUMMYFUNCTION("""COMPUTED_VALUE"""),12.919623)</f>
        <v>12.919623</v>
      </c>
      <c r="E13091" s="4">
        <f>IFERROR(__xludf.DUMMYFUNCTION("""COMPUTED_VALUE"""),80.11044)</f>
        <v>80.11044</v>
      </c>
      <c r="F13091" s="4">
        <f>IFERROR(__xludf.DUMMYFUNCTION("""COMPUTED_VALUE"""),2846.0)</f>
        <v>2846</v>
      </c>
      <c r="G13091" s="4">
        <f>IFERROR(__xludf.DUMMYFUNCTION("""COMPUTED_VALUE"""),41.0)</f>
        <v>41</v>
      </c>
      <c r="H13091" s="4"/>
      <c r="I13091" s="4"/>
    </row>
    <row r="13092">
      <c r="A13092" s="4" t="str">
        <f>IFERROR(__xludf.DUMMYFUNCTION("""COMPUTED_VALUE"""),"cas_hmw")</f>
        <v>cas_hmw</v>
      </c>
      <c r="B13092" s="5">
        <f>IFERROR(__xludf.DUMMYFUNCTION("""COMPUTED_VALUE"""),44716.0)</f>
        <v>44716</v>
      </c>
      <c r="C13092" s="6">
        <f>IFERROR(__xludf.DUMMYFUNCTION("""COMPUTED_VALUE"""),0.7330208333332848)</f>
        <v>0.7330208333</v>
      </c>
      <c r="D13092" s="4">
        <f>IFERROR(__xludf.DUMMYFUNCTION("""COMPUTED_VALUE"""),12.923155)</f>
        <v>12.923155</v>
      </c>
      <c r="E13092" s="4">
        <f>IFERROR(__xludf.DUMMYFUNCTION("""COMPUTED_VALUE"""),80.123966)</f>
        <v>80.123966</v>
      </c>
      <c r="F13092" s="4">
        <f>IFERROR(__xludf.DUMMYFUNCTION("""COMPUTED_VALUE"""),2846.0)</f>
        <v>2846</v>
      </c>
      <c r="G13092" s="4">
        <f>IFERROR(__xludf.DUMMYFUNCTION("""COMPUTED_VALUE"""),50.0)</f>
        <v>50</v>
      </c>
      <c r="H13092" s="4"/>
      <c r="I13092" s="4"/>
    </row>
    <row r="13093">
      <c r="A13093" s="4" t="str">
        <f>IFERROR(__xludf.DUMMYFUNCTION("""COMPUTED_VALUE"""),"cas_hmw")</f>
        <v>cas_hmw</v>
      </c>
      <c r="B13093" s="5">
        <f>IFERROR(__xludf.DUMMYFUNCTION("""COMPUTED_VALUE"""),44716.0)</f>
        <v>44716</v>
      </c>
      <c r="C13093" s="6">
        <f>IFERROR(__xludf.DUMMYFUNCTION("""COMPUTED_VALUE"""),0.7386574074080272)</f>
        <v>0.7386574074</v>
      </c>
      <c r="D13093" s="4">
        <f>IFERROR(__xludf.DUMMYFUNCTION("""COMPUTED_VALUE"""),12.937601)</f>
        <v>12.937601</v>
      </c>
      <c r="E13093" s="4">
        <f>IFERROR(__xludf.DUMMYFUNCTION("""COMPUTED_VALUE"""),80.136037)</f>
        <v>80.136037</v>
      </c>
      <c r="F13093" s="4">
        <f>IFERROR(__xludf.DUMMYFUNCTION("""COMPUTED_VALUE"""),2846.0)</f>
        <v>2846</v>
      </c>
      <c r="G13093" s="4">
        <f>IFERROR(__xludf.DUMMYFUNCTION("""COMPUTED_VALUE"""),25.0)</f>
        <v>25</v>
      </c>
      <c r="H13093" s="4"/>
      <c r="I13093" s="4"/>
    </row>
    <row r="13094">
      <c r="A13094" s="4" t="str">
        <f>IFERROR(__xludf.DUMMYFUNCTION("""COMPUTED_VALUE"""),"cas_hmw")</f>
        <v>cas_hmw</v>
      </c>
      <c r="B13094" s="5">
        <f>IFERROR(__xludf.DUMMYFUNCTION("""COMPUTED_VALUE"""),44716.0)</f>
        <v>44716</v>
      </c>
      <c r="C13094" s="6">
        <f>IFERROR(__xludf.DUMMYFUNCTION("""COMPUTED_VALUE"""),0.7620486111118225)</f>
        <v>0.7620486111</v>
      </c>
      <c r="D13094" s="4">
        <f>IFERROR(__xludf.DUMMYFUNCTION("""COMPUTED_VALUE"""),12.923347)</f>
        <v>12.923347</v>
      </c>
      <c r="E13094" s="4">
        <f>IFERROR(__xludf.DUMMYFUNCTION("""COMPUTED_VALUE"""),80.118726)</f>
        <v>80.118726</v>
      </c>
      <c r="F13094" s="4">
        <f>IFERROR(__xludf.DUMMYFUNCTION("""COMPUTED_VALUE"""),2846.0)</f>
        <v>2846</v>
      </c>
      <c r="G13094" s="4">
        <f>IFERROR(__xludf.DUMMYFUNCTION("""COMPUTED_VALUE"""),41.0)</f>
        <v>41</v>
      </c>
      <c r="H13094" s="4"/>
      <c r="I13094" s="4"/>
    </row>
    <row r="13095">
      <c r="A13095" s="4" t="str">
        <f>IFERROR(__xludf.DUMMYFUNCTION("""COMPUTED_VALUE"""),"cas_hmw")</f>
        <v>cas_hmw</v>
      </c>
      <c r="B13095" s="5">
        <f>IFERROR(__xludf.DUMMYFUNCTION("""COMPUTED_VALUE"""),44716.0)</f>
        <v>44716</v>
      </c>
      <c r="C13095" s="6">
        <f>IFERROR(__xludf.DUMMYFUNCTION("""COMPUTED_VALUE"""),0.7621527777773736)</f>
        <v>0.7621527778</v>
      </c>
      <c r="D13095" s="4">
        <f>IFERROR(__xludf.DUMMYFUNCTION("""COMPUTED_VALUE"""),12.923502)</f>
        <v>12.923502</v>
      </c>
      <c r="E13095" s="4">
        <f>IFERROR(__xludf.DUMMYFUNCTION("""COMPUTED_VALUE"""),80.117736)</f>
        <v>80.117736</v>
      </c>
      <c r="F13095" s="4">
        <f>IFERROR(__xludf.DUMMYFUNCTION("""COMPUTED_VALUE"""),2846.0)</f>
        <v>2846</v>
      </c>
      <c r="G13095" s="4">
        <f>IFERROR(__xludf.DUMMYFUNCTION("""COMPUTED_VALUE"""),37.0)</f>
        <v>37</v>
      </c>
      <c r="H13095" s="4"/>
      <c r="I13095" s="4"/>
    </row>
    <row r="13096">
      <c r="A13096" s="4" t="str">
        <f>IFERROR(__xludf.DUMMYFUNCTION("""COMPUTED_VALUE"""),"cas_hmw")</f>
        <v>cas_hmw</v>
      </c>
      <c r="B13096" s="5">
        <f>IFERROR(__xludf.DUMMYFUNCTION("""COMPUTED_VALUE"""),44716.0)</f>
        <v>44716</v>
      </c>
      <c r="C13096" s="6">
        <f>IFERROR(__xludf.DUMMYFUNCTION("""COMPUTED_VALUE"""),0.7676273148135806)</f>
        <v>0.7676273148</v>
      </c>
      <c r="D13096" s="4">
        <f>IFERROR(__xludf.DUMMYFUNCTION("""COMPUTED_VALUE"""),12.899764)</f>
        <v>12.899764</v>
      </c>
      <c r="E13096" s="4">
        <f>IFERROR(__xludf.DUMMYFUNCTION("""COMPUTED_VALUE"""),80.091373)</f>
        <v>80.091373</v>
      </c>
      <c r="F13096" s="4">
        <f>IFERROR(__xludf.DUMMYFUNCTION("""COMPUTED_VALUE"""),2846.0)</f>
        <v>2846</v>
      </c>
      <c r="G13096" s="4">
        <f>IFERROR(__xludf.DUMMYFUNCTION("""COMPUTED_VALUE"""),57.0)</f>
        <v>57</v>
      </c>
      <c r="H13096" s="4"/>
      <c r="I13096" s="4"/>
    </row>
    <row r="13097">
      <c r="A13097" s="4" t="str">
        <f>IFERROR(__xludf.DUMMYFUNCTION("""COMPUTED_VALUE"""),"cas_hmw")</f>
        <v>cas_hmw</v>
      </c>
      <c r="B13097" s="5">
        <f>IFERROR(__xludf.DUMMYFUNCTION("""COMPUTED_VALUE"""),44716.0)</f>
        <v>44716</v>
      </c>
      <c r="C13097" s="6">
        <f>IFERROR(__xludf.DUMMYFUNCTION("""COMPUTED_VALUE"""),0.76813657407547)</f>
        <v>0.7681365741</v>
      </c>
      <c r="D13097" s="4">
        <f>IFERROR(__xludf.DUMMYFUNCTION("""COMPUTED_VALUE"""),12.896707)</f>
        <v>12.896707</v>
      </c>
      <c r="E13097" s="4">
        <f>IFERROR(__xludf.DUMMYFUNCTION("""COMPUTED_VALUE"""),80.089061)</f>
        <v>80.089061</v>
      </c>
      <c r="F13097" s="4">
        <f>IFERROR(__xludf.DUMMYFUNCTION("""COMPUTED_VALUE"""),2846.0)</f>
        <v>2846</v>
      </c>
      <c r="G13097" s="4">
        <f>IFERROR(__xludf.DUMMYFUNCTION("""COMPUTED_VALUE"""),26.0)</f>
        <v>26</v>
      </c>
      <c r="H13097" s="4"/>
      <c r="I13097" s="4"/>
    </row>
    <row r="13098">
      <c r="A13098" s="4" t="str">
        <f>IFERROR(__xludf.DUMMYFUNCTION("""COMPUTED_VALUE"""),"cas_hmw")</f>
        <v>cas_hmw</v>
      </c>
      <c r="B13098" s="5">
        <f>IFERROR(__xludf.DUMMYFUNCTION("""COMPUTED_VALUE"""),44716.0)</f>
        <v>44716</v>
      </c>
      <c r="C13098" s="6">
        <f>IFERROR(__xludf.DUMMYFUNCTION("""COMPUTED_VALUE"""),0.7685069444451074)</f>
        <v>0.7685069444</v>
      </c>
      <c r="D13098" s="4">
        <f>IFERROR(__xludf.DUMMYFUNCTION("""COMPUTED_VALUE"""),12.89451)</f>
        <v>12.89451</v>
      </c>
      <c r="E13098" s="4">
        <f>IFERROR(__xludf.DUMMYFUNCTION("""COMPUTED_VALUE"""),80.087446)</f>
        <v>80.087446</v>
      </c>
      <c r="F13098" s="4">
        <f>IFERROR(__xludf.DUMMYFUNCTION("""COMPUTED_VALUE"""),2846.0)</f>
        <v>2846</v>
      </c>
      <c r="G13098" s="4">
        <f>IFERROR(__xludf.DUMMYFUNCTION("""COMPUTED_VALUE"""),37.0)</f>
        <v>37</v>
      </c>
      <c r="H13098" s="4"/>
      <c r="I13098" s="4"/>
    </row>
    <row r="13099">
      <c r="A13099" s="4" t="str">
        <f>IFERROR(__xludf.DUMMYFUNCTION("""COMPUTED_VALUE"""),"cas_hmw")</f>
        <v>cas_hmw</v>
      </c>
      <c r="B13099" s="5">
        <f>IFERROR(__xludf.DUMMYFUNCTION("""COMPUTED_VALUE"""),44716.0)</f>
        <v>44716</v>
      </c>
      <c r="C13099" s="6">
        <f>IFERROR(__xludf.DUMMYFUNCTION("""COMPUTED_VALUE"""),0.7689120370378077)</f>
        <v>0.768912037</v>
      </c>
      <c r="D13099" s="4">
        <f>IFERROR(__xludf.DUMMYFUNCTION("""COMPUTED_VALUE"""),12.89234)</f>
        <v>12.89234</v>
      </c>
      <c r="E13099" s="4">
        <f>IFERROR(__xludf.DUMMYFUNCTION("""COMPUTED_VALUE"""),80.085789)</f>
        <v>80.085789</v>
      </c>
      <c r="F13099" s="4">
        <f>IFERROR(__xludf.DUMMYFUNCTION("""COMPUTED_VALUE"""),2846.0)</f>
        <v>2846</v>
      </c>
      <c r="G13099" s="4">
        <f>IFERROR(__xludf.DUMMYFUNCTION("""COMPUTED_VALUE"""),38.0)</f>
        <v>38</v>
      </c>
      <c r="H13099" s="4"/>
      <c r="I13099" s="4"/>
    </row>
    <row r="13100">
      <c r="A13100" s="4" t="str">
        <f>IFERROR(__xludf.DUMMYFUNCTION("""COMPUTED_VALUE"""),"cas_hmw")</f>
        <v>cas_hmw</v>
      </c>
      <c r="B13100" s="5">
        <f>IFERROR(__xludf.DUMMYFUNCTION("""COMPUTED_VALUE"""),44716.0)</f>
        <v>44716</v>
      </c>
      <c r="C13100" s="6">
        <f>IFERROR(__xludf.DUMMYFUNCTION("""COMPUTED_VALUE"""),0.7690509259264218)</f>
        <v>0.7690509259</v>
      </c>
      <c r="D13100" s="4">
        <f>IFERROR(__xludf.DUMMYFUNCTION("""COMPUTED_VALUE"""),12.890442)</f>
        <v>12.890442</v>
      </c>
      <c r="E13100" s="4">
        <f>IFERROR(__xludf.DUMMYFUNCTION("""COMPUTED_VALUE"""),80.084827)</f>
        <v>80.084827</v>
      </c>
      <c r="F13100" s="4">
        <f>IFERROR(__xludf.DUMMYFUNCTION("""COMPUTED_VALUE"""),2846.0)</f>
        <v>2846</v>
      </c>
      <c r="G13100" s="4">
        <f>IFERROR(__xludf.DUMMYFUNCTION("""COMPUTED_VALUE"""),43.0)</f>
        <v>43</v>
      </c>
      <c r="H13100" s="4"/>
      <c r="I13100" s="4"/>
    </row>
    <row r="13101">
      <c r="A13101" s="4" t="str">
        <f>IFERROR(__xludf.DUMMYFUNCTION("""COMPUTED_VALUE"""),"cas_hmw")</f>
        <v>cas_hmw</v>
      </c>
      <c r="B13101" s="5">
        <f>IFERROR(__xludf.DUMMYFUNCTION("""COMPUTED_VALUE"""),44716.0)</f>
        <v>44716</v>
      </c>
      <c r="C13101" s="6">
        <f>IFERROR(__xludf.DUMMYFUNCTION("""COMPUTED_VALUE"""),0.7690856481494848)</f>
        <v>0.7690856481</v>
      </c>
      <c r="D13101" s="4">
        <f>IFERROR(__xludf.DUMMYFUNCTION("""COMPUTED_VALUE"""),12.890442)</f>
        <v>12.890442</v>
      </c>
      <c r="E13101" s="4">
        <f>IFERROR(__xludf.DUMMYFUNCTION("""COMPUTED_VALUE"""),80.084827)</f>
        <v>80.084827</v>
      </c>
      <c r="F13101" s="4">
        <f>IFERROR(__xludf.DUMMYFUNCTION("""COMPUTED_VALUE"""),2846.0)</f>
        <v>2846</v>
      </c>
      <c r="G13101" s="4">
        <f>IFERROR(__xludf.DUMMYFUNCTION("""COMPUTED_VALUE"""),43.0)</f>
        <v>43</v>
      </c>
      <c r="H13101" s="4"/>
      <c r="I13101" s="4"/>
    </row>
    <row r="13102">
      <c r="A13102" s="4" t="str">
        <f>IFERROR(__xludf.DUMMYFUNCTION("""COMPUTED_VALUE"""),"cas_hmw")</f>
        <v>cas_hmw</v>
      </c>
      <c r="B13102" s="5">
        <f>IFERROR(__xludf.DUMMYFUNCTION("""COMPUTED_VALUE"""),44716.0)</f>
        <v>44716</v>
      </c>
      <c r="C13102" s="6">
        <f>IFERROR(__xludf.DUMMYFUNCTION("""COMPUTED_VALUE"""),0.7692245370380988)</f>
        <v>0.769224537</v>
      </c>
      <c r="D13102" s="4">
        <f>IFERROR(__xludf.DUMMYFUNCTION("""COMPUTED_VALUE"""),12.88938)</f>
        <v>12.88938</v>
      </c>
      <c r="E13102" s="4">
        <f>IFERROR(__xludf.DUMMYFUNCTION("""COMPUTED_VALUE"""),80.084414)</f>
        <v>80.084414</v>
      </c>
      <c r="F13102" s="4">
        <f>IFERROR(__xludf.DUMMYFUNCTION("""COMPUTED_VALUE"""),2846.0)</f>
        <v>2846</v>
      </c>
      <c r="G13102" s="4">
        <f>IFERROR(__xludf.DUMMYFUNCTION("""COMPUTED_VALUE"""),47.0)</f>
        <v>47</v>
      </c>
      <c r="H13102" s="4"/>
      <c r="I13102" s="4"/>
    </row>
    <row r="13103">
      <c r="A13103" s="4" t="str">
        <f>IFERROR(__xludf.DUMMYFUNCTION("""COMPUTED_VALUE"""),"cas_hmw")</f>
        <v>cas_hmw</v>
      </c>
      <c r="B13103" s="5">
        <f>IFERROR(__xludf.DUMMYFUNCTION("""COMPUTED_VALUE"""),44718.0)</f>
        <v>44718</v>
      </c>
      <c r="C13103" s="6">
        <f>IFERROR(__xludf.DUMMYFUNCTION("""COMPUTED_VALUE"""),0.2522106481483206)</f>
        <v>0.2522106481</v>
      </c>
      <c r="D13103" s="4">
        <f>IFERROR(__xludf.DUMMYFUNCTION("""COMPUTED_VALUE"""),12.845041)</f>
        <v>12.845041</v>
      </c>
      <c r="E13103" s="4">
        <f>IFERROR(__xludf.DUMMYFUNCTION("""COMPUTED_VALUE"""),80.060984)</f>
        <v>80.060984</v>
      </c>
      <c r="F13103" s="4">
        <f>IFERROR(__xludf.DUMMYFUNCTION("""COMPUTED_VALUE"""),805.0)</f>
        <v>805</v>
      </c>
      <c r="G13103" s="4">
        <f>IFERROR(__xludf.DUMMYFUNCTION("""COMPUTED_VALUE"""),57.0)</f>
        <v>57</v>
      </c>
      <c r="H13103" s="4"/>
      <c r="I13103" s="4"/>
    </row>
    <row r="13104">
      <c r="A13104" s="4" t="str">
        <f>IFERROR(__xludf.DUMMYFUNCTION("""COMPUTED_VALUE"""),"cas_hmw")</f>
        <v>cas_hmw</v>
      </c>
      <c r="B13104" s="5">
        <f>IFERROR(__xludf.DUMMYFUNCTION("""COMPUTED_VALUE"""),44718.0)</f>
        <v>44718</v>
      </c>
      <c r="C13104" s="6">
        <f>IFERROR(__xludf.DUMMYFUNCTION("""COMPUTED_VALUE"""),0.2525694444448163)</f>
        <v>0.2525694444</v>
      </c>
      <c r="D13104" s="4">
        <f>IFERROR(__xludf.DUMMYFUNCTION("""COMPUTED_VALUE"""),12.843869)</f>
        <v>12.843869</v>
      </c>
      <c r="E13104" s="4">
        <f>IFERROR(__xludf.DUMMYFUNCTION("""COMPUTED_VALUE"""),80.059744)</f>
        <v>80.059744</v>
      </c>
      <c r="F13104" s="4">
        <f>IFERROR(__xludf.DUMMYFUNCTION("""COMPUTED_VALUE"""),805.0)</f>
        <v>805</v>
      </c>
      <c r="G13104" s="4">
        <f>IFERROR(__xludf.DUMMYFUNCTION("""COMPUTED_VALUE"""),19.0)</f>
        <v>19</v>
      </c>
      <c r="H13104" s="4"/>
      <c r="I13104" s="4"/>
    </row>
    <row r="13105">
      <c r="A13105" s="4" t="str">
        <f>IFERROR(__xludf.DUMMYFUNCTION("""COMPUTED_VALUE"""),"cas_hmw")</f>
        <v>cas_hmw</v>
      </c>
      <c r="B13105" s="5">
        <f>IFERROR(__xludf.DUMMYFUNCTION("""COMPUTED_VALUE"""),44718.0)</f>
        <v>44718</v>
      </c>
      <c r="C13105" s="6">
        <f>IFERROR(__xludf.DUMMYFUNCTION("""COMPUTED_VALUE"""),0.252581018517958)</f>
        <v>0.2525810185</v>
      </c>
      <c r="D13105" s="4">
        <f>IFERROR(__xludf.DUMMYFUNCTION("""COMPUTED_VALUE"""),12.843869)</f>
        <v>12.843869</v>
      </c>
      <c r="E13105" s="4">
        <f>IFERROR(__xludf.DUMMYFUNCTION("""COMPUTED_VALUE"""),80.059744)</f>
        <v>80.059744</v>
      </c>
      <c r="F13105" s="4">
        <f>IFERROR(__xludf.DUMMYFUNCTION("""COMPUTED_VALUE"""),805.0)</f>
        <v>805</v>
      </c>
      <c r="G13105" s="4">
        <f>IFERROR(__xludf.DUMMYFUNCTION("""COMPUTED_VALUE"""),19.0)</f>
        <v>19</v>
      </c>
      <c r="H13105" s="4"/>
      <c r="I13105" s="4"/>
    </row>
    <row r="13106">
      <c r="A13106" s="4" t="str">
        <f>IFERROR(__xludf.DUMMYFUNCTION("""COMPUTED_VALUE"""),"cas_hmw")</f>
        <v>cas_hmw</v>
      </c>
      <c r="B13106" s="5">
        <f>IFERROR(__xludf.DUMMYFUNCTION("""COMPUTED_VALUE"""),44718.0)</f>
        <v>44718</v>
      </c>
      <c r="C13106" s="6">
        <f>IFERROR(__xludf.DUMMYFUNCTION("""COMPUTED_VALUE"""),0.25263888888730435)</f>
        <v>0.2526388889</v>
      </c>
      <c r="D13106" s="4">
        <f>IFERROR(__xludf.DUMMYFUNCTION("""COMPUTED_VALUE"""),12.843431)</f>
        <v>12.843431</v>
      </c>
      <c r="E13106" s="4">
        <f>IFERROR(__xludf.DUMMYFUNCTION("""COMPUTED_VALUE"""),80.059307)</f>
        <v>80.059307</v>
      </c>
      <c r="F13106" s="4">
        <f>IFERROR(__xludf.DUMMYFUNCTION("""COMPUTED_VALUE"""),805.0)</f>
        <v>805</v>
      </c>
      <c r="G13106" s="4">
        <f>IFERROR(__xludf.DUMMYFUNCTION("""COMPUTED_VALUE"""),30.0)</f>
        <v>30</v>
      </c>
      <c r="H13106" s="4"/>
      <c r="I13106" s="4"/>
    </row>
    <row r="13107">
      <c r="A13107" s="4" t="str">
        <f>IFERROR(__xludf.DUMMYFUNCTION("""COMPUTED_VALUE"""),"cas_hmw")</f>
        <v>cas_hmw</v>
      </c>
      <c r="B13107" s="5">
        <f>IFERROR(__xludf.DUMMYFUNCTION("""COMPUTED_VALUE"""),44718.0)</f>
        <v>44718</v>
      </c>
      <c r="C13107" s="6">
        <f>IFERROR(__xludf.DUMMYFUNCTION("""COMPUTED_VALUE"""),0.25637731481401715)</f>
        <v>0.2563773148</v>
      </c>
      <c r="D13107" s="4">
        <f>IFERROR(__xludf.DUMMYFUNCTION("""COMPUTED_VALUE"""),12.909245)</f>
        <v>12.909245</v>
      </c>
      <c r="E13107" s="4">
        <f>IFERROR(__xludf.DUMMYFUNCTION("""COMPUTED_VALUE"""),80.098654)</f>
        <v>80.098654</v>
      </c>
      <c r="F13107" s="4">
        <f>IFERROR(__xludf.DUMMYFUNCTION("""COMPUTED_VALUE"""),2846.0)</f>
        <v>2846</v>
      </c>
      <c r="G13107" s="4">
        <f>IFERROR(__xludf.DUMMYFUNCTION("""COMPUTED_VALUE"""),36.0)</f>
        <v>36</v>
      </c>
      <c r="H13107" s="4"/>
      <c r="I13107" s="4"/>
    </row>
    <row r="13108">
      <c r="A13108" s="4" t="str">
        <f>IFERROR(__xludf.DUMMYFUNCTION("""COMPUTED_VALUE"""),"cas_hmw")</f>
        <v>cas_hmw</v>
      </c>
      <c r="B13108" s="5">
        <f>IFERROR(__xludf.DUMMYFUNCTION("""COMPUTED_VALUE"""),44718.0)</f>
        <v>44718</v>
      </c>
      <c r="C13108" s="6">
        <f>IFERROR(__xludf.DUMMYFUNCTION("""COMPUTED_VALUE"""),0.25760416666526)</f>
        <v>0.2576041667</v>
      </c>
      <c r="D13108" s="4">
        <f>IFERROR(__xludf.DUMMYFUNCTION("""COMPUTED_VALUE"""),12.916319)</f>
        <v>12.916319</v>
      </c>
      <c r="E13108" s="4">
        <f>IFERROR(__xludf.DUMMYFUNCTION("""COMPUTED_VALUE"""),80.10566)</f>
        <v>80.10566</v>
      </c>
      <c r="F13108" s="4">
        <f>IFERROR(__xludf.DUMMYFUNCTION("""COMPUTED_VALUE"""),2846.0)</f>
        <v>2846</v>
      </c>
      <c r="G13108" s="4">
        <f>IFERROR(__xludf.DUMMYFUNCTION("""COMPUTED_VALUE"""),54.0)</f>
        <v>54</v>
      </c>
      <c r="H13108" s="4"/>
      <c r="I13108" s="4"/>
    </row>
    <row r="13109">
      <c r="A13109" s="4" t="str">
        <f>IFERROR(__xludf.DUMMYFUNCTION("""COMPUTED_VALUE"""),"cas_hmw")</f>
        <v>cas_hmw</v>
      </c>
      <c r="B13109" s="5">
        <f>IFERROR(__xludf.DUMMYFUNCTION("""COMPUTED_VALUE"""),44718.0)</f>
        <v>44718</v>
      </c>
      <c r="C13109" s="6">
        <f>IFERROR(__xludf.DUMMYFUNCTION("""COMPUTED_VALUE"""),0.25792824074233067)</f>
        <v>0.2579282407</v>
      </c>
      <c r="D13109" s="4">
        <f>IFERROR(__xludf.DUMMYFUNCTION("""COMPUTED_VALUE"""),12.917947)</f>
        <v>12.917947</v>
      </c>
      <c r="E13109" s="4">
        <f>IFERROR(__xludf.DUMMYFUNCTION("""COMPUTED_VALUE"""),80.108424)</f>
        <v>80.108424</v>
      </c>
      <c r="F13109" s="4">
        <f>IFERROR(__xludf.DUMMYFUNCTION("""COMPUTED_VALUE"""),2846.0)</f>
        <v>2846</v>
      </c>
      <c r="G13109" s="4">
        <f>IFERROR(__xludf.DUMMYFUNCTION("""COMPUTED_VALUE"""),48.0)</f>
        <v>48</v>
      </c>
      <c r="H13109" s="4"/>
      <c r="I13109" s="4"/>
    </row>
    <row r="13110">
      <c r="A13110" s="4" t="str">
        <f>IFERROR(__xludf.DUMMYFUNCTION("""COMPUTED_VALUE"""),"cas_hmw")</f>
        <v>cas_hmw</v>
      </c>
      <c r="B13110" s="5">
        <f>IFERROR(__xludf.DUMMYFUNCTION("""COMPUTED_VALUE"""),44718.0)</f>
        <v>44718</v>
      </c>
      <c r="C13110" s="6">
        <f>IFERROR(__xludf.DUMMYFUNCTION("""COMPUTED_VALUE"""),0.257951388888614)</f>
        <v>0.2579513889</v>
      </c>
      <c r="D13110" s="4">
        <f>IFERROR(__xludf.DUMMYFUNCTION("""COMPUTED_VALUE"""),12.917947)</f>
        <v>12.917947</v>
      </c>
      <c r="E13110" s="4">
        <f>IFERROR(__xludf.DUMMYFUNCTION("""COMPUTED_VALUE"""),80.108424)</f>
        <v>80.108424</v>
      </c>
      <c r="F13110" s="4">
        <f>IFERROR(__xludf.DUMMYFUNCTION("""COMPUTED_VALUE"""),2846.0)</f>
        <v>2846</v>
      </c>
      <c r="G13110" s="4">
        <f>IFERROR(__xludf.DUMMYFUNCTION("""COMPUTED_VALUE"""),48.0)</f>
        <v>48</v>
      </c>
      <c r="H13110" s="4"/>
      <c r="I13110" s="4"/>
    </row>
    <row r="13111">
      <c r="A13111" s="4" t="str">
        <f>IFERROR(__xludf.DUMMYFUNCTION("""COMPUTED_VALUE"""),"cas_hmw")</f>
        <v>cas_hmw</v>
      </c>
      <c r="B13111" s="5">
        <f>IFERROR(__xludf.DUMMYFUNCTION("""COMPUTED_VALUE"""),44718.0)</f>
        <v>44718</v>
      </c>
      <c r="C13111" s="6">
        <f>IFERROR(__xludf.DUMMYFUNCTION("""COMPUTED_VALUE"""),0.2586111111122591)</f>
        <v>0.2586111111</v>
      </c>
      <c r="D13111" s="4">
        <f>IFERROR(__xludf.DUMMYFUNCTION("""COMPUTED_VALUE"""),12.923704)</f>
        <v>12.923704</v>
      </c>
      <c r="E13111" s="4">
        <f>IFERROR(__xludf.DUMMYFUNCTION("""COMPUTED_VALUE"""),80.114732)</f>
        <v>80.114732</v>
      </c>
      <c r="F13111" s="4">
        <f>IFERROR(__xludf.DUMMYFUNCTION("""COMPUTED_VALUE"""),2846.0)</f>
        <v>2846</v>
      </c>
      <c r="G13111" s="4">
        <f>IFERROR(__xludf.DUMMYFUNCTION("""COMPUTED_VALUE"""),57.0)</f>
        <v>57</v>
      </c>
      <c r="H13111" s="4"/>
      <c r="I13111" s="4"/>
    </row>
    <row r="13112">
      <c r="A13112" s="4" t="str">
        <f>IFERROR(__xludf.DUMMYFUNCTION("""COMPUTED_VALUE"""),"cas_hmw")</f>
        <v>cas_hmw</v>
      </c>
      <c r="B13112" s="5">
        <f>IFERROR(__xludf.DUMMYFUNCTION("""COMPUTED_VALUE"""),44718.0)</f>
        <v>44718</v>
      </c>
      <c r="C13112" s="6">
        <f>IFERROR(__xludf.DUMMYFUNCTION("""COMPUTED_VALUE"""),0.2619097222232085)</f>
        <v>0.2619097222</v>
      </c>
      <c r="D13112" s="4">
        <f>IFERROR(__xludf.DUMMYFUNCTION("""COMPUTED_VALUE"""),12.927793)</f>
        <v>12.927793</v>
      </c>
      <c r="E13112" s="4">
        <f>IFERROR(__xludf.DUMMYFUNCTION("""COMPUTED_VALUE"""),80.118901)</f>
        <v>80.118901</v>
      </c>
      <c r="F13112" s="4">
        <f>IFERROR(__xludf.DUMMYFUNCTION("""COMPUTED_VALUE"""),2846.0)</f>
        <v>2846</v>
      </c>
      <c r="G13112" s="4">
        <f>IFERROR(__xludf.DUMMYFUNCTION("""COMPUTED_VALUE"""),26.0)</f>
        <v>26</v>
      </c>
      <c r="H13112" s="4"/>
      <c r="I13112" s="4"/>
    </row>
    <row r="13113">
      <c r="A13113" s="4" t="str">
        <f>IFERROR(__xludf.DUMMYFUNCTION("""COMPUTED_VALUE"""),"cas_hmw")</f>
        <v>cas_hmw</v>
      </c>
      <c r="B13113" s="5">
        <f>IFERROR(__xludf.DUMMYFUNCTION("""COMPUTED_VALUE"""),44718.0)</f>
        <v>44718</v>
      </c>
      <c r="C13113" s="6">
        <f>IFERROR(__xludf.DUMMYFUNCTION("""COMPUTED_VALUE"""),0.26313657407445135)</f>
        <v>0.2631365741</v>
      </c>
      <c r="D13113" s="4">
        <f>IFERROR(__xludf.DUMMYFUNCTION("""COMPUTED_VALUE"""),12.93266)</f>
        <v>12.93266</v>
      </c>
      <c r="E13113" s="4">
        <f>IFERROR(__xludf.DUMMYFUNCTION("""COMPUTED_VALUE"""),80.123788)</f>
        <v>80.123788</v>
      </c>
      <c r="F13113" s="4">
        <f>IFERROR(__xludf.DUMMYFUNCTION("""COMPUTED_VALUE"""),2846.0)</f>
        <v>2846</v>
      </c>
      <c r="G13113" s="4">
        <f>IFERROR(__xludf.DUMMYFUNCTION("""COMPUTED_VALUE"""),53.0)</f>
        <v>53</v>
      </c>
      <c r="H13113" s="4"/>
      <c r="I13113" s="4"/>
    </row>
    <row r="13114">
      <c r="A13114" s="4" t="str">
        <f>IFERROR(__xludf.DUMMYFUNCTION("""COMPUTED_VALUE"""),"cas_hmw")</f>
        <v>cas_hmw</v>
      </c>
      <c r="B13114" s="5">
        <f>IFERROR(__xludf.DUMMYFUNCTION("""COMPUTED_VALUE"""),44718.0)</f>
        <v>44718</v>
      </c>
      <c r="C13114" s="6">
        <f>IFERROR(__xludf.DUMMYFUNCTION("""COMPUTED_VALUE"""),0.26539351851897663)</f>
        <v>0.2653935185</v>
      </c>
      <c r="D13114" s="4">
        <f>IFERROR(__xludf.DUMMYFUNCTION("""COMPUTED_VALUE"""),12.950918)</f>
        <v>12.950918</v>
      </c>
      <c r="E13114" s="4">
        <f>IFERROR(__xludf.DUMMYFUNCTION("""COMPUTED_VALUE"""),80.139802)</f>
        <v>80.139802</v>
      </c>
      <c r="F13114" s="4">
        <f>IFERROR(__xludf.DUMMYFUNCTION("""COMPUTED_VALUE"""),2846.0)</f>
        <v>2846</v>
      </c>
      <c r="G13114" s="4">
        <f>IFERROR(__xludf.DUMMYFUNCTION("""COMPUTED_VALUE"""),27.0)</f>
        <v>27</v>
      </c>
      <c r="H13114" s="4"/>
      <c r="I13114" s="4"/>
    </row>
    <row r="13115">
      <c r="A13115" s="4" t="str">
        <f>IFERROR(__xludf.DUMMYFUNCTION("""COMPUTED_VALUE"""),"cas_hmw")</f>
        <v>cas_hmw</v>
      </c>
      <c r="B13115" s="5">
        <f>IFERROR(__xludf.DUMMYFUNCTION("""COMPUTED_VALUE"""),44718.0)</f>
        <v>44718</v>
      </c>
      <c r="C13115" s="6">
        <f>IFERROR(__xludf.DUMMYFUNCTION("""COMPUTED_VALUE"""),0.265520833334449)</f>
        <v>0.2655208333</v>
      </c>
      <c r="D13115" s="4">
        <f>IFERROR(__xludf.DUMMYFUNCTION("""COMPUTED_VALUE"""),12.951616)</f>
        <v>12.951616</v>
      </c>
      <c r="E13115" s="4">
        <f>IFERROR(__xludf.DUMMYFUNCTION("""COMPUTED_VALUE"""),80.140324)</f>
        <v>80.140324</v>
      </c>
      <c r="F13115" s="4">
        <f>IFERROR(__xludf.DUMMYFUNCTION("""COMPUTED_VALUE"""),2846.0)</f>
        <v>2846</v>
      </c>
      <c r="G13115" s="4">
        <f>IFERROR(__xludf.DUMMYFUNCTION("""COMPUTED_VALUE"""),39.0)</f>
        <v>39</v>
      </c>
      <c r="H13115" s="4"/>
      <c r="I13115" s="4"/>
    </row>
    <row r="13116">
      <c r="A13116" s="4" t="str">
        <f>IFERROR(__xludf.DUMMYFUNCTION("""COMPUTED_VALUE"""),"cas_hmw")</f>
        <v>cas_hmw</v>
      </c>
      <c r="B13116" s="5">
        <f>IFERROR(__xludf.DUMMYFUNCTION("""COMPUTED_VALUE"""),44718.0)</f>
        <v>44718</v>
      </c>
      <c r="C13116" s="6">
        <f>IFERROR(__xludf.DUMMYFUNCTION("""COMPUTED_VALUE"""),0.265590277776937)</f>
        <v>0.2655902778</v>
      </c>
      <c r="D13116" s="4">
        <f>IFERROR(__xludf.DUMMYFUNCTION("""COMPUTED_VALUE"""),12.951616)</f>
        <v>12.951616</v>
      </c>
      <c r="E13116" s="4">
        <f>IFERROR(__xludf.DUMMYFUNCTION("""COMPUTED_VALUE"""),80.140324)</f>
        <v>80.140324</v>
      </c>
      <c r="F13116" s="4">
        <f>IFERROR(__xludf.DUMMYFUNCTION("""COMPUTED_VALUE"""),2846.0)</f>
        <v>2846</v>
      </c>
      <c r="G13116" s="4">
        <f>IFERROR(__xludf.DUMMYFUNCTION("""COMPUTED_VALUE"""),39.0)</f>
        <v>39</v>
      </c>
      <c r="H13116" s="4"/>
      <c r="I13116" s="4"/>
    </row>
    <row r="13117">
      <c r="A13117" s="4" t="str">
        <f>IFERROR(__xludf.DUMMYFUNCTION("""COMPUTED_VALUE"""),"cas_hmw")</f>
        <v>cas_hmw</v>
      </c>
      <c r="B13117" s="5">
        <f>IFERROR(__xludf.DUMMYFUNCTION("""COMPUTED_VALUE"""),44718.0)</f>
        <v>44718</v>
      </c>
      <c r="C13117" s="6">
        <f>IFERROR(__xludf.DUMMYFUNCTION("""COMPUTED_VALUE"""),0.265659722223063)</f>
        <v>0.2656597222</v>
      </c>
      <c r="D13117" s="4">
        <f>IFERROR(__xludf.DUMMYFUNCTION("""COMPUTED_VALUE"""),12.952523)</f>
        <v>12.952523</v>
      </c>
      <c r="E13117" s="4">
        <f>IFERROR(__xludf.DUMMYFUNCTION("""COMPUTED_VALUE"""),80.141)</f>
        <v>80.141</v>
      </c>
      <c r="F13117" s="4">
        <f>IFERROR(__xludf.DUMMYFUNCTION("""COMPUTED_VALUE"""),2846.0)</f>
        <v>2846</v>
      </c>
      <c r="G13117" s="4">
        <f>IFERROR(__xludf.DUMMYFUNCTION("""COMPUTED_VALUE"""),46.0)</f>
        <v>46</v>
      </c>
      <c r="H13117" s="4"/>
      <c r="I13117" s="4"/>
    </row>
    <row r="13118">
      <c r="A13118" s="4" t="str">
        <f>IFERROR(__xludf.DUMMYFUNCTION("""COMPUTED_VALUE"""),"cas_hmw")</f>
        <v>cas_hmw</v>
      </c>
      <c r="B13118" s="5">
        <f>IFERROR(__xludf.DUMMYFUNCTION("""COMPUTED_VALUE"""),44718.0)</f>
        <v>44718</v>
      </c>
      <c r="C13118" s="6">
        <f>IFERROR(__xludf.DUMMYFUNCTION("""COMPUTED_VALUE"""),0.26586805555416504)</f>
        <v>0.2658680556</v>
      </c>
      <c r="D13118" s="4">
        <f>IFERROR(__xludf.DUMMYFUNCTION("""COMPUTED_VALUE"""),12.954767)</f>
        <v>12.954767</v>
      </c>
      <c r="E13118" s="4">
        <f>IFERROR(__xludf.DUMMYFUNCTION("""COMPUTED_VALUE"""),80.142303)</f>
        <v>80.142303</v>
      </c>
      <c r="F13118" s="4">
        <f>IFERROR(__xludf.DUMMYFUNCTION("""COMPUTED_VALUE"""),2846.0)</f>
        <v>2846</v>
      </c>
      <c r="G13118" s="4">
        <f>IFERROR(__xludf.DUMMYFUNCTION("""COMPUTED_VALUE"""),57.0)</f>
        <v>57</v>
      </c>
      <c r="H13118" s="4"/>
      <c r="I13118" s="4"/>
    </row>
    <row r="13119">
      <c r="A13119" s="4" t="str">
        <f>IFERROR(__xludf.DUMMYFUNCTION("""COMPUTED_VALUE"""),"cas_hmw")</f>
        <v>cas_hmw</v>
      </c>
      <c r="B13119" s="5">
        <f>IFERROR(__xludf.DUMMYFUNCTION("""COMPUTED_VALUE"""),44718.0)</f>
        <v>44718</v>
      </c>
      <c r="C13119" s="6">
        <f>IFERROR(__xludf.DUMMYFUNCTION("""COMPUTED_VALUE"""),0.26593750000029104)</f>
        <v>0.2659375</v>
      </c>
      <c r="D13119" s="4">
        <f>IFERROR(__xludf.DUMMYFUNCTION("""COMPUTED_VALUE"""),12.954767)</f>
        <v>12.954767</v>
      </c>
      <c r="E13119" s="4">
        <f>IFERROR(__xludf.DUMMYFUNCTION("""COMPUTED_VALUE"""),80.142303)</f>
        <v>80.142303</v>
      </c>
      <c r="F13119" s="4">
        <f>IFERROR(__xludf.DUMMYFUNCTION("""COMPUTED_VALUE"""),2846.0)</f>
        <v>2846</v>
      </c>
      <c r="G13119" s="4">
        <f>IFERROR(__xludf.DUMMYFUNCTION("""COMPUTED_VALUE"""),57.0)</f>
        <v>57</v>
      </c>
      <c r="H13119" s="4"/>
      <c r="I13119" s="4"/>
    </row>
    <row r="13120">
      <c r="A13120" s="4" t="str">
        <f>IFERROR(__xludf.DUMMYFUNCTION("""COMPUTED_VALUE"""),"cas_hmw")</f>
        <v>cas_hmw</v>
      </c>
      <c r="B13120" s="5">
        <f>IFERROR(__xludf.DUMMYFUNCTION("""COMPUTED_VALUE"""),44718.0)</f>
        <v>44718</v>
      </c>
      <c r="C13120" s="6">
        <f>IFERROR(__xludf.DUMMYFUNCTION("""COMPUTED_VALUE"""),0.26600694444277906)</f>
        <v>0.2660069444</v>
      </c>
      <c r="D13120" s="4">
        <f>IFERROR(__xludf.DUMMYFUNCTION("""COMPUTED_VALUE"""),12.955997)</f>
        <v>12.955997</v>
      </c>
      <c r="E13120" s="4">
        <f>IFERROR(__xludf.DUMMYFUNCTION("""COMPUTED_VALUE"""),80.142978)</f>
        <v>80.142978</v>
      </c>
      <c r="F13120" s="4">
        <f>IFERROR(__xludf.DUMMYFUNCTION("""COMPUTED_VALUE"""),2846.0)</f>
        <v>2846</v>
      </c>
      <c r="G13120" s="4">
        <f>IFERROR(__xludf.DUMMYFUNCTION("""COMPUTED_VALUE"""),54.0)</f>
        <v>54</v>
      </c>
      <c r="H13120" s="4"/>
      <c r="I13120" s="4"/>
    </row>
    <row r="13121">
      <c r="A13121" s="4" t="str">
        <f>IFERROR(__xludf.DUMMYFUNCTION("""COMPUTED_VALUE"""),"cas_hmw")</f>
        <v>cas_hmw</v>
      </c>
      <c r="B13121" s="5">
        <f>IFERROR(__xludf.DUMMYFUNCTION("""COMPUTED_VALUE"""),44718.0)</f>
        <v>44718</v>
      </c>
      <c r="C13121" s="6">
        <f>IFERROR(__xludf.DUMMYFUNCTION("""COMPUTED_VALUE"""),0.2663425925929914)</f>
        <v>0.2663425926</v>
      </c>
      <c r="D13121" s="4">
        <f>IFERROR(__xludf.DUMMYFUNCTION("""COMPUTED_VALUE"""),12.95824)</f>
        <v>12.95824</v>
      </c>
      <c r="E13121" s="4">
        <f>IFERROR(__xludf.DUMMYFUNCTION("""COMPUTED_VALUE"""),80.144175)</f>
        <v>80.144175</v>
      </c>
      <c r="F13121" s="4">
        <f>IFERROR(__xludf.DUMMYFUNCTION("""COMPUTED_VALUE"""),2846.0)</f>
        <v>2846</v>
      </c>
      <c r="G13121" s="4">
        <f>IFERROR(__xludf.DUMMYFUNCTION("""COMPUTED_VALUE"""),46.0)</f>
        <v>46</v>
      </c>
      <c r="H13121" s="4"/>
      <c r="I13121" s="4"/>
    </row>
    <row r="13122">
      <c r="A13122" s="4" t="str">
        <f>IFERROR(__xludf.DUMMYFUNCTION("""COMPUTED_VALUE"""),"cas_hmw")</f>
        <v>cas_hmw</v>
      </c>
      <c r="B13122" s="5">
        <f>IFERROR(__xludf.DUMMYFUNCTION("""COMPUTED_VALUE"""),44718.0)</f>
        <v>44718</v>
      </c>
      <c r="C13122" s="6">
        <f>IFERROR(__xludf.DUMMYFUNCTION("""COMPUTED_VALUE"""),0.2664236111122591)</f>
        <v>0.2664236111</v>
      </c>
      <c r="D13122" s="4">
        <f>IFERROR(__xludf.DUMMYFUNCTION("""COMPUTED_VALUE"""),12.959437)</f>
        <v>12.959437</v>
      </c>
      <c r="E13122" s="4">
        <f>IFERROR(__xludf.DUMMYFUNCTION("""COMPUTED_VALUE"""),80.144813)</f>
        <v>80.144813</v>
      </c>
      <c r="F13122" s="4">
        <f>IFERROR(__xludf.DUMMYFUNCTION("""COMPUTED_VALUE"""),2846.0)</f>
        <v>2846</v>
      </c>
      <c r="G13122" s="4">
        <f>IFERROR(__xludf.DUMMYFUNCTION("""COMPUTED_VALUE"""),60.0)</f>
        <v>60</v>
      </c>
      <c r="H13122" s="4"/>
      <c r="I13122" s="4"/>
    </row>
    <row r="13123">
      <c r="A13123" s="4" t="str">
        <f>IFERROR(__xludf.DUMMYFUNCTION("""COMPUTED_VALUE"""),"cas_hmw")</f>
        <v>cas_hmw</v>
      </c>
      <c r="B13123" s="5">
        <f>IFERROR(__xludf.DUMMYFUNCTION("""COMPUTED_VALUE"""),44718.0)</f>
        <v>44718</v>
      </c>
      <c r="C13123" s="6">
        <f>IFERROR(__xludf.DUMMYFUNCTION("""COMPUTED_VALUE"""),0.2667476851856918)</f>
        <v>0.2667476852</v>
      </c>
      <c r="D13123" s="4">
        <f>IFERROR(__xludf.DUMMYFUNCTION("""COMPUTED_VALUE"""),12.963016)</f>
        <v>12.963016</v>
      </c>
      <c r="E13123" s="4">
        <f>IFERROR(__xludf.DUMMYFUNCTION("""COMPUTED_VALUE"""),80.146756)</f>
        <v>80.146756</v>
      </c>
      <c r="F13123" s="4">
        <f>IFERROR(__xludf.DUMMYFUNCTION("""COMPUTED_VALUE"""),2846.0)</f>
        <v>2846</v>
      </c>
      <c r="G13123" s="4">
        <f>IFERROR(__xludf.DUMMYFUNCTION("""COMPUTED_VALUE"""),47.0)</f>
        <v>47</v>
      </c>
      <c r="H13123" s="4"/>
      <c r="I13123" s="4"/>
    </row>
    <row r="13124">
      <c r="A13124" s="4" t="str">
        <f>IFERROR(__xludf.DUMMYFUNCTION("""COMPUTED_VALUE"""),"cas_hmw")</f>
        <v>cas_hmw</v>
      </c>
      <c r="B13124" s="5">
        <f>IFERROR(__xludf.DUMMYFUNCTION("""COMPUTED_VALUE"""),44718.0)</f>
        <v>44718</v>
      </c>
      <c r="C13124" s="6">
        <f>IFERROR(__xludf.DUMMYFUNCTION("""COMPUTED_VALUE"""),0.2667939814818965)</f>
        <v>0.2667939815</v>
      </c>
      <c r="D13124" s="4">
        <f>IFERROR(__xludf.DUMMYFUNCTION("""COMPUTED_VALUE"""),12.964084)</f>
        <v>12.964084</v>
      </c>
      <c r="E13124" s="4">
        <f>IFERROR(__xludf.DUMMYFUNCTION("""COMPUTED_VALUE"""),80.14735)</f>
        <v>80.14735</v>
      </c>
      <c r="F13124" s="4">
        <f>IFERROR(__xludf.DUMMYFUNCTION("""COMPUTED_VALUE"""),2846.0)</f>
        <v>2846</v>
      </c>
      <c r="G13124" s="4">
        <f>IFERROR(__xludf.DUMMYFUNCTION("""COMPUTED_VALUE"""),43.0)</f>
        <v>43</v>
      </c>
      <c r="H13124" s="4"/>
      <c r="I13124" s="4"/>
    </row>
    <row r="13125">
      <c r="A13125" s="4" t="str">
        <f>IFERROR(__xludf.DUMMYFUNCTION("""COMPUTED_VALUE"""),"cas_hmw")</f>
        <v>cas_hmw</v>
      </c>
      <c r="B13125" s="5">
        <f>IFERROR(__xludf.DUMMYFUNCTION("""COMPUTED_VALUE"""),44718.0)</f>
        <v>44718</v>
      </c>
      <c r="C13125" s="6">
        <f>IFERROR(__xludf.DUMMYFUNCTION("""COMPUTED_VALUE"""),0.26684027777810115)</f>
        <v>0.2668402778</v>
      </c>
      <c r="D13125" s="4">
        <f>IFERROR(__xludf.DUMMYFUNCTION("""COMPUTED_VALUE"""),12.964084)</f>
        <v>12.964084</v>
      </c>
      <c r="E13125" s="4">
        <f>IFERROR(__xludf.DUMMYFUNCTION("""COMPUTED_VALUE"""),80.14735)</f>
        <v>80.14735</v>
      </c>
      <c r="F13125" s="4">
        <f>IFERROR(__xludf.DUMMYFUNCTION("""COMPUTED_VALUE"""),2846.0)</f>
        <v>2846</v>
      </c>
      <c r="G13125" s="4">
        <f>IFERROR(__xludf.DUMMYFUNCTION("""COMPUTED_VALUE"""),43.0)</f>
        <v>43</v>
      </c>
      <c r="H13125" s="4"/>
      <c r="I13125" s="4"/>
    </row>
    <row r="13126">
      <c r="A13126" s="4" t="str">
        <f>IFERROR(__xludf.DUMMYFUNCTION("""COMPUTED_VALUE"""),"cas_hmw")</f>
        <v>cas_hmw</v>
      </c>
      <c r="B13126" s="5">
        <f>IFERROR(__xludf.DUMMYFUNCTION("""COMPUTED_VALUE"""),44718.0)</f>
        <v>44718</v>
      </c>
      <c r="C13126" s="6">
        <f>IFERROR(__xludf.DUMMYFUNCTION("""COMPUTED_VALUE"""),0.26986111111182254)</f>
        <v>0.2698611111</v>
      </c>
      <c r="D13126" s="4">
        <f>IFERROR(__xludf.DUMMYFUNCTION("""COMPUTED_VALUE"""),12.986463)</f>
        <v>12.986463</v>
      </c>
      <c r="E13126" s="4">
        <f>IFERROR(__xludf.DUMMYFUNCTION("""COMPUTED_VALUE"""),80.174635)</f>
        <v>80.174635</v>
      </c>
      <c r="F13126" s="4">
        <f>IFERROR(__xludf.DUMMYFUNCTION("""COMPUTED_VALUE"""),2846.0)</f>
        <v>2846</v>
      </c>
      <c r="G13126" s="4">
        <f>IFERROR(__xludf.DUMMYFUNCTION("""COMPUTED_VALUE"""),34.0)</f>
        <v>34</v>
      </c>
      <c r="H13126" s="4"/>
      <c r="I13126" s="4"/>
    </row>
    <row r="13127">
      <c r="A13127" s="4" t="str">
        <f>IFERROR(__xludf.DUMMYFUNCTION("""COMPUTED_VALUE"""),"cas_hmw")</f>
        <v>cas_hmw</v>
      </c>
      <c r="B13127" s="5">
        <f>IFERROR(__xludf.DUMMYFUNCTION("""COMPUTED_VALUE"""),44718.0)</f>
        <v>44718</v>
      </c>
      <c r="C13127" s="6">
        <f>IFERROR(__xludf.DUMMYFUNCTION("""COMPUTED_VALUE"""),0.2699421296310902)</f>
        <v>0.2699421296</v>
      </c>
      <c r="D13127" s="4">
        <f>IFERROR(__xludf.DUMMYFUNCTION("""COMPUTED_VALUE"""),12.987019)</f>
        <v>12.987019</v>
      </c>
      <c r="E13127" s="4">
        <f>IFERROR(__xludf.DUMMYFUNCTION("""COMPUTED_VALUE"""),80.17543)</f>
        <v>80.17543</v>
      </c>
      <c r="F13127" s="4">
        <f>IFERROR(__xludf.DUMMYFUNCTION("""COMPUTED_VALUE"""),2846.0)</f>
        <v>2846</v>
      </c>
      <c r="G13127" s="4">
        <f>IFERROR(__xludf.DUMMYFUNCTION("""COMPUTED_VALUE"""),33.0)</f>
        <v>33</v>
      </c>
      <c r="H13127" s="4"/>
      <c r="I13127" s="4"/>
    </row>
    <row r="13128">
      <c r="A13128" s="4" t="str">
        <f>IFERROR(__xludf.DUMMYFUNCTION("""COMPUTED_VALUE"""),"cas_hmw")</f>
        <v>cas_hmw</v>
      </c>
      <c r="B13128" s="5">
        <f>IFERROR(__xludf.DUMMYFUNCTION("""COMPUTED_VALUE"""),44718.0)</f>
        <v>44718</v>
      </c>
      <c r="C13128" s="6">
        <f>IFERROR(__xludf.DUMMYFUNCTION("""COMPUTED_VALUE"""),0.2702777777776646)</f>
        <v>0.2702777778</v>
      </c>
      <c r="D13128" s="4">
        <f>IFERROR(__xludf.DUMMYFUNCTION("""COMPUTED_VALUE"""),12.988939)</f>
        <v>12.988939</v>
      </c>
      <c r="E13128" s="4">
        <f>IFERROR(__xludf.DUMMYFUNCTION("""COMPUTED_VALUE"""),80.178044)</f>
        <v>80.178044</v>
      </c>
      <c r="F13128" s="4">
        <f>IFERROR(__xludf.DUMMYFUNCTION("""COMPUTED_VALUE"""),2846.0)</f>
        <v>2846</v>
      </c>
      <c r="G13128" s="4">
        <f>IFERROR(__xludf.DUMMYFUNCTION("""COMPUTED_VALUE"""),45.0)</f>
        <v>45</v>
      </c>
      <c r="H13128" s="4"/>
      <c r="I13128" s="4"/>
    </row>
    <row r="13129">
      <c r="A13129" s="4" t="str">
        <f>IFERROR(__xludf.DUMMYFUNCTION("""COMPUTED_VALUE"""),"cas_hmw")</f>
        <v>cas_hmw</v>
      </c>
      <c r="B13129" s="5">
        <f>IFERROR(__xludf.DUMMYFUNCTION("""COMPUTED_VALUE"""),44718.0)</f>
        <v>44718</v>
      </c>
      <c r="C13129" s="6">
        <f>IFERROR(__xludf.DUMMYFUNCTION("""COMPUTED_VALUE"""),0.2704282407394203)</f>
        <v>0.2704282407</v>
      </c>
      <c r="D13129" s="4">
        <f>IFERROR(__xludf.DUMMYFUNCTION("""COMPUTED_VALUE"""),12.989628)</f>
        <v>12.989628</v>
      </c>
      <c r="E13129" s="4">
        <f>IFERROR(__xludf.DUMMYFUNCTION("""COMPUTED_VALUE"""),80.1789)</f>
        <v>80.1789</v>
      </c>
      <c r="F13129" s="4">
        <f>IFERROR(__xludf.DUMMYFUNCTION("""COMPUTED_VALUE"""),2846.0)</f>
        <v>2846</v>
      </c>
      <c r="G13129" s="4">
        <f>IFERROR(__xludf.DUMMYFUNCTION("""COMPUTED_VALUE"""),40.0)</f>
        <v>40</v>
      </c>
      <c r="H13129" s="4"/>
      <c r="I13129" s="4"/>
    </row>
    <row r="13130">
      <c r="A13130" s="4" t="str">
        <f>IFERROR(__xludf.DUMMYFUNCTION("""COMPUTED_VALUE"""),"cas_hmw")</f>
        <v>cas_hmw</v>
      </c>
      <c r="B13130" s="5">
        <f>IFERROR(__xludf.DUMMYFUNCTION("""COMPUTED_VALUE"""),44718.0)</f>
        <v>44718</v>
      </c>
      <c r="C13130" s="6">
        <f>IFERROR(__xludf.DUMMYFUNCTION("""COMPUTED_VALUE"""),0.27057870370481396)</f>
        <v>0.2705787037</v>
      </c>
      <c r="D13130" s="4">
        <f>IFERROR(__xludf.DUMMYFUNCTION("""COMPUTED_VALUE"""),12.99031)</f>
        <v>12.99031</v>
      </c>
      <c r="E13130" s="4">
        <f>IFERROR(__xludf.DUMMYFUNCTION("""COMPUTED_VALUE"""),80.179849)</f>
        <v>80.179849</v>
      </c>
      <c r="F13130" s="4">
        <f>IFERROR(__xludf.DUMMYFUNCTION("""COMPUTED_VALUE"""),2846.0)</f>
        <v>2846</v>
      </c>
      <c r="G13130" s="4">
        <f>IFERROR(__xludf.DUMMYFUNCTION("""COMPUTED_VALUE"""),45.0)</f>
        <v>45</v>
      </c>
      <c r="H13130" s="4"/>
      <c r="I13130" s="4"/>
    </row>
    <row r="13131">
      <c r="A13131" s="4" t="str">
        <f>IFERROR(__xludf.DUMMYFUNCTION("""COMPUTED_VALUE"""),"cas_hmw")</f>
        <v>cas_hmw</v>
      </c>
      <c r="B13131" s="5">
        <f>IFERROR(__xludf.DUMMYFUNCTION("""COMPUTED_VALUE"""),44718.0)</f>
        <v>44718</v>
      </c>
      <c r="C13131" s="6">
        <f>IFERROR(__xludf.DUMMYFUNCTION("""COMPUTED_VALUE"""),0.27164351851752144)</f>
        <v>0.2716435185</v>
      </c>
      <c r="D13131" s="4">
        <f>IFERROR(__xludf.DUMMYFUNCTION("""COMPUTED_VALUE"""),12.992625)</f>
        <v>12.992625</v>
      </c>
      <c r="E13131" s="4">
        <f>IFERROR(__xludf.DUMMYFUNCTION("""COMPUTED_VALUE"""),80.182947)</f>
        <v>80.182947</v>
      </c>
      <c r="F13131" s="4">
        <f>IFERROR(__xludf.DUMMYFUNCTION("""COMPUTED_VALUE"""),2846.0)</f>
        <v>2846</v>
      </c>
      <c r="G13131" s="4">
        <f>IFERROR(__xludf.DUMMYFUNCTION("""COMPUTED_VALUE"""),58.0)</f>
        <v>58</v>
      </c>
      <c r="H13131" s="4"/>
      <c r="I13131" s="4"/>
    </row>
    <row r="13132">
      <c r="A13132" s="4" t="str">
        <f>IFERROR(__xludf.DUMMYFUNCTION("""COMPUTED_VALUE"""),"cas_hmw")</f>
        <v>cas_hmw</v>
      </c>
      <c r="B13132" s="5">
        <f>IFERROR(__xludf.DUMMYFUNCTION("""COMPUTED_VALUE"""),44718.0)</f>
        <v>44718</v>
      </c>
      <c r="C13132" s="6">
        <f>IFERROR(__xludf.DUMMYFUNCTION("""COMPUTED_VALUE"""),0.27188657407532446)</f>
        <v>0.2718865741</v>
      </c>
      <c r="D13132" s="4">
        <f>IFERROR(__xludf.DUMMYFUNCTION("""COMPUTED_VALUE"""),12.657336)</f>
        <v>12.657336</v>
      </c>
      <c r="E13132" s="4">
        <f>IFERROR(__xludf.DUMMYFUNCTION("""COMPUTED_VALUE"""),79.946694)</f>
        <v>79.946694</v>
      </c>
      <c r="F13132" s="4">
        <f>IFERROR(__xludf.DUMMYFUNCTION("""COMPUTED_VALUE"""),805.0)</f>
        <v>805</v>
      </c>
      <c r="G13132" s="4">
        <f>IFERROR(__xludf.DUMMYFUNCTION("""COMPUTED_VALUE"""),24.0)</f>
        <v>24</v>
      </c>
      <c r="H13132" s="4"/>
      <c r="I13132" s="4"/>
    </row>
    <row r="13133">
      <c r="A13133" s="4" t="str">
        <f>IFERROR(__xludf.DUMMYFUNCTION("""COMPUTED_VALUE"""),"cas_hmw")</f>
        <v>cas_hmw</v>
      </c>
      <c r="B13133" s="5">
        <f>IFERROR(__xludf.DUMMYFUNCTION("""COMPUTED_VALUE"""),44718.0)</f>
        <v>44718</v>
      </c>
      <c r="C13133" s="6">
        <f>IFERROR(__xludf.DUMMYFUNCTION("""COMPUTED_VALUE"""),0.2722453703718202)</f>
        <v>0.2722453704</v>
      </c>
      <c r="D13133" s="4">
        <f>IFERROR(__xludf.DUMMYFUNCTION("""COMPUTED_VALUE"""),12.998379)</f>
        <v>12.998379</v>
      </c>
      <c r="E13133" s="4">
        <f>IFERROR(__xludf.DUMMYFUNCTION("""COMPUTED_VALUE"""),80.191947)</f>
        <v>80.191947</v>
      </c>
      <c r="F13133" s="4">
        <f>IFERROR(__xludf.DUMMYFUNCTION("""COMPUTED_VALUE"""),2846.0)</f>
        <v>2846</v>
      </c>
      <c r="G13133" s="4">
        <f>IFERROR(__xludf.DUMMYFUNCTION("""COMPUTED_VALUE"""),52.0)</f>
        <v>52</v>
      </c>
      <c r="H13133" s="4"/>
      <c r="I13133" s="4"/>
    </row>
    <row r="13134">
      <c r="A13134" s="4" t="str">
        <f>IFERROR(__xludf.DUMMYFUNCTION("""COMPUTED_VALUE"""),"cas_hmw")</f>
        <v>cas_hmw</v>
      </c>
      <c r="B13134" s="5">
        <f>IFERROR(__xludf.DUMMYFUNCTION("""COMPUTED_VALUE"""),44718.0)</f>
        <v>44718</v>
      </c>
      <c r="C13134" s="6">
        <f>IFERROR(__xludf.DUMMYFUNCTION("""COMPUTED_VALUE"""),0.27332175925766933)</f>
        <v>0.2733217593</v>
      </c>
      <c r="D13134" s="4">
        <f>IFERROR(__xludf.DUMMYFUNCTION("""COMPUTED_VALUE"""),12.648294)</f>
        <v>12.648294</v>
      </c>
      <c r="E13134" s="4">
        <f>IFERROR(__xludf.DUMMYFUNCTION("""COMPUTED_VALUE"""),79.940873)</f>
        <v>79.940873</v>
      </c>
      <c r="F13134" s="4">
        <f>IFERROR(__xludf.DUMMYFUNCTION("""COMPUTED_VALUE"""),805.0)</f>
        <v>805</v>
      </c>
      <c r="G13134" s="4">
        <f>IFERROR(__xludf.DUMMYFUNCTION("""COMPUTED_VALUE"""),58.0)</f>
        <v>58</v>
      </c>
      <c r="H13134" s="4"/>
      <c r="I13134" s="4"/>
    </row>
    <row r="13135">
      <c r="A13135" s="4" t="str">
        <f>IFERROR(__xludf.DUMMYFUNCTION("""COMPUTED_VALUE"""),"cas_hmw")</f>
        <v>cas_hmw</v>
      </c>
      <c r="B13135" s="5">
        <f>IFERROR(__xludf.DUMMYFUNCTION("""COMPUTED_VALUE"""),44718.0)</f>
        <v>44718</v>
      </c>
      <c r="C13135" s="6">
        <f>IFERROR(__xludf.DUMMYFUNCTION("""COMPUTED_VALUE"""),0.27388888888890506)</f>
        <v>0.2738888889</v>
      </c>
      <c r="D13135" s="4">
        <f>IFERROR(__xludf.DUMMYFUNCTION("""COMPUTED_VALUE"""),13.004535)</f>
        <v>13.004535</v>
      </c>
      <c r="E13135" s="4">
        <f>IFERROR(__xludf.DUMMYFUNCTION("""COMPUTED_VALUE"""),80.201101)</f>
        <v>80.201101</v>
      </c>
      <c r="F13135" s="4">
        <f>IFERROR(__xludf.DUMMYFUNCTION("""COMPUTED_VALUE"""),2846.0)</f>
        <v>2846</v>
      </c>
      <c r="G13135" s="4">
        <f>IFERROR(__xludf.DUMMYFUNCTION("""COMPUTED_VALUE"""),34.0)</f>
        <v>34</v>
      </c>
      <c r="H13135" s="4"/>
      <c r="I13135" s="4"/>
    </row>
    <row r="13136">
      <c r="A13136" s="4" t="str">
        <f>IFERROR(__xludf.DUMMYFUNCTION("""COMPUTED_VALUE"""),"cas_hmw")</f>
        <v>cas_hmw</v>
      </c>
      <c r="B13136" s="5">
        <f>IFERROR(__xludf.DUMMYFUNCTION("""COMPUTED_VALUE"""),44718.0)</f>
        <v>44718</v>
      </c>
      <c r="C13136" s="6">
        <f>IFERROR(__xludf.DUMMYFUNCTION("""COMPUTED_VALUE"""),0.2739930555544561)</f>
        <v>0.2739930556</v>
      </c>
      <c r="D13136" s="4">
        <f>IFERROR(__xludf.DUMMYFUNCTION("""COMPUTED_VALUE"""),13.005434)</f>
        <v>13.005434</v>
      </c>
      <c r="E13136" s="4">
        <f>IFERROR(__xludf.DUMMYFUNCTION("""COMPUTED_VALUE"""),80.2016)</f>
        <v>80.2016</v>
      </c>
      <c r="F13136" s="4">
        <f>IFERROR(__xludf.DUMMYFUNCTION("""COMPUTED_VALUE"""),2846.0)</f>
        <v>2846</v>
      </c>
      <c r="G13136" s="4">
        <f>IFERROR(__xludf.DUMMYFUNCTION("""COMPUTED_VALUE"""),49.0)</f>
        <v>49</v>
      </c>
      <c r="H13136" s="4"/>
      <c r="I13136" s="4"/>
    </row>
    <row r="13137">
      <c r="A13137" s="4" t="str">
        <f>IFERROR(__xludf.DUMMYFUNCTION("""COMPUTED_VALUE"""),"cas_hmw")</f>
        <v>cas_hmw</v>
      </c>
      <c r="B13137" s="5">
        <f>IFERROR(__xludf.DUMMYFUNCTION("""COMPUTED_VALUE"""),44718.0)</f>
        <v>44718</v>
      </c>
      <c r="C13137" s="6">
        <f>IFERROR(__xludf.DUMMYFUNCTION("""COMPUTED_VALUE"""),0.27414351851984975)</f>
        <v>0.2741435185</v>
      </c>
      <c r="D13137" s="4">
        <f>IFERROR(__xludf.DUMMYFUNCTION("""COMPUTED_VALUE"""),13.006148)</f>
        <v>13.006148</v>
      </c>
      <c r="E13137" s="4">
        <f>IFERROR(__xludf.DUMMYFUNCTION("""COMPUTED_VALUE"""),80.202715)</f>
        <v>80.202715</v>
      </c>
      <c r="F13137" s="4">
        <f>IFERROR(__xludf.DUMMYFUNCTION("""COMPUTED_VALUE"""),2846.0)</f>
        <v>2846</v>
      </c>
      <c r="G13137" s="4">
        <f>IFERROR(__xludf.DUMMYFUNCTION("""COMPUTED_VALUE"""),45.0)</f>
        <v>45</v>
      </c>
      <c r="H13137" s="4"/>
      <c r="I13137" s="4"/>
    </row>
    <row r="13138">
      <c r="A13138" s="4" t="str">
        <f>IFERROR(__xludf.DUMMYFUNCTION("""COMPUTED_VALUE"""),"cas_hmw")</f>
        <v>cas_hmw</v>
      </c>
      <c r="B13138" s="5">
        <f>IFERROR(__xludf.DUMMYFUNCTION("""COMPUTED_VALUE"""),44718.0)</f>
        <v>44718</v>
      </c>
      <c r="C13138" s="6">
        <f>IFERROR(__xludf.DUMMYFUNCTION("""COMPUTED_VALUE"""),0.27531250000174623)</f>
        <v>0.2753125</v>
      </c>
      <c r="D13138" s="4">
        <f>IFERROR(__xludf.DUMMYFUNCTION("""COMPUTED_VALUE"""),13.008455)</f>
        <v>13.008455</v>
      </c>
      <c r="E13138" s="4">
        <f>IFERROR(__xludf.DUMMYFUNCTION("""COMPUTED_VALUE"""),80.210183)</f>
        <v>80.210183</v>
      </c>
      <c r="F13138" s="4">
        <f>IFERROR(__xludf.DUMMYFUNCTION("""COMPUTED_VALUE"""),2846.0)</f>
        <v>2846</v>
      </c>
      <c r="G13138" s="4">
        <f>IFERROR(__xludf.DUMMYFUNCTION("""COMPUTED_VALUE"""),49.0)</f>
        <v>49</v>
      </c>
      <c r="H13138" s="4"/>
      <c r="I13138" s="4"/>
    </row>
    <row r="13139">
      <c r="A13139" s="4" t="str">
        <f>IFERROR(__xludf.DUMMYFUNCTION("""COMPUTED_VALUE"""),"cas_hmw")</f>
        <v>cas_hmw</v>
      </c>
      <c r="B13139" s="5">
        <f>IFERROR(__xludf.DUMMYFUNCTION("""COMPUTED_VALUE"""),44718.0)</f>
        <v>44718</v>
      </c>
      <c r="C13139" s="6">
        <f>IFERROR(__xludf.DUMMYFUNCTION("""COMPUTED_VALUE"""),0.2755787037021946)</f>
        <v>0.2755787037</v>
      </c>
      <c r="D13139" s="4">
        <f>IFERROR(__xludf.DUMMYFUNCTION("""COMPUTED_VALUE"""),13.009748)</f>
        <v>13.009748</v>
      </c>
      <c r="E13139" s="4">
        <f>IFERROR(__xludf.DUMMYFUNCTION("""COMPUTED_VALUE"""),80.213676)</f>
        <v>80.213676</v>
      </c>
      <c r="F13139" s="4">
        <f>IFERROR(__xludf.DUMMYFUNCTION("""COMPUTED_VALUE"""),2846.0)</f>
        <v>2846</v>
      </c>
      <c r="G13139" s="4">
        <f>IFERROR(__xludf.DUMMYFUNCTION("""COMPUTED_VALUE"""),46.0)</f>
        <v>46</v>
      </c>
      <c r="H13139" s="4"/>
      <c r="I13139" s="4"/>
    </row>
    <row r="13140">
      <c r="A13140" s="4" t="str">
        <f>IFERROR(__xludf.DUMMYFUNCTION("""COMPUTED_VALUE"""),"cas_hmw")</f>
        <v>cas_hmw</v>
      </c>
      <c r="B13140" s="5">
        <f>IFERROR(__xludf.DUMMYFUNCTION("""COMPUTED_VALUE"""),44718.0)</f>
        <v>44718</v>
      </c>
      <c r="C13140" s="6">
        <f>IFERROR(__xludf.DUMMYFUNCTION("""COMPUTED_VALUE"""),0.27559027777897427)</f>
        <v>0.2755902778</v>
      </c>
      <c r="D13140" s="4">
        <f>IFERROR(__xludf.DUMMYFUNCTION("""COMPUTED_VALUE"""),13.009748)</f>
        <v>13.009748</v>
      </c>
      <c r="E13140" s="4">
        <f>IFERROR(__xludf.DUMMYFUNCTION("""COMPUTED_VALUE"""),80.213676)</f>
        <v>80.213676</v>
      </c>
      <c r="F13140" s="4">
        <f>IFERROR(__xludf.DUMMYFUNCTION("""COMPUTED_VALUE"""),2846.0)</f>
        <v>2846</v>
      </c>
      <c r="G13140" s="4">
        <f>IFERROR(__xludf.DUMMYFUNCTION("""COMPUTED_VALUE"""),46.0)</f>
        <v>46</v>
      </c>
      <c r="H13140" s="4"/>
      <c r="I13140" s="4"/>
    </row>
    <row r="13141">
      <c r="A13141" s="4" t="str">
        <f>IFERROR(__xludf.DUMMYFUNCTION("""COMPUTED_VALUE"""),"cas_hmw")</f>
        <v>cas_hmw</v>
      </c>
      <c r="B13141" s="5">
        <f>IFERROR(__xludf.DUMMYFUNCTION("""COMPUTED_VALUE"""),44718.0)</f>
        <v>44718</v>
      </c>
      <c r="C13141" s="6">
        <f>IFERROR(__xludf.DUMMYFUNCTION("""COMPUTED_VALUE"""),0.2759027777792653)</f>
        <v>0.2759027778</v>
      </c>
      <c r="D13141" s="4">
        <f>IFERROR(__xludf.DUMMYFUNCTION("""COMPUTED_VALUE"""),13.010385)</f>
        <v>13.010385</v>
      </c>
      <c r="E13141" s="4">
        <f>IFERROR(__xludf.DUMMYFUNCTION("""COMPUTED_VALUE"""),80.215955)</f>
        <v>80.215955</v>
      </c>
      <c r="F13141" s="4">
        <f>IFERROR(__xludf.DUMMYFUNCTION("""COMPUTED_VALUE"""),2846.0)</f>
        <v>2846</v>
      </c>
      <c r="G13141" s="4">
        <f>IFERROR(__xludf.DUMMYFUNCTION("""COMPUTED_VALUE"""),29.0)</f>
        <v>29</v>
      </c>
      <c r="H13141" s="4"/>
      <c r="I13141" s="4"/>
    </row>
    <row r="13142">
      <c r="A13142" s="4" t="str">
        <f>IFERROR(__xludf.DUMMYFUNCTION("""COMPUTED_VALUE"""),"cas_hmw")</f>
        <v>cas_hmw</v>
      </c>
      <c r="B13142" s="5">
        <f>IFERROR(__xludf.DUMMYFUNCTION("""COMPUTED_VALUE"""),44718.0)</f>
        <v>44718</v>
      </c>
      <c r="C13142" s="6">
        <f>IFERROR(__xludf.DUMMYFUNCTION("""COMPUTED_VALUE"""),0.2759374999986903)</f>
        <v>0.2759375</v>
      </c>
      <c r="D13142" s="4">
        <f>IFERROR(__xludf.DUMMYFUNCTION("""COMPUTED_VALUE"""),13.010385)</f>
        <v>13.010385</v>
      </c>
      <c r="E13142" s="4">
        <f>IFERROR(__xludf.DUMMYFUNCTION("""COMPUTED_VALUE"""),80.215955)</f>
        <v>80.215955</v>
      </c>
      <c r="F13142" s="4">
        <f>IFERROR(__xludf.DUMMYFUNCTION("""COMPUTED_VALUE"""),2846.0)</f>
        <v>2846</v>
      </c>
      <c r="G13142" s="4">
        <f>IFERROR(__xludf.DUMMYFUNCTION("""COMPUTED_VALUE"""),29.0)</f>
        <v>29</v>
      </c>
      <c r="H13142" s="4"/>
      <c r="I13142" s="4"/>
    </row>
    <row r="13143">
      <c r="A13143" s="4" t="str">
        <f>IFERROR(__xludf.DUMMYFUNCTION("""COMPUTED_VALUE"""),"cas_hmw")</f>
        <v>cas_hmw</v>
      </c>
      <c r="B13143" s="5">
        <f>IFERROR(__xludf.DUMMYFUNCTION("""COMPUTED_VALUE"""),44718.0)</f>
        <v>44718</v>
      </c>
      <c r="C13143" s="6">
        <f>IFERROR(__xludf.DUMMYFUNCTION("""COMPUTED_VALUE"""),0.27596064814861165)</f>
        <v>0.2759606481</v>
      </c>
      <c r="D13143" s="4">
        <f>IFERROR(__xludf.DUMMYFUNCTION("""COMPUTED_VALUE"""),13.010385)</f>
        <v>13.010385</v>
      </c>
      <c r="E13143" s="4">
        <f>IFERROR(__xludf.DUMMYFUNCTION("""COMPUTED_VALUE"""),80.215955)</f>
        <v>80.215955</v>
      </c>
      <c r="F13143" s="4">
        <f>IFERROR(__xludf.DUMMYFUNCTION("""COMPUTED_VALUE"""),2846.0)</f>
        <v>2846</v>
      </c>
      <c r="G13143" s="4">
        <f>IFERROR(__xludf.DUMMYFUNCTION("""COMPUTED_VALUE"""),29.0)</f>
        <v>29</v>
      </c>
      <c r="H13143" s="4"/>
      <c r="I13143" s="4"/>
    </row>
    <row r="13144">
      <c r="A13144" s="4" t="str">
        <f>IFERROR(__xludf.DUMMYFUNCTION("""COMPUTED_VALUE"""),"cas_hmw")</f>
        <v>cas_hmw</v>
      </c>
      <c r="B13144" s="5">
        <f>IFERROR(__xludf.DUMMYFUNCTION("""COMPUTED_VALUE"""),44718.0)</f>
        <v>44718</v>
      </c>
      <c r="C13144" s="6">
        <f>IFERROR(__xludf.DUMMYFUNCTION("""COMPUTED_VALUE"""),0.27901620370539604)</f>
        <v>0.2790162037</v>
      </c>
      <c r="D13144" s="4">
        <f>IFERROR(__xludf.DUMMYFUNCTION("""COMPUTED_VALUE"""),13.026754)</f>
        <v>13.026754</v>
      </c>
      <c r="E13144" s="4">
        <f>IFERROR(__xludf.DUMMYFUNCTION("""COMPUTED_VALUE"""),80.233189)</f>
        <v>80.233189</v>
      </c>
      <c r="F13144" s="4">
        <f>IFERROR(__xludf.DUMMYFUNCTION("""COMPUTED_VALUE"""),2846.0)</f>
        <v>2846</v>
      </c>
      <c r="G13144" s="4">
        <f>IFERROR(__xludf.DUMMYFUNCTION("""COMPUTED_VALUE"""),54.0)</f>
        <v>54</v>
      </c>
      <c r="H13144" s="4"/>
      <c r="I13144" s="4"/>
    </row>
    <row r="13145">
      <c r="A13145" s="4" t="str">
        <f>IFERROR(__xludf.DUMMYFUNCTION("""COMPUTED_VALUE"""),"cas_hmw")</f>
        <v>cas_hmw</v>
      </c>
      <c r="B13145" s="5">
        <f>IFERROR(__xludf.DUMMYFUNCTION("""COMPUTED_VALUE"""),44718.0)</f>
        <v>44718</v>
      </c>
      <c r="C13145" s="6">
        <f>IFERROR(__xludf.DUMMYFUNCTION("""COMPUTED_VALUE"""),0.28043981481459923)</f>
        <v>0.2804398148</v>
      </c>
      <c r="D13145" s="4">
        <f>IFERROR(__xludf.DUMMYFUNCTION("""COMPUTED_VALUE"""),13.031015)</f>
        <v>13.031015</v>
      </c>
      <c r="E13145" s="4">
        <f>IFERROR(__xludf.DUMMYFUNCTION("""COMPUTED_VALUE"""),80.23935)</f>
        <v>80.23935</v>
      </c>
      <c r="F13145" s="4">
        <f>IFERROR(__xludf.DUMMYFUNCTION("""COMPUTED_VALUE"""),2846.0)</f>
        <v>2846</v>
      </c>
      <c r="G13145" s="4">
        <f>IFERROR(__xludf.DUMMYFUNCTION("""COMPUTED_VALUE"""),0.0)</f>
        <v>0</v>
      </c>
      <c r="H13145" s="4"/>
      <c r="I13145" s="4"/>
    </row>
    <row r="13146">
      <c r="A13146" s="4" t="str">
        <f>IFERROR(__xludf.DUMMYFUNCTION("""COMPUTED_VALUE"""),"cas_hmw")</f>
        <v>cas_hmw</v>
      </c>
      <c r="B13146" s="5">
        <f>IFERROR(__xludf.DUMMYFUNCTION("""COMPUTED_VALUE"""),44718.0)</f>
        <v>44718</v>
      </c>
      <c r="C13146" s="6">
        <f>IFERROR(__xludf.DUMMYFUNCTION("""COMPUTED_VALUE"""),0.2804976851839456)</f>
        <v>0.2804976852</v>
      </c>
      <c r="D13146" s="4">
        <f>IFERROR(__xludf.DUMMYFUNCTION("""COMPUTED_VALUE"""),13.031015)</f>
        <v>13.031015</v>
      </c>
      <c r="E13146" s="4">
        <f>IFERROR(__xludf.DUMMYFUNCTION("""COMPUTED_VALUE"""),80.23935)</f>
        <v>80.23935</v>
      </c>
      <c r="F13146" s="4">
        <f>IFERROR(__xludf.DUMMYFUNCTION("""COMPUTED_VALUE"""),2846.0)</f>
        <v>2846</v>
      </c>
      <c r="G13146" s="4">
        <f>IFERROR(__xludf.DUMMYFUNCTION("""COMPUTED_VALUE"""),0.0)</f>
        <v>0</v>
      </c>
      <c r="H13146" s="4"/>
      <c r="I13146" s="4"/>
    </row>
    <row r="13147">
      <c r="A13147" s="4" t="str">
        <f>IFERROR(__xludf.DUMMYFUNCTION("""COMPUTED_VALUE"""),"cas_hmw")</f>
        <v>cas_hmw</v>
      </c>
      <c r="B13147" s="5">
        <f>IFERROR(__xludf.DUMMYFUNCTION("""COMPUTED_VALUE"""),44718.0)</f>
        <v>44718</v>
      </c>
      <c r="C13147" s="6">
        <f>IFERROR(__xludf.DUMMYFUNCTION("""COMPUTED_VALUE"""),0.2806597222224809)</f>
        <v>0.2806597222</v>
      </c>
      <c r="D13147" s="4">
        <f>IFERROR(__xludf.DUMMYFUNCTION("""COMPUTED_VALUE"""),13.032005)</f>
        <v>13.032005</v>
      </c>
      <c r="E13147" s="4">
        <f>IFERROR(__xludf.DUMMYFUNCTION("""COMPUTED_VALUE"""),80.241496)</f>
        <v>80.241496</v>
      </c>
      <c r="F13147" s="4">
        <f>IFERROR(__xludf.DUMMYFUNCTION("""COMPUTED_VALUE"""),2846.0)</f>
        <v>2846</v>
      </c>
      <c r="G13147" s="4">
        <f>IFERROR(__xludf.DUMMYFUNCTION("""COMPUTED_VALUE"""),41.0)</f>
        <v>41</v>
      </c>
      <c r="H13147" s="4"/>
      <c r="I13147" s="4"/>
    </row>
    <row r="13148">
      <c r="A13148" s="4" t="str">
        <f>IFERROR(__xludf.DUMMYFUNCTION("""COMPUTED_VALUE"""),"cas_hmw")</f>
        <v>cas_hmw</v>
      </c>
      <c r="B13148" s="5">
        <f>IFERROR(__xludf.DUMMYFUNCTION("""COMPUTED_VALUE"""),44718.0)</f>
        <v>44718</v>
      </c>
      <c r="C13148" s="6">
        <f>IFERROR(__xludf.DUMMYFUNCTION("""COMPUTED_VALUE"""),0.28079861111109494)</f>
        <v>0.2807986111</v>
      </c>
      <c r="D13148" s="4">
        <f>IFERROR(__xludf.DUMMYFUNCTION("""COMPUTED_VALUE"""),13.033169)</f>
        <v>13.033169</v>
      </c>
      <c r="E13148" s="4">
        <f>IFERROR(__xludf.DUMMYFUNCTION("""COMPUTED_VALUE"""),80.243294)</f>
        <v>80.243294</v>
      </c>
      <c r="F13148" s="4">
        <f>IFERROR(__xludf.DUMMYFUNCTION("""COMPUTED_VALUE"""),2846.0)</f>
        <v>2846</v>
      </c>
      <c r="G13148" s="4">
        <f>IFERROR(__xludf.DUMMYFUNCTION("""COMPUTED_VALUE"""),34.0)</f>
        <v>34</v>
      </c>
      <c r="H13148" s="4"/>
      <c r="I13148" s="4"/>
    </row>
    <row r="13149">
      <c r="A13149" s="4" t="str">
        <f>IFERROR(__xludf.DUMMYFUNCTION("""COMPUTED_VALUE"""),"cas_hmw")</f>
        <v>cas_hmw</v>
      </c>
      <c r="B13149" s="5">
        <f>IFERROR(__xludf.DUMMYFUNCTION("""COMPUTED_VALUE"""),44718.0)</f>
        <v>44718</v>
      </c>
      <c r="C13149" s="6">
        <f>IFERROR(__xludf.DUMMYFUNCTION("""COMPUTED_VALUE"""),0.28170138888890506)</f>
        <v>0.2817013889</v>
      </c>
      <c r="D13149" s="4">
        <f>IFERROR(__xludf.DUMMYFUNCTION("""COMPUTED_VALUE"""),13.039314)</f>
        <v>13.039314</v>
      </c>
      <c r="E13149" s="4">
        <f>IFERROR(__xludf.DUMMYFUNCTION("""COMPUTED_VALUE"""),80.246889)</f>
        <v>80.246889</v>
      </c>
      <c r="F13149" s="4">
        <f>IFERROR(__xludf.DUMMYFUNCTION("""COMPUTED_VALUE"""),2846.0)</f>
        <v>2846</v>
      </c>
      <c r="G13149" s="4">
        <f>IFERROR(__xludf.DUMMYFUNCTION("""COMPUTED_VALUE"""),30.0)</f>
        <v>30</v>
      </c>
      <c r="H13149" s="4"/>
      <c r="I13149" s="4"/>
    </row>
    <row r="13150">
      <c r="A13150" s="4" t="str">
        <f>IFERROR(__xludf.DUMMYFUNCTION("""COMPUTED_VALUE"""),"cas_hmw")</f>
        <v>cas_hmw</v>
      </c>
      <c r="B13150" s="5">
        <f>IFERROR(__xludf.DUMMYFUNCTION("""COMPUTED_VALUE"""),44718.0)</f>
        <v>44718</v>
      </c>
      <c r="C13150" s="6">
        <f>IFERROR(__xludf.DUMMYFUNCTION("""COMPUTED_VALUE"""),0.2820138888891961)</f>
        <v>0.2820138889</v>
      </c>
      <c r="D13150" s="4">
        <f>IFERROR(__xludf.DUMMYFUNCTION("""COMPUTED_VALUE"""),13.04137)</f>
        <v>13.04137</v>
      </c>
      <c r="E13150" s="4">
        <f>IFERROR(__xludf.DUMMYFUNCTION("""COMPUTED_VALUE"""),80.247242)</f>
        <v>80.247242</v>
      </c>
      <c r="F13150" s="4">
        <f>IFERROR(__xludf.DUMMYFUNCTION("""COMPUTED_VALUE"""),2846.0)</f>
        <v>2846</v>
      </c>
      <c r="G13150" s="4">
        <f>IFERROR(__xludf.DUMMYFUNCTION("""COMPUTED_VALUE"""),46.0)</f>
        <v>46</v>
      </c>
      <c r="H13150" s="4"/>
      <c r="I13150" s="4"/>
    </row>
    <row r="13151">
      <c r="A13151" s="4" t="str">
        <f>IFERROR(__xludf.DUMMYFUNCTION("""COMPUTED_VALUE"""),"cas_hmw")</f>
        <v>cas_hmw</v>
      </c>
      <c r="B13151" s="5">
        <f>IFERROR(__xludf.DUMMYFUNCTION("""COMPUTED_VALUE"""),44718.0)</f>
        <v>44718</v>
      </c>
      <c r="C13151" s="6">
        <f>IFERROR(__xludf.DUMMYFUNCTION("""COMPUTED_VALUE"""),0.28207175925854244)</f>
        <v>0.2820717593</v>
      </c>
      <c r="D13151" s="4">
        <f>IFERROR(__xludf.DUMMYFUNCTION("""COMPUTED_VALUE"""),13.042543)</f>
        <v>13.042543</v>
      </c>
      <c r="E13151" s="4">
        <f>IFERROR(__xludf.DUMMYFUNCTION("""COMPUTED_VALUE"""),80.247472)</f>
        <v>80.247472</v>
      </c>
      <c r="F13151" s="4">
        <f>IFERROR(__xludf.DUMMYFUNCTION("""COMPUTED_VALUE"""),2846.0)</f>
        <v>2846</v>
      </c>
      <c r="G13151" s="4">
        <f>IFERROR(__xludf.DUMMYFUNCTION("""COMPUTED_VALUE"""),48.0)</f>
        <v>48</v>
      </c>
      <c r="H13151" s="4"/>
      <c r="I13151" s="4"/>
    </row>
    <row r="13152">
      <c r="A13152" s="4" t="str">
        <f>IFERROR(__xludf.DUMMYFUNCTION("""COMPUTED_VALUE"""),"cas_hmw")</f>
        <v>cas_hmw</v>
      </c>
      <c r="B13152" s="5">
        <f>IFERROR(__xludf.DUMMYFUNCTION("""COMPUTED_VALUE"""),44718.0)</f>
        <v>44718</v>
      </c>
      <c r="C13152" s="6">
        <f>IFERROR(__xludf.DUMMYFUNCTION("""COMPUTED_VALUE"""),0.28285879629765986)</f>
        <v>0.2828587963</v>
      </c>
      <c r="D13152" s="4">
        <f>IFERROR(__xludf.DUMMYFUNCTION("""COMPUTED_VALUE"""),12.909323)</f>
        <v>12.909323</v>
      </c>
      <c r="E13152" s="4">
        <f>IFERROR(__xludf.DUMMYFUNCTION("""COMPUTED_VALUE"""),80.098751)</f>
        <v>80.098751</v>
      </c>
      <c r="F13152" s="4">
        <f>IFERROR(__xludf.DUMMYFUNCTION("""COMPUTED_VALUE"""),3143.0)</f>
        <v>3143</v>
      </c>
      <c r="G13152" s="4">
        <f>IFERROR(__xludf.DUMMYFUNCTION("""COMPUTED_VALUE"""),31.0)</f>
        <v>31</v>
      </c>
      <c r="H13152" s="4"/>
      <c r="I13152" s="4"/>
    </row>
    <row r="13153">
      <c r="A13153" s="4" t="str">
        <f>IFERROR(__xludf.DUMMYFUNCTION("""COMPUTED_VALUE"""),"cas_hmw")</f>
        <v>cas_hmw</v>
      </c>
      <c r="B13153" s="5">
        <f>IFERROR(__xludf.DUMMYFUNCTION("""COMPUTED_VALUE"""),44718.0)</f>
        <v>44718</v>
      </c>
      <c r="C13153" s="6">
        <f>IFERROR(__xludf.DUMMYFUNCTION("""COMPUTED_VALUE"""),0.2838541666678793)</f>
        <v>0.2838541667</v>
      </c>
      <c r="D13153" s="4">
        <f>IFERROR(__xludf.DUMMYFUNCTION("""COMPUTED_VALUE"""),13.05705)</f>
        <v>13.05705</v>
      </c>
      <c r="E13153" s="4">
        <f>IFERROR(__xludf.DUMMYFUNCTION("""COMPUTED_VALUE"""),80.255062)</f>
        <v>80.255062</v>
      </c>
      <c r="F13153" s="4">
        <f>IFERROR(__xludf.DUMMYFUNCTION("""COMPUTED_VALUE"""),2846.0)</f>
        <v>2846</v>
      </c>
      <c r="G13153" s="4">
        <f>IFERROR(__xludf.DUMMYFUNCTION("""COMPUTED_VALUE"""),13.0)</f>
        <v>13</v>
      </c>
      <c r="H13153" s="4"/>
      <c r="I13153" s="4"/>
    </row>
    <row r="13154">
      <c r="A13154" s="4" t="str">
        <f>IFERROR(__xludf.DUMMYFUNCTION("""COMPUTED_VALUE"""),"cas_hmw")</f>
        <v>cas_hmw</v>
      </c>
      <c r="B13154" s="5">
        <f>IFERROR(__xludf.DUMMYFUNCTION("""COMPUTED_VALUE"""),44718.0)</f>
        <v>44718</v>
      </c>
      <c r="C13154" s="6">
        <f>IFERROR(__xludf.DUMMYFUNCTION("""COMPUTED_VALUE"""),0.28457175926087075)</f>
        <v>0.2845717593</v>
      </c>
      <c r="D13154" s="4">
        <f>IFERROR(__xludf.DUMMYFUNCTION("""COMPUTED_VALUE"""),13.059986)</f>
        <v>13.059986</v>
      </c>
      <c r="E13154" s="4">
        <f>IFERROR(__xludf.DUMMYFUNCTION("""COMPUTED_VALUE"""),80.254238)</f>
        <v>80.254238</v>
      </c>
      <c r="F13154" s="4">
        <f>IFERROR(__xludf.DUMMYFUNCTION("""COMPUTED_VALUE"""),2846.0)</f>
        <v>2846</v>
      </c>
      <c r="G13154" s="4">
        <f>IFERROR(__xludf.DUMMYFUNCTION("""COMPUTED_VALUE"""),33.0)</f>
        <v>33</v>
      </c>
      <c r="H13154" s="4"/>
      <c r="I13154" s="4"/>
    </row>
    <row r="13155">
      <c r="A13155" s="4" t="str">
        <f>IFERROR(__xludf.DUMMYFUNCTION("""COMPUTED_VALUE"""),"cas_hmw")</f>
        <v>cas_hmw</v>
      </c>
      <c r="B13155" s="5">
        <f>IFERROR(__xludf.DUMMYFUNCTION("""COMPUTED_VALUE"""),44718.0)</f>
        <v>44718</v>
      </c>
      <c r="C13155" s="6">
        <f>IFERROR(__xludf.DUMMYFUNCTION("""COMPUTED_VALUE"""),0.28489583333430346)</f>
        <v>0.2848958333</v>
      </c>
      <c r="D13155" s="4">
        <f>IFERROR(__xludf.DUMMYFUNCTION("""COMPUTED_VALUE"""),13.063175)</f>
        <v>13.063175</v>
      </c>
      <c r="E13155" s="4">
        <f>IFERROR(__xludf.DUMMYFUNCTION("""COMPUTED_VALUE"""),80.254346)</f>
        <v>80.254346</v>
      </c>
      <c r="F13155" s="4">
        <f>IFERROR(__xludf.DUMMYFUNCTION("""COMPUTED_VALUE"""),2846.0)</f>
        <v>2846</v>
      </c>
      <c r="G13155" s="4">
        <f>IFERROR(__xludf.DUMMYFUNCTION("""COMPUTED_VALUE"""),45.0)</f>
        <v>45</v>
      </c>
      <c r="H13155" s="4"/>
      <c r="I13155" s="4"/>
    </row>
    <row r="13156">
      <c r="A13156" s="4" t="str">
        <f>IFERROR(__xludf.DUMMYFUNCTION("""COMPUTED_VALUE"""),"cas_hmw")</f>
        <v>cas_hmw</v>
      </c>
      <c r="B13156" s="5">
        <f>IFERROR(__xludf.DUMMYFUNCTION("""COMPUTED_VALUE"""),44718.0)</f>
        <v>44718</v>
      </c>
      <c r="C13156" s="6">
        <f>IFERROR(__xludf.DUMMYFUNCTION("""COMPUTED_VALUE"""),0.2857175925928459)</f>
        <v>0.2857175926</v>
      </c>
      <c r="D13156" s="4">
        <f>IFERROR(__xludf.DUMMYFUNCTION("""COMPUTED_VALUE"""),12.924104)</f>
        <v>12.924104</v>
      </c>
      <c r="E13156" s="4">
        <f>IFERROR(__xludf.DUMMYFUNCTION("""COMPUTED_VALUE"""),80.115824)</f>
        <v>80.115824</v>
      </c>
      <c r="F13156" s="4">
        <f>IFERROR(__xludf.DUMMYFUNCTION("""COMPUTED_VALUE"""),3143.0)</f>
        <v>3143</v>
      </c>
      <c r="G13156" s="4">
        <f>IFERROR(__xludf.DUMMYFUNCTION("""COMPUTED_VALUE"""),24.0)</f>
        <v>24</v>
      </c>
      <c r="H13156" s="4"/>
      <c r="I13156" s="4"/>
    </row>
    <row r="13157">
      <c r="A13157" s="4" t="str">
        <f>IFERROR(__xludf.DUMMYFUNCTION("""COMPUTED_VALUE"""),"cas_hmw")</f>
        <v>cas_hmw</v>
      </c>
      <c r="B13157" s="5">
        <f>IFERROR(__xludf.DUMMYFUNCTION("""COMPUTED_VALUE"""),44718.0)</f>
        <v>44718</v>
      </c>
      <c r="C13157" s="6">
        <f>IFERROR(__xludf.DUMMYFUNCTION("""COMPUTED_VALUE"""),0.28788194444496185)</f>
        <v>0.2878819444</v>
      </c>
      <c r="D13157" s="4">
        <f>IFERROR(__xludf.DUMMYFUNCTION("""COMPUTED_VALUE"""),12.922636)</f>
        <v>12.922636</v>
      </c>
      <c r="E13157" s="4">
        <f>IFERROR(__xludf.DUMMYFUNCTION("""COMPUTED_VALUE"""),80.134914)</f>
        <v>80.134914</v>
      </c>
      <c r="F13157" s="4">
        <f>IFERROR(__xludf.DUMMYFUNCTION("""COMPUTED_VALUE"""),3143.0)</f>
        <v>3143</v>
      </c>
      <c r="G13157" s="4">
        <f>IFERROR(__xludf.DUMMYFUNCTION("""COMPUTED_VALUE"""),47.0)</f>
        <v>47</v>
      </c>
      <c r="H13157" s="4"/>
      <c r="I13157" s="4"/>
    </row>
    <row r="13158">
      <c r="A13158" s="4" t="str">
        <f>IFERROR(__xludf.DUMMYFUNCTION("""COMPUTED_VALUE"""),"cas_hmw")</f>
        <v>cas_hmw</v>
      </c>
      <c r="B13158" s="5">
        <f>IFERROR(__xludf.DUMMYFUNCTION("""COMPUTED_VALUE"""),44718.0)</f>
        <v>44718</v>
      </c>
      <c r="C13158" s="6">
        <f>IFERROR(__xludf.DUMMYFUNCTION("""COMPUTED_VALUE"""),0.28806712962978054)</f>
        <v>0.2880671296</v>
      </c>
      <c r="D13158" s="4">
        <f>IFERROR(__xludf.DUMMYFUNCTION("""COMPUTED_VALUE"""),12.922551)</f>
        <v>12.922551</v>
      </c>
      <c r="E13158" s="4">
        <f>IFERROR(__xludf.DUMMYFUNCTION("""COMPUTED_VALUE"""),80.136978)</f>
        <v>80.136978</v>
      </c>
      <c r="F13158" s="4">
        <f>IFERROR(__xludf.DUMMYFUNCTION("""COMPUTED_VALUE"""),3143.0)</f>
        <v>3143</v>
      </c>
      <c r="G13158" s="4">
        <f>IFERROR(__xludf.DUMMYFUNCTION("""COMPUTED_VALUE"""),34.0)</f>
        <v>34</v>
      </c>
      <c r="H13158" s="4"/>
      <c r="I13158" s="4"/>
    </row>
    <row r="13159">
      <c r="A13159" s="4" t="str">
        <f>IFERROR(__xludf.DUMMYFUNCTION("""COMPUTED_VALUE"""),"cas_hmw")</f>
        <v>cas_hmw</v>
      </c>
      <c r="B13159" s="5">
        <f>IFERROR(__xludf.DUMMYFUNCTION("""COMPUTED_VALUE"""),44718.0)</f>
        <v>44718</v>
      </c>
      <c r="C13159" s="6">
        <f>IFERROR(__xludf.DUMMYFUNCTION("""COMPUTED_VALUE"""),0.28932870370408637)</f>
        <v>0.2893287037</v>
      </c>
      <c r="D13159" s="4">
        <f>IFERROR(__xludf.DUMMYFUNCTION("""COMPUTED_VALUE"""),12.922544)</f>
        <v>12.922544</v>
      </c>
      <c r="E13159" s="4">
        <f>IFERROR(__xludf.DUMMYFUNCTION("""COMPUTED_VALUE"""),80.14354)</f>
        <v>80.14354</v>
      </c>
      <c r="F13159" s="4">
        <f>IFERROR(__xludf.DUMMYFUNCTION("""COMPUTED_VALUE"""),3143.0)</f>
        <v>3143</v>
      </c>
      <c r="G13159" s="4">
        <f>IFERROR(__xludf.DUMMYFUNCTION("""COMPUTED_VALUE"""),35.0)</f>
        <v>35</v>
      </c>
      <c r="H13159" s="4"/>
      <c r="I13159" s="4"/>
    </row>
    <row r="13160">
      <c r="A13160" s="4" t="str">
        <f>IFERROR(__xludf.DUMMYFUNCTION("""COMPUTED_VALUE"""),"cas_hmw")</f>
        <v>cas_hmw</v>
      </c>
      <c r="B13160" s="5">
        <f>IFERROR(__xludf.DUMMYFUNCTION("""COMPUTED_VALUE"""),44718.0)</f>
        <v>44718</v>
      </c>
      <c r="C13160" s="6">
        <f>IFERROR(__xludf.DUMMYFUNCTION("""COMPUTED_VALUE"""),0.29256944444568944)</f>
        <v>0.2925694444</v>
      </c>
      <c r="D13160" s="4">
        <f>IFERROR(__xludf.DUMMYFUNCTION("""COMPUTED_VALUE"""),12.921204)</f>
        <v>12.921204</v>
      </c>
      <c r="E13160" s="4">
        <f>IFERROR(__xludf.DUMMYFUNCTION("""COMPUTED_VALUE"""),80.1669)</f>
        <v>80.1669</v>
      </c>
      <c r="F13160" s="4">
        <f>IFERROR(__xludf.DUMMYFUNCTION("""COMPUTED_VALUE"""),3143.0)</f>
        <v>3143</v>
      </c>
      <c r="G13160" s="4">
        <f>IFERROR(__xludf.DUMMYFUNCTION("""COMPUTED_VALUE"""),55.0)</f>
        <v>55</v>
      </c>
      <c r="H13160" s="4"/>
      <c r="I13160" s="4"/>
    </row>
    <row r="13161">
      <c r="A13161" s="4" t="str">
        <f>IFERROR(__xludf.DUMMYFUNCTION("""COMPUTED_VALUE"""),"cas_hmw")</f>
        <v>cas_hmw</v>
      </c>
      <c r="B13161" s="5">
        <f>IFERROR(__xludf.DUMMYFUNCTION("""COMPUTED_VALUE"""),44718.0)</f>
        <v>44718</v>
      </c>
      <c r="C13161" s="6">
        <f>IFERROR(__xludf.DUMMYFUNCTION("""COMPUTED_VALUE"""),0.2930555555540195)</f>
        <v>0.2930555556</v>
      </c>
      <c r="D13161" s="4">
        <f>IFERROR(__xludf.DUMMYFUNCTION("""COMPUTED_VALUE"""),12.919364)</f>
        <v>12.919364</v>
      </c>
      <c r="E13161" s="4">
        <f>IFERROR(__xludf.DUMMYFUNCTION("""COMPUTED_VALUE"""),80.172949)</f>
        <v>80.172949</v>
      </c>
      <c r="F13161" s="4">
        <f>IFERROR(__xludf.DUMMYFUNCTION("""COMPUTED_VALUE"""),3143.0)</f>
        <v>3143</v>
      </c>
      <c r="G13161" s="4">
        <f>IFERROR(__xludf.DUMMYFUNCTION("""COMPUTED_VALUE"""),49.0)</f>
        <v>49</v>
      </c>
      <c r="H13161" s="4"/>
      <c r="I13161" s="4"/>
    </row>
    <row r="13162">
      <c r="A13162" s="4" t="str">
        <f>IFERROR(__xludf.DUMMYFUNCTION("""COMPUTED_VALUE"""),"cas_hmw")</f>
        <v>cas_hmw</v>
      </c>
      <c r="B13162" s="5">
        <f>IFERROR(__xludf.DUMMYFUNCTION("""COMPUTED_VALUE"""),44718.0)</f>
        <v>44718</v>
      </c>
      <c r="C13162" s="6">
        <f>IFERROR(__xludf.DUMMYFUNCTION("""COMPUTED_VALUE"""),0.2960763888877409)</f>
        <v>0.2960763889</v>
      </c>
      <c r="D13162" s="4">
        <f>IFERROR(__xludf.DUMMYFUNCTION("""COMPUTED_VALUE"""),13.06147)</f>
        <v>13.06147</v>
      </c>
      <c r="E13162" s="4">
        <f>IFERROR(__xludf.DUMMYFUNCTION("""COMPUTED_VALUE"""),80.247221)</f>
        <v>80.247221</v>
      </c>
      <c r="F13162" s="4">
        <f>IFERROR(__xludf.DUMMYFUNCTION("""COMPUTED_VALUE"""),2846.0)</f>
        <v>2846</v>
      </c>
      <c r="G13162" s="4">
        <f>IFERROR(__xludf.DUMMYFUNCTION("""COMPUTED_VALUE"""),31.0)</f>
        <v>31</v>
      </c>
      <c r="H13162" s="4"/>
      <c r="I13162" s="4"/>
    </row>
    <row r="13163">
      <c r="A13163" s="4" t="str">
        <f>IFERROR(__xludf.DUMMYFUNCTION("""COMPUTED_VALUE"""),"cas_hmw")</f>
        <v>cas_hmw</v>
      </c>
      <c r="B13163" s="5">
        <f>IFERROR(__xludf.DUMMYFUNCTION("""COMPUTED_VALUE"""),44718.0)</f>
        <v>44718</v>
      </c>
      <c r="C13163" s="6">
        <f>IFERROR(__xludf.DUMMYFUNCTION("""COMPUTED_VALUE"""),0.2961226851839456)</f>
        <v>0.2961226852</v>
      </c>
      <c r="D13163" s="4">
        <f>IFERROR(__xludf.DUMMYFUNCTION("""COMPUTED_VALUE"""),12.510457)</f>
        <v>12.510457</v>
      </c>
      <c r="E13163" s="4">
        <f>IFERROR(__xludf.DUMMYFUNCTION("""COMPUTED_VALUE"""),79.884977)</f>
        <v>79.884977</v>
      </c>
      <c r="F13163" s="4">
        <f>IFERROR(__xludf.DUMMYFUNCTION("""COMPUTED_VALUE"""),805.0)</f>
        <v>805</v>
      </c>
      <c r="G13163" s="4">
        <f>IFERROR(__xludf.DUMMYFUNCTION("""COMPUTED_VALUE"""),28.0)</f>
        <v>28</v>
      </c>
      <c r="H13163" s="4"/>
      <c r="I13163" s="4"/>
    </row>
    <row r="13164">
      <c r="A13164" s="4" t="str">
        <f>IFERROR(__xludf.DUMMYFUNCTION("""COMPUTED_VALUE"""),"cas_hmw")</f>
        <v>cas_hmw</v>
      </c>
      <c r="B13164" s="5">
        <f>IFERROR(__xludf.DUMMYFUNCTION("""COMPUTED_VALUE"""),44718.0)</f>
        <v>44718</v>
      </c>
      <c r="C13164" s="6">
        <f>IFERROR(__xludf.DUMMYFUNCTION("""COMPUTED_VALUE"""),0.29737268518510973)</f>
        <v>0.2973726852</v>
      </c>
      <c r="D13164" s="4">
        <f>IFERROR(__xludf.DUMMYFUNCTION("""COMPUTED_VALUE"""),12.519982)</f>
        <v>12.519982</v>
      </c>
      <c r="E13164" s="4">
        <f>IFERROR(__xludf.DUMMYFUNCTION("""COMPUTED_VALUE"""),79.893398)</f>
        <v>79.893398</v>
      </c>
      <c r="F13164" s="4">
        <f>IFERROR(__xludf.DUMMYFUNCTION("""COMPUTED_VALUE"""),805.0)</f>
        <v>805</v>
      </c>
      <c r="G13164" s="4">
        <f>IFERROR(__xludf.DUMMYFUNCTION("""COMPUTED_VALUE"""),57.0)</f>
        <v>57</v>
      </c>
      <c r="H13164" s="4"/>
      <c r="I13164" s="4"/>
    </row>
    <row r="13165">
      <c r="A13165" s="4" t="str">
        <f>IFERROR(__xludf.DUMMYFUNCTION("""COMPUTED_VALUE"""),"cas_hmw")</f>
        <v>cas_hmw</v>
      </c>
      <c r="B13165" s="5">
        <f>IFERROR(__xludf.DUMMYFUNCTION("""COMPUTED_VALUE"""),44718.0)</f>
        <v>44718</v>
      </c>
      <c r="C13165" s="6">
        <f>IFERROR(__xludf.DUMMYFUNCTION("""COMPUTED_VALUE"""),0.2976388888891961)</f>
        <v>0.2976388889</v>
      </c>
      <c r="D13165" s="4">
        <f>IFERROR(__xludf.DUMMYFUNCTION("""COMPUTED_VALUE"""),13.06765)</f>
        <v>13.06765</v>
      </c>
      <c r="E13165" s="4">
        <f>IFERROR(__xludf.DUMMYFUNCTION("""COMPUTED_VALUE"""),80.24985)</f>
        <v>80.24985</v>
      </c>
      <c r="F13165" s="4">
        <f>IFERROR(__xludf.DUMMYFUNCTION("""COMPUTED_VALUE"""),2846.0)</f>
        <v>2846</v>
      </c>
      <c r="G13165" s="4">
        <f>IFERROR(__xludf.DUMMYFUNCTION("""COMPUTED_VALUE"""),36.0)</f>
        <v>36</v>
      </c>
      <c r="H13165" s="4"/>
      <c r="I13165" s="4"/>
    </row>
    <row r="13166">
      <c r="A13166" s="4" t="str">
        <f>IFERROR(__xludf.DUMMYFUNCTION("""COMPUTED_VALUE"""),"cas_hmw")</f>
        <v>cas_hmw</v>
      </c>
      <c r="B13166" s="5">
        <f>IFERROR(__xludf.DUMMYFUNCTION("""COMPUTED_VALUE"""),44718.0)</f>
        <v>44718</v>
      </c>
      <c r="C13166" s="6">
        <f>IFERROR(__xludf.DUMMYFUNCTION("""COMPUTED_VALUE"""),0.3002893518532801)</f>
        <v>0.3002893519</v>
      </c>
      <c r="D13166" s="4">
        <f>IFERROR(__xludf.DUMMYFUNCTION("""COMPUTED_VALUE"""),12.955886)</f>
        <v>12.955886</v>
      </c>
      <c r="E13166" s="4">
        <f>IFERROR(__xludf.DUMMYFUNCTION("""COMPUTED_VALUE"""),80.212799)</f>
        <v>80.212799</v>
      </c>
      <c r="F13166" s="4">
        <f>IFERROR(__xludf.DUMMYFUNCTION("""COMPUTED_VALUE"""),3143.0)</f>
        <v>3143</v>
      </c>
      <c r="G13166" s="4">
        <f>IFERROR(__xludf.DUMMYFUNCTION("""COMPUTED_VALUE"""),33.0)</f>
        <v>33</v>
      </c>
      <c r="H13166" s="4"/>
      <c r="I13166" s="4"/>
    </row>
    <row r="13167">
      <c r="A13167" s="4" t="str">
        <f>IFERROR(__xludf.DUMMYFUNCTION("""COMPUTED_VALUE"""),"cas_hmw")</f>
        <v>cas_hmw</v>
      </c>
      <c r="B13167" s="5">
        <f>IFERROR(__xludf.DUMMYFUNCTION("""COMPUTED_VALUE"""),44718.0)</f>
        <v>44718</v>
      </c>
      <c r="C13167" s="6">
        <f>IFERROR(__xludf.DUMMYFUNCTION("""COMPUTED_VALUE"""),0.30478009259240935)</f>
        <v>0.3047800926</v>
      </c>
      <c r="D13167" s="4">
        <f>IFERROR(__xludf.DUMMYFUNCTION("""COMPUTED_VALUE"""),12.597632)</f>
        <v>12.597632</v>
      </c>
      <c r="E13167" s="4">
        <f>IFERROR(__xludf.DUMMYFUNCTION("""COMPUTED_VALUE"""),79.919573)</f>
        <v>79.919573</v>
      </c>
      <c r="F13167" s="4">
        <f>IFERROR(__xludf.DUMMYFUNCTION("""COMPUTED_VALUE"""),805.0)</f>
        <v>805</v>
      </c>
      <c r="G13167" s="4">
        <f>IFERROR(__xludf.DUMMYFUNCTION("""COMPUTED_VALUE"""),58.0)</f>
        <v>58</v>
      </c>
      <c r="H13167" s="4"/>
      <c r="I13167" s="4"/>
    </row>
    <row r="13168">
      <c r="A13168" s="4" t="str">
        <f>IFERROR(__xludf.DUMMYFUNCTION("""COMPUTED_VALUE"""),"cas_hmw")</f>
        <v>cas_hmw</v>
      </c>
      <c r="B13168" s="5">
        <f>IFERROR(__xludf.DUMMYFUNCTION("""COMPUTED_VALUE"""),44718.0)</f>
        <v>44718</v>
      </c>
      <c r="C13168" s="6">
        <f>IFERROR(__xludf.DUMMYFUNCTION("""COMPUTED_VALUE"""),0.3056250000008731)</f>
        <v>0.305625</v>
      </c>
      <c r="D13168" s="4">
        <f>IFERROR(__xludf.DUMMYFUNCTION("""COMPUTED_VALUE"""),12.603373)</f>
        <v>12.603373</v>
      </c>
      <c r="E13168" s="4">
        <f>IFERROR(__xludf.DUMMYFUNCTION("""COMPUTED_VALUE"""),79.920208)</f>
        <v>79.920208</v>
      </c>
      <c r="F13168" s="4">
        <f>IFERROR(__xludf.DUMMYFUNCTION("""COMPUTED_VALUE"""),805.0)</f>
        <v>805</v>
      </c>
      <c r="G13168" s="4">
        <f>IFERROR(__xludf.DUMMYFUNCTION("""COMPUTED_VALUE"""),49.0)</f>
        <v>49</v>
      </c>
      <c r="H13168" s="4"/>
      <c r="I13168" s="4"/>
    </row>
    <row r="13169">
      <c r="A13169" s="4" t="str">
        <f>IFERROR(__xludf.DUMMYFUNCTION("""COMPUTED_VALUE"""),"cas_hmw")</f>
        <v>cas_hmw</v>
      </c>
      <c r="B13169" s="5">
        <f>IFERROR(__xludf.DUMMYFUNCTION("""COMPUTED_VALUE"""),44718.0)</f>
        <v>44718</v>
      </c>
      <c r="C13169" s="6">
        <f>IFERROR(__xludf.DUMMYFUNCTION("""COMPUTED_VALUE"""),0.3058564814818965)</f>
        <v>0.3058564815</v>
      </c>
      <c r="D13169" s="4">
        <f>IFERROR(__xludf.DUMMYFUNCTION("""COMPUTED_VALUE"""),12.606698)</f>
        <v>12.606698</v>
      </c>
      <c r="E13169" s="4">
        <f>IFERROR(__xludf.DUMMYFUNCTION("""COMPUTED_VALUE"""),79.920954)</f>
        <v>79.920954</v>
      </c>
      <c r="F13169" s="4">
        <f>IFERROR(__xludf.DUMMYFUNCTION("""COMPUTED_VALUE"""),805.0)</f>
        <v>805</v>
      </c>
      <c r="G13169" s="4">
        <f>IFERROR(__xludf.DUMMYFUNCTION("""COMPUTED_VALUE"""),56.0)</f>
        <v>56</v>
      </c>
      <c r="H13169" s="4"/>
      <c r="I13169" s="4"/>
    </row>
    <row r="13170">
      <c r="A13170" s="4" t="str">
        <f>IFERROR(__xludf.DUMMYFUNCTION("""COMPUTED_VALUE"""),"cas_hmw")</f>
        <v>cas_hmw</v>
      </c>
      <c r="B13170" s="5">
        <f>IFERROR(__xludf.DUMMYFUNCTION("""COMPUTED_VALUE"""),44718.0)</f>
        <v>44718</v>
      </c>
      <c r="C13170" s="6">
        <f>IFERROR(__xludf.DUMMYFUNCTION("""COMPUTED_VALUE"""),0.30753472222204437)</f>
        <v>0.3075347222</v>
      </c>
      <c r="D13170" s="4">
        <f>IFERROR(__xludf.DUMMYFUNCTION("""COMPUTED_VALUE"""),12.631503)</f>
        <v>12.631503</v>
      </c>
      <c r="E13170" s="4">
        <f>IFERROR(__xludf.DUMMYFUNCTION("""COMPUTED_VALUE"""),79.931685)</f>
        <v>79.931685</v>
      </c>
      <c r="F13170" s="4">
        <f>IFERROR(__xludf.DUMMYFUNCTION("""COMPUTED_VALUE"""),805.0)</f>
        <v>805</v>
      </c>
      <c r="G13170" s="4">
        <f>IFERROR(__xludf.DUMMYFUNCTION("""COMPUTED_VALUE"""),51.0)</f>
        <v>51</v>
      </c>
      <c r="H13170" s="4"/>
      <c r="I13170" s="4"/>
    </row>
    <row r="13171">
      <c r="A13171" s="4" t="str">
        <f>IFERROR(__xludf.DUMMYFUNCTION("""COMPUTED_VALUE"""),"cas_hmw")</f>
        <v>cas_hmw</v>
      </c>
      <c r="B13171" s="5">
        <f>IFERROR(__xludf.DUMMYFUNCTION("""COMPUTED_VALUE"""),44718.0)</f>
        <v>44718</v>
      </c>
      <c r="C13171" s="6">
        <f>IFERROR(__xludf.DUMMYFUNCTION("""COMPUTED_VALUE"""),0.30809027777650044)</f>
        <v>0.3080902778</v>
      </c>
      <c r="D13171" s="4">
        <f>IFERROR(__xludf.DUMMYFUNCTION("""COMPUTED_VALUE"""),12.972489)</f>
        <v>12.972489</v>
      </c>
      <c r="E13171" s="4">
        <f>IFERROR(__xludf.DUMMYFUNCTION("""COMPUTED_VALUE"""),80.21946)</f>
        <v>80.21946</v>
      </c>
      <c r="F13171" s="4">
        <f>IFERROR(__xludf.DUMMYFUNCTION("""COMPUTED_VALUE"""),3143.0)</f>
        <v>3143</v>
      </c>
      <c r="G13171" s="4">
        <f>IFERROR(__xludf.DUMMYFUNCTION("""COMPUTED_VALUE"""),38.0)</f>
        <v>38</v>
      </c>
      <c r="H13171" s="4"/>
      <c r="I13171" s="4"/>
    </row>
    <row r="13172">
      <c r="A13172" s="4" t="str">
        <f>IFERROR(__xludf.DUMMYFUNCTION("""COMPUTED_VALUE"""),"cas_hmw")</f>
        <v>cas_hmw</v>
      </c>
      <c r="B13172" s="5">
        <f>IFERROR(__xludf.DUMMYFUNCTION("""COMPUTED_VALUE"""),44718.0)</f>
        <v>44718</v>
      </c>
      <c r="C13172" s="6">
        <f>IFERROR(__xludf.DUMMYFUNCTION("""COMPUTED_VALUE"""),0.3092361111121136)</f>
        <v>0.3092361111</v>
      </c>
      <c r="D13172" s="4">
        <f>IFERROR(__xludf.DUMMYFUNCTION("""COMPUTED_VALUE"""),12.650973)</f>
        <v>12.650973</v>
      </c>
      <c r="E13172" s="4">
        <f>IFERROR(__xludf.DUMMYFUNCTION("""COMPUTED_VALUE"""),79.940353)</f>
        <v>79.940353</v>
      </c>
      <c r="F13172" s="4">
        <f>IFERROR(__xludf.DUMMYFUNCTION("""COMPUTED_VALUE"""),805.0)</f>
        <v>805</v>
      </c>
      <c r="G13172" s="4">
        <f>IFERROR(__xludf.DUMMYFUNCTION("""COMPUTED_VALUE"""),58.0)</f>
        <v>58</v>
      </c>
      <c r="H13172" s="4"/>
      <c r="I13172" s="4"/>
    </row>
    <row r="13173">
      <c r="A13173" s="4" t="str">
        <f>IFERROR(__xludf.DUMMYFUNCTION("""COMPUTED_VALUE"""),"cas_hmw")</f>
        <v>cas_hmw</v>
      </c>
      <c r="B13173" s="5">
        <f>IFERROR(__xludf.DUMMYFUNCTION("""COMPUTED_VALUE"""),44718.0)</f>
        <v>44718</v>
      </c>
      <c r="C13173" s="6">
        <f>IFERROR(__xludf.DUMMYFUNCTION("""COMPUTED_VALUE"""),0.31361111111255013)</f>
        <v>0.3136111111</v>
      </c>
      <c r="D13173" s="4">
        <f>IFERROR(__xludf.DUMMYFUNCTION("""COMPUTED_VALUE"""),12.980324)</f>
        <v>12.980324</v>
      </c>
      <c r="E13173" s="4">
        <f>IFERROR(__xludf.DUMMYFUNCTION("""COMPUTED_VALUE"""),80.228192)</f>
        <v>80.228192</v>
      </c>
      <c r="F13173" s="4">
        <f>IFERROR(__xludf.DUMMYFUNCTION("""COMPUTED_VALUE"""),3143.0)</f>
        <v>3143</v>
      </c>
      <c r="G13173" s="4">
        <f>IFERROR(__xludf.DUMMYFUNCTION("""COMPUTED_VALUE"""),5.0)</f>
        <v>5</v>
      </c>
      <c r="H13173" s="4"/>
      <c r="I13173" s="4"/>
    </row>
    <row r="13174">
      <c r="A13174" s="4" t="str">
        <f>IFERROR(__xludf.DUMMYFUNCTION("""COMPUTED_VALUE"""),"cas_hmw")</f>
        <v>cas_hmw</v>
      </c>
      <c r="B13174" s="5">
        <f>IFERROR(__xludf.DUMMYFUNCTION("""COMPUTED_VALUE"""),44718.0)</f>
        <v>44718</v>
      </c>
      <c r="C13174" s="6">
        <f>IFERROR(__xludf.DUMMYFUNCTION("""COMPUTED_VALUE"""),0.3167939814811689)</f>
        <v>0.3167939815</v>
      </c>
      <c r="D13174" s="4">
        <f>IFERROR(__xludf.DUMMYFUNCTION("""COMPUTED_VALUE"""),12.679712)</f>
        <v>12.679712</v>
      </c>
      <c r="E13174" s="4">
        <f>IFERROR(__xludf.DUMMYFUNCTION("""COMPUTED_VALUE"""),79.980664)</f>
        <v>79.980664</v>
      </c>
      <c r="F13174" s="4">
        <f>IFERROR(__xludf.DUMMYFUNCTION("""COMPUTED_VALUE"""),805.0)</f>
        <v>805</v>
      </c>
      <c r="G13174" s="4">
        <f>IFERROR(__xludf.DUMMYFUNCTION("""COMPUTED_VALUE"""),18.0)</f>
        <v>18</v>
      </c>
      <c r="H13174" s="4"/>
      <c r="I13174" s="4"/>
    </row>
    <row r="13175">
      <c r="A13175" s="4" t="str">
        <f>IFERROR(__xludf.DUMMYFUNCTION("""COMPUTED_VALUE"""),"cas_hmw")</f>
        <v>cas_hmw</v>
      </c>
      <c r="B13175" s="5">
        <f>IFERROR(__xludf.DUMMYFUNCTION("""COMPUTED_VALUE"""),44718.0)</f>
        <v>44718</v>
      </c>
      <c r="C13175" s="6">
        <f>IFERROR(__xludf.DUMMYFUNCTION("""COMPUTED_VALUE"""),0.31724537037007394)</f>
        <v>0.3172453704</v>
      </c>
      <c r="D13175" s="4">
        <f>IFERROR(__xludf.DUMMYFUNCTION("""COMPUTED_VALUE"""),13.035845)</f>
        <v>13.035845</v>
      </c>
      <c r="E13175" s="4">
        <f>IFERROR(__xludf.DUMMYFUNCTION("""COMPUTED_VALUE"""),80.246231)</f>
        <v>80.246231</v>
      </c>
      <c r="F13175" s="4">
        <f>IFERROR(__xludf.DUMMYFUNCTION("""COMPUTED_VALUE"""),2846.0)</f>
        <v>2846</v>
      </c>
      <c r="G13175" s="4">
        <f>IFERROR(__xludf.DUMMYFUNCTION("""COMPUTED_VALUE"""),0.0)</f>
        <v>0</v>
      </c>
      <c r="H13175" s="4"/>
      <c r="I13175" s="4"/>
    </row>
    <row r="13176">
      <c r="A13176" s="4" t="str">
        <f>IFERROR(__xludf.DUMMYFUNCTION("""COMPUTED_VALUE"""),"cas_hmw")</f>
        <v>cas_hmw</v>
      </c>
      <c r="B13176" s="5">
        <f>IFERROR(__xludf.DUMMYFUNCTION("""COMPUTED_VALUE"""),44718.0)</f>
        <v>44718</v>
      </c>
      <c r="C13176" s="6">
        <f>IFERROR(__xludf.DUMMYFUNCTION("""COMPUTED_VALUE"""),0.31792824074000237)</f>
        <v>0.3179282407</v>
      </c>
      <c r="D13176" s="4">
        <f>IFERROR(__xludf.DUMMYFUNCTION("""COMPUTED_VALUE"""),12.682501)</f>
        <v>12.682501</v>
      </c>
      <c r="E13176" s="4">
        <f>IFERROR(__xludf.DUMMYFUNCTION("""COMPUTED_VALUE"""),79.982361)</f>
        <v>79.982361</v>
      </c>
      <c r="F13176" s="4">
        <f>IFERROR(__xludf.DUMMYFUNCTION("""COMPUTED_VALUE"""),805.0)</f>
        <v>805</v>
      </c>
      <c r="G13176" s="4">
        <f>IFERROR(__xludf.DUMMYFUNCTION("""COMPUTED_VALUE"""),17.0)</f>
        <v>17</v>
      </c>
      <c r="H13176" s="4"/>
      <c r="I13176" s="4"/>
    </row>
    <row r="13177">
      <c r="A13177" s="4" t="str">
        <f>IFERROR(__xludf.DUMMYFUNCTION("""COMPUTED_VALUE"""),"cas_hmw")</f>
        <v>cas_hmw</v>
      </c>
      <c r="B13177" s="5">
        <f>IFERROR(__xludf.DUMMYFUNCTION("""COMPUTED_VALUE"""),44718.0)</f>
        <v>44718</v>
      </c>
      <c r="C13177" s="6">
        <f>IFERROR(__xludf.DUMMYFUNCTION("""COMPUTED_VALUE"""),0.31792824074000237)</f>
        <v>0.3179282407</v>
      </c>
      <c r="D13177" s="4">
        <f>IFERROR(__xludf.DUMMYFUNCTION("""COMPUTED_VALUE"""),12.682501)</f>
        <v>12.682501</v>
      </c>
      <c r="E13177" s="4">
        <f>IFERROR(__xludf.DUMMYFUNCTION("""COMPUTED_VALUE"""),79.982361)</f>
        <v>79.982361</v>
      </c>
      <c r="F13177" s="4">
        <f>IFERROR(__xludf.DUMMYFUNCTION("""COMPUTED_VALUE"""),805.0)</f>
        <v>805</v>
      </c>
      <c r="G13177" s="4">
        <f>IFERROR(__xludf.DUMMYFUNCTION("""COMPUTED_VALUE"""),17.0)</f>
        <v>17</v>
      </c>
      <c r="H13177" s="4"/>
      <c r="I13177" s="4"/>
    </row>
    <row r="13178">
      <c r="A13178" s="4" t="str">
        <f>IFERROR(__xludf.DUMMYFUNCTION("""COMPUTED_VALUE"""),"cas_hmw")</f>
        <v>cas_hmw</v>
      </c>
      <c r="B13178" s="5">
        <f>IFERROR(__xludf.DUMMYFUNCTION("""COMPUTED_VALUE"""),44718.0)</f>
        <v>44718</v>
      </c>
      <c r="C13178" s="6">
        <f>IFERROR(__xludf.DUMMYFUNCTION("""COMPUTED_VALUE"""),0.3186805555560568)</f>
        <v>0.3186805556</v>
      </c>
      <c r="D13178" s="4">
        <f>IFERROR(__xludf.DUMMYFUNCTION("""COMPUTED_VALUE"""),12.687179)</f>
        <v>12.687179</v>
      </c>
      <c r="E13178" s="4">
        <f>IFERROR(__xludf.DUMMYFUNCTION("""COMPUTED_VALUE"""),79.983059)</f>
        <v>79.983059</v>
      </c>
      <c r="F13178" s="4">
        <f>IFERROR(__xludf.DUMMYFUNCTION("""COMPUTED_VALUE"""),805.0)</f>
        <v>805</v>
      </c>
      <c r="G13178" s="4">
        <f>IFERROR(__xludf.DUMMYFUNCTION("""COMPUTED_VALUE"""),23.0)</f>
        <v>23</v>
      </c>
      <c r="H13178" s="4"/>
      <c r="I13178" s="4"/>
    </row>
    <row r="13179">
      <c r="A13179" s="4" t="str">
        <f>IFERROR(__xludf.DUMMYFUNCTION("""COMPUTED_VALUE"""),"cas_hmw")</f>
        <v>cas_hmw</v>
      </c>
      <c r="B13179" s="5">
        <f>IFERROR(__xludf.DUMMYFUNCTION("""COMPUTED_VALUE"""),44718.0)</f>
        <v>44718</v>
      </c>
      <c r="C13179" s="6">
        <f>IFERROR(__xludf.DUMMYFUNCTION("""COMPUTED_VALUE"""),0.31872685185226146)</f>
        <v>0.3187268519</v>
      </c>
      <c r="D13179" s="4">
        <f>IFERROR(__xludf.DUMMYFUNCTION("""COMPUTED_VALUE"""),12.687179)</f>
        <v>12.687179</v>
      </c>
      <c r="E13179" s="4">
        <f>IFERROR(__xludf.DUMMYFUNCTION("""COMPUTED_VALUE"""),79.983059)</f>
        <v>79.983059</v>
      </c>
      <c r="F13179" s="4">
        <f>IFERROR(__xludf.DUMMYFUNCTION("""COMPUTED_VALUE"""),805.0)</f>
        <v>805</v>
      </c>
      <c r="G13179" s="4">
        <f>IFERROR(__xludf.DUMMYFUNCTION("""COMPUTED_VALUE"""),23.0)</f>
        <v>23</v>
      </c>
      <c r="H13179" s="4"/>
      <c r="I13179" s="4"/>
    </row>
    <row r="13180">
      <c r="A13180" s="4" t="str">
        <f>IFERROR(__xludf.DUMMYFUNCTION("""COMPUTED_VALUE"""),"cas_hmw")</f>
        <v>cas_hmw</v>
      </c>
      <c r="B13180" s="5">
        <f>IFERROR(__xludf.DUMMYFUNCTION("""COMPUTED_VALUE"""),44718.0)</f>
        <v>44718</v>
      </c>
      <c r="C13180" s="6">
        <f>IFERROR(__xludf.DUMMYFUNCTION("""COMPUTED_VALUE"""),0.31873842592540313)</f>
        <v>0.3187384259</v>
      </c>
      <c r="D13180" s="4">
        <f>IFERROR(__xludf.DUMMYFUNCTION("""COMPUTED_VALUE"""),12.687179)</f>
        <v>12.687179</v>
      </c>
      <c r="E13180" s="4">
        <f>IFERROR(__xludf.DUMMYFUNCTION("""COMPUTED_VALUE"""),79.983059)</f>
        <v>79.983059</v>
      </c>
      <c r="F13180" s="4">
        <f>IFERROR(__xludf.DUMMYFUNCTION("""COMPUTED_VALUE"""),805.0)</f>
        <v>805</v>
      </c>
      <c r="G13180" s="4">
        <f>IFERROR(__xludf.DUMMYFUNCTION("""COMPUTED_VALUE"""),23.0)</f>
        <v>23</v>
      </c>
      <c r="H13180" s="4"/>
      <c r="I13180" s="4"/>
    </row>
    <row r="13181">
      <c r="A13181" s="4" t="str">
        <f>IFERROR(__xludf.DUMMYFUNCTION("""COMPUTED_VALUE"""),"cas_hmw")</f>
        <v>cas_hmw</v>
      </c>
      <c r="B13181" s="5">
        <f>IFERROR(__xludf.DUMMYFUNCTION("""COMPUTED_VALUE"""),44718.0)</f>
        <v>44718</v>
      </c>
      <c r="C13181" s="6">
        <f>IFERROR(__xludf.DUMMYFUNCTION("""COMPUTED_VALUE"""),0.31891203703708015)</f>
        <v>0.318912037</v>
      </c>
      <c r="D13181" s="4">
        <f>IFERROR(__xludf.DUMMYFUNCTION("""COMPUTED_VALUE"""),13.029608)</f>
        <v>13.029608</v>
      </c>
      <c r="E13181" s="4">
        <f>IFERROR(__xludf.DUMMYFUNCTION("""COMPUTED_VALUE"""),80.23734)</f>
        <v>80.23734</v>
      </c>
      <c r="F13181" s="4">
        <f>IFERROR(__xludf.DUMMYFUNCTION("""COMPUTED_VALUE"""),2846.0)</f>
        <v>2846</v>
      </c>
      <c r="G13181" s="4">
        <f>IFERROR(__xludf.DUMMYFUNCTION("""COMPUTED_VALUE"""),39.0)</f>
        <v>39</v>
      </c>
      <c r="H13181" s="4"/>
      <c r="I13181" s="4"/>
    </row>
    <row r="13182">
      <c r="A13182" s="4" t="str">
        <f>IFERROR(__xludf.DUMMYFUNCTION("""COMPUTED_VALUE"""),"cas_hmw")</f>
        <v>cas_hmw</v>
      </c>
      <c r="B13182" s="5">
        <f>IFERROR(__xludf.DUMMYFUNCTION("""COMPUTED_VALUE"""),44718.0)</f>
        <v>44718</v>
      </c>
      <c r="C13182" s="6">
        <f>IFERROR(__xludf.DUMMYFUNCTION("""COMPUTED_VALUE"""),0.31938657407226856)</f>
        <v>0.3193865741</v>
      </c>
      <c r="D13182" s="4">
        <f>IFERROR(__xludf.DUMMYFUNCTION("""COMPUTED_VALUE"""),13.027187)</f>
        <v>13.027187</v>
      </c>
      <c r="E13182" s="4">
        <f>IFERROR(__xludf.DUMMYFUNCTION("""COMPUTED_VALUE"""),80.234138)</f>
        <v>80.234138</v>
      </c>
      <c r="F13182" s="4">
        <f>IFERROR(__xludf.DUMMYFUNCTION("""COMPUTED_VALUE"""),2846.0)</f>
        <v>2846</v>
      </c>
      <c r="G13182" s="4">
        <f>IFERROR(__xludf.DUMMYFUNCTION("""COMPUTED_VALUE"""),38.0)</f>
        <v>38</v>
      </c>
      <c r="H13182" s="4"/>
      <c r="I13182" s="4"/>
    </row>
    <row r="13183">
      <c r="A13183" s="4" t="str">
        <f>IFERROR(__xludf.DUMMYFUNCTION("""COMPUTED_VALUE"""),"cas_hmw")</f>
        <v>cas_hmw</v>
      </c>
      <c r="B13183" s="5">
        <f>IFERROR(__xludf.DUMMYFUNCTION("""COMPUTED_VALUE"""),44718.0)</f>
        <v>44718</v>
      </c>
      <c r="C13183" s="6">
        <f>IFERROR(__xludf.DUMMYFUNCTION("""COMPUTED_VALUE"""),0.3206018518503697)</f>
        <v>0.3206018519</v>
      </c>
      <c r="D13183" s="4">
        <f>IFERROR(__xludf.DUMMYFUNCTION("""COMPUTED_VALUE"""),12.964784)</f>
        <v>12.964784</v>
      </c>
      <c r="E13183" s="4">
        <f>IFERROR(__xludf.DUMMYFUNCTION("""COMPUTED_VALUE"""),80.209702)</f>
        <v>80.209702</v>
      </c>
      <c r="F13183" s="4">
        <f>IFERROR(__xludf.DUMMYFUNCTION("""COMPUTED_VALUE"""),3143.0)</f>
        <v>3143</v>
      </c>
      <c r="G13183" s="4">
        <f>IFERROR(__xludf.DUMMYFUNCTION("""COMPUTED_VALUE"""),30.0)</f>
        <v>30</v>
      </c>
      <c r="H13183" s="4"/>
      <c r="I13183" s="4"/>
    </row>
    <row r="13184">
      <c r="A13184" s="4" t="str">
        <f>IFERROR(__xludf.DUMMYFUNCTION("""COMPUTED_VALUE"""),"cas_hmw")</f>
        <v>cas_hmw</v>
      </c>
      <c r="B13184" s="5">
        <f>IFERROR(__xludf.DUMMYFUNCTION("""COMPUTED_VALUE"""),44718.0)</f>
        <v>44718</v>
      </c>
      <c r="C13184" s="6">
        <f>IFERROR(__xludf.DUMMYFUNCTION("""COMPUTED_VALUE"""),0.3206712962964957)</f>
        <v>0.3206712963</v>
      </c>
      <c r="D13184" s="4">
        <f>IFERROR(__xludf.DUMMYFUNCTION("""COMPUTED_VALUE"""),12.694815)</f>
        <v>12.694815</v>
      </c>
      <c r="E13184" s="4">
        <f>IFERROR(__xludf.DUMMYFUNCTION("""COMPUTED_VALUE"""),79.978195)</f>
        <v>79.978195</v>
      </c>
      <c r="F13184" s="4">
        <f>IFERROR(__xludf.DUMMYFUNCTION("""COMPUTED_VALUE"""),805.0)</f>
        <v>805</v>
      </c>
      <c r="G13184" s="4">
        <f>IFERROR(__xludf.DUMMYFUNCTION("""COMPUTED_VALUE"""),28.0)</f>
        <v>28</v>
      </c>
      <c r="H13184" s="4"/>
      <c r="I13184" s="4"/>
    </row>
    <row r="13185">
      <c r="A13185" s="4" t="str">
        <f>IFERROR(__xludf.DUMMYFUNCTION("""COMPUTED_VALUE"""),"cas_hmw")</f>
        <v>cas_hmw</v>
      </c>
      <c r="B13185" s="5">
        <f>IFERROR(__xludf.DUMMYFUNCTION("""COMPUTED_VALUE"""),44718.0)</f>
        <v>44718</v>
      </c>
      <c r="C13185" s="6">
        <f>IFERROR(__xludf.DUMMYFUNCTION("""COMPUTED_VALUE"""),0.3206828703696374)</f>
        <v>0.3206828704</v>
      </c>
      <c r="D13185" s="4">
        <f>IFERROR(__xludf.DUMMYFUNCTION("""COMPUTED_VALUE"""),12.695502)</f>
        <v>12.695502</v>
      </c>
      <c r="E13185" s="4">
        <f>IFERROR(__xludf.DUMMYFUNCTION("""COMPUTED_VALUE"""),79.977849)</f>
        <v>79.977849</v>
      </c>
      <c r="F13185" s="4">
        <f>IFERROR(__xludf.DUMMYFUNCTION("""COMPUTED_VALUE"""),805.0)</f>
        <v>805</v>
      </c>
      <c r="G13185" s="4">
        <f>IFERROR(__xludf.DUMMYFUNCTION("""COMPUTED_VALUE"""),26.0)</f>
        <v>26</v>
      </c>
      <c r="H13185" s="4"/>
      <c r="I13185" s="4"/>
    </row>
    <row r="13186">
      <c r="A13186" s="4" t="str">
        <f>IFERROR(__xludf.DUMMYFUNCTION("""COMPUTED_VALUE"""),"cas_hmw")</f>
        <v>cas_hmw</v>
      </c>
      <c r="B13186" s="5">
        <f>IFERROR(__xludf.DUMMYFUNCTION("""COMPUTED_VALUE"""),44718.0)</f>
        <v>44718</v>
      </c>
      <c r="C13186" s="6">
        <f>IFERROR(__xludf.DUMMYFUNCTION("""COMPUTED_VALUE"""),0.32081018518510973)</f>
        <v>0.3208101852</v>
      </c>
      <c r="D13186" s="4">
        <f>IFERROR(__xludf.DUMMYFUNCTION("""COMPUTED_VALUE"""),12.965036)</f>
        <v>12.965036</v>
      </c>
      <c r="E13186" s="4">
        <f>IFERROR(__xludf.DUMMYFUNCTION("""COMPUTED_VALUE"""),80.208085)</f>
        <v>80.208085</v>
      </c>
      <c r="F13186" s="4">
        <f>IFERROR(__xludf.DUMMYFUNCTION("""COMPUTED_VALUE"""),3143.0)</f>
        <v>3143</v>
      </c>
      <c r="G13186" s="4">
        <f>IFERROR(__xludf.DUMMYFUNCTION("""COMPUTED_VALUE"""),33.0)</f>
        <v>33</v>
      </c>
      <c r="H13186" s="4"/>
      <c r="I13186" s="4"/>
    </row>
    <row r="13187">
      <c r="A13187" s="4" t="str">
        <f>IFERROR(__xludf.DUMMYFUNCTION("""COMPUTED_VALUE"""),"cas_hmw")</f>
        <v>cas_hmw</v>
      </c>
      <c r="B13187" s="5">
        <f>IFERROR(__xludf.DUMMYFUNCTION("""COMPUTED_VALUE"""),44718.0)</f>
        <v>44718</v>
      </c>
      <c r="C13187" s="6">
        <f>IFERROR(__xludf.DUMMYFUNCTION("""COMPUTED_VALUE"""),0.3209027777775191)</f>
        <v>0.3209027778</v>
      </c>
      <c r="D13187" s="4">
        <f>IFERROR(__xludf.DUMMYFUNCTION("""COMPUTED_VALUE"""),13.024139)</f>
        <v>13.024139</v>
      </c>
      <c r="E13187" s="4">
        <f>IFERROR(__xludf.DUMMYFUNCTION("""COMPUTED_VALUE"""),80.228424)</f>
        <v>80.228424</v>
      </c>
      <c r="F13187" s="4">
        <f>IFERROR(__xludf.DUMMYFUNCTION("""COMPUTED_VALUE"""),2846.0)</f>
        <v>2846</v>
      </c>
      <c r="G13187" s="4">
        <f>IFERROR(__xludf.DUMMYFUNCTION("""COMPUTED_VALUE"""),32.0)</f>
        <v>32</v>
      </c>
      <c r="H13187" s="4"/>
      <c r="I13187" s="4"/>
    </row>
    <row r="13188">
      <c r="A13188" s="4" t="str">
        <f>IFERROR(__xludf.DUMMYFUNCTION("""COMPUTED_VALUE"""),"cas_hmw")</f>
        <v>cas_hmw</v>
      </c>
      <c r="B13188" s="5">
        <f>IFERROR(__xludf.DUMMYFUNCTION("""COMPUTED_VALUE"""),44718.0)</f>
        <v>44718</v>
      </c>
      <c r="C13188" s="6">
        <f>IFERROR(__xludf.DUMMYFUNCTION("""COMPUTED_VALUE"""),0.3211111111122591)</f>
        <v>0.3211111111</v>
      </c>
      <c r="D13188" s="4">
        <f>IFERROR(__xludf.DUMMYFUNCTION("""COMPUTED_VALUE"""),13.022824)</f>
        <v>13.022824</v>
      </c>
      <c r="E13188" s="4">
        <f>IFERROR(__xludf.DUMMYFUNCTION("""COMPUTED_VALUE"""),80.227068)</f>
        <v>80.227068</v>
      </c>
      <c r="F13188" s="4">
        <f>IFERROR(__xludf.DUMMYFUNCTION("""COMPUTED_VALUE"""),2846.0)</f>
        <v>2846</v>
      </c>
      <c r="G13188" s="4">
        <f>IFERROR(__xludf.DUMMYFUNCTION("""COMPUTED_VALUE"""),40.0)</f>
        <v>40</v>
      </c>
      <c r="H13188" s="4"/>
      <c r="I13188" s="4"/>
    </row>
    <row r="13189">
      <c r="A13189" s="4" t="str">
        <f>IFERROR(__xludf.DUMMYFUNCTION("""COMPUTED_VALUE"""),"cas_hmw")</f>
        <v>cas_hmw</v>
      </c>
      <c r="B13189" s="5">
        <f>IFERROR(__xludf.DUMMYFUNCTION("""COMPUTED_VALUE"""),44718.0)</f>
        <v>44718</v>
      </c>
      <c r="C13189" s="6">
        <f>IFERROR(__xludf.DUMMYFUNCTION("""COMPUTED_VALUE"""),0.32236111110978527)</f>
        <v>0.3223611111</v>
      </c>
      <c r="D13189" s="4">
        <f>IFERROR(__xludf.DUMMYFUNCTION("""COMPUTED_VALUE"""),12.697837)</f>
        <v>12.697837</v>
      </c>
      <c r="E13189" s="4">
        <f>IFERROR(__xludf.DUMMYFUNCTION("""COMPUTED_VALUE"""),79.971026)</f>
        <v>79.971026</v>
      </c>
      <c r="F13189" s="4">
        <f>IFERROR(__xludf.DUMMYFUNCTION("""COMPUTED_VALUE"""),805.0)</f>
        <v>805</v>
      </c>
      <c r="G13189" s="4">
        <f>IFERROR(__xludf.DUMMYFUNCTION("""COMPUTED_VALUE"""),29.0)</f>
        <v>29</v>
      </c>
      <c r="H13189" s="4"/>
      <c r="I13189" s="4"/>
    </row>
    <row r="13190">
      <c r="A13190" s="4" t="str">
        <f>IFERROR(__xludf.DUMMYFUNCTION("""COMPUTED_VALUE"""),"cas_hmw")</f>
        <v>cas_hmw</v>
      </c>
      <c r="B13190" s="5">
        <f>IFERROR(__xludf.DUMMYFUNCTION("""COMPUTED_VALUE"""),44718.0)</f>
        <v>44718</v>
      </c>
      <c r="C13190" s="6">
        <f>IFERROR(__xludf.DUMMYFUNCTION("""COMPUTED_VALUE"""),0.32324074074131204)</f>
        <v>0.3232407407</v>
      </c>
      <c r="D13190" s="4">
        <f>IFERROR(__xludf.DUMMYFUNCTION("""COMPUTED_VALUE"""),13.011411)</f>
        <v>13.011411</v>
      </c>
      <c r="E13190" s="4">
        <f>IFERROR(__xludf.DUMMYFUNCTION("""COMPUTED_VALUE"""),80.227392)</f>
        <v>80.227392</v>
      </c>
      <c r="F13190" s="4">
        <f>IFERROR(__xludf.DUMMYFUNCTION("""COMPUTED_VALUE"""),2846.0)</f>
        <v>2846</v>
      </c>
      <c r="G13190" s="4">
        <f>IFERROR(__xludf.DUMMYFUNCTION("""COMPUTED_VALUE"""),46.0)</f>
        <v>46</v>
      </c>
      <c r="H13190" s="4"/>
      <c r="I13190" s="4"/>
    </row>
    <row r="13191">
      <c r="A13191" s="4" t="str">
        <f>IFERROR(__xludf.DUMMYFUNCTION("""COMPUTED_VALUE"""),"cas_hmw")</f>
        <v>cas_hmw</v>
      </c>
      <c r="B13191" s="5">
        <f>IFERROR(__xludf.DUMMYFUNCTION("""COMPUTED_VALUE"""),44718.0)</f>
        <v>44718</v>
      </c>
      <c r="C13191" s="6">
        <f>IFERROR(__xludf.DUMMYFUNCTION("""COMPUTED_VALUE"""),0.32399305555736646)</f>
        <v>0.3239930556</v>
      </c>
      <c r="D13191" s="4">
        <f>IFERROR(__xludf.DUMMYFUNCTION("""COMPUTED_VALUE"""),13.011131)</f>
        <v>13.011131</v>
      </c>
      <c r="E13191" s="4">
        <f>IFERROR(__xludf.DUMMYFUNCTION("""COMPUTED_VALUE"""),80.223906)</f>
        <v>80.223906</v>
      </c>
      <c r="F13191" s="4">
        <f>IFERROR(__xludf.DUMMYFUNCTION("""COMPUTED_VALUE"""),2846.0)</f>
        <v>2846</v>
      </c>
      <c r="G13191" s="4">
        <f>IFERROR(__xludf.DUMMYFUNCTION("""COMPUTED_VALUE"""),29.0)</f>
        <v>29</v>
      </c>
      <c r="H13191" s="4"/>
      <c r="I13191" s="4"/>
    </row>
    <row r="13192">
      <c r="A13192" s="4" t="str">
        <f>IFERROR(__xludf.DUMMYFUNCTION("""COMPUTED_VALUE"""),"cas_hmw")</f>
        <v>cas_hmw</v>
      </c>
      <c r="B13192" s="5">
        <f>IFERROR(__xludf.DUMMYFUNCTION("""COMPUTED_VALUE"""),44718.0)</f>
        <v>44718</v>
      </c>
      <c r="C13192" s="6">
        <f>IFERROR(__xludf.DUMMYFUNCTION("""COMPUTED_VALUE"""),0.32487268518525525)</f>
        <v>0.3248726852</v>
      </c>
      <c r="D13192" s="4">
        <f>IFERROR(__xludf.DUMMYFUNCTION("""COMPUTED_VALUE"""),13.010696)</f>
        <v>13.010696</v>
      </c>
      <c r="E13192" s="4">
        <f>IFERROR(__xludf.DUMMYFUNCTION("""COMPUTED_VALUE"""),80.216778)</f>
        <v>80.216778</v>
      </c>
      <c r="F13192" s="4">
        <f>IFERROR(__xludf.DUMMYFUNCTION("""COMPUTED_VALUE"""),2846.0)</f>
        <v>2846</v>
      </c>
      <c r="G13192" s="4">
        <f>IFERROR(__xludf.DUMMYFUNCTION("""COMPUTED_VALUE"""),36.0)</f>
        <v>36</v>
      </c>
      <c r="H13192" s="4"/>
      <c r="I13192" s="4"/>
    </row>
    <row r="13193">
      <c r="A13193" s="4" t="str">
        <f>IFERROR(__xludf.DUMMYFUNCTION("""COMPUTED_VALUE"""),"cas_hmw")</f>
        <v>cas_hmw</v>
      </c>
      <c r="B13193" s="5">
        <f>IFERROR(__xludf.DUMMYFUNCTION("""COMPUTED_VALUE"""),44718.0)</f>
        <v>44718</v>
      </c>
      <c r="C13193" s="6">
        <f>IFERROR(__xludf.DUMMYFUNCTION("""COMPUTED_VALUE"""),0.3253587962972233)</f>
        <v>0.3253587963</v>
      </c>
      <c r="D13193" s="4">
        <f>IFERROR(__xludf.DUMMYFUNCTION("""COMPUTED_VALUE"""),13.009711)</f>
        <v>13.009711</v>
      </c>
      <c r="E13193" s="4">
        <f>IFERROR(__xludf.DUMMYFUNCTION("""COMPUTED_VALUE"""),80.213718)</f>
        <v>80.213718</v>
      </c>
      <c r="F13193" s="4">
        <f>IFERROR(__xludf.DUMMYFUNCTION("""COMPUTED_VALUE"""),2846.0)</f>
        <v>2846</v>
      </c>
      <c r="G13193" s="4">
        <f>IFERROR(__xludf.DUMMYFUNCTION("""COMPUTED_VALUE"""),48.0)</f>
        <v>48</v>
      </c>
      <c r="H13193" s="4"/>
      <c r="I13193" s="4"/>
    </row>
    <row r="13194">
      <c r="A13194" s="4" t="str">
        <f>IFERROR(__xludf.DUMMYFUNCTION("""COMPUTED_VALUE"""),"cas_hmw")</f>
        <v>cas_hmw</v>
      </c>
      <c r="B13194" s="5">
        <f>IFERROR(__xludf.DUMMYFUNCTION("""COMPUTED_VALUE"""),44718.0)</f>
        <v>44718</v>
      </c>
      <c r="C13194" s="6">
        <f>IFERROR(__xludf.DUMMYFUNCTION("""COMPUTED_VALUE"""),0.3257638888899237)</f>
        <v>0.3257638889</v>
      </c>
      <c r="D13194" s="4">
        <f>IFERROR(__xludf.DUMMYFUNCTION("""COMPUTED_VALUE"""),13.008256)</f>
        <v>13.008256</v>
      </c>
      <c r="E13194" s="4">
        <f>IFERROR(__xludf.DUMMYFUNCTION("""COMPUTED_VALUE"""),80.209776)</f>
        <v>80.209776</v>
      </c>
      <c r="F13194" s="4">
        <f>IFERROR(__xludf.DUMMYFUNCTION("""COMPUTED_VALUE"""),2846.0)</f>
        <v>2846</v>
      </c>
      <c r="G13194" s="4">
        <f>IFERROR(__xludf.DUMMYFUNCTION("""COMPUTED_VALUE"""),44.0)</f>
        <v>44</v>
      </c>
      <c r="H13194" s="4"/>
      <c r="I13194" s="4"/>
    </row>
    <row r="13195">
      <c r="A13195" s="4" t="str">
        <f>IFERROR(__xludf.DUMMYFUNCTION("""COMPUTED_VALUE"""),"cas_hmw")</f>
        <v>cas_hmw</v>
      </c>
      <c r="B13195" s="5">
        <f>IFERROR(__xludf.DUMMYFUNCTION("""COMPUTED_VALUE"""),44718.0)</f>
        <v>44718</v>
      </c>
      <c r="C13195" s="6">
        <f>IFERROR(__xludf.DUMMYFUNCTION("""COMPUTED_VALUE"""),0.32596064814788406)</f>
        <v>0.3259606481</v>
      </c>
      <c r="D13195" s="4">
        <f>IFERROR(__xludf.DUMMYFUNCTION("""COMPUTED_VALUE"""),12.714444)</f>
        <v>12.714444</v>
      </c>
      <c r="E13195" s="4">
        <f>IFERROR(__xludf.DUMMYFUNCTION("""COMPUTED_VALUE"""),79.980153)</f>
        <v>79.980153</v>
      </c>
      <c r="F13195" s="4">
        <f>IFERROR(__xludf.DUMMYFUNCTION("""COMPUTED_VALUE"""),805.0)</f>
        <v>805</v>
      </c>
      <c r="G13195" s="4">
        <f>IFERROR(__xludf.DUMMYFUNCTION("""COMPUTED_VALUE"""),58.0)</f>
        <v>58</v>
      </c>
      <c r="H13195" s="4"/>
      <c r="I13195" s="4"/>
    </row>
    <row r="13196">
      <c r="A13196" s="4" t="str">
        <f>IFERROR(__xludf.DUMMYFUNCTION("""COMPUTED_VALUE"""),"cas_hmw")</f>
        <v>cas_hmw</v>
      </c>
      <c r="B13196" s="5">
        <f>IFERROR(__xludf.DUMMYFUNCTION("""COMPUTED_VALUE"""),44718.0)</f>
        <v>44718</v>
      </c>
      <c r="C13196" s="6">
        <f>IFERROR(__xludf.DUMMYFUNCTION("""COMPUTED_VALUE"""),0.32596064814788406)</f>
        <v>0.3259606481</v>
      </c>
      <c r="D13196" s="4">
        <f>IFERROR(__xludf.DUMMYFUNCTION("""COMPUTED_VALUE"""),13.008025)</f>
        <v>13.008025</v>
      </c>
      <c r="E13196" s="4">
        <f>IFERROR(__xludf.DUMMYFUNCTION("""COMPUTED_VALUE"""),80.208683)</f>
        <v>80.208683</v>
      </c>
      <c r="F13196" s="4">
        <f>IFERROR(__xludf.DUMMYFUNCTION("""COMPUTED_VALUE"""),2846.0)</f>
        <v>2846</v>
      </c>
      <c r="G13196" s="4">
        <f>IFERROR(__xludf.DUMMYFUNCTION("""COMPUTED_VALUE"""),43.0)</f>
        <v>43</v>
      </c>
      <c r="H13196" s="4"/>
      <c r="I13196" s="4"/>
    </row>
    <row r="13197">
      <c r="A13197" s="4" t="str">
        <f>IFERROR(__xludf.DUMMYFUNCTION("""COMPUTED_VALUE"""),"cas_hmw")</f>
        <v>cas_hmw</v>
      </c>
      <c r="B13197" s="5">
        <f>IFERROR(__xludf.DUMMYFUNCTION("""COMPUTED_VALUE"""),44718.0)</f>
        <v>44718</v>
      </c>
      <c r="C13197" s="6">
        <f>IFERROR(__xludf.DUMMYFUNCTION("""COMPUTED_VALUE"""),0.3268055555563478)</f>
        <v>0.3268055556</v>
      </c>
      <c r="D13197" s="4">
        <f>IFERROR(__xludf.DUMMYFUNCTION("""COMPUTED_VALUE"""),13.007393)</f>
        <v>13.007393</v>
      </c>
      <c r="E13197" s="4">
        <f>IFERROR(__xludf.DUMMYFUNCTION("""COMPUTED_VALUE"""),80.205487)</f>
        <v>80.205487</v>
      </c>
      <c r="F13197" s="4">
        <f>IFERROR(__xludf.DUMMYFUNCTION("""COMPUTED_VALUE"""),2846.0)</f>
        <v>2846</v>
      </c>
      <c r="G13197" s="4">
        <f>IFERROR(__xludf.DUMMYFUNCTION("""COMPUTED_VALUE"""),41.0)</f>
        <v>41</v>
      </c>
      <c r="H13197" s="4"/>
      <c r="I13197" s="4"/>
    </row>
    <row r="13198">
      <c r="A13198" s="4" t="str">
        <f>IFERROR(__xludf.DUMMYFUNCTION("""COMPUTED_VALUE"""),"cas_hmw")</f>
        <v>cas_hmw</v>
      </c>
      <c r="B13198" s="5">
        <f>IFERROR(__xludf.DUMMYFUNCTION("""COMPUTED_VALUE"""),44718.0)</f>
        <v>44718</v>
      </c>
      <c r="C13198" s="6">
        <f>IFERROR(__xludf.DUMMYFUNCTION("""COMPUTED_VALUE"""),0.3269560185181035)</f>
        <v>0.3269560185</v>
      </c>
      <c r="D13198" s="4">
        <f>IFERROR(__xludf.DUMMYFUNCTION("""COMPUTED_VALUE"""),13.007393)</f>
        <v>13.007393</v>
      </c>
      <c r="E13198" s="4">
        <f>IFERROR(__xludf.DUMMYFUNCTION("""COMPUTED_VALUE"""),80.205487)</f>
        <v>80.205487</v>
      </c>
      <c r="F13198" s="4">
        <f>IFERROR(__xludf.DUMMYFUNCTION("""COMPUTED_VALUE"""),2846.0)</f>
        <v>2846</v>
      </c>
      <c r="G13198" s="4">
        <f>IFERROR(__xludf.DUMMYFUNCTION("""COMPUTED_VALUE"""),41.0)</f>
        <v>41</v>
      </c>
      <c r="H13198" s="4"/>
      <c r="I13198" s="4"/>
    </row>
    <row r="13199">
      <c r="A13199" s="4" t="str">
        <f>IFERROR(__xludf.DUMMYFUNCTION("""COMPUTED_VALUE"""),"cas_hmw")</f>
        <v>cas_hmw</v>
      </c>
      <c r="B13199" s="5">
        <f>IFERROR(__xludf.DUMMYFUNCTION("""COMPUTED_VALUE"""),44718.0)</f>
        <v>44718</v>
      </c>
      <c r="C13199" s="6">
        <f>IFERROR(__xludf.DUMMYFUNCTION("""COMPUTED_VALUE"""),0.3269675925912452)</f>
        <v>0.3269675926</v>
      </c>
      <c r="D13199" s="4">
        <f>IFERROR(__xludf.DUMMYFUNCTION("""COMPUTED_VALUE"""),13.007393)</f>
        <v>13.007393</v>
      </c>
      <c r="E13199" s="4">
        <f>IFERROR(__xludf.DUMMYFUNCTION("""COMPUTED_VALUE"""),80.205487)</f>
        <v>80.205487</v>
      </c>
      <c r="F13199" s="4">
        <f>IFERROR(__xludf.DUMMYFUNCTION("""COMPUTED_VALUE"""),2846.0)</f>
        <v>2846</v>
      </c>
      <c r="G13199" s="4">
        <f>IFERROR(__xludf.DUMMYFUNCTION("""COMPUTED_VALUE"""),41.0)</f>
        <v>41</v>
      </c>
      <c r="H13199" s="4"/>
      <c r="I13199" s="4"/>
    </row>
    <row r="13200">
      <c r="A13200" s="4" t="str">
        <f>IFERROR(__xludf.DUMMYFUNCTION("""COMPUTED_VALUE"""),"cas_hmw")</f>
        <v>cas_hmw</v>
      </c>
      <c r="B13200" s="5">
        <f>IFERROR(__xludf.DUMMYFUNCTION("""COMPUTED_VALUE"""),44718.0)</f>
        <v>44718</v>
      </c>
      <c r="C13200" s="6">
        <f>IFERROR(__xludf.DUMMYFUNCTION("""COMPUTED_VALUE"""),0.3269907407411665)</f>
        <v>0.3269907407</v>
      </c>
      <c r="D13200" s="4">
        <f>IFERROR(__xludf.DUMMYFUNCTION("""COMPUTED_VALUE"""),12.72414)</f>
        <v>12.72414</v>
      </c>
      <c r="E13200" s="4">
        <f>IFERROR(__xludf.DUMMYFUNCTION("""COMPUTED_VALUE"""),79.98172)</f>
        <v>79.98172</v>
      </c>
      <c r="F13200" s="4">
        <f>IFERROR(__xludf.DUMMYFUNCTION("""COMPUTED_VALUE"""),805.0)</f>
        <v>805</v>
      </c>
      <c r="G13200" s="4">
        <f>IFERROR(__xludf.DUMMYFUNCTION("""COMPUTED_VALUE"""),0.0)</f>
        <v>0</v>
      </c>
      <c r="H13200" s="4"/>
      <c r="I13200" s="4"/>
    </row>
    <row r="13201">
      <c r="A13201" s="4" t="str">
        <f>IFERROR(__xludf.DUMMYFUNCTION("""COMPUTED_VALUE"""),"cas_hmw")</f>
        <v>cas_hmw</v>
      </c>
      <c r="B13201" s="5">
        <f>IFERROR(__xludf.DUMMYFUNCTION("""COMPUTED_VALUE"""),44718.0)</f>
        <v>44718</v>
      </c>
      <c r="C13201" s="6">
        <f>IFERROR(__xludf.DUMMYFUNCTION("""COMPUTED_VALUE"""),0.3270023148143082)</f>
        <v>0.3270023148</v>
      </c>
      <c r="D13201" s="4">
        <f>IFERROR(__xludf.DUMMYFUNCTION("""COMPUTED_VALUE"""),13.007393)</f>
        <v>13.007393</v>
      </c>
      <c r="E13201" s="4">
        <f>IFERROR(__xludf.DUMMYFUNCTION("""COMPUTED_VALUE"""),80.205487)</f>
        <v>80.205487</v>
      </c>
      <c r="F13201" s="4">
        <f>IFERROR(__xludf.DUMMYFUNCTION("""COMPUTED_VALUE"""),2846.0)</f>
        <v>2846</v>
      </c>
      <c r="G13201" s="4">
        <f>IFERROR(__xludf.DUMMYFUNCTION("""COMPUTED_VALUE"""),41.0)</f>
        <v>41</v>
      </c>
      <c r="H13201" s="4"/>
      <c r="I13201" s="4"/>
    </row>
    <row r="13202">
      <c r="A13202" s="4" t="str">
        <f>IFERROR(__xludf.DUMMYFUNCTION("""COMPUTED_VALUE"""),"cas_hmw")</f>
        <v>cas_hmw</v>
      </c>
      <c r="B13202" s="5">
        <f>IFERROR(__xludf.DUMMYFUNCTION("""COMPUTED_VALUE"""),44718.0)</f>
        <v>44718</v>
      </c>
      <c r="C13202" s="6">
        <f>IFERROR(__xludf.DUMMYFUNCTION("""COMPUTED_VALUE"""),0.32704861111051287)</f>
        <v>0.3270486111</v>
      </c>
      <c r="D13202" s="4">
        <f>IFERROR(__xludf.DUMMYFUNCTION("""COMPUTED_VALUE"""),13.00545)</f>
        <v>13.00545</v>
      </c>
      <c r="E13202" s="4">
        <f>IFERROR(__xludf.DUMMYFUNCTION("""COMPUTED_VALUE"""),80.201908)</f>
        <v>80.201908</v>
      </c>
      <c r="F13202" s="4">
        <f>IFERROR(__xludf.DUMMYFUNCTION("""COMPUTED_VALUE"""),2846.0)</f>
        <v>2846</v>
      </c>
      <c r="G13202" s="4">
        <f>IFERROR(__xludf.DUMMYFUNCTION("""COMPUTED_VALUE"""),41.0)</f>
        <v>41</v>
      </c>
      <c r="H13202" s="4"/>
      <c r="I13202" s="4"/>
    </row>
    <row r="13203">
      <c r="A13203" s="4" t="str">
        <f>IFERROR(__xludf.DUMMYFUNCTION("""COMPUTED_VALUE"""),"cas_hmw")</f>
        <v>cas_hmw</v>
      </c>
      <c r="B13203" s="5">
        <f>IFERROR(__xludf.DUMMYFUNCTION("""COMPUTED_VALUE"""),44718.0)</f>
        <v>44718</v>
      </c>
      <c r="C13203" s="6">
        <f>IFERROR(__xludf.DUMMYFUNCTION("""COMPUTED_VALUE"""),0.32719907407226856)</f>
        <v>0.3271990741</v>
      </c>
      <c r="D13203" s="4">
        <f>IFERROR(__xludf.DUMMYFUNCTION("""COMPUTED_VALUE"""),13.00545)</f>
        <v>13.00545</v>
      </c>
      <c r="E13203" s="4">
        <f>IFERROR(__xludf.DUMMYFUNCTION("""COMPUTED_VALUE"""),80.201908)</f>
        <v>80.201908</v>
      </c>
      <c r="F13203" s="4">
        <f>IFERROR(__xludf.DUMMYFUNCTION("""COMPUTED_VALUE"""),2846.0)</f>
        <v>2846</v>
      </c>
      <c r="G13203" s="4">
        <f>IFERROR(__xludf.DUMMYFUNCTION("""COMPUTED_VALUE"""),41.0)</f>
        <v>41</v>
      </c>
      <c r="H13203" s="4"/>
      <c r="I13203" s="4"/>
    </row>
    <row r="13204">
      <c r="A13204" s="4" t="str">
        <f>IFERROR(__xludf.DUMMYFUNCTION("""COMPUTED_VALUE"""),"cas_hmw")</f>
        <v>cas_hmw</v>
      </c>
      <c r="B13204" s="5">
        <f>IFERROR(__xludf.DUMMYFUNCTION("""COMPUTED_VALUE"""),44718.0)</f>
        <v>44718</v>
      </c>
      <c r="C13204" s="6">
        <f>IFERROR(__xludf.DUMMYFUNCTION("""COMPUTED_VALUE"""),0.32726851851839456)</f>
        <v>0.3272685185</v>
      </c>
      <c r="D13204" s="4">
        <f>IFERROR(__xludf.DUMMYFUNCTION("""COMPUTED_VALUE"""),12.726396)</f>
        <v>12.726396</v>
      </c>
      <c r="E13204" s="4">
        <f>IFERROR(__xludf.DUMMYFUNCTION("""COMPUTED_VALUE"""),79.98234)</f>
        <v>79.98234</v>
      </c>
      <c r="F13204" s="4">
        <f>IFERROR(__xludf.DUMMYFUNCTION("""COMPUTED_VALUE"""),805.0)</f>
        <v>805</v>
      </c>
      <c r="G13204" s="4">
        <f>IFERROR(__xludf.DUMMYFUNCTION("""COMPUTED_VALUE"""),30.0)</f>
        <v>30</v>
      </c>
      <c r="H13204" s="4"/>
      <c r="I13204" s="4"/>
    </row>
    <row r="13205">
      <c r="A13205" s="4" t="str">
        <f>IFERROR(__xludf.DUMMYFUNCTION("""COMPUTED_VALUE"""),"cas_hmw")</f>
        <v>cas_hmw</v>
      </c>
      <c r="B13205" s="5">
        <f>IFERROR(__xludf.DUMMYFUNCTION("""COMPUTED_VALUE"""),44718.0)</f>
        <v>44718</v>
      </c>
      <c r="C13205" s="6">
        <f>IFERROR(__xludf.DUMMYFUNCTION("""COMPUTED_VALUE"""),0.3272916666683159)</f>
        <v>0.3272916667</v>
      </c>
      <c r="D13205" s="4">
        <f>IFERROR(__xludf.DUMMYFUNCTION("""COMPUTED_VALUE"""),13.002738)</f>
        <v>13.002738</v>
      </c>
      <c r="E13205" s="4">
        <f>IFERROR(__xludf.DUMMYFUNCTION("""COMPUTED_VALUE"""),80.200704)</f>
        <v>80.200704</v>
      </c>
      <c r="F13205" s="4">
        <f>IFERROR(__xludf.DUMMYFUNCTION("""COMPUTED_VALUE"""),2846.0)</f>
        <v>2846</v>
      </c>
      <c r="G13205" s="4">
        <f>IFERROR(__xludf.DUMMYFUNCTION("""COMPUTED_VALUE"""),24.0)</f>
        <v>24</v>
      </c>
      <c r="H13205" s="4"/>
      <c r="I13205" s="4"/>
    </row>
    <row r="13206">
      <c r="A13206" s="4" t="str">
        <f>IFERROR(__xludf.DUMMYFUNCTION("""COMPUTED_VALUE"""),"cas_hmw")</f>
        <v>cas_hmw</v>
      </c>
      <c r="B13206" s="5">
        <f>IFERROR(__xludf.DUMMYFUNCTION("""COMPUTED_VALUE"""),44718.0)</f>
        <v>44718</v>
      </c>
      <c r="C13206" s="6">
        <f>IFERROR(__xludf.DUMMYFUNCTION("""COMPUTED_VALUE"""),0.3277662037035043)</f>
        <v>0.3277662037</v>
      </c>
      <c r="D13206" s="4">
        <f>IFERROR(__xludf.DUMMYFUNCTION("""COMPUTED_VALUE"""),12.733121)</f>
        <v>12.733121</v>
      </c>
      <c r="E13206" s="4">
        <f>IFERROR(__xludf.DUMMYFUNCTION("""COMPUTED_VALUE"""),79.983348)</f>
        <v>79.983348</v>
      </c>
      <c r="F13206" s="4">
        <f>IFERROR(__xludf.DUMMYFUNCTION("""COMPUTED_VALUE"""),805.0)</f>
        <v>805</v>
      </c>
      <c r="G13206" s="4">
        <f>IFERROR(__xludf.DUMMYFUNCTION("""COMPUTED_VALUE"""),46.0)</f>
        <v>46</v>
      </c>
      <c r="H13206" s="4"/>
      <c r="I13206" s="4"/>
    </row>
    <row r="13207">
      <c r="A13207" s="4" t="str">
        <f>IFERROR(__xludf.DUMMYFUNCTION("""COMPUTED_VALUE"""),"cas_hmw")</f>
        <v>cas_hmw</v>
      </c>
      <c r="B13207" s="5">
        <f>IFERROR(__xludf.DUMMYFUNCTION("""COMPUTED_VALUE"""),44718.0)</f>
        <v>44718</v>
      </c>
      <c r="C13207" s="6">
        <f>IFERROR(__xludf.DUMMYFUNCTION("""COMPUTED_VALUE"""),0.327986111111386)</f>
        <v>0.3279861111</v>
      </c>
      <c r="D13207" s="4">
        <f>IFERROR(__xludf.DUMMYFUNCTION("""COMPUTED_VALUE"""),12.734417)</f>
        <v>12.734417</v>
      </c>
      <c r="E13207" s="4">
        <f>IFERROR(__xludf.DUMMYFUNCTION("""COMPUTED_VALUE"""),79.984857)</f>
        <v>79.984857</v>
      </c>
      <c r="F13207" s="4">
        <f>IFERROR(__xludf.DUMMYFUNCTION("""COMPUTED_VALUE"""),805.0)</f>
        <v>805</v>
      </c>
      <c r="G13207" s="4">
        <f>IFERROR(__xludf.DUMMYFUNCTION("""COMPUTED_VALUE"""),45.0)</f>
        <v>45</v>
      </c>
      <c r="H13207" s="4"/>
      <c r="I13207" s="4"/>
    </row>
    <row r="13208">
      <c r="A13208" s="4" t="str">
        <f>IFERROR(__xludf.DUMMYFUNCTION("""COMPUTED_VALUE"""),"cas_hmw")</f>
        <v>cas_hmw</v>
      </c>
      <c r="B13208" s="5">
        <f>IFERROR(__xludf.DUMMYFUNCTION("""COMPUTED_VALUE"""),44718.0)</f>
        <v>44718</v>
      </c>
      <c r="C13208" s="6">
        <f>IFERROR(__xludf.DUMMYFUNCTION("""COMPUTED_VALUE"""),0.32920138888948713)</f>
        <v>0.3292013889</v>
      </c>
      <c r="D13208" s="4">
        <f>IFERROR(__xludf.DUMMYFUNCTION("""COMPUTED_VALUE"""),13.000443)</f>
        <v>13.000443</v>
      </c>
      <c r="E13208" s="4">
        <f>IFERROR(__xludf.DUMMYFUNCTION("""COMPUTED_VALUE"""),80.194749)</f>
        <v>80.194749</v>
      </c>
      <c r="F13208" s="4">
        <f>IFERROR(__xludf.DUMMYFUNCTION("""COMPUTED_VALUE"""),2846.0)</f>
        <v>2846</v>
      </c>
      <c r="G13208" s="4">
        <f>IFERROR(__xludf.DUMMYFUNCTION("""COMPUTED_VALUE"""),46.0)</f>
        <v>46</v>
      </c>
      <c r="H13208" s="4"/>
      <c r="I13208" s="4"/>
    </row>
    <row r="13209">
      <c r="A13209" s="4" t="str">
        <f>IFERROR(__xludf.DUMMYFUNCTION("""COMPUTED_VALUE"""),"cas_hmw")</f>
        <v>cas_hmw</v>
      </c>
      <c r="B13209" s="5">
        <f>IFERROR(__xludf.DUMMYFUNCTION("""COMPUTED_VALUE"""),44718.0)</f>
        <v>44718</v>
      </c>
      <c r="C13209" s="6">
        <f>IFERROR(__xludf.DUMMYFUNCTION("""COMPUTED_VALUE"""),0.3294444444436522)</f>
        <v>0.3294444444</v>
      </c>
      <c r="D13209" s="4">
        <f>IFERROR(__xludf.DUMMYFUNCTION("""COMPUTED_VALUE"""),12.994171)</f>
        <v>12.994171</v>
      </c>
      <c r="E13209" s="4">
        <f>IFERROR(__xludf.DUMMYFUNCTION("""COMPUTED_VALUE"""),80.185869)</f>
        <v>80.185869</v>
      </c>
      <c r="F13209" s="4">
        <f>IFERROR(__xludf.DUMMYFUNCTION("""COMPUTED_VALUE"""),2846.0)</f>
        <v>2846</v>
      </c>
      <c r="G13209" s="4">
        <f>IFERROR(__xludf.DUMMYFUNCTION("""COMPUTED_VALUE"""),49.0)</f>
        <v>49</v>
      </c>
      <c r="H13209" s="4"/>
      <c r="I13209" s="4"/>
    </row>
    <row r="13210">
      <c r="A13210" s="4" t="str">
        <f>IFERROR(__xludf.DUMMYFUNCTION("""COMPUTED_VALUE"""),"cas_hmw")</f>
        <v>cas_hmw</v>
      </c>
      <c r="B13210" s="5">
        <f>IFERROR(__xludf.DUMMYFUNCTION("""COMPUTED_VALUE"""),44718.0)</f>
        <v>44718</v>
      </c>
      <c r="C13210" s="6">
        <f>IFERROR(__xludf.DUMMYFUNCTION("""COMPUTED_VALUE"""),0.3302314814827696)</f>
        <v>0.3302314815</v>
      </c>
      <c r="D13210" s="4">
        <f>IFERROR(__xludf.DUMMYFUNCTION("""COMPUTED_VALUE"""),12.990728)</f>
        <v>12.990728</v>
      </c>
      <c r="E13210" s="4">
        <f>IFERROR(__xludf.DUMMYFUNCTION("""COMPUTED_VALUE"""),80.18049)</f>
        <v>80.18049</v>
      </c>
      <c r="F13210" s="4">
        <f>IFERROR(__xludf.DUMMYFUNCTION("""COMPUTED_VALUE"""),2846.0)</f>
        <v>2846</v>
      </c>
      <c r="G13210" s="4">
        <f>IFERROR(__xludf.DUMMYFUNCTION("""COMPUTED_VALUE"""),57.0)</f>
        <v>57</v>
      </c>
      <c r="H13210" s="4"/>
      <c r="I13210" s="4"/>
    </row>
    <row r="13211">
      <c r="A13211" s="4" t="str">
        <f>IFERROR(__xludf.DUMMYFUNCTION("""COMPUTED_VALUE"""),"cas_hmw")</f>
        <v>cas_hmw</v>
      </c>
      <c r="B13211" s="5">
        <f>IFERROR(__xludf.DUMMYFUNCTION("""COMPUTED_VALUE"""),44718.0)</f>
        <v>44718</v>
      </c>
      <c r="C13211" s="6">
        <f>IFERROR(__xludf.DUMMYFUNCTION("""COMPUTED_VALUE"""),0.3314236111109494)</f>
        <v>0.3314236111</v>
      </c>
      <c r="D13211" s="4">
        <f>IFERROR(__xludf.DUMMYFUNCTION("""COMPUTED_VALUE"""),12.761401)</f>
        <v>12.761401</v>
      </c>
      <c r="E13211" s="4">
        <f>IFERROR(__xludf.DUMMYFUNCTION("""COMPUTED_VALUE"""),80.003538)</f>
        <v>80.003538</v>
      </c>
      <c r="F13211" s="4">
        <f>IFERROR(__xludf.DUMMYFUNCTION("""COMPUTED_VALUE"""),805.0)</f>
        <v>805</v>
      </c>
      <c r="G13211" s="4">
        <f>IFERROR(__xludf.DUMMYFUNCTION("""COMPUTED_VALUE"""),29.0)</f>
        <v>29</v>
      </c>
      <c r="H13211" s="4"/>
      <c r="I13211" s="4"/>
    </row>
    <row r="13212">
      <c r="A13212" s="4" t="str">
        <f>IFERROR(__xludf.DUMMYFUNCTION("""COMPUTED_VALUE"""),"cas_hmw")</f>
        <v>cas_hmw</v>
      </c>
      <c r="B13212" s="5">
        <f>IFERROR(__xludf.DUMMYFUNCTION("""COMPUTED_VALUE"""),44718.0)</f>
        <v>44718</v>
      </c>
      <c r="C13212" s="6">
        <f>IFERROR(__xludf.DUMMYFUNCTION("""COMPUTED_VALUE"""),0.3321180555540195)</f>
        <v>0.3321180556</v>
      </c>
      <c r="D13212" s="4">
        <f>IFERROR(__xludf.DUMMYFUNCTION("""COMPUTED_VALUE"""),12.764111)</f>
        <v>12.764111</v>
      </c>
      <c r="E13212" s="4">
        <f>IFERROR(__xludf.DUMMYFUNCTION("""COMPUTED_VALUE"""),80.004414)</f>
        <v>80.004414</v>
      </c>
      <c r="F13212" s="4">
        <f>IFERROR(__xludf.DUMMYFUNCTION("""COMPUTED_VALUE"""),805.0)</f>
        <v>805</v>
      </c>
      <c r="G13212" s="4">
        <f>IFERROR(__xludf.DUMMYFUNCTION("""COMPUTED_VALUE"""),38.0)</f>
        <v>38</v>
      </c>
      <c r="H13212" s="4"/>
      <c r="I13212" s="4"/>
    </row>
    <row r="13213">
      <c r="A13213" s="4" t="str">
        <f>IFERROR(__xludf.DUMMYFUNCTION("""COMPUTED_VALUE"""),"cas_hmw")</f>
        <v>cas_hmw</v>
      </c>
      <c r="B13213" s="5">
        <f>IFERROR(__xludf.DUMMYFUNCTION("""COMPUTED_VALUE"""),44718.0)</f>
        <v>44718</v>
      </c>
      <c r="C13213" s="6">
        <f>IFERROR(__xludf.DUMMYFUNCTION("""COMPUTED_VALUE"""),0.33283564814701094)</f>
        <v>0.3328356481</v>
      </c>
      <c r="D13213" s="4">
        <f>IFERROR(__xludf.DUMMYFUNCTION("""COMPUTED_VALUE"""),12.976351)</f>
        <v>12.976351</v>
      </c>
      <c r="E13213" s="4">
        <f>IFERROR(__xludf.DUMMYFUNCTION("""COMPUTED_VALUE"""),80.157585)</f>
        <v>80.157585</v>
      </c>
      <c r="F13213" s="4">
        <f>IFERROR(__xludf.DUMMYFUNCTION("""COMPUTED_VALUE"""),2846.0)</f>
        <v>2846</v>
      </c>
      <c r="G13213" s="4">
        <f>IFERROR(__xludf.DUMMYFUNCTION("""COMPUTED_VALUE"""),57.0)</f>
        <v>57</v>
      </c>
      <c r="H13213" s="4"/>
      <c r="I13213" s="4"/>
    </row>
    <row r="13214">
      <c r="A13214" s="4" t="str">
        <f>IFERROR(__xludf.DUMMYFUNCTION("""COMPUTED_VALUE"""),"cas_hmw")</f>
        <v>cas_hmw</v>
      </c>
      <c r="B13214" s="5">
        <f>IFERROR(__xludf.DUMMYFUNCTION("""COMPUTED_VALUE"""),44718.0)</f>
        <v>44718</v>
      </c>
      <c r="C13214" s="6">
        <f>IFERROR(__xludf.DUMMYFUNCTION("""COMPUTED_VALUE"""),0.333217592593428)</f>
        <v>0.3332175926</v>
      </c>
      <c r="D13214" s="4">
        <f>IFERROR(__xludf.DUMMYFUNCTION("""COMPUTED_VALUE"""),12.97497)</f>
        <v>12.97497</v>
      </c>
      <c r="E13214" s="4">
        <f>IFERROR(__xludf.DUMMYFUNCTION("""COMPUTED_VALUE"""),80.155604)</f>
        <v>80.155604</v>
      </c>
      <c r="F13214" s="4">
        <f>IFERROR(__xludf.DUMMYFUNCTION("""COMPUTED_VALUE"""),2846.0)</f>
        <v>2846</v>
      </c>
      <c r="G13214" s="4">
        <f>IFERROR(__xludf.DUMMYFUNCTION("""COMPUTED_VALUE"""),28.0)</f>
        <v>28</v>
      </c>
      <c r="H13214" s="4"/>
      <c r="I13214" s="4"/>
    </row>
    <row r="13215">
      <c r="A13215" s="4" t="str">
        <f>IFERROR(__xludf.DUMMYFUNCTION("""COMPUTED_VALUE"""),"cas_hmw")</f>
        <v>cas_hmw</v>
      </c>
      <c r="B13215" s="5">
        <f>IFERROR(__xludf.DUMMYFUNCTION("""COMPUTED_VALUE"""),44718.0)</f>
        <v>44718</v>
      </c>
      <c r="C13215" s="6">
        <f>IFERROR(__xludf.DUMMYFUNCTION("""COMPUTED_VALUE"""),0.333391203705105)</f>
        <v>0.3333912037</v>
      </c>
      <c r="D13215" s="4">
        <f>IFERROR(__xludf.DUMMYFUNCTION("""COMPUTED_VALUE"""),12.974291)</f>
        <v>12.974291</v>
      </c>
      <c r="E13215" s="4">
        <f>IFERROR(__xludf.DUMMYFUNCTION("""COMPUTED_VALUE"""),80.154656)</f>
        <v>80.154656</v>
      </c>
      <c r="F13215" s="4">
        <f>IFERROR(__xludf.DUMMYFUNCTION("""COMPUTED_VALUE"""),2846.0)</f>
        <v>2846</v>
      </c>
      <c r="G13215" s="4">
        <f>IFERROR(__xludf.DUMMYFUNCTION("""COMPUTED_VALUE"""),32.0)</f>
        <v>32</v>
      </c>
      <c r="H13215" s="4"/>
      <c r="I13215" s="4"/>
    </row>
    <row r="13216">
      <c r="A13216" s="4" t="str">
        <f>IFERROR(__xludf.DUMMYFUNCTION("""COMPUTED_VALUE"""),"cas_hmw")</f>
        <v>cas_hmw</v>
      </c>
      <c r="B13216" s="5">
        <f>IFERROR(__xludf.DUMMYFUNCTION("""COMPUTED_VALUE"""),44718.0)</f>
        <v>44718</v>
      </c>
      <c r="C13216" s="6">
        <f>IFERROR(__xludf.DUMMYFUNCTION("""COMPUTED_VALUE"""),0.333530092593719)</f>
        <v>0.3335300926</v>
      </c>
      <c r="D13216" s="4">
        <f>IFERROR(__xludf.DUMMYFUNCTION("""COMPUTED_VALUE"""),12.974291)</f>
        <v>12.974291</v>
      </c>
      <c r="E13216" s="4">
        <f>IFERROR(__xludf.DUMMYFUNCTION("""COMPUTED_VALUE"""),80.154656)</f>
        <v>80.154656</v>
      </c>
      <c r="F13216" s="4">
        <f>IFERROR(__xludf.DUMMYFUNCTION("""COMPUTED_VALUE"""),2846.0)</f>
        <v>2846</v>
      </c>
      <c r="G13216" s="4">
        <f>IFERROR(__xludf.DUMMYFUNCTION("""COMPUTED_VALUE"""),32.0)</f>
        <v>32</v>
      </c>
      <c r="H13216" s="4"/>
      <c r="I13216" s="4"/>
    </row>
    <row r="13217">
      <c r="A13217" s="4" t="str">
        <f>IFERROR(__xludf.DUMMYFUNCTION("""COMPUTED_VALUE"""),"cas_hmw")</f>
        <v>cas_hmw</v>
      </c>
      <c r="B13217" s="5">
        <f>IFERROR(__xludf.DUMMYFUNCTION("""COMPUTED_VALUE"""),44718.0)</f>
        <v>44718</v>
      </c>
      <c r="C13217" s="6">
        <f>IFERROR(__xludf.DUMMYFUNCTION("""COMPUTED_VALUE"""),0.33438657407532446)</f>
        <v>0.3343865741</v>
      </c>
      <c r="D13217" s="4">
        <f>IFERROR(__xludf.DUMMYFUNCTION("""COMPUTED_VALUE"""),12.971773)</f>
        <v>12.971773</v>
      </c>
      <c r="E13217" s="4">
        <f>IFERROR(__xludf.DUMMYFUNCTION("""COMPUTED_VALUE"""),80.151236)</f>
        <v>80.151236</v>
      </c>
      <c r="F13217" s="4">
        <f>IFERROR(__xludf.DUMMYFUNCTION("""COMPUTED_VALUE"""),2846.0)</f>
        <v>2846</v>
      </c>
      <c r="G13217" s="4">
        <f>IFERROR(__xludf.DUMMYFUNCTION("""COMPUTED_VALUE"""),20.0)</f>
        <v>20</v>
      </c>
      <c r="H13217" s="4"/>
      <c r="I13217" s="4"/>
    </row>
    <row r="13218">
      <c r="A13218" s="4" t="str">
        <f>IFERROR(__xludf.DUMMYFUNCTION("""COMPUTED_VALUE"""),"cas_hmw")</f>
        <v>cas_hmw</v>
      </c>
      <c r="B13218" s="5">
        <f>IFERROR(__xludf.DUMMYFUNCTION("""COMPUTED_VALUE"""),44718.0)</f>
        <v>44718</v>
      </c>
      <c r="C13218" s="6">
        <f>IFERROR(__xludf.DUMMYFUNCTION("""COMPUTED_VALUE"""),0.3352893518531346)</f>
        <v>0.3352893519</v>
      </c>
      <c r="D13218" s="4">
        <f>IFERROR(__xludf.DUMMYFUNCTION("""COMPUTED_VALUE"""),12.969391)</f>
        <v>12.969391</v>
      </c>
      <c r="E13218" s="4">
        <f>IFERROR(__xludf.DUMMYFUNCTION("""COMPUTED_VALUE"""),80.150063)</f>
        <v>80.150063</v>
      </c>
      <c r="F13218" s="4">
        <f>IFERROR(__xludf.DUMMYFUNCTION("""COMPUTED_VALUE"""),2846.0)</f>
        <v>2846</v>
      </c>
      <c r="G13218" s="4">
        <f>IFERROR(__xludf.DUMMYFUNCTION("""COMPUTED_VALUE"""),41.0)</f>
        <v>41</v>
      </c>
      <c r="H13218" s="4"/>
      <c r="I13218" s="4"/>
    </row>
    <row r="13219">
      <c r="A13219" s="4" t="str">
        <f>IFERROR(__xludf.DUMMYFUNCTION("""COMPUTED_VALUE"""),"cas_hmw")</f>
        <v>cas_hmw</v>
      </c>
      <c r="B13219" s="5">
        <f>IFERROR(__xludf.DUMMYFUNCTION("""COMPUTED_VALUE"""),44718.0)</f>
        <v>44718</v>
      </c>
      <c r="C13219" s="6">
        <f>IFERROR(__xludf.DUMMYFUNCTION("""COMPUTED_VALUE"""),0.33530092592627625)</f>
        <v>0.3353009259</v>
      </c>
      <c r="D13219" s="4">
        <f>IFERROR(__xludf.DUMMYFUNCTION("""COMPUTED_VALUE"""),12.968382)</f>
        <v>12.968382</v>
      </c>
      <c r="E13219" s="4">
        <f>IFERROR(__xludf.DUMMYFUNCTION("""COMPUTED_VALUE"""),80.149587)</f>
        <v>80.149587</v>
      </c>
      <c r="F13219" s="4">
        <f>IFERROR(__xludf.DUMMYFUNCTION("""COMPUTED_VALUE"""),2846.0)</f>
        <v>2846</v>
      </c>
      <c r="G13219" s="4">
        <f>IFERROR(__xludf.DUMMYFUNCTION("""COMPUTED_VALUE"""),45.0)</f>
        <v>45</v>
      </c>
      <c r="H13219" s="4"/>
      <c r="I13219" s="4"/>
    </row>
    <row r="13220">
      <c r="A13220" s="4" t="str">
        <f>IFERROR(__xludf.DUMMYFUNCTION("""COMPUTED_VALUE"""),"cas_hmw")</f>
        <v>cas_hmw</v>
      </c>
      <c r="B13220" s="5">
        <f>IFERROR(__xludf.DUMMYFUNCTION("""COMPUTED_VALUE"""),44718.0)</f>
        <v>44718</v>
      </c>
      <c r="C13220" s="6">
        <f>IFERROR(__xludf.DUMMYFUNCTION("""COMPUTED_VALUE"""),0.3353240740725596)</f>
        <v>0.3353240741</v>
      </c>
      <c r="D13220" s="4">
        <f>IFERROR(__xludf.DUMMYFUNCTION("""COMPUTED_VALUE"""),12.966516)</f>
        <v>12.966516</v>
      </c>
      <c r="E13220" s="4">
        <f>IFERROR(__xludf.DUMMYFUNCTION("""COMPUTED_VALUE"""),80.148761)</f>
        <v>80.148761</v>
      </c>
      <c r="F13220" s="4">
        <f>IFERROR(__xludf.DUMMYFUNCTION("""COMPUTED_VALUE"""),2846.0)</f>
        <v>2846</v>
      </c>
      <c r="G13220" s="4">
        <f>IFERROR(__xludf.DUMMYFUNCTION("""COMPUTED_VALUE"""),40.0)</f>
        <v>40</v>
      </c>
      <c r="H13220" s="4"/>
      <c r="I13220" s="4"/>
    </row>
    <row r="13221">
      <c r="A13221" s="4" t="str">
        <f>IFERROR(__xludf.DUMMYFUNCTION("""COMPUTED_VALUE"""),"cas_hmw")</f>
        <v>cas_hmw</v>
      </c>
      <c r="B13221" s="5">
        <f>IFERROR(__xludf.DUMMYFUNCTION("""COMPUTED_VALUE"""),44718.0)</f>
        <v>44718</v>
      </c>
      <c r="C13221" s="6">
        <f>IFERROR(__xludf.DUMMYFUNCTION("""COMPUTED_VALUE"""),0.33570601851897663)</f>
        <v>0.3357060185</v>
      </c>
      <c r="D13221" s="4">
        <f>IFERROR(__xludf.DUMMYFUNCTION("""COMPUTED_VALUE"""),12.961659)</f>
        <v>12.961659</v>
      </c>
      <c r="E13221" s="4">
        <f>IFERROR(__xludf.DUMMYFUNCTION("""COMPUTED_VALUE"""),80.146195)</f>
        <v>80.146195</v>
      </c>
      <c r="F13221" s="4">
        <f>IFERROR(__xludf.DUMMYFUNCTION("""COMPUTED_VALUE"""),2846.0)</f>
        <v>2846</v>
      </c>
      <c r="G13221" s="4">
        <f>IFERROR(__xludf.DUMMYFUNCTION("""COMPUTED_VALUE"""),20.0)</f>
        <v>20</v>
      </c>
      <c r="H13221" s="4"/>
      <c r="I13221" s="4"/>
    </row>
    <row r="13222">
      <c r="A13222" s="4" t="str">
        <f>IFERROR(__xludf.DUMMYFUNCTION("""COMPUTED_VALUE"""),"cas_hmw")</f>
        <v>cas_hmw</v>
      </c>
      <c r="B13222" s="5">
        <f>IFERROR(__xludf.DUMMYFUNCTION("""COMPUTED_VALUE"""),44718.0)</f>
        <v>44718</v>
      </c>
      <c r="C13222" s="6">
        <f>IFERROR(__xludf.DUMMYFUNCTION("""COMPUTED_VALUE"""),0.33605324074233067)</f>
        <v>0.3360532407</v>
      </c>
      <c r="D13222" s="4">
        <f>IFERROR(__xludf.DUMMYFUNCTION("""COMPUTED_VALUE"""),12.795998)</f>
        <v>12.795998</v>
      </c>
      <c r="E13222" s="4">
        <f>IFERROR(__xludf.DUMMYFUNCTION("""COMPUTED_VALUE"""),80.020609)</f>
        <v>80.020609</v>
      </c>
      <c r="F13222" s="4">
        <f>IFERROR(__xludf.DUMMYFUNCTION("""COMPUTED_VALUE"""),805.0)</f>
        <v>805</v>
      </c>
      <c r="G13222" s="4">
        <f>IFERROR(__xludf.DUMMYFUNCTION("""COMPUTED_VALUE"""),30.0)</f>
        <v>30</v>
      </c>
      <c r="H13222" s="4"/>
      <c r="I13222" s="4"/>
    </row>
    <row r="13223">
      <c r="A13223" s="4" t="str">
        <f>IFERROR(__xludf.DUMMYFUNCTION("""COMPUTED_VALUE"""),"cas_hmw")</f>
        <v>cas_hmw</v>
      </c>
      <c r="B13223" s="5">
        <f>IFERROR(__xludf.DUMMYFUNCTION("""COMPUTED_VALUE"""),44718.0)</f>
        <v>44718</v>
      </c>
      <c r="C13223" s="6">
        <f>IFERROR(__xludf.DUMMYFUNCTION("""COMPUTED_VALUE"""),0.33614583333474)</f>
        <v>0.3361458333</v>
      </c>
      <c r="D13223" s="4">
        <f>IFERROR(__xludf.DUMMYFUNCTION("""COMPUTED_VALUE"""),12.958405)</f>
        <v>12.958405</v>
      </c>
      <c r="E13223" s="4">
        <f>IFERROR(__xludf.DUMMYFUNCTION("""COMPUTED_VALUE"""),80.144383)</f>
        <v>80.144383</v>
      </c>
      <c r="F13223" s="4">
        <f>IFERROR(__xludf.DUMMYFUNCTION("""COMPUTED_VALUE"""),2846.0)</f>
        <v>2846</v>
      </c>
      <c r="G13223" s="4">
        <f>IFERROR(__xludf.DUMMYFUNCTION("""COMPUTED_VALUE"""),46.0)</f>
        <v>46</v>
      </c>
      <c r="H13223" s="4"/>
      <c r="I13223" s="4"/>
    </row>
    <row r="13224">
      <c r="A13224" s="4" t="str">
        <f>IFERROR(__xludf.DUMMYFUNCTION("""COMPUTED_VALUE"""),"cas_hmw")</f>
        <v>cas_hmw</v>
      </c>
      <c r="B13224" s="5">
        <f>IFERROR(__xludf.DUMMYFUNCTION("""COMPUTED_VALUE"""),44718.0)</f>
        <v>44718</v>
      </c>
      <c r="C13224" s="6">
        <f>IFERROR(__xludf.DUMMYFUNCTION("""COMPUTED_VALUE"""),0.3366550925929914)</f>
        <v>0.3366550926</v>
      </c>
      <c r="D13224" s="4">
        <f>IFERROR(__xludf.DUMMYFUNCTION("""COMPUTED_VALUE"""),12.800078)</f>
        <v>12.800078</v>
      </c>
      <c r="E13224" s="4">
        <f>IFERROR(__xludf.DUMMYFUNCTION("""COMPUTED_VALUE"""),80.023336)</f>
        <v>80.023336</v>
      </c>
      <c r="F13224" s="4">
        <f>IFERROR(__xludf.DUMMYFUNCTION("""COMPUTED_VALUE"""),805.0)</f>
        <v>805</v>
      </c>
      <c r="G13224" s="4">
        <f>IFERROR(__xludf.DUMMYFUNCTION("""COMPUTED_VALUE"""),58.0)</f>
        <v>58</v>
      </c>
      <c r="H13224" s="4"/>
      <c r="I13224" s="4"/>
    </row>
    <row r="13225">
      <c r="A13225" s="4" t="str">
        <f>IFERROR(__xludf.DUMMYFUNCTION("""COMPUTED_VALUE"""),"cas_hmw")</f>
        <v>cas_hmw</v>
      </c>
      <c r="B13225" s="5">
        <f>IFERROR(__xludf.DUMMYFUNCTION("""COMPUTED_VALUE"""),44718.0)</f>
        <v>44718</v>
      </c>
      <c r="C13225" s="6">
        <f>IFERROR(__xludf.DUMMYFUNCTION("""COMPUTED_VALUE"""),0.33849537037167465)</f>
        <v>0.3384953704</v>
      </c>
      <c r="D13225" s="4">
        <f>IFERROR(__xludf.DUMMYFUNCTION("""COMPUTED_VALUE"""),12.919687)</f>
        <v>12.919687</v>
      </c>
      <c r="E13225" s="4">
        <f>IFERROR(__xludf.DUMMYFUNCTION("""COMPUTED_VALUE"""),80.181914)</f>
        <v>80.181914</v>
      </c>
      <c r="F13225" s="4">
        <f>IFERROR(__xludf.DUMMYFUNCTION("""COMPUTED_VALUE"""),3143.0)</f>
        <v>3143</v>
      </c>
      <c r="G13225" s="4">
        <f>IFERROR(__xludf.DUMMYFUNCTION("""COMPUTED_VALUE"""),42.0)</f>
        <v>42</v>
      </c>
      <c r="H13225" s="4"/>
      <c r="I13225" s="4"/>
    </row>
    <row r="13226">
      <c r="A13226" s="4" t="str">
        <f>IFERROR(__xludf.DUMMYFUNCTION("""COMPUTED_VALUE"""),"cas_hmw")</f>
        <v>cas_hmw</v>
      </c>
      <c r="B13226" s="5">
        <f>IFERROR(__xludf.DUMMYFUNCTION("""COMPUTED_VALUE"""),44718.0)</f>
        <v>44718</v>
      </c>
      <c r="C13226" s="6">
        <f>IFERROR(__xludf.DUMMYFUNCTION("""COMPUTED_VALUE"""),0.33857638888730435)</f>
        <v>0.3385763889</v>
      </c>
      <c r="D13226" s="4">
        <f>IFERROR(__xludf.DUMMYFUNCTION("""COMPUTED_VALUE"""),12.82697)</f>
        <v>12.82697</v>
      </c>
      <c r="E13226" s="4">
        <f>IFERROR(__xludf.DUMMYFUNCTION("""COMPUTED_VALUE"""),80.041716)</f>
        <v>80.041716</v>
      </c>
      <c r="F13226" s="4">
        <f>IFERROR(__xludf.DUMMYFUNCTION("""COMPUTED_VALUE"""),805.0)</f>
        <v>805</v>
      </c>
      <c r="G13226" s="4">
        <f>IFERROR(__xludf.DUMMYFUNCTION("""COMPUTED_VALUE"""),58.0)</f>
        <v>58</v>
      </c>
      <c r="H13226" s="4"/>
      <c r="I13226" s="4"/>
    </row>
    <row r="13227">
      <c r="A13227" s="4" t="str">
        <f>IFERROR(__xludf.DUMMYFUNCTION("""COMPUTED_VALUE"""),"cas_hmw")</f>
        <v>cas_hmw</v>
      </c>
      <c r="B13227" s="5">
        <f>IFERROR(__xludf.DUMMYFUNCTION("""COMPUTED_VALUE"""),44718.0)</f>
        <v>44718</v>
      </c>
      <c r="C13227" s="6">
        <f>IFERROR(__xludf.DUMMYFUNCTION("""COMPUTED_VALUE"""),0.3391087962954771)</f>
        <v>0.3391087963</v>
      </c>
      <c r="D13227" s="4">
        <f>IFERROR(__xludf.DUMMYFUNCTION("""COMPUTED_VALUE"""),12.918364)</f>
        <v>12.918364</v>
      </c>
      <c r="E13227" s="4">
        <f>IFERROR(__xludf.DUMMYFUNCTION("""COMPUTED_VALUE"""),80.17666)</f>
        <v>80.17666</v>
      </c>
      <c r="F13227" s="4">
        <f>IFERROR(__xludf.DUMMYFUNCTION("""COMPUTED_VALUE"""),3143.0)</f>
        <v>3143</v>
      </c>
      <c r="G13227" s="4">
        <f>IFERROR(__xludf.DUMMYFUNCTION("""COMPUTED_VALUE"""),49.0)</f>
        <v>49</v>
      </c>
      <c r="H13227" s="4"/>
      <c r="I13227" s="4"/>
    </row>
    <row r="13228">
      <c r="A13228" s="4" t="str">
        <f>IFERROR(__xludf.DUMMYFUNCTION("""COMPUTED_VALUE"""),"cas_hmw")</f>
        <v>cas_hmw</v>
      </c>
      <c r="B13228" s="5">
        <f>IFERROR(__xludf.DUMMYFUNCTION("""COMPUTED_VALUE"""),44718.0)</f>
        <v>44718</v>
      </c>
      <c r="C13228" s="6">
        <f>IFERROR(__xludf.DUMMYFUNCTION("""COMPUTED_VALUE"""),0.3391666666684614)</f>
        <v>0.3391666667</v>
      </c>
      <c r="D13228" s="4">
        <f>IFERROR(__xludf.DUMMYFUNCTION("""COMPUTED_VALUE"""),12.945053)</f>
        <v>12.945053</v>
      </c>
      <c r="E13228" s="4">
        <f>IFERROR(__xludf.DUMMYFUNCTION("""COMPUTED_VALUE"""),80.135439)</f>
        <v>80.135439</v>
      </c>
      <c r="F13228" s="4">
        <f>IFERROR(__xludf.DUMMYFUNCTION("""COMPUTED_VALUE"""),2846.0)</f>
        <v>2846</v>
      </c>
      <c r="G13228" s="4">
        <f>IFERROR(__xludf.DUMMYFUNCTION("""COMPUTED_VALUE"""),48.0)</f>
        <v>48</v>
      </c>
      <c r="H13228" s="4"/>
      <c r="I13228" s="4"/>
    </row>
    <row r="13229">
      <c r="A13229" s="4" t="str">
        <f>IFERROR(__xludf.DUMMYFUNCTION("""COMPUTED_VALUE"""),"cas_hmw")</f>
        <v>cas_hmw</v>
      </c>
      <c r="B13229" s="5">
        <f>IFERROR(__xludf.DUMMYFUNCTION("""COMPUTED_VALUE"""),44718.0)</f>
        <v>44718</v>
      </c>
      <c r="C13229" s="6">
        <f>IFERROR(__xludf.DUMMYFUNCTION("""COMPUTED_VALUE"""),0.33956018518438214)</f>
        <v>0.3395601852</v>
      </c>
      <c r="D13229" s="4">
        <f>IFERROR(__xludf.DUMMYFUNCTION("""COMPUTED_VALUE"""),12.919326)</f>
        <v>12.919326</v>
      </c>
      <c r="E13229" s="4">
        <f>IFERROR(__xludf.DUMMYFUNCTION("""COMPUTED_VALUE"""),80.172789)</f>
        <v>80.172789</v>
      </c>
      <c r="F13229" s="4">
        <f>IFERROR(__xludf.DUMMYFUNCTION("""COMPUTED_VALUE"""),3143.0)</f>
        <v>3143</v>
      </c>
      <c r="G13229" s="4">
        <f>IFERROR(__xludf.DUMMYFUNCTION("""COMPUTED_VALUE"""),53.0)</f>
        <v>53</v>
      </c>
      <c r="H13229" s="4"/>
      <c r="I13229" s="4"/>
    </row>
    <row r="13230">
      <c r="A13230" s="4" t="str">
        <f>IFERROR(__xludf.DUMMYFUNCTION("""COMPUTED_VALUE"""),"cas_hmw")</f>
        <v>cas_hmw</v>
      </c>
      <c r="B13230" s="5">
        <f>IFERROR(__xludf.DUMMYFUNCTION("""COMPUTED_VALUE"""),44718.0)</f>
        <v>44718</v>
      </c>
      <c r="C13230" s="6">
        <f>IFERROR(__xludf.DUMMYFUNCTION("""COMPUTED_VALUE"""),0.33966435185357113)</f>
        <v>0.3396643519</v>
      </c>
      <c r="D13230" s="4">
        <f>IFERROR(__xludf.DUMMYFUNCTION("""COMPUTED_VALUE"""),12.834463)</f>
        <v>12.834463</v>
      </c>
      <c r="E13230" s="4">
        <f>IFERROR(__xludf.DUMMYFUNCTION("""COMPUTED_VALUE"""),80.049679)</f>
        <v>80.049679</v>
      </c>
      <c r="F13230" s="4">
        <f>IFERROR(__xludf.DUMMYFUNCTION("""COMPUTED_VALUE"""),805.0)</f>
        <v>805</v>
      </c>
      <c r="G13230" s="4">
        <f>IFERROR(__xludf.DUMMYFUNCTION("""COMPUTED_VALUE"""),25.0)</f>
        <v>25</v>
      </c>
      <c r="H13230" s="4"/>
      <c r="I13230" s="4"/>
    </row>
    <row r="13231">
      <c r="A13231" s="4" t="str">
        <f>IFERROR(__xludf.DUMMYFUNCTION("""COMPUTED_VALUE"""),"cas_hmw")</f>
        <v>cas_hmw</v>
      </c>
      <c r="B13231" s="5">
        <f>IFERROR(__xludf.DUMMYFUNCTION("""COMPUTED_VALUE"""),44718.0)</f>
        <v>44718</v>
      </c>
      <c r="C13231" s="6">
        <f>IFERROR(__xludf.DUMMYFUNCTION("""COMPUTED_VALUE"""),0.3398263888884685)</f>
        <v>0.3398263889</v>
      </c>
      <c r="D13231" s="4">
        <f>IFERROR(__xludf.DUMMYFUNCTION("""COMPUTED_VALUE"""),12.919656)</f>
        <v>12.919656</v>
      </c>
      <c r="E13231" s="4">
        <f>IFERROR(__xludf.DUMMYFUNCTION("""COMPUTED_VALUE"""),80.171456)</f>
        <v>80.171456</v>
      </c>
      <c r="F13231" s="4">
        <f>IFERROR(__xludf.DUMMYFUNCTION("""COMPUTED_VALUE"""),3143.0)</f>
        <v>3143</v>
      </c>
      <c r="G13231" s="4">
        <f>IFERROR(__xludf.DUMMYFUNCTION("""COMPUTED_VALUE"""),41.0)</f>
        <v>41</v>
      </c>
      <c r="H13231" s="4"/>
      <c r="I13231" s="4"/>
    </row>
    <row r="13232">
      <c r="A13232" s="4" t="str">
        <f>IFERROR(__xludf.DUMMYFUNCTION("""COMPUTED_VALUE"""),"cas_hmw")</f>
        <v>cas_hmw</v>
      </c>
      <c r="B13232" s="5">
        <f>IFERROR(__xludf.DUMMYFUNCTION("""COMPUTED_VALUE"""),44718.0)</f>
        <v>44718</v>
      </c>
      <c r="C13232" s="6">
        <f>IFERROR(__xludf.DUMMYFUNCTION("""COMPUTED_VALUE"""),0.3398726851846732)</f>
        <v>0.3398726852</v>
      </c>
      <c r="D13232" s="4">
        <f>IFERROR(__xludf.DUMMYFUNCTION("""COMPUTED_VALUE"""),12.942698)</f>
        <v>12.942698</v>
      </c>
      <c r="E13232" s="4">
        <f>IFERROR(__xludf.DUMMYFUNCTION("""COMPUTED_VALUE"""),80.133381)</f>
        <v>80.133381</v>
      </c>
      <c r="F13232" s="4">
        <f>IFERROR(__xludf.DUMMYFUNCTION("""COMPUTED_VALUE"""),2846.0)</f>
        <v>2846</v>
      </c>
      <c r="G13232" s="4">
        <f>IFERROR(__xludf.DUMMYFUNCTION("""COMPUTED_VALUE"""),0.0)</f>
        <v>0</v>
      </c>
      <c r="H13232" s="4"/>
      <c r="I13232" s="4"/>
    </row>
    <row r="13233">
      <c r="A13233" s="4" t="str">
        <f>IFERROR(__xludf.DUMMYFUNCTION("""COMPUTED_VALUE"""),"cas_hmw")</f>
        <v>cas_hmw</v>
      </c>
      <c r="B13233" s="5">
        <f>IFERROR(__xludf.DUMMYFUNCTION("""COMPUTED_VALUE"""),44718.0)</f>
        <v>44718</v>
      </c>
      <c r="C13233" s="6">
        <f>IFERROR(__xludf.DUMMYFUNCTION("""COMPUTED_VALUE"""),0.34010416666569654)</f>
        <v>0.3401041667</v>
      </c>
      <c r="D13233" s="4">
        <f>IFERROR(__xludf.DUMMYFUNCTION("""COMPUTED_VALUE"""),12.835854)</f>
        <v>12.835854</v>
      </c>
      <c r="E13233" s="4">
        <f>IFERROR(__xludf.DUMMYFUNCTION("""COMPUTED_VALUE"""),80.051101)</f>
        <v>80.051101</v>
      </c>
      <c r="F13233" s="4">
        <f>IFERROR(__xludf.DUMMYFUNCTION("""COMPUTED_VALUE"""),805.0)</f>
        <v>805</v>
      </c>
      <c r="G13233" s="4">
        <f>IFERROR(__xludf.DUMMYFUNCTION("""COMPUTED_VALUE"""),46.0)</f>
        <v>46</v>
      </c>
      <c r="H13233" s="4"/>
      <c r="I13233" s="4"/>
    </row>
    <row r="13234">
      <c r="A13234" s="4" t="str">
        <f>IFERROR(__xludf.DUMMYFUNCTION("""COMPUTED_VALUE"""),"cas_hmw")</f>
        <v>cas_hmw</v>
      </c>
      <c r="B13234" s="5">
        <f>IFERROR(__xludf.DUMMYFUNCTION("""COMPUTED_VALUE"""),44718.0)</f>
        <v>44718</v>
      </c>
      <c r="C13234" s="6">
        <f>IFERROR(__xludf.DUMMYFUNCTION("""COMPUTED_VALUE"""),0.34012731481561786)</f>
        <v>0.3401273148</v>
      </c>
      <c r="D13234" s="4">
        <f>IFERROR(__xludf.DUMMYFUNCTION("""COMPUTED_VALUE"""),12.920258)</f>
        <v>12.920258</v>
      </c>
      <c r="E13234" s="4">
        <f>IFERROR(__xludf.DUMMYFUNCTION("""COMPUTED_VALUE"""),80.16944)</f>
        <v>80.16944</v>
      </c>
      <c r="F13234" s="4">
        <f>IFERROR(__xludf.DUMMYFUNCTION("""COMPUTED_VALUE"""),3143.0)</f>
        <v>3143</v>
      </c>
      <c r="G13234" s="4">
        <f>IFERROR(__xludf.DUMMYFUNCTION("""COMPUTED_VALUE"""),40.0)</f>
        <v>40</v>
      </c>
      <c r="H13234" s="4"/>
      <c r="I13234" s="4"/>
    </row>
    <row r="13235">
      <c r="A13235" s="4" t="str">
        <f>IFERROR(__xludf.DUMMYFUNCTION("""COMPUTED_VALUE"""),"cas_hmw")</f>
        <v>cas_hmw</v>
      </c>
      <c r="B13235" s="5">
        <f>IFERROR(__xludf.DUMMYFUNCTION("""COMPUTED_VALUE"""),44718.0)</f>
        <v>44718</v>
      </c>
      <c r="C13235" s="6">
        <f>IFERROR(__xludf.DUMMYFUNCTION("""COMPUTED_VALUE"""),0.3401504629619012)</f>
        <v>0.340150463</v>
      </c>
      <c r="D13235" s="4">
        <f>IFERROR(__xludf.DUMMYFUNCTION("""COMPUTED_VALUE"""),12.920258)</f>
        <v>12.920258</v>
      </c>
      <c r="E13235" s="4">
        <f>IFERROR(__xludf.DUMMYFUNCTION("""COMPUTED_VALUE"""),80.16944)</f>
        <v>80.16944</v>
      </c>
      <c r="F13235" s="4">
        <f>IFERROR(__xludf.DUMMYFUNCTION("""COMPUTED_VALUE"""),3143.0)</f>
        <v>3143</v>
      </c>
      <c r="G13235" s="4">
        <f>IFERROR(__xludf.DUMMYFUNCTION("""COMPUTED_VALUE"""),40.0)</f>
        <v>40</v>
      </c>
      <c r="H13235" s="4"/>
      <c r="I13235" s="4"/>
    </row>
    <row r="13236">
      <c r="A13236" s="4" t="str">
        <f>IFERROR(__xludf.DUMMYFUNCTION("""COMPUTED_VALUE"""),"cas_hmw")</f>
        <v>cas_hmw</v>
      </c>
      <c r="B13236" s="5">
        <f>IFERROR(__xludf.DUMMYFUNCTION("""COMPUTED_VALUE"""),44718.0)</f>
        <v>44718</v>
      </c>
      <c r="C13236" s="6">
        <f>IFERROR(__xludf.DUMMYFUNCTION("""COMPUTED_VALUE"""),0.3401504629619012)</f>
        <v>0.340150463</v>
      </c>
      <c r="D13236" s="4">
        <f>IFERROR(__xludf.DUMMYFUNCTION("""COMPUTED_VALUE"""),12.94258)</f>
        <v>12.94258</v>
      </c>
      <c r="E13236" s="4">
        <f>IFERROR(__xludf.DUMMYFUNCTION("""COMPUTED_VALUE"""),80.13327)</f>
        <v>80.13327</v>
      </c>
      <c r="F13236" s="4">
        <f>IFERROR(__xludf.DUMMYFUNCTION("""COMPUTED_VALUE"""),2846.0)</f>
        <v>2846</v>
      </c>
      <c r="G13236" s="4">
        <f>IFERROR(__xludf.DUMMYFUNCTION("""COMPUTED_VALUE"""),10.0)</f>
        <v>10</v>
      </c>
      <c r="H13236" s="4"/>
      <c r="I13236" s="4"/>
    </row>
    <row r="13237">
      <c r="A13237" s="4" t="str">
        <f>IFERROR(__xludf.DUMMYFUNCTION("""COMPUTED_VALUE"""),"cas_hmw")</f>
        <v>cas_hmw</v>
      </c>
      <c r="B13237" s="5">
        <f>IFERROR(__xludf.DUMMYFUNCTION("""COMPUTED_VALUE"""),44718.0)</f>
        <v>44718</v>
      </c>
      <c r="C13237" s="6">
        <f>IFERROR(__xludf.DUMMYFUNCTION("""COMPUTED_VALUE"""),0.34035879629664123)</f>
        <v>0.3403587963</v>
      </c>
      <c r="D13237" s="4">
        <f>IFERROR(__xludf.DUMMYFUNCTION("""COMPUTED_VALUE"""),12.942425)</f>
        <v>12.942425</v>
      </c>
      <c r="E13237" s="4">
        <f>IFERROR(__xludf.DUMMYFUNCTION("""COMPUTED_VALUE"""),80.133112)</f>
        <v>80.133112</v>
      </c>
      <c r="F13237" s="4">
        <f>IFERROR(__xludf.DUMMYFUNCTION("""COMPUTED_VALUE"""),2846.0)</f>
        <v>2846</v>
      </c>
      <c r="G13237" s="4">
        <f>IFERROR(__xludf.DUMMYFUNCTION("""COMPUTED_VALUE"""),16.0)</f>
        <v>16</v>
      </c>
      <c r="H13237" s="4"/>
      <c r="I13237" s="4"/>
    </row>
    <row r="13238">
      <c r="A13238" s="4" t="str">
        <f>IFERROR(__xludf.DUMMYFUNCTION("""COMPUTED_VALUE"""),"cas_hmw")</f>
        <v>cas_hmw</v>
      </c>
      <c r="B13238" s="5">
        <f>IFERROR(__xludf.DUMMYFUNCTION("""COMPUTED_VALUE"""),44718.0)</f>
        <v>44718</v>
      </c>
      <c r="C13238" s="6">
        <f>IFERROR(__xludf.DUMMYFUNCTION("""COMPUTED_VALUE"""),0.34042824073912925)</f>
        <v>0.3404282407</v>
      </c>
      <c r="D13238" s="4">
        <f>IFERROR(__xludf.DUMMYFUNCTION("""COMPUTED_VALUE"""),12.942425)</f>
        <v>12.942425</v>
      </c>
      <c r="E13238" s="4">
        <f>IFERROR(__xludf.DUMMYFUNCTION("""COMPUTED_VALUE"""),80.133112)</f>
        <v>80.133112</v>
      </c>
      <c r="F13238" s="4">
        <f>IFERROR(__xludf.DUMMYFUNCTION("""COMPUTED_VALUE"""),2846.0)</f>
        <v>2846</v>
      </c>
      <c r="G13238" s="4">
        <f>IFERROR(__xludf.DUMMYFUNCTION("""COMPUTED_VALUE"""),16.0)</f>
        <v>16</v>
      </c>
      <c r="H13238" s="4"/>
      <c r="I13238" s="4"/>
    </row>
    <row r="13239">
      <c r="A13239" s="4" t="str">
        <f>IFERROR(__xludf.DUMMYFUNCTION("""COMPUTED_VALUE"""),"cas_hmw")</f>
        <v>cas_hmw</v>
      </c>
      <c r="B13239" s="5">
        <f>IFERROR(__xludf.DUMMYFUNCTION("""COMPUTED_VALUE"""),44718.0)</f>
        <v>44718</v>
      </c>
      <c r="C13239" s="6">
        <f>IFERROR(__xludf.DUMMYFUNCTION("""COMPUTED_VALUE"""),0.3405555555546016)</f>
        <v>0.3405555556</v>
      </c>
      <c r="D13239" s="4">
        <f>IFERROR(__xludf.DUMMYFUNCTION("""COMPUTED_VALUE"""),12.838804)</f>
        <v>12.838804</v>
      </c>
      <c r="E13239" s="4">
        <f>IFERROR(__xludf.DUMMYFUNCTION("""COMPUTED_VALUE"""),80.054142)</f>
        <v>80.054142</v>
      </c>
      <c r="F13239" s="4">
        <f>IFERROR(__xludf.DUMMYFUNCTION("""COMPUTED_VALUE"""),805.0)</f>
        <v>805</v>
      </c>
      <c r="G13239" s="4">
        <f>IFERROR(__xludf.DUMMYFUNCTION("""COMPUTED_VALUE"""),58.0)</f>
        <v>58</v>
      </c>
      <c r="H13239" s="4"/>
      <c r="I13239" s="4"/>
    </row>
    <row r="13240">
      <c r="A13240" s="4" t="str">
        <f>IFERROR(__xludf.DUMMYFUNCTION("""COMPUTED_VALUE"""),"cas_hmw")</f>
        <v>cas_hmw</v>
      </c>
      <c r="B13240" s="5">
        <f>IFERROR(__xludf.DUMMYFUNCTION("""COMPUTED_VALUE"""),44718.0)</f>
        <v>44718</v>
      </c>
      <c r="C13240" s="6">
        <f>IFERROR(__xludf.DUMMYFUNCTION("""COMPUTED_VALUE"""),0.34090277777795563)</f>
        <v>0.3409027778</v>
      </c>
      <c r="D13240" s="4">
        <f>IFERROR(__xludf.DUMMYFUNCTION("""COMPUTED_VALUE"""),12.939653)</f>
        <v>12.939653</v>
      </c>
      <c r="E13240" s="4">
        <f>IFERROR(__xludf.DUMMYFUNCTION("""COMPUTED_VALUE"""),80.130268)</f>
        <v>80.130268</v>
      </c>
      <c r="F13240" s="4">
        <f>IFERROR(__xludf.DUMMYFUNCTION("""COMPUTED_VALUE"""),2846.0)</f>
        <v>2846</v>
      </c>
      <c r="G13240" s="4">
        <f>IFERROR(__xludf.DUMMYFUNCTION("""COMPUTED_VALUE"""),42.0)</f>
        <v>42</v>
      </c>
      <c r="H13240" s="4"/>
      <c r="I13240" s="4"/>
    </row>
    <row r="13241">
      <c r="A13241" s="4" t="str">
        <f>IFERROR(__xludf.DUMMYFUNCTION("""COMPUTED_VALUE"""),"cas_hmw")</f>
        <v>cas_hmw</v>
      </c>
      <c r="B13241" s="5">
        <f>IFERROR(__xludf.DUMMYFUNCTION("""COMPUTED_VALUE"""),44718.0)</f>
        <v>44718</v>
      </c>
      <c r="C13241" s="6">
        <f>IFERROR(__xludf.DUMMYFUNCTION("""COMPUTED_VALUE"""),0.34097222222044365)</f>
        <v>0.3409722222</v>
      </c>
      <c r="D13241" s="4">
        <f>IFERROR(__xludf.DUMMYFUNCTION("""COMPUTED_VALUE"""),12.938857)</f>
        <v>12.938857</v>
      </c>
      <c r="E13241" s="4">
        <f>IFERROR(__xludf.DUMMYFUNCTION("""COMPUTED_VALUE"""),80.129551)</f>
        <v>80.129551</v>
      </c>
      <c r="F13241" s="4">
        <f>IFERROR(__xludf.DUMMYFUNCTION("""COMPUTED_VALUE"""),2846.0)</f>
        <v>2846</v>
      </c>
      <c r="G13241" s="4">
        <f>IFERROR(__xludf.DUMMYFUNCTION("""COMPUTED_VALUE"""),44.0)</f>
        <v>44</v>
      </c>
      <c r="H13241" s="4"/>
      <c r="I13241" s="4"/>
    </row>
    <row r="13242">
      <c r="A13242" s="4" t="str">
        <f>IFERROR(__xludf.DUMMYFUNCTION("""COMPUTED_VALUE"""),"cas_hmw")</f>
        <v>cas_hmw</v>
      </c>
      <c r="B13242" s="5">
        <f>IFERROR(__xludf.DUMMYFUNCTION("""COMPUTED_VALUE"""),44718.0)</f>
        <v>44718</v>
      </c>
      <c r="C13242" s="6">
        <f>IFERROR(__xludf.DUMMYFUNCTION("""COMPUTED_VALUE"""),0.34104166666656965)</f>
        <v>0.3410416667</v>
      </c>
      <c r="D13242" s="4">
        <f>IFERROR(__xludf.DUMMYFUNCTION("""COMPUTED_VALUE"""),12.93734)</f>
        <v>12.93734</v>
      </c>
      <c r="E13242" s="4">
        <f>IFERROR(__xludf.DUMMYFUNCTION("""COMPUTED_VALUE"""),80.128242)</f>
        <v>80.128242</v>
      </c>
      <c r="F13242" s="4">
        <f>IFERROR(__xludf.DUMMYFUNCTION("""COMPUTED_VALUE"""),2846.0)</f>
        <v>2846</v>
      </c>
      <c r="G13242" s="4">
        <f>IFERROR(__xludf.DUMMYFUNCTION("""COMPUTED_VALUE"""),14.0)</f>
        <v>14</v>
      </c>
      <c r="H13242" s="4"/>
      <c r="I13242" s="4"/>
    </row>
    <row r="13243">
      <c r="A13243" s="4" t="str">
        <f>IFERROR(__xludf.DUMMYFUNCTION("""COMPUTED_VALUE"""),"cas_hmw")</f>
        <v>cas_hmw</v>
      </c>
      <c r="B13243" s="5">
        <f>IFERROR(__xludf.DUMMYFUNCTION("""COMPUTED_VALUE"""),44718.0)</f>
        <v>44718</v>
      </c>
      <c r="C13243" s="6">
        <f>IFERROR(__xludf.DUMMYFUNCTION("""COMPUTED_VALUE"""),0.3412500000013097)</f>
        <v>0.34125</v>
      </c>
      <c r="D13243" s="4">
        <f>IFERROR(__xludf.DUMMYFUNCTION("""COMPUTED_VALUE"""),12.9232)</f>
        <v>12.9232</v>
      </c>
      <c r="E13243" s="4">
        <f>IFERROR(__xludf.DUMMYFUNCTION("""COMPUTED_VALUE"""),80.160065)</f>
        <v>80.160065</v>
      </c>
      <c r="F13243" s="4">
        <f>IFERROR(__xludf.DUMMYFUNCTION("""COMPUTED_VALUE"""),3143.0)</f>
        <v>3143</v>
      </c>
      <c r="G13243" s="4">
        <f>IFERROR(__xludf.DUMMYFUNCTION("""COMPUTED_VALUE"""),32.0)</f>
        <v>32</v>
      </c>
      <c r="H13243" s="4"/>
      <c r="I13243" s="4"/>
    </row>
    <row r="13244">
      <c r="A13244" s="4" t="str">
        <f>IFERROR(__xludf.DUMMYFUNCTION("""COMPUTED_VALUE"""),"cas_hmw")</f>
        <v>cas_hmw</v>
      </c>
      <c r="B13244" s="5">
        <f>IFERROR(__xludf.DUMMYFUNCTION("""COMPUTED_VALUE"""),44718.0)</f>
        <v>44718</v>
      </c>
      <c r="C13244" s="6">
        <f>IFERROR(__xludf.DUMMYFUNCTION("""COMPUTED_VALUE"""),0.3414930555554747)</f>
        <v>0.3414930556</v>
      </c>
      <c r="D13244" s="4">
        <f>IFERROR(__xludf.DUMMYFUNCTION("""COMPUTED_VALUE"""),12.844723)</f>
        <v>12.844723</v>
      </c>
      <c r="E13244" s="4">
        <f>IFERROR(__xludf.DUMMYFUNCTION("""COMPUTED_VALUE"""),80.060398)</f>
        <v>80.060398</v>
      </c>
      <c r="F13244" s="4">
        <f>IFERROR(__xludf.DUMMYFUNCTION("""COMPUTED_VALUE"""),805.0)</f>
        <v>805</v>
      </c>
      <c r="G13244" s="4">
        <f>IFERROR(__xludf.DUMMYFUNCTION("""COMPUTED_VALUE"""),17.0)</f>
        <v>17</v>
      </c>
      <c r="H13244" s="4"/>
      <c r="I13244" s="4"/>
    </row>
    <row r="13245">
      <c r="A13245" s="4" t="str">
        <f>IFERROR(__xludf.DUMMYFUNCTION("""COMPUTED_VALUE"""),"cas_hmw")</f>
        <v>cas_hmw</v>
      </c>
      <c r="B13245" s="5">
        <f>IFERROR(__xludf.DUMMYFUNCTION("""COMPUTED_VALUE"""),44718.0)</f>
        <v>44718</v>
      </c>
      <c r="C13245" s="6">
        <f>IFERROR(__xludf.DUMMYFUNCTION("""COMPUTED_VALUE"""),0.3415393518516794)</f>
        <v>0.3415393519</v>
      </c>
      <c r="D13245" s="4">
        <f>IFERROR(__xludf.DUMMYFUNCTION("""COMPUTED_VALUE"""),12.845166)</f>
        <v>12.845166</v>
      </c>
      <c r="E13245" s="4">
        <f>IFERROR(__xludf.DUMMYFUNCTION("""COMPUTED_VALUE"""),80.06078)</f>
        <v>80.06078</v>
      </c>
      <c r="F13245" s="4">
        <f>IFERROR(__xludf.DUMMYFUNCTION("""COMPUTED_VALUE"""),805.0)</f>
        <v>805</v>
      </c>
      <c r="G13245" s="4">
        <f>IFERROR(__xludf.DUMMYFUNCTION("""COMPUTED_VALUE"""),26.0)</f>
        <v>26</v>
      </c>
      <c r="H13245" s="4"/>
      <c r="I13245" s="4"/>
    </row>
    <row r="13246">
      <c r="A13246" s="4" t="str">
        <f>IFERROR(__xludf.DUMMYFUNCTION("""COMPUTED_VALUE"""),"cas_hmw")</f>
        <v>cas_hmw</v>
      </c>
      <c r="B13246" s="5">
        <f>IFERROR(__xludf.DUMMYFUNCTION("""COMPUTED_VALUE"""),44718.0)</f>
        <v>44718</v>
      </c>
      <c r="C13246" s="6">
        <f>IFERROR(__xludf.DUMMYFUNCTION("""COMPUTED_VALUE"""),0.3421527777791198)</f>
        <v>0.3421527778</v>
      </c>
      <c r="D13246" s="4">
        <f>IFERROR(__xludf.DUMMYFUNCTION("""COMPUTED_VALUE"""),12.846441)</f>
        <v>12.846441</v>
      </c>
      <c r="E13246" s="4">
        <f>IFERROR(__xludf.DUMMYFUNCTION("""COMPUTED_VALUE"""),80.061947)</f>
        <v>80.061947</v>
      </c>
      <c r="F13246" s="4">
        <f>IFERROR(__xludf.DUMMYFUNCTION("""COMPUTED_VALUE"""),805.0)</f>
        <v>805</v>
      </c>
      <c r="G13246" s="4">
        <f>IFERROR(__xludf.DUMMYFUNCTION("""COMPUTED_VALUE"""),26.0)</f>
        <v>26</v>
      </c>
      <c r="H13246" s="4"/>
      <c r="I13246" s="4"/>
    </row>
    <row r="13247">
      <c r="A13247" s="4" t="str">
        <f>IFERROR(__xludf.DUMMYFUNCTION("""COMPUTED_VALUE"""),"cas_hmw")</f>
        <v>cas_hmw</v>
      </c>
      <c r="B13247" s="5">
        <f>IFERROR(__xludf.DUMMYFUNCTION("""COMPUTED_VALUE"""),44718.0)</f>
        <v>44718</v>
      </c>
      <c r="C13247" s="6">
        <f>IFERROR(__xludf.DUMMYFUNCTION("""COMPUTED_VALUE"""),0.34224537037152913)</f>
        <v>0.3422453704</v>
      </c>
      <c r="D13247" s="4">
        <f>IFERROR(__xludf.DUMMYFUNCTION("""COMPUTED_VALUE"""),12.927287)</f>
        <v>12.927287</v>
      </c>
      <c r="E13247" s="4">
        <f>IFERROR(__xludf.DUMMYFUNCTION("""COMPUTED_VALUE"""),80.118497)</f>
        <v>80.118497</v>
      </c>
      <c r="F13247" s="4">
        <f>IFERROR(__xludf.DUMMYFUNCTION("""COMPUTED_VALUE"""),2846.0)</f>
        <v>2846</v>
      </c>
      <c r="G13247" s="4">
        <f>IFERROR(__xludf.DUMMYFUNCTION("""COMPUTED_VALUE"""),43.0)</f>
        <v>43</v>
      </c>
      <c r="H13247" s="4"/>
      <c r="I13247" s="4"/>
    </row>
    <row r="13248">
      <c r="A13248" s="4" t="str">
        <f>IFERROR(__xludf.DUMMYFUNCTION("""COMPUTED_VALUE"""),"cas_hmw")</f>
        <v>cas_hmw</v>
      </c>
      <c r="B13248" s="5">
        <f>IFERROR(__xludf.DUMMYFUNCTION("""COMPUTED_VALUE"""),44718.0)</f>
        <v>44718</v>
      </c>
      <c r="C13248" s="6">
        <f>IFERROR(__xludf.DUMMYFUNCTION("""COMPUTED_VALUE"""),0.34224537037152913)</f>
        <v>0.3422453704</v>
      </c>
      <c r="D13248" s="4">
        <f>IFERROR(__xludf.DUMMYFUNCTION("""COMPUTED_VALUE"""),12.847064)</f>
        <v>12.847064</v>
      </c>
      <c r="E13248" s="4">
        <f>IFERROR(__xludf.DUMMYFUNCTION("""COMPUTED_VALUE"""),80.06247)</f>
        <v>80.06247</v>
      </c>
      <c r="F13248" s="4">
        <f>IFERROR(__xludf.DUMMYFUNCTION("""COMPUTED_VALUE"""),805.0)</f>
        <v>805</v>
      </c>
      <c r="G13248" s="4">
        <f>IFERROR(__xludf.DUMMYFUNCTION("""COMPUTED_VALUE"""),33.0)</f>
        <v>33</v>
      </c>
      <c r="H13248" s="4"/>
      <c r="I13248" s="4"/>
    </row>
    <row r="13249">
      <c r="A13249" s="4" t="str">
        <f>IFERROR(__xludf.DUMMYFUNCTION("""COMPUTED_VALUE"""),"cas_hmw")</f>
        <v>cas_hmw</v>
      </c>
      <c r="B13249" s="5">
        <f>IFERROR(__xludf.DUMMYFUNCTION("""COMPUTED_VALUE"""),44718.0)</f>
        <v>44718</v>
      </c>
      <c r="C13249" s="6">
        <f>IFERROR(__xludf.DUMMYFUNCTION("""COMPUTED_VALUE"""),0.3424537037026312)</f>
        <v>0.3424537037</v>
      </c>
      <c r="D13249" s="4">
        <f>IFERROR(__xludf.DUMMYFUNCTION("""COMPUTED_VALUE"""),12.848692)</f>
        <v>12.848692</v>
      </c>
      <c r="E13249" s="4">
        <f>IFERROR(__xludf.DUMMYFUNCTION("""COMPUTED_VALUE"""),80.063671)</f>
        <v>80.063671</v>
      </c>
      <c r="F13249" s="4">
        <f>IFERROR(__xludf.DUMMYFUNCTION("""COMPUTED_VALUE"""),805.0)</f>
        <v>805</v>
      </c>
      <c r="G13249" s="4">
        <f>IFERROR(__xludf.DUMMYFUNCTION("""COMPUTED_VALUE"""),48.0)</f>
        <v>48</v>
      </c>
      <c r="H13249" s="4"/>
      <c r="I13249" s="4"/>
    </row>
    <row r="13250">
      <c r="A13250" s="4" t="str">
        <f>IFERROR(__xludf.DUMMYFUNCTION("""COMPUTED_VALUE"""),"cas_hmw")</f>
        <v>cas_hmw</v>
      </c>
      <c r="B13250" s="5">
        <f>IFERROR(__xludf.DUMMYFUNCTION("""COMPUTED_VALUE"""),44718.0)</f>
        <v>44718</v>
      </c>
      <c r="C13250" s="6">
        <f>IFERROR(__xludf.DUMMYFUNCTION("""COMPUTED_VALUE"""),0.3425115740756155)</f>
        <v>0.3425115741</v>
      </c>
      <c r="D13250" s="4">
        <f>IFERROR(__xludf.DUMMYFUNCTION("""COMPUTED_VALUE"""),12.848692)</f>
        <v>12.848692</v>
      </c>
      <c r="E13250" s="4">
        <f>IFERROR(__xludf.DUMMYFUNCTION("""COMPUTED_VALUE"""),80.063671)</f>
        <v>80.063671</v>
      </c>
      <c r="F13250" s="4">
        <f>IFERROR(__xludf.DUMMYFUNCTION("""COMPUTED_VALUE"""),805.0)</f>
        <v>805</v>
      </c>
      <c r="G13250" s="4">
        <f>IFERROR(__xludf.DUMMYFUNCTION("""COMPUTED_VALUE"""),48.0)</f>
        <v>48</v>
      </c>
      <c r="H13250" s="4"/>
      <c r="I13250" s="4"/>
    </row>
    <row r="13251">
      <c r="A13251" s="4" t="str">
        <f>IFERROR(__xludf.DUMMYFUNCTION("""COMPUTED_VALUE"""),"cas_hmw")</f>
        <v>cas_hmw</v>
      </c>
      <c r="B13251" s="5">
        <f>IFERROR(__xludf.DUMMYFUNCTION("""COMPUTED_VALUE"""),44718.0)</f>
        <v>44718</v>
      </c>
      <c r="C13251" s="6">
        <f>IFERROR(__xludf.DUMMYFUNCTION("""COMPUTED_VALUE"""),0.3426620370373712)</f>
        <v>0.342662037</v>
      </c>
      <c r="D13251" s="4">
        <f>IFERROR(__xludf.DUMMYFUNCTION("""COMPUTED_VALUE"""),12.922673)</f>
        <v>12.922673</v>
      </c>
      <c r="E13251" s="4">
        <f>IFERROR(__xludf.DUMMYFUNCTION("""COMPUTED_VALUE"""),80.151684)</f>
        <v>80.151684</v>
      </c>
      <c r="F13251" s="4">
        <f>IFERROR(__xludf.DUMMYFUNCTION("""COMPUTED_VALUE"""),3143.0)</f>
        <v>3143</v>
      </c>
      <c r="G13251" s="4">
        <f>IFERROR(__xludf.DUMMYFUNCTION("""COMPUTED_VALUE"""),28.0)</f>
        <v>28</v>
      </c>
      <c r="H13251" s="4"/>
      <c r="I13251" s="4"/>
    </row>
    <row r="13252">
      <c r="A13252" s="4" t="str">
        <f>IFERROR(__xludf.DUMMYFUNCTION("""COMPUTED_VALUE"""),"cas_hmw")</f>
        <v>cas_hmw</v>
      </c>
      <c r="B13252" s="5">
        <f>IFERROR(__xludf.DUMMYFUNCTION("""COMPUTED_VALUE"""),44718.0)</f>
        <v>44718</v>
      </c>
      <c r="C13252" s="6">
        <f>IFERROR(__xludf.DUMMYFUNCTION("""COMPUTED_VALUE"""),0.34278935185284354)</f>
        <v>0.3427893519</v>
      </c>
      <c r="D13252" s="4">
        <f>IFERROR(__xludf.DUMMYFUNCTION("""COMPUTED_VALUE"""),12.922655)</f>
        <v>12.922655</v>
      </c>
      <c r="E13252" s="4">
        <f>IFERROR(__xludf.DUMMYFUNCTION("""COMPUTED_VALUE"""),80.150748)</f>
        <v>80.150748</v>
      </c>
      <c r="F13252" s="4">
        <f>IFERROR(__xludf.DUMMYFUNCTION("""COMPUTED_VALUE"""),3143.0)</f>
        <v>3143</v>
      </c>
      <c r="G13252" s="4">
        <f>IFERROR(__xludf.DUMMYFUNCTION("""COMPUTED_VALUE"""),43.0)</f>
        <v>43</v>
      </c>
      <c r="H13252" s="4"/>
      <c r="I13252" s="4"/>
    </row>
    <row r="13253">
      <c r="A13253" s="4" t="str">
        <f>IFERROR(__xludf.DUMMYFUNCTION("""COMPUTED_VALUE"""),"cas_hmw")</f>
        <v>cas_hmw</v>
      </c>
      <c r="B13253" s="5">
        <f>IFERROR(__xludf.DUMMYFUNCTION("""COMPUTED_VALUE"""),44718.0)</f>
        <v>44718</v>
      </c>
      <c r="C13253" s="6">
        <f>IFERROR(__xludf.DUMMYFUNCTION("""COMPUTED_VALUE"""),0.34336805555722094)</f>
        <v>0.3433680556</v>
      </c>
      <c r="D13253" s="4">
        <f>IFERROR(__xludf.DUMMYFUNCTION("""COMPUTED_VALUE"""),12.851592)</f>
        <v>12.851592</v>
      </c>
      <c r="E13253" s="4">
        <f>IFERROR(__xludf.DUMMYFUNCTION("""COMPUTED_VALUE"""),80.065775)</f>
        <v>80.065775</v>
      </c>
      <c r="F13253" s="4">
        <f>IFERROR(__xludf.DUMMYFUNCTION("""COMPUTED_VALUE"""),805.0)</f>
        <v>805</v>
      </c>
      <c r="G13253" s="4">
        <f>IFERROR(__xludf.DUMMYFUNCTION("""COMPUTED_VALUE"""),16.0)</f>
        <v>16</v>
      </c>
      <c r="H13253" s="4"/>
      <c r="I13253" s="4"/>
    </row>
    <row r="13254">
      <c r="A13254" s="4" t="str">
        <f>IFERROR(__xludf.DUMMYFUNCTION("""COMPUTED_VALUE"""),"cas_hmw")</f>
        <v>cas_hmw</v>
      </c>
      <c r="B13254" s="5">
        <f>IFERROR(__xludf.DUMMYFUNCTION("""COMPUTED_VALUE"""),44718.0)</f>
        <v>44718</v>
      </c>
      <c r="C13254" s="6">
        <f>IFERROR(__xludf.DUMMYFUNCTION("""COMPUTED_VALUE"""),0.343784722223063)</f>
        <v>0.3437847222</v>
      </c>
      <c r="D13254" s="4">
        <f>IFERROR(__xludf.DUMMYFUNCTION("""COMPUTED_VALUE"""),12.853999)</f>
        <v>12.853999</v>
      </c>
      <c r="E13254" s="4">
        <f>IFERROR(__xludf.DUMMYFUNCTION("""COMPUTED_VALUE"""),80.067574)</f>
        <v>80.067574</v>
      </c>
      <c r="F13254" s="4">
        <f>IFERROR(__xludf.DUMMYFUNCTION("""COMPUTED_VALUE"""),805.0)</f>
        <v>805</v>
      </c>
      <c r="G13254" s="4">
        <f>IFERROR(__xludf.DUMMYFUNCTION("""COMPUTED_VALUE"""),49.0)</f>
        <v>49</v>
      </c>
      <c r="H13254" s="4"/>
      <c r="I13254" s="4"/>
    </row>
    <row r="13255">
      <c r="A13255" s="4" t="str">
        <f>IFERROR(__xludf.DUMMYFUNCTION("""COMPUTED_VALUE"""),"cas_hmw")</f>
        <v>cas_hmw</v>
      </c>
      <c r="B13255" s="5">
        <f>IFERROR(__xludf.DUMMYFUNCTION("""COMPUTED_VALUE"""),44718.0)</f>
        <v>44718</v>
      </c>
      <c r="C13255" s="6">
        <f>IFERROR(__xludf.DUMMYFUNCTION("""COMPUTED_VALUE"""),0.343923611111677)</f>
        <v>0.3439236111</v>
      </c>
      <c r="D13255" s="4">
        <f>IFERROR(__xludf.DUMMYFUNCTION("""COMPUTED_VALUE"""),12.853999)</f>
        <v>12.853999</v>
      </c>
      <c r="E13255" s="4">
        <f>IFERROR(__xludf.DUMMYFUNCTION("""COMPUTED_VALUE"""),80.067574)</f>
        <v>80.067574</v>
      </c>
      <c r="F13255" s="4">
        <f>IFERROR(__xludf.DUMMYFUNCTION("""COMPUTED_VALUE"""),805.0)</f>
        <v>805</v>
      </c>
      <c r="G13255" s="4">
        <f>IFERROR(__xludf.DUMMYFUNCTION("""COMPUTED_VALUE"""),49.0)</f>
        <v>49</v>
      </c>
      <c r="H13255" s="4"/>
      <c r="I13255" s="4"/>
    </row>
    <row r="13256">
      <c r="A13256" s="4" t="str">
        <f>IFERROR(__xludf.DUMMYFUNCTION("""COMPUTED_VALUE"""),"cas_hmw")</f>
        <v>cas_hmw</v>
      </c>
      <c r="B13256" s="5">
        <f>IFERROR(__xludf.DUMMYFUNCTION("""COMPUTED_VALUE"""),44718.0)</f>
        <v>44718</v>
      </c>
      <c r="C13256" s="6">
        <f>IFERROR(__xludf.DUMMYFUNCTION("""COMPUTED_VALUE"""),0.34442129629678675)</f>
        <v>0.3444212963</v>
      </c>
      <c r="D13256" s="4">
        <f>IFERROR(__xludf.DUMMYFUNCTION("""COMPUTED_VALUE"""),12.859125)</f>
        <v>12.859125</v>
      </c>
      <c r="E13256" s="4">
        <f>IFERROR(__xludf.DUMMYFUNCTION("""COMPUTED_VALUE"""),80.071468)</f>
        <v>80.071468</v>
      </c>
      <c r="F13256" s="4">
        <f>IFERROR(__xludf.DUMMYFUNCTION("""COMPUTED_VALUE"""),805.0)</f>
        <v>805</v>
      </c>
      <c r="G13256" s="4">
        <f>IFERROR(__xludf.DUMMYFUNCTION("""COMPUTED_VALUE"""),34.0)</f>
        <v>34</v>
      </c>
      <c r="H13256" s="4"/>
      <c r="I13256" s="4"/>
    </row>
    <row r="13257">
      <c r="A13257" s="4" t="str">
        <f>IFERROR(__xludf.DUMMYFUNCTION("""COMPUTED_VALUE"""),"cas_hmw")</f>
        <v>cas_hmw</v>
      </c>
      <c r="B13257" s="5">
        <f>IFERROR(__xludf.DUMMYFUNCTION("""COMPUTED_VALUE"""),44718.0)</f>
        <v>44718</v>
      </c>
      <c r="C13257" s="6">
        <f>IFERROR(__xludf.DUMMYFUNCTION("""COMPUTED_VALUE"""),0.34576388889036025)</f>
        <v>0.3457638889</v>
      </c>
      <c r="D13257" s="4">
        <f>IFERROR(__xludf.DUMMYFUNCTION("""COMPUTED_VALUE"""),12.922506)</f>
        <v>12.922506</v>
      </c>
      <c r="E13257" s="4">
        <f>IFERROR(__xludf.DUMMYFUNCTION("""COMPUTED_VALUE"""),80.136795)</f>
        <v>80.136795</v>
      </c>
      <c r="F13257" s="4">
        <f>IFERROR(__xludf.DUMMYFUNCTION("""COMPUTED_VALUE"""),3143.0)</f>
        <v>3143</v>
      </c>
      <c r="G13257" s="4">
        <f>IFERROR(__xludf.DUMMYFUNCTION("""COMPUTED_VALUE"""),21.0)</f>
        <v>21</v>
      </c>
      <c r="H13257" s="4"/>
      <c r="I13257" s="4"/>
    </row>
    <row r="13258">
      <c r="A13258" s="4" t="str">
        <f>IFERROR(__xludf.DUMMYFUNCTION("""COMPUTED_VALUE"""),"cas_hmw")</f>
        <v>cas_hmw</v>
      </c>
      <c r="B13258" s="5">
        <f>IFERROR(__xludf.DUMMYFUNCTION("""COMPUTED_VALUE"""),44718.0)</f>
        <v>44718</v>
      </c>
      <c r="C13258" s="6">
        <f>IFERROR(__xludf.DUMMYFUNCTION("""COMPUTED_VALUE"""),0.3457754629635019)</f>
        <v>0.345775463</v>
      </c>
      <c r="D13258" s="4">
        <f>IFERROR(__xludf.DUMMYFUNCTION("""COMPUTED_VALUE"""),12.922506)</f>
        <v>12.922506</v>
      </c>
      <c r="E13258" s="4">
        <f>IFERROR(__xludf.DUMMYFUNCTION("""COMPUTED_VALUE"""),80.136795)</f>
        <v>80.136795</v>
      </c>
      <c r="F13258" s="4">
        <f>IFERROR(__xludf.DUMMYFUNCTION("""COMPUTED_VALUE"""),3143.0)</f>
        <v>3143</v>
      </c>
      <c r="G13258" s="4">
        <f>IFERROR(__xludf.DUMMYFUNCTION("""COMPUTED_VALUE"""),21.0)</f>
        <v>21</v>
      </c>
      <c r="H13258" s="4"/>
      <c r="I13258" s="4"/>
    </row>
    <row r="13259">
      <c r="A13259" s="4" t="str">
        <f>IFERROR(__xludf.DUMMYFUNCTION("""COMPUTED_VALUE"""),"cas_hmw")</f>
        <v>cas_hmw</v>
      </c>
      <c r="B13259" s="5">
        <f>IFERROR(__xludf.DUMMYFUNCTION("""COMPUTED_VALUE"""),44718.0)</f>
        <v>44718</v>
      </c>
      <c r="C13259" s="6">
        <f>IFERROR(__xludf.DUMMYFUNCTION("""COMPUTED_VALUE"""),0.3458912037021946)</f>
        <v>0.3458912037</v>
      </c>
      <c r="D13259" s="4">
        <f>IFERROR(__xludf.DUMMYFUNCTION("""COMPUTED_VALUE"""),12.871002)</f>
        <v>12.871002</v>
      </c>
      <c r="E13259" s="4">
        <f>IFERROR(__xludf.DUMMYFUNCTION("""COMPUTED_VALUE"""),80.07683)</f>
        <v>80.07683</v>
      </c>
      <c r="F13259" s="4">
        <f>IFERROR(__xludf.DUMMYFUNCTION("""COMPUTED_VALUE"""),805.0)</f>
        <v>805</v>
      </c>
      <c r="G13259" s="4">
        <f>IFERROR(__xludf.DUMMYFUNCTION("""COMPUTED_VALUE"""),52.0)</f>
        <v>52</v>
      </c>
      <c r="H13259" s="4"/>
      <c r="I13259" s="4"/>
    </row>
    <row r="13260">
      <c r="A13260" s="4" t="str">
        <f>IFERROR(__xludf.DUMMYFUNCTION("""COMPUTED_VALUE"""),"cas_hmw")</f>
        <v>cas_hmw</v>
      </c>
      <c r="B13260" s="5">
        <f>IFERROR(__xludf.DUMMYFUNCTION("""COMPUTED_VALUE"""),44718.0)</f>
        <v>44718</v>
      </c>
      <c r="C13260" s="6">
        <f>IFERROR(__xludf.DUMMYFUNCTION("""COMPUTED_VALUE"""),0.3459259259252576)</f>
        <v>0.3459259259</v>
      </c>
      <c r="D13260" s="4">
        <f>IFERROR(__xludf.DUMMYFUNCTION("""COMPUTED_VALUE"""),12.872167)</f>
        <v>12.872167</v>
      </c>
      <c r="E13260" s="4">
        <f>IFERROR(__xludf.DUMMYFUNCTION("""COMPUTED_VALUE"""),80.077283)</f>
        <v>80.077283</v>
      </c>
      <c r="F13260" s="4">
        <f>IFERROR(__xludf.DUMMYFUNCTION("""COMPUTED_VALUE"""),805.0)</f>
        <v>805</v>
      </c>
      <c r="G13260" s="4">
        <f>IFERROR(__xludf.DUMMYFUNCTION("""COMPUTED_VALUE"""),45.0)</f>
        <v>45</v>
      </c>
      <c r="H13260" s="4"/>
      <c r="I13260" s="4"/>
    </row>
    <row r="13261">
      <c r="A13261" s="4" t="str">
        <f>IFERROR(__xludf.DUMMYFUNCTION("""COMPUTED_VALUE"""),"cas_hmw")</f>
        <v>cas_hmw</v>
      </c>
      <c r="B13261" s="5">
        <f>IFERROR(__xludf.DUMMYFUNCTION("""COMPUTED_VALUE"""),44718.0)</f>
        <v>44718</v>
      </c>
      <c r="C13261" s="6">
        <f>IFERROR(__xludf.DUMMYFUNCTION("""COMPUTED_VALUE"""),0.3459722222214623)</f>
        <v>0.3459722222</v>
      </c>
      <c r="D13261" s="4">
        <f>IFERROR(__xludf.DUMMYFUNCTION("""COMPUTED_VALUE"""),12.872167)</f>
        <v>12.872167</v>
      </c>
      <c r="E13261" s="4">
        <f>IFERROR(__xludf.DUMMYFUNCTION("""COMPUTED_VALUE"""),80.077283)</f>
        <v>80.077283</v>
      </c>
      <c r="F13261" s="4">
        <f>IFERROR(__xludf.DUMMYFUNCTION("""COMPUTED_VALUE"""),805.0)</f>
        <v>805</v>
      </c>
      <c r="G13261" s="4">
        <f>IFERROR(__xludf.DUMMYFUNCTION("""COMPUTED_VALUE"""),45.0)</f>
        <v>45</v>
      </c>
      <c r="H13261" s="4"/>
      <c r="I13261" s="4"/>
    </row>
    <row r="13262">
      <c r="A13262" s="4" t="str">
        <f>IFERROR(__xludf.DUMMYFUNCTION("""COMPUTED_VALUE"""),"cas_hmw")</f>
        <v>cas_hmw</v>
      </c>
      <c r="B13262" s="5">
        <f>IFERROR(__xludf.DUMMYFUNCTION("""COMPUTED_VALUE"""),44718.0)</f>
        <v>44718</v>
      </c>
      <c r="C13262" s="6">
        <f>IFERROR(__xludf.DUMMYFUNCTION("""COMPUTED_VALUE"""),0.3476388888884685)</f>
        <v>0.3476388889</v>
      </c>
      <c r="D13262" s="4">
        <f>IFERROR(__xludf.DUMMYFUNCTION("""COMPUTED_VALUE"""),12.878252)</f>
        <v>12.878252</v>
      </c>
      <c r="E13262" s="4">
        <f>IFERROR(__xludf.DUMMYFUNCTION("""COMPUTED_VALUE"""),80.082801)</f>
        <v>80.082801</v>
      </c>
      <c r="F13262" s="4">
        <f>IFERROR(__xludf.DUMMYFUNCTION("""COMPUTED_VALUE"""),805.0)</f>
        <v>805</v>
      </c>
      <c r="G13262" s="4">
        <f>IFERROR(__xludf.DUMMYFUNCTION("""COMPUTED_VALUE"""),37.0)</f>
        <v>37</v>
      </c>
      <c r="H13262" s="4"/>
      <c r="I13262" s="4"/>
    </row>
    <row r="13263">
      <c r="A13263" s="4" t="str">
        <f>IFERROR(__xludf.DUMMYFUNCTION("""COMPUTED_VALUE"""),"cas_hmw")</f>
        <v>cas_hmw</v>
      </c>
      <c r="B13263" s="5">
        <f>IFERROR(__xludf.DUMMYFUNCTION("""COMPUTED_VALUE"""),44718.0)</f>
        <v>44718</v>
      </c>
      <c r="C13263" s="6">
        <f>IFERROR(__xludf.DUMMYFUNCTION("""COMPUTED_VALUE"""),0.34820601851970423)</f>
        <v>0.3482060185</v>
      </c>
      <c r="D13263" s="4">
        <f>IFERROR(__xludf.DUMMYFUNCTION("""COMPUTED_VALUE"""),12.922868)</f>
        <v>12.922868</v>
      </c>
      <c r="E13263" s="4">
        <f>IFERROR(__xludf.DUMMYFUNCTION("""COMPUTED_VALUE"""),80.127332)</f>
        <v>80.127332</v>
      </c>
      <c r="F13263" s="4">
        <f>IFERROR(__xludf.DUMMYFUNCTION("""COMPUTED_VALUE"""),3143.0)</f>
        <v>3143</v>
      </c>
      <c r="G13263" s="4">
        <f>IFERROR(__xludf.DUMMYFUNCTION("""COMPUTED_VALUE"""),9.0)</f>
        <v>9</v>
      </c>
      <c r="H13263" s="4"/>
      <c r="I13263" s="4"/>
    </row>
    <row r="13264">
      <c r="A13264" s="4" t="str">
        <f>IFERROR(__xludf.DUMMYFUNCTION("""COMPUTED_VALUE"""),"cas_hmw")</f>
        <v>cas_hmw</v>
      </c>
      <c r="B13264" s="5">
        <f>IFERROR(__xludf.DUMMYFUNCTION("""COMPUTED_VALUE"""),44718.0)</f>
        <v>44718</v>
      </c>
      <c r="C13264" s="6">
        <f>IFERROR(__xludf.DUMMYFUNCTION("""COMPUTED_VALUE"""),0.34827546296219225)</f>
        <v>0.348275463</v>
      </c>
      <c r="D13264" s="4">
        <f>IFERROR(__xludf.DUMMYFUNCTION("""COMPUTED_VALUE"""),12.922889)</f>
        <v>12.922889</v>
      </c>
      <c r="E13264" s="4">
        <f>IFERROR(__xludf.DUMMYFUNCTION("""COMPUTED_VALUE"""),80.126882)</f>
        <v>80.126882</v>
      </c>
      <c r="F13264" s="4">
        <f>IFERROR(__xludf.DUMMYFUNCTION("""COMPUTED_VALUE"""),3143.0)</f>
        <v>3143</v>
      </c>
      <c r="G13264" s="4">
        <f>IFERROR(__xludf.DUMMYFUNCTION("""COMPUTED_VALUE"""),24.0)</f>
        <v>24</v>
      </c>
      <c r="H13264" s="4"/>
      <c r="I13264" s="4"/>
    </row>
    <row r="13265">
      <c r="A13265" s="4" t="str">
        <f>IFERROR(__xludf.DUMMYFUNCTION("""COMPUTED_VALUE"""),"cas_hmw")</f>
        <v>cas_hmw</v>
      </c>
      <c r="B13265" s="5">
        <f>IFERROR(__xludf.DUMMYFUNCTION("""COMPUTED_VALUE"""),44718.0)</f>
        <v>44718</v>
      </c>
      <c r="C13265" s="6">
        <f>IFERROR(__xludf.DUMMYFUNCTION("""COMPUTED_VALUE"""),0.34844907407386927)</f>
        <v>0.3484490741</v>
      </c>
      <c r="D13265" s="4">
        <f>IFERROR(__xludf.DUMMYFUNCTION("""COMPUTED_VALUE"""),12.913708)</f>
        <v>12.913708</v>
      </c>
      <c r="E13265" s="4">
        <f>IFERROR(__xludf.DUMMYFUNCTION("""COMPUTED_VALUE"""),80.101766)</f>
        <v>80.101766</v>
      </c>
      <c r="F13265" s="4">
        <f>IFERROR(__xludf.DUMMYFUNCTION("""COMPUTED_VALUE"""),2846.0)</f>
        <v>2846</v>
      </c>
      <c r="G13265" s="4">
        <f>IFERROR(__xludf.DUMMYFUNCTION("""COMPUTED_VALUE"""),23.0)</f>
        <v>23</v>
      </c>
      <c r="H13265" s="4"/>
      <c r="I13265" s="4"/>
    </row>
    <row r="13266">
      <c r="A13266" s="4" t="str">
        <f>IFERROR(__xludf.DUMMYFUNCTION("""COMPUTED_VALUE"""),"cas_hmw")</f>
        <v>cas_hmw</v>
      </c>
      <c r="B13266" s="5">
        <f>IFERROR(__xludf.DUMMYFUNCTION("""COMPUTED_VALUE"""),44718.0)</f>
        <v>44718</v>
      </c>
      <c r="C13266" s="6">
        <f>IFERROR(__xludf.DUMMYFUNCTION("""COMPUTED_VALUE"""),0.34853009259313694)</f>
        <v>0.3485300926</v>
      </c>
      <c r="D13266" s="4">
        <f>IFERROR(__xludf.DUMMYFUNCTION("""COMPUTED_VALUE"""),12.912003)</f>
        <v>12.912003</v>
      </c>
      <c r="E13266" s="4">
        <f>IFERROR(__xludf.DUMMYFUNCTION("""COMPUTED_VALUE"""),80.101445)</f>
        <v>80.101445</v>
      </c>
      <c r="F13266" s="4">
        <f>IFERROR(__xludf.DUMMYFUNCTION("""COMPUTED_VALUE"""),2846.0)</f>
        <v>2846</v>
      </c>
      <c r="G13266" s="4">
        <f>IFERROR(__xludf.DUMMYFUNCTION("""COMPUTED_VALUE"""),36.0)</f>
        <v>36</v>
      </c>
      <c r="H13266" s="4"/>
      <c r="I13266" s="4"/>
    </row>
    <row r="13267">
      <c r="A13267" s="4" t="str">
        <f>IFERROR(__xludf.DUMMYFUNCTION("""COMPUTED_VALUE"""),"cas_hmw")</f>
        <v>cas_hmw</v>
      </c>
      <c r="B13267" s="5">
        <f>IFERROR(__xludf.DUMMYFUNCTION("""COMPUTED_VALUE"""),44718.0)</f>
        <v>44718</v>
      </c>
      <c r="C13267" s="6">
        <f>IFERROR(__xludf.DUMMYFUNCTION("""COMPUTED_VALUE"""),0.3486574074086093)</f>
        <v>0.3486574074</v>
      </c>
      <c r="D13267" s="4">
        <f>IFERROR(__xludf.DUMMYFUNCTION("""COMPUTED_VALUE"""),12.923094)</f>
        <v>12.923094</v>
      </c>
      <c r="E13267" s="4">
        <f>IFERROR(__xludf.DUMMYFUNCTION("""COMPUTED_VALUE"""),80.123052)</f>
        <v>80.123052</v>
      </c>
      <c r="F13267" s="4">
        <f>IFERROR(__xludf.DUMMYFUNCTION("""COMPUTED_VALUE"""),3143.0)</f>
        <v>3143</v>
      </c>
      <c r="G13267" s="4">
        <f>IFERROR(__xludf.DUMMYFUNCTION("""COMPUTED_VALUE"""),52.0)</f>
        <v>52</v>
      </c>
      <c r="H13267" s="4"/>
      <c r="I13267" s="4"/>
    </row>
    <row r="13268">
      <c r="A13268" s="4" t="str">
        <f>IFERROR(__xludf.DUMMYFUNCTION("""COMPUTED_VALUE"""),"cas_hmw")</f>
        <v>cas_hmw</v>
      </c>
      <c r="B13268" s="5">
        <f>IFERROR(__xludf.DUMMYFUNCTION("""COMPUTED_VALUE"""),44718.0)</f>
        <v>44718</v>
      </c>
      <c r="C13268" s="6">
        <f>IFERROR(__xludf.DUMMYFUNCTION("""COMPUTED_VALUE"""),0.3528356481474475)</f>
        <v>0.3528356481</v>
      </c>
      <c r="D13268" s="4">
        <f>IFERROR(__xludf.DUMMYFUNCTION("""COMPUTED_VALUE"""),12.892278)</f>
        <v>12.892278</v>
      </c>
      <c r="E13268" s="4">
        <f>IFERROR(__xludf.DUMMYFUNCTION("""COMPUTED_VALUE"""),80.085732)</f>
        <v>80.085732</v>
      </c>
      <c r="F13268" s="4">
        <f>IFERROR(__xludf.DUMMYFUNCTION("""COMPUTED_VALUE"""),2846.0)</f>
        <v>2846</v>
      </c>
      <c r="G13268" s="4">
        <f>IFERROR(__xludf.DUMMYFUNCTION("""COMPUTED_VALUE"""),43.0)</f>
        <v>43</v>
      </c>
      <c r="H13268" s="4"/>
      <c r="I13268" s="4"/>
    </row>
    <row r="13269">
      <c r="A13269" s="4" t="str">
        <f>IFERROR(__xludf.DUMMYFUNCTION("""COMPUTED_VALUE"""),"cas_hmw")</f>
        <v>cas_hmw</v>
      </c>
      <c r="B13269" s="5">
        <f>IFERROR(__xludf.DUMMYFUNCTION("""COMPUTED_VALUE"""),44718.0)</f>
        <v>44718</v>
      </c>
      <c r="C13269" s="6">
        <f>IFERROR(__xludf.DUMMYFUNCTION("""COMPUTED_VALUE"""),0.3530555555553292)</f>
        <v>0.3530555556</v>
      </c>
      <c r="D13269" s="4">
        <f>IFERROR(__xludf.DUMMYFUNCTION("""COMPUTED_VALUE"""),12.890135)</f>
        <v>12.890135</v>
      </c>
      <c r="E13269" s="4">
        <f>IFERROR(__xludf.DUMMYFUNCTION("""COMPUTED_VALUE"""),80.084662)</f>
        <v>80.084662</v>
      </c>
      <c r="F13269" s="4">
        <f>IFERROR(__xludf.DUMMYFUNCTION("""COMPUTED_VALUE"""),2846.0)</f>
        <v>2846</v>
      </c>
      <c r="G13269" s="4">
        <f>IFERROR(__xludf.DUMMYFUNCTION("""COMPUTED_VALUE"""),51.0)</f>
        <v>51</v>
      </c>
      <c r="H13269" s="4"/>
      <c r="I13269" s="4"/>
    </row>
    <row r="13270">
      <c r="A13270" s="4" t="str">
        <f>IFERROR(__xludf.DUMMYFUNCTION("""COMPUTED_VALUE"""),"cas_hmw")</f>
        <v>cas_hmw</v>
      </c>
      <c r="B13270" s="5">
        <f>IFERROR(__xludf.DUMMYFUNCTION("""COMPUTED_VALUE"""),44718.0)</f>
        <v>44718</v>
      </c>
      <c r="C13270" s="6">
        <f>IFERROR(__xludf.DUMMYFUNCTION("""COMPUTED_VALUE"""),0.3562037037045229)</f>
        <v>0.3562037037</v>
      </c>
      <c r="D13270" s="4">
        <f>IFERROR(__xludf.DUMMYFUNCTION("""COMPUTED_VALUE"""),12.909003)</f>
        <v>12.909003</v>
      </c>
      <c r="E13270" s="4">
        <f>IFERROR(__xludf.DUMMYFUNCTION("""COMPUTED_VALUE"""),80.098753)</f>
        <v>80.098753</v>
      </c>
      <c r="F13270" s="4">
        <f>IFERROR(__xludf.DUMMYFUNCTION("""COMPUTED_VALUE"""),3143.0)</f>
        <v>3143</v>
      </c>
      <c r="G13270" s="4">
        <f>IFERROR(__xludf.DUMMYFUNCTION("""COMPUTED_VALUE"""),11.0)</f>
        <v>11</v>
      </c>
      <c r="H13270" s="4"/>
      <c r="I13270" s="4"/>
    </row>
    <row r="13271">
      <c r="A13271" s="4" t="str">
        <f>IFERROR(__xludf.DUMMYFUNCTION("""COMPUTED_VALUE"""),"cas_hmw")</f>
        <v>cas_hmw</v>
      </c>
      <c r="B13271" s="5">
        <f>IFERROR(__xludf.DUMMYFUNCTION("""COMPUTED_VALUE"""),44718.0)</f>
        <v>44718</v>
      </c>
      <c r="C13271" s="6">
        <f>IFERROR(__xludf.DUMMYFUNCTION("""COMPUTED_VALUE"""),0.35771990740613546)</f>
        <v>0.3577199074</v>
      </c>
      <c r="D13271" s="4">
        <f>IFERROR(__xludf.DUMMYFUNCTION("""COMPUTED_VALUE"""),12.90691)</f>
        <v>12.90691</v>
      </c>
      <c r="E13271" s="4">
        <f>IFERROR(__xludf.DUMMYFUNCTION("""COMPUTED_VALUE"""),80.096865)</f>
        <v>80.096865</v>
      </c>
      <c r="F13271" s="4">
        <f>IFERROR(__xludf.DUMMYFUNCTION("""COMPUTED_VALUE"""),3143.0)</f>
        <v>3143</v>
      </c>
      <c r="G13271" s="4">
        <f>IFERROR(__xludf.DUMMYFUNCTION("""COMPUTED_VALUE"""),12.0)</f>
        <v>12</v>
      </c>
      <c r="H13271" s="4"/>
      <c r="I13271" s="4"/>
    </row>
    <row r="13272">
      <c r="A13272" s="4" t="str">
        <f>IFERROR(__xludf.DUMMYFUNCTION("""COMPUTED_VALUE"""),"cas_hmw")</f>
        <v>cas_hmw</v>
      </c>
      <c r="B13272" s="5">
        <f>IFERROR(__xludf.DUMMYFUNCTION("""COMPUTED_VALUE"""),44718.0)</f>
        <v>44718</v>
      </c>
      <c r="C13272" s="6">
        <f>IFERROR(__xludf.DUMMYFUNCTION("""COMPUTED_VALUE"""),0.3581018518525525)</f>
        <v>0.3581018519</v>
      </c>
      <c r="D13272" s="4">
        <f>IFERROR(__xludf.DUMMYFUNCTION("""COMPUTED_VALUE"""),12.90525)</f>
        <v>12.90525</v>
      </c>
      <c r="E13272" s="4">
        <f>IFERROR(__xludf.DUMMYFUNCTION("""COMPUTED_VALUE"""),80.095608)</f>
        <v>80.095608</v>
      </c>
      <c r="F13272" s="4">
        <f>IFERROR(__xludf.DUMMYFUNCTION("""COMPUTED_VALUE"""),3143.0)</f>
        <v>3143</v>
      </c>
      <c r="G13272" s="4">
        <f>IFERROR(__xludf.DUMMYFUNCTION("""COMPUTED_VALUE"""),13.0)</f>
        <v>13</v>
      </c>
      <c r="H13272" s="4"/>
      <c r="I13272" s="4"/>
    </row>
    <row r="13273">
      <c r="A13273" s="4" t="str">
        <f>IFERROR(__xludf.DUMMYFUNCTION("""COMPUTED_VALUE"""),"cas_hmw")</f>
        <v>cas_hmw</v>
      </c>
      <c r="B13273" s="5">
        <f>IFERROR(__xludf.DUMMYFUNCTION("""COMPUTED_VALUE"""),44718.0)</f>
        <v>44718</v>
      </c>
      <c r="C13273" s="6">
        <f>IFERROR(__xludf.DUMMYFUNCTION("""COMPUTED_VALUE"""),0.3581712962950405)</f>
        <v>0.3581712963</v>
      </c>
      <c r="D13273" s="4">
        <f>IFERROR(__xludf.DUMMYFUNCTION("""COMPUTED_VALUE"""),12.903212)</f>
        <v>12.903212</v>
      </c>
      <c r="E13273" s="4">
        <f>IFERROR(__xludf.DUMMYFUNCTION("""COMPUTED_VALUE"""),80.09397)</f>
        <v>80.09397</v>
      </c>
      <c r="F13273" s="4">
        <f>IFERROR(__xludf.DUMMYFUNCTION("""COMPUTED_VALUE"""),3143.0)</f>
        <v>3143</v>
      </c>
      <c r="G13273" s="4">
        <f>IFERROR(__xludf.DUMMYFUNCTION("""COMPUTED_VALUE"""),41.0)</f>
        <v>41</v>
      </c>
      <c r="H13273" s="4"/>
      <c r="I13273" s="4"/>
    </row>
    <row r="13274">
      <c r="A13274" s="4" t="str">
        <f>IFERROR(__xludf.DUMMYFUNCTION("""COMPUTED_VALUE"""),"cas_hmw")</f>
        <v>cas_hmw</v>
      </c>
      <c r="B13274" s="5">
        <f>IFERROR(__xludf.DUMMYFUNCTION("""COMPUTED_VALUE"""),44718.0)</f>
        <v>44718</v>
      </c>
      <c r="C13274" s="6">
        <f>IFERROR(__xludf.DUMMYFUNCTION("""COMPUTED_VALUE"""),0.3600347222236451)</f>
        <v>0.3600347222</v>
      </c>
      <c r="D13274" s="4">
        <f>IFERROR(__xludf.DUMMYFUNCTION("""COMPUTED_VALUE"""),12.894792)</f>
        <v>12.894792</v>
      </c>
      <c r="E13274" s="4">
        <f>IFERROR(__xludf.DUMMYFUNCTION("""COMPUTED_VALUE"""),80.087621)</f>
        <v>80.087621</v>
      </c>
      <c r="F13274" s="4">
        <f>IFERROR(__xludf.DUMMYFUNCTION("""COMPUTED_VALUE"""),3143.0)</f>
        <v>3143</v>
      </c>
      <c r="G13274" s="4">
        <f>IFERROR(__xludf.DUMMYFUNCTION("""COMPUTED_VALUE"""),39.0)</f>
        <v>39</v>
      </c>
      <c r="H13274" s="4"/>
      <c r="I13274" s="4"/>
    </row>
    <row r="13275">
      <c r="A13275" s="4" t="str">
        <f>IFERROR(__xludf.DUMMYFUNCTION("""COMPUTED_VALUE"""),"cas_hmw")</f>
        <v>cas_hmw</v>
      </c>
      <c r="B13275" s="5">
        <f>IFERROR(__xludf.DUMMYFUNCTION("""COMPUTED_VALUE"""),44718.0)</f>
        <v>44718</v>
      </c>
      <c r="C13275" s="6">
        <f>IFERROR(__xludf.DUMMYFUNCTION("""COMPUTED_VALUE"""),0.3654861111099308)</f>
        <v>0.3654861111</v>
      </c>
      <c r="D13275" s="4">
        <f>IFERROR(__xludf.DUMMYFUNCTION("""COMPUTED_VALUE"""),12.879055)</f>
        <v>12.879055</v>
      </c>
      <c r="E13275" s="4">
        <f>IFERROR(__xludf.DUMMYFUNCTION("""COMPUTED_VALUE"""),80.08045)</f>
        <v>80.08045</v>
      </c>
      <c r="F13275" s="4">
        <f>IFERROR(__xludf.DUMMYFUNCTION("""COMPUTED_VALUE"""),3143.0)</f>
        <v>3143</v>
      </c>
      <c r="G13275" s="4">
        <f>IFERROR(__xludf.DUMMYFUNCTION("""COMPUTED_VALUE"""),9.0)</f>
        <v>9</v>
      </c>
      <c r="H13275" s="4"/>
      <c r="I13275" s="4"/>
    </row>
    <row r="13276">
      <c r="A13276" s="4" t="str">
        <f>IFERROR(__xludf.DUMMYFUNCTION("""COMPUTED_VALUE"""),"cas_hmw")</f>
        <v>cas_hmw</v>
      </c>
      <c r="B13276" s="5">
        <f>IFERROR(__xludf.DUMMYFUNCTION("""COMPUTED_VALUE"""),44718.0)</f>
        <v>44718</v>
      </c>
      <c r="C13276" s="6">
        <f>IFERROR(__xludf.DUMMYFUNCTION("""COMPUTED_VALUE"""),0.692488425924239)</f>
        <v>0.6924884259</v>
      </c>
      <c r="D13276" s="4">
        <f>IFERROR(__xludf.DUMMYFUNCTION("""COMPUTED_VALUE"""),12.878779)</f>
        <v>12.878779</v>
      </c>
      <c r="E13276" s="4">
        <f>IFERROR(__xludf.DUMMYFUNCTION("""COMPUTED_VALUE"""),80.080981)</f>
        <v>80.080981</v>
      </c>
      <c r="F13276" s="4">
        <f>IFERROR(__xludf.DUMMYFUNCTION("""COMPUTED_VALUE"""),805.0)</f>
        <v>805</v>
      </c>
      <c r="G13276" s="4">
        <f>IFERROR(__xludf.DUMMYFUNCTION("""COMPUTED_VALUE"""),11.0)</f>
        <v>11</v>
      </c>
      <c r="H13276" s="4"/>
      <c r="I13276" s="4"/>
    </row>
    <row r="13277">
      <c r="A13277" s="4" t="str">
        <f>IFERROR(__xludf.DUMMYFUNCTION("""COMPUTED_VALUE"""),"cas_hmw")</f>
        <v>cas_hmw</v>
      </c>
      <c r="B13277" s="5">
        <f>IFERROR(__xludf.DUMMYFUNCTION("""COMPUTED_VALUE"""),44718.0)</f>
        <v>44718</v>
      </c>
      <c r="C13277" s="6">
        <f>IFERROR(__xludf.DUMMYFUNCTION("""COMPUTED_VALUE"""),0.6925115740741603)</f>
        <v>0.6925115741</v>
      </c>
      <c r="D13277" s="4">
        <f>IFERROR(__xludf.DUMMYFUNCTION("""COMPUTED_VALUE"""),12.878779)</f>
        <v>12.878779</v>
      </c>
      <c r="E13277" s="4">
        <f>IFERROR(__xludf.DUMMYFUNCTION("""COMPUTED_VALUE"""),80.080981)</f>
        <v>80.080981</v>
      </c>
      <c r="F13277" s="4">
        <f>IFERROR(__xludf.DUMMYFUNCTION("""COMPUTED_VALUE"""),805.0)</f>
        <v>805</v>
      </c>
      <c r="G13277" s="4">
        <f>IFERROR(__xludf.DUMMYFUNCTION("""COMPUTED_VALUE"""),11.0)</f>
        <v>11</v>
      </c>
      <c r="H13277" s="4"/>
      <c r="I13277" s="4"/>
    </row>
    <row r="13278">
      <c r="A13278" s="4" t="str">
        <f>IFERROR(__xludf.DUMMYFUNCTION("""COMPUTED_VALUE"""),"cas_hmw")</f>
        <v>cas_hmw</v>
      </c>
      <c r="B13278" s="5">
        <f>IFERROR(__xludf.DUMMYFUNCTION("""COMPUTED_VALUE"""),44718.0)</f>
        <v>44718</v>
      </c>
      <c r="C13278" s="6">
        <f>IFERROR(__xludf.DUMMYFUNCTION("""COMPUTED_VALUE"""),0.692870370370656)</f>
        <v>0.6928703704</v>
      </c>
      <c r="D13278" s="4">
        <f>IFERROR(__xludf.DUMMYFUNCTION("""COMPUTED_VALUE"""),12.878922)</f>
        <v>12.878922</v>
      </c>
      <c r="E13278" s="4">
        <f>IFERROR(__xludf.DUMMYFUNCTION("""COMPUTED_VALUE"""),80.080516)</f>
        <v>80.080516</v>
      </c>
      <c r="F13278" s="4">
        <f>IFERROR(__xludf.DUMMYFUNCTION("""COMPUTED_VALUE"""),805.0)</f>
        <v>805</v>
      </c>
      <c r="G13278" s="4">
        <f>IFERROR(__xludf.DUMMYFUNCTION("""COMPUTED_VALUE"""),9.0)</f>
        <v>9</v>
      </c>
      <c r="H13278" s="4"/>
      <c r="I13278" s="4"/>
    </row>
    <row r="13279">
      <c r="A13279" s="4" t="str">
        <f>IFERROR(__xludf.DUMMYFUNCTION("""COMPUTED_VALUE"""),"cas_hmw")</f>
        <v>cas_hmw</v>
      </c>
      <c r="B13279" s="5">
        <f>IFERROR(__xludf.DUMMYFUNCTION("""COMPUTED_VALUE"""),44718.0)</f>
        <v>44718</v>
      </c>
      <c r="C13279" s="6">
        <f>IFERROR(__xludf.DUMMYFUNCTION("""COMPUTED_VALUE"""),0.692974537036207)</f>
        <v>0.692974537</v>
      </c>
      <c r="D13279" s="4">
        <f>IFERROR(__xludf.DUMMYFUNCTION("""COMPUTED_VALUE"""),12.87828)</f>
        <v>12.87828</v>
      </c>
      <c r="E13279" s="4">
        <f>IFERROR(__xludf.DUMMYFUNCTION("""COMPUTED_VALUE"""),80.079948)</f>
        <v>80.079948</v>
      </c>
      <c r="F13279" s="4">
        <f>IFERROR(__xludf.DUMMYFUNCTION("""COMPUTED_VALUE"""),805.0)</f>
        <v>805</v>
      </c>
      <c r="G13279" s="4">
        <f>IFERROR(__xludf.DUMMYFUNCTION("""COMPUTED_VALUE"""),36.0)</f>
        <v>36</v>
      </c>
      <c r="H13279" s="4"/>
      <c r="I13279" s="4"/>
    </row>
    <row r="13280">
      <c r="A13280" s="4" t="str">
        <f>IFERROR(__xludf.DUMMYFUNCTION("""COMPUTED_VALUE"""),"cas_hmw")</f>
        <v>cas_hmw</v>
      </c>
      <c r="B13280" s="5">
        <f>IFERROR(__xludf.DUMMYFUNCTION("""COMPUTED_VALUE"""),44718.0)</f>
        <v>44718</v>
      </c>
      <c r="C13280" s="6">
        <f>IFERROR(__xludf.DUMMYFUNCTION("""COMPUTED_VALUE"""),0.6939004629639385)</f>
        <v>0.693900463</v>
      </c>
      <c r="D13280" s="4">
        <f>IFERROR(__xludf.DUMMYFUNCTION("""COMPUTED_VALUE"""),12.872143)</f>
        <v>12.872143</v>
      </c>
      <c r="E13280" s="4">
        <f>IFERROR(__xludf.DUMMYFUNCTION("""COMPUTED_VALUE"""),80.077491)</f>
        <v>80.077491</v>
      </c>
      <c r="F13280" s="4">
        <f>IFERROR(__xludf.DUMMYFUNCTION("""COMPUTED_VALUE"""),805.0)</f>
        <v>805</v>
      </c>
      <c r="G13280" s="4">
        <f>IFERROR(__xludf.DUMMYFUNCTION("""COMPUTED_VALUE"""),58.0)</f>
        <v>58</v>
      </c>
      <c r="H13280" s="4"/>
      <c r="I13280" s="4"/>
    </row>
    <row r="13281">
      <c r="A13281" s="4" t="str">
        <f>IFERROR(__xludf.DUMMYFUNCTION("""COMPUTED_VALUE"""),"cas_hmw")</f>
        <v>cas_hmw</v>
      </c>
      <c r="B13281" s="5">
        <f>IFERROR(__xludf.DUMMYFUNCTION("""COMPUTED_VALUE"""),44718.0)</f>
        <v>44718</v>
      </c>
      <c r="C13281" s="6">
        <f>IFERROR(__xludf.DUMMYFUNCTION("""COMPUTED_VALUE"""),0.6940509259256942)</f>
        <v>0.6940509259</v>
      </c>
      <c r="D13281" s="4">
        <f>IFERROR(__xludf.DUMMYFUNCTION("""COMPUTED_VALUE"""),12.881299)</f>
        <v>12.881299</v>
      </c>
      <c r="E13281" s="4">
        <f>IFERROR(__xludf.DUMMYFUNCTION("""COMPUTED_VALUE"""),80.080624)</f>
        <v>80.080624</v>
      </c>
      <c r="F13281" s="4">
        <f>IFERROR(__xludf.DUMMYFUNCTION("""COMPUTED_VALUE"""),2846.0)</f>
        <v>2846</v>
      </c>
      <c r="G13281" s="4">
        <f>IFERROR(__xludf.DUMMYFUNCTION("""COMPUTED_VALUE"""),11.0)</f>
        <v>11</v>
      </c>
      <c r="H13281" s="4"/>
      <c r="I13281" s="4"/>
    </row>
    <row r="13282">
      <c r="A13282" s="4" t="str">
        <f>IFERROR(__xludf.DUMMYFUNCTION("""COMPUTED_VALUE"""),"cas_hmw")</f>
        <v>cas_hmw</v>
      </c>
      <c r="B13282" s="5">
        <f>IFERROR(__xludf.DUMMYFUNCTION("""COMPUTED_VALUE"""),44718.0)</f>
        <v>44718</v>
      </c>
      <c r="C13282" s="6">
        <f>IFERROR(__xludf.DUMMYFUNCTION("""COMPUTED_VALUE"""),0.6941087962950405)</f>
        <v>0.6941087963</v>
      </c>
      <c r="D13282" s="4">
        <f>IFERROR(__xludf.DUMMYFUNCTION("""COMPUTED_VALUE"""),12.872143)</f>
        <v>12.872143</v>
      </c>
      <c r="E13282" s="4">
        <f>IFERROR(__xludf.DUMMYFUNCTION("""COMPUTED_VALUE"""),80.077491)</f>
        <v>80.077491</v>
      </c>
      <c r="F13282" s="4">
        <f>IFERROR(__xludf.DUMMYFUNCTION("""COMPUTED_VALUE"""),805.0)</f>
        <v>805</v>
      </c>
      <c r="G13282" s="4">
        <f>IFERROR(__xludf.DUMMYFUNCTION("""COMPUTED_VALUE"""),58.0)</f>
        <v>58</v>
      </c>
      <c r="H13282" s="4"/>
      <c r="I13282" s="4"/>
    </row>
    <row r="13283">
      <c r="A13283" s="4" t="str">
        <f>IFERROR(__xludf.DUMMYFUNCTION("""COMPUTED_VALUE"""),"cas_hmw")</f>
        <v>cas_hmw</v>
      </c>
      <c r="B13283" s="5">
        <f>IFERROR(__xludf.DUMMYFUNCTION("""COMPUTED_VALUE"""),44718.0)</f>
        <v>44718</v>
      </c>
      <c r="C13283" s="6">
        <f>IFERROR(__xludf.DUMMYFUNCTION("""COMPUTED_VALUE"""),0.6946643518531346)</f>
        <v>0.6946643519</v>
      </c>
      <c r="D13283" s="4">
        <f>IFERROR(__xludf.DUMMYFUNCTION("""COMPUTED_VALUE"""),12.866214)</f>
        <v>12.866214</v>
      </c>
      <c r="E13283" s="4">
        <f>IFERROR(__xludf.DUMMYFUNCTION("""COMPUTED_VALUE"""),80.075084)</f>
        <v>80.075084</v>
      </c>
      <c r="F13283" s="4">
        <f>IFERROR(__xludf.DUMMYFUNCTION("""COMPUTED_VALUE"""),805.0)</f>
        <v>805</v>
      </c>
      <c r="G13283" s="4">
        <f>IFERROR(__xludf.DUMMYFUNCTION("""COMPUTED_VALUE"""),28.0)</f>
        <v>28</v>
      </c>
      <c r="H13283" s="4"/>
      <c r="I13283" s="4"/>
    </row>
    <row r="13284">
      <c r="A13284" s="4" t="str">
        <f>IFERROR(__xludf.DUMMYFUNCTION("""COMPUTED_VALUE"""),"cas_hmw")</f>
        <v>cas_hmw</v>
      </c>
      <c r="B13284" s="5">
        <f>IFERROR(__xludf.DUMMYFUNCTION("""COMPUTED_VALUE"""),44718.0)</f>
        <v>44718</v>
      </c>
      <c r="C13284" s="6">
        <f>IFERROR(__xludf.DUMMYFUNCTION("""COMPUTED_VALUE"""),0.6950925925921183)</f>
        <v>0.6950925926</v>
      </c>
      <c r="D13284" s="4">
        <f>IFERROR(__xludf.DUMMYFUNCTION("""COMPUTED_VALUE"""),12.864715)</f>
        <v>12.864715</v>
      </c>
      <c r="E13284" s="4">
        <f>IFERROR(__xludf.DUMMYFUNCTION("""COMPUTED_VALUE"""),80.074529)</f>
        <v>80.074529</v>
      </c>
      <c r="F13284" s="4">
        <f>IFERROR(__xludf.DUMMYFUNCTION("""COMPUTED_VALUE"""),805.0)</f>
        <v>805</v>
      </c>
      <c r="G13284" s="4">
        <f>IFERROR(__xludf.DUMMYFUNCTION("""COMPUTED_VALUE"""),46.0)</f>
        <v>46</v>
      </c>
      <c r="H13284" s="4"/>
      <c r="I13284" s="4"/>
    </row>
    <row r="13285">
      <c r="A13285" s="4" t="str">
        <f>IFERROR(__xludf.DUMMYFUNCTION("""COMPUTED_VALUE"""),"cas_hmw")</f>
        <v>cas_hmw</v>
      </c>
      <c r="B13285" s="5">
        <f>IFERROR(__xludf.DUMMYFUNCTION("""COMPUTED_VALUE"""),44718.0)</f>
        <v>44718</v>
      </c>
      <c r="C13285" s="6">
        <f>IFERROR(__xludf.DUMMYFUNCTION("""COMPUTED_VALUE"""),0.69510416666526)</f>
        <v>0.6951041667</v>
      </c>
      <c r="D13285" s="4">
        <f>IFERROR(__xludf.DUMMYFUNCTION("""COMPUTED_VALUE"""),12.864715)</f>
        <v>12.864715</v>
      </c>
      <c r="E13285" s="4">
        <f>IFERROR(__xludf.DUMMYFUNCTION("""COMPUTED_VALUE"""),80.074529)</f>
        <v>80.074529</v>
      </c>
      <c r="F13285" s="4">
        <f>IFERROR(__xludf.DUMMYFUNCTION("""COMPUTED_VALUE"""),805.0)</f>
        <v>805</v>
      </c>
      <c r="G13285" s="4">
        <f>IFERROR(__xludf.DUMMYFUNCTION("""COMPUTED_VALUE"""),46.0)</f>
        <v>46</v>
      </c>
      <c r="H13285" s="4"/>
      <c r="I13285" s="4"/>
    </row>
    <row r="13286">
      <c r="A13286" s="4" t="str">
        <f>IFERROR(__xludf.DUMMYFUNCTION("""COMPUTED_VALUE"""),"cas_hmw")</f>
        <v>cas_hmw</v>
      </c>
      <c r="B13286" s="5">
        <f>IFERROR(__xludf.DUMMYFUNCTION("""COMPUTED_VALUE"""),44718.0)</f>
        <v>44718</v>
      </c>
      <c r="C13286" s="6">
        <f>IFERROR(__xludf.DUMMYFUNCTION("""COMPUTED_VALUE"""),0.69510416666526)</f>
        <v>0.6951041667</v>
      </c>
      <c r="D13286" s="4">
        <f>IFERROR(__xludf.DUMMYFUNCTION("""COMPUTED_VALUE"""),12.864715)</f>
        <v>12.864715</v>
      </c>
      <c r="E13286" s="4">
        <f>IFERROR(__xludf.DUMMYFUNCTION("""COMPUTED_VALUE"""),80.074529)</f>
        <v>80.074529</v>
      </c>
      <c r="F13286" s="4">
        <f>IFERROR(__xludf.DUMMYFUNCTION("""COMPUTED_VALUE"""),805.0)</f>
        <v>805</v>
      </c>
      <c r="G13286" s="4">
        <f>IFERROR(__xludf.DUMMYFUNCTION("""COMPUTED_VALUE"""),46.0)</f>
        <v>46</v>
      </c>
      <c r="H13286" s="4"/>
      <c r="I13286" s="4"/>
    </row>
    <row r="13287">
      <c r="A13287" s="4" t="str">
        <f>IFERROR(__xludf.DUMMYFUNCTION("""COMPUTED_VALUE"""),"cas_hmw")</f>
        <v>cas_hmw</v>
      </c>
      <c r="B13287" s="5">
        <f>IFERROR(__xludf.DUMMYFUNCTION("""COMPUTED_VALUE"""),44718.0)</f>
        <v>44718</v>
      </c>
      <c r="C13287" s="6">
        <f>IFERROR(__xludf.DUMMYFUNCTION("""COMPUTED_VALUE"""),0.6951273148151813)</f>
        <v>0.6951273148</v>
      </c>
      <c r="D13287" s="4">
        <f>IFERROR(__xludf.DUMMYFUNCTION("""COMPUTED_VALUE"""),12.864715)</f>
        <v>12.864715</v>
      </c>
      <c r="E13287" s="4">
        <f>IFERROR(__xludf.DUMMYFUNCTION("""COMPUTED_VALUE"""),80.074529)</f>
        <v>80.074529</v>
      </c>
      <c r="F13287" s="4">
        <f>IFERROR(__xludf.DUMMYFUNCTION("""COMPUTED_VALUE"""),805.0)</f>
        <v>805</v>
      </c>
      <c r="G13287" s="4">
        <f>IFERROR(__xludf.DUMMYFUNCTION("""COMPUTED_VALUE"""),46.0)</f>
        <v>46</v>
      </c>
      <c r="H13287" s="4"/>
      <c r="I13287" s="4"/>
    </row>
    <row r="13288">
      <c r="A13288" s="4" t="str">
        <f>IFERROR(__xludf.DUMMYFUNCTION("""COMPUTED_VALUE"""),"cas_hmw")</f>
        <v>cas_hmw</v>
      </c>
      <c r="B13288" s="5">
        <f>IFERROR(__xludf.DUMMYFUNCTION("""COMPUTED_VALUE"""),44718.0)</f>
        <v>44718</v>
      </c>
      <c r="C13288" s="6">
        <f>IFERROR(__xludf.DUMMYFUNCTION("""COMPUTED_VALUE"""),0.695138888888323)</f>
        <v>0.6951388889</v>
      </c>
      <c r="D13288" s="4">
        <f>IFERROR(__xludf.DUMMYFUNCTION("""COMPUTED_VALUE"""),12.864715)</f>
        <v>12.864715</v>
      </c>
      <c r="E13288" s="4">
        <f>IFERROR(__xludf.DUMMYFUNCTION("""COMPUTED_VALUE"""),80.074529)</f>
        <v>80.074529</v>
      </c>
      <c r="F13288" s="4">
        <f>IFERROR(__xludf.DUMMYFUNCTION("""COMPUTED_VALUE"""),805.0)</f>
        <v>805</v>
      </c>
      <c r="G13288" s="4">
        <f>IFERROR(__xludf.DUMMYFUNCTION("""COMPUTED_VALUE"""),46.0)</f>
        <v>46</v>
      </c>
      <c r="H13288" s="4"/>
      <c r="I13288" s="4"/>
    </row>
    <row r="13289">
      <c r="A13289" s="4" t="str">
        <f>IFERROR(__xludf.DUMMYFUNCTION("""COMPUTED_VALUE"""),"cas_hmw")</f>
        <v>cas_hmw</v>
      </c>
      <c r="B13289" s="5">
        <f>IFERROR(__xludf.DUMMYFUNCTION("""COMPUTED_VALUE"""),44718.0)</f>
        <v>44718</v>
      </c>
      <c r="C13289" s="6">
        <f>IFERROR(__xludf.DUMMYFUNCTION("""COMPUTED_VALUE"""),0.6951620370382443)</f>
        <v>0.695162037</v>
      </c>
      <c r="D13289" s="4">
        <f>IFERROR(__xludf.DUMMYFUNCTION("""COMPUTED_VALUE"""),12.864715)</f>
        <v>12.864715</v>
      </c>
      <c r="E13289" s="4">
        <f>IFERROR(__xludf.DUMMYFUNCTION("""COMPUTED_VALUE"""),80.074529)</f>
        <v>80.074529</v>
      </c>
      <c r="F13289" s="4">
        <f>IFERROR(__xludf.DUMMYFUNCTION("""COMPUTED_VALUE"""),805.0)</f>
        <v>805</v>
      </c>
      <c r="G13289" s="4">
        <f>IFERROR(__xludf.DUMMYFUNCTION("""COMPUTED_VALUE"""),46.0)</f>
        <v>46</v>
      </c>
      <c r="H13289" s="4"/>
      <c r="I13289" s="4"/>
    </row>
    <row r="13290">
      <c r="A13290" s="4" t="str">
        <f>IFERROR(__xludf.DUMMYFUNCTION("""COMPUTED_VALUE"""),"cas_hmw")</f>
        <v>cas_hmw</v>
      </c>
      <c r="B13290" s="5">
        <f>IFERROR(__xludf.DUMMYFUNCTION("""COMPUTED_VALUE"""),44718.0)</f>
        <v>44718</v>
      </c>
      <c r="C13290" s="6">
        <f>IFERROR(__xludf.DUMMYFUNCTION("""COMPUTED_VALUE"""),0.6960069444430701)</f>
        <v>0.6960069444</v>
      </c>
      <c r="D13290" s="4">
        <f>IFERROR(__xludf.DUMMYFUNCTION("""COMPUTED_VALUE"""),12.853231)</f>
        <v>12.853231</v>
      </c>
      <c r="E13290" s="4">
        <f>IFERROR(__xludf.DUMMYFUNCTION("""COMPUTED_VALUE"""),80.067241)</f>
        <v>80.067241</v>
      </c>
      <c r="F13290" s="4">
        <f>IFERROR(__xludf.DUMMYFUNCTION("""COMPUTED_VALUE"""),805.0)</f>
        <v>805</v>
      </c>
      <c r="G13290" s="4">
        <f>IFERROR(__xludf.DUMMYFUNCTION("""COMPUTED_VALUE"""),47.0)</f>
        <v>47</v>
      </c>
      <c r="H13290" s="4"/>
      <c r="I13290" s="4"/>
    </row>
    <row r="13291">
      <c r="A13291" s="4" t="str">
        <f>IFERROR(__xludf.DUMMYFUNCTION("""COMPUTED_VALUE"""),"cas_hmw")</f>
        <v>cas_hmw</v>
      </c>
      <c r="B13291" s="5">
        <f>IFERROR(__xludf.DUMMYFUNCTION("""COMPUTED_VALUE"""),44718.0)</f>
        <v>44718</v>
      </c>
      <c r="C13291" s="6">
        <f>IFERROR(__xludf.DUMMYFUNCTION("""COMPUTED_VALUE"""),0.6965972222205892)</f>
        <v>0.6965972222</v>
      </c>
      <c r="D13291" s="4">
        <f>IFERROR(__xludf.DUMMYFUNCTION("""COMPUTED_VALUE"""),12.911098)</f>
        <v>12.911098</v>
      </c>
      <c r="E13291" s="4">
        <f>IFERROR(__xludf.DUMMYFUNCTION("""COMPUTED_VALUE"""),80.101092)</f>
        <v>80.101092</v>
      </c>
      <c r="F13291" s="4">
        <f>IFERROR(__xludf.DUMMYFUNCTION("""COMPUTED_VALUE"""),2846.0)</f>
        <v>2846</v>
      </c>
      <c r="G13291" s="4">
        <f>IFERROR(__xludf.DUMMYFUNCTION("""COMPUTED_VALUE"""),8.0)</f>
        <v>8</v>
      </c>
      <c r="H13291" s="4"/>
      <c r="I13291" s="4"/>
    </row>
    <row r="13292">
      <c r="A13292" s="4" t="str">
        <f>IFERROR(__xludf.DUMMYFUNCTION("""COMPUTED_VALUE"""),"cas_hmw")</f>
        <v>cas_hmw</v>
      </c>
      <c r="B13292" s="5">
        <f>IFERROR(__xludf.DUMMYFUNCTION("""COMPUTED_VALUE"""),44718.0)</f>
        <v>44718</v>
      </c>
      <c r="C13292" s="6">
        <f>IFERROR(__xludf.DUMMYFUNCTION("""COMPUTED_VALUE"""),0.6967592592591245)</f>
        <v>0.6967592593</v>
      </c>
      <c r="D13292" s="4">
        <f>IFERROR(__xludf.DUMMYFUNCTION("""COMPUTED_VALUE"""),12.844502)</f>
        <v>12.844502</v>
      </c>
      <c r="E13292" s="4">
        <f>IFERROR(__xludf.DUMMYFUNCTION("""COMPUTED_VALUE"""),80.060472)</f>
        <v>80.060472</v>
      </c>
      <c r="F13292" s="4">
        <f>IFERROR(__xludf.DUMMYFUNCTION("""COMPUTED_VALUE"""),805.0)</f>
        <v>805</v>
      </c>
      <c r="G13292" s="4">
        <f>IFERROR(__xludf.DUMMYFUNCTION("""COMPUTED_VALUE"""),34.0)</f>
        <v>34</v>
      </c>
      <c r="H13292" s="4"/>
      <c r="I13292" s="4"/>
    </row>
    <row r="13293">
      <c r="A13293" s="4" t="str">
        <f>IFERROR(__xludf.DUMMYFUNCTION("""COMPUTED_VALUE"""),"cas_hmw")</f>
        <v>cas_hmw</v>
      </c>
      <c r="B13293" s="5">
        <f>IFERROR(__xludf.DUMMYFUNCTION("""COMPUTED_VALUE"""),44718.0)</f>
        <v>44718</v>
      </c>
      <c r="C13293" s="6">
        <f>IFERROR(__xludf.DUMMYFUNCTION("""COMPUTED_VALUE"""),0.6975347222214623)</f>
        <v>0.6975347222</v>
      </c>
      <c r="D13293" s="4">
        <f>IFERROR(__xludf.DUMMYFUNCTION("""COMPUTED_VALUE"""),12.917232)</f>
        <v>12.917232</v>
      </c>
      <c r="E13293" s="4">
        <f>IFERROR(__xludf.DUMMYFUNCTION("""COMPUTED_VALUE"""),80.107489)</f>
        <v>80.107489</v>
      </c>
      <c r="F13293" s="4">
        <f>IFERROR(__xludf.DUMMYFUNCTION("""COMPUTED_VALUE"""),2846.0)</f>
        <v>2846</v>
      </c>
      <c r="G13293" s="4">
        <f>IFERROR(__xludf.DUMMYFUNCTION("""COMPUTED_VALUE"""),29.0)</f>
        <v>29</v>
      </c>
      <c r="H13293" s="4"/>
      <c r="I13293" s="4"/>
    </row>
    <row r="13294">
      <c r="A13294" s="4" t="str">
        <f>IFERROR(__xludf.DUMMYFUNCTION("""COMPUTED_VALUE"""),"cas_hmw")</f>
        <v>cas_hmw</v>
      </c>
      <c r="B13294" s="5">
        <f>IFERROR(__xludf.DUMMYFUNCTION("""COMPUTED_VALUE"""),44718.0)</f>
        <v>44718</v>
      </c>
      <c r="C13294" s="6">
        <f>IFERROR(__xludf.DUMMYFUNCTION("""COMPUTED_VALUE"""),0.6982291666681704)</f>
        <v>0.6982291667</v>
      </c>
      <c r="D13294" s="4">
        <f>IFERROR(__xludf.DUMMYFUNCTION("""COMPUTED_VALUE"""),12.838392)</f>
        <v>12.838392</v>
      </c>
      <c r="E13294" s="4">
        <f>IFERROR(__xludf.DUMMYFUNCTION("""COMPUTED_VALUE"""),80.053974)</f>
        <v>80.053974</v>
      </c>
      <c r="F13294" s="4">
        <f>IFERROR(__xludf.DUMMYFUNCTION("""COMPUTED_VALUE"""),805.0)</f>
        <v>805</v>
      </c>
      <c r="G13294" s="4">
        <f>IFERROR(__xludf.DUMMYFUNCTION("""COMPUTED_VALUE"""),56.0)</f>
        <v>56</v>
      </c>
      <c r="H13294" s="4"/>
      <c r="I13294" s="4"/>
    </row>
    <row r="13295">
      <c r="A13295" s="4" t="str">
        <f>IFERROR(__xludf.DUMMYFUNCTION("""COMPUTED_VALUE"""),"cas_hmw")</f>
        <v>cas_hmw</v>
      </c>
      <c r="B13295" s="5">
        <f>IFERROR(__xludf.DUMMYFUNCTION("""COMPUTED_VALUE"""),44718.0)</f>
        <v>44718</v>
      </c>
      <c r="C13295" s="6">
        <f>IFERROR(__xludf.DUMMYFUNCTION("""COMPUTED_VALUE"""),0.6989930555573665)</f>
        <v>0.6989930556</v>
      </c>
      <c r="D13295" s="4">
        <f>IFERROR(__xludf.DUMMYFUNCTION("""COMPUTED_VALUE"""),12.831857)</f>
        <v>12.831857</v>
      </c>
      <c r="E13295" s="4">
        <f>IFERROR(__xludf.DUMMYFUNCTION("""COMPUTED_VALUE"""),80.047158)</f>
        <v>80.047158</v>
      </c>
      <c r="F13295" s="4">
        <f>IFERROR(__xludf.DUMMYFUNCTION("""COMPUTED_VALUE"""),805.0)</f>
        <v>805</v>
      </c>
      <c r="G13295" s="4">
        <f>IFERROR(__xludf.DUMMYFUNCTION("""COMPUTED_VALUE"""),58.0)</f>
        <v>58</v>
      </c>
      <c r="H13295" s="4"/>
      <c r="I13295" s="4"/>
    </row>
    <row r="13296">
      <c r="A13296" s="4" t="str">
        <f>IFERROR(__xludf.DUMMYFUNCTION("""COMPUTED_VALUE"""),"cas_hmw")</f>
        <v>cas_hmw</v>
      </c>
      <c r="B13296" s="5">
        <f>IFERROR(__xludf.DUMMYFUNCTION("""COMPUTED_VALUE"""),44718.0)</f>
        <v>44718</v>
      </c>
      <c r="C13296" s="6">
        <f>IFERROR(__xludf.DUMMYFUNCTION("""COMPUTED_VALUE"""),0.6998148148159089)</f>
        <v>0.6998148148</v>
      </c>
      <c r="D13296" s="4">
        <f>IFERROR(__xludf.DUMMYFUNCTION("""COMPUTED_VALUE"""),12.825688)</f>
        <v>12.825688</v>
      </c>
      <c r="E13296" s="4">
        <f>IFERROR(__xludf.DUMMYFUNCTION("""COMPUTED_VALUE"""),80.040862)</f>
        <v>80.040862</v>
      </c>
      <c r="F13296" s="4">
        <f>IFERROR(__xludf.DUMMYFUNCTION("""COMPUTED_VALUE"""),805.0)</f>
        <v>805</v>
      </c>
      <c r="G13296" s="4">
        <f>IFERROR(__xludf.DUMMYFUNCTION("""COMPUTED_VALUE"""),23.0)</f>
        <v>23</v>
      </c>
      <c r="H13296" s="4"/>
      <c r="I13296" s="4"/>
    </row>
    <row r="13297">
      <c r="A13297" s="4" t="str">
        <f>IFERROR(__xludf.DUMMYFUNCTION("""COMPUTED_VALUE"""),"cas_hmw")</f>
        <v>cas_hmw</v>
      </c>
      <c r="B13297" s="5">
        <f>IFERROR(__xludf.DUMMYFUNCTION("""COMPUTED_VALUE"""),44718.0)</f>
        <v>44718</v>
      </c>
      <c r="C13297" s="6">
        <f>IFERROR(__xludf.DUMMYFUNCTION("""COMPUTED_VALUE"""),0.700300925924239)</f>
        <v>0.7003009259</v>
      </c>
      <c r="D13297" s="4">
        <f>IFERROR(__xludf.DUMMYFUNCTION("""COMPUTED_VALUE"""),12.824356)</f>
        <v>12.824356</v>
      </c>
      <c r="E13297" s="4">
        <f>IFERROR(__xludf.DUMMYFUNCTION("""COMPUTED_VALUE"""),80.039901)</f>
        <v>80.039901</v>
      </c>
      <c r="F13297" s="4">
        <f>IFERROR(__xludf.DUMMYFUNCTION("""COMPUTED_VALUE"""),805.0)</f>
        <v>805</v>
      </c>
      <c r="G13297" s="4">
        <f>IFERROR(__xludf.DUMMYFUNCTION("""COMPUTED_VALUE"""),57.0)</f>
        <v>57</v>
      </c>
      <c r="H13297" s="4"/>
      <c r="I13297" s="4"/>
    </row>
    <row r="13298">
      <c r="A13298" s="4" t="str">
        <f>IFERROR(__xludf.DUMMYFUNCTION("""COMPUTED_VALUE"""),"cas_hmw")</f>
        <v>cas_hmw</v>
      </c>
      <c r="B13298" s="5">
        <f>IFERROR(__xludf.DUMMYFUNCTION("""COMPUTED_VALUE"""),44718.0)</f>
        <v>44718</v>
      </c>
      <c r="C13298" s="6">
        <f>IFERROR(__xludf.DUMMYFUNCTION("""COMPUTED_VALUE"""),0.7003125000010186)</f>
        <v>0.7003125</v>
      </c>
      <c r="D13298" s="4">
        <f>IFERROR(__xludf.DUMMYFUNCTION("""COMPUTED_VALUE"""),12.824356)</f>
        <v>12.824356</v>
      </c>
      <c r="E13298" s="4">
        <f>IFERROR(__xludf.DUMMYFUNCTION("""COMPUTED_VALUE"""),80.039901)</f>
        <v>80.039901</v>
      </c>
      <c r="F13298" s="4">
        <f>IFERROR(__xludf.DUMMYFUNCTION("""COMPUTED_VALUE"""),805.0)</f>
        <v>805</v>
      </c>
      <c r="G13298" s="4">
        <f>IFERROR(__xludf.DUMMYFUNCTION("""COMPUTED_VALUE"""),57.0)</f>
        <v>57</v>
      </c>
      <c r="H13298" s="4"/>
      <c r="I13298" s="4"/>
    </row>
    <row r="13299">
      <c r="A13299" s="4" t="str">
        <f>IFERROR(__xludf.DUMMYFUNCTION("""COMPUTED_VALUE"""),"cas_hmw")</f>
        <v>cas_hmw</v>
      </c>
      <c r="B13299" s="5">
        <f>IFERROR(__xludf.DUMMYFUNCTION("""COMPUTED_VALUE"""),44718.0)</f>
        <v>44718</v>
      </c>
      <c r="C13299" s="6">
        <f>IFERROR(__xludf.DUMMYFUNCTION("""COMPUTED_VALUE"""),0.7006597222207347)</f>
        <v>0.7006597222</v>
      </c>
      <c r="D13299" s="4">
        <f>IFERROR(__xludf.DUMMYFUNCTION("""COMPUTED_VALUE"""),12.928402)</f>
        <v>12.928402</v>
      </c>
      <c r="E13299" s="4">
        <f>IFERROR(__xludf.DUMMYFUNCTION("""COMPUTED_VALUE"""),80.119464)</f>
        <v>80.119464</v>
      </c>
      <c r="F13299" s="4">
        <f>IFERROR(__xludf.DUMMYFUNCTION("""COMPUTED_VALUE"""),2846.0)</f>
        <v>2846</v>
      </c>
      <c r="G13299" s="4">
        <f>IFERROR(__xludf.DUMMYFUNCTION("""COMPUTED_VALUE"""),23.0)</f>
        <v>23</v>
      </c>
      <c r="H13299" s="4"/>
      <c r="I13299" s="4"/>
    </row>
    <row r="13300">
      <c r="A13300" s="4" t="str">
        <f>IFERROR(__xludf.DUMMYFUNCTION("""COMPUTED_VALUE"""),"cas_hmw")</f>
        <v>cas_hmw</v>
      </c>
      <c r="B13300" s="5">
        <f>IFERROR(__xludf.DUMMYFUNCTION("""COMPUTED_VALUE"""),44718.0)</f>
        <v>44718</v>
      </c>
      <c r="C13300" s="6">
        <f>IFERROR(__xludf.DUMMYFUNCTION("""COMPUTED_VALUE"""),0.7006944444437977)</f>
        <v>0.7006944444</v>
      </c>
      <c r="D13300" s="4">
        <f>IFERROR(__xludf.DUMMYFUNCTION("""COMPUTED_VALUE"""),12.928402)</f>
        <v>12.928402</v>
      </c>
      <c r="E13300" s="4">
        <f>IFERROR(__xludf.DUMMYFUNCTION("""COMPUTED_VALUE"""),80.119464)</f>
        <v>80.119464</v>
      </c>
      <c r="F13300" s="4">
        <f>IFERROR(__xludf.DUMMYFUNCTION("""COMPUTED_VALUE"""),2846.0)</f>
        <v>2846</v>
      </c>
      <c r="G13300" s="4">
        <f>IFERROR(__xludf.DUMMYFUNCTION("""COMPUTED_VALUE"""),23.0)</f>
        <v>23</v>
      </c>
      <c r="H13300" s="4"/>
      <c r="I13300" s="4"/>
    </row>
    <row r="13301">
      <c r="A13301" s="4" t="str">
        <f>IFERROR(__xludf.DUMMYFUNCTION("""COMPUTED_VALUE"""),"cas_hmw")</f>
        <v>cas_hmw</v>
      </c>
      <c r="B13301" s="5">
        <f>IFERROR(__xludf.DUMMYFUNCTION("""COMPUTED_VALUE"""),44718.0)</f>
        <v>44718</v>
      </c>
      <c r="C13301" s="6">
        <f>IFERROR(__xludf.DUMMYFUNCTION("""COMPUTED_VALUE"""),0.7013078703712381)</f>
        <v>0.7013078704</v>
      </c>
      <c r="D13301" s="4">
        <f>IFERROR(__xludf.DUMMYFUNCTION("""COMPUTED_VALUE"""),12.929737)</f>
        <v>12.929737</v>
      </c>
      <c r="E13301" s="4">
        <f>IFERROR(__xludf.DUMMYFUNCTION("""COMPUTED_VALUE"""),80.120772)</f>
        <v>80.120772</v>
      </c>
      <c r="F13301" s="4">
        <f>IFERROR(__xludf.DUMMYFUNCTION("""COMPUTED_VALUE"""),2846.0)</f>
        <v>2846</v>
      </c>
      <c r="G13301" s="4">
        <f>IFERROR(__xludf.DUMMYFUNCTION("""COMPUTED_VALUE"""),13.0)</f>
        <v>13</v>
      </c>
      <c r="H13301" s="4"/>
      <c r="I13301" s="4"/>
    </row>
    <row r="13302">
      <c r="A13302" s="4" t="str">
        <f>IFERROR(__xludf.DUMMYFUNCTION("""COMPUTED_VALUE"""),"cas_hmw")</f>
        <v>cas_hmw</v>
      </c>
      <c r="B13302" s="5">
        <f>IFERROR(__xludf.DUMMYFUNCTION("""COMPUTED_VALUE"""),44718.0)</f>
        <v>44718</v>
      </c>
      <c r="C13302" s="6">
        <f>IFERROR(__xludf.DUMMYFUNCTION("""COMPUTED_VALUE"""),0.7016782407408755)</f>
        <v>0.7016782407</v>
      </c>
      <c r="D13302" s="4">
        <f>IFERROR(__xludf.DUMMYFUNCTION("""COMPUTED_VALUE"""),12.817911)</f>
        <v>12.817911</v>
      </c>
      <c r="E13302" s="4">
        <f>IFERROR(__xludf.DUMMYFUNCTION("""COMPUTED_VALUE"""),80.035336)</f>
        <v>80.035336</v>
      </c>
      <c r="F13302" s="4">
        <f>IFERROR(__xludf.DUMMYFUNCTION("""COMPUTED_VALUE"""),805.0)</f>
        <v>805</v>
      </c>
      <c r="G13302" s="4">
        <f>IFERROR(__xludf.DUMMYFUNCTION("""COMPUTED_VALUE"""),34.0)</f>
        <v>34</v>
      </c>
      <c r="H13302" s="4"/>
      <c r="I13302" s="4"/>
    </row>
    <row r="13303">
      <c r="A13303" s="4" t="str">
        <f>IFERROR(__xludf.DUMMYFUNCTION("""COMPUTED_VALUE"""),"cas_hmw")</f>
        <v>cas_hmw</v>
      </c>
      <c r="B13303" s="5">
        <f>IFERROR(__xludf.DUMMYFUNCTION("""COMPUTED_VALUE"""),44718.0)</f>
        <v>44718</v>
      </c>
      <c r="C13303" s="6">
        <f>IFERROR(__xludf.DUMMYFUNCTION("""COMPUTED_VALUE"""),0.7017476851870015)</f>
        <v>0.7017476852</v>
      </c>
      <c r="D13303" s="4">
        <f>IFERROR(__xludf.DUMMYFUNCTION("""COMPUTED_VALUE"""),12.930137)</f>
        <v>12.930137</v>
      </c>
      <c r="E13303" s="4">
        <f>IFERROR(__xludf.DUMMYFUNCTION("""COMPUTED_VALUE"""),80.121175)</f>
        <v>80.121175</v>
      </c>
      <c r="F13303" s="4">
        <f>IFERROR(__xludf.DUMMYFUNCTION("""COMPUTED_VALUE"""),2846.0)</f>
        <v>2846</v>
      </c>
      <c r="G13303" s="4">
        <f>IFERROR(__xludf.DUMMYFUNCTION("""COMPUTED_VALUE"""),22.0)</f>
        <v>22</v>
      </c>
      <c r="H13303" s="4"/>
      <c r="I13303" s="4"/>
    </row>
    <row r="13304">
      <c r="A13304" s="4" t="str">
        <f>IFERROR(__xludf.DUMMYFUNCTION("""COMPUTED_VALUE"""),"cas_hmw")</f>
        <v>cas_hmw</v>
      </c>
      <c r="B13304" s="5">
        <f>IFERROR(__xludf.DUMMYFUNCTION("""COMPUTED_VALUE"""),44718.0)</f>
        <v>44718</v>
      </c>
      <c r="C13304" s="6">
        <f>IFERROR(__xludf.DUMMYFUNCTION("""COMPUTED_VALUE"""),0.7020254629642295)</f>
        <v>0.702025463</v>
      </c>
      <c r="D13304" s="4">
        <f>IFERROR(__xludf.DUMMYFUNCTION("""COMPUTED_VALUE"""),12.933964)</f>
        <v>12.933964</v>
      </c>
      <c r="E13304" s="4">
        <f>IFERROR(__xludf.DUMMYFUNCTION("""COMPUTED_VALUE"""),80.124986)</f>
        <v>80.124986</v>
      </c>
      <c r="F13304" s="4">
        <f>IFERROR(__xludf.DUMMYFUNCTION("""COMPUTED_VALUE"""),2846.0)</f>
        <v>2846</v>
      </c>
      <c r="G13304" s="4">
        <f>IFERROR(__xludf.DUMMYFUNCTION("""COMPUTED_VALUE"""),43.0)</f>
        <v>43</v>
      </c>
      <c r="H13304" s="4"/>
      <c r="I13304" s="4"/>
    </row>
    <row r="13305">
      <c r="A13305" s="4" t="str">
        <f>IFERROR(__xludf.DUMMYFUNCTION("""COMPUTED_VALUE"""),"cas_hmw")</f>
        <v>cas_hmw</v>
      </c>
      <c r="B13305" s="5">
        <f>IFERROR(__xludf.DUMMYFUNCTION("""COMPUTED_VALUE"""),44718.0)</f>
        <v>44718</v>
      </c>
      <c r="C13305" s="6">
        <f>IFERROR(__xludf.DUMMYFUNCTION("""COMPUTED_VALUE"""),0.7021874999991269)</f>
        <v>0.7021875</v>
      </c>
      <c r="D13305" s="4">
        <f>IFERROR(__xludf.DUMMYFUNCTION("""COMPUTED_VALUE"""),12.933964)</f>
        <v>12.933964</v>
      </c>
      <c r="E13305" s="4">
        <f>IFERROR(__xludf.DUMMYFUNCTION("""COMPUTED_VALUE"""),80.124986)</f>
        <v>80.124986</v>
      </c>
      <c r="F13305" s="4">
        <f>IFERROR(__xludf.DUMMYFUNCTION("""COMPUTED_VALUE"""),2846.0)</f>
        <v>2846</v>
      </c>
      <c r="G13305" s="4">
        <f>IFERROR(__xludf.DUMMYFUNCTION("""COMPUTED_VALUE"""),43.0)</f>
        <v>43</v>
      </c>
      <c r="H13305" s="4"/>
      <c r="I13305" s="4"/>
    </row>
    <row r="13306">
      <c r="A13306" s="4" t="str">
        <f>IFERROR(__xludf.DUMMYFUNCTION("""COMPUTED_VALUE"""),"cas_hmw")</f>
        <v>cas_hmw</v>
      </c>
      <c r="B13306" s="5">
        <f>IFERROR(__xludf.DUMMYFUNCTION("""COMPUTED_VALUE"""),44718.0)</f>
        <v>44718</v>
      </c>
      <c r="C13306" s="6">
        <f>IFERROR(__xludf.DUMMYFUNCTION("""COMPUTED_VALUE"""),0.7023726851839456)</f>
        <v>0.7023726852</v>
      </c>
      <c r="D13306" s="4">
        <f>IFERROR(__xludf.DUMMYFUNCTION("""COMPUTED_VALUE"""),12.813594)</f>
        <v>12.813594</v>
      </c>
      <c r="E13306" s="4">
        <f>IFERROR(__xludf.DUMMYFUNCTION("""COMPUTED_VALUE"""),80.032286)</f>
        <v>80.032286</v>
      </c>
      <c r="F13306" s="4">
        <f>IFERROR(__xludf.DUMMYFUNCTION("""COMPUTED_VALUE"""),805.0)</f>
        <v>805</v>
      </c>
      <c r="G13306" s="4">
        <f>IFERROR(__xludf.DUMMYFUNCTION("""COMPUTED_VALUE"""),58.0)</f>
        <v>58</v>
      </c>
      <c r="H13306" s="4"/>
      <c r="I13306" s="4"/>
    </row>
    <row r="13307">
      <c r="A13307" s="4" t="str">
        <f>IFERROR(__xludf.DUMMYFUNCTION("""COMPUTED_VALUE"""),"cas_hmw")</f>
        <v>cas_hmw</v>
      </c>
      <c r="B13307" s="5">
        <f>IFERROR(__xludf.DUMMYFUNCTION("""COMPUTED_VALUE"""),44718.0)</f>
        <v>44718</v>
      </c>
      <c r="C13307" s="6">
        <f>IFERROR(__xludf.DUMMYFUNCTION("""COMPUTED_VALUE"""),0.7028240740728506)</f>
        <v>0.7028240741</v>
      </c>
      <c r="D13307" s="4">
        <f>IFERROR(__xludf.DUMMYFUNCTION("""COMPUTED_VALUE"""),12.937578)</f>
        <v>12.937578</v>
      </c>
      <c r="E13307" s="4">
        <f>IFERROR(__xludf.DUMMYFUNCTION("""COMPUTED_VALUE"""),80.128259)</f>
        <v>80.128259</v>
      </c>
      <c r="F13307" s="4">
        <f>IFERROR(__xludf.DUMMYFUNCTION("""COMPUTED_VALUE"""),2846.0)</f>
        <v>2846</v>
      </c>
      <c r="G13307" s="4">
        <f>IFERROR(__xludf.DUMMYFUNCTION("""COMPUTED_VALUE"""),39.0)</f>
        <v>39</v>
      </c>
      <c r="H13307" s="4"/>
      <c r="I13307" s="4"/>
    </row>
    <row r="13308">
      <c r="A13308" s="4" t="str">
        <f>IFERROR(__xludf.DUMMYFUNCTION("""COMPUTED_VALUE"""),"cas_hmw")</f>
        <v>cas_hmw</v>
      </c>
      <c r="B13308" s="5">
        <f>IFERROR(__xludf.DUMMYFUNCTION("""COMPUTED_VALUE"""),44718.0)</f>
        <v>44718</v>
      </c>
      <c r="C13308" s="6">
        <f>IFERROR(__xludf.DUMMYFUNCTION("""COMPUTED_VALUE"""),0.702847222222772)</f>
        <v>0.7028472222</v>
      </c>
      <c r="D13308" s="4">
        <f>IFERROR(__xludf.DUMMYFUNCTION("""COMPUTED_VALUE"""),12.937578)</f>
        <v>12.937578</v>
      </c>
      <c r="E13308" s="4">
        <f>IFERROR(__xludf.DUMMYFUNCTION("""COMPUTED_VALUE"""),80.128259)</f>
        <v>80.128259</v>
      </c>
      <c r="F13308" s="4">
        <f>IFERROR(__xludf.DUMMYFUNCTION("""COMPUTED_VALUE"""),2846.0)</f>
        <v>2846</v>
      </c>
      <c r="G13308" s="4">
        <f>IFERROR(__xludf.DUMMYFUNCTION("""COMPUTED_VALUE"""),39.0)</f>
        <v>39</v>
      </c>
      <c r="H13308" s="4"/>
      <c r="I13308" s="4"/>
    </row>
    <row r="13309">
      <c r="A13309" s="4" t="str">
        <f>IFERROR(__xludf.DUMMYFUNCTION("""COMPUTED_VALUE"""),"cas_hmw")</f>
        <v>cas_hmw</v>
      </c>
      <c r="B13309" s="5">
        <f>IFERROR(__xludf.DUMMYFUNCTION("""COMPUTED_VALUE"""),44718.0)</f>
        <v>44718</v>
      </c>
      <c r="C13309" s="6">
        <f>IFERROR(__xludf.DUMMYFUNCTION("""COMPUTED_VALUE"""),0.7043634259243845)</f>
        <v>0.7043634259</v>
      </c>
      <c r="D13309" s="4">
        <f>IFERROR(__xludf.DUMMYFUNCTION("""COMPUTED_VALUE"""),12.946762)</f>
        <v>12.946762</v>
      </c>
      <c r="E13309" s="4">
        <f>IFERROR(__xludf.DUMMYFUNCTION("""COMPUTED_VALUE"""),80.136633)</f>
        <v>80.136633</v>
      </c>
      <c r="F13309" s="4">
        <f>IFERROR(__xludf.DUMMYFUNCTION("""COMPUTED_VALUE"""),2846.0)</f>
        <v>2846</v>
      </c>
      <c r="G13309" s="4">
        <f>IFERROR(__xludf.DUMMYFUNCTION("""COMPUTED_VALUE"""),46.0)</f>
        <v>46</v>
      </c>
      <c r="H13309" s="4"/>
      <c r="I13309" s="4"/>
    </row>
    <row r="13310">
      <c r="A13310" s="4" t="str">
        <f>IFERROR(__xludf.DUMMYFUNCTION("""COMPUTED_VALUE"""),"cas_hmw")</f>
        <v>cas_hmw</v>
      </c>
      <c r="B13310" s="5">
        <f>IFERROR(__xludf.DUMMYFUNCTION("""COMPUTED_VALUE"""),44718.0)</f>
        <v>44718</v>
      </c>
      <c r="C13310" s="6">
        <f>IFERROR(__xludf.DUMMYFUNCTION("""COMPUTED_VALUE"""),0.7044212962973688)</f>
        <v>0.7044212963</v>
      </c>
      <c r="D13310" s="4">
        <f>IFERROR(__xludf.DUMMYFUNCTION("""COMPUTED_VALUE"""),12.795946)</f>
        <v>12.795946</v>
      </c>
      <c r="E13310" s="4">
        <f>IFERROR(__xludf.DUMMYFUNCTION("""COMPUTED_VALUE"""),80.020812)</f>
        <v>80.020812</v>
      </c>
      <c r="F13310" s="4">
        <f>IFERROR(__xludf.DUMMYFUNCTION("""COMPUTED_VALUE"""),805.0)</f>
        <v>805</v>
      </c>
      <c r="G13310" s="4">
        <f>IFERROR(__xludf.DUMMYFUNCTION("""COMPUTED_VALUE"""),0.0)</f>
        <v>0</v>
      </c>
      <c r="H13310" s="4"/>
      <c r="I13310" s="4"/>
    </row>
    <row r="13311">
      <c r="A13311" s="4" t="str">
        <f>IFERROR(__xludf.DUMMYFUNCTION("""COMPUTED_VALUE"""),"cas_hmw")</f>
        <v>cas_hmw</v>
      </c>
      <c r="B13311" s="5">
        <f>IFERROR(__xludf.DUMMYFUNCTION("""COMPUTED_VALUE"""),44718.0)</f>
        <v>44718</v>
      </c>
      <c r="C13311" s="6">
        <f>IFERROR(__xludf.DUMMYFUNCTION("""COMPUTED_VALUE"""),0.7045138888897782)</f>
        <v>0.7045138889</v>
      </c>
      <c r="D13311" s="4">
        <f>IFERROR(__xludf.DUMMYFUNCTION("""COMPUTED_VALUE"""),12.795946)</f>
        <v>12.795946</v>
      </c>
      <c r="E13311" s="4">
        <f>IFERROR(__xludf.DUMMYFUNCTION("""COMPUTED_VALUE"""),80.020812)</f>
        <v>80.020812</v>
      </c>
      <c r="F13311" s="4">
        <f>IFERROR(__xludf.DUMMYFUNCTION("""COMPUTED_VALUE"""),805.0)</f>
        <v>805</v>
      </c>
      <c r="G13311" s="4">
        <f>IFERROR(__xludf.DUMMYFUNCTION("""COMPUTED_VALUE"""),0.0)</f>
        <v>0</v>
      </c>
      <c r="H13311" s="4"/>
      <c r="I13311" s="4"/>
    </row>
    <row r="13312">
      <c r="A13312" s="4" t="str">
        <f>IFERROR(__xludf.DUMMYFUNCTION("""COMPUTED_VALUE"""),"cas_hmw")</f>
        <v>cas_hmw</v>
      </c>
      <c r="B13312" s="5">
        <f>IFERROR(__xludf.DUMMYFUNCTION("""COMPUTED_VALUE"""),44718.0)</f>
        <v>44718</v>
      </c>
      <c r="C13312" s="6">
        <f>IFERROR(__xludf.DUMMYFUNCTION("""COMPUTED_VALUE"""),0.7047106481477385)</f>
        <v>0.7047106481</v>
      </c>
      <c r="D13312" s="4">
        <f>IFERROR(__xludf.DUMMYFUNCTION("""COMPUTED_VALUE"""),12.795946)</f>
        <v>12.795946</v>
      </c>
      <c r="E13312" s="4">
        <f>IFERROR(__xludf.DUMMYFUNCTION("""COMPUTED_VALUE"""),80.020812)</f>
        <v>80.020812</v>
      </c>
      <c r="F13312" s="4">
        <f>IFERROR(__xludf.DUMMYFUNCTION("""COMPUTED_VALUE"""),805.0)</f>
        <v>805</v>
      </c>
      <c r="G13312" s="4">
        <f>IFERROR(__xludf.DUMMYFUNCTION("""COMPUTED_VALUE"""),0.0)</f>
        <v>0</v>
      </c>
      <c r="H13312" s="4"/>
      <c r="I13312" s="4"/>
    </row>
    <row r="13313">
      <c r="A13313" s="4" t="str">
        <f>IFERROR(__xludf.DUMMYFUNCTION("""COMPUTED_VALUE"""),"cas_hmw")</f>
        <v>cas_hmw</v>
      </c>
      <c r="B13313" s="5">
        <f>IFERROR(__xludf.DUMMYFUNCTION("""COMPUTED_VALUE"""),44718.0)</f>
        <v>44718</v>
      </c>
      <c r="C13313" s="6">
        <f>IFERROR(__xludf.DUMMYFUNCTION("""COMPUTED_VALUE"""),0.7047337962976599)</f>
        <v>0.7047337963</v>
      </c>
      <c r="D13313" s="4">
        <f>IFERROR(__xludf.DUMMYFUNCTION("""COMPUTED_VALUE"""),12.795946)</f>
        <v>12.795946</v>
      </c>
      <c r="E13313" s="4">
        <f>IFERROR(__xludf.DUMMYFUNCTION("""COMPUTED_VALUE"""),80.020812)</f>
        <v>80.020812</v>
      </c>
      <c r="F13313" s="4">
        <f>IFERROR(__xludf.DUMMYFUNCTION("""COMPUTED_VALUE"""),805.0)</f>
        <v>805</v>
      </c>
      <c r="G13313" s="4">
        <f>IFERROR(__xludf.DUMMYFUNCTION("""COMPUTED_VALUE"""),0.0)</f>
        <v>0</v>
      </c>
      <c r="H13313" s="4"/>
      <c r="I13313" s="4"/>
    </row>
    <row r="13314">
      <c r="A13314" s="4" t="str">
        <f>IFERROR(__xludf.DUMMYFUNCTION("""COMPUTED_VALUE"""),"cas_hmw")</f>
        <v>cas_hmw</v>
      </c>
      <c r="B13314" s="5">
        <f>IFERROR(__xludf.DUMMYFUNCTION("""COMPUTED_VALUE"""),44718.0)</f>
        <v>44718</v>
      </c>
      <c r="C13314" s="6">
        <f>IFERROR(__xludf.DUMMYFUNCTION("""COMPUTED_VALUE"""),0.7048495370363526)</f>
        <v>0.704849537</v>
      </c>
      <c r="D13314" s="4">
        <f>IFERROR(__xludf.DUMMYFUNCTION("""COMPUTED_VALUE"""),12.795946)</f>
        <v>12.795946</v>
      </c>
      <c r="E13314" s="4">
        <f>IFERROR(__xludf.DUMMYFUNCTION("""COMPUTED_VALUE"""),80.020812)</f>
        <v>80.020812</v>
      </c>
      <c r="F13314" s="4">
        <f>IFERROR(__xludf.DUMMYFUNCTION("""COMPUTED_VALUE"""),805.0)</f>
        <v>805</v>
      </c>
      <c r="G13314" s="4">
        <f>IFERROR(__xludf.DUMMYFUNCTION("""COMPUTED_VALUE"""),0.0)</f>
        <v>0</v>
      </c>
      <c r="H13314" s="4"/>
      <c r="I13314" s="4"/>
    </row>
    <row r="13315">
      <c r="A13315" s="4" t="str">
        <f>IFERROR(__xludf.DUMMYFUNCTION("""COMPUTED_VALUE"""),"cas_hmw")</f>
        <v>cas_hmw</v>
      </c>
      <c r="B13315" s="5">
        <f>IFERROR(__xludf.DUMMYFUNCTION("""COMPUTED_VALUE"""),44718.0)</f>
        <v>44718</v>
      </c>
      <c r="C13315" s="6">
        <f>IFERROR(__xludf.DUMMYFUNCTION("""COMPUTED_VALUE"""),0.7055439814830606)</f>
        <v>0.7055439815</v>
      </c>
      <c r="D13315" s="4">
        <f>IFERROR(__xludf.DUMMYFUNCTION("""COMPUTED_VALUE"""),12.793327)</f>
        <v>12.793327</v>
      </c>
      <c r="E13315" s="4">
        <f>IFERROR(__xludf.DUMMYFUNCTION("""COMPUTED_VALUE"""),80.01908)</f>
        <v>80.01908</v>
      </c>
      <c r="F13315" s="4">
        <f>IFERROR(__xludf.DUMMYFUNCTION("""COMPUTED_VALUE"""),805.0)</f>
        <v>805</v>
      </c>
      <c r="G13315" s="4">
        <f>IFERROR(__xludf.DUMMYFUNCTION("""COMPUTED_VALUE"""),60.0)</f>
        <v>60</v>
      </c>
      <c r="H13315" s="4"/>
      <c r="I13315" s="4"/>
    </row>
    <row r="13316">
      <c r="A13316" s="4" t="str">
        <f>IFERROR(__xludf.DUMMYFUNCTION("""COMPUTED_VALUE"""),"cas_hmw")</f>
        <v>cas_hmw</v>
      </c>
      <c r="B13316" s="5">
        <f>IFERROR(__xludf.DUMMYFUNCTION("""COMPUTED_VALUE"""),44718.0)</f>
        <v>44718</v>
      </c>
      <c r="C13316" s="6">
        <f>IFERROR(__xludf.DUMMYFUNCTION("""COMPUTED_VALUE"""),0.7056828703716747)</f>
        <v>0.7056828704</v>
      </c>
      <c r="D13316" s="4">
        <f>IFERROR(__xludf.DUMMYFUNCTION("""COMPUTED_VALUE"""),12.950952)</f>
        <v>12.950952</v>
      </c>
      <c r="E13316" s="4">
        <f>IFERROR(__xludf.DUMMYFUNCTION("""COMPUTED_VALUE"""),80.139808)</f>
        <v>80.139808</v>
      </c>
      <c r="F13316" s="4">
        <f>IFERROR(__xludf.DUMMYFUNCTION("""COMPUTED_VALUE"""),2846.0)</f>
        <v>2846</v>
      </c>
      <c r="G13316" s="4">
        <f>IFERROR(__xludf.DUMMYFUNCTION("""COMPUTED_VALUE"""),24.0)</f>
        <v>24</v>
      </c>
      <c r="H13316" s="4"/>
      <c r="I13316" s="4"/>
    </row>
    <row r="13317">
      <c r="A13317" s="4" t="str">
        <f>IFERROR(__xludf.DUMMYFUNCTION("""COMPUTED_VALUE"""),"cas_hmw")</f>
        <v>cas_hmw</v>
      </c>
      <c r="B13317" s="5">
        <f>IFERROR(__xludf.DUMMYFUNCTION("""COMPUTED_VALUE"""),44718.0)</f>
        <v>44718</v>
      </c>
      <c r="C13317" s="6">
        <f>IFERROR(__xludf.DUMMYFUNCTION("""COMPUTED_VALUE"""),0.705740740741021)</f>
        <v>0.7057407407</v>
      </c>
      <c r="D13317" s="4">
        <f>IFERROR(__xludf.DUMMYFUNCTION("""COMPUTED_VALUE"""),12.951901)</f>
        <v>12.951901</v>
      </c>
      <c r="E13317" s="4">
        <f>IFERROR(__xludf.DUMMYFUNCTION("""COMPUTED_VALUE"""),80.140527)</f>
        <v>80.140527</v>
      </c>
      <c r="F13317" s="4">
        <f>IFERROR(__xludf.DUMMYFUNCTION("""COMPUTED_VALUE"""),2846.0)</f>
        <v>2846</v>
      </c>
      <c r="G13317" s="4">
        <f>IFERROR(__xludf.DUMMYFUNCTION("""COMPUTED_VALUE"""),30.0)</f>
        <v>30</v>
      </c>
      <c r="H13317" s="4"/>
      <c r="I13317" s="4"/>
    </row>
    <row r="13318">
      <c r="A13318" s="4" t="str">
        <f>IFERROR(__xludf.DUMMYFUNCTION("""COMPUTED_VALUE"""),"cas_hmw")</f>
        <v>cas_hmw</v>
      </c>
      <c r="B13318" s="5">
        <f>IFERROR(__xludf.DUMMYFUNCTION("""COMPUTED_VALUE"""),44718.0)</f>
        <v>44718</v>
      </c>
      <c r="C13318" s="6">
        <f>IFERROR(__xludf.DUMMYFUNCTION("""COMPUTED_VALUE"""),0.7059374999989814)</f>
        <v>0.7059375</v>
      </c>
      <c r="D13318" s="4">
        <f>IFERROR(__xludf.DUMMYFUNCTION("""COMPUTED_VALUE"""),12.78533)</f>
        <v>12.78533</v>
      </c>
      <c r="E13318" s="4">
        <f>IFERROR(__xludf.DUMMYFUNCTION("""COMPUTED_VALUE"""),80.014242)</f>
        <v>80.014242</v>
      </c>
      <c r="F13318" s="4">
        <f>IFERROR(__xludf.DUMMYFUNCTION("""COMPUTED_VALUE"""),805.0)</f>
        <v>805</v>
      </c>
      <c r="G13318" s="4">
        <f>IFERROR(__xludf.DUMMYFUNCTION("""COMPUTED_VALUE"""),56.0)</f>
        <v>56</v>
      </c>
      <c r="H13318" s="4"/>
      <c r="I13318" s="4"/>
    </row>
    <row r="13319">
      <c r="A13319" s="4" t="str">
        <f>IFERROR(__xludf.DUMMYFUNCTION("""COMPUTED_VALUE"""),"cas_hmw")</f>
        <v>cas_hmw</v>
      </c>
      <c r="B13319" s="5">
        <f>IFERROR(__xludf.DUMMYFUNCTION("""COMPUTED_VALUE"""),44718.0)</f>
        <v>44718</v>
      </c>
      <c r="C13319" s="6">
        <f>IFERROR(__xludf.DUMMYFUNCTION("""COMPUTED_VALUE"""),0.7060995370375167)</f>
        <v>0.706099537</v>
      </c>
      <c r="D13319" s="4">
        <f>IFERROR(__xludf.DUMMYFUNCTION("""COMPUTED_VALUE"""),12.783367)</f>
        <v>12.783367</v>
      </c>
      <c r="E13319" s="4">
        <f>IFERROR(__xludf.DUMMYFUNCTION("""COMPUTED_VALUE"""),80.01329)</f>
        <v>80.01329</v>
      </c>
      <c r="F13319" s="4">
        <f>IFERROR(__xludf.DUMMYFUNCTION("""COMPUTED_VALUE"""),805.0)</f>
        <v>805</v>
      </c>
      <c r="G13319" s="4">
        <f>IFERROR(__xludf.DUMMYFUNCTION("""COMPUTED_VALUE"""),57.0)</f>
        <v>57</v>
      </c>
      <c r="H13319" s="4"/>
      <c r="I13319" s="4"/>
    </row>
    <row r="13320">
      <c r="A13320" s="4" t="str">
        <f>IFERROR(__xludf.DUMMYFUNCTION("""COMPUTED_VALUE"""),"cas_hmw")</f>
        <v>cas_hmw</v>
      </c>
      <c r="B13320" s="5">
        <f>IFERROR(__xludf.DUMMYFUNCTION("""COMPUTED_VALUE"""),44718.0)</f>
        <v>44718</v>
      </c>
      <c r="C13320" s="6">
        <f>IFERROR(__xludf.DUMMYFUNCTION("""COMPUTED_VALUE"""),0.7066782407418941)</f>
        <v>0.7066782407</v>
      </c>
      <c r="D13320" s="4">
        <f>IFERROR(__xludf.DUMMYFUNCTION("""COMPUTED_VALUE"""),12.777161)</f>
        <v>12.777161</v>
      </c>
      <c r="E13320" s="4">
        <f>IFERROR(__xludf.DUMMYFUNCTION("""COMPUTED_VALUE"""),80.010542)</f>
        <v>80.010542</v>
      </c>
      <c r="F13320" s="4">
        <f>IFERROR(__xludf.DUMMYFUNCTION("""COMPUTED_VALUE"""),805.0)</f>
        <v>805</v>
      </c>
      <c r="G13320" s="4">
        <f>IFERROR(__xludf.DUMMYFUNCTION("""COMPUTED_VALUE"""),55.0)</f>
        <v>55</v>
      </c>
      <c r="H13320" s="4"/>
      <c r="I13320" s="4"/>
    </row>
    <row r="13321">
      <c r="A13321" s="4" t="str">
        <f>IFERROR(__xludf.DUMMYFUNCTION("""COMPUTED_VALUE"""),"cas_hmw")</f>
        <v>cas_hmw</v>
      </c>
      <c r="B13321" s="5">
        <f>IFERROR(__xludf.DUMMYFUNCTION("""COMPUTED_VALUE"""),44718.0)</f>
        <v>44718</v>
      </c>
      <c r="C13321" s="6">
        <f>IFERROR(__xludf.DUMMYFUNCTION("""COMPUTED_VALUE"""),0.7075694444429246)</f>
        <v>0.7075694444</v>
      </c>
      <c r="D13321" s="4">
        <f>IFERROR(__xludf.DUMMYFUNCTION("""COMPUTED_VALUE"""),12.960846)</f>
        <v>12.960846</v>
      </c>
      <c r="E13321" s="4">
        <f>IFERROR(__xludf.DUMMYFUNCTION("""COMPUTED_VALUE"""),80.145549)</f>
        <v>80.145549</v>
      </c>
      <c r="F13321" s="4">
        <f>IFERROR(__xludf.DUMMYFUNCTION("""COMPUTED_VALUE"""),2846.0)</f>
        <v>2846</v>
      </c>
      <c r="G13321" s="4">
        <f>IFERROR(__xludf.DUMMYFUNCTION("""COMPUTED_VALUE"""),0.0)</f>
        <v>0</v>
      </c>
      <c r="H13321" s="4"/>
      <c r="I13321" s="4"/>
    </row>
    <row r="13322">
      <c r="A13322" s="4" t="str">
        <f>IFERROR(__xludf.DUMMYFUNCTION("""COMPUTED_VALUE"""),"cas_hmw")</f>
        <v>cas_hmw</v>
      </c>
      <c r="B13322" s="5">
        <f>IFERROR(__xludf.DUMMYFUNCTION("""COMPUTED_VALUE"""),44718.0)</f>
        <v>44718</v>
      </c>
      <c r="C13322" s="6">
        <f>IFERROR(__xludf.DUMMYFUNCTION("""COMPUTED_VALUE"""),0.7076967592583969)</f>
        <v>0.7076967593</v>
      </c>
      <c r="D13322" s="4">
        <f>IFERROR(__xludf.DUMMYFUNCTION("""COMPUTED_VALUE"""),12.960846)</f>
        <v>12.960846</v>
      </c>
      <c r="E13322" s="4">
        <f>IFERROR(__xludf.DUMMYFUNCTION("""COMPUTED_VALUE"""),80.145549)</f>
        <v>80.145549</v>
      </c>
      <c r="F13322" s="4">
        <f>IFERROR(__xludf.DUMMYFUNCTION("""COMPUTED_VALUE"""),2846.0)</f>
        <v>2846</v>
      </c>
      <c r="G13322" s="4">
        <f>IFERROR(__xludf.DUMMYFUNCTION("""COMPUTED_VALUE"""),0.0)</f>
        <v>0</v>
      </c>
      <c r="H13322" s="4"/>
      <c r="I13322" s="4"/>
    </row>
    <row r="13323">
      <c r="A13323" s="4" t="str">
        <f>IFERROR(__xludf.DUMMYFUNCTION("""COMPUTED_VALUE"""),"cas_hmw")</f>
        <v>cas_hmw</v>
      </c>
      <c r="B13323" s="5">
        <f>IFERROR(__xludf.DUMMYFUNCTION("""COMPUTED_VALUE"""),44718.0)</f>
        <v>44718</v>
      </c>
      <c r="C13323" s="6">
        <f>IFERROR(__xludf.DUMMYFUNCTION("""COMPUTED_VALUE"""),0.7078472222237906)</f>
        <v>0.7078472222</v>
      </c>
      <c r="D13323" s="4">
        <f>IFERROR(__xludf.DUMMYFUNCTION("""COMPUTED_VALUE"""),12.960893)</f>
        <v>12.960893</v>
      </c>
      <c r="E13323" s="4">
        <f>IFERROR(__xludf.DUMMYFUNCTION("""COMPUTED_VALUE"""),80.145572)</f>
        <v>80.145572</v>
      </c>
      <c r="F13323" s="4">
        <f>IFERROR(__xludf.DUMMYFUNCTION("""COMPUTED_VALUE"""),2846.0)</f>
        <v>2846</v>
      </c>
      <c r="G13323" s="4">
        <f>IFERROR(__xludf.DUMMYFUNCTION("""COMPUTED_VALUE"""),8.0)</f>
        <v>8</v>
      </c>
      <c r="H13323" s="4"/>
      <c r="I13323" s="4"/>
    </row>
    <row r="13324">
      <c r="A13324" s="4" t="str">
        <f>IFERROR(__xludf.DUMMYFUNCTION("""COMPUTED_VALUE"""),"cas_hmw")</f>
        <v>cas_hmw</v>
      </c>
      <c r="B13324" s="5">
        <f>IFERROR(__xludf.DUMMYFUNCTION("""COMPUTED_VALUE"""),44718.0)</f>
        <v>44718</v>
      </c>
      <c r="C13324" s="6">
        <f>IFERROR(__xludf.DUMMYFUNCTION("""COMPUTED_VALUE"""),0.7090509259251121)</f>
        <v>0.7090509259</v>
      </c>
      <c r="D13324" s="4">
        <f>IFERROR(__xludf.DUMMYFUNCTION("""COMPUTED_VALUE"""),12.969961)</f>
        <v>12.969961</v>
      </c>
      <c r="E13324" s="4">
        <f>IFERROR(__xludf.DUMMYFUNCTION("""COMPUTED_VALUE"""),80.150328)</f>
        <v>80.150328</v>
      </c>
      <c r="F13324" s="4">
        <f>IFERROR(__xludf.DUMMYFUNCTION("""COMPUTED_VALUE"""),2846.0)</f>
        <v>2846</v>
      </c>
      <c r="G13324" s="4">
        <f>IFERROR(__xludf.DUMMYFUNCTION("""COMPUTED_VALUE"""),57.0)</f>
        <v>57</v>
      </c>
      <c r="H13324" s="4"/>
      <c r="I13324" s="4"/>
    </row>
    <row r="13325">
      <c r="A13325" s="4" t="str">
        <f>IFERROR(__xludf.DUMMYFUNCTION("""COMPUTED_VALUE"""),"cas_hmw")</f>
        <v>cas_hmw</v>
      </c>
      <c r="B13325" s="5">
        <f>IFERROR(__xludf.DUMMYFUNCTION("""COMPUTED_VALUE"""),44718.0)</f>
        <v>44718</v>
      </c>
      <c r="C13325" s="6">
        <f>IFERROR(__xludf.DUMMYFUNCTION("""COMPUTED_VALUE"""),0.7108217592576693)</f>
        <v>0.7108217593</v>
      </c>
      <c r="D13325" s="4">
        <f>IFERROR(__xludf.DUMMYFUNCTION("""COMPUTED_VALUE"""),12.979551)</f>
        <v>12.979551</v>
      </c>
      <c r="E13325" s="4">
        <f>IFERROR(__xludf.DUMMYFUNCTION("""COMPUTED_VALUE"""),80.162135)</f>
        <v>80.162135</v>
      </c>
      <c r="F13325" s="4">
        <f>IFERROR(__xludf.DUMMYFUNCTION("""COMPUTED_VALUE"""),2846.0)</f>
        <v>2846</v>
      </c>
      <c r="G13325" s="4">
        <f>IFERROR(__xludf.DUMMYFUNCTION("""COMPUTED_VALUE"""),53.0)</f>
        <v>53</v>
      </c>
      <c r="H13325" s="4"/>
      <c r="I13325" s="4"/>
    </row>
    <row r="13326">
      <c r="A13326" s="4" t="str">
        <f>IFERROR(__xludf.DUMMYFUNCTION("""COMPUTED_VALUE"""),"cas_hmw")</f>
        <v>cas_hmw</v>
      </c>
      <c r="B13326" s="5">
        <f>IFERROR(__xludf.DUMMYFUNCTION("""COMPUTED_VALUE"""),44718.0)</f>
        <v>44718</v>
      </c>
      <c r="C13326" s="6">
        <f>IFERROR(__xludf.DUMMYFUNCTION("""COMPUTED_VALUE"""),0.7143749999995634)</f>
        <v>0.714375</v>
      </c>
      <c r="D13326" s="4">
        <f>IFERROR(__xludf.DUMMYFUNCTION("""COMPUTED_VALUE"""),12.722981)</f>
        <v>12.722981</v>
      </c>
      <c r="E13326" s="4">
        <f>IFERROR(__xludf.DUMMYFUNCTION("""COMPUTED_VALUE"""),79.981654)</f>
        <v>79.981654</v>
      </c>
      <c r="F13326" s="4">
        <f>IFERROR(__xludf.DUMMYFUNCTION("""COMPUTED_VALUE"""),805.0)</f>
        <v>805</v>
      </c>
      <c r="G13326" s="4">
        <f>IFERROR(__xludf.DUMMYFUNCTION("""COMPUTED_VALUE"""),44.0)</f>
        <v>44</v>
      </c>
      <c r="H13326" s="4"/>
      <c r="I13326" s="4"/>
    </row>
    <row r="13327">
      <c r="A13327" s="4" t="str">
        <f>IFERROR(__xludf.DUMMYFUNCTION("""COMPUTED_VALUE"""),"cas_hmw")</f>
        <v>cas_hmw</v>
      </c>
      <c r="B13327" s="5">
        <f>IFERROR(__xludf.DUMMYFUNCTION("""COMPUTED_VALUE"""),44718.0)</f>
        <v>44718</v>
      </c>
      <c r="C13327" s="6">
        <f>IFERROR(__xludf.DUMMYFUNCTION("""COMPUTED_VALUE"""),0.7149768518502242)</f>
        <v>0.7149768519</v>
      </c>
      <c r="D13327" s="4">
        <f>IFERROR(__xludf.DUMMYFUNCTION("""COMPUTED_VALUE"""),12.719026)</f>
        <v>12.719026</v>
      </c>
      <c r="E13327" s="4">
        <f>IFERROR(__xludf.DUMMYFUNCTION("""COMPUTED_VALUE"""),79.981084)</f>
        <v>79.981084</v>
      </c>
      <c r="F13327" s="4">
        <f>IFERROR(__xludf.DUMMYFUNCTION("""COMPUTED_VALUE"""),805.0)</f>
        <v>805</v>
      </c>
      <c r="G13327" s="4">
        <f>IFERROR(__xludf.DUMMYFUNCTION("""COMPUTED_VALUE"""),25.0)</f>
        <v>25</v>
      </c>
      <c r="H13327" s="4"/>
      <c r="I13327" s="4"/>
    </row>
    <row r="13328">
      <c r="A13328" s="4" t="str">
        <f>IFERROR(__xludf.DUMMYFUNCTION("""COMPUTED_VALUE"""),"cas_hmw")</f>
        <v>cas_hmw</v>
      </c>
      <c r="B13328" s="5">
        <f>IFERROR(__xludf.DUMMYFUNCTION("""COMPUTED_VALUE"""),44718.0)</f>
        <v>44718</v>
      </c>
      <c r="C13328" s="6">
        <f>IFERROR(__xludf.DUMMYFUNCTION("""COMPUTED_VALUE"""),0.7150694444426335)</f>
        <v>0.7150694444</v>
      </c>
      <c r="D13328" s="4">
        <f>IFERROR(__xludf.DUMMYFUNCTION("""COMPUTED_VALUE"""),12.716531)</f>
        <v>12.716531</v>
      </c>
      <c r="E13328" s="4">
        <f>IFERROR(__xludf.DUMMYFUNCTION("""COMPUTED_VALUE"""),79.980811)</f>
        <v>79.980811</v>
      </c>
      <c r="F13328" s="4">
        <f>IFERROR(__xludf.DUMMYFUNCTION("""COMPUTED_VALUE"""),805.0)</f>
        <v>805</v>
      </c>
      <c r="G13328" s="4">
        <f>IFERROR(__xludf.DUMMYFUNCTION("""COMPUTED_VALUE"""),41.0)</f>
        <v>41</v>
      </c>
      <c r="H13328" s="4"/>
      <c r="I13328" s="4"/>
    </row>
    <row r="13329">
      <c r="A13329" s="4" t="str">
        <f>IFERROR(__xludf.DUMMYFUNCTION("""COMPUTED_VALUE"""),"cas_hmw")</f>
        <v>cas_hmw</v>
      </c>
      <c r="B13329" s="5">
        <f>IFERROR(__xludf.DUMMYFUNCTION("""COMPUTED_VALUE"""),44718.0)</f>
        <v>44718</v>
      </c>
      <c r="C13329" s="6">
        <f>IFERROR(__xludf.DUMMYFUNCTION("""COMPUTED_VALUE"""),0.7155208333315386)</f>
        <v>0.7155208333</v>
      </c>
      <c r="D13329" s="4">
        <f>IFERROR(__xludf.DUMMYFUNCTION("""COMPUTED_VALUE"""),12.996098)</f>
        <v>12.996098</v>
      </c>
      <c r="E13329" s="4">
        <f>IFERROR(__xludf.DUMMYFUNCTION("""COMPUTED_VALUE"""),80.189292)</f>
        <v>80.189292</v>
      </c>
      <c r="F13329" s="4">
        <f>IFERROR(__xludf.DUMMYFUNCTION("""COMPUTED_VALUE"""),2846.0)</f>
        <v>2846</v>
      </c>
      <c r="G13329" s="4">
        <f>IFERROR(__xludf.DUMMYFUNCTION("""COMPUTED_VALUE"""),5.0)</f>
        <v>5</v>
      </c>
      <c r="H13329" s="4"/>
      <c r="I13329" s="4"/>
    </row>
    <row r="13330">
      <c r="A13330" s="4" t="str">
        <f>IFERROR(__xludf.DUMMYFUNCTION("""COMPUTED_VALUE"""),"cas_hmw")</f>
        <v>cas_hmw</v>
      </c>
      <c r="B13330" s="5">
        <f>IFERROR(__xludf.DUMMYFUNCTION("""COMPUTED_VALUE"""),44718.0)</f>
        <v>44718</v>
      </c>
      <c r="C13330" s="6">
        <f>IFERROR(__xludf.DUMMYFUNCTION("""COMPUTED_VALUE"""),0.7156481481470109)</f>
        <v>0.7156481481</v>
      </c>
      <c r="D13330" s="4">
        <f>IFERROR(__xludf.DUMMYFUNCTION("""COMPUTED_VALUE"""),12.996642)</f>
        <v>12.996642</v>
      </c>
      <c r="E13330" s="4">
        <f>IFERROR(__xludf.DUMMYFUNCTION("""COMPUTED_VALUE"""),80.189902)</f>
        <v>80.189902</v>
      </c>
      <c r="F13330" s="4">
        <f>IFERROR(__xludf.DUMMYFUNCTION("""COMPUTED_VALUE"""),2846.0)</f>
        <v>2846</v>
      </c>
      <c r="G13330" s="4">
        <f>IFERROR(__xludf.DUMMYFUNCTION("""COMPUTED_VALUE"""),34.0)</f>
        <v>34</v>
      </c>
      <c r="H13330" s="4"/>
      <c r="I13330" s="4"/>
    </row>
    <row r="13331">
      <c r="A13331" s="4" t="str">
        <f>IFERROR(__xludf.DUMMYFUNCTION("""COMPUTED_VALUE"""),"cas_hmw")</f>
        <v>cas_hmw</v>
      </c>
      <c r="B13331" s="5">
        <f>IFERROR(__xludf.DUMMYFUNCTION("""COMPUTED_VALUE"""),44718.0)</f>
        <v>44718</v>
      </c>
      <c r="C13331" s="6">
        <f>IFERROR(__xludf.DUMMYFUNCTION("""COMPUTED_VALUE"""),0.7164930555554747)</f>
        <v>0.7164930556</v>
      </c>
      <c r="D13331" s="4">
        <f>IFERROR(__xludf.DUMMYFUNCTION("""COMPUTED_VALUE"""),12.999805)</f>
        <v>12.999805</v>
      </c>
      <c r="E13331" s="4">
        <f>IFERROR(__xludf.DUMMYFUNCTION("""COMPUTED_VALUE"""),80.193776)</f>
        <v>80.193776</v>
      </c>
      <c r="F13331" s="4">
        <f>IFERROR(__xludf.DUMMYFUNCTION("""COMPUTED_VALUE"""),2846.0)</f>
        <v>2846</v>
      </c>
      <c r="G13331" s="4">
        <f>IFERROR(__xludf.DUMMYFUNCTION("""COMPUTED_VALUE"""),41.0)</f>
        <v>41</v>
      </c>
      <c r="H13331" s="4"/>
      <c r="I13331" s="4"/>
    </row>
    <row r="13332">
      <c r="A13332" s="4" t="str">
        <f>IFERROR(__xludf.DUMMYFUNCTION("""COMPUTED_VALUE"""),"cas_hmw")</f>
        <v>cas_hmw</v>
      </c>
      <c r="B13332" s="5">
        <f>IFERROR(__xludf.DUMMYFUNCTION("""COMPUTED_VALUE"""),44718.0)</f>
        <v>44718</v>
      </c>
      <c r="C13332" s="6">
        <f>IFERROR(__xludf.DUMMYFUNCTION("""COMPUTED_VALUE"""),0.7165046296286164)</f>
        <v>0.7165046296</v>
      </c>
      <c r="D13332" s="4">
        <f>IFERROR(__xludf.DUMMYFUNCTION("""COMPUTED_VALUE"""),12.999805)</f>
        <v>12.999805</v>
      </c>
      <c r="E13332" s="4">
        <f>IFERROR(__xludf.DUMMYFUNCTION("""COMPUTED_VALUE"""),80.193776)</f>
        <v>80.193776</v>
      </c>
      <c r="F13332" s="4">
        <f>IFERROR(__xludf.DUMMYFUNCTION("""COMPUTED_VALUE"""),2846.0)</f>
        <v>2846</v>
      </c>
      <c r="G13332" s="4">
        <f>IFERROR(__xludf.DUMMYFUNCTION("""COMPUTED_VALUE"""),41.0)</f>
        <v>41</v>
      </c>
      <c r="H13332" s="4"/>
      <c r="I13332" s="4"/>
    </row>
    <row r="13333">
      <c r="A13333" s="4" t="str">
        <f>IFERROR(__xludf.DUMMYFUNCTION("""COMPUTED_VALUE"""),"cas_hmw")</f>
        <v>cas_hmw</v>
      </c>
      <c r="B13333" s="5">
        <f>IFERROR(__xludf.DUMMYFUNCTION("""COMPUTED_VALUE"""),44718.0)</f>
        <v>44718</v>
      </c>
      <c r="C13333" s="6">
        <f>IFERROR(__xludf.DUMMYFUNCTION("""COMPUTED_VALUE"""),0.7166087962978054)</f>
        <v>0.7166087963</v>
      </c>
      <c r="D13333" s="4">
        <f>IFERROR(__xludf.DUMMYFUNCTION("""COMPUTED_VALUE"""),12.999805)</f>
        <v>12.999805</v>
      </c>
      <c r="E13333" s="4">
        <f>IFERROR(__xludf.DUMMYFUNCTION("""COMPUTED_VALUE"""),80.193776)</f>
        <v>80.193776</v>
      </c>
      <c r="F13333" s="4">
        <f>IFERROR(__xludf.DUMMYFUNCTION("""COMPUTED_VALUE"""),2846.0)</f>
        <v>2846</v>
      </c>
      <c r="G13333" s="4">
        <f>IFERROR(__xludf.DUMMYFUNCTION("""COMPUTED_VALUE"""),41.0)</f>
        <v>41</v>
      </c>
      <c r="H13333" s="4"/>
      <c r="I13333" s="4"/>
    </row>
    <row r="13334">
      <c r="A13334" s="4" t="str">
        <f>IFERROR(__xludf.DUMMYFUNCTION("""COMPUTED_VALUE"""),"cas_hmw")</f>
        <v>cas_hmw</v>
      </c>
      <c r="B13334" s="5">
        <f>IFERROR(__xludf.DUMMYFUNCTION("""COMPUTED_VALUE"""),44718.0)</f>
        <v>44718</v>
      </c>
      <c r="C13334" s="6">
        <f>IFERROR(__xludf.DUMMYFUNCTION("""COMPUTED_VALUE"""),0.7166666666671517)</f>
        <v>0.7166666667</v>
      </c>
      <c r="D13334" s="4">
        <f>IFERROR(__xludf.DUMMYFUNCTION("""COMPUTED_VALUE"""),13.00114)</f>
        <v>13.00114</v>
      </c>
      <c r="E13334" s="4">
        <f>IFERROR(__xludf.DUMMYFUNCTION("""COMPUTED_VALUE"""),80.195399)</f>
        <v>80.195399</v>
      </c>
      <c r="F13334" s="4">
        <f>IFERROR(__xludf.DUMMYFUNCTION("""COMPUTED_VALUE"""),2846.0)</f>
        <v>2846</v>
      </c>
      <c r="G13334" s="4">
        <f>IFERROR(__xludf.DUMMYFUNCTION("""COMPUTED_VALUE"""),10.0)</f>
        <v>10</v>
      </c>
      <c r="H13334" s="4"/>
      <c r="I13334" s="4"/>
    </row>
    <row r="13335">
      <c r="A13335" s="4" t="str">
        <f>IFERROR(__xludf.DUMMYFUNCTION("""COMPUTED_VALUE"""),"cas_hmw")</f>
        <v>cas_hmw</v>
      </c>
      <c r="B13335" s="5">
        <f>IFERROR(__xludf.DUMMYFUNCTION("""COMPUTED_VALUE"""),44718.0)</f>
        <v>44718</v>
      </c>
      <c r="C13335" s="6">
        <f>IFERROR(__xludf.DUMMYFUNCTION("""COMPUTED_VALUE"""),0.7169212962980964)</f>
        <v>0.7169212963</v>
      </c>
      <c r="D13335" s="4">
        <f>IFERROR(__xludf.DUMMYFUNCTION("""COMPUTED_VALUE"""),13.001525)</f>
        <v>13.001525</v>
      </c>
      <c r="E13335" s="4">
        <f>IFERROR(__xludf.DUMMYFUNCTION("""COMPUTED_VALUE"""),80.195907)</f>
        <v>80.195907</v>
      </c>
      <c r="F13335" s="4">
        <f>IFERROR(__xludf.DUMMYFUNCTION("""COMPUTED_VALUE"""),2846.0)</f>
        <v>2846</v>
      </c>
      <c r="G13335" s="4">
        <f>IFERROR(__xludf.DUMMYFUNCTION("""COMPUTED_VALUE"""),23.0)</f>
        <v>23</v>
      </c>
      <c r="H13335" s="4"/>
      <c r="I13335" s="4"/>
    </row>
    <row r="13336">
      <c r="A13336" s="4" t="str">
        <f>IFERROR(__xludf.DUMMYFUNCTION("""COMPUTED_VALUE"""),"cas_hmw")</f>
        <v>cas_hmw</v>
      </c>
      <c r="B13336" s="5">
        <f>IFERROR(__xludf.DUMMYFUNCTION("""COMPUTED_VALUE"""),44718.0)</f>
        <v>44718</v>
      </c>
      <c r="C13336" s="6">
        <f>IFERROR(__xludf.DUMMYFUNCTION("""COMPUTED_VALUE"""),0.7175694444449618)</f>
        <v>0.7175694444</v>
      </c>
      <c r="D13336" s="4">
        <f>IFERROR(__xludf.DUMMYFUNCTION("""COMPUTED_VALUE"""),13.001907)</f>
        <v>13.001907</v>
      </c>
      <c r="E13336" s="4">
        <f>IFERROR(__xludf.DUMMYFUNCTION("""COMPUTED_VALUE"""),80.198659)</f>
        <v>80.198659</v>
      </c>
      <c r="F13336" s="4">
        <f>IFERROR(__xludf.DUMMYFUNCTION("""COMPUTED_VALUE"""),2846.0)</f>
        <v>2846</v>
      </c>
      <c r="G13336" s="4">
        <f>IFERROR(__xludf.DUMMYFUNCTION("""COMPUTED_VALUE"""),43.0)</f>
        <v>43</v>
      </c>
      <c r="H13336" s="4"/>
      <c r="I13336" s="4"/>
    </row>
    <row r="13337">
      <c r="A13337" s="4" t="str">
        <f>IFERROR(__xludf.DUMMYFUNCTION("""COMPUTED_VALUE"""),"cas_hmw")</f>
        <v>cas_hmw</v>
      </c>
      <c r="B13337" s="5">
        <f>IFERROR(__xludf.DUMMYFUNCTION("""COMPUTED_VALUE"""),44718.0)</f>
        <v>44718</v>
      </c>
      <c r="C13337" s="6">
        <f>IFERROR(__xludf.DUMMYFUNCTION("""COMPUTED_VALUE"""),0.7181249999994179)</f>
        <v>0.718125</v>
      </c>
      <c r="D13337" s="4">
        <f>IFERROR(__xludf.DUMMYFUNCTION("""COMPUTED_VALUE"""),12.697315)</f>
        <v>12.697315</v>
      </c>
      <c r="E13337" s="4">
        <f>IFERROR(__xludf.DUMMYFUNCTION("""COMPUTED_VALUE"""),79.972203)</f>
        <v>79.972203</v>
      </c>
      <c r="F13337" s="4">
        <f>IFERROR(__xludf.DUMMYFUNCTION("""COMPUTED_VALUE"""),805.0)</f>
        <v>805</v>
      </c>
      <c r="G13337" s="4">
        <f>IFERROR(__xludf.DUMMYFUNCTION("""COMPUTED_VALUE"""),19.0)</f>
        <v>19</v>
      </c>
      <c r="H13337" s="4"/>
      <c r="I13337" s="4"/>
    </row>
    <row r="13338">
      <c r="A13338" s="4" t="str">
        <f>IFERROR(__xludf.DUMMYFUNCTION("""COMPUTED_VALUE"""),"cas_hmw")</f>
        <v>cas_hmw</v>
      </c>
      <c r="B13338" s="5">
        <f>IFERROR(__xludf.DUMMYFUNCTION("""COMPUTED_VALUE"""),44718.0)</f>
        <v>44718</v>
      </c>
      <c r="C13338" s="6">
        <f>IFERROR(__xludf.DUMMYFUNCTION("""COMPUTED_VALUE"""),0.7181249999994179)</f>
        <v>0.718125</v>
      </c>
      <c r="D13338" s="4">
        <f>IFERROR(__xludf.DUMMYFUNCTION("""COMPUTED_VALUE"""),12.697315)</f>
        <v>12.697315</v>
      </c>
      <c r="E13338" s="4">
        <f>IFERROR(__xludf.DUMMYFUNCTION("""COMPUTED_VALUE"""),79.972203)</f>
        <v>79.972203</v>
      </c>
      <c r="F13338" s="4">
        <f>IFERROR(__xludf.DUMMYFUNCTION("""COMPUTED_VALUE"""),805.0)</f>
        <v>805</v>
      </c>
      <c r="G13338" s="4">
        <f>IFERROR(__xludf.DUMMYFUNCTION("""COMPUTED_VALUE"""),19.0)</f>
        <v>19</v>
      </c>
      <c r="H13338" s="4"/>
      <c r="I13338" s="4"/>
    </row>
    <row r="13339">
      <c r="A13339" s="4" t="str">
        <f>IFERROR(__xludf.DUMMYFUNCTION("""COMPUTED_VALUE"""),"cas_hmw")</f>
        <v>cas_hmw</v>
      </c>
      <c r="B13339" s="5">
        <f>IFERROR(__xludf.DUMMYFUNCTION("""COMPUTED_VALUE"""),44718.0)</f>
        <v>44718</v>
      </c>
      <c r="C13339" s="6">
        <f>IFERROR(__xludf.DUMMYFUNCTION("""COMPUTED_VALUE"""),0.7182175925918273)</f>
        <v>0.7182175926</v>
      </c>
      <c r="D13339" s="4">
        <f>IFERROR(__xludf.DUMMYFUNCTION("""COMPUTED_VALUE"""),12.697315)</f>
        <v>12.697315</v>
      </c>
      <c r="E13339" s="4">
        <f>IFERROR(__xludf.DUMMYFUNCTION("""COMPUTED_VALUE"""),79.972203)</f>
        <v>79.972203</v>
      </c>
      <c r="F13339" s="4">
        <f>IFERROR(__xludf.DUMMYFUNCTION("""COMPUTED_VALUE"""),805.0)</f>
        <v>805</v>
      </c>
      <c r="G13339" s="4">
        <f>IFERROR(__xludf.DUMMYFUNCTION("""COMPUTED_VALUE"""),19.0)</f>
        <v>19</v>
      </c>
      <c r="H13339" s="4"/>
      <c r="I13339" s="4"/>
    </row>
    <row r="13340">
      <c r="A13340" s="4" t="str">
        <f>IFERROR(__xludf.DUMMYFUNCTION("""COMPUTED_VALUE"""),"cas_hmw")</f>
        <v>cas_hmw</v>
      </c>
      <c r="B13340" s="5">
        <f>IFERROR(__xludf.DUMMYFUNCTION("""COMPUTED_VALUE"""),44718.0)</f>
        <v>44718</v>
      </c>
      <c r="C13340" s="6">
        <f>IFERROR(__xludf.DUMMYFUNCTION("""COMPUTED_VALUE"""),0.7190162037040864)</f>
        <v>0.7190162037</v>
      </c>
      <c r="D13340" s="4">
        <f>IFERROR(__xludf.DUMMYFUNCTION("""COMPUTED_VALUE"""),13.008185)</f>
        <v>13.008185</v>
      </c>
      <c r="E13340" s="4">
        <f>IFERROR(__xludf.DUMMYFUNCTION("""COMPUTED_VALUE"""),80.209271)</f>
        <v>80.209271</v>
      </c>
      <c r="F13340" s="4">
        <f>IFERROR(__xludf.DUMMYFUNCTION("""COMPUTED_VALUE"""),2846.0)</f>
        <v>2846</v>
      </c>
      <c r="G13340" s="4">
        <f>IFERROR(__xludf.DUMMYFUNCTION("""COMPUTED_VALUE"""),32.0)</f>
        <v>32</v>
      </c>
      <c r="H13340" s="4"/>
      <c r="I13340" s="4"/>
    </row>
    <row r="13341">
      <c r="A13341" s="4" t="str">
        <f>IFERROR(__xludf.DUMMYFUNCTION("""COMPUTED_VALUE"""),"cas_hmw")</f>
        <v>cas_hmw</v>
      </c>
      <c r="B13341" s="5">
        <f>IFERROR(__xludf.DUMMYFUNCTION("""COMPUTED_VALUE"""),44718.0)</f>
        <v>44718</v>
      </c>
      <c r="C13341" s="6">
        <f>IFERROR(__xludf.DUMMYFUNCTION("""COMPUTED_VALUE"""),0.7191319444427791)</f>
        <v>0.7191319444</v>
      </c>
      <c r="D13341" s="4">
        <f>IFERROR(__xludf.DUMMYFUNCTION("""COMPUTED_VALUE"""),13.008185)</f>
        <v>13.008185</v>
      </c>
      <c r="E13341" s="4">
        <f>IFERROR(__xludf.DUMMYFUNCTION("""COMPUTED_VALUE"""),80.209271)</f>
        <v>80.209271</v>
      </c>
      <c r="F13341" s="4">
        <f>IFERROR(__xludf.DUMMYFUNCTION("""COMPUTED_VALUE"""),2846.0)</f>
        <v>2846</v>
      </c>
      <c r="G13341" s="4">
        <f>IFERROR(__xludf.DUMMYFUNCTION("""COMPUTED_VALUE"""),32.0)</f>
        <v>32</v>
      </c>
      <c r="H13341" s="4"/>
      <c r="I13341" s="4"/>
    </row>
    <row r="13342">
      <c r="A13342" s="4" t="str">
        <f>IFERROR(__xludf.DUMMYFUNCTION("""COMPUTED_VALUE"""),"cas_hmw")</f>
        <v>cas_hmw</v>
      </c>
      <c r="B13342" s="5">
        <f>IFERROR(__xludf.DUMMYFUNCTION("""COMPUTED_VALUE"""),44718.0)</f>
        <v>44718</v>
      </c>
      <c r="C13342" s="6">
        <f>IFERROR(__xludf.DUMMYFUNCTION("""COMPUTED_VALUE"""),0.7192939814813144)</f>
        <v>0.7192939815</v>
      </c>
      <c r="D13342" s="4">
        <f>IFERROR(__xludf.DUMMYFUNCTION("""COMPUTED_VALUE"""),12.697423)</f>
        <v>12.697423</v>
      </c>
      <c r="E13342" s="4">
        <f>IFERROR(__xludf.DUMMYFUNCTION("""COMPUTED_VALUE"""),79.97648)</f>
        <v>79.97648</v>
      </c>
      <c r="F13342" s="4">
        <f>IFERROR(__xludf.DUMMYFUNCTION("""COMPUTED_VALUE"""),805.0)</f>
        <v>805</v>
      </c>
      <c r="G13342" s="4">
        <f>IFERROR(__xludf.DUMMYFUNCTION("""COMPUTED_VALUE"""),16.0)</f>
        <v>16</v>
      </c>
      <c r="H13342" s="4"/>
      <c r="I13342" s="4"/>
    </row>
    <row r="13343">
      <c r="A13343" s="4" t="str">
        <f>IFERROR(__xludf.DUMMYFUNCTION("""COMPUTED_VALUE"""),"cas_hmw")</f>
        <v>cas_hmw</v>
      </c>
      <c r="B13343" s="5">
        <f>IFERROR(__xludf.DUMMYFUNCTION("""COMPUTED_VALUE"""),44718.0)</f>
        <v>44718</v>
      </c>
      <c r="C13343" s="6">
        <f>IFERROR(__xludf.DUMMYFUNCTION("""COMPUTED_VALUE"""),0.7193055555544561)</f>
        <v>0.7193055556</v>
      </c>
      <c r="D13343" s="4">
        <f>IFERROR(__xludf.DUMMYFUNCTION("""COMPUTED_VALUE"""),13.008727)</f>
        <v>13.008727</v>
      </c>
      <c r="E13343" s="4">
        <f>IFERROR(__xludf.DUMMYFUNCTION("""COMPUTED_VALUE"""),80.210897)</f>
        <v>80.210897</v>
      </c>
      <c r="F13343" s="4">
        <f>IFERROR(__xludf.DUMMYFUNCTION("""COMPUTED_VALUE"""),2846.0)</f>
        <v>2846</v>
      </c>
      <c r="G13343" s="4">
        <f>IFERROR(__xludf.DUMMYFUNCTION("""COMPUTED_VALUE"""),44.0)</f>
        <v>44</v>
      </c>
      <c r="H13343" s="4"/>
      <c r="I13343" s="4"/>
    </row>
    <row r="13344">
      <c r="A13344" s="4" t="str">
        <f>IFERROR(__xludf.DUMMYFUNCTION("""COMPUTED_VALUE"""),"cas_hmw")</f>
        <v>cas_hmw</v>
      </c>
      <c r="B13344" s="5">
        <f>IFERROR(__xludf.DUMMYFUNCTION("""COMPUTED_VALUE"""),44718.0)</f>
        <v>44718</v>
      </c>
      <c r="C13344" s="6">
        <f>IFERROR(__xludf.DUMMYFUNCTION("""COMPUTED_VALUE"""),0.7193171296312357)</f>
        <v>0.7193171296</v>
      </c>
      <c r="D13344" s="4">
        <f>IFERROR(__xludf.DUMMYFUNCTION("""COMPUTED_VALUE"""),12.697423)</f>
        <v>12.697423</v>
      </c>
      <c r="E13344" s="4">
        <f>IFERROR(__xludf.DUMMYFUNCTION("""COMPUTED_VALUE"""),79.97648)</f>
        <v>79.97648</v>
      </c>
      <c r="F13344" s="4">
        <f>IFERROR(__xludf.DUMMYFUNCTION("""COMPUTED_VALUE"""),805.0)</f>
        <v>805</v>
      </c>
      <c r="G13344" s="4">
        <f>IFERROR(__xludf.DUMMYFUNCTION("""COMPUTED_VALUE"""),16.0)</f>
        <v>16</v>
      </c>
      <c r="H13344" s="4"/>
      <c r="I13344" s="4"/>
    </row>
    <row r="13345">
      <c r="A13345" s="4" t="str">
        <f>IFERROR(__xludf.DUMMYFUNCTION("""COMPUTED_VALUE"""),"cas_hmw")</f>
        <v>cas_hmw</v>
      </c>
      <c r="B13345" s="5">
        <f>IFERROR(__xludf.DUMMYFUNCTION("""COMPUTED_VALUE"""),44718.0)</f>
        <v>44718</v>
      </c>
      <c r="C13345" s="6">
        <f>IFERROR(__xludf.DUMMYFUNCTION("""COMPUTED_VALUE"""),0.7193750000005821)</f>
        <v>0.719375</v>
      </c>
      <c r="D13345" s="4">
        <f>IFERROR(__xludf.DUMMYFUNCTION("""COMPUTED_VALUE"""),13.009336)</f>
        <v>13.009336</v>
      </c>
      <c r="E13345" s="4">
        <f>IFERROR(__xludf.DUMMYFUNCTION("""COMPUTED_VALUE"""),80.212542)</f>
        <v>80.212542</v>
      </c>
      <c r="F13345" s="4">
        <f>IFERROR(__xludf.DUMMYFUNCTION("""COMPUTED_VALUE"""),2846.0)</f>
        <v>2846</v>
      </c>
      <c r="G13345" s="4">
        <f>IFERROR(__xludf.DUMMYFUNCTION("""COMPUTED_VALUE"""),45.0)</f>
        <v>45</v>
      </c>
      <c r="H13345" s="4"/>
      <c r="I13345" s="4"/>
    </row>
    <row r="13346">
      <c r="A13346" s="4" t="str">
        <f>IFERROR(__xludf.DUMMYFUNCTION("""COMPUTED_VALUE"""),"cas_hmw")</f>
        <v>cas_hmw</v>
      </c>
      <c r="B13346" s="5">
        <f>IFERROR(__xludf.DUMMYFUNCTION("""COMPUTED_VALUE"""),44718.0)</f>
        <v>44718</v>
      </c>
      <c r="C13346" s="6">
        <f>IFERROR(__xludf.DUMMYFUNCTION("""COMPUTED_VALUE"""),0.7195370370354794)</f>
        <v>0.719537037</v>
      </c>
      <c r="D13346" s="4">
        <f>IFERROR(__xludf.DUMMYFUNCTION("""COMPUTED_VALUE"""),13.009336)</f>
        <v>13.009336</v>
      </c>
      <c r="E13346" s="4">
        <f>IFERROR(__xludf.DUMMYFUNCTION("""COMPUTED_VALUE"""),80.212542)</f>
        <v>80.212542</v>
      </c>
      <c r="F13346" s="4">
        <f>IFERROR(__xludf.DUMMYFUNCTION("""COMPUTED_VALUE"""),2846.0)</f>
        <v>2846</v>
      </c>
      <c r="G13346" s="4">
        <f>IFERROR(__xludf.DUMMYFUNCTION("""COMPUTED_VALUE"""),45.0)</f>
        <v>45</v>
      </c>
      <c r="H13346" s="4"/>
      <c r="I13346" s="4"/>
    </row>
    <row r="13347">
      <c r="A13347" s="4" t="str">
        <f>IFERROR(__xludf.DUMMYFUNCTION("""COMPUTED_VALUE"""),"cas_hmw")</f>
        <v>cas_hmw</v>
      </c>
      <c r="B13347" s="5">
        <f>IFERROR(__xludf.DUMMYFUNCTION("""COMPUTED_VALUE"""),44718.0)</f>
        <v>44718</v>
      </c>
      <c r="C13347" s="6">
        <f>IFERROR(__xludf.DUMMYFUNCTION("""COMPUTED_VALUE"""),0.7249189814829151)</f>
        <v>0.7249189815</v>
      </c>
      <c r="D13347" s="4">
        <f>IFERROR(__xludf.DUMMYFUNCTION("""COMPUTED_VALUE"""),13.025763)</f>
        <v>13.025763</v>
      </c>
      <c r="E13347" s="4">
        <f>IFERROR(__xludf.DUMMYFUNCTION("""COMPUTED_VALUE"""),80.230478)</f>
        <v>80.230478</v>
      </c>
      <c r="F13347" s="4">
        <f>IFERROR(__xludf.DUMMYFUNCTION("""COMPUTED_VALUE"""),2846.0)</f>
        <v>2846</v>
      </c>
      <c r="G13347" s="4">
        <f>IFERROR(__xludf.DUMMYFUNCTION("""COMPUTED_VALUE"""),0.0)</f>
        <v>0</v>
      </c>
      <c r="H13347" s="4"/>
      <c r="I13347" s="4"/>
    </row>
    <row r="13348">
      <c r="A13348" s="4" t="str">
        <f>IFERROR(__xludf.DUMMYFUNCTION("""COMPUTED_VALUE"""),"cas_hmw")</f>
        <v>cas_hmw</v>
      </c>
      <c r="B13348" s="5">
        <f>IFERROR(__xludf.DUMMYFUNCTION("""COMPUTED_VALUE"""),44718.0)</f>
        <v>44718</v>
      </c>
      <c r="C13348" s="6">
        <f>IFERROR(__xludf.DUMMYFUNCTION("""COMPUTED_VALUE"""),0.7253124999988358)</f>
        <v>0.7253125</v>
      </c>
      <c r="D13348" s="4">
        <f>IFERROR(__xludf.DUMMYFUNCTION("""COMPUTED_VALUE"""),13.026215)</f>
        <v>13.026215</v>
      </c>
      <c r="E13348" s="4">
        <f>IFERROR(__xludf.DUMMYFUNCTION("""COMPUTED_VALUE"""),80.23199)</f>
        <v>80.23199</v>
      </c>
      <c r="F13348" s="4">
        <f>IFERROR(__xludf.DUMMYFUNCTION("""COMPUTED_VALUE"""),2846.0)</f>
        <v>2846</v>
      </c>
      <c r="G13348" s="4">
        <f>IFERROR(__xludf.DUMMYFUNCTION("""COMPUTED_VALUE"""),35.0)</f>
        <v>35</v>
      </c>
      <c r="H13348" s="4"/>
      <c r="I13348" s="4"/>
    </row>
    <row r="13349">
      <c r="A13349" s="4" t="str">
        <f>IFERROR(__xludf.DUMMYFUNCTION("""COMPUTED_VALUE"""),"cas_hmw")</f>
        <v>cas_hmw</v>
      </c>
      <c r="B13349" s="5">
        <f>IFERROR(__xludf.DUMMYFUNCTION("""COMPUTED_VALUE"""),44718.0)</f>
        <v>44718</v>
      </c>
      <c r="C13349" s="6">
        <f>IFERROR(__xludf.DUMMYFUNCTION("""COMPUTED_VALUE"""),0.7255787037029222)</f>
        <v>0.7255787037</v>
      </c>
      <c r="D13349" s="4">
        <f>IFERROR(__xludf.DUMMYFUNCTION("""COMPUTED_VALUE"""),12.68296)</f>
        <v>12.68296</v>
      </c>
      <c r="E13349" s="4">
        <f>IFERROR(__xludf.DUMMYFUNCTION("""COMPUTED_VALUE"""),79.982962)</f>
        <v>79.982962</v>
      </c>
      <c r="F13349" s="4">
        <f>IFERROR(__xludf.DUMMYFUNCTION("""COMPUTED_VALUE"""),805.0)</f>
        <v>805</v>
      </c>
      <c r="G13349" s="4">
        <f>IFERROR(__xludf.DUMMYFUNCTION("""COMPUTED_VALUE"""),10.0)</f>
        <v>10</v>
      </c>
      <c r="H13349" s="4"/>
      <c r="I13349" s="4"/>
    </row>
    <row r="13350">
      <c r="A13350" s="4" t="str">
        <f>IFERROR(__xludf.DUMMYFUNCTION("""COMPUTED_VALUE"""),"cas_hmw")</f>
        <v>cas_hmw</v>
      </c>
      <c r="B13350" s="5">
        <f>IFERROR(__xludf.DUMMYFUNCTION("""COMPUTED_VALUE"""),44718.0)</f>
        <v>44718</v>
      </c>
      <c r="C13350" s="6">
        <f>IFERROR(__xludf.DUMMYFUNCTION("""COMPUTED_VALUE"""),0.7267129629617557)</f>
        <v>0.726712963</v>
      </c>
      <c r="D13350" s="4">
        <f>IFERROR(__xludf.DUMMYFUNCTION("""COMPUTED_VALUE"""),12.679746)</f>
        <v>12.679746</v>
      </c>
      <c r="E13350" s="4">
        <f>IFERROR(__xludf.DUMMYFUNCTION("""COMPUTED_VALUE"""),79.980869)</f>
        <v>79.980869</v>
      </c>
      <c r="F13350" s="4">
        <f>IFERROR(__xludf.DUMMYFUNCTION("""COMPUTED_VALUE"""),805.0)</f>
        <v>805</v>
      </c>
      <c r="G13350" s="4">
        <f>IFERROR(__xludf.DUMMYFUNCTION("""COMPUTED_VALUE"""),0.0)</f>
        <v>0</v>
      </c>
      <c r="H13350" s="4"/>
      <c r="I13350" s="4"/>
    </row>
    <row r="13351">
      <c r="A13351" s="4" t="str">
        <f>IFERROR(__xludf.DUMMYFUNCTION("""COMPUTED_VALUE"""),"cas_hmw")</f>
        <v>cas_hmw</v>
      </c>
      <c r="B13351" s="5">
        <f>IFERROR(__xludf.DUMMYFUNCTION("""COMPUTED_VALUE"""),44718.0)</f>
        <v>44718</v>
      </c>
      <c r="C13351" s="6">
        <f>IFERROR(__xludf.DUMMYFUNCTION("""COMPUTED_VALUE"""),0.726805555554165)</f>
        <v>0.7268055556</v>
      </c>
      <c r="D13351" s="4">
        <f>IFERROR(__xludf.DUMMYFUNCTION("""COMPUTED_VALUE"""),12.679746)</f>
        <v>12.679746</v>
      </c>
      <c r="E13351" s="4">
        <f>IFERROR(__xludf.DUMMYFUNCTION("""COMPUTED_VALUE"""),79.980869)</f>
        <v>79.980869</v>
      </c>
      <c r="F13351" s="4">
        <f>IFERROR(__xludf.DUMMYFUNCTION("""COMPUTED_VALUE"""),805.0)</f>
        <v>805</v>
      </c>
      <c r="G13351" s="4">
        <f>IFERROR(__xludf.DUMMYFUNCTION("""COMPUTED_VALUE"""),0.0)</f>
        <v>0</v>
      </c>
      <c r="H13351" s="4"/>
      <c r="I13351" s="4"/>
    </row>
    <row r="13352">
      <c r="A13352" s="4" t="str">
        <f>IFERROR(__xludf.DUMMYFUNCTION("""COMPUTED_VALUE"""),"cas_hmw")</f>
        <v>cas_hmw</v>
      </c>
      <c r="B13352" s="5">
        <f>IFERROR(__xludf.DUMMYFUNCTION("""COMPUTED_VALUE"""),44718.0)</f>
        <v>44718</v>
      </c>
      <c r="C13352" s="6">
        <f>IFERROR(__xludf.DUMMYFUNCTION("""COMPUTED_VALUE"""),0.7268171296309447)</f>
        <v>0.7268171296</v>
      </c>
      <c r="D13352" s="4">
        <f>IFERROR(__xludf.DUMMYFUNCTION("""COMPUTED_VALUE"""),12.679746)</f>
        <v>12.679746</v>
      </c>
      <c r="E13352" s="4">
        <f>IFERROR(__xludf.DUMMYFUNCTION("""COMPUTED_VALUE"""),79.980869)</f>
        <v>79.980869</v>
      </c>
      <c r="F13352" s="4">
        <f>IFERROR(__xludf.DUMMYFUNCTION("""COMPUTED_VALUE"""),805.0)</f>
        <v>805</v>
      </c>
      <c r="G13352" s="4">
        <f>IFERROR(__xludf.DUMMYFUNCTION("""COMPUTED_VALUE"""),0.0)</f>
        <v>0</v>
      </c>
      <c r="H13352" s="4"/>
      <c r="I13352" s="4"/>
    </row>
    <row r="13353">
      <c r="A13353" s="4" t="str">
        <f>IFERROR(__xludf.DUMMYFUNCTION("""COMPUTED_VALUE"""),"cas_hmw")</f>
        <v>cas_hmw</v>
      </c>
      <c r="B13353" s="5">
        <f>IFERROR(__xludf.DUMMYFUNCTION("""COMPUTED_VALUE"""),44718.0)</f>
        <v>44718</v>
      </c>
      <c r="C13353" s="6">
        <f>IFERROR(__xludf.DUMMYFUNCTION("""COMPUTED_VALUE"""),0.7268171296309447)</f>
        <v>0.7268171296</v>
      </c>
      <c r="D13353" s="4">
        <f>IFERROR(__xludf.DUMMYFUNCTION("""COMPUTED_VALUE"""),12.679746)</f>
        <v>12.679746</v>
      </c>
      <c r="E13353" s="4">
        <f>IFERROR(__xludf.DUMMYFUNCTION("""COMPUTED_VALUE"""),79.980869)</f>
        <v>79.980869</v>
      </c>
      <c r="F13353" s="4">
        <f>IFERROR(__xludf.DUMMYFUNCTION("""COMPUTED_VALUE"""),805.0)</f>
        <v>805</v>
      </c>
      <c r="G13353" s="4">
        <f>IFERROR(__xludf.DUMMYFUNCTION("""COMPUTED_VALUE"""),0.0)</f>
        <v>0</v>
      </c>
      <c r="H13353" s="4"/>
      <c r="I13353" s="4"/>
    </row>
    <row r="13354">
      <c r="A13354" s="4" t="str">
        <f>IFERROR(__xludf.DUMMYFUNCTION("""COMPUTED_VALUE"""),"cas_hmw")</f>
        <v>cas_hmw</v>
      </c>
      <c r="B13354" s="5">
        <f>IFERROR(__xludf.DUMMYFUNCTION("""COMPUTED_VALUE"""),44718.0)</f>
        <v>44718</v>
      </c>
      <c r="C13354" s="6">
        <f>IFERROR(__xludf.DUMMYFUNCTION("""COMPUTED_VALUE"""),0.7281365740745969)</f>
        <v>0.7281365741</v>
      </c>
      <c r="D13354" s="4">
        <f>IFERROR(__xludf.DUMMYFUNCTION("""COMPUTED_VALUE"""),13.032996)</f>
        <v>13.032996</v>
      </c>
      <c r="E13354" s="4">
        <f>IFERROR(__xludf.DUMMYFUNCTION("""COMPUTED_VALUE"""),80.243147)</f>
        <v>80.243147</v>
      </c>
      <c r="F13354" s="4">
        <f>IFERROR(__xludf.DUMMYFUNCTION("""COMPUTED_VALUE"""),2846.0)</f>
        <v>2846</v>
      </c>
      <c r="G13354" s="4">
        <f>IFERROR(__xludf.DUMMYFUNCTION("""COMPUTED_VALUE"""),7.0)</f>
        <v>7</v>
      </c>
      <c r="H13354" s="4"/>
      <c r="I13354" s="4"/>
    </row>
    <row r="13355">
      <c r="A13355" s="4" t="str">
        <f>IFERROR(__xludf.DUMMYFUNCTION("""COMPUTED_VALUE"""),"cas_hmw")</f>
        <v>cas_hmw</v>
      </c>
      <c r="B13355" s="5">
        <f>IFERROR(__xludf.DUMMYFUNCTION("""COMPUTED_VALUE"""),44718.0)</f>
        <v>44718</v>
      </c>
      <c r="C13355" s="6">
        <f>IFERROR(__xludf.DUMMYFUNCTION("""COMPUTED_VALUE"""),0.7282638888900692)</f>
        <v>0.7282638889</v>
      </c>
      <c r="D13355" s="4">
        <f>IFERROR(__xludf.DUMMYFUNCTION("""COMPUTED_VALUE"""),12.675319)</f>
        <v>12.675319</v>
      </c>
      <c r="E13355" s="4">
        <f>IFERROR(__xludf.DUMMYFUNCTION("""COMPUTED_VALUE"""),79.97774)</f>
        <v>79.97774</v>
      </c>
      <c r="F13355" s="4">
        <f>IFERROR(__xludf.DUMMYFUNCTION("""COMPUTED_VALUE"""),805.0)</f>
        <v>805</v>
      </c>
      <c r="G13355" s="4">
        <f>IFERROR(__xludf.DUMMYFUNCTION("""COMPUTED_VALUE"""),0.0)</f>
        <v>0</v>
      </c>
      <c r="H13355" s="4"/>
      <c r="I13355" s="4"/>
    </row>
    <row r="13356">
      <c r="A13356" s="4" t="str">
        <f>IFERROR(__xludf.DUMMYFUNCTION("""COMPUTED_VALUE"""),"cas_hmw")</f>
        <v>cas_hmw</v>
      </c>
      <c r="B13356" s="5">
        <f>IFERROR(__xludf.DUMMYFUNCTION("""COMPUTED_VALUE"""),44718.0)</f>
        <v>44718</v>
      </c>
      <c r="C13356" s="6">
        <f>IFERROR(__xludf.DUMMYFUNCTION("""COMPUTED_VALUE"""),0.73186342592453)</f>
        <v>0.7318634259</v>
      </c>
      <c r="D13356" s="4">
        <f>IFERROR(__xludf.DUMMYFUNCTION("""COMPUTED_VALUE"""),12.655971)</f>
        <v>12.655971</v>
      </c>
      <c r="E13356" s="4">
        <f>IFERROR(__xludf.DUMMYFUNCTION("""COMPUTED_VALUE"""),79.95377)</f>
        <v>79.95377</v>
      </c>
      <c r="F13356" s="4">
        <f>IFERROR(__xludf.DUMMYFUNCTION("""COMPUTED_VALUE"""),805.0)</f>
        <v>805</v>
      </c>
      <c r="G13356" s="4">
        <f>IFERROR(__xludf.DUMMYFUNCTION("""COMPUTED_VALUE"""),58.0)</f>
        <v>58</v>
      </c>
      <c r="H13356" s="4"/>
      <c r="I13356" s="4"/>
    </row>
    <row r="13357">
      <c r="A13357" s="4" t="str">
        <f>IFERROR(__xludf.DUMMYFUNCTION("""COMPUTED_VALUE"""),"cas_hmw")</f>
        <v>cas_hmw</v>
      </c>
      <c r="B13357" s="5">
        <f>IFERROR(__xludf.DUMMYFUNCTION("""COMPUTED_VALUE"""),44718.0)</f>
        <v>44718</v>
      </c>
      <c r="C13357" s="6">
        <f>IFERROR(__xludf.DUMMYFUNCTION("""COMPUTED_VALUE"""),0.731898148147593)</f>
        <v>0.7318981481</v>
      </c>
      <c r="D13357" s="4">
        <f>IFERROR(__xludf.DUMMYFUNCTION("""COMPUTED_VALUE"""),12.655971)</f>
        <v>12.655971</v>
      </c>
      <c r="E13357" s="4">
        <f>IFERROR(__xludf.DUMMYFUNCTION("""COMPUTED_VALUE"""),79.95377)</f>
        <v>79.95377</v>
      </c>
      <c r="F13357" s="4">
        <f>IFERROR(__xludf.DUMMYFUNCTION("""COMPUTED_VALUE"""),805.0)</f>
        <v>805</v>
      </c>
      <c r="G13357" s="4">
        <f>IFERROR(__xludf.DUMMYFUNCTION("""COMPUTED_VALUE"""),58.0)</f>
        <v>58</v>
      </c>
      <c r="H13357" s="4"/>
      <c r="I13357" s="4"/>
    </row>
    <row r="13358">
      <c r="A13358" s="4" t="str">
        <f>IFERROR(__xludf.DUMMYFUNCTION("""COMPUTED_VALUE"""),"cas_hmw")</f>
        <v>cas_hmw</v>
      </c>
      <c r="B13358" s="5">
        <f>IFERROR(__xludf.DUMMYFUNCTION("""COMPUTED_VALUE"""),44718.0)</f>
        <v>44718</v>
      </c>
      <c r="C13358" s="6">
        <f>IFERROR(__xludf.DUMMYFUNCTION("""COMPUTED_VALUE"""),0.7326273148137261)</f>
        <v>0.7326273148</v>
      </c>
      <c r="D13358" s="4">
        <f>IFERROR(__xludf.DUMMYFUNCTION("""COMPUTED_VALUE"""),13.043596)</f>
        <v>13.043596</v>
      </c>
      <c r="E13358" s="4">
        <f>IFERROR(__xludf.DUMMYFUNCTION("""COMPUTED_VALUE"""),80.247678)</f>
        <v>80.247678</v>
      </c>
      <c r="F13358" s="4">
        <f>IFERROR(__xludf.DUMMYFUNCTION("""COMPUTED_VALUE"""),2846.0)</f>
        <v>2846</v>
      </c>
      <c r="G13358" s="4">
        <f>IFERROR(__xludf.DUMMYFUNCTION("""COMPUTED_VALUE"""),20.0)</f>
        <v>20</v>
      </c>
      <c r="H13358" s="4"/>
      <c r="I13358" s="4"/>
    </row>
    <row r="13359">
      <c r="A13359" s="4" t="str">
        <f>IFERROR(__xludf.DUMMYFUNCTION("""COMPUTED_VALUE"""),"cas_hmw")</f>
        <v>cas_hmw</v>
      </c>
      <c r="B13359" s="5">
        <f>IFERROR(__xludf.DUMMYFUNCTION("""COMPUTED_VALUE"""),44718.0)</f>
        <v>44718</v>
      </c>
      <c r="C13359" s="6">
        <f>IFERROR(__xludf.DUMMYFUNCTION("""COMPUTED_VALUE"""),0.7330671296294895)</f>
        <v>0.7330671296</v>
      </c>
      <c r="D13359" s="4">
        <f>IFERROR(__xludf.DUMMYFUNCTION("""COMPUTED_VALUE"""),12.657724)</f>
        <v>12.657724</v>
      </c>
      <c r="E13359" s="4">
        <f>IFERROR(__xludf.DUMMYFUNCTION("""COMPUTED_VALUE"""),79.945376)</f>
        <v>79.945376</v>
      </c>
      <c r="F13359" s="4">
        <f>IFERROR(__xludf.DUMMYFUNCTION("""COMPUTED_VALUE"""),805.0)</f>
        <v>805</v>
      </c>
      <c r="G13359" s="4">
        <f>IFERROR(__xludf.DUMMYFUNCTION("""COMPUTED_VALUE"""),39.0)</f>
        <v>39</v>
      </c>
      <c r="H13359" s="4"/>
      <c r="I13359" s="4"/>
    </row>
    <row r="13360">
      <c r="A13360" s="4" t="str">
        <f>IFERROR(__xludf.DUMMYFUNCTION("""COMPUTED_VALUE"""),"cas_hmw")</f>
        <v>cas_hmw</v>
      </c>
      <c r="B13360" s="5">
        <f>IFERROR(__xludf.DUMMYFUNCTION("""COMPUTED_VALUE"""),44718.0)</f>
        <v>44718</v>
      </c>
      <c r="C13360" s="6">
        <f>IFERROR(__xludf.DUMMYFUNCTION("""COMPUTED_VALUE"""),0.7331944444449618)</f>
        <v>0.7331944444</v>
      </c>
      <c r="D13360" s="4">
        <f>IFERROR(__xludf.DUMMYFUNCTION("""COMPUTED_VALUE"""),12.655985)</f>
        <v>12.655985</v>
      </c>
      <c r="E13360" s="4">
        <f>IFERROR(__xludf.DUMMYFUNCTION("""COMPUTED_VALUE"""),79.941914)</f>
        <v>79.941914</v>
      </c>
      <c r="F13360" s="4">
        <f>IFERROR(__xludf.DUMMYFUNCTION("""COMPUTED_VALUE"""),805.0)</f>
        <v>805</v>
      </c>
      <c r="G13360" s="4">
        <f>IFERROR(__xludf.DUMMYFUNCTION("""COMPUTED_VALUE"""),58.0)</f>
        <v>58</v>
      </c>
      <c r="H13360" s="4"/>
      <c r="I13360" s="4"/>
    </row>
    <row r="13361">
      <c r="A13361" s="4" t="str">
        <f>IFERROR(__xludf.DUMMYFUNCTION("""COMPUTED_VALUE"""),"cas_hmw")</f>
        <v>cas_hmw</v>
      </c>
      <c r="B13361" s="5">
        <f>IFERROR(__xludf.DUMMYFUNCTION("""COMPUTED_VALUE"""),44718.0)</f>
        <v>44718</v>
      </c>
      <c r="C13361" s="6">
        <f>IFERROR(__xludf.DUMMYFUNCTION("""COMPUTED_VALUE"""),0.7333680555566389)</f>
        <v>0.7333680556</v>
      </c>
      <c r="D13361" s="4">
        <f>IFERROR(__xludf.DUMMYFUNCTION("""COMPUTED_VALUE"""),12.653673)</f>
        <v>12.653673</v>
      </c>
      <c r="E13361" s="4">
        <f>IFERROR(__xludf.DUMMYFUNCTION("""COMPUTED_VALUE"""),79.94231)</f>
        <v>79.94231</v>
      </c>
      <c r="F13361" s="4">
        <f>IFERROR(__xludf.DUMMYFUNCTION("""COMPUTED_VALUE"""),805.0)</f>
        <v>805</v>
      </c>
      <c r="G13361" s="4">
        <f>IFERROR(__xludf.DUMMYFUNCTION("""COMPUTED_VALUE"""),58.0)</f>
        <v>58</v>
      </c>
      <c r="H13361" s="4"/>
      <c r="I13361" s="4"/>
    </row>
    <row r="13362">
      <c r="A13362" s="4" t="str">
        <f>IFERROR(__xludf.DUMMYFUNCTION("""COMPUTED_VALUE"""),"cas_hmw")</f>
        <v>cas_hmw</v>
      </c>
      <c r="B13362" s="5">
        <f>IFERROR(__xludf.DUMMYFUNCTION("""COMPUTED_VALUE"""),44718.0)</f>
        <v>44718</v>
      </c>
      <c r="C13362" s="6">
        <f>IFERROR(__xludf.DUMMYFUNCTION("""COMPUTED_VALUE"""),0.7336342592607252)</f>
        <v>0.7336342593</v>
      </c>
      <c r="D13362" s="4">
        <f>IFERROR(__xludf.DUMMYFUNCTION("""COMPUTED_VALUE"""),13.045256)</f>
        <v>13.045256</v>
      </c>
      <c r="E13362" s="4">
        <f>IFERROR(__xludf.DUMMYFUNCTION("""COMPUTED_VALUE"""),80.247964)</f>
        <v>80.247964</v>
      </c>
      <c r="F13362" s="4">
        <f>IFERROR(__xludf.DUMMYFUNCTION("""COMPUTED_VALUE"""),2846.0)</f>
        <v>2846</v>
      </c>
      <c r="G13362" s="4">
        <f>IFERROR(__xludf.DUMMYFUNCTION("""COMPUTED_VALUE"""),9.0)</f>
        <v>9</v>
      </c>
      <c r="H13362" s="4"/>
      <c r="I13362" s="4"/>
    </row>
    <row r="13363">
      <c r="A13363" s="4" t="str">
        <f>IFERROR(__xludf.DUMMYFUNCTION("""COMPUTED_VALUE"""),"cas_hmw")</f>
        <v>cas_hmw</v>
      </c>
      <c r="B13363" s="5">
        <f>IFERROR(__xludf.DUMMYFUNCTION("""COMPUTED_VALUE"""),44718.0)</f>
        <v>44718</v>
      </c>
      <c r="C13363" s="6">
        <f>IFERROR(__xludf.DUMMYFUNCTION("""COMPUTED_VALUE"""),0.7351620370354794)</f>
        <v>0.735162037</v>
      </c>
      <c r="D13363" s="4">
        <f>IFERROR(__xludf.DUMMYFUNCTION("""COMPUTED_VALUE"""),12.631542)</f>
        <v>12.631542</v>
      </c>
      <c r="E13363" s="4">
        <f>IFERROR(__xludf.DUMMYFUNCTION("""COMPUTED_VALUE"""),79.931883)</f>
        <v>79.931883</v>
      </c>
      <c r="F13363" s="4">
        <f>IFERROR(__xludf.DUMMYFUNCTION("""COMPUTED_VALUE"""),805.0)</f>
        <v>805</v>
      </c>
      <c r="G13363" s="4">
        <f>IFERROR(__xludf.DUMMYFUNCTION("""COMPUTED_VALUE"""),58.0)</f>
        <v>58</v>
      </c>
      <c r="H13363" s="4"/>
      <c r="I13363" s="4"/>
    </row>
    <row r="13364">
      <c r="A13364" s="4" t="str">
        <f>IFERROR(__xludf.DUMMYFUNCTION("""COMPUTED_VALUE"""),"cas_hmw")</f>
        <v>cas_hmw</v>
      </c>
      <c r="B13364" s="5">
        <f>IFERROR(__xludf.DUMMYFUNCTION("""COMPUTED_VALUE"""),44718.0)</f>
        <v>44718</v>
      </c>
      <c r="C13364" s="6">
        <f>IFERROR(__xludf.DUMMYFUNCTION("""COMPUTED_VALUE"""),0.7363888888903602)</f>
        <v>0.7363888889</v>
      </c>
      <c r="D13364" s="4">
        <f>IFERROR(__xludf.DUMMYFUNCTION("""COMPUTED_VALUE"""),13.057105)</f>
        <v>13.057105</v>
      </c>
      <c r="E13364" s="4">
        <f>IFERROR(__xludf.DUMMYFUNCTION("""COMPUTED_VALUE"""),80.25774)</f>
        <v>80.25774</v>
      </c>
      <c r="F13364" s="4">
        <f>IFERROR(__xludf.DUMMYFUNCTION("""COMPUTED_VALUE"""),2846.0)</f>
        <v>2846</v>
      </c>
      <c r="G13364" s="4">
        <f>IFERROR(__xludf.DUMMYFUNCTION("""COMPUTED_VALUE"""),7.0)</f>
        <v>7</v>
      </c>
      <c r="H13364" s="4"/>
      <c r="I13364" s="4"/>
    </row>
    <row r="13365">
      <c r="A13365" s="4" t="str">
        <f>IFERROR(__xludf.DUMMYFUNCTION("""COMPUTED_VALUE"""),"cas_hmw")</f>
        <v>cas_hmw</v>
      </c>
      <c r="B13365" s="5">
        <f>IFERROR(__xludf.DUMMYFUNCTION("""COMPUTED_VALUE"""),44718.0)</f>
        <v>44718</v>
      </c>
      <c r="C13365" s="6">
        <f>IFERROR(__xludf.DUMMYFUNCTION("""COMPUTED_VALUE"""),0.7374074074068631)</f>
        <v>0.7374074074</v>
      </c>
      <c r="D13365" s="4">
        <f>IFERROR(__xludf.DUMMYFUNCTION("""COMPUTED_VALUE"""),13.054441)</f>
        <v>13.054441</v>
      </c>
      <c r="E13365" s="4">
        <f>IFERROR(__xludf.DUMMYFUNCTION("""COMPUTED_VALUE"""),80.25853)</f>
        <v>80.25853</v>
      </c>
      <c r="F13365" s="4">
        <f>IFERROR(__xludf.DUMMYFUNCTION("""COMPUTED_VALUE"""),2846.0)</f>
        <v>2846</v>
      </c>
      <c r="G13365" s="4">
        <f>IFERROR(__xludf.DUMMYFUNCTION("""COMPUTED_VALUE"""),12.0)</f>
        <v>12</v>
      </c>
      <c r="H13365" s="4"/>
      <c r="I13365" s="4"/>
    </row>
    <row r="13366">
      <c r="A13366" s="4" t="str">
        <f>IFERROR(__xludf.DUMMYFUNCTION("""COMPUTED_VALUE"""),"cas_hmw")</f>
        <v>cas_hmw</v>
      </c>
      <c r="B13366" s="5">
        <f>IFERROR(__xludf.DUMMYFUNCTION("""COMPUTED_VALUE"""),44718.0)</f>
        <v>44718</v>
      </c>
      <c r="C13366" s="6">
        <f>IFERROR(__xludf.DUMMYFUNCTION("""COMPUTED_VALUE"""),0.7374421296299261)</f>
        <v>0.7374421296</v>
      </c>
      <c r="D13366" s="4">
        <f>IFERROR(__xludf.DUMMYFUNCTION("""COMPUTED_VALUE"""),13.054384)</f>
        <v>13.054384</v>
      </c>
      <c r="E13366" s="4">
        <f>IFERROR(__xludf.DUMMYFUNCTION("""COMPUTED_VALUE"""),80.259538)</f>
        <v>80.259538</v>
      </c>
      <c r="F13366" s="4">
        <f>IFERROR(__xludf.DUMMYFUNCTION("""COMPUTED_VALUE"""),2846.0)</f>
        <v>2846</v>
      </c>
      <c r="G13366" s="4">
        <f>IFERROR(__xludf.DUMMYFUNCTION("""COMPUTED_VALUE"""),21.0)</f>
        <v>21</v>
      </c>
      <c r="H13366" s="4"/>
      <c r="I13366" s="4"/>
    </row>
    <row r="13367">
      <c r="A13367" s="4" t="str">
        <f>IFERROR(__xludf.DUMMYFUNCTION("""COMPUTED_VALUE"""),"cas_hmw")</f>
        <v>cas_hmw</v>
      </c>
      <c r="B13367" s="5">
        <f>IFERROR(__xludf.DUMMYFUNCTION("""COMPUTED_VALUE"""),44718.0)</f>
        <v>44718</v>
      </c>
      <c r="C13367" s="6">
        <f>IFERROR(__xludf.DUMMYFUNCTION("""COMPUTED_VALUE"""),0.7374421296299261)</f>
        <v>0.7374421296</v>
      </c>
      <c r="D13367" s="4">
        <f>IFERROR(__xludf.DUMMYFUNCTION("""COMPUTED_VALUE"""),13.054384)</f>
        <v>13.054384</v>
      </c>
      <c r="E13367" s="4">
        <f>IFERROR(__xludf.DUMMYFUNCTION("""COMPUTED_VALUE"""),80.259538)</f>
        <v>80.259538</v>
      </c>
      <c r="F13367" s="4">
        <f>IFERROR(__xludf.DUMMYFUNCTION("""COMPUTED_VALUE"""),2846.0)</f>
        <v>2846</v>
      </c>
      <c r="G13367" s="4">
        <f>IFERROR(__xludf.DUMMYFUNCTION("""COMPUTED_VALUE"""),21.0)</f>
        <v>21</v>
      </c>
      <c r="H13367" s="4"/>
      <c r="I13367" s="4"/>
    </row>
    <row r="13368">
      <c r="A13368" s="4" t="str">
        <f>IFERROR(__xludf.DUMMYFUNCTION("""COMPUTED_VALUE"""),"cas_hmw")</f>
        <v>cas_hmw</v>
      </c>
      <c r="B13368" s="5">
        <f>IFERROR(__xludf.DUMMYFUNCTION("""COMPUTED_VALUE"""),44718.0)</f>
        <v>44718</v>
      </c>
      <c r="C13368" s="6">
        <f>IFERROR(__xludf.DUMMYFUNCTION("""COMPUTED_VALUE"""),0.7378240740727051)</f>
        <v>0.7378240741</v>
      </c>
      <c r="D13368" s="4">
        <f>IFERROR(__xludf.DUMMYFUNCTION("""COMPUTED_VALUE"""),13.054135)</f>
        <v>13.054135</v>
      </c>
      <c r="E13368" s="4">
        <f>IFERROR(__xludf.DUMMYFUNCTION("""COMPUTED_VALUE"""),80.261461)</f>
        <v>80.261461</v>
      </c>
      <c r="F13368" s="4">
        <f>IFERROR(__xludf.DUMMYFUNCTION("""COMPUTED_VALUE"""),2846.0)</f>
        <v>2846</v>
      </c>
      <c r="G13368" s="4">
        <f>IFERROR(__xludf.DUMMYFUNCTION("""COMPUTED_VALUE"""),20.0)</f>
        <v>20</v>
      </c>
      <c r="H13368" s="4"/>
      <c r="I13368" s="4"/>
    </row>
    <row r="13369">
      <c r="A13369" s="4" t="str">
        <f>IFERROR(__xludf.DUMMYFUNCTION("""COMPUTED_VALUE"""),"cas_hmw")</f>
        <v>cas_hmw</v>
      </c>
      <c r="B13369" s="5">
        <f>IFERROR(__xludf.DUMMYFUNCTION("""COMPUTED_VALUE"""),44718.0)</f>
        <v>44718</v>
      </c>
      <c r="C13369" s="6">
        <f>IFERROR(__xludf.DUMMYFUNCTION("""COMPUTED_VALUE"""),0.7410300925912452)</f>
        <v>0.7410300926</v>
      </c>
      <c r="D13369" s="4">
        <f>IFERROR(__xludf.DUMMYFUNCTION("""COMPUTED_VALUE"""),12.563294)</f>
        <v>12.563294</v>
      </c>
      <c r="E13369" s="4">
        <f>IFERROR(__xludf.DUMMYFUNCTION("""COMPUTED_VALUE"""),79.913252)</f>
        <v>79.913252</v>
      </c>
      <c r="F13369" s="4">
        <f>IFERROR(__xludf.DUMMYFUNCTION("""COMPUTED_VALUE"""),805.0)</f>
        <v>805</v>
      </c>
      <c r="G13369" s="4">
        <f>IFERROR(__xludf.DUMMYFUNCTION("""COMPUTED_VALUE"""),58.0)</f>
        <v>58</v>
      </c>
      <c r="H13369" s="4"/>
      <c r="I13369" s="4"/>
    </row>
    <row r="13370">
      <c r="A13370" s="4" t="str">
        <f>IFERROR(__xludf.DUMMYFUNCTION("""COMPUTED_VALUE"""),"cas_hmw")</f>
        <v>cas_hmw</v>
      </c>
      <c r="B13370" s="5">
        <f>IFERROR(__xludf.DUMMYFUNCTION("""COMPUTED_VALUE"""),44718.0)</f>
        <v>44718</v>
      </c>
      <c r="C13370" s="6">
        <f>IFERROR(__xludf.DUMMYFUNCTION("""COMPUTED_VALUE"""),0.7434259259243845)</f>
        <v>0.7434259259</v>
      </c>
      <c r="D13370" s="4">
        <f>IFERROR(__xludf.DUMMYFUNCTION("""COMPUTED_VALUE"""),12.541)</f>
        <v>12.541</v>
      </c>
      <c r="E13370" s="4">
        <f>IFERROR(__xludf.DUMMYFUNCTION("""COMPUTED_VALUE"""),79.904526)</f>
        <v>79.904526</v>
      </c>
      <c r="F13370" s="4">
        <f>IFERROR(__xludf.DUMMYFUNCTION("""COMPUTED_VALUE"""),805.0)</f>
        <v>805</v>
      </c>
      <c r="G13370" s="4">
        <f>IFERROR(__xludf.DUMMYFUNCTION("""COMPUTED_VALUE"""),62.0)</f>
        <v>62</v>
      </c>
      <c r="H13370" s="4"/>
      <c r="I13370" s="4"/>
    </row>
    <row r="13371">
      <c r="A13371" s="4" t="str">
        <f>IFERROR(__xludf.DUMMYFUNCTION("""COMPUTED_VALUE"""),"cas_hmw")</f>
        <v>cas_hmw</v>
      </c>
      <c r="B13371" s="5">
        <f>IFERROR(__xludf.DUMMYFUNCTION("""COMPUTED_VALUE"""),44718.0)</f>
        <v>44718</v>
      </c>
      <c r="C13371" s="6">
        <f>IFERROR(__xludf.DUMMYFUNCTION("""COMPUTED_VALUE"""),0.7458564814805868)</f>
        <v>0.7458564815</v>
      </c>
      <c r="D13371" s="4">
        <f>IFERROR(__xludf.DUMMYFUNCTION("""COMPUTED_VALUE"""),12.520457)</f>
        <v>12.520457</v>
      </c>
      <c r="E13371" s="4">
        <f>IFERROR(__xludf.DUMMYFUNCTION("""COMPUTED_VALUE"""),79.894062)</f>
        <v>79.894062</v>
      </c>
      <c r="F13371" s="4">
        <f>IFERROR(__xludf.DUMMYFUNCTION("""COMPUTED_VALUE"""),805.0)</f>
        <v>805</v>
      </c>
      <c r="G13371" s="4">
        <f>IFERROR(__xludf.DUMMYFUNCTION("""COMPUTED_VALUE"""),58.0)</f>
        <v>58</v>
      </c>
      <c r="H13371" s="4"/>
      <c r="I13371" s="4"/>
    </row>
    <row r="13372">
      <c r="A13372" s="4" t="str">
        <f>IFERROR(__xludf.DUMMYFUNCTION("""COMPUTED_VALUE"""),"cas_hmw")</f>
        <v>cas_hmw</v>
      </c>
      <c r="B13372" s="5">
        <f>IFERROR(__xludf.DUMMYFUNCTION("""COMPUTED_VALUE"""),44718.0)</f>
        <v>44718</v>
      </c>
      <c r="C13372" s="6">
        <f>IFERROR(__xludf.DUMMYFUNCTION("""COMPUTED_VALUE"""),0.7477893518516794)</f>
        <v>0.7477893519</v>
      </c>
      <c r="D13372" s="4">
        <f>IFERROR(__xludf.DUMMYFUNCTION("""COMPUTED_VALUE"""),12.510488)</f>
        <v>12.510488</v>
      </c>
      <c r="E13372" s="4">
        <f>IFERROR(__xludf.DUMMYFUNCTION("""COMPUTED_VALUE"""),79.885025)</f>
        <v>79.885025</v>
      </c>
      <c r="F13372" s="4">
        <f>IFERROR(__xludf.DUMMYFUNCTION("""COMPUTED_VALUE"""),805.0)</f>
        <v>805</v>
      </c>
      <c r="G13372" s="4">
        <f>IFERROR(__xludf.DUMMYFUNCTION("""COMPUTED_VALUE"""),11.0)</f>
        <v>11</v>
      </c>
      <c r="H13372" s="4"/>
      <c r="I13372" s="4"/>
    </row>
    <row r="13373">
      <c r="A13373" s="4" t="str">
        <f>IFERROR(__xludf.DUMMYFUNCTION("""COMPUTED_VALUE"""),"cas_hmw")</f>
        <v>cas_hmw</v>
      </c>
      <c r="B13373" s="5">
        <f>IFERROR(__xludf.DUMMYFUNCTION("""COMPUTED_VALUE"""),44718.0)</f>
        <v>44718</v>
      </c>
      <c r="C13373" s="6">
        <f>IFERROR(__xludf.DUMMYFUNCTION("""COMPUTED_VALUE"""),0.7478125000016007)</f>
        <v>0.7478125</v>
      </c>
      <c r="D13373" s="4">
        <f>IFERROR(__xludf.DUMMYFUNCTION("""COMPUTED_VALUE"""),12.510488)</f>
        <v>12.510488</v>
      </c>
      <c r="E13373" s="4">
        <f>IFERROR(__xludf.DUMMYFUNCTION("""COMPUTED_VALUE"""),79.885025)</f>
        <v>79.885025</v>
      </c>
      <c r="F13373" s="4">
        <f>IFERROR(__xludf.DUMMYFUNCTION("""COMPUTED_VALUE"""),805.0)</f>
        <v>805</v>
      </c>
      <c r="G13373" s="4">
        <f>IFERROR(__xludf.DUMMYFUNCTION("""COMPUTED_VALUE"""),11.0)</f>
        <v>11</v>
      </c>
      <c r="H13373" s="4"/>
      <c r="I13373" s="4"/>
    </row>
    <row r="13374">
      <c r="A13374" s="4" t="str">
        <f>IFERROR(__xludf.DUMMYFUNCTION("""COMPUTED_VALUE"""),"cas_hmw")</f>
        <v>cas_hmw</v>
      </c>
      <c r="B13374" s="5">
        <f>IFERROR(__xludf.DUMMYFUNCTION("""COMPUTED_VALUE"""),44718.0)</f>
        <v>44718</v>
      </c>
      <c r="C13374" s="6">
        <f>IFERROR(__xludf.DUMMYFUNCTION("""COMPUTED_VALUE"""),0.7478356481478841)</f>
        <v>0.7478356481</v>
      </c>
      <c r="D13374" s="4">
        <f>IFERROR(__xludf.DUMMYFUNCTION("""COMPUTED_VALUE"""),12.510488)</f>
        <v>12.510488</v>
      </c>
      <c r="E13374" s="4">
        <f>IFERROR(__xludf.DUMMYFUNCTION("""COMPUTED_VALUE"""),79.885025)</f>
        <v>79.885025</v>
      </c>
      <c r="F13374" s="4">
        <f>IFERROR(__xludf.DUMMYFUNCTION("""COMPUTED_VALUE"""),805.0)</f>
        <v>805</v>
      </c>
      <c r="G13374" s="4">
        <f>IFERROR(__xludf.DUMMYFUNCTION("""COMPUTED_VALUE"""),11.0)</f>
        <v>11</v>
      </c>
      <c r="H13374" s="4"/>
      <c r="I13374" s="4"/>
    </row>
    <row r="13375">
      <c r="A13375" s="4" t="str">
        <f>IFERROR(__xludf.DUMMYFUNCTION("""COMPUTED_VALUE"""),"cas_hmw")</f>
        <v>cas_hmw</v>
      </c>
      <c r="B13375" s="5">
        <f>IFERROR(__xludf.DUMMYFUNCTION("""COMPUTED_VALUE"""),44718.0)</f>
        <v>44718</v>
      </c>
      <c r="C13375" s="6">
        <f>IFERROR(__xludf.DUMMYFUNCTION("""COMPUTED_VALUE"""),0.7514351851859828)</f>
        <v>0.7514351852</v>
      </c>
      <c r="D13375" s="4">
        <f>IFERROR(__xludf.DUMMYFUNCTION("""COMPUTED_VALUE"""),13.070382)</f>
        <v>13.070382</v>
      </c>
      <c r="E13375" s="4">
        <f>IFERROR(__xludf.DUMMYFUNCTION("""COMPUTED_VALUE"""),80.257879)</f>
        <v>80.257879</v>
      </c>
      <c r="F13375" s="4">
        <f>IFERROR(__xludf.DUMMYFUNCTION("""COMPUTED_VALUE"""),2846.0)</f>
        <v>2846</v>
      </c>
      <c r="G13375" s="4">
        <f>IFERROR(__xludf.DUMMYFUNCTION("""COMPUTED_VALUE"""),31.0)</f>
        <v>31</v>
      </c>
      <c r="H13375" s="4"/>
      <c r="I13375" s="4"/>
    </row>
    <row r="13376">
      <c r="A13376" s="4" t="str">
        <f>IFERROR(__xludf.DUMMYFUNCTION("""COMPUTED_VALUE"""),"cas_hmw")</f>
        <v>cas_hmw</v>
      </c>
      <c r="B13376" s="5">
        <f>IFERROR(__xludf.DUMMYFUNCTION("""COMPUTED_VALUE"""),44718.0)</f>
        <v>44718</v>
      </c>
      <c r="C13376" s="6">
        <f>IFERROR(__xludf.DUMMYFUNCTION("""COMPUTED_VALUE"""),0.7530671296299261)</f>
        <v>0.7530671296</v>
      </c>
      <c r="D13376" s="4">
        <f>IFERROR(__xludf.DUMMYFUNCTION("""COMPUTED_VALUE"""),13.067282)</f>
        <v>13.067282</v>
      </c>
      <c r="E13376" s="4">
        <f>IFERROR(__xludf.DUMMYFUNCTION("""COMPUTED_VALUE"""),80.254806)</f>
        <v>80.254806</v>
      </c>
      <c r="F13376" s="4">
        <f>IFERROR(__xludf.DUMMYFUNCTION("""COMPUTED_VALUE"""),2846.0)</f>
        <v>2846</v>
      </c>
      <c r="G13376" s="4">
        <f>IFERROR(__xludf.DUMMYFUNCTION("""COMPUTED_VALUE"""),9.0)</f>
        <v>9</v>
      </c>
      <c r="H13376" s="4"/>
      <c r="I13376" s="4"/>
    </row>
    <row r="13377">
      <c r="A13377" s="4" t="str">
        <f>IFERROR(__xludf.DUMMYFUNCTION("""COMPUTED_VALUE"""),"cas_hmw")</f>
        <v>cas_hmw</v>
      </c>
      <c r="B13377" s="5">
        <f>IFERROR(__xludf.DUMMYFUNCTION("""COMPUTED_VALUE"""),44718.0)</f>
        <v>44718</v>
      </c>
      <c r="C13377" s="6">
        <f>IFERROR(__xludf.DUMMYFUNCTION("""COMPUTED_VALUE"""),0.7534259259264218)</f>
        <v>0.7534259259</v>
      </c>
      <c r="D13377" s="4">
        <f>IFERROR(__xludf.DUMMYFUNCTION("""COMPUTED_VALUE"""),13.067173)</f>
        <v>13.067173</v>
      </c>
      <c r="E13377" s="4">
        <f>IFERROR(__xludf.DUMMYFUNCTION("""COMPUTED_VALUE"""),80.254645)</f>
        <v>80.254645</v>
      </c>
      <c r="F13377" s="4">
        <f>IFERROR(__xludf.DUMMYFUNCTION("""COMPUTED_VALUE"""),2846.0)</f>
        <v>2846</v>
      </c>
      <c r="G13377" s="4">
        <f>IFERROR(__xludf.DUMMYFUNCTION("""COMPUTED_VALUE"""),2.0)</f>
        <v>2</v>
      </c>
      <c r="H13377" s="4"/>
      <c r="I13377" s="4"/>
    </row>
    <row r="13378">
      <c r="A13378" s="4" t="str">
        <f>IFERROR(__xludf.DUMMYFUNCTION("""COMPUTED_VALUE"""),"cas_hmw")</f>
        <v>cas_hmw</v>
      </c>
      <c r="B13378" s="5">
        <f>IFERROR(__xludf.DUMMYFUNCTION("""COMPUTED_VALUE"""),44718.0)</f>
        <v>44718</v>
      </c>
      <c r="C13378" s="6">
        <f>IFERROR(__xludf.DUMMYFUNCTION("""COMPUTED_VALUE"""),0.7545370370353339)</f>
        <v>0.754537037</v>
      </c>
      <c r="D13378" s="4">
        <f>IFERROR(__xludf.DUMMYFUNCTION("""COMPUTED_VALUE"""),12.529491)</f>
        <v>12.529491</v>
      </c>
      <c r="E13378" s="4">
        <f>IFERROR(__xludf.DUMMYFUNCTION("""COMPUTED_VALUE"""),79.899082)</f>
        <v>79.899082</v>
      </c>
      <c r="F13378" s="4">
        <f>IFERROR(__xludf.DUMMYFUNCTION("""COMPUTED_VALUE"""),805.0)</f>
        <v>805</v>
      </c>
      <c r="G13378" s="4">
        <f>IFERROR(__xludf.DUMMYFUNCTION("""COMPUTED_VALUE"""),58.0)</f>
        <v>58</v>
      </c>
      <c r="H13378" s="4"/>
      <c r="I13378" s="4"/>
    </row>
    <row r="13379">
      <c r="A13379" s="4" t="str">
        <f>IFERROR(__xludf.DUMMYFUNCTION("""COMPUTED_VALUE"""),"cas_hmw")</f>
        <v>cas_hmw</v>
      </c>
      <c r="B13379" s="5">
        <f>IFERROR(__xludf.DUMMYFUNCTION("""COMPUTED_VALUE"""),44718.0)</f>
        <v>44718</v>
      </c>
      <c r="C13379" s="6">
        <f>IFERROR(__xludf.DUMMYFUNCTION("""COMPUTED_VALUE"""),0.7545486111121136)</f>
        <v>0.7545486111</v>
      </c>
      <c r="D13379" s="4">
        <f>IFERROR(__xludf.DUMMYFUNCTION("""COMPUTED_VALUE"""),12.529491)</f>
        <v>12.529491</v>
      </c>
      <c r="E13379" s="4">
        <f>IFERROR(__xludf.DUMMYFUNCTION("""COMPUTED_VALUE"""),79.899082)</f>
        <v>79.899082</v>
      </c>
      <c r="F13379" s="4">
        <f>IFERROR(__xludf.DUMMYFUNCTION("""COMPUTED_VALUE"""),805.0)</f>
        <v>805</v>
      </c>
      <c r="G13379" s="4">
        <f>IFERROR(__xludf.DUMMYFUNCTION("""COMPUTED_VALUE"""),58.0)</f>
        <v>58</v>
      </c>
      <c r="H13379" s="4"/>
      <c r="I13379" s="4"/>
    </row>
    <row r="13380">
      <c r="A13380" s="4" t="str">
        <f>IFERROR(__xludf.DUMMYFUNCTION("""COMPUTED_VALUE"""),"cas_hmw")</f>
        <v>cas_hmw</v>
      </c>
      <c r="B13380" s="5">
        <f>IFERROR(__xludf.DUMMYFUNCTION("""COMPUTED_VALUE"""),44718.0)</f>
        <v>44718</v>
      </c>
      <c r="C13380" s="6">
        <f>IFERROR(__xludf.DUMMYFUNCTION("""COMPUTED_VALUE"""),0.7620254629619012)</f>
        <v>0.762025463</v>
      </c>
      <c r="D13380" s="4">
        <f>IFERROR(__xludf.DUMMYFUNCTION("""COMPUTED_VALUE"""),12.627079)</f>
        <v>12.627079</v>
      </c>
      <c r="E13380" s="4">
        <f>IFERROR(__xludf.DUMMYFUNCTION("""COMPUTED_VALUE"""),79.9298)</f>
        <v>79.9298</v>
      </c>
      <c r="F13380" s="4">
        <f>IFERROR(__xludf.DUMMYFUNCTION("""COMPUTED_VALUE"""),805.0)</f>
        <v>805</v>
      </c>
      <c r="G13380" s="4">
        <f>IFERROR(__xludf.DUMMYFUNCTION("""COMPUTED_VALUE"""),58.0)</f>
        <v>58</v>
      </c>
      <c r="H13380" s="4"/>
      <c r="I13380" s="4"/>
    </row>
    <row r="13381">
      <c r="A13381" s="4" t="str">
        <f>IFERROR(__xludf.DUMMYFUNCTION("""COMPUTED_VALUE"""),"cas_hmw")</f>
        <v>cas_hmw</v>
      </c>
      <c r="B13381" s="5">
        <f>IFERROR(__xludf.DUMMYFUNCTION("""COMPUTED_VALUE"""),44718.0)</f>
        <v>44718</v>
      </c>
      <c r="C13381" s="6">
        <f>IFERROR(__xludf.DUMMYFUNCTION("""COMPUTED_VALUE"""),0.7621064814811689)</f>
        <v>0.7621064815</v>
      </c>
      <c r="D13381" s="4">
        <f>IFERROR(__xludf.DUMMYFUNCTION("""COMPUTED_VALUE"""),12.627079)</f>
        <v>12.627079</v>
      </c>
      <c r="E13381" s="4">
        <f>IFERROR(__xludf.DUMMYFUNCTION("""COMPUTED_VALUE"""),79.9298)</f>
        <v>79.9298</v>
      </c>
      <c r="F13381" s="4">
        <f>IFERROR(__xludf.DUMMYFUNCTION("""COMPUTED_VALUE"""),805.0)</f>
        <v>805</v>
      </c>
      <c r="G13381" s="4">
        <f>IFERROR(__xludf.DUMMYFUNCTION("""COMPUTED_VALUE"""),58.0)</f>
        <v>58</v>
      </c>
      <c r="H13381" s="4"/>
      <c r="I13381" s="4"/>
    </row>
    <row r="13382">
      <c r="A13382" s="4" t="str">
        <f>IFERROR(__xludf.DUMMYFUNCTION("""COMPUTED_VALUE"""),"cas_hmw")</f>
        <v>cas_hmw</v>
      </c>
      <c r="B13382" s="5">
        <f>IFERROR(__xludf.DUMMYFUNCTION("""COMPUTED_VALUE"""),44718.0)</f>
        <v>44718</v>
      </c>
      <c r="C13382" s="6">
        <f>IFERROR(__xludf.DUMMYFUNCTION("""COMPUTED_VALUE"""),0.7641435185178125)</f>
        <v>0.7641435185</v>
      </c>
      <c r="D13382" s="4">
        <f>IFERROR(__xludf.DUMMYFUNCTION("""COMPUTED_VALUE"""),12.646733)</f>
        <v>12.646733</v>
      </c>
      <c r="E13382" s="4">
        <f>IFERROR(__xludf.DUMMYFUNCTION("""COMPUTED_VALUE"""),79.940202)</f>
        <v>79.940202</v>
      </c>
      <c r="F13382" s="4">
        <f>IFERROR(__xludf.DUMMYFUNCTION("""COMPUTED_VALUE"""),805.0)</f>
        <v>805</v>
      </c>
      <c r="G13382" s="4">
        <f>IFERROR(__xludf.DUMMYFUNCTION("""COMPUTED_VALUE"""),58.0)</f>
        <v>58</v>
      </c>
      <c r="H13382" s="4"/>
      <c r="I13382" s="4"/>
    </row>
    <row r="13383">
      <c r="A13383" s="4" t="str">
        <f>IFERROR(__xludf.DUMMYFUNCTION("""COMPUTED_VALUE"""),"cas_hmw")</f>
        <v>cas_hmw</v>
      </c>
      <c r="B13383" s="5">
        <f>IFERROR(__xludf.DUMMYFUNCTION("""COMPUTED_VALUE"""),44718.0)</f>
        <v>44718</v>
      </c>
      <c r="C13383" s="6">
        <f>IFERROR(__xludf.DUMMYFUNCTION("""COMPUTED_VALUE"""),0.7641435185178125)</f>
        <v>0.7641435185</v>
      </c>
      <c r="D13383" s="4">
        <f>IFERROR(__xludf.DUMMYFUNCTION("""COMPUTED_VALUE"""),12.646733)</f>
        <v>12.646733</v>
      </c>
      <c r="E13383" s="4">
        <f>IFERROR(__xludf.DUMMYFUNCTION("""COMPUTED_VALUE"""),79.940202)</f>
        <v>79.940202</v>
      </c>
      <c r="F13383" s="4">
        <f>IFERROR(__xludf.DUMMYFUNCTION("""COMPUTED_VALUE"""),805.0)</f>
        <v>805</v>
      </c>
      <c r="G13383" s="4">
        <f>IFERROR(__xludf.DUMMYFUNCTION("""COMPUTED_VALUE"""),58.0)</f>
        <v>58</v>
      </c>
      <c r="H13383" s="4"/>
      <c r="I13383" s="4"/>
    </row>
    <row r="13384">
      <c r="A13384" s="4" t="str">
        <f>IFERROR(__xludf.DUMMYFUNCTION("""COMPUTED_VALUE"""),"cas_hmw")</f>
        <v>cas_hmw</v>
      </c>
      <c r="B13384" s="5">
        <f>IFERROR(__xludf.DUMMYFUNCTION("""COMPUTED_VALUE"""),44718.0)</f>
        <v>44718</v>
      </c>
      <c r="C13384" s="6">
        <f>IFERROR(__xludf.DUMMYFUNCTION("""COMPUTED_VALUE"""),0.7641550925909542)</f>
        <v>0.7641550926</v>
      </c>
      <c r="D13384" s="4">
        <f>IFERROR(__xludf.DUMMYFUNCTION("""COMPUTED_VALUE"""),12.646733)</f>
        <v>12.646733</v>
      </c>
      <c r="E13384" s="4">
        <f>IFERROR(__xludf.DUMMYFUNCTION("""COMPUTED_VALUE"""),79.940202)</f>
        <v>79.940202</v>
      </c>
      <c r="F13384" s="4">
        <f>IFERROR(__xludf.DUMMYFUNCTION("""COMPUTED_VALUE"""),805.0)</f>
        <v>805</v>
      </c>
      <c r="G13384" s="4">
        <f>IFERROR(__xludf.DUMMYFUNCTION("""COMPUTED_VALUE"""),58.0)</f>
        <v>58</v>
      </c>
      <c r="H13384" s="4"/>
      <c r="I13384" s="4"/>
    </row>
    <row r="13385">
      <c r="A13385" s="4" t="str">
        <f>IFERROR(__xludf.DUMMYFUNCTION("""COMPUTED_VALUE"""),"cas_hmw")</f>
        <v>cas_hmw</v>
      </c>
      <c r="B13385" s="5">
        <f>IFERROR(__xludf.DUMMYFUNCTION("""COMPUTED_VALUE"""),44718.0)</f>
        <v>44718</v>
      </c>
      <c r="C13385" s="6">
        <f>IFERROR(__xludf.DUMMYFUNCTION("""COMPUTED_VALUE"""),0.7642129629639385)</f>
        <v>0.764212963</v>
      </c>
      <c r="D13385" s="4">
        <f>IFERROR(__xludf.DUMMYFUNCTION("""COMPUTED_VALUE"""),12.648976)</f>
        <v>12.648976</v>
      </c>
      <c r="E13385" s="4">
        <f>IFERROR(__xludf.DUMMYFUNCTION("""COMPUTED_VALUE"""),79.940576)</f>
        <v>79.940576</v>
      </c>
      <c r="F13385" s="4">
        <f>IFERROR(__xludf.DUMMYFUNCTION("""COMPUTED_VALUE"""),805.0)</f>
        <v>805</v>
      </c>
      <c r="G13385" s="4">
        <f>IFERROR(__xludf.DUMMYFUNCTION("""COMPUTED_VALUE"""),55.0)</f>
        <v>55</v>
      </c>
      <c r="H13385" s="4"/>
      <c r="I13385" s="4"/>
    </row>
    <row r="13386">
      <c r="A13386" s="4" t="str">
        <f>IFERROR(__xludf.DUMMYFUNCTION("""COMPUTED_VALUE"""),"cas_hmw")</f>
        <v>cas_hmw</v>
      </c>
      <c r="B13386" s="5">
        <f>IFERROR(__xludf.DUMMYFUNCTION("""COMPUTED_VALUE"""),44718.0)</f>
        <v>44718</v>
      </c>
      <c r="C13386" s="6">
        <f>IFERROR(__xludf.DUMMYFUNCTION("""COMPUTED_VALUE"""),0.7663888888891961)</f>
        <v>0.7663888889</v>
      </c>
      <c r="D13386" s="4">
        <f>IFERROR(__xludf.DUMMYFUNCTION("""COMPUTED_VALUE"""),12.655977)</f>
        <v>12.655977</v>
      </c>
      <c r="E13386" s="4">
        <f>IFERROR(__xludf.DUMMYFUNCTION("""COMPUTED_VALUE"""),79.952237)</f>
        <v>79.952237</v>
      </c>
      <c r="F13386" s="4">
        <f>IFERROR(__xludf.DUMMYFUNCTION("""COMPUTED_VALUE"""),805.0)</f>
        <v>805</v>
      </c>
      <c r="G13386" s="4">
        <f>IFERROR(__xludf.DUMMYFUNCTION("""COMPUTED_VALUE"""),58.0)</f>
        <v>58</v>
      </c>
      <c r="H13386" s="4"/>
      <c r="I13386" s="4"/>
    </row>
    <row r="13387">
      <c r="A13387" s="4" t="str">
        <f>IFERROR(__xludf.DUMMYFUNCTION("""COMPUTED_VALUE"""),"cas_hmw")</f>
        <v>cas_hmw</v>
      </c>
      <c r="B13387" s="5">
        <f>IFERROR(__xludf.DUMMYFUNCTION("""COMPUTED_VALUE"""),44718.0)</f>
        <v>44718</v>
      </c>
      <c r="C13387" s="6">
        <f>IFERROR(__xludf.DUMMYFUNCTION("""COMPUTED_VALUE"""),0.7665046296278888)</f>
        <v>0.7665046296</v>
      </c>
      <c r="D13387" s="4">
        <f>IFERROR(__xludf.DUMMYFUNCTION("""COMPUTED_VALUE"""),12.65636)</f>
        <v>12.65636</v>
      </c>
      <c r="E13387" s="4">
        <f>IFERROR(__xludf.DUMMYFUNCTION("""COMPUTED_VALUE"""),79.954552)</f>
        <v>79.954552</v>
      </c>
      <c r="F13387" s="4">
        <f>IFERROR(__xludf.DUMMYFUNCTION("""COMPUTED_VALUE"""),805.0)</f>
        <v>805</v>
      </c>
      <c r="G13387" s="4">
        <f>IFERROR(__xludf.DUMMYFUNCTION("""COMPUTED_VALUE"""),58.0)</f>
        <v>58</v>
      </c>
      <c r="H13387" s="4"/>
      <c r="I13387" s="4"/>
    </row>
    <row r="13388">
      <c r="A13388" s="4" t="str">
        <f>IFERROR(__xludf.DUMMYFUNCTION("""COMPUTED_VALUE"""),"cas_hmw")</f>
        <v>cas_hmw</v>
      </c>
      <c r="B13388" s="5">
        <f>IFERROR(__xludf.DUMMYFUNCTION("""COMPUTED_VALUE"""),44718.0)</f>
        <v>44718</v>
      </c>
      <c r="C13388" s="6">
        <f>IFERROR(__xludf.DUMMYFUNCTION("""COMPUTED_VALUE"""),0.7667129629626288)</f>
        <v>0.766712963</v>
      </c>
      <c r="D13388" s="4">
        <f>IFERROR(__xludf.DUMMYFUNCTION("""COMPUTED_VALUE"""),12.6572)</f>
        <v>12.6572</v>
      </c>
      <c r="E13388" s="4">
        <f>IFERROR(__xludf.DUMMYFUNCTION("""COMPUTED_VALUE"""),79.956772)</f>
        <v>79.956772</v>
      </c>
      <c r="F13388" s="4">
        <f>IFERROR(__xludf.DUMMYFUNCTION("""COMPUTED_VALUE"""),805.0)</f>
        <v>805</v>
      </c>
      <c r="G13388" s="4">
        <f>IFERROR(__xludf.DUMMYFUNCTION("""COMPUTED_VALUE"""),58.0)</f>
        <v>58</v>
      </c>
      <c r="H13388" s="4"/>
      <c r="I13388" s="4"/>
    </row>
    <row r="13389">
      <c r="A13389" s="4" t="str">
        <f>IFERROR(__xludf.DUMMYFUNCTION("""COMPUTED_VALUE"""),"cas_hmw")</f>
        <v>cas_hmw</v>
      </c>
      <c r="B13389" s="5">
        <f>IFERROR(__xludf.DUMMYFUNCTION("""COMPUTED_VALUE"""),44718.0)</f>
        <v>44718</v>
      </c>
      <c r="C13389" s="6">
        <f>IFERROR(__xludf.DUMMYFUNCTION("""COMPUTED_VALUE"""),0.77364583333474)</f>
        <v>0.7736458333</v>
      </c>
      <c r="D13389" s="4">
        <f>IFERROR(__xludf.DUMMYFUNCTION("""COMPUTED_VALUE"""),12.724134)</f>
        <v>12.724134</v>
      </c>
      <c r="E13389" s="4">
        <f>IFERROR(__xludf.DUMMYFUNCTION("""COMPUTED_VALUE"""),79.981709)</f>
        <v>79.981709</v>
      </c>
      <c r="F13389" s="4">
        <f>IFERROR(__xludf.DUMMYFUNCTION("""COMPUTED_VALUE"""),805.0)</f>
        <v>805</v>
      </c>
      <c r="G13389" s="4">
        <f>IFERROR(__xludf.DUMMYFUNCTION("""COMPUTED_VALUE"""),0.0)</f>
        <v>0</v>
      </c>
      <c r="H13389" s="4"/>
      <c r="I13389" s="4"/>
    </row>
    <row r="13390">
      <c r="A13390" s="4" t="str">
        <f>IFERROR(__xludf.DUMMYFUNCTION("""COMPUTED_VALUE"""),"cas_hmw")</f>
        <v>cas_hmw</v>
      </c>
      <c r="B13390" s="5">
        <f>IFERROR(__xludf.DUMMYFUNCTION("""COMPUTED_VALUE"""),44718.0)</f>
        <v>44718</v>
      </c>
      <c r="C13390" s="6">
        <f>IFERROR(__xludf.DUMMYFUNCTION("""COMPUTED_VALUE"""),0.7738310185195587)</f>
        <v>0.7738310185</v>
      </c>
      <c r="D13390" s="4">
        <f>IFERROR(__xludf.DUMMYFUNCTION("""COMPUTED_VALUE"""),12.724188)</f>
        <v>12.724188</v>
      </c>
      <c r="E13390" s="4">
        <f>IFERROR(__xludf.DUMMYFUNCTION("""COMPUTED_VALUE"""),79.981721)</f>
        <v>79.981721</v>
      </c>
      <c r="F13390" s="4">
        <f>IFERROR(__xludf.DUMMYFUNCTION("""COMPUTED_VALUE"""),805.0)</f>
        <v>805</v>
      </c>
      <c r="G13390" s="4">
        <f>IFERROR(__xludf.DUMMYFUNCTION("""COMPUTED_VALUE"""),0.0)</f>
        <v>0</v>
      </c>
      <c r="H13390" s="4"/>
      <c r="I13390" s="4"/>
    </row>
    <row r="13391">
      <c r="A13391" s="4" t="str">
        <f>IFERROR(__xludf.DUMMYFUNCTION("""COMPUTED_VALUE"""),"cas_hmw")</f>
        <v>cas_hmw</v>
      </c>
      <c r="B13391" s="5">
        <f>IFERROR(__xludf.DUMMYFUNCTION("""COMPUTED_VALUE"""),44718.0)</f>
        <v>44718</v>
      </c>
      <c r="C13391" s="6">
        <f>IFERROR(__xludf.DUMMYFUNCTION("""COMPUTED_VALUE"""),0.7740509259274404)</f>
        <v>0.7740509259</v>
      </c>
      <c r="D13391" s="4">
        <f>IFERROR(__xludf.DUMMYFUNCTION("""COMPUTED_VALUE"""),12.724188)</f>
        <v>12.724188</v>
      </c>
      <c r="E13391" s="4">
        <f>IFERROR(__xludf.DUMMYFUNCTION("""COMPUTED_VALUE"""),79.981721)</f>
        <v>79.981721</v>
      </c>
      <c r="F13391" s="4">
        <f>IFERROR(__xludf.DUMMYFUNCTION("""COMPUTED_VALUE"""),805.0)</f>
        <v>805</v>
      </c>
      <c r="G13391" s="4">
        <f>IFERROR(__xludf.DUMMYFUNCTION("""COMPUTED_VALUE"""),0.0)</f>
        <v>0</v>
      </c>
      <c r="H13391" s="4"/>
      <c r="I13391" s="4"/>
    </row>
    <row r="13392">
      <c r="A13392" s="4" t="str">
        <f>IFERROR(__xludf.DUMMYFUNCTION("""COMPUTED_VALUE"""),"cas_hmw")</f>
        <v>cas_hmw</v>
      </c>
      <c r="B13392" s="5">
        <f>IFERROR(__xludf.DUMMYFUNCTION("""COMPUTED_VALUE"""),44718.0)</f>
        <v>44718</v>
      </c>
      <c r="C13392" s="6">
        <f>IFERROR(__xludf.DUMMYFUNCTION("""COMPUTED_VALUE"""),0.7740972222236451)</f>
        <v>0.7740972222</v>
      </c>
      <c r="D13392" s="4">
        <f>IFERROR(__xludf.DUMMYFUNCTION("""COMPUTED_VALUE"""),12.724188)</f>
        <v>12.724188</v>
      </c>
      <c r="E13392" s="4">
        <f>IFERROR(__xludf.DUMMYFUNCTION("""COMPUTED_VALUE"""),79.981721)</f>
        <v>79.981721</v>
      </c>
      <c r="F13392" s="4">
        <f>IFERROR(__xludf.DUMMYFUNCTION("""COMPUTED_VALUE"""),805.0)</f>
        <v>805</v>
      </c>
      <c r="G13392" s="4">
        <f>IFERROR(__xludf.DUMMYFUNCTION("""COMPUTED_VALUE"""),0.0)</f>
        <v>0</v>
      </c>
      <c r="H13392" s="4"/>
      <c r="I13392" s="4"/>
    </row>
    <row r="13393">
      <c r="A13393" s="4" t="str">
        <f>IFERROR(__xludf.DUMMYFUNCTION("""COMPUTED_VALUE"""),"cas_hmw")</f>
        <v>cas_hmw</v>
      </c>
      <c r="B13393" s="5">
        <f>IFERROR(__xludf.DUMMYFUNCTION("""COMPUTED_VALUE"""),44718.0)</f>
        <v>44718</v>
      </c>
      <c r="C13393" s="6">
        <f>IFERROR(__xludf.DUMMYFUNCTION("""COMPUTED_VALUE"""),0.7756597222214623)</f>
        <v>0.7756597222</v>
      </c>
      <c r="D13393" s="4">
        <f>IFERROR(__xludf.DUMMYFUNCTION("""COMPUTED_VALUE"""),12.74268)</f>
        <v>12.74268</v>
      </c>
      <c r="E13393" s="4">
        <f>IFERROR(__xludf.DUMMYFUNCTION("""COMPUTED_VALUE"""),79.991855)</f>
        <v>79.991855</v>
      </c>
      <c r="F13393" s="4">
        <f>IFERROR(__xludf.DUMMYFUNCTION("""COMPUTED_VALUE"""),805.0)</f>
        <v>805</v>
      </c>
      <c r="G13393" s="4">
        <f>IFERROR(__xludf.DUMMYFUNCTION("""COMPUTED_VALUE"""),0.0)</f>
        <v>0</v>
      </c>
      <c r="H13393" s="4"/>
      <c r="I13393" s="4"/>
    </row>
    <row r="13394">
      <c r="A13394" s="4" t="str">
        <f>IFERROR(__xludf.DUMMYFUNCTION("""COMPUTED_VALUE"""),"cas_hmw")</f>
        <v>cas_hmw</v>
      </c>
      <c r="B13394" s="5">
        <f>IFERROR(__xludf.DUMMYFUNCTION("""COMPUTED_VALUE"""),44718.0)</f>
        <v>44718</v>
      </c>
      <c r="C13394" s="6">
        <f>IFERROR(__xludf.DUMMYFUNCTION("""COMPUTED_VALUE"""),0.7778819444429246)</f>
        <v>0.7778819444</v>
      </c>
      <c r="D13394" s="4">
        <f>IFERROR(__xludf.DUMMYFUNCTION("""COMPUTED_VALUE"""),12.760715)</f>
        <v>12.760715</v>
      </c>
      <c r="E13394" s="4">
        <f>IFERROR(__xludf.DUMMYFUNCTION("""COMPUTED_VALUE"""),80.003385)</f>
        <v>80.003385</v>
      </c>
      <c r="F13394" s="4">
        <f>IFERROR(__xludf.DUMMYFUNCTION("""COMPUTED_VALUE"""),805.0)</f>
        <v>805</v>
      </c>
      <c r="G13394" s="4">
        <f>IFERROR(__xludf.DUMMYFUNCTION("""COMPUTED_VALUE"""),22.0)</f>
        <v>22</v>
      </c>
      <c r="H13394" s="4"/>
      <c r="I13394" s="4"/>
    </row>
    <row r="13395">
      <c r="A13395" s="4" t="str">
        <f>IFERROR(__xludf.DUMMYFUNCTION("""COMPUTED_VALUE"""),"cas_hmw")</f>
        <v>cas_hmw</v>
      </c>
      <c r="B13395" s="5">
        <f>IFERROR(__xludf.DUMMYFUNCTION("""COMPUTED_VALUE"""),44718.0)</f>
        <v>44718</v>
      </c>
      <c r="C13395" s="6">
        <f>IFERROR(__xludf.DUMMYFUNCTION("""COMPUTED_VALUE"""),0.7779050925928459)</f>
        <v>0.7779050926</v>
      </c>
      <c r="D13395" s="4">
        <f>IFERROR(__xludf.DUMMYFUNCTION("""COMPUTED_VALUE"""),12.760715)</f>
        <v>12.760715</v>
      </c>
      <c r="E13395" s="4">
        <f>IFERROR(__xludf.DUMMYFUNCTION("""COMPUTED_VALUE"""),80.003385)</f>
        <v>80.003385</v>
      </c>
      <c r="F13395" s="4">
        <f>IFERROR(__xludf.DUMMYFUNCTION("""COMPUTED_VALUE"""),805.0)</f>
        <v>805</v>
      </c>
      <c r="G13395" s="4">
        <f>IFERROR(__xludf.DUMMYFUNCTION("""COMPUTED_VALUE"""),22.0)</f>
        <v>22</v>
      </c>
      <c r="H13395" s="4"/>
      <c r="I13395" s="4"/>
    </row>
    <row r="13396">
      <c r="A13396" s="4" t="str">
        <f>IFERROR(__xludf.DUMMYFUNCTION("""COMPUTED_VALUE"""),"cas_hmw")</f>
        <v>cas_hmw</v>
      </c>
      <c r="B13396" s="5">
        <f>IFERROR(__xludf.DUMMYFUNCTION("""COMPUTED_VALUE"""),44718.0)</f>
        <v>44718</v>
      </c>
      <c r="C13396" s="6">
        <f>IFERROR(__xludf.DUMMYFUNCTION("""COMPUTED_VALUE"""),0.778460648147302)</f>
        <v>0.7784606481</v>
      </c>
      <c r="D13396" s="4">
        <f>IFERROR(__xludf.DUMMYFUNCTION("""COMPUTED_VALUE"""),12.763474)</f>
        <v>12.763474</v>
      </c>
      <c r="E13396" s="4">
        <f>IFERROR(__xludf.DUMMYFUNCTION("""COMPUTED_VALUE"""),80.004202)</f>
        <v>80.004202</v>
      </c>
      <c r="F13396" s="4">
        <f>IFERROR(__xludf.DUMMYFUNCTION("""COMPUTED_VALUE"""),805.0)</f>
        <v>805</v>
      </c>
      <c r="G13396" s="4">
        <f>IFERROR(__xludf.DUMMYFUNCTION("""COMPUTED_VALUE"""),26.0)</f>
        <v>26</v>
      </c>
      <c r="H13396" s="4"/>
      <c r="I13396" s="4"/>
    </row>
    <row r="13397">
      <c r="A13397" s="4" t="str">
        <f>IFERROR(__xludf.DUMMYFUNCTION("""COMPUTED_VALUE"""),"cas_hmw")</f>
        <v>cas_hmw</v>
      </c>
      <c r="B13397" s="5">
        <f>IFERROR(__xludf.DUMMYFUNCTION("""COMPUTED_VALUE"""),44718.0)</f>
        <v>44718</v>
      </c>
      <c r="C13397" s="6">
        <f>IFERROR(__xludf.DUMMYFUNCTION("""COMPUTED_VALUE"""),0.7786226851858373)</f>
        <v>0.7786226852</v>
      </c>
      <c r="D13397" s="4">
        <f>IFERROR(__xludf.DUMMYFUNCTION("""COMPUTED_VALUE"""),12.764769)</f>
        <v>12.764769</v>
      </c>
      <c r="E13397" s="4">
        <f>IFERROR(__xludf.DUMMYFUNCTION("""COMPUTED_VALUE"""),80.004731)</f>
        <v>80.004731</v>
      </c>
      <c r="F13397" s="4">
        <f>IFERROR(__xludf.DUMMYFUNCTION("""COMPUTED_VALUE"""),805.0)</f>
        <v>805</v>
      </c>
      <c r="G13397" s="4">
        <f>IFERROR(__xludf.DUMMYFUNCTION("""COMPUTED_VALUE"""),36.0)</f>
        <v>36</v>
      </c>
      <c r="H13397" s="4"/>
      <c r="I13397" s="4"/>
    </row>
    <row r="13398">
      <c r="A13398" s="4" t="str">
        <f>IFERROR(__xludf.DUMMYFUNCTION("""COMPUTED_VALUE"""),"cas_hmw")</f>
        <v>cas_hmw</v>
      </c>
      <c r="B13398" s="5">
        <f>IFERROR(__xludf.DUMMYFUNCTION("""COMPUTED_VALUE"""),44718.0)</f>
        <v>44718</v>
      </c>
      <c r="C13398" s="6">
        <f>IFERROR(__xludf.DUMMYFUNCTION("""COMPUTED_VALUE"""),0.7796296296291985)</f>
        <v>0.7796296296</v>
      </c>
      <c r="D13398" s="4">
        <f>IFERROR(__xludf.DUMMYFUNCTION("""COMPUTED_VALUE"""),12.774946)</f>
        <v>12.774946</v>
      </c>
      <c r="E13398" s="4">
        <f>IFERROR(__xludf.DUMMYFUNCTION("""COMPUTED_VALUE"""),80.00944)</f>
        <v>80.00944</v>
      </c>
      <c r="F13398" s="4">
        <f>IFERROR(__xludf.DUMMYFUNCTION("""COMPUTED_VALUE"""),805.0)</f>
        <v>805</v>
      </c>
      <c r="G13398" s="4">
        <f>IFERROR(__xludf.DUMMYFUNCTION("""COMPUTED_VALUE"""),58.0)</f>
        <v>58</v>
      </c>
      <c r="H13398" s="4"/>
      <c r="I13398" s="4"/>
    </row>
    <row r="13399">
      <c r="A13399" s="4" t="str">
        <f>IFERROR(__xludf.DUMMYFUNCTION("""COMPUTED_VALUE"""),"cas_hmw")</f>
        <v>cas_hmw</v>
      </c>
      <c r="B13399" s="5">
        <f>IFERROR(__xludf.DUMMYFUNCTION("""COMPUTED_VALUE"""),44718.0)</f>
        <v>44718</v>
      </c>
      <c r="C13399" s="6">
        <f>IFERROR(__xludf.DUMMYFUNCTION("""COMPUTED_VALUE"""),0.7798726851870015)</f>
        <v>0.7798726852</v>
      </c>
      <c r="D13399" s="4">
        <f>IFERROR(__xludf.DUMMYFUNCTION("""COMPUTED_VALUE"""),12.777058)</f>
        <v>12.777058</v>
      </c>
      <c r="E13399" s="4">
        <f>IFERROR(__xludf.DUMMYFUNCTION("""COMPUTED_VALUE"""),80.01038)</f>
        <v>80.01038</v>
      </c>
      <c r="F13399" s="4">
        <f>IFERROR(__xludf.DUMMYFUNCTION("""COMPUTED_VALUE"""),805.0)</f>
        <v>805</v>
      </c>
      <c r="G13399" s="4">
        <f>IFERROR(__xludf.DUMMYFUNCTION("""COMPUTED_VALUE"""),48.0)</f>
        <v>48</v>
      </c>
      <c r="H13399" s="4"/>
      <c r="I13399" s="4"/>
    </row>
    <row r="13400">
      <c r="A13400" s="4" t="str">
        <f>IFERROR(__xludf.DUMMYFUNCTION("""COMPUTED_VALUE"""),"cas_hmw")</f>
        <v>cas_hmw</v>
      </c>
      <c r="B13400" s="5">
        <f>IFERROR(__xludf.DUMMYFUNCTION("""COMPUTED_VALUE"""),44718.0)</f>
        <v>44718</v>
      </c>
      <c r="C13400" s="6">
        <f>IFERROR(__xludf.DUMMYFUNCTION("""COMPUTED_VALUE"""),0.7799537037026312)</f>
        <v>0.7799537037</v>
      </c>
      <c r="D13400" s="4">
        <f>IFERROR(__xludf.DUMMYFUNCTION("""COMPUTED_VALUE"""),12.777058)</f>
        <v>12.777058</v>
      </c>
      <c r="E13400" s="4">
        <f>IFERROR(__xludf.DUMMYFUNCTION("""COMPUTED_VALUE"""),80.01038)</f>
        <v>80.01038</v>
      </c>
      <c r="F13400" s="4">
        <f>IFERROR(__xludf.DUMMYFUNCTION("""COMPUTED_VALUE"""),805.0)</f>
        <v>805</v>
      </c>
      <c r="G13400" s="4">
        <f>IFERROR(__xludf.DUMMYFUNCTION("""COMPUTED_VALUE"""),48.0)</f>
        <v>48</v>
      </c>
      <c r="H13400" s="4"/>
      <c r="I13400" s="4"/>
    </row>
    <row r="13401">
      <c r="A13401" s="4" t="str">
        <f>IFERROR(__xludf.DUMMYFUNCTION("""COMPUTED_VALUE"""),"cas_hmw")</f>
        <v>cas_hmw</v>
      </c>
      <c r="B13401" s="5">
        <f>IFERROR(__xludf.DUMMYFUNCTION("""COMPUTED_VALUE"""),44718.0)</f>
        <v>44718</v>
      </c>
      <c r="C13401" s="6">
        <f>IFERROR(__xludf.DUMMYFUNCTION("""COMPUTED_VALUE"""),0.7802430555566389)</f>
        <v>0.7802430556</v>
      </c>
      <c r="D13401" s="4">
        <f>IFERROR(__xludf.DUMMYFUNCTION("""COMPUTED_VALUE"""),12.780092)</f>
        <v>12.780092</v>
      </c>
      <c r="E13401" s="4">
        <f>IFERROR(__xludf.DUMMYFUNCTION("""COMPUTED_VALUE"""),80.011699)</f>
        <v>80.011699</v>
      </c>
      <c r="F13401" s="4">
        <f>IFERROR(__xludf.DUMMYFUNCTION("""COMPUTED_VALUE"""),805.0)</f>
        <v>805</v>
      </c>
      <c r="G13401" s="4">
        <f>IFERROR(__xludf.DUMMYFUNCTION("""COMPUTED_VALUE"""),53.0)</f>
        <v>53</v>
      </c>
      <c r="H13401" s="4"/>
      <c r="I13401" s="4"/>
    </row>
    <row r="13402">
      <c r="A13402" s="4" t="str">
        <f>IFERROR(__xludf.DUMMYFUNCTION("""COMPUTED_VALUE"""),"cas_hmw")</f>
        <v>cas_hmw</v>
      </c>
      <c r="B13402" s="5">
        <f>IFERROR(__xludf.DUMMYFUNCTION("""COMPUTED_VALUE"""),44718.0)</f>
        <v>44718</v>
      </c>
      <c r="C13402" s="6">
        <f>IFERROR(__xludf.DUMMYFUNCTION("""COMPUTED_VALUE"""),0.781111111111386)</f>
        <v>0.7811111111</v>
      </c>
      <c r="D13402" s="4">
        <f>IFERROR(__xludf.DUMMYFUNCTION("""COMPUTED_VALUE"""),12.787503)</f>
        <v>12.787503</v>
      </c>
      <c r="E13402" s="4">
        <f>IFERROR(__xludf.DUMMYFUNCTION("""COMPUTED_VALUE"""),80.01541)</f>
        <v>80.01541</v>
      </c>
      <c r="F13402" s="4">
        <f>IFERROR(__xludf.DUMMYFUNCTION("""COMPUTED_VALUE"""),805.0)</f>
        <v>805</v>
      </c>
      <c r="G13402" s="4">
        <f>IFERROR(__xludf.DUMMYFUNCTION("""COMPUTED_VALUE"""),55.0)</f>
        <v>55</v>
      </c>
      <c r="H13402" s="4"/>
      <c r="I13402" s="4"/>
    </row>
    <row r="13403">
      <c r="A13403" s="4" t="str">
        <f>IFERROR(__xludf.DUMMYFUNCTION("""COMPUTED_VALUE"""),"cas_hmw")</f>
        <v>cas_hmw</v>
      </c>
      <c r="B13403" s="5">
        <f>IFERROR(__xludf.DUMMYFUNCTION("""COMPUTED_VALUE"""),44718.0)</f>
        <v>44718</v>
      </c>
      <c r="C13403" s="6">
        <f>IFERROR(__xludf.DUMMYFUNCTION("""COMPUTED_VALUE"""),0.7811689814807323)</f>
        <v>0.7811689815</v>
      </c>
      <c r="D13403" s="4">
        <f>IFERROR(__xludf.DUMMYFUNCTION("""COMPUTED_VALUE"""),12.787503)</f>
        <v>12.787503</v>
      </c>
      <c r="E13403" s="4">
        <f>IFERROR(__xludf.DUMMYFUNCTION("""COMPUTED_VALUE"""),80.01541)</f>
        <v>80.01541</v>
      </c>
      <c r="F13403" s="4">
        <f>IFERROR(__xludf.DUMMYFUNCTION("""COMPUTED_VALUE"""),805.0)</f>
        <v>805</v>
      </c>
      <c r="G13403" s="4">
        <f>IFERROR(__xludf.DUMMYFUNCTION("""COMPUTED_VALUE"""),55.0)</f>
        <v>55</v>
      </c>
      <c r="H13403" s="4"/>
      <c r="I13403" s="4"/>
    </row>
    <row r="13404">
      <c r="A13404" s="4" t="str">
        <f>IFERROR(__xludf.DUMMYFUNCTION("""COMPUTED_VALUE"""),"cas_hmw")</f>
        <v>cas_hmw</v>
      </c>
      <c r="B13404" s="5">
        <f>IFERROR(__xludf.DUMMYFUNCTION("""COMPUTED_VALUE"""),44718.0)</f>
        <v>44718</v>
      </c>
      <c r="C13404" s="6">
        <f>IFERROR(__xludf.DUMMYFUNCTION("""COMPUTED_VALUE"""),0.7812268518500787)</f>
        <v>0.7812268519</v>
      </c>
      <c r="D13404" s="4">
        <f>IFERROR(__xludf.DUMMYFUNCTION("""COMPUTED_VALUE"""),12.787503)</f>
        <v>12.787503</v>
      </c>
      <c r="E13404" s="4">
        <f>IFERROR(__xludf.DUMMYFUNCTION("""COMPUTED_VALUE"""),80.01541)</f>
        <v>80.01541</v>
      </c>
      <c r="F13404" s="4">
        <f>IFERROR(__xludf.DUMMYFUNCTION("""COMPUTED_VALUE"""),805.0)</f>
        <v>805</v>
      </c>
      <c r="G13404" s="4">
        <f>IFERROR(__xludf.DUMMYFUNCTION("""COMPUTED_VALUE"""),55.0)</f>
        <v>55</v>
      </c>
      <c r="H13404" s="4"/>
      <c r="I13404" s="4"/>
    </row>
    <row r="13405">
      <c r="A13405" s="4" t="str">
        <f>IFERROR(__xludf.DUMMYFUNCTION("""COMPUTED_VALUE"""),"cas_hmw")</f>
        <v>cas_hmw</v>
      </c>
      <c r="B13405" s="5">
        <f>IFERROR(__xludf.DUMMYFUNCTION("""COMPUTED_VALUE"""),44718.0)</f>
        <v>44718</v>
      </c>
      <c r="C13405" s="6">
        <f>IFERROR(__xludf.DUMMYFUNCTION("""COMPUTED_VALUE"""),0.7814004629617557)</f>
        <v>0.781400463</v>
      </c>
      <c r="D13405" s="4">
        <f>IFERROR(__xludf.DUMMYFUNCTION("""COMPUTED_VALUE"""),12.78941)</f>
        <v>12.78941</v>
      </c>
      <c r="E13405" s="4">
        <f>IFERROR(__xludf.DUMMYFUNCTION("""COMPUTED_VALUE"""),80.016519)</f>
        <v>80.016519</v>
      </c>
      <c r="F13405" s="4">
        <f>IFERROR(__xludf.DUMMYFUNCTION("""COMPUTED_VALUE"""),805.0)</f>
        <v>805</v>
      </c>
      <c r="G13405" s="4">
        <f>IFERROR(__xludf.DUMMYFUNCTION("""COMPUTED_VALUE"""),45.0)</f>
        <v>45</v>
      </c>
      <c r="H13405" s="4"/>
      <c r="I13405" s="4"/>
    </row>
    <row r="13406">
      <c r="A13406" s="4" t="str">
        <f>IFERROR(__xludf.DUMMYFUNCTION("""COMPUTED_VALUE"""),"cas_hmw")</f>
        <v>cas_hmw</v>
      </c>
      <c r="B13406" s="5">
        <f>IFERROR(__xludf.DUMMYFUNCTION("""COMPUTED_VALUE"""),44718.0)</f>
        <v>44718</v>
      </c>
      <c r="C13406" s="6">
        <f>IFERROR(__xludf.DUMMYFUNCTION("""COMPUTED_VALUE"""),0.7856018518505152)</f>
        <v>0.7856018519</v>
      </c>
      <c r="D13406" s="4">
        <f>IFERROR(__xludf.DUMMYFUNCTION("""COMPUTED_VALUE"""),12.8276)</f>
        <v>12.8276</v>
      </c>
      <c r="E13406" s="4">
        <f>IFERROR(__xludf.DUMMYFUNCTION("""COMPUTED_VALUE"""),80.042438)</f>
        <v>80.042438</v>
      </c>
      <c r="F13406" s="4">
        <f>IFERROR(__xludf.DUMMYFUNCTION("""COMPUTED_VALUE"""),805.0)</f>
        <v>805</v>
      </c>
      <c r="G13406" s="4">
        <f>IFERROR(__xludf.DUMMYFUNCTION("""COMPUTED_VALUE"""),59.0)</f>
        <v>59</v>
      </c>
      <c r="H13406" s="4"/>
      <c r="I13406" s="4"/>
    </row>
    <row r="13407">
      <c r="A13407" s="4" t="str">
        <f>IFERROR(__xludf.DUMMYFUNCTION("""COMPUTED_VALUE"""),"cas_hmw")</f>
        <v>cas_hmw</v>
      </c>
      <c r="B13407" s="5">
        <f>IFERROR(__xludf.DUMMYFUNCTION("""COMPUTED_VALUE"""),44718.0)</f>
        <v>44718</v>
      </c>
      <c r="C13407" s="6">
        <f>IFERROR(__xludf.DUMMYFUNCTION("""COMPUTED_VALUE"""),0.7862500000010186)</f>
        <v>0.78625</v>
      </c>
      <c r="D13407" s="4">
        <f>IFERROR(__xludf.DUMMYFUNCTION("""COMPUTED_VALUE"""),12.833985)</f>
        <v>12.833985</v>
      </c>
      <c r="E13407" s="4">
        <f>IFERROR(__xludf.DUMMYFUNCTION("""COMPUTED_VALUE"""),80.049209)</f>
        <v>80.049209</v>
      </c>
      <c r="F13407" s="4">
        <f>IFERROR(__xludf.DUMMYFUNCTION("""COMPUTED_VALUE"""),805.0)</f>
        <v>805</v>
      </c>
      <c r="G13407" s="4">
        <f>IFERROR(__xludf.DUMMYFUNCTION("""COMPUTED_VALUE"""),49.0)</f>
        <v>49</v>
      </c>
      <c r="H13407" s="4"/>
      <c r="I13407" s="4"/>
    </row>
    <row r="13408">
      <c r="A13408" s="4" t="str">
        <f>IFERROR(__xludf.DUMMYFUNCTION("""COMPUTED_VALUE"""),"cas_hmw")</f>
        <v>cas_hmw</v>
      </c>
      <c r="B13408" s="5">
        <f>IFERROR(__xludf.DUMMYFUNCTION("""COMPUTED_VALUE"""),44718.0)</f>
        <v>44718</v>
      </c>
      <c r="C13408" s="6">
        <f>IFERROR(__xludf.DUMMYFUNCTION("""COMPUTED_VALUE"""),0.7863194444435067)</f>
        <v>0.7863194444</v>
      </c>
      <c r="D13408" s="4">
        <f>IFERROR(__xludf.DUMMYFUNCTION("""COMPUTED_VALUE"""),12.835135)</f>
        <v>12.835135</v>
      </c>
      <c r="E13408" s="4">
        <f>IFERROR(__xludf.DUMMYFUNCTION("""COMPUTED_VALUE"""),80.050422)</f>
        <v>80.050422</v>
      </c>
      <c r="F13408" s="4">
        <f>IFERROR(__xludf.DUMMYFUNCTION("""COMPUTED_VALUE"""),805.0)</f>
        <v>805</v>
      </c>
      <c r="G13408" s="4">
        <f>IFERROR(__xludf.DUMMYFUNCTION("""COMPUTED_VALUE"""),48.0)</f>
        <v>48</v>
      </c>
      <c r="H13408" s="4"/>
      <c r="I13408" s="4"/>
    </row>
    <row r="13409">
      <c r="A13409" s="4" t="str">
        <f>IFERROR(__xludf.DUMMYFUNCTION("""COMPUTED_VALUE"""),"cas_hmw")</f>
        <v>cas_hmw</v>
      </c>
      <c r="B13409" s="5">
        <f>IFERROR(__xludf.DUMMYFUNCTION("""COMPUTED_VALUE"""),44718.0)</f>
        <v>44718</v>
      </c>
      <c r="C13409" s="6">
        <f>IFERROR(__xludf.DUMMYFUNCTION("""COMPUTED_VALUE"""),0.786446759258979)</f>
        <v>0.7864467593</v>
      </c>
      <c r="D13409" s="4">
        <f>IFERROR(__xludf.DUMMYFUNCTION("""COMPUTED_VALUE"""),12.835135)</f>
        <v>12.835135</v>
      </c>
      <c r="E13409" s="4">
        <f>IFERROR(__xludf.DUMMYFUNCTION("""COMPUTED_VALUE"""),80.050422)</f>
        <v>80.050422</v>
      </c>
      <c r="F13409" s="4">
        <f>IFERROR(__xludf.DUMMYFUNCTION("""COMPUTED_VALUE"""),805.0)</f>
        <v>805</v>
      </c>
      <c r="G13409" s="4">
        <f>IFERROR(__xludf.DUMMYFUNCTION("""COMPUTED_VALUE"""),48.0)</f>
        <v>48</v>
      </c>
      <c r="H13409" s="4"/>
      <c r="I13409" s="4"/>
    </row>
    <row r="13410">
      <c r="A13410" s="4" t="str">
        <f>IFERROR(__xludf.DUMMYFUNCTION("""COMPUTED_VALUE"""),"cas_hmw")</f>
        <v>cas_hmw</v>
      </c>
      <c r="B13410" s="5">
        <f>IFERROR(__xludf.DUMMYFUNCTION("""COMPUTED_VALUE"""),44718.0)</f>
        <v>44718</v>
      </c>
      <c r="C13410" s="6">
        <f>IFERROR(__xludf.DUMMYFUNCTION("""COMPUTED_VALUE"""),0.7892939814810234)</f>
        <v>0.7892939815</v>
      </c>
      <c r="D13410" s="4">
        <f>IFERROR(__xludf.DUMMYFUNCTION("""COMPUTED_VALUE"""),12.843751)</f>
        <v>12.843751</v>
      </c>
      <c r="E13410" s="4">
        <f>IFERROR(__xludf.DUMMYFUNCTION("""COMPUTED_VALUE"""),80.059367)</f>
        <v>80.059367</v>
      </c>
      <c r="F13410" s="4">
        <f>IFERROR(__xludf.DUMMYFUNCTION("""COMPUTED_VALUE"""),805.0)</f>
        <v>805</v>
      </c>
      <c r="G13410" s="4">
        <f>IFERROR(__xludf.DUMMYFUNCTION("""COMPUTED_VALUE"""),0.0)</f>
        <v>0</v>
      </c>
      <c r="H13410" s="4"/>
      <c r="I13410" s="4"/>
    </row>
    <row r="13411">
      <c r="A13411" s="4" t="str">
        <f>IFERROR(__xludf.DUMMYFUNCTION("""COMPUTED_VALUE"""),"cas_hmw")</f>
        <v>cas_hmw</v>
      </c>
      <c r="B13411" s="5">
        <f>IFERROR(__xludf.DUMMYFUNCTION("""COMPUTED_VALUE"""),44718.0)</f>
        <v>44718</v>
      </c>
      <c r="C13411" s="6">
        <f>IFERROR(__xludf.DUMMYFUNCTION("""COMPUTED_VALUE"""),0.7908449074056989)</f>
        <v>0.7908449074</v>
      </c>
      <c r="D13411" s="4">
        <f>IFERROR(__xludf.DUMMYFUNCTION("""COMPUTED_VALUE"""),12.84766)</f>
        <v>12.84766</v>
      </c>
      <c r="E13411" s="4">
        <f>IFERROR(__xludf.DUMMYFUNCTION("""COMPUTED_VALUE"""),80.063003)</f>
        <v>80.063003</v>
      </c>
      <c r="F13411" s="4">
        <f>IFERROR(__xludf.DUMMYFUNCTION("""COMPUTED_VALUE"""),805.0)</f>
        <v>805</v>
      </c>
      <c r="G13411" s="4">
        <f>IFERROR(__xludf.DUMMYFUNCTION("""COMPUTED_VALUE"""),0.0)</f>
        <v>0</v>
      </c>
      <c r="H13411" s="4"/>
      <c r="I13411" s="4"/>
    </row>
    <row r="13412">
      <c r="A13412" s="4" t="str">
        <f>IFERROR(__xludf.DUMMYFUNCTION("""COMPUTED_VALUE"""),"cas_hmw")</f>
        <v>cas_hmw</v>
      </c>
      <c r="B13412" s="5">
        <f>IFERROR(__xludf.DUMMYFUNCTION("""COMPUTED_VALUE"""),44718.0)</f>
        <v>44718</v>
      </c>
      <c r="C13412" s="6">
        <f>IFERROR(__xludf.DUMMYFUNCTION("""COMPUTED_VALUE"""),0.791643518517958)</f>
        <v>0.7916435185</v>
      </c>
      <c r="D13412" s="4">
        <f>IFERROR(__xludf.DUMMYFUNCTION("""COMPUTED_VALUE"""),12.85202)</f>
        <v>12.85202</v>
      </c>
      <c r="E13412" s="4">
        <f>IFERROR(__xludf.DUMMYFUNCTION("""COMPUTED_VALUE"""),80.066149)</f>
        <v>80.066149</v>
      </c>
      <c r="F13412" s="4">
        <f>IFERROR(__xludf.DUMMYFUNCTION("""COMPUTED_VALUE"""),805.0)</f>
        <v>805</v>
      </c>
      <c r="G13412" s="4">
        <f>IFERROR(__xludf.DUMMYFUNCTION("""COMPUTED_VALUE"""),29.0)</f>
        <v>29</v>
      </c>
      <c r="H13412" s="4"/>
      <c r="I13412" s="4"/>
    </row>
    <row r="13413">
      <c r="A13413" s="4" t="str">
        <f>IFERROR(__xludf.DUMMYFUNCTION("""COMPUTED_VALUE"""),"cas_hmw")</f>
        <v>cas_hmw</v>
      </c>
      <c r="B13413" s="5">
        <f>IFERROR(__xludf.DUMMYFUNCTION("""COMPUTED_VALUE"""),44718.0)</f>
        <v>44718</v>
      </c>
      <c r="C13413" s="6">
        <f>IFERROR(__xludf.DUMMYFUNCTION("""COMPUTED_VALUE"""),0.7934606481467199)</f>
        <v>0.7934606481</v>
      </c>
      <c r="D13413" s="4">
        <f>IFERROR(__xludf.DUMMYFUNCTION("""COMPUTED_VALUE"""),12.861328)</f>
        <v>12.861328</v>
      </c>
      <c r="E13413" s="4">
        <f>IFERROR(__xludf.DUMMYFUNCTION("""COMPUTED_VALUE"""),80.072978)</f>
        <v>80.072978</v>
      </c>
      <c r="F13413" s="4">
        <f>IFERROR(__xludf.DUMMYFUNCTION("""COMPUTED_VALUE"""),805.0)</f>
        <v>805</v>
      </c>
      <c r="G13413" s="4">
        <f>IFERROR(__xludf.DUMMYFUNCTION("""COMPUTED_VALUE"""),50.0)</f>
        <v>50</v>
      </c>
      <c r="H13413" s="4"/>
      <c r="I13413" s="4"/>
    </row>
    <row r="13414">
      <c r="A13414" s="4" t="str">
        <f>IFERROR(__xludf.DUMMYFUNCTION("""COMPUTED_VALUE"""),"cas_hmw")</f>
        <v>cas_hmw</v>
      </c>
      <c r="B13414" s="5">
        <f>IFERROR(__xludf.DUMMYFUNCTION("""COMPUTED_VALUE"""),44718.0)</f>
        <v>44718</v>
      </c>
      <c r="C13414" s="6">
        <f>IFERROR(__xludf.DUMMYFUNCTION("""COMPUTED_VALUE"""),0.7935069444429246)</f>
        <v>0.7935069444</v>
      </c>
      <c r="D13414" s="4">
        <f>IFERROR(__xludf.DUMMYFUNCTION("""COMPUTED_VALUE"""),12.861328)</f>
        <v>12.861328</v>
      </c>
      <c r="E13414" s="4">
        <f>IFERROR(__xludf.DUMMYFUNCTION("""COMPUTED_VALUE"""),80.072978)</f>
        <v>80.072978</v>
      </c>
      <c r="F13414" s="4">
        <f>IFERROR(__xludf.DUMMYFUNCTION("""COMPUTED_VALUE"""),805.0)</f>
        <v>805</v>
      </c>
      <c r="G13414" s="4">
        <f>IFERROR(__xludf.DUMMYFUNCTION("""COMPUTED_VALUE"""),50.0)</f>
        <v>50</v>
      </c>
      <c r="H13414" s="4"/>
      <c r="I13414" s="4"/>
    </row>
    <row r="13415">
      <c r="A13415" s="4" t="str">
        <f>IFERROR(__xludf.DUMMYFUNCTION("""COMPUTED_VALUE"""),"cas_hmw")</f>
        <v>cas_hmw</v>
      </c>
      <c r="B13415" s="5">
        <f>IFERROR(__xludf.DUMMYFUNCTION("""COMPUTED_VALUE"""),44718.0)</f>
        <v>44718</v>
      </c>
      <c r="C13415" s="6">
        <f>IFERROR(__xludf.DUMMYFUNCTION("""COMPUTED_VALUE"""),0.7935648148159089)</f>
        <v>0.7935648148</v>
      </c>
      <c r="D13415" s="4">
        <f>IFERROR(__xludf.DUMMYFUNCTION("""COMPUTED_VALUE"""),12.861328)</f>
        <v>12.861328</v>
      </c>
      <c r="E13415" s="4">
        <f>IFERROR(__xludf.DUMMYFUNCTION("""COMPUTED_VALUE"""),80.072978)</f>
        <v>80.072978</v>
      </c>
      <c r="F13415" s="4">
        <f>IFERROR(__xludf.DUMMYFUNCTION("""COMPUTED_VALUE"""),805.0)</f>
        <v>805</v>
      </c>
      <c r="G13415" s="4">
        <f>IFERROR(__xludf.DUMMYFUNCTION("""COMPUTED_VALUE"""),50.0)</f>
        <v>50</v>
      </c>
      <c r="H13415" s="4"/>
      <c r="I13415" s="4"/>
    </row>
    <row r="13416">
      <c r="A13416" s="4" t="str">
        <f>IFERROR(__xludf.DUMMYFUNCTION("""COMPUTED_VALUE"""),"cas_hmw")</f>
        <v>cas_hmw</v>
      </c>
      <c r="B13416" s="5">
        <f>IFERROR(__xludf.DUMMYFUNCTION("""COMPUTED_VALUE"""),44719.0)</f>
        <v>44719</v>
      </c>
      <c r="C13416" s="6">
        <f>IFERROR(__xludf.DUMMYFUNCTION("""COMPUTED_VALUE"""),0.24810185185197042)</f>
        <v>0.2481018519</v>
      </c>
      <c r="D13416" s="4">
        <f>IFERROR(__xludf.DUMMYFUNCTION("""COMPUTED_VALUE"""),12.87884)</f>
        <v>12.87884</v>
      </c>
      <c r="E13416" s="4">
        <f>IFERROR(__xludf.DUMMYFUNCTION("""COMPUTED_VALUE"""),80.080917)</f>
        <v>80.080917</v>
      </c>
      <c r="F13416" s="4">
        <f>IFERROR(__xludf.DUMMYFUNCTION("""COMPUTED_VALUE"""),805.0)</f>
        <v>805</v>
      </c>
      <c r="G13416" s="4">
        <f>IFERROR(__xludf.DUMMYFUNCTION("""COMPUTED_VALUE"""),37.0)</f>
        <v>37</v>
      </c>
      <c r="H13416" s="4"/>
      <c r="I13416" s="4"/>
    </row>
    <row r="13417">
      <c r="A13417" s="4" t="str">
        <f>IFERROR(__xludf.DUMMYFUNCTION("""COMPUTED_VALUE"""),"cas_hmw")</f>
        <v>cas_hmw</v>
      </c>
      <c r="B13417" s="5">
        <f>IFERROR(__xludf.DUMMYFUNCTION("""COMPUTED_VALUE"""),44719.0)</f>
        <v>44719</v>
      </c>
      <c r="C13417" s="6">
        <f>IFERROR(__xludf.DUMMYFUNCTION("""COMPUTED_VALUE"""),0.25114583333197515)</f>
        <v>0.2511458333</v>
      </c>
      <c r="D13417" s="4">
        <f>IFERROR(__xludf.DUMMYFUNCTION("""COMPUTED_VALUE"""),12.848216)</f>
        <v>12.848216</v>
      </c>
      <c r="E13417" s="4">
        <f>IFERROR(__xludf.DUMMYFUNCTION("""COMPUTED_VALUE"""),80.063558)</f>
        <v>80.063558</v>
      </c>
      <c r="F13417" s="4">
        <f>IFERROR(__xludf.DUMMYFUNCTION("""COMPUTED_VALUE"""),805.0)</f>
        <v>805</v>
      </c>
      <c r="G13417" s="4">
        <f>IFERROR(__xludf.DUMMYFUNCTION("""COMPUTED_VALUE"""),51.0)</f>
        <v>51</v>
      </c>
      <c r="H13417" s="4"/>
      <c r="I13417" s="4"/>
    </row>
    <row r="13418">
      <c r="A13418" s="4" t="str">
        <f>IFERROR(__xludf.DUMMYFUNCTION("""COMPUTED_VALUE"""),"cas_hmw")</f>
        <v>cas_hmw</v>
      </c>
      <c r="B13418" s="5">
        <f>IFERROR(__xludf.DUMMYFUNCTION("""COMPUTED_VALUE"""),44719.0)</f>
        <v>44719</v>
      </c>
      <c r="C13418" s="6">
        <f>IFERROR(__xludf.DUMMYFUNCTION("""COMPUTED_VALUE"""),0.2520023148135806)</f>
        <v>0.2520023148</v>
      </c>
      <c r="D13418" s="4">
        <f>IFERROR(__xludf.DUMMYFUNCTION("""COMPUTED_VALUE"""),12.841349)</f>
        <v>12.841349</v>
      </c>
      <c r="E13418" s="4">
        <f>IFERROR(__xludf.DUMMYFUNCTION("""COMPUTED_VALUE"""),80.057114)</f>
        <v>80.057114</v>
      </c>
      <c r="F13418" s="4">
        <f>IFERROR(__xludf.DUMMYFUNCTION("""COMPUTED_VALUE"""),805.0)</f>
        <v>805</v>
      </c>
      <c r="G13418" s="4">
        <f>IFERROR(__xludf.DUMMYFUNCTION("""COMPUTED_VALUE"""),49.0)</f>
        <v>49</v>
      </c>
      <c r="H13418" s="4"/>
      <c r="I13418" s="4"/>
    </row>
    <row r="13419">
      <c r="A13419" s="4" t="str">
        <f>IFERROR(__xludf.DUMMYFUNCTION("""COMPUTED_VALUE"""),"cas_hmw")</f>
        <v>cas_hmw</v>
      </c>
      <c r="B13419" s="5">
        <f>IFERROR(__xludf.DUMMYFUNCTION("""COMPUTED_VALUE"""),44719.0)</f>
        <v>44719</v>
      </c>
      <c r="C13419" s="6">
        <f>IFERROR(__xludf.DUMMYFUNCTION("""COMPUTED_VALUE"""),0.2559259259251121)</f>
        <v>0.2559259259</v>
      </c>
      <c r="D13419" s="4">
        <f>IFERROR(__xludf.DUMMYFUNCTION("""COMPUTED_VALUE"""),12.803837)</f>
        <v>12.803837</v>
      </c>
      <c r="E13419" s="4">
        <f>IFERROR(__xludf.DUMMYFUNCTION("""COMPUTED_VALUE"""),80.026002)</f>
        <v>80.026002</v>
      </c>
      <c r="F13419" s="4">
        <f>IFERROR(__xludf.DUMMYFUNCTION("""COMPUTED_VALUE"""),805.0)</f>
        <v>805</v>
      </c>
      <c r="G13419" s="4">
        <f>IFERROR(__xludf.DUMMYFUNCTION("""COMPUTED_VALUE"""),58.0)</f>
        <v>58</v>
      </c>
      <c r="H13419" s="4"/>
      <c r="I13419" s="4"/>
    </row>
    <row r="13420">
      <c r="A13420" s="4" t="str">
        <f>IFERROR(__xludf.DUMMYFUNCTION("""COMPUTED_VALUE"""),"cas_hmw")</f>
        <v>cas_hmw</v>
      </c>
      <c r="B13420" s="5">
        <f>IFERROR(__xludf.DUMMYFUNCTION("""COMPUTED_VALUE"""),44719.0)</f>
        <v>44719</v>
      </c>
      <c r="C13420" s="6">
        <f>IFERROR(__xludf.DUMMYFUNCTION("""COMPUTED_VALUE"""),0.2578125)</f>
        <v>0.2578125</v>
      </c>
      <c r="D13420" s="4">
        <f>IFERROR(__xludf.DUMMYFUNCTION("""COMPUTED_VALUE"""),12.786192)</f>
        <v>12.786192</v>
      </c>
      <c r="E13420" s="4">
        <f>IFERROR(__xludf.DUMMYFUNCTION("""COMPUTED_VALUE"""),80.014734)</f>
        <v>80.014734</v>
      </c>
      <c r="F13420" s="4">
        <f>IFERROR(__xludf.DUMMYFUNCTION("""COMPUTED_VALUE"""),805.0)</f>
        <v>805</v>
      </c>
      <c r="G13420" s="4">
        <f>IFERROR(__xludf.DUMMYFUNCTION("""COMPUTED_VALUE"""),32.0)</f>
        <v>32</v>
      </c>
      <c r="H13420" s="4"/>
      <c r="I13420" s="4"/>
    </row>
    <row r="13421">
      <c r="A13421" s="4" t="str">
        <f>IFERROR(__xludf.DUMMYFUNCTION("""COMPUTED_VALUE"""),"cas_hmw")</f>
        <v>cas_hmw</v>
      </c>
      <c r="B13421" s="5">
        <f>IFERROR(__xludf.DUMMYFUNCTION("""COMPUTED_VALUE"""),44719.0)</f>
        <v>44719</v>
      </c>
      <c r="C13421" s="6">
        <f>IFERROR(__xludf.DUMMYFUNCTION("""COMPUTED_VALUE"""),0.2724537037029222)</f>
        <v>0.2724537037</v>
      </c>
      <c r="D13421" s="4">
        <f>IFERROR(__xludf.DUMMYFUNCTION("""COMPUTED_VALUE"""),12.656705)</f>
        <v>12.656705</v>
      </c>
      <c r="E13421" s="4">
        <f>IFERROR(__xludf.DUMMYFUNCTION("""COMPUTED_VALUE"""),79.942103)</f>
        <v>79.942103</v>
      </c>
      <c r="F13421" s="4">
        <f>IFERROR(__xludf.DUMMYFUNCTION("""COMPUTED_VALUE"""),805.0)</f>
        <v>805</v>
      </c>
      <c r="G13421" s="4">
        <f>IFERROR(__xludf.DUMMYFUNCTION("""COMPUTED_VALUE"""),42.0)</f>
        <v>42</v>
      </c>
      <c r="H13421" s="4"/>
      <c r="I13421" s="4"/>
    </row>
    <row r="13422">
      <c r="A13422" s="4" t="str">
        <f>IFERROR(__xludf.DUMMYFUNCTION("""COMPUTED_VALUE"""),"cas_hmw")</f>
        <v>cas_hmw</v>
      </c>
      <c r="B13422" s="5">
        <f>IFERROR(__xludf.DUMMYFUNCTION("""COMPUTED_VALUE"""),44719.0)</f>
        <v>44719</v>
      </c>
      <c r="C13422" s="6">
        <f>IFERROR(__xludf.DUMMYFUNCTION("""COMPUTED_VALUE"""),0.2904166666667152)</f>
        <v>0.2904166667</v>
      </c>
      <c r="D13422" s="4">
        <f>IFERROR(__xludf.DUMMYFUNCTION("""COMPUTED_VALUE"""),12.506543)</f>
        <v>12.506543</v>
      </c>
      <c r="E13422" s="4">
        <f>IFERROR(__xludf.DUMMYFUNCTION("""COMPUTED_VALUE"""),79.880626)</f>
        <v>79.880626</v>
      </c>
      <c r="F13422" s="4">
        <f>IFERROR(__xludf.DUMMYFUNCTION("""COMPUTED_VALUE"""),805.0)</f>
        <v>805</v>
      </c>
      <c r="G13422" s="4">
        <f>IFERROR(__xludf.DUMMYFUNCTION("""COMPUTED_VALUE"""),4.0)</f>
        <v>4</v>
      </c>
      <c r="H13422" s="4"/>
      <c r="I13422" s="4"/>
    </row>
    <row r="13423">
      <c r="A13423" s="4" t="str">
        <f>IFERROR(__xludf.DUMMYFUNCTION("""COMPUTED_VALUE"""),"cas_hmw")</f>
        <v>cas_hmw</v>
      </c>
      <c r="B13423" s="5">
        <f>IFERROR(__xludf.DUMMYFUNCTION("""COMPUTED_VALUE"""),44719.0)</f>
        <v>44719</v>
      </c>
      <c r="C13423" s="6">
        <f>IFERROR(__xludf.DUMMYFUNCTION("""COMPUTED_VALUE"""),0.2930324074077362)</f>
        <v>0.2930324074</v>
      </c>
      <c r="D13423" s="4">
        <f>IFERROR(__xludf.DUMMYFUNCTION("""COMPUTED_VALUE"""),13.061799)</f>
        <v>13.061799</v>
      </c>
      <c r="E13423" s="4">
        <f>IFERROR(__xludf.DUMMYFUNCTION("""COMPUTED_VALUE"""),80.246379)</f>
        <v>80.246379</v>
      </c>
      <c r="F13423" s="4">
        <f>IFERROR(__xludf.DUMMYFUNCTION("""COMPUTED_VALUE"""),2846.0)</f>
        <v>2846</v>
      </c>
      <c r="G13423" s="4">
        <f>IFERROR(__xludf.DUMMYFUNCTION("""COMPUTED_VALUE"""),25.0)</f>
        <v>25</v>
      </c>
      <c r="H13423" s="4"/>
      <c r="I13423" s="4"/>
    </row>
    <row r="13424">
      <c r="A13424" s="4" t="str">
        <f>IFERROR(__xludf.DUMMYFUNCTION("""COMPUTED_VALUE"""),"cas_hmw")</f>
        <v>cas_hmw</v>
      </c>
      <c r="B13424" s="5">
        <f>IFERROR(__xludf.DUMMYFUNCTION("""COMPUTED_VALUE"""),44719.0)</f>
        <v>44719</v>
      </c>
      <c r="C13424" s="6">
        <f>IFERROR(__xludf.DUMMYFUNCTION("""COMPUTED_VALUE"""),0.30761574074131204)</f>
        <v>0.3076157407</v>
      </c>
      <c r="D13424" s="4">
        <f>IFERROR(__xludf.DUMMYFUNCTION("""COMPUTED_VALUE"""),12.639561)</f>
        <v>12.639561</v>
      </c>
      <c r="E13424" s="4">
        <f>IFERROR(__xludf.DUMMYFUNCTION("""COMPUTED_VALUE"""),79.936013)</f>
        <v>79.936013</v>
      </c>
      <c r="F13424" s="4">
        <f>IFERROR(__xludf.DUMMYFUNCTION("""COMPUTED_VALUE"""),805.0)</f>
        <v>805</v>
      </c>
      <c r="G13424" s="4">
        <f>IFERROR(__xludf.DUMMYFUNCTION("""COMPUTED_VALUE"""),55.0)</f>
        <v>55</v>
      </c>
      <c r="H13424" s="4"/>
      <c r="I13424" s="4"/>
    </row>
    <row r="13425">
      <c r="A13425" s="4" t="str">
        <f>IFERROR(__xludf.DUMMYFUNCTION("""COMPUTED_VALUE"""),"cas_hmw")</f>
        <v>cas_hmw</v>
      </c>
      <c r="B13425" s="5">
        <f>IFERROR(__xludf.DUMMYFUNCTION("""COMPUTED_VALUE"""),44719.0)</f>
        <v>44719</v>
      </c>
      <c r="C13425" s="6">
        <f>IFERROR(__xludf.DUMMYFUNCTION("""COMPUTED_VALUE"""),0.31186342592627625)</f>
        <v>0.3118634259</v>
      </c>
      <c r="D13425" s="4">
        <f>IFERROR(__xludf.DUMMYFUNCTION("""COMPUTED_VALUE"""),13.054654)</f>
        <v>13.054654</v>
      </c>
      <c r="E13425" s="4">
        <f>IFERROR(__xludf.DUMMYFUNCTION("""COMPUTED_VALUE"""),80.254301)</f>
        <v>80.254301</v>
      </c>
      <c r="F13425" s="4">
        <f>IFERROR(__xludf.DUMMYFUNCTION("""COMPUTED_VALUE"""),2846.0)</f>
        <v>2846</v>
      </c>
      <c r="G13425" s="4">
        <f>IFERROR(__xludf.DUMMYFUNCTION("""COMPUTED_VALUE"""),24.0)</f>
        <v>24</v>
      </c>
      <c r="H13425" s="4"/>
      <c r="I13425" s="4"/>
    </row>
    <row r="13426">
      <c r="A13426" s="4" t="str">
        <f>IFERROR(__xludf.DUMMYFUNCTION("""COMPUTED_VALUE"""),"cas_hmw")</f>
        <v>cas_hmw</v>
      </c>
      <c r="B13426" s="5">
        <f>IFERROR(__xludf.DUMMYFUNCTION("""COMPUTED_VALUE"""),44719.0)</f>
        <v>44719</v>
      </c>
      <c r="C13426" s="6">
        <f>IFERROR(__xludf.DUMMYFUNCTION("""COMPUTED_VALUE"""),0.3157754629646661)</f>
        <v>0.315775463</v>
      </c>
      <c r="D13426" s="4">
        <f>IFERROR(__xludf.DUMMYFUNCTION("""COMPUTED_VALUE"""),13.042306)</f>
        <v>13.042306</v>
      </c>
      <c r="E13426" s="4">
        <f>IFERROR(__xludf.DUMMYFUNCTION("""COMPUTED_VALUE"""),80.24757)</f>
        <v>80.24757</v>
      </c>
      <c r="F13426" s="4">
        <f>IFERROR(__xludf.DUMMYFUNCTION("""COMPUTED_VALUE"""),2846.0)</f>
        <v>2846</v>
      </c>
      <c r="G13426" s="4">
        <f>IFERROR(__xludf.DUMMYFUNCTION("""COMPUTED_VALUE"""),29.0)</f>
        <v>29</v>
      </c>
      <c r="H13426" s="4"/>
      <c r="I13426" s="4"/>
    </row>
    <row r="13427">
      <c r="A13427" s="4" t="str">
        <f>IFERROR(__xludf.DUMMYFUNCTION("""COMPUTED_VALUE"""),"cas_hmw")</f>
        <v>cas_hmw</v>
      </c>
      <c r="B13427" s="5">
        <f>IFERROR(__xludf.DUMMYFUNCTION("""COMPUTED_VALUE"""),44719.0)</f>
        <v>44719</v>
      </c>
      <c r="C13427" s="6">
        <f>IFERROR(__xludf.DUMMYFUNCTION("""COMPUTED_VALUE"""),0.31611111111124046)</f>
        <v>0.3161111111</v>
      </c>
      <c r="D13427" s="4">
        <f>IFERROR(__xludf.DUMMYFUNCTION("""COMPUTED_VALUE"""),13.040741)</f>
        <v>13.040741</v>
      </c>
      <c r="E13427" s="4">
        <f>IFERROR(__xludf.DUMMYFUNCTION("""COMPUTED_VALUE"""),80.247276)</f>
        <v>80.247276</v>
      </c>
      <c r="F13427" s="4">
        <f>IFERROR(__xludf.DUMMYFUNCTION("""COMPUTED_VALUE"""),2846.0)</f>
        <v>2846</v>
      </c>
      <c r="G13427" s="4">
        <f>IFERROR(__xludf.DUMMYFUNCTION("""COMPUTED_VALUE"""),35.0)</f>
        <v>35</v>
      </c>
      <c r="H13427" s="4"/>
      <c r="I13427" s="4"/>
    </row>
    <row r="13428">
      <c r="A13428" s="4" t="str">
        <f>IFERROR(__xludf.DUMMYFUNCTION("""COMPUTED_VALUE"""),"cas_hmw")</f>
        <v>cas_hmw</v>
      </c>
      <c r="B13428" s="5">
        <f>IFERROR(__xludf.DUMMYFUNCTION("""COMPUTED_VALUE"""),44719.0)</f>
        <v>44719</v>
      </c>
      <c r="C13428" s="6">
        <f>IFERROR(__xludf.DUMMYFUNCTION("""COMPUTED_VALUE"""),0.3167939814811689)</f>
        <v>0.3167939815</v>
      </c>
      <c r="D13428" s="4">
        <f>IFERROR(__xludf.DUMMYFUNCTION("""COMPUTED_VALUE"""),12.683641)</f>
        <v>12.683641</v>
      </c>
      <c r="E13428" s="4">
        <f>IFERROR(__xludf.DUMMYFUNCTION("""COMPUTED_VALUE"""),79.983086)</f>
        <v>79.983086</v>
      </c>
      <c r="F13428" s="4">
        <f>IFERROR(__xludf.DUMMYFUNCTION("""COMPUTED_VALUE"""),805.0)</f>
        <v>805</v>
      </c>
      <c r="G13428" s="4">
        <f>IFERROR(__xludf.DUMMYFUNCTION("""COMPUTED_VALUE"""),0.0)</f>
        <v>0</v>
      </c>
      <c r="H13428" s="4"/>
      <c r="I13428" s="4"/>
    </row>
    <row r="13429">
      <c r="A13429" s="4" t="str">
        <f>IFERROR(__xludf.DUMMYFUNCTION("""COMPUTED_VALUE"""),"cas_hmw")</f>
        <v>cas_hmw</v>
      </c>
      <c r="B13429" s="5">
        <f>IFERROR(__xludf.DUMMYFUNCTION("""COMPUTED_VALUE"""),44719.0)</f>
        <v>44719</v>
      </c>
      <c r="C13429" s="6">
        <f>IFERROR(__xludf.DUMMYFUNCTION("""COMPUTED_VALUE"""),0.31684027777737356)</f>
        <v>0.3168402778</v>
      </c>
      <c r="D13429" s="4">
        <f>IFERROR(__xludf.DUMMYFUNCTION("""COMPUTED_VALUE"""),12.683641)</f>
        <v>12.683641</v>
      </c>
      <c r="E13429" s="4">
        <f>IFERROR(__xludf.DUMMYFUNCTION("""COMPUTED_VALUE"""),79.983086)</f>
        <v>79.983086</v>
      </c>
      <c r="F13429" s="4">
        <f>IFERROR(__xludf.DUMMYFUNCTION("""COMPUTED_VALUE"""),805.0)</f>
        <v>805</v>
      </c>
      <c r="G13429" s="4">
        <f>IFERROR(__xludf.DUMMYFUNCTION("""COMPUTED_VALUE"""),0.0)</f>
        <v>0</v>
      </c>
      <c r="H13429" s="4"/>
      <c r="I13429" s="4"/>
    </row>
    <row r="13430">
      <c r="A13430" s="4" t="str">
        <f>IFERROR(__xludf.DUMMYFUNCTION("""COMPUTED_VALUE"""),"cas_hmw")</f>
        <v>cas_hmw</v>
      </c>
      <c r="B13430" s="5">
        <f>IFERROR(__xludf.DUMMYFUNCTION("""COMPUTED_VALUE"""),44719.0)</f>
        <v>44719</v>
      </c>
      <c r="C13430" s="6">
        <f>IFERROR(__xludf.DUMMYFUNCTION("""COMPUTED_VALUE"""),0.31685185185051523)</f>
        <v>0.3168518519</v>
      </c>
      <c r="D13430" s="4">
        <f>IFERROR(__xludf.DUMMYFUNCTION("""COMPUTED_VALUE"""),12.683656)</f>
        <v>12.683656</v>
      </c>
      <c r="E13430" s="4">
        <f>IFERROR(__xludf.DUMMYFUNCTION("""COMPUTED_VALUE"""),79.98312)</f>
        <v>79.98312</v>
      </c>
      <c r="F13430" s="4">
        <f>IFERROR(__xludf.DUMMYFUNCTION("""COMPUTED_VALUE"""),805.0)</f>
        <v>805</v>
      </c>
      <c r="G13430" s="4">
        <f>IFERROR(__xludf.DUMMYFUNCTION("""COMPUTED_VALUE"""),4.0)</f>
        <v>4</v>
      </c>
      <c r="H13430" s="4"/>
      <c r="I13430" s="4"/>
    </row>
    <row r="13431">
      <c r="A13431" s="4" t="str">
        <f>IFERROR(__xludf.DUMMYFUNCTION("""COMPUTED_VALUE"""),"cas_hmw")</f>
        <v>cas_hmw</v>
      </c>
      <c r="B13431" s="5">
        <f>IFERROR(__xludf.DUMMYFUNCTION("""COMPUTED_VALUE"""),44719.0)</f>
        <v>44719</v>
      </c>
      <c r="C13431" s="6">
        <f>IFERROR(__xludf.DUMMYFUNCTION("""COMPUTED_VALUE"""),0.3171412037045229)</f>
        <v>0.3171412037</v>
      </c>
      <c r="D13431" s="4">
        <f>IFERROR(__xludf.DUMMYFUNCTION("""COMPUTED_VALUE"""),13.035623)</f>
        <v>13.035623</v>
      </c>
      <c r="E13431" s="4">
        <f>IFERROR(__xludf.DUMMYFUNCTION("""COMPUTED_VALUE"""),80.246159)</f>
        <v>80.246159</v>
      </c>
      <c r="F13431" s="4">
        <f>IFERROR(__xludf.DUMMYFUNCTION("""COMPUTED_VALUE"""),2846.0)</f>
        <v>2846</v>
      </c>
      <c r="G13431" s="4">
        <f>IFERROR(__xludf.DUMMYFUNCTION("""COMPUTED_VALUE"""),21.0)</f>
        <v>21</v>
      </c>
      <c r="H13431" s="4"/>
      <c r="I13431" s="4"/>
    </row>
    <row r="13432">
      <c r="A13432" s="4" t="str">
        <f>IFERROR(__xludf.DUMMYFUNCTION("""COMPUTED_VALUE"""),"cas_hmw")</f>
        <v>cas_hmw</v>
      </c>
      <c r="B13432" s="5">
        <f>IFERROR(__xludf.DUMMYFUNCTION("""COMPUTED_VALUE"""),44719.0)</f>
        <v>44719</v>
      </c>
      <c r="C13432" s="6">
        <f>IFERROR(__xludf.DUMMYFUNCTION("""COMPUTED_VALUE"""),0.31728009259313694)</f>
        <v>0.3172800926</v>
      </c>
      <c r="D13432" s="4">
        <f>IFERROR(__xludf.DUMMYFUNCTION("""COMPUTED_VALUE"""),13.035102)</f>
        <v>13.035102</v>
      </c>
      <c r="E13432" s="4">
        <f>IFERROR(__xludf.DUMMYFUNCTION("""COMPUTED_VALUE"""),80.246008)</f>
        <v>80.246008</v>
      </c>
      <c r="F13432" s="4">
        <f>IFERROR(__xludf.DUMMYFUNCTION("""COMPUTED_VALUE"""),2846.0)</f>
        <v>2846</v>
      </c>
      <c r="G13432" s="4">
        <f>IFERROR(__xludf.DUMMYFUNCTION("""COMPUTED_VALUE"""),23.0)</f>
        <v>23</v>
      </c>
      <c r="H13432" s="4"/>
      <c r="I13432" s="4"/>
    </row>
    <row r="13433">
      <c r="A13433" s="4" t="str">
        <f>IFERROR(__xludf.DUMMYFUNCTION("""COMPUTED_VALUE"""),"cas_hmw")</f>
        <v>cas_hmw</v>
      </c>
      <c r="B13433" s="5">
        <f>IFERROR(__xludf.DUMMYFUNCTION("""COMPUTED_VALUE"""),44719.0)</f>
        <v>44719</v>
      </c>
      <c r="C13433" s="6">
        <f>IFERROR(__xludf.DUMMYFUNCTION("""COMPUTED_VALUE"""),0.31731481481619994)</f>
        <v>0.3173148148</v>
      </c>
      <c r="D13433" s="4">
        <f>IFERROR(__xludf.DUMMYFUNCTION("""COMPUTED_VALUE"""),13.033982)</f>
        <v>13.033982</v>
      </c>
      <c r="E13433" s="4">
        <f>IFERROR(__xludf.DUMMYFUNCTION("""COMPUTED_VALUE"""),80.244685)</f>
        <v>80.244685</v>
      </c>
      <c r="F13433" s="4">
        <f>IFERROR(__xludf.DUMMYFUNCTION("""COMPUTED_VALUE"""),2846.0)</f>
        <v>2846</v>
      </c>
      <c r="G13433" s="4">
        <f>IFERROR(__xludf.DUMMYFUNCTION("""COMPUTED_VALUE"""),33.0)</f>
        <v>33</v>
      </c>
      <c r="H13433" s="4"/>
      <c r="I13433" s="4"/>
    </row>
    <row r="13434">
      <c r="A13434" s="4" t="str">
        <f>IFERROR(__xludf.DUMMYFUNCTION("""COMPUTED_VALUE"""),"cas_hmw")</f>
        <v>cas_hmw</v>
      </c>
      <c r="B13434" s="5">
        <f>IFERROR(__xludf.DUMMYFUNCTION("""COMPUTED_VALUE"""),44719.0)</f>
        <v>44719</v>
      </c>
      <c r="C13434" s="6">
        <f>IFERROR(__xludf.DUMMYFUNCTION("""COMPUTED_VALUE"""),0.3173611111124046)</f>
        <v>0.3173611111</v>
      </c>
      <c r="D13434" s="4">
        <f>IFERROR(__xludf.DUMMYFUNCTION("""COMPUTED_VALUE"""),12.686598)</f>
        <v>12.686598</v>
      </c>
      <c r="E13434" s="4">
        <f>IFERROR(__xludf.DUMMYFUNCTION("""COMPUTED_VALUE"""),79.983211)</f>
        <v>79.983211</v>
      </c>
      <c r="F13434" s="4">
        <f>IFERROR(__xludf.DUMMYFUNCTION("""COMPUTED_VALUE"""),805.0)</f>
        <v>805</v>
      </c>
      <c r="G13434" s="4">
        <f>IFERROR(__xludf.DUMMYFUNCTION("""COMPUTED_VALUE"""),11.0)</f>
        <v>11</v>
      </c>
      <c r="H13434" s="4"/>
      <c r="I13434" s="4"/>
    </row>
    <row r="13435">
      <c r="A13435" s="4" t="str">
        <f>IFERROR(__xludf.DUMMYFUNCTION("""COMPUTED_VALUE"""),"cas_hmw")</f>
        <v>cas_hmw</v>
      </c>
      <c r="B13435" s="5">
        <f>IFERROR(__xludf.DUMMYFUNCTION("""COMPUTED_VALUE"""),44719.0)</f>
        <v>44719</v>
      </c>
      <c r="C13435" s="6">
        <f>IFERROR(__xludf.DUMMYFUNCTION("""COMPUTED_VALUE"""),0.3173611111124046)</f>
        <v>0.3173611111</v>
      </c>
      <c r="D13435" s="4">
        <f>IFERROR(__xludf.DUMMYFUNCTION("""COMPUTED_VALUE"""),12.68699)</f>
        <v>12.68699</v>
      </c>
      <c r="E13435" s="4">
        <f>IFERROR(__xludf.DUMMYFUNCTION("""COMPUTED_VALUE"""),79.983088)</f>
        <v>79.983088</v>
      </c>
      <c r="F13435" s="4">
        <f>IFERROR(__xludf.DUMMYFUNCTION("""COMPUTED_VALUE"""),805.0)</f>
        <v>805</v>
      </c>
      <c r="G13435" s="4">
        <f>IFERROR(__xludf.DUMMYFUNCTION("""COMPUTED_VALUE"""),20.0)</f>
        <v>20</v>
      </c>
      <c r="H13435" s="4"/>
      <c r="I13435" s="4"/>
    </row>
    <row r="13436">
      <c r="A13436" s="4" t="str">
        <f>IFERROR(__xludf.DUMMYFUNCTION("""COMPUTED_VALUE"""),"cas_hmw")</f>
        <v>cas_hmw</v>
      </c>
      <c r="B13436" s="5">
        <f>IFERROR(__xludf.DUMMYFUNCTION("""COMPUTED_VALUE"""),44719.0)</f>
        <v>44719</v>
      </c>
      <c r="C13436" s="6">
        <f>IFERROR(__xludf.DUMMYFUNCTION("""COMPUTED_VALUE"""),0.3173726851855463)</f>
        <v>0.3173726852</v>
      </c>
      <c r="D13436" s="4">
        <f>IFERROR(__xludf.DUMMYFUNCTION("""COMPUTED_VALUE"""),13.033495)</f>
        <v>13.033495</v>
      </c>
      <c r="E13436" s="4">
        <f>IFERROR(__xludf.DUMMYFUNCTION("""COMPUTED_VALUE"""),80.244013)</f>
        <v>80.244013</v>
      </c>
      <c r="F13436" s="4">
        <f>IFERROR(__xludf.DUMMYFUNCTION("""COMPUTED_VALUE"""),2846.0)</f>
        <v>2846</v>
      </c>
      <c r="G13436" s="4">
        <f>IFERROR(__xludf.DUMMYFUNCTION("""COMPUTED_VALUE"""),31.0)</f>
        <v>31</v>
      </c>
      <c r="H13436" s="4"/>
      <c r="I13436" s="4"/>
    </row>
    <row r="13437">
      <c r="A13437" s="4" t="str">
        <f>IFERROR(__xludf.DUMMYFUNCTION("""COMPUTED_VALUE"""),"cas_hmw")</f>
        <v>cas_hmw</v>
      </c>
      <c r="B13437" s="5">
        <f>IFERROR(__xludf.DUMMYFUNCTION("""COMPUTED_VALUE"""),44719.0)</f>
        <v>44719</v>
      </c>
      <c r="C13437" s="6">
        <f>IFERROR(__xludf.DUMMYFUNCTION("""COMPUTED_VALUE"""),0.31738425925868796)</f>
        <v>0.3173842593</v>
      </c>
      <c r="D13437" s="4">
        <f>IFERROR(__xludf.DUMMYFUNCTION("""COMPUTED_VALUE"""),12.68699)</f>
        <v>12.68699</v>
      </c>
      <c r="E13437" s="4">
        <f>IFERROR(__xludf.DUMMYFUNCTION("""COMPUTED_VALUE"""),79.983088)</f>
        <v>79.983088</v>
      </c>
      <c r="F13437" s="4">
        <f>IFERROR(__xludf.DUMMYFUNCTION("""COMPUTED_VALUE"""),805.0)</f>
        <v>805</v>
      </c>
      <c r="G13437" s="4">
        <f>IFERROR(__xludf.DUMMYFUNCTION("""COMPUTED_VALUE"""),20.0)</f>
        <v>20</v>
      </c>
      <c r="H13437" s="4"/>
      <c r="I13437" s="4"/>
    </row>
    <row r="13438">
      <c r="A13438" s="4" t="str">
        <f>IFERROR(__xludf.DUMMYFUNCTION("""COMPUTED_VALUE"""),"cas_hmw")</f>
        <v>cas_hmw</v>
      </c>
      <c r="B13438" s="5">
        <f>IFERROR(__xludf.DUMMYFUNCTION("""COMPUTED_VALUE"""),44719.0)</f>
        <v>44719</v>
      </c>
      <c r="C13438" s="6">
        <f>IFERROR(__xludf.DUMMYFUNCTION("""COMPUTED_VALUE"""),0.31745370370481396)</f>
        <v>0.3174537037</v>
      </c>
      <c r="D13438" s="4">
        <f>IFERROR(__xludf.DUMMYFUNCTION("""COMPUTED_VALUE"""),12.687557)</f>
        <v>12.687557</v>
      </c>
      <c r="E13438" s="4">
        <f>IFERROR(__xludf.DUMMYFUNCTION("""COMPUTED_VALUE"""),79.983011)</f>
        <v>79.983011</v>
      </c>
      <c r="F13438" s="4">
        <f>IFERROR(__xludf.DUMMYFUNCTION("""COMPUTED_VALUE"""),805.0)</f>
        <v>805</v>
      </c>
      <c r="G13438" s="4">
        <f>IFERROR(__xludf.DUMMYFUNCTION("""COMPUTED_VALUE"""),0.0)</f>
        <v>0</v>
      </c>
      <c r="H13438" s="4"/>
      <c r="I13438" s="4"/>
    </row>
    <row r="13439">
      <c r="A13439" s="4" t="str">
        <f>IFERROR(__xludf.DUMMYFUNCTION("""COMPUTED_VALUE"""),"cas_hmw")</f>
        <v>cas_hmw</v>
      </c>
      <c r="B13439" s="5">
        <f>IFERROR(__xludf.DUMMYFUNCTION("""COMPUTED_VALUE"""),44719.0)</f>
        <v>44719</v>
      </c>
      <c r="C13439" s="6">
        <f>IFERROR(__xludf.DUMMYFUNCTION("""COMPUTED_VALUE"""),0.317488425924239)</f>
        <v>0.3174884259</v>
      </c>
      <c r="D13439" s="4">
        <f>IFERROR(__xludf.DUMMYFUNCTION("""COMPUTED_VALUE"""),12.687557)</f>
        <v>12.687557</v>
      </c>
      <c r="E13439" s="4">
        <f>IFERROR(__xludf.DUMMYFUNCTION("""COMPUTED_VALUE"""),79.983011)</f>
        <v>79.983011</v>
      </c>
      <c r="F13439" s="4">
        <f>IFERROR(__xludf.DUMMYFUNCTION("""COMPUTED_VALUE"""),805.0)</f>
        <v>805</v>
      </c>
      <c r="G13439" s="4">
        <f>IFERROR(__xludf.DUMMYFUNCTION("""COMPUTED_VALUE"""),0.0)</f>
        <v>0</v>
      </c>
      <c r="H13439" s="4"/>
      <c r="I13439" s="4"/>
    </row>
    <row r="13440">
      <c r="A13440" s="4" t="str">
        <f>IFERROR(__xludf.DUMMYFUNCTION("""COMPUTED_VALUE"""),"cas_hmw")</f>
        <v>cas_hmw</v>
      </c>
      <c r="B13440" s="5">
        <f>IFERROR(__xludf.DUMMYFUNCTION("""COMPUTED_VALUE"""),44719.0)</f>
        <v>44719</v>
      </c>
      <c r="C13440" s="6">
        <f>IFERROR(__xludf.DUMMYFUNCTION("""COMPUTED_VALUE"""),0.317766203705105)</f>
        <v>0.3177662037</v>
      </c>
      <c r="D13440" s="4">
        <f>IFERROR(__xludf.DUMMYFUNCTION("""COMPUTED_VALUE"""),12.689776)</f>
        <v>12.689776</v>
      </c>
      <c r="E13440" s="4">
        <f>IFERROR(__xludf.DUMMYFUNCTION("""COMPUTED_VALUE"""),79.982197)</f>
        <v>79.982197</v>
      </c>
      <c r="F13440" s="4">
        <f>IFERROR(__xludf.DUMMYFUNCTION("""COMPUTED_VALUE"""),805.0)</f>
        <v>805</v>
      </c>
      <c r="G13440" s="4">
        <f>IFERROR(__xludf.DUMMYFUNCTION("""COMPUTED_VALUE"""),25.0)</f>
        <v>25</v>
      </c>
      <c r="H13440" s="4"/>
      <c r="I13440" s="4"/>
    </row>
    <row r="13441">
      <c r="A13441" s="4" t="str">
        <f>IFERROR(__xludf.DUMMYFUNCTION("""COMPUTED_VALUE"""),"cas_hmw")</f>
        <v>cas_hmw</v>
      </c>
      <c r="B13441" s="5">
        <f>IFERROR(__xludf.DUMMYFUNCTION("""COMPUTED_VALUE"""),44719.0)</f>
        <v>44719</v>
      </c>
      <c r="C13441" s="6">
        <f>IFERROR(__xludf.DUMMYFUNCTION("""COMPUTED_VALUE"""),0.3192592592604342)</f>
        <v>0.3192592593</v>
      </c>
      <c r="D13441" s="4">
        <f>IFERROR(__xludf.DUMMYFUNCTION("""COMPUTED_VALUE"""),12.691995)</f>
        <v>12.691995</v>
      </c>
      <c r="E13441" s="4">
        <f>IFERROR(__xludf.DUMMYFUNCTION("""COMPUTED_VALUE"""),79.980145)</f>
        <v>79.980145</v>
      </c>
      <c r="F13441" s="4">
        <f>IFERROR(__xludf.DUMMYFUNCTION("""COMPUTED_VALUE"""),805.0)</f>
        <v>805</v>
      </c>
      <c r="G13441" s="4">
        <f>IFERROR(__xludf.DUMMYFUNCTION("""COMPUTED_VALUE"""),34.0)</f>
        <v>34</v>
      </c>
      <c r="H13441" s="4"/>
      <c r="I13441" s="4"/>
    </row>
    <row r="13442">
      <c r="A13442" s="4" t="str">
        <f>IFERROR(__xludf.DUMMYFUNCTION("""COMPUTED_VALUE"""),"cas_hmw")</f>
        <v>cas_hmw</v>
      </c>
      <c r="B13442" s="5">
        <f>IFERROR(__xludf.DUMMYFUNCTION("""COMPUTED_VALUE"""),44719.0)</f>
        <v>44719</v>
      </c>
      <c r="C13442" s="6">
        <f>IFERROR(__xludf.DUMMYFUNCTION("""COMPUTED_VALUE"""),0.3193981481490482)</f>
        <v>0.3193981481</v>
      </c>
      <c r="D13442" s="4">
        <f>IFERROR(__xludf.DUMMYFUNCTION("""COMPUTED_VALUE"""),12.693576)</f>
        <v>12.693576</v>
      </c>
      <c r="E13442" s="4">
        <f>IFERROR(__xludf.DUMMYFUNCTION("""COMPUTED_VALUE"""),79.979334)</f>
        <v>79.979334</v>
      </c>
      <c r="F13442" s="4">
        <f>IFERROR(__xludf.DUMMYFUNCTION("""COMPUTED_VALUE"""),805.0)</f>
        <v>805</v>
      </c>
      <c r="G13442" s="4">
        <f>IFERROR(__xludf.DUMMYFUNCTION("""COMPUTED_VALUE"""),31.0)</f>
        <v>31</v>
      </c>
      <c r="H13442" s="4"/>
      <c r="I13442" s="4"/>
    </row>
    <row r="13443">
      <c r="A13443" s="4" t="str">
        <f>IFERROR(__xludf.DUMMYFUNCTION("""COMPUTED_VALUE"""),"cas_hmw")</f>
        <v>cas_hmw</v>
      </c>
      <c r="B13443" s="5">
        <f>IFERROR(__xludf.DUMMYFUNCTION("""COMPUTED_VALUE"""),44719.0)</f>
        <v>44719</v>
      </c>
      <c r="C13443" s="6">
        <f>IFERROR(__xludf.DUMMYFUNCTION("""COMPUTED_VALUE"""),0.3207523148157634)</f>
        <v>0.3207523148</v>
      </c>
      <c r="D13443" s="4">
        <f>IFERROR(__xludf.DUMMYFUNCTION("""COMPUTED_VALUE"""),12.697639)</f>
        <v>12.697639</v>
      </c>
      <c r="E13443" s="4">
        <f>IFERROR(__xludf.DUMMYFUNCTION("""COMPUTED_VALUE"""),79.976341)</f>
        <v>79.976341</v>
      </c>
      <c r="F13443" s="4">
        <f>IFERROR(__xludf.DUMMYFUNCTION("""COMPUTED_VALUE"""),805.0)</f>
        <v>805</v>
      </c>
      <c r="G13443" s="4">
        <f>IFERROR(__xludf.DUMMYFUNCTION("""COMPUTED_VALUE"""),18.0)</f>
        <v>18</v>
      </c>
      <c r="H13443" s="4"/>
      <c r="I13443" s="4"/>
    </row>
    <row r="13444">
      <c r="A13444" s="4" t="str">
        <f>IFERROR(__xludf.DUMMYFUNCTION("""COMPUTED_VALUE"""),"cas_hmw")</f>
        <v>cas_hmw</v>
      </c>
      <c r="B13444" s="5">
        <f>IFERROR(__xludf.DUMMYFUNCTION("""COMPUTED_VALUE"""),44719.0)</f>
        <v>44719</v>
      </c>
      <c r="C13444" s="6">
        <f>IFERROR(__xludf.DUMMYFUNCTION("""COMPUTED_VALUE"""),0.3212615740740148)</f>
        <v>0.3212615741</v>
      </c>
      <c r="D13444" s="4">
        <f>IFERROR(__xludf.DUMMYFUNCTION("""COMPUTED_VALUE"""),12.697477)</f>
        <v>12.697477</v>
      </c>
      <c r="E13444" s="4">
        <f>IFERROR(__xludf.DUMMYFUNCTION("""COMPUTED_VALUE"""),79.971771)</f>
        <v>79.971771</v>
      </c>
      <c r="F13444" s="4">
        <f>IFERROR(__xludf.DUMMYFUNCTION("""COMPUTED_VALUE"""),805.0)</f>
        <v>805</v>
      </c>
      <c r="G13444" s="4">
        <f>IFERROR(__xludf.DUMMYFUNCTION("""COMPUTED_VALUE"""),42.0)</f>
        <v>42</v>
      </c>
      <c r="H13444" s="4"/>
      <c r="I13444" s="4"/>
    </row>
    <row r="13445">
      <c r="A13445" s="4" t="str">
        <f>IFERROR(__xludf.DUMMYFUNCTION("""COMPUTED_VALUE"""),"cas_hmw")</f>
        <v>cas_hmw</v>
      </c>
      <c r="B13445" s="5">
        <f>IFERROR(__xludf.DUMMYFUNCTION("""COMPUTED_VALUE"""),44719.0)</f>
        <v>44719</v>
      </c>
      <c r="C13445" s="6">
        <f>IFERROR(__xludf.DUMMYFUNCTION("""COMPUTED_VALUE"""),0.32334490740686306)</f>
        <v>0.3233449074</v>
      </c>
      <c r="D13445" s="4">
        <f>IFERROR(__xludf.DUMMYFUNCTION("""COMPUTED_VALUE"""),13.0144)</f>
        <v>13.0144</v>
      </c>
      <c r="E13445" s="4">
        <f>IFERROR(__xludf.DUMMYFUNCTION("""COMPUTED_VALUE"""),80.226204)</f>
        <v>80.226204</v>
      </c>
      <c r="F13445" s="4">
        <f>IFERROR(__xludf.DUMMYFUNCTION("""COMPUTED_VALUE"""),2846.0)</f>
        <v>2846</v>
      </c>
      <c r="G13445" s="4">
        <f>IFERROR(__xludf.DUMMYFUNCTION("""COMPUTED_VALUE"""),29.0)</f>
        <v>29</v>
      </c>
      <c r="H13445" s="4"/>
      <c r="I13445" s="4"/>
    </row>
    <row r="13446">
      <c r="A13446" s="4" t="str">
        <f>IFERROR(__xludf.DUMMYFUNCTION("""COMPUTED_VALUE"""),"cas_hmw")</f>
        <v>cas_hmw</v>
      </c>
      <c r="B13446" s="5">
        <f>IFERROR(__xludf.DUMMYFUNCTION("""COMPUTED_VALUE"""),44719.0)</f>
        <v>44719</v>
      </c>
      <c r="C13446" s="6">
        <f>IFERROR(__xludf.DUMMYFUNCTION("""COMPUTED_VALUE"""),0.32453703703868086)</f>
        <v>0.324537037</v>
      </c>
      <c r="D13446" s="4">
        <f>IFERROR(__xludf.DUMMYFUNCTION("""COMPUTED_VALUE"""),13.011131)</f>
        <v>13.011131</v>
      </c>
      <c r="E13446" s="4">
        <f>IFERROR(__xludf.DUMMYFUNCTION("""COMPUTED_VALUE"""),80.223975)</f>
        <v>80.223975</v>
      </c>
      <c r="F13446" s="4">
        <f>IFERROR(__xludf.DUMMYFUNCTION("""COMPUTED_VALUE"""),2846.0)</f>
        <v>2846</v>
      </c>
      <c r="G13446" s="4">
        <f>IFERROR(__xludf.DUMMYFUNCTION("""COMPUTED_VALUE"""),38.0)</f>
        <v>38</v>
      </c>
      <c r="H13446" s="4"/>
      <c r="I13446" s="4"/>
    </row>
    <row r="13447">
      <c r="A13447" s="4" t="str">
        <f>IFERROR(__xludf.DUMMYFUNCTION("""COMPUTED_VALUE"""),"cas_hmw")</f>
        <v>cas_hmw</v>
      </c>
      <c r="B13447" s="5">
        <f>IFERROR(__xludf.DUMMYFUNCTION("""COMPUTED_VALUE"""),44719.0)</f>
        <v>44719</v>
      </c>
      <c r="C13447" s="6">
        <f>IFERROR(__xludf.DUMMYFUNCTION("""COMPUTED_VALUE"""),0.3246064814811689)</f>
        <v>0.3246064815</v>
      </c>
      <c r="D13447" s="4">
        <f>IFERROR(__xludf.DUMMYFUNCTION("""COMPUTED_VALUE"""),13.011489)</f>
        <v>13.011489</v>
      </c>
      <c r="E13447" s="4">
        <f>IFERROR(__xludf.DUMMYFUNCTION("""COMPUTED_VALUE"""),80.2231)</f>
        <v>80.2231</v>
      </c>
      <c r="F13447" s="4">
        <f>IFERROR(__xludf.DUMMYFUNCTION("""COMPUTED_VALUE"""),2846.0)</f>
        <v>2846</v>
      </c>
      <c r="G13447" s="4">
        <f>IFERROR(__xludf.DUMMYFUNCTION("""COMPUTED_VALUE"""),36.0)</f>
        <v>36</v>
      </c>
      <c r="H13447" s="4"/>
      <c r="I13447" s="4"/>
    </row>
    <row r="13448">
      <c r="A13448" s="4" t="str">
        <f>IFERROR(__xludf.DUMMYFUNCTION("""COMPUTED_VALUE"""),"cas_hmw")</f>
        <v>cas_hmw</v>
      </c>
      <c r="B13448" s="5">
        <f>IFERROR(__xludf.DUMMYFUNCTION("""COMPUTED_VALUE"""),44719.0)</f>
        <v>44719</v>
      </c>
      <c r="C13448" s="6">
        <f>IFERROR(__xludf.DUMMYFUNCTION("""COMPUTED_VALUE"""),0.32509259259313694)</f>
        <v>0.3250925926</v>
      </c>
      <c r="D13448" s="4">
        <f>IFERROR(__xludf.DUMMYFUNCTION("""COMPUTED_VALUE"""),13.011663)</f>
        <v>13.011663</v>
      </c>
      <c r="E13448" s="4">
        <f>IFERROR(__xludf.DUMMYFUNCTION("""COMPUTED_VALUE"""),80.219355)</f>
        <v>80.219355</v>
      </c>
      <c r="F13448" s="4">
        <f>IFERROR(__xludf.DUMMYFUNCTION("""COMPUTED_VALUE"""),2846.0)</f>
        <v>2846</v>
      </c>
      <c r="G13448" s="4">
        <f>IFERROR(__xludf.DUMMYFUNCTION("""COMPUTED_VALUE"""),37.0)</f>
        <v>37</v>
      </c>
      <c r="H13448" s="4"/>
      <c r="I13448" s="4"/>
    </row>
    <row r="13449">
      <c r="A13449" s="4" t="str">
        <f>IFERROR(__xludf.DUMMYFUNCTION("""COMPUTED_VALUE"""),"cas_hmw")</f>
        <v>cas_hmw</v>
      </c>
      <c r="B13449" s="5">
        <f>IFERROR(__xludf.DUMMYFUNCTION("""COMPUTED_VALUE"""),44719.0)</f>
        <v>44719</v>
      </c>
      <c r="C13449" s="6">
        <f>IFERROR(__xludf.DUMMYFUNCTION("""COMPUTED_VALUE"""),0.325474537035916)</f>
        <v>0.325474537</v>
      </c>
      <c r="D13449" s="4">
        <f>IFERROR(__xludf.DUMMYFUNCTION("""COMPUTED_VALUE"""),13.010736)</f>
        <v>13.010736</v>
      </c>
      <c r="E13449" s="4">
        <f>IFERROR(__xludf.DUMMYFUNCTION("""COMPUTED_VALUE"""),80.216872)</f>
        <v>80.216872</v>
      </c>
      <c r="F13449" s="4">
        <f>IFERROR(__xludf.DUMMYFUNCTION("""COMPUTED_VALUE"""),2846.0)</f>
        <v>2846</v>
      </c>
      <c r="G13449" s="4">
        <f>IFERROR(__xludf.DUMMYFUNCTION("""COMPUTED_VALUE"""),30.0)</f>
        <v>30</v>
      </c>
      <c r="H13449" s="4"/>
      <c r="I13449" s="4"/>
    </row>
    <row r="13450">
      <c r="A13450" s="4" t="str">
        <f>IFERROR(__xludf.DUMMYFUNCTION("""COMPUTED_VALUE"""),"cas_hmw")</f>
        <v>cas_hmw</v>
      </c>
      <c r="B13450" s="5">
        <f>IFERROR(__xludf.DUMMYFUNCTION("""COMPUTED_VALUE"""),44719.0)</f>
        <v>44719</v>
      </c>
      <c r="C13450" s="6">
        <f>IFERROR(__xludf.DUMMYFUNCTION("""COMPUTED_VALUE"""),0.32548611111269565)</f>
        <v>0.3254861111</v>
      </c>
      <c r="D13450" s="4">
        <f>IFERROR(__xludf.DUMMYFUNCTION("""COMPUTED_VALUE"""),13.010736)</f>
        <v>13.010736</v>
      </c>
      <c r="E13450" s="4">
        <f>IFERROR(__xludf.DUMMYFUNCTION("""COMPUTED_VALUE"""),80.216872)</f>
        <v>80.216872</v>
      </c>
      <c r="F13450" s="4">
        <f>IFERROR(__xludf.DUMMYFUNCTION("""COMPUTED_VALUE"""),2846.0)</f>
        <v>2846</v>
      </c>
      <c r="G13450" s="4">
        <f>IFERROR(__xludf.DUMMYFUNCTION("""COMPUTED_VALUE"""),30.0)</f>
        <v>30</v>
      </c>
      <c r="H13450" s="4"/>
      <c r="I13450" s="4"/>
    </row>
    <row r="13451">
      <c r="A13451" s="4" t="str">
        <f>IFERROR(__xludf.DUMMYFUNCTION("""COMPUTED_VALUE"""),"cas_hmw")</f>
        <v>cas_hmw</v>
      </c>
      <c r="B13451" s="5">
        <f>IFERROR(__xludf.DUMMYFUNCTION("""COMPUTED_VALUE"""),44719.0)</f>
        <v>44719</v>
      </c>
      <c r="C13451" s="6">
        <f>IFERROR(__xludf.DUMMYFUNCTION("""COMPUTED_VALUE"""),0.3254976851858373)</f>
        <v>0.3254976852</v>
      </c>
      <c r="D13451" s="4">
        <f>IFERROR(__xludf.DUMMYFUNCTION("""COMPUTED_VALUE"""),13.010736)</f>
        <v>13.010736</v>
      </c>
      <c r="E13451" s="4">
        <f>IFERROR(__xludf.DUMMYFUNCTION("""COMPUTED_VALUE"""),80.216872)</f>
        <v>80.216872</v>
      </c>
      <c r="F13451" s="4">
        <f>IFERROR(__xludf.DUMMYFUNCTION("""COMPUTED_VALUE"""),2846.0)</f>
        <v>2846</v>
      </c>
      <c r="G13451" s="4">
        <f>IFERROR(__xludf.DUMMYFUNCTION("""COMPUTED_VALUE"""),30.0)</f>
        <v>30</v>
      </c>
      <c r="H13451" s="4"/>
      <c r="I13451" s="4"/>
    </row>
    <row r="13452">
      <c r="A13452" s="4" t="str">
        <f>IFERROR(__xludf.DUMMYFUNCTION("""COMPUTED_VALUE"""),"cas_hmw")</f>
        <v>cas_hmw</v>
      </c>
      <c r="B13452" s="5">
        <f>IFERROR(__xludf.DUMMYFUNCTION("""COMPUTED_VALUE"""),44719.0)</f>
        <v>44719</v>
      </c>
      <c r="C13452" s="6">
        <f>IFERROR(__xludf.DUMMYFUNCTION("""COMPUTED_VALUE"""),0.3257291666668607)</f>
        <v>0.3257291667</v>
      </c>
      <c r="D13452" s="4">
        <f>IFERROR(__xludf.DUMMYFUNCTION("""COMPUTED_VALUE"""),13.010152)</f>
        <v>13.010152</v>
      </c>
      <c r="E13452" s="4">
        <f>IFERROR(__xludf.DUMMYFUNCTION("""COMPUTED_VALUE"""),80.215529)</f>
        <v>80.215529</v>
      </c>
      <c r="F13452" s="4">
        <f>IFERROR(__xludf.DUMMYFUNCTION("""COMPUTED_VALUE"""),2846.0)</f>
        <v>2846</v>
      </c>
      <c r="G13452" s="4">
        <f>IFERROR(__xludf.DUMMYFUNCTION("""COMPUTED_VALUE"""),24.0)</f>
        <v>24</v>
      </c>
      <c r="H13452" s="4"/>
      <c r="I13452" s="4"/>
    </row>
    <row r="13453">
      <c r="A13453" s="4" t="str">
        <f>IFERROR(__xludf.DUMMYFUNCTION("""COMPUTED_VALUE"""),"cas_hmw")</f>
        <v>cas_hmw</v>
      </c>
      <c r="B13453" s="5">
        <f>IFERROR(__xludf.DUMMYFUNCTION("""COMPUTED_VALUE"""),44719.0)</f>
        <v>44719</v>
      </c>
      <c r="C13453" s="6">
        <f>IFERROR(__xludf.DUMMYFUNCTION("""COMPUTED_VALUE"""),0.3269560185181035)</f>
        <v>0.3269560185</v>
      </c>
      <c r="D13453" s="4">
        <f>IFERROR(__xludf.DUMMYFUNCTION("""COMPUTED_VALUE"""),12.732572)</f>
        <v>12.732572</v>
      </c>
      <c r="E13453" s="4">
        <f>IFERROR(__xludf.DUMMYFUNCTION("""COMPUTED_VALUE"""),79.983033)</f>
        <v>79.983033</v>
      </c>
      <c r="F13453" s="4">
        <f>IFERROR(__xludf.DUMMYFUNCTION("""COMPUTED_VALUE"""),805.0)</f>
        <v>805</v>
      </c>
      <c r="G13453" s="4">
        <f>IFERROR(__xludf.DUMMYFUNCTION("""COMPUTED_VALUE"""),43.0)</f>
        <v>43</v>
      </c>
      <c r="H13453" s="4"/>
      <c r="I13453" s="4"/>
    </row>
    <row r="13454">
      <c r="A13454" s="4" t="str">
        <f>IFERROR(__xludf.DUMMYFUNCTION("""COMPUTED_VALUE"""),"cas_hmw")</f>
        <v>cas_hmw</v>
      </c>
      <c r="B13454" s="5">
        <f>IFERROR(__xludf.DUMMYFUNCTION("""COMPUTED_VALUE"""),44719.0)</f>
        <v>44719</v>
      </c>
      <c r="C13454" s="6">
        <f>IFERROR(__xludf.DUMMYFUNCTION("""COMPUTED_VALUE"""),0.3270717592604342)</f>
        <v>0.3270717593</v>
      </c>
      <c r="D13454" s="4">
        <f>IFERROR(__xludf.DUMMYFUNCTION("""COMPUTED_VALUE"""),12.733324)</f>
        <v>12.733324</v>
      </c>
      <c r="E13454" s="4">
        <f>IFERROR(__xludf.DUMMYFUNCTION("""COMPUTED_VALUE"""),79.983496)</f>
        <v>79.983496</v>
      </c>
      <c r="F13454" s="4">
        <f>IFERROR(__xludf.DUMMYFUNCTION("""COMPUTED_VALUE"""),805.0)</f>
        <v>805</v>
      </c>
      <c r="G13454" s="4">
        <f>IFERROR(__xludf.DUMMYFUNCTION("""COMPUTED_VALUE"""),34.0)</f>
        <v>34</v>
      </c>
      <c r="H13454" s="4"/>
      <c r="I13454" s="4"/>
    </row>
    <row r="13455">
      <c r="A13455" s="4" t="str">
        <f>IFERROR(__xludf.DUMMYFUNCTION("""COMPUTED_VALUE"""),"cas_hmw")</f>
        <v>cas_hmw</v>
      </c>
      <c r="B13455" s="5">
        <f>IFERROR(__xludf.DUMMYFUNCTION("""COMPUTED_VALUE"""),44719.0)</f>
        <v>44719</v>
      </c>
      <c r="C13455" s="6">
        <f>IFERROR(__xludf.DUMMYFUNCTION("""COMPUTED_VALUE"""),0.32730324074145756)</f>
        <v>0.3273032407</v>
      </c>
      <c r="D13455" s="4">
        <f>IFERROR(__xludf.DUMMYFUNCTION("""COMPUTED_VALUE"""),12.734303)</f>
        <v>12.734303</v>
      </c>
      <c r="E13455" s="4">
        <f>IFERROR(__xludf.DUMMYFUNCTION("""COMPUTED_VALUE"""),79.984714)</f>
        <v>79.984714</v>
      </c>
      <c r="F13455" s="4">
        <f>IFERROR(__xludf.DUMMYFUNCTION("""COMPUTED_VALUE"""),805.0)</f>
        <v>805</v>
      </c>
      <c r="G13455" s="4">
        <f>IFERROR(__xludf.DUMMYFUNCTION("""COMPUTED_VALUE"""),33.0)</f>
        <v>33</v>
      </c>
      <c r="H13455" s="4"/>
      <c r="I13455" s="4"/>
    </row>
    <row r="13456">
      <c r="A13456" s="4" t="str">
        <f>IFERROR(__xludf.DUMMYFUNCTION("""COMPUTED_VALUE"""),"cas_hmw")</f>
        <v>cas_hmw</v>
      </c>
      <c r="B13456" s="5">
        <f>IFERROR(__xludf.DUMMYFUNCTION("""COMPUTED_VALUE"""),44719.0)</f>
        <v>44719</v>
      </c>
      <c r="C13456" s="6">
        <f>IFERROR(__xludf.DUMMYFUNCTION("""COMPUTED_VALUE"""),0.32731481481459923)</f>
        <v>0.3273148148</v>
      </c>
      <c r="D13456" s="4">
        <f>IFERROR(__xludf.DUMMYFUNCTION("""COMPUTED_VALUE"""),13.005267)</f>
        <v>13.005267</v>
      </c>
      <c r="E13456" s="4">
        <f>IFERROR(__xludf.DUMMYFUNCTION("""COMPUTED_VALUE"""),80.201735)</f>
        <v>80.201735</v>
      </c>
      <c r="F13456" s="4">
        <f>IFERROR(__xludf.DUMMYFUNCTION("""COMPUTED_VALUE"""),2846.0)</f>
        <v>2846</v>
      </c>
      <c r="G13456" s="4">
        <f>IFERROR(__xludf.DUMMYFUNCTION("""COMPUTED_VALUE"""),47.0)</f>
        <v>47</v>
      </c>
      <c r="H13456" s="4"/>
      <c r="I13456" s="4"/>
    </row>
    <row r="13457">
      <c r="A13457" s="4" t="str">
        <f>IFERROR(__xludf.DUMMYFUNCTION("""COMPUTED_VALUE"""),"cas_hmw")</f>
        <v>cas_hmw</v>
      </c>
      <c r="B13457" s="5">
        <f>IFERROR(__xludf.DUMMYFUNCTION("""COMPUTED_VALUE"""),44719.0)</f>
        <v>44719</v>
      </c>
      <c r="C13457" s="6">
        <f>IFERROR(__xludf.DUMMYFUNCTION("""COMPUTED_VALUE"""),0.3273958333338669)</f>
        <v>0.3273958333</v>
      </c>
      <c r="D13457" s="4">
        <f>IFERROR(__xludf.DUMMYFUNCTION("""COMPUTED_VALUE"""),12.734872)</f>
        <v>12.734872</v>
      </c>
      <c r="E13457" s="4">
        <f>IFERROR(__xludf.DUMMYFUNCTION("""COMPUTED_VALUE"""),79.985464)</f>
        <v>79.985464</v>
      </c>
      <c r="F13457" s="4">
        <f>IFERROR(__xludf.DUMMYFUNCTION("""COMPUTED_VALUE"""),805.0)</f>
        <v>805</v>
      </c>
      <c r="G13457" s="4">
        <f>IFERROR(__xludf.DUMMYFUNCTION("""COMPUTED_VALUE"""),41.0)</f>
        <v>41</v>
      </c>
      <c r="H13457" s="4"/>
      <c r="I13457" s="4"/>
    </row>
    <row r="13458">
      <c r="A13458" s="4" t="str">
        <f>IFERROR(__xludf.DUMMYFUNCTION("""COMPUTED_VALUE"""),"cas_hmw")</f>
        <v>cas_hmw</v>
      </c>
      <c r="B13458" s="5">
        <f>IFERROR(__xludf.DUMMYFUNCTION("""COMPUTED_VALUE"""),44719.0)</f>
        <v>44719</v>
      </c>
      <c r="C13458" s="6">
        <f>IFERROR(__xludf.DUMMYFUNCTION("""COMPUTED_VALUE"""),0.3274999999994179)</f>
        <v>0.3275</v>
      </c>
      <c r="D13458" s="4">
        <f>IFERROR(__xludf.DUMMYFUNCTION("""COMPUTED_VALUE"""),12.735635)</f>
        <v>12.735635</v>
      </c>
      <c r="E13458" s="4">
        <f>IFERROR(__xludf.DUMMYFUNCTION("""COMPUTED_VALUE"""),79.986404)</f>
        <v>79.986404</v>
      </c>
      <c r="F13458" s="4">
        <f>IFERROR(__xludf.DUMMYFUNCTION("""COMPUTED_VALUE"""),805.0)</f>
        <v>805</v>
      </c>
      <c r="G13458" s="4">
        <f>IFERROR(__xludf.DUMMYFUNCTION("""COMPUTED_VALUE"""),50.0)</f>
        <v>50</v>
      </c>
      <c r="H13458" s="4"/>
      <c r="I13458" s="4"/>
    </row>
    <row r="13459">
      <c r="A13459" s="4" t="str">
        <f>IFERROR(__xludf.DUMMYFUNCTION("""COMPUTED_VALUE"""),"cas_hmw")</f>
        <v>cas_hmw</v>
      </c>
      <c r="B13459" s="5">
        <f>IFERROR(__xludf.DUMMYFUNCTION("""COMPUTED_VALUE"""),44719.0)</f>
        <v>44719</v>
      </c>
      <c r="C13459" s="6">
        <f>IFERROR(__xludf.DUMMYFUNCTION("""COMPUTED_VALUE"""),0.3274999999994179)</f>
        <v>0.3275</v>
      </c>
      <c r="D13459" s="4">
        <f>IFERROR(__xludf.DUMMYFUNCTION("""COMPUTED_VALUE"""),13.003608)</f>
        <v>13.003608</v>
      </c>
      <c r="E13459" s="4">
        <f>IFERROR(__xludf.DUMMYFUNCTION("""COMPUTED_VALUE"""),80.200979)</f>
        <v>80.200979</v>
      </c>
      <c r="F13459" s="4">
        <f>IFERROR(__xludf.DUMMYFUNCTION("""COMPUTED_VALUE"""),2846.0)</f>
        <v>2846</v>
      </c>
      <c r="G13459" s="4">
        <f>IFERROR(__xludf.DUMMYFUNCTION("""COMPUTED_VALUE"""),30.0)</f>
        <v>30</v>
      </c>
      <c r="H13459" s="4"/>
      <c r="I13459" s="4"/>
    </row>
    <row r="13460">
      <c r="A13460" s="4" t="str">
        <f>IFERROR(__xludf.DUMMYFUNCTION("""COMPUTED_VALUE"""),"cas_hmw")</f>
        <v>cas_hmw</v>
      </c>
      <c r="B13460" s="5">
        <f>IFERROR(__xludf.DUMMYFUNCTION("""COMPUTED_VALUE"""),44719.0)</f>
        <v>44719</v>
      </c>
      <c r="C13460" s="6">
        <f>IFERROR(__xludf.DUMMYFUNCTION("""COMPUTED_VALUE"""),0.32763888888803194)</f>
        <v>0.3276388889</v>
      </c>
      <c r="D13460" s="4">
        <f>IFERROR(__xludf.DUMMYFUNCTION("""COMPUTED_VALUE"""),13.002844)</f>
        <v>13.002844</v>
      </c>
      <c r="E13460" s="4">
        <f>IFERROR(__xludf.DUMMYFUNCTION("""COMPUTED_VALUE"""),80.200721)</f>
        <v>80.200721</v>
      </c>
      <c r="F13460" s="4">
        <f>IFERROR(__xludf.DUMMYFUNCTION("""COMPUTED_VALUE"""),2846.0)</f>
        <v>2846</v>
      </c>
      <c r="G13460" s="4">
        <f>IFERROR(__xludf.DUMMYFUNCTION("""COMPUTED_VALUE"""),33.0)</f>
        <v>33</v>
      </c>
      <c r="H13460" s="4"/>
      <c r="I13460" s="4"/>
    </row>
    <row r="13461">
      <c r="A13461" s="4" t="str">
        <f>IFERROR(__xludf.DUMMYFUNCTION("""COMPUTED_VALUE"""),"cas_hmw")</f>
        <v>cas_hmw</v>
      </c>
      <c r="B13461" s="5">
        <f>IFERROR(__xludf.DUMMYFUNCTION("""COMPUTED_VALUE"""),44719.0)</f>
        <v>44719</v>
      </c>
      <c r="C13461" s="6">
        <f>IFERROR(__xludf.DUMMYFUNCTION("""COMPUTED_VALUE"""),0.32791666666526)</f>
        <v>0.3279166667</v>
      </c>
      <c r="D13461" s="4">
        <f>IFERROR(__xludf.DUMMYFUNCTION("""COMPUTED_VALUE"""),13.001702)</f>
        <v>13.001702</v>
      </c>
      <c r="E13461" s="4">
        <f>IFERROR(__xludf.DUMMYFUNCTION("""COMPUTED_VALUE"""),80.199401)</f>
        <v>80.199401</v>
      </c>
      <c r="F13461" s="4">
        <f>IFERROR(__xludf.DUMMYFUNCTION("""COMPUTED_VALUE"""),2846.0)</f>
        <v>2846</v>
      </c>
      <c r="G13461" s="4">
        <f>IFERROR(__xludf.DUMMYFUNCTION("""COMPUTED_VALUE"""),42.0)</f>
        <v>42</v>
      </c>
      <c r="H13461" s="4"/>
      <c r="I13461" s="4"/>
    </row>
    <row r="13462">
      <c r="A13462" s="4" t="str">
        <f>IFERROR(__xludf.DUMMYFUNCTION("""COMPUTED_VALUE"""),"cas_hmw")</f>
        <v>cas_hmw</v>
      </c>
      <c r="B13462" s="5">
        <f>IFERROR(__xludf.DUMMYFUNCTION("""COMPUTED_VALUE"""),44719.0)</f>
        <v>44719</v>
      </c>
      <c r="C13462" s="6">
        <f>IFERROR(__xludf.DUMMYFUNCTION("""COMPUTED_VALUE"""),0.3284490740734327)</f>
        <v>0.3284490741</v>
      </c>
      <c r="D13462" s="4">
        <f>IFERROR(__xludf.DUMMYFUNCTION("""COMPUTED_VALUE"""),13.000235)</f>
        <v>13.000235</v>
      </c>
      <c r="E13462" s="4">
        <f>IFERROR(__xludf.DUMMYFUNCTION("""COMPUTED_VALUE"""),80.194524)</f>
        <v>80.194524</v>
      </c>
      <c r="F13462" s="4">
        <f>IFERROR(__xludf.DUMMYFUNCTION("""COMPUTED_VALUE"""),2846.0)</f>
        <v>2846</v>
      </c>
      <c r="G13462" s="4">
        <f>IFERROR(__xludf.DUMMYFUNCTION("""COMPUTED_VALUE"""),43.0)</f>
        <v>43</v>
      </c>
      <c r="H13462" s="4"/>
      <c r="I13462" s="4"/>
    </row>
    <row r="13463">
      <c r="A13463" s="4" t="str">
        <f>IFERROR(__xludf.DUMMYFUNCTION("""COMPUTED_VALUE"""),"cas_hmw")</f>
        <v>cas_hmw</v>
      </c>
      <c r="B13463" s="5">
        <f>IFERROR(__xludf.DUMMYFUNCTION("""COMPUTED_VALUE"""),44719.0)</f>
        <v>44719</v>
      </c>
      <c r="C13463" s="6">
        <f>IFERROR(__xludf.DUMMYFUNCTION("""COMPUTED_VALUE"""),0.3292476851856918)</f>
        <v>0.3292476852</v>
      </c>
      <c r="D13463" s="4">
        <f>IFERROR(__xludf.DUMMYFUNCTION("""COMPUTED_VALUE"""),12.743713)</f>
        <v>12.743713</v>
      </c>
      <c r="E13463" s="4">
        <f>IFERROR(__xludf.DUMMYFUNCTION("""COMPUTED_VALUE"""),79.992608)</f>
        <v>79.992608</v>
      </c>
      <c r="F13463" s="4">
        <f>IFERROR(__xludf.DUMMYFUNCTION("""COMPUTED_VALUE"""),805.0)</f>
        <v>805</v>
      </c>
      <c r="G13463" s="4">
        <f>IFERROR(__xludf.DUMMYFUNCTION("""COMPUTED_VALUE"""),31.0)</f>
        <v>31</v>
      </c>
      <c r="H13463" s="4"/>
      <c r="I13463" s="4"/>
    </row>
    <row r="13464">
      <c r="A13464" s="4" t="str">
        <f>IFERROR(__xludf.DUMMYFUNCTION("""COMPUTED_VALUE"""),"cas_hmw")</f>
        <v>cas_hmw</v>
      </c>
      <c r="B13464" s="5">
        <f>IFERROR(__xludf.DUMMYFUNCTION("""COMPUTED_VALUE"""),44719.0)</f>
        <v>44719</v>
      </c>
      <c r="C13464" s="6">
        <f>IFERROR(__xludf.DUMMYFUNCTION("""COMPUTED_VALUE"""),0.32952546296291985)</f>
        <v>0.329525463</v>
      </c>
      <c r="D13464" s="4">
        <f>IFERROR(__xludf.DUMMYFUNCTION("""COMPUTED_VALUE"""),12.995333)</f>
        <v>12.995333</v>
      </c>
      <c r="E13464" s="4">
        <f>IFERROR(__xludf.DUMMYFUNCTION("""COMPUTED_VALUE"""),80.188183)</f>
        <v>80.188183</v>
      </c>
      <c r="F13464" s="4">
        <f>IFERROR(__xludf.DUMMYFUNCTION("""COMPUTED_VALUE"""),2846.0)</f>
        <v>2846</v>
      </c>
      <c r="G13464" s="4">
        <f>IFERROR(__xludf.DUMMYFUNCTION("""COMPUTED_VALUE"""),33.0)</f>
        <v>33</v>
      </c>
      <c r="H13464" s="4"/>
      <c r="I13464" s="4"/>
    </row>
    <row r="13465">
      <c r="A13465" s="4" t="str">
        <f>IFERROR(__xludf.DUMMYFUNCTION("""COMPUTED_VALUE"""),"cas_hmw")</f>
        <v>cas_hmw</v>
      </c>
      <c r="B13465" s="5">
        <f>IFERROR(__xludf.DUMMYFUNCTION("""COMPUTED_VALUE"""),44719.0)</f>
        <v>44719</v>
      </c>
      <c r="C13465" s="6">
        <f>IFERROR(__xludf.DUMMYFUNCTION("""COMPUTED_VALUE"""),0.32991898148247856)</f>
        <v>0.3299189815</v>
      </c>
      <c r="D13465" s="4">
        <f>IFERROR(__xludf.DUMMYFUNCTION("""COMPUTED_VALUE"""),12.750003)</f>
        <v>12.750003</v>
      </c>
      <c r="E13465" s="4">
        <f>IFERROR(__xludf.DUMMYFUNCTION("""COMPUTED_VALUE"""),79.997779)</f>
        <v>79.997779</v>
      </c>
      <c r="F13465" s="4">
        <f>IFERROR(__xludf.DUMMYFUNCTION("""COMPUTED_VALUE"""),805.0)</f>
        <v>805</v>
      </c>
      <c r="G13465" s="4">
        <f>IFERROR(__xludf.DUMMYFUNCTION("""COMPUTED_VALUE"""),58.0)</f>
        <v>58</v>
      </c>
      <c r="H13465" s="4"/>
      <c r="I13465" s="4"/>
    </row>
    <row r="13466">
      <c r="A13466" s="4" t="str">
        <f>IFERROR(__xludf.DUMMYFUNCTION("""COMPUTED_VALUE"""),"cas_hmw")</f>
        <v>cas_hmw</v>
      </c>
      <c r="B13466" s="5">
        <f>IFERROR(__xludf.DUMMYFUNCTION("""COMPUTED_VALUE"""),44719.0)</f>
        <v>44719</v>
      </c>
      <c r="C13466" s="6">
        <f>IFERROR(__xludf.DUMMYFUNCTION("""COMPUTED_VALUE"""),0.3300578703710926)</f>
        <v>0.3300578704</v>
      </c>
      <c r="D13466" s="4">
        <f>IFERROR(__xludf.DUMMYFUNCTION("""COMPUTED_VALUE"""),12.994054)</f>
        <v>12.994054</v>
      </c>
      <c r="E13466" s="4">
        <f>IFERROR(__xludf.DUMMYFUNCTION("""COMPUTED_VALUE"""),80.185685)</f>
        <v>80.185685</v>
      </c>
      <c r="F13466" s="4">
        <f>IFERROR(__xludf.DUMMYFUNCTION("""COMPUTED_VALUE"""),2846.0)</f>
        <v>2846</v>
      </c>
      <c r="G13466" s="4">
        <f>IFERROR(__xludf.DUMMYFUNCTION("""COMPUTED_VALUE"""),22.0)</f>
        <v>22</v>
      </c>
      <c r="H13466" s="4"/>
      <c r="I13466" s="4"/>
    </row>
    <row r="13467">
      <c r="A13467" s="4" t="str">
        <f>IFERROR(__xludf.DUMMYFUNCTION("""COMPUTED_VALUE"""),"cas_hmw")</f>
        <v>cas_hmw</v>
      </c>
      <c r="B13467" s="5">
        <f>IFERROR(__xludf.DUMMYFUNCTION("""COMPUTED_VALUE"""),44719.0)</f>
        <v>44719</v>
      </c>
      <c r="C13467" s="6">
        <f>IFERROR(__xludf.DUMMYFUNCTION("""COMPUTED_VALUE"""),0.33006944444423425)</f>
        <v>0.3300694444</v>
      </c>
      <c r="D13467" s="4">
        <f>IFERROR(__xludf.DUMMYFUNCTION("""COMPUTED_VALUE"""),12.994054)</f>
        <v>12.994054</v>
      </c>
      <c r="E13467" s="4">
        <f>IFERROR(__xludf.DUMMYFUNCTION("""COMPUTED_VALUE"""),80.185685)</f>
        <v>80.185685</v>
      </c>
      <c r="F13467" s="4">
        <f>IFERROR(__xludf.DUMMYFUNCTION("""COMPUTED_VALUE"""),2846.0)</f>
        <v>2846</v>
      </c>
      <c r="G13467" s="4">
        <f>IFERROR(__xludf.DUMMYFUNCTION("""COMPUTED_VALUE"""),22.0)</f>
        <v>22</v>
      </c>
      <c r="H13467" s="4"/>
      <c r="I13467" s="4"/>
    </row>
    <row r="13468">
      <c r="A13468" s="4" t="str">
        <f>IFERROR(__xludf.DUMMYFUNCTION("""COMPUTED_VALUE"""),"cas_hmw")</f>
        <v>cas_hmw</v>
      </c>
      <c r="B13468" s="5">
        <f>IFERROR(__xludf.DUMMYFUNCTION("""COMPUTED_VALUE"""),44719.0)</f>
        <v>44719</v>
      </c>
      <c r="C13468" s="6">
        <f>IFERROR(__xludf.DUMMYFUNCTION("""COMPUTED_VALUE"""),0.33020833333284827)</f>
        <v>0.3302083333</v>
      </c>
      <c r="D13468" s="4">
        <f>IFERROR(__xludf.DUMMYFUNCTION("""COMPUTED_VALUE"""),12.993707)</f>
        <v>12.993707</v>
      </c>
      <c r="E13468" s="4">
        <f>IFERROR(__xludf.DUMMYFUNCTION("""COMPUTED_VALUE"""),80.185032)</f>
        <v>80.185032</v>
      </c>
      <c r="F13468" s="4">
        <f>IFERROR(__xludf.DUMMYFUNCTION("""COMPUTED_VALUE"""),2846.0)</f>
        <v>2846</v>
      </c>
      <c r="G13468" s="4">
        <f>IFERROR(__xludf.DUMMYFUNCTION("""COMPUTED_VALUE"""),34.0)</f>
        <v>34</v>
      </c>
      <c r="H13468" s="4"/>
      <c r="I13468" s="4"/>
    </row>
    <row r="13469">
      <c r="A13469" s="4" t="str">
        <f>IFERROR(__xludf.DUMMYFUNCTION("""COMPUTED_VALUE"""),"cas_hmw")</f>
        <v>cas_hmw</v>
      </c>
      <c r="B13469" s="5">
        <f>IFERROR(__xludf.DUMMYFUNCTION("""COMPUTED_VALUE"""),44719.0)</f>
        <v>44719</v>
      </c>
      <c r="C13469" s="6">
        <f>IFERROR(__xludf.DUMMYFUNCTION("""COMPUTED_VALUE"""),0.3315740740727051)</f>
        <v>0.3315740741</v>
      </c>
      <c r="D13469" s="4">
        <f>IFERROR(__xludf.DUMMYFUNCTION("""COMPUTED_VALUE"""),12.992198)</f>
        <v>12.992198</v>
      </c>
      <c r="E13469" s="4">
        <f>IFERROR(__xludf.DUMMYFUNCTION("""COMPUTED_VALUE"""),80.182455)</f>
        <v>80.182455</v>
      </c>
      <c r="F13469" s="4">
        <f>IFERROR(__xludf.DUMMYFUNCTION("""COMPUTED_VALUE"""),2846.0)</f>
        <v>2846</v>
      </c>
      <c r="G13469" s="4">
        <f>IFERROR(__xludf.DUMMYFUNCTION("""COMPUTED_VALUE"""),37.0)</f>
        <v>37</v>
      </c>
      <c r="H13469" s="4"/>
      <c r="I13469" s="4"/>
    </row>
    <row r="13470">
      <c r="A13470" s="4" t="str">
        <f>IFERROR(__xludf.DUMMYFUNCTION("""COMPUTED_VALUE"""),"cas_hmw")</f>
        <v>cas_hmw</v>
      </c>
      <c r="B13470" s="5">
        <f>IFERROR(__xludf.DUMMYFUNCTION("""COMPUTED_VALUE"""),44719.0)</f>
        <v>44719</v>
      </c>
      <c r="C13470" s="6">
        <f>IFERROR(__xludf.DUMMYFUNCTION("""COMPUTED_VALUE"""),0.3326041666659876)</f>
        <v>0.3326041667</v>
      </c>
      <c r="D13470" s="4">
        <f>IFERROR(__xludf.DUMMYFUNCTION("""COMPUTED_VALUE"""),12.992198)</f>
        <v>12.992198</v>
      </c>
      <c r="E13470" s="4">
        <f>IFERROR(__xludf.DUMMYFUNCTION("""COMPUTED_VALUE"""),80.182455)</f>
        <v>80.182455</v>
      </c>
      <c r="F13470" s="4">
        <f>IFERROR(__xludf.DUMMYFUNCTION("""COMPUTED_VALUE"""),2846.0)</f>
        <v>2846</v>
      </c>
      <c r="G13470" s="4">
        <f>IFERROR(__xludf.DUMMYFUNCTION("""COMPUTED_VALUE"""),37.0)</f>
        <v>37</v>
      </c>
      <c r="H13470" s="4"/>
      <c r="I13470" s="4"/>
    </row>
    <row r="13471">
      <c r="A13471" s="4" t="str">
        <f>IFERROR(__xludf.DUMMYFUNCTION("""COMPUTED_VALUE"""),"cas_hmw")</f>
        <v>cas_hmw</v>
      </c>
      <c r="B13471" s="5">
        <f>IFERROR(__xludf.DUMMYFUNCTION("""COMPUTED_VALUE"""),44719.0)</f>
        <v>44719</v>
      </c>
      <c r="C13471" s="6">
        <f>IFERROR(__xludf.DUMMYFUNCTION("""COMPUTED_VALUE"""),0.3326967592583969)</f>
        <v>0.3326967593</v>
      </c>
      <c r="D13471" s="4">
        <f>IFERROR(__xludf.DUMMYFUNCTION("""COMPUTED_VALUE"""),12.992198)</f>
        <v>12.992198</v>
      </c>
      <c r="E13471" s="4">
        <f>IFERROR(__xludf.DUMMYFUNCTION("""COMPUTED_VALUE"""),80.182455)</f>
        <v>80.182455</v>
      </c>
      <c r="F13471" s="4">
        <f>IFERROR(__xludf.DUMMYFUNCTION("""COMPUTED_VALUE"""),2846.0)</f>
        <v>2846</v>
      </c>
      <c r="G13471" s="4">
        <f>IFERROR(__xludf.DUMMYFUNCTION("""COMPUTED_VALUE"""),37.0)</f>
        <v>37</v>
      </c>
      <c r="H13471" s="4"/>
      <c r="I13471" s="4"/>
    </row>
    <row r="13472">
      <c r="A13472" s="4" t="str">
        <f>IFERROR(__xludf.DUMMYFUNCTION("""COMPUTED_VALUE"""),"cas_hmw")</f>
        <v>cas_hmw</v>
      </c>
      <c r="B13472" s="5">
        <f>IFERROR(__xludf.DUMMYFUNCTION("""COMPUTED_VALUE"""),44719.0)</f>
        <v>44719</v>
      </c>
      <c r="C13472" s="6">
        <f>IFERROR(__xludf.DUMMYFUNCTION("""COMPUTED_VALUE"""),0.33285879629693227)</f>
        <v>0.3328587963</v>
      </c>
      <c r="D13472" s="4">
        <f>IFERROR(__xludf.DUMMYFUNCTION("""COMPUTED_VALUE"""),12.992198)</f>
        <v>12.992198</v>
      </c>
      <c r="E13472" s="4">
        <f>IFERROR(__xludf.DUMMYFUNCTION("""COMPUTED_VALUE"""),80.182455)</f>
        <v>80.182455</v>
      </c>
      <c r="F13472" s="4">
        <f>IFERROR(__xludf.DUMMYFUNCTION("""COMPUTED_VALUE"""),2846.0)</f>
        <v>2846</v>
      </c>
      <c r="G13472" s="4">
        <f>IFERROR(__xludf.DUMMYFUNCTION("""COMPUTED_VALUE"""),37.0)</f>
        <v>37</v>
      </c>
      <c r="H13472" s="4"/>
      <c r="I13472" s="4"/>
    </row>
    <row r="13473">
      <c r="A13473" s="4" t="str">
        <f>IFERROR(__xludf.DUMMYFUNCTION("""COMPUTED_VALUE"""),"cas_hmw")</f>
        <v>cas_hmw</v>
      </c>
      <c r="B13473" s="5">
        <f>IFERROR(__xludf.DUMMYFUNCTION("""COMPUTED_VALUE"""),44719.0)</f>
        <v>44719</v>
      </c>
      <c r="C13473" s="6">
        <f>IFERROR(__xludf.DUMMYFUNCTION("""COMPUTED_VALUE"""),0.3329282407394203)</f>
        <v>0.3329282407</v>
      </c>
      <c r="D13473" s="4">
        <f>IFERROR(__xludf.DUMMYFUNCTION("""COMPUTED_VALUE"""),12.76528)</f>
        <v>12.76528</v>
      </c>
      <c r="E13473" s="4">
        <f>IFERROR(__xludf.DUMMYFUNCTION("""COMPUTED_VALUE"""),80.004933)</f>
        <v>80.004933</v>
      </c>
      <c r="F13473" s="4">
        <f>IFERROR(__xludf.DUMMYFUNCTION("""COMPUTED_VALUE"""),805.0)</f>
        <v>805</v>
      </c>
      <c r="G13473" s="4">
        <f>IFERROR(__xludf.DUMMYFUNCTION("""COMPUTED_VALUE"""),18.0)</f>
        <v>18</v>
      </c>
      <c r="H13473" s="4"/>
      <c r="I13473" s="4"/>
    </row>
    <row r="13474">
      <c r="A13474" s="4" t="str">
        <f>IFERROR(__xludf.DUMMYFUNCTION("""COMPUTED_VALUE"""),"cas_hmw")</f>
        <v>cas_hmw</v>
      </c>
      <c r="B13474" s="5">
        <f>IFERROR(__xludf.DUMMYFUNCTION("""COMPUTED_VALUE"""),44719.0)</f>
        <v>44719</v>
      </c>
      <c r="C13474" s="6">
        <f>IFERROR(__xludf.DUMMYFUNCTION("""COMPUTED_VALUE"""),0.33297453703562496)</f>
        <v>0.332974537</v>
      </c>
      <c r="D13474" s="4">
        <f>IFERROR(__xludf.DUMMYFUNCTION("""COMPUTED_VALUE"""),12.765879)</f>
        <v>12.765879</v>
      </c>
      <c r="E13474" s="4">
        <f>IFERROR(__xludf.DUMMYFUNCTION("""COMPUTED_VALUE"""),80.005167)</f>
        <v>80.005167</v>
      </c>
      <c r="F13474" s="4">
        <f>IFERROR(__xludf.DUMMYFUNCTION("""COMPUTED_VALUE"""),805.0)</f>
        <v>805</v>
      </c>
      <c r="G13474" s="4">
        <f>IFERROR(__xludf.DUMMYFUNCTION("""COMPUTED_VALUE"""),28.0)</f>
        <v>28</v>
      </c>
      <c r="H13474" s="4"/>
      <c r="I13474" s="4"/>
    </row>
    <row r="13475">
      <c r="A13475" s="4" t="str">
        <f>IFERROR(__xludf.DUMMYFUNCTION("""COMPUTED_VALUE"""),"cas_hmw")</f>
        <v>cas_hmw</v>
      </c>
      <c r="B13475" s="5">
        <f>IFERROR(__xludf.DUMMYFUNCTION("""COMPUTED_VALUE"""),44719.0)</f>
        <v>44719</v>
      </c>
      <c r="C13475" s="6">
        <f>IFERROR(__xludf.DUMMYFUNCTION("""COMPUTED_VALUE"""),0.3330324074086093)</f>
        <v>0.3330324074</v>
      </c>
      <c r="D13475" s="4">
        <f>IFERROR(__xludf.DUMMYFUNCTION("""COMPUTED_VALUE"""),12.765879)</f>
        <v>12.765879</v>
      </c>
      <c r="E13475" s="4">
        <f>IFERROR(__xludf.DUMMYFUNCTION("""COMPUTED_VALUE"""),80.005167)</f>
        <v>80.005167</v>
      </c>
      <c r="F13475" s="4">
        <f>IFERROR(__xludf.DUMMYFUNCTION("""COMPUTED_VALUE"""),805.0)</f>
        <v>805</v>
      </c>
      <c r="G13475" s="4">
        <f>IFERROR(__xludf.DUMMYFUNCTION("""COMPUTED_VALUE"""),28.0)</f>
        <v>28</v>
      </c>
      <c r="H13475" s="4"/>
      <c r="I13475" s="4"/>
    </row>
    <row r="13476">
      <c r="A13476" s="4" t="str">
        <f>IFERROR(__xludf.DUMMYFUNCTION("""COMPUTED_VALUE"""),"cas_hmw")</f>
        <v>cas_hmw</v>
      </c>
      <c r="B13476" s="5">
        <f>IFERROR(__xludf.DUMMYFUNCTION("""COMPUTED_VALUE"""),44719.0)</f>
        <v>44719</v>
      </c>
      <c r="C13476" s="6">
        <f>IFERROR(__xludf.DUMMYFUNCTION("""COMPUTED_VALUE"""),0.33305555555489263)</f>
        <v>0.3330555556</v>
      </c>
      <c r="D13476" s="4">
        <f>IFERROR(__xludf.DUMMYFUNCTION("""COMPUTED_VALUE"""),12.992198)</f>
        <v>12.992198</v>
      </c>
      <c r="E13476" s="4">
        <f>IFERROR(__xludf.DUMMYFUNCTION("""COMPUTED_VALUE"""),80.182455)</f>
        <v>80.182455</v>
      </c>
      <c r="F13476" s="4">
        <f>IFERROR(__xludf.DUMMYFUNCTION("""COMPUTED_VALUE"""),2846.0)</f>
        <v>2846</v>
      </c>
      <c r="G13476" s="4">
        <f>IFERROR(__xludf.DUMMYFUNCTION("""COMPUTED_VALUE"""),37.0)</f>
        <v>37</v>
      </c>
      <c r="H13476" s="4"/>
      <c r="I13476" s="4"/>
    </row>
    <row r="13477">
      <c r="A13477" s="4" t="str">
        <f>IFERROR(__xludf.DUMMYFUNCTION("""COMPUTED_VALUE"""),"cas_hmw")</f>
        <v>cas_hmw</v>
      </c>
      <c r="B13477" s="5">
        <f>IFERROR(__xludf.DUMMYFUNCTION("""COMPUTED_VALUE"""),44719.0)</f>
        <v>44719</v>
      </c>
      <c r="C13477" s="6">
        <f>IFERROR(__xludf.DUMMYFUNCTION("""COMPUTED_VALUE"""),0.333113425924239)</f>
        <v>0.3331134259</v>
      </c>
      <c r="D13477" s="4">
        <f>IFERROR(__xludf.DUMMYFUNCTION("""COMPUTED_VALUE"""),12.992198)</f>
        <v>12.992198</v>
      </c>
      <c r="E13477" s="4">
        <f>IFERROR(__xludf.DUMMYFUNCTION("""COMPUTED_VALUE"""),80.182455)</f>
        <v>80.182455</v>
      </c>
      <c r="F13477" s="4">
        <f>IFERROR(__xludf.DUMMYFUNCTION("""COMPUTED_VALUE"""),2846.0)</f>
        <v>2846</v>
      </c>
      <c r="G13477" s="4">
        <f>IFERROR(__xludf.DUMMYFUNCTION("""COMPUTED_VALUE"""),37.0)</f>
        <v>37</v>
      </c>
      <c r="H13477" s="4"/>
      <c r="I13477" s="4"/>
    </row>
    <row r="13478">
      <c r="A13478" s="4" t="str">
        <f>IFERROR(__xludf.DUMMYFUNCTION("""COMPUTED_VALUE"""),"cas_hmw")</f>
        <v>cas_hmw</v>
      </c>
      <c r="B13478" s="5">
        <f>IFERROR(__xludf.DUMMYFUNCTION("""COMPUTED_VALUE"""),44719.0)</f>
        <v>44719</v>
      </c>
      <c r="C13478" s="6">
        <f>IFERROR(__xludf.DUMMYFUNCTION("""COMPUTED_VALUE"""),0.3331365740741603)</f>
        <v>0.3331365741</v>
      </c>
      <c r="D13478" s="4">
        <f>IFERROR(__xludf.DUMMYFUNCTION("""COMPUTED_VALUE"""),12.992198)</f>
        <v>12.992198</v>
      </c>
      <c r="E13478" s="4">
        <f>IFERROR(__xludf.DUMMYFUNCTION("""COMPUTED_VALUE"""),80.182455)</f>
        <v>80.182455</v>
      </c>
      <c r="F13478" s="4">
        <f>IFERROR(__xludf.DUMMYFUNCTION("""COMPUTED_VALUE"""),2846.0)</f>
        <v>2846</v>
      </c>
      <c r="G13478" s="4">
        <f>IFERROR(__xludf.DUMMYFUNCTION("""COMPUTED_VALUE"""),37.0)</f>
        <v>37</v>
      </c>
      <c r="H13478" s="4"/>
      <c r="I13478" s="4"/>
    </row>
    <row r="13479">
      <c r="A13479" s="4" t="str">
        <f>IFERROR(__xludf.DUMMYFUNCTION("""COMPUTED_VALUE"""),"cas_hmw")</f>
        <v>cas_hmw</v>
      </c>
      <c r="B13479" s="5">
        <f>IFERROR(__xludf.DUMMYFUNCTION("""COMPUTED_VALUE"""),44719.0)</f>
        <v>44719</v>
      </c>
      <c r="C13479" s="6">
        <f>IFERROR(__xludf.DUMMYFUNCTION("""COMPUTED_VALUE"""),0.3331712962972233)</f>
        <v>0.3331712963</v>
      </c>
      <c r="D13479" s="4">
        <f>IFERROR(__xludf.DUMMYFUNCTION("""COMPUTED_VALUE"""),12.992198)</f>
        <v>12.992198</v>
      </c>
      <c r="E13479" s="4">
        <f>IFERROR(__xludf.DUMMYFUNCTION("""COMPUTED_VALUE"""),80.182455)</f>
        <v>80.182455</v>
      </c>
      <c r="F13479" s="4">
        <f>IFERROR(__xludf.DUMMYFUNCTION("""COMPUTED_VALUE"""),2846.0)</f>
        <v>2846</v>
      </c>
      <c r="G13479" s="4">
        <f>IFERROR(__xludf.DUMMYFUNCTION("""COMPUTED_VALUE"""),37.0)</f>
        <v>37</v>
      </c>
      <c r="H13479" s="4"/>
      <c r="I13479" s="4"/>
    </row>
    <row r="13480">
      <c r="A13480" s="4" t="str">
        <f>IFERROR(__xludf.DUMMYFUNCTION("""COMPUTED_VALUE"""),"cas_hmw")</f>
        <v>cas_hmw</v>
      </c>
      <c r="B13480" s="5">
        <f>IFERROR(__xludf.DUMMYFUNCTION("""COMPUTED_VALUE"""),44719.0)</f>
        <v>44719</v>
      </c>
      <c r="C13480" s="6">
        <f>IFERROR(__xludf.DUMMYFUNCTION("""COMPUTED_VALUE"""),0.3333449074089003)</f>
        <v>0.3333449074</v>
      </c>
      <c r="D13480" s="4">
        <f>IFERROR(__xludf.DUMMYFUNCTION("""COMPUTED_VALUE"""),12.992198)</f>
        <v>12.992198</v>
      </c>
      <c r="E13480" s="4">
        <f>IFERROR(__xludf.DUMMYFUNCTION("""COMPUTED_VALUE"""),80.182455)</f>
        <v>80.182455</v>
      </c>
      <c r="F13480" s="4">
        <f>IFERROR(__xludf.DUMMYFUNCTION("""COMPUTED_VALUE"""),2846.0)</f>
        <v>2846</v>
      </c>
      <c r="G13480" s="4">
        <f>IFERROR(__xludf.DUMMYFUNCTION("""COMPUTED_VALUE"""),37.0)</f>
        <v>37</v>
      </c>
      <c r="H13480" s="4"/>
      <c r="I13480" s="4"/>
    </row>
    <row r="13481">
      <c r="A13481" s="4" t="str">
        <f>IFERROR(__xludf.DUMMYFUNCTION("""COMPUTED_VALUE"""),"cas_hmw")</f>
        <v>cas_hmw</v>
      </c>
      <c r="B13481" s="5">
        <f>IFERROR(__xludf.DUMMYFUNCTION("""COMPUTED_VALUE"""),44719.0)</f>
        <v>44719</v>
      </c>
      <c r="C13481" s="6">
        <f>IFERROR(__xludf.DUMMYFUNCTION("""COMPUTED_VALUE"""),0.333391203705105)</f>
        <v>0.3333912037</v>
      </c>
      <c r="D13481" s="4">
        <f>IFERROR(__xludf.DUMMYFUNCTION("""COMPUTED_VALUE"""),12.767648)</f>
        <v>12.767648</v>
      </c>
      <c r="E13481" s="4">
        <f>IFERROR(__xludf.DUMMYFUNCTION("""COMPUTED_VALUE"""),80.005983)</f>
        <v>80.005983</v>
      </c>
      <c r="F13481" s="4">
        <f>IFERROR(__xludf.DUMMYFUNCTION("""COMPUTED_VALUE"""),805.0)</f>
        <v>805</v>
      </c>
      <c r="G13481" s="4">
        <f>IFERROR(__xludf.DUMMYFUNCTION("""COMPUTED_VALUE"""),41.0)</f>
        <v>41</v>
      </c>
      <c r="H13481" s="4"/>
      <c r="I13481" s="4"/>
    </row>
    <row r="13482">
      <c r="A13482" s="4" t="str">
        <f>IFERROR(__xludf.DUMMYFUNCTION("""COMPUTED_VALUE"""),"cas_hmw")</f>
        <v>cas_hmw</v>
      </c>
      <c r="B13482" s="5">
        <f>IFERROR(__xludf.DUMMYFUNCTION("""COMPUTED_VALUE"""),44719.0)</f>
        <v>44719</v>
      </c>
      <c r="C13482" s="6">
        <f>IFERROR(__xludf.DUMMYFUNCTION("""COMPUTED_VALUE"""),0.33359953703620704)</f>
        <v>0.333599537</v>
      </c>
      <c r="D13482" s="4">
        <f>IFERROR(__xludf.DUMMYFUNCTION("""COMPUTED_VALUE"""),12.992198)</f>
        <v>12.992198</v>
      </c>
      <c r="E13482" s="4">
        <f>IFERROR(__xludf.DUMMYFUNCTION("""COMPUTED_VALUE"""),80.182455)</f>
        <v>80.182455</v>
      </c>
      <c r="F13482" s="4">
        <f>IFERROR(__xludf.DUMMYFUNCTION("""COMPUTED_VALUE"""),2846.0)</f>
        <v>2846</v>
      </c>
      <c r="G13482" s="4">
        <f>IFERROR(__xludf.DUMMYFUNCTION("""COMPUTED_VALUE"""),37.0)</f>
        <v>37</v>
      </c>
      <c r="H13482" s="4"/>
      <c r="I13482" s="4"/>
    </row>
    <row r="13483">
      <c r="A13483" s="4" t="str">
        <f>IFERROR(__xludf.DUMMYFUNCTION("""COMPUTED_VALUE"""),"cas_hmw")</f>
        <v>cas_hmw</v>
      </c>
      <c r="B13483" s="5">
        <f>IFERROR(__xludf.DUMMYFUNCTION("""COMPUTED_VALUE"""),44719.0)</f>
        <v>44719</v>
      </c>
      <c r="C13483" s="6">
        <f>IFERROR(__xludf.DUMMYFUNCTION("""COMPUTED_VALUE"""),0.33380787037094706)</f>
        <v>0.3338078704</v>
      </c>
      <c r="D13483" s="4">
        <f>IFERROR(__xludf.DUMMYFUNCTION("""COMPUTED_VALUE"""),12.992198)</f>
        <v>12.992198</v>
      </c>
      <c r="E13483" s="4">
        <f>IFERROR(__xludf.DUMMYFUNCTION("""COMPUTED_VALUE"""),80.182455)</f>
        <v>80.182455</v>
      </c>
      <c r="F13483" s="4">
        <f>IFERROR(__xludf.DUMMYFUNCTION("""COMPUTED_VALUE"""),2846.0)</f>
        <v>2846</v>
      </c>
      <c r="G13483" s="4">
        <f>IFERROR(__xludf.DUMMYFUNCTION("""COMPUTED_VALUE"""),37.0)</f>
        <v>37</v>
      </c>
      <c r="H13483" s="4"/>
      <c r="I13483" s="4"/>
    </row>
    <row r="13484">
      <c r="A13484" s="4" t="str">
        <f>IFERROR(__xludf.DUMMYFUNCTION("""COMPUTED_VALUE"""),"cas_hmw")</f>
        <v>cas_hmw</v>
      </c>
      <c r="B13484" s="5">
        <f>IFERROR(__xludf.DUMMYFUNCTION("""COMPUTED_VALUE"""),44719.0)</f>
        <v>44719</v>
      </c>
      <c r="C13484" s="6">
        <f>IFERROR(__xludf.DUMMYFUNCTION("""COMPUTED_VALUE"""),0.33547453703795327)</f>
        <v>0.335474537</v>
      </c>
      <c r="D13484" s="4">
        <f>IFERROR(__xludf.DUMMYFUNCTION("""COMPUTED_VALUE"""),12.992198)</f>
        <v>12.992198</v>
      </c>
      <c r="E13484" s="4">
        <f>IFERROR(__xludf.DUMMYFUNCTION("""COMPUTED_VALUE"""),80.182455)</f>
        <v>80.182455</v>
      </c>
      <c r="F13484" s="4">
        <f>IFERROR(__xludf.DUMMYFUNCTION("""COMPUTED_VALUE"""),2846.0)</f>
        <v>2846</v>
      </c>
      <c r="G13484" s="4">
        <f>IFERROR(__xludf.DUMMYFUNCTION("""COMPUTED_VALUE"""),37.0)</f>
        <v>37</v>
      </c>
      <c r="H13484" s="4"/>
      <c r="I13484" s="4"/>
    </row>
    <row r="13485">
      <c r="A13485" s="4" t="str">
        <f>IFERROR(__xludf.DUMMYFUNCTION("""COMPUTED_VALUE"""),"cas_hmw")</f>
        <v>cas_hmw</v>
      </c>
      <c r="B13485" s="5">
        <f>IFERROR(__xludf.DUMMYFUNCTION("""COMPUTED_VALUE"""),44719.0)</f>
        <v>44719</v>
      </c>
      <c r="C13485" s="6">
        <f>IFERROR(__xludf.DUMMYFUNCTION("""COMPUTED_VALUE"""),0.33562499999970896)</f>
        <v>0.335625</v>
      </c>
      <c r="D13485" s="4">
        <f>IFERROR(__xludf.DUMMYFUNCTION("""COMPUTED_VALUE"""),12.791577)</f>
        <v>12.791577</v>
      </c>
      <c r="E13485" s="4">
        <f>IFERROR(__xludf.DUMMYFUNCTION("""COMPUTED_VALUE"""),80.017826)</f>
        <v>80.017826</v>
      </c>
      <c r="F13485" s="4">
        <f>IFERROR(__xludf.DUMMYFUNCTION("""COMPUTED_VALUE"""),805.0)</f>
        <v>805</v>
      </c>
      <c r="G13485" s="4">
        <f>IFERROR(__xludf.DUMMYFUNCTION("""COMPUTED_VALUE"""),50.0)</f>
        <v>50</v>
      </c>
      <c r="H13485" s="4"/>
      <c r="I13485" s="4"/>
    </row>
    <row r="13486">
      <c r="A13486" s="4" t="str">
        <f>IFERROR(__xludf.DUMMYFUNCTION("""COMPUTED_VALUE"""),"cas_hmw")</f>
        <v>cas_hmw</v>
      </c>
      <c r="B13486" s="5">
        <f>IFERROR(__xludf.DUMMYFUNCTION("""COMPUTED_VALUE"""),44719.0)</f>
        <v>44719</v>
      </c>
      <c r="C13486" s="6">
        <f>IFERROR(__xludf.DUMMYFUNCTION("""COMPUTED_VALUE"""),0.33582175925766933)</f>
        <v>0.3358217593</v>
      </c>
      <c r="D13486" s="4">
        <f>IFERROR(__xludf.DUMMYFUNCTION("""COMPUTED_VALUE"""),12.792631)</f>
        <v>12.792631</v>
      </c>
      <c r="E13486" s="4">
        <f>IFERROR(__xludf.DUMMYFUNCTION("""COMPUTED_VALUE"""),80.018491)</f>
        <v>80.018491</v>
      </c>
      <c r="F13486" s="4">
        <f>IFERROR(__xludf.DUMMYFUNCTION("""COMPUTED_VALUE"""),805.0)</f>
        <v>805</v>
      </c>
      <c r="G13486" s="4">
        <f>IFERROR(__xludf.DUMMYFUNCTION("""COMPUTED_VALUE"""),50.0)</f>
        <v>50</v>
      </c>
      <c r="H13486" s="4"/>
      <c r="I13486" s="4"/>
    </row>
    <row r="13487">
      <c r="A13487" s="4" t="str">
        <f>IFERROR(__xludf.DUMMYFUNCTION("""COMPUTED_VALUE"""),"cas_hmw")</f>
        <v>cas_hmw</v>
      </c>
      <c r="B13487" s="5">
        <f>IFERROR(__xludf.DUMMYFUNCTION("""COMPUTED_VALUE"""),44719.0)</f>
        <v>44719</v>
      </c>
      <c r="C13487" s="6">
        <f>IFERROR(__xludf.DUMMYFUNCTION("""COMPUTED_VALUE"""),0.3370254629626288)</f>
        <v>0.337025463</v>
      </c>
      <c r="D13487" s="4">
        <f>IFERROR(__xludf.DUMMYFUNCTION("""COMPUTED_VALUE"""),12.801323)</f>
        <v>12.801323</v>
      </c>
      <c r="E13487" s="4">
        <f>IFERROR(__xludf.DUMMYFUNCTION("""COMPUTED_VALUE"""),80.024156)</f>
        <v>80.024156</v>
      </c>
      <c r="F13487" s="4">
        <f>IFERROR(__xludf.DUMMYFUNCTION("""COMPUTED_VALUE"""),805.0)</f>
        <v>805</v>
      </c>
      <c r="G13487" s="4">
        <f>IFERROR(__xludf.DUMMYFUNCTION("""COMPUTED_VALUE"""),58.0)</f>
        <v>58</v>
      </c>
      <c r="H13487" s="4"/>
      <c r="I13487" s="4"/>
    </row>
    <row r="13488">
      <c r="A13488" s="4" t="str">
        <f>IFERROR(__xludf.DUMMYFUNCTION("""COMPUTED_VALUE"""),"cas_hmw")</f>
        <v>cas_hmw</v>
      </c>
      <c r="B13488" s="5">
        <f>IFERROR(__xludf.DUMMYFUNCTION("""COMPUTED_VALUE"""),44719.0)</f>
        <v>44719</v>
      </c>
      <c r="C13488" s="6">
        <f>IFERROR(__xludf.DUMMYFUNCTION("""COMPUTED_VALUE"""),0.33762731481328956)</f>
        <v>0.3376273148</v>
      </c>
      <c r="D13488" s="4">
        <f>IFERROR(__xludf.DUMMYFUNCTION("""COMPUTED_VALUE"""),12.807283)</f>
        <v>12.807283</v>
      </c>
      <c r="E13488" s="4">
        <f>IFERROR(__xludf.DUMMYFUNCTION("""COMPUTED_VALUE"""),80.028054)</f>
        <v>80.028054</v>
      </c>
      <c r="F13488" s="4">
        <f>IFERROR(__xludf.DUMMYFUNCTION("""COMPUTED_VALUE"""),805.0)</f>
        <v>805</v>
      </c>
      <c r="G13488" s="4">
        <f>IFERROR(__xludf.DUMMYFUNCTION("""COMPUTED_VALUE"""),52.0)</f>
        <v>52</v>
      </c>
      <c r="H13488" s="4"/>
      <c r="I13488" s="4"/>
    </row>
    <row r="13489">
      <c r="A13489" s="4" t="str">
        <f>IFERROR(__xludf.DUMMYFUNCTION("""COMPUTED_VALUE"""),"cas_hmw")</f>
        <v>cas_hmw</v>
      </c>
      <c r="B13489" s="5">
        <f>IFERROR(__xludf.DUMMYFUNCTION("""COMPUTED_VALUE"""),44719.0)</f>
        <v>44719</v>
      </c>
      <c r="C13489" s="6">
        <f>IFERROR(__xludf.DUMMYFUNCTION("""COMPUTED_VALUE"""),0.3404513888890506)</f>
        <v>0.3404513889</v>
      </c>
      <c r="D13489" s="4">
        <f>IFERROR(__xludf.DUMMYFUNCTION("""COMPUTED_VALUE"""),12.944074)</f>
        <v>12.944074</v>
      </c>
      <c r="E13489" s="4">
        <f>IFERROR(__xludf.DUMMYFUNCTION("""COMPUTED_VALUE"""),80.134691)</f>
        <v>80.134691</v>
      </c>
      <c r="F13489" s="4">
        <f>IFERROR(__xludf.DUMMYFUNCTION("""COMPUTED_VALUE"""),2846.0)</f>
        <v>2846</v>
      </c>
      <c r="G13489" s="4">
        <f>IFERROR(__xludf.DUMMYFUNCTION("""COMPUTED_VALUE"""),20.0)</f>
        <v>20</v>
      </c>
      <c r="H13489" s="4"/>
      <c r="I13489" s="4"/>
    </row>
    <row r="13490">
      <c r="A13490" s="4" t="str">
        <f>IFERROR(__xludf.DUMMYFUNCTION("""COMPUTED_VALUE"""),"cas_hmw")</f>
        <v>cas_hmw</v>
      </c>
      <c r="B13490" s="5">
        <f>IFERROR(__xludf.DUMMYFUNCTION("""COMPUTED_VALUE"""),44719.0)</f>
        <v>44719</v>
      </c>
      <c r="C13490" s="6">
        <f>IFERROR(__xludf.DUMMYFUNCTION("""COMPUTED_VALUE"""),0.34068287037007394)</f>
        <v>0.3406828704</v>
      </c>
      <c r="D13490" s="4">
        <f>IFERROR(__xludf.DUMMYFUNCTION("""COMPUTED_VALUE"""),12.834706)</f>
        <v>12.834706</v>
      </c>
      <c r="E13490" s="4">
        <f>IFERROR(__xludf.DUMMYFUNCTION("""COMPUTED_VALUE"""),80.049893)</f>
        <v>80.049893</v>
      </c>
      <c r="F13490" s="4">
        <f>IFERROR(__xludf.DUMMYFUNCTION("""COMPUTED_VALUE"""),805.0)</f>
        <v>805</v>
      </c>
      <c r="G13490" s="4">
        <f>IFERROR(__xludf.DUMMYFUNCTION("""COMPUTED_VALUE"""),58.0)</f>
        <v>58</v>
      </c>
      <c r="H13490" s="4"/>
      <c r="I13490" s="4"/>
    </row>
    <row r="13491">
      <c r="A13491" s="4" t="str">
        <f>IFERROR(__xludf.DUMMYFUNCTION("""COMPUTED_VALUE"""),"cas_hmw")</f>
        <v>cas_hmw</v>
      </c>
      <c r="B13491" s="5">
        <f>IFERROR(__xludf.DUMMYFUNCTION("""COMPUTED_VALUE"""),44719.0)</f>
        <v>44719</v>
      </c>
      <c r="C13491" s="6">
        <f>IFERROR(__xludf.DUMMYFUNCTION("""COMPUTED_VALUE"""),0.34078703703562496)</f>
        <v>0.340787037</v>
      </c>
      <c r="D13491" s="4">
        <f>IFERROR(__xludf.DUMMYFUNCTION("""COMPUTED_VALUE"""),12.942912)</f>
        <v>12.942912</v>
      </c>
      <c r="E13491" s="4">
        <f>IFERROR(__xludf.DUMMYFUNCTION("""COMPUTED_VALUE"""),80.133632)</f>
        <v>80.133632</v>
      </c>
      <c r="F13491" s="4">
        <f>IFERROR(__xludf.DUMMYFUNCTION("""COMPUTED_VALUE"""),2846.0)</f>
        <v>2846</v>
      </c>
      <c r="G13491" s="4">
        <f>IFERROR(__xludf.DUMMYFUNCTION("""COMPUTED_VALUE"""),38.0)</f>
        <v>38</v>
      </c>
      <c r="H13491" s="4"/>
      <c r="I13491" s="4"/>
    </row>
    <row r="13492">
      <c r="A13492" s="4" t="str">
        <f>IFERROR(__xludf.DUMMYFUNCTION("""COMPUTED_VALUE"""),"cas_hmw")</f>
        <v>cas_hmw</v>
      </c>
      <c r="B13492" s="5">
        <f>IFERROR(__xludf.DUMMYFUNCTION("""COMPUTED_VALUE"""),44719.0)</f>
        <v>44719</v>
      </c>
      <c r="C13492" s="6">
        <f>IFERROR(__xludf.DUMMYFUNCTION("""COMPUTED_VALUE"""),0.3407986111124046)</f>
        <v>0.3407986111</v>
      </c>
      <c r="D13492" s="4">
        <f>IFERROR(__xludf.DUMMYFUNCTION("""COMPUTED_VALUE"""),12.835742)</f>
        <v>12.835742</v>
      </c>
      <c r="E13492" s="4">
        <f>IFERROR(__xludf.DUMMYFUNCTION("""COMPUTED_VALUE"""),80.050946)</f>
        <v>80.050946</v>
      </c>
      <c r="F13492" s="4">
        <f>IFERROR(__xludf.DUMMYFUNCTION("""COMPUTED_VALUE"""),805.0)</f>
        <v>805</v>
      </c>
      <c r="G13492" s="4">
        <f>IFERROR(__xludf.DUMMYFUNCTION("""COMPUTED_VALUE"""),57.0)</f>
        <v>57</v>
      </c>
      <c r="H13492" s="4"/>
      <c r="I13492" s="4"/>
    </row>
    <row r="13493">
      <c r="A13493" s="4" t="str">
        <f>IFERROR(__xludf.DUMMYFUNCTION("""COMPUTED_VALUE"""),"cas_hmw")</f>
        <v>cas_hmw</v>
      </c>
      <c r="B13493" s="5">
        <f>IFERROR(__xludf.DUMMYFUNCTION("""COMPUTED_VALUE"""),44719.0)</f>
        <v>44719</v>
      </c>
      <c r="C13493" s="6">
        <f>IFERROR(__xludf.DUMMYFUNCTION("""COMPUTED_VALUE"""),0.34089120370481396)</f>
        <v>0.3408912037</v>
      </c>
      <c r="D13493" s="4">
        <f>IFERROR(__xludf.DUMMYFUNCTION("""COMPUTED_VALUE"""),12.83677)</f>
        <v>12.83677</v>
      </c>
      <c r="E13493" s="4">
        <f>IFERROR(__xludf.DUMMYFUNCTION("""COMPUTED_VALUE"""),80.052)</f>
        <v>80.052</v>
      </c>
      <c r="F13493" s="4">
        <f>IFERROR(__xludf.DUMMYFUNCTION("""COMPUTED_VALUE"""),805.0)</f>
        <v>805</v>
      </c>
      <c r="G13493" s="4">
        <f>IFERROR(__xludf.DUMMYFUNCTION("""COMPUTED_VALUE"""),57.0)</f>
        <v>57</v>
      </c>
      <c r="H13493" s="4"/>
      <c r="I13493" s="4"/>
    </row>
    <row r="13494">
      <c r="A13494" s="4" t="str">
        <f>IFERROR(__xludf.DUMMYFUNCTION("""COMPUTED_VALUE"""),"cas_hmw")</f>
        <v>cas_hmw</v>
      </c>
      <c r="B13494" s="5">
        <f>IFERROR(__xludf.DUMMYFUNCTION("""COMPUTED_VALUE"""),44719.0)</f>
        <v>44719</v>
      </c>
      <c r="C13494" s="6">
        <f>IFERROR(__xludf.DUMMYFUNCTION("""COMPUTED_VALUE"""),0.34133101851693937)</f>
        <v>0.3413310185</v>
      </c>
      <c r="D13494" s="4">
        <f>IFERROR(__xludf.DUMMYFUNCTION("""COMPUTED_VALUE"""),12.838793)</f>
        <v>12.838793</v>
      </c>
      <c r="E13494" s="4">
        <f>IFERROR(__xludf.DUMMYFUNCTION("""COMPUTED_VALUE"""),80.05414)</f>
        <v>80.05414</v>
      </c>
      <c r="F13494" s="4">
        <f>IFERROR(__xludf.DUMMYFUNCTION("""COMPUTED_VALUE"""),805.0)</f>
        <v>805</v>
      </c>
      <c r="G13494" s="4">
        <f>IFERROR(__xludf.DUMMYFUNCTION("""COMPUTED_VALUE"""),58.0)</f>
        <v>58</v>
      </c>
      <c r="H13494" s="4"/>
      <c r="I13494" s="4"/>
    </row>
    <row r="13495">
      <c r="A13495" s="4" t="str">
        <f>IFERROR(__xludf.DUMMYFUNCTION("""COMPUTED_VALUE"""),"cas_hmw")</f>
        <v>cas_hmw</v>
      </c>
      <c r="B13495" s="5">
        <f>IFERROR(__xludf.DUMMYFUNCTION("""COMPUTED_VALUE"""),44719.0)</f>
        <v>44719</v>
      </c>
      <c r="C13495" s="6">
        <f>IFERROR(__xludf.DUMMYFUNCTION("""COMPUTED_VALUE"""),0.3430555555569299)</f>
        <v>0.3430555556</v>
      </c>
      <c r="D13495" s="4">
        <f>IFERROR(__xludf.DUMMYFUNCTION("""COMPUTED_VALUE"""),12.930576)</f>
        <v>12.930576</v>
      </c>
      <c r="E13495" s="4">
        <f>IFERROR(__xludf.DUMMYFUNCTION("""COMPUTED_VALUE"""),80.121848)</f>
        <v>80.121848</v>
      </c>
      <c r="F13495" s="4">
        <f>IFERROR(__xludf.DUMMYFUNCTION("""COMPUTED_VALUE"""),2846.0)</f>
        <v>2846</v>
      </c>
      <c r="G13495" s="4">
        <f>IFERROR(__xludf.DUMMYFUNCTION("""COMPUTED_VALUE"""),42.0)</f>
        <v>42</v>
      </c>
      <c r="H13495" s="4"/>
      <c r="I13495" s="4"/>
    </row>
    <row r="13496">
      <c r="A13496" s="4" t="str">
        <f>IFERROR(__xludf.DUMMYFUNCTION("""COMPUTED_VALUE"""),"cas_hmw")</f>
        <v>cas_hmw</v>
      </c>
      <c r="B13496" s="5">
        <f>IFERROR(__xludf.DUMMYFUNCTION("""COMPUTED_VALUE"""),44719.0)</f>
        <v>44719</v>
      </c>
      <c r="C13496" s="6">
        <f>IFERROR(__xludf.DUMMYFUNCTION("""COMPUTED_VALUE"""),0.3431365740725596)</f>
        <v>0.3431365741</v>
      </c>
      <c r="D13496" s="4">
        <f>IFERROR(__xludf.DUMMYFUNCTION("""COMPUTED_VALUE"""),12.849271)</f>
        <v>12.849271</v>
      </c>
      <c r="E13496" s="4">
        <f>IFERROR(__xludf.DUMMYFUNCTION("""COMPUTED_VALUE"""),80.064053)</f>
        <v>80.064053</v>
      </c>
      <c r="F13496" s="4">
        <f>IFERROR(__xludf.DUMMYFUNCTION("""COMPUTED_VALUE"""),805.0)</f>
        <v>805</v>
      </c>
      <c r="G13496" s="4">
        <f>IFERROR(__xludf.DUMMYFUNCTION("""COMPUTED_VALUE"""),51.0)</f>
        <v>51</v>
      </c>
      <c r="H13496" s="4"/>
      <c r="I13496" s="4"/>
    </row>
    <row r="13497">
      <c r="A13497" s="4" t="str">
        <f>IFERROR(__xludf.DUMMYFUNCTION("""COMPUTED_VALUE"""),"cas_hmw")</f>
        <v>cas_hmw</v>
      </c>
      <c r="B13497" s="5">
        <f>IFERROR(__xludf.DUMMYFUNCTION("""COMPUTED_VALUE"""),44719.0)</f>
        <v>44719</v>
      </c>
      <c r="C13497" s="6">
        <f>IFERROR(__xludf.DUMMYFUNCTION("""COMPUTED_VALUE"""),0.343611111111386)</f>
        <v>0.3436111111</v>
      </c>
      <c r="D13497" s="4">
        <f>IFERROR(__xludf.DUMMYFUNCTION("""COMPUTED_VALUE"""),12.850286)</f>
        <v>12.850286</v>
      </c>
      <c r="E13497" s="4">
        <f>IFERROR(__xludf.DUMMYFUNCTION("""COMPUTED_VALUE"""),80.064709)</f>
        <v>80.064709</v>
      </c>
      <c r="F13497" s="4">
        <f>IFERROR(__xludf.DUMMYFUNCTION("""COMPUTED_VALUE"""),805.0)</f>
        <v>805</v>
      </c>
      <c r="G13497" s="4">
        <f>IFERROR(__xludf.DUMMYFUNCTION("""COMPUTED_VALUE"""),21.0)</f>
        <v>21</v>
      </c>
      <c r="H13497" s="4"/>
      <c r="I13497" s="4"/>
    </row>
    <row r="13498">
      <c r="A13498" s="4" t="str">
        <f>IFERROR(__xludf.DUMMYFUNCTION("""COMPUTED_VALUE"""),"cas_hmw")</f>
        <v>cas_hmw</v>
      </c>
      <c r="B13498" s="5">
        <f>IFERROR(__xludf.DUMMYFUNCTION("""COMPUTED_VALUE"""),44719.0)</f>
        <v>44719</v>
      </c>
      <c r="C13498" s="6">
        <f>IFERROR(__xludf.DUMMYFUNCTION("""COMPUTED_VALUE"""),0.34384259259240935)</f>
        <v>0.3438425926</v>
      </c>
      <c r="D13498" s="4">
        <f>IFERROR(__xludf.DUMMYFUNCTION("""COMPUTED_VALUE"""),12.923805)</f>
        <v>12.923805</v>
      </c>
      <c r="E13498" s="4">
        <f>IFERROR(__xludf.DUMMYFUNCTION("""COMPUTED_VALUE"""),80.114987)</f>
        <v>80.114987</v>
      </c>
      <c r="F13498" s="4">
        <f>IFERROR(__xludf.DUMMYFUNCTION("""COMPUTED_VALUE"""),2846.0)</f>
        <v>2846</v>
      </c>
      <c r="G13498" s="4">
        <f>IFERROR(__xludf.DUMMYFUNCTION("""COMPUTED_VALUE"""),46.0)</f>
        <v>46</v>
      </c>
      <c r="H13498" s="4"/>
      <c r="I13498" s="4"/>
    </row>
    <row r="13499">
      <c r="A13499" s="4" t="str">
        <f>IFERROR(__xludf.DUMMYFUNCTION("""COMPUTED_VALUE"""),"cas_hmw")</f>
        <v>cas_hmw</v>
      </c>
      <c r="B13499" s="5">
        <f>IFERROR(__xludf.DUMMYFUNCTION("""COMPUTED_VALUE"""),44719.0)</f>
        <v>44719</v>
      </c>
      <c r="C13499" s="6">
        <f>IFERROR(__xludf.DUMMYFUNCTION("""COMPUTED_VALUE"""),0.34402777777722804)</f>
        <v>0.3440277778</v>
      </c>
      <c r="D13499" s="4">
        <f>IFERROR(__xludf.DUMMYFUNCTION("""COMPUTED_VALUE"""),12.923151)</f>
        <v>12.923151</v>
      </c>
      <c r="E13499" s="4">
        <f>IFERROR(__xludf.DUMMYFUNCTION("""COMPUTED_VALUE"""),80.114343)</f>
        <v>80.114343</v>
      </c>
      <c r="F13499" s="4">
        <f>IFERROR(__xludf.DUMMYFUNCTION("""COMPUTED_VALUE"""),2846.0)</f>
        <v>2846</v>
      </c>
      <c r="G13499" s="4">
        <f>IFERROR(__xludf.DUMMYFUNCTION("""COMPUTED_VALUE"""),34.0)</f>
        <v>34</v>
      </c>
      <c r="H13499" s="4"/>
      <c r="I13499" s="4"/>
    </row>
    <row r="13500">
      <c r="A13500" s="4" t="str">
        <f>IFERROR(__xludf.DUMMYFUNCTION("""COMPUTED_VALUE"""),"cas_hmw")</f>
        <v>cas_hmw</v>
      </c>
      <c r="B13500" s="5">
        <f>IFERROR(__xludf.DUMMYFUNCTION("""COMPUTED_VALUE"""),44719.0)</f>
        <v>44719</v>
      </c>
      <c r="C13500" s="6">
        <f>IFERROR(__xludf.DUMMYFUNCTION("""COMPUTED_VALUE"""),0.3442592592582514)</f>
        <v>0.3442592593</v>
      </c>
      <c r="D13500" s="4">
        <f>IFERROR(__xludf.DUMMYFUNCTION("""COMPUTED_VALUE"""),12.92152)</f>
        <v>12.92152</v>
      </c>
      <c r="E13500" s="4">
        <f>IFERROR(__xludf.DUMMYFUNCTION("""COMPUTED_VALUE"""),80.112679)</f>
        <v>80.112679</v>
      </c>
      <c r="F13500" s="4">
        <f>IFERROR(__xludf.DUMMYFUNCTION("""COMPUTED_VALUE"""),2846.0)</f>
        <v>2846</v>
      </c>
      <c r="G13500" s="4">
        <f>IFERROR(__xludf.DUMMYFUNCTION("""COMPUTED_VALUE"""),51.0)</f>
        <v>51</v>
      </c>
      <c r="H13500" s="4"/>
      <c r="I13500" s="4"/>
    </row>
    <row r="13501">
      <c r="A13501" s="4" t="str">
        <f>IFERROR(__xludf.DUMMYFUNCTION("""COMPUTED_VALUE"""),"cas_hmw")</f>
        <v>cas_hmw</v>
      </c>
      <c r="B13501" s="5">
        <f>IFERROR(__xludf.DUMMYFUNCTION("""COMPUTED_VALUE"""),44719.0)</f>
        <v>44719</v>
      </c>
      <c r="C13501" s="6">
        <f>IFERROR(__xludf.DUMMYFUNCTION("""COMPUTED_VALUE"""),0.3455671296287619)</f>
        <v>0.3455671296</v>
      </c>
      <c r="D13501" s="4">
        <f>IFERROR(__xludf.DUMMYFUNCTION("""COMPUTED_VALUE"""),12.9164)</f>
        <v>12.9164</v>
      </c>
      <c r="E13501" s="4">
        <f>IFERROR(__xludf.DUMMYFUNCTION("""COMPUTED_VALUE"""),80.106071)</f>
        <v>80.106071</v>
      </c>
      <c r="F13501" s="4">
        <f>IFERROR(__xludf.DUMMYFUNCTION("""COMPUTED_VALUE"""),2846.0)</f>
        <v>2846</v>
      </c>
      <c r="G13501" s="4">
        <f>IFERROR(__xludf.DUMMYFUNCTION("""COMPUTED_VALUE"""),41.0)</f>
        <v>41</v>
      </c>
      <c r="H13501" s="4"/>
      <c r="I13501" s="4"/>
    </row>
    <row r="13502">
      <c r="A13502" s="4" t="str">
        <f>IFERROR(__xludf.DUMMYFUNCTION("""COMPUTED_VALUE"""),"cas_hmw")</f>
        <v>cas_hmw</v>
      </c>
      <c r="B13502" s="5">
        <f>IFERROR(__xludf.DUMMYFUNCTION("""COMPUTED_VALUE"""),44719.0)</f>
        <v>44719</v>
      </c>
      <c r="C13502" s="6">
        <f>IFERROR(__xludf.DUMMYFUNCTION("""COMPUTED_VALUE"""),0.3456481481480296)</f>
        <v>0.3456481481</v>
      </c>
      <c r="D13502" s="4">
        <f>IFERROR(__xludf.DUMMYFUNCTION("""COMPUTED_VALUE"""),12.9164)</f>
        <v>12.9164</v>
      </c>
      <c r="E13502" s="4">
        <f>IFERROR(__xludf.DUMMYFUNCTION("""COMPUTED_VALUE"""),80.106071)</f>
        <v>80.106071</v>
      </c>
      <c r="F13502" s="4">
        <f>IFERROR(__xludf.DUMMYFUNCTION("""COMPUTED_VALUE"""),2846.0)</f>
        <v>2846</v>
      </c>
      <c r="G13502" s="4">
        <f>IFERROR(__xludf.DUMMYFUNCTION("""COMPUTED_VALUE"""),41.0)</f>
        <v>41</v>
      </c>
      <c r="H13502" s="4"/>
      <c r="I13502" s="4"/>
    </row>
    <row r="13503">
      <c r="A13503" s="4" t="str">
        <f>IFERROR(__xludf.DUMMYFUNCTION("""COMPUTED_VALUE"""),"cas_hmw")</f>
        <v>cas_hmw</v>
      </c>
      <c r="B13503" s="5">
        <f>IFERROR(__xludf.DUMMYFUNCTION("""COMPUTED_VALUE"""),44719.0)</f>
        <v>44719</v>
      </c>
      <c r="C13503" s="6">
        <f>IFERROR(__xludf.DUMMYFUNCTION("""COMPUTED_VALUE"""),0.34612268518685596)</f>
        <v>0.3461226852</v>
      </c>
      <c r="D13503" s="4">
        <f>IFERROR(__xludf.DUMMYFUNCTION("""COMPUTED_VALUE"""),12.862834)</f>
        <v>12.862834</v>
      </c>
      <c r="E13503" s="4">
        <f>IFERROR(__xludf.DUMMYFUNCTION("""COMPUTED_VALUE"""),80.073645)</f>
        <v>80.073645</v>
      </c>
      <c r="F13503" s="4">
        <f>IFERROR(__xludf.DUMMYFUNCTION("""COMPUTED_VALUE"""),805.0)</f>
        <v>805</v>
      </c>
      <c r="G13503" s="4">
        <f>IFERROR(__xludf.DUMMYFUNCTION("""COMPUTED_VALUE"""),0.0)</f>
        <v>0</v>
      </c>
      <c r="H13503" s="4"/>
      <c r="I13503" s="4"/>
    </row>
    <row r="13504">
      <c r="A13504" s="4" t="str">
        <f>IFERROR(__xludf.DUMMYFUNCTION("""COMPUTED_VALUE"""),"cas_hmw")</f>
        <v>cas_hmw</v>
      </c>
      <c r="B13504" s="5">
        <f>IFERROR(__xludf.DUMMYFUNCTION("""COMPUTED_VALUE"""),44719.0)</f>
        <v>44719</v>
      </c>
      <c r="C13504" s="6">
        <f>IFERROR(__xludf.DUMMYFUNCTION("""COMPUTED_VALUE"""),0.34623842592554865)</f>
        <v>0.3462384259</v>
      </c>
      <c r="D13504" s="4">
        <f>IFERROR(__xludf.DUMMYFUNCTION("""COMPUTED_VALUE"""),12.865375)</f>
        <v>12.865375</v>
      </c>
      <c r="E13504" s="4">
        <f>IFERROR(__xludf.DUMMYFUNCTION("""COMPUTED_VALUE"""),80.07464)</f>
        <v>80.07464</v>
      </c>
      <c r="F13504" s="4">
        <f>IFERROR(__xludf.DUMMYFUNCTION("""COMPUTED_VALUE"""),805.0)</f>
        <v>805</v>
      </c>
      <c r="G13504" s="4">
        <f>IFERROR(__xludf.DUMMYFUNCTION("""COMPUTED_VALUE"""),57.0)</f>
        <v>57</v>
      </c>
      <c r="H13504" s="4"/>
      <c r="I13504" s="4"/>
    </row>
    <row r="13505">
      <c r="A13505" s="4" t="str">
        <f>IFERROR(__xludf.DUMMYFUNCTION("""COMPUTED_VALUE"""),"cas_hmw")</f>
        <v>cas_hmw</v>
      </c>
      <c r="B13505" s="5">
        <f>IFERROR(__xludf.DUMMYFUNCTION("""COMPUTED_VALUE"""),44719.0)</f>
        <v>44719</v>
      </c>
      <c r="C13505" s="6">
        <f>IFERROR(__xludf.DUMMYFUNCTION("""COMPUTED_VALUE"""),0.3467245370375167)</f>
        <v>0.346724537</v>
      </c>
      <c r="D13505" s="4">
        <f>IFERROR(__xludf.DUMMYFUNCTION("""COMPUTED_VALUE"""),12.871855)</f>
        <v>12.871855</v>
      </c>
      <c r="E13505" s="4">
        <f>IFERROR(__xludf.DUMMYFUNCTION("""COMPUTED_VALUE"""),80.07719)</f>
        <v>80.07719</v>
      </c>
      <c r="F13505" s="4">
        <f>IFERROR(__xludf.DUMMYFUNCTION("""COMPUTED_VALUE"""),805.0)</f>
        <v>805</v>
      </c>
      <c r="G13505" s="4">
        <f>IFERROR(__xludf.DUMMYFUNCTION("""COMPUTED_VALUE"""),54.0)</f>
        <v>54</v>
      </c>
      <c r="H13505" s="4"/>
      <c r="I13505" s="4"/>
    </row>
    <row r="13506">
      <c r="A13506" s="4" t="str">
        <f>IFERROR(__xludf.DUMMYFUNCTION("""COMPUTED_VALUE"""),"cas_hmw")</f>
        <v>cas_hmw</v>
      </c>
      <c r="B13506" s="5">
        <f>IFERROR(__xludf.DUMMYFUNCTION("""COMPUTED_VALUE"""),44719.0)</f>
        <v>44719</v>
      </c>
      <c r="C13506" s="6">
        <f>IFERROR(__xludf.DUMMYFUNCTION("""COMPUTED_VALUE"""),0.34788194444263354)</f>
        <v>0.3478819444</v>
      </c>
      <c r="D13506" s="4">
        <f>IFERROR(__xludf.DUMMYFUNCTION("""COMPUTED_VALUE"""),12.903953)</f>
        <v>12.903953</v>
      </c>
      <c r="E13506" s="4">
        <f>IFERROR(__xludf.DUMMYFUNCTION("""COMPUTED_VALUE"""),80.094638)</f>
        <v>80.094638</v>
      </c>
      <c r="F13506" s="4">
        <f>IFERROR(__xludf.DUMMYFUNCTION("""COMPUTED_VALUE"""),2846.0)</f>
        <v>2846</v>
      </c>
      <c r="G13506" s="4">
        <f>IFERROR(__xludf.DUMMYFUNCTION("""COMPUTED_VALUE"""),39.0)</f>
        <v>39</v>
      </c>
      <c r="H13506" s="4"/>
      <c r="I13506" s="4"/>
    </row>
    <row r="13507">
      <c r="A13507" s="4" t="str">
        <f>IFERROR(__xludf.DUMMYFUNCTION("""COMPUTED_VALUE"""),"cas_hmw")</f>
        <v>cas_hmw</v>
      </c>
      <c r="B13507" s="5">
        <f>IFERROR(__xludf.DUMMYFUNCTION("""COMPUTED_VALUE"""),44719.0)</f>
        <v>44719</v>
      </c>
      <c r="C13507" s="6">
        <f>IFERROR(__xludf.DUMMYFUNCTION("""COMPUTED_VALUE"""),0.34795138888875954)</f>
        <v>0.3479513889</v>
      </c>
      <c r="D13507" s="4">
        <f>IFERROR(__xludf.DUMMYFUNCTION("""COMPUTED_VALUE"""),12.903953)</f>
        <v>12.903953</v>
      </c>
      <c r="E13507" s="4">
        <f>IFERROR(__xludf.DUMMYFUNCTION("""COMPUTED_VALUE"""),80.094638)</f>
        <v>80.094638</v>
      </c>
      <c r="F13507" s="4">
        <f>IFERROR(__xludf.DUMMYFUNCTION("""COMPUTED_VALUE"""),2846.0)</f>
        <v>2846</v>
      </c>
      <c r="G13507" s="4">
        <f>IFERROR(__xludf.DUMMYFUNCTION("""COMPUTED_VALUE"""),39.0)</f>
        <v>39</v>
      </c>
      <c r="H13507" s="4"/>
      <c r="I13507" s="4"/>
    </row>
    <row r="13508">
      <c r="A13508" s="4" t="str">
        <f>IFERROR(__xludf.DUMMYFUNCTION("""COMPUTED_VALUE"""),"cas_hmw")</f>
        <v>cas_hmw</v>
      </c>
      <c r="B13508" s="5">
        <f>IFERROR(__xludf.DUMMYFUNCTION("""COMPUTED_VALUE"""),44719.0)</f>
        <v>44719</v>
      </c>
      <c r="C13508" s="6">
        <f>IFERROR(__xludf.DUMMYFUNCTION("""COMPUTED_VALUE"""),0.34834490740831825)</f>
        <v>0.3483449074</v>
      </c>
      <c r="D13508" s="4">
        <f>IFERROR(__xludf.DUMMYFUNCTION("""COMPUTED_VALUE"""),12.900529)</f>
        <v>12.900529</v>
      </c>
      <c r="E13508" s="4">
        <f>IFERROR(__xludf.DUMMYFUNCTION("""COMPUTED_VALUE"""),80.091904)</f>
        <v>80.091904</v>
      </c>
      <c r="F13508" s="4">
        <f>IFERROR(__xludf.DUMMYFUNCTION("""COMPUTED_VALUE"""),2846.0)</f>
        <v>2846</v>
      </c>
      <c r="G13508" s="4">
        <f>IFERROR(__xludf.DUMMYFUNCTION("""COMPUTED_VALUE"""),52.0)</f>
        <v>52</v>
      </c>
      <c r="H13508" s="4"/>
      <c r="I13508" s="4"/>
    </row>
    <row r="13509">
      <c r="A13509" s="4" t="str">
        <f>IFERROR(__xludf.DUMMYFUNCTION("""COMPUTED_VALUE"""),"cas_hmw")</f>
        <v>cas_hmw</v>
      </c>
      <c r="B13509" s="5">
        <f>IFERROR(__xludf.DUMMYFUNCTION("""COMPUTED_VALUE"""),44719.0)</f>
        <v>44719</v>
      </c>
      <c r="C13509" s="6">
        <f>IFERROR(__xludf.DUMMYFUNCTION("""COMPUTED_VALUE"""),0.34841435185080627)</f>
        <v>0.3484143519</v>
      </c>
      <c r="D13509" s="4">
        <f>IFERROR(__xludf.DUMMYFUNCTION("""COMPUTED_VALUE"""),12.878108)</f>
        <v>12.878108</v>
      </c>
      <c r="E13509" s="4">
        <f>IFERROR(__xludf.DUMMYFUNCTION("""COMPUTED_VALUE"""),80.083198)</f>
        <v>80.083198</v>
      </c>
      <c r="F13509" s="4">
        <f>IFERROR(__xludf.DUMMYFUNCTION("""COMPUTED_VALUE"""),805.0)</f>
        <v>805</v>
      </c>
      <c r="G13509" s="4">
        <f>IFERROR(__xludf.DUMMYFUNCTION("""COMPUTED_VALUE"""),50.0)</f>
        <v>50</v>
      </c>
      <c r="H13509" s="4"/>
      <c r="I13509" s="4"/>
    </row>
    <row r="13510">
      <c r="A13510" s="4" t="str">
        <f>IFERROR(__xludf.DUMMYFUNCTION("""COMPUTED_VALUE"""),"cas_hmw")</f>
        <v>cas_hmw</v>
      </c>
      <c r="B13510" s="5">
        <f>IFERROR(__xludf.DUMMYFUNCTION("""COMPUTED_VALUE"""),44719.0)</f>
        <v>44719</v>
      </c>
      <c r="C13510" s="6">
        <f>IFERROR(__xludf.DUMMYFUNCTION("""COMPUTED_VALUE"""),0.3484375000007276)</f>
        <v>0.3484375</v>
      </c>
      <c r="D13510" s="4">
        <f>IFERROR(__xludf.DUMMYFUNCTION("""COMPUTED_VALUE"""),12.877738)</f>
        <v>12.877738</v>
      </c>
      <c r="E13510" s="4">
        <f>IFERROR(__xludf.DUMMYFUNCTION("""COMPUTED_VALUE"""),80.08421)</f>
        <v>80.08421</v>
      </c>
      <c r="F13510" s="4">
        <f>IFERROR(__xludf.DUMMYFUNCTION("""COMPUTED_VALUE"""),805.0)</f>
        <v>805</v>
      </c>
      <c r="G13510" s="4">
        <f>IFERROR(__xludf.DUMMYFUNCTION("""COMPUTED_VALUE"""),31.0)</f>
        <v>31</v>
      </c>
      <c r="H13510" s="4"/>
      <c r="I13510" s="4"/>
    </row>
    <row r="13511">
      <c r="A13511" s="4" t="str">
        <f>IFERROR(__xludf.DUMMYFUNCTION("""COMPUTED_VALUE"""),"cas_hmw")</f>
        <v>cas_hmw</v>
      </c>
      <c r="B13511" s="5">
        <f>IFERROR(__xludf.DUMMYFUNCTION("""COMPUTED_VALUE"""),44719.0)</f>
        <v>44719</v>
      </c>
      <c r="C13511" s="6">
        <f>IFERROR(__xludf.DUMMYFUNCTION("""COMPUTED_VALUE"""),0.3546180555567844)</f>
        <v>0.3546180556</v>
      </c>
      <c r="D13511" s="4">
        <f>IFERROR(__xludf.DUMMYFUNCTION("""COMPUTED_VALUE"""),12.878652)</f>
        <v>12.878652</v>
      </c>
      <c r="E13511" s="4">
        <f>IFERROR(__xludf.DUMMYFUNCTION("""COMPUTED_VALUE"""),80.0817)</f>
        <v>80.0817</v>
      </c>
      <c r="F13511" s="4">
        <f>IFERROR(__xludf.DUMMYFUNCTION("""COMPUTED_VALUE"""),2846.0)</f>
        <v>2846</v>
      </c>
      <c r="G13511" s="4">
        <f>IFERROR(__xludf.DUMMYFUNCTION("""COMPUTED_VALUE"""),29.0)</f>
        <v>29</v>
      </c>
      <c r="H13511" s="4"/>
      <c r="I13511" s="4"/>
    </row>
    <row r="13512">
      <c r="A13512" s="4" t="str">
        <f>IFERROR(__xludf.DUMMYFUNCTION("""COMPUTED_VALUE"""),"cas_hmw")</f>
        <v>cas_hmw</v>
      </c>
      <c r="B13512" s="5">
        <f>IFERROR(__xludf.DUMMYFUNCTION("""COMPUTED_VALUE"""),44719.0)</f>
        <v>44719</v>
      </c>
      <c r="C13512" s="6">
        <f>IFERROR(__xludf.DUMMYFUNCTION("""COMPUTED_VALUE"""),0.3547916666684614)</f>
        <v>0.3547916667</v>
      </c>
      <c r="D13512" s="4">
        <f>IFERROR(__xludf.DUMMYFUNCTION("""COMPUTED_VALUE"""),12.878652)</f>
        <v>12.878652</v>
      </c>
      <c r="E13512" s="4">
        <f>IFERROR(__xludf.DUMMYFUNCTION("""COMPUTED_VALUE"""),80.0817)</f>
        <v>80.0817</v>
      </c>
      <c r="F13512" s="4">
        <f>IFERROR(__xludf.DUMMYFUNCTION("""COMPUTED_VALUE"""),2846.0)</f>
        <v>2846</v>
      </c>
      <c r="G13512" s="4">
        <f>IFERROR(__xludf.DUMMYFUNCTION("""COMPUTED_VALUE"""),29.0)</f>
        <v>29</v>
      </c>
      <c r="H13512" s="4"/>
      <c r="I13512" s="4"/>
    </row>
    <row r="13513">
      <c r="A13513" s="4" t="str">
        <f>IFERROR(__xludf.DUMMYFUNCTION("""COMPUTED_VALUE"""),"cas_hmw")</f>
        <v>cas_hmw</v>
      </c>
      <c r="B13513" s="5">
        <f>IFERROR(__xludf.DUMMYFUNCTION("""COMPUTED_VALUE"""),44719.0)</f>
        <v>44719</v>
      </c>
      <c r="C13513" s="6">
        <f>IFERROR(__xludf.DUMMYFUNCTION("""COMPUTED_VALUE"""),0.6911342592575238)</f>
        <v>0.6911342593</v>
      </c>
      <c r="D13513" s="4">
        <f>IFERROR(__xludf.DUMMYFUNCTION("""COMPUTED_VALUE"""),12.880356)</f>
        <v>12.880356</v>
      </c>
      <c r="E13513" s="4">
        <f>IFERROR(__xludf.DUMMYFUNCTION("""COMPUTED_VALUE"""),80.080455)</f>
        <v>80.080455</v>
      </c>
      <c r="F13513" s="4">
        <f>IFERROR(__xludf.DUMMYFUNCTION("""COMPUTED_VALUE"""),805.0)</f>
        <v>805</v>
      </c>
      <c r="G13513" s="4">
        <f>IFERROR(__xludf.DUMMYFUNCTION("""COMPUTED_VALUE"""),32.0)</f>
        <v>32</v>
      </c>
      <c r="H13513" s="4"/>
      <c r="I13513" s="4"/>
    </row>
    <row r="13514">
      <c r="A13514" s="4" t="str">
        <f>IFERROR(__xludf.DUMMYFUNCTION("""COMPUTED_VALUE"""),"cas_hmw")</f>
        <v>cas_hmw</v>
      </c>
      <c r="B13514" s="5">
        <f>IFERROR(__xludf.DUMMYFUNCTION("""COMPUTED_VALUE"""),44719.0)</f>
        <v>44719</v>
      </c>
      <c r="C13514" s="6">
        <f>IFERROR(__xludf.DUMMYFUNCTION("""COMPUTED_VALUE"""),0.6912384259267128)</f>
        <v>0.6912384259</v>
      </c>
      <c r="D13514" s="4">
        <f>IFERROR(__xludf.DUMMYFUNCTION("""COMPUTED_VALUE"""),12.881085)</f>
        <v>12.881085</v>
      </c>
      <c r="E13514" s="4">
        <f>IFERROR(__xludf.DUMMYFUNCTION("""COMPUTED_VALUE"""),80.080617)</f>
        <v>80.080617</v>
      </c>
      <c r="F13514" s="4">
        <f>IFERROR(__xludf.DUMMYFUNCTION("""COMPUTED_VALUE"""),805.0)</f>
        <v>805</v>
      </c>
      <c r="G13514" s="4">
        <f>IFERROR(__xludf.DUMMYFUNCTION("""COMPUTED_VALUE"""),24.0)</f>
        <v>24</v>
      </c>
      <c r="H13514" s="4"/>
      <c r="I13514" s="4"/>
    </row>
    <row r="13515">
      <c r="A13515" s="4" t="str">
        <f>IFERROR(__xludf.DUMMYFUNCTION("""COMPUTED_VALUE"""),"cas_hmw")</f>
        <v>cas_hmw</v>
      </c>
      <c r="B13515" s="5">
        <f>IFERROR(__xludf.DUMMYFUNCTION("""COMPUTED_VALUE"""),44719.0)</f>
        <v>44719</v>
      </c>
      <c r="C13515" s="6">
        <f>IFERROR(__xludf.DUMMYFUNCTION("""COMPUTED_VALUE"""),0.6912499999998545)</f>
        <v>0.69125</v>
      </c>
      <c r="D13515" s="4">
        <f>IFERROR(__xludf.DUMMYFUNCTION("""COMPUTED_VALUE"""),12.881085)</f>
        <v>12.881085</v>
      </c>
      <c r="E13515" s="4">
        <f>IFERROR(__xludf.DUMMYFUNCTION("""COMPUTED_VALUE"""),80.080617)</f>
        <v>80.080617</v>
      </c>
      <c r="F13515" s="4">
        <f>IFERROR(__xludf.DUMMYFUNCTION("""COMPUTED_VALUE"""),805.0)</f>
        <v>805</v>
      </c>
      <c r="G13515" s="4">
        <f>IFERROR(__xludf.DUMMYFUNCTION("""COMPUTED_VALUE"""),24.0)</f>
        <v>24</v>
      </c>
      <c r="H13515" s="4"/>
      <c r="I13515" s="4"/>
    </row>
    <row r="13516">
      <c r="A13516" s="4" t="str">
        <f>IFERROR(__xludf.DUMMYFUNCTION("""COMPUTED_VALUE"""),"cas_hmw")</f>
        <v>cas_hmw</v>
      </c>
      <c r="B13516" s="5">
        <f>IFERROR(__xludf.DUMMYFUNCTION("""COMPUTED_VALUE"""),44719.0)</f>
        <v>44719</v>
      </c>
      <c r="C13516" s="6">
        <f>IFERROR(__xludf.DUMMYFUNCTION("""COMPUTED_VALUE"""),0.692731481482042)</f>
        <v>0.6927314815</v>
      </c>
      <c r="D13516" s="4">
        <f>IFERROR(__xludf.DUMMYFUNCTION("""COMPUTED_VALUE"""),12.895275)</f>
        <v>12.895275</v>
      </c>
      <c r="E13516" s="4">
        <f>IFERROR(__xludf.DUMMYFUNCTION("""COMPUTED_VALUE"""),80.087818)</f>
        <v>80.087818</v>
      </c>
      <c r="F13516" s="4">
        <f>IFERROR(__xludf.DUMMYFUNCTION("""COMPUTED_VALUE"""),805.0)</f>
        <v>805</v>
      </c>
      <c r="G13516" s="4">
        <f>IFERROR(__xludf.DUMMYFUNCTION("""COMPUTED_VALUE"""),58.0)</f>
        <v>58</v>
      </c>
      <c r="H13516" s="4"/>
      <c r="I13516" s="4"/>
    </row>
    <row r="13517">
      <c r="A13517" s="4" t="str">
        <f>IFERROR(__xludf.DUMMYFUNCTION("""COMPUTED_VALUE"""),"cas_hmw")</f>
        <v>cas_hmw</v>
      </c>
      <c r="B13517" s="5">
        <f>IFERROR(__xludf.DUMMYFUNCTION("""COMPUTED_VALUE"""),44719.0)</f>
        <v>44719</v>
      </c>
      <c r="C13517" s="6">
        <f>IFERROR(__xludf.DUMMYFUNCTION("""COMPUTED_VALUE"""),0.6928587962975143)</f>
        <v>0.6928587963</v>
      </c>
      <c r="D13517" s="4">
        <f>IFERROR(__xludf.DUMMYFUNCTION("""COMPUTED_VALUE"""),12.887024)</f>
        <v>12.887024</v>
      </c>
      <c r="E13517" s="4">
        <f>IFERROR(__xludf.DUMMYFUNCTION("""COMPUTED_VALUE"""),80.083209)</f>
        <v>80.083209</v>
      </c>
      <c r="F13517" s="4">
        <f>IFERROR(__xludf.DUMMYFUNCTION("""COMPUTED_VALUE"""),2846.0)</f>
        <v>2846</v>
      </c>
      <c r="G13517" s="4">
        <f>IFERROR(__xludf.DUMMYFUNCTION("""COMPUTED_VALUE"""),57.0)</f>
        <v>57</v>
      </c>
      <c r="H13517" s="4"/>
      <c r="I13517" s="4"/>
    </row>
    <row r="13518">
      <c r="A13518" s="4" t="str">
        <f>IFERROR(__xludf.DUMMYFUNCTION("""COMPUTED_VALUE"""),"cas_hmw")</f>
        <v>cas_hmw</v>
      </c>
      <c r="B13518" s="5">
        <f>IFERROR(__xludf.DUMMYFUNCTION("""COMPUTED_VALUE"""),44719.0)</f>
        <v>44719</v>
      </c>
      <c r="C13518" s="6">
        <f>IFERROR(__xludf.DUMMYFUNCTION("""COMPUTED_VALUE"""),0.6929166666668607)</f>
        <v>0.6929166667</v>
      </c>
      <c r="D13518" s="4">
        <f>IFERROR(__xludf.DUMMYFUNCTION("""COMPUTED_VALUE"""),12.895275)</f>
        <v>12.895275</v>
      </c>
      <c r="E13518" s="4">
        <f>IFERROR(__xludf.DUMMYFUNCTION("""COMPUTED_VALUE"""),80.087818)</f>
        <v>80.087818</v>
      </c>
      <c r="F13518" s="4">
        <f>IFERROR(__xludf.DUMMYFUNCTION("""COMPUTED_VALUE"""),805.0)</f>
        <v>805</v>
      </c>
      <c r="G13518" s="4">
        <f>IFERROR(__xludf.DUMMYFUNCTION("""COMPUTED_VALUE"""),58.0)</f>
        <v>58</v>
      </c>
      <c r="H13518" s="4"/>
      <c r="I13518" s="4"/>
    </row>
    <row r="13519">
      <c r="A13519" s="4" t="str">
        <f>IFERROR(__xludf.DUMMYFUNCTION("""COMPUTED_VALUE"""),"cas_hmw")</f>
        <v>cas_hmw</v>
      </c>
      <c r="B13519" s="5">
        <f>IFERROR(__xludf.DUMMYFUNCTION("""COMPUTED_VALUE"""),44719.0)</f>
        <v>44719</v>
      </c>
      <c r="C13519" s="6">
        <f>IFERROR(__xludf.DUMMYFUNCTION("""COMPUTED_VALUE"""),0.6939120370370802)</f>
        <v>0.693912037</v>
      </c>
      <c r="D13519" s="4">
        <f>IFERROR(__xludf.DUMMYFUNCTION("""COMPUTED_VALUE"""),12.906487)</f>
        <v>12.906487</v>
      </c>
      <c r="E13519" s="4">
        <f>IFERROR(__xludf.DUMMYFUNCTION("""COMPUTED_VALUE"""),80.096168)</f>
        <v>80.096168</v>
      </c>
      <c r="F13519" s="4">
        <f>IFERROR(__xludf.DUMMYFUNCTION("""COMPUTED_VALUE"""),805.0)</f>
        <v>805</v>
      </c>
      <c r="G13519" s="4">
        <f>IFERROR(__xludf.DUMMYFUNCTION("""COMPUTED_VALUE"""),38.0)</f>
        <v>38</v>
      </c>
      <c r="H13519" s="4"/>
      <c r="I13519" s="4"/>
    </row>
    <row r="13520">
      <c r="A13520" s="4" t="str">
        <f>IFERROR(__xludf.DUMMYFUNCTION("""COMPUTED_VALUE"""),"cas_hmw")</f>
        <v>cas_hmw</v>
      </c>
      <c r="B13520" s="5">
        <f>IFERROR(__xludf.DUMMYFUNCTION("""COMPUTED_VALUE"""),44719.0)</f>
        <v>44719</v>
      </c>
      <c r="C13520" s="6">
        <f>IFERROR(__xludf.DUMMYFUNCTION("""COMPUTED_VALUE"""),0.6940624999988358)</f>
        <v>0.6940625</v>
      </c>
      <c r="D13520" s="4">
        <f>IFERROR(__xludf.DUMMYFUNCTION("""COMPUTED_VALUE"""),12.907264)</f>
        <v>12.907264</v>
      </c>
      <c r="E13520" s="4">
        <f>IFERROR(__xludf.DUMMYFUNCTION("""COMPUTED_VALUE"""),80.096759)</f>
        <v>80.096759</v>
      </c>
      <c r="F13520" s="4">
        <f>IFERROR(__xludf.DUMMYFUNCTION("""COMPUTED_VALUE"""),805.0)</f>
        <v>805</v>
      </c>
      <c r="G13520" s="4">
        <f>IFERROR(__xludf.DUMMYFUNCTION("""COMPUTED_VALUE"""),41.0)</f>
        <v>41</v>
      </c>
      <c r="H13520" s="4"/>
      <c r="I13520" s="4"/>
    </row>
    <row r="13521">
      <c r="A13521" s="4" t="str">
        <f>IFERROR(__xludf.DUMMYFUNCTION("""COMPUTED_VALUE"""),"cas_hmw")</f>
        <v>cas_hmw</v>
      </c>
      <c r="B13521" s="5">
        <f>IFERROR(__xludf.DUMMYFUNCTION("""COMPUTED_VALUE"""),44719.0)</f>
        <v>44719</v>
      </c>
      <c r="C13521" s="6">
        <f>IFERROR(__xludf.DUMMYFUNCTION("""COMPUTED_VALUE"""),0.6942708333335759)</f>
        <v>0.6942708333</v>
      </c>
      <c r="D13521" s="4">
        <f>IFERROR(__xludf.DUMMYFUNCTION("""COMPUTED_VALUE"""),12.903175)</f>
        <v>12.903175</v>
      </c>
      <c r="E13521" s="4">
        <f>IFERROR(__xludf.DUMMYFUNCTION("""COMPUTED_VALUE"""),80.093826)</f>
        <v>80.093826</v>
      </c>
      <c r="F13521" s="4">
        <f>IFERROR(__xludf.DUMMYFUNCTION("""COMPUTED_VALUE"""),2846.0)</f>
        <v>2846</v>
      </c>
      <c r="G13521" s="4">
        <f>IFERROR(__xludf.DUMMYFUNCTION("""COMPUTED_VALUE"""),36.0)</f>
        <v>36</v>
      </c>
      <c r="H13521" s="4"/>
      <c r="I13521" s="4"/>
    </row>
    <row r="13522">
      <c r="A13522" s="4" t="str">
        <f>IFERROR(__xludf.DUMMYFUNCTION("""COMPUTED_VALUE"""),"cas_hmw")</f>
        <v>cas_hmw</v>
      </c>
      <c r="B13522" s="5">
        <f>IFERROR(__xludf.DUMMYFUNCTION("""COMPUTED_VALUE"""),44719.0)</f>
        <v>44719</v>
      </c>
      <c r="C13522" s="6">
        <f>IFERROR(__xludf.DUMMYFUNCTION("""COMPUTED_VALUE"""),0.6954629629617557)</f>
        <v>0.695462963</v>
      </c>
      <c r="D13522" s="4">
        <f>IFERROR(__xludf.DUMMYFUNCTION("""COMPUTED_VALUE"""),12.911629)</f>
        <v>12.911629</v>
      </c>
      <c r="E13522" s="4">
        <f>IFERROR(__xludf.DUMMYFUNCTION("""COMPUTED_VALUE"""),80.10128)</f>
        <v>80.10128</v>
      </c>
      <c r="F13522" s="4">
        <f>IFERROR(__xludf.DUMMYFUNCTION("""COMPUTED_VALUE"""),805.0)</f>
        <v>805</v>
      </c>
      <c r="G13522" s="4">
        <f>IFERROR(__xludf.DUMMYFUNCTION("""COMPUTED_VALUE"""),8.0)</f>
        <v>8</v>
      </c>
      <c r="H13522" s="4"/>
      <c r="I13522" s="4"/>
    </row>
    <row r="13523">
      <c r="A13523" s="4" t="str">
        <f>IFERROR(__xludf.DUMMYFUNCTION("""COMPUTED_VALUE"""),"cas_hmw")</f>
        <v>cas_hmw</v>
      </c>
      <c r="B13523" s="5">
        <f>IFERROR(__xludf.DUMMYFUNCTION("""COMPUTED_VALUE"""),44719.0)</f>
        <v>44719</v>
      </c>
      <c r="C13523" s="6">
        <f>IFERROR(__xludf.DUMMYFUNCTION("""COMPUTED_VALUE"""),0.6956712962964957)</f>
        <v>0.6956712963</v>
      </c>
      <c r="D13523" s="4">
        <f>IFERROR(__xludf.DUMMYFUNCTION("""COMPUTED_VALUE"""),12.91308)</f>
        <v>12.91308</v>
      </c>
      <c r="E13523" s="4">
        <f>IFERROR(__xludf.DUMMYFUNCTION("""COMPUTED_VALUE"""),80.101458)</f>
        <v>80.101458</v>
      </c>
      <c r="F13523" s="4">
        <f>IFERROR(__xludf.DUMMYFUNCTION("""COMPUTED_VALUE"""),805.0)</f>
        <v>805</v>
      </c>
      <c r="G13523" s="4">
        <f>IFERROR(__xludf.DUMMYFUNCTION("""COMPUTED_VALUE"""),42.0)</f>
        <v>42</v>
      </c>
      <c r="H13523" s="4"/>
      <c r="I13523" s="4"/>
    </row>
    <row r="13524">
      <c r="A13524" s="4" t="str">
        <f>IFERROR(__xludf.DUMMYFUNCTION("""COMPUTED_VALUE"""),"cas_hmw")</f>
        <v>cas_hmw</v>
      </c>
      <c r="B13524" s="5">
        <f>IFERROR(__xludf.DUMMYFUNCTION("""COMPUTED_VALUE"""),44719.0)</f>
        <v>44719</v>
      </c>
      <c r="C13524" s="6">
        <f>IFERROR(__xludf.DUMMYFUNCTION("""COMPUTED_VALUE"""),0.6960763888891961)</f>
        <v>0.6960763889</v>
      </c>
      <c r="D13524" s="4">
        <f>IFERROR(__xludf.DUMMYFUNCTION("""COMPUTED_VALUE"""),12.915974)</f>
        <v>12.915974</v>
      </c>
      <c r="E13524" s="4">
        <f>IFERROR(__xludf.DUMMYFUNCTION("""COMPUTED_VALUE"""),80.105078)</f>
        <v>80.105078</v>
      </c>
      <c r="F13524" s="4">
        <f>IFERROR(__xludf.DUMMYFUNCTION("""COMPUTED_VALUE"""),805.0)</f>
        <v>805</v>
      </c>
      <c r="G13524" s="4">
        <f>IFERROR(__xludf.DUMMYFUNCTION("""COMPUTED_VALUE"""),54.0)</f>
        <v>54</v>
      </c>
      <c r="H13524" s="4"/>
      <c r="I13524" s="4"/>
    </row>
    <row r="13525">
      <c r="A13525" s="4" t="str">
        <f>IFERROR(__xludf.DUMMYFUNCTION("""COMPUTED_VALUE"""),"cas_hmw")</f>
        <v>cas_hmw</v>
      </c>
      <c r="B13525" s="5">
        <f>IFERROR(__xludf.DUMMYFUNCTION("""COMPUTED_VALUE"""),44719.0)</f>
        <v>44719</v>
      </c>
      <c r="C13525" s="6">
        <f>IFERROR(__xludf.DUMMYFUNCTION("""COMPUTED_VALUE"""),0.6966898148129985)</f>
        <v>0.6966898148</v>
      </c>
      <c r="D13525" s="4">
        <f>IFERROR(__xludf.DUMMYFUNCTION("""COMPUTED_VALUE"""),12.918338)</f>
        <v>12.918338</v>
      </c>
      <c r="E13525" s="4">
        <f>IFERROR(__xludf.DUMMYFUNCTION("""COMPUTED_VALUE"""),80.108927)</f>
        <v>80.108927</v>
      </c>
      <c r="F13525" s="4">
        <f>IFERROR(__xludf.DUMMYFUNCTION("""COMPUTED_VALUE"""),805.0)</f>
        <v>805</v>
      </c>
      <c r="G13525" s="4">
        <f>IFERROR(__xludf.DUMMYFUNCTION("""COMPUTED_VALUE"""),55.0)</f>
        <v>55</v>
      </c>
      <c r="H13525" s="4"/>
      <c r="I13525" s="4"/>
    </row>
    <row r="13526">
      <c r="A13526" s="4" t="str">
        <f>IFERROR(__xludf.DUMMYFUNCTION("""COMPUTED_VALUE"""),"cas_hmw")</f>
        <v>cas_hmw</v>
      </c>
      <c r="B13526" s="5">
        <f>IFERROR(__xludf.DUMMYFUNCTION("""COMPUTED_VALUE"""),44719.0)</f>
        <v>44719</v>
      </c>
      <c r="C13526" s="6">
        <f>IFERROR(__xludf.DUMMYFUNCTION("""COMPUTED_VALUE"""),0.6967592592591245)</f>
        <v>0.6967592593</v>
      </c>
      <c r="D13526" s="4">
        <f>IFERROR(__xludf.DUMMYFUNCTION("""COMPUTED_VALUE"""),12.918338)</f>
        <v>12.918338</v>
      </c>
      <c r="E13526" s="4">
        <f>IFERROR(__xludf.DUMMYFUNCTION("""COMPUTED_VALUE"""),80.108927)</f>
        <v>80.108927</v>
      </c>
      <c r="F13526" s="4">
        <f>IFERROR(__xludf.DUMMYFUNCTION("""COMPUTED_VALUE"""),805.0)</f>
        <v>805</v>
      </c>
      <c r="G13526" s="4">
        <f>IFERROR(__xludf.DUMMYFUNCTION("""COMPUTED_VALUE"""),55.0)</f>
        <v>55</v>
      </c>
      <c r="H13526" s="4"/>
      <c r="I13526" s="4"/>
    </row>
    <row r="13527">
      <c r="A13527" s="4" t="str">
        <f>IFERROR(__xludf.DUMMYFUNCTION("""COMPUTED_VALUE"""),"cas_hmw")</f>
        <v>cas_hmw</v>
      </c>
      <c r="B13527" s="5">
        <f>IFERROR(__xludf.DUMMYFUNCTION("""COMPUTED_VALUE"""),44719.0)</f>
        <v>44719</v>
      </c>
      <c r="C13527" s="6">
        <f>IFERROR(__xludf.DUMMYFUNCTION("""COMPUTED_VALUE"""),0.6970023148132896)</f>
        <v>0.6970023148</v>
      </c>
      <c r="D13527" s="4">
        <f>IFERROR(__xludf.DUMMYFUNCTION("""COMPUTED_VALUE"""),12.921005)</f>
        <v>12.921005</v>
      </c>
      <c r="E13527" s="4">
        <f>IFERROR(__xludf.DUMMYFUNCTION("""COMPUTED_VALUE"""),80.112036)</f>
        <v>80.112036</v>
      </c>
      <c r="F13527" s="4">
        <f>IFERROR(__xludf.DUMMYFUNCTION("""COMPUTED_VALUE"""),805.0)</f>
        <v>805</v>
      </c>
      <c r="G13527" s="4">
        <f>IFERROR(__xludf.DUMMYFUNCTION("""COMPUTED_VALUE"""),51.0)</f>
        <v>51</v>
      </c>
      <c r="H13527" s="4"/>
      <c r="I13527" s="4"/>
    </row>
    <row r="13528">
      <c r="A13528" s="4" t="str">
        <f>IFERROR(__xludf.DUMMYFUNCTION("""COMPUTED_VALUE"""),"cas_hmw")</f>
        <v>cas_hmw</v>
      </c>
      <c r="B13528" s="5">
        <f>IFERROR(__xludf.DUMMYFUNCTION("""COMPUTED_VALUE"""),44719.0)</f>
        <v>44719</v>
      </c>
      <c r="C13528" s="6">
        <f>IFERROR(__xludf.DUMMYFUNCTION("""COMPUTED_VALUE"""),0.6970370370363526)</f>
        <v>0.697037037</v>
      </c>
      <c r="D13528" s="4">
        <f>IFERROR(__xludf.DUMMYFUNCTION("""COMPUTED_VALUE"""),12.921005)</f>
        <v>12.921005</v>
      </c>
      <c r="E13528" s="4">
        <f>IFERROR(__xludf.DUMMYFUNCTION("""COMPUTED_VALUE"""),80.112036)</f>
        <v>80.112036</v>
      </c>
      <c r="F13528" s="4">
        <f>IFERROR(__xludf.DUMMYFUNCTION("""COMPUTED_VALUE"""),805.0)</f>
        <v>805</v>
      </c>
      <c r="G13528" s="4">
        <f>IFERROR(__xludf.DUMMYFUNCTION("""COMPUTED_VALUE"""),51.0)</f>
        <v>51</v>
      </c>
      <c r="H13528" s="4"/>
      <c r="I13528" s="4"/>
    </row>
    <row r="13529">
      <c r="A13529" s="4" t="str">
        <f>IFERROR(__xludf.DUMMYFUNCTION("""COMPUTED_VALUE"""),"cas_hmw")</f>
        <v>cas_hmw</v>
      </c>
      <c r="B13529" s="5">
        <f>IFERROR(__xludf.DUMMYFUNCTION("""COMPUTED_VALUE"""),44719.0)</f>
        <v>44719</v>
      </c>
      <c r="C13529" s="6">
        <f>IFERROR(__xludf.DUMMYFUNCTION("""COMPUTED_VALUE"""),0.6976273148138716)</f>
        <v>0.6976273148</v>
      </c>
      <c r="D13529" s="4">
        <f>IFERROR(__xludf.DUMMYFUNCTION("""COMPUTED_VALUE"""),12.925756)</f>
        <v>12.925756</v>
      </c>
      <c r="E13529" s="4">
        <f>IFERROR(__xludf.DUMMYFUNCTION("""COMPUTED_VALUE"""),80.116852)</f>
        <v>80.116852</v>
      </c>
      <c r="F13529" s="4">
        <f>IFERROR(__xludf.DUMMYFUNCTION("""COMPUTED_VALUE"""),805.0)</f>
        <v>805</v>
      </c>
      <c r="G13529" s="4">
        <f>IFERROR(__xludf.DUMMYFUNCTION("""COMPUTED_VALUE"""),45.0)</f>
        <v>45</v>
      </c>
      <c r="H13529" s="4"/>
      <c r="I13529" s="4"/>
    </row>
    <row r="13530">
      <c r="A13530" s="4" t="str">
        <f>IFERROR(__xludf.DUMMYFUNCTION("""COMPUTED_VALUE"""),"cas_hmw")</f>
        <v>cas_hmw</v>
      </c>
      <c r="B13530" s="5">
        <f>IFERROR(__xludf.DUMMYFUNCTION("""COMPUTED_VALUE"""),44719.0)</f>
        <v>44719</v>
      </c>
      <c r="C13530" s="6">
        <f>IFERROR(__xludf.DUMMYFUNCTION("""COMPUTED_VALUE"""),0.6982175925913907)</f>
        <v>0.6982175926</v>
      </c>
      <c r="D13530" s="4">
        <f>IFERROR(__xludf.DUMMYFUNCTION("""COMPUTED_VALUE"""),12.927537)</f>
        <v>12.927537</v>
      </c>
      <c r="E13530" s="4">
        <f>IFERROR(__xludf.DUMMYFUNCTION("""COMPUTED_VALUE"""),80.118639)</f>
        <v>80.118639</v>
      </c>
      <c r="F13530" s="4">
        <f>IFERROR(__xludf.DUMMYFUNCTION("""COMPUTED_VALUE"""),805.0)</f>
        <v>805</v>
      </c>
      <c r="G13530" s="4">
        <f>IFERROR(__xludf.DUMMYFUNCTION("""COMPUTED_VALUE"""),32.0)</f>
        <v>32</v>
      </c>
      <c r="H13530" s="4"/>
      <c r="I13530" s="4"/>
    </row>
    <row r="13531">
      <c r="A13531" s="4" t="str">
        <f>IFERROR(__xludf.DUMMYFUNCTION("""COMPUTED_VALUE"""),"cas_hmw")</f>
        <v>cas_hmw</v>
      </c>
      <c r="B13531" s="5">
        <f>IFERROR(__xludf.DUMMYFUNCTION("""COMPUTED_VALUE"""),44719.0)</f>
        <v>44719</v>
      </c>
      <c r="C13531" s="6">
        <f>IFERROR(__xludf.DUMMYFUNCTION("""COMPUTED_VALUE"""),0.6996875000004366)</f>
        <v>0.6996875</v>
      </c>
      <c r="D13531" s="4">
        <f>IFERROR(__xludf.DUMMYFUNCTION("""COMPUTED_VALUE"""),12.921658)</f>
        <v>12.921658</v>
      </c>
      <c r="E13531" s="4">
        <f>IFERROR(__xludf.DUMMYFUNCTION("""COMPUTED_VALUE"""),80.112529)</f>
        <v>80.112529</v>
      </c>
      <c r="F13531" s="4">
        <f>IFERROR(__xludf.DUMMYFUNCTION("""COMPUTED_VALUE"""),2846.0)</f>
        <v>2846</v>
      </c>
      <c r="G13531" s="4">
        <f>IFERROR(__xludf.DUMMYFUNCTION("""COMPUTED_VALUE"""),44.0)</f>
        <v>44</v>
      </c>
      <c r="H13531" s="4"/>
      <c r="I13531" s="4"/>
    </row>
    <row r="13532">
      <c r="A13532" s="4" t="str">
        <f>IFERROR(__xludf.DUMMYFUNCTION("""COMPUTED_VALUE"""),"cas_hmw")</f>
        <v>cas_hmw</v>
      </c>
      <c r="B13532" s="5">
        <f>IFERROR(__xludf.DUMMYFUNCTION("""COMPUTED_VALUE"""),44719.0)</f>
        <v>44719</v>
      </c>
      <c r="C13532" s="6">
        <f>IFERROR(__xludf.DUMMYFUNCTION("""COMPUTED_VALUE"""),0.6997916666659876)</f>
        <v>0.6997916667</v>
      </c>
      <c r="D13532" s="4">
        <f>IFERROR(__xludf.DUMMYFUNCTION("""COMPUTED_VALUE"""),12.922452)</f>
        <v>12.922452</v>
      </c>
      <c r="E13532" s="4">
        <f>IFERROR(__xludf.DUMMYFUNCTION("""COMPUTED_VALUE"""),80.113325)</f>
        <v>80.113325</v>
      </c>
      <c r="F13532" s="4">
        <f>IFERROR(__xludf.DUMMYFUNCTION("""COMPUTED_VALUE"""),2846.0)</f>
        <v>2846</v>
      </c>
      <c r="G13532" s="4">
        <f>IFERROR(__xludf.DUMMYFUNCTION("""COMPUTED_VALUE"""),43.0)</f>
        <v>43</v>
      </c>
      <c r="H13532" s="4"/>
      <c r="I13532" s="4"/>
    </row>
    <row r="13533">
      <c r="A13533" s="4" t="str">
        <f>IFERROR(__xludf.DUMMYFUNCTION("""COMPUTED_VALUE"""),"cas_hmw")</f>
        <v>cas_hmw</v>
      </c>
      <c r="B13533" s="5">
        <f>IFERROR(__xludf.DUMMYFUNCTION("""COMPUTED_VALUE"""),44719.0)</f>
        <v>44719</v>
      </c>
      <c r="C13533" s="6">
        <f>IFERROR(__xludf.DUMMYFUNCTION("""COMPUTED_VALUE"""),0.7000000000007276)</f>
        <v>0.7</v>
      </c>
      <c r="D13533" s="4">
        <f>IFERROR(__xludf.DUMMYFUNCTION("""COMPUTED_VALUE"""),12.932101)</f>
        <v>12.932101</v>
      </c>
      <c r="E13533" s="4">
        <f>IFERROR(__xludf.DUMMYFUNCTION("""COMPUTED_VALUE"""),80.123198)</f>
        <v>80.123198</v>
      </c>
      <c r="F13533" s="4">
        <f>IFERROR(__xludf.DUMMYFUNCTION("""COMPUTED_VALUE"""),805.0)</f>
        <v>805</v>
      </c>
      <c r="G13533" s="4">
        <f>IFERROR(__xludf.DUMMYFUNCTION("""COMPUTED_VALUE"""),36.0)</f>
        <v>36</v>
      </c>
      <c r="H13533" s="4"/>
      <c r="I13533" s="4"/>
    </row>
    <row r="13534">
      <c r="A13534" s="4" t="str">
        <f>IFERROR(__xludf.DUMMYFUNCTION("""COMPUTED_VALUE"""),"cas_hmw")</f>
        <v>cas_hmw</v>
      </c>
      <c r="B13534" s="5">
        <f>IFERROR(__xludf.DUMMYFUNCTION("""COMPUTED_VALUE"""),44719.0)</f>
        <v>44719</v>
      </c>
      <c r="C13534" s="6">
        <f>IFERROR(__xludf.DUMMYFUNCTION("""COMPUTED_VALUE"""),0.700717592593719)</f>
        <v>0.7007175926</v>
      </c>
      <c r="D13534" s="4">
        <f>IFERROR(__xludf.DUMMYFUNCTION("""COMPUTED_VALUE"""),12.938944)</f>
        <v>12.938944</v>
      </c>
      <c r="E13534" s="4">
        <f>IFERROR(__xludf.DUMMYFUNCTION("""COMPUTED_VALUE"""),80.129461)</f>
        <v>80.129461</v>
      </c>
      <c r="F13534" s="4">
        <f>IFERROR(__xludf.DUMMYFUNCTION("""COMPUTED_VALUE"""),805.0)</f>
        <v>805</v>
      </c>
      <c r="G13534" s="4">
        <f>IFERROR(__xludf.DUMMYFUNCTION("""COMPUTED_VALUE"""),54.0)</f>
        <v>54</v>
      </c>
      <c r="H13534" s="4"/>
      <c r="I13534" s="4"/>
    </row>
    <row r="13535">
      <c r="A13535" s="4" t="str">
        <f>IFERROR(__xludf.DUMMYFUNCTION("""COMPUTED_VALUE"""),"cas_hmw")</f>
        <v>cas_hmw</v>
      </c>
      <c r="B13535" s="5">
        <f>IFERROR(__xludf.DUMMYFUNCTION("""COMPUTED_VALUE"""),44719.0)</f>
        <v>44719</v>
      </c>
      <c r="C13535" s="6">
        <f>IFERROR(__xludf.DUMMYFUNCTION("""COMPUTED_VALUE"""),0.7008333333324117)</f>
        <v>0.7008333333</v>
      </c>
      <c r="D13535" s="4">
        <f>IFERROR(__xludf.DUMMYFUNCTION("""COMPUTED_VALUE"""),12.92371)</f>
        <v>12.92371</v>
      </c>
      <c r="E13535" s="4">
        <f>IFERROR(__xludf.DUMMYFUNCTION("""COMPUTED_VALUE"""),80.1174)</f>
        <v>80.1174</v>
      </c>
      <c r="F13535" s="4">
        <f>IFERROR(__xludf.DUMMYFUNCTION("""COMPUTED_VALUE"""),2846.0)</f>
        <v>2846</v>
      </c>
      <c r="G13535" s="4">
        <f>IFERROR(__xludf.DUMMYFUNCTION("""COMPUTED_VALUE"""),35.0)</f>
        <v>35</v>
      </c>
      <c r="H13535" s="4"/>
      <c r="I13535" s="4"/>
    </row>
    <row r="13536">
      <c r="A13536" s="4" t="str">
        <f>IFERROR(__xludf.DUMMYFUNCTION("""COMPUTED_VALUE"""),"cas_hmw")</f>
        <v>cas_hmw</v>
      </c>
      <c r="B13536" s="5">
        <f>IFERROR(__xludf.DUMMYFUNCTION("""COMPUTED_VALUE"""),44719.0)</f>
        <v>44719</v>
      </c>
      <c r="C13536" s="6">
        <f>IFERROR(__xludf.DUMMYFUNCTION("""COMPUTED_VALUE"""),0.7011689814826241)</f>
        <v>0.7011689815</v>
      </c>
      <c r="D13536" s="4">
        <f>IFERROR(__xludf.DUMMYFUNCTION("""COMPUTED_VALUE"""),12.94255)</f>
        <v>12.94255</v>
      </c>
      <c r="E13536" s="4">
        <f>IFERROR(__xludf.DUMMYFUNCTION("""COMPUTED_VALUE"""),80.133075)</f>
        <v>80.133075</v>
      </c>
      <c r="F13536" s="4">
        <f>IFERROR(__xludf.DUMMYFUNCTION("""COMPUTED_VALUE"""),805.0)</f>
        <v>805</v>
      </c>
      <c r="G13536" s="4">
        <f>IFERROR(__xludf.DUMMYFUNCTION("""COMPUTED_VALUE"""),39.0)</f>
        <v>39</v>
      </c>
      <c r="H13536" s="4"/>
      <c r="I13536" s="4"/>
    </row>
    <row r="13537">
      <c r="A13537" s="4" t="str">
        <f>IFERROR(__xludf.DUMMYFUNCTION("""COMPUTED_VALUE"""),"cas_hmw")</f>
        <v>cas_hmw</v>
      </c>
      <c r="B13537" s="5">
        <f>IFERROR(__xludf.DUMMYFUNCTION("""COMPUTED_VALUE"""),44719.0)</f>
        <v>44719</v>
      </c>
      <c r="C13537" s="6">
        <f>IFERROR(__xludf.DUMMYFUNCTION("""COMPUTED_VALUE"""),0.7013888888905058)</f>
        <v>0.7013888889</v>
      </c>
      <c r="D13537" s="4">
        <f>IFERROR(__xludf.DUMMYFUNCTION("""COMPUTED_VALUE"""),12.943211)</f>
        <v>12.943211</v>
      </c>
      <c r="E13537" s="4">
        <f>IFERROR(__xludf.DUMMYFUNCTION("""COMPUTED_VALUE"""),80.133762)</f>
        <v>80.133762</v>
      </c>
      <c r="F13537" s="4">
        <f>IFERROR(__xludf.DUMMYFUNCTION("""COMPUTED_VALUE"""),805.0)</f>
        <v>805</v>
      </c>
      <c r="G13537" s="4">
        <f>IFERROR(__xludf.DUMMYFUNCTION("""COMPUTED_VALUE"""),37.0)</f>
        <v>37</v>
      </c>
      <c r="H13537" s="4"/>
      <c r="I13537" s="4"/>
    </row>
    <row r="13538">
      <c r="A13538" s="4" t="str">
        <f>IFERROR(__xludf.DUMMYFUNCTION("""COMPUTED_VALUE"""),"cas_hmw")</f>
        <v>cas_hmw</v>
      </c>
      <c r="B13538" s="5">
        <f>IFERROR(__xludf.DUMMYFUNCTION("""COMPUTED_VALUE"""),44719.0)</f>
        <v>44719</v>
      </c>
      <c r="C13538" s="6">
        <f>IFERROR(__xludf.DUMMYFUNCTION("""COMPUTED_VALUE"""),0.7016666666677338)</f>
        <v>0.7016666667</v>
      </c>
      <c r="D13538" s="4">
        <f>IFERROR(__xludf.DUMMYFUNCTION("""COMPUTED_VALUE"""),12.945634)</f>
        <v>12.945634</v>
      </c>
      <c r="E13538" s="4">
        <f>IFERROR(__xludf.DUMMYFUNCTION("""COMPUTED_VALUE"""),80.135744)</f>
        <v>80.135744</v>
      </c>
      <c r="F13538" s="4">
        <f>IFERROR(__xludf.DUMMYFUNCTION("""COMPUTED_VALUE"""),805.0)</f>
        <v>805</v>
      </c>
      <c r="G13538" s="4">
        <f>IFERROR(__xludf.DUMMYFUNCTION("""COMPUTED_VALUE"""),49.0)</f>
        <v>49</v>
      </c>
      <c r="H13538" s="4"/>
      <c r="I13538" s="4"/>
    </row>
    <row r="13539">
      <c r="A13539" s="4" t="str">
        <f>IFERROR(__xludf.DUMMYFUNCTION("""COMPUTED_VALUE"""),"cas_hmw")</f>
        <v>cas_hmw</v>
      </c>
      <c r="B13539" s="5">
        <f>IFERROR(__xludf.DUMMYFUNCTION("""COMPUTED_VALUE"""),44719.0)</f>
        <v>44719</v>
      </c>
      <c r="C13539" s="6">
        <f>IFERROR(__xludf.DUMMYFUNCTION("""COMPUTED_VALUE"""),0.7021990740722686)</f>
        <v>0.7021990741</v>
      </c>
      <c r="D13539" s="4">
        <f>IFERROR(__xludf.DUMMYFUNCTION("""COMPUTED_VALUE"""),12.923061)</f>
        <v>12.923061</v>
      </c>
      <c r="E13539" s="4">
        <f>IFERROR(__xludf.DUMMYFUNCTION("""COMPUTED_VALUE"""),80.125512)</f>
        <v>80.125512</v>
      </c>
      <c r="F13539" s="4">
        <f>IFERROR(__xludf.DUMMYFUNCTION("""COMPUTED_VALUE"""),2846.0)</f>
        <v>2846</v>
      </c>
      <c r="G13539" s="4">
        <f>IFERROR(__xludf.DUMMYFUNCTION("""COMPUTED_VALUE"""),19.0)</f>
        <v>19</v>
      </c>
      <c r="H13539" s="4"/>
      <c r="I13539" s="4"/>
    </row>
    <row r="13540">
      <c r="A13540" s="4" t="str">
        <f>IFERROR(__xludf.DUMMYFUNCTION("""COMPUTED_VALUE"""),"cas_hmw")</f>
        <v>cas_hmw</v>
      </c>
      <c r="B13540" s="5">
        <f>IFERROR(__xludf.DUMMYFUNCTION("""COMPUTED_VALUE"""),44719.0)</f>
        <v>44719</v>
      </c>
      <c r="C13540" s="6">
        <f>IFERROR(__xludf.DUMMYFUNCTION("""COMPUTED_VALUE"""),0.7028587962959136)</f>
        <v>0.7028587963</v>
      </c>
      <c r="D13540" s="4">
        <f>IFERROR(__xludf.DUMMYFUNCTION("""COMPUTED_VALUE"""),12.953774)</f>
        <v>12.953774</v>
      </c>
      <c r="E13540" s="4">
        <f>IFERROR(__xludf.DUMMYFUNCTION("""COMPUTED_VALUE"""),80.141796)</f>
        <v>80.141796</v>
      </c>
      <c r="F13540" s="4">
        <f>IFERROR(__xludf.DUMMYFUNCTION("""COMPUTED_VALUE"""),805.0)</f>
        <v>805</v>
      </c>
      <c r="G13540" s="4">
        <f>IFERROR(__xludf.DUMMYFUNCTION("""COMPUTED_VALUE"""),48.0)</f>
        <v>48</v>
      </c>
      <c r="H13540" s="4"/>
      <c r="I13540" s="4"/>
    </row>
    <row r="13541">
      <c r="A13541" s="4" t="str">
        <f>IFERROR(__xludf.DUMMYFUNCTION("""COMPUTED_VALUE"""),"cas_hmw")</f>
        <v>cas_hmw</v>
      </c>
      <c r="B13541" s="5">
        <f>IFERROR(__xludf.DUMMYFUNCTION("""COMPUTED_VALUE"""),44719.0)</f>
        <v>44719</v>
      </c>
      <c r="C13541" s="6">
        <f>IFERROR(__xludf.DUMMYFUNCTION("""COMPUTED_VALUE"""),0.7033564814810234)</f>
        <v>0.7033564815</v>
      </c>
      <c r="D13541" s="4">
        <f>IFERROR(__xludf.DUMMYFUNCTION("""COMPUTED_VALUE"""),12.922828)</f>
        <v>12.922828</v>
      </c>
      <c r="E13541" s="4">
        <f>IFERROR(__xludf.DUMMYFUNCTION("""COMPUTED_VALUE"""),80.130521)</f>
        <v>80.130521</v>
      </c>
      <c r="F13541" s="4">
        <f>IFERROR(__xludf.DUMMYFUNCTION("""COMPUTED_VALUE"""),2846.0)</f>
        <v>2846</v>
      </c>
      <c r="G13541" s="4">
        <f>IFERROR(__xludf.DUMMYFUNCTION("""COMPUTED_VALUE"""),29.0)</f>
        <v>29</v>
      </c>
      <c r="H13541" s="4"/>
      <c r="I13541" s="4"/>
    </row>
    <row r="13542">
      <c r="A13542" s="4" t="str">
        <f>IFERROR(__xludf.DUMMYFUNCTION("""COMPUTED_VALUE"""),"cas_hmw")</f>
        <v>cas_hmw</v>
      </c>
      <c r="B13542" s="5">
        <f>IFERROR(__xludf.DUMMYFUNCTION("""COMPUTED_VALUE"""),44719.0)</f>
        <v>44719</v>
      </c>
      <c r="C13542" s="6">
        <f>IFERROR(__xludf.DUMMYFUNCTION("""COMPUTED_VALUE"""),0.7043055555550382)</f>
        <v>0.7043055556</v>
      </c>
      <c r="D13542" s="4">
        <f>IFERROR(__xludf.DUMMYFUNCTION("""COMPUTED_VALUE"""),12.922646)</f>
        <v>12.922646</v>
      </c>
      <c r="E13542" s="4">
        <f>IFERROR(__xludf.DUMMYFUNCTION("""COMPUTED_VALUE"""),80.135086)</f>
        <v>80.135086</v>
      </c>
      <c r="F13542" s="4">
        <f>IFERROR(__xludf.DUMMYFUNCTION("""COMPUTED_VALUE"""),2846.0)</f>
        <v>2846</v>
      </c>
      <c r="G13542" s="4">
        <f>IFERROR(__xludf.DUMMYFUNCTION("""COMPUTED_VALUE"""),11.0)</f>
        <v>11</v>
      </c>
      <c r="H13542" s="4"/>
      <c r="I13542" s="4"/>
    </row>
    <row r="13543">
      <c r="A13543" s="4" t="str">
        <f>IFERROR(__xludf.DUMMYFUNCTION("""COMPUTED_VALUE"""),"cas_hmw")</f>
        <v>cas_hmw</v>
      </c>
      <c r="B13543" s="5">
        <f>IFERROR(__xludf.DUMMYFUNCTION("""COMPUTED_VALUE"""),44719.0)</f>
        <v>44719</v>
      </c>
      <c r="C13543" s="6">
        <f>IFERROR(__xludf.DUMMYFUNCTION("""COMPUTED_VALUE"""),0.7043518518512428)</f>
        <v>0.7043518519</v>
      </c>
      <c r="D13543" s="4">
        <f>IFERROR(__xludf.DUMMYFUNCTION("""COMPUTED_VALUE"""),12.922613)</f>
        <v>12.922613</v>
      </c>
      <c r="E13543" s="4">
        <f>IFERROR(__xludf.DUMMYFUNCTION("""COMPUTED_VALUE"""),80.135628)</f>
        <v>80.135628</v>
      </c>
      <c r="F13543" s="4">
        <f>IFERROR(__xludf.DUMMYFUNCTION("""COMPUTED_VALUE"""),2846.0)</f>
        <v>2846</v>
      </c>
      <c r="G13543" s="4">
        <f>IFERROR(__xludf.DUMMYFUNCTION("""COMPUTED_VALUE"""),27.0)</f>
        <v>27</v>
      </c>
      <c r="H13543" s="4"/>
      <c r="I13543" s="4"/>
    </row>
    <row r="13544">
      <c r="A13544" s="4" t="str">
        <f>IFERROR(__xludf.DUMMYFUNCTION("""COMPUTED_VALUE"""),"cas_hmw")</f>
        <v>cas_hmw</v>
      </c>
      <c r="B13544" s="5">
        <f>IFERROR(__xludf.DUMMYFUNCTION("""COMPUTED_VALUE"""),44719.0)</f>
        <v>44719</v>
      </c>
      <c r="C13544" s="6">
        <f>IFERROR(__xludf.DUMMYFUNCTION("""COMPUTED_VALUE"""),0.7043750000011642)</f>
        <v>0.704375</v>
      </c>
      <c r="D13544" s="4">
        <f>IFERROR(__xludf.DUMMYFUNCTION("""COMPUTED_VALUE"""),12.922613)</f>
        <v>12.922613</v>
      </c>
      <c r="E13544" s="4">
        <f>IFERROR(__xludf.DUMMYFUNCTION("""COMPUTED_VALUE"""),80.135628)</f>
        <v>80.135628</v>
      </c>
      <c r="F13544" s="4">
        <f>IFERROR(__xludf.DUMMYFUNCTION("""COMPUTED_VALUE"""),2846.0)</f>
        <v>2846</v>
      </c>
      <c r="G13544" s="4">
        <f>IFERROR(__xludf.DUMMYFUNCTION("""COMPUTED_VALUE"""),27.0)</f>
        <v>27</v>
      </c>
      <c r="H13544" s="4"/>
      <c r="I13544" s="4"/>
    </row>
    <row r="13545">
      <c r="A13545" s="4" t="str">
        <f>IFERROR(__xludf.DUMMYFUNCTION("""COMPUTED_VALUE"""),"cas_hmw")</f>
        <v>cas_hmw</v>
      </c>
      <c r="B13545" s="5">
        <f>IFERROR(__xludf.DUMMYFUNCTION("""COMPUTED_VALUE"""),44719.0)</f>
        <v>44719</v>
      </c>
      <c r="C13545" s="6">
        <f>IFERROR(__xludf.DUMMYFUNCTION("""COMPUTED_VALUE"""),0.7044444444436522)</f>
        <v>0.7044444444</v>
      </c>
      <c r="D13545" s="4">
        <f>IFERROR(__xludf.DUMMYFUNCTION("""COMPUTED_VALUE"""),12.922613)</f>
        <v>12.922613</v>
      </c>
      <c r="E13545" s="4">
        <f>IFERROR(__xludf.DUMMYFUNCTION("""COMPUTED_VALUE"""),80.135628)</f>
        <v>80.135628</v>
      </c>
      <c r="F13545" s="4">
        <f>IFERROR(__xludf.DUMMYFUNCTION("""COMPUTED_VALUE"""),2846.0)</f>
        <v>2846</v>
      </c>
      <c r="G13545" s="4">
        <f>IFERROR(__xludf.DUMMYFUNCTION("""COMPUTED_VALUE"""),27.0)</f>
        <v>27</v>
      </c>
      <c r="H13545" s="4"/>
      <c r="I13545" s="4"/>
    </row>
    <row r="13546">
      <c r="A13546" s="4" t="str">
        <f>IFERROR(__xludf.DUMMYFUNCTION("""COMPUTED_VALUE"""),"cas_hmw")</f>
        <v>cas_hmw</v>
      </c>
      <c r="B13546" s="5">
        <f>IFERROR(__xludf.DUMMYFUNCTION("""COMPUTED_VALUE"""),44719.0)</f>
        <v>44719</v>
      </c>
      <c r="C13546" s="6">
        <f>IFERROR(__xludf.DUMMYFUNCTION("""COMPUTED_VALUE"""),0.7044560185167938)</f>
        <v>0.7044560185</v>
      </c>
      <c r="D13546" s="4">
        <f>IFERROR(__xludf.DUMMYFUNCTION("""COMPUTED_VALUE"""),12.922613)</f>
        <v>12.922613</v>
      </c>
      <c r="E13546" s="4">
        <f>IFERROR(__xludf.DUMMYFUNCTION("""COMPUTED_VALUE"""),80.135628)</f>
        <v>80.135628</v>
      </c>
      <c r="F13546" s="4">
        <f>IFERROR(__xludf.DUMMYFUNCTION("""COMPUTED_VALUE"""),2846.0)</f>
        <v>2846</v>
      </c>
      <c r="G13546" s="4">
        <f>IFERROR(__xludf.DUMMYFUNCTION("""COMPUTED_VALUE"""),27.0)</f>
        <v>27</v>
      </c>
      <c r="H13546" s="4"/>
      <c r="I13546" s="4"/>
    </row>
    <row r="13547">
      <c r="A13547" s="4" t="str">
        <f>IFERROR(__xludf.DUMMYFUNCTION("""COMPUTED_VALUE"""),"cas_hmw")</f>
        <v>cas_hmw</v>
      </c>
      <c r="B13547" s="5">
        <f>IFERROR(__xludf.DUMMYFUNCTION("""COMPUTED_VALUE"""),44719.0)</f>
        <v>44719</v>
      </c>
      <c r="C13547" s="6">
        <f>IFERROR(__xludf.DUMMYFUNCTION("""COMPUTED_VALUE"""),0.7045254629629198)</f>
        <v>0.704525463</v>
      </c>
      <c r="D13547" s="4">
        <f>IFERROR(__xludf.DUMMYFUNCTION("""COMPUTED_VALUE"""),12.922613)</f>
        <v>12.922613</v>
      </c>
      <c r="E13547" s="4">
        <f>IFERROR(__xludf.DUMMYFUNCTION("""COMPUTED_VALUE"""),80.135628)</f>
        <v>80.135628</v>
      </c>
      <c r="F13547" s="4">
        <f>IFERROR(__xludf.DUMMYFUNCTION("""COMPUTED_VALUE"""),2846.0)</f>
        <v>2846</v>
      </c>
      <c r="G13547" s="4">
        <f>IFERROR(__xludf.DUMMYFUNCTION("""COMPUTED_VALUE"""),27.0)</f>
        <v>27</v>
      </c>
      <c r="H13547" s="4"/>
      <c r="I13547" s="4"/>
    </row>
    <row r="13548">
      <c r="A13548" s="4" t="str">
        <f>IFERROR(__xludf.DUMMYFUNCTION("""COMPUTED_VALUE"""),"cas_hmw")</f>
        <v>cas_hmw</v>
      </c>
      <c r="B13548" s="5">
        <f>IFERROR(__xludf.DUMMYFUNCTION("""COMPUTED_VALUE"""),44719.0)</f>
        <v>44719</v>
      </c>
      <c r="C13548" s="6">
        <f>IFERROR(__xludf.DUMMYFUNCTION("""COMPUTED_VALUE"""),0.7045370370360615)</f>
        <v>0.704537037</v>
      </c>
      <c r="D13548" s="4">
        <f>IFERROR(__xludf.DUMMYFUNCTION("""COMPUTED_VALUE"""),12.922561)</f>
        <v>12.922561</v>
      </c>
      <c r="E13548" s="4">
        <f>IFERROR(__xludf.DUMMYFUNCTION("""COMPUTED_VALUE"""),80.136435)</f>
        <v>80.136435</v>
      </c>
      <c r="F13548" s="4">
        <f>IFERROR(__xludf.DUMMYFUNCTION("""COMPUTED_VALUE"""),2846.0)</f>
        <v>2846</v>
      </c>
      <c r="G13548" s="4">
        <f>IFERROR(__xludf.DUMMYFUNCTION("""COMPUTED_VALUE"""),31.0)</f>
        <v>31</v>
      </c>
      <c r="H13548" s="4"/>
      <c r="I13548" s="4"/>
    </row>
    <row r="13549">
      <c r="A13549" s="4" t="str">
        <f>IFERROR(__xludf.DUMMYFUNCTION("""COMPUTED_VALUE"""),"cas_hmw")</f>
        <v>cas_hmw</v>
      </c>
      <c r="B13549" s="5">
        <f>IFERROR(__xludf.DUMMYFUNCTION("""COMPUTED_VALUE"""),44719.0)</f>
        <v>44719</v>
      </c>
      <c r="C13549" s="6">
        <f>IFERROR(__xludf.DUMMYFUNCTION("""COMPUTED_VALUE"""),0.7045601851859828)</f>
        <v>0.7045601852</v>
      </c>
      <c r="D13549" s="4">
        <f>IFERROR(__xludf.DUMMYFUNCTION("""COMPUTED_VALUE"""),12.922561)</f>
        <v>12.922561</v>
      </c>
      <c r="E13549" s="4">
        <f>IFERROR(__xludf.DUMMYFUNCTION("""COMPUTED_VALUE"""),80.136435)</f>
        <v>80.136435</v>
      </c>
      <c r="F13549" s="4">
        <f>IFERROR(__xludf.DUMMYFUNCTION("""COMPUTED_VALUE"""),2846.0)</f>
        <v>2846</v>
      </c>
      <c r="G13549" s="4">
        <f>IFERROR(__xludf.DUMMYFUNCTION("""COMPUTED_VALUE"""),31.0)</f>
        <v>31</v>
      </c>
      <c r="H13549" s="4"/>
      <c r="I13549" s="4"/>
    </row>
    <row r="13550">
      <c r="A13550" s="4" t="str">
        <f>IFERROR(__xludf.DUMMYFUNCTION("""COMPUTED_VALUE"""),"cas_hmw")</f>
        <v>cas_hmw</v>
      </c>
      <c r="B13550" s="5">
        <f>IFERROR(__xludf.DUMMYFUNCTION("""COMPUTED_VALUE"""),44719.0)</f>
        <v>44719</v>
      </c>
      <c r="C13550" s="6">
        <f>IFERROR(__xludf.DUMMYFUNCTION("""COMPUTED_VALUE"""),0.7049652777786832)</f>
        <v>0.7049652778</v>
      </c>
      <c r="D13550" s="4">
        <f>IFERROR(__xludf.DUMMYFUNCTION("""COMPUTED_VALUE"""),12.96452)</f>
        <v>12.96452</v>
      </c>
      <c r="E13550" s="4">
        <f>IFERROR(__xludf.DUMMYFUNCTION("""COMPUTED_VALUE"""),80.147589)</f>
        <v>80.147589</v>
      </c>
      <c r="F13550" s="4">
        <f>IFERROR(__xludf.DUMMYFUNCTION("""COMPUTED_VALUE"""),805.0)</f>
        <v>805</v>
      </c>
      <c r="G13550" s="4">
        <f>IFERROR(__xludf.DUMMYFUNCTION("""COMPUTED_VALUE"""),44.0)</f>
        <v>44</v>
      </c>
      <c r="H13550" s="4"/>
      <c r="I13550" s="4"/>
    </row>
    <row r="13551">
      <c r="A13551" s="4" t="str">
        <f>IFERROR(__xludf.DUMMYFUNCTION("""COMPUTED_VALUE"""),"cas_hmw")</f>
        <v>cas_hmw</v>
      </c>
      <c r="B13551" s="5">
        <f>IFERROR(__xludf.DUMMYFUNCTION("""COMPUTED_VALUE"""),44719.0)</f>
        <v>44719</v>
      </c>
      <c r="C13551" s="6">
        <f>IFERROR(__xludf.DUMMYFUNCTION("""COMPUTED_VALUE"""),0.7052430555559113)</f>
        <v>0.7052430556</v>
      </c>
      <c r="D13551" s="4">
        <f>IFERROR(__xludf.DUMMYFUNCTION("""COMPUTED_VALUE"""),12.92246)</f>
        <v>12.92246</v>
      </c>
      <c r="E13551" s="4">
        <f>IFERROR(__xludf.DUMMYFUNCTION("""COMPUTED_VALUE"""),80.138513)</f>
        <v>80.138513</v>
      </c>
      <c r="F13551" s="4">
        <f>IFERROR(__xludf.DUMMYFUNCTION("""COMPUTED_VALUE"""),2846.0)</f>
        <v>2846</v>
      </c>
      <c r="G13551" s="4">
        <f>IFERROR(__xludf.DUMMYFUNCTION("""COMPUTED_VALUE"""),24.0)</f>
        <v>24</v>
      </c>
      <c r="H13551" s="4"/>
      <c r="I13551" s="4"/>
    </row>
    <row r="13552">
      <c r="A13552" s="4" t="str">
        <f>IFERROR(__xludf.DUMMYFUNCTION("""COMPUTED_VALUE"""),"cas_hmw")</f>
        <v>cas_hmw</v>
      </c>
      <c r="B13552" s="5">
        <f>IFERROR(__xludf.DUMMYFUNCTION("""COMPUTED_VALUE"""),44719.0)</f>
        <v>44719</v>
      </c>
      <c r="C13552" s="6">
        <f>IFERROR(__xludf.DUMMYFUNCTION("""COMPUTED_VALUE"""),0.7060416666681704)</f>
        <v>0.7060416667</v>
      </c>
      <c r="D13552" s="4">
        <f>IFERROR(__xludf.DUMMYFUNCTION("""COMPUTED_VALUE"""),12.972698)</f>
        <v>12.972698</v>
      </c>
      <c r="E13552" s="4">
        <f>IFERROR(__xludf.DUMMYFUNCTION("""COMPUTED_VALUE"""),80.152118)</f>
        <v>80.152118</v>
      </c>
      <c r="F13552" s="4">
        <f>IFERROR(__xludf.DUMMYFUNCTION("""COMPUTED_VALUE"""),805.0)</f>
        <v>805</v>
      </c>
      <c r="G13552" s="4">
        <f>IFERROR(__xludf.DUMMYFUNCTION("""COMPUTED_VALUE"""),57.0)</f>
        <v>57</v>
      </c>
      <c r="H13552" s="4"/>
      <c r="I13552" s="4"/>
    </row>
    <row r="13553">
      <c r="A13553" s="4" t="str">
        <f>IFERROR(__xludf.DUMMYFUNCTION("""COMPUTED_VALUE"""),"cas_hmw")</f>
        <v>cas_hmw</v>
      </c>
      <c r="B13553" s="5">
        <f>IFERROR(__xludf.DUMMYFUNCTION("""COMPUTED_VALUE"""),44719.0)</f>
        <v>44719</v>
      </c>
      <c r="C13553" s="6">
        <f>IFERROR(__xludf.DUMMYFUNCTION("""COMPUTED_VALUE"""),0.7062268518529891)</f>
        <v>0.7062268519</v>
      </c>
      <c r="D13553" s="4">
        <f>IFERROR(__xludf.DUMMYFUNCTION("""COMPUTED_VALUE"""),12.975965)</f>
        <v>12.975965</v>
      </c>
      <c r="E13553" s="4">
        <f>IFERROR(__xludf.DUMMYFUNCTION("""COMPUTED_VALUE"""),80.156838)</f>
        <v>80.156838</v>
      </c>
      <c r="F13553" s="4">
        <f>IFERROR(__xludf.DUMMYFUNCTION("""COMPUTED_VALUE"""),805.0)</f>
        <v>805</v>
      </c>
      <c r="G13553" s="4">
        <f>IFERROR(__xludf.DUMMYFUNCTION("""COMPUTED_VALUE"""),55.0)</f>
        <v>55</v>
      </c>
      <c r="H13553" s="4"/>
      <c r="I13553" s="4"/>
    </row>
    <row r="13554">
      <c r="A13554" s="4" t="str">
        <f>IFERROR(__xludf.DUMMYFUNCTION("""COMPUTED_VALUE"""),"cas_hmw")</f>
        <v>cas_hmw</v>
      </c>
      <c r="B13554" s="5">
        <f>IFERROR(__xludf.DUMMYFUNCTION("""COMPUTED_VALUE"""),44719.0)</f>
        <v>44719</v>
      </c>
      <c r="C13554" s="6">
        <f>IFERROR(__xludf.DUMMYFUNCTION("""COMPUTED_VALUE"""),0.7063773148147448)</f>
        <v>0.7063773148</v>
      </c>
      <c r="D13554" s="4">
        <f>IFERROR(__xludf.DUMMYFUNCTION("""COMPUTED_VALUE"""),12.922567)</f>
        <v>12.922567</v>
      </c>
      <c r="E13554" s="4">
        <f>IFERROR(__xludf.DUMMYFUNCTION("""COMPUTED_VALUE"""),80.143893)</f>
        <v>80.143893</v>
      </c>
      <c r="F13554" s="4">
        <f>IFERROR(__xludf.DUMMYFUNCTION("""COMPUTED_VALUE"""),2846.0)</f>
        <v>2846</v>
      </c>
      <c r="G13554" s="4">
        <f>IFERROR(__xludf.DUMMYFUNCTION("""COMPUTED_VALUE"""),31.0)</f>
        <v>31</v>
      </c>
      <c r="H13554" s="4"/>
      <c r="I13554" s="4"/>
    </row>
    <row r="13555">
      <c r="A13555" s="4" t="str">
        <f>IFERROR(__xludf.DUMMYFUNCTION("""COMPUTED_VALUE"""),"cas_hmw")</f>
        <v>cas_hmw</v>
      </c>
      <c r="B13555" s="5">
        <f>IFERROR(__xludf.DUMMYFUNCTION("""COMPUTED_VALUE"""),44719.0)</f>
        <v>44719</v>
      </c>
      <c r="C13555" s="6">
        <f>IFERROR(__xludf.DUMMYFUNCTION("""COMPUTED_VALUE"""),0.7064120370378077)</f>
        <v>0.706412037</v>
      </c>
      <c r="D13555" s="4">
        <f>IFERROR(__xludf.DUMMYFUNCTION("""COMPUTED_VALUE"""),12.922567)</f>
        <v>12.922567</v>
      </c>
      <c r="E13555" s="4">
        <f>IFERROR(__xludf.DUMMYFUNCTION("""COMPUTED_VALUE"""),80.143893)</f>
        <v>80.143893</v>
      </c>
      <c r="F13555" s="4">
        <f>IFERROR(__xludf.DUMMYFUNCTION("""COMPUTED_VALUE"""),2846.0)</f>
        <v>2846</v>
      </c>
      <c r="G13555" s="4">
        <f>IFERROR(__xludf.DUMMYFUNCTION("""COMPUTED_VALUE"""),31.0)</f>
        <v>31</v>
      </c>
      <c r="H13555" s="4"/>
      <c r="I13555" s="4"/>
    </row>
    <row r="13556">
      <c r="A13556" s="4" t="str">
        <f>IFERROR(__xludf.DUMMYFUNCTION("""COMPUTED_VALUE"""),"cas_hmw")</f>
        <v>cas_hmw</v>
      </c>
      <c r="B13556" s="5">
        <f>IFERROR(__xludf.DUMMYFUNCTION("""COMPUTED_VALUE"""),44719.0)</f>
        <v>44719</v>
      </c>
      <c r="C13556" s="6">
        <f>IFERROR(__xludf.DUMMYFUNCTION("""COMPUTED_VALUE"""),0.7070717592578148)</f>
        <v>0.7070717593</v>
      </c>
      <c r="D13556" s="4">
        <f>IFERROR(__xludf.DUMMYFUNCTION("""COMPUTED_VALUE"""),12.981052)</f>
        <v>12.981052</v>
      </c>
      <c r="E13556" s="4">
        <f>IFERROR(__xludf.DUMMYFUNCTION("""COMPUTED_VALUE"""),80.165866)</f>
        <v>80.165866</v>
      </c>
      <c r="F13556" s="4">
        <f>IFERROR(__xludf.DUMMYFUNCTION("""COMPUTED_VALUE"""),805.0)</f>
        <v>805</v>
      </c>
      <c r="G13556" s="4">
        <f>IFERROR(__xludf.DUMMYFUNCTION("""COMPUTED_VALUE"""),50.0)</f>
        <v>50</v>
      </c>
      <c r="H13556" s="4"/>
      <c r="I13556" s="4"/>
    </row>
    <row r="13557">
      <c r="A13557" s="4" t="str">
        <f>IFERROR(__xludf.DUMMYFUNCTION("""COMPUTED_VALUE"""),"cas_hmw")</f>
        <v>cas_hmw</v>
      </c>
      <c r="B13557" s="5">
        <f>IFERROR(__xludf.DUMMYFUNCTION("""COMPUTED_VALUE"""),44719.0)</f>
        <v>44719</v>
      </c>
      <c r="C13557" s="6">
        <f>IFERROR(__xludf.DUMMYFUNCTION("""COMPUTED_VALUE"""),0.7071875000001455)</f>
        <v>0.7071875</v>
      </c>
      <c r="D13557" s="4">
        <f>IFERROR(__xludf.DUMMYFUNCTION("""COMPUTED_VALUE"""),12.981052)</f>
        <v>12.981052</v>
      </c>
      <c r="E13557" s="4">
        <f>IFERROR(__xludf.DUMMYFUNCTION("""COMPUTED_VALUE"""),80.165866)</f>
        <v>80.165866</v>
      </c>
      <c r="F13557" s="4">
        <f>IFERROR(__xludf.DUMMYFUNCTION("""COMPUTED_VALUE"""),805.0)</f>
        <v>805</v>
      </c>
      <c r="G13557" s="4">
        <f>IFERROR(__xludf.DUMMYFUNCTION("""COMPUTED_VALUE"""),50.0)</f>
        <v>50</v>
      </c>
      <c r="H13557" s="4"/>
      <c r="I13557" s="4"/>
    </row>
    <row r="13558">
      <c r="A13558" s="4" t="str">
        <f>IFERROR(__xludf.DUMMYFUNCTION("""COMPUTED_VALUE"""),"cas_hmw")</f>
        <v>cas_hmw</v>
      </c>
      <c r="B13558" s="5">
        <f>IFERROR(__xludf.DUMMYFUNCTION("""COMPUTED_VALUE"""),44719.0)</f>
        <v>44719</v>
      </c>
      <c r="C13558" s="6">
        <f>IFERROR(__xludf.DUMMYFUNCTION("""COMPUTED_VALUE"""),0.7072916666656965)</f>
        <v>0.7072916667</v>
      </c>
      <c r="D13558" s="4">
        <f>IFERROR(__xludf.DUMMYFUNCTION("""COMPUTED_VALUE"""),12.981052)</f>
        <v>12.981052</v>
      </c>
      <c r="E13558" s="4">
        <f>IFERROR(__xludf.DUMMYFUNCTION("""COMPUTED_VALUE"""),80.165866)</f>
        <v>80.165866</v>
      </c>
      <c r="F13558" s="4">
        <f>IFERROR(__xludf.DUMMYFUNCTION("""COMPUTED_VALUE"""),805.0)</f>
        <v>805</v>
      </c>
      <c r="G13558" s="4">
        <f>IFERROR(__xludf.DUMMYFUNCTION("""COMPUTED_VALUE"""),50.0)</f>
        <v>50</v>
      </c>
      <c r="H13558" s="4"/>
      <c r="I13558" s="4"/>
    </row>
    <row r="13559">
      <c r="A13559" s="4" t="str">
        <f>IFERROR(__xludf.DUMMYFUNCTION("""COMPUTED_VALUE"""),"cas_hmw")</f>
        <v>cas_hmw</v>
      </c>
      <c r="B13559" s="5">
        <f>IFERROR(__xludf.DUMMYFUNCTION("""COMPUTED_VALUE"""),44719.0)</f>
        <v>44719</v>
      </c>
      <c r="C13559" s="6">
        <f>IFERROR(__xludf.DUMMYFUNCTION("""COMPUTED_VALUE"""),0.7076041666659876)</f>
        <v>0.7076041667</v>
      </c>
      <c r="D13559" s="4">
        <f>IFERROR(__xludf.DUMMYFUNCTION("""COMPUTED_VALUE"""),12.983869)</f>
        <v>12.983869</v>
      </c>
      <c r="E13559" s="4">
        <f>IFERROR(__xludf.DUMMYFUNCTION("""COMPUTED_VALUE"""),80.170645)</f>
        <v>80.170645</v>
      </c>
      <c r="F13559" s="4">
        <f>IFERROR(__xludf.DUMMYFUNCTION("""COMPUTED_VALUE"""),805.0)</f>
        <v>805</v>
      </c>
      <c r="G13559" s="4">
        <f>IFERROR(__xludf.DUMMYFUNCTION("""COMPUTED_VALUE"""),57.0)</f>
        <v>57</v>
      </c>
      <c r="H13559" s="4"/>
      <c r="I13559" s="4"/>
    </row>
    <row r="13560">
      <c r="A13560" s="4" t="str">
        <f>IFERROR(__xludf.DUMMYFUNCTION("""COMPUTED_VALUE"""),"cas_hmw")</f>
        <v>cas_hmw</v>
      </c>
      <c r="B13560" s="5">
        <f>IFERROR(__xludf.DUMMYFUNCTION("""COMPUTED_VALUE"""),44719.0)</f>
        <v>44719</v>
      </c>
      <c r="C13560" s="6">
        <f>IFERROR(__xludf.DUMMYFUNCTION("""COMPUTED_VALUE"""),0.7076851851852552)</f>
        <v>0.7076851852</v>
      </c>
      <c r="D13560" s="4">
        <f>IFERROR(__xludf.DUMMYFUNCTION("""COMPUTED_VALUE"""),12.984598)</f>
        <v>12.984598</v>
      </c>
      <c r="E13560" s="4">
        <f>IFERROR(__xludf.DUMMYFUNCTION("""COMPUTED_VALUE"""),80.171835)</f>
        <v>80.171835</v>
      </c>
      <c r="F13560" s="4">
        <f>IFERROR(__xludf.DUMMYFUNCTION("""COMPUTED_VALUE"""),805.0)</f>
        <v>805</v>
      </c>
      <c r="G13560" s="4">
        <f>IFERROR(__xludf.DUMMYFUNCTION("""COMPUTED_VALUE"""),43.0)</f>
        <v>43</v>
      </c>
      <c r="H13560" s="4"/>
      <c r="I13560" s="4"/>
    </row>
    <row r="13561">
      <c r="A13561" s="4" t="str">
        <f>IFERROR(__xludf.DUMMYFUNCTION("""COMPUTED_VALUE"""),"cas_hmw")</f>
        <v>cas_hmw</v>
      </c>
      <c r="B13561" s="5">
        <f>IFERROR(__xludf.DUMMYFUNCTION("""COMPUTED_VALUE"""),44719.0)</f>
        <v>44719</v>
      </c>
      <c r="C13561" s="6">
        <f>IFERROR(__xludf.DUMMYFUNCTION("""COMPUTED_VALUE"""),0.7085185185169394)</f>
        <v>0.7085185185</v>
      </c>
      <c r="D13561" s="4">
        <f>IFERROR(__xludf.DUMMYFUNCTION("""COMPUTED_VALUE"""),12.986796)</f>
        <v>12.986796</v>
      </c>
      <c r="E13561" s="4">
        <f>IFERROR(__xludf.DUMMYFUNCTION("""COMPUTED_VALUE"""),80.175076)</f>
        <v>80.175076</v>
      </c>
      <c r="F13561" s="4">
        <f>IFERROR(__xludf.DUMMYFUNCTION("""COMPUTED_VALUE"""),805.0)</f>
        <v>805</v>
      </c>
      <c r="G13561" s="4">
        <f>IFERROR(__xludf.DUMMYFUNCTION("""COMPUTED_VALUE"""),21.0)</f>
        <v>21</v>
      </c>
      <c r="H13561" s="4"/>
      <c r="I13561" s="4"/>
    </row>
    <row r="13562">
      <c r="A13562" s="4" t="str">
        <f>IFERROR(__xludf.DUMMYFUNCTION("""COMPUTED_VALUE"""),"cas_hmw")</f>
        <v>cas_hmw</v>
      </c>
      <c r="B13562" s="5">
        <f>IFERROR(__xludf.DUMMYFUNCTION("""COMPUTED_VALUE"""),44719.0)</f>
        <v>44719</v>
      </c>
      <c r="C13562" s="6">
        <f>IFERROR(__xludf.DUMMYFUNCTION("""COMPUTED_VALUE"""),0.708599537036207)</f>
        <v>0.708599537</v>
      </c>
      <c r="D13562" s="4">
        <f>IFERROR(__xludf.DUMMYFUNCTION("""COMPUTED_VALUE"""),12.987168)</f>
        <v>12.987168</v>
      </c>
      <c r="E13562" s="4">
        <f>IFERROR(__xludf.DUMMYFUNCTION("""COMPUTED_VALUE"""),80.175592)</f>
        <v>80.175592</v>
      </c>
      <c r="F13562" s="4">
        <f>IFERROR(__xludf.DUMMYFUNCTION("""COMPUTED_VALUE"""),805.0)</f>
        <v>805</v>
      </c>
      <c r="G13562" s="4">
        <f>IFERROR(__xludf.DUMMYFUNCTION("""COMPUTED_VALUE"""),29.0)</f>
        <v>29</v>
      </c>
      <c r="H13562" s="4"/>
      <c r="I13562" s="4"/>
    </row>
    <row r="13563">
      <c r="A13563" s="4" t="str">
        <f>IFERROR(__xludf.DUMMYFUNCTION("""COMPUTED_VALUE"""),"cas_hmw")</f>
        <v>cas_hmw</v>
      </c>
      <c r="B13563" s="5">
        <f>IFERROR(__xludf.DUMMYFUNCTION("""COMPUTED_VALUE"""),44719.0)</f>
        <v>44719</v>
      </c>
      <c r="C13563" s="6">
        <f>IFERROR(__xludf.DUMMYFUNCTION("""COMPUTED_VALUE"""),0.708599537036207)</f>
        <v>0.708599537</v>
      </c>
      <c r="D13563" s="4">
        <f>IFERROR(__xludf.DUMMYFUNCTION("""COMPUTED_VALUE"""),12.987168)</f>
        <v>12.987168</v>
      </c>
      <c r="E13563" s="4">
        <f>IFERROR(__xludf.DUMMYFUNCTION("""COMPUTED_VALUE"""),80.175592)</f>
        <v>80.175592</v>
      </c>
      <c r="F13563" s="4">
        <f>IFERROR(__xludf.DUMMYFUNCTION("""COMPUTED_VALUE"""),805.0)</f>
        <v>805</v>
      </c>
      <c r="G13563" s="4">
        <f>IFERROR(__xludf.DUMMYFUNCTION("""COMPUTED_VALUE"""),29.0)</f>
        <v>29</v>
      </c>
      <c r="H13563" s="4"/>
      <c r="I13563" s="4"/>
    </row>
    <row r="13564">
      <c r="A13564" s="4" t="str">
        <f>IFERROR(__xludf.DUMMYFUNCTION("""COMPUTED_VALUE"""),"cas_hmw")</f>
        <v>cas_hmw</v>
      </c>
      <c r="B13564" s="5">
        <f>IFERROR(__xludf.DUMMYFUNCTION("""COMPUTED_VALUE"""),44719.0)</f>
        <v>44719</v>
      </c>
      <c r="C13564" s="6">
        <f>IFERROR(__xludf.DUMMYFUNCTION("""COMPUTED_VALUE"""),0.7086111111093487)</f>
        <v>0.7086111111</v>
      </c>
      <c r="D13564" s="4">
        <f>IFERROR(__xludf.DUMMYFUNCTION("""COMPUTED_VALUE"""),12.987168)</f>
        <v>12.987168</v>
      </c>
      <c r="E13564" s="4">
        <f>IFERROR(__xludf.DUMMYFUNCTION("""COMPUTED_VALUE"""),80.175592)</f>
        <v>80.175592</v>
      </c>
      <c r="F13564" s="4">
        <f>IFERROR(__xludf.DUMMYFUNCTION("""COMPUTED_VALUE"""),805.0)</f>
        <v>805</v>
      </c>
      <c r="G13564" s="4">
        <f>IFERROR(__xludf.DUMMYFUNCTION("""COMPUTED_VALUE"""),29.0)</f>
        <v>29</v>
      </c>
      <c r="H13564" s="4"/>
      <c r="I13564" s="4"/>
    </row>
    <row r="13565">
      <c r="A13565" s="4" t="str">
        <f>IFERROR(__xludf.DUMMYFUNCTION("""COMPUTED_VALUE"""),"cas_hmw")</f>
        <v>cas_hmw</v>
      </c>
      <c r="B13565" s="5">
        <f>IFERROR(__xludf.DUMMYFUNCTION("""COMPUTED_VALUE"""),44719.0)</f>
        <v>44719</v>
      </c>
      <c r="C13565" s="6">
        <f>IFERROR(__xludf.DUMMYFUNCTION("""COMPUTED_VALUE"""),0.7090277777788287)</f>
        <v>0.7090277778</v>
      </c>
      <c r="D13565" s="4">
        <f>IFERROR(__xludf.DUMMYFUNCTION("""COMPUTED_VALUE"""),12.987671)</f>
        <v>12.987671</v>
      </c>
      <c r="E13565" s="4">
        <f>IFERROR(__xludf.DUMMYFUNCTION("""COMPUTED_VALUE"""),80.176282)</f>
        <v>80.176282</v>
      </c>
      <c r="F13565" s="4">
        <f>IFERROR(__xludf.DUMMYFUNCTION("""COMPUTED_VALUE"""),805.0)</f>
        <v>805</v>
      </c>
      <c r="G13565" s="4">
        <f>IFERROR(__xludf.DUMMYFUNCTION("""COMPUTED_VALUE"""),6.0)</f>
        <v>6</v>
      </c>
      <c r="H13565" s="4"/>
      <c r="I13565" s="4"/>
    </row>
    <row r="13566">
      <c r="A13566" s="4" t="str">
        <f>IFERROR(__xludf.DUMMYFUNCTION("""COMPUTED_VALUE"""),"cas_hmw")</f>
        <v>cas_hmw</v>
      </c>
      <c r="B13566" s="5">
        <f>IFERROR(__xludf.DUMMYFUNCTION("""COMPUTED_VALUE"""),44719.0)</f>
        <v>44719</v>
      </c>
      <c r="C13566" s="6">
        <f>IFERROR(__xludf.DUMMYFUNCTION("""COMPUTED_VALUE"""),0.7094907407408755)</f>
        <v>0.7094907407</v>
      </c>
      <c r="D13566" s="4">
        <f>IFERROR(__xludf.DUMMYFUNCTION("""COMPUTED_VALUE"""),12.989428)</f>
        <v>12.989428</v>
      </c>
      <c r="E13566" s="4">
        <f>IFERROR(__xludf.DUMMYFUNCTION("""COMPUTED_VALUE"""),80.178603)</f>
        <v>80.178603</v>
      </c>
      <c r="F13566" s="4">
        <f>IFERROR(__xludf.DUMMYFUNCTION("""COMPUTED_VALUE"""),805.0)</f>
        <v>805</v>
      </c>
      <c r="G13566" s="4">
        <f>IFERROR(__xludf.DUMMYFUNCTION("""COMPUTED_VALUE"""),25.0)</f>
        <v>25</v>
      </c>
      <c r="H13566" s="4"/>
      <c r="I13566" s="4"/>
    </row>
    <row r="13567">
      <c r="A13567" s="4" t="str">
        <f>IFERROR(__xludf.DUMMYFUNCTION("""COMPUTED_VALUE"""),"cas_hmw")</f>
        <v>cas_hmw</v>
      </c>
      <c r="B13567" s="5">
        <f>IFERROR(__xludf.DUMMYFUNCTION("""COMPUTED_VALUE"""),44719.0)</f>
        <v>44719</v>
      </c>
      <c r="C13567" s="6">
        <f>IFERROR(__xludf.DUMMYFUNCTION("""COMPUTED_VALUE"""),0.7095023148140172)</f>
        <v>0.7095023148</v>
      </c>
      <c r="D13567" s="4">
        <f>IFERROR(__xludf.DUMMYFUNCTION("""COMPUTED_VALUE"""),12.921624)</f>
        <v>12.921624</v>
      </c>
      <c r="E13567" s="4">
        <f>IFERROR(__xludf.DUMMYFUNCTION("""COMPUTED_VALUE"""),80.165548)</f>
        <v>80.165548</v>
      </c>
      <c r="F13567" s="4">
        <f>IFERROR(__xludf.DUMMYFUNCTION("""COMPUTED_VALUE"""),2846.0)</f>
        <v>2846</v>
      </c>
      <c r="G13567" s="4">
        <f>IFERROR(__xludf.DUMMYFUNCTION("""COMPUTED_VALUE"""),45.0)</f>
        <v>45</v>
      </c>
      <c r="H13567" s="4"/>
      <c r="I13567" s="4"/>
    </row>
    <row r="13568">
      <c r="A13568" s="4" t="str">
        <f>IFERROR(__xludf.DUMMYFUNCTION("""COMPUTED_VALUE"""),"cas_hmw")</f>
        <v>cas_hmw</v>
      </c>
      <c r="B13568" s="5">
        <f>IFERROR(__xludf.DUMMYFUNCTION("""COMPUTED_VALUE"""),44719.0)</f>
        <v>44719</v>
      </c>
      <c r="C13568" s="6">
        <f>IFERROR(__xludf.DUMMYFUNCTION("""COMPUTED_VALUE"""),0.7095601851870015)</f>
        <v>0.7095601852</v>
      </c>
      <c r="D13568" s="4">
        <f>IFERROR(__xludf.DUMMYFUNCTION("""COMPUTED_VALUE"""),12.921624)</f>
        <v>12.921624</v>
      </c>
      <c r="E13568" s="4">
        <f>IFERROR(__xludf.DUMMYFUNCTION("""COMPUTED_VALUE"""),80.165548)</f>
        <v>80.165548</v>
      </c>
      <c r="F13568" s="4">
        <f>IFERROR(__xludf.DUMMYFUNCTION("""COMPUTED_VALUE"""),2846.0)</f>
        <v>2846</v>
      </c>
      <c r="G13568" s="4">
        <f>IFERROR(__xludf.DUMMYFUNCTION("""COMPUTED_VALUE"""),45.0)</f>
        <v>45</v>
      </c>
      <c r="H13568" s="4"/>
      <c r="I13568" s="4"/>
    </row>
    <row r="13569">
      <c r="A13569" s="4" t="str">
        <f>IFERROR(__xludf.DUMMYFUNCTION("""COMPUTED_VALUE"""),"cas_hmw")</f>
        <v>cas_hmw</v>
      </c>
      <c r="B13569" s="5">
        <f>IFERROR(__xludf.DUMMYFUNCTION("""COMPUTED_VALUE"""),44719.0)</f>
        <v>44719</v>
      </c>
      <c r="C13569" s="6">
        <f>IFERROR(__xludf.DUMMYFUNCTION("""COMPUTED_VALUE"""),0.7098611111105129)</f>
        <v>0.7098611111</v>
      </c>
      <c r="D13569" s="4">
        <f>IFERROR(__xludf.DUMMYFUNCTION("""COMPUTED_VALUE"""),12.992137)</f>
        <v>12.992137</v>
      </c>
      <c r="E13569" s="4">
        <f>IFERROR(__xludf.DUMMYFUNCTION("""COMPUTED_VALUE"""),80.182118)</f>
        <v>80.182118</v>
      </c>
      <c r="F13569" s="4">
        <f>IFERROR(__xludf.DUMMYFUNCTION("""COMPUTED_VALUE"""),805.0)</f>
        <v>805</v>
      </c>
      <c r="G13569" s="4">
        <f>IFERROR(__xludf.DUMMYFUNCTION("""COMPUTED_VALUE"""),43.0)</f>
        <v>43</v>
      </c>
      <c r="H13569" s="4"/>
      <c r="I13569" s="4"/>
    </row>
    <row r="13570">
      <c r="A13570" s="4" t="str">
        <f>IFERROR(__xludf.DUMMYFUNCTION("""COMPUTED_VALUE"""),"cas_hmw")</f>
        <v>cas_hmw</v>
      </c>
      <c r="B13570" s="5">
        <f>IFERROR(__xludf.DUMMYFUNCTION("""COMPUTED_VALUE"""),44719.0)</f>
        <v>44719</v>
      </c>
      <c r="C13570" s="6">
        <f>IFERROR(__xludf.DUMMYFUNCTION("""COMPUTED_VALUE"""),0.7099421296297805)</f>
        <v>0.7099421296</v>
      </c>
      <c r="D13570" s="4">
        <f>IFERROR(__xludf.DUMMYFUNCTION("""COMPUTED_VALUE"""),12.992137)</f>
        <v>12.992137</v>
      </c>
      <c r="E13570" s="4">
        <f>IFERROR(__xludf.DUMMYFUNCTION("""COMPUTED_VALUE"""),80.182118)</f>
        <v>80.182118</v>
      </c>
      <c r="F13570" s="4">
        <f>IFERROR(__xludf.DUMMYFUNCTION("""COMPUTED_VALUE"""),805.0)</f>
        <v>805</v>
      </c>
      <c r="G13570" s="4">
        <f>IFERROR(__xludf.DUMMYFUNCTION("""COMPUTED_VALUE"""),43.0)</f>
        <v>43</v>
      </c>
      <c r="H13570" s="4"/>
      <c r="I13570" s="4"/>
    </row>
    <row r="13571">
      <c r="A13571" s="4" t="str">
        <f>IFERROR(__xludf.DUMMYFUNCTION("""COMPUTED_VALUE"""),"cas_hmw")</f>
        <v>cas_hmw</v>
      </c>
      <c r="B13571" s="5">
        <f>IFERROR(__xludf.DUMMYFUNCTION("""COMPUTED_VALUE"""),44719.0)</f>
        <v>44719</v>
      </c>
      <c r="C13571" s="6">
        <f>IFERROR(__xludf.DUMMYFUNCTION("""COMPUTED_VALUE"""),0.7117824074084638)</f>
        <v>0.7117824074</v>
      </c>
      <c r="D13571" s="4">
        <f>IFERROR(__xludf.DUMMYFUNCTION("""COMPUTED_VALUE"""),12.992797)</f>
        <v>12.992797</v>
      </c>
      <c r="E13571" s="4">
        <f>IFERROR(__xludf.DUMMYFUNCTION("""COMPUTED_VALUE"""),80.183105)</f>
        <v>80.183105</v>
      </c>
      <c r="F13571" s="4">
        <f>IFERROR(__xludf.DUMMYFUNCTION("""COMPUTED_VALUE"""),805.0)</f>
        <v>805</v>
      </c>
      <c r="G13571" s="4">
        <f>IFERROR(__xludf.DUMMYFUNCTION("""COMPUTED_VALUE"""),45.0)</f>
        <v>45</v>
      </c>
      <c r="H13571" s="4"/>
      <c r="I13571" s="4"/>
    </row>
    <row r="13572">
      <c r="A13572" s="4" t="str">
        <f>IFERROR(__xludf.DUMMYFUNCTION("""COMPUTED_VALUE"""),"cas_hmw")</f>
        <v>cas_hmw</v>
      </c>
      <c r="B13572" s="5">
        <f>IFERROR(__xludf.DUMMYFUNCTION("""COMPUTED_VALUE"""),44719.0)</f>
        <v>44719</v>
      </c>
      <c r="C13572" s="6">
        <f>IFERROR(__xludf.DUMMYFUNCTION("""COMPUTED_VALUE"""),0.7122569444436522)</f>
        <v>0.7122569444</v>
      </c>
      <c r="D13572" s="4">
        <f>IFERROR(__xludf.DUMMYFUNCTION("""COMPUTED_VALUE"""),12.992797)</f>
        <v>12.992797</v>
      </c>
      <c r="E13572" s="4">
        <f>IFERROR(__xludf.DUMMYFUNCTION("""COMPUTED_VALUE"""),80.183105)</f>
        <v>80.183105</v>
      </c>
      <c r="F13572" s="4">
        <f>IFERROR(__xludf.DUMMYFUNCTION("""COMPUTED_VALUE"""),805.0)</f>
        <v>805</v>
      </c>
      <c r="G13572" s="4">
        <f>IFERROR(__xludf.DUMMYFUNCTION("""COMPUTED_VALUE"""),45.0)</f>
        <v>45</v>
      </c>
      <c r="H13572" s="4"/>
      <c r="I13572" s="4"/>
    </row>
    <row r="13573">
      <c r="A13573" s="4" t="str">
        <f>IFERROR(__xludf.DUMMYFUNCTION("""COMPUTED_VALUE"""),"cas_hmw")</f>
        <v>cas_hmw</v>
      </c>
      <c r="B13573" s="5">
        <f>IFERROR(__xludf.DUMMYFUNCTION("""COMPUTED_VALUE"""),44719.0)</f>
        <v>44719</v>
      </c>
      <c r="C13573" s="6">
        <f>IFERROR(__xludf.DUMMYFUNCTION("""COMPUTED_VALUE"""),0.7130787037021946)</f>
        <v>0.7130787037</v>
      </c>
      <c r="D13573" s="4">
        <f>IFERROR(__xludf.DUMMYFUNCTION("""COMPUTED_VALUE"""),13.000885)</f>
        <v>13.000885</v>
      </c>
      <c r="E13573" s="4">
        <f>IFERROR(__xludf.DUMMYFUNCTION("""COMPUTED_VALUE"""),80.19507)</f>
        <v>80.19507</v>
      </c>
      <c r="F13573" s="4">
        <f>IFERROR(__xludf.DUMMYFUNCTION("""COMPUTED_VALUE"""),805.0)</f>
        <v>805</v>
      </c>
      <c r="G13573" s="4">
        <f>IFERROR(__xludf.DUMMYFUNCTION("""COMPUTED_VALUE"""),19.0)</f>
        <v>19</v>
      </c>
      <c r="H13573" s="4"/>
      <c r="I13573" s="4"/>
    </row>
    <row r="13574">
      <c r="A13574" s="4" t="str">
        <f>IFERROR(__xludf.DUMMYFUNCTION("""COMPUTED_VALUE"""),"cas_hmw")</f>
        <v>cas_hmw</v>
      </c>
      <c r="B13574" s="5">
        <f>IFERROR(__xludf.DUMMYFUNCTION("""COMPUTED_VALUE"""),44719.0)</f>
        <v>44719</v>
      </c>
      <c r="C13574" s="6">
        <f>IFERROR(__xludf.DUMMYFUNCTION("""COMPUTED_VALUE"""),0.7131249999983993)</f>
        <v>0.713125</v>
      </c>
      <c r="D13574" s="4">
        <f>IFERROR(__xludf.DUMMYFUNCTION("""COMPUTED_VALUE"""),13.001241)</f>
        <v>13.001241</v>
      </c>
      <c r="E13574" s="4">
        <f>IFERROR(__xludf.DUMMYFUNCTION("""COMPUTED_VALUE"""),80.195531)</f>
        <v>80.195531</v>
      </c>
      <c r="F13574" s="4">
        <f>IFERROR(__xludf.DUMMYFUNCTION("""COMPUTED_VALUE"""),805.0)</f>
        <v>805</v>
      </c>
      <c r="G13574" s="4">
        <f>IFERROR(__xludf.DUMMYFUNCTION("""COMPUTED_VALUE"""),9.0)</f>
        <v>9</v>
      </c>
      <c r="H13574" s="4"/>
      <c r="I13574" s="4"/>
    </row>
    <row r="13575">
      <c r="A13575" s="4" t="str">
        <f>IFERROR(__xludf.DUMMYFUNCTION("""COMPUTED_VALUE"""),"cas_hmw")</f>
        <v>cas_hmw</v>
      </c>
      <c r="B13575" s="5">
        <f>IFERROR(__xludf.DUMMYFUNCTION("""COMPUTED_VALUE"""),44719.0)</f>
        <v>44719</v>
      </c>
      <c r="C13575" s="6">
        <f>IFERROR(__xludf.DUMMYFUNCTION("""COMPUTED_VALUE"""),0.7132870370369346)</f>
        <v>0.713287037</v>
      </c>
      <c r="D13575" s="4">
        <f>IFERROR(__xludf.DUMMYFUNCTION("""COMPUTED_VALUE"""),13.001241)</f>
        <v>13.001241</v>
      </c>
      <c r="E13575" s="4">
        <f>IFERROR(__xludf.DUMMYFUNCTION("""COMPUTED_VALUE"""),80.195531)</f>
        <v>80.195531</v>
      </c>
      <c r="F13575" s="4">
        <f>IFERROR(__xludf.DUMMYFUNCTION("""COMPUTED_VALUE"""),805.0)</f>
        <v>805</v>
      </c>
      <c r="G13575" s="4">
        <f>IFERROR(__xludf.DUMMYFUNCTION("""COMPUTED_VALUE"""),9.0)</f>
        <v>9</v>
      </c>
      <c r="H13575" s="4"/>
      <c r="I13575" s="4"/>
    </row>
    <row r="13576">
      <c r="A13576" s="4" t="str">
        <f>IFERROR(__xludf.DUMMYFUNCTION("""COMPUTED_VALUE"""),"cas_hmw")</f>
        <v>cas_hmw</v>
      </c>
      <c r="B13576" s="5">
        <f>IFERROR(__xludf.DUMMYFUNCTION("""COMPUTED_VALUE"""),44719.0)</f>
        <v>44719</v>
      </c>
      <c r="C13576" s="6">
        <f>IFERROR(__xludf.DUMMYFUNCTION("""COMPUTED_VALUE"""),0.7133217592599976)</f>
        <v>0.7133217593</v>
      </c>
      <c r="D13576" s="4">
        <f>IFERROR(__xludf.DUMMYFUNCTION("""COMPUTED_VALUE"""),13.002058)</f>
        <v>13.002058</v>
      </c>
      <c r="E13576" s="4">
        <f>IFERROR(__xludf.DUMMYFUNCTION("""COMPUTED_VALUE"""),80.19789)</f>
        <v>80.19789</v>
      </c>
      <c r="F13576" s="4">
        <f>IFERROR(__xludf.DUMMYFUNCTION("""COMPUTED_VALUE"""),805.0)</f>
        <v>805</v>
      </c>
      <c r="G13576" s="4">
        <f>IFERROR(__xludf.DUMMYFUNCTION("""COMPUTED_VALUE"""),47.0)</f>
        <v>47</v>
      </c>
      <c r="H13576" s="4"/>
      <c r="I13576" s="4"/>
    </row>
    <row r="13577">
      <c r="A13577" s="4" t="str">
        <f>IFERROR(__xludf.DUMMYFUNCTION("""COMPUTED_VALUE"""),"cas_hmw")</f>
        <v>cas_hmw</v>
      </c>
      <c r="B13577" s="5">
        <f>IFERROR(__xludf.DUMMYFUNCTION("""COMPUTED_VALUE"""),44719.0)</f>
        <v>44719</v>
      </c>
      <c r="C13577" s="6">
        <f>IFERROR(__xludf.DUMMYFUNCTION("""COMPUTED_VALUE"""),0.713414351852407)</f>
        <v>0.7134143519</v>
      </c>
      <c r="D13577" s="4">
        <f>IFERROR(__xludf.DUMMYFUNCTION("""COMPUTED_VALUE"""),13.001862)</f>
        <v>13.001862</v>
      </c>
      <c r="E13577" s="4">
        <f>IFERROR(__xludf.DUMMYFUNCTION("""COMPUTED_VALUE"""),80.199532)</f>
        <v>80.199532</v>
      </c>
      <c r="F13577" s="4">
        <f>IFERROR(__xludf.DUMMYFUNCTION("""COMPUTED_VALUE"""),805.0)</f>
        <v>805</v>
      </c>
      <c r="G13577" s="4">
        <f>IFERROR(__xludf.DUMMYFUNCTION("""COMPUTED_VALUE"""),40.0)</f>
        <v>40</v>
      </c>
      <c r="H13577" s="4"/>
      <c r="I13577" s="4"/>
    </row>
    <row r="13578">
      <c r="A13578" s="4" t="str">
        <f>IFERROR(__xludf.DUMMYFUNCTION("""COMPUTED_VALUE"""),"cas_hmw")</f>
        <v>cas_hmw</v>
      </c>
      <c r="B13578" s="5">
        <f>IFERROR(__xludf.DUMMYFUNCTION("""COMPUTED_VALUE"""),44719.0)</f>
        <v>44719</v>
      </c>
      <c r="C13578" s="6">
        <f>IFERROR(__xludf.DUMMYFUNCTION("""COMPUTED_VALUE"""),0.7135648148141627)</f>
        <v>0.7135648148</v>
      </c>
      <c r="D13578" s="4">
        <f>IFERROR(__xludf.DUMMYFUNCTION("""COMPUTED_VALUE"""),13.002841)</f>
        <v>13.002841</v>
      </c>
      <c r="E13578" s="4">
        <f>IFERROR(__xludf.DUMMYFUNCTION("""COMPUTED_VALUE"""),80.20063)</f>
        <v>80.20063</v>
      </c>
      <c r="F13578" s="4">
        <f>IFERROR(__xludf.DUMMYFUNCTION("""COMPUTED_VALUE"""),805.0)</f>
        <v>805</v>
      </c>
      <c r="G13578" s="4">
        <f>IFERROR(__xludf.DUMMYFUNCTION("""COMPUTED_VALUE"""),38.0)</f>
        <v>38</v>
      </c>
      <c r="H13578" s="4"/>
      <c r="I13578" s="4"/>
    </row>
    <row r="13579">
      <c r="A13579" s="4" t="str">
        <f>IFERROR(__xludf.DUMMYFUNCTION("""COMPUTED_VALUE"""),"cas_hmw")</f>
        <v>cas_hmw</v>
      </c>
      <c r="B13579" s="5">
        <f>IFERROR(__xludf.DUMMYFUNCTION("""COMPUTED_VALUE"""),44719.0)</f>
        <v>44719</v>
      </c>
      <c r="C13579" s="6">
        <f>IFERROR(__xludf.DUMMYFUNCTION("""COMPUTED_VALUE"""),0.7136342592602887)</f>
        <v>0.7136342593</v>
      </c>
      <c r="D13579" s="4">
        <f>IFERROR(__xludf.DUMMYFUNCTION("""COMPUTED_VALUE"""),13.003827)</f>
        <v>13.003827</v>
      </c>
      <c r="E13579" s="4">
        <f>IFERROR(__xludf.DUMMYFUNCTION("""COMPUTED_VALUE"""),80.200896)</f>
        <v>80.200896</v>
      </c>
      <c r="F13579" s="4">
        <f>IFERROR(__xludf.DUMMYFUNCTION("""COMPUTED_VALUE"""),805.0)</f>
        <v>805</v>
      </c>
      <c r="G13579" s="4">
        <f>IFERROR(__xludf.DUMMYFUNCTION("""COMPUTED_VALUE"""),37.0)</f>
        <v>37</v>
      </c>
      <c r="H13579" s="4"/>
      <c r="I13579" s="4"/>
    </row>
    <row r="13580">
      <c r="A13580" s="4" t="str">
        <f>IFERROR(__xludf.DUMMYFUNCTION("""COMPUTED_VALUE"""),"cas_hmw")</f>
        <v>cas_hmw</v>
      </c>
      <c r="B13580" s="5">
        <f>IFERROR(__xludf.DUMMYFUNCTION("""COMPUTED_VALUE"""),44719.0)</f>
        <v>44719</v>
      </c>
      <c r="C13580" s="6">
        <f>IFERROR(__xludf.DUMMYFUNCTION("""COMPUTED_VALUE"""),0.713831018518249)</f>
        <v>0.7138310185</v>
      </c>
      <c r="D13580" s="4">
        <f>IFERROR(__xludf.DUMMYFUNCTION("""COMPUTED_VALUE"""),13.004648)</f>
        <v>13.004648</v>
      </c>
      <c r="E13580" s="4">
        <f>IFERROR(__xludf.DUMMYFUNCTION("""COMPUTED_VALUE"""),80.20116)</f>
        <v>80.20116</v>
      </c>
      <c r="F13580" s="4">
        <f>IFERROR(__xludf.DUMMYFUNCTION("""COMPUTED_VALUE"""),805.0)</f>
        <v>805</v>
      </c>
      <c r="G13580" s="4">
        <f>IFERROR(__xludf.DUMMYFUNCTION("""COMPUTED_VALUE"""),35.0)</f>
        <v>35</v>
      </c>
      <c r="H13580" s="4"/>
      <c r="I13580" s="4"/>
    </row>
    <row r="13581">
      <c r="A13581" s="4" t="str">
        <f>IFERROR(__xludf.DUMMYFUNCTION("""COMPUTED_VALUE"""),"cas_hmw")</f>
        <v>cas_hmw</v>
      </c>
      <c r="B13581" s="5">
        <f>IFERROR(__xludf.DUMMYFUNCTION("""COMPUTED_VALUE"""),44719.0)</f>
        <v>44719</v>
      </c>
      <c r="C13581" s="6">
        <f>IFERROR(__xludf.DUMMYFUNCTION("""COMPUTED_VALUE"""),0.7141666666684614)</f>
        <v>0.7141666667</v>
      </c>
      <c r="D13581" s="4">
        <f>IFERROR(__xludf.DUMMYFUNCTION("""COMPUTED_VALUE"""),13.006299)</f>
        <v>13.006299</v>
      </c>
      <c r="E13581" s="4">
        <f>IFERROR(__xludf.DUMMYFUNCTION("""COMPUTED_VALUE"""),80.202945)</f>
        <v>80.202945</v>
      </c>
      <c r="F13581" s="4">
        <f>IFERROR(__xludf.DUMMYFUNCTION("""COMPUTED_VALUE"""),805.0)</f>
        <v>805</v>
      </c>
      <c r="G13581" s="4">
        <f>IFERROR(__xludf.DUMMYFUNCTION("""COMPUTED_VALUE"""),43.0)</f>
        <v>43</v>
      </c>
      <c r="H13581" s="4"/>
      <c r="I13581" s="4"/>
    </row>
    <row r="13582">
      <c r="A13582" s="4" t="str">
        <f>IFERROR(__xludf.DUMMYFUNCTION("""COMPUTED_VALUE"""),"cas_hmw")</f>
        <v>cas_hmw</v>
      </c>
      <c r="B13582" s="5">
        <f>IFERROR(__xludf.DUMMYFUNCTION("""COMPUTED_VALUE"""),44719.0)</f>
        <v>44719</v>
      </c>
      <c r="C13582" s="6">
        <f>IFERROR(__xludf.DUMMYFUNCTION("""COMPUTED_VALUE"""),0.715787037035625)</f>
        <v>0.715787037</v>
      </c>
      <c r="D13582" s="4">
        <f>IFERROR(__xludf.DUMMYFUNCTION("""COMPUTED_VALUE"""),13.009638)</f>
        <v>13.009638</v>
      </c>
      <c r="E13582" s="4">
        <f>IFERROR(__xludf.DUMMYFUNCTION("""COMPUTED_VALUE"""),80.21341)</f>
        <v>80.21341</v>
      </c>
      <c r="F13582" s="4">
        <f>IFERROR(__xludf.DUMMYFUNCTION("""COMPUTED_VALUE"""),805.0)</f>
        <v>805</v>
      </c>
      <c r="G13582" s="4">
        <f>IFERROR(__xludf.DUMMYFUNCTION("""COMPUTED_VALUE"""),50.0)</f>
        <v>50</v>
      </c>
      <c r="H13582" s="4"/>
      <c r="I13582" s="4"/>
    </row>
    <row r="13583">
      <c r="A13583" s="4" t="str">
        <f>IFERROR(__xludf.DUMMYFUNCTION("""COMPUTED_VALUE"""),"cas_hmw")</f>
        <v>cas_hmw</v>
      </c>
      <c r="B13583" s="5">
        <f>IFERROR(__xludf.DUMMYFUNCTION("""COMPUTED_VALUE"""),44719.0)</f>
        <v>44719</v>
      </c>
      <c r="C13583" s="6">
        <f>IFERROR(__xludf.DUMMYFUNCTION("""COMPUTED_VALUE"""),0.7158333333318296)</f>
        <v>0.7158333333</v>
      </c>
      <c r="D13583" s="4">
        <f>IFERROR(__xludf.DUMMYFUNCTION("""COMPUTED_VALUE"""),13.009638)</f>
        <v>13.009638</v>
      </c>
      <c r="E13583" s="4">
        <f>IFERROR(__xludf.DUMMYFUNCTION("""COMPUTED_VALUE"""),80.21341)</f>
        <v>80.21341</v>
      </c>
      <c r="F13583" s="4">
        <f>IFERROR(__xludf.DUMMYFUNCTION("""COMPUTED_VALUE"""),805.0)</f>
        <v>805</v>
      </c>
      <c r="G13583" s="4">
        <f>IFERROR(__xludf.DUMMYFUNCTION("""COMPUTED_VALUE"""),50.0)</f>
        <v>50</v>
      </c>
      <c r="H13583" s="4"/>
      <c r="I13583" s="4"/>
    </row>
    <row r="13584">
      <c r="A13584" s="4" t="str">
        <f>IFERROR(__xludf.DUMMYFUNCTION("""COMPUTED_VALUE"""),"cas_hmw")</f>
        <v>cas_hmw</v>
      </c>
      <c r="B13584" s="5">
        <f>IFERROR(__xludf.DUMMYFUNCTION("""COMPUTED_VALUE"""),44719.0)</f>
        <v>44719</v>
      </c>
      <c r="C13584" s="6">
        <f>IFERROR(__xludf.DUMMYFUNCTION("""COMPUTED_VALUE"""),0.715856481481751)</f>
        <v>0.7158564815</v>
      </c>
      <c r="D13584" s="4">
        <f>IFERROR(__xludf.DUMMYFUNCTION("""COMPUTED_VALUE"""),13.010131)</f>
        <v>13.010131</v>
      </c>
      <c r="E13584" s="4">
        <f>IFERROR(__xludf.DUMMYFUNCTION("""COMPUTED_VALUE"""),80.214712)</f>
        <v>80.214712</v>
      </c>
      <c r="F13584" s="4">
        <f>IFERROR(__xludf.DUMMYFUNCTION("""COMPUTED_VALUE"""),805.0)</f>
        <v>805</v>
      </c>
      <c r="G13584" s="4">
        <f>IFERROR(__xludf.DUMMYFUNCTION("""COMPUTED_VALUE"""),43.0)</f>
        <v>43</v>
      </c>
      <c r="H13584" s="4"/>
      <c r="I13584" s="4"/>
    </row>
    <row r="13585">
      <c r="A13585" s="4" t="str">
        <f>IFERROR(__xludf.DUMMYFUNCTION("""COMPUTED_VALUE"""),"cas_hmw")</f>
        <v>cas_hmw</v>
      </c>
      <c r="B13585" s="5">
        <f>IFERROR(__xludf.DUMMYFUNCTION("""COMPUTED_VALUE"""),44719.0)</f>
        <v>44719</v>
      </c>
      <c r="C13585" s="6">
        <f>IFERROR(__xludf.DUMMYFUNCTION("""COMPUTED_VALUE"""),0.7160879629627743)</f>
        <v>0.716087963</v>
      </c>
      <c r="D13585" s="4">
        <f>IFERROR(__xludf.DUMMYFUNCTION("""COMPUTED_VALUE"""),13.010623)</f>
        <v>13.010623</v>
      </c>
      <c r="E13585" s="4">
        <f>IFERROR(__xludf.DUMMYFUNCTION("""COMPUTED_VALUE"""),80.216483)</f>
        <v>80.216483</v>
      </c>
      <c r="F13585" s="4">
        <f>IFERROR(__xludf.DUMMYFUNCTION("""COMPUTED_VALUE"""),805.0)</f>
        <v>805</v>
      </c>
      <c r="G13585" s="4">
        <f>IFERROR(__xludf.DUMMYFUNCTION("""COMPUTED_VALUE"""),44.0)</f>
        <v>44</v>
      </c>
      <c r="H13585" s="4"/>
      <c r="I13585" s="4"/>
    </row>
    <row r="13586">
      <c r="A13586" s="4" t="str">
        <f>IFERROR(__xludf.DUMMYFUNCTION("""COMPUTED_VALUE"""),"cas_hmw")</f>
        <v>cas_hmw</v>
      </c>
      <c r="B13586" s="5">
        <f>IFERROR(__xludf.DUMMYFUNCTION("""COMPUTED_VALUE"""),44719.0)</f>
        <v>44719</v>
      </c>
      <c r="C13586" s="6">
        <f>IFERROR(__xludf.DUMMYFUNCTION("""COMPUTED_VALUE"""),0.7161458333321207)</f>
        <v>0.7161458333</v>
      </c>
      <c r="D13586" s="4">
        <f>IFERROR(__xludf.DUMMYFUNCTION("""COMPUTED_VALUE"""),13.010623)</f>
        <v>13.010623</v>
      </c>
      <c r="E13586" s="4">
        <f>IFERROR(__xludf.DUMMYFUNCTION("""COMPUTED_VALUE"""),80.216483)</f>
        <v>80.216483</v>
      </c>
      <c r="F13586" s="4">
        <f>IFERROR(__xludf.DUMMYFUNCTION("""COMPUTED_VALUE"""),805.0)</f>
        <v>805</v>
      </c>
      <c r="G13586" s="4">
        <f>IFERROR(__xludf.DUMMYFUNCTION("""COMPUTED_VALUE"""),44.0)</f>
        <v>44</v>
      </c>
      <c r="H13586" s="4"/>
      <c r="I13586" s="4"/>
    </row>
    <row r="13587">
      <c r="A13587" s="4" t="str">
        <f>IFERROR(__xludf.DUMMYFUNCTION("""COMPUTED_VALUE"""),"cas_hmw")</f>
        <v>cas_hmw</v>
      </c>
      <c r="B13587" s="5">
        <f>IFERROR(__xludf.DUMMYFUNCTION("""COMPUTED_VALUE"""),44719.0)</f>
        <v>44719</v>
      </c>
      <c r="C13587" s="6">
        <f>IFERROR(__xludf.DUMMYFUNCTION("""COMPUTED_VALUE"""),0.7167129629633564)</f>
        <v>0.716712963</v>
      </c>
      <c r="D13587" s="4">
        <f>IFERROR(__xludf.DUMMYFUNCTION("""COMPUTED_VALUE"""),13.011554)</f>
        <v>13.011554</v>
      </c>
      <c r="E13587" s="4">
        <f>IFERROR(__xludf.DUMMYFUNCTION("""COMPUTED_VALUE"""),80.218631)</f>
        <v>80.218631</v>
      </c>
      <c r="F13587" s="4">
        <f>IFERROR(__xludf.DUMMYFUNCTION("""COMPUTED_VALUE"""),805.0)</f>
        <v>805</v>
      </c>
      <c r="G13587" s="4">
        <f>IFERROR(__xludf.DUMMYFUNCTION("""COMPUTED_VALUE"""),0.0)</f>
        <v>0</v>
      </c>
      <c r="H13587" s="4"/>
      <c r="I13587" s="4"/>
    </row>
    <row r="13588">
      <c r="A13588" s="4" t="str">
        <f>IFERROR(__xludf.DUMMYFUNCTION("""COMPUTED_VALUE"""),"cas_hmw")</f>
        <v>cas_hmw</v>
      </c>
      <c r="B13588" s="5">
        <f>IFERROR(__xludf.DUMMYFUNCTION("""COMPUTED_VALUE"""),44719.0)</f>
        <v>44719</v>
      </c>
      <c r="C13588" s="6">
        <f>IFERROR(__xludf.DUMMYFUNCTION("""COMPUTED_VALUE"""),0.7167476851864194)</f>
        <v>0.7167476852</v>
      </c>
      <c r="D13588" s="4">
        <f>IFERROR(__xludf.DUMMYFUNCTION("""COMPUTED_VALUE"""),13.012948)</f>
        <v>13.012948</v>
      </c>
      <c r="E13588" s="4">
        <f>IFERROR(__xludf.DUMMYFUNCTION("""COMPUTED_VALUE"""),80.221991)</f>
        <v>80.221991</v>
      </c>
      <c r="F13588" s="4">
        <f>IFERROR(__xludf.DUMMYFUNCTION("""COMPUTED_VALUE"""),805.0)</f>
        <v>805</v>
      </c>
      <c r="G13588" s="4">
        <f>IFERROR(__xludf.DUMMYFUNCTION("""COMPUTED_VALUE"""),46.0)</f>
        <v>46</v>
      </c>
      <c r="H13588" s="4"/>
      <c r="I13588" s="4"/>
    </row>
    <row r="13589">
      <c r="A13589" s="4" t="str">
        <f>IFERROR(__xludf.DUMMYFUNCTION("""COMPUTED_VALUE"""),"cas_hmw")</f>
        <v>cas_hmw</v>
      </c>
      <c r="B13589" s="5">
        <f>IFERROR(__xludf.DUMMYFUNCTION("""COMPUTED_VALUE"""),44719.0)</f>
        <v>44719</v>
      </c>
      <c r="C13589" s="6">
        <f>IFERROR(__xludf.DUMMYFUNCTION("""COMPUTED_VALUE"""),0.7169328703712381)</f>
        <v>0.7169328704</v>
      </c>
      <c r="D13589" s="4">
        <f>IFERROR(__xludf.DUMMYFUNCTION("""COMPUTED_VALUE"""),13.012948)</f>
        <v>13.012948</v>
      </c>
      <c r="E13589" s="4">
        <f>IFERROR(__xludf.DUMMYFUNCTION("""COMPUTED_VALUE"""),80.221991)</f>
        <v>80.221991</v>
      </c>
      <c r="F13589" s="4">
        <f>IFERROR(__xludf.DUMMYFUNCTION("""COMPUTED_VALUE"""),805.0)</f>
        <v>805</v>
      </c>
      <c r="G13589" s="4">
        <f>IFERROR(__xludf.DUMMYFUNCTION("""COMPUTED_VALUE"""),46.0)</f>
        <v>46</v>
      </c>
      <c r="H13589" s="4"/>
      <c r="I13589" s="4"/>
    </row>
    <row r="13590">
      <c r="A13590" s="4" t="str">
        <f>IFERROR(__xludf.DUMMYFUNCTION("""COMPUTED_VALUE"""),"cas_hmw")</f>
        <v>cas_hmw</v>
      </c>
      <c r="B13590" s="5">
        <f>IFERROR(__xludf.DUMMYFUNCTION("""COMPUTED_VALUE"""),44719.0)</f>
        <v>44719</v>
      </c>
      <c r="C13590" s="6">
        <f>IFERROR(__xludf.DUMMYFUNCTION("""COMPUTED_VALUE"""),0.7183680555572209)</f>
        <v>0.7183680556</v>
      </c>
      <c r="D13590" s="4">
        <f>IFERROR(__xludf.DUMMYFUNCTION("""COMPUTED_VALUE"""),13.02002)</f>
        <v>13.02002</v>
      </c>
      <c r="E13590" s="4">
        <f>IFERROR(__xludf.DUMMYFUNCTION("""COMPUTED_VALUE"""),80.224675)</f>
        <v>80.224675</v>
      </c>
      <c r="F13590" s="4">
        <f>IFERROR(__xludf.DUMMYFUNCTION("""COMPUTED_VALUE"""),805.0)</f>
        <v>805</v>
      </c>
      <c r="G13590" s="4">
        <f>IFERROR(__xludf.DUMMYFUNCTION("""COMPUTED_VALUE"""),22.0)</f>
        <v>22</v>
      </c>
      <c r="H13590" s="4"/>
      <c r="I13590" s="4"/>
    </row>
    <row r="13591">
      <c r="A13591" s="4" t="str">
        <f>IFERROR(__xludf.DUMMYFUNCTION("""COMPUTED_VALUE"""),"cas_hmw")</f>
        <v>cas_hmw</v>
      </c>
      <c r="B13591" s="5">
        <f>IFERROR(__xludf.DUMMYFUNCTION("""COMPUTED_VALUE"""),44719.0)</f>
        <v>44719</v>
      </c>
      <c r="C13591" s="6">
        <f>IFERROR(__xludf.DUMMYFUNCTION("""COMPUTED_VALUE"""),0.7185300925921183)</f>
        <v>0.7185300926</v>
      </c>
      <c r="D13591" s="4">
        <f>IFERROR(__xludf.DUMMYFUNCTION("""COMPUTED_VALUE"""),13.020846)</f>
        <v>13.020846</v>
      </c>
      <c r="E13591" s="4">
        <f>IFERROR(__xludf.DUMMYFUNCTION("""COMPUTED_VALUE"""),80.225305)</f>
        <v>80.225305</v>
      </c>
      <c r="F13591" s="4">
        <f>IFERROR(__xludf.DUMMYFUNCTION("""COMPUTED_VALUE"""),805.0)</f>
        <v>805</v>
      </c>
      <c r="G13591" s="4">
        <f>IFERROR(__xludf.DUMMYFUNCTION("""COMPUTED_VALUE"""),32.0)</f>
        <v>32</v>
      </c>
      <c r="H13591" s="4"/>
      <c r="I13591" s="4"/>
    </row>
    <row r="13592">
      <c r="A13592" s="4" t="str">
        <f>IFERROR(__xludf.DUMMYFUNCTION("""COMPUTED_VALUE"""),"cas_hmw")</f>
        <v>cas_hmw</v>
      </c>
      <c r="B13592" s="5">
        <f>IFERROR(__xludf.DUMMYFUNCTION("""COMPUTED_VALUE"""),44719.0)</f>
        <v>44719</v>
      </c>
      <c r="C13592" s="6">
        <f>IFERROR(__xludf.DUMMYFUNCTION("""COMPUTED_VALUE"""),0.718715277776937)</f>
        <v>0.7187152778</v>
      </c>
      <c r="D13592" s="4">
        <f>IFERROR(__xludf.DUMMYFUNCTION("""COMPUTED_VALUE"""),13.02165)</f>
        <v>13.02165</v>
      </c>
      <c r="E13592" s="4">
        <f>IFERROR(__xludf.DUMMYFUNCTION("""COMPUTED_VALUE"""),80.225876)</f>
        <v>80.225876</v>
      </c>
      <c r="F13592" s="4">
        <f>IFERROR(__xludf.DUMMYFUNCTION("""COMPUTED_VALUE"""),805.0)</f>
        <v>805</v>
      </c>
      <c r="G13592" s="4">
        <f>IFERROR(__xludf.DUMMYFUNCTION("""COMPUTED_VALUE"""),38.0)</f>
        <v>38</v>
      </c>
      <c r="H13592" s="4"/>
      <c r="I13592" s="4"/>
    </row>
    <row r="13593">
      <c r="A13593" s="4" t="str">
        <f>IFERROR(__xludf.DUMMYFUNCTION("""COMPUTED_VALUE"""),"cas_hmw")</f>
        <v>cas_hmw</v>
      </c>
      <c r="B13593" s="5">
        <f>IFERROR(__xludf.DUMMYFUNCTION("""COMPUTED_VALUE"""),44719.0)</f>
        <v>44719</v>
      </c>
      <c r="C13593" s="6">
        <f>IFERROR(__xludf.DUMMYFUNCTION("""COMPUTED_VALUE"""),0.7187962962962047)</f>
        <v>0.7187962963</v>
      </c>
      <c r="D13593" s="4">
        <f>IFERROR(__xludf.DUMMYFUNCTION("""COMPUTED_VALUE"""),13.02289)</f>
        <v>13.02289</v>
      </c>
      <c r="E13593" s="4">
        <f>IFERROR(__xludf.DUMMYFUNCTION("""COMPUTED_VALUE"""),80.226932)</f>
        <v>80.226932</v>
      </c>
      <c r="F13593" s="4">
        <f>IFERROR(__xludf.DUMMYFUNCTION("""COMPUTED_VALUE"""),805.0)</f>
        <v>805</v>
      </c>
      <c r="G13593" s="4">
        <f>IFERROR(__xludf.DUMMYFUNCTION("""COMPUTED_VALUE"""),46.0)</f>
        <v>46</v>
      </c>
      <c r="H13593" s="4"/>
      <c r="I13593" s="4"/>
    </row>
    <row r="13594">
      <c r="A13594" s="4" t="str">
        <f>IFERROR(__xludf.DUMMYFUNCTION("""COMPUTED_VALUE"""),"cas_hmw")</f>
        <v>cas_hmw</v>
      </c>
      <c r="B13594" s="5">
        <f>IFERROR(__xludf.DUMMYFUNCTION("""COMPUTED_VALUE"""),44719.0)</f>
        <v>44719</v>
      </c>
      <c r="C13594" s="6">
        <f>IFERROR(__xludf.DUMMYFUNCTION("""COMPUTED_VALUE"""),0.7188657407423307)</f>
        <v>0.7188657407</v>
      </c>
      <c r="D13594" s="4">
        <f>IFERROR(__xludf.DUMMYFUNCTION("""COMPUTED_VALUE"""),13.02289)</f>
        <v>13.02289</v>
      </c>
      <c r="E13594" s="4">
        <f>IFERROR(__xludf.DUMMYFUNCTION("""COMPUTED_VALUE"""),80.226932)</f>
        <v>80.226932</v>
      </c>
      <c r="F13594" s="4">
        <f>IFERROR(__xludf.DUMMYFUNCTION("""COMPUTED_VALUE"""),805.0)</f>
        <v>805</v>
      </c>
      <c r="G13594" s="4">
        <f>IFERROR(__xludf.DUMMYFUNCTION("""COMPUTED_VALUE"""),46.0)</f>
        <v>46</v>
      </c>
      <c r="H13594" s="4"/>
      <c r="I13594" s="4"/>
    </row>
    <row r="13595">
      <c r="A13595" s="4" t="str">
        <f>IFERROR(__xludf.DUMMYFUNCTION("""COMPUTED_VALUE"""),"cas_hmw")</f>
        <v>cas_hmw</v>
      </c>
      <c r="B13595" s="5">
        <f>IFERROR(__xludf.DUMMYFUNCTION("""COMPUTED_VALUE"""),44719.0)</f>
        <v>44719</v>
      </c>
      <c r="C13595" s="6">
        <f>IFERROR(__xludf.DUMMYFUNCTION("""COMPUTED_VALUE"""),0.7204976851862739)</f>
        <v>0.7204976852</v>
      </c>
      <c r="D13595" s="4">
        <f>IFERROR(__xludf.DUMMYFUNCTION("""COMPUTED_VALUE"""),13.025699)</f>
        <v>13.025699</v>
      </c>
      <c r="E13595" s="4">
        <f>IFERROR(__xludf.DUMMYFUNCTION("""COMPUTED_VALUE"""),80.230298)</f>
        <v>80.230298</v>
      </c>
      <c r="F13595" s="4">
        <f>IFERROR(__xludf.DUMMYFUNCTION("""COMPUTED_VALUE"""),805.0)</f>
        <v>805</v>
      </c>
      <c r="G13595" s="4">
        <f>IFERROR(__xludf.DUMMYFUNCTION("""COMPUTED_VALUE"""),17.0)</f>
        <v>17</v>
      </c>
      <c r="H13595" s="4"/>
      <c r="I13595" s="4"/>
    </row>
    <row r="13596">
      <c r="A13596" s="4" t="str">
        <f>IFERROR(__xludf.DUMMYFUNCTION("""COMPUTED_VALUE"""),"cas_hmw")</f>
        <v>cas_hmw</v>
      </c>
      <c r="B13596" s="5">
        <f>IFERROR(__xludf.DUMMYFUNCTION("""COMPUTED_VALUE"""),44719.0)</f>
        <v>44719</v>
      </c>
      <c r="C13596" s="6">
        <f>IFERROR(__xludf.DUMMYFUNCTION("""COMPUTED_VALUE"""),0.7206597222211713)</f>
        <v>0.7206597222</v>
      </c>
      <c r="D13596" s="4">
        <f>IFERROR(__xludf.DUMMYFUNCTION("""COMPUTED_VALUE"""),13.025699)</f>
        <v>13.025699</v>
      </c>
      <c r="E13596" s="4">
        <f>IFERROR(__xludf.DUMMYFUNCTION("""COMPUTED_VALUE"""),80.230298)</f>
        <v>80.230298</v>
      </c>
      <c r="F13596" s="4">
        <f>IFERROR(__xludf.DUMMYFUNCTION("""COMPUTED_VALUE"""),805.0)</f>
        <v>805</v>
      </c>
      <c r="G13596" s="4">
        <f>IFERROR(__xludf.DUMMYFUNCTION("""COMPUTED_VALUE"""),17.0)</f>
        <v>17</v>
      </c>
      <c r="H13596" s="4"/>
      <c r="I13596" s="4"/>
    </row>
    <row r="13597">
      <c r="A13597" s="4" t="str">
        <f>IFERROR(__xludf.DUMMYFUNCTION("""COMPUTED_VALUE"""),"cas_hmw")</f>
        <v>cas_hmw</v>
      </c>
      <c r="B13597" s="5">
        <f>IFERROR(__xludf.DUMMYFUNCTION("""COMPUTED_VALUE"""),44719.0)</f>
        <v>44719</v>
      </c>
      <c r="C13597" s="6">
        <f>IFERROR(__xludf.DUMMYFUNCTION("""COMPUTED_VALUE"""),0.7209259259252576)</f>
        <v>0.7209259259</v>
      </c>
      <c r="D13597" s="4">
        <f>IFERROR(__xludf.DUMMYFUNCTION("""COMPUTED_VALUE"""),13.025699)</f>
        <v>13.025699</v>
      </c>
      <c r="E13597" s="4">
        <f>IFERROR(__xludf.DUMMYFUNCTION("""COMPUTED_VALUE"""),80.230298)</f>
        <v>80.230298</v>
      </c>
      <c r="F13597" s="4">
        <f>IFERROR(__xludf.DUMMYFUNCTION("""COMPUTED_VALUE"""),805.0)</f>
        <v>805</v>
      </c>
      <c r="G13597" s="4">
        <f>IFERROR(__xludf.DUMMYFUNCTION("""COMPUTED_VALUE"""),17.0)</f>
        <v>17</v>
      </c>
      <c r="H13597" s="4"/>
      <c r="I13597" s="4"/>
    </row>
    <row r="13598">
      <c r="A13598" s="4" t="str">
        <f>IFERROR(__xludf.DUMMYFUNCTION("""COMPUTED_VALUE"""),"cas_hmw")</f>
        <v>cas_hmw</v>
      </c>
      <c r="B13598" s="5">
        <f>IFERROR(__xludf.DUMMYFUNCTION("""COMPUTED_VALUE"""),44719.0)</f>
        <v>44719</v>
      </c>
      <c r="C13598" s="6">
        <f>IFERROR(__xludf.DUMMYFUNCTION("""COMPUTED_VALUE"""),0.7210069444445253)</f>
        <v>0.7210069444</v>
      </c>
      <c r="D13598" s="4">
        <f>IFERROR(__xludf.DUMMYFUNCTION("""COMPUTED_VALUE"""),13.025699)</f>
        <v>13.025699</v>
      </c>
      <c r="E13598" s="4">
        <f>IFERROR(__xludf.DUMMYFUNCTION("""COMPUTED_VALUE"""),80.230298)</f>
        <v>80.230298</v>
      </c>
      <c r="F13598" s="4">
        <f>IFERROR(__xludf.DUMMYFUNCTION("""COMPUTED_VALUE"""),805.0)</f>
        <v>805</v>
      </c>
      <c r="G13598" s="4">
        <f>IFERROR(__xludf.DUMMYFUNCTION("""COMPUTED_VALUE"""),17.0)</f>
        <v>17</v>
      </c>
      <c r="H13598" s="4"/>
      <c r="I13598" s="4"/>
    </row>
    <row r="13599">
      <c r="A13599" s="4" t="str">
        <f>IFERROR(__xludf.DUMMYFUNCTION("""COMPUTED_VALUE"""),"cas_hmw")</f>
        <v>cas_hmw</v>
      </c>
      <c r="B13599" s="5">
        <f>IFERROR(__xludf.DUMMYFUNCTION("""COMPUTED_VALUE"""),44719.0)</f>
        <v>44719</v>
      </c>
      <c r="C13599" s="6">
        <f>IFERROR(__xludf.DUMMYFUNCTION("""COMPUTED_VALUE"""),0.721018518517667)</f>
        <v>0.7210185185</v>
      </c>
      <c r="D13599" s="4">
        <f>IFERROR(__xludf.DUMMYFUNCTION("""COMPUTED_VALUE"""),13.025699)</f>
        <v>13.025699</v>
      </c>
      <c r="E13599" s="4">
        <f>IFERROR(__xludf.DUMMYFUNCTION("""COMPUTED_VALUE"""),80.230298)</f>
        <v>80.230298</v>
      </c>
      <c r="F13599" s="4">
        <f>IFERROR(__xludf.DUMMYFUNCTION("""COMPUTED_VALUE"""),805.0)</f>
        <v>805</v>
      </c>
      <c r="G13599" s="4">
        <f>IFERROR(__xludf.DUMMYFUNCTION("""COMPUTED_VALUE"""),17.0)</f>
        <v>17</v>
      </c>
      <c r="H13599" s="4"/>
      <c r="I13599" s="4"/>
    </row>
    <row r="13600">
      <c r="A13600" s="4" t="str">
        <f>IFERROR(__xludf.DUMMYFUNCTION("""COMPUTED_VALUE"""),"cas_hmw")</f>
        <v>cas_hmw</v>
      </c>
      <c r="B13600" s="5">
        <f>IFERROR(__xludf.DUMMYFUNCTION("""COMPUTED_VALUE"""),44719.0)</f>
        <v>44719</v>
      </c>
      <c r="C13600" s="6">
        <f>IFERROR(__xludf.DUMMYFUNCTION("""COMPUTED_VALUE"""),0.7210416666675883)</f>
        <v>0.7210416667</v>
      </c>
      <c r="D13600" s="4">
        <f>IFERROR(__xludf.DUMMYFUNCTION("""COMPUTED_VALUE"""),13.025699)</f>
        <v>13.025699</v>
      </c>
      <c r="E13600" s="4">
        <f>IFERROR(__xludf.DUMMYFUNCTION("""COMPUTED_VALUE"""),80.230298)</f>
        <v>80.230298</v>
      </c>
      <c r="F13600" s="4">
        <f>IFERROR(__xludf.DUMMYFUNCTION("""COMPUTED_VALUE"""),805.0)</f>
        <v>805</v>
      </c>
      <c r="G13600" s="4">
        <f>IFERROR(__xludf.DUMMYFUNCTION("""COMPUTED_VALUE"""),17.0)</f>
        <v>17</v>
      </c>
      <c r="H13600" s="4"/>
      <c r="I13600" s="4"/>
    </row>
    <row r="13601">
      <c r="A13601" s="4" t="str">
        <f>IFERROR(__xludf.DUMMYFUNCTION("""COMPUTED_VALUE"""),"cas_hmw")</f>
        <v>cas_hmw</v>
      </c>
      <c r="B13601" s="5">
        <f>IFERROR(__xludf.DUMMYFUNCTION("""COMPUTED_VALUE"""),44719.0)</f>
        <v>44719</v>
      </c>
      <c r="C13601" s="6">
        <f>IFERROR(__xludf.DUMMYFUNCTION("""COMPUTED_VALUE"""),0.7210763888906513)</f>
        <v>0.7210763889</v>
      </c>
      <c r="D13601" s="4">
        <f>IFERROR(__xludf.DUMMYFUNCTION("""COMPUTED_VALUE"""),13.025699)</f>
        <v>13.025699</v>
      </c>
      <c r="E13601" s="4">
        <f>IFERROR(__xludf.DUMMYFUNCTION("""COMPUTED_VALUE"""),80.230298)</f>
        <v>80.230298</v>
      </c>
      <c r="F13601" s="4">
        <f>IFERROR(__xludf.DUMMYFUNCTION("""COMPUTED_VALUE"""),805.0)</f>
        <v>805</v>
      </c>
      <c r="G13601" s="4">
        <f>IFERROR(__xludf.DUMMYFUNCTION("""COMPUTED_VALUE"""),17.0)</f>
        <v>17</v>
      </c>
      <c r="H13601" s="4"/>
      <c r="I13601" s="4"/>
    </row>
    <row r="13602">
      <c r="A13602" s="4" t="str">
        <f>IFERROR(__xludf.DUMMYFUNCTION("""COMPUTED_VALUE"""),"cas_hmw")</f>
        <v>cas_hmw</v>
      </c>
      <c r="B13602" s="5">
        <f>IFERROR(__xludf.DUMMYFUNCTION("""COMPUTED_VALUE"""),44719.0)</f>
        <v>44719</v>
      </c>
      <c r="C13602" s="6">
        <f>IFERROR(__xludf.DUMMYFUNCTION("""COMPUTED_VALUE"""),0.721087962963793)</f>
        <v>0.721087963</v>
      </c>
      <c r="D13602" s="4">
        <f>IFERROR(__xludf.DUMMYFUNCTION("""COMPUTED_VALUE"""),13.025699)</f>
        <v>13.025699</v>
      </c>
      <c r="E13602" s="4">
        <f>IFERROR(__xludf.DUMMYFUNCTION("""COMPUTED_VALUE"""),80.230298)</f>
        <v>80.230298</v>
      </c>
      <c r="F13602" s="4">
        <f>IFERROR(__xludf.DUMMYFUNCTION("""COMPUTED_VALUE"""),805.0)</f>
        <v>805</v>
      </c>
      <c r="G13602" s="4">
        <f>IFERROR(__xludf.DUMMYFUNCTION("""COMPUTED_VALUE"""),17.0)</f>
        <v>17</v>
      </c>
      <c r="H13602" s="4"/>
      <c r="I13602" s="4"/>
    </row>
    <row r="13603">
      <c r="A13603" s="4" t="str">
        <f>IFERROR(__xludf.DUMMYFUNCTION("""COMPUTED_VALUE"""),"cas_hmw")</f>
        <v>cas_hmw</v>
      </c>
      <c r="B13603" s="5">
        <f>IFERROR(__xludf.DUMMYFUNCTION("""COMPUTED_VALUE"""),44719.0)</f>
        <v>44719</v>
      </c>
      <c r="C13603" s="6">
        <f>IFERROR(__xludf.DUMMYFUNCTION("""COMPUTED_VALUE"""),0.7210995370369346)</f>
        <v>0.721099537</v>
      </c>
      <c r="D13603" s="4">
        <f>IFERROR(__xludf.DUMMYFUNCTION("""COMPUTED_VALUE"""),13.025699)</f>
        <v>13.025699</v>
      </c>
      <c r="E13603" s="4">
        <f>IFERROR(__xludf.DUMMYFUNCTION("""COMPUTED_VALUE"""),80.230298)</f>
        <v>80.230298</v>
      </c>
      <c r="F13603" s="4">
        <f>IFERROR(__xludf.DUMMYFUNCTION("""COMPUTED_VALUE"""),805.0)</f>
        <v>805</v>
      </c>
      <c r="G13603" s="4">
        <f>IFERROR(__xludf.DUMMYFUNCTION("""COMPUTED_VALUE"""),17.0)</f>
        <v>17</v>
      </c>
      <c r="H13603" s="4"/>
      <c r="I13603" s="4"/>
    </row>
    <row r="13604">
      <c r="A13604" s="4" t="str">
        <f>IFERROR(__xludf.DUMMYFUNCTION("""COMPUTED_VALUE"""),"cas_hmw")</f>
        <v>cas_hmw</v>
      </c>
      <c r="B13604" s="5">
        <f>IFERROR(__xludf.DUMMYFUNCTION("""COMPUTED_VALUE"""),44719.0)</f>
        <v>44719</v>
      </c>
      <c r="C13604" s="6">
        <f>IFERROR(__xludf.DUMMYFUNCTION("""COMPUTED_VALUE"""),0.7212384259255487)</f>
        <v>0.7212384259</v>
      </c>
      <c r="D13604" s="4">
        <f>IFERROR(__xludf.DUMMYFUNCTION("""COMPUTED_VALUE"""),13.025699)</f>
        <v>13.025699</v>
      </c>
      <c r="E13604" s="4">
        <f>IFERROR(__xludf.DUMMYFUNCTION("""COMPUTED_VALUE"""),80.230298)</f>
        <v>80.230298</v>
      </c>
      <c r="F13604" s="4">
        <f>IFERROR(__xludf.DUMMYFUNCTION("""COMPUTED_VALUE"""),805.0)</f>
        <v>805</v>
      </c>
      <c r="G13604" s="4">
        <f>IFERROR(__xludf.DUMMYFUNCTION("""COMPUTED_VALUE"""),17.0)</f>
        <v>17</v>
      </c>
      <c r="H13604" s="4"/>
      <c r="I13604" s="4"/>
    </row>
    <row r="13605">
      <c r="A13605" s="4" t="str">
        <f>IFERROR(__xludf.DUMMYFUNCTION("""COMPUTED_VALUE"""),"cas_hmw")</f>
        <v>cas_hmw</v>
      </c>
      <c r="B13605" s="5">
        <f>IFERROR(__xludf.DUMMYFUNCTION("""COMPUTED_VALUE"""),44719.0)</f>
        <v>44719</v>
      </c>
      <c r="C13605" s="6">
        <f>IFERROR(__xludf.DUMMYFUNCTION("""COMPUTED_VALUE"""),0.7221064814802958)</f>
        <v>0.7221064815</v>
      </c>
      <c r="D13605" s="4">
        <f>IFERROR(__xludf.DUMMYFUNCTION("""COMPUTED_VALUE"""),13.031354)</f>
        <v>13.031354</v>
      </c>
      <c r="E13605" s="4">
        <f>IFERROR(__xludf.DUMMYFUNCTION("""COMPUTED_VALUE"""),80.240127)</f>
        <v>80.240127</v>
      </c>
      <c r="F13605" s="4">
        <f>IFERROR(__xludf.DUMMYFUNCTION("""COMPUTED_VALUE"""),805.0)</f>
        <v>805</v>
      </c>
      <c r="G13605" s="4">
        <f>IFERROR(__xludf.DUMMYFUNCTION("""COMPUTED_VALUE"""),13.0)</f>
        <v>13</v>
      </c>
      <c r="H13605" s="4"/>
      <c r="I13605" s="4"/>
    </row>
    <row r="13606">
      <c r="A13606" s="4" t="str">
        <f>IFERROR(__xludf.DUMMYFUNCTION("""COMPUTED_VALUE"""),"cas_hmw")</f>
        <v>cas_hmw</v>
      </c>
      <c r="B13606" s="5">
        <f>IFERROR(__xludf.DUMMYFUNCTION("""COMPUTED_VALUE"""),44719.0)</f>
        <v>44719</v>
      </c>
      <c r="C13606" s="6">
        <f>IFERROR(__xludf.DUMMYFUNCTION("""COMPUTED_VALUE"""),0.7227314814808778)</f>
        <v>0.7227314815</v>
      </c>
      <c r="D13606" s="4">
        <f>IFERROR(__xludf.DUMMYFUNCTION("""COMPUTED_VALUE"""),13.033187)</f>
        <v>13.033187</v>
      </c>
      <c r="E13606" s="4">
        <f>IFERROR(__xludf.DUMMYFUNCTION("""COMPUTED_VALUE"""),80.243371)</f>
        <v>80.243371</v>
      </c>
      <c r="F13606" s="4">
        <f>IFERROR(__xludf.DUMMYFUNCTION("""COMPUTED_VALUE"""),805.0)</f>
        <v>805</v>
      </c>
      <c r="G13606" s="4">
        <f>IFERROR(__xludf.DUMMYFUNCTION("""COMPUTED_VALUE"""),4.0)</f>
        <v>4</v>
      </c>
      <c r="H13606" s="4"/>
      <c r="I13606" s="4"/>
    </row>
    <row r="13607">
      <c r="A13607" s="4" t="str">
        <f>IFERROR(__xludf.DUMMYFUNCTION("""COMPUTED_VALUE"""),"cas_hmw")</f>
        <v>cas_hmw</v>
      </c>
      <c r="B13607" s="5">
        <f>IFERROR(__xludf.DUMMYFUNCTION("""COMPUTED_VALUE"""),44719.0)</f>
        <v>44719</v>
      </c>
      <c r="C13607" s="6">
        <f>IFERROR(__xludf.DUMMYFUNCTION("""COMPUTED_VALUE"""),0.7235532407394203)</f>
        <v>0.7235532407</v>
      </c>
      <c r="D13607" s="4">
        <f>IFERROR(__xludf.DUMMYFUNCTION("""COMPUTED_VALUE"""),13.037061)</f>
        <v>13.037061</v>
      </c>
      <c r="E13607" s="4">
        <f>IFERROR(__xludf.DUMMYFUNCTION("""COMPUTED_VALUE"""),80.246337)</f>
        <v>80.246337</v>
      </c>
      <c r="F13607" s="4">
        <f>IFERROR(__xludf.DUMMYFUNCTION("""COMPUTED_VALUE"""),805.0)</f>
        <v>805</v>
      </c>
      <c r="G13607" s="4">
        <f>IFERROR(__xludf.DUMMYFUNCTION("""COMPUTED_VALUE"""),44.0)</f>
        <v>44</v>
      </c>
      <c r="H13607" s="4"/>
      <c r="I13607" s="4"/>
    </row>
    <row r="13608">
      <c r="A13608" s="4" t="str">
        <f>IFERROR(__xludf.DUMMYFUNCTION("""COMPUTED_VALUE"""),"cas_hmw")</f>
        <v>cas_hmw</v>
      </c>
      <c r="B13608" s="5">
        <f>IFERROR(__xludf.DUMMYFUNCTION("""COMPUTED_VALUE"""),44719.0)</f>
        <v>44719</v>
      </c>
      <c r="C13608" s="6">
        <f>IFERROR(__xludf.DUMMYFUNCTION("""COMPUTED_VALUE"""),0.7235532407394203)</f>
        <v>0.7235532407</v>
      </c>
      <c r="D13608" s="4">
        <f>IFERROR(__xludf.DUMMYFUNCTION("""COMPUTED_VALUE"""),13.037061)</f>
        <v>13.037061</v>
      </c>
      <c r="E13608" s="4">
        <f>IFERROR(__xludf.DUMMYFUNCTION("""COMPUTED_VALUE"""),80.246337)</f>
        <v>80.246337</v>
      </c>
      <c r="F13608" s="4">
        <f>IFERROR(__xludf.DUMMYFUNCTION("""COMPUTED_VALUE"""),805.0)</f>
        <v>805</v>
      </c>
      <c r="G13608" s="4">
        <f>IFERROR(__xludf.DUMMYFUNCTION("""COMPUTED_VALUE"""),44.0)</f>
        <v>44</v>
      </c>
      <c r="H13608" s="4"/>
      <c r="I13608" s="4"/>
    </row>
    <row r="13609">
      <c r="A13609" s="4" t="str">
        <f>IFERROR(__xludf.DUMMYFUNCTION("""COMPUTED_VALUE"""),"cas_hmw")</f>
        <v>cas_hmw</v>
      </c>
      <c r="B13609" s="5">
        <f>IFERROR(__xludf.DUMMYFUNCTION("""COMPUTED_VALUE"""),44719.0)</f>
        <v>44719</v>
      </c>
      <c r="C13609" s="6">
        <f>IFERROR(__xludf.DUMMYFUNCTION("""COMPUTED_VALUE"""),0.7269907407389837)</f>
        <v>0.7269907407</v>
      </c>
      <c r="D13609" s="4">
        <f>IFERROR(__xludf.DUMMYFUNCTION("""COMPUTED_VALUE"""),13.046659)</f>
        <v>13.046659</v>
      </c>
      <c r="E13609" s="4">
        <f>IFERROR(__xludf.DUMMYFUNCTION("""COMPUTED_VALUE"""),80.248243)</f>
        <v>80.248243</v>
      </c>
      <c r="F13609" s="4">
        <f>IFERROR(__xludf.DUMMYFUNCTION("""COMPUTED_VALUE"""),805.0)</f>
        <v>805</v>
      </c>
      <c r="G13609" s="4">
        <f>IFERROR(__xludf.DUMMYFUNCTION("""COMPUTED_VALUE"""),35.0)</f>
        <v>35</v>
      </c>
      <c r="H13609" s="4"/>
      <c r="I13609" s="4"/>
    </row>
    <row r="13610">
      <c r="A13610" s="4" t="str">
        <f>IFERROR(__xludf.DUMMYFUNCTION("""COMPUTED_VALUE"""),"cas_hmw")</f>
        <v>cas_hmw</v>
      </c>
      <c r="B13610" s="5">
        <f>IFERROR(__xludf.DUMMYFUNCTION("""COMPUTED_VALUE"""),44719.0)</f>
        <v>44719</v>
      </c>
      <c r="C13610" s="6">
        <f>IFERROR(__xludf.DUMMYFUNCTION("""COMPUTED_VALUE"""),0.7271296296312357)</f>
        <v>0.7271296296</v>
      </c>
      <c r="D13610" s="4">
        <f>IFERROR(__xludf.DUMMYFUNCTION("""COMPUTED_VALUE"""),13.047267)</f>
        <v>13.047267</v>
      </c>
      <c r="E13610" s="4">
        <f>IFERROR(__xludf.DUMMYFUNCTION("""COMPUTED_VALUE"""),80.248423)</f>
        <v>80.248423</v>
      </c>
      <c r="F13610" s="4">
        <f>IFERROR(__xludf.DUMMYFUNCTION("""COMPUTED_VALUE"""),805.0)</f>
        <v>805</v>
      </c>
      <c r="G13610" s="4">
        <f>IFERROR(__xludf.DUMMYFUNCTION("""COMPUTED_VALUE"""),24.0)</f>
        <v>24</v>
      </c>
      <c r="H13610" s="4"/>
      <c r="I13610" s="4"/>
    </row>
    <row r="13611">
      <c r="A13611" s="4" t="str">
        <f>IFERROR(__xludf.DUMMYFUNCTION("""COMPUTED_VALUE"""),"cas_hmw")</f>
        <v>cas_hmw</v>
      </c>
      <c r="B13611" s="5">
        <f>IFERROR(__xludf.DUMMYFUNCTION("""COMPUTED_VALUE"""),44719.0)</f>
        <v>44719</v>
      </c>
      <c r="C13611" s="6">
        <f>IFERROR(__xludf.DUMMYFUNCTION("""COMPUTED_VALUE"""),0.7271412037043774)</f>
        <v>0.7271412037</v>
      </c>
      <c r="D13611" s="4">
        <f>IFERROR(__xludf.DUMMYFUNCTION("""COMPUTED_VALUE"""),13.04786)</f>
        <v>13.04786</v>
      </c>
      <c r="E13611" s="4">
        <f>IFERROR(__xludf.DUMMYFUNCTION("""COMPUTED_VALUE"""),80.248901)</f>
        <v>80.248901</v>
      </c>
      <c r="F13611" s="4">
        <f>IFERROR(__xludf.DUMMYFUNCTION("""COMPUTED_VALUE"""),805.0)</f>
        <v>805</v>
      </c>
      <c r="G13611" s="4">
        <f>IFERROR(__xludf.DUMMYFUNCTION("""COMPUTED_VALUE"""),30.0)</f>
        <v>30</v>
      </c>
      <c r="H13611" s="4"/>
      <c r="I13611" s="4"/>
    </row>
    <row r="13612">
      <c r="A13612" s="4" t="str">
        <f>IFERROR(__xludf.DUMMYFUNCTION("""COMPUTED_VALUE"""),"cas_hmw")</f>
        <v>cas_hmw</v>
      </c>
      <c r="B13612" s="5">
        <f>IFERROR(__xludf.DUMMYFUNCTION("""COMPUTED_VALUE"""),44719.0)</f>
        <v>44719</v>
      </c>
      <c r="C13612" s="6">
        <f>IFERROR(__xludf.DUMMYFUNCTION("""COMPUTED_VALUE"""),0.7278472222205892)</f>
        <v>0.7278472222</v>
      </c>
      <c r="D13612" s="4">
        <f>IFERROR(__xludf.DUMMYFUNCTION("""COMPUTED_VALUE"""),13.049039)</f>
        <v>13.049039</v>
      </c>
      <c r="E13612" s="4">
        <f>IFERROR(__xludf.DUMMYFUNCTION("""COMPUTED_VALUE"""),80.249575)</f>
        <v>80.249575</v>
      </c>
      <c r="F13612" s="4">
        <f>IFERROR(__xludf.DUMMYFUNCTION("""COMPUTED_VALUE"""),805.0)</f>
        <v>805</v>
      </c>
      <c r="G13612" s="4">
        <f>IFERROR(__xludf.DUMMYFUNCTION("""COMPUTED_VALUE"""),0.0)</f>
        <v>0</v>
      </c>
      <c r="H13612" s="4"/>
      <c r="I13612" s="4"/>
    </row>
    <row r="13613">
      <c r="A13613" s="4" t="str">
        <f>IFERROR(__xludf.DUMMYFUNCTION("""COMPUTED_VALUE"""),"cas_hmw")</f>
        <v>cas_hmw</v>
      </c>
      <c r="B13613" s="5">
        <f>IFERROR(__xludf.DUMMYFUNCTION("""COMPUTED_VALUE"""),44719.0)</f>
        <v>44719</v>
      </c>
      <c r="C13613" s="6">
        <f>IFERROR(__xludf.DUMMYFUNCTION("""COMPUTED_VALUE"""),0.7280671296284709)</f>
        <v>0.7280671296</v>
      </c>
      <c r="D13613" s="4">
        <f>IFERROR(__xludf.DUMMYFUNCTION("""COMPUTED_VALUE"""),13.052639)</f>
        <v>13.052639</v>
      </c>
      <c r="E13613" s="4">
        <f>IFERROR(__xludf.DUMMYFUNCTION("""COMPUTED_VALUE"""),80.251336)</f>
        <v>80.251336</v>
      </c>
      <c r="F13613" s="4">
        <f>IFERROR(__xludf.DUMMYFUNCTION("""COMPUTED_VALUE"""),805.0)</f>
        <v>805</v>
      </c>
      <c r="G13613" s="4">
        <f>IFERROR(__xludf.DUMMYFUNCTION("""COMPUTED_VALUE"""),33.0)</f>
        <v>33</v>
      </c>
      <c r="H13613" s="4"/>
      <c r="I13613" s="4"/>
    </row>
    <row r="13614">
      <c r="A13614" s="4" t="str">
        <f>IFERROR(__xludf.DUMMYFUNCTION("""COMPUTED_VALUE"""),"cas_hmw")</f>
        <v>cas_hmw</v>
      </c>
      <c r="B13614" s="5">
        <f>IFERROR(__xludf.DUMMYFUNCTION("""COMPUTED_VALUE"""),44719.0)</f>
        <v>44719</v>
      </c>
      <c r="C13614" s="6">
        <f>IFERROR(__xludf.DUMMYFUNCTION("""COMPUTED_VALUE"""),0.7288888888906513)</f>
        <v>0.7288888889</v>
      </c>
      <c r="D13614" s="4">
        <f>IFERROR(__xludf.DUMMYFUNCTION("""COMPUTED_VALUE"""),13.055292)</f>
        <v>13.055292</v>
      </c>
      <c r="E13614" s="4">
        <f>IFERROR(__xludf.DUMMYFUNCTION("""COMPUTED_VALUE"""),80.254886)</f>
        <v>80.254886</v>
      </c>
      <c r="F13614" s="4">
        <f>IFERROR(__xludf.DUMMYFUNCTION("""COMPUTED_VALUE"""),805.0)</f>
        <v>805</v>
      </c>
      <c r="G13614" s="4">
        <f>IFERROR(__xludf.DUMMYFUNCTION("""COMPUTED_VALUE"""),17.0)</f>
        <v>17</v>
      </c>
      <c r="H13614" s="4"/>
      <c r="I13614" s="4"/>
    </row>
    <row r="13615">
      <c r="A13615" s="4" t="str">
        <f>IFERROR(__xludf.DUMMYFUNCTION("""COMPUTED_VALUE"""),"cas_hmw")</f>
        <v>cas_hmw</v>
      </c>
      <c r="B13615" s="5">
        <f>IFERROR(__xludf.DUMMYFUNCTION("""COMPUTED_VALUE"""),44719.0)</f>
        <v>44719</v>
      </c>
      <c r="C13615" s="6">
        <f>IFERROR(__xludf.DUMMYFUNCTION("""COMPUTED_VALUE"""),0.7300578703689098)</f>
        <v>0.7300578704</v>
      </c>
      <c r="D13615" s="4">
        <f>IFERROR(__xludf.DUMMYFUNCTION("""COMPUTED_VALUE"""),13.055821)</f>
        <v>13.055821</v>
      </c>
      <c r="E13615" s="4">
        <f>IFERROR(__xludf.DUMMYFUNCTION("""COMPUTED_VALUE"""),80.257635)</f>
        <v>80.257635</v>
      </c>
      <c r="F13615" s="4">
        <f>IFERROR(__xludf.DUMMYFUNCTION("""COMPUTED_VALUE"""),805.0)</f>
        <v>805</v>
      </c>
      <c r="G13615" s="4">
        <f>IFERROR(__xludf.DUMMYFUNCTION("""COMPUTED_VALUE"""),20.0)</f>
        <v>20</v>
      </c>
      <c r="H13615" s="4"/>
      <c r="I13615" s="4"/>
    </row>
    <row r="13616">
      <c r="A13616" s="4" t="str">
        <f>IFERROR(__xludf.DUMMYFUNCTION("""COMPUTED_VALUE"""),"cas_hmw")</f>
        <v>cas_hmw</v>
      </c>
      <c r="B13616" s="5">
        <f>IFERROR(__xludf.DUMMYFUNCTION("""COMPUTED_VALUE"""),44719.0)</f>
        <v>44719</v>
      </c>
      <c r="C13616" s="6">
        <f>IFERROR(__xludf.DUMMYFUNCTION("""COMPUTED_VALUE"""),0.7300578703689098)</f>
        <v>0.7300578704</v>
      </c>
      <c r="D13616" s="4">
        <f>IFERROR(__xludf.DUMMYFUNCTION("""COMPUTED_VALUE"""),13.055821)</f>
        <v>13.055821</v>
      </c>
      <c r="E13616" s="4">
        <f>IFERROR(__xludf.DUMMYFUNCTION("""COMPUTED_VALUE"""),80.257635)</f>
        <v>80.257635</v>
      </c>
      <c r="F13616" s="4">
        <f>IFERROR(__xludf.DUMMYFUNCTION("""COMPUTED_VALUE"""),805.0)</f>
        <v>805</v>
      </c>
      <c r="G13616" s="4">
        <f>IFERROR(__xludf.DUMMYFUNCTION("""COMPUTED_VALUE"""),20.0)</f>
        <v>20</v>
      </c>
      <c r="H13616" s="4"/>
      <c r="I13616" s="4"/>
    </row>
    <row r="13617">
      <c r="A13617" s="4" t="str">
        <f>IFERROR(__xludf.DUMMYFUNCTION("""COMPUTED_VALUE"""),"cas_hmw")</f>
        <v>cas_hmw</v>
      </c>
      <c r="B13617" s="5">
        <f>IFERROR(__xludf.DUMMYFUNCTION("""COMPUTED_VALUE"""),44719.0)</f>
        <v>44719</v>
      </c>
      <c r="C13617" s="6">
        <f>IFERROR(__xludf.DUMMYFUNCTION("""COMPUTED_VALUE"""),0.7301273148150358)</f>
        <v>0.7301273148</v>
      </c>
      <c r="D13617" s="4">
        <f>IFERROR(__xludf.DUMMYFUNCTION("""COMPUTED_VALUE"""),13.055821)</f>
        <v>13.055821</v>
      </c>
      <c r="E13617" s="4">
        <f>IFERROR(__xludf.DUMMYFUNCTION("""COMPUTED_VALUE"""),80.257635)</f>
        <v>80.257635</v>
      </c>
      <c r="F13617" s="4">
        <f>IFERROR(__xludf.DUMMYFUNCTION("""COMPUTED_VALUE"""),805.0)</f>
        <v>805</v>
      </c>
      <c r="G13617" s="4">
        <f>IFERROR(__xludf.DUMMYFUNCTION("""COMPUTED_VALUE"""),20.0)</f>
        <v>20</v>
      </c>
      <c r="H13617" s="4"/>
      <c r="I13617" s="4"/>
    </row>
    <row r="13618">
      <c r="A13618" s="4" t="str">
        <f>IFERROR(__xludf.DUMMYFUNCTION("""COMPUTED_VALUE"""),"cas_hmw")</f>
        <v>cas_hmw</v>
      </c>
      <c r="B13618" s="5">
        <f>IFERROR(__xludf.DUMMYFUNCTION("""COMPUTED_VALUE"""),44719.0)</f>
        <v>44719</v>
      </c>
      <c r="C13618" s="6">
        <f>IFERROR(__xludf.DUMMYFUNCTION("""COMPUTED_VALUE"""),0.7335879629645206)</f>
        <v>0.733587963</v>
      </c>
      <c r="D13618" s="4">
        <f>IFERROR(__xludf.DUMMYFUNCTION("""COMPUTED_VALUE"""),12.976836)</f>
        <v>12.976836</v>
      </c>
      <c r="E13618" s="4">
        <f>IFERROR(__xludf.DUMMYFUNCTION("""COMPUTED_VALUE"""),80.222511)</f>
        <v>80.222511</v>
      </c>
      <c r="F13618" s="4">
        <f>IFERROR(__xludf.DUMMYFUNCTION("""COMPUTED_VALUE"""),2846.0)</f>
        <v>2846</v>
      </c>
      <c r="G13618" s="4">
        <f>IFERROR(__xludf.DUMMYFUNCTION("""COMPUTED_VALUE"""),35.0)</f>
        <v>35</v>
      </c>
      <c r="H13618" s="4"/>
      <c r="I13618" s="4"/>
    </row>
    <row r="13619">
      <c r="A13619" s="4" t="str">
        <f>IFERROR(__xludf.DUMMYFUNCTION("""COMPUTED_VALUE"""),"cas_hmw")</f>
        <v>cas_hmw</v>
      </c>
      <c r="B13619" s="5">
        <f>IFERROR(__xludf.DUMMYFUNCTION("""COMPUTED_VALUE"""),44719.0)</f>
        <v>44719</v>
      </c>
      <c r="C13619" s="6">
        <f>IFERROR(__xludf.DUMMYFUNCTION("""COMPUTED_VALUE"""),0.7373148148144537)</f>
        <v>0.7373148148</v>
      </c>
      <c r="D13619" s="4">
        <f>IFERROR(__xludf.DUMMYFUNCTION("""COMPUTED_VALUE"""),12.976948)</f>
        <v>12.976948</v>
      </c>
      <c r="E13619" s="4">
        <f>IFERROR(__xludf.DUMMYFUNCTION("""COMPUTED_VALUE"""),80.223017)</f>
        <v>80.223017</v>
      </c>
      <c r="F13619" s="4">
        <f>IFERROR(__xludf.DUMMYFUNCTION("""COMPUTED_VALUE"""),2846.0)</f>
        <v>2846</v>
      </c>
      <c r="G13619" s="4">
        <f>IFERROR(__xludf.DUMMYFUNCTION("""COMPUTED_VALUE"""),34.0)</f>
        <v>34</v>
      </c>
      <c r="H13619" s="4"/>
      <c r="I13619" s="4"/>
    </row>
    <row r="13620">
      <c r="A13620" s="4" t="str">
        <f>IFERROR(__xludf.DUMMYFUNCTION("""COMPUTED_VALUE"""),"cas_hmw")</f>
        <v>cas_hmw</v>
      </c>
      <c r="B13620" s="5">
        <f>IFERROR(__xludf.DUMMYFUNCTION("""COMPUTED_VALUE"""),44719.0)</f>
        <v>44719</v>
      </c>
      <c r="C13620" s="6">
        <f>IFERROR(__xludf.DUMMYFUNCTION("""COMPUTED_VALUE"""),0.7382986111115315)</f>
        <v>0.7382986111</v>
      </c>
      <c r="D13620" s="4">
        <f>IFERROR(__xludf.DUMMYFUNCTION("""COMPUTED_VALUE"""),12.973744)</f>
        <v>12.973744</v>
      </c>
      <c r="E13620" s="4">
        <f>IFERROR(__xludf.DUMMYFUNCTION("""COMPUTED_VALUE"""),80.220136)</f>
        <v>80.220136</v>
      </c>
      <c r="F13620" s="4">
        <f>IFERROR(__xludf.DUMMYFUNCTION("""COMPUTED_VALUE"""),2846.0)</f>
        <v>2846</v>
      </c>
      <c r="G13620" s="4">
        <f>IFERROR(__xludf.DUMMYFUNCTION("""COMPUTED_VALUE"""),32.0)</f>
        <v>32</v>
      </c>
      <c r="H13620" s="4"/>
      <c r="I13620" s="4"/>
    </row>
    <row r="13621">
      <c r="A13621" s="4" t="str">
        <f>IFERROR(__xludf.DUMMYFUNCTION("""COMPUTED_VALUE"""),"cas_hmw")</f>
        <v>cas_hmw</v>
      </c>
      <c r="B13621" s="5">
        <f>IFERROR(__xludf.DUMMYFUNCTION("""COMPUTED_VALUE"""),44719.0)</f>
        <v>44719</v>
      </c>
      <c r="C13621" s="6">
        <f>IFERROR(__xludf.DUMMYFUNCTION("""COMPUTED_VALUE"""),0.7386226851849642)</f>
        <v>0.7386226852</v>
      </c>
      <c r="D13621" s="4">
        <f>IFERROR(__xludf.DUMMYFUNCTION("""COMPUTED_VALUE"""),12.971763)</f>
        <v>12.971763</v>
      </c>
      <c r="E13621" s="4">
        <f>IFERROR(__xludf.DUMMYFUNCTION("""COMPUTED_VALUE"""),80.219294)</f>
        <v>80.219294</v>
      </c>
      <c r="F13621" s="4">
        <f>IFERROR(__xludf.DUMMYFUNCTION("""COMPUTED_VALUE"""),2846.0)</f>
        <v>2846</v>
      </c>
      <c r="G13621" s="4">
        <f>IFERROR(__xludf.DUMMYFUNCTION("""COMPUTED_VALUE"""),20.0)</f>
        <v>20</v>
      </c>
      <c r="H13621" s="4"/>
      <c r="I13621" s="4"/>
    </row>
    <row r="13622">
      <c r="A13622" s="4" t="str">
        <f>IFERROR(__xludf.DUMMYFUNCTION("""COMPUTED_VALUE"""),"cas_hmw")</f>
        <v>cas_hmw</v>
      </c>
      <c r="B13622" s="5">
        <f>IFERROR(__xludf.DUMMYFUNCTION("""COMPUTED_VALUE"""),44719.0)</f>
        <v>44719</v>
      </c>
      <c r="C13622" s="6">
        <f>IFERROR(__xludf.DUMMYFUNCTION("""COMPUTED_VALUE"""),0.7387731481467199)</f>
        <v>0.7387731481</v>
      </c>
      <c r="D13622" s="4">
        <f>IFERROR(__xludf.DUMMYFUNCTION("""COMPUTED_VALUE"""),12.971095)</f>
        <v>12.971095</v>
      </c>
      <c r="E13622" s="4">
        <f>IFERROR(__xludf.DUMMYFUNCTION("""COMPUTED_VALUE"""),80.218974)</f>
        <v>80.218974</v>
      </c>
      <c r="F13622" s="4">
        <f>IFERROR(__xludf.DUMMYFUNCTION("""COMPUTED_VALUE"""),2846.0)</f>
        <v>2846</v>
      </c>
      <c r="G13622" s="4">
        <f>IFERROR(__xludf.DUMMYFUNCTION("""COMPUTED_VALUE"""),34.0)</f>
        <v>34</v>
      </c>
      <c r="H13622" s="4"/>
      <c r="I13622" s="4"/>
    </row>
    <row r="13623">
      <c r="A13623" s="4" t="str">
        <f>IFERROR(__xludf.DUMMYFUNCTION("""COMPUTED_VALUE"""),"cas_hmw")</f>
        <v>cas_hmw</v>
      </c>
      <c r="B13623" s="5">
        <f>IFERROR(__xludf.DUMMYFUNCTION("""COMPUTED_VALUE"""),44719.0)</f>
        <v>44719</v>
      </c>
      <c r="C13623" s="6">
        <f>IFERROR(__xludf.DUMMYFUNCTION("""COMPUTED_VALUE"""),0.7391203703700739)</f>
        <v>0.7391203704</v>
      </c>
      <c r="D13623" s="4">
        <f>IFERROR(__xludf.DUMMYFUNCTION("""COMPUTED_VALUE"""),12.967959)</f>
        <v>12.967959</v>
      </c>
      <c r="E13623" s="4">
        <f>IFERROR(__xludf.DUMMYFUNCTION("""COMPUTED_VALUE"""),80.217703)</f>
        <v>80.217703</v>
      </c>
      <c r="F13623" s="4">
        <f>IFERROR(__xludf.DUMMYFUNCTION("""COMPUTED_VALUE"""),2846.0)</f>
        <v>2846</v>
      </c>
      <c r="G13623" s="4">
        <f>IFERROR(__xludf.DUMMYFUNCTION("""COMPUTED_VALUE"""),39.0)</f>
        <v>39</v>
      </c>
      <c r="H13623" s="4"/>
      <c r="I13623" s="4"/>
    </row>
    <row r="13624">
      <c r="A13624" s="4" t="str">
        <f>IFERROR(__xludf.DUMMYFUNCTION("""COMPUTED_VALUE"""),"cas_hmw")</f>
        <v>cas_hmw</v>
      </c>
      <c r="B13624" s="5">
        <f>IFERROR(__xludf.DUMMYFUNCTION("""COMPUTED_VALUE"""),44719.0)</f>
        <v>44719</v>
      </c>
      <c r="C13624" s="6">
        <f>IFERROR(__xludf.DUMMYFUNCTION("""COMPUTED_VALUE"""),0.739710648147593)</f>
        <v>0.7397106481</v>
      </c>
      <c r="D13624" s="4">
        <f>IFERROR(__xludf.DUMMYFUNCTION("""COMPUTED_VALUE"""),12.963839)</f>
        <v>12.963839</v>
      </c>
      <c r="E13624" s="4">
        <f>IFERROR(__xludf.DUMMYFUNCTION("""COMPUTED_VALUE"""),80.2161)</f>
        <v>80.2161</v>
      </c>
      <c r="F13624" s="4">
        <f>IFERROR(__xludf.DUMMYFUNCTION("""COMPUTED_VALUE"""),2846.0)</f>
        <v>2846</v>
      </c>
      <c r="G13624" s="4">
        <f>IFERROR(__xludf.DUMMYFUNCTION("""COMPUTED_VALUE"""),15.0)</f>
        <v>15</v>
      </c>
      <c r="H13624" s="4"/>
      <c r="I13624" s="4"/>
    </row>
    <row r="13625">
      <c r="A13625" s="4" t="str">
        <f>IFERROR(__xludf.DUMMYFUNCTION("""COMPUTED_VALUE"""),"cas_hmw")</f>
        <v>cas_hmw</v>
      </c>
      <c r="B13625" s="5">
        <f>IFERROR(__xludf.DUMMYFUNCTION("""COMPUTED_VALUE"""),44719.0)</f>
        <v>44719</v>
      </c>
      <c r="C13625" s="6">
        <f>IFERROR(__xludf.DUMMYFUNCTION("""COMPUTED_VALUE"""),0.7421990740731417)</f>
        <v>0.7421990741</v>
      </c>
      <c r="D13625" s="4">
        <f>IFERROR(__xludf.DUMMYFUNCTION("""COMPUTED_VALUE"""),12.952591)</f>
        <v>12.952591</v>
      </c>
      <c r="E13625" s="4">
        <f>IFERROR(__xludf.DUMMYFUNCTION("""COMPUTED_VALUE"""),80.211598)</f>
        <v>80.211598</v>
      </c>
      <c r="F13625" s="4">
        <f>IFERROR(__xludf.DUMMYFUNCTION("""COMPUTED_VALUE"""),2846.0)</f>
        <v>2846</v>
      </c>
      <c r="G13625" s="4">
        <f>IFERROR(__xludf.DUMMYFUNCTION("""COMPUTED_VALUE"""),36.0)</f>
        <v>36</v>
      </c>
      <c r="H13625" s="4"/>
      <c r="I13625" s="4"/>
    </row>
    <row r="13626">
      <c r="A13626" s="4" t="str">
        <f>IFERROR(__xludf.DUMMYFUNCTION("""COMPUTED_VALUE"""),"cas_hmw")</f>
        <v>cas_hmw</v>
      </c>
      <c r="B13626" s="5">
        <f>IFERROR(__xludf.DUMMYFUNCTION("""COMPUTED_VALUE"""),44719.0)</f>
        <v>44719</v>
      </c>
      <c r="C13626" s="6">
        <f>IFERROR(__xludf.DUMMYFUNCTION("""COMPUTED_VALUE"""),0.7428819444430701)</f>
        <v>0.7428819444</v>
      </c>
      <c r="D13626" s="4">
        <f>IFERROR(__xludf.DUMMYFUNCTION("""COMPUTED_VALUE"""),13.066656)</f>
        <v>13.066656</v>
      </c>
      <c r="E13626" s="4">
        <f>IFERROR(__xludf.DUMMYFUNCTION("""COMPUTED_VALUE"""),80.268432)</f>
        <v>80.268432</v>
      </c>
      <c r="F13626" s="4">
        <f>IFERROR(__xludf.DUMMYFUNCTION("""COMPUTED_VALUE"""),805.0)</f>
        <v>805</v>
      </c>
      <c r="G13626" s="4">
        <f>IFERROR(__xludf.DUMMYFUNCTION("""COMPUTED_VALUE"""),10.0)</f>
        <v>10</v>
      </c>
      <c r="H13626" s="4"/>
      <c r="I13626" s="4"/>
    </row>
    <row r="13627">
      <c r="A13627" s="4" t="str">
        <f>IFERROR(__xludf.DUMMYFUNCTION("""COMPUTED_VALUE"""),"cas_hmw")</f>
        <v>cas_hmw</v>
      </c>
      <c r="B13627" s="5">
        <f>IFERROR(__xludf.DUMMYFUNCTION("""COMPUTED_VALUE"""),44719.0)</f>
        <v>44719</v>
      </c>
      <c r="C13627" s="6">
        <f>IFERROR(__xludf.DUMMYFUNCTION("""COMPUTED_VALUE"""),0.7429513888891961)</f>
        <v>0.7429513889</v>
      </c>
      <c r="D13627" s="4">
        <f>IFERROR(__xludf.DUMMYFUNCTION("""COMPUTED_VALUE"""),13.066656)</f>
        <v>13.066656</v>
      </c>
      <c r="E13627" s="4">
        <f>IFERROR(__xludf.DUMMYFUNCTION("""COMPUTED_VALUE"""),80.268432)</f>
        <v>80.268432</v>
      </c>
      <c r="F13627" s="4">
        <f>IFERROR(__xludf.DUMMYFUNCTION("""COMPUTED_VALUE"""),805.0)</f>
        <v>805</v>
      </c>
      <c r="G13627" s="4">
        <f>IFERROR(__xludf.DUMMYFUNCTION("""COMPUTED_VALUE"""),10.0)</f>
        <v>10</v>
      </c>
      <c r="H13627" s="4"/>
      <c r="I13627" s="4"/>
    </row>
    <row r="13628">
      <c r="A13628" s="4" t="str">
        <f>IFERROR(__xludf.DUMMYFUNCTION("""COMPUTED_VALUE"""),"cas_hmw")</f>
        <v>cas_hmw</v>
      </c>
      <c r="B13628" s="5">
        <f>IFERROR(__xludf.DUMMYFUNCTION("""COMPUTED_VALUE"""),44719.0)</f>
        <v>44719</v>
      </c>
      <c r="C13628" s="6">
        <f>IFERROR(__xludf.DUMMYFUNCTION("""COMPUTED_VALUE"""),0.7468287037045229)</f>
        <v>0.7468287037</v>
      </c>
      <c r="D13628" s="4">
        <f>IFERROR(__xludf.DUMMYFUNCTION("""COMPUTED_VALUE"""),12.948532)</f>
        <v>12.948532</v>
      </c>
      <c r="E13628" s="4">
        <f>IFERROR(__xludf.DUMMYFUNCTION("""COMPUTED_VALUE"""),80.199353)</f>
        <v>80.199353</v>
      </c>
      <c r="F13628" s="4">
        <f>IFERROR(__xludf.DUMMYFUNCTION("""COMPUTED_VALUE"""),2846.0)</f>
        <v>2846</v>
      </c>
      <c r="G13628" s="4">
        <f>IFERROR(__xludf.DUMMYFUNCTION("""COMPUTED_VALUE"""),39.0)</f>
        <v>39</v>
      </c>
      <c r="H13628" s="4"/>
      <c r="I13628" s="4"/>
    </row>
    <row r="13629">
      <c r="A13629" s="4" t="str">
        <f>IFERROR(__xludf.DUMMYFUNCTION("""COMPUTED_VALUE"""),"cas_hmw")</f>
        <v>cas_hmw</v>
      </c>
      <c r="B13629" s="5">
        <f>IFERROR(__xludf.DUMMYFUNCTION("""COMPUTED_VALUE"""),44719.0)</f>
        <v>44719</v>
      </c>
      <c r="C13629" s="6">
        <f>IFERROR(__xludf.DUMMYFUNCTION("""COMPUTED_VALUE"""),0.7468402777776646)</f>
        <v>0.7468402778</v>
      </c>
      <c r="D13629" s="4">
        <f>IFERROR(__xludf.DUMMYFUNCTION("""COMPUTED_VALUE"""),12.948532)</f>
        <v>12.948532</v>
      </c>
      <c r="E13629" s="4">
        <f>IFERROR(__xludf.DUMMYFUNCTION("""COMPUTED_VALUE"""),80.199353)</f>
        <v>80.199353</v>
      </c>
      <c r="F13629" s="4">
        <f>IFERROR(__xludf.DUMMYFUNCTION("""COMPUTED_VALUE"""),2846.0)</f>
        <v>2846</v>
      </c>
      <c r="G13629" s="4">
        <f>IFERROR(__xludf.DUMMYFUNCTION("""COMPUTED_VALUE"""),39.0)</f>
        <v>39</v>
      </c>
      <c r="H13629" s="4"/>
      <c r="I13629" s="4"/>
    </row>
    <row r="13630">
      <c r="A13630" s="4" t="str">
        <f>IFERROR(__xludf.DUMMYFUNCTION("""COMPUTED_VALUE"""),"cas_hmw")</f>
        <v>cas_hmw</v>
      </c>
      <c r="B13630" s="5">
        <f>IFERROR(__xludf.DUMMYFUNCTION("""COMPUTED_VALUE"""),44719.0)</f>
        <v>44719</v>
      </c>
      <c r="C13630" s="6">
        <f>IFERROR(__xludf.DUMMYFUNCTION("""COMPUTED_VALUE"""),0.7471180555548926)</f>
        <v>0.7471180556</v>
      </c>
      <c r="D13630" s="4">
        <f>IFERROR(__xludf.DUMMYFUNCTION("""COMPUTED_VALUE"""),12.948473)</f>
        <v>12.948473</v>
      </c>
      <c r="E13630" s="4">
        <f>IFERROR(__xludf.DUMMYFUNCTION("""COMPUTED_VALUE"""),80.197616)</f>
        <v>80.197616</v>
      </c>
      <c r="F13630" s="4">
        <f>IFERROR(__xludf.DUMMYFUNCTION("""COMPUTED_VALUE"""),2846.0)</f>
        <v>2846</v>
      </c>
      <c r="G13630" s="4">
        <f>IFERROR(__xludf.DUMMYFUNCTION("""COMPUTED_VALUE"""),40.0)</f>
        <v>40</v>
      </c>
      <c r="H13630" s="4"/>
      <c r="I13630" s="4"/>
    </row>
    <row r="13631">
      <c r="A13631" s="4" t="str">
        <f>IFERROR(__xludf.DUMMYFUNCTION("""COMPUTED_VALUE"""),"cas_hmw")</f>
        <v>cas_hmw</v>
      </c>
      <c r="B13631" s="5">
        <f>IFERROR(__xludf.DUMMYFUNCTION("""COMPUTED_VALUE"""),44719.0)</f>
        <v>44719</v>
      </c>
      <c r="C13631" s="6">
        <f>IFERROR(__xludf.DUMMYFUNCTION("""COMPUTED_VALUE"""),0.7471875000010186)</f>
        <v>0.7471875</v>
      </c>
      <c r="D13631" s="4">
        <f>IFERROR(__xludf.DUMMYFUNCTION("""COMPUTED_VALUE"""),12.948498)</f>
        <v>12.948498</v>
      </c>
      <c r="E13631" s="4">
        <f>IFERROR(__xludf.DUMMYFUNCTION("""COMPUTED_VALUE"""),80.19653)</f>
        <v>80.19653</v>
      </c>
      <c r="F13631" s="4">
        <f>IFERROR(__xludf.DUMMYFUNCTION("""COMPUTED_VALUE"""),2846.0)</f>
        <v>2846</v>
      </c>
      <c r="G13631" s="4">
        <f>IFERROR(__xludf.DUMMYFUNCTION("""COMPUTED_VALUE"""),43.0)</f>
        <v>43</v>
      </c>
      <c r="H13631" s="4"/>
      <c r="I13631" s="4"/>
    </row>
    <row r="13632">
      <c r="A13632" s="4" t="str">
        <f>IFERROR(__xludf.DUMMYFUNCTION("""COMPUTED_VALUE"""),"cas_hmw")</f>
        <v>cas_hmw</v>
      </c>
      <c r="B13632" s="5">
        <f>IFERROR(__xludf.DUMMYFUNCTION("""COMPUTED_VALUE"""),44719.0)</f>
        <v>44719</v>
      </c>
      <c r="C13632" s="6">
        <f>IFERROR(__xludf.DUMMYFUNCTION("""COMPUTED_VALUE"""),0.7494907407417486)</f>
        <v>0.7494907407</v>
      </c>
      <c r="D13632" s="4">
        <f>IFERROR(__xludf.DUMMYFUNCTION("""COMPUTED_VALUE"""),13.067776)</f>
        <v>13.067776</v>
      </c>
      <c r="E13632" s="4">
        <f>IFERROR(__xludf.DUMMYFUNCTION("""COMPUTED_VALUE"""),80.248857)</f>
        <v>80.248857</v>
      </c>
      <c r="F13632" s="4">
        <f>IFERROR(__xludf.DUMMYFUNCTION("""COMPUTED_VALUE"""),805.0)</f>
        <v>805</v>
      </c>
      <c r="G13632" s="4">
        <f>IFERROR(__xludf.DUMMYFUNCTION("""COMPUTED_VALUE"""),31.0)</f>
        <v>31</v>
      </c>
      <c r="H13632" s="4"/>
      <c r="I13632" s="4"/>
    </row>
    <row r="13633">
      <c r="A13633" s="4" t="str">
        <f>IFERROR(__xludf.DUMMYFUNCTION("""COMPUTED_VALUE"""),"cas_hmw")</f>
        <v>cas_hmw</v>
      </c>
      <c r="B13633" s="5">
        <f>IFERROR(__xludf.DUMMYFUNCTION("""COMPUTED_VALUE"""),44719.0)</f>
        <v>44719</v>
      </c>
      <c r="C13633" s="6">
        <f>IFERROR(__xludf.DUMMYFUNCTION("""COMPUTED_VALUE"""),0.7534606481494848)</f>
        <v>0.7534606481</v>
      </c>
      <c r="D13633" s="4">
        <f>IFERROR(__xludf.DUMMYFUNCTION("""COMPUTED_VALUE"""),12.949896)</f>
        <v>12.949896</v>
      </c>
      <c r="E13633" s="4">
        <f>IFERROR(__xludf.DUMMYFUNCTION("""COMPUTED_VALUE"""),80.179797)</f>
        <v>80.179797</v>
      </c>
      <c r="F13633" s="4">
        <f>IFERROR(__xludf.DUMMYFUNCTION("""COMPUTED_VALUE"""),2846.0)</f>
        <v>2846</v>
      </c>
      <c r="G13633" s="4">
        <f>IFERROR(__xludf.DUMMYFUNCTION("""COMPUTED_VALUE"""),33.0)</f>
        <v>33</v>
      </c>
      <c r="H13633" s="4"/>
      <c r="I13633" s="4"/>
    </row>
    <row r="13634">
      <c r="A13634" s="4" t="str">
        <f>IFERROR(__xludf.DUMMYFUNCTION("""COMPUTED_VALUE"""),"cas_hmw")</f>
        <v>cas_hmw</v>
      </c>
      <c r="B13634" s="5">
        <f>IFERROR(__xludf.DUMMYFUNCTION("""COMPUTED_VALUE"""),44719.0)</f>
        <v>44719</v>
      </c>
      <c r="C13634" s="6">
        <f>IFERROR(__xludf.DUMMYFUNCTION("""COMPUTED_VALUE"""),0.7536574074074451)</f>
        <v>0.7536574074</v>
      </c>
      <c r="D13634" s="4">
        <f>IFERROR(__xludf.DUMMYFUNCTION("""COMPUTED_VALUE"""),12.950263)</f>
        <v>12.950263</v>
      </c>
      <c r="E13634" s="4">
        <f>IFERROR(__xludf.DUMMYFUNCTION("""COMPUTED_VALUE"""),80.178324)</f>
        <v>80.178324</v>
      </c>
      <c r="F13634" s="4">
        <f>IFERROR(__xludf.DUMMYFUNCTION("""COMPUTED_VALUE"""),2846.0)</f>
        <v>2846</v>
      </c>
      <c r="G13634" s="4">
        <f>IFERROR(__xludf.DUMMYFUNCTION("""COMPUTED_VALUE"""),40.0)</f>
        <v>40</v>
      </c>
      <c r="H13634" s="4"/>
      <c r="I13634" s="4"/>
    </row>
    <row r="13635">
      <c r="A13635" s="4" t="str">
        <f>IFERROR(__xludf.DUMMYFUNCTION("""COMPUTED_VALUE"""),"cas_hmw")</f>
        <v>cas_hmw</v>
      </c>
      <c r="B13635" s="5">
        <f>IFERROR(__xludf.DUMMYFUNCTION("""COMPUTED_VALUE"""),44719.0)</f>
        <v>44719</v>
      </c>
      <c r="C13635" s="6">
        <f>IFERROR(__xludf.DUMMYFUNCTION("""COMPUTED_VALUE"""),0.7544097222234996)</f>
        <v>0.7544097222</v>
      </c>
      <c r="D13635" s="4">
        <f>IFERROR(__xludf.DUMMYFUNCTION("""COMPUTED_VALUE"""),12.951552)</f>
        <v>12.951552</v>
      </c>
      <c r="E13635" s="4">
        <f>IFERROR(__xludf.DUMMYFUNCTION("""COMPUTED_VALUE"""),80.172751)</f>
        <v>80.172751</v>
      </c>
      <c r="F13635" s="4">
        <f>IFERROR(__xludf.DUMMYFUNCTION("""COMPUTED_VALUE"""),2846.0)</f>
        <v>2846</v>
      </c>
      <c r="G13635" s="4">
        <f>IFERROR(__xludf.DUMMYFUNCTION("""COMPUTED_VALUE"""),41.0)</f>
        <v>41</v>
      </c>
      <c r="H13635" s="4"/>
      <c r="I13635" s="4"/>
    </row>
    <row r="13636">
      <c r="A13636" s="4" t="str">
        <f>IFERROR(__xludf.DUMMYFUNCTION("""COMPUTED_VALUE"""),"cas_hmw")</f>
        <v>cas_hmw</v>
      </c>
      <c r="B13636" s="5">
        <f>IFERROR(__xludf.DUMMYFUNCTION("""COMPUTED_VALUE"""),44719.0)</f>
        <v>44719</v>
      </c>
      <c r="C13636" s="6">
        <f>IFERROR(__xludf.DUMMYFUNCTION("""COMPUTED_VALUE"""),0.7546412037045229)</f>
        <v>0.7546412037</v>
      </c>
      <c r="D13636" s="4">
        <f>IFERROR(__xludf.DUMMYFUNCTION("""COMPUTED_VALUE"""),12.951862)</f>
        <v>12.951862</v>
      </c>
      <c r="E13636" s="4">
        <f>IFERROR(__xludf.DUMMYFUNCTION("""COMPUTED_VALUE"""),80.170944)</f>
        <v>80.170944</v>
      </c>
      <c r="F13636" s="4">
        <f>IFERROR(__xludf.DUMMYFUNCTION("""COMPUTED_VALUE"""),2846.0)</f>
        <v>2846</v>
      </c>
      <c r="G13636" s="4">
        <f>IFERROR(__xludf.DUMMYFUNCTION("""COMPUTED_VALUE"""),38.0)</f>
        <v>38</v>
      </c>
      <c r="H13636" s="4"/>
      <c r="I13636" s="4"/>
    </row>
    <row r="13637">
      <c r="A13637" s="4" t="str">
        <f>IFERROR(__xludf.DUMMYFUNCTION("""COMPUTED_VALUE"""),"cas_hmw")</f>
        <v>cas_hmw</v>
      </c>
      <c r="B13637" s="5">
        <f>IFERROR(__xludf.DUMMYFUNCTION("""COMPUTED_VALUE"""),44719.0)</f>
        <v>44719</v>
      </c>
      <c r="C13637" s="6">
        <f>IFERROR(__xludf.DUMMYFUNCTION("""COMPUTED_VALUE"""),0.7552546296283253)</f>
        <v>0.7552546296</v>
      </c>
      <c r="D13637" s="4">
        <f>IFERROR(__xludf.DUMMYFUNCTION("""COMPUTED_VALUE"""),12.953453)</f>
        <v>12.953453</v>
      </c>
      <c r="E13637" s="4">
        <f>IFERROR(__xludf.DUMMYFUNCTION("""COMPUTED_VALUE"""),80.163667)</f>
        <v>80.163667</v>
      </c>
      <c r="F13637" s="4">
        <f>IFERROR(__xludf.DUMMYFUNCTION("""COMPUTED_VALUE"""),2846.0)</f>
        <v>2846</v>
      </c>
      <c r="G13637" s="4">
        <f>IFERROR(__xludf.DUMMYFUNCTION("""COMPUTED_VALUE"""),27.0)</f>
        <v>27</v>
      </c>
      <c r="H13637" s="4"/>
      <c r="I13637" s="4"/>
    </row>
    <row r="13638">
      <c r="A13638" s="4" t="str">
        <f>IFERROR(__xludf.DUMMYFUNCTION("""COMPUTED_VALUE"""),"cas_hmw")</f>
        <v>cas_hmw</v>
      </c>
      <c r="B13638" s="5">
        <f>IFERROR(__xludf.DUMMYFUNCTION("""COMPUTED_VALUE"""),44719.0)</f>
        <v>44719</v>
      </c>
      <c r="C13638" s="6">
        <f>IFERROR(__xludf.DUMMYFUNCTION("""COMPUTED_VALUE"""),0.7555324074091914)</f>
        <v>0.7555324074</v>
      </c>
      <c r="D13638" s="4">
        <f>IFERROR(__xludf.DUMMYFUNCTION("""COMPUTED_VALUE"""),12.953728)</f>
        <v>12.953728</v>
      </c>
      <c r="E13638" s="4">
        <f>IFERROR(__xludf.DUMMYFUNCTION("""COMPUTED_VALUE"""),80.162298)</f>
        <v>80.162298</v>
      </c>
      <c r="F13638" s="4">
        <f>IFERROR(__xludf.DUMMYFUNCTION("""COMPUTED_VALUE"""),2846.0)</f>
        <v>2846</v>
      </c>
      <c r="G13638" s="4">
        <f>IFERROR(__xludf.DUMMYFUNCTION("""COMPUTED_VALUE"""),42.0)</f>
        <v>42</v>
      </c>
      <c r="H13638" s="4"/>
      <c r="I13638" s="4"/>
    </row>
    <row r="13639">
      <c r="A13639" s="4" t="str">
        <f>IFERROR(__xludf.DUMMYFUNCTION("""COMPUTED_VALUE"""),"cas_hmw")</f>
        <v>cas_hmw</v>
      </c>
      <c r="B13639" s="5">
        <f>IFERROR(__xludf.DUMMYFUNCTION("""COMPUTED_VALUE"""),44719.0)</f>
        <v>44719</v>
      </c>
      <c r="C13639" s="6">
        <f>IFERROR(__xludf.DUMMYFUNCTION("""COMPUTED_VALUE"""),0.7565393518525525)</f>
        <v>0.7565393519</v>
      </c>
      <c r="D13639" s="4">
        <f>IFERROR(__xludf.DUMMYFUNCTION("""COMPUTED_VALUE"""),12.95501)</f>
        <v>12.95501</v>
      </c>
      <c r="E13639" s="4">
        <f>IFERROR(__xludf.DUMMYFUNCTION("""COMPUTED_VALUE"""),80.156201)</f>
        <v>80.156201</v>
      </c>
      <c r="F13639" s="4">
        <f>IFERROR(__xludf.DUMMYFUNCTION("""COMPUTED_VALUE"""),2846.0)</f>
        <v>2846</v>
      </c>
      <c r="G13639" s="4">
        <f>IFERROR(__xludf.DUMMYFUNCTION("""COMPUTED_VALUE"""),50.0)</f>
        <v>50</v>
      </c>
      <c r="H13639" s="4"/>
      <c r="I13639" s="4"/>
    </row>
    <row r="13640">
      <c r="A13640" s="4" t="str">
        <f>IFERROR(__xludf.DUMMYFUNCTION("""COMPUTED_VALUE"""),"cas_hmw")</f>
        <v>cas_hmw</v>
      </c>
      <c r="B13640" s="5">
        <f>IFERROR(__xludf.DUMMYFUNCTION("""COMPUTED_VALUE"""),44719.0)</f>
        <v>44719</v>
      </c>
      <c r="C13640" s="6">
        <f>IFERROR(__xludf.DUMMYFUNCTION("""COMPUTED_VALUE"""),0.7568402777760639)</f>
        <v>0.7568402778</v>
      </c>
      <c r="D13640" s="4">
        <f>IFERROR(__xludf.DUMMYFUNCTION("""COMPUTED_VALUE"""),12.956224)</f>
        <v>12.956224</v>
      </c>
      <c r="E13640" s="4">
        <f>IFERROR(__xludf.DUMMYFUNCTION("""COMPUTED_VALUE"""),80.152264)</f>
        <v>80.152264</v>
      </c>
      <c r="F13640" s="4">
        <f>IFERROR(__xludf.DUMMYFUNCTION("""COMPUTED_VALUE"""),2846.0)</f>
        <v>2846</v>
      </c>
      <c r="G13640" s="4">
        <f>IFERROR(__xludf.DUMMYFUNCTION("""COMPUTED_VALUE"""),52.0)</f>
        <v>52</v>
      </c>
      <c r="H13640" s="4"/>
      <c r="I13640" s="4"/>
    </row>
    <row r="13641">
      <c r="A13641" s="4" t="str">
        <f>IFERROR(__xludf.DUMMYFUNCTION("""COMPUTED_VALUE"""),"cas_hmw")</f>
        <v>cas_hmw</v>
      </c>
      <c r="B13641" s="5">
        <f>IFERROR(__xludf.DUMMYFUNCTION("""COMPUTED_VALUE"""),44719.0)</f>
        <v>44719</v>
      </c>
      <c r="C13641" s="6">
        <f>IFERROR(__xludf.DUMMYFUNCTION("""COMPUTED_VALUE"""),0.7573263888880319)</f>
        <v>0.7573263889</v>
      </c>
      <c r="D13641" s="4">
        <f>IFERROR(__xludf.DUMMYFUNCTION("""COMPUTED_VALUE"""),12.959162)</f>
        <v>12.959162</v>
      </c>
      <c r="E13641" s="4">
        <f>IFERROR(__xludf.DUMMYFUNCTION("""COMPUTED_VALUE"""),80.149808)</f>
        <v>80.149808</v>
      </c>
      <c r="F13641" s="4">
        <f>IFERROR(__xludf.DUMMYFUNCTION("""COMPUTED_VALUE"""),2846.0)</f>
        <v>2846</v>
      </c>
      <c r="G13641" s="4">
        <f>IFERROR(__xludf.DUMMYFUNCTION("""COMPUTED_VALUE"""),42.0)</f>
        <v>42</v>
      </c>
      <c r="H13641" s="4"/>
      <c r="I13641" s="4"/>
    </row>
    <row r="13642">
      <c r="A13642" s="4" t="str">
        <f>IFERROR(__xludf.DUMMYFUNCTION("""COMPUTED_VALUE"""),"cas_hmw")</f>
        <v>cas_hmw</v>
      </c>
      <c r="B13642" s="5">
        <f>IFERROR(__xludf.DUMMYFUNCTION("""COMPUTED_VALUE"""),44719.0)</f>
        <v>44719</v>
      </c>
      <c r="C13642" s="6">
        <f>IFERROR(__xludf.DUMMYFUNCTION("""COMPUTED_VALUE"""),0.7601736111100763)</f>
        <v>0.7601736111</v>
      </c>
      <c r="D13642" s="4">
        <f>IFERROR(__xludf.DUMMYFUNCTION("""COMPUTED_VALUE"""),12.952558)</f>
        <v>12.952558</v>
      </c>
      <c r="E13642" s="4">
        <f>IFERROR(__xludf.DUMMYFUNCTION("""COMPUTED_VALUE"""),80.141159)</f>
        <v>80.141159</v>
      </c>
      <c r="F13642" s="4">
        <f>IFERROR(__xludf.DUMMYFUNCTION("""COMPUTED_VALUE"""),2846.0)</f>
        <v>2846</v>
      </c>
      <c r="G13642" s="4">
        <f>IFERROR(__xludf.DUMMYFUNCTION("""COMPUTED_VALUE"""),22.0)</f>
        <v>22</v>
      </c>
      <c r="H13642" s="4"/>
      <c r="I13642" s="4"/>
    </row>
    <row r="13643">
      <c r="A13643" s="4" t="str">
        <f>IFERROR(__xludf.DUMMYFUNCTION("""COMPUTED_VALUE"""),"cas_hmw")</f>
        <v>cas_hmw</v>
      </c>
      <c r="B13643" s="5">
        <f>IFERROR(__xludf.DUMMYFUNCTION("""COMPUTED_VALUE"""),44719.0)</f>
        <v>44719</v>
      </c>
      <c r="C13643" s="6">
        <f>IFERROR(__xludf.DUMMYFUNCTION("""COMPUTED_VALUE"""),0.7602314814830606)</f>
        <v>0.7602314815</v>
      </c>
      <c r="D13643" s="4">
        <f>IFERROR(__xludf.DUMMYFUNCTION("""COMPUTED_VALUE"""),12.952558)</f>
        <v>12.952558</v>
      </c>
      <c r="E13643" s="4">
        <f>IFERROR(__xludf.DUMMYFUNCTION("""COMPUTED_VALUE"""),80.141159)</f>
        <v>80.141159</v>
      </c>
      <c r="F13643" s="4">
        <f>IFERROR(__xludf.DUMMYFUNCTION("""COMPUTED_VALUE"""),2846.0)</f>
        <v>2846</v>
      </c>
      <c r="G13643" s="4">
        <f>IFERROR(__xludf.DUMMYFUNCTION("""COMPUTED_VALUE"""),22.0)</f>
        <v>22</v>
      </c>
      <c r="H13643" s="4"/>
      <c r="I13643" s="4"/>
    </row>
    <row r="13644">
      <c r="A13644" s="4" t="str">
        <f>IFERROR(__xludf.DUMMYFUNCTION("""COMPUTED_VALUE"""),"cas_hmw")</f>
        <v>cas_hmw</v>
      </c>
      <c r="B13644" s="5">
        <f>IFERROR(__xludf.DUMMYFUNCTION("""COMPUTED_VALUE"""),44719.0)</f>
        <v>44719</v>
      </c>
      <c r="C13644" s="6">
        <f>IFERROR(__xludf.DUMMYFUNCTION("""COMPUTED_VALUE"""),0.7603009259255487)</f>
        <v>0.7603009259</v>
      </c>
      <c r="D13644" s="4">
        <f>IFERROR(__xludf.DUMMYFUNCTION("""COMPUTED_VALUE"""),12.951835)</f>
        <v>12.951835</v>
      </c>
      <c r="E13644" s="4">
        <f>IFERROR(__xludf.DUMMYFUNCTION("""COMPUTED_VALUE"""),80.1406)</f>
        <v>80.1406</v>
      </c>
      <c r="F13644" s="4">
        <f>IFERROR(__xludf.DUMMYFUNCTION("""COMPUTED_VALUE"""),2846.0)</f>
        <v>2846</v>
      </c>
      <c r="G13644" s="4">
        <f>IFERROR(__xludf.DUMMYFUNCTION("""COMPUTED_VALUE"""),28.0)</f>
        <v>28</v>
      </c>
      <c r="H13644" s="4"/>
      <c r="I13644" s="4"/>
    </row>
    <row r="13645">
      <c r="A13645" s="4" t="str">
        <f>IFERROR(__xludf.DUMMYFUNCTION("""COMPUTED_VALUE"""),"cas_hmw")</f>
        <v>cas_hmw</v>
      </c>
      <c r="B13645" s="5">
        <f>IFERROR(__xludf.DUMMYFUNCTION("""COMPUTED_VALUE"""),44719.0)</f>
        <v>44719</v>
      </c>
      <c r="C13645" s="6">
        <f>IFERROR(__xludf.DUMMYFUNCTION("""COMPUTED_VALUE"""),0.7606597222220444)</f>
        <v>0.7606597222</v>
      </c>
      <c r="D13645" s="4">
        <f>IFERROR(__xludf.DUMMYFUNCTION("""COMPUTED_VALUE"""),12.94977)</f>
        <v>12.94977</v>
      </c>
      <c r="E13645" s="4">
        <f>IFERROR(__xludf.DUMMYFUNCTION("""COMPUTED_VALUE"""),80.139089)</f>
        <v>80.139089</v>
      </c>
      <c r="F13645" s="4">
        <f>IFERROR(__xludf.DUMMYFUNCTION("""COMPUTED_VALUE"""),2846.0)</f>
        <v>2846</v>
      </c>
      <c r="G13645" s="4">
        <f>IFERROR(__xludf.DUMMYFUNCTION("""COMPUTED_VALUE"""),32.0)</f>
        <v>32</v>
      </c>
      <c r="H13645" s="4"/>
      <c r="I13645" s="4"/>
    </row>
    <row r="13646">
      <c r="A13646" s="4" t="str">
        <f>IFERROR(__xludf.DUMMYFUNCTION("""COMPUTED_VALUE"""),"cas_hmw")</f>
        <v>cas_hmw</v>
      </c>
      <c r="B13646" s="5">
        <f>IFERROR(__xludf.DUMMYFUNCTION("""COMPUTED_VALUE"""),44719.0)</f>
        <v>44719</v>
      </c>
      <c r="C13646" s="6">
        <f>IFERROR(__xludf.DUMMYFUNCTION("""COMPUTED_VALUE"""),0.7612268518532801)</f>
        <v>0.7612268519</v>
      </c>
      <c r="D13646" s="4">
        <f>IFERROR(__xludf.DUMMYFUNCTION("""COMPUTED_VALUE"""),12.94526)</f>
        <v>12.94526</v>
      </c>
      <c r="E13646" s="4">
        <f>IFERROR(__xludf.DUMMYFUNCTION("""COMPUTED_VALUE"""),80.135588)</f>
        <v>80.135588</v>
      </c>
      <c r="F13646" s="4">
        <f>IFERROR(__xludf.DUMMYFUNCTION("""COMPUTED_VALUE"""),2846.0)</f>
        <v>2846</v>
      </c>
      <c r="G13646" s="4">
        <f>IFERROR(__xludf.DUMMYFUNCTION("""COMPUTED_VALUE"""),53.0)</f>
        <v>53</v>
      </c>
      <c r="H13646" s="4"/>
      <c r="I13646" s="4"/>
    </row>
    <row r="13647">
      <c r="A13647" s="4" t="str">
        <f>IFERROR(__xludf.DUMMYFUNCTION("""COMPUTED_VALUE"""),"cas_hmw")</f>
        <v>cas_hmw</v>
      </c>
      <c r="B13647" s="5">
        <f>IFERROR(__xludf.DUMMYFUNCTION("""COMPUTED_VALUE"""),44719.0)</f>
        <v>44719</v>
      </c>
      <c r="C13647" s="6">
        <f>IFERROR(__xludf.DUMMYFUNCTION("""COMPUTED_VALUE"""),0.7623958333315386)</f>
        <v>0.7623958333</v>
      </c>
      <c r="D13647" s="4">
        <f>IFERROR(__xludf.DUMMYFUNCTION("""COMPUTED_VALUE"""),12.940637)</f>
        <v>12.940637</v>
      </c>
      <c r="E13647" s="4">
        <f>IFERROR(__xludf.DUMMYFUNCTION("""COMPUTED_VALUE"""),80.131249)</f>
        <v>80.131249</v>
      </c>
      <c r="F13647" s="4">
        <f>IFERROR(__xludf.DUMMYFUNCTION("""COMPUTED_VALUE"""),2846.0)</f>
        <v>2846</v>
      </c>
      <c r="G13647" s="4">
        <f>IFERROR(__xludf.DUMMYFUNCTION("""COMPUTED_VALUE"""),50.0)</f>
        <v>50</v>
      </c>
      <c r="H13647" s="4"/>
      <c r="I13647" s="4"/>
    </row>
    <row r="13648">
      <c r="A13648" s="4" t="str">
        <f>IFERROR(__xludf.DUMMYFUNCTION("""COMPUTED_VALUE"""),"cas_hmw")</f>
        <v>cas_hmw</v>
      </c>
      <c r="B13648" s="5">
        <f>IFERROR(__xludf.DUMMYFUNCTION("""COMPUTED_VALUE"""),44719.0)</f>
        <v>44719</v>
      </c>
      <c r="C13648" s="6">
        <f>IFERROR(__xludf.DUMMYFUNCTION("""COMPUTED_VALUE"""),0.7631597222207347)</f>
        <v>0.7631597222</v>
      </c>
      <c r="D13648" s="4">
        <f>IFERROR(__xludf.DUMMYFUNCTION("""COMPUTED_VALUE"""),12.936251)</f>
        <v>12.936251</v>
      </c>
      <c r="E13648" s="4">
        <f>IFERROR(__xludf.DUMMYFUNCTION("""COMPUTED_VALUE"""),80.127341)</f>
        <v>80.127341</v>
      </c>
      <c r="F13648" s="4">
        <f>IFERROR(__xludf.DUMMYFUNCTION("""COMPUTED_VALUE"""),2846.0)</f>
        <v>2846</v>
      </c>
      <c r="G13648" s="4">
        <f>IFERROR(__xludf.DUMMYFUNCTION("""COMPUTED_VALUE"""),0.0)</f>
        <v>0</v>
      </c>
      <c r="H13648" s="4"/>
      <c r="I13648" s="4"/>
    </row>
    <row r="13649">
      <c r="A13649" s="4" t="str">
        <f>IFERROR(__xludf.DUMMYFUNCTION("""COMPUTED_VALUE"""),"cas_hmw")</f>
        <v>cas_hmw</v>
      </c>
      <c r="B13649" s="5">
        <f>IFERROR(__xludf.DUMMYFUNCTION("""COMPUTED_VALUE"""),44719.0)</f>
        <v>44719</v>
      </c>
      <c r="C13649" s="6">
        <f>IFERROR(__xludf.DUMMYFUNCTION("""COMPUTED_VALUE"""),0.7635185185172304)</f>
        <v>0.7635185185</v>
      </c>
      <c r="D13649" s="4">
        <f>IFERROR(__xludf.DUMMYFUNCTION("""COMPUTED_VALUE"""),12.935707)</f>
        <v>12.935707</v>
      </c>
      <c r="E13649" s="4">
        <f>IFERROR(__xludf.DUMMYFUNCTION("""COMPUTED_VALUE"""),80.126806)</f>
        <v>80.126806</v>
      </c>
      <c r="F13649" s="4">
        <f>IFERROR(__xludf.DUMMYFUNCTION("""COMPUTED_VALUE"""),2846.0)</f>
        <v>2846</v>
      </c>
      <c r="G13649" s="4">
        <f>IFERROR(__xludf.DUMMYFUNCTION("""COMPUTED_VALUE"""),27.0)</f>
        <v>27</v>
      </c>
      <c r="H13649" s="4"/>
      <c r="I13649" s="4"/>
    </row>
    <row r="13650">
      <c r="A13650" s="4" t="str">
        <f>IFERROR(__xludf.DUMMYFUNCTION("""COMPUTED_VALUE"""),"cas_hmw")</f>
        <v>cas_hmw</v>
      </c>
      <c r="B13650" s="5">
        <f>IFERROR(__xludf.DUMMYFUNCTION("""COMPUTED_VALUE"""),44719.0)</f>
        <v>44719</v>
      </c>
      <c r="C13650" s="6">
        <f>IFERROR(__xludf.DUMMYFUNCTION("""COMPUTED_VALUE"""),0.7656481481499213)</f>
        <v>0.7656481481</v>
      </c>
      <c r="D13650" s="4">
        <f>IFERROR(__xludf.DUMMYFUNCTION("""COMPUTED_VALUE"""),12.924554)</f>
        <v>12.924554</v>
      </c>
      <c r="E13650" s="4">
        <f>IFERROR(__xludf.DUMMYFUNCTION("""COMPUTED_VALUE"""),80.115758)</f>
        <v>80.115758</v>
      </c>
      <c r="F13650" s="4">
        <f>IFERROR(__xludf.DUMMYFUNCTION("""COMPUTED_VALUE"""),2846.0)</f>
        <v>2846</v>
      </c>
      <c r="G13650" s="4">
        <f>IFERROR(__xludf.DUMMYFUNCTION("""COMPUTED_VALUE"""),45.0)</f>
        <v>45</v>
      </c>
      <c r="H13650" s="4"/>
      <c r="I13650" s="4"/>
    </row>
    <row r="13651">
      <c r="A13651" s="4" t="str">
        <f>IFERROR(__xludf.DUMMYFUNCTION("""COMPUTED_VALUE"""),"cas_hmw")</f>
        <v>cas_hmw</v>
      </c>
      <c r="B13651" s="5">
        <f>IFERROR(__xludf.DUMMYFUNCTION("""COMPUTED_VALUE"""),44719.0)</f>
        <v>44719</v>
      </c>
      <c r="C13651" s="6">
        <f>IFERROR(__xludf.DUMMYFUNCTION("""COMPUTED_VALUE"""),0.765763888888614)</f>
        <v>0.7657638889</v>
      </c>
      <c r="D13651" s="4">
        <f>IFERROR(__xludf.DUMMYFUNCTION("""COMPUTED_VALUE"""),12.923312)</f>
        <v>12.923312</v>
      </c>
      <c r="E13651" s="4">
        <f>IFERROR(__xludf.DUMMYFUNCTION("""COMPUTED_VALUE"""),80.114505)</f>
        <v>80.114505</v>
      </c>
      <c r="F13651" s="4">
        <f>IFERROR(__xludf.DUMMYFUNCTION("""COMPUTED_VALUE"""),2846.0)</f>
        <v>2846</v>
      </c>
      <c r="G13651" s="4">
        <f>IFERROR(__xludf.DUMMYFUNCTION("""COMPUTED_VALUE"""),21.0)</f>
        <v>21</v>
      </c>
      <c r="H13651" s="4"/>
      <c r="I13651" s="4"/>
    </row>
    <row r="13652">
      <c r="A13652" s="4" t="str">
        <f>IFERROR(__xludf.DUMMYFUNCTION("""COMPUTED_VALUE"""),"cas_hmw")</f>
        <v>cas_hmw</v>
      </c>
      <c r="B13652" s="5">
        <f>IFERROR(__xludf.DUMMYFUNCTION("""COMPUTED_VALUE"""),44719.0)</f>
        <v>44719</v>
      </c>
      <c r="C13652" s="6">
        <f>IFERROR(__xludf.DUMMYFUNCTION("""COMPUTED_VALUE"""),0.7658796296309447)</f>
        <v>0.7658796296</v>
      </c>
      <c r="D13652" s="4">
        <f>IFERROR(__xludf.DUMMYFUNCTION("""COMPUTED_VALUE"""),12.92284)</f>
        <v>12.92284</v>
      </c>
      <c r="E13652" s="4">
        <f>IFERROR(__xludf.DUMMYFUNCTION("""COMPUTED_VALUE"""),80.114028)</f>
        <v>80.114028</v>
      </c>
      <c r="F13652" s="4">
        <f>IFERROR(__xludf.DUMMYFUNCTION("""COMPUTED_VALUE"""),2846.0)</f>
        <v>2846</v>
      </c>
      <c r="G13652" s="4">
        <f>IFERROR(__xludf.DUMMYFUNCTION("""COMPUTED_VALUE"""),31.0)</f>
        <v>31</v>
      </c>
      <c r="H13652" s="4"/>
      <c r="I13652" s="4"/>
    </row>
    <row r="13653">
      <c r="A13653" s="4" t="str">
        <f>IFERROR(__xludf.DUMMYFUNCTION("""COMPUTED_VALUE"""),"cas_hmw")</f>
        <v>cas_hmw</v>
      </c>
      <c r="B13653" s="5">
        <f>IFERROR(__xludf.DUMMYFUNCTION("""COMPUTED_VALUE"""),44719.0)</f>
        <v>44719</v>
      </c>
      <c r="C13653" s="6">
        <f>IFERROR(__xludf.DUMMYFUNCTION("""COMPUTED_VALUE"""),0.7714814814826241)</f>
        <v>0.7714814815</v>
      </c>
      <c r="D13653" s="4">
        <f>IFERROR(__xludf.DUMMYFUNCTION("""COMPUTED_VALUE"""),12.896252)</f>
        <v>12.896252</v>
      </c>
      <c r="E13653" s="4">
        <f>IFERROR(__xludf.DUMMYFUNCTION("""COMPUTED_VALUE"""),80.0887)</f>
        <v>80.0887</v>
      </c>
      <c r="F13653" s="4">
        <f>IFERROR(__xludf.DUMMYFUNCTION("""COMPUTED_VALUE"""),2846.0)</f>
        <v>2846</v>
      </c>
      <c r="G13653" s="4">
        <f>IFERROR(__xludf.DUMMYFUNCTION("""COMPUTED_VALUE"""),32.0)</f>
        <v>32</v>
      </c>
      <c r="H13653" s="4"/>
      <c r="I13653" s="4"/>
    </row>
    <row r="13654">
      <c r="A13654" s="4" t="str">
        <f>IFERROR(__xludf.DUMMYFUNCTION("""COMPUTED_VALUE"""),"cas_hmw")</f>
        <v>cas_hmw</v>
      </c>
      <c r="B13654" s="5">
        <f>IFERROR(__xludf.DUMMYFUNCTION("""COMPUTED_VALUE"""),44719.0)</f>
        <v>44719</v>
      </c>
      <c r="C13654" s="6">
        <f>IFERROR(__xludf.DUMMYFUNCTION("""COMPUTED_VALUE"""),0.7740740740737238)</f>
        <v>0.7740740741</v>
      </c>
      <c r="D13654" s="4">
        <f>IFERROR(__xludf.DUMMYFUNCTION("""COMPUTED_VALUE"""),12.879018)</f>
        <v>12.879018</v>
      </c>
      <c r="E13654" s="4">
        <f>IFERROR(__xludf.DUMMYFUNCTION("""COMPUTED_VALUE"""),80.080502)</f>
        <v>80.080502</v>
      </c>
      <c r="F13654" s="4">
        <f>IFERROR(__xludf.DUMMYFUNCTION("""COMPUTED_VALUE"""),2846.0)</f>
        <v>2846</v>
      </c>
      <c r="G13654" s="4">
        <f>IFERROR(__xludf.DUMMYFUNCTION("""COMPUTED_VALUE"""),8.0)</f>
        <v>8</v>
      </c>
      <c r="H13654" s="4"/>
      <c r="I13654" s="4"/>
    </row>
    <row r="13655">
      <c r="A13655" s="4" t="str">
        <f>IFERROR(__xludf.DUMMYFUNCTION("""COMPUTED_VALUE"""),"cas_hmw")</f>
        <v>cas_hmw</v>
      </c>
      <c r="B13655" s="5">
        <f>IFERROR(__xludf.DUMMYFUNCTION("""COMPUTED_VALUE"""),44720.0)</f>
        <v>44720</v>
      </c>
      <c r="C13655" s="6">
        <f>IFERROR(__xludf.DUMMYFUNCTION("""COMPUTED_VALUE"""),0.2646064814798592)</f>
        <v>0.2646064815</v>
      </c>
      <c r="D13655" s="4">
        <f>IFERROR(__xludf.DUMMYFUNCTION("""COMPUTED_VALUE"""),12.90139)</f>
        <v>12.90139</v>
      </c>
      <c r="E13655" s="4">
        <f>IFERROR(__xludf.DUMMYFUNCTION("""COMPUTED_VALUE"""),80.092358)</f>
        <v>80.092358</v>
      </c>
      <c r="F13655" s="4">
        <f>IFERROR(__xludf.DUMMYFUNCTION("""COMPUTED_VALUE"""),3143.0)</f>
        <v>3143</v>
      </c>
      <c r="G13655" s="4">
        <f>IFERROR(__xludf.DUMMYFUNCTION("""COMPUTED_VALUE"""),54.0)</f>
        <v>54</v>
      </c>
      <c r="H13655" s="4"/>
      <c r="I13655" s="4"/>
    </row>
    <row r="13656">
      <c r="A13656" s="4" t="str">
        <f>IFERROR(__xludf.DUMMYFUNCTION("""COMPUTED_VALUE"""),"cas_hmw")</f>
        <v>cas_hmw</v>
      </c>
      <c r="B13656" s="5">
        <f>IFERROR(__xludf.DUMMYFUNCTION("""COMPUTED_VALUE"""),44720.0)</f>
        <v>44720</v>
      </c>
      <c r="C13656" s="6">
        <f>IFERROR(__xludf.DUMMYFUNCTION("""COMPUTED_VALUE"""),0.26483796296452056)</f>
        <v>0.264837963</v>
      </c>
      <c r="D13656" s="4">
        <f>IFERROR(__xludf.DUMMYFUNCTION("""COMPUTED_VALUE"""),12.903219)</f>
        <v>12.903219</v>
      </c>
      <c r="E13656" s="4">
        <f>IFERROR(__xludf.DUMMYFUNCTION("""COMPUTED_VALUE"""),80.093749)</f>
        <v>80.093749</v>
      </c>
      <c r="F13656" s="4">
        <f>IFERROR(__xludf.DUMMYFUNCTION("""COMPUTED_VALUE"""),3143.0)</f>
        <v>3143</v>
      </c>
      <c r="G13656" s="4">
        <f>IFERROR(__xludf.DUMMYFUNCTION("""COMPUTED_VALUE"""),44.0)</f>
        <v>44</v>
      </c>
      <c r="H13656" s="4"/>
      <c r="I13656" s="4"/>
    </row>
    <row r="13657">
      <c r="A13657" s="4" t="str">
        <f>IFERROR(__xludf.DUMMYFUNCTION("""COMPUTED_VALUE"""),"cas_hmw")</f>
        <v>cas_hmw</v>
      </c>
      <c r="B13657" s="5">
        <f>IFERROR(__xludf.DUMMYFUNCTION("""COMPUTED_VALUE"""),44720.0)</f>
        <v>44720</v>
      </c>
      <c r="C13657" s="6">
        <f>IFERROR(__xludf.DUMMYFUNCTION("""COMPUTED_VALUE"""),0.26607638888890506)</f>
        <v>0.2660763889</v>
      </c>
      <c r="D13657" s="4">
        <f>IFERROR(__xludf.DUMMYFUNCTION("""COMPUTED_VALUE"""),12.91118)</f>
        <v>12.91118</v>
      </c>
      <c r="E13657" s="4">
        <f>IFERROR(__xludf.DUMMYFUNCTION("""COMPUTED_VALUE"""),80.101158)</f>
        <v>80.101158</v>
      </c>
      <c r="F13657" s="4">
        <f>IFERROR(__xludf.DUMMYFUNCTION("""COMPUTED_VALUE"""),3143.0)</f>
        <v>3143</v>
      </c>
      <c r="G13657" s="4">
        <f>IFERROR(__xludf.DUMMYFUNCTION("""COMPUTED_VALUE"""),39.0)</f>
        <v>39</v>
      </c>
      <c r="H13657" s="4"/>
      <c r="I13657" s="4"/>
    </row>
    <row r="13658">
      <c r="A13658" s="4" t="str">
        <f>IFERROR(__xludf.DUMMYFUNCTION("""COMPUTED_VALUE"""),"cas_hmw")</f>
        <v>cas_hmw</v>
      </c>
      <c r="B13658" s="5">
        <f>IFERROR(__xludf.DUMMYFUNCTION("""COMPUTED_VALUE"""),44720.0)</f>
        <v>44720</v>
      </c>
      <c r="C13658" s="6">
        <f>IFERROR(__xludf.DUMMYFUNCTION("""COMPUTED_VALUE"""),0.27745370370394085)</f>
        <v>0.2774537037</v>
      </c>
      <c r="D13658" s="4">
        <f>IFERROR(__xludf.DUMMYFUNCTION("""COMPUTED_VALUE"""),12.893442)</f>
        <v>12.893442</v>
      </c>
      <c r="E13658" s="4">
        <f>IFERROR(__xludf.DUMMYFUNCTION("""COMPUTED_VALUE"""),80.086435)</f>
        <v>80.086435</v>
      </c>
      <c r="F13658" s="4">
        <f>IFERROR(__xludf.DUMMYFUNCTION("""COMPUTED_VALUE"""),2846.0)</f>
        <v>2846</v>
      </c>
      <c r="G13658" s="4">
        <f>IFERROR(__xludf.DUMMYFUNCTION("""COMPUTED_VALUE"""),54.0)</f>
        <v>54</v>
      </c>
      <c r="H13658" s="4"/>
      <c r="I13658" s="4"/>
    </row>
    <row r="13659">
      <c r="A13659" s="4" t="str">
        <f>IFERROR(__xludf.DUMMYFUNCTION("""COMPUTED_VALUE"""),"cas_hmw")</f>
        <v>cas_hmw</v>
      </c>
      <c r="B13659" s="5">
        <f>IFERROR(__xludf.DUMMYFUNCTION("""COMPUTED_VALUE"""),44720.0)</f>
        <v>44720</v>
      </c>
      <c r="C13659" s="6">
        <f>IFERROR(__xludf.DUMMYFUNCTION("""COMPUTED_VALUE"""),0.27833333333182964)</f>
        <v>0.2783333333</v>
      </c>
      <c r="D13659" s="4">
        <f>IFERROR(__xludf.DUMMYFUNCTION("""COMPUTED_VALUE"""),12.901451)</f>
        <v>12.901451</v>
      </c>
      <c r="E13659" s="4">
        <f>IFERROR(__xludf.DUMMYFUNCTION("""COMPUTED_VALUE"""),80.092473)</f>
        <v>80.092473</v>
      </c>
      <c r="F13659" s="4">
        <f>IFERROR(__xludf.DUMMYFUNCTION("""COMPUTED_VALUE"""),2846.0)</f>
        <v>2846</v>
      </c>
      <c r="G13659" s="4">
        <f>IFERROR(__xludf.DUMMYFUNCTION("""COMPUTED_VALUE"""),59.0)</f>
        <v>59</v>
      </c>
      <c r="H13659" s="4"/>
      <c r="I13659" s="4"/>
    </row>
    <row r="13660">
      <c r="A13660" s="4" t="str">
        <f>IFERROR(__xludf.DUMMYFUNCTION("""COMPUTED_VALUE"""),"cas_hmw")</f>
        <v>cas_hmw</v>
      </c>
      <c r="B13660" s="5">
        <f>IFERROR(__xludf.DUMMYFUNCTION("""COMPUTED_VALUE"""),44720.0)</f>
        <v>44720</v>
      </c>
      <c r="C13660" s="6">
        <f>IFERROR(__xludf.DUMMYFUNCTION("""COMPUTED_VALUE"""),0.2793634259251121)</f>
        <v>0.2793634259</v>
      </c>
      <c r="D13660" s="4">
        <f>IFERROR(__xludf.DUMMYFUNCTION("""COMPUTED_VALUE"""),12.909152)</f>
        <v>12.909152</v>
      </c>
      <c r="E13660" s="4">
        <f>IFERROR(__xludf.DUMMYFUNCTION("""COMPUTED_VALUE"""),80.098565)</f>
        <v>80.098565</v>
      </c>
      <c r="F13660" s="4">
        <f>IFERROR(__xludf.DUMMYFUNCTION("""COMPUTED_VALUE"""),2846.0)</f>
        <v>2846</v>
      </c>
      <c r="G13660" s="4">
        <f>IFERROR(__xludf.DUMMYFUNCTION("""COMPUTED_VALUE"""),11.0)</f>
        <v>11</v>
      </c>
      <c r="H13660" s="4"/>
      <c r="I13660" s="4"/>
    </row>
    <row r="13661">
      <c r="A13661" s="4" t="str">
        <f>IFERROR(__xludf.DUMMYFUNCTION("""COMPUTED_VALUE"""),"cas_hmw")</f>
        <v>cas_hmw</v>
      </c>
      <c r="B13661" s="5">
        <f>IFERROR(__xludf.DUMMYFUNCTION("""COMPUTED_VALUE"""),44720.0)</f>
        <v>44720</v>
      </c>
      <c r="C13661" s="6">
        <f>IFERROR(__xludf.DUMMYFUNCTION("""COMPUTED_VALUE"""),0.28040509259153623)</f>
        <v>0.2804050926</v>
      </c>
      <c r="D13661" s="4">
        <f>IFERROR(__xludf.DUMMYFUNCTION("""COMPUTED_VALUE"""),13.05636)</f>
        <v>13.05636</v>
      </c>
      <c r="E13661" s="4">
        <f>IFERROR(__xludf.DUMMYFUNCTION("""COMPUTED_VALUE"""),80.158655)</f>
        <v>80.158655</v>
      </c>
      <c r="F13661" s="4">
        <f>IFERROR(__xludf.DUMMYFUNCTION("""COMPUTED_VALUE"""),3143.0)</f>
        <v>3143</v>
      </c>
      <c r="G13661" s="4">
        <f>IFERROR(__xludf.DUMMYFUNCTION("""COMPUTED_VALUE"""),58.0)</f>
        <v>58</v>
      </c>
      <c r="H13661" s="4"/>
      <c r="I13661" s="4"/>
    </row>
    <row r="13662">
      <c r="A13662" s="4" t="str">
        <f>IFERROR(__xludf.DUMMYFUNCTION("""COMPUTED_VALUE"""),"cas_hmw")</f>
        <v>cas_hmw</v>
      </c>
      <c r="B13662" s="5">
        <f>IFERROR(__xludf.DUMMYFUNCTION("""COMPUTED_VALUE"""),44720.0)</f>
        <v>44720</v>
      </c>
      <c r="C13662" s="6">
        <f>IFERROR(__xludf.DUMMYFUNCTION("""COMPUTED_VALUE"""),0.28214120370466844)</f>
        <v>0.2821412037</v>
      </c>
      <c r="D13662" s="4">
        <f>IFERROR(__xludf.DUMMYFUNCTION("""COMPUTED_VALUE"""),13.063163)</f>
        <v>13.063163</v>
      </c>
      <c r="E13662" s="4">
        <f>IFERROR(__xludf.DUMMYFUNCTION("""COMPUTED_VALUE"""),80.166942)</f>
        <v>80.166942</v>
      </c>
      <c r="F13662" s="4">
        <f>IFERROR(__xludf.DUMMYFUNCTION("""COMPUTED_VALUE"""),3143.0)</f>
        <v>3143</v>
      </c>
      <c r="G13662" s="4">
        <f>IFERROR(__xludf.DUMMYFUNCTION("""COMPUTED_VALUE"""),45.0)</f>
        <v>45</v>
      </c>
      <c r="H13662" s="4"/>
      <c r="I13662" s="4"/>
    </row>
    <row r="13663">
      <c r="A13663" s="4" t="str">
        <f>IFERROR(__xludf.DUMMYFUNCTION("""COMPUTED_VALUE"""),"cas_hmw")</f>
        <v>cas_hmw</v>
      </c>
      <c r="B13663" s="5">
        <f>IFERROR(__xludf.DUMMYFUNCTION("""COMPUTED_VALUE"""),44720.0)</f>
        <v>44720</v>
      </c>
      <c r="C13663" s="6">
        <f>IFERROR(__xludf.DUMMYFUNCTION("""COMPUTED_VALUE"""),0.2828125000014552)</f>
        <v>0.2828125</v>
      </c>
      <c r="D13663" s="4">
        <f>IFERROR(__xludf.DUMMYFUNCTION("""COMPUTED_VALUE"""),12.928438)</f>
        <v>12.928438</v>
      </c>
      <c r="E13663" s="4">
        <f>IFERROR(__xludf.DUMMYFUNCTION("""COMPUTED_VALUE"""),80.119583)</f>
        <v>80.119583</v>
      </c>
      <c r="F13663" s="4">
        <f>IFERROR(__xludf.DUMMYFUNCTION("""COMPUTED_VALUE"""),2846.0)</f>
        <v>2846</v>
      </c>
      <c r="G13663" s="4">
        <f>IFERROR(__xludf.DUMMYFUNCTION("""COMPUTED_VALUE"""),38.0)</f>
        <v>38</v>
      </c>
      <c r="H13663" s="4"/>
      <c r="I13663" s="4"/>
    </row>
    <row r="13664">
      <c r="A13664" s="4" t="str">
        <f>IFERROR(__xludf.DUMMYFUNCTION("""COMPUTED_VALUE"""),"cas_hmw")</f>
        <v>cas_hmw</v>
      </c>
      <c r="B13664" s="5">
        <f>IFERROR(__xludf.DUMMYFUNCTION("""COMPUTED_VALUE"""),44720.0)</f>
        <v>44720</v>
      </c>
      <c r="C13664" s="6">
        <f>IFERROR(__xludf.DUMMYFUNCTION("""COMPUTED_VALUE"""),0.2832754629635019)</f>
        <v>0.283275463</v>
      </c>
      <c r="D13664" s="4">
        <f>IFERROR(__xludf.DUMMYFUNCTION("""COMPUTED_VALUE"""),12.930095)</f>
        <v>12.930095</v>
      </c>
      <c r="E13664" s="4">
        <f>IFERROR(__xludf.DUMMYFUNCTION("""COMPUTED_VALUE"""),80.121162)</f>
        <v>80.121162</v>
      </c>
      <c r="F13664" s="4">
        <f>IFERROR(__xludf.DUMMYFUNCTION("""COMPUTED_VALUE"""),2846.0)</f>
        <v>2846</v>
      </c>
      <c r="G13664" s="4">
        <f>IFERROR(__xludf.DUMMYFUNCTION("""COMPUTED_VALUE"""),24.0)</f>
        <v>24</v>
      </c>
      <c r="H13664" s="4"/>
      <c r="I13664" s="4"/>
    </row>
    <row r="13665">
      <c r="A13665" s="4" t="str">
        <f>IFERROR(__xludf.DUMMYFUNCTION("""COMPUTED_VALUE"""),"cas_hmw")</f>
        <v>cas_hmw</v>
      </c>
      <c r="B13665" s="5">
        <f>IFERROR(__xludf.DUMMYFUNCTION("""COMPUTED_VALUE"""),44720.0)</f>
        <v>44720</v>
      </c>
      <c r="C13665" s="6">
        <f>IFERROR(__xludf.DUMMYFUNCTION("""COMPUTED_VALUE"""),0.2833217592597066)</f>
        <v>0.2833217593</v>
      </c>
      <c r="D13665" s="4">
        <f>IFERROR(__xludf.DUMMYFUNCTION("""COMPUTED_VALUE"""),12.930095)</f>
        <v>12.930095</v>
      </c>
      <c r="E13665" s="4">
        <f>IFERROR(__xludf.DUMMYFUNCTION("""COMPUTED_VALUE"""),80.121162)</f>
        <v>80.121162</v>
      </c>
      <c r="F13665" s="4">
        <f>IFERROR(__xludf.DUMMYFUNCTION("""COMPUTED_VALUE"""),2846.0)</f>
        <v>2846</v>
      </c>
      <c r="G13665" s="4">
        <f>IFERROR(__xludf.DUMMYFUNCTION("""COMPUTED_VALUE"""),24.0)</f>
        <v>24</v>
      </c>
      <c r="H13665" s="4"/>
      <c r="I13665" s="4"/>
    </row>
    <row r="13666">
      <c r="A13666" s="4" t="str">
        <f>IFERROR(__xludf.DUMMYFUNCTION("""COMPUTED_VALUE"""),"cas_hmw")</f>
        <v>cas_hmw</v>
      </c>
      <c r="B13666" s="5">
        <f>IFERROR(__xludf.DUMMYFUNCTION("""COMPUTED_VALUE"""),44720.0)</f>
        <v>44720</v>
      </c>
      <c r="C13666" s="6">
        <f>IFERROR(__xludf.DUMMYFUNCTION("""COMPUTED_VALUE"""),0.28351851851766696)</f>
        <v>0.2835185185</v>
      </c>
      <c r="D13666" s="4">
        <f>IFERROR(__xludf.DUMMYFUNCTION("""COMPUTED_VALUE"""),12.9313)</f>
        <v>12.9313</v>
      </c>
      <c r="E13666" s="4">
        <f>IFERROR(__xludf.DUMMYFUNCTION("""COMPUTED_VALUE"""),80.122433)</f>
        <v>80.122433</v>
      </c>
      <c r="F13666" s="4">
        <f>IFERROR(__xludf.DUMMYFUNCTION("""COMPUTED_VALUE"""),2846.0)</f>
        <v>2846</v>
      </c>
      <c r="G13666" s="4">
        <f>IFERROR(__xludf.DUMMYFUNCTION("""COMPUTED_VALUE"""),34.0)</f>
        <v>34</v>
      </c>
      <c r="H13666" s="4"/>
      <c r="I13666" s="4"/>
    </row>
    <row r="13667">
      <c r="A13667" s="4" t="str">
        <f>IFERROR(__xludf.DUMMYFUNCTION("""COMPUTED_VALUE"""),"cas_hmw")</f>
        <v>cas_hmw</v>
      </c>
      <c r="B13667" s="5">
        <f>IFERROR(__xludf.DUMMYFUNCTION("""COMPUTED_VALUE"""),44720.0)</f>
        <v>44720</v>
      </c>
      <c r="C13667" s="6">
        <f>IFERROR(__xludf.DUMMYFUNCTION("""COMPUTED_VALUE"""),0.283692129629344)</f>
        <v>0.2836921296</v>
      </c>
      <c r="D13667" s="4">
        <f>IFERROR(__xludf.DUMMYFUNCTION("""COMPUTED_VALUE"""),12.931879)</f>
        <v>12.931879</v>
      </c>
      <c r="E13667" s="4">
        <f>IFERROR(__xludf.DUMMYFUNCTION("""COMPUTED_VALUE"""),80.122992)</f>
        <v>80.122992</v>
      </c>
      <c r="F13667" s="4">
        <f>IFERROR(__xludf.DUMMYFUNCTION("""COMPUTED_VALUE"""),2846.0)</f>
        <v>2846</v>
      </c>
      <c r="G13667" s="4">
        <f>IFERROR(__xludf.DUMMYFUNCTION("""COMPUTED_VALUE"""),37.0)</f>
        <v>37</v>
      </c>
      <c r="H13667" s="4"/>
      <c r="I13667" s="4"/>
    </row>
    <row r="13668">
      <c r="A13668" s="4" t="str">
        <f>IFERROR(__xludf.DUMMYFUNCTION("""COMPUTED_VALUE"""),"cas_hmw")</f>
        <v>cas_hmw</v>
      </c>
      <c r="B13668" s="5">
        <f>IFERROR(__xludf.DUMMYFUNCTION("""COMPUTED_VALUE"""),44720.0)</f>
        <v>44720</v>
      </c>
      <c r="C13668" s="6">
        <f>IFERROR(__xludf.DUMMYFUNCTION("""COMPUTED_VALUE"""),0.2843749999992724)</f>
        <v>0.284375</v>
      </c>
      <c r="D13668" s="4">
        <f>IFERROR(__xludf.DUMMYFUNCTION("""COMPUTED_VALUE"""),13.070246)</f>
        <v>13.070246</v>
      </c>
      <c r="E13668" s="4">
        <f>IFERROR(__xludf.DUMMYFUNCTION("""COMPUTED_VALUE"""),80.182138)</f>
        <v>80.182138</v>
      </c>
      <c r="F13668" s="4">
        <f>IFERROR(__xludf.DUMMYFUNCTION("""COMPUTED_VALUE"""),3143.0)</f>
        <v>3143</v>
      </c>
      <c r="G13668" s="4">
        <f>IFERROR(__xludf.DUMMYFUNCTION("""COMPUTED_VALUE"""),0.0)</f>
        <v>0</v>
      </c>
      <c r="H13668" s="4"/>
      <c r="I13668" s="4"/>
    </row>
    <row r="13669">
      <c r="A13669" s="4" t="str">
        <f>IFERROR(__xludf.DUMMYFUNCTION("""COMPUTED_VALUE"""),"cas_hmw")</f>
        <v>cas_hmw</v>
      </c>
      <c r="B13669" s="5">
        <f>IFERROR(__xludf.DUMMYFUNCTION("""COMPUTED_VALUE"""),44720.0)</f>
        <v>44720</v>
      </c>
      <c r="C13669" s="6">
        <f>IFERROR(__xludf.DUMMYFUNCTION("""COMPUTED_VALUE"""),0.28453703703780775)</f>
        <v>0.284537037</v>
      </c>
      <c r="D13669" s="4">
        <f>IFERROR(__xludf.DUMMYFUNCTION("""COMPUTED_VALUE"""),13.070286)</f>
        <v>13.070286</v>
      </c>
      <c r="E13669" s="4">
        <f>IFERROR(__xludf.DUMMYFUNCTION("""COMPUTED_VALUE"""),80.182209)</f>
        <v>80.182209</v>
      </c>
      <c r="F13669" s="4">
        <f>IFERROR(__xludf.DUMMYFUNCTION("""COMPUTED_VALUE"""),3143.0)</f>
        <v>3143</v>
      </c>
      <c r="G13669" s="4">
        <f>IFERROR(__xludf.DUMMYFUNCTION("""COMPUTED_VALUE"""),11.0)</f>
        <v>11</v>
      </c>
      <c r="H13669" s="4"/>
      <c r="I13669" s="4"/>
    </row>
    <row r="13670">
      <c r="A13670" s="4" t="str">
        <f>IFERROR(__xludf.DUMMYFUNCTION("""COMPUTED_VALUE"""),"cas_hmw")</f>
        <v>cas_hmw</v>
      </c>
      <c r="B13670" s="5">
        <f>IFERROR(__xludf.DUMMYFUNCTION("""COMPUTED_VALUE"""),44720.0)</f>
        <v>44720</v>
      </c>
      <c r="C13670" s="6">
        <f>IFERROR(__xludf.DUMMYFUNCTION("""COMPUTED_VALUE"""),0.28471064814948477)</f>
        <v>0.2847106481</v>
      </c>
      <c r="D13670" s="4">
        <f>IFERROR(__xludf.DUMMYFUNCTION("""COMPUTED_VALUE"""),12.939856)</f>
        <v>12.939856</v>
      </c>
      <c r="E13670" s="4">
        <f>IFERROR(__xludf.DUMMYFUNCTION("""COMPUTED_VALUE"""),80.130303)</f>
        <v>80.130303</v>
      </c>
      <c r="F13670" s="4">
        <f>IFERROR(__xludf.DUMMYFUNCTION("""COMPUTED_VALUE"""),2846.0)</f>
        <v>2846</v>
      </c>
      <c r="G13670" s="4">
        <f>IFERROR(__xludf.DUMMYFUNCTION("""COMPUTED_VALUE"""),59.0)</f>
        <v>59</v>
      </c>
      <c r="H13670" s="4"/>
      <c r="I13670" s="4"/>
    </row>
    <row r="13671">
      <c r="A13671" s="4" t="str">
        <f>IFERROR(__xludf.DUMMYFUNCTION("""COMPUTED_VALUE"""),"cas_hmw")</f>
        <v>cas_hmw</v>
      </c>
      <c r="B13671" s="5">
        <f>IFERROR(__xludf.DUMMYFUNCTION("""COMPUTED_VALUE"""),44720.0)</f>
        <v>44720</v>
      </c>
      <c r="C13671" s="6">
        <f>IFERROR(__xludf.DUMMYFUNCTION("""COMPUTED_VALUE"""),0.28482638888817746)</f>
        <v>0.2848263889</v>
      </c>
      <c r="D13671" s="4">
        <f>IFERROR(__xludf.DUMMYFUNCTION("""COMPUTED_VALUE"""),12.940891)</f>
        <v>12.940891</v>
      </c>
      <c r="E13671" s="4">
        <f>IFERROR(__xludf.DUMMYFUNCTION("""COMPUTED_VALUE"""),80.131381)</f>
        <v>80.131381</v>
      </c>
      <c r="F13671" s="4">
        <f>IFERROR(__xludf.DUMMYFUNCTION("""COMPUTED_VALUE"""),2846.0)</f>
        <v>2846</v>
      </c>
      <c r="G13671" s="4">
        <f>IFERROR(__xludf.DUMMYFUNCTION("""COMPUTED_VALUE"""),58.0)</f>
        <v>58</v>
      </c>
      <c r="H13671" s="4"/>
      <c r="I13671" s="4"/>
    </row>
    <row r="13672">
      <c r="A13672" s="4" t="str">
        <f>IFERROR(__xludf.DUMMYFUNCTION("""COMPUTED_VALUE"""),"cas_hmw")</f>
        <v>cas_hmw</v>
      </c>
      <c r="B13672" s="5">
        <f>IFERROR(__xludf.DUMMYFUNCTION("""COMPUTED_VALUE"""),44720.0)</f>
        <v>44720</v>
      </c>
      <c r="C13672" s="6">
        <f>IFERROR(__xludf.DUMMYFUNCTION("""COMPUTED_VALUE"""),0.28635416666656965)</f>
        <v>0.2863541667</v>
      </c>
      <c r="D13672" s="4">
        <f>IFERROR(__xludf.DUMMYFUNCTION("""COMPUTED_VALUE"""),12.952561)</f>
        <v>12.952561</v>
      </c>
      <c r="E13672" s="4">
        <f>IFERROR(__xludf.DUMMYFUNCTION("""COMPUTED_VALUE"""),80.141101)</f>
        <v>80.141101</v>
      </c>
      <c r="F13672" s="4">
        <f>IFERROR(__xludf.DUMMYFUNCTION("""COMPUTED_VALUE"""),2846.0)</f>
        <v>2846</v>
      </c>
      <c r="G13672" s="4">
        <f>IFERROR(__xludf.DUMMYFUNCTION("""COMPUTED_VALUE"""),40.0)</f>
        <v>40</v>
      </c>
      <c r="H13672" s="4"/>
      <c r="I13672" s="4"/>
    </row>
    <row r="13673">
      <c r="A13673" s="4" t="str">
        <f>IFERROR(__xludf.DUMMYFUNCTION("""COMPUTED_VALUE"""),"cas_hmw")</f>
        <v>cas_hmw</v>
      </c>
      <c r="B13673" s="5">
        <f>IFERROR(__xludf.DUMMYFUNCTION("""COMPUTED_VALUE"""),44720.0)</f>
        <v>44720</v>
      </c>
      <c r="C13673" s="6">
        <f>IFERROR(__xludf.DUMMYFUNCTION("""COMPUTED_VALUE"""),0.2935300925928459)</f>
        <v>0.2935300926</v>
      </c>
      <c r="D13673" s="4">
        <f>IFERROR(__xludf.DUMMYFUNCTION("""COMPUTED_VALUE"""),13.08788)</f>
        <v>13.08788</v>
      </c>
      <c r="E13673" s="4">
        <f>IFERROR(__xludf.DUMMYFUNCTION("""COMPUTED_VALUE"""),80.21805)</f>
        <v>80.21805</v>
      </c>
      <c r="F13673" s="4">
        <f>IFERROR(__xludf.DUMMYFUNCTION("""COMPUTED_VALUE"""),3143.0)</f>
        <v>3143</v>
      </c>
      <c r="G13673" s="4">
        <f>IFERROR(__xludf.DUMMYFUNCTION("""COMPUTED_VALUE"""),42.0)</f>
        <v>42</v>
      </c>
      <c r="H13673" s="4"/>
      <c r="I13673" s="4"/>
    </row>
    <row r="13674">
      <c r="A13674" s="4" t="str">
        <f>IFERROR(__xludf.DUMMYFUNCTION("""COMPUTED_VALUE"""),"cas_hmw")</f>
        <v>cas_hmw</v>
      </c>
      <c r="B13674" s="5">
        <f>IFERROR(__xludf.DUMMYFUNCTION("""COMPUTED_VALUE"""),44720.0)</f>
        <v>44720</v>
      </c>
      <c r="C13674" s="6">
        <f>IFERROR(__xludf.DUMMYFUNCTION("""COMPUTED_VALUE"""),0.2954861111102218)</f>
        <v>0.2954861111</v>
      </c>
      <c r="D13674" s="4">
        <f>IFERROR(__xludf.DUMMYFUNCTION("""COMPUTED_VALUE"""),12.957114)</f>
        <v>12.957114</v>
      </c>
      <c r="E13674" s="4">
        <f>IFERROR(__xludf.DUMMYFUNCTION("""COMPUTED_VALUE"""),80.213342)</f>
        <v>80.213342</v>
      </c>
      <c r="F13674" s="4">
        <f>IFERROR(__xludf.DUMMYFUNCTION("""COMPUTED_VALUE"""),2846.0)</f>
        <v>2846</v>
      </c>
      <c r="G13674" s="4">
        <f>IFERROR(__xludf.DUMMYFUNCTION("""COMPUTED_VALUE"""),54.0)</f>
        <v>54</v>
      </c>
      <c r="H13674" s="4"/>
      <c r="I13674" s="4"/>
    </row>
    <row r="13675">
      <c r="A13675" s="4" t="str">
        <f>IFERROR(__xludf.DUMMYFUNCTION("""COMPUTED_VALUE"""),"cas_hmw")</f>
        <v>cas_hmw</v>
      </c>
      <c r="B13675" s="5">
        <f>IFERROR(__xludf.DUMMYFUNCTION("""COMPUTED_VALUE"""),44720.0)</f>
        <v>44720</v>
      </c>
      <c r="C13675" s="6">
        <f>IFERROR(__xludf.DUMMYFUNCTION("""COMPUTED_VALUE"""),0.2957407407411665)</f>
        <v>0.2957407407</v>
      </c>
      <c r="D13675" s="4">
        <f>IFERROR(__xludf.DUMMYFUNCTION("""COMPUTED_VALUE"""),12.959339)</f>
        <v>12.959339</v>
      </c>
      <c r="E13675" s="4">
        <f>IFERROR(__xludf.DUMMYFUNCTION("""COMPUTED_VALUE"""),80.214232)</f>
        <v>80.214232</v>
      </c>
      <c r="F13675" s="4">
        <f>IFERROR(__xludf.DUMMYFUNCTION("""COMPUTED_VALUE"""),2846.0)</f>
        <v>2846</v>
      </c>
      <c r="G13675" s="4">
        <f>IFERROR(__xludf.DUMMYFUNCTION("""COMPUTED_VALUE"""),47.0)</f>
        <v>47</v>
      </c>
      <c r="H13675" s="4"/>
      <c r="I13675" s="4"/>
    </row>
    <row r="13676">
      <c r="A13676" s="4" t="str">
        <f>IFERROR(__xludf.DUMMYFUNCTION("""COMPUTED_VALUE"""),"cas_hmw")</f>
        <v>cas_hmw</v>
      </c>
      <c r="B13676" s="5">
        <f>IFERROR(__xludf.DUMMYFUNCTION("""COMPUTED_VALUE"""),44720.0)</f>
        <v>44720</v>
      </c>
      <c r="C13676" s="6">
        <f>IFERROR(__xludf.DUMMYFUNCTION("""COMPUTED_VALUE"""),0.29641203703795327)</f>
        <v>0.296412037</v>
      </c>
      <c r="D13676" s="4">
        <f>IFERROR(__xludf.DUMMYFUNCTION("""COMPUTED_VALUE"""),13.067987)</f>
        <v>13.067987</v>
      </c>
      <c r="E13676" s="4">
        <f>IFERROR(__xludf.DUMMYFUNCTION("""COMPUTED_VALUE"""),80.246846)</f>
        <v>80.246846</v>
      </c>
      <c r="F13676" s="4">
        <f>IFERROR(__xludf.DUMMYFUNCTION("""COMPUTED_VALUE"""),805.0)</f>
        <v>805</v>
      </c>
      <c r="G13676" s="4">
        <f>IFERROR(__xludf.DUMMYFUNCTION("""COMPUTED_VALUE"""),35.0)</f>
        <v>35</v>
      </c>
      <c r="H13676" s="4"/>
      <c r="I13676" s="4"/>
    </row>
    <row r="13677">
      <c r="A13677" s="4" t="str">
        <f>IFERROR(__xludf.DUMMYFUNCTION("""COMPUTED_VALUE"""),"cas_hmw")</f>
        <v>cas_hmw</v>
      </c>
      <c r="B13677" s="5">
        <f>IFERROR(__xludf.DUMMYFUNCTION("""COMPUTED_VALUE"""),44720.0)</f>
        <v>44720</v>
      </c>
      <c r="C13677" s="6">
        <f>IFERROR(__xludf.DUMMYFUNCTION("""COMPUTED_VALUE"""),0.29768518518540077)</f>
        <v>0.2976851852</v>
      </c>
      <c r="D13677" s="4">
        <f>IFERROR(__xludf.DUMMYFUNCTION("""COMPUTED_VALUE"""),12.972535)</f>
        <v>12.972535</v>
      </c>
      <c r="E13677" s="4">
        <f>IFERROR(__xludf.DUMMYFUNCTION("""COMPUTED_VALUE"""),80.219495)</f>
        <v>80.219495</v>
      </c>
      <c r="F13677" s="4">
        <f>IFERROR(__xludf.DUMMYFUNCTION("""COMPUTED_VALUE"""),2846.0)</f>
        <v>2846</v>
      </c>
      <c r="G13677" s="4">
        <f>IFERROR(__xludf.DUMMYFUNCTION("""COMPUTED_VALUE"""),51.0)</f>
        <v>51</v>
      </c>
      <c r="H13677" s="4"/>
      <c r="I13677" s="4"/>
    </row>
    <row r="13678">
      <c r="A13678" s="4" t="str">
        <f>IFERROR(__xludf.DUMMYFUNCTION("""COMPUTED_VALUE"""),"cas_hmw")</f>
        <v>cas_hmw</v>
      </c>
      <c r="B13678" s="5">
        <f>IFERROR(__xludf.DUMMYFUNCTION("""COMPUTED_VALUE"""),44720.0)</f>
        <v>44720</v>
      </c>
      <c r="C13678" s="6">
        <f>IFERROR(__xludf.DUMMYFUNCTION("""COMPUTED_VALUE"""),0.30190972222044365)</f>
        <v>0.3019097222</v>
      </c>
      <c r="D13678" s="4">
        <f>IFERROR(__xludf.DUMMYFUNCTION("""COMPUTED_VALUE"""),13.07072)</f>
        <v>13.07072</v>
      </c>
      <c r="E13678" s="4">
        <f>IFERROR(__xludf.DUMMYFUNCTION("""COMPUTED_VALUE"""),80.26559)</f>
        <v>80.26559</v>
      </c>
      <c r="F13678" s="4">
        <f>IFERROR(__xludf.DUMMYFUNCTION("""COMPUTED_VALUE"""),805.0)</f>
        <v>805</v>
      </c>
      <c r="G13678" s="4">
        <f>IFERROR(__xludf.DUMMYFUNCTION("""COMPUTED_VALUE"""),34.0)</f>
        <v>34</v>
      </c>
      <c r="H13678" s="4"/>
      <c r="I13678" s="4"/>
    </row>
    <row r="13679">
      <c r="A13679" s="4" t="str">
        <f>IFERROR(__xludf.DUMMYFUNCTION("""COMPUTED_VALUE"""),"cas_hmw")</f>
        <v>cas_hmw</v>
      </c>
      <c r="B13679" s="5">
        <f>IFERROR(__xludf.DUMMYFUNCTION("""COMPUTED_VALUE"""),44720.0)</f>
        <v>44720</v>
      </c>
      <c r="C13679" s="6">
        <f>IFERROR(__xludf.DUMMYFUNCTION("""COMPUTED_VALUE"""),0.3024305555554747)</f>
        <v>0.3024305556</v>
      </c>
      <c r="D13679" s="4">
        <f>IFERROR(__xludf.DUMMYFUNCTION("""COMPUTED_VALUE"""),13.068611)</f>
        <v>13.068611</v>
      </c>
      <c r="E13679" s="4">
        <f>IFERROR(__xludf.DUMMYFUNCTION("""COMPUTED_VALUE"""),80.26841)</f>
        <v>80.26841</v>
      </c>
      <c r="F13679" s="4">
        <f>IFERROR(__xludf.DUMMYFUNCTION("""COMPUTED_VALUE"""),805.0)</f>
        <v>805</v>
      </c>
      <c r="G13679" s="4">
        <f>IFERROR(__xludf.DUMMYFUNCTION("""COMPUTED_VALUE"""),31.0)</f>
        <v>31</v>
      </c>
      <c r="H13679" s="4"/>
      <c r="I13679" s="4"/>
    </row>
    <row r="13680">
      <c r="A13680" s="4" t="str">
        <f>IFERROR(__xludf.DUMMYFUNCTION("""COMPUTED_VALUE"""),"cas_hmw")</f>
        <v>cas_hmw</v>
      </c>
      <c r="B13680" s="5">
        <f>IFERROR(__xludf.DUMMYFUNCTION("""COMPUTED_VALUE"""),44720.0)</f>
        <v>44720</v>
      </c>
      <c r="C13680" s="6">
        <f>IFERROR(__xludf.DUMMYFUNCTION("""COMPUTED_VALUE"""),0.3024652777785377)</f>
        <v>0.3024652778</v>
      </c>
      <c r="D13680" s="4">
        <f>IFERROR(__xludf.DUMMYFUNCTION("""COMPUTED_VALUE"""),13.068611)</f>
        <v>13.068611</v>
      </c>
      <c r="E13680" s="4">
        <f>IFERROR(__xludf.DUMMYFUNCTION("""COMPUTED_VALUE"""),80.26841)</f>
        <v>80.26841</v>
      </c>
      <c r="F13680" s="4">
        <f>IFERROR(__xludf.DUMMYFUNCTION("""COMPUTED_VALUE"""),805.0)</f>
        <v>805</v>
      </c>
      <c r="G13680" s="4">
        <f>IFERROR(__xludf.DUMMYFUNCTION("""COMPUTED_VALUE"""),31.0)</f>
        <v>31</v>
      </c>
      <c r="H13680" s="4"/>
      <c r="I13680" s="4"/>
    </row>
    <row r="13681">
      <c r="A13681" s="4" t="str">
        <f>IFERROR(__xludf.DUMMYFUNCTION("""COMPUTED_VALUE"""),"cas_hmw")</f>
        <v>cas_hmw</v>
      </c>
      <c r="B13681" s="5">
        <f>IFERROR(__xludf.DUMMYFUNCTION("""COMPUTED_VALUE"""),44720.0)</f>
        <v>44720</v>
      </c>
      <c r="C13681" s="6">
        <f>IFERROR(__xludf.DUMMYFUNCTION("""COMPUTED_VALUE"""),0.3026504629633564)</f>
        <v>0.302650463</v>
      </c>
      <c r="D13681" s="4">
        <f>IFERROR(__xludf.DUMMYFUNCTION("""COMPUTED_VALUE"""),13.06821)</f>
        <v>13.06821</v>
      </c>
      <c r="E13681" s="4">
        <f>IFERROR(__xludf.DUMMYFUNCTION("""COMPUTED_VALUE"""),80.270081)</f>
        <v>80.270081</v>
      </c>
      <c r="F13681" s="4">
        <f>IFERROR(__xludf.DUMMYFUNCTION("""COMPUTED_VALUE"""),805.0)</f>
        <v>805</v>
      </c>
      <c r="G13681" s="4">
        <f>IFERROR(__xludf.DUMMYFUNCTION("""COMPUTED_VALUE"""),32.0)</f>
        <v>32</v>
      </c>
      <c r="H13681" s="4"/>
      <c r="I13681" s="4"/>
    </row>
    <row r="13682">
      <c r="A13682" s="4" t="str">
        <f>IFERROR(__xludf.DUMMYFUNCTION("""COMPUTED_VALUE"""),"cas_hmw")</f>
        <v>cas_hmw</v>
      </c>
      <c r="B13682" s="5">
        <f>IFERROR(__xludf.DUMMYFUNCTION("""COMPUTED_VALUE"""),44720.0)</f>
        <v>44720</v>
      </c>
      <c r="C13682" s="6">
        <f>IFERROR(__xludf.DUMMYFUNCTION("""COMPUTED_VALUE"""),0.31473379629460396)</f>
        <v>0.3147337963</v>
      </c>
      <c r="D13682" s="4">
        <f>IFERROR(__xludf.DUMMYFUNCTION("""COMPUTED_VALUE"""),13.041096)</f>
        <v>13.041096</v>
      </c>
      <c r="E13682" s="4">
        <f>IFERROR(__xludf.DUMMYFUNCTION("""COMPUTED_VALUE"""),80.247397)</f>
        <v>80.247397</v>
      </c>
      <c r="F13682" s="4">
        <f>IFERROR(__xludf.DUMMYFUNCTION("""COMPUTED_VALUE"""),805.0)</f>
        <v>805</v>
      </c>
      <c r="G13682" s="4">
        <f>IFERROR(__xludf.DUMMYFUNCTION("""COMPUTED_VALUE"""),33.0)</f>
        <v>33</v>
      </c>
      <c r="H13682" s="4"/>
      <c r="I13682" s="4"/>
    </row>
    <row r="13683">
      <c r="A13683" s="4" t="str">
        <f>IFERROR(__xludf.DUMMYFUNCTION("""COMPUTED_VALUE"""),"cas_hmw")</f>
        <v>cas_hmw</v>
      </c>
      <c r="B13683" s="5">
        <f>IFERROR(__xludf.DUMMYFUNCTION("""COMPUTED_VALUE"""),44720.0)</f>
        <v>44720</v>
      </c>
      <c r="C13683" s="6">
        <f>IFERROR(__xludf.DUMMYFUNCTION("""COMPUTED_VALUE"""),0.315115740741021)</f>
        <v>0.3151157407</v>
      </c>
      <c r="D13683" s="4">
        <f>IFERROR(__xludf.DUMMYFUNCTION("""COMPUTED_VALUE"""),13.038484)</f>
        <v>13.038484</v>
      </c>
      <c r="E13683" s="4">
        <f>IFERROR(__xludf.DUMMYFUNCTION("""COMPUTED_VALUE"""),80.246872)</f>
        <v>80.246872</v>
      </c>
      <c r="F13683" s="4">
        <f>IFERROR(__xludf.DUMMYFUNCTION("""COMPUTED_VALUE"""),805.0)</f>
        <v>805</v>
      </c>
      <c r="G13683" s="4">
        <f>IFERROR(__xludf.DUMMYFUNCTION("""COMPUTED_VALUE"""),34.0)</f>
        <v>34</v>
      </c>
      <c r="H13683" s="4"/>
      <c r="I13683" s="4"/>
    </row>
    <row r="13684">
      <c r="A13684" s="4" t="str">
        <f>IFERROR(__xludf.DUMMYFUNCTION("""COMPUTED_VALUE"""),"cas_hmw")</f>
        <v>cas_hmw</v>
      </c>
      <c r="B13684" s="5">
        <f>IFERROR(__xludf.DUMMYFUNCTION("""COMPUTED_VALUE"""),44720.0)</f>
        <v>44720</v>
      </c>
      <c r="C13684" s="6">
        <f>IFERROR(__xludf.DUMMYFUNCTION("""COMPUTED_VALUE"""),0.3183912037020491)</f>
        <v>0.3183912037</v>
      </c>
      <c r="D13684" s="4">
        <f>IFERROR(__xludf.DUMMYFUNCTION("""COMPUTED_VALUE"""),13.030474)</f>
        <v>13.030474</v>
      </c>
      <c r="E13684" s="4">
        <f>IFERROR(__xludf.DUMMYFUNCTION("""COMPUTED_VALUE"""),80.23888)</f>
        <v>80.23888</v>
      </c>
      <c r="F13684" s="4">
        <f>IFERROR(__xludf.DUMMYFUNCTION("""COMPUTED_VALUE"""),805.0)</f>
        <v>805</v>
      </c>
      <c r="G13684" s="4">
        <f>IFERROR(__xludf.DUMMYFUNCTION("""COMPUTED_VALUE"""),38.0)</f>
        <v>38</v>
      </c>
      <c r="H13684" s="4"/>
      <c r="I13684" s="4"/>
    </row>
    <row r="13685">
      <c r="A13685" s="4" t="str">
        <f>IFERROR(__xludf.DUMMYFUNCTION("""COMPUTED_VALUE"""),"cas_hmw")</f>
        <v>cas_hmw</v>
      </c>
      <c r="B13685" s="5">
        <f>IFERROR(__xludf.DUMMYFUNCTION("""COMPUTED_VALUE"""),44720.0)</f>
        <v>44720</v>
      </c>
      <c r="C13685" s="6">
        <f>IFERROR(__xludf.DUMMYFUNCTION("""COMPUTED_VALUE"""),0.31843749999825377)</f>
        <v>0.3184375</v>
      </c>
      <c r="D13685" s="4">
        <f>IFERROR(__xludf.DUMMYFUNCTION("""COMPUTED_VALUE"""),13.030474)</f>
        <v>13.030474</v>
      </c>
      <c r="E13685" s="4">
        <f>IFERROR(__xludf.DUMMYFUNCTION("""COMPUTED_VALUE"""),80.23888)</f>
        <v>80.23888</v>
      </c>
      <c r="F13685" s="4">
        <f>IFERROR(__xludf.DUMMYFUNCTION("""COMPUTED_VALUE"""),805.0)</f>
        <v>805</v>
      </c>
      <c r="G13685" s="4">
        <f>IFERROR(__xludf.DUMMYFUNCTION("""COMPUTED_VALUE"""),38.0)</f>
        <v>38</v>
      </c>
      <c r="H13685" s="4"/>
      <c r="I13685" s="4"/>
    </row>
    <row r="13686">
      <c r="A13686" s="4" t="str">
        <f>IFERROR(__xludf.DUMMYFUNCTION("""COMPUTED_VALUE"""),"cas_hmw")</f>
        <v>cas_hmw</v>
      </c>
      <c r="B13686" s="5">
        <f>IFERROR(__xludf.DUMMYFUNCTION("""COMPUTED_VALUE"""),44720.0)</f>
        <v>44720</v>
      </c>
      <c r="C13686" s="6">
        <f>IFERROR(__xludf.DUMMYFUNCTION("""COMPUTED_VALUE"""),0.31894675926014315)</f>
        <v>0.3189467593</v>
      </c>
      <c r="D13686" s="4">
        <f>IFERROR(__xludf.DUMMYFUNCTION("""COMPUTED_VALUE"""),13.027155)</f>
        <v>13.027155</v>
      </c>
      <c r="E13686" s="4">
        <f>IFERROR(__xludf.DUMMYFUNCTION("""COMPUTED_VALUE"""),80.23412)</f>
        <v>80.23412</v>
      </c>
      <c r="F13686" s="4">
        <f>IFERROR(__xludf.DUMMYFUNCTION("""COMPUTED_VALUE"""),805.0)</f>
        <v>805</v>
      </c>
      <c r="G13686" s="4">
        <f>IFERROR(__xludf.DUMMYFUNCTION("""COMPUTED_VALUE"""),46.0)</f>
        <v>46</v>
      </c>
      <c r="H13686" s="4"/>
      <c r="I13686" s="4"/>
    </row>
    <row r="13687">
      <c r="A13687" s="4" t="str">
        <f>IFERROR(__xludf.DUMMYFUNCTION("""COMPUTED_VALUE"""),"cas_hmw")</f>
        <v>cas_hmw</v>
      </c>
      <c r="B13687" s="5">
        <f>IFERROR(__xludf.DUMMYFUNCTION("""COMPUTED_VALUE"""),44720.0)</f>
        <v>44720</v>
      </c>
      <c r="C13687" s="6">
        <f>IFERROR(__xludf.DUMMYFUNCTION("""COMPUTED_VALUE"""),0.3193287037029222)</f>
        <v>0.3193287037</v>
      </c>
      <c r="D13687" s="4">
        <f>IFERROR(__xludf.DUMMYFUNCTION("""COMPUTED_VALUE"""),13.087765)</f>
        <v>13.087765</v>
      </c>
      <c r="E13687" s="4">
        <f>IFERROR(__xludf.DUMMYFUNCTION("""COMPUTED_VALUE"""),80.223434)</f>
        <v>80.223434</v>
      </c>
      <c r="F13687" s="4">
        <f>IFERROR(__xludf.DUMMYFUNCTION("""COMPUTED_VALUE"""),3143.0)</f>
        <v>3143</v>
      </c>
      <c r="G13687" s="4">
        <f>IFERROR(__xludf.DUMMYFUNCTION("""COMPUTED_VALUE"""),35.0)</f>
        <v>35</v>
      </c>
      <c r="H13687" s="4"/>
      <c r="I13687" s="4"/>
    </row>
    <row r="13688">
      <c r="A13688" s="4" t="str">
        <f>IFERROR(__xludf.DUMMYFUNCTION("""COMPUTED_VALUE"""),"cas_hmw")</f>
        <v>cas_hmw</v>
      </c>
      <c r="B13688" s="5">
        <f>IFERROR(__xludf.DUMMYFUNCTION("""COMPUTED_VALUE"""),44720.0)</f>
        <v>44720</v>
      </c>
      <c r="C13688" s="6">
        <f>IFERROR(__xludf.DUMMYFUNCTION("""COMPUTED_VALUE"""),0.31974537036876427)</f>
        <v>0.3197453704</v>
      </c>
      <c r="D13688" s="4">
        <f>IFERROR(__xludf.DUMMYFUNCTION("""COMPUTED_VALUE"""),13.025866)</f>
        <v>13.025866</v>
      </c>
      <c r="E13688" s="4">
        <f>IFERROR(__xludf.DUMMYFUNCTION("""COMPUTED_VALUE"""),80.2311)</f>
        <v>80.2311</v>
      </c>
      <c r="F13688" s="4">
        <f>IFERROR(__xludf.DUMMYFUNCTION("""COMPUTED_VALUE"""),805.0)</f>
        <v>805</v>
      </c>
      <c r="G13688" s="4">
        <f>IFERROR(__xludf.DUMMYFUNCTION("""COMPUTED_VALUE"""),9.0)</f>
        <v>9</v>
      </c>
      <c r="H13688" s="4"/>
      <c r="I13688" s="4"/>
    </row>
    <row r="13689">
      <c r="A13689" s="4" t="str">
        <f>IFERROR(__xludf.DUMMYFUNCTION("""COMPUTED_VALUE"""),"cas_hmw")</f>
        <v>cas_hmw</v>
      </c>
      <c r="B13689" s="5">
        <f>IFERROR(__xludf.DUMMYFUNCTION("""COMPUTED_VALUE"""),44720.0)</f>
        <v>44720</v>
      </c>
      <c r="C13689" s="6">
        <f>IFERROR(__xludf.DUMMYFUNCTION("""COMPUTED_VALUE"""),0.3197685185186856)</f>
        <v>0.3197685185</v>
      </c>
      <c r="D13689" s="4">
        <f>IFERROR(__xludf.DUMMYFUNCTION("""COMPUTED_VALUE"""),13.025657)</f>
        <v>13.025657</v>
      </c>
      <c r="E13689" s="4">
        <f>IFERROR(__xludf.DUMMYFUNCTION("""COMPUTED_VALUE"""),80.230515)</f>
        <v>80.230515</v>
      </c>
      <c r="F13689" s="4">
        <f>IFERROR(__xludf.DUMMYFUNCTION("""COMPUTED_VALUE"""),805.0)</f>
        <v>805</v>
      </c>
      <c r="G13689" s="4">
        <f>IFERROR(__xludf.DUMMYFUNCTION("""COMPUTED_VALUE"""),34.0)</f>
        <v>34</v>
      </c>
      <c r="H13689" s="4"/>
      <c r="I13689" s="4"/>
    </row>
    <row r="13690">
      <c r="A13690" s="4" t="str">
        <f>IFERROR(__xludf.DUMMYFUNCTION("""COMPUTED_VALUE"""),"cas_hmw")</f>
        <v>cas_hmw</v>
      </c>
      <c r="B13690" s="5">
        <f>IFERROR(__xludf.DUMMYFUNCTION("""COMPUTED_VALUE"""),44720.0)</f>
        <v>44720</v>
      </c>
      <c r="C13690" s="6">
        <f>IFERROR(__xludf.DUMMYFUNCTION("""COMPUTED_VALUE"""),0.3199768518534256)</f>
        <v>0.3199768519</v>
      </c>
      <c r="D13690" s="4">
        <f>IFERROR(__xludf.DUMMYFUNCTION("""COMPUTED_VALUE"""),13.024271)</f>
        <v>13.024271</v>
      </c>
      <c r="E13690" s="4">
        <f>IFERROR(__xludf.DUMMYFUNCTION("""COMPUTED_VALUE"""),80.228672)</f>
        <v>80.228672</v>
      </c>
      <c r="F13690" s="4">
        <f>IFERROR(__xludf.DUMMYFUNCTION("""COMPUTED_VALUE"""),805.0)</f>
        <v>805</v>
      </c>
      <c r="G13690" s="4">
        <f>IFERROR(__xludf.DUMMYFUNCTION("""COMPUTED_VALUE"""),27.0)</f>
        <v>27</v>
      </c>
      <c r="H13690" s="4"/>
      <c r="I13690" s="4"/>
    </row>
    <row r="13691">
      <c r="A13691" s="4" t="str">
        <f>IFERROR(__xludf.DUMMYFUNCTION("""COMPUTED_VALUE"""),"cas_hmw")</f>
        <v>cas_hmw</v>
      </c>
      <c r="B13691" s="5">
        <f>IFERROR(__xludf.DUMMYFUNCTION("""COMPUTED_VALUE"""),44720.0)</f>
        <v>44720</v>
      </c>
      <c r="C13691" s="6">
        <f>IFERROR(__xludf.DUMMYFUNCTION("""COMPUTED_VALUE"""),0.3201273148151813)</f>
        <v>0.3201273148</v>
      </c>
      <c r="D13691" s="4">
        <f>IFERROR(__xludf.DUMMYFUNCTION("""COMPUTED_VALUE"""),13.023722)</f>
        <v>13.023722</v>
      </c>
      <c r="E13691" s="4">
        <f>IFERROR(__xludf.DUMMYFUNCTION("""COMPUTED_VALUE"""),80.227985)</f>
        <v>80.227985</v>
      </c>
      <c r="F13691" s="4">
        <f>IFERROR(__xludf.DUMMYFUNCTION("""COMPUTED_VALUE"""),805.0)</f>
        <v>805</v>
      </c>
      <c r="G13691" s="4">
        <f>IFERROR(__xludf.DUMMYFUNCTION("""COMPUTED_VALUE"""),39.0)</f>
        <v>39</v>
      </c>
      <c r="H13691" s="4"/>
      <c r="I13691" s="4"/>
    </row>
    <row r="13692">
      <c r="A13692" s="4" t="str">
        <f>IFERROR(__xludf.DUMMYFUNCTION("""COMPUTED_VALUE"""),"cas_hmw")</f>
        <v>cas_hmw</v>
      </c>
      <c r="B13692" s="5">
        <f>IFERROR(__xludf.DUMMYFUNCTION("""COMPUTED_VALUE"""),44720.0)</f>
        <v>44720</v>
      </c>
      <c r="C13692" s="6">
        <f>IFERROR(__xludf.DUMMYFUNCTION("""COMPUTED_VALUE"""),0.320381944446126)</f>
        <v>0.3203819444</v>
      </c>
      <c r="D13692" s="4">
        <f>IFERROR(__xludf.DUMMYFUNCTION("""COMPUTED_VALUE"""),13.022034)</f>
        <v>13.022034</v>
      </c>
      <c r="E13692" s="4">
        <f>IFERROR(__xludf.DUMMYFUNCTION("""COMPUTED_VALUE"""),80.226385)</f>
        <v>80.226385</v>
      </c>
      <c r="F13692" s="4">
        <f>IFERROR(__xludf.DUMMYFUNCTION("""COMPUTED_VALUE"""),805.0)</f>
        <v>805</v>
      </c>
      <c r="G13692" s="4">
        <f>IFERROR(__xludf.DUMMYFUNCTION("""COMPUTED_VALUE"""),50.0)</f>
        <v>50</v>
      </c>
      <c r="H13692" s="4"/>
      <c r="I13692" s="4"/>
    </row>
    <row r="13693">
      <c r="A13693" s="4" t="str">
        <f>IFERROR(__xludf.DUMMYFUNCTION("""COMPUTED_VALUE"""),"cas_hmw")</f>
        <v>cas_hmw</v>
      </c>
      <c r="B13693" s="5">
        <f>IFERROR(__xludf.DUMMYFUNCTION("""COMPUTED_VALUE"""),44720.0)</f>
        <v>44720</v>
      </c>
      <c r="C13693" s="6">
        <f>IFERROR(__xludf.DUMMYFUNCTION("""COMPUTED_VALUE"""),0.3211805555547471)</f>
        <v>0.3211805556</v>
      </c>
      <c r="D13693" s="4">
        <f>IFERROR(__xludf.DUMMYFUNCTION("""COMPUTED_VALUE"""),13.016696)</f>
        <v>13.016696</v>
      </c>
      <c r="E13693" s="4">
        <f>IFERROR(__xludf.DUMMYFUNCTION("""COMPUTED_VALUE"""),80.225376)</f>
        <v>80.225376</v>
      </c>
      <c r="F13693" s="4">
        <f>IFERROR(__xludf.DUMMYFUNCTION("""COMPUTED_VALUE"""),805.0)</f>
        <v>805</v>
      </c>
      <c r="G13693" s="4">
        <f>IFERROR(__xludf.DUMMYFUNCTION("""COMPUTED_VALUE"""),36.0)</f>
        <v>36</v>
      </c>
      <c r="H13693" s="4"/>
      <c r="I13693" s="4"/>
    </row>
    <row r="13694">
      <c r="A13694" s="4" t="str">
        <f>IFERROR(__xludf.DUMMYFUNCTION("""COMPUTED_VALUE"""),"cas_hmw")</f>
        <v>cas_hmw</v>
      </c>
      <c r="B13694" s="5">
        <f>IFERROR(__xludf.DUMMYFUNCTION("""COMPUTED_VALUE"""),44720.0)</f>
        <v>44720</v>
      </c>
      <c r="C13694" s="6">
        <f>IFERROR(__xludf.DUMMYFUNCTION("""COMPUTED_VALUE"""),0.32167824073985685)</f>
        <v>0.3216782407</v>
      </c>
      <c r="D13694" s="4">
        <f>IFERROR(__xludf.DUMMYFUNCTION("""COMPUTED_VALUE"""),13.014906)</f>
        <v>13.014906</v>
      </c>
      <c r="E13694" s="4">
        <f>IFERROR(__xludf.DUMMYFUNCTION("""COMPUTED_VALUE"""),80.226042)</f>
        <v>80.226042</v>
      </c>
      <c r="F13694" s="4">
        <f>IFERROR(__xludf.DUMMYFUNCTION("""COMPUTED_VALUE"""),805.0)</f>
        <v>805</v>
      </c>
      <c r="G13694" s="4">
        <f>IFERROR(__xludf.DUMMYFUNCTION("""COMPUTED_VALUE"""),16.0)</f>
        <v>16</v>
      </c>
      <c r="H13694" s="4"/>
      <c r="I13694" s="4"/>
    </row>
    <row r="13695">
      <c r="A13695" s="4" t="str">
        <f>IFERROR(__xludf.DUMMYFUNCTION("""COMPUTED_VALUE"""),"cas_hmw")</f>
        <v>cas_hmw</v>
      </c>
      <c r="B13695" s="5">
        <f>IFERROR(__xludf.DUMMYFUNCTION("""COMPUTED_VALUE"""),44720.0)</f>
        <v>44720</v>
      </c>
      <c r="C13695" s="6">
        <f>IFERROR(__xludf.DUMMYFUNCTION("""COMPUTED_VALUE"""),0.3221643518518249)</f>
        <v>0.3221643519</v>
      </c>
      <c r="D13695" s="4">
        <f>IFERROR(__xludf.DUMMYFUNCTION("""COMPUTED_VALUE"""),13.011391)</f>
        <v>13.011391</v>
      </c>
      <c r="E13695" s="4">
        <f>IFERROR(__xludf.DUMMYFUNCTION("""COMPUTED_VALUE"""),80.227349)</f>
        <v>80.227349</v>
      </c>
      <c r="F13695" s="4">
        <f>IFERROR(__xludf.DUMMYFUNCTION("""COMPUTED_VALUE"""),805.0)</f>
        <v>805</v>
      </c>
      <c r="G13695" s="4">
        <f>IFERROR(__xludf.DUMMYFUNCTION("""COMPUTED_VALUE"""),48.0)</f>
        <v>48</v>
      </c>
      <c r="H13695" s="4"/>
      <c r="I13695" s="4"/>
    </row>
    <row r="13696">
      <c r="A13696" s="4" t="str">
        <f>IFERROR(__xludf.DUMMYFUNCTION("""COMPUTED_VALUE"""),"cas_hmw")</f>
        <v>cas_hmw</v>
      </c>
      <c r="B13696" s="5">
        <f>IFERROR(__xludf.DUMMYFUNCTION("""COMPUTED_VALUE"""),44720.0)</f>
        <v>44720</v>
      </c>
      <c r="C13696" s="6">
        <f>IFERROR(__xludf.DUMMYFUNCTION("""COMPUTED_VALUE"""),0.3225578703713836)</f>
        <v>0.3225578704</v>
      </c>
      <c r="D13696" s="4">
        <f>IFERROR(__xludf.DUMMYFUNCTION("""COMPUTED_VALUE"""),13.010205)</f>
        <v>13.010205</v>
      </c>
      <c r="E13696" s="4">
        <f>IFERROR(__xludf.DUMMYFUNCTION("""COMPUTED_VALUE"""),80.226194)</f>
        <v>80.226194</v>
      </c>
      <c r="F13696" s="4">
        <f>IFERROR(__xludf.DUMMYFUNCTION("""COMPUTED_VALUE"""),805.0)</f>
        <v>805</v>
      </c>
      <c r="G13696" s="4">
        <f>IFERROR(__xludf.DUMMYFUNCTION("""COMPUTED_VALUE"""),45.0)</f>
        <v>45</v>
      </c>
      <c r="H13696" s="4"/>
      <c r="I13696" s="4"/>
    </row>
    <row r="13697">
      <c r="A13697" s="4" t="str">
        <f>IFERROR(__xludf.DUMMYFUNCTION("""COMPUTED_VALUE"""),"cas_hmw")</f>
        <v>cas_hmw</v>
      </c>
      <c r="B13697" s="5">
        <f>IFERROR(__xludf.DUMMYFUNCTION("""COMPUTED_VALUE"""),44720.0)</f>
        <v>44720</v>
      </c>
      <c r="C13697" s="6">
        <f>IFERROR(__xludf.DUMMYFUNCTION("""COMPUTED_VALUE"""),0.3233333333337214)</f>
        <v>0.3233333333</v>
      </c>
      <c r="D13697" s="4">
        <f>IFERROR(__xludf.DUMMYFUNCTION("""COMPUTED_VALUE"""),13.011614)</f>
        <v>13.011614</v>
      </c>
      <c r="E13697" s="4">
        <f>IFERROR(__xludf.DUMMYFUNCTION("""COMPUTED_VALUE"""),80.222855)</f>
        <v>80.222855</v>
      </c>
      <c r="F13697" s="4">
        <f>IFERROR(__xludf.DUMMYFUNCTION("""COMPUTED_VALUE"""),805.0)</f>
        <v>805</v>
      </c>
      <c r="G13697" s="4">
        <f>IFERROR(__xludf.DUMMYFUNCTION("""COMPUTED_VALUE"""),25.0)</f>
        <v>25</v>
      </c>
      <c r="H13697" s="4"/>
      <c r="I13697" s="4"/>
    </row>
    <row r="13698">
      <c r="A13698" s="4" t="str">
        <f>IFERROR(__xludf.DUMMYFUNCTION("""COMPUTED_VALUE"""),"cas_hmw")</f>
        <v>cas_hmw</v>
      </c>
      <c r="B13698" s="5">
        <f>IFERROR(__xludf.DUMMYFUNCTION("""COMPUTED_VALUE"""),44720.0)</f>
        <v>44720</v>
      </c>
      <c r="C13698" s="6">
        <f>IFERROR(__xludf.DUMMYFUNCTION("""COMPUTED_VALUE"""),0.3234722222223354)</f>
        <v>0.3234722222</v>
      </c>
      <c r="D13698" s="4">
        <f>IFERROR(__xludf.DUMMYFUNCTION("""COMPUTED_VALUE"""),13.01186)</f>
        <v>13.01186</v>
      </c>
      <c r="E13698" s="4">
        <f>IFERROR(__xludf.DUMMYFUNCTION("""COMPUTED_VALUE"""),80.222102)</f>
        <v>80.222102</v>
      </c>
      <c r="F13698" s="4">
        <f>IFERROR(__xludf.DUMMYFUNCTION("""COMPUTED_VALUE"""),805.0)</f>
        <v>805</v>
      </c>
      <c r="G13698" s="4">
        <f>IFERROR(__xludf.DUMMYFUNCTION("""COMPUTED_VALUE"""),34.0)</f>
        <v>34</v>
      </c>
      <c r="H13698" s="4"/>
      <c r="I13698" s="4"/>
    </row>
    <row r="13699">
      <c r="A13699" s="4" t="str">
        <f>IFERROR(__xludf.DUMMYFUNCTION("""COMPUTED_VALUE"""),"cas_hmw")</f>
        <v>cas_hmw</v>
      </c>
      <c r="B13699" s="5">
        <f>IFERROR(__xludf.DUMMYFUNCTION("""COMPUTED_VALUE"""),44720.0)</f>
        <v>44720</v>
      </c>
      <c r="C13699" s="6">
        <f>IFERROR(__xludf.DUMMYFUNCTION("""COMPUTED_VALUE"""),0.3235185185185401)</f>
        <v>0.3235185185</v>
      </c>
      <c r="D13699" s="4">
        <f>IFERROR(__xludf.DUMMYFUNCTION("""COMPUTED_VALUE"""),13.01186)</f>
        <v>13.01186</v>
      </c>
      <c r="E13699" s="4">
        <f>IFERROR(__xludf.DUMMYFUNCTION("""COMPUTED_VALUE"""),80.222102)</f>
        <v>80.222102</v>
      </c>
      <c r="F13699" s="4">
        <f>IFERROR(__xludf.DUMMYFUNCTION("""COMPUTED_VALUE"""),805.0)</f>
        <v>805</v>
      </c>
      <c r="G13699" s="4">
        <f>IFERROR(__xludf.DUMMYFUNCTION("""COMPUTED_VALUE"""),34.0)</f>
        <v>34</v>
      </c>
      <c r="H13699" s="4"/>
      <c r="I13699" s="4"/>
    </row>
    <row r="13700">
      <c r="A13700" s="4" t="str">
        <f>IFERROR(__xludf.DUMMYFUNCTION("""COMPUTED_VALUE"""),"cas_hmw")</f>
        <v>cas_hmw</v>
      </c>
      <c r="B13700" s="5">
        <f>IFERROR(__xludf.DUMMYFUNCTION("""COMPUTED_VALUE"""),44720.0)</f>
        <v>44720</v>
      </c>
      <c r="C13700" s="6">
        <f>IFERROR(__xludf.DUMMYFUNCTION("""COMPUTED_VALUE"""),0.3236574074071541)</f>
        <v>0.3236574074</v>
      </c>
      <c r="D13700" s="4">
        <f>IFERROR(__xludf.DUMMYFUNCTION("""COMPUTED_VALUE"""),13.012116)</f>
        <v>13.012116</v>
      </c>
      <c r="E13700" s="4">
        <f>IFERROR(__xludf.DUMMYFUNCTION("""COMPUTED_VALUE"""),80.221252)</f>
        <v>80.221252</v>
      </c>
      <c r="F13700" s="4">
        <f>IFERROR(__xludf.DUMMYFUNCTION("""COMPUTED_VALUE"""),805.0)</f>
        <v>805</v>
      </c>
      <c r="G13700" s="4">
        <f>IFERROR(__xludf.DUMMYFUNCTION("""COMPUTED_VALUE"""),27.0)</f>
        <v>27</v>
      </c>
      <c r="H13700" s="4"/>
      <c r="I13700" s="4"/>
    </row>
    <row r="13701">
      <c r="A13701" s="4" t="str">
        <f>IFERROR(__xludf.DUMMYFUNCTION("""COMPUTED_VALUE"""),"cas_hmw")</f>
        <v>cas_hmw</v>
      </c>
      <c r="B13701" s="5">
        <f>IFERROR(__xludf.DUMMYFUNCTION("""COMPUTED_VALUE"""),44720.0)</f>
        <v>44720</v>
      </c>
      <c r="C13701" s="6">
        <f>IFERROR(__xludf.DUMMYFUNCTION("""COMPUTED_VALUE"""),0.32381944444568944)</f>
        <v>0.3238194444</v>
      </c>
      <c r="D13701" s="4">
        <f>IFERROR(__xludf.DUMMYFUNCTION("""COMPUTED_VALUE"""),13.011566)</f>
        <v>13.011566</v>
      </c>
      <c r="E13701" s="4">
        <f>IFERROR(__xludf.DUMMYFUNCTION("""COMPUTED_VALUE"""),80.219104)</f>
        <v>80.219104</v>
      </c>
      <c r="F13701" s="4">
        <f>IFERROR(__xludf.DUMMYFUNCTION("""COMPUTED_VALUE"""),805.0)</f>
        <v>805</v>
      </c>
      <c r="G13701" s="4">
        <f>IFERROR(__xludf.DUMMYFUNCTION("""COMPUTED_VALUE"""),57.0)</f>
        <v>57</v>
      </c>
      <c r="H13701" s="4"/>
      <c r="I13701" s="4"/>
    </row>
    <row r="13702">
      <c r="A13702" s="4" t="str">
        <f>IFERROR(__xludf.DUMMYFUNCTION("""COMPUTED_VALUE"""),"cas_hmw")</f>
        <v>cas_hmw</v>
      </c>
      <c r="B13702" s="5">
        <f>IFERROR(__xludf.DUMMYFUNCTION("""COMPUTED_VALUE"""),44720.0)</f>
        <v>44720</v>
      </c>
      <c r="C13702" s="6">
        <f>IFERROR(__xludf.DUMMYFUNCTION("""COMPUTED_VALUE"""),0.3238310185188311)</f>
        <v>0.3238310185</v>
      </c>
      <c r="D13702" s="4">
        <f>IFERROR(__xludf.DUMMYFUNCTION("""COMPUTED_VALUE"""),13.011566)</f>
        <v>13.011566</v>
      </c>
      <c r="E13702" s="4">
        <f>IFERROR(__xludf.DUMMYFUNCTION("""COMPUTED_VALUE"""),80.219104)</f>
        <v>80.219104</v>
      </c>
      <c r="F13702" s="4">
        <f>IFERROR(__xludf.DUMMYFUNCTION("""COMPUTED_VALUE"""),805.0)</f>
        <v>805</v>
      </c>
      <c r="G13702" s="4">
        <f>IFERROR(__xludf.DUMMYFUNCTION("""COMPUTED_VALUE"""),57.0)</f>
        <v>57</v>
      </c>
      <c r="H13702" s="4"/>
      <c r="I13702" s="4"/>
    </row>
    <row r="13703">
      <c r="A13703" s="4" t="str">
        <f>IFERROR(__xludf.DUMMYFUNCTION("""COMPUTED_VALUE"""),"cas_hmw")</f>
        <v>cas_hmw</v>
      </c>
      <c r="B13703" s="5">
        <f>IFERROR(__xludf.DUMMYFUNCTION("""COMPUTED_VALUE"""),44720.0)</f>
        <v>44720</v>
      </c>
      <c r="C13703" s="6">
        <f>IFERROR(__xludf.DUMMYFUNCTION("""COMPUTED_VALUE"""),0.3239120370380988)</f>
        <v>0.323912037</v>
      </c>
      <c r="D13703" s="4">
        <f>IFERROR(__xludf.DUMMYFUNCTION("""COMPUTED_VALUE"""),13.01111)</f>
        <v>13.01111</v>
      </c>
      <c r="E13703" s="4">
        <f>IFERROR(__xludf.DUMMYFUNCTION("""COMPUTED_VALUE"""),80.217764)</f>
        <v>80.217764</v>
      </c>
      <c r="F13703" s="4">
        <f>IFERROR(__xludf.DUMMYFUNCTION("""COMPUTED_VALUE"""),805.0)</f>
        <v>805</v>
      </c>
      <c r="G13703" s="4">
        <f>IFERROR(__xludf.DUMMYFUNCTION("""COMPUTED_VALUE"""),52.0)</f>
        <v>52</v>
      </c>
      <c r="H13703" s="4"/>
      <c r="I13703" s="4"/>
    </row>
    <row r="13704">
      <c r="A13704" s="4" t="str">
        <f>IFERROR(__xludf.DUMMYFUNCTION("""COMPUTED_VALUE"""),"cas_hmw")</f>
        <v>cas_hmw</v>
      </c>
      <c r="B13704" s="5">
        <f>IFERROR(__xludf.DUMMYFUNCTION("""COMPUTED_VALUE"""),44720.0)</f>
        <v>44720</v>
      </c>
      <c r="C13704" s="6">
        <f>IFERROR(__xludf.DUMMYFUNCTION("""COMPUTED_VALUE"""),0.3249884259275859)</f>
        <v>0.3249884259</v>
      </c>
      <c r="D13704" s="4">
        <f>IFERROR(__xludf.DUMMYFUNCTION("""COMPUTED_VALUE"""),13.007904)</f>
        <v>13.007904</v>
      </c>
      <c r="E13704" s="4">
        <f>IFERROR(__xludf.DUMMYFUNCTION("""COMPUTED_VALUE"""),80.208005)</f>
        <v>80.208005</v>
      </c>
      <c r="F13704" s="4">
        <f>IFERROR(__xludf.DUMMYFUNCTION("""COMPUTED_VALUE"""),805.0)</f>
        <v>805</v>
      </c>
      <c r="G13704" s="4">
        <f>IFERROR(__xludf.DUMMYFUNCTION("""COMPUTED_VALUE"""),36.0)</f>
        <v>36</v>
      </c>
      <c r="H13704" s="4"/>
      <c r="I13704" s="4"/>
    </row>
    <row r="13705">
      <c r="A13705" s="4" t="str">
        <f>IFERROR(__xludf.DUMMYFUNCTION("""COMPUTED_VALUE"""),"cas_hmw")</f>
        <v>cas_hmw</v>
      </c>
      <c r="B13705" s="5">
        <f>IFERROR(__xludf.DUMMYFUNCTION("""COMPUTED_VALUE"""),44720.0)</f>
        <v>44720</v>
      </c>
      <c r="C13705" s="6">
        <f>IFERROR(__xludf.DUMMYFUNCTION("""COMPUTED_VALUE"""),0.32599537037094706)</f>
        <v>0.3259953704</v>
      </c>
      <c r="D13705" s="4">
        <f>IFERROR(__xludf.DUMMYFUNCTION("""COMPUTED_VALUE"""),13.002992)</f>
        <v>13.002992</v>
      </c>
      <c r="E13705" s="4">
        <f>IFERROR(__xludf.DUMMYFUNCTION("""COMPUTED_VALUE"""),80.200829)</f>
        <v>80.200829</v>
      </c>
      <c r="F13705" s="4">
        <f>IFERROR(__xludf.DUMMYFUNCTION("""COMPUTED_VALUE"""),805.0)</f>
        <v>805</v>
      </c>
      <c r="G13705" s="4">
        <f>IFERROR(__xludf.DUMMYFUNCTION("""COMPUTED_VALUE"""),39.0)</f>
        <v>39</v>
      </c>
      <c r="H13705" s="4"/>
      <c r="I13705" s="4"/>
    </row>
    <row r="13706">
      <c r="A13706" s="4" t="str">
        <f>IFERROR(__xludf.DUMMYFUNCTION("""COMPUTED_VALUE"""),"cas_hmw")</f>
        <v>cas_hmw</v>
      </c>
      <c r="B13706" s="5">
        <f>IFERROR(__xludf.DUMMYFUNCTION("""COMPUTED_VALUE"""),44720.0)</f>
        <v>44720</v>
      </c>
      <c r="C13706" s="6">
        <f>IFERROR(__xludf.DUMMYFUNCTION("""COMPUTED_VALUE"""),0.3260532407402934)</f>
        <v>0.3260532407</v>
      </c>
      <c r="D13706" s="4">
        <f>IFERROR(__xludf.DUMMYFUNCTION("""COMPUTED_VALUE"""),13.002992)</f>
        <v>13.002992</v>
      </c>
      <c r="E13706" s="4">
        <f>IFERROR(__xludf.DUMMYFUNCTION("""COMPUTED_VALUE"""),80.200829)</f>
        <v>80.200829</v>
      </c>
      <c r="F13706" s="4">
        <f>IFERROR(__xludf.DUMMYFUNCTION("""COMPUTED_VALUE"""),805.0)</f>
        <v>805</v>
      </c>
      <c r="G13706" s="4">
        <f>IFERROR(__xludf.DUMMYFUNCTION("""COMPUTED_VALUE"""),39.0)</f>
        <v>39</v>
      </c>
      <c r="H13706" s="4"/>
      <c r="I13706" s="4"/>
    </row>
    <row r="13707">
      <c r="A13707" s="4" t="str">
        <f>IFERROR(__xludf.DUMMYFUNCTION("""COMPUTED_VALUE"""),"cas_hmw")</f>
        <v>cas_hmw</v>
      </c>
      <c r="B13707" s="5">
        <f>IFERROR(__xludf.DUMMYFUNCTION("""COMPUTED_VALUE"""),44720.0)</f>
        <v>44720</v>
      </c>
      <c r="C13707" s="6">
        <f>IFERROR(__xludf.DUMMYFUNCTION("""COMPUTED_VALUE"""),0.3268518518525525)</f>
        <v>0.3268518519</v>
      </c>
      <c r="D13707" s="4">
        <f>IFERROR(__xludf.DUMMYFUNCTION("""COMPUTED_VALUE"""),12.999154)</f>
        <v>12.999154</v>
      </c>
      <c r="E13707" s="4">
        <f>IFERROR(__xludf.DUMMYFUNCTION("""COMPUTED_VALUE"""),80.19317)</f>
        <v>80.19317</v>
      </c>
      <c r="F13707" s="4">
        <f>IFERROR(__xludf.DUMMYFUNCTION("""COMPUTED_VALUE"""),805.0)</f>
        <v>805</v>
      </c>
      <c r="G13707" s="4">
        <f>IFERROR(__xludf.DUMMYFUNCTION("""COMPUTED_VALUE"""),47.0)</f>
        <v>47</v>
      </c>
      <c r="H13707" s="4"/>
      <c r="I13707" s="4"/>
    </row>
    <row r="13708">
      <c r="A13708" s="4" t="str">
        <f>IFERROR(__xludf.DUMMYFUNCTION("""COMPUTED_VALUE"""),"cas_hmw")</f>
        <v>cas_hmw</v>
      </c>
      <c r="B13708" s="5">
        <f>IFERROR(__xludf.DUMMYFUNCTION("""COMPUTED_VALUE"""),44720.0)</f>
        <v>44720</v>
      </c>
      <c r="C13708" s="6">
        <f>IFERROR(__xludf.DUMMYFUNCTION("""COMPUTED_VALUE"""),0.3277893518534256)</f>
        <v>0.3277893519</v>
      </c>
      <c r="D13708" s="4">
        <f>IFERROR(__xludf.DUMMYFUNCTION("""COMPUTED_VALUE"""),12.995932)</f>
        <v>12.995932</v>
      </c>
      <c r="E13708" s="4">
        <f>IFERROR(__xludf.DUMMYFUNCTION("""COMPUTED_VALUE"""),80.189432)</f>
        <v>80.189432</v>
      </c>
      <c r="F13708" s="4">
        <f>IFERROR(__xludf.DUMMYFUNCTION("""COMPUTED_VALUE"""),805.0)</f>
        <v>805</v>
      </c>
      <c r="G13708" s="4">
        <f>IFERROR(__xludf.DUMMYFUNCTION("""COMPUTED_VALUE"""),16.0)</f>
        <v>16</v>
      </c>
      <c r="H13708" s="4"/>
      <c r="I13708" s="4"/>
    </row>
    <row r="13709">
      <c r="A13709" s="4" t="str">
        <f>IFERROR(__xludf.DUMMYFUNCTION("""COMPUTED_VALUE"""),"cas_hmw")</f>
        <v>cas_hmw</v>
      </c>
      <c r="B13709" s="5">
        <f>IFERROR(__xludf.DUMMYFUNCTION("""COMPUTED_VALUE"""),44720.0)</f>
        <v>44720</v>
      </c>
      <c r="C13709" s="6">
        <f>IFERROR(__xludf.DUMMYFUNCTION("""COMPUTED_VALUE"""),0.32792824074203963)</f>
        <v>0.3279282407</v>
      </c>
      <c r="D13709" s="4">
        <f>IFERROR(__xludf.DUMMYFUNCTION("""COMPUTED_VALUE"""),12.99561)</f>
        <v>12.99561</v>
      </c>
      <c r="E13709" s="4">
        <f>IFERROR(__xludf.DUMMYFUNCTION("""COMPUTED_VALUE"""),80.188826)</f>
        <v>80.188826</v>
      </c>
      <c r="F13709" s="4">
        <f>IFERROR(__xludf.DUMMYFUNCTION("""COMPUTED_VALUE"""),805.0)</f>
        <v>805</v>
      </c>
      <c r="G13709" s="4">
        <f>IFERROR(__xludf.DUMMYFUNCTION("""COMPUTED_VALUE"""),34.0)</f>
        <v>34</v>
      </c>
      <c r="H13709" s="4"/>
      <c r="I13709" s="4"/>
    </row>
    <row r="13710">
      <c r="A13710" s="4" t="str">
        <f>IFERROR(__xludf.DUMMYFUNCTION("""COMPUTED_VALUE"""),"cas_hmw")</f>
        <v>cas_hmw</v>
      </c>
      <c r="B13710" s="5">
        <f>IFERROR(__xludf.DUMMYFUNCTION("""COMPUTED_VALUE"""),44720.0)</f>
        <v>44720</v>
      </c>
      <c r="C13710" s="6">
        <f>IFERROR(__xludf.DUMMYFUNCTION("""COMPUTED_VALUE"""),0.32872685185066075)</f>
        <v>0.3287268519</v>
      </c>
      <c r="D13710" s="4">
        <f>IFERROR(__xludf.DUMMYFUNCTION("""COMPUTED_VALUE"""),13.087369)</f>
        <v>13.087369</v>
      </c>
      <c r="E13710" s="4">
        <f>IFERROR(__xludf.DUMMYFUNCTION("""COMPUTED_VALUE"""),80.192472)</f>
        <v>80.192472</v>
      </c>
      <c r="F13710" s="4">
        <f>IFERROR(__xludf.DUMMYFUNCTION("""COMPUTED_VALUE"""),3143.0)</f>
        <v>3143</v>
      </c>
      <c r="G13710" s="4">
        <f>IFERROR(__xludf.DUMMYFUNCTION("""COMPUTED_VALUE"""),39.0)</f>
        <v>39</v>
      </c>
      <c r="H13710" s="4"/>
      <c r="I13710" s="4"/>
    </row>
    <row r="13711">
      <c r="A13711" s="4" t="str">
        <f>IFERROR(__xludf.DUMMYFUNCTION("""COMPUTED_VALUE"""),"cas_hmw")</f>
        <v>cas_hmw</v>
      </c>
      <c r="B13711" s="5">
        <f>IFERROR(__xludf.DUMMYFUNCTION("""COMPUTED_VALUE"""),44720.0)</f>
        <v>44720</v>
      </c>
      <c r="C13711" s="6">
        <f>IFERROR(__xludf.DUMMYFUNCTION("""COMPUTED_VALUE"""),0.3287384259274404)</f>
        <v>0.3287384259</v>
      </c>
      <c r="D13711" s="4">
        <f>IFERROR(__xludf.DUMMYFUNCTION("""COMPUTED_VALUE"""),13.087369)</f>
        <v>13.087369</v>
      </c>
      <c r="E13711" s="4">
        <f>IFERROR(__xludf.DUMMYFUNCTION("""COMPUTED_VALUE"""),80.192472)</f>
        <v>80.192472</v>
      </c>
      <c r="F13711" s="4">
        <f>IFERROR(__xludf.DUMMYFUNCTION("""COMPUTED_VALUE"""),3143.0)</f>
        <v>3143</v>
      </c>
      <c r="G13711" s="4">
        <f>IFERROR(__xludf.DUMMYFUNCTION("""COMPUTED_VALUE"""),39.0)</f>
        <v>39</v>
      </c>
      <c r="H13711" s="4"/>
      <c r="I13711" s="4"/>
    </row>
    <row r="13712">
      <c r="A13712" s="4" t="str">
        <f>IFERROR(__xludf.DUMMYFUNCTION("""COMPUTED_VALUE"""),"cas_hmw")</f>
        <v>cas_hmw</v>
      </c>
      <c r="B13712" s="5">
        <f>IFERROR(__xludf.DUMMYFUNCTION("""COMPUTED_VALUE"""),44720.0)</f>
        <v>44720</v>
      </c>
      <c r="C13712" s="6">
        <f>IFERROR(__xludf.DUMMYFUNCTION("""COMPUTED_VALUE"""),0.3288773148160544)</f>
        <v>0.3288773148</v>
      </c>
      <c r="D13712" s="4">
        <f>IFERROR(__xludf.DUMMYFUNCTION("""COMPUTED_VALUE"""),12.993966)</f>
        <v>12.993966</v>
      </c>
      <c r="E13712" s="4">
        <f>IFERROR(__xludf.DUMMYFUNCTION("""COMPUTED_VALUE"""),80.185576)</f>
        <v>80.185576</v>
      </c>
      <c r="F13712" s="4">
        <f>IFERROR(__xludf.DUMMYFUNCTION("""COMPUTED_VALUE"""),805.0)</f>
        <v>805</v>
      </c>
      <c r="G13712" s="4">
        <f>IFERROR(__xludf.DUMMYFUNCTION("""COMPUTED_VALUE"""),22.0)</f>
        <v>22</v>
      </c>
      <c r="H13712" s="4"/>
      <c r="I13712" s="4"/>
    </row>
    <row r="13713">
      <c r="A13713" s="4" t="str">
        <f>IFERROR(__xludf.DUMMYFUNCTION("""COMPUTED_VALUE"""),"cas_hmw")</f>
        <v>cas_hmw</v>
      </c>
      <c r="B13713" s="5">
        <f>IFERROR(__xludf.DUMMYFUNCTION("""COMPUTED_VALUE"""),44720.0)</f>
        <v>44720</v>
      </c>
      <c r="C13713" s="6">
        <f>IFERROR(__xludf.DUMMYFUNCTION("""COMPUTED_VALUE"""),0.3293518518512428)</f>
        <v>0.3293518519</v>
      </c>
      <c r="D13713" s="4">
        <f>IFERROR(__xludf.DUMMYFUNCTION("""COMPUTED_VALUE"""),12.990352)</f>
        <v>12.990352</v>
      </c>
      <c r="E13713" s="4">
        <f>IFERROR(__xludf.DUMMYFUNCTION("""COMPUTED_VALUE"""),80.180119)</f>
        <v>80.180119</v>
      </c>
      <c r="F13713" s="4">
        <f>IFERROR(__xludf.DUMMYFUNCTION("""COMPUTED_VALUE"""),805.0)</f>
        <v>805</v>
      </c>
      <c r="G13713" s="4">
        <f>IFERROR(__xludf.DUMMYFUNCTION("""COMPUTED_VALUE"""),57.0)</f>
        <v>57</v>
      </c>
      <c r="H13713" s="4"/>
      <c r="I13713" s="4"/>
    </row>
    <row r="13714">
      <c r="A13714" s="4" t="str">
        <f>IFERROR(__xludf.DUMMYFUNCTION("""COMPUTED_VALUE"""),"cas_hmw")</f>
        <v>cas_hmw</v>
      </c>
      <c r="B13714" s="5">
        <f>IFERROR(__xludf.DUMMYFUNCTION("""COMPUTED_VALUE"""),44720.0)</f>
        <v>44720</v>
      </c>
      <c r="C13714" s="6">
        <f>IFERROR(__xludf.DUMMYFUNCTION("""COMPUTED_VALUE"""),0.3294097222205892)</f>
        <v>0.3294097222</v>
      </c>
      <c r="D13714" s="4">
        <f>IFERROR(__xludf.DUMMYFUNCTION("""COMPUTED_VALUE"""),12.990352)</f>
        <v>12.990352</v>
      </c>
      <c r="E13714" s="4">
        <f>IFERROR(__xludf.DUMMYFUNCTION("""COMPUTED_VALUE"""),80.180119)</f>
        <v>80.180119</v>
      </c>
      <c r="F13714" s="4">
        <f>IFERROR(__xludf.DUMMYFUNCTION("""COMPUTED_VALUE"""),805.0)</f>
        <v>805</v>
      </c>
      <c r="G13714" s="4">
        <f>IFERROR(__xludf.DUMMYFUNCTION("""COMPUTED_VALUE"""),57.0)</f>
        <v>57</v>
      </c>
      <c r="H13714" s="4"/>
      <c r="I13714" s="4"/>
    </row>
    <row r="13715">
      <c r="A13715" s="4" t="str">
        <f>IFERROR(__xludf.DUMMYFUNCTION("""COMPUTED_VALUE"""),"cas_hmw")</f>
        <v>cas_hmw</v>
      </c>
      <c r="B13715" s="5">
        <f>IFERROR(__xludf.DUMMYFUNCTION("""COMPUTED_VALUE"""),44720.0)</f>
        <v>44720</v>
      </c>
      <c r="C13715" s="6">
        <f>IFERROR(__xludf.DUMMYFUNCTION("""COMPUTED_VALUE"""),0.3301504629635019)</f>
        <v>0.330150463</v>
      </c>
      <c r="D13715" s="4">
        <f>IFERROR(__xludf.DUMMYFUNCTION("""COMPUTED_VALUE"""),12.98939)</f>
        <v>12.98939</v>
      </c>
      <c r="E13715" s="4">
        <f>IFERROR(__xludf.DUMMYFUNCTION("""COMPUTED_VALUE"""),80.178934)</f>
        <v>80.178934</v>
      </c>
      <c r="F13715" s="4">
        <f>IFERROR(__xludf.DUMMYFUNCTION("""COMPUTED_VALUE"""),805.0)</f>
        <v>805</v>
      </c>
      <c r="G13715" s="4">
        <f>IFERROR(__xludf.DUMMYFUNCTION("""COMPUTED_VALUE"""),20.0)</f>
        <v>20</v>
      </c>
      <c r="H13715" s="4"/>
      <c r="I13715" s="4"/>
    </row>
    <row r="13716">
      <c r="A13716" s="4" t="str">
        <f>IFERROR(__xludf.DUMMYFUNCTION("""COMPUTED_VALUE"""),"cas_hmw")</f>
        <v>cas_hmw</v>
      </c>
      <c r="B13716" s="5">
        <f>IFERROR(__xludf.DUMMYFUNCTION("""COMPUTED_VALUE"""),44720.0)</f>
        <v>44720</v>
      </c>
      <c r="C13716" s="6">
        <f>IFERROR(__xludf.DUMMYFUNCTION("""COMPUTED_VALUE"""),0.33035879629460396)</f>
        <v>0.3303587963</v>
      </c>
      <c r="D13716" s="4">
        <f>IFERROR(__xludf.DUMMYFUNCTION("""COMPUTED_VALUE"""),12.988891)</f>
        <v>12.988891</v>
      </c>
      <c r="E13716" s="4">
        <f>IFERROR(__xludf.DUMMYFUNCTION("""COMPUTED_VALUE"""),80.178308)</f>
        <v>80.178308</v>
      </c>
      <c r="F13716" s="4">
        <f>IFERROR(__xludf.DUMMYFUNCTION("""COMPUTED_VALUE"""),805.0)</f>
        <v>805</v>
      </c>
      <c r="G13716" s="4">
        <f>IFERROR(__xludf.DUMMYFUNCTION("""COMPUTED_VALUE"""),39.0)</f>
        <v>39</v>
      </c>
      <c r="H13716" s="4"/>
      <c r="I13716" s="4"/>
    </row>
    <row r="13717">
      <c r="A13717" s="4" t="str">
        <f>IFERROR(__xludf.DUMMYFUNCTION("""COMPUTED_VALUE"""),"cas_hmw")</f>
        <v>cas_hmw</v>
      </c>
      <c r="B13717" s="5">
        <f>IFERROR(__xludf.DUMMYFUNCTION("""COMPUTED_VALUE"""),44720.0)</f>
        <v>44720</v>
      </c>
      <c r="C13717" s="6">
        <f>IFERROR(__xludf.DUMMYFUNCTION("""COMPUTED_VALUE"""),0.33054398148306063)</f>
        <v>0.3305439815</v>
      </c>
      <c r="D13717" s="4">
        <f>IFERROR(__xludf.DUMMYFUNCTION("""COMPUTED_VALUE"""),12.987537)</f>
        <v>12.987537</v>
      </c>
      <c r="E13717" s="4">
        <f>IFERROR(__xludf.DUMMYFUNCTION("""COMPUTED_VALUE"""),80.176375)</f>
        <v>80.176375</v>
      </c>
      <c r="F13717" s="4">
        <f>IFERROR(__xludf.DUMMYFUNCTION("""COMPUTED_VALUE"""),805.0)</f>
        <v>805</v>
      </c>
      <c r="G13717" s="4">
        <f>IFERROR(__xludf.DUMMYFUNCTION("""COMPUTED_VALUE"""),49.0)</f>
        <v>49</v>
      </c>
      <c r="H13717" s="4"/>
      <c r="I13717" s="4"/>
    </row>
    <row r="13718">
      <c r="A13718" s="4" t="str">
        <f>IFERROR(__xludf.DUMMYFUNCTION("""COMPUTED_VALUE"""),"cas_hmw")</f>
        <v>cas_hmw</v>
      </c>
      <c r="B13718" s="5">
        <f>IFERROR(__xludf.DUMMYFUNCTION("""COMPUTED_VALUE"""),44720.0)</f>
        <v>44720</v>
      </c>
      <c r="C13718" s="6">
        <f>IFERROR(__xludf.DUMMYFUNCTION("""COMPUTED_VALUE"""),0.33100694444510737)</f>
        <v>0.3310069444</v>
      </c>
      <c r="D13718" s="4">
        <f>IFERROR(__xludf.DUMMYFUNCTION("""COMPUTED_VALUE"""),12.983551)</f>
        <v>12.983551</v>
      </c>
      <c r="E13718" s="4">
        <f>IFERROR(__xludf.DUMMYFUNCTION("""COMPUTED_VALUE"""),80.170327)</f>
        <v>80.170327</v>
      </c>
      <c r="F13718" s="4">
        <f>IFERROR(__xludf.DUMMYFUNCTION("""COMPUTED_VALUE"""),805.0)</f>
        <v>805</v>
      </c>
      <c r="G13718" s="4">
        <f>IFERROR(__xludf.DUMMYFUNCTION("""COMPUTED_VALUE"""),58.0)</f>
        <v>58</v>
      </c>
      <c r="H13718" s="4"/>
      <c r="I13718" s="4"/>
    </row>
    <row r="13719">
      <c r="A13719" s="4" t="str">
        <f>IFERROR(__xludf.DUMMYFUNCTION("""COMPUTED_VALUE"""),"cas_hmw")</f>
        <v>cas_hmw</v>
      </c>
      <c r="B13719" s="5">
        <f>IFERROR(__xludf.DUMMYFUNCTION("""COMPUTED_VALUE"""),44720.0)</f>
        <v>44720</v>
      </c>
      <c r="C13719" s="6">
        <f>IFERROR(__xludf.DUMMYFUNCTION("""COMPUTED_VALUE"""),0.3318402777767915)</f>
        <v>0.3318402778</v>
      </c>
      <c r="D13719" s="4">
        <f>IFERROR(__xludf.DUMMYFUNCTION("""COMPUTED_VALUE"""),12.979763)</f>
        <v>12.979763</v>
      </c>
      <c r="E13719" s="4">
        <f>IFERROR(__xludf.DUMMYFUNCTION("""COMPUTED_VALUE"""),80.162731)</f>
        <v>80.162731</v>
      </c>
      <c r="F13719" s="4">
        <f>IFERROR(__xludf.DUMMYFUNCTION("""COMPUTED_VALUE"""),805.0)</f>
        <v>805</v>
      </c>
      <c r="G13719" s="4">
        <f>IFERROR(__xludf.DUMMYFUNCTION("""COMPUTED_VALUE"""),31.0)</f>
        <v>31</v>
      </c>
      <c r="H13719" s="4"/>
      <c r="I13719" s="4"/>
    </row>
    <row r="13720">
      <c r="A13720" s="4" t="str">
        <f>IFERROR(__xludf.DUMMYFUNCTION("""COMPUTED_VALUE"""),"cas_hmw")</f>
        <v>cas_hmw</v>
      </c>
      <c r="B13720" s="5">
        <f>IFERROR(__xludf.DUMMYFUNCTION("""COMPUTED_VALUE"""),44720.0)</f>
        <v>44720</v>
      </c>
      <c r="C13720" s="6">
        <f>IFERROR(__xludf.DUMMYFUNCTION("""COMPUTED_VALUE"""),0.3320138888884685)</f>
        <v>0.3320138889</v>
      </c>
      <c r="D13720" s="4">
        <f>IFERROR(__xludf.DUMMYFUNCTION("""COMPUTED_VALUE"""),12.979186)</f>
        <v>12.979186</v>
      </c>
      <c r="E13720" s="4">
        <f>IFERROR(__xludf.DUMMYFUNCTION("""COMPUTED_VALUE"""),80.161788)</f>
        <v>80.161788</v>
      </c>
      <c r="F13720" s="4">
        <f>IFERROR(__xludf.DUMMYFUNCTION("""COMPUTED_VALUE"""),805.0)</f>
        <v>805</v>
      </c>
      <c r="G13720" s="4">
        <f>IFERROR(__xludf.DUMMYFUNCTION("""COMPUTED_VALUE"""),50.0)</f>
        <v>50</v>
      </c>
      <c r="H13720" s="4"/>
      <c r="I13720" s="4"/>
    </row>
    <row r="13721">
      <c r="A13721" s="4" t="str">
        <f>IFERROR(__xludf.DUMMYFUNCTION("""COMPUTED_VALUE"""),"cas_hmw")</f>
        <v>cas_hmw</v>
      </c>
      <c r="B13721" s="5">
        <f>IFERROR(__xludf.DUMMYFUNCTION("""COMPUTED_VALUE"""),44720.0)</f>
        <v>44720</v>
      </c>
      <c r="C13721" s="6">
        <f>IFERROR(__xludf.DUMMYFUNCTION("""COMPUTED_VALUE"""),0.33228009259255487)</f>
        <v>0.3322800926</v>
      </c>
      <c r="D13721" s="4">
        <f>IFERROR(__xludf.DUMMYFUNCTION("""COMPUTED_VALUE"""),12.976741)</f>
        <v>12.976741</v>
      </c>
      <c r="E13721" s="4">
        <f>IFERROR(__xludf.DUMMYFUNCTION("""COMPUTED_VALUE"""),80.15823)</f>
        <v>80.15823</v>
      </c>
      <c r="F13721" s="4">
        <f>IFERROR(__xludf.DUMMYFUNCTION("""COMPUTED_VALUE"""),805.0)</f>
        <v>805</v>
      </c>
      <c r="G13721" s="4">
        <f>IFERROR(__xludf.DUMMYFUNCTION("""COMPUTED_VALUE"""),57.0)</f>
        <v>57</v>
      </c>
      <c r="H13721" s="4"/>
      <c r="I13721" s="4"/>
    </row>
    <row r="13722">
      <c r="A13722" s="4" t="str">
        <f>IFERROR(__xludf.DUMMYFUNCTION("""COMPUTED_VALUE"""),"cas_hmw")</f>
        <v>cas_hmw</v>
      </c>
      <c r="B13722" s="5">
        <f>IFERROR(__xludf.DUMMYFUNCTION("""COMPUTED_VALUE"""),44720.0)</f>
        <v>44720</v>
      </c>
      <c r="C13722" s="6">
        <f>IFERROR(__xludf.DUMMYFUNCTION("""COMPUTED_VALUE"""),0.33229166666569654)</f>
        <v>0.3322916667</v>
      </c>
      <c r="D13722" s="4">
        <f>IFERROR(__xludf.DUMMYFUNCTION("""COMPUTED_VALUE"""),12.976741)</f>
        <v>12.976741</v>
      </c>
      <c r="E13722" s="4">
        <f>IFERROR(__xludf.DUMMYFUNCTION("""COMPUTED_VALUE"""),80.15823)</f>
        <v>80.15823</v>
      </c>
      <c r="F13722" s="4">
        <f>IFERROR(__xludf.DUMMYFUNCTION("""COMPUTED_VALUE"""),805.0)</f>
        <v>805</v>
      </c>
      <c r="G13722" s="4">
        <f>IFERROR(__xludf.DUMMYFUNCTION("""COMPUTED_VALUE"""),57.0)</f>
        <v>57</v>
      </c>
      <c r="H13722" s="4"/>
      <c r="I13722" s="4"/>
    </row>
    <row r="13723">
      <c r="A13723" s="4" t="str">
        <f>IFERROR(__xludf.DUMMYFUNCTION("""COMPUTED_VALUE"""),"cas_hmw")</f>
        <v>cas_hmw</v>
      </c>
      <c r="B13723" s="5">
        <f>IFERROR(__xludf.DUMMYFUNCTION("""COMPUTED_VALUE"""),44720.0)</f>
        <v>44720</v>
      </c>
      <c r="C13723" s="6">
        <f>IFERROR(__xludf.DUMMYFUNCTION("""COMPUTED_VALUE"""),0.33247685185051523)</f>
        <v>0.3324768519</v>
      </c>
      <c r="D13723" s="4">
        <f>IFERROR(__xludf.DUMMYFUNCTION("""COMPUTED_VALUE"""),12.975228)</f>
        <v>12.975228</v>
      </c>
      <c r="E13723" s="4">
        <f>IFERROR(__xludf.DUMMYFUNCTION("""COMPUTED_VALUE"""),80.155947)</f>
        <v>80.155947</v>
      </c>
      <c r="F13723" s="4">
        <f>IFERROR(__xludf.DUMMYFUNCTION("""COMPUTED_VALUE"""),805.0)</f>
        <v>805</v>
      </c>
      <c r="G13723" s="4">
        <f>IFERROR(__xludf.DUMMYFUNCTION("""COMPUTED_VALUE"""),51.0)</f>
        <v>51</v>
      </c>
      <c r="H13723" s="4"/>
      <c r="I13723" s="4"/>
    </row>
    <row r="13724">
      <c r="A13724" s="4" t="str">
        <f>IFERROR(__xludf.DUMMYFUNCTION("""COMPUTED_VALUE"""),"cas_hmw")</f>
        <v>cas_hmw</v>
      </c>
      <c r="B13724" s="5">
        <f>IFERROR(__xludf.DUMMYFUNCTION("""COMPUTED_VALUE"""),44720.0)</f>
        <v>44720</v>
      </c>
      <c r="C13724" s="6">
        <f>IFERROR(__xludf.DUMMYFUNCTION("""COMPUTED_VALUE"""),0.33254629629664123)</f>
        <v>0.3325462963</v>
      </c>
      <c r="D13724" s="4">
        <f>IFERROR(__xludf.DUMMYFUNCTION("""COMPUTED_VALUE"""),12.975228)</f>
        <v>12.975228</v>
      </c>
      <c r="E13724" s="4">
        <f>IFERROR(__xludf.DUMMYFUNCTION("""COMPUTED_VALUE"""),80.155947)</f>
        <v>80.155947</v>
      </c>
      <c r="F13724" s="4">
        <f>IFERROR(__xludf.DUMMYFUNCTION("""COMPUTED_VALUE"""),805.0)</f>
        <v>805</v>
      </c>
      <c r="G13724" s="4">
        <f>IFERROR(__xludf.DUMMYFUNCTION("""COMPUTED_VALUE"""),51.0)</f>
        <v>51</v>
      </c>
      <c r="H13724" s="4"/>
      <c r="I13724" s="4"/>
    </row>
    <row r="13725">
      <c r="A13725" s="4" t="str">
        <f>IFERROR(__xludf.DUMMYFUNCTION("""COMPUTED_VALUE"""),"cas_hmw")</f>
        <v>cas_hmw</v>
      </c>
      <c r="B13725" s="5">
        <f>IFERROR(__xludf.DUMMYFUNCTION("""COMPUTED_VALUE"""),44720.0)</f>
        <v>44720</v>
      </c>
      <c r="C13725" s="6">
        <f>IFERROR(__xludf.DUMMYFUNCTION("""COMPUTED_VALUE"""),0.3334375000013097)</f>
        <v>0.3334375</v>
      </c>
      <c r="D13725" s="4">
        <f>IFERROR(__xludf.DUMMYFUNCTION("""COMPUTED_VALUE"""),12.969722)</f>
        <v>12.969722</v>
      </c>
      <c r="E13725" s="4">
        <f>IFERROR(__xludf.DUMMYFUNCTION("""COMPUTED_VALUE"""),80.150282)</f>
        <v>80.150282</v>
      </c>
      <c r="F13725" s="4">
        <f>IFERROR(__xludf.DUMMYFUNCTION("""COMPUTED_VALUE"""),805.0)</f>
        <v>805</v>
      </c>
      <c r="G13725" s="4">
        <f>IFERROR(__xludf.DUMMYFUNCTION("""COMPUTED_VALUE"""),43.0)</f>
        <v>43</v>
      </c>
      <c r="H13725" s="4"/>
      <c r="I13725" s="4"/>
    </row>
    <row r="13726">
      <c r="A13726" s="4" t="str">
        <f>IFERROR(__xludf.DUMMYFUNCTION("""COMPUTED_VALUE"""),"cas_hmw")</f>
        <v>cas_hmw</v>
      </c>
      <c r="B13726" s="5">
        <f>IFERROR(__xludf.DUMMYFUNCTION("""COMPUTED_VALUE"""),44720.0)</f>
        <v>44720</v>
      </c>
      <c r="C13726" s="6">
        <f>IFERROR(__xludf.DUMMYFUNCTION("""COMPUTED_VALUE"""),0.33450231481401715)</f>
        <v>0.3345023148</v>
      </c>
      <c r="D13726" s="4">
        <f>IFERROR(__xludf.DUMMYFUNCTION("""COMPUTED_VALUE"""),12.966012)</f>
        <v>12.966012</v>
      </c>
      <c r="E13726" s="4">
        <f>IFERROR(__xludf.DUMMYFUNCTION("""COMPUTED_VALUE"""),80.148576)</f>
        <v>80.148576</v>
      </c>
      <c r="F13726" s="4">
        <f>IFERROR(__xludf.DUMMYFUNCTION("""COMPUTED_VALUE"""),805.0)</f>
        <v>805</v>
      </c>
      <c r="G13726" s="4">
        <f>IFERROR(__xludf.DUMMYFUNCTION("""COMPUTED_VALUE"""),32.0)</f>
        <v>32</v>
      </c>
      <c r="H13726" s="4"/>
      <c r="I13726" s="4"/>
    </row>
    <row r="13727">
      <c r="A13727" s="4" t="str">
        <f>IFERROR(__xludf.DUMMYFUNCTION("""COMPUTED_VALUE"""),"cas_hmw")</f>
        <v>cas_hmw</v>
      </c>
      <c r="B13727" s="5">
        <f>IFERROR(__xludf.DUMMYFUNCTION("""COMPUTED_VALUE"""),44720.0)</f>
        <v>44720</v>
      </c>
      <c r="C13727" s="6">
        <f>IFERROR(__xludf.DUMMYFUNCTION("""COMPUTED_VALUE"""),0.33487268518365454)</f>
        <v>0.3348726852</v>
      </c>
      <c r="D13727" s="4">
        <f>IFERROR(__xludf.DUMMYFUNCTION("""COMPUTED_VALUE"""),13.089062)</f>
        <v>13.089062</v>
      </c>
      <c r="E13727" s="4">
        <f>IFERROR(__xludf.DUMMYFUNCTION("""COMPUTED_VALUE"""),80.162826)</f>
        <v>80.162826</v>
      </c>
      <c r="F13727" s="4">
        <f>IFERROR(__xludf.DUMMYFUNCTION("""COMPUTED_VALUE"""),3143.0)</f>
        <v>3143</v>
      </c>
      <c r="G13727" s="4">
        <f>IFERROR(__xludf.DUMMYFUNCTION("""COMPUTED_VALUE"""),33.0)</f>
        <v>33</v>
      </c>
      <c r="H13727" s="4"/>
      <c r="I13727" s="4"/>
    </row>
    <row r="13728">
      <c r="A13728" s="4" t="str">
        <f>IFERROR(__xludf.DUMMYFUNCTION("""COMPUTED_VALUE"""),"cas_hmw")</f>
        <v>cas_hmw</v>
      </c>
      <c r="B13728" s="5">
        <f>IFERROR(__xludf.DUMMYFUNCTION("""COMPUTED_VALUE"""),44720.0)</f>
        <v>44720</v>
      </c>
      <c r="C13728" s="6">
        <f>IFERROR(__xludf.DUMMYFUNCTION("""COMPUTED_VALUE"""),0.3350347222221899)</f>
        <v>0.3350347222</v>
      </c>
      <c r="D13728" s="4">
        <f>IFERROR(__xludf.DUMMYFUNCTION("""COMPUTED_VALUE"""),12.960581)</f>
        <v>12.960581</v>
      </c>
      <c r="E13728" s="4">
        <f>IFERROR(__xludf.DUMMYFUNCTION("""COMPUTED_VALUE"""),80.145617)</f>
        <v>80.145617</v>
      </c>
      <c r="F13728" s="4">
        <f>IFERROR(__xludf.DUMMYFUNCTION("""COMPUTED_VALUE"""),805.0)</f>
        <v>805</v>
      </c>
      <c r="G13728" s="4">
        <f>IFERROR(__xludf.DUMMYFUNCTION("""COMPUTED_VALUE"""),56.0)</f>
        <v>56</v>
      </c>
      <c r="H13728" s="4"/>
      <c r="I13728" s="4"/>
    </row>
    <row r="13729">
      <c r="A13729" s="4" t="str">
        <f>IFERROR(__xludf.DUMMYFUNCTION("""COMPUTED_VALUE"""),"cas_hmw")</f>
        <v>cas_hmw</v>
      </c>
      <c r="B13729" s="5">
        <f>IFERROR(__xludf.DUMMYFUNCTION("""COMPUTED_VALUE"""),44720.0)</f>
        <v>44720</v>
      </c>
      <c r="C13729" s="6">
        <f>IFERROR(__xludf.DUMMYFUNCTION("""COMPUTED_VALUE"""),0.33526620370321325)</f>
        <v>0.3352662037</v>
      </c>
      <c r="D13729" s="4">
        <f>IFERROR(__xludf.DUMMYFUNCTION("""COMPUTED_VALUE"""),12.958559)</f>
        <v>12.958559</v>
      </c>
      <c r="E13729" s="4">
        <f>IFERROR(__xludf.DUMMYFUNCTION("""COMPUTED_VALUE"""),80.144515)</f>
        <v>80.144515</v>
      </c>
      <c r="F13729" s="4">
        <f>IFERROR(__xludf.DUMMYFUNCTION("""COMPUTED_VALUE"""),805.0)</f>
        <v>805</v>
      </c>
      <c r="G13729" s="4">
        <f>IFERROR(__xludf.DUMMYFUNCTION("""COMPUTED_VALUE"""),42.0)</f>
        <v>42</v>
      </c>
      <c r="H13729" s="4"/>
      <c r="I13729" s="4"/>
    </row>
    <row r="13730">
      <c r="A13730" s="4" t="str">
        <f>IFERROR(__xludf.DUMMYFUNCTION("""COMPUTED_VALUE"""),"cas_hmw")</f>
        <v>cas_hmw</v>
      </c>
      <c r="B13730" s="5">
        <f>IFERROR(__xludf.DUMMYFUNCTION("""COMPUTED_VALUE"""),44720.0)</f>
        <v>44720</v>
      </c>
      <c r="C13730" s="6">
        <f>IFERROR(__xludf.DUMMYFUNCTION("""COMPUTED_VALUE"""),0.33540509259182727)</f>
        <v>0.3354050926</v>
      </c>
      <c r="D13730" s="4">
        <f>IFERROR(__xludf.DUMMYFUNCTION("""COMPUTED_VALUE"""),12.9578)</f>
        <v>12.9578</v>
      </c>
      <c r="E13730" s="4">
        <f>IFERROR(__xludf.DUMMYFUNCTION("""COMPUTED_VALUE"""),80.14414)</f>
        <v>80.14414</v>
      </c>
      <c r="F13730" s="4">
        <f>IFERROR(__xludf.DUMMYFUNCTION("""COMPUTED_VALUE"""),805.0)</f>
        <v>805</v>
      </c>
      <c r="G13730" s="4">
        <f>IFERROR(__xludf.DUMMYFUNCTION("""COMPUTED_VALUE"""),28.0)</f>
        <v>28</v>
      </c>
      <c r="H13730" s="4"/>
      <c r="I13730" s="4"/>
    </row>
    <row r="13731">
      <c r="A13731" s="4" t="str">
        <f>IFERROR(__xludf.DUMMYFUNCTION("""COMPUTED_VALUE"""),"cas_hmw")</f>
        <v>cas_hmw</v>
      </c>
      <c r="B13731" s="5">
        <f>IFERROR(__xludf.DUMMYFUNCTION("""COMPUTED_VALUE"""),44720.0)</f>
        <v>44720</v>
      </c>
      <c r="C13731" s="6">
        <f>IFERROR(__xludf.DUMMYFUNCTION("""COMPUTED_VALUE"""),0.33562499999970896)</f>
        <v>0.335625</v>
      </c>
      <c r="D13731" s="4">
        <f>IFERROR(__xludf.DUMMYFUNCTION("""COMPUTED_VALUE"""),12.956291)</f>
        <v>12.956291</v>
      </c>
      <c r="E13731" s="4">
        <f>IFERROR(__xludf.DUMMYFUNCTION("""COMPUTED_VALUE"""),80.143327)</f>
        <v>80.143327</v>
      </c>
      <c r="F13731" s="4">
        <f>IFERROR(__xludf.DUMMYFUNCTION("""COMPUTED_VALUE"""),805.0)</f>
        <v>805</v>
      </c>
      <c r="G13731" s="4">
        <f>IFERROR(__xludf.DUMMYFUNCTION("""COMPUTED_VALUE"""),37.0)</f>
        <v>37</v>
      </c>
      <c r="H13731" s="4"/>
      <c r="I13731" s="4"/>
    </row>
    <row r="13732">
      <c r="A13732" s="4" t="str">
        <f>IFERROR(__xludf.DUMMYFUNCTION("""COMPUTED_VALUE"""),"cas_hmw")</f>
        <v>cas_hmw</v>
      </c>
      <c r="B13732" s="5">
        <f>IFERROR(__xludf.DUMMYFUNCTION("""COMPUTED_VALUE"""),44720.0)</f>
        <v>44720</v>
      </c>
      <c r="C13732" s="6">
        <f>IFERROR(__xludf.DUMMYFUNCTION("""COMPUTED_VALUE"""),0.33682870370466844)</f>
        <v>0.3368287037</v>
      </c>
      <c r="D13732" s="4">
        <f>IFERROR(__xludf.DUMMYFUNCTION("""COMPUTED_VALUE"""),12.952473)</f>
        <v>12.952473</v>
      </c>
      <c r="E13732" s="4">
        <f>IFERROR(__xludf.DUMMYFUNCTION("""COMPUTED_VALUE"""),80.141106)</f>
        <v>80.141106</v>
      </c>
      <c r="F13732" s="4">
        <f>IFERROR(__xludf.DUMMYFUNCTION("""COMPUTED_VALUE"""),805.0)</f>
        <v>805</v>
      </c>
      <c r="G13732" s="4">
        <f>IFERROR(__xludf.DUMMYFUNCTION("""COMPUTED_VALUE"""),22.0)</f>
        <v>22</v>
      </c>
      <c r="H13732" s="4"/>
      <c r="I13732" s="4"/>
    </row>
    <row r="13733">
      <c r="A13733" s="4" t="str">
        <f>IFERROR(__xludf.DUMMYFUNCTION("""COMPUTED_VALUE"""),"cas_hmw")</f>
        <v>cas_hmw</v>
      </c>
      <c r="B13733" s="5">
        <f>IFERROR(__xludf.DUMMYFUNCTION("""COMPUTED_VALUE"""),44720.0)</f>
        <v>44720</v>
      </c>
      <c r="C13733" s="6">
        <f>IFERROR(__xludf.DUMMYFUNCTION("""COMPUTED_VALUE"""),0.33759259259386454)</f>
        <v>0.3375925926</v>
      </c>
      <c r="D13733" s="4">
        <f>IFERROR(__xludf.DUMMYFUNCTION("""COMPUTED_VALUE"""),12.950582)</f>
        <v>12.950582</v>
      </c>
      <c r="E13733" s="4">
        <f>IFERROR(__xludf.DUMMYFUNCTION("""COMPUTED_VALUE"""),80.139727)</f>
        <v>80.139727</v>
      </c>
      <c r="F13733" s="4">
        <f>IFERROR(__xludf.DUMMYFUNCTION("""COMPUTED_VALUE"""),805.0)</f>
        <v>805</v>
      </c>
      <c r="G13733" s="4">
        <f>IFERROR(__xludf.DUMMYFUNCTION("""COMPUTED_VALUE"""),18.0)</f>
        <v>18</v>
      </c>
      <c r="H13733" s="4"/>
      <c r="I13733" s="4"/>
    </row>
    <row r="13734">
      <c r="A13734" s="4" t="str">
        <f>IFERROR(__xludf.DUMMYFUNCTION("""COMPUTED_VALUE"""),"cas_hmw")</f>
        <v>cas_hmw</v>
      </c>
      <c r="B13734" s="5">
        <f>IFERROR(__xludf.DUMMYFUNCTION("""COMPUTED_VALUE"""),44720.0)</f>
        <v>44720</v>
      </c>
      <c r="C13734" s="6">
        <f>IFERROR(__xludf.DUMMYFUNCTION("""COMPUTED_VALUE"""),0.3379398148135806)</f>
        <v>0.3379398148</v>
      </c>
      <c r="D13734" s="4">
        <f>IFERROR(__xludf.DUMMYFUNCTION("""COMPUTED_VALUE"""),12.948386)</f>
        <v>12.948386</v>
      </c>
      <c r="E13734" s="4">
        <f>IFERROR(__xludf.DUMMYFUNCTION("""COMPUTED_VALUE"""),80.137925)</f>
        <v>80.137925</v>
      </c>
      <c r="F13734" s="4">
        <f>IFERROR(__xludf.DUMMYFUNCTION("""COMPUTED_VALUE"""),805.0)</f>
        <v>805</v>
      </c>
      <c r="G13734" s="4">
        <f>IFERROR(__xludf.DUMMYFUNCTION("""COMPUTED_VALUE"""),46.0)</f>
        <v>46</v>
      </c>
      <c r="H13734" s="4"/>
      <c r="I13734" s="4"/>
    </row>
    <row r="13735">
      <c r="A13735" s="4" t="str">
        <f>IFERROR(__xludf.DUMMYFUNCTION("""COMPUTED_VALUE"""),"cas_hmw")</f>
        <v>cas_hmw</v>
      </c>
      <c r="B13735" s="5">
        <f>IFERROR(__xludf.DUMMYFUNCTION("""COMPUTED_VALUE"""),44720.0)</f>
        <v>44720</v>
      </c>
      <c r="C13735" s="6">
        <f>IFERROR(__xludf.DUMMYFUNCTION("""COMPUTED_VALUE"""),0.338379629629344)</f>
        <v>0.3383796296</v>
      </c>
      <c r="D13735" s="4">
        <f>IFERROR(__xludf.DUMMYFUNCTION("""COMPUTED_VALUE"""),12.944272)</f>
        <v>12.944272</v>
      </c>
      <c r="E13735" s="4">
        <f>IFERROR(__xludf.DUMMYFUNCTION("""COMPUTED_VALUE"""),80.134853)</f>
        <v>80.134853</v>
      </c>
      <c r="F13735" s="4">
        <f>IFERROR(__xludf.DUMMYFUNCTION("""COMPUTED_VALUE"""),805.0)</f>
        <v>805</v>
      </c>
      <c r="G13735" s="4">
        <f>IFERROR(__xludf.DUMMYFUNCTION("""COMPUTED_VALUE"""),48.0)</f>
        <v>48</v>
      </c>
      <c r="H13735" s="4"/>
      <c r="I13735" s="4"/>
    </row>
    <row r="13736">
      <c r="A13736" s="4" t="str">
        <f>IFERROR(__xludf.DUMMYFUNCTION("""COMPUTED_VALUE"""),"cas_hmw")</f>
        <v>cas_hmw</v>
      </c>
      <c r="B13736" s="5">
        <f>IFERROR(__xludf.DUMMYFUNCTION("""COMPUTED_VALUE"""),44720.0)</f>
        <v>44720</v>
      </c>
      <c r="C13736" s="6">
        <f>IFERROR(__xludf.DUMMYFUNCTION("""COMPUTED_VALUE"""),0.3398726851846732)</f>
        <v>0.3398726852</v>
      </c>
      <c r="D13736" s="4">
        <f>IFERROR(__xludf.DUMMYFUNCTION("""COMPUTED_VALUE"""),13.082946)</f>
        <v>13.082946</v>
      </c>
      <c r="E13736" s="4">
        <f>IFERROR(__xludf.DUMMYFUNCTION("""COMPUTED_VALUE"""),80.161586)</f>
        <v>80.161586</v>
      </c>
      <c r="F13736" s="4">
        <f>IFERROR(__xludf.DUMMYFUNCTION("""COMPUTED_VALUE"""),3143.0)</f>
        <v>3143</v>
      </c>
      <c r="G13736" s="4">
        <f>IFERROR(__xludf.DUMMYFUNCTION("""COMPUTED_VALUE"""),32.0)</f>
        <v>32</v>
      </c>
      <c r="H13736" s="4"/>
      <c r="I13736" s="4"/>
    </row>
    <row r="13737">
      <c r="A13737" s="4" t="str">
        <f>IFERROR(__xludf.DUMMYFUNCTION("""COMPUTED_VALUE"""),"cas_hmw")</f>
        <v>cas_hmw</v>
      </c>
      <c r="B13737" s="5">
        <f>IFERROR(__xludf.DUMMYFUNCTION("""COMPUTED_VALUE"""),44720.0)</f>
        <v>44720</v>
      </c>
      <c r="C13737" s="6">
        <f>IFERROR(__xludf.DUMMYFUNCTION("""COMPUTED_VALUE"""),0.33998842592700385)</f>
        <v>0.3399884259</v>
      </c>
      <c r="D13737" s="4">
        <f>IFERROR(__xludf.DUMMYFUNCTION("""COMPUTED_VALUE"""),13.082012)</f>
        <v>13.082012</v>
      </c>
      <c r="E13737" s="4">
        <f>IFERROR(__xludf.DUMMYFUNCTION("""COMPUTED_VALUE"""),80.161532)</f>
        <v>80.161532</v>
      </c>
      <c r="F13737" s="4">
        <f>IFERROR(__xludf.DUMMYFUNCTION("""COMPUTED_VALUE"""),3143.0)</f>
        <v>3143</v>
      </c>
      <c r="G13737" s="4">
        <f>IFERROR(__xludf.DUMMYFUNCTION("""COMPUTED_VALUE"""),36.0)</f>
        <v>36</v>
      </c>
      <c r="H13737" s="4"/>
      <c r="I13737" s="4"/>
    </row>
    <row r="13738">
      <c r="A13738" s="4" t="str">
        <f>IFERROR(__xludf.DUMMYFUNCTION("""COMPUTED_VALUE"""),"cas_hmw")</f>
        <v>cas_hmw</v>
      </c>
      <c r="B13738" s="5">
        <f>IFERROR(__xludf.DUMMYFUNCTION("""COMPUTED_VALUE"""),44720.0)</f>
        <v>44720</v>
      </c>
      <c r="C13738" s="6">
        <f>IFERROR(__xludf.DUMMYFUNCTION("""COMPUTED_VALUE"""),0.3401157407424762)</f>
        <v>0.3401157407</v>
      </c>
      <c r="D13738" s="4">
        <f>IFERROR(__xludf.DUMMYFUNCTION("""COMPUTED_VALUE"""),13.081044)</f>
        <v>13.081044</v>
      </c>
      <c r="E13738" s="4">
        <f>IFERROR(__xludf.DUMMYFUNCTION("""COMPUTED_VALUE"""),80.161462)</f>
        <v>80.161462</v>
      </c>
      <c r="F13738" s="4">
        <f>IFERROR(__xludf.DUMMYFUNCTION("""COMPUTED_VALUE"""),3143.0)</f>
        <v>3143</v>
      </c>
      <c r="G13738" s="4">
        <f>IFERROR(__xludf.DUMMYFUNCTION("""COMPUTED_VALUE"""),40.0)</f>
        <v>40</v>
      </c>
      <c r="H13738" s="4"/>
      <c r="I13738" s="4"/>
    </row>
    <row r="13739">
      <c r="A13739" s="4" t="str">
        <f>IFERROR(__xludf.DUMMYFUNCTION("""COMPUTED_VALUE"""),"cas_hmw")</f>
        <v>cas_hmw</v>
      </c>
      <c r="B13739" s="5">
        <f>IFERROR(__xludf.DUMMYFUNCTION("""COMPUTED_VALUE"""),44720.0)</f>
        <v>44720</v>
      </c>
      <c r="C13739" s="6">
        <f>IFERROR(__xludf.DUMMYFUNCTION("""COMPUTED_VALUE"""),0.3404166666659876)</f>
        <v>0.3404166667</v>
      </c>
      <c r="D13739" s="4">
        <f>IFERROR(__xludf.DUMMYFUNCTION("""COMPUTED_VALUE"""),12.920986)</f>
        <v>12.920986</v>
      </c>
      <c r="E13739" s="4">
        <f>IFERROR(__xludf.DUMMYFUNCTION("""COMPUTED_VALUE"""),80.167295)</f>
        <v>80.167295</v>
      </c>
      <c r="F13739" s="4">
        <f>IFERROR(__xludf.DUMMYFUNCTION("""COMPUTED_VALUE"""),2846.0)</f>
        <v>2846</v>
      </c>
      <c r="G13739" s="4">
        <f>IFERROR(__xludf.DUMMYFUNCTION("""COMPUTED_VALUE"""),31.0)</f>
        <v>31</v>
      </c>
      <c r="H13739" s="4"/>
      <c r="I13739" s="4"/>
    </row>
    <row r="13740">
      <c r="A13740" s="4" t="str">
        <f>IFERROR(__xludf.DUMMYFUNCTION("""COMPUTED_VALUE"""),"cas_hmw")</f>
        <v>cas_hmw</v>
      </c>
      <c r="B13740" s="5">
        <f>IFERROR(__xludf.DUMMYFUNCTION("""COMPUTED_VALUE"""),44720.0)</f>
        <v>44720</v>
      </c>
      <c r="C13740" s="6">
        <f>IFERROR(__xludf.DUMMYFUNCTION("""COMPUTED_VALUE"""),0.34292824074145756)</f>
        <v>0.3429282407</v>
      </c>
      <c r="D13740" s="4">
        <f>IFERROR(__xludf.DUMMYFUNCTION("""COMPUTED_VALUE"""),12.922609)</f>
        <v>12.922609</v>
      </c>
      <c r="E13740" s="4">
        <f>IFERROR(__xludf.DUMMYFUNCTION("""COMPUTED_VALUE"""),80.149611)</f>
        <v>80.149611</v>
      </c>
      <c r="F13740" s="4">
        <f>IFERROR(__xludf.DUMMYFUNCTION("""COMPUTED_VALUE"""),2846.0)</f>
        <v>2846</v>
      </c>
      <c r="G13740" s="4">
        <f>IFERROR(__xludf.DUMMYFUNCTION("""COMPUTED_VALUE"""),32.0)</f>
        <v>32</v>
      </c>
      <c r="H13740" s="4"/>
      <c r="I13740" s="4"/>
    </row>
    <row r="13741">
      <c r="A13741" s="4" t="str">
        <f>IFERROR(__xludf.DUMMYFUNCTION("""COMPUTED_VALUE"""),"cas_hmw")</f>
        <v>cas_hmw</v>
      </c>
      <c r="B13741" s="5">
        <f>IFERROR(__xludf.DUMMYFUNCTION("""COMPUTED_VALUE"""),44720.0)</f>
        <v>44720</v>
      </c>
      <c r="C13741" s="6">
        <f>IFERROR(__xludf.DUMMYFUNCTION("""COMPUTED_VALUE"""),0.34333333333415794)</f>
        <v>0.3433333333</v>
      </c>
      <c r="D13741" s="4">
        <f>IFERROR(__xludf.DUMMYFUNCTION("""COMPUTED_VALUE"""),12.920152)</f>
        <v>12.920152</v>
      </c>
      <c r="E13741" s="4">
        <f>IFERROR(__xludf.DUMMYFUNCTION("""COMPUTED_VALUE"""),80.111325)</f>
        <v>80.111325</v>
      </c>
      <c r="F13741" s="4">
        <f>IFERROR(__xludf.DUMMYFUNCTION("""COMPUTED_VALUE"""),805.0)</f>
        <v>805</v>
      </c>
      <c r="G13741" s="4">
        <f>IFERROR(__xludf.DUMMYFUNCTION("""COMPUTED_VALUE"""),58.0)</f>
        <v>58</v>
      </c>
      <c r="H13741" s="4"/>
      <c r="I13741" s="4"/>
    </row>
    <row r="13742">
      <c r="A13742" s="4" t="str">
        <f>IFERROR(__xludf.DUMMYFUNCTION("""COMPUTED_VALUE"""),"cas_hmw")</f>
        <v>cas_hmw</v>
      </c>
      <c r="B13742" s="5">
        <f>IFERROR(__xludf.DUMMYFUNCTION("""COMPUTED_VALUE"""),44720.0)</f>
        <v>44720</v>
      </c>
      <c r="C13742" s="6">
        <f>IFERROR(__xludf.DUMMYFUNCTION("""COMPUTED_VALUE"""),0.343784722223063)</f>
        <v>0.3437847222</v>
      </c>
      <c r="D13742" s="4">
        <f>IFERROR(__xludf.DUMMYFUNCTION("""COMPUTED_VALUE"""),12.920152)</f>
        <v>12.920152</v>
      </c>
      <c r="E13742" s="4">
        <f>IFERROR(__xludf.DUMMYFUNCTION("""COMPUTED_VALUE"""),80.111325)</f>
        <v>80.111325</v>
      </c>
      <c r="F13742" s="4">
        <f>IFERROR(__xludf.DUMMYFUNCTION("""COMPUTED_VALUE"""),805.0)</f>
        <v>805</v>
      </c>
      <c r="G13742" s="4">
        <f>IFERROR(__xludf.DUMMYFUNCTION("""COMPUTED_VALUE"""),58.0)</f>
        <v>58</v>
      </c>
      <c r="H13742" s="4"/>
      <c r="I13742" s="4"/>
    </row>
    <row r="13743">
      <c r="A13743" s="4" t="str">
        <f>IFERROR(__xludf.DUMMYFUNCTION("""COMPUTED_VALUE"""),"cas_hmw")</f>
        <v>cas_hmw</v>
      </c>
      <c r="B13743" s="5">
        <f>IFERROR(__xludf.DUMMYFUNCTION("""COMPUTED_VALUE"""),44720.0)</f>
        <v>44720</v>
      </c>
      <c r="C13743" s="6">
        <f>IFERROR(__xludf.DUMMYFUNCTION("""COMPUTED_VALUE"""),0.34391203703853535)</f>
        <v>0.343912037</v>
      </c>
      <c r="D13743" s="4">
        <f>IFERROR(__xludf.DUMMYFUNCTION("""COMPUTED_VALUE"""),12.909416)</f>
        <v>12.909416</v>
      </c>
      <c r="E13743" s="4">
        <f>IFERROR(__xludf.DUMMYFUNCTION("""COMPUTED_VALUE"""),80.099408)</f>
        <v>80.099408</v>
      </c>
      <c r="F13743" s="4">
        <f>IFERROR(__xludf.DUMMYFUNCTION("""COMPUTED_VALUE"""),805.0)</f>
        <v>805</v>
      </c>
      <c r="G13743" s="4">
        <f>IFERROR(__xludf.DUMMYFUNCTION("""COMPUTED_VALUE"""),44.0)</f>
        <v>44</v>
      </c>
      <c r="H13743" s="4"/>
      <c r="I13743" s="4"/>
    </row>
    <row r="13744">
      <c r="A13744" s="4" t="str">
        <f>IFERROR(__xludf.DUMMYFUNCTION("""COMPUTED_VALUE"""),"cas_hmw")</f>
        <v>cas_hmw</v>
      </c>
      <c r="B13744" s="5">
        <f>IFERROR(__xludf.DUMMYFUNCTION("""COMPUTED_VALUE"""),44720.0)</f>
        <v>44720</v>
      </c>
      <c r="C13744" s="6">
        <f>IFERROR(__xludf.DUMMYFUNCTION("""COMPUTED_VALUE"""),0.3441550925927004)</f>
        <v>0.3441550926</v>
      </c>
      <c r="D13744" s="4">
        <f>IFERROR(__xludf.DUMMYFUNCTION("""COMPUTED_VALUE"""),12.908546)</f>
        <v>12.908546</v>
      </c>
      <c r="E13744" s="4">
        <f>IFERROR(__xludf.DUMMYFUNCTION("""COMPUTED_VALUE"""),80.098211)</f>
        <v>80.098211</v>
      </c>
      <c r="F13744" s="4">
        <f>IFERROR(__xludf.DUMMYFUNCTION("""COMPUTED_VALUE"""),805.0)</f>
        <v>805</v>
      </c>
      <c r="G13744" s="4">
        <f>IFERROR(__xludf.DUMMYFUNCTION("""COMPUTED_VALUE"""),29.0)</f>
        <v>29</v>
      </c>
      <c r="H13744" s="4"/>
      <c r="I13744" s="4"/>
    </row>
    <row r="13745">
      <c r="A13745" s="4" t="str">
        <f>IFERROR(__xludf.DUMMYFUNCTION("""COMPUTED_VALUE"""),"cas_hmw")</f>
        <v>cas_hmw</v>
      </c>
      <c r="B13745" s="5">
        <f>IFERROR(__xludf.DUMMYFUNCTION("""COMPUTED_VALUE"""),44720.0)</f>
        <v>44720</v>
      </c>
      <c r="C13745" s="6">
        <f>IFERROR(__xludf.DUMMYFUNCTION("""COMPUTED_VALUE"""),0.3451273148129985)</f>
        <v>0.3451273148</v>
      </c>
      <c r="D13745" s="4">
        <f>IFERROR(__xludf.DUMMYFUNCTION("""COMPUTED_VALUE"""),13.053)</f>
        <v>13.053</v>
      </c>
      <c r="E13745" s="4">
        <f>IFERROR(__xludf.DUMMYFUNCTION("""COMPUTED_VALUE"""),80.153774)</f>
        <v>80.153774</v>
      </c>
      <c r="F13745" s="4">
        <f>IFERROR(__xludf.DUMMYFUNCTION("""COMPUTED_VALUE"""),3143.0)</f>
        <v>3143</v>
      </c>
      <c r="G13745" s="4">
        <f>IFERROR(__xludf.DUMMYFUNCTION("""COMPUTED_VALUE"""),59.0)</f>
        <v>59</v>
      </c>
      <c r="H13745" s="4"/>
      <c r="I13745" s="4"/>
    </row>
    <row r="13746">
      <c r="A13746" s="4" t="str">
        <f>IFERROR(__xludf.DUMMYFUNCTION("""COMPUTED_VALUE"""),"cas_hmw")</f>
        <v>cas_hmw</v>
      </c>
      <c r="B13746" s="5">
        <f>IFERROR(__xludf.DUMMYFUNCTION("""COMPUTED_VALUE"""),44720.0)</f>
        <v>44720</v>
      </c>
      <c r="C13746" s="6">
        <f>IFERROR(__xludf.DUMMYFUNCTION("""COMPUTED_VALUE"""),0.3452777777783922)</f>
        <v>0.3452777778</v>
      </c>
      <c r="D13746" s="4">
        <f>IFERROR(__xludf.DUMMYFUNCTION("""COMPUTED_VALUE"""),12.903814)</f>
        <v>12.903814</v>
      </c>
      <c r="E13746" s="4">
        <f>IFERROR(__xludf.DUMMYFUNCTION("""COMPUTED_VALUE"""),80.094476)</f>
        <v>80.094476</v>
      </c>
      <c r="F13746" s="4">
        <f>IFERROR(__xludf.DUMMYFUNCTION("""COMPUTED_VALUE"""),805.0)</f>
        <v>805</v>
      </c>
      <c r="G13746" s="4">
        <f>IFERROR(__xludf.DUMMYFUNCTION("""COMPUTED_VALUE"""),42.0)</f>
        <v>42</v>
      </c>
      <c r="H13746" s="4"/>
      <c r="I13746" s="4"/>
    </row>
    <row r="13747">
      <c r="A13747" s="4" t="str">
        <f>IFERROR(__xludf.DUMMYFUNCTION("""COMPUTED_VALUE"""),"cas_hmw")</f>
        <v>cas_hmw</v>
      </c>
      <c r="B13747" s="5">
        <f>IFERROR(__xludf.DUMMYFUNCTION("""COMPUTED_VALUE"""),44720.0)</f>
        <v>44720</v>
      </c>
      <c r="C13747" s="6">
        <f>IFERROR(__xludf.DUMMYFUNCTION("""COMPUTED_VALUE"""),0.34540509259386454)</f>
        <v>0.3454050926</v>
      </c>
      <c r="D13747" s="4">
        <f>IFERROR(__xludf.DUMMYFUNCTION("""COMPUTED_VALUE"""),12.903056)</f>
        <v>12.903056</v>
      </c>
      <c r="E13747" s="4">
        <f>IFERROR(__xludf.DUMMYFUNCTION("""COMPUTED_VALUE"""),80.093837)</f>
        <v>80.093837</v>
      </c>
      <c r="F13747" s="4">
        <f>IFERROR(__xludf.DUMMYFUNCTION("""COMPUTED_VALUE"""),805.0)</f>
        <v>805</v>
      </c>
      <c r="G13747" s="4">
        <f>IFERROR(__xludf.DUMMYFUNCTION("""COMPUTED_VALUE"""),37.0)</f>
        <v>37</v>
      </c>
      <c r="H13747" s="4"/>
      <c r="I13747" s="4"/>
    </row>
    <row r="13748">
      <c r="A13748" s="4" t="str">
        <f>IFERROR(__xludf.DUMMYFUNCTION("""COMPUTED_VALUE"""),"cas_hmw")</f>
        <v>cas_hmw</v>
      </c>
      <c r="B13748" s="5">
        <f>IFERROR(__xludf.DUMMYFUNCTION("""COMPUTED_VALUE"""),44720.0)</f>
        <v>44720</v>
      </c>
      <c r="C13748" s="6">
        <f>IFERROR(__xludf.DUMMYFUNCTION("""COMPUTED_VALUE"""),0.3463425925910997)</f>
        <v>0.3463425926</v>
      </c>
      <c r="D13748" s="4">
        <f>IFERROR(__xludf.DUMMYFUNCTION("""COMPUTED_VALUE"""),12.896673)</f>
        <v>12.896673</v>
      </c>
      <c r="E13748" s="4">
        <f>IFERROR(__xludf.DUMMYFUNCTION("""COMPUTED_VALUE"""),80.088979)</f>
        <v>80.088979</v>
      </c>
      <c r="F13748" s="4">
        <f>IFERROR(__xludf.DUMMYFUNCTION("""COMPUTED_VALUE"""),805.0)</f>
        <v>805</v>
      </c>
      <c r="G13748" s="4">
        <f>IFERROR(__xludf.DUMMYFUNCTION("""COMPUTED_VALUE"""),25.0)</f>
        <v>25</v>
      </c>
      <c r="H13748" s="4"/>
      <c r="I13748" s="4"/>
    </row>
    <row r="13749">
      <c r="A13749" s="4" t="str">
        <f>IFERROR(__xludf.DUMMYFUNCTION("""COMPUTED_VALUE"""),"cas_hmw")</f>
        <v>cas_hmw</v>
      </c>
      <c r="B13749" s="5">
        <f>IFERROR(__xludf.DUMMYFUNCTION("""COMPUTED_VALUE"""),44720.0)</f>
        <v>44720</v>
      </c>
      <c r="C13749" s="6">
        <f>IFERROR(__xludf.DUMMYFUNCTION("""COMPUTED_VALUE"""),0.34660879629518604)</f>
        <v>0.3466087963</v>
      </c>
      <c r="D13749" s="4">
        <f>IFERROR(__xludf.DUMMYFUNCTION("""COMPUTED_VALUE"""),12.895014)</f>
        <v>12.895014</v>
      </c>
      <c r="E13749" s="4">
        <f>IFERROR(__xludf.DUMMYFUNCTION("""COMPUTED_VALUE"""),80.08776)</f>
        <v>80.08776</v>
      </c>
      <c r="F13749" s="4">
        <f>IFERROR(__xludf.DUMMYFUNCTION("""COMPUTED_VALUE"""),805.0)</f>
        <v>805</v>
      </c>
      <c r="G13749" s="4">
        <f>IFERROR(__xludf.DUMMYFUNCTION("""COMPUTED_VALUE"""),52.0)</f>
        <v>52</v>
      </c>
      <c r="H13749" s="4"/>
      <c r="I13749" s="4"/>
    </row>
    <row r="13750">
      <c r="A13750" s="4" t="str">
        <f>IFERROR(__xludf.DUMMYFUNCTION("""COMPUTED_VALUE"""),"cas_hmw")</f>
        <v>cas_hmw</v>
      </c>
      <c r="B13750" s="5">
        <f>IFERROR(__xludf.DUMMYFUNCTION("""COMPUTED_VALUE"""),44720.0)</f>
        <v>44720</v>
      </c>
      <c r="C13750" s="6">
        <f>IFERROR(__xludf.DUMMYFUNCTION("""COMPUTED_VALUE"""),0.34678240740686306)</f>
        <v>0.3467824074</v>
      </c>
      <c r="D13750" s="4">
        <f>IFERROR(__xludf.DUMMYFUNCTION("""COMPUTED_VALUE"""),12.892882)</f>
        <v>12.892882</v>
      </c>
      <c r="E13750" s="4">
        <f>IFERROR(__xludf.DUMMYFUNCTION("""COMPUTED_VALUE"""),80.086169)</f>
        <v>80.086169</v>
      </c>
      <c r="F13750" s="4">
        <f>IFERROR(__xludf.DUMMYFUNCTION("""COMPUTED_VALUE"""),805.0)</f>
        <v>805</v>
      </c>
      <c r="G13750" s="4">
        <f>IFERROR(__xludf.DUMMYFUNCTION("""COMPUTED_VALUE"""),48.0)</f>
        <v>48</v>
      </c>
      <c r="H13750" s="4"/>
      <c r="I13750" s="4"/>
    </row>
    <row r="13751">
      <c r="A13751" s="4" t="str">
        <f>IFERROR(__xludf.DUMMYFUNCTION("""COMPUTED_VALUE"""),"cas_hmw")</f>
        <v>cas_hmw</v>
      </c>
      <c r="B13751" s="5">
        <f>IFERROR(__xludf.DUMMYFUNCTION("""COMPUTED_VALUE"""),44720.0)</f>
        <v>44720</v>
      </c>
      <c r="C13751" s="6">
        <f>IFERROR(__xludf.DUMMYFUNCTION("""COMPUTED_VALUE"""),0.3476620370383898)</f>
        <v>0.347662037</v>
      </c>
      <c r="D13751" s="4">
        <f>IFERROR(__xludf.DUMMYFUNCTION("""COMPUTED_VALUE"""),12.884213)</f>
        <v>12.884213</v>
      </c>
      <c r="E13751" s="4">
        <f>IFERROR(__xludf.DUMMYFUNCTION("""COMPUTED_VALUE"""),80.082292)</f>
        <v>80.082292</v>
      </c>
      <c r="F13751" s="4">
        <f>IFERROR(__xludf.DUMMYFUNCTION("""COMPUTED_VALUE"""),805.0)</f>
        <v>805</v>
      </c>
      <c r="G13751" s="4">
        <f>IFERROR(__xludf.DUMMYFUNCTION("""COMPUTED_VALUE"""),56.0)</f>
        <v>56</v>
      </c>
      <c r="H13751" s="4"/>
      <c r="I13751" s="4"/>
    </row>
    <row r="13752">
      <c r="A13752" s="4" t="str">
        <f>IFERROR(__xludf.DUMMYFUNCTION("""COMPUTED_VALUE"""),"cas_hmw")</f>
        <v>cas_hmw</v>
      </c>
      <c r="B13752" s="5">
        <f>IFERROR(__xludf.DUMMYFUNCTION("""COMPUTED_VALUE"""),44720.0)</f>
        <v>44720</v>
      </c>
      <c r="C13752" s="6">
        <f>IFERROR(__xludf.DUMMYFUNCTION("""COMPUTED_VALUE"""),0.3480439814811689)</f>
        <v>0.3480439815</v>
      </c>
      <c r="D13752" s="4">
        <f>IFERROR(__xludf.DUMMYFUNCTION("""COMPUTED_VALUE"""),12.922682)</f>
        <v>12.922682</v>
      </c>
      <c r="E13752" s="4">
        <f>IFERROR(__xludf.DUMMYFUNCTION("""COMPUTED_VALUE"""),80.132393)</f>
        <v>80.132393</v>
      </c>
      <c r="F13752" s="4">
        <f>IFERROR(__xludf.DUMMYFUNCTION("""COMPUTED_VALUE"""),2846.0)</f>
        <v>2846</v>
      </c>
      <c r="G13752" s="4">
        <f>IFERROR(__xludf.DUMMYFUNCTION("""COMPUTED_VALUE"""),27.0)</f>
        <v>27</v>
      </c>
      <c r="H13752" s="4"/>
      <c r="I13752" s="4"/>
    </row>
    <row r="13753">
      <c r="A13753" s="4" t="str">
        <f>IFERROR(__xludf.DUMMYFUNCTION("""COMPUTED_VALUE"""),"cas_hmw")</f>
        <v>cas_hmw</v>
      </c>
      <c r="B13753" s="5">
        <f>IFERROR(__xludf.DUMMYFUNCTION("""COMPUTED_VALUE"""),44720.0)</f>
        <v>44720</v>
      </c>
      <c r="C13753" s="6">
        <f>IFERROR(__xludf.DUMMYFUNCTION("""COMPUTED_VALUE"""),0.3496643518519704)</f>
        <v>0.3496643519</v>
      </c>
      <c r="D13753" s="4">
        <f>IFERROR(__xludf.DUMMYFUNCTION("""COMPUTED_VALUE"""),12.923258)</f>
        <v>12.923258</v>
      </c>
      <c r="E13753" s="4">
        <f>IFERROR(__xludf.DUMMYFUNCTION("""COMPUTED_VALUE"""),80.120687)</f>
        <v>80.120687</v>
      </c>
      <c r="F13753" s="4">
        <f>IFERROR(__xludf.DUMMYFUNCTION("""COMPUTED_VALUE"""),2846.0)</f>
        <v>2846</v>
      </c>
      <c r="G13753" s="4">
        <f>IFERROR(__xludf.DUMMYFUNCTION("""COMPUTED_VALUE"""),33.0)</f>
        <v>33</v>
      </c>
      <c r="H13753" s="4"/>
      <c r="I13753" s="4"/>
    </row>
    <row r="13754">
      <c r="A13754" s="4" t="str">
        <f>IFERROR(__xludf.DUMMYFUNCTION("""COMPUTED_VALUE"""),"cas_hmw")</f>
        <v>cas_hmw</v>
      </c>
      <c r="B13754" s="5">
        <f>IFERROR(__xludf.DUMMYFUNCTION("""COMPUTED_VALUE"""),44720.0)</f>
        <v>44720</v>
      </c>
      <c r="C13754" s="6">
        <f>IFERROR(__xludf.DUMMYFUNCTION("""COMPUTED_VALUE"""),0.3498495370367891)</f>
        <v>0.349849537</v>
      </c>
      <c r="D13754" s="4">
        <f>IFERROR(__xludf.DUMMYFUNCTION("""COMPUTED_VALUE"""),12.923408)</f>
        <v>12.923408</v>
      </c>
      <c r="E13754" s="4">
        <f>IFERROR(__xludf.DUMMYFUNCTION("""COMPUTED_VALUE"""),80.118882)</f>
        <v>80.118882</v>
      </c>
      <c r="F13754" s="4">
        <f>IFERROR(__xludf.DUMMYFUNCTION("""COMPUTED_VALUE"""),2846.0)</f>
        <v>2846</v>
      </c>
      <c r="G13754" s="4">
        <f>IFERROR(__xludf.DUMMYFUNCTION("""COMPUTED_VALUE"""),42.0)</f>
        <v>42</v>
      </c>
      <c r="H13754" s="4"/>
      <c r="I13754" s="4"/>
    </row>
    <row r="13755">
      <c r="A13755" s="4" t="str">
        <f>IFERROR(__xludf.DUMMYFUNCTION("""COMPUTED_VALUE"""),"cas_hmw")</f>
        <v>cas_hmw</v>
      </c>
      <c r="B13755" s="5">
        <f>IFERROR(__xludf.DUMMYFUNCTION("""COMPUTED_VALUE"""),44720.0)</f>
        <v>44720</v>
      </c>
      <c r="C13755" s="6">
        <f>IFERROR(__xludf.DUMMYFUNCTION("""COMPUTED_VALUE"""),0.3522569444430701)</f>
        <v>0.3522569444</v>
      </c>
      <c r="D13755" s="4">
        <f>IFERROR(__xludf.DUMMYFUNCTION("""COMPUTED_VALUE"""),12.914408)</f>
        <v>12.914408</v>
      </c>
      <c r="E13755" s="4">
        <f>IFERROR(__xludf.DUMMYFUNCTION("""COMPUTED_VALUE"""),80.10261)</f>
        <v>80.10261</v>
      </c>
      <c r="F13755" s="4">
        <f>IFERROR(__xludf.DUMMYFUNCTION("""COMPUTED_VALUE"""),2846.0)</f>
        <v>2846</v>
      </c>
      <c r="G13755" s="4">
        <f>IFERROR(__xludf.DUMMYFUNCTION("""COMPUTED_VALUE"""),49.0)</f>
        <v>49</v>
      </c>
      <c r="H13755" s="4"/>
      <c r="I13755" s="4"/>
    </row>
    <row r="13756">
      <c r="A13756" s="4" t="str">
        <f>IFERROR(__xludf.DUMMYFUNCTION("""COMPUTED_VALUE"""),"cas_hmw")</f>
        <v>cas_hmw</v>
      </c>
      <c r="B13756" s="5">
        <f>IFERROR(__xludf.DUMMYFUNCTION("""COMPUTED_VALUE"""),44720.0)</f>
        <v>44720</v>
      </c>
      <c r="C13756" s="6">
        <f>IFERROR(__xludf.DUMMYFUNCTION("""COMPUTED_VALUE"""),0.35237268518540077)</f>
        <v>0.3523726852</v>
      </c>
      <c r="D13756" s="4">
        <f>IFERROR(__xludf.DUMMYFUNCTION("""COMPUTED_VALUE"""),12.913737)</f>
        <v>12.913737</v>
      </c>
      <c r="E13756" s="4">
        <f>IFERROR(__xludf.DUMMYFUNCTION("""COMPUTED_VALUE"""),80.101823)</f>
        <v>80.101823</v>
      </c>
      <c r="F13756" s="4">
        <f>IFERROR(__xludf.DUMMYFUNCTION("""COMPUTED_VALUE"""),2846.0)</f>
        <v>2846</v>
      </c>
      <c r="G13756" s="4">
        <f>IFERROR(__xludf.DUMMYFUNCTION("""COMPUTED_VALUE"""),32.0)</f>
        <v>32</v>
      </c>
      <c r="H13756" s="4"/>
      <c r="I13756" s="4"/>
    </row>
    <row r="13757">
      <c r="A13757" s="4" t="str">
        <f>IFERROR(__xludf.DUMMYFUNCTION("""COMPUTED_VALUE"""),"cas_hmw")</f>
        <v>cas_hmw</v>
      </c>
      <c r="B13757" s="5">
        <f>IFERROR(__xludf.DUMMYFUNCTION("""COMPUTED_VALUE"""),44720.0)</f>
        <v>44720</v>
      </c>
      <c r="C13757" s="6">
        <f>IFERROR(__xludf.DUMMYFUNCTION("""COMPUTED_VALUE"""),0.3525462962970778)</f>
        <v>0.3525462963</v>
      </c>
      <c r="D13757" s="4">
        <f>IFERROR(__xludf.DUMMYFUNCTION("""COMPUTED_VALUE"""),12.912224)</f>
        <v>12.912224</v>
      </c>
      <c r="E13757" s="4">
        <f>IFERROR(__xludf.DUMMYFUNCTION("""COMPUTED_VALUE"""),80.101512)</f>
        <v>80.101512</v>
      </c>
      <c r="F13757" s="4">
        <f>IFERROR(__xludf.DUMMYFUNCTION("""COMPUTED_VALUE"""),2846.0)</f>
        <v>2846</v>
      </c>
      <c r="G13757" s="4">
        <f>IFERROR(__xludf.DUMMYFUNCTION("""COMPUTED_VALUE"""),25.0)</f>
        <v>25</v>
      </c>
      <c r="H13757" s="4"/>
      <c r="I13757" s="4"/>
    </row>
    <row r="13758">
      <c r="A13758" s="4" t="str">
        <f>IFERROR(__xludf.DUMMYFUNCTION("""COMPUTED_VALUE"""),"cas_hmw")</f>
        <v>cas_hmw</v>
      </c>
      <c r="B13758" s="5">
        <f>IFERROR(__xludf.DUMMYFUNCTION("""COMPUTED_VALUE"""),44720.0)</f>
        <v>44720</v>
      </c>
      <c r="C13758" s="6">
        <f>IFERROR(__xludf.DUMMYFUNCTION("""COMPUTED_VALUE"""),0.3525462962970778)</f>
        <v>0.3525462963</v>
      </c>
      <c r="D13758" s="4">
        <f>IFERROR(__xludf.DUMMYFUNCTION("""COMPUTED_VALUE"""),12.912224)</f>
        <v>12.912224</v>
      </c>
      <c r="E13758" s="4">
        <f>IFERROR(__xludf.DUMMYFUNCTION("""COMPUTED_VALUE"""),80.101512)</f>
        <v>80.101512</v>
      </c>
      <c r="F13758" s="4">
        <f>IFERROR(__xludf.DUMMYFUNCTION("""COMPUTED_VALUE"""),2846.0)</f>
        <v>2846</v>
      </c>
      <c r="G13758" s="4">
        <f>IFERROR(__xludf.DUMMYFUNCTION("""COMPUTED_VALUE"""),25.0)</f>
        <v>25</v>
      </c>
      <c r="H13758" s="4"/>
      <c r="I13758" s="4"/>
    </row>
    <row r="13759">
      <c r="A13759" s="4" t="str">
        <f>IFERROR(__xludf.DUMMYFUNCTION("""COMPUTED_VALUE"""),"cas_hmw")</f>
        <v>cas_hmw</v>
      </c>
      <c r="B13759" s="5">
        <f>IFERROR(__xludf.DUMMYFUNCTION("""COMPUTED_VALUE"""),44720.0)</f>
        <v>44720</v>
      </c>
      <c r="C13759" s="6">
        <f>IFERROR(__xludf.DUMMYFUNCTION("""COMPUTED_VALUE"""),0.35296296296291985)</f>
        <v>0.352962963</v>
      </c>
      <c r="D13759" s="4">
        <f>IFERROR(__xludf.DUMMYFUNCTION("""COMPUTED_VALUE"""),12.909679)</f>
        <v>12.909679</v>
      </c>
      <c r="E13759" s="4">
        <f>IFERROR(__xludf.DUMMYFUNCTION("""COMPUTED_VALUE"""),80.100035)</f>
        <v>80.100035</v>
      </c>
      <c r="F13759" s="4">
        <f>IFERROR(__xludf.DUMMYFUNCTION("""COMPUTED_VALUE"""),2846.0)</f>
        <v>2846</v>
      </c>
      <c r="G13759" s="4">
        <f>IFERROR(__xludf.DUMMYFUNCTION("""COMPUTED_VALUE"""),56.0)</f>
        <v>56</v>
      </c>
      <c r="H13759" s="4"/>
      <c r="I13759" s="4"/>
    </row>
    <row r="13760">
      <c r="A13760" s="4" t="str">
        <f>IFERROR(__xludf.DUMMYFUNCTION("""COMPUTED_VALUE"""),"cas_hmw")</f>
        <v>cas_hmw</v>
      </c>
      <c r="B13760" s="5">
        <f>IFERROR(__xludf.DUMMYFUNCTION("""COMPUTED_VALUE"""),44720.0)</f>
        <v>44720</v>
      </c>
      <c r="C13760" s="6">
        <f>IFERROR(__xludf.DUMMYFUNCTION("""COMPUTED_VALUE"""),0.35572916666569654)</f>
        <v>0.3557291667</v>
      </c>
      <c r="D13760" s="4">
        <f>IFERROR(__xludf.DUMMYFUNCTION("""COMPUTED_VALUE"""),12.891208)</f>
        <v>12.891208</v>
      </c>
      <c r="E13760" s="4">
        <f>IFERROR(__xludf.DUMMYFUNCTION("""COMPUTED_VALUE"""),80.085149)</f>
        <v>80.085149</v>
      </c>
      <c r="F13760" s="4">
        <f>IFERROR(__xludf.DUMMYFUNCTION("""COMPUTED_VALUE"""),2846.0)</f>
        <v>2846</v>
      </c>
      <c r="G13760" s="4">
        <f>IFERROR(__xludf.DUMMYFUNCTION("""COMPUTED_VALUE"""),49.0)</f>
        <v>49</v>
      </c>
      <c r="H13760" s="4"/>
      <c r="I13760" s="4"/>
    </row>
    <row r="13761">
      <c r="A13761" s="4" t="str">
        <f>IFERROR(__xludf.DUMMYFUNCTION("""COMPUTED_VALUE"""),"cas_hmw")</f>
        <v>cas_hmw</v>
      </c>
      <c r="B13761" s="5">
        <f>IFERROR(__xludf.DUMMYFUNCTION("""COMPUTED_VALUE"""),44720.0)</f>
        <v>44720</v>
      </c>
      <c r="C13761" s="6">
        <f>IFERROR(__xludf.DUMMYFUNCTION("""COMPUTED_VALUE"""),0.35583333333488554)</f>
        <v>0.3558333333</v>
      </c>
      <c r="D13761" s="4">
        <f>IFERROR(__xludf.DUMMYFUNCTION("""COMPUTED_VALUE"""),12.889964)</f>
        <v>12.889964</v>
      </c>
      <c r="E13761" s="4">
        <f>IFERROR(__xludf.DUMMYFUNCTION("""COMPUTED_VALUE"""),80.084605)</f>
        <v>80.084605</v>
      </c>
      <c r="F13761" s="4">
        <f>IFERROR(__xludf.DUMMYFUNCTION("""COMPUTED_VALUE"""),2846.0)</f>
        <v>2846</v>
      </c>
      <c r="G13761" s="4">
        <f>IFERROR(__xludf.DUMMYFUNCTION("""COMPUTED_VALUE"""),55.0)</f>
        <v>55</v>
      </c>
      <c r="H13761" s="4"/>
      <c r="I13761" s="4"/>
    </row>
    <row r="13762">
      <c r="A13762" s="4" t="str">
        <f>IFERROR(__xludf.DUMMYFUNCTION("""COMPUTED_VALUE"""),"cas_hmw")</f>
        <v>cas_hmw</v>
      </c>
      <c r="B13762" s="5">
        <f>IFERROR(__xludf.DUMMYFUNCTION("""COMPUTED_VALUE"""),44720.0)</f>
        <v>44720</v>
      </c>
      <c r="C13762" s="6">
        <f>IFERROR(__xludf.DUMMYFUNCTION("""COMPUTED_VALUE"""),0.35605324073912925)</f>
        <v>0.3560532407</v>
      </c>
      <c r="D13762" s="4">
        <f>IFERROR(__xludf.DUMMYFUNCTION("""COMPUTED_VALUE"""),12.887638)</f>
        <v>12.887638</v>
      </c>
      <c r="E13762" s="4">
        <f>IFERROR(__xludf.DUMMYFUNCTION("""COMPUTED_VALUE"""),80.083661)</f>
        <v>80.083661</v>
      </c>
      <c r="F13762" s="4">
        <f>IFERROR(__xludf.DUMMYFUNCTION("""COMPUTED_VALUE"""),2846.0)</f>
        <v>2846</v>
      </c>
      <c r="G13762" s="4">
        <f>IFERROR(__xludf.DUMMYFUNCTION("""COMPUTED_VALUE"""),55.0)</f>
        <v>55</v>
      </c>
      <c r="H13762" s="4"/>
      <c r="I13762" s="4"/>
    </row>
    <row r="13763">
      <c r="A13763" s="4" t="str">
        <f>IFERROR(__xludf.DUMMYFUNCTION("""COMPUTED_VALUE"""),"cas_hmw")</f>
        <v>cas_hmw</v>
      </c>
      <c r="B13763" s="5">
        <f>IFERROR(__xludf.DUMMYFUNCTION("""COMPUTED_VALUE"""),44720.0)</f>
        <v>44720</v>
      </c>
      <c r="C13763" s="6">
        <f>IFERROR(__xludf.DUMMYFUNCTION("""COMPUTED_VALUE"""),0.3560995370353339)</f>
        <v>0.356099537</v>
      </c>
      <c r="D13763" s="4">
        <f>IFERROR(__xludf.DUMMYFUNCTION("""COMPUTED_VALUE"""),12.886312)</f>
        <v>12.886312</v>
      </c>
      <c r="E13763" s="4">
        <f>IFERROR(__xludf.DUMMYFUNCTION("""COMPUTED_VALUE"""),80.083108)</f>
        <v>80.083108</v>
      </c>
      <c r="F13763" s="4">
        <f>IFERROR(__xludf.DUMMYFUNCTION("""COMPUTED_VALUE"""),2846.0)</f>
        <v>2846</v>
      </c>
      <c r="G13763" s="4">
        <f>IFERROR(__xludf.DUMMYFUNCTION("""COMPUTED_VALUE"""),54.0)</f>
        <v>54</v>
      </c>
      <c r="H13763" s="4"/>
      <c r="I13763" s="4"/>
    </row>
    <row r="13764">
      <c r="A13764" s="4" t="str">
        <f>IFERROR(__xludf.DUMMYFUNCTION("""COMPUTED_VALUE"""),"cas_hmw")</f>
        <v>cas_hmw</v>
      </c>
      <c r="B13764" s="5">
        <f>IFERROR(__xludf.DUMMYFUNCTION("""COMPUTED_VALUE"""),44720.0)</f>
        <v>44720</v>
      </c>
      <c r="C13764" s="6">
        <f>IFERROR(__xludf.DUMMYFUNCTION("""COMPUTED_VALUE"""),0.3564236111124046)</f>
        <v>0.3564236111</v>
      </c>
      <c r="D13764" s="4">
        <f>IFERROR(__xludf.DUMMYFUNCTION("""COMPUTED_VALUE"""),12.884308)</f>
        <v>12.884308</v>
      </c>
      <c r="E13764" s="4">
        <f>IFERROR(__xludf.DUMMYFUNCTION("""COMPUTED_VALUE"""),80.082296)</f>
        <v>80.082296</v>
      </c>
      <c r="F13764" s="4">
        <f>IFERROR(__xludf.DUMMYFUNCTION("""COMPUTED_VALUE"""),2846.0)</f>
        <v>2846</v>
      </c>
      <c r="G13764" s="4">
        <f>IFERROR(__xludf.DUMMYFUNCTION("""COMPUTED_VALUE"""),37.0)</f>
        <v>37</v>
      </c>
      <c r="H13764" s="4"/>
      <c r="I13764" s="4"/>
    </row>
    <row r="13765">
      <c r="A13765" s="4" t="str">
        <f>IFERROR(__xludf.DUMMYFUNCTION("""COMPUTED_VALUE"""),"cas_hmw")</f>
        <v>cas_hmw</v>
      </c>
      <c r="B13765" s="5">
        <f>IFERROR(__xludf.DUMMYFUNCTION("""COMPUTED_VALUE"""),44720.0)</f>
        <v>44720</v>
      </c>
      <c r="C13765" s="6">
        <f>IFERROR(__xludf.DUMMYFUNCTION("""COMPUTED_VALUE"""),0.3566782407397113)</f>
        <v>0.3566782407</v>
      </c>
      <c r="D13765" s="4">
        <f>IFERROR(__xludf.DUMMYFUNCTION("""COMPUTED_VALUE"""),12.881622)</f>
        <v>12.881622</v>
      </c>
      <c r="E13765" s="4">
        <f>IFERROR(__xludf.DUMMYFUNCTION("""COMPUTED_VALUE"""),80.081282)</f>
        <v>80.081282</v>
      </c>
      <c r="F13765" s="4">
        <f>IFERROR(__xludf.DUMMYFUNCTION("""COMPUTED_VALUE"""),2846.0)</f>
        <v>2846</v>
      </c>
      <c r="G13765" s="4">
        <f>IFERROR(__xludf.DUMMYFUNCTION("""COMPUTED_VALUE"""),31.0)</f>
        <v>31</v>
      </c>
      <c r="H13765" s="4"/>
      <c r="I13765" s="4"/>
    </row>
    <row r="13766">
      <c r="A13766" s="4" t="str">
        <f>IFERROR(__xludf.DUMMYFUNCTION("""COMPUTED_VALUE"""),"cas_hmw")</f>
        <v>cas_hmw</v>
      </c>
      <c r="B13766" s="5">
        <f>IFERROR(__xludf.DUMMYFUNCTION("""COMPUTED_VALUE"""),44720.0)</f>
        <v>44720</v>
      </c>
      <c r="C13766" s="6">
        <f>IFERROR(__xludf.DUMMYFUNCTION("""COMPUTED_VALUE"""),0.35990740740817273)</f>
        <v>0.3599074074</v>
      </c>
      <c r="D13766" s="4">
        <f>IFERROR(__xludf.DUMMYFUNCTION("""COMPUTED_VALUE"""),12.909223)</f>
        <v>12.909223</v>
      </c>
      <c r="E13766" s="4">
        <f>IFERROR(__xludf.DUMMYFUNCTION("""COMPUTED_VALUE"""),80.099086)</f>
        <v>80.099086</v>
      </c>
      <c r="F13766" s="4">
        <f>IFERROR(__xludf.DUMMYFUNCTION("""COMPUTED_VALUE"""),3143.0)</f>
        <v>3143</v>
      </c>
      <c r="G13766" s="4">
        <f>IFERROR(__xludf.DUMMYFUNCTION("""COMPUTED_VALUE"""),43.0)</f>
        <v>43</v>
      </c>
      <c r="H13766" s="4"/>
      <c r="I13766" s="4"/>
    </row>
    <row r="13767">
      <c r="A13767" s="4" t="str">
        <f>IFERROR(__xludf.DUMMYFUNCTION("""COMPUTED_VALUE"""),"cas_hmw")</f>
        <v>cas_hmw</v>
      </c>
      <c r="B13767" s="5">
        <f>IFERROR(__xludf.DUMMYFUNCTION("""COMPUTED_VALUE"""),44720.0)</f>
        <v>44720</v>
      </c>
      <c r="C13767" s="6">
        <f>IFERROR(__xludf.DUMMYFUNCTION("""COMPUTED_VALUE"""),0.3619675925910997)</f>
        <v>0.3619675926</v>
      </c>
      <c r="D13767" s="4">
        <f>IFERROR(__xludf.DUMMYFUNCTION("""COMPUTED_VALUE"""),12.90275)</f>
        <v>12.90275</v>
      </c>
      <c r="E13767" s="4">
        <f>IFERROR(__xludf.DUMMYFUNCTION("""COMPUTED_VALUE"""),80.093576)</f>
        <v>80.093576</v>
      </c>
      <c r="F13767" s="4">
        <f>IFERROR(__xludf.DUMMYFUNCTION("""COMPUTED_VALUE"""),3143.0)</f>
        <v>3143</v>
      </c>
      <c r="G13767" s="4">
        <f>IFERROR(__xludf.DUMMYFUNCTION("""COMPUTED_VALUE"""),54.0)</f>
        <v>54</v>
      </c>
      <c r="H13767" s="4"/>
      <c r="I13767" s="4"/>
    </row>
    <row r="13768">
      <c r="A13768" s="4" t="str">
        <f>IFERROR(__xludf.DUMMYFUNCTION("""COMPUTED_VALUE"""),"cas_hmw")</f>
        <v>cas_hmw</v>
      </c>
      <c r="B13768" s="5">
        <f>IFERROR(__xludf.DUMMYFUNCTION("""COMPUTED_VALUE"""),44720.0)</f>
        <v>44720</v>
      </c>
      <c r="C13768" s="6">
        <f>IFERROR(__xludf.DUMMYFUNCTION("""COMPUTED_VALUE"""),0.3623611111106584)</f>
        <v>0.3623611111</v>
      </c>
      <c r="D13768" s="4">
        <f>IFERROR(__xludf.DUMMYFUNCTION("""COMPUTED_VALUE"""),12.899107)</f>
        <v>12.899107</v>
      </c>
      <c r="E13768" s="4">
        <f>IFERROR(__xludf.DUMMYFUNCTION("""COMPUTED_VALUE"""),80.090828)</f>
        <v>80.090828</v>
      </c>
      <c r="F13768" s="4">
        <f>IFERROR(__xludf.DUMMYFUNCTION("""COMPUTED_VALUE"""),3143.0)</f>
        <v>3143</v>
      </c>
      <c r="G13768" s="4">
        <f>IFERROR(__xludf.DUMMYFUNCTION("""COMPUTED_VALUE"""),56.0)</f>
        <v>56</v>
      </c>
      <c r="H13768" s="4"/>
      <c r="I13768" s="4"/>
    </row>
    <row r="13769">
      <c r="A13769" s="4" t="str">
        <f>IFERROR(__xludf.DUMMYFUNCTION("""COMPUTED_VALUE"""),"cas_hmw")</f>
        <v>cas_hmw</v>
      </c>
      <c r="B13769" s="5">
        <f>IFERROR(__xludf.DUMMYFUNCTION("""COMPUTED_VALUE"""),44720.0)</f>
        <v>44720</v>
      </c>
      <c r="C13769" s="6">
        <f>IFERROR(__xludf.DUMMYFUNCTION("""COMPUTED_VALUE"""),0.3628587962957681)</f>
        <v>0.3628587963</v>
      </c>
      <c r="D13769" s="4">
        <f>IFERROR(__xludf.DUMMYFUNCTION("""COMPUTED_VALUE"""),12.894437)</f>
        <v>12.894437</v>
      </c>
      <c r="E13769" s="4">
        <f>IFERROR(__xludf.DUMMYFUNCTION("""COMPUTED_VALUE"""),80.087335)</f>
        <v>80.087335</v>
      </c>
      <c r="F13769" s="4">
        <f>IFERROR(__xludf.DUMMYFUNCTION("""COMPUTED_VALUE"""),3143.0)</f>
        <v>3143</v>
      </c>
      <c r="G13769" s="4">
        <f>IFERROR(__xludf.DUMMYFUNCTION("""COMPUTED_VALUE"""),48.0)</f>
        <v>48</v>
      </c>
      <c r="H13769" s="4"/>
      <c r="I13769" s="4"/>
    </row>
    <row r="13770">
      <c r="A13770" s="4" t="str">
        <f>IFERROR(__xludf.DUMMYFUNCTION("""COMPUTED_VALUE"""),"cas_hmw")</f>
        <v>cas_hmw</v>
      </c>
      <c r="B13770" s="5">
        <f>IFERROR(__xludf.DUMMYFUNCTION("""COMPUTED_VALUE"""),44720.0)</f>
        <v>44720</v>
      </c>
      <c r="C13770" s="6">
        <f>IFERROR(__xludf.DUMMYFUNCTION("""COMPUTED_VALUE"""),0.3653009259251121)</f>
        <v>0.3653009259</v>
      </c>
      <c r="D13770" s="4">
        <f>IFERROR(__xludf.DUMMYFUNCTION("""COMPUTED_VALUE"""),12.878363)</f>
        <v>12.878363</v>
      </c>
      <c r="E13770" s="4">
        <f>IFERROR(__xludf.DUMMYFUNCTION("""COMPUTED_VALUE"""),80.082524)</f>
        <v>80.082524</v>
      </c>
      <c r="F13770" s="4">
        <f>IFERROR(__xludf.DUMMYFUNCTION("""COMPUTED_VALUE"""),3143.0)</f>
        <v>3143</v>
      </c>
      <c r="G13770" s="4">
        <f>IFERROR(__xludf.DUMMYFUNCTION("""COMPUTED_VALUE"""),39.0)</f>
        <v>39</v>
      </c>
      <c r="H13770" s="4"/>
      <c r="I13770" s="4"/>
    </row>
    <row r="13771">
      <c r="A13771" s="4" t="str">
        <f>IFERROR(__xludf.DUMMYFUNCTION("""COMPUTED_VALUE"""),"cas_hmw")</f>
        <v>cas_hmw</v>
      </c>
      <c r="B13771" s="5">
        <f>IFERROR(__xludf.DUMMYFUNCTION("""COMPUTED_VALUE"""),44720.0)</f>
        <v>44720</v>
      </c>
      <c r="C13771" s="6">
        <f>IFERROR(__xludf.DUMMYFUNCTION("""COMPUTED_VALUE"""),0.4314004629632109)</f>
        <v>0.431400463</v>
      </c>
      <c r="D13771" s="4">
        <f>IFERROR(__xludf.DUMMYFUNCTION("""COMPUTED_VALUE"""),13.008359)</f>
        <v>13.008359</v>
      </c>
      <c r="E13771" s="4">
        <f>IFERROR(__xludf.DUMMYFUNCTION("""COMPUTED_VALUE"""),80.091465)</f>
        <v>80.091465</v>
      </c>
      <c r="F13771" s="4">
        <f>IFERROR(__xludf.DUMMYFUNCTION("""COMPUTED_VALUE"""),3143.0)</f>
        <v>3143</v>
      </c>
      <c r="G13771" s="4">
        <f>IFERROR(__xludf.DUMMYFUNCTION("""COMPUTED_VALUE"""),47.0)</f>
        <v>47</v>
      </c>
      <c r="H13771" s="4"/>
      <c r="I13771" s="4"/>
    </row>
    <row r="13772">
      <c r="A13772" s="4" t="str">
        <f>IFERROR(__xludf.DUMMYFUNCTION("""COMPUTED_VALUE"""),"cas_hmw")</f>
        <v>cas_hmw</v>
      </c>
      <c r="B13772" s="5">
        <f>IFERROR(__xludf.DUMMYFUNCTION("""COMPUTED_VALUE"""),44720.0)</f>
        <v>44720</v>
      </c>
      <c r="C13772" s="6">
        <f>IFERROR(__xludf.DUMMYFUNCTION("""COMPUTED_VALUE"""),0.5082523148157634)</f>
        <v>0.5082523148</v>
      </c>
      <c r="D13772" s="4">
        <f>IFERROR(__xludf.DUMMYFUNCTION("""COMPUTED_VALUE"""),13.048773)</f>
        <v>13.048773</v>
      </c>
      <c r="E13772" s="4">
        <f>IFERROR(__xludf.DUMMYFUNCTION("""COMPUTED_VALUE"""),80.085651)</f>
        <v>80.085651</v>
      </c>
      <c r="F13772" s="4">
        <f>IFERROR(__xludf.DUMMYFUNCTION("""COMPUTED_VALUE"""),3143.0)</f>
        <v>3143</v>
      </c>
      <c r="G13772" s="4">
        <f>IFERROR(__xludf.DUMMYFUNCTION("""COMPUTED_VALUE"""),54.0)</f>
        <v>54</v>
      </c>
      <c r="H13772" s="4"/>
      <c r="I13772" s="4"/>
    </row>
    <row r="13773">
      <c r="A13773" s="4" t="str">
        <f>IFERROR(__xludf.DUMMYFUNCTION("""COMPUTED_VALUE"""),"cas_hmw")</f>
        <v>cas_hmw</v>
      </c>
      <c r="B13773" s="5">
        <f>IFERROR(__xludf.DUMMYFUNCTION("""COMPUTED_VALUE"""),44720.0)</f>
        <v>44720</v>
      </c>
      <c r="C13773" s="6">
        <f>IFERROR(__xludf.DUMMYFUNCTION("""COMPUTED_VALUE"""),0.6893055555556202)</f>
        <v>0.6893055556</v>
      </c>
      <c r="D13773" s="4">
        <f>IFERROR(__xludf.DUMMYFUNCTION("""COMPUTED_VALUE"""),12.879755)</f>
        <v>12.879755</v>
      </c>
      <c r="E13773" s="4">
        <f>IFERROR(__xludf.DUMMYFUNCTION("""COMPUTED_VALUE"""),80.080174)</f>
        <v>80.080174</v>
      </c>
      <c r="F13773" s="4">
        <f>IFERROR(__xludf.DUMMYFUNCTION("""COMPUTED_VALUE"""),805.0)</f>
        <v>805</v>
      </c>
      <c r="G13773" s="4">
        <f>IFERROR(__xludf.DUMMYFUNCTION("""COMPUTED_VALUE"""),32.0)</f>
        <v>32</v>
      </c>
      <c r="H13773" s="4"/>
      <c r="I13773" s="4"/>
    </row>
    <row r="13774">
      <c r="A13774" s="4" t="str">
        <f>IFERROR(__xludf.DUMMYFUNCTION("""COMPUTED_VALUE"""),"cas_hmw")</f>
        <v>cas_hmw</v>
      </c>
      <c r="B13774" s="5">
        <f>IFERROR(__xludf.DUMMYFUNCTION("""COMPUTED_VALUE"""),44720.0)</f>
        <v>44720</v>
      </c>
      <c r="C13774" s="6">
        <f>IFERROR(__xludf.DUMMYFUNCTION("""COMPUTED_VALUE"""),0.6896759259252576)</f>
        <v>0.6896759259</v>
      </c>
      <c r="D13774" s="4">
        <f>IFERROR(__xludf.DUMMYFUNCTION("""COMPUTED_VALUE"""),12.882261)</f>
        <v>12.882261</v>
      </c>
      <c r="E13774" s="4">
        <f>IFERROR(__xludf.DUMMYFUNCTION("""COMPUTED_VALUE"""),80.081053)</f>
        <v>80.081053</v>
      </c>
      <c r="F13774" s="4">
        <f>IFERROR(__xludf.DUMMYFUNCTION("""COMPUTED_VALUE"""),805.0)</f>
        <v>805</v>
      </c>
      <c r="G13774" s="4">
        <f>IFERROR(__xludf.DUMMYFUNCTION("""COMPUTED_VALUE"""),52.0)</f>
        <v>52</v>
      </c>
      <c r="H13774" s="4"/>
      <c r="I13774" s="4"/>
    </row>
    <row r="13775">
      <c r="A13775" s="4" t="str">
        <f>IFERROR(__xludf.DUMMYFUNCTION("""COMPUTED_VALUE"""),"cas_hmw")</f>
        <v>cas_hmw</v>
      </c>
      <c r="B13775" s="5">
        <f>IFERROR(__xludf.DUMMYFUNCTION("""COMPUTED_VALUE"""),44720.0)</f>
        <v>44720</v>
      </c>
      <c r="C13775" s="6">
        <f>IFERROR(__xludf.DUMMYFUNCTION("""COMPUTED_VALUE"""),0.6902083333334303)</f>
        <v>0.6902083333</v>
      </c>
      <c r="D13775" s="4">
        <f>IFERROR(__xludf.DUMMYFUNCTION("""COMPUTED_VALUE"""),12.888165)</f>
        <v>12.888165</v>
      </c>
      <c r="E13775" s="4">
        <f>IFERROR(__xludf.DUMMYFUNCTION("""COMPUTED_VALUE"""),80.083786)</f>
        <v>80.083786</v>
      </c>
      <c r="F13775" s="4">
        <f>IFERROR(__xludf.DUMMYFUNCTION("""COMPUTED_VALUE"""),805.0)</f>
        <v>805</v>
      </c>
      <c r="G13775" s="4">
        <f>IFERROR(__xludf.DUMMYFUNCTION("""COMPUTED_VALUE"""),56.0)</f>
        <v>56</v>
      </c>
      <c r="H13775" s="4"/>
      <c r="I13775" s="4"/>
    </row>
    <row r="13776">
      <c r="A13776" s="4" t="str">
        <f>IFERROR(__xludf.DUMMYFUNCTION("""COMPUTED_VALUE"""),"cas_hmw")</f>
        <v>cas_hmw</v>
      </c>
      <c r="B13776" s="5">
        <f>IFERROR(__xludf.DUMMYFUNCTION("""COMPUTED_VALUE"""),44720.0)</f>
        <v>44720</v>
      </c>
      <c r="C13776" s="6">
        <f>IFERROR(__xludf.DUMMYFUNCTION("""COMPUTED_VALUE"""),0.6904513888875954)</f>
        <v>0.6904513889</v>
      </c>
      <c r="D13776" s="4">
        <f>IFERROR(__xludf.DUMMYFUNCTION("""COMPUTED_VALUE"""),12.890583)</f>
        <v>12.890583</v>
      </c>
      <c r="E13776" s="4">
        <f>IFERROR(__xludf.DUMMYFUNCTION("""COMPUTED_VALUE"""),80.084714)</f>
        <v>80.084714</v>
      </c>
      <c r="F13776" s="4">
        <f>IFERROR(__xludf.DUMMYFUNCTION("""COMPUTED_VALUE"""),805.0)</f>
        <v>805</v>
      </c>
      <c r="G13776" s="4">
        <f>IFERROR(__xludf.DUMMYFUNCTION("""COMPUTED_VALUE"""),53.0)</f>
        <v>53</v>
      </c>
      <c r="H13776" s="4"/>
      <c r="I13776" s="4"/>
    </row>
    <row r="13777">
      <c r="A13777" s="4" t="str">
        <f>IFERROR(__xludf.DUMMYFUNCTION("""COMPUTED_VALUE"""),"cas_hmw")</f>
        <v>cas_hmw</v>
      </c>
      <c r="B13777" s="5">
        <f>IFERROR(__xludf.DUMMYFUNCTION("""COMPUTED_VALUE"""),44720.0)</f>
        <v>44720</v>
      </c>
      <c r="C13777" s="6">
        <f>IFERROR(__xludf.DUMMYFUNCTION("""COMPUTED_VALUE"""),0.6909143518532801)</f>
        <v>0.6909143519</v>
      </c>
      <c r="D13777" s="4">
        <f>IFERROR(__xludf.DUMMYFUNCTION("""COMPUTED_VALUE"""),12.894948)</f>
        <v>12.894948</v>
      </c>
      <c r="E13777" s="4">
        <f>IFERROR(__xludf.DUMMYFUNCTION("""COMPUTED_VALUE"""),80.087554)</f>
        <v>80.087554</v>
      </c>
      <c r="F13777" s="4">
        <f>IFERROR(__xludf.DUMMYFUNCTION("""COMPUTED_VALUE"""),805.0)</f>
        <v>805</v>
      </c>
      <c r="G13777" s="4">
        <f>IFERROR(__xludf.DUMMYFUNCTION("""COMPUTED_VALUE"""),50.0)</f>
        <v>50</v>
      </c>
      <c r="H13777" s="4"/>
      <c r="I13777" s="4"/>
    </row>
    <row r="13778">
      <c r="A13778" s="4" t="str">
        <f>IFERROR(__xludf.DUMMYFUNCTION("""COMPUTED_VALUE"""),"cas_hmw")</f>
        <v>cas_hmw</v>
      </c>
      <c r="B13778" s="5">
        <f>IFERROR(__xludf.DUMMYFUNCTION("""COMPUTED_VALUE"""),44720.0)</f>
        <v>44720</v>
      </c>
      <c r="C13778" s="6">
        <f>IFERROR(__xludf.DUMMYFUNCTION("""COMPUTED_VALUE"""),0.6916319444426335)</f>
        <v>0.6916319444</v>
      </c>
      <c r="D13778" s="4">
        <f>IFERROR(__xludf.DUMMYFUNCTION("""COMPUTED_VALUE"""),12.901358)</f>
        <v>12.901358</v>
      </c>
      <c r="E13778" s="4">
        <f>IFERROR(__xludf.DUMMYFUNCTION("""COMPUTED_VALUE"""),80.092411)</f>
        <v>80.092411</v>
      </c>
      <c r="F13778" s="4">
        <f>IFERROR(__xludf.DUMMYFUNCTION("""COMPUTED_VALUE"""),805.0)</f>
        <v>805</v>
      </c>
      <c r="G13778" s="4">
        <f>IFERROR(__xludf.DUMMYFUNCTION("""COMPUTED_VALUE"""),50.0)</f>
        <v>50</v>
      </c>
      <c r="H13778" s="4"/>
      <c r="I13778" s="4"/>
    </row>
    <row r="13779">
      <c r="A13779" s="4" t="str">
        <f>IFERROR(__xludf.DUMMYFUNCTION("""COMPUTED_VALUE"""),"cas_hmw")</f>
        <v>cas_hmw</v>
      </c>
      <c r="B13779" s="5">
        <f>IFERROR(__xludf.DUMMYFUNCTION("""COMPUTED_VALUE"""),44720.0)</f>
        <v>44720</v>
      </c>
      <c r="C13779" s="6">
        <f>IFERROR(__xludf.DUMMYFUNCTION("""COMPUTED_VALUE"""),0.6924421296280343)</f>
        <v>0.6924421296</v>
      </c>
      <c r="D13779" s="4">
        <f>IFERROR(__xludf.DUMMYFUNCTION("""COMPUTED_VALUE"""),12.905903)</f>
        <v>12.905903</v>
      </c>
      <c r="E13779" s="4">
        <f>IFERROR(__xludf.DUMMYFUNCTION("""COMPUTED_VALUE"""),80.095986)</f>
        <v>80.095986</v>
      </c>
      <c r="F13779" s="4">
        <f>IFERROR(__xludf.DUMMYFUNCTION("""COMPUTED_VALUE"""),805.0)</f>
        <v>805</v>
      </c>
      <c r="G13779" s="4">
        <f>IFERROR(__xludf.DUMMYFUNCTION("""COMPUTED_VALUE"""),33.0)</f>
        <v>33</v>
      </c>
      <c r="H13779" s="4"/>
      <c r="I13779" s="4"/>
    </row>
    <row r="13780">
      <c r="A13780" s="4" t="str">
        <f>IFERROR(__xludf.DUMMYFUNCTION("""COMPUTED_VALUE"""),"cas_hmw")</f>
        <v>cas_hmw</v>
      </c>
      <c r="B13780" s="5">
        <f>IFERROR(__xludf.DUMMYFUNCTION("""COMPUTED_VALUE"""),44720.0)</f>
        <v>44720</v>
      </c>
      <c r="C13780" s="6">
        <f>IFERROR(__xludf.DUMMYFUNCTION("""COMPUTED_VALUE"""),0.6935879629636474)</f>
        <v>0.693587963</v>
      </c>
      <c r="D13780" s="4">
        <f>IFERROR(__xludf.DUMMYFUNCTION("""COMPUTED_VALUE"""),12.909711)</f>
        <v>12.909711</v>
      </c>
      <c r="E13780" s="4">
        <f>IFERROR(__xludf.DUMMYFUNCTION("""COMPUTED_VALUE"""),80.09948)</f>
        <v>80.09948</v>
      </c>
      <c r="F13780" s="4">
        <f>IFERROR(__xludf.DUMMYFUNCTION("""COMPUTED_VALUE"""),2846.0)</f>
        <v>2846</v>
      </c>
      <c r="G13780" s="4">
        <f>IFERROR(__xludf.DUMMYFUNCTION("""COMPUTED_VALUE"""),36.0)</f>
        <v>36</v>
      </c>
      <c r="H13780" s="4"/>
      <c r="I13780" s="4"/>
    </row>
    <row r="13781">
      <c r="A13781" s="4" t="str">
        <f>IFERROR(__xludf.DUMMYFUNCTION("""COMPUTED_VALUE"""),"cas_hmw")</f>
        <v>cas_hmw</v>
      </c>
      <c r="B13781" s="5">
        <f>IFERROR(__xludf.DUMMYFUNCTION("""COMPUTED_VALUE"""),44720.0)</f>
        <v>44720</v>
      </c>
      <c r="C13781" s="6">
        <f>IFERROR(__xludf.DUMMYFUNCTION("""COMPUTED_VALUE"""),0.6941087962950405)</f>
        <v>0.6941087963</v>
      </c>
      <c r="D13781" s="4">
        <f>IFERROR(__xludf.DUMMYFUNCTION("""COMPUTED_VALUE"""),12.909737)</f>
        <v>12.909737</v>
      </c>
      <c r="E13781" s="4">
        <f>IFERROR(__xludf.DUMMYFUNCTION("""COMPUTED_VALUE"""),80.099661)</f>
        <v>80.099661</v>
      </c>
      <c r="F13781" s="4">
        <f>IFERROR(__xludf.DUMMYFUNCTION("""COMPUTED_VALUE"""),805.0)</f>
        <v>805</v>
      </c>
      <c r="G13781" s="4">
        <f>IFERROR(__xludf.DUMMYFUNCTION("""COMPUTED_VALUE"""),44.0)</f>
        <v>44</v>
      </c>
      <c r="H13781" s="4"/>
      <c r="I13781" s="4"/>
    </row>
    <row r="13782">
      <c r="A13782" s="4" t="str">
        <f>IFERROR(__xludf.DUMMYFUNCTION("""COMPUTED_VALUE"""),"cas_hmw")</f>
        <v>cas_hmw</v>
      </c>
      <c r="B13782" s="5">
        <f>IFERROR(__xludf.DUMMYFUNCTION("""COMPUTED_VALUE"""),44720.0)</f>
        <v>44720</v>
      </c>
      <c r="C13782" s="6">
        <f>IFERROR(__xludf.DUMMYFUNCTION("""COMPUTED_VALUE"""),0.6942361111105129)</f>
        <v>0.6942361111</v>
      </c>
      <c r="D13782" s="4">
        <f>IFERROR(__xludf.DUMMYFUNCTION("""COMPUTED_VALUE"""),12.910292)</f>
        <v>12.910292</v>
      </c>
      <c r="E13782" s="4">
        <f>IFERROR(__xludf.DUMMYFUNCTION("""COMPUTED_VALUE"""),80.100554)</f>
        <v>80.100554</v>
      </c>
      <c r="F13782" s="4">
        <f>IFERROR(__xludf.DUMMYFUNCTION("""COMPUTED_VALUE"""),805.0)</f>
        <v>805</v>
      </c>
      <c r="G13782" s="4">
        <f>IFERROR(__xludf.DUMMYFUNCTION("""COMPUTED_VALUE"""),38.0)</f>
        <v>38</v>
      </c>
      <c r="H13782" s="4"/>
      <c r="I13782" s="4"/>
    </row>
    <row r="13783">
      <c r="A13783" s="4" t="str">
        <f>IFERROR(__xludf.DUMMYFUNCTION("""COMPUTED_VALUE"""),"cas_hmw")</f>
        <v>cas_hmw</v>
      </c>
      <c r="B13783" s="5">
        <f>IFERROR(__xludf.DUMMYFUNCTION("""COMPUTED_VALUE"""),44720.0)</f>
        <v>44720</v>
      </c>
      <c r="C13783" s="6">
        <f>IFERROR(__xludf.DUMMYFUNCTION("""COMPUTED_VALUE"""),0.6942708333335759)</f>
        <v>0.6942708333</v>
      </c>
      <c r="D13783" s="4">
        <f>IFERROR(__xludf.DUMMYFUNCTION("""COMPUTED_VALUE"""),12.914749)</f>
        <v>12.914749</v>
      </c>
      <c r="E13783" s="4">
        <f>IFERROR(__xludf.DUMMYFUNCTION("""COMPUTED_VALUE"""),80.101887)</f>
        <v>80.101887</v>
      </c>
      <c r="F13783" s="4">
        <f>IFERROR(__xludf.DUMMYFUNCTION("""COMPUTED_VALUE"""),2846.0)</f>
        <v>2846</v>
      </c>
      <c r="G13783" s="4">
        <f>IFERROR(__xludf.DUMMYFUNCTION("""COMPUTED_VALUE"""),51.0)</f>
        <v>51</v>
      </c>
      <c r="H13783" s="4"/>
      <c r="I13783" s="4"/>
    </row>
    <row r="13784">
      <c r="A13784" s="4" t="str">
        <f>IFERROR(__xludf.DUMMYFUNCTION("""COMPUTED_VALUE"""),"cas_hmw")</f>
        <v>cas_hmw</v>
      </c>
      <c r="B13784" s="5">
        <f>IFERROR(__xludf.DUMMYFUNCTION("""COMPUTED_VALUE"""),44720.0)</f>
        <v>44720</v>
      </c>
      <c r="C13784" s="6">
        <f>IFERROR(__xludf.DUMMYFUNCTION("""COMPUTED_VALUE"""),0.6950925925921183)</f>
        <v>0.6950925926</v>
      </c>
      <c r="D13784" s="4">
        <f>IFERROR(__xludf.DUMMYFUNCTION("""COMPUTED_VALUE"""),12.918566)</f>
        <v>12.918566</v>
      </c>
      <c r="E13784" s="4">
        <f>IFERROR(__xludf.DUMMYFUNCTION("""COMPUTED_VALUE"""),80.109137)</f>
        <v>80.109137</v>
      </c>
      <c r="F13784" s="4">
        <f>IFERROR(__xludf.DUMMYFUNCTION("""COMPUTED_VALUE"""),2846.0)</f>
        <v>2846</v>
      </c>
      <c r="G13784" s="4">
        <f>IFERROR(__xludf.DUMMYFUNCTION("""COMPUTED_VALUE"""),39.0)</f>
        <v>39</v>
      </c>
      <c r="H13784" s="4"/>
      <c r="I13784" s="4"/>
    </row>
    <row r="13785">
      <c r="A13785" s="4" t="str">
        <f>IFERROR(__xludf.DUMMYFUNCTION("""COMPUTED_VALUE"""),"cas_hmw")</f>
        <v>cas_hmw</v>
      </c>
      <c r="B13785" s="5">
        <f>IFERROR(__xludf.DUMMYFUNCTION("""COMPUTED_VALUE"""),44720.0)</f>
        <v>44720</v>
      </c>
      <c r="C13785" s="6">
        <f>IFERROR(__xludf.DUMMYFUNCTION("""COMPUTED_VALUE"""),0.695138888888323)</f>
        <v>0.6951388889</v>
      </c>
      <c r="D13785" s="4">
        <f>IFERROR(__xludf.DUMMYFUNCTION("""COMPUTED_VALUE"""),12.919162)</f>
        <v>12.919162</v>
      </c>
      <c r="E13785" s="4">
        <f>IFERROR(__xludf.DUMMYFUNCTION("""COMPUTED_VALUE"""),80.109865)</f>
        <v>80.109865</v>
      </c>
      <c r="F13785" s="4">
        <f>IFERROR(__xludf.DUMMYFUNCTION("""COMPUTED_VALUE"""),2846.0)</f>
        <v>2846</v>
      </c>
      <c r="G13785" s="4">
        <f>IFERROR(__xludf.DUMMYFUNCTION("""COMPUTED_VALUE"""),32.0)</f>
        <v>32</v>
      </c>
      <c r="H13785" s="4"/>
      <c r="I13785" s="4"/>
    </row>
    <row r="13786">
      <c r="A13786" s="4" t="str">
        <f>IFERROR(__xludf.DUMMYFUNCTION("""COMPUTED_VALUE"""),"cas_hmw")</f>
        <v>cas_hmw</v>
      </c>
      <c r="B13786" s="5">
        <f>IFERROR(__xludf.DUMMYFUNCTION("""COMPUTED_VALUE"""),44720.0)</f>
        <v>44720</v>
      </c>
      <c r="C13786" s="6">
        <f>IFERROR(__xludf.DUMMYFUNCTION("""COMPUTED_VALUE"""),0.6951504629614647)</f>
        <v>0.695150463</v>
      </c>
      <c r="D13786" s="4">
        <f>IFERROR(__xludf.DUMMYFUNCTION("""COMPUTED_VALUE"""),12.919162)</f>
        <v>12.919162</v>
      </c>
      <c r="E13786" s="4">
        <f>IFERROR(__xludf.DUMMYFUNCTION("""COMPUTED_VALUE"""),80.109865)</f>
        <v>80.109865</v>
      </c>
      <c r="F13786" s="4">
        <f>IFERROR(__xludf.DUMMYFUNCTION("""COMPUTED_VALUE"""),2846.0)</f>
        <v>2846</v>
      </c>
      <c r="G13786" s="4">
        <f>IFERROR(__xludf.DUMMYFUNCTION("""COMPUTED_VALUE"""),32.0)</f>
        <v>32</v>
      </c>
      <c r="H13786" s="4"/>
      <c r="I13786" s="4"/>
    </row>
    <row r="13787">
      <c r="A13787" s="4" t="str">
        <f>IFERROR(__xludf.DUMMYFUNCTION("""COMPUTED_VALUE"""),"cas_hmw")</f>
        <v>cas_hmw</v>
      </c>
      <c r="B13787" s="5">
        <f>IFERROR(__xludf.DUMMYFUNCTION("""COMPUTED_VALUE"""),44720.0)</f>
        <v>44720</v>
      </c>
      <c r="C13787" s="6">
        <f>IFERROR(__xludf.DUMMYFUNCTION("""COMPUTED_VALUE"""),0.6957291666658421)</f>
        <v>0.6957291667</v>
      </c>
      <c r="D13787" s="4">
        <f>IFERROR(__xludf.DUMMYFUNCTION("""COMPUTED_VALUE"""),12.921683)</f>
        <v>12.921683</v>
      </c>
      <c r="E13787" s="4">
        <f>IFERROR(__xludf.DUMMYFUNCTION("""COMPUTED_VALUE"""),80.112558)</f>
        <v>80.112558</v>
      </c>
      <c r="F13787" s="4">
        <f>IFERROR(__xludf.DUMMYFUNCTION("""COMPUTED_VALUE"""),2846.0)</f>
        <v>2846</v>
      </c>
      <c r="G13787" s="4">
        <f>IFERROR(__xludf.DUMMYFUNCTION("""COMPUTED_VALUE"""),25.0)</f>
        <v>25</v>
      </c>
      <c r="H13787" s="4"/>
      <c r="I13787" s="4"/>
    </row>
    <row r="13788">
      <c r="A13788" s="4" t="str">
        <f>IFERROR(__xludf.DUMMYFUNCTION("""COMPUTED_VALUE"""),"cas_hmw")</f>
        <v>cas_hmw</v>
      </c>
      <c r="B13788" s="5">
        <f>IFERROR(__xludf.DUMMYFUNCTION("""COMPUTED_VALUE"""),44720.0)</f>
        <v>44720</v>
      </c>
      <c r="C13788" s="6">
        <f>IFERROR(__xludf.DUMMYFUNCTION("""COMPUTED_VALUE"""),0.6958564814813144)</f>
        <v>0.6958564815</v>
      </c>
      <c r="D13788" s="4">
        <f>IFERROR(__xludf.DUMMYFUNCTION("""COMPUTED_VALUE"""),12.922197)</f>
        <v>12.922197</v>
      </c>
      <c r="E13788" s="4">
        <f>IFERROR(__xludf.DUMMYFUNCTION("""COMPUTED_VALUE"""),80.113086)</f>
        <v>80.113086</v>
      </c>
      <c r="F13788" s="4">
        <f>IFERROR(__xludf.DUMMYFUNCTION("""COMPUTED_VALUE"""),2846.0)</f>
        <v>2846</v>
      </c>
      <c r="G13788" s="4">
        <f>IFERROR(__xludf.DUMMYFUNCTION("""COMPUTED_VALUE"""),32.0)</f>
        <v>32</v>
      </c>
      <c r="H13788" s="4"/>
      <c r="I13788" s="4"/>
    </row>
    <row r="13789">
      <c r="A13789" s="4" t="str">
        <f>IFERROR(__xludf.DUMMYFUNCTION("""COMPUTED_VALUE"""),"cas_hmw")</f>
        <v>cas_hmw</v>
      </c>
      <c r="B13789" s="5">
        <f>IFERROR(__xludf.DUMMYFUNCTION("""COMPUTED_VALUE"""),44720.0)</f>
        <v>44720</v>
      </c>
      <c r="C13789" s="6">
        <f>IFERROR(__xludf.DUMMYFUNCTION("""COMPUTED_VALUE"""),0.6959027777775191)</f>
        <v>0.6959027778</v>
      </c>
      <c r="D13789" s="4">
        <f>IFERROR(__xludf.DUMMYFUNCTION("""COMPUTED_VALUE"""),12.917835)</f>
        <v>12.917835</v>
      </c>
      <c r="E13789" s="4">
        <f>IFERROR(__xludf.DUMMYFUNCTION("""COMPUTED_VALUE"""),80.108307)</f>
        <v>80.108307</v>
      </c>
      <c r="F13789" s="4">
        <f>IFERROR(__xludf.DUMMYFUNCTION("""COMPUTED_VALUE"""),805.0)</f>
        <v>805</v>
      </c>
      <c r="G13789" s="4">
        <f>IFERROR(__xludf.DUMMYFUNCTION("""COMPUTED_VALUE"""),37.0)</f>
        <v>37</v>
      </c>
      <c r="H13789" s="4"/>
      <c r="I13789" s="4"/>
    </row>
    <row r="13790">
      <c r="A13790" s="4" t="str">
        <f>IFERROR(__xludf.DUMMYFUNCTION("""COMPUTED_VALUE"""),"cas_hmw")</f>
        <v>cas_hmw</v>
      </c>
      <c r="B13790" s="5">
        <f>IFERROR(__xludf.DUMMYFUNCTION("""COMPUTED_VALUE"""),44720.0)</f>
        <v>44720</v>
      </c>
      <c r="C13790" s="6">
        <f>IFERROR(__xludf.DUMMYFUNCTION("""COMPUTED_VALUE"""),0.6970833333325572)</f>
        <v>0.6970833333</v>
      </c>
      <c r="D13790" s="4">
        <f>IFERROR(__xludf.DUMMYFUNCTION("""COMPUTED_VALUE"""),12.923657)</f>
        <v>12.923657</v>
      </c>
      <c r="E13790" s="4">
        <f>IFERROR(__xludf.DUMMYFUNCTION("""COMPUTED_VALUE"""),80.117588)</f>
        <v>80.117588</v>
      </c>
      <c r="F13790" s="4">
        <f>IFERROR(__xludf.DUMMYFUNCTION("""COMPUTED_VALUE"""),2846.0)</f>
        <v>2846</v>
      </c>
      <c r="G13790" s="4">
        <f>IFERROR(__xludf.DUMMYFUNCTION("""COMPUTED_VALUE"""),39.0)</f>
        <v>39</v>
      </c>
      <c r="H13790" s="4"/>
      <c r="I13790" s="4"/>
    </row>
    <row r="13791">
      <c r="A13791" s="4" t="str">
        <f>IFERROR(__xludf.DUMMYFUNCTION("""COMPUTED_VALUE"""),"cas_hmw")</f>
        <v>cas_hmw</v>
      </c>
      <c r="B13791" s="5">
        <f>IFERROR(__xludf.DUMMYFUNCTION("""COMPUTED_VALUE"""),44720.0)</f>
        <v>44720</v>
      </c>
      <c r="C13791" s="6">
        <f>IFERROR(__xludf.DUMMYFUNCTION("""COMPUTED_VALUE"""),0.6973148148135806)</f>
        <v>0.6973148148</v>
      </c>
      <c r="D13791" s="4">
        <f>IFERROR(__xludf.DUMMYFUNCTION("""COMPUTED_VALUE"""),12.925432)</f>
        <v>12.925432</v>
      </c>
      <c r="E13791" s="4">
        <f>IFERROR(__xludf.DUMMYFUNCTION("""COMPUTED_VALUE"""),80.11653)</f>
        <v>80.11653</v>
      </c>
      <c r="F13791" s="4">
        <f>IFERROR(__xludf.DUMMYFUNCTION("""COMPUTED_VALUE"""),805.0)</f>
        <v>805</v>
      </c>
      <c r="G13791" s="4">
        <f>IFERROR(__xludf.DUMMYFUNCTION("""COMPUTED_VALUE"""),58.0)</f>
        <v>58</v>
      </c>
      <c r="H13791" s="4"/>
      <c r="I13791" s="4"/>
    </row>
    <row r="13792">
      <c r="A13792" s="4" t="str">
        <f>IFERROR(__xludf.DUMMYFUNCTION("""COMPUTED_VALUE"""),"cas_hmw")</f>
        <v>cas_hmw</v>
      </c>
      <c r="B13792" s="5">
        <f>IFERROR(__xludf.DUMMYFUNCTION("""COMPUTED_VALUE"""),44720.0)</f>
        <v>44720</v>
      </c>
      <c r="C13792" s="6">
        <f>IFERROR(__xludf.DUMMYFUNCTION("""COMPUTED_VALUE"""),0.6974074074059899)</f>
        <v>0.6974074074</v>
      </c>
      <c r="D13792" s="4">
        <f>IFERROR(__xludf.DUMMYFUNCTION("""COMPUTED_VALUE"""),12.9264)</f>
        <v>12.9264</v>
      </c>
      <c r="E13792" s="4">
        <f>IFERROR(__xludf.DUMMYFUNCTION("""COMPUTED_VALUE"""),80.117525)</f>
        <v>80.117525</v>
      </c>
      <c r="F13792" s="4">
        <f>IFERROR(__xludf.DUMMYFUNCTION("""COMPUTED_VALUE"""),805.0)</f>
        <v>805</v>
      </c>
      <c r="G13792" s="4">
        <f>IFERROR(__xludf.DUMMYFUNCTION("""COMPUTED_VALUE"""),45.0)</f>
        <v>45</v>
      </c>
      <c r="H13792" s="4"/>
      <c r="I13792" s="4"/>
    </row>
    <row r="13793">
      <c r="A13793" s="4" t="str">
        <f>IFERROR(__xludf.DUMMYFUNCTION("""COMPUTED_VALUE"""),"cas_hmw")</f>
        <v>cas_hmw</v>
      </c>
      <c r="B13793" s="5">
        <f>IFERROR(__xludf.DUMMYFUNCTION("""COMPUTED_VALUE"""),44720.0)</f>
        <v>44720</v>
      </c>
      <c r="C13793" s="6">
        <f>IFERROR(__xludf.DUMMYFUNCTION("""COMPUTED_VALUE"""),0.697858796294895)</f>
        <v>0.6978587963</v>
      </c>
      <c r="D13793" s="4">
        <f>IFERROR(__xludf.DUMMYFUNCTION("""COMPUTED_VALUE"""),12.928238)</f>
        <v>12.928238</v>
      </c>
      <c r="E13793" s="4">
        <f>IFERROR(__xludf.DUMMYFUNCTION("""COMPUTED_VALUE"""),80.119353)</f>
        <v>80.119353</v>
      </c>
      <c r="F13793" s="4">
        <f>IFERROR(__xludf.DUMMYFUNCTION("""COMPUTED_VALUE"""),805.0)</f>
        <v>805</v>
      </c>
      <c r="G13793" s="4">
        <f>IFERROR(__xludf.DUMMYFUNCTION("""COMPUTED_VALUE"""),52.0)</f>
        <v>52</v>
      </c>
      <c r="H13793" s="4"/>
      <c r="I13793" s="4"/>
    </row>
    <row r="13794">
      <c r="A13794" s="4" t="str">
        <f>IFERROR(__xludf.DUMMYFUNCTION("""COMPUTED_VALUE"""),"cas_hmw")</f>
        <v>cas_hmw</v>
      </c>
      <c r="B13794" s="5">
        <f>IFERROR(__xludf.DUMMYFUNCTION("""COMPUTED_VALUE"""),44720.0)</f>
        <v>44720</v>
      </c>
      <c r="C13794" s="6">
        <f>IFERROR(__xludf.DUMMYFUNCTION("""COMPUTED_VALUE"""),0.6980555555564933)</f>
        <v>0.6980555556</v>
      </c>
      <c r="D13794" s="4">
        <f>IFERROR(__xludf.DUMMYFUNCTION("""COMPUTED_VALUE"""),12.923037)</f>
        <v>12.923037</v>
      </c>
      <c r="E13794" s="4">
        <f>IFERROR(__xludf.DUMMYFUNCTION("""COMPUTED_VALUE"""),80.125806)</f>
        <v>80.125806</v>
      </c>
      <c r="F13794" s="4">
        <f>IFERROR(__xludf.DUMMYFUNCTION("""COMPUTED_VALUE"""),2846.0)</f>
        <v>2846</v>
      </c>
      <c r="G13794" s="4">
        <f>IFERROR(__xludf.DUMMYFUNCTION("""COMPUTED_VALUE"""),38.0)</f>
        <v>38</v>
      </c>
      <c r="H13794" s="4"/>
      <c r="I13794" s="4"/>
    </row>
    <row r="13795">
      <c r="A13795" s="4" t="str">
        <f>IFERROR(__xludf.DUMMYFUNCTION("""COMPUTED_VALUE"""),"cas_hmw")</f>
        <v>cas_hmw</v>
      </c>
      <c r="B13795" s="5">
        <f>IFERROR(__xludf.DUMMYFUNCTION("""COMPUTED_VALUE"""),44720.0)</f>
        <v>44720</v>
      </c>
      <c r="C13795" s="6">
        <f>IFERROR(__xludf.DUMMYFUNCTION("""COMPUTED_VALUE"""),0.6980902777795563)</f>
        <v>0.6980902778</v>
      </c>
      <c r="D13795" s="4">
        <f>IFERROR(__xludf.DUMMYFUNCTION("""COMPUTED_VALUE"""),12.923037)</f>
        <v>12.923037</v>
      </c>
      <c r="E13795" s="4">
        <f>IFERROR(__xludf.DUMMYFUNCTION("""COMPUTED_VALUE"""),80.125806)</f>
        <v>80.125806</v>
      </c>
      <c r="F13795" s="4">
        <f>IFERROR(__xludf.DUMMYFUNCTION("""COMPUTED_VALUE"""),2846.0)</f>
        <v>2846</v>
      </c>
      <c r="G13795" s="4">
        <f>IFERROR(__xludf.DUMMYFUNCTION("""COMPUTED_VALUE"""),38.0)</f>
        <v>38</v>
      </c>
      <c r="H13795" s="4"/>
      <c r="I13795" s="4"/>
    </row>
    <row r="13796">
      <c r="A13796" s="4" t="str">
        <f>IFERROR(__xludf.DUMMYFUNCTION("""COMPUTED_VALUE"""),"cas_hmw")</f>
        <v>cas_hmw</v>
      </c>
      <c r="B13796" s="5">
        <f>IFERROR(__xludf.DUMMYFUNCTION("""COMPUTED_VALUE"""),44720.0)</f>
        <v>44720</v>
      </c>
      <c r="C13796" s="6">
        <f>IFERROR(__xludf.DUMMYFUNCTION("""COMPUTED_VALUE"""),0.6986574074071541)</f>
        <v>0.6986574074</v>
      </c>
      <c r="D13796" s="4">
        <f>IFERROR(__xludf.DUMMYFUNCTION("""COMPUTED_VALUE"""),12.930779)</f>
        <v>12.930779</v>
      </c>
      <c r="E13796" s="4">
        <f>IFERROR(__xludf.DUMMYFUNCTION("""COMPUTED_VALUE"""),80.12189)</f>
        <v>80.12189</v>
      </c>
      <c r="F13796" s="4">
        <f>IFERROR(__xludf.DUMMYFUNCTION("""COMPUTED_VALUE"""),805.0)</f>
        <v>805</v>
      </c>
      <c r="G13796" s="4">
        <f>IFERROR(__xludf.DUMMYFUNCTION("""COMPUTED_VALUE"""),45.0)</f>
        <v>45</v>
      </c>
      <c r="H13796" s="4"/>
      <c r="I13796" s="4"/>
    </row>
    <row r="13797">
      <c r="A13797" s="4" t="str">
        <f>IFERROR(__xludf.DUMMYFUNCTION("""COMPUTED_VALUE"""),"cas_hmw")</f>
        <v>cas_hmw</v>
      </c>
      <c r="B13797" s="5">
        <f>IFERROR(__xludf.DUMMYFUNCTION("""COMPUTED_VALUE"""),44720.0)</f>
        <v>44720</v>
      </c>
      <c r="C13797" s="6">
        <f>IFERROR(__xludf.DUMMYFUNCTION("""COMPUTED_VALUE"""),0.6988773148150358)</f>
        <v>0.6988773148</v>
      </c>
      <c r="D13797" s="4">
        <f>IFERROR(__xludf.DUMMYFUNCTION("""COMPUTED_VALUE"""),12.932247)</f>
        <v>12.932247</v>
      </c>
      <c r="E13797" s="4">
        <f>IFERROR(__xludf.DUMMYFUNCTION("""COMPUTED_VALUE"""),80.123355)</f>
        <v>80.123355</v>
      </c>
      <c r="F13797" s="4">
        <f>IFERROR(__xludf.DUMMYFUNCTION("""COMPUTED_VALUE"""),805.0)</f>
        <v>805</v>
      </c>
      <c r="G13797" s="4">
        <f>IFERROR(__xludf.DUMMYFUNCTION("""COMPUTED_VALUE"""),35.0)</f>
        <v>35</v>
      </c>
      <c r="H13797" s="4"/>
      <c r="I13797" s="4"/>
    </row>
    <row r="13798">
      <c r="A13798" s="4" t="str">
        <f>IFERROR(__xludf.DUMMYFUNCTION("""COMPUTED_VALUE"""),"cas_hmw")</f>
        <v>cas_hmw</v>
      </c>
      <c r="B13798" s="5">
        <f>IFERROR(__xludf.DUMMYFUNCTION("""COMPUTED_VALUE"""),44720.0)</f>
        <v>44720</v>
      </c>
      <c r="C13798" s="6">
        <f>IFERROR(__xludf.DUMMYFUNCTION("""COMPUTED_VALUE"""),0.6992129629616102)</f>
        <v>0.699212963</v>
      </c>
      <c r="D13798" s="4">
        <f>IFERROR(__xludf.DUMMYFUNCTION("""COMPUTED_VALUE"""),12.934392)</f>
        <v>12.934392</v>
      </c>
      <c r="E13798" s="4">
        <f>IFERROR(__xludf.DUMMYFUNCTION("""COMPUTED_VALUE"""),80.12546)</f>
        <v>80.12546</v>
      </c>
      <c r="F13798" s="4">
        <f>IFERROR(__xludf.DUMMYFUNCTION("""COMPUTED_VALUE"""),805.0)</f>
        <v>805</v>
      </c>
      <c r="G13798" s="4">
        <f>IFERROR(__xludf.DUMMYFUNCTION("""COMPUTED_VALUE"""),33.0)</f>
        <v>33</v>
      </c>
      <c r="H13798" s="4"/>
      <c r="I13798" s="4"/>
    </row>
    <row r="13799">
      <c r="A13799" s="4" t="str">
        <f>IFERROR(__xludf.DUMMYFUNCTION("""COMPUTED_VALUE"""),"cas_hmw")</f>
        <v>cas_hmw</v>
      </c>
      <c r="B13799" s="5">
        <f>IFERROR(__xludf.DUMMYFUNCTION("""COMPUTED_VALUE"""),44720.0)</f>
        <v>44720</v>
      </c>
      <c r="C13799" s="6">
        <f>IFERROR(__xludf.DUMMYFUNCTION("""COMPUTED_VALUE"""),0.7000462962969323)</f>
        <v>0.7000462963</v>
      </c>
      <c r="D13799" s="4">
        <f>IFERROR(__xludf.DUMMYFUNCTION("""COMPUTED_VALUE"""),12.935964)</f>
        <v>12.935964</v>
      </c>
      <c r="E13799" s="4">
        <f>IFERROR(__xludf.DUMMYFUNCTION("""COMPUTED_VALUE"""),80.12682)</f>
        <v>80.12682</v>
      </c>
      <c r="F13799" s="4">
        <f>IFERROR(__xludf.DUMMYFUNCTION("""COMPUTED_VALUE"""),805.0)</f>
        <v>805</v>
      </c>
      <c r="G13799" s="4">
        <f>IFERROR(__xludf.DUMMYFUNCTION("""COMPUTED_VALUE"""),18.0)</f>
        <v>18</v>
      </c>
      <c r="H13799" s="4"/>
      <c r="I13799" s="4"/>
    </row>
    <row r="13800">
      <c r="A13800" s="4" t="str">
        <f>IFERROR(__xludf.DUMMYFUNCTION("""COMPUTED_VALUE"""),"cas_hmw")</f>
        <v>cas_hmw</v>
      </c>
      <c r="B13800" s="5">
        <f>IFERROR(__xludf.DUMMYFUNCTION("""COMPUTED_VALUE"""),44720.0)</f>
        <v>44720</v>
      </c>
      <c r="C13800" s="6">
        <f>IFERROR(__xludf.DUMMYFUNCTION("""COMPUTED_VALUE"""),0.700405092593428)</f>
        <v>0.7004050926</v>
      </c>
      <c r="D13800" s="4">
        <f>IFERROR(__xludf.DUMMYFUNCTION("""COMPUTED_VALUE"""),12.937945)</f>
        <v>12.937945</v>
      </c>
      <c r="E13800" s="4">
        <f>IFERROR(__xludf.DUMMYFUNCTION("""COMPUTED_VALUE"""),80.128621)</f>
        <v>80.128621</v>
      </c>
      <c r="F13800" s="4">
        <f>IFERROR(__xludf.DUMMYFUNCTION("""COMPUTED_VALUE"""),805.0)</f>
        <v>805</v>
      </c>
      <c r="G13800" s="4">
        <f>IFERROR(__xludf.DUMMYFUNCTION("""COMPUTED_VALUE"""),51.0)</f>
        <v>51</v>
      </c>
      <c r="H13800" s="4"/>
      <c r="I13800" s="4"/>
    </row>
    <row r="13801">
      <c r="A13801" s="4" t="str">
        <f>IFERROR(__xludf.DUMMYFUNCTION("""COMPUTED_VALUE"""),"cas_hmw")</f>
        <v>cas_hmw</v>
      </c>
      <c r="B13801" s="5">
        <f>IFERROR(__xludf.DUMMYFUNCTION("""COMPUTED_VALUE"""),44720.0)</f>
        <v>44720</v>
      </c>
      <c r="C13801" s="6">
        <f>IFERROR(__xludf.DUMMYFUNCTION("""COMPUTED_VALUE"""),0.7011111111096398)</f>
        <v>0.7011111111</v>
      </c>
      <c r="D13801" s="4">
        <f>IFERROR(__xludf.DUMMYFUNCTION("""COMPUTED_VALUE"""),12.94384)</f>
        <v>12.94384</v>
      </c>
      <c r="E13801" s="4">
        <f>IFERROR(__xludf.DUMMYFUNCTION("""COMPUTED_VALUE"""),80.134389)</f>
        <v>80.134389</v>
      </c>
      <c r="F13801" s="4">
        <f>IFERROR(__xludf.DUMMYFUNCTION("""COMPUTED_VALUE"""),805.0)</f>
        <v>805</v>
      </c>
      <c r="G13801" s="4">
        <f>IFERROR(__xludf.DUMMYFUNCTION("""COMPUTED_VALUE"""),50.0)</f>
        <v>50</v>
      </c>
      <c r="H13801" s="4"/>
      <c r="I13801" s="4"/>
    </row>
    <row r="13802">
      <c r="A13802" s="4" t="str">
        <f>IFERROR(__xludf.DUMMYFUNCTION("""COMPUTED_VALUE"""),"cas_hmw")</f>
        <v>cas_hmw</v>
      </c>
      <c r="B13802" s="5">
        <f>IFERROR(__xludf.DUMMYFUNCTION("""COMPUTED_VALUE"""),44720.0)</f>
        <v>44720</v>
      </c>
      <c r="C13802" s="6">
        <f>IFERROR(__xludf.DUMMYFUNCTION("""COMPUTED_VALUE"""),0.7011805555557657)</f>
        <v>0.7011805556</v>
      </c>
      <c r="D13802" s="4">
        <f>IFERROR(__xludf.DUMMYFUNCTION("""COMPUTED_VALUE"""),12.944871)</f>
        <v>12.944871</v>
      </c>
      <c r="E13802" s="4">
        <f>IFERROR(__xludf.DUMMYFUNCTION("""COMPUTED_VALUE"""),80.135193)</f>
        <v>80.135193</v>
      </c>
      <c r="F13802" s="4">
        <f>IFERROR(__xludf.DUMMYFUNCTION("""COMPUTED_VALUE"""),805.0)</f>
        <v>805</v>
      </c>
      <c r="G13802" s="4">
        <f>IFERROR(__xludf.DUMMYFUNCTION("""COMPUTED_VALUE"""),55.0)</f>
        <v>55</v>
      </c>
      <c r="H13802" s="4"/>
      <c r="I13802" s="4"/>
    </row>
    <row r="13803">
      <c r="A13803" s="4" t="str">
        <f>IFERROR(__xludf.DUMMYFUNCTION("""COMPUTED_VALUE"""),"cas_hmw")</f>
        <v>cas_hmw</v>
      </c>
      <c r="B13803" s="5">
        <f>IFERROR(__xludf.DUMMYFUNCTION("""COMPUTED_VALUE"""),44720.0)</f>
        <v>44720</v>
      </c>
      <c r="C13803" s="6">
        <f>IFERROR(__xludf.DUMMYFUNCTION("""COMPUTED_VALUE"""),0.7014467592598521)</f>
        <v>0.7014467593</v>
      </c>
      <c r="D13803" s="4">
        <f>IFERROR(__xludf.DUMMYFUNCTION("""COMPUTED_VALUE"""),12.946767)</f>
        <v>12.946767</v>
      </c>
      <c r="E13803" s="4">
        <f>IFERROR(__xludf.DUMMYFUNCTION("""COMPUTED_VALUE"""),80.13665)</f>
        <v>80.13665</v>
      </c>
      <c r="F13803" s="4">
        <f>IFERROR(__xludf.DUMMYFUNCTION("""COMPUTED_VALUE"""),805.0)</f>
        <v>805</v>
      </c>
      <c r="G13803" s="4">
        <f>IFERROR(__xludf.DUMMYFUNCTION("""COMPUTED_VALUE"""),48.0)</f>
        <v>48</v>
      </c>
      <c r="H13803" s="4"/>
      <c r="I13803" s="4"/>
    </row>
    <row r="13804">
      <c r="A13804" s="4" t="str">
        <f>IFERROR(__xludf.DUMMYFUNCTION("""COMPUTED_VALUE"""),"cas_hmw")</f>
        <v>cas_hmw</v>
      </c>
      <c r="B13804" s="5">
        <f>IFERROR(__xludf.DUMMYFUNCTION("""COMPUTED_VALUE"""),44720.0)</f>
        <v>44720</v>
      </c>
      <c r="C13804" s="6">
        <f>IFERROR(__xludf.DUMMYFUNCTION("""COMPUTED_VALUE"""),0.7026157407417486)</f>
        <v>0.7026157407</v>
      </c>
      <c r="D13804" s="4">
        <f>IFERROR(__xludf.DUMMYFUNCTION("""COMPUTED_VALUE"""),12.952916)</f>
        <v>12.952916</v>
      </c>
      <c r="E13804" s="4">
        <f>IFERROR(__xludf.DUMMYFUNCTION("""COMPUTED_VALUE"""),80.141329)</f>
        <v>80.141329</v>
      </c>
      <c r="F13804" s="4">
        <f>IFERROR(__xludf.DUMMYFUNCTION("""COMPUTED_VALUE"""),805.0)</f>
        <v>805</v>
      </c>
      <c r="G13804" s="4">
        <f>IFERROR(__xludf.DUMMYFUNCTION("""COMPUTED_VALUE"""),62.0)</f>
        <v>62</v>
      </c>
      <c r="H13804" s="4"/>
      <c r="I13804" s="4"/>
    </row>
    <row r="13805">
      <c r="A13805" s="4" t="str">
        <f>IFERROR(__xludf.DUMMYFUNCTION("""COMPUTED_VALUE"""),"cas_hmw")</f>
        <v>cas_hmw</v>
      </c>
      <c r="B13805" s="5">
        <f>IFERROR(__xludf.DUMMYFUNCTION("""COMPUTED_VALUE"""),44720.0)</f>
        <v>44720</v>
      </c>
      <c r="C13805" s="6">
        <f>IFERROR(__xludf.DUMMYFUNCTION("""COMPUTED_VALUE"""),0.702847222222772)</f>
        <v>0.7028472222</v>
      </c>
      <c r="D13805" s="4">
        <f>IFERROR(__xludf.DUMMYFUNCTION("""COMPUTED_VALUE"""),12.955454)</f>
        <v>12.955454</v>
      </c>
      <c r="E13805" s="4">
        <f>IFERROR(__xludf.DUMMYFUNCTION("""COMPUTED_VALUE"""),80.14265)</f>
        <v>80.14265</v>
      </c>
      <c r="F13805" s="4">
        <f>IFERROR(__xludf.DUMMYFUNCTION("""COMPUTED_VALUE"""),805.0)</f>
        <v>805</v>
      </c>
      <c r="G13805" s="4">
        <f>IFERROR(__xludf.DUMMYFUNCTION("""COMPUTED_VALUE"""),52.0)</f>
        <v>52</v>
      </c>
      <c r="H13805" s="4"/>
      <c r="I13805" s="4"/>
    </row>
    <row r="13806">
      <c r="A13806" s="4" t="str">
        <f>IFERROR(__xludf.DUMMYFUNCTION("""COMPUTED_VALUE"""),"cas_hmw")</f>
        <v>cas_hmw</v>
      </c>
      <c r="B13806" s="5">
        <f>IFERROR(__xludf.DUMMYFUNCTION("""COMPUTED_VALUE"""),44720.0)</f>
        <v>44720</v>
      </c>
      <c r="C13806" s="6">
        <f>IFERROR(__xludf.DUMMYFUNCTION("""COMPUTED_VALUE"""),0.7028587962959136)</f>
        <v>0.7028587963</v>
      </c>
      <c r="D13806" s="4">
        <f>IFERROR(__xludf.DUMMYFUNCTION("""COMPUTED_VALUE"""),12.955454)</f>
        <v>12.955454</v>
      </c>
      <c r="E13806" s="4">
        <f>IFERROR(__xludf.DUMMYFUNCTION("""COMPUTED_VALUE"""),80.14265)</f>
        <v>80.14265</v>
      </c>
      <c r="F13806" s="4">
        <f>IFERROR(__xludf.DUMMYFUNCTION("""COMPUTED_VALUE"""),805.0)</f>
        <v>805</v>
      </c>
      <c r="G13806" s="4">
        <f>IFERROR(__xludf.DUMMYFUNCTION("""COMPUTED_VALUE"""),52.0)</f>
        <v>52</v>
      </c>
      <c r="H13806" s="4"/>
      <c r="I13806" s="4"/>
    </row>
    <row r="13807">
      <c r="A13807" s="4" t="str">
        <f>IFERROR(__xludf.DUMMYFUNCTION("""COMPUTED_VALUE"""),"cas_hmw")</f>
        <v>cas_hmw</v>
      </c>
      <c r="B13807" s="5">
        <f>IFERROR(__xludf.DUMMYFUNCTION("""COMPUTED_VALUE"""),44720.0)</f>
        <v>44720</v>
      </c>
      <c r="C13807" s="6">
        <f>IFERROR(__xludf.DUMMYFUNCTION("""COMPUTED_VALUE"""),0.7030671296306537)</f>
        <v>0.7030671296</v>
      </c>
      <c r="D13807" s="4">
        <f>IFERROR(__xludf.DUMMYFUNCTION("""COMPUTED_VALUE"""),12.957094)</f>
        <v>12.957094</v>
      </c>
      <c r="E13807" s="4">
        <f>IFERROR(__xludf.DUMMYFUNCTION("""COMPUTED_VALUE"""),80.143567)</f>
        <v>80.143567</v>
      </c>
      <c r="F13807" s="4">
        <f>IFERROR(__xludf.DUMMYFUNCTION("""COMPUTED_VALUE"""),805.0)</f>
        <v>805</v>
      </c>
      <c r="G13807" s="4">
        <f>IFERROR(__xludf.DUMMYFUNCTION("""COMPUTED_VALUE"""),43.0)</f>
        <v>43</v>
      </c>
      <c r="H13807" s="4"/>
      <c r="I13807" s="4"/>
    </row>
    <row r="13808">
      <c r="A13808" s="4" t="str">
        <f>IFERROR(__xludf.DUMMYFUNCTION("""COMPUTED_VALUE"""),"cas_hmw")</f>
        <v>cas_hmw</v>
      </c>
      <c r="B13808" s="5">
        <f>IFERROR(__xludf.DUMMYFUNCTION("""COMPUTED_VALUE"""),44720.0)</f>
        <v>44720</v>
      </c>
      <c r="C13808" s="6">
        <f>IFERROR(__xludf.DUMMYFUNCTION("""COMPUTED_VALUE"""),0.7035648148157634)</f>
        <v>0.7035648148</v>
      </c>
      <c r="D13808" s="4">
        <f>IFERROR(__xludf.DUMMYFUNCTION("""COMPUTED_VALUE"""),12.923576)</f>
        <v>12.923576</v>
      </c>
      <c r="E13808" s="4">
        <f>IFERROR(__xludf.DUMMYFUNCTION("""COMPUTED_VALUE"""),80.157696)</f>
        <v>80.157696</v>
      </c>
      <c r="F13808" s="4">
        <f>IFERROR(__xludf.DUMMYFUNCTION("""COMPUTED_VALUE"""),2846.0)</f>
        <v>2846</v>
      </c>
      <c r="G13808" s="4">
        <f>IFERROR(__xludf.DUMMYFUNCTION("""COMPUTED_VALUE"""),43.0)</f>
        <v>43</v>
      </c>
      <c r="H13808" s="4"/>
      <c r="I13808" s="4"/>
    </row>
    <row r="13809">
      <c r="A13809" s="4" t="str">
        <f>IFERROR(__xludf.DUMMYFUNCTION("""COMPUTED_VALUE"""),"cas_hmw")</f>
        <v>cas_hmw</v>
      </c>
      <c r="B13809" s="5">
        <f>IFERROR(__xludf.DUMMYFUNCTION("""COMPUTED_VALUE"""),44720.0)</f>
        <v>44720</v>
      </c>
      <c r="C13809" s="6">
        <f>IFERROR(__xludf.DUMMYFUNCTION("""COMPUTED_VALUE"""),0.7039236111122591)</f>
        <v>0.7039236111</v>
      </c>
      <c r="D13809" s="4">
        <f>IFERROR(__xludf.DUMMYFUNCTION("""COMPUTED_VALUE"""),12.960493)</f>
        <v>12.960493</v>
      </c>
      <c r="E13809" s="4">
        <f>IFERROR(__xludf.DUMMYFUNCTION("""COMPUTED_VALUE"""),80.145196)</f>
        <v>80.145196</v>
      </c>
      <c r="F13809" s="4">
        <f>IFERROR(__xludf.DUMMYFUNCTION("""COMPUTED_VALUE"""),805.0)</f>
        <v>805</v>
      </c>
      <c r="G13809" s="4">
        <f>IFERROR(__xludf.DUMMYFUNCTION("""COMPUTED_VALUE"""),19.0)</f>
        <v>19</v>
      </c>
      <c r="H13809" s="4"/>
      <c r="I13809" s="4"/>
    </row>
    <row r="13810">
      <c r="A13810" s="4" t="str">
        <f>IFERROR(__xludf.DUMMYFUNCTION("""COMPUTED_VALUE"""),"cas_hmw")</f>
        <v>cas_hmw</v>
      </c>
      <c r="B13810" s="5">
        <f>IFERROR(__xludf.DUMMYFUNCTION("""COMPUTED_VALUE"""),44720.0)</f>
        <v>44720</v>
      </c>
      <c r="C13810" s="6">
        <f>IFERROR(__xludf.DUMMYFUNCTION("""COMPUTED_VALUE"""),0.7045138888897782)</f>
        <v>0.7045138889</v>
      </c>
      <c r="D13810" s="4">
        <f>IFERROR(__xludf.DUMMYFUNCTION("""COMPUTED_VALUE"""),12.965297)</f>
        <v>12.965297</v>
      </c>
      <c r="E13810" s="4">
        <f>IFERROR(__xludf.DUMMYFUNCTION("""COMPUTED_VALUE"""),80.148064)</f>
        <v>80.148064</v>
      </c>
      <c r="F13810" s="4">
        <f>IFERROR(__xludf.DUMMYFUNCTION("""COMPUTED_VALUE"""),805.0)</f>
        <v>805</v>
      </c>
      <c r="G13810" s="4">
        <f>IFERROR(__xludf.DUMMYFUNCTION("""COMPUTED_VALUE"""),37.0)</f>
        <v>37</v>
      </c>
      <c r="H13810" s="4"/>
      <c r="I13810" s="4"/>
    </row>
    <row r="13811">
      <c r="A13811" s="4" t="str">
        <f>IFERROR(__xludf.DUMMYFUNCTION("""COMPUTED_VALUE"""),"cas_hmw")</f>
        <v>cas_hmw</v>
      </c>
      <c r="B13811" s="5">
        <f>IFERROR(__xludf.DUMMYFUNCTION("""COMPUTED_VALUE"""),44720.0)</f>
        <v>44720</v>
      </c>
      <c r="C13811" s="6">
        <f>IFERROR(__xludf.DUMMYFUNCTION("""COMPUTED_VALUE"""),0.7052893518521159)</f>
        <v>0.7052893519</v>
      </c>
      <c r="D13811" s="4">
        <f>IFERROR(__xludf.DUMMYFUNCTION("""COMPUTED_VALUE"""),12.97192)</f>
        <v>12.97192</v>
      </c>
      <c r="E13811" s="4">
        <f>IFERROR(__xludf.DUMMYFUNCTION("""COMPUTED_VALUE"""),80.151313)</f>
        <v>80.151313</v>
      </c>
      <c r="F13811" s="4">
        <f>IFERROR(__xludf.DUMMYFUNCTION("""COMPUTED_VALUE"""),805.0)</f>
        <v>805</v>
      </c>
      <c r="G13811" s="4">
        <f>IFERROR(__xludf.DUMMYFUNCTION("""COMPUTED_VALUE"""),47.0)</f>
        <v>47</v>
      </c>
      <c r="H13811" s="4"/>
      <c r="I13811" s="4"/>
    </row>
    <row r="13812">
      <c r="A13812" s="4" t="str">
        <f>IFERROR(__xludf.DUMMYFUNCTION("""COMPUTED_VALUE"""),"cas_hmw")</f>
        <v>cas_hmw</v>
      </c>
      <c r="B13812" s="5">
        <f>IFERROR(__xludf.DUMMYFUNCTION("""COMPUTED_VALUE"""),44720.0)</f>
        <v>44720</v>
      </c>
      <c r="C13812" s="6">
        <f>IFERROR(__xludf.DUMMYFUNCTION("""COMPUTED_VALUE"""),0.705775462964084)</f>
        <v>0.705775463</v>
      </c>
      <c r="D13812" s="4">
        <f>IFERROR(__xludf.DUMMYFUNCTION("""COMPUTED_VALUE"""),12.974999)</f>
        <v>12.974999</v>
      </c>
      <c r="E13812" s="4">
        <f>IFERROR(__xludf.DUMMYFUNCTION("""COMPUTED_VALUE"""),80.155503)</f>
        <v>80.155503</v>
      </c>
      <c r="F13812" s="4">
        <f>IFERROR(__xludf.DUMMYFUNCTION("""COMPUTED_VALUE"""),805.0)</f>
        <v>805</v>
      </c>
      <c r="G13812" s="4">
        <f>IFERROR(__xludf.DUMMYFUNCTION("""COMPUTED_VALUE"""),51.0)</f>
        <v>51</v>
      </c>
      <c r="H13812" s="4"/>
      <c r="I13812" s="4"/>
    </row>
    <row r="13813">
      <c r="A13813" s="4" t="str">
        <f>IFERROR(__xludf.DUMMYFUNCTION("""COMPUTED_VALUE"""),"cas_hmw")</f>
        <v>cas_hmw</v>
      </c>
      <c r="B13813" s="5">
        <f>IFERROR(__xludf.DUMMYFUNCTION("""COMPUTED_VALUE"""),44720.0)</f>
        <v>44720</v>
      </c>
      <c r="C13813" s="6">
        <f>IFERROR(__xludf.DUMMYFUNCTION("""COMPUTED_VALUE"""),0.705949074075761)</f>
        <v>0.7059490741</v>
      </c>
      <c r="D13813" s="4">
        <f>IFERROR(__xludf.DUMMYFUNCTION("""COMPUTED_VALUE"""),12.976434)</f>
        <v>12.976434</v>
      </c>
      <c r="E13813" s="4">
        <f>IFERROR(__xludf.DUMMYFUNCTION("""COMPUTED_VALUE"""),80.157555)</f>
        <v>80.157555</v>
      </c>
      <c r="F13813" s="4">
        <f>IFERROR(__xludf.DUMMYFUNCTION("""COMPUTED_VALUE"""),805.0)</f>
        <v>805</v>
      </c>
      <c r="G13813" s="4">
        <f>IFERROR(__xludf.DUMMYFUNCTION("""COMPUTED_VALUE"""),41.0)</f>
        <v>41</v>
      </c>
      <c r="H13813" s="4"/>
      <c r="I13813" s="4"/>
    </row>
    <row r="13814">
      <c r="A13814" s="4" t="str">
        <f>IFERROR(__xludf.DUMMYFUNCTION("""COMPUTED_VALUE"""),"cas_hmw")</f>
        <v>cas_hmw</v>
      </c>
      <c r="B13814" s="5">
        <f>IFERROR(__xludf.DUMMYFUNCTION("""COMPUTED_VALUE"""),44720.0)</f>
        <v>44720</v>
      </c>
      <c r="C13814" s="6">
        <f>IFERROR(__xludf.DUMMYFUNCTION("""COMPUTED_VALUE"""),0.706053240741312)</f>
        <v>0.7060532407</v>
      </c>
      <c r="D13814" s="4">
        <f>IFERROR(__xludf.DUMMYFUNCTION("""COMPUTED_VALUE"""),12.976434)</f>
        <v>12.976434</v>
      </c>
      <c r="E13814" s="4">
        <f>IFERROR(__xludf.DUMMYFUNCTION("""COMPUTED_VALUE"""),80.157555)</f>
        <v>80.157555</v>
      </c>
      <c r="F13814" s="4">
        <f>IFERROR(__xludf.DUMMYFUNCTION("""COMPUTED_VALUE"""),805.0)</f>
        <v>805</v>
      </c>
      <c r="G13814" s="4">
        <f>IFERROR(__xludf.DUMMYFUNCTION("""COMPUTED_VALUE"""),41.0)</f>
        <v>41</v>
      </c>
      <c r="H13814" s="4"/>
      <c r="I13814" s="4"/>
    </row>
    <row r="13815">
      <c r="A13815" s="4" t="str">
        <f>IFERROR(__xludf.DUMMYFUNCTION("""COMPUTED_VALUE"""),"cas_hmw")</f>
        <v>cas_hmw</v>
      </c>
      <c r="B13815" s="5">
        <f>IFERROR(__xludf.DUMMYFUNCTION("""COMPUTED_VALUE"""),44720.0)</f>
        <v>44720</v>
      </c>
      <c r="C13815" s="6">
        <f>IFERROR(__xludf.DUMMYFUNCTION("""COMPUTED_VALUE"""),0.7072106481464289)</f>
        <v>0.7072106481</v>
      </c>
      <c r="D13815" s="4">
        <f>IFERROR(__xludf.DUMMYFUNCTION("""COMPUTED_VALUE"""),12.98426)</f>
        <v>12.98426</v>
      </c>
      <c r="E13815" s="4">
        <f>IFERROR(__xludf.DUMMYFUNCTION("""COMPUTED_VALUE"""),80.171344)</f>
        <v>80.171344</v>
      </c>
      <c r="F13815" s="4">
        <f>IFERROR(__xludf.DUMMYFUNCTION("""COMPUTED_VALUE"""),805.0)</f>
        <v>805</v>
      </c>
      <c r="G13815" s="4">
        <f>IFERROR(__xludf.DUMMYFUNCTION("""COMPUTED_VALUE"""),57.0)</f>
        <v>57</v>
      </c>
      <c r="H13815" s="4"/>
      <c r="I13815" s="4"/>
    </row>
    <row r="13816">
      <c r="A13816" s="4" t="str">
        <f>IFERROR(__xludf.DUMMYFUNCTION("""COMPUTED_VALUE"""),"cas_hmw")</f>
        <v>cas_hmw</v>
      </c>
      <c r="B13816" s="5">
        <f>IFERROR(__xludf.DUMMYFUNCTION("""COMPUTED_VALUE"""),44720.0)</f>
        <v>44720</v>
      </c>
      <c r="C13816" s="6">
        <f>IFERROR(__xludf.DUMMYFUNCTION("""COMPUTED_VALUE"""),0.7086111111093487)</f>
        <v>0.7086111111</v>
      </c>
      <c r="D13816" s="4">
        <f>IFERROR(__xludf.DUMMYFUNCTION("""COMPUTED_VALUE"""),12.988205)</f>
        <v>12.988205</v>
      </c>
      <c r="E13816" s="4">
        <f>IFERROR(__xludf.DUMMYFUNCTION("""COMPUTED_VALUE"""),80.17709)</f>
        <v>80.17709</v>
      </c>
      <c r="F13816" s="4">
        <f>IFERROR(__xludf.DUMMYFUNCTION("""COMPUTED_VALUE"""),805.0)</f>
        <v>805</v>
      </c>
      <c r="G13816" s="4">
        <f>IFERROR(__xludf.DUMMYFUNCTION("""COMPUTED_VALUE"""),0.0)</f>
        <v>0</v>
      </c>
      <c r="H13816" s="4"/>
      <c r="I13816" s="4"/>
    </row>
    <row r="13817">
      <c r="A13817" s="4" t="str">
        <f>IFERROR(__xludf.DUMMYFUNCTION("""COMPUTED_VALUE"""),"cas_hmw")</f>
        <v>cas_hmw</v>
      </c>
      <c r="B13817" s="5">
        <f>IFERROR(__xludf.DUMMYFUNCTION("""COMPUTED_VALUE"""),44720.0)</f>
        <v>44720</v>
      </c>
      <c r="C13817" s="6">
        <f>IFERROR(__xludf.DUMMYFUNCTION("""COMPUTED_VALUE"""),0.7090509259251121)</f>
        <v>0.7090509259</v>
      </c>
      <c r="D13817" s="4">
        <f>IFERROR(__xludf.DUMMYFUNCTION("""COMPUTED_VALUE"""),12.989396)</f>
        <v>12.989396</v>
      </c>
      <c r="E13817" s="4">
        <f>IFERROR(__xludf.DUMMYFUNCTION("""COMPUTED_VALUE"""),80.178605)</f>
        <v>80.178605</v>
      </c>
      <c r="F13817" s="4">
        <f>IFERROR(__xludf.DUMMYFUNCTION("""COMPUTED_VALUE"""),805.0)</f>
        <v>805</v>
      </c>
      <c r="G13817" s="4">
        <f>IFERROR(__xludf.DUMMYFUNCTION("""COMPUTED_VALUE"""),10.0)</f>
        <v>10</v>
      </c>
      <c r="H13817" s="4"/>
      <c r="I13817" s="4"/>
    </row>
    <row r="13818">
      <c r="A13818" s="4" t="str">
        <f>IFERROR(__xludf.DUMMYFUNCTION("""COMPUTED_VALUE"""),"cas_hmw")</f>
        <v>cas_hmw</v>
      </c>
      <c r="B13818" s="5">
        <f>IFERROR(__xludf.DUMMYFUNCTION("""COMPUTED_VALUE"""),44720.0)</f>
        <v>44720</v>
      </c>
      <c r="C13818" s="6">
        <f>IFERROR(__xludf.DUMMYFUNCTION("""COMPUTED_VALUE"""),0.7091898148137261)</f>
        <v>0.7091898148</v>
      </c>
      <c r="D13818" s="4">
        <f>IFERROR(__xludf.DUMMYFUNCTION("""COMPUTED_VALUE"""),12.989396)</f>
        <v>12.989396</v>
      </c>
      <c r="E13818" s="4">
        <f>IFERROR(__xludf.DUMMYFUNCTION("""COMPUTED_VALUE"""),80.178605)</f>
        <v>80.178605</v>
      </c>
      <c r="F13818" s="4">
        <f>IFERROR(__xludf.DUMMYFUNCTION("""COMPUTED_VALUE"""),805.0)</f>
        <v>805</v>
      </c>
      <c r="G13818" s="4">
        <f>IFERROR(__xludf.DUMMYFUNCTION("""COMPUTED_VALUE"""),10.0)</f>
        <v>10</v>
      </c>
      <c r="H13818" s="4"/>
      <c r="I13818" s="4"/>
    </row>
    <row r="13819">
      <c r="A13819" s="4" t="str">
        <f>IFERROR(__xludf.DUMMYFUNCTION("""COMPUTED_VALUE"""),"cas_hmw")</f>
        <v>cas_hmw</v>
      </c>
      <c r="B13819" s="5">
        <f>IFERROR(__xludf.DUMMYFUNCTION("""COMPUTED_VALUE"""),44720.0)</f>
        <v>44720</v>
      </c>
      <c r="C13819" s="6">
        <f>IFERROR(__xludf.DUMMYFUNCTION("""COMPUTED_VALUE"""),0.7092245370367891)</f>
        <v>0.709224537</v>
      </c>
      <c r="D13819" s="4">
        <f>IFERROR(__xludf.DUMMYFUNCTION("""COMPUTED_VALUE"""),12.990052)</f>
        <v>12.990052</v>
      </c>
      <c r="E13819" s="4">
        <f>IFERROR(__xludf.DUMMYFUNCTION("""COMPUTED_VALUE"""),80.179468)</f>
        <v>80.179468</v>
      </c>
      <c r="F13819" s="4">
        <f>IFERROR(__xludf.DUMMYFUNCTION("""COMPUTED_VALUE"""),805.0)</f>
        <v>805</v>
      </c>
      <c r="G13819" s="4">
        <f>IFERROR(__xludf.DUMMYFUNCTION("""COMPUTED_VALUE"""),35.0)</f>
        <v>35</v>
      </c>
      <c r="H13819" s="4"/>
      <c r="I13819" s="4"/>
    </row>
    <row r="13820">
      <c r="A13820" s="4" t="str">
        <f>IFERROR(__xludf.DUMMYFUNCTION("""COMPUTED_VALUE"""),"cas_hmw")</f>
        <v>cas_hmw</v>
      </c>
      <c r="B13820" s="5">
        <f>IFERROR(__xludf.DUMMYFUNCTION("""COMPUTED_VALUE"""),44720.0)</f>
        <v>44720</v>
      </c>
      <c r="C13820" s="6">
        <f>IFERROR(__xludf.DUMMYFUNCTION("""COMPUTED_VALUE"""),0.7092476851867104)</f>
        <v>0.7092476852</v>
      </c>
      <c r="D13820" s="4">
        <f>IFERROR(__xludf.DUMMYFUNCTION("""COMPUTED_VALUE"""),12.990052)</f>
        <v>12.990052</v>
      </c>
      <c r="E13820" s="4">
        <f>IFERROR(__xludf.DUMMYFUNCTION("""COMPUTED_VALUE"""),80.179468)</f>
        <v>80.179468</v>
      </c>
      <c r="F13820" s="4">
        <f>IFERROR(__xludf.DUMMYFUNCTION("""COMPUTED_VALUE"""),805.0)</f>
        <v>805</v>
      </c>
      <c r="G13820" s="4">
        <f>IFERROR(__xludf.DUMMYFUNCTION("""COMPUTED_VALUE"""),35.0)</f>
        <v>35</v>
      </c>
      <c r="H13820" s="4"/>
      <c r="I13820" s="4"/>
    </row>
    <row r="13821">
      <c r="A13821" s="4" t="str">
        <f>IFERROR(__xludf.DUMMYFUNCTION("""COMPUTED_VALUE"""),"cas_hmw")</f>
        <v>cas_hmw</v>
      </c>
      <c r="B13821" s="5">
        <f>IFERROR(__xludf.DUMMYFUNCTION("""COMPUTED_VALUE"""),44720.0)</f>
        <v>44720</v>
      </c>
      <c r="C13821" s="6">
        <f>IFERROR(__xludf.DUMMYFUNCTION("""COMPUTED_VALUE"""),0.7102662037032133)</f>
        <v>0.7102662037</v>
      </c>
      <c r="D13821" s="4">
        <f>IFERROR(__xludf.DUMMYFUNCTION("""COMPUTED_VALUE"""),12.994288)</f>
        <v>12.994288</v>
      </c>
      <c r="E13821" s="4">
        <f>IFERROR(__xludf.DUMMYFUNCTION("""COMPUTED_VALUE"""),80.185945)</f>
        <v>80.185945</v>
      </c>
      <c r="F13821" s="4">
        <f>IFERROR(__xludf.DUMMYFUNCTION("""COMPUTED_VALUE"""),805.0)</f>
        <v>805</v>
      </c>
      <c r="G13821" s="4">
        <f>IFERROR(__xludf.DUMMYFUNCTION("""COMPUTED_VALUE"""),43.0)</f>
        <v>43</v>
      </c>
      <c r="H13821" s="4"/>
      <c r="I13821" s="4"/>
    </row>
    <row r="13822">
      <c r="A13822" s="4" t="str">
        <f>IFERROR(__xludf.DUMMYFUNCTION("""COMPUTED_VALUE"""),"cas_hmw")</f>
        <v>cas_hmw</v>
      </c>
      <c r="B13822" s="5">
        <f>IFERROR(__xludf.DUMMYFUNCTION("""COMPUTED_VALUE"""),44720.0)</f>
        <v>44720</v>
      </c>
      <c r="C13822" s="6">
        <f>IFERROR(__xludf.DUMMYFUNCTION("""COMPUTED_VALUE"""),0.7102893518531346)</f>
        <v>0.7102893519</v>
      </c>
      <c r="D13822" s="4">
        <f>IFERROR(__xludf.DUMMYFUNCTION("""COMPUTED_VALUE"""),12.994288)</f>
        <v>12.994288</v>
      </c>
      <c r="E13822" s="4">
        <f>IFERROR(__xludf.DUMMYFUNCTION("""COMPUTED_VALUE"""),80.185945)</f>
        <v>80.185945</v>
      </c>
      <c r="F13822" s="4">
        <f>IFERROR(__xludf.DUMMYFUNCTION("""COMPUTED_VALUE"""),805.0)</f>
        <v>805</v>
      </c>
      <c r="G13822" s="4">
        <f>IFERROR(__xludf.DUMMYFUNCTION("""COMPUTED_VALUE"""),43.0)</f>
        <v>43</v>
      </c>
      <c r="H13822" s="4"/>
      <c r="I13822" s="4"/>
    </row>
    <row r="13823">
      <c r="A13823" s="4" t="str">
        <f>IFERROR(__xludf.DUMMYFUNCTION("""COMPUTED_VALUE"""),"cas_hmw")</f>
        <v>cas_hmw</v>
      </c>
      <c r="B13823" s="5">
        <f>IFERROR(__xludf.DUMMYFUNCTION("""COMPUTED_VALUE"""),44720.0)</f>
        <v>44720</v>
      </c>
      <c r="C13823" s="6">
        <f>IFERROR(__xludf.DUMMYFUNCTION("""COMPUTED_VALUE"""),0.7104629629611736)</f>
        <v>0.710462963</v>
      </c>
      <c r="D13823" s="4">
        <f>IFERROR(__xludf.DUMMYFUNCTION("""COMPUTED_VALUE"""),12.995257)</f>
        <v>12.995257</v>
      </c>
      <c r="E13823" s="4">
        <f>IFERROR(__xludf.DUMMYFUNCTION("""COMPUTED_VALUE"""),80.18786)</f>
        <v>80.18786</v>
      </c>
      <c r="F13823" s="4">
        <f>IFERROR(__xludf.DUMMYFUNCTION("""COMPUTED_VALUE"""),805.0)</f>
        <v>805</v>
      </c>
      <c r="G13823" s="4">
        <f>IFERROR(__xludf.DUMMYFUNCTION("""COMPUTED_VALUE"""),46.0)</f>
        <v>46</v>
      </c>
      <c r="H13823" s="4"/>
      <c r="I13823" s="4"/>
    </row>
    <row r="13824">
      <c r="A13824" s="4" t="str">
        <f>IFERROR(__xludf.DUMMYFUNCTION("""COMPUTED_VALUE"""),"cas_hmw")</f>
        <v>cas_hmw</v>
      </c>
      <c r="B13824" s="5">
        <f>IFERROR(__xludf.DUMMYFUNCTION("""COMPUTED_VALUE"""),44720.0)</f>
        <v>44720</v>
      </c>
      <c r="C13824" s="6">
        <f>IFERROR(__xludf.DUMMYFUNCTION("""COMPUTED_VALUE"""),0.7104629629611736)</f>
        <v>0.710462963</v>
      </c>
      <c r="D13824" s="4">
        <f>IFERROR(__xludf.DUMMYFUNCTION("""COMPUTED_VALUE"""),12.995257)</f>
        <v>12.995257</v>
      </c>
      <c r="E13824" s="4">
        <f>IFERROR(__xludf.DUMMYFUNCTION("""COMPUTED_VALUE"""),80.18786)</f>
        <v>80.18786</v>
      </c>
      <c r="F13824" s="4">
        <f>IFERROR(__xludf.DUMMYFUNCTION("""COMPUTED_VALUE"""),805.0)</f>
        <v>805</v>
      </c>
      <c r="G13824" s="4">
        <f>IFERROR(__xludf.DUMMYFUNCTION("""COMPUTED_VALUE"""),46.0)</f>
        <v>46</v>
      </c>
      <c r="H13824" s="4"/>
      <c r="I13824" s="4"/>
    </row>
    <row r="13825">
      <c r="A13825" s="4" t="str">
        <f>IFERROR(__xludf.DUMMYFUNCTION("""COMPUTED_VALUE"""),"cas_hmw")</f>
        <v>cas_hmw</v>
      </c>
      <c r="B13825" s="5">
        <f>IFERROR(__xludf.DUMMYFUNCTION("""COMPUTED_VALUE"""),44720.0)</f>
        <v>44720</v>
      </c>
      <c r="C13825" s="6">
        <f>IFERROR(__xludf.DUMMYFUNCTION("""COMPUTED_VALUE"""),0.7106134259265673)</f>
        <v>0.7106134259</v>
      </c>
      <c r="D13825" s="4">
        <f>IFERROR(__xludf.DUMMYFUNCTION("""COMPUTED_VALUE"""),12.995869)</f>
        <v>12.995869</v>
      </c>
      <c r="E13825" s="4">
        <f>IFERROR(__xludf.DUMMYFUNCTION("""COMPUTED_VALUE"""),80.189005)</f>
        <v>80.189005</v>
      </c>
      <c r="F13825" s="4">
        <f>IFERROR(__xludf.DUMMYFUNCTION("""COMPUTED_VALUE"""),805.0)</f>
        <v>805</v>
      </c>
      <c r="G13825" s="4">
        <f>IFERROR(__xludf.DUMMYFUNCTION("""COMPUTED_VALUE"""),27.0)</f>
        <v>27</v>
      </c>
      <c r="H13825" s="4"/>
      <c r="I13825" s="4"/>
    </row>
    <row r="13826">
      <c r="A13826" s="4" t="str">
        <f>IFERROR(__xludf.DUMMYFUNCTION("""COMPUTED_VALUE"""),"cas_hmw")</f>
        <v>cas_hmw</v>
      </c>
      <c r="B13826" s="5">
        <f>IFERROR(__xludf.DUMMYFUNCTION("""COMPUTED_VALUE"""),44720.0)</f>
        <v>44720</v>
      </c>
      <c r="C13826" s="6">
        <f>IFERROR(__xludf.DUMMYFUNCTION("""COMPUTED_VALUE"""),0.7108101851845277)</f>
        <v>0.7108101852</v>
      </c>
      <c r="D13826" s="4">
        <f>IFERROR(__xludf.DUMMYFUNCTION("""COMPUTED_VALUE"""),12.996659)</f>
        <v>12.996659</v>
      </c>
      <c r="E13826" s="4">
        <f>IFERROR(__xludf.DUMMYFUNCTION("""COMPUTED_VALUE"""),80.189937)</f>
        <v>80.189937</v>
      </c>
      <c r="F13826" s="4">
        <f>IFERROR(__xludf.DUMMYFUNCTION("""COMPUTED_VALUE"""),805.0)</f>
        <v>805</v>
      </c>
      <c r="G13826" s="4">
        <f>IFERROR(__xludf.DUMMYFUNCTION("""COMPUTED_VALUE"""),38.0)</f>
        <v>38</v>
      </c>
      <c r="H13826" s="4"/>
      <c r="I13826" s="4"/>
    </row>
    <row r="13827">
      <c r="A13827" s="4" t="str">
        <f>IFERROR(__xludf.DUMMYFUNCTION("""COMPUTED_VALUE"""),"cas_hmw")</f>
        <v>cas_hmw</v>
      </c>
      <c r="B13827" s="5">
        <f>IFERROR(__xludf.DUMMYFUNCTION("""COMPUTED_VALUE"""),44720.0)</f>
        <v>44720</v>
      </c>
      <c r="C13827" s="6">
        <f>IFERROR(__xludf.DUMMYFUNCTION("""COMPUTED_VALUE"""),0.7110648148154723)</f>
        <v>0.7110648148</v>
      </c>
      <c r="D13827" s="4">
        <f>IFERROR(__xludf.DUMMYFUNCTION("""COMPUTED_VALUE"""),12.998608)</f>
        <v>12.998608</v>
      </c>
      <c r="E13827" s="4">
        <f>IFERROR(__xludf.DUMMYFUNCTION("""COMPUTED_VALUE"""),80.192339)</f>
        <v>80.192339</v>
      </c>
      <c r="F13827" s="4">
        <f>IFERROR(__xludf.DUMMYFUNCTION("""COMPUTED_VALUE"""),805.0)</f>
        <v>805</v>
      </c>
      <c r="G13827" s="4">
        <f>IFERROR(__xludf.DUMMYFUNCTION("""COMPUTED_VALUE"""),34.0)</f>
        <v>34</v>
      </c>
      <c r="H13827" s="4"/>
      <c r="I13827" s="4"/>
    </row>
    <row r="13828">
      <c r="A13828" s="4" t="str">
        <f>IFERROR(__xludf.DUMMYFUNCTION("""COMPUTED_VALUE"""),"cas_hmw")</f>
        <v>cas_hmw</v>
      </c>
      <c r="B13828" s="5">
        <f>IFERROR(__xludf.DUMMYFUNCTION("""COMPUTED_VALUE"""),44720.0)</f>
        <v>44720</v>
      </c>
      <c r="C13828" s="6">
        <f>IFERROR(__xludf.DUMMYFUNCTION("""COMPUTED_VALUE"""),0.7119675925932825)</f>
        <v>0.7119675926</v>
      </c>
      <c r="D13828" s="4">
        <f>IFERROR(__xludf.DUMMYFUNCTION("""COMPUTED_VALUE"""),13.001364)</f>
        <v>13.001364</v>
      </c>
      <c r="E13828" s="4">
        <f>IFERROR(__xludf.DUMMYFUNCTION("""COMPUTED_VALUE"""),80.195714)</f>
        <v>80.195714</v>
      </c>
      <c r="F13828" s="4">
        <f>IFERROR(__xludf.DUMMYFUNCTION("""COMPUTED_VALUE"""),805.0)</f>
        <v>805</v>
      </c>
      <c r="G13828" s="4">
        <f>IFERROR(__xludf.DUMMYFUNCTION("""COMPUTED_VALUE"""),21.0)</f>
        <v>21</v>
      </c>
      <c r="H13828" s="4"/>
      <c r="I13828" s="4"/>
    </row>
    <row r="13829">
      <c r="A13829" s="4" t="str">
        <f>IFERROR(__xludf.DUMMYFUNCTION("""COMPUTED_VALUE"""),"cas_hmw")</f>
        <v>cas_hmw</v>
      </c>
      <c r="B13829" s="5">
        <f>IFERROR(__xludf.DUMMYFUNCTION("""COMPUTED_VALUE"""),44720.0)</f>
        <v>44720</v>
      </c>
      <c r="C13829" s="6">
        <f>IFERROR(__xludf.DUMMYFUNCTION("""COMPUTED_VALUE"""),0.7123032407398568)</f>
        <v>0.7123032407</v>
      </c>
      <c r="D13829" s="4">
        <f>IFERROR(__xludf.DUMMYFUNCTION("""COMPUTED_VALUE"""),13.001919)</f>
        <v>13.001919</v>
      </c>
      <c r="E13829" s="4">
        <f>IFERROR(__xludf.DUMMYFUNCTION("""COMPUTED_VALUE"""),80.198551)</f>
        <v>80.198551</v>
      </c>
      <c r="F13829" s="4">
        <f>IFERROR(__xludf.DUMMYFUNCTION("""COMPUTED_VALUE"""),805.0)</f>
        <v>805</v>
      </c>
      <c r="G13829" s="4">
        <f>IFERROR(__xludf.DUMMYFUNCTION("""COMPUTED_VALUE"""),43.0)</f>
        <v>43</v>
      </c>
      <c r="H13829" s="4"/>
      <c r="I13829" s="4"/>
    </row>
    <row r="13830">
      <c r="A13830" s="4" t="str">
        <f>IFERROR(__xludf.DUMMYFUNCTION("""COMPUTED_VALUE"""),"cas_hmw")</f>
        <v>cas_hmw</v>
      </c>
      <c r="B13830" s="5">
        <f>IFERROR(__xludf.DUMMYFUNCTION("""COMPUTED_VALUE"""),44720.0)</f>
        <v>44720</v>
      </c>
      <c r="C13830" s="6">
        <f>IFERROR(__xludf.DUMMYFUNCTION("""COMPUTED_VALUE"""),0.7125231481477385)</f>
        <v>0.7125231481</v>
      </c>
      <c r="D13830" s="4">
        <f>IFERROR(__xludf.DUMMYFUNCTION("""COMPUTED_VALUE"""),13.002082)</f>
        <v>13.002082</v>
      </c>
      <c r="E13830" s="4">
        <f>IFERROR(__xludf.DUMMYFUNCTION("""COMPUTED_VALUE"""),80.200181)</f>
        <v>80.200181</v>
      </c>
      <c r="F13830" s="4">
        <f>IFERROR(__xludf.DUMMYFUNCTION("""COMPUTED_VALUE"""),805.0)</f>
        <v>805</v>
      </c>
      <c r="G13830" s="4">
        <f>IFERROR(__xludf.DUMMYFUNCTION("""COMPUTED_VALUE"""),39.0)</f>
        <v>39</v>
      </c>
      <c r="H13830" s="4"/>
      <c r="I13830" s="4"/>
    </row>
    <row r="13831">
      <c r="A13831" s="4" t="str">
        <f>IFERROR(__xludf.DUMMYFUNCTION("""COMPUTED_VALUE"""),"cas_hmw")</f>
        <v>cas_hmw</v>
      </c>
      <c r="B13831" s="5">
        <f>IFERROR(__xludf.DUMMYFUNCTION("""COMPUTED_VALUE"""),44720.0)</f>
        <v>44720</v>
      </c>
      <c r="C13831" s="6">
        <f>IFERROR(__xludf.DUMMYFUNCTION("""COMPUTED_VALUE"""),0.7126851851862739)</f>
        <v>0.7126851852</v>
      </c>
      <c r="D13831" s="4">
        <f>IFERROR(__xludf.DUMMYFUNCTION("""COMPUTED_VALUE"""),13.003524)</f>
        <v>13.003524</v>
      </c>
      <c r="E13831" s="4">
        <f>IFERROR(__xludf.DUMMYFUNCTION("""COMPUTED_VALUE"""),80.200857)</f>
        <v>80.200857</v>
      </c>
      <c r="F13831" s="4">
        <f>IFERROR(__xludf.DUMMYFUNCTION("""COMPUTED_VALUE"""),805.0)</f>
        <v>805</v>
      </c>
      <c r="G13831" s="4">
        <f>IFERROR(__xludf.DUMMYFUNCTION("""COMPUTED_VALUE"""),35.0)</f>
        <v>35</v>
      </c>
      <c r="H13831" s="4"/>
      <c r="I13831" s="4"/>
    </row>
    <row r="13832">
      <c r="A13832" s="4" t="str">
        <f>IFERROR(__xludf.DUMMYFUNCTION("""COMPUTED_VALUE"""),"cas_hmw")</f>
        <v>cas_hmw</v>
      </c>
      <c r="B13832" s="5">
        <f>IFERROR(__xludf.DUMMYFUNCTION("""COMPUTED_VALUE"""),44720.0)</f>
        <v>44720</v>
      </c>
      <c r="C13832" s="6">
        <f>IFERROR(__xludf.DUMMYFUNCTION("""COMPUTED_VALUE"""),0.7136111111103673)</f>
        <v>0.7136111111</v>
      </c>
      <c r="D13832" s="4">
        <f>IFERROR(__xludf.DUMMYFUNCTION("""COMPUTED_VALUE"""),13.007616)</f>
        <v>13.007616</v>
      </c>
      <c r="E13832" s="4">
        <f>IFERROR(__xludf.DUMMYFUNCTION("""COMPUTED_VALUE"""),80.203857)</f>
        <v>80.203857</v>
      </c>
      <c r="F13832" s="4">
        <f>IFERROR(__xludf.DUMMYFUNCTION("""COMPUTED_VALUE"""),805.0)</f>
        <v>805</v>
      </c>
      <c r="G13832" s="4">
        <f>IFERROR(__xludf.DUMMYFUNCTION("""COMPUTED_VALUE"""),51.0)</f>
        <v>51</v>
      </c>
      <c r="H13832" s="4"/>
      <c r="I13832" s="4"/>
    </row>
    <row r="13833">
      <c r="A13833" s="4" t="str">
        <f>IFERROR(__xludf.DUMMYFUNCTION("""COMPUTED_VALUE"""),"cas_hmw")</f>
        <v>cas_hmw</v>
      </c>
      <c r="B13833" s="5">
        <f>IFERROR(__xludf.DUMMYFUNCTION("""COMPUTED_VALUE"""),44720.0)</f>
        <v>44720</v>
      </c>
      <c r="C13833" s="6">
        <f>IFERROR(__xludf.DUMMYFUNCTION("""COMPUTED_VALUE"""),0.7142361111109494)</f>
        <v>0.7142361111</v>
      </c>
      <c r="D13833" s="4">
        <f>IFERROR(__xludf.DUMMYFUNCTION("""COMPUTED_VALUE"""),13.008378)</f>
        <v>13.008378</v>
      </c>
      <c r="E13833" s="4">
        <f>IFERROR(__xludf.DUMMYFUNCTION("""COMPUTED_VALUE"""),80.21003)</f>
        <v>80.21003</v>
      </c>
      <c r="F13833" s="4">
        <f>IFERROR(__xludf.DUMMYFUNCTION("""COMPUTED_VALUE"""),805.0)</f>
        <v>805</v>
      </c>
      <c r="G13833" s="4">
        <f>IFERROR(__xludf.DUMMYFUNCTION("""COMPUTED_VALUE"""),51.0)</f>
        <v>51</v>
      </c>
      <c r="H13833" s="4"/>
      <c r="I13833" s="4"/>
    </row>
    <row r="13834">
      <c r="A13834" s="4" t="str">
        <f>IFERROR(__xludf.DUMMYFUNCTION("""COMPUTED_VALUE"""),"cas_hmw")</f>
        <v>cas_hmw</v>
      </c>
      <c r="B13834" s="5">
        <f>IFERROR(__xludf.DUMMYFUNCTION("""COMPUTED_VALUE"""),44720.0)</f>
        <v>44720</v>
      </c>
      <c r="C13834" s="6">
        <f>IFERROR(__xludf.DUMMYFUNCTION("""COMPUTED_VALUE"""),0.7143865740727051)</f>
        <v>0.7143865741</v>
      </c>
      <c r="D13834" s="4">
        <f>IFERROR(__xludf.DUMMYFUNCTION("""COMPUTED_VALUE"""),13.008997)</f>
        <v>13.008997</v>
      </c>
      <c r="E13834" s="4">
        <f>IFERROR(__xludf.DUMMYFUNCTION("""COMPUTED_VALUE"""),80.211765)</f>
        <v>80.211765</v>
      </c>
      <c r="F13834" s="4">
        <f>IFERROR(__xludf.DUMMYFUNCTION("""COMPUTED_VALUE"""),805.0)</f>
        <v>805</v>
      </c>
      <c r="G13834" s="4">
        <f>IFERROR(__xludf.DUMMYFUNCTION("""COMPUTED_VALUE"""),43.0)</f>
        <v>43</v>
      </c>
      <c r="H13834" s="4"/>
      <c r="I13834" s="4"/>
    </row>
    <row r="13835">
      <c r="A13835" s="4" t="str">
        <f>IFERROR(__xludf.DUMMYFUNCTION("""COMPUTED_VALUE"""),"cas_hmw")</f>
        <v>cas_hmw</v>
      </c>
      <c r="B13835" s="5">
        <f>IFERROR(__xludf.DUMMYFUNCTION("""COMPUTED_VALUE"""),44720.0)</f>
        <v>44720</v>
      </c>
      <c r="C13835" s="6">
        <f>IFERROR(__xludf.DUMMYFUNCTION("""COMPUTED_VALUE"""),0.7148495370383898)</f>
        <v>0.714849537</v>
      </c>
      <c r="D13835" s="4">
        <f>IFERROR(__xludf.DUMMYFUNCTION("""COMPUTED_VALUE"""),13.010291)</f>
        <v>13.010291</v>
      </c>
      <c r="E13835" s="4">
        <f>IFERROR(__xludf.DUMMYFUNCTION("""COMPUTED_VALUE"""),80.215708)</f>
        <v>80.215708</v>
      </c>
      <c r="F13835" s="4">
        <f>IFERROR(__xludf.DUMMYFUNCTION("""COMPUTED_VALUE"""),805.0)</f>
        <v>805</v>
      </c>
      <c r="G13835" s="4">
        <f>IFERROR(__xludf.DUMMYFUNCTION("""COMPUTED_VALUE"""),34.0)</f>
        <v>34</v>
      </c>
      <c r="H13835" s="4"/>
      <c r="I13835" s="4"/>
    </row>
    <row r="13836">
      <c r="A13836" s="4" t="str">
        <f>IFERROR(__xludf.DUMMYFUNCTION("""COMPUTED_VALUE"""),"cas_hmw")</f>
        <v>cas_hmw</v>
      </c>
      <c r="B13836" s="5">
        <f>IFERROR(__xludf.DUMMYFUNCTION("""COMPUTED_VALUE"""),44720.0)</f>
        <v>44720</v>
      </c>
      <c r="C13836" s="6">
        <f>IFERROR(__xludf.DUMMYFUNCTION("""COMPUTED_VALUE"""),0.7153009259272949)</f>
        <v>0.7153009259</v>
      </c>
      <c r="D13836" s="4">
        <f>IFERROR(__xludf.DUMMYFUNCTION("""COMPUTED_VALUE"""),13.011593)</f>
        <v>13.011593</v>
      </c>
      <c r="E13836" s="4">
        <f>IFERROR(__xludf.DUMMYFUNCTION("""COMPUTED_VALUE"""),80.218706)</f>
        <v>80.218706</v>
      </c>
      <c r="F13836" s="4">
        <f>IFERROR(__xludf.DUMMYFUNCTION("""COMPUTED_VALUE"""),805.0)</f>
        <v>805</v>
      </c>
      <c r="G13836" s="4">
        <f>IFERROR(__xludf.DUMMYFUNCTION("""COMPUTED_VALUE"""),45.0)</f>
        <v>45</v>
      </c>
      <c r="H13836" s="4"/>
      <c r="I13836" s="4"/>
    </row>
    <row r="13837">
      <c r="A13837" s="4" t="str">
        <f>IFERROR(__xludf.DUMMYFUNCTION("""COMPUTED_VALUE"""),"cas_hmw")</f>
        <v>cas_hmw</v>
      </c>
      <c r="B13837" s="5">
        <f>IFERROR(__xludf.DUMMYFUNCTION("""COMPUTED_VALUE"""),44720.0)</f>
        <v>44720</v>
      </c>
      <c r="C13837" s="6">
        <f>IFERROR(__xludf.DUMMYFUNCTION("""COMPUTED_VALUE"""),0.7155671296313812)</f>
        <v>0.7155671296</v>
      </c>
      <c r="D13837" s="4">
        <f>IFERROR(__xludf.DUMMYFUNCTION("""COMPUTED_VALUE"""),13.012769)</f>
        <v>13.012769</v>
      </c>
      <c r="E13837" s="4">
        <f>IFERROR(__xludf.DUMMYFUNCTION("""COMPUTED_VALUE"""),80.221751)</f>
        <v>80.221751</v>
      </c>
      <c r="F13837" s="4">
        <f>IFERROR(__xludf.DUMMYFUNCTION("""COMPUTED_VALUE"""),805.0)</f>
        <v>805</v>
      </c>
      <c r="G13837" s="4">
        <f>IFERROR(__xludf.DUMMYFUNCTION("""COMPUTED_VALUE"""),31.0)</f>
        <v>31</v>
      </c>
      <c r="H13837" s="4"/>
      <c r="I13837" s="4"/>
    </row>
    <row r="13838">
      <c r="A13838" s="4" t="str">
        <f>IFERROR(__xludf.DUMMYFUNCTION("""COMPUTED_VALUE"""),"cas_hmw")</f>
        <v>cas_hmw</v>
      </c>
      <c r="B13838" s="5">
        <f>IFERROR(__xludf.DUMMYFUNCTION("""COMPUTED_VALUE"""),44720.0)</f>
        <v>44720</v>
      </c>
      <c r="C13838" s="6">
        <f>IFERROR(__xludf.DUMMYFUNCTION("""COMPUTED_VALUE"""),0.7156828703700739)</f>
        <v>0.7156828704</v>
      </c>
      <c r="D13838" s="4">
        <f>IFERROR(__xludf.DUMMYFUNCTION("""COMPUTED_VALUE"""),13.012769)</f>
        <v>13.012769</v>
      </c>
      <c r="E13838" s="4">
        <f>IFERROR(__xludf.DUMMYFUNCTION("""COMPUTED_VALUE"""),80.221751)</f>
        <v>80.221751</v>
      </c>
      <c r="F13838" s="4">
        <f>IFERROR(__xludf.DUMMYFUNCTION("""COMPUTED_VALUE"""),805.0)</f>
        <v>805</v>
      </c>
      <c r="G13838" s="4">
        <f>IFERROR(__xludf.DUMMYFUNCTION("""COMPUTED_VALUE"""),31.0)</f>
        <v>31</v>
      </c>
      <c r="H13838" s="4"/>
      <c r="I13838" s="4"/>
    </row>
    <row r="13839">
      <c r="A13839" s="4" t="str">
        <f>IFERROR(__xludf.DUMMYFUNCTION("""COMPUTED_VALUE"""),"cas_hmw")</f>
        <v>cas_hmw</v>
      </c>
      <c r="B13839" s="5">
        <f>IFERROR(__xludf.DUMMYFUNCTION("""COMPUTED_VALUE"""),44720.0)</f>
        <v>44720</v>
      </c>
      <c r="C13839" s="6">
        <f>IFERROR(__xludf.DUMMYFUNCTION("""COMPUTED_VALUE"""),0.7157060185199953)</f>
        <v>0.7157060185</v>
      </c>
      <c r="D13839" s="4">
        <f>IFERROR(__xludf.DUMMYFUNCTION("""COMPUTED_VALUE"""),13.012769)</f>
        <v>13.012769</v>
      </c>
      <c r="E13839" s="4">
        <f>IFERROR(__xludf.DUMMYFUNCTION("""COMPUTED_VALUE"""),80.221751)</f>
        <v>80.221751</v>
      </c>
      <c r="F13839" s="4">
        <f>IFERROR(__xludf.DUMMYFUNCTION("""COMPUTED_VALUE"""),805.0)</f>
        <v>805</v>
      </c>
      <c r="G13839" s="4">
        <f>IFERROR(__xludf.DUMMYFUNCTION("""COMPUTED_VALUE"""),31.0)</f>
        <v>31</v>
      </c>
      <c r="H13839" s="4"/>
      <c r="I13839" s="4"/>
    </row>
    <row r="13840">
      <c r="A13840" s="4" t="str">
        <f>IFERROR(__xludf.DUMMYFUNCTION("""COMPUTED_VALUE"""),"cas_hmw")</f>
        <v>cas_hmw</v>
      </c>
      <c r="B13840" s="5">
        <f>IFERROR(__xludf.DUMMYFUNCTION("""COMPUTED_VALUE"""),44720.0)</f>
        <v>44720</v>
      </c>
      <c r="C13840" s="6">
        <f>IFERROR(__xludf.DUMMYFUNCTION("""COMPUTED_VALUE"""),0.7174537037026312)</f>
        <v>0.7174537037</v>
      </c>
      <c r="D13840" s="4">
        <f>IFERROR(__xludf.DUMMYFUNCTION("""COMPUTED_VALUE"""),13.019751)</f>
        <v>13.019751</v>
      </c>
      <c r="E13840" s="4">
        <f>IFERROR(__xludf.DUMMYFUNCTION("""COMPUTED_VALUE"""),80.224471)</f>
        <v>80.224471</v>
      </c>
      <c r="F13840" s="4">
        <f>IFERROR(__xludf.DUMMYFUNCTION("""COMPUTED_VALUE"""),805.0)</f>
        <v>805</v>
      </c>
      <c r="G13840" s="4">
        <f>IFERROR(__xludf.DUMMYFUNCTION("""COMPUTED_VALUE"""),11.0)</f>
        <v>11</v>
      </c>
      <c r="H13840" s="4"/>
      <c r="I13840" s="4"/>
    </row>
    <row r="13841">
      <c r="A13841" s="4" t="str">
        <f>IFERROR(__xludf.DUMMYFUNCTION("""COMPUTED_VALUE"""),"cas_hmw")</f>
        <v>cas_hmw</v>
      </c>
      <c r="B13841" s="5">
        <f>IFERROR(__xludf.DUMMYFUNCTION("""COMPUTED_VALUE"""),44720.0)</f>
        <v>44720</v>
      </c>
      <c r="C13841" s="6">
        <f>IFERROR(__xludf.DUMMYFUNCTION("""COMPUTED_VALUE"""),0.7179050925915362)</f>
        <v>0.7179050926</v>
      </c>
      <c r="D13841" s="4">
        <f>IFERROR(__xludf.DUMMYFUNCTION("""COMPUTED_VALUE"""),13.022382)</f>
        <v>13.022382</v>
      </c>
      <c r="E13841" s="4">
        <f>IFERROR(__xludf.DUMMYFUNCTION("""COMPUTED_VALUE"""),80.226518)</f>
        <v>80.226518</v>
      </c>
      <c r="F13841" s="4">
        <f>IFERROR(__xludf.DUMMYFUNCTION("""COMPUTED_VALUE"""),805.0)</f>
        <v>805</v>
      </c>
      <c r="G13841" s="4">
        <f>IFERROR(__xludf.DUMMYFUNCTION("""COMPUTED_VALUE"""),40.0)</f>
        <v>40</v>
      </c>
      <c r="H13841" s="4"/>
      <c r="I13841" s="4"/>
    </row>
    <row r="13842">
      <c r="A13842" s="4" t="str">
        <f>IFERROR(__xludf.DUMMYFUNCTION("""COMPUTED_VALUE"""),"cas_hmw")</f>
        <v>cas_hmw</v>
      </c>
      <c r="B13842" s="5">
        <f>IFERROR(__xludf.DUMMYFUNCTION("""COMPUTED_VALUE"""),44720.0)</f>
        <v>44720</v>
      </c>
      <c r="C13842" s="6">
        <f>IFERROR(__xludf.DUMMYFUNCTION("""COMPUTED_VALUE"""),0.7181134259262762)</f>
        <v>0.7181134259</v>
      </c>
      <c r="D13842" s="4">
        <f>IFERROR(__xludf.DUMMYFUNCTION("""COMPUTED_VALUE"""),13.023598)</f>
        <v>13.023598</v>
      </c>
      <c r="E13842" s="4">
        <f>IFERROR(__xludf.DUMMYFUNCTION("""COMPUTED_VALUE"""),80.227603)</f>
        <v>80.227603</v>
      </c>
      <c r="F13842" s="4">
        <f>IFERROR(__xludf.DUMMYFUNCTION("""COMPUTED_VALUE"""),805.0)</f>
        <v>805</v>
      </c>
      <c r="G13842" s="4">
        <f>IFERROR(__xludf.DUMMYFUNCTION("""COMPUTED_VALUE"""),40.0)</f>
        <v>40</v>
      </c>
      <c r="H13842" s="4"/>
      <c r="I13842" s="4"/>
    </row>
    <row r="13843">
      <c r="A13843" s="4" t="str">
        <f>IFERROR(__xludf.DUMMYFUNCTION("""COMPUTED_VALUE"""),"cas_hmw")</f>
        <v>cas_hmw</v>
      </c>
      <c r="B13843" s="5">
        <f>IFERROR(__xludf.DUMMYFUNCTION("""COMPUTED_VALUE"""),44720.0)</f>
        <v>44720</v>
      </c>
      <c r="C13843" s="6">
        <f>IFERROR(__xludf.DUMMYFUNCTION("""COMPUTED_VALUE"""),0.7181249999994179)</f>
        <v>0.718125</v>
      </c>
      <c r="D13843" s="4">
        <f>IFERROR(__xludf.DUMMYFUNCTION("""COMPUTED_VALUE"""),13.023598)</f>
        <v>13.023598</v>
      </c>
      <c r="E13843" s="4">
        <f>IFERROR(__xludf.DUMMYFUNCTION("""COMPUTED_VALUE"""),80.227603)</f>
        <v>80.227603</v>
      </c>
      <c r="F13843" s="4">
        <f>IFERROR(__xludf.DUMMYFUNCTION("""COMPUTED_VALUE"""),805.0)</f>
        <v>805</v>
      </c>
      <c r="G13843" s="4">
        <f>IFERROR(__xludf.DUMMYFUNCTION("""COMPUTED_VALUE"""),40.0)</f>
        <v>40</v>
      </c>
      <c r="H13843" s="4"/>
      <c r="I13843" s="4"/>
    </row>
    <row r="13844">
      <c r="A13844" s="4" t="str">
        <f>IFERROR(__xludf.DUMMYFUNCTION("""COMPUTED_VALUE"""),"cas_hmw")</f>
        <v>cas_hmw</v>
      </c>
      <c r="B13844" s="5">
        <f>IFERROR(__xludf.DUMMYFUNCTION("""COMPUTED_VALUE"""),44720.0)</f>
        <v>44720</v>
      </c>
      <c r="C13844" s="6">
        <f>IFERROR(__xludf.DUMMYFUNCTION("""COMPUTED_VALUE"""),0.7181828703687643)</f>
        <v>0.7181828704</v>
      </c>
      <c r="D13844" s="4">
        <f>IFERROR(__xludf.DUMMYFUNCTION("""COMPUTED_VALUE"""),13.024412)</f>
        <v>13.024412</v>
      </c>
      <c r="E13844" s="4">
        <f>IFERROR(__xludf.DUMMYFUNCTION("""COMPUTED_VALUE"""),80.228564)</f>
        <v>80.228564</v>
      </c>
      <c r="F13844" s="4">
        <f>IFERROR(__xludf.DUMMYFUNCTION("""COMPUTED_VALUE"""),805.0)</f>
        <v>805</v>
      </c>
      <c r="G13844" s="4">
        <f>IFERROR(__xludf.DUMMYFUNCTION("""COMPUTED_VALUE"""),28.0)</f>
        <v>28</v>
      </c>
      <c r="H13844" s="4"/>
      <c r="I13844" s="4"/>
    </row>
    <row r="13845">
      <c r="A13845" s="4" t="str">
        <f>IFERROR(__xludf.DUMMYFUNCTION("""COMPUTED_VALUE"""),"cas_hmw")</f>
        <v>cas_hmw</v>
      </c>
      <c r="B13845" s="5">
        <f>IFERROR(__xludf.DUMMYFUNCTION("""COMPUTED_VALUE"""),44720.0)</f>
        <v>44720</v>
      </c>
      <c r="C13845" s="6">
        <f>IFERROR(__xludf.DUMMYFUNCTION("""COMPUTED_VALUE"""),0.7182060185186856)</f>
        <v>0.7182060185</v>
      </c>
      <c r="D13845" s="4">
        <f>IFERROR(__xludf.DUMMYFUNCTION("""COMPUTED_VALUE"""),13.024412)</f>
        <v>13.024412</v>
      </c>
      <c r="E13845" s="4">
        <f>IFERROR(__xludf.DUMMYFUNCTION("""COMPUTED_VALUE"""),80.228564)</f>
        <v>80.228564</v>
      </c>
      <c r="F13845" s="4">
        <f>IFERROR(__xludf.DUMMYFUNCTION("""COMPUTED_VALUE"""),805.0)</f>
        <v>805</v>
      </c>
      <c r="G13845" s="4">
        <f>IFERROR(__xludf.DUMMYFUNCTION("""COMPUTED_VALUE"""),28.0)</f>
        <v>28</v>
      </c>
      <c r="H13845" s="4"/>
      <c r="I13845" s="4"/>
    </row>
    <row r="13846">
      <c r="A13846" s="4" t="str">
        <f>IFERROR(__xludf.DUMMYFUNCTION("""COMPUTED_VALUE"""),"cas_hmw")</f>
        <v>cas_hmw</v>
      </c>
      <c r="B13846" s="5">
        <f>IFERROR(__xludf.DUMMYFUNCTION("""COMPUTED_VALUE"""),44720.0)</f>
        <v>44720</v>
      </c>
      <c r="C13846" s="6">
        <f>IFERROR(__xludf.DUMMYFUNCTION("""COMPUTED_VALUE"""),0.7182060185186856)</f>
        <v>0.7182060185</v>
      </c>
      <c r="D13846" s="4">
        <f>IFERROR(__xludf.DUMMYFUNCTION("""COMPUTED_VALUE"""),13.024412)</f>
        <v>13.024412</v>
      </c>
      <c r="E13846" s="4">
        <f>IFERROR(__xludf.DUMMYFUNCTION("""COMPUTED_VALUE"""),80.228564)</f>
        <v>80.228564</v>
      </c>
      <c r="F13846" s="4">
        <f>IFERROR(__xludf.DUMMYFUNCTION("""COMPUTED_VALUE"""),805.0)</f>
        <v>805</v>
      </c>
      <c r="G13846" s="4">
        <f>IFERROR(__xludf.DUMMYFUNCTION("""COMPUTED_VALUE"""),28.0)</f>
        <v>28</v>
      </c>
      <c r="H13846" s="4"/>
      <c r="I13846" s="4"/>
    </row>
    <row r="13847">
      <c r="A13847" s="4" t="str">
        <f>IFERROR(__xludf.DUMMYFUNCTION("""COMPUTED_VALUE"""),"cas_hmw")</f>
        <v>cas_hmw</v>
      </c>
      <c r="B13847" s="5">
        <f>IFERROR(__xludf.DUMMYFUNCTION("""COMPUTED_VALUE"""),44720.0)</f>
        <v>44720</v>
      </c>
      <c r="C13847" s="6">
        <f>IFERROR(__xludf.DUMMYFUNCTION("""COMPUTED_VALUE"""),0.7204166666670062)</f>
        <v>0.7204166667</v>
      </c>
      <c r="D13847" s="4">
        <f>IFERROR(__xludf.DUMMYFUNCTION("""COMPUTED_VALUE"""),13.026423)</f>
        <v>13.026423</v>
      </c>
      <c r="E13847" s="4">
        <f>IFERROR(__xludf.DUMMYFUNCTION("""COMPUTED_VALUE"""),80.232548)</f>
        <v>80.232548</v>
      </c>
      <c r="F13847" s="4">
        <f>IFERROR(__xludf.DUMMYFUNCTION("""COMPUTED_VALUE"""),805.0)</f>
        <v>805</v>
      </c>
      <c r="G13847" s="4">
        <f>IFERROR(__xludf.DUMMYFUNCTION("""COMPUTED_VALUE"""),26.0)</f>
        <v>26</v>
      </c>
      <c r="H13847" s="4"/>
      <c r="I13847" s="4"/>
    </row>
    <row r="13848">
      <c r="A13848" s="4" t="str">
        <f>IFERROR(__xludf.DUMMYFUNCTION("""COMPUTED_VALUE"""),"cas_hmw")</f>
        <v>cas_hmw</v>
      </c>
      <c r="B13848" s="5">
        <f>IFERROR(__xludf.DUMMYFUNCTION("""COMPUTED_VALUE"""),44720.0)</f>
        <v>44720</v>
      </c>
      <c r="C13848" s="6">
        <f>IFERROR(__xludf.DUMMYFUNCTION("""COMPUTED_VALUE"""),0.7207291666672972)</f>
        <v>0.7207291667</v>
      </c>
      <c r="D13848" s="4">
        <f>IFERROR(__xludf.DUMMYFUNCTION("""COMPUTED_VALUE"""),13.02683)</f>
        <v>13.02683</v>
      </c>
      <c r="E13848" s="4">
        <f>IFERROR(__xludf.DUMMYFUNCTION("""COMPUTED_VALUE"""),80.233357)</f>
        <v>80.233357</v>
      </c>
      <c r="F13848" s="4">
        <f>IFERROR(__xludf.DUMMYFUNCTION("""COMPUTED_VALUE"""),805.0)</f>
        <v>805</v>
      </c>
      <c r="G13848" s="4">
        <f>IFERROR(__xludf.DUMMYFUNCTION("""COMPUTED_VALUE"""),20.0)</f>
        <v>20</v>
      </c>
      <c r="H13848" s="4"/>
      <c r="I13848" s="4"/>
    </row>
    <row r="13849">
      <c r="A13849" s="4" t="str">
        <f>IFERROR(__xludf.DUMMYFUNCTION("""COMPUTED_VALUE"""),"cas_hmw")</f>
        <v>cas_hmw</v>
      </c>
      <c r="B13849" s="5">
        <f>IFERROR(__xludf.DUMMYFUNCTION("""COMPUTED_VALUE"""),44720.0)</f>
        <v>44720</v>
      </c>
      <c r="C13849" s="6">
        <f>IFERROR(__xludf.DUMMYFUNCTION("""COMPUTED_VALUE"""),0.7208796296290529)</f>
        <v>0.7208796296</v>
      </c>
      <c r="D13849" s="4">
        <f>IFERROR(__xludf.DUMMYFUNCTION("""COMPUTED_VALUE"""),13.028032)</f>
        <v>13.028032</v>
      </c>
      <c r="E13849" s="4">
        <f>IFERROR(__xludf.DUMMYFUNCTION("""COMPUTED_VALUE"""),80.235416)</f>
        <v>80.235416</v>
      </c>
      <c r="F13849" s="4">
        <f>IFERROR(__xludf.DUMMYFUNCTION("""COMPUTED_VALUE"""),805.0)</f>
        <v>805</v>
      </c>
      <c r="G13849" s="4">
        <f>IFERROR(__xludf.DUMMYFUNCTION("""COMPUTED_VALUE"""),37.0)</f>
        <v>37</v>
      </c>
      <c r="H13849" s="4"/>
      <c r="I13849" s="4"/>
    </row>
    <row r="13850">
      <c r="A13850" s="4" t="str">
        <f>IFERROR(__xludf.DUMMYFUNCTION("""COMPUTED_VALUE"""),"cas_hmw")</f>
        <v>cas_hmw</v>
      </c>
      <c r="B13850" s="5">
        <f>IFERROR(__xludf.DUMMYFUNCTION("""COMPUTED_VALUE"""),44720.0)</f>
        <v>44720</v>
      </c>
      <c r="C13850" s="6">
        <f>IFERROR(__xludf.DUMMYFUNCTION("""COMPUTED_VALUE"""),0.7229166666656965)</f>
        <v>0.7229166667</v>
      </c>
      <c r="D13850" s="4">
        <f>IFERROR(__xludf.DUMMYFUNCTION("""COMPUTED_VALUE"""),13.031178)</f>
        <v>13.031178</v>
      </c>
      <c r="E13850" s="4">
        <f>IFERROR(__xludf.DUMMYFUNCTION("""COMPUTED_VALUE"""),80.239709)</f>
        <v>80.239709</v>
      </c>
      <c r="F13850" s="4">
        <f>IFERROR(__xludf.DUMMYFUNCTION("""COMPUTED_VALUE"""),805.0)</f>
        <v>805</v>
      </c>
      <c r="G13850" s="4">
        <f>IFERROR(__xludf.DUMMYFUNCTION("""COMPUTED_VALUE"""),32.0)</f>
        <v>32</v>
      </c>
      <c r="H13850" s="4"/>
      <c r="I13850" s="4"/>
    </row>
    <row r="13851">
      <c r="A13851" s="4" t="str">
        <f>IFERROR(__xludf.DUMMYFUNCTION("""COMPUTED_VALUE"""),"cas_hmw")</f>
        <v>cas_hmw</v>
      </c>
      <c r="B13851" s="5">
        <f>IFERROR(__xludf.DUMMYFUNCTION("""COMPUTED_VALUE"""),44720.0)</f>
        <v>44720</v>
      </c>
      <c r="C13851" s="6">
        <f>IFERROR(__xludf.DUMMYFUNCTION("""COMPUTED_VALUE"""),0.7236226851855463)</f>
        <v>0.7236226852</v>
      </c>
      <c r="D13851" s="4">
        <f>IFERROR(__xludf.DUMMYFUNCTION("""COMPUTED_VALUE"""),13.033009)</f>
        <v>13.033009</v>
      </c>
      <c r="E13851" s="4">
        <f>IFERROR(__xludf.DUMMYFUNCTION("""COMPUTED_VALUE"""),80.243139)</f>
        <v>80.243139</v>
      </c>
      <c r="F13851" s="4">
        <f>IFERROR(__xludf.DUMMYFUNCTION("""COMPUTED_VALUE"""),805.0)</f>
        <v>805</v>
      </c>
      <c r="G13851" s="4">
        <f>IFERROR(__xludf.DUMMYFUNCTION("""COMPUTED_VALUE"""),12.0)</f>
        <v>12</v>
      </c>
      <c r="H13851" s="4"/>
      <c r="I13851" s="4"/>
    </row>
    <row r="13852">
      <c r="A13852" s="4" t="str">
        <f>IFERROR(__xludf.DUMMYFUNCTION("""COMPUTED_VALUE"""),"cas_hmw")</f>
        <v>cas_hmw</v>
      </c>
      <c r="B13852" s="5">
        <f>IFERROR(__xludf.DUMMYFUNCTION("""COMPUTED_VALUE"""),44720.0)</f>
        <v>44720</v>
      </c>
      <c r="C13852" s="6">
        <f>IFERROR(__xludf.DUMMYFUNCTION("""COMPUTED_VALUE"""),0.7245601851864194)</f>
        <v>0.7245601852</v>
      </c>
      <c r="D13852" s="4">
        <f>IFERROR(__xludf.DUMMYFUNCTION("""COMPUTED_VALUE"""),13.035435)</f>
        <v>13.035435</v>
      </c>
      <c r="E13852" s="4">
        <f>IFERROR(__xludf.DUMMYFUNCTION("""COMPUTED_VALUE"""),80.245901)</f>
        <v>80.245901</v>
      </c>
      <c r="F13852" s="4">
        <f>IFERROR(__xludf.DUMMYFUNCTION("""COMPUTED_VALUE"""),805.0)</f>
        <v>805</v>
      </c>
      <c r="G13852" s="4">
        <f>IFERROR(__xludf.DUMMYFUNCTION("""COMPUTED_VALUE"""),0.0)</f>
        <v>0</v>
      </c>
      <c r="H13852" s="4"/>
      <c r="I13852" s="4"/>
    </row>
    <row r="13853">
      <c r="A13853" s="4" t="str">
        <f>IFERROR(__xludf.DUMMYFUNCTION("""COMPUTED_VALUE"""),"cas_hmw")</f>
        <v>cas_hmw</v>
      </c>
      <c r="B13853" s="5">
        <f>IFERROR(__xludf.DUMMYFUNCTION("""COMPUTED_VALUE"""),44720.0)</f>
        <v>44720</v>
      </c>
      <c r="C13853" s="6">
        <f>IFERROR(__xludf.DUMMYFUNCTION("""COMPUTED_VALUE"""),0.729282407406572)</f>
        <v>0.7292824074</v>
      </c>
      <c r="D13853" s="4">
        <f>IFERROR(__xludf.DUMMYFUNCTION("""COMPUTED_VALUE"""),12.977188)</f>
        <v>12.977188</v>
      </c>
      <c r="E13853" s="4">
        <f>IFERROR(__xludf.DUMMYFUNCTION("""COMPUTED_VALUE"""),80.223141)</f>
        <v>80.223141</v>
      </c>
      <c r="F13853" s="4">
        <f>IFERROR(__xludf.DUMMYFUNCTION("""COMPUTED_VALUE"""),2846.0)</f>
        <v>2846</v>
      </c>
      <c r="G13853" s="4">
        <f>IFERROR(__xludf.DUMMYFUNCTION("""COMPUTED_VALUE"""),30.0)</f>
        <v>30</v>
      </c>
      <c r="H13853" s="4"/>
      <c r="I13853" s="4"/>
    </row>
    <row r="13854">
      <c r="A13854" s="4" t="str">
        <f>IFERROR(__xludf.DUMMYFUNCTION("""COMPUTED_VALUE"""),"cas_hmw")</f>
        <v>cas_hmw</v>
      </c>
      <c r="B13854" s="5">
        <f>IFERROR(__xludf.DUMMYFUNCTION("""COMPUTED_VALUE"""),44720.0)</f>
        <v>44720</v>
      </c>
      <c r="C13854" s="6">
        <f>IFERROR(__xludf.DUMMYFUNCTION("""COMPUTED_VALUE"""),0.7293055555564933)</f>
        <v>0.7293055556</v>
      </c>
      <c r="D13854" s="4">
        <f>IFERROR(__xludf.DUMMYFUNCTION("""COMPUTED_VALUE"""),12.977188)</f>
        <v>12.977188</v>
      </c>
      <c r="E13854" s="4">
        <f>IFERROR(__xludf.DUMMYFUNCTION("""COMPUTED_VALUE"""),80.223141)</f>
        <v>80.223141</v>
      </c>
      <c r="F13854" s="4">
        <f>IFERROR(__xludf.DUMMYFUNCTION("""COMPUTED_VALUE"""),2846.0)</f>
        <v>2846</v>
      </c>
      <c r="G13854" s="4">
        <f>IFERROR(__xludf.DUMMYFUNCTION("""COMPUTED_VALUE"""),30.0)</f>
        <v>30</v>
      </c>
      <c r="H13854" s="4"/>
      <c r="I13854" s="4"/>
    </row>
    <row r="13855">
      <c r="A13855" s="4" t="str">
        <f>IFERROR(__xludf.DUMMYFUNCTION("""COMPUTED_VALUE"""),"cas_hmw")</f>
        <v>cas_hmw</v>
      </c>
      <c r="B13855" s="5">
        <f>IFERROR(__xludf.DUMMYFUNCTION("""COMPUTED_VALUE"""),44720.0)</f>
        <v>44720</v>
      </c>
      <c r="C13855" s="6">
        <f>IFERROR(__xludf.DUMMYFUNCTION("""COMPUTED_VALUE"""),0.7294791666681704)</f>
        <v>0.7294791667</v>
      </c>
      <c r="D13855" s="4">
        <f>IFERROR(__xludf.DUMMYFUNCTION("""COMPUTED_VALUE"""),13.042309)</f>
        <v>13.042309</v>
      </c>
      <c r="E13855" s="4">
        <f>IFERROR(__xludf.DUMMYFUNCTION("""COMPUTED_VALUE"""),80.247426)</f>
        <v>80.247426</v>
      </c>
      <c r="F13855" s="4">
        <f>IFERROR(__xludf.DUMMYFUNCTION("""COMPUTED_VALUE"""),805.0)</f>
        <v>805</v>
      </c>
      <c r="G13855" s="4">
        <f>IFERROR(__xludf.DUMMYFUNCTION("""COMPUTED_VALUE"""),20.0)</f>
        <v>20</v>
      </c>
      <c r="H13855" s="4"/>
      <c r="I13855" s="4"/>
    </row>
    <row r="13856">
      <c r="A13856" s="4" t="str">
        <f>IFERROR(__xludf.DUMMYFUNCTION("""COMPUTED_VALUE"""),"cas_hmw")</f>
        <v>cas_hmw</v>
      </c>
      <c r="B13856" s="5">
        <f>IFERROR(__xludf.DUMMYFUNCTION("""COMPUTED_VALUE"""),44720.0)</f>
        <v>44720</v>
      </c>
      <c r="C13856" s="6">
        <f>IFERROR(__xludf.DUMMYFUNCTION("""COMPUTED_VALUE"""),0.7297916666684614)</f>
        <v>0.7297916667</v>
      </c>
      <c r="D13856" s="4">
        <f>IFERROR(__xludf.DUMMYFUNCTION("""COMPUTED_VALUE"""),13.043905)</f>
        <v>13.043905</v>
      </c>
      <c r="E13856" s="4">
        <f>IFERROR(__xludf.DUMMYFUNCTION("""COMPUTED_VALUE"""),80.24775)</f>
        <v>80.24775</v>
      </c>
      <c r="F13856" s="4">
        <f>IFERROR(__xludf.DUMMYFUNCTION("""COMPUTED_VALUE"""),805.0)</f>
        <v>805</v>
      </c>
      <c r="G13856" s="4">
        <f>IFERROR(__xludf.DUMMYFUNCTION("""COMPUTED_VALUE"""),38.0)</f>
        <v>38</v>
      </c>
      <c r="H13856" s="4"/>
      <c r="I13856" s="4"/>
    </row>
    <row r="13857">
      <c r="A13857" s="4" t="str">
        <f>IFERROR(__xludf.DUMMYFUNCTION("""COMPUTED_VALUE"""),"cas_hmw")</f>
        <v>cas_hmw</v>
      </c>
      <c r="B13857" s="5">
        <f>IFERROR(__xludf.DUMMYFUNCTION("""COMPUTED_VALUE"""),44720.0)</f>
        <v>44720</v>
      </c>
      <c r="C13857" s="6">
        <f>IFERROR(__xludf.DUMMYFUNCTION("""COMPUTED_VALUE"""),0.7308101851849642)</f>
        <v>0.7308101852</v>
      </c>
      <c r="D13857" s="4">
        <f>IFERROR(__xludf.DUMMYFUNCTION("""COMPUTED_VALUE"""),13.04977)</f>
        <v>13.04977</v>
      </c>
      <c r="E13857" s="4">
        <f>IFERROR(__xludf.DUMMYFUNCTION("""COMPUTED_VALUE"""),80.249749)</f>
        <v>80.249749</v>
      </c>
      <c r="F13857" s="4">
        <f>IFERROR(__xludf.DUMMYFUNCTION("""COMPUTED_VALUE"""),805.0)</f>
        <v>805</v>
      </c>
      <c r="G13857" s="4">
        <f>IFERROR(__xludf.DUMMYFUNCTION("""COMPUTED_VALUE"""),30.0)</f>
        <v>30</v>
      </c>
      <c r="H13857" s="4"/>
      <c r="I13857" s="4"/>
    </row>
    <row r="13858">
      <c r="A13858" s="4" t="str">
        <f>IFERROR(__xludf.DUMMYFUNCTION("""COMPUTED_VALUE"""),"cas_hmw")</f>
        <v>cas_hmw</v>
      </c>
      <c r="B13858" s="5">
        <f>IFERROR(__xludf.DUMMYFUNCTION("""COMPUTED_VALUE"""),44720.0)</f>
        <v>44720</v>
      </c>
      <c r="C13858" s="6">
        <f>IFERROR(__xludf.DUMMYFUNCTION("""COMPUTED_VALUE"""),0.7315277777779556)</f>
        <v>0.7315277778</v>
      </c>
      <c r="D13858" s="4">
        <f>IFERROR(__xludf.DUMMYFUNCTION("""COMPUTED_VALUE"""),13.053959)</f>
        <v>13.053959</v>
      </c>
      <c r="E13858" s="4">
        <f>IFERROR(__xludf.DUMMYFUNCTION("""COMPUTED_VALUE"""),80.253033)</f>
        <v>80.253033</v>
      </c>
      <c r="F13858" s="4">
        <f>IFERROR(__xludf.DUMMYFUNCTION("""COMPUTED_VALUE"""),805.0)</f>
        <v>805</v>
      </c>
      <c r="G13858" s="4">
        <f>IFERROR(__xludf.DUMMYFUNCTION("""COMPUTED_VALUE"""),0.0)</f>
        <v>0</v>
      </c>
      <c r="H13858" s="4"/>
      <c r="I13858" s="4"/>
    </row>
    <row r="13859">
      <c r="A13859" s="4" t="str">
        <f>IFERROR(__xludf.DUMMYFUNCTION("""COMPUTED_VALUE"""),"cas_hmw")</f>
        <v>cas_hmw</v>
      </c>
      <c r="B13859" s="5">
        <f>IFERROR(__xludf.DUMMYFUNCTION("""COMPUTED_VALUE"""),44720.0)</f>
        <v>44720</v>
      </c>
      <c r="C13859" s="6">
        <f>IFERROR(__xludf.DUMMYFUNCTION("""COMPUTED_VALUE"""),0.7315277777779556)</f>
        <v>0.7315277778</v>
      </c>
      <c r="D13859" s="4">
        <f>IFERROR(__xludf.DUMMYFUNCTION("""COMPUTED_VALUE"""),13.053959)</f>
        <v>13.053959</v>
      </c>
      <c r="E13859" s="4">
        <f>IFERROR(__xludf.DUMMYFUNCTION("""COMPUTED_VALUE"""),80.253033)</f>
        <v>80.253033</v>
      </c>
      <c r="F13859" s="4">
        <f>IFERROR(__xludf.DUMMYFUNCTION("""COMPUTED_VALUE"""),805.0)</f>
        <v>805</v>
      </c>
      <c r="G13859" s="4">
        <f>IFERROR(__xludf.DUMMYFUNCTION("""COMPUTED_VALUE"""),0.0)</f>
        <v>0</v>
      </c>
      <c r="H13859" s="4"/>
      <c r="I13859" s="4"/>
    </row>
    <row r="13860">
      <c r="A13860" s="4" t="str">
        <f>IFERROR(__xludf.DUMMYFUNCTION("""COMPUTED_VALUE"""),"cas_hmw")</f>
        <v>cas_hmw</v>
      </c>
      <c r="B13860" s="5">
        <f>IFERROR(__xludf.DUMMYFUNCTION("""COMPUTED_VALUE"""),44720.0)</f>
        <v>44720</v>
      </c>
      <c r="C13860" s="6">
        <f>IFERROR(__xludf.DUMMYFUNCTION("""COMPUTED_VALUE"""),0.7315393518510973)</f>
        <v>0.7315393519</v>
      </c>
      <c r="D13860" s="4">
        <f>IFERROR(__xludf.DUMMYFUNCTION("""COMPUTED_VALUE"""),13.053959)</f>
        <v>13.053959</v>
      </c>
      <c r="E13860" s="4">
        <f>IFERROR(__xludf.DUMMYFUNCTION("""COMPUTED_VALUE"""),80.253033)</f>
        <v>80.253033</v>
      </c>
      <c r="F13860" s="4">
        <f>IFERROR(__xludf.DUMMYFUNCTION("""COMPUTED_VALUE"""),805.0)</f>
        <v>805</v>
      </c>
      <c r="G13860" s="4">
        <f>IFERROR(__xludf.DUMMYFUNCTION("""COMPUTED_VALUE"""),0.0)</f>
        <v>0</v>
      </c>
      <c r="H13860" s="4"/>
      <c r="I13860" s="4"/>
    </row>
    <row r="13861">
      <c r="A13861" s="4" t="str">
        <f>IFERROR(__xludf.DUMMYFUNCTION("""COMPUTED_VALUE"""),"cas_hmw")</f>
        <v>cas_hmw</v>
      </c>
      <c r="B13861" s="5">
        <f>IFERROR(__xludf.DUMMYFUNCTION("""COMPUTED_VALUE"""),44720.0)</f>
        <v>44720</v>
      </c>
      <c r="C13861" s="6">
        <f>IFERROR(__xludf.DUMMYFUNCTION("""COMPUTED_VALUE"""),0.7340046296303626)</f>
        <v>0.7340046296</v>
      </c>
      <c r="D13861" s="4">
        <f>IFERROR(__xludf.DUMMYFUNCTION("""COMPUTED_VALUE"""),13.054493)</f>
        <v>13.054493</v>
      </c>
      <c r="E13861" s="4">
        <f>IFERROR(__xludf.DUMMYFUNCTION("""COMPUTED_VALUE"""),80.257955)</f>
        <v>80.257955</v>
      </c>
      <c r="F13861" s="4">
        <f>IFERROR(__xludf.DUMMYFUNCTION("""COMPUTED_VALUE"""),805.0)</f>
        <v>805</v>
      </c>
      <c r="G13861" s="4">
        <f>IFERROR(__xludf.DUMMYFUNCTION("""COMPUTED_VALUE"""),12.0)</f>
        <v>12</v>
      </c>
      <c r="H13861" s="4"/>
      <c r="I13861" s="4"/>
    </row>
    <row r="13862">
      <c r="A13862" s="4" t="str">
        <f>IFERROR(__xludf.DUMMYFUNCTION("""COMPUTED_VALUE"""),"cas_hmw")</f>
        <v>cas_hmw</v>
      </c>
      <c r="B13862" s="5">
        <f>IFERROR(__xludf.DUMMYFUNCTION("""COMPUTED_VALUE"""),44720.0)</f>
        <v>44720</v>
      </c>
      <c r="C13862" s="6">
        <f>IFERROR(__xludf.DUMMYFUNCTION("""COMPUTED_VALUE"""),0.7341087962959136)</f>
        <v>0.7341087963</v>
      </c>
      <c r="D13862" s="4">
        <f>IFERROR(__xludf.DUMMYFUNCTION("""COMPUTED_VALUE"""),13.054493)</f>
        <v>13.054493</v>
      </c>
      <c r="E13862" s="4">
        <f>IFERROR(__xludf.DUMMYFUNCTION("""COMPUTED_VALUE"""),80.257955)</f>
        <v>80.257955</v>
      </c>
      <c r="F13862" s="4">
        <f>IFERROR(__xludf.DUMMYFUNCTION("""COMPUTED_VALUE"""),805.0)</f>
        <v>805</v>
      </c>
      <c r="G13862" s="4">
        <f>IFERROR(__xludf.DUMMYFUNCTION("""COMPUTED_VALUE"""),12.0)</f>
        <v>12</v>
      </c>
      <c r="H13862" s="4"/>
      <c r="I13862" s="4"/>
    </row>
    <row r="13863">
      <c r="A13863" s="4" t="str">
        <f>IFERROR(__xludf.DUMMYFUNCTION("""COMPUTED_VALUE"""),"cas_hmw")</f>
        <v>cas_hmw</v>
      </c>
      <c r="B13863" s="5">
        <f>IFERROR(__xludf.DUMMYFUNCTION("""COMPUTED_VALUE"""),44720.0)</f>
        <v>44720</v>
      </c>
      <c r="C13863" s="6">
        <f>IFERROR(__xludf.DUMMYFUNCTION("""COMPUTED_VALUE"""),0.7341203703690553)</f>
        <v>0.7341203704</v>
      </c>
      <c r="D13863" s="4">
        <f>IFERROR(__xludf.DUMMYFUNCTION("""COMPUTED_VALUE"""),13.054208)</f>
        <v>13.054208</v>
      </c>
      <c r="E13863" s="4">
        <f>IFERROR(__xludf.DUMMYFUNCTION("""COMPUTED_VALUE"""),80.260916)</f>
        <v>80.260916</v>
      </c>
      <c r="F13863" s="4">
        <f>IFERROR(__xludf.DUMMYFUNCTION("""COMPUTED_VALUE"""),805.0)</f>
        <v>805</v>
      </c>
      <c r="G13863" s="4">
        <f>IFERROR(__xludf.DUMMYFUNCTION("""COMPUTED_VALUE"""),32.0)</f>
        <v>32</v>
      </c>
      <c r="H13863" s="4"/>
      <c r="I13863" s="4"/>
    </row>
    <row r="13864">
      <c r="A13864" s="4" t="str">
        <f>IFERROR(__xludf.DUMMYFUNCTION("""COMPUTED_VALUE"""),"cas_hmw")</f>
        <v>cas_hmw</v>
      </c>
      <c r="B13864" s="5">
        <f>IFERROR(__xludf.DUMMYFUNCTION("""COMPUTED_VALUE"""),44720.0)</f>
        <v>44720</v>
      </c>
      <c r="C13864" s="6">
        <f>IFERROR(__xludf.DUMMYFUNCTION("""COMPUTED_VALUE"""),0.7341203703690553)</f>
        <v>0.7341203704</v>
      </c>
      <c r="D13864" s="4">
        <f>IFERROR(__xludf.DUMMYFUNCTION("""COMPUTED_VALUE"""),13.054208)</f>
        <v>13.054208</v>
      </c>
      <c r="E13864" s="4">
        <f>IFERROR(__xludf.DUMMYFUNCTION("""COMPUTED_VALUE"""),80.260916)</f>
        <v>80.260916</v>
      </c>
      <c r="F13864" s="4">
        <f>IFERROR(__xludf.DUMMYFUNCTION("""COMPUTED_VALUE"""),805.0)</f>
        <v>805</v>
      </c>
      <c r="G13864" s="4">
        <f>IFERROR(__xludf.DUMMYFUNCTION("""COMPUTED_VALUE"""),32.0)</f>
        <v>32</v>
      </c>
      <c r="H13864" s="4"/>
      <c r="I13864" s="4"/>
    </row>
    <row r="13865">
      <c r="A13865" s="4" t="str">
        <f>IFERROR(__xludf.DUMMYFUNCTION("""COMPUTED_VALUE"""),"cas_hmw")</f>
        <v>cas_hmw</v>
      </c>
      <c r="B13865" s="5">
        <f>IFERROR(__xludf.DUMMYFUNCTION("""COMPUTED_VALUE"""),44720.0)</f>
        <v>44720</v>
      </c>
      <c r="C13865" s="6">
        <f>IFERROR(__xludf.DUMMYFUNCTION("""COMPUTED_VALUE"""),0.7341435185189766)</f>
        <v>0.7341435185</v>
      </c>
      <c r="D13865" s="4">
        <f>IFERROR(__xludf.DUMMYFUNCTION("""COMPUTED_VALUE"""),13.054208)</f>
        <v>13.054208</v>
      </c>
      <c r="E13865" s="4">
        <f>IFERROR(__xludf.DUMMYFUNCTION("""COMPUTED_VALUE"""),80.260916)</f>
        <v>80.260916</v>
      </c>
      <c r="F13865" s="4">
        <f>IFERROR(__xludf.DUMMYFUNCTION("""COMPUTED_VALUE"""),805.0)</f>
        <v>805</v>
      </c>
      <c r="G13865" s="4">
        <f>IFERROR(__xludf.DUMMYFUNCTION("""COMPUTED_VALUE"""),32.0)</f>
        <v>32</v>
      </c>
      <c r="H13865" s="4"/>
      <c r="I13865" s="4"/>
    </row>
    <row r="13866">
      <c r="A13866" s="4" t="str">
        <f>IFERROR(__xludf.DUMMYFUNCTION("""COMPUTED_VALUE"""),"cas_hmw")</f>
        <v>cas_hmw</v>
      </c>
      <c r="B13866" s="5">
        <f>IFERROR(__xludf.DUMMYFUNCTION("""COMPUTED_VALUE"""),44720.0)</f>
        <v>44720</v>
      </c>
      <c r="C13866" s="6">
        <f>IFERROR(__xludf.DUMMYFUNCTION("""COMPUTED_VALUE"""),0.73416666666526)</f>
        <v>0.7341666667</v>
      </c>
      <c r="D13866" s="4">
        <f>IFERROR(__xludf.DUMMYFUNCTION("""COMPUTED_VALUE"""),13.054208)</f>
        <v>13.054208</v>
      </c>
      <c r="E13866" s="4">
        <f>IFERROR(__xludf.DUMMYFUNCTION("""COMPUTED_VALUE"""),80.260916)</f>
        <v>80.260916</v>
      </c>
      <c r="F13866" s="4">
        <f>IFERROR(__xludf.DUMMYFUNCTION("""COMPUTED_VALUE"""),805.0)</f>
        <v>805</v>
      </c>
      <c r="G13866" s="4">
        <f>IFERROR(__xludf.DUMMYFUNCTION("""COMPUTED_VALUE"""),32.0)</f>
        <v>32</v>
      </c>
      <c r="H13866" s="4"/>
      <c r="I13866" s="4"/>
    </row>
    <row r="13867">
      <c r="A13867" s="4" t="str">
        <f>IFERROR(__xludf.DUMMYFUNCTION("""COMPUTED_VALUE"""),"cas_hmw")</f>
        <v>cas_hmw</v>
      </c>
      <c r="B13867" s="5">
        <f>IFERROR(__xludf.DUMMYFUNCTION("""COMPUTED_VALUE"""),44720.0)</f>
        <v>44720</v>
      </c>
      <c r="C13867" s="6">
        <f>IFERROR(__xludf.DUMMYFUNCTION("""COMPUTED_VALUE"""),0.7341898148151813)</f>
        <v>0.7341898148</v>
      </c>
      <c r="D13867" s="4">
        <f>IFERROR(__xludf.DUMMYFUNCTION("""COMPUTED_VALUE"""),13.054208)</f>
        <v>13.054208</v>
      </c>
      <c r="E13867" s="4">
        <f>IFERROR(__xludf.DUMMYFUNCTION("""COMPUTED_VALUE"""),80.260916)</f>
        <v>80.260916</v>
      </c>
      <c r="F13867" s="4">
        <f>IFERROR(__xludf.DUMMYFUNCTION("""COMPUTED_VALUE"""),805.0)</f>
        <v>805</v>
      </c>
      <c r="G13867" s="4">
        <f>IFERROR(__xludf.DUMMYFUNCTION("""COMPUTED_VALUE"""),32.0)</f>
        <v>32</v>
      </c>
      <c r="H13867" s="4"/>
      <c r="I13867" s="4"/>
    </row>
    <row r="13868">
      <c r="A13868" s="4" t="str">
        <f>IFERROR(__xludf.DUMMYFUNCTION("""COMPUTED_VALUE"""),"cas_hmw")</f>
        <v>cas_hmw</v>
      </c>
      <c r="B13868" s="5">
        <f>IFERROR(__xludf.DUMMYFUNCTION("""COMPUTED_VALUE"""),44720.0)</f>
        <v>44720</v>
      </c>
      <c r="C13868" s="6">
        <f>IFERROR(__xludf.DUMMYFUNCTION("""COMPUTED_VALUE"""),0.7342245370382443)</f>
        <v>0.734224537</v>
      </c>
      <c r="D13868" s="4">
        <f>IFERROR(__xludf.DUMMYFUNCTION("""COMPUTED_VALUE"""),12.978007)</f>
        <v>12.978007</v>
      </c>
      <c r="E13868" s="4">
        <f>IFERROR(__xludf.DUMMYFUNCTION("""COMPUTED_VALUE"""),80.224776)</f>
        <v>80.224776</v>
      </c>
      <c r="F13868" s="4">
        <f>IFERROR(__xludf.DUMMYFUNCTION("""COMPUTED_VALUE"""),2846.0)</f>
        <v>2846</v>
      </c>
      <c r="G13868" s="4">
        <f>IFERROR(__xludf.DUMMYFUNCTION("""COMPUTED_VALUE"""),20.0)</f>
        <v>20</v>
      </c>
      <c r="H13868" s="4"/>
      <c r="I13868" s="4"/>
    </row>
    <row r="13869">
      <c r="A13869" s="4" t="str">
        <f>IFERROR(__xludf.DUMMYFUNCTION("""COMPUTED_VALUE"""),"cas_hmw")</f>
        <v>cas_hmw</v>
      </c>
      <c r="B13869" s="5">
        <f>IFERROR(__xludf.DUMMYFUNCTION("""COMPUTED_VALUE"""),44720.0)</f>
        <v>44720</v>
      </c>
      <c r="C13869" s="6">
        <f>IFERROR(__xludf.DUMMYFUNCTION("""COMPUTED_VALUE"""),0.734444444446126)</f>
        <v>0.7344444444</v>
      </c>
      <c r="D13869" s="4">
        <f>IFERROR(__xludf.DUMMYFUNCTION("""COMPUTED_VALUE"""),12.977431)</f>
        <v>12.977431</v>
      </c>
      <c r="E13869" s="4">
        <f>IFERROR(__xludf.DUMMYFUNCTION("""COMPUTED_VALUE"""),80.223767)</f>
        <v>80.223767</v>
      </c>
      <c r="F13869" s="4">
        <f>IFERROR(__xludf.DUMMYFUNCTION("""COMPUTED_VALUE"""),2846.0)</f>
        <v>2846</v>
      </c>
      <c r="G13869" s="4">
        <f>IFERROR(__xludf.DUMMYFUNCTION("""COMPUTED_VALUE"""),31.0)</f>
        <v>31</v>
      </c>
      <c r="H13869" s="4"/>
      <c r="I13869" s="4"/>
    </row>
    <row r="13870">
      <c r="A13870" s="4" t="str">
        <f>IFERROR(__xludf.DUMMYFUNCTION("""COMPUTED_VALUE"""),"cas_hmw")</f>
        <v>cas_hmw</v>
      </c>
      <c r="B13870" s="5">
        <f>IFERROR(__xludf.DUMMYFUNCTION("""COMPUTED_VALUE"""),44720.0)</f>
        <v>44720</v>
      </c>
      <c r="C13870" s="6">
        <f>IFERROR(__xludf.DUMMYFUNCTION("""COMPUTED_VALUE"""),0.7357523148129985)</f>
        <v>0.7357523148</v>
      </c>
      <c r="D13870" s="4">
        <f>IFERROR(__xludf.DUMMYFUNCTION("""COMPUTED_VALUE"""),12.971725)</f>
        <v>12.971725</v>
      </c>
      <c r="E13870" s="4">
        <f>IFERROR(__xludf.DUMMYFUNCTION("""COMPUTED_VALUE"""),80.219381)</f>
        <v>80.219381</v>
      </c>
      <c r="F13870" s="4">
        <f>IFERROR(__xludf.DUMMYFUNCTION("""COMPUTED_VALUE"""),2846.0)</f>
        <v>2846</v>
      </c>
      <c r="G13870" s="4">
        <f>IFERROR(__xludf.DUMMYFUNCTION("""COMPUTED_VALUE"""),25.0)</f>
        <v>25</v>
      </c>
      <c r="H13870" s="4"/>
      <c r="I13870" s="4"/>
    </row>
    <row r="13871">
      <c r="A13871" s="4" t="str">
        <f>IFERROR(__xludf.DUMMYFUNCTION("""COMPUTED_VALUE"""),"cas_hmw")</f>
        <v>cas_hmw</v>
      </c>
      <c r="B13871" s="5">
        <f>IFERROR(__xludf.DUMMYFUNCTION("""COMPUTED_VALUE"""),44720.0)</f>
        <v>44720</v>
      </c>
      <c r="C13871" s="6">
        <f>IFERROR(__xludf.DUMMYFUNCTION("""COMPUTED_VALUE"""),0.7357638888897782)</f>
        <v>0.7357638889</v>
      </c>
      <c r="D13871" s="4">
        <f>IFERROR(__xludf.DUMMYFUNCTION("""COMPUTED_VALUE"""),12.971725)</f>
        <v>12.971725</v>
      </c>
      <c r="E13871" s="4">
        <f>IFERROR(__xludf.DUMMYFUNCTION("""COMPUTED_VALUE"""),80.219381)</f>
        <v>80.219381</v>
      </c>
      <c r="F13871" s="4">
        <f>IFERROR(__xludf.DUMMYFUNCTION("""COMPUTED_VALUE"""),2846.0)</f>
        <v>2846</v>
      </c>
      <c r="G13871" s="4">
        <f>IFERROR(__xludf.DUMMYFUNCTION("""COMPUTED_VALUE"""),25.0)</f>
        <v>25</v>
      </c>
      <c r="H13871" s="4"/>
      <c r="I13871" s="4"/>
    </row>
    <row r="13872">
      <c r="A13872" s="4" t="str">
        <f>IFERROR(__xludf.DUMMYFUNCTION("""COMPUTED_VALUE"""),"cas_hmw")</f>
        <v>cas_hmw</v>
      </c>
      <c r="B13872" s="5">
        <f>IFERROR(__xludf.DUMMYFUNCTION("""COMPUTED_VALUE"""),44720.0)</f>
        <v>44720</v>
      </c>
      <c r="C13872" s="6">
        <f>IFERROR(__xludf.DUMMYFUNCTION("""COMPUTED_VALUE"""),0.7364467592597066)</f>
        <v>0.7364467593</v>
      </c>
      <c r="D13872" s="4">
        <f>IFERROR(__xludf.DUMMYFUNCTION("""COMPUTED_VALUE"""),12.96641)</f>
        <v>12.96641</v>
      </c>
      <c r="E13872" s="4">
        <f>IFERROR(__xludf.DUMMYFUNCTION("""COMPUTED_VALUE"""),80.217239)</f>
        <v>80.217239</v>
      </c>
      <c r="F13872" s="4">
        <f>IFERROR(__xludf.DUMMYFUNCTION("""COMPUTED_VALUE"""),2846.0)</f>
        <v>2846</v>
      </c>
      <c r="G13872" s="4">
        <f>IFERROR(__xludf.DUMMYFUNCTION("""COMPUTED_VALUE"""),44.0)</f>
        <v>44</v>
      </c>
      <c r="H13872" s="4"/>
      <c r="I13872" s="4"/>
    </row>
    <row r="13873">
      <c r="A13873" s="4" t="str">
        <f>IFERROR(__xludf.DUMMYFUNCTION("""COMPUTED_VALUE"""),"cas_hmw")</f>
        <v>cas_hmw</v>
      </c>
      <c r="B13873" s="5">
        <f>IFERROR(__xludf.DUMMYFUNCTION("""COMPUTED_VALUE"""),44720.0)</f>
        <v>44720</v>
      </c>
      <c r="C13873" s="6">
        <f>IFERROR(__xludf.DUMMYFUNCTION("""COMPUTED_VALUE"""),0.7390509259275859)</f>
        <v>0.7390509259</v>
      </c>
      <c r="D13873" s="4">
        <f>IFERROR(__xludf.DUMMYFUNCTION("""COMPUTED_VALUE"""),12.956622)</f>
        <v>12.956622</v>
      </c>
      <c r="E13873" s="4">
        <f>IFERROR(__xludf.DUMMYFUNCTION("""COMPUTED_VALUE"""),80.213284)</f>
        <v>80.213284</v>
      </c>
      <c r="F13873" s="4">
        <f>IFERROR(__xludf.DUMMYFUNCTION("""COMPUTED_VALUE"""),2846.0)</f>
        <v>2846</v>
      </c>
      <c r="G13873" s="4">
        <f>IFERROR(__xludf.DUMMYFUNCTION("""COMPUTED_VALUE"""),33.0)</f>
        <v>33</v>
      </c>
      <c r="H13873" s="4"/>
      <c r="I13873" s="4"/>
    </row>
    <row r="13874">
      <c r="A13874" s="4" t="str">
        <f>IFERROR(__xludf.DUMMYFUNCTION("""COMPUTED_VALUE"""),"cas_hmw")</f>
        <v>cas_hmw</v>
      </c>
      <c r="B13874" s="5">
        <f>IFERROR(__xludf.DUMMYFUNCTION("""COMPUTED_VALUE"""),44720.0)</f>
        <v>44720</v>
      </c>
      <c r="C13874" s="6">
        <f>IFERROR(__xludf.DUMMYFUNCTION("""COMPUTED_VALUE"""),0.7391087962969323)</f>
        <v>0.7391087963</v>
      </c>
      <c r="D13874" s="4">
        <f>IFERROR(__xludf.DUMMYFUNCTION("""COMPUTED_VALUE"""),12.956622)</f>
        <v>12.956622</v>
      </c>
      <c r="E13874" s="4">
        <f>IFERROR(__xludf.DUMMYFUNCTION("""COMPUTED_VALUE"""),80.213284)</f>
        <v>80.213284</v>
      </c>
      <c r="F13874" s="4">
        <f>IFERROR(__xludf.DUMMYFUNCTION("""COMPUTED_VALUE"""),2846.0)</f>
        <v>2846</v>
      </c>
      <c r="G13874" s="4">
        <f>IFERROR(__xludf.DUMMYFUNCTION("""COMPUTED_VALUE"""),33.0)</f>
        <v>33</v>
      </c>
      <c r="H13874" s="4"/>
      <c r="I13874" s="4"/>
    </row>
    <row r="13875">
      <c r="A13875" s="4" t="str">
        <f>IFERROR(__xludf.DUMMYFUNCTION("""COMPUTED_VALUE"""),"cas_hmw")</f>
        <v>cas_hmw</v>
      </c>
      <c r="B13875" s="5">
        <f>IFERROR(__xludf.DUMMYFUNCTION("""COMPUTED_VALUE"""),44720.0)</f>
        <v>44720</v>
      </c>
      <c r="C13875" s="6">
        <f>IFERROR(__xludf.DUMMYFUNCTION("""COMPUTED_VALUE"""),0.7431365740740148)</f>
        <v>0.7431365741</v>
      </c>
      <c r="D13875" s="4">
        <f>IFERROR(__xludf.DUMMYFUNCTION("""COMPUTED_VALUE"""),13.066442)</f>
        <v>13.066442</v>
      </c>
      <c r="E13875" s="4">
        <f>IFERROR(__xludf.DUMMYFUNCTION("""COMPUTED_VALUE"""),80.268538)</f>
        <v>80.268538</v>
      </c>
      <c r="F13875" s="4">
        <f>IFERROR(__xludf.DUMMYFUNCTION("""COMPUTED_VALUE"""),805.0)</f>
        <v>805</v>
      </c>
      <c r="G13875" s="4">
        <f>IFERROR(__xludf.DUMMYFUNCTION("""COMPUTED_VALUE"""),0.0)</f>
        <v>0</v>
      </c>
      <c r="H13875" s="4"/>
      <c r="I13875" s="4"/>
    </row>
    <row r="13876">
      <c r="A13876" s="4" t="str">
        <f>IFERROR(__xludf.DUMMYFUNCTION("""COMPUTED_VALUE"""),"cas_hmw")</f>
        <v>cas_hmw</v>
      </c>
      <c r="B13876" s="5">
        <f>IFERROR(__xludf.DUMMYFUNCTION("""COMPUTED_VALUE"""),44720.0)</f>
        <v>44720</v>
      </c>
      <c r="C13876" s="6">
        <f>IFERROR(__xludf.DUMMYFUNCTION("""COMPUTED_VALUE"""),0.7431481481471565)</f>
        <v>0.7431481481</v>
      </c>
      <c r="D13876" s="4">
        <f>IFERROR(__xludf.DUMMYFUNCTION("""COMPUTED_VALUE"""),13.066442)</f>
        <v>13.066442</v>
      </c>
      <c r="E13876" s="4">
        <f>IFERROR(__xludf.DUMMYFUNCTION("""COMPUTED_VALUE"""),80.268538)</f>
        <v>80.268538</v>
      </c>
      <c r="F13876" s="4">
        <f>IFERROR(__xludf.DUMMYFUNCTION("""COMPUTED_VALUE"""),805.0)</f>
        <v>805</v>
      </c>
      <c r="G13876" s="4">
        <f>IFERROR(__xludf.DUMMYFUNCTION("""COMPUTED_VALUE"""),0.0)</f>
        <v>0</v>
      </c>
      <c r="H13876" s="4"/>
      <c r="I13876" s="4"/>
    </row>
    <row r="13877">
      <c r="A13877" s="4" t="str">
        <f>IFERROR(__xludf.DUMMYFUNCTION("""COMPUTED_VALUE"""),"cas_hmw")</f>
        <v>cas_hmw</v>
      </c>
      <c r="B13877" s="5">
        <f>IFERROR(__xludf.DUMMYFUNCTION("""COMPUTED_VALUE"""),44720.0)</f>
        <v>44720</v>
      </c>
      <c r="C13877" s="6">
        <f>IFERROR(__xludf.DUMMYFUNCTION("""COMPUTED_VALUE"""),0.744907407406572)</f>
        <v>0.7449074074</v>
      </c>
      <c r="D13877" s="4">
        <f>IFERROR(__xludf.DUMMYFUNCTION("""COMPUTED_VALUE"""),12.948654)</f>
        <v>12.948654</v>
      </c>
      <c r="E13877" s="4">
        <f>IFERROR(__xludf.DUMMYFUNCTION("""COMPUTED_VALUE"""),80.190324)</f>
        <v>80.190324</v>
      </c>
      <c r="F13877" s="4">
        <f>IFERROR(__xludf.DUMMYFUNCTION("""COMPUTED_VALUE"""),2846.0)</f>
        <v>2846</v>
      </c>
      <c r="G13877" s="4">
        <f>IFERROR(__xludf.DUMMYFUNCTION("""COMPUTED_VALUE"""),22.0)</f>
        <v>22</v>
      </c>
      <c r="H13877" s="4"/>
      <c r="I13877" s="4"/>
    </row>
    <row r="13878">
      <c r="A13878" s="4" t="str">
        <f>IFERROR(__xludf.DUMMYFUNCTION("""COMPUTED_VALUE"""),"cas_hmw")</f>
        <v>cas_hmw</v>
      </c>
      <c r="B13878" s="5">
        <f>IFERROR(__xludf.DUMMYFUNCTION("""COMPUTED_VALUE"""),44720.0)</f>
        <v>44720</v>
      </c>
      <c r="C13878" s="6">
        <f>IFERROR(__xludf.DUMMYFUNCTION("""COMPUTED_VALUE"""),0.744942129629635)</f>
        <v>0.7449421296</v>
      </c>
      <c r="D13878" s="4">
        <f>IFERROR(__xludf.DUMMYFUNCTION("""COMPUTED_VALUE"""),12.948654)</f>
        <v>12.948654</v>
      </c>
      <c r="E13878" s="4">
        <f>IFERROR(__xludf.DUMMYFUNCTION("""COMPUTED_VALUE"""),80.190324)</f>
        <v>80.190324</v>
      </c>
      <c r="F13878" s="4">
        <f>IFERROR(__xludf.DUMMYFUNCTION("""COMPUTED_VALUE"""),2846.0)</f>
        <v>2846</v>
      </c>
      <c r="G13878" s="4">
        <f>IFERROR(__xludf.DUMMYFUNCTION("""COMPUTED_VALUE"""),22.0)</f>
        <v>22</v>
      </c>
      <c r="H13878" s="4"/>
      <c r="I13878" s="4"/>
    </row>
    <row r="13879">
      <c r="A13879" s="4" t="str">
        <f>IFERROR(__xludf.DUMMYFUNCTION("""COMPUTED_VALUE"""),"cas_hmw")</f>
        <v>cas_hmw</v>
      </c>
      <c r="B13879" s="5">
        <f>IFERROR(__xludf.DUMMYFUNCTION("""COMPUTED_VALUE"""),44720.0)</f>
        <v>44720</v>
      </c>
      <c r="C13879" s="6">
        <f>IFERROR(__xludf.DUMMYFUNCTION("""COMPUTED_VALUE"""),0.7468865740738693)</f>
        <v>0.7468865741</v>
      </c>
      <c r="D13879" s="4">
        <f>IFERROR(__xludf.DUMMYFUNCTION("""COMPUTED_VALUE"""),12.95119)</f>
        <v>12.95119</v>
      </c>
      <c r="E13879" s="4">
        <f>IFERROR(__xludf.DUMMYFUNCTION("""COMPUTED_VALUE"""),80.17453)</f>
        <v>80.17453</v>
      </c>
      <c r="F13879" s="4">
        <f>IFERROR(__xludf.DUMMYFUNCTION("""COMPUTED_VALUE"""),2846.0)</f>
        <v>2846</v>
      </c>
      <c r="G13879" s="4">
        <f>IFERROR(__xludf.DUMMYFUNCTION("""COMPUTED_VALUE"""),0.0)</f>
        <v>0</v>
      </c>
      <c r="H13879" s="4"/>
      <c r="I13879" s="4"/>
    </row>
    <row r="13880">
      <c r="A13880" s="4" t="str">
        <f>IFERROR(__xludf.DUMMYFUNCTION("""COMPUTED_VALUE"""),"cas_hmw")</f>
        <v>cas_hmw</v>
      </c>
      <c r="B13880" s="5">
        <f>IFERROR(__xludf.DUMMYFUNCTION("""COMPUTED_VALUE"""),44720.0)</f>
        <v>44720</v>
      </c>
      <c r="C13880" s="6">
        <f>IFERROR(__xludf.DUMMYFUNCTION("""COMPUTED_VALUE"""),0.7499884259268583)</f>
        <v>0.7499884259</v>
      </c>
      <c r="D13880" s="4">
        <f>IFERROR(__xludf.DUMMYFUNCTION("""COMPUTED_VALUE"""),13.067398)</f>
        <v>13.067398</v>
      </c>
      <c r="E13880" s="4">
        <f>IFERROR(__xludf.DUMMYFUNCTION("""COMPUTED_VALUE"""),80.250995)</f>
        <v>80.250995</v>
      </c>
      <c r="F13880" s="4">
        <f>IFERROR(__xludf.DUMMYFUNCTION("""COMPUTED_VALUE"""),805.0)</f>
        <v>805</v>
      </c>
      <c r="G13880" s="4">
        <f>IFERROR(__xludf.DUMMYFUNCTION("""COMPUTED_VALUE"""),21.0)</f>
        <v>21</v>
      </c>
      <c r="H13880" s="4"/>
      <c r="I13880" s="4"/>
    </row>
    <row r="13881">
      <c r="A13881" s="4" t="str">
        <f>IFERROR(__xludf.DUMMYFUNCTION("""COMPUTED_VALUE"""),"cas_hmw")</f>
        <v>cas_hmw</v>
      </c>
      <c r="B13881" s="5">
        <f>IFERROR(__xludf.DUMMYFUNCTION("""COMPUTED_VALUE"""),44720.0)</f>
        <v>44720</v>
      </c>
      <c r="C13881" s="6">
        <f>IFERROR(__xludf.DUMMYFUNCTION("""COMPUTED_VALUE"""),0.7499884259268583)</f>
        <v>0.7499884259</v>
      </c>
      <c r="D13881" s="4">
        <f>IFERROR(__xludf.DUMMYFUNCTION("""COMPUTED_VALUE"""),13.067239)</f>
        <v>13.067239</v>
      </c>
      <c r="E13881" s="4">
        <f>IFERROR(__xludf.DUMMYFUNCTION("""COMPUTED_VALUE"""),80.251894)</f>
        <v>80.251894</v>
      </c>
      <c r="F13881" s="4">
        <f>IFERROR(__xludf.DUMMYFUNCTION("""COMPUTED_VALUE"""),805.0)</f>
        <v>805</v>
      </c>
      <c r="G13881" s="4">
        <f>IFERROR(__xludf.DUMMYFUNCTION("""COMPUTED_VALUE"""),13.0)</f>
        <v>13</v>
      </c>
      <c r="H13881" s="4"/>
      <c r="I13881" s="4"/>
    </row>
    <row r="13882">
      <c r="A13882" s="4" t="str">
        <f>IFERROR(__xludf.DUMMYFUNCTION("""COMPUTED_VALUE"""),"cas_hmw")</f>
        <v>cas_hmw</v>
      </c>
      <c r="B13882" s="5">
        <f>IFERROR(__xludf.DUMMYFUNCTION("""COMPUTED_VALUE"""),44720.0)</f>
        <v>44720</v>
      </c>
      <c r="C13882" s="6">
        <f>IFERROR(__xludf.DUMMYFUNCTION("""COMPUTED_VALUE"""),0.7880439814798592)</f>
        <v>0.7880439815</v>
      </c>
      <c r="D13882" s="4">
        <f>IFERROR(__xludf.DUMMYFUNCTION("""COMPUTED_VALUE"""),12.953439)</f>
        <v>12.953439</v>
      </c>
      <c r="E13882" s="4">
        <f>IFERROR(__xludf.DUMMYFUNCTION("""COMPUTED_VALUE"""),80.163838)</f>
        <v>80.163838</v>
      </c>
      <c r="F13882" s="4">
        <f>IFERROR(__xludf.DUMMYFUNCTION("""COMPUTED_VALUE"""),2846.0)</f>
        <v>2846</v>
      </c>
      <c r="G13882" s="4">
        <f>IFERROR(__xludf.DUMMYFUNCTION("""COMPUTED_VALUE"""),4.0)</f>
        <v>4</v>
      </c>
      <c r="H13882" s="4"/>
      <c r="I13882" s="4"/>
    </row>
    <row r="13883">
      <c r="A13883" s="4" t="str">
        <f>IFERROR(__xludf.DUMMYFUNCTION("""COMPUTED_VALUE"""),"cas_hmw")</f>
        <v>cas_hmw</v>
      </c>
      <c r="B13883" s="5">
        <f>IFERROR(__xludf.DUMMYFUNCTION("""COMPUTED_VALUE"""),44720.0)</f>
        <v>44720</v>
      </c>
      <c r="C13883" s="6">
        <f>IFERROR(__xludf.DUMMYFUNCTION("""COMPUTED_VALUE"""),0.7881597222221899)</f>
        <v>0.7881597222</v>
      </c>
      <c r="D13883" s="4">
        <f>IFERROR(__xludf.DUMMYFUNCTION("""COMPUTED_VALUE"""),12.953476)</f>
        <v>12.953476</v>
      </c>
      <c r="E13883" s="4">
        <f>IFERROR(__xludf.DUMMYFUNCTION("""COMPUTED_VALUE"""),80.163696)</f>
        <v>80.163696</v>
      </c>
      <c r="F13883" s="4">
        <f>IFERROR(__xludf.DUMMYFUNCTION("""COMPUTED_VALUE"""),2846.0)</f>
        <v>2846</v>
      </c>
      <c r="G13883" s="4">
        <f>IFERROR(__xludf.DUMMYFUNCTION("""COMPUTED_VALUE"""),6.0)</f>
        <v>6</v>
      </c>
      <c r="H13883" s="4"/>
      <c r="I13883" s="4"/>
    </row>
    <row r="13884">
      <c r="A13884" s="4" t="str">
        <f>IFERROR(__xludf.DUMMYFUNCTION("""COMPUTED_VALUE"""),"cas_hmw")</f>
        <v>cas_hmw</v>
      </c>
      <c r="B13884" s="5">
        <f>IFERROR(__xludf.DUMMYFUNCTION("""COMPUTED_VALUE"""),44720.0)</f>
        <v>44720</v>
      </c>
      <c r="C13884" s="6">
        <f>IFERROR(__xludf.DUMMYFUNCTION("""COMPUTED_VALUE"""),0.7898148148160544)</f>
        <v>0.7898148148</v>
      </c>
      <c r="D13884" s="4">
        <f>IFERROR(__xludf.DUMMYFUNCTION("""COMPUTED_VALUE"""),12.95718)</f>
        <v>12.95718</v>
      </c>
      <c r="E13884" s="4">
        <f>IFERROR(__xludf.DUMMYFUNCTION("""COMPUTED_VALUE"""),80.151396)</f>
        <v>80.151396</v>
      </c>
      <c r="F13884" s="4">
        <f>IFERROR(__xludf.DUMMYFUNCTION("""COMPUTED_VALUE"""),2846.0)</f>
        <v>2846</v>
      </c>
      <c r="G13884" s="4">
        <f>IFERROR(__xludf.DUMMYFUNCTION("""COMPUTED_VALUE"""),51.0)</f>
        <v>51</v>
      </c>
      <c r="H13884" s="4"/>
      <c r="I13884" s="4"/>
    </row>
    <row r="13885">
      <c r="A13885" s="4" t="str">
        <f>IFERROR(__xludf.DUMMYFUNCTION("""COMPUTED_VALUE"""),"cas_hmw")</f>
        <v>cas_hmw</v>
      </c>
      <c r="B13885" s="5">
        <f>IFERROR(__xludf.DUMMYFUNCTION("""COMPUTED_VALUE"""),44720.0)</f>
        <v>44720</v>
      </c>
      <c r="C13885" s="6">
        <f>IFERROR(__xludf.DUMMYFUNCTION("""COMPUTED_VALUE"""),0.7934953703697829)</f>
        <v>0.7934953704</v>
      </c>
      <c r="D13885" s="4">
        <f>IFERROR(__xludf.DUMMYFUNCTION("""COMPUTED_VALUE"""),12.954441)</f>
        <v>12.954441</v>
      </c>
      <c r="E13885" s="4">
        <f>IFERROR(__xludf.DUMMYFUNCTION("""COMPUTED_VALUE"""),80.142312)</f>
        <v>80.142312</v>
      </c>
      <c r="F13885" s="4">
        <f>IFERROR(__xludf.DUMMYFUNCTION("""COMPUTED_VALUE"""),2846.0)</f>
        <v>2846</v>
      </c>
      <c r="G13885" s="4">
        <f>IFERROR(__xludf.DUMMYFUNCTION("""COMPUTED_VALUE"""),22.0)</f>
        <v>22</v>
      </c>
      <c r="H13885" s="4"/>
      <c r="I13885" s="4"/>
    </row>
    <row r="13886">
      <c r="A13886" s="4" t="str">
        <f>IFERROR(__xludf.DUMMYFUNCTION("""COMPUTED_VALUE"""),"cas_hmw")</f>
        <v>cas_hmw</v>
      </c>
      <c r="B13886" s="5">
        <f>IFERROR(__xludf.DUMMYFUNCTION("""COMPUTED_VALUE"""),44720.0)</f>
        <v>44720</v>
      </c>
      <c r="C13886" s="6">
        <f>IFERROR(__xludf.DUMMYFUNCTION("""COMPUTED_VALUE"""),0.7936226851852552)</f>
        <v>0.7936226852</v>
      </c>
      <c r="D13886" s="4">
        <f>IFERROR(__xludf.DUMMYFUNCTION("""COMPUTED_VALUE"""),12.953933)</f>
        <v>12.953933</v>
      </c>
      <c r="E13886" s="4">
        <f>IFERROR(__xludf.DUMMYFUNCTION("""COMPUTED_VALUE"""),80.142023)</f>
        <v>80.142023</v>
      </c>
      <c r="F13886" s="4">
        <f>IFERROR(__xludf.DUMMYFUNCTION("""COMPUTED_VALUE"""),2846.0)</f>
        <v>2846</v>
      </c>
      <c r="G13886" s="4">
        <f>IFERROR(__xludf.DUMMYFUNCTION("""COMPUTED_VALUE"""),26.0)</f>
        <v>26</v>
      </c>
      <c r="H13886" s="4"/>
      <c r="I13886" s="4"/>
    </row>
    <row r="13887">
      <c r="A13887" s="4" t="str">
        <f>IFERROR(__xludf.DUMMYFUNCTION("""COMPUTED_VALUE"""),"cas_hmw")</f>
        <v>cas_hmw</v>
      </c>
      <c r="B13887" s="5">
        <f>IFERROR(__xludf.DUMMYFUNCTION("""COMPUTED_VALUE"""),44720.0)</f>
        <v>44720</v>
      </c>
      <c r="C13887" s="6">
        <f>IFERROR(__xludf.DUMMYFUNCTION("""COMPUTED_VALUE"""),0.7940393518510973)</f>
        <v>0.7940393519</v>
      </c>
      <c r="D13887" s="4">
        <f>IFERROR(__xludf.DUMMYFUNCTION("""COMPUTED_VALUE"""),12.95228)</f>
        <v>12.95228</v>
      </c>
      <c r="E13887" s="4">
        <f>IFERROR(__xludf.DUMMYFUNCTION("""COMPUTED_VALUE"""),80.140969)</f>
        <v>80.140969</v>
      </c>
      <c r="F13887" s="4">
        <f>IFERROR(__xludf.DUMMYFUNCTION("""COMPUTED_VALUE"""),2846.0)</f>
        <v>2846</v>
      </c>
      <c r="G13887" s="4">
        <f>IFERROR(__xludf.DUMMYFUNCTION("""COMPUTED_VALUE"""),14.0)</f>
        <v>14</v>
      </c>
      <c r="H13887" s="4"/>
      <c r="I13887" s="4"/>
    </row>
    <row r="13888">
      <c r="A13888" s="4" t="str">
        <f>IFERROR(__xludf.DUMMYFUNCTION("""COMPUTED_VALUE"""),"cas_hmw")</f>
        <v>cas_hmw</v>
      </c>
      <c r="B13888" s="5">
        <f>IFERROR(__xludf.DUMMYFUNCTION("""COMPUTED_VALUE"""),44720.0)</f>
        <v>44720</v>
      </c>
      <c r="C13888" s="6">
        <f>IFERROR(__xludf.DUMMYFUNCTION("""COMPUTED_VALUE"""),0.7942129629627743)</f>
        <v>0.794212963</v>
      </c>
      <c r="D13888" s="4">
        <f>IFERROR(__xludf.DUMMYFUNCTION("""COMPUTED_VALUE"""),12.951226)</f>
        <v>12.951226</v>
      </c>
      <c r="E13888" s="4">
        <f>IFERROR(__xludf.DUMMYFUNCTION("""COMPUTED_VALUE"""),80.140151)</f>
        <v>80.140151</v>
      </c>
      <c r="F13888" s="4">
        <f>IFERROR(__xludf.DUMMYFUNCTION("""COMPUTED_VALUE"""),2846.0)</f>
        <v>2846</v>
      </c>
      <c r="G13888" s="4">
        <f>IFERROR(__xludf.DUMMYFUNCTION("""COMPUTED_VALUE"""),33.0)</f>
        <v>33</v>
      </c>
      <c r="H13888" s="4"/>
      <c r="I13888" s="4"/>
    </row>
    <row r="13889">
      <c r="A13889" s="4" t="str">
        <f>IFERROR(__xludf.DUMMYFUNCTION("""COMPUTED_VALUE"""),"cas_hmw")</f>
        <v>cas_hmw</v>
      </c>
      <c r="B13889" s="5">
        <f>IFERROR(__xludf.DUMMYFUNCTION("""COMPUTED_VALUE"""),44720.0)</f>
        <v>44720</v>
      </c>
      <c r="C13889" s="6">
        <f>IFERROR(__xludf.DUMMYFUNCTION("""COMPUTED_VALUE"""),0.7944560185169394)</f>
        <v>0.7944560185</v>
      </c>
      <c r="D13889" s="4">
        <f>IFERROR(__xludf.DUMMYFUNCTION("""COMPUTED_VALUE"""),12.951226)</f>
        <v>12.951226</v>
      </c>
      <c r="E13889" s="4">
        <f>IFERROR(__xludf.DUMMYFUNCTION("""COMPUTED_VALUE"""),80.140151)</f>
        <v>80.140151</v>
      </c>
      <c r="F13889" s="4">
        <f>IFERROR(__xludf.DUMMYFUNCTION("""COMPUTED_VALUE"""),2846.0)</f>
        <v>2846</v>
      </c>
      <c r="G13889" s="4">
        <f>IFERROR(__xludf.DUMMYFUNCTION("""COMPUTED_VALUE"""),33.0)</f>
        <v>33</v>
      </c>
      <c r="H13889" s="4"/>
      <c r="I13889" s="4"/>
    </row>
    <row r="13890">
      <c r="A13890" s="4" t="str">
        <f>IFERROR(__xludf.DUMMYFUNCTION("""COMPUTED_VALUE"""),"cas_hmw")</f>
        <v>cas_hmw</v>
      </c>
      <c r="B13890" s="5">
        <f>IFERROR(__xludf.DUMMYFUNCTION("""COMPUTED_VALUE"""),44720.0)</f>
        <v>44720</v>
      </c>
      <c r="C13890" s="6">
        <f>IFERROR(__xludf.DUMMYFUNCTION("""COMPUTED_VALUE"""),0.7947916666671517)</f>
        <v>0.7947916667</v>
      </c>
      <c r="D13890" s="4">
        <f>IFERROR(__xludf.DUMMYFUNCTION("""COMPUTED_VALUE"""),12.950686)</f>
        <v>12.950686</v>
      </c>
      <c r="E13890" s="4">
        <f>IFERROR(__xludf.DUMMYFUNCTION("""COMPUTED_VALUE"""),80.139766)</f>
        <v>80.139766</v>
      </c>
      <c r="F13890" s="4">
        <f>IFERROR(__xludf.DUMMYFUNCTION("""COMPUTED_VALUE"""),2846.0)</f>
        <v>2846</v>
      </c>
      <c r="G13890" s="4">
        <f>IFERROR(__xludf.DUMMYFUNCTION("""COMPUTED_VALUE"""),0.0)</f>
        <v>0</v>
      </c>
      <c r="H13890" s="4"/>
      <c r="I13890" s="4"/>
    </row>
    <row r="13891">
      <c r="A13891" s="4" t="str">
        <f>IFERROR(__xludf.DUMMYFUNCTION("""COMPUTED_VALUE"""),"cas_hmw")</f>
        <v>cas_hmw</v>
      </c>
      <c r="B13891" s="5">
        <f>IFERROR(__xludf.DUMMYFUNCTION("""COMPUTED_VALUE"""),44720.0)</f>
        <v>44720</v>
      </c>
      <c r="C13891" s="6">
        <f>IFERROR(__xludf.DUMMYFUNCTION("""COMPUTED_VALUE"""),0.7951620370367891)</f>
        <v>0.795162037</v>
      </c>
      <c r="D13891" s="4">
        <f>IFERROR(__xludf.DUMMYFUNCTION("""COMPUTED_VALUE"""),12.95055)</f>
        <v>12.95055</v>
      </c>
      <c r="E13891" s="4">
        <f>IFERROR(__xludf.DUMMYFUNCTION("""COMPUTED_VALUE"""),80.139687)</f>
        <v>80.139687</v>
      </c>
      <c r="F13891" s="4">
        <f>IFERROR(__xludf.DUMMYFUNCTION("""COMPUTED_VALUE"""),2846.0)</f>
        <v>2846</v>
      </c>
      <c r="G13891" s="4">
        <f>IFERROR(__xludf.DUMMYFUNCTION("""COMPUTED_VALUE"""),11.0)</f>
        <v>11</v>
      </c>
      <c r="H13891" s="4"/>
      <c r="I13891" s="4"/>
    </row>
    <row r="13892">
      <c r="A13892" s="4" t="str">
        <f>IFERROR(__xludf.DUMMYFUNCTION("""COMPUTED_VALUE"""),"cas_hmw")</f>
        <v>cas_hmw</v>
      </c>
      <c r="B13892" s="5">
        <f>IFERROR(__xludf.DUMMYFUNCTION("""COMPUTED_VALUE"""),44720.0)</f>
        <v>44720</v>
      </c>
      <c r="C13892" s="6">
        <f>IFERROR(__xludf.DUMMYFUNCTION("""COMPUTED_VALUE"""),0.7953009259254031)</f>
        <v>0.7953009259</v>
      </c>
      <c r="D13892" s="4">
        <f>IFERROR(__xludf.DUMMYFUNCTION("""COMPUTED_VALUE"""),12.95013)</f>
        <v>12.95013</v>
      </c>
      <c r="E13892" s="4">
        <f>IFERROR(__xludf.DUMMYFUNCTION("""COMPUTED_VALUE"""),80.139358)</f>
        <v>80.139358</v>
      </c>
      <c r="F13892" s="4">
        <f>IFERROR(__xludf.DUMMYFUNCTION("""COMPUTED_VALUE"""),2846.0)</f>
        <v>2846</v>
      </c>
      <c r="G13892" s="4">
        <f>IFERROR(__xludf.DUMMYFUNCTION("""COMPUTED_VALUE"""),28.0)</f>
        <v>28</v>
      </c>
      <c r="H13892" s="4"/>
      <c r="I13892" s="4"/>
    </row>
    <row r="13893">
      <c r="A13893" s="4" t="str">
        <f>IFERROR(__xludf.DUMMYFUNCTION("""COMPUTED_VALUE"""),"cas_hmw")</f>
        <v>cas_hmw</v>
      </c>
      <c r="B13893" s="5">
        <f>IFERROR(__xludf.DUMMYFUNCTION("""COMPUTED_VALUE"""),44720.0)</f>
        <v>44720</v>
      </c>
      <c r="C13893" s="6">
        <f>IFERROR(__xludf.DUMMYFUNCTION("""COMPUTED_VALUE"""),0.7955902777794108)</f>
        <v>0.7955902778</v>
      </c>
      <c r="D13893" s="4">
        <f>IFERROR(__xludf.DUMMYFUNCTION("""COMPUTED_VALUE"""),12.948044)</f>
        <v>12.948044</v>
      </c>
      <c r="E13893" s="4">
        <f>IFERROR(__xludf.DUMMYFUNCTION("""COMPUTED_VALUE"""),80.137678)</f>
        <v>80.137678</v>
      </c>
      <c r="F13893" s="4">
        <f>IFERROR(__xludf.DUMMYFUNCTION("""COMPUTED_VALUE"""),2846.0)</f>
        <v>2846</v>
      </c>
      <c r="G13893" s="4">
        <f>IFERROR(__xludf.DUMMYFUNCTION("""COMPUTED_VALUE"""),39.0)</f>
        <v>39</v>
      </c>
      <c r="H13893" s="4"/>
      <c r="I13893" s="4"/>
    </row>
    <row r="13894">
      <c r="A13894" s="4" t="str">
        <f>IFERROR(__xludf.DUMMYFUNCTION("""COMPUTED_VALUE"""),"cas_hmw")</f>
        <v>cas_hmw</v>
      </c>
      <c r="B13894" s="5">
        <f>IFERROR(__xludf.DUMMYFUNCTION("""COMPUTED_VALUE"""),44720.0)</f>
        <v>44720</v>
      </c>
      <c r="C13894" s="6">
        <f>IFERROR(__xludf.DUMMYFUNCTION("""COMPUTED_VALUE"""),0.796527777776646)</f>
        <v>0.7965277778</v>
      </c>
      <c r="D13894" s="4">
        <f>IFERROR(__xludf.DUMMYFUNCTION("""COMPUTED_VALUE"""),12.944251)</f>
        <v>12.944251</v>
      </c>
      <c r="E13894" s="4">
        <f>IFERROR(__xludf.DUMMYFUNCTION("""COMPUTED_VALUE"""),80.134818)</f>
        <v>80.134818</v>
      </c>
      <c r="F13894" s="4">
        <f>IFERROR(__xludf.DUMMYFUNCTION("""COMPUTED_VALUE"""),2846.0)</f>
        <v>2846</v>
      </c>
      <c r="G13894" s="4">
        <f>IFERROR(__xludf.DUMMYFUNCTION("""COMPUTED_VALUE"""),42.0)</f>
        <v>42</v>
      </c>
      <c r="H13894" s="4"/>
      <c r="I13894" s="4"/>
    </row>
    <row r="13895">
      <c r="A13895" s="4" t="str">
        <f>IFERROR(__xludf.DUMMYFUNCTION("""COMPUTED_VALUE"""),"cas_hmw")</f>
        <v>cas_hmw</v>
      </c>
      <c r="B13895" s="5">
        <f>IFERROR(__xludf.DUMMYFUNCTION("""COMPUTED_VALUE"""),44720.0)</f>
        <v>44720</v>
      </c>
      <c r="C13895" s="6">
        <f>IFERROR(__xludf.DUMMYFUNCTION("""COMPUTED_VALUE"""),0.7971296296309447)</f>
        <v>0.7971296296</v>
      </c>
      <c r="D13895" s="4">
        <f>IFERROR(__xludf.DUMMYFUNCTION("""COMPUTED_VALUE"""),12.941136)</f>
        <v>12.941136</v>
      </c>
      <c r="E13895" s="4">
        <f>IFERROR(__xludf.DUMMYFUNCTION("""COMPUTED_VALUE"""),80.131739)</f>
        <v>80.131739</v>
      </c>
      <c r="F13895" s="4">
        <f>IFERROR(__xludf.DUMMYFUNCTION("""COMPUTED_VALUE"""),2846.0)</f>
        <v>2846</v>
      </c>
      <c r="G13895" s="4">
        <f>IFERROR(__xludf.DUMMYFUNCTION("""COMPUTED_VALUE"""),39.0)</f>
        <v>39</v>
      </c>
      <c r="H13895" s="4"/>
      <c r="I13895" s="4"/>
    </row>
    <row r="13896">
      <c r="A13896" s="4" t="str">
        <f>IFERROR(__xludf.DUMMYFUNCTION("""COMPUTED_VALUE"""),"cas_hmw")</f>
        <v>cas_hmw</v>
      </c>
      <c r="B13896" s="5">
        <f>IFERROR(__xludf.DUMMYFUNCTION("""COMPUTED_VALUE"""),44720.0)</f>
        <v>44720</v>
      </c>
      <c r="C13896" s="6">
        <f>IFERROR(__xludf.DUMMYFUNCTION("""COMPUTED_VALUE"""),0.7992013888906513)</f>
        <v>0.7992013889</v>
      </c>
      <c r="D13896" s="4">
        <f>IFERROR(__xludf.DUMMYFUNCTION("""COMPUTED_VALUE"""),12.930967)</f>
        <v>12.930967</v>
      </c>
      <c r="E13896" s="4">
        <f>IFERROR(__xludf.DUMMYFUNCTION("""COMPUTED_VALUE"""),80.122176)</f>
        <v>80.122176</v>
      </c>
      <c r="F13896" s="4">
        <f>IFERROR(__xludf.DUMMYFUNCTION("""COMPUTED_VALUE"""),2846.0)</f>
        <v>2846</v>
      </c>
      <c r="G13896" s="4">
        <f>IFERROR(__xludf.DUMMYFUNCTION("""COMPUTED_VALUE"""),34.0)</f>
        <v>34</v>
      </c>
      <c r="H13896" s="4"/>
      <c r="I13896" s="4"/>
    </row>
    <row r="13897">
      <c r="A13897" s="4" t="str">
        <f>IFERROR(__xludf.DUMMYFUNCTION("""COMPUTED_VALUE"""),"cas_hmw")</f>
        <v>cas_hmw</v>
      </c>
      <c r="B13897" s="5">
        <f>IFERROR(__xludf.DUMMYFUNCTION("""COMPUTED_VALUE"""),44720.0)</f>
        <v>44720</v>
      </c>
      <c r="C13897" s="6">
        <f>IFERROR(__xludf.DUMMYFUNCTION("""COMPUTED_VALUE"""),0.7998726851838001)</f>
        <v>0.7998726852</v>
      </c>
      <c r="D13897" s="4">
        <f>IFERROR(__xludf.DUMMYFUNCTION("""COMPUTED_VALUE"""),12.927688)</f>
        <v>12.927688</v>
      </c>
      <c r="E13897" s="4">
        <f>IFERROR(__xludf.DUMMYFUNCTION("""COMPUTED_VALUE"""),80.118876)</f>
        <v>80.118876</v>
      </c>
      <c r="F13897" s="4">
        <f>IFERROR(__xludf.DUMMYFUNCTION("""COMPUTED_VALUE"""),2846.0)</f>
        <v>2846</v>
      </c>
      <c r="G13897" s="4">
        <f>IFERROR(__xludf.DUMMYFUNCTION("""COMPUTED_VALUE"""),19.0)</f>
        <v>19</v>
      </c>
      <c r="H13897" s="4"/>
      <c r="I13897" s="4"/>
    </row>
    <row r="13898">
      <c r="A13898" s="4" t="str">
        <f>IFERROR(__xludf.DUMMYFUNCTION("""COMPUTED_VALUE"""),"cas_hmw")</f>
        <v>cas_hmw</v>
      </c>
      <c r="B13898" s="5">
        <f>IFERROR(__xludf.DUMMYFUNCTION("""COMPUTED_VALUE"""),44720.0)</f>
        <v>44720</v>
      </c>
      <c r="C13898" s="6">
        <f>IFERROR(__xludf.DUMMYFUNCTION("""COMPUTED_VALUE"""),0.8056712962970778)</f>
        <v>0.8056712963</v>
      </c>
      <c r="D13898" s="4">
        <f>IFERROR(__xludf.DUMMYFUNCTION("""COMPUTED_VALUE"""),12.901999)</f>
        <v>12.901999</v>
      </c>
      <c r="E13898" s="4">
        <f>IFERROR(__xludf.DUMMYFUNCTION("""COMPUTED_VALUE"""),80.09302)</f>
        <v>80.09302</v>
      </c>
      <c r="F13898" s="4">
        <f>IFERROR(__xludf.DUMMYFUNCTION("""COMPUTED_VALUE"""),2846.0)</f>
        <v>2846</v>
      </c>
      <c r="G13898" s="4">
        <f>IFERROR(__xludf.DUMMYFUNCTION("""COMPUTED_VALUE"""),46.0)</f>
        <v>46</v>
      </c>
      <c r="H13898" s="4"/>
      <c r="I13898" s="4"/>
    </row>
    <row r="13899">
      <c r="A13899" s="4" t="str">
        <f>IFERROR(__xludf.DUMMYFUNCTION("""COMPUTED_VALUE"""),"cas_hmw")</f>
        <v>cas_hmw</v>
      </c>
      <c r="B13899" s="5">
        <f>IFERROR(__xludf.DUMMYFUNCTION("""COMPUTED_VALUE"""),44721.0)</f>
        <v>44721</v>
      </c>
      <c r="C13899" s="6">
        <f>IFERROR(__xludf.DUMMYFUNCTION("""COMPUTED_VALUE"""),0.27555555555591127)</f>
        <v>0.2755555556</v>
      </c>
      <c r="D13899" s="4">
        <f>IFERROR(__xludf.DUMMYFUNCTION("""COMPUTED_VALUE"""),12.875655)</f>
        <v>12.875655</v>
      </c>
      <c r="E13899" s="4">
        <f>IFERROR(__xludf.DUMMYFUNCTION("""COMPUTED_VALUE"""),80.082853)</f>
        <v>80.082853</v>
      </c>
      <c r="F13899" s="4">
        <f>IFERROR(__xludf.DUMMYFUNCTION("""COMPUTED_VALUE"""),2846.0)</f>
        <v>2846</v>
      </c>
      <c r="G13899" s="4">
        <f>IFERROR(__xludf.DUMMYFUNCTION("""COMPUTED_VALUE"""),0.0)</f>
        <v>0</v>
      </c>
      <c r="H13899" s="4"/>
      <c r="I13899" s="4"/>
    </row>
    <row r="13900">
      <c r="A13900" s="4" t="str">
        <f>IFERROR(__xludf.DUMMYFUNCTION("""COMPUTED_VALUE"""),"cas_hmw")</f>
        <v>cas_hmw</v>
      </c>
      <c r="B13900" s="5">
        <f>IFERROR(__xludf.DUMMYFUNCTION("""COMPUTED_VALUE"""),44721.0)</f>
        <v>44721</v>
      </c>
      <c r="C13900" s="6">
        <f>IFERROR(__xludf.DUMMYFUNCTION("""COMPUTED_VALUE"""),0.27694444444568944)</f>
        <v>0.2769444444</v>
      </c>
      <c r="D13900" s="4">
        <f>IFERROR(__xludf.DUMMYFUNCTION("""COMPUTED_VALUE"""),12.875664)</f>
        <v>12.875664</v>
      </c>
      <c r="E13900" s="4">
        <f>IFERROR(__xludf.DUMMYFUNCTION("""COMPUTED_VALUE"""),80.082834)</f>
        <v>80.082834</v>
      </c>
      <c r="F13900" s="4">
        <f>IFERROR(__xludf.DUMMYFUNCTION("""COMPUTED_VALUE"""),2846.0)</f>
        <v>2846</v>
      </c>
      <c r="G13900" s="4">
        <f>IFERROR(__xludf.DUMMYFUNCTION("""COMPUTED_VALUE"""),0.0)</f>
        <v>0</v>
      </c>
      <c r="H13900" s="4"/>
      <c r="I13900" s="4"/>
    </row>
    <row r="13901">
      <c r="A13901" s="4" t="str">
        <f>IFERROR(__xludf.DUMMYFUNCTION("""COMPUTED_VALUE"""),"cas_hmw")</f>
        <v>cas_hmw</v>
      </c>
      <c r="B13901" s="5">
        <f>IFERROR(__xludf.DUMMYFUNCTION("""COMPUTED_VALUE"""),44721.0)</f>
        <v>44721</v>
      </c>
      <c r="C13901" s="6">
        <f>IFERROR(__xludf.DUMMYFUNCTION("""COMPUTED_VALUE"""),0.27697916666511446)</f>
        <v>0.2769791667</v>
      </c>
      <c r="D13901" s="4">
        <f>IFERROR(__xludf.DUMMYFUNCTION("""COMPUTED_VALUE"""),12.875664)</f>
        <v>12.875664</v>
      </c>
      <c r="E13901" s="4">
        <f>IFERROR(__xludf.DUMMYFUNCTION("""COMPUTED_VALUE"""),80.082834)</f>
        <v>80.082834</v>
      </c>
      <c r="F13901" s="4">
        <f>IFERROR(__xludf.DUMMYFUNCTION("""COMPUTED_VALUE"""),2846.0)</f>
        <v>2846</v>
      </c>
      <c r="G13901" s="4">
        <f>IFERROR(__xludf.DUMMYFUNCTION("""COMPUTED_VALUE"""),0.0)</f>
        <v>0</v>
      </c>
      <c r="H13901" s="4"/>
      <c r="I13901" s="4"/>
    </row>
    <row r="13902">
      <c r="A13902" s="4" t="str">
        <f>IFERROR(__xludf.DUMMYFUNCTION("""COMPUTED_VALUE"""),"cas_hmw")</f>
        <v>cas_hmw</v>
      </c>
      <c r="B13902" s="5">
        <f>IFERROR(__xludf.DUMMYFUNCTION("""COMPUTED_VALUE"""),44721.0)</f>
        <v>44721</v>
      </c>
      <c r="C13902" s="6">
        <f>IFERROR(__xludf.DUMMYFUNCTION("""COMPUTED_VALUE"""),0.2771064814805868)</f>
        <v>0.2771064815</v>
      </c>
      <c r="D13902" s="4">
        <f>IFERROR(__xludf.DUMMYFUNCTION("""COMPUTED_VALUE"""),12.875664)</f>
        <v>12.875664</v>
      </c>
      <c r="E13902" s="4">
        <f>IFERROR(__xludf.DUMMYFUNCTION("""COMPUTED_VALUE"""),80.082834)</f>
        <v>80.082834</v>
      </c>
      <c r="F13902" s="4">
        <f>IFERROR(__xludf.DUMMYFUNCTION("""COMPUTED_VALUE"""),2846.0)</f>
        <v>2846</v>
      </c>
      <c r="G13902" s="4">
        <f>IFERROR(__xludf.DUMMYFUNCTION("""COMPUTED_VALUE"""),0.0)</f>
        <v>0</v>
      </c>
      <c r="H13902" s="4"/>
      <c r="I13902" s="4"/>
    </row>
    <row r="13903">
      <c r="A13903" s="4" t="str">
        <f>IFERROR(__xludf.DUMMYFUNCTION("""COMPUTED_VALUE"""),"cas_hmw")</f>
        <v>cas_hmw</v>
      </c>
      <c r="B13903" s="5">
        <f>IFERROR(__xludf.DUMMYFUNCTION("""COMPUTED_VALUE"""),44721.0)</f>
        <v>44721</v>
      </c>
      <c r="C13903" s="6">
        <f>IFERROR(__xludf.DUMMYFUNCTION("""COMPUTED_VALUE"""),0.2778009259272949)</f>
        <v>0.2778009259</v>
      </c>
      <c r="D13903" s="4">
        <f>IFERROR(__xludf.DUMMYFUNCTION("""COMPUTED_VALUE"""),12.875664)</f>
        <v>12.875664</v>
      </c>
      <c r="E13903" s="4">
        <f>IFERROR(__xludf.DUMMYFUNCTION("""COMPUTED_VALUE"""),80.082834)</f>
        <v>80.082834</v>
      </c>
      <c r="F13903" s="4">
        <f>IFERROR(__xludf.DUMMYFUNCTION("""COMPUTED_VALUE"""),2846.0)</f>
        <v>2846</v>
      </c>
      <c r="G13903" s="4">
        <f>IFERROR(__xludf.DUMMYFUNCTION("""COMPUTED_VALUE"""),0.0)</f>
        <v>0</v>
      </c>
      <c r="H13903" s="4"/>
      <c r="I13903" s="4"/>
    </row>
    <row r="13904">
      <c r="A13904" s="4" t="str">
        <f>IFERROR(__xludf.DUMMYFUNCTION("""COMPUTED_VALUE"""),"cas_hmw")</f>
        <v>cas_hmw</v>
      </c>
      <c r="B13904" s="5">
        <f>IFERROR(__xludf.DUMMYFUNCTION("""COMPUTED_VALUE"""),44721.0)</f>
        <v>44721</v>
      </c>
      <c r="C13904" s="6">
        <f>IFERROR(__xludf.DUMMYFUNCTION("""COMPUTED_VALUE"""),0.27828703703562496)</f>
        <v>0.278287037</v>
      </c>
      <c r="D13904" s="4">
        <f>IFERROR(__xludf.DUMMYFUNCTION("""COMPUTED_VALUE"""),12.87566)</f>
        <v>12.87566</v>
      </c>
      <c r="E13904" s="4">
        <f>IFERROR(__xludf.DUMMYFUNCTION("""COMPUTED_VALUE"""),80.08283)</f>
        <v>80.08283</v>
      </c>
      <c r="F13904" s="4">
        <f>IFERROR(__xludf.DUMMYFUNCTION("""COMPUTED_VALUE"""),2846.0)</f>
        <v>2846</v>
      </c>
      <c r="G13904" s="4">
        <f>IFERROR(__xludf.DUMMYFUNCTION("""COMPUTED_VALUE"""),0.0)</f>
        <v>0</v>
      </c>
      <c r="H13904" s="4"/>
      <c r="I13904" s="4"/>
    </row>
    <row r="13905">
      <c r="A13905" s="4" t="str">
        <f>IFERROR(__xludf.DUMMYFUNCTION("""COMPUTED_VALUE"""),"cas_hmw")</f>
        <v>cas_hmw</v>
      </c>
      <c r="B13905" s="5">
        <f>IFERROR(__xludf.DUMMYFUNCTION("""COMPUTED_VALUE"""),44721.0)</f>
        <v>44721</v>
      </c>
      <c r="C13905" s="6">
        <f>IFERROR(__xludf.DUMMYFUNCTION("""COMPUTED_VALUE"""),0.2783101851855463)</f>
        <v>0.2783101852</v>
      </c>
      <c r="D13905" s="4">
        <f>IFERROR(__xludf.DUMMYFUNCTION("""COMPUTED_VALUE"""),12.87566)</f>
        <v>12.87566</v>
      </c>
      <c r="E13905" s="4">
        <f>IFERROR(__xludf.DUMMYFUNCTION("""COMPUTED_VALUE"""),80.08283)</f>
        <v>80.08283</v>
      </c>
      <c r="F13905" s="4">
        <f>IFERROR(__xludf.DUMMYFUNCTION("""COMPUTED_VALUE"""),2846.0)</f>
        <v>2846</v>
      </c>
      <c r="G13905" s="4">
        <f>IFERROR(__xludf.DUMMYFUNCTION("""COMPUTED_VALUE"""),0.0)</f>
        <v>0</v>
      </c>
      <c r="H13905" s="4"/>
      <c r="I13905" s="4"/>
    </row>
    <row r="13906">
      <c r="A13906" s="4" t="str">
        <f>IFERROR(__xludf.DUMMYFUNCTION("""COMPUTED_VALUE"""),"cas_hmw")</f>
        <v>cas_hmw</v>
      </c>
      <c r="B13906" s="5">
        <f>IFERROR(__xludf.DUMMYFUNCTION("""COMPUTED_VALUE"""),44721.0)</f>
        <v>44721</v>
      </c>
      <c r="C13906" s="6">
        <f>IFERROR(__xludf.DUMMYFUNCTION("""COMPUTED_VALUE"""),0.27901620370539604)</f>
        <v>0.2790162037</v>
      </c>
      <c r="D13906" s="4">
        <f>IFERROR(__xludf.DUMMYFUNCTION("""COMPUTED_VALUE"""),12.87566)</f>
        <v>12.87566</v>
      </c>
      <c r="E13906" s="4">
        <f>IFERROR(__xludf.DUMMYFUNCTION("""COMPUTED_VALUE"""),80.08283)</f>
        <v>80.08283</v>
      </c>
      <c r="F13906" s="4">
        <f>IFERROR(__xludf.DUMMYFUNCTION("""COMPUTED_VALUE"""),2846.0)</f>
        <v>2846</v>
      </c>
      <c r="G13906" s="4">
        <f>IFERROR(__xludf.DUMMYFUNCTION("""COMPUTED_VALUE"""),0.0)</f>
        <v>0</v>
      </c>
      <c r="H13906" s="4"/>
      <c r="I13906" s="4"/>
    </row>
    <row r="13907">
      <c r="A13907" s="4" t="str">
        <f>IFERROR(__xludf.DUMMYFUNCTION("""COMPUTED_VALUE"""),"cas_hmw")</f>
        <v>cas_hmw</v>
      </c>
      <c r="B13907" s="5">
        <f>IFERROR(__xludf.DUMMYFUNCTION("""COMPUTED_VALUE"""),44721.0)</f>
        <v>44721</v>
      </c>
      <c r="C13907" s="6">
        <f>IFERROR(__xludf.DUMMYFUNCTION("""COMPUTED_VALUE"""),0.2842245370375167)</f>
        <v>0.284224537</v>
      </c>
      <c r="D13907" s="4">
        <f>IFERROR(__xludf.DUMMYFUNCTION("""COMPUTED_VALUE"""),12.875646)</f>
        <v>12.875646</v>
      </c>
      <c r="E13907" s="4">
        <f>IFERROR(__xludf.DUMMYFUNCTION("""COMPUTED_VALUE"""),80.082874)</f>
        <v>80.082874</v>
      </c>
      <c r="F13907" s="4">
        <f>IFERROR(__xludf.DUMMYFUNCTION("""COMPUTED_VALUE"""),2846.0)</f>
        <v>2846</v>
      </c>
      <c r="G13907" s="4">
        <f>IFERROR(__xludf.DUMMYFUNCTION("""COMPUTED_VALUE"""),0.0)</f>
        <v>0</v>
      </c>
      <c r="H13907" s="4"/>
      <c r="I13907" s="4"/>
    </row>
    <row r="13908">
      <c r="A13908" s="4" t="str">
        <f>IFERROR(__xludf.DUMMYFUNCTION("""COMPUTED_VALUE"""),"cas_hmw")</f>
        <v>cas_hmw</v>
      </c>
      <c r="B13908" s="5">
        <f>IFERROR(__xludf.DUMMYFUNCTION("""COMPUTED_VALUE"""),44721.0)</f>
        <v>44721</v>
      </c>
      <c r="C13908" s="6">
        <f>IFERROR(__xludf.DUMMYFUNCTION("""COMPUTED_VALUE"""),0.2842245370375167)</f>
        <v>0.284224537</v>
      </c>
      <c r="D13908" s="4">
        <f>IFERROR(__xludf.DUMMYFUNCTION("""COMPUTED_VALUE"""),12.875646)</f>
        <v>12.875646</v>
      </c>
      <c r="E13908" s="4">
        <f>IFERROR(__xludf.DUMMYFUNCTION("""COMPUTED_VALUE"""),80.082874)</f>
        <v>80.082874</v>
      </c>
      <c r="F13908" s="4">
        <f>IFERROR(__xludf.DUMMYFUNCTION("""COMPUTED_VALUE"""),2846.0)</f>
        <v>2846</v>
      </c>
      <c r="G13908" s="4">
        <f>IFERROR(__xludf.DUMMYFUNCTION("""COMPUTED_VALUE"""),0.0)</f>
        <v>0</v>
      </c>
      <c r="H13908" s="4"/>
      <c r="I13908" s="4"/>
    </row>
    <row r="13909">
      <c r="A13909" s="4" t="str">
        <f>IFERROR(__xludf.DUMMYFUNCTION("""COMPUTED_VALUE"""),"cas_hmw")</f>
        <v>cas_hmw</v>
      </c>
      <c r="B13909" s="5">
        <f>IFERROR(__xludf.DUMMYFUNCTION("""COMPUTED_VALUE"""),44721.0)</f>
        <v>44721</v>
      </c>
      <c r="C13909" s="6">
        <f>IFERROR(__xludf.DUMMYFUNCTION("""COMPUTED_VALUE"""),0.28424768518380006)</f>
        <v>0.2842476852</v>
      </c>
      <c r="D13909" s="4">
        <f>IFERROR(__xludf.DUMMYFUNCTION("""COMPUTED_VALUE"""),12.875646)</f>
        <v>12.875646</v>
      </c>
      <c r="E13909" s="4">
        <f>IFERROR(__xludf.DUMMYFUNCTION("""COMPUTED_VALUE"""),80.082874)</f>
        <v>80.082874</v>
      </c>
      <c r="F13909" s="4">
        <f>IFERROR(__xludf.DUMMYFUNCTION("""COMPUTED_VALUE"""),2846.0)</f>
        <v>2846</v>
      </c>
      <c r="G13909" s="4">
        <f>IFERROR(__xludf.DUMMYFUNCTION("""COMPUTED_VALUE"""),0.0)</f>
        <v>0</v>
      </c>
      <c r="H13909" s="4"/>
      <c r="I13909" s="4"/>
    </row>
    <row r="13910">
      <c r="A13910" s="4" t="str">
        <f>IFERROR(__xludf.DUMMYFUNCTION("""COMPUTED_VALUE"""),"cas_hmw")</f>
        <v>cas_hmw</v>
      </c>
      <c r="B13910" s="5">
        <f>IFERROR(__xludf.DUMMYFUNCTION("""COMPUTED_VALUE"""),44721.0)</f>
        <v>44721</v>
      </c>
      <c r="C13910" s="6">
        <f>IFERROR(__xludf.DUMMYFUNCTION("""COMPUTED_VALUE"""),0.2842592592605797)</f>
        <v>0.2842592593</v>
      </c>
      <c r="D13910" s="4">
        <f>IFERROR(__xludf.DUMMYFUNCTION("""COMPUTED_VALUE"""),12.875646)</f>
        <v>12.875646</v>
      </c>
      <c r="E13910" s="4">
        <f>IFERROR(__xludf.DUMMYFUNCTION("""COMPUTED_VALUE"""),80.082874)</f>
        <v>80.082874</v>
      </c>
      <c r="F13910" s="4">
        <f>IFERROR(__xludf.DUMMYFUNCTION("""COMPUTED_VALUE"""),2846.0)</f>
        <v>2846</v>
      </c>
      <c r="G13910" s="4">
        <f>IFERROR(__xludf.DUMMYFUNCTION("""COMPUTED_VALUE"""),0.0)</f>
        <v>0</v>
      </c>
      <c r="H13910" s="4"/>
      <c r="I13910" s="4"/>
    </row>
    <row r="13911">
      <c r="A13911" s="4" t="str">
        <f>IFERROR(__xludf.DUMMYFUNCTION("""COMPUTED_VALUE"""),"cas_hmw")</f>
        <v>cas_hmw</v>
      </c>
      <c r="B13911" s="5">
        <f>IFERROR(__xludf.DUMMYFUNCTION("""COMPUTED_VALUE"""),44721.0)</f>
        <v>44721</v>
      </c>
      <c r="C13911" s="6">
        <f>IFERROR(__xludf.DUMMYFUNCTION("""COMPUTED_VALUE"""),0.28560185185051523)</f>
        <v>0.2856018519</v>
      </c>
      <c r="D13911" s="4">
        <f>IFERROR(__xludf.DUMMYFUNCTION("""COMPUTED_VALUE"""),12.875637)</f>
        <v>12.875637</v>
      </c>
      <c r="E13911" s="4">
        <f>IFERROR(__xludf.DUMMYFUNCTION("""COMPUTED_VALUE"""),80.082887)</f>
        <v>80.082887</v>
      </c>
      <c r="F13911" s="4">
        <f>IFERROR(__xludf.DUMMYFUNCTION("""COMPUTED_VALUE"""),2846.0)</f>
        <v>2846</v>
      </c>
      <c r="G13911" s="4">
        <f>IFERROR(__xludf.DUMMYFUNCTION("""COMPUTED_VALUE"""),0.0)</f>
        <v>0</v>
      </c>
      <c r="H13911" s="4"/>
      <c r="I13911" s="4"/>
    </row>
    <row r="13912">
      <c r="A13912" s="4" t="str">
        <f>IFERROR(__xludf.DUMMYFUNCTION("""COMPUTED_VALUE"""),"cas_hmw")</f>
        <v>cas_hmw</v>
      </c>
      <c r="B13912" s="5">
        <f>IFERROR(__xludf.DUMMYFUNCTION("""COMPUTED_VALUE"""),44721.0)</f>
        <v>44721</v>
      </c>
      <c r="C13912" s="6">
        <f>IFERROR(__xludf.DUMMYFUNCTION("""COMPUTED_VALUE"""),0.28766203703708015)</f>
        <v>0.287662037</v>
      </c>
      <c r="D13912" s="4">
        <f>IFERROR(__xludf.DUMMYFUNCTION("""COMPUTED_VALUE"""),12.875628)</f>
        <v>12.875628</v>
      </c>
      <c r="E13912" s="4">
        <f>IFERROR(__xludf.DUMMYFUNCTION("""COMPUTED_VALUE"""),80.082894)</f>
        <v>80.082894</v>
      </c>
      <c r="F13912" s="4">
        <f>IFERROR(__xludf.DUMMYFUNCTION("""COMPUTED_VALUE"""),2846.0)</f>
        <v>2846</v>
      </c>
      <c r="G13912" s="4">
        <f>IFERROR(__xludf.DUMMYFUNCTION("""COMPUTED_VALUE"""),0.0)</f>
        <v>0</v>
      </c>
      <c r="H13912" s="4"/>
      <c r="I13912" s="4"/>
    </row>
    <row r="13913">
      <c r="A13913" s="4" t="str">
        <f>IFERROR(__xludf.DUMMYFUNCTION("""COMPUTED_VALUE"""),"cas_hmw")</f>
        <v>cas_hmw</v>
      </c>
      <c r="B13913" s="5">
        <f>IFERROR(__xludf.DUMMYFUNCTION("""COMPUTED_VALUE"""),44721.0)</f>
        <v>44721</v>
      </c>
      <c r="C13913" s="6">
        <f>IFERROR(__xludf.DUMMYFUNCTION("""COMPUTED_VALUE"""),0.2876851851870015)</f>
        <v>0.2876851852</v>
      </c>
      <c r="D13913" s="4">
        <f>IFERROR(__xludf.DUMMYFUNCTION("""COMPUTED_VALUE"""),12.875628)</f>
        <v>12.875628</v>
      </c>
      <c r="E13913" s="4">
        <f>IFERROR(__xludf.DUMMYFUNCTION("""COMPUTED_VALUE"""),80.082894)</f>
        <v>80.082894</v>
      </c>
      <c r="F13913" s="4">
        <f>IFERROR(__xludf.DUMMYFUNCTION("""COMPUTED_VALUE"""),2846.0)</f>
        <v>2846</v>
      </c>
      <c r="G13913" s="4">
        <f>IFERROR(__xludf.DUMMYFUNCTION("""COMPUTED_VALUE"""),0.0)</f>
        <v>0</v>
      </c>
      <c r="H13913" s="4"/>
      <c r="I13913" s="4"/>
    </row>
    <row r="13914">
      <c r="A13914" s="4" t="str">
        <f>IFERROR(__xludf.DUMMYFUNCTION("""COMPUTED_VALUE"""),"cas_hmw")</f>
        <v>cas_hmw</v>
      </c>
      <c r="B13914" s="5">
        <f>IFERROR(__xludf.DUMMYFUNCTION("""COMPUTED_VALUE"""),44721.0)</f>
        <v>44721</v>
      </c>
      <c r="C13914" s="6">
        <f>IFERROR(__xludf.DUMMYFUNCTION("""COMPUTED_VALUE"""),0.2914583333331393)</f>
        <v>0.2914583333</v>
      </c>
      <c r="D13914" s="4">
        <f>IFERROR(__xludf.DUMMYFUNCTION("""COMPUTED_VALUE"""),12.875621)</f>
        <v>12.875621</v>
      </c>
      <c r="E13914" s="4">
        <f>IFERROR(__xludf.DUMMYFUNCTION("""COMPUTED_VALUE"""),80.082901)</f>
        <v>80.082901</v>
      </c>
      <c r="F13914" s="4">
        <f>IFERROR(__xludf.DUMMYFUNCTION("""COMPUTED_VALUE"""),2846.0)</f>
        <v>2846</v>
      </c>
      <c r="G13914" s="4">
        <f>IFERROR(__xludf.DUMMYFUNCTION("""COMPUTED_VALUE"""),0.0)</f>
        <v>0</v>
      </c>
      <c r="H13914" s="4"/>
      <c r="I13914" s="4"/>
    </row>
    <row r="13915">
      <c r="A13915" s="4" t="str">
        <f>IFERROR(__xludf.DUMMYFUNCTION("""COMPUTED_VALUE"""),"cas_hmw")</f>
        <v>cas_hmw</v>
      </c>
      <c r="B13915" s="5">
        <f>IFERROR(__xludf.DUMMYFUNCTION("""COMPUTED_VALUE"""),44721.0)</f>
        <v>44721</v>
      </c>
      <c r="C13915" s="6">
        <f>IFERROR(__xludf.DUMMYFUNCTION("""COMPUTED_VALUE"""),0.2923958333340124)</f>
        <v>0.2923958333</v>
      </c>
      <c r="D13915" s="4">
        <f>IFERROR(__xludf.DUMMYFUNCTION("""COMPUTED_VALUE"""),12.875621)</f>
        <v>12.875621</v>
      </c>
      <c r="E13915" s="4">
        <f>IFERROR(__xludf.DUMMYFUNCTION("""COMPUTED_VALUE"""),80.082901)</f>
        <v>80.082901</v>
      </c>
      <c r="F13915" s="4">
        <f>IFERROR(__xludf.DUMMYFUNCTION("""COMPUTED_VALUE"""),2846.0)</f>
        <v>2846</v>
      </c>
      <c r="G13915" s="4">
        <f>IFERROR(__xludf.DUMMYFUNCTION("""COMPUTED_VALUE"""),0.0)</f>
        <v>0</v>
      </c>
      <c r="H13915" s="4"/>
      <c r="I13915" s="4"/>
    </row>
    <row r="13916">
      <c r="A13916" s="4" t="str">
        <f>IFERROR(__xludf.DUMMYFUNCTION("""COMPUTED_VALUE"""),"cas_hmw")</f>
        <v>cas_hmw</v>
      </c>
      <c r="B13916" s="5">
        <f>IFERROR(__xludf.DUMMYFUNCTION("""COMPUTED_VALUE"""),44721.0)</f>
        <v>44721</v>
      </c>
      <c r="C13916" s="6">
        <f>IFERROR(__xludf.DUMMYFUNCTION("""COMPUTED_VALUE"""),0.2929629629616102)</f>
        <v>0.292962963</v>
      </c>
      <c r="D13916" s="4">
        <f>IFERROR(__xludf.DUMMYFUNCTION("""COMPUTED_VALUE"""),12.875621)</f>
        <v>12.875621</v>
      </c>
      <c r="E13916" s="4">
        <f>IFERROR(__xludf.DUMMYFUNCTION("""COMPUTED_VALUE"""),80.082901)</f>
        <v>80.082901</v>
      </c>
      <c r="F13916" s="4">
        <f>IFERROR(__xludf.DUMMYFUNCTION("""COMPUTED_VALUE"""),2846.0)</f>
        <v>2846</v>
      </c>
      <c r="G13916" s="4">
        <f>IFERROR(__xludf.DUMMYFUNCTION("""COMPUTED_VALUE"""),0.0)</f>
        <v>0</v>
      </c>
      <c r="H13916" s="4"/>
      <c r="I13916" s="4"/>
    </row>
    <row r="13917">
      <c r="A13917" s="4" t="str">
        <f>IFERROR(__xludf.DUMMYFUNCTION("""COMPUTED_VALUE"""),"cas_hmw")</f>
        <v>cas_hmw</v>
      </c>
      <c r="B13917" s="5">
        <f>IFERROR(__xludf.DUMMYFUNCTION("""COMPUTED_VALUE"""),44721.0)</f>
        <v>44721</v>
      </c>
      <c r="C13917" s="6">
        <f>IFERROR(__xludf.DUMMYFUNCTION("""COMPUTED_VALUE"""),0.2975347222236451)</f>
        <v>0.2975347222</v>
      </c>
      <c r="D13917" s="4">
        <f>IFERROR(__xludf.DUMMYFUNCTION("""COMPUTED_VALUE"""),13.063695)</f>
        <v>13.063695</v>
      </c>
      <c r="E13917" s="4">
        <f>IFERROR(__xludf.DUMMYFUNCTION("""COMPUTED_VALUE"""),80.250872)</f>
        <v>80.250872</v>
      </c>
      <c r="F13917" s="4">
        <f>IFERROR(__xludf.DUMMYFUNCTION("""COMPUTED_VALUE"""),805.0)</f>
        <v>805</v>
      </c>
      <c r="G13917" s="4">
        <f>IFERROR(__xludf.DUMMYFUNCTION("""COMPUTED_VALUE"""),0.0)</f>
        <v>0</v>
      </c>
      <c r="H13917" s="4"/>
      <c r="I13917" s="4"/>
    </row>
    <row r="13918">
      <c r="A13918" s="4" t="str">
        <f>IFERROR(__xludf.DUMMYFUNCTION("""COMPUTED_VALUE"""),"cas_hmw")</f>
        <v>cas_hmw</v>
      </c>
      <c r="B13918" s="5">
        <f>IFERROR(__xludf.DUMMYFUNCTION("""COMPUTED_VALUE"""),44721.0)</f>
        <v>44721</v>
      </c>
      <c r="C13918" s="6">
        <f>IFERROR(__xludf.DUMMYFUNCTION("""COMPUTED_VALUE"""),0.29766203703547944)</f>
        <v>0.297662037</v>
      </c>
      <c r="D13918" s="4">
        <f>IFERROR(__xludf.DUMMYFUNCTION("""COMPUTED_VALUE"""),13.063695)</f>
        <v>13.063695</v>
      </c>
      <c r="E13918" s="4">
        <f>IFERROR(__xludf.DUMMYFUNCTION("""COMPUTED_VALUE"""),80.250872)</f>
        <v>80.250872</v>
      </c>
      <c r="F13918" s="4">
        <f>IFERROR(__xludf.DUMMYFUNCTION("""COMPUTED_VALUE"""),805.0)</f>
        <v>805</v>
      </c>
      <c r="G13918" s="4">
        <f>IFERROR(__xludf.DUMMYFUNCTION("""COMPUTED_VALUE"""),0.0)</f>
        <v>0</v>
      </c>
      <c r="H13918" s="4"/>
      <c r="I13918" s="4"/>
    </row>
    <row r="13919">
      <c r="A13919" s="4" t="str">
        <f>IFERROR(__xludf.DUMMYFUNCTION("""COMPUTED_VALUE"""),"cas_hmw")</f>
        <v>cas_hmw</v>
      </c>
      <c r="B13919" s="5">
        <f>IFERROR(__xludf.DUMMYFUNCTION("""COMPUTED_VALUE"""),44721.0)</f>
        <v>44721</v>
      </c>
      <c r="C13919" s="6">
        <f>IFERROR(__xludf.DUMMYFUNCTION("""COMPUTED_VALUE"""),0.2977546296278888)</f>
        <v>0.2977546296</v>
      </c>
      <c r="D13919" s="4">
        <f>IFERROR(__xludf.DUMMYFUNCTION("""COMPUTED_VALUE"""),13.063698)</f>
        <v>13.063698</v>
      </c>
      <c r="E13919" s="4">
        <f>IFERROR(__xludf.DUMMYFUNCTION("""COMPUTED_VALUE"""),80.25087)</f>
        <v>80.25087</v>
      </c>
      <c r="F13919" s="4">
        <f>IFERROR(__xludf.DUMMYFUNCTION("""COMPUTED_VALUE"""),805.0)</f>
        <v>805</v>
      </c>
      <c r="G13919" s="4">
        <f>IFERROR(__xludf.DUMMYFUNCTION("""COMPUTED_VALUE"""),0.0)</f>
        <v>0</v>
      </c>
      <c r="H13919" s="4"/>
      <c r="I13919" s="4"/>
    </row>
    <row r="13920">
      <c r="A13920" s="4" t="str">
        <f>IFERROR(__xludf.DUMMYFUNCTION("""COMPUTED_VALUE"""),"cas_hmw")</f>
        <v>cas_hmw</v>
      </c>
      <c r="B13920" s="5">
        <f>IFERROR(__xludf.DUMMYFUNCTION("""COMPUTED_VALUE"""),44721.0)</f>
        <v>44721</v>
      </c>
      <c r="C13920" s="6">
        <f>IFERROR(__xludf.DUMMYFUNCTION("""COMPUTED_VALUE"""),0.2981134259243845)</f>
        <v>0.2981134259</v>
      </c>
      <c r="D13920" s="4">
        <f>IFERROR(__xludf.DUMMYFUNCTION("""COMPUTED_VALUE"""),12.875621)</f>
        <v>12.875621</v>
      </c>
      <c r="E13920" s="4">
        <f>IFERROR(__xludf.DUMMYFUNCTION("""COMPUTED_VALUE"""),80.082901)</f>
        <v>80.082901</v>
      </c>
      <c r="F13920" s="4">
        <f>IFERROR(__xludf.DUMMYFUNCTION("""COMPUTED_VALUE"""),2846.0)</f>
        <v>2846</v>
      </c>
      <c r="G13920" s="4">
        <f>IFERROR(__xludf.DUMMYFUNCTION("""COMPUTED_VALUE"""),0.0)</f>
        <v>0</v>
      </c>
      <c r="H13920" s="4"/>
      <c r="I13920" s="4"/>
    </row>
    <row r="13921">
      <c r="A13921" s="4" t="str">
        <f>IFERROR(__xludf.DUMMYFUNCTION("""COMPUTED_VALUE"""),"cas_hmw")</f>
        <v>cas_hmw</v>
      </c>
      <c r="B13921" s="5">
        <f>IFERROR(__xludf.DUMMYFUNCTION("""COMPUTED_VALUE"""),44721.0)</f>
        <v>44721</v>
      </c>
      <c r="C13921" s="6">
        <f>IFERROR(__xludf.DUMMYFUNCTION("""COMPUTED_VALUE"""),0.2999305555567844)</f>
        <v>0.2999305556</v>
      </c>
      <c r="D13921" s="4">
        <f>IFERROR(__xludf.DUMMYFUNCTION("""COMPUTED_VALUE"""),13.063709)</f>
        <v>13.063709</v>
      </c>
      <c r="E13921" s="4">
        <f>IFERROR(__xludf.DUMMYFUNCTION("""COMPUTED_VALUE"""),80.250865)</f>
        <v>80.250865</v>
      </c>
      <c r="F13921" s="4">
        <f>IFERROR(__xludf.DUMMYFUNCTION("""COMPUTED_VALUE"""),805.0)</f>
        <v>805</v>
      </c>
      <c r="G13921" s="4">
        <f>IFERROR(__xludf.DUMMYFUNCTION("""COMPUTED_VALUE"""),0.0)</f>
        <v>0</v>
      </c>
      <c r="H13921" s="4"/>
      <c r="I13921" s="4"/>
    </row>
    <row r="13922">
      <c r="A13922" s="4" t="str">
        <f>IFERROR(__xludf.DUMMYFUNCTION("""COMPUTED_VALUE"""),"cas_hmw")</f>
        <v>cas_hmw</v>
      </c>
      <c r="B13922" s="5">
        <f>IFERROR(__xludf.DUMMYFUNCTION("""COMPUTED_VALUE"""),44721.0)</f>
        <v>44721</v>
      </c>
      <c r="C13922" s="6">
        <f>IFERROR(__xludf.DUMMYFUNCTION("""COMPUTED_VALUE"""),0.30307870370234014)</f>
        <v>0.3030787037</v>
      </c>
      <c r="D13922" s="4">
        <f>IFERROR(__xludf.DUMMYFUNCTION("""COMPUTED_VALUE"""),13.06374)</f>
        <v>13.06374</v>
      </c>
      <c r="E13922" s="4">
        <f>IFERROR(__xludf.DUMMYFUNCTION("""COMPUTED_VALUE"""),80.250854)</f>
        <v>80.250854</v>
      </c>
      <c r="F13922" s="4">
        <f>IFERROR(__xludf.DUMMYFUNCTION("""COMPUTED_VALUE"""),805.0)</f>
        <v>805</v>
      </c>
      <c r="G13922" s="4">
        <f>IFERROR(__xludf.DUMMYFUNCTION("""COMPUTED_VALUE"""),0.0)</f>
        <v>0</v>
      </c>
      <c r="H13922" s="4"/>
      <c r="I13922" s="4"/>
    </row>
    <row r="13923">
      <c r="A13923" s="4" t="str">
        <f>IFERROR(__xludf.DUMMYFUNCTION("""COMPUTED_VALUE"""),"cas_hmw")</f>
        <v>cas_hmw</v>
      </c>
      <c r="B13923" s="5">
        <f>IFERROR(__xludf.DUMMYFUNCTION("""COMPUTED_VALUE"""),44721.0)</f>
        <v>44721</v>
      </c>
      <c r="C13923" s="6">
        <f>IFERROR(__xludf.DUMMYFUNCTION("""COMPUTED_VALUE"""),0.30368055555663886)</f>
        <v>0.3036805556</v>
      </c>
      <c r="D13923" s="4">
        <f>IFERROR(__xludf.DUMMYFUNCTION("""COMPUTED_VALUE"""),13.063773)</f>
        <v>13.063773</v>
      </c>
      <c r="E13923" s="4">
        <f>IFERROR(__xludf.DUMMYFUNCTION("""COMPUTED_VALUE"""),80.250792)</f>
        <v>80.250792</v>
      </c>
      <c r="F13923" s="4">
        <f>IFERROR(__xludf.DUMMYFUNCTION("""COMPUTED_VALUE"""),805.0)</f>
        <v>805</v>
      </c>
      <c r="G13923" s="4">
        <f>IFERROR(__xludf.DUMMYFUNCTION("""COMPUTED_VALUE"""),0.0)</f>
        <v>0</v>
      </c>
      <c r="H13923" s="4"/>
      <c r="I13923" s="4"/>
    </row>
    <row r="13924">
      <c r="A13924" s="4" t="str">
        <f>IFERROR(__xludf.DUMMYFUNCTION("""COMPUTED_VALUE"""),"cas_hmw")</f>
        <v>cas_hmw</v>
      </c>
      <c r="B13924" s="5">
        <f>IFERROR(__xludf.DUMMYFUNCTION("""COMPUTED_VALUE"""),44721.0)</f>
        <v>44721</v>
      </c>
      <c r="C13924" s="6">
        <f>IFERROR(__xludf.DUMMYFUNCTION("""COMPUTED_VALUE"""),0.3039930555569299)</f>
        <v>0.3039930556</v>
      </c>
      <c r="D13924" s="4">
        <f>IFERROR(__xludf.DUMMYFUNCTION("""COMPUTED_VALUE"""),13.063773)</f>
        <v>13.063773</v>
      </c>
      <c r="E13924" s="4">
        <f>IFERROR(__xludf.DUMMYFUNCTION("""COMPUTED_VALUE"""),80.250792)</f>
        <v>80.250792</v>
      </c>
      <c r="F13924" s="4">
        <f>IFERROR(__xludf.DUMMYFUNCTION("""COMPUTED_VALUE"""),805.0)</f>
        <v>805</v>
      </c>
      <c r="G13924" s="4">
        <f>IFERROR(__xludf.DUMMYFUNCTION("""COMPUTED_VALUE"""),0.0)</f>
        <v>0</v>
      </c>
      <c r="H13924" s="4"/>
      <c r="I13924" s="4"/>
    </row>
    <row r="13925">
      <c r="A13925" s="4" t="str">
        <f>IFERROR(__xludf.DUMMYFUNCTION("""COMPUTED_VALUE"""),"cas_hmw")</f>
        <v>cas_hmw</v>
      </c>
      <c r="B13925" s="5">
        <f>IFERROR(__xludf.DUMMYFUNCTION("""COMPUTED_VALUE"""),44721.0)</f>
        <v>44721</v>
      </c>
      <c r="C13925" s="6">
        <f>IFERROR(__xludf.DUMMYFUNCTION("""COMPUTED_VALUE"""),0.3062500000014552)</f>
        <v>0.30625</v>
      </c>
      <c r="D13925" s="4">
        <f>IFERROR(__xludf.DUMMYFUNCTION("""COMPUTED_VALUE"""),13.063791)</f>
        <v>13.063791</v>
      </c>
      <c r="E13925" s="4">
        <f>IFERROR(__xludf.DUMMYFUNCTION("""COMPUTED_VALUE"""),80.250802)</f>
        <v>80.250802</v>
      </c>
      <c r="F13925" s="4">
        <f>IFERROR(__xludf.DUMMYFUNCTION("""COMPUTED_VALUE"""),805.0)</f>
        <v>805</v>
      </c>
      <c r="G13925" s="4">
        <f>IFERROR(__xludf.DUMMYFUNCTION("""COMPUTED_VALUE"""),0.0)</f>
        <v>0</v>
      </c>
      <c r="H13925" s="4"/>
      <c r="I13925" s="4"/>
    </row>
    <row r="13926">
      <c r="A13926" s="4" t="str">
        <f>IFERROR(__xludf.DUMMYFUNCTION("""COMPUTED_VALUE"""),"cas_hmw")</f>
        <v>cas_hmw</v>
      </c>
      <c r="B13926" s="5">
        <f>IFERROR(__xludf.DUMMYFUNCTION("""COMPUTED_VALUE"""),44721.0)</f>
        <v>44721</v>
      </c>
      <c r="C13926" s="6">
        <f>IFERROR(__xludf.DUMMYFUNCTION("""COMPUTED_VALUE"""),0.31225694444583496)</f>
        <v>0.3122569444</v>
      </c>
      <c r="D13926" s="4">
        <f>IFERROR(__xludf.DUMMYFUNCTION("""COMPUTED_VALUE"""),13.063729)</f>
        <v>13.063729</v>
      </c>
      <c r="E13926" s="4">
        <f>IFERROR(__xludf.DUMMYFUNCTION("""COMPUTED_VALUE"""),80.250795)</f>
        <v>80.250795</v>
      </c>
      <c r="F13926" s="4">
        <f>IFERROR(__xludf.DUMMYFUNCTION("""COMPUTED_VALUE"""),805.0)</f>
        <v>805</v>
      </c>
      <c r="G13926" s="4">
        <f>IFERROR(__xludf.DUMMYFUNCTION("""COMPUTED_VALUE"""),0.0)</f>
        <v>0</v>
      </c>
      <c r="H13926" s="4"/>
      <c r="I13926" s="4"/>
    </row>
    <row r="13927">
      <c r="A13927" s="4" t="str">
        <f>IFERROR(__xludf.DUMMYFUNCTION("""COMPUTED_VALUE"""),"cas_hmw")</f>
        <v>cas_hmw</v>
      </c>
      <c r="B13927" s="5">
        <f>IFERROR(__xludf.DUMMYFUNCTION("""COMPUTED_VALUE"""),44721.0)</f>
        <v>44721</v>
      </c>
      <c r="C13927" s="6">
        <f>IFERROR(__xludf.DUMMYFUNCTION("""COMPUTED_VALUE"""),0.3131828703699284)</f>
        <v>0.3131828704</v>
      </c>
      <c r="D13927" s="4">
        <f>IFERROR(__xludf.DUMMYFUNCTION("""COMPUTED_VALUE"""),13.063706)</f>
        <v>13.063706</v>
      </c>
      <c r="E13927" s="4">
        <f>IFERROR(__xludf.DUMMYFUNCTION("""COMPUTED_VALUE"""),80.250794)</f>
        <v>80.250794</v>
      </c>
      <c r="F13927" s="4">
        <f>IFERROR(__xludf.DUMMYFUNCTION("""COMPUTED_VALUE"""),805.0)</f>
        <v>805</v>
      </c>
      <c r="G13927" s="4">
        <f>IFERROR(__xludf.DUMMYFUNCTION("""COMPUTED_VALUE"""),0.0)</f>
        <v>0</v>
      </c>
      <c r="H13927" s="4"/>
      <c r="I13927" s="4"/>
    </row>
    <row r="13928">
      <c r="A13928" s="4" t="str">
        <f>IFERROR(__xludf.DUMMYFUNCTION("""COMPUTED_VALUE"""),"cas_hmw")</f>
        <v>cas_hmw</v>
      </c>
      <c r="B13928" s="5">
        <f>IFERROR(__xludf.DUMMYFUNCTION("""COMPUTED_VALUE"""),44721.0)</f>
        <v>44721</v>
      </c>
      <c r="C13928" s="6">
        <f>IFERROR(__xludf.DUMMYFUNCTION("""COMPUTED_VALUE"""),0.31427083333255723)</f>
        <v>0.3142708333</v>
      </c>
      <c r="D13928" s="4">
        <f>IFERROR(__xludf.DUMMYFUNCTION("""COMPUTED_VALUE"""),13.063705)</f>
        <v>13.063705</v>
      </c>
      <c r="E13928" s="4">
        <f>IFERROR(__xludf.DUMMYFUNCTION("""COMPUTED_VALUE"""),80.250766)</f>
        <v>80.250766</v>
      </c>
      <c r="F13928" s="4">
        <f>IFERROR(__xludf.DUMMYFUNCTION("""COMPUTED_VALUE"""),805.0)</f>
        <v>805</v>
      </c>
      <c r="G13928" s="4">
        <f>IFERROR(__xludf.DUMMYFUNCTION("""COMPUTED_VALUE"""),0.0)</f>
        <v>0</v>
      </c>
      <c r="H13928" s="4"/>
      <c r="I13928" s="4"/>
    </row>
    <row r="13929">
      <c r="A13929" s="4" t="str">
        <f>IFERROR(__xludf.DUMMYFUNCTION("""COMPUTED_VALUE"""),"cas_hmw")</f>
        <v>cas_hmw</v>
      </c>
      <c r="B13929" s="5">
        <f>IFERROR(__xludf.DUMMYFUNCTION("""COMPUTED_VALUE"""),44721.0)</f>
        <v>44721</v>
      </c>
      <c r="C13929" s="6">
        <f>IFERROR(__xludf.DUMMYFUNCTION("""COMPUTED_VALUE"""),0.3143518518518249)</f>
        <v>0.3143518519</v>
      </c>
      <c r="D13929" s="4">
        <f>IFERROR(__xludf.DUMMYFUNCTION("""COMPUTED_VALUE"""),13.063705)</f>
        <v>13.063705</v>
      </c>
      <c r="E13929" s="4">
        <f>IFERROR(__xludf.DUMMYFUNCTION("""COMPUTED_VALUE"""),80.250766)</f>
        <v>80.250766</v>
      </c>
      <c r="F13929" s="4">
        <f>IFERROR(__xludf.DUMMYFUNCTION("""COMPUTED_VALUE"""),805.0)</f>
        <v>805</v>
      </c>
      <c r="G13929" s="4">
        <f>IFERROR(__xludf.DUMMYFUNCTION("""COMPUTED_VALUE"""),0.0)</f>
        <v>0</v>
      </c>
      <c r="H13929" s="4"/>
      <c r="I13929" s="4"/>
    </row>
    <row r="13930">
      <c r="A13930" s="4" t="str">
        <f>IFERROR(__xludf.DUMMYFUNCTION("""COMPUTED_VALUE"""),"cas_hmw")</f>
        <v>cas_hmw</v>
      </c>
      <c r="B13930" s="5">
        <f>IFERROR(__xludf.DUMMYFUNCTION("""COMPUTED_VALUE"""),44721.0)</f>
        <v>44721</v>
      </c>
      <c r="C13930" s="6">
        <f>IFERROR(__xludf.DUMMYFUNCTION("""COMPUTED_VALUE"""),0.3153356481489027)</f>
        <v>0.3153356481</v>
      </c>
      <c r="D13930" s="4">
        <f>IFERROR(__xludf.DUMMYFUNCTION("""COMPUTED_VALUE"""),13.063705)</f>
        <v>13.063705</v>
      </c>
      <c r="E13930" s="4">
        <f>IFERROR(__xludf.DUMMYFUNCTION("""COMPUTED_VALUE"""),80.250766)</f>
        <v>80.250766</v>
      </c>
      <c r="F13930" s="4">
        <f>IFERROR(__xludf.DUMMYFUNCTION("""COMPUTED_VALUE"""),805.0)</f>
        <v>805</v>
      </c>
      <c r="G13930" s="4">
        <f>IFERROR(__xludf.DUMMYFUNCTION("""COMPUTED_VALUE"""),0.0)</f>
        <v>0</v>
      </c>
      <c r="H13930" s="4"/>
      <c r="I13930" s="4"/>
    </row>
    <row r="13931">
      <c r="A13931" s="4" t="str">
        <f>IFERROR(__xludf.DUMMYFUNCTION("""COMPUTED_VALUE"""),"cas_hmw")</f>
        <v>cas_hmw</v>
      </c>
      <c r="B13931" s="5">
        <f>IFERROR(__xludf.DUMMYFUNCTION("""COMPUTED_VALUE"""),44721.0)</f>
        <v>44721</v>
      </c>
      <c r="C13931" s="6">
        <f>IFERROR(__xludf.DUMMYFUNCTION("""COMPUTED_VALUE"""),0.3155092592605797)</f>
        <v>0.3155092593</v>
      </c>
      <c r="D13931" s="4">
        <f>IFERROR(__xludf.DUMMYFUNCTION("""COMPUTED_VALUE"""),13.063705)</f>
        <v>13.063705</v>
      </c>
      <c r="E13931" s="4">
        <f>IFERROR(__xludf.DUMMYFUNCTION("""COMPUTED_VALUE"""),80.250766)</f>
        <v>80.250766</v>
      </c>
      <c r="F13931" s="4">
        <f>IFERROR(__xludf.DUMMYFUNCTION("""COMPUTED_VALUE"""),805.0)</f>
        <v>805</v>
      </c>
      <c r="G13931" s="4">
        <f>IFERROR(__xludf.DUMMYFUNCTION("""COMPUTED_VALUE"""),0.0)</f>
        <v>0</v>
      </c>
      <c r="H13931" s="4"/>
      <c r="I13931" s="4"/>
    </row>
    <row r="13932">
      <c r="A13932" s="4" t="str">
        <f>IFERROR(__xludf.DUMMYFUNCTION("""COMPUTED_VALUE"""),"cas_hmw")</f>
        <v>cas_hmw</v>
      </c>
      <c r="B13932" s="5">
        <f>IFERROR(__xludf.DUMMYFUNCTION("""COMPUTED_VALUE"""),44721.0)</f>
        <v>44721</v>
      </c>
      <c r="C13932" s="6">
        <f>IFERROR(__xludf.DUMMYFUNCTION("""COMPUTED_VALUE"""),0.3155092592605797)</f>
        <v>0.3155092593</v>
      </c>
      <c r="D13932" s="4">
        <f>IFERROR(__xludf.DUMMYFUNCTION("""COMPUTED_VALUE"""),13.063705)</f>
        <v>13.063705</v>
      </c>
      <c r="E13932" s="4">
        <f>IFERROR(__xludf.DUMMYFUNCTION("""COMPUTED_VALUE"""),80.250766)</f>
        <v>80.250766</v>
      </c>
      <c r="F13932" s="4">
        <f>IFERROR(__xludf.DUMMYFUNCTION("""COMPUTED_VALUE"""),805.0)</f>
        <v>805</v>
      </c>
      <c r="G13932" s="4">
        <f>IFERROR(__xludf.DUMMYFUNCTION("""COMPUTED_VALUE"""),0.0)</f>
        <v>0</v>
      </c>
      <c r="H13932" s="4"/>
      <c r="I13932" s="4"/>
    </row>
    <row r="13933">
      <c r="A13933" s="4" t="str">
        <f>IFERROR(__xludf.DUMMYFUNCTION("""COMPUTED_VALUE"""),"cas_hmw")</f>
        <v>cas_hmw</v>
      </c>
      <c r="B13933" s="5">
        <f>IFERROR(__xludf.DUMMYFUNCTION("""COMPUTED_VALUE"""),44721.0)</f>
        <v>44721</v>
      </c>
      <c r="C13933" s="6">
        <f>IFERROR(__xludf.DUMMYFUNCTION("""COMPUTED_VALUE"""),0.3155208333337214)</f>
        <v>0.3155208333</v>
      </c>
      <c r="D13933" s="4">
        <f>IFERROR(__xludf.DUMMYFUNCTION("""COMPUTED_VALUE"""),13.063706)</f>
        <v>13.063706</v>
      </c>
      <c r="E13933" s="4">
        <f>IFERROR(__xludf.DUMMYFUNCTION("""COMPUTED_VALUE"""),80.250788)</f>
        <v>80.250788</v>
      </c>
      <c r="F13933" s="4">
        <f>IFERROR(__xludf.DUMMYFUNCTION("""COMPUTED_VALUE"""),805.0)</f>
        <v>805</v>
      </c>
      <c r="G13933" s="4">
        <f>IFERROR(__xludf.DUMMYFUNCTION("""COMPUTED_VALUE"""),0.0)</f>
        <v>0</v>
      </c>
      <c r="H13933" s="4"/>
      <c r="I13933" s="4"/>
    </row>
    <row r="13934">
      <c r="A13934" s="4" t="str">
        <f>IFERROR(__xludf.DUMMYFUNCTION("""COMPUTED_VALUE"""),"cas_hmw")</f>
        <v>cas_hmw</v>
      </c>
      <c r="B13934" s="5">
        <f>IFERROR(__xludf.DUMMYFUNCTION("""COMPUTED_VALUE"""),44721.0)</f>
        <v>44721</v>
      </c>
      <c r="C13934" s="6">
        <f>IFERROR(__xludf.DUMMYFUNCTION("""COMPUTED_VALUE"""),0.31597222222262644)</f>
        <v>0.3159722222</v>
      </c>
      <c r="D13934" s="4">
        <f>IFERROR(__xludf.DUMMYFUNCTION("""COMPUTED_VALUE"""),13.169839)</f>
        <v>13.169839</v>
      </c>
      <c r="E13934" s="4">
        <f>IFERROR(__xludf.DUMMYFUNCTION("""COMPUTED_VALUE"""),80.239495)</f>
        <v>80.239495</v>
      </c>
      <c r="F13934" s="4">
        <f>IFERROR(__xludf.DUMMYFUNCTION("""COMPUTED_VALUE"""),1995.0)</f>
        <v>1995</v>
      </c>
      <c r="G13934" s="4">
        <f>IFERROR(__xludf.DUMMYFUNCTION("""COMPUTED_VALUE"""),0.0)</f>
        <v>0</v>
      </c>
      <c r="H13934" s="4"/>
      <c r="I13934" s="4"/>
    </row>
    <row r="13935">
      <c r="A13935" s="4" t="str">
        <f>IFERROR(__xludf.DUMMYFUNCTION("""COMPUTED_VALUE"""),"cas_hmw")</f>
        <v>cas_hmw</v>
      </c>
      <c r="B13935" s="5">
        <f>IFERROR(__xludf.DUMMYFUNCTION("""COMPUTED_VALUE"""),44721.0)</f>
        <v>44721</v>
      </c>
      <c r="C13935" s="6">
        <f>IFERROR(__xludf.DUMMYFUNCTION("""COMPUTED_VALUE"""),0.3160300925919728)</f>
        <v>0.3160300926</v>
      </c>
      <c r="D13935" s="4">
        <f>IFERROR(__xludf.DUMMYFUNCTION("""COMPUTED_VALUE"""),13.169839)</f>
        <v>13.169839</v>
      </c>
      <c r="E13935" s="4">
        <f>IFERROR(__xludf.DUMMYFUNCTION("""COMPUTED_VALUE"""),80.239495)</f>
        <v>80.239495</v>
      </c>
      <c r="F13935" s="4">
        <f>IFERROR(__xludf.DUMMYFUNCTION("""COMPUTED_VALUE"""),1995.0)</f>
        <v>1995</v>
      </c>
      <c r="G13935" s="4">
        <f>IFERROR(__xludf.DUMMYFUNCTION("""COMPUTED_VALUE"""),0.0)</f>
        <v>0</v>
      </c>
      <c r="H13935" s="4"/>
      <c r="I13935" s="4"/>
    </row>
    <row r="13936">
      <c r="A13936" s="4" t="str">
        <f>IFERROR(__xludf.DUMMYFUNCTION("""COMPUTED_VALUE"""),"cas_hmw")</f>
        <v>cas_hmw</v>
      </c>
      <c r="B13936" s="5">
        <f>IFERROR(__xludf.DUMMYFUNCTION("""COMPUTED_VALUE"""),44721.0)</f>
        <v>44721</v>
      </c>
      <c r="C13936" s="6">
        <f>IFERROR(__xludf.DUMMYFUNCTION("""COMPUTED_VALUE"""),0.31614583333430346)</f>
        <v>0.3161458333</v>
      </c>
      <c r="D13936" s="4">
        <f>IFERROR(__xludf.DUMMYFUNCTION("""COMPUTED_VALUE"""),13.169839)</f>
        <v>13.169839</v>
      </c>
      <c r="E13936" s="4">
        <f>IFERROR(__xludf.DUMMYFUNCTION("""COMPUTED_VALUE"""),80.239495)</f>
        <v>80.239495</v>
      </c>
      <c r="F13936" s="4">
        <f>IFERROR(__xludf.DUMMYFUNCTION("""COMPUTED_VALUE"""),1995.0)</f>
        <v>1995</v>
      </c>
      <c r="G13936" s="4">
        <f>IFERROR(__xludf.DUMMYFUNCTION("""COMPUTED_VALUE"""),0.0)</f>
        <v>0</v>
      </c>
      <c r="H13936" s="4"/>
      <c r="I13936" s="4"/>
    </row>
    <row r="13937">
      <c r="A13937" s="4" t="str">
        <f>IFERROR(__xludf.DUMMYFUNCTION("""COMPUTED_VALUE"""),"cas_hmw")</f>
        <v>cas_hmw</v>
      </c>
      <c r="B13937" s="5">
        <f>IFERROR(__xludf.DUMMYFUNCTION("""COMPUTED_VALUE"""),44721.0)</f>
        <v>44721</v>
      </c>
      <c r="C13937" s="6">
        <f>IFERROR(__xludf.DUMMYFUNCTION("""COMPUTED_VALUE"""),0.31685185185051523)</f>
        <v>0.3168518519</v>
      </c>
      <c r="D13937" s="4">
        <f>IFERROR(__xludf.DUMMYFUNCTION("""COMPUTED_VALUE"""),13.063706)</f>
        <v>13.063706</v>
      </c>
      <c r="E13937" s="4">
        <f>IFERROR(__xludf.DUMMYFUNCTION("""COMPUTED_VALUE"""),80.250788)</f>
        <v>80.250788</v>
      </c>
      <c r="F13937" s="4">
        <f>IFERROR(__xludf.DUMMYFUNCTION("""COMPUTED_VALUE"""),805.0)</f>
        <v>805</v>
      </c>
      <c r="G13937" s="4">
        <f>IFERROR(__xludf.DUMMYFUNCTION("""COMPUTED_VALUE"""),0.0)</f>
        <v>0</v>
      </c>
      <c r="H13937" s="4"/>
      <c r="I13937" s="4"/>
    </row>
    <row r="13938">
      <c r="A13938" s="4" t="str">
        <f>IFERROR(__xludf.DUMMYFUNCTION("""COMPUTED_VALUE"""),"cas_hmw")</f>
        <v>cas_hmw</v>
      </c>
      <c r="B13938" s="5">
        <f>IFERROR(__xludf.DUMMYFUNCTION("""COMPUTED_VALUE"""),44721.0)</f>
        <v>44721</v>
      </c>
      <c r="C13938" s="6">
        <f>IFERROR(__xludf.DUMMYFUNCTION("""COMPUTED_VALUE"""),0.31796296296306537)</f>
        <v>0.317962963</v>
      </c>
      <c r="D13938" s="4">
        <f>IFERROR(__xludf.DUMMYFUNCTION("""COMPUTED_VALUE"""),13.169839)</f>
        <v>13.169839</v>
      </c>
      <c r="E13938" s="4">
        <f>IFERROR(__xludf.DUMMYFUNCTION("""COMPUTED_VALUE"""),80.239495)</f>
        <v>80.239495</v>
      </c>
      <c r="F13938" s="4">
        <f>IFERROR(__xludf.DUMMYFUNCTION("""COMPUTED_VALUE"""),1995.0)</f>
        <v>1995</v>
      </c>
      <c r="G13938" s="4">
        <f>IFERROR(__xludf.DUMMYFUNCTION("""COMPUTED_VALUE"""),0.0)</f>
        <v>0</v>
      </c>
      <c r="H13938" s="4"/>
      <c r="I13938" s="4"/>
    </row>
    <row r="13939">
      <c r="A13939" s="4" t="str">
        <f>IFERROR(__xludf.DUMMYFUNCTION("""COMPUTED_VALUE"""),"cas_hmw")</f>
        <v>cas_hmw</v>
      </c>
      <c r="B13939" s="5">
        <f>IFERROR(__xludf.DUMMYFUNCTION("""COMPUTED_VALUE"""),44721.0)</f>
        <v>44721</v>
      </c>
      <c r="C13939" s="6">
        <f>IFERROR(__xludf.DUMMYFUNCTION("""COMPUTED_VALUE"""),0.3183564814826241)</f>
        <v>0.3183564815</v>
      </c>
      <c r="D13939" s="4">
        <f>IFERROR(__xludf.DUMMYFUNCTION("""COMPUTED_VALUE"""),13.06373)</f>
        <v>13.06373</v>
      </c>
      <c r="E13939" s="4">
        <f>IFERROR(__xludf.DUMMYFUNCTION("""COMPUTED_VALUE"""),80.250824)</f>
        <v>80.250824</v>
      </c>
      <c r="F13939" s="4">
        <f>IFERROR(__xludf.DUMMYFUNCTION("""COMPUTED_VALUE"""),805.0)</f>
        <v>805</v>
      </c>
      <c r="G13939" s="4">
        <f>IFERROR(__xludf.DUMMYFUNCTION("""COMPUTED_VALUE"""),0.0)</f>
        <v>0</v>
      </c>
      <c r="H13939" s="4"/>
      <c r="I13939" s="4"/>
    </row>
    <row r="13940">
      <c r="A13940" s="4" t="str">
        <f>IFERROR(__xludf.DUMMYFUNCTION("""COMPUTED_VALUE"""),"cas_hmw")</f>
        <v>cas_hmw</v>
      </c>
      <c r="B13940" s="5">
        <f>IFERROR(__xludf.DUMMYFUNCTION("""COMPUTED_VALUE"""),44721.0)</f>
        <v>44721</v>
      </c>
      <c r="C13940" s="6">
        <f>IFERROR(__xludf.DUMMYFUNCTION("""COMPUTED_VALUE"""),0.3191435185181035)</f>
        <v>0.3191435185</v>
      </c>
      <c r="D13940" s="4">
        <f>IFERROR(__xludf.DUMMYFUNCTION("""COMPUTED_VALUE"""),13.169853)</f>
        <v>13.169853</v>
      </c>
      <c r="E13940" s="4">
        <f>IFERROR(__xludf.DUMMYFUNCTION("""COMPUTED_VALUE"""),80.239518)</f>
        <v>80.239518</v>
      </c>
      <c r="F13940" s="4">
        <f>IFERROR(__xludf.DUMMYFUNCTION("""COMPUTED_VALUE"""),1995.0)</f>
        <v>1995</v>
      </c>
      <c r="G13940" s="4">
        <f>IFERROR(__xludf.DUMMYFUNCTION("""COMPUTED_VALUE"""),0.0)</f>
        <v>0</v>
      </c>
      <c r="H13940" s="4"/>
      <c r="I13940" s="4"/>
    </row>
    <row r="13941">
      <c r="A13941" s="4" t="str">
        <f>IFERROR(__xludf.DUMMYFUNCTION("""COMPUTED_VALUE"""),"cas_hmw")</f>
        <v>cas_hmw</v>
      </c>
      <c r="B13941" s="5">
        <f>IFERROR(__xludf.DUMMYFUNCTION("""COMPUTED_VALUE"""),44721.0)</f>
        <v>44721</v>
      </c>
      <c r="C13941" s="6">
        <f>IFERROR(__xludf.DUMMYFUNCTION("""COMPUTED_VALUE"""),0.3193634259259852)</f>
        <v>0.3193634259</v>
      </c>
      <c r="D13941" s="4">
        <f>IFERROR(__xludf.DUMMYFUNCTION("""COMPUTED_VALUE"""),13.169853)</f>
        <v>13.169853</v>
      </c>
      <c r="E13941" s="4">
        <f>IFERROR(__xludf.DUMMYFUNCTION("""COMPUTED_VALUE"""),80.239518)</f>
        <v>80.239518</v>
      </c>
      <c r="F13941" s="4">
        <f>IFERROR(__xludf.DUMMYFUNCTION("""COMPUTED_VALUE"""),1995.0)</f>
        <v>1995</v>
      </c>
      <c r="G13941" s="4">
        <f>IFERROR(__xludf.DUMMYFUNCTION("""COMPUTED_VALUE"""),0.0)</f>
        <v>0</v>
      </c>
      <c r="H13941" s="4"/>
      <c r="I13941" s="4"/>
    </row>
    <row r="13942">
      <c r="A13942" s="4" t="str">
        <f>IFERROR(__xludf.DUMMYFUNCTION("""COMPUTED_VALUE"""),"cas_hmw")</f>
        <v>cas_hmw</v>
      </c>
      <c r="B13942" s="5">
        <f>IFERROR(__xludf.DUMMYFUNCTION("""COMPUTED_VALUE"""),44721.0)</f>
        <v>44721</v>
      </c>
      <c r="C13942" s="6">
        <f>IFERROR(__xludf.DUMMYFUNCTION("""COMPUTED_VALUE"""),0.32001157407285064)</f>
        <v>0.3200115741</v>
      </c>
      <c r="D13942" s="4">
        <f>IFERROR(__xludf.DUMMYFUNCTION("""COMPUTED_VALUE"""),12.875633)</f>
        <v>12.875633</v>
      </c>
      <c r="E13942" s="4">
        <f>IFERROR(__xludf.DUMMYFUNCTION("""COMPUTED_VALUE"""),80.082884)</f>
        <v>80.082884</v>
      </c>
      <c r="F13942" s="4">
        <f>IFERROR(__xludf.DUMMYFUNCTION("""COMPUTED_VALUE"""),2846.0)</f>
        <v>2846</v>
      </c>
      <c r="G13942" s="4">
        <f>IFERROR(__xludf.DUMMYFUNCTION("""COMPUTED_VALUE"""),0.0)</f>
        <v>0</v>
      </c>
      <c r="H13942" s="4"/>
      <c r="I13942" s="4"/>
    </row>
    <row r="13943">
      <c r="A13943" s="4" t="str">
        <f>IFERROR(__xludf.DUMMYFUNCTION("""COMPUTED_VALUE"""),"cas_hmw")</f>
        <v>cas_hmw</v>
      </c>
      <c r="B13943" s="5">
        <f>IFERROR(__xludf.DUMMYFUNCTION("""COMPUTED_VALUE"""),44721.0)</f>
        <v>44721</v>
      </c>
      <c r="C13943" s="6">
        <f>IFERROR(__xludf.DUMMYFUNCTION("""COMPUTED_VALUE"""),0.3200231481496303)</f>
        <v>0.3200231481</v>
      </c>
      <c r="D13943" s="4">
        <f>IFERROR(__xludf.DUMMYFUNCTION("""COMPUTED_VALUE"""),12.875633)</f>
        <v>12.875633</v>
      </c>
      <c r="E13943" s="4">
        <f>IFERROR(__xludf.DUMMYFUNCTION("""COMPUTED_VALUE"""),80.082884)</f>
        <v>80.082884</v>
      </c>
      <c r="F13943" s="4">
        <f>IFERROR(__xludf.DUMMYFUNCTION("""COMPUTED_VALUE"""),2846.0)</f>
        <v>2846</v>
      </c>
      <c r="G13943" s="4">
        <f>IFERROR(__xludf.DUMMYFUNCTION("""COMPUTED_VALUE"""),0.0)</f>
        <v>0</v>
      </c>
      <c r="H13943" s="4"/>
      <c r="I13943" s="4"/>
    </row>
    <row r="13944">
      <c r="A13944" s="4" t="str">
        <f>IFERROR(__xludf.DUMMYFUNCTION("""COMPUTED_VALUE"""),"cas_hmw")</f>
        <v>cas_hmw</v>
      </c>
      <c r="B13944" s="5">
        <f>IFERROR(__xludf.DUMMYFUNCTION("""COMPUTED_VALUE"""),44721.0)</f>
        <v>44721</v>
      </c>
      <c r="C13944" s="6">
        <f>IFERROR(__xludf.DUMMYFUNCTION("""COMPUTED_VALUE"""),0.32003472222277196)</f>
        <v>0.3200347222</v>
      </c>
      <c r="D13944" s="4">
        <f>IFERROR(__xludf.DUMMYFUNCTION("""COMPUTED_VALUE"""),12.875633)</f>
        <v>12.875633</v>
      </c>
      <c r="E13944" s="4">
        <f>IFERROR(__xludf.DUMMYFUNCTION("""COMPUTED_VALUE"""),80.082884)</f>
        <v>80.082884</v>
      </c>
      <c r="F13944" s="4">
        <f>IFERROR(__xludf.DUMMYFUNCTION("""COMPUTED_VALUE"""),2846.0)</f>
        <v>2846</v>
      </c>
      <c r="G13944" s="4">
        <f>IFERROR(__xludf.DUMMYFUNCTION("""COMPUTED_VALUE"""),0.0)</f>
        <v>0</v>
      </c>
      <c r="H13944" s="4"/>
      <c r="I13944" s="4"/>
    </row>
    <row r="13945">
      <c r="A13945" s="4" t="str">
        <f>IFERROR(__xludf.DUMMYFUNCTION("""COMPUTED_VALUE"""),"cas_hmw")</f>
        <v>cas_hmw</v>
      </c>
      <c r="B13945" s="5">
        <f>IFERROR(__xludf.DUMMYFUNCTION("""COMPUTED_VALUE"""),44721.0)</f>
        <v>44721</v>
      </c>
      <c r="C13945" s="6">
        <f>IFERROR(__xludf.DUMMYFUNCTION("""COMPUTED_VALUE"""),0.32130787037021946)</f>
        <v>0.3213078704</v>
      </c>
      <c r="D13945" s="4">
        <f>IFERROR(__xludf.DUMMYFUNCTION("""COMPUTED_VALUE"""),13.063776)</f>
        <v>13.063776</v>
      </c>
      <c r="E13945" s="4">
        <f>IFERROR(__xludf.DUMMYFUNCTION("""COMPUTED_VALUE"""),80.250754)</f>
        <v>80.250754</v>
      </c>
      <c r="F13945" s="4">
        <f>IFERROR(__xludf.DUMMYFUNCTION("""COMPUTED_VALUE"""),805.0)</f>
        <v>805</v>
      </c>
      <c r="G13945" s="4">
        <f>IFERROR(__xludf.DUMMYFUNCTION("""COMPUTED_VALUE"""),0.0)</f>
        <v>0</v>
      </c>
      <c r="H13945" s="4"/>
      <c r="I13945" s="4"/>
    </row>
    <row r="13946">
      <c r="A13946" s="4" t="str">
        <f>IFERROR(__xludf.DUMMYFUNCTION("""COMPUTED_VALUE"""),"cas_hmw")</f>
        <v>cas_hmw</v>
      </c>
      <c r="B13946" s="5">
        <f>IFERROR(__xludf.DUMMYFUNCTION("""COMPUTED_VALUE"""),44721.0)</f>
        <v>44721</v>
      </c>
      <c r="C13946" s="6">
        <f>IFERROR(__xludf.DUMMYFUNCTION("""COMPUTED_VALUE"""),0.3214814814818965)</f>
        <v>0.3214814815</v>
      </c>
      <c r="D13946" s="4">
        <f>IFERROR(__xludf.DUMMYFUNCTION("""COMPUTED_VALUE"""),13.063776)</f>
        <v>13.063776</v>
      </c>
      <c r="E13946" s="4">
        <f>IFERROR(__xludf.DUMMYFUNCTION("""COMPUTED_VALUE"""),80.250754)</f>
        <v>80.250754</v>
      </c>
      <c r="F13946" s="4">
        <f>IFERROR(__xludf.DUMMYFUNCTION("""COMPUTED_VALUE"""),805.0)</f>
        <v>805</v>
      </c>
      <c r="G13946" s="4">
        <f>IFERROR(__xludf.DUMMYFUNCTION("""COMPUTED_VALUE"""),0.0)</f>
        <v>0</v>
      </c>
      <c r="H13946" s="4"/>
      <c r="I13946" s="4"/>
    </row>
    <row r="13947">
      <c r="A13947" s="4" t="str">
        <f>IFERROR(__xludf.DUMMYFUNCTION("""COMPUTED_VALUE"""),"cas_hmw")</f>
        <v>cas_hmw</v>
      </c>
      <c r="B13947" s="5">
        <f>IFERROR(__xludf.DUMMYFUNCTION("""COMPUTED_VALUE"""),44721.0)</f>
        <v>44721</v>
      </c>
      <c r="C13947" s="6">
        <f>IFERROR(__xludf.DUMMYFUNCTION("""COMPUTED_VALUE"""),0.3222337962979509)</f>
        <v>0.3222337963</v>
      </c>
      <c r="D13947" s="4">
        <f>IFERROR(__xludf.DUMMYFUNCTION("""COMPUTED_VALUE"""),12.87562)</f>
        <v>12.87562</v>
      </c>
      <c r="E13947" s="4">
        <f>IFERROR(__xludf.DUMMYFUNCTION("""COMPUTED_VALUE"""),80.082888)</f>
        <v>80.082888</v>
      </c>
      <c r="F13947" s="4">
        <f>IFERROR(__xludf.DUMMYFUNCTION("""COMPUTED_VALUE"""),2846.0)</f>
        <v>2846</v>
      </c>
      <c r="G13947" s="4">
        <f>IFERROR(__xludf.DUMMYFUNCTION("""COMPUTED_VALUE"""),0.0)</f>
        <v>0</v>
      </c>
      <c r="H13947" s="4"/>
      <c r="I13947" s="4"/>
    </row>
    <row r="13948">
      <c r="A13948" s="4" t="str">
        <f>IFERROR(__xludf.DUMMYFUNCTION("""COMPUTED_VALUE"""),"cas_hmw")</f>
        <v>cas_hmw</v>
      </c>
      <c r="B13948" s="5">
        <f>IFERROR(__xludf.DUMMYFUNCTION("""COMPUTED_VALUE"""),44721.0)</f>
        <v>44721</v>
      </c>
      <c r="C13948" s="6">
        <f>IFERROR(__xludf.DUMMYFUNCTION("""COMPUTED_VALUE"""),0.3223726851865649)</f>
        <v>0.3223726852</v>
      </c>
      <c r="D13948" s="4">
        <f>IFERROR(__xludf.DUMMYFUNCTION("""COMPUTED_VALUE"""),12.87562)</f>
        <v>12.87562</v>
      </c>
      <c r="E13948" s="4">
        <f>IFERROR(__xludf.DUMMYFUNCTION("""COMPUTED_VALUE"""),80.082888)</f>
        <v>80.082888</v>
      </c>
      <c r="F13948" s="4">
        <f>IFERROR(__xludf.DUMMYFUNCTION("""COMPUTED_VALUE"""),2846.0)</f>
        <v>2846</v>
      </c>
      <c r="G13948" s="4">
        <f>IFERROR(__xludf.DUMMYFUNCTION("""COMPUTED_VALUE"""),0.0)</f>
        <v>0</v>
      </c>
      <c r="H13948" s="4"/>
      <c r="I13948" s="4"/>
    </row>
    <row r="13949">
      <c r="A13949" s="4" t="str">
        <f>IFERROR(__xludf.DUMMYFUNCTION("""COMPUTED_VALUE"""),"cas_hmw")</f>
        <v>cas_hmw</v>
      </c>
      <c r="B13949" s="5">
        <f>IFERROR(__xludf.DUMMYFUNCTION("""COMPUTED_VALUE"""),44721.0)</f>
        <v>44721</v>
      </c>
      <c r="C13949" s="6">
        <f>IFERROR(__xludf.DUMMYFUNCTION("""COMPUTED_VALUE"""),0.32239583333284827)</f>
        <v>0.3223958333</v>
      </c>
      <c r="D13949" s="4">
        <f>IFERROR(__xludf.DUMMYFUNCTION("""COMPUTED_VALUE"""),12.87562)</f>
        <v>12.87562</v>
      </c>
      <c r="E13949" s="4">
        <f>IFERROR(__xludf.DUMMYFUNCTION("""COMPUTED_VALUE"""),80.082888)</f>
        <v>80.082888</v>
      </c>
      <c r="F13949" s="4">
        <f>IFERROR(__xludf.DUMMYFUNCTION("""COMPUTED_VALUE"""),2846.0)</f>
        <v>2846</v>
      </c>
      <c r="G13949" s="4">
        <f>IFERROR(__xludf.DUMMYFUNCTION("""COMPUTED_VALUE"""),0.0)</f>
        <v>0</v>
      </c>
      <c r="H13949" s="4"/>
      <c r="I13949" s="4"/>
    </row>
    <row r="13950">
      <c r="A13950" s="4" t="str">
        <f>IFERROR(__xludf.DUMMYFUNCTION("""COMPUTED_VALUE"""),"cas_hmw")</f>
        <v>cas_hmw</v>
      </c>
      <c r="B13950" s="5">
        <f>IFERROR(__xludf.DUMMYFUNCTION("""COMPUTED_VALUE"""),44721.0)</f>
        <v>44721</v>
      </c>
      <c r="C13950" s="6">
        <f>IFERROR(__xludf.DUMMYFUNCTION("""COMPUTED_VALUE"""),0.322858796294895)</f>
        <v>0.3228587963</v>
      </c>
      <c r="D13950" s="4">
        <f>IFERROR(__xludf.DUMMYFUNCTION("""COMPUTED_VALUE"""),13.063776)</f>
        <v>13.063776</v>
      </c>
      <c r="E13950" s="4">
        <f>IFERROR(__xludf.DUMMYFUNCTION("""COMPUTED_VALUE"""),80.250729)</f>
        <v>80.250729</v>
      </c>
      <c r="F13950" s="4">
        <f>IFERROR(__xludf.DUMMYFUNCTION("""COMPUTED_VALUE"""),805.0)</f>
        <v>805</v>
      </c>
      <c r="G13950" s="4">
        <f>IFERROR(__xludf.DUMMYFUNCTION("""COMPUTED_VALUE"""),0.0)</f>
        <v>0</v>
      </c>
      <c r="H13950" s="4"/>
      <c r="I13950" s="4"/>
    </row>
    <row r="13951">
      <c r="A13951" s="4" t="str">
        <f>IFERROR(__xludf.DUMMYFUNCTION("""COMPUTED_VALUE"""),"cas_hmw")</f>
        <v>cas_hmw</v>
      </c>
      <c r="B13951" s="5">
        <f>IFERROR(__xludf.DUMMYFUNCTION("""COMPUTED_VALUE"""),44721.0)</f>
        <v>44721</v>
      </c>
      <c r="C13951" s="6">
        <f>IFERROR(__xludf.DUMMYFUNCTION("""COMPUTED_VALUE"""),0.3232986111106584)</f>
        <v>0.3232986111</v>
      </c>
      <c r="D13951" s="4">
        <f>IFERROR(__xludf.DUMMYFUNCTION("""COMPUTED_VALUE"""),13.063796)</f>
        <v>13.063796</v>
      </c>
      <c r="E13951" s="4">
        <f>IFERROR(__xludf.DUMMYFUNCTION("""COMPUTED_VALUE"""),80.250747)</f>
        <v>80.250747</v>
      </c>
      <c r="F13951" s="4">
        <f>IFERROR(__xludf.DUMMYFUNCTION("""COMPUTED_VALUE"""),805.0)</f>
        <v>805</v>
      </c>
      <c r="G13951" s="4">
        <f>IFERROR(__xludf.DUMMYFUNCTION("""COMPUTED_VALUE"""),0.0)</f>
        <v>0</v>
      </c>
      <c r="H13951" s="4"/>
      <c r="I13951" s="4"/>
    </row>
    <row r="13952">
      <c r="A13952" s="4" t="str">
        <f>IFERROR(__xludf.DUMMYFUNCTION("""COMPUTED_VALUE"""),"cas_hmw")</f>
        <v>cas_hmw</v>
      </c>
      <c r="B13952" s="5">
        <f>IFERROR(__xludf.DUMMYFUNCTION("""COMPUTED_VALUE"""),44721.0)</f>
        <v>44721</v>
      </c>
      <c r="C13952" s="6">
        <f>IFERROR(__xludf.DUMMYFUNCTION("""COMPUTED_VALUE"""),0.3236226851840911)</f>
        <v>0.3236226852</v>
      </c>
      <c r="D13952" s="4">
        <f>IFERROR(__xludf.DUMMYFUNCTION("""COMPUTED_VALUE"""),13.063796)</f>
        <v>13.063796</v>
      </c>
      <c r="E13952" s="4">
        <f>IFERROR(__xludf.DUMMYFUNCTION("""COMPUTED_VALUE"""),80.250747)</f>
        <v>80.250747</v>
      </c>
      <c r="F13952" s="4">
        <f>IFERROR(__xludf.DUMMYFUNCTION("""COMPUTED_VALUE"""),805.0)</f>
        <v>805</v>
      </c>
      <c r="G13952" s="4">
        <f>IFERROR(__xludf.DUMMYFUNCTION("""COMPUTED_VALUE"""),0.0)</f>
        <v>0</v>
      </c>
      <c r="H13952" s="4"/>
      <c r="I13952" s="4"/>
    </row>
    <row r="13953">
      <c r="A13953" s="4" t="str">
        <f>IFERROR(__xludf.DUMMYFUNCTION("""COMPUTED_VALUE"""),"cas_hmw")</f>
        <v>cas_hmw</v>
      </c>
      <c r="B13953" s="5">
        <f>IFERROR(__xludf.DUMMYFUNCTION("""COMPUTED_VALUE"""),44721.0)</f>
        <v>44721</v>
      </c>
      <c r="C13953" s="6">
        <f>IFERROR(__xludf.DUMMYFUNCTION("""COMPUTED_VALUE"""),0.3236574074071541)</f>
        <v>0.3236574074</v>
      </c>
      <c r="D13953" s="4">
        <f>IFERROR(__xludf.DUMMYFUNCTION("""COMPUTED_VALUE"""),13.063796)</f>
        <v>13.063796</v>
      </c>
      <c r="E13953" s="4">
        <f>IFERROR(__xludf.DUMMYFUNCTION("""COMPUTED_VALUE"""),80.250747)</f>
        <v>80.250747</v>
      </c>
      <c r="F13953" s="4">
        <f>IFERROR(__xludf.DUMMYFUNCTION("""COMPUTED_VALUE"""),805.0)</f>
        <v>805</v>
      </c>
      <c r="G13953" s="4">
        <f>IFERROR(__xludf.DUMMYFUNCTION("""COMPUTED_VALUE"""),0.0)</f>
        <v>0</v>
      </c>
      <c r="H13953" s="4"/>
      <c r="I13953" s="4"/>
    </row>
    <row r="13954">
      <c r="A13954" s="4" t="str">
        <f>IFERROR(__xludf.DUMMYFUNCTION("""COMPUTED_VALUE"""),"cas_hmw")</f>
        <v>cas_hmw</v>
      </c>
      <c r="B13954" s="5">
        <f>IFERROR(__xludf.DUMMYFUNCTION("""COMPUTED_VALUE"""),44721.0)</f>
        <v>44721</v>
      </c>
      <c r="C13954" s="6">
        <f>IFERROR(__xludf.DUMMYFUNCTION("""COMPUTED_VALUE"""),0.3236921296302171)</f>
        <v>0.3236921296</v>
      </c>
      <c r="D13954" s="4">
        <f>IFERROR(__xludf.DUMMYFUNCTION("""COMPUTED_VALUE"""),13.063796)</f>
        <v>13.063796</v>
      </c>
      <c r="E13954" s="4">
        <f>IFERROR(__xludf.DUMMYFUNCTION("""COMPUTED_VALUE"""),80.250747)</f>
        <v>80.250747</v>
      </c>
      <c r="F13954" s="4">
        <f>IFERROR(__xludf.DUMMYFUNCTION("""COMPUTED_VALUE"""),805.0)</f>
        <v>805</v>
      </c>
      <c r="G13954" s="4">
        <f>IFERROR(__xludf.DUMMYFUNCTION("""COMPUTED_VALUE"""),0.0)</f>
        <v>0</v>
      </c>
      <c r="H13954" s="4"/>
      <c r="I13954" s="4"/>
    </row>
    <row r="13955">
      <c r="A13955" s="4" t="str">
        <f>IFERROR(__xludf.DUMMYFUNCTION("""COMPUTED_VALUE"""),"cas_hmw")</f>
        <v>cas_hmw</v>
      </c>
      <c r="B13955" s="5">
        <f>IFERROR(__xludf.DUMMYFUNCTION("""COMPUTED_VALUE"""),44721.0)</f>
        <v>44721</v>
      </c>
      <c r="C13955" s="6">
        <f>IFERROR(__xludf.DUMMYFUNCTION("""COMPUTED_VALUE"""),0.32439814814642887)</f>
        <v>0.3243981481</v>
      </c>
      <c r="D13955" s="4">
        <f>IFERROR(__xludf.DUMMYFUNCTION("""COMPUTED_VALUE"""),13.063796)</f>
        <v>13.063796</v>
      </c>
      <c r="E13955" s="4">
        <f>IFERROR(__xludf.DUMMYFUNCTION("""COMPUTED_VALUE"""),80.250747)</f>
        <v>80.250747</v>
      </c>
      <c r="F13955" s="4">
        <f>IFERROR(__xludf.DUMMYFUNCTION("""COMPUTED_VALUE"""),805.0)</f>
        <v>805</v>
      </c>
      <c r="G13955" s="4">
        <f>IFERROR(__xludf.DUMMYFUNCTION("""COMPUTED_VALUE"""),0.0)</f>
        <v>0</v>
      </c>
      <c r="H13955" s="4"/>
      <c r="I13955" s="4"/>
    </row>
    <row r="13956">
      <c r="A13956" s="4" t="str">
        <f>IFERROR(__xludf.DUMMYFUNCTION("""COMPUTED_VALUE"""),"cas_hmw")</f>
        <v>cas_hmw</v>
      </c>
      <c r="B13956" s="5">
        <f>IFERROR(__xludf.DUMMYFUNCTION("""COMPUTED_VALUE"""),44721.0)</f>
        <v>44721</v>
      </c>
      <c r="C13956" s="6">
        <f>IFERROR(__xludf.DUMMYFUNCTION("""COMPUTED_VALUE"""),0.3273726851839456)</f>
        <v>0.3273726852</v>
      </c>
      <c r="D13956" s="4">
        <f>IFERROR(__xludf.DUMMYFUNCTION("""COMPUTED_VALUE"""),13.063785)</f>
        <v>13.063785</v>
      </c>
      <c r="E13956" s="4">
        <f>IFERROR(__xludf.DUMMYFUNCTION("""COMPUTED_VALUE"""),80.250798)</f>
        <v>80.250798</v>
      </c>
      <c r="F13956" s="4">
        <f>IFERROR(__xludf.DUMMYFUNCTION("""COMPUTED_VALUE"""),805.0)</f>
        <v>805</v>
      </c>
      <c r="G13956" s="4">
        <f>IFERROR(__xludf.DUMMYFUNCTION("""COMPUTED_VALUE"""),0.0)</f>
        <v>0</v>
      </c>
      <c r="H13956" s="4"/>
      <c r="I13956" s="4"/>
    </row>
    <row r="13957">
      <c r="A13957" s="4" t="str">
        <f>IFERROR(__xludf.DUMMYFUNCTION("""COMPUTED_VALUE"""),"cas_hmw")</f>
        <v>cas_hmw</v>
      </c>
      <c r="B13957" s="5">
        <f>IFERROR(__xludf.DUMMYFUNCTION("""COMPUTED_VALUE"""),44721.0)</f>
        <v>44721</v>
      </c>
      <c r="C13957" s="6">
        <f>IFERROR(__xludf.DUMMYFUNCTION("""COMPUTED_VALUE"""),0.32788194444583496)</f>
        <v>0.3278819444</v>
      </c>
      <c r="D13957" s="4">
        <f>IFERROR(__xludf.DUMMYFUNCTION("""COMPUTED_VALUE"""),13.063749)</f>
        <v>13.063749</v>
      </c>
      <c r="E13957" s="4">
        <f>IFERROR(__xludf.DUMMYFUNCTION("""COMPUTED_VALUE"""),80.250823)</f>
        <v>80.250823</v>
      </c>
      <c r="F13957" s="4">
        <f>IFERROR(__xludf.DUMMYFUNCTION("""COMPUTED_VALUE"""),805.0)</f>
        <v>805</v>
      </c>
      <c r="G13957" s="4">
        <f>IFERROR(__xludf.DUMMYFUNCTION("""COMPUTED_VALUE"""),0.0)</f>
        <v>0</v>
      </c>
      <c r="H13957" s="4"/>
      <c r="I13957" s="4"/>
    </row>
    <row r="13958">
      <c r="A13958" s="4" t="str">
        <f>IFERROR(__xludf.DUMMYFUNCTION("""COMPUTED_VALUE"""),"cas_hmw")</f>
        <v>cas_hmw</v>
      </c>
      <c r="B13958" s="5">
        <f>IFERROR(__xludf.DUMMYFUNCTION("""COMPUTED_VALUE"""),44721.0)</f>
        <v>44721</v>
      </c>
      <c r="C13958" s="6">
        <f>IFERROR(__xludf.DUMMYFUNCTION("""COMPUTED_VALUE"""),0.328125)</f>
        <v>0.328125</v>
      </c>
      <c r="D13958" s="4">
        <f>IFERROR(__xludf.DUMMYFUNCTION("""COMPUTED_VALUE"""),13.063749)</f>
        <v>13.063749</v>
      </c>
      <c r="E13958" s="4">
        <f>IFERROR(__xludf.DUMMYFUNCTION("""COMPUTED_VALUE"""),80.250823)</f>
        <v>80.250823</v>
      </c>
      <c r="F13958" s="4">
        <f>IFERROR(__xludf.DUMMYFUNCTION("""COMPUTED_VALUE"""),805.0)</f>
        <v>805</v>
      </c>
      <c r="G13958" s="4">
        <f>IFERROR(__xludf.DUMMYFUNCTION("""COMPUTED_VALUE"""),0.0)</f>
        <v>0</v>
      </c>
      <c r="H13958" s="4"/>
      <c r="I13958" s="4"/>
    </row>
    <row r="13959">
      <c r="A13959" s="4" t="str">
        <f>IFERROR(__xludf.DUMMYFUNCTION("""COMPUTED_VALUE"""),"cas_hmw")</f>
        <v>cas_hmw</v>
      </c>
      <c r="B13959" s="5">
        <f>IFERROR(__xludf.DUMMYFUNCTION("""COMPUTED_VALUE"""),44721.0)</f>
        <v>44721</v>
      </c>
      <c r="C13959" s="6">
        <f>IFERROR(__xludf.DUMMYFUNCTION("""COMPUTED_VALUE"""),0.32879629629678675)</f>
        <v>0.3287962963</v>
      </c>
      <c r="D13959" s="4">
        <f>IFERROR(__xludf.DUMMYFUNCTION("""COMPUTED_VALUE"""),13.063749)</f>
        <v>13.063749</v>
      </c>
      <c r="E13959" s="4">
        <f>IFERROR(__xludf.DUMMYFUNCTION("""COMPUTED_VALUE"""),80.250823)</f>
        <v>80.250823</v>
      </c>
      <c r="F13959" s="4">
        <f>IFERROR(__xludf.DUMMYFUNCTION("""COMPUTED_VALUE"""),805.0)</f>
        <v>805</v>
      </c>
      <c r="G13959" s="4">
        <f>IFERROR(__xludf.DUMMYFUNCTION("""COMPUTED_VALUE"""),0.0)</f>
        <v>0</v>
      </c>
      <c r="H13959" s="4"/>
      <c r="I13959" s="4"/>
    </row>
    <row r="13960">
      <c r="A13960" s="4" t="str">
        <f>IFERROR(__xludf.DUMMYFUNCTION("""COMPUTED_VALUE"""),"cas_hmw")</f>
        <v>cas_hmw</v>
      </c>
      <c r="B13960" s="5">
        <f>IFERROR(__xludf.DUMMYFUNCTION("""COMPUTED_VALUE"""),44721.0)</f>
        <v>44721</v>
      </c>
      <c r="C13960" s="6">
        <f>IFERROR(__xludf.DUMMYFUNCTION("""COMPUTED_VALUE"""),0.3295370370360615)</f>
        <v>0.329537037</v>
      </c>
      <c r="D13960" s="4">
        <f>IFERROR(__xludf.DUMMYFUNCTION("""COMPUTED_VALUE"""),13.063779)</f>
        <v>13.063779</v>
      </c>
      <c r="E13960" s="4">
        <f>IFERROR(__xludf.DUMMYFUNCTION("""COMPUTED_VALUE"""),80.250857)</f>
        <v>80.250857</v>
      </c>
      <c r="F13960" s="4">
        <f>IFERROR(__xludf.DUMMYFUNCTION("""COMPUTED_VALUE"""),805.0)</f>
        <v>805</v>
      </c>
      <c r="G13960" s="4">
        <f>IFERROR(__xludf.DUMMYFUNCTION("""COMPUTED_VALUE"""),0.0)</f>
        <v>0</v>
      </c>
      <c r="H13960" s="4"/>
      <c r="I13960" s="4"/>
    </row>
    <row r="13961">
      <c r="A13961" s="4" t="str">
        <f>IFERROR(__xludf.DUMMYFUNCTION("""COMPUTED_VALUE"""),"cas_hmw")</f>
        <v>cas_hmw</v>
      </c>
      <c r="B13961" s="5">
        <f>IFERROR(__xludf.DUMMYFUNCTION("""COMPUTED_VALUE"""),44721.0)</f>
        <v>44721</v>
      </c>
      <c r="C13961" s="6">
        <f>IFERROR(__xludf.DUMMYFUNCTION("""COMPUTED_VALUE"""),0.32954861111284117)</f>
        <v>0.3295486111</v>
      </c>
      <c r="D13961" s="4">
        <f>IFERROR(__xludf.DUMMYFUNCTION("""COMPUTED_VALUE"""),13.063779)</f>
        <v>13.063779</v>
      </c>
      <c r="E13961" s="4">
        <f>IFERROR(__xludf.DUMMYFUNCTION("""COMPUTED_VALUE"""),80.250857)</f>
        <v>80.250857</v>
      </c>
      <c r="F13961" s="4">
        <f>IFERROR(__xludf.DUMMYFUNCTION("""COMPUTED_VALUE"""),805.0)</f>
        <v>805</v>
      </c>
      <c r="G13961" s="4">
        <f>IFERROR(__xludf.DUMMYFUNCTION("""COMPUTED_VALUE"""),0.0)</f>
        <v>0</v>
      </c>
      <c r="H13961" s="4"/>
      <c r="I13961" s="4"/>
    </row>
    <row r="13962">
      <c r="A13962" s="4" t="str">
        <f>IFERROR(__xludf.DUMMYFUNCTION("""COMPUTED_VALUE"""),"cas_hmw")</f>
        <v>cas_hmw</v>
      </c>
      <c r="B13962" s="5">
        <f>IFERROR(__xludf.DUMMYFUNCTION("""COMPUTED_VALUE"""),44721.0)</f>
        <v>44721</v>
      </c>
      <c r="C13962" s="6">
        <f>IFERROR(__xludf.DUMMYFUNCTION("""COMPUTED_VALUE"""),0.32954861111284117)</f>
        <v>0.3295486111</v>
      </c>
      <c r="D13962" s="4">
        <f>IFERROR(__xludf.DUMMYFUNCTION("""COMPUTED_VALUE"""),13.063779)</f>
        <v>13.063779</v>
      </c>
      <c r="E13962" s="4">
        <f>IFERROR(__xludf.DUMMYFUNCTION("""COMPUTED_VALUE"""),80.250857)</f>
        <v>80.250857</v>
      </c>
      <c r="F13962" s="4">
        <f>IFERROR(__xludf.DUMMYFUNCTION("""COMPUTED_VALUE"""),805.0)</f>
        <v>805</v>
      </c>
      <c r="G13962" s="4">
        <f>IFERROR(__xludf.DUMMYFUNCTION("""COMPUTED_VALUE"""),0.0)</f>
        <v>0</v>
      </c>
      <c r="H13962" s="4"/>
      <c r="I13962" s="4"/>
    </row>
    <row r="13963">
      <c r="A13963" s="4" t="str">
        <f>IFERROR(__xludf.DUMMYFUNCTION("""COMPUTED_VALUE"""),"cas_hmw")</f>
        <v>cas_hmw</v>
      </c>
      <c r="B13963" s="5">
        <f>IFERROR(__xludf.DUMMYFUNCTION("""COMPUTED_VALUE"""),44721.0)</f>
        <v>44721</v>
      </c>
      <c r="C13963" s="6">
        <f>IFERROR(__xludf.DUMMYFUNCTION("""COMPUTED_VALUE"""),0.3297222222208802)</f>
        <v>0.3297222222</v>
      </c>
      <c r="D13963" s="4">
        <f>IFERROR(__xludf.DUMMYFUNCTION("""COMPUTED_VALUE"""),13.063779)</f>
        <v>13.063779</v>
      </c>
      <c r="E13963" s="4">
        <f>IFERROR(__xludf.DUMMYFUNCTION("""COMPUTED_VALUE"""),80.250857)</f>
        <v>80.250857</v>
      </c>
      <c r="F13963" s="4">
        <f>IFERROR(__xludf.DUMMYFUNCTION("""COMPUTED_VALUE"""),805.0)</f>
        <v>805</v>
      </c>
      <c r="G13963" s="4">
        <f>IFERROR(__xludf.DUMMYFUNCTION("""COMPUTED_VALUE"""),0.0)</f>
        <v>0</v>
      </c>
      <c r="H13963" s="4"/>
      <c r="I13963" s="4"/>
    </row>
    <row r="13964">
      <c r="A13964" s="4" t="str">
        <f>IFERROR(__xludf.DUMMYFUNCTION("""COMPUTED_VALUE"""),"cas_hmw")</f>
        <v>cas_hmw</v>
      </c>
      <c r="B13964" s="5">
        <f>IFERROR(__xludf.DUMMYFUNCTION("""COMPUTED_VALUE"""),44721.0)</f>
        <v>44721</v>
      </c>
      <c r="C13964" s="6">
        <f>IFERROR(__xludf.DUMMYFUNCTION("""COMPUTED_VALUE"""),0.3305902777792653)</f>
        <v>0.3305902778</v>
      </c>
      <c r="D13964" s="4">
        <f>IFERROR(__xludf.DUMMYFUNCTION("""COMPUTED_VALUE"""),13.063779)</f>
        <v>13.063779</v>
      </c>
      <c r="E13964" s="4">
        <f>IFERROR(__xludf.DUMMYFUNCTION("""COMPUTED_VALUE"""),80.250857)</f>
        <v>80.250857</v>
      </c>
      <c r="F13964" s="4">
        <f>IFERROR(__xludf.DUMMYFUNCTION("""COMPUTED_VALUE"""),805.0)</f>
        <v>805</v>
      </c>
      <c r="G13964" s="4">
        <f>IFERROR(__xludf.DUMMYFUNCTION("""COMPUTED_VALUE"""),0.0)</f>
        <v>0</v>
      </c>
      <c r="H13964" s="4"/>
      <c r="I13964" s="4"/>
    </row>
    <row r="13965">
      <c r="A13965" s="4" t="str">
        <f>IFERROR(__xludf.DUMMYFUNCTION("""COMPUTED_VALUE"""),"cas_hmw")</f>
        <v>cas_hmw</v>
      </c>
      <c r="B13965" s="5">
        <f>IFERROR(__xludf.DUMMYFUNCTION("""COMPUTED_VALUE"""),44721.0)</f>
        <v>44721</v>
      </c>
      <c r="C13965" s="6">
        <f>IFERROR(__xludf.DUMMYFUNCTION("""COMPUTED_VALUE"""),0.33155092592642177)</f>
        <v>0.3315509259</v>
      </c>
      <c r="D13965" s="4">
        <f>IFERROR(__xludf.DUMMYFUNCTION("""COMPUTED_VALUE"""),13.063771)</f>
        <v>13.063771</v>
      </c>
      <c r="E13965" s="4">
        <f>IFERROR(__xludf.DUMMYFUNCTION("""COMPUTED_VALUE"""),80.250819)</f>
        <v>80.250819</v>
      </c>
      <c r="F13965" s="4">
        <f>IFERROR(__xludf.DUMMYFUNCTION("""COMPUTED_VALUE"""),805.0)</f>
        <v>805</v>
      </c>
      <c r="G13965" s="4">
        <f>IFERROR(__xludf.DUMMYFUNCTION("""COMPUTED_VALUE"""),0.0)</f>
        <v>0</v>
      </c>
      <c r="H13965" s="4"/>
      <c r="I13965" s="4"/>
    </row>
    <row r="13966">
      <c r="A13966" s="4" t="str">
        <f>IFERROR(__xludf.DUMMYFUNCTION("""COMPUTED_VALUE"""),"cas_hmw")</f>
        <v>cas_hmw</v>
      </c>
      <c r="B13966" s="5">
        <f>IFERROR(__xludf.DUMMYFUNCTION("""COMPUTED_VALUE"""),44721.0)</f>
        <v>44721</v>
      </c>
      <c r="C13966" s="6">
        <f>IFERROR(__xludf.DUMMYFUNCTION("""COMPUTED_VALUE"""),0.33177083333430346)</f>
        <v>0.3317708333</v>
      </c>
      <c r="D13966" s="4">
        <f>IFERROR(__xludf.DUMMYFUNCTION("""COMPUTED_VALUE"""),13.063771)</f>
        <v>13.063771</v>
      </c>
      <c r="E13966" s="4">
        <f>IFERROR(__xludf.DUMMYFUNCTION("""COMPUTED_VALUE"""),80.250819)</f>
        <v>80.250819</v>
      </c>
      <c r="F13966" s="4">
        <f>IFERROR(__xludf.DUMMYFUNCTION("""COMPUTED_VALUE"""),805.0)</f>
        <v>805</v>
      </c>
      <c r="G13966" s="4">
        <f>IFERROR(__xludf.DUMMYFUNCTION("""COMPUTED_VALUE"""),0.0)</f>
        <v>0</v>
      </c>
      <c r="H13966" s="4"/>
      <c r="I13966" s="4"/>
    </row>
    <row r="13967">
      <c r="A13967" s="4" t="str">
        <f>IFERROR(__xludf.DUMMYFUNCTION("""COMPUTED_VALUE"""),"cas_hmw")</f>
        <v>cas_hmw</v>
      </c>
      <c r="B13967" s="5">
        <f>IFERROR(__xludf.DUMMYFUNCTION("""COMPUTED_VALUE"""),44721.0)</f>
        <v>44721</v>
      </c>
      <c r="C13967" s="6">
        <f>IFERROR(__xludf.DUMMYFUNCTION("""COMPUTED_VALUE"""),0.33181712963050813)</f>
        <v>0.3318171296</v>
      </c>
      <c r="D13967" s="4">
        <f>IFERROR(__xludf.DUMMYFUNCTION("""COMPUTED_VALUE"""),13.063771)</f>
        <v>13.063771</v>
      </c>
      <c r="E13967" s="4">
        <f>IFERROR(__xludf.DUMMYFUNCTION("""COMPUTED_VALUE"""),80.250819)</f>
        <v>80.250819</v>
      </c>
      <c r="F13967" s="4">
        <f>IFERROR(__xludf.DUMMYFUNCTION("""COMPUTED_VALUE"""),805.0)</f>
        <v>805</v>
      </c>
      <c r="G13967" s="4">
        <f>IFERROR(__xludf.DUMMYFUNCTION("""COMPUTED_VALUE"""),0.0)</f>
        <v>0</v>
      </c>
      <c r="H13967" s="4"/>
      <c r="I13967" s="4"/>
    </row>
    <row r="13968">
      <c r="A13968" s="4" t="str">
        <f>IFERROR(__xludf.DUMMYFUNCTION("""COMPUTED_VALUE"""),"cas_hmw")</f>
        <v>cas_hmw</v>
      </c>
      <c r="B13968" s="5">
        <f>IFERROR(__xludf.DUMMYFUNCTION("""COMPUTED_VALUE"""),44721.0)</f>
        <v>44721</v>
      </c>
      <c r="C13968" s="6">
        <f>IFERROR(__xludf.DUMMYFUNCTION("""COMPUTED_VALUE"""),0.3352199074070086)</f>
        <v>0.3352199074</v>
      </c>
      <c r="D13968" s="4">
        <f>IFERROR(__xludf.DUMMYFUNCTION("""COMPUTED_VALUE"""),12.875591)</f>
        <v>12.875591</v>
      </c>
      <c r="E13968" s="4">
        <f>IFERROR(__xludf.DUMMYFUNCTION("""COMPUTED_VALUE"""),80.082913)</f>
        <v>80.082913</v>
      </c>
      <c r="F13968" s="4">
        <f>IFERROR(__xludf.DUMMYFUNCTION("""COMPUTED_VALUE"""),2846.0)</f>
        <v>2846</v>
      </c>
      <c r="G13968" s="4">
        <f>IFERROR(__xludf.DUMMYFUNCTION("""COMPUTED_VALUE"""),0.0)</f>
        <v>0</v>
      </c>
      <c r="H13968" s="4"/>
      <c r="I13968" s="4"/>
    </row>
    <row r="13969">
      <c r="A13969" s="4" t="str">
        <f>IFERROR(__xludf.DUMMYFUNCTION("""COMPUTED_VALUE"""),"cas_hmw")</f>
        <v>cas_hmw</v>
      </c>
      <c r="B13969" s="5">
        <f>IFERROR(__xludf.DUMMYFUNCTION("""COMPUTED_VALUE"""),44721.0)</f>
        <v>44721</v>
      </c>
      <c r="C13969" s="6">
        <f>IFERROR(__xludf.DUMMYFUNCTION("""COMPUTED_VALUE"""),0.33693287037021946)</f>
        <v>0.3369328704</v>
      </c>
      <c r="D13969" s="4">
        <f>IFERROR(__xludf.DUMMYFUNCTION("""COMPUTED_VALUE"""),13.063778)</f>
        <v>13.063778</v>
      </c>
      <c r="E13969" s="4">
        <f>IFERROR(__xludf.DUMMYFUNCTION("""COMPUTED_VALUE"""),80.250737)</f>
        <v>80.250737</v>
      </c>
      <c r="F13969" s="4">
        <f>IFERROR(__xludf.DUMMYFUNCTION("""COMPUTED_VALUE"""),805.0)</f>
        <v>805</v>
      </c>
      <c r="G13969" s="4">
        <f>IFERROR(__xludf.DUMMYFUNCTION("""COMPUTED_VALUE"""),0.0)</f>
        <v>0</v>
      </c>
      <c r="H13969" s="4"/>
      <c r="I13969" s="4"/>
    </row>
    <row r="13970">
      <c r="A13970" s="4" t="str">
        <f>IFERROR(__xludf.DUMMYFUNCTION("""COMPUTED_VALUE"""),"cas_hmw")</f>
        <v>cas_hmw</v>
      </c>
      <c r="B13970" s="5">
        <f>IFERROR(__xludf.DUMMYFUNCTION("""COMPUTED_VALUE"""),44721.0)</f>
        <v>44721</v>
      </c>
      <c r="C13970" s="6">
        <f>IFERROR(__xludf.DUMMYFUNCTION("""COMPUTED_VALUE"""),0.33805555555591127)</f>
        <v>0.3380555556</v>
      </c>
      <c r="D13970" s="4">
        <f>IFERROR(__xludf.DUMMYFUNCTION("""COMPUTED_VALUE"""),13.06373)</f>
        <v>13.06373</v>
      </c>
      <c r="E13970" s="4">
        <f>IFERROR(__xludf.DUMMYFUNCTION("""COMPUTED_VALUE"""),80.250828)</f>
        <v>80.250828</v>
      </c>
      <c r="F13970" s="4">
        <f>IFERROR(__xludf.DUMMYFUNCTION("""COMPUTED_VALUE"""),805.0)</f>
        <v>805</v>
      </c>
      <c r="G13970" s="4">
        <f>IFERROR(__xludf.DUMMYFUNCTION("""COMPUTED_VALUE"""),0.0)</f>
        <v>0</v>
      </c>
      <c r="H13970" s="4"/>
      <c r="I13970" s="4"/>
    </row>
    <row r="13971">
      <c r="A13971" s="4" t="str">
        <f>IFERROR(__xludf.DUMMYFUNCTION("""COMPUTED_VALUE"""),"cas_hmw")</f>
        <v>cas_hmw</v>
      </c>
      <c r="B13971" s="5">
        <f>IFERROR(__xludf.DUMMYFUNCTION("""COMPUTED_VALUE"""),44721.0)</f>
        <v>44721</v>
      </c>
      <c r="C13971" s="6">
        <f>IFERROR(__xludf.DUMMYFUNCTION("""COMPUTED_VALUE"""),0.3385069444448163)</f>
        <v>0.3385069444</v>
      </c>
      <c r="D13971" s="4">
        <f>IFERROR(__xludf.DUMMYFUNCTION("""COMPUTED_VALUE"""),12.87563)</f>
        <v>12.87563</v>
      </c>
      <c r="E13971" s="4">
        <f>IFERROR(__xludf.DUMMYFUNCTION("""COMPUTED_VALUE"""),80.082909)</f>
        <v>80.082909</v>
      </c>
      <c r="F13971" s="4">
        <f>IFERROR(__xludf.DUMMYFUNCTION("""COMPUTED_VALUE"""),2846.0)</f>
        <v>2846</v>
      </c>
      <c r="G13971" s="4">
        <f>IFERROR(__xludf.DUMMYFUNCTION("""COMPUTED_VALUE"""),0.0)</f>
        <v>0</v>
      </c>
      <c r="H13971" s="4"/>
      <c r="I13971" s="4"/>
    </row>
    <row r="13972">
      <c r="A13972" s="4" t="str">
        <f>IFERROR(__xludf.DUMMYFUNCTION("""COMPUTED_VALUE"""),"cas_hmw")</f>
        <v>cas_hmw</v>
      </c>
      <c r="B13972" s="5">
        <f>IFERROR(__xludf.DUMMYFUNCTION("""COMPUTED_VALUE"""),44721.0)</f>
        <v>44721</v>
      </c>
      <c r="C13972" s="6">
        <f>IFERROR(__xludf.DUMMYFUNCTION("""COMPUTED_VALUE"""),0.3385069444448163)</f>
        <v>0.3385069444</v>
      </c>
      <c r="D13972" s="4">
        <f>IFERROR(__xludf.DUMMYFUNCTION("""COMPUTED_VALUE"""),12.87563)</f>
        <v>12.87563</v>
      </c>
      <c r="E13972" s="4">
        <f>IFERROR(__xludf.DUMMYFUNCTION("""COMPUTED_VALUE"""),80.082909)</f>
        <v>80.082909</v>
      </c>
      <c r="F13972" s="4">
        <f>IFERROR(__xludf.DUMMYFUNCTION("""COMPUTED_VALUE"""),2846.0)</f>
        <v>2846</v>
      </c>
      <c r="G13972" s="4">
        <f>IFERROR(__xludf.DUMMYFUNCTION("""COMPUTED_VALUE"""),0.0)</f>
        <v>0</v>
      </c>
      <c r="H13972" s="4"/>
      <c r="I13972" s="4"/>
    </row>
    <row r="13973">
      <c r="A13973" s="4" t="str">
        <f>IFERROR(__xludf.DUMMYFUNCTION("""COMPUTED_VALUE"""),"cas_hmw")</f>
        <v>cas_hmw</v>
      </c>
      <c r="B13973" s="5">
        <f>IFERROR(__xludf.DUMMYFUNCTION("""COMPUTED_VALUE"""),44721.0)</f>
        <v>44721</v>
      </c>
      <c r="C13973" s="6">
        <f>IFERROR(__xludf.DUMMYFUNCTION("""COMPUTED_VALUE"""),0.3385069444448163)</f>
        <v>0.3385069444</v>
      </c>
      <c r="D13973" s="4">
        <f>IFERROR(__xludf.DUMMYFUNCTION("""COMPUTED_VALUE"""),12.87563)</f>
        <v>12.87563</v>
      </c>
      <c r="E13973" s="4">
        <f>IFERROR(__xludf.DUMMYFUNCTION("""COMPUTED_VALUE"""),80.082909)</f>
        <v>80.082909</v>
      </c>
      <c r="F13973" s="4">
        <f>IFERROR(__xludf.DUMMYFUNCTION("""COMPUTED_VALUE"""),2846.0)</f>
        <v>2846</v>
      </c>
      <c r="G13973" s="4">
        <f>IFERROR(__xludf.DUMMYFUNCTION("""COMPUTED_VALUE"""),0.0)</f>
        <v>0</v>
      </c>
      <c r="H13973" s="4"/>
      <c r="I13973" s="4"/>
    </row>
    <row r="13974">
      <c r="A13974" s="4" t="str">
        <f>IFERROR(__xludf.DUMMYFUNCTION("""COMPUTED_VALUE"""),"cas_hmw")</f>
        <v>cas_hmw</v>
      </c>
      <c r="B13974" s="5">
        <f>IFERROR(__xludf.DUMMYFUNCTION("""COMPUTED_VALUE"""),44721.0)</f>
        <v>44721</v>
      </c>
      <c r="C13974" s="6">
        <f>IFERROR(__xludf.DUMMYFUNCTION("""COMPUTED_VALUE"""),0.338518518517958)</f>
        <v>0.3385185185</v>
      </c>
      <c r="D13974" s="4">
        <f>IFERROR(__xludf.DUMMYFUNCTION("""COMPUTED_VALUE"""),12.87563)</f>
        <v>12.87563</v>
      </c>
      <c r="E13974" s="4">
        <f>IFERROR(__xludf.DUMMYFUNCTION("""COMPUTED_VALUE"""),80.082909)</f>
        <v>80.082909</v>
      </c>
      <c r="F13974" s="4">
        <f>IFERROR(__xludf.DUMMYFUNCTION("""COMPUTED_VALUE"""),2846.0)</f>
        <v>2846</v>
      </c>
      <c r="G13974" s="4">
        <f>IFERROR(__xludf.DUMMYFUNCTION("""COMPUTED_VALUE"""),0.0)</f>
        <v>0</v>
      </c>
      <c r="H13974" s="4"/>
      <c r="I13974" s="4"/>
    </row>
    <row r="13975">
      <c r="A13975" s="4" t="str">
        <f>IFERROR(__xludf.DUMMYFUNCTION("""COMPUTED_VALUE"""),"cas_hmw")</f>
        <v>cas_hmw</v>
      </c>
      <c r="B13975" s="5">
        <f>IFERROR(__xludf.DUMMYFUNCTION("""COMPUTED_VALUE"""),44721.0)</f>
        <v>44721</v>
      </c>
      <c r="C13975" s="6">
        <f>IFERROR(__xludf.DUMMYFUNCTION("""COMPUTED_VALUE"""),0.3385648148141627)</f>
        <v>0.3385648148</v>
      </c>
      <c r="D13975" s="4">
        <f>IFERROR(__xludf.DUMMYFUNCTION("""COMPUTED_VALUE"""),12.87563)</f>
        <v>12.87563</v>
      </c>
      <c r="E13975" s="4">
        <f>IFERROR(__xludf.DUMMYFUNCTION("""COMPUTED_VALUE"""),80.082909)</f>
        <v>80.082909</v>
      </c>
      <c r="F13975" s="4">
        <f>IFERROR(__xludf.DUMMYFUNCTION("""COMPUTED_VALUE"""),2846.0)</f>
        <v>2846</v>
      </c>
      <c r="G13975" s="4">
        <f>IFERROR(__xludf.DUMMYFUNCTION("""COMPUTED_VALUE"""),0.0)</f>
        <v>0</v>
      </c>
      <c r="H13975" s="4"/>
      <c r="I13975" s="4"/>
    </row>
    <row r="13976">
      <c r="A13976" s="4" t="str">
        <f>IFERROR(__xludf.DUMMYFUNCTION("""COMPUTED_VALUE"""),"cas_hmw")</f>
        <v>cas_hmw</v>
      </c>
      <c r="B13976" s="5">
        <f>IFERROR(__xludf.DUMMYFUNCTION("""COMPUTED_VALUE"""),44721.0)</f>
        <v>44721</v>
      </c>
      <c r="C13976" s="6">
        <f>IFERROR(__xludf.DUMMYFUNCTION("""COMPUTED_VALUE"""),0.33857638888730435)</f>
        <v>0.3385763889</v>
      </c>
      <c r="D13976" s="4">
        <f>IFERROR(__xludf.DUMMYFUNCTION("""COMPUTED_VALUE"""),13.063821)</f>
        <v>13.063821</v>
      </c>
      <c r="E13976" s="4">
        <f>IFERROR(__xludf.DUMMYFUNCTION("""COMPUTED_VALUE"""),80.250806)</f>
        <v>80.250806</v>
      </c>
      <c r="F13976" s="4">
        <f>IFERROR(__xludf.DUMMYFUNCTION("""COMPUTED_VALUE"""),805.0)</f>
        <v>805</v>
      </c>
      <c r="G13976" s="4">
        <f>IFERROR(__xludf.DUMMYFUNCTION("""COMPUTED_VALUE"""),0.0)</f>
        <v>0</v>
      </c>
      <c r="H13976" s="4"/>
      <c r="I13976" s="4"/>
    </row>
    <row r="13977">
      <c r="A13977" s="4" t="str">
        <f>IFERROR(__xludf.DUMMYFUNCTION("""COMPUTED_VALUE"""),"cas_hmw")</f>
        <v>cas_hmw</v>
      </c>
      <c r="B13977" s="5">
        <f>IFERROR(__xludf.DUMMYFUNCTION("""COMPUTED_VALUE"""),44721.0)</f>
        <v>44721</v>
      </c>
      <c r="C13977" s="6">
        <f>IFERROR(__xludf.DUMMYFUNCTION("""COMPUTED_VALUE"""),0.3385995370372257)</f>
        <v>0.338599537</v>
      </c>
      <c r="D13977" s="4">
        <f>IFERROR(__xludf.DUMMYFUNCTION("""COMPUTED_VALUE"""),12.87563)</f>
        <v>12.87563</v>
      </c>
      <c r="E13977" s="4">
        <f>IFERROR(__xludf.DUMMYFUNCTION("""COMPUTED_VALUE"""),80.082909)</f>
        <v>80.082909</v>
      </c>
      <c r="F13977" s="4">
        <f>IFERROR(__xludf.DUMMYFUNCTION("""COMPUTED_VALUE"""),2846.0)</f>
        <v>2846</v>
      </c>
      <c r="G13977" s="4">
        <f>IFERROR(__xludf.DUMMYFUNCTION("""COMPUTED_VALUE"""),0.0)</f>
        <v>0</v>
      </c>
      <c r="H13977" s="4"/>
      <c r="I13977" s="4"/>
    </row>
    <row r="13978">
      <c r="A13978" s="4" t="str">
        <f>IFERROR(__xludf.DUMMYFUNCTION("""COMPUTED_VALUE"""),"cas_hmw")</f>
        <v>cas_hmw</v>
      </c>
      <c r="B13978" s="5">
        <f>IFERROR(__xludf.DUMMYFUNCTION("""COMPUTED_VALUE"""),44721.0)</f>
        <v>44721</v>
      </c>
      <c r="C13978" s="6">
        <f>IFERROR(__xludf.DUMMYFUNCTION("""COMPUTED_VALUE"""),0.33932870370335877)</f>
        <v>0.3393287037</v>
      </c>
      <c r="D13978" s="4">
        <f>IFERROR(__xludf.DUMMYFUNCTION("""COMPUTED_VALUE"""),13.063811)</f>
        <v>13.063811</v>
      </c>
      <c r="E13978" s="4">
        <f>IFERROR(__xludf.DUMMYFUNCTION("""COMPUTED_VALUE"""),80.250766)</f>
        <v>80.250766</v>
      </c>
      <c r="F13978" s="4">
        <f>IFERROR(__xludf.DUMMYFUNCTION("""COMPUTED_VALUE"""),805.0)</f>
        <v>805</v>
      </c>
      <c r="G13978" s="4">
        <f>IFERROR(__xludf.DUMMYFUNCTION("""COMPUTED_VALUE"""),0.0)</f>
        <v>0</v>
      </c>
      <c r="H13978" s="4"/>
      <c r="I13978" s="4"/>
    </row>
    <row r="13979">
      <c r="A13979" s="4" t="str">
        <f>IFERROR(__xludf.DUMMYFUNCTION("""COMPUTED_VALUE"""),"cas_hmw")</f>
        <v>cas_hmw</v>
      </c>
      <c r="B13979" s="5">
        <f>IFERROR(__xludf.DUMMYFUNCTION("""COMPUTED_VALUE"""),44721.0)</f>
        <v>44721</v>
      </c>
      <c r="C13979" s="6">
        <f>IFERROR(__xludf.DUMMYFUNCTION("""COMPUTED_VALUE"""),0.3396874999998545)</f>
        <v>0.3396875</v>
      </c>
      <c r="D13979" s="4">
        <f>IFERROR(__xludf.DUMMYFUNCTION("""COMPUTED_VALUE"""),12.875636)</f>
        <v>12.875636</v>
      </c>
      <c r="E13979" s="4">
        <f>IFERROR(__xludf.DUMMYFUNCTION("""COMPUTED_VALUE"""),80.0828)</f>
        <v>80.0828</v>
      </c>
      <c r="F13979" s="4">
        <f>IFERROR(__xludf.DUMMYFUNCTION("""COMPUTED_VALUE"""),2846.0)</f>
        <v>2846</v>
      </c>
      <c r="G13979" s="4">
        <f>IFERROR(__xludf.DUMMYFUNCTION("""COMPUTED_VALUE"""),0.0)</f>
        <v>0</v>
      </c>
      <c r="H13979" s="4"/>
      <c r="I13979" s="4"/>
    </row>
    <row r="13980">
      <c r="A13980" s="4" t="str">
        <f>IFERROR(__xludf.DUMMYFUNCTION("""COMPUTED_VALUE"""),"cas_hmw")</f>
        <v>cas_hmw</v>
      </c>
      <c r="B13980" s="5">
        <f>IFERROR(__xludf.DUMMYFUNCTION("""COMPUTED_VALUE"""),44721.0)</f>
        <v>44721</v>
      </c>
      <c r="C13980" s="6">
        <f>IFERROR(__xludf.DUMMYFUNCTION("""COMPUTED_VALUE"""),0.33980324074218515)</f>
        <v>0.3398032407</v>
      </c>
      <c r="D13980" s="4">
        <f>IFERROR(__xludf.DUMMYFUNCTION("""COMPUTED_VALUE"""),13.063784)</f>
        <v>13.063784</v>
      </c>
      <c r="E13980" s="4">
        <f>IFERROR(__xludf.DUMMYFUNCTION("""COMPUTED_VALUE"""),80.250803)</f>
        <v>80.250803</v>
      </c>
      <c r="F13980" s="4">
        <f>IFERROR(__xludf.DUMMYFUNCTION("""COMPUTED_VALUE"""),805.0)</f>
        <v>805</v>
      </c>
      <c r="G13980" s="4">
        <f>IFERROR(__xludf.DUMMYFUNCTION("""COMPUTED_VALUE"""),0.0)</f>
        <v>0</v>
      </c>
      <c r="H13980" s="4"/>
      <c r="I13980" s="4"/>
    </row>
    <row r="13981">
      <c r="A13981" s="4" t="str">
        <f>IFERROR(__xludf.DUMMYFUNCTION("""COMPUTED_VALUE"""),"cas_hmw")</f>
        <v>cas_hmw</v>
      </c>
      <c r="B13981" s="5">
        <f>IFERROR(__xludf.DUMMYFUNCTION("""COMPUTED_VALUE"""),44721.0)</f>
        <v>44721</v>
      </c>
      <c r="C13981" s="6">
        <f>IFERROR(__xludf.DUMMYFUNCTION("""COMPUTED_VALUE"""),0.3400347222232085)</f>
        <v>0.3400347222</v>
      </c>
      <c r="D13981" s="4">
        <f>IFERROR(__xludf.DUMMYFUNCTION("""COMPUTED_VALUE"""),13.063793)</f>
        <v>13.063793</v>
      </c>
      <c r="E13981" s="4">
        <f>IFERROR(__xludf.DUMMYFUNCTION("""COMPUTED_VALUE"""),80.250814)</f>
        <v>80.250814</v>
      </c>
      <c r="F13981" s="4">
        <f>IFERROR(__xludf.DUMMYFUNCTION("""COMPUTED_VALUE"""),805.0)</f>
        <v>805</v>
      </c>
      <c r="G13981" s="4">
        <f>IFERROR(__xludf.DUMMYFUNCTION("""COMPUTED_VALUE"""),0.0)</f>
        <v>0</v>
      </c>
      <c r="H13981" s="4"/>
      <c r="I13981" s="4"/>
    </row>
    <row r="13982">
      <c r="A13982" s="4" t="str">
        <f>IFERROR(__xludf.DUMMYFUNCTION("""COMPUTED_VALUE"""),"cas_hmw")</f>
        <v>cas_hmw</v>
      </c>
      <c r="B13982" s="5">
        <f>IFERROR(__xludf.DUMMYFUNCTION("""COMPUTED_VALUE"""),44721.0)</f>
        <v>44721</v>
      </c>
      <c r="C13982" s="6">
        <f>IFERROR(__xludf.DUMMYFUNCTION("""COMPUTED_VALUE"""),0.3401851851849642)</f>
        <v>0.3401851852</v>
      </c>
      <c r="D13982" s="4">
        <f>IFERROR(__xludf.DUMMYFUNCTION("""COMPUTED_VALUE"""),13.063793)</f>
        <v>13.063793</v>
      </c>
      <c r="E13982" s="4">
        <f>IFERROR(__xludf.DUMMYFUNCTION("""COMPUTED_VALUE"""),80.250814)</f>
        <v>80.250814</v>
      </c>
      <c r="F13982" s="4">
        <f>IFERROR(__xludf.DUMMYFUNCTION("""COMPUTED_VALUE"""),805.0)</f>
        <v>805</v>
      </c>
      <c r="G13982" s="4">
        <f>IFERROR(__xludf.DUMMYFUNCTION("""COMPUTED_VALUE"""),0.0)</f>
        <v>0</v>
      </c>
      <c r="H13982" s="4"/>
      <c r="I13982" s="4"/>
    </row>
    <row r="13983">
      <c r="A13983" s="4" t="str">
        <f>IFERROR(__xludf.DUMMYFUNCTION("""COMPUTED_VALUE"""),"cas_hmw")</f>
        <v>cas_hmw</v>
      </c>
      <c r="B13983" s="5">
        <f>IFERROR(__xludf.DUMMYFUNCTION("""COMPUTED_VALUE"""),44721.0)</f>
        <v>44721</v>
      </c>
      <c r="C13983" s="6">
        <f>IFERROR(__xludf.DUMMYFUNCTION("""COMPUTED_VALUE"""),0.3401967592581059)</f>
        <v>0.3401967593</v>
      </c>
      <c r="D13983" s="4">
        <f>IFERROR(__xludf.DUMMYFUNCTION("""COMPUTED_VALUE"""),12.87563)</f>
        <v>12.87563</v>
      </c>
      <c r="E13983" s="4">
        <f>IFERROR(__xludf.DUMMYFUNCTION("""COMPUTED_VALUE"""),80.082791)</f>
        <v>80.082791</v>
      </c>
      <c r="F13983" s="4">
        <f>IFERROR(__xludf.DUMMYFUNCTION("""COMPUTED_VALUE"""),2846.0)</f>
        <v>2846</v>
      </c>
      <c r="G13983" s="4">
        <f>IFERROR(__xludf.DUMMYFUNCTION("""COMPUTED_VALUE"""),0.0)</f>
        <v>0</v>
      </c>
      <c r="H13983" s="4"/>
      <c r="I13983" s="4"/>
    </row>
    <row r="13984">
      <c r="A13984" s="4" t="str">
        <f>IFERROR(__xludf.DUMMYFUNCTION("""COMPUTED_VALUE"""),"cas_hmw")</f>
        <v>cas_hmw</v>
      </c>
      <c r="B13984" s="5">
        <f>IFERROR(__xludf.DUMMYFUNCTION("""COMPUTED_VALUE"""),44721.0)</f>
        <v>44721</v>
      </c>
      <c r="C13984" s="6">
        <f>IFERROR(__xludf.DUMMYFUNCTION("""COMPUTED_VALUE"""),0.3402546296310902)</f>
        <v>0.3402546296</v>
      </c>
      <c r="D13984" s="4">
        <f>IFERROR(__xludf.DUMMYFUNCTION("""COMPUTED_VALUE"""),13.063793)</f>
        <v>13.063793</v>
      </c>
      <c r="E13984" s="4">
        <f>IFERROR(__xludf.DUMMYFUNCTION("""COMPUTED_VALUE"""),80.250808)</f>
        <v>80.250808</v>
      </c>
      <c r="F13984" s="4">
        <f>IFERROR(__xludf.DUMMYFUNCTION("""COMPUTED_VALUE"""),805.0)</f>
        <v>805</v>
      </c>
      <c r="G13984" s="4">
        <f>IFERROR(__xludf.DUMMYFUNCTION("""COMPUTED_VALUE"""),0.0)</f>
        <v>0</v>
      </c>
      <c r="H13984" s="4"/>
      <c r="I13984" s="4"/>
    </row>
    <row r="13985">
      <c r="A13985" s="4" t="str">
        <f>IFERROR(__xludf.DUMMYFUNCTION("""COMPUTED_VALUE"""),"cas_hmw")</f>
        <v>cas_hmw</v>
      </c>
      <c r="B13985" s="5">
        <f>IFERROR(__xludf.DUMMYFUNCTION("""COMPUTED_VALUE"""),44721.0)</f>
        <v>44721</v>
      </c>
      <c r="C13985" s="6">
        <f>IFERROR(__xludf.DUMMYFUNCTION("""COMPUTED_VALUE"""),0.34042824073912925)</f>
        <v>0.3404282407</v>
      </c>
      <c r="D13985" s="4">
        <f>IFERROR(__xludf.DUMMYFUNCTION("""COMPUTED_VALUE"""),13.063744)</f>
        <v>13.063744</v>
      </c>
      <c r="E13985" s="4">
        <f>IFERROR(__xludf.DUMMYFUNCTION("""COMPUTED_VALUE"""),80.250857)</f>
        <v>80.250857</v>
      </c>
      <c r="F13985" s="4">
        <f>IFERROR(__xludf.DUMMYFUNCTION("""COMPUTED_VALUE"""),805.0)</f>
        <v>805</v>
      </c>
      <c r="G13985" s="4">
        <f>IFERROR(__xludf.DUMMYFUNCTION("""COMPUTED_VALUE"""),0.0)</f>
        <v>0</v>
      </c>
      <c r="H13985" s="4"/>
      <c r="I13985" s="4"/>
    </row>
    <row r="13986">
      <c r="A13986" s="4" t="str">
        <f>IFERROR(__xludf.DUMMYFUNCTION("""COMPUTED_VALUE"""),"cas_hmw")</f>
        <v>cas_hmw</v>
      </c>
      <c r="B13986" s="5">
        <f>IFERROR(__xludf.DUMMYFUNCTION("""COMPUTED_VALUE"""),44721.0)</f>
        <v>44721</v>
      </c>
      <c r="C13986" s="6">
        <f>IFERROR(__xludf.DUMMYFUNCTION("""COMPUTED_VALUE"""),0.34067129629693227)</f>
        <v>0.3406712963</v>
      </c>
      <c r="D13986" s="4">
        <f>IFERROR(__xludf.DUMMYFUNCTION("""COMPUTED_VALUE"""),13.063737)</f>
        <v>13.063737</v>
      </c>
      <c r="E13986" s="4">
        <f>IFERROR(__xludf.DUMMYFUNCTION("""COMPUTED_VALUE"""),80.250852)</f>
        <v>80.250852</v>
      </c>
      <c r="F13986" s="4">
        <f>IFERROR(__xludf.DUMMYFUNCTION("""COMPUTED_VALUE"""),805.0)</f>
        <v>805</v>
      </c>
      <c r="G13986" s="4">
        <f>IFERROR(__xludf.DUMMYFUNCTION("""COMPUTED_VALUE"""),0.0)</f>
        <v>0</v>
      </c>
      <c r="H13986" s="4"/>
      <c r="I13986" s="4"/>
    </row>
    <row r="13987">
      <c r="A13987" s="4" t="str">
        <f>IFERROR(__xludf.DUMMYFUNCTION("""COMPUTED_VALUE"""),"cas_hmw")</f>
        <v>cas_hmw</v>
      </c>
      <c r="B13987" s="5">
        <f>IFERROR(__xludf.DUMMYFUNCTION("""COMPUTED_VALUE"""),44721.0)</f>
        <v>44721</v>
      </c>
      <c r="C13987" s="6">
        <f>IFERROR(__xludf.DUMMYFUNCTION("""COMPUTED_VALUE"""),0.3412847222207347)</f>
        <v>0.3412847222</v>
      </c>
      <c r="D13987" s="4">
        <f>IFERROR(__xludf.DUMMYFUNCTION("""COMPUTED_VALUE"""),13.063729)</f>
        <v>13.063729</v>
      </c>
      <c r="E13987" s="4">
        <f>IFERROR(__xludf.DUMMYFUNCTION("""COMPUTED_VALUE"""),80.250851)</f>
        <v>80.250851</v>
      </c>
      <c r="F13987" s="4">
        <f>IFERROR(__xludf.DUMMYFUNCTION("""COMPUTED_VALUE"""),805.0)</f>
        <v>805</v>
      </c>
      <c r="G13987" s="4">
        <f>IFERROR(__xludf.DUMMYFUNCTION("""COMPUTED_VALUE"""),0.0)</f>
        <v>0</v>
      </c>
      <c r="H13987" s="4"/>
      <c r="I13987" s="4"/>
    </row>
    <row r="13988">
      <c r="A13988" s="4" t="str">
        <f>IFERROR(__xludf.DUMMYFUNCTION("""COMPUTED_VALUE"""),"cas_hmw")</f>
        <v>cas_hmw</v>
      </c>
      <c r="B13988" s="5">
        <f>IFERROR(__xludf.DUMMYFUNCTION("""COMPUTED_VALUE"""),44721.0)</f>
        <v>44721</v>
      </c>
      <c r="C13988" s="6">
        <f>IFERROR(__xludf.DUMMYFUNCTION("""COMPUTED_VALUE"""),0.34143518518612836)</f>
        <v>0.3414351852</v>
      </c>
      <c r="D13988" s="4">
        <f>IFERROR(__xludf.DUMMYFUNCTION("""COMPUTED_VALUE"""),13.063727)</f>
        <v>13.063727</v>
      </c>
      <c r="E13988" s="4">
        <f>IFERROR(__xludf.DUMMYFUNCTION("""COMPUTED_VALUE"""),80.25082)</f>
        <v>80.25082</v>
      </c>
      <c r="F13988" s="4">
        <f>IFERROR(__xludf.DUMMYFUNCTION("""COMPUTED_VALUE"""),805.0)</f>
        <v>805</v>
      </c>
      <c r="G13988" s="4">
        <f>IFERROR(__xludf.DUMMYFUNCTION("""COMPUTED_VALUE"""),0.0)</f>
        <v>0</v>
      </c>
      <c r="H13988" s="4"/>
      <c r="I13988" s="4"/>
    </row>
    <row r="13989">
      <c r="A13989" s="4" t="str">
        <f>IFERROR(__xludf.DUMMYFUNCTION("""COMPUTED_VALUE"""),"cas_hmw")</f>
        <v>cas_hmw</v>
      </c>
      <c r="B13989" s="5">
        <f>IFERROR(__xludf.DUMMYFUNCTION("""COMPUTED_VALUE"""),44721.0)</f>
        <v>44721</v>
      </c>
      <c r="C13989" s="6">
        <f>IFERROR(__xludf.DUMMYFUNCTION("""COMPUTED_VALUE"""),0.34216435185226146)</f>
        <v>0.3421643519</v>
      </c>
      <c r="D13989" s="4">
        <f>IFERROR(__xludf.DUMMYFUNCTION("""COMPUTED_VALUE"""),13.063784)</f>
        <v>13.063784</v>
      </c>
      <c r="E13989" s="4">
        <f>IFERROR(__xludf.DUMMYFUNCTION("""COMPUTED_VALUE"""),80.250802)</f>
        <v>80.250802</v>
      </c>
      <c r="F13989" s="4">
        <f>IFERROR(__xludf.DUMMYFUNCTION("""COMPUTED_VALUE"""),805.0)</f>
        <v>805</v>
      </c>
      <c r="G13989" s="4">
        <f>IFERROR(__xludf.DUMMYFUNCTION("""COMPUTED_VALUE"""),0.0)</f>
        <v>0</v>
      </c>
      <c r="H13989" s="4"/>
      <c r="I13989" s="4"/>
    </row>
    <row r="13990">
      <c r="A13990" s="4" t="str">
        <f>IFERROR(__xludf.DUMMYFUNCTION("""COMPUTED_VALUE"""),"cas_hmw")</f>
        <v>cas_hmw</v>
      </c>
      <c r="B13990" s="5">
        <f>IFERROR(__xludf.DUMMYFUNCTION("""COMPUTED_VALUE"""),44721.0)</f>
        <v>44721</v>
      </c>
      <c r="C13990" s="6">
        <f>IFERROR(__xludf.DUMMYFUNCTION("""COMPUTED_VALUE"""),0.3424305555563478)</f>
        <v>0.3424305556</v>
      </c>
      <c r="D13990" s="4">
        <f>IFERROR(__xludf.DUMMYFUNCTION("""COMPUTED_VALUE"""),12.875633)</f>
        <v>12.875633</v>
      </c>
      <c r="E13990" s="4">
        <f>IFERROR(__xludf.DUMMYFUNCTION("""COMPUTED_VALUE"""),80.082917)</f>
        <v>80.082917</v>
      </c>
      <c r="F13990" s="4">
        <f>IFERROR(__xludf.DUMMYFUNCTION("""COMPUTED_VALUE"""),2846.0)</f>
        <v>2846</v>
      </c>
      <c r="G13990" s="4">
        <f>IFERROR(__xludf.DUMMYFUNCTION("""COMPUTED_VALUE"""),0.0)</f>
        <v>0</v>
      </c>
      <c r="H13990" s="4"/>
      <c r="I13990" s="4"/>
    </row>
    <row r="13991">
      <c r="A13991" s="4" t="str">
        <f>IFERROR(__xludf.DUMMYFUNCTION("""COMPUTED_VALUE"""),"cas_hmw")</f>
        <v>cas_hmw</v>
      </c>
      <c r="B13991" s="5">
        <f>IFERROR(__xludf.DUMMYFUNCTION("""COMPUTED_VALUE"""),44721.0)</f>
        <v>44721</v>
      </c>
      <c r="C13991" s="6">
        <f>IFERROR(__xludf.DUMMYFUNCTION("""COMPUTED_VALUE"""),0.3425925925912452)</f>
        <v>0.3425925926</v>
      </c>
      <c r="D13991" s="4">
        <f>IFERROR(__xludf.DUMMYFUNCTION("""COMPUTED_VALUE"""),12.875633)</f>
        <v>12.875633</v>
      </c>
      <c r="E13991" s="4">
        <f>IFERROR(__xludf.DUMMYFUNCTION("""COMPUTED_VALUE"""),80.082917)</f>
        <v>80.082917</v>
      </c>
      <c r="F13991" s="4">
        <f>IFERROR(__xludf.DUMMYFUNCTION("""COMPUTED_VALUE"""),2846.0)</f>
        <v>2846</v>
      </c>
      <c r="G13991" s="4">
        <f>IFERROR(__xludf.DUMMYFUNCTION("""COMPUTED_VALUE"""),0.0)</f>
        <v>0</v>
      </c>
      <c r="H13991" s="4"/>
      <c r="I13991" s="4"/>
    </row>
    <row r="13992">
      <c r="A13992" s="4" t="str">
        <f>IFERROR(__xludf.DUMMYFUNCTION("""COMPUTED_VALUE"""),"cas_hmw")</f>
        <v>cas_hmw</v>
      </c>
      <c r="B13992" s="5">
        <f>IFERROR(__xludf.DUMMYFUNCTION("""COMPUTED_VALUE"""),44721.0)</f>
        <v>44721</v>
      </c>
      <c r="C13992" s="6">
        <f>IFERROR(__xludf.DUMMYFUNCTION("""COMPUTED_VALUE"""),0.34328703703795327)</f>
        <v>0.343287037</v>
      </c>
      <c r="D13992" s="4">
        <f>IFERROR(__xludf.DUMMYFUNCTION("""COMPUTED_VALUE"""),13.063827)</f>
        <v>13.063827</v>
      </c>
      <c r="E13992" s="4">
        <f>IFERROR(__xludf.DUMMYFUNCTION("""COMPUTED_VALUE"""),80.250869)</f>
        <v>80.250869</v>
      </c>
      <c r="F13992" s="4">
        <f>IFERROR(__xludf.DUMMYFUNCTION("""COMPUTED_VALUE"""),805.0)</f>
        <v>805</v>
      </c>
      <c r="G13992" s="4">
        <f>IFERROR(__xludf.DUMMYFUNCTION("""COMPUTED_VALUE"""),0.0)</f>
        <v>0</v>
      </c>
      <c r="H13992" s="4"/>
      <c r="I13992" s="4"/>
    </row>
    <row r="13993">
      <c r="A13993" s="4" t="str">
        <f>IFERROR(__xludf.DUMMYFUNCTION("""COMPUTED_VALUE"""),"cas_hmw")</f>
        <v>cas_hmw</v>
      </c>
      <c r="B13993" s="5">
        <f>IFERROR(__xludf.DUMMYFUNCTION("""COMPUTED_VALUE"""),44721.0)</f>
        <v>44721</v>
      </c>
      <c r="C13993" s="6">
        <f>IFERROR(__xludf.DUMMYFUNCTION("""COMPUTED_VALUE"""),0.343611111111386)</f>
        <v>0.3436111111</v>
      </c>
      <c r="D13993" s="4">
        <f>IFERROR(__xludf.DUMMYFUNCTION("""COMPUTED_VALUE"""),12.876007)</f>
        <v>12.876007</v>
      </c>
      <c r="E13993" s="4">
        <f>IFERROR(__xludf.DUMMYFUNCTION("""COMPUTED_VALUE"""),80.083446)</f>
        <v>80.083446</v>
      </c>
      <c r="F13993" s="4">
        <f>IFERROR(__xludf.DUMMYFUNCTION("""COMPUTED_VALUE"""),2846.0)</f>
        <v>2846</v>
      </c>
      <c r="G13993" s="4">
        <f>IFERROR(__xludf.DUMMYFUNCTION("""COMPUTED_VALUE"""),9.0)</f>
        <v>9</v>
      </c>
      <c r="H13993" s="4"/>
      <c r="I13993" s="4"/>
    </row>
    <row r="13994">
      <c r="A13994" s="4" t="str">
        <f>IFERROR(__xludf.DUMMYFUNCTION("""COMPUTED_VALUE"""),"cas_hmw")</f>
        <v>cas_hmw</v>
      </c>
      <c r="B13994" s="5">
        <f>IFERROR(__xludf.DUMMYFUNCTION("""COMPUTED_VALUE"""),44721.0)</f>
        <v>44721</v>
      </c>
      <c r="C13994" s="6">
        <f>IFERROR(__xludf.DUMMYFUNCTION("""COMPUTED_VALUE"""),0.3454629629632109)</f>
        <v>0.345462963</v>
      </c>
      <c r="D13994" s="4">
        <f>IFERROR(__xludf.DUMMYFUNCTION("""COMPUTED_VALUE"""),12.908782)</f>
        <v>12.908782</v>
      </c>
      <c r="E13994" s="4">
        <f>IFERROR(__xludf.DUMMYFUNCTION("""COMPUTED_VALUE"""),80.098056)</f>
        <v>80.098056</v>
      </c>
      <c r="F13994" s="4">
        <f>IFERROR(__xludf.DUMMYFUNCTION("""COMPUTED_VALUE"""),2846.0)</f>
        <v>2846</v>
      </c>
      <c r="G13994" s="4">
        <f>IFERROR(__xludf.DUMMYFUNCTION("""COMPUTED_VALUE"""),33.0)</f>
        <v>33</v>
      </c>
      <c r="H13994" s="4"/>
      <c r="I13994" s="4"/>
    </row>
    <row r="13995">
      <c r="A13995" s="4" t="str">
        <f>IFERROR(__xludf.DUMMYFUNCTION("""COMPUTED_VALUE"""),"cas_hmw")</f>
        <v>cas_hmw</v>
      </c>
      <c r="B13995" s="5">
        <f>IFERROR(__xludf.DUMMYFUNCTION("""COMPUTED_VALUE"""),44721.0)</f>
        <v>44721</v>
      </c>
      <c r="C13995" s="6">
        <f>IFERROR(__xludf.DUMMYFUNCTION("""COMPUTED_VALUE"""),0.34547453703635256)</f>
        <v>0.345474537</v>
      </c>
      <c r="D13995" s="4">
        <f>IFERROR(__xludf.DUMMYFUNCTION("""COMPUTED_VALUE"""),13.063816)</f>
        <v>13.063816</v>
      </c>
      <c r="E13995" s="4">
        <f>IFERROR(__xludf.DUMMYFUNCTION("""COMPUTED_VALUE"""),80.25078)</f>
        <v>80.25078</v>
      </c>
      <c r="F13995" s="4">
        <f>IFERROR(__xludf.DUMMYFUNCTION("""COMPUTED_VALUE"""),805.0)</f>
        <v>805</v>
      </c>
      <c r="G13995" s="4">
        <f>IFERROR(__xludf.DUMMYFUNCTION("""COMPUTED_VALUE"""),0.0)</f>
        <v>0</v>
      </c>
      <c r="H13995" s="4"/>
      <c r="I13995" s="4"/>
    </row>
    <row r="13996">
      <c r="A13996" s="4" t="str">
        <f>IFERROR(__xludf.DUMMYFUNCTION("""COMPUTED_VALUE"""),"cas_hmw")</f>
        <v>cas_hmw</v>
      </c>
      <c r="B13996" s="5">
        <f>IFERROR(__xludf.DUMMYFUNCTION("""COMPUTED_VALUE"""),44721.0)</f>
        <v>44721</v>
      </c>
      <c r="C13996" s="6">
        <f>IFERROR(__xludf.DUMMYFUNCTION("""COMPUTED_VALUE"""),0.34547453703635256)</f>
        <v>0.345474537</v>
      </c>
      <c r="D13996" s="4">
        <f>IFERROR(__xludf.DUMMYFUNCTION("""COMPUTED_VALUE"""),12.908782)</f>
        <v>12.908782</v>
      </c>
      <c r="E13996" s="4">
        <f>IFERROR(__xludf.DUMMYFUNCTION("""COMPUTED_VALUE"""),80.098056)</f>
        <v>80.098056</v>
      </c>
      <c r="F13996" s="4">
        <f>IFERROR(__xludf.DUMMYFUNCTION("""COMPUTED_VALUE"""),2846.0)</f>
        <v>2846</v>
      </c>
      <c r="G13996" s="4">
        <f>IFERROR(__xludf.DUMMYFUNCTION("""COMPUTED_VALUE"""),33.0)</f>
        <v>33</v>
      </c>
      <c r="H13996" s="4"/>
      <c r="I13996" s="4"/>
    </row>
    <row r="13997">
      <c r="A13997" s="4" t="str">
        <f>IFERROR(__xludf.DUMMYFUNCTION("""COMPUTED_VALUE"""),"cas_hmw")</f>
        <v>cas_hmw</v>
      </c>
      <c r="B13997" s="5">
        <f>IFERROR(__xludf.DUMMYFUNCTION("""COMPUTED_VALUE"""),44721.0)</f>
        <v>44721</v>
      </c>
      <c r="C13997" s="6">
        <f>IFERROR(__xludf.DUMMYFUNCTION("""COMPUTED_VALUE"""),0.34548611110949423)</f>
        <v>0.3454861111</v>
      </c>
      <c r="D13997" s="4">
        <f>IFERROR(__xludf.DUMMYFUNCTION("""COMPUTED_VALUE"""),12.908782)</f>
        <v>12.908782</v>
      </c>
      <c r="E13997" s="4">
        <f>IFERROR(__xludf.DUMMYFUNCTION("""COMPUTED_VALUE"""),80.098056)</f>
        <v>80.098056</v>
      </c>
      <c r="F13997" s="4">
        <f>IFERROR(__xludf.DUMMYFUNCTION("""COMPUTED_VALUE"""),2846.0)</f>
        <v>2846</v>
      </c>
      <c r="G13997" s="4">
        <f>IFERROR(__xludf.DUMMYFUNCTION("""COMPUTED_VALUE"""),33.0)</f>
        <v>33</v>
      </c>
      <c r="H13997" s="4"/>
      <c r="I13997" s="4"/>
    </row>
    <row r="13998">
      <c r="A13998" s="4" t="str">
        <f>IFERROR(__xludf.DUMMYFUNCTION("""COMPUTED_VALUE"""),"cas_hmw")</f>
        <v>cas_hmw</v>
      </c>
      <c r="B13998" s="5">
        <f>IFERROR(__xludf.DUMMYFUNCTION("""COMPUTED_VALUE"""),44721.0)</f>
        <v>44721</v>
      </c>
      <c r="C13998" s="6">
        <f>IFERROR(__xludf.DUMMYFUNCTION("""COMPUTED_VALUE"""),0.34572916666729725)</f>
        <v>0.3457291667</v>
      </c>
      <c r="D13998" s="4">
        <f>IFERROR(__xludf.DUMMYFUNCTION("""COMPUTED_VALUE"""),12.912168)</f>
        <v>12.912168</v>
      </c>
      <c r="E13998" s="4">
        <f>IFERROR(__xludf.DUMMYFUNCTION("""COMPUTED_VALUE"""),80.101401)</f>
        <v>80.101401</v>
      </c>
      <c r="F13998" s="4">
        <f>IFERROR(__xludf.DUMMYFUNCTION("""COMPUTED_VALUE"""),2846.0)</f>
        <v>2846</v>
      </c>
      <c r="G13998" s="4">
        <f>IFERROR(__xludf.DUMMYFUNCTION("""COMPUTED_VALUE"""),19.0)</f>
        <v>19</v>
      </c>
      <c r="H13998" s="4"/>
      <c r="I13998" s="4"/>
    </row>
    <row r="13999">
      <c r="A13999" s="4" t="str">
        <f>IFERROR(__xludf.DUMMYFUNCTION("""COMPUTED_VALUE"""),"cas_hmw")</f>
        <v>cas_hmw</v>
      </c>
      <c r="B13999" s="5">
        <f>IFERROR(__xludf.DUMMYFUNCTION("""COMPUTED_VALUE"""),44721.0)</f>
        <v>44721</v>
      </c>
      <c r="C13999" s="6">
        <f>IFERROR(__xludf.DUMMYFUNCTION("""COMPUTED_VALUE"""),0.34590277777897427)</f>
        <v>0.3459027778</v>
      </c>
      <c r="D13999" s="4">
        <f>IFERROR(__xludf.DUMMYFUNCTION("""COMPUTED_VALUE"""),13.063839)</f>
        <v>13.063839</v>
      </c>
      <c r="E13999" s="4">
        <f>IFERROR(__xludf.DUMMYFUNCTION("""COMPUTED_VALUE"""),80.250825)</f>
        <v>80.250825</v>
      </c>
      <c r="F13999" s="4">
        <f>IFERROR(__xludf.DUMMYFUNCTION("""COMPUTED_VALUE"""),805.0)</f>
        <v>805</v>
      </c>
      <c r="G13999" s="4">
        <f>IFERROR(__xludf.DUMMYFUNCTION("""COMPUTED_VALUE"""),0.0)</f>
        <v>0</v>
      </c>
      <c r="H13999" s="4"/>
      <c r="I13999" s="4"/>
    </row>
    <row r="14000">
      <c r="A14000" s="4" t="str">
        <f>IFERROR(__xludf.DUMMYFUNCTION("""COMPUTED_VALUE"""),"cas_hmw")</f>
        <v>cas_hmw</v>
      </c>
      <c r="B14000" s="5">
        <f>IFERROR(__xludf.DUMMYFUNCTION("""COMPUTED_VALUE"""),44721.0)</f>
        <v>44721</v>
      </c>
      <c r="C14000" s="6">
        <f>IFERROR(__xludf.DUMMYFUNCTION("""COMPUTED_VALUE"""),0.346157407406281)</f>
        <v>0.3461574074</v>
      </c>
      <c r="D14000" s="4">
        <f>IFERROR(__xludf.DUMMYFUNCTION("""COMPUTED_VALUE"""),13.063874)</f>
        <v>13.063874</v>
      </c>
      <c r="E14000" s="4">
        <f>IFERROR(__xludf.DUMMYFUNCTION("""COMPUTED_VALUE"""),80.250813)</f>
        <v>80.250813</v>
      </c>
      <c r="F14000" s="4">
        <f>IFERROR(__xludf.DUMMYFUNCTION("""COMPUTED_VALUE"""),805.0)</f>
        <v>805</v>
      </c>
      <c r="G14000" s="4">
        <f>IFERROR(__xludf.DUMMYFUNCTION("""COMPUTED_VALUE"""),0.0)</f>
        <v>0</v>
      </c>
      <c r="H14000" s="4"/>
      <c r="I14000" s="4"/>
    </row>
    <row r="14001">
      <c r="A14001" s="4" t="str">
        <f>IFERROR(__xludf.DUMMYFUNCTION("""COMPUTED_VALUE"""),"cas_hmw")</f>
        <v>cas_hmw</v>
      </c>
      <c r="B14001" s="5">
        <f>IFERROR(__xludf.DUMMYFUNCTION("""COMPUTED_VALUE"""),44721.0)</f>
        <v>44721</v>
      </c>
      <c r="C14001" s="6">
        <f>IFERROR(__xludf.DUMMYFUNCTION("""COMPUTED_VALUE"""),0.3466550925913907)</f>
        <v>0.3466550926</v>
      </c>
      <c r="D14001" s="4">
        <f>IFERROR(__xludf.DUMMYFUNCTION("""COMPUTED_VALUE"""),12.925726)</f>
        <v>12.925726</v>
      </c>
      <c r="E14001" s="4">
        <f>IFERROR(__xludf.DUMMYFUNCTION("""COMPUTED_VALUE"""),80.116707)</f>
        <v>80.116707</v>
      </c>
      <c r="F14001" s="4">
        <f>IFERROR(__xludf.DUMMYFUNCTION("""COMPUTED_VALUE"""),2846.0)</f>
        <v>2846</v>
      </c>
      <c r="G14001" s="4">
        <f>IFERROR(__xludf.DUMMYFUNCTION("""COMPUTED_VALUE"""),0.0)</f>
        <v>0</v>
      </c>
      <c r="H14001" s="4"/>
      <c r="I14001" s="4"/>
    </row>
    <row r="14002">
      <c r="A14002" s="4" t="str">
        <f>IFERROR(__xludf.DUMMYFUNCTION("""COMPUTED_VALUE"""),"cas_hmw")</f>
        <v>cas_hmw</v>
      </c>
      <c r="B14002" s="5">
        <f>IFERROR(__xludf.DUMMYFUNCTION("""COMPUTED_VALUE"""),44721.0)</f>
        <v>44721</v>
      </c>
      <c r="C14002" s="6">
        <f>IFERROR(__xludf.DUMMYFUNCTION("""COMPUTED_VALUE"""),0.3482175925928459)</f>
        <v>0.3482175926</v>
      </c>
      <c r="D14002" s="4">
        <f>IFERROR(__xludf.DUMMYFUNCTION("""COMPUTED_VALUE"""),13.063805)</f>
        <v>13.063805</v>
      </c>
      <c r="E14002" s="4">
        <f>IFERROR(__xludf.DUMMYFUNCTION("""COMPUTED_VALUE"""),80.250856)</f>
        <v>80.250856</v>
      </c>
      <c r="F14002" s="4">
        <f>IFERROR(__xludf.DUMMYFUNCTION("""COMPUTED_VALUE"""),805.0)</f>
        <v>805</v>
      </c>
      <c r="G14002" s="4">
        <f>IFERROR(__xludf.DUMMYFUNCTION("""COMPUTED_VALUE"""),0.0)</f>
        <v>0</v>
      </c>
      <c r="H14002" s="4"/>
      <c r="I14002" s="4"/>
    </row>
    <row r="14003">
      <c r="A14003" s="4" t="str">
        <f>IFERROR(__xludf.DUMMYFUNCTION("""COMPUTED_VALUE"""),"cas_hmw")</f>
        <v>cas_hmw</v>
      </c>
      <c r="B14003" s="5">
        <f>IFERROR(__xludf.DUMMYFUNCTION("""COMPUTED_VALUE"""),44721.0)</f>
        <v>44721</v>
      </c>
      <c r="C14003" s="6">
        <f>IFERROR(__xludf.DUMMYFUNCTION("""COMPUTED_VALUE"""),0.34961805555576575)</f>
        <v>0.3496180556</v>
      </c>
      <c r="D14003" s="4">
        <f>IFERROR(__xludf.DUMMYFUNCTION("""COMPUTED_VALUE"""),13.063791)</f>
        <v>13.063791</v>
      </c>
      <c r="E14003" s="4">
        <f>IFERROR(__xludf.DUMMYFUNCTION("""COMPUTED_VALUE"""),80.250866)</f>
        <v>80.250866</v>
      </c>
      <c r="F14003" s="4">
        <f>IFERROR(__xludf.DUMMYFUNCTION("""COMPUTED_VALUE"""),805.0)</f>
        <v>805</v>
      </c>
      <c r="G14003" s="4">
        <f>IFERROR(__xludf.DUMMYFUNCTION("""COMPUTED_VALUE"""),0.0)</f>
        <v>0</v>
      </c>
      <c r="H14003" s="4"/>
      <c r="I14003" s="4"/>
    </row>
    <row r="14004">
      <c r="A14004" s="4" t="str">
        <f>IFERROR(__xludf.DUMMYFUNCTION("""COMPUTED_VALUE"""),"cas_hmw")</f>
        <v>cas_hmw</v>
      </c>
      <c r="B14004" s="5">
        <f>IFERROR(__xludf.DUMMYFUNCTION("""COMPUTED_VALUE"""),44721.0)</f>
        <v>44721</v>
      </c>
      <c r="C14004" s="6">
        <f>IFERROR(__xludf.DUMMYFUNCTION("""COMPUTED_VALUE"""),0.35013888888715883)</f>
        <v>0.3501388889</v>
      </c>
      <c r="D14004" s="4">
        <f>IFERROR(__xludf.DUMMYFUNCTION("""COMPUTED_VALUE"""),13.063776)</f>
        <v>13.063776</v>
      </c>
      <c r="E14004" s="4">
        <f>IFERROR(__xludf.DUMMYFUNCTION("""COMPUTED_VALUE"""),80.250856)</f>
        <v>80.250856</v>
      </c>
      <c r="F14004" s="4">
        <f>IFERROR(__xludf.DUMMYFUNCTION("""COMPUTED_VALUE"""),805.0)</f>
        <v>805</v>
      </c>
      <c r="G14004" s="4">
        <f>IFERROR(__xludf.DUMMYFUNCTION("""COMPUTED_VALUE"""),0.0)</f>
        <v>0</v>
      </c>
      <c r="H14004" s="4"/>
      <c r="I14004" s="4"/>
    </row>
    <row r="14005">
      <c r="A14005" s="4" t="str">
        <f>IFERROR(__xludf.DUMMYFUNCTION("""COMPUTED_VALUE"""),"cas_hmw")</f>
        <v>cas_hmw</v>
      </c>
      <c r="B14005" s="5">
        <f>IFERROR(__xludf.DUMMYFUNCTION("""COMPUTED_VALUE"""),44721.0)</f>
        <v>44721</v>
      </c>
      <c r="C14005" s="6">
        <f>IFERROR(__xludf.DUMMYFUNCTION("""COMPUTED_VALUE"""),0.35023148148320615)</f>
        <v>0.3502314815</v>
      </c>
      <c r="D14005" s="4">
        <f>IFERROR(__xludf.DUMMYFUNCTION("""COMPUTED_VALUE"""),12.948585)</f>
        <v>12.948585</v>
      </c>
      <c r="E14005" s="4">
        <f>IFERROR(__xludf.DUMMYFUNCTION("""COMPUTED_VALUE"""),80.197613)</f>
        <v>80.197613</v>
      </c>
      <c r="F14005" s="4">
        <f>IFERROR(__xludf.DUMMYFUNCTION("""COMPUTED_VALUE"""),2846.0)</f>
        <v>2846</v>
      </c>
      <c r="G14005" s="4">
        <f>IFERROR(__xludf.DUMMYFUNCTION("""COMPUTED_VALUE"""),55.0)</f>
        <v>55</v>
      </c>
      <c r="H14005" s="4"/>
      <c r="I14005" s="4"/>
    </row>
    <row r="14006">
      <c r="A14006" s="4" t="str">
        <f>IFERROR(__xludf.DUMMYFUNCTION("""COMPUTED_VALUE"""),"cas_hmw")</f>
        <v>cas_hmw</v>
      </c>
      <c r="B14006" s="5">
        <f>IFERROR(__xludf.DUMMYFUNCTION("""COMPUTED_VALUE"""),44721.0)</f>
        <v>44721</v>
      </c>
      <c r="C14006" s="6">
        <f>IFERROR(__xludf.DUMMYFUNCTION("""COMPUTED_VALUE"""),0.35048611111051287)</f>
        <v>0.3504861111</v>
      </c>
      <c r="D14006" s="4">
        <f>IFERROR(__xludf.DUMMYFUNCTION("""COMPUTED_VALUE"""),12.94862)</f>
        <v>12.94862</v>
      </c>
      <c r="E14006" s="4">
        <f>IFERROR(__xludf.DUMMYFUNCTION("""COMPUTED_VALUE"""),80.200128)</f>
        <v>80.200128</v>
      </c>
      <c r="F14006" s="4">
        <f>IFERROR(__xludf.DUMMYFUNCTION("""COMPUTED_VALUE"""),2846.0)</f>
        <v>2846</v>
      </c>
      <c r="G14006" s="4">
        <f>IFERROR(__xludf.DUMMYFUNCTION("""COMPUTED_VALUE"""),39.0)</f>
        <v>39</v>
      </c>
      <c r="H14006" s="4"/>
      <c r="I14006" s="4"/>
    </row>
    <row r="14007">
      <c r="A14007" s="4" t="str">
        <f>IFERROR(__xludf.DUMMYFUNCTION("""COMPUTED_VALUE"""),"cas_hmw")</f>
        <v>cas_hmw</v>
      </c>
      <c r="B14007" s="5">
        <f>IFERROR(__xludf.DUMMYFUNCTION("""COMPUTED_VALUE"""),44721.0)</f>
        <v>44721</v>
      </c>
      <c r="C14007" s="6">
        <f>IFERROR(__xludf.DUMMYFUNCTION("""COMPUTED_VALUE"""),0.351493055553874)</f>
        <v>0.3514930556</v>
      </c>
      <c r="D14007" s="4">
        <f>IFERROR(__xludf.DUMMYFUNCTION("""COMPUTED_VALUE"""),12.964017)</f>
        <v>12.964017</v>
      </c>
      <c r="E14007" s="4">
        <f>IFERROR(__xludf.DUMMYFUNCTION("""COMPUTED_VALUE"""),80.216141)</f>
        <v>80.216141</v>
      </c>
      <c r="F14007" s="4">
        <f>IFERROR(__xludf.DUMMYFUNCTION("""COMPUTED_VALUE"""),2846.0)</f>
        <v>2846</v>
      </c>
      <c r="G14007" s="4">
        <f>IFERROR(__xludf.DUMMYFUNCTION("""COMPUTED_VALUE"""),36.0)</f>
        <v>36</v>
      </c>
      <c r="H14007" s="4"/>
      <c r="I14007" s="4"/>
    </row>
    <row r="14008">
      <c r="A14008" s="4" t="str">
        <f>IFERROR(__xludf.DUMMYFUNCTION("""COMPUTED_VALUE"""),"cas_hmw")</f>
        <v>cas_hmw</v>
      </c>
      <c r="B14008" s="5">
        <f>IFERROR(__xludf.DUMMYFUNCTION("""COMPUTED_VALUE"""),44721.0)</f>
        <v>44721</v>
      </c>
      <c r="C14008" s="6">
        <f>IFERROR(__xludf.DUMMYFUNCTION("""COMPUTED_VALUE"""),0.3517129629617557)</f>
        <v>0.351712963</v>
      </c>
      <c r="D14008" s="4">
        <f>IFERROR(__xludf.DUMMYFUNCTION("""COMPUTED_VALUE"""),12.970798)</f>
        <v>12.970798</v>
      </c>
      <c r="E14008" s="4">
        <f>IFERROR(__xludf.DUMMYFUNCTION("""COMPUTED_VALUE"""),80.218874)</f>
        <v>80.218874</v>
      </c>
      <c r="F14008" s="4">
        <f>IFERROR(__xludf.DUMMYFUNCTION("""COMPUTED_VALUE"""),2846.0)</f>
        <v>2846</v>
      </c>
      <c r="G14008" s="4">
        <f>IFERROR(__xludf.DUMMYFUNCTION("""COMPUTED_VALUE"""),51.0)</f>
        <v>51</v>
      </c>
      <c r="H14008" s="4"/>
      <c r="I14008" s="4"/>
    </row>
    <row r="14009">
      <c r="A14009" s="4" t="str">
        <f>IFERROR(__xludf.DUMMYFUNCTION("""COMPUTED_VALUE"""),"cas_hmw")</f>
        <v>cas_hmw</v>
      </c>
      <c r="B14009" s="5">
        <f>IFERROR(__xludf.DUMMYFUNCTION("""COMPUTED_VALUE"""),44721.0)</f>
        <v>44721</v>
      </c>
      <c r="C14009" s="6">
        <f>IFERROR(__xludf.DUMMYFUNCTION("""COMPUTED_VALUE"""),0.35299768518598285)</f>
        <v>0.3529976852</v>
      </c>
      <c r="D14009" s="4">
        <f>IFERROR(__xludf.DUMMYFUNCTION("""COMPUTED_VALUE"""),12.979753)</f>
        <v>12.979753</v>
      </c>
      <c r="E14009" s="4">
        <f>IFERROR(__xludf.DUMMYFUNCTION("""COMPUTED_VALUE"""),80.22725)</f>
        <v>80.22725</v>
      </c>
      <c r="F14009" s="4">
        <f>IFERROR(__xludf.DUMMYFUNCTION("""COMPUTED_VALUE"""),2846.0)</f>
        <v>2846</v>
      </c>
      <c r="G14009" s="4">
        <f>IFERROR(__xludf.DUMMYFUNCTION("""COMPUTED_VALUE"""),0.0)</f>
        <v>0</v>
      </c>
      <c r="H14009" s="4"/>
      <c r="I14009" s="4"/>
    </row>
    <row r="14010">
      <c r="A14010" s="4" t="str">
        <f>IFERROR(__xludf.DUMMYFUNCTION("""COMPUTED_VALUE"""),"cas_hmw")</f>
        <v>cas_hmw</v>
      </c>
      <c r="B14010" s="5">
        <f>IFERROR(__xludf.DUMMYFUNCTION("""COMPUTED_VALUE"""),44721.0)</f>
        <v>44721</v>
      </c>
      <c r="C14010" s="6">
        <f>IFERROR(__xludf.DUMMYFUNCTION("""COMPUTED_VALUE"""),0.35317129629765986)</f>
        <v>0.3531712963</v>
      </c>
      <c r="D14010" s="4">
        <f>IFERROR(__xludf.DUMMYFUNCTION("""COMPUTED_VALUE"""),12.979753)</f>
        <v>12.979753</v>
      </c>
      <c r="E14010" s="4">
        <f>IFERROR(__xludf.DUMMYFUNCTION("""COMPUTED_VALUE"""),80.22725)</f>
        <v>80.22725</v>
      </c>
      <c r="F14010" s="4">
        <f>IFERROR(__xludf.DUMMYFUNCTION("""COMPUTED_VALUE"""),2846.0)</f>
        <v>2846</v>
      </c>
      <c r="G14010" s="4">
        <f>IFERROR(__xludf.DUMMYFUNCTION("""COMPUTED_VALUE"""),0.0)</f>
        <v>0</v>
      </c>
      <c r="H14010" s="4"/>
      <c r="I14010" s="4"/>
    </row>
    <row r="14011">
      <c r="A14011" s="4" t="str">
        <f>IFERROR(__xludf.DUMMYFUNCTION("""COMPUTED_VALUE"""),"cas_hmw")</f>
        <v>cas_hmw</v>
      </c>
      <c r="B14011" s="5">
        <f>IFERROR(__xludf.DUMMYFUNCTION("""COMPUTED_VALUE"""),44721.0)</f>
        <v>44721</v>
      </c>
      <c r="C14011" s="6">
        <f>IFERROR(__xludf.DUMMYFUNCTION("""COMPUTED_VALUE"""),0.35329861110949423)</f>
        <v>0.3532986111</v>
      </c>
      <c r="D14011" s="4">
        <f>IFERROR(__xludf.DUMMYFUNCTION("""COMPUTED_VALUE"""),12.979753)</f>
        <v>12.979753</v>
      </c>
      <c r="E14011" s="4">
        <f>IFERROR(__xludf.DUMMYFUNCTION("""COMPUTED_VALUE"""),80.22725)</f>
        <v>80.22725</v>
      </c>
      <c r="F14011" s="4">
        <f>IFERROR(__xludf.DUMMYFUNCTION("""COMPUTED_VALUE"""),2846.0)</f>
        <v>2846</v>
      </c>
      <c r="G14011" s="4">
        <f>IFERROR(__xludf.DUMMYFUNCTION("""COMPUTED_VALUE"""),0.0)</f>
        <v>0</v>
      </c>
      <c r="H14011" s="4"/>
      <c r="I14011" s="4"/>
    </row>
    <row r="14012">
      <c r="A14012" s="4" t="str">
        <f>IFERROR(__xludf.DUMMYFUNCTION("""COMPUTED_VALUE"""),"cas_hmw")</f>
        <v>cas_hmw</v>
      </c>
      <c r="B14012" s="5">
        <f>IFERROR(__xludf.DUMMYFUNCTION("""COMPUTED_VALUE"""),44721.0)</f>
        <v>44721</v>
      </c>
      <c r="C14012" s="6">
        <f>IFERROR(__xludf.DUMMYFUNCTION("""COMPUTED_VALUE"""),0.35407407407547)</f>
        <v>0.3540740741</v>
      </c>
      <c r="D14012" s="4">
        <f>IFERROR(__xludf.DUMMYFUNCTION("""COMPUTED_VALUE"""),12.979753)</f>
        <v>12.979753</v>
      </c>
      <c r="E14012" s="4">
        <f>IFERROR(__xludf.DUMMYFUNCTION("""COMPUTED_VALUE"""),80.22725)</f>
        <v>80.22725</v>
      </c>
      <c r="F14012" s="4">
        <f>IFERROR(__xludf.DUMMYFUNCTION("""COMPUTED_VALUE"""),2846.0)</f>
        <v>2846</v>
      </c>
      <c r="G14012" s="4">
        <f>IFERROR(__xludf.DUMMYFUNCTION("""COMPUTED_VALUE"""),0.0)</f>
        <v>0</v>
      </c>
      <c r="H14012" s="4"/>
      <c r="I14012" s="4"/>
    </row>
    <row r="14013">
      <c r="A14013" s="4" t="str">
        <f>IFERROR(__xludf.DUMMYFUNCTION("""COMPUTED_VALUE"""),"cas_hmw")</f>
        <v>cas_hmw</v>
      </c>
      <c r="B14013" s="5">
        <f>IFERROR(__xludf.DUMMYFUNCTION("""COMPUTED_VALUE"""),44721.0)</f>
        <v>44721</v>
      </c>
      <c r="C14013" s="6">
        <f>IFERROR(__xludf.DUMMYFUNCTION("""COMPUTED_VALUE"""),0.3540972222217533)</f>
        <v>0.3540972222</v>
      </c>
      <c r="D14013" s="4">
        <f>IFERROR(__xludf.DUMMYFUNCTION("""COMPUTED_VALUE"""),12.979753)</f>
        <v>12.979753</v>
      </c>
      <c r="E14013" s="4">
        <f>IFERROR(__xludf.DUMMYFUNCTION("""COMPUTED_VALUE"""),80.22725)</f>
        <v>80.22725</v>
      </c>
      <c r="F14013" s="4">
        <f>IFERROR(__xludf.DUMMYFUNCTION("""COMPUTED_VALUE"""),2846.0)</f>
        <v>2846</v>
      </c>
      <c r="G14013" s="4">
        <f>IFERROR(__xludf.DUMMYFUNCTION("""COMPUTED_VALUE"""),0.0)</f>
        <v>0</v>
      </c>
      <c r="H14013" s="4"/>
      <c r="I14013" s="4"/>
    </row>
    <row r="14014">
      <c r="A14014" s="4" t="str">
        <f>IFERROR(__xludf.DUMMYFUNCTION("""COMPUTED_VALUE"""),"cas_hmw")</f>
        <v>cas_hmw</v>
      </c>
      <c r="B14014" s="5">
        <f>IFERROR(__xludf.DUMMYFUNCTION("""COMPUTED_VALUE"""),44721.0)</f>
        <v>44721</v>
      </c>
      <c r="C14014" s="6">
        <f>IFERROR(__xludf.DUMMYFUNCTION("""COMPUTED_VALUE"""),0.354108796294895)</f>
        <v>0.3541087963</v>
      </c>
      <c r="D14014" s="4">
        <f>IFERROR(__xludf.DUMMYFUNCTION("""COMPUTED_VALUE"""),12.979753)</f>
        <v>12.979753</v>
      </c>
      <c r="E14014" s="4">
        <f>IFERROR(__xludf.DUMMYFUNCTION("""COMPUTED_VALUE"""),80.22725)</f>
        <v>80.22725</v>
      </c>
      <c r="F14014" s="4">
        <f>IFERROR(__xludf.DUMMYFUNCTION("""COMPUTED_VALUE"""),2846.0)</f>
        <v>2846</v>
      </c>
      <c r="G14014" s="4">
        <f>IFERROR(__xludf.DUMMYFUNCTION("""COMPUTED_VALUE"""),0.0)</f>
        <v>0</v>
      </c>
      <c r="H14014" s="4"/>
      <c r="I14014" s="4"/>
    </row>
    <row r="14015">
      <c r="A14015" s="4" t="str">
        <f>IFERROR(__xludf.DUMMYFUNCTION("""COMPUTED_VALUE"""),"cas_hmw")</f>
        <v>cas_hmw</v>
      </c>
      <c r="B14015" s="5">
        <f>IFERROR(__xludf.DUMMYFUNCTION("""COMPUTED_VALUE"""),44721.0)</f>
        <v>44721</v>
      </c>
      <c r="C14015" s="6">
        <f>IFERROR(__xludf.DUMMYFUNCTION("""COMPUTED_VALUE"""),0.354108796294895)</f>
        <v>0.3541087963</v>
      </c>
      <c r="D14015" s="4">
        <f>IFERROR(__xludf.DUMMYFUNCTION("""COMPUTED_VALUE"""),12.979753)</f>
        <v>12.979753</v>
      </c>
      <c r="E14015" s="4">
        <f>IFERROR(__xludf.DUMMYFUNCTION("""COMPUTED_VALUE"""),80.22725)</f>
        <v>80.22725</v>
      </c>
      <c r="F14015" s="4">
        <f>IFERROR(__xludf.DUMMYFUNCTION("""COMPUTED_VALUE"""),2846.0)</f>
        <v>2846</v>
      </c>
      <c r="G14015" s="4">
        <f>IFERROR(__xludf.DUMMYFUNCTION("""COMPUTED_VALUE"""),0.0)</f>
        <v>0</v>
      </c>
      <c r="H14015" s="4"/>
      <c r="I14015" s="4"/>
    </row>
    <row r="14016">
      <c r="A14016" s="4" t="str">
        <f>IFERROR(__xludf.DUMMYFUNCTION("""COMPUTED_VALUE"""),"cas_hmw")</f>
        <v>cas_hmw</v>
      </c>
      <c r="B14016" s="5">
        <f>IFERROR(__xludf.DUMMYFUNCTION("""COMPUTED_VALUE"""),44721.0)</f>
        <v>44721</v>
      </c>
      <c r="C14016" s="6">
        <f>IFERROR(__xludf.DUMMYFUNCTION("""COMPUTED_VALUE"""),0.35423611111036735)</f>
        <v>0.3542361111</v>
      </c>
      <c r="D14016" s="4">
        <f>IFERROR(__xludf.DUMMYFUNCTION("""COMPUTED_VALUE"""),13.052977)</f>
        <v>13.052977</v>
      </c>
      <c r="E14016" s="4">
        <f>IFERROR(__xludf.DUMMYFUNCTION("""COMPUTED_VALUE"""),80.272676)</f>
        <v>80.272676</v>
      </c>
      <c r="F14016" s="4">
        <f>IFERROR(__xludf.DUMMYFUNCTION("""COMPUTED_VALUE"""),805.0)</f>
        <v>805</v>
      </c>
      <c r="G14016" s="4">
        <f>IFERROR(__xludf.DUMMYFUNCTION("""COMPUTED_VALUE"""),32.0)</f>
        <v>32</v>
      </c>
      <c r="H14016" s="4"/>
      <c r="I14016" s="4"/>
    </row>
    <row r="14017">
      <c r="A14017" s="4" t="str">
        <f>IFERROR(__xludf.DUMMYFUNCTION("""COMPUTED_VALUE"""),"cas_hmw")</f>
        <v>cas_hmw</v>
      </c>
      <c r="B14017" s="5">
        <f>IFERROR(__xludf.DUMMYFUNCTION("""COMPUTED_VALUE"""),44721.0)</f>
        <v>44721</v>
      </c>
      <c r="C14017" s="6">
        <f>IFERROR(__xludf.DUMMYFUNCTION("""COMPUTED_VALUE"""),0.354317129629635)</f>
        <v>0.3543171296</v>
      </c>
      <c r="D14017" s="4">
        <f>IFERROR(__xludf.DUMMYFUNCTION("""COMPUTED_VALUE"""),13.053108)</f>
        <v>13.053108</v>
      </c>
      <c r="E14017" s="4">
        <f>IFERROR(__xludf.DUMMYFUNCTION("""COMPUTED_VALUE"""),80.271899)</f>
        <v>80.271899</v>
      </c>
      <c r="F14017" s="4">
        <f>IFERROR(__xludf.DUMMYFUNCTION("""COMPUTED_VALUE"""),805.0)</f>
        <v>805</v>
      </c>
      <c r="G14017" s="4">
        <f>IFERROR(__xludf.DUMMYFUNCTION("""COMPUTED_VALUE"""),0.0)</f>
        <v>0</v>
      </c>
      <c r="H14017" s="4"/>
      <c r="I14017" s="4"/>
    </row>
    <row r="14018">
      <c r="A14018" s="4" t="str">
        <f>IFERROR(__xludf.DUMMYFUNCTION("""COMPUTED_VALUE"""),"cas_hmw")</f>
        <v>cas_hmw</v>
      </c>
      <c r="B14018" s="5">
        <f>IFERROR(__xludf.DUMMYFUNCTION("""COMPUTED_VALUE"""),44721.0)</f>
        <v>44721</v>
      </c>
      <c r="C14018" s="6">
        <f>IFERROR(__xludf.DUMMYFUNCTION("""COMPUTED_VALUE"""),0.3555671296307992)</f>
        <v>0.3555671296</v>
      </c>
      <c r="D14018" s="4">
        <f>IFERROR(__xludf.DUMMYFUNCTION("""COMPUTED_VALUE"""),12.979071)</f>
        <v>12.979071</v>
      </c>
      <c r="E14018" s="4">
        <f>IFERROR(__xludf.DUMMYFUNCTION("""COMPUTED_VALUE"""),80.226517)</f>
        <v>80.226517</v>
      </c>
      <c r="F14018" s="4">
        <f>IFERROR(__xludf.DUMMYFUNCTION("""COMPUTED_VALUE"""),2846.0)</f>
        <v>2846</v>
      </c>
      <c r="G14018" s="4">
        <f>IFERROR(__xludf.DUMMYFUNCTION("""COMPUTED_VALUE"""),0.0)</f>
        <v>0</v>
      </c>
      <c r="H14018" s="4"/>
      <c r="I14018" s="4"/>
    </row>
    <row r="14019">
      <c r="A14019" s="4" t="str">
        <f>IFERROR(__xludf.DUMMYFUNCTION("""COMPUTED_VALUE"""),"cas_hmw")</f>
        <v>cas_hmw</v>
      </c>
      <c r="B14019" s="5">
        <f>IFERROR(__xludf.DUMMYFUNCTION("""COMPUTED_VALUE"""),44721.0)</f>
        <v>44721</v>
      </c>
      <c r="C14019" s="6">
        <f>IFERROR(__xludf.DUMMYFUNCTION("""COMPUTED_VALUE"""),0.3558796296310902)</f>
        <v>0.3558796296</v>
      </c>
      <c r="D14019" s="4">
        <f>IFERROR(__xludf.DUMMYFUNCTION("""COMPUTED_VALUE"""),12.979071)</f>
        <v>12.979071</v>
      </c>
      <c r="E14019" s="4">
        <f>IFERROR(__xludf.DUMMYFUNCTION("""COMPUTED_VALUE"""),80.226517)</f>
        <v>80.226517</v>
      </c>
      <c r="F14019" s="4">
        <f>IFERROR(__xludf.DUMMYFUNCTION("""COMPUTED_VALUE"""),2846.0)</f>
        <v>2846</v>
      </c>
      <c r="G14019" s="4">
        <f>IFERROR(__xludf.DUMMYFUNCTION("""COMPUTED_VALUE"""),0.0)</f>
        <v>0</v>
      </c>
      <c r="H14019" s="4"/>
      <c r="I14019" s="4"/>
    </row>
    <row r="14020">
      <c r="A14020" s="4" t="str">
        <f>IFERROR(__xludf.DUMMYFUNCTION("""COMPUTED_VALUE"""),"cas_hmw")</f>
        <v>cas_hmw</v>
      </c>
      <c r="B14020" s="5">
        <f>IFERROR(__xludf.DUMMYFUNCTION("""COMPUTED_VALUE"""),44721.0)</f>
        <v>44721</v>
      </c>
      <c r="C14020" s="6">
        <f>IFERROR(__xludf.DUMMYFUNCTION("""COMPUTED_VALUE"""),0.356689814816491)</f>
        <v>0.3566898148</v>
      </c>
      <c r="D14020" s="4">
        <f>IFERROR(__xludf.DUMMYFUNCTION("""COMPUTED_VALUE"""),12.978978)</f>
        <v>12.978978</v>
      </c>
      <c r="E14020" s="4">
        <f>IFERROR(__xludf.DUMMYFUNCTION("""COMPUTED_VALUE"""),80.226526)</f>
        <v>80.226526</v>
      </c>
      <c r="F14020" s="4">
        <f>IFERROR(__xludf.DUMMYFUNCTION("""COMPUTED_VALUE"""),2846.0)</f>
        <v>2846</v>
      </c>
      <c r="G14020" s="4">
        <f>IFERROR(__xludf.DUMMYFUNCTION("""COMPUTED_VALUE"""),0.0)</f>
        <v>0</v>
      </c>
      <c r="H14020" s="4"/>
      <c r="I14020" s="4"/>
    </row>
    <row r="14021">
      <c r="A14021" s="4" t="str">
        <f>IFERROR(__xludf.DUMMYFUNCTION("""COMPUTED_VALUE"""),"cas_hmw")</f>
        <v>cas_hmw</v>
      </c>
      <c r="B14021" s="5">
        <f>IFERROR(__xludf.DUMMYFUNCTION("""COMPUTED_VALUE"""),44721.0)</f>
        <v>44721</v>
      </c>
      <c r="C14021" s="6">
        <f>IFERROR(__xludf.DUMMYFUNCTION("""COMPUTED_VALUE"""),0.3567129629627743)</f>
        <v>0.356712963</v>
      </c>
      <c r="D14021" s="4">
        <f>IFERROR(__xludf.DUMMYFUNCTION("""COMPUTED_VALUE"""),12.978978)</f>
        <v>12.978978</v>
      </c>
      <c r="E14021" s="4">
        <f>IFERROR(__xludf.DUMMYFUNCTION("""COMPUTED_VALUE"""),80.226526)</f>
        <v>80.226526</v>
      </c>
      <c r="F14021" s="4">
        <f>IFERROR(__xludf.DUMMYFUNCTION("""COMPUTED_VALUE"""),2846.0)</f>
        <v>2846</v>
      </c>
      <c r="G14021" s="4">
        <f>IFERROR(__xludf.DUMMYFUNCTION("""COMPUTED_VALUE"""),0.0)</f>
        <v>0</v>
      </c>
      <c r="H14021" s="4"/>
      <c r="I14021" s="4"/>
    </row>
    <row r="14022">
      <c r="A14022" s="4" t="str">
        <f>IFERROR(__xludf.DUMMYFUNCTION("""COMPUTED_VALUE"""),"cas_hmw")</f>
        <v>cas_hmw</v>
      </c>
      <c r="B14022" s="5">
        <f>IFERROR(__xludf.DUMMYFUNCTION("""COMPUTED_VALUE"""),44721.0)</f>
        <v>44721</v>
      </c>
      <c r="C14022" s="6">
        <f>IFERROR(__xludf.DUMMYFUNCTION("""COMPUTED_VALUE"""),0.3571527777785377)</f>
        <v>0.3571527778</v>
      </c>
      <c r="D14022" s="4">
        <f>IFERROR(__xludf.DUMMYFUNCTION("""COMPUTED_VALUE"""),12.978236)</f>
        <v>12.978236</v>
      </c>
      <c r="E14022" s="4">
        <f>IFERROR(__xludf.DUMMYFUNCTION("""COMPUTED_VALUE"""),80.225102)</f>
        <v>80.225102</v>
      </c>
      <c r="F14022" s="4">
        <f>IFERROR(__xludf.DUMMYFUNCTION("""COMPUTED_VALUE"""),2846.0)</f>
        <v>2846</v>
      </c>
      <c r="G14022" s="4">
        <f>IFERROR(__xludf.DUMMYFUNCTION("""COMPUTED_VALUE"""),26.0)</f>
        <v>26</v>
      </c>
      <c r="H14022" s="4"/>
      <c r="I14022" s="4"/>
    </row>
    <row r="14023">
      <c r="A14023" s="4" t="str">
        <f>IFERROR(__xludf.DUMMYFUNCTION("""COMPUTED_VALUE"""),"cas_hmw")</f>
        <v>cas_hmw</v>
      </c>
      <c r="B14023" s="5">
        <f>IFERROR(__xludf.DUMMYFUNCTION("""COMPUTED_VALUE"""),44721.0)</f>
        <v>44721</v>
      </c>
      <c r="C14023" s="6">
        <f>IFERROR(__xludf.DUMMYFUNCTION("""COMPUTED_VALUE"""),0.35967592592714936)</f>
        <v>0.3596759259</v>
      </c>
      <c r="D14023" s="4">
        <f>IFERROR(__xludf.DUMMYFUNCTION("""COMPUTED_VALUE"""),12.952919)</f>
        <v>12.952919</v>
      </c>
      <c r="E14023" s="4">
        <f>IFERROR(__xludf.DUMMYFUNCTION("""COMPUTED_VALUE"""),80.186552)</f>
        <v>80.186552</v>
      </c>
      <c r="F14023" s="4">
        <f>IFERROR(__xludf.DUMMYFUNCTION("""COMPUTED_VALUE"""),2846.0)</f>
        <v>2846</v>
      </c>
      <c r="G14023" s="4">
        <f>IFERROR(__xludf.DUMMYFUNCTION("""COMPUTED_VALUE"""),29.0)</f>
        <v>29</v>
      </c>
      <c r="H14023" s="4"/>
      <c r="I14023" s="4"/>
    </row>
    <row r="14024">
      <c r="A14024" s="4" t="str">
        <f>IFERROR(__xludf.DUMMYFUNCTION("""COMPUTED_VALUE"""),"cas_hmw")</f>
        <v>cas_hmw</v>
      </c>
      <c r="B14024" s="5">
        <f>IFERROR(__xludf.DUMMYFUNCTION("""COMPUTED_VALUE"""),44721.0)</f>
        <v>44721</v>
      </c>
      <c r="C14024" s="6">
        <f>IFERROR(__xludf.DUMMYFUNCTION("""COMPUTED_VALUE"""),0.3599652777775191)</f>
        <v>0.3599652778</v>
      </c>
      <c r="D14024" s="4">
        <f>IFERROR(__xludf.DUMMYFUNCTION("""COMPUTED_VALUE"""),12.94201)</f>
        <v>12.94201</v>
      </c>
      <c r="E14024" s="4">
        <f>IFERROR(__xludf.DUMMYFUNCTION("""COMPUTED_VALUE"""),80.18292)</f>
        <v>80.18292</v>
      </c>
      <c r="F14024" s="4">
        <f>IFERROR(__xludf.DUMMYFUNCTION("""COMPUTED_VALUE"""),2846.0)</f>
        <v>2846</v>
      </c>
      <c r="G14024" s="4">
        <f>IFERROR(__xludf.DUMMYFUNCTION("""COMPUTED_VALUE"""),24.0)</f>
        <v>24</v>
      </c>
      <c r="H14024" s="4"/>
      <c r="I14024" s="4"/>
    </row>
    <row r="14025">
      <c r="A14025" s="4" t="str">
        <f>IFERROR(__xludf.DUMMYFUNCTION("""COMPUTED_VALUE"""),"cas_hmw")</f>
        <v>cas_hmw</v>
      </c>
      <c r="B14025" s="5">
        <f>IFERROR(__xludf.DUMMYFUNCTION("""COMPUTED_VALUE"""),44721.0)</f>
        <v>44721</v>
      </c>
      <c r="C14025" s="6">
        <f>IFERROR(__xludf.DUMMYFUNCTION("""COMPUTED_VALUE"""),0.5312962962962047)</f>
        <v>0.5312962963</v>
      </c>
      <c r="D14025" s="4">
        <f>IFERROR(__xludf.DUMMYFUNCTION("""COMPUTED_VALUE"""),13.016506)</f>
        <v>13.016506</v>
      </c>
      <c r="E14025" s="4">
        <f>IFERROR(__xludf.DUMMYFUNCTION("""COMPUTED_VALUE"""),80.095002)</f>
        <v>80.095002</v>
      </c>
      <c r="F14025" s="4">
        <f>IFERROR(__xludf.DUMMYFUNCTION("""COMPUTED_VALUE"""),3143.0)</f>
        <v>3143</v>
      </c>
      <c r="G14025" s="4">
        <f>IFERROR(__xludf.DUMMYFUNCTION("""COMPUTED_VALUE"""),51.0)</f>
        <v>51</v>
      </c>
      <c r="H14025" s="4"/>
      <c r="I14025" s="4"/>
    </row>
    <row r="14026">
      <c r="A14026" s="4" t="str">
        <f>IFERROR(__xludf.DUMMYFUNCTION("""COMPUTED_VALUE"""),"cas_hmw")</f>
        <v>cas_hmw</v>
      </c>
      <c r="B14026" s="5">
        <f>IFERROR(__xludf.DUMMYFUNCTION("""COMPUTED_VALUE"""),44721.0)</f>
        <v>44721</v>
      </c>
      <c r="C14026" s="6">
        <f>IFERROR(__xludf.DUMMYFUNCTION("""COMPUTED_VALUE"""),0.5319097222236451)</f>
        <v>0.5319097222</v>
      </c>
      <c r="D14026" s="4">
        <f>IFERROR(__xludf.DUMMYFUNCTION("""COMPUTED_VALUE"""),13.010128)</f>
        <v>13.010128</v>
      </c>
      <c r="E14026" s="4">
        <f>IFERROR(__xludf.DUMMYFUNCTION("""COMPUTED_VALUE"""),80.092576)</f>
        <v>80.092576</v>
      </c>
      <c r="F14026" s="4">
        <f>IFERROR(__xludf.DUMMYFUNCTION("""COMPUTED_VALUE"""),3143.0)</f>
        <v>3143</v>
      </c>
      <c r="G14026" s="4">
        <f>IFERROR(__xludf.DUMMYFUNCTION("""COMPUTED_VALUE"""),55.0)</f>
        <v>55</v>
      </c>
      <c r="H14026" s="4"/>
      <c r="I14026" s="4"/>
    </row>
    <row r="14027">
      <c r="A14027" s="4" t="str">
        <f>IFERROR(__xludf.DUMMYFUNCTION("""COMPUTED_VALUE"""),"cas_hmw")</f>
        <v>cas_hmw</v>
      </c>
      <c r="B14027" s="5">
        <f>IFERROR(__xludf.DUMMYFUNCTION("""COMPUTED_VALUE"""),44721.0)</f>
        <v>44721</v>
      </c>
      <c r="C14027" s="6">
        <f>IFERROR(__xludf.DUMMYFUNCTION("""COMPUTED_VALUE"""),0.5322685185201408)</f>
        <v>0.5322685185</v>
      </c>
      <c r="D14027" s="4">
        <f>IFERROR(__xludf.DUMMYFUNCTION("""COMPUTED_VALUE"""),13.006368)</f>
        <v>13.006368</v>
      </c>
      <c r="E14027" s="4">
        <f>IFERROR(__xludf.DUMMYFUNCTION("""COMPUTED_VALUE"""),80.091096)</f>
        <v>80.091096</v>
      </c>
      <c r="F14027" s="4">
        <f>IFERROR(__xludf.DUMMYFUNCTION("""COMPUTED_VALUE"""),3143.0)</f>
        <v>3143</v>
      </c>
      <c r="G14027" s="4">
        <f>IFERROR(__xludf.DUMMYFUNCTION("""COMPUTED_VALUE"""),56.0)</f>
        <v>56</v>
      </c>
      <c r="H14027" s="4"/>
      <c r="I14027" s="4"/>
    </row>
    <row r="14028">
      <c r="A14028" s="4" t="str">
        <f>IFERROR(__xludf.DUMMYFUNCTION("""COMPUTED_VALUE"""),"cas_hmw")</f>
        <v>cas_hmw</v>
      </c>
      <c r="B14028" s="5">
        <f>IFERROR(__xludf.DUMMYFUNCTION("""COMPUTED_VALUE"""),44721.0)</f>
        <v>44721</v>
      </c>
      <c r="C14028" s="6">
        <f>IFERROR(__xludf.DUMMYFUNCTION("""COMPUTED_VALUE"""),0.5408912037019036)</f>
        <v>0.5408912037</v>
      </c>
      <c r="D14028" s="4">
        <f>IFERROR(__xludf.DUMMYFUNCTION("""COMPUTED_VALUE"""),12.913187)</f>
        <v>12.913187</v>
      </c>
      <c r="E14028" s="4">
        <f>IFERROR(__xludf.DUMMYFUNCTION("""COMPUTED_VALUE"""),80.074649)</f>
        <v>80.074649</v>
      </c>
      <c r="F14028" s="4">
        <f>IFERROR(__xludf.DUMMYFUNCTION("""COMPUTED_VALUE"""),3143.0)</f>
        <v>3143</v>
      </c>
      <c r="G14028" s="4">
        <f>IFERROR(__xludf.DUMMYFUNCTION("""COMPUTED_VALUE"""),52.0)</f>
        <v>52</v>
      </c>
      <c r="H14028" s="4"/>
      <c r="I14028" s="4"/>
    </row>
    <row r="14029">
      <c r="A14029" s="4" t="str">
        <f>IFERROR(__xludf.DUMMYFUNCTION("""COMPUTED_VALUE"""),"cas_hmw")</f>
        <v>cas_hmw</v>
      </c>
      <c r="B14029" s="5">
        <f>IFERROR(__xludf.DUMMYFUNCTION("""COMPUTED_VALUE"""),44721.0)</f>
        <v>44721</v>
      </c>
      <c r="C14029" s="6">
        <f>IFERROR(__xludf.DUMMYFUNCTION("""COMPUTED_VALUE"""),0.5424884259264218)</f>
        <v>0.5424884259</v>
      </c>
      <c r="D14029" s="4">
        <f>IFERROR(__xludf.DUMMYFUNCTION("""COMPUTED_VALUE"""),12.894631)</f>
        <v>12.894631</v>
      </c>
      <c r="E14029" s="4">
        <f>IFERROR(__xludf.DUMMYFUNCTION("""COMPUTED_VALUE"""),80.070739)</f>
        <v>80.070739</v>
      </c>
      <c r="F14029" s="4">
        <f>IFERROR(__xludf.DUMMYFUNCTION("""COMPUTED_VALUE"""),3143.0)</f>
        <v>3143</v>
      </c>
      <c r="G14029" s="4">
        <f>IFERROR(__xludf.DUMMYFUNCTION("""COMPUTED_VALUE"""),52.0)</f>
        <v>52</v>
      </c>
      <c r="H14029" s="4"/>
      <c r="I14029" s="4"/>
    </row>
    <row r="14030">
      <c r="A14030" s="4" t="str">
        <f>IFERROR(__xludf.DUMMYFUNCTION("""COMPUTED_VALUE"""),"cas_hmw")</f>
        <v>cas_hmw</v>
      </c>
      <c r="B14030" s="5">
        <f>IFERROR(__xludf.DUMMYFUNCTION("""COMPUTED_VALUE"""),44721.0)</f>
        <v>44721</v>
      </c>
      <c r="C14030" s="6">
        <f>IFERROR(__xludf.DUMMYFUNCTION("""COMPUTED_VALUE"""),0.5438541666662786)</f>
        <v>0.5438541667</v>
      </c>
      <c r="D14030" s="4">
        <f>IFERROR(__xludf.DUMMYFUNCTION("""COMPUTED_VALUE"""),12.885509)</f>
        <v>12.885509</v>
      </c>
      <c r="E14030" s="4">
        <f>IFERROR(__xludf.DUMMYFUNCTION("""COMPUTED_VALUE"""),80.081139)</f>
        <v>80.081139</v>
      </c>
      <c r="F14030" s="4">
        <f>IFERROR(__xludf.DUMMYFUNCTION("""COMPUTED_VALUE"""),3143.0)</f>
        <v>3143</v>
      </c>
      <c r="G14030" s="4">
        <f>IFERROR(__xludf.DUMMYFUNCTION("""COMPUTED_VALUE"""),34.0)</f>
        <v>34</v>
      </c>
      <c r="H14030" s="4"/>
      <c r="I14030" s="4"/>
    </row>
    <row r="14031">
      <c r="A14031" s="4" t="str">
        <f>IFERROR(__xludf.DUMMYFUNCTION("""COMPUTED_VALUE"""),"cas_hmw")</f>
        <v>cas_hmw</v>
      </c>
      <c r="B14031" s="5">
        <f>IFERROR(__xludf.DUMMYFUNCTION("""COMPUTED_VALUE"""),44721.0)</f>
        <v>44721</v>
      </c>
      <c r="C14031" s="6">
        <f>IFERROR(__xludf.DUMMYFUNCTION("""COMPUTED_VALUE"""),0.5444097222207347)</f>
        <v>0.5444097222</v>
      </c>
      <c r="D14031" s="4">
        <f>IFERROR(__xludf.DUMMYFUNCTION("""COMPUTED_VALUE"""),12.882409)</f>
        <v>12.882409</v>
      </c>
      <c r="E14031" s="4">
        <f>IFERROR(__xludf.DUMMYFUNCTION("""COMPUTED_VALUE"""),80.081574)</f>
        <v>80.081574</v>
      </c>
      <c r="F14031" s="4">
        <f>IFERROR(__xludf.DUMMYFUNCTION("""COMPUTED_VALUE"""),3143.0)</f>
        <v>3143</v>
      </c>
      <c r="G14031" s="4">
        <f>IFERROR(__xludf.DUMMYFUNCTION("""COMPUTED_VALUE"""),47.0)</f>
        <v>47</v>
      </c>
      <c r="H14031" s="4"/>
      <c r="I14031" s="4"/>
    </row>
    <row r="14032">
      <c r="A14032" s="4" t="str">
        <f>IFERROR(__xludf.DUMMYFUNCTION("""COMPUTED_VALUE"""),"cas_hmw")</f>
        <v>cas_hmw</v>
      </c>
      <c r="B14032" s="5">
        <f>IFERROR(__xludf.DUMMYFUNCTION("""COMPUTED_VALUE"""),44721.0)</f>
        <v>44721</v>
      </c>
      <c r="C14032" s="6">
        <f>IFERROR(__xludf.DUMMYFUNCTION("""COMPUTED_VALUE"""),0.6895949074059899)</f>
        <v>0.6895949074</v>
      </c>
      <c r="D14032" s="4">
        <f>IFERROR(__xludf.DUMMYFUNCTION("""COMPUTED_VALUE"""),12.878298)</f>
        <v>12.878298</v>
      </c>
      <c r="E14032" s="4">
        <f>IFERROR(__xludf.DUMMYFUNCTION("""COMPUTED_VALUE"""),80.082481)</f>
        <v>80.082481</v>
      </c>
      <c r="F14032" s="4">
        <f>IFERROR(__xludf.DUMMYFUNCTION("""COMPUTED_VALUE"""),805.0)</f>
        <v>805</v>
      </c>
      <c r="G14032" s="4">
        <f>IFERROR(__xludf.DUMMYFUNCTION("""COMPUTED_VALUE"""),47.0)</f>
        <v>47</v>
      </c>
      <c r="H14032" s="4"/>
      <c r="I14032" s="4"/>
    </row>
    <row r="14033">
      <c r="A14033" s="4" t="str">
        <f>IFERROR(__xludf.DUMMYFUNCTION("""COMPUTED_VALUE"""),"cas_hmw")</f>
        <v>cas_hmw</v>
      </c>
      <c r="B14033" s="5">
        <f>IFERROR(__xludf.DUMMYFUNCTION("""COMPUTED_VALUE"""),44721.0)</f>
        <v>44721</v>
      </c>
      <c r="C14033" s="6">
        <f>IFERROR(__xludf.DUMMYFUNCTION("""COMPUTED_VALUE"""),0.6919675925928459)</f>
        <v>0.6919675926</v>
      </c>
      <c r="D14033" s="4">
        <f>IFERROR(__xludf.DUMMYFUNCTION("""COMPUTED_VALUE"""),12.881284)</f>
        <v>12.881284</v>
      </c>
      <c r="E14033" s="4">
        <f>IFERROR(__xludf.DUMMYFUNCTION("""COMPUTED_VALUE"""),80.080627)</f>
        <v>80.080627</v>
      </c>
      <c r="F14033" s="4">
        <f>IFERROR(__xludf.DUMMYFUNCTION("""COMPUTED_VALUE"""),805.0)</f>
        <v>805</v>
      </c>
      <c r="G14033" s="4">
        <f>IFERROR(__xludf.DUMMYFUNCTION("""COMPUTED_VALUE"""),13.0)</f>
        <v>13</v>
      </c>
      <c r="H14033" s="4"/>
      <c r="I14033" s="4"/>
    </row>
    <row r="14034">
      <c r="A14034" s="4" t="str">
        <f>IFERROR(__xludf.DUMMYFUNCTION("""COMPUTED_VALUE"""),"cas_hmw")</f>
        <v>cas_hmw</v>
      </c>
      <c r="B14034" s="5">
        <f>IFERROR(__xludf.DUMMYFUNCTION("""COMPUTED_VALUE"""),44721.0)</f>
        <v>44721</v>
      </c>
      <c r="C14034" s="6">
        <f>IFERROR(__xludf.DUMMYFUNCTION("""COMPUTED_VALUE"""),0.6927199074089003)</f>
        <v>0.6927199074</v>
      </c>
      <c r="D14034" s="4">
        <f>IFERROR(__xludf.DUMMYFUNCTION("""COMPUTED_VALUE"""),12.888848)</f>
        <v>12.888848</v>
      </c>
      <c r="E14034" s="4">
        <f>IFERROR(__xludf.DUMMYFUNCTION("""COMPUTED_VALUE"""),80.08399)</f>
        <v>80.08399</v>
      </c>
      <c r="F14034" s="4">
        <f>IFERROR(__xludf.DUMMYFUNCTION("""COMPUTED_VALUE"""),805.0)</f>
        <v>805</v>
      </c>
      <c r="G14034" s="4">
        <f>IFERROR(__xludf.DUMMYFUNCTION("""COMPUTED_VALUE"""),50.0)</f>
        <v>50</v>
      </c>
      <c r="H14034" s="4"/>
      <c r="I14034" s="4"/>
    </row>
    <row r="14035">
      <c r="A14035" s="4" t="str">
        <f>IFERROR(__xludf.DUMMYFUNCTION("""COMPUTED_VALUE"""),"cas_hmw")</f>
        <v>cas_hmw</v>
      </c>
      <c r="B14035" s="5">
        <f>IFERROR(__xludf.DUMMYFUNCTION("""COMPUTED_VALUE"""),44721.0)</f>
        <v>44721</v>
      </c>
      <c r="C14035" s="6">
        <f>IFERROR(__xludf.DUMMYFUNCTION("""COMPUTED_VALUE"""),0.69300925925927)</f>
        <v>0.6930092593</v>
      </c>
      <c r="D14035" s="4">
        <f>IFERROR(__xludf.DUMMYFUNCTION("""COMPUTED_VALUE"""),12.89097)</f>
        <v>12.89097</v>
      </c>
      <c r="E14035" s="4">
        <f>IFERROR(__xludf.DUMMYFUNCTION("""COMPUTED_VALUE"""),80.084912)</f>
        <v>80.084912</v>
      </c>
      <c r="F14035" s="4">
        <f>IFERROR(__xludf.DUMMYFUNCTION("""COMPUTED_VALUE"""),805.0)</f>
        <v>805</v>
      </c>
      <c r="G14035" s="4">
        <f>IFERROR(__xludf.DUMMYFUNCTION("""COMPUTED_VALUE"""),43.0)</f>
        <v>43</v>
      </c>
      <c r="H14035" s="4"/>
      <c r="I14035" s="4"/>
    </row>
    <row r="14036">
      <c r="A14036" s="4" t="str">
        <f>IFERROR(__xludf.DUMMYFUNCTION("""COMPUTED_VALUE"""),"cas_hmw")</f>
        <v>cas_hmw</v>
      </c>
      <c r="B14036" s="5">
        <f>IFERROR(__xludf.DUMMYFUNCTION("""COMPUTED_VALUE"""),44721.0)</f>
        <v>44721</v>
      </c>
      <c r="C14036" s="6">
        <f>IFERROR(__xludf.DUMMYFUNCTION("""COMPUTED_VALUE"""),0.693078703705396)</f>
        <v>0.6930787037</v>
      </c>
      <c r="D14036" s="4">
        <f>IFERROR(__xludf.DUMMYFUNCTION("""COMPUTED_VALUE"""),12.891962)</f>
        <v>12.891962</v>
      </c>
      <c r="E14036" s="4">
        <f>IFERROR(__xludf.DUMMYFUNCTION("""COMPUTED_VALUE"""),80.085402)</f>
        <v>80.085402</v>
      </c>
      <c r="F14036" s="4">
        <f>IFERROR(__xludf.DUMMYFUNCTION("""COMPUTED_VALUE"""),805.0)</f>
        <v>805</v>
      </c>
      <c r="G14036" s="4">
        <f>IFERROR(__xludf.DUMMYFUNCTION("""COMPUTED_VALUE"""),45.0)</f>
        <v>45</v>
      </c>
      <c r="H14036" s="4"/>
      <c r="I14036" s="4"/>
    </row>
    <row r="14037">
      <c r="A14037" s="4" t="str">
        <f>IFERROR(__xludf.DUMMYFUNCTION("""COMPUTED_VALUE"""),"cas_hmw")</f>
        <v>cas_hmw</v>
      </c>
      <c r="B14037" s="5">
        <f>IFERROR(__xludf.DUMMYFUNCTION("""COMPUTED_VALUE"""),44721.0)</f>
        <v>44721</v>
      </c>
      <c r="C14037" s="6">
        <f>IFERROR(__xludf.DUMMYFUNCTION("""COMPUTED_VALUE"""),0.6932754629633564)</f>
        <v>0.693275463</v>
      </c>
      <c r="D14037" s="4">
        <f>IFERROR(__xludf.DUMMYFUNCTION("""COMPUTED_VALUE"""),12.884941)</f>
        <v>12.884941</v>
      </c>
      <c r="E14037" s="4">
        <f>IFERROR(__xludf.DUMMYFUNCTION("""COMPUTED_VALUE"""),80.082103)</f>
        <v>80.082103</v>
      </c>
      <c r="F14037" s="4">
        <f>IFERROR(__xludf.DUMMYFUNCTION("""COMPUTED_VALUE"""),2846.0)</f>
        <v>2846</v>
      </c>
      <c r="G14037" s="4">
        <f>IFERROR(__xludf.DUMMYFUNCTION("""COMPUTED_VALUE"""),28.0)</f>
        <v>28</v>
      </c>
      <c r="H14037" s="4"/>
      <c r="I14037" s="4"/>
    </row>
    <row r="14038">
      <c r="A14038" s="4" t="str">
        <f>IFERROR(__xludf.DUMMYFUNCTION("""COMPUTED_VALUE"""),"cas_hmw")</f>
        <v>cas_hmw</v>
      </c>
      <c r="B14038" s="5">
        <f>IFERROR(__xludf.DUMMYFUNCTION("""COMPUTED_VALUE"""),44721.0)</f>
        <v>44721</v>
      </c>
      <c r="C14038" s="6">
        <f>IFERROR(__xludf.DUMMYFUNCTION("""COMPUTED_VALUE"""),0.6933333333327028)</f>
        <v>0.6933333333</v>
      </c>
      <c r="D14038" s="4">
        <f>IFERROR(__xludf.DUMMYFUNCTION("""COMPUTED_VALUE"""),12.893744)</f>
        <v>12.893744</v>
      </c>
      <c r="E14038" s="4">
        <f>IFERROR(__xludf.DUMMYFUNCTION("""COMPUTED_VALUE"""),80.086675)</f>
        <v>80.086675</v>
      </c>
      <c r="F14038" s="4">
        <f>IFERROR(__xludf.DUMMYFUNCTION("""COMPUTED_VALUE"""),805.0)</f>
        <v>805</v>
      </c>
      <c r="G14038" s="4">
        <f>IFERROR(__xludf.DUMMYFUNCTION("""COMPUTED_VALUE"""),46.0)</f>
        <v>46</v>
      </c>
      <c r="H14038" s="4"/>
      <c r="I14038" s="4"/>
    </row>
    <row r="14039">
      <c r="A14039" s="4" t="str">
        <f>IFERROR(__xludf.DUMMYFUNCTION("""COMPUTED_VALUE"""),"cas_hmw")</f>
        <v>cas_hmw</v>
      </c>
      <c r="B14039" s="5">
        <f>IFERROR(__xludf.DUMMYFUNCTION("""COMPUTED_VALUE"""),44721.0)</f>
        <v>44721</v>
      </c>
      <c r="C14039" s="6">
        <f>IFERROR(__xludf.DUMMYFUNCTION("""COMPUTED_VALUE"""),0.6934259259251121)</f>
        <v>0.6934259259</v>
      </c>
      <c r="D14039" s="4">
        <f>IFERROR(__xludf.DUMMYFUNCTION("""COMPUTED_VALUE"""),12.894811)</f>
        <v>12.894811</v>
      </c>
      <c r="E14039" s="4">
        <f>IFERROR(__xludf.DUMMYFUNCTION("""COMPUTED_VALUE"""),80.087446)</f>
        <v>80.087446</v>
      </c>
      <c r="F14039" s="4">
        <f>IFERROR(__xludf.DUMMYFUNCTION("""COMPUTED_VALUE"""),805.0)</f>
        <v>805</v>
      </c>
      <c r="G14039" s="4">
        <f>IFERROR(__xludf.DUMMYFUNCTION("""COMPUTED_VALUE"""),53.0)</f>
        <v>53</v>
      </c>
      <c r="H14039" s="4"/>
      <c r="I14039" s="4"/>
    </row>
    <row r="14040">
      <c r="A14040" s="4" t="str">
        <f>IFERROR(__xludf.DUMMYFUNCTION("""COMPUTED_VALUE"""),"cas_hmw")</f>
        <v>cas_hmw</v>
      </c>
      <c r="B14040" s="5">
        <f>IFERROR(__xludf.DUMMYFUNCTION("""COMPUTED_VALUE"""),44721.0)</f>
        <v>44721</v>
      </c>
      <c r="C14040" s="6">
        <f>IFERROR(__xludf.DUMMYFUNCTION("""COMPUTED_VALUE"""),0.6935763888905058)</f>
        <v>0.6935763889</v>
      </c>
      <c r="D14040" s="4">
        <f>IFERROR(__xludf.DUMMYFUNCTION("""COMPUTED_VALUE"""),12.895665)</f>
        <v>12.895665</v>
      </c>
      <c r="E14040" s="4">
        <f>IFERROR(__xludf.DUMMYFUNCTION("""COMPUTED_VALUE"""),80.088098)</f>
        <v>80.088098</v>
      </c>
      <c r="F14040" s="4">
        <f>IFERROR(__xludf.DUMMYFUNCTION("""COMPUTED_VALUE"""),805.0)</f>
        <v>805</v>
      </c>
      <c r="G14040" s="4">
        <f>IFERROR(__xludf.DUMMYFUNCTION("""COMPUTED_VALUE"""),34.0)</f>
        <v>34</v>
      </c>
      <c r="H14040" s="4"/>
      <c r="I14040" s="4"/>
    </row>
    <row r="14041">
      <c r="A14041" s="4" t="str">
        <f>IFERROR(__xludf.DUMMYFUNCTION("""COMPUTED_VALUE"""),"cas_hmw")</f>
        <v>cas_hmw</v>
      </c>
      <c r="B14041" s="5">
        <f>IFERROR(__xludf.DUMMYFUNCTION("""COMPUTED_VALUE"""),44721.0)</f>
        <v>44721</v>
      </c>
      <c r="C14041" s="6">
        <f>IFERROR(__xludf.DUMMYFUNCTION("""COMPUTED_VALUE"""),0.6941203703718202)</f>
        <v>0.6941203704</v>
      </c>
      <c r="D14041" s="4">
        <f>IFERROR(__xludf.DUMMYFUNCTION("""COMPUTED_VALUE"""),12.893781)</f>
        <v>12.893781</v>
      </c>
      <c r="E14041" s="4">
        <f>IFERROR(__xludf.DUMMYFUNCTION("""COMPUTED_VALUE"""),80.086715)</f>
        <v>80.086715</v>
      </c>
      <c r="F14041" s="4">
        <f>IFERROR(__xludf.DUMMYFUNCTION("""COMPUTED_VALUE"""),2846.0)</f>
        <v>2846</v>
      </c>
      <c r="G14041" s="4">
        <f>IFERROR(__xludf.DUMMYFUNCTION("""COMPUTED_VALUE"""),55.0)</f>
        <v>55</v>
      </c>
      <c r="H14041" s="4"/>
      <c r="I14041" s="4"/>
    </row>
    <row r="14042">
      <c r="A14042" s="4" t="str">
        <f>IFERROR(__xludf.DUMMYFUNCTION("""COMPUTED_VALUE"""),"cas_hmw")</f>
        <v>cas_hmw</v>
      </c>
      <c r="B14042" s="5">
        <f>IFERROR(__xludf.DUMMYFUNCTION("""COMPUTED_VALUE"""),44721.0)</f>
        <v>44721</v>
      </c>
      <c r="C14042" s="6">
        <f>IFERROR(__xludf.DUMMYFUNCTION("""COMPUTED_VALUE"""),0.6947916666649689)</f>
        <v>0.6947916667</v>
      </c>
      <c r="D14042" s="4">
        <f>IFERROR(__xludf.DUMMYFUNCTION("""COMPUTED_VALUE"""),12.900333)</f>
        <v>12.900333</v>
      </c>
      <c r="E14042" s="4">
        <f>IFERROR(__xludf.DUMMYFUNCTION("""COMPUTED_VALUE"""),80.09161)</f>
        <v>80.09161</v>
      </c>
      <c r="F14042" s="4">
        <f>IFERROR(__xludf.DUMMYFUNCTION("""COMPUTED_VALUE"""),2846.0)</f>
        <v>2846</v>
      </c>
      <c r="G14042" s="4">
        <f>IFERROR(__xludf.DUMMYFUNCTION("""COMPUTED_VALUE"""),58.0)</f>
        <v>58</v>
      </c>
      <c r="H14042" s="4"/>
      <c r="I14042" s="4"/>
    </row>
    <row r="14043">
      <c r="A14043" s="4" t="str">
        <f>IFERROR(__xludf.DUMMYFUNCTION("""COMPUTED_VALUE"""),"cas_hmw")</f>
        <v>cas_hmw</v>
      </c>
      <c r="B14043" s="5">
        <f>IFERROR(__xludf.DUMMYFUNCTION("""COMPUTED_VALUE"""),44721.0)</f>
        <v>44721</v>
      </c>
      <c r="C14043" s="6">
        <f>IFERROR(__xludf.DUMMYFUNCTION("""COMPUTED_VALUE"""),0.6956944444427791)</f>
        <v>0.6956944444</v>
      </c>
      <c r="D14043" s="4">
        <f>IFERROR(__xludf.DUMMYFUNCTION("""COMPUTED_VALUE"""),12.905145)</f>
        <v>12.905145</v>
      </c>
      <c r="E14043" s="4">
        <f>IFERROR(__xludf.DUMMYFUNCTION("""COMPUTED_VALUE"""),80.095184)</f>
        <v>80.095184</v>
      </c>
      <c r="F14043" s="4">
        <f>IFERROR(__xludf.DUMMYFUNCTION("""COMPUTED_VALUE"""),2846.0)</f>
        <v>2846</v>
      </c>
      <c r="G14043" s="4">
        <f>IFERROR(__xludf.DUMMYFUNCTION("""COMPUTED_VALUE"""),35.0)</f>
        <v>35</v>
      </c>
      <c r="H14043" s="4"/>
      <c r="I14043" s="4"/>
    </row>
    <row r="14044">
      <c r="A14044" s="4" t="str">
        <f>IFERROR(__xludf.DUMMYFUNCTION("""COMPUTED_VALUE"""),"cas_hmw")</f>
        <v>cas_hmw</v>
      </c>
      <c r="B14044" s="5">
        <f>IFERROR(__xludf.DUMMYFUNCTION("""COMPUTED_VALUE"""),44721.0)</f>
        <v>44721</v>
      </c>
      <c r="C14044" s="6">
        <f>IFERROR(__xludf.DUMMYFUNCTION("""COMPUTED_VALUE"""),0.6982291666681704)</f>
        <v>0.6982291667</v>
      </c>
      <c r="D14044" s="4">
        <f>IFERROR(__xludf.DUMMYFUNCTION("""COMPUTED_VALUE"""),12.909705)</f>
        <v>12.909705</v>
      </c>
      <c r="E14044" s="4">
        <f>IFERROR(__xludf.DUMMYFUNCTION("""COMPUTED_VALUE"""),80.099476)</f>
        <v>80.099476</v>
      </c>
      <c r="F14044" s="4">
        <f>IFERROR(__xludf.DUMMYFUNCTION("""COMPUTED_VALUE"""),2846.0)</f>
        <v>2846</v>
      </c>
      <c r="G14044" s="4">
        <f>IFERROR(__xludf.DUMMYFUNCTION("""COMPUTED_VALUE"""),33.0)</f>
        <v>33</v>
      </c>
      <c r="H14044" s="4"/>
      <c r="I14044" s="4"/>
    </row>
    <row r="14045">
      <c r="A14045" s="4" t="str">
        <f>IFERROR(__xludf.DUMMYFUNCTION("""COMPUTED_VALUE"""),"cas_hmw")</f>
        <v>cas_hmw</v>
      </c>
      <c r="B14045" s="5">
        <f>IFERROR(__xludf.DUMMYFUNCTION("""COMPUTED_VALUE"""),44721.0)</f>
        <v>44721</v>
      </c>
      <c r="C14045" s="6">
        <f>IFERROR(__xludf.DUMMYFUNCTION("""COMPUTED_VALUE"""),0.6993287037039408)</f>
        <v>0.6993287037</v>
      </c>
      <c r="D14045" s="4">
        <f>IFERROR(__xludf.DUMMYFUNCTION("""COMPUTED_VALUE"""),12.919168)</f>
        <v>12.919168</v>
      </c>
      <c r="E14045" s="4">
        <f>IFERROR(__xludf.DUMMYFUNCTION("""COMPUTED_VALUE"""),80.109893)</f>
        <v>80.109893</v>
      </c>
      <c r="F14045" s="4">
        <f>IFERROR(__xludf.DUMMYFUNCTION("""COMPUTED_VALUE"""),805.0)</f>
        <v>805</v>
      </c>
      <c r="G14045" s="4">
        <f>IFERROR(__xludf.DUMMYFUNCTION("""COMPUTED_VALUE"""),42.0)</f>
        <v>42</v>
      </c>
      <c r="H14045" s="4"/>
      <c r="I14045" s="4"/>
    </row>
    <row r="14046">
      <c r="A14046" s="4" t="str">
        <f>IFERROR(__xludf.DUMMYFUNCTION("""COMPUTED_VALUE"""),"cas_hmw")</f>
        <v>cas_hmw</v>
      </c>
      <c r="B14046" s="5">
        <f>IFERROR(__xludf.DUMMYFUNCTION("""COMPUTED_VALUE"""),44721.0)</f>
        <v>44721</v>
      </c>
      <c r="C14046" s="6">
        <f>IFERROR(__xludf.DUMMYFUNCTION("""COMPUTED_VALUE"""),0.6993981481464289)</f>
        <v>0.6993981481</v>
      </c>
      <c r="D14046" s="4">
        <f>IFERROR(__xludf.DUMMYFUNCTION("""COMPUTED_VALUE"""),12.919168)</f>
        <v>12.919168</v>
      </c>
      <c r="E14046" s="4">
        <f>IFERROR(__xludf.DUMMYFUNCTION("""COMPUTED_VALUE"""),80.109893)</f>
        <v>80.109893</v>
      </c>
      <c r="F14046" s="4">
        <f>IFERROR(__xludf.DUMMYFUNCTION("""COMPUTED_VALUE"""),805.0)</f>
        <v>805</v>
      </c>
      <c r="G14046" s="4">
        <f>IFERROR(__xludf.DUMMYFUNCTION("""COMPUTED_VALUE"""),42.0)</f>
        <v>42</v>
      </c>
      <c r="H14046" s="4"/>
      <c r="I14046" s="4"/>
    </row>
    <row r="14047">
      <c r="A14047" s="4" t="str">
        <f>IFERROR(__xludf.DUMMYFUNCTION("""COMPUTED_VALUE"""),"cas_hmw")</f>
        <v>cas_hmw</v>
      </c>
      <c r="B14047" s="5">
        <f>IFERROR(__xludf.DUMMYFUNCTION("""COMPUTED_VALUE"""),44721.0)</f>
        <v>44721</v>
      </c>
      <c r="C14047" s="6">
        <f>IFERROR(__xludf.DUMMYFUNCTION("""COMPUTED_VALUE"""),0.6994907407424762)</f>
        <v>0.6994907407</v>
      </c>
      <c r="D14047" s="4">
        <f>IFERROR(__xludf.DUMMYFUNCTION("""COMPUTED_VALUE"""),12.920178)</f>
        <v>12.920178</v>
      </c>
      <c r="E14047" s="4">
        <f>IFERROR(__xludf.DUMMYFUNCTION("""COMPUTED_VALUE"""),80.111148)</f>
        <v>80.111148</v>
      </c>
      <c r="F14047" s="4">
        <f>IFERROR(__xludf.DUMMYFUNCTION("""COMPUTED_VALUE"""),805.0)</f>
        <v>805</v>
      </c>
      <c r="G14047" s="4">
        <f>IFERROR(__xludf.DUMMYFUNCTION("""COMPUTED_VALUE"""),51.0)</f>
        <v>51</v>
      </c>
      <c r="H14047" s="4"/>
      <c r="I14047" s="4"/>
    </row>
    <row r="14048">
      <c r="A14048" s="4" t="str">
        <f>IFERROR(__xludf.DUMMYFUNCTION("""COMPUTED_VALUE"""),"cas_hmw")</f>
        <v>cas_hmw</v>
      </c>
      <c r="B14048" s="5">
        <f>IFERROR(__xludf.DUMMYFUNCTION("""COMPUTED_VALUE"""),44721.0)</f>
        <v>44721</v>
      </c>
      <c r="C14048" s="6">
        <f>IFERROR(__xludf.DUMMYFUNCTION("""COMPUTED_VALUE"""),0.6998379629621923)</f>
        <v>0.699837963</v>
      </c>
      <c r="D14048" s="4">
        <f>IFERROR(__xludf.DUMMYFUNCTION("""COMPUTED_VALUE"""),12.916956)</f>
        <v>12.916956</v>
      </c>
      <c r="E14048" s="4">
        <f>IFERROR(__xludf.DUMMYFUNCTION("""COMPUTED_VALUE"""),80.106986)</f>
        <v>80.106986</v>
      </c>
      <c r="F14048" s="4">
        <f>IFERROR(__xludf.DUMMYFUNCTION("""COMPUTED_VALUE"""),2846.0)</f>
        <v>2846</v>
      </c>
      <c r="G14048" s="4">
        <f>IFERROR(__xludf.DUMMYFUNCTION("""COMPUTED_VALUE"""),23.0)</f>
        <v>23</v>
      </c>
      <c r="H14048" s="4"/>
      <c r="I14048" s="4"/>
    </row>
    <row r="14049">
      <c r="A14049" s="4" t="str">
        <f>IFERROR(__xludf.DUMMYFUNCTION("""COMPUTED_VALUE"""),"cas_hmw")</f>
        <v>cas_hmw</v>
      </c>
      <c r="B14049" s="5">
        <f>IFERROR(__xludf.DUMMYFUNCTION("""COMPUTED_VALUE"""),44721.0)</f>
        <v>44721</v>
      </c>
      <c r="C14049" s="6">
        <f>IFERROR(__xludf.DUMMYFUNCTION("""COMPUTED_VALUE"""),0.6998379629621923)</f>
        <v>0.699837963</v>
      </c>
      <c r="D14049" s="4">
        <f>IFERROR(__xludf.DUMMYFUNCTION("""COMPUTED_VALUE"""),12.916956)</f>
        <v>12.916956</v>
      </c>
      <c r="E14049" s="4">
        <f>IFERROR(__xludf.DUMMYFUNCTION("""COMPUTED_VALUE"""),80.106986)</f>
        <v>80.106986</v>
      </c>
      <c r="F14049" s="4">
        <f>IFERROR(__xludf.DUMMYFUNCTION("""COMPUTED_VALUE"""),2846.0)</f>
        <v>2846</v>
      </c>
      <c r="G14049" s="4">
        <f>IFERROR(__xludf.DUMMYFUNCTION("""COMPUTED_VALUE"""),23.0)</f>
        <v>23</v>
      </c>
      <c r="H14049" s="4"/>
      <c r="I14049" s="4"/>
    </row>
    <row r="14050">
      <c r="A14050" s="4" t="str">
        <f>IFERROR(__xludf.DUMMYFUNCTION("""COMPUTED_VALUE"""),"cas_hmw")</f>
        <v>cas_hmw</v>
      </c>
      <c r="B14050" s="5">
        <f>IFERROR(__xludf.DUMMYFUNCTION("""COMPUTED_VALUE"""),44721.0)</f>
        <v>44721</v>
      </c>
      <c r="C14050" s="6">
        <f>IFERROR(__xludf.DUMMYFUNCTION("""COMPUTED_VALUE"""),0.7002199074086093)</f>
        <v>0.7002199074</v>
      </c>
      <c r="D14050" s="4">
        <f>IFERROR(__xludf.DUMMYFUNCTION("""COMPUTED_VALUE"""),12.923782)</f>
        <v>12.923782</v>
      </c>
      <c r="E14050" s="4">
        <f>IFERROR(__xludf.DUMMYFUNCTION("""COMPUTED_VALUE"""),80.114799)</f>
        <v>80.114799</v>
      </c>
      <c r="F14050" s="4">
        <f>IFERROR(__xludf.DUMMYFUNCTION("""COMPUTED_VALUE"""),805.0)</f>
        <v>805</v>
      </c>
      <c r="G14050" s="4">
        <f>IFERROR(__xludf.DUMMYFUNCTION("""COMPUTED_VALUE"""),31.0)</f>
        <v>31</v>
      </c>
      <c r="H14050" s="4"/>
      <c r="I14050" s="4"/>
    </row>
    <row r="14051">
      <c r="A14051" s="4" t="str">
        <f>IFERROR(__xludf.DUMMYFUNCTION("""COMPUTED_VALUE"""),"cas_hmw")</f>
        <v>cas_hmw</v>
      </c>
      <c r="B14051" s="5">
        <f>IFERROR(__xludf.DUMMYFUNCTION("""COMPUTED_VALUE"""),44721.0)</f>
        <v>44721</v>
      </c>
      <c r="C14051" s="6">
        <f>IFERROR(__xludf.DUMMYFUNCTION("""COMPUTED_VALUE"""),0.7002777777779556)</f>
        <v>0.7002777778</v>
      </c>
      <c r="D14051" s="4">
        <f>IFERROR(__xludf.DUMMYFUNCTION("""COMPUTED_VALUE"""),12.923782)</f>
        <v>12.923782</v>
      </c>
      <c r="E14051" s="4">
        <f>IFERROR(__xludf.DUMMYFUNCTION("""COMPUTED_VALUE"""),80.114799)</f>
        <v>80.114799</v>
      </c>
      <c r="F14051" s="4">
        <f>IFERROR(__xludf.DUMMYFUNCTION("""COMPUTED_VALUE"""),805.0)</f>
        <v>805</v>
      </c>
      <c r="G14051" s="4">
        <f>IFERROR(__xludf.DUMMYFUNCTION("""COMPUTED_VALUE"""),31.0)</f>
        <v>31</v>
      </c>
      <c r="H14051" s="4"/>
      <c r="I14051" s="4"/>
    </row>
    <row r="14052">
      <c r="A14052" s="4" t="str">
        <f>IFERROR(__xludf.DUMMYFUNCTION("""COMPUTED_VALUE"""),"cas_hmw")</f>
        <v>cas_hmw</v>
      </c>
      <c r="B14052" s="5">
        <f>IFERROR(__xludf.DUMMYFUNCTION("""COMPUTED_VALUE"""),44721.0)</f>
        <v>44721</v>
      </c>
      <c r="C14052" s="6">
        <f>IFERROR(__xludf.DUMMYFUNCTION("""COMPUTED_VALUE"""),0.7037384259274404)</f>
        <v>0.7037384259</v>
      </c>
      <c r="D14052" s="4">
        <f>IFERROR(__xludf.DUMMYFUNCTION("""COMPUTED_VALUE"""),12.931436)</f>
        <v>12.931436</v>
      </c>
      <c r="E14052" s="4">
        <f>IFERROR(__xludf.DUMMYFUNCTION("""COMPUTED_VALUE"""),80.122516)</f>
        <v>80.122516</v>
      </c>
      <c r="F14052" s="4">
        <f>IFERROR(__xludf.DUMMYFUNCTION("""COMPUTED_VALUE"""),805.0)</f>
        <v>805</v>
      </c>
      <c r="G14052" s="4">
        <f>IFERROR(__xludf.DUMMYFUNCTION("""COMPUTED_VALUE"""),16.0)</f>
        <v>16</v>
      </c>
      <c r="H14052" s="4"/>
      <c r="I14052" s="4"/>
    </row>
    <row r="14053">
      <c r="A14053" s="4" t="str">
        <f>IFERROR(__xludf.DUMMYFUNCTION("""COMPUTED_VALUE"""),"cas_hmw")</f>
        <v>cas_hmw</v>
      </c>
      <c r="B14053" s="5">
        <f>IFERROR(__xludf.DUMMYFUNCTION("""COMPUTED_VALUE"""),44721.0)</f>
        <v>44721</v>
      </c>
      <c r="C14053" s="6">
        <f>IFERROR(__xludf.DUMMYFUNCTION("""COMPUTED_VALUE"""),0.7041550925932825)</f>
        <v>0.7041550926</v>
      </c>
      <c r="D14053" s="4">
        <f>IFERROR(__xludf.DUMMYFUNCTION("""COMPUTED_VALUE"""),12.932812)</f>
        <v>12.932812</v>
      </c>
      <c r="E14053" s="4">
        <f>IFERROR(__xludf.DUMMYFUNCTION("""COMPUTED_VALUE"""),80.123881)</f>
        <v>80.123881</v>
      </c>
      <c r="F14053" s="4">
        <f>IFERROR(__xludf.DUMMYFUNCTION("""COMPUTED_VALUE"""),805.0)</f>
        <v>805</v>
      </c>
      <c r="G14053" s="4">
        <f>IFERROR(__xludf.DUMMYFUNCTION("""COMPUTED_VALUE"""),40.0)</f>
        <v>40</v>
      </c>
      <c r="H14053" s="4"/>
      <c r="I14053" s="4"/>
    </row>
    <row r="14054">
      <c r="A14054" s="4" t="str">
        <f>IFERROR(__xludf.DUMMYFUNCTION("""COMPUTED_VALUE"""),"cas_hmw")</f>
        <v>cas_hmw</v>
      </c>
      <c r="B14054" s="5">
        <f>IFERROR(__xludf.DUMMYFUNCTION("""COMPUTED_VALUE"""),44721.0)</f>
        <v>44721</v>
      </c>
      <c r="C14054" s="6">
        <f>IFERROR(__xludf.DUMMYFUNCTION("""COMPUTED_VALUE"""),0.7042592592588335)</f>
        <v>0.7042592593</v>
      </c>
      <c r="D14054" s="4">
        <f>IFERROR(__xludf.DUMMYFUNCTION("""COMPUTED_VALUE"""),12.923111)</f>
        <v>12.923111</v>
      </c>
      <c r="E14054" s="4">
        <f>IFERROR(__xludf.DUMMYFUNCTION("""COMPUTED_VALUE"""),80.123753)</f>
        <v>80.123753</v>
      </c>
      <c r="F14054" s="4">
        <f>IFERROR(__xludf.DUMMYFUNCTION("""COMPUTED_VALUE"""),2846.0)</f>
        <v>2846</v>
      </c>
      <c r="G14054" s="4">
        <f>IFERROR(__xludf.DUMMYFUNCTION("""COMPUTED_VALUE"""),33.0)</f>
        <v>33</v>
      </c>
      <c r="H14054" s="4"/>
      <c r="I14054" s="4"/>
    </row>
    <row r="14055">
      <c r="A14055" s="4" t="str">
        <f>IFERROR(__xludf.DUMMYFUNCTION("""COMPUTED_VALUE"""),"cas_hmw")</f>
        <v>cas_hmw</v>
      </c>
      <c r="B14055" s="5">
        <f>IFERROR(__xludf.DUMMYFUNCTION("""COMPUTED_VALUE"""),44721.0)</f>
        <v>44721</v>
      </c>
      <c r="C14055" s="6">
        <f>IFERROR(__xludf.DUMMYFUNCTION("""COMPUTED_VALUE"""),0.7042592592588335)</f>
        <v>0.7042592593</v>
      </c>
      <c r="D14055" s="4">
        <f>IFERROR(__xludf.DUMMYFUNCTION("""COMPUTED_VALUE"""),12.923111)</f>
        <v>12.923111</v>
      </c>
      <c r="E14055" s="4">
        <f>IFERROR(__xludf.DUMMYFUNCTION("""COMPUTED_VALUE"""),80.123753)</f>
        <v>80.123753</v>
      </c>
      <c r="F14055" s="4">
        <f>IFERROR(__xludf.DUMMYFUNCTION("""COMPUTED_VALUE"""),2846.0)</f>
        <v>2846</v>
      </c>
      <c r="G14055" s="4">
        <f>IFERROR(__xludf.DUMMYFUNCTION("""COMPUTED_VALUE"""),33.0)</f>
        <v>33</v>
      </c>
      <c r="H14055" s="4"/>
      <c r="I14055" s="4"/>
    </row>
    <row r="14056">
      <c r="A14056" s="4" t="str">
        <f>IFERROR(__xludf.DUMMYFUNCTION("""COMPUTED_VALUE"""),"cas_hmw")</f>
        <v>cas_hmw</v>
      </c>
      <c r="B14056" s="5">
        <f>IFERROR(__xludf.DUMMYFUNCTION("""COMPUTED_VALUE"""),44721.0)</f>
        <v>44721</v>
      </c>
      <c r="C14056" s="6">
        <f>IFERROR(__xludf.DUMMYFUNCTION("""COMPUTED_VALUE"""),0.7043055555550382)</f>
        <v>0.7043055556</v>
      </c>
      <c r="D14056" s="4">
        <f>IFERROR(__xludf.DUMMYFUNCTION("""COMPUTED_VALUE"""),12.923111)</f>
        <v>12.923111</v>
      </c>
      <c r="E14056" s="4">
        <f>IFERROR(__xludf.DUMMYFUNCTION("""COMPUTED_VALUE"""),80.123753)</f>
        <v>80.123753</v>
      </c>
      <c r="F14056" s="4">
        <f>IFERROR(__xludf.DUMMYFUNCTION("""COMPUTED_VALUE"""),2846.0)</f>
        <v>2846</v>
      </c>
      <c r="G14056" s="4">
        <f>IFERROR(__xludf.DUMMYFUNCTION("""COMPUTED_VALUE"""),33.0)</f>
        <v>33</v>
      </c>
      <c r="H14056" s="4"/>
      <c r="I14056" s="4"/>
    </row>
    <row r="14057">
      <c r="A14057" s="4" t="str">
        <f>IFERROR(__xludf.DUMMYFUNCTION("""COMPUTED_VALUE"""),"cas_hmw")</f>
        <v>cas_hmw</v>
      </c>
      <c r="B14057" s="5">
        <f>IFERROR(__xludf.DUMMYFUNCTION("""COMPUTED_VALUE"""),44721.0)</f>
        <v>44721</v>
      </c>
      <c r="C14057" s="6">
        <f>IFERROR(__xludf.DUMMYFUNCTION("""COMPUTED_VALUE"""),0.7043055555550382)</f>
        <v>0.7043055556</v>
      </c>
      <c r="D14057" s="4">
        <f>IFERROR(__xludf.DUMMYFUNCTION("""COMPUTED_VALUE"""),12.923111)</f>
        <v>12.923111</v>
      </c>
      <c r="E14057" s="4">
        <f>IFERROR(__xludf.DUMMYFUNCTION("""COMPUTED_VALUE"""),80.123753)</f>
        <v>80.123753</v>
      </c>
      <c r="F14057" s="4">
        <f>IFERROR(__xludf.DUMMYFUNCTION("""COMPUTED_VALUE"""),2846.0)</f>
        <v>2846</v>
      </c>
      <c r="G14057" s="4">
        <f>IFERROR(__xludf.DUMMYFUNCTION("""COMPUTED_VALUE"""),33.0)</f>
        <v>33</v>
      </c>
      <c r="H14057" s="4"/>
      <c r="I14057" s="4"/>
    </row>
    <row r="14058">
      <c r="A14058" s="4" t="str">
        <f>IFERROR(__xludf.DUMMYFUNCTION("""COMPUTED_VALUE"""),"cas_hmw")</f>
        <v>cas_hmw</v>
      </c>
      <c r="B14058" s="5">
        <f>IFERROR(__xludf.DUMMYFUNCTION("""COMPUTED_VALUE"""),44721.0)</f>
        <v>44721</v>
      </c>
      <c r="C14058" s="6">
        <f>IFERROR(__xludf.DUMMYFUNCTION("""COMPUTED_VALUE"""),0.7043055555550382)</f>
        <v>0.7043055556</v>
      </c>
      <c r="D14058" s="4">
        <f>IFERROR(__xludf.DUMMYFUNCTION("""COMPUTED_VALUE"""),12.923111)</f>
        <v>12.923111</v>
      </c>
      <c r="E14058" s="4">
        <f>IFERROR(__xludf.DUMMYFUNCTION("""COMPUTED_VALUE"""),80.123753)</f>
        <v>80.123753</v>
      </c>
      <c r="F14058" s="4">
        <f>IFERROR(__xludf.DUMMYFUNCTION("""COMPUTED_VALUE"""),2846.0)</f>
        <v>2846</v>
      </c>
      <c r="G14058" s="4">
        <f>IFERROR(__xludf.DUMMYFUNCTION("""COMPUTED_VALUE"""),33.0)</f>
        <v>33</v>
      </c>
      <c r="H14058" s="4"/>
      <c r="I14058" s="4"/>
    </row>
    <row r="14059">
      <c r="A14059" s="4" t="str">
        <f>IFERROR(__xludf.DUMMYFUNCTION("""COMPUTED_VALUE"""),"cas_hmw")</f>
        <v>cas_hmw</v>
      </c>
      <c r="B14059" s="5">
        <f>IFERROR(__xludf.DUMMYFUNCTION("""COMPUTED_VALUE"""),44721.0)</f>
        <v>44721</v>
      </c>
      <c r="C14059" s="6">
        <f>IFERROR(__xludf.DUMMYFUNCTION("""COMPUTED_VALUE"""),0.7043055555550382)</f>
        <v>0.7043055556</v>
      </c>
      <c r="D14059" s="4">
        <f>IFERROR(__xludf.DUMMYFUNCTION("""COMPUTED_VALUE"""),12.923111)</f>
        <v>12.923111</v>
      </c>
      <c r="E14059" s="4">
        <f>IFERROR(__xludf.DUMMYFUNCTION("""COMPUTED_VALUE"""),80.123753)</f>
        <v>80.123753</v>
      </c>
      <c r="F14059" s="4">
        <f>IFERROR(__xludf.DUMMYFUNCTION("""COMPUTED_VALUE"""),2846.0)</f>
        <v>2846</v>
      </c>
      <c r="G14059" s="4">
        <f>IFERROR(__xludf.DUMMYFUNCTION("""COMPUTED_VALUE"""),33.0)</f>
        <v>33</v>
      </c>
      <c r="H14059" s="4"/>
      <c r="I14059" s="4"/>
    </row>
    <row r="14060">
      <c r="A14060" s="4" t="str">
        <f>IFERROR(__xludf.DUMMYFUNCTION("""COMPUTED_VALUE"""),"cas_hmw")</f>
        <v>cas_hmw</v>
      </c>
      <c r="B14060" s="5">
        <f>IFERROR(__xludf.DUMMYFUNCTION("""COMPUTED_VALUE"""),44721.0)</f>
        <v>44721</v>
      </c>
      <c r="C14060" s="6">
        <f>IFERROR(__xludf.DUMMYFUNCTION("""COMPUTED_VALUE"""),0.7043518518512428)</f>
        <v>0.7043518519</v>
      </c>
      <c r="D14060" s="4">
        <f>IFERROR(__xludf.DUMMYFUNCTION("""COMPUTED_VALUE"""),12.93417)</f>
        <v>12.93417</v>
      </c>
      <c r="E14060" s="4">
        <f>IFERROR(__xludf.DUMMYFUNCTION("""COMPUTED_VALUE"""),80.125232)</f>
        <v>80.125232</v>
      </c>
      <c r="F14060" s="4">
        <f>IFERROR(__xludf.DUMMYFUNCTION("""COMPUTED_VALUE"""),805.0)</f>
        <v>805</v>
      </c>
      <c r="G14060" s="4">
        <f>IFERROR(__xludf.DUMMYFUNCTION("""COMPUTED_VALUE"""),52.0)</f>
        <v>52</v>
      </c>
      <c r="H14060" s="4"/>
      <c r="I14060" s="4"/>
    </row>
    <row r="14061">
      <c r="A14061" s="4" t="str">
        <f>IFERROR(__xludf.DUMMYFUNCTION("""COMPUTED_VALUE"""),"cas_hmw")</f>
        <v>cas_hmw</v>
      </c>
      <c r="B14061" s="5">
        <f>IFERROR(__xludf.DUMMYFUNCTION("""COMPUTED_VALUE"""),44721.0)</f>
        <v>44721</v>
      </c>
      <c r="C14061" s="6">
        <f>IFERROR(__xludf.DUMMYFUNCTION("""COMPUTED_VALUE"""),0.7044097222205892)</f>
        <v>0.7044097222</v>
      </c>
      <c r="D14061" s="4">
        <f>IFERROR(__xludf.DUMMYFUNCTION("""COMPUTED_VALUE"""),12.935582)</f>
        <v>12.935582</v>
      </c>
      <c r="E14061" s="4">
        <f>IFERROR(__xludf.DUMMYFUNCTION("""COMPUTED_VALUE"""),80.126503)</f>
        <v>80.126503</v>
      </c>
      <c r="F14061" s="4">
        <f>IFERROR(__xludf.DUMMYFUNCTION("""COMPUTED_VALUE"""),805.0)</f>
        <v>805</v>
      </c>
      <c r="G14061" s="4">
        <f>IFERROR(__xludf.DUMMYFUNCTION("""COMPUTED_VALUE"""),46.0)</f>
        <v>46</v>
      </c>
      <c r="H14061" s="4"/>
      <c r="I14061" s="4"/>
    </row>
    <row r="14062">
      <c r="A14062" s="4" t="str">
        <f>IFERROR(__xludf.DUMMYFUNCTION("""COMPUTED_VALUE"""),"cas_hmw")</f>
        <v>cas_hmw</v>
      </c>
      <c r="B14062" s="5">
        <f>IFERROR(__xludf.DUMMYFUNCTION("""COMPUTED_VALUE"""),44721.0)</f>
        <v>44721</v>
      </c>
      <c r="C14062" s="6">
        <f>IFERROR(__xludf.DUMMYFUNCTION("""COMPUTED_VALUE"""),0.7045138888897782)</f>
        <v>0.7045138889</v>
      </c>
      <c r="D14062" s="4">
        <f>IFERROR(__xludf.DUMMYFUNCTION("""COMPUTED_VALUE"""),12.935582)</f>
        <v>12.935582</v>
      </c>
      <c r="E14062" s="4">
        <f>IFERROR(__xludf.DUMMYFUNCTION("""COMPUTED_VALUE"""),80.126503)</f>
        <v>80.126503</v>
      </c>
      <c r="F14062" s="4">
        <f>IFERROR(__xludf.DUMMYFUNCTION("""COMPUTED_VALUE"""),805.0)</f>
        <v>805</v>
      </c>
      <c r="G14062" s="4">
        <f>IFERROR(__xludf.DUMMYFUNCTION("""COMPUTED_VALUE"""),46.0)</f>
        <v>46</v>
      </c>
      <c r="H14062" s="4"/>
      <c r="I14062" s="4"/>
    </row>
    <row r="14063">
      <c r="A14063" s="4" t="str">
        <f>IFERROR(__xludf.DUMMYFUNCTION("""COMPUTED_VALUE"""),"cas_hmw")</f>
        <v>cas_hmw</v>
      </c>
      <c r="B14063" s="5">
        <f>IFERROR(__xludf.DUMMYFUNCTION("""COMPUTED_VALUE"""),44721.0)</f>
        <v>44721</v>
      </c>
      <c r="C14063" s="6">
        <f>IFERROR(__xludf.DUMMYFUNCTION("""COMPUTED_VALUE"""),0.7045717592591245)</f>
        <v>0.7045717593</v>
      </c>
      <c r="D14063" s="4">
        <f>IFERROR(__xludf.DUMMYFUNCTION("""COMPUTED_VALUE"""),12.935582)</f>
        <v>12.935582</v>
      </c>
      <c r="E14063" s="4">
        <f>IFERROR(__xludf.DUMMYFUNCTION("""COMPUTED_VALUE"""),80.126503)</f>
        <v>80.126503</v>
      </c>
      <c r="F14063" s="4">
        <f>IFERROR(__xludf.DUMMYFUNCTION("""COMPUTED_VALUE"""),805.0)</f>
        <v>805</v>
      </c>
      <c r="G14063" s="4">
        <f>IFERROR(__xludf.DUMMYFUNCTION("""COMPUTED_VALUE"""),46.0)</f>
        <v>46</v>
      </c>
      <c r="H14063" s="4"/>
      <c r="I14063" s="4"/>
    </row>
    <row r="14064">
      <c r="A14064" s="4" t="str">
        <f>IFERROR(__xludf.DUMMYFUNCTION("""COMPUTED_VALUE"""),"cas_hmw")</f>
        <v>cas_hmw</v>
      </c>
      <c r="B14064" s="5">
        <f>IFERROR(__xludf.DUMMYFUNCTION("""COMPUTED_VALUE"""),44721.0)</f>
        <v>44721</v>
      </c>
      <c r="C14064" s="6">
        <f>IFERROR(__xludf.DUMMYFUNCTION("""COMPUTED_VALUE"""),0.7065277777765004)</f>
        <v>0.7065277778</v>
      </c>
      <c r="D14064" s="4">
        <f>IFERROR(__xludf.DUMMYFUNCTION("""COMPUTED_VALUE"""),12.950342)</f>
        <v>12.950342</v>
      </c>
      <c r="E14064" s="4">
        <f>IFERROR(__xludf.DUMMYFUNCTION("""COMPUTED_VALUE"""),80.139354)</f>
        <v>80.139354</v>
      </c>
      <c r="F14064" s="4">
        <f>IFERROR(__xludf.DUMMYFUNCTION("""COMPUTED_VALUE"""),805.0)</f>
        <v>805</v>
      </c>
      <c r="G14064" s="4">
        <f>IFERROR(__xludf.DUMMYFUNCTION("""COMPUTED_VALUE"""),0.0)</f>
        <v>0</v>
      </c>
      <c r="H14064" s="4"/>
      <c r="I14064" s="4"/>
    </row>
    <row r="14065">
      <c r="A14065" s="4" t="str">
        <f>IFERROR(__xludf.DUMMYFUNCTION("""COMPUTED_VALUE"""),"cas_hmw")</f>
        <v>cas_hmw</v>
      </c>
      <c r="B14065" s="5">
        <f>IFERROR(__xludf.DUMMYFUNCTION("""COMPUTED_VALUE"""),44721.0)</f>
        <v>44721</v>
      </c>
      <c r="C14065" s="6">
        <f>IFERROR(__xludf.DUMMYFUNCTION("""COMPUTED_VALUE"""),0.7068634259267128)</f>
        <v>0.7068634259</v>
      </c>
      <c r="D14065" s="4">
        <f>IFERROR(__xludf.DUMMYFUNCTION("""COMPUTED_VALUE"""),12.922772)</f>
        <v>12.922772</v>
      </c>
      <c r="E14065" s="4">
        <f>IFERROR(__xludf.DUMMYFUNCTION("""COMPUTED_VALUE"""),80.131376)</f>
        <v>80.131376</v>
      </c>
      <c r="F14065" s="4">
        <f>IFERROR(__xludf.DUMMYFUNCTION("""COMPUTED_VALUE"""),2846.0)</f>
        <v>2846</v>
      </c>
      <c r="G14065" s="4">
        <f>IFERROR(__xludf.DUMMYFUNCTION("""COMPUTED_VALUE"""),29.0)</f>
        <v>29</v>
      </c>
      <c r="H14065" s="4"/>
      <c r="I14065" s="4"/>
    </row>
    <row r="14066">
      <c r="A14066" s="4" t="str">
        <f>IFERROR(__xludf.DUMMYFUNCTION("""COMPUTED_VALUE"""),"cas_hmw")</f>
        <v>cas_hmw</v>
      </c>
      <c r="B14066" s="5">
        <f>IFERROR(__xludf.DUMMYFUNCTION("""COMPUTED_VALUE"""),44721.0)</f>
        <v>44721</v>
      </c>
      <c r="C14066" s="6">
        <f>IFERROR(__xludf.DUMMYFUNCTION("""COMPUTED_VALUE"""),0.7079861111124046)</f>
        <v>0.7079861111</v>
      </c>
      <c r="D14066" s="4">
        <f>IFERROR(__xludf.DUMMYFUNCTION("""COMPUTED_VALUE"""),12.956093)</f>
        <v>12.956093</v>
      </c>
      <c r="E14066" s="4">
        <f>IFERROR(__xludf.DUMMYFUNCTION("""COMPUTED_VALUE"""),80.142911)</f>
        <v>80.142911</v>
      </c>
      <c r="F14066" s="4">
        <f>IFERROR(__xludf.DUMMYFUNCTION("""COMPUTED_VALUE"""),805.0)</f>
        <v>805</v>
      </c>
      <c r="G14066" s="4">
        <f>IFERROR(__xludf.DUMMYFUNCTION("""COMPUTED_VALUE"""),0.0)</f>
        <v>0</v>
      </c>
      <c r="H14066" s="4"/>
      <c r="I14066" s="4"/>
    </row>
    <row r="14067">
      <c r="A14067" s="4" t="str">
        <f>IFERROR(__xludf.DUMMYFUNCTION("""COMPUTED_VALUE"""),"cas_hmw")</f>
        <v>cas_hmw</v>
      </c>
      <c r="B14067" s="5">
        <f>IFERROR(__xludf.DUMMYFUNCTION("""COMPUTED_VALUE"""),44721.0)</f>
        <v>44721</v>
      </c>
      <c r="C14067" s="6">
        <f>IFERROR(__xludf.DUMMYFUNCTION("""COMPUTED_VALUE"""),0.7085879629630654)</f>
        <v>0.708587963</v>
      </c>
      <c r="D14067" s="4">
        <f>IFERROR(__xludf.DUMMYFUNCTION("""COMPUTED_VALUE"""),12.922412)</f>
        <v>12.922412</v>
      </c>
      <c r="E14067" s="4">
        <f>IFERROR(__xludf.DUMMYFUNCTION("""COMPUTED_VALUE"""),80.138814)</f>
        <v>80.138814</v>
      </c>
      <c r="F14067" s="4">
        <f>IFERROR(__xludf.DUMMYFUNCTION("""COMPUTED_VALUE"""),2846.0)</f>
        <v>2846</v>
      </c>
      <c r="G14067" s="4">
        <f>IFERROR(__xludf.DUMMYFUNCTION("""COMPUTED_VALUE"""),29.0)</f>
        <v>29</v>
      </c>
      <c r="H14067" s="4"/>
      <c r="I14067" s="4"/>
    </row>
    <row r="14068">
      <c r="A14068" s="4" t="str">
        <f>IFERROR(__xludf.DUMMYFUNCTION("""COMPUTED_VALUE"""),"cas_hmw")</f>
        <v>cas_hmw</v>
      </c>
      <c r="B14068" s="5">
        <f>IFERROR(__xludf.DUMMYFUNCTION("""COMPUTED_VALUE"""),44721.0)</f>
        <v>44721</v>
      </c>
      <c r="C14068" s="6">
        <f>IFERROR(__xludf.DUMMYFUNCTION("""COMPUTED_VALUE"""),0.7085879629630654)</f>
        <v>0.708587963</v>
      </c>
      <c r="D14068" s="4">
        <f>IFERROR(__xludf.DUMMYFUNCTION("""COMPUTED_VALUE"""),12.958808)</f>
        <v>12.958808</v>
      </c>
      <c r="E14068" s="4">
        <f>IFERROR(__xludf.DUMMYFUNCTION("""COMPUTED_VALUE"""),80.144324)</f>
        <v>80.144324</v>
      </c>
      <c r="F14068" s="4">
        <f>IFERROR(__xludf.DUMMYFUNCTION("""COMPUTED_VALUE"""),805.0)</f>
        <v>805</v>
      </c>
      <c r="G14068" s="4">
        <f>IFERROR(__xludf.DUMMYFUNCTION("""COMPUTED_VALUE"""),45.0)</f>
        <v>45</v>
      </c>
      <c r="H14068" s="4"/>
      <c r="I14068" s="4"/>
    </row>
    <row r="14069">
      <c r="A14069" s="4" t="str">
        <f>IFERROR(__xludf.DUMMYFUNCTION("""COMPUTED_VALUE"""),"cas_hmw")</f>
        <v>cas_hmw</v>
      </c>
      <c r="B14069" s="5">
        <f>IFERROR(__xludf.DUMMYFUNCTION("""COMPUTED_VALUE"""),44721.0)</f>
        <v>44721</v>
      </c>
      <c r="C14069" s="6">
        <f>IFERROR(__xludf.DUMMYFUNCTION("""COMPUTED_VALUE"""),0.7088194444440887)</f>
        <v>0.7088194444</v>
      </c>
      <c r="D14069" s="4">
        <f>IFERROR(__xludf.DUMMYFUNCTION("""COMPUTED_VALUE"""),12.92242)</f>
        <v>12.92242</v>
      </c>
      <c r="E14069" s="4">
        <f>IFERROR(__xludf.DUMMYFUNCTION("""COMPUTED_VALUE"""),80.140074)</f>
        <v>80.140074</v>
      </c>
      <c r="F14069" s="4">
        <f>IFERROR(__xludf.DUMMYFUNCTION("""COMPUTED_VALUE"""),2846.0)</f>
        <v>2846</v>
      </c>
      <c r="G14069" s="4">
        <f>IFERROR(__xludf.DUMMYFUNCTION("""COMPUTED_VALUE"""),22.0)</f>
        <v>22</v>
      </c>
      <c r="H14069" s="4"/>
      <c r="I14069" s="4"/>
    </row>
    <row r="14070">
      <c r="A14070" s="4" t="str">
        <f>IFERROR(__xludf.DUMMYFUNCTION("""COMPUTED_VALUE"""),"cas_hmw")</f>
        <v>cas_hmw</v>
      </c>
      <c r="B14070" s="5">
        <f>IFERROR(__xludf.DUMMYFUNCTION("""COMPUTED_VALUE"""),44721.0)</f>
        <v>44721</v>
      </c>
      <c r="C14070" s="6">
        <f>IFERROR(__xludf.DUMMYFUNCTION("""COMPUTED_VALUE"""),0.7088194444440887)</f>
        <v>0.7088194444</v>
      </c>
      <c r="D14070" s="4">
        <f>IFERROR(__xludf.DUMMYFUNCTION("""COMPUTED_VALUE"""),12.92242)</f>
        <v>12.92242</v>
      </c>
      <c r="E14070" s="4">
        <f>IFERROR(__xludf.DUMMYFUNCTION("""COMPUTED_VALUE"""),80.140074)</f>
        <v>80.140074</v>
      </c>
      <c r="F14070" s="4">
        <f>IFERROR(__xludf.DUMMYFUNCTION("""COMPUTED_VALUE"""),2846.0)</f>
        <v>2846</v>
      </c>
      <c r="G14070" s="4">
        <f>IFERROR(__xludf.DUMMYFUNCTION("""COMPUTED_VALUE"""),22.0)</f>
        <v>22</v>
      </c>
      <c r="H14070" s="4"/>
      <c r="I14070" s="4"/>
    </row>
    <row r="14071">
      <c r="A14071" s="4" t="str">
        <f>IFERROR(__xludf.DUMMYFUNCTION("""COMPUTED_VALUE"""),"cas_hmw")</f>
        <v>cas_hmw</v>
      </c>
      <c r="B14071" s="5">
        <f>IFERROR(__xludf.DUMMYFUNCTION("""COMPUTED_VALUE"""),44721.0)</f>
        <v>44721</v>
      </c>
      <c r="C14071" s="6">
        <f>IFERROR(__xludf.DUMMYFUNCTION("""COMPUTED_VALUE"""),0.7089930555557657)</f>
        <v>0.7089930556</v>
      </c>
      <c r="D14071" s="4">
        <f>IFERROR(__xludf.DUMMYFUNCTION("""COMPUTED_VALUE"""),12.9609)</f>
        <v>12.9609</v>
      </c>
      <c r="E14071" s="4">
        <f>IFERROR(__xludf.DUMMYFUNCTION("""COMPUTED_VALUE"""),80.145439)</f>
        <v>80.145439</v>
      </c>
      <c r="F14071" s="4">
        <f>IFERROR(__xludf.DUMMYFUNCTION("""COMPUTED_VALUE"""),805.0)</f>
        <v>805</v>
      </c>
      <c r="G14071" s="4">
        <f>IFERROR(__xludf.DUMMYFUNCTION("""COMPUTED_VALUE"""),33.0)</f>
        <v>33</v>
      </c>
      <c r="H14071" s="4"/>
      <c r="I14071" s="4"/>
    </row>
    <row r="14072">
      <c r="A14072" s="4" t="str">
        <f>IFERROR(__xludf.DUMMYFUNCTION("""COMPUTED_VALUE"""),"cas_hmw")</f>
        <v>cas_hmw</v>
      </c>
      <c r="B14072" s="5">
        <f>IFERROR(__xludf.DUMMYFUNCTION("""COMPUTED_VALUE"""),44721.0)</f>
        <v>44721</v>
      </c>
      <c r="C14072" s="6">
        <f>IFERROR(__xludf.DUMMYFUNCTION("""COMPUTED_VALUE"""),0.7100115740722686)</f>
        <v>0.7100115741</v>
      </c>
      <c r="D14072" s="4">
        <f>IFERROR(__xludf.DUMMYFUNCTION("""COMPUTED_VALUE"""),12.971619)</f>
        <v>12.971619</v>
      </c>
      <c r="E14072" s="4">
        <f>IFERROR(__xludf.DUMMYFUNCTION("""COMPUTED_VALUE"""),80.151081)</f>
        <v>80.151081</v>
      </c>
      <c r="F14072" s="4">
        <f>IFERROR(__xludf.DUMMYFUNCTION("""COMPUTED_VALUE"""),805.0)</f>
        <v>805</v>
      </c>
      <c r="G14072" s="4">
        <f>IFERROR(__xludf.DUMMYFUNCTION("""COMPUTED_VALUE"""),58.0)</f>
        <v>58</v>
      </c>
      <c r="H14072" s="4"/>
      <c r="I14072" s="4"/>
    </row>
    <row r="14073">
      <c r="A14073" s="4" t="str">
        <f>IFERROR(__xludf.DUMMYFUNCTION("""COMPUTED_VALUE"""),"cas_hmw")</f>
        <v>cas_hmw</v>
      </c>
      <c r="B14073" s="5">
        <f>IFERROR(__xludf.DUMMYFUNCTION("""COMPUTED_VALUE"""),44721.0)</f>
        <v>44721</v>
      </c>
      <c r="C14073" s="6">
        <f>IFERROR(__xludf.DUMMYFUNCTION("""COMPUTED_VALUE"""),0.7102430555569299)</f>
        <v>0.7102430556</v>
      </c>
      <c r="D14073" s="4">
        <f>IFERROR(__xludf.DUMMYFUNCTION("""COMPUTED_VALUE"""),12.973179)</f>
        <v>12.973179</v>
      </c>
      <c r="E14073" s="4">
        <f>IFERROR(__xludf.DUMMYFUNCTION("""COMPUTED_VALUE"""),80.152819)</f>
        <v>80.152819</v>
      </c>
      <c r="F14073" s="4">
        <f>IFERROR(__xludf.DUMMYFUNCTION("""COMPUTED_VALUE"""),805.0)</f>
        <v>805</v>
      </c>
      <c r="G14073" s="4">
        <f>IFERROR(__xludf.DUMMYFUNCTION("""COMPUTED_VALUE"""),58.0)</f>
        <v>58</v>
      </c>
      <c r="H14073" s="4"/>
      <c r="I14073" s="4"/>
    </row>
    <row r="14074">
      <c r="A14074" s="4" t="str">
        <f>IFERROR(__xludf.DUMMYFUNCTION("""COMPUTED_VALUE"""),"cas_hmw")</f>
        <v>cas_hmw</v>
      </c>
      <c r="B14074" s="5">
        <f>IFERROR(__xludf.DUMMYFUNCTION("""COMPUTED_VALUE"""),44721.0)</f>
        <v>44721</v>
      </c>
      <c r="C14074" s="6">
        <f>IFERROR(__xludf.DUMMYFUNCTION("""COMPUTED_VALUE"""),0.7104282407417486)</f>
        <v>0.7104282407</v>
      </c>
      <c r="D14074" s="4">
        <f>IFERROR(__xludf.DUMMYFUNCTION("""COMPUTED_VALUE"""),12.922708)</f>
        <v>12.922708</v>
      </c>
      <c r="E14074" s="4">
        <f>IFERROR(__xludf.DUMMYFUNCTION("""COMPUTED_VALUE"""),80.15024)</f>
        <v>80.15024</v>
      </c>
      <c r="F14074" s="4">
        <f>IFERROR(__xludf.DUMMYFUNCTION("""COMPUTED_VALUE"""),2846.0)</f>
        <v>2846</v>
      </c>
      <c r="G14074" s="4">
        <f>IFERROR(__xludf.DUMMYFUNCTION("""COMPUTED_VALUE"""),48.0)</f>
        <v>48</v>
      </c>
      <c r="H14074" s="4"/>
      <c r="I14074" s="4"/>
    </row>
    <row r="14075">
      <c r="A14075" s="4" t="str">
        <f>IFERROR(__xludf.DUMMYFUNCTION("""COMPUTED_VALUE"""),"cas_hmw")</f>
        <v>cas_hmw</v>
      </c>
      <c r="B14075" s="5">
        <f>IFERROR(__xludf.DUMMYFUNCTION("""COMPUTED_VALUE"""),44721.0)</f>
        <v>44721</v>
      </c>
      <c r="C14075" s="6">
        <f>IFERROR(__xludf.DUMMYFUNCTION("""COMPUTED_VALUE"""),0.7104398148148903)</f>
        <v>0.7104398148</v>
      </c>
      <c r="D14075" s="4">
        <f>IFERROR(__xludf.DUMMYFUNCTION("""COMPUTED_VALUE"""),12.922708)</f>
        <v>12.922708</v>
      </c>
      <c r="E14075" s="4">
        <f>IFERROR(__xludf.DUMMYFUNCTION("""COMPUTED_VALUE"""),80.15024)</f>
        <v>80.15024</v>
      </c>
      <c r="F14075" s="4">
        <f>IFERROR(__xludf.DUMMYFUNCTION("""COMPUTED_VALUE"""),2846.0)</f>
        <v>2846</v>
      </c>
      <c r="G14075" s="4">
        <f>IFERROR(__xludf.DUMMYFUNCTION("""COMPUTED_VALUE"""),48.0)</f>
        <v>48</v>
      </c>
      <c r="H14075" s="4"/>
      <c r="I14075" s="4"/>
    </row>
    <row r="14076">
      <c r="A14076" s="4" t="str">
        <f>IFERROR(__xludf.DUMMYFUNCTION("""COMPUTED_VALUE"""),"cas_hmw")</f>
        <v>cas_hmw</v>
      </c>
      <c r="B14076" s="5">
        <f>IFERROR(__xludf.DUMMYFUNCTION("""COMPUTED_VALUE"""),44721.0)</f>
        <v>44721</v>
      </c>
      <c r="C14076" s="6">
        <f>IFERROR(__xludf.DUMMYFUNCTION("""COMPUTED_VALUE"""),0.7104629629611736)</f>
        <v>0.710462963</v>
      </c>
      <c r="D14076" s="4">
        <f>IFERROR(__xludf.DUMMYFUNCTION("""COMPUTED_VALUE"""),12.922708)</f>
        <v>12.922708</v>
      </c>
      <c r="E14076" s="4">
        <f>IFERROR(__xludf.DUMMYFUNCTION("""COMPUTED_VALUE"""),80.15024)</f>
        <v>80.15024</v>
      </c>
      <c r="F14076" s="4">
        <f>IFERROR(__xludf.DUMMYFUNCTION("""COMPUTED_VALUE"""),2846.0)</f>
        <v>2846</v>
      </c>
      <c r="G14076" s="4">
        <f>IFERROR(__xludf.DUMMYFUNCTION("""COMPUTED_VALUE"""),48.0)</f>
        <v>48</v>
      </c>
      <c r="H14076" s="4"/>
      <c r="I14076" s="4"/>
    </row>
    <row r="14077">
      <c r="A14077" s="4" t="str">
        <f>IFERROR(__xludf.DUMMYFUNCTION("""COMPUTED_VALUE"""),"cas_hmw")</f>
        <v>cas_hmw</v>
      </c>
      <c r="B14077" s="5">
        <f>IFERROR(__xludf.DUMMYFUNCTION("""COMPUTED_VALUE"""),44721.0)</f>
        <v>44721</v>
      </c>
      <c r="C14077" s="6">
        <f>IFERROR(__xludf.DUMMYFUNCTION("""COMPUTED_VALUE"""),0.7105324074072996)</f>
        <v>0.7105324074</v>
      </c>
      <c r="D14077" s="4">
        <f>IFERROR(__xludf.DUMMYFUNCTION("""COMPUTED_VALUE"""),12.974522)</f>
        <v>12.974522</v>
      </c>
      <c r="E14077" s="4">
        <f>IFERROR(__xludf.DUMMYFUNCTION("""COMPUTED_VALUE"""),80.154829)</f>
        <v>80.154829</v>
      </c>
      <c r="F14077" s="4">
        <f>IFERROR(__xludf.DUMMYFUNCTION("""COMPUTED_VALUE"""),805.0)</f>
        <v>805</v>
      </c>
      <c r="G14077" s="4">
        <f>IFERROR(__xludf.DUMMYFUNCTION("""COMPUTED_VALUE"""),60.0)</f>
        <v>60</v>
      </c>
      <c r="H14077" s="4"/>
      <c r="I14077" s="4"/>
    </row>
    <row r="14078">
      <c r="A14078" s="4" t="str">
        <f>IFERROR(__xludf.DUMMYFUNCTION("""COMPUTED_VALUE"""),"cas_hmw")</f>
        <v>cas_hmw</v>
      </c>
      <c r="B14078" s="5">
        <f>IFERROR(__xludf.DUMMYFUNCTION("""COMPUTED_VALUE"""),44721.0)</f>
        <v>44721</v>
      </c>
      <c r="C14078" s="6">
        <f>IFERROR(__xludf.DUMMYFUNCTION("""COMPUTED_VALUE"""),0.710590277776646)</f>
        <v>0.7105902778</v>
      </c>
      <c r="D14078" s="4">
        <f>IFERROR(__xludf.DUMMYFUNCTION("""COMPUTED_VALUE"""),12.975898)</f>
        <v>12.975898</v>
      </c>
      <c r="E14078" s="4">
        <f>IFERROR(__xludf.DUMMYFUNCTION("""COMPUTED_VALUE"""),80.156779)</f>
        <v>80.156779</v>
      </c>
      <c r="F14078" s="4">
        <f>IFERROR(__xludf.DUMMYFUNCTION("""COMPUTED_VALUE"""),805.0)</f>
        <v>805</v>
      </c>
      <c r="G14078" s="4">
        <f>IFERROR(__xludf.DUMMYFUNCTION("""COMPUTED_VALUE"""),58.0)</f>
        <v>58</v>
      </c>
      <c r="H14078" s="4"/>
      <c r="I14078" s="4"/>
    </row>
    <row r="14079">
      <c r="A14079" s="4" t="str">
        <f>IFERROR(__xludf.DUMMYFUNCTION("""COMPUTED_VALUE"""),"cas_hmw")</f>
        <v>cas_hmw</v>
      </c>
      <c r="B14079" s="5">
        <f>IFERROR(__xludf.DUMMYFUNCTION("""COMPUTED_VALUE"""),44721.0)</f>
        <v>44721</v>
      </c>
      <c r="C14079" s="6">
        <f>IFERROR(__xludf.DUMMYFUNCTION("""COMPUTED_VALUE"""),0.710624999999709)</f>
        <v>0.710625</v>
      </c>
      <c r="D14079" s="4">
        <f>IFERROR(__xludf.DUMMYFUNCTION("""COMPUTED_VALUE"""),12.975898)</f>
        <v>12.975898</v>
      </c>
      <c r="E14079" s="4">
        <f>IFERROR(__xludf.DUMMYFUNCTION("""COMPUTED_VALUE"""),80.156779)</f>
        <v>80.156779</v>
      </c>
      <c r="F14079" s="4">
        <f>IFERROR(__xludf.DUMMYFUNCTION("""COMPUTED_VALUE"""),805.0)</f>
        <v>805</v>
      </c>
      <c r="G14079" s="4">
        <f>IFERROR(__xludf.DUMMYFUNCTION("""COMPUTED_VALUE"""),58.0)</f>
        <v>58</v>
      </c>
      <c r="H14079" s="4"/>
      <c r="I14079" s="4"/>
    </row>
    <row r="14080">
      <c r="A14080" s="4" t="str">
        <f>IFERROR(__xludf.DUMMYFUNCTION("""COMPUTED_VALUE"""),"cas_hmw")</f>
        <v>cas_hmw</v>
      </c>
      <c r="B14080" s="5">
        <f>IFERROR(__xludf.DUMMYFUNCTION("""COMPUTED_VALUE"""),44721.0)</f>
        <v>44721</v>
      </c>
      <c r="C14080" s="6">
        <f>IFERROR(__xludf.DUMMYFUNCTION("""COMPUTED_VALUE"""),0.7107175925921183)</f>
        <v>0.7107175926</v>
      </c>
      <c r="D14080" s="4">
        <f>IFERROR(__xludf.DUMMYFUNCTION("""COMPUTED_VALUE"""),12.975898)</f>
        <v>12.975898</v>
      </c>
      <c r="E14080" s="4">
        <f>IFERROR(__xludf.DUMMYFUNCTION("""COMPUTED_VALUE"""),80.156779)</f>
        <v>80.156779</v>
      </c>
      <c r="F14080" s="4">
        <f>IFERROR(__xludf.DUMMYFUNCTION("""COMPUTED_VALUE"""),805.0)</f>
        <v>805</v>
      </c>
      <c r="G14080" s="4">
        <f>IFERROR(__xludf.DUMMYFUNCTION("""COMPUTED_VALUE"""),58.0)</f>
        <v>58</v>
      </c>
      <c r="H14080" s="4"/>
      <c r="I14080" s="4"/>
    </row>
    <row r="14081">
      <c r="A14081" s="4" t="str">
        <f>IFERROR(__xludf.DUMMYFUNCTION("""COMPUTED_VALUE"""),"cas_hmw")</f>
        <v>cas_hmw</v>
      </c>
      <c r="B14081" s="5">
        <f>IFERROR(__xludf.DUMMYFUNCTION("""COMPUTED_VALUE"""),44721.0)</f>
        <v>44721</v>
      </c>
      <c r="C14081" s="6">
        <f>IFERROR(__xludf.DUMMYFUNCTION("""COMPUTED_VALUE"""),0.7107523148151813)</f>
        <v>0.7107523148</v>
      </c>
      <c r="D14081" s="4">
        <f>IFERROR(__xludf.DUMMYFUNCTION("""COMPUTED_VALUE"""),12.975898)</f>
        <v>12.975898</v>
      </c>
      <c r="E14081" s="4">
        <f>IFERROR(__xludf.DUMMYFUNCTION("""COMPUTED_VALUE"""),80.156779)</f>
        <v>80.156779</v>
      </c>
      <c r="F14081" s="4">
        <f>IFERROR(__xludf.DUMMYFUNCTION("""COMPUTED_VALUE"""),805.0)</f>
        <v>805</v>
      </c>
      <c r="G14081" s="4">
        <f>IFERROR(__xludf.DUMMYFUNCTION("""COMPUTED_VALUE"""),58.0)</f>
        <v>58</v>
      </c>
      <c r="H14081" s="4"/>
      <c r="I14081" s="4"/>
    </row>
    <row r="14082">
      <c r="A14082" s="4" t="str">
        <f>IFERROR(__xludf.DUMMYFUNCTION("""COMPUTED_VALUE"""),"cas_hmw")</f>
        <v>cas_hmw</v>
      </c>
      <c r="B14082" s="5">
        <f>IFERROR(__xludf.DUMMYFUNCTION("""COMPUTED_VALUE"""),44721.0)</f>
        <v>44721</v>
      </c>
      <c r="C14082" s="6">
        <f>IFERROR(__xludf.DUMMYFUNCTION("""COMPUTED_VALUE"""),0.7110879629617557)</f>
        <v>0.711087963</v>
      </c>
      <c r="D14082" s="4">
        <f>IFERROR(__xludf.DUMMYFUNCTION("""COMPUTED_VALUE"""),12.923059)</f>
        <v>12.923059</v>
      </c>
      <c r="E14082" s="4">
        <f>IFERROR(__xludf.DUMMYFUNCTION("""COMPUTED_VALUE"""),80.15329)</f>
        <v>80.15329</v>
      </c>
      <c r="F14082" s="4">
        <f>IFERROR(__xludf.DUMMYFUNCTION("""COMPUTED_VALUE"""),2846.0)</f>
        <v>2846</v>
      </c>
      <c r="G14082" s="4">
        <f>IFERROR(__xludf.DUMMYFUNCTION("""COMPUTED_VALUE"""),37.0)</f>
        <v>37</v>
      </c>
      <c r="H14082" s="4"/>
      <c r="I14082" s="4"/>
    </row>
    <row r="14083">
      <c r="A14083" s="4" t="str">
        <f>IFERROR(__xludf.DUMMYFUNCTION("""COMPUTED_VALUE"""),"cas_hmw")</f>
        <v>cas_hmw</v>
      </c>
      <c r="B14083" s="5">
        <f>IFERROR(__xludf.DUMMYFUNCTION("""COMPUTED_VALUE"""),44721.0)</f>
        <v>44721</v>
      </c>
      <c r="C14083" s="6">
        <f>IFERROR(__xludf.DUMMYFUNCTION("""COMPUTED_VALUE"""),0.7112731481465744)</f>
        <v>0.7112731481</v>
      </c>
      <c r="D14083" s="4">
        <f>IFERROR(__xludf.DUMMYFUNCTION("""COMPUTED_VALUE"""),12.923373)</f>
        <v>12.923373</v>
      </c>
      <c r="E14083" s="4">
        <f>IFERROR(__xludf.DUMMYFUNCTION("""COMPUTED_VALUE"""),80.154532)</f>
        <v>80.154532</v>
      </c>
      <c r="F14083" s="4">
        <f>IFERROR(__xludf.DUMMYFUNCTION("""COMPUTED_VALUE"""),2846.0)</f>
        <v>2846</v>
      </c>
      <c r="G14083" s="4">
        <f>IFERROR(__xludf.DUMMYFUNCTION("""COMPUTED_VALUE"""),7.0)</f>
        <v>7</v>
      </c>
      <c r="H14083" s="4"/>
      <c r="I14083" s="4"/>
    </row>
    <row r="14084">
      <c r="A14084" s="4" t="str">
        <f>IFERROR(__xludf.DUMMYFUNCTION("""COMPUTED_VALUE"""),"cas_hmw")</f>
        <v>cas_hmw</v>
      </c>
      <c r="B14084" s="5">
        <f>IFERROR(__xludf.DUMMYFUNCTION("""COMPUTED_VALUE"""),44721.0)</f>
        <v>44721</v>
      </c>
      <c r="C14084" s="6">
        <f>IFERROR(__xludf.DUMMYFUNCTION("""COMPUTED_VALUE"""),0.7117129629623378)</f>
        <v>0.711712963</v>
      </c>
      <c r="D14084" s="4">
        <f>IFERROR(__xludf.DUMMYFUNCTION("""COMPUTED_VALUE"""),12.982775)</f>
        <v>12.982775</v>
      </c>
      <c r="E14084" s="4">
        <f>IFERROR(__xludf.DUMMYFUNCTION("""COMPUTED_VALUE"""),80.16877)</f>
        <v>80.16877</v>
      </c>
      <c r="F14084" s="4">
        <f>IFERROR(__xludf.DUMMYFUNCTION("""COMPUTED_VALUE"""),805.0)</f>
        <v>805</v>
      </c>
      <c r="G14084" s="4">
        <f>IFERROR(__xludf.DUMMYFUNCTION("""COMPUTED_VALUE"""),58.0)</f>
        <v>58</v>
      </c>
      <c r="H14084" s="4"/>
      <c r="I14084" s="4"/>
    </row>
    <row r="14085">
      <c r="A14085" s="4" t="str">
        <f>IFERROR(__xludf.DUMMYFUNCTION("""COMPUTED_VALUE"""),"cas_hmw")</f>
        <v>cas_hmw</v>
      </c>
      <c r="B14085" s="5">
        <f>IFERROR(__xludf.DUMMYFUNCTION("""COMPUTED_VALUE"""),44721.0)</f>
        <v>44721</v>
      </c>
      <c r="C14085" s="6">
        <f>IFERROR(__xludf.DUMMYFUNCTION("""COMPUTED_VALUE"""),0.7118402777778101)</f>
        <v>0.7118402778</v>
      </c>
      <c r="D14085" s="4">
        <f>IFERROR(__xludf.DUMMYFUNCTION("""COMPUTED_VALUE"""),12.982775)</f>
        <v>12.982775</v>
      </c>
      <c r="E14085" s="4">
        <f>IFERROR(__xludf.DUMMYFUNCTION("""COMPUTED_VALUE"""),80.16877)</f>
        <v>80.16877</v>
      </c>
      <c r="F14085" s="4">
        <f>IFERROR(__xludf.DUMMYFUNCTION("""COMPUTED_VALUE"""),805.0)</f>
        <v>805</v>
      </c>
      <c r="G14085" s="4">
        <f>IFERROR(__xludf.DUMMYFUNCTION("""COMPUTED_VALUE"""),58.0)</f>
        <v>58</v>
      </c>
      <c r="H14085" s="4"/>
      <c r="I14085" s="4"/>
    </row>
    <row r="14086">
      <c r="A14086" s="4" t="str">
        <f>IFERROR(__xludf.DUMMYFUNCTION("""COMPUTED_VALUE"""),"cas_hmw")</f>
        <v>cas_hmw</v>
      </c>
      <c r="B14086" s="5">
        <f>IFERROR(__xludf.DUMMYFUNCTION("""COMPUTED_VALUE"""),44721.0)</f>
        <v>44721</v>
      </c>
      <c r="C14086" s="6">
        <f>IFERROR(__xludf.DUMMYFUNCTION("""COMPUTED_VALUE"""),0.7124421296284709)</f>
        <v>0.7124421296</v>
      </c>
      <c r="D14086" s="4">
        <f>IFERROR(__xludf.DUMMYFUNCTION("""COMPUTED_VALUE"""),12.987284)</f>
        <v>12.987284</v>
      </c>
      <c r="E14086" s="4">
        <f>IFERROR(__xludf.DUMMYFUNCTION("""COMPUTED_VALUE"""),80.175804)</f>
        <v>80.175804</v>
      </c>
      <c r="F14086" s="4">
        <f>IFERROR(__xludf.DUMMYFUNCTION("""COMPUTED_VALUE"""),805.0)</f>
        <v>805</v>
      </c>
      <c r="G14086" s="4">
        <f>IFERROR(__xludf.DUMMYFUNCTION("""COMPUTED_VALUE"""),35.0)</f>
        <v>35</v>
      </c>
      <c r="H14086" s="4"/>
      <c r="I14086" s="4"/>
    </row>
    <row r="14087">
      <c r="A14087" s="4" t="str">
        <f>IFERROR(__xludf.DUMMYFUNCTION("""COMPUTED_VALUE"""),"cas_hmw")</f>
        <v>cas_hmw</v>
      </c>
      <c r="B14087" s="5">
        <f>IFERROR(__xludf.DUMMYFUNCTION("""COMPUTED_VALUE"""),44721.0)</f>
        <v>44721</v>
      </c>
      <c r="C14087" s="6">
        <f>IFERROR(__xludf.DUMMYFUNCTION("""COMPUTED_VALUE"""),0.7126157407401479)</f>
        <v>0.7126157407</v>
      </c>
      <c r="D14087" s="4">
        <f>IFERROR(__xludf.DUMMYFUNCTION("""COMPUTED_VALUE"""),12.921878)</f>
        <v>12.921878</v>
      </c>
      <c r="E14087" s="4">
        <f>IFERROR(__xludf.DUMMYFUNCTION("""COMPUTED_VALUE"""),80.16462)</f>
        <v>80.16462</v>
      </c>
      <c r="F14087" s="4">
        <f>IFERROR(__xludf.DUMMYFUNCTION("""COMPUTED_VALUE"""),2846.0)</f>
        <v>2846</v>
      </c>
      <c r="G14087" s="4">
        <f>IFERROR(__xludf.DUMMYFUNCTION("""COMPUTED_VALUE"""),42.0)</f>
        <v>42</v>
      </c>
      <c r="H14087" s="4"/>
      <c r="I14087" s="4"/>
    </row>
    <row r="14088">
      <c r="A14088" s="4" t="str">
        <f>IFERROR(__xludf.DUMMYFUNCTION("""COMPUTED_VALUE"""),"cas_hmw")</f>
        <v>cas_hmw</v>
      </c>
      <c r="B14088" s="5">
        <f>IFERROR(__xludf.DUMMYFUNCTION("""COMPUTED_VALUE"""),44721.0)</f>
        <v>44721</v>
      </c>
      <c r="C14088" s="6">
        <f>IFERROR(__xludf.DUMMYFUNCTION("""COMPUTED_VALUE"""),0.7128587962979509)</f>
        <v>0.7128587963</v>
      </c>
      <c r="D14088" s="4">
        <f>IFERROR(__xludf.DUMMYFUNCTION("""COMPUTED_VALUE"""),12.920921)</f>
        <v>12.920921</v>
      </c>
      <c r="E14088" s="4">
        <f>IFERROR(__xludf.DUMMYFUNCTION("""COMPUTED_VALUE"""),80.16773)</f>
        <v>80.16773</v>
      </c>
      <c r="F14088" s="4">
        <f>IFERROR(__xludf.DUMMYFUNCTION("""COMPUTED_VALUE"""),2846.0)</f>
        <v>2846</v>
      </c>
      <c r="G14088" s="4">
        <f>IFERROR(__xludf.DUMMYFUNCTION("""COMPUTED_VALUE"""),19.0)</f>
        <v>19</v>
      </c>
      <c r="H14088" s="4"/>
      <c r="I14088" s="4"/>
    </row>
    <row r="14089">
      <c r="A14089" s="4" t="str">
        <f>IFERROR(__xludf.DUMMYFUNCTION("""COMPUTED_VALUE"""),"cas_hmw")</f>
        <v>cas_hmw</v>
      </c>
      <c r="B14089" s="5">
        <f>IFERROR(__xludf.DUMMYFUNCTION("""COMPUTED_VALUE"""),44721.0)</f>
        <v>44721</v>
      </c>
      <c r="C14089" s="6">
        <f>IFERROR(__xludf.DUMMYFUNCTION("""COMPUTED_VALUE"""),0.7128819444442343)</f>
        <v>0.7128819444</v>
      </c>
      <c r="D14089" s="4">
        <f>IFERROR(__xludf.DUMMYFUNCTION("""COMPUTED_VALUE"""),12.920921)</f>
        <v>12.920921</v>
      </c>
      <c r="E14089" s="4">
        <f>IFERROR(__xludf.DUMMYFUNCTION("""COMPUTED_VALUE"""),80.16773)</f>
        <v>80.16773</v>
      </c>
      <c r="F14089" s="4">
        <f>IFERROR(__xludf.DUMMYFUNCTION("""COMPUTED_VALUE"""),2846.0)</f>
        <v>2846</v>
      </c>
      <c r="G14089" s="4">
        <f>IFERROR(__xludf.DUMMYFUNCTION("""COMPUTED_VALUE"""),19.0)</f>
        <v>19</v>
      </c>
      <c r="H14089" s="4"/>
      <c r="I14089" s="4"/>
    </row>
    <row r="14090">
      <c r="A14090" s="4" t="str">
        <f>IFERROR(__xludf.DUMMYFUNCTION("""COMPUTED_VALUE"""),"cas_hmw")</f>
        <v>cas_hmw</v>
      </c>
      <c r="B14090" s="5">
        <f>IFERROR(__xludf.DUMMYFUNCTION("""COMPUTED_VALUE"""),44721.0)</f>
        <v>44721</v>
      </c>
      <c r="C14090" s="6">
        <f>IFERROR(__xludf.DUMMYFUNCTION("""COMPUTED_VALUE"""),0.7128935185173759)</f>
        <v>0.7128935185</v>
      </c>
      <c r="D14090" s="4">
        <f>IFERROR(__xludf.DUMMYFUNCTION("""COMPUTED_VALUE"""),12.920921)</f>
        <v>12.920921</v>
      </c>
      <c r="E14090" s="4">
        <f>IFERROR(__xludf.DUMMYFUNCTION("""COMPUTED_VALUE"""),80.16773)</f>
        <v>80.16773</v>
      </c>
      <c r="F14090" s="4">
        <f>IFERROR(__xludf.DUMMYFUNCTION("""COMPUTED_VALUE"""),2846.0)</f>
        <v>2846</v>
      </c>
      <c r="G14090" s="4">
        <f>IFERROR(__xludf.DUMMYFUNCTION("""COMPUTED_VALUE"""),19.0)</f>
        <v>19</v>
      </c>
      <c r="H14090" s="4"/>
      <c r="I14090" s="4"/>
    </row>
    <row r="14091">
      <c r="A14091" s="4" t="str">
        <f>IFERROR(__xludf.DUMMYFUNCTION("""COMPUTED_VALUE"""),"cas_hmw")</f>
        <v>cas_hmw</v>
      </c>
      <c r="B14091" s="5">
        <f>IFERROR(__xludf.DUMMYFUNCTION("""COMPUTED_VALUE"""),44721.0)</f>
        <v>44721</v>
      </c>
      <c r="C14091" s="6">
        <f>IFERROR(__xludf.DUMMYFUNCTION("""COMPUTED_VALUE"""),0.7129745370366436)</f>
        <v>0.712974537</v>
      </c>
      <c r="D14091" s="4">
        <f>IFERROR(__xludf.DUMMYFUNCTION("""COMPUTED_VALUE"""),12.988168)</f>
        <v>12.988168</v>
      </c>
      <c r="E14091" s="4">
        <f>IFERROR(__xludf.DUMMYFUNCTION("""COMPUTED_VALUE"""),80.177135)</f>
        <v>80.177135</v>
      </c>
      <c r="F14091" s="4">
        <f>IFERROR(__xludf.DUMMYFUNCTION("""COMPUTED_VALUE"""),805.0)</f>
        <v>805</v>
      </c>
      <c r="G14091" s="4">
        <f>IFERROR(__xludf.DUMMYFUNCTION("""COMPUTED_VALUE"""),37.0)</f>
        <v>37</v>
      </c>
      <c r="H14091" s="4"/>
      <c r="I14091" s="4"/>
    </row>
    <row r="14092">
      <c r="A14092" s="4" t="str">
        <f>IFERROR(__xludf.DUMMYFUNCTION("""COMPUTED_VALUE"""),"cas_hmw")</f>
        <v>cas_hmw</v>
      </c>
      <c r="B14092" s="5">
        <f>IFERROR(__xludf.DUMMYFUNCTION("""COMPUTED_VALUE"""),44721.0)</f>
        <v>44721</v>
      </c>
      <c r="C14092" s="6">
        <f>IFERROR(__xludf.DUMMYFUNCTION("""COMPUTED_VALUE"""),0.7134374999986903)</f>
        <v>0.7134375</v>
      </c>
      <c r="D14092" s="4">
        <f>IFERROR(__xludf.DUMMYFUNCTION("""COMPUTED_VALUE"""),12.98953)</f>
        <v>12.98953</v>
      </c>
      <c r="E14092" s="4">
        <f>IFERROR(__xludf.DUMMYFUNCTION("""COMPUTED_VALUE"""),80.178746)</f>
        <v>80.178746</v>
      </c>
      <c r="F14092" s="4">
        <f>IFERROR(__xludf.DUMMYFUNCTION("""COMPUTED_VALUE"""),805.0)</f>
        <v>805</v>
      </c>
      <c r="G14092" s="4">
        <f>IFERROR(__xludf.DUMMYFUNCTION("""COMPUTED_VALUE"""),10.0)</f>
        <v>10</v>
      </c>
      <c r="H14092" s="4"/>
      <c r="I14092" s="4"/>
    </row>
    <row r="14093">
      <c r="A14093" s="4" t="str">
        <f>IFERROR(__xludf.DUMMYFUNCTION("""COMPUTED_VALUE"""),"cas_hmw")</f>
        <v>cas_hmw</v>
      </c>
      <c r="B14093" s="5">
        <f>IFERROR(__xludf.DUMMYFUNCTION("""COMPUTED_VALUE"""),44721.0)</f>
        <v>44721</v>
      </c>
      <c r="C14093" s="6">
        <f>IFERROR(__xludf.DUMMYFUNCTION("""COMPUTED_VALUE"""),0.7138425925913907)</f>
        <v>0.7138425926</v>
      </c>
      <c r="D14093" s="4">
        <f>IFERROR(__xludf.DUMMYFUNCTION("""COMPUTED_VALUE"""),12.918967)</f>
        <v>12.918967</v>
      </c>
      <c r="E14093" s="4">
        <f>IFERROR(__xludf.DUMMYFUNCTION("""COMPUTED_VALUE"""),80.174336)</f>
        <v>80.174336</v>
      </c>
      <c r="F14093" s="4">
        <f>IFERROR(__xludf.DUMMYFUNCTION("""COMPUTED_VALUE"""),2846.0)</f>
        <v>2846</v>
      </c>
      <c r="G14093" s="4">
        <f>IFERROR(__xludf.DUMMYFUNCTION("""COMPUTED_VALUE"""),46.0)</f>
        <v>46</v>
      </c>
      <c r="H14093" s="4"/>
      <c r="I14093" s="4"/>
    </row>
    <row r="14094">
      <c r="A14094" s="4" t="str">
        <f>IFERROR(__xludf.DUMMYFUNCTION("""COMPUTED_VALUE"""),"cas_hmw")</f>
        <v>cas_hmw</v>
      </c>
      <c r="B14094" s="5">
        <f>IFERROR(__xludf.DUMMYFUNCTION("""COMPUTED_VALUE"""),44721.0)</f>
        <v>44721</v>
      </c>
      <c r="C14094" s="6">
        <f>IFERROR(__xludf.DUMMYFUNCTION("""COMPUTED_VALUE"""),0.7139583333337214)</f>
        <v>0.7139583333</v>
      </c>
      <c r="D14094" s="4">
        <f>IFERROR(__xludf.DUMMYFUNCTION("""COMPUTED_VALUE"""),12.993605)</f>
        <v>12.993605</v>
      </c>
      <c r="E14094" s="4">
        <f>IFERROR(__xludf.DUMMYFUNCTION("""COMPUTED_VALUE"""),80.184572)</f>
        <v>80.184572</v>
      </c>
      <c r="F14094" s="4">
        <f>IFERROR(__xludf.DUMMYFUNCTION("""COMPUTED_VALUE"""),805.0)</f>
        <v>805</v>
      </c>
      <c r="G14094" s="4">
        <f>IFERROR(__xludf.DUMMYFUNCTION("""COMPUTED_VALUE"""),18.0)</f>
        <v>18</v>
      </c>
      <c r="H14094" s="4"/>
      <c r="I14094" s="4"/>
    </row>
    <row r="14095">
      <c r="A14095" s="4" t="str">
        <f>IFERROR(__xludf.DUMMYFUNCTION("""COMPUTED_VALUE"""),"cas_hmw")</f>
        <v>cas_hmw</v>
      </c>
      <c r="B14095" s="5">
        <f>IFERROR(__xludf.DUMMYFUNCTION("""COMPUTED_VALUE"""),44721.0)</f>
        <v>44721</v>
      </c>
      <c r="C14095" s="6">
        <f>IFERROR(__xludf.DUMMYFUNCTION("""COMPUTED_VALUE"""),0.7140277777762094)</f>
        <v>0.7140277778</v>
      </c>
      <c r="D14095" s="4">
        <f>IFERROR(__xludf.DUMMYFUNCTION("""COMPUTED_VALUE"""),12.918532)</f>
        <v>12.918532</v>
      </c>
      <c r="E14095" s="4">
        <f>IFERROR(__xludf.DUMMYFUNCTION("""COMPUTED_VALUE"""),80.176115)</f>
        <v>80.176115</v>
      </c>
      <c r="F14095" s="4">
        <f>IFERROR(__xludf.DUMMYFUNCTION("""COMPUTED_VALUE"""),2846.0)</f>
        <v>2846</v>
      </c>
      <c r="G14095" s="4">
        <f>IFERROR(__xludf.DUMMYFUNCTION("""COMPUTED_VALUE"""),37.0)</f>
        <v>37</v>
      </c>
      <c r="H14095" s="4"/>
      <c r="I14095" s="4"/>
    </row>
    <row r="14096">
      <c r="A14096" s="4" t="str">
        <f>IFERROR(__xludf.DUMMYFUNCTION("""COMPUTED_VALUE"""),"cas_hmw")</f>
        <v>cas_hmw</v>
      </c>
      <c r="B14096" s="5">
        <f>IFERROR(__xludf.DUMMYFUNCTION("""COMPUTED_VALUE"""),44721.0)</f>
        <v>44721</v>
      </c>
      <c r="C14096" s="6">
        <f>IFERROR(__xludf.DUMMYFUNCTION("""COMPUTED_VALUE"""),0.7140972222223354)</f>
        <v>0.7140972222</v>
      </c>
      <c r="D14096" s="4">
        <f>IFERROR(__xludf.DUMMYFUNCTION("""COMPUTED_VALUE"""),12.993605)</f>
        <v>12.993605</v>
      </c>
      <c r="E14096" s="4">
        <f>IFERROR(__xludf.DUMMYFUNCTION("""COMPUTED_VALUE"""),80.184572)</f>
        <v>80.184572</v>
      </c>
      <c r="F14096" s="4">
        <f>IFERROR(__xludf.DUMMYFUNCTION("""COMPUTED_VALUE"""),805.0)</f>
        <v>805</v>
      </c>
      <c r="G14096" s="4">
        <f>IFERROR(__xludf.DUMMYFUNCTION("""COMPUTED_VALUE"""),18.0)</f>
        <v>18</v>
      </c>
      <c r="H14096" s="4"/>
      <c r="I14096" s="4"/>
    </row>
    <row r="14097">
      <c r="A14097" s="4" t="str">
        <f>IFERROR(__xludf.DUMMYFUNCTION("""COMPUTED_VALUE"""),"cas_hmw")</f>
        <v>cas_hmw</v>
      </c>
      <c r="B14097" s="5">
        <f>IFERROR(__xludf.DUMMYFUNCTION("""COMPUTED_VALUE"""),44721.0)</f>
        <v>44721</v>
      </c>
      <c r="C14097" s="6">
        <f>IFERROR(__xludf.DUMMYFUNCTION("""COMPUTED_VALUE"""),0.7154745370353339)</f>
        <v>0.715474537</v>
      </c>
      <c r="D14097" s="4">
        <f>IFERROR(__xludf.DUMMYFUNCTION("""COMPUTED_VALUE"""),12.996276)</f>
        <v>12.996276</v>
      </c>
      <c r="E14097" s="4">
        <f>IFERROR(__xludf.DUMMYFUNCTION("""COMPUTED_VALUE"""),80.189405)</f>
        <v>80.189405</v>
      </c>
      <c r="F14097" s="4">
        <f>IFERROR(__xludf.DUMMYFUNCTION("""COMPUTED_VALUE"""),805.0)</f>
        <v>805</v>
      </c>
      <c r="G14097" s="4">
        <f>IFERROR(__xludf.DUMMYFUNCTION("""COMPUTED_VALUE"""),22.0)</f>
        <v>22</v>
      </c>
      <c r="H14097" s="4"/>
      <c r="I14097" s="4"/>
    </row>
    <row r="14098">
      <c r="A14098" s="4" t="str">
        <f>IFERROR(__xludf.DUMMYFUNCTION("""COMPUTED_VALUE"""),"cas_hmw")</f>
        <v>cas_hmw</v>
      </c>
      <c r="B14098" s="5">
        <f>IFERROR(__xludf.DUMMYFUNCTION("""COMPUTED_VALUE"""),44721.0)</f>
        <v>44721</v>
      </c>
      <c r="C14098" s="6">
        <f>IFERROR(__xludf.DUMMYFUNCTION("""COMPUTED_VALUE"""),0.7160763888896327)</f>
        <v>0.7160763889</v>
      </c>
      <c r="D14098" s="4">
        <f>IFERROR(__xludf.DUMMYFUNCTION("""COMPUTED_VALUE"""),12.99992)</f>
        <v>12.99992</v>
      </c>
      <c r="E14098" s="4">
        <f>IFERROR(__xludf.DUMMYFUNCTION("""COMPUTED_VALUE"""),80.193999)</f>
        <v>80.193999</v>
      </c>
      <c r="F14098" s="4">
        <f>IFERROR(__xludf.DUMMYFUNCTION("""COMPUTED_VALUE"""),805.0)</f>
        <v>805</v>
      </c>
      <c r="G14098" s="4">
        <f>IFERROR(__xludf.DUMMYFUNCTION("""COMPUTED_VALUE"""),45.0)</f>
        <v>45</v>
      </c>
      <c r="H14098" s="4"/>
      <c r="I14098" s="4"/>
    </row>
    <row r="14099">
      <c r="A14099" s="4" t="str">
        <f>IFERROR(__xludf.DUMMYFUNCTION("""COMPUTED_VALUE"""),"cas_hmw")</f>
        <v>cas_hmw</v>
      </c>
      <c r="B14099" s="5">
        <f>IFERROR(__xludf.DUMMYFUNCTION("""COMPUTED_VALUE"""),44721.0)</f>
        <v>44721</v>
      </c>
      <c r="C14099" s="6">
        <f>IFERROR(__xludf.DUMMYFUNCTION("""COMPUTED_VALUE"""),0.7164351851861284)</f>
        <v>0.7164351852</v>
      </c>
      <c r="D14099" s="4">
        <f>IFERROR(__xludf.DUMMYFUNCTION("""COMPUTED_VALUE"""),13.001103)</f>
        <v>13.001103</v>
      </c>
      <c r="E14099" s="4">
        <f>IFERROR(__xludf.DUMMYFUNCTION("""COMPUTED_VALUE"""),80.195476)</f>
        <v>80.195476</v>
      </c>
      <c r="F14099" s="4">
        <f>IFERROR(__xludf.DUMMYFUNCTION("""COMPUTED_VALUE"""),805.0)</f>
        <v>805</v>
      </c>
      <c r="G14099" s="4">
        <f>IFERROR(__xludf.DUMMYFUNCTION("""COMPUTED_VALUE"""),17.0)</f>
        <v>17</v>
      </c>
      <c r="H14099" s="4"/>
      <c r="I14099" s="4"/>
    </row>
    <row r="14100">
      <c r="A14100" s="4" t="str">
        <f>IFERROR(__xludf.DUMMYFUNCTION("""COMPUTED_VALUE"""),"cas_hmw")</f>
        <v>cas_hmw</v>
      </c>
      <c r="B14100" s="5">
        <f>IFERROR(__xludf.DUMMYFUNCTION("""COMPUTED_VALUE"""),44721.0)</f>
        <v>44721</v>
      </c>
      <c r="C14100" s="6">
        <f>IFERROR(__xludf.DUMMYFUNCTION("""COMPUTED_VALUE"""),0.7174189814832062)</f>
        <v>0.7174189815</v>
      </c>
      <c r="D14100" s="4">
        <f>IFERROR(__xludf.DUMMYFUNCTION("""COMPUTED_VALUE"""),13.004821)</f>
        <v>13.004821</v>
      </c>
      <c r="E14100" s="4">
        <f>IFERROR(__xludf.DUMMYFUNCTION("""COMPUTED_VALUE"""),80.201242)</f>
        <v>80.201242</v>
      </c>
      <c r="F14100" s="4">
        <f>IFERROR(__xludf.DUMMYFUNCTION("""COMPUTED_VALUE"""),805.0)</f>
        <v>805</v>
      </c>
      <c r="G14100" s="4">
        <f>IFERROR(__xludf.DUMMYFUNCTION("""COMPUTED_VALUE"""),44.0)</f>
        <v>44</v>
      </c>
      <c r="H14100" s="4"/>
      <c r="I14100" s="4"/>
    </row>
    <row r="14101">
      <c r="A14101" s="4" t="str">
        <f>IFERROR(__xludf.DUMMYFUNCTION("""COMPUTED_VALUE"""),"cas_hmw")</f>
        <v>cas_hmw</v>
      </c>
      <c r="B14101" s="5">
        <f>IFERROR(__xludf.DUMMYFUNCTION("""COMPUTED_VALUE"""),44721.0)</f>
        <v>44721</v>
      </c>
      <c r="C14101" s="6">
        <f>IFERROR(__xludf.DUMMYFUNCTION("""COMPUTED_VALUE"""),0.7174768518525525)</f>
        <v>0.7174768519</v>
      </c>
      <c r="D14101" s="4">
        <f>IFERROR(__xludf.DUMMYFUNCTION("""COMPUTED_VALUE"""),13.004821)</f>
        <v>13.004821</v>
      </c>
      <c r="E14101" s="4">
        <f>IFERROR(__xludf.DUMMYFUNCTION("""COMPUTED_VALUE"""),80.201242)</f>
        <v>80.201242</v>
      </c>
      <c r="F14101" s="4">
        <f>IFERROR(__xludf.DUMMYFUNCTION("""COMPUTED_VALUE"""),805.0)</f>
        <v>805</v>
      </c>
      <c r="G14101" s="4">
        <f>IFERROR(__xludf.DUMMYFUNCTION("""COMPUTED_VALUE"""),44.0)</f>
        <v>44</v>
      </c>
      <c r="H14101" s="4"/>
      <c r="I14101" s="4"/>
    </row>
    <row r="14102">
      <c r="A14102" s="4" t="str">
        <f>IFERROR(__xludf.DUMMYFUNCTION("""COMPUTED_VALUE"""),"cas_hmw")</f>
        <v>cas_hmw</v>
      </c>
      <c r="B14102" s="5">
        <f>IFERROR(__xludf.DUMMYFUNCTION("""COMPUTED_VALUE"""),44721.0)</f>
        <v>44721</v>
      </c>
      <c r="C14102" s="6">
        <f>IFERROR(__xludf.DUMMYFUNCTION("""COMPUTED_VALUE"""),0.7176620370373712)</f>
        <v>0.717662037</v>
      </c>
      <c r="D14102" s="4">
        <f>IFERROR(__xludf.DUMMYFUNCTION("""COMPUTED_VALUE"""),13.007563)</f>
        <v>13.007563</v>
      </c>
      <c r="E14102" s="4">
        <f>IFERROR(__xludf.DUMMYFUNCTION("""COMPUTED_VALUE"""),80.203667)</f>
        <v>80.203667</v>
      </c>
      <c r="F14102" s="4">
        <f>IFERROR(__xludf.DUMMYFUNCTION("""COMPUTED_VALUE"""),805.0)</f>
        <v>805</v>
      </c>
      <c r="G14102" s="4">
        <f>IFERROR(__xludf.DUMMYFUNCTION("""COMPUTED_VALUE"""),48.0)</f>
        <v>48</v>
      </c>
      <c r="H14102" s="4"/>
      <c r="I14102" s="4"/>
    </row>
    <row r="14103">
      <c r="A14103" s="4" t="str">
        <f>IFERROR(__xludf.DUMMYFUNCTION("""COMPUTED_VALUE"""),"cas_hmw")</f>
        <v>cas_hmw</v>
      </c>
      <c r="B14103" s="5">
        <f>IFERROR(__xludf.DUMMYFUNCTION("""COMPUTED_VALUE"""),44721.0)</f>
        <v>44721</v>
      </c>
      <c r="C14103" s="6">
        <f>IFERROR(__xludf.DUMMYFUNCTION("""COMPUTED_VALUE"""),0.7180324074070086)</f>
        <v>0.7180324074</v>
      </c>
      <c r="D14103" s="4">
        <f>IFERROR(__xludf.DUMMYFUNCTION("""COMPUTED_VALUE"""),13.007563)</f>
        <v>13.007563</v>
      </c>
      <c r="E14103" s="4">
        <f>IFERROR(__xludf.DUMMYFUNCTION("""COMPUTED_VALUE"""),80.203667)</f>
        <v>80.203667</v>
      </c>
      <c r="F14103" s="4">
        <f>IFERROR(__xludf.DUMMYFUNCTION("""COMPUTED_VALUE"""),805.0)</f>
        <v>805</v>
      </c>
      <c r="G14103" s="4">
        <f>IFERROR(__xludf.DUMMYFUNCTION("""COMPUTED_VALUE"""),48.0)</f>
        <v>48</v>
      </c>
      <c r="H14103" s="4"/>
      <c r="I14103" s="4"/>
    </row>
    <row r="14104">
      <c r="A14104" s="4" t="str">
        <f>IFERROR(__xludf.DUMMYFUNCTION("""COMPUTED_VALUE"""),"cas_hmw")</f>
        <v>cas_hmw</v>
      </c>
      <c r="B14104" s="5">
        <f>IFERROR(__xludf.DUMMYFUNCTION("""COMPUTED_VALUE"""),44721.0)</f>
        <v>44721</v>
      </c>
      <c r="C14104" s="6">
        <f>IFERROR(__xludf.DUMMYFUNCTION("""COMPUTED_VALUE"""),0.7182407407417486)</f>
        <v>0.7182407407</v>
      </c>
      <c r="D14104" s="4">
        <f>IFERROR(__xludf.DUMMYFUNCTION("""COMPUTED_VALUE"""),13.007741)</f>
        <v>13.007741</v>
      </c>
      <c r="E14104" s="4">
        <f>IFERROR(__xludf.DUMMYFUNCTION("""COMPUTED_VALUE"""),80.206284)</f>
        <v>80.206284</v>
      </c>
      <c r="F14104" s="4">
        <f>IFERROR(__xludf.DUMMYFUNCTION("""COMPUTED_VALUE"""),805.0)</f>
        <v>805</v>
      </c>
      <c r="G14104" s="4">
        <f>IFERROR(__xludf.DUMMYFUNCTION("""COMPUTED_VALUE"""),47.0)</f>
        <v>47</v>
      </c>
      <c r="H14104" s="4"/>
      <c r="I14104" s="4"/>
    </row>
    <row r="14105">
      <c r="A14105" s="4" t="str">
        <f>IFERROR(__xludf.DUMMYFUNCTION("""COMPUTED_VALUE"""),"cas_hmw")</f>
        <v>cas_hmw</v>
      </c>
      <c r="B14105" s="5">
        <f>IFERROR(__xludf.DUMMYFUNCTION("""COMPUTED_VALUE"""),44721.0)</f>
        <v>44721</v>
      </c>
      <c r="C14105" s="6">
        <f>IFERROR(__xludf.DUMMYFUNCTION("""COMPUTED_VALUE"""),0.7183217592610163)</f>
        <v>0.7183217593</v>
      </c>
      <c r="D14105" s="4">
        <f>IFERROR(__xludf.DUMMYFUNCTION("""COMPUTED_VALUE"""),13.007741)</f>
        <v>13.007741</v>
      </c>
      <c r="E14105" s="4">
        <f>IFERROR(__xludf.DUMMYFUNCTION("""COMPUTED_VALUE"""),80.206284)</f>
        <v>80.206284</v>
      </c>
      <c r="F14105" s="4">
        <f>IFERROR(__xludf.DUMMYFUNCTION("""COMPUTED_VALUE"""),805.0)</f>
        <v>805</v>
      </c>
      <c r="G14105" s="4">
        <f>IFERROR(__xludf.DUMMYFUNCTION("""COMPUTED_VALUE"""),47.0)</f>
        <v>47</v>
      </c>
      <c r="H14105" s="4"/>
      <c r="I14105" s="4"/>
    </row>
    <row r="14106">
      <c r="A14106" s="4" t="str">
        <f>IFERROR(__xludf.DUMMYFUNCTION("""COMPUTED_VALUE"""),"cas_hmw")</f>
        <v>cas_hmw</v>
      </c>
      <c r="B14106" s="5">
        <f>IFERROR(__xludf.DUMMYFUNCTION("""COMPUTED_VALUE"""),44721.0)</f>
        <v>44721</v>
      </c>
      <c r="C14106" s="6">
        <f>IFERROR(__xludf.DUMMYFUNCTION("""COMPUTED_VALUE"""),0.71854166666526)</f>
        <v>0.7185416667</v>
      </c>
      <c r="D14106" s="4">
        <f>IFERROR(__xludf.DUMMYFUNCTION("""COMPUTED_VALUE"""),13.00801)</f>
        <v>13.00801</v>
      </c>
      <c r="E14106" s="4">
        <f>IFERROR(__xludf.DUMMYFUNCTION("""COMPUTED_VALUE"""),80.208167)</f>
        <v>80.208167</v>
      </c>
      <c r="F14106" s="4">
        <f>IFERROR(__xludf.DUMMYFUNCTION("""COMPUTED_VALUE"""),805.0)</f>
        <v>805</v>
      </c>
      <c r="G14106" s="4">
        <f>IFERROR(__xludf.DUMMYFUNCTION("""COMPUTED_VALUE"""),42.0)</f>
        <v>42</v>
      </c>
      <c r="H14106" s="4"/>
      <c r="I14106" s="4"/>
    </row>
    <row r="14107">
      <c r="A14107" s="4" t="str">
        <f>IFERROR(__xludf.DUMMYFUNCTION("""COMPUTED_VALUE"""),"cas_hmw")</f>
        <v>cas_hmw</v>
      </c>
      <c r="B14107" s="5">
        <f>IFERROR(__xludf.DUMMYFUNCTION("""COMPUTED_VALUE"""),44721.0)</f>
        <v>44721</v>
      </c>
      <c r="C14107" s="6">
        <f>IFERROR(__xludf.DUMMYFUNCTION("""COMPUTED_VALUE"""),0.718819444446126)</f>
        <v>0.7188194444</v>
      </c>
      <c r="D14107" s="4">
        <f>IFERROR(__xludf.DUMMYFUNCTION("""COMPUTED_VALUE"""),13.00902)</f>
        <v>13.00902</v>
      </c>
      <c r="E14107" s="4">
        <f>IFERROR(__xludf.DUMMYFUNCTION("""COMPUTED_VALUE"""),80.211725)</f>
        <v>80.211725</v>
      </c>
      <c r="F14107" s="4">
        <f>IFERROR(__xludf.DUMMYFUNCTION("""COMPUTED_VALUE"""),805.0)</f>
        <v>805</v>
      </c>
      <c r="G14107" s="4">
        <f>IFERROR(__xludf.DUMMYFUNCTION("""COMPUTED_VALUE"""),46.0)</f>
        <v>46</v>
      </c>
      <c r="H14107" s="4"/>
      <c r="I14107" s="4"/>
    </row>
    <row r="14108">
      <c r="A14108" s="4" t="str">
        <f>IFERROR(__xludf.DUMMYFUNCTION("""COMPUTED_VALUE"""),"cas_hmw")</f>
        <v>cas_hmw</v>
      </c>
      <c r="B14108" s="5">
        <f>IFERROR(__xludf.DUMMYFUNCTION("""COMPUTED_VALUE"""),44721.0)</f>
        <v>44721</v>
      </c>
      <c r="C14108" s="6">
        <f>IFERROR(__xludf.DUMMYFUNCTION("""COMPUTED_VALUE"""),0.7192939814813144)</f>
        <v>0.7192939815</v>
      </c>
      <c r="D14108" s="4">
        <f>IFERROR(__xludf.DUMMYFUNCTION("""COMPUTED_VALUE"""),13.010161)</f>
        <v>13.010161</v>
      </c>
      <c r="E14108" s="4">
        <f>IFERROR(__xludf.DUMMYFUNCTION("""COMPUTED_VALUE"""),80.214856)</f>
        <v>80.214856</v>
      </c>
      <c r="F14108" s="4">
        <f>IFERROR(__xludf.DUMMYFUNCTION("""COMPUTED_VALUE"""),805.0)</f>
        <v>805</v>
      </c>
      <c r="G14108" s="4">
        <f>IFERROR(__xludf.DUMMYFUNCTION("""COMPUTED_VALUE"""),27.0)</f>
        <v>27</v>
      </c>
      <c r="H14108" s="4"/>
      <c r="I14108" s="4"/>
    </row>
    <row r="14109">
      <c r="A14109" s="4" t="str">
        <f>IFERROR(__xludf.DUMMYFUNCTION("""COMPUTED_VALUE"""),"cas_hmw")</f>
        <v>cas_hmw</v>
      </c>
      <c r="B14109" s="5">
        <f>IFERROR(__xludf.DUMMYFUNCTION("""COMPUTED_VALUE"""),44721.0)</f>
        <v>44721</v>
      </c>
      <c r="C14109" s="6">
        <f>IFERROR(__xludf.DUMMYFUNCTION("""COMPUTED_VALUE"""),0.7199537037049595)</f>
        <v>0.7199537037</v>
      </c>
      <c r="D14109" s="4">
        <f>IFERROR(__xludf.DUMMYFUNCTION("""COMPUTED_VALUE"""),13.012377)</f>
        <v>13.012377</v>
      </c>
      <c r="E14109" s="4">
        <f>IFERROR(__xludf.DUMMYFUNCTION("""COMPUTED_VALUE"""),80.221045)</f>
        <v>80.221045</v>
      </c>
      <c r="F14109" s="4">
        <f>IFERROR(__xludf.DUMMYFUNCTION("""COMPUTED_VALUE"""),805.0)</f>
        <v>805</v>
      </c>
      <c r="G14109" s="4">
        <f>IFERROR(__xludf.DUMMYFUNCTION("""COMPUTED_VALUE"""),31.0)</f>
        <v>31</v>
      </c>
      <c r="H14109" s="4"/>
      <c r="I14109" s="4"/>
    </row>
    <row r="14110">
      <c r="A14110" s="4" t="str">
        <f>IFERROR(__xludf.DUMMYFUNCTION("""COMPUTED_VALUE"""),"cas_hmw")</f>
        <v>cas_hmw</v>
      </c>
      <c r="B14110" s="5">
        <f>IFERROR(__xludf.DUMMYFUNCTION("""COMPUTED_VALUE"""),44721.0)</f>
        <v>44721</v>
      </c>
      <c r="C14110" s="6">
        <f>IFERROR(__xludf.DUMMYFUNCTION("""COMPUTED_VALUE"""),0.7228819444426335)</f>
        <v>0.7228819444</v>
      </c>
      <c r="D14110" s="4">
        <f>IFERROR(__xludf.DUMMYFUNCTION("""COMPUTED_VALUE"""),13.024083)</f>
        <v>13.024083</v>
      </c>
      <c r="E14110" s="4">
        <f>IFERROR(__xludf.DUMMYFUNCTION("""COMPUTED_VALUE"""),80.228119)</f>
        <v>80.228119</v>
      </c>
      <c r="F14110" s="4">
        <f>IFERROR(__xludf.DUMMYFUNCTION("""COMPUTED_VALUE"""),805.0)</f>
        <v>805</v>
      </c>
      <c r="G14110" s="4">
        <f>IFERROR(__xludf.DUMMYFUNCTION("""COMPUTED_VALUE"""),0.0)</f>
        <v>0</v>
      </c>
      <c r="H14110" s="4"/>
      <c r="I14110" s="4"/>
    </row>
    <row r="14111">
      <c r="A14111" s="4" t="str">
        <f>IFERROR(__xludf.DUMMYFUNCTION("""COMPUTED_VALUE"""),"cas_hmw")</f>
        <v>cas_hmw</v>
      </c>
      <c r="B14111" s="5">
        <f>IFERROR(__xludf.DUMMYFUNCTION("""COMPUTED_VALUE"""),44721.0)</f>
        <v>44721</v>
      </c>
      <c r="C14111" s="6">
        <f>IFERROR(__xludf.DUMMYFUNCTION("""COMPUTED_VALUE"""),0.724016203705105)</f>
        <v>0.7240162037</v>
      </c>
      <c r="D14111" s="4">
        <f>IFERROR(__xludf.DUMMYFUNCTION("""COMPUTED_VALUE"""),13.025998)</f>
        <v>13.025998</v>
      </c>
      <c r="E14111" s="4">
        <f>IFERROR(__xludf.DUMMYFUNCTION("""COMPUTED_VALUE"""),80.231045)</f>
        <v>80.231045</v>
      </c>
      <c r="F14111" s="4">
        <f>IFERROR(__xludf.DUMMYFUNCTION("""COMPUTED_VALUE"""),805.0)</f>
        <v>805</v>
      </c>
      <c r="G14111" s="4">
        <f>IFERROR(__xludf.DUMMYFUNCTION("""COMPUTED_VALUE"""),15.0)</f>
        <v>15</v>
      </c>
      <c r="H14111" s="4"/>
      <c r="I14111" s="4"/>
    </row>
    <row r="14112">
      <c r="A14112" s="4" t="str">
        <f>IFERROR(__xludf.DUMMYFUNCTION("""COMPUTED_VALUE"""),"cas_hmw")</f>
        <v>cas_hmw</v>
      </c>
      <c r="B14112" s="5">
        <f>IFERROR(__xludf.DUMMYFUNCTION("""COMPUTED_VALUE"""),44721.0)</f>
        <v>44721</v>
      </c>
      <c r="C14112" s="6">
        <f>IFERROR(__xludf.DUMMYFUNCTION("""COMPUTED_VALUE"""),0.7241087962975143)</f>
        <v>0.7241087963</v>
      </c>
      <c r="D14112" s="4">
        <f>IFERROR(__xludf.DUMMYFUNCTION("""COMPUTED_VALUE"""),13.025998)</f>
        <v>13.025998</v>
      </c>
      <c r="E14112" s="4">
        <f>IFERROR(__xludf.DUMMYFUNCTION("""COMPUTED_VALUE"""),80.231045)</f>
        <v>80.231045</v>
      </c>
      <c r="F14112" s="4">
        <f>IFERROR(__xludf.DUMMYFUNCTION("""COMPUTED_VALUE"""),805.0)</f>
        <v>805</v>
      </c>
      <c r="G14112" s="4">
        <f>IFERROR(__xludf.DUMMYFUNCTION("""COMPUTED_VALUE"""),15.0)</f>
        <v>15</v>
      </c>
      <c r="H14112" s="4"/>
      <c r="I14112" s="4"/>
    </row>
    <row r="14113">
      <c r="A14113" s="4" t="str">
        <f>IFERROR(__xludf.DUMMYFUNCTION("""COMPUTED_VALUE"""),"cas_hmw")</f>
        <v>cas_hmw</v>
      </c>
      <c r="B14113" s="5">
        <f>IFERROR(__xludf.DUMMYFUNCTION("""COMPUTED_VALUE"""),44721.0)</f>
        <v>44721</v>
      </c>
      <c r="C14113" s="6">
        <f>IFERROR(__xludf.DUMMYFUNCTION("""COMPUTED_VALUE"""),0.7248032407405844)</f>
        <v>0.7248032407</v>
      </c>
      <c r="D14113" s="4">
        <f>IFERROR(__xludf.DUMMYFUNCTION("""COMPUTED_VALUE"""),13.029008)</f>
        <v>13.029008</v>
      </c>
      <c r="E14113" s="4">
        <f>IFERROR(__xludf.DUMMYFUNCTION("""COMPUTED_VALUE"""),80.236498)</f>
        <v>80.236498</v>
      </c>
      <c r="F14113" s="4">
        <f>IFERROR(__xludf.DUMMYFUNCTION("""COMPUTED_VALUE"""),805.0)</f>
        <v>805</v>
      </c>
      <c r="G14113" s="4">
        <f>IFERROR(__xludf.DUMMYFUNCTION("""COMPUTED_VALUE"""),27.0)</f>
        <v>27</v>
      </c>
      <c r="H14113" s="4"/>
      <c r="I14113" s="4"/>
    </row>
    <row r="14114">
      <c r="A14114" s="4" t="str">
        <f>IFERROR(__xludf.DUMMYFUNCTION("""COMPUTED_VALUE"""),"cas_hmw")</f>
        <v>cas_hmw</v>
      </c>
      <c r="B14114" s="5">
        <f>IFERROR(__xludf.DUMMYFUNCTION("""COMPUTED_VALUE"""),44721.0)</f>
        <v>44721</v>
      </c>
      <c r="C14114" s="6">
        <f>IFERROR(__xludf.DUMMYFUNCTION("""COMPUTED_VALUE"""),0.7296759259261307)</f>
        <v>0.7296759259</v>
      </c>
      <c r="D14114" s="4">
        <f>IFERROR(__xludf.DUMMYFUNCTION("""COMPUTED_VALUE"""),13.038948)</f>
        <v>13.038948</v>
      </c>
      <c r="E14114" s="4">
        <f>IFERROR(__xludf.DUMMYFUNCTION("""COMPUTED_VALUE"""),80.246765)</f>
        <v>80.246765</v>
      </c>
      <c r="F14114" s="4">
        <f>IFERROR(__xludf.DUMMYFUNCTION("""COMPUTED_VALUE"""),805.0)</f>
        <v>805</v>
      </c>
      <c r="G14114" s="4">
        <f>IFERROR(__xludf.DUMMYFUNCTION("""COMPUTED_VALUE"""),0.0)</f>
        <v>0</v>
      </c>
      <c r="H14114" s="4"/>
      <c r="I14114" s="4"/>
    </row>
    <row r="14115">
      <c r="A14115" s="4" t="str">
        <f>IFERROR(__xludf.DUMMYFUNCTION("""COMPUTED_VALUE"""),"cas_hmw")</f>
        <v>cas_hmw</v>
      </c>
      <c r="B14115" s="5">
        <f>IFERROR(__xludf.DUMMYFUNCTION("""COMPUTED_VALUE"""),44721.0)</f>
        <v>44721</v>
      </c>
      <c r="C14115" s="6">
        <f>IFERROR(__xludf.DUMMYFUNCTION("""COMPUTED_VALUE"""),0.7304166666654055)</f>
        <v>0.7304166667</v>
      </c>
      <c r="D14115" s="4">
        <f>IFERROR(__xludf.DUMMYFUNCTION("""COMPUTED_VALUE"""),13.042438)</f>
        <v>13.042438</v>
      </c>
      <c r="E14115" s="4">
        <f>IFERROR(__xludf.DUMMYFUNCTION("""COMPUTED_VALUE"""),80.247402)</f>
        <v>80.247402</v>
      </c>
      <c r="F14115" s="4">
        <f>IFERROR(__xludf.DUMMYFUNCTION("""COMPUTED_VALUE"""),805.0)</f>
        <v>805</v>
      </c>
      <c r="G14115" s="4">
        <f>IFERROR(__xludf.DUMMYFUNCTION("""COMPUTED_VALUE"""),0.0)</f>
        <v>0</v>
      </c>
      <c r="H14115" s="4"/>
      <c r="I14115" s="4"/>
    </row>
    <row r="14116">
      <c r="A14116" s="4" t="str">
        <f>IFERROR(__xludf.DUMMYFUNCTION("""COMPUTED_VALUE"""),"cas_hmw")</f>
        <v>cas_hmw</v>
      </c>
      <c r="B14116" s="5">
        <f>IFERROR(__xludf.DUMMYFUNCTION("""COMPUTED_VALUE"""),44721.0)</f>
        <v>44721</v>
      </c>
      <c r="C14116" s="6">
        <f>IFERROR(__xludf.DUMMYFUNCTION("""COMPUTED_VALUE"""),0.7306944444426335)</f>
        <v>0.7306944444</v>
      </c>
      <c r="D14116" s="4">
        <f>IFERROR(__xludf.DUMMYFUNCTION("""COMPUTED_VALUE"""),13.044452)</f>
        <v>13.044452</v>
      </c>
      <c r="E14116" s="4">
        <f>IFERROR(__xludf.DUMMYFUNCTION("""COMPUTED_VALUE"""),80.247856)</f>
        <v>80.247856</v>
      </c>
      <c r="F14116" s="4">
        <f>IFERROR(__xludf.DUMMYFUNCTION("""COMPUTED_VALUE"""),805.0)</f>
        <v>805</v>
      </c>
      <c r="G14116" s="4">
        <f>IFERROR(__xludf.DUMMYFUNCTION("""COMPUTED_VALUE"""),39.0)</f>
        <v>39</v>
      </c>
      <c r="H14116" s="4"/>
      <c r="I14116" s="4"/>
    </row>
    <row r="14117">
      <c r="A14117" s="4" t="str">
        <f>IFERROR(__xludf.DUMMYFUNCTION("""COMPUTED_VALUE"""),"cas_hmw")</f>
        <v>cas_hmw</v>
      </c>
      <c r="B14117" s="5">
        <f>IFERROR(__xludf.DUMMYFUNCTION("""COMPUTED_VALUE"""),44721.0)</f>
        <v>44721</v>
      </c>
      <c r="C14117" s="6">
        <f>IFERROR(__xludf.DUMMYFUNCTION("""COMPUTED_VALUE"""),0.7307754629619012)</f>
        <v>0.730775463</v>
      </c>
      <c r="D14117" s="4">
        <f>IFERROR(__xludf.DUMMYFUNCTION("""COMPUTED_VALUE"""),13.044452)</f>
        <v>13.044452</v>
      </c>
      <c r="E14117" s="4">
        <f>IFERROR(__xludf.DUMMYFUNCTION("""COMPUTED_VALUE"""),80.247856)</f>
        <v>80.247856</v>
      </c>
      <c r="F14117" s="4">
        <f>IFERROR(__xludf.DUMMYFUNCTION("""COMPUTED_VALUE"""),805.0)</f>
        <v>805</v>
      </c>
      <c r="G14117" s="4">
        <f>IFERROR(__xludf.DUMMYFUNCTION("""COMPUTED_VALUE"""),39.0)</f>
        <v>39</v>
      </c>
      <c r="H14117" s="4"/>
      <c r="I14117" s="4"/>
    </row>
    <row r="14118">
      <c r="A14118" s="4" t="str">
        <f>IFERROR(__xludf.DUMMYFUNCTION("""COMPUTED_VALUE"""),"cas_hmw")</f>
        <v>cas_hmw</v>
      </c>
      <c r="B14118" s="5">
        <f>IFERROR(__xludf.DUMMYFUNCTION("""COMPUTED_VALUE"""),44721.0)</f>
        <v>44721</v>
      </c>
      <c r="C14118" s="6">
        <f>IFERROR(__xludf.DUMMYFUNCTION("""COMPUTED_VALUE"""),0.7313194444432156)</f>
        <v>0.7313194444</v>
      </c>
      <c r="D14118" s="4">
        <f>IFERROR(__xludf.DUMMYFUNCTION("""COMPUTED_VALUE"""),13.044452)</f>
        <v>13.044452</v>
      </c>
      <c r="E14118" s="4">
        <f>IFERROR(__xludf.DUMMYFUNCTION("""COMPUTED_VALUE"""),80.247856)</f>
        <v>80.247856</v>
      </c>
      <c r="F14118" s="4">
        <f>IFERROR(__xludf.DUMMYFUNCTION("""COMPUTED_VALUE"""),805.0)</f>
        <v>805</v>
      </c>
      <c r="G14118" s="4">
        <f>IFERROR(__xludf.DUMMYFUNCTION("""COMPUTED_VALUE"""),39.0)</f>
        <v>39</v>
      </c>
      <c r="H14118" s="4"/>
      <c r="I14118" s="4"/>
    </row>
    <row r="14119">
      <c r="A14119" s="4" t="str">
        <f>IFERROR(__xludf.DUMMYFUNCTION("""COMPUTED_VALUE"""),"cas_hmw")</f>
        <v>cas_hmw</v>
      </c>
      <c r="B14119" s="5">
        <f>IFERROR(__xludf.DUMMYFUNCTION("""COMPUTED_VALUE"""),44721.0)</f>
        <v>44721</v>
      </c>
      <c r="C14119" s="6">
        <f>IFERROR(__xludf.DUMMYFUNCTION("""COMPUTED_VALUE"""),0.7314699074086093)</f>
        <v>0.7314699074</v>
      </c>
      <c r="D14119" s="4">
        <f>IFERROR(__xludf.DUMMYFUNCTION("""COMPUTED_VALUE"""),13.049057)</f>
        <v>13.049057</v>
      </c>
      <c r="E14119" s="4">
        <f>IFERROR(__xludf.DUMMYFUNCTION("""COMPUTED_VALUE"""),80.249619)</f>
        <v>80.249619</v>
      </c>
      <c r="F14119" s="4">
        <f>IFERROR(__xludf.DUMMYFUNCTION("""COMPUTED_VALUE"""),805.0)</f>
        <v>805</v>
      </c>
      <c r="G14119" s="4">
        <f>IFERROR(__xludf.DUMMYFUNCTION("""COMPUTED_VALUE"""),22.0)</f>
        <v>22</v>
      </c>
      <c r="H14119" s="4"/>
      <c r="I14119" s="4"/>
    </row>
    <row r="14120">
      <c r="A14120" s="4" t="str">
        <f>IFERROR(__xludf.DUMMYFUNCTION("""COMPUTED_VALUE"""),"cas_hmw")</f>
        <v>cas_hmw</v>
      </c>
      <c r="B14120" s="5">
        <f>IFERROR(__xludf.DUMMYFUNCTION("""COMPUTED_VALUE"""),44721.0)</f>
        <v>44721</v>
      </c>
      <c r="C14120" s="6">
        <f>IFERROR(__xludf.DUMMYFUNCTION("""COMPUTED_VALUE"""),0.731481481481751)</f>
        <v>0.7314814815</v>
      </c>
      <c r="D14120" s="4">
        <f>IFERROR(__xludf.DUMMYFUNCTION("""COMPUTED_VALUE"""),13.049057)</f>
        <v>13.049057</v>
      </c>
      <c r="E14120" s="4">
        <f>IFERROR(__xludf.DUMMYFUNCTION("""COMPUTED_VALUE"""),80.249619)</f>
        <v>80.249619</v>
      </c>
      <c r="F14120" s="4">
        <f>IFERROR(__xludf.DUMMYFUNCTION("""COMPUTED_VALUE"""),805.0)</f>
        <v>805</v>
      </c>
      <c r="G14120" s="4">
        <f>IFERROR(__xludf.DUMMYFUNCTION("""COMPUTED_VALUE"""),22.0)</f>
        <v>22</v>
      </c>
      <c r="H14120" s="4"/>
      <c r="I14120" s="4"/>
    </row>
    <row r="14121">
      <c r="A14121" s="4" t="str">
        <f>IFERROR(__xludf.DUMMYFUNCTION("""COMPUTED_VALUE"""),"cas_hmw")</f>
        <v>cas_hmw</v>
      </c>
      <c r="B14121" s="5">
        <f>IFERROR(__xludf.DUMMYFUNCTION("""COMPUTED_VALUE"""),44721.0)</f>
        <v>44721</v>
      </c>
      <c r="C14121" s="6">
        <f>IFERROR(__xludf.DUMMYFUNCTION("""COMPUTED_VALUE"""),0.7315393518510973)</f>
        <v>0.7315393519</v>
      </c>
      <c r="D14121" s="4">
        <f>IFERROR(__xludf.DUMMYFUNCTION("""COMPUTED_VALUE"""),13.049057)</f>
        <v>13.049057</v>
      </c>
      <c r="E14121" s="4">
        <f>IFERROR(__xludf.DUMMYFUNCTION("""COMPUTED_VALUE"""),80.249619)</f>
        <v>80.249619</v>
      </c>
      <c r="F14121" s="4">
        <f>IFERROR(__xludf.DUMMYFUNCTION("""COMPUTED_VALUE"""),805.0)</f>
        <v>805</v>
      </c>
      <c r="G14121" s="4">
        <f>IFERROR(__xludf.DUMMYFUNCTION("""COMPUTED_VALUE"""),22.0)</f>
        <v>22</v>
      </c>
      <c r="H14121" s="4"/>
      <c r="I14121" s="4"/>
    </row>
    <row r="14122">
      <c r="A14122" s="4" t="str">
        <f>IFERROR(__xludf.DUMMYFUNCTION("""COMPUTED_VALUE"""),"cas_hmw")</f>
        <v>cas_hmw</v>
      </c>
      <c r="B14122" s="5">
        <f>IFERROR(__xludf.DUMMYFUNCTION("""COMPUTED_VALUE"""),44721.0)</f>
        <v>44721</v>
      </c>
      <c r="C14122" s="6">
        <f>IFERROR(__xludf.DUMMYFUNCTION("""COMPUTED_VALUE"""),0.7320486111093487)</f>
        <v>0.7320486111</v>
      </c>
      <c r="D14122" s="4">
        <f>IFERROR(__xludf.DUMMYFUNCTION("""COMPUTED_VALUE"""),13.051864)</f>
        <v>13.051864</v>
      </c>
      <c r="E14122" s="4">
        <f>IFERROR(__xludf.DUMMYFUNCTION("""COMPUTED_VALUE"""),80.250402)</f>
        <v>80.250402</v>
      </c>
      <c r="F14122" s="4">
        <f>IFERROR(__xludf.DUMMYFUNCTION("""COMPUTED_VALUE"""),805.0)</f>
        <v>805</v>
      </c>
      <c r="G14122" s="4">
        <f>IFERROR(__xludf.DUMMYFUNCTION("""COMPUTED_VALUE"""),34.0)</f>
        <v>34</v>
      </c>
      <c r="H14122" s="4"/>
      <c r="I14122" s="4"/>
    </row>
    <row r="14123">
      <c r="A14123" s="4" t="str">
        <f>IFERROR(__xludf.DUMMYFUNCTION("""COMPUTED_VALUE"""),"cas_hmw")</f>
        <v>cas_hmw</v>
      </c>
      <c r="B14123" s="5">
        <f>IFERROR(__xludf.DUMMYFUNCTION("""COMPUTED_VALUE"""),44721.0)</f>
        <v>44721</v>
      </c>
      <c r="C14123" s="6">
        <f>IFERROR(__xludf.DUMMYFUNCTION("""COMPUTED_VALUE"""),0.7331597222218988)</f>
        <v>0.7331597222</v>
      </c>
      <c r="D14123" s="4">
        <f>IFERROR(__xludf.DUMMYFUNCTION("""COMPUTED_VALUE"""),13.054823)</f>
        <v>13.054823</v>
      </c>
      <c r="E14123" s="4">
        <f>IFERROR(__xludf.DUMMYFUNCTION("""COMPUTED_VALUE"""),80.254215)</f>
        <v>80.254215</v>
      </c>
      <c r="F14123" s="4">
        <f>IFERROR(__xludf.DUMMYFUNCTION("""COMPUTED_VALUE"""),805.0)</f>
        <v>805</v>
      </c>
      <c r="G14123" s="4">
        <f>IFERROR(__xludf.DUMMYFUNCTION("""COMPUTED_VALUE"""),7.0)</f>
        <v>7</v>
      </c>
      <c r="H14123" s="4"/>
      <c r="I14123" s="4"/>
    </row>
    <row r="14124">
      <c r="A14124" s="4" t="str">
        <f>IFERROR(__xludf.DUMMYFUNCTION("""COMPUTED_VALUE"""),"cas_hmw")</f>
        <v>cas_hmw</v>
      </c>
      <c r="B14124" s="5">
        <f>IFERROR(__xludf.DUMMYFUNCTION("""COMPUTED_VALUE"""),44721.0)</f>
        <v>44721</v>
      </c>
      <c r="C14124" s="6">
        <f>IFERROR(__xludf.DUMMYFUNCTION("""COMPUTED_VALUE"""),0.7349189814813144)</f>
        <v>0.7349189815</v>
      </c>
      <c r="D14124" s="4">
        <f>IFERROR(__xludf.DUMMYFUNCTION("""COMPUTED_VALUE"""),13.054531)</f>
        <v>13.054531</v>
      </c>
      <c r="E14124" s="4">
        <f>IFERROR(__xludf.DUMMYFUNCTION("""COMPUTED_VALUE"""),80.257919)</f>
        <v>80.257919</v>
      </c>
      <c r="F14124" s="4">
        <f>IFERROR(__xludf.DUMMYFUNCTION("""COMPUTED_VALUE"""),805.0)</f>
        <v>805</v>
      </c>
      <c r="G14124" s="4">
        <f>IFERROR(__xludf.DUMMYFUNCTION("""COMPUTED_VALUE"""),8.0)</f>
        <v>8</v>
      </c>
      <c r="H14124" s="4"/>
      <c r="I14124" s="4"/>
    </row>
    <row r="14125">
      <c r="A14125" s="4" t="str">
        <f>IFERROR(__xludf.DUMMYFUNCTION("""COMPUTED_VALUE"""),"cas_hmw")</f>
        <v>cas_hmw</v>
      </c>
      <c r="B14125" s="5">
        <f>IFERROR(__xludf.DUMMYFUNCTION("""COMPUTED_VALUE"""),44721.0)</f>
        <v>44721</v>
      </c>
      <c r="C14125" s="6">
        <f>IFERROR(__xludf.DUMMYFUNCTION("""COMPUTED_VALUE"""),0.7356828703705105)</f>
        <v>0.7356828704</v>
      </c>
      <c r="D14125" s="4">
        <f>IFERROR(__xludf.DUMMYFUNCTION("""COMPUTED_VALUE"""),13.054138)</f>
        <v>13.054138</v>
      </c>
      <c r="E14125" s="4">
        <f>IFERROR(__xludf.DUMMYFUNCTION("""COMPUTED_VALUE"""),80.261617)</f>
        <v>80.261617</v>
      </c>
      <c r="F14125" s="4">
        <f>IFERROR(__xludf.DUMMYFUNCTION("""COMPUTED_VALUE"""),805.0)</f>
        <v>805</v>
      </c>
      <c r="G14125" s="4">
        <f>IFERROR(__xludf.DUMMYFUNCTION("""COMPUTED_VALUE"""),19.0)</f>
        <v>19</v>
      </c>
      <c r="H14125" s="4"/>
      <c r="I14125" s="4"/>
    </row>
    <row r="14126">
      <c r="A14126" s="4" t="str">
        <f>IFERROR(__xludf.DUMMYFUNCTION("""COMPUTED_VALUE"""),"cas_hmw")</f>
        <v>cas_hmw</v>
      </c>
      <c r="B14126" s="5">
        <f>IFERROR(__xludf.DUMMYFUNCTION("""COMPUTED_VALUE"""),44721.0)</f>
        <v>44721</v>
      </c>
      <c r="C14126" s="6">
        <f>IFERROR(__xludf.DUMMYFUNCTION("""COMPUTED_VALUE"""),0.736851851852407)</f>
        <v>0.7368518519</v>
      </c>
      <c r="D14126" s="4">
        <f>IFERROR(__xludf.DUMMYFUNCTION("""COMPUTED_VALUE"""),12.964269)</f>
        <v>12.964269</v>
      </c>
      <c r="E14126" s="4">
        <f>IFERROR(__xludf.DUMMYFUNCTION("""COMPUTED_VALUE"""),80.212362)</f>
        <v>80.212362</v>
      </c>
      <c r="F14126" s="4">
        <f>IFERROR(__xludf.DUMMYFUNCTION("""COMPUTED_VALUE"""),2846.0)</f>
        <v>2846</v>
      </c>
      <c r="G14126" s="4">
        <f>IFERROR(__xludf.DUMMYFUNCTION("""COMPUTED_VALUE"""),30.0)</f>
        <v>30</v>
      </c>
      <c r="H14126" s="4"/>
      <c r="I14126" s="4"/>
    </row>
    <row r="14127">
      <c r="A14127" s="4" t="str">
        <f>IFERROR(__xludf.DUMMYFUNCTION("""COMPUTED_VALUE"""),"cas_hmw")</f>
        <v>cas_hmw</v>
      </c>
      <c r="B14127" s="5">
        <f>IFERROR(__xludf.DUMMYFUNCTION("""COMPUTED_VALUE"""),44721.0)</f>
        <v>44721</v>
      </c>
      <c r="C14127" s="6">
        <f>IFERROR(__xludf.DUMMYFUNCTION("""COMPUTED_VALUE"""),0.7391550925931369)</f>
        <v>0.7391550926</v>
      </c>
      <c r="D14127" s="4">
        <f>IFERROR(__xludf.DUMMYFUNCTION("""COMPUTED_VALUE"""),12.976067)</f>
        <v>12.976067</v>
      </c>
      <c r="E14127" s="4">
        <f>IFERROR(__xludf.DUMMYFUNCTION("""COMPUTED_VALUE"""),80.221228)</f>
        <v>80.221228</v>
      </c>
      <c r="F14127" s="4">
        <f>IFERROR(__xludf.DUMMYFUNCTION("""COMPUTED_VALUE"""),2846.0)</f>
        <v>2846</v>
      </c>
      <c r="G14127" s="4">
        <f>IFERROR(__xludf.DUMMYFUNCTION("""COMPUTED_VALUE"""),14.0)</f>
        <v>14</v>
      </c>
      <c r="H14127" s="4"/>
      <c r="I14127" s="4"/>
    </row>
    <row r="14128">
      <c r="A14128" s="4" t="str">
        <f>IFERROR(__xludf.DUMMYFUNCTION("""COMPUTED_VALUE"""),"cas_hmw")</f>
        <v>cas_hmw</v>
      </c>
      <c r="B14128" s="5">
        <f>IFERROR(__xludf.DUMMYFUNCTION("""COMPUTED_VALUE"""),44721.0)</f>
        <v>44721</v>
      </c>
      <c r="C14128" s="6">
        <f>IFERROR(__xludf.DUMMYFUNCTION("""COMPUTED_VALUE"""),0.7391550925931369)</f>
        <v>0.7391550926</v>
      </c>
      <c r="D14128" s="4">
        <f>IFERROR(__xludf.DUMMYFUNCTION("""COMPUTED_VALUE"""),12.976067)</f>
        <v>12.976067</v>
      </c>
      <c r="E14128" s="4">
        <f>IFERROR(__xludf.DUMMYFUNCTION("""COMPUTED_VALUE"""),80.221228)</f>
        <v>80.221228</v>
      </c>
      <c r="F14128" s="4">
        <f>IFERROR(__xludf.DUMMYFUNCTION("""COMPUTED_VALUE"""),2846.0)</f>
        <v>2846</v>
      </c>
      <c r="G14128" s="4">
        <f>IFERROR(__xludf.DUMMYFUNCTION("""COMPUTED_VALUE"""),14.0)</f>
        <v>14</v>
      </c>
      <c r="H14128" s="4"/>
      <c r="I14128" s="4"/>
    </row>
    <row r="14129">
      <c r="A14129" s="4" t="str">
        <f>IFERROR(__xludf.DUMMYFUNCTION("""COMPUTED_VALUE"""),"cas_hmw")</f>
        <v>cas_hmw</v>
      </c>
      <c r="B14129" s="5">
        <f>IFERROR(__xludf.DUMMYFUNCTION("""COMPUTED_VALUE"""),44721.0)</f>
        <v>44721</v>
      </c>
      <c r="C14129" s="6">
        <f>IFERROR(__xludf.DUMMYFUNCTION("""COMPUTED_VALUE"""),0.7392013888893416)</f>
        <v>0.7392013889</v>
      </c>
      <c r="D14129" s="4">
        <f>IFERROR(__xludf.DUMMYFUNCTION("""COMPUTED_VALUE"""),12.976067)</f>
        <v>12.976067</v>
      </c>
      <c r="E14129" s="4">
        <f>IFERROR(__xludf.DUMMYFUNCTION("""COMPUTED_VALUE"""),80.221228)</f>
        <v>80.221228</v>
      </c>
      <c r="F14129" s="4">
        <f>IFERROR(__xludf.DUMMYFUNCTION("""COMPUTED_VALUE"""),2846.0)</f>
        <v>2846</v>
      </c>
      <c r="G14129" s="4">
        <f>IFERROR(__xludf.DUMMYFUNCTION("""COMPUTED_VALUE"""),14.0)</f>
        <v>14</v>
      </c>
      <c r="H14129" s="4"/>
      <c r="I14129" s="4"/>
    </row>
    <row r="14130">
      <c r="A14130" s="4" t="str">
        <f>IFERROR(__xludf.DUMMYFUNCTION("""COMPUTED_VALUE"""),"cas_hmw")</f>
        <v>cas_hmw</v>
      </c>
      <c r="B14130" s="5">
        <f>IFERROR(__xludf.DUMMYFUNCTION("""COMPUTED_VALUE"""),44721.0)</f>
        <v>44721</v>
      </c>
      <c r="C14130" s="6">
        <f>IFERROR(__xludf.DUMMYFUNCTION("""COMPUTED_VALUE"""),0.739641203705105)</f>
        <v>0.7396412037</v>
      </c>
      <c r="D14130" s="4">
        <f>IFERROR(__xludf.DUMMYFUNCTION("""COMPUTED_VALUE"""),12.977764)</f>
        <v>12.977764</v>
      </c>
      <c r="E14130" s="4">
        <f>IFERROR(__xludf.DUMMYFUNCTION("""COMPUTED_VALUE"""),80.224031)</f>
        <v>80.224031</v>
      </c>
      <c r="F14130" s="4">
        <f>IFERROR(__xludf.DUMMYFUNCTION("""COMPUTED_VALUE"""),2846.0)</f>
        <v>2846</v>
      </c>
      <c r="G14130" s="4">
        <f>IFERROR(__xludf.DUMMYFUNCTION("""COMPUTED_VALUE"""),28.0)</f>
        <v>28</v>
      </c>
      <c r="H14130" s="4"/>
      <c r="I14130" s="4"/>
    </row>
    <row r="14131">
      <c r="A14131" s="4" t="str">
        <f>IFERROR(__xludf.DUMMYFUNCTION("""COMPUTED_VALUE"""),"cas_hmw")</f>
        <v>cas_hmw</v>
      </c>
      <c r="B14131" s="5">
        <f>IFERROR(__xludf.DUMMYFUNCTION("""COMPUTED_VALUE"""),44721.0)</f>
        <v>44721</v>
      </c>
      <c r="C14131" s="6">
        <f>IFERROR(__xludf.DUMMYFUNCTION("""COMPUTED_VALUE"""),0.73967592592453)</f>
        <v>0.7396759259</v>
      </c>
      <c r="D14131" s="4">
        <f>IFERROR(__xludf.DUMMYFUNCTION("""COMPUTED_VALUE"""),12.977764)</f>
        <v>12.977764</v>
      </c>
      <c r="E14131" s="4">
        <f>IFERROR(__xludf.DUMMYFUNCTION("""COMPUTED_VALUE"""),80.224031)</f>
        <v>80.224031</v>
      </c>
      <c r="F14131" s="4">
        <f>IFERROR(__xludf.DUMMYFUNCTION("""COMPUTED_VALUE"""),2846.0)</f>
        <v>2846</v>
      </c>
      <c r="G14131" s="4">
        <f>IFERROR(__xludf.DUMMYFUNCTION("""COMPUTED_VALUE"""),28.0)</f>
        <v>28</v>
      </c>
      <c r="H14131" s="4"/>
      <c r="I14131" s="4"/>
    </row>
    <row r="14132">
      <c r="A14132" s="4" t="str">
        <f>IFERROR(__xludf.DUMMYFUNCTION("""COMPUTED_VALUE"""),"cas_hmw")</f>
        <v>cas_hmw</v>
      </c>
      <c r="B14132" s="5">
        <f>IFERROR(__xludf.DUMMYFUNCTION("""COMPUTED_VALUE"""),44721.0)</f>
        <v>44721</v>
      </c>
      <c r="C14132" s="6">
        <f>IFERROR(__xludf.DUMMYFUNCTION("""COMPUTED_VALUE"""),0.7424421296309447)</f>
        <v>0.7424421296</v>
      </c>
      <c r="D14132" s="4">
        <f>IFERROR(__xludf.DUMMYFUNCTION("""COMPUTED_VALUE"""),12.975894)</f>
        <v>12.975894</v>
      </c>
      <c r="E14132" s="4">
        <f>IFERROR(__xludf.DUMMYFUNCTION("""COMPUTED_VALUE"""),80.221332)</f>
        <v>80.221332</v>
      </c>
      <c r="F14132" s="4">
        <f>IFERROR(__xludf.DUMMYFUNCTION("""COMPUTED_VALUE"""),2846.0)</f>
        <v>2846</v>
      </c>
      <c r="G14132" s="4">
        <f>IFERROR(__xludf.DUMMYFUNCTION("""COMPUTED_VALUE"""),14.0)</f>
        <v>14</v>
      </c>
      <c r="H14132" s="4"/>
      <c r="I14132" s="4"/>
    </row>
    <row r="14133">
      <c r="A14133" s="4" t="str">
        <f>IFERROR(__xludf.DUMMYFUNCTION("""COMPUTED_VALUE"""),"cas_hmw")</f>
        <v>cas_hmw</v>
      </c>
      <c r="B14133" s="5">
        <f>IFERROR(__xludf.DUMMYFUNCTION("""COMPUTED_VALUE"""),44721.0)</f>
        <v>44721</v>
      </c>
      <c r="C14133" s="6">
        <f>IFERROR(__xludf.DUMMYFUNCTION("""COMPUTED_VALUE"""),0.7432407407395658)</f>
        <v>0.7432407407</v>
      </c>
      <c r="D14133" s="4">
        <f>IFERROR(__xludf.DUMMYFUNCTION("""COMPUTED_VALUE"""),12.972033)</f>
        <v>12.972033</v>
      </c>
      <c r="E14133" s="4">
        <f>IFERROR(__xludf.DUMMYFUNCTION("""COMPUTED_VALUE"""),80.219506)</f>
        <v>80.219506</v>
      </c>
      <c r="F14133" s="4">
        <f>IFERROR(__xludf.DUMMYFUNCTION("""COMPUTED_VALUE"""),2846.0)</f>
        <v>2846</v>
      </c>
      <c r="G14133" s="4">
        <f>IFERROR(__xludf.DUMMYFUNCTION("""COMPUTED_VALUE"""),3.0)</f>
        <v>3</v>
      </c>
      <c r="H14133" s="4"/>
      <c r="I14133" s="4"/>
    </row>
    <row r="14134">
      <c r="A14134" s="4" t="str">
        <f>IFERROR(__xludf.DUMMYFUNCTION("""COMPUTED_VALUE"""),"cas_hmw")</f>
        <v>cas_hmw</v>
      </c>
      <c r="B14134" s="5">
        <f>IFERROR(__xludf.DUMMYFUNCTION("""COMPUTED_VALUE"""),44721.0)</f>
        <v>44721</v>
      </c>
      <c r="C14134" s="6">
        <f>IFERROR(__xludf.DUMMYFUNCTION("""COMPUTED_VALUE"""),0.7435416666667152)</f>
        <v>0.7435416667</v>
      </c>
      <c r="D14134" s="4">
        <f>IFERROR(__xludf.DUMMYFUNCTION("""COMPUTED_VALUE"""),12.970617)</f>
        <v>12.970617</v>
      </c>
      <c r="E14134" s="4">
        <f>IFERROR(__xludf.DUMMYFUNCTION("""COMPUTED_VALUE"""),80.218882)</f>
        <v>80.218882</v>
      </c>
      <c r="F14134" s="4">
        <f>IFERROR(__xludf.DUMMYFUNCTION("""COMPUTED_VALUE"""),2846.0)</f>
        <v>2846</v>
      </c>
      <c r="G14134" s="4">
        <f>IFERROR(__xludf.DUMMYFUNCTION("""COMPUTED_VALUE"""),37.0)</f>
        <v>37</v>
      </c>
      <c r="H14134" s="4"/>
      <c r="I14134" s="4"/>
    </row>
    <row r="14135">
      <c r="A14135" s="4" t="str">
        <f>IFERROR(__xludf.DUMMYFUNCTION("""COMPUTED_VALUE"""),"cas_hmw")</f>
        <v>cas_hmw</v>
      </c>
      <c r="B14135" s="5">
        <f>IFERROR(__xludf.DUMMYFUNCTION("""COMPUTED_VALUE"""),44721.0)</f>
        <v>44721</v>
      </c>
      <c r="C14135" s="6">
        <f>IFERROR(__xludf.DUMMYFUNCTION("""COMPUTED_VALUE"""),0.7436458333322662)</f>
        <v>0.7436458333</v>
      </c>
      <c r="D14135" s="4">
        <f>IFERROR(__xludf.DUMMYFUNCTION("""COMPUTED_VALUE"""),12.970617)</f>
        <v>12.970617</v>
      </c>
      <c r="E14135" s="4">
        <f>IFERROR(__xludf.DUMMYFUNCTION("""COMPUTED_VALUE"""),80.218882)</f>
        <v>80.218882</v>
      </c>
      <c r="F14135" s="4">
        <f>IFERROR(__xludf.DUMMYFUNCTION("""COMPUTED_VALUE"""),2846.0)</f>
        <v>2846</v>
      </c>
      <c r="G14135" s="4">
        <f>IFERROR(__xludf.DUMMYFUNCTION("""COMPUTED_VALUE"""),37.0)</f>
        <v>37</v>
      </c>
      <c r="H14135" s="4"/>
      <c r="I14135" s="4"/>
    </row>
    <row r="14136">
      <c r="A14136" s="4" t="str">
        <f>IFERROR(__xludf.DUMMYFUNCTION("""COMPUTED_VALUE"""),"cas_hmw")</f>
        <v>cas_hmw</v>
      </c>
      <c r="B14136" s="5">
        <f>IFERROR(__xludf.DUMMYFUNCTION("""COMPUTED_VALUE"""),44721.0)</f>
        <v>44721</v>
      </c>
      <c r="C14136" s="6">
        <f>IFERROR(__xludf.DUMMYFUNCTION("""COMPUTED_VALUE"""),0.7445023148138716)</f>
        <v>0.7445023148</v>
      </c>
      <c r="D14136" s="4">
        <f>IFERROR(__xludf.DUMMYFUNCTION("""COMPUTED_VALUE"""),12.964014)</f>
        <v>12.964014</v>
      </c>
      <c r="E14136" s="4">
        <f>IFERROR(__xludf.DUMMYFUNCTION("""COMPUTED_VALUE"""),80.216318)</f>
        <v>80.216318</v>
      </c>
      <c r="F14136" s="4">
        <f>IFERROR(__xludf.DUMMYFUNCTION("""COMPUTED_VALUE"""),2846.0)</f>
        <v>2846</v>
      </c>
      <c r="G14136" s="4">
        <f>IFERROR(__xludf.DUMMYFUNCTION("""COMPUTED_VALUE"""),0.0)</f>
        <v>0</v>
      </c>
      <c r="H14136" s="4"/>
      <c r="I14136" s="4"/>
    </row>
    <row r="14137">
      <c r="A14137" s="4" t="str">
        <f>IFERROR(__xludf.DUMMYFUNCTION("""COMPUTED_VALUE"""),"cas_hmw")</f>
        <v>cas_hmw</v>
      </c>
      <c r="B14137" s="5">
        <f>IFERROR(__xludf.DUMMYFUNCTION("""COMPUTED_VALUE"""),44721.0)</f>
        <v>44721</v>
      </c>
      <c r="C14137" s="6">
        <f>IFERROR(__xludf.DUMMYFUNCTION("""COMPUTED_VALUE"""),0.7445138888906513)</f>
        <v>0.7445138889</v>
      </c>
      <c r="D14137" s="4">
        <f>IFERROR(__xludf.DUMMYFUNCTION("""COMPUTED_VALUE"""),12.964014)</f>
        <v>12.964014</v>
      </c>
      <c r="E14137" s="4">
        <f>IFERROR(__xludf.DUMMYFUNCTION("""COMPUTED_VALUE"""),80.216318)</f>
        <v>80.216318</v>
      </c>
      <c r="F14137" s="4">
        <f>IFERROR(__xludf.DUMMYFUNCTION("""COMPUTED_VALUE"""),2846.0)</f>
        <v>2846</v>
      </c>
      <c r="G14137" s="4">
        <f>IFERROR(__xludf.DUMMYFUNCTION("""COMPUTED_VALUE"""),0.0)</f>
        <v>0</v>
      </c>
      <c r="H14137" s="4"/>
      <c r="I14137" s="4"/>
    </row>
    <row r="14138">
      <c r="A14138" s="4" t="str">
        <f>IFERROR(__xludf.DUMMYFUNCTION("""COMPUTED_VALUE"""),"cas_hmw")</f>
        <v>cas_hmw</v>
      </c>
      <c r="B14138" s="5">
        <f>IFERROR(__xludf.DUMMYFUNCTION("""COMPUTED_VALUE"""),44721.0)</f>
        <v>44721</v>
      </c>
      <c r="C14138" s="6">
        <f>IFERROR(__xludf.DUMMYFUNCTION("""COMPUTED_VALUE"""),0.7447453703716747)</f>
        <v>0.7447453704</v>
      </c>
      <c r="D14138" s="4">
        <f>IFERROR(__xludf.DUMMYFUNCTION("""COMPUTED_VALUE"""),12.963989)</f>
        <v>12.963989</v>
      </c>
      <c r="E14138" s="4">
        <f>IFERROR(__xludf.DUMMYFUNCTION("""COMPUTED_VALUE"""),80.21631)</f>
        <v>80.21631</v>
      </c>
      <c r="F14138" s="4">
        <f>IFERROR(__xludf.DUMMYFUNCTION("""COMPUTED_VALUE"""),2846.0)</f>
        <v>2846</v>
      </c>
      <c r="G14138" s="4">
        <f>IFERROR(__xludf.DUMMYFUNCTION("""COMPUTED_VALUE"""),0.0)</f>
        <v>0</v>
      </c>
      <c r="H14138" s="4"/>
      <c r="I14138" s="4"/>
    </row>
    <row r="14139">
      <c r="A14139" s="4" t="str">
        <f>IFERROR(__xludf.DUMMYFUNCTION("""COMPUTED_VALUE"""),"cas_hmw")</f>
        <v>cas_hmw</v>
      </c>
      <c r="B14139" s="5">
        <f>IFERROR(__xludf.DUMMYFUNCTION("""COMPUTED_VALUE"""),44721.0)</f>
        <v>44721</v>
      </c>
      <c r="C14139" s="6">
        <f>IFERROR(__xludf.DUMMYFUNCTION("""COMPUTED_VALUE"""),0.7448842592602887)</f>
        <v>0.7448842593</v>
      </c>
      <c r="D14139" s="4">
        <f>IFERROR(__xludf.DUMMYFUNCTION("""COMPUTED_VALUE"""),12.963576)</f>
        <v>12.963576</v>
      </c>
      <c r="E14139" s="4">
        <f>IFERROR(__xludf.DUMMYFUNCTION("""COMPUTED_VALUE"""),80.216133)</f>
        <v>80.216133</v>
      </c>
      <c r="F14139" s="4">
        <f>IFERROR(__xludf.DUMMYFUNCTION("""COMPUTED_VALUE"""),2846.0)</f>
        <v>2846</v>
      </c>
      <c r="G14139" s="4">
        <f>IFERROR(__xludf.DUMMYFUNCTION("""COMPUTED_VALUE"""),18.0)</f>
        <v>18</v>
      </c>
      <c r="H14139" s="4"/>
      <c r="I14139" s="4"/>
    </row>
    <row r="14140">
      <c r="A14140" s="4" t="str">
        <f>IFERROR(__xludf.DUMMYFUNCTION("""COMPUTED_VALUE"""),"cas_hmw")</f>
        <v>cas_hmw</v>
      </c>
      <c r="B14140" s="5">
        <f>IFERROR(__xludf.DUMMYFUNCTION("""COMPUTED_VALUE"""),44721.0)</f>
        <v>44721</v>
      </c>
      <c r="C14140" s="6">
        <f>IFERROR(__xludf.DUMMYFUNCTION("""COMPUTED_VALUE"""),0.7452777777762094)</f>
        <v>0.7452777778</v>
      </c>
      <c r="D14140" s="4">
        <f>IFERROR(__xludf.DUMMYFUNCTION("""COMPUTED_VALUE"""),12.961114)</f>
        <v>12.961114</v>
      </c>
      <c r="E14140" s="4">
        <f>IFERROR(__xludf.DUMMYFUNCTION("""COMPUTED_VALUE"""),80.215056)</f>
        <v>80.215056</v>
      </c>
      <c r="F14140" s="4">
        <f>IFERROR(__xludf.DUMMYFUNCTION("""COMPUTED_VALUE"""),2846.0)</f>
        <v>2846</v>
      </c>
      <c r="G14140" s="4">
        <f>IFERROR(__xludf.DUMMYFUNCTION("""COMPUTED_VALUE"""),42.0)</f>
        <v>42</v>
      </c>
      <c r="H14140" s="4"/>
      <c r="I14140" s="4"/>
    </row>
    <row r="14141">
      <c r="A14141" s="4" t="str">
        <f>IFERROR(__xludf.DUMMYFUNCTION("""COMPUTED_VALUE"""),"cas_hmw")</f>
        <v>cas_hmw</v>
      </c>
      <c r="B14141" s="5">
        <f>IFERROR(__xludf.DUMMYFUNCTION("""COMPUTED_VALUE"""),44721.0)</f>
        <v>44721</v>
      </c>
      <c r="C14141" s="6">
        <f>IFERROR(__xludf.DUMMYFUNCTION("""COMPUTED_VALUE"""),0.7457060185188311)</f>
        <v>0.7457060185</v>
      </c>
      <c r="D14141" s="4">
        <f>IFERROR(__xludf.DUMMYFUNCTION("""COMPUTED_VALUE"""),13.068167)</f>
        <v>13.068167</v>
      </c>
      <c r="E14141" s="4">
        <f>IFERROR(__xludf.DUMMYFUNCTION("""COMPUTED_VALUE"""),80.271718)</f>
        <v>80.271718</v>
      </c>
      <c r="F14141" s="4">
        <f>IFERROR(__xludf.DUMMYFUNCTION("""COMPUTED_VALUE"""),805.0)</f>
        <v>805</v>
      </c>
      <c r="G14141" s="4">
        <f>IFERROR(__xludf.DUMMYFUNCTION("""COMPUTED_VALUE"""),5.0)</f>
        <v>5</v>
      </c>
      <c r="H14141" s="4"/>
      <c r="I14141" s="4"/>
    </row>
    <row r="14142">
      <c r="A14142" s="4" t="str">
        <f>IFERROR(__xludf.DUMMYFUNCTION("""COMPUTED_VALUE"""),"cas_hmw")</f>
        <v>cas_hmw</v>
      </c>
      <c r="B14142" s="5">
        <f>IFERROR(__xludf.DUMMYFUNCTION("""COMPUTED_VALUE"""),44721.0)</f>
        <v>44721</v>
      </c>
      <c r="C14142" s="6">
        <f>IFERROR(__xludf.DUMMYFUNCTION("""COMPUTED_VALUE"""),0.7512847222205892)</f>
        <v>0.7512847222</v>
      </c>
      <c r="D14142" s="4">
        <f>IFERROR(__xludf.DUMMYFUNCTION("""COMPUTED_VALUE"""),13.067798)</f>
        <v>13.067798</v>
      </c>
      <c r="E14142" s="4">
        <f>IFERROR(__xludf.DUMMYFUNCTION("""COMPUTED_VALUE"""),80.255246)</f>
        <v>80.255246</v>
      </c>
      <c r="F14142" s="4">
        <f>IFERROR(__xludf.DUMMYFUNCTION("""COMPUTED_VALUE"""),805.0)</f>
        <v>805</v>
      </c>
      <c r="G14142" s="4">
        <f>IFERROR(__xludf.DUMMYFUNCTION("""COMPUTED_VALUE"""),26.0)</f>
        <v>26</v>
      </c>
      <c r="H14142" s="4"/>
      <c r="I14142" s="4"/>
    </row>
    <row r="14143">
      <c r="A14143" s="4" t="str">
        <f>IFERROR(__xludf.DUMMYFUNCTION("""COMPUTED_VALUE"""),"cas_hmw")</f>
        <v>cas_hmw</v>
      </c>
      <c r="B14143" s="5">
        <f>IFERROR(__xludf.DUMMYFUNCTION("""COMPUTED_VALUE"""),44721.0)</f>
        <v>44721</v>
      </c>
      <c r="C14143" s="6">
        <f>IFERROR(__xludf.DUMMYFUNCTION("""COMPUTED_VALUE"""),0.7523495370369346)</f>
        <v>0.752349537</v>
      </c>
      <c r="D14143" s="4">
        <f>IFERROR(__xludf.DUMMYFUNCTION("""COMPUTED_VALUE"""),12.948449)</f>
        <v>12.948449</v>
      </c>
      <c r="E14143" s="4">
        <f>IFERROR(__xludf.DUMMYFUNCTION("""COMPUTED_VALUE"""),80.199359)</f>
        <v>80.199359</v>
      </c>
      <c r="F14143" s="4">
        <f>IFERROR(__xludf.DUMMYFUNCTION("""COMPUTED_VALUE"""),2846.0)</f>
        <v>2846</v>
      </c>
      <c r="G14143" s="4">
        <f>IFERROR(__xludf.DUMMYFUNCTION("""COMPUTED_VALUE"""),4.0)</f>
        <v>4</v>
      </c>
      <c r="H14143" s="4"/>
      <c r="I14143" s="4"/>
    </row>
    <row r="14144">
      <c r="A14144" s="4" t="str">
        <f>IFERROR(__xludf.DUMMYFUNCTION("""COMPUTED_VALUE"""),"cas_hmw")</f>
        <v>cas_hmw</v>
      </c>
      <c r="B14144" s="5">
        <f>IFERROR(__xludf.DUMMYFUNCTION("""COMPUTED_VALUE"""),44721.0)</f>
        <v>44721</v>
      </c>
      <c r="C14144" s="6">
        <f>IFERROR(__xludf.DUMMYFUNCTION("""COMPUTED_VALUE"""),0.752372685186856)</f>
        <v>0.7523726852</v>
      </c>
      <c r="D14144" s="4">
        <f>IFERROR(__xludf.DUMMYFUNCTION("""COMPUTED_VALUE"""),12.948449)</f>
        <v>12.948449</v>
      </c>
      <c r="E14144" s="4">
        <f>IFERROR(__xludf.DUMMYFUNCTION("""COMPUTED_VALUE"""),80.199359)</f>
        <v>80.199359</v>
      </c>
      <c r="F14144" s="4">
        <f>IFERROR(__xludf.DUMMYFUNCTION("""COMPUTED_VALUE"""),2846.0)</f>
        <v>2846</v>
      </c>
      <c r="G14144" s="4">
        <f>IFERROR(__xludf.DUMMYFUNCTION("""COMPUTED_VALUE"""),4.0)</f>
        <v>4</v>
      </c>
      <c r="H14144" s="4"/>
      <c r="I14144" s="4"/>
    </row>
    <row r="14145">
      <c r="A14145" s="4" t="str">
        <f>IFERROR(__xludf.DUMMYFUNCTION("""COMPUTED_VALUE"""),"cas_hmw")</f>
        <v>cas_hmw</v>
      </c>
      <c r="B14145" s="5">
        <f>IFERROR(__xludf.DUMMYFUNCTION("""COMPUTED_VALUE"""),44721.0)</f>
        <v>44721</v>
      </c>
      <c r="C14145" s="6">
        <f>IFERROR(__xludf.DUMMYFUNCTION("""COMPUTED_VALUE"""),0.752442129629344)</f>
        <v>0.7524421296</v>
      </c>
      <c r="D14145" s="4">
        <f>IFERROR(__xludf.DUMMYFUNCTION("""COMPUTED_VALUE"""),12.948449)</f>
        <v>12.948449</v>
      </c>
      <c r="E14145" s="4">
        <f>IFERROR(__xludf.DUMMYFUNCTION("""COMPUTED_VALUE"""),80.199359)</f>
        <v>80.199359</v>
      </c>
      <c r="F14145" s="4">
        <f>IFERROR(__xludf.DUMMYFUNCTION("""COMPUTED_VALUE"""),2846.0)</f>
        <v>2846</v>
      </c>
      <c r="G14145" s="4">
        <f>IFERROR(__xludf.DUMMYFUNCTION("""COMPUTED_VALUE"""),4.0)</f>
        <v>4</v>
      </c>
      <c r="H14145" s="4"/>
      <c r="I14145" s="4"/>
    </row>
    <row r="14146">
      <c r="A14146" s="4" t="str">
        <f>IFERROR(__xludf.DUMMYFUNCTION("""COMPUTED_VALUE"""),"cas_hmw")</f>
        <v>cas_hmw</v>
      </c>
      <c r="B14146" s="5">
        <f>IFERROR(__xludf.DUMMYFUNCTION("""COMPUTED_VALUE"""),44721.0)</f>
        <v>44721</v>
      </c>
      <c r="C14146" s="6">
        <f>IFERROR(__xludf.DUMMYFUNCTION("""COMPUTED_VALUE"""),0.7528472222220444)</f>
        <v>0.7528472222</v>
      </c>
      <c r="D14146" s="4">
        <f>IFERROR(__xludf.DUMMYFUNCTION("""COMPUTED_VALUE"""),13.067596)</f>
        <v>13.067596</v>
      </c>
      <c r="E14146" s="4">
        <f>IFERROR(__xludf.DUMMYFUNCTION("""COMPUTED_VALUE"""),80.249655)</f>
        <v>80.249655</v>
      </c>
      <c r="F14146" s="4">
        <f>IFERROR(__xludf.DUMMYFUNCTION("""COMPUTED_VALUE"""),805.0)</f>
        <v>805</v>
      </c>
      <c r="G14146" s="4">
        <f>IFERROR(__xludf.DUMMYFUNCTION("""COMPUTED_VALUE"""),19.0)</f>
        <v>19</v>
      </c>
      <c r="H14146" s="4"/>
      <c r="I14146" s="4"/>
    </row>
    <row r="14147">
      <c r="A14147" s="4" t="str">
        <f>IFERROR(__xludf.DUMMYFUNCTION("""COMPUTED_VALUE"""),"cas_hmw")</f>
        <v>cas_hmw</v>
      </c>
      <c r="B14147" s="5">
        <f>IFERROR(__xludf.DUMMYFUNCTION("""COMPUTED_VALUE"""),44721.0)</f>
        <v>44721</v>
      </c>
      <c r="C14147" s="6">
        <f>IFERROR(__xludf.DUMMYFUNCTION("""COMPUTED_VALUE"""),0.7528703703719657)</f>
        <v>0.7528703704</v>
      </c>
      <c r="D14147" s="4">
        <f>IFERROR(__xludf.DUMMYFUNCTION("""COMPUTED_VALUE"""),13.067596)</f>
        <v>13.067596</v>
      </c>
      <c r="E14147" s="4">
        <f>IFERROR(__xludf.DUMMYFUNCTION("""COMPUTED_VALUE"""),80.249655)</f>
        <v>80.249655</v>
      </c>
      <c r="F14147" s="4">
        <f>IFERROR(__xludf.DUMMYFUNCTION("""COMPUTED_VALUE"""),805.0)</f>
        <v>805</v>
      </c>
      <c r="G14147" s="4">
        <f>IFERROR(__xludf.DUMMYFUNCTION("""COMPUTED_VALUE"""),19.0)</f>
        <v>19</v>
      </c>
      <c r="H14147" s="4"/>
      <c r="I14147" s="4"/>
    </row>
    <row r="14148">
      <c r="A14148" s="4" t="str">
        <f>IFERROR(__xludf.DUMMYFUNCTION("""COMPUTED_VALUE"""),"cas_hmw")</f>
        <v>cas_hmw</v>
      </c>
      <c r="B14148" s="5">
        <f>IFERROR(__xludf.DUMMYFUNCTION("""COMPUTED_VALUE"""),44721.0)</f>
        <v>44721</v>
      </c>
      <c r="C14148" s="6">
        <f>IFERROR(__xludf.DUMMYFUNCTION("""COMPUTED_VALUE"""),0.7572685185186856)</f>
        <v>0.7572685185</v>
      </c>
      <c r="D14148" s="4">
        <f>IFERROR(__xludf.DUMMYFUNCTION("""COMPUTED_VALUE"""),12.948428)</f>
        <v>12.948428</v>
      </c>
      <c r="E14148" s="4">
        <f>IFERROR(__xludf.DUMMYFUNCTION("""COMPUTED_VALUE"""),80.194592)</f>
        <v>80.194592</v>
      </c>
      <c r="F14148" s="4">
        <f>IFERROR(__xludf.DUMMYFUNCTION("""COMPUTED_VALUE"""),2846.0)</f>
        <v>2846</v>
      </c>
      <c r="G14148" s="4">
        <f>IFERROR(__xludf.DUMMYFUNCTION("""COMPUTED_VALUE"""),0.0)</f>
        <v>0</v>
      </c>
      <c r="H14148" s="4"/>
      <c r="I14148" s="4"/>
    </row>
    <row r="14149">
      <c r="A14149" s="4" t="str">
        <f>IFERROR(__xludf.DUMMYFUNCTION("""COMPUTED_VALUE"""),"cas_hmw")</f>
        <v>cas_hmw</v>
      </c>
      <c r="B14149" s="5">
        <f>IFERROR(__xludf.DUMMYFUNCTION("""COMPUTED_VALUE"""),44721.0)</f>
        <v>44721</v>
      </c>
      <c r="C14149" s="6">
        <f>IFERROR(__xludf.DUMMYFUNCTION("""COMPUTED_VALUE"""),0.7573726851842366)</f>
        <v>0.7573726852</v>
      </c>
      <c r="D14149" s="4">
        <f>IFERROR(__xludf.DUMMYFUNCTION("""COMPUTED_VALUE"""),12.94846)</f>
        <v>12.94846</v>
      </c>
      <c r="E14149" s="4">
        <f>IFERROR(__xludf.DUMMYFUNCTION("""COMPUTED_VALUE"""),80.194146)</f>
        <v>80.194146</v>
      </c>
      <c r="F14149" s="4">
        <f>IFERROR(__xludf.DUMMYFUNCTION("""COMPUTED_VALUE"""),2846.0)</f>
        <v>2846</v>
      </c>
      <c r="G14149" s="4">
        <f>IFERROR(__xludf.DUMMYFUNCTION("""COMPUTED_VALUE"""),23.0)</f>
        <v>23</v>
      </c>
      <c r="H14149" s="4"/>
      <c r="I14149" s="4"/>
    </row>
    <row r="14150">
      <c r="A14150" s="4" t="str">
        <f>IFERROR(__xludf.DUMMYFUNCTION("""COMPUTED_VALUE"""),"cas_hmw")</f>
        <v>cas_hmw</v>
      </c>
      <c r="B14150" s="5">
        <f>IFERROR(__xludf.DUMMYFUNCTION("""COMPUTED_VALUE"""),44721.0)</f>
        <v>44721</v>
      </c>
      <c r="C14150" s="6">
        <f>IFERROR(__xludf.DUMMYFUNCTION("""COMPUTED_VALUE"""),0.7588194444433611)</f>
        <v>0.7588194444</v>
      </c>
      <c r="D14150" s="4">
        <f>IFERROR(__xludf.DUMMYFUNCTION("""COMPUTED_VALUE"""),12.949615)</f>
        <v>12.949615</v>
      </c>
      <c r="E14150" s="4">
        <f>IFERROR(__xludf.DUMMYFUNCTION("""COMPUTED_VALUE"""),80.181276)</f>
        <v>80.181276</v>
      </c>
      <c r="F14150" s="4">
        <f>IFERROR(__xludf.DUMMYFUNCTION("""COMPUTED_VALUE"""),2846.0)</f>
        <v>2846</v>
      </c>
      <c r="G14150" s="4">
        <f>IFERROR(__xludf.DUMMYFUNCTION("""COMPUTED_VALUE"""),19.0)</f>
        <v>19</v>
      </c>
      <c r="H14150" s="4"/>
      <c r="I14150" s="4"/>
    </row>
    <row r="14151">
      <c r="A14151" s="4" t="str">
        <f>IFERROR(__xludf.DUMMYFUNCTION("""COMPUTED_VALUE"""),"cas_hmw")</f>
        <v>cas_hmw</v>
      </c>
      <c r="B14151" s="5">
        <f>IFERROR(__xludf.DUMMYFUNCTION("""COMPUTED_VALUE"""),44721.0)</f>
        <v>44721</v>
      </c>
      <c r="C14151" s="6">
        <f>IFERROR(__xludf.DUMMYFUNCTION("""COMPUTED_VALUE"""),0.7751041666670062)</f>
        <v>0.7751041667</v>
      </c>
      <c r="D14151" s="4">
        <f>IFERROR(__xludf.DUMMYFUNCTION("""COMPUTED_VALUE"""),12.953481)</f>
        <v>12.953481</v>
      </c>
      <c r="E14151" s="4">
        <f>IFERROR(__xludf.DUMMYFUNCTION("""COMPUTED_VALUE"""),80.163566)</f>
        <v>80.163566</v>
      </c>
      <c r="F14151" s="4">
        <f>IFERROR(__xludf.DUMMYFUNCTION("""COMPUTED_VALUE"""),2846.0)</f>
        <v>2846</v>
      </c>
      <c r="G14151" s="4">
        <f>IFERROR(__xludf.DUMMYFUNCTION("""COMPUTED_VALUE"""),13.0)</f>
        <v>13</v>
      </c>
      <c r="H14151" s="4"/>
      <c r="I14151" s="4"/>
    </row>
    <row r="14152">
      <c r="A14152" s="4" t="str">
        <f>IFERROR(__xludf.DUMMYFUNCTION("""COMPUTED_VALUE"""),"cas_hmw")</f>
        <v>cas_hmw</v>
      </c>
      <c r="B14152" s="5">
        <f>IFERROR(__xludf.DUMMYFUNCTION("""COMPUTED_VALUE"""),44721.0)</f>
        <v>44721</v>
      </c>
      <c r="C14152" s="6">
        <f>IFERROR(__xludf.DUMMYFUNCTION("""COMPUTED_VALUE"""),0.7770023148150358)</f>
        <v>0.7770023148</v>
      </c>
      <c r="D14152" s="4">
        <f>IFERROR(__xludf.DUMMYFUNCTION("""COMPUTED_VALUE"""),12.955412)</f>
        <v>12.955412</v>
      </c>
      <c r="E14152" s="4">
        <f>IFERROR(__xludf.DUMMYFUNCTION("""COMPUTED_VALUE"""),80.15431)</f>
        <v>80.15431</v>
      </c>
      <c r="F14152" s="4">
        <f>IFERROR(__xludf.DUMMYFUNCTION("""COMPUTED_VALUE"""),2846.0)</f>
        <v>2846</v>
      </c>
      <c r="G14152" s="4">
        <f>IFERROR(__xludf.DUMMYFUNCTION("""COMPUTED_VALUE"""),48.0)</f>
        <v>48</v>
      </c>
      <c r="H14152" s="4"/>
      <c r="I14152" s="4"/>
    </row>
    <row r="14153">
      <c r="A14153" s="4" t="str">
        <f>IFERROR(__xludf.DUMMYFUNCTION("""COMPUTED_VALUE"""),"cas_hmw")</f>
        <v>cas_hmw</v>
      </c>
      <c r="B14153" s="5">
        <f>IFERROR(__xludf.DUMMYFUNCTION("""COMPUTED_VALUE"""),44721.0)</f>
        <v>44721</v>
      </c>
      <c r="C14153" s="6">
        <f>IFERROR(__xludf.DUMMYFUNCTION("""COMPUTED_VALUE"""),0.7770138888881775)</f>
        <v>0.7770138889</v>
      </c>
      <c r="D14153" s="4">
        <f>IFERROR(__xludf.DUMMYFUNCTION("""COMPUTED_VALUE"""),12.955412)</f>
        <v>12.955412</v>
      </c>
      <c r="E14153" s="4">
        <f>IFERROR(__xludf.DUMMYFUNCTION("""COMPUTED_VALUE"""),80.15431)</f>
        <v>80.15431</v>
      </c>
      <c r="F14153" s="4">
        <f>IFERROR(__xludf.DUMMYFUNCTION("""COMPUTED_VALUE"""),2846.0)</f>
        <v>2846</v>
      </c>
      <c r="G14153" s="4">
        <f>IFERROR(__xludf.DUMMYFUNCTION("""COMPUTED_VALUE"""),48.0)</f>
        <v>48</v>
      </c>
      <c r="H14153" s="4"/>
      <c r="I14153" s="4"/>
    </row>
    <row r="14154">
      <c r="A14154" s="4" t="str">
        <f>IFERROR(__xludf.DUMMYFUNCTION("""COMPUTED_VALUE"""),"cas_hmw")</f>
        <v>cas_hmw</v>
      </c>
      <c r="B14154" s="5">
        <f>IFERROR(__xludf.DUMMYFUNCTION("""COMPUTED_VALUE"""),44721.0)</f>
        <v>44721</v>
      </c>
      <c r="C14154" s="6">
        <f>IFERROR(__xludf.DUMMYFUNCTION("""COMPUTED_VALUE"""),0.7771180555573665)</f>
        <v>0.7771180556</v>
      </c>
      <c r="D14154" s="4">
        <f>IFERROR(__xludf.DUMMYFUNCTION("""COMPUTED_VALUE"""),12.955412)</f>
        <v>12.955412</v>
      </c>
      <c r="E14154" s="4">
        <f>IFERROR(__xludf.DUMMYFUNCTION("""COMPUTED_VALUE"""),80.15431)</f>
        <v>80.15431</v>
      </c>
      <c r="F14154" s="4">
        <f>IFERROR(__xludf.DUMMYFUNCTION("""COMPUTED_VALUE"""),2846.0)</f>
        <v>2846</v>
      </c>
      <c r="G14154" s="4">
        <f>IFERROR(__xludf.DUMMYFUNCTION("""COMPUTED_VALUE"""),48.0)</f>
        <v>48</v>
      </c>
      <c r="H14154" s="4"/>
      <c r="I14154" s="4"/>
    </row>
    <row r="14155">
      <c r="A14155" s="4" t="str">
        <f>IFERROR(__xludf.DUMMYFUNCTION("""COMPUTED_VALUE"""),"cas_hmw")</f>
        <v>cas_hmw</v>
      </c>
      <c r="B14155" s="5">
        <f>IFERROR(__xludf.DUMMYFUNCTION("""COMPUTED_VALUE"""),44721.0)</f>
        <v>44721</v>
      </c>
      <c r="C14155" s="6">
        <f>IFERROR(__xludf.DUMMYFUNCTION("""COMPUTED_VALUE"""),0.7781597222237906)</f>
        <v>0.7781597222</v>
      </c>
      <c r="D14155" s="4">
        <f>IFERROR(__xludf.DUMMYFUNCTION("""COMPUTED_VALUE"""),12.960216)</f>
        <v>12.960216</v>
      </c>
      <c r="E14155" s="4">
        <f>IFERROR(__xludf.DUMMYFUNCTION("""COMPUTED_VALUE"""),80.145793)</f>
        <v>80.145793</v>
      </c>
      <c r="F14155" s="4">
        <f>IFERROR(__xludf.DUMMYFUNCTION("""COMPUTED_VALUE"""),2846.0)</f>
        <v>2846</v>
      </c>
      <c r="G14155" s="4">
        <f>IFERROR(__xludf.DUMMYFUNCTION("""COMPUTED_VALUE"""),8.0)</f>
        <v>8</v>
      </c>
      <c r="H14155" s="4"/>
      <c r="I14155" s="4"/>
    </row>
    <row r="14156">
      <c r="A14156" s="4" t="str">
        <f>IFERROR(__xludf.DUMMYFUNCTION("""COMPUTED_VALUE"""),"cas_hmw")</f>
        <v>cas_hmw</v>
      </c>
      <c r="B14156" s="5">
        <f>IFERROR(__xludf.DUMMYFUNCTION("""COMPUTED_VALUE"""),44721.0)</f>
        <v>44721</v>
      </c>
      <c r="C14156" s="6">
        <f>IFERROR(__xludf.DUMMYFUNCTION("""COMPUTED_VALUE"""),0.7783796296280343)</f>
        <v>0.7783796296</v>
      </c>
      <c r="D14156" s="4">
        <f>IFERROR(__xludf.DUMMYFUNCTION("""COMPUTED_VALUE"""),12.960215)</f>
        <v>12.960215</v>
      </c>
      <c r="E14156" s="4">
        <f>IFERROR(__xludf.DUMMYFUNCTION("""COMPUTED_VALUE"""),80.14558)</f>
        <v>80.14558</v>
      </c>
      <c r="F14156" s="4">
        <f>IFERROR(__xludf.DUMMYFUNCTION("""COMPUTED_VALUE"""),2846.0)</f>
        <v>2846</v>
      </c>
      <c r="G14156" s="4">
        <f>IFERROR(__xludf.DUMMYFUNCTION("""COMPUTED_VALUE"""),0.0)</f>
        <v>0</v>
      </c>
      <c r="H14156" s="4"/>
      <c r="I14156" s="4"/>
    </row>
    <row r="14157">
      <c r="A14157" s="4" t="str">
        <f>IFERROR(__xludf.DUMMYFUNCTION("""COMPUTED_VALUE"""),"cas_hmw")</f>
        <v>cas_hmw</v>
      </c>
      <c r="B14157" s="5">
        <f>IFERROR(__xludf.DUMMYFUNCTION("""COMPUTED_VALUE"""),44721.0)</f>
        <v>44721</v>
      </c>
      <c r="C14157" s="6">
        <f>IFERROR(__xludf.DUMMYFUNCTION("""COMPUTED_VALUE"""),0.7808101851842366)</f>
        <v>0.7808101852</v>
      </c>
      <c r="D14157" s="4">
        <f>IFERROR(__xludf.DUMMYFUNCTION("""COMPUTED_VALUE"""),12.95064)</f>
        <v>12.95064</v>
      </c>
      <c r="E14157" s="4">
        <f>IFERROR(__xludf.DUMMYFUNCTION("""COMPUTED_VALUE"""),80.139761)</f>
        <v>80.139761</v>
      </c>
      <c r="F14157" s="4">
        <f>IFERROR(__xludf.DUMMYFUNCTION("""COMPUTED_VALUE"""),2846.0)</f>
        <v>2846</v>
      </c>
      <c r="G14157" s="4">
        <f>IFERROR(__xludf.DUMMYFUNCTION("""COMPUTED_VALUE"""),0.0)</f>
        <v>0</v>
      </c>
      <c r="H14157" s="4"/>
      <c r="I14157" s="4"/>
    </row>
    <row r="14158">
      <c r="A14158" s="4" t="str">
        <f>IFERROR(__xludf.DUMMYFUNCTION("""COMPUTED_VALUE"""),"cas_hmw")</f>
        <v>cas_hmw</v>
      </c>
      <c r="B14158" s="5">
        <f>IFERROR(__xludf.DUMMYFUNCTION("""COMPUTED_VALUE"""),44721.0)</f>
        <v>44721</v>
      </c>
      <c r="C14158" s="6">
        <f>IFERROR(__xludf.DUMMYFUNCTION("""COMPUTED_VALUE"""),0.7828125000014552)</f>
        <v>0.7828125</v>
      </c>
      <c r="D14158" s="4">
        <f>IFERROR(__xludf.DUMMYFUNCTION("""COMPUTED_VALUE"""),12.941265)</f>
        <v>12.941265</v>
      </c>
      <c r="E14158" s="4">
        <f>IFERROR(__xludf.DUMMYFUNCTION("""COMPUTED_VALUE"""),80.131901)</f>
        <v>80.131901</v>
      </c>
      <c r="F14158" s="4">
        <f>IFERROR(__xludf.DUMMYFUNCTION("""COMPUTED_VALUE"""),2846.0)</f>
        <v>2846</v>
      </c>
      <c r="G14158" s="4">
        <f>IFERROR(__xludf.DUMMYFUNCTION("""COMPUTED_VALUE"""),44.0)</f>
        <v>44</v>
      </c>
      <c r="H14158" s="4"/>
      <c r="I14158" s="4"/>
    </row>
    <row r="14159">
      <c r="A14159" s="4" t="str">
        <f>IFERROR(__xludf.DUMMYFUNCTION("""COMPUTED_VALUE"""),"cas_hmw")</f>
        <v>cas_hmw</v>
      </c>
      <c r="B14159" s="5">
        <f>IFERROR(__xludf.DUMMYFUNCTION("""COMPUTED_VALUE"""),44721.0)</f>
        <v>44721</v>
      </c>
      <c r="C14159" s="6">
        <f>IFERROR(__xludf.DUMMYFUNCTION("""COMPUTED_VALUE"""),0.7833217592597066)</f>
        <v>0.7833217593</v>
      </c>
      <c r="D14159" s="4">
        <f>IFERROR(__xludf.DUMMYFUNCTION("""COMPUTED_VALUE"""),12.938434)</f>
        <v>12.938434</v>
      </c>
      <c r="E14159" s="4">
        <f>IFERROR(__xludf.DUMMYFUNCTION("""COMPUTED_VALUE"""),80.1292)</f>
        <v>80.1292</v>
      </c>
      <c r="F14159" s="4">
        <f>IFERROR(__xludf.DUMMYFUNCTION("""COMPUTED_VALUE"""),2846.0)</f>
        <v>2846</v>
      </c>
      <c r="G14159" s="4">
        <f>IFERROR(__xludf.DUMMYFUNCTION("""COMPUTED_VALUE"""),54.0)</f>
        <v>54</v>
      </c>
      <c r="H14159" s="4"/>
      <c r="I14159" s="4"/>
    </row>
    <row r="14160">
      <c r="A14160" s="4" t="str">
        <f>IFERROR(__xludf.DUMMYFUNCTION("""COMPUTED_VALUE"""),"cas_hmw")</f>
        <v>cas_hmw</v>
      </c>
      <c r="B14160" s="5">
        <f>IFERROR(__xludf.DUMMYFUNCTION("""COMPUTED_VALUE"""),44721.0)</f>
        <v>44721</v>
      </c>
      <c r="C14160" s="6">
        <f>IFERROR(__xludf.DUMMYFUNCTION("""COMPUTED_VALUE"""),0.7872453703712381)</f>
        <v>0.7872453704</v>
      </c>
      <c r="D14160" s="4">
        <f>IFERROR(__xludf.DUMMYFUNCTION("""COMPUTED_VALUE"""),12.926233)</f>
        <v>12.926233</v>
      </c>
      <c r="E14160" s="4">
        <f>IFERROR(__xludf.DUMMYFUNCTION("""COMPUTED_VALUE"""),80.117503)</f>
        <v>80.117503</v>
      </c>
      <c r="F14160" s="4">
        <f>IFERROR(__xludf.DUMMYFUNCTION("""COMPUTED_VALUE"""),2846.0)</f>
        <v>2846</v>
      </c>
      <c r="G14160" s="4">
        <f>IFERROR(__xludf.DUMMYFUNCTION("""COMPUTED_VALUE"""),12.0)</f>
        <v>12</v>
      </c>
      <c r="H14160" s="4"/>
      <c r="I14160" s="4"/>
    </row>
    <row r="14161">
      <c r="A14161" s="4" t="str">
        <f>IFERROR(__xludf.DUMMYFUNCTION("""COMPUTED_VALUE"""),"cas_hmw")</f>
        <v>cas_hmw</v>
      </c>
      <c r="B14161" s="5">
        <f>IFERROR(__xludf.DUMMYFUNCTION("""COMPUTED_VALUE"""),44721.0)</f>
        <v>44721</v>
      </c>
      <c r="C14161" s="6">
        <f>IFERROR(__xludf.DUMMYFUNCTION("""COMPUTED_VALUE"""),0.7877199074064265)</f>
        <v>0.7877199074</v>
      </c>
      <c r="D14161" s="4">
        <f>IFERROR(__xludf.DUMMYFUNCTION("""COMPUTED_VALUE"""),12.923485)</f>
        <v>12.923485</v>
      </c>
      <c r="E14161" s="4">
        <f>IFERROR(__xludf.DUMMYFUNCTION("""COMPUTED_VALUE"""),80.11471)</f>
        <v>80.11471</v>
      </c>
      <c r="F14161" s="4">
        <f>IFERROR(__xludf.DUMMYFUNCTION("""COMPUTED_VALUE"""),2846.0)</f>
        <v>2846</v>
      </c>
      <c r="G14161" s="4">
        <f>IFERROR(__xludf.DUMMYFUNCTION("""COMPUTED_VALUE"""),38.0)</f>
        <v>38</v>
      </c>
      <c r="H14161" s="4"/>
      <c r="I14161" s="4"/>
    </row>
    <row r="14162">
      <c r="A14162" s="4" t="str">
        <f>IFERROR(__xludf.DUMMYFUNCTION("""COMPUTED_VALUE"""),"cas_hmw")</f>
        <v>cas_hmw</v>
      </c>
      <c r="B14162" s="5">
        <f>IFERROR(__xludf.DUMMYFUNCTION("""COMPUTED_VALUE"""),44721.0)</f>
        <v>44721</v>
      </c>
      <c r="C14162" s="6">
        <f>IFERROR(__xludf.DUMMYFUNCTION("""COMPUTED_VALUE"""),0.788784722222772)</f>
        <v>0.7887847222</v>
      </c>
      <c r="D14162" s="4">
        <f>IFERROR(__xludf.DUMMYFUNCTION("""COMPUTED_VALUE"""),12.917259)</f>
        <v>12.917259</v>
      </c>
      <c r="E14162" s="4">
        <f>IFERROR(__xludf.DUMMYFUNCTION("""COMPUTED_VALUE"""),80.107689)</f>
        <v>80.107689</v>
      </c>
      <c r="F14162" s="4">
        <f>IFERROR(__xludf.DUMMYFUNCTION("""COMPUTED_VALUE"""),2846.0)</f>
        <v>2846</v>
      </c>
      <c r="G14162" s="4">
        <f>IFERROR(__xludf.DUMMYFUNCTION("""COMPUTED_VALUE"""),21.0)</f>
        <v>21</v>
      </c>
      <c r="H14162" s="4"/>
      <c r="I14162" s="4"/>
    </row>
    <row r="14163">
      <c r="A14163" s="4" t="str">
        <f>IFERROR(__xludf.DUMMYFUNCTION("""COMPUTED_VALUE"""),"cas_hmw")</f>
        <v>cas_hmw</v>
      </c>
      <c r="B14163" s="5">
        <f>IFERROR(__xludf.DUMMYFUNCTION("""COMPUTED_VALUE"""),44721.0)</f>
        <v>44721</v>
      </c>
      <c r="C14163" s="6">
        <f>IFERROR(__xludf.DUMMYFUNCTION("""COMPUTED_VALUE"""),0.7888425925921183)</f>
        <v>0.7888425926</v>
      </c>
      <c r="D14163" s="4">
        <f>IFERROR(__xludf.DUMMYFUNCTION("""COMPUTED_VALUE"""),12.917259)</f>
        <v>12.917259</v>
      </c>
      <c r="E14163" s="4">
        <f>IFERROR(__xludf.DUMMYFUNCTION("""COMPUTED_VALUE"""),80.107689)</f>
        <v>80.107689</v>
      </c>
      <c r="F14163" s="4">
        <f>IFERROR(__xludf.DUMMYFUNCTION("""COMPUTED_VALUE"""),2846.0)</f>
        <v>2846</v>
      </c>
      <c r="G14163" s="4">
        <f>IFERROR(__xludf.DUMMYFUNCTION("""COMPUTED_VALUE"""),21.0)</f>
        <v>21</v>
      </c>
      <c r="H14163" s="4"/>
      <c r="I14163" s="4"/>
    </row>
    <row r="14164">
      <c r="A14164" s="4" t="str">
        <f>IFERROR(__xludf.DUMMYFUNCTION("""COMPUTED_VALUE"""),"cas_hmw")</f>
        <v>cas_hmw</v>
      </c>
      <c r="B14164" s="5">
        <f>IFERROR(__xludf.DUMMYFUNCTION("""COMPUTED_VALUE"""),44721.0)</f>
        <v>44721</v>
      </c>
      <c r="C14164" s="6">
        <f>IFERROR(__xludf.DUMMYFUNCTION("""COMPUTED_VALUE"""),0.7888657407420396)</f>
        <v>0.7888657407</v>
      </c>
      <c r="D14164" s="4">
        <f>IFERROR(__xludf.DUMMYFUNCTION("""COMPUTED_VALUE"""),12.917259)</f>
        <v>12.917259</v>
      </c>
      <c r="E14164" s="4">
        <f>IFERROR(__xludf.DUMMYFUNCTION("""COMPUTED_VALUE"""),80.107689)</f>
        <v>80.107689</v>
      </c>
      <c r="F14164" s="4">
        <f>IFERROR(__xludf.DUMMYFUNCTION("""COMPUTED_VALUE"""),2846.0)</f>
        <v>2846</v>
      </c>
      <c r="G14164" s="4">
        <f>IFERROR(__xludf.DUMMYFUNCTION("""COMPUTED_VALUE"""),21.0)</f>
        <v>21</v>
      </c>
      <c r="H14164" s="4"/>
      <c r="I14164" s="4"/>
    </row>
    <row r="14165">
      <c r="A14165" s="4" t="str">
        <f>IFERROR(__xludf.DUMMYFUNCTION("""COMPUTED_VALUE"""),"cas_hmw")</f>
        <v>cas_hmw</v>
      </c>
      <c r="B14165" s="5">
        <f>IFERROR(__xludf.DUMMYFUNCTION("""COMPUTED_VALUE"""),44721.0)</f>
        <v>44721</v>
      </c>
      <c r="C14165" s="6">
        <f>IFERROR(__xludf.DUMMYFUNCTION("""COMPUTED_VALUE"""),0.7892592592579604)</f>
        <v>0.7892592593</v>
      </c>
      <c r="D14165" s="4">
        <f>IFERROR(__xludf.DUMMYFUNCTION("""COMPUTED_VALUE"""),12.915844)</f>
        <v>12.915844</v>
      </c>
      <c r="E14165" s="4">
        <f>IFERROR(__xludf.DUMMYFUNCTION("""COMPUTED_VALUE"""),80.105127)</f>
        <v>80.105127</v>
      </c>
      <c r="F14165" s="4">
        <f>IFERROR(__xludf.DUMMYFUNCTION("""COMPUTED_VALUE"""),2846.0)</f>
        <v>2846</v>
      </c>
      <c r="G14165" s="4">
        <f>IFERROR(__xludf.DUMMYFUNCTION("""COMPUTED_VALUE"""),31.0)</f>
        <v>31</v>
      </c>
      <c r="H14165" s="4"/>
      <c r="I14165" s="4"/>
    </row>
    <row r="14166">
      <c r="A14166" s="4" t="str">
        <f>IFERROR(__xludf.DUMMYFUNCTION("""COMPUTED_VALUE"""),"cas_hmw")</f>
        <v>cas_hmw</v>
      </c>
      <c r="B14166" s="5">
        <f>IFERROR(__xludf.DUMMYFUNCTION("""COMPUTED_VALUE"""),44721.0)</f>
        <v>44721</v>
      </c>
      <c r="C14166" s="6">
        <f>IFERROR(__xludf.DUMMYFUNCTION("""COMPUTED_VALUE"""),0.7897800925929914)</f>
        <v>0.7897800926</v>
      </c>
      <c r="D14166" s="4">
        <f>IFERROR(__xludf.DUMMYFUNCTION("""COMPUTED_VALUE"""),12.91435)</f>
        <v>12.91435</v>
      </c>
      <c r="E14166" s="4">
        <f>IFERROR(__xludf.DUMMYFUNCTION("""COMPUTED_VALUE"""),80.102554)</f>
        <v>80.102554</v>
      </c>
      <c r="F14166" s="4">
        <f>IFERROR(__xludf.DUMMYFUNCTION("""COMPUTED_VALUE"""),2846.0)</f>
        <v>2846</v>
      </c>
      <c r="G14166" s="4">
        <f>IFERROR(__xludf.DUMMYFUNCTION("""COMPUTED_VALUE"""),32.0)</f>
        <v>32</v>
      </c>
      <c r="H14166" s="4"/>
      <c r="I14166" s="4"/>
    </row>
    <row r="14167">
      <c r="A14167" s="4" t="str">
        <f>IFERROR(__xludf.DUMMYFUNCTION("""COMPUTED_VALUE"""),"cas_hmw")</f>
        <v>cas_hmw</v>
      </c>
      <c r="B14167" s="5">
        <f>IFERROR(__xludf.DUMMYFUNCTION("""COMPUTED_VALUE"""),44721.0)</f>
        <v>44721</v>
      </c>
      <c r="C14167" s="6">
        <f>IFERROR(__xludf.DUMMYFUNCTION("""COMPUTED_VALUE"""),0.7900462962970778)</f>
        <v>0.7900462963</v>
      </c>
      <c r="D14167" s="4">
        <f>IFERROR(__xludf.DUMMYFUNCTION("""COMPUTED_VALUE"""),12.912291)</f>
        <v>12.912291</v>
      </c>
      <c r="E14167" s="4">
        <f>IFERROR(__xludf.DUMMYFUNCTION("""COMPUTED_VALUE"""),80.101524)</f>
        <v>80.101524</v>
      </c>
      <c r="F14167" s="4">
        <f>IFERROR(__xludf.DUMMYFUNCTION("""COMPUTED_VALUE"""),2846.0)</f>
        <v>2846</v>
      </c>
      <c r="G14167" s="4">
        <f>IFERROR(__xludf.DUMMYFUNCTION("""COMPUTED_VALUE"""),27.0)</f>
        <v>27</v>
      </c>
      <c r="H14167" s="4"/>
      <c r="I14167" s="4"/>
    </row>
    <row r="14168">
      <c r="A14168" s="4" t="str">
        <f>IFERROR(__xludf.DUMMYFUNCTION("""COMPUTED_VALUE"""),"cas_hmw")</f>
        <v>cas_hmw</v>
      </c>
      <c r="B14168" s="5">
        <f>IFERROR(__xludf.DUMMYFUNCTION("""COMPUTED_VALUE"""),44721.0)</f>
        <v>44721</v>
      </c>
      <c r="C14168" s="6">
        <f>IFERROR(__xludf.DUMMYFUNCTION("""COMPUTED_VALUE"""),0.7901736111125501)</f>
        <v>0.7901736111</v>
      </c>
      <c r="D14168" s="4">
        <f>IFERROR(__xludf.DUMMYFUNCTION("""COMPUTED_VALUE"""),12.912291)</f>
        <v>12.912291</v>
      </c>
      <c r="E14168" s="4">
        <f>IFERROR(__xludf.DUMMYFUNCTION("""COMPUTED_VALUE"""),80.101524)</f>
        <v>80.101524</v>
      </c>
      <c r="F14168" s="4">
        <f>IFERROR(__xludf.DUMMYFUNCTION("""COMPUTED_VALUE"""),2846.0)</f>
        <v>2846</v>
      </c>
      <c r="G14168" s="4">
        <f>IFERROR(__xludf.DUMMYFUNCTION("""COMPUTED_VALUE"""),27.0)</f>
        <v>27</v>
      </c>
      <c r="H14168" s="4"/>
      <c r="I14168" s="4"/>
    </row>
    <row r="14169">
      <c r="A14169" s="4" t="str">
        <f>IFERROR(__xludf.DUMMYFUNCTION("""COMPUTED_VALUE"""),"cas_hmw")</f>
        <v>cas_hmw</v>
      </c>
      <c r="B14169" s="5">
        <f>IFERROR(__xludf.DUMMYFUNCTION("""COMPUTED_VALUE"""),44721.0)</f>
        <v>44721</v>
      </c>
      <c r="C14169" s="6">
        <f>IFERROR(__xludf.DUMMYFUNCTION("""COMPUTED_VALUE"""),0.7921296296299261)</f>
        <v>0.7921296296</v>
      </c>
      <c r="D14169" s="4">
        <f>IFERROR(__xludf.DUMMYFUNCTION("""COMPUTED_VALUE"""),12.905097)</f>
        <v>12.905097</v>
      </c>
      <c r="E14169" s="4">
        <f>IFERROR(__xludf.DUMMYFUNCTION("""COMPUTED_VALUE"""),80.095539)</f>
        <v>80.095539</v>
      </c>
      <c r="F14169" s="4">
        <f>IFERROR(__xludf.DUMMYFUNCTION("""COMPUTED_VALUE"""),2846.0)</f>
        <v>2846</v>
      </c>
      <c r="G14169" s="4">
        <f>IFERROR(__xludf.DUMMYFUNCTION("""COMPUTED_VALUE"""),17.0)</f>
        <v>17</v>
      </c>
      <c r="H14169" s="4"/>
      <c r="I14169" s="4"/>
    </row>
    <row r="14170">
      <c r="A14170" s="4" t="str">
        <f>IFERROR(__xludf.DUMMYFUNCTION("""COMPUTED_VALUE"""),"cas_hmw")</f>
        <v>cas_hmw</v>
      </c>
      <c r="B14170" s="5">
        <f>IFERROR(__xludf.DUMMYFUNCTION("""COMPUTED_VALUE"""),44721.0)</f>
        <v>44721</v>
      </c>
      <c r="C14170" s="6">
        <f>IFERROR(__xludf.DUMMYFUNCTION("""COMPUTED_VALUE"""),0.7933101851849642)</f>
        <v>0.7933101852</v>
      </c>
      <c r="D14170" s="4">
        <f>IFERROR(__xludf.DUMMYFUNCTION("""COMPUTED_VALUE"""),12.898154)</f>
        <v>12.898154</v>
      </c>
      <c r="E14170" s="4">
        <f>IFERROR(__xludf.DUMMYFUNCTION("""COMPUTED_VALUE"""),80.090134)</f>
        <v>80.090134</v>
      </c>
      <c r="F14170" s="4">
        <f>IFERROR(__xludf.DUMMYFUNCTION("""COMPUTED_VALUE"""),2846.0)</f>
        <v>2846</v>
      </c>
      <c r="G14170" s="4">
        <f>IFERROR(__xludf.DUMMYFUNCTION("""COMPUTED_VALUE"""),45.0)</f>
        <v>45</v>
      </c>
      <c r="H14170" s="4"/>
      <c r="I14170" s="4"/>
    </row>
    <row r="14171">
      <c r="A14171" s="4" t="str">
        <f>IFERROR(__xludf.DUMMYFUNCTION("""COMPUTED_VALUE"""),"cas_hmw")</f>
        <v>cas_hmw</v>
      </c>
      <c r="B14171" s="5">
        <f>IFERROR(__xludf.DUMMYFUNCTION("""COMPUTED_VALUE"""),44722.0)</f>
        <v>44722</v>
      </c>
      <c r="C14171" s="6">
        <f>IFERROR(__xludf.DUMMYFUNCTION("""COMPUTED_VALUE"""),0.28024305555663886)</f>
        <v>0.2802430556</v>
      </c>
      <c r="D14171" s="4">
        <f>IFERROR(__xludf.DUMMYFUNCTION("""COMPUTED_VALUE"""),12.883629)</f>
        <v>12.883629</v>
      </c>
      <c r="E14171" s="4">
        <f>IFERROR(__xludf.DUMMYFUNCTION("""COMPUTED_VALUE"""),80.081528)</f>
        <v>80.081528</v>
      </c>
      <c r="F14171" s="4">
        <f>IFERROR(__xludf.DUMMYFUNCTION("""COMPUTED_VALUE"""),2846.0)</f>
        <v>2846</v>
      </c>
      <c r="G14171" s="4">
        <f>IFERROR(__xludf.DUMMYFUNCTION("""COMPUTED_VALUE"""),47.0)</f>
        <v>47</v>
      </c>
      <c r="H14171" s="4"/>
      <c r="I14171" s="4"/>
    </row>
    <row r="14172">
      <c r="A14172" s="4" t="str">
        <f>IFERROR(__xludf.DUMMYFUNCTION("""COMPUTED_VALUE"""),"cas_hmw")</f>
        <v>cas_hmw</v>
      </c>
      <c r="B14172" s="5">
        <f>IFERROR(__xludf.DUMMYFUNCTION("""COMPUTED_VALUE"""),44722.0)</f>
        <v>44722</v>
      </c>
      <c r="C14172" s="6">
        <f>IFERROR(__xludf.DUMMYFUNCTION("""COMPUTED_VALUE"""),0.2823842592588335)</f>
        <v>0.2823842593</v>
      </c>
      <c r="D14172" s="4">
        <f>IFERROR(__xludf.DUMMYFUNCTION("""COMPUTED_VALUE"""),12.907784)</f>
        <v>12.907784</v>
      </c>
      <c r="E14172" s="4">
        <f>IFERROR(__xludf.DUMMYFUNCTION("""COMPUTED_VALUE"""),80.097186)</f>
        <v>80.097186</v>
      </c>
      <c r="F14172" s="4">
        <f>IFERROR(__xludf.DUMMYFUNCTION("""COMPUTED_VALUE"""),2846.0)</f>
        <v>2846</v>
      </c>
      <c r="G14172" s="4">
        <f>IFERROR(__xludf.DUMMYFUNCTION("""COMPUTED_VALUE"""),48.0)</f>
        <v>48</v>
      </c>
      <c r="H14172" s="4"/>
      <c r="I14172" s="4"/>
    </row>
    <row r="14173">
      <c r="A14173" s="4" t="str">
        <f>IFERROR(__xludf.DUMMYFUNCTION("""COMPUTED_VALUE"""),"cas_hmw")</f>
        <v>cas_hmw</v>
      </c>
      <c r="B14173" s="5">
        <f>IFERROR(__xludf.DUMMYFUNCTION("""COMPUTED_VALUE"""),44722.0)</f>
        <v>44722</v>
      </c>
      <c r="C14173" s="6">
        <f>IFERROR(__xludf.DUMMYFUNCTION("""COMPUTED_VALUE"""),0.2831828703710926)</f>
        <v>0.2831828704</v>
      </c>
      <c r="D14173" s="4">
        <f>IFERROR(__xludf.DUMMYFUNCTION("""COMPUTED_VALUE"""),12.910024)</f>
        <v>12.910024</v>
      </c>
      <c r="E14173" s="4">
        <f>IFERROR(__xludf.DUMMYFUNCTION("""COMPUTED_VALUE"""),80.100069)</f>
        <v>80.100069</v>
      </c>
      <c r="F14173" s="4">
        <f>IFERROR(__xludf.DUMMYFUNCTION("""COMPUTED_VALUE"""),2846.0)</f>
        <v>2846</v>
      </c>
      <c r="G14173" s="4">
        <f>IFERROR(__xludf.DUMMYFUNCTION("""COMPUTED_VALUE"""),47.0)</f>
        <v>47</v>
      </c>
      <c r="H14173" s="4"/>
      <c r="I14173" s="4"/>
    </row>
    <row r="14174">
      <c r="A14174" s="4" t="str">
        <f>IFERROR(__xludf.DUMMYFUNCTION("""COMPUTED_VALUE"""),"cas_hmw")</f>
        <v>cas_hmw</v>
      </c>
      <c r="B14174" s="5">
        <f>IFERROR(__xludf.DUMMYFUNCTION("""COMPUTED_VALUE"""),44722.0)</f>
        <v>44722</v>
      </c>
      <c r="C14174" s="6">
        <f>IFERROR(__xludf.DUMMYFUNCTION("""COMPUTED_VALUE"""),0.28730324074058444)</f>
        <v>0.2873032407</v>
      </c>
      <c r="D14174" s="4">
        <f>IFERROR(__xludf.DUMMYFUNCTION("""COMPUTED_VALUE"""),12.927526)</f>
        <v>12.927526</v>
      </c>
      <c r="E14174" s="4">
        <f>IFERROR(__xludf.DUMMYFUNCTION("""COMPUTED_VALUE"""),80.118621)</f>
        <v>80.118621</v>
      </c>
      <c r="F14174" s="4">
        <f>IFERROR(__xludf.DUMMYFUNCTION("""COMPUTED_VALUE"""),2846.0)</f>
        <v>2846</v>
      </c>
      <c r="G14174" s="4">
        <f>IFERROR(__xludf.DUMMYFUNCTION("""COMPUTED_VALUE"""),22.0)</f>
        <v>22</v>
      </c>
      <c r="H14174" s="4"/>
      <c r="I14174" s="4"/>
    </row>
    <row r="14175">
      <c r="A14175" s="4" t="str">
        <f>IFERROR(__xludf.DUMMYFUNCTION("""COMPUTED_VALUE"""),"cas_hmw")</f>
        <v>cas_hmw</v>
      </c>
      <c r="B14175" s="5">
        <f>IFERROR(__xludf.DUMMYFUNCTION("""COMPUTED_VALUE"""),44722.0)</f>
        <v>44722</v>
      </c>
      <c r="C14175" s="6">
        <f>IFERROR(__xludf.DUMMYFUNCTION("""COMPUTED_VALUE"""),0.2878240740756155)</f>
        <v>0.2878240741</v>
      </c>
      <c r="D14175" s="4">
        <f>IFERROR(__xludf.DUMMYFUNCTION("""COMPUTED_VALUE"""),12.927526)</f>
        <v>12.927526</v>
      </c>
      <c r="E14175" s="4">
        <f>IFERROR(__xludf.DUMMYFUNCTION("""COMPUTED_VALUE"""),80.118621)</f>
        <v>80.118621</v>
      </c>
      <c r="F14175" s="4">
        <f>IFERROR(__xludf.DUMMYFUNCTION("""COMPUTED_VALUE"""),2846.0)</f>
        <v>2846</v>
      </c>
      <c r="G14175" s="4">
        <f>IFERROR(__xludf.DUMMYFUNCTION("""COMPUTED_VALUE"""),22.0)</f>
        <v>22</v>
      </c>
      <c r="H14175" s="4"/>
      <c r="I14175" s="4"/>
    </row>
    <row r="14176">
      <c r="A14176" s="4" t="str">
        <f>IFERROR(__xludf.DUMMYFUNCTION("""COMPUTED_VALUE"""),"cas_hmw")</f>
        <v>cas_hmw</v>
      </c>
      <c r="B14176" s="5">
        <f>IFERROR(__xludf.DUMMYFUNCTION("""COMPUTED_VALUE"""),44722.0)</f>
        <v>44722</v>
      </c>
      <c r="C14176" s="6">
        <f>IFERROR(__xludf.DUMMYFUNCTION("""COMPUTED_VALUE"""),0.28824074074145756)</f>
        <v>0.2882407407</v>
      </c>
      <c r="D14176" s="4">
        <f>IFERROR(__xludf.DUMMYFUNCTION("""COMPUTED_VALUE"""),12.932821)</f>
        <v>12.932821</v>
      </c>
      <c r="E14176" s="4">
        <f>IFERROR(__xludf.DUMMYFUNCTION("""COMPUTED_VALUE"""),80.123828)</f>
        <v>80.123828</v>
      </c>
      <c r="F14176" s="4">
        <f>IFERROR(__xludf.DUMMYFUNCTION("""COMPUTED_VALUE"""),2846.0)</f>
        <v>2846</v>
      </c>
      <c r="G14176" s="4">
        <f>IFERROR(__xludf.DUMMYFUNCTION("""COMPUTED_VALUE"""),41.0)</f>
        <v>41</v>
      </c>
      <c r="H14176" s="4"/>
      <c r="I14176" s="4"/>
    </row>
    <row r="14177">
      <c r="A14177" s="4" t="str">
        <f>IFERROR(__xludf.DUMMYFUNCTION("""COMPUTED_VALUE"""),"cas_hmw")</f>
        <v>cas_hmw</v>
      </c>
      <c r="B14177" s="5">
        <f>IFERROR(__xludf.DUMMYFUNCTION("""COMPUTED_VALUE"""),44722.0)</f>
        <v>44722</v>
      </c>
      <c r="C14177" s="6">
        <f>IFERROR(__xludf.DUMMYFUNCTION("""COMPUTED_VALUE"""),0.2890509259268583)</f>
        <v>0.2890509259</v>
      </c>
      <c r="D14177" s="4">
        <f>IFERROR(__xludf.DUMMYFUNCTION("""COMPUTED_VALUE"""),12.936697)</f>
        <v>12.936697</v>
      </c>
      <c r="E14177" s="4">
        <f>IFERROR(__xludf.DUMMYFUNCTION("""COMPUTED_VALUE"""),80.127512)</f>
        <v>80.127512</v>
      </c>
      <c r="F14177" s="4">
        <f>IFERROR(__xludf.DUMMYFUNCTION("""COMPUTED_VALUE"""),2846.0)</f>
        <v>2846</v>
      </c>
      <c r="G14177" s="4">
        <f>IFERROR(__xludf.DUMMYFUNCTION("""COMPUTED_VALUE"""),38.0)</f>
        <v>38</v>
      </c>
      <c r="H14177" s="4"/>
      <c r="I14177" s="4"/>
    </row>
    <row r="14178">
      <c r="A14178" s="4" t="str">
        <f>IFERROR(__xludf.DUMMYFUNCTION("""COMPUTED_VALUE"""),"cas_hmw")</f>
        <v>cas_hmw</v>
      </c>
      <c r="B14178" s="5">
        <f>IFERROR(__xludf.DUMMYFUNCTION("""COMPUTED_VALUE"""),44722.0)</f>
        <v>44722</v>
      </c>
      <c r="C14178" s="6">
        <f>IFERROR(__xludf.DUMMYFUNCTION("""COMPUTED_VALUE"""),0.28962962963123573)</f>
        <v>0.2896296296</v>
      </c>
      <c r="D14178" s="4">
        <f>IFERROR(__xludf.DUMMYFUNCTION("""COMPUTED_VALUE"""),12.928824)</f>
        <v>12.928824</v>
      </c>
      <c r="E14178" s="4">
        <f>IFERROR(__xludf.DUMMYFUNCTION("""COMPUTED_VALUE"""),80.119912)</f>
        <v>80.119912</v>
      </c>
      <c r="F14178" s="4">
        <f>IFERROR(__xludf.DUMMYFUNCTION("""COMPUTED_VALUE"""),2846.0)</f>
        <v>2846</v>
      </c>
      <c r="G14178" s="4">
        <f>IFERROR(__xludf.DUMMYFUNCTION("""COMPUTED_VALUE"""),39.0)</f>
        <v>39</v>
      </c>
      <c r="H14178" s="4"/>
      <c r="I14178" s="4"/>
    </row>
    <row r="14179">
      <c r="A14179" s="4" t="str">
        <f>IFERROR(__xludf.DUMMYFUNCTION("""COMPUTED_VALUE"""),"cas_hmw")</f>
        <v>cas_hmw</v>
      </c>
      <c r="B14179" s="5">
        <f>IFERROR(__xludf.DUMMYFUNCTION("""COMPUTED_VALUE"""),44722.0)</f>
        <v>44722</v>
      </c>
      <c r="C14179" s="6">
        <f>IFERROR(__xludf.DUMMYFUNCTION("""COMPUTED_VALUE"""),0.29046296296291985)</f>
        <v>0.290462963</v>
      </c>
      <c r="D14179" s="4">
        <f>IFERROR(__xludf.DUMMYFUNCTION("""COMPUTED_VALUE"""),12.938607)</f>
        <v>12.938607</v>
      </c>
      <c r="E14179" s="4">
        <f>IFERROR(__xludf.DUMMYFUNCTION("""COMPUTED_VALUE"""),80.129147)</f>
        <v>80.129147</v>
      </c>
      <c r="F14179" s="4">
        <f>IFERROR(__xludf.DUMMYFUNCTION("""COMPUTED_VALUE"""),2846.0)</f>
        <v>2846</v>
      </c>
      <c r="G14179" s="4">
        <f>IFERROR(__xludf.DUMMYFUNCTION("""COMPUTED_VALUE"""),55.0)</f>
        <v>55</v>
      </c>
      <c r="H14179" s="4"/>
      <c r="I14179" s="4"/>
    </row>
    <row r="14180">
      <c r="A14180" s="4" t="str">
        <f>IFERROR(__xludf.DUMMYFUNCTION("""COMPUTED_VALUE"""),"cas_hmw")</f>
        <v>cas_hmw</v>
      </c>
      <c r="B14180" s="5">
        <f>IFERROR(__xludf.DUMMYFUNCTION("""COMPUTED_VALUE"""),44722.0)</f>
        <v>44722</v>
      </c>
      <c r="C14180" s="6">
        <f>IFERROR(__xludf.DUMMYFUNCTION("""COMPUTED_VALUE"""),0.29046296296291985)</f>
        <v>0.290462963</v>
      </c>
      <c r="D14180" s="4">
        <f>IFERROR(__xludf.DUMMYFUNCTION("""COMPUTED_VALUE"""),12.93407)</f>
        <v>12.93407</v>
      </c>
      <c r="E14180" s="4">
        <f>IFERROR(__xludf.DUMMYFUNCTION("""COMPUTED_VALUE"""),80.125108)</f>
        <v>80.125108</v>
      </c>
      <c r="F14180" s="4">
        <f>IFERROR(__xludf.DUMMYFUNCTION("""COMPUTED_VALUE"""),2846.0)</f>
        <v>2846</v>
      </c>
      <c r="G14180" s="4">
        <f>IFERROR(__xludf.DUMMYFUNCTION("""COMPUTED_VALUE"""),37.0)</f>
        <v>37</v>
      </c>
      <c r="H14180" s="4"/>
      <c r="I14180" s="4"/>
    </row>
    <row r="14181">
      <c r="A14181" s="4" t="str">
        <f>IFERROR(__xludf.DUMMYFUNCTION("""COMPUTED_VALUE"""),"cas_hmw")</f>
        <v>cas_hmw</v>
      </c>
      <c r="B14181" s="5">
        <f>IFERROR(__xludf.DUMMYFUNCTION("""COMPUTED_VALUE"""),44722.0)</f>
        <v>44722</v>
      </c>
      <c r="C14181" s="6">
        <f>IFERROR(__xludf.DUMMYFUNCTION("""COMPUTED_VALUE"""),0.29048611111284117)</f>
        <v>0.2904861111</v>
      </c>
      <c r="D14181" s="4">
        <f>IFERROR(__xludf.DUMMYFUNCTION("""COMPUTED_VALUE"""),12.93407)</f>
        <v>12.93407</v>
      </c>
      <c r="E14181" s="4">
        <f>IFERROR(__xludf.DUMMYFUNCTION("""COMPUTED_VALUE"""),80.125108)</f>
        <v>80.125108</v>
      </c>
      <c r="F14181" s="4">
        <f>IFERROR(__xludf.DUMMYFUNCTION("""COMPUTED_VALUE"""),2846.0)</f>
        <v>2846</v>
      </c>
      <c r="G14181" s="4">
        <f>IFERROR(__xludf.DUMMYFUNCTION("""COMPUTED_VALUE"""),37.0)</f>
        <v>37</v>
      </c>
      <c r="H14181" s="4"/>
      <c r="I14181" s="4"/>
    </row>
    <row r="14182">
      <c r="A14182" s="4" t="str">
        <f>IFERROR(__xludf.DUMMYFUNCTION("""COMPUTED_VALUE"""),"cas_hmw")</f>
        <v>cas_hmw</v>
      </c>
      <c r="B14182" s="5">
        <f>IFERROR(__xludf.DUMMYFUNCTION("""COMPUTED_VALUE"""),44722.0)</f>
        <v>44722</v>
      </c>
      <c r="C14182" s="6">
        <f>IFERROR(__xludf.DUMMYFUNCTION("""COMPUTED_VALUE"""),0.29067129629765986)</f>
        <v>0.2906712963</v>
      </c>
      <c r="D14182" s="4">
        <f>IFERROR(__xludf.DUMMYFUNCTION("""COMPUTED_VALUE"""),12.93407)</f>
        <v>12.93407</v>
      </c>
      <c r="E14182" s="4">
        <f>IFERROR(__xludf.DUMMYFUNCTION("""COMPUTED_VALUE"""),80.125108)</f>
        <v>80.125108</v>
      </c>
      <c r="F14182" s="4">
        <f>IFERROR(__xludf.DUMMYFUNCTION("""COMPUTED_VALUE"""),2846.0)</f>
        <v>2846</v>
      </c>
      <c r="G14182" s="4">
        <f>IFERROR(__xludf.DUMMYFUNCTION("""COMPUTED_VALUE"""),37.0)</f>
        <v>37</v>
      </c>
      <c r="H14182" s="4"/>
      <c r="I14182" s="4"/>
    </row>
    <row r="14183">
      <c r="A14183" s="4" t="str">
        <f>IFERROR(__xludf.DUMMYFUNCTION("""COMPUTED_VALUE"""),"cas_hmw")</f>
        <v>cas_hmw</v>
      </c>
      <c r="B14183" s="5">
        <f>IFERROR(__xludf.DUMMYFUNCTION("""COMPUTED_VALUE"""),44722.0)</f>
        <v>44722</v>
      </c>
      <c r="C14183" s="6">
        <f>IFERROR(__xludf.DUMMYFUNCTION("""COMPUTED_VALUE"""),0.29155092592554865)</f>
        <v>0.2915509259</v>
      </c>
      <c r="D14183" s="4">
        <f>IFERROR(__xludf.DUMMYFUNCTION("""COMPUTED_VALUE"""),12.936208)</f>
        <v>12.936208</v>
      </c>
      <c r="E14183" s="4">
        <f>IFERROR(__xludf.DUMMYFUNCTION("""COMPUTED_VALUE"""),80.127017)</f>
        <v>80.127017</v>
      </c>
      <c r="F14183" s="4">
        <f>IFERROR(__xludf.DUMMYFUNCTION("""COMPUTED_VALUE"""),2846.0)</f>
        <v>2846</v>
      </c>
      <c r="G14183" s="4">
        <f>IFERROR(__xludf.DUMMYFUNCTION("""COMPUTED_VALUE"""),25.0)</f>
        <v>25</v>
      </c>
      <c r="H14183" s="4"/>
      <c r="I14183" s="4"/>
    </row>
    <row r="14184">
      <c r="A14184" s="4" t="str">
        <f>IFERROR(__xludf.DUMMYFUNCTION("""COMPUTED_VALUE"""),"cas_hmw")</f>
        <v>cas_hmw</v>
      </c>
      <c r="B14184" s="5">
        <f>IFERROR(__xludf.DUMMYFUNCTION("""COMPUTED_VALUE"""),44722.0)</f>
        <v>44722</v>
      </c>
      <c r="C14184" s="6">
        <f>IFERROR(__xludf.DUMMYFUNCTION("""COMPUTED_VALUE"""),0.2915624999986903)</f>
        <v>0.2915625</v>
      </c>
      <c r="D14184" s="4">
        <f>IFERROR(__xludf.DUMMYFUNCTION("""COMPUTED_VALUE"""),12.942896)</f>
        <v>12.942896</v>
      </c>
      <c r="E14184" s="4">
        <f>IFERROR(__xludf.DUMMYFUNCTION("""COMPUTED_VALUE"""),80.133398)</f>
        <v>80.133398</v>
      </c>
      <c r="F14184" s="4">
        <f>IFERROR(__xludf.DUMMYFUNCTION("""COMPUTED_VALUE"""),2846.0)</f>
        <v>2846</v>
      </c>
      <c r="G14184" s="4">
        <f>IFERROR(__xludf.DUMMYFUNCTION("""COMPUTED_VALUE"""),30.0)</f>
        <v>30</v>
      </c>
      <c r="H14184" s="4"/>
      <c r="I14184" s="4"/>
    </row>
    <row r="14185">
      <c r="A14185" s="4" t="str">
        <f>IFERROR(__xludf.DUMMYFUNCTION("""COMPUTED_VALUE"""),"cas_hmw")</f>
        <v>cas_hmw</v>
      </c>
      <c r="B14185" s="5">
        <f>IFERROR(__xludf.DUMMYFUNCTION("""COMPUTED_VALUE"""),44722.0)</f>
        <v>44722</v>
      </c>
      <c r="C14185" s="6">
        <f>IFERROR(__xludf.DUMMYFUNCTION("""COMPUTED_VALUE"""),0.29246527777650044)</f>
        <v>0.2924652778</v>
      </c>
      <c r="D14185" s="4">
        <f>IFERROR(__xludf.DUMMYFUNCTION("""COMPUTED_VALUE"""),12.947607)</f>
        <v>12.947607</v>
      </c>
      <c r="E14185" s="4">
        <f>IFERROR(__xludf.DUMMYFUNCTION("""COMPUTED_VALUE"""),80.137245)</f>
        <v>80.137245</v>
      </c>
      <c r="F14185" s="4">
        <f>IFERROR(__xludf.DUMMYFUNCTION("""COMPUTED_VALUE"""),2846.0)</f>
        <v>2846</v>
      </c>
      <c r="G14185" s="4">
        <f>IFERROR(__xludf.DUMMYFUNCTION("""COMPUTED_VALUE"""),44.0)</f>
        <v>44</v>
      </c>
      <c r="H14185" s="4"/>
      <c r="I14185" s="4"/>
    </row>
    <row r="14186">
      <c r="A14186" s="4" t="str">
        <f>IFERROR(__xludf.DUMMYFUNCTION("""COMPUTED_VALUE"""),"cas_hmw")</f>
        <v>cas_hmw</v>
      </c>
      <c r="B14186" s="5">
        <f>IFERROR(__xludf.DUMMYFUNCTION("""COMPUTED_VALUE"""),44722.0)</f>
        <v>44722</v>
      </c>
      <c r="C14186" s="6">
        <f>IFERROR(__xludf.DUMMYFUNCTION("""COMPUTED_VALUE"""),0.2981018518512428)</f>
        <v>0.2981018519</v>
      </c>
      <c r="D14186" s="4">
        <f>IFERROR(__xludf.DUMMYFUNCTION("""COMPUTED_VALUE"""),13.06376)</f>
        <v>13.06376</v>
      </c>
      <c r="E14186" s="4">
        <f>IFERROR(__xludf.DUMMYFUNCTION("""COMPUTED_VALUE"""),80.250839)</f>
        <v>80.250839</v>
      </c>
      <c r="F14186" s="4">
        <f>IFERROR(__xludf.DUMMYFUNCTION("""COMPUTED_VALUE"""),805.0)</f>
        <v>805</v>
      </c>
      <c r="G14186" s="4">
        <f>IFERROR(__xludf.DUMMYFUNCTION("""COMPUTED_VALUE"""),0.0)</f>
        <v>0</v>
      </c>
      <c r="H14186" s="4"/>
      <c r="I14186" s="4"/>
    </row>
    <row r="14187">
      <c r="A14187" s="4" t="str">
        <f>IFERROR(__xludf.DUMMYFUNCTION("""COMPUTED_VALUE"""),"cas_hmw")</f>
        <v>cas_hmw</v>
      </c>
      <c r="B14187" s="5">
        <f>IFERROR(__xludf.DUMMYFUNCTION("""COMPUTED_VALUE"""),44722.0)</f>
        <v>44722</v>
      </c>
      <c r="C14187" s="6">
        <f>IFERROR(__xludf.DUMMYFUNCTION("""COMPUTED_VALUE"""),0.3026273148134351)</f>
        <v>0.3026273148</v>
      </c>
      <c r="D14187" s="4">
        <f>IFERROR(__xludf.DUMMYFUNCTION("""COMPUTED_VALUE"""),13.061549)</f>
        <v>13.061549</v>
      </c>
      <c r="E14187" s="4">
        <f>IFERROR(__xludf.DUMMYFUNCTION("""COMPUTED_VALUE"""),80.247247)</f>
        <v>80.247247</v>
      </c>
      <c r="F14187" s="4">
        <f>IFERROR(__xludf.DUMMYFUNCTION("""COMPUTED_VALUE"""),805.0)</f>
        <v>805</v>
      </c>
      <c r="G14187" s="4">
        <f>IFERROR(__xludf.DUMMYFUNCTION("""COMPUTED_VALUE"""),31.0)</f>
        <v>31</v>
      </c>
      <c r="H14187" s="4"/>
      <c r="I14187" s="4"/>
    </row>
    <row r="14188">
      <c r="A14188" s="4" t="str">
        <f>IFERROR(__xludf.DUMMYFUNCTION("""COMPUTED_VALUE"""),"cas_hmw")</f>
        <v>cas_hmw</v>
      </c>
      <c r="B14188" s="5">
        <f>IFERROR(__xludf.DUMMYFUNCTION("""COMPUTED_VALUE"""),44722.0)</f>
        <v>44722</v>
      </c>
      <c r="C14188" s="6">
        <f>IFERROR(__xludf.DUMMYFUNCTION("""COMPUTED_VALUE"""),0.3029861111099308)</f>
        <v>0.3029861111</v>
      </c>
      <c r="D14188" s="4">
        <f>IFERROR(__xludf.DUMMYFUNCTION("""COMPUTED_VALUE"""),12.948771)</f>
        <v>12.948771</v>
      </c>
      <c r="E14188" s="4">
        <f>IFERROR(__xludf.DUMMYFUNCTION("""COMPUTED_VALUE"""),80.204225)</f>
        <v>80.204225</v>
      </c>
      <c r="F14188" s="4">
        <f>IFERROR(__xludf.DUMMYFUNCTION("""COMPUTED_VALUE"""),2846.0)</f>
        <v>2846</v>
      </c>
      <c r="G14188" s="4">
        <f>IFERROR(__xludf.DUMMYFUNCTION("""COMPUTED_VALUE"""),59.0)</f>
        <v>59</v>
      </c>
      <c r="H14188" s="4"/>
      <c r="I14188" s="4"/>
    </row>
    <row r="14189">
      <c r="A14189" s="4" t="str">
        <f>IFERROR(__xludf.DUMMYFUNCTION("""COMPUTED_VALUE"""),"cas_hmw")</f>
        <v>cas_hmw</v>
      </c>
      <c r="B14189" s="5">
        <f>IFERROR(__xludf.DUMMYFUNCTION("""COMPUTED_VALUE"""),44722.0)</f>
        <v>44722</v>
      </c>
      <c r="C14189" s="6">
        <f>IFERROR(__xludf.DUMMYFUNCTION("""COMPUTED_VALUE"""),0.31557870370306773)</f>
        <v>0.3155787037</v>
      </c>
      <c r="D14189" s="4">
        <f>IFERROR(__xludf.DUMMYFUNCTION("""COMPUTED_VALUE"""),13.061161)</f>
        <v>13.061161</v>
      </c>
      <c r="E14189" s="4">
        <f>IFERROR(__xludf.DUMMYFUNCTION("""COMPUTED_VALUE"""),80.274346)</f>
        <v>80.274346</v>
      </c>
      <c r="F14189" s="4">
        <f>IFERROR(__xludf.DUMMYFUNCTION("""COMPUTED_VALUE"""),805.0)</f>
        <v>805</v>
      </c>
      <c r="G14189" s="4">
        <f>IFERROR(__xludf.DUMMYFUNCTION("""COMPUTED_VALUE"""),0.0)</f>
        <v>0</v>
      </c>
      <c r="H14189" s="4"/>
      <c r="I14189" s="4"/>
    </row>
    <row r="14190">
      <c r="A14190" s="4" t="str">
        <f>IFERROR(__xludf.DUMMYFUNCTION("""COMPUTED_VALUE"""),"cas_hmw")</f>
        <v>cas_hmw</v>
      </c>
      <c r="B14190" s="5">
        <f>IFERROR(__xludf.DUMMYFUNCTION("""COMPUTED_VALUE"""),44722.0)</f>
        <v>44722</v>
      </c>
      <c r="C14190" s="6">
        <f>IFERROR(__xludf.DUMMYFUNCTION("""COMPUTED_VALUE"""),0.3155902777762094)</f>
        <v>0.3155902778</v>
      </c>
      <c r="D14190" s="4">
        <f>IFERROR(__xludf.DUMMYFUNCTION("""COMPUTED_VALUE"""),13.061161)</f>
        <v>13.061161</v>
      </c>
      <c r="E14190" s="4">
        <f>IFERROR(__xludf.DUMMYFUNCTION("""COMPUTED_VALUE"""),80.274346)</f>
        <v>80.274346</v>
      </c>
      <c r="F14190" s="4">
        <f>IFERROR(__xludf.DUMMYFUNCTION("""COMPUTED_VALUE"""),805.0)</f>
        <v>805</v>
      </c>
      <c r="G14190" s="4">
        <f>IFERROR(__xludf.DUMMYFUNCTION("""COMPUTED_VALUE"""),0.0)</f>
        <v>0</v>
      </c>
      <c r="H14190" s="4"/>
      <c r="I14190" s="4"/>
    </row>
    <row r="14191">
      <c r="A14191" s="4" t="str">
        <f>IFERROR(__xludf.DUMMYFUNCTION("""COMPUTED_VALUE"""),"cas_hmw")</f>
        <v>cas_hmw</v>
      </c>
      <c r="B14191" s="5">
        <f>IFERROR(__xludf.DUMMYFUNCTION("""COMPUTED_VALUE"""),44722.0)</f>
        <v>44722</v>
      </c>
      <c r="C14191" s="6">
        <f>IFERROR(__xludf.DUMMYFUNCTION("""COMPUTED_VALUE"""),0.31560185185298906)</f>
        <v>0.3156018519</v>
      </c>
      <c r="D14191" s="4">
        <f>IFERROR(__xludf.DUMMYFUNCTION("""COMPUTED_VALUE"""),13.062563)</f>
        <v>13.062563</v>
      </c>
      <c r="E14191" s="4">
        <f>IFERROR(__xludf.DUMMYFUNCTION("""COMPUTED_VALUE"""),80.274207)</f>
        <v>80.274207</v>
      </c>
      <c r="F14191" s="4">
        <f>IFERROR(__xludf.DUMMYFUNCTION("""COMPUTED_VALUE"""),805.0)</f>
        <v>805</v>
      </c>
      <c r="G14191" s="4">
        <f>IFERROR(__xludf.DUMMYFUNCTION("""COMPUTED_VALUE"""),0.0)</f>
        <v>0</v>
      </c>
      <c r="H14191" s="4"/>
      <c r="I14191" s="4"/>
    </row>
    <row r="14192">
      <c r="A14192" s="4" t="str">
        <f>IFERROR(__xludf.DUMMYFUNCTION("""COMPUTED_VALUE"""),"cas_hmw")</f>
        <v>cas_hmw</v>
      </c>
      <c r="B14192" s="5">
        <f>IFERROR(__xludf.DUMMYFUNCTION("""COMPUTED_VALUE"""),44722.0)</f>
        <v>44722</v>
      </c>
      <c r="C14192" s="6">
        <f>IFERROR(__xludf.DUMMYFUNCTION("""COMPUTED_VALUE"""),0.3178125000013097)</f>
        <v>0.3178125</v>
      </c>
      <c r="D14192" s="4">
        <f>IFERROR(__xludf.DUMMYFUNCTION("""COMPUTED_VALUE"""),12.979733)</f>
        <v>12.979733</v>
      </c>
      <c r="E14192" s="4">
        <f>IFERROR(__xludf.DUMMYFUNCTION("""COMPUTED_VALUE"""),80.227179)</f>
        <v>80.227179</v>
      </c>
      <c r="F14192" s="4">
        <f>IFERROR(__xludf.DUMMYFUNCTION("""COMPUTED_VALUE"""),2846.0)</f>
        <v>2846</v>
      </c>
      <c r="G14192" s="4">
        <f>IFERROR(__xludf.DUMMYFUNCTION("""COMPUTED_VALUE"""),0.0)</f>
        <v>0</v>
      </c>
      <c r="H14192" s="4"/>
      <c r="I14192" s="4"/>
    </row>
    <row r="14193">
      <c r="A14193" s="4" t="str">
        <f>IFERROR(__xludf.DUMMYFUNCTION("""COMPUTED_VALUE"""),"cas_hmw")</f>
        <v>cas_hmw</v>
      </c>
      <c r="B14193" s="5">
        <f>IFERROR(__xludf.DUMMYFUNCTION("""COMPUTED_VALUE"""),44722.0)</f>
        <v>44722</v>
      </c>
      <c r="C14193" s="6">
        <f>IFERROR(__xludf.DUMMYFUNCTION("""COMPUTED_VALUE"""),0.3181250000016007)</f>
        <v>0.318125</v>
      </c>
      <c r="D14193" s="4">
        <f>IFERROR(__xludf.DUMMYFUNCTION("""COMPUTED_VALUE"""),12.979733)</f>
        <v>12.979733</v>
      </c>
      <c r="E14193" s="4">
        <f>IFERROR(__xludf.DUMMYFUNCTION("""COMPUTED_VALUE"""),80.227179)</f>
        <v>80.227179</v>
      </c>
      <c r="F14193" s="4">
        <f>IFERROR(__xludf.DUMMYFUNCTION("""COMPUTED_VALUE"""),2846.0)</f>
        <v>2846</v>
      </c>
      <c r="G14193" s="4">
        <f>IFERROR(__xludf.DUMMYFUNCTION("""COMPUTED_VALUE"""),0.0)</f>
        <v>0</v>
      </c>
      <c r="H14193" s="4"/>
      <c r="I14193" s="4"/>
    </row>
    <row r="14194">
      <c r="A14194" s="4" t="str">
        <f>IFERROR(__xludf.DUMMYFUNCTION("""COMPUTED_VALUE"""),"cas_hmw")</f>
        <v>cas_hmw</v>
      </c>
      <c r="B14194" s="5">
        <f>IFERROR(__xludf.DUMMYFUNCTION("""COMPUTED_VALUE"""),44722.0)</f>
        <v>44722</v>
      </c>
      <c r="C14194" s="6">
        <f>IFERROR(__xludf.DUMMYFUNCTION("""COMPUTED_VALUE"""),0.31850694444437977)</f>
        <v>0.3185069444</v>
      </c>
      <c r="D14194" s="4">
        <f>IFERROR(__xludf.DUMMYFUNCTION("""COMPUTED_VALUE"""),13.052898)</f>
        <v>13.052898</v>
      </c>
      <c r="E14194" s="4">
        <f>IFERROR(__xludf.DUMMYFUNCTION("""COMPUTED_VALUE"""),80.273683)</f>
        <v>80.273683</v>
      </c>
      <c r="F14194" s="4">
        <f>IFERROR(__xludf.DUMMYFUNCTION("""COMPUTED_VALUE"""),805.0)</f>
        <v>805</v>
      </c>
      <c r="G14194" s="4">
        <f>IFERROR(__xludf.DUMMYFUNCTION("""COMPUTED_VALUE"""),7.0)</f>
        <v>7</v>
      </c>
      <c r="H14194" s="4"/>
      <c r="I14194" s="4"/>
    </row>
    <row r="14195">
      <c r="A14195" s="4" t="str">
        <f>IFERROR(__xludf.DUMMYFUNCTION("""COMPUTED_VALUE"""),"cas_hmw")</f>
        <v>cas_hmw</v>
      </c>
      <c r="B14195" s="5">
        <f>IFERROR(__xludf.DUMMYFUNCTION("""COMPUTED_VALUE"""),44722.0)</f>
        <v>44722</v>
      </c>
      <c r="C14195" s="6">
        <f>IFERROR(__xludf.DUMMYFUNCTION("""COMPUTED_VALUE"""),0.3185648148137261)</f>
        <v>0.3185648148</v>
      </c>
      <c r="D14195" s="4">
        <f>IFERROR(__xludf.DUMMYFUNCTION("""COMPUTED_VALUE"""),13.052898)</f>
        <v>13.052898</v>
      </c>
      <c r="E14195" s="4">
        <f>IFERROR(__xludf.DUMMYFUNCTION("""COMPUTED_VALUE"""),80.273683)</f>
        <v>80.273683</v>
      </c>
      <c r="F14195" s="4">
        <f>IFERROR(__xludf.DUMMYFUNCTION("""COMPUTED_VALUE"""),805.0)</f>
        <v>805</v>
      </c>
      <c r="G14195" s="4">
        <f>IFERROR(__xludf.DUMMYFUNCTION("""COMPUTED_VALUE"""),7.0)</f>
        <v>7</v>
      </c>
      <c r="H14195" s="4"/>
      <c r="I14195" s="4"/>
    </row>
    <row r="14196">
      <c r="A14196" s="4" t="str">
        <f>IFERROR(__xludf.DUMMYFUNCTION("""COMPUTED_VALUE"""),"cas_hmw")</f>
        <v>cas_hmw</v>
      </c>
      <c r="B14196" s="5">
        <f>IFERROR(__xludf.DUMMYFUNCTION("""COMPUTED_VALUE"""),44722.0)</f>
        <v>44722</v>
      </c>
      <c r="C14196" s="6">
        <f>IFERROR(__xludf.DUMMYFUNCTION("""COMPUTED_VALUE"""),0.31894675926014315)</f>
        <v>0.3189467593</v>
      </c>
      <c r="D14196" s="4">
        <f>IFERROR(__xludf.DUMMYFUNCTION("""COMPUTED_VALUE"""),13.053192)</f>
        <v>13.053192</v>
      </c>
      <c r="E14196" s="4">
        <f>IFERROR(__xludf.DUMMYFUNCTION("""COMPUTED_VALUE"""),80.271064)</f>
        <v>80.271064</v>
      </c>
      <c r="F14196" s="4">
        <f>IFERROR(__xludf.DUMMYFUNCTION("""COMPUTED_VALUE"""),805.0)</f>
        <v>805</v>
      </c>
      <c r="G14196" s="4">
        <f>IFERROR(__xludf.DUMMYFUNCTION("""COMPUTED_VALUE"""),11.0)</f>
        <v>11</v>
      </c>
      <c r="H14196" s="4"/>
      <c r="I14196" s="4"/>
    </row>
    <row r="14197">
      <c r="A14197" s="4" t="str">
        <f>IFERROR(__xludf.DUMMYFUNCTION("""COMPUTED_VALUE"""),"cas_hmw")</f>
        <v>cas_hmw</v>
      </c>
      <c r="B14197" s="5">
        <f>IFERROR(__xludf.DUMMYFUNCTION("""COMPUTED_VALUE"""),44722.0)</f>
        <v>44722</v>
      </c>
      <c r="C14197" s="6">
        <f>IFERROR(__xludf.DUMMYFUNCTION("""COMPUTED_VALUE"""),0.3191435185181035)</f>
        <v>0.3191435185</v>
      </c>
      <c r="D14197" s="4">
        <f>IFERROR(__xludf.DUMMYFUNCTION("""COMPUTED_VALUE"""),13.053232)</f>
        <v>13.053232</v>
      </c>
      <c r="E14197" s="4">
        <f>IFERROR(__xludf.DUMMYFUNCTION("""COMPUTED_VALUE"""),80.270792)</f>
        <v>80.270792</v>
      </c>
      <c r="F14197" s="4">
        <f>IFERROR(__xludf.DUMMYFUNCTION("""COMPUTED_VALUE"""),805.0)</f>
        <v>805</v>
      </c>
      <c r="G14197" s="4">
        <f>IFERROR(__xludf.DUMMYFUNCTION("""COMPUTED_VALUE"""),0.0)</f>
        <v>0</v>
      </c>
      <c r="H14197" s="4"/>
      <c r="I14197" s="4"/>
    </row>
    <row r="14198">
      <c r="A14198" s="4" t="str">
        <f>IFERROR(__xludf.DUMMYFUNCTION("""COMPUTED_VALUE"""),"cas_hmw")</f>
        <v>cas_hmw</v>
      </c>
      <c r="B14198" s="5">
        <f>IFERROR(__xludf.DUMMYFUNCTION("""COMPUTED_VALUE"""),44722.0)</f>
        <v>44722</v>
      </c>
      <c r="C14198" s="6">
        <f>IFERROR(__xludf.DUMMYFUNCTION("""COMPUTED_VALUE"""),0.31950231481459923)</f>
        <v>0.3195023148</v>
      </c>
      <c r="D14198" s="4">
        <f>IFERROR(__xludf.DUMMYFUNCTION("""COMPUTED_VALUE"""),13.053232)</f>
        <v>13.053232</v>
      </c>
      <c r="E14198" s="4">
        <f>IFERROR(__xludf.DUMMYFUNCTION("""COMPUTED_VALUE"""),80.270792)</f>
        <v>80.270792</v>
      </c>
      <c r="F14198" s="4">
        <f>IFERROR(__xludf.DUMMYFUNCTION("""COMPUTED_VALUE"""),805.0)</f>
        <v>805</v>
      </c>
      <c r="G14198" s="4">
        <f>IFERROR(__xludf.DUMMYFUNCTION("""COMPUTED_VALUE"""),0.0)</f>
        <v>0</v>
      </c>
      <c r="H14198" s="4"/>
      <c r="I14198" s="4"/>
    </row>
    <row r="14199">
      <c r="A14199" s="4" t="str">
        <f>IFERROR(__xludf.DUMMYFUNCTION("""COMPUTED_VALUE"""),"cas_hmw")</f>
        <v>cas_hmw</v>
      </c>
      <c r="B14199" s="5">
        <f>IFERROR(__xludf.DUMMYFUNCTION("""COMPUTED_VALUE"""),44722.0)</f>
        <v>44722</v>
      </c>
      <c r="C14199" s="6">
        <f>IFERROR(__xludf.DUMMYFUNCTION("""COMPUTED_VALUE"""),0.3200925925921183)</f>
        <v>0.3200925926</v>
      </c>
      <c r="D14199" s="4">
        <f>IFERROR(__xludf.DUMMYFUNCTION("""COMPUTED_VALUE"""),13.05331)</f>
        <v>13.05331</v>
      </c>
      <c r="E14199" s="4">
        <f>IFERROR(__xludf.DUMMYFUNCTION("""COMPUTED_VALUE"""),80.270001)</f>
        <v>80.270001</v>
      </c>
      <c r="F14199" s="4">
        <f>IFERROR(__xludf.DUMMYFUNCTION("""COMPUTED_VALUE"""),805.0)</f>
        <v>805</v>
      </c>
      <c r="G14199" s="4">
        <f>IFERROR(__xludf.DUMMYFUNCTION("""COMPUTED_VALUE"""),26.0)</f>
        <v>26</v>
      </c>
      <c r="H14199" s="4"/>
      <c r="I14199" s="4"/>
    </row>
    <row r="14200">
      <c r="A14200" s="4" t="str">
        <f>IFERROR(__xludf.DUMMYFUNCTION("""COMPUTED_VALUE"""),"cas_hmw")</f>
        <v>cas_hmw</v>
      </c>
      <c r="B14200" s="5">
        <f>IFERROR(__xludf.DUMMYFUNCTION("""COMPUTED_VALUE"""),44722.0)</f>
        <v>44722</v>
      </c>
      <c r="C14200" s="6">
        <f>IFERROR(__xludf.DUMMYFUNCTION("""COMPUTED_VALUE"""),0.32042824074233067)</f>
        <v>0.3204282407</v>
      </c>
      <c r="D14200" s="4">
        <f>IFERROR(__xludf.DUMMYFUNCTION("""COMPUTED_VALUE"""),13.053232)</f>
        <v>13.053232</v>
      </c>
      <c r="E14200" s="4">
        <f>IFERROR(__xludf.DUMMYFUNCTION("""COMPUTED_VALUE"""),80.270792)</f>
        <v>80.270792</v>
      </c>
      <c r="F14200" s="4">
        <f>IFERROR(__xludf.DUMMYFUNCTION("""COMPUTED_VALUE"""),805.0)</f>
        <v>805</v>
      </c>
      <c r="G14200" s="4">
        <f>IFERROR(__xludf.DUMMYFUNCTION("""COMPUTED_VALUE"""),0.0)</f>
        <v>0</v>
      </c>
      <c r="H14200" s="4"/>
      <c r="I14200" s="4"/>
    </row>
    <row r="14201">
      <c r="A14201" s="4" t="str">
        <f>IFERROR(__xludf.DUMMYFUNCTION("""COMPUTED_VALUE"""),"cas_hmw")</f>
        <v>cas_hmw</v>
      </c>
      <c r="B14201" s="5">
        <f>IFERROR(__xludf.DUMMYFUNCTION("""COMPUTED_VALUE"""),44722.0)</f>
        <v>44722</v>
      </c>
      <c r="C14201" s="6">
        <f>IFERROR(__xludf.DUMMYFUNCTION("""COMPUTED_VALUE"""),0.32079861111196806)</f>
        <v>0.3207986111</v>
      </c>
      <c r="D14201" s="4">
        <f>IFERROR(__xludf.DUMMYFUNCTION("""COMPUTED_VALUE"""),13.05331)</f>
        <v>13.05331</v>
      </c>
      <c r="E14201" s="4">
        <f>IFERROR(__xludf.DUMMYFUNCTION("""COMPUTED_VALUE"""),80.270001)</f>
        <v>80.270001</v>
      </c>
      <c r="F14201" s="4">
        <f>IFERROR(__xludf.DUMMYFUNCTION("""COMPUTED_VALUE"""),805.0)</f>
        <v>805</v>
      </c>
      <c r="G14201" s="4">
        <f>IFERROR(__xludf.DUMMYFUNCTION("""COMPUTED_VALUE"""),26.0)</f>
        <v>26</v>
      </c>
      <c r="H14201" s="4"/>
      <c r="I14201" s="4"/>
    </row>
    <row r="14202">
      <c r="A14202" s="4" t="str">
        <f>IFERROR(__xludf.DUMMYFUNCTION("""COMPUTED_VALUE"""),"cas_hmw")</f>
        <v>cas_hmw</v>
      </c>
      <c r="B14202" s="5">
        <f>IFERROR(__xludf.DUMMYFUNCTION("""COMPUTED_VALUE"""),44722.0)</f>
        <v>44722</v>
      </c>
      <c r="C14202" s="6">
        <f>IFERROR(__xludf.DUMMYFUNCTION("""COMPUTED_VALUE"""),0.3215393518512428)</f>
        <v>0.3215393519</v>
      </c>
      <c r="D14202" s="4">
        <f>IFERROR(__xludf.DUMMYFUNCTION("""COMPUTED_VALUE"""),13.053631)</f>
        <v>13.053631</v>
      </c>
      <c r="E14202" s="4">
        <f>IFERROR(__xludf.DUMMYFUNCTION("""COMPUTED_VALUE"""),80.266438)</f>
        <v>80.266438</v>
      </c>
      <c r="F14202" s="4">
        <f>IFERROR(__xludf.DUMMYFUNCTION("""COMPUTED_VALUE"""),805.0)</f>
        <v>805</v>
      </c>
      <c r="G14202" s="4">
        <f>IFERROR(__xludf.DUMMYFUNCTION("""COMPUTED_VALUE"""),27.0)</f>
        <v>27</v>
      </c>
      <c r="H14202" s="4"/>
      <c r="I14202" s="4"/>
    </row>
    <row r="14203">
      <c r="A14203" s="4" t="str">
        <f>IFERROR(__xludf.DUMMYFUNCTION("""COMPUTED_VALUE"""),"cas_hmw")</f>
        <v>cas_hmw</v>
      </c>
      <c r="B14203" s="5">
        <f>IFERROR(__xludf.DUMMYFUNCTION("""COMPUTED_VALUE"""),44722.0)</f>
        <v>44722</v>
      </c>
      <c r="C14203" s="6">
        <f>IFERROR(__xludf.DUMMYFUNCTION("""COMPUTED_VALUE"""),0.3216666666667152)</f>
        <v>0.3216666667</v>
      </c>
      <c r="D14203" s="4">
        <f>IFERROR(__xludf.DUMMYFUNCTION("""COMPUTED_VALUE"""),13.053631)</f>
        <v>13.053631</v>
      </c>
      <c r="E14203" s="4">
        <f>IFERROR(__xludf.DUMMYFUNCTION("""COMPUTED_VALUE"""),80.266438)</f>
        <v>80.266438</v>
      </c>
      <c r="F14203" s="4">
        <f>IFERROR(__xludf.DUMMYFUNCTION("""COMPUTED_VALUE"""),805.0)</f>
        <v>805</v>
      </c>
      <c r="G14203" s="4">
        <f>IFERROR(__xludf.DUMMYFUNCTION("""COMPUTED_VALUE"""),27.0)</f>
        <v>27</v>
      </c>
      <c r="H14203" s="4"/>
      <c r="I14203" s="4"/>
    </row>
    <row r="14204">
      <c r="A14204" s="4" t="str">
        <f>IFERROR(__xludf.DUMMYFUNCTION("""COMPUTED_VALUE"""),"cas_hmw")</f>
        <v>cas_hmw</v>
      </c>
      <c r="B14204" s="5">
        <f>IFERROR(__xludf.DUMMYFUNCTION("""COMPUTED_VALUE"""),44722.0)</f>
        <v>44722</v>
      </c>
      <c r="C14204" s="6">
        <f>IFERROR(__xludf.DUMMYFUNCTION("""COMPUTED_VALUE"""),0.3224189814827696)</f>
        <v>0.3224189815</v>
      </c>
      <c r="D14204" s="4">
        <f>IFERROR(__xludf.DUMMYFUNCTION("""COMPUTED_VALUE"""),13.054153)</f>
        <v>13.054153</v>
      </c>
      <c r="E14204" s="4">
        <f>IFERROR(__xludf.DUMMYFUNCTION("""COMPUTED_VALUE"""),80.260565)</f>
        <v>80.260565</v>
      </c>
      <c r="F14204" s="4">
        <f>IFERROR(__xludf.DUMMYFUNCTION("""COMPUTED_VALUE"""),805.0)</f>
        <v>805</v>
      </c>
      <c r="G14204" s="4">
        <f>IFERROR(__xludf.DUMMYFUNCTION("""COMPUTED_VALUE"""),35.0)</f>
        <v>35</v>
      </c>
      <c r="H14204" s="4"/>
      <c r="I14204" s="4"/>
    </row>
    <row r="14205">
      <c r="A14205" s="4" t="str">
        <f>IFERROR(__xludf.DUMMYFUNCTION("""COMPUTED_VALUE"""),"cas_hmw")</f>
        <v>cas_hmw</v>
      </c>
      <c r="B14205" s="5">
        <f>IFERROR(__xludf.DUMMYFUNCTION("""COMPUTED_VALUE"""),44722.0)</f>
        <v>44722</v>
      </c>
      <c r="C14205" s="6">
        <f>IFERROR(__xludf.DUMMYFUNCTION("""COMPUTED_VALUE"""),0.3236458333340124)</f>
        <v>0.3236458333</v>
      </c>
      <c r="D14205" s="4">
        <f>IFERROR(__xludf.DUMMYFUNCTION("""COMPUTED_VALUE"""),13.051809)</f>
        <v>13.051809</v>
      </c>
      <c r="E14205" s="4">
        <f>IFERROR(__xludf.DUMMYFUNCTION("""COMPUTED_VALUE"""),80.250482)</f>
        <v>80.250482</v>
      </c>
      <c r="F14205" s="4">
        <f>IFERROR(__xludf.DUMMYFUNCTION("""COMPUTED_VALUE"""),805.0)</f>
        <v>805</v>
      </c>
      <c r="G14205" s="4">
        <f>IFERROR(__xludf.DUMMYFUNCTION("""COMPUTED_VALUE"""),47.0)</f>
        <v>47</v>
      </c>
      <c r="H14205" s="4"/>
      <c r="I14205" s="4"/>
    </row>
    <row r="14206">
      <c r="A14206" s="4" t="str">
        <f>IFERROR(__xludf.DUMMYFUNCTION("""COMPUTED_VALUE"""),"cas_hmw")</f>
        <v>cas_hmw</v>
      </c>
      <c r="B14206" s="5">
        <f>IFERROR(__xludf.DUMMYFUNCTION("""COMPUTED_VALUE"""),44722.0)</f>
        <v>44722</v>
      </c>
      <c r="C14206" s="6">
        <f>IFERROR(__xludf.DUMMYFUNCTION("""COMPUTED_VALUE"""),0.32444444444263354)</f>
        <v>0.3244444444</v>
      </c>
      <c r="D14206" s="4">
        <f>IFERROR(__xludf.DUMMYFUNCTION("""COMPUTED_VALUE"""),13.044982)</f>
        <v>13.044982</v>
      </c>
      <c r="E14206" s="4">
        <f>IFERROR(__xludf.DUMMYFUNCTION("""COMPUTED_VALUE"""),80.248133)</f>
        <v>80.248133</v>
      </c>
      <c r="F14206" s="4">
        <f>IFERROR(__xludf.DUMMYFUNCTION("""COMPUTED_VALUE"""),805.0)</f>
        <v>805</v>
      </c>
      <c r="G14206" s="4">
        <f>IFERROR(__xludf.DUMMYFUNCTION("""COMPUTED_VALUE"""),46.0)</f>
        <v>46</v>
      </c>
      <c r="H14206" s="4"/>
      <c r="I14206" s="4"/>
    </row>
    <row r="14207">
      <c r="A14207" s="4" t="str">
        <f>IFERROR(__xludf.DUMMYFUNCTION("""COMPUTED_VALUE"""),"cas_hmw")</f>
        <v>cas_hmw</v>
      </c>
      <c r="B14207" s="5">
        <f>IFERROR(__xludf.DUMMYFUNCTION("""COMPUTED_VALUE"""),44722.0)</f>
        <v>44722</v>
      </c>
      <c r="C14207" s="6">
        <f>IFERROR(__xludf.DUMMYFUNCTION("""COMPUTED_VALUE"""),0.32527777777795563)</f>
        <v>0.3252777778</v>
      </c>
      <c r="D14207" s="4">
        <f>IFERROR(__xludf.DUMMYFUNCTION("""COMPUTED_VALUE"""),13.051809)</f>
        <v>13.051809</v>
      </c>
      <c r="E14207" s="4">
        <f>IFERROR(__xludf.DUMMYFUNCTION("""COMPUTED_VALUE"""),80.250482)</f>
        <v>80.250482</v>
      </c>
      <c r="F14207" s="4">
        <f>IFERROR(__xludf.DUMMYFUNCTION("""COMPUTED_VALUE"""),805.0)</f>
        <v>805</v>
      </c>
      <c r="G14207" s="4">
        <f>IFERROR(__xludf.DUMMYFUNCTION("""COMPUTED_VALUE"""),47.0)</f>
        <v>47</v>
      </c>
      <c r="H14207" s="4"/>
      <c r="I14207" s="4"/>
    </row>
    <row r="14208">
      <c r="A14208" s="4" t="str">
        <f>IFERROR(__xludf.DUMMYFUNCTION("""COMPUTED_VALUE"""),"cas_hmw")</f>
        <v>cas_hmw</v>
      </c>
      <c r="B14208" s="5">
        <f>IFERROR(__xludf.DUMMYFUNCTION("""COMPUTED_VALUE"""),44722.0)</f>
        <v>44722</v>
      </c>
      <c r="C14208" s="6">
        <f>IFERROR(__xludf.DUMMYFUNCTION("""COMPUTED_VALUE"""),0.3272453703721112)</f>
        <v>0.3272453704</v>
      </c>
      <c r="D14208" s="4">
        <f>IFERROR(__xludf.DUMMYFUNCTION("""COMPUTED_VALUE"""),13.041216)</f>
        <v>13.041216</v>
      </c>
      <c r="E14208" s="4">
        <f>IFERROR(__xludf.DUMMYFUNCTION("""COMPUTED_VALUE"""),80.247353)</f>
        <v>80.247353</v>
      </c>
      <c r="F14208" s="4">
        <f>IFERROR(__xludf.DUMMYFUNCTION("""COMPUTED_VALUE"""),805.0)</f>
        <v>805</v>
      </c>
      <c r="G14208" s="4">
        <f>IFERROR(__xludf.DUMMYFUNCTION("""COMPUTED_VALUE"""),43.0)</f>
        <v>43</v>
      </c>
      <c r="H14208" s="4"/>
      <c r="I14208" s="4"/>
    </row>
    <row r="14209">
      <c r="A14209" s="4" t="str">
        <f>IFERROR(__xludf.DUMMYFUNCTION("""COMPUTED_VALUE"""),"cas_hmw")</f>
        <v>cas_hmw</v>
      </c>
      <c r="B14209" s="5">
        <f>IFERROR(__xludf.DUMMYFUNCTION("""COMPUTED_VALUE"""),44722.0)</f>
        <v>44722</v>
      </c>
      <c r="C14209" s="6">
        <f>IFERROR(__xludf.DUMMYFUNCTION("""COMPUTED_VALUE"""),0.32806712963065365)</f>
        <v>0.3280671296</v>
      </c>
      <c r="D14209" s="4">
        <f>IFERROR(__xludf.DUMMYFUNCTION("""COMPUTED_VALUE"""),13.039637)</f>
        <v>13.039637</v>
      </c>
      <c r="E14209" s="4">
        <f>IFERROR(__xludf.DUMMYFUNCTION("""COMPUTED_VALUE"""),80.247111)</f>
        <v>80.247111</v>
      </c>
      <c r="F14209" s="4">
        <f>IFERROR(__xludf.DUMMYFUNCTION("""COMPUTED_VALUE"""),805.0)</f>
        <v>805</v>
      </c>
      <c r="G14209" s="4">
        <f>IFERROR(__xludf.DUMMYFUNCTION("""COMPUTED_VALUE"""),0.0)</f>
        <v>0</v>
      </c>
      <c r="H14209" s="4"/>
      <c r="I14209" s="4"/>
    </row>
    <row r="14210">
      <c r="A14210" s="4" t="str">
        <f>IFERROR(__xludf.DUMMYFUNCTION("""COMPUTED_VALUE"""),"cas_hmw")</f>
        <v>cas_hmw</v>
      </c>
      <c r="B14210" s="5">
        <f>IFERROR(__xludf.DUMMYFUNCTION("""COMPUTED_VALUE"""),44722.0)</f>
        <v>44722</v>
      </c>
      <c r="C14210" s="6">
        <f>IFERROR(__xludf.DUMMYFUNCTION("""COMPUTED_VALUE"""),0.3287152777775191)</f>
        <v>0.3287152778</v>
      </c>
      <c r="D14210" s="4">
        <f>IFERROR(__xludf.DUMMYFUNCTION("""COMPUTED_VALUE"""),13.035046)</f>
        <v>13.035046</v>
      </c>
      <c r="E14210" s="4">
        <f>IFERROR(__xludf.DUMMYFUNCTION("""COMPUTED_VALUE"""),80.246017)</f>
        <v>80.246017</v>
      </c>
      <c r="F14210" s="4">
        <f>IFERROR(__xludf.DUMMYFUNCTION("""COMPUTED_VALUE"""),805.0)</f>
        <v>805</v>
      </c>
      <c r="G14210" s="4">
        <f>IFERROR(__xludf.DUMMYFUNCTION("""COMPUTED_VALUE"""),19.0)</f>
        <v>19</v>
      </c>
      <c r="H14210" s="4"/>
      <c r="I14210" s="4"/>
    </row>
    <row r="14211">
      <c r="A14211" s="4" t="str">
        <f>IFERROR(__xludf.DUMMYFUNCTION("""COMPUTED_VALUE"""),"cas_hmw")</f>
        <v>cas_hmw</v>
      </c>
      <c r="B14211" s="5">
        <f>IFERROR(__xludf.DUMMYFUNCTION("""COMPUTED_VALUE"""),44722.0)</f>
        <v>44722</v>
      </c>
      <c r="C14211" s="6">
        <f>IFERROR(__xludf.DUMMYFUNCTION("""COMPUTED_VALUE"""),0.3287384259274404)</f>
        <v>0.3287384259</v>
      </c>
      <c r="D14211" s="4">
        <f>IFERROR(__xludf.DUMMYFUNCTION("""COMPUTED_VALUE"""),13.035046)</f>
        <v>13.035046</v>
      </c>
      <c r="E14211" s="4">
        <f>IFERROR(__xludf.DUMMYFUNCTION("""COMPUTED_VALUE"""),80.246017)</f>
        <v>80.246017</v>
      </c>
      <c r="F14211" s="4">
        <f>IFERROR(__xludf.DUMMYFUNCTION("""COMPUTED_VALUE"""),805.0)</f>
        <v>805</v>
      </c>
      <c r="G14211" s="4">
        <f>IFERROR(__xludf.DUMMYFUNCTION("""COMPUTED_VALUE"""),19.0)</f>
        <v>19</v>
      </c>
      <c r="H14211" s="4"/>
      <c r="I14211" s="4"/>
    </row>
    <row r="14212">
      <c r="A14212" s="4" t="str">
        <f>IFERROR(__xludf.DUMMYFUNCTION("""COMPUTED_VALUE"""),"cas_hmw")</f>
        <v>cas_hmw</v>
      </c>
      <c r="B14212" s="5">
        <f>IFERROR(__xludf.DUMMYFUNCTION("""COMPUTED_VALUE"""),44722.0)</f>
        <v>44722</v>
      </c>
      <c r="C14212" s="6">
        <f>IFERROR(__xludf.DUMMYFUNCTION("""COMPUTED_VALUE"""),0.3290625000008731)</f>
        <v>0.3290625</v>
      </c>
      <c r="D14212" s="4">
        <f>IFERROR(__xludf.DUMMYFUNCTION("""COMPUTED_VALUE"""),13.035194)</f>
        <v>13.035194</v>
      </c>
      <c r="E14212" s="4">
        <f>IFERROR(__xludf.DUMMYFUNCTION("""COMPUTED_VALUE"""),80.246116)</f>
        <v>80.246116</v>
      </c>
      <c r="F14212" s="4">
        <f>IFERROR(__xludf.DUMMYFUNCTION("""COMPUTED_VALUE"""),805.0)</f>
        <v>805</v>
      </c>
      <c r="G14212" s="4">
        <f>IFERROR(__xludf.DUMMYFUNCTION("""COMPUTED_VALUE"""),5.0)</f>
        <v>5</v>
      </c>
      <c r="H14212" s="4"/>
      <c r="I14212" s="4"/>
    </row>
    <row r="14213">
      <c r="A14213" s="4" t="str">
        <f>IFERROR(__xludf.DUMMYFUNCTION("""COMPUTED_VALUE"""),"cas_hmw")</f>
        <v>cas_hmw</v>
      </c>
      <c r="B14213" s="5">
        <f>IFERROR(__xludf.DUMMYFUNCTION("""COMPUTED_VALUE"""),44722.0)</f>
        <v>44722</v>
      </c>
      <c r="C14213" s="6">
        <f>IFERROR(__xludf.DUMMYFUNCTION("""COMPUTED_VALUE"""),0.32934027777810115)</f>
        <v>0.3293402778</v>
      </c>
      <c r="D14213" s="4">
        <f>IFERROR(__xludf.DUMMYFUNCTION("""COMPUTED_VALUE"""),12.980417)</f>
        <v>12.980417</v>
      </c>
      <c r="E14213" s="4">
        <f>IFERROR(__xludf.DUMMYFUNCTION("""COMPUTED_VALUE"""),80.228272)</f>
        <v>80.228272</v>
      </c>
      <c r="F14213" s="4">
        <f>IFERROR(__xludf.DUMMYFUNCTION("""COMPUTED_VALUE"""),2846.0)</f>
        <v>2846</v>
      </c>
      <c r="G14213" s="4">
        <f>IFERROR(__xludf.DUMMYFUNCTION("""COMPUTED_VALUE"""),0.0)</f>
        <v>0</v>
      </c>
      <c r="H14213" s="4"/>
      <c r="I14213" s="4"/>
    </row>
    <row r="14214">
      <c r="A14214" s="4" t="str">
        <f>IFERROR(__xludf.DUMMYFUNCTION("""COMPUTED_VALUE"""),"cas_hmw")</f>
        <v>cas_hmw</v>
      </c>
      <c r="B14214" s="5">
        <f>IFERROR(__xludf.DUMMYFUNCTION("""COMPUTED_VALUE"""),44722.0)</f>
        <v>44722</v>
      </c>
      <c r="C14214" s="6">
        <f>IFERROR(__xludf.DUMMYFUNCTION("""COMPUTED_VALUE"""),0.3297685185170849)</f>
        <v>0.3297685185</v>
      </c>
      <c r="D14214" s="4">
        <f>IFERROR(__xludf.DUMMYFUNCTION("""COMPUTED_VALUE"""),13.034365)</f>
        <v>13.034365</v>
      </c>
      <c r="E14214" s="4">
        <f>IFERROR(__xludf.DUMMYFUNCTION("""COMPUTED_VALUE"""),80.245147)</f>
        <v>80.245147</v>
      </c>
      <c r="F14214" s="4">
        <f>IFERROR(__xludf.DUMMYFUNCTION("""COMPUTED_VALUE"""),805.0)</f>
        <v>805</v>
      </c>
      <c r="G14214" s="4">
        <f>IFERROR(__xludf.DUMMYFUNCTION("""COMPUTED_VALUE"""),37.0)</f>
        <v>37</v>
      </c>
      <c r="H14214" s="4"/>
      <c r="I14214" s="4"/>
    </row>
    <row r="14215">
      <c r="A14215" s="4" t="str">
        <f>IFERROR(__xludf.DUMMYFUNCTION("""COMPUTED_VALUE"""),"cas_hmw")</f>
        <v>cas_hmw</v>
      </c>
      <c r="B14215" s="5">
        <f>IFERROR(__xludf.DUMMYFUNCTION("""COMPUTED_VALUE"""),44722.0)</f>
        <v>44722</v>
      </c>
      <c r="C14215" s="6">
        <f>IFERROR(__xludf.DUMMYFUNCTION("""COMPUTED_VALUE"""),0.32986111110949423)</f>
        <v>0.3298611111</v>
      </c>
      <c r="D14215" s="4">
        <f>IFERROR(__xludf.DUMMYFUNCTION("""COMPUTED_VALUE"""),13.033583)</f>
        <v>13.033583</v>
      </c>
      <c r="E14215" s="4">
        <f>IFERROR(__xludf.DUMMYFUNCTION("""COMPUTED_VALUE"""),80.244138)</f>
        <v>80.244138</v>
      </c>
      <c r="F14215" s="4">
        <f>IFERROR(__xludf.DUMMYFUNCTION("""COMPUTED_VALUE"""),805.0)</f>
        <v>805</v>
      </c>
      <c r="G14215" s="4">
        <f>IFERROR(__xludf.DUMMYFUNCTION("""COMPUTED_VALUE"""),56.0)</f>
        <v>56</v>
      </c>
      <c r="H14215" s="4"/>
      <c r="I14215" s="4"/>
    </row>
    <row r="14216">
      <c r="A14216" s="4" t="str">
        <f>IFERROR(__xludf.DUMMYFUNCTION("""COMPUTED_VALUE"""),"cas_hmw")</f>
        <v>cas_hmw</v>
      </c>
      <c r="B14216" s="5">
        <f>IFERROR(__xludf.DUMMYFUNCTION("""COMPUTED_VALUE"""),44722.0)</f>
        <v>44722</v>
      </c>
      <c r="C14216" s="6">
        <f>IFERROR(__xludf.DUMMYFUNCTION("""COMPUTED_VALUE"""),0.33050925925999763)</f>
        <v>0.3305092593</v>
      </c>
      <c r="D14216" s="4">
        <f>IFERROR(__xludf.DUMMYFUNCTION("""COMPUTED_VALUE"""),13.032253)</f>
        <v>13.032253</v>
      </c>
      <c r="E14216" s="4">
        <f>IFERROR(__xludf.DUMMYFUNCTION("""COMPUTED_VALUE"""),80.242383)</f>
        <v>80.242383</v>
      </c>
      <c r="F14216" s="4">
        <f>IFERROR(__xludf.DUMMYFUNCTION("""COMPUTED_VALUE"""),805.0)</f>
        <v>805</v>
      </c>
      <c r="G14216" s="4">
        <f>IFERROR(__xludf.DUMMYFUNCTION("""COMPUTED_VALUE"""),38.0)</f>
        <v>38</v>
      </c>
      <c r="H14216" s="4"/>
      <c r="I14216" s="4"/>
    </row>
    <row r="14217">
      <c r="A14217" s="4" t="str">
        <f>IFERROR(__xludf.DUMMYFUNCTION("""COMPUTED_VALUE"""),"cas_hmw")</f>
        <v>cas_hmw</v>
      </c>
      <c r="B14217" s="5">
        <f>IFERROR(__xludf.DUMMYFUNCTION("""COMPUTED_VALUE"""),44722.0)</f>
        <v>44722</v>
      </c>
      <c r="C14217" s="6">
        <f>IFERROR(__xludf.DUMMYFUNCTION("""COMPUTED_VALUE"""),0.33105324074131204)</f>
        <v>0.3310532407</v>
      </c>
      <c r="D14217" s="4">
        <f>IFERROR(__xludf.DUMMYFUNCTION("""COMPUTED_VALUE"""),13.032061)</f>
        <v>13.032061</v>
      </c>
      <c r="E14217" s="4">
        <f>IFERROR(__xludf.DUMMYFUNCTION("""COMPUTED_VALUE"""),80.242119)</f>
        <v>80.242119</v>
      </c>
      <c r="F14217" s="4">
        <f>IFERROR(__xludf.DUMMYFUNCTION("""COMPUTED_VALUE"""),805.0)</f>
        <v>805</v>
      </c>
      <c r="G14217" s="4">
        <f>IFERROR(__xludf.DUMMYFUNCTION("""COMPUTED_VALUE"""),0.0)</f>
        <v>0</v>
      </c>
      <c r="H14217" s="4"/>
      <c r="I14217" s="4"/>
    </row>
    <row r="14218">
      <c r="A14218" s="4" t="str">
        <f>IFERROR(__xludf.DUMMYFUNCTION("""COMPUTED_VALUE"""),"cas_hmw")</f>
        <v>cas_hmw</v>
      </c>
      <c r="B14218" s="5">
        <f>IFERROR(__xludf.DUMMYFUNCTION("""COMPUTED_VALUE"""),44722.0)</f>
        <v>44722</v>
      </c>
      <c r="C14218" s="6">
        <f>IFERROR(__xludf.DUMMYFUNCTION("""COMPUTED_VALUE"""),0.3314236111109494)</f>
        <v>0.3314236111</v>
      </c>
      <c r="D14218" s="4">
        <f>IFERROR(__xludf.DUMMYFUNCTION("""COMPUTED_VALUE"""),13.031929)</f>
        <v>13.031929</v>
      </c>
      <c r="E14218" s="4">
        <f>IFERROR(__xludf.DUMMYFUNCTION("""COMPUTED_VALUE"""),80.241847)</f>
        <v>80.241847</v>
      </c>
      <c r="F14218" s="4">
        <f>IFERROR(__xludf.DUMMYFUNCTION("""COMPUTED_VALUE"""),805.0)</f>
        <v>805</v>
      </c>
      <c r="G14218" s="4">
        <f>IFERROR(__xludf.DUMMYFUNCTION("""COMPUTED_VALUE"""),23.0)</f>
        <v>23</v>
      </c>
      <c r="H14218" s="4"/>
      <c r="I14218" s="4"/>
    </row>
    <row r="14219">
      <c r="A14219" s="4" t="str">
        <f>IFERROR(__xludf.DUMMYFUNCTION("""COMPUTED_VALUE"""),"cas_hmw")</f>
        <v>cas_hmw</v>
      </c>
      <c r="B14219" s="5">
        <f>IFERROR(__xludf.DUMMYFUNCTION("""COMPUTED_VALUE"""),44722.0)</f>
        <v>44722</v>
      </c>
      <c r="C14219" s="6">
        <f>IFERROR(__xludf.DUMMYFUNCTION("""COMPUTED_VALUE"""),0.3318287037036498)</f>
        <v>0.3318287037</v>
      </c>
      <c r="D14219" s="4">
        <f>IFERROR(__xludf.DUMMYFUNCTION("""COMPUTED_VALUE"""),13.031929)</f>
        <v>13.031929</v>
      </c>
      <c r="E14219" s="4">
        <f>IFERROR(__xludf.DUMMYFUNCTION("""COMPUTED_VALUE"""),80.241847)</f>
        <v>80.241847</v>
      </c>
      <c r="F14219" s="4">
        <f>IFERROR(__xludf.DUMMYFUNCTION("""COMPUTED_VALUE"""),805.0)</f>
        <v>805</v>
      </c>
      <c r="G14219" s="4">
        <f>IFERROR(__xludf.DUMMYFUNCTION("""COMPUTED_VALUE"""),23.0)</f>
        <v>23</v>
      </c>
      <c r="H14219" s="4"/>
      <c r="I14219" s="4"/>
    </row>
    <row r="14220">
      <c r="A14220" s="4" t="str">
        <f>IFERROR(__xludf.DUMMYFUNCTION("""COMPUTED_VALUE"""),"cas_hmw")</f>
        <v>cas_hmw</v>
      </c>
      <c r="B14220" s="5">
        <f>IFERROR(__xludf.DUMMYFUNCTION("""COMPUTED_VALUE"""),44722.0)</f>
        <v>44722</v>
      </c>
      <c r="C14220" s="6">
        <f>IFERROR(__xludf.DUMMYFUNCTION("""COMPUTED_VALUE"""),0.3329513888893416)</f>
        <v>0.3329513889</v>
      </c>
      <c r="D14220" s="4">
        <f>IFERROR(__xludf.DUMMYFUNCTION("""COMPUTED_VALUE"""),13.031164)</f>
        <v>13.031164</v>
      </c>
      <c r="E14220" s="4">
        <f>IFERROR(__xludf.DUMMYFUNCTION("""COMPUTED_VALUE"""),80.240268)</f>
        <v>80.240268</v>
      </c>
      <c r="F14220" s="4">
        <f>IFERROR(__xludf.DUMMYFUNCTION("""COMPUTED_VALUE"""),805.0)</f>
        <v>805</v>
      </c>
      <c r="G14220" s="4">
        <f>IFERROR(__xludf.DUMMYFUNCTION("""COMPUTED_VALUE"""),0.0)</f>
        <v>0</v>
      </c>
      <c r="H14220" s="4"/>
      <c r="I14220" s="4"/>
    </row>
    <row r="14221">
      <c r="A14221" s="4" t="str">
        <f>IFERROR(__xludf.DUMMYFUNCTION("""COMPUTED_VALUE"""),"cas_hmw")</f>
        <v>cas_hmw</v>
      </c>
      <c r="B14221" s="5">
        <f>IFERROR(__xludf.DUMMYFUNCTION("""COMPUTED_VALUE"""),44722.0)</f>
        <v>44722</v>
      </c>
      <c r="C14221" s="6">
        <f>IFERROR(__xludf.DUMMYFUNCTION("""COMPUTED_VALUE"""),0.3353124999994179)</f>
        <v>0.3353125</v>
      </c>
      <c r="D14221" s="4">
        <f>IFERROR(__xludf.DUMMYFUNCTION("""COMPUTED_VALUE"""),13.026653)</f>
        <v>13.026653</v>
      </c>
      <c r="E14221" s="4">
        <f>IFERROR(__xludf.DUMMYFUNCTION("""COMPUTED_VALUE"""),80.233288)</f>
        <v>80.233288</v>
      </c>
      <c r="F14221" s="4">
        <f>IFERROR(__xludf.DUMMYFUNCTION("""COMPUTED_VALUE"""),805.0)</f>
        <v>805</v>
      </c>
      <c r="G14221" s="4">
        <f>IFERROR(__xludf.DUMMYFUNCTION("""COMPUTED_VALUE"""),49.0)</f>
        <v>49</v>
      </c>
      <c r="H14221" s="4"/>
      <c r="I14221" s="4"/>
    </row>
    <row r="14222">
      <c r="A14222" s="4" t="str">
        <f>IFERROR(__xludf.DUMMYFUNCTION("""COMPUTED_VALUE"""),"cas_hmw")</f>
        <v>cas_hmw</v>
      </c>
      <c r="B14222" s="5">
        <f>IFERROR(__xludf.DUMMYFUNCTION("""COMPUTED_VALUE"""),44722.0)</f>
        <v>44722</v>
      </c>
      <c r="C14222" s="6">
        <f>IFERROR(__xludf.DUMMYFUNCTION("""COMPUTED_VALUE"""),0.33640046296204673)</f>
        <v>0.336400463</v>
      </c>
      <c r="D14222" s="4">
        <f>IFERROR(__xludf.DUMMYFUNCTION("""COMPUTED_VALUE"""),13.019709)</f>
        <v>13.019709</v>
      </c>
      <c r="E14222" s="4">
        <f>IFERROR(__xludf.DUMMYFUNCTION("""COMPUTED_VALUE"""),80.2247)</f>
        <v>80.2247</v>
      </c>
      <c r="F14222" s="4">
        <f>IFERROR(__xludf.DUMMYFUNCTION("""COMPUTED_VALUE"""),805.0)</f>
        <v>805</v>
      </c>
      <c r="G14222" s="4">
        <f>IFERROR(__xludf.DUMMYFUNCTION("""COMPUTED_VALUE"""),20.0)</f>
        <v>20</v>
      </c>
      <c r="H14222" s="4"/>
      <c r="I14222" s="4"/>
    </row>
    <row r="14223">
      <c r="A14223" s="4" t="str">
        <f>IFERROR(__xludf.DUMMYFUNCTION("""COMPUTED_VALUE"""),"cas_hmw")</f>
        <v>cas_hmw</v>
      </c>
      <c r="B14223" s="5">
        <f>IFERROR(__xludf.DUMMYFUNCTION("""COMPUTED_VALUE"""),44722.0)</f>
        <v>44722</v>
      </c>
      <c r="C14223" s="6">
        <f>IFERROR(__xludf.DUMMYFUNCTION("""COMPUTED_VALUE"""),0.3390624999992724)</f>
        <v>0.3390625</v>
      </c>
      <c r="D14223" s="4">
        <f>IFERROR(__xludf.DUMMYFUNCTION("""COMPUTED_VALUE"""),12.964806)</f>
        <v>12.964806</v>
      </c>
      <c r="E14223" s="4">
        <f>IFERROR(__xludf.DUMMYFUNCTION("""COMPUTED_VALUE"""),80.19661)</f>
        <v>80.19661</v>
      </c>
      <c r="F14223" s="4">
        <f>IFERROR(__xludf.DUMMYFUNCTION("""COMPUTED_VALUE"""),2846.0)</f>
        <v>2846</v>
      </c>
      <c r="G14223" s="4">
        <f>IFERROR(__xludf.DUMMYFUNCTION("""COMPUTED_VALUE"""),25.0)</f>
        <v>25</v>
      </c>
      <c r="H14223" s="4"/>
      <c r="I14223" s="4"/>
    </row>
    <row r="14224">
      <c r="A14224" s="4" t="str">
        <f>IFERROR(__xludf.DUMMYFUNCTION("""COMPUTED_VALUE"""),"cas_hmw")</f>
        <v>cas_hmw</v>
      </c>
      <c r="B14224" s="5">
        <f>IFERROR(__xludf.DUMMYFUNCTION("""COMPUTED_VALUE"""),44722.0)</f>
        <v>44722</v>
      </c>
      <c r="C14224" s="6">
        <f>IFERROR(__xludf.DUMMYFUNCTION("""COMPUTED_VALUE"""),0.3397106481497758)</f>
        <v>0.3397106481</v>
      </c>
      <c r="D14224" s="4">
        <f>IFERROR(__xludf.DUMMYFUNCTION("""COMPUTED_VALUE"""),13.011075)</f>
        <v>13.011075</v>
      </c>
      <c r="E14224" s="4">
        <f>IFERROR(__xludf.DUMMYFUNCTION("""COMPUTED_VALUE"""),80.224036)</f>
        <v>80.224036</v>
      </c>
      <c r="F14224" s="4">
        <f>IFERROR(__xludf.DUMMYFUNCTION("""COMPUTED_VALUE"""),805.0)</f>
        <v>805</v>
      </c>
      <c r="G14224" s="4">
        <f>IFERROR(__xludf.DUMMYFUNCTION("""COMPUTED_VALUE"""),27.0)</f>
        <v>27</v>
      </c>
      <c r="H14224" s="4"/>
      <c r="I14224" s="4"/>
    </row>
    <row r="14225">
      <c r="A14225" s="4" t="str">
        <f>IFERROR(__xludf.DUMMYFUNCTION("""COMPUTED_VALUE"""),"cas_hmw")</f>
        <v>cas_hmw</v>
      </c>
      <c r="B14225" s="5">
        <f>IFERROR(__xludf.DUMMYFUNCTION("""COMPUTED_VALUE"""),44722.0)</f>
        <v>44722</v>
      </c>
      <c r="C14225" s="6">
        <f>IFERROR(__xludf.DUMMYFUNCTION("""COMPUTED_VALUE"""),0.3398611111115315)</f>
        <v>0.3398611111</v>
      </c>
      <c r="D14225" s="4">
        <f>IFERROR(__xludf.DUMMYFUNCTION("""COMPUTED_VALUE"""),12.9651)</f>
        <v>12.9651</v>
      </c>
      <c r="E14225" s="4">
        <f>IFERROR(__xludf.DUMMYFUNCTION("""COMPUTED_VALUE"""),80.19322)</f>
        <v>80.19322</v>
      </c>
      <c r="F14225" s="4">
        <f>IFERROR(__xludf.DUMMYFUNCTION("""COMPUTED_VALUE"""),2846.0)</f>
        <v>2846</v>
      </c>
      <c r="G14225" s="4">
        <f>IFERROR(__xludf.DUMMYFUNCTION("""COMPUTED_VALUE"""),28.0)</f>
        <v>28</v>
      </c>
      <c r="H14225" s="4"/>
      <c r="I14225" s="4"/>
    </row>
    <row r="14226">
      <c r="A14226" s="4" t="str">
        <f>IFERROR(__xludf.DUMMYFUNCTION("""COMPUTED_VALUE"""),"cas_hmw")</f>
        <v>cas_hmw</v>
      </c>
      <c r="B14226" s="5">
        <f>IFERROR(__xludf.DUMMYFUNCTION("""COMPUTED_VALUE"""),44722.0)</f>
        <v>44722</v>
      </c>
      <c r="C14226" s="6">
        <f>IFERROR(__xludf.DUMMYFUNCTION("""COMPUTED_VALUE"""),0.3400115740732872)</f>
        <v>0.3400115741</v>
      </c>
      <c r="D14226" s="4">
        <f>IFERROR(__xludf.DUMMYFUNCTION("""COMPUTED_VALUE"""),12.964791)</f>
        <v>12.964791</v>
      </c>
      <c r="E14226" s="4">
        <f>IFERROR(__xludf.DUMMYFUNCTION("""COMPUTED_VALUE"""),80.196205)</f>
        <v>80.196205</v>
      </c>
      <c r="F14226" s="4">
        <f>IFERROR(__xludf.DUMMYFUNCTION("""COMPUTED_VALUE"""),2846.0)</f>
        <v>2846</v>
      </c>
      <c r="G14226" s="4">
        <f>IFERROR(__xludf.DUMMYFUNCTION("""COMPUTED_VALUE"""),10.0)</f>
        <v>10</v>
      </c>
      <c r="H14226" s="4"/>
      <c r="I14226" s="4"/>
    </row>
    <row r="14227">
      <c r="A14227" s="4" t="str">
        <f>IFERROR(__xludf.DUMMYFUNCTION("""COMPUTED_VALUE"""),"cas_hmw")</f>
        <v>cas_hmw</v>
      </c>
      <c r="B14227" s="5">
        <f>IFERROR(__xludf.DUMMYFUNCTION("""COMPUTED_VALUE"""),44722.0)</f>
        <v>44722</v>
      </c>
      <c r="C14227" s="6">
        <f>IFERROR(__xludf.DUMMYFUNCTION("""COMPUTED_VALUE"""),0.34053240740831825)</f>
        <v>0.3405324074</v>
      </c>
      <c r="D14227" s="4">
        <f>IFERROR(__xludf.DUMMYFUNCTION("""COMPUTED_VALUE"""),12.965617)</f>
        <v>12.965617</v>
      </c>
      <c r="E14227" s="4">
        <f>IFERROR(__xludf.DUMMYFUNCTION("""COMPUTED_VALUE"""),80.190315)</f>
        <v>80.190315</v>
      </c>
      <c r="F14227" s="4">
        <f>IFERROR(__xludf.DUMMYFUNCTION("""COMPUTED_VALUE"""),2846.0)</f>
        <v>2846</v>
      </c>
      <c r="G14227" s="4">
        <f>IFERROR(__xludf.DUMMYFUNCTION("""COMPUTED_VALUE"""),19.0)</f>
        <v>19</v>
      </c>
      <c r="H14227" s="4"/>
      <c r="I14227" s="4"/>
    </row>
    <row r="14228">
      <c r="A14228" s="4" t="str">
        <f>IFERROR(__xludf.DUMMYFUNCTION("""COMPUTED_VALUE"""),"cas_hmw")</f>
        <v>cas_hmw</v>
      </c>
      <c r="B14228" s="5">
        <f>IFERROR(__xludf.DUMMYFUNCTION("""COMPUTED_VALUE"""),44722.0)</f>
        <v>44722</v>
      </c>
      <c r="C14228" s="6">
        <f>IFERROR(__xludf.DUMMYFUNCTION("""COMPUTED_VALUE"""),0.34086805555489263)</f>
        <v>0.3408680556</v>
      </c>
      <c r="D14228" s="4">
        <f>IFERROR(__xludf.DUMMYFUNCTION("""COMPUTED_VALUE"""),13.010121)</f>
        <v>13.010121</v>
      </c>
      <c r="E14228" s="4">
        <f>IFERROR(__xludf.DUMMYFUNCTION("""COMPUTED_VALUE"""),80.215316)</f>
        <v>80.215316</v>
      </c>
      <c r="F14228" s="4">
        <f>IFERROR(__xludf.DUMMYFUNCTION("""COMPUTED_VALUE"""),805.0)</f>
        <v>805</v>
      </c>
      <c r="G14228" s="4">
        <f>IFERROR(__xludf.DUMMYFUNCTION("""COMPUTED_VALUE"""),45.0)</f>
        <v>45</v>
      </c>
      <c r="H14228" s="4"/>
      <c r="I14228" s="4"/>
    </row>
    <row r="14229">
      <c r="A14229" s="4" t="str">
        <f>IFERROR(__xludf.DUMMYFUNCTION("""COMPUTED_VALUE"""),"cas_hmw")</f>
        <v>cas_hmw</v>
      </c>
      <c r="B14229" s="5">
        <f>IFERROR(__xludf.DUMMYFUNCTION("""COMPUTED_VALUE"""),44722.0)</f>
        <v>44722</v>
      </c>
      <c r="C14229" s="6">
        <f>IFERROR(__xludf.DUMMYFUNCTION("""COMPUTED_VALUE"""),0.3410185185202863)</f>
        <v>0.3410185185</v>
      </c>
      <c r="D14229" s="4">
        <f>IFERROR(__xludf.DUMMYFUNCTION("""COMPUTED_VALUE"""),13.011858)</f>
        <v>13.011858</v>
      </c>
      <c r="E14229" s="4">
        <f>IFERROR(__xludf.DUMMYFUNCTION("""COMPUTED_VALUE"""),80.219957)</f>
        <v>80.219957</v>
      </c>
      <c r="F14229" s="4">
        <f>IFERROR(__xludf.DUMMYFUNCTION("""COMPUTED_VALUE"""),805.0)</f>
        <v>805</v>
      </c>
      <c r="G14229" s="4">
        <f>IFERROR(__xludf.DUMMYFUNCTION("""COMPUTED_VALUE"""),37.0)</f>
        <v>37</v>
      </c>
      <c r="H14229" s="4"/>
      <c r="I14229" s="4"/>
    </row>
    <row r="14230">
      <c r="A14230" s="4" t="str">
        <f>IFERROR(__xludf.DUMMYFUNCTION("""COMPUTED_VALUE"""),"cas_hmw")</f>
        <v>cas_hmw</v>
      </c>
      <c r="B14230" s="5">
        <f>IFERROR(__xludf.DUMMYFUNCTION("""COMPUTED_VALUE"""),44722.0)</f>
        <v>44722</v>
      </c>
      <c r="C14230" s="6">
        <f>IFERROR(__xludf.DUMMYFUNCTION("""COMPUTED_VALUE"""),0.34155092592482106)</f>
        <v>0.3415509259</v>
      </c>
      <c r="D14230" s="4">
        <f>IFERROR(__xludf.DUMMYFUNCTION("""COMPUTED_VALUE"""),13.009462)</f>
        <v>13.009462</v>
      </c>
      <c r="E14230" s="4">
        <f>IFERROR(__xludf.DUMMYFUNCTION("""COMPUTED_VALUE"""),80.213116)</f>
        <v>80.213116</v>
      </c>
      <c r="F14230" s="4">
        <f>IFERROR(__xludf.DUMMYFUNCTION("""COMPUTED_VALUE"""),805.0)</f>
        <v>805</v>
      </c>
      <c r="G14230" s="4">
        <f>IFERROR(__xludf.DUMMYFUNCTION("""COMPUTED_VALUE"""),46.0)</f>
        <v>46</v>
      </c>
      <c r="H14230" s="4"/>
      <c r="I14230" s="4"/>
    </row>
    <row r="14231">
      <c r="A14231" s="4" t="str">
        <f>IFERROR(__xludf.DUMMYFUNCTION("""COMPUTED_VALUE"""),"cas_hmw")</f>
        <v>cas_hmw</v>
      </c>
      <c r="B14231" s="5">
        <f>IFERROR(__xludf.DUMMYFUNCTION("""COMPUTED_VALUE"""),44722.0)</f>
        <v>44722</v>
      </c>
      <c r="C14231" s="6">
        <f>IFERROR(__xludf.DUMMYFUNCTION("""COMPUTED_VALUE"""),0.34159722222102573)</f>
        <v>0.3415972222</v>
      </c>
      <c r="D14231" s="4">
        <f>IFERROR(__xludf.DUMMYFUNCTION("""COMPUTED_VALUE"""),12.965755)</f>
        <v>12.965755</v>
      </c>
      <c r="E14231" s="4">
        <f>IFERROR(__xludf.DUMMYFUNCTION("""COMPUTED_VALUE"""),80.189619)</f>
        <v>80.189619</v>
      </c>
      <c r="F14231" s="4">
        <f>IFERROR(__xludf.DUMMYFUNCTION("""COMPUTED_VALUE"""),2846.0)</f>
        <v>2846</v>
      </c>
      <c r="G14231" s="4">
        <f>IFERROR(__xludf.DUMMYFUNCTION("""COMPUTED_VALUE"""),29.0)</f>
        <v>29</v>
      </c>
      <c r="H14231" s="4"/>
      <c r="I14231" s="4"/>
    </row>
    <row r="14232">
      <c r="A14232" s="4" t="str">
        <f>IFERROR(__xludf.DUMMYFUNCTION("""COMPUTED_VALUE"""),"cas_hmw")</f>
        <v>cas_hmw</v>
      </c>
      <c r="B14232" s="5">
        <f>IFERROR(__xludf.DUMMYFUNCTION("""COMPUTED_VALUE"""),44722.0)</f>
        <v>44722</v>
      </c>
      <c r="C14232" s="6">
        <f>IFERROR(__xludf.DUMMYFUNCTION("""COMPUTED_VALUE"""),0.34282407407226856)</f>
        <v>0.3428240741</v>
      </c>
      <c r="D14232" s="4">
        <f>IFERROR(__xludf.DUMMYFUNCTION("""COMPUTED_VALUE"""),12.961037)</f>
        <v>12.961037</v>
      </c>
      <c r="E14232" s="4">
        <f>IFERROR(__xludf.DUMMYFUNCTION("""COMPUTED_VALUE"""),80.187247)</f>
        <v>80.187247</v>
      </c>
      <c r="F14232" s="4">
        <f>IFERROR(__xludf.DUMMYFUNCTION("""COMPUTED_VALUE"""),2846.0)</f>
        <v>2846</v>
      </c>
      <c r="G14232" s="4">
        <f>IFERROR(__xludf.DUMMYFUNCTION("""COMPUTED_VALUE"""),23.0)</f>
        <v>23</v>
      </c>
      <c r="H14232" s="4"/>
      <c r="I14232" s="4"/>
    </row>
    <row r="14233">
      <c r="A14233" s="4" t="str">
        <f>IFERROR(__xludf.DUMMYFUNCTION("""COMPUTED_VALUE"""),"cas_hmw")</f>
        <v>cas_hmw</v>
      </c>
      <c r="B14233" s="5">
        <f>IFERROR(__xludf.DUMMYFUNCTION("""COMPUTED_VALUE"""),44722.0)</f>
        <v>44722</v>
      </c>
      <c r="C14233" s="6">
        <f>IFERROR(__xludf.DUMMYFUNCTION("""COMPUTED_VALUE"""),0.34289351851839456)</f>
        <v>0.3428935185</v>
      </c>
      <c r="D14233" s="4">
        <f>IFERROR(__xludf.DUMMYFUNCTION("""COMPUTED_VALUE"""),13.00399)</f>
        <v>13.00399</v>
      </c>
      <c r="E14233" s="4">
        <f>IFERROR(__xludf.DUMMYFUNCTION("""COMPUTED_VALUE"""),80.201201)</f>
        <v>80.201201</v>
      </c>
      <c r="F14233" s="4">
        <f>IFERROR(__xludf.DUMMYFUNCTION("""COMPUTED_VALUE"""),805.0)</f>
        <v>805</v>
      </c>
      <c r="G14233" s="4">
        <f>IFERROR(__xludf.DUMMYFUNCTION("""COMPUTED_VALUE"""),5.0)</f>
        <v>5</v>
      </c>
      <c r="H14233" s="4"/>
      <c r="I14233" s="4"/>
    </row>
    <row r="14234">
      <c r="A14234" s="4" t="str">
        <f>IFERROR(__xludf.DUMMYFUNCTION("""COMPUTED_VALUE"""),"cas_hmw")</f>
        <v>cas_hmw</v>
      </c>
      <c r="B14234" s="5">
        <f>IFERROR(__xludf.DUMMYFUNCTION("""COMPUTED_VALUE"""),44722.0)</f>
        <v>44722</v>
      </c>
      <c r="C14234" s="6">
        <f>IFERROR(__xludf.DUMMYFUNCTION("""COMPUTED_VALUE"""),0.34318287036876427)</f>
        <v>0.3431828704</v>
      </c>
      <c r="D14234" s="4">
        <f>IFERROR(__xludf.DUMMYFUNCTION("""COMPUTED_VALUE"""),13.003499)</f>
        <v>13.003499</v>
      </c>
      <c r="E14234" s="4">
        <f>IFERROR(__xludf.DUMMYFUNCTION("""COMPUTED_VALUE"""),80.201029)</f>
        <v>80.201029</v>
      </c>
      <c r="F14234" s="4">
        <f>IFERROR(__xludf.DUMMYFUNCTION("""COMPUTED_VALUE"""),805.0)</f>
        <v>805</v>
      </c>
      <c r="G14234" s="4">
        <f>IFERROR(__xludf.DUMMYFUNCTION("""COMPUTED_VALUE"""),29.0)</f>
        <v>29</v>
      </c>
      <c r="H14234" s="4"/>
      <c r="I14234" s="4"/>
    </row>
    <row r="14235">
      <c r="A14235" s="4" t="str">
        <f>IFERROR(__xludf.DUMMYFUNCTION("""COMPUTED_VALUE"""),"cas_hmw")</f>
        <v>cas_hmw</v>
      </c>
      <c r="B14235" s="5">
        <f>IFERROR(__xludf.DUMMYFUNCTION("""COMPUTED_VALUE"""),44722.0)</f>
        <v>44722</v>
      </c>
      <c r="C14235" s="6">
        <f>IFERROR(__xludf.DUMMYFUNCTION("""COMPUTED_VALUE"""),0.34325231481489027)</f>
        <v>0.3432523148</v>
      </c>
      <c r="D14235" s="4">
        <f>IFERROR(__xludf.DUMMYFUNCTION("""COMPUTED_VALUE"""),13.005402)</f>
        <v>13.005402</v>
      </c>
      <c r="E14235" s="4">
        <f>IFERROR(__xludf.DUMMYFUNCTION("""COMPUTED_VALUE"""),80.201872)</f>
        <v>80.201872</v>
      </c>
      <c r="F14235" s="4">
        <f>IFERROR(__xludf.DUMMYFUNCTION("""COMPUTED_VALUE"""),805.0)</f>
        <v>805</v>
      </c>
      <c r="G14235" s="4">
        <f>IFERROR(__xludf.DUMMYFUNCTION("""COMPUTED_VALUE"""),46.0)</f>
        <v>46</v>
      </c>
      <c r="H14235" s="4"/>
      <c r="I14235" s="4"/>
    </row>
    <row r="14236">
      <c r="A14236" s="4" t="str">
        <f>IFERROR(__xludf.DUMMYFUNCTION("""COMPUTED_VALUE"""),"cas_hmw")</f>
        <v>cas_hmw</v>
      </c>
      <c r="B14236" s="5">
        <f>IFERROR(__xludf.DUMMYFUNCTION("""COMPUTED_VALUE"""),44722.0)</f>
        <v>44722</v>
      </c>
      <c r="C14236" s="6">
        <f>IFERROR(__xludf.DUMMYFUNCTION("""COMPUTED_VALUE"""),0.34543981481328956)</f>
        <v>0.3454398148</v>
      </c>
      <c r="D14236" s="4">
        <f>IFERROR(__xludf.DUMMYFUNCTION("""COMPUTED_VALUE"""),12.998823)</f>
        <v>12.998823</v>
      </c>
      <c r="E14236" s="4">
        <f>IFERROR(__xludf.DUMMYFUNCTION("""COMPUTED_VALUE"""),80.19271)</f>
        <v>80.19271</v>
      </c>
      <c r="F14236" s="4">
        <f>IFERROR(__xludf.DUMMYFUNCTION("""COMPUTED_VALUE"""),805.0)</f>
        <v>805</v>
      </c>
      <c r="G14236" s="4">
        <f>IFERROR(__xludf.DUMMYFUNCTION("""COMPUTED_VALUE"""),57.0)</f>
        <v>57</v>
      </c>
      <c r="H14236" s="4"/>
      <c r="I14236" s="4"/>
    </row>
    <row r="14237">
      <c r="A14237" s="4" t="str">
        <f>IFERROR(__xludf.DUMMYFUNCTION("""COMPUTED_VALUE"""),"cas_hmw")</f>
        <v>cas_hmw</v>
      </c>
      <c r="B14237" s="5">
        <f>IFERROR(__xludf.DUMMYFUNCTION("""COMPUTED_VALUE"""),44722.0)</f>
        <v>44722</v>
      </c>
      <c r="C14237" s="6">
        <f>IFERROR(__xludf.DUMMYFUNCTION("""COMPUTED_VALUE"""),0.3476620370383898)</f>
        <v>0.347662037</v>
      </c>
      <c r="D14237" s="4">
        <f>IFERROR(__xludf.DUMMYFUNCTION("""COMPUTED_VALUE"""),12.951959)</f>
        <v>12.951959</v>
      </c>
      <c r="E14237" s="4">
        <f>IFERROR(__xludf.DUMMYFUNCTION("""COMPUTED_VALUE"""),80.186257)</f>
        <v>80.186257</v>
      </c>
      <c r="F14237" s="4">
        <f>IFERROR(__xludf.DUMMYFUNCTION("""COMPUTED_VALUE"""),2846.0)</f>
        <v>2846</v>
      </c>
      <c r="G14237" s="4">
        <f>IFERROR(__xludf.DUMMYFUNCTION("""COMPUTED_VALUE"""),33.0)</f>
        <v>33</v>
      </c>
      <c r="H14237" s="4"/>
      <c r="I14237" s="4"/>
    </row>
    <row r="14238">
      <c r="A14238" s="4" t="str">
        <f>IFERROR(__xludf.DUMMYFUNCTION("""COMPUTED_VALUE"""),"cas_hmw")</f>
        <v>cas_hmw</v>
      </c>
      <c r="B14238" s="5">
        <f>IFERROR(__xludf.DUMMYFUNCTION("""COMPUTED_VALUE"""),44722.0)</f>
        <v>44722</v>
      </c>
      <c r="C14238" s="6">
        <f>IFERROR(__xludf.DUMMYFUNCTION("""COMPUTED_VALUE"""),0.3496990740750334)</f>
        <v>0.3496990741</v>
      </c>
      <c r="D14238" s="4">
        <f>IFERROR(__xludf.DUMMYFUNCTION("""COMPUTED_VALUE"""),12.980964)</f>
        <v>12.980964</v>
      </c>
      <c r="E14238" s="4">
        <f>IFERROR(__xludf.DUMMYFUNCTION("""COMPUTED_VALUE"""),80.165958)</f>
        <v>80.165958</v>
      </c>
      <c r="F14238" s="4">
        <f>IFERROR(__xludf.DUMMYFUNCTION("""COMPUTED_VALUE"""),805.0)</f>
        <v>805</v>
      </c>
      <c r="G14238" s="4">
        <f>IFERROR(__xludf.DUMMYFUNCTION("""COMPUTED_VALUE"""),46.0)</f>
        <v>46</v>
      </c>
      <c r="H14238" s="4"/>
      <c r="I14238" s="4"/>
    </row>
    <row r="14239">
      <c r="A14239" s="4" t="str">
        <f>IFERROR(__xludf.DUMMYFUNCTION("""COMPUTED_VALUE"""),"cas_hmw")</f>
        <v>cas_hmw</v>
      </c>
      <c r="B14239" s="5">
        <f>IFERROR(__xludf.DUMMYFUNCTION("""COMPUTED_VALUE"""),44722.0)</f>
        <v>44722</v>
      </c>
      <c r="C14239" s="6">
        <f>IFERROR(__xludf.DUMMYFUNCTION("""COMPUTED_VALUE"""),0.3497106481481751)</f>
        <v>0.3497106481</v>
      </c>
      <c r="D14239" s="4">
        <f>IFERROR(__xludf.DUMMYFUNCTION("""COMPUTED_VALUE"""),12.980964)</f>
        <v>12.980964</v>
      </c>
      <c r="E14239" s="4">
        <f>IFERROR(__xludf.DUMMYFUNCTION("""COMPUTED_VALUE"""),80.165958)</f>
        <v>80.165958</v>
      </c>
      <c r="F14239" s="4">
        <f>IFERROR(__xludf.DUMMYFUNCTION("""COMPUTED_VALUE"""),805.0)</f>
        <v>805</v>
      </c>
      <c r="G14239" s="4">
        <f>IFERROR(__xludf.DUMMYFUNCTION("""COMPUTED_VALUE"""),46.0)</f>
        <v>46</v>
      </c>
      <c r="H14239" s="4"/>
      <c r="I14239" s="4"/>
    </row>
    <row r="14240">
      <c r="A14240" s="4" t="str">
        <f>IFERROR(__xludf.DUMMYFUNCTION("""COMPUTED_VALUE"""),"cas_hmw")</f>
        <v>cas_hmw</v>
      </c>
      <c r="B14240" s="5">
        <f>IFERROR(__xludf.DUMMYFUNCTION("""COMPUTED_VALUE"""),44722.0)</f>
        <v>44722</v>
      </c>
      <c r="C14240" s="6">
        <f>IFERROR(__xludf.DUMMYFUNCTION("""COMPUTED_VALUE"""),0.35012731481401715)</f>
        <v>0.3501273148</v>
      </c>
      <c r="D14240" s="4">
        <f>IFERROR(__xludf.DUMMYFUNCTION("""COMPUTED_VALUE"""),12.945427)</f>
        <v>12.945427</v>
      </c>
      <c r="E14240" s="4">
        <f>IFERROR(__xludf.DUMMYFUNCTION("""COMPUTED_VALUE"""),80.183226)</f>
        <v>80.183226</v>
      </c>
      <c r="F14240" s="4">
        <f>IFERROR(__xludf.DUMMYFUNCTION("""COMPUTED_VALUE"""),2846.0)</f>
        <v>2846</v>
      </c>
      <c r="G14240" s="4">
        <f>IFERROR(__xludf.DUMMYFUNCTION("""COMPUTED_VALUE"""),0.0)</f>
        <v>0</v>
      </c>
      <c r="H14240" s="4"/>
      <c r="I14240" s="4"/>
    </row>
    <row r="14241">
      <c r="A14241" s="4" t="str">
        <f>IFERROR(__xludf.DUMMYFUNCTION("""COMPUTED_VALUE"""),"cas_hmw")</f>
        <v>cas_hmw</v>
      </c>
      <c r="B14241" s="5">
        <f>IFERROR(__xludf.DUMMYFUNCTION("""COMPUTED_VALUE"""),44722.0)</f>
        <v>44722</v>
      </c>
      <c r="C14241" s="6">
        <f>IFERROR(__xludf.DUMMYFUNCTION("""COMPUTED_VALUE"""),0.3502199074064265)</f>
        <v>0.3502199074</v>
      </c>
      <c r="D14241" s="4">
        <f>IFERROR(__xludf.DUMMYFUNCTION("""COMPUTED_VALUE"""),12.945427)</f>
        <v>12.945427</v>
      </c>
      <c r="E14241" s="4">
        <f>IFERROR(__xludf.DUMMYFUNCTION("""COMPUTED_VALUE"""),80.183226)</f>
        <v>80.183226</v>
      </c>
      <c r="F14241" s="4">
        <f>IFERROR(__xludf.DUMMYFUNCTION("""COMPUTED_VALUE"""),2846.0)</f>
        <v>2846</v>
      </c>
      <c r="G14241" s="4">
        <f>IFERROR(__xludf.DUMMYFUNCTION("""COMPUTED_VALUE"""),0.0)</f>
        <v>0</v>
      </c>
      <c r="H14241" s="4"/>
      <c r="I14241" s="4"/>
    </row>
    <row r="14242">
      <c r="A14242" s="4" t="str">
        <f>IFERROR(__xludf.DUMMYFUNCTION("""COMPUTED_VALUE"""),"cas_hmw")</f>
        <v>cas_hmw</v>
      </c>
      <c r="B14242" s="5">
        <f>IFERROR(__xludf.DUMMYFUNCTION("""COMPUTED_VALUE"""),44722.0)</f>
        <v>44722</v>
      </c>
      <c r="C14242" s="6">
        <f>IFERROR(__xludf.DUMMYFUNCTION("""COMPUTED_VALUE"""),0.3503240740756155)</f>
        <v>0.3503240741</v>
      </c>
      <c r="D14242" s="4">
        <f>IFERROR(__xludf.DUMMYFUNCTION("""COMPUTED_VALUE"""),12.945427)</f>
        <v>12.945427</v>
      </c>
      <c r="E14242" s="4">
        <f>IFERROR(__xludf.DUMMYFUNCTION("""COMPUTED_VALUE"""),80.183226)</f>
        <v>80.183226</v>
      </c>
      <c r="F14242" s="4">
        <f>IFERROR(__xludf.DUMMYFUNCTION("""COMPUTED_VALUE"""),2846.0)</f>
        <v>2846</v>
      </c>
      <c r="G14242" s="4">
        <f>IFERROR(__xludf.DUMMYFUNCTION("""COMPUTED_VALUE"""),0.0)</f>
        <v>0</v>
      </c>
      <c r="H14242" s="4"/>
      <c r="I14242" s="4"/>
    </row>
    <row r="14243">
      <c r="A14243" s="4" t="str">
        <f>IFERROR(__xludf.DUMMYFUNCTION("""COMPUTED_VALUE"""),"cas_hmw")</f>
        <v>cas_hmw</v>
      </c>
      <c r="B14243" s="5">
        <f>IFERROR(__xludf.DUMMYFUNCTION("""COMPUTED_VALUE"""),44722.0)</f>
        <v>44722</v>
      </c>
      <c r="C14243" s="6">
        <f>IFERROR(__xludf.DUMMYFUNCTION("""COMPUTED_VALUE"""),0.3503587962950405)</f>
        <v>0.3503587963</v>
      </c>
      <c r="D14243" s="4">
        <f>IFERROR(__xludf.DUMMYFUNCTION("""COMPUTED_VALUE"""),12.945427)</f>
        <v>12.945427</v>
      </c>
      <c r="E14243" s="4">
        <f>IFERROR(__xludf.DUMMYFUNCTION("""COMPUTED_VALUE"""),80.183226)</f>
        <v>80.183226</v>
      </c>
      <c r="F14243" s="4">
        <f>IFERROR(__xludf.DUMMYFUNCTION("""COMPUTED_VALUE"""),2846.0)</f>
        <v>2846</v>
      </c>
      <c r="G14243" s="4">
        <f>IFERROR(__xludf.DUMMYFUNCTION("""COMPUTED_VALUE"""),0.0)</f>
        <v>0</v>
      </c>
      <c r="H14243" s="4"/>
      <c r="I14243" s="4"/>
    </row>
    <row r="14244">
      <c r="A14244" s="4" t="str">
        <f>IFERROR(__xludf.DUMMYFUNCTION("""COMPUTED_VALUE"""),"cas_hmw")</f>
        <v>cas_hmw</v>
      </c>
      <c r="B14244" s="5">
        <f>IFERROR(__xludf.DUMMYFUNCTION("""COMPUTED_VALUE"""),44722.0)</f>
        <v>44722</v>
      </c>
      <c r="C14244" s="6">
        <f>IFERROR(__xludf.DUMMYFUNCTION("""COMPUTED_VALUE"""),0.3503703703718202)</f>
        <v>0.3503703704</v>
      </c>
      <c r="D14244" s="4">
        <f>IFERROR(__xludf.DUMMYFUNCTION("""COMPUTED_VALUE"""),12.945427)</f>
        <v>12.945427</v>
      </c>
      <c r="E14244" s="4">
        <f>IFERROR(__xludf.DUMMYFUNCTION("""COMPUTED_VALUE"""),80.183226)</f>
        <v>80.183226</v>
      </c>
      <c r="F14244" s="4">
        <f>IFERROR(__xludf.DUMMYFUNCTION("""COMPUTED_VALUE"""),2846.0)</f>
        <v>2846</v>
      </c>
      <c r="G14244" s="4">
        <f>IFERROR(__xludf.DUMMYFUNCTION("""COMPUTED_VALUE"""),0.0)</f>
        <v>0</v>
      </c>
      <c r="H14244" s="4"/>
      <c r="I14244" s="4"/>
    </row>
    <row r="14245">
      <c r="A14245" s="4" t="str">
        <f>IFERROR(__xludf.DUMMYFUNCTION("""COMPUTED_VALUE"""),"cas_hmw")</f>
        <v>cas_hmw</v>
      </c>
      <c r="B14245" s="5">
        <f>IFERROR(__xludf.DUMMYFUNCTION("""COMPUTED_VALUE"""),44722.0)</f>
        <v>44722</v>
      </c>
      <c r="C14245" s="6">
        <f>IFERROR(__xludf.DUMMYFUNCTION("""COMPUTED_VALUE"""),0.351423611111386)</f>
        <v>0.3514236111</v>
      </c>
      <c r="D14245" s="4">
        <f>IFERROR(__xludf.DUMMYFUNCTION("""COMPUTED_VALUE"""),12.945335)</f>
        <v>12.945335</v>
      </c>
      <c r="E14245" s="4">
        <f>IFERROR(__xludf.DUMMYFUNCTION("""COMPUTED_VALUE"""),80.183213)</f>
        <v>80.183213</v>
      </c>
      <c r="F14245" s="4">
        <f>IFERROR(__xludf.DUMMYFUNCTION("""COMPUTED_VALUE"""),2846.0)</f>
        <v>2846</v>
      </c>
      <c r="G14245" s="4">
        <f>IFERROR(__xludf.DUMMYFUNCTION("""COMPUTED_VALUE"""),4.0)</f>
        <v>4</v>
      </c>
      <c r="H14245" s="4"/>
      <c r="I14245" s="4"/>
    </row>
    <row r="14246">
      <c r="A14246" s="4" t="str">
        <f>IFERROR(__xludf.DUMMYFUNCTION("""COMPUTED_VALUE"""),"cas_hmw")</f>
        <v>cas_hmw</v>
      </c>
      <c r="B14246" s="5">
        <f>IFERROR(__xludf.DUMMYFUNCTION("""COMPUTED_VALUE"""),44722.0)</f>
        <v>44722</v>
      </c>
      <c r="C14246" s="6">
        <f>IFERROR(__xludf.DUMMYFUNCTION("""COMPUTED_VALUE"""),0.3542592592602887)</f>
        <v>0.3542592593</v>
      </c>
      <c r="D14246" s="4">
        <f>IFERROR(__xludf.DUMMYFUNCTION("""COMPUTED_VALUE"""),12.936788)</f>
        <v>12.936788</v>
      </c>
      <c r="E14246" s="4">
        <f>IFERROR(__xludf.DUMMYFUNCTION("""COMPUTED_VALUE"""),80.1823)</f>
        <v>80.1823</v>
      </c>
      <c r="F14246" s="4">
        <f>IFERROR(__xludf.DUMMYFUNCTION("""COMPUTED_VALUE"""),2846.0)</f>
        <v>2846</v>
      </c>
      <c r="G14246" s="4">
        <f>IFERROR(__xludf.DUMMYFUNCTION("""COMPUTED_VALUE"""),19.0)</f>
        <v>19</v>
      </c>
      <c r="H14246" s="4"/>
      <c r="I14246" s="4"/>
    </row>
    <row r="14247">
      <c r="A14247" s="4" t="str">
        <f>IFERROR(__xludf.DUMMYFUNCTION("""COMPUTED_VALUE"""),"cas_hmw")</f>
        <v>cas_hmw</v>
      </c>
      <c r="B14247" s="5">
        <f>IFERROR(__xludf.DUMMYFUNCTION("""COMPUTED_VALUE"""),44722.0)</f>
        <v>44722</v>
      </c>
      <c r="C14247" s="6">
        <f>IFERROR(__xludf.DUMMYFUNCTION("""COMPUTED_VALUE"""),0.35758101851752144)</f>
        <v>0.3575810185</v>
      </c>
      <c r="D14247" s="4">
        <f>IFERROR(__xludf.DUMMYFUNCTION("""COMPUTED_VALUE"""),12.926964)</f>
        <v>12.926964</v>
      </c>
      <c r="E14247" s="4">
        <f>IFERROR(__xludf.DUMMYFUNCTION("""COMPUTED_VALUE"""),80.182429)</f>
        <v>80.182429</v>
      </c>
      <c r="F14247" s="4">
        <f>IFERROR(__xludf.DUMMYFUNCTION("""COMPUTED_VALUE"""),2846.0)</f>
        <v>2846</v>
      </c>
      <c r="G14247" s="4">
        <f>IFERROR(__xludf.DUMMYFUNCTION("""COMPUTED_VALUE"""),18.0)</f>
        <v>18</v>
      </c>
      <c r="H14247" s="4"/>
      <c r="I14247" s="4"/>
    </row>
    <row r="14248">
      <c r="A14248" s="4" t="str">
        <f>IFERROR(__xludf.DUMMYFUNCTION("""COMPUTED_VALUE"""),"cas_hmw")</f>
        <v>cas_hmw</v>
      </c>
      <c r="B14248" s="5">
        <f>IFERROR(__xludf.DUMMYFUNCTION("""COMPUTED_VALUE"""),44722.0)</f>
        <v>44722</v>
      </c>
      <c r="C14248" s="6">
        <f>IFERROR(__xludf.DUMMYFUNCTION("""COMPUTED_VALUE"""),0.35761574074058444)</f>
        <v>0.3576157407</v>
      </c>
      <c r="D14248" s="4">
        <f>IFERROR(__xludf.DUMMYFUNCTION("""COMPUTED_VALUE"""),12.926357)</f>
        <v>12.926357</v>
      </c>
      <c r="E14248" s="4">
        <f>IFERROR(__xludf.DUMMYFUNCTION("""COMPUTED_VALUE"""),80.182538)</f>
        <v>80.182538</v>
      </c>
      <c r="F14248" s="4">
        <f>IFERROR(__xludf.DUMMYFUNCTION("""COMPUTED_VALUE"""),2846.0)</f>
        <v>2846</v>
      </c>
      <c r="G14248" s="4">
        <f>IFERROR(__xludf.DUMMYFUNCTION("""COMPUTED_VALUE"""),30.0)</f>
        <v>30</v>
      </c>
      <c r="H14248" s="4"/>
      <c r="I14248" s="4"/>
    </row>
    <row r="14249">
      <c r="A14249" s="4" t="str">
        <f>IFERROR(__xludf.DUMMYFUNCTION("""COMPUTED_VALUE"""),"cas_hmw")</f>
        <v>cas_hmw</v>
      </c>
      <c r="B14249" s="5">
        <f>IFERROR(__xludf.DUMMYFUNCTION("""COMPUTED_VALUE"""),44722.0)</f>
        <v>44722</v>
      </c>
      <c r="C14249" s="6">
        <f>IFERROR(__xludf.DUMMYFUNCTION("""COMPUTED_VALUE"""),0.35797453703708015)</f>
        <v>0.357974537</v>
      </c>
      <c r="D14249" s="4">
        <f>IFERROR(__xludf.DUMMYFUNCTION("""COMPUTED_VALUE"""),12.924298)</f>
        <v>12.924298</v>
      </c>
      <c r="E14249" s="4">
        <f>IFERROR(__xludf.DUMMYFUNCTION("""COMPUTED_VALUE"""),80.182864)</f>
        <v>80.182864</v>
      </c>
      <c r="F14249" s="4">
        <f>IFERROR(__xludf.DUMMYFUNCTION("""COMPUTED_VALUE"""),2846.0)</f>
        <v>2846</v>
      </c>
      <c r="G14249" s="4">
        <f>IFERROR(__xludf.DUMMYFUNCTION("""COMPUTED_VALUE"""),20.0)</f>
        <v>20</v>
      </c>
      <c r="H14249" s="4"/>
      <c r="I14249" s="4"/>
    </row>
    <row r="14250">
      <c r="A14250" s="4" t="str">
        <f>IFERROR(__xludf.DUMMYFUNCTION("""COMPUTED_VALUE"""),"cas_hmw")</f>
        <v>cas_hmw</v>
      </c>
      <c r="B14250" s="5">
        <f>IFERROR(__xludf.DUMMYFUNCTION("""COMPUTED_VALUE"""),44722.0)</f>
        <v>44722</v>
      </c>
      <c r="C14250" s="6">
        <f>IFERROR(__xludf.DUMMYFUNCTION("""COMPUTED_VALUE"""),0.359305555553874)</f>
        <v>0.3593055556</v>
      </c>
      <c r="D14250" s="4">
        <f>IFERROR(__xludf.DUMMYFUNCTION("""COMPUTED_VALUE"""),12.920877)</f>
        <v>12.920877</v>
      </c>
      <c r="E14250" s="4">
        <f>IFERROR(__xludf.DUMMYFUNCTION("""COMPUTED_VALUE"""),80.183887)</f>
        <v>80.183887</v>
      </c>
      <c r="F14250" s="4">
        <f>IFERROR(__xludf.DUMMYFUNCTION("""COMPUTED_VALUE"""),2846.0)</f>
        <v>2846</v>
      </c>
      <c r="G14250" s="4">
        <f>IFERROR(__xludf.DUMMYFUNCTION("""COMPUTED_VALUE"""),17.0)</f>
        <v>17</v>
      </c>
      <c r="H14250" s="4"/>
      <c r="I14250" s="4"/>
    </row>
    <row r="14251">
      <c r="A14251" s="4" t="str">
        <f>IFERROR(__xludf.DUMMYFUNCTION("""COMPUTED_VALUE"""),"cas_hmw")</f>
        <v>cas_hmw</v>
      </c>
      <c r="B14251" s="5">
        <f>IFERROR(__xludf.DUMMYFUNCTION("""COMPUTED_VALUE"""),44722.0)</f>
        <v>44722</v>
      </c>
      <c r="C14251" s="6">
        <f>IFERROR(__xludf.DUMMYFUNCTION("""COMPUTED_VALUE"""),0.36021990740846377)</f>
        <v>0.3602199074</v>
      </c>
      <c r="D14251" s="4">
        <f>IFERROR(__xludf.DUMMYFUNCTION("""COMPUTED_VALUE"""),12.918263)</f>
        <v>12.918263</v>
      </c>
      <c r="E14251" s="4">
        <f>IFERROR(__xludf.DUMMYFUNCTION("""COMPUTED_VALUE"""),80.1773)</f>
        <v>80.1773</v>
      </c>
      <c r="F14251" s="4">
        <f>IFERROR(__xludf.DUMMYFUNCTION("""COMPUTED_VALUE"""),2846.0)</f>
        <v>2846</v>
      </c>
      <c r="G14251" s="4">
        <f>IFERROR(__xludf.DUMMYFUNCTION("""COMPUTED_VALUE"""),38.0)</f>
        <v>38</v>
      </c>
      <c r="H14251" s="4"/>
      <c r="I14251" s="4"/>
    </row>
    <row r="14252">
      <c r="A14252" s="4" t="str">
        <f>IFERROR(__xludf.DUMMYFUNCTION("""COMPUTED_VALUE"""),"cas_hmw")</f>
        <v>cas_hmw</v>
      </c>
      <c r="B14252" s="5">
        <f>IFERROR(__xludf.DUMMYFUNCTION("""COMPUTED_VALUE"""),44722.0)</f>
        <v>44722</v>
      </c>
      <c r="C14252" s="6">
        <f>IFERROR(__xludf.DUMMYFUNCTION("""COMPUTED_VALUE"""),0.692662037035916)</f>
        <v>0.692662037</v>
      </c>
      <c r="D14252" s="4">
        <f>IFERROR(__xludf.DUMMYFUNCTION("""COMPUTED_VALUE"""),12.884488)</f>
        <v>12.884488</v>
      </c>
      <c r="E14252" s="4">
        <f>IFERROR(__xludf.DUMMYFUNCTION("""COMPUTED_VALUE"""),80.081891)</f>
        <v>80.081891</v>
      </c>
      <c r="F14252" s="4">
        <f>IFERROR(__xludf.DUMMYFUNCTION("""COMPUTED_VALUE"""),805.0)</f>
        <v>805</v>
      </c>
      <c r="G14252" s="4">
        <f>IFERROR(__xludf.DUMMYFUNCTION("""COMPUTED_VALUE"""),34.0)</f>
        <v>34</v>
      </c>
      <c r="H14252" s="4"/>
      <c r="I14252" s="4"/>
    </row>
    <row r="14253">
      <c r="A14253" s="4" t="str">
        <f>IFERROR(__xludf.DUMMYFUNCTION("""COMPUTED_VALUE"""),"cas_hmw")</f>
        <v>cas_hmw</v>
      </c>
      <c r="B14253" s="5">
        <f>IFERROR(__xludf.DUMMYFUNCTION("""COMPUTED_VALUE"""),44722.0)</f>
        <v>44722</v>
      </c>
      <c r="C14253" s="6">
        <f>IFERROR(__xludf.DUMMYFUNCTION("""COMPUTED_VALUE"""),0.6933796296289074)</f>
        <v>0.6933796296</v>
      </c>
      <c r="D14253" s="4">
        <f>IFERROR(__xludf.DUMMYFUNCTION("""COMPUTED_VALUE"""),12.891436)</f>
        <v>12.891436</v>
      </c>
      <c r="E14253" s="4">
        <f>IFERROR(__xludf.DUMMYFUNCTION("""COMPUTED_VALUE"""),80.085118)</f>
        <v>80.085118</v>
      </c>
      <c r="F14253" s="4">
        <f>IFERROR(__xludf.DUMMYFUNCTION("""COMPUTED_VALUE"""),805.0)</f>
        <v>805</v>
      </c>
      <c r="G14253" s="4">
        <f>IFERROR(__xludf.DUMMYFUNCTION("""COMPUTED_VALUE"""),58.0)</f>
        <v>58</v>
      </c>
      <c r="H14253" s="4"/>
      <c r="I14253" s="4"/>
    </row>
    <row r="14254">
      <c r="A14254" s="4" t="str">
        <f>IFERROR(__xludf.DUMMYFUNCTION("""COMPUTED_VALUE"""),"cas_hmw")</f>
        <v>cas_hmw</v>
      </c>
      <c r="B14254" s="5">
        <f>IFERROR(__xludf.DUMMYFUNCTION("""COMPUTED_VALUE"""),44722.0)</f>
        <v>44722</v>
      </c>
      <c r="C14254" s="6">
        <f>IFERROR(__xludf.DUMMYFUNCTION("""COMPUTED_VALUE"""),0.6936574074061355)</f>
        <v>0.6936574074</v>
      </c>
      <c r="D14254" s="4">
        <f>IFERROR(__xludf.DUMMYFUNCTION("""COMPUTED_VALUE"""),12.894993)</f>
        <v>12.894993</v>
      </c>
      <c r="E14254" s="4">
        <f>IFERROR(__xludf.DUMMYFUNCTION("""COMPUTED_VALUE"""),80.087588)</f>
        <v>80.087588</v>
      </c>
      <c r="F14254" s="4">
        <f>IFERROR(__xludf.DUMMYFUNCTION("""COMPUTED_VALUE"""),805.0)</f>
        <v>805</v>
      </c>
      <c r="G14254" s="4">
        <f>IFERROR(__xludf.DUMMYFUNCTION("""COMPUTED_VALUE"""),56.0)</f>
        <v>56</v>
      </c>
      <c r="H14254" s="4"/>
      <c r="I14254" s="4"/>
    </row>
    <row r="14255">
      <c r="A14255" s="4" t="str">
        <f>IFERROR(__xludf.DUMMYFUNCTION("""COMPUTED_VALUE"""),"cas_hmw")</f>
        <v>cas_hmw</v>
      </c>
      <c r="B14255" s="5">
        <f>IFERROR(__xludf.DUMMYFUNCTION("""COMPUTED_VALUE"""),44722.0)</f>
        <v>44722</v>
      </c>
      <c r="C14255" s="6">
        <f>IFERROR(__xludf.DUMMYFUNCTION("""COMPUTED_VALUE"""),0.6937268518522615)</f>
        <v>0.6937268519</v>
      </c>
      <c r="D14255" s="4">
        <f>IFERROR(__xludf.DUMMYFUNCTION("""COMPUTED_VALUE"""),12.886721)</f>
        <v>12.886721</v>
      </c>
      <c r="E14255" s="4">
        <f>IFERROR(__xludf.DUMMYFUNCTION("""COMPUTED_VALUE"""),80.083084)</f>
        <v>80.083084</v>
      </c>
      <c r="F14255" s="4">
        <f>IFERROR(__xludf.DUMMYFUNCTION("""COMPUTED_VALUE"""),2846.0)</f>
        <v>2846</v>
      </c>
      <c r="G14255" s="4">
        <f>IFERROR(__xludf.DUMMYFUNCTION("""COMPUTED_VALUE"""),47.0)</f>
        <v>47</v>
      </c>
      <c r="H14255" s="4"/>
      <c r="I14255" s="4"/>
    </row>
    <row r="14256">
      <c r="A14256" s="4" t="str">
        <f>IFERROR(__xludf.DUMMYFUNCTION("""COMPUTED_VALUE"""),"cas_hmw")</f>
        <v>cas_hmw</v>
      </c>
      <c r="B14256" s="5">
        <f>IFERROR(__xludf.DUMMYFUNCTION("""COMPUTED_VALUE"""),44722.0)</f>
        <v>44722</v>
      </c>
      <c r="C14256" s="6">
        <f>IFERROR(__xludf.DUMMYFUNCTION("""COMPUTED_VALUE"""),0.6938310185178125)</f>
        <v>0.6938310185</v>
      </c>
      <c r="D14256" s="4">
        <f>IFERROR(__xludf.DUMMYFUNCTION("""COMPUTED_VALUE"""),12.887834)</f>
        <v>12.887834</v>
      </c>
      <c r="E14256" s="4">
        <f>IFERROR(__xludf.DUMMYFUNCTION("""COMPUTED_VALUE"""),80.08351)</f>
        <v>80.08351</v>
      </c>
      <c r="F14256" s="4">
        <f>IFERROR(__xludf.DUMMYFUNCTION("""COMPUTED_VALUE"""),2846.0)</f>
        <v>2846</v>
      </c>
      <c r="G14256" s="4">
        <f>IFERROR(__xludf.DUMMYFUNCTION("""COMPUTED_VALUE"""),50.0)</f>
        <v>50</v>
      </c>
      <c r="H14256" s="4"/>
      <c r="I14256" s="4"/>
    </row>
    <row r="14257">
      <c r="A14257" s="4" t="str">
        <f>IFERROR(__xludf.DUMMYFUNCTION("""COMPUTED_VALUE"""),"cas_hmw")</f>
        <v>cas_hmw</v>
      </c>
      <c r="B14257" s="5">
        <f>IFERROR(__xludf.DUMMYFUNCTION("""COMPUTED_VALUE"""),44722.0)</f>
        <v>44722</v>
      </c>
      <c r="C14257" s="6">
        <f>IFERROR(__xludf.DUMMYFUNCTION("""COMPUTED_VALUE"""),0.6940509259256942)</f>
        <v>0.6940509259</v>
      </c>
      <c r="D14257" s="4">
        <f>IFERROR(__xludf.DUMMYFUNCTION("""COMPUTED_VALUE"""),12.889868)</f>
        <v>12.889868</v>
      </c>
      <c r="E14257" s="4">
        <f>IFERROR(__xludf.DUMMYFUNCTION("""COMPUTED_VALUE"""),80.084404)</f>
        <v>80.084404</v>
      </c>
      <c r="F14257" s="4">
        <f>IFERROR(__xludf.DUMMYFUNCTION("""COMPUTED_VALUE"""),2846.0)</f>
        <v>2846</v>
      </c>
      <c r="G14257" s="4">
        <f>IFERROR(__xludf.DUMMYFUNCTION("""COMPUTED_VALUE"""),47.0)</f>
        <v>47</v>
      </c>
      <c r="H14257" s="4"/>
      <c r="I14257" s="4"/>
    </row>
    <row r="14258">
      <c r="A14258" s="4" t="str">
        <f>IFERROR(__xludf.DUMMYFUNCTION("""COMPUTED_VALUE"""),"cas_hmw")</f>
        <v>cas_hmw</v>
      </c>
      <c r="B14258" s="5">
        <f>IFERROR(__xludf.DUMMYFUNCTION("""COMPUTED_VALUE"""),44722.0)</f>
        <v>44722</v>
      </c>
      <c r="C14258" s="6">
        <f>IFERROR(__xludf.DUMMYFUNCTION("""COMPUTED_VALUE"""),0.6946412037032133)</f>
        <v>0.6946412037</v>
      </c>
      <c r="D14258" s="4">
        <f>IFERROR(__xludf.DUMMYFUNCTION("""COMPUTED_VALUE"""),12.903788)</f>
        <v>12.903788</v>
      </c>
      <c r="E14258" s="4">
        <f>IFERROR(__xludf.DUMMYFUNCTION("""COMPUTED_VALUE"""),80.09414)</f>
        <v>80.09414</v>
      </c>
      <c r="F14258" s="4">
        <f>IFERROR(__xludf.DUMMYFUNCTION("""COMPUTED_VALUE"""),805.0)</f>
        <v>805</v>
      </c>
      <c r="G14258" s="4">
        <f>IFERROR(__xludf.DUMMYFUNCTION("""COMPUTED_VALUE"""),42.0)</f>
        <v>42</v>
      </c>
      <c r="H14258" s="4"/>
      <c r="I14258" s="4"/>
    </row>
    <row r="14259">
      <c r="A14259" s="4" t="str">
        <f>IFERROR(__xludf.DUMMYFUNCTION("""COMPUTED_VALUE"""),"cas_hmw")</f>
        <v>cas_hmw</v>
      </c>
      <c r="B14259" s="5">
        <f>IFERROR(__xludf.DUMMYFUNCTION("""COMPUTED_VALUE"""),44722.0)</f>
        <v>44722</v>
      </c>
      <c r="C14259" s="6">
        <f>IFERROR(__xludf.DUMMYFUNCTION("""COMPUTED_VALUE"""),0.6947569444455439)</f>
        <v>0.6947569444</v>
      </c>
      <c r="D14259" s="4">
        <f>IFERROR(__xludf.DUMMYFUNCTION("""COMPUTED_VALUE"""),12.904609)</f>
        <v>12.904609</v>
      </c>
      <c r="E14259" s="4">
        <f>IFERROR(__xludf.DUMMYFUNCTION("""COMPUTED_VALUE"""),80.094768)</f>
        <v>80.094768</v>
      </c>
      <c r="F14259" s="4">
        <f>IFERROR(__xludf.DUMMYFUNCTION("""COMPUTED_VALUE"""),805.0)</f>
        <v>805</v>
      </c>
      <c r="G14259" s="4">
        <f>IFERROR(__xludf.DUMMYFUNCTION("""COMPUTED_VALUE"""),34.0)</f>
        <v>34</v>
      </c>
      <c r="H14259" s="4"/>
      <c r="I14259" s="4"/>
    </row>
    <row r="14260">
      <c r="A14260" s="4" t="str">
        <f>IFERROR(__xludf.DUMMYFUNCTION("""COMPUTED_VALUE"""),"cas_hmw")</f>
        <v>cas_hmw</v>
      </c>
      <c r="B14260" s="5">
        <f>IFERROR(__xludf.DUMMYFUNCTION("""COMPUTED_VALUE"""),44722.0)</f>
        <v>44722</v>
      </c>
      <c r="C14260" s="6">
        <f>IFERROR(__xludf.DUMMYFUNCTION("""COMPUTED_VALUE"""),0.6948148148148903)</f>
        <v>0.6948148148</v>
      </c>
      <c r="D14260" s="4">
        <f>IFERROR(__xludf.DUMMYFUNCTION("""COMPUTED_VALUE"""),12.905464)</f>
        <v>12.905464</v>
      </c>
      <c r="E14260" s="4">
        <f>IFERROR(__xludf.DUMMYFUNCTION("""COMPUTED_VALUE"""),80.095445)</f>
        <v>80.095445</v>
      </c>
      <c r="F14260" s="4">
        <f>IFERROR(__xludf.DUMMYFUNCTION("""COMPUTED_VALUE"""),805.0)</f>
        <v>805</v>
      </c>
      <c r="G14260" s="4">
        <f>IFERROR(__xludf.DUMMYFUNCTION("""COMPUTED_VALUE"""),50.0)</f>
        <v>50</v>
      </c>
      <c r="H14260" s="4"/>
      <c r="I14260" s="4"/>
    </row>
    <row r="14261">
      <c r="A14261" s="4" t="str">
        <f>IFERROR(__xludf.DUMMYFUNCTION("""COMPUTED_VALUE"""),"cas_hmw")</f>
        <v>cas_hmw</v>
      </c>
      <c r="B14261" s="5">
        <f>IFERROR(__xludf.DUMMYFUNCTION("""COMPUTED_VALUE"""),44722.0)</f>
        <v>44722</v>
      </c>
      <c r="C14261" s="6">
        <f>IFERROR(__xludf.DUMMYFUNCTION("""COMPUTED_VALUE"""),0.6951273148151813)</f>
        <v>0.6951273148</v>
      </c>
      <c r="D14261" s="4">
        <f>IFERROR(__xludf.DUMMYFUNCTION("""COMPUTED_VALUE"""),12.900317)</f>
        <v>12.900317</v>
      </c>
      <c r="E14261" s="4">
        <f>IFERROR(__xludf.DUMMYFUNCTION("""COMPUTED_VALUE"""),80.091595)</f>
        <v>80.091595</v>
      </c>
      <c r="F14261" s="4">
        <f>IFERROR(__xludf.DUMMYFUNCTION("""COMPUTED_VALUE"""),2846.0)</f>
        <v>2846</v>
      </c>
      <c r="G14261" s="4">
        <f>IFERROR(__xludf.DUMMYFUNCTION("""COMPUTED_VALUE"""),52.0)</f>
        <v>52</v>
      </c>
      <c r="H14261" s="4"/>
      <c r="I14261" s="4"/>
    </row>
    <row r="14262">
      <c r="A14262" s="4" t="str">
        <f>IFERROR(__xludf.DUMMYFUNCTION("""COMPUTED_VALUE"""),"cas_hmw")</f>
        <v>cas_hmw</v>
      </c>
      <c r="B14262" s="5">
        <f>IFERROR(__xludf.DUMMYFUNCTION("""COMPUTED_VALUE"""),44722.0)</f>
        <v>44722</v>
      </c>
      <c r="C14262" s="6">
        <f>IFERROR(__xludf.DUMMYFUNCTION("""COMPUTED_VALUE"""),0.6958564814813144)</f>
        <v>0.6958564815</v>
      </c>
      <c r="D14262" s="4">
        <f>IFERROR(__xludf.DUMMYFUNCTION("""COMPUTED_VALUE"""),12.909412)</f>
        <v>12.909412</v>
      </c>
      <c r="E14262" s="4">
        <f>IFERROR(__xludf.DUMMYFUNCTION("""COMPUTED_VALUE"""),80.099005)</f>
        <v>80.099005</v>
      </c>
      <c r="F14262" s="4">
        <f>IFERROR(__xludf.DUMMYFUNCTION("""COMPUTED_VALUE"""),805.0)</f>
        <v>805</v>
      </c>
      <c r="G14262" s="4">
        <f>IFERROR(__xludf.DUMMYFUNCTION("""COMPUTED_VALUE"""),35.0)</f>
        <v>35</v>
      </c>
      <c r="H14262" s="4"/>
      <c r="I14262" s="4"/>
    </row>
    <row r="14263">
      <c r="A14263" s="4" t="str">
        <f>IFERROR(__xludf.DUMMYFUNCTION("""COMPUTED_VALUE"""),"cas_hmw")</f>
        <v>cas_hmw</v>
      </c>
      <c r="B14263" s="5">
        <f>IFERROR(__xludf.DUMMYFUNCTION("""COMPUTED_VALUE"""),44722.0)</f>
        <v>44722</v>
      </c>
      <c r="C14263" s="6">
        <f>IFERROR(__xludf.DUMMYFUNCTION("""COMPUTED_VALUE"""),0.6958912037043774)</f>
        <v>0.6958912037</v>
      </c>
      <c r="D14263" s="4">
        <f>IFERROR(__xludf.DUMMYFUNCTION("""COMPUTED_VALUE"""),12.909412)</f>
        <v>12.909412</v>
      </c>
      <c r="E14263" s="4">
        <f>IFERROR(__xludf.DUMMYFUNCTION("""COMPUTED_VALUE"""),80.099005)</f>
        <v>80.099005</v>
      </c>
      <c r="F14263" s="4">
        <f>IFERROR(__xludf.DUMMYFUNCTION("""COMPUTED_VALUE"""),805.0)</f>
        <v>805</v>
      </c>
      <c r="G14263" s="4">
        <f>IFERROR(__xludf.DUMMYFUNCTION("""COMPUTED_VALUE"""),35.0)</f>
        <v>35</v>
      </c>
      <c r="H14263" s="4"/>
      <c r="I14263" s="4"/>
    </row>
    <row r="14264">
      <c r="A14264" s="4" t="str">
        <f>IFERROR(__xludf.DUMMYFUNCTION("""COMPUTED_VALUE"""),"cas_hmw")</f>
        <v>cas_hmw</v>
      </c>
      <c r="B14264" s="5">
        <f>IFERROR(__xludf.DUMMYFUNCTION("""COMPUTED_VALUE"""),44722.0)</f>
        <v>44722</v>
      </c>
      <c r="C14264" s="6">
        <f>IFERROR(__xludf.DUMMYFUNCTION("""COMPUTED_VALUE"""),0.6959490740737238)</f>
        <v>0.6959490741</v>
      </c>
      <c r="D14264" s="4">
        <f>IFERROR(__xludf.DUMMYFUNCTION("""COMPUTED_VALUE"""),12.904704)</f>
        <v>12.904704</v>
      </c>
      <c r="E14264" s="4">
        <f>IFERROR(__xludf.DUMMYFUNCTION("""COMPUTED_VALUE"""),80.09501)</f>
        <v>80.09501</v>
      </c>
      <c r="F14264" s="4">
        <f>IFERROR(__xludf.DUMMYFUNCTION("""COMPUTED_VALUE"""),2846.0)</f>
        <v>2846</v>
      </c>
      <c r="G14264" s="4">
        <f>IFERROR(__xludf.DUMMYFUNCTION("""COMPUTED_VALUE"""),27.0)</f>
        <v>27</v>
      </c>
      <c r="H14264" s="4"/>
      <c r="I14264" s="4"/>
    </row>
    <row r="14265">
      <c r="A14265" s="4" t="str">
        <f>IFERROR(__xludf.DUMMYFUNCTION("""COMPUTED_VALUE"""),"cas_hmw")</f>
        <v>cas_hmw</v>
      </c>
      <c r="B14265" s="5">
        <f>IFERROR(__xludf.DUMMYFUNCTION("""COMPUTED_VALUE"""),44722.0)</f>
        <v>44722</v>
      </c>
      <c r="C14265" s="6">
        <f>IFERROR(__xludf.DUMMYFUNCTION("""COMPUTED_VALUE"""),0.6969907407401479)</f>
        <v>0.6969907407</v>
      </c>
      <c r="D14265" s="4">
        <f>IFERROR(__xludf.DUMMYFUNCTION("""COMPUTED_VALUE"""),12.911493)</f>
        <v>12.911493</v>
      </c>
      <c r="E14265" s="4">
        <f>IFERROR(__xludf.DUMMYFUNCTION("""COMPUTED_VALUE"""),80.101256)</f>
        <v>80.101256</v>
      </c>
      <c r="F14265" s="4">
        <f>IFERROR(__xludf.DUMMYFUNCTION("""COMPUTED_VALUE"""),805.0)</f>
        <v>805</v>
      </c>
      <c r="G14265" s="4">
        <f>IFERROR(__xludf.DUMMYFUNCTION("""COMPUTED_VALUE"""),12.0)</f>
        <v>12</v>
      </c>
      <c r="H14265" s="4"/>
      <c r="I14265" s="4"/>
    </row>
    <row r="14266">
      <c r="A14266" s="4" t="str">
        <f>IFERROR(__xludf.DUMMYFUNCTION("""COMPUTED_VALUE"""),"cas_hmw")</f>
        <v>cas_hmw</v>
      </c>
      <c r="B14266" s="5">
        <f>IFERROR(__xludf.DUMMYFUNCTION("""COMPUTED_VALUE"""),44722.0)</f>
        <v>44722</v>
      </c>
      <c r="C14266" s="6">
        <f>IFERROR(__xludf.DUMMYFUNCTION("""COMPUTED_VALUE"""),0.6971064814824786)</f>
        <v>0.6971064815</v>
      </c>
      <c r="D14266" s="4">
        <f>IFERROR(__xludf.DUMMYFUNCTION("""COMPUTED_VALUE"""),12.911996)</f>
        <v>12.911996</v>
      </c>
      <c r="E14266" s="4">
        <f>IFERROR(__xludf.DUMMYFUNCTION("""COMPUTED_VALUE"""),80.101349)</f>
        <v>80.101349</v>
      </c>
      <c r="F14266" s="4">
        <f>IFERROR(__xludf.DUMMYFUNCTION("""COMPUTED_VALUE"""),805.0)</f>
        <v>805</v>
      </c>
      <c r="G14266" s="4">
        <f>IFERROR(__xludf.DUMMYFUNCTION("""COMPUTED_VALUE"""),29.0)</f>
        <v>29</v>
      </c>
      <c r="H14266" s="4"/>
      <c r="I14266" s="4"/>
    </row>
    <row r="14267">
      <c r="A14267" s="4" t="str">
        <f>IFERROR(__xludf.DUMMYFUNCTION("""COMPUTED_VALUE"""),"cas_hmw")</f>
        <v>cas_hmw</v>
      </c>
      <c r="B14267" s="5">
        <f>IFERROR(__xludf.DUMMYFUNCTION("""COMPUTED_VALUE"""),44722.0)</f>
        <v>44722</v>
      </c>
      <c r="C14267" s="6">
        <f>IFERROR(__xludf.DUMMYFUNCTION("""COMPUTED_VALUE"""),0.6973611111097853)</f>
        <v>0.6973611111</v>
      </c>
      <c r="D14267" s="4">
        <f>IFERROR(__xludf.DUMMYFUNCTION("""COMPUTED_VALUE"""),12.915119)</f>
        <v>12.915119</v>
      </c>
      <c r="E14267" s="4">
        <f>IFERROR(__xludf.DUMMYFUNCTION("""COMPUTED_VALUE"""),80.102127)</f>
        <v>80.102127</v>
      </c>
      <c r="F14267" s="4">
        <f>IFERROR(__xludf.DUMMYFUNCTION("""COMPUTED_VALUE"""),805.0)</f>
        <v>805</v>
      </c>
      <c r="G14267" s="4">
        <f>IFERROR(__xludf.DUMMYFUNCTION("""COMPUTED_VALUE"""),56.0)</f>
        <v>56</v>
      </c>
      <c r="H14267" s="4"/>
      <c r="I14267" s="4"/>
    </row>
    <row r="14268">
      <c r="A14268" s="4" t="str">
        <f>IFERROR(__xludf.DUMMYFUNCTION("""COMPUTED_VALUE"""),"cas_hmw")</f>
        <v>cas_hmw</v>
      </c>
      <c r="B14268" s="5">
        <f>IFERROR(__xludf.DUMMYFUNCTION("""COMPUTED_VALUE"""),44722.0)</f>
        <v>44722</v>
      </c>
      <c r="C14268" s="6">
        <f>IFERROR(__xludf.DUMMYFUNCTION("""COMPUTED_VALUE"""),0.6982870370375167)</f>
        <v>0.698287037</v>
      </c>
      <c r="D14268" s="4">
        <f>IFERROR(__xludf.DUMMYFUNCTION("""COMPUTED_VALUE"""),12.917202)</f>
        <v>12.917202</v>
      </c>
      <c r="E14268" s="4">
        <f>IFERROR(__xludf.DUMMYFUNCTION("""COMPUTED_VALUE"""),80.107338)</f>
        <v>80.107338</v>
      </c>
      <c r="F14268" s="4">
        <f>IFERROR(__xludf.DUMMYFUNCTION("""COMPUTED_VALUE"""),805.0)</f>
        <v>805</v>
      </c>
      <c r="G14268" s="4">
        <f>IFERROR(__xludf.DUMMYFUNCTION("""COMPUTED_VALUE"""),29.0)</f>
        <v>29</v>
      </c>
      <c r="H14268" s="4"/>
      <c r="I14268" s="4"/>
    </row>
    <row r="14269">
      <c r="A14269" s="4" t="str">
        <f>IFERROR(__xludf.DUMMYFUNCTION("""COMPUTED_VALUE"""),"cas_hmw")</f>
        <v>cas_hmw</v>
      </c>
      <c r="B14269" s="5">
        <f>IFERROR(__xludf.DUMMYFUNCTION("""COMPUTED_VALUE"""),44722.0)</f>
        <v>44722</v>
      </c>
      <c r="C14269" s="6">
        <f>IFERROR(__xludf.DUMMYFUNCTION("""COMPUTED_VALUE"""),0.6984953703686188)</f>
        <v>0.6984953704</v>
      </c>
      <c r="D14269" s="4">
        <f>IFERROR(__xludf.DUMMYFUNCTION("""COMPUTED_VALUE"""),12.914655)</f>
        <v>12.914655</v>
      </c>
      <c r="E14269" s="4">
        <f>IFERROR(__xludf.DUMMYFUNCTION("""COMPUTED_VALUE"""),80.101832)</f>
        <v>80.101832</v>
      </c>
      <c r="F14269" s="4">
        <f>IFERROR(__xludf.DUMMYFUNCTION("""COMPUTED_VALUE"""),2846.0)</f>
        <v>2846</v>
      </c>
      <c r="G14269" s="4">
        <f>IFERROR(__xludf.DUMMYFUNCTION("""COMPUTED_VALUE"""),49.0)</f>
        <v>49</v>
      </c>
      <c r="H14269" s="4"/>
      <c r="I14269" s="4"/>
    </row>
    <row r="14270">
      <c r="A14270" s="4" t="str">
        <f>IFERROR(__xludf.DUMMYFUNCTION("""COMPUTED_VALUE"""),"cas_hmw")</f>
        <v>cas_hmw</v>
      </c>
      <c r="B14270" s="5">
        <f>IFERROR(__xludf.DUMMYFUNCTION("""COMPUTED_VALUE"""),44722.0)</f>
        <v>44722</v>
      </c>
      <c r="C14270" s="6">
        <f>IFERROR(__xludf.DUMMYFUNCTION("""COMPUTED_VALUE"""),0.6988310185188311)</f>
        <v>0.6988310185</v>
      </c>
      <c r="D14270" s="4">
        <f>IFERROR(__xludf.DUMMYFUNCTION("""COMPUTED_VALUE"""),12.916023)</f>
        <v>12.916023</v>
      </c>
      <c r="E14270" s="4">
        <f>IFERROR(__xludf.DUMMYFUNCTION("""COMPUTED_VALUE"""),80.105311)</f>
        <v>80.105311</v>
      </c>
      <c r="F14270" s="4">
        <f>IFERROR(__xludf.DUMMYFUNCTION("""COMPUTED_VALUE"""),2846.0)</f>
        <v>2846</v>
      </c>
      <c r="G14270" s="4">
        <f>IFERROR(__xludf.DUMMYFUNCTION("""COMPUTED_VALUE"""),55.0)</f>
        <v>55</v>
      </c>
      <c r="H14270" s="4"/>
      <c r="I14270" s="4"/>
    </row>
    <row r="14271">
      <c r="A14271" s="4" t="str">
        <f>IFERROR(__xludf.DUMMYFUNCTION("""COMPUTED_VALUE"""),"cas_hmw")</f>
        <v>cas_hmw</v>
      </c>
      <c r="B14271" s="5">
        <f>IFERROR(__xludf.DUMMYFUNCTION("""COMPUTED_VALUE"""),44722.0)</f>
        <v>44722</v>
      </c>
      <c r="C14271" s="6">
        <f>IFERROR(__xludf.DUMMYFUNCTION("""COMPUTED_VALUE"""),0.6990277777767915)</f>
        <v>0.6990277778</v>
      </c>
      <c r="D14271" s="4">
        <f>IFERROR(__xludf.DUMMYFUNCTION("""COMPUTED_VALUE"""),12.922529)</f>
        <v>12.922529</v>
      </c>
      <c r="E14271" s="4">
        <f>IFERROR(__xludf.DUMMYFUNCTION("""COMPUTED_VALUE"""),80.113577)</f>
        <v>80.113577</v>
      </c>
      <c r="F14271" s="4">
        <f>IFERROR(__xludf.DUMMYFUNCTION("""COMPUTED_VALUE"""),805.0)</f>
        <v>805</v>
      </c>
      <c r="G14271" s="4">
        <f>IFERROR(__xludf.DUMMYFUNCTION("""COMPUTED_VALUE"""),55.0)</f>
        <v>55</v>
      </c>
      <c r="H14271" s="4"/>
      <c r="I14271" s="4"/>
    </row>
    <row r="14272">
      <c r="A14272" s="4" t="str">
        <f>IFERROR(__xludf.DUMMYFUNCTION("""COMPUTED_VALUE"""),"cas_hmw")</f>
        <v>cas_hmw</v>
      </c>
      <c r="B14272" s="5">
        <f>IFERROR(__xludf.DUMMYFUNCTION("""COMPUTED_VALUE"""),44722.0)</f>
        <v>44722</v>
      </c>
      <c r="C14272" s="6">
        <f>IFERROR(__xludf.DUMMYFUNCTION("""COMPUTED_VALUE"""),0.6990856481497758)</f>
        <v>0.6990856481</v>
      </c>
      <c r="D14272" s="4">
        <f>IFERROR(__xludf.DUMMYFUNCTION("""COMPUTED_VALUE"""),12.923318)</f>
        <v>12.923318</v>
      </c>
      <c r="E14272" s="4">
        <f>IFERROR(__xludf.DUMMYFUNCTION("""COMPUTED_VALUE"""),80.114404)</f>
        <v>80.114404</v>
      </c>
      <c r="F14272" s="4">
        <f>IFERROR(__xludf.DUMMYFUNCTION("""COMPUTED_VALUE"""),805.0)</f>
        <v>805</v>
      </c>
      <c r="G14272" s="4">
        <f>IFERROR(__xludf.DUMMYFUNCTION("""COMPUTED_VALUE"""),41.0)</f>
        <v>41</v>
      </c>
      <c r="H14272" s="4"/>
      <c r="I14272" s="4"/>
    </row>
    <row r="14273">
      <c r="A14273" s="4" t="str">
        <f>IFERROR(__xludf.DUMMYFUNCTION("""COMPUTED_VALUE"""),"cas_hmw")</f>
        <v>cas_hmw</v>
      </c>
      <c r="B14273" s="5">
        <f>IFERROR(__xludf.DUMMYFUNCTION("""COMPUTED_VALUE"""),44722.0)</f>
        <v>44722</v>
      </c>
      <c r="C14273" s="6">
        <f>IFERROR(__xludf.DUMMYFUNCTION("""COMPUTED_VALUE"""),0.6991666666654055)</f>
        <v>0.6991666667</v>
      </c>
      <c r="D14273" s="4">
        <f>IFERROR(__xludf.DUMMYFUNCTION("""COMPUTED_VALUE"""),12.923318)</f>
        <v>12.923318</v>
      </c>
      <c r="E14273" s="4">
        <f>IFERROR(__xludf.DUMMYFUNCTION("""COMPUTED_VALUE"""),80.114404)</f>
        <v>80.114404</v>
      </c>
      <c r="F14273" s="4">
        <f>IFERROR(__xludf.DUMMYFUNCTION("""COMPUTED_VALUE"""),805.0)</f>
        <v>805</v>
      </c>
      <c r="G14273" s="4">
        <f>IFERROR(__xludf.DUMMYFUNCTION("""COMPUTED_VALUE"""),41.0)</f>
        <v>41</v>
      </c>
      <c r="H14273" s="4"/>
      <c r="I14273" s="4"/>
    </row>
    <row r="14274">
      <c r="A14274" s="4" t="str">
        <f>IFERROR(__xludf.DUMMYFUNCTION("""COMPUTED_VALUE"""),"cas_hmw")</f>
        <v>cas_hmw</v>
      </c>
      <c r="B14274" s="5">
        <f>IFERROR(__xludf.DUMMYFUNCTION("""COMPUTED_VALUE"""),44722.0)</f>
        <v>44722</v>
      </c>
      <c r="C14274" s="6">
        <f>IFERROR(__xludf.DUMMYFUNCTION("""COMPUTED_VALUE"""),0.6996064814811689)</f>
        <v>0.6996064815</v>
      </c>
      <c r="D14274" s="4">
        <f>IFERROR(__xludf.DUMMYFUNCTION("""COMPUTED_VALUE"""),12.918096)</f>
        <v>12.918096</v>
      </c>
      <c r="E14274" s="4">
        <f>IFERROR(__xludf.DUMMYFUNCTION("""COMPUTED_VALUE"""),80.108638)</f>
        <v>80.108638</v>
      </c>
      <c r="F14274" s="4">
        <f>IFERROR(__xludf.DUMMYFUNCTION("""COMPUTED_VALUE"""),2846.0)</f>
        <v>2846</v>
      </c>
      <c r="G14274" s="4">
        <f>IFERROR(__xludf.DUMMYFUNCTION("""COMPUTED_VALUE"""),47.0)</f>
        <v>47</v>
      </c>
      <c r="H14274" s="4"/>
      <c r="I14274" s="4"/>
    </row>
    <row r="14275">
      <c r="A14275" s="4" t="str">
        <f>IFERROR(__xludf.DUMMYFUNCTION("""COMPUTED_VALUE"""),"cas_hmw")</f>
        <v>cas_hmw</v>
      </c>
      <c r="B14275" s="5">
        <f>IFERROR(__xludf.DUMMYFUNCTION("""COMPUTED_VALUE"""),44722.0)</f>
        <v>44722</v>
      </c>
      <c r="C14275" s="6">
        <f>IFERROR(__xludf.DUMMYFUNCTION("""COMPUTED_VALUE"""),0.6997106481467199)</f>
        <v>0.6997106481</v>
      </c>
      <c r="D14275" s="4">
        <f>IFERROR(__xludf.DUMMYFUNCTION("""COMPUTED_VALUE"""),12.927206)</f>
        <v>12.927206</v>
      </c>
      <c r="E14275" s="4">
        <f>IFERROR(__xludf.DUMMYFUNCTION("""COMPUTED_VALUE"""),80.118291)</f>
        <v>80.118291</v>
      </c>
      <c r="F14275" s="4">
        <f>IFERROR(__xludf.DUMMYFUNCTION("""COMPUTED_VALUE"""),805.0)</f>
        <v>805</v>
      </c>
      <c r="G14275" s="4">
        <f>IFERROR(__xludf.DUMMYFUNCTION("""COMPUTED_VALUE"""),40.0)</f>
        <v>40</v>
      </c>
      <c r="H14275" s="4"/>
      <c r="I14275" s="4"/>
    </row>
    <row r="14276">
      <c r="A14276" s="4" t="str">
        <f>IFERROR(__xludf.DUMMYFUNCTION("""COMPUTED_VALUE"""),"cas_hmw")</f>
        <v>cas_hmw</v>
      </c>
      <c r="B14276" s="5">
        <f>IFERROR(__xludf.DUMMYFUNCTION("""COMPUTED_VALUE"""),44722.0)</f>
        <v>44722</v>
      </c>
      <c r="C14276" s="6">
        <f>IFERROR(__xludf.DUMMYFUNCTION("""COMPUTED_VALUE"""),0.6998148148159089)</f>
        <v>0.6998148148</v>
      </c>
      <c r="D14276" s="4">
        <f>IFERROR(__xludf.DUMMYFUNCTION("""COMPUTED_VALUE"""),12.927206)</f>
        <v>12.927206</v>
      </c>
      <c r="E14276" s="4">
        <f>IFERROR(__xludf.DUMMYFUNCTION("""COMPUTED_VALUE"""),80.118291)</f>
        <v>80.118291</v>
      </c>
      <c r="F14276" s="4">
        <f>IFERROR(__xludf.DUMMYFUNCTION("""COMPUTED_VALUE"""),805.0)</f>
        <v>805</v>
      </c>
      <c r="G14276" s="4">
        <f>IFERROR(__xludf.DUMMYFUNCTION("""COMPUTED_VALUE"""),40.0)</f>
        <v>40</v>
      </c>
      <c r="H14276" s="4"/>
      <c r="I14276" s="4"/>
    </row>
    <row r="14277">
      <c r="A14277" s="4" t="str">
        <f>IFERROR(__xludf.DUMMYFUNCTION("""COMPUTED_VALUE"""),"cas_hmw")</f>
        <v>cas_hmw</v>
      </c>
      <c r="B14277" s="5">
        <f>IFERROR(__xludf.DUMMYFUNCTION("""COMPUTED_VALUE"""),44722.0)</f>
        <v>44722</v>
      </c>
      <c r="C14277" s="6">
        <f>IFERROR(__xludf.DUMMYFUNCTION("""COMPUTED_VALUE"""),0.6998379629621923)</f>
        <v>0.699837963</v>
      </c>
      <c r="D14277" s="4">
        <f>IFERROR(__xludf.DUMMYFUNCTION("""COMPUTED_VALUE"""),12.927988)</f>
        <v>12.927988</v>
      </c>
      <c r="E14277" s="4">
        <f>IFERROR(__xludf.DUMMYFUNCTION("""COMPUTED_VALUE"""),80.119079)</f>
        <v>80.119079</v>
      </c>
      <c r="F14277" s="4">
        <f>IFERROR(__xludf.DUMMYFUNCTION("""COMPUTED_VALUE"""),805.0)</f>
        <v>805</v>
      </c>
      <c r="G14277" s="4">
        <f>IFERROR(__xludf.DUMMYFUNCTION("""COMPUTED_VALUE"""),42.0)</f>
        <v>42</v>
      </c>
      <c r="H14277" s="4"/>
      <c r="I14277" s="4"/>
    </row>
    <row r="14278">
      <c r="A14278" s="4" t="str">
        <f>IFERROR(__xludf.DUMMYFUNCTION("""COMPUTED_VALUE"""),"cas_hmw")</f>
        <v>cas_hmw</v>
      </c>
      <c r="B14278" s="5">
        <f>IFERROR(__xludf.DUMMYFUNCTION("""COMPUTED_VALUE"""),44722.0)</f>
        <v>44722</v>
      </c>
      <c r="C14278" s="6">
        <f>IFERROR(__xludf.DUMMYFUNCTION("""COMPUTED_VALUE"""),0.6999189814814599)</f>
        <v>0.6999189815</v>
      </c>
      <c r="D14278" s="4">
        <f>IFERROR(__xludf.DUMMYFUNCTION("""COMPUTED_VALUE"""),12.919775)</f>
        <v>12.919775</v>
      </c>
      <c r="E14278" s="4">
        <f>IFERROR(__xludf.DUMMYFUNCTION("""COMPUTED_VALUE"""),80.110696)</f>
        <v>80.110696</v>
      </c>
      <c r="F14278" s="4">
        <f>IFERROR(__xludf.DUMMYFUNCTION("""COMPUTED_VALUE"""),2846.0)</f>
        <v>2846</v>
      </c>
      <c r="G14278" s="4">
        <f>IFERROR(__xludf.DUMMYFUNCTION("""COMPUTED_VALUE"""),50.0)</f>
        <v>50</v>
      </c>
      <c r="H14278" s="4"/>
      <c r="I14278" s="4"/>
    </row>
    <row r="14279">
      <c r="A14279" s="4" t="str">
        <f>IFERROR(__xludf.DUMMYFUNCTION("""COMPUTED_VALUE"""),"cas_hmw")</f>
        <v>cas_hmw</v>
      </c>
      <c r="B14279" s="5">
        <f>IFERROR(__xludf.DUMMYFUNCTION("""COMPUTED_VALUE"""),44722.0)</f>
        <v>44722</v>
      </c>
      <c r="C14279" s="6">
        <f>IFERROR(__xludf.DUMMYFUNCTION("""COMPUTED_VALUE"""),0.6999537037045229)</f>
        <v>0.6999537037</v>
      </c>
      <c r="D14279" s="4">
        <f>IFERROR(__xludf.DUMMYFUNCTION("""COMPUTED_VALUE"""),12.920684)</f>
        <v>12.920684</v>
      </c>
      <c r="E14279" s="4">
        <f>IFERROR(__xludf.DUMMYFUNCTION("""COMPUTED_VALUE"""),80.111601)</f>
        <v>80.111601</v>
      </c>
      <c r="F14279" s="4">
        <f>IFERROR(__xludf.DUMMYFUNCTION("""COMPUTED_VALUE"""),2846.0)</f>
        <v>2846</v>
      </c>
      <c r="G14279" s="4">
        <f>IFERROR(__xludf.DUMMYFUNCTION("""COMPUTED_VALUE"""),47.0)</f>
        <v>47</v>
      </c>
      <c r="H14279" s="4"/>
      <c r="I14279" s="4"/>
    </row>
    <row r="14280">
      <c r="A14280" s="4" t="str">
        <f>IFERROR(__xludf.DUMMYFUNCTION("""COMPUTED_VALUE"""),"cas_hmw")</f>
        <v>cas_hmw</v>
      </c>
      <c r="B14280" s="5">
        <f>IFERROR(__xludf.DUMMYFUNCTION("""COMPUTED_VALUE"""),44722.0)</f>
        <v>44722</v>
      </c>
      <c r="C14280" s="6">
        <f>IFERROR(__xludf.DUMMYFUNCTION("""COMPUTED_VALUE"""),0.7001736111124046)</f>
        <v>0.7001736111</v>
      </c>
      <c r="D14280" s="4">
        <f>IFERROR(__xludf.DUMMYFUNCTION("""COMPUTED_VALUE"""),12.922237)</f>
        <v>12.922237</v>
      </c>
      <c r="E14280" s="4">
        <f>IFERROR(__xludf.DUMMYFUNCTION("""COMPUTED_VALUE"""),80.113148)</f>
        <v>80.113148</v>
      </c>
      <c r="F14280" s="4">
        <f>IFERROR(__xludf.DUMMYFUNCTION("""COMPUTED_VALUE"""),2846.0)</f>
        <v>2846</v>
      </c>
      <c r="G14280" s="4">
        <f>IFERROR(__xludf.DUMMYFUNCTION("""COMPUTED_VALUE"""),45.0)</f>
        <v>45</v>
      </c>
      <c r="H14280" s="4"/>
      <c r="I14280" s="4"/>
    </row>
    <row r="14281">
      <c r="A14281" s="4" t="str">
        <f>IFERROR(__xludf.DUMMYFUNCTION("""COMPUTED_VALUE"""),"cas_hmw")</f>
        <v>cas_hmw</v>
      </c>
      <c r="B14281" s="5">
        <f>IFERROR(__xludf.DUMMYFUNCTION("""COMPUTED_VALUE"""),44722.0)</f>
        <v>44722</v>
      </c>
      <c r="C14281" s="6">
        <f>IFERROR(__xludf.DUMMYFUNCTION("""COMPUTED_VALUE"""),0.7003240740741603)</f>
        <v>0.7003240741</v>
      </c>
      <c r="D14281" s="4">
        <f>IFERROR(__xludf.DUMMYFUNCTION("""COMPUTED_VALUE"""),12.923054)</f>
        <v>12.923054</v>
      </c>
      <c r="E14281" s="4">
        <f>IFERROR(__xludf.DUMMYFUNCTION("""COMPUTED_VALUE"""),80.113957)</f>
        <v>80.113957</v>
      </c>
      <c r="F14281" s="4">
        <f>IFERROR(__xludf.DUMMYFUNCTION("""COMPUTED_VALUE"""),2846.0)</f>
        <v>2846</v>
      </c>
      <c r="G14281" s="4">
        <f>IFERROR(__xludf.DUMMYFUNCTION("""COMPUTED_VALUE"""),45.0)</f>
        <v>45</v>
      </c>
      <c r="H14281" s="4"/>
      <c r="I14281" s="4"/>
    </row>
    <row r="14282">
      <c r="A14282" s="4" t="str">
        <f>IFERROR(__xludf.DUMMYFUNCTION("""COMPUTED_VALUE"""),"cas_hmw")</f>
        <v>cas_hmw</v>
      </c>
      <c r="B14282" s="5">
        <f>IFERROR(__xludf.DUMMYFUNCTION("""COMPUTED_VALUE"""),44722.0)</f>
        <v>44722</v>
      </c>
      <c r="C14282" s="6">
        <f>IFERROR(__xludf.DUMMYFUNCTION("""COMPUTED_VALUE"""),0.700682870370656)</f>
        <v>0.7006828704</v>
      </c>
      <c r="D14282" s="4">
        <f>IFERROR(__xludf.DUMMYFUNCTION("""COMPUTED_VALUE"""),12.930864)</f>
        <v>12.930864</v>
      </c>
      <c r="E14282" s="4">
        <f>IFERROR(__xludf.DUMMYFUNCTION("""COMPUTED_VALUE"""),80.121903)</f>
        <v>80.121903</v>
      </c>
      <c r="F14282" s="4">
        <f>IFERROR(__xludf.DUMMYFUNCTION("""COMPUTED_VALUE"""),805.0)</f>
        <v>805</v>
      </c>
      <c r="G14282" s="4">
        <f>IFERROR(__xludf.DUMMYFUNCTION("""COMPUTED_VALUE"""),31.0)</f>
        <v>31</v>
      </c>
      <c r="H14282" s="4"/>
      <c r="I14282" s="4"/>
    </row>
    <row r="14283">
      <c r="A14283" s="4" t="str">
        <f>IFERROR(__xludf.DUMMYFUNCTION("""COMPUTED_VALUE"""),"cas_hmw")</f>
        <v>cas_hmw</v>
      </c>
      <c r="B14283" s="5">
        <f>IFERROR(__xludf.DUMMYFUNCTION("""COMPUTED_VALUE"""),44722.0)</f>
        <v>44722</v>
      </c>
      <c r="C14283" s="6">
        <f>IFERROR(__xludf.DUMMYFUNCTION("""COMPUTED_VALUE"""),0.7013541666674428)</f>
        <v>0.7013541667</v>
      </c>
      <c r="D14283" s="4">
        <f>IFERROR(__xludf.DUMMYFUNCTION("""COMPUTED_VALUE"""),12.92369)</f>
        <v>12.92369</v>
      </c>
      <c r="E14283" s="4">
        <f>IFERROR(__xludf.DUMMYFUNCTION("""COMPUTED_VALUE"""),80.117355)</f>
        <v>80.117355</v>
      </c>
      <c r="F14283" s="4">
        <f>IFERROR(__xludf.DUMMYFUNCTION("""COMPUTED_VALUE"""),2846.0)</f>
        <v>2846</v>
      </c>
      <c r="G14283" s="4">
        <f>IFERROR(__xludf.DUMMYFUNCTION("""COMPUTED_VALUE"""),40.0)</f>
        <v>40</v>
      </c>
      <c r="H14283" s="4"/>
      <c r="I14283" s="4"/>
    </row>
    <row r="14284">
      <c r="A14284" s="4" t="str">
        <f>IFERROR(__xludf.DUMMYFUNCTION("""COMPUTED_VALUE"""),"cas_hmw")</f>
        <v>cas_hmw</v>
      </c>
      <c r="B14284" s="5">
        <f>IFERROR(__xludf.DUMMYFUNCTION("""COMPUTED_VALUE"""),44722.0)</f>
        <v>44722</v>
      </c>
      <c r="C14284" s="6">
        <f>IFERROR(__xludf.DUMMYFUNCTION("""COMPUTED_VALUE"""),0.7035532407389837)</f>
        <v>0.7035532407</v>
      </c>
      <c r="D14284" s="4">
        <f>IFERROR(__xludf.DUMMYFUNCTION("""COMPUTED_VALUE"""),12.923031)</f>
        <v>12.923031</v>
      </c>
      <c r="E14284" s="4">
        <f>IFERROR(__xludf.DUMMYFUNCTION("""COMPUTED_VALUE"""),80.125423)</f>
        <v>80.125423</v>
      </c>
      <c r="F14284" s="4">
        <f>IFERROR(__xludf.DUMMYFUNCTION("""COMPUTED_VALUE"""),2846.0)</f>
        <v>2846</v>
      </c>
      <c r="G14284" s="4">
        <f>IFERROR(__xludf.DUMMYFUNCTION("""COMPUTED_VALUE"""),3.0)</f>
        <v>3</v>
      </c>
      <c r="H14284" s="4"/>
      <c r="I14284" s="4"/>
    </row>
    <row r="14285">
      <c r="A14285" s="4" t="str">
        <f>IFERROR(__xludf.DUMMYFUNCTION("""COMPUTED_VALUE"""),"cas_hmw")</f>
        <v>cas_hmw</v>
      </c>
      <c r="B14285" s="5">
        <f>IFERROR(__xludf.DUMMYFUNCTION("""COMPUTED_VALUE"""),44722.0)</f>
        <v>44722</v>
      </c>
      <c r="C14285" s="6">
        <f>IFERROR(__xludf.DUMMYFUNCTION("""COMPUTED_VALUE"""),0.7035648148157634)</f>
        <v>0.7035648148</v>
      </c>
      <c r="D14285" s="4">
        <f>IFERROR(__xludf.DUMMYFUNCTION("""COMPUTED_VALUE"""),12.922997)</f>
        <v>12.922997</v>
      </c>
      <c r="E14285" s="4">
        <f>IFERROR(__xludf.DUMMYFUNCTION("""COMPUTED_VALUE"""),80.126221)</f>
        <v>80.126221</v>
      </c>
      <c r="F14285" s="4">
        <f>IFERROR(__xludf.DUMMYFUNCTION("""COMPUTED_VALUE"""),2846.0)</f>
        <v>2846</v>
      </c>
      <c r="G14285" s="4">
        <f>IFERROR(__xludf.DUMMYFUNCTION("""COMPUTED_VALUE"""),30.0)</f>
        <v>30</v>
      </c>
      <c r="H14285" s="4"/>
      <c r="I14285" s="4"/>
    </row>
    <row r="14286">
      <c r="A14286" s="4" t="str">
        <f>IFERROR(__xludf.DUMMYFUNCTION("""COMPUTED_VALUE"""),"cas_hmw")</f>
        <v>cas_hmw</v>
      </c>
      <c r="B14286" s="5">
        <f>IFERROR(__xludf.DUMMYFUNCTION("""COMPUTED_VALUE"""),44722.0)</f>
        <v>44722</v>
      </c>
      <c r="C14286" s="6">
        <f>IFERROR(__xludf.DUMMYFUNCTION("""COMPUTED_VALUE"""),0.7035648148157634)</f>
        <v>0.7035648148</v>
      </c>
      <c r="D14286" s="4">
        <f>IFERROR(__xludf.DUMMYFUNCTION("""COMPUTED_VALUE"""),12.922997)</f>
        <v>12.922997</v>
      </c>
      <c r="E14286" s="4">
        <f>IFERROR(__xludf.DUMMYFUNCTION("""COMPUTED_VALUE"""),80.126221)</f>
        <v>80.126221</v>
      </c>
      <c r="F14286" s="4">
        <f>IFERROR(__xludf.DUMMYFUNCTION("""COMPUTED_VALUE"""),2846.0)</f>
        <v>2846</v>
      </c>
      <c r="G14286" s="4">
        <f>IFERROR(__xludf.DUMMYFUNCTION("""COMPUTED_VALUE"""),30.0)</f>
        <v>30</v>
      </c>
      <c r="H14286" s="4"/>
      <c r="I14286" s="4"/>
    </row>
    <row r="14287">
      <c r="A14287" s="4" t="str">
        <f>IFERROR(__xludf.DUMMYFUNCTION("""COMPUTED_VALUE"""),"cas_hmw")</f>
        <v>cas_hmw</v>
      </c>
      <c r="B14287" s="5">
        <f>IFERROR(__xludf.DUMMYFUNCTION("""COMPUTED_VALUE"""),44722.0)</f>
        <v>44722</v>
      </c>
      <c r="C14287" s="6">
        <f>IFERROR(__xludf.DUMMYFUNCTION("""COMPUTED_VALUE"""),0.7035879629620467)</f>
        <v>0.703587963</v>
      </c>
      <c r="D14287" s="4">
        <f>IFERROR(__xludf.DUMMYFUNCTION("""COMPUTED_VALUE"""),12.922997)</f>
        <v>12.922997</v>
      </c>
      <c r="E14287" s="4">
        <f>IFERROR(__xludf.DUMMYFUNCTION("""COMPUTED_VALUE"""),80.126221)</f>
        <v>80.126221</v>
      </c>
      <c r="F14287" s="4">
        <f>IFERROR(__xludf.DUMMYFUNCTION("""COMPUTED_VALUE"""),2846.0)</f>
        <v>2846</v>
      </c>
      <c r="G14287" s="4">
        <f>IFERROR(__xludf.DUMMYFUNCTION("""COMPUTED_VALUE"""),30.0)</f>
        <v>30</v>
      </c>
      <c r="H14287" s="4"/>
      <c r="I14287" s="4"/>
    </row>
    <row r="14288">
      <c r="A14288" s="4" t="str">
        <f>IFERROR(__xludf.DUMMYFUNCTION("""COMPUTED_VALUE"""),"cas_hmw")</f>
        <v>cas_hmw</v>
      </c>
      <c r="B14288" s="5">
        <f>IFERROR(__xludf.DUMMYFUNCTION("""COMPUTED_VALUE"""),44722.0)</f>
        <v>44722</v>
      </c>
      <c r="C14288" s="6">
        <f>IFERROR(__xludf.DUMMYFUNCTION("""COMPUTED_VALUE"""),0.7042476851856918)</f>
        <v>0.7042476852</v>
      </c>
      <c r="D14288" s="4">
        <f>IFERROR(__xludf.DUMMYFUNCTION("""COMPUTED_VALUE"""),12.95097)</f>
        <v>12.95097</v>
      </c>
      <c r="E14288" s="4">
        <f>IFERROR(__xludf.DUMMYFUNCTION("""COMPUTED_VALUE"""),80.139836)</f>
        <v>80.139836</v>
      </c>
      <c r="F14288" s="4">
        <f>IFERROR(__xludf.DUMMYFUNCTION("""COMPUTED_VALUE"""),805.0)</f>
        <v>805</v>
      </c>
      <c r="G14288" s="4">
        <f>IFERROR(__xludf.DUMMYFUNCTION("""COMPUTED_VALUE"""),29.0)</f>
        <v>29</v>
      </c>
      <c r="H14288" s="4"/>
      <c r="I14288" s="4"/>
    </row>
    <row r="14289">
      <c r="A14289" s="4" t="str">
        <f>IFERROR(__xludf.DUMMYFUNCTION("""COMPUTED_VALUE"""),"cas_hmw")</f>
        <v>cas_hmw</v>
      </c>
      <c r="B14289" s="5">
        <f>IFERROR(__xludf.DUMMYFUNCTION("""COMPUTED_VALUE"""),44722.0)</f>
        <v>44722</v>
      </c>
      <c r="C14289" s="6">
        <f>IFERROR(__xludf.DUMMYFUNCTION("""COMPUTED_VALUE"""),0.7046759259246755)</f>
        <v>0.7046759259</v>
      </c>
      <c r="D14289" s="4">
        <f>IFERROR(__xludf.DUMMYFUNCTION("""COMPUTED_VALUE"""),12.953154)</f>
        <v>12.953154</v>
      </c>
      <c r="E14289" s="4">
        <f>IFERROR(__xludf.DUMMYFUNCTION("""COMPUTED_VALUE"""),80.141455)</f>
        <v>80.141455</v>
      </c>
      <c r="F14289" s="4">
        <f>IFERROR(__xludf.DUMMYFUNCTION("""COMPUTED_VALUE"""),805.0)</f>
        <v>805</v>
      </c>
      <c r="G14289" s="4">
        <f>IFERROR(__xludf.DUMMYFUNCTION("""COMPUTED_VALUE"""),36.0)</f>
        <v>36</v>
      </c>
      <c r="H14289" s="4"/>
      <c r="I14289" s="4"/>
    </row>
    <row r="14290">
      <c r="A14290" s="4" t="str">
        <f>IFERROR(__xludf.DUMMYFUNCTION("""COMPUTED_VALUE"""),"cas_hmw")</f>
        <v>cas_hmw</v>
      </c>
      <c r="B14290" s="5">
        <f>IFERROR(__xludf.DUMMYFUNCTION("""COMPUTED_VALUE"""),44722.0)</f>
        <v>44722</v>
      </c>
      <c r="C14290" s="6">
        <f>IFERROR(__xludf.DUMMYFUNCTION("""COMPUTED_VALUE"""),0.7060300925913907)</f>
        <v>0.7060300926</v>
      </c>
      <c r="D14290" s="4">
        <f>IFERROR(__xludf.DUMMYFUNCTION("""COMPUTED_VALUE"""),12.957069)</f>
        <v>12.957069</v>
      </c>
      <c r="E14290" s="4">
        <f>IFERROR(__xludf.DUMMYFUNCTION("""COMPUTED_VALUE"""),80.143522)</f>
        <v>80.143522</v>
      </c>
      <c r="F14290" s="4">
        <f>IFERROR(__xludf.DUMMYFUNCTION("""COMPUTED_VALUE"""),805.0)</f>
        <v>805</v>
      </c>
      <c r="G14290" s="4">
        <f>IFERROR(__xludf.DUMMYFUNCTION("""COMPUTED_VALUE"""),42.0)</f>
        <v>42</v>
      </c>
      <c r="H14290" s="4"/>
      <c r="I14290" s="4"/>
    </row>
    <row r="14291">
      <c r="A14291" s="4" t="str">
        <f>IFERROR(__xludf.DUMMYFUNCTION("""COMPUTED_VALUE"""),"cas_hmw")</f>
        <v>cas_hmw</v>
      </c>
      <c r="B14291" s="5">
        <f>IFERROR(__xludf.DUMMYFUNCTION("""COMPUTED_VALUE"""),44722.0)</f>
        <v>44722</v>
      </c>
      <c r="C14291" s="6">
        <f>IFERROR(__xludf.DUMMYFUNCTION("""COMPUTED_VALUE"""),0.7060995370375167)</f>
        <v>0.706099537</v>
      </c>
      <c r="D14291" s="4">
        <f>IFERROR(__xludf.DUMMYFUNCTION("""COMPUTED_VALUE"""),12.957069)</f>
        <v>12.957069</v>
      </c>
      <c r="E14291" s="4">
        <f>IFERROR(__xludf.DUMMYFUNCTION("""COMPUTED_VALUE"""),80.143522)</f>
        <v>80.143522</v>
      </c>
      <c r="F14291" s="4">
        <f>IFERROR(__xludf.DUMMYFUNCTION("""COMPUTED_VALUE"""),805.0)</f>
        <v>805</v>
      </c>
      <c r="G14291" s="4">
        <f>IFERROR(__xludf.DUMMYFUNCTION("""COMPUTED_VALUE"""),42.0)</f>
        <v>42</v>
      </c>
      <c r="H14291" s="4"/>
      <c r="I14291" s="4"/>
    </row>
    <row r="14292">
      <c r="A14292" s="4" t="str">
        <f>IFERROR(__xludf.DUMMYFUNCTION("""COMPUTED_VALUE"""),"cas_hmw")</f>
        <v>cas_hmw</v>
      </c>
      <c r="B14292" s="5">
        <f>IFERROR(__xludf.DUMMYFUNCTION("""COMPUTED_VALUE"""),44722.0)</f>
        <v>44722</v>
      </c>
      <c r="C14292" s="6">
        <f>IFERROR(__xludf.DUMMYFUNCTION("""COMPUTED_VALUE"""),0.7066898148150358)</f>
        <v>0.7066898148</v>
      </c>
      <c r="D14292" s="4">
        <f>IFERROR(__xludf.DUMMYFUNCTION("""COMPUTED_VALUE"""),12.922396)</f>
        <v>12.922396</v>
      </c>
      <c r="E14292" s="4">
        <f>IFERROR(__xludf.DUMMYFUNCTION("""COMPUTED_VALUE"""),80.139489)</f>
        <v>80.139489</v>
      </c>
      <c r="F14292" s="4">
        <f>IFERROR(__xludf.DUMMYFUNCTION("""COMPUTED_VALUE"""),2846.0)</f>
        <v>2846</v>
      </c>
      <c r="G14292" s="4">
        <f>IFERROR(__xludf.DUMMYFUNCTION("""COMPUTED_VALUE"""),30.0)</f>
        <v>30</v>
      </c>
      <c r="H14292" s="4"/>
      <c r="I14292" s="4"/>
    </row>
    <row r="14293">
      <c r="A14293" s="4" t="str">
        <f>IFERROR(__xludf.DUMMYFUNCTION("""COMPUTED_VALUE"""),"cas_hmw")</f>
        <v>cas_hmw</v>
      </c>
      <c r="B14293" s="5">
        <f>IFERROR(__xludf.DUMMYFUNCTION("""COMPUTED_VALUE"""),44722.0)</f>
        <v>44722</v>
      </c>
      <c r="C14293" s="6">
        <f>IFERROR(__xludf.DUMMYFUNCTION("""COMPUTED_VALUE"""),0.7066898148150358)</f>
        <v>0.7066898148</v>
      </c>
      <c r="D14293" s="4">
        <f>IFERROR(__xludf.DUMMYFUNCTION("""COMPUTED_VALUE"""),12.922396)</f>
        <v>12.922396</v>
      </c>
      <c r="E14293" s="4">
        <f>IFERROR(__xludf.DUMMYFUNCTION("""COMPUTED_VALUE"""),80.139489)</f>
        <v>80.139489</v>
      </c>
      <c r="F14293" s="4">
        <f>IFERROR(__xludf.DUMMYFUNCTION("""COMPUTED_VALUE"""),2846.0)</f>
        <v>2846</v>
      </c>
      <c r="G14293" s="4">
        <f>IFERROR(__xludf.DUMMYFUNCTION("""COMPUTED_VALUE"""),30.0)</f>
        <v>30</v>
      </c>
      <c r="H14293" s="4"/>
      <c r="I14293" s="4"/>
    </row>
    <row r="14294">
      <c r="A14294" s="4" t="str">
        <f>IFERROR(__xludf.DUMMYFUNCTION("""COMPUTED_VALUE"""),"cas_hmw")</f>
        <v>cas_hmw</v>
      </c>
      <c r="B14294" s="5">
        <f>IFERROR(__xludf.DUMMYFUNCTION("""COMPUTED_VALUE"""),44722.0)</f>
        <v>44722</v>
      </c>
      <c r="C14294" s="6">
        <f>IFERROR(__xludf.DUMMYFUNCTION("""COMPUTED_VALUE"""),0.7067013888881775)</f>
        <v>0.7067013889</v>
      </c>
      <c r="D14294" s="4">
        <f>IFERROR(__xludf.DUMMYFUNCTION("""COMPUTED_VALUE"""),12.922396)</f>
        <v>12.922396</v>
      </c>
      <c r="E14294" s="4">
        <f>IFERROR(__xludf.DUMMYFUNCTION("""COMPUTED_VALUE"""),80.139489)</f>
        <v>80.139489</v>
      </c>
      <c r="F14294" s="4">
        <f>IFERROR(__xludf.DUMMYFUNCTION("""COMPUTED_VALUE"""),2846.0)</f>
        <v>2846</v>
      </c>
      <c r="G14294" s="4">
        <f>IFERROR(__xludf.DUMMYFUNCTION("""COMPUTED_VALUE"""),30.0)</f>
        <v>30</v>
      </c>
      <c r="H14294" s="4"/>
      <c r="I14294" s="4"/>
    </row>
    <row r="14295">
      <c r="A14295" s="4" t="str">
        <f>IFERROR(__xludf.DUMMYFUNCTION("""COMPUTED_VALUE"""),"cas_hmw")</f>
        <v>cas_hmw</v>
      </c>
      <c r="B14295" s="5">
        <f>IFERROR(__xludf.DUMMYFUNCTION("""COMPUTED_VALUE"""),44722.0)</f>
        <v>44722</v>
      </c>
      <c r="C14295" s="6">
        <f>IFERROR(__xludf.DUMMYFUNCTION("""COMPUTED_VALUE"""),0.7067361111112405)</f>
        <v>0.7067361111</v>
      </c>
      <c r="D14295" s="4">
        <f>IFERROR(__xludf.DUMMYFUNCTION("""COMPUTED_VALUE"""),12.962277)</f>
        <v>12.962277</v>
      </c>
      <c r="E14295" s="4">
        <f>IFERROR(__xludf.DUMMYFUNCTION("""COMPUTED_VALUE"""),80.146204)</f>
        <v>80.146204</v>
      </c>
      <c r="F14295" s="4">
        <f>IFERROR(__xludf.DUMMYFUNCTION("""COMPUTED_VALUE"""),805.0)</f>
        <v>805</v>
      </c>
      <c r="G14295" s="4">
        <f>IFERROR(__xludf.DUMMYFUNCTION("""COMPUTED_VALUE"""),47.0)</f>
        <v>47</v>
      </c>
      <c r="H14295" s="4"/>
      <c r="I14295" s="4"/>
    </row>
    <row r="14296">
      <c r="A14296" s="4" t="str">
        <f>IFERROR(__xludf.DUMMYFUNCTION("""COMPUTED_VALUE"""),"cas_hmw")</f>
        <v>cas_hmw</v>
      </c>
      <c r="B14296" s="5">
        <f>IFERROR(__xludf.DUMMYFUNCTION("""COMPUTED_VALUE"""),44722.0)</f>
        <v>44722</v>
      </c>
      <c r="C14296" s="6">
        <f>IFERROR(__xludf.DUMMYFUNCTION("""COMPUTED_VALUE"""),0.7069097222229175)</f>
        <v>0.7069097222</v>
      </c>
      <c r="D14296" s="4">
        <f>IFERROR(__xludf.DUMMYFUNCTION("""COMPUTED_VALUE"""),12.963776)</f>
        <v>12.963776</v>
      </c>
      <c r="E14296" s="4">
        <f>IFERROR(__xludf.DUMMYFUNCTION("""COMPUTED_VALUE"""),80.14706)</f>
        <v>80.14706</v>
      </c>
      <c r="F14296" s="4">
        <f>IFERROR(__xludf.DUMMYFUNCTION("""COMPUTED_VALUE"""),805.0)</f>
        <v>805</v>
      </c>
      <c r="G14296" s="4">
        <f>IFERROR(__xludf.DUMMYFUNCTION("""COMPUTED_VALUE"""),38.0)</f>
        <v>38</v>
      </c>
      <c r="H14296" s="4"/>
      <c r="I14296" s="4"/>
    </row>
    <row r="14297">
      <c r="A14297" s="4" t="str">
        <f>IFERROR(__xludf.DUMMYFUNCTION("""COMPUTED_VALUE"""),"cas_hmw")</f>
        <v>cas_hmw</v>
      </c>
      <c r="B14297" s="5">
        <f>IFERROR(__xludf.DUMMYFUNCTION("""COMPUTED_VALUE"""),44722.0)</f>
        <v>44722</v>
      </c>
      <c r="C14297" s="6">
        <f>IFERROR(__xludf.DUMMYFUNCTION("""COMPUTED_VALUE"""),0.7071064814808778)</f>
        <v>0.7071064815</v>
      </c>
      <c r="D14297" s="4">
        <f>IFERROR(__xludf.DUMMYFUNCTION("""COMPUTED_VALUE"""),12.964926)</f>
        <v>12.964926</v>
      </c>
      <c r="E14297" s="4">
        <f>IFERROR(__xludf.DUMMYFUNCTION("""COMPUTED_VALUE"""),80.147758)</f>
        <v>80.147758</v>
      </c>
      <c r="F14297" s="4">
        <f>IFERROR(__xludf.DUMMYFUNCTION("""COMPUTED_VALUE"""),805.0)</f>
        <v>805</v>
      </c>
      <c r="G14297" s="4">
        <f>IFERROR(__xludf.DUMMYFUNCTION("""COMPUTED_VALUE"""),33.0)</f>
        <v>33</v>
      </c>
      <c r="H14297" s="4"/>
      <c r="I14297" s="4"/>
    </row>
    <row r="14298">
      <c r="A14298" s="4" t="str">
        <f>IFERROR(__xludf.DUMMYFUNCTION("""COMPUTED_VALUE"""),"cas_hmw")</f>
        <v>cas_hmw</v>
      </c>
      <c r="B14298" s="5">
        <f>IFERROR(__xludf.DUMMYFUNCTION("""COMPUTED_VALUE"""),44722.0)</f>
        <v>44722</v>
      </c>
      <c r="C14298" s="6">
        <f>IFERROR(__xludf.DUMMYFUNCTION("""COMPUTED_VALUE"""),0.7077662037045229)</f>
        <v>0.7077662037</v>
      </c>
      <c r="D14298" s="4">
        <f>IFERROR(__xludf.DUMMYFUNCTION("""COMPUTED_VALUE"""),12.968153)</f>
        <v>12.968153</v>
      </c>
      <c r="E14298" s="4">
        <f>IFERROR(__xludf.DUMMYFUNCTION("""COMPUTED_VALUE"""),80.149359)</f>
        <v>80.149359</v>
      </c>
      <c r="F14298" s="4">
        <f>IFERROR(__xludf.DUMMYFUNCTION("""COMPUTED_VALUE"""),805.0)</f>
        <v>805</v>
      </c>
      <c r="G14298" s="4">
        <f>IFERROR(__xludf.DUMMYFUNCTION("""COMPUTED_VALUE"""),0.0)</f>
        <v>0</v>
      </c>
      <c r="H14298" s="4"/>
      <c r="I14298" s="4"/>
    </row>
    <row r="14299">
      <c r="A14299" s="4" t="str">
        <f>IFERROR(__xludf.DUMMYFUNCTION("""COMPUTED_VALUE"""),"cas_hmw")</f>
        <v>cas_hmw</v>
      </c>
      <c r="B14299" s="5">
        <f>IFERROR(__xludf.DUMMYFUNCTION("""COMPUTED_VALUE"""),44722.0)</f>
        <v>44722</v>
      </c>
      <c r="C14299" s="6">
        <f>IFERROR(__xludf.DUMMYFUNCTION("""COMPUTED_VALUE"""),0.7078703703700739)</f>
        <v>0.7078703704</v>
      </c>
      <c r="D14299" s="4">
        <f>IFERROR(__xludf.DUMMYFUNCTION("""COMPUTED_VALUE"""),12.968981)</f>
        <v>12.968981</v>
      </c>
      <c r="E14299" s="4">
        <f>IFERROR(__xludf.DUMMYFUNCTION("""COMPUTED_VALUE"""),80.149779)</f>
        <v>80.149779</v>
      </c>
      <c r="F14299" s="4">
        <f>IFERROR(__xludf.DUMMYFUNCTION("""COMPUTED_VALUE"""),805.0)</f>
        <v>805</v>
      </c>
      <c r="G14299" s="4">
        <f>IFERROR(__xludf.DUMMYFUNCTION("""COMPUTED_VALUE"""),44.0)</f>
        <v>44</v>
      </c>
      <c r="H14299" s="4"/>
      <c r="I14299" s="4"/>
    </row>
    <row r="14300">
      <c r="A14300" s="4" t="str">
        <f>IFERROR(__xludf.DUMMYFUNCTION("""COMPUTED_VALUE"""),"cas_hmw")</f>
        <v>cas_hmw</v>
      </c>
      <c r="B14300" s="5">
        <f>IFERROR(__xludf.DUMMYFUNCTION("""COMPUTED_VALUE"""),44722.0)</f>
        <v>44722</v>
      </c>
      <c r="C14300" s="6">
        <f>IFERROR(__xludf.DUMMYFUNCTION("""COMPUTED_VALUE"""),0.707974537035625)</f>
        <v>0.707974537</v>
      </c>
      <c r="D14300" s="4">
        <f>IFERROR(__xludf.DUMMYFUNCTION("""COMPUTED_VALUE"""),12.922547)</f>
        <v>12.922547</v>
      </c>
      <c r="E14300" s="4">
        <f>IFERROR(__xludf.DUMMYFUNCTION("""COMPUTED_VALUE"""),80.143201)</f>
        <v>80.143201</v>
      </c>
      <c r="F14300" s="4">
        <f>IFERROR(__xludf.DUMMYFUNCTION("""COMPUTED_VALUE"""),2846.0)</f>
        <v>2846</v>
      </c>
      <c r="G14300" s="4">
        <f>IFERROR(__xludf.DUMMYFUNCTION("""COMPUTED_VALUE"""),16.0)</f>
        <v>16</v>
      </c>
      <c r="H14300" s="4"/>
      <c r="I14300" s="4"/>
    </row>
    <row r="14301">
      <c r="A14301" s="4" t="str">
        <f>IFERROR(__xludf.DUMMYFUNCTION("""COMPUTED_VALUE"""),"cas_hmw")</f>
        <v>cas_hmw</v>
      </c>
      <c r="B14301" s="5">
        <f>IFERROR(__xludf.DUMMYFUNCTION("""COMPUTED_VALUE"""),44722.0)</f>
        <v>44722</v>
      </c>
      <c r="C14301" s="6">
        <f>IFERROR(__xludf.DUMMYFUNCTION("""COMPUTED_VALUE"""),0.7082638888896327)</f>
        <v>0.7082638889</v>
      </c>
      <c r="D14301" s="4">
        <f>IFERROR(__xludf.DUMMYFUNCTION("""COMPUTED_VALUE"""),12.971835)</f>
        <v>12.971835</v>
      </c>
      <c r="E14301" s="4">
        <f>IFERROR(__xludf.DUMMYFUNCTION("""COMPUTED_VALUE"""),80.151107)</f>
        <v>80.151107</v>
      </c>
      <c r="F14301" s="4">
        <f>IFERROR(__xludf.DUMMYFUNCTION("""COMPUTED_VALUE"""),805.0)</f>
        <v>805</v>
      </c>
      <c r="G14301" s="4">
        <f>IFERROR(__xludf.DUMMYFUNCTION("""COMPUTED_VALUE"""),30.0)</f>
        <v>30</v>
      </c>
      <c r="H14301" s="4"/>
      <c r="I14301" s="4"/>
    </row>
    <row r="14302">
      <c r="A14302" s="4" t="str">
        <f>IFERROR(__xludf.DUMMYFUNCTION("""COMPUTED_VALUE"""),"cas_hmw")</f>
        <v>cas_hmw</v>
      </c>
      <c r="B14302" s="5">
        <f>IFERROR(__xludf.DUMMYFUNCTION("""COMPUTED_VALUE"""),44722.0)</f>
        <v>44722</v>
      </c>
      <c r="C14302" s="6">
        <f>IFERROR(__xludf.DUMMYFUNCTION("""COMPUTED_VALUE"""),0.7087500000016007)</f>
        <v>0.70875</v>
      </c>
      <c r="D14302" s="4">
        <f>IFERROR(__xludf.DUMMYFUNCTION("""COMPUTED_VALUE"""),12.974588)</f>
        <v>12.974588</v>
      </c>
      <c r="E14302" s="4">
        <f>IFERROR(__xludf.DUMMYFUNCTION("""COMPUTED_VALUE"""),80.154777)</f>
        <v>80.154777</v>
      </c>
      <c r="F14302" s="4">
        <f>IFERROR(__xludf.DUMMYFUNCTION("""COMPUTED_VALUE"""),805.0)</f>
        <v>805</v>
      </c>
      <c r="G14302" s="4">
        <f>IFERROR(__xludf.DUMMYFUNCTION("""COMPUTED_VALUE"""),54.0)</f>
        <v>54</v>
      </c>
      <c r="H14302" s="4"/>
      <c r="I14302" s="4"/>
    </row>
    <row r="14303">
      <c r="A14303" s="4" t="str">
        <f>IFERROR(__xludf.DUMMYFUNCTION("""COMPUTED_VALUE"""),"cas_hmw")</f>
        <v>cas_hmw</v>
      </c>
      <c r="B14303" s="5">
        <f>IFERROR(__xludf.DUMMYFUNCTION("""COMPUTED_VALUE"""),44722.0)</f>
        <v>44722</v>
      </c>
      <c r="C14303" s="6">
        <f>IFERROR(__xludf.DUMMYFUNCTION("""COMPUTED_VALUE"""),0.7088425925940101)</f>
        <v>0.7088425926</v>
      </c>
      <c r="D14303" s="4">
        <f>IFERROR(__xludf.DUMMYFUNCTION("""COMPUTED_VALUE"""),12.974588)</f>
        <v>12.974588</v>
      </c>
      <c r="E14303" s="4">
        <f>IFERROR(__xludf.DUMMYFUNCTION("""COMPUTED_VALUE"""),80.154777)</f>
        <v>80.154777</v>
      </c>
      <c r="F14303" s="4">
        <f>IFERROR(__xludf.DUMMYFUNCTION("""COMPUTED_VALUE"""),805.0)</f>
        <v>805</v>
      </c>
      <c r="G14303" s="4">
        <f>IFERROR(__xludf.DUMMYFUNCTION("""COMPUTED_VALUE"""),54.0)</f>
        <v>54</v>
      </c>
      <c r="H14303" s="4"/>
      <c r="I14303" s="4"/>
    </row>
    <row r="14304">
      <c r="A14304" s="4" t="str">
        <f>IFERROR(__xludf.DUMMYFUNCTION("""COMPUTED_VALUE"""),"cas_hmw")</f>
        <v>cas_hmw</v>
      </c>
      <c r="B14304" s="5">
        <f>IFERROR(__xludf.DUMMYFUNCTION("""COMPUTED_VALUE"""),44722.0)</f>
        <v>44722</v>
      </c>
      <c r="C14304" s="6">
        <f>IFERROR(__xludf.DUMMYFUNCTION("""COMPUTED_VALUE"""),0.7091550925943011)</f>
        <v>0.7091550926</v>
      </c>
      <c r="D14304" s="4">
        <f>IFERROR(__xludf.DUMMYFUNCTION("""COMPUTED_VALUE"""),12.976744)</f>
        <v>12.976744</v>
      </c>
      <c r="E14304" s="4">
        <f>IFERROR(__xludf.DUMMYFUNCTION("""COMPUTED_VALUE"""),80.158043)</f>
        <v>80.158043</v>
      </c>
      <c r="F14304" s="4">
        <f>IFERROR(__xludf.DUMMYFUNCTION("""COMPUTED_VALUE"""),805.0)</f>
        <v>805</v>
      </c>
      <c r="G14304" s="4">
        <f>IFERROR(__xludf.DUMMYFUNCTION("""COMPUTED_VALUE"""),53.0)</f>
        <v>53</v>
      </c>
      <c r="H14304" s="4"/>
      <c r="I14304" s="4"/>
    </row>
    <row r="14305">
      <c r="A14305" s="4" t="str">
        <f>IFERROR(__xludf.DUMMYFUNCTION("""COMPUTED_VALUE"""),"cas_hmw")</f>
        <v>cas_hmw</v>
      </c>
      <c r="B14305" s="5">
        <f>IFERROR(__xludf.DUMMYFUNCTION("""COMPUTED_VALUE"""),44722.0)</f>
        <v>44722</v>
      </c>
      <c r="C14305" s="6">
        <f>IFERROR(__xludf.DUMMYFUNCTION("""COMPUTED_VALUE"""),0.7096643518525525)</f>
        <v>0.7096643519</v>
      </c>
      <c r="D14305" s="4">
        <f>IFERROR(__xludf.DUMMYFUNCTION("""COMPUTED_VALUE"""),12.979235)</f>
        <v>12.979235</v>
      </c>
      <c r="E14305" s="4">
        <f>IFERROR(__xludf.DUMMYFUNCTION("""COMPUTED_VALUE"""),80.16165)</f>
        <v>80.16165</v>
      </c>
      <c r="F14305" s="4">
        <f>IFERROR(__xludf.DUMMYFUNCTION("""COMPUTED_VALUE"""),805.0)</f>
        <v>805</v>
      </c>
      <c r="G14305" s="4">
        <f>IFERROR(__xludf.DUMMYFUNCTION("""COMPUTED_VALUE"""),51.0)</f>
        <v>51</v>
      </c>
      <c r="H14305" s="4"/>
      <c r="I14305" s="4"/>
    </row>
    <row r="14306">
      <c r="A14306" s="4" t="str">
        <f>IFERROR(__xludf.DUMMYFUNCTION("""COMPUTED_VALUE"""),"cas_hmw")</f>
        <v>cas_hmw</v>
      </c>
      <c r="B14306" s="5">
        <f>IFERROR(__xludf.DUMMYFUNCTION("""COMPUTED_VALUE"""),44722.0)</f>
        <v>44722</v>
      </c>
      <c r="C14306" s="6">
        <f>IFERROR(__xludf.DUMMYFUNCTION("""COMPUTED_VALUE"""),0.7097106481487572)</f>
        <v>0.7097106481</v>
      </c>
      <c r="D14306" s="4">
        <f>IFERROR(__xludf.DUMMYFUNCTION("""COMPUTED_VALUE"""),12.92275)</f>
        <v>12.92275</v>
      </c>
      <c r="E14306" s="4">
        <f>IFERROR(__xludf.DUMMYFUNCTION("""COMPUTED_VALUE"""),80.151348)</f>
        <v>80.151348</v>
      </c>
      <c r="F14306" s="4">
        <f>IFERROR(__xludf.DUMMYFUNCTION("""COMPUTED_VALUE"""),2846.0)</f>
        <v>2846</v>
      </c>
      <c r="G14306" s="4">
        <f>IFERROR(__xludf.DUMMYFUNCTION("""COMPUTED_VALUE"""),0.0)</f>
        <v>0</v>
      </c>
      <c r="H14306" s="4"/>
      <c r="I14306" s="4"/>
    </row>
    <row r="14307">
      <c r="A14307" s="4" t="str">
        <f>IFERROR(__xludf.DUMMYFUNCTION("""COMPUTED_VALUE"""),"cas_hmw")</f>
        <v>cas_hmw</v>
      </c>
      <c r="B14307" s="5">
        <f>IFERROR(__xludf.DUMMYFUNCTION("""COMPUTED_VALUE"""),44722.0)</f>
        <v>44722</v>
      </c>
      <c r="C14307" s="6">
        <f>IFERROR(__xludf.DUMMYFUNCTION("""COMPUTED_VALUE"""),0.7104166666649689)</f>
        <v>0.7104166667</v>
      </c>
      <c r="D14307" s="4">
        <f>IFERROR(__xludf.DUMMYFUNCTION("""COMPUTED_VALUE"""),12.923394)</f>
        <v>12.923394</v>
      </c>
      <c r="E14307" s="4">
        <f>IFERROR(__xludf.DUMMYFUNCTION("""COMPUTED_VALUE"""),80.15445)</f>
        <v>80.15445</v>
      </c>
      <c r="F14307" s="4">
        <f>IFERROR(__xludf.DUMMYFUNCTION("""COMPUTED_VALUE"""),2846.0)</f>
        <v>2846</v>
      </c>
      <c r="G14307" s="4">
        <f>IFERROR(__xludf.DUMMYFUNCTION("""COMPUTED_VALUE"""),4.0)</f>
        <v>4</v>
      </c>
      <c r="H14307" s="4"/>
      <c r="I14307" s="4"/>
    </row>
    <row r="14308">
      <c r="A14308" s="4" t="str">
        <f>IFERROR(__xludf.DUMMYFUNCTION("""COMPUTED_VALUE"""),"cas_hmw")</f>
        <v>cas_hmw</v>
      </c>
      <c r="B14308" s="5">
        <f>IFERROR(__xludf.DUMMYFUNCTION("""COMPUTED_VALUE"""),44722.0)</f>
        <v>44722</v>
      </c>
      <c r="C14308" s="6">
        <f>IFERROR(__xludf.DUMMYFUNCTION("""COMPUTED_VALUE"""),0.7104629629611736)</f>
        <v>0.710462963</v>
      </c>
      <c r="D14308" s="4">
        <f>IFERROR(__xludf.DUMMYFUNCTION("""COMPUTED_VALUE"""),12.923481)</f>
        <v>12.923481</v>
      </c>
      <c r="E14308" s="4">
        <f>IFERROR(__xludf.DUMMYFUNCTION("""COMPUTED_VALUE"""),80.154868)</f>
        <v>80.154868</v>
      </c>
      <c r="F14308" s="4">
        <f>IFERROR(__xludf.DUMMYFUNCTION("""COMPUTED_VALUE"""),2846.0)</f>
        <v>2846</v>
      </c>
      <c r="G14308" s="4">
        <f>IFERROR(__xludf.DUMMYFUNCTION("""COMPUTED_VALUE"""),22.0)</f>
        <v>22</v>
      </c>
      <c r="H14308" s="4"/>
      <c r="I14308" s="4"/>
    </row>
    <row r="14309">
      <c r="A14309" s="4" t="str">
        <f>IFERROR(__xludf.DUMMYFUNCTION("""COMPUTED_VALUE"""),"cas_hmw")</f>
        <v>cas_hmw</v>
      </c>
      <c r="B14309" s="5">
        <f>IFERROR(__xludf.DUMMYFUNCTION("""COMPUTED_VALUE"""),44722.0)</f>
        <v>44722</v>
      </c>
      <c r="C14309" s="6">
        <f>IFERROR(__xludf.DUMMYFUNCTION("""COMPUTED_VALUE"""),0.7104976851842366)</f>
        <v>0.7104976852</v>
      </c>
      <c r="D14309" s="4">
        <f>IFERROR(__xludf.DUMMYFUNCTION("""COMPUTED_VALUE"""),12.923481)</f>
        <v>12.923481</v>
      </c>
      <c r="E14309" s="4">
        <f>IFERROR(__xludf.DUMMYFUNCTION("""COMPUTED_VALUE"""),80.154868)</f>
        <v>80.154868</v>
      </c>
      <c r="F14309" s="4">
        <f>IFERROR(__xludf.DUMMYFUNCTION("""COMPUTED_VALUE"""),2846.0)</f>
        <v>2846</v>
      </c>
      <c r="G14309" s="4">
        <f>IFERROR(__xludf.DUMMYFUNCTION("""COMPUTED_VALUE"""),22.0)</f>
        <v>22</v>
      </c>
      <c r="H14309" s="4"/>
      <c r="I14309" s="4"/>
    </row>
    <row r="14310">
      <c r="A14310" s="4" t="str">
        <f>IFERROR(__xludf.DUMMYFUNCTION("""COMPUTED_VALUE"""),"cas_hmw")</f>
        <v>cas_hmw</v>
      </c>
      <c r="B14310" s="5">
        <f>IFERROR(__xludf.DUMMYFUNCTION("""COMPUTED_VALUE"""),44722.0)</f>
        <v>44722</v>
      </c>
      <c r="C14310" s="6">
        <f>IFERROR(__xludf.DUMMYFUNCTION("""COMPUTED_VALUE"""),0.7108101851845277)</f>
        <v>0.7108101852</v>
      </c>
      <c r="D14310" s="4">
        <f>IFERROR(__xludf.DUMMYFUNCTION("""COMPUTED_VALUE"""),12.923573)</f>
        <v>12.923573</v>
      </c>
      <c r="E14310" s="4">
        <f>IFERROR(__xludf.DUMMYFUNCTION("""COMPUTED_VALUE"""),80.15795)</f>
        <v>80.15795</v>
      </c>
      <c r="F14310" s="4">
        <f>IFERROR(__xludf.DUMMYFUNCTION("""COMPUTED_VALUE"""),2846.0)</f>
        <v>2846</v>
      </c>
      <c r="G14310" s="4">
        <f>IFERROR(__xludf.DUMMYFUNCTION("""COMPUTED_VALUE"""),41.0)</f>
        <v>41</v>
      </c>
      <c r="H14310" s="4"/>
      <c r="I14310" s="4"/>
    </row>
    <row r="14311">
      <c r="A14311" s="4" t="str">
        <f>IFERROR(__xludf.DUMMYFUNCTION("""COMPUTED_VALUE"""),"cas_hmw")</f>
        <v>cas_hmw</v>
      </c>
      <c r="B14311" s="5">
        <f>IFERROR(__xludf.DUMMYFUNCTION("""COMPUTED_VALUE"""),44722.0)</f>
        <v>44722</v>
      </c>
      <c r="C14311" s="6">
        <f>IFERROR(__xludf.DUMMYFUNCTION("""COMPUTED_VALUE"""),0.7111689814810234)</f>
        <v>0.7111689815</v>
      </c>
      <c r="D14311" s="4">
        <f>IFERROR(__xludf.DUMMYFUNCTION("""COMPUTED_VALUE"""),12.923119)</f>
        <v>12.923119</v>
      </c>
      <c r="E14311" s="4">
        <f>IFERROR(__xludf.DUMMYFUNCTION("""COMPUTED_VALUE"""),80.160891)</f>
        <v>80.160891</v>
      </c>
      <c r="F14311" s="4">
        <f>IFERROR(__xludf.DUMMYFUNCTION("""COMPUTED_VALUE"""),2846.0)</f>
        <v>2846</v>
      </c>
      <c r="G14311" s="4">
        <f>IFERROR(__xludf.DUMMYFUNCTION("""COMPUTED_VALUE"""),38.0)</f>
        <v>38</v>
      </c>
      <c r="H14311" s="4"/>
      <c r="I14311" s="4"/>
    </row>
    <row r="14312">
      <c r="A14312" s="4" t="str">
        <f>IFERROR(__xludf.DUMMYFUNCTION("""COMPUTED_VALUE"""),"cas_hmw")</f>
        <v>cas_hmw</v>
      </c>
      <c r="B14312" s="5">
        <f>IFERROR(__xludf.DUMMYFUNCTION("""COMPUTED_VALUE"""),44722.0)</f>
        <v>44722</v>
      </c>
      <c r="C14312" s="6">
        <f>IFERROR(__xludf.DUMMYFUNCTION("""COMPUTED_VALUE"""),0.711284722223354)</f>
        <v>0.7112847222</v>
      </c>
      <c r="D14312" s="4">
        <f>IFERROR(__xludf.DUMMYFUNCTION("""COMPUTED_VALUE"""),12.923119)</f>
        <v>12.923119</v>
      </c>
      <c r="E14312" s="4">
        <f>IFERROR(__xludf.DUMMYFUNCTION("""COMPUTED_VALUE"""),80.160891)</f>
        <v>80.160891</v>
      </c>
      <c r="F14312" s="4">
        <f>IFERROR(__xludf.DUMMYFUNCTION("""COMPUTED_VALUE"""),2846.0)</f>
        <v>2846</v>
      </c>
      <c r="G14312" s="4">
        <f>IFERROR(__xludf.DUMMYFUNCTION("""COMPUTED_VALUE"""),38.0)</f>
        <v>38</v>
      </c>
      <c r="H14312" s="4"/>
      <c r="I14312" s="4"/>
    </row>
    <row r="14313">
      <c r="A14313" s="4" t="str">
        <f>IFERROR(__xludf.DUMMYFUNCTION("""COMPUTED_VALUE"""),"cas_hmw")</f>
        <v>cas_hmw</v>
      </c>
      <c r="B14313" s="5">
        <f>IFERROR(__xludf.DUMMYFUNCTION("""COMPUTED_VALUE"""),44722.0)</f>
        <v>44722</v>
      </c>
      <c r="C14313" s="6">
        <f>IFERROR(__xludf.DUMMYFUNCTION("""COMPUTED_VALUE"""),0.7115856481468654)</f>
        <v>0.7115856481</v>
      </c>
      <c r="D14313" s="4">
        <f>IFERROR(__xludf.DUMMYFUNCTION("""COMPUTED_VALUE"""),12.921957)</f>
        <v>12.921957</v>
      </c>
      <c r="E14313" s="4">
        <f>IFERROR(__xludf.DUMMYFUNCTION("""COMPUTED_VALUE"""),80.16447)</f>
        <v>80.16447</v>
      </c>
      <c r="F14313" s="4">
        <f>IFERROR(__xludf.DUMMYFUNCTION("""COMPUTED_VALUE"""),2846.0)</f>
        <v>2846</v>
      </c>
      <c r="G14313" s="4">
        <f>IFERROR(__xludf.DUMMYFUNCTION("""COMPUTED_VALUE"""),46.0)</f>
        <v>46</v>
      </c>
      <c r="H14313" s="4"/>
      <c r="I14313" s="4"/>
    </row>
    <row r="14314">
      <c r="A14314" s="4" t="str">
        <f>IFERROR(__xludf.DUMMYFUNCTION("""COMPUTED_VALUE"""),"cas_hmw")</f>
        <v>cas_hmw</v>
      </c>
      <c r="B14314" s="5">
        <f>IFERROR(__xludf.DUMMYFUNCTION("""COMPUTED_VALUE"""),44722.0)</f>
        <v>44722</v>
      </c>
      <c r="C14314" s="6">
        <f>IFERROR(__xludf.DUMMYFUNCTION("""COMPUTED_VALUE"""),0.7125347222208802)</f>
        <v>0.7125347222</v>
      </c>
      <c r="D14314" s="4">
        <f>IFERROR(__xludf.DUMMYFUNCTION("""COMPUTED_VALUE"""),12.919711)</f>
        <v>12.919711</v>
      </c>
      <c r="E14314" s="4">
        <f>IFERROR(__xludf.DUMMYFUNCTION("""COMPUTED_VALUE"""),80.171508)</f>
        <v>80.171508</v>
      </c>
      <c r="F14314" s="4">
        <f>IFERROR(__xludf.DUMMYFUNCTION("""COMPUTED_VALUE"""),2846.0)</f>
        <v>2846</v>
      </c>
      <c r="G14314" s="4">
        <f>IFERROR(__xludf.DUMMYFUNCTION("""COMPUTED_VALUE"""),35.0)</f>
        <v>35</v>
      </c>
      <c r="H14314" s="4"/>
      <c r="I14314" s="4"/>
    </row>
    <row r="14315">
      <c r="A14315" s="4" t="str">
        <f>IFERROR(__xludf.DUMMYFUNCTION("""COMPUTED_VALUE"""),"cas_hmw")</f>
        <v>cas_hmw</v>
      </c>
      <c r="B14315" s="5">
        <f>IFERROR(__xludf.DUMMYFUNCTION("""COMPUTED_VALUE"""),44722.0)</f>
        <v>44722</v>
      </c>
      <c r="C14315" s="6">
        <f>IFERROR(__xludf.DUMMYFUNCTION("""COMPUTED_VALUE"""),0.7129513888903602)</f>
        <v>0.7129513889</v>
      </c>
      <c r="D14315" s="4">
        <f>IFERROR(__xludf.DUMMYFUNCTION("""COMPUTED_VALUE"""),12.99015)</f>
        <v>12.99015</v>
      </c>
      <c r="E14315" s="4">
        <f>IFERROR(__xludf.DUMMYFUNCTION("""COMPUTED_VALUE"""),80.179639)</f>
        <v>80.179639</v>
      </c>
      <c r="F14315" s="4">
        <f>IFERROR(__xludf.DUMMYFUNCTION("""COMPUTED_VALUE"""),805.0)</f>
        <v>805</v>
      </c>
      <c r="G14315" s="4">
        <f>IFERROR(__xludf.DUMMYFUNCTION("""COMPUTED_VALUE"""),49.0)</f>
        <v>49</v>
      </c>
      <c r="H14315" s="4"/>
      <c r="I14315" s="4"/>
    </row>
    <row r="14316">
      <c r="A14316" s="4" t="str">
        <f>IFERROR(__xludf.DUMMYFUNCTION("""COMPUTED_VALUE"""),"cas_hmw")</f>
        <v>cas_hmw</v>
      </c>
      <c r="B14316" s="5">
        <f>IFERROR(__xludf.DUMMYFUNCTION("""COMPUTED_VALUE"""),44722.0)</f>
        <v>44722</v>
      </c>
      <c r="C14316" s="6">
        <f>IFERROR(__xludf.DUMMYFUNCTION("""COMPUTED_VALUE"""),0.7141087962954771)</f>
        <v>0.7141087963</v>
      </c>
      <c r="D14316" s="4">
        <f>IFERROR(__xludf.DUMMYFUNCTION("""COMPUTED_VALUE"""),12.993855)</f>
        <v>12.993855</v>
      </c>
      <c r="E14316" s="4">
        <f>IFERROR(__xludf.DUMMYFUNCTION("""COMPUTED_VALUE"""),80.185103)</f>
        <v>80.185103</v>
      </c>
      <c r="F14316" s="4">
        <f>IFERROR(__xludf.DUMMYFUNCTION("""COMPUTED_VALUE"""),805.0)</f>
        <v>805</v>
      </c>
      <c r="G14316" s="4">
        <f>IFERROR(__xludf.DUMMYFUNCTION("""COMPUTED_VALUE"""),21.0)</f>
        <v>21</v>
      </c>
      <c r="H14316" s="4"/>
      <c r="I14316" s="4"/>
    </row>
    <row r="14317">
      <c r="A14317" s="4" t="str">
        <f>IFERROR(__xludf.DUMMYFUNCTION("""COMPUTED_VALUE"""),"cas_hmw")</f>
        <v>cas_hmw</v>
      </c>
      <c r="B14317" s="5">
        <f>IFERROR(__xludf.DUMMYFUNCTION("""COMPUTED_VALUE"""),44722.0)</f>
        <v>44722</v>
      </c>
      <c r="C14317" s="6">
        <f>IFERROR(__xludf.DUMMYFUNCTION("""COMPUTED_VALUE"""),0.7145023148150358)</f>
        <v>0.7145023148</v>
      </c>
      <c r="D14317" s="4">
        <f>IFERROR(__xludf.DUMMYFUNCTION("""COMPUTED_VALUE"""),12.996342)</f>
        <v>12.996342</v>
      </c>
      <c r="E14317" s="4">
        <f>IFERROR(__xludf.DUMMYFUNCTION("""COMPUTED_VALUE"""),80.189569)</f>
        <v>80.189569</v>
      </c>
      <c r="F14317" s="4">
        <f>IFERROR(__xludf.DUMMYFUNCTION("""COMPUTED_VALUE"""),805.0)</f>
        <v>805</v>
      </c>
      <c r="G14317" s="4">
        <f>IFERROR(__xludf.DUMMYFUNCTION("""COMPUTED_VALUE"""),31.0)</f>
        <v>31</v>
      </c>
      <c r="H14317" s="4"/>
      <c r="I14317" s="4"/>
    </row>
    <row r="14318">
      <c r="A14318" s="4" t="str">
        <f>IFERROR(__xludf.DUMMYFUNCTION("""COMPUTED_VALUE"""),"cas_hmw")</f>
        <v>cas_hmw</v>
      </c>
      <c r="B14318" s="5">
        <f>IFERROR(__xludf.DUMMYFUNCTION("""COMPUTED_VALUE"""),44722.0)</f>
        <v>44722</v>
      </c>
      <c r="C14318" s="6">
        <f>IFERROR(__xludf.DUMMYFUNCTION("""COMPUTED_VALUE"""),0.7146064814805868)</f>
        <v>0.7146064815</v>
      </c>
      <c r="D14318" s="4">
        <f>IFERROR(__xludf.DUMMYFUNCTION("""COMPUTED_VALUE"""),12.996342)</f>
        <v>12.996342</v>
      </c>
      <c r="E14318" s="4">
        <f>IFERROR(__xludf.DUMMYFUNCTION("""COMPUTED_VALUE"""),80.189569)</f>
        <v>80.189569</v>
      </c>
      <c r="F14318" s="4">
        <f>IFERROR(__xludf.DUMMYFUNCTION("""COMPUTED_VALUE"""),805.0)</f>
        <v>805</v>
      </c>
      <c r="G14318" s="4">
        <f>IFERROR(__xludf.DUMMYFUNCTION("""COMPUTED_VALUE"""),31.0)</f>
        <v>31</v>
      </c>
      <c r="H14318" s="4"/>
      <c r="I14318" s="4"/>
    </row>
    <row r="14319">
      <c r="A14319" s="4" t="str">
        <f>IFERROR(__xludf.DUMMYFUNCTION("""COMPUTED_VALUE"""),"cas_hmw")</f>
        <v>cas_hmw</v>
      </c>
      <c r="B14319" s="5">
        <f>IFERROR(__xludf.DUMMYFUNCTION("""COMPUTED_VALUE"""),44722.0)</f>
        <v>44722</v>
      </c>
      <c r="C14319" s="6">
        <f>IFERROR(__xludf.DUMMYFUNCTION("""COMPUTED_VALUE"""),0.7148032407421852)</f>
        <v>0.7148032407</v>
      </c>
      <c r="D14319" s="4">
        <f>IFERROR(__xludf.DUMMYFUNCTION("""COMPUTED_VALUE"""),12.997314)</f>
        <v>12.997314</v>
      </c>
      <c r="E14319" s="4">
        <f>IFERROR(__xludf.DUMMYFUNCTION("""COMPUTED_VALUE"""),80.190703)</f>
        <v>80.190703</v>
      </c>
      <c r="F14319" s="4">
        <f>IFERROR(__xludf.DUMMYFUNCTION("""COMPUTED_VALUE"""),805.0)</f>
        <v>805</v>
      </c>
      <c r="G14319" s="4">
        <f>IFERROR(__xludf.DUMMYFUNCTION("""COMPUTED_VALUE"""),43.0)</f>
        <v>43</v>
      </c>
      <c r="H14319" s="4"/>
      <c r="I14319" s="4"/>
    </row>
    <row r="14320">
      <c r="A14320" s="4" t="str">
        <f>IFERROR(__xludf.DUMMYFUNCTION("""COMPUTED_VALUE"""),"cas_hmw")</f>
        <v>cas_hmw</v>
      </c>
      <c r="B14320" s="5">
        <f>IFERROR(__xludf.DUMMYFUNCTION("""COMPUTED_VALUE"""),44722.0)</f>
        <v>44722</v>
      </c>
      <c r="C14320" s="6">
        <f>IFERROR(__xludf.DUMMYFUNCTION("""COMPUTED_VALUE"""),0.715891203704814)</f>
        <v>0.7158912037</v>
      </c>
      <c r="D14320" s="4">
        <f>IFERROR(__xludf.DUMMYFUNCTION("""COMPUTED_VALUE"""),13.001312)</f>
        <v>13.001312</v>
      </c>
      <c r="E14320" s="4">
        <f>IFERROR(__xludf.DUMMYFUNCTION("""COMPUTED_VALUE"""),80.195715)</f>
        <v>80.195715</v>
      </c>
      <c r="F14320" s="4">
        <f>IFERROR(__xludf.DUMMYFUNCTION("""COMPUTED_VALUE"""),805.0)</f>
        <v>805</v>
      </c>
      <c r="G14320" s="4">
        <f>IFERROR(__xludf.DUMMYFUNCTION("""COMPUTED_VALUE"""),13.0)</f>
        <v>13</v>
      </c>
      <c r="H14320" s="4"/>
      <c r="I14320" s="4"/>
    </row>
    <row r="14321">
      <c r="A14321" s="4" t="str">
        <f>IFERROR(__xludf.DUMMYFUNCTION("""COMPUTED_VALUE"""),"cas_hmw")</f>
        <v>cas_hmw</v>
      </c>
      <c r="B14321" s="5">
        <f>IFERROR(__xludf.DUMMYFUNCTION("""COMPUTED_VALUE"""),44722.0)</f>
        <v>44722</v>
      </c>
      <c r="C14321" s="6">
        <f>IFERROR(__xludf.DUMMYFUNCTION("""COMPUTED_VALUE"""),0.7159490740741603)</f>
        <v>0.7159490741</v>
      </c>
      <c r="D14321" s="4">
        <f>IFERROR(__xludf.DUMMYFUNCTION("""COMPUTED_VALUE"""),13.001312)</f>
        <v>13.001312</v>
      </c>
      <c r="E14321" s="4">
        <f>IFERROR(__xludf.DUMMYFUNCTION("""COMPUTED_VALUE"""),80.195715)</f>
        <v>80.195715</v>
      </c>
      <c r="F14321" s="4">
        <f>IFERROR(__xludf.DUMMYFUNCTION("""COMPUTED_VALUE"""),805.0)</f>
        <v>805</v>
      </c>
      <c r="G14321" s="4">
        <f>IFERROR(__xludf.DUMMYFUNCTION("""COMPUTED_VALUE"""),13.0)</f>
        <v>13</v>
      </c>
      <c r="H14321" s="4"/>
      <c r="I14321" s="4"/>
    </row>
    <row r="14322">
      <c r="A14322" s="4" t="str">
        <f>IFERROR(__xludf.DUMMYFUNCTION("""COMPUTED_VALUE"""),"cas_hmw")</f>
        <v>cas_hmw</v>
      </c>
      <c r="B14322" s="5">
        <f>IFERROR(__xludf.DUMMYFUNCTION("""COMPUTED_VALUE"""),44722.0)</f>
        <v>44722</v>
      </c>
      <c r="C14322" s="6">
        <f>IFERROR(__xludf.DUMMYFUNCTION("""COMPUTED_VALUE"""),0.7161458333321207)</f>
        <v>0.7161458333</v>
      </c>
      <c r="D14322" s="4">
        <f>IFERROR(__xludf.DUMMYFUNCTION("""COMPUTED_VALUE"""),13.002003)</f>
        <v>13.002003</v>
      </c>
      <c r="E14322" s="4">
        <f>IFERROR(__xludf.DUMMYFUNCTION("""COMPUTED_VALUE"""),80.197973)</f>
        <v>80.197973</v>
      </c>
      <c r="F14322" s="4">
        <f>IFERROR(__xludf.DUMMYFUNCTION("""COMPUTED_VALUE"""),805.0)</f>
        <v>805</v>
      </c>
      <c r="G14322" s="4">
        <f>IFERROR(__xludf.DUMMYFUNCTION("""COMPUTED_VALUE"""),46.0)</f>
        <v>46</v>
      </c>
      <c r="H14322" s="4"/>
      <c r="I14322" s="4"/>
    </row>
    <row r="14323">
      <c r="A14323" s="4" t="str">
        <f>IFERROR(__xludf.DUMMYFUNCTION("""COMPUTED_VALUE"""),"cas_hmw")</f>
        <v>cas_hmw</v>
      </c>
      <c r="B14323" s="5">
        <f>IFERROR(__xludf.DUMMYFUNCTION("""COMPUTED_VALUE"""),44722.0)</f>
        <v>44722</v>
      </c>
      <c r="C14323" s="6">
        <f>IFERROR(__xludf.DUMMYFUNCTION("""COMPUTED_VALUE"""),0.7165740740747424)</f>
        <v>0.7165740741</v>
      </c>
      <c r="D14323" s="4">
        <f>IFERROR(__xludf.DUMMYFUNCTION("""COMPUTED_VALUE"""),13.003346)</f>
        <v>13.003346</v>
      </c>
      <c r="E14323" s="4">
        <f>IFERROR(__xludf.DUMMYFUNCTION("""COMPUTED_VALUE"""),80.200801)</f>
        <v>80.200801</v>
      </c>
      <c r="F14323" s="4">
        <f>IFERROR(__xludf.DUMMYFUNCTION("""COMPUTED_VALUE"""),805.0)</f>
        <v>805</v>
      </c>
      <c r="G14323" s="4">
        <f>IFERROR(__xludf.DUMMYFUNCTION("""COMPUTED_VALUE"""),42.0)</f>
        <v>42</v>
      </c>
      <c r="H14323" s="4"/>
      <c r="I14323" s="4"/>
    </row>
    <row r="14324">
      <c r="A14324" s="4" t="str">
        <f>IFERROR(__xludf.DUMMYFUNCTION("""COMPUTED_VALUE"""),"cas_hmw")</f>
        <v>cas_hmw</v>
      </c>
      <c r="B14324" s="5">
        <f>IFERROR(__xludf.DUMMYFUNCTION("""COMPUTED_VALUE"""),44722.0)</f>
        <v>44722</v>
      </c>
      <c r="C14324" s="6">
        <f>IFERROR(__xludf.DUMMYFUNCTION("""COMPUTED_VALUE"""),0.7166898148134351)</f>
        <v>0.7166898148</v>
      </c>
      <c r="D14324" s="4">
        <f>IFERROR(__xludf.DUMMYFUNCTION("""COMPUTED_VALUE"""),13.003346)</f>
        <v>13.003346</v>
      </c>
      <c r="E14324" s="4">
        <f>IFERROR(__xludf.DUMMYFUNCTION("""COMPUTED_VALUE"""),80.200801)</f>
        <v>80.200801</v>
      </c>
      <c r="F14324" s="4">
        <f>IFERROR(__xludf.DUMMYFUNCTION("""COMPUTED_VALUE"""),805.0)</f>
        <v>805</v>
      </c>
      <c r="G14324" s="4">
        <f>IFERROR(__xludf.DUMMYFUNCTION("""COMPUTED_VALUE"""),42.0)</f>
        <v>42</v>
      </c>
      <c r="H14324" s="4"/>
      <c r="I14324" s="4"/>
    </row>
    <row r="14325">
      <c r="A14325" s="4" t="str">
        <f>IFERROR(__xludf.DUMMYFUNCTION("""COMPUTED_VALUE"""),"cas_hmw")</f>
        <v>cas_hmw</v>
      </c>
      <c r="B14325" s="5">
        <f>IFERROR(__xludf.DUMMYFUNCTION("""COMPUTED_VALUE"""),44722.0)</f>
        <v>44722</v>
      </c>
      <c r="C14325" s="6">
        <f>IFERROR(__xludf.DUMMYFUNCTION("""COMPUTED_VALUE"""),0.7168402777788287)</f>
        <v>0.7168402778</v>
      </c>
      <c r="D14325" s="4">
        <f>IFERROR(__xludf.DUMMYFUNCTION("""COMPUTED_VALUE"""),13.004436)</f>
        <v>13.004436</v>
      </c>
      <c r="E14325" s="4">
        <f>IFERROR(__xludf.DUMMYFUNCTION("""COMPUTED_VALUE"""),80.201074)</f>
        <v>80.201074</v>
      </c>
      <c r="F14325" s="4">
        <f>IFERROR(__xludf.DUMMYFUNCTION("""COMPUTED_VALUE"""),805.0)</f>
        <v>805</v>
      </c>
      <c r="G14325" s="4">
        <f>IFERROR(__xludf.DUMMYFUNCTION("""COMPUTED_VALUE"""),25.0)</f>
        <v>25</v>
      </c>
      <c r="H14325" s="4"/>
      <c r="I14325" s="4"/>
    </row>
    <row r="14326">
      <c r="A14326" s="4" t="str">
        <f>IFERROR(__xludf.DUMMYFUNCTION("""COMPUTED_VALUE"""),"cas_hmw")</f>
        <v>cas_hmw</v>
      </c>
      <c r="B14326" s="5">
        <f>IFERROR(__xludf.DUMMYFUNCTION("""COMPUTED_VALUE"""),44722.0)</f>
        <v>44722</v>
      </c>
      <c r="C14326" s="6">
        <f>IFERROR(__xludf.DUMMYFUNCTION("""COMPUTED_VALUE"""),0.7176041666680248)</f>
        <v>0.7176041667</v>
      </c>
      <c r="D14326" s="4">
        <f>IFERROR(__xludf.DUMMYFUNCTION("""COMPUTED_VALUE"""),13.007971)</f>
        <v>13.007971</v>
      </c>
      <c r="E14326" s="4">
        <f>IFERROR(__xludf.DUMMYFUNCTION("""COMPUTED_VALUE"""),80.202744)</f>
        <v>80.202744</v>
      </c>
      <c r="F14326" s="4">
        <f>IFERROR(__xludf.DUMMYFUNCTION("""COMPUTED_VALUE"""),805.0)</f>
        <v>805</v>
      </c>
      <c r="G14326" s="4">
        <f>IFERROR(__xludf.DUMMYFUNCTION("""COMPUTED_VALUE"""),41.0)</f>
        <v>41</v>
      </c>
      <c r="H14326" s="4"/>
      <c r="I14326" s="4"/>
    </row>
    <row r="14327">
      <c r="A14327" s="4" t="str">
        <f>IFERROR(__xludf.DUMMYFUNCTION("""COMPUTED_VALUE"""),"cas_hmw")</f>
        <v>cas_hmw</v>
      </c>
      <c r="B14327" s="5">
        <f>IFERROR(__xludf.DUMMYFUNCTION("""COMPUTED_VALUE"""),44722.0)</f>
        <v>44722</v>
      </c>
      <c r="C14327" s="6">
        <f>IFERROR(__xludf.DUMMYFUNCTION("""COMPUTED_VALUE"""),0.7179398148145992)</f>
        <v>0.7179398148</v>
      </c>
      <c r="D14327" s="4">
        <f>IFERROR(__xludf.DUMMYFUNCTION("""COMPUTED_VALUE"""),13.007784)</f>
        <v>13.007784</v>
      </c>
      <c r="E14327" s="4">
        <f>IFERROR(__xludf.DUMMYFUNCTION("""COMPUTED_VALUE"""),80.206635)</f>
        <v>80.206635</v>
      </c>
      <c r="F14327" s="4">
        <f>IFERROR(__xludf.DUMMYFUNCTION("""COMPUTED_VALUE"""),805.0)</f>
        <v>805</v>
      </c>
      <c r="G14327" s="4">
        <f>IFERROR(__xludf.DUMMYFUNCTION("""COMPUTED_VALUE"""),47.0)</f>
        <v>47</v>
      </c>
      <c r="H14327" s="4"/>
      <c r="I14327" s="4"/>
    </row>
    <row r="14328">
      <c r="A14328" s="4" t="str">
        <f>IFERROR(__xludf.DUMMYFUNCTION("""COMPUTED_VALUE"""),"cas_hmw")</f>
        <v>cas_hmw</v>
      </c>
      <c r="B14328" s="5">
        <f>IFERROR(__xludf.DUMMYFUNCTION("""COMPUTED_VALUE"""),44722.0)</f>
        <v>44722</v>
      </c>
      <c r="C14328" s="6">
        <f>IFERROR(__xludf.DUMMYFUNCTION("""COMPUTED_VALUE"""),0.7180092592607252)</f>
        <v>0.7180092593</v>
      </c>
      <c r="D14328" s="4">
        <f>IFERROR(__xludf.DUMMYFUNCTION("""COMPUTED_VALUE"""),13.008022)</f>
        <v>13.008022</v>
      </c>
      <c r="E14328" s="4">
        <f>IFERROR(__xludf.DUMMYFUNCTION("""COMPUTED_VALUE"""),80.208317)</f>
        <v>80.208317</v>
      </c>
      <c r="F14328" s="4">
        <f>IFERROR(__xludf.DUMMYFUNCTION("""COMPUTED_VALUE"""),805.0)</f>
        <v>805</v>
      </c>
      <c r="G14328" s="4">
        <f>IFERROR(__xludf.DUMMYFUNCTION("""COMPUTED_VALUE"""),39.0)</f>
        <v>39</v>
      </c>
      <c r="H14328" s="4"/>
      <c r="I14328" s="4"/>
    </row>
    <row r="14329">
      <c r="A14329" s="4" t="str">
        <f>IFERROR(__xludf.DUMMYFUNCTION("""COMPUTED_VALUE"""),"cas_hmw")</f>
        <v>cas_hmw</v>
      </c>
      <c r="B14329" s="5">
        <f>IFERROR(__xludf.DUMMYFUNCTION("""COMPUTED_VALUE"""),44722.0)</f>
        <v>44722</v>
      </c>
      <c r="C14329" s="6">
        <f>IFERROR(__xludf.DUMMYFUNCTION("""COMPUTED_VALUE"""),0.7180787037032133)</f>
        <v>0.7180787037</v>
      </c>
      <c r="D14329" s="4">
        <f>IFERROR(__xludf.DUMMYFUNCTION("""COMPUTED_VALUE"""),13.008022)</f>
        <v>13.008022</v>
      </c>
      <c r="E14329" s="4">
        <f>IFERROR(__xludf.DUMMYFUNCTION("""COMPUTED_VALUE"""),80.208317)</f>
        <v>80.208317</v>
      </c>
      <c r="F14329" s="4">
        <f>IFERROR(__xludf.DUMMYFUNCTION("""COMPUTED_VALUE"""),805.0)</f>
        <v>805</v>
      </c>
      <c r="G14329" s="4">
        <f>IFERROR(__xludf.DUMMYFUNCTION("""COMPUTED_VALUE"""),39.0)</f>
        <v>39</v>
      </c>
      <c r="H14329" s="4"/>
      <c r="I14329" s="4"/>
    </row>
    <row r="14330">
      <c r="A14330" s="4" t="str">
        <f>IFERROR(__xludf.DUMMYFUNCTION("""COMPUTED_VALUE"""),"cas_hmw")</f>
        <v>cas_hmw</v>
      </c>
      <c r="B14330" s="5">
        <f>IFERROR(__xludf.DUMMYFUNCTION("""COMPUTED_VALUE"""),44722.0)</f>
        <v>44722</v>
      </c>
      <c r="C14330" s="6">
        <f>IFERROR(__xludf.DUMMYFUNCTION("""COMPUTED_VALUE"""),0.7181018518531346)</f>
        <v>0.7181018519</v>
      </c>
      <c r="D14330" s="4">
        <f>IFERROR(__xludf.DUMMYFUNCTION("""COMPUTED_VALUE"""),13.008022)</f>
        <v>13.008022</v>
      </c>
      <c r="E14330" s="4">
        <f>IFERROR(__xludf.DUMMYFUNCTION("""COMPUTED_VALUE"""),80.208317)</f>
        <v>80.208317</v>
      </c>
      <c r="F14330" s="4">
        <f>IFERROR(__xludf.DUMMYFUNCTION("""COMPUTED_VALUE"""),805.0)</f>
        <v>805</v>
      </c>
      <c r="G14330" s="4">
        <f>IFERROR(__xludf.DUMMYFUNCTION("""COMPUTED_VALUE"""),39.0)</f>
        <v>39</v>
      </c>
      <c r="H14330" s="4"/>
      <c r="I14330" s="4"/>
    </row>
    <row r="14331">
      <c r="A14331" s="4" t="str">
        <f>IFERROR(__xludf.DUMMYFUNCTION("""COMPUTED_VALUE"""),"cas_hmw")</f>
        <v>cas_hmw</v>
      </c>
      <c r="B14331" s="5">
        <f>IFERROR(__xludf.DUMMYFUNCTION("""COMPUTED_VALUE"""),44722.0)</f>
        <v>44722</v>
      </c>
      <c r="C14331" s="6">
        <f>IFERROR(__xludf.DUMMYFUNCTION("""COMPUTED_VALUE"""),0.7196412037046684)</f>
        <v>0.7196412037</v>
      </c>
      <c r="D14331" s="4">
        <f>IFERROR(__xludf.DUMMYFUNCTION("""COMPUTED_VALUE"""),13.009683)</f>
        <v>13.009683</v>
      </c>
      <c r="E14331" s="4">
        <f>IFERROR(__xludf.DUMMYFUNCTION("""COMPUTED_VALUE"""),80.21348)</f>
        <v>80.21348</v>
      </c>
      <c r="F14331" s="4">
        <f>IFERROR(__xludf.DUMMYFUNCTION("""COMPUTED_VALUE"""),805.0)</f>
        <v>805</v>
      </c>
      <c r="G14331" s="4">
        <f>IFERROR(__xludf.DUMMYFUNCTION("""COMPUTED_VALUE"""),7.0)</f>
        <v>7</v>
      </c>
      <c r="H14331" s="4"/>
      <c r="I14331" s="4"/>
    </row>
    <row r="14332">
      <c r="A14332" s="4" t="str">
        <f>IFERROR(__xludf.DUMMYFUNCTION("""COMPUTED_VALUE"""),"cas_hmw")</f>
        <v>cas_hmw</v>
      </c>
      <c r="B14332" s="5">
        <f>IFERROR(__xludf.DUMMYFUNCTION("""COMPUTED_VALUE"""),44722.0)</f>
        <v>44722</v>
      </c>
      <c r="C14332" s="6">
        <f>IFERROR(__xludf.DUMMYFUNCTION("""COMPUTED_VALUE"""),0.7201504629629198)</f>
        <v>0.720150463</v>
      </c>
      <c r="D14332" s="4">
        <f>IFERROR(__xludf.DUMMYFUNCTION("""COMPUTED_VALUE"""),13.010114)</f>
        <v>13.010114</v>
      </c>
      <c r="E14332" s="4">
        <f>IFERROR(__xludf.DUMMYFUNCTION("""COMPUTED_VALUE"""),80.214635)</f>
        <v>80.214635</v>
      </c>
      <c r="F14332" s="4">
        <f>IFERROR(__xludf.DUMMYFUNCTION("""COMPUTED_VALUE"""),805.0)</f>
        <v>805</v>
      </c>
      <c r="G14332" s="4">
        <f>IFERROR(__xludf.DUMMYFUNCTION("""COMPUTED_VALUE"""),26.0)</f>
        <v>26</v>
      </c>
      <c r="H14332" s="4"/>
      <c r="I14332" s="4"/>
    </row>
    <row r="14333">
      <c r="A14333" s="4" t="str">
        <f>IFERROR(__xludf.DUMMYFUNCTION("""COMPUTED_VALUE"""),"cas_hmw")</f>
        <v>cas_hmw</v>
      </c>
      <c r="B14333" s="5">
        <f>IFERROR(__xludf.DUMMYFUNCTION("""COMPUTED_VALUE"""),44722.0)</f>
        <v>44722</v>
      </c>
      <c r="C14333" s="6">
        <f>IFERROR(__xludf.DUMMYFUNCTION("""COMPUTED_VALUE"""),0.721504629629635)</f>
        <v>0.7215046296</v>
      </c>
      <c r="D14333" s="4">
        <f>IFERROR(__xludf.DUMMYFUNCTION("""COMPUTED_VALUE"""),13.015014)</f>
        <v>13.015014</v>
      </c>
      <c r="E14333" s="4">
        <f>IFERROR(__xludf.DUMMYFUNCTION("""COMPUTED_VALUE"""),80.224672)</f>
        <v>80.224672</v>
      </c>
      <c r="F14333" s="4">
        <f>IFERROR(__xludf.DUMMYFUNCTION("""COMPUTED_VALUE"""),805.0)</f>
        <v>805</v>
      </c>
      <c r="G14333" s="4">
        <f>IFERROR(__xludf.DUMMYFUNCTION("""COMPUTED_VALUE"""),16.0)</f>
        <v>16</v>
      </c>
      <c r="H14333" s="4"/>
      <c r="I14333" s="4"/>
    </row>
    <row r="14334">
      <c r="A14334" s="4" t="str">
        <f>IFERROR(__xludf.DUMMYFUNCTION("""COMPUTED_VALUE"""),"cas_hmw")</f>
        <v>cas_hmw</v>
      </c>
      <c r="B14334" s="5">
        <f>IFERROR(__xludf.DUMMYFUNCTION("""COMPUTED_VALUE"""),44722.0)</f>
        <v>44722</v>
      </c>
      <c r="C14334" s="6">
        <f>IFERROR(__xludf.DUMMYFUNCTION("""COMPUTED_VALUE"""),0.7215856481489027)</f>
        <v>0.7215856481</v>
      </c>
      <c r="D14334" s="4">
        <f>IFERROR(__xludf.DUMMYFUNCTION("""COMPUTED_VALUE"""),13.015014)</f>
        <v>13.015014</v>
      </c>
      <c r="E14334" s="4">
        <f>IFERROR(__xludf.DUMMYFUNCTION("""COMPUTED_VALUE"""),80.224672)</f>
        <v>80.224672</v>
      </c>
      <c r="F14334" s="4">
        <f>IFERROR(__xludf.DUMMYFUNCTION("""COMPUTED_VALUE"""),805.0)</f>
        <v>805</v>
      </c>
      <c r="G14334" s="4">
        <f>IFERROR(__xludf.DUMMYFUNCTION("""COMPUTED_VALUE"""),16.0)</f>
        <v>16</v>
      </c>
      <c r="H14334" s="4"/>
      <c r="I14334" s="4"/>
    </row>
    <row r="14335">
      <c r="A14335" s="4" t="str">
        <f>IFERROR(__xludf.DUMMYFUNCTION("""COMPUTED_VALUE"""),"cas_hmw")</f>
        <v>cas_hmw</v>
      </c>
      <c r="B14335" s="5">
        <f>IFERROR(__xludf.DUMMYFUNCTION("""COMPUTED_VALUE"""),44722.0)</f>
        <v>44722</v>
      </c>
      <c r="C14335" s="6">
        <f>IFERROR(__xludf.DUMMYFUNCTION("""COMPUTED_VALUE"""),0.7217824074068631)</f>
        <v>0.7217824074</v>
      </c>
      <c r="D14335" s="4">
        <f>IFERROR(__xludf.DUMMYFUNCTION("""COMPUTED_VALUE"""),13.015462)</f>
        <v>13.015462</v>
      </c>
      <c r="E14335" s="4">
        <f>IFERROR(__xludf.DUMMYFUNCTION("""COMPUTED_VALUE"""),80.225375)</f>
        <v>80.225375</v>
      </c>
      <c r="F14335" s="4">
        <f>IFERROR(__xludf.DUMMYFUNCTION("""COMPUTED_VALUE"""),805.0)</f>
        <v>805</v>
      </c>
      <c r="G14335" s="4">
        <f>IFERROR(__xludf.DUMMYFUNCTION("""COMPUTED_VALUE"""),11.0)</f>
        <v>11</v>
      </c>
      <c r="H14335" s="4"/>
      <c r="I14335" s="4"/>
    </row>
    <row r="14336">
      <c r="A14336" s="4" t="str">
        <f>IFERROR(__xludf.DUMMYFUNCTION("""COMPUTED_VALUE"""),"cas_hmw")</f>
        <v>cas_hmw</v>
      </c>
      <c r="B14336" s="5">
        <f>IFERROR(__xludf.DUMMYFUNCTION("""COMPUTED_VALUE"""),44722.0)</f>
        <v>44722</v>
      </c>
      <c r="C14336" s="6">
        <f>IFERROR(__xludf.DUMMYFUNCTION("""COMPUTED_VALUE"""),0.7218749999992724)</f>
        <v>0.721875</v>
      </c>
      <c r="D14336" s="4">
        <f>IFERROR(__xludf.DUMMYFUNCTION("""COMPUTED_VALUE"""),13.014752)</f>
        <v>13.014752</v>
      </c>
      <c r="E14336" s="4">
        <f>IFERROR(__xludf.DUMMYFUNCTION("""COMPUTED_VALUE"""),80.225988)</f>
        <v>80.225988</v>
      </c>
      <c r="F14336" s="4">
        <f>IFERROR(__xludf.DUMMYFUNCTION("""COMPUTED_VALUE"""),805.0)</f>
        <v>805</v>
      </c>
      <c r="G14336" s="4">
        <f>IFERROR(__xludf.DUMMYFUNCTION("""COMPUTED_VALUE"""),39.0)</f>
        <v>39</v>
      </c>
      <c r="H14336" s="4"/>
      <c r="I14336" s="4"/>
    </row>
    <row r="14337">
      <c r="A14337" s="4" t="str">
        <f>IFERROR(__xludf.DUMMYFUNCTION("""COMPUTED_VALUE"""),"cas_hmw")</f>
        <v>cas_hmw</v>
      </c>
      <c r="B14337" s="5">
        <f>IFERROR(__xludf.DUMMYFUNCTION("""COMPUTED_VALUE"""),44722.0)</f>
        <v>44722</v>
      </c>
      <c r="C14337" s="6">
        <f>IFERROR(__xludf.DUMMYFUNCTION("""COMPUTED_VALUE"""),0.7220717592608707)</f>
        <v>0.7220717593</v>
      </c>
      <c r="D14337" s="4">
        <f>IFERROR(__xludf.DUMMYFUNCTION("""COMPUTED_VALUE"""),13.013291)</f>
        <v>13.013291</v>
      </c>
      <c r="E14337" s="4">
        <f>IFERROR(__xludf.DUMMYFUNCTION("""COMPUTED_VALUE"""),80.226595)</f>
        <v>80.226595</v>
      </c>
      <c r="F14337" s="4">
        <f>IFERROR(__xludf.DUMMYFUNCTION("""COMPUTED_VALUE"""),805.0)</f>
        <v>805</v>
      </c>
      <c r="G14337" s="4">
        <f>IFERROR(__xludf.DUMMYFUNCTION("""COMPUTED_VALUE"""),42.0)</f>
        <v>42</v>
      </c>
      <c r="H14337" s="4"/>
      <c r="I14337" s="4"/>
    </row>
    <row r="14338">
      <c r="A14338" s="4" t="str">
        <f>IFERROR(__xludf.DUMMYFUNCTION("""COMPUTED_VALUE"""),"cas_hmw")</f>
        <v>cas_hmw</v>
      </c>
      <c r="B14338" s="5">
        <f>IFERROR(__xludf.DUMMYFUNCTION("""COMPUTED_VALUE"""),44722.0)</f>
        <v>44722</v>
      </c>
      <c r="C14338" s="6">
        <f>IFERROR(__xludf.DUMMYFUNCTION("""COMPUTED_VALUE"""),0.7222337962957681)</f>
        <v>0.7222337963</v>
      </c>
      <c r="D14338" s="4">
        <f>IFERROR(__xludf.DUMMYFUNCTION("""COMPUTED_VALUE"""),13.011413)</f>
        <v>13.011413</v>
      </c>
      <c r="E14338" s="4">
        <f>IFERROR(__xludf.DUMMYFUNCTION("""COMPUTED_VALUE"""),80.227382)</f>
        <v>80.227382</v>
      </c>
      <c r="F14338" s="4">
        <f>IFERROR(__xludf.DUMMYFUNCTION("""COMPUTED_VALUE"""),805.0)</f>
        <v>805</v>
      </c>
      <c r="G14338" s="4">
        <f>IFERROR(__xludf.DUMMYFUNCTION("""COMPUTED_VALUE"""),56.0)</f>
        <v>56</v>
      </c>
      <c r="H14338" s="4"/>
      <c r="I14338" s="4"/>
    </row>
    <row r="14339">
      <c r="A14339" s="4" t="str">
        <f>IFERROR(__xludf.DUMMYFUNCTION("""COMPUTED_VALUE"""),"cas_hmw")</f>
        <v>cas_hmw</v>
      </c>
      <c r="B14339" s="5">
        <f>IFERROR(__xludf.DUMMYFUNCTION("""COMPUTED_VALUE"""),44722.0)</f>
        <v>44722</v>
      </c>
      <c r="C14339" s="6">
        <f>IFERROR(__xludf.DUMMYFUNCTION("""COMPUTED_VALUE"""),0.7223726851843821)</f>
        <v>0.7223726852</v>
      </c>
      <c r="D14339" s="4">
        <f>IFERROR(__xludf.DUMMYFUNCTION("""COMPUTED_VALUE"""),13.011413)</f>
        <v>13.011413</v>
      </c>
      <c r="E14339" s="4">
        <f>IFERROR(__xludf.DUMMYFUNCTION("""COMPUTED_VALUE"""),80.227382)</f>
        <v>80.227382</v>
      </c>
      <c r="F14339" s="4">
        <f>IFERROR(__xludf.DUMMYFUNCTION("""COMPUTED_VALUE"""),805.0)</f>
        <v>805</v>
      </c>
      <c r="G14339" s="4">
        <f>IFERROR(__xludf.DUMMYFUNCTION("""COMPUTED_VALUE"""),56.0)</f>
        <v>56</v>
      </c>
      <c r="H14339" s="4"/>
      <c r="I14339" s="4"/>
    </row>
    <row r="14340">
      <c r="A14340" s="4" t="str">
        <f>IFERROR(__xludf.DUMMYFUNCTION("""COMPUTED_VALUE"""),"cas_hmw")</f>
        <v>cas_hmw</v>
      </c>
      <c r="B14340" s="5">
        <f>IFERROR(__xludf.DUMMYFUNCTION("""COMPUTED_VALUE"""),44722.0)</f>
        <v>44722</v>
      </c>
      <c r="C14340" s="6">
        <f>IFERROR(__xludf.DUMMYFUNCTION("""COMPUTED_VALUE"""),0.7225462962960592)</f>
        <v>0.7225462963</v>
      </c>
      <c r="D14340" s="4">
        <f>IFERROR(__xludf.DUMMYFUNCTION("""COMPUTED_VALUE"""),13.009623)</f>
        <v>13.009623</v>
      </c>
      <c r="E14340" s="4">
        <f>IFERROR(__xludf.DUMMYFUNCTION("""COMPUTED_VALUE"""),80.228117)</f>
        <v>80.228117</v>
      </c>
      <c r="F14340" s="4">
        <f>IFERROR(__xludf.DUMMYFUNCTION("""COMPUTED_VALUE"""),805.0)</f>
        <v>805</v>
      </c>
      <c r="G14340" s="4">
        <f>IFERROR(__xludf.DUMMYFUNCTION("""COMPUTED_VALUE"""),44.0)</f>
        <v>44</v>
      </c>
      <c r="H14340" s="4"/>
      <c r="I14340" s="4"/>
    </row>
    <row r="14341">
      <c r="A14341" s="4" t="str">
        <f>IFERROR(__xludf.DUMMYFUNCTION("""COMPUTED_VALUE"""),"cas_hmw")</f>
        <v>cas_hmw</v>
      </c>
      <c r="B14341" s="5">
        <f>IFERROR(__xludf.DUMMYFUNCTION("""COMPUTED_VALUE"""),44722.0)</f>
        <v>44722</v>
      </c>
      <c r="C14341" s="6">
        <f>IFERROR(__xludf.DUMMYFUNCTION("""COMPUTED_VALUE"""),0.7234027777776646)</f>
        <v>0.7234027778</v>
      </c>
      <c r="D14341" s="4">
        <f>IFERROR(__xludf.DUMMYFUNCTION("""COMPUTED_VALUE"""),13.007921)</f>
        <v>13.007921</v>
      </c>
      <c r="E14341" s="4">
        <f>IFERROR(__xludf.DUMMYFUNCTION("""COMPUTED_VALUE"""),80.234943)</f>
        <v>80.234943</v>
      </c>
      <c r="F14341" s="4">
        <f>IFERROR(__xludf.DUMMYFUNCTION("""COMPUTED_VALUE"""),805.0)</f>
        <v>805</v>
      </c>
      <c r="G14341" s="4">
        <f>IFERROR(__xludf.DUMMYFUNCTION("""COMPUTED_VALUE"""),0.0)</f>
        <v>0</v>
      </c>
      <c r="H14341" s="4"/>
      <c r="I14341" s="4"/>
    </row>
    <row r="14342">
      <c r="A14342" s="4" t="str">
        <f>IFERROR(__xludf.DUMMYFUNCTION("""COMPUTED_VALUE"""),"cas_hmw")</f>
        <v>cas_hmw</v>
      </c>
      <c r="B14342" s="5">
        <f>IFERROR(__xludf.DUMMYFUNCTION("""COMPUTED_VALUE"""),44722.0)</f>
        <v>44722</v>
      </c>
      <c r="C14342" s="6">
        <f>IFERROR(__xludf.DUMMYFUNCTION("""COMPUTED_VALUE"""),0.7234606481470109)</f>
        <v>0.7234606481</v>
      </c>
      <c r="D14342" s="4">
        <f>IFERROR(__xludf.DUMMYFUNCTION("""COMPUTED_VALUE"""),13.007921)</f>
        <v>13.007921</v>
      </c>
      <c r="E14342" s="4">
        <f>IFERROR(__xludf.DUMMYFUNCTION("""COMPUTED_VALUE"""),80.234943)</f>
        <v>80.234943</v>
      </c>
      <c r="F14342" s="4">
        <f>IFERROR(__xludf.DUMMYFUNCTION("""COMPUTED_VALUE"""),805.0)</f>
        <v>805</v>
      </c>
      <c r="G14342" s="4">
        <f>IFERROR(__xludf.DUMMYFUNCTION("""COMPUTED_VALUE"""),0.0)</f>
        <v>0</v>
      </c>
      <c r="H14342" s="4"/>
      <c r="I14342" s="4"/>
    </row>
    <row r="14343">
      <c r="A14343" s="4" t="str">
        <f>IFERROR(__xludf.DUMMYFUNCTION("""COMPUTED_VALUE"""),"cas_hmw")</f>
        <v>cas_hmw</v>
      </c>
      <c r="B14343" s="5">
        <f>IFERROR(__xludf.DUMMYFUNCTION("""COMPUTED_VALUE"""),44722.0)</f>
        <v>44722</v>
      </c>
      <c r="C14343" s="6">
        <f>IFERROR(__xludf.DUMMYFUNCTION("""COMPUTED_VALUE"""),0.7235185185199953)</f>
        <v>0.7235185185</v>
      </c>
      <c r="D14343" s="4">
        <f>IFERROR(__xludf.DUMMYFUNCTION("""COMPUTED_VALUE"""),13.007921)</f>
        <v>13.007921</v>
      </c>
      <c r="E14343" s="4">
        <f>IFERROR(__xludf.DUMMYFUNCTION("""COMPUTED_VALUE"""),80.234943)</f>
        <v>80.234943</v>
      </c>
      <c r="F14343" s="4">
        <f>IFERROR(__xludf.DUMMYFUNCTION("""COMPUTED_VALUE"""),805.0)</f>
        <v>805</v>
      </c>
      <c r="G14343" s="4">
        <f>IFERROR(__xludf.DUMMYFUNCTION("""COMPUTED_VALUE"""),0.0)</f>
        <v>0</v>
      </c>
      <c r="H14343" s="4"/>
      <c r="I14343" s="4"/>
    </row>
    <row r="14344">
      <c r="A14344" s="4" t="str">
        <f>IFERROR(__xludf.DUMMYFUNCTION("""COMPUTED_VALUE"""),"cas_hmw")</f>
        <v>cas_hmw</v>
      </c>
      <c r="B14344" s="5">
        <f>IFERROR(__xludf.DUMMYFUNCTION("""COMPUTED_VALUE"""),44722.0)</f>
        <v>44722</v>
      </c>
      <c r="C14344" s="6">
        <f>IFERROR(__xludf.DUMMYFUNCTION("""COMPUTED_VALUE"""),0.7235879629624833)</f>
        <v>0.723587963</v>
      </c>
      <c r="D14344" s="4">
        <f>IFERROR(__xludf.DUMMYFUNCTION("""COMPUTED_VALUE"""),13.007921)</f>
        <v>13.007921</v>
      </c>
      <c r="E14344" s="4">
        <f>IFERROR(__xludf.DUMMYFUNCTION("""COMPUTED_VALUE"""),80.234943)</f>
        <v>80.234943</v>
      </c>
      <c r="F14344" s="4">
        <f>IFERROR(__xludf.DUMMYFUNCTION("""COMPUTED_VALUE"""),805.0)</f>
        <v>805</v>
      </c>
      <c r="G14344" s="4">
        <f>IFERROR(__xludf.DUMMYFUNCTION("""COMPUTED_VALUE"""),0.0)</f>
        <v>0</v>
      </c>
      <c r="H14344" s="4"/>
      <c r="I14344" s="4"/>
    </row>
    <row r="14345">
      <c r="A14345" s="4" t="str">
        <f>IFERROR(__xludf.DUMMYFUNCTION("""COMPUTED_VALUE"""),"cas_hmw")</f>
        <v>cas_hmw</v>
      </c>
      <c r="B14345" s="5">
        <f>IFERROR(__xludf.DUMMYFUNCTION("""COMPUTED_VALUE"""),44722.0)</f>
        <v>44722</v>
      </c>
      <c r="C14345" s="6">
        <f>IFERROR(__xludf.DUMMYFUNCTION("""COMPUTED_VALUE"""),0.7247685185175214)</f>
        <v>0.7247685185</v>
      </c>
      <c r="D14345" s="4">
        <f>IFERROR(__xludf.DUMMYFUNCTION("""COMPUTED_VALUE"""),13.006694)</f>
        <v>13.006694</v>
      </c>
      <c r="E14345" s="4">
        <f>IFERROR(__xludf.DUMMYFUNCTION("""COMPUTED_VALUE"""),80.24345)</f>
        <v>80.24345</v>
      </c>
      <c r="F14345" s="4">
        <f>IFERROR(__xludf.DUMMYFUNCTION("""COMPUTED_VALUE"""),805.0)</f>
        <v>805</v>
      </c>
      <c r="G14345" s="4">
        <f>IFERROR(__xludf.DUMMYFUNCTION("""COMPUTED_VALUE"""),0.0)</f>
        <v>0</v>
      </c>
      <c r="H14345" s="4"/>
      <c r="I14345" s="4"/>
    </row>
    <row r="14346">
      <c r="A14346" s="4" t="str">
        <f>IFERROR(__xludf.DUMMYFUNCTION("""COMPUTED_VALUE"""),"cas_hmw")</f>
        <v>cas_hmw</v>
      </c>
      <c r="B14346" s="5">
        <f>IFERROR(__xludf.DUMMYFUNCTION("""COMPUTED_VALUE"""),44722.0)</f>
        <v>44722</v>
      </c>
      <c r="C14346" s="6">
        <f>IFERROR(__xludf.DUMMYFUNCTION("""COMPUTED_VALUE"""),0.7247685185175214)</f>
        <v>0.7247685185</v>
      </c>
      <c r="D14346" s="4">
        <f>IFERROR(__xludf.DUMMYFUNCTION("""COMPUTED_VALUE"""),13.006694)</f>
        <v>13.006694</v>
      </c>
      <c r="E14346" s="4">
        <f>IFERROR(__xludf.DUMMYFUNCTION("""COMPUTED_VALUE"""),80.24345)</f>
        <v>80.24345</v>
      </c>
      <c r="F14346" s="4">
        <f>IFERROR(__xludf.DUMMYFUNCTION("""COMPUTED_VALUE"""),805.0)</f>
        <v>805</v>
      </c>
      <c r="G14346" s="4">
        <f>IFERROR(__xludf.DUMMYFUNCTION("""COMPUTED_VALUE"""),0.0)</f>
        <v>0</v>
      </c>
      <c r="H14346" s="4"/>
      <c r="I14346" s="4"/>
    </row>
    <row r="14347">
      <c r="A14347" s="4" t="str">
        <f>IFERROR(__xludf.DUMMYFUNCTION("""COMPUTED_VALUE"""),"cas_hmw")</f>
        <v>cas_hmw</v>
      </c>
      <c r="B14347" s="5">
        <f>IFERROR(__xludf.DUMMYFUNCTION("""COMPUTED_VALUE"""),44722.0)</f>
        <v>44722</v>
      </c>
      <c r="C14347" s="6">
        <f>IFERROR(__xludf.DUMMYFUNCTION("""COMPUTED_VALUE"""),0.7255787037029222)</f>
        <v>0.7255787037</v>
      </c>
      <c r="D14347" s="4">
        <f>IFERROR(__xludf.DUMMYFUNCTION("""COMPUTED_VALUE"""),13.006778)</f>
        <v>13.006778</v>
      </c>
      <c r="E14347" s="4">
        <f>IFERROR(__xludf.DUMMYFUNCTION("""COMPUTED_VALUE"""),80.247646)</f>
        <v>80.247646</v>
      </c>
      <c r="F14347" s="4">
        <f>IFERROR(__xludf.DUMMYFUNCTION("""COMPUTED_VALUE"""),805.0)</f>
        <v>805</v>
      </c>
      <c r="G14347" s="4">
        <f>IFERROR(__xludf.DUMMYFUNCTION("""COMPUTED_VALUE"""),21.0)</f>
        <v>21</v>
      </c>
      <c r="H14347" s="4"/>
      <c r="I14347" s="4"/>
    </row>
    <row r="14348">
      <c r="A14348" s="4" t="str">
        <f>IFERROR(__xludf.DUMMYFUNCTION("""COMPUTED_VALUE"""),"cas_hmw")</f>
        <v>cas_hmw</v>
      </c>
      <c r="B14348" s="5">
        <f>IFERROR(__xludf.DUMMYFUNCTION("""COMPUTED_VALUE"""),44722.0)</f>
        <v>44722</v>
      </c>
      <c r="C14348" s="6">
        <f>IFERROR(__xludf.DUMMYFUNCTION("""COMPUTED_VALUE"""),0.7266898148154723)</f>
        <v>0.7266898148</v>
      </c>
      <c r="D14348" s="4">
        <f>IFERROR(__xludf.DUMMYFUNCTION("""COMPUTED_VALUE"""),13.006898)</f>
        <v>13.006898</v>
      </c>
      <c r="E14348" s="4">
        <f>IFERROR(__xludf.DUMMYFUNCTION("""COMPUTED_VALUE"""),80.251098)</f>
        <v>80.251098</v>
      </c>
      <c r="F14348" s="4">
        <f>IFERROR(__xludf.DUMMYFUNCTION("""COMPUTED_VALUE"""),805.0)</f>
        <v>805</v>
      </c>
      <c r="G14348" s="4">
        <f>IFERROR(__xludf.DUMMYFUNCTION("""COMPUTED_VALUE"""),0.0)</f>
        <v>0</v>
      </c>
      <c r="H14348" s="4"/>
      <c r="I14348" s="4"/>
    </row>
    <row r="14349">
      <c r="A14349" s="4" t="str">
        <f>IFERROR(__xludf.DUMMYFUNCTION("""COMPUTED_VALUE"""),"cas_hmw")</f>
        <v>cas_hmw</v>
      </c>
      <c r="B14349" s="5">
        <f>IFERROR(__xludf.DUMMYFUNCTION("""COMPUTED_VALUE"""),44722.0)</f>
        <v>44722</v>
      </c>
      <c r="C14349" s="6">
        <f>IFERROR(__xludf.DUMMYFUNCTION("""COMPUTED_VALUE"""),0.726736111111677)</f>
        <v>0.7267361111</v>
      </c>
      <c r="D14349" s="4">
        <f>IFERROR(__xludf.DUMMYFUNCTION("""COMPUTED_VALUE"""),13.006898)</f>
        <v>13.006898</v>
      </c>
      <c r="E14349" s="4">
        <f>IFERROR(__xludf.DUMMYFUNCTION("""COMPUTED_VALUE"""),80.251098)</f>
        <v>80.251098</v>
      </c>
      <c r="F14349" s="4">
        <f>IFERROR(__xludf.DUMMYFUNCTION("""COMPUTED_VALUE"""),805.0)</f>
        <v>805</v>
      </c>
      <c r="G14349" s="4">
        <f>IFERROR(__xludf.DUMMYFUNCTION("""COMPUTED_VALUE"""),0.0)</f>
        <v>0</v>
      </c>
      <c r="H14349" s="4"/>
      <c r="I14349" s="4"/>
    </row>
    <row r="14350">
      <c r="A14350" s="4" t="str">
        <f>IFERROR(__xludf.DUMMYFUNCTION("""COMPUTED_VALUE"""),"cas_hmw")</f>
        <v>cas_hmw</v>
      </c>
      <c r="B14350" s="5">
        <f>IFERROR(__xludf.DUMMYFUNCTION("""COMPUTED_VALUE"""),44722.0)</f>
        <v>44722</v>
      </c>
      <c r="C14350" s="6">
        <f>IFERROR(__xludf.DUMMYFUNCTION("""COMPUTED_VALUE"""),0.7270601851851097)</f>
        <v>0.7270601852</v>
      </c>
      <c r="D14350" s="4">
        <f>IFERROR(__xludf.DUMMYFUNCTION("""COMPUTED_VALUE"""),13.006814)</f>
        <v>13.006814</v>
      </c>
      <c r="E14350" s="4">
        <f>IFERROR(__xludf.DUMMYFUNCTION("""COMPUTED_VALUE"""),80.251701)</f>
        <v>80.251701</v>
      </c>
      <c r="F14350" s="4">
        <f>IFERROR(__xludf.DUMMYFUNCTION("""COMPUTED_VALUE"""),805.0)</f>
        <v>805</v>
      </c>
      <c r="G14350" s="4">
        <f>IFERROR(__xludf.DUMMYFUNCTION("""COMPUTED_VALUE"""),22.0)</f>
        <v>22</v>
      </c>
      <c r="H14350" s="4"/>
      <c r="I14350" s="4"/>
    </row>
    <row r="14351">
      <c r="A14351" s="4" t="str">
        <f>IFERROR(__xludf.DUMMYFUNCTION("""COMPUTED_VALUE"""),"cas_hmw")</f>
        <v>cas_hmw</v>
      </c>
      <c r="B14351" s="5">
        <f>IFERROR(__xludf.DUMMYFUNCTION("""COMPUTED_VALUE"""),44722.0)</f>
        <v>44722</v>
      </c>
      <c r="C14351" s="6">
        <f>IFERROR(__xludf.DUMMYFUNCTION("""COMPUTED_VALUE"""),0.7270833333350311)</f>
        <v>0.7270833333</v>
      </c>
      <c r="D14351" s="4">
        <f>IFERROR(__xludf.DUMMYFUNCTION("""COMPUTED_VALUE"""),13.006814)</f>
        <v>13.006814</v>
      </c>
      <c r="E14351" s="4">
        <f>IFERROR(__xludf.DUMMYFUNCTION("""COMPUTED_VALUE"""),80.251701)</f>
        <v>80.251701</v>
      </c>
      <c r="F14351" s="4">
        <f>IFERROR(__xludf.DUMMYFUNCTION("""COMPUTED_VALUE"""),805.0)</f>
        <v>805</v>
      </c>
      <c r="G14351" s="4">
        <f>IFERROR(__xludf.DUMMYFUNCTION("""COMPUTED_VALUE"""),22.0)</f>
        <v>22</v>
      </c>
      <c r="H14351" s="4"/>
      <c r="I14351" s="4"/>
    </row>
    <row r="14352">
      <c r="A14352" s="4" t="str">
        <f>IFERROR(__xludf.DUMMYFUNCTION("""COMPUTED_VALUE"""),"cas_hmw")</f>
        <v>cas_hmw</v>
      </c>
      <c r="B14352" s="5">
        <f>IFERROR(__xludf.DUMMYFUNCTION("""COMPUTED_VALUE"""),44722.0)</f>
        <v>44722</v>
      </c>
      <c r="C14352" s="6">
        <f>IFERROR(__xludf.DUMMYFUNCTION("""COMPUTED_VALUE"""),0.7271643518506608)</f>
        <v>0.7271643519</v>
      </c>
      <c r="D14352" s="4">
        <f>IFERROR(__xludf.DUMMYFUNCTION("""COMPUTED_VALUE"""),13.006814)</f>
        <v>13.006814</v>
      </c>
      <c r="E14352" s="4">
        <f>IFERROR(__xludf.DUMMYFUNCTION("""COMPUTED_VALUE"""),80.251701)</f>
        <v>80.251701</v>
      </c>
      <c r="F14352" s="4">
        <f>IFERROR(__xludf.DUMMYFUNCTION("""COMPUTED_VALUE"""),805.0)</f>
        <v>805</v>
      </c>
      <c r="G14352" s="4">
        <f>IFERROR(__xludf.DUMMYFUNCTION("""COMPUTED_VALUE"""),22.0)</f>
        <v>22</v>
      </c>
      <c r="H14352" s="4"/>
      <c r="I14352" s="4"/>
    </row>
    <row r="14353">
      <c r="A14353" s="4" t="str">
        <f>IFERROR(__xludf.DUMMYFUNCTION("""COMPUTED_VALUE"""),"cas_hmw")</f>
        <v>cas_hmw</v>
      </c>
      <c r="B14353" s="5">
        <f>IFERROR(__xludf.DUMMYFUNCTION("""COMPUTED_VALUE"""),44722.0)</f>
        <v>44722</v>
      </c>
      <c r="C14353" s="6">
        <f>IFERROR(__xludf.DUMMYFUNCTION("""COMPUTED_VALUE"""),0.72886574074073)</f>
        <v>0.7288657407</v>
      </c>
      <c r="D14353" s="4">
        <f>IFERROR(__xludf.DUMMYFUNCTION("""COMPUTED_VALUE"""),13.008583)</f>
        <v>13.008583</v>
      </c>
      <c r="E14353" s="4">
        <f>IFERROR(__xludf.DUMMYFUNCTION("""COMPUTED_VALUE"""),80.258928)</f>
        <v>80.258928</v>
      </c>
      <c r="F14353" s="4">
        <f>IFERROR(__xludf.DUMMYFUNCTION("""COMPUTED_VALUE"""),805.0)</f>
        <v>805</v>
      </c>
      <c r="G14353" s="4">
        <f>IFERROR(__xludf.DUMMYFUNCTION("""COMPUTED_VALUE"""),12.0)</f>
        <v>12</v>
      </c>
      <c r="H14353" s="4"/>
      <c r="I14353" s="4"/>
    </row>
    <row r="14354">
      <c r="A14354" s="4" t="str">
        <f>IFERROR(__xludf.DUMMYFUNCTION("""COMPUTED_VALUE"""),"cas_hmw")</f>
        <v>cas_hmw</v>
      </c>
      <c r="B14354" s="5">
        <f>IFERROR(__xludf.DUMMYFUNCTION("""COMPUTED_VALUE"""),44722.0)</f>
        <v>44722</v>
      </c>
      <c r="C14354" s="6">
        <f>IFERROR(__xludf.DUMMYFUNCTION("""COMPUTED_VALUE"""),0.7293749999989814)</f>
        <v>0.729375</v>
      </c>
      <c r="D14354" s="4">
        <f>IFERROR(__xludf.DUMMYFUNCTION("""COMPUTED_VALUE"""),13.011585)</f>
        <v>13.011585</v>
      </c>
      <c r="E14354" s="4">
        <f>IFERROR(__xludf.DUMMYFUNCTION("""COMPUTED_VALUE"""),80.259062)</f>
        <v>80.259062</v>
      </c>
      <c r="F14354" s="4">
        <f>IFERROR(__xludf.DUMMYFUNCTION("""COMPUTED_VALUE"""),805.0)</f>
        <v>805</v>
      </c>
      <c r="G14354" s="4">
        <f>IFERROR(__xludf.DUMMYFUNCTION("""COMPUTED_VALUE"""),46.0)</f>
        <v>46</v>
      </c>
      <c r="H14354" s="4"/>
      <c r="I14354" s="4"/>
    </row>
    <row r="14355">
      <c r="A14355" s="4" t="str">
        <f>IFERROR(__xludf.DUMMYFUNCTION("""COMPUTED_VALUE"""),"cas_hmw")</f>
        <v>cas_hmw</v>
      </c>
      <c r="B14355" s="5">
        <f>IFERROR(__xludf.DUMMYFUNCTION("""COMPUTED_VALUE"""),44722.0)</f>
        <v>44722</v>
      </c>
      <c r="C14355" s="6">
        <f>IFERROR(__xludf.DUMMYFUNCTION("""COMPUTED_VALUE"""),0.729386574075761)</f>
        <v>0.7293865741</v>
      </c>
      <c r="D14355" s="4">
        <f>IFERROR(__xludf.DUMMYFUNCTION("""COMPUTED_VALUE"""),13.011585)</f>
        <v>13.011585</v>
      </c>
      <c r="E14355" s="4">
        <f>IFERROR(__xludf.DUMMYFUNCTION("""COMPUTED_VALUE"""),80.259062)</f>
        <v>80.259062</v>
      </c>
      <c r="F14355" s="4">
        <f>IFERROR(__xludf.DUMMYFUNCTION("""COMPUTED_VALUE"""),805.0)</f>
        <v>805</v>
      </c>
      <c r="G14355" s="4">
        <f>IFERROR(__xludf.DUMMYFUNCTION("""COMPUTED_VALUE"""),46.0)</f>
        <v>46</v>
      </c>
      <c r="H14355" s="4"/>
      <c r="I14355" s="4"/>
    </row>
    <row r="14356">
      <c r="A14356" s="4" t="str">
        <f>IFERROR(__xludf.DUMMYFUNCTION("""COMPUTED_VALUE"""),"cas_hmw")</f>
        <v>cas_hmw</v>
      </c>
      <c r="B14356" s="5">
        <f>IFERROR(__xludf.DUMMYFUNCTION("""COMPUTED_VALUE"""),44722.0)</f>
        <v>44722</v>
      </c>
      <c r="C14356" s="6">
        <f>IFERROR(__xludf.DUMMYFUNCTION("""COMPUTED_VALUE"""),0.7296990740724141)</f>
        <v>0.7296990741</v>
      </c>
      <c r="D14356" s="4">
        <f>IFERROR(__xludf.DUMMYFUNCTION("""COMPUTED_VALUE"""),13.015722)</f>
        <v>13.015722</v>
      </c>
      <c r="E14356" s="4">
        <f>IFERROR(__xludf.DUMMYFUNCTION("""COMPUTED_VALUE"""),80.259326)</f>
        <v>80.259326</v>
      </c>
      <c r="F14356" s="4">
        <f>IFERROR(__xludf.DUMMYFUNCTION("""COMPUTED_VALUE"""),805.0)</f>
        <v>805</v>
      </c>
      <c r="G14356" s="4">
        <f>IFERROR(__xludf.DUMMYFUNCTION("""COMPUTED_VALUE"""),33.0)</f>
        <v>33</v>
      </c>
      <c r="H14356" s="4"/>
      <c r="I14356" s="4"/>
    </row>
    <row r="14357">
      <c r="A14357" s="4" t="str">
        <f>IFERROR(__xludf.DUMMYFUNCTION("""COMPUTED_VALUE"""),"cas_hmw")</f>
        <v>cas_hmw</v>
      </c>
      <c r="B14357" s="5">
        <f>IFERROR(__xludf.DUMMYFUNCTION("""COMPUTED_VALUE"""),44722.0)</f>
        <v>44722</v>
      </c>
      <c r="C14357" s="6">
        <f>IFERROR(__xludf.DUMMYFUNCTION("""COMPUTED_VALUE"""),0.7311111111121136)</f>
        <v>0.7311111111</v>
      </c>
      <c r="D14357" s="4">
        <f>IFERROR(__xludf.DUMMYFUNCTION("""COMPUTED_VALUE"""),12.965801)</f>
        <v>12.965801</v>
      </c>
      <c r="E14357" s="4">
        <f>IFERROR(__xludf.DUMMYFUNCTION("""COMPUTED_VALUE"""),80.20178)</f>
        <v>80.20178</v>
      </c>
      <c r="F14357" s="4">
        <f>IFERROR(__xludf.DUMMYFUNCTION("""COMPUTED_VALUE"""),2846.0)</f>
        <v>2846</v>
      </c>
      <c r="G14357" s="4">
        <f>IFERROR(__xludf.DUMMYFUNCTION("""COMPUTED_VALUE"""),20.0)</f>
        <v>20</v>
      </c>
      <c r="H14357" s="4"/>
      <c r="I14357" s="4"/>
    </row>
    <row r="14358">
      <c r="A14358" s="4" t="str">
        <f>IFERROR(__xludf.DUMMYFUNCTION("""COMPUTED_VALUE"""),"cas_hmw")</f>
        <v>cas_hmw</v>
      </c>
      <c r="B14358" s="5">
        <f>IFERROR(__xludf.DUMMYFUNCTION("""COMPUTED_VALUE"""),44722.0)</f>
        <v>44722</v>
      </c>
      <c r="C14358" s="6">
        <f>IFERROR(__xludf.DUMMYFUNCTION("""COMPUTED_VALUE"""),0.7313078703700739)</f>
        <v>0.7313078704</v>
      </c>
      <c r="D14358" s="4">
        <f>IFERROR(__xludf.DUMMYFUNCTION("""COMPUTED_VALUE"""),13.020695)</f>
        <v>13.020695</v>
      </c>
      <c r="E14358" s="4">
        <f>IFERROR(__xludf.DUMMYFUNCTION("""COMPUTED_VALUE"""),80.262792)</f>
        <v>80.262792</v>
      </c>
      <c r="F14358" s="4">
        <f>IFERROR(__xludf.DUMMYFUNCTION("""COMPUTED_VALUE"""),805.0)</f>
        <v>805</v>
      </c>
      <c r="G14358" s="4">
        <f>IFERROR(__xludf.DUMMYFUNCTION("""COMPUTED_VALUE"""),6.0)</f>
        <v>6</v>
      </c>
      <c r="H14358" s="4"/>
      <c r="I14358" s="4"/>
    </row>
    <row r="14359">
      <c r="A14359" s="4" t="str">
        <f>IFERROR(__xludf.DUMMYFUNCTION("""COMPUTED_VALUE"""),"cas_hmw")</f>
        <v>cas_hmw</v>
      </c>
      <c r="B14359" s="5">
        <f>IFERROR(__xludf.DUMMYFUNCTION("""COMPUTED_VALUE"""),44722.0)</f>
        <v>44722</v>
      </c>
      <c r="C14359" s="6">
        <f>IFERROR(__xludf.DUMMYFUNCTION("""COMPUTED_VALUE"""),0.7315740740741603)</f>
        <v>0.7315740741</v>
      </c>
      <c r="D14359" s="4">
        <f>IFERROR(__xludf.DUMMYFUNCTION("""COMPUTED_VALUE"""),13.022385)</f>
        <v>13.022385</v>
      </c>
      <c r="E14359" s="4">
        <f>IFERROR(__xludf.DUMMYFUNCTION("""COMPUTED_VALUE"""),80.263431)</f>
        <v>80.263431</v>
      </c>
      <c r="F14359" s="4">
        <f>IFERROR(__xludf.DUMMYFUNCTION("""COMPUTED_VALUE"""),805.0)</f>
        <v>805</v>
      </c>
      <c r="G14359" s="4">
        <f>IFERROR(__xludf.DUMMYFUNCTION("""COMPUTED_VALUE"""),14.0)</f>
        <v>14</v>
      </c>
      <c r="H14359" s="4"/>
      <c r="I14359" s="4"/>
    </row>
    <row r="14360">
      <c r="A14360" s="4" t="str">
        <f>IFERROR(__xludf.DUMMYFUNCTION("""COMPUTED_VALUE"""),"cas_hmw")</f>
        <v>cas_hmw</v>
      </c>
      <c r="B14360" s="5">
        <f>IFERROR(__xludf.DUMMYFUNCTION("""COMPUTED_VALUE"""),44722.0)</f>
        <v>44722</v>
      </c>
      <c r="C14360" s="6">
        <f>IFERROR(__xludf.DUMMYFUNCTION("""COMPUTED_VALUE"""),0.731585648147302)</f>
        <v>0.7315856481</v>
      </c>
      <c r="D14360" s="4">
        <f>IFERROR(__xludf.DUMMYFUNCTION("""COMPUTED_VALUE"""),13.022385)</f>
        <v>13.022385</v>
      </c>
      <c r="E14360" s="4">
        <f>IFERROR(__xludf.DUMMYFUNCTION("""COMPUTED_VALUE"""),80.263431)</f>
        <v>80.263431</v>
      </c>
      <c r="F14360" s="4">
        <f>IFERROR(__xludf.DUMMYFUNCTION("""COMPUTED_VALUE"""),805.0)</f>
        <v>805</v>
      </c>
      <c r="G14360" s="4">
        <f>IFERROR(__xludf.DUMMYFUNCTION("""COMPUTED_VALUE"""),14.0)</f>
        <v>14</v>
      </c>
      <c r="H14360" s="4"/>
      <c r="I14360" s="4"/>
    </row>
    <row r="14361">
      <c r="A14361" s="4" t="str">
        <f>IFERROR(__xludf.DUMMYFUNCTION("""COMPUTED_VALUE"""),"cas_hmw")</f>
        <v>cas_hmw</v>
      </c>
      <c r="B14361" s="5">
        <f>IFERROR(__xludf.DUMMYFUNCTION("""COMPUTED_VALUE"""),44722.0)</f>
        <v>44722</v>
      </c>
      <c r="C14361" s="6">
        <f>IFERROR(__xludf.DUMMYFUNCTION("""COMPUTED_VALUE"""),0.7316087962972233)</f>
        <v>0.7316087963</v>
      </c>
      <c r="D14361" s="4">
        <f>IFERROR(__xludf.DUMMYFUNCTION("""COMPUTED_VALUE"""),13.022385)</f>
        <v>13.022385</v>
      </c>
      <c r="E14361" s="4">
        <f>IFERROR(__xludf.DUMMYFUNCTION("""COMPUTED_VALUE"""),80.263431)</f>
        <v>80.263431</v>
      </c>
      <c r="F14361" s="4">
        <f>IFERROR(__xludf.DUMMYFUNCTION("""COMPUTED_VALUE"""),805.0)</f>
        <v>805</v>
      </c>
      <c r="G14361" s="4">
        <f>IFERROR(__xludf.DUMMYFUNCTION("""COMPUTED_VALUE"""),14.0)</f>
        <v>14</v>
      </c>
      <c r="H14361" s="4"/>
      <c r="I14361" s="4"/>
    </row>
    <row r="14362">
      <c r="A14362" s="4" t="str">
        <f>IFERROR(__xludf.DUMMYFUNCTION("""COMPUTED_VALUE"""),"cas_hmw")</f>
        <v>cas_hmw</v>
      </c>
      <c r="B14362" s="5">
        <f>IFERROR(__xludf.DUMMYFUNCTION("""COMPUTED_VALUE"""),44722.0)</f>
        <v>44722</v>
      </c>
      <c r="C14362" s="6">
        <f>IFERROR(__xludf.DUMMYFUNCTION("""COMPUTED_VALUE"""),0.7316319444435067)</f>
        <v>0.7316319444</v>
      </c>
      <c r="D14362" s="4">
        <f>IFERROR(__xludf.DUMMYFUNCTION("""COMPUTED_VALUE"""),13.022385)</f>
        <v>13.022385</v>
      </c>
      <c r="E14362" s="4">
        <f>IFERROR(__xludf.DUMMYFUNCTION("""COMPUTED_VALUE"""),80.263431)</f>
        <v>80.263431</v>
      </c>
      <c r="F14362" s="4">
        <f>IFERROR(__xludf.DUMMYFUNCTION("""COMPUTED_VALUE"""),805.0)</f>
        <v>805</v>
      </c>
      <c r="G14362" s="4">
        <f>IFERROR(__xludf.DUMMYFUNCTION("""COMPUTED_VALUE"""),14.0)</f>
        <v>14</v>
      </c>
      <c r="H14362" s="4"/>
      <c r="I14362" s="4"/>
    </row>
    <row r="14363">
      <c r="A14363" s="4" t="str">
        <f>IFERROR(__xludf.DUMMYFUNCTION("""COMPUTED_VALUE"""),"cas_hmw")</f>
        <v>cas_hmw</v>
      </c>
      <c r="B14363" s="5">
        <f>IFERROR(__xludf.DUMMYFUNCTION("""COMPUTED_VALUE"""),44722.0)</f>
        <v>44722</v>
      </c>
      <c r="C14363" s="6">
        <f>IFERROR(__xludf.DUMMYFUNCTION("""COMPUTED_VALUE"""),0.7322569444440887)</f>
        <v>0.7322569444</v>
      </c>
      <c r="D14363" s="4">
        <f>IFERROR(__xludf.DUMMYFUNCTION("""COMPUTED_VALUE"""),13.025739)</f>
        <v>13.025739</v>
      </c>
      <c r="E14363" s="4">
        <f>IFERROR(__xludf.DUMMYFUNCTION("""COMPUTED_VALUE"""),80.265532)</f>
        <v>80.265532</v>
      </c>
      <c r="F14363" s="4">
        <f>IFERROR(__xludf.DUMMYFUNCTION("""COMPUTED_VALUE"""),805.0)</f>
        <v>805</v>
      </c>
      <c r="G14363" s="4">
        <f>IFERROR(__xludf.DUMMYFUNCTION("""COMPUTED_VALUE"""),29.0)</f>
        <v>29</v>
      </c>
      <c r="H14363" s="4"/>
      <c r="I14363" s="4"/>
    </row>
    <row r="14364">
      <c r="A14364" s="4" t="str">
        <f>IFERROR(__xludf.DUMMYFUNCTION("""COMPUTED_VALUE"""),"cas_hmw")</f>
        <v>cas_hmw</v>
      </c>
      <c r="B14364" s="5">
        <f>IFERROR(__xludf.DUMMYFUNCTION("""COMPUTED_VALUE"""),44722.0)</f>
        <v>44722</v>
      </c>
      <c r="C14364" s="6">
        <f>IFERROR(__xludf.DUMMYFUNCTION("""COMPUTED_VALUE"""),0.7325578703712381)</f>
        <v>0.7325578704</v>
      </c>
      <c r="D14364" s="4">
        <f>IFERROR(__xludf.DUMMYFUNCTION("""COMPUTED_VALUE"""),12.965344)</f>
        <v>12.965344</v>
      </c>
      <c r="E14364" s="4">
        <f>IFERROR(__xludf.DUMMYFUNCTION("""COMPUTED_VALUE"""),80.206643)</f>
        <v>80.206643</v>
      </c>
      <c r="F14364" s="4">
        <f>IFERROR(__xludf.DUMMYFUNCTION("""COMPUTED_VALUE"""),2846.0)</f>
        <v>2846</v>
      </c>
      <c r="G14364" s="4">
        <f>IFERROR(__xludf.DUMMYFUNCTION("""COMPUTED_VALUE"""),30.0)</f>
        <v>30</v>
      </c>
      <c r="H14364" s="4"/>
      <c r="I14364" s="4"/>
    </row>
    <row r="14365">
      <c r="A14365" s="4" t="str">
        <f>IFERROR(__xludf.DUMMYFUNCTION("""COMPUTED_VALUE"""),"cas_hmw")</f>
        <v>cas_hmw</v>
      </c>
      <c r="B14365" s="5">
        <f>IFERROR(__xludf.DUMMYFUNCTION("""COMPUTED_VALUE"""),44722.0)</f>
        <v>44722</v>
      </c>
      <c r="C14365" s="6">
        <f>IFERROR(__xludf.DUMMYFUNCTION("""COMPUTED_VALUE"""),0.7350347222236451)</f>
        <v>0.7350347222</v>
      </c>
      <c r="D14365" s="4">
        <f>IFERROR(__xludf.DUMMYFUNCTION("""COMPUTED_VALUE"""),12.968472)</f>
        <v>12.968472</v>
      </c>
      <c r="E14365" s="4">
        <f>IFERROR(__xludf.DUMMYFUNCTION("""COMPUTED_VALUE"""),80.217913)</f>
        <v>80.217913</v>
      </c>
      <c r="F14365" s="4">
        <f>IFERROR(__xludf.DUMMYFUNCTION("""COMPUTED_VALUE"""),2846.0)</f>
        <v>2846</v>
      </c>
      <c r="G14365" s="4">
        <f>IFERROR(__xludf.DUMMYFUNCTION("""COMPUTED_VALUE"""),56.0)</f>
        <v>56</v>
      </c>
      <c r="H14365" s="4"/>
      <c r="I14365" s="4"/>
    </row>
    <row r="14366">
      <c r="A14366" s="4" t="str">
        <f>IFERROR(__xludf.DUMMYFUNCTION("""COMPUTED_VALUE"""),"cas_hmw")</f>
        <v>cas_hmw</v>
      </c>
      <c r="B14366" s="5">
        <f>IFERROR(__xludf.DUMMYFUNCTION("""COMPUTED_VALUE"""),44722.0)</f>
        <v>44722</v>
      </c>
      <c r="C14366" s="6">
        <f>IFERROR(__xludf.DUMMYFUNCTION("""COMPUTED_VALUE"""),0.7350810185198497)</f>
        <v>0.7350810185</v>
      </c>
      <c r="D14366" s="4">
        <f>IFERROR(__xludf.DUMMYFUNCTION("""COMPUTED_VALUE"""),12.968472)</f>
        <v>12.968472</v>
      </c>
      <c r="E14366" s="4">
        <f>IFERROR(__xludf.DUMMYFUNCTION("""COMPUTED_VALUE"""),80.217913)</f>
        <v>80.217913</v>
      </c>
      <c r="F14366" s="4">
        <f>IFERROR(__xludf.DUMMYFUNCTION("""COMPUTED_VALUE"""),2846.0)</f>
        <v>2846</v>
      </c>
      <c r="G14366" s="4">
        <f>IFERROR(__xludf.DUMMYFUNCTION("""COMPUTED_VALUE"""),56.0)</f>
        <v>56</v>
      </c>
      <c r="H14366" s="4"/>
      <c r="I14366" s="4"/>
    </row>
    <row r="14367">
      <c r="A14367" s="4" t="str">
        <f>IFERROR(__xludf.DUMMYFUNCTION("""COMPUTED_VALUE"""),"cas_hmw")</f>
        <v>cas_hmw</v>
      </c>
      <c r="B14367" s="5">
        <f>IFERROR(__xludf.DUMMYFUNCTION("""COMPUTED_VALUE"""),44722.0)</f>
        <v>44722</v>
      </c>
      <c r="C14367" s="6">
        <f>IFERROR(__xludf.DUMMYFUNCTION("""COMPUTED_VALUE"""),0.7357523148129985)</f>
        <v>0.7357523148</v>
      </c>
      <c r="D14367" s="4">
        <f>IFERROR(__xludf.DUMMYFUNCTION("""COMPUTED_VALUE"""),12.97553)</f>
        <v>12.97553</v>
      </c>
      <c r="E14367" s="4">
        <f>IFERROR(__xludf.DUMMYFUNCTION("""COMPUTED_VALUE"""),80.220644)</f>
        <v>80.220644</v>
      </c>
      <c r="F14367" s="4">
        <f>IFERROR(__xludf.DUMMYFUNCTION("""COMPUTED_VALUE"""),2846.0)</f>
        <v>2846</v>
      </c>
      <c r="G14367" s="4">
        <f>IFERROR(__xludf.DUMMYFUNCTION("""COMPUTED_VALUE"""),33.0)</f>
        <v>33</v>
      </c>
      <c r="H14367" s="4"/>
      <c r="I14367" s="4"/>
    </row>
    <row r="14368">
      <c r="A14368" s="4" t="str">
        <f>IFERROR(__xludf.DUMMYFUNCTION("""COMPUTED_VALUE"""),"cas_hmw")</f>
        <v>cas_hmw</v>
      </c>
      <c r="B14368" s="5">
        <f>IFERROR(__xludf.DUMMYFUNCTION("""COMPUTED_VALUE"""),44722.0)</f>
        <v>44722</v>
      </c>
      <c r="C14368" s="6">
        <f>IFERROR(__xludf.DUMMYFUNCTION("""COMPUTED_VALUE"""),0.7359027777783922)</f>
        <v>0.7359027778</v>
      </c>
      <c r="D14368" s="4">
        <f>IFERROR(__xludf.DUMMYFUNCTION("""COMPUTED_VALUE"""),12.97553)</f>
        <v>12.97553</v>
      </c>
      <c r="E14368" s="4">
        <f>IFERROR(__xludf.DUMMYFUNCTION("""COMPUTED_VALUE"""),80.220644)</f>
        <v>80.220644</v>
      </c>
      <c r="F14368" s="4">
        <f>IFERROR(__xludf.DUMMYFUNCTION("""COMPUTED_VALUE"""),2846.0)</f>
        <v>2846</v>
      </c>
      <c r="G14368" s="4">
        <f>IFERROR(__xludf.DUMMYFUNCTION("""COMPUTED_VALUE"""),33.0)</f>
        <v>33</v>
      </c>
      <c r="H14368" s="4"/>
      <c r="I14368" s="4"/>
    </row>
    <row r="14369">
      <c r="A14369" s="4" t="str">
        <f>IFERROR(__xludf.DUMMYFUNCTION("""COMPUTED_VALUE"""),"cas_hmw")</f>
        <v>cas_hmw</v>
      </c>
      <c r="B14369" s="5">
        <f>IFERROR(__xludf.DUMMYFUNCTION("""COMPUTED_VALUE"""),44722.0)</f>
        <v>44722</v>
      </c>
      <c r="C14369" s="6">
        <f>IFERROR(__xludf.DUMMYFUNCTION("""COMPUTED_VALUE"""),0.7359027777783922)</f>
        <v>0.7359027778</v>
      </c>
      <c r="D14369" s="4">
        <f>IFERROR(__xludf.DUMMYFUNCTION("""COMPUTED_VALUE"""),12.97553)</f>
        <v>12.97553</v>
      </c>
      <c r="E14369" s="4">
        <f>IFERROR(__xludf.DUMMYFUNCTION("""COMPUTED_VALUE"""),80.220644)</f>
        <v>80.220644</v>
      </c>
      <c r="F14369" s="4">
        <f>IFERROR(__xludf.DUMMYFUNCTION("""COMPUTED_VALUE"""),2846.0)</f>
        <v>2846</v>
      </c>
      <c r="G14369" s="4">
        <f>IFERROR(__xludf.DUMMYFUNCTION("""COMPUTED_VALUE"""),33.0)</f>
        <v>33</v>
      </c>
      <c r="H14369" s="4"/>
      <c r="I14369" s="4"/>
    </row>
    <row r="14370">
      <c r="A14370" s="4" t="str">
        <f>IFERROR(__xludf.DUMMYFUNCTION("""COMPUTED_VALUE"""),"cas_hmw")</f>
        <v>cas_hmw</v>
      </c>
      <c r="B14370" s="5">
        <f>IFERROR(__xludf.DUMMYFUNCTION("""COMPUTED_VALUE"""),44722.0)</f>
        <v>44722</v>
      </c>
      <c r="C14370" s="6">
        <f>IFERROR(__xludf.DUMMYFUNCTION("""COMPUTED_VALUE"""),0.7385995370386809)</f>
        <v>0.738599537</v>
      </c>
      <c r="D14370" s="4">
        <f>IFERROR(__xludf.DUMMYFUNCTION("""COMPUTED_VALUE"""),12.978853)</f>
        <v>12.978853</v>
      </c>
      <c r="E14370" s="4">
        <f>IFERROR(__xludf.DUMMYFUNCTION("""COMPUTED_VALUE"""),80.225995)</f>
        <v>80.225995</v>
      </c>
      <c r="F14370" s="4">
        <f>IFERROR(__xludf.DUMMYFUNCTION("""COMPUTED_VALUE"""),2846.0)</f>
        <v>2846</v>
      </c>
      <c r="G14370" s="4">
        <f>IFERROR(__xludf.DUMMYFUNCTION("""COMPUTED_VALUE"""),49.0)</f>
        <v>49</v>
      </c>
      <c r="H14370" s="4"/>
      <c r="I14370" s="4"/>
    </row>
    <row r="14371">
      <c r="A14371" s="4" t="str">
        <f>IFERROR(__xludf.DUMMYFUNCTION("""COMPUTED_VALUE"""),"cas_hmw")</f>
        <v>cas_hmw</v>
      </c>
      <c r="B14371" s="5">
        <f>IFERROR(__xludf.DUMMYFUNCTION("""COMPUTED_VALUE"""),44722.0)</f>
        <v>44722</v>
      </c>
      <c r="C14371" s="6">
        <f>IFERROR(__xludf.DUMMYFUNCTION("""COMPUTED_VALUE"""),0.7386342592581059)</f>
        <v>0.7386342593</v>
      </c>
      <c r="D14371" s="4">
        <f>IFERROR(__xludf.DUMMYFUNCTION("""COMPUTED_VALUE"""),12.978853)</f>
        <v>12.978853</v>
      </c>
      <c r="E14371" s="4">
        <f>IFERROR(__xludf.DUMMYFUNCTION("""COMPUTED_VALUE"""),80.225995)</f>
        <v>80.225995</v>
      </c>
      <c r="F14371" s="4">
        <f>IFERROR(__xludf.DUMMYFUNCTION("""COMPUTED_VALUE"""),2846.0)</f>
        <v>2846</v>
      </c>
      <c r="G14371" s="4">
        <f>IFERROR(__xludf.DUMMYFUNCTION("""COMPUTED_VALUE"""),49.0)</f>
        <v>49</v>
      </c>
      <c r="H14371" s="4"/>
      <c r="I14371" s="4"/>
    </row>
    <row r="14372">
      <c r="A14372" s="4" t="str">
        <f>IFERROR(__xludf.DUMMYFUNCTION("""COMPUTED_VALUE"""),"cas_hmw")</f>
        <v>cas_hmw</v>
      </c>
      <c r="B14372" s="5">
        <f>IFERROR(__xludf.DUMMYFUNCTION("""COMPUTED_VALUE"""),44722.0)</f>
        <v>44722</v>
      </c>
      <c r="C14372" s="6">
        <f>IFERROR(__xludf.DUMMYFUNCTION("""COMPUTED_VALUE"""),0.7392361111124046)</f>
        <v>0.7392361111</v>
      </c>
      <c r="D14372" s="4">
        <f>IFERROR(__xludf.DUMMYFUNCTION("""COMPUTED_VALUE"""),13.039902)</f>
        <v>13.039902</v>
      </c>
      <c r="E14372" s="4">
        <f>IFERROR(__xludf.DUMMYFUNCTION("""COMPUTED_VALUE"""),80.267814)</f>
        <v>80.267814</v>
      </c>
      <c r="F14372" s="4">
        <f>IFERROR(__xludf.DUMMYFUNCTION("""COMPUTED_VALUE"""),805.0)</f>
        <v>805</v>
      </c>
      <c r="G14372" s="4">
        <f>IFERROR(__xludf.DUMMYFUNCTION("""COMPUTED_VALUE"""),11.0)</f>
        <v>11</v>
      </c>
      <c r="H14372" s="4"/>
      <c r="I14372" s="4"/>
    </row>
    <row r="14373">
      <c r="A14373" s="4" t="str">
        <f>IFERROR(__xludf.DUMMYFUNCTION("""COMPUTED_VALUE"""),"cas_hmw")</f>
        <v>cas_hmw</v>
      </c>
      <c r="B14373" s="5">
        <f>IFERROR(__xludf.DUMMYFUNCTION("""COMPUTED_VALUE"""),44722.0)</f>
        <v>44722</v>
      </c>
      <c r="C14373" s="6">
        <f>IFERROR(__xludf.DUMMYFUNCTION("""COMPUTED_VALUE"""),0.7407986111102218)</f>
        <v>0.7407986111</v>
      </c>
      <c r="D14373" s="4">
        <f>IFERROR(__xludf.DUMMYFUNCTION("""COMPUTED_VALUE"""),12.96334)</f>
        <v>12.96334</v>
      </c>
      <c r="E14373" s="4">
        <f>IFERROR(__xludf.DUMMYFUNCTION("""COMPUTED_VALUE"""),80.215956)</f>
        <v>80.215956</v>
      </c>
      <c r="F14373" s="4">
        <f>IFERROR(__xludf.DUMMYFUNCTION("""COMPUTED_VALUE"""),2846.0)</f>
        <v>2846</v>
      </c>
      <c r="G14373" s="4">
        <f>IFERROR(__xludf.DUMMYFUNCTION("""COMPUTED_VALUE"""),32.0)</f>
        <v>32</v>
      </c>
      <c r="H14373" s="4"/>
      <c r="I14373" s="4"/>
    </row>
    <row r="14374">
      <c r="A14374" s="4" t="str">
        <f>IFERROR(__xludf.DUMMYFUNCTION("""COMPUTED_VALUE"""),"cas_hmw")</f>
        <v>cas_hmw</v>
      </c>
      <c r="B14374" s="5">
        <f>IFERROR(__xludf.DUMMYFUNCTION("""COMPUTED_VALUE"""),44722.0)</f>
        <v>44722</v>
      </c>
      <c r="C14374" s="6">
        <f>IFERROR(__xludf.DUMMYFUNCTION("""COMPUTED_VALUE"""),0.7408796296294895)</f>
        <v>0.7408796296</v>
      </c>
      <c r="D14374" s="4">
        <f>IFERROR(__xludf.DUMMYFUNCTION("""COMPUTED_VALUE"""),12.96334)</f>
        <v>12.96334</v>
      </c>
      <c r="E14374" s="4">
        <f>IFERROR(__xludf.DUMMYFUNCTION("""COMPUTED_VALUE"""),80.215956)</f>
        <v>80.215956</v>
      </c>
      <c r="F14374" s="4">
        <f>IFERROR(__xludf.DUMMYFUNCTION("""COMPUTED_VALUE"""),2846.0)</f>
        <v>2846</v>
      </c>
      <c r="G14374" s="4">
        <f>IFERROR(__xludf.DUMMYFUNCTION("""COMPUTED_VALUE"""),32.0)</f>
        <v>32</v>
      </c>
      <c r="H14374" s="4"/>
      <c r="I14374" s="4"/>
    </row>
    <row r="14375">
      <c r="A14375" s="4" t="str">
        <f>IFERROR(__xludf.DUMMYFUNCTION("""COMPUTED_VALUE"""),"cas_hmw")</f>
        <v>cas_hmw</v>
      </c>
      <c r="B14375" s="5">
        <f>IFERROR(__xludf.DUMMYFUNCTION("""COMPUTED_VALUE"""),44722.0)</f>
        <v>44722</v>
      </c>
      <c r="C14375" s="6">
        <f>IFERROR(__xludf.DUMMYFUNCTION("""COMPUTED_VALUE"""),0.7409259259256942)</f>
        <v>0.7409259259</v>
      </c>
      <c r="D14375" s="4">
        <f>IFERROR(__xludf.DUMMYFUNCTION("""COMPUTED_VALUE"""),12.96334)</f>
        <v>12.96334</v>
      </c>
      <c r="E14375" s="4">
        <f>IFERROR(__xludf.DUMMYFUNCTION("""COMPUTED_VALUE"""),80.215956)</f>
        <v>80.215956</v>
      </c>
      <c r="F14375" s="4">
        <f>IFERROR(__xludf.DUMMYFUNCTION("""COMPUTED_VALUE"""),2846.0)</f>
        <v>2846</v>
      </c>
      <c r="G14375" s="4">
        <f>IFERROR(__xludf.DUMMYFUNCTION("""COMPUTED_VALUE"""),32.0)</f>
        <v>32</v>
      </c>
      <c r="H14375" s="4"/>
      <c r="I14375" s="4"/>
    </row>
    <row r="14376">
      <c r="A14376" s="4" t="str">
        <f>IFERROR(__xludf.DUMMYFUNCTION("""COMPUTED_VALUE"""),"cas_hmw")</f>
        <v>cas_hmw</v>
      </c>
      <c r="B14376" s="5">
        <f>IFERROR(__xludf.DUMMYFUNCTION("""COMPUTED_VALUE"""),44722.0)</f>
        <v>44722</v>
      </c>
      <c r="C14376" s="6">
        <f>IFERROR(__xludf.DUMMYFUNCTION("""COMPUTED_VALUE"""),0.7430092592585424)</f>
        <v>0.7430092593</v>
      </c>
      <c r="D14376" s="4">
        <f>IFERROR(__xludf.DUMMYFUNCTION("""COMPUTED_VALUE"""),13.053961)</f>
        <v>13.053961</v>
      </c>
      <c r="E14376" s="4">
        <f>IFERROR(__xludf.DUMMYFUNCTION("""COMPUTED_VALUE"""),80.263907)</f>
        <v>80.263907</v>
      </c>
      <c r="F14376" s="4">
        <f>IFERROR(__xludf.DUMMYFUNCTION("""COMPUTED_VALUE"""),805.0)</f>
        <v>805</v>
      </c>
      <c r="G14376" s="4">
        <f>IFERROR(__xludf.DUMMYFUNCTION("""COMPUTED_VALUE"""),12.0)</f>
        <v>12</v>
      </c>
      <c r="H14376" s="4"/>
      <c r="I14376" s="4"/>
    </row>
    <row r="14377">
      <c r="A14377" s="4" t="str">
        <f>IFERROR(__xludf.DUMMYFUNCTION("""COMPUTED_VALUE"""),"cas_hmw")</f>
        <v>cas_hmw</v>
      </c>
      <c r="B14377" s="5">
        <f>IFERROR(__xludf.DUMMYFUNCTION("""COMPUTED_VALUE"""),44722.0)</f>
        <v>44722</v>
      </c>
      <c r="C14377" s="6">
        <f>IFERROR(__xludf.DUMMYFUNCTION("""COMPUTED_VALUE"""),0.7438657407401479)</f>
        <v>0.7438657407</v>
      </c>
      <c r="D14377" s="4">
        <f>IFERROR(__xludf.DUMMYFUNCTION("""COMPUTED_VALUE"""),13.05835)</f>
        <v>13.05835</v>
      </c>
      <c r="E14377" s="4">
        <f>IFERROR(__xludf.DUMMYFUNCTION("""COMPUTED_VALUE"""),80.265333)</f>
        <v>80.265333</v>
      </c>
      <c r="F14377" s="4">
        <f>IFERROR(__xludf.DUMMYFUNCTION("""COMPUTED_VALUE"""),805.0)</f>
        <v>805</v>
      </c>
      <c r="G14377" s="4">
        <f>IFERROR(__xludf.DUMMYFUNCTION("""COMPUTED_VALUE"""),16.0)</f>
        <v>16</v>
      </c>
      <c r="H14377" s="4"/>
      <c r="I14377" s="4"/>
    </row>
    <row r="14378">
      <c r="A14378" s="4" t="str">
        <f>IFERROR(__xludf.DUMMYFUNCTION("""COMPUTED_VALUE"""),"cas_hmw")</f>
        <v>cas_hmw</v>
      </c>
      <c r="B14378" s="5">
        <f>IFERROR(__xludf.DUMMYFUNCTION("""COMPUTED_VALUE"""),44722.0)</f>
        <v>44722</v>
      </c>
      <c r="C14378" s="6">
        <f>IFERROR(__xludf.DUMMYFUNCTION("""COMPUTED_VALUE"""),0.7438888888900692)</f>
        <v>0.7438888889</v>
      </c>
      <c r="D14378" s="4">
        <f>IFERROR(__xludf.DUMMYFUNCTION("""COMPUTED_VALUE"""),13.05835)</f>
        <v>13.05835</v>
      </c>
      <c r="E14378" s="4">
        <f>IFERROR(__xludf.DUMMYFUNCTION("""COMPUTED_VALUE"""),80.265333)</f>
        <v>80.265333</v>
      </c>
      <c r="F14378" s="4">
        <f>IFERROR(__xludf.DUMMYFUNCTION("""COMPUTED_VALUE"""),805.0)</f>
        <v>805</v>
      </c>
      <c r="G14378" s="4">
        <f>IFERROR(__xludf.DUMMYFUNCTION("""COMPUTED_VALUE"""),16.0)</f>
        <v>16</v>
      </c>
      <c r="H14378" s="4"/>
      <c r="I14378" s="4"/>
    </row>
    <row r="14379">
      <c r="A14379" s="4" t="str">
        <f>IFERROR(__xludf.DUMMYFUNCTION("""COMPUTED_VALUE"""),"cas_hmw")</f>
        <v>cas_hmw</v>
      </c>
      <c r="B14379" s="5">
        <f>IFERROR(__xludf.DUMMYFUNCTION("""COMPUTED_VALUE"""),44722.0)</f>
        <v>44722</v>
      </c>
      <c r="C14379" s="6">
        <f>IFERROR(__xludf.DUMMYFUNCTION("""COMPUTED_VALUE"""),0.7438888888900692)</f>
        <v>0.7438888889</v>
      </c>
      <c r="D14379" s="4">
        <f>IFERROR(__xludf.DUMMYFUNCTION("""COMPUTED_VALUE"""),12.948992)</f>
        <v>12.948992</v>
      </c>
      <c r="E14379" s="4">
        <f>IFERROR(__xludf.DUMMYFUNCTION("""COMPUTED_VALUE"""),80.21037)</f>
        <v>80.21037</v>
      </c>
      <c r="F14379" s="4">
        <f>IFERROR(__xludf.DUMMYFUNCTION("""COMPUTED_VALUE"""),2846.0)</f>
        <v>2846</v>
      </c>
      <c r="G14379" s="4">
        <f>IFERROR(__xludf.DUMMYFUNCTION("""COMPUTED_VALUE"""),11.0)</f>
        <v>11</v>
      </c>
      <c r="H14379" s="4"/>
      <c r="I14379" s="4"/>
    </row>
    <row r="14380">
      <c r="A14380" s="4" t="str">
        <f>IFERROR(__xludf.DUMMYFUNCTION("""COMPUTED_VALUE"""),"cas_hmw")</f>
        <v>cas_hmw</v>
      </c>
      <c r="B14380" s="5">
        <f>IFERROR(__xludf.DUMMYFUNCTION("""COMPUTED_VALUE"""),44722.0)</f>
        <v>44722</v>
      </c>
      <c r="C14380" s="6">
        <f>IFERROR(__xludf.DUMMYFUNCTION("""COMPUTED_VALUE"""),0.7439351851862739)</f>
        <v>0.7439351852</v>
      </c>
      <c r="D14380" s="4">
        <f>IFERROR(__xludf.DUMMYFUNCTION("""COMPUTED_VALUE"""),13.05835)</f>
        <v>13.05835</v>
      </c>
      <c r="E14380" s="4">
        <f>IFERROR(__xludf.DUMMYFUNCTION("""COMPUTED_VALUE"""),80.265333)</f>
        <v>80.265333</v>
      </c>
      <c r="F14380" s="4">
        <f>IFERROR(__xludf.DUMMYFUNCTION("""COMPUTED_VALUE"""),805.0)</f>
        <v>805</v>
      </c>
      <c r="G14380" s="4">
        <f>IFERROR(__xludf.DUMMYFUNCTION("""COMPUTED_VALUE"""),16.0)</f>
        <v>16</v>
      </c>
      <c r="H14380" s="4"/>
      <c r="I14380" s="4"/>
    </row>
    <row r="14381">
      <c r="A14381" s="4" t="str">
        <f>IFERROR(__xludf.DUMMYFUNCTION("""COMPUTED_VALUE"""),"cas_hmw")</f>
        <v>cas_hmw</v>
      </c>
      <c r="B14381" s="5">
        <f>IFERROR(__xludf.DUMMYFUNCTION("""COMPUTED_VALUE"""),44722.0)</f>
        <v>44722</v>
      </c>
      <c r="C14381" s="6">
        <f>IFERROR(__xludf.DUMMYFUNCTION("""COMPUTED_VALUE"""),0.7439351851862739)</f>
        <v>0.7439351852</v>
      </c>
      <c r="D14381" s="4">
        <f>IFERROR(__xludf.DUMMYFUNCTION("""COMPUTED_VALUE"""),13.05835)</f>
        <v>13.05835</v>
      </c>
      <c r="E14381" s="4">
        <f>IFERROR(__xludf.DUMMYFUNCTION("""COMPUTED_VALUE"""),80.265333)</f>
        <v>80.265333</v>
      </c>
      <c r="F14381" s="4">
        <f>IFERROR(__xludf.DUMMYFUNCTION("""COMPUTED_VALUE"""),805.0)</f>
        <v>805</v>
      </c>
      <c r="G14381" s="4">
        <f>IFERROR(__xludf.DUMMYFUNCTION("""COMPUTED_VALUE"""),16.0)</f>
        <v>16</v>
      </c>
      <c r="H14381" s="4"/>
      <c r="I14381" s="4"/>
    </row>
    <row r="14382">
      <c r="A14382" s="4" t="str">
        <f>IFERROR(__xludf.DUMMYFUNCTION("""COMPUTED_VALUE"""),"cas_hmw")</f>
        <v>cas_hmw</v>
      </c>
      <c r="B14382" s="5">
        <f>IFERROR(__xludf.DUMMYFUNCTION("""COMPUTED_VALUE"""),44722.0)</f>
        <v>44722</v>
      </c>
      <c r="C14382" s="6">
        <f>IFERROR(__xludf.DUMMYFUNCTION("""COMPUTED_VALUE"""),0.7440162037019036)</f>
        <v>0.7440162037</v>
      </c>
      <c r="D14382" s="4">
        <f>IFERROR(__xludf.DUMMYFUNCTION("""COMPUTED_VALUE"""),12.948355)</f>
        <v>12.948355</v>
      </c>
      <c r="E14382" s="4">
        <f>IFERROR(__xludf.DUMMYFUNCTION("""COMPUTED_VALUE"""),80.210042)</f>
        <v>80.210042</v>
      </c>
      <c r="F14382" s="4">
        <f>IFERROR(__xludf.DUMMYFUNCTION("""COMPUTED_VALUE"""),2846.0)</f>
        <v>2846</v>
      </c>
      <c r="G14382" s="4">
        <f>IFERROR(__xludf.DUMMYFUNCTION("""COMPUTED_VALUE"""),13.0)</f>
        <v>13</v>
      </c>
      <c r="H14382" s="4"/>
      <c r="I14382" s="4"/>
    </row>
    <row r="14383">
      <c r="A14383" s="4" t="str">
        <f>IFERROR(__xludf.DUMMYFUNCTION("""COMPUTED_VALUE"""),"cas_hmw")</f>
        <v>cas_hmw</v>
      </c>
      <c r="B14383" s="5">
        <f>IFERROR(__xludf.DUMMYFUNCTION("""COMPUTED_VALUE"""),44722.0)</f>
        <v>44722</v>
      </c>
      <c r="C14383" s="6">
        <f>IFERROR(__xludf.DUMMYFUNCTION("""COMPUTED_VALUE"""),0.7447800925910997)</f>
        <v>0.7447800926</v>
      </c>
      <c r="D14383" s="4">
        <f>IFERROR(__xludf.DUMMYFUNCTION("""COMPUTED_VALUE"""),12.948663)</f>
        <v>12.948663</v>
      </c>
      <c r="E14383" s="4">
        <f>IFERROR(__xludf.DUMMYFUNCTION("""COMPUTED_VALUE"""),80.206094)</f>
        <v>80.206094</v>
      </c>
      <c r="F14383" s="4">
        <f>IFERROR(__xludf.DUMMYFUNCTION("""COMPUTED_VALUE"""),2846.0)</f>
        <v>2846</v>
      </c>
      <c r="G14383" s="4">
        <f>IFERROR(__xludf.DUMMYFUNCTION("""COMPUTED_VALUE"""),25.0)</f>
        <v>25</v>
      </c>
      <c r="H14383" s="4"/>
      <c r="I14383" s="4"/>
    </row>
    <row r="14384">
      <c r="A14384" s="4" t="str">
        <f>IFERROR(__xludf.DUMMYFUNCTION("""COMPUTED_VALUE"""),"cas_hmw")</f>
        <v>cas_hmw</v>
      </c>
      <c r="B14384" s="5">
        <f>IFERROR(__xludf.DUMMYFUNCTION("""COMPUTED_VALUE"""),44722.0)</f>
        <v>44722</v>
      </c>
      <c r="C14384" s="6">
        <f>IFERROR(__xludf.DUMMYFUNCTION("""COMPUTED_VALUE"""),0.7462037037039408)</f>
        <v>0.7462037037</v>
      </c>
      <c r="D14384" s="4">
        <f>IFERROR(__xludf.DUMMYFUNCTION("""COMPUTED_VALUE"""),12.94849)</f>
        <v>12.94849</v>
      </c>
      <c r="E14384" s="4">
        <f>IFERROR(__xludf.DUMMYFUNCTION("""COMPUTED_VALUE"""),80.199422)</f>
        <v>80.199422</v>
      </c>
      <c r="F14384" s="4">
        <f>IFERROR(__xludf.DUMMYFUNCTION("""COMPUTED_VALUE"""),2846.0)</f>
        <v>2846</v>
      </c>
      <c r="G14384" s="4">
        <f>IFERROR(__xludf.DUMMYFUNCTION("""COMPUTED_VALUE"""),0.0)</f>
        <v>0</v>
      </c>
      <c r="H14384" s="4"/>
      <c r="I14384" s="4"/>
    </row>
    <row r="14385">
      <c r="A14385" s="4" t="str">
        <f>IFERROR(__xludf.DUMMYFUNCTION("""COMPUTED_VALUE"""),"cas_hmw")</f>
        <v>cas_hmw</v>
      </c>
      <c r="B14385" s="5">
        <f>IFERROR(__xludf.DUMMYFUNCTION("""COMPUTED_VALUE"""),44722.0)</f>
        <v>44722</v>
      </c>
      <c r="C14385" s="6">
        <f>IFERROR(__xludf.DUMMYFUNCTION("""COMPUTED_VALUE"""),0.7463888888887595)</f>
        <v>0.7463888889</v>
      </c>
      <c r="D14385" s="4">
        <f>IFERROR(__xludf.DUMMYFUNCTION("""COMPUTED_VALUE"""),12.94849)</f>
        <v>12.94849</v>
      </c>
      <c r="E14385" s="4">
        <f>IFERROR(__xludf.DUMMYFUNCTION("""COMPUTED_VALUE"""),80.199137)</f>
        <v>80.199137</v>
      </c>
      <c r="F14385" s="4">
        <f>IFERROR(__xludf.DUMMYFUNCTION("""COMPUTED_VALUE"""),2846.0)</f>
        <v>2846</v>
      </c>
      <c r="G14385" s="4">
        <f>IFERROR(__xludf.DUMMYFUNCTION("""COMPUTED_VALUE"""),12.0)</f>
        <v>12</v>
      </c>
      <c r="H14385" s="4"/>
      <c r="I14385" s="4"/>
    </row>
    <row r="14386">
      <c r="A14386" s="4" t="str">
        <f>IFERROR(__xludf.DUMMYFUNCTION("""COMPUTED_VALUE"""),"cas_hmw")</f>
        <v>cas_hmw</v>
      </c>
      <c r="B14386" s="5">
        <f>IFERROR(__xludf.DUMMYFUNCTION("""COMPUTED_VALUE"""),44722.0)</f>
        <v>44722</v>
      </c>
      <c r="C14386" s="6">
        <f>IFERROR(__xludf.DUMMYFUNCTION("""COMPUTED_VALUE"""),0.7512500000011642)</f>
        <v>0.75125</v>
      </c>
      <c r="D14386" s="4">
        <f>IFERROR(__xludf.DUMMYFUNCTION("""COMPUTED_VALUE"""),12.948466)</f>
        <v>12.948466</v>
      </c>
      <c r="E14386" s="4">
        <f>IFERROR(__xludf.DUMMYFUNCTION("""COMPUTED_VALUE"""),80.194753)</f>
        <v>80.194753</v>
      </c>
      <c r="F14386" s="4">
        <f>IFERROR(__xludf.DUMMYFUNCTION("""COMPUTED_VALUE"""),2846.0)</f>
        <v>2846</v>
      </c>
      <c r="G14386" s="4">
        <f>IFERROR(__xludf.DUMMYFUNCTION("""COMPUTED_VALUE"""),0.0)</f>
        <v>0</v>
      </c>
      <c r="H14386" s="4"/>
      <c r="I14386" s="4"/>
    </row>
    <row r="14387">
      <c r="A14387" s="4" t="str">
        <f>IFERROR(__xludf.DUMMYFUNCTION("""COMPUTED_VALUE"""),"cas_hmw")</f>
        <v>cas_hmw</v>
      </c>
      <c r="B14387" s="5">
        <f>IFERROR(__xludf.DUMMYFUNCTION("""COMPUTED_VALUE"""),44722.0)</f>
        <v>44722</v>
      </c>
      <c r="C14387" s="6">
        <f>IFERROR(__xludf.DUMMYFUNCTION("""COMPUTED_VALUE"""),0.7514583333322662)</f>
        <v>0.7514583333</v>
      </c>
      <c r="D14387" s="4">
        <f>IFERROR(__xludf.DUMMYFUNCTION("""COMPUTED_VALUE"""),12.948491)</f>
        <v>12.948491</v>
      </c>
      <c r="E14387" s="4">
        <f>IFERROR(__xludf.DUMMYFUNCTION("""COMPUTED_VALUE"""),80.194227)</f>
        <v>80.194227</v>
      </c>
      <c r="F14387" s="4">
        <f>IFERROR(__xludf.DUMMYFUNCTION("""COMPUTED_VALUE"""),2846.0)</f>
        <v>2846</v>
      </c>
      <c r="G14387" s="4">
        <f>IFERROR(__xludf.DUMMYFUNCTION("""COMPUTED_VALUE"""),21.0)</f>
        <v>21</v>
      </c>
      <c r="H14387" s="4"/>
      <c r="I14387" s="4"/>
    </row>
    <row r="14388">
      <c r="A14388" s="4" t="str">
        <f>IFERROR(__xludf.DUMMYFUNCTION("""COMPUTED_VALUE"""),"cas_hmw")</f>
        <v>cas_hmw</v>
      </c>
      <c r="B14388" s="5">
        <f>IFERROR(__xludf.DUMMYFUNCTION("""COMPUTED_VALUE"""),44722.0)</f>
        <v>44722</v>
      </c>
      <c r="C14388" s="6">
        <f>IFERROR(__xludf.DUMMYFUNCTION("""COMPUTED_VALUE"""),0.7516898148132896)</f>
        <v>0.7516898148</v>
      </c>
      <c r="D14388" s="4">
        <f>IFERROR(__xludf.DUMMYFUNCTION("""COMPUTED_VALUE"""),12.948617)</f>
        <v>12.948617</v>
      </c>
      <c r="E14388" s="4">
        <f>IFERROR(__xludf.DUMMYFUNCTION("""COMPUTED_VALUE"""),80.190898)</f>
        <v>80.190898</v>
      </c>
      <c r="F14388" s="4">
        <f>IFERROR(__xludf.DUMMYFUNCTION("""COMPUTED_VALUE"""),2846.0)</f>
        <v>2846</v>
      </c>
      <c r="G14388" s="4">
        <f>IFERROR(__xludf.DUMMYFUNCTION("""COMPUTED_VALUE"""),45.0)</f>
        <v>45</v>
      </c>
      <c r="H14388" s="4"/>
      <c r="I14388" s="4"/>
    </row>
    <row r="14389">
      <c r="A14389" s="4" t="str">
        <f>IFERROR(__xludf.DUMMYFUNCTION("""COMPUTED_VALUE"""),"cas_hmw")</f>
        <v>cas_hmw</v>
      </c>
      <c r="B14389" s="5">
        <f>IFERROR(__xludf.DUMMYFUNCTION("""COMPUTED_VALUE"""),44722.0)</f>
        <v>44722</v>
      </c>
      <c r="C14389" s="6">
        <f>IFERROR(__xludf.DUMMYFUNCTION("""COMPUTED_VALUE"""),0.7520023148135806)</f>
        <v>0.7520023148</v>
      </c>
      <c r="D14389" s="4">
        <f>IFERROR(__xludf.DUMMYFUNCTION("""COMPUTED_VALUE"""),12.948747)</f>
        <v>12.948747</v>
      </c>
      <c r="E14389" s="4">
        <f>IFERROR(__xludf.DUMMYFUNCTION("""COMPUTED_VALUE"""),80.189294)</f>
        <v>80.189294</v>
      </c>
      <c r="F14389" s="4">
        <f>IFERROR(__xludf.DUMMYFUNCTION("""COMPUTED_VALUE"""),2846.0)</f>
        <v>2846</v>
      </c>
      <c r="G14389" s="4">
        <f>IFERROR(__xludf.DUMMYFUNCTION("""COMPUTED_VALUE"""),32.0)</f>
        <v>32</v>
      </c>
      <c r="H14389" s="4"/>
      <c r="I14389" s="4"/>
    </row>
    <row r="14390">
      <c r="A14390" s="4" t="str">
        <f>IFERROR(__xludf.DUMMYFUNCTION("""COMPUTED_VALUE"""),"cas_hmw")</f>
        <v>cas_hmw</v>
      </c>
      <c r="B14390" s="5">
        <f>IFERROR(__xludf.DUMMYFUNCTION("""COMPUTED_VALUE"""),44722.0)</f>
        <v>44722</v>
      </c>
      <c r="C14390" s="6">
        <f>IFERROR(__xludf.DUMMYFUNCTION("""COMPUTED_VALUE"""),0.7525231481486117)</f>
        <v>0.7525231481</v>
      </c>
      <c r="D14390" s="4">
        <f>IFERROR(__xludf.DUMMYFUNCTION("""COMPUTED_VALUE"""),12.9491)</f>
        <v>12.9491</v>
      </c>
      <c r="E14390" s="4">
        <f>IFERROR(__xludf.DUMMYFUNCTION("""COMPUTED_VALUE"""),80.184123)</f>
        <v>80.184123</v>
      </c>
      <c r="F14390" s="4">
        <f>IFERROR(__xludf.DUMMYFUNCTION("""COMPUTED_VALUE"""),2846.0)</f>
        <v>2846</v>
      </c>
      <c r="G14390" s="4">
        <f>IFERROR(__xludf.DUMMYFUNCTION("""COMPUTED_VALUE"""),46.0)</f>
        <v>46</v>
      </c>
      <c r="H14390" s="4"/>
      <c r="I14390" s="4"/>
    </row>
    <row r="14391">
      <c r="A14391" s="4" t="str">
        <f>IFERROR(__xludf.DUMMYFUNCTION("""COMPUTED_VALUE"""),"cas_hmw")</f>
        <v>cas_hmw</v>
      </c>
      <c r="B14391" s="5">
        <f>IFERROR(__xludf.DUMMYFUNCTION("""COMPUTED_VALUE"""),44722.0)</f>
        <v>44722</v>
      </c>
      <c r="C14391" s="6">
        <f>IFERROR(__xludf.DUMMYFUNCTION("""COMPUTED_VALUE"""),0.7656134259268583)</f>
        <v>0.7656134259</v>
      </c>
      <c r="D14391" s="4">
        <f>IFERROR(__xludf.DUMMYFUNCTION("""COMPUTED_VALUE"""),13.067621)</f>
        <v>13.067621</v>
      </c>
      <c r="E14391" s="4">
        <f>IFERROR(__xludf.DUMMYFUNCTION("""COMPUTED_VALUE"""),80.249498)</f>
        <v>80.249498</v>
      </c>
      <c r="F14391" s="4">
        <f>IFERROR(__xludf.DUMMYFUNCTION("""COMPUTED_VALUE"""),805.0)</f>
        <v>805</v>
      </c>
      <c r="G14391" s="4">
        <f>IFERROR(__xludf.DUMMYFUNCTION("""COMPUTED_VALUE"""),10.0)</f>
        <v>10</v>
      </c>
      <c r="H14391" s="4"/>
      <c r="I14391" s="4"/>
    </row>
    <row r="14392">
      <c r="A14392" s="4" t="str">
        <f>IFERROR(__xludf.DUMMYFUNCTION("""COMPUTED_VALUE"""),"cas_hmw")</f>
        <v>cas_hmw</v>
      </c>
      <c r="B14392" s="5">
        <f>IFERROR(__xludf.DUMMYFUNCTION("""COMPUTED_VALUE"""),44722.0)</f>
        <v>44722</v>
      </c>
      <c r="C14392" s="6">
        <f>IFERROR(__xludf.DUMMYFUNCTION("""COMPUTED_VALUE"""),0.765694444446126)</f>
        <v>0.7656944444</v>
      </c>
      <c r="D14392" s="4">
        <f>IFERROR(__xludf.DUMMYFUNCTION("""COMPUTED_VALUE"""),13.067809)</f>
        <v>13.067809</v>
      </c>
      <c r="E14392" s="4">
        <f>IFERROR(__xludf.DUMMYFUNCTION("""COMPUTED_VALUE"""),80.248438)</f>
        <v>80.248438</v>
      </c>
      <c r="F14392" s="4">
        <f>IFERROR(__xludf.DUMMYFUNCTION("""COMPUTED_VALUE"""),805.0)</f>
        <v>805</v>
      </c>
      <c r="G14392" s="4">
        <f>IFERROR(__xludf.DUMMYFUNCTION("""COMPUTED_VALUE"""),30.0)</f>
        <v>30</v>
      </c>
      <c r="H14392" s="4"/>
      <c r="I14392" s="4"/>
    </row>
    <row r="14393">
      <c r="A14393" s="4" t="str">
        <f>IFERROR(__xludf.DUMMYFUNCTION("""COMPUTED_VALUE"""),"cas_hmw")</f>
        <v>cas_hmw</v>
      </c>
      <c r="B14393" s="5">
        <f>IFERROR(__xludf.DUMMYFUNCTION("""COMPUTED_VALUE"""),44722.0)</f>
        <v>44722</v>
      </c>
      <c r="C14393" s="6">
        <f>IFERROR(__xludf.DUMMYFUNCTION("""COMPUTED_VALUE"""),0.765729166665551)</f>
        <v>0.7657291667</v>
      </c>
      <c r="D14393" s="4">
        <f>IFERROR(__xludf.DUMMYFUNCTION("""COMPUTED_VALUE"""),13.067809)</f>
        <v>13.067809</v>
      </c>
      <c r="E14393" s="4">
        <f>IFERROR(__xludf.DUMMYFUNCTION("""COMPUTED_VALUE"""),80.248438)</f>
        <v>80.248438</v>
      </c>
      <c r="F14393" s="4">
        <f>IFERROR(__xludf.DUMMYFUNCTION("""COMPUTED_VALUE"""),805.0)</f>
        <v>805</v>
      </c>
      <c r="G14393" s="4">
        <f>IFERROR(__xludf.DUMMYFUNCTION("""COMPUTED_VALUE"""),30.0)</f>
        <v>30</v>
      </c>
      <c r="H14393" s="4"/>
      <c r="I14393" s="4"/>
    </row>
    <row r="14394">
      <c r="A14394" s="4" t="str">
        <f>IFERROR(__xludf.DUMMYFUNCTION("""COMPUTED_VALUE"""),"cas_hmw")</f>
        <v>cas_hmw</v>
      </c>
      <c r="B14394" s="5">
        <f>IFERROR(__xludf.DUMMYFUNCTION("""COMPUTED_VALUE"""),44722.0)</f>
        <v>44722</v>
      </c>
      <c r="C14394" s="6">
        <f>IFERROR(__xludf.DUMMYFUNCTION("""COMPUTED_VALUE"""),0.7853703703694919)</f>
        <v>0.7853703704</v>
      </c>
      <c r="D14394" s="4">
        <f>IFERROR(__xludf.DUMMYFUNCTION("""COMPUTED_VALUE"""),12.954355)</f>
        <v>12.954355</v>
      </c>
      <c r="E14394" s="4">
        <f>IFERROR(__xludf.DUMMYFUNCTION("""COMPUTED_VALUE"""),80.159344)</f>
        <v>80.159344</v>
      </c>
      <c r="F14394" s="4">
        <f>IFERROR(__xludf.DUMMYFUNCTION("""COMPUTED_VALUE"""),2846.0)</f>
        <v>2846</v>
      </c>
      <c r="G14394" s="4">
        <f>IFERROR(__xludf.DUMMYFUNCTION("""COMPUTED_VALUE"""),17.0)</f>
        <v>17</v>
      </c>
      <c r="H14394" s="4"/>
      <c r="I14394" s="4"/>
    </row>
    <row r="14395">
      <c r="A14395" s="4" t="str">
        <f>IFERROR(__xludf.DUMMYFUNCTION("""COMPUTED_VALUE"""),"cas_hmw")</f>
        <v>cas_hmw</v>
      </c>
      <c r="B14395" s="5">
        <f>IFERROR(__xludf.DUMMYFUNCTION("""COMPUTED_VALUE"""),44722.0)</f>
        <v>44722</v>
      </c>
      <c r="C14395" s="6">
        <f>IFERROR(__xludf.DUMMYFUNCTION("""COMPUTED_VALUE"""),0.7858564814814599)</f>
        <v>0.7858564815</v>
      </c>
      <c r="D14395" s="4">
        <f>IFERROR(__xludf.DUMMYFUNCTION("""COMPUTED_VALUE"""),12.954839)</f>
        <v>12.954839</v>
      </c>
      <c r="E14395" s="4">
        <f>IFERROR(__xludf.DUMMYFUNCTION("""COMPUTED_VALUE"""),80.157006)</f>
        <v>80.157006</v>
      </c>
      <c r="F14395" s="4">
        <f>IFERROR(__xludf.DUMMYFUNCTION("""COMPUTED_VALUE"""),2846.0)</f>
        <v>2846</v>
      </c>
      <c r="G14395" s="4">
        <f>IFERROR(__xludf.DUMMYFUNCTION("""COMPUTED_VALUE"""),47.0)</f>
        <v>47</v>
      </c>
      <c r="H14395" s="4"/>
      <c r="I14395" s="4"/>
    </row>
    <row r="14396">
      <c r="A14396" s="4" t="str">
        <f>IFERROR(__xludf.DUMMYFUNCTION("""COMPUTED_VALUE"""),"cas_hmw")</f>
        <v>cas_hmw</v>
      </c>
      <c r="B14396" s="5">
        <f>IFERROR(__xludf.DUMMYFUNCTION("""COMPUTED_VALUE"""),44722.0)</f>
        <v>44722</v>
      </c>
      <c r="C14396" s="6">
        <f>IFERROR(__xludf.DUMMYFUNCTION("""COMPUTED_VALUE"""),0.7859722222237906)</f>
        <v>0.7859722222</v>
      </c>
      <c r="D14396" s="4">
        <f>IFERROR(__xludf.DUMMYFUNCTION("""COMPUTED_VALUE"""),12.955211)</f>
        <v>12.955211</v>
      </c>
      <c r="E14396" s="4">
        <f>IFERROR(__xludf.DUMMYFUNCTION("""COMPUTED_VALUE"""),80.155162)</f>
        <v>80.155162</v>
      </c>
      <c r="F14396" s="4">
        <f>IFERROR(__xludf.DUMMYFUNCTION("""COMPUTED_VALUE"""),2846.0)</f>
        <v>2846</v>
      </c>
      <c r="G14396" s="4">
        <f>IFERROR(__xludf.DUMMYFUNCTION("""COMPUTED_VALUE"""),44.0)</f>
        <v>44</v>
      </c>
      <c r="H14396" s="4"/>
      <c r="I14396" s="4"/>
    </row>
    <row r="14397">
      <c r="A14397" s="4" t="str">
        <f>IFERROR(__xludf.DUMMYFUNCTION("""COMPUTED_VALUE"""),"cas_hmw")</f>
        <v>cas_hmw</v>
      </c>
      <c r="B14397" s="5">
        <f>IFERROR(__xludf.DUMMYFUNCTION("""COMPUTED_VALUE"""),44722.0)</f>
        <v>44722</v>
      </c>
      <c r="C14397" s="6">
        <f>IFERROR(__xludf.DUMMYFUNCTION("""COMPUTED_VALUE"""),0.7867708333324117)</f>
        <v>0.7867708333</v>
      </c>
      <c r="D14397" s="4">
        <f>IFERROR(__xludf.DUMMYFUNCTION("""COMPUTED_VALUE"""),12.95894)</f>
        <v>12.95894</v>
      </c>
      <c r="E14397" s="4">
        <f>IFERROR(__xludf.DUMMYFUNCTION("""COMPUTED_VALUE"""),80.149999)</f>
        <v>80.149999</v>
      </c>
      <c r="F14397" s="4">
        <f>IFERROR(__xludf.DUMMYFUNCTION("""COMPUTED_VALUE"""),2846.0)</f>
        <v>2846</v>
      </c>
      <c r="G14397" s="4">
        <f>IFERROR(__xludf.DUMMYFUNCTION("""COMPUTED_VALUE"""),18.0)</f>
        <v>18</v>
      </c>
      <c r="H14397" s="4"/>
      <c r="I14397" s="4"/>
    </row>
    <row r="14398">
      <c r="A14398" s="4" t="str">
        <f>IFERROR(__xludf.DUMMYFUNCTION("""COMPUTED_VALUE"""),"cas_hmw")</f>
        <v>cas_hmw</v>
      </c>
      <c r="B14398" s="5">
        <f>IFERROR(__xludf.DUMMYFUNCTION("""COMPUTED_VALUE"""),44722.0)</f>
        <v>44722</v>
      </c>
      <c r="C14398" s="6">
        <f>IFERROR(__xludf.DUMMYFUNCTION("""COMPUTED_VALUE"""),0.7881712962953316)</f>
        <v>0.7881712963</v>
      </c>
      <c r="D14398" s="4">
        <f>IFERROR(__xludf.DUMMYFUNCTION("""COMPUTED_VALUE"""),12.956466)</f>
        <v>12.956466</v>
      </c>
      <c r="E14398" s="4">
        <f>IFERROR(__xludf.DUMMYFUNCTION("""COMPUTED_VALUE"""),80.143428)</f>
        <v>80.143428</v>
      </c>
      <c r="F14398" s="4">
        <f>IFERROR(__xludf.DUMMYFUNCTION("""COMPUTED_VALUE"""),2846.0)</f>
        <v>2846</v>
      </c>
      <c r="G14398" s="4">
        <f>IFERROR(__xludf.DUMMYFUNCTION("""COMPUTED_VALUE"""),0.0)</f>
        <v>0</v>
      </c>
      <c r="H14398" s="4"/>
      <c r="I14398" s="4"/>
    </row>
    <row r="14399">
      <c r="A14399" s="4" t="str">
        <f>IFERROR(__xludf.DUMMYFUNCTION("""COMPUTED_VALUE"""),"cas_hmw")</f>
        <v>cas_hmw</v>
      </c>
      <c r="B14399" s="5">
        <f>IFERROR(__xludf.DUMMYFUNCTION("""COMPUTED_VALUE"""),44722.0)</f>
        <v>44722</v>
      </c>
      <c r="C14399" s="6">
        <f>IFERROR(__xludf.DUMMYFUNCTION("""COMPUTED_VALUE"""),0.7882986111108039)</f>
        <v>0.7882986111</v>
      </c>
      <c r="D14399" s="4">
        <f>IFERROR(__xludf.DUMMYFUNCTION("""COMPUTED_VALUE"""),12.956346)</f>
        <v>12.956346</v>
      </c>
      <c r="E14399" s="4">
        <f>IFERROR(__xludf.DUMMYFUNCTION("""COMPUTED_VALUE"""),80.143348)</f>
        <v>80.143348</v>
      </c>
      <c r="F14399" s="4">
        <f>IFERROR(__xludf.DUMMYFUNCTION("""COMPUTED_VALUE"""),2846.0)</f>
        <v>2846</v>
      </c>
      <c r="G14399" s="4">
        <f>IFERROR(__xludf.DUMMYFUNCTION("""COMPUTED_VALUE"""),8.0)</f>
        <v>8</v>
      </c>
      <c r="H14399" s="4"/>
      <c r="I14399" s="4"/>
    </row>
    <row r="14400">
      <c r="A14400" s="4" t="str">
        <f>IFERROR(__xludf.DUMMYFUNCTION("""COMPUTED_VALUE"""),"cas_hmw")</f>
        <v>cas_hmw</v>
      </c>
      <c r="B14400" s="5">
        <f>IFERROR(__xludf.DUMMYFUNCTION("""COMPUTED_VALUE"""),44722.0)</f>
        <v>44722</v>
      </c>
      <c r="C14400" s="6">
        <f>IFERROR(__xludf.DUMMYFUNCTION("""COMPUTED_VALUE"""),0.7892939814810234)</f>
        <v>0.7892939815</v>
      </c>
      <c r="D14400" s="4">
        <f>IFERROR(__xludf.DUMMYFUNCTION("""COMPUTED_VALUE"""),12.950098)</f>
        <v>12.950098</v>
      </c>
      <c r="E14400" s="4">
        <f>IFERROR(__xludf.DUMMYFUNCTION("""COMPUTED_VALUE"""),80.139372)</f>
        <v>80.139372</v>
      </c>
      <c r="F14400" s="4">
        <f>IFERROR(__xludf.DUMMYFUNCTION("""COMPUTED_VALUE"""),2846.0)</f>
        <v>2846</v>
      </c>
      <c r="G14400" s="4">
        <f>IFERROR(__xludf.DUMMYFUNCTION("""COMPUTED_VALUE"""),42.0)</f>
        <v>42</v>
      </c>
      <c r="H14400" s="4"/>
      <c r="I14400" s="4"/>
    </row>
    <row r="14401">
      <c r="A14401" s="4" t="str">
        <f>IFERROR(__xludf.DUMMYFUNCTION("""COMPUTED_VALUE"""),"cas_hmw")</f>
        <v>cas_hmw</v>
      </c>
      <c r="B14401" s="5">
        <f>IFERROR(__xludf.DUMMYFUNCTION("""COMPUTED_VALUE"""),44722.0)</f>
        <v>44722</v>
      </c>
      <c r="C14401" s="6">
        <f>IFERROR(__xludf.DUMMYFUNCTION("""COMPUTED_VALUE"""),0.7894212962964957)</f>
        <v>0.7894212963</v>
      </c>
      <c r="D14401" s="4">
        <f>IFERROR(__xludf.DUMMYFUNCTION("""COMPUTED_VALUE"""),12.950098)</f>
        <v>12.950098</v>
      </c>
      <c r="E14401" s="4">
        <f>IFERROR(__xludf.DUMMYFUNCTION("""COMPUTED_VALUE"""),80.139372)</f>
        <v>80.139372</v>
      </c>
      <c r="F14401" s="4">
        <f>IFERROR(__xludf.DUMMYFUNCTION("""COMPUTED_VALUE"""),2846.0)</f>
        <v>2846</v>
      </c>
      <c r="G14401" s="4">
        <f>IFERROR(__xludf.DUMMYFUNCTION("""COMPUTED_VALUE"""),42.0)</f>
        <v>42</v>
      </c>
      <c r="H14401" s="4"/>
      <c r="I14401" s="4"/>
    </row>
    <row r="14402">
      <c r="A14402" s="4" t="str">
        <f>IFERROR(__xludf.DUMMYFUNCTION("""COMPUTED_VALUE"""),"cas_hmw")</f>
        <v>cas_hmw</v>
      </c>
      <c r="B14402" s="5">
        <f>IFERROR(__xludf.DUMMYFUNCTION("""COMPUTED_VALUE"""),44722.0)</f>
        <v>44722</v>
      </c>
      <c r="C14402" s="6">
        <f>IFERROR(__xludf.DUMMYFUNCTION("""COMPUTED_VALUE"""),0.7912268518521159)</f>
        <v>0.7912268519</v>
      </c>
      <c r="D14402" s="4">
        <f>IFERROR(__xludf.DUMMYFUNCTION("""COMPUTED_VALUE"""),12.942482)</f>
        <v>12.942482</v>
      </c>
      <c r="E14402" s="4">
        <f>IFERROR(__xludf.DUMMYFUNCTION("""COMPUTED_VALUE"""),80.133217)</f>
        <v>80.133217</v>
      </c>
      <c r="F14402" s="4">
        <f>IFERROR(__xludf.DUMMYFUNCTION("""COMPUTED_VALUE"""),2846.0)</f>
        <v>2846</v>
      </c>
      <c r="G14402" s="4">
        <f>IFERROR(__xludf.DUMMYFUNCTION("""COMPUTED_VALUE"""),19.0)</f>
        <v>19</v>
      </c>
      <c r="H14402" s="4"/>
      <c r="I14402" s="4"/>
    </row>
    <row r="14403">
      <c r="A14403" s="4" t="str">
        <f>IFERROR(__xludf.DUMMYFUNCTION("""COMPUTED_VALUE"""),"cas_hmw")</f>
        <v>cas_hmw</v>
      </c>
      <c r="B14403" s="5">
        <f>IFERROR(__xludf.DUMMYFUNCTION("""COMPUTED_VALUE"""),44722.0)</f>
        <v>44722</v>
      </c>
      <c r="C14403" s="6">
        <f>IFERROR(__xludf.DUMMYFUNCTION("""COMPUTED_VALUE"""),0.7916898148141627)</f>
        <v>0.7916898148</v>
      </c>
      <c r="D14403" s="4">
        <f>IFERROR(__xludf.DUMMYFUNCTION("""COMPUTED_VALUE"""),12.940581)</f>
        <v>12.940581</v>
      </c>
      <c r="E14403" s="4">
        <f>IFERROR(__xludf.DUMMYFUNCTION("""COMPUTED_VALUE"""),80.131223)</f>
        <v>80.131223</v>
      </c>
      <c r="F14403" s="4">
        <f>IFERROR(__xludf.DUMMYFUNCTION("""COMPUTED_VALUE"""),2846.0)</f>
        <v>2846</v>
      </c>
      <c r="G14403" s="4">
        <f>IFERROR(__xludf.DUMMYFUNCTION("""COMPUTED_VALUE"""),40.0)</f>
        <v>40</v>
      </c>
      <c r="H14403" s="4"/>
      <c r="I14403" s="4"/>
    </row>
    <row r="14404">
      <c r="A14404" s="4" t="str">
        <f>IFERROR(__xludf.DUMMYFUNCTION("""COMPUTED_VALUE"""),"cas_hmw")</f>
        <v>cas_hmw</v>
      </c>
      <c r="B14404" s="5">
        <f>IFERROR(__xludf.DUMMYFUNCTION("""COMPUTED_VALUE"""),44722.0)</f>
        <v>44722</v>
      </c>
      <c r="C14404" s="6">
        <f>IFERROR(__xludf.DUMMYFUNCTION("""COMPUTED_VALUE"""),0.7926388888881775)</f>
        <v>0.7926388889</v>
      </c>
      <c r="D14404" s="4">
        <f>IFERROR(__xludf.DUMMYFUNCTION("""COMPUTED_VALUE"""),12.935598)</f>
        <v>12.935598</v>
      </c>
      <c r="E14404" s="4">
        <f>IFERROR(__xludf.DUMMYFUNCTION("""COMPUTED_VALUE"""),80.126802)</f>
        <v>80.126802</v>
      </c>
      <c r="F14404" s="4">
        <f>IFERROR(__xludf.DUMMYFUNCTION("""COMPUTED_VALUE"""),2846.0)</f>
        <v>2846</v>
      </c>
      <c r="G14404" s="4">
        <f>IFERROR(__xludf.DUMMYFUNCTION("""COMPUTED_VALUE"""),26.0)</f>
        <v>26</v>
      </c>
      <c r="H14404" s="4"/>
      <c r="I14404" s="4"/>
    </row>
    <row r="14405">
      <c r="A14405" s="4" t="str">
        <f>IFERROR(__xludf.DUMMYFUNCTION("""COMPUTED_VALUE"""),"cas_hmw")</f>
        <v>cas_hmw</v>
      </c>
      <c r="B14405" s="5">
        <f>IFERROR(__xludf.DUMMYFUNCTION("""COMPUTED_VALUE"""),44722.0)</f>
        <v>44722</v>
      </c>
      <c r="C14405" s="6">
        <f>IFERROR(__xludf.DUMMYFUNCTION("""COMPUTED_VALUE"""),0.7932638888887595)</f>
        <v>0.7932638889</v>
      </c>
      <c r="D14405" s="4">
        <f>IFERROR(__xludf.DUMMYFUNCTION("""COMPUTED_VALUE"""),12.932044)</f>
        <v>12.932044</v>
      </c>
      <c r="E14405" s="4">
        <f>IFERROR(__xludf.DUMMYFUNCTION("""COMPUTED_VALUE"""),80.123308)</f>
        <v>80.123308</v>
      </c>
      <c r="F14405" s="4">
        <f>IFERROR(__xludf.DUMMYFUNCTION("""COMPUTED_VALUE"""),2846.0)</f>
        <v>2846</v>
      </c>
      <c r="G14405" s="4">
        <f>IFERROR(__xludf.DUMMYFUNCTION("""COMPUTED_VALUE"""),0.0)</f>
        <v>0</v>
      </c>
      <c r="H14405" s="4"/>
      <c r="I14405" s="4"/>
    </row>
    <row r="14406">
      <c r="A14406" s="4" t="str">
        <f>IFERROR(__xludf.DUMMYFUNCTION("""COMPUTED_VALUE"""),"cas_hmw")</f>
        <v>cas_hmw</v>
      </c>
      <c r="B14406" s="5">
        <f>IFERROR(__xludf.DUMMYFUNCTION("""COMPUTED_VALUE"""),44722.0)</f>
        <v>44722</v>
      </c>
      <c r="C14406" s="6">
        <f>IFERROR(__xludf.DUMMYFUNCTION("""COMPUTED_VALUE"""),0.7959143518528435)</f>
        <v>0.7959143519</v>
      </c>
      <c r="D14406" s="4">
        <f>IFERROR(__xludf.DUMMYFUNCTION("""COMPUTED_VALUE"""),12.922139)</f>
        <v>12.922139</v>
      </c>
      <c r="E14406" s="4">
        <f>IFERROR(__xludf.DUMMYFUNCTION("""COMPUTED_VALUE"""),80.113357)</f>
        <v>80.113357</v>
      </c>
      <c r="F14406" s="4">
        <f>IFERROR(__xludf.DUMMYFUNCTION("""COMPUTED_VALUE"""),2846.0)</f>
        <v>2846</v>
      </c>
      <c r="G14406" s="4">
        <f>IFERROR(__xludf.DUMMYFUNCTION("""COMPUTED_VALUE"""),44.0)</f>
        <v>44</v>
      </c>
      <c r="H14406" s="4"/>
      <c r="I14406" s="4"/>
    </row>
    <row r="14407">
      <c r="A14407" s="4" t="str">
        <f>IFERROR(__xludf.DUMMYFUNCTION("""COMPUTED_VALUE"""),"cas_hmw")</f>
        <v>cas_hmw</v>
      </c>
      <c r="B14407" s="5">
        <f>IFERROR(__xludf.DUMMYFUNCTION("""COMPUTED_VALUE"""),44722.0)</f>
        <v>44722</v>
      </c>
      <c r="C14407" s="6">
        <f>IFERROR(__xludf.DUMMYFUNCTION("""COMPUTED_VALUE"""),0.8011921296310902)</f>
        <v>0.8011921296</v>
      </c>
      <c r="D14407" s="4">
        <f>IFERROR(__xludf.DUMMYFUNCTION("""COMPUTED_VALUE"""),12.905378)</f>
        <v>12.905378</v>
      </c>
      <c r="E14407" s="4">
        <f>IFERROR(__xludf.DUMMYFUNCTION("""COMPUTED_VALUE"""),80.095783)</f>
        <v>80.095783</v>
      </c>
      <c r="F14407" s="4">
        <f>IFERROR(__xludf.DUMMYFUNCTION("""COMPUTED_VALUE"""),2846.0)</f>
        <v>2846</v>
      </c>
      <c r="G14407" s="4">
        <f>IFERROR(__xludf.DUMMYFUNCTION("""COMPUTED_VALUE"""),0.0)</f>
        <v>0</v>
      </c>
      <c r="H14407" s="4"/>
      <c r="I14407" s="4"/>
    </row>
    <row r="14408">
      <c r="A14408" s="4" t="str">
        <f>IFERROR(__xludf.DUMMYFUNCTION("""COMPUTED_VALUE"""),"cas_hmw")</f>
        <v>cas_hmw</v>
      </c>
      <c r="B14408" s="5">
        <f>IFERROR(__xludf.DUMMYFUNCTION("""COMPUTED_VALUE"""),44722.0)</f>
        <v>44722</v>
      </c>
      <c r="C14408" s="6">
        <f>IFERROR(__xludf.DUMMYFUNCTION("""COMPUTED_VALUE"""),0.804652777776937)</f>
        <v>0.8046527778</v>
      </c>
      <c r="D14408" s="4">
        <f>IFERROR(__xludf.DUMMYFUNCTION("""COMPUTED_VALUE"""),12.89204)</f>
        <v>12.89204</v>
      </c>
      <c r="E14408" s="4">
        <f>IFERROR(__xludf.DUMMYFUNCTION("""COMPUTED_VALUE"""),80.085615)</f>
        <v>80.085615</v>
      </c>
      <c r="F14408" s="4">
        <f>IFERROR(__xludf.DUMMYFUNCTION("""COMPUTED_VALUE"""),2846.0)</f>
        <v>2846</v>
      </c>
      <c r="G14408" s="4">
        <f>IFERROR(__xludf.DUMMYFUNCTION("""COMPUTED_VALUE"""),25.0)</f>
        <v>25</v>
      </c>
      <c r="H14408" s="4"/>
      <c r="I14408" s="4"/>
    </row>
    <row r="14409">
      <c r="A14409" s="4" t="str">
        <f>IFERROR(__xludf.DUMMYFUNCTION("""COMPUTED_VALUE"""),"cas_hmw")</f>
        <v>cas_hmw</v>
      </c>
      <c r="B14409" s="5">
        <f>IFERROR(__xludf.DUMMYFUNCTION("""COMPUTED_VALUE"""),44722.0)</f>
        <v>44722</v>
      </c>
      <c r="C14409" s="6">
        <f>IFERROR(__xludf.DUMMYFUNCTION("""COMPUTED_VALUE"""),0.8050231481465744)</f>
        <v>0.8050231481</v>
      </c>
      <c r="D14409" s="4">
        <f>IFERROR(__xludf.DUMMYFUNCTION("""COMPUTED_VALUE"""),12.889666)</f>
        <v>12.889666</v>
      </c>
      <c r="E14409" s="4">
        <f>IFERROR(__xludf.DUMMYFUNCTION("""COMPUTED_VALUE"""),80.084505)</f>
        <v>80.084505</v>
      </c>
      <c r="F14409" s="4">
        <f>IFERROR(__xludf.DUMMYFUNCTION("""COMPUTED_VALUE"""),2846.0)</f>
        <v>2846</v>
      </c>
      <c r="G14409" s="4">
        <f>IFERROR(__xludf.DUMMYFUNCTION("""COMPUTED_VALUE"""),40.0)</f>
        <v>40</v>
      </c>
      <c r="H14409" s="4"/>
      <c r="I14409" s="4"/>
    </row>
    <row r="14410">
      <c r="A14410" s="4" t="str">
        <f>IFERROR(__xludf.DUMMYFUNCTION("""COMPUTED_VALUE"""),"cas_hmw")</f>
        <v>cas_hmw</v>
      </c>
      <c r="B14410" s="5">
        <f>IFERROR(__xludf.DUMMYFUNCTION("""COMPUTED_VALUE"""),44723.0)</f>
        <v>44723</v>
      </c>
      <c r="C14410" s="6">
        <f>IFERROR(__xludf.DUMMYFUNCTION("""COMPUTED_VALUE"""),0.2749189814821875)</f>
        <v>0.2749189815</v>
      </c>
      <c r="D14410" s="4">
        <f>IFERROR(__xludf.DUMMYFUNCTION("""COMPUTED_VALUE"""),12.884886)</f>
        <v>12.884886</v>
      </c>
      <c r="E14410" s="4">
        <f>IFERROR(__xludf.DUMMYFUNCTION("""COMPUTED_VALUE"""),80.082052)</f>
        <v>80.082052</v>
      </c>
      <c r="F14410" s="4">
        <f>IFERROR(__xludf.DUMMYFUNCTION("""COMPUTED_VALUE"""),2846.0)</f>
        <v>2846</v>
      </c>
      <c r="G14410" s="4">
        <f>IFERROR(__xludf.DUMMYFUNCTION("""COMPUTED_VALUE"""),35.0)</f>
        <v>35</v>
      </c>
      <c r="H14410" s="4"/>
      <c r="I14410" s="4"/>
    </row>
    <row r="14411">
      <c r="A14411" s="4" t="str">
        <f>IFERROR(__xludf.DUMMYFUNCTION("""COMPUTED_VALUE"""),"cas_hmw")</f>
        <v>cas_hmw</v>
      </c>
      <c r="B14411" s="5">
        <f>IFERROR(__xludf.DUMMYFUNCTION("""COMPUTED_VALUE"""),44723.0)</f>
        <v>44723</v>
      </c>
      <c r="C14411" s="6">
        <f>IFERROR(__xludf.DUMMYFUNCTION("""COMPUTED_VALUE"""),0.27741898148087785)</f>
        <v>0.2774189815</v>
      </c>
      <c r="D14411" s="4">
        <f>IFERROR(__xludf.DUMMYFUNCTION("""COMPUTED_VALUE"""),12.907442)</f>
        <v>12.907442</v>
      </c>
      <c r="E14411" s="4">
        <f>IFERROR(__xludf.DUMMYFUNCTION("""COMPUTED_VALUE"""),80.096927)</f>
        <v>80.096927</v>
      </c>
      <c r="F14411" s="4">
        <f>IFERROR(__xludf.DUMMYFUNCTION("""COMPUTED_VALUE"""),2846.0)</f>
        <v>2846</v>
      </c>
      <c r="G14411" s="4">
        <f>IFERROR(__xludf.DUMMYFUNCTION("""COMPUTED_VALUE"""),49.0)</f>
        <v>49</v>
      </c>
      <c r="H14411" s="4"/>
      <c r="I14411" s="4"/>
    </row>
    <row r="14412">
      <c r="A14412" s="4" t="str">
        <f>IFERROR(__xludf.DUMMYFUNCTION("""COMPUTED_VALUE"""),"cas_hmw")</f>
        <v>cas_hmw</v>
      </c>
      <c r="B14412" s="5">
        <f>IFERROR(__xludf.DUMMYFUNCTION("""COMPUTED_VALUE"""),44723.0)</f>
        <v>44723</v>
      </c>
      <c r="C14412" s="6">
        <f>IFERROR(__xludf.DUMMYFUNCTION("""COMPUTED_VALUE"""),0.2775347222232085)</f>
        <v>0.2775347222</v>
      </c>
      <c r="D14412" s="4">
        <f>IFERROR(__xludf.DUMMYFUNCTION("""COMPUTED_VALUE"""),12.909126)</f>
        <v>12.909126</v>
      </c>
      <c r="E14412" s="4">
        <f>IFERROR(__xludf.DUMMYFUNCTION("""COMPUTED_VALUE"""),80.098468)</f>
        <v>80.098468</v>
      </c>
      <c r="F14412" s="4">
        <f>IFERROR(__xludf.DUMMYFUNCTION("""COMPUTED_VALUE"""),2846.0)</f>
        <v>2846</v>
      </c>
      <c r="G14412" s="4">
        <f>IFERROR(__xludf.DUMMYFUNCTION("""COMPUTED_VALUE"""),34.0)</f>
        <v>34</v>
      </c>
      <c r="H14412" s="4"/>
      <c r="I14412" s="4"/>
    </row>
    <row r="14413">
      <c r="A14413" s="4" t="str">
        <f>IFERROR(__xludf.DUMMYFUNCTION("""COMPUTED_VALUE"""),"cas_hmw")</f>
        <v>cas_hmw</v>
      </c>
      <c r="B14413" s="5">
        <f>IFERROR(__xludf.DUMMYFUNCTION("""COMPUTED_VALUE"""),44723.0)</f>
        <v>44723</v>
      </c>
      <c r="C14413" s="6">
        <f>IFERROR(__xludf.DUMMYFUNCTION("""COMPUTED_VALUE"""),0.27792824073912925)</f>
        <v>0.2779282407</v>
      </c>
      <c r="D14413" s="4">
        <f>IFERROR(__xludf.DUMMYFUNCTION("""COMPUTED_VALUE"""),12.911741)</f>
        <v>12.911741</v>
      </c>
      <c r="E14413" s="4">
        <f>IFERROR(__xludf.DUMMYFUNCTION("""COMPUTED_VALUE"""),80.101325)</f>
        <v>80.101325</v>
      </c>
      <c r="F14413" s="4">
        <f>IFERROR(__xludf.DUMMYFUNCTION("""COMPUTED_VALUE"""),2846.0)</f>
        <v>2846</v>
      </c>
      <c r="G14413" s="4">
        <f>IFERROR(__xludf.DUMMYFUNCTION("""COMPUTED_VALUE"""),37.0)</f>
        <v>37</v>
      </c>
      <c r="H14413" s="4"/>
      <c r="I14413" s="4"/>
    </row>
    <row r="14414">
      <c r="A14414" s="4" t="str">
        <f>IFERROR(__xludf.DUMMYFUNCTION("""COMPUTED_VALUE"""),"cas_hmw")</f>
        <v>cas_hmw</v>
      </c>
      <c r="B14414" s="5">
        <f>IFERROR(__xludf.DUMMYFUNCTION("""COMPUTED_VALUE"""),44723.0)</f>
        <v>44723</v>
      </c>
      <c r="C14414" s="6">
        <f>IFERROR(__xludf.DUMMYFUNCTION("""COMPUTED_VALUE"""),0.27940972222131677)</f>
        <v>0.2794097222</v>
      </c>
      <c r="D14414" s="4">
        <f>IFERROR(__xludf.DUMMYFUNCTION("""COMPUTED_VALUE"""),12.918233)</f>
        <v>12.918233</v>
      </c>
      <c r="E14414" s="4">
        <f>IFERROR(__xludf.DUMMYFUNCTION("""COMPUTED_VALUE"""),80.108716)</f>
        <v>80.108716</v>
      </c>
      <c r="F14414" s="4">
        <f>IFERROR(__xludf.DUMMYFUNCTION("""COMPUTED_VALUE"""),2846.0)</f>
        <v>2846</v>
      </c>
      <c r="G14414" s="4">
        <f>IFERROR(__xludf.DUMMYFUNCTION("""COMPUTED_VALUE"""),55.0)</f>
        <v>55</v>
      </c>
      <c r="H14414" s="4"/>
      <c r="I14414" s="4"/>
    </row>
    <row r="14415">
      <c r="A14415" s="4" t="str">
        <f>IFERROR(__xludf.DUMMYFUNCTION("""COMPUTED_VALUE"""),"cas_hmw")</f>
        <v>cas_hmw</v>
      </c>
      <c r="B14415" s="5">
        <f>IFERROR(__xludf.DUMMYFUNCTION("""COMPUTED_VALUE"""),44723.0)</f>
        <v>44723</v>
      </c>
      <c r="C14415" s="6">
        <f>IFERROR(__xludf.DUMMYFUNCTION("""COMPUTED_VALUE"""),0.28167824073898373)</f>
        <v>0.2816782407</v>
      </c>
      <c r="D14415" s="4">
        <f>IFERROR(__xludf.DUMMYFUNCTION("""COMPUTED_VALUE"""),12.927938)</f>
        <v>12.927938</v>
      </c>
      <c r="E14415" s="4">
        <f>IFERROR(__xludf.DUMMYFUNCTION("""COMPUTED_VALUE"""),80.119048)</f>
        <v>80.119048</v>
      </c>
      <c r="F14415" s="4">
        <f>IFERROR(__xludf.DUMMYFUNCTION("""COMPUTED_VALUE"""),2846.0)</f>
        <v>2846</v>
      </c>
      <c r="G14415" s="4">
        <f>IFERROR(__xludf.DUMMYFUNCTION("""COMPUTED_VALUE"""),30.0)</f>
        <v>30</v>
      </c>
      <c r="H14415" s="4"/>
      <c r="I14415" s="4"/>
    </row>
    <row r="14416">
      <c r="A14416" s="4" t="str">
        <f>IFERROR(__xludf.DUMMYFUNCTION("""COMPUTED_VALUE"""),"cas_hmw")</f>
        <v>cas_hmw</v>
      </c>
      <c r="B14416" s="5">
        <f>IFERROR(__xludf.DUMMYFUNCTION("""COMPUTED_VALUE"""),44723.0)</f>
        <v>44723</v>
      </c>
      <c r="C14416" s="6">
        <f>IFERROR(__xludf.DUMMYFUNCTION("""COMPUTED_VALUE"""),0.2818055555544561)</f>
        <v>0.2818055556</v>
      </c>
      <c r="D14416" s="4">
        <f>IFERROR(__xludf.DUMMYFUNCTION("""COMPUTED_VALUE"""),12.928504)</f>
        <v>12.928504</v>
      </c>
      <c r="E14416" s="4">
        <f>IFERROR(__xludf.DUMMYFUNCTION("""COMPUTED_VALUE"""),80.119614)</f>
        <v>80.119614</v>
      </c>
      <c r="F14416" s="4">
        <f>IFERROR(__xludf.DUMMYFUNCTION("""COMPUTED_VALUE"""),2846.0)</f>
        <v>2846</v>
      </c>
      <c r="G14416" s="4">
        <f>IFERROR(__xludf.DUMMYFUNCTION("""COMPUTED_VALUE"""),28.0)</f>
        <v>28</v>
      </c>
      <c r="H14416" s="4"/>
      <c r="I14416" s="4"/>
    </row>
    <row r="14417">
      <c r="A14417" s="4" t="str">
        <f>IFERROR(__xludf.DUMMYFUNCTION("""COMPUTED_VALUE"""),"cas_hmw")</f>
        <v>cas_hmw</v>
      </c>
      <c r="B14417" s="5">
        <f>IFERROR(__xludf.DUMMYFUNCTION("""COMPUTED_VALUE"""),44723.0)</f>
        <v>44723</v>
      </c>
      <c r="C14417" s="6">
        <f>IFERROR(__xludf.DUMMYFUNCTION("""COMPUTED_VALUE"""),0.28278935185153387)</f>
        <v>0.2827893519</v>
      </c>
      <c r="D14417" s="4">
        <f>IFERROR(__xludf.DUMMYFUNCTION("""COMPUTED_VALUE"""),12.932588)</f>
        <v>12.932588</v>
      </c>
      <c r="E14417" s="4">
        <f>IFERROR(__xludf.DUMMYFUNCTION("""COMPUTED_VALUE"""),80.123686)</f>
        <v>80.123686</v>
      </c>
      <c r="F14417" s="4">
        <f>IFERROR(__xludf.DUMMYFUNCTION("""COMPUTED_VALUE"""),2846.0)</f>
        <v>2846</v>
      </c>
      <c r="G14417" s="4">
        <f>IFERROR(__xludf.DUMMYFUNCTION("""COMPUTED_VALUE"""),38.0)</f>
        <v>38</v>
      </c>
      <c r="H14417" s="4"/>
      <c r="I14417" s="4"/>
    </row>
    <row r="14418">
      <c r="A14418" s="4" t="str">
        <f>IFERROR(__xludf.DUMMYFUNCTION("""COMPUTED_VALUE"""),"cas_hmw")</f>
        <v>cas_hmw</v>
      </c>
      <c r="B14418" s="5">
        <f>IFERROR(__xludf.DUMMYFUNCTION("""COMPUTED_VALUE"""),44723.0)</f>
        <v>44723</v>
      </c>
      <c r="C14418" s="6">
        <f>IFERROR(__xludf.DUMMYFUNCTION("""COMPUTED_VALUE"""),0.2829166666670062)</f>
        <v>0.2829166667</v>
      </c>
      <c r="D14418" s="4">
        <f>IFERROR(__xludf.DUMMYFUNCTION("""COMPUTED_VALUE"""),12.933322)</f>
        <v>12.933322</v>
      </c>
      <c r="E14418" s="4">
        <f>IFERROR(__xludf.DUMMYFUNCTION("""COMPUTED_VALUE"""),80.1244)</f>
        <v>80.1244</v>
      </c>
      <c r="F14418" s="4">
        <f>IFERROR(__xludf.DUMMYFUNCTION("""COMPUTED_VALUE"""),2846.0)</f>
        <v>2846</v>
      </c>
      <c r="G14418" s="4">
        <f>IFERROR(__xludf.DUMMYFUNCTION("""COMPUTED_VALUE"""),41.0)</f>
        <v>41</v>
      </c>
      <c r="H14418" s="4"/>
      <c r="I14418" s="4"/>
    </row>
    <row r="14419">
      <c r="A14419" s="4" t="str">
        <f>IFERROR(__xludf.DUMMYFUNCTION("""COMPUTED_VALUE"""),"cas_hmw")</f>
        <v>cas_hmw</v>
      </c>
      <c r="B14419" s="5">
        <f>IFERROR(__xludf.DUMMYFUNCTION("""COMPUTED_VALUE"""),44723.0)</f>
        <v>44723</v>
      </c>
      <c r="C14419" s="6">
        <f>IFERROR(__xludf.DUMMYFUNCTION("""COMPUTED_VALUE"""),0.28300925925941556)</f>
        <v>0.2830092593</v>
      </c>
      <c r="D14419" s="4">
        <f>IFERROR(__xludf.DUMMYFUNCTION("""COMPUTED_VALUE"""),12.933322)</f>
        <v>12.933322</v>
      </c>
      <c r="E14419" s="4">
        <f>IFERROR(__xludf.DUMMYFUNCTION("""COMPUTED_VALUE"""),80.1244)</f>
        <v>80.1244</v>
      </c>
      <c r="F14419" s="4">
        <f>IFERROR(__xludf.DUMMYFUNCTION("""COMPUTED_VALUE"""),2846.0)</f>
        <v>2846</v>
      </c>
      <c r="G14419" s="4">
        <f>IFERROR(__xludf.DUMMYFUNCTION("""COMPUTED_VALUE"""),41.0)</f>
        <v>41</v>
      </c>
      <c r="H14419" s="4"/>
      <c r="I14419" s="4"/>
    </row>
    <row r="14420">
      <c r="A14420" s="4" t="str">
        <f>IFERROR(__xludf.DUMMYFUNCTION("""COMPUTED_VALUE"""),"cas_hmw")</f>
        <v>cas_hmw</v>
      </c>
      <c r="B14420" s="5">
        <f>IFERROR(__xludf.DUMMYFUNCTION("""COMPUTED_VALUE"""),44723.0)</f>
        <v>44723</v>
      </c>
      <c r="C14420" s="6">
        <f>IFERROR(__xludf.DUMMYFUNCTION("""COMPUTED_VALUE"""),0.2830324074056989)</f>
        <v>0.2830324074</v>
      </c>
      <c r="D14420" s="4">
        <f>IFERROR(__xludf.DUMMYFUNCTION("""COMPUTED_VALUE"""),12.934116)</f>
        <v>12.934116</v>
      </c>
      <c r="E14420" s="4">
        <f>IFERROR(__xludf.DUMMYFUNCTION("""COMPUTED_VALUE"""),80.125186)</f>
        <v>80.125186</v>
      </c>
      <c r="F14420" s="4">
        <f>IFERROR(__xludf.DUMMYFUNCTION("""COMPUTED_VALUE"""),2846.0)</f>
        <v>2846</v>
      </c>
      <c r="G14420" s="4">
        <f>IFERROR(__xludf.DUMMYFUNCTION("""COMPUTED_VALUE"""),45.0)</f>
        <v>45</v>
      </c>
      <c r="H14420" s="4"/>
      <c r="I14420" s="4"/>
    </row>
    <row r="14421">
      <c r="A14421" s="4" t="str">
        <f>IFERROR(__xludf.DUMMYFUNCTION("""COMPUTED_VALUE"""),"cas_hmw")</f>
        <v>cas_hmw</v>
      </c>
      <c r="B14421" s="5">
        <f>IFERROR(__xludf.DUMMYFUNCTION("""COMPUTED_VALUE"""),44723.0)</f>
        <v>44723</v>
      </c>
      <c r="C14421" s="6">
        <f>IFERROR(__xludf.DUMMYFUNCTION("""COMPUTED_VALUE"""),0.2833912037021946)</f>
        <v>0.2833912037</v>
      </c>
      <c r="D14421" s="4">
        <f>IFERROR(__xludf.DUMMYFUNCTION("""COMPUTED_VALUE"""),12.935724)</f>
        <v>12.935724</v>
      </c>
      <c r="E14421" s="4">
        <f>IFERROR(__xludf.DUMMYFUNCTION("""COMPUTED_VALUE"""),80.126647)</f>
        <v>80.126647</v>
      </c>
      <c r="F14421" s="4">
        <f>IFERROR(__xludf.DUMMYFUNCTION("""COMPUTED_VALUE"""),2846.0)</f>
        <v>2846</v>
      </c>
      <c r="G14421" s="4">
        <f>IFERROR(__xludf.DUMMYFUNCTION("""COMPUTED_VALUE"""),44.0)</f>
        <v>44</v>
      </c>
      <c r="H14421" s="4"/>
      <c r="I14421" s="4"/>
    </row>
    <row r="14422">
      <c r="A14422" s="4" t="str">
        <f>IFERROR(__xludf.DUMMYFUNCTION("""COMPUTED_VALUE"""),"cas_hmw")</f>
        <v>cas_hmw</v>
      </c>
      <c r="B14422" s="5">
        <f>IFERROR(__xludf.DUMMYFUNCTION("""COMPUTED_VALUE"""),44723.0)</f>
        <v>44723</v>
      </c>
      <c r="C14422" s="6">
        <f>IFERROR(__xludf.DUMMYFUNCTION("""COMPUTED_VALUE"""),0.28533564814642887)</f>
        <v>0.2853356481</v>
      </c>
      <c r="D14422" s="4">
        <f>IFERROR(__xludf.DUMMYFUNCTION("""COMPUTED_VALUE"""),12.951133)</f>
        <v>12.951133</v>
      </c>
      <c r="E14422" s="4">
        <f>IFERROR(__xludf.DUMMYFUNCTION("""COMPUTED_VALUE"""),80.139944)</f>
        <v>80.139944</v>
      </c>
      <c r="F14422" s="4">
        <f>IFERROR(__xludf.DUMMYFUNCTION("""COMPUTED_VALUE"""),2846.0)</f>
        <v>2846</v>
      </c>
      <c r="G14422" s="4">
        <f>IFERROR(__xludf.DUMMYFUNCTION("""COMPUTED_VALUE"""),41.0)</f>
        <v>41</v>
      </c>
      <c r="H14422" s="4"/>
      <c r="I14422" s="4"/>
    </row>
    <row r="14423">
      <c r="A14423" s="4" t="str">
        <f>IFERROR(__xludf.DUMMYFUNCTION("""COMPUTED_VALUE"""),"cas_hmw")</f>
        <v>cas_hmw</v>
      </c>
      <c r="B14423" s="5">
        <f>IFERROR(__xludf.DUMMYFUNCTION("""COMPUTED_VALUE"""),44723.0)</f>
        <v>44723</v>
      </c>
      <c r="C14423" s="6">
        <f>IFERROR(__xludf.DUMMYFUNCTION("""COMPUTED_VALUE"""),0.2907060185170849)</f>
        <v>0.2907060185</v>
      </c>
      <c r="D14423" s="4">
        <f>IFERROR(__xludf.DUMMYFUNCTION("""COMPUTED_VALUE"""),12.952747)</f>
        <v>12.952747</v>
      </c>
      <c r="E14423" s="4">
        <f>IFERROR(__xludf.DUMMYFUNCTION("""COMPUTED_VALUE"""),80.167387)</f>
        <v>80.167387</v>
      </c>
      <c r="F14423" s="4">
        <f>IFERROR(__xludf.DUMMYFUNCTION("""COMPUTED_VALUE"""),2846.0)</f>
        <v>2846</v>
      </c>
      <c r="G14423" s="4">
        <f>IFERROR(__xludf.DUMMYFUNCTION("""COMPUTED_VALUE"""),14.0)</f>
        <v>14</v>
      </c>
      <c r="H14423" s="4"/>
      <c r="I14423" s="4"/>
    </row>
    <row r="14424">
      <c r="A14424" s="4" t="str">
        <f>IFERROR(__xludf.DUMMYFUNCTION("""COMPUTED_VALUE"""),"cas_hmw")</f>
        <v>cas_hmw</v>
      </c>
      <c r="B14424" s="5">
        <f>IFERROR(__xludf.DUMMYFUNCTION("""COMPUTED_VALUE"""),44723.0)</f>
        <v>44723</v>
      </c>
      <c r="C14424" s="6">
        <f>IFERROR(__xludf.DUMMYFUNCTION("""COMPUTED_VALUE"""),0.2925925925919728)</f>
        <v>0.2925925926</v>
      </c>
      <c r="D14424" s="4">
        <f>IFERROR(__xludf.DUMMYFUNCTION("""COMPUTED_VALUE"""),12.948586)</f>
        <v>12.948586</v>
      </c>
      <c r="E14424" s="4">
        <f>IFERROR(__xludf.DUMMYFUNCTION("""COMPUTED_VALUE"""),80.198817)</f>
        <v>80.198817</v>
      </c>
      <c r="F14424" s="4">
        <f>IFERROR(__xludf.DUMMYFUNCTION("""COMPUTED_VALUE"""),2846.0)</f>
        <v>2846</v>
      </c>
      <c r="G14424" s="4">
        <f>IFERROR(__xludf.DUMMYFUNCTION("""COMPUTED_VALUE"""),12.0)</f>
        <v>12</v>
      </c>
      <c r="H14424" s="4"/>
      <c r="I14424" s="4"/>
    </row>
    <row r="14425">
      <c r="A14425" s="4" t="str">
        <f>IFERROR(__xludf.DUMMYFUNCTION("""COMPUTED_VALUE"""),"cas_hmw")</f>
        <v>cas_hmw</v>
      </c>
      <c r="B14425" s="5">
        <f>IFERROR(__xludf.DUMMYFUNCTION("""COMPUTED_VALUE"""),44723.0)</f>
        <v>44723</v>
      </c>
      <c r="C14425" s="6">
        <f>IFERROR(__xludf.DUMMYFUNCTION("""COMPUTED_VALUE"""),0.2929745370383898)</f>
        <v>0.292974537</v>
      </c>
      <c r="D14425" s="4">
        <f>IFERROR(__xludf.DUMMYFUNCTION("""COMPUTED_VALUE"""),12.948652)</f>
        <v>12.948652</v>
      </c>
      <c r="E14425" s="4">
        <f>IFERROR(__xludf.DUMMYFUNCTION("""COMPUTED_VALUE"""),80.201402)</f>
        <v>80.201402</v>
      </c>
      <c r="F14425" s="4">
        <f>IFERROR(__xludf.DUMMYFUNCTION("""COMPUTED_VALUE"""),2846.0)</f>
        <v>2846</v>
      </c>
      <c r="G14425" s="4">
        <f>IFERROR(__xludf.DUMMYFUNCTION("""COMPUTED_VALUE"""),30.0)</f>
        <v>30</v>
      </c>
      <c r="H14425" s="4"/>
      <c r="I14425" s="4"/>
    </row>
    <row r="14426">
      <c r="A14426" s="4" t="str">
        <f>IFERROR(__xludf.DUMMYFUNCTION("""COMPUTED_VALUE"""),"cas_hmw")</f>
        <v>cas_hmw</v>
      </c>
      <c r="B14426" s="5">
        <f>IFERROR(__xludf.DUMMYFUNCTION("""COMPUTED_VALUE"""),44723.0)</f>
        <v>44723</v>
      </c>
      <c r="C14426" s="6">
        <f>IFERROR(__xludf.DUMMYFUNCTION("""COMPUTED_VALUE"""),0.2930902777770825)</f>
        <v>0.2930902778</v>
      </c>
      <c r="D14426" s="4">
        <f>IFERROR(__xludf.DUMMYFUNCTION("""COMPUTED_VALUE"""),12.948686)</f>
        <v>12.948686</v>
      </c>
      <c r="E14426" s="4">
        <f>IFERROR(__xludf.DUMMYFUNCTION("""COMPUTED_VALUE"""),80.202248)</f>
        <v>80.202248</v>
      </c>
      <c r="F14426" s="4">
        <f>IFERROR(__xludf.DUMMYFUNCTION("""COMPUTED_VALUE"""),2846.0)</f>
        <v>2846</v>
      </c>
      <c r="G14426" s="4">
        <f>IFERROR(__xludf.DUMMYFUNCTION("""COMPUTED_VALUE"""),30.0)</f>
        <v>30</v>
      </c>
      <c r="H14426" s="4"/>
      <c r="I14426" s="4"/>
    </row>
    <row r="14427">
      <c r="A14427" s="4" t="str">
        <f>IFERROR(__xludf.DUMMYFUNCTION("""COMPUTED_VALUE"""),"cas_hmw")</f>
        <v>cas_hmw</v>
      </c>
      <c r="B14427" s="5">
        <f>IFERROR(__xludf.DUMMYFUNCTION("""COMPUTED_VALUE"""),44723.0)</f>
        <v>44723</v>
      </c>
      <c r="C14427" s="6">
        <f>IFERROR(__xludf.DUMMYFUNCTION("""COMPUTED_VALUE"""),0.2935300925928459)</f>
        <v>0.2935300926</v>
      </c>
      <c r="D14427" s="4">
        <f>IFERROR(__xludf.DUMMYFUNCTION("""COMPUTED_VALUE"""),12.948801)</f>
        <v>12.948801</v>
      </c>
      <c r="E14427" s="4">
        <f>IFERROR(__xludf.DUMMYFUNCTION("""COMPUTED_VALUE"""),80.205566)</f>
        <v>80.205566</v>
      </c>
      <c r="F14427" s="4">
        <f>IFERROR(__xludf.DUMMYFUNCTION("""COMPUTED_VALUE"""),2846.0)</f>
        <v>2846</v>
      </c>
      <c r="G14427" s="4">
        <f>IFERROR(__xludf.DUMMYFUNCTION("""COMPUTED_VALUE"""),52.0)</f>
        <v>52</v>
      </c>
      <c r="H14427" s="4"/>
      <c r="I14427" s="4"/>
    </row>
    <row r="14428">
      <c r="A14428" s="4" t="str">
        <f>IFERROR(__xludf.DUMMYFUNCTION("""COMPUTED_VALUE"""),"cas_hmw")</f>
        <v>cas_hmw</v>
      </c>
      <c r="B14428" s="5">
        <f>IFERROR(__xludf.DUMMYFUNCTION("""COMPUTED_VALUE"""),44723.0)</f>
        <v>44723</v>
      </c>
      <c r="C14428" s="6">
        <f>IFERROR(__xludf.DUMMYFUNCTION("""COMPUTED_VALUE"""),0.2935763888890506)</f>
        <v>0.2935763889</v>
      </c>
      <c r="D14428" s="4">
        <f>IFERROR(__xludf.DUMMYFUNCTION("""COMPUTED_VALUE"""),12.948801)</f>
        <v>12.948801</v>
      </c>
      <c r="E14428" s="4">
        <f>IFERROR(__xludf.DUMMYFUNCTION("""COMPUTED_VALUE"""),80.205566)</f>
        <v>80.205566</v>
      </c>
      <c r="F14428" s="4">
        <f>IFERROR(__xludf.DUMMYFUNCTION("""COMPUTED_VALUE"""),2846.0)</f>
        <v>2846</v>
      </c>
      <c r="G14428" s="4">
        <f>IFERROR(__xludf.DUMMYFUNCTION("""COMPUTED_VALUE"""),52.0)</f>
        <v>52</v>
      </c>
      <c r="H14428" s="4"/>
      <c r="I14428" s="4"/>
    </row>
    <row r="14429">
      <c r="A14429" s="4" t="str">
        <f>IFERROR(__xludf.DUMMYFUNCTION("""COMPUTED_VALUE"""),"cas_hmw")</f>
        <v>cas_hmw</v>
      </c>
      <c r="B14429" s="5">
        <f>IFERROR(__xludf.DUMMYFUNCTION("""COMPUTED_VALUE"""),44723.0)</f>
        <v>44723</v>
      </c>
      <c r="C14429" s="6">
        <f>IFERROR(__xludf.DUMMYFUNCTION("""COMPUTED_VALUE"""),0.2936805555546016)</f>
        <v>0.2936805556</v>
      </c>
      <c r="D14429" s="4">
        <f>IFERROR(__xludf.DUMMYFUNCTION("""COMPUTED_VALUE"""),12.948774)</f>
        <v>12.948774</v>
      </c>
      <c r="E14429" s="4">
        <f>IFERROR(__xludf.DUMMYFUNCTION("""COMPUTED_VALUE"""),80.20682)</f>
        <v>80.20682</v>
      </c>
      <c r="F14429" s="4">
        <f>IFERROR(__xludf.DUMMYFUNCTION("""COMPUTED_VALUE"""),2846.0)</f>
        <v>2846</v>
      </c>
      <c r="G14429" s="4">
        <f>IFERROR(__xludf.DUMMYFUNCTION("""COMPUTED_VALUE"""),52.0)</f>
        <v>52</v>
      </c>
      <c r="H14429" s="4"/>
      <c r="I14429" s="4"/>
    </row>
    <row r="14430">
      <c r="A14430" s="4" t="str">
        <f>IFERROR(__xludf.DUMMYFUNCTION("""COMPUTED_VALUE"""),"cas_hmw")</f>
        <v>cas_hmw</v>
      </c>
      <c r="B14430" s="5">
        <f>IFERROR(__xludf.DUMMYFUNCTION("""COMPUTED_VALUE"""),44723.0)</f>
        <v>44723</v>
      </c>
      <c r="C14430" s="6">
        <f>IFERROR(__xludf.DUMMYFUNCTION("""COMPUTED_VALUE"""),0.29460648148233304)</f>
        <v>0.2946064815</v>
      </c>
      <c r="D14430" s="4">
        <f>IFERROR(__xludf.DUMMYFUNCTION("""COMPUTED_VALUE"""),12.951557)</f>
        <v>12.951557</v>
      </c>
      <c r="E14430" s="4">
        <f>IFERROR(__xludf.DUMMYFUNCTION("""COMPUTED_VALUE"""),80.211087)</f>
        <v>80.211087</v>
      </c>
      <c r="F14430" s="4">
        <f>IFERROR(__xludf.DUMMYFUNCTION("""COMPUTED_VALUE"""),2846.0)</f>
        <v>2846</v>
      </c>
      <c r="G14430" s="4">
        <f>IFERROR(__xludf.DUMMYFUNCTION("""COMPUTED_VALUE"""),36.0)</f>
        <v>36</v>
      </c>
      <c r="H14430" s="4"/>
      <c r="I14430" s="4"/>
    </row>
    <row r="14431">
      <c r="A14431" s="4" t="str">
        <f>IFERROR(__xludf.DUMMYFUNCTION("""COMPUTED_VALUE"""),"cas_hmw")</f>
        <v>cas_hmw</v>
      </c>
      <c r="B14431" s="5">
        <f>IFERROR(__xludf.DUMMYFUNCTION("""COMPUTED_VALUE"""),44723.0)</f>
        <v>44723</v>
      </c>
      <c r="C14431" s="6">
        <f>IFERROR(__xludf.DUMMYFUNCTION("""COMPUTED_VALUE"""),0.2965509259265673)</f>
        <v>0.2965509259</v>
      </c>
      <c r="D14431" s="4">
        <f>IFERROR(__xludf.DUMMYFUNCTION("""COMPUTED_VALUE"""),12.969293)</f>
        <v>12.969293</v>
      </c>
      <c r="E14431" s="4">
        <f>IFERROR(__xludf.DUMMYFUNCTION("""COMPUTED_VALUE"""),80.218248)</f>
        <v>80.218248</v>
      </c>
      <c r="F14431" s="4">
        <f>IFERROR(__xludf.DUMMYFUNCTION("""COMPUTED_VALUE"""),2846.0)</f>
        <v>2846</v>
      </c>
      <c r="G14431" s="4">
        <f>IFERROR(__xludf.DUMMYFUNCTION("""COMPUTED_VALUE"""),55.0)</f>
        <v>55</v>
      </c>
      <c r="H14431" s="4"/>
      <c r="I14431" s="4"/>
    </row>
    <row r="14432">
      <c r="A14432" s="4" t="str">
        <f>IFERROR(__xludf.DUMMYFUNCTION("""COMPUTED_VALUE"""),"cas_hmw")</f>
        <v>cas_hmw</v>
      </c>
      <c r="B14432" s="5">
        <f>IFERROR(__xludf.DUMMYFUNCTION("""COMPUTED_VALUE"""),44723.0)</f>
        <v>44723</v>
      </c>
      <c r="C14432" s="6">
        <f>IFERROR(__xludf.DUMMYFUNCTION("""COMPUTED_VALUE"""),0.3025810185172304)</f>
        <v>0.3025810185</v>
      </c>
      <c r="D14432" s="4">
        <f>IFERROR(__xludf.DUMMYFUNCTION("""COMPUTED_VALUE"""),13.066142)</f>
        <v>13.066142</v>
      </c>
      <c r="E14432" s="4">
        <f>IFERROR(__xludf.DUMMYFUNCTION("""COMPUTED_VALUE"""),80.267983)</f>
        <v>80.267983</v>
      </c>
      <c r="F14432" s="4">
        <f>IFERROR(__xludf.DUMMYFUNCTION("""COMPUTED_VALUE"""),805.0)</f>
        <v>805</v>
      </c>
      <c r="G14432" s="4">
        <f>IFERROR(__xludf.DUMMYFUNCTION("""COMPUTED_VALUE"""),31.0)</f>
        <v>31</v>
      </c>
      <c r="H14432" s="4"/>
      <c r="I14432" s="4"/>
    </row>
    <row r="14433">
      <c r="A14433" s="4" t="str">
        <f>IFERROR(__xludf.DUMMYFUNCTION("""COMPUTED_VALUE"""),"cas_hmw")</f>
        <v>cas_hmw</v>
      </c>
      <c r="B14433" s="5">
        <f>IFERROR(__xludf.DUMMYFUNCTION("""COMPUTED_VALUE"""),44723.0)</f>
        <v>44723</v>
      </c>
      <c r="C14433" s="6">
        <f>IFERROR(__xludf.DUMMYFUNCTION("""COMPUTED_VALUE"""),0.30365740740671754)</f>
        <v>0.3036574074</v>
      </c>
      <c r="D14433" s="4">
        <f>IFERROR(__xludf.DUMMYFUNCTION("""COMPUTED_VALUE"""),13.067514)</f>
        <v>13.067514</v>
      </c>
      <c r="E14433" s="4">
        <f>IFERROR(__xludf.DUMMYFUNCTION("""COMPUTED_VALUE"""),80.270698)</f>
        <v>80.270698</v>
      </c>
      <c r="F14433" s="4">
        <f>IFERROR(__xludf.DUMMYFUNCTION("""COMPUTED_VALUE"""),805.0)</f>
        <v>805</v>
      </c>
      <c r="G14433" s="4">
        <f>IFERROR(__xludf.DUMMYFUNCTION("""COMPUTED_VALUE"""),32.0)</f>
        <v>32</v>
      </c>
      <c r="H14433" s="4"/>
      <c r="I14433" s="4"/>
    </row>
    <row r="14434">
      <c r="A14434" s="4" t="str">
        <f>IFERROR(__xludf.DUMMYFUNCTION("""COMPUTED_VALUE"""),"cas_hmw")</f>
        <v>cas_hmw</v>
      </c>
      <c r="B14434" s="5">
        <f>IFERROR(__xludf.DUMMYFUNCTION("""COMPUTED_VALUE"""),44723.0)</f>
        <v>44723</v>
      </c>
      <c r="C14434" s="6">
        <f>IFERROR(__xludf.DUMMYFUNCTION("""COMPUTED_VALUE"""),0.3081018518532801)</f>
        <v>0.3081018519</v>
      </c>
      <c r="D14434" s="4">
        <f>IFERROR(__xludf.DUMMYFUNCTION("""COMPUTED_VALUE"""),13.055208)</f>
        <v>13.055208</v>
      </c>
      <c r="E14434" s="4">
        <f>IFERROR(__xludf.DUMMYFUNCTION("""COMPUTED_VALUE"""),80.264416)</f>
        <v>80.264416</v>
      </c>
      <c r="F14434" s="4">
        <f>IFERROR(__xludf.DUMMYFUNCTION("""COMPUTED_VALUE"""),805.0)</f>
        <v>805</v>
      </c>
      <c r="G14434" s="4">
        <f>IFERROR(__xludf.DUMMYFUNCTION("""COMPUTED_VALUE"""),31.0)</f>
        <v>31</v>
      </c>
      <c r="H14434" s="4"/>
      <c r="I14434" s="4"/>
    </row>
    <row r="14435">
      <c r="A14435" s="4" t="str">
        <f>IFERROR(__xludf.DUMMYFUNCTION("""COMPUTED_VALUE"""),"cas_hmw")</f>
        <v>cas_hmw</v>
      </c>
      <c r="B14435" s="5">
        <f>IFERROR(__xludf.DUMMYFUNCTION("""COMPUTED_VALUE"""),44723.0)</f>
        <v>44723</v>
      </c>
      <c r="C14435" s="6">
        <f>IFERROR(__xludf.DUMMYFUNCTION("""COMPUTED_VALUE"""),0.30815972222262644)</f>
        <v>0.3081597222</v>
      </c>
      <c r="D14435" s="4">
        <f>IFERROR(__xludf.DUMMYFUNCTION("""COMPUTED_VALUE"""),13.055208)</f>
        <v>13.055208</v>
      </c>
      <c r="E14435" s="4">
        <f>IFERROR(__xludf.DUMMYFUNCTION("""COMPUTED_VALUE"""),80.264416)</f>
        <v>80.264416</v>
      </c>
      <c r="F14435" s="4">
        <f>IFERROR(__xludf.DUMMYFUNCTION("""COMPUTED_VALUE"""),805.0)</f>
        <v>805</v>
      </c>
      <c r="G14435" s="4">
        <f>IFERROR(__xludf.DUMMYFUNCTION("""COMPUTED_VALUE"""),31.0)</f>
        <v>31</v>
      </c>
      <c r="H14435" s="4"/>
      <c r="I14435" s="4"/>
    </row>
    <row r="14436">
      <c r="A14436" s="4" t="str">
        <f>IFERROR(__xludf.DUMMYFUNCTION("""COMPUTED_VALUE"""),"cas_hmw")</f>
        <v>cas_hmw</v>
      </c>
      <c r="B14436" s="5">
        <f>IFERROR(__xludf.DUMMYFUNCTION("""COMPUTED_VALUE"""),44723.0)</f>
        <v>44723</v>
      </c>
      <c r="C14436" s="6">
        <f>IFERROR(__xludf.DUMMYFUNCTION("""COMPUTED_VALUE"""),0.31739583333182964)</f>
        <v>0.3173958333</v>
      </c>
      <c r="D14436" s="4">
        <f>IFERROR(__xludf.DUMMYFUNCTION("""COMPUTED_VALUE"""),12.975191)</f>
        <v>12.975191</v>
      </c>
      <c r="E14436" s="4">
        <f>IFERROR(__xludf.DUMMYFUNCTION("""COMPUTED_VALUE"""),80.22072)</f>
        <v>80.22072</v>
      </c>
      <c r="F14436" s="4">
        <f>IFERROR(__xludf.DUMMYFUNCTION("""COMPUTED_VALUE"""),2846.0)</f>
        <v>2846</v>
      </c>
      <c r="G14436" s="4">
        <f>IFERROR(__xludf.DUMMYFUNCTION("""COMPUTED_VALUE"""),36.0)</f>
        <v>36</v>
      </c>
      <c r="H14436" s="4"/>
      <c r="I14436" s="4"/>
    </row>
    <row r="14437">
      <c r="A14437" s="4" t="str">
        <f>IFERROR(__xludf.DUMMYFUNCTION("""COMPUTED_VALUE"""),"cas_hmw")</f>
        <v>cas_hmw</v>
      </c>
      <c r="B14437" s="5">
        <f>IFERROR(__xludf.DUMMYFUNCTION("""COMPUTED_VALUE"""),44723.0)</f>
        <v>44723</v>
      </c>
      <c r="C14437" s="6">
        <f>IFERROR(__xludf.DUMMYFUNCTION("""COMPUTED_VALUE"""),0.3174074074086093)</f>
        <v>0.3174074074</v>
      </c>
      <c r="D14437" s="4">
        <f>IFERROR(__xludf.DUMMYFUNCTION("""COMPUTED_VALUE"""),12.975191)</f>
        <v>12.975191</v>
      </c>
      <c r="E14437" s="4">
        <f>IFERROR(__xludf.DUMMYFUNCTION("""COMPUTED_VALUE"""),80.22072)</f>
        <v>80.22072</v>
      </c>
      <c r="F14437" s="4">
        <f>IFERROR(__xludf.DUMMYFUNCTION("""COMPUTED_VALUE"""),2846.0)</f>
        <v>2846</v>
      </c>
      <c r="G14437" s="4">
        <f>IFERROR(__xludf.DUMMYFUNCTION("""COMPUTED_VALUE"""),36.0)</f>
        <v>36</v>
      </c>
      <c r="H14437" s="4"/>
      <c r="I14437" s="4"/>
    </row>
    <row r="14438">
      <c r="A14438" s="4" t="str">
        <f>IFERROR(__xludf.DUMMYFUNCTION("""COMPUTED_VALUE"""),"cas_hmw")</f>
        <v>cas_hmw</v>
      </c>
      <c r="B14438" s="5">
        <f>IFERROR(__xludf.DUMMYFUNCTION("""COMPUTED_VALUE"""),44723.0)</f>
        <v>44723</v>
      </c>
      <c r="C14438" s="6">
        <f>IFERROR(__xludf.DUMMYFUNCTION("""COMPUTED_VALUE"""),0.3232638888875954)</f>
        <v>0.3232638889</v>
      </c>
      <c r="D14438" s="4">
        <f>IFERROR(__xludf.DUMMYFUNCTION("""COMPUTED_VALUE"""),13.006406)</f>
        <v>13.006406</v>
      </c>
      <c r="E14438" s="4">
        <f>IFERROR(__xludf.DUMMYFUNCTION("""COMPUTED_VALUE"""),80.256334)</f>
        <v>80.256334</v>
      </c>
      <c r="F14438" s="4">
        <f>IFERROR(__xludf.DUMMYFUNCTION("""COMPUTED_VALUE"""),805.0)</f>
        <v>805</v>
      </c>
      <c r="G14438" s="4">
        <f>IFERROR(__xludf.DUMMYFUNCTION("""COMPUTED_VALUE"""),39.0)</f>
        <v>39</v>
      </c>
      <c r="H14438" s="4"/>
      <c r="I14438" s="4"/>
    </row>
    <row r="14439">
      <c r="A14439" s="4" t="str">
        <f>IFERROR(__xludf.DUMMYFUNCTION("""COMPUTED_VALUE"""),"cas_hmw")</f>
        <v>cas_hmw</v>
      </c>
      <c r="B14439" s="5">
        <f>IFERROR(__xludf.DUMMYFUNCTION("""COMPUTED_VALUE"""),44723.0)</f>
        <v>44723</v>
      </c>
      <c r="C14439" s="6">
        <f>IFERROR(__xludf.DUMMYFUNCTION("""COMPUTED_VALUE"""),0.32451388888875954)</f>
        <v>0.3245138889</v>
      </c>
      <c r="D14439" s="4">
        <f>IFERROR(__xludf.DUMMYFUNCTION("""COMPUTED_VALUE"""),13.006742)</f>
        <v>13.006742</v>
      </c>
      <c r="E14439" s="4">
        <f>IFERROR(__xludf.DUMMYFUNCTION("""COMPUTED_VALUE"""),80.250122)</f>
        <v>80.250122</v>
      </c>
      <c r="F14439" s="4">
        <f>IFERROR(__xludf.DUMMYFUNCTION("""COMPUTED_VALUE"""),805.0)</f>
        <v>805</v>
      </c>
      <c r="G14439" s="4">
        <f>IFERROR(__xludf.DUMMYFUNCTION("""COMPUTED_VALUE"""),34.0)</f>
        <v>34</v>
      </c>
      <c r="H14439" s="4"/>
      <c r="I14439" s="4"/>
    </row>
    <row r="14440">
      <c r="A14440" s="4" t="str">
        <f>IFERROR(__xludf.DUMMYFUNCTION("""COMPUTED_VALUE"""),"cas_hmw")</f>
        <v>cas_hmw</v>
      </c>
      <c r="B14440" s="5">
        <f>IFERROR(__xludf.DUMMYFUNCTION("""COMPUTED_VALUE"""),44723.0)</f>
        <v>44723</v>
      </c>
      <c r="C14440" s="6">
        <f>IFERROR(__xludf.DUMMYFUNCTION("""COMPUTED_VALUE"""),0.3296875000014552)</f>
        <v>0.3296875</v>
      </c>
      <c r="D14440" s="4">
        <f>IFERROR(__xludf.DUMMYFUNCTION("""COMPUTED_VALUE"""),13.010122)</f>
        <v>13.010122</v>
      </c>
      <c r="E14440" s="4">
        <f>IFERROR(__xludf.DUMMYFUNCTION("""COMPUTED_VALUE"""),80.226062)</f>
        <v>80.226062</v>
      </c>
      <c r="F14440" s="4">
        <f>IFERROR(__xludf.DUMMYFUNCTION("""COMPUTED_VALUE"""),805.0)</f>
        <v>805</v>
      </c>
      <c r="G14440" s="4">
        <f>IFERROR(__xludf.DUMMYFUNCTION("""COMPUTED_VALUE"""),50.0)</f>
        <v>50</v>
      </c>
      <c r="H14440" s="4"/>
      <c r="I14440" s="4"/>
    </row>
    <row r="14441">
      <c r="A14441" s="4" t="str">
        <f>IFERROR(__xludf.DUMMYFUNCTION("""COMPUTED_VALUE"""),"cas_hmw")</f>
        <v>cas_hmw</v>
      </c>
      <c r="B14441" s="5">
        <f>IFERROR(__xludf.DUMMYFUNCTION("""COMPUTED_VALUE"""),44723.0)</f>
        <v>44723</v>
      </c>
      <c r="C14441" s="6">
        <f>IFERROR(__xludf.DUMMYFUNCTION("""COMPUTED_VALUE"""),0.3298263888900692)</f>
        <v>0.3298263889</v>
      </c>
      <c r="D14441" s="4">
        <f>IFERROR(__xludf.DUMMYFUNCTION("""COMPUTED_VALUE"""),13.010691)</f>
        <v>13.010691</v>
      </c>
      <c r="E14441" s="4">
        <f>IFERROR(__xludf.DUMMYFUNCTION("""COMPUTED_VALUE"""),80.224925)</f>
        <v>80.224925</v>
      </c>
      <c r="F14441" s="4">
        <f>IFERROR(__xludf.DUMMYFUNCTION("""COMPUTED_VALUE"""),805.0)</f>
        <v>805</v>
      </c>
      <c r="G14441" s="4">
        <f>IFERROR(__xludf.DUMMYFUNCTION("""COMPUTED_VALUE"""),44.0)</f>
        <v>44</v>
      </c>
      <c r="H14441" s="4"/>
      <c r="I14441" s="4"/>
    </row>
    <row r="14442">
      <c r="A14442" s="4" t="str">
        <f>IFERROR(__xludf.DUMMYFUNCTION("""COMPUTED_VALUE"""),"cas_hmw")</f>
        <v>cas_hmw</v>
      </c>
      <c r="B14442" s="5">
        <f>IFERROR(__xludf.DUMMYFUNCTION("""COMPUTED_VALUE"""),44723.0)</f>
        <v>44723</v>
      </c>
      <c r="C14442" s="6">
        <f>IFERROR(__xludf.DUMMYFUNCTION("""COMPUTED_VALUE"""),0.33035879629460396)</f>
        <v>0.3303587963</v>
      </c>
      <c r="D14442" s="4">
        <f>IFERROR(__xludf.DUMMYFUNCTION("""COMPUTED_VALUE"""),13.012054)</f>
        <v>13.012054</v>
      </c>
      <c r="E14442" s="4">
        <f>IFERROR(__xludf.DUMMYFUNCTION("""COMPUTED_VALUE"""),80.221305)</f>
        <v>80.221305</v>
      </c>
      <c r="F14442" s="4">
        <f>IFERROR(__xludf.DUMMYFUNCTION("""COMPUTED_VALUE"""),805.0)</f>
        <v>805</v>
      </c>
      <c r="G14442" s="4">
        <f>IFERROR(__xludf.DUMMYFUNCTION("""COMPUTED_VALUE"""),13.0)</f>
        <v>13</v>
      </c>
      <c r="H14442" s="4"/>
      <c r="I14442" s="4"/>
    </row>
    <row r="14443">
      <c r="A14443" s="4" t="str">
        <f>IFERROR(__xludf.DUMMYFUNCTION("""COMPUTED_VALUE"""),"cas_hmw")</f>
        <v>cas_hmw</v>
      </c>
      <c r="B14443" s="5">
        <f>IFERROR(__xludf.DUMMYFUNCTION("""COMPUTED_VALUE"""),44723.0)</f>
        <v>44723</v>
      </c>
      <c r="C14443" s="6">
        <f>IFERROR(__xludf.DUMMYFUNCTION("""COMPUTED_VALUE"""),0.33122685185298906)</f>
        <v>0.3312268519</v>
      </c>
      <c r="D14443" s="4">
        <f>IFERROR(__xludf.DUMMYFUNCTION("""COMPUTED_VALUE"""),13.011186)</f>
        <v>13.011186</v>
      </c>
      <c r="E14443" s="4">
        <f>IFERROR(__xludf.DUMMYFUNCTION("""COMPUTED_VALUE"""),80.21811)</f>
        <v>80.21811</v>
      </c>
      <c r="F14443" s="4">
        <f>IFERROR(__xludf.DUMMYFUNCTION("""COMPUTED_VALUE"""),805.0)</f>
        <v>805</v>
      </c>
      <c r="G14443" s="4">
        <f>IFERROR(__xludf.DUMMYFUNCTION("""COMPUTED_VALUE"""),43.0)</f>
        <v>43</v>
      </c>
      <c r="H14443" s="4"/>
      <c r="I14443" s="4"/>
    </row>
    <row r="14444">
      <c r="A14444" s="4" t="str">
        <f>IFERROR(__xludf.DUMMYFUNCTION("""COMPUTED_VALUE"""),"cas_hmw")</f>
        <v>cas_hmw</v>
      </c>
      <c r="B14444" s="5">
        <f>IFERROR(__xludf.DUMMYFUNCTION("""COMPUTED_VALUE"""),44723.0)</f>
        <v>44723</v>
      </c>
      <c r="C14444" s="6">
        <f>IFERROR(__xludf.DUMMYFUNCTION("""COMPUTED_VALUE"""),0.33166666666511446)</f>
        <v>0.3316666667</v>
      </c>
      <c r="D14444" s="4">
        <f>IFERROR(__xludf.DUMMYFUNCTION("""COMPUTED_VALUE"""),13.01008)</f>
        <v>13.01008</v>
      </c>
      <c r="E14444" s="4">
        <f>IFERROR(__xludf.DUMMYFUNCTION("""COMPUTED_VALUE"""),80.214999)</f>
        <v>80.214999</v>
      </c>
      <c r="F14444" s="4">
        <f>IFERROR(__xludf.DUMMYFUNCTION("""COMPUTED_VALUE"""),805.0)</f>
        <v>805</v>
      </c>
      <c r="G14444" s="4">
        <f>IFERROR(__xludf.DUMMYFUNCTION("""COMPUTED_VALUE"""),49.0)</f>
        <v>49</v>
      </c>
      <c r="H14444" s="4"/>
      <c r="I14444" s="4"/>
    </row>
    <row r="14445">
      <c r="A14445" s="4" t="str">
        <f>IFERROR(__xludf.DUMMYFUNCTION("""COMPUTED_VALUE"""),"cas_hmw")</f>
        <v>cas_hmw</v>
      </c>
      <c r="B14445" s="5">
        <f>IFERROR(__xludf.DUMMYFUNCTION("""COMPUTED_VALUE"""),44723.0)</f>
        <v>44723</v>
      </c>
      <c r="C14445" s="6">
        <f>IFERROR(__xludf.DUMMYFUNCTION("""COMPUTED_VALUE"""),0.3329976851855463)</f>
        <v>0.3329976852</v>
      </c>
      <c r="D14445" s="4">
        <f>IFERROR(__xludf.DUMMYFUNCTION("""COMPUTED_VALUE"""),13.007864)</f>
        <v>13.007864</v>
      </c>
      <c r="E14445" s="4">
        <f>IFERROR(__xludf.DUMMYFUNCTION("""COMPUTED_VALUE"""),80.207916)</f>
        <v>80.207916</v>
      </c>
      <c r="F14445" s="4">
        <f>IFERROR(__xludf.DUMMYFUNCTION("""COMPUTED_VALUE"""),805.0)</f>
        <v>805</v>
      </c>
      <c r="G14445" s="4">
        <f>IFERROR(__xludf.DUMMYFUNCTION("""COMPUTED_VALUE"""),43.0)</f>
        <v>43</v>
      </c>
      <c r="H14445" s="4"/>
      <c r="I14445" s="4"/>
    </row>
    <row r="14446">
      <c r="A14446" s="4" t="str">
        <f>IFERROR(__xludf.DUMMYFUNCTION("""COMPUTED_VALUE"""),"cas_hmw")</f>
        <v>cas_hmw</v>
      </c>
      <c r="B14446" s="5">
        <f>IFERROR(__xludf.DUMMYFUNCTION("""COMPUTED_VALUE"""),44723.0)</f>
        <v>44723</v>
      </c>
      <c r="C14446" s="6">
        <f>IFERROR(__xludf.DUMMYFUNCTION("""COMPUTED_VALUE"""),0.3336805555554747)</f>
        <v>0.3336805556</v>
      </c>
      <c r="D14446" s="4">
        <f>IFERROR(__xludf.DUMMYFUNCTION("""COMPUTED_VALUE"""),12.999948)</f>
        <v>12.999948</v>
      </c>
      <c r="E14446" s="4">
        <f>IFERROR(__xludf.DUMMYFUNCTION("""COMPUTED_VALUE"""),80.194143)</f>
        <v>80.194143</v>
      </c>
      <c r="F14446" s="4">
        <f>IFERROR(__xludf.DUMMYFUNCTION("""COMPUTED_VALUE"""),805.0)</f>
        <v>805</v>
      </c>
      <c r="G14446" s="4">
        <f>IFERROR(__xludf.DUMMYFUNCTION("""COMPUTED_VALUE"""),56.0)</f>
        <v>56</v>
      </c>
      <c r="H14446" s="4"/>
      <c r="I14446" s="4"/>
    </row>
    <row r="14447">
      <c r="A14447" s="4" t="str">
        <f>IFERROR(__xludf.DUMMYFUNCTION("""COMPUTED_VALUE"""),"cas_hmw")</f>
        <v>cas_hmw</v>
      </c>
      <c r="B14447" s="5">
        <f>IFERROR(__xludf.DUMMYFUNCTION("""COMPUTED_VALUE"""),44723.0)</f>
        <v>44723</v>
      </c>
      <c r="C14447" s="6">
        <f>IFERROR(__xludf.DUMMYFUNCTION("""COMPUTED_VALUE"""),0.33435185185226146)</f>
        <v>0.3343518519</v>
      </c>
      <c r="D14447" s="4">
        <f>IFERROR(__xludf.DUMMYFUNCTION("""COMPUTED_VALUE"""),12.995767)</f>
        <v>12.995767</v>
      </c>
      <c r="E14447" s="4">
        <f>IFERROR(__xludf.DUMMYFUNCTION("""COMPUTED_VALUE"""),80.188994)</f>
        <v>80.188994</v>
      </c>
      <c r="F14447" s="4">
        <f>IFERROR(__xludf.DUMMYFUNCTION("""COMPUTED_VALUE"""),805.0)</f>
        <v>805</v>
      </c>
      <c r="G14447" s="4">
        <f>IFERROR(__xludf.DUMMYFUNCTION("""COMPUTED_VALUE"""),29.0)</f>
        <v>29</v>
      </c>
      <c r="H14447" s="4"/>
      <c r="I14447" s="4"/>
    </row>
    <row r="14448">
      <c r="A14448" s="4" t="str">
        <f>IFERROR(__xludf.DUMMYFUNCTION("""COMPUTED_VALUE"""),"cas_hmw")</f>
        <v>cas_hmw</v>
      </c>
      <c r="B14448" s="5">
        <f>IFERROR(__xludf.DUMMYFUNCTION("""COMPUTED_VALUE"""),44723.0)</f>
        <v>44723</v>
      </c>
      <c r="C14448" s="6">
        <f>IFERROR(__xludf.DUMMYFUNCTION("""COMPUTED_VALUE"""),0.33436342592540313)</f>
        <v>0.3343634259</v>
      </c>
      <c r="D14448" s="4">
        <f>IFERROR(__xludf.DUMMYFUNCTION("""COMPUTED_VALUE"""),12.995767)</f>
        <v>12.995767</v>
      </c>
      <c r="E14448" s="4">
        <f>IFERROR(__xludf.DUMMYFUNCTION("""COMPUTED_VALUE"""),80.188994)</f>
        <v>80.188994</v>
      </c>
      <c r="F14448" s="4">
        <f>IFERROR(__xludf.DUMMYFUNCTION("""COMPUTED_VALUE"""),805.0)</f>
        <v>805</v>
      </c>
      <c r="G14448" s="4">
        <f>IFERROR(__xludf.DUMMYFUNCTION("""COMPUTED_VALUE"""),29.0)</f>
        <v>29</v>
      </c>
      <c r="H14448" s="4"/>
      <c r="I14448" s="4"/>
    </row>
    <row r="14449">
      <c r="A14449" s="4" t="str">
        <f>IFERROR(__xludf.DUMMYFUNCTION("""COMPUTED_VALUE"""),"cas_hmw")</f>
        <v>cas_hmw</v>
      </c>
      <c r="B14449" s="5">
        <f>IFERROR(__xludf.DUMMYFUNCTION("""COMPUTED_VALUE"""),44723.0)</f>
        <v>44723</v>
      </c>
      <c r="C14449" s="6">
        <f>IFERROR(__xludf.DUMMYFUNCTION("""COMPUTED_VALUE"""),0.3344097222216078)</f>
        <v>0.3344097222</v>
      </c>
      <c r="D14449" s="4">
        <f>IFERROR(__xludf.DUMMYFUNCTION("""COMPUTED_VALUE"""),12.995767)</f>
        <v>12.995767</v>
      </c>
      <c r="E14449" s="4">
        <f>IFERROR(__xludf.DUMMYFUNCTION("""COMPUTED_VALUE"""),80.188994)</f>
        <v>80.188994</v>
      </c>
      <c r="F14449" s="4">
        <f>IFERROR(__xludf.DUMMYFUNCTION("""COMPUTED_VALUE"""),805.0)</f>
        <v>805</v>
      </c>
      <c r="G14449" s="4">
        <f>IFERROR(__xludf.DUMMYFUNCTION("""COMPUTED_VALUE"""),29.0)</f>
        <v>29</v>
      </c>
      <c r="H14449" s="4"/>
      <c r="I14449" s="4"/>
    </row>
    <row r="14450">
      <c r="A14450" s="4" t="str">
        <f>IFERROR(__xludf.DUMMYFUNCTION("""COMPUTED_VALUE"""),"cas_hmw")</f>
        <v>cas_hmw</v>
      </c>
      <c r="B14450" s="5">
        <f>IFERROR(__xludf.DUMMYFUNCTION("""COMPUTED_VALUE"""),44723.0)</f>
        <v>44723</v>
      </c>
      <c r="C14450" s="6">
        <f>IFERROR(__xludf.DUMMYFUNCTION("""COMPUTED_VALUE"""),0.3344444444446708)</f>
        <v>0.3344444444</v>
      </c>
      <c r="D14450" s="4">
        <f>IFERROR(__xludf.DUMMYFUNCTION("""COMPUTED_VALUE"""),12.995392)</f>
        <v>12.995392</v>
      </c>
      <c r="E14450" s="4">
        <f>IFERROR(__xludf.DUMMYFUNCTION("""COMPUTED_VALUE"""),80.18836)</f>
        <v>80.18836</v>
      </c>
      <c r="F14450" s="4">
        <f>IFERROR(__xludf.DUMMYFUNCTION("""COMPUTED_VALUE"""),805.0)</f>
        <v>805</v>
      </c>
      <c r="G14450" s="4">
        <f>IFERROR(__xludf.DUMMYFUNCTION("""COMPUTED_VALUE"""),0.0)</f>
        <v>0</v>
      </c>
      <c r="H14450" s="4"/>
      <c r="I14450" s="4"/>
    </row>
    <row r="14451">
      <c r="A14451" s="4" t="str">
        <f>IFERROR(__xludf.DUMMYFUNCTION("""COMPUTED_VALUE"""),"cas_hmw")</f>
        <v>cas_hmw</v>
      </c>
      <c r="B14451" s="5">
        <f>IFERROR(__xludf.DUMMYFUNCTION("""COMPUTED_VALUE"""),44723.0)</f>
        <v>44723</v>
      </c>
      <c r="C14451" s="6">
        <f>IFERROR(__xludf.DUMMYFUNCTION("""COMPUTED_VALUE"""),0.3349999999991269)</f>
        <v>0.335</v>
      </c>
      <c r="D14451" s="4">
        <f>IFERROR(__xludf.DUMMYFUNCTION("""COMPUTED_VALUE"""),12.993727)</f>
        <v>12.993727</v>
      </c>
      <c r="E14451" s="4">
        <f>IFERROR(__xludf.DUMMYFUNCTION("""COMPUTED_VALUE"""),80.185134)</f>
        <v>80.185134</v>
      </c>
      <c r="F14451" s="4">
        <f>IFERROR(__xludf.DUMMYFUNCTION("""COMPUTED_VALUE"""),805.0)</f>
        <v>805</v>
      </c>
      <c r="G14451" s="4">
        <f>IFERROR(__xludf.DUMMYFUNCTION("""COMPUTED_VALUE"""),35.0)</f>
        <v>35</v>
      </c>
      <c r="H14451" s="4"/>
      <c r="I14451" s="4"/>
    </row>
    <row r="14452">
      <c r="A14452" s="4" t="str">
        <f>IFERROR(__xludf.DUMMYFUNCTION("""COMPUTED_VALUE"""),"cas_hmw")</f>
        <v>cas_hmw</v>
      </c>
      <c r="B14452" s="5">
        <f>IFERROR(__xludf.DUMMYFUNCTION("""COMPUTED_VALUE"""),44723.0)</f>
        <v>44723</v>
      </c>
      <c r="C14452" s="6">
        <f>IFERROR(__xludf.DUMMYFUNCTION("""COMPUTED_VALUE"""),0.33547453703795327)</f>
        <v>0.335474537</v>
      </c>
      <c r="D14452" s="4">
        <f>IFERROR(__xludf.DUMMYFUNCTION("""COMPUTED_VALUE"""),12.990954)</f>
        <v>12.990954</v>
      </c>
      <c r="E14452" s="4">
        <f>IFERROR(__xludf.DUMMYFUNCTION("""COMPUTED_VALUE"""),80.180824)</f>
        <v>80.180824</v>
      </c>
      <c r="F14452" s="4">
        <f>IFERROR(__xludf.DUMMYFUNCTION("""COMPUTED_VALUE"""),805.0)</f>
        <v>805</v>
      </c>
      <c r="G14452" s="4">
        <f>IFERROR(__xludf.DUMMYFUNCTION("""COMPUTED_VALUE"""),58.0)</f>
        <v>58</v>
      </c>
      <c r="H14452" s="4"/>
      <c r="I14452" s="4"/>
    </row>
    <row r="14453">
      <c r="A14453" s="4" t="str">
        <f>IFERROR(__xludf.DUMMYFUNCTION("""COMPUTED_VALUE"""),"cas_hmw")</f>
        <v>cas_hmw</v>
      </c>
      <c r="B14453" s="5">
        <f>IFERROR(__xludf.DUMMYFUNCTION("""COMPUTED_VALUE"""),44723.0)</f>
        <v>44723</v>
      </c>
      <c r="C14453" s="6">
        <f>IFERROR(__xludf.DUMMYFUNCTION("""COMPUTED_VALUE"""),0.33777777777868323)</f>
        <v>0.3377777778</v>
      </c>
      <c r="D14453" s="4">
        <f>IFERROR(__xludf.DUMMYFUNCTION("""COMPUTED_VALUE"""),12.980013)</f>
        <v>12.980013</v>
      </c>
      <c r="E14453" s="4">
        <f>IFERROR(__xludf.DUMMYFUNCTION("""COMPUTED_VALUE"""),80.163256)</f>
        <v>80.163256</v>
      </c>
      <c r="F14453" s="4">
        <f>IFERROR(__xludf.DUMMYFUNCTION("""COMPUTED_VALUE"""),805.0)</f>
        <v>805</v>
      </c>
      <c r="G14453" s="4">
        <f>IFERROR(__xludf.DUMMYFUNCTION("""COMPUTED_VALUE"""),10.0)</f>
        <v>10</v>
      </c>
      <c r="H14453" s="4"/>
      <c r="I14453" s="4"/>
    </row>
    <row r="14454">
      <c r="A14454" s="4" t="str">
        <f>IFERROR(__xludf.DUMMYFUNCTION("""COMPUTED_VALUE"""),"cas_hmw")</f>
        <v>cas_hmw</v>
      </c>
      <c r="B14454" s="5">
        <f>IFERROR(__xludf.DUMMYFUNCTION("""COMPUTED_VALUE"""),44723.0)</f>
        <v>44723</v>
      </c>
      <c r="C14454" s="6">
        <f>IFERROR(__xludf.DUMMYFUNCTION("""COMPUTED_VALUE"""),0.33795138889036025)</f>
        <v>0.3379513889</v>
      </c>
      <c r="D14454" s="4">
        <f>IFERROR(__xludf.DUMMYFUNCTION("""COMPUTED_VALUE"""),12.979361)</f>
        <v>12.979361</v>
      </c>
      <c r="E14454" s="4">
        <f>IFERROR(__xludf.DUMMYFUNCTION("""COMPUTED_VALUE"""),80.161984)</f>
        <v>80.161984</v>
      </c>
      <c r="F14454" s="4">
        <f>IFERROR(__xludf.DUMMYFUNCTION("""COMPUTED_VALUE"""),805.0)</f>
        <v>805</v>
      </c>
      <c r="G14454" s="4">
        <f>IFERROR(__xludf.DUMMYFUNCTION("""COMPUTED_VALUE"""),43.0)</f>
        <v>43</v>
      </c>
      <c r="H14454" s="4"/>
      <c r="I14454" s="4"/>
    </row>
    <row r="14455">
      <c r="A14455" s="4" t="str">
        <f>IFERROR(__xludf.DUMMYFUNCTION("""COMPUTED_VALUE"""),"cas_hmw")</f>
        <v>cas_hmw</v>
      </c>
      <c r="B14455" s="5">
        <f>IFERROR(__xludf.DUMMYFUNCTION("""COMPUTED_VALUE"""),44723.0)</f>
        <v>44723</v>
      </c>
      <c r="C14455" s="6">
        <f>IFERROR(__xludf.DUMMYFUNCTION("""COMPUTED_VALUE"""),0.338483796294895)</f>
        <v>0.3384837963</v>
      </c>
      <c r="D14455" s="4">
        <f>IFERROR(__xludf.DUMMYFUNCTION("""COMPUTED_VALUE"""),12.919424)</f>
        <v>12.919424</v>
      </c>
      <c r="E14455" s="4">
        <f>IFERROR(__xludf.DUMMYFUNCTION("""COMPUTED_VALUE"""),80.180587)</f>
        <v>80.180587</v>
      </c>
      <c r="F14455" s="4">
        <f>IFERROR(__xludf.DUMMYFUNCTION("""COMPUTED_VALUE"""),2846.0)</f>
        <v>2846</v>
      </c>
      <c r="G14455" s="4">
        <f>IFERROR(__xludf.DUMMYFUNCTION("""COMPUTED_VALUE"""),33.0)</f>
        <v>33</v>
      </c>
      <c r="H14455" s="4"/>
      <c r="I14455" s="4"/>
    </row>
    <row r="14456">
      <c r="A14456" s="4" t="str">
        <f>IFERROR(__xludf.DUMMYFUNCTION("""COMPUTED_VALUE"""),"cas_hmw")</f>
        <v>cas_hmw</v>
      </c>
      <c r="B14456" s="5">
        <f>IFERROR(__xludf.DUMMYFUNCTION("""COMPUTED_VALUE"""),44723.0)</f>
        <v>44723</v>
      </c>
      <c r="C14456" s="6">
        <f>IFERROR(__xludf.DUMMYFUNCTION("""COMPUTED_VALUE"""),0.338553240741021)</f>
        <v>0.3385532407</v>
      </c>
      <c r="D14456" s="4">
        <f>IFERROR(__xludf.DUMMYFUNCTION("""COMPUTED_VALUE"""),12.975408)</f>
        <v>12.975408</v>
      </c>
      <c r="E14456" s="4">
        <f>IFERROR(__xludf.DUMMYFUNCTION("""COMPUTED_VALUE"""),80.156178)</f>
        <v>80.156178</v>
      </c>
      <c r="F14456" s="4">
        <f>IFERROR(__xludf.DUMMYFUNCTION("""COMPUTED_VALUE"""),805.0)</f>
        <v>805</v>
      </c>
      <c r="G14456" s="4">
        <f>IFERROR(__xludf.DUMMYFUNCTION("""COMPUTED_VALUE"""),56.0)</f>
        <v>56</v>
      </c>
      <c r="H14456" s="4"/>
      <c r="I14456" s="4"/>
    </row>
    <row r="14457">
      <c r="A14457" s="4" t="str">
        <f>IFERROR(__xludf.DUMMYFUNCTION("""COMPUTED_VALUE"""),"cas_hmw")</f>
        <v>cas_hmw</v>
      </c>
      <c r="B14457" s="5">
        <f>IFERROR(__xludf.DUMMYFUNCTION("""COMPUTED_VALUE"""),44723.0)</f>
        <v>44723</v>
      </c>
      <c r="C14457" s="6">
        <f>IFERROR(__xludf.DUMMYFUNCTION("""COMPUTED_VALUE"""),0.3401504629619012)</f>
        <v>0.340150463</v>
      </c>
      <c r="D14457" s="4">
        <f>IFERROR(__xludf.DUMMYFUNCTION("""COMPUTED_VALUE"""),12.969297)</f>
        <v>12.969297</v>
      </c>
      <c r="E14457" s="4">
        <f>IFERROR(__xludf.DUMMYFUNCTION("""COMPUTED_VALUE"""),80.150142)</f>
        <v>80.150142</v>
      </c>
      <c r="F14457" s="4">
        <f>IFERROR(__xludf.DUMMYFUNCTION("""COMPUTED_VALUE"""),805.0)</f>
        <v>805</v>
      </c>
      <c r="G14457" s="4">
        <f>IFERROR(__xludf.DUMMYFUNCTION("""COMPUTED_VALUE"""),0.0)</f>
        <v>0</v>
      </c>
      <c r="H14457" s="4"/>
      <c r="I14457" s="4"/>
    </row>
    <row r="14458">
      <c r="A14458" s="4" t="str">
        <f>IFERROR(__xludf.DUMMYFUNCTION("""COMPUTED_VALUE"""),"cas_hmw")</f>
        <v>cas_hmw</v>
      </c>
      <c r="B14458" s="5">
        <f>IFERROR(__xludf.DUMMYFUNCTION("""COMPUTED_VALUE"""),44723.0)</f>
        <v>44723</v>
      </c>
      <c r="C14458" s="6">
        <f>IFERROR(__xludf.DUMMYFUNCTION("""COMPUTED_VALUE"""),0.341307870370656)</f>
        <v>0.3413078704</v>
      </c>
      <c r="D14458" s="4">
        <f>IFERROR(__xludf.DUMMYFUNCTION("""COMPUTED_VALUE"""),12.958468)</f>
        <v>12.958468</v>
      </c>
      <c r="E14458" s="4">
        <f>IFERROR(__xludf.DUMMYFUNCTION("""COMPUTED_VALUE"""),80.144394)</f>
        <v>80.144394</v>
      </c>
      <c r="F14458" s="4">
        <f>IFERROR(__xludf.DUMMYFUNCTION("""COMPUTED_VALUE"""),805.0)</f>
        <v>805</v>
      </c>
      <c r="G14458" s="4">
        <f>IFERROR(__xludf.DUMMYFUNCTION("""COMPUTED_VALUE"""),39.0)</f>
        <v>39</v>
      </c>
      <c r="H14458" s="4"/>
      <c r="I14458" s="4"/>
    </row>
    <row r="14459">
      <c r="A14459" s="4" t="str">
        <f>IFERROR(__xludf.DUMMYFUNCTION("""COMPUTED_VALUE"""),"cas_hmw")</f>
        <v>cas_hmw</v>
      </c>
      <c r="B14459" s="5">
        <f>IFERROR(__xludf.DUMMYFUNCTION("""COMPUTED_VALUE"""),44723.0)</f>
        <v>44723</v>
      </c>
      <c r="C14459" s="6">
        <f>IFERROR(__xludf.DUMMYFUNCTION("""COMPUTED_VALUE"""),0.3422569444446708)</f>
        <v>0.3422569444</v>
      </c>
      <c r="D14459" s="4">
        <f>IFERROR(__xludf.DUMMYFUNCTION("""COMPUTED_VALUE"""),12.956092)</f>
        <v>12.956092</v>
      </c>
      <c r="E14459" s="4">
        <f>IFERROR(__xludf.DUMMYFUNCTION("""COMPUTED_VALUE"""),80.14321)</f>
        <v>80.14321</v>
      </c>
      <c r="F14459" s="4">
        <f>IFERROR(__xludf.DUMMYFUNCTION("""COMPUTED_VALUE"""),805.0)</f>
        <v>805</v>
      </c>
      <c r="G14459" s="4">
        <f>IFERROR(__xludf.DUMMYFUNCTION("""COMPUTED_VALUE"""),16.0)</f>
        <v>16</v>
      </c>
      <c r="H14459" s="4"/>
      <c r="I14459" s="4"/>
    </row>
    <row r="14460">
      <c r="A14460" s="4" t="str">
        <f>IFERROR(__xludf.DUMMYFUNCTION("""COMPUTED_VALUE"""),"cas_hmw")</f>
        <v>cas_hmw</v>
      </c>
      <c r="B14460" s="5">
        <f>IFERROR(__xludf.DUMMYFUNCTION("""COMPUTED_VALUE"""),44723.0)</f>
        <v>44723</v>
      </c>
      <c r="C14460" s="6">
        <f>IFERROR(__xludf.DUMMYFUNCTION("""COMPUTED_VALUE"""),0.34232638888715883)</f>
        <v>0.3423263889</v>
      </c>
      <c r="D14460" s="4">
        <f>IFERROR(__xludf.DUMMYFUNCTION("""COMPUTED_VALUE"""),12.955529)</f>
        <v>12.955529</v>
      </c>
      <c r="E14460" s="4">
        <f>IFERROR(__xludf.DUMMYFUNCTION("""COMPUTED_VALUE"""),80.142919)</f>
        <v>80.142919</v>
      </c>
      <c r="F14460" s="4">
        <f>IFERROR(__xludf.DUMMYFUNCTION("""COMPUTED_VALUE"""),805.0)</f>
        <v>805</v>
      </c>
      <c r="G14460" s="4">
        <f>IFERROR(__xludf.DUMMYFUNCTION("""COMPUTED_VALUE"""),25.0)</f>
        <v>25</v>
      </c>
      <c r="H14460" s="4"/>
      <c r="I14460" s="4"/>
    </row>
    <row r="14461">
      <c r="A14461" s="4" t="str">
        <f>IFERROR(__xludf.DUMMYFUNCTION("""COMPUTED_VALUE"""),"cas_hmw")</f>
        <v>cas_hmw</v>
      </c>
      <c r="B14461" s="5">
        <f>IFERROR(__xludf.DUMMYFUNCTION("""COMPUTED_VALUE"""),44723.0)</f>
        <v>44723</v>
      </c>
      <c r="C14461" s="6">
        <f>IFERROR(__xludf.DUMMYFUNCTION("""COMPUTED_VALUE"""),0.3423726851870015)</f>
        <v>0.3423726852</v>
      </c>
      <c r="D14461" s="4">
        <f>IFERROR(__xludf.DUMMYFUNCTION("""COMPUTED_VALUE"""),12.922636)</f>
        <v>12.922636</v>
      </c>
      <c r="E14461" s="4">
        <f>IFERROR(__xludf.DUMMYFUNCTION("""COMPUTED_VALUE"""),80.150442)</f>
        <v>80.150442</v>
      </c>
      <c r="F14461" s="4">
        <f>IFERROR(__xludf.DUMMYFUNCTION("""COMPUTED_VALUE"""),2846.0)</f>
        <v>2846</v>
      </c>
      <c r="G14461" s="4">
        <f>IFERROR(__xludf.DUMMYFUNCTION("""COMPUTED_VALUE"""),36.0)</f>
        <v>36</v>
      </c>
      <c r="H14461" s="4"/>
      <c r="I14461" s="4"/>
    </row>
    <row r="14462">
      <c r="A14462" s="4" t="str">
        <f>IFERROR(__xludf.DUMMYFUNCTION("""COMPUTED_VALUE"""),"cas_hmw")</f>
        <v>cas_hmw</v>
      </c>
      <c r="B14462" s="5">
        <f>IFERROR(__xludf.DUMMYFUNCTION("""COMPUTED_VALUE"""),44723.0)</f>
        <v>44723</v>
      </c>
      <c r="C14462" s="6">
        <f>IFERROR(__xludf.DUMMYFUNCTION("""COMPUTED_VALUE"""),0.3423958333332848)</f>
        <v>0.3423958333</v>
      </c>
      <c r="D14462" s="4">
        <f>IFERROR(__xludf.DUMMYFUNCTION("""COMPUTED_VALUE"""),12.922636)</f>
        <v>12.922636</v>
      </c>
      <c r="E14462" s="4">
        <f>IFERROR(__xludf.DUMMYFUNCTION("""COMPUTED_VALUE"""),80.150442)</f>
        <v>80.150442</v>
      </c>
      <c r="F14462" s="4">
        <f>IFERROR(__xludf.DUMMYFUNCTION("""COMPUTED_VALUE"""),2846.0)</f>
        <v>2846</v>
      </c>
      <c r="G14462" s="4">
        <f>IFERROR(__xludf.DUMMYFUNCTION("""COMPUTED_VALUE"""),36.0)</f>
        <v>36</v>
      </c>
      <c r="H14462" s="4"/>
      <c r="I14462" s="4"/>
    </row>
    <row r="14463">
      <c r="A14463" s="4" t="str">
        <f>IFERROR(__xludf.DUMMYFUNCTION("""COMPUTED_VALUE"""),"cas_hmw")</f>
        <v>cas_hmw</v>
      </c>
      <c r="B14463" s="5">
        <f>IFERROR(__xludf.DUMMYFUNCTION("""COMPUTED_VALUE"""),44723.0)</f>
        <v>44723</v>
      </c>
      <c r="C14463" s="6">
        <f>IFERROR(__xludf.DUMMYFUNCTION("""COMPUTED_VALUE"""),0.3424305555563478)</f>
        <v>0.3424305556</v>
      </c>
      <c r="D14463" s="4">
        <f>IFERROR(__xludf.DUMMYFUNCTION("""COMPUTED_VALUE"""),12.954875)</f>
        <v>12.954875</v>
      </c>
      <c r="E14463" s="4">
        <f>IFERROR(__xludf.DUMMYFUNCTION("""COMPUTED_VALUE"""),80.142552)</f>
        <v>80.142552</v>
      </c>
      <c r="F14463" s="4">
        <f>IFERROR(__xludf.DUMMYFUNCTION("""COMPUTED_VALUE"""),805.0)</f>
        <v>805</v>
      </c>
      <c r="G14463" s="4">
        <f>IFERROR(__xludf.DUMMYFUNCTION("""COMPUTED_VALUE"""),28.0)</f>
        <v>28</v>
      </c>
      <c r="H14463" s="4"/>
      <c r="I14463" s="4"/>
    </row>
    <row r="14464">
      <c r="A14464" s="4" t="str">
        <f>IFERROR(__xludf.DUMMYFUNCTION("""COMPUTED_VALUE"""),"cas_hmw")</f>
        <v>cas_hmw</v>
      </c>
      <c r="B14464" s="5">
        <f>IFERROR(__xludf.DUMMYFUNCTION("""COMPUTED_VALUE"""),44723.0)</f>
        <v>44723</v>
      </c>
      <c r="C14464" s="6">
        <f>IFERROR(__xludf.DUMMYFUNCTION("""COMPUTED_VALUE"""),0.3424421296294895)</f>
        <v>0.3424421296</v>
      </c>
      <c r="D14464" s="4">
        <f>IFERROR(__xludf.DUMMYFUNCTION("""COMPUTED_VALUE"""),12.954875)</f>
        <v>12.954875</v>
      </c>
      <c r="E14464" s="4">
        <f>IFERROR(__xludf.DUMMYFUNCTION("""COMPUTED_VALUE"""),80.142552)</f>
        <v>80.142552</v>
      </c>
      <c r="F14464" s="4">
        <f>IFERROR(__xludf.DUMMYFUNCTION("""COMPUTED_VALUE"""),805.0)</f>
        <v>805</v>
      </c>
      <c r="G14464" s="4">
        <f>IFERROR(__xludf.DUMMYFUNCTION("""COMPUTED_VALUE"""),28.0)</f>
        <v>28</v>
      </c>
      <c r="H14464" s="4"/>
      <c r="I14464" s="4"/>
    </row>
    <row r="14465">
      <c r="A14465" s="4" t="str">
        <f>IFERROR(__xludf.DUMMYFUNCTION("""COMPUTED_VALUE"""),"cas_hmw")</f>
        <v>cas_hmw</v>
      </c>
      <c r="B14465" s="5">
        <f>IFERROR(__xludf.DUMMYFUNCTION("""COMPUTED_VALUE"""),44723.0)</f>
        <v>44723</v>
      </c>
      <c r="C14465" s="6">
        <f>IFERROR(__xludf.DUMMYFUNCTION("""COMPUTED_VALUE"""),0.3424537037026312)</f>
        <v>0.3424537037</v>
      </c>
      <c r="D14465" s="4">
        <f>IFERROR(__xludf.DUMMYFUNCTION("""COMPUTED_VALUE"""),12.954875)</f>
        <v>12.954875</v>
      </c>
      <c r="E14465" s="4">
        <f>IFERROR(__xludf.DUMMYFUNCTION("""COMPUTED_VALUE"""),80.142552)</f>
        <v>80.142552</v>
      </c>
      <c r="F14465" s="4">
        <f>IFERROR(__xludf.DUMMYFUNCTION("""COMPUTED_VALUE"""),805.0)</f>
        <v>805</v>
      </c>
      <c r="G14465" s="4">
        <f>IFERROR(__xludf.DUMMYFUNCTION("""COMPUTED_VALUE"""),28.0)</f>
        <v>28</v>
      </c>
      <c r="H14465" s="4"/>
      <c r="I14465" s="4"/>
    </row>
    <row r="14466">
      <c r="A14466" s="4" t="str">
        <f>IFERROR(__xludf.DUMMYFUNCTION("""COMPUTED_VALUE"""),"cas_hmw")</f>
        <v>cas_hmw</v>
      </c>
      <c r="B14466" s="5">
        <f>IFERROR(__xludf.DUMMYFUNCTION("""COMPUTED_VALUE"""),44723.0)</f>
        <v>44723</v>
      </c>
      <c r="C14466" s="6">
        <f>IFERROR(__xludf.DUMMYFUNCTION("""COMPUTED_VALUE"""),0.3424652777794108)</f>
        <v>0.3424652778</v>
      </c>
      <c r="D14466" s="4">
        <f>IFERROR(__xludf.DUMMYFUNCTION("""COMPUTED_VALUE"""),12.92261)</f>
        <v>12.92261</v>
      </c>
      <c r="E14466" s="4">
        <f>IFERROR(__xludf.DUMMYFUNCTION("""COMPUTED_VALUE"""),80.14959)</f>
        <v>80.14959</v>
      </c>
      <c r="F14466" s="4">
        <f>IFERROR(__xludf.DUMMYFUNCTION("""COMPUTED_VALUE"""),2846.0)</f>
        <v>2846</v>
      </c>
      <c r="G14466" s="4">
        <f>IFERROR(__xludf.DUMMYFUNCTION("""COMPUTED_VALUE"""),29.0)</f>
        <v>29</v>
      </c>
      <c r="H14466" s="4"/>
      <c r="I14466" s="4"/>
    </row>
    <row r="14467">
      <c r="A14467" s="4" t="str">
        <f>IFERROR(__xludf.DUMMYFUNCTION("""COMPUTED_VALUE"""),"cas_hmw")</f>
        <v>cas_hmw</v>
      </c>
      <c r="B14467" s="5">
        <f>IFERROR(__xludf.DUMMYFUNCTION("""COMPUTED_VALUE"""),44723.0)</f>
        <v>44723</v>
      </c>
      <c r="C14467" s="6">
        <f>IFERROR(__xludf.DUMMYFUNCTION("""COMPUTED_VALUE"""),0.3424768518525525)</f>
        <v>0.3424768519</v>
      </c>
      <c r="D14467" s="4">
        <f>IFERROR(__xludf.DUMMYFUNCTION("""COMPUTED_VALUE"""),12.92261)</f>
        <v>12.92261</v>
      </c>
      <c r="E14467" s="4">
        <f>IFERROR(__xludf.DUMMYFUNCTION("""COMPUTED_VALUE"""),80.14959)</f>
        <v>80.14959</v>
      </c>
      <c r="F14467" s="4">
        <f>IFERROR(__xludf.DUMMYFUNCTION("""COMPUTED_VALUE"""),2846.0)</f>
        <v>2846</v>
      </c>
      <c r="G14467" s="4">
        <f>IFERROR(__xludf.DUMMYFUNCTION("""COMPUTED_VALUE"""),29.0)</f>
        <v>29</v>
      </c>
      <c r="H14467" s="4"/>
      <c r="I14467" s="4"/>
    </row>
    <row r="14468">
      <c r="A14468" s="4" t="str">
        <f>IFERROR(__xludf.DUMMYFUNCTION("""COMPUTED_VALUE"""),"cas_hmw")</f>
        <v>cas_hmw</v>
      </c>
      <c r="B14468" s="5">
        <f>IFERROR(__xludf.DUMMYFUNCTION("""COMPUTED_VALUE"""),44723.0)</f>
        <v>44723</v>
      </c>
      <c r="C14468" s="6">
        <f>IFERROR(__xludf.DUMMYFUNCTION("""COMPUTED_VALUE"""),0.3424884259256942)</f>
        <v>0.3424884259</v>
      </c>
      <c r="D14468" s="4">
        <f>IFERROR(__xludf.DUMMYFUNCTION("""COMPUTED_VALUE"""),12.92261)</f>
        <v>12.92261</v>
      </c>
      <c r="E14468" s="4">
        <f>IFERROR(__xludf.DUMMYFUNCTION("""COMPUTED_VALUE"""),80.14959)</f>
        <v>80.14959</v>
      </c>
      <c r="F14468" s="4">
        <f>IFERROR(__xludf.DUMMYFUNCTION("""COMPUTED_VALUE"""),2846.0)</f>
        <v>2846</v>
      </c>
      <c r="G14468" s="4">
        <f>IFERROR(__xludf.DUMMYFUNCTION("""COMPUTED_VALUE"""),29.0)</f>
        <v>29</v>
      </c>
      <c r="H14468" s="4"/>
      <c r="I14468" s="4"/>
    </row>
    <row r="14469">
      <c r="A14469" s="4" t="str">
        <f>IFERROR(__xludf.DUMMYFUNCTION("""COMPUTED_VALUE"""),"cas_hmw")</f>
        <v>cas_hmw</v>
      </c>
      <c r="B14469" s="5">
        <f>IFERROR(__xludf.DUMMYFUNCTION("""COMPUTED_VALUE"""),44723.0)</f>
        <v>44723</v>
      </c>
      <c r="C14469" s="6">
        <f>IFERROR(__xludf.DUMMYFUNCTION("""COMPUTED_VALUE"""),0.34256944444496185)</f>
        <v>0.3425694444</v>
      </c>
      <c r="D14469" s="4">
        <f>IFERROR(__xludf.DUMMYFUNCTION("""COMPUTED_VALUE"""),12.922557)</f>
        <v>12.922557</v>
      </c>
      <c r="E14469" s="4">
        <f>IFERROR(__xludf.DUMMYFUNCTION("""COMPUTED_VALUE"""),80.148817)</f>
        <v>80.148817</v>
      </c>
      <c r="F14469" s="4">
        <f>IFERROR(__xludf.DUMMYFUNCTION("""COMPUTED_VALUE"""),2846.0)</f>
        <v>2846</v>
      </c>
      <c r="G14469" s="4">
        <f>IFERROR(__xludf.DUMMYFUNCTION("""COMPUTED_VALUE"""),29.0)</f>
        <v>29</v>
      </c>
      <c r="H14469" s="4"/>
      <c r="I14469" s="4"/>
    </row>
    <row r="14470">
      <c r="A14470" s="4" t="str">
        <f>IFERROR(__xludf.DUMMYFUNCTION("""COMPUTED_VALUE"""),"cas_hmw")</f>
        <v>cas_hmw</v>
      </c>
      <c r="B14470" s="5">
        <f>IFERROR(__xludf.DUMMYFUNCTION("""COMPUTED_VALUE"""),44723.0)</f>
        <v>44723</v>
      </c>
      <c r="C14470" s="6">
        <f>IFERROR(__xludf.DUMMYFUNCTION("""COMPUTED_VALUE"""),0.3425810185181035)</f>
        <v>0.3425810185</v>
      </c>
      <c r="D14470" s="4">
        <f>IFERROR(__xludf.DUMMYFUNCTION("""COMPUTED_VALUE"""),12.922557)</f>
        <v>12.922557</v>
      </c>
      <c r="E14470" s="4">
        <f>IFERROR(__xludf.DUMMYFUNCTION("""COMPUTED_VALUE"""),80.148817)</f>
        <v>80.148817</v>
      </c>
      <c r="F14470" s="4">
        <f>IFERROR(__xludf.DUMMYFUNCTION("""COMPUTED_VALUE"""),2846.0)</f>
        <v>2846</v>
      </c>
      <c r="G14470" s="4">
        <f>IFERROR(__xludf.DUMMYFUNCTION("""COMPUTED_VALUE"""),29.0)</f>
        <v>29</v>
      </c>
      <c r="H14470" s="4"/>
      <c r="I14470" s="4"/>
    </row>
    <row r="14471">
      <c r="A14471" s="4" t="str">
        <f>IFERROR(__xludf.DUMMYFUNCTION("""COMPUTED_VALUE"""),"cas_hmw")</f>
        <v>cas_hmw</v>
      </c>
      <c r="B14471" s="5">
        <f>IFERROR(__xludf.DUMMYFUNCTION("""COMPUTED_VALUE"""),44723.0)</f>
        <v>44723</v>
      </c>
      <c r="C14471" s="6">
        <f>IFERROR(__xludf.DUMMYFUNCTION("""COMPUTED_VALUE"""),0.3426273148143082)</f>
        <v>0.3426273148</v>
      </c>
      <c r="D14471" s="4">
        <f>IFERROR(__xludf.DUMMYFUNCTION("""COMPUTED_VALUE"""),12.953466)</f>
        <v>12.953466</v>
      </c>
      <c r="E14471" s="4">
        <f>IFERROR(__xludf.DUMMYFUNCTION("""COMPUTED_VALUE"""),80.141827)</f>
        <v>80.141827</v>
      </c>
      <c r="F14471" s="4">
        <f>IFERROR(__xludf.DUMMYFUNCTION("""COMPUTED_VALUE"""),805.0)</f>
        <v>805</v>
      </c>
      <c r="G14471" s="4">
        <f>IFERROR(__xludf.DUMMYFUNCTION("""COMPUTED_VALUE"""),34.0)</f>
        <v>34</v>
      </c>
      <c r="H14471" s="4"/>
      <c r="I14471" s="4"/>
    </row>
    <row r="14472">
      <c r="A14472" s="4" t="str">
        <f>IFERROR(__xludf.DUMMYFUNCTION("""COMPUTED_VALUE"""),"cas_hmw")</f>
        <v>cas_hmw</v>
      </c>
      <c r="B14472" s="5">
        <f>IFERROR(__xludf.DUMMYFUNCTION("""COMPUTED_VALUE"""),44723.0)</f>
        <v>44723</v>
      </c>
      <c r="C14472" s="6">
        <f>IFERROR(__xludf.DUMMYFUNCTION("""COMPUTED_VALUE"""),0.34325231481489027)</f>
        <v>0.3432523148</v>
      </c>
      <c r="D14472" s="4">
        <f>IFERROR(__xludf.DUMMYFUNCTION("""COMPUTED_VALUE"""),12.952107)</f>
        <v>12.952107</v>
      </c>
      <c r="E14472" s="4">
        <f>IFERROR(__xludf.DUMMYFUNCTION("""COMPUTED_VALUE"""),80.140866)</f>
        <v>80.140866</v>
      </c>
      <c r="F14472" s="4">
        <f>IFERROR(__xludf.DUMMYFUNCTION("""COMPUTED_VALUE"""),805.0)</f>
        <v>805</v>
      </c>
      <c r="G14472" s="4">
        <f>IFERROR(__xludf.DUMMYFUNCTION("""COMPUTED_VALUE"""),21.0)</f>
        <v>21</v>
      </c>
      <c r="H14472" s="4"/>
      <c r="I14472" s="4"/>
    </row>
    <row r="14473">
      <c r="A14473" s="4" t="str">
        <f>IFERROR(__xludf.DUMMYFUNCTION("""COMPUTED_VALUE"""),"cas_hmw")</f>
        <v>cas_hmw</v>
      </c>
      <c r="B14473" s="5">
        <f>IFERROR(__xludf.DUMMYFUNCTION("""COMPUTED_VALUE"""),44723.0)</f>
        <v>44723</v>
      </c>
      <c r="C14473" s="6">
        <f>IFERROR(__xludf.DUMMYFUNCTION("""COMPUTED_VALUE"""),0.34423611111196806)</f>
        <v>0.3442361111</v>
      </c>
      <c r="D14473" s="4">
        <f>IFERROR(__xludf.DUMMYFUNCTION("""COMPUTED_VALUE"""),12.949572)</f>
        <v>12.949572</v>
      </c>
      <c r="E14473" s="4">
        <f>IFERROR(__xludf.DUMMYFUNCTION("""COMPUTED_VALUE"""),80.13888)</f>
        <v>80.13888</v>
      </c>
      <c r="F14473" s="4">
        <f>IFERROR(__xludf.DUMMYFUNCTION("""COMPUTED_VALUE"""),805.0)</f>
        <v>805</v>
      </c>
      <c r="G14473" s="4">
        <f>IFERROR(__xludf.DUMMYFUNCTION("""COMPUTED_VALUE"""),39.0)</f>
        <v>39</v>
      </c>
      <c r="H14473" s="4"/>
      <c r="I14473" s="4"/>
    </row>
    <row r="14474">
      <c r="A14474" s="4" t="str">
        <f>IFERROR(__xludf.DUMMYFUNCTION("""COMPUTED_VALUE"""),"cas_hmw")</f>
        <v>cas_hmw</v>
      </c>
      <c r="B14474" s="5">
        <f>IFERROR(__xludf.DUMMYFUNCTION("""COMPUTED_VALUE"""),44723.0)</f>
        <v>44723</v>
      </c>
      <c r="C14474" s="6">
        <f>IFERROR(__xludf.DUMMYFUNCTION("""COMPUTED_VALUE"""),0.34452546296233777)</f>
        <v>0.344525463</v>
      </c>
      <c r="D14474" s="4">
        <f>IFERROR(__xludf.DUMMYFUNCTION("""COMPUTED_VALUE"""),12.946201)</f>
        <v>12.946201</v>
      </c>
      <c r="E14474" s="4">
        <f>IFERROR(__xludf.DUMMYFUNCTION("""COMPUTED_VALUE"""),80.136316)</f>
        <v>80.136316</v>
      </c>
      <c r="F14474" s="4">
        <f>IFERROR(__xludf.DUMMYFUNCTION("""COMPUTED_VALUE"""),805.0)</f>
        <v>805</v>
      </c>
      <c r="G14474" s="4">
        <f>IFERROR(__xludf.DUMMYFUNCTION("""COMPUTED_VALUE"""),40.0)</f>
        <v>40</v>
      </c>
      <c r="H14474" s="4"/>
      <c r="I14474" s="4"/>
    </row>
    <row r="14475">
      <c r="A14475" s="4" t="str">
        <f>IFERROR(__xludf.DUMMYFUNCTION("""COMPUTED_VALUE"""),"cas_hmw")</f>
        <v>cas_hmw</v>
      </c>
      <c r="B14475" s="5">
        <f>IFERROR(__xludf.DUMMYFUNCTION("""COMPUTED_VALUE"""),44723.0)</f>
        <v>44723</v>
      </c>
      <c r="C14475" s="6">
        <f>IFERROR(__xludf.DUMMYFUNCTION("""COMPUTED_VALUE"""),0.34464120370466844)</f>
        <v>0.3446412037</v>
      </c>
      <c r="D14475" s="4">
        <f>IFERROR(__xludf.DUMMYFUNCTION("""COMPUTED_VALUE"""),12.944332)</f>
        <v>12.944332</v>
      </c>
      <c r="E14475" s="4">
        <f>IFERROR(__xludf.DUMMYFUNCTION("""COMPUTED_VALUE"""),80.134863)</f>
        <v>80.134863</v>
      </c>
      <c r="F14475" s="4">
        <f>IFERROR(__xludf.DUMMYFUNCTION("""COMPUTED_VALUE"""),805.0)</f>
        <v>805</v>
      </c>
      <c r="G14475" s="4">
        <f>IFERROR(__xludf.DUMMYFUNCTION("""COMPUTED_VALUE"""),32.0)</f>
        <v>32</v>
      </c>
      <c r="H14475" s="4"/>
      <c r="I14475" s="4"/>
    </row>
    <row r="14476">
      <c r="A14476" s="4" t="str">
        <f>IFERROR(__xludf.DUMMYFUNCTION("""COMPUTED_VALUE"""),"cas_hmw")</f>
        <v>cas_hmw</v>
      </c>
      <c r="B14476" s="5">
        <f>IFERROR(__xludf.DUMMYFUNCTION("""COMPUTED_VALUE"""),44723.0)</f>
        <v>44723</v>
      </c>
      <c r="C14476" s="6">
        <f>IFERROR(__xludf.DUMMYFUNCTION("""COMPUTED_VALUE"""),0.34478009259328246)</f>
        <v>0.3447800926</v>
      </c>
      <c r="D14476" s="4">
        <f>IFERROR(__xludf.DUMMYFUNCTION("""COMPUTED_VALUE"""),12.922368)</f>
        <v>12.922368</v>
      </c>
      <c r="E14476" s="4">
        <f>IFERROR(__xludf.DUMMYFUNCTION("""COMPUTED_VALUE"""),80.139982)</f>
        <v>80.139982</v>
      </c>
      <c r="F14476" s="4">
        <f>IFERROR(__xludf.DUMMYFUNCTION("""COMPUTED_VALUE"""),2846.0)</f>
        <v>2846</v>
      </c>
      <c r="G14476" s="4">
        <f>IFERROR(__xludf.DUMMYFUNCTION("""COMPUTED_VALUE"""),30.0)</f>
        <v>30</v>
      </c>
      <c r="H14476" s="4"/>
      <c r="I14476" s="4"/>
    </row>
    <row r="14477">
      <c r="A14477" s="4" t="str">
        <f>IFERROR(__xludf.DUMMYFUNCTION("""COMPUTED_VALUE"""),"cas_hmw")</f>
        <v>cas_hmw</v>
      </c>
      <c r="B14477" s="5">
        <f>IFERROR(__xludf.DUMMYFUNCTION("""COMPUTED_VALUE"""),44723.0)</f>
        <v>44723</v>
      </c>
      <c r="C14477" s="6">
        <f>IFERROR(__xludf.DUMMYFUNCTION("""COMPUTED_VALUE"""),0.34481481481634546)</f>
        <v>0.3448148148</v>
      </c>
      <c r="D14477" s="4">
        <f>IFERROR(__xludf.DUMMYFUNCTION("""COMPUTED_VALUE"""),12.922368)</f>
        <v>12.922368</v>
      </c>
      <c r="E14477" s="4">
        <f>IFERROR(__xludf.DUMMYFUNCTION("""COMPUTED_VALUE"""),80.139982)</f>
        <v>80.139982</v>
      </c>
      <c r="F14477" s="4">
        <f>IFERROR(__xludf.DUMMYFUNCTION("""COMPUTED_VALUE"""),2846.0)</f>
        <v>2846</v>
      </c>
      <c r="G14477" s="4">
        <f>IFERROR(__xludf.DUMMYFUNCTION("""COMPUTED_VALUE"""),30.0)</f>
        <v>30</v>
      </c>
      <c r="H14477" s="4"/>
      <c r="I14477" s="4"/>
    </row>
    <row r="14478">
      <c r="A14478" s="4" t="str">
        <f>IFERROR(__xludf.DUMMYFUNCTION("""COMPUTED_VALUE"""),"cas_hmw")</f>
        <v>cas_hmw</v>
      </c>
      <c r="B14478" s="5">
        <f>IFERROR(__xludf.DUMMYFUNCTION("""COMPUTED_VALUE"""),44723.0)</f>
        <v>44723</v>
      </c>
      <c r="C14478" s="6">
        <f>IFERROR(__xludf.DUMMYFUNCTION("""COMPUTED_VALUE"""),0.3453125000014552)</f>
        <v>0.3453125</v>
      </c>
      <c r="D14478" s="4">
        <f>IFERROR(__xludf.DUMMYFUNCTION("""COMPUTED_VALUE"""),12.940966)</f>
        <v>12.940966</v>
      </c>
      <c r="E14478" s="4">
        <f>IFERROR(__xludf.DUMMYFUNCTION("""COMPUTED_VALUE"""),80.131615)</f>
        <v>80.131615</v>
      </c>
      <c r="F14478" s="4">
        <f>IFERROR(__xludf.DUMMYFUNCTION("""COMPUTED_VALUE"""),805.0)</f>
        <v>805</v>
      </c>
      <c r="G14478" s="4">
        <f>IFERROR(__xludf.DUMMYFUNCTION("""COMPUTED_VALUE"""),56.0)</f>
        <v>56</v>
      </c>
      <c r="H14478" s="4"/>
      <c r="I14478" s="4"/>
    </row>
    <row r="14479">
      <c r="A14479" s="4" t="str">
        <f>IFERROR(__xludf.DUMMYFUNCTION("""COMPUTED_VALUE"""),"cas_hmw")</f>
        <v>cas_hmw</v>
      </c>
      <c r="B14479" s="5">
        <f>IFERROR(__xludf.DUMMYFUNCTION("""COMPUTED_VALUE"""),44723.0)</f>
        <v>44723</v>
      </c>
      <c r="C14479" s="6">
        <f>IFERROR(__xludf.DUMMYFUNCTION("""COMPUTED_VALUE"""),0.3456712962979509)</f>
        <v>0.3456712963</v>
      </c>
      <c r="D14479" s="4">
        <f>IFERROR(__xludf.DUMMYFUNCTION("""COMPUTED_VALUE"""),12.922523)</f>
        <v>12.922523</v>
      </c>
      <c r="E14479" s="4">
        <f>IFERROR(__xludf.DUMMYFUNCTION("""COMPUTED_VALUE"""),80.13622)</f>
        <v>80.13622</v>
      </c>
      <c r="F14479" s="4">
        <f>IFERROR(__xludf.DUMMYFUNCTION("""COMPUTED_VALUE"""),2846.0)</f>
        <v>2846</v>
      </c>
      <c r="G14479" s="4">
        <f>IFERROR(__xludf.DUMMYFUNCTION("""COMPUTED_VALUE"""),31.0)</f>
        <v>31</v>
      </c>
      <c r="H14479" s="4"/>
      <c r="I14479" s="4"/>
    </row>
    <row r="14480">
      <c r="A14480" s="4" t="str">
        <f>IFERROR(__xludf.DUMMYFUNCTION("""COMPUTED_VALUE"""),"cas_hmw")</f>
        <v>cas_hmw</v>
      </c>
      <c r="B14480" s="5">
        <f>IFERROR(__xludf.DUMMYFUNCTION("""COMPUTED_VALUE"""),44723.0)</f>
        <v>44723</v>
      </c>
      <c r="C14480" s="6">
        <f>IFERROR(__xludf.DUMMYFUNCTION("""COMPUTED_VALUE"""),0.3457175925941556)</f>
        <v>0.3457175926</v>
      </c>
      <c r="D14480" s="4">
        <f>IFERROR(__xludf.DUMMYFUNCTION("""COMPUTED_VALUE"""),12.938021)</f>
        <v>12.938021</v>
      </c>
      <c r="E14480" s="4">
        <f>IFERROR(__xludf.DUMMYFUNCTION("""COMPUTED_VALUE"""),80.128838)</f>
        <v>80.128838</v>
      </c>
      <c r="F14480" s="4">
        <f>IFERROR(__xludf.DUMMYFUNCTION("""COMPUTED_VALUE"""),805.0)</f>
        <v>805</v>
      </c>
      <c r="G14480" s="4">
        <f>IFERROR(__xludf.DUMMYFUNCTION("""COMPUTED_VALUE"""),51.0)</f>
        <v>51</v>
      </c>
      <c r="H14480" s="4"/>
      <c r="I14480" s="4"/>
    </row>
    <row r="14481">
      <c r="A14481" s="4" t="str">
        <f>IFERROR(__xludf.DUMMYFUNCTION("""COMPUTED_VALUE"""),"cas_hmw")</f>
        <v>cas_hmw</v>
      </c>
      <c r="B14481" s="5">
        <f>IFERROR(__xludf.DUMMYFUNCTION("""COMPUTED_VALUE"""),44723.0)</f>
        <v>44723</v>
      </c>
      <c r="C14481" s="6">
        <f>IFERROR(__xludf.DUMMYFUNCTION("""COMPUTED_VALUE"""),0.34623842592554865)</f>
        <v>0.3462384259</v>
      </c>
      <c r="D14481" s="4">
        <f>IFERROR(__xludf.DUMMYFUNCTION("""COMPUTED_VALUE"""),12.93502)</f>
        <v>12.93502</v>
      </c>
      <c r="E14481" s="4">
        <f>IFERROR(__xludf.DUMMYFUNCTION("""COMPUTED_VALUE"""),80.126174)</f>
        <v>80.126174</v>
      </c>
      <c r="F14481" s="4">
        <f>IFERROR(__xludf.DUMMYFUNCTION("""COMPUTED_VALUE"""),805.0)</f>
        <v>805</v>
      </c>
      <c r="G14481" s="4">
        <f>IFERROR(__xludf.DUMMYFUNCTION("""COMPUTED_VALUE"""),39.0)</f>
        <v>39</v>
      </c>
      <c r="H14481" s="4"/>
      <c r="I14481" s="4"/>
    </row>
    <row r="14482">
      <c r="A14482" s="4" t="str">
        <f>IFERROR(__xludf.DUMMYFUNCTION("""COMPUTED_VALUE"""),"cas_hmw")</f>
        <v>cas_hmw</v>
      </c>
      <c r="B14482" s="5">
        <f>IFERROR(__xludf.DUMMYFUNCTION("""COMPUTED_VALUE"""),44723.0)</f>
        <v>44723</v>
      </c>
      <c r="C14482" s="6">
        <f>IFERROR(__xludf.DUMMYFUNCTION("""COMPUTED_VALUE"""),0.3463773148141627)</f>
        <v>0.3463773148</v>
      </c>
      <c r="D14482" s="4">
        <f>IFERROR(__xludf.DUMMYFUNCTION("""COMPUTED_VALUE"""),12.9342)</f>
        <v>12.9342</v>
      </c>
      <c r="E14482" s="4">
        <f>IFERROR(__xludf.DUMMYFUNCTION("""COMPUTED_VALUE"""),80.125436)</f>
        <v>80.125436</v>
      </c>
      <c r="F14482" s="4">
        <f>IFERROR(__xludf.DUMMYFUNCTION("""COMPUTED_VALUE"""),805.0)</f>
        <v>805</v>
      </c>
      <c r="G14482" s="4">
        <f>IFERROR(__xludf.DUMMYFUNCTION("""COMPUTED_VALUE"""),46.0)</f>
        <v>46</v>
      </c>
      <c r="H14482" s="4"/>
      <c r="I14482" s="4"/>
    </row>
    <row r="14483">
      <c r="A14483" s="4" t="str">
        <f>IFERROR(__xludf.DUMMYFUNCTION("""COMPUTED_VALUE"""),"cas_hmw")</f>
        <v>cas_hmw</v>
      </c>
      <c r="B14483" s="5">
        <f>IFERROR(__xludf.DUMMYFUNCTION("""COMPUTED_VALUE"""),44723.0)</f>
        <v>44723</v>
      </c>
      <c r="C14483" s="6">
        <f>IFERROR(__xludf.DUMMYFUNCTION("""COMPUTED_VALUE"""),0.34652777777955635)</f>
        <v>0.3465277778</v>
      </c>
      <c r="D14483" s="4">
        <f>IFERROR(__xludf.DUMMYFUNCTION("""COMPUTED_VALUE"""),12.933208)</f>
        <v>12.933208</v>
      </c>
      <c r="E14483" s="4">
        <f>IFERROR(__xludf.DUMMYFUNCTION("""COMPUTED_VALUE"""),80.124504)</f>
        <v>80.124504</v>
      </c>
      <c r="F14483" s="4">
        <f>IFERROR(__xludf.DUMMYFUNCTION("""COMPUTED_VALUE"""),805.0)</f>
        <v>805</v>
      </c>
      <c r="G14483" s="4">
        <f>IFERROR(__xludf.DUMMYFUNCTION("""COMPUTED_VALUE"""),55.0)</f>
        <v>55</v>
      </c>
      <c r="H14483" s="4"/>
      <c r="I14483" s="4"/>
    </row>
    <row r="14484">
      <c r="A14484" s="4" t="str">
        <f>IFERROR(__xludf.DUMMYFUNCTION("""COMPUTED_VALUE"""),"cas_hmw")</f>
        <v>cas_hmw</v>
      </c>
      <c r="B14484" s="5">
        <f>IFERROR(__xludf.DUMMYFUNCTION("""COMPUTED_VALUE"""),44723.0)</f>
        <v>44723</v>
      </c>
      <c r="C14484" s="6">
        <f>IFERROR(__xludf.DUMMYFUNCTION("""COMPUTED_VALUE"""),0.3469444444453984)</f>
        <v>0.3469444444</v>
      </c>
      <c r="D14484" s="4">
        <f>IFERROR(__xludf.DUMMYFUNCTION("""COMPUTED_VALUE"""),12.922757)</f>
        <v>12.922757</v>
      </c>
      <c r="E14484" s="4">
        <f>IFERROR(__xludf.DUMMYFUNCTION("""COMPUTED_VALUE"""),80.130786)</f>
        <v>80.130786</v>
      </c>
      <c r="F14484" s="4">
        <f>IFERROR(__xludf.DUMMYFUNCTION("""COMPUTED_VALUE"""),2846.0)</f>
        <v>2846</v>
      </c>
      <c r="G14484" s="4">
        <f>IFERROR(__xludf.DUMMYFUNCTION("""COMPUTED_VALUE"""),33.0)</f>
        <v>33</v>
      </c>
      <c r="H14484" s="4"/>
      <c r="I14484" s="4"/>
    </row>
    <row r="14485">
      <c r="A14485" s="4" t="str">
        <f>IFERROR(__xludf.DUMMYFUNCTION("""COMPUTED_VALUE"""),"cas_hmw")</f>
        <v>cas_hmw</v>
      </c>
      <c r="B14485" s="5">
        <f>IFERROR(__xludf.DUMMYFUNCTION("""COMPUTED_VALUE"""),44723.0)</f>
        <v>44723</v>
      </c>
      <c r="C14485" s="6">
        <f>IFERROR(__xludf.DUMMYFUNCTION("""COMPUTED_VALUE"""),0.3472337962957681)</f>
        <v>0.3472337963</v>
      </c>
      <c r="D14485" s="4">
        <f>IFERROR(__xludf.DUMMYFUNCTION("""COMPUTED_VALUE"""),12.922837)</f>
        <v>12.922837</v>
      </c>
      <c r="E14485" s="4">
        <f>IFERROR(__xludf.DUMMYFUNCTION("""COMPUTED_VALUE"""),80.129381)</f>
        <v>80.129381</v>
      </c>
      <c r="F14485" s="4">
        <f>IFERROR(__xludf.DUMMYFUNCTION("""COMPUTED_VALUE"""),2846.0)</f>
        <v>2846</v>
      </c>
      <c r="G14485" s="4">
        <f>IFERROR(__xludf.DUMMYFUNCTION("""COMPUTED_VALUE"""),29.0)</f>
        <v>29</v>
      </c>
      <c r="H14485" s="4"/>
      <c r="I14485" s="4"/>
    </row>
    <row r="14486">
      <c r="A14486" s="4" t="str">
        <f>IFERROR(__xludf.DUMMYFUNCTION("""COMPUTED_VALUE"""),"cas_hmw")</f>
        <v>cas_hmw</v>
      </c>
      <c r="B14486" s="5">
        <f>IFERROR(__xludf.DUMMYFUNCTION("""COMPUTED_VALUE"""),44723.0)</f>
        <v>44723</v>
      </c>
      <c r="C14486" s="6">
        <f>IFERROR(__xludf.DUMMYFUNCTION("""COMPUTED_VALUE"""),0.3473842592575238)</f>
        <v>0.3473842593</v>
      </c>
      <c r="D14486" s="4">
        <f>IFERROR(__xludf.DUMMYFUNCTION("""COMPUTED_VALUE"""),12.929801)</f>
        <v>12.929801</v>
      </c>
      <c r="E14486" s="4">
        <f>IFERROR(__xludf.DUMMYFUNCTION("""COMPUTED_VALUE"""),80.121037)</f>
        <v>80.121037</v>
      </c>
      <c r="F14486" s="4">
        <f>IFERROR(__xludf.DUMMYFUNCTION("""COMPUTED_VALUE"""),805.0)</f>
        <v>805</v>
      </c>
      <c r="G14486" s="4">
        <f>IFERROR(__xludf.DUMMYFUNCTION("""COMPUTED_VALUE"""),51.0)</f>
        <v>51</v>
      </c>
      <c r="H14486" s="4"/>
      <c r="I14486" s="4"/>
    </row>
    <row r="14487">
      <c r="A14487" s="4" t="str">
        <f>IFERROR(__xludf.DUMMYFUNCTION("""COMPUTED_VALUE"""),"cas_hmw")</f>
        <v>cas_hmw</v>
      </c>
      <c r="B14487" s="5">
        <f>IFERROR(__xludf.DUMMYFUNCTION("""COMPUTED_VALUE"""),44723.0)</f>
        <v>44723</v>
      </c>
      <c r="C14487" s="6">
        <f>IFERROR(__xludf.DUMMYFUNCTION("""COMPUTED_VALUE"""),0.3486111111124046)</f>
        <v>0.3486111111</v>
      </c>
      <c r="D14487" s="4">
        <f>IFERROR(__xludf.DUMMYFUNCTION("""COMPUTED_VALUE"""),12.923371)</f>
        <v>12.923371</v>
      </c>
      <c r="E14487" s="4">
        <f>IFERROR(__xludf.DUMMYFUNCTION("""COMPUTED_VALUE"""),80.119097)</f>
        <v>80.119097</v>
      </c>
      <c r="F14487" s="4">
        <f>IFERROR(__xludf.DUMMYFUNCTION("""COMPUTED_VALUE"""),2846.0)</f>
        <v>2846</v>
      </c>
      <c r="G14487" s="4">
        <f>IFERROR(__xludf.DUMMYFUNCTION("""COMPUTED_VALUE"""),51.0)</f>
        <v>51</v>
      </c>
      <c r="H14487" s="4"/>
      <c r="I14487" s="4"/>
    </row>
    <row r="14488">
      <c r="A14488" s="4" t="str">
        <f>IFERROR(__xludf.DUMMYFUNCTION("""COMPUTED_VALUE"""),"cas_hmw")</f>
        <v>cas_hmw</v>
      </c>
      <c r="B14488" s="5">
        <f>IFERROR(__xludf.DUMMYFUNCTION("""COMPUTED_VALUE"""),44723.0)</f>
        <v>44723</v>
      </c>
      <c r="C14488" s="6">
        <f>IFERROR(__xludf.DUMMYFUNCTION("""COMPUTED_VALUE"""),0.3489930555551837)</f>
        <v>0.3489930556</v>
      </c>
      <c r="D14488" s="4">
        <f>IFERROR(__xludf.DUMMYFUNCTION("""COMPUTED_VALUE"""),12.92723)</f>
        <v>12.92723</v>
      </c>
      <c r="E14488" s="4">
        <f>IFERROR(__xludf.DUMMYFUNCTION("""COMPUTED_VALUE"""),80.118412)</f>
        <v>80.118412</v>
      </c>
      <c r="F14488" s="4">
        <f>IFERROR(__xludf.DUMMYFUNCTION("""COMPUTED_VALUE"""),805.0)</f>
        <v>805</v>
      </c>
      <c r="G14488" s="4">
        <f>IFERROR(__xludf.DUMMYFUNCTION("""COMPUTED_VALUE"""),22.0)</f>
        <v>22</v>
      </c>
      <c r="H14488" s="4"/>
      <c r="I14488" s="4"/>
    </row>
    <row r="14489">
      <c r="A14489" s="4" t="str">
        <f>IFERROR(__xludf.DUMMYFUNCTION("""COMPUTED_VALUE"""),"cas_hmw")</f>
        <v>cas_hmw</v>
      </c>
      <c r="B14489" s="5">
        <f>IFERROR(__xludf.DUMMYFUNCTION("""COMPUTED_VALUE"""),44723.0)</f>
        <v>44723</v>
      </c>
      <c r="C14489" s="6">
        <f>IFERROR(__xludf.DUMMYFUNCTION("""COMPUTED_VALUE"""),0.34910879629751435)</f>
        <v>0.3491087963</v>
      </c>
      <c r="D14489" s="4">
        <f>IFERROR(__xludf.DUMMYFUNCTION("""COMPUTED_VALUE"""),12.92723)</f>
        <v>12.92723</v>
      </c>
      <c r="E14489" s="4">
        <f>IFERROR(__xludf.DUMMYFUNCTION("""COMPUTED_VALUE"""),80.118412)</f>
        <v>80.118412</v>
      </c>
      <c r="F14489" s="4">
        <f>IFERROR(__xludf.DUMMYFUNCTION("""COMPUTED_VALUE"""),805.0)</f>
        <v>805</v>
      </c>
      <c r="G14489" s="4">
        <f>IFERROR(__xludf.DUMMYFUNCTION("""COMPUTED_VALUE"""),22.0)</f>
        <v>22</v>
      </c>
      <c r="H14489" s="4"/>
      <c r="I14489" s="4"/>
    </row>
    <row r="14490">
      <c r="A14490" s="4" t="str">
        <f>IFERROR(__xludf.DUMMYFUNCTION("""COMPUTED_VALUE"""),"cas_hmw")</f>
        <v>cas_hmw</v>
      </c>
      <c r="B14490" s="5">
        <f>IFERROR(__xludf.DUMMYFUNCTION("""COMPUTED_VALUE"""),44723.0)</f>
        <v>44723</v>
      </c>
      <c r="C14490" s="6">
        <f>IFERROR(__xludf.DUMMYFUNCTION("""COMPUTED_VALUE"""),0.34958333333270275)</f>
        <v>0.3495833333</v>
      </c>
      <c r="D14490" s="4">
        <f>IFERROR(__xludf.DUMMYFUNCTION("""COMPUTED_VALUE"""),12.92723)</f>
        <v>12.92723</v>
      </c>
      <c r="E14490" s="4">
        <f>IFERROR(__xludf.DUMMYFUNCTION("""COMPUTED_VALUE"""),80.118412)</f>
        <v>80.118412</v>
      </c>
      <c r="F14490" s="4">
        <f>IFERROR(__xludf.DUMMYFUNCTION("""COMPUTED_VALUE"""),805.0)</f>
        <v>805</v>
      </c>
      <c r="G14490" s="4">
        <f>IFERROR(__xludf.DUMMYFUNCTION("""COMPUTED_VALUE"""),22.0)</f>
        <v>22</v>
      </c>
      <c r="H14490" s="4"/>
      <c r="I14490" s="4"/>
    </row>
    <row r="14491">
      <c r="A14491" s="4" t="str">
        <f>IFERROR(__xludf.DUMMYFUNCTION("""COMPUTED_VALUE"""),"cas_hmw")</f>
        <v>cas_hmw</v>
      </c>
      <c r="B14491" s="5">
        <f>IFERROR(__xludf.DUMMYFUNCTION("""COMPUTED_VALUE"""),44723.0)</f>
        <v>44723</v>
      </c>
      <c r="C14491" s="6">
        <f>IFERROR(__xludf.DUMMYFUNCTION("""COMPUTED_VALUE"""),0.3496412037020491)</f>
        <v>0.3496412037</v>
      </c>
      <c r="D14491" s="4">
        <f>IFERROR(__xludf.DUMMYFUNCTION("""COMPUTED_VALUE"""),12.92723)</f>
        <v>12.92723</v>
      </c>
      <c r="E14491" s="4">
        <f>IFERROR(__xludf.DUMMYFUNCTION("""COMPUTED_VALUE"""),80.118412)</f>
        <v>80.118412</v>
      </c>
      <c r="F14491" s="4">
        <f>IFERROR(__xludf.DUMMYFUNCTION("""COMPUTED_VALUE"""),805.0)</f>
        <v>805</v>
      </c>
      <c r="G14491" s="4">
        <f>IFERROR(__xludf.DUMMYFUNCTION("""COMPUTED_VALUE"""),22.0)</f>
        <v>22</v>
      </c>
      <c r="H14491" s="4"/>
      <c r="I14491" s="4"/>
    </row>
    <row r="14492">
      <c r="A14492" s="4" t="str">
        <f>IFERROR(__xludf.DUMMYFUNCTION("""COMPUTED_VALUE"""),"cas_hmw")</f>
        <v>cas_hmw</v>
      </c>
      <c r="B14492" s="5">
        <f>IFERROR(__xludf.DUMMYFUNCTION("""COMPUTED_VALUE"""),44723.0)</f>
        <v>44723</v>
      </c>
      <c r="C14492" s="6">
        <f>IFERROR(__xludf.DUMMYFUNCTION("""COMPUTED_VALUE"""),0.35002314814846613)</f>
        <v>0.3500231481</v>
      </c>
      <c r="D14492" s="4">
        <f>IFERROR(__xludf.DUMMYFUNCTION("""COMPUTED_VALUE"""),12.92723)</f>
        <v>12.92723</v>
      </c>
      <c r="E14492" s="4">
        <f>IFERROR(__xludf.DUMMYFUNCTION("""COMPUTED_VALUE"""),80.118412)</f>
        <v>80.118412</v>
      </c>
      <c r="F14492" s="4">
        <f>IFERROR(__xludf.DUMMYFUNCTION("""COMPUTED_VALUE"""),805.0)</f>
        <v>805</v>
      </c>
      <c r="G14492" s="4">
        <f>IFERROR(__xludf.DUMMYFUNCTION("""COMPUTED_VALUE"""),22.0)</f>
        <v>22</v>
      </c>
      <c r="H14492" s="4"/>
      <c r="I14492" s="4"/>
    </row>
    <row r="14493">
      <c r="A14493" s="4" t="str">
        <f>IFERROR(__xludf.DUMMYFUNCTION("""COMPUTED_VALUE"""),"cas_hmw")</f>
        <v>cas_hmw</v>
      </c>
      <c r="B14493" s="5">
        <f>IFERROR(__xludf.DUMMYFUNCTION("""COMPUTED_VALUE"""),44723.0)</f>
        <v>44723</v>
      </c>
      <c r="C14493" s="6">
        <f>IFERROR(__xludf.DUMMYFUNCTION("""COMPUTED_VALUE"""),0.35005787037152913)</f>
        <v>0.3500578704</v>
      </c>
      <c r="D14493" s="4">
        <f>IFERROR(__xludf.DUMMYFUNCTION("""COMPUTED_VALUE"""),12.919919)</f>
        <v>12.919919</v>
      </c>
      <c r="E14493" s="4">
        <f>IFERROR(__xludf.DUMMYFUNCTION("""COMPUTED_VALUE"""),80.111008)</f>
        <v>80.111008</v>
      </c>
      <c r="F14493" s="4">
        <f>IFERROR(__xludf.DUMMYFUNCTION("""COMPUTED_VALUE"""),2846.0)</f>
        <v>2846</v>
      </c>
      <c r="G14493" s="4">
        <f>IFERROR(__xludf.DUMMYFUNCTION("""COMPUTED_VALUE"""),54.0)</f>
        <v>54</v>
      </c>
      <c r="H14493" s="4"/>
      <c r="I14493" s="4"/>
    </row>
    <row r="14494">
      <c r="A14494" s="4" t="str">
        <f>IFERROR(__xludf.DUMMYFUNCTION("""COMPUTED_VALUE"""),"cas_hmw")</f>
        <v>cas_hmw</v>
      </c>
      <c r="B14494" s="5">
        <f>IFERROR(__xludf.DUMMYFUNCTION("""COMPUTED_VALUE"""),44723.0)</f>
        <v>44723</v>
      </c>
      <c r="C14494" s="6">
        <f>IFERROR(__xludf.DUMMYFUNCTION("""COMPUTED_VALUE"""),0.35052083333357587)</f>
        <v>0.3505208333</v>
      </c>
      <c r="D14494" s="4">
        <f>IFERROR(__xludf.DUMMYFUNCTION("""COMPUTED_VALUE"""),12.92723)</f>
        <v>12.92723</v>
      </c>
      <c r="E14494" s="4">
        <f>IFERROR(__xludf.DUMMYFUNCTION("""COMPUTED_VALUE"""),80.118412)</f>
        <v>80.118412</v>
      </c>
      <c r="F14494" s="4">
        <f>IFERROR(__xludf.DUMMYFUNCTION("""COMPUTED_VALUE"""),805.0)</f>
        <v>805</v>
      </c>
      <c r="G14494" s="4">
        <f>IFERROR(__xludf.DUMMYFUNCTION("""COMPUTED_VALUE"""),22.0)</f>
        <v>22</v>
      </c>
      <c r="H14494" s="4"/>
      <c r="I14494" s="4"/>
    </row>
    <row r="14495">
      <c r="A14495" s="4" t="str">
        <f>IFERROR(__xludf.DUMMYFUNCTION("""COMPUTED_VALUE"""),"cas_hmw")</f>
        <v>cas_hmw</v>
      </c>
      <c r="B14495" s="5">
        <f>IFERROR(__xludf.DUMMYFUNCTION("""COMPUTED_VALUE"""),44723.0)</f>
        <v>44723</v>
      </c>
      <c r="C14495" s="6">
        <f>IFERROR(__xludf.DUMMYFUNCTION("""COMPUTED_VALUE"""),0.35082175926072523)</f>
        <v>0.3508217593</v>
      </c>
      <c r="D14495" s="4">
        <f>IFERROR(__xludf.DUMMYFUNCTION("""COMPUTED_VALUE"""),12.92723)</f>
        <v>12.92723</v>
      </c>
      <c r="E14495" s="4">
        <f>IFERROR(__xludf.DUMMYFUNCTION("""COMPUTED_VALUE"""),80.118412)</f>
        <v>80.118412</v>
      </c>
      <c r="F14495" s="4">
        <f>IFERROR(__xludf.DUMMYFUNCTION("""COMPUTED_VALUE"""),805.0)</f>
        <v>805</v>
      </c>
      <c r="G14495" s="4">
        <f>IFERROR(__xludf.DUMMYFUNCTION("""COMPUTED_VALUE"""),22.0)</f>
        <v>22</v>
      </c>
      <c r="H14495" s="4"/>
      <c r="I14495" s="4"/>
    </row>
    <row r="14496">
      <c r="A14496" s="4" t="str">
        <f>IFERROR(__xludf.DUMMYFUNCTION("""COMPUTED_VALUE"""),"cas_hmw")</f>
        <v>cas_hmw</v>
      </c>
      <c r="B14496" s="5">
        <f>IFERROR(__xludf.DUMMYFUNCTION("""COMPUTED_VALUE"""),44723.0)</f>
        <v>44723</v>
      </c>
      <c r="C14496" s="6">
        <f>IFERROR(__xludf.DUMMYFUNCTION("""COMPUTED_VALUE"""),0.3509837962956226)</f>
        <v>0.3509837963</v>
      </c>
      <c r="D14496" s="4">
        <f>IFERROR(__xludf.DUMMYFUNCTION("""COMPUTED_VALUE"""),12.917088)</f>
        <v>12.917088</v>
      </c>
      <c r="E14496" s="4">
        <f>IFERROR(__xludf.DUMMYFUNCTION("""COMPUTED_VALUE"""),80.107312)</f>
        <v>80.107312</v>
      </c>
      <c r="F14496" s="4">
        <f>IFERROR(__xludf.DUMMYFUNCTION("""COMPUTED_VALUE"""),2846.0)</f>
        <v>2846</v>
      </c>
      <c r="G14496" s="4">
        <f>IFERROR(__xludf.DUMMYFUNCTION("""COMPUTED_VALUE"""),12.0)</f>
        <v>12</v>
      </c>
      <c r="H14496" s="4"/>
      <c r="I14496" s="4"/>
    </row>
    <row r="14497">
      <c r="A14497" s="4" t="str">
        <f>IFERROR(__xludf.DUMMYFUNCTION("""COMPUTED_VALUE"""),"cas_hmw")</f>
        <v>cas_hmw</v>
      </c>
      <c r="B14497" s="5">
        <f>IFERROR(__xludf.DUMMYFUNCTION("""COMPUTED_VALUE"""),44723.0)</f>
        <v>44723</v>
      </c>
      <c r="C14497" s="6">
        <f>IFERROR(__xludf.DUMMYFUNCTION("""COMPUTED_VALUE"""),0.3510532407417486)</f>
        <v>0.3510532407</v>
      </c>
      <c r="D14497" s="4">
        <f>IFERROR(__xludf.DUMMYFUNCTION("""COMPUTED_VALUE"""),12.92723)</f>
        <v>12.92723</v>
      </c>
      <c r="E14497" s="4">
        <f>IFERROR(__xludf.DUMMYFUNCTION("""COMPUTED_VALUE"""),80.118412)</f>
        <v>80.118412</v>
      </c>
      <c r="F14497" s="4">
        <f>IFERROR(__xludf.DUMMYFUNCTION("""COMPUTED_VALUE"""),805.0)</f>
        <v>805</v>
      </c>
      <c r="G14497" s="4">
        <f>IFERROR(__xludf.DUMMYFUNCTION("""COMPUTED_VALUE"""),22.0)</f>
        <v>22</v>
      </c>
      <c r="H14497" s="4"/>
      <c r="I14497" s="4"/>
    </row>
    <row r="14498">
      <c r="A14498" s="4" t="str">
        <f>IFERROR(__xludf.DUMMYFUNCTION("""COMPUTED_VALUE"""),"cas_hmw")</f>
        <v>cas_hmw</v>
      </c>
      <c r="B14498" s="5">
        <f>IFERROR(__xludf.DUMMYFUNCTION("""COMPUTED_VALUE"""),44723.0)</f>
        <v>44723</v>
      </c>
      <c r="C14498" s="6">
        <f>IFERROR(__xludf.DUMMYFUNCTION("""COMPUTED_VALUE"""),0.35113425926101627)</f>
        <v>0.3511342593</v>
      </c>
      <c r="D14498" s="4">
        <f>IFERROR(__xludf.DUMMYFUNCTION("""COMPUTED_VALUE"""),12.917088)</f>
        <v>12.917088</v>
      </c>
      <c r="E14498" s="4">
        <f>IFERROR(__xludf.DUMMYFUNCTION("""COMPUTED_VALUE"""),80.107312)</f>
        <v>80.107312</v>
      </c>
      <c r="F14498" s="4">
        <f>IFERROR(__xludf.DUMMYFUNCTION("""COMPUTED_VALUE"""),2846.0)</f>
        <v>2846</v>
      </c>
      <c r="G14498" s="4">
        <f>IFERROR(__xludf.DUMMYFUNCTION("""COMPUTED_VALUE"""),12.0)</f>
        <v>12</v>
      </c>
      <c r="H14498" s="4"/>
      <c r="I14498" s="4"/>
    </row>
    <row r="14499">
      <c r="A14499" s="4" t="str">
        <f>IFERROR(__xludf.DUMMYFUNCTION("""COMPUTED_VALUE"""),"cas_hmw")</f>
        <v>cas_hmw</v>
      </c>
      <c r="B14499" s="5">
        <f>IFERROR(__xludf.DUMMYFUNCTION("""COMPUTED_VALUE"""),44723.0)</f>
        <v>44723</v>
      </c>
      <c r="C14499" s="6">
        <f>IFERROR(__xludf.DUMMYFUNCTION("""COMPUTED_VALUE"""),0.3517476851848187)</f>
        <v>0.3517476852</v>
      </c>
      <c r="D14499" s="4">
        <f>IFERROR(__xludf.DUMMYFUNCTION("""COMPUTED_VALUE"""),12.908532)</f>
        <v>12.908532</v>
      </c>
      <c r="E14499" s="4">
        <f>IFERROR(__xludf.DUMMYFUNCTION("""COMPUTED_VALUE"""),80.098186)</f>
        <v>80.098186</v>
      </c>
      <c r="F14499" s="4">
        <f>IFERROR(__xludf.DUMMYFUNCTION("""COMPUTED_VALUE"""),805.0)</f>
        <v>805</v>
      </c>
      <c r="G14499" s="4">
        <f>IFERROR(__xludf.DUMMYFUNCTION("""COMPUTED_VALUE"""),28.0)</f>
        <v>28</v>
      </c>
      <c r="H14499" s="4"/>
      <c r="I14499" s="4"/>
    </row>
    <row r="14500">
      <c r="A14500" s="4" t="str">
        <f>IFERROR(__xludf.DUMMYFUNCTION("""COMPUTED_VALUE"""),"cas_hmw")</f>
        <v>cas_hmw</v>
      </c>
      <c r="B14500" s="5">
        <f>IFERROR(__xludf.DUMMYFUNCTION("""COMPUTED_VALUE"""),44723.0)</f>
        <v>44723</v>
      </c>
      <c r="C14500" s="6">
        <f>IFERROR(__xludf.DUMMYFUNCTION("""COMPUTED_VALUE"""),0.3518171296309447)</f>
        <v>0.3518171296</v>
      </c>
      <c r="D14500" s="4">
        <f>IFERROR(__xludf.DUMMYFUNCTION("""COMPUTED_VALUE"""),12.908532)</f>
        <v>12.908532</v>
      </c>
      <c r="E14500" s="4">
        <f>IFERROR(__xludf.DUMMYFUNCTION("""COMPUTED_VALUE"""),80.098186)</f>
        <v>80.098186</v>
      </c>
      <c r="F14500" s="4">
        <f>IFERROR(__xludf.DUMMYFUNCTION("""COMPUTED_VALUE"""),805.0)</f>
        <v>805</v>
      </c>
      <c r="G14500" s="4">
        <f>IFERROR(__xludf.DUMMYFUNCTION("""COMPUTED_VALUE"""),28.0)</f>
        <v>28</v>
      </c>
      <c r="H14500" s="4"/>
      <c r="I14500" s="4"/>
    </row>
    <row r="14501">
      <c r="A14501" s="4" t="str">
        <f>IFERROR(__xludf.DUMMYFUNCTION("""COMPUTED_VALUE"""),"cas_hmw")</f>
        <v>cas_hmw</v>
      </c>
      <c r="B14501" s="5">
        <f>IFERROR(__xludf.DUMMYFUNCTION("""COMPUTED_VALUE"""),44723.0)</f>
        <v>44723</v>
      </c>
      <c r="C14501" s="6">
        <f>IFERROR(__xludf.DUMMYFUNCTION("""COMPUTED_VALUE"""),0.3521180555544561)</f>
        <v>0.3521180556</v>
      </c>
      <c r="D14501" s="4">
        <f>IFERROR(__xludf.DUMMYFUNCTION("""COMPUTED_VALUE"""),12.907412)</f>
        <v>12.907412</v>
      </c>
      <c r="E14501" s="4">
        <f>IFERROR(__xludf.DUMMYFUNCTION("""COMPUTED_VALUE"""),80.097249)</f>
        <v>80.097249</v>
      </c>
      <c r="F14501" s="4">
        <f>IFERROR(__xludf.DUMMYFUNCTION("""COMPUTED_VALUE"""),805.0)</f>
        <v>805</v>
      </c>
      <c r="G14501" s="4">
        <f>IFERROR(__xludf.DUMMYFUNCTION("""COMPUTED_VALUE"""),24.0)</f>
        <v>24</v>
      </c>
      <c r="H14501" s="4"/>
      <c r="I14501" s="4"/>
    </row>
    <row r="14502">
      <c r="A14502" s="4" t="str">
        <f>IFERROR(__xludf.DUMMYFUNCTION("""COMPUTED_VALUE"""),"cas_hmw")</f>
        <v>cas_hmw</v>
      </c>
      <c r="B14502" s="5">
        <f>IFERROR(__xludf.DUMMYFUNCTION("""COMPUTED_VALUE"""),44723.0)</f>
        <v>44723</v>
      </c>
      <c r="C14502" s="6">
        <f>IFERROR(__xludf.DUMMYFUNCTION("""COMPUTED_VALUE"""),0.3529398148129985)</f>
        <v>0.3529398148</v>
      </c>
      <c r="D14502" s="4">
        <f>IFERROR(__xludf.DUMMYFUNCTION("""COMPUTED_VALUE"""),12.910561)</f>
        <v>12.910561</v>
      </c>
      <c r="E14502" s="4">
        <f>IFERROR(__xludf.DUMMYFUNCTION("""COMPUTED_VALUE"""),80.101047)</f>
        <v>80.101047</v>
      </c>
      <c r="F14502" s="4">
        <f>IFERROR(__xludf.DUMMYFUNCTION("""COMPUTED_VALUE"""),2846.0)</f>
        <v>2846</v>
      </c>
      <c r="G14502" s="4">
        <f>IFERROR(__xludf.DUMMYFUNCTION("""COMPUTED_VALUE"""),51.0)</f>
        <v>51</v>
      </c>
      <c r="H14502" s="4"/>
      <c r="I14502" s="4"/>
    </row>
    <row r="14503">
      <c r="A14503" s="4" t="str">
        <f>IFERROR(__xludf.DUMMYFUNCTION("""COMPUTED_VALUE"""),"cas_hmw")</f>
        <v>cas_hmw</v>
      </c>
      <c r="B14503" s="5">
        <f>IFERROR(__xludf.DUMMYFUNCTION("""COMPUTED_VALUE"""),44723.0)</f>
        <v>44723</v>
      </c>
      <c r="C14503" s="6">
        <f>IFERROR(__xludf.DUMMYFUNCTION("""COMPUTED_VALUE"""),0.3530787037052505)</f>
        <v>0.3530787037</v>
      </c>
      <c r="D14503" s="4">
        <f>IFERROR(__xludf.DUMMYFUNCTION("""COMPUTED_VALUE"""),12.905485)</f>
        <v>12.905485</v>
      </c>
      <c r="E14503" s="4">
        <f>IFERROR(__xludf.DUMMYFUNCTION("""COMPUTED_VALUE"""),80.095758)</f>
        <v>80.095758</v>
      </c>
      <c r="F14503" s="4">
        <f>IFERROR(__xludf.DUMMYFUNCTION("""COMPUTED_VALUE"""),805.0)</f>
        <v>805</v>
      </c>
      <c r="G14503" s="4">
        <f>IFERROR(__xludf.DUMMYFUNCTION("""COMPUTED_VALUE"""),27.0)</f>
        <v>27</v>
      </c>
      <c r="H14503" s="4"/>
      <c r="I14503" s="4"/>
    </row>
    <row r="14504">
      <c r="A14504" s="4" t="str">
        <f>IFERROR(__xludf.DUMMYFUNCTION("""COMPUTED_VALUE"""),"cas_hmw")</f>
        <v>cas_hmw</v>
      </c>
      <c r="B14504" s="5">
        <f>IFERROR(__xludf.DUMMYFUNCTION("""COMPUTED_VALUE"""),44723.0)</f>
        <v>44723</v>
      </c>
      <c r="C14504" s="6">
        <f>IFERROR(__xludf.DUMMYFUNCTION("""COMPUTED_VALUE"""),0.3539236111100763)</f>
        <v>0.3539236111</v>
      </c>
      <c r="D14504" s="4">
        <f>IFERROR(__xludf.DUMMYFUNCTION("""COMPUTED_VALUE"""),12.908302)</f>
        <v>12.908302</v>
      </c>
      <c r="E14504" s="4">
        <f>IFERROR(__xludf.DUMMYFUNCTION("""COMPUTED_VALUE"""),80.097912)</f>
        <v>80.097912</v>
      </c>
      <c r="F14504" s="4">
        <f>IFERROR(__xludf.DUMMYFUNCTION("""COMPUTED_VALUE"""),2846.0)</f>
        <v>2846</v>
      </c>
      <c r="G14504" s="4">
        <f>IFERROR(__xludf.DUMMYFUNCTION("""COMPUTED_VALUE"""),46.0)</f>
        <v>46</v>
      </c>
      <c r="H14504" s="4"/>
      <c r="I14504" s="4"/>
    </row>
    <row r="14505">
      <c r="A14505" s="4" t="str">
        <f>IFERROR(__xludf.DUMMYFUNCTION("""COMPUTED_VALUE"""),"cas_hmw")</f>
        <v>cas_hmw</v>
      </c>
      <c r="B14505" s="5">
        <f>IFERROR(__xludf.DUMMYFUNCTION("""COMPUTED_VALUE"""),44723.0)</f>
        <v>44723</v>
      </c>
      <c r="C14505" s="6">
        <f>IFERROR(__xludf.DUMMYFUNCTION("""COMPUTED_VALUE"""),0.35513888888817746)</f>
        <v>0.3551388889</v>
      </c>
      <c r="D14505" s="4">
        <f>IFERROR(__xludf.DUMMYFUNCTION("""COMPUTED_VALUE"""),12.904997)</f>
        <v>12.904997</v>
      </c>
      <c r="E14505" s="4">
        <f>IFERROR(__xludf.DUMMYFUNCTION("""COMPUTED_VALUE"""),80.095367)</f>
        <v>80.095367</v>
      </c>
      <c r="F14505" s="4">
        <f>IFERROR(__xludf.DUMMYFUNCTION("""COMPUTED_VALUE"""),2846.0)</f>
        <v>2846</v>
      </c>
      <c r="G14505" s="4">
        <f>IFERROR(__xludf.DUMMYFUNCTION("""COMPUTED_VALUE"""),15.0)</f>
        <v>15</v>
      </c>
      <c r="H14505" s="4"/>
      <c r="I14505" s="4"/>
    </row>
    <row r="14506">
      <c r="A14506" s="4" t="str">
        <f>IFERROR(__xludf.DUMMYFUNCTION("""COMPUTED_VALUE"""),"cas_hmw")</f>
        <v>cas_hmw</v>
      </c>
      <c r="B14506" s="5">
        <f>IFERROR(__xludf.DUMMYFUNCTION("""COMPUTED_VALUE"""),44723.0)</f>
        <v>44723</v>
      </c>
      <c r="C14506" s="6">
        <f>IFERROR(__xludf.DUMMYFUNCTION("""COMPUTED_VALUE"""),0.6917592592581059)</f>
        <v>0.6917592593</v>
      </c>
      <c r="D14506" s="4">
        <f>IFERROR(__xludf.DUMMYFUNCTION("""COMPUTED_VALUE"""),12.881364)</f>
        <v>12.881364</v>
      </c>
      <c r="E14506" s="4">
        <f>IFERROR(__xludf.DUMMYFUNCTION("""COMPUTED_VALUE"""),80.080612)</f>
        <v>80.080612</v>
      </c>
      <c r="F14506" s="4">
        <f>IFERROR(__xludf.DUMMYFUNCTION("""COMPUTED_VALUE"""),805.0)</f>
        <v>805</v>
      </c>
      <c r="G14506" s="4">
        <f>IFERROR(__xludf.DUMMYFUNCTION("""COMPUTED_VALUE"""),20.0)</f>
        <v>20</v>
      </c>
      <c r="H14506" s="4"/>
      <c r="I14506" s="4"/>
    </row>
    <row r="14507">
      <c r="A14507" s="4" t="str">
        <f>IFERROR(__xludf.DUMMYFUNCTION("""COMPUTED_VALUE"""),"cas_hmw")</f>
        <v>cas_hmw</v>
      </c>
      <c r="B14507" s="5">
        <f>IFERROR(__xludf.DUMMYFUNCTION("""COMPUTED_VALUE"""),44723.0)</f>
        <v>44723</v>
      </c>
      <c r="C14507" s="6">
        <f>IFERROR(__xludf.DUMMYFUNCTION("""COMPUTED_VALUE"""),0.6921412037045229)</f>
        <v>0.6921412037</v>
      </c>
      <c r="D14507" s="4">
        <f>IFERROR(__xludf.DUMMYFUNCTION("""COMPUTED_VALUE"""),12.883457)</f>
        <v>12.883457</v>
      </c>
      <c r="E14507" s="4">
        <f>IFERROR(__xludf.DUMMYFUNCTION("""COMPUTED_VALUE"""),80.081422)</f>
        <v>80.081422</v>
      </c>
      <c r="F14507" s="4">
        <f>IFERROR(__xludf.DUMMYFUNCTION("""COMPUTED_VALUE"""),805.0)</f>
        <v>805</v>
      </c>
      <c r="G14507" s="4">
        <f>IFERROR(__xludf.DUMMYFUNCTION("""COMPUTED_VALUE"""),28.0)</f>
        <v>28</v>
      </c>
      <c r="H14507" s="4"/>
      <c r="I14507" s="4"/>
    </row>
    <row r="14508">
      <c r="A14508" s="4" t="str">
        <f>IFERROR(__xludf.DUMMYFUNCTION("""COMPUTED_VALUE"""),"cas_hmw")</f>
        <v>cas_hmw</v>
      </c>
      <c r="B14508" s="5">
        <f>IFERROR(__xludf.DUMMYFUNCTION("""COMPUTED_VALUE"""),44723.0)</f>
        <v>44723</v>
      </c>
      <c r="C14508" s="6">
        <f>IFERROR(__xludf.DUMMYFUNCTION("""COMPUTED_VALUE"""),0.6933796296289074)</f>
        <v>0.6933796296</v>
      </c>
      <c r="D14508" s="4">
        <f>IFERROR(__xludf.DUMMYFUNCTION("""COMPUTED_VALUE"""),12.89587)</f>
        <v>12.89587</v>
      </c>
      <c r="E14508" s="4">
        <f>IFERROR(__xludf.DUMMYFUNCTION("""COMPUTED_VALUE"""),80.088246)</f>
        <v>80.088246</v>
      </c>
      <c r="F14508" s="4">
        <f>IFERROR(__xludf.DUMMYFUNCTION("""COMPUTED_VALUE"""),805.0)</f>
        <v>805</v>
      </c>
      <c r="G14508" s="4">
        <f>IFERROR(__xludf.DUMMYFUNCTION("""COMPUTED_VALUE"""),58.0)</f>
        <v>58</v>
      </c>
      <c r="H14508" s="4"/>
      <c r="I14508" s="4"/>
    </row>
    <row r="14509">
      <c r="A14509" s="4" t="str">
        <f>IFERROR(__xludf.DUMMYFUNCTION("""COMPUTED_VALUE"""),"cas_hmw")</f>
        <v>cas_hmw</v>
      </c>
      <c r="B14509" s="5">
        <f>IFERROR(__xludf.DUMMYFUNCTION("""COMPUTED_VALUE"""),44723.0)</f>
        <v>44723</v>
      </c>
      <c r="C14509" s="6">
        <f>IFERROR(__xludf.DUMMYFUNCTION("""COMPUTED_VALUE"""),0.6935879629636474)</f>
        <v>0.693587963</v>
      </c>
      <c r="D14509" s="4">
        <f>IFERROR(__xludf.DUMMYFUNCTION("""COMPUTED_VALUE"""),12.898132)</f>
        <v>12.898132</v>
      </c>
      <c r="E14509" s="4">
        <f>IFERROR(__xludf.DUMMYFUNCTION("""COMPUTED_VALUE"""),80.089925)</f>
        <v>80.089925</v>
      </c>
      <c r="F14509" s="4">
        <f>IFERROR(__xludf.DUMMYFUNCTION("""COMPUTED_VALUE"""),805.0)</f>
        <v>805</v>
      </c>
      <c r="G14509" s="4">
        <f>IFERROR(__xludf.DUMMYFUNCTION("""COMPUTED_VALUE"""),47.0)</f>
        <v>47</v>
      </c>
      <c r="H14509" s="4"/>
      <c r="I14509" s="4"/>
    </row>
    <row r="14510">
      <c r="A14510" s="4" t="str">
        <f>IFERROR(__xludf.DUMMYFUNCTION("""COMPUTED_VALUE"""),"cas_hmw")</f>
        <v>cas_hmw</v>
      </c>
      <c r="B14510" s="5">
        <f>IFERROR(__xludf.DUMMYFUNCTION("""COMPUTED_VALUE"""),44723.0)</f>
        <v>44723</v>
      </c>
      <c r="C14510" s="6">
        <f>IFERROR(__xludf.DUMMYFUNCTION("""COMPUTED_VALUE"""),0.6944097222221899)</f>
        <v>0.6944097222</v>
      </c>
      <c r="D14510" s="4">
        <f>IFERROR(__xludf.DUMMYFUNCTION("""COMPUTED_VALUE"""),12.903736)</f>
        <v>12.903736</v>
      </c>
      <c r="E14510" s="4">
        <f>IFERROR(__xludf.DUMMYFUNCTION("""COMPUTED_VALUE"""),80.09412)</f>
        <v>80.09412</v>
      </c>
      <c r="F14510" s="4">
        <f>IFERROR(__xludf.DUMMYFUNCTION("""COMPUTED_VALUE"""),805.0)</f>
        <v>805</v>
      </c>
      <c r="G14510" s="4">
        <f>IFERROR(__xludf.DUMMYFUNCTION("""COMPUTED_VALUE"""),32.0)</f>
        <v>32</v>
      </c>
      <c r="H14510" s="4"/>
      <c r="I14510" s="4"/>
    </row>
    <row r="14511">
      <c r="A14511" s="4" t="str">
        <f>IFERROR(__xludf.DUMMYFUNCTION("""COMPUTED_VALUE"""),"cas_hmw")</f>
        <v>cas_hmw</v>
      </c>
      <c r="B14511" s="5">
        <f>IFERROR(__xludf.DUMMYFUNCTION("""COMPUTED_VALUE"""),44723.0)</f>
        <v>44723</v>
      </c>
      <c r="C14511" s="6">
        <f>IFERROR(__xludf.DUMMYFUNCTION("""COMPUTED_VALUE"""),0.6945601851839456)</f>
        <v>0.6945601852</v>
      </c>
      <c r="D14511" s="4">
        <f>IFERROR(__xludf.DUMMYFUNCTION("""COMPUTED_VALUE"""),12.883973)</f>
        <v>12.883973</v>
      </c>
      <c r="E14511" s="4">
        <f>IFERROR(__xludf.DUMMYFUNCTION("""COMPUTED_VALUE"""),80.081702)</f>
        <v>80.081702</v>
      </c>
      <c r="F14511" s="4">
        <f>IFERROR(__xludf.DUMMYFUNCTION("""COMPUTED_VALUE"""),2846.0)</f>
        <v>2846</v>
      </c>
      <c r="G14511" s="4">
        <f>IFERROR(__xludf.DUMMYFUNCTION("""COMPUTED_VALUE"""),41.0)</f>
        <v>41</v>
      </c>
      <c r="H14511" s="4"/>
      <c r="I14511" s="4"/>
    </row>
    <row r="14512">
      <c r="A14512" s="4" t="str">
        <f>IFERROR(__xludf.DUMMYFUNCTION("""COMPUTED_VALUE"""),"cas_hmw")</f>
        <v>cas_hmw</v>
      </c>
      <c r="B14512" s="5">
        <f>IFERROR(__xludf.DUMMYFUNCTION("""COMPUTED_VALUE"""),44723.0)</f>
        <v>44723</v>
      </c>
      <c r="C14512" s="6">
        <f>IFERROR(__xludf.DUMMYFUNCTION("""COMPUTED_VALUE"""),0.6945833333338669)</f>
        <v>0.6945833333</v>
      </c>
      <c r="D14512" s="4">
        <f>IFERROR(__xludf.DUMMYFUNCTION("""COMPUTED_VALUE"""),12.904534)</f>
        <v>12.904534</v>
      </c>
      <c r="E14512" s="4">
        <f>IFERROR(__xludf.DUMMYFUNCTION("""COMPUTED_VALUE"""),80.094704)</f>
        <v>80.094704</v>
      </c>
      <c r="F14512" s="4">
        <f>IFERROR(__xludf.DUMMYFUNCTION("""COMPUTED_VALUE"""),805.0)</f>
        <v>805</v>
      </c>
      <c r="G14512" s="4">
        <f>IFERROR(__xludf.DUMMYFUNCTION("""COMPUTED_VALUE"""),46.0)</f>
        <v>46</v>
      </c>
      <c r="H14512" s="4"/>
      <c r="I14512" s="4"/>
    </row>
    <row r="14513">
      <c r="A14513" s="4" t="str">
        <f>IFERROR(__xludf.DUMMYFUNCTION("""COMPUTED_VALUE"""),"cas_hmw")</f>
        <v>cas_hmw</v>
      </c>
      <c r="B14513" s="5">
        <f>IFERROR(__xludf.DUMMYFUNCTION("""COMPUTED_VALUE"""),44723.0)</f>
        <v>44723</v>
      </c>
      <c r="C14513" s="6">
        <f>IFERROR(__xludf.DUMMYFUNCTION("""COMPUTED_VALUE"""),0.6947222222224809)</f>
        <v>0.6947222222</v>
      </c>
      <c r="D14513" s="4">
        <f>IFERROR(__xludf.DUMMYFUNCTION("""COMPUTED_VALUE"""),12.885661)</f>
        <v>12.885661</v>
      </c>
      <c r="E14513" s="4">
        <f>IFERROR(__xludf.DUMMYFUNCTION("""COMPUTED_VALUE"""),80.082665)</f>
        <v>80.082665</v>
      </c>
      <c r="F14513" s="4">
        <f>IFERROR(__xludf.DUMMYFUNCTION("""COMPUTED_VALUE"""),2846.0)</f>
        <v>2846</v>
      </c>
      <c r="G14513" s="4">
        <f>IFERROR(__xludf.DUMMYFUNCTION("""COMPUTED_VALUE"""),37.0)</f>
        <v>37</v>
      </c>
      <c r="H14513" s="4"/>
      <c r="I14513" s="4"/>
    </row>
    <row r="14514">
      <c r="A14514" s="4" t="str">
        <f>IFERROR(__xludf.DUMMYFUNCTION("""COMPUTED_VALUE"""),"cas_hmw")</f>
        <v>cas_hmw</v>
      </c>
      <c r="B14514" s="5">
        <f>IFERROR(__xludf.DUMMYFUNCTION("""COMPUTED_VALUE"""),44723.0)</f>
        <v>44723</v>
      </c>
      <c r="C14514" s="6">
        <f>IFERROR(__xludf.DUMMYFUNCTION("""COMPUTED_VALUE"""),0.6949537037035043)</f>
        <v>0.6949537037</v>
      </c>
      <c r="D14514" s="4">
        <f>IFERROR(__xludf.DUMMYFUNCTION("""COMPUTED_VALUE"""),12.888175)</f>
        <v>12.888175</v>
      </c>
      <c r="E14514" s="4">
        <f>IFERROR(__xludf.DUMMYFUNCTION("""COMPUTED_VALUE"""),80.083733)</f>
        <v>80.083733</v>
      </c>
      <c r="F14514" s="4">
        <f>IFERROR(__xludf.DUMMYFUNCTION("""COMPUTED_VALUE"""),2846.0)</f>
        <v>2846</v>
      </c>
      <c r="G14514" s="4">
        <f>IFERROR(__xludf.DUMMYFUNCTION("""COMPUTED_VALUE"""),58.0)</f>
        <v>58</v>
      </c>
      <c r="H14514" s="4"/>
      <c r="I14514" s="4"/>
    </row>
    <row r="14515">
      <c r="A14515" s="4" t="str">
        <f>IFERROR(__xludf.DUMMYFUNCTION("""COMPUTED_VALUE"""),"cas_hmw")</f>
        <v>cas_hmw</v>
      </c>
      <c r="B14515" s="5">
        <f>IFERROR(__xludf.DUMMYFUNCTION("""COMPUTED_VALUE"""),44723.0)</f>
        <v>44723</v>
      </c>
      <c r="C14515" s="6">
        <f>IFERROR(__xludf.DUMMYFUNCTION("""COMPUTED_VALUE"""),0.6963310185201408)</f>
        <v>0.6963310185</v>
      </c>
      <c r="D14515" s="4">
        <f>IFERROR(__xludf.DUMMYFUNCTION("""COMPUTED_VALUE"""),12.900409)</f>
        <v>12.900409</v>
      </c>
      <c r="E14515" s="4">
        <f>IFERROR(__xludf.DUMMYFUNCTION("""COMPUTED_VALUE"""),80.091685)</f>
        <v>80.091685</v>
      </c>
      <c r="F14515" s="4">
        <f>IFERROR(__xludf.DUMMYFUNCTION("""COMPUTED_VALUE"""),2846.0)</f>
        <v>2846</v>
      </c>
      <c r="G14515" s="4">
        <f>IFERROR(__xludf.DUMMYFUNCTION("""COMPUTED_VALUE"""),57.0)</f>
        <v>57</v>
      </c>
      <c r="H14515" s="4"/>
      <c r="I14515" s="4"/>
    </row>
    <row r="14516">
      <c r="A14516" s="4" t="str">
        <f>IFERROR(__xludf.DUMMYFUNCTION("""COMPUTED_VALUE"""),"cas_hmw")</f>
        <v>cas_hmw</v>
      </c>
      <c r="B14516" s="5">
        <f>IFERROR(__xludf.DUMMYFUNCTION("""COMPUTED_VALUE"""),44723.0)</f>
        <v>44723</v>
      </c>
      <c r="C14516" s="6">
        <f>IFERROR(__xludf.DUMMYFUNCTION("""COMPUTED_VALUE"""),0.6969675925938645)</f>
        <v>0.6969675926</v>
      </c>
      <c r="D14516" s="4">
        <f>IFERROR(__xludf.DUMMYFUNCTION("""COMPUTED_VALUE"""),12.904642)</f>
        <v>12.904642</v>
      </c>
      <c r="E14516" s="4">
        <f>IFERROR(__xludf.DUMMYFUNCTION("""COMPUTED_VALUE"""),80.094784)</f>
        <v>80.094784</v>
      </c>
      <c r="F14516" s="4">
        <f>IFERROR(__xludf.DUMMYFUNCTION("""COMPUTED_VALUE"""),2846.0)</f>
        <v>2846</v>
      </c>
      <c r="G14516" s="4">
        <f>IFERROR(__xludf.DUMMYFUNCTION("""COMPUTED_VALUE"""),36.0)</f>
        <v>36</v>
      </c>
      <c r="H14516" s="4"/>
      <c r="I14516" s="4"/>
    </row>
    <row r="14517">
      <c r="A14517" s="4" t="str">
        <f>IFERROR(__xludf.DUMMYFUNCTION("""COMPUTED_VALUE"""),"cas_hmw")</f>
        <v>cas_hmw</v>
      </c>
      <c r="B14517" s="5">
        <f>IFERROR(__xludf.DUMMYFUNCTION("""COMPUTED_VALUE"""),44723.0)</f>
        <v>44723</v>
      </c>
      <c r="C14517" s="6">
        <f>IFERROR(__xludf.DUMMYFUNCTION("""COMPUTED_VALUE"""),0.6970601851862739)</f>
        <v>0.6970601852</v>
      </c>
      <c r="D14517" s="4">
        <f>IFERROR(__xludf.DUMMYFUNCTION("""COMPUTED_VALUE"""),12.911802)</f>
        <v>12.911802</v>
      </c>
      <c r="E14517" s="4">
        <f>IFERROR(__xludf.DUMMYFUNCTION("""COMPUTED_VALUE"""),80.101354)</f>
        <v>80.101354</v>
      </c>
      <c r="F14517" s="4">
        <f>IFERROR(__xludf.DUMMYFUNCTION("""COMPUTED_VALUE"""),805.0)</f>
        <v>805</v>
      </c>
      <c r="G14517" s="4">
        <f>IFERROR(__xludf.DUMMYFUNCTION("""COMPUTED_VALUE"""),31.0)</f>
        <v>31</v>
      </c>
      <c r="H14517" s="4"/>
      <c r="I14517" s="4"/>
    </row>
    <row r="14518">
      <c r="A14518" s="4" t="str">
        <f>IFERROR(__xludf.DUMMYFUNCTION("""COMPUTED_VALUE"""),"cas_hmw")</f>
        <v>cas_hmw</v>
      </c>
      <c r="B14518" s="5">
        <f>IFERROR(__xludf.DUMMYFUNCTION("""COMPUTED_VALUE"""),44723.0)</f>
        <v>44723</v>
      </c>
      <c r="C14518" s="6">
        <f>IFERROR(__xludf.DUMMYFUNCTION("""COMPUTED_VALUE"""),0.6978472222217533)</f>
        <v>0.6978472222</v>
      </c>
      <c r="D14518" s="4">
        <f>IFERROR(__xludf.DUMMYFUNCTION("""COMPUTED_VALUE"""),12.91657)</f>
        <v>12.91657</v>
      </c>
      <c r="E14518" s="4">
        <f>IFERROR(__xludf.DUMMYFUNCTION("""COMPUTED_VALUE"""),80.106304)</f>
        <v>80.106304</v>
      </c>
      <c r="F14518" s="4">
        <f>IFERROR(__xludf.DUMMYFUNCTION("""COMPUTED_VALUE"""),805.0)</f>
        <v>805</v>
      </c>
      <c r="G14518" s="4">
        <f>IFERROR(__xludf.DUMMYFUNCTION("""COMPUTED_VALUE"""),54.0)</f>
        <v>54</v>
      </c>
      <c r="H14518" s="4"/>
      <c r="I14518" s="4"/>
    </row>
    <row r="14519">
      <c r="A14519" s="4" t="str">
        <f>IFERROR(__xludf.DUMMYFUNCTION("""COMPUTED_VALUE"""),"cas_hmw")</f>
        <v>cas_hmw</v>
      </c>
      <c r="B14519" s="5">
        <f>IFERROR(__xludf.DUMMYFUNCTION("""COMPUTED_VALUE"""),44723.0)</f>
        <v>44723</v>
      </c>
      <c r="C14519" s="6">
        <f>IFERROR(__xludf.DUMMYFUNCTION("""COMPUTED_VALUE"""),0.6978472222217533)</f>
        <v>0.6978472222</v>
      </c>
      <c r="D14519" s="4">
        <f>IFERROR(__xludf.DUMMYFUNCTION("""COMPUTED_VALUE"""),12.91657)</f>
        <v>12.91657</v>
      </c>
      <c r="E14519" s="4">
        <f>IFERROR(__xludf.DUMMYFUNCTION("""COMPUTED_VALUE"""),80.106304)</f>
        <v>80.106304</v>
      </c>
      <c r="F14519" s="4">
        <f>IFERROR(__xludf.DUMMYFUNCTION("""COMPUTED_VALUE"""),805.0)</f>
        <v>805</v>
      </c>
      <c r="G14519" s="4">
        <f>IFERROR(__xludf.DUMMYFUNCTION("""COMPUTED_VALUE"""),54.0)</f>
        <v>54</v>
      </c>
      <c r="H14519" s="4"/>
      <c r="I14519" s="4"/>
    </row>
    <row r="14520">
      <c r="A14520" s="4" t="str">
        <f>IFERROR(__xludf.DUMMYFUNCTION("""COMPUTED_VALUE"""),"cas_hmw")</f>
        <v>cas_hmw</v>
      </c>
      <c r="B14520" s="5">
        <f>IFERROR(__xludf.DUMMYFUNCTION("""COMPUTED_VALUE"""),44723.0)</f>
        <v>44723</v>
      </c>
      <c r="C14520" s="6">
        <f>IFERROR(__xludf.DUMMYFUNCTION("""COMPUTED_VALUE"""),0.6979861111103673)</f>
        <v>0.6979861111</v>
      </c>
      <c r="D14520" s="4">
        <f>IFERROR(__xludf.DUMMYFUNCTION("""COMPUTED_VALUE"""),12.916998)</f>
        <v>12.916998</v>
      </c>
      <c r="E14520" s="4">
        <f>IFERROR(__xludf.DUMMYFUNCTION("""COMPUTED_VALUE"""),80.107068)</f>
        <v>80.107068</v>
      </c>
      <c r="F14520" s="4">
        <f>IFERROR(__xludf.DUMMYFUNCTION("""COMPUTED_VALUE"""),805.0)</f>
        <v>805</v>
      </c>
      <c r="G14520" s="4">
        <f>IFERROR(__xludf.DUMMYFUNCTION("""COMPUTED_VALUE"""),28.0)</f>
        <v>28</v>
      </c>
      <c r="H14520" s="4"/>
      <c r="I14520" s="4"/>
    </row>
    <row r="14521">
      <c r="A14521" s="4" t="str">
        <f>IFERROR(__xludf.DUMMYFUNCTION("""COMPUTED_VALUE"""),"cas_hmw")</f>
        <v>cas_hmw</v>
      </c>
      <c r="B14521" s="5">
        <f>IFERROR(__xludf.DUMMYFUNCTION("""COMPUTED_VALUE"""),44723.0)</f>
        <v>44723</v>
      </c>
      <c r="C14521" s="6">
        <f>IFERROR(__xludf.DUMMYFUNCTION("""COMPUTED_VALUE"""),0.6982291666681704)</f>
        <v>0.6982291667</v>
      </c>
      <c r="D14521" s="4">
        <f>IFERROR(__xludf.DUMMYFUNCTION("""COMPUTED_VALUE"""),12.918674)</f>
        <v>12.918674</v>
      </c>
      <c r="E14521" s="4">
        <f>IFERROR(__xludf.DUMMYFUNCTION("""COMPUTED_VALUE"""),80.109318)</f>
        <v>80.109318</v>
      </c>
      <c r="F14521" s="4">
        <f>IFERROR(__xludf.DUMMYFUNCTION("""COMPUTED_VALUE"""),805.0)</f>
        <v>805</v>
      </c>
      <c r="G14521" s="4">
        <f>IFERROR(__xludf.DUMMYFUNCTION("""COMPUTED_VALUE"""),41.0)</f>
        <v>41</v>
      </c>
      <c r="H14521" s="4"/>
      <c r="I14521" s="4"/>
    </row>
    <row r="14522">
      <c r="A14522" s="4" t="str">
        <f>IFERROR(__xludf.DUMMYFUNCTION("""COMPUTED_VALUE"""),"cas_hmw")</f>
        <v>cas_hmw</v>
      </c>
      <c r="B14522" s="5">
        <f>IFERROR(__xludf.DUMMYFUNCTION("""COMPUTED_VALUE"""),44723.0)</f>
        <v>44723</v>
      </c>
      <c r="C14522" s="6">
        <f>IFERROR(__xludf.DUMMYFUNCTION("""COMPUTED_VALUE"""),0.6983101851838001)</f>
        <v>0.6983101852</v>
      </c>
      <c r="D14522" s="4">
        <f>IFERROR(__xludf.DUMMYFUNCTION("""COMPUTED_VALUE"""),12.918674)</f>
        <v>12.918674</v>
      </c>
      <c r="E14522" s="4">
        <f>IFERROR(__xludf.DUMMYFUNCTION("""COMPUTED_VALUE"""),80.109318)</f>
        <v>80.109318</v>
      </c>
      <c r="F14522" s="4">
        <f>IFERROR(__xludf.DUMMYFUNCTION("""COMPUTED_VALUE"""),805.0)</f>
        <v>805</v>
      </c>
      <c r="G14522" s="4">
        <f>IFERROR(__xludf.DUMMYFUNCTION("""COMPUTED_VALUE"""),41.0)</f>
        <v>41</v>
      </c>
      <c r="H14522" s="4"/>
      <c r="I14522" s="4"/>
    </row>
    <row r="14523">
      <c r="A14523" s="4" t="str">
        <f>IFERROR(__xludf.DUMMYFUNCTION("""COMPUTED_VALUE"""),"cas_hmw")</f>
        <v>cas_hmw</v>
      </c>
      <c r="B14523" s="5">
        <f>IFERROR(__xludf.DUMMYFUNCTION("""COMPUTED_VALUE"""),44723.0)</f>
        <v>44723</v>
      </c>
      <c r="C14523" s="6">
        <f>IFERROR(__xludf.DUMMYFUNCTION("""COMPUTED_VALUE"""),0.6991087962960592)</f>
        <v>0.6991087963</v>
      </c>
      <c r="D14523" s="4">
        <f>IFERROR(__xludf.DUMMYFUNCTION("""COMPUTED_VALUE"""),12.923549)</f>
        <v>12.923549</v>
      </c>
      <c r="E14523" s="4">
        <f>IFERROR(__xludf.DUMMYFUNCTION("""COMPUTED_VALUE"""),80.114649)</f>
        <v>80.114649</v>
      </c>
      <c r="F14523" s="4">
        <f>IFERROR(__xludf.DUMMYFUNCTION("""COMPUTED_VALUE"""),805.0)</f>
        <v>805</v>
      </c>
      <c r="G14523" s="4">
        <f>IFERROR(__xludf.DUMMYFUNCTION("""COMPUTED_VALUE"""),35.0)</f>
        <v>35</v>
      </c>
      <c r="H14523" s="4"/>
      <c r="I14523" s="4"/>
    </row>
    <row r="14524">
      <c r="A14524" s="4" t="str">
        <f>IFERROR(__xludf.DUMMYFUNCTION("""COMPUTED_VALUE"""),"cas_hmw")</f>
        <v>cas_hmw</v>
      </c>
      <c r="B14524" s="5">
        <f>IFERROR(__xludf.DUMMYFUNCTION("""COMPUTED_VALUE"""),44723.0)</f>
        <v>44723</v>
      </c>
      <c r="C14524" s="6">
        <f>IFERROR(__xludf.DUMMYFUNCTION("""COMPUTED_VALUE"""),0.7006365740744513)</f>
        <v>0.7006365741</v>
      </c>
      <c r="D14524" s="4">
        <f>IFERROR(__xludf.DUMMYFUNCTION("""COMPUTED_VALUE"""),12.924385)</f>
        <v>12.924385</v>
      </c>
      <c r="E14524" s="4">
        <f>IFERROR(__xludf.DUMMYFUNCTION("""COMPUTED_VALUE"""),80.10036)</f>
        <v>80.10036</v>
      </c>
      <c r="F14524" s="4">
        <f>IFERROR(__xludf.DUMMYFUNCTION("""COMPUTED_VALUE"""),2846.0)</f>
        <v>2846</v>
      </c>
      <c r="G14524" s="4">
        <f>IFERROR(__xludf.DUMMYFUNCTION("""COMPUTED_VALUE"""),57.0)</f>
        <v>57</v>
      </c>
      <c r="H14524" s="4"/>
      <c r="I14524" s="4"/>
    </row>
    <row r="14525">
      <c r="A14525" s="4" t="str">
        <f>IFERROR(__xludf.DUMMYFUNCTION("""COMPUTED_VALUE"""),"cas_hmw")</f>
        <v>cas_hmw</v>
      </c>
      <c r="B14525" s="5">
        <f>IFERROR(__xludf.DUMMYFUNCTION("""COMPUTED_VALUE"""),44723.0)</f>
        <v>44723</v>
      </c>
      <c r="C14525" s="6">
        <f>IFERROR(__xludf.DUMMYFUNCTION("""COMPUTED_VALUE"""),0.7015509259254031)</f>
        <v>0.7015509259</v>
      </c>
      <c r="D14525" s="4">
        <f>IFERROR(__xludf.DUMMYFUNCTION("""COMPUTED_VALUE"""),12.929941)</f>
        <v>12.929941</v>
      </c>
      <c r="E14525" s="4">
        <f>IFERROR(__xludf.DUMMYFUNCTION("""COMPUTED_VALUE"""),80.120903)</f>
        <v>80.120903</v>
      </c>
      <c r="F14525" s="4">
        <f>IFERROR(__xludf.DUMMYFUNCTION("""COMPUTED_VALUE"""),805.0)</f>
        <v>805</v>
      </c>
      <c r="G14525" s="4">
        <f>IFERROR(__xludf.DUMMYFUNCTION("""COMPUTED_VALUE"""),0.0)</f>
        <v>0</v>
      </c>
      <c r="H14525" s="4"/>
      <c r="I14525" s="4"/>
    </row>
    <row r="14526">
      <c r="A14526" s="4" t="str">
        <f>IFERROR(__xludf.DUMMYFUNCTION("""COMPUTED_VALUE"""),"cas_hmw")</f>
        <v>cas_hmw</v>
      </c>
      <c r="B14526" s="5">
        <f>IFERROR(__xludf.DUMMYFUNCTION("""COMPUTED_VALUE"""),44723.0)</f>
        <v>44723</v>
      </c>
      <c r="C14526" s="6">
        <f>IFERROR(__xludf.DUMMYFUNCTION("""COMPUTED_VALUE"""),0.7016319444446708)</f>
        <v>0.7016319444</v>
      </c>
      <c r="D14526" s="4">
        <f>IFERROR(__xludf.DUMMYFUNCTION("""COMPUTED_VALUE"""),12.930198)</f>
        <v>12.930198</v>
      </c>
      <c r="E14526" s="4">
        <f>IFERROR(__xludf.DUMMYFUNCTION("""COMPUTED_VALUE"""),80.121219)</f>
        <v>80.121219</v>
      </c>
      <c r="F14526" s="4">
        <f>IFERROR(__xludf.DUMMYFUNCTION("""COMPUTED_VALUE"""),805.0)</f>
        <v>805</v>
      </c>
      <c r="G14526" s="4">
        <f>IFERROR(__xludf.DUMMYFUNCTION("""COMPUTED_VALUE"""),24.0)</f>
        <v>24</v>
      </c>
      <c r="H14526" s="4"/>
      <c r="I14526" s="4"/>
    </row>
    <row r="14527">
      <c r="A14527" s="4" t="str">
        <f>IFERROR(__xludf.DUMMYFUNCTION("""COMPUTED_VALUE"""),"cas_hmw")</f>
        <v>cas_hmw</v>
      </c>
      <c r="B14527" s="5">
        <f>IFERROR(__xludf.DUMMYFUNCTION("""COMPUTED_VALUE"""),44723.0)</f>
        <v>44723</v>
      </c>
      <c r="C14527" s="6">
        <f>IFERROR(__xludf.DUMMYFUNCTION("""COMPUTED_VALUE"""),0.7021874999991269)</f>
        <v>0.7021875</v>
      </c>
      <c r="D14527" s="4">
        <f>IFERROR(__xludf.DUMMYFUNCTION("""COMPUTED_VALUE"""),12.931688)</f>
        <v>12.931688</v>
      </c>
      <c r="E14527" s="4">
        <f>IFERROR(__xludf.DUMMYFUNCTION("""COMPUTED_VALUE"""),80.122632)</f>
        <v>80.122632</v>
      </c>
      <c r="F14527" s="4">
        <f>IFERROR(__xludf.DUMMYFUNCTION("""COMPUTED_VALUE"""),805.0)</f>
        <v>805</v>
      </c>
      <c r="G14527" s="4">
        <f>IFERROR(__xludf.DUMMYFUNCTION("""COMPUTED_VALUE"""),19.0)</f>
        <v>19</v>
      </c>
      <c r="H14527" s="4"/>
      <c r="I14527" s="4"/>
    </row>
    <row r="14528">
      <c r="A14528" s="4" t="str">
        <f>IFERROR(__xludf.DUMMYFUNCTION("""COMPUTED_VALUE"""),"cas_hmw")</f>
        <v>cas_hmw</v>
      </c>
      <c r="B14528" s="5">
        <f>IFERROR(__xludf.DUMMYFUNCTION("""COMPUTED_VALUE"""),44723.0)</f>
        <v>44723</v>
      </c>
      <c r="C14528" s="6">
        <f>IFERROR(__xludf.DUMMYFUNCTION("""COMPUTED_VALUE"""),0.702951388888323)</f>
        <v>0.7029513889</v>
      </c>
      <c r="D14528" s="4">
        <f>IFERROR(__xludf.DUMMYFUNCTION("""COMPUTED_VALUE"""),12.935753)</f>
        <v>12.935753</v>
      </c>
      <c r="E14528" s="4">
        <f>IFERROR(__xludf.DUMMYFUNCTION("""COMPUTED_VALUE"""),80.126547)</f>
        <v>80.126547</v>
      </c>
      <c r="F14528" s="4">
        <f>IFERROR(__xludf.DUMMYFUNCTION("""COMPUTED_VALUE"""),805.0)</f>
        <v>805</v>
      </c>
      <c r="G14528" s="4">
        <f>IFERROR(__xludf.DUMMYFUNCTION("""COMPUTED_VALUE"""),20.0)</f>
        <v>20</v>
      </c>
      <c r="H14528" s="4"/>
      <c r="I14528" s="4"/>
    </row>
    <row r="14529">
      <c r="A14529" s="4" t="str">
        <f>IFERROR(__xludf.DUMMYFUNCTION("""COMPUTED_VALUE"""),"cas_hmw")</f>
        <v>cas_hmw</v>
      </c>
      <c r="B14529" s="5">
        <f>IFERROR(__xludf.DUMMYFUNCTION("""COMPUTED_VALUE"""),44723.0)</f>
        <v>44723</v>
      </c>
      <c r="C14529" s="6">
        <f>IFERROR(__xludf.DUMMYFUNCTION("""COMPUTED_VALUE"""),0.7032407407423307)</f>
        <v>0.7032407407</v>
      </c>
      <c r="D14529" s="4">
        <f>IFERROR(__xludf.DUMMYFUNCTION("""COMPUTED_VALUE"""),12.937342)</f>
        <v>12.937342</v>
      </c>
      <c r="E14529" s="4">
        <f>IFERROR(__xludf.DUMMYFUNCTION("""COMPUTED_VALUE"""),80.128072)</f>
        <v>80.128072</v>
      </c>
      <c r="F14529" s="4">
        <f>IFERROR(__xludf.DUMMYFUNCTION("""COMPUTED_VALUE"""),805.0)</f>
        <v>805</v>
      </c>
      <c r="G14529" s="4">
        <f>IFERROR(__xludf.DUMMYFUNCTION("""COMPUTED_VALUE"""),52.0)</f>
        <v>52</v>
      </c>
      <c r="H14529" s="4"/>
      <c r="I14529" s="4"/>
    </row>
    <row r="14530">
      <c r="A14530" s="4" t="str">
        <f>IFERROR(__xludf.DUMMYFUNCTION("""COMPUTED_VALUE"""),"cas_hmw")</f>
        <v>cas_hmw</v>
      </c>
      <c r="B14530" s="5">
        <f>IFERROR(__xludf.DUMMYFUNCTION("""COMPUTED_VALUE"""),44723.0)</f>
        <v>44723</v>
      </c>
      <c r="C14530" s="6">
        <f>IFERROR(__xludf.DUMMYFUNCTION("""COMPUTED_VALUE"""),0.7052430555559113)</f>
        <v>0.7052430556</v>
      </c>
      <c r="D14530" s="4">
        <f>IFERROR(__xludf.DUMMYFUNCTION("""COMPUTED_VALUE"""),12.950264)</f>
        <v>12.950264</v>
      </c>
      <c r="E14530" s="4">
        <f>IFERROR(__xludf.DUMMYFUNCTION("""COMPUTED_VALUE"""),80.139242)</f>
        <v>80.139242</v>
      </c>
      <c r="F14530" s="4">
        <f>IFERROR(__xludf.DUMMYFUNCTION("""COMPUTED_VALUE"""),805.0)</f>
        <v>805</v>
      </c>
      <c r="G14530" s="4">
        <f>IFERROR(__xludf.DUMMYFUNCTION("""COMPUTED_VALUE"""),0.0)</f>
        <v>0</v>
      </c>
      <c r="H14530" s="4"/>
      <c r="I14530" s="4"/>
    </row>
    <row r="14531">
      <c r="A14531" s="4" t="str">
        <f>IFERROR(__xludf.DUMMYFUNCTION("""COMPUTED_VALUE"""),"cas_hmw")</f>
        <v>cas_hmw</v>
      </c>
      <c r="B14531" s="5">
        <f>IFERROR(__xludf.DUMMYFUNCTION("""COMPUTED_VALUE"""),44723.0)</f>
        <v>44723</v>
      </c>
      <c r="C14531" s="6">
        <f>IFERROR(__xludf.DUMMYFUNCTION("""COMPUTED_VALUE"""),0.705844907406572)</f>
        <v>0.7058449074</v>
      </c>
      <c r="D14531" s="4">
        <f>IFERROR(__xludf.DUMMYFUNCTION("""COMPUTED_VALUE"""),12.977628)</f>
        <v>12.977628</v>
      </c>
      <c r="E14531" s="4">
        <f>IFERROR(__xludf.DUMMYFUNCTION("""COMPUTED_VALUE"""),80.119978)</f>
        <v>80.119978</v>
      </c>
      <c r="F14531" s="4">
        <f>IFERROR(__xludf.DUMMYFUNCTION("""COMPUTED_VALUE"""),2846.0)</f>
        <v>2846</v>
      </c>
      <c r="G14531" s="4">
        <f>IFERROR(__xludf.DUMMYFUNCTION("""COMPUTED_VALUE"""),57.0)</f>
        <v>57</v>
      </c>
      <c r="H14531" s="4"/>
      <c r="I14531" s="4"/>
    </row>
    <row r="14532">
      <c r="A14532" s="4" t="str">
        <f>IFERROR(__xludf.DUMMYFUNCTION("""COMPUTED_VALUE"""),"cas_hmw")</f>
        <v>cas_hmw</v>
      </c>
      <c r="B14532" s="5">
        <f>IFERROR(__xludf.DUMMYFUNCTION("""COMPUTED_VALUE"""),44723.0)</f>
        <v>44723</v>
      </c>
      <c r="C14532" s="6">
        <f>IFERROR(__xludf.DUMMYFUNCTION("""COMPUTED_VALUE"""),0.7063078703686188)</f>
        <v>0.7063078704</v>
      </c>
      <c r="D14532" s="4">
        <f>IFERROR(__xludf.DUMMYFUNCTION("""COMPUTED_VALUE"""),12.95593)</f>
        <v>12.95593</v>
      </c>
      <c r="E14532" s="4">
        <f>IFERROR(__xludf.DUMMYFUNCTION("""COMPUTED_VALUE"""),80.142913)</f>
        <v>80.142913</v>
      </c>
      <c r="F14532" s="4">
        <f>IFERROR(__xludf.DUMMYFUNCTION("""COMPUTED_VALUE"""),805.0)</f>
        <v>805</v>
      </c>
      <c r="G14532" s="4">
        <f>IFERROR(__xludf.DUMMYFUNCTION("""COMPUTED_VALUE"""),37.0)</f>
        <v>37</v>
      </c>
      <c r="H14532" s="4"/>
      <c r="I14532" s="4"/>
    </row>
    <row r="14533">
      <c r="A14533" s="4" t="str">
        <f>IFERROR(__xludf.DUMMYFUNCTION("""COMPUTED_VALUE"""),"cas_hmw")</f>
        <v>cas_hmw</v>
      </c>
      <c r="B14533" s="5">
        <f>IFERROR(__xludf.DUMMYFUNCTION("""COMPUTED_VALUE"""),44723.0)</f>
        <v>44723</v>
      </c>
      <c r="C14533" s="6">
        <f>IFERROR(__xludf.DUMMYFUNCTION("""COMPUTED_VALUE"""),0.7075925925928459)</f>
        <v>0.7075925926</v>
      </c>
      <c r="D14533" s="4">
        <f>IFERROR(__xludf.DUMMYFUNCTION("""COMPUTED_VALUE"""),12.965002)</f>
        <v>12.965002</v>
      </c>
      <c r="E14533" s="4">
        <f>IFERROR(__xludf.DUMMYFUNCTION("""COMPUTED_VALUE"""),80.147854)</f>
        <v>80.147854</v>
      </c>
      <c r="F14533" s="4">
        <f>IFERROR(__xludf.DUMMYFUNCTION("""COMPUTED_VALUE"""),805.0)</f>
        <v>805</v>
      </c>
      <c r="G14533" s="4">
        <f>IFERROR(__xludf.DUMMYFUNCTION("""COMPUTED_VALUE"""),19.0)</f>
        <v>19</v>
      </c>
      <c r="H14533" s="4"/>
      <c r="I14533" s="4"/>
    </row>
    <row r="14534">
      <c r="A14534" s="4" t="str">
        <f>IFERROR(__xludf.DUMMYFUNCTION("""COMPUTED_VALUE"""),"cas_hmw")</f>
        <v>cas_hmw</v>
      </c>
      <c r="B14534" s="5">
        <f>IFERROR(__xludf.DUMMYFUNCTION("""COMPUTED_VALUE"""),44723.0)</f>
        <v>44723</v>
      </c>
      <c r="C14534" s="6">
        <f>IFERROR(__xludf.DUMMYFUNCTION("""COMPUTED_VALUE"""),0.7078587962969323)</f>
        <v>0.7078587963</v>
      </c>
      <c r="D14534" s="4">
        <f>IFERROR(__xludf.DUMMYFUNCTION("""COMPUTED_VALUE"""),12.966127)</f>
        <v>12.966127</v>
      </c>
      <c r="E14534" s="4">
        <f>IFERROR(__xludf.DUMMYFUNCTION("""COMPUTED_VALUE"""),80.148479)</f>
        <v>80.148479</v>
      </c>
      <c r="F14534" s="4">
        <f>IFERROR(__xludf.DUMMYFUNCTION("""COMPUTED_VALUE"""),805.0)</f>
        <v>805</v>
      </c>
      <c r="G14534" s="4">
        <f>IFERROR(__xludf.DUMMYFUNCTION("""COMPUTED_VALUE"""),39.0)</f>
        <v>39</v>
      </c>
      <c r="H14534" s="4"/>
      <c r="I14534" s="4"/>
    </row>
    <row r="14535">
      <c r="A14535" s="4" t="str">
        <f>IFERROR(__xludf.DUMMYFUNCTION("""COMPUTED_VALUE"""),"cas_hmw")</f>
        <v>cas_hmw</v>
      </c>
      <c r="B14535" s="5">
        <f>IFERROR(__xludf.DUMMYFUNCTION("""COMPUTED_VALUE"""),44723.0)</f>
        <v>44723</v>
      </c>
      <c r="C14535" s="6">
        <f>IFERROR(__xludf.DUMMYFUNCTION("""COMPUTED_VALUE"""),0.708321759258979)</f>
        <v>0.7083217593</v>
      </c>
      <c r="D14535" s="4">
        <f>IFERROR(__xludf.DUMMYFUNCTION("""COMPUTED_VALUE"""),12.971032)</f>
        <v>12.971032</v>
      </c>
      <c r="E14535" s="4">
        <f>IFERROR(__xludf.DUMMYFUNCTION("""COMPUTED_VALUE"""),80.1508)</f>
        <v>80.1508</v>
      </c>
      <c r="F14535" s="4">
        <f>IFERROR(__xludf.DUMMYFUNCTION("""COMPUTED_VALUE"""),805.0)</f>
        <v>805</v>
      </c>
      <c r="G14535" s="4">
        <f>IFERROR(__xludf.DUMMYFUNCTION("""COMPUTED_VALUE"""),53.0)</f>
        <v>53</v>
      </c>
      <c r="H14535" s="4"/>
      <c r="I14535" s="4"/>
    </row>
    <row r="14536">
      <c r="A14536" s="4" t="str">
        <f>IFERROR(__xludf.DUMMYFUNCTION("""COMPUTED_VALUE"""),"cas_hmw")</f>
        <v>cas_hmw</v>
      </c>
      <c r="B14536" s="5">
        <f>IFERROR(__xludf.DUMMYFUNCTION("""COMPUTED_VALUE"""),44723.0)</f>
        <v>44723</v>
      </c>
      <c r="C14536" s="6">
        <f>IFERROR(__xludf.DUMMYFUNCTION("""COMPUTED_VALUE"""),0.708530092593719)</f>
        <v>0.7085300926</v>
      </c>
      <c r="D14536" s="4">
        <f>IFERROR(__xludf.DUMMYFUNCTION("""COMPUTED_VALUE"""),12.971032)</f>
        <v>12.971032</v>
      </c>
      <c r="E14536" s="4">
        <f>IFERROR(__xludf.DUMMYFUNCTION("""COMPUTED_VALUE"""),80.1508)</f>
        <v>80.1508</v>
      </c>
      <c r="F14536" s="4">
        <f>IFERROR(__xludf.DUMMYFUNCTION("""COMPUTED_VALUE"""),805.0)</f>
        <v>805</v>
      </c>
      <c r="G14536" s="4">
        <f>IFERROR(__xludf.DUMMYFUNCTION("""COMPUTED_VALUE"""),53.0)</f>
        <v>53</v>
      </c>
      <c r="H14536" s="4"/>
      <c r="I14536" s="4"/>
    </row>
    <row r="14537">
      <c r="A14537" s="4" t="str">
        <f>IFERROR(__xludf.DUMMYFUNCTION("""COMPUTED_VALUE"""),"cas_hmw")</f>
        <v>cas_hmw</v>
      </c>
      <c r="B14537" s="5">
        <f>IFERROR(__xludf.DUMMYFUNCTION("""COMPUTED_VALUE"""),44723.0)</f>
        <v>44723</v>
      </c>
      <c r="C14537" s="6">
        <f>IFERROR(__xludf.DUMMYFUNCTION("""COMPUTED_VALUE"""),0.7087731481478841)</f>
        <v>0.7087731481</v>
      </c>
      <c r="D14537" s="4">
        <f>IFERROR(__xludf.DUMMYFUNCTION("""COMPUTED_VALUE"""),12.974101)</f>
        <v>12.974101</v>
      </c>
      <c r="E14537" s="4">
        <f>IFERROR(__xludf.DUMMYFUNCTION("""COMPUTED_VALUE"""),80.154248)</f>
        <v>80.154248</v>
      </c>
      <c r="F14537" s="4">
        <f>IFERROR(__xludf.DUMMYFUNCTION("""COMPUTED_VALUE"""),805.0)</f>
        <v>805</v>
      </c>
      <c r="G14537" s="4">
        <f>IFERROR(__xludf.DUMMYFUNCTION("""COMPUTED_VALUE"""),60.0)</f>
        <v>60</v>
      </c>
      <c r="H14537" s="4"/>
      <c r="I14537" s="4"/>
    </row>
    <row r="14538">
      <c r="A14538" s="4" t="str">
        <f>IFERROR(__xludf.DUMMYFUNCTION("""COMPUTED_VALUE"""),"cas_hmw")</f>
        <v>cas_hmw</v>
      </c>
      <c r="B14538" s="5">
        <f>IFERROR(__xludf.DUMMYFUNCTION("""COMPUTED_VALUE"""),44723.0)</f>
        <v>44723</v>
      </c>
      <c r="C14538" s="6">
        <f>IFERROR(__xludf.DUMMYFUNCTION("""COMPUTED_VALUE"""),0.7092476851867104)</f>
        <v>0.7092476852</v>
      </c>
      <c r="D14538" s="4">
        <f>IFERROR(__xludf.DUMMYFUNCTION("""COMPUTED_VALUE"""),12.977629)</f>
        <v>12.977629</v>
      </c>
      <c r="E14538" s="4">
        <f>IFERROR(__xludf.DUMMYFUNCTION("""COMPUTED_VALUE"""),80.159452)</f>
        <v>80.159452</v>
      </c>
      <c r="F14538" s="4">
        <f>IFERROR(__xludf.DUMMYFUNCTION("""COMPUTED_VALUE"""),805.0)</f>
        <v>805</v>
      </c>
      <c r="G14538" s="4">
        <f>IFERROR(__xludf.DUMMYFUNCTION("""COMPUTED_VALUE"""),53.0)</f>
        <v>53</v>
      </c>
      <c r="H14538" s="4"/>
      <c r="I14538" s="4"/>
    </row>
    <row r="14539">
      <c r="A14539" s="4" t="str">
        <f>IFERROR(__xludf.DUMMYFUNCTION("""COMPUTED_VALUE"""),"cas_hmw")</f>
        <v>cas_hmw</v>
      </c>
      <c r="B14539" s="5">
        <f>IFERROR(__xludf.DUMMYFUNCTION("""COMPUTED_VALUE"""),44723.0)</f>
        <v>44723</v>
      </c>
      <c r="C14539" s="6">
        <f>IFERROR(__xludf.DUMMYFUNCTION("""COMPUTED_VALUE"""),0.7093171296291985)</f>
        <v>0.7093171296</v>
      </c>
      <c r="D14539" s="4">
        <f>IFERROR(__xludf.DUMMYFUNCTION("""COMPUTED_VALUE"""),12.977629)</f>
        <v>12.977629</v>
      </c>
      <c r="E14539" s="4">
        <f>IFERROR(__xludf.DUMMYFUNCTION("""COMPUTED_VALUE"""),80.159452)</f>
        <v>80.159452</v>
      </c>
      <c r="F14539" s="4">
        <f>IFERROR(__xludf.DUMMYFUNCTION("""COMPUTED_VALUE"""),805.0)</f>
        <v>805</v>
      </c>
      <c r="G14539" s="4">
        <f>IFERROR(__xludf.DUMMYFUNCTION("""COMPUTED_VALUE"""),53.0)</f>
        <v>53</v>
      </c>
      <c r="H14539" s="4"/>
      <c r="I14539" s="4"/>
    </row>
    <row r="14540">
      <c r="A14540" s="4" t="str">
        <f>IFERROR(__xludf.DUMMYFUNCTION("""COMPUTED_VALUE"""),"cas_hmw")</f>
        <v>cas_hmw</v>
      </c>
      <c r="B14540" s="5">
        <f>IFERROR(__xludf.DUMMYFUNCTION("""COMPUTED_VALUE"""),44723.0)</f>
        <v>44723</v>
      </c>
      <c r="C14540" s="6">
        <f>IFERROR(__xludf.DUMMYFUNCTION("""COMPUTED_VALUE"""),0.7108564814807323)</f>
        <v>0.7108564815</v>
      </c>
      <c r="D14540" s="4">
        <f>IFERROR(__xludf.DUMMYFUNCTION("""COMPUTED_VALUE"""),12.985647)</f>
        <v>12.985647</v>
      </c>
      <c r="E14540" s="4">
        <f>IFERROR(__xludf.DUMMYFUNCTION("""COMPUTED_VALUE"""),80.173439)</f>
        <v>80.173439</v>
      </c>
      <c r="F14540" s="4">
        <f>IFERROR(__xludf.DUMMYFUNCTION("""COMPUTED_VALUE"""),805.0)</f>
        <v>805</v>
      </c>
      <c r="G14540" s="4">
        <f>IFERROR(__xludf.DUMMYFUNCTION("""COMPUTED_VALUE"""),4.0)</f>
        <v>4</v>
      </c>
      <c r="H14540" s="4"/>
      <c r="I14540" s="4"/>
    </row>
    <row r="14541">
      <c r="A14541" s="4" t="str">
        <f>IFERROR(__xludf.DUMMYFUNCTION("""COMPUTED_VALUE"""),"cas_hmw")</f>
        <v>cas_hmw</v>
      </c>
      <c r="B14541" s="5">
        <f>IFERROR(__xludf.DUMMYFUNCTION("""COMPUTED_VALUE"""),44723.0)</f>
        <v>44723</v>
      </c>
      <c r="C14541" s="6">
        <f>IFERROR(__xludf.DUMMYFUNCTION("""COMPUTED_VALUE"""),0.7108564814807323)</f>
        <v>0.7108564815</v>
      </c>
      <c r="D14541" s="4">
        <f>IFERROR(__xludf.DUMMYFUNCTION("""COMPUTED_VALUE"""),12.985647)</f>
        <v>12.985647</v>
      </c>
      <c r="E14541" s="4">
        <f>IFERROR(__xludf.DUMMYFUNCTION("""COMPUTED_VALUE"""),80.173439)</f>
        <v>80.173439</v>
      </c>
      <c r="F14541" s="4">
        <f>IFERROR(__xludf.DUMMYFUNCTION("""COMPUTED_VALUE"""),805.0)</f>
        <v>805</v>
      </c>
      <c r="G14541" s="4">
        <f>IFERROR(__xludf.DUMMYFUNCTION("""COMPUTED_VALUE"""),4.0)</f>
        <v>4</v>
      </c>
      <c r="H14541" s="4"/>
      <c r="I14541" s="4"/>
    </row>
    <row r="14542">
      <c r="A14542" s="4" t="str">
        <f>IFERROR(__xludf.DUMMYFUNCTION("""COMPUTED_VALUE"""),"cas_hmw")</f>
        <v>cas_hmw</v>
      </c>
      <c r="B14542" s="5">
        <f>IFERROR(__xludf.DUMMYFUNCTION("""COMPUTED_VALUE"""),44723.0)</f>
        <v>44723</v>
      </c>
      <c r="C14542" s="6">
        <f>IFERROR(__xludf.DUMMYFUNCTION("""COMPUTED_VALUE"""),0.7147106481497758)</f>
        <v>0.7147106481</v>
      </c>
      <c r="D14542" s="4">
        <f>IFERROR(__xludf.DUMMYFUNCTION("""COMPUTED_VALUE"""),12.995735)</f>
        <v>12.995735</v>
      </c>
      <c r="E14542" s="4">
        <f>IFERROR(__xludf.DUMMYFUNCTION("""COMPUTED_VALUE"""),80.188692)</f>
        <v>80.188692</v>
      </c>
      <c r="F14542" s="4">
        <f>IFERROR(__xludf.DUMMYFUNCTION("""COMPUTED_VALUE"""),805.0)</f>
        <v>805</v>
      </c>
      <c r="G14542" s="4">
        <f>IFERROR(__xludf.DUMMYFUNCTION("""COMPUTED_VALUE"""),56.0)</f>
        <v>56</v>
      </c>
      <c r="H14542" s="4"/>
      <c r="I14542" s="4"/>
    </row>
    <row r="14543">
      <c r="A14543" s="4" t="str">
        <f>IFERROR(__xludf.DUMMYFUNCTION("""COMPUTED_VALUE"""),"cas_hmw")</f>
        <v>cas_hmw</v>
      </c>
      <c r="B14543" s="5">
        <f>IFERROR(__xludf.DUMMYFUNCTION("""COMPUTED_VALUE"""),44723.0)</f>
        <v>44723</v>
      </c>
      <c r="C14543" s="6">
        <f>IFERROR(__xludf.DUMMYFUNCTION("""COMPUTED_VALUE"""),0.7148726851846732)</f>
        <v>0.7148726852</v>
      </c>
      <c r="D14543" s="4">
        <f>IFERROR(__xludf.DUMMYFUNCTION("""COMPUTED_VALUE"""),12.997191)</f>
        <v>12.997191</v>
      </c>
      <c r="E14543" s="4">
        <f>IFERROR(__xludf.DUMMYFUNCTION("""COMPUTED_VALUE"""),80.190558)</f>
        <v>80.190558</v>
      </c>
      <c r="F14543" s="4">
        <f>IFERROR(__xludf.DUMMYFUNCTION("""COMPUTED_VALUE"""),805.0)</f>
        <v>805</v>
      </c>
      <c r="G14543" s="4">
        <f>IFERROR(__xludf.DUMMYFUNCTION("""COMPUTED_VALUE"""),56.0)</f>
        <v>56</v>
      </c>
      <c r="H14543" s="4"/>
      <c r="I14543" s="4"/>
    </row>
    <row r="14544">
      <c r="A14544" s="4" t="str">
        <f>IFERROR(__xludf.DUMMYFUNCTION("""COMPUTED_VALUE"""),"cas_hmw")</f>
        <v>cas_hmw</v>
      </c>
      <c r="B14544" s="5">
        <f>IFERROR(__xludf.DUMMYFUNCTION("""COMPUTED_VALUE"""),44723.0)</f>
        <v>44723</v>
      </c>
      <c r="C14544" s="6">
        <f>IFERROR(__xludf.DUMMYFUNCTION("""COMPUTED_VALUE"""),0.7150810185194132)</f>
        <v>0.7150810185</v>
      </c>
      <c r="D14544" s="4">
        <f>IFERROR(__xludf.DUMMYFUNCTION("""COMPUTED_VALUE"""),12.998345)</f>
        <v>12.998345</v>
      </c>
      <c r="E14544" s="4">
        <f>IFERROR(__xludf.DUMMYFUNCTION("""COMPUTED_VALUE"""),80.191994)</f>
        <v>80.191994</v>
      </c>
      <c r="F14544" s="4">
        <f>IFERROR(__xludf.DUMMYFUNCTION("""COMPUTED_VALUE"""),805.0)</f>
        <v>805</v>
      </c>
      <c r="G14544" s="4">
        <f>IFERROR(__xludf.DUMMYFUNCTION("""COMPUTED_VALUE"""),0.0)</f>
        <v>0</v>
      </c>
      <c r="H14544" s="4"/>
      <c r="I14544" s="4"/>
    </row>
    <row r="14545">
      <c r="A14545" s="4" t="str">
        <f>IFERROR(__xludf.DUMMYFUNCTION("""COMPUTED_VALUE"""),"cas_hmw")</f>
        <v>cas_hmw</v>
      </c>
      <c r="B14545" s="5">
        <f>IFERROR(__xludf.DUMMYFUNCTION("""COMPUTED_VALUE"""),44723.0)</f>
        <v>44723</v>
      </c>
      <c r="C14545" s="6">
        <f>IFERROR(__xludf.DUMMYFUNCTION("""COMPUTED_VALUE"""),0.7154513888890506)</f>
        <v>0.7154513889</v>
      </c>
      <c r="D14545" s="4">
        <f>IFERROR(__xludf.DUMMYFUNCTION("""COMPUTED_VALUE"""),12.999719)</f>
        <v>12.999719</v>
      </c>
      <c r="E14545" s="4">
        <f>IFERROR(__xludf.DUMMYFUNCTION("""COMPUTED_VALUE"""),80.193728)</f>
        <v>80.193728</v>
      </c>
      <c r="F14545" s="4">
        <f>IFERROR(__xludf.DUMMYFUNCTION("""COMPUTED_VALUE"""),805.0)</f>
        <v>805</v>
      </c>
      <c r="G14545" s="4">
        <f>IFERROR(__xludf.DUMMYFUNCTION("""COMPUTED_VALUE"""),35.0)</f>
        <v>35</v>
      </c>
      <c r="H14545" s="4"/>
      <c r="I14545" s="4"/>
    </row>
    <row r="14546">
      <c r="A14546" s="4" t="str">
        <f>IFERROR(__xludf.DUMMYFUNCTION("""COMPUTED_VALUE"""),"cas_hmw")</f>
        <v>cas_hmw</v>
      </c>
      <c r="B14546" s="5">
        <f>IFERROR(__xludf.DUMMYFUNCTION("""COMPUTED_VALUE"""),44723.0)</f>
        <v>44723</v>
      </c>
      <c r="C14546" s="6">
        <f>IFERROR(__xludf.DUMMYFUNCTION("""COMPUTED_VALUE"""),0.7155092592583969)</f>
        <v>0.7155092593</v>
      </c>
      <c r="D14546" s="4">
        <f>IFERROR(__xludf.DUMMYFUNCTION("""COMPUTED_VALUE"""),12.999719)</f>
        <v>12.999719</v>
      </c>
      <c r="E14546" s="4">
        <f>IFERROR(__xludf.DUMMYFUNCTION("""COMPUTED_VALUE"""),80.193728)</f>
        <v>80.193728</v>
      </c>
      <c r="F14546" s="4">
        <f>IFERROR(__xludf.DUMMYFUNCTION("""COMPUTED_VALUE"""),805.0)</f>
        <v>805</v>
      </c>
      <c r="G14546" s="4">
        <f>IFERROR(__xludf.DUMMYFUNCTION("""COMPUTED_VALUE"""),35.0)</f>
        <v>35</v>
      </c>
      <c r="H14546" s="4"/>
      <c r="I14546" s="4"/>
    </row>
    <row r="14547">
      <c r="A14547" s="4" t="str">
        <f>IFERROR(__xludf.DUMMYFUNCTION("""COMPUTED_VALUE"""),"cas_hmw")</f>
        <v>cas_hmw</v>
      </c>
      <c r="B14547" s="5">
        <f>IFERROR(__xludf.DUMMYFUNCTION("""COMPUTED_VALUE"""),44723.0)</f>
        <v>44723</v>
      </c>
      <c r="C14547" s="6">
        <f>IFERROR(__xludf.DUMMYFUNCTION("""COMPUTED_VALUE"""),0.7155902777776646)</f>
        <v>0.7155902778</v>
      </c>
      <c r="D14547" s="4">
        <f>IFERROR(__xludf.DUMMYFUNCTION("""COMPUTED_VALUE"""),13.057666)</f>
        <v>13.057666</v>
      </c>
      <c r="E14547" s="4">
        <f>IFERROR(__xludf.DUMMYFUNCTION("""COMPUTED_VALUE"""),80.160016)</f>
        <v>80.160016</v>
      </c>
      <c r="F14547" s="4">
        <f>IFERROR(__xludf.DUMMYFUNCTION("""COMPUTED_VALUE"""),2846.0)</f>
        <v>2846</v>
      </c>
      <c r="G14547" s="4">
        <f>IFERROR(__xludf.DUMMYFUNCTION("""COMPUTED_VALUE"""),57.0)</f>
        <v>57</v>
      </c>
      <c r="H14547" s="4"/>
      <c r="I14547" s="4"/>
    </row>
    <row r="14548">
      <c r="A14548" s="4" t="str">
        <f>IFERROR(__xludf.DUMMYFUNCTION("""COMPUTED_VALUE"""),"cas_hmw")</f>
        <v>cas_hmw</v>
      </c>
      <c r="B14548" s="5">
        <f>IFERROR(__xludf.DUMMYFUNCTION("""COMPUTED_VALUE"""),44723.0)</f>
        <v>44723</v>
      </c>
      <c r="C14548" s="6">
        <f>IFERROR(__xludf.DUMMYFUNCTION("""COMPUTED_VALUE"""),0.7157986111124046)</f>
        <v>0.7157986111</v>
      </c>
      <c r="D14548" s="4">
        <f>IFERROR(__xludf.DUMMYFUNCTION("""COMPUTED_VALUE"""),13.001589)</f>
        <v>13.001589</v>
      </c>
      <c r="E14548" s="4">
        <f>IFERROR(__xludf.DUMMYFUNCTION("""COMPUTED_VALUE"""),80.196029)</f>
        <v>80.196029</v>
      </c>
      <c r="F14548" s="4">
        <f>IFERROR(__xludf.DUMMYFUNCTION("""COMPUTED_VALUE"""),805.0)</f>
        <v>805</v>
      </c>
      <c r="G14548" s="4">
        <f>IFERROR(__xludf.DUMMYFUNCTION("""COMPUTED_VALUE"""),28.0)</f>
        <v>28</v>
      </c>
      <c r="H14548" s="4"/>
      <c r="I14548" s="4"/>
    </row>
    <row r="14549">
      <c r="A14549" s="4" t="str">
        <f>IFERROR(__xludf.DUMMYFUNCTION("""COMPUTED_VALUE"""),"cas_hmw")</f>
        <v>cas_hmw</v>
      </c>
      <c r="B14549" s="5">
        <f>IFERROR(__xludf.DUMMYFUNCTION("""COMPUTED_VALUE"""),44723.0)</f>
        <v>44723</v>
      </c>
      <c r="C14549" s="6">
        <f>IFERROR(__xludf.DUMMYFUNCTION("""COMPUTED_VALUE"""),0.7159375000010186)</f>
        <v>0.7159375</v>
      </c>
      <c r="D14549" s="4">
        <f>IFERROR(__xludf.DUMMYFUNCTION("""COMPUTED_VALUE"""),13.002059)</f>
        <v>13.002059</v>
      </c>
      <c r="E14549" s="4">
        <f>IFERROR(__xludf.DUMMYFUNCTION("""COMPUTED_VALUE"""),80.197677)</f>
        <v>80.197677</v>
      </c>
      <c r="F14549" s="4">
        <f>IFERROR(__xludf.DUMMYFUNCTION("""COMPUTED_VALUE"""),805.0)</f>
        <v>805</v>
      </c>
      <c r="G14549" s="4">
        <f>IFERROR(__xludf.DUMMYFUNCTION("""COMPUTED_VALUE"""),43.0)</f>
        <v>43</v>
      </c>
      <c r="H14549" s="4"/>
      <c r="I14549" s="4"/>
    </row>
    <row r="14550">
      <c r="A14550" s="4" t="str">
        <f>IFERROR(__xludf.DUMMYFUNCTION("""COMPUTED_VALUE"""),"cas_hmw")</f>
        <v>cas_hmw</v>
      </c>
      <c r="B14550" s="5">
        <f>IFERROR(__xludf.DUMMYFUNCTION("""COMPUTED_VALUE"""),44723.0)</f>
        <v>44723</v>
      </c>
      <c r="C14550" s="6">
        <f>IFERROR(__xludf.DUMMYFUNCTION("""COMPUTED_VALUE"""),0.7160763888896327)</f>
        <v>0.7160763889</v>
      </c>
      <c r="D14550" s="4">
        <f>IFERROR(__xludf.DUMMYFUNCTION("""COMPUTED_VALUE"""),13.002059)</f>
        <v>13.002059</v>
      </c>
      <c r="E14550" s="4">
        <f>IFERROR(__xludf.DUMMYFUNCTION("""COMPUTED_VALUE"""),80.197677)</f>
        <v>80.197677</v>
      </c>
      <c r="F14550" s="4">
        <f>IFERROR(__xludf.DUMMYFUNCTION("""COMPUTED_VALUE"""),805.0)</f>
        <v>805</v>
      </c>
      <c r="G14550" s="4">
        <f>IFERROR(__xludf.DUMMYFUNCTION("""COMPUTED_VALUE"""),43.0)</f>
        <v>43</v>
      </c>
      <c r="H14550" s="4"/>
      <c r="I14550" s="4"/>
    </row>
    <row r="14551">
      <c r="A14551" s="4" t="str">
        <f>IFERROR(__xludf.DUMMYFUNCTION("""COMPUTED_VALUE"""),"cas_hmw")</f>
        <v>cas_hmw</v>
      </c>
      <c r="B14551" s="5">
        <f>IFERROR(__xludf.DUMMYFUNCTION("""COMPUTED_VALUE"""),44723.0)</f>
        <v>44723</v>
      </c>
      <c r="C14551" s="6">
        <f>IFERROR(__xludf.DUMMYFUNCTION("""COMPUTED_VALUE"""),0.7161921296283253)</f>
        <v>0.7161921296</v>
      </c>
      <c r="D14551" s="4">
        <f>IFERROR(__xludf.DUMMYFUNCTION("""COMPUTED_VALUE"""),13.064315)</f>
        <v>13.064315</v>
      </c>
      <c r="E14551" s="4">
        <f>IFERROR(__xludf.DUMMYFUNCTION("""COMPUTED_VALUE"""),80.160985)</f>
        <v>80.160985</v>
      </c>
      <c r="F14551" s="4">
        <f>IFERROR(__xludf.DUMMYFUNCTION("""COMPUTED_VALUE"""),2846.0)</f>
        <v>2846</v>
      </c>
      <c r="G14551" s="4">
        <f>IFERROR(__xludf.DUMMYFUNCTION("""COMPUTED_VALUE"""),52.0)</f>
        <v>52</v>
      </c>
      <c r="H14551" s="4"/>
      <c r="I14551" s="4"/>
    </row>
    <row r="14552">
      <c r="A14552" s="4" t="str">
        <f>IFERROR(__xludf.DUMMYFUNCTION("""COMPUTED_VALUE"""),"cas_hmw")</f>
        <v>cas_hmw</v>
      </c>
      <c r="B14552" s="5">
        <f>IFERROR(__xludf.DUMMYFUNCTION("""COMPUTED_VALUE"""),44723.0)</f>
        <v>44723</v>
      </c>
      <c r="C14552" s="6">
        <f>IFERROR(__xludf.DUMMYFUNCTION("""COMPUTED_VALUE"""),0.71623842592453)</f>
        <v>0.7162384259</v>
      </c>
      <c r="D14552" s="4">
        <f>IFERROR(__xludf.DUMMYFUNCTION("""COMPUTED_VALUE"""),13.001814)</f>
        <v>13.001814</v>
      </c>
      <c r="E14552" s="4">
        <f>IFERROR(__xludf.DUMMYFUNCTION("""COMPUTED_VALUE"""),80.199541)</f>
        <v>80.199541</v>
      </c>
      <c r="F14552" s="4">
        <f>IFERROR(__xludf.DUMMYFUNCTION("""COMPUTED_VALUE"""),805.0)</f>
        <v>805</v>
      </c>
      <c r="G14552" s="4">
        <f>IFERROR(__xludf.DUMMYFUNCTION("""COMPUTED_VALUE"""),44.0)</f>
        <v>44</v>
      </c>
      <c r="H14552" s="4"/>
      <c r="I14552" s="4"/>
    </row>
    <row r="14553">
      <c r="A14553" s="4" t="str">
        <f>IFERROR(__xludf.DUMMYFUNCTION("""COMPUTED_VALUE"""),"cas_hmw")</f>
        <v>cas_hmw</v>
      </c>
      <c r="B14553" s="5">
        <f>IFERROR(__xludf.DUMMYFUNCTION("""COMPUTED_VALUE"""),44723.0)</f>
        <v>44723</v>
      </c>
      <c r="C14553" s="6">
        <f>IFERROR(__xludf.DUMMYFUNCTION("""COMPUTED_VALUE"""),0.7167939814826241)</f>
        <v>0.7167939815</v>
      </c>
      <c r="D14553" s="4">
        <f>IFERROR(__xludf.DUMMYFUNCTION("""COMPUTED_VALUE"""),13.068518)</f>
        <v>13.068518</v>
      </c>
      <c r="E14553" s="4">
        <f>IFERROR(__xludf.DUMMYFUNCTION("""COMPUTED_VALUE"""),80.160944)</f>
        <v>80.160944</v>
      </c>
      <c r="F14553" s="4">
        <f>IFERROR(__xludf.DUMMYFUNCTION("""COMPUTED_VALUE"""),2846.0)</f>
        <v>2846</v>
      </c>
      <c r="G14553" s="4">
        <f>IFERROR(__xludf.DUMMYFUNCTION("""COMPUTED_VALUE"""),52.0)</f>
        <v>52</v>
      </c>
      <c r="H14553" s="4"/>
      <c r="I14553" s="4"/>
    </row>
    <row r="14554">
      <c r="A14554" s="4" t="str">
        <f>IFERROR(__xludf.DUMMYFUNCTION("""COMPUTED_VALUE"""),"cas_hmw")</f>
        <v>cas_hmw</v>
      </c>
      <c r="B14554" s="5">
        <f>IFERROR(__xludf.DUMMYFUNCTION("""COMPUTED_VALUE"""),44723.0)</f>
        <v>44723</v>
      </c>
      <c r="C14554" s="6">
        <f>IFERROR(__xludf.DUMMYFUNCTION("""COMPUTED_VALUE"""),0.7171759259254031)</f>
        <v>0.7171759259</v>
      </c>
      <c r="D14554" s="4">
        <f>IFERROR(__xludf.DUMMYFUNCTION("""COMPUTED_VALUE"""),13.008208)</f>
        <v>13.008208</v>
      </c>
      <c r="E14554" s="4">
        <f>IFERROR(__xludf.DUMMYFUNCTION("""COMPUTED_VALUE"""),80.203652)</f>
        <v>80.203652</v>
      </c>
      <c r="F14554" s="4">
        <f>IFERROR(__xludf.DUMMYFUNCTION("""COMPUTED_VALUE"""),805.0)</f>
        <v>805</v>
      </c>
      <c r="G14554" s="4">
        <f>IFERROR(__xludf.DUMMYFUNCTION("""COMPUTED_VALUE"""),27.0)</f>
        <v>27</v>
      </c>
      <c r="H14554" s="4"/>
      <c r="I14554" s="4"/>
    </row>
    <row r="14555">
      <c r="A14555" s="4" t="str">
        <f>IFERROR(__xludf.DUMMYFUNCTION("""COMPUTED_VALUE"""),"cas_hmw")</f>
        <v>cas_hmw</v>
      </c>
      <c r="B14555" s="5">
        <f>IFERROR(__xludf.DUMMYFUNCTION("""COMPUTED_VALUE"""),44723.0)</f>
        <v>44723</v>
      </c>
      <c r="C14555" s="6">
        <f>IFERROR(__xludf.DUMMYFUNCTION("""COMPUTED_VALUE"""),0.7175925925912452)</f>
        <v>0.7175925926</v>
      </c>
      <c r="D14555" s="4">
        <f>IFERROR(__xludf.DUMMYFUNCTION("""COMPUTED_VALUE"""),13.007644)</f>
        <v>13.007644</v>
      </c>
      <c r="E14555" s="4">
        <f>IFERROR(__xludf.DUMMYFUNCTION("""COMPUTED_VALUE"""),80.204757)</f>
        <v>80.204757</v>
      </c>
      <c r="F14555" s="4">
        <f>IFERROR(__xludf.DUMMYFUNCTION("""COMPUTED_VALUE"""),805.0)</f>
        <v>805</v>
      </c>
      <c r="G14555" s="4">
        <f>IFERROR(__xludf.DUMMYFUNCTION("""COMPUTED_VALUE"""),61.0)</f>
        <v>61</v>
      </c>
      <c r="H14555" s="4"/>
      <c r="I14555" s="4"/>
    </row>
    <row r="14556">
      <c r="A14556" s="4" t="str">
        <f>IFERROR(__xludf.DUMMYFUNCTION("""COMPUTED_VALUE"""),"cas_hmw")</f>
        <v>cas_hmw</v>
      </c>
      <c r="B14556" s="5">
        <f>IFERROR(__xludf.DUMMYFUNCTION("""COMPUTED_VALUE"""),44723.0)</f>
        <v>44723</v>
      </c>
      <c r="C14556" s="6">
        <f>IFERROR(__xludf.DUMMYFUNCTION("""COMPUTED_VALUE"""),0.7176157407411665)</f>
        <v>0.7176157407</v>
      </c>
      <c r="D14556" s="4">
        <f>IFERROR(__xludf.DUMMYFUNCTION("""COMPUTED_VALUE"""),13.007798)</f>
        <v>13.007798</v>
      </c>
      <c r="E14556" s="4">
        <f>IFERROR(__xludf.DUMMYFUNCTION("""COMPUTED_VALUE"""),80.206822)</f>
        <v>80.206822</v>
      </c>
      <c r="F14556" s="4">
        <f>IFERROR(__xludf.DUMMYFUNCTION("""COMPUTED_VALUE"""),805.0)</f>
        <v>805</v>
      </c>
      <c r="G14556" s="4">
        <f>IFERROR(__xludf.DUMMYFUNCTION("""COMPUTED_VALUE"""),42.0)</f>
        <v>42</v>
      </c>
      <c r="H14556" s="4"/>
      <c r="I14556" s="4"/>
    </row>
    <row r="14557">
      <c r="A14557" s="4" t="str">
        <f>IFERROR(__xludf.DUMMYFUNCTION("""COMPUTED_VALUE"""),"cas_hmw")</f>
        <v>cas_hmw</v>
      </c>
      <c r="B14557" s="5">
        <f>IFERROR(__xludf.DUMMYFUNCTION("""COMPUTED_VALUE"""),44723.0)</f>
        <v>44723</v>
      </c>
      <c r="C14557" s="6">
        <f>IFERROR(__xludf.DUMMYFUNCTION("""COMPUTED_VALUE"""),0.7177893518528435)</f>
        <v>0.7177893519</v>
      </c>
      <c r="D14557" s="4">
        <f>IFERROR(__xludf.DUMMYFUNCTION("""COMPUTED_VALUE"""),13.007798)</f>
        <v>13.007798</v>
      </c>
      <c r="E14557" s="4">
        <f>IFERROR(__xludf.DUMMYFUNCTION("""COMPUTED_VALUE"""),80.206822)</f>
        <v>80.206822</v>
      </c>
      <c r="F14557" s="4">
        <f>IFERROR(__xludf.DUMMYFUNCTION("""COMPUTED_VALUE"""),805.0)</f>
        <v>805</v>
      </c>
      <c r="G14557" s="4">
        <f>IFERROR(__xludf.DUMMYFUNCTION("""COMPUTED_VALUE"""),42.0)</f>
        <v>42</v>
      </c>
      <c r="H14557" s="4"/>
      <c r="I14557" s="4"/>
    </row>
    <row r="14558">
      <c r="A14558" s="4" t="str">
        <f>IFERROR(__xludf.DUMMYFUNCTION("""COMPUTED_VALUE"""),"cas_hmw")</f>
        <v>cas_hmw</v>
      </c>
      <c r="B14558" s="5">
        <f>IFERROR(__xludf.DUMMYFUNCTION("""COMPUTED_VALUE"""),44723.0)</f>
        <v>44723</v>
      </c>
      <c r="C14558" s="6">
        <f>IFERROR(__xludf.DUMMYFUNCTION("""COMPUTED_VALUE"""),0.7177893518528435)</f>
        <v>0.7177893519</v>
      </c>
      <c r="D14558" s="4">
        <f>IFERROR(__xludf.DUMMYFUNCTION("""COMPUTED_VALUE"""),13.007798)</f>
        <v>13.007798</v>
      </c>
      <c r="E14558" s="4">
        <f>IFERROR(__xludf.DUMMYFUNCTION("""COMPUTED_VALUE"""),80.206822)</f>
        <v>80.206822</v>
      </c>
      <c r="F14558" s="4">
        <f>IFERROR(__xludf.DUMMYFUNCTION("""COMPUTED_VALUE"""),805.0)</f>
        <v>805</v>
      </c>
      <c r="G14558" s="4">
        <f>IFERROR(__xludf.DUMMYFUNCTION("""COMPUTED_VALUE"""),42.0)</f>
        <v>42</v>
      </c>
      <c r="H14558" s="4"/>
      <c r="I14558" s="4"/>
    </row>
    <row r="14559">
      <c r="A14559" s="4" t="str">
        <f>IFERROR(__xludf.DUMMYFUNCTION("""COMPUTED_VALUE"""),"cas_hmw")</f>
        <v>cas_hmw</v>
      </c>
      <c r="B14559" s="5">
        <f>IFERROR(__xludf.DUMMYFUNCTION("""COMPUTED_VALUE"""),44723.0)</f>
        <v>44723</v>
      </c>
      <c r="C14559" s="6">
        <f>IFERROR(__xludf.DUMMYFUNCTION("""COMPUTED_VALUE"""),0.718472222222772)</f>
        <v>0.7184722222</v>
      </c>
      <c r="D14559" s="4">
        <f>IFERROR(__xludf.DUMMYFUNCTION("""COMPUTED_VALUE"""),13.009432)</f>
        <v>13.009432</v>
      </c>
      <c r="E14559" s="4">
        <f>IFERROR(__xludf.DUMMYFUNCTION("""COMPUTED_VALUE"""),80.212898)</f>
        <v>80.212898</v>
      </c>
      <c r="F14559" s="4">
        <f>IFERROR(__xludf.DUMMYFUNCTION("""COMPUTED_VALUE"""),805.0)</f>
        <v>805</v>
      </c>
      <c r="G14559" s="4">
        <f>IFERROR(__xludf.DUMMYFUNCTION("""COMPUTED_VALUE"""),28.0)</f>
        <v>28</v>
      </c>
      <c r="H14559" s="4"/>
      <c r="I14559" s="4"/>
    </row>
    <row r="14560">
      <c r="A14560" s="4" t="str">
        <f>IFERROR(__xludf.DUMMYFUNCTION("""COMPUTED_VALUE"""),"cas_hmw")</f>
        <v>cas_hmw</v>
      </c>
      <c r="B14560" s="5">
        <f>IFERROR(__xludf.DUMMYFUNCTION("""COMPUTED_VALUE"""),44723.0)</f>
        <v>44723</v>
      </c>
      <c r="C14560" s="6">
        <f>IFERROR(__xludf.DUMMYFUNCTION("""COMPUTED_VALUE"""),0.7196296296278888)</f>
        <v>0.7196296296</v>
      </c>
      <c r="D14560" s="4">
        <f>IFERROR(__xludf.DUMMYFUNCTION("""COMPUTED_VALUE"""),13.012226)</f>
        <v>13.012226</v>
      </c>
      <c r="E14560" s="4">
        <f>IFERROR(__xludf.DUMMYFUNCTION("""COMPUTED_VALUE"""),80.220667)</f>
        <v>80.220667</v>
      </c>
      <c r="F14560" s="4">
        <f>IFERROR(__xludf.DUMMYFUNCTION("""COMPUTED_VALUE"""),805.0)</f>
        <v>805</v>
      </c>
      <c r="G14560" s="4">
        <f>IFERROR(__xludf.DUMMYFUNCTION("""COMPUTED_VALUE"""),0.0)</f>
        <v>0</v>
      </c>
      <c r="H14560" s="4"/>
      <c r="I14560" s="4"/>
    </row>
    <row r="14561">
      <c r="A14561" s="4" t="str">
        <f>IFERROR(__xludf.DUMMYFUNCTION("""COMPUTED_VALUE"""),"cas_hmw")</f>
        <v>cas_hmw</v>
      </c>
      <c r="B14561" s="5">
        <f>IFERROR(__xludf.DUMMYFUNCTION("""COMPUTED_VALUE"""),44723.0)</f>
        <v>44723</v>
      </c>
      <c r="C14561" s="6">
        <f>IFERROR(__xludf.DUMMYFUNCTION("""COMPUTED_VALUE"""),0.7208564814827696)</f>
        <v>0.7208564815</v>
      </c>
      <c r="D14561" s="4">
        <f>IFERROR(__xludf.DUMMYFUNCTION("""COMPUTED_VALUE"""),13.051527)</f>
        <v>13.051527</v>
      </c>
      <c r="E14561" s="4">
        <f>IFERROR(__xludf.DUMMYFUNCTION("""COMPUTED_VALUE"""),80.089552)</f>
        <v>80.089552</v>
      </c>
      <c r="F14561" s="4">
        <f>IFERROR(__xludf.DUMMYFUNCTION("""COMPUTED_VALUE"""),5339.0)</f>
        <v>5339</v>
      </c>
      <c r="G14561" s="4">
        <f>IFERROR(__xludf.DUMMYFUNCTION("""COMPUTED_VALUE"""),41.0)</f>
        <v>41</v>
      </c>
      <c r="H14561" s="4"/>
      <c r="I14561" s="4"/>
    </row>
    <row r="14562">
      <c r="A14562" s="4" t="str">
        <f>IFERROR(__xludf.DUMMYFUNCTION("""COMPUTED_VALUE"""),"cas_hmw")</f>
        <v>cas_hmw</v>
      </c>
      <c r="B14562" s="5">
        <f>IFERROR(__xludf.DUMMYFUNCTION("""COMPUTED_VALUE"""),44723.0)</f>
        <v>44723</v>
      </c>
      <c r="C14562" s="6">
        <f>IFERROR(__xludf.DUMMYFUNCTION("""COMPUTED_VALUE"""),0.7208680555559113)</f>
        <v>0.7208680556</v>
      </c>
      <c r="D14562" s="4">
        <f>IFERROR(__xludf.DUMMYFUNCTION("""COMPUTED_VALUE"""),13.091147)</f>
        <v>13.091147</v>
      </c>
      <c r="E14562" s="4">
        <f>IFERROR(__xludf.DUMMYFUNCTION("""COMPUTED_VALUE"""),80.161413)</f>
        <v>80.161413</v>
      </c>
      <c r="F14562" s="4">
        <f>IFERROR(__xludf.DUMMYFUNCTION("""COMPUTED_VALUE"""),2846.0)</f>
        <v>2846</v>
      </c>
      <c r="G14562" s="4">
        <f>IFERROR(__xludf.DUMMYFUNCTION("""COMPUTED_VALUE"""),0.0)</f>
        <v>0</v>
      </c>
      <c r="H14562" s="4"/>
      <c r="I14562" s="4"/>
    </row>
    <row r="14563">
      <c r="A14563" s="4" t="str">
        <f>IFERROR(__xludf.DUMMYFUNCTION("""COMPUTED_VALUE"""),"cas_hmw")</f>
        <v>cas_hmw</v>
      </c>
      <c r="B14563" s="5">
        <f>IFERROR(__xludf.DUMMYFUNCTION("""COMPUTED_VALUE"""),44723.0)</f>
        <v>44723</v>
      </c>
      <c r="C14563" s="6">
        <f>IFERROR(__xludf.DUMMYFUNCTION("""COMPUTED_VALUE"""),0.7209374999983993)</f>
        <v>0.7209375</v>
      </c>
      <c r="D14563" s="4">
        <f>IFERROR(__xludf.DUMMYFUNCTION("""COMPUTED_VALUE"""),13.015412)</f>
        <v>13.015412</v>
      </c>
      <c r="E14563" s="4">
        <f>IFERROR(__xludf.DUMMYFUNCTION("""COMPUTED_VALUE"""),80.225403)</f>
        <v>80.225403</v>
      </c>
      <c r="F14563" s="4">
        <f>IFERROR(__xludf.DUMMYFUNCTION("""COMPUTED_VALUE"""),805.0)</f>
        <v>805</v>
      </c>
      <c r="G14563" s="4">
        <f>IFERROR(__xludf.DUMMYFUNCTION("""COMPUTED_VALUE"""),19.0)</f>
        <v>19</v>
      </c>
      <c r="H14563" s="4"/>
      <c r="I14563" s="4"/>
    </row>
    <row r="14564">
      <c r="A14564" s="4" t="str">
        <f>IFERROR(__xludf.DUMMYFUNCTION("""COMPUTED_VALUE"""),"cas_hmw")</f>
        <v>cas_hmw</v>
      </c>
      <c r="B14564" s="5">
        <f>IFERROR(__xludf.DUMMYFUNCTION("""COMPUTED_VALUE"""),44723.0)</f>
        <v>44723</v>
      </c>
      <c r="C14564" s="6">
        <f>IFERROR(__xludf.DUMMYFUNCTION("""COMPUTED_VALUE"""),0.7209374999983993)</f>
        <v>0.7209375</v>
      </c>
      <c r="D14564" s="4">
        <f>IFERROR(__xludf.DUMMYFUNCTION("""COMPUTED_VALUE"""),13.015412)</f>
        <v>13.015412</v>
      </c>
      <c r="E14564" s="4">
        <f>IFERROR(__xludf.DUMMYFUNCTION("""COMPUTED_VALUE"""),80.225403)</f>
        <v>80.225403</v>
      </c>
      <c r="F14564" s="4">
        <f>IFERROR(__xludf.DUMMYFUNCTION("""COMPUTED_VALUE"""),805.0)</f>
        <v>805</v>
      </c>
      <c r="G14564" s="4">
        <f>IFERROR(__xludf.DUMMYFUNCTION("""COMPUTED_VALUE"""),19.0)</f>
        <v>19</v>
      </c>
      <c r="H14564" s="4"/>
      <c r="I14564" s="4"/>
    </row>
    <row r="14565">
      <c r="A14565" s="4" t="str">
        <f>IFERROR(__xludf.DUMMYFUNCTION("""COMPUTED_VALUE"""),"cas_hmw")</f>
        <v>cas_hmw</v>
      </c>
      <c r="B14565" s="5">
        <f>IFERROR(__xludf.DUMMYFUNCTION("""COMPUTED_VALUE"""),44723.0)</f>
        <v>44723</v>
      </c>
      <c r="C14565" s="6">
        <f>IFERROR(__xludf.DUMMYFUNCTION("""COMPUTED_VALUE"""),0.7209722222214623)</f>
        <v>0.7209722222</v>
      </c>
      <c r="D14565" s="4">
        <f>IFERROR(__xludf.DUMMYFUNCTION("""COMPUTED_VALUE"""),13.015412)</f>
        <v>13.015412</v>
      </c>
      <c r="E14565" s="4">
        <f>IFERROR(__xludf.DUMMYFUNCTION("""COMPUTED_VALUE"""),80.225403)</f>
        <v>80.225403</v>
      </c>
      <c r="F14565" s="4">
        <f>IFERROR(__xludf.DUMMYFUNCTION("""COMPUTED_VALUE"""),805.0)</f>
        <v>805</v>
      </c>
      <c r="G14565" s="4">
        <f>IFERROR(__xludf.DUMMYFUNCTION("""COMPUTED_VALUE"""),19.0)</f>
        <v>19</v>
      </c>
      <c r="H14565" s="4"/>
      <c r="I14565" s="4"/>
    </row>
    <row r="14566">
      <c r="A14566" s="4" t="str">
        <f>IFERROR(__xludf.DUMMYFUNCTION("""COMPUTED_VALUE"""),"cas_hmw")</f>
        <v>cas_hmw</v>
      </c>
      <c r="B14566" s="5">
        <f>IFERROR(__xludf.DUMMYFUNCTION("""COMPUTED_VALUE"""),44723.0)</f>
        <v>44723</v>
      </c>
      <c r="C14566" s="6">
        <f>IFERROR(__xludf.DUMMYFUNCTION("""COMPUTED_VALUE"""),0.72105324074073)</f>
        <v>0.7210532407</v>
      </c>
      <c r="D14566" s="4">
        <f>IFERROR(__xludf.DUMMYFUNCTION("""COMPUTED_VALUE"""),13.015331)</f>
        <v>13.015331</v>
      </c>
      <c r="E14566" s="4">
        <f>IFERROR(__xludf.DUMMYFUNCTION("""COMPUTED_VALUE"""),80.225674)</f>
        <v>80.225674</v>
      </c>
      <c r="F14566" s="4">
        <f>IFERROR(__xludf.DUMMYFUNCTION("""COMPUTED_VALUE"""),805.0)</f>
        <v>805</v>
      </c>
      <c r="G14566" s="4">
        <f>IFERROR(__xludf.DUMMYFUNCTION("""COMPUTED_VALUE"""),0.0)</f>
        <v>0</v>
      </c>
      <c r="H14566" s="4"/>
      <c r="I14566" s="4"/>
    </row>
    <row r="14567">
      <c r="A14567" s="4" t="str">
        <f>IFERROR(__xludf.DUMMYFUNCTION("""COMPUTED_VALUE"""),"cas_hmw")</f>
        <v>cas_hmw</v>
      </c>
      <c r="B14567" s="5">
        <f>IFERROR(__xludf.DUMMYFUNCTION("""COMPUTED_VALUE"""),44723.0)</f>
        <v>44723</v>
      </c>
      <c r="C14567" s="6">
        <f>IFERROR(__xludf.DUMMYFUNCTION("""COMPUTED_VALUE"""),0.721122685186856)</f>
        <v>0.7211226852</v>
      </c>
      <c r="D14567" s="4">
        <f>IFERROR(__xludf.DUMMYFUNCTION("""COMPUTED_VALUE"""),13.049534)</f>
        <v>13.049534</v>
      </c>
      <c r="E14567" s="4">
        <f>IFERROR(__xludf.DUMMYFUNCTION("""COMPUTED_VALUE"""),80.088396)</f>
        <v>80.088396</v>
      </c>
      <c r="F14567" s="4">
        <f>IFERROR(__xludf.DUMMYFUNCTION("""COMPUTED_VALUE"""),5339.0)</f>
        <v>5339</v>
      </c>
      <c r="G14567" s="4">
        <f>IFERROR(__xludf.DUMMYFUNCTION("""COMPUTED_VALUE"""),47.0)</f>
        <v>47</v>
      </c>
      <c r="H14567" s="4"/>
      <c r="I14567" s="4"/>
    </row>
    <row r="14568">
      <c r="A14568" s="4" t="str">
        <f>IFERROR(__xludf.DUMMYFUNCTION("""COMPUTED_VALUE"""),"cas_hmw")</f>
        <v>cas_hmw</v>
      </c>
      <c r="B14568" s="5">
        <f>IFERROR(__xludf.DUMMYFUNCTION("""COMPUTED_VALUE"""),44723.0)</f>
        <v>44723</v>
      </c>
      <c r="C14568" s="6">
        <f>IFERROR(__xludf.DUMMYFUNCTION("""COMPUTED_VALUE"""),0.7214467592602887)</f>
        <v>0.7214467593</v>
      </c>
      <c r="D14568" s="4">
        <f>IFERROR(__xludf.DUMMYFUNCTION("""COMPUTED_VALUE"""),13.089824)</f>
        <v>13.089824</v>
      </c>
      <c r="E14568" s="4">
        <f>IFERROR(__xludf.DUMMYFUNCTION("""COMPUTED_VALUE"""),80.161438)</f>
        <v>80.161438</v>
      </c>
      <c r="F14568" s="4">
        <f>IFERROR(__xludf.DUMMYFUNCTION("""COMPUTED_VALUE"""),2846.0)</f>
        <v>2846</v>
      </c>
      <c r="G14568" s="4">
        <f>IFERROR(__xludf.DUMMYFUNCTION("""COMPUTED_VALUE"""),33.0)</f>
        <v>33</v>
      </c>
      <c r="H14568" s="4"/>
      <c r="I14568" s="4"/>
    </row>
    <row r="14569">
      <c r="A14569" s="4" t="str">
        <f>IFERROR(__xludf.DUMMYFUNCTION("""COMPUTED_VALUE"""),"cas_hmw")</f>
        <v>cas_hmw</v>
      </c>
      <c r="B14569" s="5">
        <f>IFERROR(__xludf.DUMMYFUNCTION("""COMPUTED_VALUE"""),44723.0)</f>
        <v>44723</v>
      </c>
      <c r="C14569" s="6">
        <f>IFERROR(__xludf.DUMMYFUNCTION("""COMPUTED_VALUE"""),0.7249305555560568)</f>
        <v>0.7249305556</v>
      </c>
      <c r="D14569" s="4">
        <f>IFERROR(__xludf.DUMMYFUNCTION("""COMPUTED_VALUE"""),13.088627)</f>
        <v>13.088627</v>
      </c>
      <c r="E14569" s="4">
        <f>IFERROR(__xludf.DUMMYFUNCTION("""COMPUTED_VALUE"""),80.171314)</f>
        <v>80.171314</v>
      </c>
      <c r="F14569" s="4">
        <f>IFERROR(__xludf.DUMMYFUNCTION("""COMPUTED_VALUE"""),2846.0)</f>
        <v>2846</v>
      </c>
      <c r="G14569" s="4">
        <f>IFERROR(__xludf.DUMMYFUNCTION("""COMPUTED_VALUE"""),31.0)</f>
        <v>31</v>
      </c>
      <c r="H14569" s="4"/>
      <c r="I14569" s="4"/>
    </row>
    <row r="14570">
      <c r="A14570" s="4" t="str">
        <f>IFERROR(__xludf.DUMMYFUNCTION("""COMPUTED_VALUE"""),"cas_hmw")</f>
        <v>cas_hmw</v>
      </c>
      <c r="B14570" s="5">
        <f>IFERROR(__xludf.DUMMYFUNCTION("""COMPUTED_VALUE"""),44723.0)</f>
        <v>44723</v>
      </c>
      <c r="C14570" s="6">
        <f>IFERROR(__xludf.DUMMYFUNCTION("""COMPUTED_VALUE"""),0.7255671296297805)</f>
        <v>0.7255671296</v>
      </c>
      <c r="D14570" s="4">
        <f>IFERROR(__xludf.DUMMYFUNCTION("""COMPUTED_VALUE"""),13.019227)</f>
        <v>13.019227</v>
      </c>
      <c r="E14570" s="4">
        <f>IFERROR(__xludf.DUMMYFUNCTION("""COMPUTED_VALUE"""),80.094536)</f>
        <v>80.094536</v>
      </c>
      <c r="F14570" s="4">
        <f>IFERROR(__xludf.DUMMYFUNCTION("""COMPUTED_VALUE"""),5339.0)</f>
        <v>5339</v>
      </c>
      <c r="G14570" s="4">
        <f>IFERROR(__xludf.DUMMYFUNCTION("""COMPUTED_VALUE"""),40.0)</f>
        <v>40</v>
      </c>
      <c r="H14570" s="4"/>
      <c r="I14570" s="4"/>
    </row>
    <row r="14571">
      <c r="A14571" s="4" t="str">
        <f>IFERROR(__xludf.DUMMYFUNCTION("""COMPUTED_VALUE"""),"cas_hmw")</f>
        <v>cas_hmw</v>
      </c>
      <c r="B14571" s="5">
        <f>IFERROR(__xludf.DUMMYFUNCTION("""COMPUTED_VALUE"""),44723.0)</f>
        <v>44723</v>
      </c>
      <c r="C14571" s="6">
        <f>IFERROR(__xludf.DUMMYFUNCTION("""COMPUTED_VALUE"""),0.7256597222221899)</f>
        <v>0.7256597222</v>
      </c>
      <c r="D14571" s="4">
        <f>IFERROR(__xludf.DUMMYFUNCTION("""COMPUTED_VALUE"""),13.017601)</f>
        <v>13.017601</v>
      </c>
      <c r="E14571" s="4">
        <f>IFERROR(__xludf.DUMMYFUNCTION("""COMPUTED_VALUE"""),80.095025)</f>
        <v>80.095025</v>
      </c>
      <c r="F14571" s="4">
        <f>IFERROR(__xludf.DUMMYFUNCTION("""COMPUTED_VALUE"""),5339.0)</f>
        <v>5339</v>
      </c>
      <c r="G14571" s="4">
        <f>IFERROR(__xludf.DUMMYFUNCTION("""COMPUTED_VALUE"""),41.0)</f>
        <v>41</v>
      </c>
      <c r="H14571" s="4"/>
      <c r="I14571" s="4"/>
    </row>
    <row r="14572">
      <c r="A14572" s="4" t="str">
        <f>IFERROR(__xludf.DUMMYFUNCTION("""COMPUTED_VALUE"""),"cas_hmw")</f>
        <v>cas_hmw</v>
      </c>
      <c r="B14572" s="5">
        <f>IFERROR(__xludf.DUMMYFUNCTION("""COMPUTED_VALUE"""),44723.0)</f>
        <v>44723</v>
      </c>
      <c r="C14572" s="6">
        <f>IFERROR(__xludf.DUMMYFUNCTION("""COMPUTED_VALUE"""),0.7256828703721112)</f>
        <v>0.7256828704</v>
      </c>
      <c r="D14572" s="4">
        <f>IFERROR(__xludf.DUMMYFUNCTION("""COMPUTED_VALUE"""),13.017601)</f>
        <v>13.017601</v>
      </c>
      <c r="E14572" s="4">
        <f>IFERROR(__xludf.DUMMYFUNCTION("""COMPUTED_VALUE"""),80.095025)</f>
        <v>80.095025</v>
      </c>
      <c r="F14572" s="4">
        <f>IFERROR(__xludf.DUMMYFUNCTION("""COMPUTED_VALUE"""),5339.0)</f>
        <v>5339</v>
      </c>
      <c r="G14572" s="4">
        <f>IFERROR(__xludf.DUMMYFUNCTION("""COMPUTED_VALUE"""),41.0)</f>
        <v>41</v>
      </c>
      <c r="H14572" s="4"/>
      <c r="I14572" s="4"/>
    </row>
    <row r="14573">
      <c r="A14573" s="4" t="str">
        <f>IFERROR(__xludf.DUMMYFUNCTION("""COMPUTED_VALUE"""),"cas_hmw")</f>
        <v>cas_hmw</v>
      </c>
      <c r="B14573" s="5">
        <f>IFERROR(__xludf.DUMMYFUNCTION("""COMPUTED_VALUE"""),44723.0)</f>
        <v>44723</v>
      </c>
      <c r="C14573" s="6">
        <f>IFERROR(__xludf.DUMMYFUNCTION("""COMPUTED_VALUE"""),0.7257175925915362)</f>
        <v>0.7257175926</v>
      </c>
      <c r="D14573" s="4">
        <f>IFERROR(__xludf.DUMMYFUNCTION("""COMPUTED_VALUE"""),13.017601)</f>
        <v>13.017601</v>
      </c>
      <c r="E14573" s="4">
        <f>IFERROR(__xludf.DUMMYFUNCTION("""COMPUTED_VALUE"""),80.095025)</f>
        <v>80.095025</v>
      </c>
      <c r="F14573" s="4">
        <f>IFERROR(__xludf.DUMMYFUNCTION("""COMPUTED_VALUE"""),5339.0)</f>
        <v>5339</v>
      </c>
      <c r="G14573" s="4">
        <f>IFERROR(__xludf.DUMMYFUNCTION("""COMPUTED_VALUE"""),41.0)</f>
        <v>41</v>
      </c>
      <c r="H14573" s="4"/>
      <c r="I14573" s="4"/>
    </row>
    <row r="14574">
      <c r="A14574" s="4" t="str">
        <f>IFERROR(__xludf.DUMMYFUNCTION("""COMPUTED_VALUE"""),"cas_hmw")</f>
        <v>cas_hmw</v>
      </c>
      <c r="B14574" s="5">
        <f>IFERROR(__xludf.DUMMYFUNCTION("""COMPUTED_VALUE"""),44723.0)</f>
        <v>44723</v>
      </c>
      <c r="C14574" s="6">
        <f>IFERROR(__xludf.DUMMYFUNCTION("""COMPUTED_VALUE"""),0.7263078703690553)</f>
        <v>0.7263078704</v>
      </c>
      <c r="D14574" s="4">
        <f>IFERROR(__xludf.DUMMYFUNCTION("""COMPUTED_VALUE"""),13.007329)</f>
        <v>13.007329</v>
      </c>
      <c r="E14574" s="4">
        <f>IFERROR(__xludf.DUMMYFUNCTION("""COMPUTED_VALUE"""),80.237957)</f>
        <v>80.237957</v>
      </c>
      <c r="F14574" s="4">
        <f>IFERROR(__xludf.DUMMYFUNCTION("""COMPUTED_VALUE"""),805.0)</f>
        <v>805</v>
      </c>
      <c r="G14574" s="4">
        <f>IFERROR(__xludf.DUMMYFUNCTION("""COMPUTED_VALUE"""),12.0)</f>
        <v>12</v>
      </c>
      <c r="H14574" s="4"/>
      <c r="I14574" s="4"/>
    </row>
    <row r="14575">
      <c r="A14575" s="4" t="str">
        <f>IFERROR(__xludf.DUMMYFUNCTION("""COMPUTED_VALUE"""),"cas_hmw")</f>
        <v>cas_hmw</v>
      </c>
      <c r="B14575" s="5">
        <f>IFERROR(__xludf.DUMMYFUNCTION("""COMPUTED_VALUE"""),44723.0)</f>
        <v>44723</v>
      </c>
      <c r="C14575" s="6">
        <f>IFERROR(__xludf.DUMMYFUNCTION("""COMPUTED_VALUE"""),0.7265856481499213)</f>
        <v>0.7265856481</v>
      </c>
      <c r="D14575" s="4">
        <f>IFERROR(__xludf.DUMMYFUNCTION("""COMPUTED_VALUE"""),13.007223)</f>
        <v>13.007223</v>
      </c>
      <c r="E14575" s="4">
        <f>IFERROR(__xludf.DUMMYFUNCTION("""COMPUTED_VALUE"""),80.238333)</f>
        <v>80.238333</v>
      </c>
      <c r="F14575" s="4">
        <f>IFERROR(__xludf.DUMMYFUNCTION("""COMPUTED_VALUE"""),805.0)</f>
        <v>805</v>
      </c>
      <c r="G14575" s="4">
        <f>IFERROR(__xludf.DUMMYFUNCTION("""COMPUTED_VALUE"""),6.0)</f>
        <v>6</v>
      </c>
      <c r="H14575" s="4"/>
      <c r="I14575" s="4"/>
    </row>
    <row r="14576">
      <c r="A14576" s="4" t="str">
        <f>IFERROR(__xludf.DUMMYFUNCTION("""COMPUTED_VALUE"""),"cas_hmw")</f>
        <v>cas_hmw</v>
      </c>
      <c r="B14576" s="5">
        <f>IFERROR(__xludf.DUMMYFUNCTION("""COMPUTED_VALUE"""),44723.0)</f>
        <v>44723</v>
      </c>
      <c r="C14576" s="6">
        <f>IFERROR(__xludf.DUMMYFUNCTION("""COMPUTED_VALUE"""),0.7266782407423307)</f>
        <v>0.7266782407</v>
      </c>
      <c r="D14576" s="4">
        <f>IFERROR(__xludf.DUMMYFUNCTION("""COMPUTED_VALUE"""),13.007223)</f>
        <v>13.007223</v>
      </c>
      <c r="E14576" s="4">
        <f>IFERROR(__xludf.DUMMYFUNCTION("""COMPUTED_VALUE"""),80.238333)</f>
        <v>80.238333</v>
      </c>
      <c r="F14576" s="4">
        <f>IFERROR(__xludf.DUMMYFUNCTION("""COMPUTED_VALUE"""),805.0)</f>
        <v>805</v>
      </c>
      <c r="G14576" s="4">
        <f>IFERROR(__xludf.DUMMYFUNCTION("""COMPUTED_VALUE"""),6.0)</f>
        <v>6</v>
      </c>
      <c r="H14576" s="4"/>
      <c r="I14576" s="4"/>
    </row>
    <row r="14577">
      <c r="A14577" s="4" t="str">
        <f>IFERROR(__xludf.DUMMYFUNCTION("""COMPUTED_VALUE"""),"cas_hmw")</f>
        <v>cas_hmw</v>
      </c>
      <c r="B14577" s="5">
        <f>IFERROR(__xludf.DUMMYFUNCTION("""COMPUTED_VALUE"""),44723.0)</f>
        <v>44723</v>
      </c>
      <c r="C14577" s="6">
        <f>IFERROR(__xludf.DUMMYFUNCTION("""COMPUTED_VALUE"""),0.7266782407423307)</f>
        <v>0.7266782407</v>
      </c>
      <c r="D14577" s="4">
        <f>IFERROR(__xludf.DUMMYFUNCTION("""COMPUTED_VALUE"""),13.007223)</f>
        <v>13.007223</v>
      </c>
      <c r="E14577" s="4">
        <f>IFERROR(__xludf.DUMMYFUNCTION("""COMPUTED_VALUE"""),80.238333)</f>
        <v>80.238333</v>
      </c>
      <c r="F14577" s="4">
        <f>IFERROR(__xludf.DUMMYFUNCTION("""COMPUTED_VALUE"""),805.0)</f>
        <v>805</v>
      </c>
      <c r="G14577" s="4">
        <f>IFERROR(__xludf.DUMMYFUNCTION("""COMPUTED_VALUE"""),6.0)</f>
        <v>6</v>
      </c>
      <c r="H14577" s="4"/>
      <c r="I14577" s="4"/>
    </row>
    <row r="14578">
      <c r="A14578" s="4" t="str">
        <f>IFERROR(__xludf.DUMMYFUNCTION("""COMPUTED_VALUE"""),"cas_hmw")</f>
        <v>cas_hmw</v>
      </c>
      <c r="B14578" s="5">
        <f>IFERROR(__xludf.DUMMYFUNCTION("""COMPUTED_VALUE"""),44723.0)</f>
        <v>44723</v>
      </c>
      <c r="C14578" s="6">
        <f>IFERROR(__xludf.DUMMYFUNCTION("""COMPUTED_VALUE"""),0.726736111111677)</f>
        <v>0.7267361111</v>
      </c>
      <c r="D14578" s="4">
        <f>IFERROR(__xludf.DUMMYFUNCTION("""COMPUTED_VALUE"""),13.08828)</f>
        <v>13.08828</v>
      </c>
      <c r="E14578" s="4">
        <f>IFERROR(__xludf.DUMMYFUNCTION("""COMPUTED_VALUE"""),80.17963)</f>
        <v>80.17963</v>
      </c>
      <c r="F14578" s="4">
        <f>IFERROR(__xludf.DUMMYFUNCTION("""COMPUTED_VALUE"""),2846.0)</f>
        <v>2846</v>
      </c>
      <c r="G14578" s="4">
        <f>IFERROR(__xludf.DUMMYFUNCTION("""COMPUTED_VALUE"""),14.0)</f>
        <v>14</v>
      </c>
      <c r="H14578" s="4"/>
      <c r="I14578" s="4"/>
    </row>
    <row r="14579">
      <c r="A14579" s="4" t="str">
        <f>IFERROR(__xludf.DUMMYFUNCTION("""COMPUTED_VALUE"""),"cas_hmw")</f>
        <v>cas_hmw</v>
      </c>
      <c r="B14579" s="5">
        <f>IFERROR(__xludf.DUMMYFUNCTION("""COMPUTED_VALUE"""),44723.0)</f>
        <v>44723</v>
      </c>
      <c r="C14579" s="6">
        <f>IFERROR(__xludf.DUMMYFUNCTION("""COMPUTED_VALUE"""),0.7286458333328483)</f>
        <v>0.7286458333</v>
      </c>
      <c r="D14579" s="4">
        <f>IFERROR(__xludf.DUMMYFUNCTION("""COMPUTED_VALUE"""),13.006773)</f>
        <v>13.006773</v>
      </c>
      <c r="E14579" s="4">
        <f>IFERROR(__xludf.DUMMYFUNCTION("""COMPUTED_VALUE"""),80.247857)</f>
        <v>80.247857</v>
      </c>
      <c r="F14579" s="4">
        <f>IFERROR(__xludf.DUMMYFUNCTION("""COMPUTED_VALUE"""),805.0)</f>
        <v>805</v>
      </c>
      <c r="G14579" s="4">
        <f>IFERROR(__xludf.DUMMYFUNCTION("""COMPUTED_VALUE"""),0.0)</f>
        <v>0</v>
      </c>
      <c r="H14579" s="4"/>
      <c r="I14579" s="4"/>
    </row>
    <row r="14580">
      <c r="A14580" s="4" t="str">
        <f>IFERROR(__xludf.DUMMYFUNCTION("""COMPUTED_VALUE"""),"cas_hmw")</f>
        <v>cas_hmw</v>
      </c>
      <c r="B14580" s="5">
        <f>IFERROR(__xludf.DUMMYFUNCTION("""COMPUTED_VALUE"""),44723.0)</f>
        <v>44723</v>
      </c>
      <c r="C14580" s="6">
        <f>IFERROR(__xludf.DUMMYFUNCTION("""COMPUTED_VALUE"""),0.7286689814827696)</f>
        <v>0.7286689815</v>
      </c>
      <c r="D14580" s="4">
        <f>IFERROR(__xludf.DUMMYFUNCTION("""COMPUTED_VALUE"""),13.006773)</f>
        <v>13.006773</v>
      </c>
      <c r="E14580" s="4">
        <f>IFERROR(__xludf.DUMMYFUNCTION("""COMPUTED_VALUE"""),80.247857)</f>
        <v>80.247857</v>
      </c>
      <c r="F14580" s="4">
        <f>IFERROR(__xludf.DUMMYFUNCTION("""COMPUTED_VALUE"""),805.0)</f>
        <v>805</v>
      </c>
      <c r="G14580" s="4">
        <f>IFERROR(__xludf.DUMMYFUNCTION("""COMPUTED_VALUE"""),0.0)</f>
        <v>0</v>
      </c>
      <c r="H14580" s="4"/>
      <c r="I14580" s="4"/>
    </row>
    <row r="14581">
      <c r="A14581" s="4" t="str">
        <f>IFERROR(__xludf.DUMMYFUNCTION("""COMPUTED_VALUE"""),"cas_hmw")</f>
        <v>cas_hmw</v>
      </c>
      <c r="B14581" s="5">
        <f>IFERROR(__xludf.DUMMYFUNCTION("""COMPUTED_VALUE"""),44723.0)</f>
        <v>44723</v>
      </c>
      <c r="C14581" s="6">
        <f>IFERROR(__xludf.DUMMYFUNCTION("""COMPUTED_VALUE"""),0.7289467592599976)</f>
        <v>0.7289467593</v>
      </c>
      <c r="D14581" s="4">
        <f>IFERROR(__xludf.DUMMYFUNCTION("""COMPUTED_VALUE"""),13.087884)</f>
        <v>13.087884</v>
      </c>
      <c r="E14581" s="4">
        <f>IFERROR(__xludf.DUMMYFUNCTION("""COMPUTED_VALUE"""),80.188836)</f>
        <v>80.188836</v>
      </c>
      <c r="F14581" s="4">
        <f>IFERROR(__xludf.DUMMYFUNCTION("""COMPUTED_VALUE"""),2846.0)</f>
        <v>2846</v>
      </c>
      <c r="G14581" s="4">
        <f>IFERROR(__xludf.DUMMYFUNCTION("""COMPUTED_VALUE"""),0.0)</f>
        <v>0</v>
      </c>
      <c r="H14581" s="4"/>
      <c r="I14581" s="4"/>
    </row>
    <row r="14582">
      <c r="A14582" s="4" t="str">
        <f>IFERROR(__xludf.DUMMYFUNCTION("""COMPUTED_VALUE"""),"cas_hmw")</f>
        <v>cas_hmw</v>
      </c>
      <c r="B14582" s="5">
        <f>IFERROR(__xludf.DUMMYFUNCTION("""COMPUTED_VALUE"""),44723.0)</f>
        <v>44723</v>
      </c>
      <c r="C14582" s="6">
        <f>IFERROR(__xludf.DUMMYFUNCTION("""COMPUTED_VALUE"""),0.728969907406281)</f>
        <v>0.7289699074</v>
      </c>
      <c r="D14582" s="4">
        <f>IFERROR(__xludf.DUMMYFUNCTION("""COMPUTED_VALUE"""),13.006817)</f>
        <v>13.006817</v>
      </c>
      <c r="E14582" s="4">
        <f>IFERROR(__xludf.DUMMYFUNCTION("""COMPUTED_VALUE"""),80.249262)</f>
        <v>80.249262</v>
      </c>
      <c r="F14582" s="4">
        <f>IFERROR(__xludf.DUMMYFUNCTION("""COMPUTED_VALUE"""),805.0)</f>
        <v>805</v>
      </c>
      <c r="G14582" s="4">
        <f>IFERROR(__xludf.DUMMYFUNCTION("""COMPUTED_VALUE"""),52.0)</f>
        <v>52</v>
      </c>
      <c r="H14582" s="4"/>
      <c r="I14582" s="4"/>
    </row>
    <row r="14583">
      <c r="A14583" s="4" t="str">
        <f>IFERROR(__xludf.DUMMYFUNCTION("""COMPUTED_VALUE"""),"cas_hmw")</f>
        <v>cas_hmw</v>
      </c>
      <c r="B14583" s="5">
        <f>IFERROR(__xludf.DUMMYFUNCTION("""COMPUTED_VALUE"""),44723.0)</f>
        <v>44723</v>
      </c>
      <c r="C14583" s="6">
        <f>IFERROR(__xludf.DUMMYFUNCTION("""COMPUTED_VALUE"""),0.7289930555562023)</f>
        <v>0.7289930556</v>
      </c>
      <c r="D14583" s="4">
        <f>IFERROR(__xludf.DUMMYFUNCTION("""COMPUTED_VALUE"""),13.006817)</f>
        <v>13.006817</v>
      </c>
      <c r="E14583" s="4">
        <f>IFERROR(__xludf.DUMMYFUNCTION("""COMPUTED_VALUE"""),80.249262)</f>
        <v>80.249262</v>
      </c>
      <c r="F14583" s="4">
        <f>IFERROR(__xludf.DUMMYFUNCTION("""COMPUTED_VALUE"""),805.0)</f>
        <v>805</v>
      </c>
      <c r="G14583" s="4">
        <f>IFERROR(__xludf.DUMMYFUNCTION("""COMPUTED_VALUE"""),52.0)</f>
        <v>52</v>
      </c>
      <c r="H14583" s="4"/>
      <c r="I14583" s="4"/>
    </row>
    <row r="14584">
      <c r="A14584" s="4" t="str">
        <f>IFERROR(__xludf.DUMMYFUNCTION("""COMPUTED_VALUE"""),"cas_hmw")</f>
        <v>cas_hmw</v>
      </c>
      <c r="B14584" s="5">
        <f>IFERROR(__xludf.DUMMYFUNCTION("""COMPUTED_VALUE"""),44723.0)</f>
        <v>44723</v>
      </c>
      <c r="C14584" s="6">
        <f>IFERROR(__xludf.DUMMYFUNCTION("""COMPUTED_VALUE"""),0.7310879629621923)</f>
        <v>0.731087963</v>
      </c>
      <c r="D14584" s="4">
        <f>IFERROR(__xludf.DUMMYFUNCTION("""COMPUTED_VALUE"""),13.00846)</f>
        <v>13.00846</v>
      </c>
      <c r="E14584" s="4">
        <f>IFERROR(__xludf.DUMMYFUNCTION("""COMPUTED_VALUE"""),80.258887)</f>
        <v>80.258887</v>
      </c>
      <c r="F14584" s="4">
        <f>IFERROR(__xludf.DUMMYFUNCTION("""COMPUTED_VALUE"""),805.0)</f>
        <v>805</v>
      </c>
      <c r="G14584" s="4">
        <f>IFERROR(__xludf.DUMMYFUNCTION("""COMPUTED_VALUE"""),7.0)</f>
        <v>7</v>
      </c>
      <c r="H14584" s="4"/>
      <c r="I14584" s="4"/>
    </row>
    <row r="14585">
      <c r="A14585" s="4" t="str">
        <f>IFERROR(__xludf.DUMMYFUNCTION("""COMPUTED_VALUE"""),"cas_hmw")</f>
        <v>cas_hmw</v>
      </c>
      <c r="B14585" s="5">
        <f>IFERROR(__xludf.DUMMYFUNCTION("""COMPUTED_VALUE"""),44723.0)</f>
        <v>44723</v>
      </c>
      <c r="C14585" s="6">
        <f>IFERROR(__xludf.DUMMYFUNCTION("""COMPUTED_VALUE"""),0.7313657407394203)</f>
        <v>0.7313657407</v>
      </c>
      <c r="D14585" s="4">
        <f>IFERROR(__xludf.DUMMYFUNCTION("""COMPUTED_VALUE"""),13.009218)</f>
        <v>13.009218</v>
      </c>
      <c r="E14585" s="4">
        <f>IFERROR(__xludf.DUMMYFUNCTION("""COMPUTED_VALUE"""),80.259031)</f>
        <v>80.259031</v>
      </c>
      <c r="F14585" s="4">
        <f>IFERROR(__xludf.DUMMYFUNCTION("""COMPUTED_VALUE"""),805.0)</f>
        <v>805</v>
      </c>
      <c r="G14585" s="4">
        <f>IFERROR(__xludf.DUMMYFUNCTION("""COMPUTED_VALUE"""),26.0)</f>
        <v>26</v>
      </c>
      <c r="H14585" s="4"/>
      <c r="I14585" s="4"/>
    </row>
    <row r="14586">
      <c r="A14586" s="4" t="str">
        <f>IFERROR(__xludf.DUMMYFUNCTION("""COMPUTED_VALUE"""),"cas_hmw")</f>
        <v>cas_hmw</v>
      </c>
      <c r="B14586" s="5">
        <f>IFERROR(__xludf.DUMMYFUNCTION("""COMPUTED_VALUE"""),44723.0)</f>
        <v>44723</v>
      </c>
      <c r="C14586" s="6">
        <f>IFERROR(__xludf.DUMMYFUNCTION("""COMPUTED_VALUE"""),0.7314583333318296)</f>
        <v>0.7314583333</v>
      </c>
      <c r="D14586" s="4">
        <f>IFERROR(__xludf.DUMMYFUNCTION("""COMPUTED_VALUE"""),13.009218)</f>
        <v>13.009218</v>
      </c>
      <c r="E14586" s="4">
        <f>IFERROR(__xludf.DUMMYFUNCTION("""COMPUTED_VALUE"""),80.259031)</f>
        <v>80.259031</v>
      </c>
      <c r="F14586" s="4">
        <f>IFERROR(__xludf.DUMMYFUNCTION("""COMPUTED_VALUE"""),805.0)</f>
        <v>805</v>
      </c>
      <c r="G14586" s="4">
        <f>IFERROR(__xludf.DUMMYFUNCTION("""COMPUTED_VALUE"""),26.0)</f>
        <v>26</v>
      </c>
      <c r="H14586" s="4"/>
      <c r="I14586" s="4"/>
    </row>
    <row r="14587">
      <c r="A14587" s="4" t="str">
        <f>IFERROR(__xludf.DUMMYFUNCTION("""COMPUTED_VALUE"""),"cas_hmw")</f>
        <v>cas_hmw</v>
      </c>
      <c r="B14587" s="5">
        <f>IFERROR(__xludf.DUMMYFUNCTION("""COMPUTED_VALUE"""),44723.0)</f>
        <v>44723</v>
      </c>
      <c r="C14587" s="6">
        <f>IFERROR(__xludf.DUMMYFUNCTION("""COMPUTED_VALUE"""),0.7316782407397113)</f>
        <v>0.7316782407</v>
      </c>
      <c r="D14587" s="4">
        <f>IFERROR(__xludf.DUMMYFUNCTION("""COMPUTED_VALUE"""),13.010886)</f>
        <v>13.010886</v>
      </c>
      <c r="E14587" s="4">
        <f>IFERROR(__xludf.DUMMYFUNCTION("""COMPUTED_VALUE"""),80.25908)</f>
        <v>80.25908</v>
      </c>
      <c r="F14587" s="4">
        <f>IFERROR(__xludf.DUMMYFUNCTION("""COMPUTED_VALUE"""),805.0)</f>
        <v>805</v>
      </c>
      <c r="G14587" s="4">
        <f>IFERROR(__xludf.DUMMYFUNCTION("""COMPUTED_VALUE"""),53.0)</f>
        <v>53</v>
      </c>
      <c r="H14587" s="4"/>
      <c r="I14587" s="4"/>
    </row>
    <row r="14588">
      <c r="A14588" s="4" t="str">
        <f>IFERROR(__xludf.DUMMYFUNCTION("""COMPUTED_VALUE"""),"cas_hmw")</f>
        <v>cas_hmw</v>
      </c>
      <c r="B14588" s="5">
        <f>IFERROR(__xludf.DUMMYFUNCTION("""COMPUTED_VALUE"""),44723.0)</f>
        <v>44723</v>
      </c>
      <c r="C14588" s="6">
        <f>IFERROR(__xludf.DUMMYFUNCTION("""COMPUTED_VALUE"""),0.7335763888877409)</f>
        <v>0.7335763889</v>
      </c>
      <c r="D14588" s="4">
        <f>IFERROR(__xludf.DUMMYFUNCTION("""COMPUTED_VALUE"""),13.085338)</f>
        <v>13.085338</v>
      </c>
      <c r="E14588" s="4">
        <f>IFERROR(__xludf.DUMMYFUNCTION("""COMPUTED_VALUE"""),80.200331)</f>
        <v>80.200331</v>
      </c>
      <c r="F14588" s="4">
        <f>IFERROR(__xludf.DUMMYFUNCTION("""COMPUTED_VALUE"""),2846.0)</f>
        <v>2846</v>
      </c>
      <c r="G14588" s="4">
        <f>IFERROR(__xludf.DUMMYFUNCTION("""COMPUTED_VALUE"""),11.0)</f>
        <v>11</v>
      </c>
      <c r="H14588" s="4"/>
      <c r="I14588" s="4"/>
    </row>
    <row r="14589">
      <c r="A14589" s="4" t="str">
        <f>IFERROR(__xludf.DUMMYFUNCTION("""COMPUTED_VALUE"""),"cas_hmw")</f>
        <v>cas_hmw</v>
      </c>
      <c r="B14589" s="5">
        <f>IFERROR(__xludf.DUMMYFUNCTION("""COMPUTED_VALUE"""),44723.0)</f>
        <v>44723</v>
      </c>
      <c r="C14589" s="6">
        <f>IFERROR(__xludf.DUMMYFUNCTION("""COMPUTED_VALUE"""),0.7335763888877409)</f>
        <v>0.7335763889</v>
      </c>
      <c r="D14589" s="4">
        <f>IFERROR(__xludf.DUMMYFUNCTION("""COMPUTED_VALUE"""),13.085338)</f>
        <v>13.085338</v>
      </c>
      <c r="E14589" s="4">
        <f>IFERROR(__xludf.DUMMYFUNCTION("""COMPUTED_VALUE"""),80.200331)</f>
        <v>80.200331</v>
      </c>
      <c r="F14589" s="4">
        <f>IFERROR(__xludf.DUMMYFUNCTION("""COMPUTED_VALUE"""),2846.0)</f>
        <v>2846</v>
      </c>
      <c r="G14589" s="4">
        <f>IFERROR(__xludf.DUMMYFUNCTION("""COMPUTED_VALUE"""),11.0)</f>
        <v>11</v>
      </c>
      <c r="H14589" s="4"/>
      <c r="I14589" s="4"/>
    </row>
    <row r="14590">
      <c r="A14590" s="4" t="str">
        <f>IFERROR(__xludf.DUMMYFUNCTION("""COMPUTED_VALUE"""),"cas_hmw")</f>
        <v>cas_hmw</v>
      </c>
      <c r="B14590" s="5">
        <f>IFERROR(__xludf.DUMMYFUNCTION("""COMPUTED_VALUE"""),44723.0)</f>
        <v>44723</v>
      </c>
      <c r="C14590" s="6">
        <f>IFERROR(__xludf.DUMMYFUNCTION("""COMPUTED_VALUE"""),0.7335879629645206)</f>
        <v>0.733587963</v>
      </c>
      <c r="D14590" s="4">
        <f>IFERROR(__xludf.DUMMYFUNCTION("""COMPUTED_VALUE"""),13.085296)</f>
        <v>13.085296</v>
      </c>
      <c r="E14590" s="4">
        <f>IFERROR(__xludf.DUMMYFUNCTION("""COMPUTED_VALUE"""),80.201246)</f>
        <v>80.201246</v>
      </c>
      <c r="F14590" s="4">
        <f>IFERROR(__xludf.DUMMYFUNCTION("""COMPUTED_VALUE"""),2846.0)</f>
        <v>2846</v>
      </c>
      <c r="G14590" s="4">
        <f>IFERROR(__xludf.DUMMYFUNCTION("""COMPUTED_VALUE"""),30.0)</f>
        <v>30</v>
      </c>
      <c r="H14590" s="4"/>
      <c r="I14590" s="4"/>
    </row>
    <row r="14591">
      <c r="A14591" s="4" t="str">
        <f>IFERROR(__xludf.DUMMYFUNCTION("""COMPUTED_VALUE"""),"cas_hmw")</f>
        <v>cas_hmw</v>
      </c>
      <c r="B14591" s="5">
        <f>IFERROR(__xludf.DUMMYFUNCTION("""COMPUTED_VALUE"""),44723.0)</f>
        <v>44723</v>
      </c>
      <c r="C14591" s="6">
        <f>IFERROR(__xludf.DUMMYFUNCTION("""COMPUTED_VALUE"""),0.7343865740731417)</f>
        <v>0.7343865741</v>
      </c>
      <c r="D14591" s="4">
        <f>IFERROR(__xludf.DUMMYFUNCTION("""COMPUTED_VALUE"""),13.020025)</f>
        <v>13.020025</v>
      </c>
      <c r="E14591" s="4">
        <f>IFERROR(__xludf.DUMMYFUNCTION("""COMPUTED_VALUE"""),80.262408)</f>
        <v>80.262408</v>
      </c>
      <c r="F14591" s="4">
        <f>IFERROR(__xludf.DUMMYFUNCTION("""COMPUTED_VALUE"""),805.0)</f>
        <v>805</v>
      </c>
      <c r="G14591" s="4">
        <f>IFERROR(__xludf.DUMMYFUNCTION("""COMPUTED_VALUE"""),14.0)</f>
        <v>14</v>
      </c>
      <c r="H14591" s="4"/>
      <c r="I14591" s="4"/>
    </row>
    <row r="14592">
      <c r="A14592" s="4" t="str">
        <f>IFERROR(__xludf.DUMMYFUNCTION("""COMPUTED_VALUE"""),"cas_hmw")</f>
        <v>cas_hmw</v>
      </c>
      <c r="B14592" s="5">
        <f>IFERROR(__xludf.DUMMYFUNCTION("""COMPUTED_VALUE"""),44723.0)</f>
        <v>44723</v>
      </c>
      <c r="C14592" s="6">
        <f>IFERROR(__xludf.DUMMYFUNCTION("""COMPUTED_VALUE"""),0.7355324074087548)</f>
        <v>0.7355324074</v>
      </c>
      <c r="D14592" s="4">
        <f>IFERROR(__xludf.DUMMYFUNCTION("""COMPUTED_VALUE"""),12.911641)</f>
        <v>12.911641</v>
      </c>
      <c r="E14592" s="4">
        <f>IFERROR(__xludf.DUMMYFUNCTION("""COMPUTED_VALUE"""),80.074163)</f>
        <v>80.074163</v>
      </c>
      <c r="F14592" s="4">
        <f>IFERROR(__xludf.DUMMYFUNCTION("""COMPUTED_VALUE"""),5339.0)</f>
        <v>5339</v>
      </c>
      <c r="G14592" s="4">
        <f>IFERROR(__xludf.DUMMYFUNCTION("""COMPUTED_VALUE"""),58.0)</f>
        <v>58</v>
      </c>
      <c r="H14592" s="4"/>
      <c r="I14592" s="4"/>
    </row>
    <row r="14593">
      <c r="A14593" s="4" t="str">
        <f>IFERROR(__xludf.DUMMYFUNCTION("""COMPUTED_VALUE"""),"cas_hmw")</f>
        <v>cas_hmw</v>
      </c>
      <c r="B14593" s="5">
        <f>IFERROR(__xludf.DUMMYFUNCTION("""COMPUTED_VALUE"""),44723.0)</f>
        <v>44723</v>
      </c>
      <c r="C14593" s="6">
        <f>IFERROR(__xludf.DUMMYFUNCTION("""COMPUTED_VALUE"""),0.7378356481494848)</f>
        <v>0.7378356481</v>
      </c>
      <c r="D14593" s="4">
        <f>IFERROR(__xludf.DUMMYFUNCTION("""COMPUTED_VALUE"""),13.084898)</f>
        <v>13.084898</v>
      </c>
      <c r="E14593" s="4">
        <f>IFERROR(__xludf.DUMMYFUNCTION("""COMPUTED_VALUE"""),80.212822)</f>
        <v>80.212822</v>
      </c>
      <c r="F14593" s="4">
        <f>IFERROR(__xludf.DUMMYFUNCTION("""COMPUTED_VALUE"""),2846.0)</f>
        <v>2846</v>
      </c>
      <c r="G14593" s="4">
        <f>IFERROR(__xludf.DUMMYFUNCTION("""COMPUTED_VALUE"""),0.0)</f>
        <v>0</v>
      </c>
      <c r="H14593" s="4"/>
      <c r="I14593" s="4"/>
    </row>
    <row r="14594">
      <c r="A14594" s="4" t="str">
        <f>IFERROR(__xludf.DUMMYFUNCTION("""COMPUTED_VALUE"""),"cas_hmw")</f>
        <v>cas_hmw</v>
      </c>
      <c r="B14594" s="5">
        <f>IFERROR(__xludf.DUMMYFUNCTION("""COMPUTED_VALUE"""),44723.0)</f>
        <v>44723</v>
      </c>
      <c r="C14594" s="6">
        <f>IFERROR(__xludf.DUMMYFUNCTION("""COMPUTED_VALUE"""),0.7382060185191222)</f>
        <v>0.7382060185</v>
      </c>
      <c r="D14594" s="4">
        <f>IFERROR(__xludf.DUMMYFUNCTION("""COMPUTED_VALUE"""),12.885789)</f>
        <v>12.885789</v>
      </c>
      <c r="E14594" s="4">
        <f>IFERROR(__xludf.DUMMYFUNCTION("""COMPUTED_VALUE"""),80.080547)</f>
        <v>80.080547</v>
      </c>
      <c r="F14594" s="4">
        <f>IFERROR(__xludf.DUMMYFUNCTION("""COMPUTED_VALUE"""),5339.0)</f>
        <v>5339</v>
      </c>
      <c r="G14594" s="4">
        <f>IFERROR(__xludf.DUMMYFUNCTION("""COMPUTED_VALUE"""),52.0)</f>
        <v>52</v>
      </c>
      <c r="H14594" s="4"/>
      <c r="I14594" s="4"/>
    </row>
    <row r="14595">
      <c r="A14595" s="4" t="str">
        <f>IFERROR(__xludf.DUMMYFUNCTION("""COMPUTED_VALUE"""),"cas_hmw")</f>
        <v>cas_hmw</v>
      </c>
      <c r="B14595" s="5">
        <f>IFERROR(__xludf.DUMMYFUNCTION("""COMPUTED_VALUE"""),44723.0)</f>
        <v>44723</v>
      </c>
      <c r="C14595" s="6">
        <f>IFERROR(__xludf.DUMMYFUNCTION("""COMPUTED_VALUE"""),0.7473379629627743)</f>
        <v>0.747337963</v>
      </c>
      <c r="D14595" s="4">
        <f>IFERROR(__xludf.DUMMYFUNCTION("""COMPUTED_VALUE"""),13.054211)</f>
        <v>13.054211</v>
      </c>
      <c r="E14595" s="4">
        <f>IFERROR(__xludf.DUMMYFUNCTION("""COMPUTED_VALUE"""),80.26399)</f>
        <v>80.26399</v>
      </c>
      <c r="F14595" s="4">
        <f>IFERROR(__xludf.DUMMYFUNCTION("""COMPUTED_VALUE"""),805.0)</f>
        <v>805</v>
      </c>
      <c r="G14595" s="4">
        <f>IFERROR(__xludf.DUMMYFUNCTION("""COMPUTED_VALUE"""),20.0)</f>
        <v>20</v>
      </c>
      <c r="H14595" s="4"/>
      <c r="I14595" s="4"/>
    </row>
    <row r="14596">
      <c r="A14596" s="4" t="str">
        <f>IFERROR(__xludf.DUMMYFUNCTION("""COMPUTED_VALUE"""),"cas_hmw")</f>
        <v>cas_hmw</v>
      </c>
      <c r="B14596" s="5">
        <f>IFERROR(__xludf.DUMMYFUNCTION("""COMPUTED_VALUE"""),44723.0)</f>
        <v>44723</v>
      </c>
      <c r="C14596" s="6">
        <f>IFERROR(__xludf.DUMMYFUNCTION("""COMPUTED_VALUE"""),0.7499074074075907)</f>
        <v>0.7499074074</v>
      </c>
      <c r="D14596" s="4">
        <f>IFERROR(__xludf.DUMMYFUNCTION("""COMPUTED_VALUE"""),13.084979)</f>
        <v>13.084979</v>
      </c>
      <c r="E14596" s="4">
        <f>IFERROR(__xludf.DUMMYFUNCTION("""COMPUTED_VALUE"""),80.218049)</f>
        <v>80.218049</v>
      </c>
      <c r="F14596" s="4">
        <f>IFERROR(__xludf.DUMMYFUNCTION("""COMPUTED_VALUE"""),2846.0)</f>
        <v>2846</v>
      </c>
      <c r="G14596" s="4">
        <f>IFERROR(__xludf.DUMMYFUNCTION("""COMPUTED_VALUE"""),0.0)</f>
        <v>0</v>
      </c>
      <c r="H14596" s="4"/>
      <c r="I14596" s="4"/>
    </row>
    <row r="14597">
      <c r="A14597" s="4" t="str">
        <f>IFERROR(__xludf.DUMMYFUNCTION("""COMPUTED_VALUE"""),"cas_hmw")</f>
        <v>cas_hmw</v>
      </c>
      <c r="B14597" s="5">
        <f>IFERROR(__xludf.DUMMYFUNCTION("""COMPUTED_VALUE"""),44723.0)</f>
        <v>44723</v>
      </c>
      <c r="C14597" s="6">
        <f>IFERROR(__xludf.DUMMYFUNCTION("""COMPUTED_VALUE"""),0.7534027777765004)</f>
        <v>0.7534027778</v>
      </c>
      <c r="D14597" s="4">
        <f>IFERROR(__xludf.DUMMYFUNCTION("""COMPUTED_VALUE"""),13.082205)</f>
        <v>13.082205</v>
      </c>
      <c r="E14597" s="4">
        <f>IFERROR(__xludf.DUMMYFUNCTION("""COMPUTED_VALUE"""),80.215621)</f>
        <v>80.215621</v>
      </c>
      <c r="F14597" s="4">
        <f>IFERROR(__xludf.DUMMYFUNCTION("""COMPUTED_VALUE"""),2846.0)</f>
        <v>2846</v>
      </c>
      <c r="G14597" s="4">
        <f>IFERROR(__xludf.DUMMYFUNCTION("""COMPUTED_VALUE"""),3.0)</f>
        <v>3</v>
      </c>
      <c r="H14597" s="4"/>
      <c r="I14597" s="4"/>
    </row>
    <row r="14598">
      <c r="A14598" s="4" t="str">
        <f>IFERROR(__xludf.DUMMYFUNCTION("""COMPUTED_VALUE"""),"cas_hmw")</f>
        <v>cas_hmw</v>
      </c>
      <c r="B14598" s="5">
        <f>IFERROR(__xludf.DUMMYFUNCTION("""COMPUTED_VALUE"""),44723.0)</f>
        <v>44723</v>
      </c>
      <c r="C14598" s="6">
        <f>IFERROR(__xludf.DUMMYFUNCTION("""COMPUTED_VALUE"""),0.7558796296289074)</f>
        <v>0.7558796296</v>
      </c>
      <c r="D14598" s="4">
        <f>IFERROR(__xludf.DUMMYFUNCTION("""COMPUTED_VALUE"""),13.082407)</f>
        <v>13.082407</v>
      </c>
      <c r="E14598" s="4">
        <f>IFERROR(__xludf.DUMMYFUNCTION("""COMPUTED_VALUE"""),80.2098)</f>
        <v>80.2098</v>
      </c>
      <c r="F14598" s="4">
        <f>IFERROR(__xludf.DUMMYFUNCTION("""COMPUTED_VALUE"""),2846.0)</f>
        <v>2846</v>
      </c>
      <c r="G14598" s="4">
        <f>IFERROR(__xludf.DUMMYFUNCTION("""COMPUTED_VALUE"""),0.0)</f>
        <v>0</v>
      </c>
      <c r="H14598" s="4"/>
      <c r="I14598" s="4"/>
    </row>
    <row r="14599">
      <c r="A14599" s="4" t="str">
        <f>IFERROR(__xludf.DUMMYFUNCTION("""COMPUTED_VALUE"""),"cas_hmw")</f>
        <v>cas_hmw</v>
      </c>
      <c r="B14599" s="5">
        <f>IFERROR(__xludf.DUMMYFUNCTION("""COMPUTED_VALUE"""),44723.0)</f>
        <v>44723</v>
      </c>
      <c r="C14599" s="6">
        <f>IFERROR(__xludf.DUMMYFUNCTION("""COMPUTED_VALUE"""),0.7592939814821875)</f>
        <v>0.7592939815</v>
      </c>
      <c r="D14599" s="4">
        <f>IFERROR(__xludf.DUMMYFUNCTION("""COMPUTED_VALUE"""),13.079859)</f>
        <v>13.079859</v>
      </c>
      <c r="E14599" s="4">
        <f>IFERROR(__xludf.DUMMYFUNCTION("""COMPUTED_VALUE"""),80.198798)</f>
        <v>80.198798</v>
      </c>
      <c r="F14599" s="4">
        <f>IFERROR(__xludf.DUMMYFUNCTION("""COMPUTED_VALUE"""),2846.0)</f>
        <v>2846</v>
      </c>
      <c r="G14599" s="4">
        <f>IFERROR(__xludf.DUMMYFUNCTION("""COMPUTED_VALUE"""),9.0)</f>
        <v>9</v>
      </c>
      <c r="H14599" s="4"/>
      <c r="I14599" s="4"/>
    </row>
    <row r="14600">
      <c r="A14600" s="4" t="str">
        <f>IFERROR(__xludf.DUMMYFUNCTION("""COMPUTED_VALUE"""),"cas_hmw")</f>
        <v>cas_hmw</v>
      </c>
      <c r="B14600" s="5">
        <f>IFERROR(__xludf.DUMMYFUNCTION("""COMPUTED_VALUE"""),44723.0)</f>
        <v>44723</v>
      </c>
      <c r="C14600" s="6">
        <f>IFERROR(__xludf.DUMMYFUNCTION("""COMPUTED_VALUE"""),0.7594675925938645)</f>
        <v>0.7594675926</v>
      </c>
      <c r="D14600" s="4">
        <f>IFERROR(__xludf.DUMMYFUNCTION("""COMPUTED_VALUE"""),13.067463)</f>
        <v>13.067463</v>
      </c>
      <c r="E14600" s="4">
        <f>IFERROR(__xludf.DUMMYFUNCTION("""COMPUTED_VALUE"""),80.250284)</f>
        <v>80.250284</v>
      </c>
      <c r="F14600" s="4">
        <f>IFERROR(__xludf.DUMMYFUNCTION("""COMPUTED_VALUE"""),805.0)</f>
        <v>805</v>
      </c>
      <c r="G14600" s="4">
        <f>IFERROR(__xludf.DUMMYFUNCTION("""COMPUTED_VALUE"""),25.0)</f>
        <v>25</v>
      </c>
      <c r="H14600" s="4"/>
      <c r="I14600" s="4"/>
    </row>
    <row r="14601">
      <c r="A14601" s="4" t="str">
        <f>IFERROR(__xludf.DUMMYFUNCTION("""COMPUTED_VALUE"""),"cas_hmw")</f>
        <v>cas_hmw</v>
      </c>
      <c r="B14601" s="5">
        <f>IFERROR(__xludf.DUMMYFUNCTION("""COMPUTED_VALUE"""),44723.0)</f>
        <v>44723</v>
      </c>
      <c r="C14601" s="6">
        <f>IFERROR(__xludf.DUMMYFUNCTION("""COMPUTED_VALUE"""),0.7594907407401479)</f>
        <v>0.7594907407</v>
      </c>
      <c r="D14601" s="4">
        <f>IFERROR(__xludf.DUMMYFUNCTION("""COMPUTED_VALUE"""),13.067613)</f>
        <v>13.067613</v>
      </c>
      <c r="E14601" s="4">
        <f>IFERROR(__xludf.DUMMYFUNCTION("""COMPUTED_VALUE"""),80.24942)</f>
        <v>80.24942</v>
      </c>
      <c r="F14601" s="4">
        <f>IFERROR(__xludf.DUMMYFUNCTION("""COMPUTED_VALUE"""),805.0)</f>
        <v>805</v>
      </c>
      <c r="G14601" s="4">
        <f>IFERROR(__xludf.DUMMYFUNCTION("""COMPUTED_VALUE"""),16.0)</f>
        <v>16</v>
      </c>
      <c r="H14601" s="4"/>
      <c r="I14601" s="4"/>
    </row>
    <row r="14602">
      <c r="A14602" s="4" t="str">
        <f>IFERROR(__xludf.DUMMYFUNCTION("""COMPUTED_VALUE"""),"cas_hmw")</f>
        <v>cas_hmw</v>
      </c>
      <c r="B14602" s="5">
        <f>IFERROR(__xludf.DUMMYFUNCTION("""COMPUTED_VALUE"""),44723.0)</f>
        <v>44723</v>
      </c>
      <c r="C14602" s="6">
        <f>IFERROR(__xludf.DUMMYFUNCTION("""COMPUTED_VALUE"""),0.7595601851862739)</f>
        <v>0.7595601852</v>
      </c>
      <c r="D14602" s="4">
        <f>IFERROR(__xludf.DUMMYFUNCTION("""COMPUTED_VALUE"""),13.067613)</f>
        <v>13.067613</v>
      </c>
      <c r="E14602" s="4">
        <f>IFERROR(__xludf.DUMMYFUNCTION("""COMPUTED_VALUE"""),80.24942)</f>
        <v>80.24942</v>
      </c>
      <c r="F14602" s="4">
        <f>IFERROR(__xludf.DUMMYFUNCTION("""COMPUTED_VALUE"""),805.0)</f>
        <v>805</v>
      </c>
      <c r="G14602" s="4">
        <f>IFERROR(__xludf.DUMMYFUNCTION("""COMPUTED_VALUE"""),16.0)</f>
        <v>16</v>
      </c>
      <c r="H14602" s="4"/>
      <c r="I14602" s="4"/>
    </row>
    <row r="14603">
      <c r="A14603" s="4" t="str">
        <f>IFERROR(__xludf.DUMMYFUNCTION("""COMPUTED_VALUE"""),"cas_hmw")</f>
        <v>cas_hmw</v>
      </c>
      <c r="B14603" s="5">
        <f>IFERROR(__xludf.DUMMYFUNCTION("""COMPUTED_VALUE"""),44723.0)</f>
        <v>44723</v>
      </c>
      <c r="C14603" s="6">
        <f>IFERROR(__xludf.DUMMYFUNCTION("""COMPUTED_VALUE"""),0.7600578703713836)</f>
        <v>0.7600578704</v>
      </c>
      <c r="D14603" s="4">
        <f>IFERROR(__xludf.DUMMYFUNCTION("""COMPUTED_VALUE"""),13.076581)</f>
        <v>13.076581</v>
      </c>
      <c r="E14603" s="4">
        <f>IFERROR(__xludf.DUMMYFUNCTION("""COMPUTED_VALUE"""),80.199172)</f>
        <v>80.199172</v>
      </c>
      <c r="F14603" s="4">
        <f>IFERROR(__xludf.DUMMYFUNCTION("""COMPUTED_VALUE"""),2846.0)</f>
        <v>2846</v>
      </c>
      <c r="G14603" s="4">
        <f>IFERROR(__xludf.DUMMYFUNCTION("""COMPUTED_VALUE"""),37.0)</f>
        <v>37</v>
      </c>
      <c r="H14603" s="4"/>
      <c r="I14603" s="4"/>
    </row>
    <row r="14604">
      <c r="A14604" s="4" t="str">
        <f>IFERROR(__xludf.DUMMYFUNCTION("""COMPUTED_VALUE"""),"cas_hmw")</f>
        <v>cas_hmw</v>
      </c>
      <c r="B14604" s="5">
        <f>IFERROR(__xludf.DUMMYFUNCTION("""COMPUTED_VALUE"""),44723.0)</f>
        <v>44723</v>
      </c>
      <c r="C14604" s="6">
        <f>IFERROR(__xludf.DUMMYFUNCTION("""COMPUTED_VALUE"""),0.7600694444445253)</f>
        <v>0.7600694444</v>
      </c>
      <c r="D14604" s="4">
        <f>IFERROR(__xludf.DUMMYFUNCTION("""COMPUTED_VALUE"""),13.076581)</f>
        <v>13.076581</v>
      </c>
      <c r="E14604" s="4">
        <f>IFERROR(__xludf.DUMMYFUNCTION("""COMPUTED_VALUE"""),80.199172)</f>
        <v>80.199172</v>
      </c>
      <c r="F14604" s="4">
        <f>IFERROR(__xludf.DUMMYFUNCTION("""COMPUTED_VALUE"""),2846.0)</f>
        <v>2846</v>
      </c>
      <c r="G14604" s="4">
        <f>IFERROR(__xludf.DUMMYFUNCTION("""COMPUTED_VALUE"""),37.0)</f>
        <v>37</v>
      </c>
      <c r="H14604" s="4"/>
      <c r="I14604" s="4"/>
    </row>
    <row r="14605">
      <c r="A14605" s="4" t="str">
        <f>IFERROR(__xludf.DUMMYFUNCTION("""COMPUTED_VALUE"""),"cas_hmw")</f>
        <v>cas_hmw</v>
      </c>
      <c r="B14605" s="5">
        <f>IFERROR(__xludf.DUMMYFUNCTION("""COMPUTED_VALUE"""),44723.0)</f>
        <v>44723</v>
      </c>
      <c r="C14605" s="6">
        <f>IFERROR(__xludf.DUMMYFUNCTION("""COMPUTED_VALUE"""),0.7603703703716747)</f>
        <v>0.7603703704</v>
      </c>
      <c r="D14605" s="4">
        <f>IFERROR(__xludf.DUMMYFUNCTION("""COMPUTED_VALUE"""),13.075158)</f>
        <v>13.075158</v>
      </c>
      <c r="E14605" s="4">
        <f>IFERROR(__xludf.DUMMYFUNCTION("""COMPUTED_VALUE"""),80.199658)</f>
        <v>80.199658</v>
      </c>
      <c r="F14605" s="4">
        <f>IFERROR(__xludf.DUMMYFUNCTION("""COMPUTED_VALUE"""),2846.0)</f>
        <v>2846</v>
      </c>
      <c r="G14605" s="4">
        <f>IFERROR(__xludf.DUMMYFUNCTION("""COMPUTED_VALUE"""),34.0)</f>
        <v>34</v>
      </c>
      <c r="H14605" s="4"/>
      <c r="I14605" s="4"/>
    </row>
    <row r="14606">
      <c r="A14606" s="4" t="str">
        <f>IFERROR(__xludf.DUMMYFUNCTION("""COMPUTED_VALUE"""),"cas_hmw")</f>
        <v>cas_hmw</v>
      </c>
      <c r="B14606" s="5">
        <f>IFERROR(__xludf.DUMMYFUNCTION("""COMPUTED_VALUE"""),44723.0)</f>
        <v>44723</v>
      </c>
      <c r="C14606" s="6">
        <f>IFERROR(__xludf.DUMMYFUNCTION("""COMPUTED_VALUE"""),0.7613425925919728)</f>
        <v>0.7613425926</v>
      </c>
      <c r="D14606" s="4">
        <f>IFERROR(__xludf.DUMMYFUNCTION("""COMPUTED_VALUE"""),13.074554)</f>
        <v>13.074554</v>
      </c>
      <c r="E14606" s="4">
        <f>IFERROR(__xludf.DUMMYFUNCTION("""COMPUTED_VALUE"""),80.194871)</f>
        <v>80.194871</v>
      </c>
      <c r="F14606" s="4">
        <f>IFERROR(__xludf.DUMMYFUNCTION("""COMPUTED_VALUE"""),2846.0)</f>
        <v>2846</v>
      </c>
      <c r="G14606" s="4">
        <f>IFERROR(__xludf.DUMMYFUNCTION("""COMPUTED_VALUE"""),9.0)</f>
        <v>9</v>
      </c>
      <c r="H14606" s="4"/>
      <c r="I14606" s="4"/>
    </row>
    <row r="14607">
      <c r="A14607" s="4" t="str">
        <f>IFERROR(__xludf.DUMMYFUNCTION("""COMPUTED_VALUE"""),"cas_hmw")</f>
        <v>cas_hmw</v>
      </c>
      <c r="B14607" s="5">
        <f>IFERROR(__xludf.DUMMYFUNCTION("""COMPUTED_VALUE"""),44723.0)</f>
        <v>44723</v>
      </c>
      <c r="C14607" s="6">
        <f>IFERROR(__xludf.DUMMYFUNCTION("""COMPUTED_VALUE"""),0.7613657407418941)</f>
        <v>0.7613657407</v>
      </c>
      <c r="D14607" s="4">
        <f>IFERROR(__xludf.DUMMYFUNCTION("""COMPUTED_VALUE"""),13.074554)</f>
        <v>13.074554</v>
      </c>
      <c r="E14607" s="4">
        <f>IFERROR(__xludf.DUMMYFUNCTION("""COMPUTED_VALUE"""),80.194871)</f>
        <v>80.194871</v>
      </c>
      <c r="F14607" s="4">
        <f>IFERROR(__xludf.DUMMYFUNCTION("""COMPUTED_VALUE"""),2846.0)</f>
        <v>2846</v>
      </c>
      <c r="G14607" s="4">
        <f>IFERROR(__xludf.DUMMYFUNCTION("""COMPUTED_VALUE"""),9.0)</f>
        <v>9</v>
      </c>
      <c r="H14607" s="4"/>
      <c r="I14607" s="4"/>
    </row>
    <row r="14608">
      <c r="A14608" s="4" t="str">
        <f>IFERROR(__xludf.DUMMYFUNCTION("""COMPUTED_VALUE"""),"cas_hmw")</f>
        <v>cas_hmw</v>
      </c>
      <c r="B14608" s="5">
        <f>IFERROR(__xludf.DUMMYFUNCTION("""COMPUTED_VALUE"""),44723.0)</f>
        <v>44723</v>
      </c>
      <c r="C14608" s="6">
        <f>IFERROR(__xludf.DUMMYFUNCTION("""COMPUTED_VALUE"""),0.7622106481467199)</f>
        <v>0.7622106481</v>
      </c>
      <c r="D14608" s="4">
        <f>IFERROR(__xludf.DUMMYFUNCTION("""COMPUTED_VALUE"""),13.073995)</f>
        <v>13.073995</v>
      </c>
      <c r="E14608" s="4">
        <f>IFERROR(__xludf.DUMMYFUNCTION("""COMPUTED_VALUE"""),80.191015)</f>
        <v>80.191015</v>
      </c>
      <c r="F14608" s="4">
        <f>IFERROR(__xludf.DUMMYFUNCTION("""COMPUTED_VALUE"""),2846.0)</f>
        <v>2846</v>
      </c>
      <c r="G14608" s="4">
        <f>IFERROR(__xludf.DUMMYFUNCTION("""COMPUTED_VALUE"""),28.0)</f>
        <v>28</v>
      </c>
      <c r="H14608" s="4"/>
      <c r="I14608" s="4"/>
    </row>
    <row r="14609">
      <c r="A14609" s="4" t="str">
        <f>IFERROR(__xludf.DUMMYFUNCTION("""COMPUTED_VALUE"""),"cas_hmw")</f>
        <v>cas_hmw</v>
      </c>
      <c r="B14609" s="5">
        <f>IFERROR(__xludf.DUMMYFUNCTION("""COMPUTED_VALUE"""),44723.0)</f>
        <v>44723</v>
      </c>
      <c r="C14609" s="6">
        <f>IFERROR(__xludf.DUMMYFUNCTION("""COMPUTED_VALUE"""),0.7625694444432156)</f>
        <v>0.7625694444</v>
      </c>
      <c r="D14609" s="4">
        <f>IFERROR(__xludf.DUMMYFUNCTION("""COMPUTED_VALUE"""),13.072616)</f>
        <v>13.072616</v>
      </c>
      <c r="E14609" s="4">
        <f>IFERROR(__xludf.DUMMYFUNCTION("""COMPUTED_VALUE"""),80.18905)</f>
        <v>80.18905</v>
      </c>
      <c r="F14609" s="4">
        <f>IFERROR(__xludf.DUMMYFUNCTION("""COMPUTED_VALUE"""),2846.0)</f>
        <v>2846</v>
      </c>
      <c r="G14609" s="4">
        <f>IFERROR(__xludf.DUMMYFUNCTION("""COMPUTED_VALUE"""),30.0)</f>
        <v>30</v>
      </c>
      <c r="H14609" s="4"/>
      <c r="I14609" s="4"/>
    </row>
    <row r="14610">
      <c r="A14610" s="4" t="str">
        <f>IFERROR(__xludf.DUMMYFUNCTION("""COMPUTED_VALUE"""),"cas_hmw")</f>
        <v>cas_hmw</v>
      </c>
      <c r="B14610" s="5">
        <f>IFERROR(__xludf.DUMMYFUNCTION("""COMPUTED_VALUE"""),44723.0)</f>
        <v>44723</v>
      </c>
      <c r="C14610" s="6">
        <f>IFERROR(__xludf.DUMMYFUNCTION("""COMPUTED_VALUE"""),0.7638773148137261)</f>
        <v>0.7638773148</v>
      </c>
      <c r="D14610" s="4">
        <f>IFERROR(__xludf.DUMMYFUNCTION("""COMPUTED_VALUE"""),13.070285)</f>
        <v>13.070285</v>
      </c>
      <c r="E14610" s="4">
        <f>IFERROR(__xludf.DUMMYFUNCTION("""COMPUTED_VALUE"""),80.182469)</f>
        <v>80.182469</v>
      </c>
      <c r="F14610" s="4">
        <f>IFERROR(__xludf.DUMMYFUNCTION("""COMPUTED_VALUE"""),2846.0)</f>
        <v>2846</v>
      </c>
      <c r="G14610" s="4">
        <f>IFERROR(__xludf.DUMMYFUNCTION("""COMPUTED_VALUE"""),19.0)</f>
        <v>19</v>
      </c>
      <c r="H14610" s="4"/>
      <c r="I14610" s="4"/>
    </row>
    <row r="14611">
      <c r="A14611" s="4" t="str">
        <f>IFERROR(__xludf.DUMMYFUNCTION("""COMPUTED_VALUE"""),"cas_hmw")</f>
        <v>cas_hmw</v>
      </c>
      <c r="B14611" s="5">
        <f>IFERROR(__xludf.DUMMYFUNCTION("""COMPUTED_VALUE"""),44723.0)</f>
        <v>44723</v>
      </c>
      <c r="C14611" s="6">
        <f>IFERROR(__xludf.DUMMYFUNCTION("""COMPUTED_VALUE"""),0.7659606481465744)</f>
        <v>0.7659606481</v>
      </c>
      <c r="D14611" s="4">
        <f>IFERROR(__xludf.DUMMYFUNCTION("""COMPUTED_VALUE"""),13.066351)</f>
        <v>13.066351</v>
      </c>
      <c r="E14611" s="4">
        <f>IFERROR(__xludf.DUMMYFUNCTION("""COMPUTED_VALUE"""),80.174496)</f>
        <v>80.174496</v>
      </c>
      <c r="F14611" s="4">
        <f>IFERROR(__xludf.DUMMYFUNCTION("""COMPUTED_VALUE"""),2846.0)</f>
        <v>2846</v>
      </c>
      <c r="G14611" s="4">
        <f>IFERROR(__xludf.DUMMYFUNCTION("""COMPUTED_VALUE"""),30.0)</f>
        <v>30</v>
      </c>
      <c r="H14611" s="4"/>
      <c r="I14611" s="4"/>
    </row>
    <row r="14612">
      <c r="A14612" s="4" t="str">
        <f>IFERROR(__xludf.DUMMYFUNCTION("""COMPUTED_VALUE"""),"cas_hmw")</f>
        <v>cas_hmw</v>
      </c>
      <c r="B14612" s="5">
        <f>IFERROR(__xludf.DUMMYFUNCTION("""COMPUTED_VALUE"""),44723.0)</f>
        <v>44723</v>
      </c>
      <c r="C14612" s="6">
        <f>IFERROR(__xludf.DUMMYFUNCTION("""COMPUTED_VALUE"""),0.7728240740725596)</f>
        <v>0.7728240741</v>
      </c>
      <c r="D14612" s="4">
        <f>IFERROR(__xludf.DUMMYFUNCTION("""COMPUTED_VALUE"""),13.060428)</f>
        <v>13.060428</v>
      </c>
      <c r="E14612" s="4">
        <f>IFERROR(__xludf.DUMMYFUNCTION("""COMPUTED_VALUE"""),80.16227)</f>
        <v>80.16227</v>
      </c>
      <c r="F14612" s="4">
        <f>IFERROR(__xludf.DUMMYFUNCTION("""COMPUTED_VALUE"""),2846.0)</f>
        <v>2846</v>
      </c>
      <c r="G14612" s="4">
        <f>IFERROR(__xludf.DUMMYFUNCTION("""COMPUTED_VALUE"""),30.0)</f>
        <v>30</v>
      </c>
      <c r="H14612" s="4"/>
      <c r="I14612" s="4"/>
    </row>
    <row r="14613">
      <c r="A14613" s="4" t="str">
        <f>IFERROR(__xludf.DUMMYFUNCTION("""COMPUTED_VALUE"""),"cas_hmw")</f>
        <v>cas_hmw</v>
      </c>
      <c r="B14613" s="5">
        <f>IFERROR(__xludf.DUMMYFUNCTION("""COMPUTED_VALUE"""),44723.0)</f>
        <v>44723</v>
      </c>
      <c r="C14613" s="6">
        <f>IFERROR(__xludf.DUMMYFUNCTION("""COMPUTED_VALUE"""),0.7729513888880319)</f>
        <v>0.7729513889</v>
      </c>
      <c r="D14613" s="4">
        <f>IFERROR(__xludf.DUMMYFUNCTION("""COMPUTED_VALUE"""),13.059688)</f>
        <v>13.059688</v>
      </c>
      <c r="E14613" s="4">
        <f>IFERROR(__xludf.DUMMYFUNCTION("""COMPUTED_VALUE"""),80.161189)</f>
        <v>80.161189</v>
      </c>
      <c r="F14613" s="4">
        <f>IFERROR(__xludf.DUMMYFUNCTION("""COMPUTED_VALUE"""),2846.0)</f>
        <v>2846</v>
      </c>
      <c r="G14613" s="4">
        <f>IFERROR(__xludf.DUMMYFUNCTION("""COMPUTED_VALUE"""),34.0)</f>
        <v>34</v>
      </c>
      <c r="H14613" s="4"/>
      <c r="I14613" s="4"/>
    </row>
    <row r="14614">
      <c r="A14614" s="4" t="str">
        <f>IFERROR(__xludf.DUMMYFUNCTION("""COMPUTED_VALUE"""),"cas_hmw")</f>
        <v>cas_hmw</v>
      </c>
      <c r="B14614" s="5">
        <f>IFERROR(__xludf.DUMMYFUNCTION("""COMPUTED_VALUE"""),44723.0)</f>
        <v>44723</v>
      </c>
      <c r="C14614" s="6">
        <f>IFERROR(__xludf.DUMMYFUNCTION("""COMPUTED_VALUE"""),0.7879629629642295)</f>
        <v>0.787962963</v>
      </c>
      <c r="D14614" s="4">
        <f>IFERROR(__xludf.DUMMYFUNCTION("""COMPUTED_VALUE"""),13.017929)</f>
        <v>13.017929</v>
      </c>
      <c r="E14614" s="4">
        <f>IFERROR(__xludf.DUMMYFUNCTION("""COMPUTED_VALUE"""),80.133524)</f>
        <v>80.133524</v>
      </c>
      <c r="F14614" s="4">
        <f>IFERROR(__xludf.DUMMYFUNCTION("""COMPUTED_VALUE"""),2846.0)</f>
        <v>2846</v>
      </c>
      <c r="G14614" s="4">
        <f>IFERROR(__xludf.DUMMYFUNCTION("""COMPUTED_VALUE"""),43.0)</f>
        <v>43</v>
      </c>
      <c r="H14614" s="4"/>
      <c r="I14614" s="4"/>
    </row>
    <row r="14615">
      <c r="A14615" s="4" t="str">
        <f>IFERROR(__xludf.DUMMYFUNCTION("""COMPUTED_VALUE"""),"cas_hmw")</f>
        <v>cas_hmw</v>
      </c>
      <c r="B14615" s="5">
        <f>IFERROR(__xludf.DUMMYFUNCTION("""COMPUTED_VALUE"""),44723.0)</f>
        <v>44723</v>
      </c>
      <c r="C14615" s="6">
        <f>IFERROR(__xludf.DUMMYFUNCTION("""COMPUTED_VALUE"""),0.8024652777785377)</f>
        <v>0.8024652778</v>
      </c>
      <c r="D14615" s="4">
        <f>IFERROR(__xludf.DUMMYFUNCTION("""COMPUTED_VALUE"""),12.904268)</f>
        <v>12.904268</v>
      </c>
      <c r="E14615" s="4">
        <f>IFERROR(__xludf.DUMMYFUNCTION("""COMPUTED_VALUE"""),80.094872)</f>
        <v>80.094872</v>
      </c>
      <c r="F14615" s="4">
        <f>IFERROR(__xludf.DUMMYFUNCTION("""COMPUTED_VALUE"""),2846.0)</f>
        <v>2846</v>
      </c>
      <c r="G14615" s="4">
        <f>IFERROR(__xludf.DUMMYFUNCTION("""COMPUTED_VALUE"""),35.0)</f>
        <v>35</v>
      </c>
      <c r="H14615" s="4"/>
      <c r="I14615" s="4"/>
    </row>
    <row r="14616">
      <c r="A14616" s="4" t="str">
        <f>IFERROR(__xludf.DUMMYFUNCTION("""COMPUTED_VALUE"""),"cas_hmw")</f>
        <v>cas_hmw</v>
      </c>
      <c r="B14616" s="5">
        <f>IFERROR(__xludf.DUMMYFUNCTION("""COMPUTED_VALUE"""),44723.0)</f>
        <v>44723</v>
      </c>
      <c r="C14616" s="6">
        <f>IFERROR(__xludf.DUMMYFUNCTION("""COMPUTED_VALUE"""),0.8026041666671517)</f>
        <v>0.8026041667</v>
      </c>
      <c r="D14616" s="4">
        <f>IFERROR(__xludf.DUMMYFUNCTION("""COMPUTED_VALUE"""),12.904268)</f>
        <v>12.904268</v>
      </c>
      <c r="E14616" s="4">
        <f>IFERROR(__xludf.DUMMYFUNCTION("""COMPUTED_VALUE"""),80.094872)</f>
        <v>80.094872</v>
      </c>
      <c r="F14616" s="4">
        <f>IFERROR(__xludf.DUMMYFUNCTION("""COMPUTED_VALUE"""),2846.0)</f>
        <v>2846</v>
      </c>
      <c r="G14616" s="4">
        <f>IFERROR(__xludf.DUMMYFUNCTION("""COMPUTED_VALUE"""),35.0)</f>
        <v>35</v>
      </c>
      <c r="H14616" s="4"/>
      <c r="I14616" s="4"/>
    </row>
    <row r="14617">
      <c r="A14617" s="4" t="str">
        <f>IFERROR(__xludf.DUMMYFUNCTION("""COMPUTED_VALUE"""),"cas_hmw")</f>
        <v>cas_hmw</v>
      </c>
      <c r="B14617" s="5">
        <f>IFERROR(__xludf.DUMMYFUNCTION("""COMPUTED_VALUE"""),44725.0)</f>
        <v>44725</v>
      </c>
      <c r="C14617" s="6">
        <f>IFERROR(__xludf.DUMMYFUNCTION("""COMPUTED_VALUE"""),0.26201388888875954)</f>
        <v>0.2620138889</v>
      </c>
      <c r="D14617" s="4">
        <f>IFERROR(__xludf.DUMMYFUNCTION("""COMPUTED_VALUE"""),12.77013)</f>
        <v>12.77013</v>
      </c>
      <c r="E14617" s="4">
        <f>IFERROR(__xludf.DUMMYFUNCTION("""COMPUTED_VALUE"""),80.007305)</f>
        <v>80.007305</v>
      </c>
      <c r="F14617" s="4">
        <f>IFERROR(__xludf.DUMMYFUNCTION("""COMPUTED_VALUE"""),2846.0)</f>
        <v>2846</v>
      </c>
      <c r="G14617" s="4">
        <f>IFERROR(__xludf.DUMMYFUNCTION("""COMPUTED_VALUE"""),40.0)</f>
        <v>40</v>
      </c>
      <c r="H14617" s="4"/>
      <c r="I14617" s="4"/>
    </row>
    <row r="14618">
      <c r="A14618" s="4" t="str">
        <f>IFERROR(__xludf.DUMMYFUNCTION("""COMPUTED_VALUE"""),"cas_hmw")</f>
        <v>cas_hmw</v>
      </c>
      <c r="B14618" s="5">
        <f>IFERROR(__xludf.DUMMYFUNCTION("""COMPUTED_VALUE"""),44725.0)</f>
        <v>44725</v>
      </c>
      <c r="C14618" s="6">
        <f>IFERROR(__xludf.DUMMYFUNCTION("""COMPUTED_VALUE"""),0.268344907406572)</f>
        <v>0.2683449074</v>
      </c>
      <c r="D14618" s="4">
        <f>IFERROR(__xludf.DUMMYFUNCTION("""COMPUTED_VALUE"""),12.717844)</f>
        <v>12.717844</v>
      </c>
      <c r="E14618" s="4">
        <f>IFERROR(__xludf.DUMMYFUNCTION("""COMPUTED_VALUE"""),79.980981)</f>
        <v>79.980981</v>
      </c>
      <c r="F14618" s="4">
        <f>IFERROR(__xludf.DUMMYFUNCTION("""COMPUTED_VALUE"""),2846.0)</f>
        <v>2846</v>
      </c>
      <c r="G14618" s="4">
        <f>IFERROR(__xludf.DUMMYFUNCTION("""COMPUTED_VALUE"""),57.0)</f>
        <v>57</v>
      </c>
      <c r="H14618" s="4"/>
      <c r="I14618" s="4"/>
    </row>
    <row r="14619">
      <c r="A14619" s="4" t="str">
        <f>IFERROR(__xludf.DUMMYFUNCTION("""COMPUTED_VALUE"""),"cas_hmw")</f>
        <v>cas_hmw</v>
      </c>
      <c r="B14619" s="5">
        <f>IFERROR(__xludf.DUMMYFUNCTION("""COMPUTED_VALUE"""),44725.0)</f>
        <v>44725</v>
      </c>
      <c r="C14619" s="6">
        <f>IFERROR(__xludf.DUMMYFUNCTION("""COMPUTED_VALUE"""),0.2692939814805868)</f>
        <v>0.2692939815</v>
      </c>
      <c r="D14619" s="4">
        <f>IFERROR(__xludf.DUMMYFUNCTION("""COMPUTED_VALUE"""),12.700216)</f>
        <v>12.700216</v>
      </c>
      <c r="E14619" s="4">
        <f>IFERROR(__xludf.DUMMYFUNCTION("""COMPUTED_VALUE"""),79.968741)</f>
        <v>79.968741</v>
      </c>
      <c r="F14619" s="4">
        <f>IFERROR(__xludf.DUMMYFUNCTION("""COMPUTED_VALUE"""),2846.0)</f>
        <v>2846</v>
      </c>
      <c r="G14619" s="4">
        <f>IFERROR(__xludf.DUMMYFUNCTION("""COMPUTED_VALUE"""),47.0)</f>
        <v>47</v>
      </c>
      <c r="H14619" s="4"/>
      <c r="I14619" s="4"/>
    </row>
    <row r="14620">
      <c r="A14620" s="4" t="str">
        <f>IFERROR(__xludf.DUMMYFUNCTION("""COMPUTED_VALUE"""),"cas_hmw")</f>
        <v>cas_hmw</v>
      </c>
      <c r="B14620" s="5">
        <f>IFERROR(__xludf.DUMMYFUNCTION("""COMPUTED_VALUE"""),44725.0)</f>
        <v>44725</v>
      </c>
      <c r="C14620" s="6">
        <f>IFERROR(__xludf.DUMMYFUNCTION("""COMPUTED_VALUE"""),0.2694328703692008)</f>
        <v>0.2694328704</v>
      </c>
      <c r="D14620" s="4">
        <f>IFERROR(__xludf.DUMMYFUNCTION("""COMPUTED_VALUE"""),12.699136)</f>
        <v>12.699136</v>
      </c>
      <c r="E14620" s="4">
        <f>IFERROR(__xludf.DUMMYFUNCTION("""COMPUTED_VALUE"""),79.968189)</f>
        <v>79.968189</v>
      </c>
      <c r="F14620" s="4">
        <f>IFERROR(__xludf.DUMMYFUNCTION("""COMPUTED_VALUE"""),2846.0)</f>
        <v>2846</v>
      </c>
      <c r="G14620" s="4">
        <f>IFERROR(__xludf.DUMMYFUNCTION("""COMPUTED_VALUE"""),51.0)</f>
        <v>51</v>
      </c>
      <c r="H14620" s="4"/>
      <c r="I14620" s="4"/>
    </row>
    <row r="14621">
      <c r="A14621" s="4" t="str">
        <f>IFERROR(__xludf.DUMMYFUNCTION("""COMPUTED_VALUE"""),"cas_hmw")</f>
        <v>cas_hmw</v>
      </c>
      <c r="B14621" s="5">
        <f>IFERROR(__xludf.DUMMYFUNCTION("""COMPUTED_VALUE"""),44725.0)</f>
        <v>44725</v>
      </c>
      <c r="C14621" s="6">
        <f>IFERROR(__xludf.DUMMYFUNCTION("""COMPUTED_VALUE"""),0.30158564814701094)</f>
        <v>0.3015856481</v>
      </c>
      <c r="D14621" s="4">
        <f>IFERROR(__xludf.DUMMYFUNCTION("""COMPUTED_VALUE"""),12.533906)</f>
        <v>12.533906</v>
      </c>
      <c r="E14621" s="4">
        <f>IFERROR(__xludf.DUMMYFUNCTION("""COMPUTED_VALUE"""),79.901146)</f>
        <v>79.901146</v>
      </c>
      <c r="F14621" s="4">
        <f>IFERROR(__xludf.DUMMYFUNCTION("""COMPUTED_VALUE"""),2846.0)</f>
        <v>2846</v>
      </c>
      <c r="G14621" s="4">
        <f>IFERROR(__xludf.DUMMYFUNCTION("""COMPUTED_VALUE"""),43.0)</f>
        <v>43</v>
      </c>
      <c r="H14621" s="4"/>
      <c r="I14621" s="4"/>
    </row>
    <row r="14622">
      <c r="A14622" s="4" t="str">
        <f>IFERROR(__xludf.DUMMYFUNCTION("""COMPUTED_VALUE"""),"cas_hmw")</f>
        <v>cas_hmw</v>
      </c>
      <c r="B14622" s="5">
        <f>IFERROR(__xludf.DUMMYFUNCTION("""COMPUTED_VALUE"""),44725.0)</f>
        <v>44725</v>
      </c>
      <c r="C14622" s="6">
        <f>IFERROR(__xludf.DUMMYFUNCTION("""COMPUTED_VALUE"""),0.3029398148137261)</f>
        <v>0.3029398148</v>
      </c>
      <c r="D14622" s="4">
        <f>IFERROR(__xludf.DUMMYFUNCTION("""COMPUTED_VALUE"""),12.543914)</f>
        <v>12.543914</v>
      </c>
      <c r="E14622" s="4">
        <f>IFERROR(__xludf.DUMMYFUNCTION("""COMPUTED_VALUE"""),79.904911)</f>
        <v>79.904911</v>
      </c>
      <c r="F14622" s="4">
        <f>IFERROR(__xludf.DUMMYFUNCTION("""COMPUTED_VALUE"""),2846.0)</f>
        <v>2846</v>
      </c>
      <c r="G14622" s="4">
        <f>IFERROR(__xludf.DUMMYFUNCTION("""COMPUTED_VALUE"""),24.0)</f>
        <v>24</v>
      </c>
      <c r="H14622" s="4"/>
      <c r="I14622" s="4"/>
    </row>
    <row r="14623">
      <c r="A14623" s="4" t="str">
        <f>IFERROR(__xludf.DUMMYFUNCTION("""COMPUTED_VALUE"""),"cas_hmw")</f>
        <v>cas_hmw</v>
      </c>
      <c r="B14623" s="5">
        <f>IFERROR(__xludf.DUMMYFUNCTION("""COMPUTED_VALUE"""),44725.0)</f>
        <v>44725</v>
      </c>
      <c r="C14623" s="6">
        <f>IFERROR(__xludf.DUMMYFUNCTION("""COMPUTED_VALUE"""),0.30314814814846613)</f>
        <v>0.3031481481</v>
      </c>
      <c r="D14623" s="4">
        <f>IFERROR(__xludf.DUMMYFUNCTION("""COMPUTED_VALUE"""),12.544792)</f>
        <v>12.544792</v>
      </c>
      <c r="E14623" s="4">
        <f>IFERROR(__xludf.DUMMYFUNCTION("""COMPUTED_VALUE"""),79.905078)</f>
        <v>79.905078</v>
      </c>
      <c r="F14623" s="4">
        <f>IFERROR(__xludf.DUMMYFUNCTION("""COMPUTED_VALUE"""),2846.0)</f>
        <v>2846</v>
      </c>
      <c r="G14623" s="4">
        <f>IFERROR(__xludf.DUMMYFUNCTION("""COMPUTED_VALUE"""),42.0)</f>
        <v>42</v>
      </c>
      <c r="H14623" s="4"/>
      <c r="I14623" s="4"/>
    </row>
    <row r="14624">
      <c r="A14624" s="4" t="str">
        <f>IFERROR(__xludf.DUMMYFUNCTION("""COMPUTED_VALUE"""),"cas_hmw")</f>
        <v>cas_hmw</v>
      </c>
      <c r="B14624" s="5">
        <f>IFERROR(__xludf.DUMMYFUNCTION("""COMPUTED_VALUE"""),44725.0)</f>
        <v>44725</v>
      </c>
      <c r="C14624" s="6">
        <f>IFERROR(__xludf.DUMMYFUNCTION("""COMPUTED_VALUE"""),0.30787037036861875)</f>
        <v>0.3078703704</v>
      </c>
      <c r="D14624" s="4">
        <f>IFERROR(__xludf.DUMMYFUNCTION("""COMPUTED_VALUE"""),12.602426)</f>
        <v>12.602426</v>
      </c>
      <c r="E14624" s="4">
        <f>IFERROR(__xludf.DUMMYFUNCTION("""COMPUTED_VALUE"""),79.920148)</f>
        <v>79.920148</v>
      </c>
      <c r="F14624" s="4">
        <f>IFERROR(__xludf.DUMMYFUNCTION("""COMPUTED_VALUE"""),2846.0)</f>
        <v>2846</v>
      </c>
      <c r="G14624" s="4">
        <f>IFERROR(__xludf.DUMMYFUNCTION("""COMPUTED_VALUE"""),58.0)</f>
        <v>58</v>
      </c>
      <c r="H14624" s="4"/>
      <c r="I14624" s="4"/>
    </row>
    <row r="14625">
      <c r="A14625" s="4" t="str">
        <f>IFERROR(__xludf.DUMMYFUNCTION("""COMPUTED_VALUE"""),"cas_hmw")</f>
        <v>cas_hmw</v>
      </c>
      <c r="B14625" s="5">
        <f>IFERROR(__xludf.DUMMYFUNCTION("""COMPUTED_VALUE"""),44725.0)</f>
        <v>44725</v>
      </c>
      <c r="C14625" s="6">
        <f>IFERROR(__xludf.DUMMYFUNCTION("""COMPUTED_VALUE"""),0.3109722222216078)</f>
        <v>0.3109722222</v>
      </c>
      <c r="D14625" s="4">
        <f>IFERROR(__xludf.DUMMYFUNCTION("""COMPUTED_VALUE"""),12.630242)</f>
        <v>12.630242</v>
      </c>
      <c r="E14625" s="4">
        <f>IFERROR(__xludf.DUMMYFUNCTION("""COMPUTED_VALUE"""),79.93112)</f>
        <v>79.93112</v>
      </c>
      <c r="F14625" s="4">
        <f>IFERROR(__xludf.DUMMYFUNCTION("""COMPUTED_VALUE"""),2846.0)</f>
        <v>2846</v>
      </c>
      <c r="G14625" s="4">
        <f>IFERROR(__xludf.DUMMYFUNCTION("""COMPUTED_VALUE"""),0.0)</f>
        <v>0</v>
      </c>
      <c r="H14625" s="4"/>
      <c r="I14625" s="4"/>
    </row>
    <row r="14626">
      <c r="A14626" s="4" t="str">
        <f>IFERROR(__xludf.DUMMYFUNCTION("""COMPUTED_VALUE"""),"cas_hmw")</f>
        <v>cas_hmw</v>
      </c>
      <c r="B14626" s="5">
        <f>IFERROR(__xludf.DUMMYFUNCTION("""COMPUTED_VALUE"""),44725.0)</f>
        <v>44725</v>
      </c>
      <c r="C14626" s="6">
        <f>IFERROR(__xludf.DUMMYFUNCTION("""COMPUTED_VALUE"""),0.31171296296452056)</f>
        <v>0.311712963</v>
      </c>
      <c r="D14626" s="4">
        <f>IFERROR(__xludf.DUMMYFUNCTION("""COMPUTED_VALUE"""),12.634476)</f>
        <v>12.634476</v>
      </c>
      <c r="E14626" s="4">
        <f>IFERROR(__xludf.DUMMYFUNCTION("""COMPUTED_VALUE"""),79.933021)</f>
        <v>79.933021</v>
      </c>
      <c r="F14626" s="4">
        <f>IFERROR(__xludf.DUMMYFUNCTION("""COMPUTED_VALUE"""),2846.0)</f>
        <v>2846</v>
      </c>
      <c r="G14626" s="4">
        <f>IFERROR(__xludf.DUMMYFUNCTION("""COMPUTED_VALUE"""),39.0)</f>
        <v>39</v>
      </c>
      <c r="H14626" s="4"/>
      <c r="I14626" s="4"/>
    </row>
    <row r="14627">
      <c r="A14627" s="4" t="str">
        <f>IFERROR(__xludf.DUMMYFUNCTION("""COMPUTED_VALUE"""),"cas_hmw")</f>
        <v>cas_hmw</v>
      </c>
      <c r="B14627" s="5">
        <f>IFERROR(__xludf.DUMMYFUNCTION("""COMPUTED_VALUE"""),44725.0)</f>
        <v>44725</v>
      </c>
      <c r="C14627" s="6">
        <f>IFERROR(__xludf.DUMMYFUNCTION("""COMPUTED_VALUE"""),0.31262731481547235)</f>
        <v>0.3126273148</v>
      </c>
      <c r="D14627" s="4">
        <f>IFERROR(__xludf.DUMMYFUNCTION("""COMPUTED_VALUE"""),12.639381)</f>
        <v>12.639381</v>
      </c>
      <c r="E14627" s="4">
        <f>IFERROR(__xludf.DUMMYFUNCTION("""COMPUTED_VALUE"""),79.935912)</f>
        <v>79.935912</v>
      </c>
      <c r="F14627" s="4">
        <f>IFERROR(__xludf.DUMMYFUNCTION("""COMPUTED_VALUE"""),2846.0)</f>
        <v>2846</v>
      </c>
      <c r="G14627" s="4">
        <f>IFERROR(__xludf.DUMMYFUNCTION("""COMPUTED_VALUE"""),39.0)</f>
        <v>39</v>
      </c>
      <c r="H14627" s="4"/>
      <c r="I14627" s="4"/>
    </row>
    <row r="14628">
      <c r="A14628" s="4" t="str">
        <f>IFERROR(__xludf.DUMMYFUNCTION("""COMPUTED_VALUE"""),"cas_hmw")</f>
        <v>cas_hmw</v>
      </c>
      <c r="B14628" s="5">
        <f>IFERROR(__xludf.DUMMYFUNCTION("""COMPUTED_VALUE"""),44725.0)</f>
        <v>44725</v>
      </c>
      <c r="C14628" s="6">
        <f>IFERROR(__xludf.DUMMYFUNCTION("""COMPUTED_VALUE"""),0.31303240740817273)</f>
        <v>0.3130324074</v>
      </c>
      <c r="D14628" s="4">
        <f>IFERROR(__xludf.DUMMYFUNCTION("""COMPUTED_VALUE"""),12.642468)</f>
        <v>12.642468</v>
      </c>
      <c r="E14628" s="4">
        <f>IFERROR(__xludf.DUMMYFUNCTION("""COMPUTED_VALUE"""),79.937736)</f>
        <v>79.937736</v>
      </c>
      <c r="F14628" s="4">
        <f>IFERROR(__xludf.DUMMYFUNCTION("""COMPUTED_VALUE"""),2846.0)</f>
        <v>2846</v>
      </c>
      <c r="G14628" s="4">
        <f>IFERROR(__xludf.DUMMYFUNCTION("""COMPUTED_VALUE"""),59.0)</f>
        <v>59</v>
      </c>
      <c r="H14628" s="4"/>
      <c r="I14628" s="4"/>
    </row>
    <row r="14629">
      <c r="A14629" s="4" t="str">
        <f>IFERROR(__xludf.DUMMYFUNCTION("""COMPUTED_VALUE"""),"cas_hmw")</f>
        <v>cas_hmw</v>
      </c>
      <c r="B14629" s="5">
        <f>IFERROR(__xludf.DUMMYFUNCTION("""COMPUTED_VALUE"""),44725.0)</f>
        <v>44725</v>
      </c>
      <c r="C14629" s="6">
        <f>IFERROR(__xludf.DUMMYFUNCTION("""COMPUTED_VALUE"""),0.3132638888891961)</f>
        <v>0.3132638889</v>
      </c>
      <c r="D14629" s="4">
        <f>IFERROR(__xludf.DUMMYFUNCTION("""COMPUTED_VALUE"""),12.643734)</f>
        <v>12.643734</v>
      </c>
      <c r="E14629" s="4">
        <f>IFERROR(__xludf.DUMMYFUNCTION("""COMPUTED_VALUE"""),79.938495)</f>
        <v>79.938495</v>
      </c>
      <c r="F14629" s="4">
        <f>IFERROR(__xludf.DUMMYFUNCTION("""COMPUTED_VALUE"""),2846.0)</f>
        <v>2846</v>
      </c>
      <c r="G14629" s="4">
        <f>IFERROR(__xludf.DUMMYFUNCTION("""COMPUTED_VALUE"""),57.0)</f>
        <v>57</v>
      </c>
      <c r="H14629" s="4"/>
      <c r="I14629" s="4"/>
    </row>
    <row r="14630">
      <c r="A14630" s="4" t="str">
        <f>IFERROR(__xludf.DUMMYFUNCTION("""COMPUTED_VALUE"""),"cas_hmw")</f>
        <v>cas_hmw</v>
      </c>
      <c r="B14630" s="5">
        <f>IFERROR(__xludf.DUMMYFUNCTION("""COMPUTED_VALUE"""),44725.0)</f>
        <v>44725</v>
      </c>
      <c r="C14630" s="6">
        <f>IFERROR(__xludf.DUMMYFUNCTION("""COMPUTED_VALUE"""),0.3155902777762094)</f>
        <v>0.3155902778</v>
      </c>
      <c r="D14630" s="4">
        <f>IFERROR(__xludf.DUMMYFUNCTION("""COMPUTED_VALUE"""),12.65719)</f>
        <v>12.65719</v>
      </c>
      <c r="E14630" s="4">
        <f>IFERROR(__xludf.DUMMYFUNCTION("""COMPUTED_VALUE"""),79.94808)</f>
        <v>79.94808</v>
      </c>
      <c r="F14630" s="4">
        <f>IFERROR(__xludf.DUMMYFUNCTION("""COMPUTED_VALUE"""),2846.0)</f>
        <v>2846</v>
      </c>
      <c r="G14630" s="4">
        <f>IFERROR(__xludf.DUMMYFUNCTION("""COMPUTED_VALUE"""),26.0)</f>
        <v>26</v>
      </c>
      <c r="H14630" s="4"/>
      <c r="I14630" s="4"/>
    </row>
    <row r="14631">
      <c r="A14631" s="4" t="str">
        <f>IFERROR(__xludf.DUMMYFUNCTION("""COMPUTED_VALUE"""),"cas_hmw")</f>
        <v>cas_hmw</v>
      </c>
      <c r="B14631" s="5">
        <f>IFERROR(__xludf.DUMMYFUNCTION("""COMPUTED_VALUE"""),44725.0)</f>
        <v>44725</v>
      </c>
      <c r="C14631" s="6">
        <f>IFERROR(__xludf.DUMMYFUNCTION("""COMPUTED_VALUE"""),0.31592592592642177)</f>
        <v>0.3159259259</v>
      </c>
      <c r="D14631" s="4">
        <f>IFERROR(__xludf.DUMMYFUNCTION("""COMPUTED_VALUE"""),12.656549)</f>
        <v>12.656549</v>
      </c>
      <c r="E14631" s="4">
        <f>IFERROR(__xludf.DUMMYFUNCTION("""COMPUTED_VALUE"""),79.950385)</f>
        <v>79.950385</v>
      </c>
      <c r="F14631" s="4">
        <f>IFERROR(__xludf.DUMMYFUNCTION("""COMPUTED_VALUE"""),2846.0)</f>
        <v>2846</v>
      </c>
      <c r="G14631" s="4">
        <f>IFERROR(__xludf.DUMMYFUNCTION("""COMPUTED_VALUE"""),34.0)</f>
        <v>34</v>
      </c>
      <c r="H14631" s="4"/>
      <c r="I14631" s="4"/>
    </row>
    <row r="14632">
      <c r="A14632" s="4" t="str">
        <f>IFERROR(__xludf.DUMMYFUNCTION("""COMPUTED_VALUE"""),"cas_hmw")</f>
        <v>cas_hmw</v>
      </c>
      <c r="B14632" s="5">
        <f>IFERROR(__xludf.DUMMYFUNCTION("""COMPUTED_VALUE"""),44725.0)</f>
        <v>44725</v>
      </c>
      <c r="C14632" s="6">
        <f>IFERROR(__xludf.DUMMYFUNCTION("""COMPUTED_VALUE"""),0.3187847222216078)</f>
        <v>0.3187847222</v>
      </c>
      <c r="D14632" s="4">
        <f>IFERROR(__xludf.DUMMYFUNCTION("""COMPUTED_VALUE"""),13.02226)</f>
        <v>13.02226</v>
      </c>
      <c r="E14632" s="4">
        <f>IFERROR(__xludf.DUMMYFUNCTION("""COMPUTED_VALUE"""),80.263476)</f>
        <v>80.263476</v>
      </c>
      <c r="F14632" s="4">
        <f>IFERROR(__xludf.DUMMYFUNCTION("""COMPUTED_VALUE"""),805.0)</f>
        <v>805</v>
      </c>
      <c r="G14632" s="4">
        <f>IFERROR(__xludf.DUMMYFUNCTION("""COMPUTED_VALUE"""),45.0)</f>
        <v>45</v>
      </c>
      <c r="H14632" s="4"/>
      <c r="I14632" s="4"/>
    </row>
    <row r="14633">
      <c r="A14633" s="4" t="str">
        <f>IFERROR(__xludf.DUMMYFUNCTION("""COMPUTED_VALUE"""),"cas_hmw")</f>
        <v>cas_hmw</v>
      </c>
      <c r="B14633" s="5">
        <f>IFERROR(__xludf.DUMMYFUNCTION("""COMPUTED_VALUE"""),44725.0)</f>
        <v>44725</v>
      </c>
      <c r="C14633" s="6">
        <f>IFERROR(__xludf.DUMMYFUNCTION("""COMPUTED_VALUE"""),0.3188194444446708)</f>
        <v>0.3188194444</v>
      </c>
      <c r="D14633" s="4">
        <f>IFERROR(__xludf.DUMMYFUNCTION("""COMPUTED_VALUE"""),13.02226)</f>
        <v>13.02226</v>
      </c>
      <c r="E14633" s="4">
        <f>IFERROR(__xludf.DUMMYFUNCTION("""COMPUTED_VALUE"""),80.263476)</f>
        <v>80.263476</v>
      </c>
      <c r="F14633" s="4">
        <f>IFERROR(__xludf.DUMMYFUNCTION("""COMPUTED_VALUE"""),805.0)</f>
        <v>805</v>
      </c>
      <c r="G14633" s="4">
        <f>IFERROR(__xludf.DUMMYFUNCTION("""COMPUTED_VALUE"""),45.0)</f>
        <v>45</v>
      </c>
      <c r="H14633" s="4"/>
      <c r="I14633" s="4"/>
    </row>
    <row r="14634">
      <c r="A14634" s="4" t="str">
        <f>IFERROR(__xludf.DUMMYFUNCTION("""COMPUTED_VALUE"""),"cas_hmw")</f>
        <v>cas_hmw</v>
      </c>
      <c r="B14634" s="5">
        <f>IFERROR(__xludf.DUMMYFUNCTION("""COMPUTED_VALUE"""),44725.0)</f>
        <v>44725</v>
      </c>
      <c r="C14634" s="6">
        <f>IFERROR(__xludf.DUMMYFUNCTION("""COMPUTED_VALUE"""),0.3188310185178125)</f>
        <v>0.3188310185</v>
      </c>
      <c r="D14634" s="4">
        <f>IFERROR(__xludf.DUMMYFUNCTION("""COMPUTED_VALUE"""),13.02226)</f>
        <v>13.02226</v>
      </c>
      <c r="E14634" s="4">
        <f>IFERROR(__xludf.DUMMYFUNCTION("""COMPUTED_VALUE"""),80.263476)</f>
        <v>80.263476</v>
      </c>
      <c r="F14634" s="4">
        <f>IFERROR(__xludf.DUMMYFUNCTION("""COMPUTED_VALUE"""),805.0)</f>
        <v>805</v>
      </c>
      <c r="G14634" s="4">
        <f>IFERROR(__xludf.DUMMYFUNCTION("""COMPUTED_VALUE"""),45.0)</f>
        <v>45</v>
      </c>
      <c r="H14634" s="4"/>
      <c r="I14634" s="4"/>
    </row>
    <row r="14635">
      <c r="A14635" s="4" t="str">
        <f>IFERROR(__xludf.DUMMYFUNCTION("""COMPUTED_VALUE"""),"cas_hmw")</f>
        <v>cas_hmw</v>
      </c>
      <c r="B14635" s="5">
        <f>IFERROR(__xludf.DUMMYFUNCTION("""COMPUTED_VALUE"""),44725.0)</f>
        <v>44725</v>
      </c>
      <c r="C14635" s="6">
        <f>IFERROR(__xludf.DUMMYFUNCTION("""COMPUTED_VALUE"""),0.3188310185178125)</f>
        <v>0.3188310185</v>
      </c>
      <c r="D14635" s="4">
        <f>IFERROR(__xludf.DUMMYFUNCTION("""COMPUTED_VALUE"""),13.02226)</f>
        <v>13.02226</v>
      </c>
      <c r="E14635" s="4">
        <f>IFERROR(__xludf.DUMMYFUNCTION("""COMPUTED_VALUE"""),80.263476)</f>
        <v>80.263476</v>
      </c>
      <c r="F14635" s="4">
        <f>IFERROR(__xludf.DUMMYFUNCTION("""COMPUTED_VALUE"""),805.0)</f>
        <v>805</v>
      </c>
      <c r="G14635" s="4">
        <f>IFERROR(__xludf.DUMMYFUNCTION("""COMPUTED_VALUE"""),45.0)</f>
        <v>45</v>
      </c>
      <c r="H14635" s="4"/>
      <c r="I14635" s="4"/>
    </row>
    <row r="14636">
      <c r="A14636" s="4" t="str">
        <f>IFERROR(__xludf.DUMMYFUNCTION("""COMPUTED_VALUE"""),"cas_hmw")</f>
        <v>cas_hmw</v>
      </c>
      <c r="B14636" s="5">
        <f>IFERROR(__xludf.DUMMYFUNCTION("""COMPUTED_VALUE"""),44725.0)</f>
        <v>44725</v>
      </c>
      <c r="C14636" s="6">
        <f>IFERROR(__xludf.DUMMYFUNCTION("""COMPUTED_VALUE"""),0.32334490740686306)</f>
        <v>0.3233449074</v>
      </c>
      <c r="D14636" s="4">
        <f>IFERROR(__xludf.DUMMYFUNCTION("""COMPUTED_VALUE"""),13.006456)</f>
        <v>13.006456</v>
      </c>
      <c r="E14636" s="4">
        <f>IFERROR(__xludf.DUMMYFUNCTION("""COMPUTED_VALUE"""),80.255572)</f>
        <v>80.255572</v>
      </c>
      <c r="F14636" s="4">
        <f>IFERROR(__xludf.DUMMYFUNCTION("""COMPUTED_VALUE"""),805.0)</f>
        <v>805</v>
      </c>
      <c r="G14636" s="4">
        <f>IFERROR(__xludf.DUMMYFUNCTION("""COMPUTED_VALUE"""),36.0)</f>
        <v>36</v>
      </c>
      <c r="H14636" s="4"/>
      <c r="I14636" s="4"/>
    </row>
    <row r="14637">
      <c r="A14637" s="4" t="str">
        <f>IFERROR(__xludf.DUMMYFUNCTION("""COMPUTED_VALUE"""),"cas_hmw")</f>
        <v>cas_hmw</v>
      </c>
      <c r="B14637" s="5">
        <f>IFERROR(__xludf.DUMMYFUNCTION("""COMPUTED_VALUE"""),44725.0)</f>
        <v>44725</v>
      </c>
      <c r="C14637" s="6">
        <f>IFERROR(__xludf.DUMMYFUNCTION("""COMPUTED_VALUE"""),0.3234374999992724)</f>
        <v>0.3234375</v>
      </c>
      <c r="D14637" s="4">
        <f>IFERROR(__xludf.DUMMYFUNCTION("""COMPUTED_VALUE"""),13.006514)</f>
        <v>13.006514</v>
      </c>
      <c r="E14637" s="4">
        <f>IFERROR(__xludf.DUMMYFUNCTION("""COMPUTED_VALUE"""),80.254449)</f>
        <v>80.254449</v>
      </c>
      <c r="F14637" s="4">
        <f>IFERROR(__xludf.DUMMYFUNCTION("""COMPUTED_VALUE"""),805.0)</f>
        <v>805</v>
      </c>
      <c r="G14637" s="4">
        <f>IFERROR(__xludf.DUMMYFUNCTION("""COMPUTED_VALUE"""),41.0)</f>
        <v>41</v>
      </c>
      <c r="H14637" s="4"/>
      <c r="I14637" s="4"/>
    </row>
    <row r="14638">
      <c r="A14638" s="4" t="str">
        <f>IFERROR(__xludf.DUMMYFUNCTION("""COMPUTED_VALUE"""),"cas_hmw")</f>
        <v>cas_hmw</v>
      </c>
      <c r="B14638" s="5">
        <f>IFERROR(__xludf.DUMMYFUNCTION("""COMPUTED_VALUE"""),44725.0)</f>
        <v>44725</v>
      </c>
      <c r="C14638" s="6">
        <f>IFERROR(__xludf.DUMMYFUNCTION("""COMPUTED_VALUE"""),0.32712962962978054)</f>
        <v>0.3271296296</v>
      </c>
      <c r="D14638" s="4">
        <f>IFERROR(__xludf.DUMMYFUNCTION("""COMPUTED_VALUE"""),13.007999)</f>
        <v>13.007999</v>
      </c>
      <c r="E14638" s="4">
        <f>IFERROR(__xludf.DUMMYFUNCTION("""COMPUTED_VALUE"""),80.234401)</f>
        <v>80.234401</v>
      </c>
      <c r="F14638" s="4">
        <f>IFERROR(__xludf.DUMMYFUNCTION("""COMPUTED_VALUE"""),805.0)</f>
        <v>805</v>
      </c>
      <c r="G14638" s="4">
        <f>IFERROR(__xludf.DUMMYFUNCTION("""COMPUTED_VALUE"""),34.0)</f>
        <v>34</v>
      </c>
      <c r="H14638" s="4"/>
      <c r="I14638" s="4"/>
    </row>
    <row r="14639">
      <c r="A14639" s="4" t="str">
        <f>IFERROR(__xludf.DUMMYFUNCTION("""COMPUTED_VALUE"""),"cas_hmw")</f>
        <v>cas_hmw</v>
      </c>
      <c r="B14639" s="5">
        <f>IFERROR(__xludf.DUMMYFUNCTION("""COMPUTED_VALUE"""),44725.0)</f>
        <v>44725</v>
      </c>
      <c r="C14639" s="6">
        <f>IFERROR(__xludf.DUMMYFUNCTION("""COMPUTED_VALUE"""),0.3272222222221899)</f>
        <v>0.3272222222</v>
      </c>
      <c r="D14639" s="4">
        <f>IFERROR(__xludf.DUMMYFUNCTION("""COMPUTED_VALUE"""),13.007999)</f>
        <v>13.007999</v>
      </c>
      <c r="E14639" s="4">
        <f>IFERROR(__xludf.DUMMYFUNCTION("""COMPUTED_VALUE"""),80.234401)</f>
        <v>80.234401</v>
      </c>
      <c r="F14639" s="4">
        <f>IFERROR(__xludf.DUMMYFUNCTION("""COMPUTED_VALUE"""),805.0)</f>
        <v>805</v>
      </c>
      <c r="G14639" s="4">
        <f>IFERROR(__xludf.DUMMYFUNCTION("""COMPUTED_VALUE"""),34.0)</f>
        <v>34</v>
      </c>
      <c r="H14639" s="4"/>
      <c r="I14639" s="4"/>
    </row>
    <row r="14640">
      <c r="A14640" s="4" t="str">
        <f>IFERROR(__xludf.DUMMYFUNCTION("""COMPUTED_VALUE"""),"cas_hmw")</f>
        <v>cas_hmw</v>
      </c>
      <c r="B14640" s="5">
        <f>IFERROR(__xludf.DUMMYFUNCTION("""COMPUTED_VALUE"""),44725.0)</f>
        <v>44725</v>
      </c>
      <c r="C14640" s="6">
        <f>IFERROR(__xludf.DUMMYFUNCTION("""COMPUTED_VALUE"""),0.32840277777722804)</f>
        <v>0.3284027778</v>
      </c>
      <c r="D14640" s="4">
        <f>IFERROR(__xludf.DUMMYFUNCTION("""COMPUTED_VALUE"""),13.011389)</f>
        <v>13.011389</v>
      </c>
      <c r="E14640" s="4">
        <f>IFERROR(__xludf.DUMMYFUNCTION("""COMPUTED_VALUE"""),80.223193)</f>
        <v>80.223193</v>
      </c>
      <c r="F14640" s="4">
        <f>IFERROR(__xludf.DUMMYFUNCTION("""COMPUTED_VALUE"""),805.0)</f>
        <v>805</v>
      </c>
      <c r="G14640" s="4">
        <f>IFERROR(__xludf.DUMMYFUNCTION("""COMPUTED_VALUE"""),18.0)</f>
        <v>18</v>
      </c>
      <c r="H14640" s="4"/>
      <c r="I14640" s="4"/>
    </row>
    <row r="14641">
      <c r="A14641" s="4" t="str">
        <f>IFERROR(__xludf.DUMMYFUNCTION("""COMPUTED_VALUE"""),"cas_hmw")</f>
        <v>cas_hmw</v>
      </c>
      <c r="B14641" s="5">
        <f>IFERROR(__xludf.DUMMYFUNCTION("""COMPUTED_VALUE"""),44725.0)</f>
        <v>44725</v>
      </c>
      <c r="C14641" s="6">
        <f>IFERROR(__xludf.DUMMYFUNCTION("""COMPUTED_VALUE"""),0.330740740741021)</f>
        <v>0.3307407407</v>
      </c>
      <c r="D14641" s="4">
        <f>IFERROR(__xludf.DUMMYFUNCTION("""COMPUTED_VALUE"""),13.007497)</f>
        <v>13.007497</v>
      </c>
      <c r="E14641" s="4">
        <f>IFERROR(__xludf.DUMMYFUNCTION("""COMPUTED_VALUE"""),80.205848)</f>
        <v>80.205848</v>
      </c>
      <c r="F14641" s="4">
        <f>IFERROR(__xludf.DUMMYFUNCTION("""COMPUTED_VALUE"""),805.0)</f>
        <v>805</v>
      </c>
      <c r="G14641" s="4">
        <f>IFERROR(__xludf.DUMMYFUNCTION("""COMPUTED_VALUE"""),49.0)</f>
        <v>49</v>
      </c>
      <c r="H14641" s="4"/>
      <c r="I14641" s="4"/>
    </row>
    <row r="14642">
      <c r="A14642" s="4" t="str">
        <f>IFERROR(__xludf.DUMMYFUNCTION("""COMPUTED_VALUE"""),"cas_hmw")</f>
        <v>cas_hmw</v>
      </c>
      <c r="B14642" s="5">
        <f>IFERROR(__xludf.DUMMYFUNCTION("""COMPUTED_VALUE"""),44725.0)</f>
        <v>44725</v>
      </c>
      <c r="C14642" s="6">
        <f>IFERROR(__xludf.DUMMYFUNCTION("""COMPUTED_VALUE"""),0.33098379629518604)</f>
        <v>0.3309837963</v>
      </c>
      <c r="D14642" s="4">
        <f>IFERROR(__xludf.DUMMYFUNCTION("""COMPUTED_VALUE"""),13.007027)</f>
        <v>13.007027</v>
      </c>
      <c r="E14642" s="4">
        <f>IFERROR(__xludf.DUMMYFUNCTION("""COMPUTED_VALUE"""),80.204589)</f>
        <v>80.204589</v>
      </c>
      <c r="F14642" s="4">
        <f>IFERROR(__xludf.DUMMYFUNCTION("""COMPUTED_VALUE"""),805.0)</f>
        <v>805</v>
      </c>
      <c r="G14642" s="4">
        <f>IFERROR(__xludf.DUMMYFUNCTION("""COMPUTED_VALUE"""),52.0)</f>
        <v>52</v>
      </c>
      <c r="H14642" s="4"/>
      <c r="I14642" s="4"/>
    </row>
    <row r="14643">
      <c r="A14643" s="4" t="str">
        <f>IFERROR(__xludf.DUMMYFUNCTION("""COMPUTED_VALUE"""),"cas_hmw")</f>
        <v>cas_hmw</v>
      </c>
      <c r="B14643" s="5">
        <f>IFERROR(__xludf.DUMMYFUNCTION("""COMPUTED_VALUE"""),44725.0)</f>
        <v>44725</v>
      </c>
      <c r="C14643" s="6">
        <f>IFERROR(__xludf.DUMMYFUNCTION("""COMPUTED_VALUE"""),0.3312847222223354)</f>
        <v>0.3312847222</v>
      </c>
      <c r="D14643" s="4">
        <f>IFERROR(__xludf.DUMMYFUNCTION("""COMPUTED_VALUE"""),13.005799)</f>
        <v>13.005799</v>
      </c>
      <c r="E14643" s="4">
        <f>IFERROR(__xludf.DUMMYFUNCTION("""COMPUTED_VALUE"""),80.202652)</f>
        <v>80.202652</v>
      </c>
      <c r="F14643" s="4">
        <f>IFERROR(__xludf.DUMMYFUNCTION("""COMPUTED_VALUE"""),805.0)</f>
        <v>805</v>
      </c>
      <c r="G14643" s="4">
        <f>IFERROR(__xludf.DUMMYFUNCTION("""COMPUTED_VALUE"""),24.0)</f>
        <v>24</v>
      </c>
      <c r="H14643" s="4"/>
      <c r="I14643" s="4"/>
    </row>
    <row r="14644">
      <c r="A14644" s="4" t="str">
        <f>IFERROR(__xludf.DUMMYFUNCTION("""COMPUTED_VALUE"""),"cas_hmw")</f>
        <v>cas_hmw</v>
      </c>
      <c r="B14644" s="5">
        <f>IFERROR(__xludf.DUMMYFUNCTION("""COMPUTED_VALUE"""),44725.0)</f>
        <v>44725</v>
      </c>
      <c r="C14644" s="6">
        <f>IFERROR(__xludf.DUMMYFUNCTION("""COMPUTED_VALUE"""),0.3318634259267128)</f>
        <v>0.3318634259</v>
      </c>
      <c r="D14644" s="4">
        <f>IFERROR(__xludf.DUMMYFUNCTION("""COMPUTED_VALUE"""),13.001836)</f>
        <v>13.001836</v>
      </c>
      <c r="E14644" s="4">
        <f>IFERROR(__xludf.DUMMYFUNCTION("""COMPUTED_VALUE"""),80.198397)</f>
        <v>80.198397</v>
      </c>
      <c r="F14644" s="4">
        <f>IFERROR(__xludf.DUMMYFUNCTION("""COMPUTED_VALUE"""),805.0)</f>
        <v>805</v>
      </c>
      <c r="G14644" s="4">
        <f>IFERROR(__xludf.DUMMYFUNCTION("""COMPUTED_VALUE"""),35.0)</f>
        <v>35</v>
      </c>
      <c r="H14644" s="4"/>
      <c r="I14644" s="4"/>
    </row>
    <row r="14645">
      <c r="A14645" s="4" t="str">
        <f>IFERROR(__xludf.DUMMYFUNCTION("""COMPUTED_VALUE"""),"cas_hmw")</f>
        <v>cas_hmw</v>
      </c>
      <c r="B14645" s="5">
        <f>IFERROR(__xludf.DUMMYFUNCTION("""COMPUTED_VALUE"""),44725.0)</f>
        <v>44725</v>
      </c>
      <c r="C14645" s="6">
        <f>IFERROR(__xludf.DUMMYFUNCTION("""COMPUTED_VALUE"""),0.3319444444459805)</f>
        <v>0.3319444444</v>
      </c>
      <c r="D14645" s="4">
        <f>IFERROR(__xludf.DUMMYFUNCTION("""COMPUTED_VALUE"""),13.001836)</f>
        <v>13.001836</v>
      </c>
      <c r="E14645" s="4">
        <f>IFERROR(__xludf.DUMMYFUNCTION("""COMPUTED_VALUE"""),80.198397)</f>
        <v>80.198397</v>
      </c>
      <c r="F14645" s="4">
        <f>IFERROR(__xludf.DUMMYFUNCTION("""COMPUTED_VALUE"""),805.0)</f>
        <v>805</v>
      </c>
      <c r="G14645" s="4">
        <f>IFERROR(__xludf.DUMMYFUNCTION("""COMPUTED_VALUE"""),35.0)</f>
        <v>35</v>
      </c>
      <c r="H14645" s="4"/>
      <c r="I14645" s="4"/>
    </row>
    <row r="14646">
      <c r="A14646" s="4" t="str">
        <f>IFERROR(__xludf.DUMMYFUNCTION("""COMPUTED_VALUE"""),"cas_hmw")</f>
        <v>cas_hmw</v>
      </c>
      <c r="B14646" s="5">
        <f>IFERROR(__xludf.DUMMYFUNCTION("""COMPUTED_VALUE"""),44725.0)</f>
        <v>44725</v>
      </c>
      <c r="C14646" s="6">
        <f>IFERROR(__xludf.DUMMYFUNCTION("""COMPUTED_VALUE"""),0.33207175925781485)</f>
        <v>0.3320717593</v>
      </c>
      <c r="D14646" s="4">
        <f>IFERROR(__xludf.DUMMYFUNCTION("""COMPUTED_VALUE"""),13.001836)</f>
        <v>13.001836</v>
      </c>
      <c r="E14646" s="4">
        <f>IFERROR(__xludf.DUMMYFUNCTION("""COMPUTED_VALUE"""),80.198397)</f>
        <v>80.198397</v>
      </c>
      <c r="F14646" s="4">
        <f>IFERROR(__xludf.DUMMYFUNCTION("""COMPUTED_VALUE"""),805.0)</f>
        <v>805</v>
      </c>
      <c r="G14646" s="4">
        <f>IFERROR(__xludf.DUMMYFUNCTION("""COMPUTED_VALUE"""),35.0)</f>
        <v>35</v>
      </c>
      <c r="H14646" s="4"/>
      <c r="I14646" s="4"/>
    </row>
    <row r="14647">
      <c r="A14647" s="4" t="str">
        <f>IFERROR(__xludf.DUMMYFUNCTION("""COMPUTED_VALUE"""),"cas_hmw")</f>
        <v>cas_hmw</v>
      </c>
      <c r="B14647" s="5">
        <f>IFERROR(__xludf.DUMMYFUNCTION("""COMPUTED_VALUE"""),44725.0)</f>
        <v>44725</v>
      </c>
      <c r="C14647" s="6">
        <f>IFERROR(__xludf.DUMMYFUNCTION("""COMPUTED_VALUE"""),0.33251157407357823)</f>
        <v>0.3325115741</v>
      </c>
      <c r="D14647" s="4">
        <f>IFERROR(__xludf.DUMMYFUNCTION("""COMPUTED_VALUE"""),13.000558)</f>
        <v>13.000558</v>
      </c>
      <c r="E14647" s="4">
        <f>IFERROR(__xludf.DUMMYFUNCTION("""COMPUTED_VALUE"""),80.19497)</f>
        <v>80.19497</v>
      </c>
      <c r="F14647" s="4">
        <f>IFERROR(__xludf.DUMMYFUNCTION("""COMPUTED_VALUE"""),805.0)</f>
        <v>805</v>
      </c>
      <c r="G14647" s="4">
        <f>IFERROR(__xludf.DUMMYFUNCTION("""COMPUTED_VALUE"""),41.0)</f>
        <v>41</v>
      </c>
      <c r="H14647" s="4"/>
      <c r="I14647" s="4"/>
    </row>
    <row r="14648">
      <c r="A14648" s="4" t="str">
        <f>IFERROR(__xludf.DUMMYFUNCTION("""COMPUTED_VALUE"""),"cas_hmw")</f>
        <v>cas_hmw</v>
      </c>
      <c r="B14648" s="5">
        <f>IFERROR(__xludf.DUMMYFUNCTION("""COMPUTED_VALUE"""),44725.0)</f>
        <v>44725</v>
      </c>
      <c r="C14648" s="6">
        <f>IFERROR(__xludf.DUMMYFUNCTION("""COMPUTED_VALUE"""),0.3325231481467199)</f>
        <v>0.3325231481</v>
      </c>
      <c r="D14648" s="4">
        <f>IFERROR(__xludf.DUMMYFUNCTION("""COMPUTED_VALUE"""),13.000558)</f>
        <v>13.000558</v>
      </c>
      <c r="E14648" s="4">
        <f>IFERROR(__xludf.DUMMYFUNCTION("""COMPUTED_VALUE"""),80.19497)</f>
        <v>80.19497</v>
      </c>
      <c r="F14648" s="4">
        <f>IFERROR(__xludf.DUMMYFUNCTION("""COMPUTED_VALUE"""),805.0)</f>
        <v>805</v>
      </c>
      <c r="G14648" s="4">
        <f>IFERROR(__xludf.DUMMYFUNCTION("""COMPUTED_VALUE"""),41.0)</f>
        <v>41</v>
      </c>
      <c r="H14648" s="4"/>
      <c r="I14648" s="4"/>
    </row>
    <row r="14649">
      <c r="A14649" s="4" t="str">
        <f>IFERROR(__xludf.DUMMYFUNCTION("""COMPUTED_VALUE"""),"cas_hmw")</f>
        <v>cas_hmw</v>
      </c>
      <c r="B14649" s="5">
        <f>IFERROR(__xludf.DUMMYFUNCTION("""COMPUTED_VALUE"""),44725.0)</f>
        <v>44725</v>
      </c>
      <c r="C14649" s="6">
        <f>IFERROR(__xludf.DUMMYFUNCTION("""COMPUTED_VALUE"""),0.3329282407394203)</f>
        <v>0.3329282407</v>
      </c>
      <c r="D14649" s="4">
        <f>IFERROR(__xludf.DUMMYFUNCTION("""COMPUTED_VALUE"""),13.000558)</f>
        <v>13.000558</v>
      </c>
      <c r="E14649" s="4">
        <f>IFERROR(__xludf.DUMMYFUNCTION("""COMPUTED_VALUE"""),80.19497)</f>
        <v>80.19497</v>
      </c>
      <c r="F14649" s="4">
        <f>IFERROR(__xludf.DUMMYFUNCTION("""COMPUTED_VALUE"""),805.0)</f>
        <v>805</v>
      </c>
      <c r="G14649" s="4">
        <f>IFERROR(__xludf.DUMMYFUNCTION("""COMPUTED_VALUE"""),41.0)</f>
        <v>41</v>
      </c>
      <c r="H14649" s="4"/>
      <c r="I14649" s="4"/>
    </row>
    <row r="14650">
      <c r="A14650" s="4" t="str">
        <f>IFERROR(__xludf.DUMMYFUNCTION("""COMPUTED_VALUE"""),"cas_hmw")</f>
        <v>cas_hmw</v>
      </c>
      <c r="B14650" s="5">
        <f>IFERROR(__xludf.DUMMYFUNCTION("""COMPUTED_VALUE"""),44726.0)</f>
        <v>44726</v>
      </c>
      <c r="C14650" s="6">
        <f>IFERROR(__xludf.DUMMYFUNCTION("""COMPUTED_VALUE"""),0.33370370370539604)</f>
        <v>0.3337037037</v>
      </c>
      <c r="D14650" s="4">
        <f>IFERROR(__xludf.DUMMYFUNCTION("""COMPUTED_VALUE"""),12.762893)</f>
        <v>12.762893</v>
      </c>
      <c r="E14650" s="4">
        <f>IFERROR(__xludf.DUMMYFUNCTION("""COMPUTED_VALUE"""),80.003933)</f>
        <v>80.003933</v>
      </c>
      <c r="F14650" s="4">
        <f>IFERROR(__xludf.DUMMYFUNCTION("""COMPUTED_VALUE"""),2846.0)</f>
        <v>2846</v>
      </c>
      <c r="G14650" s="4">
        <f>IFERROR(__xludf.DUMMYFUNCTION("""COMPUTED_VALUE"""),14.0)</f>
        <v>14</v>
      </c>
      <c r="H14650" s="4"/>
      <c r="I14650" s="4"/>
    </row>
    <row r="14651">
      <c r="A14651" s="4" t="str">
        <f>IFERROR(__xludf.DUMMYFUNCTION("""COMPUTED_VALUE"""),"cas_hmw")</f>
        <v>cas_hmw</v>
      </c>
      <c r="B14651" s="5">
        <f>IFERROR(__xludf.DUMMYFUNCTION("""COMPUTED_VALUE"""),44726.0)</f>
        <v>44726</v>
      </c>
      <c r="C14651" s="6">
        <f>IFERROR(__xludf.DUMMYFUNCTION("""COMPUTED_VALUE"""),0.33406249999825377)</f>
        <v>0.3340625</v>
      </c>
      <c r="D14651" s="4">
        <f>IFERROR(__xludf.DUMMYFUNCTION("""COMPUTED_VALUE"""),12.764102)</f>
        <v>12.764102</v>
      </c>
      <c r="E14651" s="4">
        <f>IFERROR(__xludf.DUMMYFUNCTION("""COMPUTED_VALUE"""),80.004409)</f>
        <v>80.004409</v>
      </c>
      <c r="F14651" s="4">
        <f>IFERROR(__xludf.DUMMYFUNCTION("""COMPUTED_VALUE"""),2846.0)</f>
        <v>2846</v>
      </c>
      <c r="G14651" s="4">
        <f>IFERROR(__xludf.DUMMYFUNCTION("""COMPUTED_VALUE"""),33.0)</f>
        <v>33</v>
      </c>
      <c r="H14651" s="4"/>
      <c r="I14651" s="4"/>
    </row>
    <row r="14652">
      <c r="A14652" s="4" t="str">
        <f>IFERROR(__xludf.DUMMYFUNCTION("""COMPUTED_VALUE"""),"cas_hmw")</f>
        <v>cas_hmw</v>
      </c>
      <c r="B14652" s="5">
        <f>IFERROR(__xludf.DUMMYFUNCTION("""COMPUTED_VALUE"""),44726.0)</f>
        <v>44726</v>
      </c>
      <c r="C14652" s="6">
        <f>IFERROR(__xludf.DUMMYFUNCTION("""COMPUTED_VALUE"""),0.3346759259256942)</f>
        <v>0.3346759259</v>
      </c>
      <c r="D14652" s="4">
        <f>IFERROR(__xludf.DUMMYFUNCTION("""COMPUTED_VALUE"""),12.768986)</f>
        <v>12.768986</v>
      </c>
      <c r="E14652" s="4">
        <f>IFERROR(__xludf.DUMMYFUNCTION("""COMPUTED_VALUE"""),80.006625)</f>
        <v>80.006625</v>
      </c>
      <c r="F14652" s="4">
        <f>IFERROR(__xludf.DUMMYFUNCTION("""COMPUTED_VALUE"""),2846.0)</f>
        <v>2846</v>
      </c>
      <c r="G14652" s="4">
        <f>IFERROR(__xludf.DUMMYFUNCTION("""COMPUTED_VALUE"""),46.0)</f>
        <v>46</v>
      </c>
      <c r="H14652" s="4"/>
      <c r="I14652" s="4"/>
    </row>
    <row r="14653">
      <c r="A14653" s="4" t="str">
        <f>IFERROR(__xludf.DUMMYFUNCTION("""COMPUTED_VALUE"""),"cas_hmw")</f>
        <v>cas_hmw</v>
      </c>
      <c r="B14653" s="5">
        <f>IFERROR(__xludf.DUMMYFUNCTION("""COMPUTED_VALUE"""),44726.0)</f>
        <v>44726</v>
      </c>
      <c r="C14653" s="6">
        <f>IFERROR(__xludf.DUMMYFUNCTION("""COMPUTED_VALUE"""),0.3354282407417486)</f>
        <v>0.3354282407</v>
      </c>
      <c r="D14653" s="4">
        <f>IFERROR(__xludf.DUMMYFUNCTION("""COMPUTED_VALUE"""),12.985049)</f>
        <v>12.985049</v>
      </c>
      <c r="E14653" s="4">
        <f>IFERROR(__xludf.DUMMYFUNCTION("""COMPUTED_VALUE"""),80.172843)</f>
        <v>80.172843</v>
      </c>
      <c r="F14653" s="4">
        <f>IFERROR(__xludf.DUMMYFUNCTION("""COMPUTED_VALUE"""),805.0)</f>
        <v>805</v>
      </c>
      <c r="G14653" s="4">
        <f>IFERROR(__xludf.DUMMYFUNCTION("""COMPUTED_VALUE"""),48.0)</f>
        <v>48</v>
      </c>
      <c r="H14653" s="4"/>
      <c r="I14653" s="4"/>
    </row>
    <row r="14654">
      <c r="A14654" s="4" t="str">
        <f>IFERROR(__xludf.DUMMYFUNCTION("""COMPUTED_VALUE"""),"cas_hmw")</f>
        <v>cas_hmw</v>
      </c>
      <c r="B14654" s="5">
        <f>IFERROR(__xludf.DUMMYFUNCTION("""COMPUTED_VALUE"""),44726.0)</f>
        <v>44726</v>
      </c>
      <c r="C14654" s="6">
        <f>IFERROR(__xludf.DUMMYFUNCTION("""COMPUTED_VALUE"""),0.3355324074072996)</f>
        <v>0.3355324074</v>
      </c>
      <c r="D14654" s="4">
        <f>IFERROR(__xludf.DUMMYFUNCTION("""COMPUTED_VALUE"""),12.985049)</f>
        <v>12.985049</v>
      </c>
      <c r="E14654" s="4">
        <f>IFERROR(__xludf.DUMMYFUNCTION("""COMPUTED_VALUE"""),80.172843)</f>
        <v>80.172843</v>
      </c>
      <c r="F14654" s="4">
        <f>IFERROR(__xludf.DUMMYFUNCTION("""COMPUTED_VALUE"""),805.0)</f>
        <v>805</v>
      </c>
      <c r="G14654" s="4">
        <f>IFERROR(__xludf.DUMMYFUNCTION("""COMPUTED_VALUE"""),48.0)</f>
        <v>48</v>
      </c>
      <c r="H14654" s="4"/>
      <c r="I14654" s="4"/>
    </row>
    <row r="14655">
      <c r="A14655" s="4" t="str">
        <f>IFERROR(__xludf.DUMMYFUNCTION("""COMPUTED_VALUE"""),"cas_hmw")</f>
        <v>cas_hmw</v>
      </c>
      <c r="B14655" s="5">
        <f>IFERROR(__xludf.DUMMYFUNCTION("""COMPUTED_VALUE"""),44726.0)</f>
        <v>44726</v>
      </c>
      <c r="C14655" s="6">
        <f>IFERROR(__xludf.DUMMYFUNCTION("""COMPUTED_VALUE"""),0.3359375)</f>
        <v>0.3359375</v>
      </c>
      <c r="D14655" s="4">
        <f>IFERROR(__xludf.DUMMYFUNCTION("""COMPUTED_VALUE"""),12.98342)</f>
        <v>12.98342</v>
      </c>
      <c r="E14655" s="4">
        <f>IFERROR(__xludf.DUMMYFUNCTION("""COMPUTED_VALUE"""),80.170108)</f>
        <v>80.170108</v>
      </c>
      <c r="F14655" s="4">
        <f>IFERROR(__xludf.DUMMYFUNCTION("""COMPUTED_VALUE"""),805.0)</f>
        <v>805</v>
      </c>
      <c r="G14655" s="4">
        <f>IFERROR(__xludf.DUMMYFUNCTION("""COMPUTED_VALUE"""),47.0)</f>
        <v>47</v>
      </c>
      <c r="H14655" s="4"/>
      <c r="I14655" s="4"/>
    </row>
    <row r="14656">
      <c r="A14656" s="4" t="str">
        <f>IFERROR(__xludf.DUMMYFUNCTION("""COMPUTED_VALUE"""),"cas_hmw")</f>
        <v>cas_hmw</v>
      </c>
      <c r="B14656" s="5">
        <f>IFERROR(__xludf.DUMMYFUNCTION("""COMPUTED_VALUE"""),44726.0)</f>
        <v>44726</v>
      </c>
      <c r="C14656" s="6">
        <f>IFERROR(__xludf.DUMMYFUNCTION("""COMPUTED_VALUE"""),0.3363773148157634)</f>
        <v>0.3363773148</v>
      </c>
      <c r="D14656" s="4">
        <f>IFERROR(__xludf.DUMMYFUNCTION("""COMPUTED_VALUE"""),12.980936)</f>
        <v>12.980936</v>
      </c>
      <c r="E14656" s="4">
        <f>IFERROR(__xludf.DUMMYFUNCTION("""COMPUTED_VALUE"""),80.165922)</f>
        <v>80.165922</v>
      </c>
      <c r="F14656" s="4">
        <f>IFERROR(__xludf.DUMMYFUNCTION("""COMPUTED_VALUE"""),805.0)</f>
        <v>805</v>
      </c>
      <c r="G14656" s="4">
        <f>IFERROR(__xludf.DUMMYFUNCTION("""COMPUTED_VALUE"""),49.0)</f>
        <v>49</v>
      </c>
      <c r="H14656" s="4"/>
      <c r="I14656" s="4"/>
    </row>
    <row r="14657">
      <c r="A14657" s="4" t="str">
        <f>IFERROR(__xludf.DUMMYFUNCTION("""COMPUTED_VALUE"""),"cas_hmw")</f>
        <v>cas_hmw</v>
      </c>
      <c r="B14657" s="5">
        <f>IFERROR(__xludf.DUMMYFUNCTION("""COMPUTED_VALUE"""),44726.0)</f>
        <v>44726</v>
      </c>
      <c r="C14657" s="6">
        <f>IFERROR(__xludf.DUMMYFUNCTION("""COMPUTED_VALUE"""),0.33701388888948713)</f>
        <v>0.3370138889</v>
      </c>
      <c r="D14657" s="4">
        <f>IFERROR(__xludf.DUMMYFUNCTION("""COMPUTED_VALUE"""),12.977146)</f>
        <v>12.977146</v>
      </c>
      <c r="E14657" s="4">
        <f>IFERROR(__xludf.DUMMYFUNCTION("""COMPUTED_VALUE"""),80.158856)</f>
        <v>80.158856</v>
      </c>
      <c r="F14657" s="4">
        <f>IFERROR(__xludf.DUMMYFUNCTION("""COMPUTED_VALUE"""),805.0)</f>
        <v>805</v>
      </c>
      <c r="G14657" s="4">
        <f>IFERROR(__xludf.DUMMYFUNCTION("""COMPUTED_VALUE"""),45.0)</f>
        <v>45</v>
      </c>
      <c r="H14657" s="4"/>
      <c r="I14657" s="4"/>
    </row>
    <row r="14658">
      <c r="A14658" s="4" t="str">
        <f>IFERROR(__xludf.DUMMYFUNCTION("""COMPUTED_VALUE"""),"cas_hmw")</f>
        <v>cas_hmw</v>
      </c>
      <c r="B14658" s="5">
        <f>IFERROR(__xludf.DUMMYFUNCTION("""COMPUTED_VALUE"""),44726.0)</f>
        <v>44726</v>
      </c>
      <c r="C14658" s="6">
        <f>IFERROR(__xludf.DUMMYFUNCTION("""COMPUTED_VALUE"""),0.3373842592591245)</f>
        <v>0.3373842593</v>
      </c>
      <c r="D14658" s="4">
        <f>IFERROR(__xludf.DUMMYFUNCTION("""COMPUTED_VALUE"""),12.976508)</f>
        <v>12.976508</v>
      </c>
      <c r="E14658" s="4">
        <f>IFERROR(__xludf.DUMMYFUNCTION("""COMPUTED_VALUE"""),80.157843)</f>
        <v>80.157843</v>
      </c>
      <c r="F14658" s="4">
        <f>IFERROR(__xludf.DUMMYFUNCTION("""COMPUTED_VALUE"""),805.0)</f>
        <v>805</v>
      </c>
      <c r="G14658" s="4">
        <f>IFERROR(__xludf.DUMMYFUNCTION("""COMPUTED_VALUE"""),47.0)</f>
        <v>47</v>
      </c>
      <c r="H14658" s="4"/>
      <c r="I14658" s="4"/>
    </row>
    <row r="14659">
      <c r="A14659" s="4" t="str">
        <f>IFERROR(__xludf.DUMMYFUNCTION("""COMPUTED_VALUE"""),"cas_hmw")</f>
        <v>cas_hmw</v>
      </c>
      <c r="B14659" s="5">
        <f>IFERROR(__xludf.DUMMYFUNCTION("""COMPUTED_VALUE"""),44726.0)</f>
        <v>44726</v>
      </c>
      <c r="C14659" s="6">
        <f>IFERROR(__xludf.DUMMYFUNCTION("""COMPUTED_VALUE"""),0.3376504629632109)</f>
        <v>0.337650463</v>
      </c>
      <c r="D14659" s="4">
        <f>IFERROR(__xludf.DUMMYFUNCTION("""COMPUTED_VALUE"""),12.975831)</f>
        <v>12.975831</v>
      </c>
      <c r="E14659" s="4">
        <f>IFERROR(__xludf.DUMMYFUNCTION("""COMPUTED_VALUE"""),80.156822)</f>
        <v>80.156822</v>
      </c>
      <c r="F14659" s="4">
        <f>IFERROR(__xludf.DUMMYFUNCTION("""COMPUTED_VALUE"""),805.0)</f>
        <v>805</v>
      </c>
      <c r="G14659" s="4">
        <f>IFERROR(__xludf.DUMMYFUNCTION("""COMPUTED_VALUE"""),48.0)</f>
        <v>48</v>
      </c>
      <c r="H14659" s="4"/>
      <c r="I14659" s="4"/>
    </row>
    <row r="14660">
      <c r="A14660" s="4" t="str">
        <f>IFERROR(__xludf.DUMMYFUNCTION("""COMPUTED_VALUE"""),"cas_hmw")</f>
        <v>cas_hmw</v>
      </c>
      <c r="B14660" s="5">
        <f>IFERROR(__xludf.DUMMYFUNCTION("""COMPUTED_VALUE"""),44726.0)</f>
        <v>44726</v>
      </c>
      <c r="C14660" s="6">
        <f>IFERROR(__xludf.DUMMYFUNCTION("""COMPUTED_VALUE"""),0.3378009259249666)</f>
        <v>0.3378009259</v>
      </c>
      <c r="D14660" s="4">
        <f>IFERROR(__xludf.DUMMYFUNCTION("""COMPUTED_VALUE"""),12.974242)</f>
        <v>12.974242</v>
      </c>
      <c r="E14660" s="4">
        <f>IFERROR(__xludf.DUMMYFUNCTION("""COMPUTED_VALUE"""),80.154609)</f>
        <v>80.154609</v>
      </c>
      <c r="F14660" s="4">
        <f>IFERROR(__xludf.DUMMYFUNCTION("""COMPUTED_VALUE"""),805.0)</f>
        <v>805</v>
      </c>
      <c r="G14660" s="4">
        <f>IFERROR(__xludf.DUMMYFUNCTION("""COMPUTED_VALUE"""),30.0)</f>
        <v>30</v>
      </c>
      <c r="H14660" s="4"/>
      <c r="I14660" s="4"/>
    </row>
    <row r="14661">
      <c r="A14661" s="4" t="str">
        <f>IFERROR(__xludf.DUMMYFUNCTION("""COMPUTED_VALUE"""),"cas_hmw")</f>
        <v>cas_hmw</v>
      </c>
      <c r="B14661" s="5">
        <f>IFERROR(__xludf.DUMMYFUNCTION("""COMPUTED_VALUE"""),44726.0)</f>
        <v>44726</v>
      </c>
      <c r="C14661" s="6">
        <f>IFERROR(__xludf.DUMMYFUNCTION("""COMPUTED_VALUE"""),0.3379050925941556)</f>
        <v>0.3379050926</v>
      </c>
      <c r="D14661" s="4">
        <f>IFERROR(__xludf.DUMMYFUNCTION("""COMPUTED_VALUE"""),12.974242)</f>
        <v>12.974242</v>
      </c>
      <c r="E14661" s="4">
        <f>IFERROR(__xludf.DUMMYFUNCTION("""COMPUTED_VALUE"""),80.154609)</f>
        <v>80.154609</v>
      </c>
      <c r="F14661" s="4">
        <f>IFERROR(__xludf.DUMMYFUNCTION("""COMPUTED_VALUE"""),805.0)</f>
        <v>805</v>
      </c>
      <c r="G14661" s="4">
        <f>IFERROR(__xludf.DUMMYFUNCTION("""COMPUTED_VALUE"""),30.0)</f>
        <v>30</v>
      </c>
      <c r="H14661" s="4"/>
      <c r="I14661" s="4"/>
    </row>
    <row r="14662">
      <c r="A14662" s="4" t="str">
        <f>IFERROR(__xludf.DUMMYFUNCTION("""COMPUTED_VALUE"""),"cas_hmw")</f>
        <v>cas_hmw</v>
      </c>
      <c r="B14662" s="5">
        <f>IFERROR(__xludf.DUMMYFUNCTION("""COMPUTED_VALUE"""),44726.0)</f>
        <v>44726</v>
      </c>
      <c r="C14662" s="6">
        <f>IFERROR(__xludf.DUMMYFUNCTION("""COMPUTED_VALUE"""),0.33824074074072996)</f>
        <v>0.3382407407</v>
      </c>
      <c r="D14662" s="4">
        <f>IFERROR(__xludf.DUMMYFUNCTION("""COMPUTED_VALUE"""),12.971402)</f>
        <v>12.971402</v>
      </c>
      <c r="E14662" s="4">
        <f>IFERROR(__xludf.DUMMYFUNCTION("""COMPUTED_VALUE"""),80.151092)</f>
        <v>80.151092</v>
      </c>
      <c r="F14662" s="4">
        <f>IFERROR(__xludf.DUMMYFUNCTION("""COMPUTED_VALUE"""),805.0)</f>
        <v>805</v>
      </c>
      <c r="G14662" s="4">
        <f>IFERROR(__xludf.DUMMYFUNCTION("""COMPUTED_VALUE"""),33.0)</f>
        <v>33</v>
      </c>
      <c r="H14662" s="4"/>
      <c r="I14662" s="4"/>
    </row>
    <row r="14663">
      <c r="A14663" s="4" t="str">
        <f>IFERROR(__xludf.DUMMYFUNCTION("""COMPUTED_VALUE"""),"cas_hmw")</f>
        <v>cas_hmw</v>
      </c>
      <c r="B14663" s="5">
        <f>IFERROR(__xludf.DUMMYFUNCTION("""COMPUTED_VALUE"""),44726.0)</f>
        <v>44726</v>
      </c>
      <c r="C14663" s="6">
        <f>IFERROR(__xludf.DUMMYFUNCTION("""COMPUTED_VALUE"""),0.3391435185185401)</f>
        <v>0.3391435185</v>
      </c>
      <c r="D14663" s="4">
        <f>IFERROR(__xludf.DUMMYFUNCTION("""COMPUTED_VALUE"""),12.96638)</f>
        <v>12.96638</v>
      </c>
      <c r="E14663" s="4">
        <f>IFERROR(__xludf.DUMMYFUNCTION("""COMPUTED_VALUE"""),80.14875)</f>
        <v>80.14875</v>
      </c>
      <c r="F14663" s="4">
        <f>IFERROR(__xludf.DUMMYFUNCTION("""COMPUTED_VALUE"""),805.0)</f>
        <v>805</v>
      </c>
      <c r="G14663" s="4">
        <f>IFERROR(__xludf.DUMMYFUNCTION("""COMPUTED_VALUE"""),31.0)</f>
        <v>31</v>
      </c>
      <c r="H14663" s="4"/>
      <c r="I14663" s="4"/>
    </row>
    <row r="14664">
      <c r="A14664" s="4" t="str">
        <f>IFERROR(__xludf.DUMMYFUNCTION("""COMPUTED_VALUE"""),"cas_hmw")</f>
        <v>cas_hmw</v>
      </c>
      <c r="B14664" s="5">
        <f>IFERROR(__xludf.DUMMYFUNCTION("""COMPUTED_VALUE"""),44726.0)</f>
        <v>44726</v>
      </c>
      <c r="C14664" s="6">
        <f>IFERROR(__xludf.DUMMYFUNCTION("""COMPUTED_VALUE"""),0.3392708333340124)</f>
        <v>0.3392708333</v>
      </c>
      <c r="D14664" s="4">
        <f>IFERROR(__xludf.DUMMYFUNCTION("""COMPUTED_VALUE"""),12.965367)</f>
        <v>12.965367</v>
      </c>
      <c r="E14664" s="4">
        <f>IFERROR(__xludf.DUMMYFUNCTION("""COMPUTED_VALUE"""),80.148242)</f>
        <v>80.148242</v>
      </c>
      <c r="F14664" s="4">
        <f>IFERROR(__xludf.DUMMYFUNCTION("""COMPUTED_VALUE"""),805.0)</f>
        <v>805</v>
      </c>
      <c r="G14664" s="4">
        <f>IFERROR(__xludf.DUMMYFUNCTION("""COMPUTED_VALUE"""),35.0)</f>
        <v>35</v>
      </c>
      <c r="H14664" s="4"/>
      <c r="I14664" s="4"/>
    </row>
    <row r="14665">
      <c r="A14665" s="4" t="str">
        <f>IFERROR(__xludf.DUMMYFUNCTION("""COMPUTED_VALUE"""),"cas_hmw")</f>
        <v>cas_hmw</v>
      </c>
      <c r="B14665" s="5">
        <f>IFERROR(__xludf.DUMMYFUNCTION("""COMPUTED_VALUE"""),44726.0)</f>
        <v>44726</v>
      </c>
      <c r="C14665" s="6">
        <f>IFERROR(__xludf.DUMMYFUNCTION("""COMPUTED_VALUE"""),0.3395717592575238)</f>
        <v>0.3395717593</v>
      </c>
      <c r="D14665" s="4">
        <f>IFERROR(__xludf.DUMMYFUNCTION("""COMPUTED_VALUE"""),12.962581)</f>
        <v>12.962581</v>
      </c>
      <c r="E14665" s="4">
        <f>IFERROR(__xludf.DUMMYFUNCTION("""COMPUTED_VALUE"""),80.146658)</f>
        <v>80.146658</v>
      </c>
      <c r="F14665" s="4">
        <f>IFERROR(__xludf.DUMMYFUNCTION("""COMPUTED_VALUE"""),805.0)</f>
        <v>805</v>
      </c>
      <c r="G14665" s="4">
        <f>IFERROR(__xludf.DUMMYFUNCTION("""COMPUTED_VALUE"""),0.0)</f>
        <v>0</v>
      </c>
      <c r="H14665" s="4"/>
      <c r="I14665" s="4"/>
    </row>
    <row r="14666">
      <c r="A14666" s="4" t="str">
        <f>IFERROR(__xludf.DUMMYFUNCTION("""COMPUTED_VALUE"""),"cas_hmw")</f>
        <v>cas_hmw</v>
      </c>
      <c r="B14666" s="5">
        <f>IFERROR(__xludf.DUMMYFUNCTION("""COMPUTED_VALUE"""),44726.0)</f>
        <v>44726</v>
      </c>
      <c r="C14666" s="6">
        <f>IFERROR(__xludf.DUMMYFUNCTION("""COMPUTED_VALUE"""),0.3409490740741603)</f>
        <v>0.3409490741</v>
      </c>
      <c r="D14666" s="4">
        <f>IFERROR(__xludf.DUMMYFUNCTION("""COMPUTED_VALUE"""),12.957018)</f>
        <v>12.957018</v>
      </c>
      <c r="E14666" s="4">
        <f>IFERROR(__xludf.DUMMYFUNCTION("""COMPUTED_VALUE"""),80.143737)</f>
        <v>80.143737</v>
      </c>
      <c r="F14666" s="4">
        <f>IFERROR(__xludf.DUMMYFUNCTION("""COMPUTED_VALUE"""),805.0)</f>
        <v>805</v>
      </c>
      <c r="G14666" s="4">
        <f>IFERROR(__xludf.DUMMYFUNCTION("""COMPUTED_VALUE"""),0.0)</f>
        <v>0</v>
      </c>
      <c r="H14666" s="4"/>
      <c r="I14666" s="4"/>
    </row>
    <row r="14667">
      <c r="A14667" s="4" t="str">
        <f>IFERROR(__xludf.DUMMYFUNCTION("""COMPUTED_VALUE"""),"cas_hmw")</f>
        <v>cas_hmw</v>
      </c>
      <c r="B14667" s="5">
        <f>IFERROR(__xludf.DUMMYFUNCTION("""COMPUTED_VALUE"""),44726.0)</f>
        <v>44726</v>
      </c>
      <c r="C14667" s="6">
        <f>IFERROR(__xludf.DUMMYFUNCTION("""COMPUTED_VALUE"""),0.341030092593428)</f>
        <v>0.3410300926</v>
      </c>
      <c r="D14667" s="4">
        <f>IFERROR(__xludf.DUMMYFUNCTION("""COMPUTED_VALUE"""),12.956924)</f>
        <v>12.956924</v>
      </c>
      <c r="E14667" s="4">
        <f>IFERROR(__xludf.DUMMYFUNCTION("""COMPUTED_VALUE"""),80.143731)</f>
        <v>80.143731</v>
      </c>
      <c r="F14667" s="4">
        <f>IFERROR(__xludf.DUMMYFUNCTION("""COMPUTED_VALUE"""),805.0)</f>
        <v>805</v>
      </c>
      <c r="G14667" s="4">
        <f>IFERROR(__xludf.DUMMYFUNCTION("""COMPUTED_VALUE"""),12.0)</f>
        <v>12</v>
      </c>
      <c r="H14667" s="4"/>
      <c r="I14667" s="4"/>
    </row>
    <row r="14668">
      <c r="A14668" s="4" t="str">
        <f>IFERROR(__xludf.DUMMYFUNCTION("""COMPUTED_VALUE"""),"cas_hmw")</f>
        <v>cas_hmw</v>
      </c>
      <c r="B14668" s="5">
        <f>IFERROR(__xludf.DUMMYFUNCTION("""COMPUTED_VALUE"""),44726.0)</f>
        <v>44726</v>
      </c>
      <c r="C14668" s="6">
        <f>IFERROR(__xludf.DUMMYFUNCTION("""COMPUTED_VALUE"""),0.3410532407397113)</f>
        <v>0.3410532407</v>
      </c>
      <c r="D14668" s="4">
        <f>IFERROR(__xludf.DUMMYFUNCTION("""COMPUTED_VALUE"""),12.956443)</f>
        <v>12.956443</v>
      </c>
      <c r="E14668" s="4">
        <f>IFERROR(__xludf.DUMMYFUNCTION("""COMPUTED_VALUE"""),80.143436)</f>
        <v>80.143436</v>
      </c>
      <c r="F14668" s="4">
        <f>IFERROR(__xludf.DUMMYFUNCTION("""COMPUTED_VALUE"""),805.0)</f>
        <v>805</v>
      </c>
      <c r="G14668" s="4">
        <f>IFERROR(__xludf.DUMMYFUNCTION("""COMPUTED_VALUE"""),8.0)</f>
        <v>8</v>
      </c>
      <c r="H14668" s="4"/>
      <c r="I14668" s="4"/>
    </row>
    <row r="14669">
      <c r="A14669" s="4" t="str">
        <f>IFERROR(__xludf.DUMMYFUNCTION("""COMPUTED_VALUE"""),"cas_hmw")</f>
        <v>cas_hmw</v>
      </c>
      <c r="B14669" s="5">
        <f>IFERROR(__xludf.DUMMYFUNCTION("""COMPUTED_VALUE"""),44726.0)</f>
        <v>44726</v>
      </c>
      <c r="C14669" s="6">
        <f>IFERROR(__xludf.DUMMYFUNCTION("""COMPUTED_VALUE"""),0.34195601851752144)</f>
        <v>0.3419560185</v>
      </c>
      <c r="D14669" s="4">
        <f>IFERROR(__xludf.DUMMYFUNCTION("""COMPUTED_VALUE"""),12.951267)</f>
        <v>12.951267</v>
      </c>
      <c r="E14669" s="4">
        <f>IFERROR(__xludf.DUMMYFUNCTION("""COMPUTED_VALUE"""),80.140204)</f>
        <v>80.140204</v>
      </c>
      <c r="F14669" s="4">
        <f>IFERROR(__xludf.DUMMYFUNCTION("""COMPUTED_VALUE"""),805.0)</f>
        <v>805</v>
      </c>
      <c r="G14669" s="4">
        <f>IFERROR(__xludf.DUMMYFUNCTION("""COMPUTED_VALUE"""),33.0)</f>
        <v>33</v>
      </c>
      <c r="H14669" s="4"/>
      <c r="I14669" s="4"/>
    </row>
    <row r="14670">
      <c r="A14670" s="4" t="str">
        <f>IFERROR(__xludf.DUMMYFUNCTION("""COMPUTED_VALUE"""),"cas_hmw")</f>
        <v>cas_hmw</v>
      </c>
      <c r="B14670" s="5">
        <f>IFERROR(__xludf.DUMMYFUNCTION("""COMPUTED_VALUE"""),44726.0)</f>
        <v>44726</v>
      </c>
      <c r="C14670" s="6">
        <f>IFERROR(__xludf.DUMMYFUNCTION("""COMPUTED_VALUE"""),0.34199074074058444)</f>
        <v>0.3419907407</v>
      </c>
      <c r="D14670" s="4">
        <f>IFERROR(__xludf.DUMMYFUNCTION("""COMPUTED_VALUE"""),12.951267)</f>
        <v>12.951267</v>
      </c>
      <c r="E14670" s="4">
        <f>IFERROR(__xludf.DUMMYFUNCTION("""COMPUTED_VALUE"""),80.140204)</f>
        <v>80.140204</v>
      </c>
      <c r="F14670" s="4">
        <f>IFERROR(__xludf.DUMMYFUNCTION("""COMPUTED_VALUE"""),805.0)</f>
        <v>805</v>
      </c>
      <c r="G14670" s="4">
        <f>IFERROR(__xludf.DUMMYFUNCTION("""COMPUTED_VALUE"""),33.0)</f>
        <v>33</v>
      </c>
      <c r="H14670" s="4"/>
      <c r="I14670" s="4"/>
    </row>
    <row r="14671">
      <c r="A14671" s="4" t="str">
        <f>IFERROR(__xludf.DUMMYFUNCTION("""COMPUTED_VALUE"""),"cas_hmw")</f>
        <v>cas_hmw</v>
      </c>
      <c r="B14671" s="5">
        <f>IFERROR(__xludf.DUMMYFUNCTION("""COMPUTED_VALUE"""),44726.0)</f>
        <v>44726</v>
      </c>
      <c r="C14671" s="6">
        <f>IFERROR(__xludf.DUMMYFUNCTION("""COMPUTED_VALUE"""),0.3424652777794108)</f>
        <v>0.3424652778</v>
      </c>
      <c r="D14671" s="4">
        <f>IFERROR(__xludf.DUMMYFUNCTION("""COMPUTED_VALUE"""),12.94711)</f>
        <v>12.94711</v>
      </c>
      <c r="E14671" s="4">
        <f>IFERROR(__xludf.DUMMYFUNCTION("""COMPUTED_VALUE"""),80.13704)</f>
        <v>80.13704</v>
      </c>
      <c r="F14671" s="4">
        <f>IFERROR(__xludf.DUMMYFUNCTION("""COMPUTED_VALUE"""),805.0)</f>
        <v>805</v>
      </c>
      <c r="G14671" s="4">
        <f>IFERROR(__xludf.DUMMYFUNCTION("""COMPUTED_VALUE"""),42.0)</f>
        <v>42</v>
      </c>
      <c r="H14671" s="4"/>
      <c r="I14671" s="4"/>
    </row>
    <row r="14672">
      <c r="A14672" s="4" t="str">
        <f>IFERROR(__xludf.DUMMYFUNCTION("""COMPUTED_VALUE"""),"cas_hmw")</f>
        <v>cas_hmw</v>
      </c>
      <c r="B14672" s="5">
        <f>IFERROR(__xludf.DUMMYFUNCTION("""COMPUTED_VALUE"""),44726.0)</f>
        <v>44726</v>
      </c>
      <c r="C14672" s="6">
        <f>IFERROR(__xludf.DUMMYFUNCTION("""COMPUTED_VALUE"""),0.3425462962950405)</f>
        <v>0.3425462963</v>
      </c>
      <c r="D14672" s="4">
        <f>IFERROR(__xludf.DUMMYFUNCTION("""COMPUTED_VALUE"""),12.94711)</f>
        <v>12.94711</v>
      </c>
      <c r="E14672" s="4">
        <f>IFERROR(__xludf.DUMMYFUNCTION("""COMPUTED_VALUE"""),80.13704)</f>
        <v>80.13704</v>
      </c>
      <c r="F14672" s="4">
        <f>IFERROR(__xludf.DUMMYFUNCTION("""COMPUTED_VALUE"""),805.0)</f>
        <v>805</v>
      </c>
      <c r="G14672" s="4">
        <f>IFERROR(__xludf.DUMMYFUNCTION("""COMPUTED_VALUE"""),42.0)</f>
        <v>42</v>
      </c>
      <c r="H14672" s="4"/>
      <c r="I14672" s="4"/>
    </row>
    <row r="14673">
      <c r="A14673" s="4" t="str">
        <f>IFERROR(__xludf.DUMMYFUNCTION("""COMPUTED_VALUE"""),"cas_hmw")</f>
        <v>cas_hmw</v>
      </c>
      <c r="B14673" s="5">
        <f>IFERROR(__xludf.DUMMYFUNCTION("""COMPUTED_VALUE"""),44726.0)</f>
        <v>44726</v>
      </c>
      <c r="C14673" s="6">
        <f>IFERROR(__xludf.DUMMYFUNCTION("""COMPUTED_VALUE"""),0.34271990740671754)</f>
        <v>0.3427199074</v>
      </c>
      <c r="D14673" s="4">
        <f>IFERROR(__xludf.DUMMYFUNCTION("""COMPUTED_VALUE"""),12.94711)</f>
        <v>12.94711</v>
      </c>
      <c r="E14673" s="4">
        <f>IFERROR(__xludf.DUMMYFUNCTION("""COMPUTED_VALUE"""),80.13704)</f>
        <v>80.13704</v>
      </c>
      <c r="F14673" s="4">
        <f>IFERROR(__xludf.DUMMYFUNCTION("""COMPUTED_VALUE"""),805.0)</f>
        <v>805</v>
      </c>
      <c r="G14673" s="4">
        <f>IFERROR(__xludf.DUMMYFUNCTION("""COMPUTED_VALUE"""),42.0)</f>
        <v>42</v>
      </c>
      <c r="H14673" s="4"/>
      <c r="I14673" s="4"/>
    </row>
    <row r="14674">
      <c r="A14674" s="4" t="str">
        <f>IFERROR(__xludf.DUMMYFUNCTION("""COMPUTED_VALUE"""),"cas_hmw")</f>
        <v>cas_hmw</v>
      </c>
      <c r="B14674" s="5">
        <f>IFERROR(__xludf.DUMMYFUNCTION("""COMPUTED_VALUE"""),44726.0)</f>
        <v>44726</v>
      </c>
      <c r="C14674" s="6">
        <f>IFERROR(__xludf.DUMMYFUNCTION("""COMPUTED_VALUE"""),0.34336805555722094)</f>
        <v>0.3433680556</v>
      </c>
      <c r="D14674" s="4">
        <f>IFERROR(__xludf.DUMMYFUNCTION("""COMPUTED_VALUE"""),12.941671)</f>
        <v>12.941671</v>
      </c>
      <c r="E14674" s="4">
        <f>IFERROR(__xludf.DUMMYFUNCTION("""COMPUTED_VALUE"""),80.132448)</f>
        <v>80.132448</v>
      </c>
      <c r="F14674" s="4">
        <f>IFERROR(__xludf.DUMMYFUNCTION("""COMPUTED_VALUE"""),805.0)</f>
        <v>805</v>
      </c>
      <c r="G14674" s="4">
        <f>IFERROR(__xludf.DUMMYFUNCTION("""COMPUTED_VALUE"""),31.0)</f>
        <v>31</v>
      </c>
      <c r="H14674" s="4"/>
      <c r="I14674" s="4"/>
    </row>
    <row r="14675">
      <c r="A14675" s="4" t="str">
        <f>IFERROR(__xludf.DUMMYFUNCTION("""COMPUTED_VALUE"""),"cas_hmw")</f>
        <v>cas_hmw</v>
      </c>
      <c r="B14675" s="5">
        <f>IFERROR(__xludf.DUMMYFUNCTION("""COMPUTED_VALUE"""),44726.0)</f>
        <v>44726</v>
      </c>
      <c r="C14675" s="6">
        <f>IFERROR(__xludf.DUMMYFUNCTION("""COMPUTED_VALUE"""),0.3440393518503697)</f>
        <v>0.3440393519</v>
      </c>
      <c r="D14675" s="4">
        <f>IFERROR(__xludf.DUMMYFUNCTION("""COMPUTED_VALUE"""),12.937519)</f>
        <v>12.937519</v>
      </c>
      <c r="E14675" s="4">
        <f>IFERROR(__xludf.DUMMYFUNCTION("""COMPUTED_VALUE"""),80.128466)</f>
        <v>80.128466</v>
      </c>
      <c r="F14675" s="4">
        <f>IFERROR(__xludf.DUMMYFUNCTION("""COMPUTED_VALUE"""),805.0)</f>
        <v>805</v>
      </c>
      <c r="G14675" s="4">
        <f>IFERROR(__xludf.DUMMYFUNCTION("""COMPUTED_VALUE"""),42.0)</f>
        <v>42</v>
      </c>
      <c r="H14675" s="4"/>
      <c r="I14675" s="4"/>
    </row>
    <row r="14676">
      <c r="A14676" s="4" t="str">
        <f>IFERROR(__xludf.DUMMYFUNCTION("""COMPUTED_VALUE"""),"cas_hmw")</f>
        <v>cas_hmw</v>
      </c>
      <c r="B14676" s="5">
        <f>IFERROR(__xludf.DUMMYFUNCTION("""COMPUTED_VALUE"""),44726.0)</f>
        <v>44726</v>
      </c>
      <c r="C14676" s="6">
        <f>IFERROR(__xludf.DUMMYFUNCTION("""COMPUTED_VALUE"""),0.3450694444436522)</f>
        <v>0.3450694444</v>
      </c>
      <c r="D14676" s="4">
        <f>IFERROR(__xludf.DUMMYFUNCTION("""COMPUTED_VALUE"""),12.857227)</f>
        <v>12.857227</v>
      </c>
      <c r="E14676" s="4">
        <f>IFERROR(__xludf.DUMMYFUNCTION("""COMPUTED_VALUE"""),80.069996)</f>
        <v>80.069996</v>
      </c>
      <c r="F14676" s="4">
        <f>IFERROR(__xludf.DUMMYFUNCTION("""COMPUTED_VALUE"""),2846.0)</f>
        <v>2846</v>
      </c>
      <c r="G14676" s="4">
        <f>IFERROR(__xludf.DUMMYFUNCTION("""COMPUTED_VALUE"""),57.0)</f>
        <v>57</v>
      </c>
      <c r="H14676" s="4"/>
      <c r="I14676" s="4"/>
    </row>
    <row r="14677">
      <c r="A14677" s="4" t="str">
        <f>IFERROR(__xludf.DUMMYFUNCTION("""COMPUTED_VALUE"""),"cas_hmw")</f>
        <v>cas_hmw</v>
      </c>
      <c r="B14677" s="5">
        <f>IFERROR(__xludf.DUMMYFUNCTION("""COMPUTED_VALUE"""),44726.0)</f>
        <v>44726</v>
      </c>
      <c r="C14677" s="6">
        <f>IFERROR(__xludf.DUMMYFUNCTION("""COMPUTED_VALUE"""),0.3463425925910997)</f>
        <v>0.3463425926</v>
      </c>
      <c r="D14677" s="4">
        <f>IFERROR(__xludf.DUMMYFUNCTION("""COMPUTED_VALUE"""),12.869306)</f>
        <v>12.869306</v>
      </c>
      <c r="E14677" s="4">
        <f>IFERROR(__xludf.DUMMYFUNCTION("""COMPUTED_VALUE"""),80.07618)</f>
        <v>80.07618</v>
      </c>
      <c r="F14677" s="4">
        <f>IFERROR(__xludf.DUMMYFUNCTION("""COMPUTED_VALUE"""),2846.0)</f>
        <v>2846</v>
      </c>
      <c r="G14677" s="4">
        <f>IFERROR(__xludf.DUMMYFUNCTION("""COMPUTED_VALUE"""),33.0)</f>
        <v>33</v>
      </c>
      <c r="H14677" s="4"/>
      <c r="I14677" s="4"/>
    </row>
    <row r="14678">
      <c r="A14678" s="4" t="str">
        <f>IFERROR(__xludf.DUMMYFUNCTION("""COMPUTED_VALUE"""),"cas_hmw")</f>
        <v>cas_hmw</v>
      </c>
      <c r="B14678" s="5">
        <f>IFERROR(__xludf.DUMMYFUNCTION("""COMPUTED_VALUE"""),44726.0)</f>
        <v>44726</v>
      </c>
      <c r="C14678" s="6">
        <f>IFERROR(__xludf.DUMMYFUNCTION("""COMPUTED_VALUE"""),0.34700231481474475)</f>
        <v>0.3470023148</v>
      </c>
      <c r="D14678" s="4">
        <f>IFERROR(__xludf.DUMMYFUNCTION("""COMPUTED_VALUE"""),12.875663)</f>
        <v>12.875663</v>
      </c>
      <c r="E14678" s="4">
        <f>IFERROR(__xludf.DUMMYFUNCTION("""COMPUTED_VALUE"""),80.07861)</f>
        <v>80.07861</v>
      </c>
      <c r="F14678" s="4">
        <f>IFERROR(__xludf.DUMMYFUNCTION("""COMPUTED_VALUE"""),2846.0)</f>
        <v>2846</v>
      </c>
      <c r="G14678" s="4">
        <f>IFERROR(__xludf.DUMMYFUNCTION("""COMPUTED_VALUE"""),53.0)</f>
        <v>53</v>
      </c>
      <c r="H14678" s="4"/>
      <c r="I14678" s="4"/>
    </row>
    <row r="14679">
      <c r="A14679" s="4" t="str">
        <f>IFERROR(__xludf.DUMMYFUNCTION("""COMPUTED_VALUE"""),"cas_hmw")</f>
        <v>cas_hmw</v>
      </c>
      <c r="B14679" s="5">
        <f>IFERROR(__xludf.DUMMYFUNCTION("""COMPUTED_VALUE"""),44726.0)</f>
        <v>44726</v>
      </c>
      <c r="C14679" s="6">
        <f>IFERROR(__xludf.DUMMYFUNCTION("""COMPUTED_VALUE"""),0.3473495370380988)</f>
        <v>0.347349537</v>
      </c>
      <c r="D14679" s="4">
        <f>IFERROR(__xludf.DUMMYFUNCTION("""COMPUTED_VALUE"""),12.918994)</f>
        <v>12.918994</v>
      </c>
      <c r="E14679" s="4">
        <f>IFERROR(__xludf.DUMMYFUNCTION("""COMPUTED_VALUE"""),80.109811)</f>
        <v>80.109811</v>
      </c>
      <c r="F14679" s="4">
        <f>IFERROR(__xludf.DUMMYFUNCTION("""COMPUTED_VALUE"""),805.0)</f>
        <v>805</v>
      </c>
      <c r="G14679" s="4">
        <f>IFERROR(__xludf.DUMMYFUNCTION("""COMPUTED_VALUE"""),58.0)</f>
        <v>58</v>
      </c>
      <c r="H14679" s="4"/>
      <c r="I14679" s="4"/>
    </row>
    <row r="14680">
      <c r="A14680" s="4" t="str">
        <f>IFERROR(__xludf.DUMMYFUNCTION("""COMPUTED_VALUE"""),"cas_hmw")</f>
        <v>cas_hmw</v>
      </c>
      <c r="B14680" s="5">
        <f>IFERROR(__xludf.DUMMYFUNCTION("""COMPUTED_VALUE"""),44726.0)</f>
        <v>44726</v>
      </c>
      <c r="C14680" s="6">
        <f>IFERROR(__xludf.DUMMYFUNCTION("""COMPUTED_VALUE"""),0.3481134259272949)</f>
        <v>0.3481134259</v>
      </c>
      <c r="D14680" s="4">
        <f>IFERROR(__xludf.DUMMYFUNCTION("""COMPUTED_VALUE"""),12.91458)</f>
        <v>12.91458</v>
      </c>
      <c r="E14680" s="4">
        <f>IFERROR(__xludf.DUMMYFUNCTION("""COMPUTED_VALUE"""),80.102806)</f>
        <v>80.102806</v>
      </c>
      <c r="F14680" s="4">
        <f>IFERROR(__xludf.DUMMYFUNCTION("""COMPUTED_VALUE"""),805.0)</f>
        <v>805</v>
      </c>
      <c r="G14680" s="4">
        <f>IFERROR(__xludf.DUMMYFUNCTION("""COMPUTED_VALUE"""),57.0)</f>
        <v>57</v>
      </c>
      <c r="H14680" s="4"/>
      <c r="I14680" s="4"/>
    </row>
    <row r="14681">
      <c r="A14681" s="4" t="str">
        <f>IFERROR(__xludf.DUMMYFUNCTION("""COMPUTED_VALUE"""),"cas_hmw")</f>
        <v>cas_hmw</v>
      </c>
      <c r="B14681" s="5">
        <f>IFERROR(__xludf.DUMMYFUNCTION("""COMPUTED_VALUE"""),44726.0)</f>
        <v>44726</v>
      </c>
      <c r="C14681" s="6">
        <f>IFERROR(__xludf.DUMMYFUNCTION("""COMPUTED_VALUE"""),0.34846064814701094)</f>
        <v>0.3484606481</v>
      </c>
      <c r="D14681" s="4">
        <f>IFERROR(__xludf.DUMMYFUNCTION("""COMPUTED_VALUE"""),12.911223)</f>
        <v>12.911223</v>
      </c>
      <c r="E14681" s="4">
        <f>IFERROR(__xludf.DUMMYFUNCTION("""COMPUTED_VALUE"""),80.101362)</f>
        <v>80.101362</v>
      </c>
      <c r="F14681" s="4">
        <f>IFERROR(__xludf.DUMMYFUNCTION("""COMPUTED_VALUE"""),805.0)</f>
        <v>805</v>
      </c>
      <c r="G14681" s="4">
        <f>IFERROR(__xludf.DUMMYFUNCTION("""COMPUTED_VALUE"""),40.0)</f>
        <v>40</v>
      </c>
      <c r="H14681" s="4"/>
      <c r="I14681" s="4"/>
    </row>
    <row r="14682">
      <c r="A14682" s="4" t="str">
        <f>IFERROR(__xludf.DUMMYFUNCTION("""COMPUTED_VALUE"""),"cas_hmw")</f>
        <v>cas_hmw</v>
      </c>
      <c r="B14682" s="5">
        <f>IFERROR(__xludf.DUMMYFUNCTION("""COMPUTED_VALUE"""),44726.0)</f>
        <v>44726</v>
      </c>
      <c r="C14682" s="6">
        <f>IFERROR(__xludf.DUMMYFUNCTION("""COMPUTED_VALUE"""),0.34946759259401006)</f>
        <v>0.3494675926</v>
      </c>
      <c r="D14682" s="4">
        <f>IFERROR(__xludf.DUMMYFUNCTION("""COMPUTED_VALUE"""),12.908886)</f>
        <v>12.908886</v>
      </c>
      <c r="E14682" s="4">
        <f>IFERROR(__xludf.DUMMYFUNCTION("""COMPUTED_VALUE"""),80.098599)</f>
        <v>80.098599</v>
      </c>
      <c r="F14682" s="4">
        <f>IFERROR(__xludf.DUMMYFUNCTION("""COMPUTED_VALUE"""),805.0)</f>
        <v>805</v>
      </c>
      <c r="G14682" s="4">
        <f>IFERROR(__xludf.DUMMYFUNCTION("""COMPUTED_VALUE"""),12.0)</f>
        <v>12</v>
      </c>
      <c r="H14682" s="4"/>
      <c r="I14682" s="4"/>
    </row>
    <row r="14683">
      <c r="A14683" s="4" t="str">
        <f>IFERROR(__xludf.DUMMYFUNCTION("""COMPUTED_VALUE"""),"cas_hmw")</f>
        <v>cas_hmw</v>
      </c>
      <c r="B14683" s="5">
        <f>IFERROR(__xludf.DUMMYFUNCTION("""COMPUTED_VALUE"""),44726.0)</f>
        <v>44726</v>
      </c>
      <c r="C14683" s="6">
        <f>IFERROR(__xludf.DUMMYFUNCTION("""COMPUTED_VALUE"""),0.34976851851752144)</f>
        <v>0.3497685185</v>
      </c>
      <c r="D14683" s="4">
        <f>IFERROR(__xludf.DUMMYFUNCTION("""COMPUTED_VALUE"""),12.908377)</f>
        <v>12.908377</v>
      </c>
      <c r="E14683" s="4">
        <f>IFERROR(__xludf.DUMMYFUNCTION("""COMPUTED_VALUE"""),80.09803)</f>
        <v>80.09803</v>
      </c>
      <c r="F14683" s="4">
        <f>IFERROR(__xludf.DUMMYFUNCTION("""COMPUTED_VALUE"""),805.0)</f>
        <v>805</v>
      </c>
      <c r="G14683" s="4">
        <f>IFERROR(__xludf.DUMMYFUNCTION("""COMPUTED_VALUE"""),26.0)</f>
        <v>26</v>
      </c>
      <c r="H14683" s="4"/>
      <c r="I14683" s="4"/>
    </row>
    <row r="14684">
      <c r="A14684" s="4" t="str">
        <f>IFERROR(__xludf.DUMMYFUNCTION("""COMPUTED_VALUE"""),"cas_hmw")</f>
        <v>cas_hmw</v>
      </c>
      <c r="B14684" s="5">
        <f>IFERROR(__xludf.DUMMYFUNCTION("""COMPUTED_VALUE"""),44726.0)</f>
        <v>44726</v>
      </c>
      <c r="C14684" s="6">
        <f>IFERROR(__xludf.DUMMYFUNCTION("""COMPUTED_VALUE"""),0.3509490740725596)</f>
        <v>0.3509490741</v>
      </c>
      <c r="D14684" s="4">
        <f>IFERROR(__xludf.DUMMYFUNCTION("""COMPUTED_VALUE"""),12.901762)</f>
        <v>12.901762</v>
      </c>
      <c r="E14684" s="4">
        <f>IFERROR(__xludf.DUMMYFUNCTION("""COMPUTED_VALUE"""),80.092841)</f>
        <v>80.092841</v>
      </c>
      <c r="F14684" s="4">
        <f>IFERROR(__xludf.DUMMYFUNCTION("""COMPUTED_VALUE"""),805.0)</f>
        <v>805</v>
      </c>
      <c r="G14684" s="4">
        <f>IFERROR(__xludf.DUMMYFUNCTION("""COMPUTED_VALUE"""),37.0)</f>
        <v>37</v>
      </c>
      <c r="H14684" s="4"/>
      <c r="I14684" s="4"/>
    </row>
    <row r="14685">
      <c r="A14685" s="4" t="str">
        <f>IFERROR(__xludf.DUMMYFUNCTION("""COMPUTED_VALUE"""),"cas_hmw")</f>
        <v>cas_hmw</v>
      </c>
      <c r="B14685" s="5">
        <f>IFERROR(__xludf.DUMMYFUNCTION("""COMPUTED_VALUE"""),44726.0)</f>
        <v>44726</v>
      </c>
      <c r="C14685" s="6">
        <f>IFERROR(__xludf.DUMMYFUNCTION("""COMPUTED_VALUE"""),0.3512268518534256)</f>
        <v>0.3512268519</v>
      </c>
      <c r="D14685" s="4">
        <f>IFERROR(__xludf.DUMMYFUNCTION("""COMPUTED_VALUE"""),12.90003)</f>
        <v>12.90003</v>
      </c>
      <c r="E14685" s="4">
        <f>IFERROR(__xludf.DUMMYFUNCTION("""COMPUTED_VALUE"""),80.091539)</f>
        <v>80.091539</v>
      </c>
      <c r="F14685" s="4">
        <f>IFERROR(__xludf.DUMMYFUNCTION("""COMPUTED_VALUE"""),805.0)</f>
        <v>805</v>
      </c>
      <c r="G14685" s="4">
        <f>IFERROR(__xludf.DUMMYFUNCTION("""COMPUTED_VALUE"""),57.0)</f>
        <v>57</v>
      </c>
      <c r="H14685" s="4"/>
      <c r="I14685" s="4"/>
    </row>
    <row r="14686">
      <c r="A14686" s="4" t="str">
        <f>IFERROR(__xludf.DUMMYFUNCTION("""COMPUTED_VALUE"""),"cas_hmw")</f>
        <v>cas_hmw</v>
      </c>
      <c r="B14686" s="5">
        <f>IFERROR(__xludf.DUMMYFUNCTION("""COMPUTED_VALUE"""),44726.0)</f>
        <v>44726</v>
      </c>
      <c r="C14686" s="6">
        <f>IFERROR(__xludf.DUMMYFUNCTION("""COMPUTED_VALUE"""),0.5334374999983993)</f>
        <v>0.5334375</v>
      </c>
      <c r="D14686" s="4">
        <f>IFERROR(__xludf.DUMMYFUNCTION("""COMPUTED_VALUE"""),12.885752)</f>
        <v>12.885752</v>
      </c>
      <c r="E14686" s="4">
        <f>IFERROR(__xludf.DUMMYFUNCTION("""COMPUTED_VALUE"""),80.080601)</f>
        <v>80.080601</v>
      </c>
      <c r="F14686" s="4">
        <f>IFERROR(__xludf.DUMMYFUNCTION("""COMPUTED_VALUE"""),5339.0)</f>
        <v>5339</v>
      </c>
      <c r="G14686" s="4">
        <f>IFERROR(__xludf.DUMMYFUNCTION("""COMPUTED_VALUE"""),55.0)</f>
        <v>55</v>
      </c>
      <c r="H14686" s="4"/>
      <c r="I14686" s="4"/>
    </row>
    <row r="14687">
      <c r="A14687" s="4" t="str">
        <f>IFERROR(__xludf.DUMMYFUNCTION("""COMPUTED_VALUE"""),"cas_hmw")</f>
        <v>cas_hmw</v>
      </c>
      <c r="B14687" s="5">
        <f>IFERROR(__xludf.DUMMYFUNCTION("""COMPUTED_VALUE"""),44726.0)</f>
        <v>44726</v>
      </c>
      <c r="C14687" s="6">
        <f>IFERROR(__xludf.DUMMYFUNCTION("""COMPUTED_VALUE"""),0.6932870370364981)</f>
        <v>0.693287037</v>
      </c>
      <c r="D14687" s="4">
        <f>IFERROR(__xludf.DUMMYFUNCTION("""COMPUTED_VALUE"""),12.886925)</f>
        <v>12.886925</v>
      </c>
      <c r="E14687" s="4">
        <f>IFERROR(__xludf.DUMMYFUNCTION("""COMPUTED_VALUE"""),80.083166)</f>
        <v>80.083166</v>
      </c>
      <c r="F14687" s="4">
        <f>IFERROR(__xludf.DUMMYFUNCTION("""COMPUTED_VALUE"""),805.0)</f>
        <v>805</v>
      </c>
      <c r="G14687" s="4">
        <f>IFERROR(__xludf.DUMMYFUNCTION("""COMPUTED_VALUE"""),46.0)</f>
        <v>46</v>
      </c>
      <c r="H14687" s="4"/>
      <c r="I14687" s="4"/>
    </row>
    <row r="14688">
      <c r="A14688" s="4" t="str">
        <f>IFERROR(__xludf.DUMMYFUNCTION("""COMPUTED_VALUE"""),"cas_hmw")</f>
        <v>cas_hmw</v>
      </c>
      <c r="B14688" s="5">
        <f>IFERROR(__xludf.DUMMYFUNCTION("""COMPUTED_VALUE"""),44726.0)</f>
        <v>44726</v>
      </c>
      <c r="C14688" s="6">
        <f>IFERROR(__xludf.DUMMYFUNCTION("""COMPUTED_VALUE"""),0.6953125)</f>
        <v>0.6953125</v>
      </c>
      <c r="D14688" s="4">
        <f>IFERROR(__xludf.DUMMYFUNCTION("""COMPUTED_VALUE"""),12.905518)</f>
        <v>12.905518</v>
      </c>
      <c r="E14688" s="4">
        <f>IFERROR(__xludf.DUMMYFUNCTION("""COMPUTED_VALUE"""),80.095603)</f>
        <v>80.095603</v>
      </c>
      <c r="F14688" s="4">
        <f>IFERROR(__xludf.DUMMYFUNCTION("""COMPUTED_VALUE"""),805.0)</f>
        <v>805</v>
      </c>
      <c r="G14688" s="4">
        <f>IFERROR(__xludf.DUMMYFUNCTION("""COMPUTED_VALUE"""),26.0)</f>
        <v>26</v>
      </c>
      <c r="H14688" s="4"/>
      <c r="I14688" s="4"/>
    </row>
    <row r="14689">
      <c r="A14689" s="4" t="str">
        <f>IFERROR(__xludf.DUMMYFUNCTION("""COMPUTED_VALUE"""),"cas_hmw")</f>
        <v>cas_hmw</v>
      </c>
      <c r="B14689" s="5">
        <f>IFERROR(__xludf.DUMMYFUNCTION("""COMPUTED_VALUE"""),44726.0)</f>
        <v>44726</v>
      </c>
      <c r="C14689" s="6">
        <f>IFERROR(__xludf.DUMMYFUNCTION("""COMPUTED_VALUE"""),0.695625000000291)</f>
        <v>0.695625</v>
      </c>
      <c r="D14689" s="4">
        <f>IFERROR(__xludf.DUMMYFUNCTION("""COMPUTED_VALUE"""),12.856108)</f>
        <v>12.856108</v>
      </c>
      <c r="E14689" s="4">
        <f>IFERROR(__xludf.DUMMYFUNCTION("""COMPUTED_VALUE"""),80.069372)</f>
        <v>80.069372</v>
      </c>
      <c r="F14689" s="4">
        <f>IFERROR(__xludf.DUMMYFUNCTION("""COMPUTED_VALUE"""),2846.0)</f>
        <v>2846</v>
      </c>
      <c r="G14689" s="4">
        <f>IFERROR(__xludf.DUMMYFUNCTION("""COMPUTED_VALUE"""),56.0)</f>
        <v>56</v>
      </c>
      <c r="H14689" s="4"/>
      <c r="I14689" s="4"/>
    </row>
    <row r="14690">
      <c r="A14690" s="4" t="str">
        <f>IFERROR(__xludf.DUMMYFUNCTION("""COMPUTED_VALUE"""),"cas_hmw")</f>
        <v>cas_hmw</v>
      </c>
      <c r="B14690" s="5">
        <f>IFERROR(__xludf.DUMMYFUNCTION("""COMPUTED_VALUE"""),44726.0)</f>
        <v>44726</v>
      </c>
      <c r="C14690" s="6">
        <f>IFERROR(__xludf.DUMMYFUNCTION("""COMPUTED_VALUE"""),0.6957407407389837)</f>
        <v>0.6957407407</v>
      </c>
      <c r="D14690" s="4">
        <f>IFERROR(__xludf.DUMMYFUNCTION("""COMPUTED_VALUE"""),12.855025)</f>
        <v>12.855025</v>
      </c>
      <c r="E14690" s="4">
        <f>IFERROR(__xludf.DUMMYFUNCTION("""COMPUTED_VALUE"""),80.068596)</f>
        <v>80.068596</v>
      </c>
      <c r="F14690" s="4">
        <f>IFERROR(__xludf.DUMMYFUNCTION("""COMPUTED_VALUE"""),2846.0)</f>
        <v>2846</v>
      </c>
      <c r="G14690" s="4">
        <f>IFERROR(__xludf.DUMMYFUNCTION("""COMPUTED_VALUE"""),53.0)</f>
        <v>53</v>
      </c>
      <c r="H14690" s="4"/>
      <c r="I14690" s="4"/>
    </row>
    <row r="14691">
      <c r="A14691" s="4" t="str">
        <f>IFERROR(__xludf.DUMMYFUNCTION("""COMPUTED_VALUE"""),"cas_hmw")</f>
        <v>cas_hmw</v>
      </c>
      <c r="B14691" s="5">
        <f>IFERROR(__xludf.DUMMYFUNCTION("""COMPUTED_VALUE"""),44726.0)</f>
        <v>44726</v>
      </c>
      <c r="C14691" s="6">
        <f>IFERROR(__xludf.DUMMYFUNCTION("""COMPUTED_VALUE"""),0.6963078703702195)</f>
        <v>0.6963078704</v>
      </c>
      <c r="D14691" s="4">
        <f>IFERROR(__xludf.DUMMYFUNCTION("""COMPUTED_VALUE"""),12.911822)</f>
        <v>12.911822</v>
      </c>
      <c r="E14691" s="4">
        <f>IFERROR(__xludf.DUMMYFUNCTION("""COMPUTED_VALUE"""),80.101324)</f>
        <v>80.101324</v>
      </c>
      <c r="F14691" s="4">
        <f>IFERROR(__xludf.DUMMYFUNCTION("""COMPUTED_VALUE"""),805.0)</f>
        <v>805</v>
      </c>
      <c r="G14691" s="4">
        <f>IFERROR(__xludf.DUMMYFUNCTION("""COMPUTED_VALUE"""),19.0)</f>
        <v>19</v>
      </c>
      <c r="H14691" s="4"/>
      <c r="I14691" s="4"/>
    </row>
    <row r="14692">
      <c r="A14692" s="4" t="str">
        <f>IFERROR(__xludf.DUMMYFUNCTION("""COMPUTED_VALUE"""),"cas_hmw")</f>
        <v>cas_hmw</v>
      </c>
      <c r="B14692" s="5">
        <f>IFERROR(__xludf.DUMMYFUNCTION("""COMPUTED_VALUE"""),44726.0)</f>
        <v>44726</v>
      </c>
      <c r="C14692" s="6">
        <f>IFERROR(__xludf.DUMMYFUNCTION("""COMPUTED_VALUE"""),0.6971990740748879)</f>
        <v>0.6971990741</v>
      </c>
      <c r="D14692" s="4">
        <f>IFERROR(__xludf.DUMMYFUNCTION("""COMPUTED_VALUE"""),12.91704)</f>
        <v>12.91704</v>
      </c>
      <c r="E14692" s="4">
        <f>IFERROR(__xludf.DUMMYFUNCTION("""COMPUTED_VALUE"""),80.106998)</f>
        <v>80.106998</v>
      </c>
      <c r="F14692" s="4">
        <f>IFERROR(__xludf.DUMMYFUNCTION("""COMPUTED_VALUE"""),805.0)</f>
        <v>805</v>
      </c>
      <c r="G14692" s="4">
        <f>IFERROR(__xludf.DUMMYFUNCTION("""COMPUTED_VALUE"""),20.0)</f>
        <v>20</v>
      </c>
      <c r="H14692" s="4"/>
      <c r="I14692" s="4"/>
    </row>
    <row r="14693">
      <c r="A14693" s="4" t="str">
        <f>IFERROR(__xludf.DUMMYFUNCTION("""COMPUTED_VALUE"""),"cas_hmw")</f>
        <v>cas_hmw</v>
      </c>
      <c r="B14693" s="5">
        <f>IFERROR(__xludf.DUMMYFUNCTION("""COMPUTED_VALUE"""),44726.0)</f>
        <v>44726</v>
      </c>
      <c r="C14693" s="6">
        <f>IFERROR(__xludf.DUMMYFUNCTION("""COMPUTED_VALUE"""),0.6975694444445253)</f>
        <v>0.6975694444</v>
      </c>
      <c r="D14693" s="4">
        <f>IFERROR(__xludf.DUMMYFUNCTION("""COMPUTED_VALUE"""),12.918678)</f>
        <v>12.918678</v>
      </c>
      <c r="E14693" s="4">
        <f>IFERROR(__xludf.DUMMYFUNCTION("""COMPUTED_VALUE"""),80.109289)</f>
        <v>80.109289</v>
      </c>
      <c r="F14693" s="4">
        <f>IFERROR(__xludf.DUMMYFUNCTION("""COMPUTED_VALUE"""),805.0)</f>
        <v>805</v>
      </c>
      <c r="G14693" s="4">
        <f>IFERROR(__xludf.DUMMYFUNCTION("""COMPUTED_VALUE"""),49.0)</f>
        <v>49</v>
      </c>
      <c r="H14693" s="4"/>
      <c r="I14693" s="4"/>
    </row>
    <row r="14694">
      <c r="A14694" s="4" t="str">
        <f>IFERROR(__xludf.DUMMYFUNCTION("""COMPUTED_VALUE"""),"cas_hmw")</f>
        <v>cas_hmw</v>
      </c>
      <c r="B14694" s="5">
        <f>IFERROR(__xludf.DUMMYFUNCTION("""COMPUTED_VALUE"""),44726.0)</f>
        <v>44726</v>
      </c>
      <c r="C14694" s="6">
        <f>IFERROR(__xludf.DUMMYFUNCTION("""COMPUTED_VALUE"""),0.6981481481489027)</f>
        <v>0.6981481481</v>
      </c>
      <c r="D14694" s="4">
        <f>IFERROR(__xludf.DUMMYFUNCTION("""COMPUTED_VALUE"""),12.923028)</f>
        <v>12.923028</v>
      </c>
      <c r="E14694" s="4">
        <f>IFERROR(__xludf.DUMMYFUNCTION("""COMPUTED_VALUE"""),80.114021)</f>
        <v>80.114021</v>
      </c>
      <c r="F14694" s="4">
        <f>IFERROR(__xludf.DUMMYFUNCTION("""COMPUTED_VALUE"""),805.0)</f>
        <v>805</v>
      </c>
      <c r="G14694" s="4">
        <f>IFERROR(__xludf.DUMMYFUNCTION("""COMPUTED_VALUE"""),19.0)</f>
        <v>19</v>
      </c>
      <c r="H14694" s="4"/>
      <c r="I14694" s="4"/>
    </row>
    <row r="14695">
      <c r="A14695" s="4" t="str">
        <f>IFERROR(__xludf.DUMMYFUNCTION("""COMPUTED_VALUE"""),"cas_hmw")</f>
        <v>cas_hmw</v>
      </c>
      <c r="B14695" s="5">
        <f>IFERROR(__xludf.DUMMYFUNCTION("""COMPUTED_VALUE"""),44726.0)</f>
        <v>44726</v>
      </c>
      <c r="C14695" s="6">
        <f>IFERROR(__xludf.DUMMYFUNCTION("""COMPUTED_VALUE"""),0.6984143518529891)</f>
        <v>0.6984143519</v>
      </c>
      <c r="D14695" s="4">
        <f>IFERROR(__xludf.DUMMYFUNCTION("""COMPUTED_VALUE"""),12.924825)</f>
        <v>12.924825</v>
      </c>
      <c r="E14695" s="4">
        <f>IFERROR(__xludf.DUMMYFUNCTION("""COMPUTED_VALUE"""),80.115853)</f>
        <v>80.115853</v>
      </c>
      <c r="F14695" s="4">
        <f>IFERROR(__xludf.DUMMYFUNCTION("""COMPUTED_VALUE"""),805.0)</f>
        <v>805</v>
      </c>
      <c r="G14695" s="4">
        <f>IFERROR(__xludf.DUMMYFUNCTION("""COMPUTED_VALUE"""),43.0)</f>
        <v>43</v>
      </c>
      <c r="H14695" s="4"/>
      <c r="I14695" s="4"/>
    </row>
    <row r="14696">
      <c r="A14696" s="4" t="str">
        <f>IFERROR(__xludf.DUMMYFUNCTION("""COMPUTED_VALUE"""),"cas_hmw")</f>
        <v>cas_hmw</v>
      </c>
      <c r="B14696" s="5">
        <f>IFERROR(__xludf.DUMMYFUNCTION("""COMPUTED_VALUE"""),44726.0)</f>
        <v>44726</v>
      </c>
      <c r="C14696" s="6">
        <f>IFERROR(__xludf.DUMMYFUNCTION("""COMPUTED_VALUE"""),0.6991435185191222)</f>
        <v>0.6991435185</v>
      </c>
      <c r="D14696" s="4">
        <f>IFERROR(__xludf.DUMMYFUNCTION("""COMPUTED_VALUE"""),12.83995)</f>
        <v>12.83995</v>
      </c>
      <c r="E14696" s="4">
        <f>IFERROR(__xludf.DUMMYFUNCTION("""COMPUTED_VALUE"""),80.055725)</f>
        <v>80.055725</v>
      </c>
      <c r="F14696" s="4">
        <f>IFERROR(__xludf.DUMMYFUNCTION("""COMPUTED_VALUE"""),2846.0)</f>
        <v>2846</v>
      </c>
      <c r="G14696" s="4">
        <f>IFERROR(__xludf.DUMMYFUNCTION("""COMPUTED_VALUE"""),39.0)</f>
        <v>39</v>
      </c>
      <c r="H14696" s="4"/>
      <c r="I14696" s="4"/>
    </row>
    <row r="14697">
      <c r="A14697" s="4" t="str">
        <f>IFERROR(__xludf.DUMMYFUNCTION("""COMPUTED_VALUE"""),"cas_hmw")</f>
        <v>cas_hmw</v>
      </c>
      <c r="B14697" s="5">
        <f>IFERROR(__xludf.DUMMYFUNCTION("""COMPUTED_VALUE"""),44726.0)</f>
        <v>44726</v>
      </c>
      <c r="C14697" s="6">
        <f>IFERROR(__xludf.DUMMYFUNCTION("""COMPUTED_VALUE"""),0.6992939814808778)</f>
        <v>0.6992939815</v>
      </c>
      <c r="D14697" s="4">
        <f>IFERROR(__xludf.DUMMYFUNCTION("""COMPUTED_VALUE"""),12.927855)</f>
        <v>12.927855</v>
      </c>
      <c r="E14697" s="4">
        <f>IFERROR(__xludf.DUMMYFUNCTION("""COMPUTED_VALUE"""),80.118914)</f>
        <v>80.118914</v>
      </c>
      <c r="F14697" s="4">
        <f>IFERROR(__xludf.DUMMYFUNCTION("""COMPUTED_VALUE"""),805.0)</f>
        <v>805</v>
      </c>
      <c r="G14697" s="4">
        <f>IFERROR(__xludf.DUMMYFUNCTION("""COMPUTED_VALUE"""),35.0)</f>
        <v>35</v>
      </c>
      <c r="H14697" s="4"/>
      <c r="I14697" s="4"/>
    </row>
    <row r="14698">
      <c r="A14698" s="4" t="str">
        <f>IFERROR(__xludf.DUMMYFUNCTION("""COMPUTED_VALUE"""),"cas_hmw")</f>
        <v>cas_hmw</v>
      </c>
      <c r="B14698" s="5">
        <f>IFERROR(__xludf.DUMMYFUNCTION("""COMPUTED_VALUE"""),44726.0)</f>
        <v>44726</v>
      </c>
      <c r="C14698" s="6">
        <f>IFERROR(__xludf.DUMMYFUNCTION("""COMPUTED_VALUE"""),0.6997685185197042)</f>
        <v>0.6997685185</v>
      </c>
      <c r="D14698" s="4">
        <f>IFERROR(__xludf.DUMMYFUNCTION("""COMPUTED_VALUE"""),12.931132)</f>
        <v>12.931132</v>
      </c>
      <c r="E14698" s="4">
        <f>IFERROR(__xludf.DUMMYFUNCTION("""COMPUTED_VALUE"""),80.122207)</f>
        <v>80.122207</v>
      </c>
      <c r="F14698" s="4">
        <f>IFERROR(__xludf.DUMMYFUNCTION("""COMPUTED_VALUE"""),805.0)</f>
        <v>805</v>
      </c>
      <c r="G14698" s="4">
        <f>IFERROR(__xludf.DUMMYFUNCTION("""COMPUTED_VALUE"""),32.0)</f>
        <v>32</v>
      </c>
      <c r="H14698" s="4"/>
      <c r="I14698" s="4"/>
    </row>
    <row r="14699">
      <c r="A14699" s="4" t="str">
        <f>IFERROR(__xludf.DUMMYFUNCTION("""COMPUTED_VALUE"""),"cas_hmw")</f>
        <v>cas_hmw</v>
      </c>
      <c r="B14699" s="5">
        <f>IFERROR(__xludf.DUMMYFUNCTION("""COMPUTED_VALUE"""),44726.0)</f>
        <v>44726</v>
      </c>
      <c r="C14699" s="6">
        <f>IFERROR(__xludf.DUMMYFUNCTION("""COMPUTED_VALUE"""),0.6998958333315386)</f>
        <v>0.6998958333</v>
      </c>
      <c r="D14699" s="4">
        <f>IFERROR(__xludf.DUMMYFUNCTION("""COMPUTED_VALUE"""),12.932014)</f>
        <v>12.932014</v>
      </c>
      <c r="E14699" s="4">
        <f>IFERROR(__xludf.DUMMYFUNCTION("""COMPUTED_VALUE"""),80.123102)</f>
        <v>80.123102</v>
      </c>
      <c r="F14699" s="4">
        <f>IFERROR(__xludf.DUMMYFUNCTION("""COMPUTED_VALUE"""),805.0)</f>
        <v>805</v>
      </c>
      <c r="G14699" s="4">
        <f>IFERROR(__xludf.DUMMYFUNCTION("""COMPUTED_VALUE"""),33.0)</f>
        <v>33</v>
      </c>
      <c r="H14699" s="4"/>
      <c r="I14699" s="4"/>
    </row>
    <row r="14700">
      <c r="A14700" s="4" t="str">
        <f>IFERROR(__xludf.DUMMYFUNCTION("""COMPUTED_VALUE"""),"cas_hmw")</f>
        <v>cas_hmw</v>
      </c>
      <c r="B14700" s="5">
        <f>IFERROR(__xludf.DUMMYFUNCTION("""COMPUTED_VALUE"""),44726.0)</f>
        <v>44726</v>
      </c>
      <c r="C14700" s="6">
        <f>IFERROR(__xludf.DUMMYFUNCTION("""COMPUTED_VALUE"""),0.6998958333315386)</f>
        <v>0.6998958333</v>
      </c>
      <c r="D14700" s="4">
        <f>IFERROR(__xludf.DUMMYFUNCTION("""COMPUTED_VALUE"""),12.932014)</f>
        <v>12.932014</v>
      </c>
      <c r="E14700" s="4">
        <f>IFERROR(__xludf.DUMMYFUNCTION("""COMPUTED_VALUE"""),80.123102)</f>
        <v>80.123102</v>
      </c>
      <c r="F14700" s="4">
        <f>IFERROR(__xludf.DUMMYFUNCTION("""COMPUTED_VALUE"""),805.0)</f>
        <v>805</v>
      </c>
      <c r="G14700" s="4">
        <f>IFERROR(__xludf.DUMMYFUNCTION("""COMPUTED_VALUE"""),33.0)</f>
        <v>33</v>
      </c>
      <c r="H14700" s="4"/>
      <c r="I14700" s="4"/>
    </row>
    <row r="14701">
      <c r="A14701" s="4" t="str">
        <f>IFERROR(__xludf.DUMMYFUNCTION("""COMPUTED_VALUE"""),"cas_hmw")</f>
        <v>cas_hmw</v>
      </c>
      <c r="B14701" s="5">
        <f>IFERROR(__xludf.DUMMYFUNCTION("""COMPUTED_VALUE"""),44726.0)</f>
        <v>44726</v>
      </c>
      <c r="C14701" s="6">
        <f>IFERROR(__xludf.DUMMYFUNCTION("""COMPUTED_VALUE"""),0.6999768518508063)</f>
        <v>0.6999768519</v>
      </c>
      <c r="D14701" s="4">
        <f>IFERROR(__xludf.DUMMYFUNCTION("""COMPUTED_VALUE"""),12.932014)</f>
        <v>12.932014</v>
      </c>
      <c r="E14701" s="4">
        <f>IFERROR(__xludf.DUMMYFUNCTION("""COMPUTED_VALUE"""),80.123102)</f>
        <v>80.123102</v>
      </c>
      <c r="F14701" s="4">
        <f>IFERROR(__xludf.DUMMYFUNCTION("""COMPUTED_VALUE"""),805.0)</f>
        <v>805</v>
      </c>
      <c r="G14701" s="4">
        <f>IFERROR(__xludf.DUMMYFUNCTION("""COMPUTED_VALUE"""),33.0)</f>
        <v>33</v>
      </c>
      <c r="H14701" s="4"/>
      <c r="I14701" s="4"/>
    </row>
    <row r="14702">
      <c r="A14702" s="4" t="str">
        <f>IFERROR(__xludf.DUMMYFUNCTION("""COMPUTED_VALUE"""),"cas_hmw")</f>
        <v>cas_hmw</v>
      </c>
      <c r="B14702" s="5">
        <f>IFERROR(__xludf.DUMMYFUNCTION("""COMPUTED_VALUE"""),44726.0)</f>
        <v>44726</v>
      </c>
      <c r="C14702" s="6">
        <f>IFERROR(__xludf.DUMMYFUNCTION("""COMPUTED_VALUE"""),0.7000115740738693)</f>
        <v>0.7000115741</v>
      </c>
      <c r="D14702" s="4">
        <f>IFERROR(__xludf.DUMMYFUNCTION("""COMPUTED_VALUE"""),12.932014)</f>
        <v>12.932014</v>
      </c>
      <c r="E14702" s="4">
        <f>IFERROR(__xludf.DUMMYFUNCTION("""COMPUTED_VALUE"""),80.123102)</f>
        <v>80.123102</v>
      </c>
      <c r="F14702" s="4">
        <f>IFERROR(__xludf.DUMMYFUNCTION("""COMPUTED_VALUE"""),805.0)</f>
        <v>805</v>
      </c>
      <c r="G14702" s="4">
        <f>IFERROR(__xludf.DUMMYFUNCTION("""COMPUTED_VALUE"""),33.0)</f>
        <v>33</v>
      </c>
      <c r="H14702" s="4"/>
      <c r="I14702" s="4"/>
    </row>
    <row r="14703">
      <c r="A14703" s="4" t="str">
        <f>IFERROR(__xludf.DUMMYFUNCTION("""COMPUTED_VALUE"""),"cas_hmw")</f>
        <v>cas_hmw</v>
      </c>
      <c r="B14703" s="5">
        <f>IFERROR(__xludf.DUMMYFUNCTION("""COMPUTED_VALUE"""),44726.0)</f>
        <v>44726</v>
      </c>
      <c r="C14703" s="6">
        <f>IFERROR(__xludf.DUMMYFUNCTION("""COMPUTED_VALUE"""),0.7001736111124046)</f>
        <v>0.7001736111</v>
      </c>
      <c r="D14703" s="4">
        <f>IFERROR(__xludf.DUMMYFUNCTION("""COMPUTED_VALUE"""),12.83114)</f>
        <v>12.83114</v>
      </c>
      <c r="E14703" s="4">
        <f>IFERROR(__xludf.DUMMYFUNCTION("""COMPUTED_VALUE"""),80.046414)</f>
        <v>80.046414</v>
      </c>
      <c r="F14703" s="4">
        <f>IFERROR(__xludf.DUMMYFUNCTION("""COMPUTED_VALUE"""),2846.0)</f>
        <v>2846</v>
      </c>
      <c r="G14703" s="4">
        <f>IFERROR(__xludf.DUMMYFUNCTION("""COMPUTED_VALUE"""),55.0)</f>
        <v>55</v>
      </c>
      <c r="H14703" s="4"/>
      <c r="I14703" s="4"/>
    </row>
    <row r="14704">
      <c r="A14704" s="4" t="str">
        <f>IFERROR(__xludf.DUMMYFUNCTION("""COMPUTED_VALUE"""),"cas_hmw")</f>
        <v>cas_hmw</v>
      </c>
      <c r="B14704" s="5">
        <f>IFERROR(__xludf.DUMMYFUNCTION("""COMPUTED_VALUE"""),44726.0)</f>
        <v>44726</v>
      </c>
      <c r="C14704" s="6">
        <f>IFERROR(__xludf.DUMMYFUNCTION("""COMPUTED_VALUE"""),0.700300925924239)</f>
        <v>0.7003009259</v>
      </c>
      <c r="D14704" s="4">
        <f>IFERROR(__xludf.DUMMYFUNCTION("""COMPUTED_VALUE"""),12.830258)</f>
        <v>12.830258</v>
      </c>
      <c r="E14704" s="4">
        <f>IFERROR(__xludf.DUMMYFUNCTION("""COMPUTED_VALUE"""),80.045436)</f>
        <v>80.045436</v>
      </c>
      <c r="F14704" s="4">
        <f>IFERROR(__xludf.DUMMYFUNCTION("""COMPUTED_VALUE"""),2846.0)</f>
        <v>2846</v>
      </c>
      <c r="G14704" s="4">
        <f>IFERROR(__xludf.DUMMYFUNCTION("""COMPUTED_VALUE"""),48.0)</f>
        <v>48</v>
      </c>
      <c r="H14704" s="4"/>
      <c r="I14704" s="4"/>
    </row>
    <row r="14705">
      <c r="A14705" s="4" t="str">
        <f>IFERROR(__xludf.DUMMYFUNCTION("""COMPUTED_VALUE"""),"cas_hmw")</f>
        <v>cas_hmw</v>
      </c>
      <c r="B14705" s="5">
        <f>IFERROR(__xludf.DUMMYFUNCTION("""COMPUTED_VALUE"""),44726.0)</f>
        <v>44726</v>
      </c>
      <c r="C14705" s="6">
        <f>IFERROR(__xludf.DUMMYFUNCTION("""COMPUTED_VALUE"""),0.7003935185202863)</f>
        <v>0.7003935185</v>
      </c>
      <c r="D14705" s="4">
        <f>IFERROR(__xludf.DUMMYFUNCTION("""COMPUTED_VALUE"""),12.933973)</f>
        <v>12.933973</v>
      </c>
      <c r="E14705" s="4">
        <f>IFERROR(__xludf.DUMMYFUNCTION("""COMPUTED_VALUE"""),80.125027)</f>
        <v>80.125027</v>
      </c>
      <c r="F14705" s="4">
        <f>IFERROR(__xludf.DUMMYFUNCTION("""COMPUTED_VALUE"""),805.0)</f>
        <v>805</v>
      </c>
      <c r="G14705" s="4">
        <f>IFERROR(__xludf.DUMMYFUNCTION("""COMPUTED_VALUE"""),36.0)</f>
        <v>36</v>
      </c>
      <c r="H14705" s="4"/>
      <c r="I14705" s="4"/>
    </row>
    <row r="14706">
      <c r="A14706" s="4" t="str">
        <f>IFERROR(__xludf.DUMMYFUNCTION("""COMPUTED_VALUE"""),"cas_hmw")</f>
        <v>cas_hmw</v>
      </c>
      <c r="B14706" s="5">
        <f>IFERROR(__xludf.DUMMYFUNCTION("""COMPUTED_VALUE"""),44726.0)</f>
        <v>44726</v>
      </c>
      <c r="C14706" s="6">
        <f>IFERROR(__xludf.DUMMYFUNCTION("""COMPUTED_VALUE"""),0.7004166666665697)</f>
        <v>0.7004166667</v>
      </c>
      <c r="D14706" s="4">
        <f>IFERROR(__xludf.DUMMYFUNCTION("""COMPUTED_VALUE"""),12.933973)</f>
        <v>12.933973</v>
      </c>
      <c r="E14706" s="4">
        <f>IFERROR(__xludf.DUMMYFUNCTION("""COMPUTED_VALUE"""),80.125027)</f>
        <v>80.125027</v>
      </c>
      <c r="F14706" s="4">
        <f>IFERROR(__xludf.DUMMYFUNCTION("""COMPUTED_VALUE"""),805.0)</f>
        <v>805</v>
      </c>
      <c r="G14706" s="4">
        <f>IFERROR(__xludf.DUMMYFUNCTION("""COMPUTED_VALUE"""),36.0)</f>
        <v>36</v>
      </c>
      <c r="H14706" s="4"/>
      <c r="I14706" s="4"/>
    </row>
    <row r="14707">
      <c r="A14707" s="4" t="str">
        <f>IFERROR(__xludf.DUMMYFUNCTION("""COMPUTED_VALUE"""),"cas_hmw")</f>
        <v>cas_hmw</v>
      </c>
      <c r="B14707" s="5">
        <f>IFERROR(__xludf.DUMMYFUNCTION("""COMPUTED_VALUE"""),44726.0)</f>
        <v>44726</v>
      </c>
      <c r="C14707" s="6">
        <f>IFERROR(__xludf.DUMMYFUNCTION("""COMPUTED_VALUE"""),0.7004166666665697)</f>
        <v>0.7004166667</v>
      </c>
      <c r="D14707" s="4">
        <f>IFERROR(__xludf.DUMMYFUNCTION("""COMPUTED_VALUE"""),12.933973)</f>
        <v>12.933973</v>
      </c>
      <c r="E14707" s="4">
        <f>IFERROR(__xludf.DUMMYFUNCTION("""COMPUTED_VALUE"""),80.125027)</f>
        <v>80.125027</v>
      </c>
      <c r="F14707" s="4">
        <f>IFERROR(__xludf.DUMMYFUNCTION("""COMPUTED_VALUE"""),805.0)</f>
        <v>805</v>
      </c>
      <c r="G14707" s="4">
        <f>IFERROR(__xludf.DUMMYFUNCTION("""COMPUTED_VALUE"""),36.0)</f>
        <v>36</v>
      </c>
      <c r="H14707" s="4"/>
      <c r="I14707" s="4"/>
    </row>
    <row r="14708">
      <c r="A14708" s="4" t="str">
        <f>IFERROR(__xludf.DUMMYFUNCTION("""COMPUTED_VALUE"""),"cas_hmw")</f>
        <v>cas_hmw</v>
      </c>
      <c r="B14708" s="5">
        <f>IFERROR(__xludf.DUMMYFUNCTION("""COMPUTED_VALUE"""),44726.0)</f>
        <v>44726</v>
      </c>
      <c r="C14708" s="6">
        <f>IFERROR(__xludf.DUMMYFUNCTION("""COMPUTED_VALUE"""),0.7005671296283253)</f>
        <v>0.7005671296</v>
      </c>
      <c r="D14708" s="4">
        <f>IFERROR(__xludf.DUMMYFUNCTION("""COMPUTED_VALUE"""),12.934826)</f>
        <v>12.934826</v>
      </c>
      <c r="E14708" s="4">
        <f>IFERROR(__xludf.DUMMYFUNCTION("""COMPUTED_VALUE"""),80.125811)</f>
        <v>80.125811</v>
      </c>
      <c r="F14708" s="4">
        <f>IFERROR(__xludf.DUMMYFUNCTION("""COMPUTED_VALUE"""),805.0)</f>
        <v>805</v>
      </c>
      <c r="G14708" s="4">
        <f>IFERROR(__xludf.DUMMYFUNCTION("""COMPUTED_VALUE"""),28.0)</f>
        <v>28</v>
      </c>
      <c r="H14708" s="4"/>
      <c r="I14708" s="4"/>
    </row>
    <row r="14709">
      <c r="A14709" s="4" t="str">
        <f>IFERROR(__xludf.DUMMYFUNCTION("""COMPUTED_VALUE"""),"cas_hmw")</f>
        <v>cas_hmw</v>
      </c>
      <c r="B14709" s="5">
        <f>IFERROR(__xludf.DUMMYFUNCTION("""COMPUTED_VALUE"""),44726.0)</f>
        <v>44726</v>
      </c>
      <c r="C14709" s="6">
        <f>IFERROR(__xludf.DUMMYFUNCTION("""COMPUTED_VALUE"""),0.7007638888899237)</f>
        <v>0.7007638889</v>
      </c>
      <c r="D14709" s="4">
        <f>IFERROR(__xludf.DUMMYFUNCTION("""COMPUTED_VALUE"""),12.935837)</f>
        <v>12.935837</v>
      </c>
      <c r="E14709" s="4">
        <f>IFERROR(__xludf.DUMMYFUNCTION("""COMPUTED_VALUE"""),80.126655)</f>
        <v>80.126655</v>
      </c>
      <c r="F14709" s="4">
        <f>IFERROR(__xludf.DUMMYFUNCTION("""COMPUTED_VALUE"""),805.0)</f>
        <v>805</v>
      </c>
      <c r="G14709" s="4">
        <f>IFERROR(__xludf.DUMMYFUNCTION("""COMPUTED_VALUE"""),32.0)</f>
        <v>32</v>
      </c>
      <c r="H14709" s="4"/>
      <c r="I14709" s="4"/>
    </row>
    <row r="14710">
      <c r="A14710" s="4" t="str">
        <f>IFERROR(__xludf.DUMMYFUNCTION("""COMPUTED_VALUE"""),"cas_hmw")</f>
        <v>cas_hmw</v>
      </c>
      <c r="B14710" s="5">
        <f>IFERROR(__xludf.DUMMYFUNCTION("""COMPUTED_VALUE"""),44726.0)</f>
        <v>44726</v>
      </c>
      <c r="C14710" s="6">
        <f>IFERROR(__xludf.DUMMYFUNCTION("""COMPUTED_VALUE"""),0.7007986111093487)</f>
        <v>0.7007986111</v>
      </c>
      <c r="D14710" s="4">
        <f>IFERROR(__xludf.DUMMYFUNCTION("""COMPUTED_VALUE"""),12.936969)</f>
        <v>12.936969</v>
      </c>
      <c r="E14710" s="4">
        <f>IFERROR(__xludf.DUMMYFUNCTION("""COMPUTED_VALUE"""),80.127695)</f>
        <v>80.127695</v>
      </c>
      <c r="F14710" s="4">
        <f>IFERROR(__xludf.DUMMYFUNCTION("""COMPUTED_VALUE"""),805.0)</f>
        <v>805</v>
      </c>
      <c r="G14710" s="4">
        <f>IFERROR(__xludf.DUMMYFUNCTION("""COMPUTED_VALUE"""),43.0)</f>
        <v>43</v>
      </c>
      <c r="H14710" s="4"/>
      <c r="I14710" s="4"/>
    </row>
    <row r="14711">
      <c r="A14711" s="4" t="str">
        <f>IFERROR(__xludf.DUMMYFUNCTION("""COMPUTED_VALUE"""),"cas_hmw")</f>
        <v>cas_hmw</v>
      </c>
      <c r="B14711" s="5">
        <f>IFERROR(__xludf.DUMMYFUNCTION("""COMPUTED_VALUE"""),44726.0)</f>
        <v>44726</v>
      </c>
      <c r="C14711" s="6">
        <f>IFERROR(__xludf.DUMMYFUNCTION("""COMPUTED_VALUE"""),0.7010763888902147)</f>
        <v>0.7010763889</v>
      </c>
      <c r="D14711" s="4">
        <f>IFERROR(__xludf.DUMMYFUNCTION("""COMPUTED_VALUE"""),12.938251)</f>
        <v>12.938251</v>
      </c>
      <c r="E14711" s="4">
        <f>IFERROR(__xludf.DUMMYFUNCTION("""COMPUTED_VALUE"""),80.128879)</f>
        <v>80.128879</v>
      </c>
      <c r="F14711" s="4">
        <f>IFERROR(__xludf.DUMMYFUNCTION("""COMPUTED_VALUE"""),805.0)</f>
        <v>805</v>
      </c>
      <c r="G14711" s="4">
        <f>IFERROR(__xludf.DUMMYFUNCTION("""COMPUTED_VALUE"""),50.0)</f>
        <v>50</v>
      </c>
      <c r="H14711" s="4"/>
      <c r="I14711" s="4"/>
    </row>
    <row r="14712">
      <c r="A14712" s="4" t="str">
        <f>IFERROR(__xludf.DUMMYFUNCTION("""COMPUTED_VALUE"""),"cas_hmw")</f>
        <v>cas_hmw</v>
      </c>
      <c r="B14712" s="5">
        <f>IFERROR(__xludf.DUMMYFUNCTION("""COMPUTED_VALUE"""),44726.0)</f>
        <v>44726</v>
      </c>
      <c r="C14712" s="6">
        <f>IFERROR(__xludf.DUMMYFUNCTION("""COMPUTED_VALUE"""),0.7011458333327028)</f>
        <v>0.7011458333</v>
      </c>
      <c r="D14712" s="4">
        <f>IFERROR(__xludf.DUMMYFUNCTION("""COMPUTED_VALUE"""),12.938251)</f>
        <v>12.938251</v>
      </c>
      <c r="E14712" s="4">
        <f>IFERROR(__xludf.DUMMYFUNCTION("""COMPUTED_VALUE"""),80.128879)</f>
        <v>80.128879</v>
      </c>
      <c r="F14712" s="4">
        <f>IFERROR(__xludf.DUMMYFUNCTION("""COMPUTED_VALUE"""),805.0)</f>
        <v>805</v>
      </c>
      <c r="G14712" s="4">
        <f>IFERROR(__xludf.DUMMYFUNCTION("""COMPUTED_VALUE"""),50.0)</f>
        <v>50</v>
      </c>
      <c r="H14712" s="4"/>
      <c r="I14712" s="4"/>
    </row>
    <row r="14713">
      <c r="A14713" s="4" t="str">
        <f>IFERROR(__xludf.DUMMYFUNCTION("""COMPUTED_VALUE"""),"cas_hmw")</f>
        <v>cas_hmw</v>
      </c>
      <c r="B14713" s="5">
        <f>IFERROR(__xludf.DUMMYFUNCTION("""COMPUTED_VALUE"""),44726.0)</f>
        <v>44726</v>
      </c>
      <c r="C14713" s="6">
        <f>IFERROR(__xludf.DUMMYFUNCTION("""COMPUTED_VALUE"""),0.7012847222213168)</f>
        <v>0.7012847222</v>
      </c>
      <c r="D14713" s="4">
        <f>IFERROR(__xludf.DUMMYFUNCTION("""COMPUTED_VALUE"""),12.820733)</f>
        <v>12.820733</v>
      </c>
      <c r="E14713" s="4">
        <f>IFERROR(__xludf.DUMMYFUNCTION("""COMPUTED_VALUE"""),80.037306)</f>
        <v>80.037306</v>
      </c>
      <c r="F14713" s="4">
        <f>IFERROR(__xludf.DUMMYFUNCTION("""COMPUTED_VALUE"""),2846.0)</f>
        <v>2846</v>
      </c>
      <c r="G14713" s="4">
        <f>IFERROR(__xludf.DUMMYFUNCTION("""COMPUTED_VALUE"""),46.0)</f>
        <v>46</v>
      </c>
      <c r="H14713" s="4"/>
      <c r="I14713" s="4"/>
    </row>
    <row r="14714">
      <c r="A14714" s="4" t="str">
        <f>IFERROR(__xludf.DUMMYFUNCTION("""COMPUTED_VALUE"""),"cas_hmw")</f>
        <v>cas_hmw</v>
      </c>
      <c r="B14714" s="5">
        <f>IFERROR(__xludf.DUMMYFUNCTION("""COMPUTED_VALUE"""),44726.0)</f>
        <v>44726</v>
      </c>
      <c r="C14714" s="6">
        <f>IFERROR(__xludf.DUMMYFUNCTION("""COMPUTED_VALUE"""),0.7013310185175214)</f>
        <v>0.7013310185</v>
      </c>
      <c r="D14714" s="4">
        <f>IFERROR(__xludf.DUMMYFUNCTION("""COMPUTED_VALUE"""),12.820733)</f>
        <v>12.820733</v>
      </c>
      <c r="E14714" s="4">
        <f>IFERROR(__xludf.DUMMYFUNCTION("""COMPUTED_VALUE"""),80.037306)</f>
        <v>80.037306</v>
      </c>
      <c r="F14714" s="4">
        <f>IFERROR(__xludf.DUMMYFUNCTION("""COMPUTED_VALUE"""),2846.0)</f>
        <v>2846</v>
      </c>
      <c r="G14714" s="4">
        <f>IFERROR(__xludf.DUMMYFUNCTION("""COMPUTED_VALUE"""),46.0)</f>
        <v>46</v>
      </c>
      <c r="H14714" s="4"/>
      <c r="I14714" s="4"/>
    </row>
    <row r="14715">
      <c r="A14715" s="4" t="str">
        <f>IFERROR(__xludf.DUMMYFUNCTION("""COMPUTED_VALUE"""),"cas_hmw")</f>
        <v>cas_hmw</v>
      </c>
      <c r="B14715" s="5">
        <f>IFERROR(__xludf.DUMMYFUNCTION("""COMPUTED_VALUE"""),44726.0)</f>
        <v>44726</v>
      </c>
      <c r="C14715" s="6">
        <f>IFERROR(__xludf.DUMMYFUNCTION("""COMPUTED_VALUE"""),0.7021180555566389)</f>
        <v>0.7021180556</v>
      </c>
      <c r="D14715" s="4">
        <f>IFERROR(__xludf.DUMMYFUNCTION("""COMPUTED_VALUE"""),12.943733)</f>
        <v>12.943733</v>
      </c>
      <c r="E14715" s="4">
        <f>IFERROR(__xludf.DUMMYFUNCTION("""COMPUTED_VALUE"""),80.134254)</f>
        <v>80.134254</v>
      </c>
      <c r="F14715" s="4">
        <f>IFERROR(__xludf.DUMMYFUNCTION("""COMPUTED_VALUE"""),805.0)</f>
        <v>805</v>
      </c>
      <c r="G14715" s="4">
        <f>IFERROR(__xludf.DUMMYFUNCTION("""COMPUTED_VALUE"""),43.0)</f>
        <v>43</v>
      </c>
      <c r="H14715" s="4"/>
      <c r="I14715" s="4"/>
    </row>
    <row r="14716">
      <c r="A14716" s="4" t="str">
        <f>IFERROR(__xludf.DUMMYFUNCTION("""COMPUTED_VALUE"""),"cas_hmw")</f>
        <v>cas_hmw</v>
      </c>
      <c r="B14716" s="5">
        <f>IFERROR(__xludf.DUMMYFUNCTION("""COMPUTED_VALUE"""),44726.0)</f>
        <v>44726</v>
      </c>
      <c r="C14716" s="6">
        <f>IFERROR(__xludf.DUMMYFUNCTION("""COMPUTED_VALUE"""),0.7022222222221899)</f>
        <v>0.7022222222</v>
      </c>
      <c r="D14716" s="4">
        <f>IFERROR(__xludf.DUMMYFUNCTION("""COMPUTED_VALUE"""),12.943733)</f>
        <v>12.943733</v>
      </c>
      <c r="E14716" s="4">
        <f>IFERROR(__xludf.DUMMYFUNCTION("""COMPUTED_VALUE"""),80.134254)</f>
        <v>80.134254</v>
      </c>
      <c r="F14716" s="4">
        <f>IFERROR(__xludf.DUMMYFUNCTION("""COMPUTED_VALUE"""),805.0)</f>
        <v>805</v>
      </c>
      <c r="G14716" s="4">
        <f>IFERROR(__xludf.DUMMYFUNCTION("""COMPUTED_VALUE"""),43.0)</f>
        <v>43</v>
      </c>
      <c r="H14716" s="4"/>
      <c r="I14716" s="4"/>
    </row>
    <row r="14717">
      <c r="A14717" s="4" t="str">
        <f>IFERROR(__xludf.DUMMYFUNCTION("""COMPUTED_VALUE"""),"cas_hmw")</f>
        <v>cas_hmw</v>
      </c>
      <c r="B14717" s="5">
        <f>IFERROR(__xludf.DUMMYFUNCTION("""COMPUTED_VALUE"""),44726.0)</f>
        <v>44726</v>
      </c>
      <c r="C14717" s="6">
        <f>IFERROR(__xludf.DUMMYFUNCTION("""COMPUTED_VALUE"""),0.7022453703721112)</f>
        <v>0.7022453704</v>
      </c>
      <c r="D14717" s="4">
        <f>IFERROR(__xludf.DUMMYFUNCTION("""COMPUTED_VALUE"""),12.943733)</f>
        <v>12.943733</v>
      </c>
      <c r="E14717" s="4">
        <f>IFERROR(__xludf.DUMMYFUNCTION("""COMPUTED_VALUE"""),80.134254)</f>
        <v>80.134254</v>
      </c>
      <c r="F14717" s="4">
        <f>IFERROR(__xludf.DUMMYFUNCTION("""COMPUTED_VALUE"""),805.0)</f>
        <v>805</v>
      </c>
      <c r="G14717" s="4">
        <f>IFERROR(__xludf.DUMMYFUNCTION("""COMPUTED_VALUE"""),43.0)</f>
        <v>43</v>
      </c>
      <c r="H14717" s="4"/>
      <c r="I14717" s="4"/>
    </row>
    <row r="14718">
      <c r="A14718" s="4" t="str">
        <f>IFERROR(__xludf.DUMMYFUNCTION("""COMPUTED_VALUE"""),"cas_hmw")</f>
        <v>cas_hmw</v>
      </c>
      <c r="B14718" s="5">
        <f>IFERROR(__xludf.DUMMYFUNCTION("""COMPUTED_VALUE"""),44726.0)</f>
        <v>44726</v>
      </c>
      <c r="C14718" s="6">
        <f>IFERROR(__xludf.DUMMYFUNCTION("""COMPUTED_VALUE"""),0.7028935185189766)</f>
        <v>0.7028935185</v>
      </c>
      <c r="D14718" s="4">
        <f>IFERROR(__xludf.DUMMYFUNCTION("""COMPUTED_VALUE"""),12.94992)</f>
        <v>12.94992</v>
      </c>
      <c r="E14718" s="4">
        <f>IFERROR(__xludf.DUMMYFUNCTION("""COMPUTED_VALUE"""),80.138978)</f>
        <v>80.138978</v>
      </c>
      <c r="F14718" s="4">
        <f>IFERROR(__xludf.DUMMYFUNCTION("""COMPUTED_VALUE"""),805.0)</f>
        <v>805</v>
      </c>
      <c r="G14718" s="4">
        <f>IFERROR(__xludf.DUMMYFUNCTION("""COMPUTED_VALUE"""),44.0)</f>
        <v>44</v>
      </c>
      <c r="H14718" s="4"/>
      <c r="I14718" s="4"/>
    </row>
    <row r="14719">
      <c r="A14719" s="4" t="str">
        <f>IFERROR(__xludf.DUMMYFUNCTION("""COMPUTED_VALUE"""),"cas_hmw")</f>
        <v>cas_hmw</v>
      </c>
      <c r="B14719" s="5">
        <f>IFERROR(__xludf.DUMMYFUNCTION("""COMPUTED_VALUE"""),44726.0)</f>
        <v>44726</v>
      </c>
      <c r="C14719" s="6">
        <f>IFERROR(__xludf.DUMMYFUNCTION("""COMPUTED_VALUE"""),0.7031481481499213)</f>
        <v>0.7031481481</v>
      </c>
      <c r="D14719" s="4">
        <f>IFERROR(__xludf.DUMMYFUNCTION("""COMPUTED_VALUE"""),12.950897)</f>
        <v>12.950897</v>
      </c>
      <c r="E14719" s="4">
        <f>IFERROR(__xludf.DUMMYFUNCTION("""COMPUTED_VALUE"""),80.139742)</f>
        <v>80.139742</v>
      </c>
      <c r="F14719" s="4">
        <f>IFERROR(__xludf.DUMMYFUNCTION("""COMPUTED_VALUE"""),805.0)</f>
        <v>805</v>
      </c>
      <c r="G14719" s="4">
        <f>IFERROR(__xludf.DUMMYFUNCTION("""COMPUTED_VALUE"""),29.0)</f>
        <v>29</v>
      </c>
      <c r="H14719" s="4"/>
      <c r="I14719" s="4"/>
    </row>
    <row r="14720">
      <c r="A14720" s="4" t="str">
        <f>IFERROR(__xludf.DUMMYFUNCTION("""COMPUTED_VALUE"""),"cas_hmw")</f>
        <v>cas_hmw</v>
      </c>
      <c r="B14720" s="5">
        <f>IFERROR(__xludf.DUMMYFUNCTION("""COMPUTED_VALUE"""),44726.0)</f>
        <v>44726</v>
      </c>
      <c r="C14720" s="6">
        <f>IFERROR(__xludf.DUMMYFUNCTION("""COMPUTED_VALUE"""),0.7032407407423307)</f>
        <v>0.7032407407</v>
      </c>
      <c r="D14720" s="4">
        <f>IFERROR(__xludf.DUMMYFUNCTION("""COMPUTED_VALUE"""),12.952006)</f>
        <v>12.952006</v>
      </c>
      <c r="E14720" s="4">
        <f>IFERROR(__xludf.DUMMYFUNCTION("""COMPUTED_VALUE"""),80.140609)</f>
        <v>80.140609</v>
      </c>
      <c r="F14720" s="4">
        <f>IFERROR(__xludf.DUMMYFUNCTION("""COMPUTED_VALUE"""),805.0)</f>
        <v>805</v>
      </c>
      <c r="G14720" s="4">
        <f>IFERROR(__xludf.DUMMYFUNCTION("""COMPUTED_VALUE"""),36.0)</f>
        <v>36</v>
      </c>
      <c r="H14720" s="4"/>
      <c r="I14720" s="4"/>
    </row>
    <row r="14721">
      <c r="A14721" s="4" t="str">
        <f>IFERROR(__xludf.DUMMYFUNCTION("""COMPUTED_VALUE"""),"cas_hmw")</f>
        <v>cas_hmw</v>
      </c>
      <c r="B14721" s="5">
        <f>IFERROR(__xludf.DUMMYFUNCTION("""COMPUTED_VALUE"""),44726.0)</f>
        <v>44726</v>
      </c>
      <c r="C14721" s="6">
        <f>IFERROR(__xludf.DUMMYFUNCTION("""COMPUTED_VALUE"""),0.7042361111125501)</f>
        <v>0.7042361111</v>
      </c>
      <c r="D14721" s="4">
        <f>IFERROR(__xludf.DUMMYFUNCTION("""COMPUTED_VALUE"""),12.956649)</f>
        <v>12.956649</v>
      </c>
      <c r="E14721" s="4">
        <f>IFERROR(__xludf.DUMMYFUNCTION("""COMPUTED_VALUE"""),80.143284)</f>
        <v>80.143284</v>
      </c>
      <c r="F14721" s="4">
        <f>IFERROR(__xludf.DUMMYFUNCTION("""COMPUTED_VALUE"""),805.0)</f>
        <v>805</v>
      </c>
      <c r="G14721" s="4">
        <f>IFERROR(__xludf.DUMMYFUNCTION("""COMPUTED_VALUE"""),33.0)</f>
        <v>33</v>
      </c>
      <c r="H14721" s="4"/>
      <c r="I14721" s="4"/>
    </row>
    <row r="14722">
      <c r="A14722" s="4" t="str">
        <f>IFERROR(__xludf.DUMMYFUNCTION("""COMPUTED_VALUE"""),"cas_hmw")</f>
        <v>cas_hmw</v>
      </c>
      <c r="B14722" s="5">
        <f>IFERROR(__xludf.DUMMYFUNCTION("""COMPUTED_VALUE"""),44726.0)</f>
        <v>44726</v>
      </c>
      <c r="C14722" s="6">
        <f>IFERROR(__xludf.DUMMYFUNCTION("""COMPUTED_VALUE"""),0.7042361111125501)</f>
        <v>0.7042361111</v>
      </c>
      <c r="D14722" s="4">
        <f>IFERROR(__xludf.DUMMYFUNCTION("""COMPUTED_VALUE"""),12.956649)</f>
        <v>12.956649</v>
      </c>
      <c r="E14722" s="4">
        <f>IFERROR(__xludf.DUMMYFUNCTION("""COMPUTED_VALUE"""),80.143284)</f>
        <v>80.143284</v>
      </c>
      <c r="F14722" s="4">
        <f>IFERROR(__xludf.DUMMYFUNCTION("""COMPUTED_VALUE"""),805.0)</f>
        <v>805</v>
      </c>
      <c r="G14722" s="4">
        <f>IFERROR(__xludf.DUMMYFUNCTION("""COMPUTED_VALUE"""),33.0)</f>
        <v>33</v>
      </c>
      <c r="H14722" s="4"/>
      <c r="I14722" s="4"/>
    </row>
    <row r="14723">
      <c r="A14723" s="4" t="str">
        <f>IFERROR(__xludf.DUMMYFUNCTION("""COMPUTED_VALUE"""),"cas_hmw")</f>
        <v>cas_hmw</v>
      </c>
      <c r="B14723" s="5">
        <f>IFERROR(__xludf.DUMMYFUNCTION("""COMPUTED_VALUE"""),44726.0)</f>
        <v>44726</v>
      </c>
      <c r="C14723" s="6">
        <f>IFERROR(__xludf.DUMMYFUNCTION("""COMPUTED_VALUE"""),0.7042592592588335)</f>
        <v>0.7042592593</v>
      </c>
      <c r="D14723" s="4">
        <f>IFERROR(__xludf.DUMMYFUNCTION("""COMPUTED_VALUE"""),12.956649)</f>
        <v>12.956649</v>
      </c>
      <c r="E14723" s="4">
        <f>IFERROR(__xludf.DUMMYFUNCTION("""COMPUTED_VALUE"""),80.143284)</f>
        <v>80.143284</v>
      </c>
      <c r="F14723" s="4">
        <f>IFERROR(__xludf.DUMMYFUNCTION("""COMPUTED_VALUE"""),805.0)</f>
        <v>805</v>
      </c>
      <c r="G14723" s="4">
        <f>IFERROR(__xludf.DUMMYFUNCTION("""COMPUTED_VALUE"""),33.0)</f>
        <v>33</v>
      </c>
      <c r="H14723" s="4"/>
      <c r="I14723" s="4"/>
    </row>
    <row r="14724">
      <c r="A14724" s="4" t="str">
        <f>IFERROR(__xludf.DUMMYFUNCTION("""COMPUTED_VALUE"""),"cas_hmw")</f>
        <v>cas_hmw</v>
      </c>
      <c r="B14724" s="5">
        <f>IFERROR(__xludf.DUMMYFUNCTION("""COMPUTED_VALUE"""),44726.0)</f>
        <v>44726</v>
      </c>
      <c r="C14724" s="6">
        <f>IFERROR(__xludf.DUMMYFUNCTION("""COMPUTED_VALUE"""),0.7044791666667152)</f>
        <v>0.7044791667</v>
      </c>
      <c r="D14724" s="4">
        <f>IFERROR(__xludf.DUMMYFUNCTION("""COMPUTED_VALUE"""),12.959069)</f>
        <v>12.959069</v>
      </c>
      <c r="E14724" s="4">
        <f>IFERROR(__xludf.DUMMYFUNCTION("""COMPUTED_VALUE"""),80.144446)</f>
        <v>80.144446</v>
      </c>
      <c r="F14724" s="4">
        <f>IFERROR(__xludf.DUMMYFUNCTION("""COMPUTED_VALUE"""),805.0)</f>
        <v>805</v>
      </c>
      <c r="G14724" s="4">
        <f>IFERROR(__xludf.DUMMYFUNCTION("""COMPUTED_VALUE"""),30.0)</f>
        <v>30</v>
      </c>
      <c r="H14724" s="4"/>
      <c r="I14724" s="4"/>
    </row>
    <row r="14725">
      <c r="A14725" s="4" t="str">
        <f>IFERROR(__xludf.DUMMYFUNCTION("""COMPUTED_VALUE"""),"cas_hmw")</f>
        <v>cas_hmw</v>
      </c>
      <c r="B14725" s="5">
        <f>IFERROR(__xludf.DUMMYFUNCTION("""COMPUTED_VALUE"""),44726.0)</f>
        <v>44726</v>
      </c>
      <c r="C14725" s="6">
        <f>IFERROR(__xludf.DUMMYFUNCTION("""COMPUTED_VALUE"""),0.7053356481483206)</f>
        <v>0.7053356481</v>
      </c>
      <c r="D14725" s="4">
        <f>IFERROR(__xludf.DUMMYFUNCTION("""COMPUTED_VALUE"""),12.963785)</f>
        <v>12.963785</v>
      </c>
      <c r="E14725" s="4">
        <f>IFERROR(__xludf.DUMMYFUNCTION("""COMPUTED_VALUE"""),80.147112)</f>
        <v>80.147112</v>
      </c>
      <c r="F14725" s="4">
        <f>IFERROR(__xludf.DUMMYFUNCTION("""COMPUTED_VALUE"""),805.0)</f>
        <v>805</v>
      </c>
      <c r="G14725" s="4">
        <f>IFERROR(__xludf.DUMMYFUNCTION("""COMPUTED_VALUE"""),48.0)</f>
        <v>48</v>
      </c>
      <c r="H14725" s="4"/>
      <c r="I14725" s="4"/>
    </row>
    <row r="14726">
      <c r="A14726" s="4" t="str">
        <f>IFERROR(__xludf.DUMMYFUNCTION("""COMPUTED_VALUE"""),"cas_hmw")</f>
        <v>cas_hmw</v>
      </c>
      <c r="B14726" s="5">
        <f>IFERROR(__xludf.DUMMYFUNCTION("""COMPUTED_VALUE"""),44726.0)</f>
        <v>44726</v>
      </c>
      <c r="C14726" s="6">
        <f>IFERROR(__xludf.DUMMYFUNCTION("""COMPUTED_VALUE"""),0.7054166666675883)</f>
        <v>0.7054166667</v>
      </c>
      <c r="D14726" s="4">
        <f>IFERROR(__xludf.DUMMYFUNCTION("""COMPUTED_VALUE"""),12.963785)</f>
        <v>12.963785</v>
      </c>
      <c r="E14726" s="4">
        <f>IFERROR(__xludf.DUMMYFUNCTION("""COMPUTED_VALUE"""),80.147112)</f>
        <v>80.147112</v>
      </c>
      <c r="F14726" s="4">
        <f>IFERROR(__xludf.DUMMYFUNCTION("""COMPUTED_VALUE"""),805.0)</f>
        <v>805</v>
      </c>
      <c r="G14726" s="4">
        <f>IFERROR(__xludf.DUMMYFUNCTION("""COMPUTED_VALUE"""),48.0)</f>
        <v>48</v>
      </c>
      <c r="H14726" s="4"/>
      <c r="I14726" s="4"/>
    </row>
    <row r="14727">
      <c r="A14727" s="4" t="str">
        <f>IFERROR(__xludf.DUMMYFUNCTION("""COMPUTED_VALUE"""),"cas_hmw")</f>
        <v>cas_hmw</v>
      </c>
      <c r="B14727" s="5">
        <f>IFERROR(__xludf.DUMMYFUNCTION("""COMPUTED_VALUE"""),44726.0)</f>
        <v>44726</v>
      </c>
      <c r="C14727" s="6">
        <f>IFERROR(__xludf.DUMMYFUNCTION("""COMPUTED_VALUE"""),0.7054861111100763)</f>
        <v>0.7054861111</v>
      </c>
      <c r="D14727" s="4">
        <f>IFERROR(__xludf.DUMMYFUNCTION("""COMPUTED_VALUE"""),12.965713)</f>
        <v>12.965713</v>
      </c>
      <c r="E14727" s="4">
        <f>IFERROR(__xludf.DUMMYFUNCTION("""COMPUTED_VALUE"""),80.14824)</f>
        <v>80.14824</v>
      </c>
      <c r="F14727" s="4">
        <f>IFERROR(__xludf.DUMMYFUNCTION("""COMPUTED_VALUE"""),805.0)</f>
        <v>805</v>
      </c>
      <c r="G14727" s="4">
        <f>IFERROR(__xludf.DUMMYFUNCTION("""COMPUTED_VALUE"""),56.0)</f>
        <v>56</v>
      </c>
      <c r="H14727" s="4"/>
      <c r="I14727" s="4"/>
    </row>
    <row r="14728">
      <c r="A14728" s="4" t="str">
        <f>IFERROR(__xludf.DUMMYFUNCTION("""COMPUTED_VALUE"""),"cas_hmw")</f>
        <v>cas_hmw</v>
      </c>
      <c r="B14728" s="5">
        <f>IFERROR(__xludf.DUMMYFUNCTION("""COMPUTED_VALUE"""),44726.0)</f>
        <v>44726</v>
      </c>
      <c r="C14728" s="6">
        <f>IFERROR(__xludf.DUMMYFUNCTION("""COMPUTED_VALUE"""),0.7062847222223354)</f>
        <v>0.7062847222</v>
      </c>
      <c r="D14728" s="4">
        <f>IFERROR(__xludf.DUMMYFUNCTION("""COMPUTED_VALUE"""),12.972845)</f>
        <v>12.972845</v>
      </c>
      <c r="E14728" s="4">
        <f>IFERROR(__xludf.DUMMYFUNCTION("""COMPUTED_VALUE"""),80.152331)</f>
        <v>80.152331</v>
      </c>
      <c r="F14728" s="4">
        <f>IFERROR(__xludf.DUMMYFUNCTION("""COMPUTED_VALUE"""),805.0)</f>
        <v>805</v>
      </c>
      <c r="G14728" s="4">
        <f>IFERROR(__xludf.DUMMYFUNCTION("""COMPUTED_VALUE"""),57.0)</f>
        <v>57</v>
      </c>
      <c r="H14728" s="4"/>
      <c r="I14728" s="4"/>
    </row>
    <row r="14729">
      <c r="A14729" s="4" t="str">
        <f>IFERROR(__xludf.DUMMYFUNCTION("""COMPUTED_VALUE"""),"cas_hmw")</f>
        <v>cas_hmw</v>
      </c>
      <c r="B14729" s="5">
        <f>IFERROR(__xludf.DUMMYFUNCTION("""COMPUTED_VALUE"""),44726.0)</f>
        <v>44726</v>
      </c>
      <c r="C14729" s="6">
        <f>IFERROR(__xludf.DUMMYFUNCTION("""COMPUTED_VALUE"""),0.7066435185188311)</f>
        <v>0.7066435185</v>
      </c>
      <c r="D14729" s="4">
        <f>IFERROR(__xludf.DUMMYFUNCTION("""COMPUTED_VALUE"""),12.975366)</f>
        <v>12.975366</v>
      </c>
      <c r="E14729" s="4">
        <f>IFERROR(__xludf.DUMMYFUNCTION("""COMPUTED_VALUE"""),80.155958)</f>
        <v>80.155958</v>
      </c>
      <c r="F14729" s="4">
        <f>IFERROR(__xludf.DUMMYFUNCTION("""COMPUTED_VALUE"""),805.0)</f>
        <v>805</v>
      </c>
      <c r="G14729" s="4">
        <f>IFERROR(__xludf.DUMMYFUNCTION("""COMPUTED_VALUE"""),34.0)</f>
        <v>34</v>
      </c>
      <c r="H14729" s="4"/>
      <c r="I14729" s="4"/>
    </row>
    <row r="14730">
      <c r="A14730" s="4" t="str">
        <f>IFERROR(__xludf.DUMMYFUNCTION("""COMPUTED_VALUE"""),"cas_hmw")</f>
        <v>cas_hmw</v>
      </c>
      <c r="B14730" s="5">
        <f>IFERROR(__xludf.DUMMYFUNCTION("""COMPUTED_VALUE"""),44726.0)</f>
        <v>44726</v>
      </c>
      <c r="C14730" s="6">
        <f>IFERROR(__xludf.DUMMYFUNCTION("""COMPUTED_VALUE"""),0.7074421296310902)</f>
        <v>0.7074421296</v>
      </c>
      <c r="D14730" s="4">
        <f>IFERROR(__xludf.DUMMYFUNCTION("""COMPUTED_VALUE"""),12.979937)</f>
        <v>12.979937</v>
      </c>
      <c r="E14730" s="4">
        <f>IFERROR(__xludf.DUMMYFUNCTION("""COMPUTED_VALUE"""),80.162831)</f>
        <v>80.162831</v>
      </c>
      <c r="F14730" s="4">
        <f>IFERROR(__xludf.DUMMYFUNCTION("""COMPUTED_VALUE"""),805.0)</f>
        <v>805</v>
      </c>
      <c r="G14730" s="4">
        <f>IFERROR(__xludf.DUMMYFUNCTION("""COMPUTED_VALUE"""),44.0)</f>
        <v>44</v>
      </c>
      <c r="H14730" s="4"/>
      <c r="I14730" s="4"/>
    </row>
    <row r="14731">
      <c r="A14731" s="4" t="str">
        <f>IFERROR(__xludf.DUMMYFUNCTION("""COMPUTED_VALUE"""),"cas_hmw")</f>
        <v>cas_hmw</v>
      </c>
      <c r="B14731" s="5">
        <f>IFERROR(__xludf.DUMMYFUNCTION("""COMPUTED_VALUE"""),44726.0)</f>
        <v>44726</v>
      </c>
      <c r="C14731" s="6">
        <f>IFERROR(__xludf.DUMMYFUNCTION("""COMPUTED_VALUE"""),0.708009259258688)</f>
        <v>0.7080092593</v>
      </c>
      <c r="D14731" s="4">
        <f>IFERROR(__xludf.DUMMYFUNCTION("""COMPUTED_VALUE"""),12.982507)</f>
        <v>12.982507</v>
      </c>
      <c r="E14731" s="4">
        <f>IFERROR(__xludf.DUMMYFUNCTION("""COMPUTED_VALUE"""),80.168383)</f>
        <v>80.168383</v>
      </c>
      <c r="F14731" s="4">
        <f>IFERROR(__xludf.DUMMYFUNCTION("""COMPUTED_VALUE"""),805.0)</f>
        <v>805</v>
      </c>
      <c r="G14731" s="4">
        <f>IFERROR(__xludf.DUMMYFUNCTION("""COMPUTED_VALUE"""),58.0)</f>
        <v>58</v>
      </c>
      <c r="H14731" s="4"/>
      <c r="I14731" s="4"/>
    </row>
    <row r="14732">
      <c r="A14732" s="4" t="str">
        <f>IFERROR(__xludf.DUMMYFUNCTION("""COMPUTED_VALUE"""),"cas_hmw")</f>
        <v>cas_hmw</v>
      </c>
      <c r="B14732" s="5">
        <f>IFERROR(__xludf.DUMMYFUNCTION("""COMPUTED_VALUE"""),44726.0)</f>
        <v>44726</v>
      </c>
      <c r="C14732" s="6">
        <f>IFERROR(__xludf.DUMMYFUNCTION("""COMPUTED_VALUE"""),0.7081712962972233)</f>
        <v>0.7081712963</v>
      </c>
      <c r="D14732" s="4">
        <f>IFERROR(__xludf.DUMMYFUNCTION("""COMPUTED_VALUE"""),12.983649)</f>
        <v>12.983649</v>
      </c>
      <c r="E14732" s="4">
        <f>IFERROR(__xludf.DUMMYFUNCTION("""COMPUTED_VALUE"""),80.170303)</f>
        <v>80.170303</v>
      </c>
      <c r="F14732" s="4">
        <f>IFERROR(__xludf.DUMMYFUNCTION("""COMPUTED_VALUE"""),805.0)</f>
        <v>805</v>
      </c>
      <c r="G14732" s="4">
        <f>IFERROR(__xludf.DUMMYFUNCTION("""COMPUTED_VALUE"""),58.0)</f>
        <v>58</v>
      </c>
      <c r="H14732" s="4"/>
      <c r="I14732" s="4"/>
    </row>
    <row r="14733">
      <c r="A14733" s="4" t="str">
        <f>IFERROR(__xludf.DUMMYFUNCTION("""COMPUTED_VALUE"""),"cas_hmw")</f>
        <v>cas_hmw</v>
      </c>
      <c r="B14733" s="5">
        <f>IFERROR(__xludf.DUMMYFUNCTION("""COMPUTED_VALUE"""),44726.0)</f>
        <v>44726</v>
      </c>
      <c r="C14733" s="6">
        <f>IFERROR(__xludf.DUMMYFUNCTION("""COMPUTED_VALUE"""),0.7088310185172304)</f>
        <v>0.7088310185</v>
      </c>
      <c r="D14733" s="4">
        <f>IFERROR(__xludf.DUMMYFUNCTION("""COMPUTED_VALUE"""),12.985976)</f>
        <v>12.985976</v>
      </c>
      <c r="E14733" s="4">
        <f>IFERROR(__xludf.DUMMYFUNCTION("""COMPUTED_VALUE"""),80.173904)</f>
        <v>80.173904</v>
      </c>
      <c r="F14733" s="4">
        <f>IFERROR(__xludf.DUMMYFUNCTION("""COMPUTED_VALUE"""),805.0)</f>
        <v>805</v>
      </c>
      <c r="G14733" s="4">
        <f>IFERROR(__xludf.DUMMYFUNCTION("""COMPUTED_VALUE"""),0.0)</f>
        <v>0</v>
      </c>
      <c r="H14733" s="4"/>
      <c r="I14733" s="4"/>
    </row>
    <row r="14734">
      <c r="A14734" s="4" t="str">
        <f>IFERROR(__xludf.DUMMYFUNCTION("""COMPUTED_VALUE"""),"cas_hmw")</f>
        <v>cas_hmw</v>
      </c>
      <c r="B14734" s="5">
        <f>IFERROR(__xludf.DUMMYFUNCTION("""COMPUTED_VALUE"""),44726.0)</f>
        <v>44726</v>
      </c>
      <c r="C14734" s="6">
        <f>IFERROR(__xludf.DUMMYFUNCTION("""COMPUTED_VALUE"""),0.7090162037020491)</f>
        <v>0.7090162037</v>
      </c>
      <c r="D14734" s="4">
        <f>IFERROR(__xludf.DUMMYFUNCTION("""COMPUTED_VALUE"""),12.98613)</f>
        <v>12.98613</v>
      </c>
      <c r="E14734" s="4">
        <f>IFERROR(__xludf.DUMMYFUNCTION("""COMPUTED_VALUE"""),80.174122)</f>
        <v>80.174122</v>
      </c>
      <c r="F14734" s="4">
        <f>IFERROR(__xludf.DUMMYFUNCTION("""COMPUTED_VALUE"""),805.0)</f>
        <v>805</v>
      </c>
      <c r="G14734" s="4">
        <f>IFERROR(__xludf.DUMMYFUNCTION("""COMPUTED_VALUE"""),17.0)</f>
        <v>17</v>
      </c>
      <c r="H14734" s="4"/>
      <c r="I14734" s="4"/>
    </row>
    <row r="14735">
      <c r="A14735" s="4" t="str">
        <f>IFERROR(__xludf.DUMMYFUNCTION("""COMPUTED_VALUE"""),"cas_hmw")</f>
        <v>cas_hmw</v>
      </c>
      <c r="B14735" s="5">
        <f>IFERROR(__xludf.DUMMYFUNCTION("""COMPUTED_VALUE"""),44726.0)</f>
        <v>44726</v>
      </c>
      <c r="C14735" s="6">
        <f>IFERROR(__xludf.DUMMYFUNCTION("""COMPUTED_VALUE"""),0.7090277777788287)</f>
        <v>0.7090277778</v>
      </c>
      <c r="D14735" s="4">
        <f>IFERROR(__xludf.DUMMYFUNCTION("""COMPUTED_VALUE"""),12.98613)</f>
        <v>12.98613</v>
      </c>
      <c r="E14735" s="4">
        <f>IFERROR(__xludf.DUMMYFUNCTION("""COMPUTED_VALUE"""),80.174122)</f>
        <v>80.174122</v>
      </c>
      <c r="F14735" s="4">
        <f>IFERROR(__xludf.DUMMYFUNCTION("""COMPUTED_VALUE"""),805.0)</f>
        <v>805</v>
      </c>
      <c r="G14735" s="4">
        <f>IFERROR(__xludf.DUMMYFUNCTION("""COMPUTED_VALUE"""),17.0)</f>
        <v>17</v>
      </c>
      <c r="H14735" s="4"/>
      <c r="I14735" s="4"/>
    </row>
    <row r="14736">
      <c r="A14736" s="4" t="str">
        <f>IFERROR(__xludf.DUMMYFUNCTION("""COMPUTED_VALUE"""),"cas_hmw")</f>
        <v>cas_hmw</v>
      </c>
      <c r="B14736" s="5">
        <f>IFERROR(__xludf.DUMMYFUNCTION("""COMPUTED_VALUE"""),44726.0)</f>
        <v>44726</v>
      </c>
      <c r="C14736" s="6">
        <f>IFERROR(__xludf.DUMMYFUNCTION("""COMPUTED_VALUE"""),0.7090624999982538)</f>
        <v>0.7090625</v>
      </c>
      <c r="D14736" s="4">
        <f>IFERROR(__xludf.DUMMYFUNCTION("""COMPUTED_VALUE"""),12.98613)</f>
        <v>12.98613</v>
      </c>
      <c r="E14736" s="4">
        <f>IFERROR(__xludf.DUMMYFUNCTION("""COMPUTED_VALUE"""),80.174122)</f>
        <v>80.174122</v>
      </c>
      <c r="F14736" s="4">
        <f>IFERROR(__xludf.DUMMYFUNCTION("""COMPUTED_VALUE"""),805.0)</f>
        <v>805</v>
      </c>
      <c r="G14736" s="4">
        <f>IFERROR(__xludf.DUMMYFUNCTION("""COMPUTED_VALUE"""),17.0)</f>
        <v>17</v>
      </c>
      <c r="H14736" s="4"/>
      <c r="I14736" s="4"/>
    </row>
    <row r="14737">
      <c r="A14737" s="4" t="str">
        <f>IFERROR(__xludf.DUMMYFUNCTION("""COMPUTED_VALUE"""),"cas_hmw")</f>
        <v>cas_hmw</v>
      </c>
      <c r="B14737" s="5">
        <f>IFERROR(__xludf.DUMMYFUNCTION("""COMPUTED_VALUE"""),44726.0)</f>
        <v>44726</v>
      </c>
      <c r="C14737" s="6">
        <f>IFERROR(__xludf.DUMMYFUNCTION("""COMPUTED_VALUE"""),0.7093287037023401)</f>
        <v>0.7093287037</v>
      </c>
      <c r="D14737" s="4">
        <f>IFERROR(__xludf.DUMMYFUNCTION("""COMPUTED_VALUE"""),12.986631)</f>
        <v>12.986631</v>
      </c>
      <c r="E14737" s="4">
        <f>IFERROR(__xludf.DUMMYFUNCTION("""COMPUTED_VALUE"""),80.17484)</f>
        <v>80.17484</v>
      </c>
      <c r="F14737" s="4">
        <f>IFERROR(__xludf.DUMMYFUNCTION("""COMPUTED_VALUE"""),805.0)</f>
        <v>805</v>
      </c>
      <c r="G14737" s="4">
        <f>IFERROR(__xludf.DUMMYFUNCTION("""COMPUTED_VALUE"""),15.0)</f>
        <v>15</v>
      </c>
      <c r="H14737" s="4"/>
      <c r="I14737" s="4"/>
    </row>
    <row r="14738">
      <c r="A14738" s="4" t="str">
        <f>IFERROR(__xludf.DUMMYFUNCTION("""COMPUTED_VALUE"""),"cas_hmw")</f>
        <v>cas_hmw</v>
      </c>
      <c r="B14738" s="5">
        <f>IFERROR(__xludf.DUMMYFUNCTION("""COMPUTED_VALUE"""),44726.0)</f>
        <v>44726</v>
      </c>
      <c r="C14738" s="6">
        <f>IFERROR(__xludf.DUMMYFUNCTION("""COMPUTED_VALUE"""),0.7094444444446708)</f>
        <v>0.7094444444</v>
      </c>
      <c r="D14738" s="4">
        <f>IFERROR(__xludf.DUMMYFUNCTION("""COMPUTED_VALUE"""),12.987222)</f>
        <v>12.987222</v>
      </c>
      <c r="E14738" s="4">
        <f>IFERROR(__xludf.DUMMYFUNCTION("""COMPUTED_VALUE"""),80.175708)</f>
        <v>80.175708</v>
      </c>
      <c r="F14738" s="4">
        <f>IFERROR(__xludf.DUMMYFUNCTION("""COMPUTED_VALUE"""),805.0)</f>
        <v>805</v>
      </c>
      <c r="G14738" s="4">
        <f>IFERROR(__xludf.DUMMYFUNCTION("""COMPUTED_VALUE"""),33.0)</f>
        <v>33</v>
      </c>
      <c r="H14738" s="4"/>
      <c r="I14738" s="4"/>
    </row>
    <row r="14739">
      <c r="A14739" s="4" t="str">
        <f>IFERROR(__xludf.DUMMYFUNCTION("""COMPUTED_VALUE"""),"cas_hmw")</f>
        <v>cas_hmw</v>
      </c>
      <c r="B14739" s="5">
        <f>IFERROR(__xludf.DUMMYFUNCTION("""COMPUTED_VALUE"""),44726.0)</f>
        <v>44726</v>
      </c>
      <c r="C14739" s="6">
        <f>IFERROR(__xludf.DUMMYFUNCTION("""COMPUTED_VALUE"""),0.7101041666683159)</f>
        <v>0.7101041667</v>
      </c>
      <c r="D14739" s="4">
        <f>IFERROR(__xludf.DUMMYFUNCTION("""COMPUTED_VALUE"""),12.989424)</f>
        <v>12.989424</v>
      </c>
      <c r="E14739" s="4">
        <f>IFERROR(__xludf.DUMMYFUNCTION("""COMPUTED_VALUE"""),80.178658)</f>
        <v>80.178658</v>
      </c>
      <c r="F14739" s="4">
        <f>IFERROR(__xludf.DUMMYFUNCTION("""COMPUTED_VALUE"""),805.0)</f>
        <v>805</v>
      </c>
      <c r="G14739" s="4">
        <f>IFERROR(__xludf.DUMMYFUNCTION("""COMPUTED_VALUE"""),11.0)</f>
        <v>11</v>
      </c>
      <c r="H14739" s="4"/>
      <c r="I14739" s="4"/>
    </row>
    <row r="14740">
      <c r="A14740" s="4" t="str">
        <f>IFERROR(__xludf.DUMMYFUNCTION("""COMPUTED_VALUE"""),"cas_hmw")</f>
        <v>cas_hmw</v>
      </c>
      <c r="B14740" s="5">
        <f>IFERROR(__xludf.DUMMYFUNCTION("""COMPUTED_VALUE"""),44726.0)</f>
        <v>44726</v>
      </c>
      <c r="C14740" s="6">
        <f>IFERROR(__xludf.DUMMYFUNCTION("""COMPUTED_VALUE"""),0.7105208333341579)</f>
        <v>0.7105208333</v>
      </c>
      <c r="D14740" s="4">
        <f>IFERROR(__xludf.DUMMYFUNCTION("""COMPUTED_VALUE"""),12.990961)</f>
        <v>12.990961</v>
      </c>
      <c r="E14740" s="4">
        <f>IFERROR(__xludf.DUMMYFUNCTION("""COMPUTED_VALUE"""),80.180666)</f>
        <v>80.180666</v>
      </c>
      <c r="F14740" s="4">
        <f>IFERROR(__xludf.DUMMYFUNCTION("""COMPUTED_VALUE"""),805.0)</f>
        <v>805</v>
      </c>
      <c r="G14740" s="4">
        <f>IFERROR(__xludf.DUMMYFUNCTION("""COMPUTED_VALUE"""),41.0)</f>
        <v>41</v>
      </c>
      <c r="H14740" s="4"/>
      <c r="I14740" s="4"/>
    </row>
    <row r="14741">
      <c r="A14741" s="4" t="str">
        <f>IFERROR(__xludf.DUMMYFUNCTION("""COMPUTED_VALUE"""),"cas_hmw")</f>
        <v>cas_hmw</v>
      </c>
      <c r="B14741" s="5">
        <f>IFERROR(__xludf.DUMMYFUNCTION("""COMPUTED_VALUE"""),44726.0)</f>
        <v>44726</v>
      </c>
      <c r="C14741" s="6">
        <f>IFERROR(__xludf.DUMMYFUNCTION("""COMPUTED_VALUE"""),0.7117939814816054)</f>
        <v>0.7117939815</v>
      </c>
      <c r="D14741" s="4">
        <f>IFERROR(__xludf.DUMMYFUNCTION("""COMPUTED_VALUE"""),12.995699)</f>
        <v>12.995699</v>
      </c>
      <c r="E14741" s="4">
        <f>IFERROR(__xludf.DUMMYFUNCTION("""COMPUTED_VALUE"""),80.188766)</f>
        <v>80.188766</v>
      </c>
      <c r="F14741" s="4">
        <f>IFERROR(__xludf.DUMMYFUNCTION("""COMPUTED_VALUE"""),805.0)</f>
        <v>805</v>
      </c>
      <c r="G14741" s="4">
        <f>IFERROR(__xludf.DUMMYFUNCTION("""COMPUTED_VALUE"""),25.0)</f>
        <v>25</v>
      </c>
      <c r="H14741" s="4"/>
      <c r="I14741" s="4"/>
    </row>
    <row r="14742">
      <c r="A14742" s="4" t="str">
        <f>IFERROR(__xludf.DUMMYFUNCTION("""COMPUTED_VALUE"""),"cas_hmw")</f>
        <v>cas_hmw</v>
      </c>
      <c r="B14742" s="5">
        <f>IFERROR(__xludf.DUMMYFUNCTION("""COMPUTED_VALUE"""),44726.0)</f>
        <v>44726</v>
      </c>
      <c r="C14742" s="6">
        <f>IFERROR(__xludf.DUMMYFUNCTION("""COMPUTED_VALUE"""),0.7118402777778101)</f>
        <v>0.7118402778</v>
      </c>
      <c r="D14742" s="4">
        <f>IFERROR(__xludf.DUMMYFUNCTION("""COMPUTED_VALUE"""),12.995699)</f>
        <v>12.995699</v>
      </c>
      <c r="E14742" s="4">
        <f>IFERROR(__xludf.DUMMYFUNCTION("""COMPUTED_VALUE"""),80.188766)</f>
        <v>80.188766</v>
      </c>
      <c r="F14742" s="4">
        <f>IFERROR(__xludf.DUMMYFUNCTION("""COMPUTED_VALUE"""),805.0)</f>
        <v>805</v>
      </c>
      <c r="G14742" s="4">
        <f>IFERROR(__xludf.DUMMYFUNCTION("""COMPUTED_VALUE"""),25.0)</f>
        <v>25</v>
      </c>
      <c r="H14742" s="4"/>
      <c r="I14742" s="4"/>
    </row>
    <row r="14743">
      <c r="A14743" s="4" t="str">
        <f>IFERROR(__xludf.DUMMYFUNCTION("""COMPUTED_VALUE"""),"cas_hmw")</f>
        <v>cas_hmw</v>
      </c>
      <c r="B14743" s="5">
        <f>IFERROR(__xludf.DUMMYFUNCTION("""COMPUTED_VALUE"""),44726.0)</f>
        <v>44726</v>
      </c>
      <c r="C14743" s="6">
        <f>IFERROR(__xludf.DUMMYFUNCTION("""COMPUTED_VALUE"""),0.7135995370372257)</f>
        <v>0.713599537</v>
      </c>
      <c r="D14743" s="4">
        <f>IFERROR(__xludf.DUMMYFUNCTION("""COMPUTED_VALUE"""),12.724184)</f>
        <v>12.724184</v>
      </c>
      <c r="E14743" s="4">
        <f>IFERROR(__xludf.DUMMYFUNCTION("""COMPUTED_VALUE"""),79.981896)</f>
        <v>79.981896</v>
      </c>
      <c r="F14743" s="4">
        <f>IFERROR(__xludf.DUMMYFUNCTION("""COMPUTED_VALUE"""),2846.0)</f>
        <v>2846</v>
      </c>
      <c r="G14743" s="4">
        <f>IFERROR(__xludf.DUMMYFUNCTION("""COMPUTED_VALUE"""),0.0)</f>
        <v>0</v>
      </c>
      <c r="H14743" s="4"/>
      <c r="I14743" s="4"/>
    </row>
    <row r="14744">
      <c r="A14744" s="4" t="str">
        <f>IFERROR(__xludf.DUMMYFUNCTION("""COMPUTED_VALUE"""),"cas_hmw")</f>
        <v>cas_hmw</v>
      </c>
      <c r="B14744" s="5">
        <f>IFERROR(__xludf.DUMMYFUNCTION("""COMPUTED_VALUE"""),44726.0)</f>
        <v>44726</v>
      </c>
      <c r="C14744" s="6">
        <f>IFERROR(__xludf.DUMMYFUNCTION("""COMPUTED_VALUE"""),0.7151041666656965)</f>
        <v>0.7151041667</v>
      </c>
      <c r="D14744" s="4">
        <f>IFERROR(__xludf.DUMMYFUNCTION("""COMPUTED_VALUE"""),12.708911)</f>
        <v>12.708911</v>
      </c>
      <c r="E14744" s="4">
        <f>IFERROR(__xludf.DUMMYFUNCTION("""COMPUTED_VALUE"""),79.97738)</f>
        <v>79.97738</v>
      </c>
      <c r="F14744" s="4">
        <f>IFERROR(__xludf.DUMMYFUNCTION("""COMPUTED_VALUE"""),2846.0)</f>
        <v>2846</v>
      </c>
      <c r="G14744" s="4">
        <f>IFERROR(__xludf.DUMMYFUNCTION("""COMPUTED_VALUE"""),55.0)</f>
        <v>55</v>
      </c>
      <c r="H14744" s="4"/>
      <c r="I14744" s="4"/>
    </row>
    <row r="14745">
      <c r="A14745" s="4" t="str">
        <f>IFERROR(__xludf.DUMMYFUNCTION("""COMPUTED_VALUE"""),"cas_hmw")</f>
        <v>cas_hmw</v>
      </c>
      <c r="B14745" s="5">
        <f>IFERROR(__xludf.DUMMYFUNCTION("""COMPUTED_VALUE"""),44726.0)</f>
        <v>44726</v>
      </c>
      <c r="C14745" s="6">
        <f>IFERROR(__xludf.DUMMYFUNCTION("""COMPUTED_VALUE"""),0.7155902777776646)</f>
        <v>0.7155902778</v>
      </c>
      <c r="D14745" s="4">
        <f>IFERROR(__xludf.DUMMYFUNCTION("""COMPUTED_VALUE"""),13.002085)</f>
        <v>13.002085</v>
      </c>
      <c r="E14745" s="4">
        <f>IFERROR(__xludf.DUMMYFUNCTION("""COMPUTED_VALUE"""),80.196901)</f>
        <v>80.196901</v>
      </c>
      <c r="F14745" s="4">
        <f>IFERROR(__xludf.DUMMYFUNCTION("""COMPUTED_VALUE"""),805.0)</f>
        <v>805</v>
      </c>
      <c r="G14745" s="4">
        <f>IFERROR(__xludf.DUMMYFUNCTION("""COMPUTED_VALUE"""),32.0)</f>
        <v>32</v>
      </c>
      <c r="H14745" s="4"/>
      <c r="I14745" s="4"/>
    </row>
    <row r="14746">
      <c r="A14746" s="4" t="str">
        <f>IFERROR(__xludf.DUMMYFUNCTION("""COMPUTED_VALUE"""),"cas_hmw")</f>
        <v>cas_hmw</v>
      </c>
      <c r="B14746" s="5">
        <f>IFERROR(__xludf.DUMMYFUNCTION("""COMPUTED_VALUE"""),44726.0)</f>
        <v>44726</v>
      </c>
      <c r="C14746" s="6">
        <f>IFERROR(__xludf.DUMMYFUNCTION("""COMPUTED_VALUE"""),0.7162847222207347)</f>
        <v>0.7162847222</v>
      </c>
      <c r="D14746" s="4">
        <f>IFERROR(__xludf.DUMMYFUNCTION("""COMPUTED_VALUE"""),13.005642)</f>
        <v>13.005642</v>
      </c>
      <c r="E14746" s="4">
        <f>IFERROR(__xludf.DUMMYFUNCTION("""COMPUTED_VALUE"""),80.201857)</f>
        <v>80.201857</v>
      </c>
      <c r="F14746" s="4">
        <f>IFERROR(__xludf.DUMMYFUNCTION("""COMPUTED_VALUE"""),805.0)</f>
        <v>805</v>
      </c>
      <c r="G14746" s="4">
        <f>IFERROR(__xludf.DUMMYFUNCTION("""COMPUTED_VALUE"""),46.0)</f>
        <v>46</v>
      </c>
      <c r="H14746" s="4"/>
      <c r="I14746" s="4"/>
    </row>
    <row r="14747">
      <c r="A14747" s="4" t="str">
        <f>IFERROR(__xludf.DUMMYFUNCTION("""COMPUTED_VALUE"""),"cas_hmw")</f>
        <v>cas_hmw</v>
      </c>
      <c r="B14747" s="5">
        <f>IFERROR(__xludf.DUMMYFUNCTION("""COMPUTED_VALUE"""),44726.0)</f>
        <v>44726</v>
      </c>
      <c r="C14747" s="6">
        <f>IFERROR(__xludf.DUMMYFUNCTION("""COMPUTED_VALUE"""),0.7175115740756155)</f>
        <v>0.7175115741</v>
      </c>
      <c r="D14747" s="4">
        <f>IFERROR(__xludf.DUMMYFUNCTION("""COMPUTED_VALUE"""),13.008018)</f>
        <v>13.008018</v>
      </c>
      <c r="E14747" s="4">
        <f>IFERROR(__xludf.DUMMYFUNCTION("""COMPUTED_VALUE"""),80.208231)</f>
        <v>80.208231</v>
      </c>
      <c r="F14747" s="4">
        <f>IFERROR(__xludf.DUMMYFUNCTION("""COMPUTED_VALUE"""),805.0)</f>
        <v>805</v>
      </c>
      <c r="G14747" s="4">
        <f>IFERROR(__xludf.DUMMYFUNCTION("""COMPUTED_VALUE"""),39.0)</f>
        <v>39</v>
      </c>
      <c r="H14747" s="4"/>
      <c r="I14747" s="4"/>
    </row>
    <row r="14748">
      <c r="A14748" s="4" t="str">
        <f>IFERROR(__xludf.DUMMYFUNCTION("""COMPUTED_VALUE"""),"cas_hmw")</f>
        <v>cas_hmw</v>
      </c>
      <c r="B14748" s="5">
        <f>IFERROR(__xludf.DUMMYFUNCTION("""COMPUTED_VALUE"""),44726.0)</f>
        <v>44726</v>
      </c>
      <c r="C14748" s="6">
        <f>IFERROR(__xludf.DUMMYFUNCTION("""COMPUTED_VALUE"""),0.7181134259262762)</f>
        <v>0.7181134259</v>
      </c>
      <c r="D14748" s="4">
        <f>IFERROR(__xludf.DUMMYFUNCTION("""COMPUTED_VALUE"""),13.010175)</f>
        <v>13.010175</v>
      </c>
      <c r="E14748" s="4">
        <f>IFERROR(__xludf.DUMMYFUNCTION("""COMPUTED_VALUE"""),80.215086)</f>
        <v>80.215086</v>
      </c>
      <c r="F14748" s="4">
        <f>IFERROR(__xludf.DUMMYFUNCTION("""COMPUTED_VALUE"""),805.0)</f>
        <v>805</v>
      </c>
      <c r="G14748" s="4">
        <f>IFERROR(__xludf.DUMMYFUNCTION("""COMPUTED_VALUE"""),39.0)</f>
        <v>39</v>
      </c>
      <c r="H14748" s="4"/>
      <c r="I14748" s="4"/>
    </row>
    <row r="14749">
      <c r="A14749" s="4" t="str">
        <f>IFERROR(__xludf.DUMMYFUNCTION("""COMPUTED_VALUE"""),"cas_hmw")</f>
        <v>cas_hmw</v>
      </c>
      <c r="B14749" s="5">
        <f>IFERROR(__xludf.DUMMYFUNCTION("""COMPUTED_VALUE"""),44726.0)</f>
        <v>44726</v>
      </c>
      <c r="C14749" s="6">
        <f>IFERROR(__xludf.DUMMYFUNCTION("""COMPUTED_VALUE"""),0.7184606481496303)</f>
        <v>0.7184606481</v>
      </c>
      <c r="D14749" s="4">
        <f>IFERROR(__xludf.DUMMYFUNCTION("""COMPUTED_VALUE"""),13.011419)</f>
        <v>13.011419</v>
      </c>
      <c r="E14749" s="4">
        <f>IFERROR(__xludf.DUMMYFUNCTION("""COMPUTED_VALUE"""),80.21842)</f>
        <v>80.21842</v>
      </c>
      <c r="F14749" s="4">
        <f>IFERROR(__xludf.DUMMYFUNCTION("""COMPUTED_VALUE"""),805.0)</f>
        <v>805</v>
      </c>
      <c r="G14749" s="4">
        <f>IFERROR(__xludf.DUMMYFUNCTION("""COMPUTED_VALUE"""),43.0)</f>
        <v>43</v>
      </c>
      <c r="H14749" s="4"/>
      <c r="I14749" s="4"/>
    </row>
    <row r="14750">
      <c r="A14750" s="4" t="str">
        <f>IFERROR(__xludf.DUMMYFUNCTION("""COMPUTED_VALUE"""),"cas_hmw")</f>
        <v>cas_hmw</v>
      </c>
      <c r="B14750" s="5">
        <f>IFERROR(__xludf.DUMMYFUNCTION("""COMPUTED_VALUE"""),44726.0)</f>
        <v>44726</v>
      </c>
      <c r="C14750" s="6">
        <f>IFERROR(__xludf.DUMMYFUNCTION("""COMPUTED_VALUE"""),0.7213194444448163)</f>
        <v>0.7213194444</v>
      </c>
      <c r="D14750" s="4">
        <f>IFERROR(__xludf.DUMMYFUNCTION("""COMPUTED_VALUE"""),12.694319)</f>
        <v>12.694319</v>
      </c>
      <c r="E14750" s="4">
        <f>IFERROR(__xludf.DUMMYFUNCTION("""COMPUTED_VALUE"""),79.978608)</f>
        <v>79.978608</v>
      </c>
      <c r="F14750" s="4">
        <f>IFERROR(__xludf.DUMMYFUNCTION("""COMPUTED_VALUE"""),2846.0)</f>
        <v>2846</v>
      </c>
      <c r="G14750" s="4">
        <f>IFERROR(__xludf.DUMMYFUNCTION("""COMPUTED_VALUE"""),23.0)</f>
        <v>23</v>
      </c>
      <c r="H14750" s="4"/>
      <c r="I14750" s="4"/>
    </row>
    <row r="14751">
      <c r="A14751" s="4" t="str">
        <f>IFERROR(__xludf.DUMMYFUNCTION("""COMPUTED_VALUE"""),"cas_hmw")</f>
        <v>cas_hmw</v>
      </c>
      <c r="B14751" s="5">
        <f>IFERROR(__xludf.DUMMYFUNCTION("""COMPUTED_VALUE"""),44726.0)</f>
        <v>44726</v>
      </c>
      <c r="C14751" s="6">
        <f>IFERROR(__xludf.DUMMYFUNCTION("""COMPUTED_VALUE"""),0.7335879629645206)</f>
        <v>0.733587963</v>
      </c>
      <c r="D14751" s="4">
        <f>IFERROR(__xludf.DUMMYFUNCTION("""COMPUTED_VALUE"""),12.644576)</f>
        <v>12.644576</v>
      </c>
      <c r="E14751" s="4">
        <f>IFERROR(__xludf.DUMMYFUNCTION("""COMPUTED_VALUE"""),79.939162)</f>
        <v>79.939162</v>
      </c>
      <c r="F14751" s="4">
        <f>IFERROR(__xludf.DUMMYFUNCTION("""COMPUTED_VALUE"""),2846.0)</f>
        <v>2846</v>
      </c>
      <c r="G14751" s="4">
        <f>IFERROR(__xludf.DUMMYFUNCTION("""COMPUTED_VALUE"""),58.0)</f>
        <v>58</v>
      </c>
      <c r="H14751" s="4"/>
      <c r="I14751" s="4"/>
    </row>
    <row r="14752">
      <c r="A14752" s="4" t="str">
        <f>IFERROR(__xludf.DUMMYFUNCTION("""COMPUTED_VALUE"""),"cas_hmw")</f>
        <v>cas_hmw</v>
      </c>
      <c r="B14752" s="5">
        <f>IFERROR(__xludf.DUMMYFUNCTION("""COMPUTED_VALUE"""),44726.0)</f>
        <v>44726</v>
      </c>
      <c r="C14752" s="6">
        <f>IFERROR(__xludf.DUMMYFUNCTION("""COMPUTED_VALUE"""),0.734131944445835)</f>
        <v>0.7341319444</v>
      </c>
      <c r="D14752" s="4">
        <f>IFERROR(__xludf.DUMMYFUNCTION("""COMPUTED_VALUE"""),12.638725)</f>
        <v>12.638725</v>
      </c>
      <c r="E14752" s="4">
        <f>IFERROR(__xludf.DUMMYFUNCTION("""COMPUTED_VALUE"""),79.935624)</f>
        <v>79.935624</v>
      </c>
      <c r="F14752" s="4">
        <f>IFERROR(__xludf.DUMMYFUNCTION("""COMPUTED_VALUE"""),2846.0)</f>
        <v>2846</v>
      </c>
      <c r="G14752" s="4">
        <f>IFERROR(__xludf.DUMMYFUNCTION("""COMPUTED_VALUE"""),42.0)</f>
        <v>42</v>
      </c>
      <c r="H14752" s="4"/>
      <c r="I14752" s="4"/>
    </row>
    <row r="14753">
      <c r="A14753" s="4" t="str">
        <f>IFERROR(__xludf.DUMMYFUNCTION("""COMPUTED_VALUE"""),"cas_hmw")</f>
        <v>cas_hmw</v>
      </c>
      <c r="B14753" s="5">
        <f>IFERROR(__xludf.DUMMYFUNCTION("""COMPUTED_VALUE"""),44726.0)</f>
        <v>44726</v>
      </c>
      <c r="C14753" s="6">
        <f>IFERROR(__xludf.DUMMYFUNCTION("""COMPUTED_VALUE"""),0.734270833334449)</f>
        <v>0.7342708333</v>
      </c>
      <c r="D14753" s="4">
        <f>IFERROR(__xludf.DUMMYFUNCTION("""COMPUTED_VALUE"""),12.637257)</f>
        <v>12.637257</v>
      </c>
      <c r="E14753" s="4">
        <f>IFERROR(__xludf.DUMMYFUNCTION("""COMPUTED_VALUE"""),79.93468)</f>
        <v>79.93468</v>
      </c>
      <c r="F14753" s="4">
        <f>IFERROR(__xludf.DUMMYFUNCTION("""COMPUTED_VALUE"""),2846.0)</f>
        <v>2846</v>
      </c>
      <c r="G14753" s="4">
        <f>IFERROR(__xludf.DUMMYFUNCTION("""COMPUTED_VALUE"""),45.0)</f>
        <v>45</v>
      </c>
      <c r="H14753" s="4"/>
      <c r="I14753" s="4"/>
    </row>
    <row r="14754">
      <c r="A14754" s="4" t="str">
        <f>IFERROR(__xludf.DUMMYFUNCTION("""COMPUTED_VALUE"""),"cas_hmw")</f>
        <v>cas_hmw</v>
      </c>
      <c r="B14754" s="5">
        <f>IFERROR(__xludf.DUMMYFUNCTION("""COMPUTED_VALUE"""),44726.0)</f>
        <v>44726</v>
      </c>
      <c r="C14754" s="6">
        <f>IFERROR(__xludf.DUMMYFUNCTION("""COMPUTED_VALUE"""),0.7355092592588335)</f>
        <v>0.7355092593</v>
      </c>
      <c r="D14754" s="4">
        <f>IFERROR(__xludf.DUMMYFUNCTION("""COMPUTED_VALUE"""),12.629553)</f>
        <v>12.629553</v>
      </c>
      <c r="E14754" s="4">
        <f>IFERROR(__xludf.DUMMYFUNCTION("""COMPUTED_VALUE"""),79.931038)</f>
        <v>79.931038</v>
      </c>
      <c r="F14754" s="4">
        <f>IFERROR(__xludf.DUMMYFUNCTION("""COMPUTED_VALUE"""),2846.0)</f>
        <v>2846</v>
      </c>
      <c r="G14754" s="4">
        <f>IFERROR(__xludf.DUMMYFUNCTION("""COMPUTED_VALUE"""),0.0)</f>
        <v>0</v>
      </c>
      <c r="H14754" s="4"/>
      <c r="I14754" s="4"/>
    </row>
    <row r="14755">
      <c r="A14755" s="4" t="str">
        <f>IFERROR(__xludf.DUMMYFUNCTION("""COMPUTED_VALUE"""),"cas_hmw")</f>
        <v>cas_hmw</v>
      </c>
      <c r="B14755" s="5">
        <f>IFERROR(__xludf.DUMMYFUNCTION("""COMPUTED_VALUE"""),44726.0)</f>
        <v>44726</v>
      </c>
      <c r="C14755" s="6">
        <f>IFERROR(__xludf.DUMMYFUNCTION("""COMPUTED_VALUE"""),0.7378935185188311)</f>
        <v>0.7378935185</v>
      </c>
      <c r="D14755" s="4">
        <f>IFERROR(__xludf.DUMMYFUNCTION("""COMPUTED_VALUE"""),12.606152)</f>
        <v>12.606152</v>
      </c>
      <c r="E14755" s="4">
        <f>IFERROR(__xludf.DUMMYFUNCTION("""COMPUTED_VALUE"""),79.920946)</f>
        <v>79.920946</v>
      </c>
      <c r="F14755" s="4">
        <f>IFERROR(__xludf.DUMMYFUNCTION("""COMPUTED_VALUE"""),2846.0)</f>
        <v>2846</v>
      </c>
      <c r="G14755" s="4">
        <f>IFERROR(__xludf.DUMMYFUNCTION("""COMPUTED_VALUE"""),0.0)</f>
        <v>0</v>
      </c>
      <c r="H14755" s="4"/>
      <c r="I14755" s="4"/>
    </row>
    <row r="14756">
      <c r="A14756" s="4" t="str">
        <f>IFERROR(__xludf.DUMMYFUNCTION("""COMPUTED_VALUE"""),"cas_hmw")</f>
        <v>cas_hmw</v>
      </c>
      <c r="B14756" s="5">
        <f>IFERROR(__xludf.DUMMYFUNCTION("""COMPUTED_VALUE"""),44726.0)</f>
        <v>44726</v>
      </c>
      <c r="C14756" s="6">
        <f>IFERROR(__xludf.DUMMYFUNCTION("""COMPUTED_VALUE"""),0.7379166666651145)</f>
        <v>0.7379166667</v>
      </c>
      <c r="D14756" s="4">
        <f>IFERROR(__xludf.DUMMYFUNCTION("""COMPUTED_VALUE"""),12.606152)</f>
        <v>12.606152</v>
      </c>
      <c r="E14756" s="4">
        <f>IFERROR(__xludf.DUMMYFUNCTION("""COMPUTED_VALUE"""),79.920946)</f>
        <v>79.920946</v>
      </c>
      <c r="F14756" s="4">
        <f>IFERROR(__xludf.DUMMYFUNCTION("""COMPUTED_VALUE"""),2846.0)</f>
        <v>2846</v>
      </c>
      <c r="G14756" s="4">
        <f>IFERROR(__xludf.DUMMYFUNCTION("""COMPUTED_VALUE"""),0.0)</f>
        <v>0</v>
      </c>
      <c r="H14756" s="4"/>
      <c r="I14756" s="4"/>
    </row>
    <row r="14757">
      <c r="A14757" s="4" t="str">
        <f>IFERROR(__xludf.DUMMYFUNCTION("""COMPUTED_VALUE"""),"cas_hmw")</f>
        <v>cas_hmw</v>
      </c>
      <c r="B14757" s="5">
        <f>IFERROR(__xludf.DUMMYFUNCTION("""COMPUTED_VALUE"""),44726.0)</f>
        <v>44726</v>
      </c>
      <c r="C14757" s="6">
        <f>IFERROR(__xludf.DUMMYFUNCTION("""COMPUTED_VALUE"""),0.7387615740735782)</f>
        <v>0.7387615741</v>
      </c>
      <c r="D14757" s="4">
        <f>IFERROR(__xludf.DUMMYFUNCTION("""COMPUTED_VALUE"""),12.602546)</f>
        <v>12.602546</v>
      </c>
      <c r="E14757" s="4">
        <f>IFERROR(__xludf.DUMMYFUNCTION("""COMPUTED_VALUE"""),79.920244)</f>
        <v>79.920244</v>
      </c>
      <c r="F14757" s="4">
        <f>IFERROR(__xludf.DUMMYFUNCTION("""COMPUTED_VALUE"""),2846.0)</f>
        <v>2846</v>
      </c>
      <c r="G14757" s="4">
        <f>IFERROR(__xludf.DUMMYFUNCTION("""COMPUTED_VALUE"""),23.0)</f>
        <v>23</v>
      </c>
      <c r="H14757" s="4"/>
      <c r="I14757" s="4"/>
    </row>
    <row r="14758">
      <c r="A14758" s="4" t="str">
        <f>IFERROR(__xludf.DUMMYFUNCTION("""COMPUTED_VALUE"""),"cas_hmw")</f>
        <v>cas_hmw</v>
      </c>
      <c r="B14758" s="5">
        <f>IFERROR(__xludf.DUMMYFUNCTION("""COMPUTED_VALUE"""),44726.0)</f>
        <v>44726</v>
      </c>
      <c r="C14758" s="6">
        <f>IFERROR(__xludf.DUMMYFUNCTION("""COMPUTED_VALUE"""),0.7401157407402934)</f>
        <v>0.7401157407</v>
      </c>
      <c r="D14758" s="4">
        <f>IFERROR(__xludf.DUMMYFUNCTION("""COMPUTED_VALUE"""),12.588771)</f>
        <v>12.588771</v>
      </c>
      <c r="E14758" s="4">
        <f>IFERROR(__xludf.DUMMYFUNCTION("""COMPUTED_VALUE"""),79.919382)</f>
        <v>79.919382</v>
      </c>
      <c r="F14758" s="4">
        <f>IFERROR(__xludf.DUMMYFUNCTION("""COMPUTED_VALUE"""),2846.0)</f>
        <v>2846</v>
      </c>
      <c r="G14758" s="4">
        <f>IFERROR(__xludf.DUMMYFUNCTION("""COMPUTED_VALUE"""),57.0)</f>
        <v>57</v>
      </c>
      <c r="H14758" s="4"/>
      <c r="I14758" s="4"/>
    </row>
    <row r="14759">
      <c r="A14759" s="4" t="str">
        <f>IFERROR(__xludf.DUMMYFUNCTION("""COMPUTED_VALUE"""),"cas_hmw")</f>
        <v>cas_hmw</v>
      </c>
      <c r="B14759" s="5">
        <f>IFERROR(__xludf.DUMMYFUNCTION("""COMPUTED_VALUE"""),44726.0)</f>
        <v>44726</v>
      </c>
      <c r="C14759" s="6">
        <f>IFERROR(__xludf.DUMMYFUNCTION("""COMPUTED_VALUE"""),0.7403240740750334)</f>
        <v>0.7403240741</v>
      </c>
      <c r="D14759" s="4">
        <f>IFERROR(__xludf.DUMMYFUNCTION("""COMPUTED_VALUE"""),12.586433)</f>
        <v>12.586433</v>
      </c>
      <c r="E14759" s="4">
        <f>IFERROR(__xludf.DUMMYFUNCTION("""COMPUTED_VALUE"""),79.919454)</f>
        <v>79.919454</v>
      </c>
      <c r="F14759" s="4">
        <f>IFERROR(__xludf.DUMMYFUNCTION("""COMPUTED_VALUE"""),2846.0)</f>
        <v>2846</v>
      </c>
      <c r="G14759" s="4">
        <f>IFERROR(__xludf.DUMMYFUNCTION("""COMPUTED_VALUE"""),57.0)</f>
        <v>57</v>
      </c>
      <c r="H14759" s="4"/>
      <c r="I14759" s="4"/>
    </row>
    <row r="14760">
      <c r="A14760" s="4" t="str">
        <f>IFERROR(__xludf.DUMMYFUNCTION("""COMPUTED_VALUE"""),"cas_hmw")</f>
        <v>cas_hmw</v>
      </c>
      <c r="B14760" s="5">
        <f>IFERROR(__xludf.DUMMYFUNCTION("""COMPUTED_VALUE"""),44726.0)</f>
        <v>44726</v>
      </c>
      <c r="C14760" s="6">
        <f>IFERROR(__xludf.DUMMYFUNCTION("""COMPUTED_VALUE"""),0.7650810185186856)</f>
        <v>0.7650810185</v>
      </c>
      <c r="D14760" s="4">
        <f>IFERROR(__xludf.DUMMYFUNCTION("""COMPUTED_VALUE"""),13.069539)</f>
        <v>13.069539</v>
      </c>
      <c r="E14760" s="4">
        <f>IFERROR(__xludf.DUMMYFUNCTION("""COMPUTED_VALUE"""),80.256986)</f>
        <v>80.256986</v>
      </c>
      <c r="F14760" s="4">
        <f>IFERROR(__xludf.DUMMYFUNCTION("""COMPUTED_VALUE"""),805.0)</f>
        <v>805</v>
      </c>
      <c r="G14760" s="4">
        <f>IFERROR(__xludf.DUMMYFUNCTION("""COMPUTED_VALUE"""),25.0)</f>
        <v>25</v>
      </c>
      <c r="H14760" s="4"/>
      <c r="I14760" s="4"/>
    </row>
    <row r="14761">
      <c r="A14761" s="4" t="str">
        <f>IFERROR(__xludf.DUMMYFUNCTION("""COMPUTED_VALUE"""),"cas_hmw")</f>
        <v>cas_hmw</v>
      </c>
      <c r="B14761" s="5">
        <f>IFERROR(__xludf.DUMMYFUNCTION("""COMPUTED_VALUE"""),44726.0)</f>
        <v>44726</v>
      </c>
      <c r="C14761" s="6">
        <f>IFERROR(__xludf.DUMMYFUNCTION("""COMPUTED_VALUE"""),0.7729629629611736)</f>
        <v>0.772962963</v>
      </c>
      <c r="D14761" s="4">
        <f>IFERROR(__xludf.DUMMYFUNCTION("""COMPUTED_VALUE"""),12.656585)</f>
        <v>12.656585</v>
      </c>
      <c r="E14761" s="4">
        <f>IFERROR(__xludf.DUMMYFUNCTION("""COMPUTED_VALUE"""),79.955216)</f>
        <v>79.955216</v>
      </c>
      <c r="F14761" s="4">
        <f>IFERROR(__xludf.DUMMYFUNCTION("""COMPUTED_VALUE"""),2846.0)</f>
        <v>2846</v>
      </c>
      <c r="G14761" s="4">
        <f>IFERROR(__xludf.DUMMYFUNCTION("""COMPUTED_VALUE"""),38.0)</f>
        <v>38</v>
      </c>
      <c r="H14761" s="4"/>
      <c r="I14761" s="4"/>
    </row>
    <row r="14762">
      <c r="A14762" s="4" t="str">
        <f>IFERROR(__xludf.DUMMYFUNCTION("""COMPUTED_VALUE"""),"cas_hmw")</f>
        <v>cas_hmw</v>
      </c>
      <c r="B14762" s="5">
        <f>IFERROR(__xludf.DUMMYFUNCTION("""COMPUTED_VALUE"""),44726.0)</f>
        <v>44726</v>
      </c>
      <c r="C14762" s="6">
        <f>IFERROR(__xludf.DUMMYFUNCTION("""COMPUTED_VALUE"""),0.7881018518528435)</f>
        <v>0.7881018519</v>
      </c>
      <c r="D14762" s="4">
        <f>IFERROR(__xludf.DUMMYFUNCTION("""COMPUTED_VALUE"""),12.762102)</f>
        <v>12.762102</v>
      </c>
      <c r="E14762" s="4">
        <f>IFERROR(__xludf.DUMMYFUNCTION("""COMPUTED_VALUE"""),80.003713)</f>
        <v>80.003713</v>
      </c>
      <c r="F14762" s="4">
        <f>IFERROR(__xludf.DUMMYFUNCTION("""COMPUTED_VALUE"""),2846.0)</f>
        <v>2846</v>
      </c>
      <c r="G14762" s="4">
        <f>IFERROR(__xludf.DUMMYFUNCTION("""COMPUTED_VALUE"""),40.0)</f>
        <v>40</v>
      </c>
      <c r="H14762" s="4"/>
      <c r="I14762" s="4"/>
    </row>
    <row r="14763">
      <c r="A14763" s="4" t="str">
        <f>IFERROR(__xludf.DUMMYFUNCTION("""COMPUTED_VALUE"""),"cas_hmw")</f>
        <v>cas_hmw</v>
      </c>
      <c r="B14763" s="5">
        <f>IFERROR(__xludf.DUMMYFUNCTION("""COMPUTED_VALUE"""),44726.0)</f>
        <v>44726</v>
      </c>
      <c r="C14763" s="6">
        <f>IFERROR(__xludf.DUMMYFUNCTION("""COMPUTED_VALUE"""),0.7886574074072996)</f>
        <v>0.7886574074</v>
      </c>
      <c r="D14763" s="4">
        <f>IFERROR(__xludf.DUMMYFUNCTION("""COMPUTED_VALUE"""),12.765494)</f>
        <v>12.765494</v>
      </c>
      <c r="E14763" s="4">
        <f>IFERROR(__xludf.DUMMYFUNCTION("""COMPUTED_VALUE"""),80.004966)</f>
        <v>80.004966</v>
      </c>
      <c r="F14763" s="4">
        <f>IFERROR(__xludf.DUMMYFUNCTION("""COMPUTED_VALUE"""),2846.0)</f>
        <v>2846</v>
      </c>
      <c r="G14763" s="4">
        <f>IFERROR(__xludf.DUMMYFUNCTION("""COMPUTED_VALUE"""),34.0)</f>
        <v>34</v>
      </c>
      <c r="H14763" s="4"/>
      <c r="I14763" s="4"/>
    </row>
    <row r="14764">
      <c r="A14764" s="4" t="str">
        <f>IFERROR(__xludf.DUMMYFUNCTION("""COMPUTED_VALUE"""),"cas_hmw")</f>
        <v>cas_hmw</v>
      </c>
      <c r="B14764" s="5">
        <f>IFERROR(__xludf.DUMMYFUNCTION("""COMPUTED_VALUE"""),44726.0)</f>
        <v>44726</v>
      </c>
      <c r="C14764" s="6">
        <f>IFERROR(__xludf.DUMMYFUNCTION("""COMPUTED_VALUE"""),0.7891435185192677)</f>
        <v>0.7891435185</v>
      </c>
      <c r="D14764" s="4">
        <f>IFERROR(__xludf.DUMMYFUNCTION("""COMPUTED_VALUE"""),12.770456)</f>
        <v>12.770456</v>
      </c>
      <c r="E14764" s="4">
        <f>IFERROR(__xludf.DUMMYFUNCTION("""COMPUTED_VALUE"""),80.007318)</f>
        <v>80.007318</v>
      </c>
      <c r="F14764" s="4">
        <f>IFERROR(__xludf.DUMMYFUNCTION("""COMPUTED_VALUE"""),2846.0)</f>
        <v>2846</v>
      </c>
      <c r="G14764" s="4">
        <f>IFERROR(__xludf.DUMMYFUNCTION("""COMPUTED_VALUE"""),41.0)</f>
        <v>41</v>
      </c>
      <c r="H14764" s="4"/>
      <c r="I14764" s="4"/>
    </row>
    <row r="14765">
      <c r="A14765" s="4" t="str">
        <f>IFERROR(__xludf.DUMMYFUNCTION("""COMPUTED_VALUE"""),"cas_hmw")</f>
        <v>cas_hmw</v>
      </c>
      <c r="B14765" s="5">
        <f>IFERROR(__xludf.DUMMYFUNCTION("""COMPUTED_VALUE"""),44726.0)</f>
        <v>44726</v>
      </c>
      <c r="C14765" s="6">
        <f>IFERROR(__xludf.DUMMYFUNCTION("""COMPUTED_VALUE"""),0.7987500000017462)</f>
        <v>0.79875</v>
      </c>
      <c r="D14765" s="4">
        <f>IFERROR(__xludf.DUMMYFUNCTION("""COMPUTED_VALUE"""),12.840616)</f>
        <v>12.840616</v>
      </c>
      <c r="E14765" s="4">
        <f>IFERROR(__xludf.DUMMYFUNCTION("""COMPUTED_VALUE"""),80.056054)</f>
        <v>80.056054</v>
      </c>
      <c r="F14765" s="4">
        <f>IFERROR(__xludf.DUMMYFUNCTION("""COMPUTED_VALUE"""),2846.0)</f>
        <v>2846</v>
      </c>
      <c r="G14765" s="4">
        <f>IFERROR(__xludf.DUMMYFUNCTION("""COMPUTED_VALUE"""),9.0)</f>
        <v>9</v>
      </c>
      <c r="H14765" s="4"/>
      <c r="I14765" s="4"/>
    </row>
    <row r="14766">
      <c r="A14766" s="4" t="str">
        <f>IFERROR(__xludf.DUMMYFUNCTION("""COMPUTED_VALUE"""),"cas_hmw")</f>
        <v>cas_hmw</v>
      </c>
      <c r="B14766" s="5">
        <f>IFERROR(__xludf.DUMMYFUNCTION("""COMPUTED_VALUE"""),44726.0)</f>
        <v>44726</v>
      </c>
      <c r="C14766" s="6">
        <f>IFERROR(__xludf.DUMMYFUNCTION("""COMPUTED_VALUE"""),0.7997569444451074)</f>
        <v>0.7997569444</v>
      </c>
      <c r="D14766" s="4">
        <f>IFERROR(__xludf.DUMMYFUNCTION("""COMPUTED_VALUE"""),12.844866)</f>
        <v>12.844866</v>
      </c>
      <c r="E14766" s="4">
        <f>IFERROR(__xludf.DUMMYFUNCTION("""COMPUTED_VALUE"""),80.060654)</f>
        <v>80.060654</v>
      </c>
      <c r="F14766" s="4">
        <f>IFERROR(__xludf.DUMMYFUNCTION("""COMPUTED_VALUE"""),2846.0)</f>
        <v>2846</v>
      </c>
      <c r="G14766" s="4">
        <f>IFERROR(__xludf.DUMMYFUNCTION("""COMPUTED_VALUE"""),38.0)</f>
        <v>38</v>
      </c>
      <c r="H14766" s="4"/>
      <c r="I14766" s="4"/>
    </row>
    <row r="14767">
      <c r="A14767" s="4" t="str">
        <f>IFERROR(__xludf.DUMMYFUNCTION("""COMPUTED_VALUE"""),"cas_hmw")</f>
        <v>cas_hmw</v>
      </c>
      <c r="B14767" s="5">
        <f>IFERROR(__xludf.DUMMYFUNCTION("""COMPUTED_VALUE"""),44726.0)</f>
        <v>44726</v>
      </c>
      <c r="C14767" s="6">
        <f>IFERROR(__xludf.DUMMYFUNCTION("""COMPUTED_VALUE"""),0.8004976851843821)</f>
        <v>0.8004976852</v>
      </c>
      <c r="D14767" s="4">
        <f>IFERROR(__xludf.DUMMYFUNCTION("""COMPUTED_VALUE"""),12.849314)</f>
        <v>12.849314</v>
      </c>
      <c r="E14767" s="4">
        <f>IFERROR(__xludf.DUMMYFUNCTION("""COMPUTED_VALUE"""),80.064127)</f>
        <v>80.064127</v>
      </c>
      <c r="F14767" s="4">
        <f>IFERROR(__xludf.DUMMYFUNCTION("""COMPUTED_VALUE"""),2846.0)</f>
        <v>2846</v>
      </c>
      <c r="G14767" s="4">
        <f>IFERROR(__xludf.DUMMYFUNCTION("""COMPUTED_VALUE"""),24.0)</f>
        <v>24</v>
      </c>
      <c r="H14767" s="4"/>
      <c r="I14767" s="4"/>
    </row>
    <row r="14768">
      <c r="A14768" s="4" t="str">
        <f>IFERROR(__xludf.DUMMYFUNCTION("""COMPUTED_VALUE"""),"cas_hmw")</f>
        <v>cas_hmw</v>
      </c>
      <c r="B14768" s="5">
        <f>IFERROR(__xludf.DUMMYFUNCTION("""COMPUTED_VALUE"""),44726.0)</f>
        <v>44726</v>
      </c>
      <c r="C14768" s="6">
        <f>IFERROR(__xludf.DUMMYFUNCTION("""COMPUTED_VALUE"""),0.8007986111115315)</f>
        <v>0.8007986111</v>
      </c>
      <c r="D14768" s="4">
        <f>IFERROR(__xludf.DUMMYFUNCTION("""COMPUTED_VALUE"""),12.849681)</f>
        <v>12.849681</v>
      </c>
      <c r="E14768" s="4">
        <f>IFERROR(__xludf.DUMMYFUNCTION("""COMPUTED_VALUE"""),80.064417)</f>
        <v>80.064417</v>
      </c>
      <c r="F14768" s="4">
        <f>IFERROR(__xludf.DUMMYFUNCTION("""COMPUTED_VALUE"""),2846.0)</f>
        <v>2846</v>
      </c>
      <c r="G14768" s="4">
        <f>IFERROR(__xludf.DUMMYFUNCTION("""COMPUTED_VALUE"""),16.0)</f>
        <v>16</v>
      </c>
      <c r="H14768" s="4"/>
      <c r="I14768" s="4"/>
    </row>
    <row r="14769">
      <c r="A14769" s="4" t="str">
        <f>IFERROR(__xludf.DUMMYFUNCTION("""COMPUTED_VALUE"""),"cas_hmw")</f>
        <v>cas_hmw</v>
      </c>
      <c r="B14769" s="5">
        <f>IFERROR(__xludf.DUMMYFUNCTION("""COMPUTED_VALUE"""),44727.0)</f>
        <v>44727</v>
      </c>
      <c r="C14769" s="6">
        <f>IFERROR(__xludf.DUMMYFUNCTION("""COMPUTED_VALUE"""),0.24842592592540313)</f>
        <v>0.2484259259</v>
      </c>
      <c r="D14769" s="4">
        <f>IFERROR(__xludf.DUMMYFUNCTION("""COMPUTED_VALUE"""),12.847738)</f>
        <v>12.847738</v>
      </c>
      <c r="E14769" s="4">
        <f>IFERROR(__xludf.DUMMYFUNCTION("""COMPUTED_VALUE"""),80.063263)</f>
        <v>80.063263</v>
      </c>
      <c r="F14769" s="4">
        <f>IFERROR(__xludf.DUMMYFUNCTION("""COMPUTED_VALUE"""),2846.0)</f>
        <v>2846</v>
      </c>
      <c r="G14769" s="4">
        <f>IFERROR(__xludf.DUMMYFUNCTION("""COMPUTED_VALUE"""),43.0)</f>
        <v>43</v>
      </c>
      <c r="H14769" s="4"/>
      <c r="I14769" s="4"/>
    </row>
    <row r="14770">
      <c r="A14770" s="4" t="str">
        <f>IFERROR(__xludf.DUMMYFUNCTION("""COMPUTED_VALUE"""),"cas_hmw")</f>
        <v>cas_hmw</v>
      </c>
      <c r="B14770" s="5">
        <f>IFERROR(__xludf.DUMMYFUNCTION("""COMPUTED_VALUE"""),44727.0)</f>
        <v>44727</v>
      </c>
      <c r="C14770" s="6">
        <f>IFERROR(__xludf.DUMMYFUNCTION("""COMPUTED_VALUE"""),0.2488773148143082)</f>
        <v>0.2488773148</v>
      </c>
      <c r="D14770" s="4">
        <f>IFERROR(__xludf.DUMMYFUNCTION("""COMPUTED_VALUE"""),12.844104)</f>
        <v>12.844104</v>
      </c>
      <c r="E14770" s="4">
        <f>IFERROR(__xludf.DUMMYFUNCTION("""COMPUTED_VALUE"""),80.060022)</f>
        <v>80.060022</v>
      </c>
      <c r="F14770" s="4">
        <f>IFERROR(__xludf.DUMMYFUNCTION("""COMPUTED_VALUE"""),2846.0)</f>
        <v>2846</v>
      </c>
      <c r="G14770" s="4">
        <f>IFERROR(__xludf.DUMMYFUNCTION("""COMPUTED_VALUE"""),35.0)</f>
        <v>35</v>
      </c>
      <c r="H14770" s="4"/>
      <c r="I14770" s="4"/>
    </row>
    <row r="14771">
      <c r="A14771" s="4" t="str">
        <f>IFERROR(__xludf.DUMMYFUNCTION("""COMPUTED_VALUE"""),"cas_hmw")</f>
        <v>cas_hmw</v>
      </c>
      <c r="B14771" s="5">
        <f>IFERROR(__xludf.DUMMYFUNCTION("""COMPUTED_VALUE"""),44727.0)</f>
        <v>44727</v>
      </c>
      <c r="C14771" s="6">
        <f>IFERROR(__xludf.DUMMYFUNCTION("""COMPUTED_VALUE"""),0.27115740740919136)</f>
        <v>0.2711574074</v>
      </c>
      <c r="D14771" s="4">
        <f>IFERROR(__xludf.DUMMYFUNCTION("""COMPUTED_VALUE"""),12.656679)</f>
        <v>12.656679</v>
      </c>
      <c r="E14771" s="4">
        <f>IFERROR(__xludf.DUMMYFUNCTION("""COMPUTED_VALUE"""),79.949074)</f>
        <v>79.949074</v>
      </c>
      <c r="F14771" s="4">
        <f>IFERROR(__xludf.DUMMYFUNCTION("""COMPUTED_VALUE"""),2846.0)</f>
        <v>2846</v>
      </c>
      <c r="G14771" s="4">
        <f>IFERROR(__xludf.DUMMYFUNCTION("""COMPUTED_VALUE"""),27.0)</f>
        <v>27</v>
      </c>
      <c r="H14771" s="4"/>
      <c r="I14771" s="4"/>
    </row>
    <row r="14772">
      <c r="A14772" s="4" t="str">
        <f>IFERROR(__xludf.DUMMYFUNCTION("""COMPUTED_VALUE"""),"cas_hmw")</f>
        <v>cas_hmw</v>
      </c>
      <c r="B14772" s="5">
        <f>IFERROR(__xludf.DUMMYFUNCTION("""COMPUTED_VALUE"""),44727.0)</f>
        <v>44727</v>
      </c>
      <c r="C14772" s="6">
        <f>IFERROR(__xludf.DUMMYFUNCTION("""COMPUTED_VALUE"""),0.27302083333415794)</f>
        <v>0.2730208333</v>
      </c>
      <c r="D14772" s="4">
        <f>IFERROR(__xludf.DUMMYFUNCTION("""COMPUTED_VALUE"""),12.647226)</f>
        <v>12.647226</v>
      </c>
      <c r="E14772" s="4">
        <f>IFERROR(__xludf.DUMMYFUNCTION("""COMPUTED_VALUE"""),79.940517)</f>
        <v>79.940517</v>
      </c>
      <c r="F14772" s="4">
        <f>IFERROR(__xludf.DUMMYFUNCTION("""COMPUTED_VALUE"""),2846.0)</f>
        <v>2846</v>
      </c>
      <c r="G14772" s="4">
        <f>IFERROR(__xludf.DUMMYFUNCTION("""COMPUTED_VALUE"""),49.0)</f>
        <v>49</v>
      </c>
      <c r="H14772" s="4"/>
      <c r="I14772" s="4"/>
    </row>
    <row r="14773">
      <c r="A14773" s="4" t="str">
        <f>IFERROR(__xludf.DUMMYFUNCTION("""COMPUTED_VALUE"""),"cas_hmw")</f>
        <v>cas_hmw</v>
      </c>
      <c r="B14773" s="5">
        <f>IFERROR(__xludf.DUMMYFUNCTION("""COMPUTED_VALUE"""),44727.0)</f>
        <v>44727</v>
      </c>
      <c r="C14773" s="6">
        <f>IFERROR(__xludf.DUMMYFUNCTION("""COMPUTED_VALUE"""),0.2818287037043774)</f>
        <v>0.2818287037</v>
      </c>
      <c r="D14773" s="4">
        <f>IFERROR(__xludf.DUMMYFUNCTION("""COMPUTED_VALUE"""),12.550463)</f>
        <v>12.550463</v>
      </c>
      <c r="E14773" s="4">
        <f>IFERROR(__xludf.DUMMYFUNCTION("""COMPUTED_VALUE"""),79.906396)</f>
        <v>79.906396</v>
      </c>
      <c r="F14773" s="4">
        <f>IFERROR(__xludf.DUMMYFUNCTION("""COMPUTED_VALUE"""),2846.0)</f>
        <v>2846</v>
      </c>
      <c r="G14773" s="4">
        <f>IFERROR(__xludf.DUMMYFUNCTION("""COMPUTED_VALUE"""),58.0)</f>
        <v>58</v>
      </c>
      <c r="H14773" s="4"/>
      <c r="I14773" s="4"/>
    </row>
    <row r="14774">
      <c r="A14774" s="4" t="str">
        <f>IFERROR(__xludf.DUMMYFUNCTION("""COMPUTED_VALUE"""),"cas_hmw")</f>
        <v>cas_hmw</v>
      </c>
      <c r="B14774" s="5">
        <f>IFERROR(__xludf.DUMMYFUNCTION("""COMPUTED_VALUE"""),44727.0)</f>
        <v>44727</v>
      </c>
      <c r="C14774" s="6">
        <f>IFERROR(__xludf.DUMMYFUNCTION("""COMPUTED_VALUE"""),0.2825694444436522)</f>
        <v>0.2825694444</v>
      </c>
      <c r="D14774" s="4">
        <f>IFERROR(__xludf.DUMMYFUNCTION("""COMPUTED_VALUE"""),12.540277)</f>
        <v>12.540277</v>
      </c>
      <c r="E14774" s="4">
        <f>IFERROR(__xludf.DUMMYFUNCTION("""COMPUTED_VALUE"""),79.904401)</f>
        <v>79.904401</v>
      </c>
      <c r="F14774" s="4">
        <f>IFERROR(__xludf.DUMMYFUNCTION("""COMPUTED_VALUE"""),2846.0)</f>
        <v>2846</v>
      </c>
      <c r="G14774" s="4">
        <f>IFERROR(__xludf.DUMMYFUNCTION("""COMPUTED_VALUE"""),58.0)</f>
        <v>58</v>
      </c>
      <c r="H14774" s="4"/>
      <c r="I14774" s="4"/>
    </row>
    <row r="14775">
      <c r="A14775" s="4" t="str">
        <f>IFERROR(__xludf.DUMMYFUNCTION("""COMPUTED_VALUE"""),"cas_hmw")</f>
        <v>cas_hmw</v>
      </c>
      <c r="B14775" s="5">
        <f>IFERROR(__xludf.DUMMYFUNCTION("""COMPUTED_VALUE"""),44727.0)</f>
        <v>44727</v>
      </c>
      <c r="C14775" s="6">
        <f>IFERROR(__xludf.DUMMYFUNCTION("""COMPUTED_VALUE"""),0.28275462962847087)</f>
        <v>0.2827546296</v>
      </c>
      <c r="D14775" s="4">
        <f>IFERROR(__xludf.DUMMYFUNCTION("""COMPUTED_VALUE"""),12.538072)</f>
        <v>12.538072</v>
      </c>
      <c r="E14775" s="4">
        <f>IFERROR(__xludf.DUMMYFUNCTION("""COMPUTED_VALUE"""),79.903811)</f>
        <v>79.903811</v>
      </c>
      <c r="F14775" s="4">
        <f>IFERROR(__xludf.DUMMYFUNCTION("""COMPUTED_VALUE"""),2846.0)</f>
        <v>2846</v>
      </c>
      <c r="G14775" s="4">
        <f>IFERROR(__xludf.DUMMYFUNCTION("""COMPUTED_VALUE"""),54.0)</f>
        <v>54</v>
      </c>
      <c r="H14775" s="4"/>
      <c r="I14775" s="4"/>
    </row>
    <row r="14776">
      <c r="A14776" s="4" t="str">
        <f>IFERROR(__xludf.DUMMYFUNCTION("""COMPUTED_VALUE"""),"cas_hmw")</f>
        <v>cas_hmw</v>
      </c>
      <c r="B14776" s="5">
        <f>IFERROR(__xludf.DUMMYFUNCTION("""COMPUTED_VALUE"""),44727.0)</f>
        <v>44727</v>
      </c>
      <c r="C14776" s="6">
        <f>IFERROR(__xludf.DUMMYFUNCTION("""COMPUTED_VALUE"""),0.2966898148151813)</f>
        <v>0.2966898148</v>
      </c>
      <c r="D14776" s="4">
        <f>IFERROR(__xludf.DUMMYFUNCTION("""COMPUTED_VALUE"""),13.063692)</f>
        <v>13.063692</v>
      </c>
      <c r="E14776" s="4">
        <f>IFERROR(__xludf.DUMMYFUNCTION("""COMPUTED_VALUE"""),80.243523)</f>
        <v>80.243523</v>
      </c>
      <c r="F14776" s="4">
        <f>IFERROR(__xludf.DUMMYFUNCTION("""COMPUTED_VALUE"""),805.0)</f>
        <v>805</v>
      </c>
      <c r="G14776" s="4">
        <f>IFERROR(__xludf.DUMMYFUNCTION("""COMPUTED_VALUE"""),25.0)</f>
        <v>25</v>
      </c>
      <c r="H14776" s="4"/>
      <c r="I14776" s="4"/>
    </row>
    <row r="14777">
      <c r="A14777" s="4" t="str">
        <f>IFERROR(__xludf.DUMMYFUNCTION("""COMPUTED_VALUE"""),"cas_hmw")</f>
        <v>cas_hmw</v>
      </c>
      <c r="B14777" s="5">
        <f>IFERROR(__xludf.DUMMYFUNCTION("""COMPUTED_VALUE"""),44727.0)</f>
        <v>44727</v>
      </c>
      <c r="C14777" s="6">
        <f>IFERROR(__xludf.DUMMYFUNCTION("""COMPUTED_VALUE"""),0.29715277777722804)</f>
        <v>0.2971527778</v>
      </c>
      <c r="D14777" s="4">
        <f>IFERROR(__xludf.DUMMYFUNCTION("""COMPUTED_VALUE"""),13.066268)</f>
        <v>13.066268</v>
      </c>
      <c r="E14777" s="4">
        <f>IFERROR(__xludf.DUMMYFUNCTION("""COMPUTED_VALUE"""),80.244664)</f>
        <v>80.244664</v>
      </c>
      <c r="F14777" s="4">
        <f>IFERROR(__xludf.DUMMYFUNCTION("""COMPUTED_VALUE"""),805.0)</f>
        <v>805</v>
      </c>
      <c r="G14777" s="4">
        <f>IFERROR(__xludf.DUMMYFUNCTION("""COMPUTED_VALUE"""),39.0)</f>
        <v>39</v>
      </c>
      <c r="H14777" s="4"/>
      <c r="I14777" s="4"/>
    </row>
    <row r="14778">
      <c r="A14778" s="4" t="str">
        <f>IFERROR(__xludf.DUMMYFUNCTION("""COMPUTED_VALUE"""),"cas_hmw")</f>
        <v>cas_hmw</v>
      </c>
      <c r="B14778" s="5">
        <f>IFERROR(__xludf.DUMMYFUNCTION("""COMPUTED_VALUE"""),44727.0)</f>
        <v>44727</v>
      </c>
      <c r="C14778" s="6">
        <f>IFERROR(__xludf.DUMMYFUNCTION("""COMPUTED_VALUE"""),0.2973148148157634)</f>
        <v>0.2973148148</v>
      </c>
      <c r="D14778" s="4">
        <f>IFERROR(__xludf.DUMMYFUNCTION("""COMPUTED_VALUE"""),13.066436)</f>
        <v>13.066436</v>
      </c>
      <c r="E14778" s="4">
        <f>IFERROR(__xludf.DUMMYFUNCTION("""COMPUTED_VALUE"""),80.245633)</f>
        <v>80.245633</v>
      </c>
      <c r="F14778" s="4">
        <f>IFERROR(__xludf.DUMMYFUNCTION("""COMPUTED_VALUE"""),805.0)</f>
        <v>805</v>
      </c>
      <c r="G14778" s="4">
        <f>IFERROR(__xludf.DUMMYFUNCTION("""COMPUTED_VALUE"""),37.0)</f>
        <v>37</v>
      </c>
      <c r="H14778" s="4"/>
      <c r="I14778" s="4"/>
    </row>
    <row r="14779">
      <c r="A14779" s="4" t="str">
        <f>IFERROR(__xludf.DUMMYFUNCTION("""COMPUTED_VALUE"""),"cas_hmw")</f>
        <v>cas_hmw</v>
      </c>
      <c r="B14779" s="5">
        <f>IFERROR(__xludf.DUMMYFUNCTION("""COMPUTED_VALUE"""),44727.0)</f>
        <v>44727</v>
      </c>
      <c r="C14779" s="6">
        <f>IFERROR(__xludf.DUMMYFUNCTION("""COMPUTED_VALUE"""),0.2993749999986903)</f>
        <v>0.299375</v>
      </c>
      <c r="D14779" s="4">
        <f>IFERROR(__xludf.DUMMYFUNCTION("""COMPUTED_VALUE"""),13.068148)</f>
        <v>13.068148</v>
      </c>
      <c r="E14779" s="4">
        <f>IFERROR(__xludf.DUMMYFUNCTION("""COMPUTED_VALUE"""),80.252558)</f>
        <v>80.252558</v>
      </c>
      <c r="F14779" s="4">
        <f>IFERROR(__xludf.DUMMYFUNCTION("""COMPUTED_VALUE"""),805.0)</f>
        <v>805</v>
      </c>
      <c r="G14779" s="4">
        <f>IFERROR(__xludf.DUMMYFUNCTION("""COMPUTED_VALUE"""),39.0)</f>
        <v>39</v>
      </c>
      <c r="H14779" s="4"/>
      <c r="I14779" s="4"/>
    </row>
    <row r="14780">
      <c r="A14780" s="4" t="str">
        <f>IFERROR(__xludf.DUMMYFUNCTION("""COMPUTED_VALUE"""),"cas_hmw")</f>
        <v>cas_hmw</v>
      </c>
      <c r="B14780" s="5">
        <f>IFERROR(__xludf.DUMMYFUNCTION("""COMPUTED_VALUE"""),44727.0)</f>
        <v>44727</v>
      </c>
      <c r="C14780" s="6">
        <f>IFERROR(__xludf.DUMMYFUNCTION("""COMPUTED_VALUE"""),0.29939814814861165)</f>
        <v>0.2993981481</v>
      </c>
      <c r="D14780" s="4">
        <f>IFERROR(__xludf.DUMMYFUNCTION("""COMPUTED_VALUE"""),13.068148)</f>
        <v>13.068148</v>
      </c>
      <c r="E14780" s="4">
        <f>IFERROR(__xludf.DUMMYFUNCTION("""COMPUTED_VALUE"""),80.252558)</f>
        <v>80.252558</v>
      </c>
      <c r="F14780" s="4">
        <f>IFERROR(__xludf.DUMMYFUNCTION("""COMPUTED_VALUE"""),805.0)</f>
        <v>805</v>
      </c>
      <c r="G14780" s="4">
        <f>IFERROR(__xludf.DUMMYFUNCTION("""COMPUTED_VALUE"""),39.0)</f>
        <v>39</v>
      </c>
      <c r="H14780" s="4"/>
      <c r="I14780" s="4"/>
    </row>
    <row r="14781">
      <c r="A14781" s="4" t="str">
        <f>IFERROR(__xludf.DUMMYFUNCTION("""COMPUTED_VALUE"""),"cas_hmw")</f>
        <v>cas_hmw</v>
      </c>
      <c r="B14781" s="5">
        <f>IFERROR(__xludf.DUMMYFUNCTION("""COMPUTED_VALUE"""),44727.0)</f>
        <v>44727</v>
      </c>
      <c r="C14781" s="6">
        <f>IFERROR(__xludf.DUMMYFUNCTION("""COMPUTED_VALUE"""),0.2994675925910997)</f>
        <v>0.2994675926</v>
      </c>
      <c r="D14781" s="4">
        <f>IFERROR(__xludf.DUMMYFUNCTION("""COMPUTED_VALUE"""),13.068148)</f>
        <v>13.068148</v>
      </c>
      <c r="E14781" s="4">
        <f>IFERROR(__xludf.DUMMYFUNCTION("""COMPUTED_VALUE"""),80.252558)</f>
        <v>80.252558</v>
      </c>
      <c r="F14781" s="4">
        <f>IFERROR(__xludf.DUMMYFUNCTION("""COMPUTED_VALUE"""),805.0)</f>
        <v>805</v>
      </c>
      <c r="G14781" s="4">
        <f>IFERROR(__xludf.DUMMYFUNCTION("""COMPUTED_VALUE"""),39.0)</f>
        <v>39</v>
      </c>
      <c r="H14781" s="4"/>
      <c r="I14781" s="4"/>
    </row>
    <row r="14782">
      <c r="A14782" s="4" t="str">
        <f>IFERROR(__xludf.DUMMYFUNCTION("""COMPUTED_VALUE"""),"cas_hmw")</f>
        <v>cas_hmw</v>
      </c>
      <c r="B14782" s="5">
        <f>IFERROR(__xludf.DUMMYFUNCTION("""COMPUTED_VALUE"""),44727.0)</f>
        <v>44727</v>
      </c>
      <c r="C14782" s="6">
        <f>IFERROR(__xludf.DUMMYFUNCTION("""COMPUTED_VALUE"""),0.3009722222232085)</f>
        <v>0.3009722222</v>
      </c>
      <c r="D14782" s="4">
        <f>IFERROR(__xludf.DUMMYFUNCTION("""COMPUTED_VALUE"""),13.072958)</f>
        <v>13.072958</v>
      </c>
      <c r="E14782" s="4">
        <f>IFERROR(__xludf.DUMMYFUNCTION("""COMPUTED_VALUE"""),80.261614)</f>
        <v>80.261614</v>
      </c>
      <c r="F14782" s="4">
        <f>IFERROR(__xludf.DUMMYFUNCTION("""COMPUTED_VALUE"""),805.0)</f>
        <v>805</v>
      </c>
      <c r="G14782" s="4">
        <f>IFERROR(__xludf.DUMMYFUNCTION("""COMPUTED_VALUE"""),26.0)</f>
        <v>26</v>
      </c>
      <c r="H14782" s="4"/>
      <c r="I14782" s="4"/>
    </row>
    <row r="14783">
      <c r="A14783" s="4" t="str">
        <f>IFERROR(__xludf.DUMMYFUNCTION("""COMPUTED_VALUE"""),"cas_hmw")</f>
        <v>cas_hmw</v>
      </c>
      <c r="B14783" s="5">
        <f>IFERROR(__xludf.DUMMYFUNCTION("""COMPUTED_VALUE"""),44727.0)</f>
        <v>44727</v>
      </c>
      <c r="C14783" s="6">
        <f>IFERROR(__xludf.DUMMYFUNCTION("""COMPUTED_VALUE"""),0.3009837962963502)</f>
        <v>0.3009837963</v>
      </c>
      <c r="D14783" s="4">
        <f>IFERROR(__xludf.DUMMYFUNCTION("""COMPUTED_VALUE"""),13.072958)</f>
        <v>13.072958</v>
      </c>
      <c r="E14783" s="4">
        <f>IFERROR(__xludf.DUMMYFUNCTION("""COMPUTED_VALUE"""),80.261614)</f>
        <v>80.261614</v>
      </c>
      <c r="F14783" s="4">
        <f>IFERROR(__xludf.DUMMYFUNCTION("""COMPUTED_VALUE"""),805.0)</f>
        <v>805</v>
      </c>
      <c r="G14783" s="4">
        <f>IFERROR(__xludf.DUMMYFUNCTION("""COMPUTED_VALUE"""),26.0)</f>
        <v>26</v>
      </c>
      <c r="H14783" s="4"/>
      <c r="I14783" s="4"/>
    </row>
    <row r="14784">
      <c r="A14784" s="4" t="str">
        <f>IFERROR(__xludf.DUMMYFUNCTION("""COMPUTED_VALUE"""),"cas_hmw")</f>
        <v>cas_hmw</v>
      </c>
      <c r="B14784" s="5">
        <f>IFERROR(__xludf.DUMMYFUNCTION("""COMPUTED_VALUE"""),44727.0)</f>
        <v>44727</v>
      </c>
      <c r="C14784" s="6">
        <f>IFERROR(__xludf.DUMMYFUNCTION("""COMPUTED_VALUE"""),0.3019560185202863)</f>
        <v>0.3019560185</v>
      </c>
      <c r="D14784" s="4">
        <f>IFERROR(__xludf.DUMMYFUNCTION("""COMPUTED_VALUE"""),13.068271)</f>
        <v>13.068271</v>
      </c>
      <c r="E14784" s="4">
        <f>IFERROR(__xludf.DUMMYFUNCTION("""COMPUTED_VALUE"""),80.270124)</f>
        <v>80.270124</v>
      </c>
      <c r="F14784" s="4">
        <f>IFERROR(__xludf.DUMMYFUNCTION("""COMPUTED_VALUE"""),805.0)</f>
        <v>805</v>
      </c>
      <c r="G14784" s="4">
        <f>IFERROR(__xludf.DUMMYFUNCTION("""COMPUTED_VALUE"""),34.0)</f>
        <v>34</v>
      </c>
      <c r="H14784" s="4"/>
      <c r="I14784" s="4"/>
    </row>
    <row r="14785">
      <c r="A14785" s="4" t="str">
        <f>IFERROR(__xludf.DUMMYFUNCTION("""COMPUTED_VALUE"""),"cas_hmw")</f>
        <v>cas_hmw</v>
      </c>
      <c r="B14785" s="5">
        <f>IFERROR(__xludf.DUMMYFUNCTION("""COMPUTED_VALUE"""),44727.0)</f>
        <v>44727</v>
      </c>
      <c r="C14785" s="6">
        <f>IFERROR(__xludf.DUMMYFUNCTION("""COMPUTED_VALUE"""),0.30197916666656965)</f>
        <v>0.3019791667</v>
      </c>
      <c r="D14785" s="4">
        <f>IFERROR(__xludf.DUMMYFUNCTION("""COMPUTED_VALUE"""),13.068271)</f>
        <v>13.068271</v>
      </c>
      <c r="E14785" s="4">
        <f>IFERROR(__xludf.DUMMYFUNCTION("""COMPUTED_VALUE"""),80.270124)</f>
        <v>80.270124</v>
      </c>
      <c r="F14785" s="4">
        <f>IFERROR(__xludf.DUMMYFUNCTION("""COMPUTED_VALUE"""),805.0)</f>
        <v>805</v>
      </c>
      <c r="G14785" s="4">
        <f>IFERROR(__xludf.DUMMYFUNCTION("""COMPUTED_VALUE"""),34.0)</f>
        <v>34</v>
      </c>
      <c r="H14785" s="4"/>
      <c r="I14785" s="4"/>
    </row>
    <row r="14786">
      <c r="A14786" s="4" t="str">
        <f>IFERROR(__xludf.DUMMYFUNCTION("""COMPUTED_VALUE"""),"cas_hmw")</f>
        <v>cas_hmw</v>
      </c>
      <c r="B14786" s="5">
        <f>IFERROR(__xludf.DUMMYFUNCTION("""COMPUTED_VALUE"""),44727.0)</f>
        <v>44727</v>
      </c>
      <c r="C14786" s="6">
        <f>IFERROR(__xludf.DUMMYFUNCTION("""COMPUTED_VALUE"""),0.3099305555551837)</f>
        <v>0.3099305556</v>
      </c>
      <c r="D14786" s="4">
        <f>IFERROR(__xludf.DUMMYFUNCTION("""COMPUTED_VALUE"""),13.05231)</f>
        <v>13.05231</v>
      </c>
      <c r="E14786" s="4">
        <f>IFERROR(__xludf.DUMMYFUNCTION("""COMPUTED_VALUE"""),80.263854)</f>
        <v>80.263854</v>
      </c>
      <c r="F14786" s="4">
        <f>IFERROR(__xludf.DUMMYFUNCTION("""COMPUTED_VALUE"""),805.0)</f>
        <v>805</v>
      </c>
      <c r="G14786" s="4">
        <f>IFERROR(__xludf.DUMMYFUNCTION("""COMPUTED_VALUE"""),0.0)</f>
        <v>0</v>
      </c>
      <c r="H14786" s="4"/>
      <c r="I14786" s="4"/>
    </row>
    <row r="14787">
      <c r="A14787" s="4" t="str">
        <f>IFERROR(__xludf.DUMMYFUNCTION("""COMPUTED_VALUE"""),"cas_hmw")</f>
        <v>cas_hmw</v>
      </c>
      <c r="B14787" s="5">
        <f>IFERROR(__xludf.DUMMYFUNCTION("""COMPUTED_VALUE"""),44727.0)</f>
        <v>44727</v>
      </c>
      <c r="C14787" s="6">
        <f>IFERROR(__xludf.DUMMYFUNCTION("""COMPUTED_VALUE"""),0.31008101851693937)</f>
        <v>0.3100810185</v>
      </c>
      <c r="D14787" s="4">
        <f>IFERROR(__xludf.DUMMYFUNCTION("""COMPUTED_VALUE"""),13.051363)</f>
        <v>13.051363</v>
      </c>
      <c r="E14787" s="4">
        <f>IFERROR(__xludf.DUMMYFUNCTION("""COMPUTED_VALUE"""),80.264083)</f>
        <v>80.264083</v>
      </c>
      <c r="F14787" s="4">
        <f>IFERROR(__xludf.DUMMYFUNCTION("""COMPUTED_VALUE"""),805.0)</f>
        <v>805</v>
      </c>
      <c r="G14787" s="4">
        <f>IFERROR(__xludf.DUMMYFUNCTION("""COMPUTED_VALUE"""),38.0)</f>
        <v>38</v>
      </c>
      <c r="H14787" s="4"/>
      <c r="I14787" s="4"/>
    </row>
    <row r="14788">
      <c r="A14788" s="4" t="str">
        <f>IFERROR(__xludf.DUMMYFUNCTION("""COMPUTED_VALUE"""),"cas_hmw")</f>
        <v>cas_hmw</v>
      </c>
      <c r="B14788" s="5">
        <f>IFERROR(__xludf.DUMMYFUNCTION("""COMPUTED_VALUE"""),44727.0)</f>
        <v>44727</v>
      </c>
      <c r="C14788" s="6">
        <f>IFERROR(__xludf.DUMMYFUNCTION("""COMPUTED_VALUE"""),0.31018518518612836)</f>
        <v>0.3101851852</v>
      </c>
      <c r="D14788" s="4">
        <f>IFERROR(__xludf.DUMMYFUNCTION("""COMPUTED_VALUE"""),13.049315)</f>
        <v>13.049315</v>
      </c>
      <c r="E14788" s="4">
        <f>IFERROR(__xludf.DUMMYFUNCTION("""COMPUTED_VALUE"""),80.264217)</f>
        <v>80.264217</v>
      </c>
      <c r="F14788" s="4">
        <f>IFERROR(__xludf.DUMMYFUNCTION("""COMPUTED_VALUE"""),805.0)</f>
        <v>805</v>
      </c>
      <c r="G14788" s="4">
        <f>IFERROR(__xludf.DUMMYFUNCTION("""COMPUTED_VALUE"""),37.0)</f>
        <v>37</v>
      </c>
      <c r="H14788" s="4"/>
      <c r="I14788" s="4"/>
    </row>
    <row r="14789">
      <c r="A14789" s="4" t="str">
        <f>IFERROR(__xludf.DUMMYFUNCTION("""COMPUTED_VALUE"""),"cas_hmw")</f>
        <v>cas_hmw</v>
      </c>
      <c r="B14789" s="5">
        <f>IFERROR(__xludf.DUMMYFUNCTION("""COMPUTED_VALUE"""),44727.0)</f>
        <v>44727</v>
      </c>
      <c r="C14789" s="6">
        <f>IFERROR(__xludf.DUMMYFUNCTION("""COMPUTED_VALUE"""),0.3103587962978054)</f>
        <v>0.3103587963</v>
      </c>
      <c r="D14789" s="4">
        <f>IFERROR(__xludf.DUMMYFUNCTION("""COMPUTED_VALUE"""),13.048895)</f>
        <v>13.048895</v>
      </c>
      <c r="E14789" s="4">
        <f>IFERROR(__xludf.DUMMYFUNCTION("""COMPUTED_VALUE"""),80.264993)</f>
        <v>80.264993</v>
      </c>
      <c r="F14789" s="4">
        <f>IFERROR(__xludf.DUMMYFUNCTION("""COMPUTED_VALUE"""),805.0)</f>
        <v>805</v>
      </c>
      <c r="G14789" s="4">
        <f>IFERROR(__xludf.DUMMYFUNCTION("""COMPUTED_VALUE"""),36.0)</f>
        <v>36</v>
      </c>
      <c r="H14789" s="4"/>
      <c r="I14789" s="4"/>
    </row>
    <row r="14790">
      <c r="A14790" s="4" t="str">
        <f>IFERROR(__xludf.DUMMYFUNCTION("""COMPUTED_VALUE"""),"cas_hmw")</f>
        <v>cas_hmw</v>
      </c>
      <c r="B14790" s="5">
        <f>IFERROR(__xludf.DUMMYFUNCTION("""COMPUTED_VALUE"""),44727.0)</f>
        <v>44727</v>
      </c>
      <c r="C14790" s="6">
        <f>IFERROR(__xludf.DUMMYFUNCTION("""COMPUTED_VALUE"""),0.31038194444408873)</f>
        <v>0.3103819444</v>
      </c>
      <c r="D14790" s="4">
        <f>IFERROR(__xludf.DUMMYFUNCTION("""COMPUTED_VALUE"""),13.048895)</f>
        <v>13.048895</v>
      </c>
      <c r="E14790" s="4">
        <f>IFERROR(__xludf.DUMMYFUNCTION("""COMPUTED_VALUE"""),80.264993)</f>
        <v>80.264993</v>
      </c>
      <c r="F14790" s="4">
        <f>IFERROR(__xludf.DUMMYFUNCTION("""COMPUTED_VALUE"""),805.0)</f>
        <v>805</v>
      </c>
      <c r="G14790" s="4">
        <f>IFERROR(__xludf.DUMMYFUNCTION("""COMPUTED_VALUE"""),36.0)</f>
        <v>36</v>
      </c>
      <c r="H14790" s="4"/>
      <c r="I14790" s="4"/>
    </row>
    <row r="14791">
      <c r="A14791" s="4" t="str">
        <f>IFERROR(__xludf.DUMMYFUNCTION("""COMPUTED_VALUE"""),"cas_hmw")</f>
        <v>cas_hmw</v>
      </c>
      <c r="B14791" s="5">
        <f>IFERROR(__xludf.DUMMYFUNCTION("""COMPUTED_VALUE"""),44727.0)</f>
        <v>44727</v>
      </c>
      <c r="C14791" s="6">
        <f>IFERROR(__xludf.DUMMYFUNCTION("""COMPUTED_VALUE"""),0.3109374999985448)</f>
        <v>0.3109375</v>
      </c>
      <c r="D14791" s="4">
        <f>IFERROR(__xludf.DUMMYFUNCTION("""COMPUTED_VALUE"""),13.046723)</f>
        <v>13.046723</v>
      </c>
      <c r="E14791" s="4">
        <f>IFERROR(__xludf.DUMMYFUNCTION("""COMPUTED_VALUE"""),80.266406)</f>
        <v>80.266406</v>
      </c>
      <c r="F14791" s="4">
        <f>IFERROR(__xludf.DUMMYFUNCTION("""COMPUTED_VALUE"""),805.0)</f>
        <v>805</v>
      </c>
      <c r="G14791" s="4">
        <f>IFERROR(__xludf.DUMMYFUNCTION("""COMPUTED_VALUE"""),25.0)</f>
        <v>25</v>
      </c>
      <c r="H14791" s="4"/>
      <c r="I14791" s="4"/>
    </row>
    <row r="14792">
      <c r="A14792" s="4" t="str">
        <f>IFERROR(__xludf.DUMMYFUNCTION("""COMPUTED_VALUE"""),"cas_hmw")</f>
        <v>cas_hmw</v>
      </c>
      <c r="B14792" s="5">
        <f>IFERROR(__xludf.DUMMYFUNCTION("""COMPUTED_VALUE"""),44727.0)</f>
        <v>44727</v>
      </c>
      <c r="C14792" s="6">
        <f>IFERROR(__xludf.DUMMYFUNCTION("""COMPUTED_VALUE"""),0.3112731481487572)</f>
        <v>0.3112731481</v>
      </c>
      <c r="D14792" s="4">
        <f>IFERROR(__xludf.DUMMYFUNCTION("""COMPUTED_VALUE"""),13.045223)</f>
        <v>13.045223</v>
      </c>
      <c r="E14792" s="4">
        <f>IFERROR(__xludf.DUMMYFUNCTION("""COMPUTED_VALUE"""),80.266711)</f>
        <v>80.266711</v>
      </c>
      <c r="F14792" s="4">
        <f>IFERROR(__xludf.DUMMYFUNCTION("""COMPUTED_VALUE"""),805.0)</f>
        <v>805</v>
      </c>
      <c r="G14792" s="4">
        <f>IFERROR(__xludf.DUMMYFUNCTION("""COMPUTED_VALUE"""),26.0)</f>
        <v>26</v>
      </c>
      <c r="H14792" s="4"/>
      <c r="I14792" s="4"/>
    </row>
    <row r="14793">
      <c r="A14793" s="4" t="str">
        <f>IFERROR(__xludf.DUMMYFUNCTION("""COMPUTED_VALUE"""),"cas_hmw")</f>
        <v>cas_hmw</v>
      </c>
      <c r="B14793" s="5">
        <f>IFERROR(__xludf.DUMMYFUNCTION("""COMPUTED_VALUE"""),44727.0)</f>
        <v>44727</v>
      </c>
      <c r="C14793" s="6">
        <f>IFERROR(__xludf.DUMMYFUNCTION("""COMPUTED_VALUE"""),0.3113657407411665)</f>
        <v>0.3113657407</v>
      </c>
      <c r="D14793" s="4">
        <f>IFERROR(__xludf.DUMMYFUNCTION("""COMPUTED_VALUE"""),12.657286)</f>
        <v>12.657286</v>
      </c>
      <c r="E14793" s="4">
        <f>IFERROR(__xludf.DUMMYFUNCTION("""COMPUTED_VALUE"""),79.947875)</f>
        <v>79.947875</v>
      </c>
      <c r="F14793" s="4">
        <f>IFERROR(__xludf.DUMMYFUNCTION("""COMPUTED_VALUE"""),2846.0)</f>
        <v>2846</v>
      </c>
      <c r="G14793" s="4">
        <f>IFERROR(__xludf.DUMMYFUNCTION("""COMPUTED_VALUE"""),34.0)</f>
        <v>34</v>
      </c>
      <c r="H14793" s="4"/>
      <c r="I14793" s="4"/>
    </row>
    <row r="14794">
      <c r="A14794" s="4" t="str">
        <f>IFERROR(__xludf.DUMMYFUNCTION("""COMPUTED_VALUE"""),"cas_hmw")</f>
        <v>cas_hmw</v>
      </c>
      <c r="B14794" s="5">
        <f>IFERROR(__xludf.DUMMYFUNCTION("""COMPUTED_VALUE"""),44727.0)</f>
        <v>44727</v>
      </c>
      <c r="C14794" s="6">
        <f>IFERROR(__xludf.DUMMYFUNCTION("""COMPUTED_VALUE"""),0.3145023148135806)</f>
        <v>0.3145023148</v>
      </c>
      <c r="D14794" s="4">
        <f>IFERROR(__xludf.DUMMYFUNCTION("""COMPUTED_VALUE"""),13.033826)</f>
        <v>13.033826</v>
      </c>
      <c r="E14794" s="4">
        <f>IFERROR(__xludf.DUMMYFUNCTION("""COMPUTED_VALUE"""),80.267932)</f>
        <v>80.267932</v>
      </c>
      <c r="F14794" s="4">
        <f>IFERROR(__xludf.DUMMYFUNCTION("""COMPUTED_VALUE"""),805.0)</f>
        <v>805</v>
      </c>
      <c r="G14794" s="4">
        <f>IFERROR(__xludf.DUMMYFUNCTION("""COMPUTED_VALUE"""),31.0)</f>
        <v>31</v>
      </c>
      <c r="H14794" s="4"/>
      <c r="I14794" s="4"/>
    </row>
    <row r="14795">
      <c r="A14795" s="4" t="str">
        <f>IFERROR(__xludf.DUMMYFUNCTION("""COMPUTED_VALUE"""),"cas_hmw")</f>
        <v>cas_hmw</v>
      </c>
      <c r="B14795" s="5">
        <f>IFERROR(__xludf.DUMMYFUNCTION("""COMPUTED_VALUE"""),44727.0)</f>
        <v>44727</v>
      </c>
      <c r="C14795" s="6">
        <f>IFERROR(__xludf.DUMMYFUNCTION("""COMPUTED_VALUE"""),0.31821759259401006)</f>
        <v>0.3182175926</v>
      </c>
      <c r="D14795" s="4">
        <f>IFERROR(__xludf.DUMMYFUNCTION("""COMPUTED_VALUE"""),12.684625)</f>
        <v>12.684625</v>
      </c>
      <c r="E14795" s="4">
        <f>IFERROR(__xludf.DUMMYFUNCTION("""COMPUTED_VALUE"""),79.983435)</f>
        <v>79.983435</v>
      </c>
      <c r="F14795" s="4">
        <f>IFERROR(__xludf.DUMMYFUNCTION("""COMPUTED_VALUE"""),2846.0)</f>
        <v>2846</v>
      </c>
      <c r="G14795" s="4">
        <f>IFERROR(__xludf.DUMMYFUNCTION("""COMPUTED_VALUE"""),32.0)</f>
        <v>32</v>
      </c>
      <c r="H14795" s="4"/>
      <c r="I14795" s="4"/>
    </row>
    <row r="14796">
      <c r="A14796" s="4" t="str">
        <f>IFERROR(__xludf.DUMMYFUNCTION("""COMPUTED_VALUE"""),"cas_hmw")</f>
        <v>cas_hmw</v>
      </c>
      <c r="B14796" s="5">
        <f>IFERROR(__xludf.DUMMYFUNCTION("""COMPUTED_VALUE"""),44727.0)</f>
        <v>44727</v>
      </c>
      <c r="C14796" s="6">
        <f>IFERROR(__xludf.DUMMYFUNCTION("""COMPUTED_VALUE"""),0.31821759259401006)</f>
        <v>0.3182175926</v>
      </c>
      <c r="D14796" s="4">
        <f>IFERROR(__xludf.DUMMYFUNCTION("""COMPUTED_VALUE"""),13.017584)</f>
        <v>13.017584</v>
      </c>
      <c r="E14796" s="4">
        <f>IFERROR(__xludf.DUMMYFUNCTION("""COMPUTED_VALUE"""),80.260634)</f>
        <v>80.260634</v>
      </c>
      <c r="F14796" s="4">
        <f>IFERROR(__xludf.DUMMYFUNCTION("""COMPUTED_VALUE"""),805.0)</f>
        <v>805</v>
      </c>
      <c r="G14796" s="4">
        <f>IFERROR(__xludf.DUMMYFUNCTION("""COMPUTED_VALUE"""),20.0)</f>
        <v>20</v>
      </c>
      <c r="H14796" s="4"/>
      <c r="I14796" s="4"/>
    </row>
    <row r="14797">
      <c r="A14797" s="4" t="str">
        <f>IFERROR(__xludf.DUMMYFUNCTION("""COMPUTED_VALUE"""),"cas_hmw")</f>
        <v>cas_hmw</v>
      </c>
      <c r="B14797" s="5">
        <f>IFERROR(__xludf.DUMMYFUNCTION("""COMPUTED_VALUE"""),44727.0)</f>
        <v>44727</v>
      </c>
      <c r="C14797" s="6">
        <f>IFERROR(__xludf.DUMMYFUNCTION("""COMPUTED_VALUE"""),0.3188310185178125)</f>
        <v>0.3188310185</v>
      </c>
      <c r="D14797" s="4">
        <f>IFERROR(__xludf.DUMMYFUNCTION("""COMPUTED_VALUE"""),13.013431)</f>
        <v>13.013431</v>
      </c>
      <c r="E14797" s="4">
        <f>IFERROR(__xludf.DUMMYFUNCTION("""COMPUTED_VALUE"""),80.259294)</f>
        <v>80.259294</v>
      </c>
      <c r="F14797" s="4">
        <f>IFERROR(__xludf.DUMMYFUNCTION("""COMPUTED_VALUE"""),805.0)</f>
        <v>805</v>
      </c>
      <c r="G14797" s="4">
        <f>IFERROR(__xludf.DUMMYFUNCTION("""COMPUTED_VALUE"""),49.0)</f>
        <v>49</v>
      </c>
      <c r="H14797" s="4"/>
      <c r="I14797" s="4"/>
    </row>
    <row r="14798">
      <c r="A14798" s="4" t="str">
        <f>IFERROR(__xludf.DUMMYFUNCTION("""COMPUTED_VALUE"""),"cas_hmw")</f>
        <v>cas_hmw</v>
      </c>
      <c r="B14798" s="5">
        <f>IFERROR(__xludf.DUMMYFUNCTION("""COMPUTED_VALUE"""),44727.0)</f>
        <v>44727</v>
      </c>
      <c r="C14798" s="6">
        <f>IFERROR(__xludf.DUMMYFUNCTION("""COMPUTED_VALUE"""),0.3226041666675883)</f>
        <v>0.3226041667</v>
      </c>
      <c r="D14798" s="4">
        <f>IFERROR(__xludf.DUMMYFUNCTION("""COMPUTED_VALUE"""),13.006728)</f>
        <v>13.006728</v>
      </c>
      <c r="E14798" s="4">
        <f>IFERROR(__xludf.DUMMYFUNCTION("""COMPUTED_VALUE"""),80.249457)</f>
        <v>80.249457</v>
      </c>
      <c r="F14798" s="4">
        <f>IFERROR(__xludf.DUMMYFUNCTION("""COMPUTED_VALUE"""),805.0)</f>
        <v>805</v>
      </c>
      <c r="G14798" s="4">
        <f>IFERROR(__xludf.DUMMYFUNCTION("""COMPUTED_VALUE"""),44.0)</f>
        <v>44</v>
      </c>
      <c r="H14798" s="4"/>
      <c r="I14798" s="4"/>
    </row>
    <row r="14799">
      <c r="A14799" s="4" t="str">
        <f>IFERROR(__xludf.DUMMYFUNCTION("""COMPUTED_VALUE"""),"cas_hmw")</f>
        <v>cas_hmw</v>
      </c>
      <c r="B14799" s="5">
        <f>IFERROR(__xludf.DUMMYFUNCTION("""COMPUTED_VALUE"""),44727.0)</f>
        <v>44727</v>
      </c>
      <c r="C14799" s="6">
        <f>IFERROR(__xludf.DUMMYFUNCTION("""COMPUTED_VALUE"""),0.3299537037019036)</f>
        <v>0.3299537037</v>
      </c>
      <c r="D14799" s="4">
        <f>IFERROR(__xludf.DUMMYFUNCTION("""COMPUTED_VALUE"""),13.010624)</f>
        <v>13.010624</v>
      </c>
      <c r="E14799" s="4">
        <f>IFERROR(__xludf.DUMMYFUNCTION("""COMPUTED_VALUE"""),80.225112)</f>
        <v>80.225112</v>
      </c>
      <c r="F14799" s="4">
        <f>IFERROR(__xludf.DUMMYFUNCTION("""COMPUTED_VALUE"""),805.0)</f>
        <v>805</v>
      </c>
      <c r="G14799" s="4">
        <f>IFERROR(__xludf.DUMMYFUNCTION("""COMPUTED_VALUE"""),23.0)</f>
        <v>23</v>
      </c>
      <c r="H14799" s="4"/>
      <c r="I14799" s="4"/>
    </row>
    <row r="14800">
      <c r="A14800" s="4" t="str">
        <f>IFERROR(__xludf.DUMMYFUNCTION("""COMPUTED_VALUE"""),"cas_hmw")</f>
        <v>cas_hmw</v>
      </c>
      <c r="B14800" s="5">
        <f>IFERROR(__xludf.DUMMYFUNCTION("""COMPUTED_VALUE"""),44727.0)</f>
        <v>44727</v>
      </c>
      <c r="C14800" s="6">
        <f>IFERROR(__xludf.DUMMYFUNCTION("""COMPUTED_VALUE"""),0.32996527777868323)</f>
        <v>0.3299652778</v>
      </c>
      <c r="D14800" s="4">
        <f>IFERROR(__xludf.DUMMYFUNCTION("""COMPUTED_VALUE"""),13.010624)</f>
        <v>13.010624</v>
      </c>
      <c r="E14800" s="4">
        <f>IFERROR(__xludf.DUMMYFUNCTION("""COMPUTED_VALUE"""),80.225112)</f>
        <v>80.225112</v>
      </c>
      <c r="F14800" s="4">
        <f>IFERROR(__xludf.DUMMYFUNCTION("""COMPUTED_VALUE"""),805.0)</f>
        <v>805</v>
      </c>
      <c r="G14800" s="4">
        <f>IFERROR(__xludf.DUMMYFUNCTION("""COMPUTED_VALUE"""),23.0)</f>
        <v>23</v>
      </c>
      <c r="H14800" s="4"/>
      <c r="I14800" s="4"/>
    </row>
    <row r="14801">
      <c r="A14801" s="4" t="str">
        <f>IFERROR(__xludf.DUMMYFUNCTION("""COMPUTED_VALUE"""),"cas_hmw")</f>
        <v>cas_hmw</v>
      </c>
      <c r="B14801" s="5">
        <f>IFERROR(__xludf.DUMMYFUNCTION("""COMPUTED_VALUE"""),44727.0)</f>
        <v>44727</v>
      </c>
      <c r="C14801" s="6">
        <f>IFERROR(__xludf.DUMMYFUNCTION("""COMPUTED_VALUE"""),0.3318749999998545)</f>
        <v>0.331875</v>
      </c>
      <c r="D14801" s="4">
        <f>IFERROR(__xludf.DUMMYFUNCTION("""COMPUTED_VALUE"""),12.755093)</f>
        <v>12.755093</v>
      </c>
      <c r="E14801" s="4">
        <f>IFERROR(__xludf.DUMMYFUNCTION("""COMPUTED_VALUE"""),80.001168)</f>
        <v>80.001168</v>
      </c>
      <c r="F14801" s="4">
        <f>IFERROR(__xludf.DUMMYFUNCTION("""COMPUTED_VALUE"""),2846.0)</f>
        <v>2846</v>
      </c>
      <c r="G14801" s="4">
        <f>IFERROR(__xludf.DUMMYFUNCTION("""COMPUTED_VALUE"""),56.0)</f>
        <v>56</v>
      </c>
      <c r="H14801" s="4"/>
      <c r="I14801" s="4"/>
    </row>
    <row r="14802">
      <c r="A14802" s="4" t="str">
        <f>IFERROR(__xludf.DUMMYFUNCTION("""COMPUTED_VALUE"""),"cas_hmw")</f>
        <v>cas_hmw</v>
      </c>
      <c r="B14802" s="5">
        <f>IFERROR(__xludf.DUMMYFUNCTION("""COMPUTED_VALUE"""),44727.0)</f>
        <v>44727</v>
      </c>
      <c r="C14802" s="6">
        <f>IFERROR(__xludf.DUMMYFUNCTION("""COMPUTED_VALUE"""),0.3320601851846732)</f>
        <v>0.3320601852</v>
      </c>
      <c r="D14802" s="4">
        <f>IFERROR(__xludf.DUMMYFUNCTION("""COMPUTED_VALUE"""),12.756334)</f>
        <v>12.756334</v>
      </c>
      <c r="E14802" s="4">
        <f>IFERROR(__xludf.DUMMYFUNCTION("""COMPUTED_VALUE"""),80.001889)</f>
        <v>80.001889</v>
      </c>
      <c r="F14802" s="4">
        <f>IFERROR(__xludf.DUMMYFUNCTION("""COMPUTED_VALUE"""),2846.0)</f>
        <v>2846</v>
      </c>
      <c r="G14802" s="4">
        <f>IFERROR(__xludf.DUMMYFUNCTION("""COMPUTED_VALUE"""),57.0)</f>
        <v>57</v>
      </c>
      <c r="H14802" s="4"/>
      <c r="I14802" s="4"/>
    </row>
    <row r="14803">
      <c r="A14803" s="4" t="str">
        <f>IFERROR(__xludf.DUMMYFUNCTION("""COMPUTED_VALUE"""),"cas_hmw")</f>
        <v>cas_hmw</v>
      </c>
      <c r="B14803" s="5">
        <f>IFERROR(__xludf.DUMMYFUNCTION("""COMPUTED_VALUE"""),44727.0)</f>
        <v>44727</v>
      </c>
      <c r="C14803" s="6">
        <f>IFERROR(__xludf.DUMMYFUNCTION("""COMPUTED_VALUE"""),0.33300925925868796)</f>
        <v>0.3330092593</v>
      </c>
      <c r="D14803" s="4">
        <f>IFERROR(__xludf.DUMMYFUNCTION("""COMPUTED_VALUE"""),12.764009)</f>
        <v>12.764009</v>
      </c>
      <c r="E14803" s="4">
        <f>IFERROR(__xludf.DUMMYFUNCTION("""COMPUTED_VALUE"""),80.004355)</f>
        <v>80.004355</v>
      </c>
      <c r="F14803" s="4">
        <f>IFERROR(__xludf.DUMMYFUNCTION("""COMPUTED_VALUE"""),2846.0)</f>
        <v>2846</v>
      </c>
      <c r="G14803" s="4">
        <f>IFERROR(__xludf.DUMMYFUNCTION("""COMPUTED_VALUE"""),49.0)</f>
        <v>49</v>
      </c>
      <c r="H14803" s="4"/>
      <c r="I14803" s="4"/>
    </row>
    <row r="14804">
      <c r="A14804" s="4" t="str">
        <f>IFERROR(__xludf.DUMMYFUNCTION("""COMPUTED_VALUE"""),"cas_hmw")</f>
        <v>cas_hmw</v>
      </c>
      <c r="B14804" s="5">
        <f>IFERROR(__xludf.DUMMYFUNCTION("""COMPUTED_VALUE"""),44727.0)</f>
        <v>44727</v>
      </c>
      <c r="C14804" s="6">
        <f>IFERROR(__xludf.DUMMYFUNCTION("""COMPUTED_VALUE"""),0.33305555555489263)</f>
        <v>0.3330555556</v>
      </c>
      <c r="D14804" s="4">
        <f>IFERROR(__xludf.DUMMYFUNCTION("""COMPUTED_VALUE"""),12.765158)</f>
        <v>12.765158</v>
      </c>
      <c r="E14804" s="4">
        <f>IFERROR(__xludf.DUMMYFUNCTION("""COMPUTED_VALUE"""),80.00484)</f>
        <v>80.00484</v>
      </c>
      <c r="F14804" s="4">
        <f>IFERROR(__xludf.DUMMYFUNCTION("""COMPUTED_VALUE"""),2846.0)</f>
        <v>2846</v>
      </c>
      <c r="G14804" s="4">
        <f>IFERROR(__xludf.DUMMYFUNCTION("""COMPUTED_VALUE"""),45.0)</f>
        <v>45</v>
      </c>
      <c r="H14804" s="4"/>
      <c r="I14804" s="4"/>
    </row>
    <row r="14805">
      <c r="A14805" s="4" t="str">
        <f>IFERROR(__xludf.DUMMYFUNCTION("""COMPUTED_VALUE"""),"cas_hmw")</f>
        <v>cas_hmw</v>
      </c>
      <c r="B14805" s="5">
        <f>IFERROR(__xludf.DUMMYFUNCTION("""COMPUTED_VALUE"""),44727.0)</f>
        <v>44727</v>
      </c>
      <c r="C14805" s="6">
        <f>IFERROR(__xludf.DUMMYFUNCTION("""COMPUTED_VALUE"""),0.3348379629642295)</f>
        <v>0.334837963</v>
      </c>
      <c r="D14805" s="4">
        <f>IFERROR(__xludf.DUMMYFUNCTION("""COMPUTED_VALUE"""),13.001776)</f>
        <v>13.001776</v>
      </c>
      <c r="E14805" s="4">
        <f>IFERROR(__xludf.DUMMYFUNCTION("""COMPUTED_VALUE"""),80.198774)</f>
        <v>80.198774</v>
      </c>
      <c r="F14805" s="4">
        <f>IFERROR(__xludf.DUMMYFUNCTION("""COMPUTED_VALUE"""),805.0)</f>
        <v>805</v>
      </c>
      <c r="G14805" s="4">
        <f>IFERROR(__xludf.DUMMYFUNCTION("""COMPUTED_VALUE"""),41.0)</f>
        <v>41</v>
      </c>
      <c r="H14805" s="4"/>
      <c r="I14805" s="4"/>
    </row>
    <row r="14806">
      <c r="A14806" s="4" t="str">
        <f>IFERROR(__xludf.DUMMYFUNCTION("""COMPUTED_VALUE"""),"cas_hmw")</f>
        <v>cas_hmw</v>
      </c>
      <c r="B14806" s="5">
        <f>IFERROR(__xludf.DUMMYFUNCTION("""COMPUTED_VALUE"""),44727.0)</f>
        <v>44727</v>
      </c>
      <c r="C14806" s="6">
        <f>IFERROR(__xludf.DUMMYFUNCTION("""COMPUTED_VALUE"""),0.33489583333357587)</f>
        <v>0.3348958333</v>
      </c>
      <c r="D14806" s="4">
        <f>IFERROR(__xludf.DUMMYFUNCTION("""COMPUTED_VALUE"""),13.001776)</f>
        <v>13.001776</v>
      </c>
      <c r="E14806" s="4">
        <f>IFERROR(__xludf.DUMMYFUNCTION("""COMPUTED_VALUE"""),80.198774)</f>
        <v>80.198774</v>
      </c>
      <c r="F14806" s="4">
        <f>IFERROR(__xludf.DUMMYFUNCTION("""COMPUTED_VALUE"""),805.0)</f>
        <v>805</v>
      </c>
      <c r="G14806" s="4">
        <f>IFERROR(__xludf.DUMMYFUNCTION("""COMPUTED_VALUE"""),41.0)</f>
        <v>41</v>
      </c>
      <c r="H14806" s="4"/>
      <c r="I14806" s="4"/>
    </row>
    <row r="14807">
      <c r="A14807" s="4" t="str">
        <f>IFERROR(__xludf.DUMMYFUNCTION("""COMPUTED_VALUE"""),"cas_hmw")</f>
        <v>cas_hmw</v>
      </c>
      <c r="B14807" s="5">
        <f>IFERROR(__xludf.DUMMYFUNCTION("""COMPUTED_VALUE"""),44727.0)</f>
        <v>44727</v>
      </c>
      <c r="C14807" s="6">
        <f>IFERROR(__xludf.DUMMYFUNCTION("""COMPUTED_VALUE"""),0.3350347222221899)</f>
        <v>0.3350347222</v>
      </c>
      <c r="D14807" s="4">
        <f>IFERROR(__xludf.DUMMYFUNCTION("""COMPUTED_VALUE"""),13.001956)</f>
        <v>13.001956</v>
      </c>
      <c r="E14807" s="4">
        <f>IFERROR(__xludf.DUMMYFUNCTION("""COMPUTED_VALUE"""),80.197604)</f>
        <v>80.197604</v>
      </c>
      <c r="F14807" s="4">
        <f>IFERROR(__xludf.DUMMYFUNCTION("""COMPUTED_VALUE"""),805.0)</f>
        <v>805</v>
      </c>
      <c r="G14807" s="4">
        <f>IFERROR(__xludf.DUMMYFUNCTION("""COMPUTED_VALUE"""),47.0)</f>
        <v>47</v>
      </c>
      <c r="H14807" s="4"/>
      <c r="I14807" s="4"/>
    </row>
    <row r="14808">
      <c r="A14808" s="4" t="str">
        <f>IFERROR(__xludf.DUMMYFUNCTION("""COMPUTED_VALUE"""),"cas_hmw")</f>
        <v>cas_hmw</v>
      </c>
      <c r="B14808" s="5">
        <f>IFERROR(__xludf.DUMMYFUNCTION("""COMPUTED_VALUE"""),44727.0)</f>
        <v>44727</v>
      </c>
      <c r="C14808" s="6">
        <f>IFERROR(__xludf.DUMMYFUNCTION("""COMPUTED_VALUE"""),0.3358564814807323)</f>
        <v>0.3358564815</v>
      </c>
      <c r="D14808" s="4">
        <f>IFERROR(__xludf.DUMMYFUNCTION("""COMPUTED_VALUE"""),12.794478)</f>
        <v>12.794478</v>
      </c>
      <c r="E14808" s="4">
        <f>IFERROR(__xludf.DUMMYFUNCTION("""COMPUTED_VALUE"""),80.019651)</f>
        <v>80.019651</v>
      </c>
      <c r="F14808" s="4">
        <f>IFERROR(__xludf.DUMMYFUNCTION("""COMPUTED_VALUE"""),2846.0)</f>
        <v>2846</v>
      </c>
      <c r="G14808" s="4">
        <f>IFERROR(__xludf.DUMMYFUNCTION("""COMPUTED_VALUE"""),48.0)</f>
        <v>48</v>
      </c>
      <c r="H14808" s="4"/>
      <c r="I14808" s="4"/>
    </row>
    <row r="14809">
      <c r="A14809" s="4" t="str">
        <f>IFERROR(__xludf.DUMMYFUNCTION("""COMPUTED_VALUE"""),"cas_hmw")</f>
        <v>cas_hmw</v>
      </c>
      <c r="B14809" s="5">
        <f>IFERROR(__xludf.DUMMYFUNCTION("""COMPUTED_VALUE"""),44727.0)</f>
        <v>44727</v>
      </c>
      <c r="C14809" s="6">
        <f>IFERROR(__xludf.DUMMYFUNCTION("""COMPUTED_VALUE"""),0.3371064814818965)</f>
        <v>0.3371064815</v>
      </c>
      <c r="D14809" s="4">
        <f>IFERROR(__xludf.DUMMYFUNCTION("""COMPUTED_VALUE"""),12.993885)</f>
        <v>12.993885</v>
      </c>
      <c r="E14809" s="4">
        <f>IFERROR(__xludf.DUMMYFUNCTION("""COMPUTED_VALUE"""),80.185384)</f>
        <v>80.185384</v>
      </c>
      <c r="F14809" s="4">
        <f>IFERROR(__xludf.DUMMYFUNCTION("""COMPUTED_VALUE"""),805.0)</f>
        <v>805</v>
      </c>
      <c r="G14809" s="4">
        <f>IFERROR(__xludf.DUMMYFUNCTION("""COMPUTED_VALUE"""),43.0)</f>
        <v>43</v>
      </c>
      <c r="H14809" s="4"/>
      <c r="I14809" s="4"/>
    </row>
    <row r="14810">
      <c r="A14810" s="4" t="str">
        <f>IFERROR(__xludf.DUMMYFUNCTION("""COMPUTED_VALUE"""),"cas_hmw")</f>
        <v>cas_hmw</v>
      </c>
      <c r="B14810" s="5">
        <f>IFERROR(__xludf.DUMMYFUNCTION("""COMPUTED_VALUE"""),44727.0)</f>
        <v>44727</v>
      </c>
      <c r="C14810" s="6">
        <f>IFERROR(__xludf.DUMMYFUNCTION("""COMPUTED_VALUE"""),0.3385648148141627)</f>
        <v>0.3385648148</v>
      </c>
      <c r="D14810" s="4">
        <f>IFERROR(__xludf.DUMMYFUNCTION("""COMPUTED_VALUE"""),12.988887)</f>
        <v>12.988887</v>
      </c>
      <c r="E14810" s="4">
        <f>IFERROR(__xludf.DUMMYFUNCTION("""COMPUTED_VALUE"""),80.178297)</f>
        <v>80.178297</v>
      </c>
      <c r="F14810" s="4">
        <f>IFERROR(__xludf.DUMMYFUNCTION("""COMPUTED_VALUE"""),805.0)</f>
        <v>805</v>
      </c>
      <c r="G14810" s="4">
        <f>IFERROR(__xludf.DUMMYFUNCTION("""COMPUTED_VALUE"""),27.0)</f>
        <v>27</v>
      </c>
      <c r="H14810" s="4"/>
      <c r="I14810" s="4"/>
    </row>
    <row r="14811">
      <c r="A14811" s="4" t="str">
        <f>IFERROR(__xludf.DUMMYFUNCTION("""COMPUTED_VALUE"""),"cas_hmw")</f>
        <v>cas_hmw</v>
      </c>
      <c r="B14811" s="5">
        <f>IFERROR(__xludf.DUMMYFUNCTION("""COMPUTED_VALUE"""),44727.0)</f>
        <v>44727</v>
      </c>
      <c r="C14811" s="6">
        <f>IFERROR(__xludf.DUMMYFUNCTION("""COMPUTED_VALUE"""),0.33901620370306773)</f>
        <v>0.3390162037</v>
      </c>
      <c r="D14811" s="4">
        <f>IFERROR(__xludf.DUMMYFUNCTION("""COMPUTED_VALUE"""),12.821719)</f>
        <v>12.821719</v>
      </c>
      <c r="E14811" s="4">
        <f>IFERROR(__xludf.DUMMYFUNCTION("""COMPUTED_VALUE"""),80.037845)</f>
        <v>80.037845</v>
      </c>
      <c r="F14811" s="4">
        <f>IFERROR(__xludf.DUMMYFUNCTION("""COMPUTED_VALUE"""),2846.0)</f>
        <v>2846</v>
      </c>
      <c r="G14811" s="4">
        <f>IFERROR(__xludf.DUMMYFUNCTION("""COMPUTED_VALUE"""),57.0)</f>
        <v>57</v>
      </c>
      <c r="H14811" s="4"/>
      <c r="I14811" s="4"/>
    </row>
    <row r="14812">
      <c r="A14812" s="4" t="str">
        <f>IFERROR(__xludf.DUMMYFUNCTION("""COMPUTED_VALUE"""),"cas_hmw")</f>
        <v>cas_hmw</v>
      </c>
      <c r="B14812" s="5">
        <f>IFERROR(__xludf.DUMMYFUNCTION("""COMPUTED_VALUE"""),44727.0)</f>
        <v>44727</v>
      </c>
      <c r="C14812" s="6">
        <f>IFERROR(__xludf.DUMMYFUNCTION("""COMPUTED_VALUE"""),0.33901620370306773)</f>
        <v>0.3390162037</v>
      </c>
      <c r="D14812" s="4">
        <f>IFERROR(__xludf.DUMMYFUNCTION("""COMPUTED_VALUE"""),12.986267)</f>
        <v>12.986267</v>
      </c>
      <c r="E14812" s="4">
        <f>IFERROR(__xludf.DUMMYFUNCTION("""COMPUTED_VALUE"""),80.174575)</f>
        <v>80.174575</v>
      </c>
      <c r="F14812" s="4">
        <f>IFERROR(__xludf.DUMMYFUNCTION("""COMPUTED_VALUE"""),805.0)</f>
        <v>805</v>
      </c>
      <c r="G14812" s="4">
        <f>IFERROR(__xludf.DUMMYFUNCTION("""COMPUTED_VALUE"""),35.0)</f>
        <v>35</v>
      </c>
      <c r="H14812" s="4"/>
      <c r="I14812" s="4"/>
    </row>
    <row r="14813">
      <c r="A14813" s="4" t="str">
        <f>IFERROR(__xludf.DUMMYFUNCTION("""COMPUTED_VALUE"""),"cas_hmw")</f>
        <v>cas_hmw</v>
      </c>
      <c r="B14813" s="5">
        <f>IFERROR(__xludf.DUMMYFUNCTION("""COMPUTED_VALUE"""),44727.0)</f>
        <v>44727</v>
      </c>
      <c r="C14813" s="6">
        <f>IFERROR(__xludf.DUMMYFUNCTION("""COMPUTED_VALUE"""),0.3395023148150358)</f>
        <v>0.3395023148</v>
      </c>
      <c r="D14813" s="4">
        <f>IFERROR(__xludf.DUMMYFUNCTION("""COMPUTED_VALUE"""),12.983668)</f>
        <v>12.983668</v>
      </c>
      <c r="E14813" s="4">
        <f>IFERROR(__xludf.DUMMYFUNCTION("""COMPUTED_VALUE"""),80.170565)</f>
        <v>80.170565</v>
      </c>
      <c r="F14813" s="4">
        <f>IFERROR(__xludf.DUMMYFUNCTION("""COMPUTED_VALUE"""),805.0)</f>
        <v>805</v>
      </c>
      <c r="G14813" s="4">
        <f>IFERROR(__xludf.DUMMYFUNCTION("""COMPUTED_VALUE"""),42.0)</f>
        <v>42</v>
      </c>
      <c r="H14813" s="4"/>
      <c r="I14813" s="4"/>
    </row>
    <row r="14814">
      <c r="A14814" s="4" t="str">
        <f>IFERROR(__xludf.DUMMYFUNCTION("""COMPUTED_VALUE"""),"cas_hmw")</f>
        <v>cas_hmw</v>
      </c>
      <c r="B14814" s="5">
        <f>IFERROR(__xludf.DUMMYFUNCTION("""COMPUTED_VALUE"""),44727.0)</f>
        <v>44727</v>
      </c>
      <c r="C14814" s="6">
        <f>IFERROR(__xludf.DUMMYFUNCTION("""COMPUTED_VALUE"""),0.3397453703692008)</f>
        <v>0.3397453704</v>
      </c>
      <c r="D14814" s="4">
        <f>IFERROR(__xludf.DUMMYFUNCTION("""COMPUTED_VALUE"""),12.982894)</f>
        <v>12.982894</v>
      </c>
      <c r="E14814" s="4">
        <f>IFERROR(__xludf.DUMMYFUNCTION("""COMPUTED_VALUE"""),80.169211)</f>
        <v>80.169211</v>
      </c>
      <c r="F14814" s="4">
        <f>IFERROR(__xludf.DUMMYFUNCTION("""COMPUTED_VALUE"""),805.0)</f>
        <v>805</v>
      </c>
      <c r="G14814" s="4">
        <f>IFERROR(__xludf.DUMMYFUNCTION("""COMPUTED_VALUE"""),30.0)</f>
        <v>30</v>
      </c>
      <c r="H14814" s="4"/>
      <c r="I14814" s="4"/>
    </row>
    <row r="14815">
      <c r="A14815" s="4" t="str">
        <f>IFERROR(__xludf.DUMMYFUNCTION("""COMPUTED_VALUE"""),"cas_hmw")</f>
        <v>cas_hmw</v>
      </c>
      <c r="B14815" s="5">
        <f>IFERROR(__xludf.DUMMYFUNCTION("""COMPUTED_VALUE"""),44727.0)</f>
        <v>44727</v>
      </c>
      <c r="C14815" s="6">
        <f>IFERROR(__xludf.DUMMYFUNCTION("""COMPUTED_VALUE"""),0.3397453703692008)</f>
        <v>0.3397453704</v>
      </c>
      <c r="D14815" s="4">
        <f>IFERROR(__xludf.DUMMYFUNCTION("""COMPUTED_VALUE"""),12.982894)</f>
        <v>12.982894</v>
      </c>
      <c r="E14815" s="4">
        <f>IFERROR(__xludf.DUMMYFUNCTION("""COMPUTED_VALUE"""),80.169211)</f>
        <v>80.169211</v>
      </c>
      <c r="F14815" s="4">
        <f>IFERROR(__xludf.DUMMYFUNCTION("""COMPUTED_VALUE"""),805.0)</f>
        <v>805</v>
      </c>
      <c r="G14815" s="4">
        <f>IFERROR(__xludf.DUMMYFUNCTION("""COMPUTED_VALUE"""),30.0)</f>
        <v>30</v>
      </c>
      <c r="H14815" s="4"/>
      <c r="I14815" s="4"/>
    </row>
    <row r="14816">
      <c r="A14816" s="4" t="str">
        <f>IFERROR(__xludf.DUMMYFUNCTION("""COMPUTED_VALUE"""),"cas_hmw")</f>
        <v>cas_hmw</v>
      </c>
      <c r="B14816" s="5">
        <f>IFERROR(__xludf.DUMMYFUNCTION("""COMPUTED_VALUE"""),44727.0)</f>
        <v>44727</v>
      </c>
      <c r="C14816" s="6">
        <f>IFERROR(__xludf.DUMMYFUNCTION("""COMPUTED_VALUE"""),0.3400347222232085)</f>
        <v>0.3400347222</v>
      </c>
      <c r="D14816" s="4">
        <f>IFERROR(__xludf.DUMMYFUNCTION("""COMPUTED_VALUE"""),12.831389)</f>
        <v>12.831389</v>
      </c>
      <c r="E14816" s="4">
        <f>IFERROR(__xludf.DUMMYFUNCTION("""COMPUTED_VALUE"""),80.04642)</f>
        <v>80.04642</v>
      </c>
      <c r="F14816" s="4">
        <f>IFERROR(__xludf.DUMMYFUNCTION("""COMPUTED_VALUE"""),2846.0)</f>
        <v>2846</v>
      </c>
      <c r="G14816" s="4">
        <f>IFERROR(__xludf.DUMMYFUNCTION("""COMPUTED_VALUE"""),58.0)</f>
        <v>58</v>
      </c>
      <c r="H14816" s="4"/>
      <c r="I14816" s="4"/>
    </row>
    <row r="14817">
      <c r="A14817" s="4" t="str">
        <f>IFERROR(__xludf.DUMMYFUNCTION("""COMPUTED_VALUE"""),"cas_hmw")</f>
        <v>cas_hmw</v>
      </c>
      <c r="B14817" s="5">
        <f>IFERROR(__xludf.DUMMYFUNCTION("""COMPUTED_VALUE"""),44727.0)</f>
        <v>44727</v>
      </c>
      <c r="C14817" s="6">
        <f>IFERROR(__xludf.DUMMYFUNCTION("""COMPUTED_VALUE"""),0.34009259259255487)</f>
        <v>0.3400925926</v>
      </c>
      <c r="D14817" s="4">
        <f>IFERROR(__xludf.DUMMYFUNCTION("""COMPUTED_VALUE"""),12.981792)</f>
        <v>12.981792</v>
      </c>
      <c r="E14817" s="4">
        <f>IFERROR(__xludf.DUMMYFUNCTION("""COMPUTED_VALUE"""),80.167367)</f>
        <v>80.167367</v>
      </c>
      <c r="F14817" s="4">
        <f>IFERROR(__xludf.DUMMYFUNCTION("""COMPUTED_VALUE"""),805.0)</f>
        <v>805</v>
      </c>
      <c r="G14817" s="4">
        <f>IFERROR(__xludf.DUMMYFUNCTION("""COMPUTED_VALUE"""),31.0)</f>
        <v>31</v>
      </c>
      <c r="H14817" s="4"/>
      <c r="I14817" s="4"/>
    </row>
    <row r="14818">
      <c r="A14818" s="4" t="str">
        <f>IFERROR(__xludf.DUMMYFUNCTION("""COMPUTED_VALUE"""),"cas_hmw")</f>
        <v>cas_hmw</v>
      </c>
      <c r="B14818" s="5">
        <f>IFERROR(__xludf.DUMMYFUNCTION("""COMPUTED_VALUE"""),44727.0)</f>
        <v>44727</v>
      </c>
      <c r="C14818" s="6">
        <f>IFERROR(__xludf.DUMMYFUNCTION("""COMPUTED_VALUE"""),0.34032407407357823)</f>
        <v>0.3403240741</v>
      </c>
      <c r="D14818" s="4">
        <f>IFERROR(__xludf.DUMMYFUNCTION("""COMPUTED_VALUE"""),12.831389)</f>
        <v>12.831389</v>
      </c>
      <c r="E14818" s="4">
        <f>IFERROR(__xludf.DUMMYFUNCTION("""COMPUTED_VALUE"""),80.04642)</f>
        <v>80.04642</v>
      </c>
      <c r="F14818" s="4">
        <f>IFERROR(__xludf.DUMMYFUNCTION("""COMPUTED_VALUE"""),2846.0)</f>
        <v>2846</v>
      </c>
      <c r="G14818" s="4">
        <f>IFERROR(__xludf.DUMMYFUNCTION("""COMPUTED_VALUE"""),58.0)</f>
        <v>58</v>
      </c>
      <c r="H14818" s="4"/>
      <c r="I14818" s="4"/>
    </row>
    <row r="14819">
      <c r="A14819" s="4" t="str">
        <f>IFERROR(__xludf.DUMMYFUNCTION("""COMPUTED_VALUE"""),"cas_hmw")</f>
        <v>cas_hmw</v>
      </c>
      <c r="B14819" s="5">
        <f>IFERROR(__xludf.DUMMYFUNCTION("""COMPUTED_VALUE"""),44727.0)</f>
        <v>44727</v>
      </c>
      <c r="C14819" s="6">
        <f>IFERROR(__xludf.DUMMYFUNCTION("""COMPUTED_VALUE"""),0.34133101851693937)</f>
        <v>0.3413310185</v>
      </c>
      <c r="D14819" s="4">
        <f>IFERROR(__xludf.DUMMYFUNCTION("""COMPUTED_VALUE"""),12.842117)</f>
        <v>12.842117</v>
      </c>
      <c r="E14819" s="4">
        <f>IFERROR(__xludf.DUMMYFUNCTION("""COMPUTED_VALUE"""),80.057618)</f>
        <v>80.057618</v>
      </c>
      <c r="F14819" s="4">
        <f>IFERROR(__xludf.DUMMYFUNCTION("""COMPUTED_VALUE"""),2846.0)</f>
        <v>2846</v>
      </c>
      <c r="G14819" s="4">
        <f>IFERROR(__xludf.DUMMYFUNCTION("""COMPUTED_VALUE"""),45.0)</f>
        <v>45</v>
      </c>
      <c r="H14819" s="4"/>
      <c r="I14819" s="4"/>
    </row>
    <row r="14820">
      <c r="A14820" s="4" t="str">
        <f>IFERROR(__xludf.DUMMYFUNCTION("""COMPUTED_VALUE"""),"cas_hmw")</f>
        <v>cas_hmw</v>
      </c>
      <c r="B14820" s="5">
        <f>IFERROR(__xludf.DUMMYFUNCTION("""COMPUTED_VALUE"""),44727.0)</f>
        <v>44727</v>
      </c>
      <c r="C14820" s="6">
        <f>IFERROR(__xludf.DUMMYFUNCTION("""COMPUTED_VALUE"""),0.3416782407402934)</f>
        <v>0.3416782407</v>
      </c>
      <c r="D14820" s="4">
        <f>IFERROR(__xludf.DUMMYFUNCTION("""COMPUTED_VALUE"""),12.974602)</f>
        <v>12.974602</v>
      </c>
      <c r="E14820" s="4">
        <f>IFERROR(__xludf.DUMMYFUNCTION("""COMPUTED_VALUE"""),80.155093)</f>
        <v>80.155093</v>
      </c>
      <c r="F14820" s="4">
        <f>IFERROR(__xludf.DUMMYFUNCTION("""COMPUTED_VALUE"""),805.0)</f>
        <v>805</v>
      </c>
      <c r="G14820" s="4">
        <f>IFERROR(__xludf.DUMMYFUNCTION("""COMPUTED_VALUE"""),29.0)</f>
        <v>29</v>
      </c>
      <c r="H14820" s="4"/>
      <c r="I14820" s="4"/>
    </row>
    <row r="14821">
      <c r="A14821" s="4" t="str">
        <f>IFERROR(__xludf.DUMMYFUNCTION("""COMPUTED_VALUE"""),"cas_hmw")</f>
        <v>cas_hmw</v>
      </c>
      <c r="B14821" s="5">
        <f>IFERROR(__xludf.DUMMYFUNCTION("""COMPUTED_VALUE"""),44727.0)</f>
        <v>44727</v>
      </c>
      <c r="C14821" s="6">
        <f>IFERROR(__xludf.DUMMYFUNCTION("""COMPUTED_VALUE"""),0.3417939814826241)</f>
        <v>0.3417939815</v>
      </c>
      <c r="D14821" s="4">
        <f>IFERROR(__xludf.DUMMYFUNCTION("""COMPUTED_VALUE"""),12.974151)</f>
        <v>12.974151</v>
      </c>
      <c r="E14821" s="4">
        <f>IFERROR(__xludf.DUMMYFUNCTION("""COMPUTED_VALUE"""),80.154436)</f>
        <v>80.154436</v>
      </c>
      <c r="F14821" s="4">
        <f>IFERROR(__xludf.DUMMYFUNCTION("""COMPUTED_VALUE"""),805.0)</f>
        <v>805</v>
      </c>
      <c r="G14821" s="4">
        <f>IFERROR(__xludf.DUMMYFUNCTION("""COMPUTED_VALUE"""),32.0)</f>
        <v>32</v>
      </c>
      <c r="H14821" s="4"/>
      <c r="I14821" s="4"/>
    </row>
    <row r="14822">
      <c r="A14822" s="4" t="str">
        <f>IFERROR(__xludf.DUMMYFUNCTION("""COMPUTED_VALUE"""),"cas_hmw")</f>
        <v>cas_hmw</v>
      </c>
      <c r="B14822" s="5">
        <f>IFERROR(__xludf.DUMMYFUNCTION("""COMPUTED_VALUE"""),44727.0)</f>
        <v>44727</v>
      </c>
      <c r="C14822" s="6">
        <f>IFERROR(__xludf.DUMMYFUNCTION("""COMPUTED_VALUE"""),0.34184027777882875)</f>
        <v>0.3418402778</v>
      </c>
      <c r="D14822" s="4">
        <f>IFERROR(__xludf.DUMMYFUNCTION("""COMPUTED_VALUE"""),12.842117)</f>
        <v>12.842117</v>
      </c>
      <c r="E14822" s="4">
        <f>IFERROR(__xludf.DUMMYFUNCTION("""COMPUTED_VALUE"""),80.057618)</f>
        <v>80.057618</v>
      </c>
      <c r="F14822" s="4">
        <f>IFERROR(__xludf.DUMMYFUNCTION("""COMPUTED_VALUE"""),2846.0)</f>
        <v>2846</v>
      </c>
      <c r="G14822" s="4">
        <f>IFERROR(__xludf.DUMMYFUNCTION("""COMPUTED_VALUE"""),45.0)</f>
        <v>45</v>
      </c>
      <c r="H14822" s="4"/>
      <c r="I14822" s="4"/>
    </row>
    <row r="14823">
      <c r="A14823" s="4" t="str">
        <f>IFERROR(__xludf.DUMMYFUNCTION("""COMPUTED_VALUE"""),"cas_hmw")</f>
        <v>cas_hmw</v>
      </c>
      <c r="B14823" s="5">
        <f>IFERROR(__xludf.DUMMYFUNCTION("""COMPUTED_VALUE"""),44727.0)</f>
        <v>44727</v>
      </c>
      <c r="C14823" s="6">
        <f>IFERROR(__xludf.DUMMYFUNCTION("""COMPUTED_VALUE"""),0.3431018518531346)</f>
        <v>0.3431018519</v>
      </c>
      <c r="D14823" s="4">
        <f>IFERROR(__xludf.DUMMYFUNCTION("""COMPUTED_VALUE"""),12.971424)</f>
        <v>12.971424</v>
      </c>
      <c r="E14823" s="4">
        <f>IFERROR(__xludf.DUMMYFUNCTION("""COMPUTED_VALUE"""),80.151074)</f>
        <v>80.151074</v>
      </c>
      <c r="F14823" s="4">
        <f>IFERROR(__xludf.DUMMYFUNCTION("""COMPUTED_VALUE"""),805.0)</f>
        <v>805</v>
      </c>
      <c r="G14823" s="4">
        <f>IFERROR(__xludf.DUMMYFUNCTION("""COMPUTED_VALUE"""),32.0)</f>
        <v>32</v>
      </c>
      <c r="H14823" s="4"/>
      <c r="I14823" s="4"/>
    </row>
    <row r="14824">
      <c r="A14824" s="4" t="str">
        <f>IFERROR(__xludf.DUMMYFUNCTION("""COMPUTED_VALUE"""),"cas_hmw")</f>
        <v>cas_hmw</v>
      </c>
      <c r="B14824" s="5">
        <f>IFERROR(__xludf.DUMMYFUNCTION("""COMPUTED_VALUE"""),44727.0)</f>
        <v>44727</v>
      </c>
      <c r="C14824" s="6">
        <f>IFERROR(__xludf.DUMMYFUNCTION("""COMPUTED_VALUE"""),0.3438310185192677)</f>
        <v>0.3438310185</v>
      </c>
      <c r="D14824" s="4">
        <f>IFERROR(__xludf.DUMMYFUNCTION("""COMPUTED_VALUE"""),12.966549)</f>
        <v>12.966549</v>
      </c>
      <c r="E14824" s="4">
        <f>IFERROR(__xludf.DUMMYFUNCTION("""COMPUTED_VALUE"""),80.148823)</f>
        <v>80.148823</v>
      </c>
      <c r="F14824" s="4">
        <f>IFERROR(__xludf.DUMMYFUNCTION("""COMPUTED_VALUE"""),805.0)</f>
        <v>805</v>
      </c>
      <c r="G14824" s="4">
        <f>IFERROR(__xludf.DUMMYFUNCTION("""COMPUTED_VALUE"""),39.0)</f>
        <v>39</v>
      </c>
      <c r="H14824" s="4"/>
      <c r="I14824" s="4"/>
    </row>
    <row r="14825">
      <c r="A14825" s="4" t="str">
        <f>IFERROR(__xludf.DUMMYFUNCTION("""COMPUTED_VALUE"""),"cas_hmw")</f>
        <v>cas_hmw</v>
      </c>
      <c r="B14825" s="5">
        <f>IFERROR(__xludf.DUMMYFUNCTION("""COMPUTED_VALUE"""),44727.0)</f>
        <v>44727</v>
      </c>
      <c r="C14825" s="6">
        <f>IFERROR(__xludf.DUMMYFUNCTION("""COMPUTED_VALUE"""),0.34543981481328956)</f>
        <v>0.3454398148</v>
      </c>
      <c r="D14825" s="4">
        <f>IFERROR(__xludf.DUMMYFUNCTION("""COMPUTED_VALUE"""),12.862283)</f>
        <v>12.862283</v>
      </c>
      <c r="E14825" s="4">
        <f>IFERROR(__xludf.DUMMYFUNCTION("""COMPUTED_VALUE"""),80.07342)</f>
        <v>80.07342</v>
      </c>
      <c r="F14825" s="4">
        <f>IFERROR(__xludf.DUMMYFUNCTION("""COMPUTED_VALUE"""),2846.0)</f>
        <v>2846</v>
      </c>
      <c r="G14825" s="4">
        <f>IFERROR(__xludf.DUMMYFUNCTION("""COMPUTED_VALUE"""),32.0)</f>
        <v>32</v>
      </c>
      <c r="H14825" s="4"/>
      <c r="I14825" s="4"/>
    </row>
    <row r="14826">
      <c r="A14826" s="4" t="str">
        <f>IFERROR(__xludf.DUMMYFUNCTION("""COMPUTED_VALUE"""),"cas_hmw")</f>
        <v>cas_hmw</v>
      </c>
      <c r="B14826" s="5">
        <f>IFERROR(__xludf.DUMMYFUNCTION("""COMPUTED_VALUE"""),44727.0)</f>
        <v>44727</v>
      </c>
      <c r="C14826" s="6">
        <f>IFERROR(__xludf.DUMMYFUNCTION("""COMPUTED_VALUE"""),0.3464467592602887)</f>
        <v>0.3464467593</v>
      </c>
      <c r="D14826" s="4">
        <f>IFERROR(__xludf.DUMMYFUNCTION("""COMPUTED_VALUE"""),12.954533)</f>
        <v>12.954533</v>
      </c>
      <c r="E14826" s="4">
        <f>IFERROR(__xludf.DUMMYFUNCTION("""COMPUTED_VALUE"""),80.142344)</f>
        <v>80.142344</v>
      </c>
      <c r="F14826" s="4">
        <f>IFERROR(__xludf.DUMMYFUNCTION("""COMPUTED_VALUE"""),805.0)</f>
        <v>805</v>
      </c>
      <c r="G14826" s="4">
        <f>IFERROR(__xludf.DUMMYFUNCTION("""COMPUTED_VALUE"""),35.0)</f>
        <v>35</v>
      </c>
      <c r="H14826" s="4"/>
      <c r="I14826" s="4"/>
    </row>
    <row r="14827">
      <c r="A14827" s="4" t="str">
        <f>IFERROR(__xludf.DUMMYFUNCTION("""COMPUTED_VALUE"""),"cas_hmw")</f>
        <v>cas_hmw</v>
      </c>
      <c r="B14827" s="5">
        <f>IFERROR(__xludf.DUMMYFUNCTION("""COMPUTED_VALUE"""),44727.0)</f>
        <v>44727</v>
      </c>
      <c r="C14827" s="6">
        <f>IFERROR(__xludf.DUMMYFUNCTION("""COMPUTED_VALUE"""),0.3469444444453984)</f>
        <v>0.3469444444</v>
      </c>
      <c r="D14827" s="4">
        <f>IFERROR(__xludf.DUMMYFUNCTION("""COMPUTED_VALUE"""),12.874241)</f>
        <v>12.874241</v>
      </c>
      <c r="E14827" s="4">
        <f>IFERROR(__xludf.DUMMYFUNCTION("""COMPUTED_VALUE"""),80.078083)</f>
        <v>80.078083</v>
      </c>
      <c r="F14827" s="4">
        <f>IFERROR(__xludf.DUMMYFUNCTION("""COMPUTED_VALUE"""),2846.0)</f>
        <v>2846</v>
      </c>
      <c r="G14827" s="4">
        <f>IFERROR(__xludf.DUMMYFUNCTION("""COMPUTED_VALUE"""),43.0)</f>
        <v>43</v>
      </c>
      <c r="H14827" s="4"/>
      <c r="I14827" s="4"/>
    </row>
    <row r="14828">
      <c r="A14828" s="4" t="str">
        <f>IFERROR(__xludf.DUMMYFUNCTION("""COMPUTED_VALUE"""),"cas_hmw")</f>
        <v>cas_hmw</v>
      </c>
      <c r="B14828" s="5">
        <f>IFERROR(__xludf.DUMMYFUNCTION("""COMPUTED_VALUE"""),44727.0)</f>
        <v>44727</v>
      </c>
      <c r="C14828" s="6">
        <f>IFERROR(__xludf.DUMMYFUNCTION("""COMPUTED_VALUE"""),0.3485069444432156)</f>
        <v>0.3485069444</v>
      </c>
      <c r="D14828" s="4">
        <f>IFERROR(__xludf.DUMMYFUNCTION("""COMPUTED_VALUE"""),12.944589)</f>
        <v>12.944589</v>
      </c>
      <c r="E14828" s="4">
        <f>IFERROR(__xludf.DUMMYFUNCTION("""COMPUTED_VALUE"""),80.13506)</f>
        <v>80.13506</v>
      </c>
      <c r="F14828" s="4">
        <f>IFERROR(__xludf.DUMMYFUNCTION("""COMPUTED_VALUE"""),805.0)</f>
        <v>805</v>
      </c>
      <c r="G14828" s="4">
        <f>IFERROR(__xludf.DUMMYFUNCTION("""COMPUTED_VALUE"""),41.0)</f>
        <v>41</v>
      </c>
      <c r="H14828" s="4"/>
      <c r="I14828" s="4"/>
    </row>
    <row r="14829">
      <c r="A14829" s="4" t="str">
        <f>IFERROR(__xludf.DUMMYFUNCTION("""COMPUTED_VALUE"""),"cas_hmw")</f>
        <v>cas_hmw</v>
      </c>
      <c r="B14829" s="5">
        <f>IFERROR(__xludf.DUMMYFUNCTION("""COMPUTED_VALUE"""),44727.0)</f>
        <v>44727</v>
      </c>
      <c r="C14829" s="6">
        <f>IFERROR(__xludf.DUMMYFUNCTION("""COMPUTED_VALUE"""),0.348981481482042)</f>
        <v>0.3489814815</v>
      </c>
      <c r="D14829" s="4">
        <f>IFERROR(__xludf.DUMMYFUNCTION("""COMPUTED_VALUE"""),12.939899)</f>
        <v>12.939899</v>
      </c>
      <c r="E14829" s="4">
        <f>IFERROR(__xludf.DUMMYFUNCTION("""COMPUTED_VALUE"""),80.130554)</f>
        <v>80.130554</v>
      </c>
      <c r="F14829" s="4">
        <f>IFERROR(__xludf.DUMMYFUNCTION("""COMPUTED_VALUE"""),805.0)</f>
        <v>805</v>
      </c>
      <c r="G14829" s="4">
        <f>IFERROR(__xludf.DUMMYFUNCTION("""COMPUTED_VALUE"""),44.0)</f>
        <v>44</v>
      </c>
      <c r="H14829" s="4"/>
      <c r="I14829" s="4"/>
    </row>
    <row r="14830">
      <c r="A14830" s="4" t="str">
        <f>IFERROR(__xludf.DUMMYFUNCTION("""COMPUTED_VALUE"""),"cas_hmw")</f>
        <v>cas_hmw</v>
      </c>
      <c r="B14830" s="5">
        <f>IFERROR(__xludf.DUMMYFUNCTION("""COMPUTED_VALUE"""),44727.0)</f>
        <v>44727</v>
      </c>
      <c r="C14830" s="6">
        <f>IFERROR(__xludf.DUMMYFUNCTION("""COMPUTED_VALUE"""),0.34918981481314404)</f>
        <v>0.3491898148</v>
      </c>
      <c r="D14830" s="4">
        <f>IFERROR(__xludf.DUMMYFUNCTION("""COMPUTED_VALUE"""),12.938231)</f>
        <v>12.938231</v>
      </c>
      <c r="E14830" s="4">
        <f>IFERROR(__xludf.DUMMYFUNCTION("""COMPUTED_VALUE"""),80.129054)</f>
        <v>80.129054</v>
      </c>
      <c r="F14830" s="4">
        <f>IFERROR(__xludf.DUMMYFUNCTION("""COMPUTED_VALUE"""),805.0)</f>
        <v>805</v>
      </c>
      <c r="G14830" s="4">
        <f>IFERROR(__xludf.DUMMYFUNCTION("""COMPUTED_VALUE"""),47.0)</f>
        <v>47</v>
      </c>
      <c r="H14830" s="4"/>
      <c r="I14830" s="4"/>
    </row>
    <row r="14831">
      <c r="A14831" s="4" t="str">
        <f>IFERROR(__xludf.DUMMYFUNCTION("""COMPUTED_VALUE"""),"cas_hmw")</f>
        <v>cas_hmw</v>
      </c>
      <c r="B14831" s="5">
        <f>IFERROR(__xludf.DUMMYFUNCTION("""COMPUTED_VALUE"""),44727.0)</f>
        <v>44727</v>
      </c>
      <c r="C14831" s="6">
        <f>IFERROR(__xludf.DUMMYFUNCTION("""COMPUTED_VALUE"""),0.34943287037094706)</f>
        <v>0.3494328704</v>
      </c>
      <c r="D14831" s="4">
        <f>IFERROR(__xludf.DUMMYFUNCTION("""COMPUTED_VALUE"""),12.936697)</f>
        <v>12.936697</v>
      </c>
      <c r="E14831" s="4">
        <f>IFERROR(__xludf.DUMMYFUNCTION("""COMPUTED_VALUE"""),80.127729)</f>
        <v>80.127729</v>
      </c>
      <c r="F14831" s="4">
        <f>IFERROR(__xludf.DUMMYFUNCTION("""COMPUTED_VALUE"""),805.0)</f>
        <v>805</v>
      </c>
      <c r="G14831" s="4">
        <f>IFERROR(__xludf.DUMMYFUNCTION("""COMPUTED_VALUE"""),39.0)</f>
        <v>39</v>
      </c>
      <c r="H14831" s="4"/>
      <c r="I14831" s="4"/>
    </row>
    <row r="14832">
      <c r="A14832" s="4" t="str">
        <f>IFERROR(__xludf.DUMMYFUNCTION("""COMPUTED_VALUE"""),"cas_hmw")</f>
        <v>cas_hmw</v>
      </c>
      <c r="B14832" s="5">
        <f>IFERROR(__xludf.DUMMYFUNCTION("""COMPUTED_VALUE"""),44727.0)</f>
        <v>44727</v>
      </c>
      <c r="C14832" s="6">
        <f>IFERROR(__xludf.DUMMYFUNCTION("""COMPUTED_VALUE"""),0.34944444444408873)</f>
        <v>0.3494444444</v>
      </c>
      <c r="D14832" s="4">
        <f>IFERROR(__xludf.DUMMYFUNCTION("""COMPUTED_VALUE"""),12.936697)</f>
        <v>12.936697</v>
      </c>
      <c r="E14832" s="4">
        <f>IFERROR(__xludf.DUMMYFUNCTION("""COMPUTED_VALUE"""),80.127729)</f>
        <v>80.127729</v>
      </c>
      <c r="F14832" s="4">
        <f>IFERROR(__xludf.DUMMYFUNCTION("""COMPUTED_VALUE"""),805.0)</f>
        <v>805</v>
      </c>
      <c r="G14832" s="4">
        <f>IFERROR(__xludf.DUMMYFUNCTION("""COMPUTED_VALUE"""),39.0)</f>
        <v>39</v>
      </c>
      <c r="H14832" s="4"/>
      <c r="I14832" s="4"/>
    </row>
    <row r="14833">
      <c r="A14833" s="4" t="str">
        <f>IFERROR(__xludf.DUMMYFUNCTION("""COMPUTED_VALUE"""),"cas_hmw")</f>
        <v>cas_hmw</v>
      </c>
      <c r="B14833" s="5">
        <f>IFERROR(__xludf.DUMMYFUNCTION("""COMPUTED_VALUE"""),44727.0)</f>
        <v>44727</v>
      </c>
      <c r="C14833" s="6">
        <f>IFERROR(__xludf.DUMMYFUNCTION("""COMPUTED_VALUE"""),0.3496412037020491)</f>
        <v>0.3496412037</v>
      </c>
      <c r="D14833" s="4">
        <f>IFERROR(__xludf.DUMMYFUNCTION("""COMPUTED_VALUE"""),12.935311)</f>
        <v>12.935311</v>
      </c>
      <c r="E14833" s="4">
        <f>IFERROR(__xludf.DUMMYFUNCTION("""COMPUTED_VALUE"""),80.126481)</f>
        <v>80.126481</v>
      </c>
      <c r="F14833" s="4">
        <f>IFERROR(__xludf.DUMMYFUNCTION("""COMPUTED_VALUE"""),805.0)</f>
        <v>805</v>
      </c>
      <c r="G14833" s="4">
        <f>IFERROR(__xludf.DUMMYFUNCTION("""COMPUTED_VALUE"""),47.0)</f>
        <v>47</v>
      </c>
      <c r="H14833" s="4"/>
      <c r="I14833" s="4"/>
    </row>
    <row r="14834">
      <c r="A14834" s="4" t="str">
        <f>IFERROR(__xludf.DUMMYFUNCTION("""COMPUTED_VALUE"""),"cas_hmw")</f>
        <v>cas_hmw</v>
      </c>
      <c r="B14834" s="5">
        <f>IFERROR(__xludf.DUMMYFUNCTION("""COMPUTED_VALUE"""),44727.0)</f>
        <v>44727</v>
      </c>
      <c r="C14834" s="6">
        <f>IFERROR(__xludf.DUMMYFUNCTION("""COMPUTED_VALUE"""),0.3507638888877409)</f>
        <v>0.3507638889</v>
      </c>
      <c r="D14834" s="4">
        <f>IFERROR(__xludf.DUMMYFUNCTION("""COMPUTED_VALUE"""),12.934381)</f>
        <v>12.934381</v>
      </c>
      <c r="E14834" s="4">
        <f>IFERROR(__xludf.DUMMYFUNCTION("""COMPUTED_VALUE"""),80.125604)</f>
        <v>80.125604</v>
      </c>
      <c r="F14834" s="4">
        <f>IFERROR(__xludf.DUMMYFUNCTION("""COMPUTED_VALUE"""),805.0)</f>
        <v>805</v>
      </c>
      <c r="G14834" s="4">
        <f>IFERROR(__xludf.DUMMYFUNCTION("""COMPUTED_VALUE"""),55.0)</f>
        <v>55</v>
      </c>
      <c r="H14834" s="4"/>
      <c r="I14834" s="4"/>
    </row>
    <row r="14835">
      <c r="A14835" s="4" t="str">
        <f>IFERROR(__xludf.DUMMYFUNCTION("""COMPUTED_VALUE"""),"cas_hmw")</f>
        <v>cas_hmw</v>
      </c>
      <c r="B14835" s="5">
        <f>IFERROR(__xludf.DUMMYFUNCTION("""COMPUTED_VALUE"""),44727.0)</f>
        <v>44727</v>
      </c>
      <c r="C14835" s="6">
        <f>IFERROR(__xludf.DUMMYFUNCTION("""COMPUTED_VALUE"""),0.3521875000005821)</f>
        <v>0.3521875</v>
      </c>
      <c r="D14835" s="4">
        <f>IFERROR(__xludf.DUMMYFUNCTION("""COMPUTED_VALUE"""),12.932406)</f>
        <v>12.932406</v>
      </c>
      <c r="E14835" s="4">
        <f>IFERROR(__xludf.DUMMYFUNCTION("""COMPUTED_VALUE"""),80.123661)</f>
        <v>80.123661</v>
      </c>
      <c r="F14835" s="4">
        <f>IFERROR(__xludf.DUMMYFUNCTION("""COMPUTED_VALUE"""),805.0)</f>
        <v>805</v>
      </c>
      <c r="G14835" s="4">
        <f>IFERROR(__xludf.DUMMYFUNCTION("""COMPUTED_VALUE"""),38.0)</f>
        <v>38</v>
      </c>
      <c r="H14835" s="4"/>
      <c r="I14835" s="4"/>
    </row>
    <row r="14836">
      <c r="A14836" s="4" t="str">
        <f>IFERROR(__xludf.DUMMYFUNCTION("""COMPUTED_VALUE"""),"cas_hmw")</f>
        <v>cas_hmw</v>
      </c>
      <c r="B14836" s="5">
        <f>IFERROR(__xludf.DUMMYFUNCTION("""COMPUTED_VALUE"""),44727.0)</f>
        <v>44727</v>
      </c>
      <c r="C14836" s="6">
        <f>IFERROR(__xludf.DUMMYFUNCTION("""COMPUTED_VALUE"""),0.35226851851984975)</f>
        <v>0.3522685185</v>
      </c>
      <c r="D14836" s="4">
        <f>IFERROR(__xludf.DUMMYFUNCTION("""COMPUTED_VALUE"""),12.932406)</f>
        <v>12.932406</v>
      </c>
      <c r="E14836" s="4">
        <f>IFERROR(__xludf.DUMMYFUNCTION("""COMPUTED_VALUE"""),80.123661)</f>
        <v>80.123661</v>
      </c>
      <c r="F14836" s="4">
        <f>IFERROR(__xludf.DUMMYFUNCTION("""COMPUTED_VALUE"""),805.0)</f>
        <v>805</v>
      </c>
      <c r="G14836" s="4">
        <f>IFERROR(__xludf.DUMMYFUNCTION("""COMPUTED_VALUE"""),38.0)</f>
        <v>38</v>
      </c>
      <c r="H14836" s="4"/>
      <c r="I14836" s="4"/>
    </row>
    <row r="14837">
      <c r="A14837" s="4" t="str">
        <f>IFERROR(__xludf.DUMMYFUNCTION("""COMPUTED_VALUE"""),"cas_hmw")</f>
        <v>cas_hmw</v>
      </c>
      <c r="B14837" s="5">
        <f>IFERROR(__xludf.DUMMYFUNCTION("""COMPUTED_VALUE"""),44727.0)</f>
        <v>44727</v>
      </c>
      <c r="C14837" s="6">
        <f>IFERROR(__xludf.DUMMYFUNCTION("""COMPUTED_VALUE"""),0.3526157407395658)</f>
        <v>0.3526157407</v>
      </c>
      <c r="D14837" s="4">
        <f>IFERROR(__xludf.DUMMYFUNCTION("""COMPUTED_VALUE"""),12.918977)</f>
        <v>12.918977</v>
      </c>
      <c r="E14837" s="4">
        <f>IFERROR(__xludf.DUMMYFUNCTION("""COMPUTED_VALUE"""),80.109802)</f>
        <v>80.109802</v>
      </c>
      <c r="F14837" s="4">
        <f>IFERROR(__xludf.DUMMYFUNCTION("""COMPUTED_VALUE"""),805.0)</f>
        <v>805</v>
      </c>
      <c r="G14837" s="4">
        <f>IFERROR(__xludf.DUMMYFUNCTION("""COMPUTED_VALUE"""),48.0)</f>
        <v>48</v>
      </c>
      <c r="H14837" s="4"/>
      <c r="I14837" s="4"/>
    </row>
    <row r="14838">
      <c r="A14838" s="4" t="str">
        <f>IFERROR(__xludf.DUMMYFUNCTION("""COMPUTED_VALUE"""),"cas_hmw")</f>
        <v>cas_hmw</v>
      </c>
      <c r="B14838" s="5">
        <f>IFERROR(__xludf.DUMMYFUNCTION("""COMPUTED_VALUE"""),44727.0)</f>
        <v>44727</v>
      </c>
      <c r="C14838" s="6">
        <f>IFERROR(__xludf.DUMMYFUNCTION("""COMPUTED_VALUE"""),0.35467592592613073)</f>
        <v>0.3546759259</v>
      </c>
      <c r="D14838" s="4">
        <f>IFERROR(__xludf.DUMMYFUNCTION("""COMPUTED_VALUE"""),12.907233)</f>
        <v>12.907233</v>
      </c>
      <c r="E14838" s="4">
        <f>IFERROR(__xludf.DUMMYFUNCTION("""COMPUTED_VALUE"""),80.097103)</f>
        <v>80.097103</v>
      </c>
      <c r="F14838" s="4">
        <f>IFERROR(__xludf.DUMMYFUNCTION("""COMPUTED_VALUE"""),805.0)</f>
        <v>805</v>
      </c>
      <c r="G14838" s="4">
        <f>IFERROR(__xludf.DUMMYFUNCTION("""COMPUTED_VALUE"""),37.0)</f>
        <v>37</v>
      </c>
      <c r="H14838" s="4"/>
      <c r="I14838" s="4"/>
    </row>
    <row r="14839">
      <c r="A14839" s="4" t="str">
        <f>IFERROR(__xludf.DUMMYFUNCTION("""COMPUTED_VALUE"""),"cas_hmw")</f>
        <v>cas_hmw</v>
      </c>
      <c r="B14839" s="5">
        <f>IFERROR(__xludf.DUMMYFUNCTION("""COMPUTED_VALUE"""),44727.0)</f>
        <v>44727</v>
      </c>
      <c r="C14839" s="6">
        <f>IFERROR(__xludf.DUMMYFUNCTION("""COMPUTED_VALUE"""),0.35594907407357823)</f>
        <v>0.3559490741</v>
      </c>
      <c r="D14839" s="4">
        <f>IFERROR(__xludf.DUMMYFUNCTION("""COMPUTED_VALUE"""),12.90055)</f>
        <v>12.90055</v>
      </c>
      <c r="E14839" s="4">
        <f>IFERROR(__xludf.DUMMYFUNCTION("""COMPUTED_VALUE"""),80.091948)</f>
        <v>80.091948</v>
      </c>
      <c r="F14839" s="4">
        <f>IFERROR(__xludf.DUMMYFUNCTION("""COMPUTED_VALUE"""),805.0)</f>
        <v>805</v>
      </c>
      <c r="G14839" s="4">
        <f>IFERROR(__xludf.DUMMYFUNCTION("""COMPUTED_VALUE"""),51.0)</f>
        <v>51</v>
      </c>
      <c r="H14839" s="4"/>
      <c r="I14839" s="4"/>
    </row>
    <row r="14840">
      <c r="A14840" s="4" t="str">
        <f>IFERROR(__xludf.DUMMYFUNCTION("""COMPUTED_VALUE"""),"cas_hmw")</f>
        <v>cas_hmw</v>
      </c>
      <c r="B14840" s="5">
        <f>IFERROR(__xludf.DUMMYFUNCTION("""COMPUTED_VALUE"""),44727.0)</f>
        <v>44727</v>
      </c>
      <c r="C14840" s="6">
        <f>IFERROR(__xludf.DUMMYFUNCTION("""COMPUTED_VALUE"""),0.3560069444429246)</f>
        <v>0.3560069444</v>
      </c>
      <c r="D14840" s="4">
        <f>IFERROR(__xludf.DUMMYFUNCTION("""COMPUTED_VALUE"""),12.90055)</f>
        <v>12.90055</v>
      </c>
      <c r="E14840" s="4">
        <f>IFERROR(__xludf.DUMMYFUNCTION("""COMPUTED_VALUE"""),80.091948)</f>
        <v>80.091948</v>
      </c>
      <c r="F14840" s="4">
        <f>IFERROR(__xludf.DUMMYFUNCTION("""COMPUTED_VALUE"""),805.0)</f>
        <v>805</v>
      </c>
      <c r="G14840" s="4">
        <f>IFERROR(__xludf.DUMMYFUNCTION("""COMPUTED_VALUE"""),51.0)</f>
        <v>51</v>
      </c>
      <c r="H14840" s="4"/>
      <c r="I14840" s="4"/>
    </row>
    <row r="14841">
      <c r="A14841" s="4" t="str">
        <f>IFERROR(__xludf.DUMMYFUNCTION("""COMPUTED_VALUE"""),"cas_hmw")</f>
        <v>cas_hmw</v>
      </c>
      <c r="B14841" s="5">
        <f>IFERROR(__xludf.DUMMYFUNCTION("""COMPUTED_VALUE"""),44727.0)</f>
        <v>44727</v>
      </c>
      <c r="C14841" s="6">
        <f>IFERROR(__xludf.DUMMYFUNCTION("""COMPUTED_VALUE"""),0.35608796296219225)</f>
        <v>0.356087963</v>
      </c>
      <c r="D14841" s="4">
        <f>IFERROR(__xludf.DUMMYFUNCTION("""COMPUTED_VALUE"""),12.899548)</f>
        <v>12.899548</v>
      </c>
      <c r="E14841" s="4">
        <f>IFERROR(__xludf.DUMMYFUNCTION("""COMPUTED_VALUE"""),80.09119)</f>
        <v>80.09119</v>
      </c>
      <c r="F14841" s="4">
        <f>IFERROR(__xludf.DUMMYFUNCTION("""COMPUTED_VALUE"""),805.0)</f>
        <v>805</v>
      </c>
      <c r="G14841" s="4">
        <f>IFERROR(__xludf.DUMMYFUNCTION("""COMPUTED_VALUE"""),49.0)</f>
        <v>49</v>
      </c>
      <c r="H14841" s="4"/>
      <c r="I14841" s="4"/>
    </row>
    <row r="14842">
      <c r="A14842" s="4" t="str">
        <f>IFERROR(__xludf.DUMMYFUNCTION("""COMPUTED_VALUE"""),"cas_hmw")</f>
        <v>cas_hmw</v>
      </c>
      <c r="B14842" s="5">
        <f>IFERROR(__xludf.DUMMYFUNCTION("""COMPUTED_VALUE"""),44727.0)</f>
        <v>44727</v>
      </c>
      <c r="C14842" s="6">
        <f>IFERROR(__xludf.DUMMYFUNCTION("""COMPUTED_VALUE"""),0.3562152777776646)</f>
        <v>0.3562152778</v>
      </c>
      <c r="D14842" s="4">
        <f>IFERROR(__xludf.DUMMYFUNCTION("""COMPUTED_VALUE"""),12.898554)</f>
        <v>12.898554</v>
      </c>
      <c r="E14842" s="4">
        <f>IFERROR(__xludf.DUMMYFUNCTION("""COMPUTED_VALUE"""),80.09042)</f>
        <v>80.09042</v>
      </c>
      <c r="F14842" s="4">
        <f>IFERROR(__xludf.DUMMYFUNCTION("""COMPUTED_VALUE"""),805.0)</f>
        <v>805</v>
      </c>
      <c r="G14842" s="4">
        <f>IFERROR(__xludf.DUMMYFUNCTION("""COMPUTED_VALUE"""),45.0)</f>
        <v>45</v>
      </c>
      <c r="H14842" s="4"/>
      <c r="I14842" s="4"/>
    </row>
    <row r="14843">
      <c r="A14843" s="4" t="str">
        <f>IFERROR(__xludf.DUMMYFUNCTION("""COMPUTED_VALUE"""),"cas_hmw")</f>
        <v>cas_hmw</v>
      </c>
      <c r="B14843" s="5">
        <f>IFERROR(__xludf.DUMMYFUNCTION("""COMPUTED_VALUE"""),44727.0)</f>
        <v>44727</v>
      </c>
      <c r="C14843" s="6">
        <f>IFERROR(__xludf.DUMMYFUNCTION("""COMPUTED_VALUE"""),0.35961805555416504)</f>
        <v>0.3596180556</v>
      </c>
      <c r="D14843" s="4">
        <f>IFERROR(__xludf.DUMMYFUNCTION("""COMPUTED_VALUE"""),12.878524)</f>
        <v>12.878524</v>
      </c>
      <c r="E14843" s="4">
        <f>IFERROR(__xludf.DUMMYFUNCTION("""COMPUTED_VALUE"""),80.082031)</f>
        <v>80.082031</v>
      </c>
      <c r="F14843" s="4">
        <f>IFERROR(__xludf.DUMMYFUNCTION("""COMPUTED_VALUE"""),805.0)</f>
        <v>805</v>
      </c>
      <c r="G14843" s="4">
        <f>IFERROR(__xludf.DUMMYFUNCTION("""COMPUTED_VALUE"""),39.0)</f>
        <v>39</v>
      </c>
      <c r="H14843" s="4"/>
      <c r="I14843" s="4"/>
    </row>
    <row r="14844">
      <c r="A14844" s="4" t="str">
        <f>IFERROR(__xludf.DUMMYFUNCTION("""COMPUTED_VALUE"""),"cas_hmw")</f>
        <v>cas_hmw</v>
      </c>
      <c r="B14844" s="5">
        <f>IFERROR(__xludf.DUMMYFUNCTION("""COMPUTED_VALUE"""),44727.0)</f>
        <v>44727</v>
      </c>
      <c r="C14844" s="6">
        <f>IFERROR(__xludf.DUMMYFUNCTION("""COMPUTED_VALUE"""),0.3597685185195587)</f>
        <v>0.3597685185</v>
      </c>
      <c r="D14844" s="4">
        <f>IFERROR(__xludf.DUMMYFUNCTION("""COMPUTED_VALUE"""),12.877846)</f>
        <v>12.877846</v>
      </c>
      <c r="E14844" s="4">
        <f>IFERROR(__xludf.DUMMYFUNCTION("""COMPUTED_VALUE"""),80.08393)</f>
        <v>80.08393</v>
      </c>
      <c r="F14844" s="4">
        <f>IFERROR(__xludf.DUMMYFUNCTION("""COMPUTED_VALUE"""),805.0)</f>
        <v>805</v>
      </c>
      <c r="G14844" s="4">
        <f>IFERROR(__xludf.DUMMYFUNCTION("""COMPUTED_VALUE"""),35.0)</f>
        <v>35</v>
      </c>
      <c r="H14844" s="4"/>
      <c r="I14844" s="4"/>
    </row>
    <row r="14845">
      <c r="A14845" s="4" t="str">
        <f>IFERROR(__xludf.DUMMYFUNCTION("""COMPUTED_VALUE"""),"cas_hmw")</f>
        <v>cas_hmw</v>
      </c>
      <c r="B14845" s="5">
        <f>IFERROR(__xludf.DUMMYFUNCTION("""COMPUTED_VALUE"""),44727.0)</f>
        <v>44727</v>
      </c>
      <c r="C14845" s="6">
        <f>IFERROR(__xludf.DUMMYFUNCTION("""COMPUTED_VALUE"""),0.6572337962970778)</f>
        <v>0.6572337963</v>
      </c>
      <c r="D14845" s="4">
        <f>IFERROR(__xludf.DUMMYFUNCTION("""COMPUTED_VALUE"""),12.885447)</f>
        <v>12.885447</v>
      </c>
      <c r="E14845" s="4">
        <f>IFERROR(__xludf.DUMMYFUNCTION("""COMPUTED_VALUE"""),80.081383)</f>
        <v>80.081383</v>
      </c>
      <c r="F14845" s="4">
        <f>IFERROR(__xludf.DUMMYFUNCTION("""COMPUTED_VALUE"""),5339.0)</f>
        <v>5339</v>
      </c>
      <c r="G14845" s="4">
        <f>IFERROR(__xludf.DUMMYFUNCTION("""COMPUTED_VALUE"""),41.0)</f>
        <v>41</v>
      </c>
      <c r="H14845" s="4"/>
      <c r="I14845" s="4"/>
    </row>
    <row r="14846">
      <c r="A14846" s="4" t="str">
        <f>IFERROR(__xludf.DUMMYFUNCTION("""COMPUTED_VALUE"""),"cas_hmw")</f>
        <v>cas_hmw</v>
      </c>
      <c r="B14846" s="5">
        <f>IFERROR(__xludf.DUMMYFUNCTION("""COMPUTED_VALUE"""),44727.0)</f>
        <v>44727</v>
      </c>
      <c r="C14846" s="6">
        <f>IFERROR(__xludf.DUMMYFUNCTION("""COMPUTED_VALUE"""),0.6923379629624833)</f>
        <v>0.692337963</v>
      </c>
      <c r="D14846" s="4">
        <f>IFERROR(__xludf.DUMMYFUNCTION("""COMPUTED_VALUE"""),12.870018)</f>
        <v>12.870018</v>
      </c>
      <c r="E14846" s="4">
        <f>IFERROR(__xludf.DUMMYFUNCTION("""COMPUTED_VALUE"""),80.076597)</f>
        <v>80.076597</v>
      </c>
      <c r="F14846" s="4">
        <f>IFERROR(__xludf.DUMMYFUNCTION("""COMPUTED_VALUE"""),2846.0)</f>
        <v>2846</v>
      </c>
      <c r="G14846" s="4">
        <f>IFERROR(__xludf.DUMMYFUNCTION("""COMPUTED_VALUE"""),46.0)</f>
        <v>46</v>
      </c>
      <c r="H14846" s="4"/>
      <c r="I14846" s="4"/>
    </row>
    <row r="14847">
      <c r="A14847" s="4" t="str">
        <f>IFERROR(__xludf.DUMMYFUNCTION("""COMPUTED_VALUE"""),"cas_hmw")</f>
        <v>cas_hmw</v>
      </c>
      <c r="B14847" s="5">
        <f>IFERROR(__xludf.DUMMYFUNCTION("""COMPUTED_VALUE"""),44727.0)</f>
        <v>44727</v>
      </c>
      <c r="C14847" s="6">
        <f>IFERROR(__xludf.DUMMYFUNCTION("""COMPUTED_VALUE"""),0.6923726851855463)</f>
        <v>0.6923726852</v>
      </c>
      <c r="D14847" s="4">
        <f>IFERROR(__xludf.DUMMYFUNCTION("""COMPUTED_VALUE"""),12.884544)</f>
        <v>12.884544</v>
      </c>
      <c r="E14847" s="4">
        <f>IFERROR(__xludf.DUMMYFUNCTION("""COMPUTED_VALUE"""),80.081918)</f>
        <v>80.081918</v>
      </c>
      <c r="F14847" s="4">
        <f>IFERROR(__xludf.DUMMYFUNCTION("""COMPUTED_VALUE"""),5339.0)</f>
        <v>5339</v>
      </c>
      <c r="G14847" s="4">
        <f>IFERROR(__xludf.DUMMYFUNCTION("""COMPUTED_VALUE"""),40.0)</f>
        <v>40</v>
      </c>
      <c r="H14847" s="4"/>
      <c r="I14847" s="4"/>
    </row>
    <row r="14848">
      <c r="A14848" s="4" t="str">
        <f>IFERROR(__xludf.DUMMYFUNCTION("""COMPUTED_VALUE"""),"cas_hmw")</f>
        <v>cas_hmw</v>
      </c>
      <c r="B14848" s="5">
        <f>IFERROR(__xludf.DUMMYFUNCTION("""COMPUTED_VALUE"""),44727.0)</f>
        <v>44727</v>
      </c>
      <c r="C14848" s="6">
        <f>IFERROR(__xludf.DUMMYFUNCTION("""COMPUTED_VALUE"""),0.692627314816491)</f>
        <v>0.6926273148</v>
      </c>
      <c r="D14848" s="4">
        <f>IFERROR(__xludf.DUMMYFUNCTION("""COMPUTED_VALUE"""),12.887418)</f>
        <v>12.887418</v>
      </c>
      <c r="E14848" s="4">
        <f>IFERROR(__xludf.DUMMYFUNCTION("""COMPUTED_VALUE"""),80.083358)</f>
        <v>80.083358</v>
      </c>
      <c r="F14848" s="4">
        <f>IFERROR(__xludf.DUMMYFUNCTION("""COMPUTED_VALUE"""),805.0)</f>
        <v>805</v>
      </c>
      <c r="G14848" s="4">
        <f>IFERROR(__xludf.DUMMYFUNCTION("""COMPUTED_VALUE"""),48.0)</f>
        <v>48</v>
      </c>
      <c r="H14848" s="4"/>
      <c r="I14848" s="4"/>
    </row>
    <row r="14849">
      <c r="A14849" s="4" t="str">
        <f>IFERROR(__xludf.DUMMYFUNCTION("""COMPUTED_VALUE"""),"cas_hmw")</f>
        <v>cas_hmw</v>
      </c>
      <c r="B14849" s="5">
        <f>IFERROR(__xludf.DUMMYFUNCTION("""COMPUTED_VALUE"""),44727.0)</f>
        <v>44727</v>
      </c>
      <c r="C14849" s="6">
        <f>IFERROR(__xludf.DUMMYFUNCTION("""COMPUTED_VALUE"""),0.6929629629630654)</f>
        <v>0.692962963</v>
      </c>
      <c r="D14849" s="4">
        <f>IFERROR(__xludf.DUMMYFUNCTION("""COMPUTED_VALUE"""),12.889862)</f>
        <v>12.889862</v>
      </c>
      <c r="E14849" s="4">
        <f>IFERROR(__xludf.DUMMYFUNCTION("""COMPUTED_VALUE"""),80.084422)</f>
        <v>80.084422</v>
      </c>
      <c r="F14849" s="4">
        <f>IFERROR(__xludf.DUMMYFUNCTION("""COMPUTED_VALUE"""),5339.0)</f>
        <v>5339</v>
      </c>
      <c r="G14849" s="4">
        <f>IFERROR(__xludf.DUMMYFUNCTION("""COMPUTED_VALUE"""),48.0)</f>
        <v>48</v>
      </c>
      <c r="H14849" s="4"/>
      <c r="I14849" s="4"/>
    </row>
    <row r="14850">
      <c r="A14850" s="4" t="str">
        <f>IFERROR(__xludf.DUMMYFUNCTION("""COMPUTED_VALUE"""),"cas_hmw")</f>
        <v>cas_hmw</v>
      </c>
      <c r="B14850" s="5">
        <f>IFERROR(__xludf.DUMMYFUNCTION("""COMPUTED_VALUE"""),44727.0)</f>
        <v>44727</v>
      </c>
      <c r="C14850" s="6">
        <f>IFERROR(__xludf.DUMMYFUNCTION("""COMPUTED_VALUE"""),0.6932986111096398)</f>
        <v>0.6932986111</v>
      </c>
      <c r="D14850" s="4">
        <f>IFERROR(__xludf.DUMMYFUNCTION("""COMPUTED_VALUE"""),12.893233)</f>
        <v>12.893233</v>
      </c>
      <c r="E14850" s="4">
        <f>IFERROR(__xludf.DUMMYFUNCTION("""COMPUTED_VALUE"""),80.086202)</f>
        <v>80.086202</v>
      </c>
      <c r="F14850" s="4">
        <f>IFERROR(__xludf.DUMMYFUNCTION("""COMPUTED_VALUE"""),805.0)</f>
        <v>805</v>
      </c>
      <c r="G14850" s="4">
        <f>IFERROR(__xludf.DUMMYFUNCTION("""COMPUTED_VALUE"""),40.0)</f>
        <v>40</v>
      </c>
      <c r="H14850" s="4"/>
      <c r="I14850" s="4"/>
    </row>
    <row r="14851">
      <c r="A14851" s="4" t="str">
        <f>IFERROR(__xludf.DUMMYFUNCTION("""COMPUTED_VALUE"""),"cas_hmw")</f>
        <v>cas_hmw</v>
      </c>
      <c r="B14851" s="5">
        <f>IFERROR(__xludf.DUMMYFUNCTION("""COMPUTED_VALUE"""),44727.0)</f>
        <v>44727</v>
      </c>
      <c r="C14851" s="6">
        <f>IFERROR(__xludf.DUMMYFUNCTION("""COMPUTED_VALUE"""),0.6933333333327028)</f>
        <v>0.6933333333</v>
      </c>
      <c r="D14851" s="4">
        <f>IFERROR(__xludf.DUMMYFUNCTION("""COMPUTED_VALUE"""),12.894007)</f>
        <v>12.894007</v>
      </c>
      <c r="E14851" s="4">
        <f>IFERROR(__xludf.DUMMYFUNCTION("""COMPUTED_VALUE"""),80.086788)</f>
        <v>80.086788</v>
      </c>
      <c r="F14851" s="4">
        <f>IFERROR(__xludf.DUMMYFUNCTION("""COMPUTED_VALUE"""),805.0)</f>
        <v>805</v>
      </c>
      <c r="G14851" s="4">
        <f>IFERROR(__xludf.DUMMYFUNCTION("""COMPUTED_VALUE"""),39.0)</f>
        <v>39</v>
      </c>
      <c r="H14851" s="4"/>
      <c r="I14851" s="4"/>
    </row>
    <row r="14852">
      <c r="A14852" s="4" t="str">
        <f>IFERROR(__xludf.DUMMYFUNCTION("""COMPUTED_VALUE"""),"cas_hmw")</f>
        <v>cas_hmw</v>
      </c>
      <c r="B14852" s="5">
        <f>IFERROR(__xludf.DUMMYFUNCTION("""COMPUTED_VALUE"""),44727.0)</f>
        <v>44727</v>
      </c>
      <c r="C14852" s="6">
        <f>IFERROR(__xludf.DUMMYFUNCTION("""COMPUTED_VALUE"""),0.6934722222213168)</f>
        <v>0.6934722222</v>
      </c>
      <c r="D14852" s="4">
        <f>IFERROR(__xludf.DUMMYFUNCTION("""COMPUTED_VALUE"""),12.893858)</f>
        <v>12.893858</v>
      </c>
      <c r="E14852" s="4">
        <f>IFERROR(__xludf.DUMMYFUNCTION("""COMPUTED_VALUE"""),80.086733)</f>
        <v>80.086733</v>
      </c>
      <c r="F14852" s="4">
        <f>IFERROR(__xludf.DUMMYFUNCTION("""COMPUTED_VALUE"""),5339.0)</f>
        <v>5339</v>
      </c>
      <c r="G14852" s="4">
        <f>IFERROR(__xludf.DUMMYFUNCTION("""COMPUTED_VALUE"""),45.0)</f>
        <v>45</v>
      </c>
      <c r="H14852" s="4"/>
      <c r="I14852" s="4"/>
    </row>
    <row r="14853">
      <c r="A14853" s="4" t="str">
        <f>IFERROR(__xludf.DUMMYFUNCTION("""COMPUTED_VALUE"""),"cas_hmw")</f>
        <v>cas_hmw</v>
      </c>
      <c r="B14853" s="5">
        <f>IFERROR(__xludf.DUMMYFUNCTION("""COMPUTED_VALUE"""),44727.0)</f>
        <v>44727</v>
      </c>
      <c r="C14853" s="6">
        <f>IFERROR(__xludf.DUMMYFUNCTION("""COMPUTED_VALUE"""),0.6937847222216078)</f>
        <v>0.6937847222</v>
      </c>
      <c r="D14853" s="4">
        <f>IFERROR(__xludf.DUMMYFUNCTION("""COMPUTED_VALUE"""),12.896401)</f>
        <v>12.896401</v>
      </c>
      <c r="E14853" s="4">
        <f>IFERROR(__xludf.DUMMYFUNCTION("""COMPUTED_VALUE"""),80.088636)</f>
        <v>80.088636</v>
      </c>
      <c r="F14853" s="4">
        <f>IFERROR(__xludf.DUMMYFUNCTION("""COMPUTED_VALUE"""),5339.0)</f>
        <v>5339</v>
      </c>
      <c r="G14853" s="4">
        <f>IFERROR(__xludf.DUMMYFUNCTION("""COMPUTED_VALUE"""),37.0)</f>
        <v>37</v>
      </c>
      <c r="H14853" s="4"/>
      <c r="I14853" s="4"/>
    </row>
    <row r="14854">
      <c r="A14854" s="4" t="str">
        <f>IFERROR(__xludf.DUMMYFUNCTION("""COMPUTED_VALUE"""),"cas_hmw")</f>
        <v>cas_hmw</v>
      </c>
      <c r="B14854" s="5">
        <f>IFERROR(__xludf.DUMMYFUNCTION("""COMPUTED_VALUE"""),44727.0)</f>
        <v>44727</v>
      </c>
      <c r="C14854" s="6">
        <f>IFERROR(__xludf.DUMMYFUNCTION("""COMPUTED_VALUE"""),0.6937962962947495)</f>
        <v>0.6937962963</v>
      </c>
      <c r="D14854" s="4">
        <f>IFERROR(__xludf.DUMMYFUNCTION("""COMPUTED_VALUE"""),12.860283)</f>
        <v>12.860283</v>
      </c>
      <c r="E14854" s="4">
        <f>IFERROR(__xludf.DUMMYFUNCTION("""COMPUTED_VALUE"""),80.072481)</f>
        <v>80.072481</v>
      </c>
      <c r="F14854" s="4">
        <f>IFERROR(__xludf.DUMMYFUNCTION("""COMPUTED_VALUE"""),2846.0)</f>
        <v>2846</v>
      </c>
      <c r="G14854" s="4">
        <f>IFERROR(__xludf.DUMMYFUNCTION("""COMPUTED_VALUE"""),16.0)</f>
        <v>16</v>
      </c>
      <c r="H14854" s="4"/>
      <c r="I14854" s="4"/>
    </row>
    <row r="14855">
      <c r="A14855" s="4" t="str">
        <f>IFERROR(__xludf.DUMMYFUNCTION("""COMPUTED_VALUE"""),"cas_hmw")</f>
        <v>cas_hmw</v>
      </c>
      <c r="B14855" s="5">
        <f>IFERROR(__xludf.DUMMYFUNCTION("""COMPUTED_VALUE"""),44727.0)</f>
        <v>44727</v>
      </c>
      <c r="C14855" s="6">
        <f>IFERROR(__xludf.DUMMYFUNCTION("""COMPUTED_VALUE"""),0.6939699074064265)</f>
        <v>0.6939699074</v>
      </c>
      <c r="D14855" s="4">
        <f>IFERROR(__xludf.DUMMYFUNCTION("""COMPUTED_VALUE"""),12.859743)</f>
        <v>12.859743</v>
      </c>
      <c r="E14855" s="4">
        <f>IFERROR(__xludf.DUMMYFUNCTION("""COMPUTED_VALUE"""),80.072091)</f>
        <v>80.072091</v>
      </c>
      <c r="F14855" s="4">
        <f>IFERROR(__xludf.DUMMYFUNCTION("""COMPUTED_VALUE"""),2846.0)</f>
        <v>2846</v>
      </c>
      <c r="G14855" s="4">
        <f>IFERROR(__xludf.DUMMYFUNCTION("""COMPUTED_VALUE"""),29.0)</f>
        <v>29</v>
      </c>
      <c r="H14855" s="4"/>
      <c r="I14855" s="4"/>
    </row>
    <row r="14856">
      <c r="A14856" s="4" t="str">
        <f>IFERROR(__xludf.DUMMYFUNCTION("""COMPUTED_VALUE"""),"cas_hmw")</f>
        <v>cas_hmw</v>
      </c>
      <c r="B14856" s="5">
        <f>IFERROR(__xludf.DUMMYFUNCTION("""COMPUTED_VALUE"""),44727.0)</f>
        <v>44727</v>
      </c>
      <c r="C14856" s="6">
        <f>IFERROR(__xludf.DUMMYFUNCTION("""COMPUTED_VALUE"""),0.6940856481487572)</f>
        <v>0.6940856481</v>
      </c>
      <c r="D14856" s="4">
        <f>IFERROR(__xludf.DUMMYFUNCTION("""COMPUTED_VALUE"""),12.898825)</f>
        <v>12.898825</v>
      </c>
      <c r="E14856" s="4">
        <f>IFERROR(__xludf.DUMMYFUNCTION("""COMPUTED_VALUE"""),80.090448)</f>
        <v>80.090448</v>
      </c>
      <c r="F14856" s="4">
        <f>IFERROR(__xludf.DUMMYFUNCTION("""COMPUTED_VALUE"""),5339.0)</f>
        <v>5339</v>
      </c>
      <c r="G14856" s="4">
        <f>IFERROR(__xludf.DUMMYFUNCTION("""COMPUTED_VALUE"""),44.0)</f>
        <v>44</v>
      </c>
      <c r="H14856" s="4"/>
      <c r="I14856" s="4"/>
    </row>
    <row r="14857">
      <c r="A14857" s="4" t="str">
        <f>IFERROR(__xludf.DUMMYFUNCTION("""COMPUTED_VALUE"""),"cas_hmw")</f>
        <v>cas_hmw</v>
      </c>
      <c r="B14857" s="5">
        <f>IFERROR(__xludf.DUMMYFUNCTION("""COMPUTED_VALUE"""),44727.0)</f>
        <v>44727</v>
      </c>
      <c r="C14857" s="6">
        <f>IFERROR(__xludf.DUMMYFUNCTION("""COMPUTED_VALUE"""),0.6943865740722686)</f>
        <v>0.6943865741</v>
      </c>
      <c r="D14857" s="4">
        <f>IFERROR(__xludf.DUMMYFUNCTION("""COMPUTED_VALUE"""),12.903139)</f>
        <v>12.903139</v>
      </c>
      <c r="E14857" s="4">
        <f>IFERROR(__xludf.DUMMYFUNCTION("""COMPUTED_VALUE"""),80.09361)</f>
        <v>80.09361</v>
      </c>
      <c r="F14857" s="4">
        <f>IFERROR(__xludf.DUMMYFUNCTION("""COMPUTED_VALUE"""),805.0)</f>
        <v>805</v>
      </c>
      <c r="G14857" s="4">
        <f>IFERROR(__xludf.DUMMYFUNCTION("""COMPUTED_VALUE"""),49.0)</f>
        <v>49</v>
      </c>
      <c r="H14857" s="4"/>
      <c r="I14857" s="4"/>
    </row>
    <row r="14858">
      <c r="A14858" s="4" t="str">
        <f>IFERROR(__xludf.DUMMYFUNCTION("""COMPUTED_VALUE"""),"cas_hmw")</f>
        <v>cas_hmw</v>
      </c>
      <c r="B14858" s="5">
        <f>IFERROR(__xludf.DUMMYFUNCTION("""COMPUTED_VALUE"""),44727.0)</f>
        <v>44727</v>
      </c>
      <c r="C14858" s="6">
        <f>IFERROR(__xludf.DUMMYFUNCTION("""COMPUTED_VALUE"""),0.6945254629645206)</f>
        <v>0.694525463</v>
      </c>
      <c r="D14858" s="4">
        <f>IFERROR(__xludf.DUMMYFUNCTION("""COMPUTED_VALUE"""),12.901851)</f>
        <v>12.901851</v>
      </c>
      <c r="E14858" s="4">
        <f>IFERROR(__xludf.DUMMYFUNCTION("""COMPUTED_VALUE"""),80.09268)</f>
        <v>80.09268</v>
      </c>
      <c r="F14858" s="4">
        <f>IFERROR(__xludf.DUMMYFUNCTION("""COMPUTED_VALUE"""),5339.0)</f>
        <v>5339</v>
      </c>
      <c r="G14858" s="4">
        <f>IFERROR(__xludf.DUMMYFUNCTION("""COMPUTED_VALUE"""),51.0)</f>
        <v>51</v>
      </c>
      <c r="H14858" s="4"/>
      <c r="I14858" s="4"/>
    </row>
    <row r="14859">
      <c r="A14859" s="4" t="str">
        <f>IFERROR(__xludf.DUMMYFUNCTION("""COMPUTED_VALUE"""),"cas_hmw")</f>
        <v>cas_hmw</v>
      </c>
      <c r="B14859" s="5">
        <f>IFERROR(__xludf.DUMMYFUNCTION("""COMPUTED_VALUE"""),44727.0)</f>
        <v>44727</v>
      </c>
      <c r="C14859" s="6">
        <f>IFERROR(__xludf.DUMMYFUNCTION("""COMPUTED_VALUE"""),0.6945254629645206)</f>
        <v>0.694525463</v>
      </c>
      <c r="D14859" s="4">
        <f>IFERROR(__xludf.DUMMYFUNCTION("""COMPUTED_VALUE"""),12.854888)</f>
        <v>12.854888</v>
      </c>
      <c r="E14859" s="4">
        <f>IFERROR(__xludf.DUMMYFUNCTION("""COMPUTED_VALUE"""),80.068413)</f>
        <v>80.068413</v>
      </c>
      <c r="F14859" s="4">
        <f>IFERROR(__xludf.DUMMYFUNCTION("""COMPUTED_VALUE"""),2846.0)</f>
        <v>2846</v>
      </c>
      <c r="G14859" s="4">
        <f>IFERROR(__xludf.DUMMYFUNCTION("""COMPUTED_VALUE"""),55.0)</f>
        <v>55</v>
      </c>
      <c r="H14859" s="4"/>
      <c r="I14859" s="4"/>
    </row>
    <row r="14860">
      <c r="A14860" s="4" t="str">
        <f>IFERROR(__xludf.DUMMYFUNCTION("""COMPUTED_VALUE"""),"cas_hmw")</f>
        <v>cas_hmw</v>
      </c>
      <c r="B14860" s="5">
        <f>IFERROR(__xludf.DUMMYFUNCTION("""COMPUTED_VALUE"""),44727.0)</f>
        <v>44727</v>
      </c>
      <c r="C14860" s="6">
        <f>IFERROR(__xludf.DUMMYFUNCTION("""COMPUTED_VALUE"""),0.6950231481496303)</f>
        <v>0.6950231481</v>
      </c>
      <c r="D14860" s="4">
        <f>IFERROR(__xludf.DUMMYFUNCTION("""COMPUTED_VALUE"""),12.905193)</f>
        <v>12.905193</v>
      </c>
      <c r="E14860" s="4">
        <f>IFERROR(__xludf.DUMMYFUNCTION("""COMPUTED_VALUE"""),80.095139)</f>
        <v>80.095139</v>
      </c>
      <c r="F14860" s="4">
        <f>IFERROR(__xludf.DUMMYFUNCTION("""COMPUTED_VALUE"""),5339.0)</f>
        <v>5339</v>
      </c>
      <c r="G14860" s="4">
        <f>IFERROR(__xludf.DUMMYFUNCTION("""COMPUTED_VALUE"""),46.0)</f>
        <v>46</v>
      </c>
      <c r="H14860" s="4"/>
      <c r="I14860" s="4"/>
    </row>
    <row r="14861">
      <c r="A14861" s="4" t="str">
        <f>IFERROR(__xludf.DUMMYFUNCTION("""COMPUTED_VALUE"""),"cas_hmw")</f>
        <v>cas_hmw</v>
      </c>
      <c r="B14861" s="5">
        <f>IFERROR(__xludf.DUMMYFUNCTION("""COMPUTED_VALUE"""),44727.0)</f>
        <v>44727</v>
      </c>
      <c r="C14861" s="6">
        <f>IFERROR(__xludf.DUMMYFUNCTION("""COMPUTED_VALUE"""),0.6958101851851097)</f>
        <v>0.6958101852</v>
      </c>
      <c r="D14861" s="4">
        <f>IFERROR(__xludf.DUMMYFUNCTION("""COMPUTED_VALUE"""),12.909205)</f>
        <v>12.909205</v>
      </c>
      <c r="E14861" s="4">
        <f>IFERROR(__xludf.DUMMYFUNCTION("""COMPUTED_VALUE"""),80.098572)</f>
        <v>80.098572</v>
      </c>
      <c r="F14861" s="4">
        <f>IFERROR(__xludf.DUMMYFUNCTION("""COMPUTED_VALUE"""),805.0)</f>
        <v>805</v>
      </c>
      <c r="G14861" s="4">
        <f>IFERROR(__xludf.DUMMYFUNCTION("""COMPUTED_VALUE"""),12.0)</f>
        <v>12</v>
      </c>
      <c r="H14861" s="4"/>
      <c r="I14861" s="4"/>
    </row>
    <row r="14862">
      <c r="A14862" s="4" t="str">
        <f>IFERROR(__xludf.DUMMYFUNCTION("""COMPUTED_VALUE"""),"cas_hmw")</f>
        <v>cas_hmw</v>
      </c>
      <c r="B14862" s="5">
        <f>IFERROR(__xludf.DUMMYFUNCTION("""COMPUTED_VALUE"""),44727.0)</f>
        <v>44727</v>
      </c>
      <c r="C14862" s="6">
        <f>IFERROR(__xludf.DUMMYFUNCTION("""COMPUTED_VALUE"""),0.6973958333328483)</f>
        <v>0.6973958333</v>
      </c>
      <c r="D14862" s="4">
        <f>IFERROR(__xludf.DUMMYFUNCTION("""COMPUTED_VALUE"""),12.916682)</f>
        <v>12.916682</v>
      </c>
      <c r="E14862" s="4">
        <f>IFERROR(__xludf.DUMMYFUNCTION("""COMPUTED_VALUE"""),80.106364)</f>
        <v>80.106364</v>
      </c>
      <c r="F14862" s="4">
        <f>IFERROR(__xludf.DUMMYFUNCTION("""COMPUTED_VALUE"""),805.0)</f>
        <v>805</v>
      </c>
      <c r="G14862" s="4">
        <f>IFERROR(__xludf.DUMMYFUNCTION("""COMPUTED_VALUE"""),20.0)</f>
        <v>20</v>
      </c>
      <c r="H14862" s="4"/>
      <c r="I14862" s="4"/>
    </row>
    <row r="14863">
      <c r="A14863" s="4" t="str">
        <f>IFERROR(__xludf.DUMMYFUNCTION("""COMPUTED_VALUE"""),"cas_hmw")</f>
        <v>cas_hmw</v>
      </c>
      <c r="B14863" s="5">
        <f>IFERROR(__xludf.DUMMYFUNCTION("""COMPUTED_VALUE"""),44727.0)</f>
        <v>44727</v>
      </c>
      <c r="C14863" s="6">
        <f>IFERROR(__xludf.DUMMYFUNCTION("""COMPUTED_VALUE"""),0.6974074074059899)</f>
        <v>0.6974074074</v>
      </c>
      <c r="D14863" s="4">
        <f>IFERROR(__xludf.DUMMYFUNCTION("""COMPUTED_VALUE"""),12.916682)</f>
        <v>12.916682</v>
      </c>
      <c r="E14863" s="4">
        <f>IFERROR(__xludf.DUMMYFUNCTION("""COMPUTED_VALUE"""),80.106364)</f>
        <v>80.106364</v>
      </c>
      <c r="F14863" s="4">
        <f>IFERROR(__xludf.DUMMYFUNCTION("""COMPUTED_VALUE"""),805.0)</f>
        <v>805</v>
      </c>
      <c r="G14863" s="4">
        <f>IFERROR(__xludf.DUMMYFUNCTION("""COMPUTED_VALUE"""),20.0)</f>
        <v>20</v>
      </c>
      <c r="H14863" s="4"/>
      <c r="I14863" s="4"/>
    </row>
    <row r="14864">
      <c r="A14864" s="4" t="str">
        <f>IFERROR(__xludf.DUMMYFUNCTION("""COMPUTED_VALUE"""),"cas_hmw")</f>
        <v>cas_hmw</v>
      </c>
      <c r="B14864" s="5">
        <f>IFERROR(__xludf.DUMMYFUNCTION("""COMPUTED_VALUE"""),44727.0)</f>
        <v>44727</v>
      </c>
      <c r="C14864" s="6">
        <f>IFERROR(__xludf.DUMMYFUNCTION("""COMPUTED_VALUE"""),0.6974305555559113)</f>
        <v>0.6974305556</v>
      </c>
      <c r="D14864" s="4">
        <f>IFERROR(__xludf.DUMMYFUNCTION("""COMPUTED_VALUE"""),12.916682)</f>
        <v>12.916682</v>
      </c>
      <c r="E14864" s="4">
        <f>IFERROR(__xludf.DUMMYFUNCTION("""COMPUTED_VALUE"""),80.106364)</f>
        <v>80.106364</v>
      </c>
      <c r="F14864" s="4">
        <f>IFERROR(__xludf.DUMMYFUNCTION("""COMPUTED_VALUE"""),805.0)</f>
        <v>805</v>
      </c>
      <c r="G14864" s="4">
        <f>IFERROR(__xludf.DUMMYFUNCTION("""COMPUTED_VALUE"""),20.0)</f>
        <v>20</v>
      </c>
      <c r="H14864" s="4"/>
      <c r="I14864" s="4"/>
    </row>
    <row r="14865">
      <c r="A14865" s="4" t="str">
        <f>IFERROR(__xludf.DUMMYFUNCTION("""COMPUTED_VALUE"""),"cas_hmw")</f>
        <v>cas_hmw</v>
      </c>
      <c r="B14865" s="5">
        <f>IFERROR(__xludf.DUMMYFUNCTION("""COMPUTED_VALUE"""),44727.0)</f>
        <v>44727</v>
      </c>
      <c r="C14865" s="6">
        <f>IFERROR(__xludf.DUMMYFUNCTION("""COMPUTED_VALUE"""),0.6975231481483206)</f>
        <v>0.6975231481</v>
      </c>
      <c r="D14865" s="4">
        <f>IFERROR(__xludf.DUMMYFUNCTION("""COMPUTED_VALUE"""),12.916024)</f>
        <v>12.916024</v>
      </c>
      <c r="E14865" s="4">
        <f>IFERROR(__xludf.DUMMYFUNCTION("""COMPUTED_VALUE"""),80.10506)</f>
        <v>80.10506</v>
      </c>
      <c r="F14865" s="4">
        <f>IFERROR(__xludf.DUMMYFUNCTION("""COMPUTED_VALUE"""),5339.0)</f>
        <v>5339</v>
      </c>
      <c r="G14865" s="4">
        <f>IFERROR(__xludf.DUMMYFUNCTION("""COMPUTED_VALUE"""),42.0)</f>
        <v>42</v>
      </c>
      <c r="H14865" s="4"/>
      <c r="I14865" s="4"/>
    </row>
    <row r="14866">
      <c r="A14866" s="4" t="str">
        <f>IFERROR(__xludf.DUMMYFUNCTION("""COMPUTED_VALUE"""),"cas_hmw")</f>
        <v>cas_hmw</v>
      </c>
      <c r="B14866" s="5">
        <f>IFERROR(__xludf.DUMMYFUNCTION("""COMPUTED_VALUE"""),44727.0)</f>
        <v>44727</v>
      </c>
      <c r="C14866" s="6">
        <f>IFERROR(__xludf.DUMMYFUNCTION("""COMPUTED_VALUE"""),0.6977777777792653)</f>
        <v>0.6977777778</v>
      </c>
      <c r="D14866" s="4">
        <f>IFERROR(__xludf.DUMMYFUNCTION("""COMPUTED_VALUE"""),12.840532)</f>
        <v>12.840532</v>
      </c>
      <c r="E14866" s="4">
        <f>IFERROR(__xludf.DUMMYFUNCTION("""COMPUTED_VALUE"""),80.056255)</f>
        <v>80.056255</v>
      </c>
      <c r="F14866" s="4">
        <f>IFERROR(__xludf.DUMMYFUNCTION("""COMPUTED_VALUE"""),2846.0)</f>
        <v>2846</v>
      </c>
      <c r="G14866" s="4">
        <f>IFERROR(__xludf.DUMMYFUNCTION("""COMPUTED_VALUE"""),21.0)</f>
        <v>21</v>
      </c>
      <c r="H14866" s="4"/>
      <c r="I14866" s="4"/>
    </row>
    <row r="14867">
      <c r="A14867" s="4" t="str">
        <f>IFERROR(__xludf.DUMMYFUNCTION("""COMPUTED_VALUE"""),"cas_hmw")</f>
        <v>cas_hmw</v>
      </c>
      <c r="B14867" s="5">
        <f>IFERROR(__xludf.DUMMYFUNCTION("""COMPUTED_VALUE"""),44727.0)</f>
        <v>44727</v>
      </c>
      <c r="C14867" s="6">
        <f>IFERROR(__xludf.DUMMYFUNCTION("""COMPUTED_VALUE"""),0.698171296295186)</f>
        <v>0.6981712963</v>
      </c>
      <c r="D14867" s="4">
        <f>IFERROR(__xludf.DUMMYFUNCTION("""COMPUTED_VALUE"""),12.921495)</f>
        <v>12.921495</v>
      </c>
      <c r="E14867" s="4">
        <f>IFERROR(__xludf.DUMMYFUNCTION("""COMPUTED_VALUE"""),80.112496)</f>
        <v>80.112496</v>
      </c>
      <c r="F14867" s="4">
        <f>IFERROR(__xludf.DUMMYFUNCTION("""COMPUTED_VALUE"""),805.0)</f>
        <v>805</v>
      </c>
      <c r="G14867" s="4">
        <f>IFERROR(__xludf.DUMMYFUNCTION("""COMPUTED_VALUE"""),54.0)</f>
        <v>54</v>
      </c>
      <c r="H14867" s="4"/>
      <c r="I14867" s="4"/>
    </row>
    <row r="14868">
      <c r="A14868" s="4" t="str">
        <f>IFERROR(__xludf.DUMMYFUNCTION("""COMPUTED_VALUE"""),"cas_hmw")</f>
        <v>cas_hmw</v>
      </c>
      <c r="B14868" s="5">
        <f>IFERROR(__xludf.DUMMYFUNCTION("""COMPUTED_VALUE"""),44727.0)</f>
        <v>44727</v>
      </c>
      <c r="C14868" s="6">
        <f>IFERROR(__xludf.DUMMYFUNCTION("""COMPUTED_VALUE"""),0.6989120370380988)</f>
        <v>0.698912037</v>
      </c>
      <c r="D14868" s="4">
        <f>IFERROR(__xludf.DUMMYFUNCTION("""COMPUTED_VALUE"""),12.831549)</f>
        <v>12.831549</v>
      </c>
      <c r="E14868" s="4">
        <f>IFERROR(__xludf.DUMMYFUNCTION("""COMPUTED_VALUE"""),80.046791)</f>
        <v>80.046791</v>
      </c>
      <c r="F14868" s="4">
        <f>IFERROR(__xludf.DUMMYFUNCTION("""COMPUTED_VALUE"""),2846.0)</f>
        <v>2846</v>
      </c>
      <c r="G14868" s="4">
        <f>IFERROR(__xludf.DUMMYFUNCTION("""COMPUTED_VALUE"""),57.0)</f>
        <v>57</v>
      </c>
      <c r="H14868" s="4"/>
      <c r="I14868" s="4"/>
    </row>
    <row r="14869">
      <c r="A14869" s="4" t="str">
        <f>IFERROR(__xludf.DUMMYFUNCTION("""COMPUTED_VALUE"""),"cas_hmw")</f>
        <v>cas_hmw</v>
      </c>
      <c r="B14869" s="5">
        <f>IFERROR(__xludf.DUMMYFUNCTION("""COMPUTED_VALUE"""),44727.0)</f>
        <v>44727</v>
      </c>
      <c r="C14869" s="6">
        <f>IFERROR(__xludf.DUMMYFUNCTION("""COMPUTED_VALUE"""),0.6999074074083182)</f>
        <v>0.6999074074</v>
      </c>
      <c r="D14869" s="4">
        <f>IFERROR(__xludf.DUMMYFUNCTION("""COMPUTED_VALUE"""),12.928156)</f>
        <v>12.928156</v>
      </c>
      <c r="E14869" s="4">
        <f>IFERROR(__xludf.DUMMYFUNCTION("""COMPUTED_VALUE"""),80.119187)</f>
        <v>80.119187</v>
      </c>
      <c r="F14869" s="4">
        <f>IFERROR(__xludf.DUMMYFUNCTION("""COMPUTED_VALUE"""),805.0)</f>
        <v>805</v>
      </c>
      <c r="G14869" s="4">
        <f>IFERROR(__xludf.DUMMYFUNCTION("""COMPUTED_VALUE"""),32.0)</f>
        <v>32</v>
      </c>
      <c r="H14869" s="4"/>
      <c r="I14869" s="4"/>
    </row>
    <row r="14870">
      <c r="A14870" s="4" t="str">
        <f>IFERROR(__xludf.DUMMYFUNCTION("""COMPUTED_VALUE"""),"cas_hmw")</f>
        <v>cas_hmw</v>
      </c>
      <c r="B14870" s="5">
        <f>IFERROR(__xludf.DUMMYFUNCTION("""COMPUTED_VALUE"""),44727.0)</f>
        <v>44727</v>
      </c>
      <c r="C14870" s="6">
        <f>IFERROR(__xludf.DUMMYFUNCTION("""COMPUTED_VALUE"""),0.7000925925931369)</f>
        <v>0.7000925926</v>
      </c>
      <c r="D14870" s="4">
        <f>IFERROR(__xludf.DUMMYFUNCTION("""COMPUTED_VALUE"""),12.820977)</f>
        <v>12.820977</v>
      </c>
      <c r="E14870" s="4">
        <f>IFERROR(__xludf.DUMMYFUNCTION("""COMPUTED_VALUE"""),80.037501)</f>
        <v>80.037501</v>
      </c>
      <c r="F14870" s="4">
        <f>IFERROR(__xludf.DUMMYFUNCTION("""COMPUTED_VALUE"""),2846.0)</f>
        <v>2846</v>
      </c>
      <c r="G14870" s="4">
        <f>IFERROR(__xludf.DUMMYFUNCTION("""COMPUTED_VALUE"""),45.0)</f>
        <v>45</v>
      </c>
      <c r="H14870" s="4"/>
      <c r="I14870" s="4"/>
    </row>
    <row r="14871">
      <c r="A14871" s="4" t="str">
        <f>IFERROR(__xludf.DUMMYFUNCTION("""COMPUTED_VALUE"""),"cas_hmw")</f>
        <v>cas_hmw</v>
      </c>
      <c r="B14871" s="5">
        <f>IFERROR(__xludf.DUMMYFUNCTION("""COMPUTED_VALUE"""),44727.0)</f>
        <v>44727</v>
      </c>
      <c r="C14871" s="6">
        <f>IFERROR(__xludf.DUMMYFUNCTION("""COMPUTED_VALUE"""),0.7004861111126957)</f>
        <v>0.7004861111</v>
      </c>
      <c r="D14871" s="4">
        <f>IFERROR(__xludf.DUMMYFUNCTION("""COMPUTED_VALUE"""),12.927453)</f>
        <v>12.927453</v>
      </c>
      <c r="E14871" s="4">
        <f>IFERROR(__xludf.DUMMYFUNCTION("""COMPUTED_VALUE"""),80.118525)</f>
        <v>80.118525</v>
      </c>
      <c r="F14871" s="4">
        <f>IFERROR(__xludf.DUMMYFUNCTION("""COMPUTED_VALUE"""),5339.0)</f>
        <v>5339</v>
      </c>
      <c r="G14871" s="4">
        <f>IFERROR(__xludf.DUMMYFUNCTION("""COMPUTED_VALUE"""),24.0)</f>
        <v>24</v>
      </c>
      <c r="H14871" s="4"/>
      <c r="I14871" s="4"/>
    </row>
    <row r="14872">
      <c r="A14872" s="4" t="str">
        <f>IFERROR(__xludf.DUMMYFUNCTION("""COMPUTED_VALUE"""),"cas_hmw")</f>
        <v>cas_hmw</v>
      </c>
      <c r="B14872" s="5">
        <f>IFERROR(__xludf.DUMMYFUNCTION("""COMPUTED_VALUE"""),44727.0)</f>
        <v>44727</v>
      </c>
      <c r="C14872" s="6">
        <f>IFERROR(__xludf.DUMMYFUNCTION("""COMPUTED_VALUE"""),0.7010879629633564)</f>
        <v>0.701087963</v>
      </c>
      <c r="D14872" s="4">
        <f>IFERROR(__xludf.DUMMYFUNCTION("""COMPUTED_VALUE"""),12.929577)</f>
        <v>12.929577</v>
      </c>
      <c r="E14872" s="4">
        <f>IFERROR(__xludf.DUMMYFUNCTION("""COMPUTED_VALUE"""),80.120645)</f>
        <v>80.120645</v>
      </c>
      <c r="F14872" s="4">
        <f>IFERROR(__xludf.DUMMYFUNCTION("""COMPUTED_VALUE"""),5339.0)</f>
        <v>5339</v>
      </c>
      <c r="G14872" s="4">
        <f>IFERROR(__xludf.DUMMYFUNCTION("""COMPUTED_VALUE"""),0.0)</f>
        <v>0</v>
      </c>
      <c r="H14872" s="4"/>
      <c r="I14872" s="4"/>
    </row>
    <row r="14873">
      <c r="A14873" s="4" t="str">
        <f>IFERROR(__xludf.DUMMYFUNCTION("""COMPUTED_VALUE"""),"cas_hmw")</f>
        <v>cas_hmw</v>
      </c>
      <c r="B14873" s="5">
        <f>IFERROR(__xludf.DUMMYFUNCTION("""COMPUTED_VALUE"""),44727.0)</f>
        <v>44727</v>
      </c>
      <c r="C14873" s="6">
        <f>IFERROR(__xludf.DUMMYFUNCTION("""COMPUTED_VALUE"""),0.7014236111099308)</f>
        <v>0.7014236111</v>
      </c>
      <c r="D14873" s="4">
        <f>IFERROR(__xludf.DUMMYFUNCTION("""COMPUTED_VALUE"""),12.931244)</f>
        <v>12.931244</v>
      </c>
      <c r="E14873" s="4">
        <f>IFERROR(__xludf.DUMMYFUNCTION("""COMPUTED_VALUE"""),80.122326)</f>
        <v>80.122326</v>
      </c>
      <c r="F14873" s="4">
        <f>IFERROR(__xludf.DUMMYFUNCTION("""COMPUTED_VALUE"""),5339.0)</f>
        <v>5339</v>
      </c>
      <c r="G14873" s="4">
        <f>IFERROR(__xludf.DUMMYFUNCTION("""COMPUTED_VALUE"""),34.0)</f>
        <v>34</v>
      </c>
      <c r="H14873" s="4"/>
      <c r="I14873" s="4"/>
    </row>
    <row r="14874">
      <c r="A14874" s="4" t="str">
        <f>IFERROR(__xludf.DUMMYFUNCTION("""COMPUTED_VALUE"""),"cas_hmw")</f>
        <v>cas_hmw</v>
      </c>
      <c r="B14874" s="5">
        <f>IFERROR(__xludf.DUMMYFUNCTION("""COMPUTED_VALUE"""),44727.0)</f>
        <v>44727</v>
      </c>
      <c r="C14874" s="6">
        <f>IFERROR(__xludf.DUMMYFUNCTION("""COMPUTED_VALUE"""),0.7016898148140172)</f>
        <v>0.7016898148</v>
      </c>
      <c r="D14874" s="4">
        <f>IFERROR(__xludf.DUMMYFUNCTION("""COMPUTED_VALUE"""),12.933811)</f>
        <v>12.933811</v>
      </c>
      <c r="E14874" s="4">
        <f>IFERROR(__xludf.DUMMYFUNCTION("""COMPUTED_VALUE"""),80.124815)</f>
        <v>80.124815</v>
      </c>
      <c r="F14874" s="4">
        <f>IFERROR(__xludf.DUMMYFUNCTION("""COMPUTED_VALUE"""),5339.0)</f>
        <v>5339</v>
      </c>
      <c r="G14874" s="4">
        <f>IFERROR(__xludf.DUMMYFUNCTION("""COMPUTED_VALUE"""),54.0)</f>
        <v>54</v>
      </c>
      <c r="H14874" s="4"/>
      <c r="I14874" s="4"/>
    </row>
    <row r="14875">
      <c r="A14875" s="4" t="str">
        <f>IFERROR(__xludf.DUMMYFUNCTION("""COMPUTED_VALUE"""),"cas_hmw")</f>
        <v>cas_hmw</v>
      </c>
      <c r="B14875" s="5">
        <f>IFERROR(__xludf.DUMMYFUNCTION("""COMPUTED_VALUE"""),44727.0)</f>
        <v>44727</v>
      </c>
      <c r="C14875" s="6">
        <f>IFERROR(__xludf.DUMMYFUNCTION("""COMPUTED_VALUE"""),0.7017013888871588)</f>
        <v>0.7017013889</v>
      </c>
      <c r="D14875" s="4">
        <f>IFERROR(__xludf.DUMMYFUNCTION("""COMPUTED_VALUE"""),12.937333)</f>
        <v>12.937333</v>
      </c>
      <c r="E14875" s="4">
        <f>IFERROR(__xludf.DUMMYFUNCTION("""COMPUTED_VALUE"""),80.128007)</f>
        <v>80.128007</v>
      </c>
      <c r="F14875" s="4">
        <f>IFERROR(__xludf.DUMMYFUNCTION("""COMPUTED_VALUE"""),805.0)</f>
        <v>805</v>
      </c>
      <c r="G14875" s="4">
        <f>IFERROR(__xludf.DUMMYFUNCTION("""COMPUTED_VALUE"""),52.0)</f>
        <v>52</v>
      </c>
      <c r="H14875" s="4"/>
      <c r="I14875" s="4"/>
    </row>
    <row r="14876">
      <c r="A14876" s="4" t="str">
        <f>IFERROR(__xludf.DUMMYFUNCTION("""COMPUTED_VALUE"""),"cas_hmw")</f>
        <v>cas_hmw</v>
      </c>
      <c r="B14876" s="5">
        <f>IFERROR(__xludf.DUMMYFUNCTION("""COMPUTED_VALUE"""),44727.0)</f>
        <v>44727</v>
      </c>
      <c r="C14876" s="6">
        <f>IFERROR(__xludf.DUMMYFUNCTION("""COMPUTED_VALUE"""),0.7017361111102218)</f>
        <v>0.7017361111</v>
      </c>
      <c r="D14876" s="4">
        <f>IFERROR(__xludf.DUMMYFUNCTION("""COMPUTED_VALUE"""),12.933811)</f>
        <v>12.933811</v>
      </c>
      <c r="E14876" s="4">
        <f>IFERROR(__xludf.DUMMYFUNCTION("""COMPUTED_VALUE"""),80.124815)</f>
        <v>80.124815</v>
      </c>
      <c r="F14876" s="4">
        <f>IFERROR(__xludf.DUMMYFUNCTION("""COMPUTED_VALUE"""),5339.0)</f>
        <v>5339</v>
      </c>
      <c r="G14876" s="4">
        <f>IFERROR(__xludf.DUMMYFUNCTION("""COMPUTED_VALUE"""),54.0)</f>
        <v>54</v>
      </c>
      <c r="H14876" s="4"/>
      <c r="I14876" s="4"/>
    </row>
    <row r="14877">
      <c r="A14877" s="4" t="str">
        <f>IFERROR(__xludf.DUMMYFUNCTION("""COMPUTED_VALUE"""),"cas_hmw")</f>
        <v>cas_hmw</v>
      </c>
      <c r="B14877" s="5">
        <f>IFERROR(__xludf.DUMMYFUNCTION("""COMPUTED_VALUE"""),44727.0)</f>
        <v>44727</v>
      </c>
      <c r="C14877" s="6">
        <f>IFERROR(__xludf.DUMMYFUNCTION("""COMPUTED_VALUE"""),0.7017939814832062)</f>
        <v>0.7017939815</v>
      </c>
      <c r="D14877" s="4">
        <f>IFERROR(__xludf.DUMMYFUNCTION("""COMPUTED_VALUE"""),12.933811)</f>
        <v>12.933811</v>
      </c>
      <c r="E14877" s="4">
        <f>IFERROR(__xludf.DUMMYFUNCTION("""COMPUTED_VALUE"""),80.124815)</f>
        <v>80.124815</v>
      </c>
      <c r="F14877" s="4">
        <f>IFERROR(__xludf.DUMMYFUNCTION("""COMPUTED_VALUE"""),5339.0)</f>
        <v>5339</v>
      </c>
      <c r="G14877" s="4">
        <f>IFERROR(__xludf.DUMMYFUNCTION("""COMPUTED_VALUE"""),54.0)</f>
        <v>54</v>
      </c>
      <c r="H14877" s="4"/>
      <c r="I14877" s="4"/>
    </row>
    <row r="14878">
      <c r="A14878" s="4" t="str">
        <f>IFERROR(__xludf.DUMMYFUNCTION("""COMPUTED_VALUE"""),"cas_hmw")</f>
        <v>cas_hmw</v>
      </c>
      <c r="B14878" s="5">
        <f>IFERROR(__xludf.DUMMYFUNCTION("""COMPUTED_VALUE"""),44727.0)</f>
        <v>44727</v>
      </c>
      <c r="C14878" s="6">
        <f>IFERROR(__xludf.DUMMYFUNCTION("""COMPUTED_VALUE"""),0.7018981481487572)</f>
        <v>0.7018981481</v>
      </c>
      <c r="D14878" s="4">
        <f>IFERROR(__xludf.DUMMYFUNCTION("""COMPUTED_VALUE"""),12.935036)</f>
        <v>12.935036</v>
      </c>
      <c r="E14878" s="4">
        <f>IFERROR(__xludf.DUMMYFUNCTION("""COMPUTED_VALUE"""),80.125994)</f>
        <v>80.125994</v>
      </c>
      <c r="F14878" s="4">
        <f>IFERROR(__xludf.DUMMYFUNCTION("""COMPUTED_VALUE"""),5339.0)</f>
        <v>5339</v>
      </c>
      <c r="G14878" s="4">
        <f>IFERROR(__xludf.DUMMYFUNCTION("""COMPUTED_VALUE"""),31.0)</f>
        <v>31</v>
      </c>
      <c r="H14878" s="4"/>
      <c r="I14878" s="4"/>
    </row>
    <row r="14879">
      <c r="A14879" s="4" t="str">
        <f>IFERROR(__xludf.DUMMYFUNCTION("""COMPUTED_VALUE"""),"cas_hmw")</f>
        <v>cas_hmw</v>
      </c>
      <c r="B14879" s="5">
        <f>IFERROR(__xludf.DUMMYFUNCTION("""COMPUTED_VALUE"""),44727.0)</f>
        <v>44727</v>
      </c>
      <c r="C14879" s="6">
        <f>IFERROR(__xludf.DUMMYFUNCTION("""COMPUTED_VALUE"""),0.7020949074067175)</f>
        <v>0.7020949074</v>
      </c>
      <c r="D14879" s="4">
        <f>IFERROR(__xludf.DUMMYFUNCTION("""COMPUTED_VALUE"""),12.936307)</f>
        <v>12.936307</v>
      </c>
      <c r="E14879" s="4">
        <f>IFERROR(__xludf.DUMMYFUNCTION("""COMPUTED_VALUE"""),80.12711)</f>
        <v>80.12711</v>
      </c>
      <c r="F14879" s="4">
        <f>IFERROR(__xludf.DUMMYFUNCTION("""COMPUTED_VALUE"""),5339.0)</f>
        <v>5339</v>
      </c>
      <c r="G14879" s="4">
        <f>IFERROR(__xludf.DUMMYFUNCTION("""COMPUTED_VALUE"""),43.0)</f>
        <v>43</v>
      </c>
      <c r="H14879" s="4"/>
      <c r="I14879" s="4"/>
    </row>
    <row r="14880">
      <c r="A14880" s="4" t="str">
        <f>IFERROR(__xludf.DUMMYFUNCTION("""COMPUTED_VALUE"""),"cas_hmw")</f>
        <v>cas_hmw</v>
      </c>
      <c r="B14880" s="5">
        <f>IFERROR(__xludf.DUMMYFUNCTION("""COMPUTED_VALUE"""),44727.0)</f>
        <v>44727</v>
      </c>
      <c r="C14880" s="6">
        <f>IFERROR(__xludf.DUMMYFUNCTION("""COMPUTED_VALUE"""),0.7021874999991269)</f>
        <v>0.7021875</v>
      </c>
      <c r="D14880" s="4">
        <f>IFERROR(__xludf.DUMMYFUNCTION("""COMPUTED_VALUE"""),12.936307)</f>
        <v>12.936307</v>
      </c>
      <c r="E14880" s="4">
        <f>IFERROR(__xludf.DUMMYFUNCTION("""COMPUTED_VALUE"""),80.12711)</f>
        <v>80.12711</v>
      </c>
      <c r="F14880" s="4">
        <f>IFERROR(__xludf.DUMMYFUNCTION("""COMPUTED_VALUE"""),5339.0)</f>
        <v>5339</v>
      </c>
      <c r="G14880" s="4">
        <f>IFERROR(__xludf.DUMMYFUNCTION("""COMPUTED_VALUE"""),43.0)</f>
        <v>43</v>
      </c>
      <c r="H14880" s="4"/>
      <c r="I14880" s="4"/>
    </row>
    <row r="14881">
      <c r="A14881" s="4" t="str">
        <f>IFERROR(__xludf.DUMMYFUNCTION("""COMPUTED_VALUE"""),"cas_hmw")</f>
        <v>cas_hmw</v>
      </c>
      <c r="B14881" s="5">
        <f>IFERROR(__xludf.DUMMYFUNCTION("""COMPUTED_VALUE"""),44727.0)</f>
        <v>44727</v>
      </c>
      <c r="C14881" s="6">
        <f>IFERROR(__xludf.DUMMYFUNCTION("""COMPUTED_VALUE"""),0.7025462962956226)</f>
        <v>0.7025462963</v>
      </c>
      <c r="D14881" s="4">
        <f>IFERROR(__xludf.DUMMYFUNCTION("""COMPUTED_VALUE"""),12.939872)</f>
        <v>12.939872</v>
      </c>
      <c r="E14881" s="4">
        <f>IFERROR(__xludf.DUMMYFUNCTION("""COMPUTED_VALUE"""),80.130285)</f>
        <v>80.130285</v>
      </c>
      <c r="F14881" s="4">
        <f>IFERROR(__xludf.DUMMYFUNCTION("""COMPUTED_VALUE"""),5339.0)</f>
        <v>5339</v>
      </c>
      <c r="G14881" s="4">
        <f>IFERROR(__xludf.DUMMYFUNCTION("""COMPUTED_VALUE"""),62.0)</f>
        <v>62</v>
      </c>
      <c r="H14881" s="4"/>
      <c r="I14881" s="4"/>
    </row>
    <row r="14882">
      <c r="A14882" s="4" t="str">
        <f>IFERROR(__xludf.DUMMYFUNCTION("""COMPUTED_VALUE"""),"cas_hmw")</f>
        <v>cas_hmw</v>
      </c>
      <c r="B14882" s="5">
        <f>IFERROR(__xludf.DUMMYFUNCTION("""COMPUTED_VALUE"""),44727.0)</f>
        <v>44727</v>
      </c>
      <c r="C14882" s="6">
        <f>IFERROR(__xludf.DUMMYFUNCTION("""COMPUTED_VALUE"""),0.7036805555544561)</f>
        <v>0.7036805556</v>
      </c>
      <c r="D14882" s="4">
        <f>IFERROR(__xludf.DUMMYFUNCTION("""COMPUTED_VALUE"""),12.794098)</f>
        <v>12.794098</v>
      </c>
      <c r="E14882" s="4">
        <f>IFERROR(__xludf.DUMMYFUNCTION("""COMPUTED_VALUE"""),80.019643)</f>
        <v>80.019643</v>
      </c>
      <c r="F14882" s="4">
        <f>IFERROR(__xludf.DUMMYFUNCTION("""COMPUTED_VALUE"""),2846.0)</f>
        <v>2846</v>
      </c>
      <c r="G14882" s="4">
        <f>IFERROR(__xludf.DUMMYFUNCTION("""COMPUTED_VALUE"""),34.0)</f>
        <v>34</v>
      </c>
      <c r="H14882" s="4"/>
      <c r="I14882" s="4"/>
    </row>
    <row r="14883">
      <c r="A14883" s="4" t="str">
        <f>IFERROR(__xludf.DUMMYFUNCTION("""COMPUTED_VALUE"""),"cas_hmw")</f>
        <v>cas_hmw</v>
      </c>
      <c r="B14883" s="5">
        <f>IFERROR(__xludf.DUMMYFUNCTION("""COMPUTED_VALUE"""),44727.0)</f>
        <v>44727</v>
      </c>
      <c r="C14883" s="6">
        <f>IFERROR(__xludf.DUMMYFUNCTION("""COMPUTED_VALUE"""),0.7037268518506608)</f>
        <v>0.7037268519</v>
      </c>
      <c r="D14883" s="4">
        <f>IFERROR(__xludf.DUMMYFUNCTION("""COMPUTED_VALUE"""),12.793284)</f>
        <v>12.793284</v>
      </c>
      <c r="E14883" s="4">
        <f>IFERROR(__xludf.DUMMYFUNCTION("""COMPUTED_VALUE"""),80.019079)</f>
        <v>80.019079</v>
      </c>
      <c r="F14883" s="4">
        <f>IFERROR(__xludf.DUMMYFUNCTION("""COMPUTED_VALUE"""),2846.0)</f>
        <v>2846</v>
      </c>
      <c r="G14883" s="4">
        <f>IFERROR(__xludf.DUMMYFUNCTION("""COMPUTED_VALUE"""),36.0)</f>
        <v>36</v>
      </c>
      <c r="H14883" s="4"/>
      <c r="I14883" s="4"/>
    </row>
    <row r="14884">
      <c r="A14884" s="4" t="str">
        <f>IFERROR(__xludf.DUMMYFUNCTION("""COMPUTED_VALUE"""),"cas_hmw")</f>
        <v>cas_hmw</v>
      </c>
      <c r="B14884" s="5">
        <f>IFERROR(__xludf.DUMMYFUNCTION("""COMPUTED_VALUE"""),44727.0)</f>
        <v>44727</v>
      </c>
      <c r="C14884" s="6">
        <f>IFERROR(__xludf.DUMMYFUNCTION("""COMPUTED_VALUE"""),0.7039004629623378)</f>
        <v>0.703900463</v>
      </c>
      <c r="D14884" s="4">
        <f>IFERROR(__xludf.DUMMYFUNCTION("""COMPUTED_VALUE"""),12.792562)</f>
        <v>12.792562</v>
      </c>
      <c r="E14884" s="4">
        <f>IFERROR(__xludf.DUMMYFUNCTION("""COMPUTED_VALUE"""),80.018574)</f>
        <v>80.018574</v>
      </c>
      <c r="F14884" s="4">
        <f>IFERROR(__xludf.DUMMYFUNCTION("""COMPUTED_VALUE"""),2846.0)</f>
        <v>2846</v>
      </c>
      <c r="G14884" s="4">
        <f>IFERROR(__xludf.DUMMYFUNCTION("""COMPUTED_VALUE"""),39.0)</f>
        <v>39</v>
      </c>
      <c r="H14884" s="4"/>
      <c r="I14884" s="4"/>
    </row>
    <row r="14885">
      <c r="A14885" s="4" t="str">
        <f>IFERROR(__xludf.DUMMYFUNCTION("""COMPUTED_VALUE"""),"cas_hmw")</f>
        <v>cas_hmw</v>
      </c>
      <c r="B14885" s="5">
        <f>IFERROR(__xludf.DUMMYFUNCTION("""COMPUTED_VALUE"""),44727.0)</f>
        <v>44727</v>
      </c>
      <c r="C14885" s="6">
        <f>IFERROR(__xludf.DUMMYFUNCTION("""COMPUTED_VALUE"""),0.7039467592585424)</f>
        <v>0.7039467593</v>
      </c>
      <c r="D14885" s="4">
        <f>IFERROR(__xludf.DUMMYFUNCTION("""COMPUTED_VALUE"""),12.950691)</f>
        <v>12.950691</v>
      </c>
      <c r="E14885" s="4">
        <f>IFERROR(__xludf.DUMMYFUNCTION("""COMPUTED_VALUE"""),80.139581)</f>
        <v>80.139581</v>
      </c>
      <c r="F14885" s="4">
        <f>IFERROR(__xludf.DUMMYFUNCTION("""COMPUTED_VALUE"""),5339.0)</f>
        <v>5339</v>
      </c>
      <c r="G14885" s="4">
        <f>IFERROR(__xludf.DUMMYFUNCTION("""COMPUTED_VALUE"""),27.0)</f>
        <v>27</v>
      </c>
      <c r="H14885" s="4"/>
      <c r="I14885" s="4"/>
    </row>
    <row r="14886">
      <c r="A14886" s="4" t="str">
        <f>IFERROR(__xludf.DUMMYFUNCTION("""COMPUTED_VALUE"""),"cas_hmw")</f>
        <v>cas_hmw</v>
      </c>
      <c r="B14886" s="5">
        <f>IFERROR(__xludf.DUMMYFUNCTION("""COMPUTED_VALUE"""),44727.0)</f>
        <v>44727</v>
      </c>
      <c r="C14886" s="6">
        <f>IFERROR(__xludf.DUMMYFUNCTION("""COMPUTED_VALUE"""),0.7039467592585424)</f>
        <v>0.7039467593</v>
      </c>
      <c r="D14886" s="4">
        <f>IFERROR(__xludf.DUMMYFUNCTION("""COMPUTED_VALUE"""),12.950691)</f>
        <v>12.950691</v>
      </c>
      <c r="E14886" s="4">
        <f>IFERROR(__xludf.DUMMYFUNCTION("""COMPUTED_VALUE"""),80.139581)</f>
        <v>80.139581</v>
      </c>
      <c r="F14886" s="4">
        <f>IFERROR(__xludf.DUMMYFUNCTION("""COMPUTED_VALUE"""),5339.0)</f>
        <v>5339</v>
      </c>
      <c r="G14886" s="4">
        <f>IFERROR(__xludf.DUMMYFUNCTION("""COMPUTED_VALUE"""),27.0)</f>
        <v>27</v>
      </c>
      <c r="H14886" s="4"/>
      <c r="I14886" s="4"/>
    </row>
    <row r="14887">
      <c r="A14887" s="4" t="str">
        <f>IFERROR(__xludf.DUMMYFUNCTION("""COMPUTED_VALUE"""),"cas_hmw")</f>
        <v>cas_hmw</v>
      </c>
      <c r="B14887" s="5">
        <f>IFERROR(__xludf.DUMMYFUNCTION("""COMPUTED_VALUE"""),44727.0)</f>
        <v>44727</v>
      </c>
      <c r="C14887" s="6">
        <f>IFERROR(__xludf.DUMMYFUNCTION("""COMPUTED_VALUE"""),0.7039583333316841)</f>
        <v>0.7039583333</v>
      </c>
      <c r="D14887" s="4">
        <f>IFERROR(__xludf.DUMMYFUNCTION("""COMPUTED_VALUE"""),12.950691)</f>
        <v>12.950691</v>
      </c>
      <c r="E14887" s="4">
        <f>IFERROR(__xludf.DUMMYFUNCTION("""COMPUTED_VALUE"""),80.139581)</f>
        <v>80.139581</v>
      </c>
      <c r="F14887" s="4">
        <f>IFERROR(__xludf.DUMMYFUNCTION("""COMPUTED_VALUE"""),5339.0)</f>
        <v>5339</v>
      </c>
      <c r="G14887" s="4">
        <f>IFERROR(__xludf.DUMMYFUNCTION("""COMPUTED_VALUE"""),27.0)</f>
        <v>27</v>
      </c>
      <c r="H14887" s="4"/>
      <c r="I14887" s="4"/>
    </row>
    <row r="14888">
      <c r="A14888" s="4" t="str">
        <f>IFERROR(__xludf.DUMMYFUNCTION("""COMPUTED_VALUE"""),"cas_hmw")</f>
        <v>cas_hmw</v>
      </c>
      <c r="B14888" s="5">
        <f>IFERROR(__xludf.DUMMYFUNCTION("""COMPUTED_VALUE"""),44727.0)</f>
        <v>44727</v>
      </c>
      <c r="C14888" s="6">
        <f>IFERROR(__xludf.DUMMYFUNCTION("""COMPUTED_VALUE"""),0.7041087962970778)</f>
        <v>0.7041087963</v>
      </c>
      <c r="D14888" s="4">
        <f>IFERROR(__xludf.DUMMYFUNCTION("""COMPUTED_VALUE"""),12.954)</f>
        <v>12.954</v>
      </c>
      <c r="E14888" s="4">
        <f>IFERROR(__xludf.DUMMYFUNCTION("""COMPUTED_VALUE"""),80.141888)</f>
        <v>80.141888</v>
      </c>
      <c r="F14888" s="4">
        <f>IFERROR(__xludf.DUMMYFUNCTION("""COMPUTED_VALUE"""),805.0)</f>
        <v>805</v>
      </c>
      <c r="G14888" s="4">
        <f>IFERROR(__xludf.DUMMYFUNCTION("""COMPUTED_VALUE"""),52.0)</f>
        <v>52</v>
      </c>
      <c r="H14888" s="4"/>
      <c r="I14888" s="4"/>
    </row>
    <row r="14889">
      <c r="A14889" s="4" t="str">
        <f>IFERROR(__xludf.DUMMYFUNCTION("""COMPUTED_VALUE"""),"cas_hmw")</f>
        <v>cas_hmw</v>
      </c>
      <c r="B14889" s="5">
        <f>IFERROR(__xludf.DUMMYFUNCTION("""COMPUTED_VALUE"""),44727.0)</f>
        <v>44727</v>
      </c>
      <c r="C14889" s="6">
        <f>IFERROR(__xludf.DUMMYFUNCTION("""COMPUTED_VALUE"""),0.7043055555550382)</f>
        <v>0.7043055556</v>
      </c>
      <c r="D14889" s="4">
        <f>IFERROR(__xludf.DUMMYFUNCTION("""COMPUTED_VALUE"""),12.952728)</f>
        <v>12.952728</v>
      </c>
      <c r="E14889" s="4">
        <f>IFERROR(__xludf.DUMMYFUNCTION("""COMPUTED_VALUE"""),80.141141)</f>
        <v>80.141141</v>
      </c>
      <c r="F14889" s="4">
        <f>IFERROR(__xludf.DUMMYFUNCTION("""COMPUTED_VALUE"""),5339.0)</f>
        <v>5339</v>
      </c>
      <c r="G14889" s="4">
        <f>IFERROR(__xludf.DUMMYFUNCTION("""COMPUTED_VALUE"""),34.0)</f>
        <v>34</v>
      </c>
      <c r="H14889" s="4"/>
      <c r="I14889" s="4"/>
    </row>
    <row r="14890">
      <c r="A14890" s="4" t="str">
        <f>IFERROR(__xludf.DUMMYFUNCTION("""COMPUTED_VALUE"""),"cas_hmw")</f>
        <v>cas_hmw</v>
      </c>
      <c r="B14890" s="5">
        <f>IFERROR(__xludf.DUMMYFUNCTION("""COMPUTED_VALUE"""),44727.0)</f>
        <v>44727</v>
      </c>
      <c r="C14890" s="6">
        <f>IFERROR(__xludf.DUMMYFUNCTION("""COMPUTED_VALUE"""),0.7043750000011642)</f>
        <v>0.704375</v>
      </c>
      <c r="D14890" s="4">
        <f>IFERROR(__xludf.DUMMYFUNCTION("""COMPUTED_VALUE"""),12.952728)</f>
        <v>12.952728</v>
      </c>
      <c r="E14890" s="4">
        <f>IFERROR(__xludf.DUMMYFUNCTION("""COMPUTED_VALUE"""),80.141141)</f>
        <v>80.141141</v>
      </c>
      <c r="F14890" s="4">
        <f>IFERROR(__xludf.DUMMYFUNCTION("""COMPUTED_VALUE"""),5339.0)</f>
        <v>5339</v>
      </c>
      <c r="G14890" s="4">
        <f>IFERROR(__xludf.DUMMYFUNCTION("""COMPUTED_VALUE"""),34.0)</f>
        <v>34</v>
      </c>
      <c r="H14890" s="4"/>
      <c r="I14890" s="4"/>
    </row>
    <row r="14891">
      <c r="A14891" s="4" t="str">
        <f>IFERROR(__xludf.DUMMYFUNCTION("""COMPUTED_VALUE"""),"cas_hmw")</f>
        <v>cas_hmw</v>
      </c>
      <c r="B14891" s="5">
        <f>IFERROR(__xludf.DUMMYFUNCTION("""COMPUTED_VALUE"""),44727.0)</f>
        <v>44727</v>
      </c>
      <c r="C14891" s="6">
        <f>IFERROR(__xludf.DUMMYFUNCTION("""COMPUTED_VALUE"""),0.7051736111097853)</f>
        <v>0.7051736111</v>
      </c>
      <c r="D14891" s="4">
        <f>IFERROR(__xludf.DUMMYFUNCTION("""COMPUTED_VALUE"""),12.955776)</f>
        <v>12.955776</v>
      </c>
      <c r="E14891" s="4">
        <f>IFERROR(__xludf.DUMMYFUNCTION("""COMPUTED_VALUE"""),80.142818)</f>
        <v>80.142818</v>
      </c>
      <c r="F14891" s="4">
        <f>IFERROR(__xludf.DUMMYFUNCTION("""COMPUTED_VALUE"""),5339.0)</f>
        <v>5339</v>
      </c>
      <c r="G14891" s="4">
        <f>IFERROR(__xludf.DUMMYFUNCTION("""COMPUTED_VALUE"""),11.0)</f>
        <v>11</v>
      </c>
      <c r="H14891" s="4"/>
      <c r="I14891" s="4"/>
    </row>
    <row r="14892">
      <c r="A14892" s="4" t="str">
        <f>IFERROR(__xludf.DUMMYFUNCTION("""COMPUTED_VALUE"""),"cas_hmw")</f>
        <v>cas_hmw</v>
      </c>
      <c r="B14892" s="5">
        <f>IFERROR(__xludf.DUMMYFUNCTION("""COMPUTED_VALUE"""),44727.0)</f>
        <v>44727</v>
      </c>
      <c r="C14892" s="6">
        <f>IFERROR(__xludf.DUMMYFUNCTION("""COMPUTED_VALUE"""),0.7054861111100763)</f>
        <v>0.7054861111</v>
      </c>
      <c r="D14892" s="4">
        <f>IFERROR(__xludf.DUMMYFUNCTION("""COMPUTED_VALUE"""),12.958363)</f>
        <v>12.958363</v>
      </c>
      <c r="E14892" s="4">
        <f>IFERROR(__xludf.DUMMYFUNCTION("""COMPUTED_VALUE"""),80.144136)</f>
        <v>80.144136</v>
      </c>
      <c r="F14892" s="4">
        <f>IFERROR(__xludf.DUMMYFUNCTION("""COMPUTED_VALUE"""),805.0)</f>
        <v>805</v>
      </c>
      <c r="G14892" s="4">
        <f>IFERROR(__xludf.DUMMYFUNCTION("""COMPUTED_VALUE"""),33.0)</f>
        <v>33</v>
      </c>
      <c r="H14892" s="4"/>
      <c r="I14892" s="4"/>
    </row>
    <row r="14893">
      <c r="A14893" s="4" t="str">
        <f>IFERROR(__xludf.DUMMYFUNCTION("""COMPUTED_VALUE"""),"cas_hmw")</f>
        <v>cas_hmw</v>
      </c>
      <c r="B14893" s="5">
        <f>IFERROR(__xludf.DUMMYFUNCTION("""COMPUTED_VALUE"""),44727.0)</f>
        <v>44727</v>
      </c>
      <c r="C14893" s="6">
        <f>IFERROR(__xludf.DUMMYFUNCTION("""COMPUTED_VALUE"""),0.7055902777792653)</f>
        <v>0.7055902778</v>
      </c>
      <c r="D14893" s="4">
        <f>IFERROR(__xludf.DUMMYFUNCTION("""COMPUTED_VALUE"""),12.773903)</f>
        <v>12.773903</v>
      </c>
      <c r="E14893" s="4">
        <f>IFERROR(__xludf.DUMMYFUNCTION("""COMPUTED_VALUE"""),80.009116)</f>
        <v>80.009116</v>
      </c>
      <c r="F14893" s="4">
        <f>IFERROR(__xludf.DUMMYFUNCTION("""COMPUTED_VALUE"""),2846.0)</f>
        <v>2846</v>
      </c>
      <c r="G14893" s="4">
        <f>IFERROR(__xludf.DUMMYFUNCTION("""COMPUTED_VALUE"""),58.0)</f>
        <v>58</v>
      </c>
      <c r="H14893" s="4"/>
      <c r="I14893" s="4"/>
    </row>
    <row r="14894">
      <c r="A14894" s="4" t="str">
        <f>IFERROR(__xludf.DUMMYFUNCTION("""COMPUTED_VALUE"""),"cas_hmw")</f>
        <v>cas_hmw</v>
      </c>
      <c r="B14894" s="5">
        <f>IFERROR(__xludf.DUMMYFUNCTION("""COMPUTED_VALUE"""),44727.0)</f>
        <v>44727</v>
      </c>
      <c r="C14894" s="6">
        <f>IFERROR(__xludf.DUMMYFUNCTION("""COMPUTED_VALUE"""),0.705740740741021)</f>
        <v>0.7057407407</v>
      </c>
      <c r="D14894" s="4">
        <f>IFERROR(__xludf.DUMMYFUNCTION("""COMPUTED_VALUE"""),12.772641)</f>
        <v>12.772641</v>
      </c>
      <c r="E14894" s="4">
        <f>IFERROR(__xludf.DUMMYFUNCTION("""COMPUTED_VALUE"""),80.008543)</f>
        <v>80.008543</v>
      </c>
      <c r="F14894" s="4">
        <f>IFERROR(__xludf.DUMMYFUNCTION("""COMPUTED_VALUE"""),2846.0)</f>
        <v>2846</v>
      </c>
      <c r="G14894" s="4">
        <f>IFERROR(__xludf.DUMMYFUNCTION("""COMPUTED_VALUE"""),50.0)</f>
        <v>50</v>
      </c>
      <c r="H14894" s="4"/>
      <c r="I14894" s="4"/>
    </row>
    <row r="14895">
      <c r="A14895" s="4" t="str">
        <f>IFERROR(__xludf.DUMMYFUNCTION("""COMPUTED_VALUE"""),"cas_hmw")</f>
        <v>cas_hmw</v>
      </c>
      <c r="B14895" s="5">
        <f>IFERROR(__xludf.DUMMYFUNCTION("""COMPUTED_VALUE"""),44727.0)</f>
        <v>44727</v>
      </c>
      <c r="C14895" s="6">
        <f>IFERROR(__xludf.DUMMYFUNCTION("""COMPUTED_VALUE"""),0.7062268518529891)</f>
        <v>0.7062268519</v>
      </c>
      <c r="D14895" s="4">
        <f>IFERROR(__xludf.DUMMYFUNCTION("""COMPUTED_VALUE"""),12.964544)</f>
        <v>12.964544</v>
      </c>
      <c r="E14895" s="4">
        <f>IFERROR(__xludf.DUMMYFUNCTION("""COMPUTED_VALUE"""),80.147557)</f>
        <v>80.147557</v>
      </c>
      <c r="F14895" s="4">
        <f>IFERROR(__xludf.DUMMYFUNCTION("""COMPUTED_VALUE"""),805.0)</f>
        <v>805</v>
      </c>
      <c r="G14895" s="4">
        <f>IFERROR(__xludf.DUMMYFUNCTION("""COMPUTED_VALUE"""),47.0)</f>
        <v>47</v>
      </c>
      <c r="H14895" s="4"/>
      <c r="I14895" s="4"/>
    </row>
    <row r="14896">
      <c r="A14896" s="4" t="str">
        <f>IFERROR(__xludf.DUMMYFUNCTION("""COMPUTED_VALUE"""),"cas_hmw")</f>
        <v>cas_hmw</v>
      </c>
      <c r="B14896" s="5">
        <f>IFERROR(__xludf.DUMMYFUNCTION("""COMPUTED_VALUE"""),44727.0)</f>
        <v>44727</v>
      </c>
      <c r="C14896" s="6">
        <f>IFERROR(__xludf.DUMMYFUNCTION("""COMPUTED_VALUE"""),0.7069097222229175)</f>
        <v>0.7069097222</v>
      </c>
      <c r="D14896" s="4">
        <f>IFERROR(__xludf.DUMMYFUNCTION("""COMPUTED_VALUE"""),12.96154)</f>
        <v>12.96154</v>
      </c>
      <c r="E14896" s="4">
        <f>IFERROR(__xludf.DUMMYFUNCTION("""COMPUTED_VALUE"""),80.145914)</f>
        <v>80.145914</v>
      </c>
      <c r="F14896" s="4">
        <f>IFERROR(__xludf.DUMMYFUNCTION("""COMPUTED_VALUE"""),5339.0)</f>
        <v>5339</v>
      </c>
      <c r="G14896" s="4">
        <f>IFERROR(__xludf.DUMMYFUNCTION("""COMPUTED_VALUE"""),37.0)</f>
        <v>37</v>
      </c>
      <c r="H14896" s="4"/>
      <c r="I14896" s="4"/>
    </row>
    <row r="14897">
      <c r="A14897" s="4" t="str">
        <f>IFERROR(__xludf.DUMMYFUNCTION("""COMPUTED_VALUE"""),"cas_hmw")</f>
        <v>cas_hmw</v>
      </c>
      <c r="B14897" s="5">
        <f>IFERROR(__xludf.DUMMYFUNCTION("""COMPUTED_VALUE"""),44727.0)</f>
        <v>44727</v>
      </c>
      <c r="C14897" s="6">
        <f>IFERROR(__xludf.DUMMYFUNCTION("""COMPUTED_VALUE"""),0.7073495370386809)</f>
        <v>0.707349537</v>
      </c>
      <c r="D14897" s="4">
        <f>IFERROR(__xludf.DUMMYFUNCTION("""COMPUTED_VALUE"""),12.964524)</f>
        <v>12.964524</v>
      </c>
      <c r="E14897" s="4">
        <f>IFERROR(__xludf.DUMMYFUNCTION("""COMPUTED_VALUE"""),80.147576)</f>
        <v>80.147576</v>
      </c>
      <c r="F14897" s="4">
        <f>IFERROR(__xludf.DUMMYFUNCTION("""COMPUTED_VALUE"""),5339.0)</f>
        <v>5339</v>
      </c>
      <c r="G14897" s="4">
        <f>IFERROR(__xludf.DUMMYFUNCTION("""COMPUTED_VALUE"""),39.0)</f>
        <v>39</v>
      </c>
      <c r="H14897" s="4"/>
      <c r="I14897" s="4"/>
    </row>
    <row r="14898">
      <c r="A14898" s="4" t="str">
        <f>IFERROR(__xludf.DUMMYFUNCTION("""COMPUTED_VALUE"""),"cas_hmw")</f>
        <v>cas_hmw</v>
      </c>
      <c r="B14898" s="5">
        <f>IFERROR(__xludf.DUMMYFUNCTION("""COMPUTED_VALUE"""),44727.0)</f>
        <v>44727</v>
      </c>
      <c r="C14898" s="6">
        <f>IFERROR(__xludf.DUMMYFUNCTION("""COMPUTED_VALUE"""),0.7074074074080272)</f>
        <v>0.7074074074</v>
      </c>
      <c r="D14898" s="4">
        <f>IFERROR(__xludf.DUMMYFUNCTION("""COMPUTED_VALUE"""),12.964524)</f>
        <v>12.964524</v>
      </c>
      <c r="E14898" s="4">
        <f>IFERROR(__xludf.DUMMYFUNCTION("""COMPUTED_VALUE"""),80.147576)</f>
        <v>80.147576</v>
      </c>
      <c r="F14898" s="4">
        <f>IFERROR(__xludf.DUMMYFUNCTION("""COMPUTED_VALUE"""),5339.0)</f>
        <v>5339</v>
      </c>
      <c r="G14898" s="4">
        <f>IFERROR(__xludf.DUMMYFUNCTION("""COMPUTED_VALUE"""),39.0)</f>
        <v>39</v>
      </c>
      <c r="H14898" s="4"/>
      <c r="I14898" s="4"/>
    </row>
    <row r="14899">
      <c r="A14899" s="4" t="str">
        <f>IFERROR(__xludf.DUMMYFUNCTION("""COMPUTED_VALUE"""),"cas_hmw")</f>
        <v>cas_hmw</v>
      </c>
      <c r="B14899" s="5">
        <f>IFERROR(__xludf.DUMMYFUNCTION("""COMPUTED_VALUE"""),44727.0)</f>
        <v>44727</v>
      </c>
      <c r="C14899" s="6">
        <f>IFERROR(__xludf.DUMMYFUNCTION("""COMPUTED_VALUE"""),0.7075231481467199)</f>
        <v>0.7075231481</v>
      </c>
      <c r="D14899" s="4">
        <f>IFERROR(__xludf.DUMMYFUNCTION("""COMPUTED_VALUE"""),12.975563)</f>
        <v>12.975563</v>
      </c>
      <c r="E14899" s="4">
        <f>IFERROR(__xludf.DUMMYFUNCTION("""COMPUTED_VALUE"""),80.156256)</f>
        <v>80.156256</v>
      </c>
      <c r="F14899" s="4">
        <f>IFERROR(__xludf.DUMMYFUNCTION("""COMPUTED_VALUE"""),805.0)</f>
        <v>805</v>
      </c>
      <c r="G14899" s="4">
        <f>IFERROR(__xludf.DUMMYFUNCTION("""COMPUTED_VALUE"""),46.0)</f>
        <v>46</v>
      </c>
      <c r="H14899" s="4"/>
      <c r="I14899" s="4"/>
    </row>
    <row r="14900">
      <c r="A14900" s="4" t="str">
        <f>IFERROR(__xludf.DUMMYFUNCTION("""COMPUTED_VALUE"""),"cas_hmw")</f>
        <v>cas_hmw</v>
      </c>
      <c r="B14900" s="5">
        <f>IFERROR(__xludf.DUMMYFUNCTION("""COMPUTED_VALUE"""),44727.0)</f>
        <v>44727</v>
      </c>
      <c r="C14900" s="6">
        <f>IFERROR(__xludf.DUMMYFUNCTION("""COMPUTED_VALUE"""),0.7085763888899237)</f>
        <v>0.7085763889</v>
      </c>
      <c r="D14900" s="4">
        <f>IFERROR(__xludf.DUMMYFUNCTION("""COMPUTED_VALUE"""),12.980721)</f>
        <v>12.980721</v>
      </c>
      <c r="E14900" s="4">
        <f>IFERROR(__xludf.DUMMYFUNCTION("""COMPUTED_VALUE"""),80.16518)</f>
        <v>80.16518</v>
      </c>
      <c r="F14900" s="4">
        <f>IFERROR(__xludf.DUMMYFUNCTION("""COMPUTED_VALUE"""),805.0)</f>
        <v>805</v>
      </c>
      <c r="G14900" s="4">
        <f>IFERROR(__xludf.DUMMYFUNCTION("""COMPUTED_VALUE"""),58.0)</f>
        <v>58</v>
      </c>
      <c r="H14900" s="4"/>
      <c r="I14900" s="4"/>
    </row>
    <row r="14901">
      <c r="A14901" s="4" t="str">
        <f>IFERROR(__xludf.DUMMYFUNCTION("""COMPUTED_VALUE"""),"cas_hmw")</f>
        <v>cas_hmw</v>
      </c>
      <c r="B14901" s="5">
        <f>IFERROR(__xludf.DUMMYFUNCTION("""COMPUTED_VALUE"""),44727.0)</f>
        <v>44727</v>
      </c>
      <c r="C14901" s="6">
        <f>IFERROR(__xludf.DUMMYFUNCTION("""COMPUTED_VALUE"""),0.7091319444443798)</f>
        <v>0.7091319444</v>
      </c>
      <c r="D14901" s="4">
        <f>IFERROR(__xludf.DUMMYFUNCTION("""COMPUTED_VALUE"""),12.985347)</f>
        <v>12.985347</v>
      </c>
      <c r="E14901" s="4">
        <f>IFERROR(__xludf.DUMMYFUNCTION("""COMPUTED_VALUE"""),80.172937)</f>
        <v>80.172937</v>
      </c>
      <c r="F14901" s="4">
        <f>IFERROR(__xludf.DUMMYFUNCTION("""COMPUTED_VALUE"""),805.0)</f>
        <v>805</v>
      </c>
      <c r="G14901" s="4">
        <f>IFERROR(__xludf.DUMMYFUNCTION("""COMPUTED_VALUE"""),54.0)</f>
        <v>54</v>
      </c>
      <c r="H14901" s="4"/>
      <c r="I14901" s="4"/>
    </row>
    <row r="14902">
      <c r="A14902" s="4" t="str">
        <f>IFERROR(__xludf.DUMMYFUNCTION("""COMPUTED_VALUE"""),"cas_hmw")</f>
        <v>cas_hmw</v>
      </c>
      <c r="B14902" s="5">
        <f>IFERROR(__xludf.DUMMYFUNCTION("""COMPUTED_VALUE"""),44727.0)</f>
        <v>44727</v>
      </c>
      <c r="C14902" s="6">
        <f>IFERROR(__xludf.DUMMYFUNCTION("""COMPUTED_VALUE"""),0.7098032407411665)</f>
        <v>0.7098032407</v>
      </c>
      <c r="D14902" s="4">
        <f>IFERROR(__xludf.DUMMYFUNCTION("""COMPUTED_VALUE"""),12.983326)</f>
        <v>12.983326</v>
      </c>
      <c r="E14902" s="4">
        <f>IFERROR(__xludf.DUMMYFUNCTION("""COMPUTED_VALUE"""),80.1697)</f>
        <v>80.1697</v>
      </c>
      <c r="F14902" s="4">
        <f>IFERROR(__xludf.DUMMYFUNCTION("""COMPUTED_VALUE"""),5339.0)</f>
        <v>5339</v>
      </c>
      <c r="G14902" s="4">
        <f>IFERROR(__xludf.DUMMYFUNCTION("""COMPUTED_VALUE"""),62.0)</f>
        <v>62</v>
      </c>
      <c r="H14902" s="4"/>
      <c r="I14902" s="4"/>
    </row>
    <row r="14903">
      <c r="A14903" s="4" t="str">
        <f>IFERROR(__xludf.DUMMYFUNCTION("""COMPUTED_VALUE"""),"cas_hmw")</f>
        <v>cas_hmw</v>
      </c>
      <c r="B14903" s="5">
        <f>IFERROR(__xludf.DUMMYFUNCTION("""COMPUTED_VALUE"""),44727.0)</f>
        <v>44727</v>
      </c>
      <c r="C14903" s="6">
        <f>IFERROR(__xludf.DUMMYFUNCTION("""COMPUTED_VALUE"""),0.7099074074067175)</f>
        <v>0.7099074074</v>
      </c>
      <c r="D14903" s="4">
        <f>IFERROR(__xludf.DUMMYFUNCTION("""COMPUTED_VALUE"""),12.987088)</f>
        <v>12.987088</v>
      </c>
      <c r="E14903" s="4">
        <f>IFERROR(__xludf.DUMMYFUNCTION("""COMPUTED_VALUE"""),80.175432)</f>
        <v>80.175432</v>
      </c>
      <c r="F14903" s="4">
        <f>IFERROR(__xludf.DUMMYFUNCTION("""COMPUTED_VALUE"""),805.0)</f>
        <v>805</v>
      </c>
      <c r="G14903" s="4">
        <f>IFERROR(__xludf.DUMMYFUNCTION("""COMPUTED_VALUE"""),35.0)</f>
        <v>35</v>
      </c>
      <c r="H14903" s="4"/>
      <c r="I14903" s="4"/>
    </row>
    <row r="14904">
      <c r="A14904" s="4" t="str">
        <f>IFERROR(__xludf.DUMMYFUNCTION("""COMPUTED_VALUE"""),"cas_hmw")</f>
        <v>cas_hmw</v>
      </c>
      <c r="B14904" s="5">
        <f>IFERROR(__xludf.DUMMYFUNCTION("""COMPUTED_VALUE"""),44727.0)</f>
        <v>44727</v>
      </c>
      <c r="C14904" s="6">
        <f>IFERROR(__xludf.DUMMYFUNCTION("""COMPUTED_VALUE"""),0.7103009259262762)</f>
        <v>0.7103009259</v>
      </c>
      <c r="D14904" s="4">
        <f>IFERROR(__xludf.DUMMYFUNCTION("""COMPUTED_VALUE"""),12.986485)</f>
        <v>12.986485</v>
      </c>
      <c r="E14904" s="4">
        <f>IFERROR(__xludf.DUMMYFUNCTION("""COMPUTED_VALUE"""),80.174641)</f>
        <v>80.174641</v>
      </c>
      <c r="F14904" s="4">
        <f>IFERROR(__xludf.DUMMYFUNCTION("""COMPUTED_VALUE"""),5339.0)</f>
        <v>5339</v>
      </c>
      <c r="G14904" s="4">
        <f>IFERROR(__xludf.DUMMYFUNCTION("""COMPUTED_VALUE"""),35.0)</f>
        <v>35</v>
      </c>
      <c r="H14904" s="4"/>
      <c r="I14904" s="4"/>
    </row>
    <row r="14905">
      <c r="A14905" s="4" t="str">
        <f>IFERROR(__xludf.DUMMYFUNCTION("""COMPUTED_VALUE"""),"cas_hmw")</f>
        <v>cas_hmw</v>
      </c>
      <c r="B14905" s="5">
        <f>IFERROR(__xludf.DUMMYFUNCTION("""COMPUTED_VALUE"""),44727.0)</f>
        <v>44727</v>
      </c>
      <c r="C14905" s="6">
        <f>IFERROR(__xludf.DUMMYFUNCTION("""COMPUTED_VALUE"""),0.7104976851842366)</f>
        <v>0.7104976852</v>
      </c>
      <c r="D14905" s="4">
        <f>IFERROR(__xludf.DUMMYFUNCTION("""COMPUTED_VALUE"""),12.987355)</f>
        <v>12.987355</v>
      </c>
      <c r="E14905" s="4">
        <f>IFERROR(__xludf.DUMMYFUNCTION("""COMPUTED_VALUE"""),80.175842)</f>
        <v>80.175842</v>
      </c>
      <c r="F14905" s="4">
        <f>IFERROR(__xludf.DUMMYFUNCTION("""COMPUTED_VALUE"""),5339.0)</f>
        <v>5339</v>
      </c>
      <c r="G14905" s="4">
        <f>IFERROR(__xludf.DUMMYFUNCTION("""COMPUTED_VALUE"""),39.0)</f>
        <v>39</v>
      </c>
      <c r="H14905" s="4"/>
      <c r="I14905" s="4"/>
    </row>
    <row r="14906">
      <c r="A14906" s="4" t="str">
        <f>IFERROR(__xludf.DUMMYFUNCTION("""COMPUTED_VALUE"""),"cas_hmw")</f>
        <v>cas_hmw</v>
      </c>
      <c r="B14906" s="5">
        <f>IFERROR(__xludf.DUMMYFUNCTION("""COMPUTED_VALUE"""),44727.0)</f>
        <v>44727</v>
      </c>
      <c r="C14906" s="6">
        <f>IFERROR(__xludf.DUMMYFUNCTION("""COMPUTED_VALUE"""),0.7111921296309447)</f>
        <v>0.7111921296</v>
      </c>
      <c r="D14906" s="4">
        <f>IFERROR(__xludf.DUMMYFUNCTION("""COMPUTED_VALUE"""),12.989307)</f>
        <v>12.989307</v>
      </c>
      <c r="E14906" s="4">
        <f>IFERROR(__xludf.DUMMYFUNCTION("""COMPUTED_VALUE"""),80.178517)</f>
        <v>80.178517</v>
      </c>
      <c r="F14906" s="4">
        <f>IFERROR(__xludf.DUMMYFUNCTION("""COMPUTED_VALUE"""),5339.0)</f>
        <v>5339</v>
      </c>
      <c r="G14906" s="4">
        <f>IFERROR(__xludf.DUMMYFUNCTION("""COMPUTED_VALUE"""),16.0)</f>
        <v>16</v>
      </c>
      <c r="H14906" s="4"/>
      <c r="I14906" s="4"/>
    </row>
    <row r="14907">
      <c r="A14907" s="4" t="str">
        <f>IFERROR(__xludf.DUMMYFUNCTION("""COMPUTED_VALUE"""),"cas_hmw")</f>
        <v>cas_hmw</v>
      </c>
      <c r="B14907" s="5">
        <f>IFERROR(__xludf.DUMMYFUNCTION("""COMPUTED_VALUE"""),44727.0)</f>
        <v>44727</v>
      </c>
      <c r="C14907" s="6">
        <f>IFERROR(__xludf.DUMMYFUNCTION("""COMPUTED_VALUE"""),0.7114583333350311)</f>
        <v>0.7114583333</v>
      </c>
      <c r="D14907" s="4">
        <f>IFERROR(__xludf.DUMMYFUNCTION("""COMPUTED_VALUE"""),12.990493)</f>
        <v>12.990493</v>
      </c>
      <c r="E14907" s="4">
        <f>IFERROR(__xludf.DUMMYFUNCTION("""COMPUTED_VALUE"""),80.180021)</f>
        <v>80.180021</v>
      </c>
      <c r="F14907" s="4">
        <f>IFERROR(__xludf.DUMMYFUNCTION("""COMPUTED_VALUE"""),5339.0)</f>
        <v>5339</v>
      </c>
      <c r="G14907" s="4">
        <f>IFERROR(__xludf.DUMMYFUNCTION("""COMPUTED_VALUE"""),49.0)</f>
        <v>49</v>
      </c>
      <c r="H14907" s="4"/>
      <c r="I14907" s="4"/>
    </row>
    <row r="14908">
      <c r="A14908" s="4" t="str">
        <f>IFERROR(__xludf.DUMMYFUNCTION("""COMPUTED_VALUE"""),"cas_hmw")</f>
        <v>cas_hmw</v>
      </c>
      <c r="B14908" s="5">
        <f>IFERROR(__xludf.DUMMYFUNCTION("""COMPUTED_VALUE"""),44727.0)</f>
        <v>44727</v>
      </c>
      <c r="C14908" s="6">
        <f>IFERROR(__xludf.DUMMYFUNCTION("""COMPUTED_VALUE"""),0.7116666666661331)</f>
        <v>0.7116666667</v>
      </c>
      <c r="D14908" s="4">
        <f>IFERROR(__xludf.DUMMYFUNCTION("""COMPUTED_VALUE"""),12.992011)</f>
        <v>12.992011</v>
      </c>
      <c r="E14908" s="4">
        <f>IFERROR(__xludf.DUMMYFUNCTION("""COMPUTED_VALUE"""),80.18199)</f>
        <v>80.18199</v>
      </c>
      <c r="F14908" s="4">
        <f>IFERROR(__xludf.DUMMYFUNCTION("""COMPUTED_VALUE"""),5339.0)</f>
        <v>5339</v>
      </c>
      <c r="G14908" s="4">
        <f>IFERROR(__xludf.DUMMYFUNCTION("""COMPUTED_VALUE"""),47.0)</f>
        <v>47</v>
      </c>
      <c r="H14908" s="4"/>
      <c r="I14908" s="4"/>
    </row>
    <row r="14909">
      <c r="A14909" s="4" t="str">
        <f>IFERROR(__xludf.DUMMYFUNCTION("""COMPUTED_VALUE"""),"cas_hmw")</f>
        <v>cas_hmw</v>
      </c>
      <c r="B14909" s="5">
        <f>IFERROR(__xludf.DUMMYFUNCTION("""COMPUTED_VALUE"""),44727.0)</f>
        <v>44727</v>
      </c>
      <c r="C14909" s="6">
        <f>IFERROR(__xludf.DUMMYFUNCTION("""COMPUTED_VALUE"""),0.7127083333325572)</f>
        <v>0.7127083333</v>
      </c>
      <c r="D14909" s="4">
        <f>IFERROR(__xludf.DUMMYFUNCTION("""COMPUTED_VALUE"""),12.99594)</f>
        <v>12.99594</v>
      </c>
      <c r="E14909" s="4">
        <f>IFERROR(__xludf.DUMMYFUNCTION("""COMPUTED_VALUE"""),80.188996)</f>
        <v>80.188996</v>
      </c>
      <c r="F14909" s="4">
        <f>IFERROR(__xludf.DUMMYFUNCTION("""COMPUTED_VALUE"""),805.0)</f>
        <v>805</v>
      </c>
      <c r="G14909" s="4">
        <f>IFERROR(__xludf.DUMMYFUNCTION("""COMPUTED_VALUE"""),0.0)</f>
        <v>0</v>
      </c>
      <c r="H14909" s="4"/>
      <c r="I14909" s="4"/>
    </row>
    <row r="14910">
      <c r="A14910" s="4" t="str">
        <f>IFERROR(__xludf.DUMMYFUNCTION("""COMPUTED_VALUE"""),"cas_hmw")</f>
        <v>cas_hmw</v>
      </c>
      <c r="B14910" s="5">
        <f>IFERROR(__xludf.DUMMYFUNCTION("""COMPUTED_VALUE"""),44727.0)</f>
        <v>44727</v>
      </c>
      <c r="C14910" s="6">
        <f>IFERROR(__xludf.DUMMYFUNCTION("""COMPUTED_VALUE"""),0.7127083333325572)</f>
        <v>0.7127083333</v>
      </c>
      <c r="D14910" s="4">
        <f>IFERROR(__xludf.DUMMYFUNCTION("""COMPUTED_VALUE"""),12.99594)</f>
        <v>12.99594</v>
      </c>
      <c r="E14910" s="4">
        <f>IFERROR(__xludf.DUMMYFUNCTION("""COMPUTED_VALUE"""),80.188996)</f>
        <v>80.188996</v>
      </c>
      <c r="F14910" s="4">
        <f>IFERROR(__xludf.DUMMYFUNCTION("""COMPUTED_VALUE"""),805.0)</f>
        <v>805</v>
      </c>
      <c r="G14910" s="4">
        <f>IFERROR(__xludf.DUMMYFUNCTION("""COMPUTED_VALUE"""),0.0)</f>
        <v>0</v>
      </c>
      <c r="H14910" s="4"/>
      <c r="I14910" s="4"/>
    </row>
    <row r="14911">
      <c r="A14911" s="4" t="str">
        <f>IFERROR(__xludf.DUMMYFUNCTION("""COMPUTED_VALUE"""),"cas_hmw")</f>
        <v>cas_hmw</v>
      </c>
      <c r="B14911" s="5">
        <f>IFERROR(__xludf.DUMMYFUNCTION("""COMPUTED_VALUE"""),44727.0)</f>
        <v>44727</v>
      </c>
      <c r="C14911" s="6">
        <f>IFERROR(__xludf.DUMMYFUNCTION("""COMPUTED_VALUE"""),0.7127893518518249)</f>
        <v>0.7127893519</v>
      </c>
      <c r="D14911" s="4">
        <f>IFERROR(__xludf.DUMMYFUNCTION("""COMPUTED_VALUE"""),12.99594)</f>
        <v>12.99594</v>
      </c>
      <c r="E14911" s="4">
        <f>IFERROR(__xludf.DUMMYFUNCTION("""COMPUTED_VALUE"""),80.188996)</f>
        <v>80.188996</v>
      </c>
      <c r="F14911" s="4">
        <f>IFERROR(__xludf.DUMMYFUNCTION("""COMPUTED_VALUE"""),805.0)</f>
        <v>805</v>
      </c>
      <c r="G14911" s="4">
        <f>IFERROR(__xludf.DUMMYFUNCTION("""COMPUTED_VALUE"""),0.0)</f>
        <v>0</v>
      </c>
      <c r="H14911" s="4"/>
      <c r="I14911" s="4"/>
    </row>
    <row r="14912">
      <c r="A14912" s="4" t="str">
        <f>IFERROR(__xludf.DUMMYFUNCTION("""COMPUTED_VALUE"""),"cas_hmw")</f>
        <v>cas_hmw</v>
      </c>
      <c r="B14912" s="5">
        <f>IFERROR(__xludf.DUMMYFUNCTION("""COMPUTED_VALUE"""),44727.0)</f>
        <v>44727</v>
      </c>
      <c r="C14912" s="6">
        <f>IFERROR(__xludf.DUMMYFUNCTION("""COMPUTED_VALUE"""),0.7131944444445253)</f>
        <v>0.7131944444</v>
      </c>
      <c r="D14912" s="4">
        <f>IFERROR(__xludf.DUMMYFUNCTION("""COMPUTED_VALUE"""),12.997811)</f>
        <v>12.997811</v>
      </c>
      <c r="E14912" s="4">
        <f>IFERROR(__xludf.DUMMYFUNCTION("""COMPUTED_VALUE"""),80.191266)</f>
        <v>80.191266</v>
      </c>
      <c r="F14912" s="4">
        <f>IFERROR(__xludf.DUMMYFUNCTION("""COMPUTED_VALUE"""),805.0)</f>
        <v>805</v>
      </c>
      <c r="G14912" s="4">
        <f>IFERROR(__xludf.DUMMYFUNCTION("""COMPUTED_VALUE"""),53.0)</f>
        <v>53</v>
      </c>
      <c r="H14912" s="4"/>
      <c r="I14912" s="4"/>
    </row>
    <row r="14913">
      <c r="A14913" s="4" t="str">
        <f>IFERROR(__xludf.DUMMYFUNCTION("""COMPUTED_VALUE"""),"cas_hmw")</f>
        <v>cas_hmw</v>
      </c>
      <c r="B14913" s="5">
        <f>IFERROR(__xludf.DUMMYFUNCTION("""COMPUTED_VALUE"""),44727.0)</f>
        <v>44727</v>
      </c>
      <c r="C14913" s="6">
        <f>IFERROR(__xludf.DUMMYFUNCTION("""COMPUTED_VALUE"""),0.713344907406281)</f>
        <v>0.7133449074</v>
      </c>
      <c r="D14913" s="4">
        <f>IFERROR(__xludf.DUMMYFUNCTION("""COMPUTED_VALUE"""),12.999053)</f>
        <v>12.999053</v>
      </c>
      <c r="E14913" s="4">
        <f>IFERROR(__xludf.DUMMYFUNCTION("""COMPUTED_VALUE"""),80.192815)</f>
        <v>80.192815</v>
      </c>
      <c r="F14913" s="4">
        <f>IFERROR(__xludf.DUMMYFUNCTION("""COMPUTED_VALUE"""),805.0)</f>
        <v>805</v>
      </c>
      <c r="G14913" s="4">
        <f>IFERROR(__xludf.DUMMYFUNCTION("""COMPUTED_VALUE"""),45.0)</f>
        <v>45</v>
      </c>
      <c r="H14913" s="4"/>
      <c r="I14913" s="4"/>
    </row>
    <row r="14914">
      <c r="A14914" s="4" t="str">
        <f>IFERROR(__xludf.DUMMYFUNCTION("""COMPUTED_VALUE"""),"cas_hmw")</f>
        <v>cas_hmw</v>
      </c>
      <c r="B14914" s="5">
        <f>IFERROR(__xludf.DUMMYFUNCTION("""COMPUTED_VALUE"""),44727.0)</f>
        <v>44727</v>
      </c>
      <c r="C14914" s="6">
        <f>IFERROR(__xludf.DUMMYFUNCTION("""COMPUTED_VALUE"""),0.7134953703716747)</f>
        <v>0.7134953704</v>
      </c>
      <c r="D14914" s="4">
        <f>IFERROR(__xludf.DUMMYFUNCTION("""COMPUTED_VALUE"""),12.9974)</f>
        <v>12.9974</v>
      </c>
      <c r="E14914" s="4">
        <f>IFERROR(__xludf.DUMMYFUNCTION("""COMPUTED_VALUE"""),80.190759)</f>
        <v>80.190759</v>
      </c>
      <c r="F14914" s="4">
        <f>IFERROR(__xludf.DUMMYFUNCTION("""COMPUTED_VALUE"""),5339.0)</f>
        <v>5339</v>
      </c>
      <c r="G14914" s="4">
        <f>IFERROR(__xludf.DUMMYFUNCTION("""COMPUTED_VALUE"""),47.0)</f>
        <v>47</v>
      </c>
      <c r="H14914" s="4"/>
      <c r="I14914" s="4"/>
    </row>
    <row r="14915">
      <c r="A14915" s="4" t="str">
        <f>IFERROR(__xludf.DUMMYFUNCTION("""COMPUTED_VALUE"""),"cas_hmw")</f>
        <v>cas_hmw</v>
      </c>
      <c r="B14915" s="5">
        <f>IFERROR(__xludf.DUMMYFUNCTION("""COMPUTED_VALUE"""),44727.0)</f>
        <v>44727</v>
      </c>
      <c r="C14915" s="6">
        <f>IFERROR(__xludf.DUMMYFUNCTION("""COMPUTED_VALUE"""),0.7135995370372257)</f>
        <v>0.713599537</v>
      </c>
      <c r="D14915" s="4">
        <f>IFERROR(__xludf.DUMMYFUNCTION("""COMPUTED_VALUE"""),12.9974)</f>
        <v>12.9974</v>
      </c>
      <c r="E14915" s="4">
        <f>IFERROR(__xludf.DUMMYFUNCTION("""COMPUTED_VALUE"""),80.190759)</f>
        <v>80.190759</v>
      </c>
      <c r="F14915" s="4">
        <f>IFERROR(__xludf.DUMMYFUNCTION("""COMPUTED_VALUE"""),5339.0)</f>
        <v>5339</v>
      </c>
      <c r="G14915" s="4">
        <f>IFERROR(__xludf.DUMMYFUNCTION("""COMPUTED_VALUE"""),47.0)</f>
        <v>47</v>
      </c>
      <c r="H14915" s="4"/>
      <c r="I14915" s="4"/>
    </row>
    <row r="14916">
      <c r="A14916" s="4" t="str">
        <f>IFERROR(__xludf.DUMMYFUNCTION("""COMPUTED_VALUE"""),"cas_hmw")</f>
        <v>cas_hmw</v>
      </c>
      <c r="B14916" s="5">
        <f>IFERROR(__xludf.DUMMYFUNCTION("""COMPUTED_VALUE"""),44727.0)</f>
        <v>44727</v>
      </c>
      <c r="C14916" s="6">
        <f>IFERROR(__xludf.DUMMYFUNCTION("""COMPUTED_VALUE"""),0.7140277777762094)</f>
        <v>0.7140277778</v>
      </c>
      <c r="D14916" s="4">
        <f>IFERROR(__xludf.DUMMYFUNCTION("""COMPUTED_VALUE"""),12.998799)</f>
        <v>12.998799</v>
      </c>
      <c r="E14916" s="4">
        <f>IFERROR(__xludf.DUMMYFUNCTION("""COMPUTED_VALUE"""),80.192529)</f>
        <v>80.192529</v>
      </c>
      <c r="F14916" s="4">
        <f>IFERROR(__xludf.DUMMYFUNCTION("""COMPUTED_VALUE"""),5339.0)</f>
        <v>5339</v>
      </c>
      <c r="G14916" s="4">
        <f>IFERROR(__xludf.DUMMYFUNCTION("""COMPUTED_VALUE"""),10.0)</f>
        <v>10</v>
      </c>
      <c r="H14916" s="4"/>
      <c r="I14916" s="4"/>
    </row>
    <row r="14917">
      <c r="A14917" s="4" t="str">
        <f>IFERROR(__xludf.DUMMYFUNCTION("""COMPUTED_VALUE"""),"cas_hmw")</f>
        <v>cas_hmw</v>
      </c>
      <c r="B14917" s="5">
        <f>IFERROR(__xludf.DUMMYFUNCTION("""COMPUTED_VALUE"""),44727.0)</f>
        <v>44727</v>
      </c>
      <c r="C14917" s="6">
        <f>IFERROR(__xludf.DUMMYFUNCTION("""COMPUTED_VALUE"""),0.7141782407416031)</f>
        <v>0.7141782407</v>
      </c>
      <c r="D14917" s="4">
        <f>IFERROR(__xludf.DUMMYFUNCTION("""COMPUTED_VALUE"""),12.999355)</f>
        <v>12.999355</v>
      </c>
      <c r="E14917" s="4">
        <f>IFERROR(__xludf.DUMMYFUNCTION("""COMPUTED_VALUE"""),80.193235)</f>
        <v>80.193235</v>
      </c>
      <c r="F14917" s="4">
        <f>IFERROR(__xludf.DUMMYFUNCTION("""COMPUTED_VALUE"""),5339.0)</f>
        <v>5339</v>
      </c>
      <c r="G14917" s="4">
        <f>IFERROR(__xludf.DUMMYFUNCTION("""COMPUTED_VALUE"""),30.0)</f>
        <v>30</v>
      </c>
      <c r="H14917" s="4"/>
      <c r="I14917" s="4"/>
    </row>
    <row r="14918">
      <c r="A14918" s="4" t="str">
        <f>IFERROR(__xludf.DUMMYFUNCTION("""COMPUTED_VALUE"""),"cas_hmw")</f>
        <v>cas_hmw</v>
      </c>
      <c r="B14918" s="5">
        <f>IFERROR(__xludf.DUMMYFUNCTION("""COMPUTED_VALUE"""),44727.0)</f>
        <v>44727</v>
      </c>
      <c r="C14918" s="6">
        <f>IFERROR(__xludf.DUMMYFUNCTION("""COMPUTED_VALUE"""),0.7142476851840911)</f>
        <v>0.7142476852</v>
      </c>
      <c r="D14918" s="4">
        <f>IFERROR(__xludf.DUMMYFUNCTION("""COMPUTED_VALUE"""),13.001656)</f>
        <v>13.001656</v>
      </c>
      <c r="E14918" s="4">
        <f>IFERROR(__xludf.DUMMYFUNCTION("""COMPUTED_VALUE"""),80.196062)</f>
        <v>80.196062</v>
      </c>
      <c r="F14918" s="4">
        <f>IFERROR(__xludf.DUMMYFUNCTION("""COMPUTED_VALUE"""),805.0)</f>
        <v>805</v>
      </c>
      <c r="G14918" s="4">
        <f>IFERROR(__xludf.DUMMYFUNCTION("""COMPUTED_VALUE"""),30.0)</f>
        <v>30</v>
      </c>
      <c r="H14918" s="4"/>
      <c r="I14918" s="4"/>
    </row>
    <row r="14919">
      <c r="A14919" s="4" t="str">
        <f>IFERROR(__xludf.DUMMYFUNCTION("""COMPUTED_VALUE"""),"cas_hmw")</f>
        <v>cas_hmw</v>
      </c>
      <c r="B14919" s="5">
        <f>IFERROR(__xludf.DUMMYFUNCTION("""COMPUTED_VALUE"""),44727.0)</f>
        <v>44727</v>
      </c>
      <c r="C14919" s="6">
        <f>IFERROR(__xludf.DUMMYFUNCTION("""COMPUTED_VALUE"""),0.7145370370380988)</f>
        <v>0.714537037</v>
      </c>
      <c r="D14919" s="4">
        <f>IFERROR(__xludf.DUMMYFUNCTION("""COMPUTED_VALUE"""),13.001872)</f>
        <v>13.001872</v>
      </c>
      <c r="E14919" s="4">
        <f>IFERROR(__xludf.DUMMYFUNCTION("""COMPUTED_VALUE"""),80.199609)</f>
        <v>80.199609</v>
      </c>
      <c r="F14919" s="4">
        <f>IFERROR(__xludf.DUMMYFUNCTION("""COMPUTED_VALUE"""),805.0)</f>
        <v>805</v>
      </c>
      <c r="G14919" s="4">
        <f>IFERROR(__xludf.DUMMYFUNCTION("""COMPUTED_VALUE"""),46.0)</f>
        <v>46</v>
      </c>
      <c r="H14919" s="4"/>
      <c r="I14919" s="4"/>
    </row>
    <row r="14920">
      <c r="A14920" s="4" t="str">
        <f>IFERROR(__xludf.DUMMYFUNCTION("""COMPUTED_VALUE"""),"cas_hmw")</f>
        <v>cas_hmw</v>
      </c>
      <c r="B14920" s="5">
        <f>IFERROR(__xludf.DUMMYFUNCTION("""COMPUTED_VALUE"""),44727.0)</f>
        <v>44727</v>
      </c>
      <c r="C14920" s="6">
        <f>IFERROR(__xludf.DUMMYFUNCTION("""COMPUTED_VALUE"""),0.7151851851849642)</f>
        <v>0.7151851852</v>
      </c>
      <c r="D14920" s="4">
        <f>IFERROR(__xludf.DUMMYFUNCTION("""COMPUTED_VALUE"""),13.002093)</f>
        <v>13.002093</v>
      </c>
      <c r="E14920" s="4">
        <f>IFERROR(__xludf.DUMMYFUNCTION("""COMPUTED_VALUE"""),80.196834)</f>
        <v>80.196834</v>
      </c>
      <c r="F14920" s="4">
        <f>IFERROR(__xludf.DUMMYFUNCTION("""COMPUTED_VALUE"""),5339.0)</f>
        <v>5339</v>
      </c>
      <c r="G14920" s="4">
        <f>IFERROR(__xludf.DUMMYFUNCTION("""COMPUTED_VALUE"""),26.0)</f>
        <v>26</v>
      </c>
      <c r="H14920" s="4"/>
      <c r="I14920" s="4"/>
    </row>
    <row r="14921">
      <c r="A14921" s="4" t="str">
        <f>IFERROR(__xludf.DUMMYFUNCTION("""COMPUTED_VALUE"""),"cas_hmw")</f>
        <v>cas_hmw</v>
      </c>
      <c r="B14921" s="5">
        <f>IFERROR(__xludf.DUMMYFUNCTION("""COMPUTED_VALUE"""),44727.0)</f>
        <v>44727</v>
      </c>
      <c r="C14921" s="6">
        <f>IFERROR(__xludf.DUMMYFUNCTION("""COMPUTED_VALUE"""),0.7152314814811689)</f>
        <v>0.7152314815</v>
      </c>
      <c r="D14921" s="4">
        <f>IFERROR(__xludf.DUMMYFUNCTION("""COMPUTED_VALUE"""),13.002043)</f>
        <v>13.002043</v>
      </c>
      <c r="E14921" s="4">
        <f>IFERROR(__xludf.DUMMYFUNCTION("""COMPUTED_VALUE"""),80.198033)</f>
        <v>80.198033</v>
      </c>
      <c r="F14921" s="4">
        <f>IFERROR(__xludf.DUMMYFUNCTION("""COMPUTED_VALUE"""),5339.0)</f>
        <v>5339</v>
      </c>
      <c r="G14921" s="4">
        <f>IFERROR(__xludf.DUMMYFUNCTION("""COMPUTED_VALUE"""),36.0)</f>
        <v>36</v>
      </c>
      <c r="H14921" s="4"/>
      <c r="I14921" s="4"/>
    </row>
    <row r="14922">
      <c r="A14922" s="4" t="str">
        <f>IFERROR(__xludf.DUMMYFUNCTION("""COMPUTED_VALUE"""),"cas_hmw")</f>
        <v>cas_hmw</v>
      </c>
      <c r="B14922" s="5">
        <f>IFERROR(__xludf.DUMMYFUNCTION("""COMPUTED_VALUE"""),44727.0)</f>
        <v>44727</v>
      </c>
      <c r="C14922" s="6">
        <f>IFERROR(__xludf.DUMMYFUNCTION("""COMPUTED_VALUE"""),0.7152777777773736)</f>
        <v>0.7152777778</v>
      </c>
      <c r="D14922" s="4">
        <f>IFERROR(__xludf.DUMMYFUNCTION("""COMPUTED_VALUE"""),13.007841)</f>
        <v>13.007841</v>
      </c>
      <c r="E14922" s="4">
        <f>IFERROR(__xludf.DUMMYFUNCTION("""COMPUTED_VALUE"""),80.203683)</f>
        <v>80.203683</v>
      </c>
      <c r="F14922" s="4">
        <f>IFERROR(__xludf.DUMMYFUNCTION("""COMPUTED_VALUE"""),805.0)</f>
        <v>805</v>
      </c>
      <c r="G14922" s="4">
        <f>IFERROR(__xludf.DUMMYFUNCTION("""COMPUTED_VALUE"""),42.0)</f>
        <v>42</v>
      </c>
      <c r="H14922" s="4"/>
      <c r="I14922" s="4"/>
    </row>
    <row r="14923">
      <c r="A14923" s="4" t="str">
        <f>IFERROR(__xludf.DUMMYFUNCTION("""COMPUTED_VALUE"""),"cas_hmw")</f>
        <v>cas_hmw</v>
      </c>
      <c r="B14923" s="5">
        <f>IFERROR(__xludf.DUMMYFUNCTION("""COMPUTED_VALUE"""),44727.0)</f>
        <v>44727</v>
      </c>
      <c r="C14923" s="6">
        <f>IFERROR(__xludf.DUMMYFUNCTION("""COMPUTED_VALUE"""),0.7156365740738693)</f>
        <v>0.7156365741</v>
      </c>
      <c r="D14923" s="4">
        <f>IFERROR(__xludf.DUMMYFUNCTION("""COMPUTED_VALUE"""),13.003149)</f>
        <v>13.003149</v>
      </c>
      <c r="E14923" s="4">
        <f>IFERROR(__xludf.DUMMYFUNCTION("""COMPUTED_VALUE"""),80.200706)</f>
        <v>80.200706</v>
      </c>
      <c r="F14923" s="4">
        <f>IFERROR(__xludf.DUMMYFUNCTION("""COMPUTED_VALUE"""),5339.0)</f>
        <v>5339</v>
      </c>
      <c r="G14923" s="4">
        <f>IFERROR(__xludf.DUMMYFUNCTION("""COMPUTED_VALUE"""),43.0)</f>
        <v>43</v>
      </c>
      <c r="H14923" s="4"/>
      <c r="I14923" s="4"/>
    </row>
    <row r="14924">
      <c r="A14924" s="4" t="str">
        <f>IFERROR(__xludf.DUMMYFUNCTION("""COMPUTED_VALUE"""),"cas_hmw")</f>
        <v>cas_hmw</v>
      </c>
      <c r="B14924" s="5">
        <f>IFERROR(__xludf.DUMMYFUNCTION("""COMPUTED_VALUE"""),44727.0)</f>
        <v>44727</v>
      </c>
      <c r="C14924" s="6">
        <f>IFERROR(__xludf.DUMMYFUNCTION("""COMPUTED_VALUE"""),0.715995370370365)</f>
        <v>0.7159953704</v>
      </c>
      <c r="D14924" s="4">
        <f>IFERROR(__xludf.DUMMYFUNCTION("""COMPUTED_VALUE"""),13.006005)</f>
        <v>13.006005</v>
      </c>
      <c r="E14924" s="4">
        <f>IFERROR(__xludf.DUMMYFUNCTION("""COMPUTED_VALUE"""),80.20241)</f>
        <v>80.20241</v>
      </c>
      <c r="F14924" s="4">
        <f>IFERROR(__xludf.DUMMYFUNCTION("""COMPUTED_VALUE"""),5339.0)</f>
        <v>5339</v>
      </c>
      <c r="G14924" s="4">
        <f>IFERROR(__xludf.DUMMYFUNCTION("""COMPUTED_VALUE"""),42.0)</f>
        <v>42</v>
      </c>
      <c r="H14924" s="4"/>
      <c r="I14924" s="4"/>
    </row>
    <row r="14925">
      <c r="A14925" s="4" t="str">
        <f>IFERROR(__xludf.DUMMYFUNCTION("""COMPUTED_VALUE"""),"cas_hmw")</f>
        <v>cas_hmw</v>
      </c>
      <c r="B14925" s="5">
        <f>IFERROR(__xludf.DUMMYFUNCTION("""COMPUTED_VALUE"""),44727.0)</f>
        <v>44727</v>
      </c>
      <c r="C14925" s="6">
        <f>IFERROR(__xludf.DUMMYFUNCTION("""COMPUTED_VALUE"""),0.716099537035916)</f>
        <v>0.716099537</v>
      </c>
      <c r="D14925" s="4">
        <f>IFERROR(__xludf.DUMMYFUNCTION("""COMPUTED_VALUE"""),13.006005)</f>
        <v>13.006005</v>
      </c>
      <c r="E14925" s="4">
        <f>IFERROR(__xludf.DUMMYFUNCTION("""COMPUTED_VALUE"""),80.20241)</f>
        <v>80.20241</v>
      </c>
      <c r="F14925" s="4">
        <f>IFERROR(__xludf.DUMMYFUNCTION("""COMPUTED_VALUE"""),5339.0)</f>
        <v>5339</v>
      </c>
      <c r="G14925" s="4">
        <f>IFERROR(__xludf.DUMMYFUNCTION("""COMPUTED_VALUE"""),42.0)</f>
        <v>42</v>
      </c>
      <c r="H14925" s="4"/>
      <c r="I14925" s="4"/>
    </row>
    <row r="14926">
      <c r="A14926" s="4" t="str">
        <f>IFERROR(__xludf.DUMMYFUNCTION("""COMPUTED_VALUE"""),"cas_hmw")</f>
        <v>cas_hmw</v>
      </c>
      <c r="B14926" s="5">
        <f>IFERROR(__xludf.DUMMYFUNCTION("""COMPUTED_VALUE"""),44727.0)</f>
        <v>44727</v>
      </c>
      <c r="C14926" s="6">
        <f>IFERROR(__xludf.DUMMYFUNCTION("""COMPUTED_VALUE"""),0.7168518518519704)</f>
        <v>0.7168518519</v>
      </c>
      <c r="D14926" s="4">
        <f>IFERROR(__xludf.DUMMYFUNCTION("""COMPUTED_VALUE"""),13.007662)</f>
        <v>13.007662</v>
      </c>
      <c r="E14926" s="4">
        <f>IFERROR(__xludf.DUMMYFUNCTION("""COMPUTED_VALUE"""),80.204811)</f>
        <v>80.204811</v>
      </c>
      <c r="F14926" s="4">
        <f>IFERROR(__xludf.DUMMYFUNCTION("""COMPUTED_VALUE"""),5339.0)</f>
        <v>5339</v>
      </c>
      <c r="G14926" s="4">
        <f>IFERROR(__xludf.DUMMYFUNCTION("""COMPUTED_VALUE"""),62.0)</f>
        <v>62</v>
      </c>
      <c r="H14926" s="4"/>
      <c r="I14926" s="4"/>
    </row>
    <row r="14927">
      <c r="A14927" s="4" t="str">
        <f>IFERROR(__xludf.DUMMYFUNCTION("""COMPUTED_VALUE"""),"cas_hmw")</f>
        <v>cas_hmw</v>
      </c>
      <c r="B14927" s="5">
        <f>IFERROR(__xludf.DUMMYFUNCTION("""COMPUTED_VALUE"""),44727.0)</f>
        <v>44727</v>
      </c>
      <c r="C14927" s="6">
        <f>IFERROR(__xludf.DUMMYFUNCTION("""COMPUTED_VALUE"""),0.7170717592598521)</f>
        <v>0.7170717593</v>
      </c>
      <c r="D14927" s="4">
        <f>IFERROR(__xludf.DUMMYFUNCTION("""COMPUTED_VALUE"""),13.007919)</f>
        <v>13.007919</v>
      </c>
      <c r="E14927" s="4">
        <f>IFERROR(__xludf.DUMMYFUNCTION("""COMPUTED_VALUE"""),80.207366)</f>
        <v>80.207366</v>
      </c>
      <c r="F14927" s="4">
        <f>IFERROR(__xludf.DUMMYFUNCTION("""COMPUTED_VALUE"""),5339.0)</f>
        <v>5339</v>
      </c>
      <c r="G14927" s="4">
        <f>IFERROR(__xludf.DUMMYFUNCTION("""COMPUTED_VALUE"""),58.0)</f>
        <v>58</v>
      </c>
      <c r="H14927" s="4"/>
      <c r="I14927" s="4"/>
    </row>
    <row r="14928">
      <c r="A14928" s="4" t="str">
        <f>IFERROR(__xludf.DUMMYFUNCTION("""COMPUTED_VALUE"""),"cas_hmw")</f>
        <v>cas_hmw</v>
      </c>
      <c r="B14928" s="5">
        <f>IFERROR(__xludf.DUMMYFUNCTION("""COMPUTED_VALUE"""),44727.0)</f>
        <v>44727</v>
      </c>
      <c r="C14928" s="6">
        <f>IFERROR(__xludf.DUMMYFUNCTION("""COMPUTED_VALUE"""),0.7171990740753245)</f>
        <v>0.7171990741</v>
      </c>
      <c r="D14928" s="4">
        <f>IFERROR(__xludf.DUMMYFUNCTION("""COMPUTED_VALUE"""),13.00821)</f>
        <v>13.00821</v>
      </c>
      <c r="E14928" s="4">
        <f>IFERROR(__xludf.DUMMYFUNCTION("""COMPUTED_VALUE"""),80.209318)</f>
        <v>80.209318</v>
      </c>
      <c r="F14928" s="4">
        <f>IFERROR(__xludf.DUMMYFUNCTION("""COMPUTED_VALUE"""),5339.0)</f>
        <v>5339</v>
      </c>
      <c r="G14928" s="4">
        <f>IFERROR(__xludf.DUMMYFUNCTION("""COMPUTED_VALUE"""),47.0)</f>
        <v>47</v>
      </c>
      <c r="H14928" s="4"/>
      <c r="I14928" s="4"/>
    </row>
    <row r="14929">
      <c r="A14929" s="4" t="str">
        <f>IFERROR(__xludf.DUMMYFUNCTION("""COMPUTED_VALUE"""),"cas_hmw")</f>
        <v>cas_hmw</v>
      </c>
      <c r="B14929" s="5">
        <f>IFERROR(__xludf.DUMMYFUNCTION("""COMPUTED_VALUE"""),44727.0)</f>
        <v>44727</v>
      </c>
      <c r="C14929" s="6">
        <f>IFERROR(__xludf.DUMMYFUNCTION("""COMPUTED_VALUE"""),0.7173611111102218)</f>
        <v>0.7173611111</v>
      </c>
      <c r="D14929" s="4">
        <f>IFERROR(__xludf.DUMMYFUNCTION("""COMPUTED_VALUE"""),13.012135)</f>
        <v>13.012135</v>
      </c>
      <c r="E14929" s="4">
        <f>IFERROR(__xludf.DUMMYFUNCTION("""COMPUTED_VALUE"""),80.220476)</f>
        <v>80.220476</v>
      </c>
      <c r="F14929" s="4">
        <f>IFERROR(__xludf.DUMMYFUNCTION("""COMPUTED_VALUE"""),805.0)</f>
        <v>805</v>
      </c>
      <c r="G14929" s="4">
        <f>IFERROR(__xludf.DUMMYFUNCTION("""COMPUTED_VALUE"""),17.0)</f>
        <v>17</v>
      </c>
      <c r="H14929" s="4"/>
      <c r="I14929" s="4"/>
    </row>
    <row r="14930">
      <c r="A14930" s="4" t="str">
        <f>IFERROR(__xludf.DUMMYFUNCTION("""COMPUTED_VALUE"""),"cas_hmw")</f>
        <v>cas_hmw</v>
      </c>
      <c r="B14930" s="5">
        <f>IFERROR(__xludf.DUMMYFUNCTION("""COMPUTED_VALUE"""),44727.0)</f>
        <v>44727</v>
      </c>
      <c r="C14930" s="6">
        <f>IFERROR(__xludf.DUMMYFUNCTION("""COMPUTED_VALUE"""),0.7173611111102218)</f>
        <v>0.7173611111</v>
      </c>
      <c r="D14930" s="4">
        <f>IFERROR(__xludf.DUMMYFUNCTION("""COMPUTED_VALUE"""),13.0089)</f>
        <v>13.0089</v>
      </c>
      <c r="E14930" s="4">
        <f>IFERROR(__xludf.DUMMYFUNCTION("""COMPUTED_VALUE"""),80.211284)</f>
        <v>80.211284</v>
      </c>
      <c r="F14930" s="4">
        <f>IFERROR(__xludf.DUMMYFUNCTION("""COMPUTED_VALUE"""),5339.0)</f>
        <v>5339</v>
      </c>
      <c r="G14930" s="4">
        <f>IFERROR(__xludf.DUMMYFUNCTION("""COMPUTED_VALUE"""),49.0)</f>
        <v>49</v>
      </c>
      <c r="H14930" s="4"/>
      <c r="I14930" s="4"/>
    </row>
    <row r="14931">
      <c r="A14931" s="4" t="str">
        <f>IFERROR(__xludf.DUMMYFUNCTION("""COMPUTED_VALUE"""),"cas_hmw")</f>
        <v>cas_hmw</v>
      </c>
      <c r="B14931" s="5">
        <f>IFERROR(__xludf.DUMMYFUNCTION("""COMPUTED_VALUE"""),44727.0)</f>
        <v>44727</v>
      </c>
      <c r="C14931" s="6">
        <f>IFERROR(__xludf.DUMMYFUNCTION("""COMPUTED_VALUE"""),0.7175231481487572)</f>
        <v>0.7175231481</v>
      </c>
      <c r="D14931" s="4">
        <f>IFERROR(__xludf.DUMMYFUNCTION("""COMPUTED_VALUE"""),13.0089)</f>
        <v>13.0089</v>
      </c>
      <c r="E14931" s="4">
        <f>IFERROR(__xludf.DUMMYFUNCTION("""COMPUTED_VALUE"""),80.211284)</f>
        <v>80.211284</v>
      </c>
      <c r="F14931" s="4">
        <f>IFERROR(__xludf.DUMMYFUNCTION("""COMPUTED_VALUE"""),5339.0)</f>
        <v>5339</v>
      </c>
      <c r="G14931" s="4">
        <f>IFERROR(__xludf.DUMMYFUNCTION("""COMPUTED_VALUE"""),49.0)</f>
        <v>49</v>
      </c>
      <c r="H14931" s="4"/>
      <c r="I14931" s="4"/>
    </row>
    <row r="14932">
      <c r="A14932" s="4" t="str">
        <f>IFERROR(__xludf.DUMMYFUNCTION("""COMPUTED_VALUE"""),"cas_hmw")</f>
        <v>cas_hmw</v>
      </c>
      <c r="B14932" s="5">
        <f>IFERROR(__xludf.DUMMYFUNCTION("""COMPUTED_VALUE"""),44727.0)</f>
        <v>44727</v>
      </c>
      <c r="C14932" s="6">
        <f>IFERROR(__xludf.DUMMYFUNCTION("""COMPUTED_VALUE"""),0.7177199074067175)</f>
        <v>0.7177199074</v>
      </c>
      <c r="D14932" s="4">
        <f>IFERROR(__xludf.DUMMYFUNCTION("""COMPUTED_VALUE"""),13.010156)</f>
        <v>13.010156</v>
      </c>
      <c r="E14932" s="4">
        <f>IFERROR(__xludf.DUMMYFUNCTION("""COMPUTED_VALUE"""),80.214606)</f>
        <v>80.214606</v>
      </c>
      <c r="F14932" s="4">
        <f>IFERROR(__xludf.DUMMYFUNCTION("""COMPUTED_VALUE"""),5339.0)</f>
        <v>5339</v>
      </c>
      <c r="G14932" s="4">
        <f>IFERROR(__xludf.DUMMYFUNCTION("""COMPUTED_VALUE"""),45.0)</f>
        <v>45</v>
      </c>
      <c r="H14932" s="4"/>
      <c r="I14932" s="4"/>
    </row>
    <row r="14933">
      <c r="A14933" s="4" t="str">
        <f>IFERROR(__xludf.DUMMYFUNCTION("""COMPUTED_VALUE"""),"cas_hmw")</f>
        <v>cas_hmw</v>
      </c>
      <c r="B14933" s="5">
        <f>IFERROR(__xludf.DUMMYFUNCTION("""COMPUTED_VALUE"""),44727.0)</f>
        <v>44727</v>
      </c>
      <c r="C14933" s="6">
        <f>IFERROR(__xludf.DUMMYFUNCTION("""COMPUTED_VALUE"""),0.7177893518528435)</f>
        <v>0.7177893519</v>
      </c>
      <c r="D14933" s="4">
        <f>IFERROR(__xludf.DUMMYFUNCTION("""COMPUTED_VALUE"""),13.012497)</f>
        <v>13.012497</v>
      </c>
      <c r="E14933" s="4">
        <f>IFERROR(__xludf.DUMMYFUNCTION("""COMPUTED_VALUE"""),80.221475)</f>
        <v>80.221475</v>
      </c>
      <c r="F14933" s="4">
        <f>IFERROR(__xludf.DUMMYFUNCTION("""COMPUTED_VALUE"""),805.0)</f>
        <v>805</v>
      </c>
      <c r="G14933" s="4">
        <f>IFERROR(__xludf.DUMMYFUNCTION("""COMPUTED_VALUE"""),25.0)</f>
        <v>25</v>
      </c>
      <c r="H14933" s="4"/>
      <c r="I14933" s="4"/>
    </row>
    <row r="14934">
      <c r="A14934" s="4" t="str">
        <f>IFERROR(__xludf.DUMMYFUNCTION("""COMPUTED_VALUE"""),"cas_hmw")</f>
        <v>cas_hmw</v>
      </c>
      <c r="B14934" s="5">
        <f>IFERROR(__xludf.DUMMYFUNCTION("""COMPUTED_VALUE"""),44727.0)</f>
        <v>44727</v>
      </c>
      <c r="C14934" s="6">
        <f>IFERROR(__xludf.DUMMYFUNCTION("""COMPUTED_VALUE"""),0.7185300925921183)</f>
        <v>0.7185300926</v>
      </c>
      <c r="D14934" s="4">
        <f>IFERROR(__xludf.DUMMYFUNCTION("""COMPUTED_VALUE"""),13.015056)</f>
        <v>13.015056</v>
      </c>
      <c r="E14934" s="4">
        <f>IFERROR(__xludf.DUMMYFUNCTION("""COMPUTED_VALUE"""),80.225865)</f>
        <v>80.225865</v>
      </c>
      <c r="F14934" s="4">
        <f>IFERROR(__xludf.DUMMYFUNCTION("""COMPUTED_VALUE"""),805.0)</f>
        <v>805</v>
      </c>
      <c r="G14934" s="4">
        <f>IFERROR(__xludf.DUMMYFUNCTION("""COMPUTED_VALUE"""),26.0)</f>
        <v>26</v>
      </c>
      <c r="H14934" s="4"/>
      <c r="I14934" s="4"/>
    </row>
    <row r="14935">
      <c r="A14935" s="4" t="str">
        <f>IFERROR(__xludf.DUMMYFUNCTION("""COMPUTED_VALUE"""),"cas_hmw")</f>
        <v>cas_hmw</v>
      </c>
      <c r="B14935" s="5">
        <f>IFERROR(__xludf.DUMMYFUNCTION("""COMPUTED_VALUE"""),44727.0)</f>
        <v>44727</v>
      </c>
      <c r="C14935" s="6">
        <f>IFERROR(__xludf.DUMMYFUNCTION("""COMPUTED_VALUE"""),0.71875)</f>
        <v>0.71875</v>
      </c>
      <c r="D14935" s="4">
        <f>IFERROR(__xludf.DUMMYFUNCTION("""COMPUTED_VALUE"""),13.013738)</f>
        <v>13.013738</v>
      </c>
      <c r="E14935" s="4">
        <f>IFERROR(__xludf.DUMMYFUNCTION("""COMPUTED_VALUE"""),80.226418)</f>
        <v>80.226418</v>
      </c>
      <c r="F14935" s="4">
        <f>IFERROR(__xludf.DUMMYFUNCTION("""COMPUTED_VALUE"""),805.0)</f>
        <v>805</v>
      </c>
      <c r="G14935" s="4">
        <f>IFERROR(__xludf.DUMMYFUNCTION("""COMPUTED_VALUE"""),41.0)</f>
        <v>41</v>
      </c>
      <c r="H14935" s="4"/>
      <c r="I14935" s="4"/>
    </row>
    <row r="14936">
      <c r="A14936" s="4" t="str">
        <f>IFERROR(__xludf.DUMMYFUNCTION("""COMPUTED_VALUE"""),"cas_hmw")</f>
        <v>cas_hmw</v>
      </c>
      <c r="B14936" s="5">
        <f>IFERROR(__xludf.DUMMYFUNCTION("""COMPUTED_VALUE"""),44727.0)</f>
        <v>44727</v>
      </c>
      <c r="C14936" s="6">
        <f>IFERROR(__xludf.DUMMYFUNCTION("""COMPUTED_VALUE"""),0.7188425925924093)</f>
        <v>0.7188425926</v>
      </c>
      <c r="D14936" s="4">
        <f>IFERROR(__xludf.DUMMYFUNCTION("""COMPUTED_VALUE"""),13.013738)</f>
        <v>13.013738</v>
      </c>
      <c r="E14936" s="4">
        <f>IFERROR(__xludf.DUMMYFUNCTION("""COMPUTED_VALUE"""),80.226418)</f>
        <v>80.226418</v>
      </c>
      <c r="F14936" s="4">
        <f>IFERROR(__xludf.DUMMYFUNCTION("""COMPUTED_VALUE"""),805.0)</f>
        <v>805</v>
      </c>
      <c r="G14936" s="4">
        <f>IFERROR(__xludf.DUMMYFUNCTION("""COMPUTED_VALUE"""),41.0)</f>
        <v>41</v>
      </c>
      <c r="H14936" s="4"/>
      <c r="I14936" s="4"/>
    </row>
    <row r="14937">
      <c r="A14937" s="4" t="str">
        <f>IFERROR(__xludf.DUMMYFUNCTION("""COMPUTED_VALUE"""),"cas_hmw")</f>
        <v>cas_hmw</v>
      </c>
      <c r="B14937" s="5">
        <f>IFERROR(__xludf.DUMMYFUNCTION("""COMPUTED_VALUE"""),44727.0)</f>
        <v>44727</v>
      </c>
      <c r="C14937" s="6">
        <f>IFERROR(__xludf.DUMMYFUNCTION("""COMPUTED_VALUE"""),0.7190856481465744)</f>
        <v>0.7190856481</v>
      </c>
      <c r="D14937" s="4">
        <f>IFERROR(__xludf.DUMMYFUNCTION("""COMPUTED_VALUE"""),13.010571)</f>
        <v>13.010571</v>
      </c>
      <c r="E14937" s="4">
        <f>IFERROR(__xludf.DUMMYFUNCTION("""COMPUTED_VALUE"""),80.227742)</f>
        <v>80.227742</v>
      </c>
      <c r="F14937" s="4">
        <f>IFERROR(__xludf.DUMMYFUNCTION("""COMPUTED_VALUE"""),805.0)</f>
        <v>805</v>
      </c>
      <c r="G14937" s="4">
        <f>IFERROR(__xludf.DUMMYFUNCTION("""COMPUTED_VALUE"""),39.0)</f>
        <v>39</v>
      </c>
      <c r="H14937" s="4"/>
      <c r="I14937" s="4"/>
    </row>
    <row r="14938">
      <c r="A14938" s="4" t="str">
        <f>IFERROR(__xludf.DUMMYFUNCTION("""COMPUTED_VALUE"""),"cas_hmw")</f>
        <v>cas_hmw</v>
      </c>
      <c r="B14938" s="5">
        <f>IFERROR(__xludf.DUMMYFUNCTION("""COMPUTED_VALUE"""),44727.0)</f>
        <v>44727</v>
      </c>
      <c r="C14938" s="6">
        <f>IFERROR(__xludf.DUMMYFUNCTION("""COMPUTED_VALUE"""),0.7192013888889051)</f>
        <v>0.7192013889</v>
      </c>
      <c r="D14938" s="4">
        <f>IFERROR(__xludf.DUMMYFUNCTION("""COMPUTED_VALUE"""),13.010571)</f>
        <v>13.010571</v>
      </c>
      <c r="E14938" s="4">
        <f>IFERROR(__xludf.DUMMYFUNCTION("""COMPUTED_VALUE"""),80.227742)</f>
        <v>80.227742</v>
      </c>
      <c r="F14938" s="4">
        <f>IFERROR(__xludf.DUMMYFUNCTION("""COMPUTED_VALUE"""),805.0)</f>
        <v>805</v>
      </c>
      <c r="G14938" s="4">
        <f>IFERROR(__xludf.DUMMYFUNCTION("""COMPUTED_VALUE"""),39.0)</f>
        <v>39</v>
      </c>
      <c r="H14938" s="4"/>
      <c r="I14938" s="4"/>
    </row>
    <row r="14939">
      <c r="A14939" s="4" t="str">
        <f>IFERROR(__xludf.DUMMYFUNCTION("""COMPUTED_VALUE"""),"cas_hmw")</f>
        <v>cas_hmw</v>
      </c>
      <c r="B14939" s="5">
        <f>IFERROR(__xludf.DUMMYFUNCTION("""COMPUTED_VALUE"""),44727.0)</f>
        <v>44727</v>
      </c>
      <c r="C14939" s="6">
        <f>IFERROR(__xludf.DUMMYFUNCTION("""COMPUTED_VALUE"""),0.7193055555544561)</f>
        <v>0.7193055556</v>
      </c>
      <c r="D14939" s="4">
        <f>IFERROR(__xludf.DUMMYFUNCTION("""COMPUTED_VALUE"""),13.011708)</f>
        <v>13.011708</v>
      </c>
      <c r="E14939" s="4">
        <f>IFERROR(__xludf.DUMMYFUNCTION("""COMPUTED_VALUE"""),80.219011)</f>
        <v>80.219011</v>
      </c>
      <c r="F14939" s="4">
        <f>IFERROR(__xludf.DUMMYFUNCTION("""COMPUTED_VALUE"""),5339.0)</f>
        <v>5339</v>
      </c>
      <c r="G14939" s="4">
        <f>IFERROR(__xludf.DUMMYFUNCTION("""COMPUTED_VALUE"""),43.0)</f>
        <v>43</v>
      </c>
      <c r="H14939" s="4"/>
      <c r="I14939" s="4"/>
    </row>
    <row r="14940">
      <c r="A14940" s="4" t="str">
        <f>IFERROR(__xludf.DUMMYFUNCTION("""COMPUTED_VALUE"""),"cas_hmw")</f>
        <v>cas_hmw</v>
      </c>
      <c r="B14940" s="5">
        <f>IFERROR(__xludf.DUMMYFUNCTION("""COMPUTED_VALUE"""),44727.0)</f>
        <v>44727</v>
      </c>
      <c r="C14940" s="6">
        <f>IFERROR(__xludf.DUMMYFUNCTION("""COMPUTED_VALUE"""),0.7194444444430701)</f>
        <v>0.7194444444</v>
      </c>
      <c r="D14940" s="4">
        <f>IFERROR(__xludf.DUMMYFUNCTION("""COMPUTED_VALUE"""),13.008983)</f>
        <v>13.008983</v>
      </c>
      <c r="E14940" s="4">
        <f>IFERROR(__xludf.DUMMYFUNCTION("""COMPUTED_VALUE"""),80.229537)</f>
        <v>80.229537</v>
      </c>
      <c r="F14940" s="4">
        <f>IFERROR(__xludf.DUMMYFUNCTION("""COMPUTED_VALUE"""),805.0)</f>
        <v>805</v>
      </c>
      <c r="G14940" s="4">
        <f>IFERROR(__xludf.DUMMYFUNCTION("""COMPUTED_VALUE"""),39.0)</f>
        <v>39</v>
      </c>
      <c r="H14940" s="4"/>
      <c r="I14940" s="4"/>
    </row>
    <row r="14941">
      <c r="A14941" s="4" t="str">
        <f>IFERROR(__xludf.DUMMYFUNCTION("""COMPUTED_VALUE"""),"cas_hmw")</f>
        <v>cas_hmw</v>
      </c>
      <c r="B14941" s="5">
        <f>IFERROR(__xludf.DUMMYFUNCTION("""COMPUTED_VALUE"""),44727.0)</f>
        <v>44727</v>
      </c>
      <c r="C14941" s="6">
        <f>IFERROR(__xludf.DUMMYFUNCTION("""COMPUTED_VALUE"""),0.7196759259277314)</f>
        <v>0.7196759259</v>
      </c>
      <c r="D14941" s="4">
        <f>IFERROR(__xludf.DUMMYFUNCTION("""COMPUTED_VALUE"""),13.016875)</f>
        <v>13.016875</v>
      </c>
      <c r="E14941" s="4">
        <f>IFERROR(__xludf.DUMMYFUNCTION("""COMPUTED_VALUE"""),80.225196)</f>
        <v>80.225196</v>
      </c>
      <c r="F14941" s="4">
        <f>IFERROR(__xludf.DUMMYFUNCTION("""COMPUTED_VALUE"""),5339.0)</f>
        <v>5339</v>
      </c>
      <c r="G14941" s="4">
        <f>IFERROR(__xludf.DUMMYFUNCTION("""COMPUTED_VALUE"""),36.0)</f>
        <v>36</v>
      </c>
      <c r="H14941" s="4"/>
      <c r="I14941" s="4"/>
    </row>
    <row r="14942">
      <c r="A14942" s="4" t="str">
        <f>IFERROR(__xludf.DUMMYFUNCTION("""COMPUTED_VALUE"""),"cas_hmw")</f>
        <v>cas_hmw</v>
      </c>
      <c r="B14942" s="5">
        <f>IFERROR(__xludf.DUMMYFUNCTION("""COMPUTED_VALUE"""),44727.0)</f>
        <v>44727</v>
      </c>
      <c r="C14942" s="6">
        <f>IFERROR(__xludf.DUMMYFUNCTION("""COMPUTED_VALUE"""),0.7201851851859828)</f>
        <v>0.7201851852</v>
      </c>
      <c r="D14942" s="4">
        <f>IFERROR(__xludf.DUMMYFUNCTION("""COMPUTED_VALUE"""),13.019862)</f>
        <v>13.019862</v>
      </c>
      <c r="E14942" s="4">
        <f>IFERROR(__xludf.DUMMYFUNCTION("""COMPUTED_VALUE"""),80.224556)</f>
        <v>80.224556</v>
      </c>
      <c r="F14942" s="4">
        <f>IFERROR(__xludf.DUMMYFUNCTION("""COMPUTED_VALUE"""),5339.0)</f>
        <v>5339</v>
      </c>
      <c r="G14942" s="4">
        <f>IFERROR(__xludf.DUMMYFUNCTION("""COMPUTED_VALUE"""),20.0)</f>
        <v>20</v>
      </c>
      <c r="H14942" s="4"/>
      <c r="I14942" s="4"/>
    </row>
    <row r="14943">
      <c r="A14943" s="4" t="str">
        <f>IFERROR(__xludf.DUMMYFUNCTION("""COMPUTED_VALUE"""),"cas_hmw")</f>
        <v>cas_hmw</v>
      </c>
      <c r="B14943" s="5">
        <f>IFERROR(__xludf.DUMMYFUNCTION("""COMPUTED_VALUE"""),44727.0)</f>
        <v>44727</v>
      </c>
      <c r="C14943" s="6">
        <f>IFERROR(__xludf.DUMMYFUNCTION("""COMPUTED_VALUE"""),0.7201851851859828)</f>
        <v>0.7201851852</v>
      </c>
      <c r="D14943" s="4">
        <f>IFERROR(__xludf.DUMMYFUNCTION("""COMPUTED_VALUE"""),13.019862)</f>
        <v>13.019862</v>
      </c>
      <c r="E14943" s="4">
        <f>IFERROR(__xludf.DUMMYFUNCTION("""COMPUTED_VALUE"""),80.224556)</f>
        <v>80.224556</v>
      </c>
      <c r="F14943" s="4">
        <f>IFERROR(__xludf.DUMMYFUNCTION("""COMPUTED_VALUE"""),5339.0)</f>
        <v>5339</v>
      </c>
      <c r="G14943" s="4">
        <f>IFERROR(__xludf.DUMMYFUNCTION("""COMPUTED_VALUE"""),20.0)</f>
        <v>20</v>
      </c>
      <c r="H14943" s="4"/>
      <c r="I14943" s="4"/>
    </row>
    <row r="14944">
      <c r="A14944" s="4" t="str">
        <f>IFERROR(__xludf.DUMMYFUNCTION("""COMPUTED_VALUE"""),"cas_hmw")</f>
        <v>cas_hmw</v>
      </c>
      <c r="B14944" s="5">
        <f>IFERROR(__xludf.DUMMYFUNCTION("""COMPUTED_VALUE"""),44727.0)</f>
        <v>44727</v>
      </c>
      <c r="C14944" s="6">
        <f>IFERROR(__xludf.DUMMYFUNCTION("""COMPUTED_VALUE"""),0.7202777777783922)</f>
        <v>0.7202777778</v>
      </c>
      <c r="D14944" s="4">
        <f>IFERROR(__xludf.DUMMYFUNCTION("""COMPUTED_VALUE"""),13.020693)</f>
        <v>13.020693</v>
      </c>
      <c r="E14944" s="4">
        <f>IFERROR(__xludf.DUMMYFUNCTION("""COMPUTED_VALUE"""),80.225165)</f>
        <v>80.225165</v>
      </c>
      <c r="F14944" s="4">
        <f>IFERROR(__xludf.DUMMYFUNCTION("""COMPUTED_VALUE"""),5339.0)</f>
        <v>5339</v>
      </c>
      <c r="G14944" s="4">
        <f>IFERROR(__xludf.DUMMYFUNCTION("""COMPUTED_VALUE"""),35.0)</f>
        <v>35</v>
      </c>
      <c r="H14944" s="4"/>
      <c r="I14944" s="4"/>
    </row>
    <row r="14945">
      <c r="A14945" s="4" t="str">
        <f>IFERROR(__xludf.DUMMYFUNCTION("""COMPUTED_VALUE"""),"cas_hmw")</f>
        <v>cas_hmw</v>
      </c>
      <c r="B14945" s="5">
        <f>IFERROR(__xludf.DUMMYFUNCTION("""COMPUTED_VALUE"""),44727.0)</f>
        <v>44727</v>
      </c>
      <c r="C14945" s="6">
        <f>IFERROR(__xludf.DUMMYFUNCTION("""COMPUTED_VALUE"""),0.7205555555556202)</f>
        <v>0.7205555556</v>
      </c>
      <c r="D14945" s="4">
        <f>IFERROR(__xludf.DUMMYFUNCTION("""COMPUTED_VALUE"""),13.007801)</f>
        <v>13.007801</v>
      </c>
      <c r="E14945" s="4">
        <f>IFERROR(__xludf.DUMMYFUNCTION("""COMPUTED_VALUE"""),80.235644)</f>
        <v>80.235644</v>
      </c>
      <c r="F14945" s="4">
        <f>IFERROR(__xludf.DUMMYFUNCTION("""COMPUTED_VALUE"""),805.0)</f>
        <v>805</v>
      </c>
      <c r="G14945" s="4">
        <f>IFERROR(__xludf.DUMMYFUNCTION("""COMPUTED_VALUE"""),35.0)</f>
        <v>35</v>
      </c>
      <c r="H14945" s="4"/>
      <c r="I14945" s="4"/>
    </row>
    <row r="14946">
      <c r="A14946" s="4" t="str">
        <f>IFERROR(__xludf.DUMMYFUNCTION("""COMPUTED_VALUE"""),"cas_hmw")</f>
        <v>cas_hmw</v>
      </c>
      <c r="B14946" s="5">
        <f>IFERROR(__xludf.DUMMYFUNCTION("""COMPUTED_VALUE"""),44727.0)</f>
        <v>44727</v>
      </c>
      <c r="C14946" s="6">
        <f>IFERROR(__xludf.DUMMYFUNCTION("""COMPUTED_VALUE"""),0.7206712962979509)</f>
        <v>0.7206712963</v>
      </c>
      <c r="D14946" s="4">
        <f>IFERROR(__xludf.DUMMYFUNCTION("""COMPUTED_VALUE"""),13.007801)</f>
        <v>13.007801</v>
      </c>
      <c r="E14946" s="4">
        <f>IFERROR(__xludf.DUMMYFUNCTION("""COMPUTED_VALUE"""),80.235644)</f>
        <v>80.235644</v>
      </c>
      <c r="F14946" s="4">
        <f>IFERROR(__xludf.DUMMYFUNCTION("""COMPUTED_VALUE"""),805.0)</f>
        <v>805</v>
      </c>
      <c r="G14946" s="4">
        <f>IFERROR(__xludf.DUMMYFUNCTION("""COMPUTED_VALUE"""),35.0)</f>
        <v>35</v>
      </c>
      <c r="H14946" s="4"/>
      <c r="I14946" s="4"/>
    </row>
    <row r="14947">
      <c r="A14947" s="4" t="str">
        <f>IFERROR(__xludf.DUMMYFUNCTION("""COMPUTED_VALUE"""),"cas_hmw")</f>
        <v>cas_hmw</v>
      </c>
      <c r="B14947" s="5">
        <f>IFERROR(__xludf.DUMMYFUNCTION("""COMPUTED_VALUE"""),44727.0)</f>
        <v>44727</v>
      </c>
      <c r="C14947" s="6">
        <f>IFERROR(__xludf.DUMMYFUNCTION("""COMPUTED_VALUE"""),0.7207060185173759)</f>
        <v>0.7207060185</v>
      </c>
      <c r="D14947" s="4">
        <f>IFERROR(__xludf.DUMMYFUNCTION("""COMPUTED_VALUE"""),13.022736)</f>
        <v>13.022736</v>
      </c>
      <c r="E14947" s="4">
        <f>IFERROR(__xludf.DUMMYFUNCTION("""COMPUTED_VALUE"""),80.226748)</f>
        <v>80.226748</v>
      </c>
      <c r="F14947" s="4">
        <f>IFERROR(__xludf.DUMMYFUNCTION("""COMPUTED_VALUE"""),5339.0)</f>
        <v>5339</v>
      </c>
      <c r="G14947" s="4">
        <f>IFERROR(__xludf.DUMMYFUNCTION("""COMPUTED_VALUE"""),39.0)</f>
        <v>39</v>
      </c>
      <c r="H14947" s="4"/>
      <c r="I14947" s="4"/>
    </row>
    <row r="14948">
      <c r="A14948" s="4" t="str">
        <f>IFERROR(__xludf.DUMMYFUNCTION("""COMPUTED_VALUE"""),"cas_hmw")</f>
        <v>cas_hmw</v>
      </c>
      <c r="B14948" s="5">
        <f>IFERROR(__xludf.DUMMYFUNCTION("""COMPUTED_VALUE"""),44727.0)</f>
        <v>44727</v>
      </c>
      <c r="C14948" s="6">
        <f>IFERROR(__xludf.DUMMYFUNCTION("""COMPUTED_VALUE"""),0.7207870370366436)</f>
        <v>0.720787037</v>
      </c>
      <c r="D14948" s="4">
        <f>IFERROR(__xludf.DUMMYFUNCTION("""COMPUTED_VALUE"""),13.022736)</f>
        <v>13.022736</v>
      </c>
      <c r="E14948" s="4">
        <f>IFERROR(__xludf.DUMMYFUNCTION("""COMPUTED_VALUE"""),80.226748)</f>
        <v>80.226748</v>
      </c>
      <c r="F14948" s="4">
        <f>IFERROR(__xludf.DUMMYFUNCTION("""COMPUTED_VALUE"""),5339.0)</f>
        <v>5339</v>
      </c>
      <c r="G14948" s="4">
        <f>IFERROR(__xludf.DUMMYFUNCTION("""COMPUTED_VALUE"""),39.0)</f>
        <v>39</v>
      </c>
      <c r="H14948" s="4"/>
      <c r="I14948" s="4"/>
    </row>
    <row r="14949">
      <c r="A14949" s="4" t="str">
        <f>IFERROR(__xludf.DUMMYFUNCTION("""COMPUTED_VALUE"""),"cas_hmw")</f>
        <v>cas_hmw</v>
      </c>
      <c r="B14949" s="5">
        <f>IFERROR(__xludf.DUMMYFUNCTION("""COMPUTED_VALUE"""),44727.0)</f>
        <v>44727</v>
      </c>
      <c r="C14949" s="6">
        <f>IFERROR(__xludf.DUMMYFUNCTION("""COMPUTED_VALUE"""),0.7216550925913907)</f>
        <v>0.7216550926</v>
      </c>
      <c r="D14949" s="4">
        <f>IFERROR(__xludf.DUMMYFUNCTION("""COMPUTED_VALUE"""),13.024465)</f>
        <v>13.024465</v>
      </c>
      <c r="E14949" s="4">
        <f>IFERROR(__xludf.DUMMYFUNCTION("""COMPUTED_VALUE"""),80.228594)</f>
        <v>80.228594</v>
      </c>
      <c r="F14949" s="4">
        <f>IFERROR(__xludf.DUMMYFUNCTION("""COMPUTED_VALUE"""),5339.0)</f>
        <v>5339</v>
      </c>
      <c r="G14949" s="4">
        <f>IFERROR(__xludf.DUMMYFUNCTION("""COMPUTED_VALUE"""),25.0)</f>
        <v>25</v>
      </c>
      <c r="H14949" s="4"/>
      <c r="I14949" s="4"/>
    </row>
    <row r="14950">
      <c r="A14950" s="4" t="str">
        <f>IFERROR(__xludf.DUMMYFUNCTION("""COMPUTED_VALUE"""),"cas_hmw")</f>
        <v>cas_hmw</v>
      </c>
      <c r="B14950" s="5">
        <f>IFERROR(__xludf.DUMMYFUNCTION("""COMPUTED_VALUE"""),44727.0)</f>
        <v>44727</v>
      </c>
      <c r="C14950" s="6">
        <f>IFERROR(__xludf.DUMMYFUNCTION("""COMPUTED_VALUE"""),0.721678240741312)</f>
        <v>0.7216782407</v>
      </c>
      <c r="D14950" s="4">
        <f>IFERROR(__xludf.DUMMYFUNCTION("""COMPUTED_VALUE"""),13.024465)</f>
        <v>13.024465</v>
      </c>
      <c r="E14950" s="4">
        <f>IFERROR(__xludf.DUMMYFUNCTION("""COMPUTED_VALUE"""),80.228594)</f>
        <v>80.228594</v>
      </c>
      <c r="F14950" s="4">
        <f>IFERROR(__xludf.DUMMYFUNCTION("""COMPUTED_VALUE"""),5339.0)</f>
        <v>5339</v>
      </c>
      <c r="G14950" s="4">
        <f>IFERROR(__xludf.DUMMYFUNCTION("""COMPUTED_VALUE"""),25.0)</f>
        <v>25</v>
      </c>
      <c r="H14950" s="4"/>
      <c r="I14950" s="4"/>
    </row>
    <row r="14951">
      <c r="A14951" s="4" t="str">
        <f>IFERROR(__xludf.DUMMYFUNCTION("""COMPUTED_VALUE"""),"cas_hmw")</f>
        <v>cas_hmw</v>
      </c>
      <c r="B14951" s="5">
        <f>IFERROR(__xludf.DUMMYFUNCTION("""COMPUTED_VALUE"""),44727.0)</f>
        <v>44727</v>
      </c>
      <c r="C14951" s="6">
        <f>IFERROR(__xludf.DUMMYFUNCTION("""COMPUTED_VALUE"""),0.7222106481494848)</f>
        <v>0.7222106481</v>
      </c>
      <c r="D14951" s="4">
        <f>IFERROR(__xludf.DUMMYFUNCTION("""COMPUTED_VALUE"""),13.006731)</f>
        <v>13.006731</v>
      </c>
      <c r="E14951" s="4">
        <f>IFERROR(__xludf.DUMMYFUNCTION("""COMPUTED_VALUE"""),80.245346)</f>
        <v>80.245346</v>
      </c>
      <c r="F14951" s="4">
        <f>IFERROR(__xludf.DUMMYFUNCTION("""COMPUTED_VALUE"""),805.0)</f>
        <v>805</v>
      </c>
      <c r="G14951" s="4">
        <f>IFERROR(__xludf.DUMMYFUNCTION("""COMPUTED_VALUE"""),18.0)</f>
        <v>18</v>
      </c>
      <c r="H14951" s="4"/>
      <c r="I14951" s="4"/>
    </row>
    <row r="14952">
      <c r="A14952" s="4" t="str">
        <f>IFERROR(__xludf.DUMMYFUNCTION("""COMPUTED_VALUE"""),"cas_hmw")</f>
        <v>cas_hmw</v>
      </c>
      <c r="B14952" s="5">
        <f>IFERROR(__xludf.DUMMYFUNCTION("""COMPUTED_VALUE"""),44727.0)</f>
        <v>44727</v>
      </c>
      <c r="C14952" s="6">
        <f>IFERROR(__xludf.DUMMYFUNCTION("""COMPUTED_VALUE"""),0.7227546296307992)</f>
        <v>0.7227546296</v>
      </c>
      <c r="D14952" s="4">
        <f>IFERROR(__xludf.DUMMYFUNCTION("""COMPUTED_VALUE"""),13.027063)</f>
        <v>13.027063</v>
      </c>
      <c r="E14952" s="4">
        <f>IFERROR(__xludf.DUMMYFUNCTION("""COMPUTED_VALUE"""),80.233671)</f>
        <v>80.233671</v>
      </c>
      <c r="F14952" s="4">
        <f>IFERROR(__xludf.DUMMYFUNCTION("""COMPUTED_VALUE"""),5339.0)</f>
        <v>5339</v>
      </c>
      <c r="G14952" s="4">
        <f>IFERROR(__xludf.DUMMYFUNCTION("""COMPUTED_VALUE"""),34.0)</f>
        <v>34</v>
      </c>
      <c r="H14952" s="4"/>
      <c r="I14952" s="4"/>
    </row>
    <row r="14953">
      <c r="A14953" s="4" t="str">
        <f>IFERROR(__xludf.DUMMYFUNCTION("""COMPUTED_VALUE"""),"cas_hmw")</f>
        <v>cas_hmw</v>
      </c>
      <c r="B14953" s="5">
        <f>IFERROR(__xludf.DUMMYFUNCTION("""COMPUTED_VALUE"""),44727.0)</f>
        <v>44727</v>
      </c>
      <c r="C14953" s="6">
        <f>IFERROR(__xludf.DUMMYFUNCTION("""COMPUTED_VALUE"""),0.7229513888887595)</f>
        <v>0.7229513889</v>
      </c>
      <c r="D14953" s="4">
        <f>IFERROR(__xludf.DUMMYFUNCTION("""COMPUTED_VALUE"""),13.027867)</f>
        <v>13.027867</v>
      </c>
      <c r="E14953" s="4">
        <f>IFERROR(__xludf.DUMMYFUNCTION("""COMPUTED_VALUE"""),80.235061)</f>
        <v>80.235061</v>
      </c>
      <c r="F14953" s="4">
        <f>IFERROR(__xludf.DUMMYFUNCTION("""COMPUTED_VALUE"""),5339.0)</f>
        <v>5339</v>
      </c>
      <c r="G14953" s="4">
        <f>IFERROR(__xludf.DUMMYFUNCTION("""COMPUTED_VALUE"""),39.0)</f>
        <v>39</v>
      </c>
      <c r="H14953" s="4"/>
      <c r="I14953" s="4"/>
    </row>
    <row r="14954">
      <c r="A14954" s="4" t="str">
        <f>IFERROR(__xludf.DUMMYFUNCTION("""COMPUTED_VALUE"""),"cas_hmw")</f>
        <v>cas_hmw</v>
      </c>
      <c r="B14954" s="5">
        <f>IFERROR(__xludf.DUMMYFUNCTION("""COMPUTED_VALUE"""),44727.0)</f>
        <v>44727</v>
      </c>
      <c r="C14954" s="6">
        <f>IFERROR(__xludf.DUMMYFUNCTION("""COMPUTED_VALUE"""),0.7230208333348855)</f>
        <v>0.7230208333</v>
      </c>
      <c r="D14954" s="4">
        <f>IFERROR(__xludf.DUMMYFUNCTION("""COMPUTED_VALUE"""),13.028762)</f>
        <v>13.028762</v>
      </c>
      <c r="E14954" s="4">
        <f>IFERROR(__xludf.DUMMYFUNCTION("""COMPUTED_VALUE"""),80.236192)</f>
        <v>80.236192</v>
      </c>
      <c r="F14954" s="4">
        <f>IFERROR(__xludf.DUMMYFUNCTION("""COMPUTED_VALUE"""),5339.0)</f>
        <v>5339</v>
      </c>
      <c r="G14954" s="4">
        <f>IFERROR(__xludf.DUMMYFUNCTION("""COMPUTED_VALUE"""),42.0)</f>
        <v>42</v>
      </c>
      <c r="H14954" s="4"/>
      <c r="I14954" s="4"/>
    </row>
    <row r="14955">
      <c r="A14955" s="4" t="str">
        <f>IFERROR(__xludf.DUMMYFUNCTION("""COMPUTED_VALUE"""),"cas_hmw")</f>
        <v>cas_hmw</v>
      </c>
      <c r="B14955" s="5">
        <f>IFERROR(__xludf.DUMMYFUNCTION("""COMPUTED_VALUE"""),44727.0)</f>
        <v>44727</v>
      </c>
      <c r="C14955" s="6">
        <f>IFERROR(__xludf.DUMMYFUNCTION("""COMPUTED_VALUE"""),0.7232060185197042)</f>
        <v>0.7232060185</v>
      </c>
      <c r="D14955" s="4">
        <f>IFERROR(__xludf.DUMMYFUNCTION("""COMPUTED_VALUE"""),13.006861)</f>
        <v>13.006861</v>
      </c>
      <c r="E14955" s="4">
        <f>IFERROR(__xludf.DUMMYFUNCTION("""COMPUTED_VALUE"""),80.250352)</f>
        <v>80.250352</v>
      </c>
      <c r="F14955" s="4">
        <f>IFERROR(__xludf.DUMMYFUNCTION("""COMPUTED_VALUE"""),805.0)</f>
        <v>805</v>
      </c>
      <c r="G14955" s="4">
        <f>IFERROR(__xludf.DUMMYFUNCTION("""COMPUTED_VALUE"""),48.0)</f>
        <v>48</v>
      </c>
      <c r="H14955" s="4"/>
      <c r="I14955" s="4"/>
    </row>
    <row r="14956">
      <c r="A14956" s="4" t="str">
        <f>IFERROR(__xludf.DUMMYFUNCTION("""COMPUTED_VALUE"""),"cas_hmw")</f>
        <v>cas_hmw</v>
      </c>
      <c r="B14956" s="5">
        <f>IFERROR(__xludf.DUMMYFUNCTION("""COMPUTED_VALUE"""),44727.0)</f>
        <v>44727</v>
      </c>
      <c r="C14956" s="6">
        <f>IFERROR(__xludf.DUMMYFUNCTION("""COMPUTED_VALUE"""),0.7234259259275859)</f>
        <v>0.7234259259</v>
      </c>
      <c r="D14956" s="4">
        <f>IFERROR(__xludf.DUMMYFUNCTION("""COMPUTED_VALUE"""),13.006782)</f>
        <v>13.006782</v>
      </c>
      <c r="E14956" s="4">
        <f>IFERROR(__xludf.DUMMYFUNCTION("""COMPUTED_VALUE"""),80.251723)</f>
        <v>80.251723</v>
      </c>
      <c r="F14956" s="4">
        <f>IFERROR(__xludf.DUMMYFUNCTION("""COMPUTED_VALUE"""),805.0)</f>
        <v>805</v>
      </c>
      <c r="G14956" s="4">
        <f>IFERROR(__xludf.DUMMYFUNCTION("""COMPUTED_VALUE"""),31.0)</f>
        <v>31</v>
      </c>
      <c r="H14956" s="4"/>
      <c r="I14956" s="4"/>
    </row>
    <row r="14957">
      <c r="A14957" s="4" t="str">
        <f>IFERROR(__xludf.DUMMYFUNCTION("""COMPUTED_VALUE"""),"cas_hmw")</f>
        <v>cas_hmw</v>
      </c>
      <c r="B14957" s="5">
        <f>IFERROR(__xludf.DUMMYFUNCTION("""COMPUTED_VALUE"""),44727.0)</f>
        <v>44727</v>
      </c>
      <c r="C14957" s="6">
        <f>IFERROR(__xludf.DUMMYFUNCTION("""COMPUTED_VALUE"""),0.7235185185199953)</f>
        <v>0.7235185185</v>
      </c>
      <c r="D14957" s="4">
        <f>IFERROR(__xludf.DUMMYFUNCTION("""COMPUTED_VALUE"""),13.00661)</f>
        <v>13.00661</v>
      </c>
      <c r="E14957" s="4">
        <f>IFERROR(__xludf.DUMMYFUNCTION("""COMPUTED_VALUE"""),80.25314)</f>
        <v>80.25314</v>
      </c>
      <c r="F14957" s="4">
        <f>IFERROR(__xludf.DUMMYFUNCTION("""COMPUTED_VALUE"""),805.0)</f>
        <v>805</v>
      </c>
      <c r="G14957" s="4">
        <f>IFERROR(__xludf.DUMMYFUNCTION("""COMPUTED_VALUE"""),40.0)</f>
        <v>40</v>
      </c>
      <c r="H14957" s="4"/>
      <c r="I14957" s="4"/>
    </row>
    <row r="14958">
      <c r="A14958" s="4" t="str">
        <f>IFERROR(__xludf.DUMMYFUNCTION("""COMPUTED_VALUE"""),"cas_hmw")</f>
        <v>cas_hmw</v>
      </c>
      <c r="B14958" s="5">
        <f>IFERROR(__xludf.DUMMYFUNCTION("""COMPUTED_VALUE"""),44727.0)</f>
        <v>44727</v>
      </c>
      <c r="C14958" s="6">
        <f>IFERROR(__xludf.DUMMYFUNCTION("""COMPUTED_VALUE"""),0.7235879629624833)</f>
        <v>0.723587963</v>
      </c>
      <c r="D14958" s="4">
        <f>IFERROR(__xludf.DUMMYFUNCTION("""COMPUTED_VALUE"""),13.00661)</f>
        <v>13.00661</v>
      </c>
      <c r="E14958" s="4">
        <f>IFERROR(__xludf.DUMMYFUNCTION("""COMPUTED_VALUE"""),80.25314)</f>
        <v>80.25314</v>
      </c>
      <c r="F14958" s="4">
        <f>IFERROR(__xludf.DUMMYFUNCTION("""COMPUTED_VALUE"""),805.0)</f>
        <v>805</v>
      </c>
      <c r="G14958" s="4">
        <f>IFERROR(__xludf.DUMMYFUNCTION("""COMPUTED_VALUE"""),40.0)</f>
        <v>40</v>
      </c>
      <c r="H14958" s="4"/>
      <c r="I14958" s="4"/>
    </row>
    <row r="14959">
      <c r="A14959" s="4" t="str">
        <f>IFERROR(__xludf.DUMMYFUNCTION("""COMPUTED_VALUE"""),"cas_hmw")</f>
        <v>cas_hmw</v>
      </c>
      <c r="B14959" s="5">
        <f>IFERROR(__xludf.DUMMYFUNCTION("""COMPUTED_VALUE"""),44727.0)</f>
        <v>44727</v>
      </c>
      <c r="C14959" s="6">
        <f>IFERROR(__xludf.DUMMYFUNCTION("""COMPUTED_VALUE"""),0.7237500000010186)</f>
        <v>0.72375</v>
      </c>
      <c r="D14959" s="4">
        <f>IFERROR(__xludf.DUMMYFUNCTION("""COMPUTED_VALUE"""),12.678686)</f>
        <v>12.678686</v>
      </c>
      <c r="E14959" s="4">
        <f>IFERROR(__xludf.DUMMYFUNCTION("""COMPUTED_VALUE"""),79.980132)</f>
        <v>79.980132</v>
      </c>
      <c r="F14959" s="4">
        <f>IFERROR(__xludf.DUMMYFUNCTION("""COMPUTED_VALUE"""),2846.0)</f>
        <v>2846</v>
      </c>
      <c r="G14959" s="4">
        <f>IFERROR(__xludf.DUMMYFUNCTION("""COMPUTED_VALUE"""),33.0)</f>
        <v>33</v>
      </c>
      <c r="H14959" s="4"/>
      <c r="I14959" s="4"/>
    </row>
    <row r="14960">
      <c r="A14960" s="4" t="str">
        <f>IFERROR(__xludf.DUMMYFUNCTION("""COMPUTED_VALUE"""),"cas_hmw")</f>
        <v>cas_hmw</v>
      </c>
      <c r="B14960" s="5">
        <f>IFERROR(__xludf.DUMMYFUNCTION("""COMPUTED_VALUE"""),44727.0)</f>
        <v>44727</v>
      </c>
      <c r="C14960" s="6">
        <f>IFERROR(__xludf.DUMMYFUNCTION("""COMPUTED_VALUE"""),0.7253472222218988)</f>
        <v>0.7253472222</v>
      </c>
      <c r="D14960" s="4">
        <f>IFERROR(__xludf.DUMMYFUNCTION("""COMPUTED_VALUE"""),13.031317)</f>
        <v>13.031317</v>
      </c>
      <c r="E14960" s="4">
        <f>IFERROR(__xludf.DUMMYFUNCTION("""COMPUTED_VALUE"""),80.239923)</f>
        <v>80.239923</v>
      </c>
      <c r="F14960" s="4">
        <f>IFERROR(__xludf.DUMMYFUNCTION("""COMPUTED_VALUE"""),5339.0)</f>
        <v>5339</v>
      </c>
      <c r="G14960" s="4">
        <f>IFERROR(__xludf.DUMMYFUNCTION("""COMPUTED_VALUE"""),30.0)</f>
        <v>30</v>
      </c>
      <c r="H14960" s="4"/>
      <c r="I14960" s="4"/>
    </row>
    <row r="14961">
      <c r="A14961" s="4" t="str">
        <f>IFERROR(__xludf.DUMMYFUNCTION("""COMPUTED_VALUE"""),"cas_hmw")</f>
        <v>cas_hmw</v>
      </c>
      <c r="B14961" s="5">
        <f>IFERROR(__xludf.DUMMYFUNCTION("""COMPUTED_VALUE"""),44727.0)</f>
        <v>44727</v>
      </c>
      <c r="C14961" s="6">
        <f>IFERROR(__xludf.DUMMYFUNCTION("""COMPUTED_VALUE"""),0.7255555555566389)</f>
        <v>0.7255555556</v>
      </c>
      <c r="D14961" s="4">
        <f>IFERROR(__xludf.DUMMYFUNCTION("""COMPUTED_VALUE"""),13.03193)</f>
        <v>13.03193</v>
      </c>
      <c r="E14961" s="4">
        <f>IFERROR(__xludf.DUMMYFUNCTION("""COMPUTED_VALUE"""),80.241339)</f>
        <v>80.241339</v>
      </c>
      <c r="F14961" s="4">
        <f>IFERROR(__xludf.DUMMYFUNCTION("""COMPUTED_VALUE"""),5339.0)</f>
        <v>5339</v>
      </c>
      <c r="G14961" s="4">
        <f>IFERROR(__xludf.DUMMYFUNCTION("""COMPUTED_VALUE"""),40.0)</f>
        <v>40</v>
      </c>
      <c r="H14961" s="4"/>
      <c r="I14961" s="4"/>
    </row>
    <row r="14962">
      <c r="A14962" s="4" t="str">
        <f>IFERROR(__xludf.DUMMYFUNCTION("""COMPUTED_VALUE"""),"cas_hmw")</f>
        <v>cas_hmw</v>
      </c>
      <c r="B14962" s="5">
        <f>IFERROR(__xludf.DUMMYFUNCTION("""COMPUTED_VALUE"""),44727.0)</f>
        <v>44727</v>
      </c>
      <c r="C14962" s="6">
        <f>IFERROR(__xludf.DUMMYFUNCTION("""COMPUTED_VALUE"""),0.7257175925915362)</f>
        <v>0.7257175926</v>
      </c>
      <c r="D14962" s="4">
        <f>IFERROR(__xludf.DUMMYFUNCTION("""COMPUTED_VALUE"""),13.009498)</f>
        <v>13.009498</v>
      </c>
      <c r="E14962" s="4">
        <f>IFERROR(__xludf.DUMMYFUNCTION("""COMPUTED_VALUE"""),80.25905)</f>
        <v>80.25905</v>
      </c>
      <c r="F14962" s="4">
        <f>IFERROR(__xludf.DUMMYFUNCTION("""COMPUTED_VALUE"""),805.0)</f>
        <v>805</v>
      </c>
      <c r="G14962" s="4">
        <f>IFERROR(__xludf.DUMMYFUNCTION("""COMPUTED_VALUE"""),27.0)</f>
        <v>27</v>
      </c>
      <c r="H14962" s="4"/>
      <c r="I14962" s="4"/>
    </row>
    <row r="14963">
      <c r="A14963" s="4" t="str">
        <f>IFERROR(__xludf.DUMMYFUNCTION("""COMPUTED_VALUE"""),"cas_hmw")</f>
        <v>cas_hmw</v>
      </c>
      <c r="B14963" s="5">
        <f>IFERROR(__xludf.DUMMYFUNCTION("""COMPUTED_VALUE"""),44727.0)</f>
        <v>44727</v>
      </c>
      <c r="C14963" s="6">
        <f>IFERROR(__xludf.DUMMYFUNCTION("""COMPUTED_VALUE"""),0.7258101851839456)</f>
        <v>0.7258101852</v>
      </c>
      <c r="D14963" s="4">
        <f>IFERROR(__xludf.DUMMYFUNCTION("""COMPUTED_VALUE"""),13.0334)</f>
        <v>13.0334</v>
      </c>
      <c r="E14963" s="4">
        <f>IFERROR(__xludf.DUMMYFUNCTION("""COMPUTED_VALUE"""),80.243625)</f>
        <v>80.243625</v>
      </c>
      <c r="F14963" s="4">
        <f>IFERROR(__xludf.DUMMYFUNCTION("""COMPUTED_VALUE"""),5339.0)</f>
        <v>5339</v>
      </c>
      <c r="G14963" s="4">
        <f>IFERROR(__xludf.DUMMYFUNCTION("""COMPUTED_VALUE"""),26.0)</f>
        <v>26</v>
      </c>
      <c r="H14963" s="4"/>
      <c r="I14963" s="4"/>
    </row>
    <row r="14964">
      <c r="A14964" s="4" t="str">
        <f>IFERROR(__xludf.DUMMYFUNCTION("""COMPUTED_VALUE"""),"cas_hmw")</f>
        <v>cas_hmw</v>
      </c>
      <c r="B14964" s="5">
        <f>IFERROR(__xludf.DUMMYFUNCTION("""COMPUTED_VALUE"""),44727.0)</f>
        <v>44727</v>
      </c>
      <c r="C14964" s="6">
        <f>IFERROR(__xludf.DUMMYFUNCTION("""COMPUTED_VALUE"""),0.7264120370382443)</f>
        <v>0.726412037</v>
      </c>
      <c r="D14964" s="4">
        <f>IFERROR(__xludf.DUMMYFUNCTION("""COMPUTED_VALUE"""),13.015001)</f>
        <v>13.015001</v>
      </c>
      <c r="E14964" s="4">
        <f>IFERROR(__xludf.DUMMYFUNCTION("""COMPUTED_VALUE"""),80.259186)</f>
        <v>80.259186</v>
      </c>
      <c r="F14964" s="4">
        <f>IFERROR(__xludf.DUMMYFUNCTION("""COMPUTED_VALUE"""),805.0)</f>
        <v>805</v>
      </c>
      <c r="G14964" s="4">
        <f>IFERROR(__xludf.DUMMYFUNCTION("""COMPUTED_VALUE"""),43.0)</f>
        <v>43</v>
      </c>
      <c r="H14964" s="4"/>
      <c r="I14964" s="4"/>
    </row>
    <row r="14965">
      <c r="A14965" s="4" t="str">
        <f>IFERROR(__xludf.DUMMYFUNCTION("""COMPUTED_VALUE"""),"cas_hmw")</f>
        <v>cas_hmw</v>
      </c>
      <c r="B14965" s="5">
        <f>IFERROR(__xludf.DUMMYFUNCTION("""COMPUTED_VALUE"""),44727.0)</f>
        <v>44727</v>
      </c>
      <c r="C14965" s="6">
        <f>IFERROR(__xludf.DUMMYFUNCTION("""COMPUTED_VALUE"""),0.7264351851845277)</f>
        <v>0.7264351852</v>
      </c>
      <c r="D14965" s="4">
        <f>IFERROR(__xludf.DUMMYFUNCTION("""COMPUTED_VALUE"""),13.015001)</f>
        <v>13.015001</v>
      </c>
      <c r="E14965" s="4">
        <f>IFERROR(__xludf.DUMMYFUNCTION("""COMPUTED_VALUE"""),80.259186)</f>
        <v>80.259186</v>
      </c>
      <c r="F14965" s="4">
        <f>IFERROR(__xludf.DUMMYFUNCTION("""COMPUTED_VALUE"""),805.0)</f>
        <v>805</v>
      </c>
      <c r="G14965" s="4">
        <f>IFERROR(__xludf.DUMMYFUNCTION("""COMPUTED_VALUE"""),43.0)</f>
        <v>43</v>
      </c>
      <c r="H14965" s="4"/>
      <c r="I14965" s="4"/>
    </row>
    <row r="14966">
      <c r="A14966" s="4" t="str">
        <f>IFERROR(__xludf.DUMMYFUNCTION("""COMPUTED_VALUE"""),"cas_hmw")</f>
        <v>cas_hmw</v>
      </c>
      <c r="B14966" s="5">
        <f>IFERROR(__xludf.DUMMYFUNCTION("""COMPUTED_VALUE"""),44727.0)</f>
        <v>44727</v>
      </c>
      <c r="C14966" s="6">
        <f>IFERROR(__xludf.DUMMYFUNCTION("""COMPUTED_VALUE"""),0.7264467592576693)</f>
        <v>0.7264467593</v>
      </c>
      <c r="D14966" s="4">
        <f>IFERROR(__xludf.DUMMYFUNCTION("""COMPUTED_VALUE"""),13.016094)</f>
        <v>13.016094</v>
      </c>
      <c r="E14966" s="4">
        <f>IFERROR(__xludf.DUMMYFUNCTION("""COMPUTED_VALUE"""),80.259456)</f>
        <v>80.259456</v>
      </c>
      <c r="F14966" s="4">
        <f>IFERROR(__xludf.DUMMYFUNCTION("""COMPUTED_VALUE"""),805.0)</f>
        <v>805</v>
      </c>
      <c r="G14966" s="4">
        <f>IFERROR(__xludf.DUMMYFUNCTION("""COMPUTED_VALUE"""),20.0)</f>
        <v>20</v>
      </c>
      <c r="H14966" s="4"/>
      <c r="I14966" s="4"/>
    </row>
    <row r="14967">
      <c r="A14967" s="4" t="str">
        <f>IFERROR(__xludf.DUMMYFUNCTION("""COMPUTED_VALUE"""),"cas_hmw")</f>
        <v>cas_hmw</v>
      </c>
      <c r="B14967" s="5">
        <f>IFERROR(__xludf.DUMMYFUNCTION("""COMPUTED_VALUE"""),44727.0)</f>
        <v>44727</v>
      </c>
      <c r="C14967" s="6">
        <f>IFERROR(__xludf.DUMMYFUNCTION("""COMPUTED_VALUE"""),0.7264467592576693)</f>
        <v>0.7264467593</v>
      </c>
      <c r="D14967" s="4">
        <f>IFERROR(__xludf.DUMMYFUNCTION("""COMPUTED_VALUE"""),13.016094)</f>
        <v>13.016094</v>
      </c>
      <c r="E14967" s="4">
        <f>IFERROR(__xludf.DUMMYFUNCTION("""COMPUTED_VALUE"""),80.259456)</f>
        <v>80.259456</v>
      </c>
      <c r="F14967" s="4">
        <f>IFERROR(__xludf.DUMMYFUNCTION("""COMPUTED_VALUE"""),805.0)</f>
        <v>805</v>
      </c>
      <c r="G14967" s="4">
        <f>IFERROR(__xludf.DUMMYFUNCTION("""COMPUTED_VALUE"""),20.0)</f>
        <v>20</v>
      </c>
      <c r="H14967" s="4"/>
      <c r="I14967" s="4"/>
    </row>
    <row r="14968">
      <c r="A14968" s="4" t="str">
        <f>IFERROR(__xludf.DUMMYFUNCTION("""COMPUTED_VALUE"""),"cas_hmw")</f>
        <v>cas_hmw</v>
      </c>
      <c r="B14968" s="5">
        <f>IFERROR(__xludf.DUMMYFUNCTION("""COMPUTED_VALUE"""),44727.0)</f>
        <v>44727</v>
      </c>
      <c r="C14968" s="6">
        <f>IFERROR(__xludf.DUMMYFUNCTION("""COMPUTED_VALUE"""),0.7265393518500787)</f>
        <v>0.7265393519</v>
      </c>
      <c r="D14968" s="4">
        <f>IFERROR(__xludf.DUMMYFUNCTION("""COMPUTED_VALUE"""),13.016094)</f>
        <v>13.016094</v>
      </c>
      <c r="E14968" s="4">
        <f>IFERROR(__xludf.DUMMYFUNCTION("""COMPUTED_VALUE"""),80.259456)</f>
        <v>80.259456</v>
      </c>
      <c r="F14968" s="4">
        <f>IFERROR(__xludf.DUMMYFUNCTION("""COMPUTED_VALUE"""),805.0)</f>
        <v>805</v>
      </c>
      <c r="G14968" s="4">
        <f>IFERROR(__xludf.DUMMYFUNCTION("""COMPUTED_VALUE"""),20.0)</f>
        <v>20</v>
      </c>
      <c r="H14968" s="4"/>
      <c r="I14968" s="4"/>
    </row>
    <row r="14969">
      <c r="A14969" s="4" t="str">
        <f>IFERROR(__xludf.DUMMYFUNCTION("""COMPUTED_VALUE"""),"cas_hmw")</f>
        <v>cas_hmw</v>
      </c>
      <c r="B14969" s="5">
        <f>IFERROR(__xludf.DUMMYFUNCTION("""COMPUTED_VALUE"""),44727.0)</f>
        <v>44727</v>
      </c>
      <c r="C14969" s="6">
        <f>IFERROR(__xludf.DUMMYFUNCTION("""COMPUTED_VALUE"""),0.726597222223063)</f>
        <v>0.7265972222</v>
      </c>
      <c r="D14969" s="4">
        <f>IFERROR(__xludf.DUMMYFUNCTION("""COMPUTED_VALUE"""),13.016094)</f>
        <v>13.016094</v>
      </c>
      <c r="E14969" s="4">
        <f>IFERROR(__xludf.DUMMYFUNCTION("""COMPUTED_VALUE"""),80.259456)</f>
        <v>80.259456</v>
      </c>
      <c r="F14969" s="4">
        <f>IFERROR(__xludf.DUMMYFUNCTION("""COMPUTED_VALUE"""),805.0)</f>
        <v>805</v>
      </c>
      <c r="G14969" s="4">
        <f>IFERROR(__xludf.DUMMYFUNCTION("""COMPUTED_VALUE"""),20.0)</f>
        <v>20</v>
      </c>
      <c r="H14969" s="4"/>
      <c r="I14969" s="4"/>
    </row>
    <row r="14970">
      <c r="A14970" s="4" t="str">
        <f>IFERROR(__xludf.DUMMYFUNCTION("""COMPUTED_VALUE"""),"cas_hmw")</f>
        <v>cas_hmw</v>
      </c>
      <c r="B14970" s="5">
        <f>IFERROR(__xludf.DUMMYFUNCTION("""COMPUTED_VALUE"""),44727.0)</f>
        <v>44727</v>
      </c>
      <c r="C14970" s="6">
        <f>IFERROR(__xludf.DUMMYFUNCTION("""COMPUTED_VALUE"""),0.726597222223063)</f>
        <v>0.7265972222</v>
      </c>
      <c r="D14970" s="4">
        <f>IFERROR(__xludf.DUMMYFUNCTION("""COMPUTED_VALUE"""),13.016094)</f>
        <v>13.016094</v>
      </c>
      <c r="E14970" s="4">
        <f>IFERROR(__xludf.DUMMYFUNCTION("""COMPUTED_VALUE"""),80.259456)</f>
        <v>80.259456</v>
      </c>
      <c r="F14970" s="4">
        <f>IFERROR(__xludf.DUMMYFUNCTION("""COMPUTED_VALUE"""),805.0)</f>
        <v>805</v>
      </c>
      <c r="G14970" s="4">
        <f>IFERROR(__xludf.DUMMYFUNCTION("""COMPUTED_VALUE"""),20.0)</f>
        <v>20</v>
      </c>
      <c r="H14970" s="4"/>
      <c r="I14970" s="4"/>
    </row>
    <row r="14971">
      <c r="A14971" s="4" t="str">
        <f>IFERROR(__xludf.DUMMYFUNCTION("""COMPUTED_VALUE"""),"cas_hmw")</f>
        <v>cas_hmw</v>
      </c>
      <c r="B14971" s="5">
        <f>IFERROR(__xludf.DUMMYFUNCTION("""COMPUTED_VALUE"""),44727.0)</f>
        <v>44727</v>
      </c>
      <c r="C14971" s="6">
        <f>IFERROR(__xludf.DUMMYFUNCTION("""COMPUTED_VALUE"""),0.7266550925924093)</f>
        <v>0.7266550926</v>
      </c>
      <c r="D14971" s="4">
        <f>IFERROR(__xludf.DUMMYFUNCTION("""COMPUTED_VALUE"""),13.017106)</f>
        <v>13.017106</v>
      </c>
      <c r="E14971" s="4">
        <f>IFERROR(__xludf.DUMMYFUNCTION("""COMPUTED_VALUE"""),80.260108)</f>
        <v>80.260108</v>
      </c>
      <c r="F14971" s="4">
        <f>IFERROR(__xludf.DUMMYFUNCTION("""COMPUTED_VALUE"""),805.0)</f>
        <v>805</v>
      </c>
      <c r="G14971" s="4">
        <f>IFERROR(__xludf.DUMMYFUNCTION("""COMPUTED_VALUE"""),29.0)</f>
        <v>29</v>
      </c>
      <c r="H14971" s="4"/>
      <c r="I14971" s="4"/>
    </row>
    <row r="14972">
      <c r="A14972" s="4" t="str">
        <f>IFERROR(__xludf.DUMMYFUNCTION("""COMPUTED_VALUE"""),"cas_hmw")</f>
        <v>cas_hmw</v>
      </c>
      <c r="B14972" s="5">
        <f>IFERROR(__xludf.DUMMYFUNCTION("""COMPUTED_VALUE"""),44727.0)</f>
        <v>44727</v>
      </c>
      <c r="C14972" s="6">
        <f>IFERROR(__xludf.DUMMYFUNCTION("""COMPUTED_VALUE"""),0.7266550925924093)</f>
        <v>0.7266550926</v>
      </c>
      <c r="D14972" s="4">
        <f>IFERROR(__xludf.DUMMYFUNCTION("""COMPUTED_VALUE"""),13.017106)</f>
        <v>13.017106</v>
      </c>
      <c r="E14972" s="4">
        <f>IFERROR(__xludf.DUMMYFUNCTION("""COMPUTED_VALUE"""),80.260108)</f>
        <v>80.260108</v>
      </c>
      <c r="F14972" s="4">
        <f>IFERROR(__xludf.DUMMYFUNCTION("""COMPUTED_VALUE"""),805.0)</f>
        <v>805</v>
      </c>
      <c r="G14972" s="4">
        <f>IFERROR(__xludf.DUMMYFUNCTION("""COMPUTED_VALUE"""),29.0)</f>
        <v>29</v>
      </c>
      <c r="H14972" s="4"/>
      <c r="I14972" s="4"/>
    </row>
    <row r="14973">
      <c r="A14973" s="4" t="str">
        <f>IFERROR(__xludf.DUMMYFUNCTION("""COMPUTED_VALUE"""),"cas_hmw")</f>
        <v>cas_hmw</v>
      </c>
      <c r="B14973" s="5">
        <f>IFERROR(__xludf.DUMMYFUNCTION("""COMPUTED_VALUE"""),44727.0)</f>
        <v>44727</v>
      </c>
      <c r="C14973" s="6">
        <f>IFERROR(__xludf.DUMMYFUNCTION("""COMPUTED_VALUE"""),0.7276388888894871)</f>
        <v>0.7276388889</v>
      </c>
      <c r="D14973" s="4">
        <f>IFERROR(__xludf.DUMMYFUNCTION("""COMPUTED_VALUE"""),12.658449)</f>
        <v>12.658449</v>
      </c>
      <c r="E14973" s="4">
        <f>IFERROR(__xludf.DUMMYFUNCTION("""COMPUTED_VALUE"""),79.960314)</f>
        <v>79.960314</v>
      </c>
      <c r="F14973" s="4">
        <f>IFERROR(__xludf.DUMMYFUNCTION("""COMPUTED_VALUE"""),2846.0)</f>
        <v>2846</v>
      </c>
      <c r="G14973" s="4">
        <f>IFERROR(__xludf.DUMMYFUNCTION("""COMPUTED_VALUE"""),33.0)</f>
        <v>33</v>
      </c>
      <c r="H14973" s="4"/>
      <c r="I14973" s="4"/>
    </row>
    <row r="14974">
      <c r="A14974" s="4" t="str">
        <f>IFERROR(__xludf.DUMMYFUNCTION("""COMPUTED_VALUE"""),"cas_hmw")</f>
        <v>cas_hmw</v>
      </c>
      <c r="B14974" s="5">
        <f>IFERROR(__xludf.DUMMYFUNCTION("""COMPUTED_VALUE"""),44727.0)</f>
        <v>44727</v>
      </c>
      <c r="C14974" s="6">
        <f>IFERROR(__xludf.DUMMYFUNCTION("""COMPUTED_VALUE"""),0.7284953703710926)</f>
        <v>0.7284953704</v>
      </c>
      <c r="D14974" s="4">
        <f>IFERROR(__xludf.DUMMYFUNCTION("""COMPUTED_VALUE"""),13.022624)</f>
        <v>13.022624</v>
      </c>
      <c r="E14974" s="4">
        <f>IFERROR(__xludf.DUMMYFUNCTION("""COMPUTED_VALUE"""),80.26354)</f>
        <v>80.26354</v>
      </c>
      <c r="F14974" s="4">
        <f>IFERROR(__xludf.DUMMYFUNCTION("""COMPUTED_VALUE"""),805.0)</f>
        <v>805</v>
      </c>
      <c r="G14974" s="4">
        <f>IFERROR(__xludf.DUMMYFUNCTION("""COMPUTED_VALUE"""),21.0)</f>
        <v>21</v>
      </c>
      <c r="H14974" s="4"/>
      <c r="I14974" s="4"/>
    </row>
    <row r="14975">
      <c r="A14975" s="4" t="str">
        <f>IFERROR(__xludf.DUMMYFUNCTION("""COMPUTED_VALUE"""),"cas_hmw")</f>
        <v>cas_hmw</v>
      </c>
      <c r="B14975" s="5">
        <f>IFERROR(__xludf.DUMMYFUNCTION("""COMPUTED_VALUE"""),44727.0)</f>
        <v>44727</v>
      </c>
      <c r="C14975" s="6">
        <f>IFERROR(__xludf.DUMMYFUNCTION("""COMPUTED_VALUE"""),0.7290856481486117)</f>
        <v>0.7290856481</v>
      </c>
      <c r="D14975" s="4">
        <f>IFERROR(__xludf.DUMMYFUNCTION("""COMPUTED_VALUE"""),12.65666)</f>
        <v>12.65666</v>
      </c>
      <c r="E14975" s="4">
        <f>IFERROR(__xludf.DUMMYFUNCTION("""COMPUTED_VALUE"""),79.949129)</f>
        <v>79.949129</v>
      </c>
      <c r="F14975" s="4">
        <f>IFERROR(__xludf.DUMMYFUNCTION("""COMPUTED_VALUE"""),2846.0)</f>
        <v>2846</v>
      </c>
      <c r="G14975" s="4">
        <f>IFERROR(__xludf.DUMMYFUNCTION("""COMPUTED_VALUE"""),33.0)</f>
        <v>33</v>
      </c>
      <c r="H14975" s="4"/>
      <c r="I14975" s="4"/>
    </row>
    <row r="14976">
      <c r="A14976" s="4" t="str">
        <f>IFERROR(__xludf.DUMMYFUNCTION("""COMPUTED_VALUE"""),"cas_hmw")</f>
        <v>cas_hmw</v>
      </c>
      <c r="B14976" s="5">
        <f>IFERROR(__xludf.DUMMYFUNCTION("""COMPUTED_VALUE"""),44727.0)</f>
        <v>44727</v>
      </c>
      <c r="C14976" s="6">
        <f>IFERROR(__xludf.DUMMYFUNCTION("""COMPUTED_VALUE"""),0.729108796294895)</f>
        <v>0.7291087963</v>
      </c>
      <c r="D14976" s="4">
        <f>IFERROR(__xludf.DUMMYFUNCTION("""COMPUTED_VALUE"""),12.65666)</f>
        <v>12.65666</v>
      </c>
      <c r="E14976" s="4">
        <f>IFERROR(__xludf.DUMMYFUNCTION("""COMPUTED_VALUE"""),79.949129)</f>
        <v>79.949129</v>
      </c>
      <c r="F14976" s="4">
        <f>IFERROR(__xludf.DUMMYFUNCTION("""COMPUTED_VALUE"""),2846.0)</f>
        <v>2846</v>
      </c>
      <c r="G14976" s="4">
        <f>IFERROR(__xludf.DUMMYFUNCTION("""COMPUTED_VALUE"""),33.0)</f>
        <v>33</v>
      </c>
      <c r="H14976" s="4"/>
      <c r="I14976" s="4"/>
    </row>
    <row r="14977">
      <c r="A14977" s="4" t="str">
        <f>IFERROR(__xludf.DUMMYFUNCTION("""COMPUTED_VALUE"""),"cas_hmw")</f>
        <v>cas_hmw</v>
      </c>
      <c r="B14977" s="5">
        <f>IFERROR(__xludf.DUMMYFUNCTION("""COMPUTED_VALUE"""),44727.0)</f>
        <v>44727</v>
      </c>
      <c r="C14977" s="6">
        <f>IFERROR(__xludf.DUMMYFUNCTION("""COMPUTED_VALUE"""),0.729490740741312)</f>
        <v>0.7294907407</v>
      </c>
      <c r="D14977" s="4">
        <f>IFERROR(__xludf.DUMMYFUNCTION("""COMPUTED_VALUE"""),13.043192)</f>
        <v>13.043192</v>
      </c>
      <c r="E14977" s="4">
        <f>IFERROR(__xludf.DUMMYFUNCTION("""COMPUTED_VALUE"""),80.247644)</f>
        <v>80.247644</v>
      </c>
      <c r="F14977" s="4">
        <f>IFERROR(__xludf.DUMMYFUNCTION("""COMPUTED_VALUE"""),5339.0)</f>
        <v>5339</v>
      </c>
      <c r="G14977" s="4">
        <f>IFERROR(__xludf.DUMMYFUNCTION("""COMPUTED_VALUE"""),35.0)</f>
        <v>35</v>
      </c>
      <c r="H14977" s="4"/>
      <c r="I14977" s="4"/>
    </row>
    <row r="14978">
      <c r="A14978" s="4" t="str">
        <f>IFERROR(__xludf.DUMMYFUNCTION("""COMPUTED_VALUE"""),"cas_hmw")</f>
        <v>cas_hmw</v>
      </c>
      <c r="B14978" s="5">
        <f>IFERROR(__xludf.DUMMYFUNCTION("""COMPUTED_VALUE"""),44727.0)</f>
        <v>44727</v>
      </c>
      <c r="C14978" s="6">
        <f>IFERROR(__xludf.DUMMYFUNCTION("""COMPUTED_VALUE"""),0.7297916666684614)</f>
        <v>0.7297916667</v>
      </c>
      <c r="D14978" s="4">
        <f>IFERROR(__xludf.DUMMYFUNCTION("""COMPUTED_VALUE"""),13.044716)</f>
        <v>13.044716</v>
      </c>
      <c r="E14978" s="4">
        <f>IFERROR(__xludf.DUMMYFUNCTION("""COMPUTED_VALUE"""),80.24795)</f>
        <v>80.24795</v>
      </c>
      <c r="F14978" s="4">
        <f>IFERROR(__xludf.DUMMYFUNCTION("""COMPUTED_VALUE"""),5339.0)</f>
        <v>5339</v>
      </c>
      <c r="G14978" s="4">
        <f>IFERROR(__xludf.DUMMYFUNCTION("""COMPUTED_VALUE"""),32.0)</f>
        <v>32</v>
      </c>
      <c r="H14978" s="4"/>
      <c r="I14978" s="4"/>
    </row>
    <row r="14979">
      <c r="A14979" s="4" t="str">
        <f>IFERROR(__xludf.DUMMYFUNCTION("""COMPUTED_VALUE"""),"cas_hmw")</f>
        <v>cas_hmw</v>
      </c>
      <c r="B14979" s="5">
        <f>IFERROR(__xludf.DUMMYFUNCTION("""COMPUTED_VALUE"""),44727.0)</f>
        <v>44727</v>
      </c>
      <c r="C14979" s="6">
        <f>IFERROR(__xludf.DUMMYFUNCTION("""COMPUTED_VALUE"""),0.7299421296302171)</f>
        <v>0.7299421296</v>
      </c>
      <c r="D14979" s="4">
        <f>IFERROR(__xludf.DUMMYFUNCTION("""COMPUTED_VALUE"""),12.657513)</f>
        <v>12.657513</v>
      </c>
      <c r="E14979" s="4">
        <f>IFERROR(__xludf.DUMMYFUNCTION("""COMPUTED_VALUE"""),79.942704)</f>
        <v>79.942704</v>
      </c>
      <c r="F14979" s="4">
        <f>IFERROR(__xludf.DUMMYFUNCTION("""COMPUTED_VALUE"""),2846.0)</f>
        <v>2846</v>
      </c>
      <c r="G14979" s="4">
        <f>IFERROR(__xludf.DUMMYFUNCTION("""COMPUTED_VALUE"""),43.0)</f>
        <v>43</v>
      </c>
      <c r="H14979" s="4"/>
      <c r="I14979" s="4"/>
    </row>
    <row r="14980">
      <c r="A14980" s="4" t="str">
        <f>IFERROR(__xludf.DUMMYFUNCTION("""COMPUTED_VALUE"""),"cas_hmw")</f>
        <v>cas_hmw</v>
      </c>
      <c r="B14980" s="5">
        <f>IFERROR(__xludf.DUMMYFUNCTION("""COMPUTED_VALUE"""),44727.0)</f>
        <v>44727</v>
      </c>
      <c r="C14980" s="6">
        <f>IFERROR(__xludf.DUMMYFUNCTION("""COMPUTED_VALUE"""),0.7300925925919728)</f>
        <v>0.7300925926</v>
      </c>
      <c r="D14980" s="4">
        <f>IFERROR(__xludf.DUMMYFUNCTION("""COMPUTED_VALUE"""),13.04532)</f>
        <v>13.04532</v>
      </c>
      <c r="E14980" s="4">
        <f>IFERROR(__xludf.DUMMYFUNCTION("""COMPUTED_VALUE"""),80.248052)</f>
        <v>80.248052</v>
      </c>
      <c r="F14980" s="4">
        <f>IFERROR(__xludf.DUMMYFUNCTION("""COMPUTED_VALUE"""),5339.0)</f>
        <v>5339</v>
      </c>
      <c r="G14980" s="4">
        <f>IFERROR(__xludf.DUMMYFUNCTION("""COMPUTED_VALUE"""),24.0)</f>
        <v>24</v>
      </c>
      <c r="H14980" s="4"/>
      <c r="I14980" s="4"/>
    </row>
    <row r="14981">
      <c r="A14981" s="4" t="str">
        <f>IFERROR(__xludf.DUMMYFUNCTION("""COMPUTED_VALUE"""),"cas_hmw")</f>
        <v>cas_hmw</v>
      </c>
      <c r="B14981" s="5">
        <f>IFERROR(__xludf.DUMMYFUNCTION("""COMPUTED_VALUE"""),44727.0)</f>
        <v>44727</v>
      </c>
      <c r="C14981" s="6">
        <f>IFERROR(__xludf.DUMMYFUNCTION("""COMPUTED_VALUE"""),0.7301504629613191)</f>
        <v>0.730150463</v>
      </c>
      <c r="D14981" s="4">
        <f>IFERROR(__xludf.DUMMYFUNCTION("""COMPUTED_VALUE"""),12.655992)</f>
        <v>12.655992</v>
      </c>
      <c r="E14981" s="4">
        <f>IFERROR(__xludf.DUMMYFUNCTION("""COMPUTED_VALUE"""),79.94187)</f>
        <v>79.94187</v>
      </c>
      <c r="F14981" s="4">
        <f>IFERROR(__xludf.DUMMYFUNCTION("""COMPUTED_VALUE"""),2846.0)</f>
        <v>2846</v>
      </c>
      <c r="G14981" s="4">
        <f>IFERROR(__xludf.DUMMYFUNCTION("""COMPUTED_VALUE"""),31.0)</f>
        <v>31</v>
      </c>
      <c r="H14981" s="4"/>
      <c r="I14981" s="4"/>
    </row>
    <row r="14982">
      <c r="A14982" s="4" t="str">
        <f>IFERROR(__xludf.DUMMYFUNCTION("""COMPUTED_VALUE"""),"cas_hmw")</f>
        <v>cas_hmw</v>
      </c>
      <c r="B14982" s="5">
        <f>IFERROR(__xludf.DUMMYFUNCTION("""COMPUTED_VALUE"""),44727.0)</f>
        <v>44727</v>
      </c>
      <c r="C14982" s="6">
        <f>IFERROR(__xludf.DUMMYFUNCTION("""COMPUTED_VALUE"""),0.7303009259267128)</f>
        <v>0.7303009259</v>
      </c>
      <c r="D14982" s="4">
        <f>IFERROR(__xludf.DUMMYFUNCTION("""COMPUTED_VALUE"""),12.655227)</f>
        <v>12.655227</v>
      </c>
      <c r="E14982" s="4">
        <f>IFERROR(__xludf.DUMMYFUNCTION("""COMPUTED_VALUE"""),79.941932)</f>
        <v>79.941932</v>
      </c>
      <c r="F14982" s="4">
        <f>IFERROR(__xludf.DUMMYFUNCTION("""COMPUTED_VALUE"""),2846.0)</f>
        <v>2846</v>
      </c>
      <c r="G14982" s="4">
        <f>IFERROR(__xludf.DUMMYFUNCTION("""COMPUTED_VALUE"""),28.0)</f>
        <v>28</v>
      </c>
      <c r="H14982" s="4"/>
      <c r="I14982" s="4"/>
    </row>
    <row r="14983">
      <c r="A14983" s="4" t="str">
        <f>IFERROR(__xludf.DUMMYFUNCTION("""COMPUTED_VALUE"""),"cas_hmw")</f>
        <v>cas_hmw</v>
      </c>
      <c r="B14983" s="5">
        <f>IFERROR(__xludf.DUMMYFUNCTION("""COMPUTED_VALUE"""),44727.0)</f>
        <v>44727</v>
      </c>
      <c r="C14983" s="6">
        <f>IFERROR(__xludf.DUMMYFUNCTION("""COMPUTED_VALUE"""),0.7305439814808778)</f>
        <v>0.7305439815</v>
      </c>
      <c r="D14983" s="4">
        <f>IFERROR(__xludf.DUMMYFUNCTION("""COMPUTED_VALUE"""),13.048602)</f>
        <v>13.048602</v>
      </c>
      <c r="E14983" s="4">
        <f>IFERROR(__xludf.DUMMYFUNCTION("""COMPUTED_VALUE"""),80.249572)</f>
        <v>80.249572</v>
      </c>
      <c r="F14983" s="4">
        <f>IFERROR(__xludf.DUMMYFUNCTION("""COMPUTED_VALUE"""),5339.0)</f>
        <v>5339</v>
      </c>
      <c r="G14983" s="4">
        <f>IFERROR(__xludf.DUMMYFUNCTION("""COMPUTED_VALUE"""),34.0)</f>
        <v>34</v>
      </c>
      <c r="H14983" s="4"/>
      <c r="I14983" s="4"/>
    </row>
    <row r="14984">
      <c r="A14984" s="4" t="str">
        <f>IFERROR(__xludf.DUMMYFUNCTION("""COMPUTED_VALUE"""),"cas_hmw")</f>
        <v>cas_hmw</v>
      </c>
      <c r="B14984" s="5">
        <f>IFERROR(__xludf.DUMMYFUNCTION("""COMPUTED_VALUE"""),44727.0)</f>
        <v>44727</v>
      </c>
      <c r="C14984" s="6">
        <f>IFERROR(__xludf.DUMMYFUNCTION("""COMPUTED_VALUE"""),0.7305555555540195)</f>
        <v>0.7305555556</v>
      </c>
      <c r="D14984" s="4">
        <f>IFERROR(__xludf.DUMMYFUNCTION("""COMPUTED_VALUE"""),13.048602)</f>
        <v>13.048602</v>
      </c>
      <c r="E14984" s="4">
        <f>IFERROR(__xludf.DUMMYFUNCTION("""COMPUTED_VALUE"""),80.249572)</f>
        <v>80.249572</v>
      </c>
      <c r="F14984" s="4">
        <f>IFERROR(__xludf.DUMMYFUNCTION("""COMPUTED_VALUE"""),5339.0)</f>
        <v>5339</v>
      </c>
      <c r="G14984" s="4">
        <f>IFERROR(__xludf.DUMMYFUNCTION("""COMPUTED_VALUE"""),34.0)</f>
        <v>34</v>
      </c>
      <c r="H14984" s="4"/>
      <c r="I14984" s="4"/>
    </row>
    <row r="14985">
      <c r="A14985" s="4" t="str">
        <f>IFERROR(__xludf.DUMMYFUNCTION("""COMPUTED_VALUE"""),"cas_hmw")</f>
        <v>cas_hmw</v>
      </c>
      <c r="B14985" s="5">
        <f>IFERROR(__xludf.DUMMYFUNCTION("""COMPUTED_VALUE"""),44727.0)</f>
        <v>44727</v>
      </c>
      <c r="C14985" s="6">
        <f>IFERROR(__xludf.DUMMYFUNCTION("""COMPUTED_VALUE"""),0.7309259259272949)</f>
        <v>0.7309259259</v>
      </c>
      <c r="D14985" s="4">
        <f>IFERROR(__xludf.DUMMYFUNCTION("""COMPUTED_VALUE"""),13.050273)</f>
        <v>13.050273</v>
      </c>
      <c r="E14985" s="4">
        <f>IFERROR(__xludf.DUMMYFUNCTION("""COMPUTED_VALUE"""),80.249841)</f>
        <v>80.249841</v>
      </c>
      <c r="F14985" s="4">
        <f>IFERROR(__xludf.DUMMYFUNCTION("""COMPUTED_VALUE"""),5339.0)</f>
        <v>5339</v>
      </c>
      <c r="G14985" s="4">
        <f>IFERROR(__xludf.DUMMYFUNCTION("""COMPUTED_VALUE"""),39.0)</f>
        <v>39</v>
      </c>
      <c r="H14985" s="4"/>
      <c r="I14985" s="4"/>
    </row>
    <row r="14986">
      <c r="A14986" s="4" t="str">
        <f>IFERROR(__xludf.DUMMYFUNCTION("""COMPUTED_VALUE"""),"cas_hmw")</f>
        <v>cas_hmw</v>
      </c>
      <c r="B14986" s="5">
        <f>IFERROR(__xludf.DUMMYFUNCTION("""COMPUTED_VALUE"""),44727.0)</f>
        <v>44727</v>
      </c>
      <c r="C14986" s="6">
        <f>IFERROR(__xludf.DUMMYFUNCTION("""COMPUTED_VALUE"""),0.7310763888890506)</f>
        <v>0.7310763889</v>
      </c>
      <c r="D14986" s="4">
        <f>IFERROR(__xludf.DUMMYFUNCTION("""COMPUTED_VALUE"""),13.052477)</f>
        <v>13.052477</v>
      </c>
      <c r="E14986" s="4">
        <f>IFERROR(__xludf.DUMMYFUNCTION("""COMPUTED_VALUE"""),80.251107)</f>
        <v>80.251107</v>
      </c>
      <c r="F14986" s="4">
        <f>IFERROR(__xludf.DUMMYFUNCTION("""COMPUTED_VALUE"""),5339.0)</f>
        <v>5339</v>
      </c>
      <c r="G14986" s="4">
        <f>IFERROR(__xludf.DUMMYFUNCTION("""COMPUTED_VALUE"""),33.0)</f>
        <v>33</v>
      </c>
      <c r="H14986" s="4"/>
      <c r="I14986" s="4"/>
    </row>
    <row r="14987">
      <c r="A14987" s="4" t="str">
        <f>IFERROR(__xludf.DUMMYFUNCTION("""COMPUTED_VALUE"""),"cas_hmw")</f>
        <v>cas_hmw</v>
      </c>
      <c r="B14987" s="5">
        <f>IFERROR(__xludf.DUMMYFUNCTION("""COMPUTED_VALUE"""),44727.0)</f>
        <v>44727</v>
      </c>
      <c r="C14987" s="6">
        <f>IFERROR(__xludf.DUMMYFUNCTION("""COMPUTED_VALUE"""),0.731516203704814)</f>
        <v>0.7315162037</v>
      </c>
      <c r="D14987" s="4">
        <f>IFERROR(__xludf.DUMMYFUNCTION("""COMPUTED_VALUE"""),13.054968)</f>
        <v>13.054968</v>
      </c>
      <c r="E14987" s="4">
        <f>IFERROR(__xludf.DUMMYFUNCTION("""COMPUTED_VALUE"""),80.25442)</f>
        <v>80.25442</v>
      </c>
      <c r="F14987" s="4">
        <f>IFERROR(__xludf.DUMMYFUNCTION("""COMPUTED_VALUE"""),5339.0)</f>
        <v>5339</v>
      </c>
      <c r="G14987" s="4">
        <f>IFERROR(__xludf.DUMMYFUNCTION("""COMPUTED_VALUE"""),14.0)</f>
        <v>14</v>
      </c>
      <c r="H14987" s="4"/>
      <c r="I14987" s="4"/>
    </row>
    <row r="14988">
      <c r="A14988" s="4" t="str">
        <f>IFERROR(__xludf.DUMMYFUNCTION("""COMPUTED_VALUE"""),"cas_hmw")</f>
        <v>cas_hmw</v>
      </c>
      <c r="B14988" s="5">
        <f>IFERROR(__xludf.DUMMYFUNCTION("""COMPUTED_VALUE"""),44727.0)</f>
        <v>44727</v>
      </c>
      <c r="C14988" s="6">
        <f>IFERROR(__xludf.DUMMYFUNCTION("""COMPUTED_VALUE"""),0.731516203704814)</f>
        <v>0.7315162037</v>
      </c>
      <c r="D14988" s="4">
        <f>IFERROR(__xludf.DUMMYFUNCTION("""COMPUTED_VALUE"""),13.054968)</f>
        <v>13.054968</v>
      </c>
      <c r="E14988" s="4">
        <f>IFERROR(__xludf.DUMMYFUNCTION("""COMPUTED_VALUE"""),80.25442)</f>
        <v>80.25442</v>
      </c>
      <c r="F14988" s="4">
        <f>IFERROR(__xludf.DUMMYFUNCTION("""COMPUTED_VALUE"""),5339.0)</f>
        <v>5339</v>
      </c>
      <c r="G14988" s="4">
        <f>IFERROR(__xludf.DUMMYFUNCTION("""COMPUTED_VALUE"""),14.0)</f>
        <v>14</v>
      </c>
      <c r="H14988" s="4"/>
      <c r="I14988" s="4"/>
    </row>
    <row r="14989">
      <c r="A14989" s="4" t="str">
        <f>IFERROR(__xludf.DUMMYFUNCTION("""COMPUTED_VALUE"""),"cas_hmw")</f>
        <v>cas_hmw</v>
      </c>
      <c r="B14989" s="5">
        <f>IFERROR(__xludf.DUMMYFUNCTION("""COMPUTED_VALUE"""),44727.0)</f>
        <v>44727</v>
      </c>
      <c r="C14989" s="6">
        <f>IFERROR(__xludf.DUMMYFUNCTION("""COMPUTED_VALUE"""),0.731793981482042)</f>
        <v>0.7317939815</v>
      </c>
      <c r="D14989" s="4">
        <f>IFERROR(__xludf.DUMMYFUNCTION("""COMPUTED_VALUE"""),12.641117)</f>
        <v>12.641117</v>
      </c>
      <c r="E14989" s="4">
        <f>IFERROR(__xludf.DUMMYFUNCTION("""COMPUTED_VALUE"""),79.937042)</f>
        <v>79.937042</v>
      </c>
      <c r="F14989" s="4">
        <f>IFERROR(__xludf.DUMMYFUNCTION("""COMPUTED_VALUE"""),2846.0)</f>
        <v>2846</v>
      </c>
      <c r="G14989" s="4">
        <f>IFERROR(__xludf.DUMMYFUNCTION("""COMPUTED_VALUE"""),47.0)</f>
        <v>47</v>
      </c>
      <c r="H14989" s="4"/>
      <c r="I14989" s="4"/>
    </row>
    <row r="14990">
      <c r="A14990" s="4" t="str">
        <f>IFERROR(__xludf.DUMMYFUNCTION("""COMPUTED_VALUE"""),"cas_hmw")</f>
        <v>cas_hmw</v>
      </c>
      <c r="B14990" s="5">
        <f>IFERROR(__xludf.DUMMYFUNCTION("""COMPUTED_VALUE"""),44727.0)</f>
        <v>44727</v>
      </c>
      <c r="C14990" s="6">
        <f>IFERROR(__xludf.DUMMYFUNCTION("""COMPUTED_VALUE"""),0.7318750000013097)</f>
        <v>0.731875</v>
      </c>
      <c r="D14990" s="4">
        <f>IFERROR(__xludf.DUMMYFUNCTION("""COMPUTED_VALUE"""),12.640162)</f>
        <v>12.640162</v>
      </c>
      <c r="E14990" s="4">
        <f>IFERROR(__xludf.DUMMYFUNCTION("""COMPUTED_VALUE"""),79.936464)</f>
        <v>79.936464</v>
      </c>
      <c r="F14990" s="4">
        <f>IFERROR(__xludf.DUMMYFUNCTION("""COMPUTED_VALUE"""),2846.0)</f>
        <v>2846</v>
      </c>
      <c r="G14990" s="4">
        <f>IFERROR(__xludf.DUMMYFUNCTION("""COMPUTED_VALUE"""),38.0)</f>
        <v>38</v>
      </c>
      <c r="H14990" s="4"/>
      <c r="I14990" s="4"/>
    </row>
    <row r="14991">
      <c r="A14991" s="4" t="str">
        <f>IFERROR(__xludf.DUMMYFUNCTION("""COMPUTED_VALUE"""),"cas_hmw")</f>
        <v>cas_hmw</v>
      </c>
      <c r="B14991" s="5">
        <f>IFERROR(__xludf.DUMMYFUNCTION("""COMPUTED_VALUE"""),44727.0)</f>
        <v>44727</v>
      </c>
      <c r="C14991" s="6">
        <f>IFERROR(__xludf.DUMMYFUNCTION("""COMPUTED_VALUE"""),0.7319444444437977)</f>
        <v>0.7319444444</v>
      </c>
      <c r="D14991" s="4">
        <f>IFERROR(__xludf.DUMMYFUNCTION("""COMPUTED_VALUE"""),12.639306)</f>
        <v>12.639306</v>
      </c>
      <c r="E14991" s="4">
        <f>IFERROR(__xludf.DUMMYFUNCTION("""COMPUTED_VALUE"""),79.935976)</f>
        <v>79.935976</v>
      </c>
      <c r="F14991" s="4">
        <f>IFERROR(__xludf.DUMMYFUNCTION("""COMPUTED_VALUE"""),2846.0)</f>
        <v>2846</v>
      </c>
      <c r="G14991" s="4">
        <f>IFERROR(__xludf.DUMMYFUNCTION("""COMPUTED_VALUE"""),39.0)</f>
        <v>39</v>
      </c>
      <c r="H14991" s="4"/>
      <c r="I14991" s="4"/>
    </row>
    <row r="14992">
      <c r="A14992" s="4" t="str">
        <f>IFERROR(__xludf.DUMMYFUNCTION("""COMPUTED_VALUE"""),"cas_hmw")</f>
        <v>cas_hmw</v>
      </c>
      <c r="B14992" s="5">
        <f>IFERROR(__xludf.DUMMYFUNCTION("""COMPUTED_VALUE"""),44727.0)</f>
        <v>44727</v>
      </c>
      <c r="C14992" s="6">
        <f>IFERROR(__xludf.DUMMYFUNCTION("""COMPUTED_VALUE"""),0.7337499999994179)</f>
        <v>0.73375</v>
      </c>
      <c r="D14992" s="4">
        <f>IFERROR(__xludf.DUMMYFUNCTION("""COMPUTED_VALUE"""),13.054174)</f>
        <v>13.054174</v>
      </c>
      <c r="E14992" s="4">
        <f>IFERROR(__xludf.DUMMYFUNCTION("""COMPUTED_VALUE"""),80.261429)</f>
        <v>80.261429</v>
      </c>
      <c r="F14992" s="4">
        <f>IFERROR(__xludf.DUMMYFUNCTION("""COMPUTED_VALUE"""),5339.0)</f>
        <v>5339</v>
      </c>
      <c r="G14992" s="4">
        <f>IFERROR(__xludf.DUMMYFUNCTION("""COMPUTED_VALUE"""),27.0)</f>
        <v>27</v>
      </c>
      <c r="H14992" s="4"/>
      <c r="I14992" s="4"/>
    </row>
    <row r="14993">
      <c r="A14993" s="4" t="str">
        <f>IFERROR(__xludf.DUMMYFUNCTION("""COMPUTED_VALUE"""),"cas_hmw")</f>
        <v>cas_hmw</v>
      </c>
      <c r="B14993" s="5">
        <f>IFERROR(__xludf.DUMMYFUNCTION("""COMPUTED_VALUE"""),44727.0)</f>
        <v>44727</v>
      </c>
      <c r="C14993" s="6">
        <f>IFERROR(__xludf.DUMMYFUNCTION("""COMPUTED_VALUE"""),0.7352546296278888)</f>
        <v>0.7352546296</v>
      </c>
      <c r="D14993" s="4">
        <f>IFERROR(__xludf.DUMMYFUNCTION("""COMPUTED_VALUE"""),12.609411)</f>
        <v>12.609411</v>
      </c>
      <c r="E14993" s="4">
        <f>IFERROR(__xludf.DUMMYFUNCTION("""COMPUTED_VALUE"""),79.922402)</f>
        <v>79.922402</v>
      </c>
      <c r="F14993" s="4">
        <f>IFERROR(__xludf.DUMMYFUNCTION("""COMPUTED_VALUE"""),2846.0)</f>
        <v>2846</v>
      </c>
      <c r="G14993" s="4">
        <f>IFERROR(__xludf.DUMMYFUNCTION("""COMPUTED_VALUE"""),57.0)</f>
        <v>57</v>
      </c>
      <c r="H14993" s="4"/>
      <c r="I14993" s="4"/>
    </row>
    <row r="14994">
      <c r="A14994" s="4" t="str">
        <f>IFERROR(__xludf.DUMMYFUNCTION("""COMPUTED_VALUE"""),"cas_hmw")</f>
        <v>cas_hmw</v>
      </c>
      <c r="B14994" s="5">
        <f>IFERROR(__xludf.DUMMYFUNCTION("""COMPUTED_VALUE"""),44727.0)</f>
        <v>44727</v>
      </c>
      <c r="C14994" s="6">
        <f>IFERROR(__xludf.DUMMYFUNCTION("""COMPUTED_VALUE"""),0.7427662037043774)</f>
        <v>0.7427662037</v>
      </c>
      <c r="D14994" s="4">
        <f>IFERROR(__xludf.DUMMYFUNCTION("""COMPUTED_VALUE"""),13.065434)</f>
        <v>13.065434</v>
      </c>
      <c r="E14994" s="4">
        <f>IFERROR(__xludf.DUMMYFUNCTION("""COMPUTED_VALUE"""),80.27385)</f>
        <v>80.27385</v>
      </c>
      <c r="F14994" s="4">
        <f>IFERROR(__xludf.DUMMYFUNCTION("""COMPUTED_VALUE"""),5339.0)</f>
        <v>5339</v>
      </c>
      <c r="G14994" s="4">
        <f>IFERROR(__xludf.DUMMYFUNCTION("""COMPUTED_VALUE"""),9.0)</f>
        <v>9</v>
      </c>
      <c r="H14994" s="4"/>
      <c r="I14994" s="4"/>
    </row>
    <row r="14995">
      <c r="A14995" s="4" t="str">
        <f>IFERROR(__xludf.DUMMYFUNCTION("""COMPUTED_VALUE"""),"cas_hmw")</f>
        <v>cas_hmw</v>
      </c>
      <c r="B14995" s="5">
        <f>IFERROR(__xludf.DUMMYFUNCTION("""COMPUTED_VALUE"""),44727.0)</f>
        <v>44727</v>
      </c>
      <c r="C14995" s="6">
        <f>IFERROR(__xludf.DUMMYFUNCTION("""COMPUTED_VALUE"""),0.7430324074084638)</f>
        <v>0.7430324074</v>
      </c>
      <c r="D14995" s="4">
        <f>IFERROR(__xludf.DUMMYFUNCTION("""COMPUTED_VALUE"""),12.527065)</f>
        <v>12.527065</v>
      </c>
      <c r="E14995" s="4">
        <f>IFERROR(__xludf.DUMMYFUNCTION("""COMPUTED_VALUE"""),79.898048)</f>
        <v>79.898048</v>
      </c>
      <c r="F14995" s="4">
        <f>IFERROR(__xludf.DUMMYFUNCTION("""COMPUTED_VALUE"""),2846.0)</f>
        <v>2846</v>
      </c>
      <c r="G14995" s="4">
        <f>IFERROR(__xludf.DUMMYFUNCTION("""COMPUTED_VALUE"""),41.0)</f>
        <v>41</v>
      </c>
      <c r="H14995" s="4"/>
      <c r="I14995" s="4"/>
    </row>
    <row r="14996">
      <c r="A14996" s="4" t="str">
        <f>IFERROR(__xludf.DUMMYFUNCTION("""COMPUTED_VALUE"""),"cas_hmw")</f>
        <v>cas_hmw</v>
      </c>
      <c r="B14996" s="5">
        <f>IFERROR(__xludf.DUMMYFUNCTION("""COMPUTED_VALUE"""),44727.0)</f>
        <v>44727</v>
      </c>
      <c r="C14996" s="6">
        <f>IFERROR(__xludf.DUMMYFUNCTION("""COMPUTED_VALUE"""),0.7430555555547471)</f>
        <v>0.7430555556</v>
      </c>
      <c r="D14996" s="4">
        <f>IFERROR(__xludf.DUMMYFUNCTION("""COMPUTED_VALUE"""),12.52605)</f>
        <v>12.52605</v>
      </c>
      <c r="E14996" s="4">
        <f>IFERROR(__xludf.DUMMYFUNCTION("""COMPUTED_VALUE"""),79.89755)</f>
        <v>79.89755</v>
      </c>
      <c r="F14996" s="4">
        <f>IFERROR(__xludf.DUMMYFUNCTION("""COMPUTED_VALUE"""),2846.0)</f>
        <v>2846</v>
      </c>
      <c r="G14996" s="4">
        <f>IFERROR(__xludf.DUMMYFUNCTION("""COMPUTED_VALUE"""),46.0)</f>
        <v>46</v>
      </c>
      <c r="H14996" s="4"/>
      <c r="I14996" s="4"/>
    </row>
    <row r="14997">
      <c r="A14997" s="4" t="str">
        <f>IFERROR(__xludf.DUMMYFUNCTION("""COMPUTED_VALUE"""),"cas_hmw")</f>
        <v>cas_hmw</v>
      </c>
      <c r="B14997" s="5">
        <f>IFERROR(__xludf.DUMMYFUNCTION("""COMPUTED_VALUE"""),44727.0)</f>
        <v>44727</v>
      </c>
      <c r="C14997" s="6">
        <f>IFERROR(__xludf.DUMMYFUNCTION("""COMPUTED_VALUE"""),0.7432754629626288)</f>
        <v>0.743275463</v>
      </c>
      <c r="D14997" s="4">
        <f>IFERROR(__xludf.DUMMYFUNCTION("""COMPUTED_VALUE"""),12.525094)</f>
        <v>12.525094</v>
      </c>
      <c r="E14997" s="4">
        <f>IFERROR(__xludf.DUMMYFUNCTION("""COMPUTED_VALUE"""),79.897124)</f>
        <v>79.897124</v>
      </c>
      <c r="F14997" s="4">
        <f>IFERROR(__xludf.DUMMYFUNCTION("""COMPUTED_VALUE"""),2846.0)</f>
        <v>2846</v>
      </c>
      <c r="G14997" s="4">
        <f>IFERROR(__xludf.DUMMYFUNCTION("""COMPUTED_VALUE"""),37.0)</f>
        <v>37</v>
      </c>
      <c r="H14997" s="4"/>
      <c r="I14997" s="4"/>
    </row>
    <row r="14998">
      <c r="A14998" s="4" t="str">
        <f>IFERROR(__xludf.DUMMYFUNCTION("""COMPUTED_VALUE"""),"cas_hmw")</f>
        <v>cas_hmw</v>
      </c>
      <c r="B14998" s="5">
        <f>IFERROR(__xludf.DUMMYFUNCTION("""COMPUTED_VALUE"""),44727.0)</f>
        <v>44727</v>
      </c>
      <c r="C14998" s="6">
        <f>IFERROR(__xludf.DUMMYFUNCTION("""COMPUTED_VALUE"""),0.7434375000011642)</f>
        <v>0.7434375</v>
      </c>
      <c r="D14998" s="4">
        <f>IFERROR(__xludf.DUMMYFUNCTION("""COMPUTED_VALUE"""),12.523256)</f>
        <v>12.523256</v>
      </c>
      <c r="E14998" s="4">
        <f>IFERROR(__xludf.DUMMYFUNCTION("""COMPUTED_VALUE"""),79.89631)</f>
        <v>79.89631</v>
      </c>
      <c r="F14998" s="4">
        <f>IFERROR(__xludf.DUMMYFUNCTION("""COMPUTED_VALUE"""),2846.0)</f>
        <v>2846</v>
      </c>
      <c r="G14998" s="4">
        <f>IFERROR(__xludf.DUMMYFUNCTION("""COMPUTED_VALUE"""),44.0)</f>
        <v>44</v>
      </c>
      <c r="H14998" s="4"/>
      <c r="I14998" s="4"/>
    </row>
    <row r="14999">
      <c r="A14999" s="4" t="str">
        <f>IFERROR(__xludf.DUMMYFUNCTION("""COMPUTED_VALUE"""),"cas_hmw")</f>
        <v>cas_hmw</v>
      </c>
      <c r="B14999" s="5">
        <f>IFERROR(__xludf.DUMMYFUNCTION("""COMPUTED_VALUE"""),44727.0)</f>
        <v>44727</v>
      </c>
      <c r="C14999" s="6">
        <f>IFERROR(__xludf.DUMMYFUNCTION("""COMPUTED_VALUE"""),0.7474652777782467)</f>
        <v>0.7474652778</v>
      </c>
      <c r="D14999" s="4">
        <f>IFERROR(__xludf.DUMMYFUNCTION("""COMPUTED_VALUE"""),13.064145)</f>
        <v>13.064145</v>
      </c>
      <c r="E14999" s="4">
        <f>IFERROR(__xludf.DUMMYFUNCTION("""COMPUTED_VALUE"""),80.265577)</f>
        <v>80.265577</v>
      </c>
      <c r="F14999" s="4">
        <f>IFERROR(__xludf.DUMMYFUNCTION("""COMPUTED_VALUE"""),805.0)</f>
        <v>805</v>
      </c>
      <c r="G14999" s="4">
        <f>IFERROR(__xludf.DUMMYFUNCTION("""COMPUTED_VALUE"""),53.0)</f>
        <v>53</v>
      </c>
      <c r="H14999" s="4"/>
      <c r="I14999" s="4"/>
    </row>
    <row r="15000">
      <c r="A15000" s="4" t="str">
        <f>IFERROR(__xludf.DUMMYFUNCTION("""COMPUTED_VALUE"""),"cas_hmw")</f>
        <v>cas_hmw</v>
      </c>
      <c r="B15000" s="5">
        <f>IFERROR(__xludf.DUMMYFUNCTION("""COMPUTED_VALUE"""),44727.0)</f>
        <v>44727</v>
      </c>
      <c r="C15000" s="6">
        <f>IFERROR(__xludf.DUMMYFUNCTION("""COMPUTED_VALUE"""),0.7493518518531346)</f>
        <v>0.7493518519</v>
      </c>
      <c r="D15000" s="4">
        <f>IFERROR(__xludf.DUMMYFUNCTION("""COMPUTED_VALUE"""),13.071156)</f>
        <v>13.071156</v>
      </c>
      <c r="E15000" s="4">
        <f>IFERROR(__xludf.DUMMYFUNCTION("""COMPUTED_VALUE"""),80.265045)</f>
        <v>80.265045</v>
      </c>
      <c r="F15000" s="4">
        <f>IFERROR(__xludf.DUMMYFUNCTION("""COMPUTED_VALUE"""),5339.0)</f>
        <v>5339</v>
      </c>
      <c r="G15000" s="4">
        <f>IFERROR(__xludf.DUMMYFUNCTION("""COMPUTED_VALUE"""),18.0)</f>
        <v>18</v>
      </c>
      <c r="H15000" s="4"/>
      <c r="I15000" s="4"/>
    </row>
    <row r="15001">
      <c r="A15001" s="4" t="str">
        <f>IFERROR(__xludf.DUMMYFUNCTION("""COMPUTED_VALUE"""),"cas_hmw")</f>
        <v>cas_hmw</v>
      </c>
      <c r="B15001" s="5">
        <f>IFERROR(__xludf.DUMMYFUNCTION("""COMPUTED_VALUE"""),44727.0)</f>
        <v>44727</v>
      </c>
      <c r="C15001" s="6">
        <f>IFERROR(__xludf.DUMMYFUNCTION("""COMPUTED_VALUE"""),0.7493981481493392)</f>
        <v>0.7493981481</v>
      </c>
      <c r="D15001" s="4">
        <f>IFERROR(__xludf.DUMMYFUNCTION("""COMPUTED_VALUE"""),13.071156)</f>
        <v>13.071156</v>
      </c>
      <c r="E15001" s="4">
        <f>IFERROR(__xludf.DUMMYFUNCTION("""COMPUTED_VALUE"""),80.265045)</f>
        <v>80.265045</v>
      </c>
      <c r="F15001" s="4">
        <f>IFERROR(__xludf.DUMMYFUNCTION("""COMPUTED_VALUE"""),5339.0)</f>
        <v>5339</v>
      </c>
      <c r="G15001" s="4">
        <f>IFERROR(__xludf.DUMMYFUNCTION("""COMPUTED_VALUE"""),18.0)</f>
        <v>18</v>
      </c>
      <c r="H15001" s="4"/>
      <c r="I15001" s="4"/>
    </row>
    <row r="15002">
      <c r="A15002" s="4" t="str">
        <f>IFERROR(__xludf.DUMMYFUNCTION("""COMPUTED_VALUE"""),"cas_hmw")</f>
        <v>cas_hmw</v>
      </c>
      <c r="B15002" s="5">
        <f>IFERROR(__xludf.DUMMYFUNCTION("""COMPUTED_VALUE"""),44727.0)</f>
        <v>44727</v>
      </c>
      <c r="C15002" s="6">
        <f>IFERROR(__xludf.DUMMYFUNCTION("""COMPUTED_VALUE"""),0.7494097222224809)</f>
        <v>0.7494097222</v>
      </c>
      <c r="D15002" s="4">
        <f>IFERROR(__xludf.DUMMYFUNCTION("""COMPUTED_VALUE"""),13.071156)</f>
        <v>13.071156</v>
      </c>
      <c r="E15002" s="4">
        <f>IFERROR(__xludf.DUMMYFUNCTION("""COMPUTED_VALUE"""),80.265045)</f>
        <v>80.265045</v>
      </c>
      <c r="F15002" s="4">
        <f>IFERROR(__xludf.DUMMYFUNCTION("""COMPUTED_VALUE"""),5339.0)</f>
        <v>5339</v>
      </c>
      <c r="G15002" s="4">
        <f>IFERROR(__xludf.DUMMYFUNCTION("""COMPUTED_VALUE"""),18.0)</f>
        <v>18</v>
      </c>
      <c r="H15002" s="4"/>
      <c r="I15002" s="4"/>
    </row>
    <row r="15003">
      <c r="A15003" s="4" t="str">
        <f>IFERROR(__xludf.DUMMYFUNCTION("""COMPUTED_VALUE"""),"cas_hmw")</f>
        <v>cas_hmw</v>
      </c>
      <c r="B15003" s="5">
        <f>IFERROR(__xludf.DUMMYFUNCTION("""COMPUTED_VALUE"""),44727.0)</f>
        <v>44727</v>
      </c>
      <c r="C15003" s="6">
        <f>IFERROR(__xludf.DUMMYFUNCTION("""COMPUTED_VALUE"""),0.7560879629636474)</f>
        <v>0.756087963</v>
      </c>
      <c r="D15003" s="4">
        <f>IFERROR(__xludf.DUMMYFUNCTION("""COMPUTED_VALUE"""),13.067481)</f>
        <v>13.067481</v>
      </c>
      <c r="E15003" s="4">
        <f>IFERROR(__xludf.DUMMYFUNCTION("""COMPUTED_VALUE"""),80.250502)</f>
        <v>80.250502</v>
      </c>
      <c r="F15003" s="4">
        <f>IFERROR(__xludf.DUMMYFUNCTION("""COMPUTED_VALUE"""),805.0)</f>
        <v>805</v>
      </c>
      <c r="G15003" s="4">
        <f>IFERROR(__xludf.DUMMYFUNCTION("""COMPUTED_VALUE"""),21.0)</f>
        <v>21</v>
      </c>
      <c r="H15003" s="4"/>
      <c r="I15003" s="4"/>
    </row>
    <row r="15004">
      <c r="A15004" s="4" t="str">
        <f>IFERROR(__xludf.DUMMYFUNCTION("""COMPUTED_VALUE"""),"cas_hmw")</f>
        <v>cas_hmw</v>
      </c>
      <c r="B15004" s="5">
        <f>IFERROR(__xludf.DUMMYFUNCTION("""COMPUTED_VALUE"""),44727.0)</f>
        <v>44727</v>
      </c>
      <c r="C15004" s="6">
        <f>IFERROR(__xludf.DUMMYFUNCTION("""COMPUTED_VALUE"""),0.7560995370367891)</f>
        <v>0.756099537</v>
      </c>
      <c r="D15004" s="4">
        <f>IFERROR(__xludf.DUMMYFUNCTION("""COMPUTED_VALUE"""),13.067481)</f>
        <v>13.067481</v>
      </c>
      <c r="E15004" s="4">
        <f>IFERROR(__xludf.DUMMYFUNCTION("""COMPUTED_VALUE"""),80.250502)</f>
        <v>80.250502</v>
      </c>
      <c r="F15004" s="4">
        <f>IFERROR(__xludf.DUMMYFUNCTION("""COMPUTED_VALUE"""),805.0)</f>
        <v>805</v>
      </c>
      <c r="G15004" s="4">
        <f>IFERROR(__xludf.DUMMYFUNCTION("""COMPUTED_VALUE"""),21.0)</f>
        <v>21</v>
      </c>
      <c r="H15004" s="4"/>
      <c r="I15004" s="4"/>
    </row>
    <row r="15005">
      <c r="A15005" s="4" t="str">
        <f>IFERROR(__xludf.DUMMYFUNCTION("""COMPUTED_VALUE"""),"cas_hmw")</f>
        <v>cas_hmw</v>
      </c>
      <c r="B15005" s="5">
        <f>IFERROR(__xludf.DUMMYFUNCTION("""COMPUTED_VALUE"""),44727.0)</f>
        <v>44727</v>
      </c>
      <c r="C15005" s="6">
        <f>IFERROR(__xludf.DUMMYFUNCTION("""COMPUTED_VALUE"""),0.7972685185195587)</f>
        <v>0.7972685185</v>
      </c>
      <c r="D15005" s="4">
        <f>IFERROR(__xludf.DUMMYFUNCTION("""COMPUTED_VALUE"""),12.851119)</f>
        <v>12.851119</v>
      </c>
      <c r="E15005" s="4">
        <f>IFERROR(__xludf.DUMMYFUNCTION("""COMPUTED_VALUE"""),80.065492)</f>
        <v>80.065492</v>
      </c>
      <c r="F15005" s="4">
        <f>IFERROR(__xludf.DUMMYFUNCTION("""COMPUTED_VALUE"""),2846.0)</f>
        <v>2846</v>
      </c>
      <c r="G15005" s="4">
        <f>IFERROR(__xludf.DUMMYFUNCTION("""COMPUTED_VALUE"""),35.0)</f>
        <v>35</v>
      </c>
      <c r="H15005" s="4"/>
      <c r="I15005" s="4"/>
    </row>
    <row r="15006">
      <c r="A15006" s="4" t="str">
        <f>IFERROR(__xludf.DUMMYFUNCTION("""COMPUTED_VALUE"""),"cas_hmw")</f>
        <v>cas_hmw</v>
      </c>
      <c r="B15006" s="5">
        <f>IFERROR(__xludf.DUMMYFUNCTION("""COMPUTED_VALUE"""),44727.0)</f>
        <v>44727</v>
      </c>
      <c r="C15006" s="6">
        <f>IFERROR(__xludf.DUMMYFUNCTION("""COMPUTED_VALUE"""),0.7980555555550382)</f>
        <v>0.7980555556</v>
      </c>
      <c r="D15006" s="4">
        <f>IFERROR(__xludf.DUMMYFUNCTION("""COMPUTED_VALUE"""),12.85509)</f>
        <v>12.85509</v>
      </c>
      <c r="E15006" s="4">
        <f>IFERROR(__xludf.DUMMYFUNCTION("""COMPUTED_VALUE"""),80.06844)</f>
        <v>80.06844</v>
      </c>
      <c r="F15006" s="4">
        <f>IFERROR(__xludf.DUMMYFUNCTION("""COMPUTED_VALUE"""),2846.0)</f>
        <v>2846</v>
      </c>
      <c r="G15006" s="4">
        <f>IFERROR(__xludf.DUMMYFUNCTION("""COMPUTED_VALUE"""),36.0)</f>
        <v>36</v>
      </c>
      <c r="H15006" s="4"/>
      <c r="I15006" s="4"/>
    </row>
    <row r="15007">
      <c r="A15007" s="4" t="str">
        <f>IFERROR(__xludf.DUMMYFUNCTION("""COMPUTED_VALUE"""),"cas_hmw")</f>
        <v>cas_hmw</v>
      </c>
      <c r="B15007" s="5">
        <f>IFERROR(__xludf.DUMMYFUNCTION("""COMPUTED_VALUE"""),44728.0)</f>
        <v>44728</v>
      </c>
      <c r="C15007" s="6">
        <f>IFERROR(__xludf.DUMMYFUNCTION("""COMPUTED_VALUE"""),0.255266203705105)</f>
        <v>0.2552662037</v>
      </c>
      <c r="D15007" s="4">
        <f>IFERROR(__xludf.DUMMYFUNCTION("""COMPUTED_VALUE"""),12.704544)</f>
        <v>12.704544</v>
      </c>
      <c r="E15007" s="4">
        <f>IFERROR(__xludf.DUMMYFUNCTION("""COMPUTED_VALUE"""),79.973285)</f>
        <v>79.973285</v>
      </c>
      <c r="F15007" s="4">
        <f>IFERROR(__xludf.DUMMYFUNCTION("""COMPUTED_VALUE"""),2846.0)</f>
        <v>2846</v>
      </c>
      <c r="G15007" s="4">
        <f>IFERROR(__xludf.DUMMYFUNCTION("""COMPUTED_VALUE"""),48.0)</f>
        <v>48</v>
      </c>
      <c r="H15007" s="4"/>
      <c r="I15007" s="4"/>
    </row>
    <row r="15008">
      <c r="A15008" s="4" t="str">
        <f>IFERROR(__xludf.DUMMYFUNCTION("""COMPUTED_VALUE"""),"cas_hmw")</f>
        <v>cas_hmw</v>
      </c>
      <c r="B15008" s="5">
        <f>IFERROR(__xludf.DUMMYFUNCTION("""COMPUTED_VALUE"""),44728.0)</f>
        <v>44728</v>
      </c>
      <c r="C15008" s="6">
        <f>IFERROR(__xludf.DUMMYFUNCTION("""COMPUTED_VALUE"""),0.2974884259274404)</f>
        <v>0.2974884259</v>
      </c>
      <c r="D15008" s="4">
        <f>IFERROR(__xludf.DUMMYFUNCTION("""COMPUTED_VALUE"""),13.061958)</f>
        <v>13.061958</v>
      </c>
      <c r="E15008" s="4">
        <f>IFERROR(__xludf.DUMMYFUNCTION("""COMPUTED_VALUE"""),80.245641)</f>
        <v>80.245641</v>
      </c>
      <c r="F15008" s="4">
        <f>IFERROR(__xludf.DUMMYFUNCTION("""COMPUTED_VALUE"""),5339.0)</f>
        <v>5339</v>
      </c>
      <c r="G15008" s="4">
        <f>IFERROR(__xludf.DUMMYFUNCTION("""COMPUTED_VALUE"""),34.0)</f>
        <v>34</v>
      </c>
      <c r="H15008" s="4"/>
      <c r="I15008" s="4"/>
    </row>
    <row r="15009">
      <c r="A15009" s="4" t="str">
        <f>IFERROR(__xludf.DUMMYFUNCTION("""COMPUTED_VALUE"""),"cas_hmw")</f>
        <v>cas_hmw</v>
      </c>
      <c r="B15009" s="5">
        <f>IFERROR(__xludf.DUMMYFUNCTION("""COMPUTED_VALUE"""),44728.0)</f>
        <v>44728</v>
      </c>
      <c r="C15009" s="6">
        <f>IFERROR(__xludf.DUMMYFUNCTION("""COMPUTED_VALUE"""),0.2985185185170849)</f>
        <v>0.2985185185</v>
      </c>
      <c r="D15009" s="4">
        <f>IFERROR(__xludf.DUMMYFUNCTION("""COMPUTED_VALUE"""),13.067616)</f>
        <v>13.067616</v>
      </c>
      <c r="E15009" s="4">
        <f>IFERROR(__xludf.DUMMYFUNCTION("""COMPUTED_VALUE"""),80.2464)</f>
        <v>80.2464</v>
      </c>
      <c r="F15009" s="4">
        <f>IFERROR(__xludf.DUMMYFUNCTION("""COMPUTED_VALUE"""),5339.0)</f>
        <v>5339</v>
      </c>
      <c r="G15009" s="4">
        <f>IFERROR(__xludf.DUMMYFUNCTION("""COMPUTED_VALUE"""),46.0)</f>
        <v>46</v>
      </c>
      <c r="H15009" s="4"/>
      <c r="I15009" s="4"/>
    </row>
    <row r="15010">
      <c r="A15010" s="4" t="str">
        <f>IFERROR(__xludf.DUMMYFUNCTION("""COMPUTED_VALUE"""),"cas_hmw")</f>
        <v>cas_hmw</v>
      </c>
      <c r="B15010" s="5">
        <f>IFERROR(__xludf.DUMMYFUNCTION("""COMPUTED_VALUE"""),44728.0)</f>
        <v>44728</v>
      </c>
      <c r="C15010" s="6">
        <f>IFERROR(__xludf.DUMMYFUNCTION("""COMPUTED_VALUE"""),0.2987384259249666)</f>
        <v>0.2987384259</v>
      </c>
      <c r="D15010" s="4">
        <f>IFERROR(__xludf.DUMMYFUNCTION("""COMPUTED_VALUE"""),13.067872)</f>
        <v>13.067872</v>
      </c>
      <c r="E15010" s="4">
        <f>IFERROR(__xludf.DUMMYFUNCTION("""COMPUTED_VALUE"""),80.248369)</f>
        <v>80.248369</v>
      </c>
      <c r="F15010" s="4">
        <f>IFERROR(__xludf.DUMMYFUNCTION("""COMPUTED_VALUE"""),5339.0)</f>
        <v>5339</v>
      </c>
      <c r="G15010" s="4">
        <f>IFERROR(__xludf.DUMMYFUNCTION("""COMPUTED_VALUE"""),38.0)</f>
        <v>38</v>
      </c>
      <c r="H15010" s="4"/>
      <c r="I15010" s="4"/>
    </row>
    <row r="15011">
      <c r="A15011" s="4" t="str">
        <f>IFERROR(__xludf.DUMMYFUNCTION("""COMPUTED_VALUE"""),"cas_hmw")</f>
        <v>cas_hmw</v>
      </c>
      <c r="B15011" s="5">
        <f>IFERROR(__xludf.DUMMYFUNCTION("""COMPUTED_VALUE"""),44728.0)</f>
        <v>44728</v>
      </c>
      <c r="C15011" s="6">
        <f>IFERROR(__xludf.DUMMYFUNCTION("""COMPUTED_VALUE"""),0.30052083333430346)</f>
        <v>0.3005208333</v>
      </c>
      <c r="D15011" s="4">
        <f>IFERROR(__xludf.DUMMYFUNCTION("""COMPUTED_VALUE"""),13.069868)</f>
        <v>13.069868</v>
      </c>
      <c r="E15011" s="4">
        <f>IFERROR(__xludf.DUMMYFUNCTION("""COMPUTED_VALUE"""),80.257257)</f>
        <v>80.257257</v>
      </c>
      <c r="F15011" s="4">
        <f>IFERROR(__xludf.DUMMYFUNCTION("""COMPUTED_VALUE"""),5339.0)</f>
        <v>5339</v>
      </c>
      <c r="G15011" s="4">
        <f>IFERROR(__xludf.DUMMYFUNCTION("""COMPUTED_VALUE"""),42.0)</f>
        <v>42</v>
      </c>
      <c r="H15011" s="4"/>
      <c r="I15011" s="4"/>
    </row>
    <row r="15012">
      <c r="A15012" s="4" t="str">
        <f>IFERROR(__xludf.DUMMYFUNCTION("""COMPUTED_VALUE"""),"cas_hmw")</f>
        <v>cas_hmw</v>
      </c>
      <c r="B15012" s="5">
        <f>IFERROR(__xludf.DUMMYFUNCTION("""COMPUTED_VALUE"""),44728.0)</f>
        <v>44728</v>
      </c>
      <c r="C15012" s="6">
        <f>IFERROR(__xludf.DUMMYFUNCTION("""COMPUTED_VALUE"""),0.30891203703868086)</f>
        <v>0.308912037</v>
      </c>
      <c r="D15012" s="4">
        <f>IFERROR(__xludf.DUMMYFUNCTION("""COMPUTED_VALUE"""),12.636574)</f>
        <v>12.636574</v>
      </c>
      <c r="E15012" s="4">
        <f>IFERROR(__xludf.DUMMYFUNCTION("""COMPUTED_VALUE"""),79.934061)</f>
        <v>79.934061</v>
      </c>
      <c r="F15012" s="4">
        <f>IFERROR(__xludf.DUMMYFUNCTION("""COMPUTED_VALUE"""),2846.0)</f>
        <v>2846</v>
      </c>
      <c r="G15012" s="4">
        <f>IFERROR(__xludf.DUMMYFUNCTION("""COMPUTED_VALUE"""),52.0)</f>
        <v>52</v>
      </c>
      <c r="H15012" s="4"/>
      <c r="I15012" s="4"/>
    </row>
    <row r="15013">
      <c r="A15013" s="4" t="str">
        <f>IFERROR(__xludf.DUMMYFUNCTION("""COMPUTED_VALUE"""),"cas_hmw")</f>
        <v>cas_hmw</v>
      </c>
      <c r="B15013" s="5">
        <f>IFERROR(__xludf.DUMMYFUNCTION("""COMPUTED_VALUE"""),44728.0)</f>
        <v>44728</v>
      </c>
      <c r="C15013" s="6">
        <f>IFERROR(__xludf.DUMMYFUNCTION("""COMPUTED_VALUE"""),0.3096643518510973)</f>
        <v>0.3096643519</v>
      </c>
      <c r="D15013" s="4">
        <f>IFERROR(__xludf.DUMMYFUNCTION("""COMPUTED_VALUE"""),13.050773)</f>
        <v>13.050773</v>
      </c>
      <c r="E15013" s="4">
        <f>IFERROR(__xludf.DUMMYFUNCTION("""COMPUTED_VALUE"""),80.264138)</f>
        <v>80.264138</v>
      </c>
      <c r="F15013" s="4">
        <f>IFERROR(__xludf.DUMMYFUNCTION("""COMPUTED_VALUE"""),805.0)</f>
        <v>805</v>
      </c>
      <c r="G15013" s="4">
        <f>IFERROR(__xludf.DUMMYFUNCTION("""COMPUTED_VALUE"""),31.0)</f>
        <v>31</v>
      </c>
      <c r="H15013" s="4"/>
      <c r="I15013" s="4"/>
    </row>
    <row r="15014">
      <c r="A15014" s="4" t="str">
        <f>IFERROR(__xludf.DUMMYFUNCTION("""COMPUTED_VALUE"""),"cas_hmw")</f>
        <v>cas_hmw</v>
      </c>
      <c r="B15014" s="5">
        <f>IFERROR(__xludf.DUMMYFUNCTION("""COMPUTED_VALUE"""),44728.0)</f>
        <v>44728</v>
      </c>
      <c r="C15014" s="6">
        <f>IFERROR(__xludf.DUMMYFUNCTION("""COMPUTED_VALUE"""),0.30968750000101863)</f>
        <v>0.3096875</v>
      </c>
      <c r="D15014" s="4">
        <f>IFERROR(__xludf.DUMMYFUNCTION("""COMPUTED_VALUE"""),13.049955)</f>
        <v>13.049955</v>
      </c>
      <c r="E15014" s="4">
        <f>IFERROR(__xludf.DUMMYFUNCTION("""COMPUTED_VALUE"""),80.26409)</f>
        <v>80.26409</v>
      </c>
      <c r="F15014" s="4">
        <f>IFERROR(__xludf.DUMMYFUNCTION("""COMPUTED_VALUE"""),805.0)</f>
        <v>805</v>
      </c>
      <c r="G15014" s="4">
        <f>IFERROR(__xludf.DUMMYFUNCTION("""COMPUTED_VALUE"""),30.0)</f>
        <v>30</v>
      </c>
      <c r="H15014" s="4"/>
      <c r="I15014" s="4"/>
    </row>
    <row r="15015">
      <c r="A15015" s="4" t="str">
        <f>IFERROR(__xludf.DUMMYFUNCTION("""COMPUTED_VALUE"""),"cas_hmw")</f>
        <v>cas_hmw</v>
      </c>
      <c r="B15015" s="5">
        <f>IFERROR(__xludf.DUMMYFUNCTION("""COMPUTED_VALUE"""),44728.0)</f>
        <v>44728</v>
      </c>
      <c r="C15015" s="6">
        <f>IFERROR(__xludf.DUMMYFUNCTION("""COMPUTED_VALUE"""),0.31103009259095415)</f>
        <v>0.3110300926</v>
      </c>
      <c r="D15015" s="4">
        <f>IFERROR(__xludf.DUMMYFUNCTION("""COMPUTED_VALUE"""),13.053984)</f>
        <v>13.053984</v>
      </c>
      <c r="E15015" s="4">
        <f>IFERROR(__xludf.DUMMYFUNCTION("""COMPUTED_VALUE"""),80.262734)</f>
        <v>80.262734</v>
      </c>
      <c r="F15015" s="4">
        <f>IFERROR(__xludf.DUMMYFUNCTION("""COMPUTED_VALUE"""),5339.0)</f>
        <v>5339</v>
      </c>
      <c r="G15015" s="4">
        <f>IFERROR(__xludf.DUMMYFUNCTION("""COMPUTED_VALUE"""),35.0)</f>
        <v>35</v>
      </c>
      <c r="H15015" s="4"/>
      <c r="I15015" s="4"/>
    </row>
    <row r="15016">
      <c r="A15016" s="4" t="str">
        <f>IFERROR(__xludf.DUMMYFUNCTION("""COMPUTED_VALUE"""),"cas_hmw")</f>
        <v>cas_hmw</v>
      </c>
      <c r="B15016" s="5">
        <f>IFERROR(__xludf.DUMMYFUNCTION("""COMPUTED_VALUE"""),44728.0)</f>
        <v>44728</v>
      </c>
      <c r="C15016" s="6">
        <f>IFERROR(__xludf.DUMMYFUNCTION("""COMPUTED_VALUE"""),0.3114004629642295)</f>
        <v>0.311400463</v>
      </c>
      <c r="D15016" s="4">
        <f>IFERROR(__xludf.DUMMYFUNCTION("""COMPUTED_VALUE"""),13.049955)</f>
        <v>13.049955</v>
      </c>
      <c r="E15016" s="4">
        <f>IFERROR(__xludf.DUMMYFUNCTION("""COMPUTED_VALUE"""),80.26409)</f>
        <v>80.26409</v>
      </c>
      <c r="F15016" s="4">
        <f>IFERROR(__xludf.DUMMYFUNCTION("""COMPUTED_VALUE"""),805.0)</f>
        <v>805</v>
      </c>
      <c r="G15016" s="4">
        <f>IFERROR(__xludf.DUMMYFUNCTION("""COMPUTED_VALUE"""),30.0)</f>
        <v>30</v>
      </c>
      <c r="H15016" s="4"/>
      <c r="I15016" s="4"/>
    </row>
    <row r="15017">
      <c r="A15017" s="4" t="str">
        <f>IFERROR(__xludf.DUMMYFUNCTION("""COMPUTED_VALUE"""),"cas_hmw")</f>
        <v>cas_hmw</v>
      </c>
      <c r="B15017" s="5">
        <f>IFERROR(__xludf.DUMMYFUNCTION("""COMPUTED_VALUE"""),44728.0)</f>
        <v>44728</v>
      </c>
      <c r="C15017" s="6">
        <f>IFERROR(__xludf.DUMMYFUNCTION("""COMPUTED_VALUE"""),0.3114120370373712)</f>
        <v>0.311412037</v>
      </c>
      <c r="D15017" s="4">
        <f>IFERROR(__xludf.DUMMYFUNCTION("""COMPUTED_VALUE"""),13.049955)</f>
        <v>13.049955</v>
      </c>
      <c r="E15017" s="4">
        <f>IFERROR(__xludf.DUMMYFUNCTION("""COMPUTED_VALUE"""),80.26409)</f>
        <v>80.26409</v>
      </c>
      <c r="F15017" s="4">
        <f>IFERROR(__xludf.DUMMYFUNCTION("""COMPUTED_VALUE"""),805.0)</f>
        <v>805</v>
      </c>
      <c r="G15017" s="4">
        <f>IFERROR(__xludf.DUMMYFUNCTION("""COMPUTED_VALUE"""),30.0)</f>
        <v>30</v>
      </c>
      <c r="H15017" s="4"/>
      <c r="I15017" s="4"/>
    </row>
    <row r="15018">
      <c r="A15018" s="4" t="str">
        <f>IFERROR(__xludf.DUMMYFUNCTION("""COMPUTED_VALUE"""),"cas_hmw")</f>
        <v>cas_hmw</v>
      </c>
      <c r="B15018" s="5">
        <f>IFERROR(__xludf.DUMMYFUNCTION("""COMPUTED_VALUE"""),44728.0)</f>
        <v>44728</v>
      </c>
      <c r="C15018" s="6">
        <f>IFERROR(__xludf.DUMMYFUNCTION("""COMPUTED_VALUE"""),0.31186342592627625)</f>
        <v>0.3118634259</v>
      </c>
      <c r="D15018" s="4">
        <f>IFERROR(__xludf.DUMMYFUNCTION("""COMPUTED_VALUE"""),12.656156)</f>
        <v>12.656156</v>
      </c>
      <c r="E15018" s="4">
        <f>IFERROR(__xludf.DUMMYFUNCTION("""COMPUTED_VALUE"""),79.95173)</f>
        <v>79.95173</v>
      </c>
      <c r="F15018" s="4">
        <f>IFERROR(__xludf.DUMMYFUNCTION("""COMPUTED_VALUE"""),2846.0)</f>
        <v>2846</v>
      </c>
      <c r="G15018" s="4">
        <f>IFERROR(__xludf.DUMMYFUNCTION("""COMPUTED_VALUE"""),42.0)</f>
        <v>42</v>
      </c>
      <c r="H15018" s="4"/>
      <c r="I15018" s="4"/>
    </row>
    <row r="15019">
      <c r="A15019" s="4" t="str">
        <f>IFERROR(__xludf.DUMMYFUNCTION("""COMPUTED_VALUE"""),"cas_hmw")</f>
        <v>cas_hmw</v>
      </c>
      <c r="B15019" s="5">
        <f>IFERROR(__xludf.DUMMYFUNCTION("""COMPUTED_VALUE"""),44728.0)</f>
        <v>44728</v>
      </c>
      <c r="C15019" s="6">
        <f>IFERROR(__xludf.DUMMYFUNCTION("""COMPUTED_VALUE"""),0.31223379629591363)</f>
        <v>0.3122337963</v>
      </c>
      <c r="D15019" s="4">
        <f>IFERROR(__xludf.DUMMYFUNCTION("""COMPUTED_VALUE"""),13.054416)</f>
        <v>13.054416</v>
      </c>
      <c r="E15019" s="4">
        <f>IFERROR(__xludf.DUMMYFUNCTION("""COMPUTED_VALUE"""),80.25789)</f>
        <v>80.25789</v>
      </c>
      <c r="F15019" s="4">
        <f>IFERROR(__xludf.DUMMYFUNCTION("""COMPUTED_VALUE"""),5339.0)</f>
        <v>5339</v>
      </c>
      <c r="G15019" s="4">
        <f>IFERROR(__xludf.DUMMYFUNCTION("""COMPUTED_VALUE"""),29.0)</f>
        <v>29</v>
      </c>
      <c r="H15019" s="4"/>
      <c r="I15019" s="4"/>
    </row>
    <row r="15020">
      <c r="A15020" s="4" t="str">
        <f>IFERROR(__xludf.DUMMYFUNCTION("""COMPUTED_VALUE"""),"cas_hmw")</f>
        <v>cas_hmw</v>
      </c>
      <c r="B15020" s="5">
        <f>IFERROR(__xludf.DUMMYFUNCTION("""COMPUTED_VALUE"""),44728.0)</f>
        <v>44728</v>
      </c>
      <c r="C15020" s="6">
        <f>IFERROR(__xludf.DUMMYFUNCTION("""COMPUTED_VALUE"""),0.31223379629591363)</f>
        <v>0.3122337963</v>
      </c>
      <c r="D15020" s="4">
        <f>IFERROR(__xludf.DUMMYFUNCTION("""COMPUTED_VALUE"""),13.054701)</f>
        <v>13.054701</v>
      </c>
      <c r="E15020" s="4">
        <f>IFERROR(__xludf.DUMMYFUNCTION("""COMPUTED_VALUE"""),80.254563)</f>
        <v>80.254563</v>
      </c>
      <c r="F15020" s="4">
        <f>IFERROR(__xludf.DUMMYFUNCTION("""COMPUTED_VALUE"""),5339.0)</f>
        <v>5339</v>
      </c>
      <c r="G15020" s="4">
        <f>IFERROR(__xludf.DUMMYFUNCTION("""COMPUTED_VALUE"""),23.0)</f>
        <v>23</v>
      </c>
      <c r="H15020" s="4"/>
      <c r="I15020" s="4"/>
    </row>
    <row r="15021">
      <c r="A15021" s="4" t="str">
        <f>IFERROR(__xludf.DUMMYFUNCTION("""COMPUTED_VALUE"""),"cas_hmw")</f>
        <v>cas_hmw</v>
      </c>
      <c r="B15021" s="5">
        <f>IFERROR(__xludf.DUMMYFUNCTION("""COMPUTED_VALUE"""),44728.0)</f>
        <v>44728</v>
      </c>
      <c r="C15021" s="6">
        <f>IFERROR(__xludf.DUMMYFUNCTION("""COMPUTED_VALUE"""),0.3122453703690553)</f>
        <v>0.3122453704</v>
      </c>
      <c r="D15021" s="4">
        <f>IFERROR(__xludf.DUMMYFUNCTION("""COMPUTED_VALUE"""),13.054701)</f>
        <v>13.054701</v>
      </c>
      <c r="E15021" s="4">
        <f>IFERROR(__xludf.DUMMYFUNCTION("""COMPUTED_VALUE"""),80.254563)</f>
        <v>80.254563</v>
      </c>
      <c r="F15021" s="4">
        <f>IFERROR(__xludf.DUMMYFUNCTION("""COMPUTED_VALUE"""),5339.0)</f>
        <v>5339</v>
      </c>
      <c r="G15021" s="4">
        <f>IFERROR(__xludf.DUMMYFUNCTION("""COMPUTED_VALUE"""),23.0)</f>
        <v>23</v>
      </c>
      <c r="H15021" s="4"/>
      <c r="I15021" s="4"/>
    </row>
    <row r="15022">
      <c r="A15022" s="4" t="str">
        <f>IFERROR(__xludf.DUMMYFUNCTION("""COMPUTED_VALUE"""),"cas_hmw")</f>
        <v>cas_hmw</v>
      </c>
      <c r="B15022" s="5">
        <f>IFERROR(__xludf.DUMMYFUNCTION("""COMPUTED_VALUE"""),44728.0)</f>
        <v>44728</v>
      </c>
      <c r="C15022" s="6">
        <f>IFERROR(__xludf.DUMMYFUNCTION("""COMPUTED_VALUE"""),0.31261574074233067)</f>
        <v>0.3126157407</v>
      </c>
      <c r="D15022" s="4">
        <f>IFERROR(__xludf.DUMMYFUNCTION("""COMPUTED_VALUE"""),13.053596)</f>
        <v>13.053596</v>
      </c>
      <c r="E15022" s="4">
        <f>IFERROR(__xludf.DUMMYFUNCTION("""COMPUTED_VALUE"""),80.252832)</f>
        <v>80.252832</v>
      </c>
      <c r="F15022" s="4">
        <f>IFERROR(__xludf.DUMMYFUNCTION("""COMPUTED_VALUE"""),5339.0)</f>
        <v>5339</v>
      </c>
      <c r="G15022" s="4">
        <f>IFERROR(__xludf.DUMMYFUNCTION("""COMPUTED_VALUE"""),29.0)</f>
        <v>29</v>
      </c>
      <c r="H15022" s="4"/>
      <c r="I15022" s="4"/>
    </row>
    <row r="15023">
      <c r="A15023" s="4" t="str">
        <f>IFERROR(__xludf.DUMMYFUNCTION("""COMPUTED_VALUE"""),"cas_hmw")</f>
        <v>cas_hmw</v>
      </c>
      <c r="B15023" s="5">
        <f>IFERROR(__xludf.DUMMYFUNCTION("""COMPUTED_VALUE"""),44728.0)</f>
        <v>44728</v>
      </c>
      <c r="C15023" s="6">
        <f>IFERROR(__xludf.DUMMYFUNCTION("""COMPUTED_VALUE"""),0.31269675925796037)</f>
        <v>0.3126967593</v>
      </c>
      <c r="D15023" s="4">
        <f>IFERROR(__xludf.DUMMYFUNCTION("""COMPUTED_VALUE"""),13.053077)</f>
        <v>13.053077</v>
      </c>
      <c r="E15023" s="4">
        <f>IFERROR(__xludf.DUMMYFUNCTION("""COMPUTED_VALUE"""),80.25208)</f>
        <v>80.25208</v>
      </c>
      <c r="F15023" s="4">
        <f>IFERROR(__xludf.DUMMYFUNCTION("""COMPUTED_VALUE"""),5339.0)</f>
        <v>5339</v>
      </c>
      <c r="G15023" s="4">
        <f>IFERROR(__xludf.DUMMYFUNCTION("""COMPUTED_VALUE"""),41.0)</f>
        <v>41</v>
      </c>
      <c r="H15023" s="4"/>
      <c r="I15023" s="4"/>
    </row>
    <row r="15024">
      <c r="A15024" s="4" t="str">
        <f>IFERROR(__xludf.DUMMYFUNCTION("""COMPUTED_VALUE"""),"cas_hmw")</f>
        <v>cas_hmw</v>
      </c>
      <c r="B15024" s="5">
        <f>IFERROR(__xludf.DUMMYFUNCTION("""COMPUTED_VALUE"""),44728.0)</f>
        <v>44728</v>
      </c>
      <c r="C15024" s="6">
        <f>IFERROR(__xludf.DUMMYFUNCTION("""COMPUTED_VALUE"""),0.3146874999983993)</f>
        <v>0.3146875</v>
      </c>
      <c r="D15024" s="4">
        <f>IFERROR(__xludf.DUMMYFUNCTION("""COMPUTED_VALUE"""),13.042244)</f>
        <v>13.042244</v>
      </c>
      <c r="E15024" s="4">
        <f>IFERROR(__xludf.DUMMYFUNCTION("""COMPUTED_VALUE"""),80.247636)</f>
        <v>80.247636</v>
      </c>
      <c r="F15024" s="4">
        <f>IFERROR(__xludf.DUMMYFUNCTION("""COMPUTED_VALUE"""),5339.0)</f>
        <v>5339</v>
      </c>
      <c r="G15024" s="4">
        <f>IFERROR(__xludf.DUMMYFUNCTION("""COMPUTED_VALUE"""),28.0)</f>
        <v>28</v>
      </c>
      <c r="H15024" s="4"/>
      <c r="I15024" s="4"/>
    </row>
    <row r="15025">
      <c r="A15025" s="4" t="str">
        <f>IFERROR(__xludf.DUMMYFUNCTION("""COMPUTED_VALUE"""),"cas_hmw")</f>
        <v>cas_hmw</v>
      </c>
      <c r="B15025" s="5">
        <f>IFERROR(__xludf.DUMMYFUNCTION("""COMPUTED_VALUE"""),44728.0)</f>
        <v>44728</v>
      </c>
      <c r="C15025" s="6">
        <f>IFERROR(__xludf.DUMMYFUNCTION("""COMPUTED_VALUE"""),0.31487268518685596)</f>
        <v>0.3148726852</v>
      </c>
      <c r="D15025" s="4">
        <f>IFERROR(__xludf.DUMMYFUNCTION("""COMPUTED_VALUE"""),13.041394)</f>
        <v>13.041394</v>
      </c>
      <c r="E15025" s="4">
        <f>IFERROR(__xludf.DUMMYFUNCTION("""COMPUTED_VALUE"""),80.24746)</f>
        <v>80.24746</v>
      </c>
      <c r="F15025" s="4">
        <f>IFERROR(__xludf.DUMMYFUNCTION("""COMPUTED_VALUE"""),5339.0)</f>
        <v>5339</v>
      </c>
      <c r="G15025" s="4">
        <f>IFERROR(__xludf.DUMMYFUNCTION("""COMPUTED_VALUE"""),36.0)</f>
        <v>36</v>
      </c>
      <c r="H15025" s="4"/>
      <c r="I15025" s="4"/>
    </row>
    <row r="15026">
      <c r="A15026" s="4" t="str">
        <f>IFERROR(__xludf.DUMMYFUNCTION("""COMPUTED_VALUE"""),"cas_hmw")</f>
        <v>cas_hmw</v>
      </c>
      <c r="B15026" s="5">
        <f>IFERROR(__xludf.DUMMYFUNCTION("""COMPUTED_VALUE"""),44728.0)</f>
        <v>44728</v>
      </c>
      <c r="C15026" s="6">
        <f>IFERROR(__xludf.DUMMYFUNCTION("""COMPUTED_VALUE"""),0.3149652777792653)</f>
        <v>0.3149652778</v>
      </c>
      <c r="D15026" s="4">
        <f>IFERROR(__xludf.DUMMYFUNCTION("""COMPUTED_VALUE"""),13.040482)</f>
        <v>13.040482</v>
      </c>
      <c r="E15026" s="4">
        <f>IFERROR(__xludf.DUMMYFUNCTION("""COMPUTED_VALUE"""),80.247264)</f>
        <v>80.247264</v>
      </c>
      <c r="F15026" s="4">
        <f>IFERROR(__xludf.DUMMYFUNCTION("""COMPUTED_VALUE"""),5339.0)</f>
        <v>5339</v>
      </c>
      <c r="G15026" s="4">
        <f>IFERROR(__xludf.DUMMYFUNCTION("""COMPUTED_VALUE"""),34.0)</f>
        <v>34</v>
      </c>
      <c r="H15026" s="4"/>
      <c r="I15026" s="4"/>
    </row>
    <row r="15027">
      <c r="A15027" s="4" t="str">
        <f>IFERROR(__xludf.DUMMYFUNCTION("""COMPUTED_VALUE"""),"cas_hmw")</f>
        <v>cas_hmw</v>
      </c>
      <c r="B15027" s="5">
        <f>IFERROR(__xludf.DUMMYFUNCTION("""COMPUTED_VALUE"""),44728.0)</f>
        <v>44728</v>
      </c>
      <c r="C15027" s="6">
        <f>IFERROR(__xludf.DUMMYFUNCTION("""COMPUTED_VALUE"""),0.314976851852407)</f>
        <v>0.3149768519</v>
      </c>
      <c r="D15027" s="4">
        <f>IFERROR(__xludf.DUMMYFUNCTION("""COMPUTED_VALUE"""),13.040482)</f>
        <v>13.040482</v>
      </c>
      <c r="E15027" s="4">
        <f>IFERROR(__xludf.DUMMYFUNCTION("""COMPUTED_VALUE"""),80.247264)</f>
        <v>80.247264</v>
      </c>
      <c r="F15027" s="4">
        <f>IFERROR(__xludf.DUMMYFUNCTION("""COMPUTED_VALUE"""),5339.0)</f>
        <v>5339</v>
      </c>
      <c r="G15027" s="4">
        <f>IFERROR(__xludf.DUMMYFUNCTION("""COMPUTED_VALUE"""),34.0)</f>
        <v>34</v>
      </c>
      <c r="H15027" s="4"/>
      <c r="I15027" s="4"/>
    </row>
    <row r="15028">
      <c r="A15028" s="4" t="str">
        <f>IFERROR(__xludf.DUMMYFUNCTION("""COMPUTED_VALUE"""),"cas_hmw")</f>
        <v>cas_hmw</v>
      </c>
      <c r="B15028" s="5">
        <f>IFERROR(__xludf.DUMMYFUNCTION("""COMPUTED_VALUE"""),44728.0)</f>
        <v>44728</v>
      </c>
      <c r="C15028" s="6">
        <f>IFERROR(__xludf.DUMMYFUNCTION("""COMPUTED_VALUE"""),0.315115740741021)</f>
        <v>0.3151157407</v>
      </c>
      <c r="D15028" s="4">
        <f>IFERROR(__xludf.DUMMYFUNCTION("""COMPUTED_VALUE"""),13.039611)</f>
        <v>13.039611</v>
      </c>
      <c r="E15028" s="4">
        <f>IFERROR(__xludf.DUMMYFUNCTION("""COMPUTED_VALUE"""),80.24708)</f>
        <v>80.24708</v>
      </c>
      <c r="F15028" s="4">
        <f>IFERROR(__xludf.DUMMYFUNCTION("""COMPUTED_VALUE"""),5339.0)</f>
        <v>5339</v>
      </c>
      <c r="G15028" s="4">
        <f>IFERROR(__xludf.DUMMYFUNCTION("""COMPUTED_VALUE"""),35.0)</f>
        <v>35</v>
      </c>
      <c r="H15028" s="4"/>
      <c r="I15028" s="4"/>
    </row>
    <row r="15029">
      <c r="A15029" s="4" t="str">
        <f>IFERROR(__xludf.DUMMYFUNCTION("""COMPUTED_VALUE"""),"cas_hmw")</f>
        <v>cas_hmw</v>
      </c>
      <c r="B15029" s="5">
        <f>IFERROR(__xludf.DUMMYFUNCTION("""COMPUTED_VALUE"""),44728.0)</f>
        <v>44728</v>
      </c>
      <c r="C15029" s="6">
        <f>IFERROR(__xludf.DUMMYFUNCTION("""COMPUTED_VALUE"""),0.3152662037027767)</f>
        <v>0.3152662037</v>
      </c>
      <c r="D15029" s="4">
        <f>IFERROR(__xludf.DUMMYFUNCTION("""COMPUTED_VALUE"""),13.037857)</f>
        <v>13.037857</v>
      </c>
      <c r="E15029" s="4">
        <f>IFERROR(__xludf.DUMMYFUNCTION("""COMPUTED_VALUE"""),80.246653)</f>
        <v>80.246653</v>
      </c>
      <c r="F15029" s="4">
        <f>IFERROR(__xludf.DUMMYFUNCTION("""COMPUTED_VALUE"""),5339.0)</f>
        <v>5339</v>
      </c>
      <c r="G15029" s="4">
        <f>IFERROR(__xludf.DUMMYFUNCTION("""COMPUTED_VALUE"""),38.0)</f>
        <v>38</v>
      </c>
      <c r="H15029" s="4"/>
      <c r="I15029" s="4"/>
    </row>
    <row r="15030">
      <c r="A15030" s="4" t="str">
        <f>IFERROR(__xludf.DUMMYFUNCTION("""COMPUTED_VALUE"""),"cas_hmw")</f>
        <v>cas_hmw</v>
      </c>
      <c r="B15030" s="5">
        <f>IFERROR(__xludf.DUMMYFUNCTION("""COMPUTED_VALUE"""),44728.0)</f>
        <v>44728</v>
      </c>
      <c r="C15030" s="6">
        <f>IFERROR(__xludf.DUMMYFUNCTION("""COMPUTED_VALUE"""),0.31542824074131204)</f>
        <v>0.3154282407</v>
      </c>
      <c r="D15030" s="4">
        <f>IFERROR(__xludf.DUMMYFUNCTION("""COMPUTED_VALUE"""),13.036717)</f>
        <v>13.036717</v>
      </c>
      <c r="E15030" s="4">
        <f>IFERROR(__xludf.DUMMYFUNCTION("""COMPUTED_VALUE"""),80.246431)</f>
        <v>80.246431</v>
      </c>
      <c r="F15030" s="4">
        <f>IFERROR(__xludf.DUMMYFUNCTION("""COMPUTED_VALUE"""),5339.0)</f>
        <v>5339</v>
      </c>
      <c r="G15030" s="4">
        <f>IFERROR(__xludf.DUMMYFUNCTION("""COMPUTED_VALUE"""),54.0)</f>
        <v>54</v>
      </c>
      <c r="H15030" s="4"/>
      <c r="I15030" s="4"/>
    </row>
    <row r="15031">
      <c r="A15031" s="4" t="str">
        <f>IFERROR(__xludf.DUMMYFUNCTION("""COMPUTED_VALUE"""),"cas_hmw")</f>
        <v>cas_hmw</v>
      </c>
      <c r="B15031" s="5">
        <f>IFERROR(__xludf.DUMMYFUNCTION("""COMPUTED_VALUE"""),44728.0)</f>
        <v>44728</v>
      </c>
      <c r="C15031" s="6">
        <f>IFERROR(__xludf.DUMMYFUNCTION("""COMPUTED_VALUE"""),0.31554398148000473)</f>
        <v>0.3155439815</v>
      </c>
      <c r="D15031" s="4">
        <f>IFERROR(__xludf.DUMMYFUNCTION("""COMPUTED_VALUE"""),13.035512)</f>
        <v>13.035512</v>
      </c>
      <c r="E15031" s="4">
        <f>IFERROR(__xludf.DUMMYFUNCTION("""COMPUTED_VALUE"""),80.246144)</f>
        <v>80.246144</v>
      </c>
      <c r="F15031" s="4">
        <f>IFERROR(__xludf.DUMMYFUNCTION("""COMPUTED_VALUE"""),5339.0)</f>
        <v>5339</v>
      </c>
      <c r="G15031" s="4">
        <f>IFERROR(__xludf.DUMMYFUNCTION("""COMPUTED_VALUE"""),44.0)</f>
        <v>44</v>
      </c>
      <c r="H15031" s="4"/>
      <c r="I15031" s="4"/>
    </row>
    <row r="15032">
      <c r="A15032" s="4" t="str">
        <f>IFERROR(__xludf.DUMMYFUNCTION("""COMPUTED_VALUE"""),"cas_hmw")</f>
        <v>cas_hmw</v>
      </c>
      <c r="B15032" s="5">
        <f>IFERROR(__xludf.DUMMYFUNCTION("""COMPUTED_VALUE"""),44728.0)</f>
        <v>44728</v>
      </c>
      <c r="C15032" s="6">
        <f>IFERROR(__xludf.DUMMYFUNCTION("""COMPUTED_VALUE"""),0.31622685185357113)</f>
        <v>0.3162268519</v>
      </c>
      <c r="D15032" s="4">
        <f>IFERROR(__xludf.DUMMYFUNCTION("""COMPUTED_VALUE"""),13.032385)</f>
        <v>13.032385</v>
      </c>
      <c r="E15032" s="4">
        <f>IFERROR(__xludf.DUMMYFUNCTION("""COMPUTED_VALUE"""),80.242452)</f>
        <v>80.242452</v>
      </c>
      <c r="F15032" s="4">
        <f>IFERROR(__xludf.DUMMYFUNCTION("""COMPUTED_VALUE"""),5339.0)</f>
        <v>5339</v>
      </c>
      <c r="G15032" s="4">
        <f>IFERROR(__xludf.DUMMYFUNCTION("""COMPUTED_VALUE"""),48.0)</f>
        <v>48</v>
      </c>
      <c r="H15032" s="4"/>
      <c r="I15032" s="4"/>
    </row>
    <row r="15033">
      <c r="A15033" s="4" t="str">
        <f>IFERROR(__xludf.DUMMYFUNCTION("""COMPUTED_VALUE"""),"cas_hmw")</f>
        <v>cas_hmw</v>
      </c>
      <c r="B15033" s="5">
        <f>IFERROR(__xludf.DUMMYFUNCTION("""COMPUTED_VALUE"""),44728.0)</f>
        <v>44728</v>
      </c>
      <c r="C15033" s="6">
        <f>IFERROR(__xludf.DUMMYFUNCTION("""COMPUTED_VALUE"""),0.31833333333270275)</f>
        <v>0.3183333333</v>
      </c>
      <c r="D15033" s="4">
        <f>IFERROR(__xludf.DUMMYFUNCTION("""COMPUTED_VALUE"""),12.684002)</f>
        <v>12.684002</v>
      </c>
      <c r="E15033" s="4">
        <f>IFERROR(__xludf.DUMMYFUNCTION("""COMPUTED_VALUE"""),79.983251)</f>
        <v>79.983251</v>
      </c>
      <c r="F15033" s="4">
        <f>IFERROR(__xludf.DUMMYFUNCTION("""COMPUTED_VALUE"""),2846.0)</f>
        <v>2846</v>
      </c>
      <c r="G15033" s="4">
        <f>IFERROR(__xludf.DUMMYFUNCTION("""COMPUTED_VALUE"""),21.0)</f>
        <v>21</v>
      </c>
      <c r="H15033" s="4"/>
      <c r="I15033" s="4"/>
    </row>
    <row r="15034">
      <c r="A15034" s="4" t="str">
        <f>IFERROR(__xludf.DUMMYFUNCTION("""COMPUTED_VALUE"""),"cas_hmw")</f>
        <v>cas_hmw</v>
      </c>
      <c r="B15034" s="5">
        <f>IFERROR(__xludf.DUMMYFUNCTION("""COMPUTED_VALUE"""),44728.0)</f>
        <v>44728</v>
      </c>
      <c r="C15034" s="6">
        <f>IFERROR(__xludf.DUMMYFUNCTION("""COMPUTED_VALUE"""),0.31836805555576575)</f>
        <v>0.3183680556</v>
      </c>
      <c r="D15034" s="4">
        <f>IFERROR(__xludf.DUMMYFUNCTION("""COMPUTED_VALUE"""),13.011665)</f>
        <v>13.011665</v>
      </c>
      <c r="E15034" s="4">
        <f>IFERROR(__xludf.DUMMYFUNCTION("""COMPUTED_VALUE"""),80.259211)</f>
        <v>80.259211</v>
      </c>
      <c r="F15034" s="4">
        <f>IFERROR(__xludf.DUMMYFUNCTION("""COMPUTED_VALUE"""),805.0)</f>
        <v>805</v>
      </c>
      <c r="G15034" s="4">
        <f>IFERROR(__xludf.DUMMYFUNCTION("""COMPUTED_VALUE"""),22.0)</f>
        <v>22</v>
      </c>
      <c r="H15034" s="4"/>
      <c r="I15034" s="4"/>
    </row>
    <row r="15035">
      <c r="A15035" s="4" t="str">
        <f>IFERROR(__xludf.DUMMYFUNCTION("""COMPUTED_VALUE"""),"cas_hmw")</f>
        <v>cas_hmw</v>
      </c>
      <c r="B15035" s="5">
        <f>IFERROR(__xludf.DUMMYFUNCTION("""COMPUTED_VALUE"""),44728.0)</f>
        <v>44728</v>
      </c>
      <c r="C15035" s="6">
        <f>IFERROR(__xludf.DUMMYFUNCTION("""COMPUTED_VALUE"""),0.3185995370367891)</f>
        <v>0.318599537</v>
      </c>
      <c r="D15035" s="4">
        <f>IFERROR(__xludf.DUMMYFUNCTION("""COMPUTED_VALUE"""),12.686122)</f>
        <v>12.686122</v>
      </c>
      <c r="E15035" s="4">
        <f>IFERROR(__xludf.DUMMYFUNCTION("""COMPUTED_VALUE"""),79.983488)</f>
        <v>79.983488</v>
      </c>
      <c r="F15035" s="4">
        <f>IFERROR(__xludf.DUMMYFUNCTION("""COMPUTED_VALUE"""),2846.0)</f>
        <v>2846</v>
      </c>
      <c r="G15035" s="4">
        <f>IFERROR(__xludf.DUMMYFUNCTION("""COMPUTED_VALUE"""),30.0)</f>
        <v>30</v>
      </c>
      <c r="H15035" s="4"/>
      <c r="I15035" s="4"/>
    </row>
    <row r="15036">
      <c r="A15036" s="4" t="str">
        <f>IFERROR(__xludf.DUMMYFUNCTION("""COMPUTED_VALUE"""),"cas_hmw")</f>
        <v>cas_hmw</v>
      </c>
      <c r="B15036" s="5">
        <f>IFERROR(__xludf.DUMMYFUNCTION("""COMPUTED_VALUE"""),44728.0)</f>
        <v>44728</v>
      </c>
      <c r="C15036" s="6">
        <f>IFERROR(__xludf.DUMMYFUNCTION("""COMPUTED_VALUE"""),0.31887731481401715)</f>
        <v>0.3188773148</v>
      </c>
      <c r="D15036" s="4">
        <f>IFERROR(__xludf.DUMMYFUNCTION("""COMPUTED_VALUE"""),13.026263)</f>
        <v>13.026263</v>
      </c>
      <c r="E15036" s="4">
        <f>IFERROR(__xludf.DUMMYFUNCTION("""COMPUTED_VALUE"""),80.232463)</f>
        <v>80.232463</v>
      </c>
      <c r="F15036" s="4">
        <f>IFERROR(__xludf.DUMMYFUNCTION("""COMPUTED_VALUE"""),5339.0)</f>
        <v>5339</v>
      </c>
      <c r="G15036" s="4">
        <f>IFERROR(__xludf.DUMMYFUNCTION("""COMPUTED_VALUE"""),38.0)</f>
        <v>38</v>
      </c>
      <c r="H15036" s="4"/>
      <c r="I15036" s="4"/>
    </row>
    <row r="15037">
      <c r="A15037" s="4" t="str">
        <f>IFERROR(__xludf.DUMMYFUNCTION("""COMPUTED_VALUE"""),"cas_hmw")</f>
        <v>cas_hmw</v>
      </c>
      <c r="B15037" s="5">
        <f>IFERROR(__xludf.DUMMYFUNCTION("""COMPUTED_VALUE"""),44728.0)</f>
        <v>44728</v>
      </c>
      <c r="C15037" s="6">
        <f>IFERROR(__xludf.DUMMYFUNCTION("""COMPUTED_VALUE"""),0.3192245370373712)</f>
        <v>0.319224537</v>
      </c>
      <c r="D15037" s="4">
        <f>IFERROR(__xludf.DUMMYFUNCTION("""COMPUTED_VALUE"""),12.689457)</f>
        <v>12.689457</v>
      </c>
      <c r="E15037" s="4">
        <f>IFERROR(__xludf.DUMMYFUNCTION("""COMPUTED_VALUE"""),79.982374)</f>
        <v>79.982374</v>
      </c>
      <c r="F15037" s="4">
        <f>IFERROR(__xludf.DUMMYFUNCTION("""COMPUTED_VALUE"""),2846.0)</f>
        <v>2846</v>
      </c>
      <c r="G15037" s="4">
        <f>IFERROR(__xludf.DUMMYFUNCTION("""COMPUTED_VALUE"""),34.0)</f>
        <v>34</v>
      </c>
      <c r="H15037" s="4"/>
      <c r="I15037" s="4"/>
    </row>
    <row r="15038">
      <c r="A15038" s="4" t="str">
        <f>IFERROR(__xludf.DUMMYFUNCTION("""COMPUTED_VALUE"""),"cas_hmw")</f>
        <v>cas_hmw</v>
      </c>
      <c r="B15038" s="5">
        <f>IFERROR(__xludf.DUMMYFUNCTION("""COMPUTED_VALUE"""),44728.0)</f>
        <v>44728</v>
      </c>
      <c r="C15038" s="6">
        <f>IFERROR(__xludf.DUMMYFUNCTION("""COMPUTED_VALUE"""),0.3199768518534256)</f>
        <v>0.3199768519</v>
      </c>
      <c r="D15038" s="4">
        <f>IFERROR(__xludf.DUMMYFUNCTION("""COMPUTED_VALUE"""),13.021842)</f>
        <v>13.021842</v>
      </c>
      <c r="E15038" s="4">
        <f>IFERROR(__xludf.DUMMYFUNCTION("""COMPUTED_VALUE"""),80.226162)</f>
        <v>80.226162</v>
      </c>
      <c r="F15038" s="4">
        <f>IFERROR(__xludf.DUMMYFUNCTION("""COMPUTED_VALUE"""),5339.0)</f>
        <v>5339</v>
      </c>
      <c r="G15038" s="4">
        <f>IFERROR(__xludf.DUMMYFUNCTION("""COMPUTED_VALUE"""),56.0)</f>
        <v>56</v>
      </c>
      <c r="H15038" s="4"/>
      <c r="I15038" s="4"/>
    </row>
    <row r="15039">
      <c r="A15039" s="4" t="str">
        <f>IFERROR(__xludf.DUMMYFUNCTION("""COMPUTED_VALUE"""),"cas_hmw")</f>
        <v>cas_hmw</v>
      </c>
      <c r="B15039" s="5">
        <f>IFERROR(__xludf.DUMMYFUNCTION("""COMPUTED_VALUE"""),44728.0)</f>
        <v>44728</v>
      </c>
      <c r="C15039" s="6">
        <f>IFERROR(__xludf.DUMMYFUNCTION("""COMPUTED_VALUE"""),0.3199884259265673)</f>
        <v>0.3199884259</v>
      </c>
      <c r="D15039" s="4">
        <f>IFERROR(__xludf.DUMMYFUNCTION("""COMPUTED_VALUE"""),13.006408)</f>
        <v>13.006408</v>
      </c>
      <c r="E15039" s="4">
        <f>IFERROR(__xludf.DUMMYFUNCTION("""COMPUTED_VALUE"""),80.256589)</f>
        <v>80.256589</v>
      </c>
      <c r="F15039" s="4">
        <f>IFERROR(__xludf.DUMMYFUNCTION("""COMPUTED_VALUE"""),805.0)</f>
        <v>805</v>
      </c>
      <c r="G15039" s="4">
        <f>IFERROR(__xludf.DUMMYFUNCTION("""COMPUTED_VALUE"""),29.0)</f>
        <v>29</v>
      </c>
      <c r="H15039" s="4"/>
      <c r="I15039" s="4"/>
    </row>
    <row r="15040">
      <c r="A15040" s="4" t="str">
        <f>IFERROR(__xludf.DUMMYFUNCTION("""COMPUTED_VALUE"""),"cas_hmw")</f>
        <v>cas_hmw</v>
      </c>
      <c r="B15040" s="5">
        <f>IFERROR(__xludf.DUMMYFUNCTION("""COMPUTED_VALUE"""),44728.0)</f>
        <v>44728</v>
      </c>
      <c r="C15040" s="6">
        <f>IFERROR(__xludf.DUMMYFUNCTION("""COMPUTED_VALUE"""),0.32004629629591363)</f>
        <v>0.3200462963</v>
      </c>
      <c r="D15040" s="4">
        <f>IFERROR(__xludf.DUMMYFUNCTION("""COMPUTED_VALUE"""),13.006446)</f>
        <v>13.006446</v>
      </c>
      <c r="E15040" s="4">
        <f>IFERROR(__xludf.DUMMYFUNCTION("""COMPUTED_VALUE"""),80.255742)</f>
        <v>80.255742</v>
      </c>
      <c r="F15040" s="4">
        <f>IFERROR(__xludf.DUMMYFUNCTION("""COMPUTED_VALUE"""),805.0)</f>
        <v>805</v>
      </c>
      <c r="G15040" s="4">
        <f>IFERROR(__xludf.DUMMYFUNCTION("""COMPUTED_VALUE"""),31.0)</f>
        <v>31</v>
      </c>
      <c r="H15040" s="4"/>
      <c r="I15040" s="4"/>
    </row>
    <row r="15041">
      <c r="A15041" s="4" t="str">
        <f>IFERROR(__xludf.DUMMYFUNCTION("""COMPUTED_VALUE"""),"cas_hmw")</f>
        <v>cas_hmw</v>
      </c>
      <c r="B15041" s="5">
        <f>IFERROR(__xludf.DUMMYFUNCTION("""COMPUTED_VALUE"""),44728.0)</f>
        <v>44728</v>
      </c>
      <c r="C15041" s="6">
        <f>IFERROR(__xludf.DUMMYFUNCTION("""COMPUTED_VALUE"""),0.32054398148102337)</f>
        <v>0.3205439815</v>
      </c>
      <c r="D15041" s="4">
        <f>IFERROR(__xludf.DUMMYFUNCTION("""COMPUTED_VALUE"""),13.016208)</f>
        <v>13.016208</v>
      </c>
      <c r="E15041" s="4">
        <f>IFERROR(__xludf.DUMMYFUNCTION("""COMPUTED_VALUE"""),80.225534)</f>
        <v>80.225534</v>
      </c>
      <c r="F15041" s="4">
        <f>IFERROR(__xludf.DUMMYFUNCTION("""COMPUTED_VALUE"""),5339.0)</f>
        <v>5339</v>
      </c>
      <c r="G15041" s="4">
        <f>IFERROR(__xludf.DUMMYFUNCTION("""COMPUTED_VALUE"""),37.0)</f>
        <v>37</v>
      </c>
      <c r="H15041" s="4"/>
      <c r="I15041" s="4"/>
    </row>
    <row r="15042">
      <c r="A15042" s="4" t="str">
        <f>IFERROR(__xludf.DUMMYFUNCTION("""COMPUTED_VALUE"""),"cas_hmw")</f>
        <v>cas_hmw</v>
      </c>
      <c r="B15042" s="5">
        <f>IFERROR(__xludf.DUMMYFUNCTION("""COMPUTED_VALUE"""),44728.0)</f>
        <v>44728</v>
      </c>
      <c r="C15042" s="6">
        <f>IFERROR(__xludf.DUMMYFUNCTION("""COMPUTED_VALUE"""),0.3206828703696374)</f>
        <v>0.3206828704</v>
      </c>
      <c r="D15042" s="4">
        <f>IFERROR(__xludf.DUMMYFUNCTION("""COMPUTED_VALUE"""),13.015361)</f>
        <v>13.015361</v>
      </c>
      <c r="E15042" s="4">
        <f>IFERROR(__xludf.DUMMYFUNCTION("""COMPUTED_VALUE"""),80.225852)</f>
        <v>80.225852</v>
      </c>
      <c r="F15042" s="4">
        <f>IFERROR(__xludf.DUMMYFUNCTION("""COMPUTED_VALUE"""),5339.0)</f>
        <v>5339</v>
      </c>
      <c r="G15042" s="4">
        <f>IFERROR(__xludf.DUMMYFUNCTION("""COMPUTED_VALUE"""),34.0)</f>
        <v>34</v>
      </c>
      <c r="H15042" s="4"/>
      <c r="I15042" s="4"/>
    </row>
    <row r="15043">
      <c r="A15043" s="4" t="str">
        <f>IFERROR(__xludf.DUMMYFUNCTION("""COMPUTED_VALUE"""),"cas_hmw")</f>
        <v>cas_hmw</v>
      </c>
      <c r="B15043" s="5">
        <f>IFERROR(__xludf.DUMMYFUNCTION("""COMPUTED_VALUE"""),44728.0)</f>
        <v>44728</v>
      </c>
      <c r="C15043" s="6">
        <f>IFERROR(__xludf.DUMMYFUNCTION("""COMPUTED_VALUE"""),0.32081018518510973)</f>
        <v>0.3208101852</v>
      </c>
      <c r="D15043" s="4">
        <f>IFERROR(__xludf.DUMMYFUNCTION("""COMPUTED_VALUE"""),13.01436)</f>
        <v>13.01436</v>
      </c>
      <c r="E15043" s="4">
        <f>IFERROR(__xludf.DUMMYFUNCTION("""COMPUTED_VALUE"""),80.226209)</f>
        <v>80.226209</v>
      </c>
      <c r="F15043" s="4">
        <f>IFERROR(__xludf.DUMMYFUNCTION("""COMPUTED_VALUE"""),5339.0)</f>
        <v>5339</v>
      </c>
      <c r="G15043" s="4">
        <f>IFERROR(__xludf.DUMMYFUNCTION("""COMPUTED_VALUE"""),50.0)</f>
        <v>50</v>
      </c>
      <c r="H15043" s="4"/>
      <c r="I15043" s="4"/>
    </row>
    <row r="15044">
      <c r="A15044" s="4" t="str">
        <f>IFERROR(__xludf.DUMMYFUNCTION("""COMPUTED_VALUE"""),"cas_hmw")</f>
        <v>cas_hmw</v>
      </c>
      <c r="B15044" s="5">
        <f>IFERROR(__xludf.DUMMYFUNCTION("""COMPUTED_VALUE"""),44728.0)</f>
        <v>44728</v>
      </c>
      <c r="C15044" s="6">
        <f>IFERROR(__xludf.DUMMYFUNCTION("""COMPUTED_VALUE"""),0.32134259259328246)</f>
        <v>0.3213425926</v>
      </c>
      <c r="D15044" s="4">
        <f>IFERROR(__xludf.DUMMYFUNCTION("""COMPUTED_VALUE"""),13.009533)</f>
        <v>13.009533</v>
      </c>
      <c r="E15044" s="4">
        <f>IFERROR(__xludf.DUMMYFUNCTION("""COMPUTED_VALUE"""),80.227555)</f>
        <v>80.227555</v>
      </c>
      <c r="F15044" s="4">
        <f>IFERROR(__xludf.DUMMYFUNCTION("""COMPUTED_VALUE"""),5339.0)</f>
        <v>5339</v>
      </c>
      <c r="G15044" s="4">
        <f>IFERROR(__xludf.DUMMYFUNCTION("""COMPUTED_VALUE"""),19.0)</f>
        <v>19</v>
      </c>
      <c r="H15044" s="4"/>
      <c r="I15044" s="4"/>
    </row>
    <row r="15045">
      <c r="A15045" s="4" t="str">
        <f>IFERROR(__xludf.DUMMYFUNCTION("""COMPUTED_VALUE"""),"cas_hmw")</f>
        <v>cas_hmw</v>
      </c>
      <c r="B15045" s="5">
        <f>IFERROR(__xludf.DUMMYFUNCTION("""COMPUTED_VALUE"""),44728.0)</f>
        <v>44728</v>
      </c>
      <c r="C15045" s="6">
        <f>IFERROR(__xludf.DUMMYFUNCTION("""COMPUTED_VALUE"""),0.32282407407547)</f>
        <v>0.3228240741</v>
      </c>
      <c r="D15045" s="4">
        <f>IFERROR(__xludf.DUMMYFUNCTION("""COMPUTED_VALUE"""),13.010875)</f>
        <v>13.010875</v>
      </c>
      <c r="E15045" s="4">
        <f>IFERROR(__xludf.DUMMYFUNCTION("""COMPUTED_VALUE"""),80.217169)</f>
        <v>80.217169</v>
      </c>
      <c r="F15045" s="4">
        <f>IFERROR(__xludf.DUMMYFUNCTION("""COMPUTED_VALUE"""),5339.0)</f>
        <v>5339</v>
      </c>
      <c r="G15045" s="4">
        <f>IFERROR(__xludf.DUMMYFUNCTION("""COMPUTED_VALUE"""),45.0)</f>
        <v>45</v>
      </c>
      <c r="H15045" s="4"/>
      <c r="I15045" s="4"/>
    </row>
    <row r="15046">
      <c r="A15046" s="4" t="str">
        <f>IFERROR(__xludf.DUMMYFUNCTION("""COMPUTED_VALUE"""),"cas_hmw")</f>
        <v>cas_hmw</v>
      </c>
      <c r="B15046" s="5">
        <f>IFERROR(__xludf.DUMMYFUNCTION("""COMPUTED_VALUE"""),44728.0)</f>
        <v>44728</v>
      </c>
      <c r="C15046" s="6">
        <f>IFERROR(__xludf.DUMMYFUNCTION("""COMPUTED_VALUE"""),0.3231828703719657)</f>
        <v>0.3231828704</v>
      </c>
      <c r="D15046" s="4">
        <f>IFERROR(__xludf.DUMMYFUNCTION("""COMPUTED_VALUE"""),13.009646)</f>
        <v>13.009646</v>
      </c>
      <c r="E15046" s="4">
        <f>IFERROR(__xludf.DUMMYFUNCTION("""COMPUTED_VALUE"""),80.213571)</f>
        <v>80.213571</v>
      </c>
      <c r="F15046" s="4">
        <f>IFERROR(__xludf.DUMMYFUNCTION("""COMPUTED_VALUE"""),5339.0)</f>
        <v>5339</v>
      </c>
      <c r="G15046" s="4">
        <f>IFERROR(__xludf.DUMMYFUNCTION("""COMPUTED_VALUE"""),46.0)</f>
        <v>46</v>
      </c>
      <c r="H15046" s="4"/>
      <c r="I15046" s="4"/>
    </row>
    <row r="15047">
      <c r="A15047" s="4" t="str">
        <f>IFERROR(__xludf.DUMMYFUNCTION("""COMPUTED_VALUE"""),"cas_hmw")</f>
        <v>cas_hmw</v>
      </c>
      <c r="B15047" s="5">
        <f>IFERROR(__xludf.DUMMYFUNCTION("""COMPUTED_VALUE"""),44728.0)</f>
        <v>44728</v>
      </c>
      <c r="C15047" s="6">
        <f>IFERROR(__xludf.DUMMYFUNCTION("""COMPUTED_VALUE"""),0.3232986111106584)</f>
        <v>0.3232986111</v>
      </c>
      <c r="D15047" s="4">
        <f>IFERROR(__xludf.DUMMYFUNCTION("""COMPUTED_VALUE"""),13.009646)</f>
        <v>13.009646</v>
      </c>
      <c r="E15047" s="4">
        <f>IFERROR(__xludf.DUMMYFUNCTION("""COMPUTED_VALUE"""),80.213571)</f>
        <v>80.213571</v>
      </c>
      <c r="F15047" s="4">
        <f>IFERROR(__xludf.DUMMYFUNCTION("""COMPUTED_VALUE"""),5339.0)</f>
        <v>5339</v>
      </c>
      <c r="G15047" s="4">
        <f>IFERROR(__xludf.DUMMYFUNCTION("""COMPUTED_VALUE"""),46.0)</f>
        <v>46</v>
      </c>
      <c r="H15047" s="4"/>
      <c r="I15047" s="4"/>
    </row>
    <row r="15048">
      <c r="A15048" s="4" t="str">
        <f>IFERROR(__xludf.DUMMYFUNCTION("""COMPUTED_VALUE"""),"cas_hmw")</f>
        <v>cas_hmw</v>
      </c>
      <c r="B15048" s="5">
        <f>IFERROR(__xludf.DUMMYFUNCTION("""COMPUTED_VALUE"""),44728.0)</f>
        <v>44728</v>
      </c>
      <c r="C15048" s="6">
        <f>IFERROR(__xludf.DUMMYFUNCTION("""COMPUTED_VALUE"""),0.3235069444453984)</f>
        <v>0.3235069444</v>
      </c>
      <c r="D15048" s="4">
        <f>IFERROR(__xludf.DUMMYFUNCTION("""COMPUTED_VALUE"""),13.009646)</f>
        <v>13.009646</v>
      </c>
      <c r="E15048" s="4">
        <f>IFERROR(__xludf.DUMMYFUNCTION("""COMPUTED_VALUE"""),80.213571)</f>
        <v>80.213571</v>
      </c>
      <c r="F15048" s="4">
        <f>IFERROR(__xludf.DUMMYFUNCTION("""COMPUTED_VALUE"""),5339.0)</f>
        <v>5339</v>
      </c>
      <c r="G15048" s="4">
        <f>IFERROR(__xludf.DUMMYFUNCTION("""COMPUTED_VALUE"""),46.0)</f>
        <v>46</v>
      </c>
      <c r="H15048" s="4"/>
      <c r="I15048" s="4"/>
    </row>
    <row r="15049">
      <c r="A15049" s="4" t="str">
        <f>IFERROR(__xludf.DUMMYFUNCTION("""COMPUTED_VALUE"""),"cas_hmw")</f>
        <v>cas_hmw</v>
      </c>
      <c r="B15049" s="5">
        <f>IFERROR(__xludf.DUMMYFUNCTION("""COMPUTED_VALUE"""),44728.0)</f>
        <v>44728</v>
      </c>
      <c r="C15049" s="6">
        <f>IFERROR(__xludf.DUMMYFUNCTION("""COMPUTED_VALUE"""),0.32443287036949187)</f>
        <v>0.3244328704</v>
      </c>
      <c r="D15049" s="4">
        <f>IFERROR(__xludf.DUMMYFUNCTION("""COMPUTED_VALUE"""),13.005776)</f>
        <v>13.005776</v>
      </c>
      <c r="E15049" s="4">
        <f>IFERROR(__xludf.DUMMYFUNCTION("""COMPUTED_VALUE"""),80.202549)</f>
        <v>80.202549</v>
      </c>
      <c r="F15049" s="4">
        <f>IFERROR(__xludf.DUMMYFUNCTION("""COMPUTED_VALUE"""),5339.0)</f>
        <v>5339</v>
      </c>
      <c r="G15049" s="4">
        <f>IFERROR(__xludf.DUMMYFUNCTION("""COMPUTED_VALUE"""),44.0)</f>
        <v>44</v>
      </c>
      <c r="H15049" s="4"/>
      <c r="I15049" s="4"/>
    </row>
    <row r="15050">
      <c r="A15050" s="4" t="str">
        <f>IFERROR(__xludf.DUMMYFUNCTION("""COMPUTED_VALUE"""),"cas_hmw")</f>
        <v>cas_hmw</v>
      </c>
      <c r="B15050" s="5">
        <f>IFERROR(__xludf.DUMMYFUNCTION("""COMPUTED_VALUE"""),44728.0)</f>
        <v>44728</v>
      </c>
      <c r="C15050" s="6">
        <f>IFERROR(__xludf.DUMMYFUNCTION("""COMPUTED_VALUE"""),0.32501157407386927)</f>
        <v>0.3250115741</v>
      </c>
      <c r="D15050" s="4">
        <f>IFERROR(__xludf.DUMMYFUNCTION("""COMPUTED_VALUE"""),13.001661)</f>
        <v>13.001661</v>
      </c>
      <c r="E15050" s="4">
        <f>IFERROR(__xludf.DUMMYFUNCTION("""COMPUTED_VALUE"""),80.199211)</f>
        <v>80.199211</v>
      </c>
      <c r="F15050" s="4">
        <f>IFERROR(__xludf.DUMMYFUNCTION("""COMPUTED_VALUE"""),5339.0)</f>
        <v>5339</v>
      </c>
      <c r="G15050" s="4">
        <f>IFERROR(__xludf.DUMMYFUNCTION("""COMPUTED_VALUE"""),52.0)</f>
        <v>52</v>
      </c>
      <c r="H15050" s="4"/>
      <c r="I15050" s="4"/>
    </row>
    <row r="15051">
      <c r="A15051" s="4" t="str">
        <f>IFERROR(__xludf.DUMMYFUNCTION("""COMPUTED_VALUE"""),"cas_hmw")</f>
        <v>cas_hmw</v>
      </c>
      <c r="B15051" s="5">
        <f>IFERROR(__xludf.DUMMYFUNCTION("""COMPUTED_VALUE"""),44728.0)</f>
        <v>44728</v>
      </c>
      <c r="C15051" s="6">
        <f>IFERROR(__xludf.DUMMYFUNCTION("""COMPUTED_VALUE"""),0.325474537035916)</f>
        <v>0.325474537</v>
      </c>
      <c r="D15051" s="4">
        <f>IFERROR(__xludf.DUMMYFUNCTION("""COMPUTED_VALUE"""),13.000049)</f>
        <v>13.000049</v>
      </c>
      <c r="E15051" s="4">
        <f>IFERROR(__xludf.DUMMYFUNCTION("""COMPUTED_VALUE"""),80.194376)</f>
        <v>80.194376</v>
      </c>
      <c r="F15051" s="4">
        <f>IFERROR(__xludf.DUMMYFUNCTION("""COMPUTED_VALUE"""),5339.0)</f>
        <v>5339</v>
      </c>
      <c r="G15051" s="4">
        <f>IFERROR(__xludf.DUMMYFUNCTION("""COMPUTED_VALUE"""),61.0)</f>
        <v>61</v>
      </c>
      <c r="H15051" s="4"/>
      <c r="I15051" s="4"/>
    </row>
    <row r="15052">
      <c r="A15052" s="4" t="str">
        <f>IFERROR(__xludf.DUMMYFUNCTION("""COMPUTED_VALUE"""),"cas_hmw")</f>
        <v>cas_hmw</v>
      </c>
      <c r="B15052" s="5">
        <f>IFERROR(__xludf.DUMMYFUNCTION("""COMPUTED_VALUE"""),44728.0)</f>
        <v>44728</v>
      </c>
      <c r="C15052" s="6">
        <f>IFERROR(__xludf.DUMMYFUNCTION("""COMPUTED_VALUE"""),0.32589120370539604)</f>
        <v>0.3258912037</v>
      </c>
      <c r="D15052" s="4">
        <f>IFERROR(__xludf.DUMMYFUNCTION("""COMPUTED_VALUE"""),13.010764)</f>
        <v>13.010764</v>
      </c>
      <c r="E15052" s="4">
        <f>IFERROR(__xludf.DUMMYFUNCTION("""COMPUTED_VALUE"""),80.224777)</f>
        <v>80.224777</v>
      </c>
      <c r="F15052" s="4">
        <f>IFERROR(__xludf.DUMMYFUNCTION("""COMPUTED_VALUE"""),805.0)</f>
        <v>805</v>
      </c>
      <c r="G15052" s="4">
        <f>IFERROR(__xludf.DUMMYFUNCTION("""COMPUTED_VALUE"""),55.0)</f>
        <v>55</v>
      </c>
      <c r="H15052" s="4"/>
      <c r="I15052" s="4"/>
    </row>
    <row r="15053">
      <c r="A15053" s="4" t="str">
        <f>IFERROR(__xludf.DUMMYFUNCTION("""COMPUTED_VALUE"""),"cas_hmw")</f>
        <v>cas_hmw</v>
      </c>
      <c r="B15053" s="5">
        <f>IFERROR(__xludf.DUMMYFUNCTION("""COMPUTED_VALUE"""),44728.0)</f>
        <v>44728</v>
      </c>
      <c r="C15053" s="6">
        <f>IFERROR(__xludf.DUMMYFUNCTION("""COMPUTED_VALUE"""),0.3264120370367891)</f>
        <v>0.326412037</v>
      </c>
      <c r="D15053" s="4">
        <f>IFERROR(__xludf.DUMMYFUNCTION("""COMPUTED_VALUE"""),12.996143)</f>
        <v>12.996143</v>
      </c>
      <c r="E15053" s="4">
        <f>IFERROR(__xludf.DUMMYFUNCTION("""COMPUTED_VALUE"""),80.189454)</f>
        <v>80.189454</v>
      </c>
      <c r="F15053" s="4">
        <f>IFERROR(__xludf.DUMMYFUNCTION("""COMPUTED_VALUE"""),5339.0)</f>
        <v>5339</v>
      </c>
      <c r="G15053" s="4">
        <f>IFERROR(__xludf.DUMMYFUNCTION("""COMPUTED_VALUE"""),15.0)</f>
        <v>15</v>
      </c>
      <c r="H15053" s="4"/>
      <c r="I15053" s="4"/>
    </row>
    <row r="15054">
      <c r="A15054" s="4" t="str">
        <f>IFERROR(__xludf.DUMMYFUNCTION("""COMPUTED_VALUE"""),"cas_hmw")</f>
        <v>cas_hmw</v>
      </c>
      <c r="B15054" s="5">
        <f>IFERROR(__xludf.DUMMYFUNCTION("""COMPUTED_VALUE"""),44728.0)</f>
        <v>44728</v>
      </c>
      <c r="C15054" s="6">
        <f>IFERROR(__xludf.DUMMYFUNCTION("""COMPUTED_VALUE"""),0.32650462962919846)</f>
        <v>0.3265046296</v>
      </c>
      <c r="D15054" s="4">
        <f>IFERROR(__xludf.DUMMYFUNCTION("""COMPUTED_VALUE"""),12.708138)</f>
        <v>12.708138</v>
      </c>
      <c r="E15054" s="4">
        <f>IFERROR(__xludf.DUMMYFUNCTION("""COMPUTED_VALUE"""),79.976773)</f>
        <v>79.976773</v>
      </c>
      <c r="F15054" s="4">
        <f>IFERROR(__xludf.DUMMYFUNCTION("""COMPUTED_VALUE"""),2846.0)</f>
        <v>2846</v>
      </c>
      <c r="G15054" s="4">
        <f>IFERROR(__xludf.DUMMYFUNCTION("""COMPUTED_VALUE"""),62.0)</f>
        <v>62</v>
      </c>
      <c r="H15054" s="4"/>
      <c r="I15054" s="4"/>
    </row>
    <row r="15055">
      <c r="A15055" s="4" t="str">
        <f>IFERROR(__xludf.DUMMYFUNCTION("""COMPUTED_VALUE"""),"cas_hmw")</f>
        <v>cas_hmw</v>
      </c>
      <c r="B15055" s="5">
        <f>IFERROR(__xludf.DUMMYFUNCTION("""COMPUTED_VALUE"""),44728.0)</f>
        <v>44728</v>
      </c>
      <c r="C15055" s="6">
        <f>IFERROR(__xludf.DUMMYFUNCTION("""COMPUTED_VALUE"""),0.32658564814846613)</f>
        <v>0.3265856481</v>
      </c>
      <c r="D15055" s="4">
        <f>IFERROR(__xludf.DUMMYFUNCTION("""COMPUTED_VALUE"""),12.995726)</f>
        <v>12.995726</v>
      </c>
      <c r="E15055" s="4">
        <f>IFERROR(__xludf.DUMMYFUNCTION("""COMPUTED_VALUE"""),80.188889)</f>
        <v>80.188889</v>
      </c>
      <c r="F15055" s="4">
        <f>IFERROR(__xludf.DUMMYFUNCTION("""COMPUTED_VALUE"""),5339.0)</f>
        <v>5339</v>
      </c>
      <c r="G15055" s="4">
        <f>IFERROR(__xludf.DUMMYFUNCTION("""COMPUTED_VALUE"""),40.0)</f>
        <v>40</v>
      </c>
      <c r="H15055" s="4"/>
      <c r="I15055" s="4"/>
    </row>
    <row r="15056">
      <c r="A15056" s="4" t="str">
        <f>IFERROR(__xludf.DUMMYFUNCTION("""COMPUTED_VALUE"""),"cas_hmw")</f>
        <v>cas_hmw</v>
      </c>
      <c r="B15056" s="5">
        <f>IFERROR(__xludf.DUMMYFUNCTION("""COMPUTED_VALUE"""),44728.0)</f>
        <v>44728</v>
      </c>
      <c r="C15056" s="6">
        <f>IFERROR(__xludf.DUMMYFUNCTION("""COMPUTED_VALUE"""),0.3273263888877409)</f>
        <v>0.3273263889</v>
      </c>
      <c r="D15056" s="4">
        <f>IFERROR(__xludf.DUMMYFUNCTION("""COMPUTED_VALUE"""),13.010083)</f>
        <v>13.010083</v>
      </c>
      <c r="E15056" s="4">
        <f>IFERROR(__xludf.DUMMYFUNCTION("""COMPUTED_VALUE"""),80.214807)</f>
        <v>80.214807</v>
      </c>
      <c r="F15056" s="4">
        <f>IFERROR(__xludf.DUMMYFUNCTION("""COMPUTED_VALUE"""),805.0)</f>
        <v>805</v>
      </c>
      <c r="G15056" s="4">
        <f>IFERROR(__xludf.DUMMYFUNCTION("""COMPUTED_VALUE"""),42.0)</f>
        <v>42</v>
      </c>
      <c r="H15056" s="4"/>
      <c r="I15056" s="4"/>
    </row>
    <row r="15057">
      <c r="A15057" s="4" t="str">
        <f>IFERROR(__xludf.DUMMYFUNCTION("""COMPUTED_VALUE"""),"cas_hmw")</f>
        <v>cas_hmw</v>
      </c>
      <c r="B15057" s="5">
        <f>IFERROR(__xludf.DUMMYFUNCTION("""COMPUTED_VALUE"""),44728.0)</f>
        <v>44728</v>
      </c>
      <c r="C15057" s="6">
        <f>IFERROR(__xludf.DUMMYFUNCTION("""COMPUTED_VALUE"""),0.3274999999994179)</f>
        <v>0.3275</v>
      </c>
      <c r="D15057" s="4">
        <f>IFERROR(__xludf.DUMMYFUNCTION("""COMPUTED_VALUE"""),12.994124)</f>
        <v>12.994124</v>
      </c>
      <c r="E15057" s="4">
        <f>IFERROR(__xludf.DUMMYFUNCTION("""COMPUTED_VALUE"""),80.185803)</f>
        <v>80.185803</v>
      </c>
      <c r="F15057" s="4">
        <f>IFERROR(__xludf.DUMMYFUNCTION("""COMPUTED_VALUE"""),5339.0)</f>
        <v>5339</v>
      </c>
      <c r="G15057" s="4">
        <f>IFERROR(__xludf.DUMMYFUNCTION("""COMPUTED_VALUE"""),4.0)</f>
        <v>4</v>
      </c>
      <c r="H15057" s="4"/>
      <c r="I15057" s="4"/>
    </row>
    <row r="15058">
      <c r="A15058" s="4" t="str">
        <f>IFERROR(__xludf.DUMMYFUNCTION("""COMPUTED_VALUE"""),"cas_hmw")</f>
        <v>cas_hmw</v>
      </c>
      <c r="B15058" s="5">
        <f>IFERROR(__xludf.DUMMYFUNCTION("""COMPUTED_VALUE"""),44728.0)</f>
        <v>44728</v>
      </c>
      <c r="C15058" s="6">
        <f>IFERROR(__xludf.DUMMYFUNCTION("""COMPUTED_VALUE"""),0.3275694444455439)</f>
        <v>0.3275694444</v>
      </c>
      <c r="D15058" s="4">
        <f>IFERROR(__xludf.DUMMYFUNCTION("""COMPUTED_VALUE"""),12.993892)</f>
        <v>12.993892</v>
      </c>
      <c r="E15058" s="4">
        <f>IFERROR(__xludf.DUMMYFUNCTION("""COMPUTED_VALUE"""),80.185348)</f>
        <v>80.185348</v>
      </c>
      <c r="F15058" s="4">
        <f>IFERROR(__xludf.DUMMYFUNCTION("""COMPUTED_VALUE"""),5339.0)</f>
        <v>5339</v>
      </c>
      <c r="G15058" s="4">
        <f>IFERROR(__xludf.DUMMYFUNCTION("""COMPUTED_VALUE"""),27.0)</f>
        <v>27</v>
      </c>
      <c r="H15058" s="4"/>
      <c r="I15058" s="4"/>
    </row>
    <row r="15059">
      <c r="A15059" s="4" t="str">
        <f>IFERROR(__xludf.DUMMYFUNCTION("""COMPUTED_VALUE"""),"cas_hmw")</f>
        <v>cas_hmw</v>
      </c>
      <c r="B15059" s="5">
        <f>IFERROR(__xludf.DUMMYFUNCTION("""COMPUTED_VALUE"""),44728.0)</f>
        <v>44728</v>
      </c>
      <c r="C15059" s="6">
        <f>IFERROR(__xludf.DUMMYFUNCTION("""COMPUTED_VALUE"""),0.32767361111109494)</f>
        <v>0.3276736111</v>
      </c>
      <c r="D15059" s="4">
        <f>IFERROR(__xludf.DUMMYFUNCTION("""COMPUTED_VALUE"""),12.99341)</f>
        <v>12.99341</v>
      </c>
      <c r="E15059" s="4">
        <f>IFERROR(__xludf.DUMMYFUNCTION("""COMPUTED_VALUE"""),80.184475)</f>
        <v>80.184475</v>
      </c>
      <c r="F15059" s="4">
        <f>IFERROR(__xludf.DUMMYFUNCTION("""COMPUTED_VALUE"""),5339.0)</f>
        <v>5339</v>
      </c>
      <c r="G15059" s="4">
        <f>IFERROR(__xludf.DUMMYFUNCTION("""COMPUTED_VALUE"""),44.0)</f>
        <v>44</v>
      </c>
      <c r="H15059" s="4"/>
      <c r="I15059" s="4"/>
    </row>
    <row r="15060">
      <c r="A15060" s="4" t="str">
        <f>IFERROR(__xludf.DUMMYFUNCTION("""COMPUTED_VALUE"""),"cas_hmw")</f>
        <v>cas_hmw</v>
      </c>
      <c r="B15060" s="5">
        <f>IFERROR(__xludf.DUMMYFUNCTION("""COMPUTED_VALUE"""),44728.0)</f>
        <v>44728</v>
      </c>
      <c r="C15060" s="6">
        <f>IFERROR(__xludf.DUMMYFUNCTION("""COMPUTED_VALUE"""),0.327951388888323)</f>
        <v>0.3279513889</v>
      </c>
      <c r="D15060" s="4">
        <f>IFERROR(__xludf.DUMMYFUNCTION("""COMPUTED_VALUE"""),13.008474)</f>
        <v>13.008474</v>
      </c>
      <c r="E15060" s="4">
        <f>IFERROR(__xludf.DUMMYFUNCTION("""COMPUTED_VALUE"""),80.210493)</f>
        <v>80.210493</v>
      </c>
      <c r="F15060" s="4">
        <f>IFERROR(__xludf.DUMMYFUNCTION("""COMPUTED_VALUE"""),805.0)</f>
        <v>805</v>
      </c>
      <c r="G15060" s="4">
        <f>IFERROR(__xludf.DUMMYFUNCTION("""COMPUTED_VALUE"""),40.0)</f>
        <v>40</v>
      </c>
      <c r="H15060" s="4"/>
      <c r="I15060" s="4"/>
    </row>
    <row r="15061">
      <c r="A15061" s="4" t="str">
        <f>IFERROR(__xludf.DUMMYFUNCTION("""COMPUTED_VALUE"""),"cas_hmw")</f>
        <v>cas_hmw</v>
      </c>
      <c r="B15061" s="5">
        <f>IFERROR(__xludf.DUMMYFUNCTION("""COMPUTED_VALUE"""),44728.0)</f>
        <v>44728</v>
      </c>
      <c r="C15061" s="6">
        <f>IFERROR(__xludf.DUMMYFUNCTION("""COMPUTED_VALUE"""),0.3282754629617557)</f>
        <v>0.328275463</v>
      </c>
      <c r="D15061" s="4">
        <f>IFERROR(__xludf.DUMMYFUNCTION("""COMPUTED_VALUE"""),12.989731)</f>
        <v>12.989731</v>
      </c>
      <c r="E15061" s="4">
        <f>IFERROR(__xludf.DUMMYFUNCTION("""COMPUTED_VALUE"""),80.179337)</f>
        <v>80.179337</v>
      </c>
      <c r="F15061" s="4">
        <f>IFERROR(__xludf.DUMMYFUNCTION("""COMPUTED_VALUE"""),5339.0)</f>
        <v>5339</v>
      </c>
      <c r="G15061" s="4">
        <f>IFERROR(__xludf.DUMMYFUNCTION("""COMPUTED_VALUE"""),23.0)</f>
        <v>23</v>
      </c>
      <c r="H15061" s="4"/>
      <c r="I15061" s="4"/>
    </row>
    <row r="15062">
      <c r="A15062" s="4" t="str">
        <f>IFERROR(__xludf.DUMMYFUNCTION("""COMPUTED_VALUE"""),"cas_hmw")</f>
        <v>cas_hmw</v>
      </c>
      <c r="B15062" s="5">
        <f>IFERROR(__xludf.DUMMYFUNCTION("""COMPUTED_VALUE"""),44728.0)</f>
        <v>44728</v>
      </c>
      <c r="C15062" s="6">
        <f>IFERROR(__xludf.DUMMYFUNCTION("""COMPUTED_VALUE"""),0.32828703703853535)</f>
        <v>0.328287037</v>
      </c>
      <c r="D15062" s="4">
        <f>IFERROR(__xludf.DUMMYFUNCTION("""COMPUTED_VALUE"""),12.989731)</f>
        <v>12.989731</v>
      </c>
      <c r="E15062" s="4">
        <f>IFERROR(__xludf.DUMMYFUNCTION("""COMPUTED_VALUE"""),80.179337)</f>
        <v>80.179337</v>
      </c>
      <c r="F15062" s="4">
        <f>IFERROR(__xludf.DUMMYFUNCTION("""COMPUTED_VALUE"""),5339.0)</f>
        <v>5339</v>
      </c>
      <c r="G15062" s="4">
        <f>IFERROR(__xludf.DUMMYFUNCTION("""COMPUTED_VALUE"""),23.0)</f>
        <v>23</v>
      </c>
      <c r="H15062" s="4"/>
      <c r="I15062" s="4"/>
    </row>
    <row r="15063">
      <c r="A15063" s="4" t="str">
        <f>IFERROR(__xludf.DUMMYFUNCTION("""COMPUTED_VALUE"""),"cas_hmw")</f>
        <v>cas_hmw</v>
      </c>
      <c r="B15063" s="5">
        <f>IFERROR(__xludf.DUMMYFUNCTION("""COMPUTED_VALUE"""),44728.0)</f>
        <v>44728</v>
      </c>
      <c r="C15063" s="6">
        <f>IFERROR(__xludf.DUMMYFUNCTION("""COMPUTED_VALUE"""),0.32836805555416504)</f>
        <v>0.3283680556</v>
      </c>
      <c r="D15063" s="4">
        <f>IFERROR(__xludf.DUMMYFUNCTION("""COMPUTED_VALUE"""),12.989299)</f>
        <v>12.989299</v>
      </c>
      <c r="E15063" s="4">
        <f>IFERROR(__xludf.DUMMYFUNCTION("""COMPUTED_VALUE"""),80.178789)</f>
        <v>80.178789</v>
      </c>
      <c r="F15063" s="4">
        <f>IFERROR(__xludf.DUMMYFUNCTION("""COMPUTED_VALUE"""),5339.0)</f>
        <v>5339</v>
      </c>
      <c r="G15063" s="4">
        <f>IFERROR(__xludf.DUMMYFUNCTION("""COMPUTED_VALUE"""),31.0)</f>
        <v>31</v>
      </c>
      <c r="H15063" s="4"/>
      <c r="I15063" s="4"/>
    </row>
    <row r="15064">
      <c r="A15064" s="4" t="str">
        <f>IFERROR(__xludf.DUMMYFUNCTION("""COMPUTED_VALUE"""),"cas_hmw")</f>
        <v>cas_hmw</v>
      </c>
      <c r="B15064" s="5">
        <f>IFERROR(__xludf.DUMMYFUNCTION("""COMPUTED_VALUE"""),44728.0)</f>
        <v>44728</v>
      </c>
      <c r="C15064" s="6">
        <f>IFERROR(__xludf.DUMMYFUNCTION("""COMPUTED_VALUE"""),0.32894675925854244)</f>
        <v>0.3289467593</v>
      </c>
      <c r="D15064" s="4">
        <f>IFERROR(__xludf.DUMMYFUNCTION("""COMPUTED_VALUE"""),13.006868)</f>
        <v>13.006868</v>
      </c>
      <c r="E15064" s="4">
        <f>IFERROR(__xludf.DUMMYFUNCTION("""COMPUTED_VALUE"""),80.204215)</f>
        <v>80.204215</v>
      </c>
      <c r="F15064" s="4">
        <f>IFERROR(__xludf.DUMMYFUNCTION("""COMPUTED_VALUE"""),805.0)</f>
        <v>805</v>
      </c>
      <c r="G15064" s="4">
        <f>IFERROR(__xludf.DUMMYFUNCTION("""COMPUTED_VALUE"""),31.0)</f>
        <v>31</v>
      </c>
      <c r="H15064" s="4"/>
      <c r="I15064" s="4"/>
    </row>
    <row r="15065">
      <c r="A15065" s="4" t="str">
        <f>IFERROR(__xludf.DUMMYFUNCTION("""COMPUTED_VALUE"""),"cas_hmw")</f>
        <v>cas_hmw</v>
      </c>
      <c r="B15065" s="5">
        <f>IFERROR(__xludf.DUMMYFUNCTION("""COMPUTED_VALUE"""),44728.0)</f>
        <v>44728</v>
      </c>
      <c r="C15065" s="6">
        <f>IFERROR(__xludf.DUMMYFUNCTION("""COMPUTED_VALUE"""),0.3290972222239361)</f>
        <v>0.3290972222</v>
      </c>
      <c r="D15065" s="4">
        <f>IFERROR(__xludf.DUMMYFUNCTION("""COMPUTED_VALUE"""),12.986131)</f>
        <v>12.986131</v>
      </c>
      <c r="E15065" s="4">
        <f>IFERROR(__xludf.DUMMYFUNCTION("""COMPUTED_VALUE"""),80.174291)</f>
        <v>80.174291</v>
      </c>
      <c r="F15065" s="4">
        <f>IFERROR(__xludf.DUMMYFUNCTION("""COMPUTED_VALUE"""),5339.0)</f>
        <v>5339</v>
      </c>
      <c r="G15065" s="4">
        <f>IFERROR(__xludf.DUMMYFUNCTION("""COMPUTED_VALUE"""),39.0)</f>
        <v>39</v>
      </c>
      <c r="H15065" s="4"/>
      <c r="I15065" s="4"/>
    </row>
    <row r="15066">
      <c r="A15066" s="4" t="str">
        <f>IFERROR(__xludf.DUMMYFUNCTION("""COMPUTED_VALUE"""),"cas_hmw")</f>
        <v>cas_hmw</v>
      </c>
      <c r="B15066" s="5">
        <f>IFERROR(__xludf.DUMMYFUNCTION("""COMPUTED_VALUE"""),44728.0)</f>
        <v>44728</v>
      </c>
      <c r="C15066" s="6">
        <f>IFERROR(__xludf.DUMMYFUNCTION("""COMPUTED_VALUE"""),0.3291087962970778)</f>
        <v>0.3291087963</v>
      </c>
      <c r="D15066" s="4">
        <f>IFERROR(__xludf.DUMMYFUNCTION("""COMPUTED_VALUE"""),13.005373)</f>
        <v>13.005373</v>
      </c>
      <c r="E15066" s="4">
        <f>IFERROR(__xludf.DUMMYFUNCTION("""COMPUTED_VALUE"""),80.201869)</f>
        <v>80.201869</v>
      </c>
      <c r="F15066" s="4">
        <f>IFERROR(__xludf.DUMMYFUNCTION("""COMPUTED_VALUE"""),805.0)</f>
        <v>805</v>
      </c>
      <c r="G15066" s="4">
        <f>IFERROR(__xludf.DUMMYFUNCTION("""COMPUTED_VALUE"""),43.0)</f>
        <v>43</v>
      </c>
      <c r="H15066" s="4"/>
      <c r="I15066" s="4"/>
    </row>
    <row r="15067">
      <c r="A15067" s="4" t="str">
        <f>IFERROR(__xludf.DUMMYFUNCTION("""COMPUTED_VALUE"""),"cas_hmw")</f>
        <v>cas_hmw</v>
      </c>
      <c r="B15067" s="5">
        <f>IFERROR(__xludf.DUMMYFUNCTION("""COMPUTED_VALUE"""),44728.0)</f>
        <v>44728</v>
      </c>
      <c r="C15067" s="6">
        <f>IFERROR(__xludf.DUMMYFUNCTION("""COMPUTED_VALUE"""),0.3292592592588335)</f>
        <v>0.3292592593</v>
      </c>
      <c r="D15067" s="4">
        <f>IFERROR(__xludf.DUMMYFUNCTION("""COMPUTED_VALUE"""),13.004473)</f>
        <v>13.004473</v>
      </c>
      <c r="E15067" s="4">
        <f>IFERROR(__xludf.DUMMYFUNCTION("""COMPUTED_VALUE"""),80.201221)</f>
        <v>80.201221</v>
      </c>
      <c r="F15067" s="4">
        <f>IFERROR(__xludf.DUMMYFUNCTION("""COMPUTED_VALUE"""),805.0)</f>
        <v>805</v>
      </c>
      <c r="G15067" s="4">
        <f>IFERROR(__xludf.DUMMYFUNCTION("""COMPUTED_VALUE"""),42.0)</f>
        <v>42</v>
      </c>
      <c r="H15067" s="4"/>
      <c r="I15067" s="4"/>
    </row>
    <row r="15068">
      <c r="A15068" s="4" t="str">
        <f>IFERROR(__xludf.DUMMYFUNCTION("""COMPUTED_VALUE"""),"cas_hmw")</f>
        <v>cas_hmw</v>
      </c>
      <c r="B15068" s="5">
        <f>IFERROR(__xludf.DUMMYFUNCTION("""COMPUTED_VALUE"""),44728.0)</f>
        <v>44728</v>
      </c>
      <c r="C15068" s="6">
        <f>IFERROR(__xludf.DUMMYFUNCTION("""COMPUTED_VALUE"""),0.3293518518512428)</f>
        <v>0.3293518519</v>
      </c>
      <c r="D15068" s="4">
        <f>IFERROR(__xludf.DUMMYFUNCTION("""COMPUTED_VALUE"""),13.003319)</f>
        <v>13.003319</v>
      </c>
      <c r="E15068" s="4">
        <f>IFERROR(__xludf.DUMMYFUNCTION("""COMPUTED_VALUE"""),80.200868)</f>
        <v>80.200868</v>
      </c>
      <c r="F15068" s="4">
        <f>IFERROR(__xludf.DUMMYFUNCTION("""COMPUTED_VALUE"""),805.0)</f>
        <v>805</v>
      </c>
      <c r="G15068" s="4">
        <f>IFERROR(__xludf.DUMMYFUNCTION("""COMPUTED_VALUE"""),50.0)</f>
        <v>50</v>
      </c>
      <c r="H15068" s="4"/>
      <c r="I15068" s="4"/>
    </row>
    <row r="15069">
      <c r="A15069" s="4" t="str">
        <f>IFERROR(__xludf.DUMMYFUNCTION("""COMPUTED_VALUE"""),"cas_hmw")</f>
        <v>cas_hmw</v>
      </c>
      <c r="B15069" s="5">
        <f>IFERROR(__xludf.DUMMYFUNCTION("""COMPUTED_VALUE"""),44728.0)</f>
        <v>44728</v>
      </c>
      <c r="C15069" s="6">
        <f>IFERROR(__xludf.DUMMYFUNCTION("""COMPUTED_VALUE"""),0.32954861111284117)</f>
        <v>0.3295486111</v>
      </c>
      <c r="D15069" s="4">
        <f>IFERROR(__xludf.DUMMYFUNCTION("""COMPUTED_VALUE"""),12.983661)</f>
        <v>12.983661</v>
      </c>
      <c r="E15069" s="4">
        <f>IFERROR(__xludf.DUMMYFUNCTION("""COMPUTED_VALUE"""),80.170484)</f>
        <v>80.170484</v>
      </c>
      <c r="F15069" s="4">
        <f>IFERROR(__xludf.DUMMYFUNCTION("""COMPUTED_VALUE"""),5339.0)</f>
        <v>5339</v>
      </c>
      <c r="G15069" s="4">
        <f>IFERROR(__xludf.DUMMYFUNCTION("""COMPUTED_VALUE"""),44.0)</f>
        <v>44</v>
      </c>
      <c r="H15069" s="4"/>
      <c r="I15069" s="4"/>
    </row>
    <row r="15070">
      <c r="A15070" s="4" t="str">
        <f>IFERROR(__xludf.DUMMYFUNCTION("""COMPUTED_VALUE"""),"cas_hmw")</f>
        <v>cas_hmw</v>
      </c>
      <c r="B15070" s="5">
        <f>IFERROR(__xludf.DUMMYFUNCTION("""COMPUTED_VALUE"""),44728.0)</f>
        <v>44728</v>
      </c>
      <c r="C15070" s="6">
        <f>IFERROR(__xludf.DUMMYFUNCTION("""COMPUTED_VALUE"""),0.3295717592591245)</f>
        <v>0.3295717593</v>
      </c>
      <c r="D15070" s="4">
        <f>IFERROR(__xludf.DUMMYFUNCTION("""COMPUTED_VALUE"""),13.001764)</f>
        <v>13.001764</v>
      </c>
      <c r="E15070" s="4">
        <f>IFERROR(__xludf.DUMMYFUNCTION("""COMPUTED_VALUE"""),80.199774)</f>
        <v>80.199774</v>
      </c>
      <c r="F15070" s="4">
        <f>IFERROR(__xludf.DUMMYFUNCTION("""COMPUTED_VALUE"""),805.0)</f>
        <v>805</v>
      </c>
      <c r="G15070" s="4">
        <f>IFERROR(__xludf.DUMMYFUNCTION("""COMPUTED_VALUE"""),43.0)</f>
        <v>43</v>
      </c>
      <c r="H15070" s="4"/>
      <c r="I15070" s="4"/>
    </row>
    <row r="15071">
      <c r="A15071" s="4" t="str">
        <f>IFERROR(__xludf.DUMMYFUNCTION("""COMPUTED_VALUE"""),"cas_hmw")</f>
        <v>cas_hmw</v>
      </c>
      <c r="B15071" s="5">
        <f>IFERROR(__xludf.DUMMYFUNCTION("""COMPUTED_VALUE"""),44728.0)</f>
        <v>44728</v>
      </c>
      <c r="C15071" s="6">
        <f>IFERROR(__xludf.DUMMYFUNCTION("""COMPUTED_VALUE"""),0.3298032407401479)</f>
        <v>0.3298032407</v>
      </c>
      <c r="D15071" s="4">
        <f>IFERROR(__xludf.DUMMYFUNCTION("""COMPUTED_VALUE"""),13.001974)</f>
        <v>13.001974</v>
      </c>
      <c r="E15071" s="4">
        <f>IFERROR(__xludf.DUMMYFUNCTION("""COMPUTED_VALUE"""),80.197662)</f>
        <v>80.197662</v>
      </c>
      <c r="F15071" s="4">
        <f>IFERROR(__xludf.DUMMYFUNCTION("""COMPUTED_VALUE"""),805.0)</f>
        <v>805</v>
      </c>
      <c r="G15071" s="4">
        <f>IFERROR(__xludf.DUMMYFUNCTION("""COMPUTED_VALUE"""),44.0)</f>
        <v>44</v>
      </c>
      <c r="H15071" s="4"/>
      <c r="I15071" s="4"/>
    </row>
    <row r="15072">
      <c r="A15072" s="4" t="str">
        <f>IFERROR(__xludf.DUMMYFUNCTION("""COMPUTED_VALUE"""),"cas_hmw")</f>
        <v>cas_hmw</v>
      </c>
      <c r="B15072" s="5">
        <f>IFERROR(__xludf.DUMMYFUNCTION("""COMPUTED_VALUE"""),44728.0)</f>
        <v>44728</v>
      </c>
      <c r="C15072" s="6">
        <f>IFERROR(__xludf.DUMMYFUNCTION("""COMPUTED_VALUE"""),0.3300810185173759)</f>
        <v>0.3300810185</v>
      </c>
      <c r="D15072" s="4">
        <f>IFERROR(__xludf.DUMMYFUNCTION("""COMPUTED_VALUE"""),12.981011)</f>
        <v>12.981011</v>
      </c>
      <c r="E15072" s="4">
        <f>IFERROR(__xludf.DUMMYFUNCTION("""COMPUTED_VALUE"""),80.166074)</f>
        <v>80.166074</v>
      </c>
      <c r="F15072" s="4">
        <f>IFERROR(__xludf.DUMMYFUNCTION("""COMPUTED_VALUE"""),5339.0)</f>
        <v>5339</v>
      </c>
      <c r="G15072" s="4">
        <f>IFERROR(__xludf.DUMMYFUNCTION("""COMPUTED_VALUE"""),49.0)</f>
        <v>49</v>
      </c>
      <c r="H15072" s="4"/>
      <c r="I15072" s="4"/>
    </row>
    <row r="15073">
      <c r="A15073" s="4" t="str">
        <f>IFERROR(__xludf.DUMMYFUNCTION("""COMPUTED_VALUE"""),"cas_hmw")</f>
        <v>cas_hmw</v>
      </c>
      <c r="B15073" s="5">
        <f>IFERROR(__xludf.DUMMYFUNCTION("""COMPUTED_VALUE"""),44728.0)</f>
        <v>44728</v>
      </c>
      <c r="C15073" s="6">
        <f>IFERROR(__xludf.DUMMYFUNCTION("""COMPUTED_VALUE"""),0.3306249999986903)</f>
        <v>0.330625</v>
      </c>
      <c r="D15073" s="4">
        <f>IFERROR(__xludf.DUMMYFUNCTION("""COMPUTED_VALUE"""),12.979544)</f>
        <v>12.979544</v>
      </c>
      <c r="E15073" s="4">
        <f>IFERROR(__xludf.DUMMYFUNCTION("""COMPUTED_VALUE"""),80.162357)</f>
        <v>80.162357</v>
      </c>
      <c r="F15073" s="4">
        <f>IFERROR(__xludf.DUMMYFUNCTION("""COMPUTED_VALUE"""),5339.0)</f>
        <v>5339</v>
      </c>
      <c r="G15073" s="4">
        <f>IFERROR(__xludf.DUMMYFUNCTION("""COMPUTED_VALUE"""),41.0)</f>
        <v>41</v>
      </c>
      <c r="H15073" s="4"/>
      <c r="I15073" s="4"/>
    </row>
    <row r="15074">
      <c r="A15074" s="4" t="str">
        <f>IFERROR(__xludf.DUMMYFUNCTION("""COMPUTED_VALUE"""),"cas_hmw")</f>
        <v>cas_hmw</v>
      </c>
      <c r="B15074" s="5">
        <f>IFERROR(__xludf.DUMMYFUNCTION("""COMPUTED_VALUE"""),44728.0)</f>
        <v>44728</v>
      </c>
      <c r="C15074" s="6">
        <f>IFERROR(__xludf.DUMMYFUNCTION("""COMPUTED_VALUE"""),0.33097222222204437)</f>
        <v>0.3309722222</v>
      </c>
      <c r="D15074" s="4">
        <f>IFERROR(__xludf.DUMMYFUNCTION("""COMPUTED_VALUE"""),12.97649)</f>
        <v>12.97649</v>
      </c>
      <c r="E15074" s="4">
        <f>IFERROR(__xludf.DUMMYFUNCTION("""COMPUTED_VALUE"""),80.15781)</f>
        <v>80.15781</v>
      </c>
      <c r="F15074" s="4">
        <f>IFERROR(__xludf.DUMMYFUNCTION("""COMPUTED_VALUE"""),5339.0)</f>
        <v>5339</v>
      </c>
      <c r="G15074" s="4">
        <f>IFERROR(__xludf.DUMMYFUNCTION("""COMPUTED_VALUE"""),59.0)</f>
        <v>59</v>
      </c>
      <c r="H15074" s="4"/>
      <c r="I15074" s="4"/>
    </row>
    <row r="15075">
      <c r="A15075" s="4" t="str">
        <f>IFERROR(__xludf.DUMMYFUNCTION("""COMPUTED_VALUE"""),"cas_hmw")</f>
        <v>cas_hmw</v>
      </c>
      <c r="B15075" s="5">
        <f>IFERROR(__xludf.DUMMYFUNCTION("""COMPUTED_VALUE"""),44728.0)</f>
        <v>44728</v>
      </c>
      <c r="C15075" s="6">
        <f>IFERROR(__xludf.DUMMYFUNCTION("""COMPUTED_VALUE"""),0.33112268518380006)</f>
        <v>0.3311226852</v>
      </c>
      <c r="D15075" s="4">
        <f>IFERROR(__xludf.DUMMYFUNCTION("""COMPUTED_VALUE"""),12.974937)</f>
        <v>12.974937</v>
      </c>
      <c r="E15075" s="4">
        <f>IFERROR(__xludf.DUMMYFUNCTION("""COMPUTED_VALUE"""),80.15556)</f>
        <v>80.15556</v>
      </c>
      <c r="F15075" s="4">
        <f>IFERROR(__xludf.DUMMYFUNCTION("""COMPUTED_VALUE"""),5339.0)</f>
        <v>5339</v>
      </c>
      <c r="G15075" s="4">
        <f>IFERROR(__xludf.DUMMYFUNCTION("""COMPUTED_VALUE"""),45.0)</f>
        <v>45</v>
      </c>
      <c r="H15075" s="4"/>
      <c r="I15075" s="4"/>
    </row>
    <row r="15076">
      <c r="A15076" s="4" t="str">
        <f>IFERROR(__xludf.DUMMYFUNCTION("""COMPUTED_VALUE"""),"cas_hmw")</f>
        <v>cas_hmw</v>
      </c>
      <c r="B15076" s="5">
        <f>IFERROR(__xludf.DUMMYFUNCTION("""COMPUTED_VALUE"""),44728.0)</f>
        <v>44728</v>
      </c>
      <c r="C15076" s="6">
        <f>IFERROR(__xludf.DUMMYFUNCTION("""COMPUTED_VALUE"""),0.33224537036949187)</f>
        <v>0.3322453704</v>
      </c>
      <c r="D15076" s="4">
        <f>IFERROR(__xludf.DUMMYFUNCTION("""COMPUTED_VALUE"""),12.972009)</f>
        <v>12.972009</v>
      </c>
      <c r="E15076" s="4">
        <f>IFERROR(__xludf.DUMMYFUNCTION("""COMPUTED_VALUE"""),80.151514)</f>
        <v>80.151514</v>
      </c>
      <c r="F15076" s="4">
        <f>IFERROR(__xludf.DUMMYFUNCTION("""COMPUTED_VALUE"""),5339.0)</f>
        <v>5339</v>
      </c>
      <c r="G15076" s="4">
        <f>IFERROR(__xludf.DUMMYFUNCTION("""COMPUTED_VALUE"""),14.0)</f>
        <v>14</v>
      </c>
      <c r="H15076" s="4"/>
      <c r="I15076" s="4"/>
    </row>
    <row r="15077">
      <c r="A15077" s="4" t="str">
        <f>IFERROR(__xludf.DUMMYFUNCTION("""COMPUTED_VALUE"""),"cas_hmw")</f>
        <v>cas_hmw</v>
      </c>
      <c r="B15077" s="5">
        <f>IFERROR(__xludf.DUMMYFUNCTION("""COMPUTED_VALUE"""),44728.0)</f>
        <v>44728</v>
      </c>
      <c r="C15077" s="6">
        <f>IFERROR(__xludf.DUMMYFUNCTION("""COMPUTED_VALUE"""),0.33231481481561786)</f>
        <v>0.3323148148</v>
      </c>
      <c r="D15077" s="4">
        <f>IFERROR(__xludf.DUMMYFUNCTION("""COMPUTED_VALUE"""),12.754795)</f>
        <v>12.754795</v>
      </c>
      <c r="E15077" s="4">
        <f>IFERROR(__xludf.DUMMYFUNCTION("""COMPUTED_VALUE"""),80.001035)</f>
        <v>80.001035</v>
      </c>
      <c r="F15077" s="4">
        <f>IFERROR(__xludf.DUMMYFUNCTION("""COMPUTED_VALUE"""),2846.0)</f>
        <v>2846</v>
      </c>
      <c r="G15077" s="4">
        <f>IFERROR(__xludf.DUMMYFUNCTION("""COMPUTED_VALUE"""),56.0)</f>
        <v>56</v>
      </c>
      <c r="H15077" s="4"/>
      <c r="I15077" s="4"/>
    </row>
    <row r="15078">
      <c r="A15078" s="4" t="str">
        <f>IFERROR(__xludf.DUMMYFUNCTION("""COMPUTED_VALUE"""),"cas_hmw")</f>
        <v>cas_hmw</v>
      </c>
      <c r="B15078" s="5">
        <f>IFERROR(__xludf.DUMMYFUNCTION("""COMPUTED_VALUE"""),44728.0)</f>
        <v>44728</v>
      </c>
      <c r="C15078" s="6">
        <f>IFERROR(__xludf.DUMMYFUNCTION("""COMPUTED_VALUE"""),0.33232638888875954)</f>
        <v>0.3323263889</v>
      </c>
      <c r="D15078" s="4">
        <f>IFERROR(__xludf.DUMMYFUNCTION("""COMPUTED_VALUE"""),12.971542)</f>
        <v>12.971542</v>
      </c>
      <c r="E15078" s="4">
        <f>IFERROR(__xludf.DUMMYFUNCTION("""COMPUTED_VALUE"""),80.15117)</f>
        <v>80.15117</v>
      </c>
      <c r="F15078" s="4">
        <f>IFERROR(__xludf.DUMMYFUNCTION("""COMPUTED_VALUE"""),5339.0)</f>
        <v>5339</v>
      </c>
      <c r="G15078" s="4">
        <f>IFERROR(__xludf.DUMMYFUNCTION("""COMPUTED_VALUE"""),28.0)</f>
        <v>28</v>
      </c>
      <c r="H15078" s="4"/>
      <c r="I15078" s="4"/>
    </row>
    <row r="15079">
      <c r="A15079" s="4" t="str">
        <f>IFERROR(__xludf.DUMMYFUNCTION("""COMPUTED_VALUE"""),"cas_hmw")</f>
        <v>cas_hmw</v>
      </c>
      <c r="B15079" s="5">
        <f>IFERROR(__xludf.DUMMYFUNCTION("""COMPUTED_VALUE"""),44728.0)</f>
        <v>44728</v>
      </c>
      <c r="C15079" s="6">
        <f>IFERROR(__xludf.DUMMYFUNCTION("""COMPUTED_VALUE"""),0.3324074074080272)</f>
        <v>0.3324074074</v>
      </c>
      <c r="D15079" s="4">
        <f>IFERROR(__xludf.DUMMYFUNCTION("""COMPUTED_VALUE"""),12.970858)</f>
        <v>12.970858</v>
      </c>
      <c r="E15079" s="4">
        <f>IFERROR(__xludf.DUMMYFUNCTION("""COMPUTED_VALUE"""),80.150803)</f>
        <v>80.150803</v>
      </c>
      <c r="F15079" s="4">
        <f>IFERROR(__xludf.DUMMYFUNCTION("""COMPUTED_VALUE"""),5339.0)</f>
        <v>5339</v>
      </c>
      <c r="G15079" s="4">
        <f>IFERROR(__xludf.DUMMYFUNCTION("""COMPUTED_VALUE"""),30.0)</f>
        <v>30</v>
      </c>
      <c r="H15079" s="4"/>
      <c r="I15079" s="4"/>
    </row>
    <row r="15080">
      <c r="A15080" s="4" t="str">
        <f>IFERROR(__xludf.DUMMYFUNCTION("""COMPUTED_VALUE"""),"cas_hmw")</f>
        <v>cas_hmw</v>
      </c>
      <c r="B15080" s="5">
        <f>IFERROR(__xludf.DUMMYFUNCTION("""COMPUTED_VALUE"""),44728.0)</f>
        <v>44728</v>
      </c>
      <c r="C15080" s="6">
        <f>IFERROR(__xludf.DUMMYFUNCTION("""COMPUTED_VALUE"""),0.3324074074080272)</f>
        <v>0.3324074074</v>
      </c>
      <c r="D15080" s="4">
        <f>IFERROR(__xludf.DUMMYFUNCTION("""COMPUTED_VALUE"""),12.970858)</f>
        <v>12.970858</v>
      </c>
      <c r="E15080" s="4">
        <f>IFERROR(__xludf.DUMMYFUNCTION("""COMPUTED_VALUE"""),80.150803)</f>
        <v>80.150803</v>
      </c>
      <c r="F15080" s="4">
        <f>IFERROR(__xludf.DUMMYFUNCTION("""COMPUTED_VALUE"""),5339.0)</f>
        <v>5339</v>
      </c>
      <c r="G15080" s="4">
        <f>IFERROR(__xludf.DUMMYFUNCTION("""COMPUTED_VALUE"""),30.0)</f>
        <v>30</v>
      </c>
      <c r="H15080" s="4"/>
      <c r="I15080" s="4"/>
    </row>
    <row r="15081">
      <c r="A15081" s="4" t="str">
        <f>IFERROR(__xludf.DUMMYFUNCTION("""COMPUTED_VALUE"""),"cas_hmw")</f>
        <v>cas_hmw</v>
      </c>
      <c r="B15081" s="5">
        <f>IFERROR(__xludf.DUMMYFUNCTION("""COMPUTED_VALUE"""),44728.0)</f>
        <v>44728</v>
      </c>
      <c r="C15081" s="6">
        <f>IFERROR(__xludf.DUMMYFUNCTION("""COMPUTED_VALUE"""),0.33247685185051523)</f>
        <v>0.3324768519</v>
      </c>
      <c r="D15081" s="4">
        <f>IFERROR(__xludf.DUMMYFUNCTION("""COMPUTED_VALUE"""),12.970858)</f>
        <v>12.970858</v>
      </c>
      <c r="E15081" s="4">
        <f>IFERROR(__xludf.DUMMYFUNCTION("""COMPUTED_VALUE"""),80.150803)</f>
        <v>80.150803</v>
      </c>
      <c r="F15081" s="4">
        <f>IFERROR(__xludf.DUMMYFUNCTION("""COMPUTED_VALUE"""),5339.0)</f>
        <v>5339</v>
      </c>
      <c r="G15081" s="4">
        <f>IFERROR(__xludf.DUMMYFUNCTION("""COMPUTED_VALUE"""),30.0)</f>
        <v>30</v>
      </c>
      <c r="H15081" s="4"/>
      <c r="I15081" s="4"/>
    </row>
    <row r="15082">
      <c r="A15082" s="4" t="str">
        <f>IFERROR(__xludf.DUMMYFUNCTION("""COMPUTED_VALUE"""),"cas_hmw")</f>
        <v>cas_hmw</v>
      </c>
      <c r="B15082" s="5">
        <f>IFERROR(__xludf.DUMMYFUNCTION("""COMPUTED_VALUE"""),44728.0)</f>
        <v>44728</v>
      </c>
      <c r="C15082" s="6">
        <f>IFERROR(__xludf.DUMMYFUNCTION("""COMPUTED_VALUE"""),0.33247685185051523)</f>
        <v>0.3324768519</v>
      </c>
      <c r="D15082" s="4">
        <f>IFERROR(__xludf.DUMMYFUNCTION("""COMPUTED_VALUE"""),12.970858)</f>
        <v>12.970858</v>
      </c>
      <c r="E15082" s="4">
        <f>IFERROR(__xludf.DUMMYFUNCTION("""COMPUTED_VALUE"""),80.150803)</f>
        <v>80.150803</v>
      </c>
      <c r="F15082" s="4">
        <f>IFERROR(__xludf.DUMMYFUNCTION("""COMPUTED_VALUE"""),5339.0)</f>
        <v>5339</v>
      </c>
      <c r="G15082" s="4">
        <f>IFERROR(__xludf.DUMMYFUNCTION("""COMPUTED_VALUE"""),30.0)</f>
        <v>30</v>
      </c>
      <c r="H15082" s="4"/>
      <c r="I15082" s="4"/>
    </row>
    <row r="15083">
      <c r="A15083" s="4" t="str">
        <f>IFERROR(__xludf.DUMMYFUNCTION("""COMPUTED_VALUE"""),"cas_hmw")</f>
        <v>cas_hmw</v>
      </c>
      <c r="B15083" s="5">
        <f>IFERROR(__xludf.DUMMYFUNCTION("""COMPUTED_VALUE"""),44728.0)</f>
        <v>44728</v>
      </c>
      <c r="C15083" s="6">
        <f>IFERROR(__xludf.DUMMYFUNCTION("""COMPUTED_VALUE"""),0.3324884259272949)</f>
        <v>0.3324884259</v>
      </c>
      <c r="D15083" s="4">
        <f>IFERROR(__xludf.DUMMYFUNCTION("""COMPUTED_VALUE"""),12.970858)</f>
        <v>12.970858</v>
      </c>
      <c r="E15083" s="4">
        <f>IFERROR(__xludf.DUMMYFUNCTION("""COMPUTED_VALUE"""),80.150803)</f>
        <v>80.150803</v>
      </c>
      <c r="F15083" s="4">
        <f>IFERROR(__xludf.DUMMYFUNCTION("""COMPUTED_VALUE"""),5339.0)</f>
        <v>5339</v>
      </c>
      <c r="G15083" s="4">
        <f>IFERROR(__xludf.DUMMYFUNCTION("""COMPUTED_VALUE"""),30.0)</f>
        <v>30</v>
      </c>
      <c r="H15083" s="4"/>
      <c r="I15083" s="4"/>
    </row>
    <row r="15084">
      <c r="A15084" s="4" t="str">
        <f>IFERROR(__xludf.DUMMYFUNCTION("""COMPUTED_VALUE"""),"cas_hmw")</f>
        <v>cas_hmw</v>
      </c>
      <c r="B15084" s="5">
        <f>IFERROR(__xludf.DUMMYFUNCTION("""COMPUTED_VALUE"""),44728.0)</f>
        <v>44728</v>
      </c>
      <c r="C15084" s="6">
        <f>IFERROR(__xludf.DUMMYFUNCTION("""COMPUTED_VALUE"""),0.33258101851970423)</f>
        <v>0.3325810185</v>
      </c>
      <c r="D15084" s="4">
        <f>IFERROR(__xludf.DUMMYFUNCTION("""COMPUTED_VALUE"""),12.970226)</f>
        <v>12.970226</v>
      </c>
      <c r="E15084" s="4">
        <f>IFERROR(__xludf.DUMMYFUNCTION("""COMPUTED_VALUE"""),80.150502)</f>
        <v>80.150502</v>
      </c>
      <c r="F15084" s="4">
        <f>IFERROR(__xludf.DUMMYFUNCTION("""COMPUTED_VALUE"""),5339.0)</f>
        <v>5339</v>
      </c>
      <c r="G15084" s="4">
        <f>IFERROR(__xludf.DUMMYFUNCTION("""COMPUTED_VALUE"""),28.0)</f>
        <v>28</v>
      </c>
      <c r="H15084" s="4"/>
      <c r="I15084" s="4"/>
    </row>
    <row r="15085">
      <c r="A15085" s="4" t="str">
        <f>IFERROR(__xludf.DUMMYFUNCTION("""COMPUTED_VALUE"""),"cas_hmw")</f>
        <v>cas_hmw</v>
      </c>
      <c r="B15085" s="5">
        <f>IFERROR(__xludf.DUMMYFUNCTION("""COMPUTED_VALUE"""),44728.0)</f>
        <v>44728</v>
      </c>
      <c r="C15085" s="6">
        <f>IFERROR(__xludf.DUMMYFUNCTION("""COMPUTED_VALUE"""),0.3332407407397113)</f>
        <v>0.3332407407</v>
      </c>
      <c r="D15085" s="4">
        <f>IFERROR(__xludf.DUMMYFUNCTION("""COMPUTED_VALUE"""),12.966949)</f>
        <v>12.966949</v>
      </c>
      <c r="E15085" s="4">
        <f>IFERROR(__xludf.DUMMYFUNCTION("""COMPUTED_VALUE"""),80.14899)</f>
        <v>80.14899</v>
      </c>
      <c r="F15085" s="4">
        <f>IFERROR(__xludf.DUMMYFUNCTION("""COMPUTED_VALUE"""),5339.0)</f>
        <v>5339</v>
      </c>
      <c r="G15085" s="4">
        <f>IFERROR(__xludf.DUMMYFUNCTION("""COMPUTED_VALUE"""),25.0)</f>
        <v>25</v>
      </c>
      <c r="H15085" s="4"/>
      <c r="I15085" s="4"/>
    </row>
    <row r="15086">
      <c r="A15086" s="4" t="str">
        <f>IFERROR(__xludf.DUMMYFUNCTION("""COMPUTED_VALUE"""),"cas_hmw")</f>
        <v>cas_hmw</v>
      </c>
      <c r="B15086" s="5">
        <f>IFERROR(__xludf.DUMMYFUNCTION("""COMPUTED_VALUE"""),44728.0)</f>
        <v>44728</v>
      </c>
      <c r="C15086" s="6">
        <f>IFERROR(__xludf.DUMMYFUNCTION("""COMPUTED_VALUE"""),0.33395833333270275)</f>
        <v>0.3339583333</v>
      </c>
      <c r="D15086" s="4">
        <f>IFERROR(__xludf.DUMMYFUNCTION("""COMPUTED_VALUE"""),12.986142)</f>
        <v>12.986142</v>
      </c>
      <c r="E15086" s="4">
        <f>IFERROR(__xludf.DUMMYFUNCTION("""COMPUTED_VALUE"""),80.174335)</f>
        <v>80.174335</v>
      </c>
      <c r="F15086" s="4">
        <f>IFERROR(__xludf.DUMMYFUNCTION("""COMPUTED_VALUE"""),805.0)</f>
        <v>805</v>
      </c>
      <c r="G15086" s="4">
        <f>IFERROR(__xludf.DUMMYFUNCTION("""COMPUTED_VALUE"""),36.0)</f>
        <v>36</v>
      </c>
      <c r="H15086" s="4"/>
      <c r="I15086" s="4"/>
    </row>
    <row r="15087">
      <c r="A15087" s="4" t="str">
        <f>IFERROR(__xludf.DUMMYFUNCTION("""COMPUTED_VALUE"""),"cas_hmw")</f>
        <v>cas_hmw</v>
      </c>
      <c r="B15087" s="5">
        <f>IFERROR(__xludf.DUMMYFUNCTION("""COMPUTED_VALUE"""),44728.0)</f>
        <v>44728</v>
      </c>
      <c r="C15087" s="6">
        <f>IFERROR(__xludf.DUMMYFUNCTION("""COMPUTED_VALUE"""),0.3340509259251121)</f>
        <v>0.3340509259</v>
      </c>
      <c r="D15087" s="4">
        <f>IFERROR(__xludf.DUMMYFUNCTION("""COMPUTED_VALUE"""),12.960074)</f>
        <v>12.960074</v>
      </c>
      <c r="E15087" s="4">
        <f>IFERROR(__xludf.DUMMYFUNCTION("""COMPUTED_VALUE"""),80.145291)</f>
        <v>80.145291</v>
      </c>
      <c r="F15087" s="4">
        <f>IFERROR(__xludf.DUMMYFUNCTION("""COMPUTED_VALUE"""),5339.0)</f>
        <v>5339</v>
      </c>
      <c r="G15087" s="4">
        <f>IFERROR(__xludf.DUMMYFUNCTION("""COMPUTED_VALUE"""),47.0)</f>
        <v>47</v>
      </c>
      <c r="H15087" s="4"/>
      <c r="I15087" s="4"/>
    </row>
    <row r="15088">
      <c r="A15088" s="4" t="str">
        <f>IFERROR(__xludf.DUMMYFUNCTION("""COMPUTED_VALUE"""),"cas_hmw")</f>
        <v>cas_hmw</v>
      </c>
      <c r="B15088" s="5">
        <f>IFERROR(__xludf.DUMMYFUNCTION("""COMPUTED_VALUE"""),44728.0)</f>
        <v>44728</v>
      </c>
      <c r="C15088" s="6">
        <f>IFERROR(__xludf.DUMMYFUNCTION("""COMPUTED_VALUE"""),0.33409722222131677)</f>
        <v>0.3340972222</v>
      </c>
      <c r="D15088" s="4">
        <f>IFERROR(__xludf.DUMMYFUNCTION("""COMPUTED_VALUE"""),12.985511)</f>
        <v>12.985511</v>
      </c>
      <c r="E15088" s="4">
        <f>IFERROR(__xludf.DUMMYFUNCTION("""COMPUTED_VALUE"""),80.173433)</f>
        <v>80.173433</v>
      </c>
      <c r="F15088" s="4">
        <f>IFERROR(__xludf.DUMMYFUNCTION("""COMPUTED_VALUE"""),805.0)</f>
        <v>805</v>
      </c>
      <c r="G15088" s="4">
        <f>IFERROR(__xludf.DUMMYFUNCTION("""COMPUTED_VALUE"""),44.0)</f>
        <v>44</v>
      </c>
      <c r="H15088" s="4"/>
      <c r="I15088" s="4"/>
    </row>
    <row r="15089">
      <c r="A15089" s="4" t="str">
        <f>IFERROR(__xludf.DUMMYFUNCTION("""COMPUTED_VALUE"""),"cas_hmw")</f>
        <v>cas_hmw</v>
      </c>
      <c r="B15089" s="5">
        <f>IFERROR(__xludf.DUMMYFUNCTION("""COMPUTED_VALUE"""),44728.0)</f>
        <v>44728</v>
      </c>
      <c r="C15089" s="6">
        <f>IFERROR(__xludf.DUMMYFUNCTION("""COMPUTED_VALUE"""),0.33409722222131677)</f>
        <v>0.3340972222</v>
      </c>
      <c r="D15089" s="4">
        <f>IFERROR(__xludf.DUMMYFUNCTION("""COMPUTED_VALUE"""),12.960074)</f>
        <v>12.960074</v>
      </c>
      <c r="E15089" s="4">
        <f>IFERROR(__xludf.DUMMYFUNCTION("""COMPUTED_VALUE"""),80.145291)</f>
        <v>80.145291</v>
      </c>
      <c r="F15089" s="4">
        <f>IFERROR(__xludf.DUMMYFUNCTION("""COMPUTED_VALUE"""),5339.0)</f>
        <v>5339</v>
      </c>
      <c r="G15089" s="4">
        <f>IFERROR(__xludf.DUMMYFUNCTION("""COMPUTED_VALUE"""),47.0)</f>
        <v>47</v>
      </c>
      <c r="H15089" s="4"/>
      <c r="I15089" s="4"/>
    </row>
    <row r="15090">
      <c r="A15090" s="4" t="str">
        <f>IFERROR(__xludf.DUMMYFUNCTION("""COMPUTED_VALUE"""),"cas_hmw")</f>
        <v>cas_hmw</v>
      </c>
      <c r="B15090" s="5">
        <f>IFERROR(__xludf.DUMMYFUNCTION("""COMPUTED_VALUE"""),44728.0)</f>
        <v>44728</v>
      </c>
      <c r="C15090" s="6">
        <f>IFERROR(__xludf.DUMMYFUNCTION("""COMPUTED_VALUE"""),0.33420138889050577)</f>
        <v>0.3342013889</v>
      </c>
      <c r="D15090" s="4">
        <f>IFERROR(__xludf.DUMMYFUNCTION("""COMPUTED_VALUE"""),12.98487)</f>
        <v>12.98487</v>
      </c>
      <c r="E15090" s="4">
        <f>IFERROR(__xludf.DUMMYFUNCTION("""COMPUTED_VALUE"""),80.172479)</f>
        <v>80.172479</v>
      </c>
      <c r="F15090" s="4">
        <f>IFERROR(__xludf.DUMMYFUNCTION("""COMPUTED_VALUE"""),805.0)</f>
        <v>805</v>
      </c>
      <c r="G15090" s="4">
        <f>IFERROR(__xludf.DUMMYFUNCTION("""COMPUTED_VALUE"""),44.0)</f>
        <v>44</v>
      </c>
      <c r="H15090" s="4"/>
      <c r="I15090" s="4"/>
    </row>
    <row r="15091">
      <c r="A15091" s="4" t="str">
        <f>IFERROR(__xludf.DUMMYFUNCTION("""COMPUTED_VALUE"""),"cas_hmw")</f>
        <v>cas_hmw</v>
      </c>
      <c r="B15091" s="5">
        <f>IFERROR(__xludf.DUMMYFUNCTION("""COMPUTED_VALUE"""),44728.0)</f>
        <v>44728</v>
      </c>
      <c r="C15091" s="6">
        <f>IFERROR(__xludf.DUMMYFUNCTION("""COMPUTED_VALUE"""),0.33428240740613546)</f>
        <v>0.3342824074</v>
      </c>
      <c r="D15091" s="4">
        <f>IFERROR(__xludf.DUMMYFUNCTION("""COMPUTED_VALUE"""),12.958406)</f>
        <v>12.958406</v>
      </c>
      <c r="E15091" s="4">
        <f>IFERROR(__xludf.DUMMYFUNCTION("""COMPUTED_VALUE"""),80.144382)</f>
        <v>80.144382</v>
      </c>
      <c r="F15091" s="4">
        <f>IFERROR(__xludf.DUMMYFUNCTION("""COMPUTED_VALUE"""),5339.0)</f>
        <v>5339</v>
      </c>
      <c r="G15091" s="4">
        <f>IFERROR(__xludf.DUMMYFUNCTION("""COMPUTED_VALUE"""),34.0)</f>
        <v>34</v>
      </c>
      <c r="H15091" s="4"/>
      <c r="I15091" s="4"/>
    </row>
    <row r="15092">
      <c r="A15092" s="4" t="str">
        <f>IFERROR(__xludf.DUMMYFUNCTION("""COMPUTED_VALUE"""),"cas_hmw")</f>
        <v>cas_hmw</v>
      </c>
      <c r="B15092" s="5">
        <f>IFERROR(__xludf.DUMMYFUNCTION("""COMPUTED_VALUE"""),44728.0)</f>
        <v>44728</v>
      </c>
      <c r="C15092" s="6">
        <f>IFERROR(__xludf.DUMMYFUNCTION("""COMPUTED_VALUE"""),0.3365277777775191)</f>
        <v>0.3365277778</v>
      </c>
      <c r="D15092" s="4">
        <f>IFERROR(__xludf.DUMMYFUNCTION("""COMPUTED_VALUE"""),12.951175)</f>
        <v>12.951175</v>
      </c>
      <c r="E15092" s="4">
        <f>IFERROR(__xludf.DUMMYFUNCTION("""COMPUTED_VALUE"""),80.140103)</f>
        <v>80.140103</v>
      </c>
      <c r="F15092" s="4">
        <f>IFERROR(__xludf.DUMMYFUNCTION("""COMPUTED_VALUE"""),5339.0)</f>
        <v>5339</v>
      </c>
      <c r="G15092" s="4">
        <f>IFERROR(__xludf.DUMMYFUNCTION("""COMPUTED_VALUE"""),20.0)</f>
        <v>20</v>
      </c>
      <c r="H15092" s="4"/>
      <c r="I15092" s="4"/>
    </row>
    <row r="15093">
      <c r="A15093" s="4" t="str">
        <f>IFERROR(__xludf.DUMMYFUNCTION("""COMPUTED_VALUE"""),"cas_hmw")</f>
        <v>cas_hmw</v>
      </c>
      <c r="B15093" s="5">
        <f>IFERROR(__xludf.DUMMYFUNCTION("""COMPUTED_VALUE"""),44728.0)</f>
        <v>44728</v>
      </c>
      <c r="C15093" s="6">
        <f>IFERROR(__xludf.DUMMYFUNCTION("""COMPUTED_VALUE"""),0.33653935185066075)</f>
        <v>0.3365393519</v>
      </c>
      <c r="D15093" s="4">
        <f>IFERROR(__xludf.DUMMYFUNCTION("""COMPUTED_VALUE"""),12.951175)</f>
        <v>12.951175</v>
      </c>
      <c r="E15093" s="4">
        <f>IFERROR(__xludf.DUMMYFUNCTION("""COMPUTED_VALUE"""),80.140103)</f>
        <v>80.140103</v>
      </c>
      <c r="F15093" s="4">
        <f>IFERROR(__xludf.DUMMYFUNCTION("""COMPUTED_VALUE"""),5339.0)</f>
        <v>5339</v>
      </c>
      <c r="G15093" s="4">
        <f>IFERROR(__xludf.DUMMYFUNCTION("""COMPUTED_VALUE"""),20.0)</f>
        <v>20</v>
      </c>
      <c r="H15093" s="4"/>
      <c r="I15093" s="4"/>
    </row>
    <row r="15094">
      <c r="A15094" s="4" t="str">
        <f>IFERROR(__xludf.DUMMYFUNCTION("""COMPUTED_VALUE"""),"cas_hmw")</f>
        <v>cas_hmw</v>
      </c>
      <c r="B15094" s="5">
        <f>IFERROR(__xludf.DUMMYFUNCTION("""COMPUTED_VALUE"""),44728.0)</f>
        <v>44728</v>
      </c>
      <c r="C15094" s="6">
        <f>IFERROR(__xludf.DUMMYFUNCTION("""COMPUTED_VALUE"""),0.33679398148160544)</f>
        <v>0.3367939815</v>
      </c>
      <c r="D15094" s="4">
        <f>IFERROR(__xludf.DUMMYFUNCTION("""COMPUTED_VALUE"""),12.94906)</f>
        <v>12.94906</v>
      </c>
      <c r="E15094" s="4">
        <f>IFERROR(__xludf.DUMMYFUNCTION("""COMPUTED_VALUE"""),80.138366)</f>
        <v>80.138366</v>
      </c>
      <c r="F15094" s="4">
        <f>IFERROR(__xludf.DUMMYFUNCTION("""COMPUTED_VALUE"""),5339.0)</f>
        <v>5339</v>
      </c>
      <c r="G15094" s="4">
        <f>IFERROR(__xludf.DUMMYFUNCTION("""COMPUTED_VALUE"""),47.0)</f>
        <v>47</v>
      </c>
      <c r="H15094" s="4"/>
      <c r="I15094" s="4"/>
    </row>
    <row r="15095">
      <c r="A15095" s="4" t="str">
        <f>IFERROR(__xludf.DUMMYFUNCTION("""COMPUTED_VALUE"""),"cas_hmw")</f>
        <v>cas_hmw</v>
      </c>
      <c r="B15095" s="5">
        <f>IFERROR(__xludf.DUMMYFUNCTION("""COMPUTED_VALUE"""),44728.0)</f>
        <v>44728</v>
      </c>
      <c r="C15095" s="6">
        <f>IFERROR(__xludf.DUMMYFUNCTION("""COMPUTED_VALUE"""),0.3375000000014552)</f>
        <v>0.3375</v>
      </c>
      <c r="D15095" s="4">
        <f>IFERROR(__xludf.DUMMYFUNCTION("""COMPUTED_VALUE"""),12.945881)</f>
        <v>12.945881</v>
      </c>
      <c r="E15095" s="4">
        <f>IFERROR(__xludf.DUMMYFUNCTION("""COMPUTED_VALUE"""),80.136013)</f>
        <v>80.136013</v>
      </c>
      <c r="F15095" s="4">
        <f>IFERROR(__xludf.DUMMYFUNCTION("""COMPUTED_VALUE"""),5339.0)</f>
        <v>5339</v>
      </c>
      <c r="G15095" s="4">
        <f>IFERROR(__xludf.DUMMYFUNCTION("""COMPUTED_VALUE"""),51.0)</f>
        <v>51</v>
      </c>
      <c r="H15095" s="4"/>
      <c r="I15095" s="4"/>
    </row>
    <row r="15096">
      <c r="A15096" s="4" t="str">
        <f>IFERROR(__xludf.DUMMYFUNCTION("""COMPUTED_VALUE"""),"cas_hmw")</f>
        <v>cas_hmw</v>
      </c>
      <c r="B15096" s="5">
        <f>IFERROR(__xludf.DUMMYFUNCTION("""COMPUTED_VALUE"""),44728.0)</f>
        <v>44728</v>
      </c>
      <c r="C15096" s="6">
        <f>IFERROR(__xludf.DUMMYFUNCTION("""COMPUTED_VALUE"""),0.3375000000014552)</f>
        <v>0.3375</v>
      </c>
      <c r="D15096" s="4">
        <f>IFERROR(__xludf.DUMMYFUNCTION("""COMPUTED_VALUE"""),12.970777)</f>
        <v>12.970777</v>
      </c>
      <c r="E15096" s="4">
        <f>IFERROR(__xludf.DUMMYFUNCTION("""COMPUTED_VALUE"""),80.150774)</f>
        <v>80.150774</v>
      </c>
      <c r="F15096" s="4">
        <f>IFERROR(__xludf.DUMMYFUNCTION("""COMPUTED_VALUE"""),805.0)</f>
        <v>805</v>
      </c>
      <c r="G15096" s="4">
        <f>IFERROR(__xludf.DUMMYFUNCTION("""COMPUTED_VALUE"""),36.0)</f>
        <v>36</v>
      </c>
      <c r="H15096" s="4"/>
      <c r="I15096" s="4"/>
    </row>
    <row r="15097">
      <c r="A15097" s="4" t="str">
        <f>IFERROR(__xludf.DUMMYFUNCTION("""COMPUTED_VALUE"""),"cas_hmw")</f>
        <v>cas_hmw</v>
      </c>
      <c r="B15097" s="5">
        <f>IFERROR(__xludf.DUMMYFUNCTION("""COMPUTED_VALUE"""),44728.0)</f>
        <v>44728</v>
      </c>
      <c r="C15097" s="6">
        <f>IFERROR(__xludf.DUMMYFUNCTION("""COMPUTED_VALUE"""),0.33762731481328956)</f>
        <v>0.3376273148</v>
      </c>
      <c r="D15097" s="4">
        <f>IFERROR(__xludf.DUMMYFUNCTION("""COMPUTED_VALUE"""),12.945881)</f>
        <v>12.945881</v>
      </c>
      <c r="E15097" s="4">
        <f>IFERROR(__xludf.DUMMYFUNCTION("""COMPUTED_VALUE"""),80.136013)</f>
        <v>80.136013</v>
      </c>
      <c r="F15097" s="4">
        <f>IFERROR(__xludf.DUMMYFUNCTION("""COMPUTED_VALUE"""),5339.0)</f>
        <v>5339</v>
      </c>
      <c r="G15097" s="4">
        <f>IFERROR(__xludf.DUMMYFUNCTION("""COMPUTED_VALUE"""),51.0)</f>
        <v>51</v>
      </c>
      <c r="H15097" s="4"/>
      <c r="I15097" s="4"/>
    </row>
    <row r="15098">
      <c r="A15098" s="4" t="str">
        <f>IFERROR(__xludf.DUMMYFUNCTION("""COMPUTED_VALUE"""),"cas_hmw")</f>
        <v>cas_hmw</v>
      </c>
      <c r="B15098" s="5">
        <f>IFERROR(__xludf.DUMMYFUNCTION("""COMPUTED_VALUE"""),44728.0)</f>
        <v>44728</v>
      </c>
      <c r="C15098" s="6">
        <f>IFERROR(__xludf.DUMMYFUNCTION("""COMPUTED_VALUE"""),0.3389583333337214)</f>
        <v>0.3389583333</v>
      </c>
      <c r="D15098" s="4">
        <f>IFERROR(__xludf.DUMMYFUNCTION("""COMPUTED_VALUE"""),12.93674)</f>
        <v>12.93674</v>
      </c>
      <c r="E15098" s="4">
        <f>IFERROR(__xludf.DUMMYFUNCTION("""COMPUTED_VALUE"""),80.127686)</f>
        <v>80.127686</v>
      </c>
      <c r="F15098" s="4">
        <f>IFERROR(__xludf.DUMMYFUNCTION("""COMPUTED_VALUE"""),5339.0)</f>
        <v>5339</v>
      </c>
      <c r="G15098" s="4">
        <f>IFERROR(__xludf.DUMMYFUNCTION("""COMPUTED_VALUE"""),48.0)</f>
        <v>48</v>
      </c>
      <c r="H15098" s="4"/>
      <c r="I15098" s="4"/>
    </row>
    <row r="15099">
      <c r="A15099" s="4" t="str">
        <f>IFERROR(__xludf.DUMMYFUNCTION("""COMPUTED_VALUE"""),"cas_hmw")</f>
        <v>cas_hmw</v>
      </c>
      <c r="B15099" s="5">
        <f>IFERROR(__xludf.DUMMYFUNCTION("""COMPUTED_VALUE"""),44728.0)</f>
        <v>44728</v>
      </c>
      <c r="C15099" s="6">
        <f>IFERROR(__xludf.DUMMYFUNCTION("""COMPUTED_VALUE"""),0.3393171296302171)</f>
        <v>0.3393171296</v>
      </c>
      <c r="D15099" s="4">
        <f>IFERROR(__xludf.DUMMYFUNCTION("""COMPUTED_VALUE"""),12.934569)</f>
        <v>12.934569</v>
      </c>
      <c r="E15099" s="4">
        <f>IFERROR(__xludf.DUMMYFUNCTION("""COMPUTED_VALUE"""),80.125732)</f>
        <v>80.125732</v>
      </c>
      <c r="F15099" s="4">
        <f>IFERROR(__xludf.DUMMYFUNCTION("""COMPUTED_VALUE"""),5339.0)</f>
        <v>5339</v>
      </c>
      <c r="G15099" s="4">
        <f>IFERROR(__xludf.DUMMYFUNCTION("""COMPUTED_VALUE"""),51.0)</f>
        <v>51</v>
      </c>
      <c r="H15099" s="4"/>
      <c r="I15099" s="4"/>
    </row>
    <row r="15100">
      <c r="A15100" s="4" t="str">
        <f>IFERROR(__xludf.DUMMYFUNCTION("""COMPUTED_VALUE"""),"cas_hmw")</f>
        <v>cas_hmw</v>
      </c>
      <c r="B15100" s="5">
        <f>IFERROR(__xludf.DUMMYFUNCTION("""COMPUTED_VALUE"""),44728.0)</f>
        <v>44728</v>
      </c>
      <c r="C15100" s="6">
        <f>IFERROR(__xludf.DUMMYFUNCTION("""COMPUTED_VALUE"""),0.3395023148150358)</f>
        <v>0.3395023148</v>
      </c>
      <c r="D15100" s="4">
        <f>IFERROR(__xludf.DUMMYFUNCTION("""COMPUTED_VALUE"""),12.813759)</f>
        <v>12.813759</v>
      </c>
      <c r="E15100" s="4">
        <f>IFERROR(__xludf.DUMMYFUNCTION("""COMPUTED_VALUE"""),80.032252)</f>
        <v>80.032252</v>
      </c>
      <c r="F15100" s="4">
        <f>IFERROR(__xludf.DUMMYFUNCTION("""COMPUTED_VALUE"""),2846.0)</f>
        <v>2846</v>
      </c>
      <c r="G15100" s="4">
        <f>IFERROR(__xludf.DUMMYFUNCTION("""COMPUTED_VALUE"""),57.0)</f>
        <v>57</v>
      </c>
      <c r="H15100" s="4"/>
      <c r="I15100" s="4"/>
    </row>
    <row r="15101">
      <c r="A15101" s="4" t="str">
        <f>IFERROR(__xludf.DUMMYFUNCTION("""COMPUTED_VALUE"""),"cas_hmw")</f>
        <v>cas_hmw</v>
      </c>
      <c r="B15101" s="5">
        <f>IFERROR(__xludf.DUMMYFUNCTION("""COMPUTED_VALUE"""),44728.0)</f>
        <v>44728</v>
      </c>
      <c r="C15101" s="6">
        <f>IFERROR(__xludf.DUMMYFUNCTION("""COMPUTED_VALUE"""),0.3397800925922638)</f>
        <v>0.3397800926</v>
      </c>
      <c r="D15101" s="4">
        <f>IFERROR(__xludf.DUMMYFUNCTION("""COMPUTED_VALUE"""),12.817298)</f>
        <v>12.817298</v>
      </c>
      <c r="E15101" s="4">
        <f>IFERROR(__xludf.DUMMYFUNCTION("""COMPUTED_VALUE"""),80.03465)</f>
        <v>80.03465</v>
      </c>
      <c r="F15101" s="4">
        <f>IFERROR(__xludf.DUMMYFUNCTION("""COMPUTED_VALUE"""),2846.0)</f>
        <v>2846</v>
      </c>
      <c r="G15101" s="4">
        <f>IFERROR(__xludf.DUMMYFUNCTION("""COMPUTED_VALUE"""),58.0)</f>
        <v>58</v>
      </c>
      <c r="H15101" s="4"/>
      <c r="I15101" s="4"/>
    </row>
    <row r="15102">
      <c r="A15102" s="4" t="str">
        <f>IFERROR(__xludf.DUMMYFUNCTION("""COMPUTED_VALUE"""),"cas_hmw")</f>
        <v>cas_hmw</v>
      </c>
      <c r="B15102" s="5">
        <f>IFERROR(__xludf.DUMMYFUNCTION("""COMPUTED_VALUE"""),44728.0)</f>
        <v>44728</v>
      </c>
      <c r="C15102" s="6">
        <f>IFERROR(__xludf.DUMMYFUNCTION("""COMPUTED_VALUE"""),0.34035879629664123)</f>
        <v>0.3403587963</v>
      </c>
      <c r="D15102" s="4">
        <f>IFERROR(__xludf.DUMMYFUNCTION("""COMPUTED_VALUE"""),12.929018)</f>
        <v>12.929018</v>
      </c>
      <c r="E15102" s="4">
        <f>IFERROR(__xludf.DUMMYFUNCTION("""COMPUTED_VALUE"""),80.120218)</f>
        <v>80.120218</v>
      </c>
      <c r="F15102" s="4">
        <f>IFERROR(__xludf.DUMMYFUNCTION("""COMPUTED_VALUE"""),5339.0)</f>
        <v>5339</v>
      </c>
      <c r="G15102" s="4">
        <f>IFERROR(__xludf.DUMMYFUNCTION("""COMPUTED_VALUE"""),49.0)</f>
        <v>49</v>
      </c>
      <c r="H15102" s="4"/>
      <c r="I15102" s="4"/>
    </row>
    <row r="15103">
      <c r="A15103" s="4" t="str">
        <f>IFERROR(__xludf.DUMMYFUNCTION("""COMPUTED_VALUE"""),"cas_hmw")</f>
        <v>cas_hmw</v>
      </c>
      <c r="B15103" s="5">
        <f>IFERROR(__xludf.DUMMYFUNCTION("""COMPUTED_VALUE"""),44728.0)</f>
        <v>44728</v>
      </c>
      <c r="C15103" s="6">
        <f>IFERROR(__xludf.DUMMYFUNCTION("""COMPUTED_VALUE"""),0.3405787037045229)</f>
        <v>0.3405787037</v>
      </c>
      <c r="D15103" s="4">
        <f>IFERROR(__xludf.DUMMYFUNCTION("""COMPUTED_VALUE"""),12.927328)</f>
        <v>12.927328</v>
      </c>
      <c r="E15103" s="4">
        <f>IFERROR(__xludf.DUMMYFUNCTION("""COMPUTED_VALUE"""),80.118492)</f>
        <v>80.118492</v>
      </c>
      <c r="F15103" s="4">
        <f>IFERROR(__xludf.DUMMYFUNCTION("""COMPUTED_VALUE"""),5339.0)</f>
        <v>5339</v>
      </c>
      <c r="G15103" s="4">
        <f>IFERROR(__xludf.DUMMYFUNCTION("""COMPUTED_VALUE"""),40.0)</f>
        <v>40</v>
      </c>
      <c r="H15103" s="4"/>
      <c r="I15103" s="4"/>
    </row>
    <row r="15104">
      <c r="A15104" s="4" t="str">
        <f>IFERROR(__xludf.DUMMYFUNCTION("""COMPUTED_VALUE"""),"cas_hmw")</f>
        <v>cas_hmw</v>
      </c>
      <c r="B15104" s="5">
        <f>IFERROR(__xludf.DUMMYFUNCTION("""COMPUTED_VALUE"""),44728.0)</f>
        <v>44728</v>
      </c>
      <c r="C15104" s="6">
        <f>IFERROR(__xludf.DUMMYFUNCTION("""COMPUTED_VALUE"""),0.3406250000007276)</f>
        <v>0.340625</v>
      </c>
      <c r="D15104" s="4">
        <f>IFERROR(__xludf.DUMMYFUNCTION("""COMPUTED_VALUE"""),12.926698)</f>
        <v>12.926698</v>
      </c>
      <c r="E15104" s="4">
        <f>IFERROR(__xludf.DUMMYFUNCTION("""COMPUTED_VALUE"""),80.117885)</f>
        <v>80.117885</v>
      </c>
      <c r="F15104" s="4">
        <f>IFERROR(__xludf.DUMMYFUNCTION("""COMPUTED_VALUE"""),5339.0)</f>
        <v>5339</v>
      </c>
      <c r="G15104" s="4">
        <f>IFERROR(__xludf.DUMMYFUNCTION("""COMPUTED_VALUE"""),30.0)</f>
        <v>30</v>
      </c>
      <c r="H15104" s="4"/>
      <c r="I15104" s="4"/>
    </row>
    <row r="15105">
      <c r="A15105" s="4" t="str">
        <f>IFERROR(__xludf.DUMMYFUNCTION("""COMPUTED_VALUE"""),"cas_hmw")</f>
        <v>cas_hmw</v>
      </c>
      <c r="B15105" s="5">
        <f>IFERROR(__xludf.DUMMYFUNCTION("""COMPUTED_VALUE"""),44728.0)</f>
        <v>44728</v>
      </c>
      <c r="C15105" s="6">
        <f>IFERROR(__xludf.DUMMYFUNCTION("""COMPUTED_VALUE"""),0.34070601851999527)</f>
        <v>0.3407060185</v>
      </c>
      <c r="D15105" s="4">
        <f>IFERROR(__xludf.DUMMYFUNCTION("""COMPUTED_VALUE"""),12.926698)</f>
        <v>12.926698</v>
      </c>
      <c r="E15105" s="4">
        <f>IFERROR(__xludf.DUMMYFUNCTION("""COMPUTED_VALUE"""),80.117885)</f>
        <v>80.117885</v>
      </c>
      <c r="F15105" s="4">
        <f>IFERROR(__xludf.DUMMYFUNCTION("""COMPUTED_VALUE"""),5339.0)</f>
        <v>5339</v>
      </c>
      <c r="G15105" s="4">
        <f>IFERROR(__xludf.DUMMYFUNCTION("""COMPUTED_VALUE"""),30.0)</f>
        <v>30</v>
      </c>
      <c r="H15105" s="4"/>
      <c r="I15105" s="4"/>
    </row>
    <row r="15106">
      <c r="A15106" s="4" t="str">
        <f>IFERROR(__xludf.DUMMYFUNCTION("""COMPUTED_VALUE"""),"cas_hmw")</f>
        <v>cas_hmw</v>
      </c>
      <c r="B15106" s="5">
        <f>IFERROR(__xludf.DUMMYFUNCTION("""COMPUTED_VALUE"""),44728.0)</f>
        <v>44728</v>
      </c>
      <c r="C15106" s="6">
        <f>IFERROR(__xludf.DUMMYFUNCTION("""COMPUTED_VALUE"""),0.34085648148175096)</f>
        <v>0.3408564815</v>
      </c>
      <c r="D15106" s="4">
        <f>IFERROR(__xludf.DUMMYFUNCTION("""COMPUTED_VALUE"""),12.925441)</f>
        <v>12.925441</v>
      </c>
      <c r="E15106" s="4">
        <f>IFERROR(__xludf.DUMMYFUNCTION("""COMPUTED_VALUE"""),80.116579)</f>
        <v>80.116579</v>
      </c>
      <c r="F15106" s="4">
        <f>IFERROR(__xludf.DUMMYFUNCTION("""COMPUTED_VALUE"""),5339.0)</f>
        <v>5339</v>
      </c>
      <c r="G15106" s="4">
        <f>IFERROR(__xludf.DUMMYFUNCTION("""COMPUTED_VALUE"""),41.0)</f>
        <v>41</v>
      </c>
      <c r="H15106" s="4"/>
      <c r="I15106" s="4"/>
    </row>
    <row r="15107">
      <c r="A15107" s="4" t="str">
        <f>IFERROR(__xludf.DUMMYFUNCTION("""COMPUTED_VALUE"""),"cas_hmw")</f>
        <v>cas_hmw</v>
      </c>
      <c r="B15107" s="5">
        <f>IFERROR(__xludf.DUMMYFUNCTION("""COMPUTED_VALUE"""),44728.0)</f>
        <v>44728</v>
      </c>
      <c r="C15107" s="6">
        <f>IFERROR(__xludf.DUMMYFUNCTION("""COMPUTED_VALUE"""),0.3414930555554747)</f>
        <v>0.3414930556</v>
      </c>
      <c r="D15107" s="4">
        <f>IFERROR(__xludf.DUMMYFUNCTION("""COMPUTED_VALUE"""),12.920716)</f>
        <v>12.920716</v>
      </c>
      <c r="E15107" s="4">
        <f>IFERROR(__xludf.DUMMYFUNCTION("""COMPUTED_VALUE"""),80.111798)</f>
        <v>80.111798</v>
      </c>
      <c r="F15107" s="4">
        <f>IFERROR(__xludf.DUMMYFUNCTION("""COMPUTED_VALUE"""),5339.0)</f>
        <v>5339</v>
      </c>
      <c r="G15107" s="4">
        <f>IFERROR(__xludf.DUMMYFUNCTION("""COMPUTED_VALUE"""),58.0)</f>
        <v>58</v>
      </c>
      <c r="H15107" s="4"/>
      <c r="I15107" s="4"/>
    </row>
    <row r="15108">
      <c r="A15108" s="4" t="str">
        <f>IFERROR(__xludf.DUMMYFUNCTION("""COMPUTED_VALUE"""),"cas_hmw")</f>
        <v>cas_hmw</v>
      </c>
      <c r="B15108" s="5">
        <f>IFERROR(__xludf.DUMMYFUNCTION("""COMPUTED_VALUE"""),44728.0)</f>
        <v>44728</v>
      </c>
      <c r="C15108" s="6">
        <f>IFERROR(__xludf.DUMMYFUNCTION("""COMPUTED_VALUE"""),0.3423958333332848)</f>
        <v>0.3423958333</v>
      </c>
      <c r="D15108" s="4">
        <f>IFERROR(__xludf.DUMMYFUNCTION("""COMPUTED_VALUE"""),12.838544)</f>
        <v>12.838544</v>
      </c>
      <c r="E15108" s="4">
        <f>IFERROR(__xludf.DUMMYFUNCTION("""COMPUTED_VALUE"""),80.053876)</f>
        <v>80.053876</v>
      </c>
      <c r="F15108" s="4">
        <f>IFERROR(__xludf.DUMMYFUNCTION("""COMPUTED_VALUE"""),2846.0)</f>
        <v>2846</v>
      </c>
      <c r="G15108" s="4">
        <f>IFERROR(__xludf.DUMMYFUNCTION("""COMPUTED_VALUE"""),53.0)</f>
        <v>53</v>
      </c>
      <c r="H15108" s="4"/>
      <c r="I15108" s="4"/>
    </row>
    <row r="15109">
      <c r="A15109" s="4" t="str">
        <f>IFERROR(__xludf.DUMMYFUNCTION("""COMPUTED_VALUE"""),"cas_hmw")</f>
        <v>cas_hmw</v>
      </c>
      <c r="B15109" s="5">
        <f>IFERROR(__xludf.DUMMYFUNCTION("""COMPUTED_VALUE"""),44728.0)</f>
        <v>44728</v>
      </c>
      <c r="C15109" s="6">
        <f>IFERROR(__xludf.DUMMYFUNCTION("""COMPUTED_VALUE"""),0.3424421296294895)</f>
        <v>0.3424421296</v>
      </c>
      <c r="D15109" s="4">
        <f>IFERROR(__xludf.DUMMYFUNCTION("""COMPUTED_VALUE"""),12.914568)</f>
        <v>12.914568</v>
      </c>
      <c r="E15109" s="4">
        <f>IFERROR(__xludf.DUMMYFUNCTION("""COMPUTED_VALUE"""),80.102759)</f>
        <v>80.102759</v>
      </c>
      <c r="F15109" s="4">
        <f>IFERROR(__xludf.DUMMYFUNCTION("""COMPUTED_VALUE"""),5339.0)</f>
        <v>5339</v>
      </c>
      <c r="G15109" s="4">
        <f>IFERROR(__xludf.DUMMYFUNCTION("""COMPUTED_VALUE"""),57.0)</f>
        <v>57</v>
      </c>
      <c r="H15109" s="4"/>
      <c r="I15109" s="4"/>
    </row>
    <row r="15110">
      <c r="A15110" s="4" t="str">
        <f>IFERROR(__xludf.DUMMYFUNCTION("""COMPUTED_VALUE"""),"cas_hmw")</f>
        <v>cas_hmw</v>
      </c>
      <c r="B15110" s="5">
        <f>IFERROR(__xludf.DUMMYFUNCTION("""COMPUTED_VALUE"""),44728.0)</f>
        <v>44728</v>
      </c>
      <c r="C15110" s="6">
        <f>IFERROR(__xludf.DUMMYFUNCTION("""COMPUTED_VALUE"""),0.3431712962956226)</f>
        <v>0.3431712963</v>
      </c>
      <c r="D15110" s="4">
        <f>IFERROR(__xludf.DUMMYFUNCTION("""COMPUTED_VALUE"""),12.943295)</f>
        <v>12.943295</v>
      </c>
      <c r="E15110" s="4">
        <f>IFERROR(__xludf.DUMMYFUNCTION("""COMPUTED_VALUE"""),80.134053)</f>
        <v>80.134053</v>
      </c>
      <c r="F15110" s="4">
        <f>IFERROR(__xludf.DUMMYFUNCTION("""COMPUTED_VALUE"""),805.0)</f>
        <v>805</v>
      </c>
      <c r="G15110" s="4">
        <f>IFERROR(__xludf.DUMMYFUNCTION("""COMPUTED_VALUE"""),36.0)</f>
        <v>36</v>
      </c>
      <c r="H15110" s="4"/>
      <c r="I15110" s="4"/>
    </row>
    <row r="15111">
      <c r="A15111" s="4" t="str">
        <f>IFERROR(__xludf.DUMMYFUNCTION("""COMPUTED_VALUE"""),"cas_hmw")</f>
        <v>cas_hmw</v>
      </c>
      <c r="B15111" s="5">
        <f>IFERROR(__xludf.DUMMYFUNCTION("""COMPUTED_VALUE"""),44728.0)</f>
        <v>44728</v>
      </c>
      <c r="C15111" s="6">
        <f>IFERROR(__xludf.DUMMYFUNCTION("""COMPUTED_VALUE"""),0.3431712962956226)</f>
        <v>0.3431712963</v>
      </c>
      <c r="D15111" s="4">
        <f>IFERROR(__xludf.DUMMYFUNCTION("""COMPUTED_VALUE"""),12.842663)</f>
        <v>12.842663</v>
      </c>
      <c r="E15111" s="4">
        <f>IFERROR(__xludf.DUMMYFUNCTION("""COMPUTED_VALUE"""),80.058138)</f>
        <v>80.058138</v>
      </c>
      <c r="F15111" s="4">
        <f>IFERROR(__xludf.DUMMYFUNCTION("""COMPUTED_VALUE"""),2846.0)</f>
        <v>2846</v>
      </c>
      <c r="G15111" s="4">
        <f>IFERROR(__xludf.DUMMYFUNCTION("""COMPUTED_VALUE"""),43.0)</f>
        <v>43</v>
      </c>
      <c r="H15111" s="4"/>
      <c r="I15111" s="4"/>
    </row>
    <row r="15112">
      <c r="A15112" s="4" t="str">
        <f>IFERROR(__xludf.DUMMYFUNCTION("""COMPUTED_VALUE"""),"cas_hmw")</f>
        <v>cas_hmw</v>
      </c>
      <c r="B15112" s="5">
        <f>IFERROR(__xludf.DUMMYFUNCTION("""COMPUTED_VALUE"""),44728.0)</f>
        <v>44728</v>
      </c>
      <c r="C15112" s="6">
        <f>IFERROR(__xludf.DUMMYFUNCTION("""COMPUTED_VALUE"""),0.34328703703795327)</f>
        <v>0.343287037</v>
      </c>
      <c r="D15112" s="4">
        <f>IFERROR(__xludf.DUMMYFUNCTION("""COMPUTED_VALUE"""),12.90879)</f>
        <v>12.90879</v>
      </c>
      <c r="E15112" s="4">
        <f>IFERROR(__xludf.DUMMYFUNCTION("""COMPUTED_VALUE"""),80.098516)</f>
        <v>80.098516</v>
      </c>
      <c r="F15112" s="4">
        <f>IFERROR(__xludf.DUMMYFUNCTION("""COMPUTED_VALUE"""),5339.0)</f>
        <v>5339</v>
      </c>
      <c r="G15112" s="4">
        <f>IFERROR(__xludf.DUMMYFUNCTION("""COMPUTED_VALUE"""),30.0)</f>
        <v>30</v>
      </c>
      <c r="H15112" s="4"/>
      <c r="I15112" s="4"/>
    </row>
    <row r="15113">
      <c r="A15113" s="4" t="str">
        <f>IFERROR(__xludf.DUMMYFUNCTION("""COMPUTED_VALUE"""),"cas_hmw")</f>
        <v>cas_hmw</v>
      </c>
      <c r="B15113" s="5">
        <f>IFERROR(__xludf.DUMMYFUNCTION("""COMPUTED_VALUE"""),44728.0)</f>
        <v>44728</v>
      </c>
      <c r="C15113" s="6">
        <f>IFERROR(__xludf.DUMMYFUNCTION("""COMPUTED_VALUE"""),0.3435995370382443)</f>
        <v>0.343599537</v>
      </c>
      <c r="D15113" s="4">
        <f>IFERROR(__xludf.DUMMYFUNCTION("""COMPUTED_VALUE"""),12.907562)</f>
        <v>12.907562</v>
      </c>
      <c r="E15113" s="4">
        <f>IFERROR(__xludf.DUMMYFUNCTION("""COMPUTED_VALUE"""),80.09736)</f>
        <v>80.09736</v>
      </c>
      <c r="F15113" s="4">
        <f>IFERROR(__xludf.DUMMYFUNCTION("""COMPUTED_VALUE"""),5339.0)</f>
        <v>5339</v>
      </c>
      <c r="G15113" s="4">
        <f>IFERROR(__xludf.DUMMYFUNCTION("""COMPUTED_VALUE"""),30.0)</f>
        <v>30</v>
      </c>
      <c r="H15113" s="4"/>
      <c r="I15113" s="4"/>
    </row>
    <row r="15114">
      <c r="A15114" s="4" t="str">
        <f>IFERROR(__xludf.DUMMYFUNCTION("""COMPUTED_VALUE"""),"cas_hmw")</f>
        <v>cas_hmw</v>
      </c>
      <c r="B15114" s="5">
        <f>IFERROR(__xludf.DUMMYFUNCTION("""COMPUTED_VALUE"""),44728.0)</f>
        <v>44728</v>
      </c>
      <c r="C15114" s="6">
        <f>IFERROR(__xludf.DUMMYFUNCTION("""COMPUTED_VALUE"""),0.34362268518452765)</f>
        <v>0.3436226852</v>
      </c>
      <c r="D15114" s="4">
        <f>IFERROR(__xludf.DUMMYFUNCTION("""COMPUTED_VALUE"""),12.94105)</f>
        <v>12.94105</v>
      </c>
      <c r="E15114" s="4">
        <f>IFERROR(__xludf.DUMMYFUNCTION("""COMPUTED_VALUE"""),80.131674)</f>
        <v>80.131674</v>
      </c>
      <c r="F15114" s="4">
        <f>IFERROR(__xludf.DUMMYFUNCTION("""COMPUTED_VALUE"""),805.0)</f>
        <v>805</v>
      </c>
      <c r="G15114" s="4">
        <f>IFERROR(__xludf.DUMMYFUNCTION("""COMPUTED_VALUE"""),46.0)</f>
        <v>46</v>
      </c>
      <c r="H15114" s="4"/>
      <c r="I15114" s="4"/>
    </row>
    <row r="15115">
      <c r="A15115" s="4" t="str">
        <f>IFERROR(__xludf.DUMMYFUNCTION("""COMPUTED_VALUE"""),"cas_hmw")</f>
        <v>cas_hmw</v>
      </c>
      <c r="B15115" s="5">
        <f>IFERROR(__xludf.DUMMYFUNCTION("""COMPUTED_VALUE"""),44728.0)</f>
        <v>44728</v>
      </c>
      <c r="C15115" s="6">
        <f>IFERROR(__xludf.DUMMYFUNCTION("""COMPUTED_VALUE"""),0.343645833334449)</f>
        <v>0.3436458333</v>
      </c>
      <c r="D15115" s="4">
        <f>IFERROR(__xludf.DUMMYFUNCTION("""COMPUTED_VALUE"""),12.906942)</f>
        <v>12.906942</v>
      </c>
      <c r="E15115" s="4">
        <f>IFERROR(__xludf.DUMMYFUNCTION("""COMPUTED_VALUE"""),80.096887)</f>
        <v>80.096887</v>
      </c>
      <c r="F15115" s="4">
        <f>IFERROR(__xludf.DUMMYFUNCTION("""COMPUTED_VALUE"""),5339.0)</f>
        <v>5339</v>
      </c>
      <c r="G15115" s="4">
        <f>IFERROR(__xludf.DUMMYFUNCTION("""COMPUTED_VALUE"""),31.0)</f>
        <v>31</v>
      </c>
      <c r="H15115" s="4"/>
      <c r="I15115" s="4"/>
    </row>
    <row r="15116">
      <c r="A15116" s="4" t="str">
        <f>IFERROR(__xludf.DUMMYFUNCTION("""COMPUTED_VALUE"""),"cas_hmw")</f>
        <v>cas_hmw</v>
      </c>
      <c r="B15116" s="5">
        <f>IFERROR(__xludf.DUMMYFUNCTION("""COMPUTED_VALUE"""),44728.0)</f>
        <v>44728</v>
      </c>
      <c r="C15116" s="6">
        <f>IFERROR(__xludf.DUMMYFUNCTION("""COMPUTED_VALUE"""),0.343680555553874)</f>
        <v>0.3436805556</v>
      </c>
      <c r="D15116" s="4">
        <f>IFERROR(__xludf.DUMMYFUNCTION("""COMPUTED_VALUE"""),12.906942)</f>
        <v>12.906942</v>
      </c>
      <c r="E15116" s="4">
        <f>IFERROR(__xludf.DUMMYFUNCTION("""COMPUTED_VALUE"""),80.096887)</f>
        <v>80.096887</v>
      </c>
      <c r="F15116" s="4">
        <f>IFERROR(__xludf.DUMMYFUNCTION("""COMPUTED_VALUE"""),5339.0)</f>
        <v>5339</v>
      </c>
      <c r="G15116" s="4">
        <f>IFERROR(__xludf.DUMMYFUNCTION("""COMPUTED_VALUE"""),31.0)</f>
        <v>31</v>
      </c>
      <c r="H15116" s="4"/>
      <c r="I15116" s="4"/>
    </row>
    <row r="15117">
      <c r="A15117" s="4" t="str">
        <f>IFERROR(__xludf.DUMMYFUNCTION("""COMPUTED_VALUE"""),"cas_hmw")</f>
        <v>cas_hmw</v>
      </c>
      <c r="B15117" s="5">
        <f>IFERROR(__xludf.DUMMYFUNCTION("""COMPUTED_VALUE"""),44728.0)</f>
        <v>44728</v>
      </c>
      <c r="C15117" s="6">
        <f>IFERROR(__xludf.DUMMYFUNCTION("""COMPUTED_VALUE"""),0.34369212963065365)</f>
        <v>0.3436921296</v>
      </c>
      <c r="D15117" s="4">
        <f>IFERROR(__xludf.DUMMYFUNCTION("""COMPUTED_VALUE"""),12.906942)</f>
        <v>12.906942</v>
      </c>
      <c r="E15117" s="4">
        <f>IFERROR(__xludf.DUMMYFUNCTION("""COMPUTED_VALUE"""),80.096887)</f>
        <v>80.096887</v>
      </c>
      <c r="F15117" s="4">
        <f>IFERROR(__xludf.DUMMYFUNCTION("""COMPUTED_VALUE"""),5339.0)</f>
        <v>5339</v>
      </c>
      <c r="G15117" s="4">
        <f>IFERROR(__xludf.DUMMYFUNCTION("""COMPUTED_VALUE"""),31.0)</f>
        <v>31</v>
      </c>
      <c r="H15117" s="4"/>
      <c r="I15117" s="4"/>
    </row>
    <row r="15118">
      <c r="A15118" s="4" t="str">
        <f>IFERROR(__xludf.DUMMYFUNCTION("""COMPUTED_VALUE"""),"cas_hmw")</f>
        <v>cas_hmw</v>
      </c>
      <c r="B15118" s="5">
        <f>IFERROR(__xludf.DUMMYFUNCTION("""COMPUTED_VALUE"""),44728.0)</f>
        <v>44728</v>
      </c>
      <c r="C15118" s="6">
        <f>IFERROR(__xludf.DUMMYFUNCTION("""COMPUTED_VALUE"""),0.343854166665551)</f>
        <v>0.3438541667</v>
      </c>
      <c r="D15118" s="4">
        <f>IFERROR(__xludf.DUMMYFUNCTION("""COMPUTED_VALUE"""),12.939549)</f>
        <v>12.939549</v>
      </c>
      <c r="E15118" s="4">
        <f>IFERROR(__xludf.DUMMYFUNCTION("""COMPUTED_VALUE"""),80.130122)</f>
        <v>80.130122</v>
      </c>
      <c r="F15118" s="4">
        <f>IFERROR(__xludf.DUMMYFUNCTION("""COMPUTED_VALUE"""),805.0)</f>
        <v>805</v>
      </c>
      <c r="G15118" s="4">
        <f>IFERROR(__xludf.DUMMYFUNCTION("""COMPUTED_VALUE"""),38.0)</f>
        <v>38</v>
      </c>
      <c r="H15118" s="4"/>
      <c r="I15118" s="4"/>
    </row>
    <row r="15119">
      <c r="A15119" s="4" t="str">
        <f>IFERROR(__xludf.DUMMYFUNCTION("""COMPUTED_VALUE"""),"cas_hmw")</f>
        <v>cas_hmw</v>
      </c>
      <c r="B15119" s="5">
        <f>IFERROR(__xludf.DUMMYFUNCTION("""COMPUTED_VALUE"""),44728.0)</f>
        <v>44728</v>
      </c>
      <c r="C15119" s="6">
        <f>IFERROR(__xludf.DUMMYFUNCTION("""COMPUTED_VALUE"""),0.3446180555547471)</f>
        <v>0.3446180556</v>
      </c>
      <c r="D15119" s="4">
        <f>IFERROR(__xludf.DUMMYFUNCTION("""COMPUTED_VALUE"""),12.93569)</f>
        <v>12.93569</v>
      </c>
      <c r="E15119" s="4">
        <f>IFERROR(__xludf.DUMMYFUNCTION("""COMPUTED_VALUE"""),80.12684)</f>
        <v>80.12684</v>
      </c>
      <c r="F15119" s="4">
        <f>IFERROR(__xludf.DUMMYFUNCTION("""COMPUTED_VALUE"""),805.0)</f>
        <v>805</v>
      </c>
      <c r="G15119" s="4">
        <f>IFERROR(__xludf.DUMMYFUNCTION("""COMPUTED_VALUE"""),30.0)</f>
        <v>30</v>
      </c>
      <c r="H15119" s="4"/>
      <c r="I15119" s="4"/>
    </row>
    <row r="15120">
      <c r="A15120" s="4" t="str">
        <f>IFERROR(__xludf.DUMMYFUNCTION("""COMPUTED_VALUE"""),"cas_hmw")</f>
        <v>cas_hmw</v>
      </c>
      <c r="B15120" s="5">
        <f>IFERROR(__xludf.DUMMYFUNCTION("""COMPUTED_VALUE"""),44728.0)</f>
        <v>44728</v>
      </c>
      <c r="C15120" s="6">
        <f>IFERROR(__xludf.DUMMYFUNCTION("""COMPUTED_VALUE"""),0.3448379629626288)</f>
        <v>0.344837963</v>
      </c>
      <c r="D15120" s="4">
        <f>IFERROR(__xludf.DUMMYFUNCTION("""COMPUTED_VALUE"""),12.934281)</f>
        <v>12.934281</v>
      </c>
      <c r="E15120" s="4">
        <f>IFERROR(__xludf.DUMMYFUNCTION("""COMPUTED_VALUE"""),80.125529)</f>
        <v>80.125529</v>
      </c>
      <c r="F15120" s="4">
        <f>IFERROR(__xludf.DUMMYFUNCTION("""COMPUTED_VALUE"""),805.0)</f>
        <v>805</v>
      </c>
      <c r="G15120" s="4">
        <f>IFERROR(__xludf.DUMMYFUNCTION("""COMPUTED_VALUE"""),46.0)</f>
        <v>46</v>
      </c>
      <c r="H15120" s="4"/>
      <c r="I15120" s="4"/>
    </row>
    <row r="15121">
      <c r="A15121" s="4" t="str">
        <f>IFERROR(__xludf.DUMMYFUNCTION("""COMPUTED_VALUE"""),"cas_hmw")</f>
        <v>cas_hmw</v>
      </c>
      <c r="B15121" s="5">
        <f>IFERROR(__xludf.DUMMYFUNCTION("""COMPUTED_VALUE"""),44728.0)</f>
        <v>44728</v>
      </c>
      <c r="C15121" s="6">
        <f>IFERROR(__xludf.DUMMYFUNCTION("""COMPUTED_VALUE"""),0.3448842592588335)</f>
        <v>0.3448842593</v>
      </c>
      <c r="D15121" s="4">
        <f>IFERROR(__xludf.DUMMYFUNCTION("""COMPUTED_VALUE"""),12.84786)</f>
        <v>12.84786</v>
      </c>
      <c r="E15121" s="4">
        <f>IFERROR(__xludf.DUMMYFUNCTION("""COMPUTED_VALUE"""),80.063065)</f>
        <v>80.063065</v>
      </c>
      <c r="F15121" s="4">
        <f>IFERROR(__xludf.DUMMYFUNCTION("""COMPUTED_VALUE"""),2846.0)</f>
        <v>2846</v>
      </c>
      <c r="G15121" s="4">
        <f>IFERROR(__xludf.DUMMYFUNCTION("""COMPUTED_VALUE"""),43.0)</f>
        <v>43</v>
      </c>
      <c r="H15121" s="4"/>
      <c r="I15121" s="4"/>
    </row>
    <row r="15122">
      <c r="A15122" s="4" t="str">
        <f>IFERROR(__xludf.DUMMYFUNCTION("""COMPUTED_VALUE"""),"cas_hmw")</f>
        <v>cas_hmw</v>
      </c>
      <c r="B15122" s="5">
        <f>IFERROR(__xludf.DUMMYFUNCTION("""COMPUTED_VALUE"""),44728.0)</f>
        <v>44728</v>
      </c>
      <c r="C15122" s="6">
        <f>IFERROR(__xludf.DUMMYFUNCTION("""COMPUTED_VALUE"""),0.3449074074087548)</f>
        <v>0.3449074074</v>
      </c>
      <c r="D15122" s="4">
        <f>IFERROR(__xludf.DUMMYFUNCTION("""COMPUTED_VALUE"""),12.934281)</f>
        <v>12.934281</v>
      </c>
      <c r="E15122" s="4">
        <f>IFERROR(__xludf.DUMMYFUNCTION("""COMPUTED_VALUE"""),80.125529)</f>
        <v>80.125529</v>
      </c>
      <c r="F15122" s="4">
        <f>IFERROR(__xludf.DUMMYFUNCTION("""COMPUTED_VALUE"""),805.0)</f>
        <v>805</v>
      </c>
      <c r="G15122" s="4">
        <f>IFERROR(__xludf.DUMMYFUNCTION("""COMPUTED_VALUE"""),46.0)</f>
        <v>46</v>
      </c>
      <c r="H15122" s="4"/>
      <c r="I15122" s="4"/>
    </row>
    <row r="15123">
      <c r="A15123" s="4" t="str">
        <f>IFERROR(__xludf.DUMMYFUNCTION("""COMPUTED_VALUE"""),"cas_hmw")</f>
        <v>cas_hmw</v>
      </c>
      <c r="B15123" s="5">
        <f>IFERROR(__xludf.DUMMYFUNCTION("""COMPUTED_VALUE"""),44728.0)</f>
        <v>44728</v>
      </c>
      <c r="C15123" s="6">
        <f>IFERROR(__xludf.DUMMYFUNCTION("""COMPUTED_VALUE"""),0.3450578703705105)</f>
        <v>0.3450578704</v>
      </c>
      <c r="D15123" s="4">
        <f>IFERROR(__xludf.DUMMYFUNCTION("""COMPUTED_VALUE"""),12.932448)</f>
        <v>12.932448</v>
      </c>
      <c r="E15123" s="4">
        <f>IFERROR(__xludf.DUMMYFUNCTION("""COMPUTED_VALUE"""),80.123707)</f>
        <v>80.123707</v>
      </c>
      <c r="F15123" s="4">
        <f>IFERROR(__xludf.DUMMYFUNCTION("""COMPUTED_VALUE"""),805.0)</f>
        <v>805</v>
      </c>
      <c r="G15123" s="4">
        <f>IFERROR(__xludf.DUMMYFUNCTION("""COMPUTED_VALUE"""),50.0)</f>
        <v>50</v>
      </c>
      <c r="H15123" s="4"/>
      <c r="I15123" s="4"/>
    </row>
    <row r="15124">
      <c r="A15124" s="4" t="str">
        <f>IFERROR(__xludf.DUMMYFUNCTION("""COMPUTED_VALUE"""),"cas_hmw")</f>
        <v>cas_hmw</v>
      </c>
      <c r="B15124" s="5">
        <f>IFERROR(__xludf.DUMMYFUNCTION("""COMPUTED_VALUE"""),44728.0)</f>
        <v>44728</v>
      </c>
      <c r="C15124" s="6">
        <f>IFERROR(__xludf.DUMMYFUNCTION("""COMPUTED_VALUE"""),0.34515046296291985)</f>
        <v>0.345150463</v>
      </c>
      <c r="D15124" s="4">
        <f>IFERROR(__xludf.DUMMYFUNCTION("""COMPUTED_VALUE"""),12.931636)</f>
        <v>12.931636</v>
      </c>
      <c r="E15124" s="4">
        <f>IFERROR(__xludf.DUMMYFUNCTION("""COMPUTED_VALUE"""),80.122873)</f>
        <v>80.122873</v>
      </c>
      <c r="F15124" s="4">
        <f>IFERROR(__xludf.DUMMYFUNCTION("""COMPUTED_VALUE"""),805.0)</f>
        <v>805</v>
      </c>
      <c r="G15124" s="4">
        <f>IFERROR(__xludf.DUMMYFUNCTION("""COMPUTED_VALUE"""),46.0)</f>
        <v>46</v>
      </c>
      <c r="H15124" s="4"/>
      <c r="I15124" s="4"/>
    </row>
    <row r="15125">
      <c r="A15125" s="4" t="str">
        <f>IFERROR(__xludf.DUMMYFUNCTION("""COMPUTED_VALUE"""),"cas_hmw")</f>
        <v>cas_hmw</v>
      </c>
      <c r="B15125" s="5">
        <f>IFERROR(__xludf.DUMMYFUNCTION("""COMPUTED_VALUE"""),44728.0)</f>
        <v>44728</v>
      </c>
      <c r="C15125" s="6">
        <f>IFERROR(__xludf.DUMMYFUNCTION("""COMPUTED_VALUE"""),0.3451967592591245)</f>
        <v>0.3451967593</v>
      </c>
      <c r="D15125" s="4">
        <f>IFERROR(__xludf.DUMMYFUNCTION("""COMPUTED_VALUE"""),12.931636)</f>
        <v>12.931636</v>
      </c>
      <c r="E15125" s="4">
        <f>IFERROR(__xludf.DUMMYFUNCTION("""COMPUTED_VALUE"""),80.122873)</f>
        <v>80.122873</v>
      </c>
      <c r="F15125" s="4">
        <f>IFERROR(__xludf.DUMMYFUNCTION("""COMPUTED_VALUE"""),805.0)</f>
        <v>805</v>
      </c>
      <c r="G15125" s="4">
        <f>IFERROR(__xludf.DUMMYFUNCTION("""COMPUTED_VALUE"""),46.0)</f>
        <v>46</v>
      </c>
      <c r="H15125" s="4"/>
      <c r="I15125" s="4"/>
    </row>
    <row r="15126">
      <c r="A15126" s="4" t="str">
        <f>IFERROR(__xludf.DUMMYFUNCTION("""COMPUTED_VALUE"""),"cas_hmw")</f>
        <v>cas_hmw</v>
      </c>
      <c r="B15126" s="5">
        <f>IFERROR(__xludf.DUMMYFUNCTION("""COMPUTED_VALUE"""),44728.0)</f>
        <v>44728</v>
      </c>
      <c r="C15126" s="6">
        <f>IFERROR(__xludf.DUMMYFUNCTION("""COMPUTED_VALUE"""),0.34548611110949423)</f>
        <v>0.3454861111</v>
      </c>
      <c r="D15126" s="4">
        <f>IFERROR(__xludf.DUMMYFUNCTION("""COMPUTED_VALUE"""),12.930061)</f>
        <v>12.930061</v>
      </c>
      <c r="E15126" s="4">
        <f>IFERROR(__xludf.DUMMYFUNCTION("""COMPUTED_VALUE"""),80.121347)</f>
        <v>80.121347</v>
      </c>
      <c r="F15126" s="4">
        <f>IFERROR(__xludf.DUMMYFUNCTION("""COMPUTED_VALUE"""),805.0)</f>
        <v>805</v>
      </c>
      <c r="G15126" s="4">
        <f>IFERROR(__xludf.DUMMYFUNCTION("""COMPUTED_VALUE"""),25.0)</f>
        <v>25</v>
      </c>
      <c r="H15126" s="4"/>
      <c r="I15126" s="4"/>
    </row>
    <row r="15127">
      <c r="A15127" s="4" t="str">
        <f>IFERROR(__xludf.DUMMYFUNCTION("""COMPUTED_VALUE"""),"cas_hmw")</f>
        <v>cas_hmw</v>
      </c>
      <c r="B15127" s="5">
        <f>IFERROR(__xludf.DUMMYFUNCTION("""COMPUTED_VALUE"""),44728.0)</f>
        <v>44728</v>
      </c>
      <c r="C15127" s="6">
        <f>IFERROR(__xludf.DUMMYFUNCTION("""COMPUTED_VALUE"""),0.34569444444423425)</f>
        <v>0.3456944444</v>
      </c>
      <c r="D15127" s="4">
        <f>IFERROR(__xludf.DUMMYFUNCTION("""COMPUTED_VALUE"""),12.852171)</f>
        <v>12.852171</v>
      </c>
      <c r="E15127" s="4">
        <f>IFERROR(__xludf.DUMMYFUNCTION("""COMPUTED_VALUE"""),80.066215)</f>
        <v>80.066215</v>
      </c>
      <c r="F15127" s="4">
        <f>IFERROR(__xludf.DUMMYFUNCTION("""COMPUTED_VALUE"""),2846.0)</f>
        <v>2846</v>
      </c>
      <c r="G15127" s="4">
        <f>IFERROR(__xludf.DUMMYFUNCTION("""COMPUTED_VALUE"""),36.0)</f>
        <v>36</v>
      </c>
      <c r="H15127" s="4"/>
      <c r="I15127" s="4"/>
    </row>
    <row r="15128">
      <c r="A15128" s="4" t="str">
        <f>IFERROR(__xludf.DUMMYFUNCTION("""COMPUTED_VALUE"""),"cas_hmw")</f>
        <v>cas_hmw</v>
      </c>
      <c r="B15128" s="5">
        <f>IFERROR(__xludf.DUMMYFUNCTION("""COMPUTED_VALUE"""),44728.0)</f>
        <v>44728</v>
      </c>
      <c r="C15128" s="6">
        <f>IFERROR(__xludf.DUMMYFUNCTION("""COMPUTED_VALUE"""),0.3458101851865649)</f>
        <v>0.3458101852</v>
      </c>
      <c r="D15128" s="4">
        <f>IFERROR(__xludf.DUMMYFUNCTION("""COMPUTED_VALUE"""),12.893302)</f>
        <v>12.893302</v>
      </c>
      <c r="E15128" s="4">
        <f>IFERROR(__xludf.DUMMYFUNCTION("""COMPUTED_VALUE"""),80.086471)</f>
        <v>80.086471</v>
      </c>
      <c r="F15128" s="4">
        <f>IFERROR(__xludf.DUMMYFUNCTION("""COMPUTED_VALUE"""),5339.0)</f>
        <v>5339</v>
      </c>
      <c r="G15128" s="4">
        <f>IFERROR(__xludf.DUMMYFUNCTION("""COMPUTED_VALUE"""),57.0)</f>
        <v>57</v>
      </c>
      <c r="H15128" s="4"/>
      <c r="I15128" s="4"/>
    </row>
    <row r="15129">
      <c r="A15129" s="4" t="str">
        <f>IFERROR(__xludf.DUMMYFUNCTION("""COMPUTED_VALUE"""),"cas_hmw")</f>
        <v>cas_hmw</v>
      </c>
      <c r="B15129" s="5">
        <f>IFERROR(__xludf.DUMMYFUNCTION("""COMPUTED_VALUE"""),44728.0)</f>
        <v>44728</v>
      </c>
      <c r="C15129" s="6">
        <f>IFERROR(__xludf.DUMMYFUNCTION("""COMPUTED_VALUE"""),0.34586805555591127)</f>
        <v>0.3458680556</v>
      </c>
      <c r="D15129" s="4">
        <f>IFERROR(__xludf.DUMMYFUNCTION("""COMPUTED_VALUE"""),12.927788)</f>
        <v>12.927788</v>
      </c>
      <c r="E15129" s="4">
        <f>IFERROR(__xludf.DUMMYFUNCTION("""COMPUTED_VALUE"""),80.118953)</f>
        <v>80.118953</v>
      </c>
      <c r="F15129" s="4">
        <f>IFERROR(__xludf.DUMMYFUNCTION("""COMPUTED_VALUE"""),805.0)</f>
        <v>805</v>
      </c>
      <c r="G15129" s="4">
        <f>IFERROR(__xludf.DUMMYFUNCTION("""COMPUTED_VALUE"""),41.0)</f>
        <v>41</v>
      </c>
      <c r="H15129" s="4"/>
      <c r="I15129" s="4"/>
    </row>
    <row r="15130">
      <c r="A15130" s="4" t="str">
        <f>IFERROR(__xludf.DUMMYFUNCTION("""COMPUTED_VALUE"""),"cas_hmw")</f>
        <v>cas_hmw</v>
      </c>
      <c r="B15130" s="5">
        <f>IFERROR(__xludf.DUMMYFUNCTION("""COMPUTED_VALUE"""),44728.0)</f>
        <v>44728</v>
      </c>
      <c r="C15130" s="6">
        <f>IFERROR(__xludf.DUMMYFUNCTION("""COMPUTED_VALUE"""),0.3465856481489027)</f>
        <v>0.3465856481</v>
      </c>
      <c r="D15130" s="4">
        <f>IFERROR(__xludf.DUMMYFUNCTION("""COMPUTED_VALUE"""),12.884185)</f>
        <v>12.884185</v>
      </c>
      <c r="E15130" s="4">
        <f>IFERROR(__xludf.DUMMYFUNCTION("""COMPUTED_VALUE"""),80.082256)</f>
        <v>80.082256</v>
      </c>
      <c r="F15130" s="4">
        <f>IFERROR(__xludf.DUMMYFUNCTION("""COMPUTED_VALUE"""),5339.0)</f>
        <v>5339</v>
      </c>
      <c r="G15130" s="4">
        <f>IFERROR(__xludf.DUMMYFUNCTION("""COMPUTED_VALUE"""),50.0)</f>
        <v>50</v>
      </c>
      <c r="H15130" s="4"/>
      <c r="I15130" s="4"/>
    </row>
    <row r="15131">
      <c r="A15131" s="4" t="str">
        <f>IFERROR(__xludf.DUMMYFUNCTION("""COMPUTED_VALUE"""),"cas_hmw")</f>
        <v>cas_hmw</v>
      </c>
      <c r="B15131" s="5">
        <f>IFERROR(__xludf.DUMMYFUNCTION("""COMPUTED_VALUE"""),44728.0)</f>
        <v>44728</v>
      </c>
      <c r="C15131" s="6">
        <f>IFERROR(__xludf.DUMMYFUNCTION("""COMPUTED_VALUE"""),0.3480092592581059)</f>
        <v>0.3480092593</v>
      </c>
      <c r="D15131" s="4">
        <f>IFERROR(__xludf.DUMMYFUNCTION("""COMPUTED_VALUE"""),12.917117)</f>
        <v>12.917117</v>
      </c>
      <c r="E15131" s="4">
        <f>IFERROR(__xludf.DUMMYFUNCTION("""COMPUTED_VALUE"""),80.107387)</f>
        <v>80.107387</v>
      </c>
      <c r="F15131" s="4">
        <f>IFERROR(__xludf.DUMMYFUNCTION("""COMPUTED_VALUE"""),805.0)</f>
        <v>805</v>
      </c>
      <c r="G15131" s="4">
        <f>IFERROR(__xludf.DUMMYFUNCTION("""COMPUTED_VALUE"""),0.0)</f>
        <v>0</v>
      </c>
      <c r="H15131" s="4"/>
      <c r="I15131" s="4"/>
    </row>
    <row r="15132">
      <c r="A15132" s="4" t="str">
        <f>IFERROR(__xludf.DUMMYFUNCTION("""COMPUTED_VALUE"""),"cas_hmw")</f>
        <v>cas_hmw</v>
      </c>
      <c r="B15132" s="5">
        <f>IFERROR(__xludf.DUMMYFUNCTION("""COMPUTED_VALUE"""),44728.0)</f>
        <v>44728</v>
      </c>
      <c r="C15132" s="6">
        <f>IFERROR(__xludf.DUMMYFUNCTION("""COMPUTED_VALUE"""),0.34802083333488554)</f>
        <v>0.3480208333</v>
      </c>
      <c r="D15132" s="4">
        <f>IFERROR(__xludf.DUMMYFUNCTION("""COMPUTED_VALUE"""),12.917117)</f>
        <v>12.917117</v>
      </c>
      <c r="E15132" s="4">
        <f>IFERROR(__xludf.DUMMYFUNCTION("""COMPUTED_VALUE"""),80.107387)</f>
        <v>80.107387</v>
      </c>
      <c r="F15132" s="4">
        <f>IFERROR(__xludf.DUMMYFUNCTION("""COMPUTED_VALUE"""),805.0)</f>
        <v>805</v>
      </c>
      <c r="G15132" s="4">
        <f>IFERROR(__xludf.DUMMYFUNCTION("""COMPUTED_VALUE"""),0.0)</f>
        <v>0</v>
      </c>
      <c r="H15132" s="4"/>
      <c r="I15132" s="4"/>
    </row>
    <row r="15133">
      <c r="A15133" s="4" t="str">
        <f>IFERROR(__xludf.DUMMYFUNCTION("""COMPUTED_VALUE"""),"cas_hmw")</f>
        <v>cas_hmw</v>
      </c>
      <c r="B15133" s="5">
        <f>IFERROR(__xludf.DUMMYFUNCTION("""COMPUTED_VALUE"""),44728.0)</f>
        <v>44728</v>
      </c>
      <c r="C15133" s="6">
        <f>IFERROR(__xludf.DUMMYFUNCTION("""COMPUTED_VALUE"""),0.34812500000043656)</f>
        <v>0.348125</v>
      </c>
      <c r="D15133" s="4">
        <f>IFERROR(__xludf.DUMMYFUNCTION("""COMPUTED_VALUE"""),12.870621)</f>
        <v>12.870621</v>
      </c>
      <c r="E15133" s="4">
        <f>IFERROR(__xludf.DUMMYFUNCTION("""COMPUTED_VALUE"""),80.076672)</f>
        <v>80.076672</v>
      </c>
      <c r="F15133" s="4">
        <f>IFERROR(__xludf.DUMMYFUNCTION("""COMPUTED_VALUE"""),2846.0)</f>
        <v>2846</v>
      </c>
      <c r="G15133" s="4">
        <f>IFERROR(__xludf.DUMMYFUNCTION("""COMPUTED_VALUE"""),39.0)</f>
        <v>39</v>
      </c>
      <c r="H15133" s="4"/>
      <c r="I15133" s="4"/>
    </row>
    <row r="15134">
      <c r="A15134" s="4" t="str">
        <f>IFERROR(__xludf.DUMMYFUNCTION("""COMPUTED_VALUE"""),"cas_hmw")</f>
        <v>cas_hmw</v>
      </c>
      <c r="B15134" s="5">
        <f>IFERROR(__xludf.DUMMYFUNCTION("""COMPUTED_VALUE"""),44728.0)</f>
        <v>44728</v>
      </c>
      <c r="C15134" s="6">
        <f>IFERROR(__xludf.DUMMYFUNCTION("""COMPUTED_VALUE"""),0.3484027777776646)</f>
        <v>0.3484027778</v>
      </c>
      <c r="D15134" s="4">
        <f>IFERROR(__xludf.DUMMYFUNCTION("""COMPUTED_VALUE"""),12.872418)</f>
        <v>12.872418</v>
      </c>
      <c r="E15134" s="4">
        <f>IFERROR(__xludf.DUMMYFUNCTION("""COMPUTED_VALUE"""),80.077362)</f>
        <v>80.077362</v>
      </c>
      <c r="F15134" s="4">
        <f>IFERROR(__xludf.DUMMYFUNCTION("""COMPUTED_VALUE"""),2846.0)</f>
        <v>2846</v>
      </c>
      <c r="G15134" s="4">
        <f>IFERROR(__xludf.DUMMYFUNCTION("""COMPUTED_VALUE"""),44.0)</f>
        <v>44</v>
      </c>
      <c r="H15134" s="4"/>
      <c r="I15134" s="4"/>
    </row>
    <row r="15135">
      <c r="A15135" s="4" t="str">
        <f>IFERROR(__xludf.DUMMYFUNCTION("""COMPUTED_VALUE"""),"cas_hmw")</f>
        <v>cas_hmw</v>
      </c>
      <c r="B15135" s="5">
        <f>IFERROR(__xludf.DUMMYFUNCTION("""COMPUTED_VALUE"""),44728.0)</f>
        <v>44728</v>
      </c>
      <c r="C15135" s="6">
        <f>IFERROR(__xludf.DUMMYFUNCTION("""COMPUTED_VALUE"""),0.34851851851999527)</f>
        <v>0.3485185185</v>
      </c>
      <c r="D15135" s="4">
        <f>IFERROR(__xludf.DUMMYFUNCTION("""COMPUTED_VALUE"""),12.873523)</f>
        <v>12.873523</v>
      </c>
      <c r="E15135" s="4">
        <f>IFERROR(__xludf.DUMMYFUNCTION("""COMPUTED_VALUE"""),80.077788)</f>
        <v>80.077788</v>
      </c>
      <c r="F15135" s="4">
        <f>IFERROR(__xludf.DUMMYFUNCTION("""COMPUTED_VALUE"""),2846.0)</f>
        <v>2846</v>
      </c>
      <c r="G15135" s="4">
        <f>IFERROR(__xludf.DUMMYFUNCTION("""COMPUTED_VALUE"""),43.0)</f>
        <v>43</v>
      </c>
      <c r="H15135" s="4"/>
      <c r="I15135" s="4"/>
    </row>
    <row r="15136">
      <c r="A15136" s="4" t="str">
        <f>IFERROR(__xludf.DUMMYFUNCTION("""COMPUTED_VALUE"""),"cas_hmw")</f>
        <v>cas_hmw</v>
      </c>
      <c r="B15136" s="5">
        <f>IFERROR(__xludf.DUMMYFUNCTION("""COMPUTED_VALUE"""),44728.0)</f>
        <v>44728</v>
      </c>
      <c r="C15136" s="6">
        <f>IFERROR(__xludf.DUMMYFUNCTION("""COMPUTED_VALUE"""),0.34859953703562496)</f>
        <v>0.348599537</v>
      </c>
      <c r="D15136" s="4">
        <f>IFERROR(__xludf.DUMMYFUNCTION("""COMPUTED_VALUE"""),12.914517)</f>
        <v>12.914517</v>
      </c>
      <c r="E15136" s="4">
        <f>IFERROR(__xludf.DUMMYFUNCTION("""COMPUTED_VALUE"""),80.102701)</f>
        <v>80.102701</v>
      </c>
      <c r="F15136" s="4">
        <f>IFERROR(__xludf.DUMMYFUNCTION("""COMPUTED_VALUE"""),805.0)</f>
        <v>805</v>
      </c>
      <c r="G15136" s="4">
        <f>IFERROR(__xludf.DUMMYFUNCTION("""COMPUTED_VALUE"""),55.0)</f>
        <v>55</v>
      </c>
      <c r="H15136" s="4"/>
      <c r="I15136" s="4"/>
    </row>
    <row r="15137">
      <c r="A15137" s="4" t="str">
        <f>IFERROR(__xludf.DUMMYFUNCTION("""COMPUTED_VALUE"""),"cas_hmw")</f>
        <v>cas_hmw</v>
      </c>
      <c r="B15137" s="5">
        <f>IFERROR(__xludf.DUMMYFUNCTION("""COMPUTED_VALUE"""),44728.0)</f>
        <v>44728</v>
      </c>
      <c r="C15137" s="6">
        <f>IFERROR(__xludf.DUMMYFUNCTION("""COMPUTED_VALUE"""),0.34932870370539604)</f>
        <v>0.3493287037</v>
      </c>
      <c r="D15137" s="4">
        <f>IFERROR(__xludf.DUMMYFUNCTION("""COMPUTED_VALUE"""),12.877891)</f>
        <v>12.877891</v>
      </c>
      <c r="E15137" s="4">
        <f>IFERROR(__xludf.DUMMYFUNCTION("""COMPUTED_VALUE"""),80.083865)</f>
        <v>80.083865</v>
      </c>
      <c r="F15137" s="4">
        <f>IFERROR(__xludf.DUMMYFUNCTION("""COMPUTED_VALUE"""),5339.0)</f>
        <v>5339</v>
      </c>
      <c r="G15137" s="4">
        <f>IFERROR(__xludf.DUMMYFUNCTION("""COMPUTED_VALUE"""),44.0)</f>
        <v>44</v>
      </c>
      <c r="H15137" s="4"/>
      <c r="I15137" s="4"/>
    </row>
    <row r="15138">
      <c r="A15138" s="4" t="str">
        <f>IFERROR(__xludf.DUMMYFUNCTION("""COMPUTED_VALUE"""),"cas_hmw")</f>
        <v>cas_hmw</v>
      </c>
      <c r="B15138" s="5">
        <f>IFERROR(__xludf.DUMMYFUNCTION("""COMPUTED_VALUE"""),44728.0)</f>
        <v>44728</v>
      </c>
      <c r="C15138" s="6">
        <f>IFERROR(__xludf.DUMMYFUNCTION("""COMPUTED_VALUE"""),0.3510185185186856)</f>
        <v>0.3510185185</v>
      </c>
      <c r="D15138" s="4">
        <f>IFERROR(__xludf.DUMMYFUNCTION("""COMPUTED_VALUE"""),12.902579)</f>
        <v>12.902579</v>
      </c>
      <c r="E15138" s="4">
        <f>IFERROR(__xludf.DUMMYFUNCTION("""COMPUTED_VALUE"""),80.093416)</f>
        <v>80.093416</v>
      </c>
      <c r="F15138" s="4">
        <f>IFERROR(__xludf.DUMMYFUNCTION("""COMPUTED_VALUE"""),805.0)</f>
        <v>805</v>
      </c>
      <c r="G15138" s="4">
        <f>IFERROR(__xludf.DUMMYFUNCTION("""COMPUTED_VALUE"""),44.0)</f>
        <v>44</v>
      </c>
      <c r="H15138" s="4"/>
      <c r="I15138" s="4"/>
    </row>
    <row r="15139">
      <c r="A15139" s="4" t="str">
        <f>IFERROR(__xludf.DUMMYFUNCTION("""COMPUTED_VALUE"""),"cas_hmw")</f>
        <v>cas_hmw</v>
      </c>
      <c r="B15139" s="5">
        <f>IFERROR(__xludf.DUMMYFUNCTION("""COMPUTED_VALUE"""),44728.0)</f>
        <v>44728</v>
      </c>
      <c r="C15139" s="6">
        <f>IFERROR(__xludf.DUMMYFUNCTION("""COMPUTED_VALUE"""),0.3526620370357705)</f>
        <v>0.352662037</v>
      </c>
      <c r="D15139" s="4">
        <f>IFERROR(__xludf.DUMMYFUNCTION("""COMPUTED_VALUE"""),12.885701)</f>
        <v>12.885701</v>
      </c>
      <c r="E15139" s="4">
        <f>IFERROR(__xludf.DUMMYFUNCTION("""COMPUTED_VALUE"""),80.082819)</f>
        <v>80.082819</v>
      </c>
      <c r="F15139" s="4">
        <f>IFERROR(__xludf.DUMMYFUNCTION("""COMPUTED_VALUE"""),805.0)</f>
        <v>805</v>
      </c>
      <c r="G15139" s="4">
        <f>IFERROR(__xludf.DUMMYFUNCTION("""COMPUTED_VALUE"""),56.0)</f>
        <v>56</v>
      </c>
      <c r="H15139" s="4"/>
      <c r="I15139" s="4"/>
    </row>
    <row r="15140">
      <c r="A15140" s="4" t="str">
        <f>IFERROR(__xludf.DUMMYFUNCTION("""COMPUTED_VALUE"""),"cas_hmw")</f>
        <v>cas_hmw</v>
      </c>
      <c r="B15140" s="5">
        <f>IFERROR(__xludf.DUMMYFUNCTION("""COMPUTED_VALUE"""),44728.0)</f>
        <v>44728</v>
      </c>
      <c r="C15140" s="6">
        <f>IFERROR(__xludf.DUMMYFUNCTION("""COMPUTED_VALUE"""),0.3526851851856918)</f>
        <v>0.3526851852</v>
      </c>
      <c r="D15140" s="4">
        <f>IFERROR(__xludf.DUMMYFUNCTION("""COMPUTED_VALUE"""),12.885701)</f>
        <v>12.885701</v>
      </c>
      <c r="E15140" s="4">
        <f>IFERROR(__xludf.DUMMYFUNCTION("""COMPUTED_VALUE"""),80.082819)</f>
        <v>80.082819</v>
      </c>
      <c r="F15140" s="4">
        <f>IFERROR(__xludf.DUMMYFUNCTION("""COMPUTED_VALUE"""),805.0)</f>
        <v>805</v>
      </c>
      <c r="G15140" s="4">
        <f>IFERROR(__xludf.DUMMYFUNCTION("""COMPUTED_VALUE"""),56.0)</f>
        <v>56</v>
      </c>
      <c r="H15140" s="4"/>
      <c r="I15140" s="4"/>
    </row>
    <row r="15141">
      <c r="A15141" s="4" t="str">
        <f>IFERROR(__xludf.DUMMYFUNCTION("""COMPUTED_VALUE"""),"cas_hmw")</f>
        <v>cas_hmw</v>
      </c>
      <c r="B15141" s="5">
        <f>IFERROR(__xludf.DUMMYFUNCTION("""COMPUTED_VALUE"""),44728.0)</f>
        <v>44728</v>
      </c>
      <c r="C15141" s="6">
        <f>IFERROR(__xludf.DUMMYFUNCTION("""COMPUTED_VALUE"""),0.3529050925935735)</f>
        <v>0.3529050926</v>
      </c>
      <c r="D15141" s="4">
        <f>IFERROR(__xludf.DUMMYFUNCTION("""COMPUTED_VALUE"""),12.883515)</f>
        <v>12.883515</v>
      </c>
      <c r="E15141" s="4">
        <f>IFERROR(__xludf.DUMMYFUNCTION("""COMPUTED_VALUE"""),80.082083)</f>
        <v>80.082083</v>
      </c>
      <c r="F15141" s="4">
        <f>IFERROR(__xludf.DUMMYFUNCTION("""COMPUTED_VALUE"""),805.0)</f>
        <v>805</v>
      </c>
      <c r="G15141" s="4">
        <f>IFERROR(__xludf.DUMMYFUNCTION("""COMPUTED_VALUE"""),47.0)</f>
        <v>47</v>
      </c>
      <c r="H15141" s="4"/>
      <c r="I15141" s="4"/>
    </row>
    <row r="15142">
      <c r="A15142" s="4" t="str">
        <f>IFERROR(__xludf.DUMMYFUNCTION("""COMPUTED_VALUE"""),"cas_hmw")</f>
        <v>cas_hmw</v>
      </c>
      <c r="B15142" s="5">
        <f>IFERROR(__xludf.DUMMYFUNCTION("""COMPUTED_VALUE"""),44728.0)</f>
        <v>44728</v>
      </c>
      <c r="C15142" s="6">
        <f>IFERROR(__xludf.DUMMYFUNCTION("""COMPUTED_VALUE"""),0.3529166666667152)</f>
        <v>0.3529166667</v>
      </c>
      <c r="D15142" s="4">
        <f>IFERROR(__xludf.DUMMYFUNCTION("""COMPUTED_VALUE"""),12.883515)</f>
        <v>12.883515</v>
      </c>
      <c r="E15142" s="4">
        <f>IFERROR(__xludf.DUMMYFUNCTION("""COMPUTED_VALUE"""),80.082083)</f>
        <v>80.082083</v>
      </c>
      <c r="F15142" s="4">
        <f>IFERROR(__xludf.DUMMYFUNCTION("""COMPUTED_VALUE"""),805.0)</f>
        <v>805</v>
      </c>
      <c r="G15142" s="4">
        <f>IFERROR(__xludf.DUMMYFUNCTION("""COMPUTED_VALUE"""),47.0)</f>
        <v>47</v>
      </c>
      <c r="H15142" s="4"/>
      <c r="I15142" s="4"/>
    </row>
    <row r="15143">
      <c r="A15143" s="4" t="str">
        <f>IFERROR(__xludf.DUMMYFUNCTION("""COMPUTED_VALUE"""),"cas_hmw")</f>
        <v>cas_hmw</v>
      </c>
      <c r="B15143" s="5">
        <f>IFERROR(__xludf.DUMMYFUNCTION("""COMPUTED_VALUE"""),44728.0)</f>
        <v>44728</v>
      </c>
      <c r="C15143" s="6">
        <f>IFERROR(__xludf.DUMMYFUNCTION("""COMPUTED_VALUE"""),0.40873842592554865)</f>
        <v>0.4087384259</v>
      </c>
      <c r="D15143" s="4">
        <f>IFERROR(__xludf.DUMMYFUNCTION("""COMPUTED_VALUE"""),12.873337)</f>
        <v>12.873337</v>
      </c>
      <c r="E15143" s="4">
        <f>IFERROR(__xludf.DUMMYFUNCTION("""COMPUTED_VALUE"""),80.093335)</f>
        <v>80.093335</v>
      </c>
      <c r="F15143" s="4">
        <f>IFERROR(__xludf.DUMMYFUNCTION("""COMPUTED_VALUE"""),5339.0)</f>
        <v>5339</v>
      </c>
      <c r="G15143" s="4">
        <f>IFERROR(__xludf.DUMMYFUNCTION("""COMPUTED_VALUE"""),53.0)</f>
        <v>53</v>
      </c>
      <c r="H15143" s="4"/>
      <c r="I15143" s="4"/>
    </row>
    <row r="15144">
      <c r="A15144" s="4" t="str">
        <f>IFERROR(__xludf.DUMMYFUNCTION("""COMPUTED_VALUE"""),"cas_hmw")</f>
        <v>cas_hmw</v>
      </c>
      <c r="B15144" s="5">
        <f>IFERROR(__xludf.DUMMYFUNCTION("""COMPUTED_VALUE"""),44728.0)</f>
        <v>44728</v>
      </c>
      <c r="C15144" s="6">
        <f>IFERROR(__xludf.DUMMYFUNCTION("""COMPUTED_VALUE"""),0.4148611111122591)</f>
        <v>0.4148611111</v>
      </c>
      <c r="D15144" s="4">
        <f>IFERROR(__xludf.DUMMYFUNCTION("""COMPUTED_VALUE"""),12.871214)</f>
        <v>12.871214</v>
      </c>
      <c r="E15144" s="4">
        <f>IFERROR(__xludf.DUMMYFUNCTION("""COMPUTED_VALUE"""),80.10325)</f>
        <v>80.10325</v>
      </c>
      <c r="F15144" s="4">
        <f>IFERROR(__xludf.DUMMYFUNCTION("""COMPUTED_VALUE"""),805.0)</f>
        <v>805</v>
      </c>
      <c r="G15144" s="4">
        <f>IFERROR(__xludf.DUMMYFUNCTION("""COMPUTED_VALUE"""),38.0)</f>
        <v>38</v>
      </c>
      <c r="H15144" s="4"/>
      <c r="I15144" s="4"/>
    </row>
    <row r="15145">
      <c r="A15145" s="4" t="str">
        <f>IFERROR(__xludf.DUMMYFUNCTION("""COMPUTED_VALUE"""),"cas_hmw")</f>
        <v>cas_hmw</v>
      </c>
      <c r="B15145" s="5">
        <f>IFERROR(__xludf.DUMMYFUNCTION("""COMPUTED_VALUE"""),44728.0)</f>
        <v>44728</v>
      </c>
      <c r="C15145" s="6">
        <f>IFERROR(__xludf.DUMMYFUNCTION("""COMPUTED_VALUE"""),0.6050231481494848)</f>
        <v>0.6050231481</v>
      </c>
      <c r="D15145" s="4">
        <f>IFERROR(__xludf.DUMMYFUNCTION("""COMPUTED_VALUE"""),12.872378)</f>
        <v>12.872378</v>
      </c>
      <c r="E15145" s="4">
        <f>IFERROR(__xludf.DUMMYFUNCTION("""COMPUTED_VALUE"""),80.095958)</f>
        <v>80.095958</v>
      </c>
      <c r="F15145" s="4">
        <f>IFERROR(__xludf.DUMMYFUNCTION("""COMPUTED_VALUE"""),805.0)</f>
        <v>805</v>
      </c>
      <c r="G15145" s="4">
        <f>IFERROR(__xludf.DUMMYFUNCTION("""COMPUTED_VALUE"""),50.0)</f>
        <v>50</v>
      </c>
      <c r="H15145" s="4"/>
      <c r="I15145" s="4"/>
    </row>
    <row r="15146">
      <c r="A15146" s="4" t="str">
        <f>IFERROR(__xludf.DUMMYFUNCTION("""COMPUTED_VALUE"""),"cas_hmw")</f>
        <v>cas_hmw</v>
      </c>
      <c r="B15146" s="5">
        <f>IFERROR(__xludf.DUMMYFUNCTION("""COMPUTED_VALUE"""),44728.0)</f>
        <v>44728</v>
      </c>
      <c r="C15146" s="6">
        <f>IFERROR(__xludf.DUMMYFUNCTION("""COMPUTED_VALUE"""),0.6112847222211713)</f>
        <v>0.6112847222</v>
      </c>
      <c r="D15146" s="4">
        <f>IFERROR(__xludf.DUMMYFUNCTION("""COMPUTED_VALUE"""),12.844381)</f>
        <v>12.844381</v>
      </c>
      <c r="E15146" s="4">
        <f>IFERROR(__xludf.DUMMYFUNCTION("""COMPUTED_VALUE"""),80.13869)</f>
        <v>80.13869</v>
      </c>
      <c r="F15146" s="4">
        <f>IFERROR(__xludf.DUMMYFUNCTION("""COMPUTED_VALUE"""),805.0)</f>
        <v>805</v>
      </c>
      <c r="G15146" s="4">
        <f>IFERROR(__xludf.DUMMYFUNCTION("""COMPUTED_VALUE"""),32.0)</f>
        <v>32</v>
      </c>
      <c r="H15146" s="4"/>
      <c r="I15146" s="4"/>
    </row>
    <row r="15147">
      <c r="A15147" s="4" t="str">
        <f>IFERROR(__xludf.DUMMYFUNCTION("""COMPUTED_VALUE"""),"cas_hmw")</f>
        <v>cas_hmw</v>
      </c>
      <c r="B15147" s="5">
        <f>IFERROR(__xludf.DUMMYFUNCTION("""COMPUTED_VALUE"""),44728.0)</f>
        <v>44728</v>
      </c>
      <c r="C15147" s="6">
        <f>IFERROR(__xludf.DUMMYFUNCTION("""COMPUTED_VALUE"""),0.6130208333343035)</f>
        <v>0.6130208333</v>
      </c>
      <c r="D15147" s="4">
        <f>IFERROR(__xludf.DUMMYFUNCTION("""COMPUTED_VALUE"""),12.833236)</f>
        <v>12.833236</v>
      </c>
      <c r="E15147" s="4">
        <f>IFERROR(__xludf.DUMMYFUNCTION("""COMPUTED_VALUE"""),80.130948)</f>
        <v>80.130948</v>
      </c>
      <c r="F15147" s="4">
        <f>IFERROR(__xludf.DUMMYFUNCTION("""COMPUTED_VALUE"""),805.0)</f>
        <v>805</v>
      </c>
      <c r="G15147" s="4">
        <f>IFERROR(__xludf.DUMMYFUNCTION("""COMPUTED_VALUE"""),40.0)</f>
        <v>40</v>
      </c>
      <c r="H15147" s="4"/>
      <c r="I15147" s="4"/>
    </row>
    <row r="15148">
      <c r="A15148" s="4" t="str">
        <f>IFERROR(__xludf.DUMMYFUNCTION("""COMPUTED_VALUE"""),"cas_hmw")</f>
        <v>cas_hmw</v>
      </c>
      <c r="B15148" s="5">
        <f>IFERROR(__xludf.DUMMYFUNCTION("""COMPUTED_VALUE"""),44728.0)</f>
        <v>44728</v>
      </c>
      <c r="C15148" s="6">
        <f>IFERROR(__xludf.DUMMYFUNCTION("""COMPUTED_VALUE"""),0.6343055555553292)</f>
        <v>0.6343055556</v>
      </c>
      <c r="D15148" s="4">
        <f>IFERROR(__xludf.DUMMYFUNCTION("""COMPUTED_VALUE"""),12.83991)</f>
        <v>12.83991</v>
      </c>
      <c r="E15148" s="4">
        <f>IFERROR(__xludf.DUMMYFUNCTION("""COMPUTED_VALUE"""),80.134576)</f>
        <v>80.134576</v>
      </c>
      <c r="F15148" s="4">
        <f>IFERROR(__xludf.DUMMYFUNCTION("""COMPUTED_VALUE"""),805.0)</f>
        <v>805</v>
      </c>
      <c r="G15148" s="4">
        <f>IFERROR(__xludf.DUMMYFUNCTION("""COMPUTED_VALUE"""),48.0)</f>
        <v>48</v>
      </c>
      <c r="H15148" s="4"/>
      <c r="I15148" s="4"/>
    </row>
    <row r="15149">
      <c r="A15149" s="4" t="str">
        <f>IFERROR(__xludf.DUMMYFUNCTION("""COMPUTED_VALUE"""),"cas_hmw")</f>
        <v>cas_hmw</v>
      </c>
      <c r="B15149" s="5">
        <f>IFERROR(__xludf.DUMMYFUNCTION("""COMPUTED_VALUE"""),44728.0)</f>
        <v>44728</v>
      </c>
      <c r="C15149" s="6">
        <f>IFERROR(__xludf.DUMMYFUNCTION("""COMPUTED_VALUE"""),0.6344444444439432)</f>
        <v>0.6344444444</v>
      </c>
      <c r="D15149" s="4">
        <f>IFERROR(__xludf.DUMMYFUNCTION("""COMPUTED_VALUE"""),12.840945)</f>
        <v>12.840945</v>
      </c>
      <c r="E15149" s="4">
        <f>IFERROR(__xludf.DUMMYFUNCTION("""COMPUTED_VALUE"""),80.136128)</f>
        <v>80.136128</v>
      </c>
      <c r="F15149" s="4">
        <f>IFERROR(__xludf.DUMMYFUNCTION("""COMPUTED_VALUE"""),805.0)</f>
        <v>805</v>
      </c>
      <c r="G15149" s="4">
        <f>IFERROR(__xludf.DUMMYFUNCTION("""COMPUTED_VALUE"""),33.0)</f>
        <v>33</v>
      </c>
      <c r="H15149" s="4"/>
      <c r="I15149" s="4"/>
    </row>
    <row r="15150">
      <c r="A15150" s="4" t="str">
        <f>IFERROR(__xludf.DUMMYFUNCTION("""COMPUTED_VALUE"""),"cas_hmw")</f>
        <v>cas_hmw</v>
      </c>
      <c r="B15150" s="5">
        <f>IFERROR(__xludf.DUMMYFUNCTION("""COMPUTED_VALUE"""),44728.0)</f>
        <v>44728</v>
      </c>
      <c r="C15150" s="6">
        <f>IFERROR(__xludf.DUMMYFUNCTION("""COMPUTED_VALUE"""),0.6376041666662786)</f>
        <v>0.6376041667</v>
      </c>
      <c r="D15150" s="4">
        <f>IFERROR(__xludf.DUMMYFUNCTION("""COMPUTED_VALUE"""),12.851687)</f>
        <v>12.851687</v>
      </c>
      <c r="E15150" s="4">
        <f>IFERROR(__xludf.DUMMYFUNCTION("""COMPUTED_VALUE"""),80.13964)</f>
        <v>80.13964</v>
      </c>
      <c r="F15150" s="4">
        <f>IFERROR(__xludf.DUMMYFUNCTION("""COMPUTED_VALUE"""),805.0)</f>
        <v>805</v>
      </c>
      <c r="G15150" s="4">
        <f>IFERROR(__xludf.DUMMYFUNCTION("""COMPUTED_VALUE"""),22.0)</f>
        <v>22</v>
      </c>
      <c r="H15150" s="4"/>
      <c r="I15150" s="4"/>
    </row>
    <row r="15151">
      <c r="A15151" s="4" t="str">
        <f>IFERROR(__xludf.DUMMYFUNCTION("""COMPUTED_VALUE"""),"cas_hmw")</f>
        <v>cas_hmw</v>
      </c>
      <c r="B15151" s="5">
        <f>IFERROR(__xludf.DUMMYFUNCTION("""COMPUTED_VALUE"""),44728.0)</f>
        <v>44728</v>
      </c>
      <c r="C15151" s="6">
        <f>IFERROR(__xludf.DUMMYFUNCTION("""COMPUTED_VALUE"""),0.6376273148161999)</f>
        <v>0.6376273148</v>
      </c>
      <c r="D15151" s="4">
        <f>IFERROR(__xludf.DUMMYFUNCTION("""COMPUTED_VALUE"""),12.851687)</f>
        <v>12.851687</v>
      </c>
      <c r="E15151" s="4">
        <f>IFERROR(__xludf.DUMMYFUNCTION("""COMPUTED_VALUE"""),80.13964)</f>
        <v>80.13964</v>
      </c>
      <c r="F15151" s="4">
        <f>IFERROR(__xludf.DUMMYFUNCTION("""COMPUTED_VALUE"""),805.0)</f>
        <v>805</v>
      </c>
      <c r="G15151" s="4">
        <f>IFERROR(__xludf.DUMMYFUNCTION("""COMPUTED_VALUE"""),22.0)</f>
        <v>22</v>
      </c>
      <c r="H15151" s="4"/>
      <c r="I15151" s="4"/>
    </row>
    <row r="15152">
      <c r="A15152" s="4" t="str">
        <f>IFERROR(__xludf.DUMMYFUNCTION("""COMPUTED_VALUE"""),"cas_hmw")</f>
        <v>cas_hmw</v>
      </c>
      <c r="B15152" s="5">
        <f>IFERROR(__xludf.DUMMYFUNCTION("""COMPUTED_VALUE"""),44728.0)</f>
        <v>44728</v>
      </c>
      <c r="C15152" s="6">
        <f>IFERROR(__xludf.DUMMYFUNCTION("""COMPUTED_VALUE"""),0.6384953703709471)</f>
        <v>0.6384953704</v>
      </c>
      <c r="D15152" s="4">
        <f>IFERROR(__xludf.DUMMYFUNCTION("""COMPUTED_VALUE"""),12.857364)</f>
        <v>12.857364</v>
      </c>
      <c r="E15152" s="4">
        <f>IFERROR(__xludf.DUMMYFUNCTION("""COMPUTED_VALUE"""),80.134205)</f>
        <v>80.134205</v>
      </c>
      <c r="F15152" s="4">
        <f>IFERROR(__xludf.DUMMYFUNCTION("""COMPUTED_VALUE"""),805.0)</f>
        <v>805</v>
      </c>
      <c r="G15152" s="4">
        <f>IFERROR(__xludf.DUMMYFUNCTION("""COMPUTED_VALUE"""),47.0)</f>
        <v>47</v>
      </c>
      <c r="H15152" s="4"/>
      <c r="I15152" s="4"/>
    </row>
    <row r="15153">
      <c r="A15153" s="4" t="str">
        <f>IFERROR(__xludf.DUMMYFUNCTION("""COMPUTED_VALUE"""),"cas_hmw")</f>
        <v>cas_hmw</v>
      </c>
      <c r="B15153" s="5">
        <f>IFERROR(__xludf.DUMMYFUNCTION("""COMPUTED_VALUE"""),44728.0)</f>
        <v>44728</v>
      </c>
      <c r="C15153" s="6">
        <f>IFERROR(__xludf.DUMMYFUNCTION("""COMPUTED_VALUE"""),0.6385995370364981)</f>
        <v>0.638599537</v>
      </c>
      <c r="D15153" s="4">
        <f>IFERROR(__xludf.DUMMYFUNCTION("""COMPUTED_VALUE"""),12.858424)</f>
        <v>12.858424</v>
      </c>
      <c r="E15153" s="4">
        <f>IFERROR(__xludf.DUMMYFUNCTION("""COMPUTED_VALUE"""),80.133184)</f>
        <v>80.133184</v>
      </c>
      <c r="F15153" s="4">
        <f>IFERROR(__xludf.DUMMYFUNCTION("""COMPUTED_VALUE"""),805.0)</f>
        <v>805</v>
      </c>
      <c r="G15153" s="4">
        <f>IFERROR(__xludf.DUMMYFUNCTION("""COMPUTED_VALUE"""),41.0)</f>
        <v>41</v>
      </c>
      <c r="H15153" s="4"/>
      <c r="I15153" s="4"/>
    </row>
    <row r="15154">
      <c r="A15154" s="4" t="str">
        <f>IFERROR(__xludf.DUMMYFUNCTION("""COMPUTED_VALUE"""),"cas_hmw")</f>
        <v>cas_hmw</v>
      </c>
      <c r="B15154" s="5">
        <f>IFERROR(__xludf.DUMMYFUNCTION("""COMPUTED_VALUE"""),44728.0)</f>
        <v>44728</v>
      </c>
      <c r="C15154" s="6">
        <f>IFERROR(__xludf.DUMMYFUNCTION("""COMPUTED_VALUE"""),0.6391319444446708)</f>
        <v>0.6391319444</v>
      </c>
      <c r="D15154" s="4">
        <f>IFERROR(__xludf.DUMMYFUNCTION("""COMPUTED_VALUE"""),12.860584)</f>
        <v>12.860584</v>
      </c>
      <c r="E15154" s="4">
        <f>IFERROR(__xludf.DUMMYFUNCTION("""COMPUTED_VALUE"""),80.131076)</f>
        <v>80.131076</v>
      </c>
      <c r="F15154" s="4">
        <f>IFERROR(__xludf.DUMMYFUNCTION("""COMPUTED_VALUE"""),805.0)</f>
        <v>805</v>
      </c>
      <c r="G15154" s="4">
        <f>IFERROR(__xludf.DUMMYFUNCTION("""COMPUTED_VALUE"""),25.0)</f>
        <v>25</v>
      </c>
      <c r="H15154" s="4"/>
      <c r="I15154" s="4"/>
    </row>
    <row r="15155">
      <c r="A15155" s="4" t="str">
        <f>IFERROR(__xludf.DUMMYFUNCTION("""COMPUTED_VALUE"""),"cas_hmw")</f>
        <v>cas_hmw</v>
      </c>
      <c r="B15155" s="5">
        <f>IFERROR(__xludf.DUMMYFUNCTION("""COMPUTED_VALUE"""),44728.0)</f>
        <v>44728</v>
      </c>
      <c r="C15155" s="6">
        <f>IFERROR(__xludf.DUMMYFUNCTION("""COMPUTED_VALUE"""),0.6395370370373712)</f>
        <v>0.639537037</v>
      </c>
      <c r="D15155" s="4">
        <f>IFERROR(__xludf.DUMMYFUNCTION("""COMPUTED_VALUE"""),12.862653)</f>
        <v>12.862653</v>
      </c>
      <c r="E15155" s="4">
        <f>IFERROR(__xludf.DUMMYFUNCTION("""COMPUTED_VALUE"""),80.1269)</f>
        <v>80.1269</v>
      </c>
      <c r="F15155" s="4">
        <f>IFERROR(__xludf.DUMMYFUNCTION("""COMPUTED_VALUE"""),805.0)</f>
        <v>805</v>
      </c>
      <c r="G15155" s="4">
        <f>IFERROR(__xludf.DUMMYFUNCTION("""COMPUTED_VALUE"""),40.0)</f>
        <v>40</v>
      </c>
      <c r="H15155" s="4"/>
      <c r="I15155" s="4"/>
    </row>
    <row r="15156">
      <c r="A15156" s="4" t="str">
        <f>IFERROR(__xludf.DUMMYFUNCTION("""COMPUTED_VALUE"""),"cas_hmw")</f>
        <v>cas_hmw</v>
      </c>
      <c r="B15156" s="5">
        <f>IFERROR(__xludf.DUMMYFUNCTION("""COMPUTED_VALUE"""),44728.0)</f>
        <v>44728</v>
      </c>
      <c r="C15156" s="6">
        <f>IFERROR(__xludf.DUMMYFUNCTION("""COMPUTED_VALUE"""),0.6396412037029222)</f>
        <v>0.6396412037</v>
      </c>
      <c r="D15156" s="4">
        <f>IFERROR(__xludf.DUMMYFUNCTION("""COMPUTED_VALUE"""),12.862653)</f>
        <v>12.862653</v>
      </c>
      <c r="E15156" s="4">
        <f>IFERROR(__xludf.DUMMYFUNCTION("""COMPUTED_VALUE"""),80.1269)</f>
        <v>80.1269</v>
      </c>
      <c r="F15156" s="4">
        <f>IFERROR(__xludf.DUMMYFUNCTION("""COMPUTED_VALUE"""),805.0)</f>
        <v>805</v>
      </c>
      <c r="G15156" s="4">
        <f>IFERROR(__xludf.DUMMYFUNCTION("""COMPUTED_VALUE"""),40.0)</f>
        <v>40</v>
      </c>
      <c r="H15156" s="4"/>
      <c r="I15156" s="4"/>
    </row>
    <row r="15157">
      <c r="A15157" s="4" t="str">
        <f>IFERROR(__xludf.DUMMYFUNCTION("""COMPUTED_VALUE"""),"cas_hmw")</f>
        <v>cas_hmw</v>
      </c>
      <c r="B15157" s="5">
        <f>IFERROR(__xludf.DUMMYFUNCTION("""COMPUTED_VALUE"""),44728.0)</f>
        <v>44728</v>
      </c>
      <c r="C15157" s="6">
        <f>IFERROR(__xludf.DUMMYFUNCTION("""COMPUTED_VALUE"""),0.6396874999991269)</f>
        <v>0.6396875</v>
      </c>
      <c r="D15157" s="4">
        <f>IFERROR(__xludf.DUMMYFUNCTION("""COMPUTED_VALUE"""),12.862653)</f>
        <v>12.862653</v>
      </c>
      <c r="E15157" s="4">
        <f>IFERROR(__xludf.DUMMYFUNCTION("""COMPUTED_VALUE"""),80.1269)</f>
        <v>80.1269</v>
      </c>
      <c r="F15157" s="4">
        <f>IFERROR(__xludf.DUMMYFUNCTION("""COMPUTED_VALUE"""),805.0)</f>
        <v>805</v>
      </c>
      <c r="G15157" s="4">
        <f>IFERROR(__xludf.DUMMYFUNCTION("""COMPUTED_VALUE"""),40.0)</f>
        <v>40</v>
      </c>
      <c r="H15157" s="4"/>
      <c r="I15157" s="4"/>
    </row>
    <row r="15158">
      <c r="A15158" s="4" t="str">
        <f>IFERROR(__xludf.DUMMYFUNCTION("""COMPUTED_VALUE"""),"cas_hmw")</f>
        <v>cas_hmw</v>
      </c>
      <c r="B15158" s="5">
        <f>IFERROR(__xludf.DUMMYFUNCTION("""COMPUTED_VALUE"""),44728.0)</f>
        <v>44728</v>
      </c>
      <c r="C15158" s="6">
        <f>IFERROR(__xludf.DUMMYFUNCTION("""COMPUTED_VALUE"""),0.6420717592591245)</f>
        <v>0.6420717593</v>
      </c>
      <c r="D15158" s="4">
        <f>IFERROR(__xludf.DUMMYFUNCTION("""COMPUTED_VALUE"""),12.869901)</f>
        <v>12.869901</v>
      </c>
      <c r="E15158" s="4">
        <f>IFERROR(__xludf.DUMMYFUNCTION("""COMPUTED_VALUE"""),80.108554)</f>
        <v>80.108554</v>
      </c>
      <c r="F15158" s="4">
        <f>IFERROR(__xludf.DUMMYFUNCTION("""COMPUTED_VALUE"""),805.0)</f>
        <v>805</v>
      </c>
      <c r="G15158" s="4">
        <f>IFERROR(__xludf.DUMMYFUNCTION("""COMPUTED_VALUE"""),6.0)</f>
        <v>6</v>
      </c>
      <c r="H15158" s="4"/>
      <c r="I15158" s="4"/>
    </row>
    <row r="15159">
      <c r="A15159" s="4" t="str">
        <f>IFERROR(__xludf.DUMMYFUNCTION("""COMPUTED_VALUE"""),"cas_hmw")</f>
        <v>cas_hmw</v>
      </c>
      <c r="B15159" s="5">
        <f>IFERROR(__xludf.DUMMYFUNCTION("""COMPUTED_VALUE"""),44728.0)</f>
        <v>44728</v>
      </c>
      <c r="C15159" s="6">
        <f>IFERROR(__xludf.DUMMYFUNCTION("""COMPUTED_VALUE"""),0.6420717592591245)</f>
        <v>0.6420717593</v>
      </c>
      <c r="D15159" s="4">
        <f>IFERROR(__xludf.DUMMYFUNCTION("""COMPUTED_VALUE"""),12.869901)</f>
        <v>12.869901</v>
      </c>
      <c r="E15159" s="4">
        <f>IFERROR(__xludf.DUMMYFUNCTION("""COMPUTED_VALUE"""),80.108554)</f>
        <v>80.108554</v>
      </c>
      <c r="F15159" s="4">
        <f>IFERROR(__xludf.DUMMYFUNCTION("""COMPUTED_VALUE"""),805.0)</f>
        <v>805</v>
      </c>
      <c r="G15159" s="4">
        <f>IFERROR(__xludf.DUMMYFUNCTION("""COMPUTED_VALUE"""),6.0)</f>
        <v>6</v>
      </c>
      <c r="H15159" s="4"/>
      <c r="I15159" s="4"/>
    </row>
    <row r="15160">
      <c r="A15160" s="4" t="str">
        <f>IFERROR(__xludf.DUMMYFUNCTION("""COMPUTED_VALUE"""),"cas_hmw")</f>
        <v>cas_hmw</v>
      </c>
      <c r="B15160" s="5">
        <f>IFERROR(__xludf.DUMMYFUNCTION("""COMPUTED_VALUE"""),44728.0)</f>
        <v>44728</v>
      </c>
      <c r="C15160" s="6">
        <f>IFERROR(__xludf.DUMMYFUNCTION("""COMPUTED_VALUE"""),0.6426967592597066)</f>
        <v>0.6426967593</v>
      </c>
      <c r="D15160" s="4">
        <f>IFERROR(__xludf.DUMMYFUNCTION("""COMPUTED_VALUE"""),12.870888)</f>
        <v>12.870888</v>
      </c>
      <c r="E15160" s="4">
        <f>IFERROR(__xludf.DUMMYFUNCTION("""COMPUTED_VALUE"""),80.104364)</f>
        <v>80.104364</v>
      </c>
      <c r="F15160" s="4">
        <f>IFERROR(__xludf.DUMMYFUNCTION("""COMPUTED_VALUE"""),805.0)</f>
        <v>805</v>
      </c>
      <c r="G15160" s="4">
        <f>IFERROR(__xludf.DUMMYFUNCTION("""COMPUTED_VALUE"""),49.0)</f>
        <v>49</v>
      </c>
      <c r="H15160" s="4"/>
      <c r="I15160" s="4"/>
    </row>
    <row r="15161">
      <c r="A15161" s="4" t="str">
        <f>IFERROR(__xludf.DUMMYFUNCTION("""COMPUTED_VALUE"""),"cas_hmw")</f>
        <v>cas_hmw</v>
      </c>
      <c r="B15161" s="5">
        <f>IFERROR(__xludf.DUMMYFUNCTION("""COMPUTED_VALUE"""),44728.0)</f>
        <v>44728</v>
      </c>
      <c r="C15161" s="6">
        <f>IFERROR(__xludf.DUMMYFUNCTION("""COMPUTED_VALUE"""),0.6435648148144537)</f>
        <v>0.6435648148</v>
      </c>
      <c r="D15161" s="4">
        <f>IFERROR(__xludf.DUMMYFUNCTION("""COMPUTED_VALUE"""),12.872622)</f>
        <v>12.872622</v>
      </c>
      <c r="E15161" s="4">
        <f>IFERROR(__xludf.DUMMYFUNCTION("""COMPUTED_VALUE"""),80.09483)</f>
        <v>80.09483</v>
      </c>
      <c r="F15161" s="4">
        <f>IFERROR(__xludf.DUMMYFUNCTION("""COMPUTED_VALUE"""),805.0)</f>
        <v>805</v>
      </c>
      <c r="G15161" s="4">
        <f>IFERROR(__xludf.DUMMYFUNCTION("""COMPUTED_VALUE"""),53.0)</f>
        <v>53</v>
      </c>
      <c r="H15161" s="4"/>
      <c r="I15161" s="4"/>
    </row>
    <row r="15162">
      <c r="A15162" s="4" t="str">
        <f>IFERROR(__xludf.DUMMYFUNCTION("""COMPUTED_VALUE"""),"cas_hmw")</f>
        <v>cas_hmw</v>
      </c>
      <c r="B15162" s="5">
        <f>IFERROR(__xludf.DUMMYFUNCTION("""COMPUTED_VALUE"""),44728.0)</f>
        <v>44728</v>
      </c>
      <c r="C15162" s="6">
        <f>IFERROR(__xludf.DUMMYFUNCTION("""COMPUTED_VALUE"""),0.6440972222226264)</f>
        <v>0.6440972222</v>
      </c>
      <c r="D15162" s="4">
        <f>IFERROR(__xludf.DUMMYFUNCTION("""COMPUTED_VALUE"""),12.874158)</f>
        <v>12.874158</v>
      </c>
      <c r="E15162" s="4">
        <f>IFERROR(__xludf.DUMMYFUNCTION("""COMPUTED_VALUE"""),80.09072)</f>
        <v>80.09072</v>
      </c>
      <c r="F15162" s="4">
        <f>IFERROR(__xludf.DUMMYFUNCTION("""COMPUTED_VALUE"""),805.0)</f>
        <v>805</v>
      </c>
      <c r="G15162" s="4">
        <f>IFERROR(__xludf.DUMMYFUNCTION("""COMPUTED_VALUE"""),54.0)</f>
        <v>54</v>
      </c>
      <c r="H15162" s="4"/>
      <c r="I15162" s="4"/>
    </row>
    <row r="15163">
      <c r="A15163" s="4" t="str">
        <f>IFERROR(__xludf.DUMMYFUNCTION("""COMPUTED_VALUE"""),"cas_hmw")</f>
        <v>cas_hmw</v>
      </c>
      <c r="B15163" s="5">
        <f>IFERROR(__xludf.DUMMYFUNCTION("""COMPUTED_VALUE"""),44728.0)</f>
        <v>44728</v>
      </c>
      <c r="C15163" s="6">
        <f>IFERROR(__xludf.DUMMYFUNCTION("""COMPUTED_VALUE"""),0.6913541666654055)</f>
        <v>0.6913541667</v>
      </c>
      <c r="D15163" s="4">
        <f>IFERROR(__xludf.DUMMYFUNCTION("""COMPUTED_VALUE"""),12.888496)</f>
        <v>12.888496</v>
      </c>
      <c r="E15163" s="4">
        <f>IFERROR(__xludf.DUMMYFUNCTION("""COMPUTED_VALUE"""),80.083857)</f>
        <v>80.083857</v>
      </c>
      <c r="F15163" s="4">
        <f>IFERROR(__xludf.DUMMYFUNCTION("""COMPUTED_VALUE"""),5339.0)</f>
        <v>5339</v>
      </c>
      <c r="G15163" s="4">
        <f>IFERROR(__xludf.DUMMYFUNCTION("""COMPUTED_VALUE"""),54.0)</f>
        <v>54</v>
      </c>
      <c r="H15163" s="4"/>
      <c r="I15163" s="4"/>
    </row>
    <row r="15164">
      <c r="A15164" s="4" t="str">
        <f>IFERROR(__xludf.DUMMYFUNCTION("""COMPUTED_VALUE"""),"cas_hmw")</f>
        <v>cas_hmw</v>
      </c>
      <c r="B15164" s="5">
        <f>IFERROR(__xludf.DUMMYFUNCTION("""COMPUTED_VALUE"""),44728.0)</f>
        <v>44728</v>
      </c>
      <c r="C15164" s="6">
        <f>IFERROR(__xludf.DUMMYFUNCTION("""COMPUTED_VALUE"""),0.6918634259272949)</f>
        <v>0.6918634259</v>
      </c>
      <c r="D15164" s="4">
        <f>IFERROR(__xludf.DUMMYFUNCTION("""COMPUTED_VALUE"""),12.88774)</f>
        <v>12.88774</v>
      </c>
      <c r="E15164" s="4">
        <f>IFERROR(__xludf.DUMMYFUNCTION("""COMPUTED_VALUE"""),80.083483)</f>
        <v>80.083483</v>
      </c>
      <c r="F15164" s="4">
        <f>IFERROR(__xludf.DUMMYFUNCTION("""COMPUTED_VALUE"""),805.0)</f>
        <v>805</v>
      </c>
      <c r="G15164" s="4">
        <f>IFERROR(__xludf.DUMMYFUNCTION("""COMPUTED_VALUE"""),32.0)</f>
        <v>32</v>
      </c>
      <c r="H15164" s="4"/>
      <c r="I15164" s="4"/>
    </row>
    <row r="15165">
      <c r="A15165" s="4" t="str">
        <f>IFERROR(__xludf.DUMMYFUNCTION("""COMPUTED_VALUE"""),"cas_hmw")</f>
        <v>cas_hmw</v>
      </c>
      <c r="B15165" s="5">
        <f>IFERROR(__xludf.DUMMYFUNCTION("""COMPUTED_VALUE"""),44728.0)</f>
        <v>44728</v>
      </c>
      <c r="C15165" s="6">
        <f>IFERROR(__xludf.DUMMYFUNCTION("""COMPUTED_VALUE"""),0.6919675925928459)</f>
        <v>0.6919675926</v>
      </c>
      <c r="D15165" s="4">
        <f>IFERROR(__xludf.DUMMYFUNCTION("""COMPUTED_VALUE"""),12.894686)</f>
        <v>12.894686</v>
      </c>
      <c r="E15165" s="4">
        <f>IFERROR(__xludf.DUMMYFUNCTION("""COMPUTED_VALUE"""),80.087383)</f>
        <v>80.087383</v>
      </c>
      <c r="F15165" s="4">
        <f>IFERROR(__xludf.DUMMYFUNCTION("""COMPUTED_VALUE"""),5339.0)</f>
        <v>5339</v>
      </c>
      <c r="G15165" s="4">
        <f>IFERROR(__xludf.DUMMYFUNCTION("""COMPUTED_VALUE"""),57.0)</f>
        <v>57</v>
      </c>
      <c r="H15165" s="4"/>
      <c r="I15165" s="4"/>
    </row>
    <row r="15166">
      <c r="A15166" s="4" t="str">
        <f>IFERROR(__xludf.DUMMYFUNCTION("""COMPUTED_VALUE"""),"cas_hmw")</f>
        <v>cas_hmw</v>
      </c>
      <c r="B15166" s="5">
        <f>IFERROR(__xludf.DUMMYFUNCTION("""COMPUTED_VALUE"""),44728.0)</f>
        <v>44728</v>
      </c>
      <c r="C15166" s="6">
        <f>IFERROR(__xludf.DUMMYFUNCTION("""COMPUTED_VALUE"""),0.6922222222237906)</f>
        <v>0.6922222222</v>
      </c>
      <c r="D15166" s="4">
        <f>IFERROR(__xludf.DUMMYFUNCTION("""COMPUTED_VALUE"""),12.896953)</f>
        <v>12.896953</v>
      </c>
      <c r="E15166" s="4">
        <f>IFERROR(__xludf.DUMMYFUNCTION("""COMPUTED_VALUE"""),80.089085)</f>
        <v>80.089085</v>
      </c>
      <c r="F15166" s="4">
        <f>IFERROR(__xludf.DUMMYFUNCTION("""COMPUTED_VALUE"""),5339.0)</f>
        <v>5339</v>
      </c>
      <c r="G15166" s="4">
        <f>IFERROR(__xludf.DUMMYFUNCTION("""COMPUTED_VALUE"""),43.0)</f>
        <v>43</v>
      </c>
      <c r="H15166" s="4"/>
      <c r="I15166" s="4"/>
    </row>
    <row r="15167">
      <c r="A15167" s="4" t="str">
        <f>IFERROR(__xludf.DUMMYFUNCTION("""COMPUTED_VALUE"""),"cas_hmw")</f>
        <v>cas_hmw</v>
      </c>
      <c r="B15167" s="5">
        <f>IFERROR(__xludf.DUMMYFUNCTION("""COMPUTED_VALUE"""),44728.0)</f>
        <v>44728</v>
      </c>
      <c r="C15167" s="6">
        <f>IFERROR(__xludf.DUMMYFUNCTION("""COMPUTED_VALUE"""),0.6931828703709471)</f>
        <v>0.6931828704</v>
      </c>
      <c r="D15167" s="4">
        <f>IFERROR(__xludf.DUMMYFUNCTION("""COMPUTED_VALUE"""),12.900865)</f>
        <v>12.900865</v>
      </c>
      <c r="E15167" s="4">
        <f>IFERROR(__xludf.DUMMYFUNCTION("""COMPUTED_VALUE"""),80.092005)</f>
        <v>80.092005</v>
      </c>
      <c r="F15167" s="4">
        <f>IFERROR(__xludf.DUMMYFUNCTION("""COMPUTED_VALUE"""),805.0)</f>
        <v>805</v>
      </c>
      <c r="G15167" s="4">
        <f>IFERROR(__xludf.DUMMYFUNCTION("""COMPUTED_VALUE"""),57.0)</f>
        <v>57</v>
      </c>
      <c r="H15167" s="4"/>
      <c r="I15167" s="4"/>
    </row>
    <row r="15168">
      <c r="A15168" s="4" t="str">
        <f>IFERROR(__xludf.DUMMYFUNCTION("""COMPUTED_VALUE"""),"cas_hmw")</f>
        <v>cas_hmw</v>
      </c>
      <c r="B15168" s="5">
        <f>IFERROR(__xludf.DUMMYFUNCTION("""COMPUTED_VALUE"""),44728.0)</f>
        <v>44728</v>
      </c>
      <c r="C15168" s="6">
        <f>IFERROR(__xludf.DUMMYFUNCTION("""COMPUTED_VALUE"""),0.6932407407402934)</f>
        <v>0.6932407407</v>
      </c>
      <c r="D15168" s="4">
        <f>IFERROR(__xludf.DUMMYFUNCTION("""COMPUTED_VALUE"""),12.900865)</f>
        <v>12.900865</v>
      </c>
      <c r="E15168" s="4">
        <f>IFERROR(__xludf.DUMMYFUNCTION("""COMPUTED_VALUE"""),80.092005)</f>
        <v>80.092005</v>
      </c>
      <c r="F15168" s="4">
        <f>IFERROR(__xludf.DUMMYFUNCTION("""COMPUTED_VALUE"""),805.0)</f>
        <v>805</v>
      </c>
      <c r="G15168" s="4">
        <f>IFERROR(__xludf.DUMMYFUNCTION("""COMPUTED_VALUE"""),57.0)</f>
        <v>57</v>
      </c>
      <c r="H15168" s="4"/>
      <c r="I15168" s="4"/>
    </row>
    <row r="15169">
      <c r="A15169" s="4" t="str">
        <f>IFERROR(__xludf.DUMMYFUNCTION("""COMPUTED_VALUE"""),"cas_hmw")</f>
        <v>cas_hmw</v>
      </c>
      <c r="B15169" s="5">
        <f>IFERROR(__xludf.DUMMYFUNCTION("""COMPUTED_VALUE"""),44728.0)</f>
        <v>44728</v>
      </c>
      <c r="C15169" s="6">
        <f>IFERROR(__xludf.DUMMYFUNCTION("""COMPUTED_VALUE"""),0.6939930555563478)</f>
        <v>0.6939930556</v>
      </c>
      <c r="D15169" s="4">
        <f>IFERROR(__xludf.DUMMYFUNCTION("""COMPUTED_VALUE"""),12.905623)</f>
        <v>12.905623</v>
      </c>
      <c r="E15169" s="4">
        <f>IFERROR(__xludf.DUMMYFUNCTION("""COMPUTED_VALUE"""),80.095568)</f>
        <v>80.095568</v>
      </c>
      <c r="F15169" s="4">
        <f>IFERROR(__xludf.DUMMYFUNCTION("""COMPUTED_VALUE"""),805.0)</f>
        <v>805</v>
      </c>
      <c r="G15169" s="4">
        <f>IFERROR(__xludf.DUMMYFUNCTION("""COMPUTED_VALUE"""),51.0)</f>
        <v>51</v>
      </c>
      <c r="H15169" s="4"/>
      <c r="I15169" s="4"/>
    </row>
    <row r="15170">
      <c r="A15170" s="4" t="str">
        <f>IFERROR(__xludf.DUMMYFUNCTION("""COMPUTED_VALUE"""),"cas_hmw")</f>
        <v>cas_hmw</v>
      </c>
      <c r="B15170" s="5">
        <f>IFERROR(__xludf.DUMMYFUNCTION("""COMPUTED_VALUE"""),44728.0)</f>
        <v>44728</v>
      </c>
      <c r="C15170" s="6">
        <f>IFERROR(__xludf.DUMMYFUNCTION("""COMPUTED_VALUE"""),0.6940162037026312)</f>
        <v>0.6940162037</v>
      </c>
      <c r="D15170" s="4">
        <f>IFERROR(__xludf.DUMMYFUNCTION("""COMPUTED_VALUE"""),12.909214)</f>
        <v>12.909214</v>
      </c>
      <c r="E15170" s="4">
        <f>IFERROR(__xludf.DUMMYFUNCTION("""COMPUTED_VALUE"""),80.098639)</f>
        <v>80.098639</v>
      </c>
      <c r="F15170" s="4">
        <f>IFERROR(__xludf.DUMMYFUNCTION("""COMPUTED_VALUE"""),5339.0)</f>
        <v>5339</v>
      </c>
      <c r="G15170" s="4">
        <f>IFERROR(__xludf.DUMMYFUNCTION("""COMPUTED_VALUE"""),26.0)</f>
        <v>26</v>
      </c>
      <c r="H15170" s="4"/>
      <c r="I15170" s="4"/>
    </row>
    <row r="15171">
      <c r="A15171" s="4" t="str">
        <f>IFERROR(__xludf.DUMMYFUNCTION("""COMPUTED_VALUE"""),"cas_hmw")</f>
        <v>cas_hmw</v>
      </c>
      <c r="B15171" s="5">
        <f>IFERROR(__xludf.DUMMYFUNCTION("""COMPUTED_VALUE"""),44728.0)</f>
        <v>44728</v>
      </c>
      <c r="C15171" s="6">
        <f>IFERROR(__xludf.DUMMYFUNCTION("""COMPUTED_VALUE"""),0.6940856481487572)</f>
        <v>0.6940856481</v>
      </c>
      <c r="D15171" s="4">
        <f>IFERROR(__xludf.DUMMYFUNCTION("""COMPUTED_VALUE"""),12.907206)</f>
        <v>12.907206</v>
      </c>
      <c r="E15171" s="4">
        <f>IFERROR(__xludf.DUMMYFUNCTION("""COMPUTED_VALUE"""),80.096718)</f>
        <v>80.096718</v>
      </c>
      <c r="F15171" s="4">
        <f>IFERROR(__xludf.DUMMYFUNCTION("""COMPUTED_VALUE"""),805.0)</f>
        <v>805</v>
      </c>
      <c r="G15171" s="4">
        <f>IFERROR(__xludf.DUMMYFUNCTION("""COMPUTED_VALUE"""),41.0)</f>
        <v>41</v>
      </c>
      <c r="H15171" s="4"/>
      <c r="I15171" s="4"/>
    </row>
    <row r="15172">
      <c r="A15172" s="4" t="str">
        <f>IFERROR(__xludf.DUMMYFUNCTION("""COMPUTED_VALUE"""),"cas_hmw")</f>
        <v>cas_hmw</v>
      </c>
      <c r="B15172" s="5">
        <f>IFERROR(__xludf.DUMMYFUNCTION("""COMPUTED_VALUE"""),44728.0)</f>
        <v>44728</v>
      </c>
      <c r="C15172" s="6">
        <f>IFERROR(__xludf.DUMMYFUNCTION("""COMPUTED_VALUE"""),0.6941087962950405)</f>
        <v>0.6941087963</v>
      </c>
      <c r="D15172" s="4">
        <f>IFERROR(__xludf.DUMMYFUNCTION("""COMPUTED_VALUE"""),12.909214)</f>
        <v>12.909214</v>
      </c>
      <c r="E15172" s="4">
        <f>IFERROR(__xludf.DUMMYFUNCTION("""COMPUTED_VALUE"""),80.098639)</f>
        <v>80.098639</v>
      </c>
      <c r="F15172" s="4">
        <f>IFERROR(__xludf.DUMMYFUNCTION("""COMPUTED_VALUE"""),5339.0)</f>
        <v>5339</v>
      </c>
      <c r="G15172" s="4">
        <f>IFERROR(__xludf.DUMMYFUNCTION("""COMPUTED_VALUE"""),26.0)</f>
        <v>26</v>
      </c>
      <c r="H15172" s="4"/>
      <c r="I15172" s="4"/>
    </row>
    <row r="15173">
      <c r="A15173" s="4" t="str">
        <f>IFERROR(__xludf.DUMMYFUNCTION("""COMPUTED_VALUE"""),"cas_hmw")</f>
        <v>cas_hmw</v>
      </c>
      <c r="B15173" s="5">
        <f>IFERROR(__xludf.DUMMYFUNCTION("""COMPUTED_VALUE"""),44728.0)</f>
        <v>44728</v>
      </c>
      <c r="C15173" s="6">
        <f>IFERROR(__xludf.DUMMYFUNCTION("""COMPUTED_VALUE"""),0.6954050925924093)</f>
        <v>0.6954050926</v>
      </c>
      <c r="D15173" s="4">
        <f>IFERROR(__xludf.DUMMYFUNCTION("""COMPUTED_VALUE"""),12.857203)</f>
        <v>12.857203</v>
      </c>
      <c r="E15173" s="4">
        <f>IFERROR(__xludf.DUMMYFUNCTION("""COMPUTED_VALUE"""),80.070222)</f>
        <v>80.070222</v>
      </c>
      <c r="F15173" s="4">
        <f>IFERROR(__xludf.DUMMYFUNCTION("""COMPUTED_VALUE"""),2846.0)</f>
        <v>2846</v>
      </c>
      <c r="G15173" s="4">
        <f>IFERROR(__xludf.DUMMYFUNCTION("""COMPUTED_VALUE"""),43.0)</f>
        <v>43</v>
      </c>
      <c r="H15173" s="4"/>
      <c r="I15173" s="4"/>
    </row>
    <row r="15174">
      <c r="A15174" s="4" t="str">
        <f>IFERROR(__xludf.DUMMYFUNCTION("""COMPUTED_VALUE"""),"cas_hmw")</f>
        <v>cas_hmw</v>
      </c>
      <c r="B15174" s="5">
        <f>IFERROR(__xludf.DUMMYFUNCTION("""COMPUTED_VALUE"""),44728.0)</f>
        <v>44728</v>
      </c>
      <c r="C15174" s="6">
        <f>IFERROR(__xludf.DUMMYFUNCTION("""COMPUTED_VALUE"""),0.6954745370385353)</f>
        <v>0.695474537</v>
      </c>
      <c r="D15174" s="4">
        <f>IFERROR(__xludf.DUMMYFUNCTION("""COMPUTED_VALUE"""),12.913077)</f>
        <v>12.913077</v>
      </c>
      <c r="E15174" s="4">
        <f>IFERROR(__xludf.DUMMYFUNCTION("""COMPUTED_VALUE"""),80.101469)</f>
        <v>80.101469</v>
      </c>
      <c r="F15174" s="4">
        <f>IFERROR(__xludf.DUMMYFUNCTION("""COMPUTED_VALUE"""),805.0)</f>
        <v>805</v>
      </c>
      <c r="G15174" s="4">
        <f>IFERROR(__xludf.DUMMYFUNCTION("""COMPUTED_VALUE"""),50.0)</f>
        <v>50</v>
      </c>
      <c r="H15174" s="4"/>
      <c r="I15174" s="4"/>
    </row>
    <row r="15175">
      <c r="A15175" s="4" t="str">
        <f>IFERROR(__xludf.DUMMYFUNCTION("""COMPUTED_VALUE"""),"cas_hmw")</f>
        <v>cas_hmw</v>
      </c>
      <c r="B15175" s="5">
        <f>IFERROR(__xludf.DUMMYFUNCTION("""COMPUTED_VALUE"""),44728.0)</f>
        <v>44728</v>
      </c>
      <c r="C15175" s="6">
        <f>IFERROR(__xludf.DUMMYFUNCTION("""COMPUTED_VALUE"""),0.6955324074078817)</f>
        <v>0.6955324074</v>
      </c>
      <c r="D15175" s="4">
        <f>IFERROR(__xludf.DUMMYFUNCTION("""COMPUTED_VALUE"""),12.915874)</f>
        <v>12.915874</v>
      </c>
      <c r="E15175" s="4">
        <f>IFERROR(__xludf.DUMMYFUNCTION("""COMPUTED_VALUE"""),80.104853)</f>
        <v>80.104853</v>
      </c>
      <c r="F15175" s="4">
        <f>IFERROR(__xludf.DUMMYFUNCTION("""COMPUTED_VALUE"""),5339.0)</f>
        <v>5339</v>
      </c>
      <c r="G15175" s="4">
        <f>IFERROR(__xludf.DUMMYFUNCTION("""COMPUTED_VALUE"""),49.0)</f>
        <v>49</v>
      </c>
      <c r="H15175" s="4"/>
      <c r="I15175" s="4"/>
    </row>
    <row r="15176">
      <c r="A15176" s="4" t="str">
        <f>IFERROR(__xludf.DUMMYFUNCTION("""COMPUTED_VALUE"""),"cas_hmw")</f>
        <v>cas_hmw</v>
      </c>
      <c r="B15176" s="5">
        <f>IFERROR(__xludf.DUMMYFUNCTION("""COMPUTED_VALUE"""),44728.0)</f>
        <v>44728</v>
      </c>
      <c r="C15176" s="6">
        <f>IFERROR(__xludf.DUMMYFUNCTION("""COMPUTED_VALUE"""),0.6955671296309447)</f>
        <v>0.6955671296</v>
      </c>
      <c r="D15176" s="4">
        <f>IFERROR(__xludf.DUMMYFUNCTION("""COMPUTED_VALUE"""),12.915874)</f>
        <v>12.915874</v>
      </c>
      <c r="E15176" s="4">
        <f>IFERROR(__xludf.DUMMYFUNCTION("""COMPUTED_VALUE"""),80.104853)</f>
        <v>80.104853</v>
      </c>
      <c r="F15176" s="4">
        <f>IFERROR(__xludf.DUMMYFUNCTION("""COMPUTED_VALUE"""),5339.0)</f>
        <v>5339</v>
      </c>
      <c r="G15176" s="4">
        <f>IFERROR(__xludf.DUMMYFUNCTION("""COMPUTED_VALUE"""),49.0)</f>
        <v>49</v>
      </c>
      <c r="H15176" s="4"/>
      <c r="I15176" s="4"/>
    </row>
    <row r="15177">
      <c r="A15177" s="4" t="str">
        <f>IFERROR(__xludf.DUMMYFUNCTION("""COMPUTED_VALUE"""),"cas_hmw")</f>
        <v>cas_hmw</v>
      </c>
      <c r="B15177" s="5">
        <f>IFERROR(__xludf.DUMMYFUNCTION("""COMPUTED_VALUE"""),44728.0)</f>
        <v>44728</v>
      </c>
      <c r="C15177" s="6">
        <f>IFERROR(__xludf.DUMMYFUNCTION("""COMPUTED_VALUE"""),0.6956134259271494)</f>
        <v>0.6956134259</v>
      </c>
      <c r="D15177" s="4">
        <f>IFERROR(__xludf.DUMMYFUNCTION("""COMPUTED_VALUE"""),12.856315)</f>
        <v>12.856315</v>
      </c>
      <c r="E15177" s="4">
        <f>IFERROR(__xludf.DUMMYFUNCTION("""COMPUTED_VALUE"""),80.06955)</f>
        <v>80.06955</v>
      </c>
      <c r="F15177" s="4">
        <f>IFERROR(__xludf.DUMMYFUNCTION("""COMPUTED_VALUE"""),2846.0)</f>
        <v>2846</v>
      </c>
      <c r="G15177" s="4">
        <f>IFERROR(__xludf.DUMMYFUNCTION("""COMPUTED_VALUE"""),45.0)</f>
        <v>45</v>
      </c>
      <c r="H15177" s="4"/>
      <c r="I15177" s="4"/>
    </row>
    <row r="15178">
      <c r="A15178" s="4" t="str">
        <f>IFERROR(__xludf.DUMMYFUNCTION("""COMPUTED_VALUE"""),"cas_hmw")</f>
        <v>cas_hmw</v>
      </c>
      <c r="B15178" s="5">
        <f>IFERROR(__xludf.DUMMYFUNCTION("""COMPUTED_VALUE"""),44728.0)</f>
        <v>44728</v>
      </c>
      <c r="C15178" s="6">
        <f>IFERROR(__xludf.DUMMYFUNCTION("""COMPUTED_VALUE"""),0.6956481481465744)</f>
        <v>0.6956481481</v>
      </c>
      <c r="D15178" s="4">
        <f>IFERROR(__xludf.DUMMYFUNCTION("""COMPUTED_VALUE"""),12.85538)</f>
        <v>12.85538</v>
      </c>
      <c r="E15178" s="4">
        <f>IFERROR(__xludf.DUMMYFUNCTION("""COMPUTED_VALUE"""),80.068851)</f>
        <v>80.068851</v>
      </c>
      <c r="F15178" s="4">
        <f>IFERROR(__xludf.DUMMYFUNCTION("""COMPUTED_VALUE"""),2846.0)</f>
        <v>2846</v>
      </c>
      <c r="G15178" s="4">
        <f>IFERROR(__xludf.DUMMYFUNCTION("""COMPUTED_VALUE"""),44.0)</f>
        <v>44</v>
      </c>
      <c r="H15178" s="4"/>
      <c r="I15178" s="4"/>
    </row>
    <row r="15179">
      <c r="A15179" s="4" t="str">
        <f>IFERROR(__xludf.DUMMYFUNCTION("""COMPUTED_VALUE"""),"cas_hmw")</f>
        <v>cas_hmw</v>
      </c>
      <c r="B15179" s="5">
        <f>IFERROR(__xludf.DUMMYFUNCTION("""COMPUTED_VALUE"""),44728.0)</f>
        <v>44728</v>
      </c>
      <c r="C15179" s="6">
        <f>IFERROR(__xludf.DUMMYFUNCTION("""COMPUTED_VALUE"""),0.695659722223354)</f>
        <v>0.6956597222</v>
      </c>
      <c r="D15179" s="4">
        <f>IFERROR(__xludf.DUMMYFUNCTION("""COMPUTED_VALUE"""),12.914911)</f>
        <v>12.914911</v>
      </c>
      <c r="E15179" s="4">
        <f>IFERROR(__xludf.DUMMYFUNCTION("""COMPUTED_VALUE"""),80.101956)</f>
        <v>80.101956</v>
      </c>
      <c r="F15179" s="4">
        <f>IFERROR(__xludf.DUMMYFUNCTION("""COMPUTED_VALUE"""),805.0)</f>
        <v>805</v>
      </c>
      <c r="G15179" s="4">
        <f>IFERROR(__xludf.DUMMYFUNCTION("""COMPUTED_VALUE"""),52.0)</f>
        <v>52</v>
      </c>
      <c r="H15179" s="4"/>
      <c r="I15179" s="4"/>
    </row>
    <row r="15180">
      <c r="A15180" s="4" t="str">
        <f>IFERROR(__xludf.DUMMYFUNCTION("""COMPUTED_VALUE"""),"cas_hmw")</f>
        <v>cas_hmw</v>
      </c>
      <c r="B15180" s="5">
        <f>IFERROR(__xludf.DUMMYFUNCTION("""COMPUTED_VALUE"""),44728.0)</f>
        <v>44728</v>
      </c>
      <c r="C15180" s="6">
        <f>IFERROR(__xludf.DUMMYFUNCTION("""COMPUTED_VALUE"""),0.6956944444427791)</f>
        <v>0.6956944444</v>
      </c>
      <c r="D15180" s="4">
        <f>IFERROR(__xludf.DUMMYFUNCTION("""COMPUTED_VALUE"""),12.85538)</f>
        <v>12.85538</v>
      </c>
      <c r="E15180" s="4">
        <f>IFERROR(__xludf.DUMMYFUNCTION("""COMPUTED_VALUE"""),80.068851)</f>
        <v>80.068851</v>
      </c>
      <c r="F15180" s="4">
        <f>IFERROR(__xludf.DUMMYFUNCTION("""COMPUTED_VALUE"""),2846.0)</f>
        <v>2846</v>
      </c>
      <c r="G15180" s="4">
        <f>IFERROR(__xludf.DUMMYFUNCTION("""COMPUTED_VALUE"""),44.0)</f>
        <v>44</v>
      </c>
      <c r="H15180" s="4"/>
      <c r="I15180" s="4"/>
    </row>
    <row r="15181">
      <c r="A15181" s="4" t="str">
        <f>IFERROR(__xludf.DUMMYFUNCTION("""COMPUTED_VALUE"""),"cas_hmw")</f>
        <v>cas_hmw</v>
      </c>
      <c r="B15181" s="5">
        <f>IFERROR(__xludf.DUMMYFUNCTION("""COMPUTED_VALUE"""),44728.0)</f>
        <v>44728</v>
      </c>
      <c r="C15181" s="6">
        <f>IFERROR(__xludf.DUMMYFUNCTION("""COMPUTED_VALUE"""),0.6959953703699284)</f>
        <v>0.6959953704</v>
      </c>
      <c r="D15181" s="4">
        <f>IFERROR(__xludf.DUMMYFUNCTION("""COMPUTED_VALUE"""),12.916217)</f>
        <v>12.916217</v>
      </c>
      <c r="E15181" s="4">
        <f>IFERROR(__xludf.DUMMYFUNCTION("""COMPUTED_VALUE"""),80.105602)</f>
        <v>80.105602</v>
      </c>
      <c r="F15181" s="4">
        <f>IFERROR(__xludf.DUMMYFUNCTION("""COMPUTED_VALUE"""),805.0)</f>
        <v>805</v>
      </c>
      <c r="G15181" s="4">
        <f>IFERROR(__xludf.DUMMYFUNCTION("""COMPUTED_VALUE"""),45.0)</f>
        <v>45</v>
      </c>
      <c r="H15181" s="4"/>
      <c r="I15181" s="4"/>
    </row>
    <row r="15182">
      <c r="A15182" s="4" t="str">
        <f>IFERROR(__xludf.DUMMYFUNCTION("""COMPUTED_VALUE"""),"cas_hmw")</f>
        <v>cas_hmw</v>
      </c>
      <c r="B15182" s="5">
        <f>IFERROR(__xludf.DUMMYFUNCTION("""COMPUTED_VALUE"""),44728.0)</f>
        <v>44728</v>
      </c>
      <c r="C15182" s="6">
        <f>IFERROR(__xludf.DUMMYFUNCTION("""COMPUTED_VALUE"""),0.6961111111122591)</f>
        <v>0.6961111111</v>
      </c>
      <c r="D15182" s="4">
        <f>IFERROR(__xludf.DUMMYFUNCTION("""COMPUTED_VALUE"""),12.852045)</f>
        <v>12.852045</v>
      </c>
      <c r="E15182" s="4">
        <f>IFERROR(__xludf.DUMMYFUNCTION("""COMPUTED_VALUE"""),80.066403)</f>
        <v>80.066403</v>
      </c>
      <c r="F15182" s="4">
        <f>IFERROR(__xludf.DUMMYFUNCTION("""COMPUTED_VALUE"""),2846.0)</f>
        <v>2846</v>
      </c>
      <c r="G15182" s="4">
        <f>IFERROR(__xludf.DUMMYFUNCTION("""COMPUTED_VALUE"""),45.0)</f>
        <v>45</v>
      </c>
      <c r="H15182" s="4"/>
      <c r="I15182" s="4"/>
    </row>
    <row r="15183">
      <c r="A15183" s="4" t="str">
        <f>IFERROR(__xludf.DUMMYFUNCTION("""COMPUTED_VALUE"""),"cas_hmw")</f>
        <v>cas_hmw</v>
      </c>
      <c r="B15183" s="5">
        <f>IFERROR(__xludf.DUMMYFUNCTION("""COMPUTED_VALUE"""),44728.0)</f>
        <v>44728</v>
      </c>
      <c r="C15183" s="6">
        <f>IFERROR(__xludf.DUMMYFUNCTION("""COMPUTED_VALUE"""),0.6961805555547471)</f>
        <v>0.6961805556</v>
      </c>
      <c r="D15183" s="4">
        <f>IFERROR(__xludf.DUMMYFUNCTION("""COMPUTED_VALUE"""),12.918639)</f>
        <v>12.918639</v>
      </c>
      <c r="E15183" s="4">
        <f>IFERROR(__xludf.DUMMYFUNCTION("""COMPUTED_VALUE"""),80.109268)</f>
        <v>80.109268</v>
      </c>
      <c r="F15183" s="4">
        <f>IFERROR(__xludf.DUMMYFUNCTION("""COMPUTED_VALUE"""),5339.0)</f>
        <v>5339</v>
      </c>
      <c r="G15183" s="4">
        <f>IFERROR(__xludf.DUMMYFUNCTION("""COMPUTED_VALUE"""),46.0)</f>
        <v>46</v>
      </c>
      <c r="H15183" s="4"/>
      <c r="I15183" s="4"/>
    </row>
    <row r="15184">
      <c r="A15184" s="4" t="str">
        <f>IFERROR(__xludf.DUMMYFUNCTION("""COMPUTED_VALUE"""),"cas_hmw")</f>
        <v>cas_hmw</v>
      </c>
      <c r="B15184" s="5">
        <f>IFERROR(__xludf.DUMMYFUNCTION("""COMPUTED_VALUE"""),44728.0)</f>
        <v>44728</v>
      </c>
      <c r="C15184" s="6">
        <f>IFERROR(__xludf.DUMMYFUNCTION("""COMPUTED_VALUE"""),0.6963541666664241)</f>
        <v>0.6963541667</v>
      </c>
      <c r="D15184" s="4">
        <f>IFERROR(__xludf.DUMMYFUNCTION("""COMPUTED_VALUE"""),12.917985)</f>
        <v>12.917985</v>
      </c>
      <c r="E15184" s="4">
        <f>IFERROR(__xludf.DUMMYFUNCTION("""COMPUTED_VALUE"""),80.108438)</f>
        <v>80.108438</v>
      </c>
      <c r="F15184" s="4">
        <f>IFERROR(__xludf.DUMMYFUNCTION("""COMPUTED_VALUE"""),805.0)</f>
        <v>805</v>
      </c>
      <c r="G15184" s="4">
        <f>IFERROR(__xludf.DUMMYFUNCTION("""COMPUTED_VALUE"""),37.0)</f>
        <v>37</v>
      </c>
      <c r="H15184" s="4"/>
      <c r="I15184" s="4"/>
    </row>
    <row r="15185">
      <c r="A15185" s="4" t="str">
        <f>IFERROR(__xludf.DUMMYFUNCTION("""COMPUTED_VALUE"""),"cas_hmw")</f>
        <v>cas_hmw</v>
      </c>
      <c r="B15185" s="5">
        <f>IFERROR(__xludf.DUMMYFUNCTION("""COMPUTED_VALUE"""),44728.0)</f>
        <v>44728</v>
      </c>
      <c r="C15185" s="6">
        <f>IFERROR(__xludf.DUMMYFUNCTION("""COMPUTED_VALUE"""),0.6964467592588335)</f>
        <v>0.6964467593</v>
      </c>
      <c r="D15185" s="4">
        <f>IFERROR(__xludf.DUMMYFUNCTION("""COMPUTED_VALUE"""),12.917985)</f>
        <v>12.917985</v>
      </c>
      <c r="E15185" s="4">
        <f>IFERROR(__xludf.DUMMYFUNCTION("""COMPUTED_VALUE"""),80.108438)</f>
        <v>80.108438</v>
      </c>
      <c r="F15185" s="4">
        <f>IFERROR(__xludf.DUMMYFUNCTION("""COMPUTED_VALUE"""),805.0)</f>
        <v>805</v>
      </c>
      <c r="G15185" s="4">
        <f>IFERROR(__xludf.DUMMYFUNCTION("""COMPUTED_VALUE"""),37.0)</f>
        <v>37</v>
      </c>
      <c r="H15185" s="4"/>
      <c r="I15185" s="4"/>
    </row>
    <row r="15186">
      <c r="A15186" s="4" t="str">
        <f>IFERROR(__xludf.DUMMYFUNCTION("""COMPUTED_VALUE"""),"cas_hmw")</f>
        <v>cas_hmw</v>
      </c>
      <c r="B15186" s="5">
        <f>IFERROR(__xludf.DUMMYFUNCTION("""COMPUTED_VALUE"""),44728.0)</f>
        <v>44728</v>
      </c>
      <c r="C15186" s="6">
        <f>IFERROR(__xludf.DUMMYFUNCTION("""COMPUTED_VALUE"""),0.6966087962973688)</f>
        <v>0.6966087963</v>
      </c>
      <c r="D15186" s="4">
        <f>IFERROR(__xludf.DUMMYFUNCTION("""COMPUTED_VALUE"""),12.91905)</f>
        <v>12.91905</v>
      </c>
      <c r="E15186" s="4">
        <f>IFERROR(__xludf.DUMMYFUNCTION("""COMPUTED_VALUE"""),80.10977)</f>
        <v>80.10977</v>
      </c>
      <c r="F15186" s="4">
        <f>IFERROR(__xludf.DUMMYFUNCTION("""COMPUTED_VALUE"""),805.0)</f>
        <v>805</v>
      </c>
      <c r="G15186" s="4">
        <f>IFERROR(__xludf.DUMMYFUNCTION("""COMPUTED_VALUE"""),41.0)</f>
        <v>41</v>
      </c>
      <c r="H15186" s="4"/>
      <c r="I15186" s="4"/>
    </row>
    <row r="15187">
      <c r="A15187" s="4" t="str">
        <f>IFERROR(__xludf.DUMMYFUNCTION("""COMPUTED_VALUE"""),"cas_hmw")</f>
        <v>cas_hmw</v>
      </c>
      <c r="B15187" s="5">
        <f>IFERROR(__xludf.DUMMYFUNCTION("""COMPUTED_VALUE"""),44728.0)</f>
        <v>44728</v>
      </c>
      <c r="C15187" s="6">
        <f>IFERROR(__xludf.DUMMYFUNCTION("""COMPUTED_VALUE"""),0.6970486111094942)</f>
        <v>0.6970486111</v>
      </c>
      <c r="D15187" s="4">
        <f>IFERROR(__xludf.DUMMYFUNCTION("""COMPUTED_VALUE"""),12.922704)</f>
        <v>12.922704</v>
      </c>
      <c r="E15187" s="4">
        <f>IFERROR(__xludf.DUMMYFUNCTION("""COMPUTED_VALUE"""),80.113766)</f>
        <v>80.113766</v>
      </c>
      <c r="F15187" s="4">
        <f>IFERROR(__xludf.DUMMYFUNCTION("""COMPUTED_VALUE"""),805.0)</f>
        <v>805</v>
      </c>
      <c r="G15187" s="4">
        <f>IFERROR(__xludf.DUMMYFUNCTION("""COMPUTED_VALUE"""),39.0)</f>
        <v>39</v>
      </c>
      <c r="H15187" s="4"/>
      <c r="I15187" s="4"/>
    </row>
    <row r="15188">
      <c r="A15188" s="4" t="str">
        <f>IFERROR(__xludf.DUMMYFUNCTION("""COMPUTED_VALUE"""),"cas_hmw")</f>
        <v>cas_hmw</v>
      </c>
      <c r="B15188" s="5">
        <f>IFERROR(__xludf.DUMMYFUNCTION("""COMPUTED_VALUE"""),44728.0)</f>
        <v>44728</v>
      </c>
      <c r="C15188" s="6">
        <f>IFERROR(__xludf.DUMMYFUNCTION("""COMPUTED_VALUE"""),0.6970601851862739)</f>
        <v>0.6970601852</v>
      </c>
      <c r="D15188" s="4">
        <f>IFERROR(__xludf.DUMMYFUNCTION("""COMPUTED_VALUE"""),12.923271)</f>
        <v>12.923271</v>
      </c>
      <c r="E15188" s="4">
        <f>IFERROR(__xludf.DUMMYFUNCTION("""COMPUTED_VALUE"""),80.114352)</f>
        <v>80.114352</v>
      </c>
      <c r="F15188" s="4">
        <f>IFERROR(__xludf.DUMMYFUNCTION("""COMPUTED_VALUE"""),5339.0)</f>
        <v>5339</v>
      </c>
      <c r="G15188" s="4">
        <f>IFERROR(__xludf.DUMMYFUNCTION("""COMPUTED_VALUE"""),24.0)</f>
        <v>24</v>
      </c>
      <c r="H15188" s="4"/>
      <c r="I15188" s="4"/>
    </row>
    <row r="15189">
      <c r="A15189" s="4" t="str">
        <f>IFERROR(__xludf.DUMMYFUNCTION("""COMPUTED_VALUE"""),"cas_hmw")</f>
        <v>cas_hmw</v>
      </c>
      <c r="B15189" s="5">
        <f>IFERROR(__xludf.DUMMYFUNCTION("""COMPUTED_VALUE"""),44728.0)</f>
        <v>44728</v>
      </c>
      <c r="C15189" s="6">
        <f>IFERROR(__xludf.DUMMYFUNCTION("""COMPUTED_VALUE"""),0.6972685185173759)</f>
        <v>0.6972685185</v>
      </c>
      <c r="D15189" s="4">
        <f>IFERROR(__xludf.DUMMYFUNCTION("""COMPUTED_VALUE"""),12.924621)</f>
        <v>12.924621</v>
      </c>
      <c r="E15189" s="4">
        <f>IFERROR(__xludf.DUMMYFUNCTION("""COMPUTED_VALUE"""),80.115707)</f>
        <v>80.115707</v>
      </c>
      <c r="F15189" s="4">
        <f>IFERROR(__xludf.DUMMYFUNCTION("""COMPUTED_VALUE"""),5339.0)</f>
        <v>5339</v>
      </c>
      <c r="G15189" s="4">
        <f>IFERROR(__xludf.DUMMYFUNCTION("""COMPUTED_VALUE"""),50.0)</f>
        <v>50</v>
      </c>
      <c r="H15189" s="4"/>
      <c r="I15189" s="4"/>
    </row>
    <row r="15190">
      <c r="A15190" s="4" t="str">
        <f>IFERROR(__xludf.DUMMYFUNCTION("""COMPUTED_VALUE"""),"cas_hmw")</f>
        <v>cas_hmw</v>
      </c>
      <c r="B15190" s="5">
        <f>IFERROR(__xludf.DUMMYFUNCTION("""COMPUTED_VALUE"""),44728.0)</f>
        <v>44728</v>
      </c>
      <c r="C15190" s="6">
        <f>IFERROR(__xludf.DUMMYFUNCTION("""COMPUTED_VALUE"""),0.6973263888903602)</f>
        <v>0.6973263889</v>
      </c>
      <c r="D15190" s="4">
        <f>IFERROR(__xludf.DUMMYFUNCTION("""COMPUTED_VALUE"""),12.9236)</f>
        <v>12.9236</v>
      </c>
      <c r="E15190" s="4">
        <f>IFERROR(__xludf.DUMMYFUNCTION("""COMPUTED_VALUE"""),80.114655)</f>
        <v>80.114655</v>
      </c>
      <c r="F15190" s="4">
        <f>IFERROR(__xludf.DUMMYFUNCTION("""COMPUTED_VALUE"""),805.0)</f>
        <v>805</v>
      </c>
      <c r="G15190" s="4">
        <f>IFERROR(__xludf.DUMMYFUNCTION("""COMPUTED_VALUE"""),37.0)</f>
        <v>37</v>
      </c>
      <c r="H15190" s="4"/>
      <c r="I15190" s="4"/>
    </row>
    <row r="15191">
      <c r="A15191" s="4" t="str">
        <f>IFERROR(__xludf.DUMMYFUNCTION("""COMPUTED_VALUE"""),"cas_hmw")</f>
        <v>cas_hmw</v>
      </c>
      <c r="B15191" s="5">
        <f>IFERROR(__xludf.DUMMYFUNCTION("""COMPUTED_VALUE"""),44728.0)</f>
        <v>44728</v>
      </c>
      <c r="C15191" s="6">
        <f>IFERROR(__xludf.DUMMYFUNCTION("""COMPUTED_VALUE"""),0.6973611111097853)</f>
        <v>0.6973611111</v>
      </c>
      <c r="D15191" s="4">
        <f>IFERROR(__xludf.DUMMYFUNCTION("""COMPUTED_VALUE"""),12.925446)</f>
        <v>12.925446</v>
      </c>
      <c r="E15191" s="4">
        <f>IFERROR(__xludf.DUMMYFUNCTION("""COMPUTED_VALUE"""),80.116534)</f>
        <v>80.116534</v>
      </c>
      <c r="F15191" s="4">
        <f>IFERROR(__xludf.DUMMYFUNCTION("""COMPUTED_VALUE"""),5339.0)</f>
        <v>5339</v>
      </c>
      <c r="G15191" s="4">
        <f>IFERROR(__xludf.DUMMYFUNCTION("""COMPUTED_VALUE"""),46.0)</f>
        <v>46</v>
      </c>
      <c r="H15191" s="4"/>
      <c r="I15191" s="4"/>
    </row>
    <row r="15192">
      <c r="A15192" s="4" t="str">
        <f>IFERROR(__xludf.DUMMYFUNCTION("""COMPUTED_VALUE"""),"cas_hmw")</f>
        <v>cas_hmw</v>
      </c>
      <c r="B15192" s="5">
        <f>IFERROR(__xludf.DUMMYFUNCTION("""COMPUTED_VALUE"""),44728.0)</f>
        <v>44728</v>
      </c>
      <c r="C15192" s="6">
        <f>IFERROR(__xludf.DUMMYFUNCTION("""COMPUTED_VALUE"""),0.6973842592597066)</f>
        <v>0.6973842593</v>
      </c>
      <c r="D15192" s="4">
        <f>IFERROR(__xludf.DUMMYFUNCTION("""COMPUTED_VALUE"""),12.925446)</f>
        <v>12.925446</v>
      </c>
      <c r="E15192" s="4">
        <f>IFERROR(__xludf.DUMMYFUNCTION("""COMPUTED_VALUE"""),80.116534)</f>
        <v>80.116534</v>
      </c>
      <c r="F15192" s="4">
        <f>IFERROR(__xludf.DUMMYFUNCTION("""COMPUTED_VALUE"""),5339.0)</f>
        <v>5339</v>
      </c>
      <c r="G15192" s="4">
        <f>IFERROR(__xludf.DUMMYFUNCTION("""COMPUTED_VALUE"""),46.0)</f>
        <v>46</v>
      </c>
      <c r="H15192" s="4"/>
      <c r="I15192" s="4"/>
    </row>
    <row r="15193">
      <c r="A15193" s="4" t="str">
        <f>IFERROR(__xludf.DUMMYFUNCTION("""COMPUTED_VALUE"""),"cas_hmw")</f>
        <v>cas_hmw</v>
      </c>
      <c r="B15193" s="5">
        <f>IFERROR(__xludf.DUMMYFUNCTION("""COMPUTED_VALUE"""),44728.0)</f>
        <v>44728</v>
      </c>
      <c r="C15193" s="6">
        <f>IFERROR(__xludf.DUMMYFUNCTION("""COMPUTED_VALUE"""),0.6974768518521159)</f>
        <v>0.6974768519</v>
      </c>
      <c r="D15193" s="4">
        <f>IFERROR(__xludf.DUMMYFUNCTION("""COMPUTED_VALUE"""),12.924591)</f>
        <v>12.924591</v>
      </c>
      <c r="E15193" s="4">
        <f>IFERROR(__xludf.DUMMYFUNCTION("""COMPUTED_VALUE"""),80.115669)</f>
        <v>80.115669</v>
      </c>
      <c r="F15193" s="4">
        <f>IFERROR(__xludf.DUMMYFUNCTION("""COMPUTED_VALUE"""),805.0)</f>
        <v>805</v>
      </c>
      <c r="G15193" s="4">
        <f>IFERROR(__xludf.DUMMYFUNCTION("""COMPUTED_VALUE"""),41.0)</f>
        <v>41</v>
      </c>
      <c r="H15193" s="4"/>
      <c r="I15193" s="4"/>
    </row>
    <row r="15194">
      <c r="A15194" s="4" t="str">
        <f>IFERROR(__xludf.DUMMYFUNCTION("""COMPUTED_VALUE"""),"cas_hmw")</f>
        <v>cas_hmw</v>
      </c>
      <c r="B15194" s="5">
        <f>IFERROR(__xludf.DUMMYFUNCTION("""COMPUTED_VALUE"""),44728.0)</f>
        <v>44728</v>
      </c>
      <c r="C15194" s="6">
        <f>IFERROR(__xludf.DUMMYFUNCTION("""COMPUTED_VALUE"""),0.6976620370369346)</f>
        <v>0.697662037</v>
      </c>
      <c r="D15194" s="4">
        <f>IFERROR(__xludf.DUMMYFUNCTION("""COMPUTED_VALUE"""),12.926952)</f>
        <v>12.926952</v>
      </c>
      <c r="E15194" s="4">
        <f>IFERROR(__xludf.DUMMYFUNCTION("""COMPUTED_VALUE"""),80.118051)</f>
        <v>80.118051</v>
      </c>
      <c r="F15194" s="4">
        <f>IFERROR(__xludf.DUMMYFUNCTION("""COMPUTED_VALUE"""),5339.0)</f>
        <v>5339</v>
      </c>
      <c r="G15194" s="4">
        <f>IFERROR(__xludf.DUMMYFUNCTION("""COMPUTED_VALUE"""),28.0)</f>
        <v>28</v>
      </c>
      <c r="H15194" s="4"/>
      <c r="I15194" s="4"/>
    </row>
    <row r="15195">
      <c r="A15195" s="4" t="str">
        <f>IFERROR(__xludf.DUMMYFUNCTION("""COMPUTED_VALUE"""),"cas_hmw")</f>
        <v>cas_hmw</v>
      </c>
      <c r="B15195" s="5">
        <f>IFERROR(__xludf.DUMMYFUNCTION("""COMPUTED_VALUE"""),44728.0)</f>
        <v>44728</v>
      </c>
      <c r="C15195" s="6">
        <f>IFERROR(__xludf.DUMMYFUNCTION("""COMPUTED_VALUE"""),0.6977662037024857)</f>
        <v>0.6977662037</v>
      </c>
      <c r="D15195" s="4">
        <f>IFERROR(__xludf.DUMMYFUNCTION("""COMPUTED_VALUE"""),12.927443)</f>
        <v>12.927443</v>
      </c>
      <c r="E15195" s="4">
        <f>IFERROR(__xludf.DUMMYFUNCTION("""COMPUTED_VALUE"""),80.118562)</f>
        <v>80.118562</v>
      </c>
      <c r="F15195" s="4">
        <f>IFERROR(__xludf.DUMMYFUNCTION("""COMPUTED_VALUE"""),5339.0)</f>
        <v>5339</v>
      </c>
      <c r="G15195" s="4">
        <f>IFERROR(__xludf.DUMMYFUNCTION("""COMPUTED_VALUE"""),29.0)</f>
        <v>29</v>
      </c>
      <c r="H15195" s="4"/>
      <c r="I15195" s="4"/>
    </row>
    <row r="15196">
      <c r="A15196" s="4" t="str">
        <f>IFERROR(__xludf.DUMMYFUNCTION("""COMPUTED_VALUE"""),"cas_hmw")</f>
        <v>cas_hmw</v>
      </c>
      <c r="B15196" s="5">
        <f>IFERROR(__xludf.DUMMYFUNCTION("""COMPUTED_VALUE"""),44728.0)</f>
        <v>44728</v>
      </c>
      <c r="C15196" s="6">
        <f>IFERROR(__xludf.DUMMYFUNCTION("""COMPUTED_VALUE"""),0.6982523148144537)</f>
        <v>0.6982523148</v>
      </c>
      <c r="D15196" s="4">
        <f>IFERROR(__xludf.DUMMYFUNCTION("""COMPUTED_VALUE"""),12.929775)</f>
        <v>12.929775</v>
      </c>
      <c r="E15196" s="4">
        <f>IFERROR(__xludf.DUMMYFUNCTION("""COMPUTED_VALUE"""),80.12086)</f>
        <v>80.12086</v>
      </c>
      <c r="F15196" s="4">
        <f>IFERROR(__xludf.DUMMYFUNCTION("""COMPUTED_VALUE"""),5339.0)</f>
        <v>5339</v>
      </c>
      <c r="G15196" s="4">
        <f>IFERROR(__xludf.DUMMYFUNCTION("""COMPUTED_VALUE"""),36.0)</f>
        <v>36</v>
      </c>
      <c r="H15196" s="4"/>
      <c r="I15196" s="4"/>
    </row>
    <row r="15197">
      <c r="A15197" s="4" t="str">
        <f>IFERROR(__xludf.DUMMYFUNCTION("""COMPUTED_VALUE"""),"cas_hmw")</f>
        <v>cas_hmw</v>
      </c>
      <c r="B15197" s="5">
        <f>IFERROR(__xludf.DUMMYFUNCTION("""COMPUTED_VALUE"""),44728.0)</f>
        <v>44728</v>
      </c>
      <c r="C15197" s="6">
        <f>IFERROR(__xludf.DUMMYFUNCTION("""COMPUTED_VALUE"""),0.698275462964375)</f>
        <v>0.698275463</v>
      </c>
      <c r="D15197" s="4">
        <f>IFERROR(__xludf.DUMMYFUNCTION("""COMPUTED_VALUE"""),12.929775)</f>
        <v>12.929775</v>
      </c>
      <c r="E15197" s="4">
        <f>IFERROR(__xludf.DUMMYFUNCTION("""COMPUTED_VALUE"""),80.12086)</f>
        <v>80.12086</v>
      </c>
      <c r="F15197" s="4">
        <f>IFERROR(__xludf.DUMMYFUNCTION("""COMPUTED_VALUE"""),5339.0)</f>
        <v>5339</v>
      </c>
      <c r="G15197" s="4">
        <f>IFERROR(__xludf.DUMMYFUNCTION("""COMPUTED_VALUE"""),36.0)</f>
        <v>36</v>
      </c>
      <c r="H15197" s="4"/>
      <c r="I15197" s="4"/>
    </row>
    <row r="15198">
      <c r="A15198" s="4" t="str">
        <f>IFERROR(__xludf.DUMMYFUNCTION("""COMPUTED_VALUE"""),"cas_hmw")</f>
        <v>cas_hmw</v>
      </c>
      <c r="B15198" s="5">
        <f>IFERROR(__xludf.DUMMYFUNCTION("""COMPUTED_VALUE"""),44728.0)</f>
        <v>44728</v>
      </c>
      <c r="C15198" s="6">
        <f>IFERROR(__xludf.DUMMYFUNCTION("""COMPUTED_VALUE"""),0.6990624999998545)</f>
        <v>0.6990625</v>
      </c>
      <c r="D15198" s="4">
        <f>IFERROR(__xludf.DUMMYFUNCTION("""COMPUTED_VALUE"""),12.930246)</f>
        <v>12.930246</v>
      </c>
      <c r="E15198" s="4">
        <f>IFERROR(__xludf.DUMMYFUNCTION("""COMPUTED_VALUE"""),80.121373)</f>
        <v>80.121373</v>
      </c>
      <c r="F15198" s="4">
        <f>IFERROR(__xludf.DUMMYFUNCTION("""COMPUTED_VALUE"""),805.0)</f>
        <v>805</v>
      </c>
      <c r="G15198" s="4">
        <f>IFERROR(__xludf.DUMMYFUNCTION("""COMPUTED_VALUE"""),33.0)</f>
        <v>33</v>
      </c>
      <c r="H15198" s="4"/>
      <c r="I15198" s="4"/>
    </row>
    <row r="15199">
      <c r="A15199" s="4" t="str">
        <f>IFERROR(__xludf.DUMMYFUNCTION("""COMPUTED_VALUE"""),"cas_hmw")</f>
        <v>cas_hmw</v>
      </c>
      <c r="B15199" s="5">
        <f>IFERROR(__xludf.DUMMYFUNCTION("""COMPUTED_VALUE"""),44728.0)</f>
        <v>44728</v>
      </c>
      <c r="C15199" s="6">
        <f>IFERROR(__xludf.DUMMYFUNCTION("""COMPUTED_VALUE"""),0.6992476851846732)</f>
        <v>0.6992476852</v>
      </c>
      <c r="D15199" s="4">
        <f>IFERROR(__xludf.DUMMYFUNCTION("""COMPUTED_VALUE"""),12.931466)</f>
        <v>12.931466</v>
      </c>
      <c r="E15199" s="4">
        <f>IFERROR(__xludf.DUMMYFUNCTION("""COMPUTED_VALUE"""),80.122592)</f>
        <v>80.122592</v>
      </c>
      <c r="F15199" s="4">
        <f>IFERROR(__xludf.DUMMYFUNCTION("""COMPUTED_VALUE"""),805.0)</f>
        <v>805</v>
      </c>
      <c r="G15199" s="4">
        <f>IFERROR(__xludf.DUMMYFUNCTION("""COMPUTED_VALUE"""),51.0)</f>
        <v>51</v>
      </c>
      <c r="H15199" s="4"/>
      <c r="I15199" s="4"/>
    </row>
    <row r="15200">
      <c r="A15200" s="4" t="str">
        <f>IFERROR(__xludf.DUMMYFUNCTION("""COMPUTED_VALUE"""),"cas_hmw")</f>
        <v>cas_hmw</v>
      </c>
      <c r="B15200" s="5">
        <f>IFERROR(__xludf.DUMMYFUNCTION("""COMPUTED_VALUE"""),44728.0)</f>
        <v>44728</v>
      </c>
      <c r="C15200" s="6">
        <f>IFERROR(__xludf.DUMMYFUNCTION("""COMPUTED_VALUE"""),0.6993981481464289)</f>
        <v>0.6993981481</v>
      </c>
      <c r="D15200" s="4">
        <f>IFERROR(__xludf.DUMMYFUNCTION("""COMPUTED_VALUE"""),12.93264)</f>
        <v>12.93264</v>
      </c>
      <c r="E15200" s="4">
        <f>IFERROR(__xludf.DUMMYFUNCTION("""COMPUTED_VALUE"""),80.123741)</f>
        <v>80.123741</v>
      </c>
      <c r="F15200" s="4">
        <f>IFERROR(__xludf.DUMMYFUNCTION("""COMPUTED_VALUE"""),805.0)</f>
        <v>805</v>
      </c>
      <c r="G15200" s="4">
        <f>IFERROR(__xludf.DUMMYFUNCTION("""COMPUTED_VALUE"""),38.0)</f>
        <v>38</v>
      </c>
      <c r="H15200" s="4"/>
      <c r="I15200" s="4"/>
    </row>
    <row r="15201">
      <c r="A15201" s="4" t="str">
        <f>IFERROR(__xludf.DUMMYFUNCTION("""COMPUTED_VALUE"""),"cas_hmw")</f>
        <v>cas_hmw</v>
      </c>
      <c r="B15201" s="5">
        <f>IFERROR(__xludf.DUMMYFUNCTION("""COMPUTED_VALUE"""),44728.0)</f>
        <v>44728</v>
      </c>
      <c r="C15201" s="6">
        <f>IFERROR(__xludf.DUMMYFUNCTION("""COMPUTED_VALUE"""),0.6997569444429246)</f>
        <v>0.6997569444</v>
      </c>
      <c r="D15201" s="4">
        <f>IFERROR(__xludf.DUMMYFUNCTION("""COMPUTED_VALUE"""),12.934972)</f>
        <v>12.934972</v>
      </c>
      <c r="E15201" s="4">
        <f>IFERROR(__xludf.DUMMYFUNCTION("""COMPUTED_VALUE"""),80.125969)</f>
        <v>80.125969</v>
      </c>
      <c r="F15201" s="4">
        <f>IFERROR(__xludf.DUMMYFUNCTION("""COMPUTED_VALUE"""),805.0)</f>
        <v>805</v>
      </c>
      <c r="G15201" s="4">
        <f>IFERROR(__xludf.DUMMYFUNCTION("""COMPUTED_VALUE"""),38.0)</f>
        <v>38</v>
      </c>
      <c r="H15201" s="4"/>
      <c r="I15201" s="4"/>
    </row>
    <row r="15202">
      <c r="A15202" s="4" t="str">
        <f>IFERROR(__xludf.DUMMYFUNCTION("""COMPUTED_VALUE"""),"cas_hmw")</f>
        <v>cas_hmw</v>
      </c>
      <c r="B15202" s="5">
        <f>IFERROR(__xludf.DUMMYFUNCTION("""COMPUTED_VALUE"""),44728.0)</f>
        <v>44728</v>
      </c>
      <c r="C15202" s="6">
        <f>IFERROR(__xludf.DUMMYFUNCTION("""COMPUTED_VALUE"""),0.6997685185197042)</f>
        <v>0.6997685185</v>
      </c>
      <c r="D15202" s="4">
        <f>IFERROR(__xludf.DUMMYFUNCTION("""COMPUTED_VALUE"""),12.934972)</f>
        <v>12.934972</v>
      </c>
      <c r="E15202" s="4">
        <f>IFERROR(__xludf.DUMMYFUNCTION("""COMPUTED_VALUE"""),80.125969)</f>
        <v>80.125969</v>
      </c>
      <c r="F15202" s="4">
        <f>IFERROR(__xludf.DUMMYFUNCTION("""COMPUTED_VALUE"""),805.0)</f>
        <v>805</v>
      </c>
      <c r="G15202" s="4">
        <f>IFERROR(__xludf.DUMMYFUNCTION("""COMPUTED_VALUE"""),38.0)</f>
        <v>38</v>
      </c>
      <c r="H15202" s="4"/>
      <c r="I15202" s="4"/>
    </row>
    <row r="15203">
      <c r="A15203" s="4" t="str">
        <f>IFERROR(__xludf.DUMMYFUNCTION("""COMPUTED_VALUE"""),"cas_hmw")</f>
        <v>cas_hmw</v>
      </c>
      <c r="B15203" s="5">
        <f>IFERROR(__xludf.DUMMYFUNCTION("""COMPUTED_VALUE"""),44728.0)</f>
        <v>44728</v>
      </c>
      <c r="C15203" s="6">
        <f>IFERROR(__xludf.DUMMYFUNCTION("""COMPUTED_VALUE"""),0.6999305555546016)</f>
        <v>0.6999305556</v>
      </c>
      <c r="D15203" s="4">
        <f>IFERROR(__xludf.DUMMYFUNCTION("""COMPUTED_VALUE"""),12.93572)</f>
        <v>12.93572</v>
      </c>
      <c r="E15203" s="4">
        <f>IFERROR(__xludf.DUMMYFUNCTION("""COMPUTED_VALUE"""),80.126531)</f>
        <v>80.126531</v>
      </c>
      <c r="F15203" s="4">
        <f>IFERROR(__xludf.DUMMYFUNCTION("""COMPUTED_VALUE"""),805.0)</f>
        <v>805</v>
      </c>
      <c r="G15203" s="4">
        <f>IFERROR(__xludf.DUMMYFUNCTION("""COMPUTED_VALUE"""),14.0)</f>
        <v>14</v>
      </c>
      <c r="H15203" s="4"/>
      <c r="I15203" s="4"/>
    </row>
    <row r="15204">
      <c r="A15204" s="4" t="str">
        <f>IFERROR(__xludf.DUMMYFUNCTION("""COMPUTED_VALUE"""),"cas_hmw")</f>
        <v>cas_hmw</v>
      </c>
      <c r="B15204" s="5">
        <f>IFERROR(__xludf.DUMMYFUNCTION("""COMPUTED_VALUE"""),44728.0)</f>
        <v>44728</v>
      </c>
      <c r="C15204" s="6">
        <f>IFERROR(__xludf.DUMMYFUNCTION("""COMPUTED_VALUE"""),0.6999768518508063)</f>
        <v>0.6999768519</v>
      </c>
      <c r="D15204" s="4">
        <f>IFERROR(__xludf.DUMMYFUNCTION("""COMPUTED_VALUE"""),12.93572)</f>
        <v>12.93572</v>
      </c>
      <c r="E15204" s="4">
        <f>IFERROR(__xludf.DUMMYFUNCTION("""COMPUTED_VALUE"""),80.126531)</f>
        <v>80.126531</v>
      </c>
      <c r="F15204" s="4">
        <f>IFERROR(__xludf.DUMMYFUNCTION("""COMPUTED_VALUE"""),805.0)</f>
        <v>805</v>
      </c>
      <c r="G15204" s="4">
        <f>IFERROR(__xludf.DUMMYFUNCTION("""COMPUTED_VALUE"""),14.0)</f>
        <v>14</v>
      </c>
      <c r="H15204" s="4"/>
      <c r="I15204" s="4"/>
    </row>
    <row r="15205">
      <c r="A15205" s="4" t="str">
        <f>IFERROR(__xludf.DUMMYFUNCTION("""COMPUTED_VALUE"""),"cas_hmw")</f>
        <v>cas_hmw</v>
      </c>
      <c r="B15205" s="5">
        <f>IFERROR(__xludf.DUMMYFUNCTION("""COMPUTED_VALUE"""),44728.0)</f>
        <v>44728</v>
      </c>
      <c r="C15205" s="6">
        <f>IFERROR(__xludf.DUMMYFUNCTION("""COMPUTED_VALUE"""),0.6999768518508063)</f>
        <v>0.6999768519</v>
      </c>
      <c r="D15205" s="4">
        <f>IFERROR(__xludf.DUMMYFUNCTION("""COMPUTED_VALUE"""),12.93572)</f>
        <v>12.93572</v>
      </c>
      <c r="E15205" s="4">
        <f>IFERROR(__xludf.DUMMYFUNCTION("""COMPUTED_VALUE"""),80.126531)</f>
        <v>80.126531</v>
      </c>
      <c r="F15205" s="4">
        <f>IFERROR(__xludf.DUMMYFUNCTION("""COMPUTED_VALUE"""),805.0)</f>
        <v>805</v>
      </c>
      <c r="G15205" s="4">
        <f>IFERROR(__xludf.DUMMYFUNCTION("""COMPUTED_VALUE"""),14.0)</f>
        <v>14</v>
      </c>
      <c r="H15205" s="4"/>
      <c r="I15205" s="4"/>
    </row>
    <row r="15206">
      <c r="A15206" s="4" t="str">
        <f>IFERROR(__xludf.DUMMYFUNCTION("""COMPUTED_VALUE"""),"cas_hmw")</f>
        <v>cas_hmw</v>
      </c>
      <c r="B15206" s="5">
        <f>IFERROR(__xludf.DUMMYFUNCTION("""COMPUTED_VALUE"""),44728.0)</f>
        <v>44728</v>
      </c>
      <c r="C15206" s="6">
        <f>IFERROR(__xludf.DUMMYFUNCTION("""COMPUTED_VALUE"""),0.7007638888899237)</f>
        <v>0.7007638889</v>
      </c>
      <c r="D15206" s="4">
        <f>IFERROR(__xludf.DUMMYFUNCTION("""COMPUTED_VALUE"""),12.941419)</f>
        <v>12.941419</v>
      </c>
      <c r="E15206" s="4">
        <f>IFERROR(__xludf.DUMMYFUNCTION("""COMPUTED_VALUE"""),80.131929)</f>
        <v>80.131929</v>
      </c>
      <c r="F15206" s="4">
        <f>IFERROR(__xludf.DUMMYFUNCTION("""COMPUTED_VALUE"""),805.0)</f>
        <v>805</v>
      </c>
      <c r="G15206" s="4">
        <f>IFERROR(__xludf.DUMMYFUNCTION("""COMPUTED_VALUE"""),58.0)</f>
        <v>58</v>
      </c>
      <c r="H15206" s="4"/>
      <c r="I15206" s="4"/>
    </row>
    <row r="15207">
      <c r="A15207" s="4" t="str">
        <f>IFERROR(__xludf.DUMMYFUNCTION("""COMPUTED_VALUE"""),"cas_hmw")</f>
        <v>cas_hmw</v>
      </c>
      <c r="B15207" s="5">
        <f>IFERROR(__xludf.DUMMYFUNCTION("""COMPUTED_VALUE"""),44728.0)</f>
        <v>44728</v>
      </c>
      <c r="C15207" s="6">
        <f>IFERROR(__xludf.DUMMYFUNCTION("""COMPUTED_VALUE"""),0.7009259259248211)</f>
        <v>0.7009259259</v>
      </c>
      <c r="D15207" s="4">
        <f>IFERROR(__xludf.DUMMYFUNCTION("""COMPUTED_VALUE"""),12.821167)</f>
        <v>12.821167</v>
      </c>
      <c r="E15207" s="4">
        <f>IFERROR(__xludf.DUMMYFUNCTION("""COMPUTED_VALUE"""),80.037645)</f>
        <v>80.037645</v>
      </c>
      <c r="F15207" s="4">
        <f>IFERROR(__xludf.DUMMYFUNCTION("""COMPUTED_VALUE"""),2846.0)</f>
        <v>2846</v>
      </c>
      <c r="G15207" s="4">
        <f>IFERROR(__xludf.DUMMYFUNCTION("""COMPUTED_VALUE"""),51.0)</f>
        <v>51</v>
      </c>
      <c r="H15207" s="4"/>
      <c r="I15207" s="4"/>
    </row>
    <row r="15208">
      <c r="A15208" s="4" t="str">
        <f>IFERROR(__xludf.DUMMYFUNCTION("""COMPUTED_VALUE"""),"cas_hmw")</f>
        <v>cas_hmw</v>
      </c>
      <c r="B15208" s="5">
        <f>IFERROR(__xludf.DUMMYFUNCTION("""COMPUTED_VALUE"""),44728.0)</f>
        <v>44728</v>
      </c>
      <c r="C15208" s="6">
        <f>IFERROR(__xludf.DUMMYFUNCTION("""COMPUTED_VALUE"""),0.7009722222210257)</f>
        <v>0.7009722222</v>
      </c>
      <c r="D15208" s="4">
        <f>IFERROR(__xludf.DUMMYFUNCTION("""COMPUTED_VALUE"""),12.943126)</f>
        <v>12.943126</v>
      </c>
      <c r="E15208" s="4">
        <f>IFERROR(__xludf.DUMMYFUNCTION("""COMPUTED_VALUE"""),80.133698)</f>
        <v>80.133698</v>
      </c>
      <c r="F15208" s="4">
        <f>IFERROR(__xludf.DUMMYFUNCTION("""COMPUTED_VALUE"""),5339.0)</f>
        <v>5339</v>
      </c>
      <c r="G15208" s="4">
        <f>IFERROR(__xludf.DUMMYFUNCTION("""COMPUTED_VALUE"""),23.0)</f>
        <v>23</v>
      </c>
      <c r="H15208" s="4"/>
      <c r="I15208" s="4"/>
    </row>
    <row r="15209">
      <c r="A15209" s="4" t="str">
        <f>IFERROR(__xludf.DUMMYFUNCTION("""COMPUTED_VALUE"""),"cas_hmw")</f>
        <v>cas_hmw</v>
      </c>
      <c r="B15209" s="5">
        <f>IFERROR(__xludf.DUMMYFUNCTION("""COMPUTED_VALUE"""),44728.0)</f>
        <v>44728</v>
      </c>
      <c r="C15209" s="6">
        <f>IFERROR(__xludf.DUMMYFUNCTION("""COMPUTED_VALUE"""),0.7019675925912452)</f>
        <v>0.7019675926</v>
      </c>
      <c r="D15209" s="4">
        <f>IFERROR(__xludf.DUMMYFUNCTION("""COMPUTED_VALUE"""),12.95015)</f>
        <v>12.95015</v>
      </c>
      <c r="E15209" s="4">
        <f>IFERROR(__xludf.DUMMYFUNCTION("""COMPUTED_VALUE"""),80.139182)</f>
        <v>80.139182</v>
      </c>
      <c r="F15209" s="4">
        <f>IFERROR(__xludf.DUMMYFUNCTION("""COMPUTED_VALUE"""),5339.0)</f>
        <v>5339</v>
      </c>
      <c r="G15209" s="4">
        <f>IFERROR(__xludf.DUMMYFUNCTION("""COMPUTED_VALUE"""),17.0)</f>
        <v>17</v>
      </c>
      <c r="H15209" s="4"/>
      <c r="I15209" s="4"/>
    </row>
    <row r="15210">
      <c r="A15210" s="4" t="str">
        <f>IFERROR(__xludf.DUMMYFUNCTION("""COMPUTED_VALUE"""),"cas_hmw")</f>
        <v>cas_hmw</v>
      </c>
      <c r="B15210" s="5">
        <f>IFERROR(__xludf.DUMMYFUNCTION("""COMPUTED_VALUE"""),44728.0)</f>
        <v>44728</v>
      </c>
      <c r="C15210" s="6">
        <f>IFERROR(__xludf.DUMMYFUNCTION("""COMPUTED_VALUE"""),0.7020833333335759)</f>
        <v>0.7020833333</v>
      </c>
      <c r="D15210" s="4">
        <f>IFERROR(__xludf.DUMMYFUNCTION("""COMPUTED_VALUE"""),12.950457)</f>
        <v>12.950457</v>
      </c>
      <c r="E15210" s="4">
        <f>IFERROR(__xludf.DUMMYFUNCTION("""COMPUTED_VALUE"""),80.139459)</f>
        <v>80.139459</v>
      </c>
      <c r="F15210" s="4">
        <f>IFERROR(__xludf.DUMMYFUNCTION("""COMPUTED_VALUE"""),805.0)</f>
        <v>805</v>
      </c>
      <c r="G15210" s="4">
        <f>IFERROR(__xludf.DUMMYFUNCTION("""COMPUTED_VALUE"""),22.0)</f>
        <v>22</v>
      </c>
      <c r="H15210" s="4"/>
      <c r="I15210" s="4"/>
    </row>
    <row r="15211">
      <c r="A15211" s="4" t="str">
        <f>IFERROR(__xludf.DUMMYFUNCTION("""COMPUTED_VALUE"""),"cas_hmw")</f>
        <v>cas_hmw</v>
      </c>
      <c r="B15211" s="5">
        <f>IFERROR(__xludf.DUMMYFUNCTION("""COMPUTED_VALUE"""),44728.0)</f>
        <v>44728</v>
      </c>
      <c r="C15211" s="6">
        <f>IFERROR(__xludf.DUMMYFUNCTION("""COMPUTED_VALUE"""),0.7022569444452529)</f>
        <v>0.7022569444</v>
      </c>
      <c r="D15211" s="4">
        <f>IFERROR(__xludf.DUMMYFUNCTION("""COMPUTED_VALUE"""),12.951206)</f>
        <v>12.951206</v>
      </c>
      <c r="E15211" s="4">
        <f>IFERROR(__xludf.DUMMYFUNCTION("""COMPUTED_VALUE"""),80.140031)</f>
        <v>80.140031</v>
      </c>
      <c r="F15211" s="4">
        <f>IFERROR(__xludf.DUMMYFUNCTION("""COMPUTED_VALUE"""),805.0)</f>
        <v>805</v>
      </c>
      <c r="G15211" s="4">
        <f>IFERROR(__xludf.DUMMYFUNCTION("""COMPUTED_VALUE"""),25.0)</f>
        <v>25</v>
      </c>
      <c r="H15211" s="4"/>
      <c r="I15211" s="4"/>
    </row>
    <row r="15212">
      <c r="A15212" s="4" t="str">
        <f>IFERROR(__xludf.DUMMYFUNCTION("""COMPUTED_VALUE"""),"cas_hmw")</f>
        <v>cas_hmw</v>
      </c>
      <c r="B15212" s="5">
        <f>IFERROR(__xludf.DUMMYFUNCTION("""COMPUTED_VALUE"""),44728.0)</f>
        <v>44728</v>
      </c>
      <c r="C15212" s="6">
        <f>IFERROR(__xludf.DUMMYFUNCTION("""COMPUTED_VALUE"""),0.7023379629645206)</f>
        <v>0.702337963</v>
      </c>
      <c r="D15212" s="4">
        <f>IFERROR(__xludf.DUMMYFUNCTION("""COMPUTED_VALUE"""),12.951206)</f>
        <v>12.951206</v>
      </c>
      <c r="E15212" s="4">
        <f>IFERROR(__xludf.DUMMYFUNCTION("""COMPUTED_VALUE"""),80.140031)</f>
        <v>80.140031</v>
      </c>
      <c r="F15212" s="4">
        <f>IFERROR(__xludf.DUMMYFUNCTION("""COMPUTED_VALUE"""),805.0)</f>
        <v>805</v>
      </c>
      <c r="G15212" s="4">
        <f>IFERROR(__xludf.DUMMYFUNCTION("""COMPUTED_VALUE"""),25.0)</f>
        <v>25</v>
      </c>
      <c r="H15212" s="4"/>
      <c r="I15212" s="4"/>
    </row>
    <row r="15213">
      <c r="A15213" s="4" t="str">
        <f>IFERROR(__xludf.DUMMYFUNCTION("""COMPUTED_VALUE"""),"cas_hmw")</f>
        <v>cas_hmw</v>
      </c>
      <c r="B15213" s="5">
        <f>IFERROR(__xludf.DUMMYFUNCTION("""COMPUTED_VALUE"""),44728.0)</f>
        <v>44728</v>
      </c>
      <c r="C15213" s="6">
        <f>IFERROR(__xludf.DUMMYFUNCTION("""COMPUTED_VALUE"""),0.7024652777763549)</f>
        <v>0.7024652778</v>
      </c>
      <c r="D15213" s="4">
        <f>IFERROR(__xludf.DUMMYFUNCTION("""COMPUTED_VALUE"""),12.954208)</f>
        <v>12.954208</v>
      </c>
      <c r="E15213" s="4">
        <f>IFERROR(__xludf.DUMMYFUNCTION("""COMPUTED_VALUE"""),80.142061)</f>
        <v>80.142061</v>
      </c>
      <c r="F15213" s="4">
        <f>IFERROR(__xludf.DUMMYFUNCTION("""COMPUTED_VALUE"""),5339.0)</f>
        <v>5339</v>
      </c>
      <c r="G15213" s="4">
        <f>IFERROR(__xludf.DUMMYFUNCTION("""COMPUTED_VALUE"""),48.0)</f>
        <v>48</v>
      </c>
      <c r="H15213" s="4"/>
      <c r="I15213" s="4"/>
    </row>
    <row r="15214">
      <c r="A15214" s="4" t="str">
        <f>IFERROR(__xludf.DUMMYFUNCTION("""COMPUTED_VALUE"""),"cas_hmw")</f>
        <v>cas_hmw</v>
      </c>
      <c r="B15214" s="5">
        <f>IFERROR(__xludf.DUMMYFUNCTION("""COMPUTED_VALUE"""),44728.0)</f>
        <v>44728</v>
      </c>
      <c r="C15214" s="6">
        <f>IFERROR(__xludf.DUMMYFUNCTION("""COMPUTED_VALUE"""),0.7028009259265673)</f>
        <v>0.7028009259</v>
      </c>
      <c r="D15214" s="4">
        <f>IFERROR(__xludf.DUMMYFUNCTION("""COMPUTED_VALUE"""),12.956238)</f>
        <v>12.956238</v>
      </c>
      <c r="E15214" s="4">
        <f>IFERROR(__xludf.DUMMYFUNCTION("""COMPUTED_VALUE"""),80.143072)</f>
        <v>80.143072</v>
      </c>
      <c r="F15214" s="4">
        <f>IFERROR(__xludf.DUMMYFUNCTION("""COMPUTED_VALUE"""),5339.0)</f>
        <v>5339</v>
      </c>
      <c r="G15214" s="4">
        <f>IFERROR(__xludf.DUMMYFUNCTION("""COMPUTED_VALUE"""),43.0)</f>
        <v>43</v>
      </c>
      <c r="H15214" s="4"/>
      <c r="I15214" s="4"/>
    </row>
    <row r="15215">
      <c r="A15215" s="4" t="str">
        <f>IFERROR(__xludf.DUMMYFUNCTION("""COMPUTED_VALUE"""),"cas_hmw")</f>
        <v>cas_hmw</v>
      </c>
      <c r="B15215" s="5">
        <f>IFERROR(__xludf.DUMMYFUNCTION("""COMPUTED_VALUE"""),44728.0)</f>
        <v>44728</v>
      </c>
      <c r="C15215" s="6">
        <f>IFERROR(__xludf.DUMMYFUNCTION("""COMPUTED_VALUE"""),0.702847222222772)</f>
        <v>0.7028472222</v>
      </c>
      <c r="D15215" s="4">
        <f>IFERROR(__xludf.DUMMYFUNCTION("""COMPUTED_VALUE"""),12.957175)</f>
        <v>12.957175</v>
      </c>
      <c r="E15215" s="4">
        <f>IFERROR(__xludf.DUMMYFUNCTION("""COMPUTED_VALUE"""),80.143586)</f>
        <v>80.143586</v>
      </c>
      <c r="F15215" s="4">
        <f>IFERROR(__xludf.DUMMYFUNCTION("""COMPUTED_VALUE"""),5339.0)</f>
        <v>5339</v>
      </c>
      <c r="G15215" s="4">
        <f>IFERROR(__xludf.DUMMYFUNCTION("""COMPUTED_VALUE"""),34.0)</f>
        <v>34</v>
      </c>
      <c r="H15215" s="4"/>
      <c r="I15215" s="4"/>
    </row>
    <row r="15216">
      <c r="A15216" s="4" t="str">
        <f>IFERROR(__xludf.DUMMYFUNCTION("""COMPUTED_VALUE"""),"cas_hmw")</f>
        <v>cas_hmw</v>
      </c>
      <c r="B15216" s="5">
        <f>IFERROR(__xludf.DUMMYFUNCTION("""COMPUTED_VALUE"""),44728.0)</f>
        <v>44728</v>
      </c>
      <c r="C15216" s="6">
        <f>IFERROR(__xludf.DUMMYFUNCTION("""COMPUTED_VALUE"""),0.7028587962959136)</f>
        <v>0.7028587963</v>
      </c>
      <c r="D15216" s="4">
        <f>IFERROR(__xludf.DUMMYFUNCTION("""COMPUTED_VALUE"""),12.957175)</f>
        <v>12.957175</v>
      </c>
      <c r="E15216" s="4">
        <f>IFERROR(__xludf.DUMMYFUNCTION("""COMPUTED_VALUE"""),80.143586)</f>
        <v>80.143586</v>
      </c>
      <c r="F15216" s="4">
        <f>IFERROR(__xludf.DUMMYFUNCTION("""COMPUTED_VALUE"""),5339.0)</f>
        <v>5339</v>
      </c>
      <c r="G15216" s="4">
        <f>IFERROR(__xludf.DUMMYFUNCTION("""COMPUTED_VALUE"""),34.0)</f>
        <v>34</v>
      </c>
      <c r="H15216" s="4"/>
      <c r="I15216" s="4"/>
    </row>
    <row r="15217">
      <c r="A15217" s="4" t="str">
        <f>IFERROR(__xludf.DUMMYFUNCTION("""COMPUTED_VALUE"""),"cas_hmw")</f>
        <v>cas_hmw</v>
      </c>
      <c r="B15217" s="5">
        <f>IFERROR(__xludf.DUMMYFUNCTION("""COMPUTED_VALUE"""),44728.0)</f>
        <v>44728</v>
      </c>
      <c r="C15217" s="6">
        <f>IFERROR(__xludf.DUMMYFUNCTION("""COMPUTED_VALUE"""),0.7033217592579604)</f>
        <v>0.7033217593</v>
      </c>
      <c r="D15217" s="4">
        <f>IFERROR(__xludf.DUMMYFUNCTION("""COMPUTED_VALUE"""),12.955946)</f>
        <v>12.955946</v>
      </c>
      <c r="E15217" s="4">
        <f>IFERROR(__xludf.DUMMYFUNCTION("""COMPUTED_VALUE"""),80.142952)</f>
        <v>80.142952</v>
      </c>
      <c r="F15217" s="4">
        <f>IFERROR(__xludf.DUMMYFUNCTION("""COMPUTED_VALUE"""),805.0)</f>
        <v>805</v>
      </c>
      <c r="G15217" s="4">
        <f>IFERROR(__xludf.DUMMYFUNCTION("""COMPUTED_VALUE"""),0.0)</f>
        <v>0</v>
      </c>
      <c r="H15217" s="4"/>
      <c r="I15217" s="4"/>
    </row>
    <row r="15218">
      <c r="A15218" s="4" t="str">
        <f>IFERROR(__xludf.DUMMYFUNCTION("""COMPUTED_VALUE"""),"cas_hmw")</f>
        <v>cas_hmw</v>
      </c>
      <c r="B15218" s="5">
        <f>IFERROR(__xludf.DUMMYFUNCTION("""COMPUTED_VALUE"""),44728.0)</f>
        <v>44728</v>
      </c>
      <c r="C15218" s="6">
        <f>IFERROR(__xludf.DUMMYFUNCTION("""COMPUTED_VALUE"""),0.7033449074078817)</f>
        <v>0.7033449074</v>
      </c>
      <c r="D15218" s="4">
        <f>IFERROR(__xludf.DUMMYFUNCTION("""COMPUTED_VALUE"""),12.955946)</f>
        <v>12.955946</v>
      </c>
      <c r="E15218" s="4">
        <f>IFERROR(__xludf.DUMMYFUNCTION("""COMPUTED_VALUE"""),80.142952)</f>
        <v>80.142952</v>
      </c>
      <c r="F15218" s="4">
        <f>IFERROR(__xludf.DUMMYFUNCTION("""COMPUTED_VALUE"""),805.0)</f>
        <v>805</v>
      </c>
      <c r="G15218" s="4">
        <f>IFERROR(__xludf.DUMMYFUNCTION("""COMPUTED_VALUE"""),0.0)</f>
        <v>0</v>
      </c>
      <c r="H15218" s="4"/>
      <c r="I15218" s="4"/>
    </row>
    <row r="15219">
      <c r="A15219" s="4" t="str">
        <f>IFERROR(__xludf.DUMMYFUNCTION("""COMPUTED_VALUE"""),"cas_hmw")</f>
        <v>cas_hmw</v>
      </c>
      <c r="B15219" s="5">
        <f>IFERROR(__xludf.DUMMYFUNCTION("""COMPUTED_VALUE"""),44728.0)</f>
        <v>44728</v>
      </c>
      <c r="C15219" s="6">
        <f>IFERROR(__xludf.DUMMYFUNCTION("""COMPUTED_VALUE"""),0.7033449074078817)</f>
        <v>0.7033449074</v>
      </c>
      <c r="D15219" s="4">
        <f>IFERROR(__xludf.DUMMYFUNCTION("""COMPUTED_VALUE"""),12.955946)</f>
        <v>12.955946</v>
      </c>
      <c r="E15219" s="4">
        <f>IFERROR(__xludf.DUMMYFUNCTION("""COMPUTED_VALUE"""),80.142952)</f>
        <v>80.142952</v>
      </c>
      <c r="F15219" s="4">
        <f>IFERROR(__xludf.DUMMYFUNCTION("""COMPUTED_VALUE"""),805.0)</f>
        <v>805</v>
      </c>
      <c r="G15219" s="4">
        <f>IFERROR(__xludf.DUMMYFUNCTION("""COMPUTED_VALUE"""),0.0)</f>
        <v>0</v>
      </c>
      <c r="H15219" s="4"/>
      <c r="I15219" s="4"/>
    </row>
    <row r="15220">
      <c r="A15220" s="4" t="str">
        <f>IFERROR(__xludf.DUMMYFUNCTION("""COMPUTED_VALUE"""),"cas_hmw")</f>
        <v>cas_hmw</v>
      </c>
      <c r="B15220" s="5">
        <f>IFERROR(__xludf.DUMMYFUNCTION("""COMPUTED_VALUE"""),44728.0)</f>
        <v>44728</v>
      </c>
      <c r="C15220" s="6">
        <f>IFERROR(__xludf.DUMMYFUNCTION("""COMPUTED_VALUE"""),0.7035763888889051)</f>
        <v>0.7035763889</v>
      </c>
      <c r="D15220" s="4">
        <f>IFERROR(__xludf.DUMMYFUNCTION("""COMPUTED_VALUE"""),12.80053)</f>
        <v>12.80053</v>
      </c>
      <c r="E15220" s="4">
        <f>IFERROR(__xludf.DUMMYFUNCTION("""COMPUTED_VALUE"""),80.023838)</f>
        <v>80.023838</v>
      </c>
      <c r="F15220" s="4">
        <f>IFERROR(__xludf.DUMMYFUNCTION("""COMPUTED_VALUE"""),2846.0)</f>
        <v>2846</v>
      </c>
      <c r="G15220" s="4">
        <f>IFERROR(__xludf.DUMMYFUNCTION("""COMPUTED_VALUE"""),46.0)</f>
        <v>46</v>
      </c>
      <c r="H15220" s="4"/>
      <c r="I15220" s="4"/>
    </row>
    <row r="15221">
      <c r="A15221" s="4" t="str">
        <f>IFERROR(__xludf.DUMMYFUNCTION("""COMPUTED_VALUE"""),"cas_hmw")</f>
        <v>cas_hmw</v>
      </c>
      <c r="B15221" s="5">
        <f>IFERROR(__xludf.DUMMYFUNCTION("""COMPUTED_VALUE"""),44728.0)</f>
        <v>44728</v>
      </c>
      <c r="C15221" s="6">
        <f>IFERROR(__xludf.DUMMYFUNCTION("""COMPUTED_VALUE"""),0.7040856481471565)</f>
        <v>0.7040856481</v>
      </c>
      <c r="D15221" s="4">
        <f>IFERROR(__xludf.DUMMYFUNCTION("""COMPUTED_VALUE"""),12.796187)</f>
        <v>12.796187</v>
      </c>
      <c r="E15221" s="4">
        <f>IFERROR(__xludf.DUMMYFUNCTION("""COMPUTED_VALUE"""),80.021017)</f>
        <v>80.021017</v>
      </c>
      <c r="F15221" s="4">
        <f>IFERROR(__xludf.DUMMYFUNCTION("""COMPUTED_VALUE"""),2846.0)</f>
        <v>2846</v>
      </c>
      <c r="G15221" s="4">
        <f>IFERROR(__xludf.DUMMYFUNCTION("""COMPUTED_VALUE"""),55.0)</f>
        <v>55</v>
      </c>
      <c r="H15221" s="4"/>
      <c r="I15221" s="4"/>
    </row>
    <row r="15222">
      <c r="A15222" s="4" t="str">
        <f>IFERROR(__xludf.DUMMYFUNCTION("""COMPUTED_VALUE"""),"cas_hmw")</f>
        <v>cas_hmw</v>
      </c>
      <c r="B15222" s="5">
        <f>IFERROR(__xludf.DUMMYFUNCTION("""COMPUTED_VALUE"""),44728.0)</f>
        <v>44728</v>
      </c>
      <c r="C15222" s="6">
        <f>IFERROR(__xludf.DUMMYFUNCTION("""COMPUTED_VALUE"""),0.7043055555550382)</f>
        <v>0.7043055556</v>
      </c>
      <c r="D15222" s="4">
        <f>IFERROR(__xludf.DUMMYFUNCTION("""COMPUTED_VALUE"""),12.960211)</f>
        <v>12.960211</v>
      </c>
      <c r="E15222" s="4">
        <f>IFERROR(__xludf.DUMMYFUNCTION("""COMPUTED_VALUE"""),80.145074)</f>
        <v>80.145074</v>
      </c>
      <c r="F15222" s="4">
        <f>IFERROR(__xludf.DUMMYFUNCTION("""COMPUTED_VALUE"""),805.0)</f>
        <v>805</v>
      </c>
      <c r="G15222" s="4">
        <f>IFERROR(__xludf.DUMMYFUNCTION("""COMPUTED_VALUE"""),23.0)</f>
        <v>23</v>
      </c>
      <c r="H15222" s="4"/>
      <c r="I15222" s="4"/>
    </row>
    <row r="15223">
      <c r="A15223" s="4" t="str">
        <f>IFERROR(__xludf.DUMMYFUNCTION("""COMPUTED_VALUE"""),"cas_hmw")</f>
        <v>cas_hmw</v>
      </c>
      <c r="B15223" s="5">
        <f>IFERROR(__xludf.DUMMYFUNCTION("""COMPUTED_VALUE"""),44728.0)</f>
        <v>44728</v>
      </c>
      <c r="C15223" s="6">
        <f>IFERROR(__xludf.DUMMYFUNCTION("""COMPUTED_VALUE"""),0.7046990740745969)</f>
        <v>0.7046990741</v>
      </c>
      <c r="D15223" s="4">
        <f>IFERROR(__xludf.DUMMYFUNCTION("""COMPUTED_VALUE"""),12.96947)</f>
        <v>12.96947</v>
      </c>
      <c r="E15223" s="4">
        <f>IFERROR(__xludf.DUMMYFUNCTION("""COMPUTED_VALUE"""),80.150071)</f>
        <v>80.150071</v>
      </c>
      <c r="F15223" s="4">
        <f>IFERROR(__xludf.DUMMYFUNCTION("""COMPUTED_VALUE"""),5339.0)</f>
        <v>5339</v>
      </c>
      <c r="G15223" s="4">
        <f>IFERROR(__xludf.DUMMYFUNCTION("""COMPUTED_VALUE"""),54.0)</f>
        <v>54</v>
      </c>
      <c r="H15223" s="4"/>
      <c r="I15223" s="4"/>
    </row>
    <row r="15224">
      <c r="A15224" s="4" t="str">
        <f>IFERROR(__xludf.DUMMYFUNCTION("""COMPUTED_VALUE"""),"cas_hmw")</f>
        <v>cas_hmw</v>
      </c>
      <c r="B15224" s="5">
        <f>IFERROR(__xludf.DUMMYFUNCTION("""COMPUTED_VALUE"""),44728.0)</f>
        <v>44728</v>
      </c>
      <c r="C15224" s="6">
        <f>IFERROR(__xludf.DUMMYFUNCTION("""COMPUTED_VALUE"""),0.7048148148132896)</f>
        <v>0.7048148148</v>
      </c>
      <c r="D15224" s="4">
        <f>IFERROR(__xludf.DUMMYFUNCTION("""COMPUTED_VALUE"""),12.790378)</f>
        <v>12.790378</v>
      </c>
      <c r="E15224" s="4">
        <f>IFERROR(__xludf.DUMMYFUNCTION("""COMPUTED_VALUE"""),80.017269)</f>
        <v>80.017269</v>
      </c>
      <c r="F15224" s="4">
        <f>IFERROR(__xludf.DUMMYFUNCTION("""COMPUTED_VALUE"""),2846.0)</f>
        <v>2846</v>
      </c>
      <c r="G15224" s="4">
        <f>IFERROR(__xludf.DUMMYFUNCTION("""COMPUTED_VALUE"""),46.0)</f>
        <v>46</v>
      </c>
      <c r="H15224" s="4"/>
      <c r="I15224" s="4"/>
    </row>
    <row r="15225">
      <c r="A15225" s="4" t="str">
        <f>IFERROR(__xludf.DUMMYFUNCTION("""COMPUTED_VALUE"""),"cas_hmw")</f>
        <v>cas_hmw</v>
      </c>
      <c r="B15225" s="5">
        <f>IFERROR(__xludf.DUMMYFUNCTION("""COMPUTED_VALUE"""),44728.0)</f>
        <v>44728</v>
      </c>
      <c r="C15225" s="6">
        <f>IFERROR(__xludf.DUMMYFUNCTION("""COMPUTED_VALUE"""),0.7053472222214623)</f>
        <v>0.7053472222</v>
      </c>
      <c r="D15225" s="4">
        <f>IFERROR(__xludf.DUMMYFUNCTION("""COMPUTED_VALUE"""),12.786034)</f>
        <v>12.786034</v>
      </c>
      <c r="E15225" s="4">
        <f>IFERROR(__xludf.DUMMYFUNCTION("""COMPUTED_VALUE"""),80.01464)</f>
        <v>80.01464</v>
      </c>
      <c r="F15225" s="4">
        <f>IFERROR(__xludf.DUMMYFUNCTION("""COMPUTED_VALUE"""),2846.0)</f>
        <v>2846</v>
      </c>
      <c r="G15225" s="4">
        <f>IFERROR(__xludf.DUMMYFUNCTION("""COMPUTED_VALUE"""),39.0)</f>
        <v>39</v>
      </c>
      <c r="H15225" s="4"/>
      <c r="I15225" s="4"/>
    </row>
    <row r="15226">
      <c r="A15226" s="4" t="str">
        <f>IFERROR(__xludf.DUMMYFUNCTION("""COMPUTED_VALUE"""),"cas_hmw")</f>
        <v>cas_hmw</v>
      </c>
      <c r="B15226" s="5">
        <f>IFERROR(__xludf.DUMMYFUNCTION("""COMPUTED_VALUE"""),44728.0)</f>
        <v>44728</v>
      </c>
      <c r="C15226" s="6">
        <f>IFERROR(__xludf.DUMMYFUNCTION("""COMPUTED_VALUE"""),0.7054050925908086)</f>
        <v>0.7054050926</v>
      </c>
      <c r="D15226" s="4">
        <f>IFERROR(__xludf.DUMMYFUNCTION("""COMPUTED_VALUE"""),12.974953)</f>
        <v>12.974953</v>
      </c>
      <c r="E15226" s="4">
        <f>IFERROR(__xludf.DUMMYFUNCTION("""COMPUTED_VALUE"""),80.155483)</f>
        <v>80.155483</v>
      </c>
      <c r="F15226" s="4">
        <f>IFERROR(__xludf.DUMMYFUNCTION("""COMPUTED_VALUE"""),5339.0)</f>
        <v>5339</v>
      </c>
      <c r="G15226" s="4">
        <f>IFERROR(__xludf.DUMMYFUNCTION("""COMPUTED_VALUE"""),42.0)</f>
        <v>42</v>
      </c>
      <c r="H15226" s="4"/>
      <c r="I15226" s="4"/>
    </row>
    <row r="15227">
      <c r="A15227" s="4" t="str">
        <f>IFERROR(__xludf.DUMMYFUNCTION("""COMPUTED_VALUE"""),"cas_hmw")</f>
        <v>cas_hmw</v>
      </c>
      <c r="B15227" s="5">
        <f>IFERROR(__xludf.DUMMYFUNCTION("""COMPUTED_VALUE"""),44728.0)</f>
        <v>44728</v>
      </c>
      <c r="C15227" s="6">
        <f>IFERROR(__xludf.DUMMYFUNCTION("""COMPUTED_VALUE"""),0.7055787037024857)</f>
        <v>0.7055787037</v>
      </c>
      <c r="D15227" s="4">
        <f>IFERROR(__xludf.DUMMYFUNCTION("""COMPUTED_VALUE"""),12.976207)</f>
        <v>12.976207</v>
      </c>
      <c r="E15227" s="4">
        <f>IFERROR(__xludf.DUMMYFUNCTION("""COMPUTED_VALUE"""),80.157287)</f>
        <v>80.157287</v>
      </c>
      <c r="F15227" s="4">
        <f>IFERROR(__xludf.DUMMYFUNCTION("""COMPUTED_VALUE"""),5339.0)</f>
        <v>5339</v>
      </c>
      <c r="G15227" s="4">
        <f>IFERROR(__xludf.DUMMYFUNCTION("""COMPUTED_VALUE"""),48.0)</f>
        <v>48</v>
      </c>
      <c r="H15227" s="4"/>
      <c r="I15227" s="4"/>
    </row>
    <row r="15228">
      <c r="A15228" s="4" t="str">
        <f>IFERROR(__xludf.DUMMYFUNCTION("""COMPUTED_VALUE"""),"cas_hmw")</f>
        <v>cas_hmw</v>
      </c>
      <c r="B15228" s="5">
        <f>IFERROR(__xludf.DUMMYFUNCTION("""COMPUTED_VALUE"""),44728.0)</f>
        <v>44728</v>
      </c>
      <c r="C15228" s="6">
        <f>IFERROR(__xludf.DUMMYFUNCTION("""COMPUTED_VALUE"""),0.7056481481486117)</f>
        <v>0.7056481481</v>
      </c>
      <c r="D15228" s="4">
        <f>IFERROR(__xludf.DUMMYFUNCTION("""COMPUTED_VALUE"""),12.970242)</f>
        <v>12.970242</v>
      </c>
      <c r="E15228" s="4">
        <f>IFERROR(__xludf.DUMMYFUNCTION("""COMPUTED_VALUE"""),80.15045)</f>
        <v>80.15045</v>
      </c>
      <c r="F15228" s="4">
        <f>IFERROR(__xludf.DUMMYFUNCTION("""COMPUTED_VALUE"""),805.0)</f>
        <v>805</v>
      </c>
      <c r="G15228" s="4">
        <f>IFERROR(__xludf.DUMMYFUNCTION("""COMPUTED_VALUE"""),58.0)</f>
        <v>58</v>
      </c>
      <c r="H15228" s="4"/>
      <c r="I15228" s="4"/>
    </row>
    <row r="15229">
      <c r="A15229" s="4" t="str">
        <f>IFERROR(__xludf.DUMMYFUNCTION("""COMPUTED_VALUE"""),"cas_hmw")</f>
        <v>cas_hmw</v>
      </c>
      <c r="B15229" s="5">
        <f>IFERROR(__xludf.DUMMYFUNCTION("""COMPUTED_VALUE"""),44728.0)</f>
        <v>44728</v>
      </c>
      <c r="C15229" s="6">
        <f>IFERROR(__xludf.DUMMYFUNCTION("""COMPUTED_VALUE"""),0.7057175925910997)</f>
        <v>0.7057175926</v>
      </c>
      <c r="D15229" s="4">
        <f>IFERROR(__xludf.DUMMYFUNCTION("""COMPUTED_VALUE"""),12.976832)</f>
        <v>12.976832</v>
      </c>
      <c r="E15229" s="4">
        <f>IFERROR(__xludf.DUMMYFUNCTION("""COMPUTED_VALUE"""),80.158226)</f>
        <v>80.158226</v>
      </c>
      <c r="F15229" s="4">
        <f>IFERROR(__xludf.DUMMYFUNCTION("""COMPUTED_VALUE"""),5339.0)</f>
        <v>5339</v>
      </c>
      <c r="G15229" s="4">
        <f>IFERROR(__xludf.DUMMYFUNCTION("""COMPUTED_VALUE"""),43.0)</f>
        <v>43</v>
      </c>
      <c r="H15229" s="4"/>
      <c r="I15229" s="4"/>
    </row>
    <row r="15230">
      <c r="A15230" s="4" t="str">
        <f>IFERROR(__xludf.DUMMYFUNCTION("""COMPUTED_VALUE"""),"cas_hmw")</f>
        <v>cas_hmw</v>
      </c>
      <c r="B15230" s="5">
        <f>IFERROR(__xludf.DUMMYFUNCTION("""COMPUTED_VALUE"""),44728.0)</f>
        <v>44728</v>
      </c>
      <c r="C15230" s="6">
        <f>IFERROR(__xludf.DUMMYFUNCTION("""COMPUTED_VALUE"""),0.7058333333334303)</f>
        <v>0.7058333333</v>
      </c>
      <c r="D15230" s="4">
        <f>IFERROR(__xludf.DUMMYFUNCTION("""COMPUTED_VALUE"""),12.977523)</f>
        <v>12.977523</v>
      </c>
      <c r="E15230" s="4">
        <f>IFERROR(__xludf.DUMMYFUNCTION("""COMPUTED_VALUE"""),80.159315)</f>
        <v>80.159315</v>
      </c>
      <c r="F15230" s="4">
        <f>IFERROR(__xludf.DUMMYFUNCTION("""COMPUTED_VALUE"""),5339.0)</f>
        <v>5339</v>
      </c>
      <c r="G15230" s="4">
        <f>IFERROR(__xludf.DUMMYFUNCTION("""COMPUTED_VALUE"""),57.0)</f>
        <v>57</v>
      </c>
      <c r="H15230" s="4"/>
      <c r="I15230" s="4"/>
    </row>
    <row r="15231">
      <c r="A15231" s="4" t="str">
        <f>IFERROR(__xludf.DUMMYFUNCTION("""COMPUTED_VALUE"""),"cas_hmw")</f>
        <v>cas_hmw</v>
      </c>
      <c r="B15231" s="5">
        <f>IFERROR(__xludf.DUMMYFUNCTION("""COMPUTED_VALUE"""),44728.0)</f>
        <v>44728</v>
      </c>
      <c r="C15231" s="6">
        <f>IFERROR(__xludf.DUMMYFUNCTION("""COMPUTED_VALUE"""),0.7059259259258397)</f>
        <v>0.7059259259</v>
      </c>
      <c r="D15231" s="4">
        <f>IFERROR(__xludf.DUMMYFUNCTION("""COMPUTED_VALUE"""),12.973651)</f>
        <v>12.973651</v>
      </c>
      <c r="E15231" s="4">
        <f>IFERROR(__xludf.DUMMYFUNCTION("""COMPUTED_VALUE"""),80.153538)</f>
        <v>80.153538</v>
      </c>
      <c r="F15231" s="4">
        <f>IFERROR(__xludf.DUMMYFUNCTION("""COMPUTED_VALUE"""),805.0)</f>
        <v>805</v>
      </c>
      <c r="G15231" s="4">
        <f>IFERROR(__xludf.DUMMYFUNCTION("""COMPUTED_VALUE"""),59.0)</f>
        <v>59</v>
      </c>
      <c r="H15231" s="4"/>
      <c r="I15231" s="4"/>
    </row>
    <row r="15232">
      <c r="A15232" s="4" t="str">
        <f>IFERROR(__xludf.DUMMYFUNCTION("""COMPUTED_VALUE"""),"cas_hmw")</f>
        <v>cas_hmw</v>
      </c>
      <c r="B15232" s="5">
        <f>IFERROR(__xludf.DUMMYFUNCTION("""COMPUTED_VALUE"""),44728.0)</f>
        <v>44728</v>
      </c>
      <c r="C15232" s="6">
        <f>IFERROR(__xludf.DUMMYFUNCTION("""COMPUTED_VALUE"""),0.705983796295186)</f>
        <v>0.7059837963</v>
      </c>
      <c r="D15232" s="4">
        <f>IFERROR(__xludf.DUMMYFUNCTION("""COMPUTED_VALUE"""),12.978383)</f>
        <v>12.978383</v>
      </c>
      <c r="E15232" s="4">
        <f>IFERROR(__xludf.DUMMYFUNCTION("""COMPUTED_VALUE"""),80.160544)</f>
        <v>80.160544</v>
      </c>
      <c r="F15232" s="4">
        <f>IFERROR(__xludf.DUMMYFUNCTION("""COMPUTED_VALUE"""),5339.0)</f>
        <v>5339</v>
      </c>
      <c r="G15232" s="4">
        <f>IFERROR(__xludf.DUMMYFUNCTION("""COMPUTED_VALUE"""),57.0)</f>
        <v>57</v>
      </c>
      <c r="H15232" s="4"/>
      <c r="I15232" s="4"/>
    </row>
    <row r="15233">
      <c r="A15233" s="4" t="str">
        <f>IFERROR(__xludf.DUMMYFUNCTION("""COMPUTED_VALUE"""),"cas_hmw")</f>
        <v>cas_hmw</v>
      </c>
      <c r="B15233" s="5">
        <f>IFERROR(__xludf.DUMMYFUNCTION("""COMPUTED_VALUE"""),44728.0)</f>
        <v>44728</v>
      </c>
      <c r="C15233" s="6">
        <f>IFERROR(__xludf.DUMMYFUNCTION("""COMPUTED_VALUE"""),0.7060416666681704)</f>
        <v>0.7060416667</v>
      </c>
      <c r="D15233" s="4">
        <f>IFERROR(__xludf.DUMMYFUNCTION("""COMPUTED_VALUE"""),12.979228)</f>
        <v>12.979228</v>
      </c>
      <c r="E15233" s="4">
        <f>IFERROR(__xludf.DUMMYFUNCTION("""COMPUTED_VALUE"""),80.161717)</f>
        <v>80.161717</v>
      </c>
      <c r="F15233" s="4">
        <f>IFERROR(__xludf.DUMMYFUNCTION("""COMPUTED_VALUE"""),5339.0)</f>
        <v>5339</v>
      </c>
      <c r="G15233" s="4">
        <f>IFERROR(__xludf.DUMMYFUNCTION("""COMPUTED_VALUE"""),55.0)</f>
        <v>55</v>
      </c>
      <c r="H15233" s="4"/>
      <c r="I15233" s="4"/>
    </row>
    <row r="15234">
      <c r="A15234" s="4" t="str">
        <f>IFERROR(__xludf.DUMMYFUNCTION("""COMPUTED_VALUE"""),"cas_hmw")</f>
        <v>cas_hmw</v>
      </c>
      <c r="B15234" s="5">
        <f>IFERROR(__xludf.DUMMYFUNCTION("""COMPUTED_VALUE"""),44728.0)</f>
        <v>44728</v>
      </c>
      <c r="C15234" s="6">
        <f>IFERROR(__xludf.DUMMYFUNCTION("""COMPUTED_VALUE"""),0.7060995370375167)</f>
        <v>0.706099537</v>
      </c>
      <c r="D15234" s="4">
        <f>IFERROR(__xludf.DUMMYFUNCTION("""COMPUTED_VALUE"""),12.979228)</f>
        <v>12.979228</v>
      </c>
      <c r="E15234" s="4">
        <f>IFERROR(__xludf.DUMMYFUNCTION("""COMPUTED_VALUE"""),80.161717)</f>
        <v>80.161717</v>
      </c>
      <c r="F15234" s="4">
        <f>IFERROR(__xludf.DUMMYFUNCTION("""COMPUTED_VALUE"""),5339.0)</f>
        <v>5339</v>
      </c>
      <c r="G15234" s="4">
        <f>IFERROR(__xludf.DUMMYFUNCTION("""COMPUTED_VALUE"""),55.0)</f>
        <v>55</v>
      </c>
      <c r="H15234" s="4"/>
      <c r="I15234" s="4"/>
    </row>
    <row r="15235">
      <c r="A15235" s="4" t="str">
        <f>IFERROR(__xludf.DUMMYFUNCTION("""COMPUTED_VALUE"""),"cas_hmw")</f>
        <v>cas_hmw</v>
      </c>
      <c r="B15235" s="5">
        <f>IFERROR(__xludf.DUMMYFUNCTION("""COMPUTED_VALUE"""),44728.0)</f>
        <v>44728</v>
      </c>
      <c r="C15235" s="6">
        <f>IFERROR(__xludf.DUMMYFUNCTION("""COMPUTED_VALUE"""),0.7062615740724141)</f>
        <v>0.7062615741</v>
      </c>
      <c r="D15235" s="4">
        <f>IFERROR(__xludf.DUMMYFUNCTION("""COMPUTED_VALUE"""),12.976309)</f>
        <v>12.976309</v>
      </c>
      <c r="E15235" s="4">
        <f>IFERROR(__xludf.DUMMYFUNCTION("""COMPUTED_VALUE"""),80.157399)</f>
        <v>80.157399</v>
      </c>
      <c r="F15235" s="4">
        <f>IFERROR(__xludf.DUMMYFUNCTION("""COMPUTED_VALUE"""),805.0)</f>
        <v>805</v>
      </c>
      <c r="G15235" s="4">
        <f>IFERROR(__xludf.DUMMYFUNCTION("""COMPUTED_VALUE"""),48.0)</f>
        <v>48</v>
      </c>
      <c r="H15235" s="4"/>
      <c r="I15235" s="4"/>
    </row>
    <row r="15236">
      <c r="A15236" s="4" t="str">
        <f>IFERROR(__xludf.DUMMYFUNCTION("""COMPUTED_VALUE"""),"cas_hmw")</f>
        <v>cas_hmw</v>
      </c>
      <c r="B15236" s="5">
        <f>IFERROR(__xludf.DUMMYFUNCTION("""COMPUTED_VALUE"""),44728.0)</f>
        <v>44728</v>
      </c>
      <c r="C15236" s="6">
        <f>IFERROR(__xludf.DUMMYFUNCTION("""COMPUTED_VALUE"""),0.7063657407416031)</f>
        <v>0.7063657407</v>
      </c>
      <c r="D15236" s="4">
        <f>IFERROR(__xludf.DUMMYFUNCTION("""COMPUTED_VALUE"""),12.77442)</f>
        <v>12.77442</v>
      </c>
      <c r="E15236" s="4">
        <f>IFERROR(__xludf.DUMMYFUNCTION("""COMPUTED_VALUE"""),80.009341)</f>
        <v>80.009341</v>
      </c>
      <c r="F15236" s="4">
        <f>IFERROR(__xludf.DUMMYFUNCTION("""COMPUTED_VALUE"""),2846.0)</f>
        <v>2846</v>
      </c>
      <c r="G15236" s="4">
        <f>IFERROR(__xludf.DUMMYFUNCTION("""COMPUTED_VALUE"""),57.0)</f>
        <v>57</v>
      </c>
      <c r="H15236" s="4"/>
      <c r="I15236" s="4"/>
    </row>
    <row r="15237">
      <c r="A15237" s="4" t="str">
        <f>IFERROR(__xludf.DUMMYFUNCTION("""COMPUTED_VALUE"""),"cas_hmw")</f>
        <v>cas_hmw</v>
      </c>
      <c r="B15237" s="5">
        <f>IFERROR(__xludf.DUMMYFUNCTION("""COMPUTED_VALUE"""),44728.0)</f>
        <v>44728</v>
      </c>
      <c r="C15237" s="6">
        <f>IFERROR(__xludf.DUMMYFUNCTION("""COMPUTED_VALUE"""),0.7065624999995634)</f>
        <v>0.7065625</v>
      </c>
      <c r="D15237" s="4">
        <f>IFERROR(__xludf.DUMMYFUNCTION("""COMPUTED_VALUE"""),12.981669)</f>
        <v>12.981669</v>
      </c>
      <c r="E15237" s="4">
        <f>IFERROR(__xludf.DUMMYFUNCTION("""COMPUTED_VALUE"""),80.166957)</f>
        <v>80.166957</v>
      </c>
      <c r="F15237" s="4">
        <f>IFERROR(__xludf.DUMMYFUNCTION("""COMPUTED_VALUE"""),5339.0)</f>
        <v>5339</v>
      </c>
      <c r="G15237" s="4">
        <f>IFERROR(__xludf.DUMMYFUNCTION("""COMPUTED_VALUE"""),57.0)</f>
        <v>57</v>
      </c>
      <c r="H15237" s="4"/>
      <c r="I15237" s="4"/>
    </row>
    <row r="15238">
      <c r="A15238" s="4" t="str">
        <f>IFERROR(__xludf.DUMMYFUNCTION("""COMPUTED_VALUE"""),"cas_hmw")</f>
        <v>cas_hmw</v>
      </c>
      <c r="B15238" s="5">
        <f>IFERROR(__xludf.DUMMYFUNCTION("""COMPUTED_VALUE"""),44728.0)</f>
        <v>44728</v>
      </c>
      <c r="C15238" s="6">
        <f>IFERROR(__xludf.DUMMYFUNCTION("""COMPUTED_VALUE"""),0.7065972222226264)</f>
        <v>0.7065972222</v>
      </c>
      <c r="D15238" s="4">
        <f>IFERROR(__xludf.DUMMYFUNCTION("""COMPUTED_VALUE"""),12.978749)</f>
        <v>12.978749</v>
      </c>
      <c r="E15238" s="4">
        <f>IFERROR(__xludf.DUMMYFUNCTION("""COMPUTED_VALUE"""),80.16098)</f>
        <v>80.16098</v>
      </c>
      <c r="F15238" s="4">
        <f>IFERROR(__xludf.DUMMYFUNCTION("""COMPUTED_VALUE"""),805.0)</f>
        <v>805</v>
      </c>
      <c r="G15238" s="4">
        <f>IFERROR(__xludf.DUMMYFUNCTION("""COMPUTED_VALUE"""),50.0)</f>
        <v>50</v>
      </c>
      <c r="H15238" s="4"/>
      <c r="I15238" s="4"/>
    </row>
    <row r="15239">
      <c r="A15239" s="4" t="str">
        <f>IFERROR(__xludf.DUMMYFUNCTION("""COMPUTED_VALUE"""),"cas_hmw")</f>
        <v>cas_hmw</v>
      </c>
      <c r="B15239" s="5">
        <f>IFERROR(__xludf.DUMMYFUNCTION("""COMPUTED_VALUE"""),44728.0)</f>
        <v>44728</v>
      </c>
      <c r="C15239" s="6">
        <f>IFERROR(__xludf.DUMMYFUNCTION("""COMPUTED_VALUE"""),0.7071180555540195)</f>
        <v>0.7071180556</v>
      </c>
      <c r="D15239" s="4">
        <f>IFERROR(__xludf.DUMMYFUNCTION("""COMPUTED_VALUE"""),12.985524)</f>
        <v>12.985524</v>
      </c>
      <c r="E15239" s="4">
        <f>IFERROR(__xludf.DUMMYFUNCTION("""COMPUTED_VALUE"""),80.173282)</f>
        <v>80.173282</v>
      </c>
      <c r="F15239" s="4">
        <f>IFERROR(__xludf.DUMMYFUNCTION("""COMPUTED_VALUE"""),5339.0)</f>
        <v>5339</v>
      </c>
      <c r="G15239" s="4">
        <f>IFERROR(__xludf.DUMMYFUNCTION("""COMPUTED_VALUE"""),49.0)</f>
        <v>49</v>
      </c>
      <c r="H15239" s="4"/>
      <c r="I15239" s="4"/>
    </row>
    <row r="15240">
      <c r="A15240" s="4" t="str">
        <f>IFERROR(__xludf.DUMMYFUNCTION("""COMPUTED_VALUE"""),"cas_hmw")</f>
        <v>cas_hmw</v>
      </c>
      <c r="B15240" s="5">
        <f>IFERROR(__xludf.DUMMYFUNCTION("""COMPUTED_VALUE"""),44728.0)</f>
        <v>44728</v>
      </c>
      <c r="C15240" s="6">
        <f>IFERROR(__xludf.DUMMYFUNCTION("""COMPUTED_VALUE"""),0.7071875000001455)</f>
        <v>0.7071875</v>
      </c>
      <c r="D15240" s="4">
        <f>IFERROR(__xludf.DUMMYFUNCTION("""COMPUTED_VALUE"""),12.981403)</f>
        <v>12.981403</v>
      </c>
      <c r="E15240" s="4">
        <f>IFERROR(__xludf.DUMMYFUNCTION("""COMPUTED_VALUE"""),80.166498)</f>
        <v>80.166498</v>
      </c>
      <c r="F15240" s="4">
        <f>IFERROR(__xludf.DUMMYFUNCTION("""COMPUTED_VALUE"""),805.0)</f>
        <v>805</v>
      </c>
      <c r="G15240" s="4">
        <f>IFERROR(__xludf.DUMMYFUNCTION("""COMPUTED_VALUE"""),55.0)</f>
        <v>55</v>
      </c>
      <c r="H15240" s="4"/>
      <c r="I15240" s="4"/>
    </row>
    <row r="15241">
      <c r="A15241" s="4" t="str">
        <f>IFERROR(__xludf.DUMMYFUNCTION("""COMPUTED_VALUE"""),"cas_hmw")</f>
        <v>cas_hmw</v>
      </c>
      <c r="B15241" s="5">
        <f>IFERROR(__xludf.DUMMYFUNCTION("""COMPUTED_VALUE"""),44728.0)</f>
        <v>44728</v>
      </c>
      <c r="C15241" s="6">
        <f>IFERROR(__xludf.DUMMYFUNCTION("""COMPUTED_VALUE"""),0.7074074074080272)</f>
        <v>0.7074074074</v>
      </c>
      <c r="D15241" s="4">
        <f>IFERROR(__xludf.DUMMYFUNCTION("""COMPUTED_VALUE"""),12.986659)</f>
        <v>12.986659</v>
      </c>
      <c r="E15241" s="4">
        <f>IFERROR(__xludf.DUMMYFUNCTION("""COMPUTED_VALUE"""),80.174946)</f>
        <v>80.174946</v>
      </c>
      <c r="F15241" s="4">
        <f>IFERROR(__xludf.DUMMYFUNCTION("""COMPUTED_VALUE"""),5339.0)</f>
        <v>5339</v>
      </c>
      <c r="G15241" s="4">
        <f>IFERROR(__xludf.DUMMYFUNCTION("""COMPUTED_VALUE"""),34.0)</f>
        <v>34</v>
      </c>
      <c r="H15241" s="4"/>
      <c r="I15241" s="4"/>
    </row>
    <row r="15242">
      <c r="A15242" s="4" t="str">
        <f>IFERROR(__xludf.DUMMYFUNCTION("""COMPUTED_VALUE"""),"cas_hmw")</f>
        <v>cas_hmw</v>
      </c>
      <c r="B15242" s="5">
        <f>IFERROR(__xludf.DUMMYFUNCTION("""COMPUTED_VALUE"""),44728.0)</f>
        <v>44728</v>
      </c>
      <c r="C15242" s="6">
        <f>IFERROR(__xludf.DUMMYFUNCTION("""COMPUTED_VALUE"""),0.7078356481470109)</f>
        <v>0.7078356481</v>
      </c>
      <c r="D15242" s="4">
        <f>IFERROR(__xludf.DUMMYFUNCTION("""COMPUTED_VALUE"""),12.987962)</f>
        <v>12.987962</v>
      </c>
      <c r="E15242" s="4">
        <f>IFERROR(__xludf.DUMMYFUNCTION("""COMPUTED_VALUE"""),80.176694)</f>
        <v>80.176694</v>
      </c>
      <c r="F15242" s="4">
        <f>IFERROR(__xludf.DUMMYFUNCTION("""COMPUTED_VALUE"""),5339.0)</f>
        <v>5339</v>
      </c>
      <c r="G15242" s="4">
        <f>IFERROR(__xludf.DUMMYFUNCTION("""COMPUTED_VALUE"""),31.0)</f>
        <v>31</v>
      </c>
      <c r="H15242" s="4"/>
      <c r="I15242" s="4"/>
    </row>
    <row r="15243">
      <c r="A15243" s="4" t="str">
        <f>IFERROR(__xludf.DUMMYFUNCTION("""COMPUTED_VALUE"""),"cas_hmw")</f>
        <v>cas_hmw</v>
      </c>
      <c r="B15243" s="5">
        <f>IFERROR(__xludf.DUMMYFUNCTION("""COMPUTED_VALUE"""),44728.0)</f>
        <v>44728</v>
      </c>
      <c r="C15243" s="6">
        <f>IFERROR(__xludf.DUMMYFUNCTION("""COMPUTED_VALUE"""),0.708321759258979)</f>
        <v>0.7083217593</v>
      </c>
      <c r="D15243" s="4">
        <f>IFERROR(__xludf.DUMMYFUNCTION("""COMPUTED_VALUE"""),12.989749)</f>
        <v>12.989749</v>
      </c>
      <c r="E15243" s="4">
        <f>IFERROR(__xludf.DUMMYFUNCTION("""COMPUTED_VALUE"""),80.179063)</f>
        <v>80.179063</v>
      </c>
      <c r="F15243" s="4">
        <f>IFERROR(__xludf.DUMMYFUNCTION("""COMPUTED_VALUE"""),5339.0)</f>
        <v>5339</v>
      </c>
      <c r="G15243" s="4">
        <f>IFERROR(__xludf.DUMMYFUNCTION("""COMPUTED_VALUE"""),32.0)</f>
        <v>32</v>
      </c>
      <c r="H15243" s="4"/>
      <c r="I15243" s="4"/>
    </row>
    <row r="15244">
      <c r="A15244" s="4" t="str">
        <f>IFERROR(__xludf.DUMMYFUNCTION("""COMPUTED_VALUE"""),"cas_hmw")</f>
        <v>cas_hmw</v>
      </c>
      <c r="B15244" s="5">
        <f>IFERROR(__xludf.DUMMYFUNCTION("""COMPUTED_VALUE"""),44728.0)</f>
        <v>44728</v>
      </c>
      <c r="C15244" s="6">
        <f>IFERROR(__xludf.DUMMYFUNCTION("""COMPUTED_VALUE"""),0.708530092593719)</f>
        <v>0.7085300926</v>
      </c>
      <c r="D15244" s="4">
        <f>IFERROR(__xludf.DUMMYFUNCTION("""COMPUTED_VALUE"""),12.990996)</f>
        <v>12.990996</v>
      </c>
      <c r="E15244" s="4">
        <f>IFERROR(__xludf.DUMMYFUNCTION("""COMPUTED_VALUE"""),80.180725)</f>
        <v>80.180725</v>
      </c>
      <c r="F15244" s="4">
        <f>IFERROR(__xludf.DUMMYFUNCTION("""COMPUTED_VALUE"""),5339.0)</f>
        <v>5339</v>
      </c>
      <c r="G15244" s="4">
        <f>IFERROR(__xludf.DUMMYFUNCTION("""COMPUTED_VALUE"""),41.0)</f>
        <v>41</v>
      </c>
      <c r="H15244" s="4"/>
      <c r="I15244" s="4"/>
    </row>
    <row r="15245">
      <c r="A15245" s="4" t="str">
        <f>IFERROR(__xludf.DUMMYFUNCTION("""COMPUTED_VALUE"""),"cas_hmw")</f>
        <v>cas_hmw</v>
      </c>
      <c r="B15245" s="5">
        <f>IFERROR(__xludf.DUMMYFUNCTION("""COMPUTED_VALUE"""),44728.0)</f>
        <v>44728</v>
      </c>
      <c r="C15245" s="6">
        <f>IFERROR(__xludf.DUMMYFUNCTION("""COMPUTED_VALUE"""),0.7085763888899237)</f>
        <v>0.7085763889</v>
      </c>
      <c r="D15245" s="4">
        <f>IFERROR(__xludf.DUMMYFUNCTION("""COMPUTED_VALUE"""),12.990996)</f>
        <v>12.990996</v>
      </c>
      <c r="E15245" s="4">
        <f>IFERROR(__xludf.DUMMYFUNCTION("""COMPUTED_VALUE"""),80.180725)</f>
        <v>80.180725</v>
      </c>
      <c r="F15245" s="4">
        <f>IFERROR(__xludf.DUMMYFUNCTION("""COMPUTED_VALUE"""),5339.0)</f>
        <v>5339</v>
      </c>
      <c r="G15245" s="4">
        <f>IFERROR(__xludf.DUMMYFUNCTION("""COMPUTED_VALUE"""),41.0)</f>
        <v>41</v>
      </c>
      <c r="H15245" s="4"/>
      <c r="I15245" s="4"/>
    </row>
    <row r="15246">
      <c r="A15246" s="4" t="str">
        <f>IFERROR(__xludf.DUMMYFUNCTION("""COMPUTED_VALUE"""),"cas_hmw")</f>
        <v>cas_hmw</v>
      </c>
      <c r="B15246" s="5">
        <f>IFERROR(__xludf.DUMMYFUNCTION("""COMPUTED_VALUE"""),44728.0)</f>
        <v>44728</v>
      </c>
      <c r="C15246" s="6">
        <f>IFERROR(__xludf.DUMMYFUNCTION("""COMPUTED_VALUE"""),0.7086226851861284)</f>
        <v>0.7086226852</v>
      </c>
      <c r="D15246" s="4">
        <f>IFERROR(__xludf.DUMMYFUNCTION("""COMPUTED_VALUE"""),12.991608)</f>
        <v>12.991608</v>
      </c>
      <c r="E15246" s="4">
        <f>IFERROR(__xludf.DUMMYFUNCTION("""COMPUTED_VALUE"""),80.181512)</f>
        <v>80.181512</v>
      </c>
      <c r="F15246" s="4">
        <f>IFERROR(__xludf.DUMMYFUNCTION("""COMPUTED_VALUE"""),5339.0)</f>
        <v>5339</v>
      </c>
      <c r="G15246" s="4">
        <f>IFERROR(__xludf.DUMMYFUNCTION("""COMPUTED_VALUE"""),40.0)</f>
        <v>40</v>
      </c>
      <c r="H15246" s="4"/>
      <c r="I15246" s="4"/>
    </row>
    <row r="15247">
      <c r="A15247" s="4" t="str">
        <f>IFERROR(__xludf.DUMMYFUNCTION("""COMPUTED_VALUE"""),"cas_hmw")</f>
        <v>cas_hmw</v>
      </c>
      <c r="B15247" s="5">
        <f>IFERROR(__xludf.DUMMYFUNCTION("""COMPUTED_VALUE"""),44728.0)</f>
        <v>44728</v>
      </c>
      <c r="C15247" s="6">
        <f>IFERROR(__xludf.DUMMYFUNCTION("""COMPUTED_VALUE"""),0.70863425925927)</f>
        <v>0.7086342593</v>
      </c>
      <c r="D15247" s="4">
        <f>IFERROR(__xludf.DUMMYFUNCTION("""COMPUTED_VALUE"""),12.987214)</f>
        <v>12.987214</v>
      </c>
      <c r="E15247" s="4">
        <f>IFERROR(__xludf.DUMMYFUNCTION("""COMPUTED_VALUE"""),80.175736)</f>
        <v>80.175736</v>
      </c>
      <c r="F15247" s="4">
        <f>IFERROR(__xludf.DUMMYFUNCTION("""COMPUTED_VALUE"""),805.0)</f>
        <v>805</v>
      </c>
      <c r="G15247" s="4">
        <f>IFERROR(__xludf.DUMMYFUNCTION("""COMPUTED_VALUE"""),35.0)</f>
        <v>35</v>
      </c>
      <c r="H15247" s="4"/>
      <c r="I15247" s="4"/>
    </row>
    <row r="15248">
      <c r="A15248" s="4" t="str">
        <f>IFERROR(__xludf.DUMMYFUNCTION("""COMPUTED_VALUE"""),"cas_hmw")</f>
        <v>cas_hmw</v>
      </c>
      <c r="B15248" s="5">
        <f>IFERROR(__xludf.DUMMYFUNCTION("""COMPUTED_VALUE"""),44728.0)</f>
        <v>44728</v>
      </c>
      <c r="C15248" s="6">
        <f>IFERROR(__xludf.DUMMYFUNCTION("""COMPUTED_VALUE"""),0.70863425925927)</f>
        <v>0.7086342593</v>
      </c>
      <c r="D15248" s="4">
        <f>IFERROR(__xludf.DUMMYFUNCTION("""COMPUTED_VALUE"""),12.991608)</f>
        <v>12.991608</v>
      </c>
      <c r="E15248" s="4">
        <f>IFERROR(__xludf.DUMMYFUNCTION("""COMPUTED_VALUE"""),80.181512)</f>
        <v>80.181512</v>
      </c>
      <c r="F15248" s="4">
        <f>IFERROR(__xludf.DUMMYFUNCTION("""COMPUTED_VALUE"""),5339.0)</f>
        <v>5339</v>
      </c>
      <c r="G15248" s="4">
        <f>IFERROR(__xludf.DUMMYFUNCTION("""COMPUTED_VALUE"""),40.0)</f>
        <v>40</v>
      </c>
      <c r="H15248" s="4"/>
      <c r="I15248" s="4"/>
    </row>
    <row r="15249">
      <c r="A15249" s="4" t="str">
        <f>IFERROR(__xludf.DUMMYFUNCTION("""COMPUTED_VALUE"""),"cas_hmw")</f>
        <v>cas_hmw</v>
      </c>
      <c r="B15249" s="5">
        <f>IFERROR(__xludf.DUMMYFUNCTION("""COMPUTED_VALUE"""),44728.0)</f>
        <v>44728</v>
      </c>
      <c r="C15249" s="6">
        <f>IFERROR(__xludf.DUMMYFUNCTION("""COMPUTED_VALUE"""),0.7087500000016007)</f>
        <v>0.70875</v>
      </c>
      <c r="D15249" s="4">
        <f>IFERROR(__xludf.DUMMYFUNCTION("""COMPUTED_VALUE"""),12.987214)</f>
        <v>12.987214</v>
      </c>
      <c r="E15249" s="4">
        <f>IFERROR(__xludf.DUMMYFUNCTION("""COMPUTED_VALUE"""),80.175736)</f>
        <v>80.175736</v>
      </c>
      <c r="F15249" s="4">
        <f>IFERROR(__xludf.DUMMYFUNCTION("""COMPUTED_VALUE"""),805.0)</f>
        <v>805</v>
      </c>
      <c r="G15249" s="4">
        <f>IFERROR(__xludf.DUMMYFUNCTION("""COMPUTED_VALUE"""),35.0)</f>
        <v>35</v>
      </c>
      <c r="H15249" s="4"/>
      <c r="I15249" s="4"/>
    </row>
    <row r="15250">
      <c r="A15250" s="4" t="str">
        <f>IFERROR(__xludf.DUMMYFUNCTION("""COMPUTED_VALUE"""),"cas_hmw")</f>
        <v>cas_hmw</v>
      </c>
      <c r="B15250" s="5">
        <f>IFERROR(__xludf.DUMMYFUNCTION("""COMPUTED_VALUE"""),44728.0)</f>
        <v>44728</v>
      </c>
      <c r="C15250" s="6">
        <f>IFERROR(__xludf.DUMMYFUNCTION("""COMPUTED_VALUE"""),0.7088310185172304)</f>
        <v>0.7088310185</v>
      </c>
      <c r="D15250" s="4">
        <f>IFERROR(__xludf.DUMMYFUNCTION("""COMPUTED_VALUE"""),12.988128)</f>
        <v>12.988128</v>
      </c>
      <c r="E15250" s="4">
        <f>IFERROR(__xludf.DUMMYFUNCTION("""COMPUTED_VALUE"""),80.177029)</f>
        <v>80.177029</v>
      </c>
      <c r="F15250" s="4">
        <f>IFERROR(__xludf.DUMMYFUNCTION("""COMPUTED_VALUE"""),805.0)</f>
        <v>805</v>
      </c>
      <c r="G15250" s="4">
        <f>IFERROR(__xludf.DUMMYFUNCTION("""COMPUTED_VALUE"""),36.0)</f>
        <v>36</v>
      </c>
      <c r="H15250" s="4"/>
      <c r="I15250" s="4"/>
    </row>
    <row r="15251">
      <c r="A15251" s="4" t="str">
        <f>IFERROR(__xludf.DUMMYFUNCTION("""COMPUTED_VALUE"""),"cas_hmw")</f>
        <v>cas_hmw</v>
      </c>
      <c r="B15251" s="5">
        <f>IFERROR(__xludf.DUMMYFUNCTION("""COMPUTED_VALUE"""),44728.0)</f>
        <v>44728</v>
      </c>
      <c r="C15251" s="6">
        <f>IFERROR(__xludf.DUMMYFUNCTION("""COMPUTED_VALUE"""),0.7105324074072996)</f>
        <v>0.7105324074</v>
      </c>
      <c r="D15251" s="4">
        <f>IFERROR(__xludf.DUMMYFUNCTION("""COMPUTED_VALUE"""),12.742592)</f>
        <v>12.742592</v>
      </c>
      <c r="E15251" s="4">
        <f>IFERROR(__xludf.DUMMYFUNCTION("""COMPUTED_VALUE"""),79.99206)</f>
        <v>79.99206</v>
      </c>
      <c r="F15251" s="4">
        <f>IFERROR(__xludf.DUMMYFUNCTION("""COMPUTED_VALUE"""),2846.0)</f>
        <v>2846</v>
      </c>
      <c r="G15251" s="4">
        <f>IFERROR(__xludf.DUMMYFUNCTION("""COMPUTED_VALUE"""),23.0)</f>
        <v>23</v>
      </c>
      <c r="H15251" s="4"/>
      <c r="I15251" s="4"/>
    </row>
    <row r="15252">
      <c r="A15252" s="4" t="str">
        <f>IFERROR(__xludf.DUMMYFUNCTION("""COMPUTED_VALUE"""),"cas_hmw")</f>
        <v>cas_hmw</v>
      </c>
      <c r="B15252" s="5">
        <f>IFERROR(__xludf.DUMMYFUNCTION("""COMPUTED_VALUE"""),44728.0)</f>
        <v>44728</v>
      </c>
      <c r="C15252" s="6">
        <f>IFERROR(__xludf.DUMMYFUNCTION("""COMPUTED_VALUE"""),0.710902777776937)</f>
        <v>0.7109027778</v>
      </c>
      <c r="D15252" s="4">
        <f>IFERROR(__xludf.DUMMYFUNCTION("""COMPUTED_VALUE"""),12.740536)</f>
        <v>12.740536</v>
      </c>
      <c r="E15252" s="4">
        <f>IFERROR(__xludf.DUMMYFUNCTION("""COMPUTED_VALUE"""),79.990392)</f>
        <v>79.990392</v>
      </c>
      <c r="F15252" s="4">
        <f>IFERROR(__xludf.DUMMYFUNCTION("""COMPUTED_VALUE"""),2846.0)</f>
        <v>2846</v>
      </c>
      <c r="G15252" s="4">
        <f>IFERROR(__xludf.DUMMYFUNCTION("""COMPUTED_VALUE"""),42.0)</f>
        <v>42</v>
      </c>
      <c r="H15252" s="4"/>
      <c r="I15252" s="4"/>
    </row>
    <row r="15253">
      <c r="A15253" s="4" t="str">
        <f>IFERROR(__xludf.DUMMYFUNCTION("""COMPUTED_VALUE"""),"cas_hmw")</f>
        <v>cas_hmw</v>
      </c>
      <c r="B15253" s="5">
        <f>IFERROR(__xludf.DUMMYFUNCTION("""COMPUTED_VALUE"""),44728.0)</f>
        <v>44728</v>
      </c>
      <c r="C15253" s="6">
        <f>IFERROR(__xludf.DUMMYFUNCTION("""COMPUTED_VALUE"""),0.7114236111119681)</f>
        <v>0.7114236111</v>
      </c>
      <c r="D15253" s="4">
        <f>IFERROR(__xludf.DUMMYFUNCTION("""COMPUTED_VALUE"""),12.993791)</f>
        <v>12.993791</v>
      </c>
      <c r="E15253" s="4">
        <f>IFERROR(__xludf.DUMMYFUNCTION("""COMPUTED_VALUE"""),80.184966)</f>
        <v>80.184966</v>
      </c>
      <c r="F15253" s="4">
        <f>IFERROR(__xludf.DUMMYFUNCTION("""COMPUTED_VALUE"""),805.0)</f>
        <v>805</v>
      </c>
      <c r="G15253" s="4">
        <f>IFERROR(__xludf.DUMMYFUNCTION("""COMPUTED_VALUE"""),18.0)</f>
        <v>18</v>
      </c>
      <c r="H15253" s="4"/>
      <c r="I15253" s="4"/>
    </row>
    <row r="15254">
      <c r="A15254" s="4" t="str">
        <f>IFERROR(__xludf.DUMMYFUNCTION("""COMPUTED_VALUE"""),"cas_hmw")</f>
        <v>cas_hmw</v>
      </c>
      <c r="B15254" s="5">
        <f>IFERROR(__xludf.DUMMYFUNCTION("""COMPUTED_VALUE"""),44728.0)</f>
        <v>44728</v>
      </c>
      <c r="C15254" s="6">
        <f>IFERROR(__xludf.DUMMYFUNCTION("""COMPUTED_VALUE"""),0.7114583333350311)</f>
        <v>0.7114583333</v>
      </c>
      <c r="D15254" s="4">
        <f>IFERROR(__xludf.DUMMYFUNCTION("""COMPUTED_VALUE"""),12.999089)</f>
        <v>12.999089</v>
      </c>
      <c r="E15254" s="4">
        <f>IFERROR(__xludf.DUMMYFUNCTION("""COMPUTED_VALUE"""),80.192916)</f>
        <v>80.192916</v>
      </c>
      <c r="F15254" s="4">
        <f>IFERROR(__xludf.DUMMYFUNCTION("""COMPUTED_VALUE"""),5339.0)</f>
        <v>5339</v>
      </c>
      <c r="G15254" s="4">
        <f>IFERROR(__xludf.DUMMYFUNCTION("""COMPUTED_VALUE"""),36.0)</f>
        <v>36</v>
      </c>
      <c r="H15254" s="4"/>
      <c r="I15254" s="4"/>
    </row>
    <row r="15255">
      <c r="A15255" s="4" t="str">
        <f>IFERROR(__xludf.DUMMYFUNCTION("""COMPUTED_VALUE"""),"cas_hmw")</f>
        <v>cas_hmw</v>
      </c>
      <c r="B15255" s="5">
        <f>IFERROR(__xludf.DUMMYFUNCTION("""COMPUTED_VALUE"""),44728.0)</f>
        <v>44728</v>
      </c>
      <c r="C15255" s="6">
        <f>IFERROR(__xludf.DUMMYFUNCTION("""COMPUTED_VALUE"""),0.7118171296278888)</f>
        <v>0.7118171296</v>
      </c>
      <c r="D15255" s="4">
        <f>IFERROR(__xludf.DUMMYFUNCTION("""COMPUTED_VALUE"""),12.994942)</f>
        <v>12.994942</v>
      </c>
      <c r="E15255" s="4">
        <f>IFERROR(__xludf.DUMMYFUNCTION("""COMPUTED_VALUE"""),80.187236)</f>
        <v>80.187236</v>
      </c>
      <c r="F15255" s="4">
        <f>IFERROR(__xludf.DUMMYFUNCTION("""COMPUTED_VALUE"""),805.0)</f>
        <v>805</v>
      </c>
      <c r="G15255" s="4">
        <f>IFERROR(__xludf.DUMMYFUNCTION("""COMPUTED_VALUE"""),56.0)</f>
        <v>56</v>
      </c>
      <c r="H15255" s="4"/>
      <c r="I15255" s="4"/>
    </row>
    <row r="15256">
      <c r="A15256" s="4" t="str">
        <f>IFERROR(__xludf.DUMMYFUNCTION("""COMPUTED_VALUE"""),"cas_hmw")</f>
        <v>cas_hmw</v>
      </c>
      <c r="B15256" s="5">
        <f>IFERROR(__xludf.DUMMYFUNCTION("""COMPUTED_VALUE"""),44728.0)</f>
        <v>44728</v>
      </c>
      <c r="C15256" s="6">
        <f>IFERROR(__xludf.DUMMYFUNCTION("""COMPUTED_VALUE"""),0.7118865740740148)</f>
        <v>0.7118865741</v>
      </c>
      <c r="D15256" s="4">
        <f>IFERROR(__xludf.DUMMYFUNCTION("""COMPUTED_VALUE"""),12.994942)</f>
        <v>12.994942</v>
      </c>
      <c r="E15256" s="4">
        <f>IFERROR(__xludf.DUMMYFUNCTION("""COMPUTED_VALUE"""),80.187236)</f>
        <v>80.187236</v>
      </c>
      <c r="F15256" s="4">
        <f>IFERROR(__xludf.DUMMYFUNCTION("""COMPUTED_VALUE"""),805.0)</f>
        <v>805</v>
      </c>
      <c r="G15256" s="4">
        <f>IFERROR(__xludf.DUMMYFUNCTION("""COMPUTED_VALUE"""),56.0)</f>
        <v>56</v>
      </c>
      <c r="H15256" s="4"/>
      <c r="I15256" s="4"/>
    </row>
    <row r="15257">
      <c r="A15257" s="4" t="str">
        <f>IFERROR(__xludf.DUMMYFUNCTION("""COMPUTED_VALUE"""),"cas_hmw")</f>
        <v>cas_hmw</v>
      </c>
      <c r="B15257" s="5">
        <f>IFERROR(__xludf.DUMMYFUNCTION("""COMPUTED_VALUE"""),44728.0)</f>
        <v>44728</v>
      </c>
      <c r="C15257" s="6">
        <f>IFERROR(__xludf.DUMMYFUNCTION("""COMPUTED_VALUE"""),0.7119560185201408)</f>
        <v>0.7119560185</v>
      </c>
      <c r="D15257" s="4">
        <f>IFERROR(__xludf.DUMMYFUNCTION("""COMPUTED_VALUE"""),12.995978)</f>
        <v>12.995978</v>
      </c>
      <c r="E15257" s="4">
        <f>IFERROR(__xludf.DUMMYFUNCTION("""COMPUTED_VALUE"""),80.189091)</f>
        <v>80.189091</v>
      </c>
      <c r="F15257" s="4">
        <f>IFERROR(__xludf.DUMMYFUNCTION("""COMPUTED_VALUE"""),805.0)</f>
        <v>805</v>
      </c>
      <c r="G15257" s="4">
        <f>IFERROR(__xludf.DUMMYFUNCTION("""COMPUTED_VALUE"""),43.0)</f>
        <v>43</v>
      </c>
      <c r="H15257" s="4"/>
      <c r="I15257" s="4"/>
    </row>
    <row r="15258">
      <c r="A15258" s="4" t="str">
        <f>IFERROR(__xludf.DUMMYFUNCTION("""COMPUTED_VALUE"""),"cas_hmw")</f>
        <v>cas_hmw</v>
      </c>
      <c r="B15258" s="5">
        <f>IFERROR(__xludf.DUMMYFUNCTION("""COMPUTED_VALUE"""),44728.0)</f>
        <v>44728</v>
      </c>
      <c r="C15258" s="6">
        <f>IFERROR(__xludf.DUMMYFUNCTION("""COMPUTED_VALUE"""),0.7121759259243845)</f>
        <v>0.7121759259</v>
      </c>
      <c r="D15258" s="4">
        <f>IFERROR(__xludf.DUMMYFUNCTION("""COMPUTED_VALUE"""),13.001583)</f>
        <v>13.001583</v>
      </c>
      <c r="E15258" s="4">
        <f>IFERROR(__xludf.DUMMYFUNCTION("""COMPUTED_VALUE"""),80.196021)</f>
        <v>80.196021</v>
      </c>
      <c r="F15258" s="4">
        <f>IFERROR(__xludf.DUMMYFUNCTION("""COMPUTED_VALUE"""),5339.0)</f>
        <v>5339</v>
      </c>
      <c r="G15258" s="4">
        <f>IFERROR(__xludf.DUMMYFUNCTION("""COMPUTED_VALUE"""),29.0)</f>
        <v>29</v>
      </c>
      <c r="H15258" s="4"/>
      <c r="I15258" s="4"/>
    </row>
    <row r="15259">
      <c r="A15259" s="4" t="str">
        <f>IFERROR(__xludf.DUMMYFUNCTION("""COMPUTED_VALUE"""),"cas_hmw")</f>
        <v>cas_hmw</v>
      </c>
      <c r="B15259" s="5">
        <f>IFERROR(__xludf.DUMMYFUNCTION("""COMPUTED_VALUE"""),44728.0)</f>
        <v>44728</v>
      </c>
      <c r="C15259" s="6">
        <f>IFERROR(__xludf.DUMMYFUNCTION("""COMPUTED_VALUE"""),0.7122106481474475)</f>
        <v>0.7122106481</v>
      </c>
      <c r="D15259" s="4">
        <f>IFERROR(__xludf.DUMMYFUNCTION("""COMPUTED_VALUE"""),13.002043)</f>
        <v>13.002043</v>
      </c>
      <c r="E15259" s="4">
        <f>IFERROR(__xludf.DUMMYFUNCTION("""COMPUTED_VALUE"""),80.196814)</f>
        <v>80.196814</v>
      </c>
      <c r="F15259" s="4">
        <f>IFERROR(__xludf.DUMMYFUNCTION("""COMPUTED_VALUE"""),5339.0)</f>
        <v>5339</v>
      </c>
      <c r="G15259" s="4">
        <f>IFERROR(__xludf.DUMMYFUNCTION("""COMPUTED_VALUE"""),37.0)</f>
        <v>37</v>
      </c>
      <c r="H15259" s="4"/>
      <c r="I15259" s="4"/>
    </row>
    <row r="15260">
      <c r="A15260" s="4" t="str">
        <f>IFERROR(__xludf.DUMMYFUNCTION("""COMPUTED_VALUE"""),"cas_hmw")</f>
        <v>cas_hmw</v>
      </c>
      <c r="B15260" s="5">
        <f>IFERROR(__xludf.DUMMYFUNCTION("""COMPUTED_VALUE"""),44728.0)</f>
        <v>44728</v>
      </c>
      <c r="C15260" s="6">
        <f>IFERROR(__xludf.DUMMYFUNCTION("""COMPUTED_VALUE"""),0.7125000000014552)</f>
        <v>0.7125</v>
      </c>
      <c r="D15260" s="4">
        <f>IFERROR(__xludf.DUMMYFUNCTION("""COMPUTED_VALUE"""),13.001863)</f>
        <v>13.001863</v>
      </c>
      <c r="E15260" s="4">
        <f>IFERROR(__xludf.DUMMYFUNCTION("""COMPUTED_VALUE"""),80.198842)</f>
        <v>80.198842</v>
      </c>
      <c r="F15260" s="4">
        <f>IFERROR(__xludf.DUMMYFUNCTION("""COMPUTED_VALUE"""),5339.0)</f>
        <v>5339</v>
      </c>
      <c r="G15260" s="4">
        <f>IFERROR(__xludf.DUMMYFUNCTION("""COMPUTED_VALUE"""),37.0)</f>
        <v>37</v>
      </c>
      <c r="H15260" s="4"/>
      <c r="I15260" s="4"/>
    </row>
    <row r="15261">
      <c r="A15261" s="4" t="str">
        <f>IFERROR(__xludf.DUMMYFUNCTION("""COMPUTED_VALUE"""),"cas_hmw")</f>
        <v>cas_hmw</v>
      </c>
      <c r="B15261" s="5">
        <f>IFERROR(__xludf.DUMMYFUNCTION("""COMPUTED_VALUE"""),44728.0)</f>
        <v>44728</v>
      </c>
      <c r="C15261" s="6">
        <f>IFERROR(__xludf.DUMMYFUNCTION("""COMPUTED_VALUE"""),0.7129282407404389)</f>
        <v>0.7129282407</v>
      </c>
      <c r="D15261" s="4">
        <f>IFERROR(__xludf.DUMMYFUNCTION("""COMPUTED_VALUE"""),13.004443)</f>
        <v>13.004443</v>
      </c>
      <c r="E15261" s="4">
        <f>IFERROR(__xludf.DUMMYFUNCTION("""COMPUTED_VALUE"""),80.201093)</f>
        <v>80.201093</v>
      </c>
      <c r="F15261" s="4">
        <f>IFERROR(__xludf.DUMMYFUNCTION("""COMPUTED_VALUE"""),5339.0)</f>
        <v>5339</v>
      </c>
      <c r="G15261" s="4">
        <f>IFERROR(__xludf.DUMMYFUNCTION("""COMPUTED_VALUE"""),37.0)</f>
        <v>37</v>
      </c>
      <c r="H15261" s="4"/>
      <c r="I15261" s="4"/>
    </row>
    <row r="15262">
      <c r="A15262" s="4" t="str">
        <f>IFERROR(__xludf.DUMMYFUNCTION("""COMPUTED_VALUE"""),"cas_hmw")</f>
        <v>cas_hmw</v>
      </c>
      <c r="B15262" s="5">
        <f>IFERROR(__xludf.DUMMYFUNCTION("""COMPUTED_VALUE"""),44728.0)</f>
        <v>44728</v>
      </c>
      <c r="C15262" s="6">
        <f>IFERROR(__xludf.DUMMYFUNCTION("""COMPUTED_VALUE"""),0.7129976851865649)</f>
        <v>0.7129976852</v>
      </c>
      <c r="D15262" s="4">
        <f>IFERROR(__xludf.DUMMYFUNCTION("""COMPUTED_VALUE"""),13.00066)</f>
        <v>13.00066</v>
      </c>
      <c r="E15262" s="4">
        <f>IFERROR(__xludf.DUMMYFUNCTION("""COMPUTED_VALUE"""),80.194939)</f>
        <v>80.194939</v>
      </c>
      <c r="F15262" s="4">
        <f>IFERROR(__xludf.DUMMYFUNCTION("""COMPUTED_VALUE"""),805.0)</f>
        <v>805</v>
      </c>
      <c r="G15262" s="4">
        <f>IFERROR(__xludf.DUMMYFUNCTION("""COMPUTED_VALUE"""),30.0)</f>
        <v>30</v>
      </c>
      <c r="H15262" s="4"/>
      <c r="I15262" s="4"/>
    </row>
    <row r="15263">
      <c r="A15263" s="4" t="str">
        <f>IFERROR(__xludf.DUMMYFUNCTION("""COMPUTED_VALUE"""),"cas_hmw")</f>
        <v>cas_hmw</v>
      </c>
      <c r="B15263" s="5">
        <f>IFERROR(__xludf.DUMMYFUNCTION("""COMPUTED_VALUE"""),44728.0)</f>
        <v>44728</v>
      </c>
      <c r="C15263" s="6">
        <f>IFERROR(__xludf.DUMMYFUNCTION("""COMPUTED_VALUE"""),0.7132175925908086)</f>
        <v>0.7132175926</v>
      </c>
      <c r="D15263" s="4">
        <f>IFERROR(__xludf.DUMMYFUNCTION("""COMPUTED_VALUE"""),13.005885)</f>
        <v>13.005885</v>
      </c>
      <c r="E15263" s="4">
        <f>IFERROR(__xludf.DUMMYFUNCTION("""COMPUTED_VALUE"""),80.202321)</f>
        <v>80.202321</v>
      </c>
      <c r="F15263" s="4">
        <f>IFERROR(__xludf.DUMMYFUNCTION("""COMPUTED_VALUE"""),5339.0)</f>
        <v>5339</v>
      </c>
      <c r="G15263" s="4">
        <f>IFERROR(__xludf.DUMMYFUNCTION("""COMPUTED_VALUE"""),43.0)</f>
        <v>43</v>
      </c>
      <c r="H15263" s="4"/>
      <c r="I15263" s="4"/>
    </row>
    <row r="15264">
      <c r="A15264" s="4" t="str">
        <f>IFERROR(__xludf.DUMMYFUNCTION("""COMPUTED_VALUE"""),"cas_hmw")</f>
        <v>cas_hmw</v>
      </c>
      <c r="B15264" s="5">
        <f>IFERROR(__xludf.DUMMYFUNCTION("""COMPUTED_VALUE"""),44728.0)</f>
        <v>44728</v>
      </c>
      <c r="C15264" s="6">
        <f>IFERROR(__xludf.DUMMYFUNCTION("""COMPUTED_VALUE"""),0.7133564814830606)</f>
        <v>0.7133564815</v>
      </c>
      <c r="D15264" s="4">
        <f>IFERROR(__xludf.DUMMYFUNCTION("""COMPUTED_VALUE"""),13.007304)</f>
        <v>13.007304</v>
      </c>
      <c r="E15264" s="4">
        <f>IFERROR(__xludf.DUMMYFUNCTION("""COMPUTED_VALUE"""),80.20358)</f>
        <v>80.20358</v>
      </c>
      <c r="F15264" s="4">
        <f>IFERROR(__xludf.DUMMYFUNCTION("""COMPUTED_VALUE"""),5339.0)</f>
        <v>5339</v>
      </c>
      <c r="G15264" s="4">
        <f>IFERROR(__xludf.DUMMYFUNCTION("""COMPUTED_VALUE"""),38.0)</f>
        <v>38</v>
      </c>
      <c r="H15264" s="4"/>
      <c r="I15264" s="4"/>
    </row>
    <row r="15265">
      <c r="A15265" s="4" t="str">
        <f>IFERROR(__xludf.DUMMYFUNCTION("""COMPUTED_VALUE"""),"cas_hmw")</f>
        <v>cas_hmw</v>
      </c>
      <c r="B15265" s="5">
        <f>IFERROR(__xludf.DUMMYFUNCTION("""COMPUTED_VALUE"""),44728.0)</f>
        <v>44728</v>
      </c>
      <c r="C15265" s="6">
        <f>IFERROR(__xludf.DUMMYFUNCTION("""COMPUTED_VALUE"""),0.7133680555562023)</f>
        <v>0.7133680556</v>
      </c>
      <c r="D15265" s="4">
        <f>IFERROR(__xludf.DUMMYFUNCTION("""COMPUTED_VALUE"""),13.001972)</f>
        <v>13.001972</v>
      </c>
      <c r="E15265" s="4">
        <f>IFERROR(__xludf.DUMMYFUNCTION("""COMPUTED_VALUE"""),80.196667)</f>
        <v>80.196667</v>
      </c>
      <c r="F15265" s="4">
        <f>IFERROR(__xludf.DUMMYFUNCTION("""COMPUTED_VALUE"""),805.0)</f>
        <v>805</v>
      </c>
      <c r="G15265" s="4">
        <f>IFERROR(__xludf.DUMMYFUNCTION("""COMPUTED_VALUE"""),40.0)</f>
        <v>40</v>
      </c>
      <c r="H15265" s="4"/>
      <c r="I15265" s="4"/>
    </row>
    <row r="15266">
      <c r="A15266" s="4" t="str">
        <f>IFERROR(__xludf.DUMMYFUNCTION("""COMPUTED_VALUE"""),"cas_hmw")</f>
        <v>cas_hmw</v>
      </c>
      <c r="B15266" s="5">
        <f>IFERROR(__xludf.DUMMYFUNCTION("""COMPUTED_VALUE"""),44728.0)</f>
        <v>44728</v>
      </c>
      <c r="C15266" s="6">
        <f>IFERROR(__xludf.DUMMYFUNCTION("""COMPUTED_VALUE"""),0.71344907407547)</f>
        <v>0.7134490741</v>
      </c>
      <c r="D15266" s="4">
        <f>IFERROR(__xludf.DUMMYFUNCTION("""COMPUTED_VALUE"""),13.001914)</f>
        <v>13.001914</v>
      </c>
      <c r="E15266" s="4">
        <f>IFERROR(__xludf.DUMMYFUNCTION("""COMPUTED_VALUE"""),80.198562)</f>
        <v>80.198562</v>
      </c>
      <c r="F15266" s="4">
        <f>IFERROR(__xludf.DUMMYFUNCTION("""COMPUTED_VALUE"""),805.0)</f>
        <v>805</v>
      </c>
      <c r="G15266" s="4">
        <f>IFERROR(__xludf.DUMMYFUNCTION("""COMPUTED_VALUE"""),44.0)</f>
        <v>44</v>
      </c>
      <c r="H15266" s="4"/>
      <c r="I15266" s="4"/>
    </row>
    <row r="15267">
      <c r="A15267" s="4" t="str">
        <f>IFERROR(__xludf.DUMMYFUNCTION("""COMPUTED_VALUE"""),"cas_hmw")</f>
        <v>cas_hmw</v>
      </c>
      <c r="B15267" s="5">
        <f>IFERROR(__xludf.DUMMYFUNCTION("""COMPUTED_VALUE"""),44728.0)</f>
        <v>44728</v>
      </c>
      <c r="C15267" s="6">
        <f>IFERROR(__xludf.DUMMYFUNCTION("""COMPUTED_VALUE"""),0.7135300925910997)</f>
        <v>0.7135300926</v>
      </c>
      <c r="D15267" s="4">
        <f>IFERROR(__xludf.DUMMYFUNCTION("""COMPUTED_VALUE"""),13.008136)</f>
        <v>13.008136</v>
      </c>
      <c r="E15267" s="4">
        <f>IFERROR(__xludf.DUMMYFUNCTION("""COMPUTED_VALUE"""),80.203674)</f>
        <v>80.203674</v>
      </c>
      <c r="F15267" s="4">
        <f>IFERROR(__xludf.DUMMYFUNCTION("""COMPUTED_VALUE"""),5339.0)</f>
        <v>5339</v>
      </c>
      <c r="G15267" s="4">
        <f>IFERROR(__xludf.DUMMYFUNCTION("""COMPUTED_VALUE"""),28.0)</f>
        <v>28</v>
      </c>
      <c r="H15267" s="4"/>
      <c r="I15267" s="4"/>
    </row>
    <row r="15268">
      <c r="A15268" s="4" t="str">
        <f>IFERROR(__xludf.DUMMYFUNCTION("""COMPUTED_VALUE"""),"cas_hmw")</f>
        <v>cas_hmw</v>
      </c>
      <c r="B15268" s="5">
        <f>IFERROR(__xludf.DUMMYFUNCTION("""COMPUTED_VALUE"""),44728.0)</f>
        <v>44728</v>
      </c>
      <c r="C15268" s="6">
        <f>IFERROR(__xludf.DUMMYFUNCTION("""COMPUTED_VALUE"""),0.7135416666678793)</f>
        <v>0.7135416667</v>
      </c>
      <c r="D15268" s="4">
        <f>IFERROR(__xludf.DUMMYFUNCTION("""COMPUTED_VALUE"""),13.001914)</f>
        <v>13.001914</v>
      </c>
      <c r="E15268" s="4">
        <f>IFERROR(__xludf.DUMMYFUNCTION("""COMPUTED_VALUE"""),80.198562)</f>
        <v>80.198562</v>
      </c>
      <c r="F15268" s="4">
        <f>IFERROR(__xludf.DUMMYFUNCTION("""COMPUTED_VALUE"""),805.0)</f>
        <v>805</v>
      </c>
      <c r="G15268" s="4">
        <f>IFERROR(__xludf.DUMMYFUNCTION("""COMPUTED_VALUE"""),44.0)</f>
        <v>44</v>
      </c>
      <c r="H15268" s="4"/>
      <c r="I15268" s="4"/>
    </row>
    <row r="15269">
      <c r="A15269" s="4" t="str">
        <f>IFERROR(__xludf.DUMMYFUNCTION("""COMPUTED_VALUE"""),"cas_hmw")</f>
        <v>cas_hmw</v>
      </c>
      <c r="B15269" s="5">
        <f>IFERROR(__xludf.DUMMYFUNCTION("""COMPUTED_VALUE"""),44728.0)</f>
        <v>44728</v>
      </c>
      <c r="C15269" s="6">
        <f>IFERROR(__xludf.DUMMYFUNCTION("""COMPUTED_VALUE"""),0.7138078703719657)</f>
        <v>0.7138078704</v>
      </c>
      <c r="D15269" s="4">
        <f>IFERROR(__xludf.DUMMYFUNCTION("""COMPUTED_VALUE"""),13.007615)</f>
        <v>13.007615</v>
      </c>
      <c r="E15269" s="4">
        <f>IFERROR(__xludf.DUMMYFUNCTION("""COMPUTED_VALUE"""),80.204253)</f>
        <v>80.204253</v>
      </c>
      <c r="F15269" s="4">
        <f>IFERROR(__xludf.DUMMYFUNCTION("""COMPUTED_VALUE"""),5339.0)</f>
        <v>5339</v>
      </c>
      <c r="G15269" s="4">
        <f>IFERROR(__xludf.DUMMYFUNCTION("""COMPUTED_VALUE"""),55.0)</f>
        <v>55</v>
      </c>
      <c r="H15269" s="4"/>
      <c r="I15269" s="4"/>
    </row>
    <row r="15270">
      <c r="A15270" s="4" t="str">
        <f>IFERROR(__xludf.DUMMYFUNCTION("""COMPUTED_VALUE"""),"cas_hmw")</f>
        <v>cas_hmw</v>
      </c>
      <c r="B15270" s="5">
        <f>IFERROR(__xludf.DUMMYFUNCTION("""COMPUTED_VALUE"""),44728.0)</f>
        <v>44728</v>
      </c>
      <c r="C15270" s="6">
        <f>IFERROR(__xludf.DUMMYFUNCTION("""COMPUTED_VALUE"""),0.7139120370375167)</f>
        <v>0.713912037</v>
      </c>
      <c r="D15270" s="4">
        <f>IFERROR(__xludf.DUMMYFUNCTION("""COMPUTED_VALUE"""),13.007615)</f>
        <v>13.007615</v>
      </c>
      <c r="E15270" s="4">
        <f>IFERROR(__xludf.DUMMYFUNCTION("""COMPUTED_VALUE"""),80.204253)</f>
        <v>80.204253</v>
      </c>
      <c r="F15270" s="4">
        <f>IFERROR(__xludf.DUMMYFUNCTION("""COMPUTED_VALUE"""),5339.0)</f>
        <v>5339</v>
      </c>
      <c r="G15270" s="4">
        <f>IFERROR(__xludf.DUMMYFUNCTION("""COMPUTED_VALUE"""),55.0)</f>
        <v>55</v>
      </c>
      <c r="H15270" s="4"/>
      <c r="I15270" s="4"/>
    </row>
    <row r="15271">
      <c r="A15271" s="4" t="str">
        <f>IFERROR(__xludf.DUMMYFUNCTION("""COMPUTED_VALUE"""),"cas_hmw")</f>
        <v>cas_hmw</v>
      </c>
      <c r="B15271" s="5">
        <f>IFERROR(__xludf.DUMMYFUNCTION("""COMPUTED_VALUE"""),44728.0)</f>
        <v>44728</v>
      </c>
      <c r="C15271" s="6">
        <f>IFERROR(__xludf.DUMMYFUNCTION("""COMPUTED_VALUE"""),0.7140972222223354)</f>
        <v>0.7140972222</v>
      </c>
      <c r="D15271" s="4">
        <f>IFERROR(__xludf.DUMMYFUNCTION("""COMPUTED_VALUE"""),13.007834)</f>
        <v>13.007834</v>
      </c>
      <c r="E15271" s="4">
        <f>IFERROR(__xludf.DUMMYFUNCTION("""COMPUTED_VALUE"""),80.20706)</f>
        <v>80.20706</v>
      </c>
      <c r="F15271" s="4">
        <f>IFERROR(__xludf.DUMMYFUNCTION("""COMPUTED_VALUE"""),5339.0)</f>
        <v>5339</v>
      </c>
      <c r="G15271" s="4">
        <f>IFERROR(__xludf.DUMMYFUNCTION("""COMPUTED_VALUE"""),56.0)</f>
        <v>56</v>
      </c>
      <c r="H15271" s="4"/>
      <c r="I15271" s="4"/>
    </row>
    <row r="15272">
      <c r="A15272" s="4" t="str">
        <f>IFERROR(__xludf.DUMMYFUNCTION("""COMPUTED_VALUE"""),"cas_hmw")</f>
        <v>cas_hmw</v>
      </c>
      <c r="B15272" s="5">
        <f>IFERROR(__xludf.DUMMYFUNCTION("""COMPUTED_VALUE"""),44728.0)</f>
        <v>44728</v>
      </c>
      <c r="C15272" s="6">
        <f>IFERROR(__xludf.DUMMYFUNCTION("""COMPUTED_VALUE"""),0.7147337962960592)</f>
        <v>0.7147337963</v>
      </c>
      <c r="D15272" s="4">
        <f>IFERROR(__xludf.DUMMYFUNCTION("""COMPUTED_VALUE"""),12.723289)</f>
        <v>12.723289</v>
      </c>
      <c r="E15272" s="4">
        <f>IFERROR(__xludf.DUMMYFUNCTION("""COMPUTED_VALUE"""),79.981772)</f>
        <v>79.981772</v>
      </c>
      <c r="F15272" s="4">
        <f>IFERROR(__xludf.DUMMYFUNCTION("""COMPUTED_VALUE"""),2846.0)</f>
        <v>2846</v>
      </c>
      <c r="G15272" s="4">
        <f>IFERROR(__xludf.DUMMYFUNCTION("""COMPUTED_VALUE"""),26.0)</f>
        <v>26</v>
      </c>
      <c r="H15272" s="4"/>
      <c r="I15272" s="4"/>
    </row>
    <row r="15273">
      <c r="A15273" s="4" t="str">
        <f>IFERROR(__xludf.DUMMYFUNCTION("""COMPUTED_VALUE"""),"cas_hmw")</f>
        <v>cas_hmw</v>
      </c>
      <c r="B15273" s="5">
        <f>IFERROR(__xludf.DUMMYFUNCTION("""COMPUTED_VALUE"""),44728.0)</f>
        <v>44728</v>
      </c>
      <c r="C15273" s="6">
        <f>IFERROR(__xludf.DUMMYFUNCTION("""COMPUTED_VALUE"""),0.7148495370383898)</f>
        <v>0.714849537</v>
      </c>
      <c r="D15273" s="4">
        <f>IFERROR(__xludf.DUMMYFUNCTION("""COMPUTED_VALUE"""),13.009349)</f>
        <v>13.009349</v>
      </c>
      <c r="E15273" s="4">
        <f>IFERROR(__xludf.DUMMYFUNCTION("""COMPUTED_VALUE"""),80.212657)</f>
        <v>80.212657</v>
      </c>
      <c r="F15273" s="4">
        <f>IFERROR(__xludf.DUMMYFUNCTION("""COMPUTED_VALUE"""),5339.0)</f>
        <v>5339</v>
      </c>
      <c r="G15273" s="4">
        <f>IFERROR(__xludf.DUMMYFUNCTION("""COMPUTED_VALUE"""),49.0)</f>
        <v>49</v>
      </c>
      <c r="H15273" s="4"/>
      <c r="I15273" s="4"/>
    </row>
    <row r="15274">
      <c r="A15274" s="4" t="str">
        <f>IFERROR(__xludf.DUMMYFUNCTION("""COMPUTED_VALUE"""),"cas_hmw")</f>
        <v>cas_hmw</v>
      </c>
      <c r="B15274" s="5">
        <f>IFERROR(__xludf.DUMMYFUNCTION("""COMPUTED_VALUE"""),44728.0)</f>
        <v>44728</v>
      </c>
      <c r="C15274" s="6">
        <f>IFERROR(__xludf.DUMMYFUNCTION("""COMPUTED_VALUE"""),0.7151041666656965)</f>
        <v>0.7151041667</v>
      </c>
      <c r="D15274" s="4">
        <f>IFERROR(__xludf.DUMMYFUNCTION("""COMPUTED_VALUE"""),12.720968)</f>
        <v>12.720968</v>
      </c>
      <c r="E15274" s="4">
        <f>IFERROR(__xludf.DUMMYFUNCTION("""COMPUTED_VALUE"""),79.981279)</f>
        <v>79.981279</v>
      </c>
      <c r="F15274" s="4">
        <f>IFERROR(__xludf.DUMMYFUNCTION("""COMPUTED_VALUE"""),2846.0)</f>
        <v>2846</v>
      </c>
      <c r="G15274" s="4">
        <f>IFERROR(__xludf.DUMMYFUNCTION("""COMPUTED_VALUE"""),39.0)</f>
        <v>39</v>
      </c>
      <c r="H15274" s="4"/>
      <c r="I15274" s="4"/>
    </row>
    <row r="15275">
      <c r="A15275" s="4" t="str">
        <f>IFERROR(__xludf.DUMMYFUNCTION("""COMPUTED_VALUE"""),"cas_hmw")</f>
        <v>cas_hmw</v>
      </c>
      <c r="B15275" s="5">
        <f>IFERROR(__xludf.DUMMYFUNCTION("""COMPUTED_VALUE"""),44728.0)</f>
        <v>44728</v>
      </c>
      <c r="C15275" s="6">
        <f>IFERROR(__xludf.DUMMYFUNCTION("""COMPUTED_VALUE"""),0.7155787037045229)</f>
        <v>0.7155787037</v>
      </c>
      <c r="D15275" s="4">
        <f>IFERROR(__xludf.DUMMYFUNCTION("""COMPUTED_VALUE"""),13.008221)</f>
        <v>13.008221</v>
      </c>
      <c r="E15275" s="4">
        <f>IFERROR(__xludf.DUMMYFUNCTION("""COMPUTED_VALUE"""),80.209535)</f>
        <v>80.209535</v>
      </c>
      <c r="F15275" s="4">
        <f>IFERROR(__xludf.DUMMYFUNCTION("""COMPUTED_VALUE"""),805.0)</f>
        <v>805</v>
      </c>
      <c r="G15275" s="4">
        <f>IFERROR(__xludf.DUMMYFUNCTION("""COMPUTED_VALUE"""),37.0)</f>
        <v>37</v>
      </c>
      <c r="H15275" s="4"/>
      <c r="I15275" s="4"/>
    </row>
    <row r="15276">
      <c r="A15276" s="4" t="str">
        <f>IFERROR(__xludf.DUMMYFUNCTION("""COMPUTED_VALUE"""),"cas_hmw")</f>
        <v>cas_hmw</v>
      </c>
      <c r="B15276" s="5">
        <f>IFERROR(__xludf.DUMMYFUNCTION("""COMPUTED_VALUE"""),44728.0)</f>
        <v>44728</v>
      </c>
      <c r="C15276" s="6">
        <f>IFERROR(__xludf.DUMMYFUNCTION("""COMPUTED_VALUE"""),0.7157986111124046)</f>
        <v>0.7157986111</v>
      </c>
      <c r="D15276" s="4">
        <f>IFERROR(__xludf.DUMMYFUNCTION("""COMPUTED_VALUE"""),13.008762)</f>
        <v>13.008762</v>
      </c>
      <c r="E15276" s="4">
        <f>IFERROR(__xludf.DUMMYFUNCTION("""COMPUTED_VALUE"""),80.211123)</f>
        <v>80.211123</v>
      </c>
      <c r="F15276" s="4">
        <f>IFERROR(__xludf.DUMMYFUNCTION("""COMPUTED_VALUE"""),805.0)</f>
        <v>805</v>
      </c>
      <c r="G15276" s="4">
        <f>IFERROR(__xludf.DUMMYFUNCTION("""COMPUTED_VALUE"""),41.0)</f>
        <v>41</v>
      </c>
      <c r="H15276" s="4"/>
      <c r="I15276" s="4"/>
    </row>
    <row r="15277">
      <c r="A15277" s="4" t="str">
        <f>IFERROR(__xludf.DUMMYFUNCTION("""COMPUTED_VALUE"""),"cas_hmw")</f>
        <v>cas_hmw</v>
      </c>
      <c r="B15277" s="5">
        <f>IFERROR(__xludf.DUMMYFUNCTION("""COMPUTED_VALUE"""),44728.0)</f>
        <v>44728</v>
      </c>
      <c r="C15277" s="6">
        <f>IFERROR(__xludf.DUMMYFUNCTION("""COMPUTED_VALUE"""),0.716412037036207)</f>
        <v>0.716412037</v>
      </c>
      <c r="D15277" s="4">
        <f>IFERROR(__xludf.DUMMYFUNCTION("""COMPUTED_VALUE"""),13.010487)</f>
        <v>13.010487</v>
      </c>
      <c r="E15277" s="4">
        <f>IFERROR(__xludf.DUMMYFUNCTION("""COMPUTED_VALUE"""),80.216216)</f>
        <v>80.216216</v>
      </c>
      <c r="F15277" s="4">
        <f>IFERROR(__xludf.DUMMYFUNCTION("""COMPUTED_VALUE"""),805.0)</f>
        <v>805</v>
      </c>
      <c r="G15277" s="4">
        <f>IFERROR(__xludf.DUMMYFUNCTION("""COMPUTED_VALUE"""),37.0)</f>
        <v>37</v>
      </c>
      <c r="H15277" s="4"/>
      <c r="I15277" s="4"/>
    </row>
    <row r="15278">
      <c r="A15278" s="4" t="str">
        <f>IFERROR(__xludf.DUMMYFUNCTION("""COMPUTED_VALUE"""),"cas_hmw")</f>
        <v>cas_hmw</v>
      </c>
      <c r="B15278" s="5">
        <f>IFERROR(__xludf.DUMMYFUNCTION("""COMPUTED_VALUE"""),44728.0)</f>
        <v>44728</v>
      </c>
      <c r="C15278" s="6">
        <f>IFERROR(__xludf.DUMMYFUNCTION("""COMPUTED_VALUE"""),0.7167361111096398)</f>
        <v>0.7167361111</v>
      </c>
      <c r="D15278" s="4">
        <f>IFERROR(__xludf.DUMMYFUNCTION("""COMPUTED_VALUE"""),13.01117)</f>
        <v>13.01117</v>
      </c>
      <c r="E15278" s="4">
        <f>IFERROR(__xludf.DUMMYFUNCTION("""COMPUTED_VALUE"""),80.217755)</f>
        <v>80.217755</v>
      </c>
      <c r="F15278" s="4">
        <f>IFERROR(__xludf.DUMMYFUNCTION("""COMPUTED_VALUE"""),805.0)</f>
        <v>805</v>
      </c>
      <c r="G15278" s="4">
        <f>IFERROR(__xludf.DUMMYFUNCTION("""COMPUTED_VALUE"""),42.0)</f>
        <v>42</v>
      </c>
      <c r="H15278" s="4"/>
      <c r="I15278" s="4"/>
    </row>
    <row r="15279">
      <c r="A15279" s="4" t="str">
        <f>IFERROR(__xludf.DUMMYFUNCTION("""COMPUTED_VALUE"""),"cas_hmw")</f>
        <v>cas_hmw</v>
      </c>
      <c r="B15279" s="5">
        <f>IFERROR(__xludf.DUMMYFUNCTION("""COMPUTED_VALUE"""),44728.0)</f>
        <v>44728</v>
      </c>
      <c r="C15279" s="6">
        <f>IFERROR(__xludf.DUMMYFUNCTION("""COMPUTED_VALUE"""),0.7168981481481751)</f>
        <v>0.7168981481</v>
      </c>
      <c r="D15279" s="4">
        <f>IFERROR(__xludf.DUMMYFUNCTION("""COMPUTED_VALUE"""),13.01183)</f>
        <v>13.01183</v>
      </c>
      <c r="E15279" s="4">
        <f>IFERROR(__xludf.DUMMYFUNCTION("""COMPUTED_VALUE"""),80.219637)</f>
        <v>80.219637</v>
      </c>
      <c r="F15279" s="4">
        <f>IFERROR(__xludf.DUMMYFUNCTION("""COMPUTED_VALUE"""),805.0)</f>
        <v>805</v>
      </c>
      <c r="G15279" s="4">
        <f>IFERROR(__xludf.DUMMYFUNCTION("""COMPUTED_VALUE"""),58.0)</f>
        <v>58</v>
      </c>
      <c r="H15279" s="4"/>
      <c r="I15279" s="4"/>
    </row>
    <row r="15280">
      <c r="A15280" s="4" t="str">
        <f>IFERROR(__xludf.DUMMYFUNCTION("""COMPUTED_VALUE"""),"cas_hmw")</f>
        <v>cas_hmw</v>
      </c>
      <c r="B15280" s="5">
        <f>IFERROR(__xludf.DUMMYFUNCTION("""COMPUTED_VALUE"""),44728.0)</f>
        <v>44728</v>
      </c>
      <c r="C15280" s="6">
        <f>IFERROR(__xludf.DUMMYFUNCTION("""COMPUTED_VALUE"""),0.7169097222213168)</f>
        <v>0.7169097222</v>
      </c>
      <c r="D15280" s="4">
        <f>IFERROR(__xludf.DUMMYFUNCTION("""COMPUTED_VALUE"""),13.01183)</f>
        <v>13.01183</v>
      </c>
      <c r="E15280" s="4">
        <f>IFERROR(__xludf.DUMMYFUNCTION("""COMPUTED_VALUE"""),80.219637)</f>
        <v>80.219637</v>
      </c>
      <c r="F15280" s="4">
        <f>IFERROR(__xludf.DUMMYFUNCTION("""COMPUTED_VALUE"""),805.0)</f>
        <v>805</v>
      </c>
      <c r="G15280" s="4">
        <f>IFERROR(__xludf.DUMMYFUNCTION("""COMPUTED_VALUE"""),58.0)</f>
        <v>58</v>
      </c>
      <c r="H15280" s="4"/>
      <c r="I15280" s="4"/>
    </row>
    <row r="15281">
      <c r="A15281" s="4" t="str">
        <f>IFERROR(__xludf.DUMMYFUNCTION("""COMPUTED_VALUE"""),"cas_hmw")</f>
        <v>cas_hmw</v>
      </c>
      <c r="B15281" s="5">
        <f>IFERROR(__xludf.DUMMYFUNCTION("""COMPUTED_VALUE"""),44728.0)</f>
        <v>44728</v>
      </c>
      <c r="C15281" s="6">
        <f>IFERROR(__xludf.DUMMYFUNCTION("""COMPUTED_VALUE"""),0.7178009259259852)</f>
        <v>0.7178009259</v>
      </c>
      <c r="D15281" s="4">
        <f>IFERROR(__xludf.DUMMYFUNCTION("""COMPUTED_VALUE"""),13.015462)</f>
        <v>13.015462</v>
      </c>
      <c r="E15281" s="4">
        <f>IFERROR(__xludf.DUMMYFUNCTION("""COMPUTED_VALUE"""),80.225258)</f>
        <v>80.225258</v>
      </c>
      <c r="F15281" s="4">
        <f>IFERROR(__xludf.DUMMYFUNCTION("""COMPUTED_VALUE"""),805.0)</f>
        <v>805</v>
      </c>
      <c r="G15281" s="4">
        <f>IFERROR(__xludf.DUMMYFUNCTION("""COMPUTED_VALUE"""),14.0)</f>
        <v>14</v>
      </c>
      <c r="H15281" s="4"/>
      <c r="I15281" s="4"/>
    </row>
    <row r="15282">
      <c r="A15282" s="4" t="str">
        <f>IFERROR(__xludf.DUMMYFUNCTION("""COMPUTED_VALUE"""),"cas_hmw")</f>
        <v>cas_hmw</v>
      </c>
      <c r="B15282" s="5">
        <f>IFERROR(__xludf.DUMMYFUNCTION("""COMPUTED_VALUE"""),44728.0)</f>
        <v>44728</v>
      </c>
      <c r="C15282" s="6">
        <f>IFERROR(__xludf.DUMMYFUNCTION("""COMPUTED_VALUE"""),0.7178124999991269)</f>
        <v>0.7178125</v>
      </c>
      <c r="D15282" s="4">
        <f>IFERROR(__xludf.DUMMYFUNCTION("""COMPUTED_VALUE"""),13.015462)</f>
        <v>13.015462</v>
      </c>
      <c r="E15282" s="4">
        <f>IFERROR(__xludf.DUMMYFUNCTION("""COMPUTED_VALUE"""),80.225258)</f>
        <v>80.225258</v>
      </c>
      <c r="F15282" s="4">
        <f>IFERROR(__xludf.DUMMYFUNCTION("""COMPUTED_VALUE"""),805.0)</f>
        <v>805</v>
      </c>
      <c r="G15282" s="4">
        <f>IFERROR(__xludf.DUMMYFUNCTION("""COMPUTED_VALUE"""),14.0)</f>
        <v>14</v>
      </c>
      <c r="H15282" s="4"/>
      <c r="I15282" s="4"/>
    </row>
    <row r="15283">
      <c r="A15283" s="4" t="str">
        <f>IFERROR(__xludf.DUMMYFUNCTION("""COMPUTED_VALUE"""),"cas_hmw")</f>
        <v>cas_hmw</v>
      </c>
      <c r="B15283" s="5">
        <f>IFERROR(__xludf.DUMMYFUNCTION("""COMPUTED_VALUE"""),44728.0)</f>
        <v>44728</v>
      </c>
      <c r="C15283" s="6">
        <f>IFERROR(__xludf.DUMMYFUNCTION("""COMPUTED_VALUE"""),0.7179050925915362)</f>
        <v>0.7179050926</v>
      </c>
      <c r="D15283" s="4">
        <f>IFERROR(__xludf.DUMMYFUNCTION("""COMPUTED_VALUE"""),13.01544)</f>
        <v>13.01544</v>
      </c>
      <c r="E15283" s="4">
        <f>IFERROR(__xludf.DUMMYFUNCTION("""COMPUTED_VALUE"""),80.22559)</f>
        <v>80.22559</v>
      </c>
      <c r="F15283" s="4">
        <f>IFERROR(__xludf.DUMMYFUNCTION("""COMPUTED_VALUE"""),805.0)</f>
        <v>805</v>
      </c>
      <c r="G15283" s="4">
        <f>IFERROR(__xludf.DUMMYFUNCTION("""COMPUTED_VALUE"""),8.0)</f>
        <v>8</v>
      </c>
      <c r="H15283" s="4"/>
      <c r="I15283" s="4"/>
    </row>
    <row r="15284">
      <c r="A15284" s="4" t="str">
        <f>IFERROR(__xludf.DUMMYFUNCTION("""COMPUTED_VALUE"""),"cas_hmw")</f>
        <v>cas_hmw</v>
      </c>
      <c r="B15284" s="5">
        <f>IFERROR(__xludf.DUMMYFUNCTION("""COMPUTED_VALUE"""),44728.0)</f>
        <v>44728</v>
      </c>
      <c r="C15284" s="6">
        <f>IFERROR(__xludf.DUMMYFUNCTION("""COMPUTED_VALUE"""),0.7180208333338669)</f>
        <v>0.7180208333</v>
      </c>
      <c r="D15284" s="4">
        <f>IFERROR(__xludf.DUMMYFUNCTION("""COMPUTED_VALUE"""),13.01544)</f>
        <v>13.01544</v>
      </c>
      <c r="E15284" s="4">
        <f>IFERROR(__xludf.DUMMYFUNCTION("""COMPUTED_VALUE"""),80.22559)</f>
        <v>80.22559</v>
      </c>
      <c r="F15284" s="4">
        <f>IFERROR(__xludf.DUMMYFUNCTION("""COMPUTED_VALUE"""),805.0)</f>
        <v>805</v>
      </c>
      <c r="G15284" s="4">
        <f>IFERROR(__xludf.DUMMYFUNCTION("""COMPUTED_VALUE"""),8.0)</f>
        <v>8</v>
      </c>
      <c r="H15284" s="4"/>
      <c r="I15284" s="4"/>
    </row>
    <row r="15285">
      <c r="A15285" s="4" t="str">
        <f>IFERROR(__xludf.DUMMYFUNCTION("""COMPUTED_VALUE"""),"cas_hmw")</f>
        <v>cas_hmw</v>
      </c>
      <c r="B15285" s="5">
        <f>IFERROR(__xludf.DUMMYFUNCTION("""COMPUTED_VALUE"""),44728.0)</f>
        <v>44728</v>
      </c>
      <c r="C15285" s="6">
        <f>IFERROR(__xludf.DUMMYFUNCTION("""COMPUTED_VALUE"""),0.7181018518531346)</f>
        <v>0.7181018519</v>
      </c>
      <c r="D15285" s="4">
        <f>IFERROR(__xludf.DUMMYFUNCTION("""COMPUTED_VALUE"""),13.023435)</f>
        <v>13.023435</v>
      </c>
      <c r="E15285" s="4">
        <f>IFERROR(__xludf.DUMMYFUNCTION("""COMPUTED_VALUE"""),80.227491)</f>
        <v>80.227491</v>
      </c>
      <c r="F15285" s="4">
        <f>IFERROR(__xludf.DUMMYFUNCTION("""COMPUTED_VALUE"""),5339.0)</f>
        <v>5339</v>
      </c>
      <c r="G15285" s="4">
        <f>IFERROR(__xludf.DUMMYFUNCTION("""COMPUTED_VALUE"""),31.0)</f>
        <v>31</v>
      </c>
      <c r="H15285" s="4"/>
      <c r="I15285" s="4"/>
    </row>
    <row r="15286">
      <c r="A15286" s="4" t="str">
        <f>IFERROR(__xludf.DUMMYFUNCTION("""COMPUTED_VALUE"""),"cas_hmw")</f>
        <v>cas_hmw</v>
      </c>
      <c r="B15286" s="5">
        <f>IFERROR(__xludf.DUMMYFUNCTION("""COMPUTED_VALUE"""),44728.0)</f>
        <v>44728</v>
      </c>
      <c r="C15286" s="6">
        <f>IFERROR(__xludf.DUMMYFUNCTION("""COMPUTED_VALUE"""),0.7187962962962047)</f>
        <v>0.7187962963</v>
      </c>
      <c r="D15286" s="4">
        <f>IFERROR(__xludf.DUMMYFUNCTION("""COMPUTED_VALUE"""),13.011292)</f>
        <v>13.011292</v>
      </c>
      <c r="E15286" s="4">
        <f>IFERROR(__xludf.DUMMYFUNCTION("""COMPUTED_VALUE"""),80.227432)</f>
        <v>80.227432</v>
      </c>
      <c r="F15286" s="4">
        <f>IFERROR(__xludf.DUMMYFUNCTION("""COMPUTED_VALUE"""),805.0)</f>
        <v>805</v>
      </c>
      <c r="G15286" s="4">
        <f>IFERROR(__xludf.DUMMYFUNCTION("""COMPUTED_VALUE"""),43.0)</f>
        <v>43</v>
      </c>
      <c r="H15286" s="4"/>
      <c r="I15286" s="4"/>
    </row>
    <row r="15287">
      <c r="A15287" s="4" t="str">
        <f>IFERROR(__xludf.DUMMYFUNCTION("""COMPUTED_VALUE"""),"cas_hmw")</f>
        <v>cas_hmw</v>
      </c>
      <c r="B15287" s="5">
        <f>IFERROR(__xludf.DUMMYFUNCTION("""COMPUTED_VALUE"""),44728.0)</f>
        <v>44728</v>
      </c>
      <c r="C15287" s="6">
        <f>IFERROR(__xludf.DUMMYFUNCTION("""COMPUTED_VALUE"""),0.7190740740734327)</f>
        <v>0.7190740741</v>
      </c>
      <c r="D15287" s="4">
        <f>IFERROR(__xludf.DUMMYFUNCTION("""COMPUTED_VALUE"""),13.024682)</f>
        <v>13.024682</v>
      </c>
      <c r="E15287" s="4">
        <f>IFERROR(__xludf.DUMMYFUNCTION("""COMPUTED_VALUE"""),80.229002)</f>
        <v>80.229002</v>
      </c>
      <c r="F15287" s="4">
        <f>IFERROR(__xludf.DUMMYFUNCTION("""COMPUTED_VALUE"""),5339.0)</f>
        <v>5339</v>
      </c>
      <c r="G15287" s="4">
        <f>IFERROR(__xludf.DUMMYFUNCTION("""COMPUTED_VALUE"""),21.0)</f>
        <v>21</v>
      </c>
      <c r="H15287" s="4"/>
      <c r="I15287" s="4"/>
    </row>
    <row r="15288">
      <c r="A15288" s="4" t="str">
        <f>IFERROR(__xludf.DUMMYFUNCTION("""COMPUTED_VALUE"""),"cas_hmw")</f>
        <v>cas_hmw</v>
      </c>
      <c r="B15288" s="5">
        <f>IFERROR(__xludf.DUMMYFUNCTION("""COMPUTED_VALUE"""),44728.0)</f>
        <v>44728</v>
      </c>
      <c r="C15288" s="6">
        <f>IFERROR(__xludf.DUMMYFUNCTION("""COMPUTED_VALUE"""),0.7195717592585424)</f>
        <v>0.7195717593</v>
      </c>
      <c r="D15288" s="4">
        <f>IFERROR(__xludf.DUMMYFUNCTION("""COMPUTED_VALUE"""),13.008016)</f>
        <v>13.008016</v>
      </c>
      <c r="E15288" s="4">
        <f>IFERROR(__xludf.DUMMYFUNCTION("""COMPUTED_VALUE"""),80.234356)</f>
        <v>80.234356</v>
      </c>
      <c r="F15288" s="4">
        <f>IFERROR(__xludf.DUMMYFUNCTION("""COMPUTED_VALUE"""),805.0)</f>
        <v>805</v>
      </c>
      <c r="G15288" s="4">
        <f>IFERROR(__xludf.DUMMYFUNCTION("""COMPUTED_VALUE"""),0.0)</f>
        <v>0</v>
      </c>
      <c r="H15288" s="4"/>
      <c r="I15288" s="4"/>
    </row>
    <row r="15289">
      <c r="A15289" s="4" t="str">
        <f>IFERROR(__xludf.DUMMYFUNCTION("""COMPUTED_VALUE"""),"cas_hmw")</f>
        <v>cas_hmw</v>
      </c>
      <c r="B15289" s="5">
        <f>IFERROR(__xludf.DUMMYFUNCTION("""COMPUTED_VALUE"""),44728.0)</f>
        <v>44728</v>
      </c>
      <c r="C15289" s="6">
        <f>IFERROR(__xludf.DUMMYFUNCTION("""COMPUTED_VALUE"""),0.7198379629626288)</f>
        <v>0.719837963</v>
      </c>
      <c r="D15289" s="4">
        <f>IFERROR(__xludf.DUMMYFUNCTION("""COMPUTED_VALUE"""),13.007838)</f>
        <v>13.007838</v>
      </c>
      <c r="E15289" s="4">
        <f>IFERROR(__xludf.DUMMYFUNCTION("""COMPUTED_VALUE"""),80.23523)</f>
        <v>80.23523</v>
      </c>
      <c r="F15289" s="4">
        <f>IFERROR(__xludf.DUMMYFUNCTION("""COMPUTED_VALUE"""),805.0)</f>
        <v>805</v>
      </c>
      <c r="G15289" s="4">
        <f>IFERROR(__xludf.DUMMYFUNCTION("""COMPUTED_VALUE"""),27.0)</f>
        <v>27</v>
      </c>
      <c r="H15289" s="4"/>
      <c r="I15289" s="4"/>
    </row>
    <row r="15290">
      <c r="A15290" s="4" t="str">
        <f>IFERROR(__xludf.DUMMYFUNCTION("""COMPUTED_VALUE"""),"cas_hmw")</f>
        <v>cas_hmw</v>
      </c>
      <c r="B15290" s="5">
        <f>IFERROR(__xludf.DUMMYFUNCTION("""COMPUTED_VALUE"""),44728.0)</f>
        <v>44728</v>
      </c>
      <c r="C15290" s="6">
        <f>IFERROR(__xludf.DUMMYFUNCTION("""COMPUTED_VALUE"""),0.7203472222208802)</f>
        <v>0.7203472222</v>
      </c>
      <c r="D15290" s="4">
        <f>IFERROR(__xludf.DUMMYFUNCTION("""COMPUTED_VALUE"""),13.007101)</f>
        <v>13.007101</v>
      </c>
      <c r="E15290" s="4">
        <f>IFERROR(__xludf.DUMMYFUNCTION("""COMPUTED_VALUE"""),80.238961)</f>
        <v>80.238961</v>
      </c>
      <c r="F15290" s="4">
        <f>IFERROR(__xludf.DUMMYFUNCTION("""COMPUTED_VALUE"""),805.0)</f>
        <v>805</v>
      </c>
      <c r="G15290" s="4">
        <f>IFERROR(__xludf.DUMMYFUNCTION("""COMPUTED_VALUE"""),27.0)</f>
        <v>27</v>
      </c>
      <c r="H15290" s="4"/>
      <c r="I15290" s="4"/>
    </row>
    <row r="15291">
      <c r="A15291" s="4" t="str">
        <f>IFERROR(__xludf.DUMMYFUNCTION("""COMPUTED_VALUE"""),"cas_hmw")</f>
        <v>cas_hmw</v>
      </c>
      <c r="B15291" s="5">
        <f>IFERROR(__xludf.DUMMYFUNCTION("""COMPUTED_VALUE"""),44728.0)</f>
        <v>44728</v>
      </c>
      <c r="C15291" s="6">
        <f>IFERROR(__xludf.DUMMYFUNCTION("""COMPUTED_VALUE"""),0.7206828703710926)</f>
        <v>0.7206828704</v>
      </c>
      <c r="D15291" s="4">
        <f>IFERROR(__xludf.DUMMYFUNCTION("""COMPUTED_VALUE"""),13.006642)</f>
        <v>13.006642</v>
      </c>
      <c r="E15291" s="4">
        <f>IFERROR(__xludf.DUMMYFUNCTION("""COMPUTED_VALUE"""),80.242284)</f>
        <v>80.242284</v>
      </c>
      <c r="F15291" s="4">
        <f>IFERROR(__xludf.DUMMYFUNCTION("""COMPUTED_VALUE"""),805.0)</f>
        <v>805</v>
      </c>
      <c r="G15291" s="4">
        <f>IFERROR(__xludf.DUMMYFUNCTION("""COMPUTED_VALUE"""),44.0)</f>
        <v>44</v>
      </c>
      <c r="H15291" s="4"/>
      <c r="I15291" s="4"/>
    </row>
    <row r="15292">
      <c r="A15292" s="4" t="str">
        <f>IFERROR(__xludf.DUMMYFUNCTION("""COMPUTED_VALUE"""),"cas_hmw")</f>
        <v>cas_hmw</v>
      </c>
      <c r="B15292" s="5">
        <f>IFERROR(__xludf.DUMMYFUNCTION("""COMPUTED_VALUE"""),44728.0)</f>
        <v>44728</v>
      </c>
      <c r="C15292" s="6">
        <f>IFERROR(__xludf.DUMMYFUNCTION("""COMPUTED_VALUE"""),0.7207060185173759)</f>
        <v>0.7207060185</v>
      </c>
      <c r="D15292" s="4">
        <f>IFERROR(__xludf.DUMMYFUNCTION("""COMPUTED_VALUE"""),13.006642)</f>
        <v>13.006642</v>
      </c>
      <c r="E15292" s="4">
        <f>IFERROR(__xludf.DUMMYFUNCTION("""COMPUTED_VALUE"""),80.242284)</f>
        <v>80.242284</v>
      </c>
      <c r="F15292" s="4">
        <f>IFERROR(__xludf.DUMMYFUNCTION("""COMPUTED_VALUE"""),805.0)</f>
        <v>805</v>
      </c>
      <c r="G15292" s="4">
        <f>IFERROR(__xludf.DUMMYFUNCTION("""COMPUTED_VALUE"""),44.0)</f>
        <v>44</v>
      </c>
      <c r="H15292" s="4"/>
      <c r="I15292" s="4"/>
    </row>
    <row r="15293">
      <c r="A15293" s="4" t="str">
        <f>IFERROR(__xludf.DUMMYFUNCTION("""COMPUTED_VALUE"""),"cas_hmw")</f>
        <v>cas_hmw</v>
      </c>
      <c r="B15293" s="5">
        <f>IFERROR(__xludf.DUMMYFUNCTION("""COMPUTED_VALUE"""),44728.0)</f>
        <v>44728</v>
      </c>
      <c r="C15293" s="6">
        <f>IFERROR(__xludf.DUMMYFUNCTION("""COMPUTED_VALUE"""),0.7210995370369346)</f>
        <v>0.721099537</v>
      </c>
      <c r="D15293" s="4">
        <f>IFERROR(__xludf.DUMMYFUNCTION("""COMPUTED_VALUE"""),13.026252)</f>
        <v>13.026252</v>
      </c>
      <c r="E15293" s="4">
        <f>IFERROR(__xludf.DUMMYFUNCTION("""COMPUTED_VALUE"""),80.232128)</f>
        <v>80.232128</v>
      </c>
      <c r="F15293" s="4">
        <f>IFERROR(__xludf.DUMMYFUNCTION("""COMPUTED_VALUE"""),5339.0)</f>
        <v>5339</v>
      </c>
      <c r="G15293" s="4">
        <f>IFERROR(__xludf.DUMMYFUNCTION("""COMPUTED_VALUE"""),31.0)</f>
        <v>31</v>
      </c>
      <c r="H15293" s="4"/>
      <c r="I15293" s="4"/>
    </row>
    <row r="15294">
      <c r="A15294" s="4" t="str">
        <f>IFERROR(__xludf.DUMMYFUNCTION("""COMPUTED_VALUE"""),"cas_hmw")</f>
        <v>cas_hmw</v>
      </c>
      <c r="B15294" s="5">
        <f>IFERROR(__xludf.DUMMYFUNCTION("""COMPUTED_VALUE"""),44728.0)</f>
        <v>44728</v>
      </c>
      <c r="C15294" s="6">
        <f>IFERROR(__xludf.DUMMYFUNCTION("""COMPUTED_VALUE"""),0.7211458333331393)</f>
        <v>0.7211458333</v>
      </c>
      <c r="D15294" s="4">
        <f>IFERROR(__xludf.DUMMYFUNCTION("""COMPUTED_VALUE"""),13.026252)</f>
        <v>13.026252</v>
      </c>
      <c r="E15294" s="4">
        <f>IFERROR(__xludf.DUMMYFUNCTION("""COMPUTED_VALUE"""),80.232128)</f>
        <v>80.232128</v>
      </c>
      <c r="F15294" s="4">
        <f>IFERROR(__xludf.DUMMYFUNCTION("""COMPUTED_VALUE"""),5339.0)</f>
        <v>5339</v>
      </c>
      <c r="G15294" s="4">
        <f>IFERROR(__xludf.DUMMYFUNCTION("""COMPUTED_VALUE"""),31.0)</f>
        <v>31</v>
      </c>
      <c r="H15294" s="4"/>
      <c r="I15294" s="4"/>
    </row>
    <row r="15295">
      <c r="A15295" s="4" t="str">
        <f>IFERROR(__xludf.DUMMYFUNCTION("""COMPUTED_VALUE"""),"cas_hmw")</f>
        <v>cas_hmw</v>
      </c>
      <c r="B15295" s="5">
        <f>IFERROR(__xludf.DUMMYFUNCTION("""COMPUTED_VALUE"""),44728.0)</f>
        <v>44728</v>
      </c>
      <c r="C15295" s="6">
        <f>IFERROR(__xludf.DUMMYFUNCTION("""COMPUTED_VALUE"""),0.721331018517958)</f>
        <v>0.7213310185</v>
      </c>
      <c r="D15295" s="4">
        <f>IFERROR(__xludf.DUMMYFUNCTION("""COMPUTED_VALUE"""),13.027074)</f>
        <v>13.027074</v>
      </c>
      <c r="E15295" s="4">
        <f>IFERROR(__xludf.DUMMYFUNCTION("""COMPUTED_VALUE"""),80.2338)</f>
        <v>80.2338</v>
      </c>
      <c r="F15295" s="4">
        <f>IFERROR(__xludf.DUMMYFUNCTION("""COMPUTED_VALUE"""),5339.0)</f>
        <v>5339</v>
      </c>
      <c r="G15295" s="4">
        <f>IFERROR(__xludf.DUMMYFUNCTION("""COMPUTED_VALUE"""),37.0)</f>
        <v>37</v>
      </c>
      <c r="H15295" s="4"/>
      <c r="I15295" s="4"/>
    </row>
    <row r="15296">
      <c r="A15296" s="4" t="str">
        <f>IFERROR(__xludf.DUMMYFUNCTION("""COMPUTED_VALUE"""),"cas_hmw")</f>
        <v>cas_hmw</v>
      </c>
      <c r="B15296" s="5">
        <f>IFERROR(__xludf.DUMMYFUNCTION("""COMPUTED_VALUE"""),44728.0)</f>
        <v>44728</v>
      </c>
      <c r="C15296" s="6">
        <f>IFERROR(__xludf.DUMMYFUNCTION("""COMPUTED_VALUE"""),0.7214583333334303)</f>
        <v>0.7214583333</v>
      </c>
      <c r="D15296" s="4">
        <f>IFERROR(__xludf.DUMMYFUNCTION("""COMPUTED_VALUE"""),13.027074)</f>
        <v>13.027074</v>
      </c>
      <c r="E15296" s="4">
        <f>IFERROR(__xludf.DUMMYFUNCTION("""COMPUTED_VALUE"""),80.2338)</f>
        <v>80.2338</v>
      </c>
      <c r="F15296" s="4">
        <f>IFERROR(__xludf.DUMMYFUNCTION("""COMPUTED_VALUE"""),5339.0)</f>
        <v>5339</v>
      </c>
      <c r="G15296" s="4">
        <f>IFERROR(__xludf.DUMMYFUNCTION("""COMPUTED_VALUE"""),37.0)</f>
        <v>37</v>
      </c>
      <c r="H15296" s="4"/>
      <c r="I15296" s="4"/>
    </row>
    <row r="15297">
      <c r="A15297" s="4" t="str">
        <f>IFERROR(__xludf.DUMMYFUNCTION("""COMPUTED_VALUE"""),"cas_hmw")</f>
        <v>cas_hmw</v>
      </c>
      <c r="B15297" s="5">
        <f>IFERROR(__xludf.DUMMYFUNCTION("""COMPUTED_VALUE"""),44728.0)</f>
        <v>44728</v>
      </c>
      <c r="C15297" s="6">
        <f>IFERROR(__xludf.DUMMYFUNCTION("""COMPUTED_VALUE"""),0.721504629629635)</f>
        <v>0.7215046296</v>
      </c>
      <c r="D15297" s="4">
        <f>IFERROR(__xludf.DUMMYFUNCTION("""COMPUTED_VALUE"""),13.027074)</f>
        <v>13.027074</v>
      </c>
      <c r="E15297" s="4">
        <f>IFERROR(__xludf.DUMMYFUNCTION("""COMPUTED_VALUE"""),80.2338)</f>
        <v>80.2338</v>
      </c>
      <c r="F15297" s="4">
        <f>IFERROR(__xludf.DUMMYFUNCTION("""COMPUTED_VALUE"""),5339.0)</f>
        <v>5339</v>
      </c>
      <c r="G15297" s="4">
        <f>IFERROR(__xludf.DUMMYFUNCTION("""COMPUTED_VALUE"""),37.0)</f>
        <v>37</v>
      </c>
      <c r="H15297" s="4"/>
      <c r="I15297" s="4"/>
    </row>
    <row r="15298">
      <c r="A15298" s="4" t="str">
        <f>IFERROR(__xludf.DUMMYFUNCTION("""COMPUTED_VALUE"""),"cas_hmw")</f>
        <v>cas_hmw</v>
      </c>
      <c r="B15298" s="5">
        <f>IFERROR(__xludf.DUMMYFUNCTION("""COMPUTED_VALUE"""),44728.0)</f>
        <v>44728</v>
      </c>
      <c r="C15298" s="6">
        <f>IFERROR(__xludf.DUMMYFUNCTION("""COMPUTED_VALUE"""),0.7215162037027767)</f>
        <v>0.7215162037</v>
      </c>
      <c r="D15298" s="4">
        <f>IFERROR(__xludf.DUMMYFUNCTION("""COMPUTED_VALUE"""),13.027503)</f>
        <v>13.027503</v>
      </c>
      <c r="E15298" s="4">
        <f>IFERROR(__xludf.DUMMYFUNCTION("""COMPUTED_VALUE"""),80.234472)</f>
        <v>80.234472</v>
      </c>
      <c r="F15298" s="4">
        <f>IFERROR(__xludf.DUMMYFUNCTION("""COMPUTED_VALUE"""),5339.0)</f>
        <v>5339</v>
      </c>
      <c r="G15298" s="4">
        <f>IFERROR(__xludf.DUMMYFUNCTION("""COMPUTED_VALUE"""),28.0)</f>
        <v>28</v>
      </c>
      <c r="H15298" s="4"/>
      <c r="I15298" s="4"/>
    </row>
    <row r="15299">
      <c r="A15299" s="4" t="str">
        <f>IFERROR(__xludf.DUMMYFUNCTION("""COMPUTED_VALUE"""),"cas_hmw")</f>
        <v>cas_hmw</v>
      </c>
      <c r="B15299" s="5">
        <f>IFERROR(__xludf.DUMMYFUNCTION("""COMPUTED_VALUE"""),44728.0)</f>
        <v>44728</v>
      </c>
      <c r="C15299" s="6">
        <f>IFERROR(__xludf.DUMMYFUNCTION("""COMPUTED_VALUE"""),0.7219328703686188)</f>
        <v>0.7219328704</v>
      </c>
      <c r="D15299" s="4">
        <f>IFERROR(__xludf.DUMMYFUNCTION("""COMPUTED_VALUE"""),13.029434)</f>
        <v>13.029434</v>
      </c>
      <c r="E15299" s="4">
        <f>IFERROR(__xludf.DUMMYFUNCTION("""COMPUTED_VALUE"""),80.236992)</f>
        <v>80.236992</v>
      </c>
      <c r="F15299" s="4">
        <f>IFERROR(__xludf.DUMMYFUNCTION("""COMPUTED_VALUE"""),5339.0)</f>
        <v>5339</v>
      </c>
      <c r="G15299" s="4">
        <f>IFERROR(__xludf.DUMMYFUNCTION("""COMPUTED_VALUE"""),36.0)</f>
        <v>36</v>
      </c>
      <c r="H15299" s="4"/>
      <c r="I15299" s="4"/>
    </row>
    <row r="15300">
      <c r="A15300" s="4" t="str">
        <f>IFERROR(__xludf.DUMMYFUNCTION("""COMPUTED_VALUE"""),"cas_hmw")</f>
        <v>cas_hmw</v>
      </c>
      <c r="B15300" s="5">
        <f>IFERROR(__xludf.DUMMYFUNCTION("""COMPUTED_VALUE"""),44728.0)</f>
        <v>44728</v>
      </c>
      <c r="C15300" s="6">
        <f>IFERROR(__xludf.DUMMYFUNCTION("""COMPUTED_VALUE"""),0.7228009259270038)</f>
        <v>0.7228009259</v>
      </c>
      <c r="D15300" s="4">
        <f>IFERROR(__xludf.DUMMYFUNCTION("""COMPUTED_VALUE"""),13.031012)</f>
        <v>13.031012</v>
      </c>
      <c r="E15300" s="4">
        <f>IFERROR(__xludf.DUMMYFUNCTION("""COMPUTED_VALUE"""),80.239515)</f>
        <v>80.239515</v>
      </c>
      <c r="F15300" s="4">
        <f>IFERROR(__xludf.DUMMYFUNCTION("""COMPUTED_VALUE"""),5339.0)</f>
        <v>5339</v>
      </c>
      <c r="G15300" s="4">
        <f>IFERROR(__xludf.DUMMYFUNCTION("""COMPUTED_VALUE"""),24.0)</f>
        <v>24</v>
      </c>
      <c r="H15300" s="4"/>
      <c r="I15300" s="4"/>
    </row>
    <row r="15301">
      <c r="A15301" s="4" t="str">
        <f>IFERROR(__xludf.DUMMYFUNCTION("""COMPUTED_VALUE"""),"cas_hmw")</f>
        <v>cas_hmw</v>
      </c>
      <c r="B15301" s="5">
        <f>IFERROR(__xludf.DUMMYFUNCTION("""COMPUTED_VALUE"""),44728.0)</f>
        <v>44728</v>
      </c>
      <c r="C15301" s="6">
        <f>IFERROR(__xludf.DUMMYFUNCTION("""COMPUTED_VALUE"""),0.7233680555546016)</f>
        <v>0.7233680556</v>
      </c>
      <c r="D15301" s="4">
        <f>IFERROR(__xludf.DUMMYFUNCTION("""COMPUTED_VALUE"""),13.006877)</f>
        <v>13.006877</v>
      </c>
      <c r="E15301" s="4">
        <f>IFERROR(__xludf.DUMMYFUNCTION("""COMPUTED_VALUE"""),80.251075)</f>
        <v>80.251075</v>
      </c>
      <c r="F15301" s="4">
        <f>IFERROR(__xludf.DUMMYFUNCTION("""COMPUTED_VALUE"""),805.0)</f>
        <v>805</v>
      </c>
      <c r="G15301" s="4">
        <f>IFERROR(__xludf.DUMMYFUNCTION("""COMPUTED_VALUE"""),13.0)</f>
        <v>13</v>
      </c>
      <c r="H15301" s="4"/>
      <c r="I15301" s="4"/>
    </row>
    <row r="15302">
      <c r="A15302" s="4" t="str">
        <f>IFERROR(__xludf.DUMMYFUNCTION("""COMPUTED_VALUE"""),"cas_hmw")</f>
        <v>cas_hmw</v>
      </c>
      <c r="B15302" s="5">
        <f>IFERROR(__xludf.DUMMYFUNCTION("""COMPUTED_VALUE"""),44728.0)</f>
        <v>44728</v>
      </c>
      <c r="C15302" s="6">
        <f>IFERROR(__xludf.DUMMYFUNCTION("""COMPUTED_VALUE"""),0.7235532407394203)</f>
        <v>0.7235532407</v>
      </c>
      <c r="D15302" s="4">
        <f>IFERROR(__xludf.DUMMYFUNCTION("""COMPUTED_VALUE"""),13.006762)</f>
        <v>13.006762</v>
      </c>
      <c r="E15302" s="4">
        <f>IFERROR(__xludf.DUMMYFUNCTION("""COMPUTED_VALUE"""),80.251736)</f>
        <v>80.251736</v>
      </c>
      <c r="F15302" s="4">
        <f>IFERROR(__xludf.DUMMYFUNCTION("""COMPUTED_VALUE"""),805.0)</f>
        <v>805</v>
      </c>
      <c r="G15302" s="4">
        <f>IFERROR(__xludf.DUMMYFUNCTION("""COMPUTED_VALUE"""),16.0)</f>
        <v>16</v>
      </c>
      <c r="H15302" s="4"/>
      <c r="I15302" s="4"/>
    </row>
    <row r="15303">
      <c r="A15303" s="4" t="str">
        <f>IFERROR(__xludf.DUMMYFUNCTION("""COMPUTED_VALUE"""),"cas_hmw")</f>
        <v>cas_hmw</v>
      </c>
      <c r="B15303" s="5">
        <f>IFERROR(__xludf.DUMMYFUNCTION("""COMPUTED_VALUE"""),44728.0)</f>
        <v>44728</v>
      </c>
      <c r="C15303" s="6">
        <f>IFERROR(__xludf.DUMMYFUNCTION("""COMPUTED_VALUE"""),0.7235648148161999)</f>
        <v>0.7235648148</v>
      </c>
      <c r="D15303" s="4">
        <f>IFERROR(__xludf.DUMMYFUNCTION("""COMPUTED_VALUE"""),13.033716)</f>
        <v>13.033716</v>
      </c>
      <c r="E15303" s="4">
        <f>IFERROR(__xludf.DUMMYFUNCTION("""COMPUTED_VALUE"""),80.244156)</f>
        <v>80.244156</v>
      </c>
      <c r="F15303" s="4">
        <f>IFERROR(__xludf.DUMMYFUNCTION("""COMPUTED_VALUE"""),5339.0)</f>
        <v>5339</v>
      </c>
      <c r="G15303" s="4">
        <f>IFERROR(__xludf.DUMMYFUNCTION("""COMPUTED_VALUE"""),27.0)</f>
        <v>27</v>
      </c>
      <c r="H15303" s="4"/>
      <c r="I15303" s="4"/>
    </row>
    <row r="15304">
      <c r="A15304" s="4" t="str">
        <f>IFERROR(__xludf.DUMMYFUNCTION("""COMPUTED_VALUE"""),"cas_hmw")</f>
        <v>cas_hmw</v>
      </c>
      <c r="B15304" s="5">
        <f>IFERROR(__xludf.DUMMYFUNCTION("""COMPUTED_VALUE"""),44728.0)</f>
        <v>44728</v>
      </c>
      <c r="C15304" s="6">
        <f>IFERROR(__xludf.DUMMYFUNCTION("""COMPUTED_VALUE"""),0.723599537035625)</f>
        <v>0.723599537</v>
      </c>
      <c r="D15304" s="4">
        <f>IFERROR(__xludf.DUMMYFUNCTION("""COMPUTED_VALUE"""),13.033716)</f>
        <v>13.033716</v>
      </c>
      <c r="E15304" s="4">
        <f>IFERROR(__xludf.DUMMYFUNCTION("""COMPUTED_VALUE"""),80.244156)</f>
        <v>80.244156</v>
      </c>
      <c r="F15304" s="4">
        <f>IFERROR(__xludf.DUMMYFUNCTION("""COMPUTED_VALUE"""),5339.0)</f>
        <v>5339</v>
      </c>
      <c r="G15304" s="4">
        <f>IFERROR(__xludf.DUMMYFUNCTION("""COMPUTED_VALUE"""),27.0)</f>
        <v>27</v>
      </c>
      <c r="H15304" s="4"/>
      <c r="I15304" s="4"/>
    </row>
    <row r="15305">
      <c r="A15305" s="4" t="str">
        <f>IFERROR(__xludf.DUMMYFUNCTION("""COMPUTED_VALUE"""),"cas_hmw")</f>
        <v>cas_hmw</v>
      </c>
      <c r="B15305" s="5">
        <f>IFERROR(__xludf.DUMMYFUNCTION("""COMPUTED_VALUE"""),44728.0)</f>
        <v>44728</v>
      </c>
      <c r="C15305" s="6">
        <f>IFERROR(__xludf.DUMMYFUNCTION("""COMPUTED_VALUE"""),0.723634259258688)</f>
        <v>0.7236342593</v>
      </c>
      <c r="D15305" s="4">
        <f>IFERROR(__xludf.DUMMYFUNCTION("""COMPUTED_VALUE"""),13.034112)</f>
        <v>13.034112</v>
      </c>
      <c r="E15305" s="4">
        <f>IFERROR(__xludf.DUMMYFUNCTION("""COMPUTED_VALUE"""),80.244699)</f>
        <v>80.244699</v>
      </c>
      <c r="F15305" s="4">
        <f>IFERROR(__xludf.DUMMYFUNCTION("""COMPUTED_VALUE"""),5339.0)</f>
        <v>5339</v>
      </c>
      <c r="G15305" s="4">
        <f>IFERROR(__xludf.DUMMYFUNCTION("""COMPUTED_VALUE"""),26.0)</f>
        <v>26</v>
      </c>
      <c r="H15305" s="4"/>
      <c r="I15305" s="4"/>
    </row>
    <row r="15306">
      <c r="A15306" s="4" t="str">
        <f>IFERROR(__xludf.DUMMYFUNCTION("""COMPUTED_VALUE"""),"cas_hmw")</f>
        <v>cas_hmw</v>
      </c>
      <c r="B15306" s="5">
        <f>IFERROR(__xludf.DUMMYFUNCTION("""COMPUTED_VALUE"""),44728.0)</f>
        <v>44728</v>
      </c>
      <c r="C15306" s="6">
        <f>IFERROR(__xludf.DUMMYFUNCTION("""COMPUTED_VALUE"""),0.7240393518513883)</f>
        <v>0.7240393519</v>
      </c>
      <c r="D15306" s="4">
        <f>IFERROR(__xludf.DUMMYFUNCTION("""COMPUTED_VALUE"""),13.035215)</f>
        <v>13.035215</v>
      </c>
      <c r="E15306" s="4">
        <f>IFERROR(__xludf.DUMMYFUNCTION("""COMPUTED_VALUE"""),80.245939)</f>
        <v>80.245939</v>
      </c>
      <c r="F15306" s="4">
        <f>IFERROR(__xludf.DUMMYFUNCTION("""COMPUTED_VALUE"""),5339.0)</f>
        <v>5339</v>
      </c>
      <c r="G15306" s="4">
        <f>IFERROR(__xludf.DUMMYFUNCTION("""COMPUTED_VALUE"""),10.0)</f>
        <v>10</v>
      </c>
      <c r="H15306" s="4"/>
      <c r="I15306" s="4"/>
    </row>
    <row r="15307">
      <c r="A15307" s="4" t="str">
        <f>IFERROR(__xludf.DUMMYFUNCTION("""COMPUTED_VALUE"""),"cas_hmw")</f>
        <v>cas_hmw</v>
      </c>
      <c r="B15307" s="5">
        <f>IFERROR(__xludf.DUMMYFUNCTION("""COMPUTED_VALUE"""),44728.0)</f>
        <v>44728</v>
      </c>
      <c r="C15307" s="6">
        <f>IFERROR(__xludf.DUMMYFUNCTION("""COMPUTED_VALUE"""),0.7253009259256942)</f>
        <v>0.7253009259</v>
      </c>
      <c r="D15307" s="4">
        <f>IFERROR(__xludf.DUMMYFUNCTION("""COMPUTED_VALUE"""),13.00756)</f>
        <v>13.00756</v>
      </c>
      <c r="E15307" s="4">
        <f>IFERROR(__xludf.DUMMYFUNCTION("""COMPUTED_VALUE"""),80.258626)</f>
        <v>80.258626</v>
      </c>
      <c r="F15307" s="4">
        <f>IFERROR(__xludf.DUMMYFUNCTION("""COMPUTED_VALUE"""),805.0)</f>
        <v>805</v>
      </c>
      <c r="G15307" s="4">
        <f>IFERROR(__xludf.DUMMYFUNCTION("""COMPUTED_VALUE"""),10.0)</f>
        <v>10</v>
      </c>
      <c r="H15307" s="4"/>
      <c r="I15307" s="4"/>
    </row>
    <row r="15308">
      <c r="A15308" s="4" t="str">
        <f>IFERROR(__xludf.DUMMYFUNCTION("""COMPUTED_VALUE"""),"cas_hmw")</f>
        <v>cas_hmw</v>
      </c>
      <c r="B15308" s="5">
        <f>IFERROR(__xludf.DUMMYFUNCTION("""COMPUTED_VALUE"""),44728.0)</f>
        <v>44728</v>
      </c>
      <c r="C15308" s="6">
        <f>IFERROR(__xludf.DUMMYFUNCTION("""COMPUTED_VALUE"""),0.7253009259256942)</f>
        <v>0.7253009259</v>
      </c>
      <c r="D15308" s="4">
        <f>IFERROR(__xludf.DUMMYFUNCTION("""COMPUTED_VALUE"""),13.00756)</f>
        <v>13.00756</v>
      </c>
      <c r="E15308" s="4">
        <f>IFERROR(__xludf.DUMMYFUNCTION("""COMPUTED_VALUE"""),80.258626)</f>
        <v>80.258626</v>
      </c>
      <c r="F15308" s="4">
        <f>IFERROR(__xludf.DUMMYFUNCTION("""COMPUTED_VALUE"""),805.0)</f>
        <v>805</v>
      </c>
      <c r="G15308" s="4">
        <f>IFERROR(__xludf.DUMMYFUNCTION("""COMPUTED_VALUE"""),10.0)</f>
        <v>10</v>
      </c>
      <c r="H15308" s="4"/>
      <c r="I15308" s="4"/>
    </row>
    <row r="15309">
      <c r="A15309" s="4" t="str">
        <f>IFERROR(__xludf.DUMMYFUNCTION("""COMPUTED_VALUE"""),"cas_hmw")</f>
        <v>cas_hmw</v>
      </c>
      <c r="B15309" s="5">
        <f>IFERROR(__xludf.DUMMYFUNCTION("""COMPUTED_VALUE"""),44728.0)</f>
        <v>44728</v>
      </c>
      <c r="C15309" s="6">
        <f>IFERROR(__xludf.DUMMYFUNCTION("""COMPUTED_VALUE"""),0.7253240740756155)</f>
        <v>0.7253240741</v>
      </c>
      <c r="D15309" s="4">
        <f>IFERROR(__xludf.DUMMYFUNCTION("""COMPUTED_VALUE"""),13.00756)</f>
        <v>13.00756</v>
      </c>
      <c r="E15309" s="4">
        <f>IFERROR(__xludf.DUMMYFUNCTION("""COMPUTED_VALUE"""),80.258626)</f>
        <v>80.258626</v>
      </c>
      <c r="F15309" s="4">
        <f>IFERROR(__xludf.DUMMYFUNCTION("""COMPUTED_VALUE"""),805.0)</f>
        <v>805</v>
      </c>
      <c r="G15309" s="4">
        <f>IFERROR(__xludf.DUMMYFUNCTION("""COMPUTED_VALUE"""),10.0)</f>
        <v>10</v>
      </c>
      <c r="H15309" s="4"/>
      <c r="I15309" s="4"/>
    </row>
    <row r="15310">
      <c r="A15310" s="4" t="str">
        <f>IFERROR(__xludf.DUMMYFUNCTION("""COMPUTED_VALUE"""),"cas_hmw")</f>
        <v>cas_hmw</v>
      </c>
      <c r="B15310" s="5">
        <f>IFERROR(__xludf.DUMMYFUNCTION("""COMPUTED_VALUE"""),44728.0)</f>
        <v>44728</v>
      </c>
      <c r="C15310" s="6">
        <f>IFERROR(__xludf.DUMMYFUNCTION("""COMPUTED_VALUE"""),0.7258333333338669)</f>
        <v>0.7258333333</v>
      </c>
      <c r="D15310" s="4">
        <f>IFERROR(__xludf.DUMMYFUNCTION("""COMPUTED_VALUE"""),13.039724)</f>
        <v>13.039724</v>
      </c>
      <c r="E15310" s="4">
        <f>IFERROR(__xludf.DUMMYFUNCTION("""COMPUTED_VALUE"""),80.24699)</f>
        <v>80.24699</v>
      </c>
      <c r="F15310" s="4">
        <f>IFERROR(__xludf.DUMMYFUNCTION("""COMPUTED_VALUE"""),5339.0)</f>
        <v>5339</v>
      </c>
      <c r="G15310" s="4">
        <f>IFERROR(__xludf.DUMMYFUNCTION("""COMPUTED_VALUE"""),27.0)</f>
        <v>27</v>
      </c>
      <c r="H15310" s="4"/>
      <c r="I15310" s="4"/>
    </row>
    <row r="15311">
      <c r="A15311" s="4" t="str">
        <f>IFERROR(__xludf.DUMMYFUNCTION("""COMPUTED_VALUE"""),"cas_hmw")</f>
        <v>cas_hmw</v>
      </c>
      <c r="B15311" s="5">
        <f>IFERROR(__xludf.DUMMYFUNCTION("""COMPUTED_VALUE"""),44728.0)</f>
        <v>44728</v>
      </c>
      <c r="C15311" s="6">
        <f>IFERROR(__xludf.DUMMYFUNCTION("""COMPUTED_VALUE"""),0.7259374999994179)</f>
        <v>0.7259375</v>
      </c>
      <c r="D15311" s="4">
        <f>IFERROR(__xludf.DUMMYFUNCTION("""COMPUTED_VALUE"""),13.040572)</f>
        <v>13.040572</v>
      </c>
      <c r="E15311" s="4">
        <f>IFERROR(__xludf.DUMMYFUNCTION("""COMPUTED_VALUE"""),80.24715)</f>
        <v>80.24715</v>
      </c>
      <c r="F15311" s="4">
        <f>IFERROR(__xludf.DUMMYFUNCTION("""COMPUTED_VALUE"""),5339.0)</f>
        <v>5339</v>
      </c>
      <c r="G15311" s="4">
        <f>IFERROR(__xludf.DUMMYFUNCTION("""COMPUTED_VALUE"""),32.0)</f>
        <v>32</v>
      </c>
      <c r="H15311" s="4"/>
      <c r="I15311" s="4"/>
    </row>
    <row r="15312">
      <c r="A15312" s="4" t="str">
        <f>IFERROR(__xludf.DUMMYFUNCTION("""COMPUTED_VALUE"""),"cas_hmw")</f>
        <v>cas_hmw</v>
      </c>
      <c r="B15312" s="5">
        <f>IFERROR(__xludf.DUMMYFUNCTION("""COMPUTED_VALUE"""),44728.0)</f>
        <v>44728</v>
      </c>
      <c r="C15312" s="6">
        <f>IFERROR(__xludf.DUMMYFUNCTION("""COMPUTED_VALUE"""),0.7261921296303626)</f>
        <v>0.7261921296</v>
      </c>
      <c r="D15312" s="4">
        <f>IFERROR(__xludf.DUMMYFUNCTION("""COMPUTED_VALUE"""),12.688884)</f>
        <v>12.688884</v>
      </c>
      <c r="E15312" s="4">
        <f>IFERROR(__xludf.DUMMYFUNCTION("""COMPUTED_VALUE"""),79.982516)</f>
        <v>79.982516</v>
      </c>
      <c r="F15312" s="4">
        <f>IFERROR(__xludf.DUMMYFUNCTION("""COMPUTED_VALUE"""),2846.0)</f>
        <v>2846</v>
      </c>
      <c r="G15312" s="4">
        <f>IFERROR(__xludf.DUMMYFUNCTION("""COMPUTED_VALUE"""),26.0)</f>
        <v>26</v>
      </c>
      <c r="H15312" s="4"/>
      <c r="I15312" s="4"/>
    </row>
    <row r="15313">
      <c r="A15313" s="4" t="str">
        <f>IFERROR(__xludf.DUMMYFUNCTION("""COMPUTED_VALUE"""),"cas_hmw")</f>
        <v>cas_hmw</v>
      </c>
      <c r="B15313" s="5">
        <f>IFERROR(__xludf.DUMMYFUNCTION("""COMPUTED_VALUE"""),44728.0)</f>
        <v>44728</v>
      </c>
      <c r="C15313" s="6">
        <f>IFERROR(__xludf.DUMMYFUNCTION("""COMPUTED_VALUE"""),0.7265393518500787)</f>
        <v>0.7265393519</v>
      </c>
      <c r="D15313" s="4">
        <f>IFERROR(__xludf.DUMMYFUNCTION("""COMPUTED_VALUE"""),13.042819)</f>
        <v>13.042819</v>
      </c>
      <c r="E15313" s="4">
        <f>IFERROR(__xludf.DUMMYFUNCTION("""COMPUTED_VALUE"""),80.24757)</f>
        <v>80.24757</v>
      </c>
      <c r="F15313" s="4">
        <f>IFERROR(__xludf.DUMMYFUNCTION("""COMPUTED_VALUE"""),5339.0)</f>
        <v>5339</v>
      </c>
      <c r="G15313" s="4">
        <f>IFERROR(__xludf.DUMMYFUNCTION("""COMPUTED_VALUE"""),25.0)</f>
        <v>25</v>
      </c>
      <c r="H15313" s="4"/>
      <c r="I15313" s="4"/>
    </row>
    <row r="15314">
      <c r="A15314" s="4" t="str">
        <f>IFERROR(__xludf.DUMMYFUNCTION("""COMPUTED_VALUE"""),"cas_hmw")</f>
        <v>cas_hmw</v>
      </c>
      <c r="B15314" s="5">
        <f>IFERROR(__xludf.DUMMYFUNCTION("""COMPUTED_VALUE"""),44728.0)</f>
        <v>44728</v>
      </c>
      <c r="C15314" s="6">
        <f>IFERROR(__xludf.DUMMYFUNCTION("""COMPUTED_VALUE"""),0.7265740740731417)</f>
        <v>0.7265740741</v>
      </c>
      <c r="D15314" s="4">
        <f>IFERROR(__xludf.DUMMYFUNCTION("""COMPUTED_VALUE"""),13.042819)</f>
        <v>13.042819</v>
      </c>
      <c r="E15314" s="4">
        <f>IFERROR(__xludf.DUMMYFUNCTION("""COMPUTED_VALUE"""),80.24757)</f>
        <v>80.24757</v>
      </c>
      <c r="F15314" s="4">
        <f>IFERROR(__xludf.DUMMYFUNCTION("""COMPUTED_VALUE"""),5339.0)</f>
        <v>5339</v>
      </c>
      <c r="G15314" s="4">
        <f>IFERROR(__xludf.DUMMYFUNCTION("""COMPUTED_VALUE"""),25.0)</f>
        <v>25</v>
      </c>
      <c r="H15314" s="4"/>
      <c r="I15314" s="4"/>
    </row>
    <row r="15315">
      <c r="A15315" s="4" t="str">
        <f>IFERROR(__xludf.DUMMYFUNCTION("""COMPUTED_VALUE"""),"cas_hmw")</f>
        <v>cas_hmw</v>
      </c>
      <c r="B15315" s="5">
        <f>IFERROR(__xludf.DUMMYFUNCTION("""COMPUTED_VALUE"""),44728.0)</f>
        <v>44728</v>
      </c>
      <c r="C15315" s="6">
        <f>IFERROR(__xludf.DUMMYFUNCTION("""COMPUTED_VALUE"""),0.7266087962962047)</f>
        <v>0.7266087963</v>
      </c>
      <c r="D15315" s="4">
        <f>IFERROR(__xludf.DUMMYFUNCTION("""COMPUTED_VALUE"""),13.042819)</f>
        <v>13.042819</v>
      </c>
      <c r="E15315" s="4">
        <f>IFERROR(__xludf.DUMMYFUNCTION("""COMPUTED_VALUE"""),80.24757)</f>
        <v>80.24757</v>
      </c>
      <c r="F15315" s="4">
        <f>IFERROR(__xludf.DUMMYFUNCTION("""COMPUTED_VALUE"""),5339.0)</f>
        <v>5339</v>
      </c>
      <c r="G15315" s="4">
        <f>IFERROR(__xludf.DUMMYFUNCTION("""COMPUTED_VALUE"""),25.0)</f>
        <v>25</v>
      </c>
      <c r="H15315" s="4"/>
      <c r="I15315" s="4"/>
    </row>
    <row r="15316">
      <c r="A15316" s="4" t="str">
        <f>IFERROR(__xludf.DUMMYFUNCTION("""COMPUTED_VALUE"""),"cas_hmw")</f>
        <v>cas_hmw</v>
      </c>
      <c r="B15316" s="5">
        <f>IFERROR(__xludf.DUMMYFUNCTION("""COMPUTED_VALUE"""),44728.0)</f>
        <v>44728</v>
      </c>
      <c r="C15316" s="6">
        <f>IFERROR(__xludf.DUMMYFUNCTION("""COMPUTED_VALUE"""),0.726701388888614)</f>
        <v>0.7267013889</v>
      </c>
      <c r="D15316" s="4">
        <f>IFERROR(__xludf.DUMMYFUNCTION("""COMPUTED_VALUE"""),13.043612)</f>
        <v>13.043612</v>
      </c>
      <c r="E15316" s="4">
        <f>IFERROR(__xludf.DUMMYFUNCTION("""COMPUTED_VALUE"""),80.247742)</f>
        <v>80.247742</v>
      </c>
      <c r="F15316" s="4">
        <f>IFERROR(__xludf.DUMMYFUNCTION("""COMPUTED_VALUE"""),5339.0)</f>
        <v>5339</v>
      </c>
      <c r="G15316" s="4">
        <f>IFERROR(__xludf.DUMMYFUNCTION("""COMPUTED_VALUE"""),30.0)</f>
        <v>30</v>
      </c>
      <c r="H15316" s="4"/>
      <c r="I15316" s="4"/>
    </row>
    <row r="15317">
      <c r="A15317" s="4" t="str">
        <f>IFERROR(__xludf.DUMMYFUNCTION("""COMPUTED_VALUE"""),"cas_hmw")</f>
        <v>cas_hmw</v>
      </c>
      <c r="B15317" s="5">
        <f>IFERROR(__xludf.DUMMYFUNCTION("""COMPUTED_VALUE"""),44728.0)</f>
        <v>44728</v>
      </c>
      <c r="C15317" s="6">
        <f>IFERROR(__xludf.DUMMYFUNCTION("""COMPUTED_VALUE"""),0.726701388888614)</f>
        <v>0.7267013889</v>
      </c>
      <c r="D15317" s="4">
        <f>IFERROR(__xludf.DUMMYFUNCTION("""COMPUTED_VALUE"""),13.043612)</f>
        <v>13.043612</v>
      </c>
      <c r="E15317" s="4">
        <f>IFERROR(__xludf.DUMMYFUNCTION("""COMPUTED_VALUE"""),80.247742)</f>
        <v>80.247742</v>
      </c>
      <c r="F15317" s="4">
        <f>IFERROR(__xludf.DUMMYFUNCTION("""COMPUTED_VALUE"""),5339.0)</f>
        <v>5339</v>
      </c>
      <c r="G15317" s="4">
        <f>IFERROR(__xludf.DUMMYFUNCTION("""COMPUTED_VALUE"""),30.0)</f>
        <v>30</v>
      </c>
      <c r="H15317" s="4"/>
      <c r="I15317" s="4"/>
    </row>
    <row r="15318">
      <c r="A15318" s="4" t="str">
        <f>IFERROR(__xludf.DUMMYFUNCTION("""COMPUTED_VALUE"""),"cas_hmw")</f>
        <v>cas_hmw</v>
      </c>
      <c r="B15318" s="5">
        <f>IFERROR(__xludf.DUMMYFUNCTION("""COMPUTED_VALUE"""),44728.0)</f>
        <v>44728</v>
      </c>
      <c r="C15318" s="6">
        <f>IFERROR(__xludf.DUMMYFUNCTION("""COMPUTED_VALUE"""),0.7273263888891961)</f>
        <v>0.7273263889</v>
      </c>
      <c r="D15318" s="4">
        <f>IFERROR(__xludf.DUMMYFUNCTION("""COMPUTED_VALUE"""),13.045654)</f>
        <v>13.045654</v>
      </c>
      <c r="E15318" s="4">
        <f>IFERROR(__xludf.DUMMYFUNCTION("""COMPUTED_VALUE"""),80.248149)</f>
        <v>80.248149</v>
      </c>
      <c r="F15318" s="4">
        <f>IFERROR(__xludf.DUMMYFUNCTION("""COMPUTED_VALUE"""),5339.0)</f>
        <v>5339</v>
      </c>
      <c r="G15318" s="4">
        <f>IFERROR(__xludf.DUMMYFUNCTION("""COMPUTED_VALUE"""),30.0)</f>
        <v>30</v>
      </c>
      <c r="H15318" s="4"/>
      <c r="I15318" s="4"/>
    </row>
    <row r="15319">
      <c r="A15319" s="4" t="str">
        <f>IFERROR(__xludf.DUMMYFUNCTION("""COMPUTED_VALUE"""),"cas_hmw")</f>
        <v>cas_hmw</v>
      </c>
      <c r="B15319" s="5">
        <f>IFERROR(__xludf.DUMMYFUNCTION("""COMPUTED_VALUE"""),44728.0)</f>
        <v>44728</v>
      </c>
      <c r="C15319" s="6">
        <f>IFERROR(__xludf.DUMMYFUNCTION("""COMPUTED_VALUE"""),0.7273611111122591)</f>
        <v>0.7273611111</v>
      </c>
      <c r="D15319" s="4">
        <f>IFERROR(__xludf.DUMMYFUNCTION("""COMPUTED_VALUE"""),13.045654)</f>
        <v>13.045654</v>
      </c>
      <c r="E15319" s="4">
        <f>IFERROR(__xludf.DUMMYFUNCTION("""COMPUTED_VALUE"""),80.248149)</f>
        <v>80.248149</v>
      </c>
      <c r="F15319" s="4">
        <f>IFERROR(__xludf.DUMMYFUNCTION("""COMPUTED_VALUE"""),5339.0)</f>
        <v>5339</v>
      </c>
      <c r="G15319" s="4">
        <f>IFERROR(__xludf.DUMMYFUNCTION("""COMPUTED_VALUE"""),30.0)</f>
        <v>30</v>
      </c>
      <c r="H15319" s="4"/>
      <c r="I15319" s="4"/>
    </row>
    <row r="15320">
      <c r="A15320" s="4" t="str">
        <f>IFERROR(__xludf.DUMMYFUNCTION("""COMPUTED_VALUE"""),"cas_hmw")</f>
        <v>cas_hmw</v>
      </c>
      <c r="B15320" s="5">
        <f>IFERROR(__xludf.DUMMYFUNCTION("""COMPUTED_VALUE"""),44728.0)</f>
        <v>44728</v>
      </c>
      <c r="C15320" s="6">
        <f>IFERROR(__xludf.DUMMYFUNCTION("""COMPUTED_VALUE"""),0.7273726851854008)</f>
        <v>0.7273726852</v>
      </c>
      <c r="D15320" s="4">
        <f>IFERROR(__xludf.DUMMYFUNCTION("""COMPUTED_VALUE"""),13.045654)</f>
        <v>13.045654</v>
      </c>
      <c r="E15320" s="4">
        <f>IFERROR(__xludf.DUMMYFUNCTION("""COMPUTED_VALUE"""),80.248149)</f>
        <v>80.248149</v>
      </c>
      <c r="F15320" s="4">
        <f>IFERROR(__xludf.DUMMYFUNCTION("""COMPUTED_VALUE"""),5339.0)</f>
        <v>5339</v>
      </c>
      <c r="G15320" s="4">
        <f>IFERROR(__xludf.DUMMYFUNCTION("""COMPUTED_VALUE"""),30.0)</f>
        <v>30</v>
      </c>
      <c r="H15320" s="4"/>
      <c r="I15320" s="4"/>
    </row>
    <row r="15321">
      <c r="A15321" s="4" t="str">
        <f>IFERROR(__xludf.DUMMYFUNCTION("""COMPUTED_VALUE"""),"cas_hmw")</f>
        <v>cas_hmw</v>
      </c>
      <c r="B15321" s="5">
        <f>IFERROR(__xludf.DUMMYFUNCTION("""COMPUTED_VALUE"""),44728.0)</f>
        <v>44728</v>
      </c>
      <c r="C15321" s="6">
        <f>IFERROR(__xludf.DUMMYFUNCTION("""COMPUTED_VALUE"""),0.7275578703702195)</f>
        <v>0.7275578704</v>
      </c>
      <c r="D15321" s="4">
        <f>IFERROR(__xludf.DUMMYFUNCTION("""COMPUTED_VALUE"""),13.047058)</f>
        <v>13.047058</v>
      </c>
      <c r="E15321" s="4">
        <f>IFERROR(__xludf.DUMMYFUNCTION("""COMPUTED_VALUE"""),80.248454)</f>
        <v>80.248454</v>
      </c>
      <c r="F15321" s="4">
        <f>IFERROR(__xludf.DUMMYFUNCTION("""COMPUTED_VALUE"""),5339.0)</f>
        <v>5339</v>
      </c>
      <c r="G15321" s="4">
        <f>IFERROR(__xludf.DUMMYFUNCTION("""COMPUTED_VALUE"""),26.0)</f>
        <v>26</v>
      </c>
      <c r="H15321" s="4"/>
      <c r="I15321" s="4"/>
    </row>
    <row r="15322">
      <c r="A15322" s="4" t="str">
        <f>IFERROR(__xludf.DUMMYFUNCTION("""COMPUTED_VALUE"""),"cas_hmw")</f>
        <v>cas_hmw</v>
      </c>
      <c r="B15322" s="5">
        <f>IFERROR(__xludf.DUMMYFUNCTION("""COMPUTED_VALUE"""),44728.0)</f>
        <v>44728</v>
      </c>
      <c r="C15322" s="6">
        <f>IFERROR(__xludf.DUMMYFUNCTION("""COMPUTED_VALUE"""),0.7275694444433611)</f>
        <v>0.7275694444</v>
      </c>
      <c r="D15322" s="4">
        <f>IFERROR(__xludf.DUMMYFUNCTION("""COMPUTED_VALUE"""),13.047058)</f>
        <v>13.047058</v>
      </c>
      <c r="E15322" s="4">
        <f>IFERROR(__xludf.DUMMYFUNCTION("""COMPUTED_VALUE"""),80.248454)</f>
        <v>80.248454</v>
      </c>
      <c r="F15322" s="4">
        <f>IFERROR(__xludf.DUMMYFUNCTION("""COMPUTED_VALUE"""),5339.0)</f>
        <v>5339</v>
      </c>
      <c r="G15322" s="4">
        <f>IFERROR(__xludf.DUMMYFUNCTION("""COMPUTED_VALUE"""),26.0)</f>
        <v>26</v>
      </c>
      <c r="H15322" s="4"/>
      <c r="I15322" s="4"/>
    </row>
    <row r="15323">
      <c r="A15323" s="4" t="str">
        <f>IFERROR(__xludf.DUMMYFUNCTION("""COMPUTED_VALUE"""),"cas_hmw")</f>
        <v>cas_hmw</v>
      </c>
      <c r="B15323" s="5">
        <f>IFERROR(__xludf.DUMMYFUNCTION("""COMPUTED_VALUE"""),44728.0)</f>
        <v>44728</v>
      </c>
      <c r="C15323" s="6">
        <f>IFERROR(__xludf.DUMMYFUNCTION("""COMPUTED_VALUE"""),0.7282754629632109)</f>
        <v>0.728275463</v>
      </c>
      <c r="D15323" s="4">
        <f>IFERROR(__xludf.DUMMYFUNCTION("""COMPUTED_VALUE"""),13.052521)</f>
        <v>13.052521</v>
      </c>
      <c r="E15323" s="4">
        <f>IFERROR(__xludf.DUMMYFUNCTION("""COMPUTED_VALUE"""),80.251256)</f>
        <v>80.251256</v>
      </c>
      <c r="F15323" s="4">
        <f>IFERROR(__xludf.DUMMYFUNCTION("""COMPUTED_VALUE"""),5339.0)</f>
        <v>5339</v>
      </c>
      <c r="G15323" s="4">
        <f>IFERROR(__xludf.DUMMYFUNCTION("""COMPUTED_VALUE"""),39.0)</f>
        <v>39</v>
      </c>
      <c r="H15323" s="4"/>
      <c r="I15323" s="4"/>
    </row>
    <row r="15324">
      <c r="A15324" s="4" t="str">
        <f>IFERROR(__xludf.DUMMYFUNCTION("""COMPUTED_VALUE"""),"cas_hmw")</f>
        <v>cas_hmw</v>
      </c>
      <c r="B15324" s="5">
        <f>IFERROR(__xludf.DUMMYFUNCTION("""COMPUTED_VALUE"""),44728.0)</f>
        <v>44728</v>
      </c>
      <c r="C15324" s="6">
        <f>IFERROR(__xludf.DUMMYFUNCTION("""COMPUTED_VALUE"""),0.7287615740751789)</f>
        <v>0.7287615741</v>
      </c>
      <c r="D15324" s="4">
        <f>IFERROR(__xludf.DUMMYFUNCTION("""COMPUTED_VALUE"""),13.052521)</f>
        <v>13.052521</v>
      </c>
      <c r="E15324" s="4">
        <f>IFERROR(__xludf.DUMMYFUNCTION("""COMPUTED_VALUE"""),80.251256)</f>
        <v>80.251256</v>
      </c>
      <c r="F15324" s="4">
        <f>IFERROR(__xludf.DUMMYFUNCTION("""COMPUTED_VALUE"""),5339.0)</f>
        <v>5339</v>
      </c>
      <c r="G15324" s="4">
        <f>IFERROR(__xludf.DUMMYFUNCTION("""COMPUTED_VALUE"""),39.0)</f>
        <v>39</v>
      </c>
      <c r="H15324" s="4"/>
      <c r="I15324" s="4"/>
    </row>
    <row r="15325">
      <c r="A15325" s="4" t="str">
        <f>IFERROR(__xludf.DUMMYFUNCTION("""COMPUTED_VALUE"""),"cas_hmw")</f>
        <v>cas_hmw</v>
      </c>
      <c r="B15325" s="5">
        <f>IFERROR(__xludf.DUMMYFUNCTION("""COMPUTED_VALUE"""),44728.0)</f>
        <v>44728</v>
      </c>
      <c r="C15325" s="6">
        <f>IFERROR(__xludf.DUMMYFUNCTION("""COMPUTED_VALUE"""),0.7287731481483206)</f>
        <v>0.7287731481</v>
      </c>
      <c r="D15325" s="4">
        <f>IFERROR(__xludf.DUMMYFUNCTION("""COMPUTED_VALUE"""),13.054475)</f>
        <v>13.054475</v>
      </c>
      <c r="E15325" s="4">
        <f>IFERROR(__xludf.DUMMYFUNCTION("""COMPUTED_VALUE"""),80.253894)</f>
        <v>80.253894</v>
      </c>
      <c r="F15325" s="4">
        <f>IFERROR(__xludf.DUMMYFUNCTION("""COMPUTED_VALUE"""),5339.0)</f>
        <v>5339</v>
      </c>
      <c r="G15325" s="4">
        <f>IFERROR(__xludf.DUMMYFUNCTION("""COMPUTED_VALUE"""),27.0)</f>
        <v>27</v>
      </c>
      <c r="H15325" s="4"/>
      <c r="I15325" s="4"/>
    </row>
    <row r="15326">
      <c r="A15326" s="4" t="str">
        <f>IFERROR(__xludf.DUMMYFUNCTION("""COMPUTED_VALUE"""),"cas_hmw")</f>
        <v>cas_hmw</v>
      </c>
      <c r="B15326" s="5">
        <f>IFERROR(__xludf.DUMMYFUNCTION("""COMPUTED_VALUE"""),44728.0)</f>
        <v>44728</v>
      </c>
      <c r="C15326" s="6">
        <f>IFERROR(__xludf.DUMMYFUNCTION("""COMPUTED_VALUE"""),0.728796296294604)</f>
        <v>0.7287962963</v>
      </c>
      <c r="D15326" s="4">
        <f>IFERROR(__xludf.DUMMYFUNCTION("""COMPUTED_VALUE"""),13.054475)</f>
        <v>13.054475</v>
      </c>
      <c r="E15326" s="4">
        <f>IFERROR(__xludf.DUMMYFUNCTION("""COMPUTED_VALUE"""),80.253894)</f>
        <v>80.253894</v>
      </c>
      <c r="F15326" s="4">
        <f>IFERROR(__xludf.DUMMYFUNCTION("""COMPUTED_VALUE"""),5339.0)</f>
        <v>5339</v>
      </c>
      <c r="G15326" s="4">
        <f>IFERROR(__xludf.DUMMYFUNCTION("""COMPUTED_VALUE"""),27.0)</f>
        <v>27</v>
      </c>
      <c r="H15326" s="4"/>
      <c r="I15326" s="4"/>
    </row>
    <row r="15327">
      <c r="A15327" s="4" t="str">
        <f>IFERROR(__xludf.DUMMYFUNCTION("""COMPUTED_VALUE"""),"cas_hmw")</f>
        <v>cas_hmw</v>
      </c>
      <c r="B15327" s="5">
        <f>IFERROR(__xludf.DUMMYFUNCTION("""COMPUTED_VALUE"""),44728.0)</f>
        <v>44728</v>
      </c>
      <c r="C15327" s="6">
        <f>IFERROR(__xludf.DUMMYFUNCTION("""COMPUTED_VALUE"""),0.7288888888906513)</f>
        <v>0.7288888889</v>
      </c>
      <c r="D15327" s="4">
        <f>IFERROR(__xludf.DUMMYFUNCTION("""COMPUTED_VALUE"""),13.054475)</f>
        <v>13.054475</v>
      </c>
      <c r="E15327" s="4">
        <f>IFERROR(__xludf.DUMMYFUNCTION("""COMPUTED_VALUE"""),80.253894)</f>
        <v>80.253894</v>
      </c>
      <c r="F15327" s="4">
        <f>IFERROR(__xludf.DUMMYFUNCTION("""COMPUTED_VALUE"""),5339.0)</f>
        <v>5339</v>
      </c>
      <c r="G15327" s="4">
        <f>IFERROR(__xludf.DUMMYFUNCTION("""COMPUTED_VALUE"""),27.0)</f>
        <v>27</v>
      </c>
      <c r="H15327" s="4"/>
      <c r="I15327" s="4"/>
    </row>
    <row r="15328">
      <c r="A15328" s="4" t="str">
        <f>IFERROR(__xludf.DUMMYFUNCTION("""COMPUTED_VALUE"""),"cas_hmw")</f>
        <v>cas_hmw</v>
      </c>
      <c r="B15328" s="5">
        <f>IFERROR(__xludf.DUMMYFUNCTION("""COMPUTED_VALUE"""),44728.0)</f>
        <v>44728</v>
      </c>
      <c r="C15328" s="6">
        <f>IFERROR(__xludf.DUMMYFUNCTION("""COMPUTED_VALUE"""),0.728900462963793)</f>
        <v>0.728900463</v>
      </c>
      <c r="D15328" s="4">
        <f>IFERROR(__xludf.DUMMYFUNCTION("""COMPUTED_VALUE"""),13.054902)</f>
        <v>13.054902</v>
      </c>
      <c r="E15328" s="4">
        <f>IFERROR(__xludf.DUMMYFUNCTION("""COMPUTED_VALUE"""),80.254445)</f>
        <v>80.254445</v>
      </c>
      <c r="F15328" s="4">
        <f>IFERROR(__xludf.DUMMYFUNCTION("""COMPUTED_VALUE"""),5339.0)</f>
        <v>5339</v>
      </c>
      <c r="G15328" s="4">
        <f>IFERROR(__xludf.DUMMYFUNCTION("""COMPUTED_VALUE"""),25.0)</f>
        <v>25</v>
      </c>
      <c r="H15328" s="4"/>
      <c r="I15328" s="4"/>
    </row>
    <row r="15329">
      <c r="A15329" s="4" t="str">
        <f>IFERROR(__xludf.DUMMYFUNCTION("""COMPUTED_VALUE"""),"cas_hmw")</f>
        <v>cas_hmw</v>
      </c>
      <c r="B15329" s="5">
        <f>IFERROR(__xludf.DUMMYFUNCTION("""COMPUTED_VALUE"""),44728.0)</f>
        <v>44728</v>
      </c>
      <c r="C15329" s="6">
        <f>IFERROR(__xludf.DUMMYFUNCTION("""COMPUTED_VALUE"""),0.7362152777786832)</f>
        <v>0.7362152778</v>
      </c>
      <c r="D15329" s="4">
        <f>IFERROR(__xludf.DUMMYFUNCTION("""COMPUTED_VALUE"""),12.648184)</f>
        <v>12.648184</v>
      </c>
      <c r="E15329" s="4">
        <f>IFERROR(__xludf.DUMMYFUNCTION("""COMPUTED_VALUE"""),79.940815)</f>
        <v>79.940815</v>
      </c>
      <c r="F15329" s="4">
        <f>IFERROR(__xludf.DUMMYFUNCTION("""COMPUTED_VALUE"""),2846.0)</f>
        <v>2846</v>
      </c>
      <c r="G15329" s="4">
        <f>IFERROR(__xludf.DUMMYFUNCTION("""COMPUTED_VALUE"""),50.0)</f>
        <v>50</v>
      </c>
      <c r="H15329" s="4"/>
      <c r="I15329" s="4"/>
    </row>
    <row r="15330">
      <c r="A15330" s="4" t="str">
        <f>IFERROR(__xludf.DUMMYFUNCTION("""COMPUTED_VALUE"""),"cas_hmw")</f>
        <v>cas_hmw</v>
      </c>
      <c r="B15330" s="5">
        <f>IFERROR(__xludf.DUMMYFUNCTION("""COMPUTED_VALUE"""),44728.0)</f>
        <v>44728</v>
      </c>
      <c r="C15330" s="6">
        <f>IFERROR(__xludf.DUMMYFUNCTION("""COMPUTED_VALUE"""),0.7388310185197042)</f>
        <v>0.7388310185</v>
      </c>
      <c r="D15330" s="4">
        <f>IFERROR(__xludf.DUMMYFUNCTION("""COMPUTED_VALUE"""),12.626677)</f>
        <v>12.626677</v>
      </c>
      <c r="E15330" s="4">
        <f>IFERROR(__xludf.DUMMYFUNCTION("""COMPUTED_VALUE"""),79.929791)</f>
        <v>79.929791</v>
      </c>
      <c r="F15330" s="4">
        <f>IFERROR(__xludf.DUMMYFUNCTION("""COMPUTED_VALUE"""),2846.0)</f>
        <v>2846</v>
      </c>
      <c r="G15330" s="4">
        <f>IFERROR(__xludf.DUMMYFUNCTION("""COMPUTED_VALUE"""),53.0)</f>
        <v>53</v>
      </c>
      <c r="H15330" s="4"/>
      <c r="I15330" s="4"/>
    </row>
    <row r="15331">
      <c r="A15331" s="4" t="str">
        <f>IFERROR(__xludf.DUMMYFUNCTION("""COMPUTED_VALUE"""),"cas_hmw")</f>
        <v>cas_hmw</v>
      </c>
      <c r="B15331" s="5">
        <f>IFERROR(__xludf.DUMMYFUNCTION("""COMPUTED_VALUE"""),44728.0)</f>
        <v>44728</v>
      </c>
      <c r="C15331" s="6">
        <f>IFERROR(__xludf.DUMMYFUNCTION("""COMPUTED_VALUE"""),0.7501273148154723)</f>
        <v>0.7501273148</v>
      </c>
      <c r="D15331" s="4">
        <f>IFERROR(__xludf.DUMMYFUNCTION("""COMPUTED_VALUE"""),13.067671)</f>
        <v>13.067671</v>
      </c>
      <c r="E15331" s="4">
        <f>IFERROR(__xludf.DUMMYFUNCTION("""COMPUTED_VALUE"""),80.247931)</f>
        <v>80.247931</v>
      </c>
      <c r="F15331" s="4">
        <f>IFERROR(__xludf.DUMMYFUNCTION("""COMPUTED_VALUE"""),5339.0)</f>
        <v>5339</v>
      </c>
      <c r="G15331" s="4">
        <f>IFERROR(__xludf.DUMMYFUNCTION("""COMPUTED_VALUE"""),24.0)</f>
        <v>24</v>
      </c>
      <c r="H15331" s="4"/>
      <c r="I15331" s="4"/>
    </row>
    <row r="15332">
      <c r="A15332" s="4" t="str">
        <f>IFERROR(__xludf.DUMMYFUNCTION("""COMPUTED_VALUE"""),"cas_hmw")</f>
        <v>cas_hmw</v>
      </c>
      <c r="B15332" s="5">
        <f>IFERROR(__xludf.DUMMYFUNCTION("""COMPUTED_VALUE"""),44728.0)</f>
        <v>44728</v>
      </c>
      <c r="C15332" s="6">
        <f>IFERROR(__xludf.DUMMYFUNCTION("""COMPUTED_VALUE"""),0.7501273148154723)</f>
        <v>0.7501273148</v>
      </c>
      <c r="D15332" s="4">
        <f>IFERROR(__xludf.DUMMYFUNCTION("""COMPUTED_VALUE"""),13.067671)</f>
        <v>13.067671</v>
      </c>
      <c r="E15332" s="4">
        <f>IFERROR(__xludf.DUMMYFUNCTION("""COMPUTED_VALUE"""),80.247931)</f>
        <v>80.247931</v>
      </c>
      <c r="F15332" s="4">
        <f>IFERROR(__xludf.DUMMYFUNCTION("""COMPUTED_VALUE"""),5339.0)</f>
        <v>5339</v>
      </c>
      <c r="G15332" s="4">
        <f>IFERROR(__xludf.DUMMYFUNCTION("""COMPUTED_VALUE"""),24.0)</f>
        <v>24</v>
      </c>
      <c r="H15332" s="4"/>
      <c r="I15332" s="4"/>
    </row>
    <row r="15333">
      <c r="A15333" s="4" t="str">
        <f>IFERROR(__xludf.DUMMYFUNCTION("""COMPUTED_VALUE"""),"cas_hmw")</f>
        <v>cas_hmw</v>
      </c>
      <c r="B15333" s="5">
        <f>IFERROR(__xludf.DUMMYFUNCTION("""COMPUTED_VALUE"""),44728.0)</f>
        <v>44728</v>
      </c>
      <c r="C15333" s="6">
        <f>IFERROR(__xludf.DUMMYFUNCTION("""COMPUTED_VALUE"""),0.750138888888614)</f>
        <v>0.7501388889</v>
      </c>
      <c r="D15333" s="4">
        <f>IFERROR(__xludf.DUMMYFUNCTION("""COMPUTED_VALUE"""),13.067671)</f>
        <v>13.067671</v>
      </c>
      <c r="E15333" s="4">
        <f>IFERROR(__xludf.DUMMYFUNCTION("""COMPUTED_VALUE"""),80.247931)</f>
        <v>80.247931</v>
      </c>
      <c r="F15333" s="4">
        <f>IFERROR(__xludf.DUMMYFUNCTION("""COMPUTED_VALUE"""),5339.0)</f>
        <v>5339</v>
      </c>
      <c r="G15333" s="4">
        <f>IFERROR(__xludf.DUMMYFUNCTION("""COMPUTED_VALUE"""),24.0)</f>
        <v>24</v>
      </c>
      <c r="H15333" s="4"/>
      <c r="I15333" s="4"/>
    </row>
    <row r="15334">
      <c r="A15334" s="4" t="str">
        <f>IFERROR(__xludf.DUMMYFUNCTION("""COMPUTED_VALUE"""),"cas_hmw")</f>
        <v>cas_hmw</v>
      </c>
      <c r="B15334" s="5">
        <f>IFERROR(__xludf.DUMMYFUNCTION("""COMPUTED_VALUE"""),44729.0)</f>
        <v>44729</v>
      </c>
      <c r="C15334" s="6">
        <f>IFERROR(__xludf.DUMMYFUNCTION("""COMPUTED_VALUE"""),0.2969212962962047)</f>
        <v>0.2969212963</v>
      </c>
      <c r="D15334" s="4">
        <f>IFERROR(__xludf.DUMMYFUNCTION("""COMPUTED_VALUE"""),13.062876)</f>
        <v>13.062876</v>
      </c>
      <c r="E15334" s="4">
        <f>IFERROR(__xludf.DUMMYFUNCTION("""COMPUTED_VALUE"""),80.244685)</f>
        <v>80.244685</v>
      </c>
      <c r="F15334" s="4">
        <f>IFERROR(__xludf.DUMMYFUNCTION("""COMPUTED_VALUE"""),5339.0)</f>
        <v>5339</v>
      </c>
      <c r="G15334" s="4">
        <f>IFERROR(__xludf.DUMMYFUNCTION("""COMPUTED_VALUE"""),23.0)</f>
        <v>23</v>
      </c>
      <c r="H15334" s="4"/>
      <c r="I15334" s="4"/>
    </row>
    <row r="15335">
      <c r="A15335" s="4" t="str">
        <f>IFERROR(__xludf.DUMMYFUNCTION("""COMPUTED_VALUE"""),"cas_hmw")</f>
        <v>cas_hmw</v>
      </c>
      <c r="B15335" s="5">
        <f>IFERROR(__xludf.DUMMYFUNCTION("""COMPUTED_VALUE"""),44729.0)</f>
        <v>44729</v>
      </c>
      <c r="C15335" s="6">
        <f>IFERROR(__xludf.DUMMYFUNCTION("""COMPUTED_VALUE"""),0.2976273148160544)</f>
        <v>0.2976273148</v>
      </c>
      <c r="D15335" s="4">
        <f>IFERROR(__xludf.DUMMYFUNCTION("""COMPUTED_VALUE"""),13.066211)</f>
        <v>13.066211</v>
      </c>
      <c r="E15335" s="4">
        <f>IFERROR(__xludf.DUMMYFUNCTION("""COMPUTED_VALUE"""),80.24458)</f>
        <v>80.24458</v>
      </c>
      <c r="F15335" s="4">
        <f>IFERROR(__xludf.DUMMYFUNCTION("""COMPUTED_VALUE"""),5339.0)</f>
        <v>5339</v>
      </c>
      <c r="G15335" s="4">
        <f>IFERROR(__xludf.DUMMYFUNCTION("""COMPUTED_VALUE"""),41.0)</f>
        <v>41</v>
      </c>
      <c r="H15335" s="4"/>
      <c r="I15335" s="4"/>
    </row>
    <row r="15336">
      <c r="A15336" s="4" t="str">
        <f>IFERROR(__xludf.DUMMYFUNCTION("""COMPUTED_VALUE"""),"cas_hmw")</f>
        <v>cas_hmw</v>
      </c>
      <c r="B15336" s="5">
        <f>IFERROR(__xludf.DUMMYFUNCTION("""COMPUTED_VALUE"""),44729.0)</f>
        <v>44729</v>
      </c>
      <c r="C15336" s="6">
        <f>IFERROR(__xludf.DUMMYFUNCTION("""COMPUTED_VALUE"""),0.29787037037021946)</f>
        <v>0.2978703704</v>
      </c>
      <c r="D15336" s="4">
        <f>IFERROR(__xludf.DUMMYFUNCTION("""COMPUTED_VALUE"""),13.067059)</f>
        <v>13.067059</v>
      </c>
      <c r="E15336" s="4">
        <f>IFERROR(__xludf.DUMMYFUNCTION("""COMPUTED_VALUE"""),80.246138)</f>
        <v>80.246138</v>
      </c>
      <c r="F15336" s="4">
        <f>IFERROR(__xludf.DUMMYFUNCTION("""COMPUTED_VALUE"""),5339.0)</f>
        <v>5339</v>
      </c>
      <c r="G15336" s="4">
        <f>IFERROR(__xludf.DUMMYFUNCTION("""COMPUTED_VALUE"""),39.0)</f>
        <v>39</v>
      </c>
      <c r="H15336" s="4"/>
      <c r="I15336" s="4"/>
    </row>
    <row r="15337">
      <c r="A15337" s="4" t="str">
        <f>IFERROR(__xludf.DUMMYFUNCTION("""COMPUTED_VALUE"""),"cas_hmw")</f>
        <v>cas_hmw</v>
      </c>
      <c r="B15337" s="5">
        <f>IFERROR(__xludf.DUMMYFUNCTION("""COMPUTED_VALUE"""),44729.0)</f>
        <v>44729</v>
      </c>
      <c r="C15337" s="6">
        <f>IFERROR(__xludf.DUMMYFUNCTION("""COMPUTED_VALUE"""),0.29812500000116415)</f>
        <v>0.298125</v>
      </c>
      <c r="D15337" s="4">
        <f>IFERROR(__xludf.DUMMYFUNCTION("""COMPUTED_VALUE"""),13.065838)</f>
        <v>13.065838</v>
      </c>
      <c r="E15337" s="4">
        <f>IFERROR(__xludf.DUMMYFUNCTION("""COMPUTED_VALUE"""),80.243493)</f>
        <v>80.243493</v>
      </c>
      <c r="F15337" s="4">
        <f>IFERROR(__xludf.DUMMYFUNCTION("""COMPUTED_VALUE"""),805.0)</f>
        <v>805</v>
      </c>
      <c r="G15337" s="4">
        <f>IFERROR(__xludf.DUMMYFUNCTION("""COMPUTED_VALUE"""),12.0)</f>
        <v>12</v>
      </c>
      <c r="H15337" s="4"/>
      <c r="I15337" s="4"/>
    </row>
    <row r="15338">
      <c r="A15338" s="4" t="str">
        <f>IFERROR(__xludf.DUMMYFUNCTION("""COMPUTED_VALUE"""),"cas_hmw")</f>
        <v>cas_hmw</v>
      </c>
      <c r="B15338" s="5">
        <f>IFERROR(__xludf.DUMMYFUNCTION("""COMPUTED_VALUE"""),44729.0)</f>
        <v>44729</v>
      </c>
      <c r="C15338" s="6">
        <f>IFERROR(__xludf.DUMMYFUNCTION("""COMPUTED_VALUE"""),0.2981365740743058)</f>
        <v>0.2981365741</v>
      </c>
      <c r="D15338" s="4">
        <f>IFERROR(__xludf.DUMMYFUNCTION("""COMPUTED_VALUE"""),13.066132)</f>
        <v>13.066132</v>
      </c>
      <c r="E15338" s="4">
        <f>IFERROR(__xludf.DUMMYFUNCTION("""COMPUTED_VALUE"""),80.24373)</f>
        <v>80.24373</v>
      </c>
      <c r="F15338" s="4">
        <f>IFERROR(__xludf.DUMMYFUNCTION("""COMPUTED_VALUE"""),805.0)</f>
        <v>805</v>
      </c>
      <c r="G15338" s="4">
        <f>IFERROR(__xludf.DUMMYFUNCTION("""COMPUTED_VALUE"""),24.0)</f>
        <v>24</v>
      </c>
      <c r="H15338" s="4"/>
      <c r="I15338" s="4"/>
    </row>
    <row r="15339">
      <c r="A15339" s="4" t="str">
        <f>IFERROR(__xludf.DUMMYFUNCTION("""COMPUTED_VALUE"""),"cas_hmw")</f>
        <v>cas_hmw</v>
      </c>
      <c r="B15339" s="5">
        <f>IFERROR(__xludf.DUMMYFUNCTION("""COMPUTED_VALUE"""),44729.0)</f>
        <v>44729</v>
      </c>
      <c r="C15339" s="6">
        <f>IFERROR(__xludf.DUMMYFUNCTION("""COMPUTED_VALUE"""),0.3033333333332848)</f>
        <v>0.3033333333</v>
      </c>
      <c r="D15339" s="4">
        <f>IFERROR(__xludf.DUMMYFUNCTION("""COMPUTED_VALUE"""),13.068368)</f>
        <v>13.068368</v>
      </c>
      <c r="E15339" s="4">
        <f>IFERROR(__xludf.DUMMYFUNCTION("""COMPUTED_VALUE"""),80.269358)</f>
        <v>80.269358</v>
      </c>
      <c r="F15339" s="4">
        <f>IFERROR(__xludf.DUMMYFUNCTION("""COMPUTED_VALUE"""),5339.0)</f>
        <v>5339</v>
      </c>
      <c r="G15339" s="4">
        <f>IFERROR(__xludf.DUMMYFUNCTION("""COMPUTED_VALUE"""),24.0)</f>
        <v>24</v>
      </c>
      <c r="H15339" s="4"/>
      <c r="I15339" s="4"/>
    </row>
    <row r="15340">
      <c r="A15340" s="4" t="str">
        <f>IFERROR(__xludf.DUMMYFUNCTION("""COMPUTED_VALUE"""),"cas_hmw")</f>
        <v>cas_hmw</v>
      </c>
      <c r="B15340" s="5">
        <f>IFERROR(__xludf.DUMMYFUNCTION("""COMPUTED_VALUE"""),44729.0)</f>
        <v>44729</v>
      </c>
      <c r="C15340" s="6">
        <f>IFERROR(__xludf.DUMMYFUNCTION("""COMPUTED_VALUE"""),0.30663194444423425)</f>
        <v>0.3066319444</v>
      </c>
      <c r="D15340" s="4">
        <f>IFERROR(__xludf.DUMMYFUNCTION("""COMPUTED_VALUE"""),12.624881)</f>
        <v>12.624881</v>
      </c>
      <c r="E15340" s="4">
        <f>IFERROR(__xludf.DUMMYFUNCTION("""COMPUTED_VALUE"""),79.928875)</f>
        <v>79.928875</v>
      </c>
      <c r="F15340" s="4">
        <f>IFERROR(__xludf.DUMMYFUNCTION("""COMPUTED_VALUE"""),2846.0)</f>
        <v>2846</v>
      </c>
      <c r="G15340" s="4">
        <f>IFERROR(__xludf.DUMMYFUNCTION("""COMPUTED_VALUE"""),57.0)</f>
        <v>57</v>
      </c>
      <c r="H15340" s="4"/>
      <c r="I15340" s="4"/>
    </row>
    <row r="15341">
      <c r="A15341" s="4" t="str">
        <f>IFERROR(__xludf.DUMMYFUNCTION("""COMPUTED_VALUE"""),"cas_hmw")</f>
        <v>cas_hmw</v>
      </c>
      <c r="B15341" s="5">
        <f>IFERROR(__xludf.DUMMYFUNCTION("""COMPUTED_VALUE"""),44729.0)</f>
        <v>44729</v>
      </c>
      <c r="C15341" s="6">
        <f>IFERROR(__xludf.DUMMYFUNCTION("""COMPUTED_VALUE"""),0.3068634259252576)</f>
        <v>0.3068634259</v>
      </c>
      <c r="D15341" s="4">
        <f>IFERROR(__xludf.DUMMYFUNCTION("""COMPUTED_VALUE"""),12.627387)</f>
        <v>12.627387</v>
      </c>
      <c r="E15341" s="4">
        <f>IFERROR(__xludf.DUMMYFUNCTION("""COMPUTED_VALUE"""),79.929976)</f>
        <v>79.929976</v>
      </c>
      <c r="F15341" s="4">
        <f>IFERROR(__xludf.DUMMYFUNCTION("""COMPUTED_VALUE"""),2846.0)</f>
        <v>2846</v>
      </c>
      <c r="G15341" s="4">
        <f>IFERROR(__xludf.DUMMYFUNCTION("""COMPUTED_VALUE"""),48.0)</f>
        <v>48</v>
      </c>
      <c r="H15341" s="4"/>
      <c r="I15341" s="4"/>
    </row>
    <row r="15342">
      <c r="A15342" s="4" t="str">
        <f>IFERROR(__xludf.DUMMYFUNCTION("""COMPUTED_VALUE"""),"cas_hmw")</f>
        <v>cas_hmw</v>
      </c>
      <c r="B15342" s="5">
        <f>IFERROR(__xludf.DUMMYFUNCTION("""COMPUTED_VALUE"""),44729.0)</f>
        <v>44729</v>
      </c>
      <c r="C15342" s="6">
        <f>IFERROR(__xludf.DUMMYFUNCTION("""COMPUTED_VALUE"""),0.30892361111182254)</f>
        <v>0.3089236111</v>
      </c>
      <c r="D15342" s="4">
        <f>IFERROR(__xludf.DUMMYFUNCTION("""COMPUTED_VALUE"""),12.645683)</f>
        <v>12.645683</v>
      </c>
      <c r="E15342" s="4">
        <f>IFERROR(__xludf.DUMMYFUNCTION("""COMPUTED_VALUE"""),79.939663)</f>
        <v>79.939663</v>
      </c>
      <c r="F15342" s="4">
        <f>IFERROR(__xludf.DUMMYFUNCTION("""COMPUTED_VALUE"""),2846.0)</f>
        <v>2846</v>
      </c>
      <c r="G15342" s="4">
        <f>IFERROR(__xludf.DUMMYFUNCTION("""COMPUTED_VALUE"""),56.0)</f>
        <v>56</v>
      </c>
      <c r="H15342" s="4"/>
      <c r="I15342" s="4"/>
    </row>
    <row r="15343">
      <c r="A15343" s="4" t="str">
        <f>IFERROR(__xludf.DUMMYFUNCTION("""COMPUTED_VALUE"""),"cas_hmw")</f>
        <v>cas_hmw</v>
      </c>
      <c r="B15343" s="5">
        <f>IFERROR(__xludf.DUMMYFUNCTION("""COMPUTED_VALUE"""),44729.0)</f>
        <v>44729</v>
      </c>
      <c r="C15343" s="6">
        <f>IFERROR(__xludf.DUMMYFUNCTION("""COMPUTED_VALUE"""),0.30895833333488554)</f>
        <v>0.3089583333</v>
      </c>
      <c r="D15343" s="4">
        <f>IFERROR(__xludf.DUMMYFUNCTION("""COMPUTED_VALUE"""),12.646856)</f>
        <v>12.646856</v>
      </c>
      <c r="E15343" s="4">
        <f>IFERROR(__xludf.DUMMYFUNCTION("""COMPUTED_VALUE"""),79.940259)</f>
        <v>79.940259</v>
      </c>
      <c r="F15343" s="4">
        <f>IFERROR(__xludf.DUMMYFUNCTION("""COMPUTED_VALUE"""),2846.0)</f>
        <v>2846</v>
      </c>
      <c r="G15343" s="4">
        <f>IFERROR(__xludf.DUMMYFUNCTION("""COMPUTED_VALUE"""),42.0)</f>
        <v>42</v>
      </c>
      <c r="H15343" s="4"/>
      <c r="I15343" s="4"/>
    </row>
    <row r="15344">
      <c r="A15344" s="4" t="str">
        <f>IFERROR(__xludf.DUMMYFUNCTION("""COMPUTED_VALUE"""),"cas_hmw")</f>
        <v>cas_hmw</v>
      </c>
      <c r="B15344" s="5">
        <f>IFERROR(__xludf.DUMMYFUNCTION("""COMPUTED_VALUE"""),44729.0)</f>
        <v>44729</v>
      </c>
      <c r="C15344" s="6">
        <f>IFERROR(__xludf.DUMMYFUNCTION("""COMPUTED_VALUE"""),0.3118865740725596)</f>
        <v>0.3118865741</v>
      </c>
      <c r="D15344" s="4">
        <f>IFERROR(__xludf.DUMMYFUNCTION("""COMPUTED_VALUE"""),13.042632)</f>
        <v>13.042632</v>
      </c>
      <c r="E15344" s="4">
        <f>IFERROR(__xludf.DUMMYFUNCTION("""COMPUTED_VALUE"""),80.268037)</f>
        <v>80.268037</v>
      </c>
      <c r="F15344" s="4">
        <f>IFERROR(__xludf.DUMMYFUNCTION("""COMPUTED_VALUE"""),805.0)</f>
        <v>805</v>
      </c>
      <c r="G15344" s="4">
        <f>IFERROR(__xludf.DUMMYFUNCTION("""COMPUTED_VALUE"""),38.0)</f>
        <v>38</v>
      </c>
      <c r="H15344" s="4"/>
      <c r="I15344" s="4"/>
    </row>
    <row r="15345">
      <c r="A15345" s="4" t="str">
        <f>IFERROR(__xludf.DUMMYFUNCTION("""COMPUTED_VALUE"""),"cas_hmw")</f>
        <v>cas_hmw</v>
      </c>
      <c r="B15345" s="5">
        <f>IFERROR(__xludf.DUMMYFUNCTION("""COMPUTED_VALUE"""),44729.0)</f>
        <v>44729</v>
      </c>
      <c r="C15345" s="6">
        <f>IFERROR(__xludf.DUMMYFUNCTION("""COMPUTED_VALUE"""),0.3130092592582514)</f>
        <v>0.3130092593</v>
      </c>
      <c r="D15345" s="4">
        <f>IFERROR(__xludf.DUMMYFUNCTION("""COMPUTED_VALUE"""),13.054402)</f>
        <v>13.054402</v>
      </c>
      <c r="E15345" s="4">
        <f>IFERROR(__xludf.DUMMYFUNCTION("""COMPUTED_VALUE"""),80.253878)</f>
        <v>80.253878</v>
      </c>
      <c r="F15345" s="4">
        <f>IFERROR(__xludf.DUMMYFUNCTION("""COMPUTED_VALUE"""),5339.0)</f>
        <v>5339</v>
      </c>
      <c r="G15345" s="4">
        <f>IFERROR(__xludf.DUMMYFUNCTION("""COMPUTED_VALUE"""),31.0)</f>
        <v>31</v>
      </c>
      <c r="H15345" s="4"/>
      <c r="I15345" s="4"/>
    </row>
    <row r="15346">
      <c r="A15346" s="4" t="str">
        <f>IFERROR(__xludf.DUMMYFUNCTION("""COMPUTED_VALUE"""),"cas_hmw")</f>
        <v>cas_hmw</v>
      </c>
      <c r="B15346" s="5">
        <f>IFERROR(__xludf.DUMMYFUNCTION("""COMPUTED_VALUE"""),44729.0)</f>
        <v>44729</v>
      </c>
      <c r="C15346" s="6">
        <f>IFERROR(__xludf.DUMMYFUNCTION("""COMPUTED_VALUE"""),0.3136342592588335)</f>
        <v>0.3136342593</v>
      </c>
      <c r="D15346" s="4">
        <f>IFERROR(__xludf.DUMMYFUNCTION("""COMPUTED_VALUE"""),13.052793)</f>
        <v>13.052793</v>
      </c>
      <c r="E15346" s="4">
        <f>IFERROR(__xludf.DUMMYFUNCTION("""COMPUTED_VALUE"""),80.251658)</f>
        <v>80.251658</v>
      </c>
      <c r="F15346" s="4">
        <f>IFERROR(__xludf.DUMMYFUNCTION("""COMPUTED_VALUE"""),5339.0)</f>
        <v>5339</v>
      </c>
      <c r="G15346" s="4">
        <f>IFERROR(__xludf.DUMMYFUNCTION("""COMPUTED_VALUE"""),31.0)</f>
        <v>31</v>
      </c>
      <c r="H15346" s="4"/>
      <c r="I15346" s="4"/>
    </row>
    <row r="15347">
      <c r="A15347" s="4" t="str">
        <f>IFERROR(__xludf.DUMMYFUNCTION("""COMPUTED_VALUE"""),"cas_hmw")</f>
        <v>cas_hmw</v>
      </c>
      <c r="B15347" s="5">
        <f>IFERROR(__xludf.DUMMYFUNCTION("""COMPUTED_VALUE"""),44729.0)</f>
        <v>44729</v>
      </c>
      <c r="C15347" s="6">
        <f>IFERROR(__xludf.DUMMYFUNCTION("""COMPUTED_VALUE"""),0.31364583333197515)</f>
        <v>0.3136458333</v>
      </c>
      <c r="D15347" s="4">
        <f>IFERROR(__xludf.DUMMYFUNCTION("""COMPUTED_VALUE"""),13.052793)</f>
        <v>13.052793</v>
      </c>
      <c r="E15347" s="4">
        <f>IFERROR(__xludf.DUMMYFUNCTION("""COMPUTED_VALUE"""),80.251658)</f>
        <v>80.251658</v>
      </c>
      <c r="F15347" s="4">
        <f>IFERROR(__xludf.DUMMYFUNCTION("""COMPUTED_VALUE"""),5339.0)</f>
        <v>5339</v>
      </c>
      <c r="G15347" s="4">
        <f>IFERROR(__xludf.DUMMYFUNCTION("""COMPUTED_VALUE"""),31.0)</f>
        <v>31</v>
      </c>
      <c r="H15347" s="4"/>
      <c r="I15347" s="4"/>
    </row>
    <row r="15348">
      <c r="A15348" s="4" t="str">
        <f>IFERROR(__xludf.DUMMYFUNCTION("""COMPUTED_VALUE"""),"cas_hmw")</f>
        <v>cas_hmw</v>
      </c>
      <c r="B15348" s="5">
        <f>IFERROR(__xludf.DUMMYFUNCTION("""COMPUTED_VALUE"""),44729.0)</f>
        <v>44729</v>
      </c>
      <c r="C15348" s="6">
        <f>IFERROR(__xludf.DUMMYFUNCTION("""COMPUTED_VALUE"""),0.31364583333197515)</f>
        <v>0.3136458333</v>
      </c>
      <c r="D15348" s="4">
        <f>IFERROR(__xludf.DUMMYFUNCTION("""COMPUTED_VALUE"""),13.052793)</f>
        <v>13.052793</v>
      </c>
      <c r="E15348" s="4">
        <f>IFERROR(__xludf.DUMMYFUNCTION("""COMPUTED_VALUE"""),80.251658)</f>
        <v>80.251658</v>
      </c>
      <c r="F15348" s="4">
        <f>IFERROR(__xludf.DUMMYFUNCTION("""COMPUTED_VALUE"""),5339.0)</f>
        <v>5339</v>
      </c>
      <c r="G15348" s="4">
        <f>IFERROR(__xludf.DUMMYFUNCTION("""COMPUTED_VALUE"""),31.0)</f>
        <v>31</v>
      </c>
      <c r="H15348" s="4"/>
      <c r="I15348" s="4"/>
    </row>
    <row r="15349">
      <c r="A15349" s="4" t="str">
        <f>IFERROR(__xludf.DUMMYFUNCTION("""COMPUTED_VALUE"""),"cas_hmw")</f>
        <v>cas_hmw</v>
      </c>
      <c r="B15349" s="5">
        <f>IFERROR(__xludf.DUMMYFUNCTION("""COMPUTED_VALUE"""),44729.0)</f>
        <v>44729</v>
      </c>
      <c r="C15349" s="6">
        <f>IFERROR(__xludf.DUMMYFUNCTION("""COMPUTED_VALUE"""),0.3141319444439432)</f>
        <v>0.3141319444</v>
      </c>
      <c r="D15349" s="4">
        <f>IFERROR(__xludf.DUMMYFUNCTION("""COMPUTED_VALUE"""),12.671785)</f>
        <v>12.671785</v>
      </c>
      <c r="E15349" s="4">
        <f>IFERROR(__xludf.DUMMYFUNCTION("""COMPUTED_VALUE"""),79.976139)</f>
        <v>79.976139</v>
      </c>
      <c r="F15349" s="4">
        <f>IFERROR(__xludf.DUMMYFUNCTION("""COMPUTED_VALUE"""),2846.0)</f>
        <v>2846</v>
      </c>
      <c r="G15349" s="4">
        <f>IFERROR(__xludf.DUMMYFUNCTION("""COMPUTED_VALUE"""),41.0)</f>
        <v>41</v>
      </c>
      <c r="H15349" s="4"/>
      <c r="I15349" s="4"/>
    </row>
    <row r="15350">
      <c r="A15350" s="4" t="str">
        <f>IFERROR(__xludf.DUMMYFUNCTION("""COMPUTED_VALUE"""),"cas_hmw")</f>
        <v>cas_hmw</v>
      </c>
      <c r="B15350" s="5">
        <f>IFERROR(__xludf.DUMMYFUNCTION("""COMPUTED_VALUE"""),44729.0)</f>
        <v>44729</v>
      </c>
      <c r="C15350" s="6">
        <f>IFERROR(__xludf.DUMMYFUNCTION("""COMPUTED_VALUE"""),0.31557870370306773)</f>
        <v>0.3155787037</v>
      </c>
      <c r="D15350" s="4">
        <f>IFERROR(__xludf.DUMMYFUNCTION("""COMPUTED_VALUE"""),13.044598)</f>
        <v>13.044598</v>
      </c>
      <c r="E15350" s="4">
        <f>IFERROR(__xludf.DUMMYFUNCTION("""COMPUTED_VALUE"""),80.248084)</f>
        <v>80.248084</v>
      </c>
      <c r="F15350" s="4">
        <f>IFERROR(__xludf.DUMMYFUNCTION("""COMPUTED_VALUE"""),5339.0)</f>
        <v>5339</v>
      </c>
      <c r="G15350" s="4">
        <f>IFERROR(__xludf.DUMMYFUNCTION("""COMPUTED_VALUE"""),39.0)</f>
        <v>39</v>
      </c>
      <c r="H15350" s="4"/>
      <c r="I15350" s="4"/>
    </row>
    <row r="15351">
      <c r="A15351" s="4" t="str">
        <f>IFERROR(__xludf.DUMMYFUNCTION("""COMPUTED_VALUE"""),"cas_hmw")</f>
        <v>cas_hmw</v>
      </c>
      <c r="B15351" s="5">
        <f>IFERROR(__xludf.DUMMYFUNCTION("""COMPUTED_VALUE"""),44729.0)</f>
        <v>44729</v>
      </c>
      <c r="C15351" s="6">
        <f>IFERROR(__xludf.DUMMYFUNCTION("""COMPUTED_VALUE"""),0.31615740740744513)</f>
        <v>0.3161574074</v>
      </c>
      <c r="D15351" s="4">
        <f>IFERROR(__xludf.DUMMYFUNCTION("""COMPUTED_VALUE"""),13.040922)</f>
        <v>13.040922</v>
      </c>
      <c r="E15351" s="4">
        <f>IFERROR(__xludf.DUMMYFUNCTION("""COMPUTED_VALUE"""),80.247465)</f>
        <v>80.247465</v>
      </c>
      <c r="F15351" s="4">
        <f>IFERROR(__xludf.DUMMYFUNCTION("""COMPUTED_VALUE"""),5339.0)</f>
        <v>5339</v>
      </c>
      <c r="G15351" s="4">
        <f>IFERROR(__xludf.DUMMYFUNCTION("""COMPUTED_VALUE"""),36.0)</f>
        <v>36</v>
      </c>
      <c r="H15351" s="4"/>
      <c r="I15351" s="4"/>
    </row>
    <row r="15352">
      <c r="A15352" s="4" t="str">
        <f>IFERROR(__xludf.DUMMYFUNCTION("""COMPUTED_VALUE"""),"cas_hmw")</f>
        <v>cas_hmw</v>
      </c>
      <c r="B15352" s="5">
        <f>IFERROR(__xludf.DUMMYFUNCTION("""COMPUTED_VALUE"""),44729.0)</f>
        <v>44729</v>
      </c>
      <c r="C15352" s="6">
        <f>IFERROR(__xludf.DUMMYFUNCTION("""COMPUTED_VALUE"""),0.3171875000007276)</f>
        <v>0.3171875</v>
      </c>
      <c r="D15352" s="4">
        <f>IFERROR(__xludf.DUMMYFUNCTION("""COMPUTED_VALUE"""),12.68475)</f>
        <v>12.68475</v>
      </c>
      <c r="E15352" s="4">
        <f>IFERROR(__xludf.DUMMYFUNCTION("""COMPUTED_VALUE"""),79.983443)</f>
        <v>79.983443</v>
      </c>
      <c r="F15352" s="4">
        <f>IFERROR(__xludf.DUMMYFUNCTION("""COMPUTED_VALUE"""),2846.0)</f>
        <v>2846</v>
      </c>
      <c r="G15352" s="4">
        <f>IFERROR(__xludf.DUMMYFUNCTION("""COMPUTED_VALUE"""),22.0)</f>
        <v>22</v>
      </c>
      <c r="H15352" s="4"/>
      <c r="I15352" s="4"/>
    </row>
    <row r="15353">
      <c r="A15353" s="4" t="str">
        <f>IFERROR(__xludf.DUMMYFUNCTION("""COMPUTED_VALUE"""),"cas_hmw")</f>
        <v>cas_hmw</v>
      </c>
      <c r="B15353" s="5">
        <f>IFERROR(__xludf.DUMMYFUNCTION("""COMPUTED_VALUE"""),44729.0)</f>
        <v>44729</v>
      </c>
      <c r="C15353" s="6">
        <f>IFERROR(__xludf.DUMMYFUNCTION("""COMPUTED_VALUE"""),0.317488425924239)</f>
        <v>0.3174884259</v>
      </c>
      <c r="D15353" s="4">
        <f>IFERROR(__xludf.DUMMYFUNCTION("""COMPUTED_VALUE"""),13.033969)</f>
        <v>13.033969</v>
      </c>
      <c r="E15353" s="4">
        <f>IFERROR(__xludf.DUMMYFUNCTION("""COMPUTED_VALUE"""),80.244632)</f>
        <v>80.244632</v>
      </c>
      <c r="F15353" s="4">
        <f>IFERROR(__xludf.DUMMYFUNCTION("""COMPUTED_VALUE"""),5339.0)</f>
        <v>5339</v>
      </c>
      <c r="G15353" s="4">
        <f>IFERROR(__xludf.DUMMYFUNCTION("""COMPUTED_VALUE"""),25.0)</f>
        <v>25</v>
      </c>
      <c r="H15353" s="4"/>
      <c r="I15353" s="4"/>
    </row>
    <row r="15354">
      <c r="A15354" s="4" t="str">
        <f>IFERROR(__xludf.DUMMYFUNCTION("""COMPUTED_VALUE"""),"cas_hmw")</f>
        <v>cas_hmw</v>
      </c>
      <c r="B15354" s="5">
        <f>IFERROR(__xludf.DUMMYFUNCTION("""COMPUTED_VALUE"""),44729.0)</f>
        <v>44729</v>
      </c>
      <c r="C15354" s="6">
        <f>IFERROR(__xludf.DUMMYFUNCTION("""COMPUTED_VALUE"""),0.3180555555554747)</f>
        <v>0.3180555556</v>
      </c>
      <c r="D15354" s="4">
        <f>IFERROR(__xludf.DUMMYFUNCTION("""COMPUTED_VALUE"""),13.02368)</f>
        <v>13.02368</v>
      </c>
      <c r="E15354" s="4">
        <f>IFERROR(__xludf.DUMMYFUNCTION("""COMPUTED_VALUE"""),80.264216)</f>
        <v>80.264216</v>
      </c>
      <c r="F15354" s="4">
        <f>IFERROR(__xludf.DUMMYFUNCTION("""COMPUTED_VALUE"""),805.0)</f>
        <v>805</v>
      </c>
      <c r="G15354" s="4">
        <f>IFERROR(__xludf.DUMMYFUNCTION("""COMPUTED_VALUE"""),46.0)</f>
        <v>46</v>
      </c>
      <c r="H15354" s="4"/>
      <c r="I15354" s="4"/>
    </row>
    <row r="15355">
      <c r="A15355" s="4" t="str">
        <f>IFERROR(__xludf.DUMMYFUNCTION("""COMPUTED_VALUE"""),"cas_hmw")</f>
        <v>cas_hmw</v>
      </c>
      <c r="B15355" s="5">
        <f>IFERROR(__xludf.DUMMYFUNCTION("""COMPUTED_VALUE"""),44729.0)</f>
        <v>44729</v>
      </c>
      <c r="C15355" s="6">
        <f>IFERROR(__xludf.DUMMYFUNCTION("""COMPUTED_VALUE"""),0.3184143518519704)</f>
        <v>0.3184143519</v>
      </c>
      <c r="D15355" s="4">
        <f>IFERROR(__xludf.DUMMYFUNCTION("""COMPUTED_VALUE"""),13.031006)</f>
        <v>13.031006</v>
      </c>
      <c r="E15355" s="4">
        <f>IFERROR(__xludf.DUMMYFUNCTION("""COMPUTED_VALUE"""),80.23977)</f>
        <v>80.23977</v>
      </c>
      <c r="F15355" s="4">
        <f>IFERROR(__xludf.DUMMYFUNCTION("""COMPUTED_VALUE"""),5339.0)</f>
        <v>5339</v>
      </c>
      <c r="G15355" s="4">
        <f>IFERROR(__xludf.DUMMYFUNCTION("""COMPUTED_VALUE"""),30.0)</f>
        <v>30</v>
      </c>
      <c r="H15355" s="4"/>
      <c r="I15355" s="4"/>
    </row>
    <row r="15356">
      <c r="A15356" s="4" t="str">
        <f>IFERROR(__xludf.DUMMYFUNCTION("""COMPUTED_VALUE"""),"cas_hmw")</f>
        <v>cas_hmw</v>
      </c>
      <c r="B15356" s="5">
        <f>IFERROR(__xludf.DUMMYFUNCTION("""COMPUTED_VALUE"""),44729.0)</f>
        <v>44729</v>
      </c>
      <c r="C15356" s="6">
        <f>IFERROR(__xludf.DUMMYFUNCTION("""COMPUTED_VALUE"""),0.31854166666744277)</f>
        <v>0.3185416667</v>
      </c>
      <c r="D15356" s="4">
        <f>IFERROR(__xludf.DUMMYFUNCTION("""COMPUTED_VALUE"""),13.029986)</f>
        <v>13.029986</v>
      </c>
      <c r="E15356" s="4">
        <f>IFERROR(__xludf.DUMMYFUNCTION("""COMPUTED_VALUE"""),80.237921)</f>
        <v>80.237921</v>
      </c>
      <c r="F15356" s="4">
        <f>IFERROR(__xludf.DUMMYFUNCTION("""COMPUTED_VALUE"""),5339.0)</f>
        <v>5339</v>
      </c>
      <c r="G15356" s="4">
        <f>IFERROR(__xludf.DUMMYFUNCTION("""COMPUTED_VALUE"""),46.0)</f>
        <v>46</v>
      </c>
      <c r="H15356" s="4"/>
      <c r="I15356" s="4"/>
    </row>
    <row r="15357">
      <c r="A15357" s="4" t="str">
        <f>IFERROR(__xludf.DUMMYFUNCTION("""COMPUTED_VALUE"""),"cas_hmw")</f>
        <v>cas_hmw</v>
      </c>
      <c r="B15357" s="5">
        <f>IFERROR(__xludf.DUMMYFUNCTION("""COMPUTED_VALUE"""),44729.0)</f>
        <v>44729</v>
      </c>
      <c r="C15357" s="6">
        <f>IFERROR(__xludf.DUMMYFUNCTION("""COMPUTED_VALUE"""),0.3185648148137261)</f>
        <v>0.3185648148</v>
      </c>
      <c r="D15357" s="4">
        <f>IFERROR(__xludf.DUMMYFUNCTION("""COMPUTED_VALUE"""),13.029986)</f>
        <v>13.029986</v>
      </c>
      <c r="E15357" s="4">
        <f>IFERROR(__xludf.DUMMYFUNCTION("""COMPUTED_VALUE"""),80.237921)</f>
        <v>80.237921</v>
      </c>
      <c r="F15357" s="4">
        <f>IFERROR(__xludf.DUMMYFUNCTION("""COMPUTED_VALUE"""),5339.0)</f>
        <v>5339</v>
      </c>
      <c r="G15357" s="4">
        <f>IFERROR(__xludf.DUMMYFUNCTION("""COMPUTED_VALUE"""),46.0)</f>
        <v>46</v>
      </c>
      <c r="H15357" s="4"/>
      <c r="I15357" s="4"/>
    </row>
    <row r="15358">
      <c r="A15358" s="4" t="str">
        <f>IFERROR(__xludf.DUMMYFUNCTION("""COMPUTED_VALUE"""),"cas_hmw")</f>
        <v>cas_hmw</v>
      </c>
      <c r="B15358" s="5">
        <f>IFERROR(__xludf.DUMMYFUNCTION("""COMPUTED_VALUE"""),44729.0)</f>
        <v>44729</v>
      </c>
      <c r="C15358" s="6">
        <f>IFERROR(__xludf.DUMMYFUNCTION("""COMPUTED_VALUE"""),0.3185995370367891)</f>
        <v>0.318599537</v>
      </c>
      <c r="D15358" s="4">
        <f>IFERROR(__xludf.DUMMYFUNCTION("""COMPUTED_VALUE"""),13.029986)</f>
        <v>13.029986</v>
      </c>
      <c r="E15358" s="4">
        <f>IFERROR(__xludf.DUMMYFUNCTION("""COMPUTED_VALUE"""),80.237921)</f>
        <v>80.237921</v>
      </c>
      <c r="F15358" s="4">
        <f>IFERROR(__xludf.DUMMYFUNCTION("""COMPUTED_VALUE"""),5339.0)</f>
        <v>5339</v>
      </c>
      <c r="G15358" s="4">
        <f>IFERROR(__xludf.DUMMYFUNCTION("""COMPUTED_VALUE"""),46.0)</f>
        <v>46</v>
      </c>
      <c r="H15358" s="4"/>
      <c r="I15358" s="4"/>
    </row>
    <row r="15359">
      <c r="A15359" s="4" t="str">
        <f>IFERROR(__xludf.DUMMYFUNCTION("""COMPUTED_VALUE"""),"cas_hmw")</f>
        <v>cas_hmw</v>
      </c>
      <c r="B15359" s="5">
        <f>IFERROR(__xludf.DUMMYFUNCTION("""COMPUTED_VALUE"""),44729.0)</f>
        <v>44729</v>
      </c>
      <c r="C15359" s="6">
        <f>IFERROR(__xludf.DUMMYFUNCTION("""COMPUTED_VALUE"""),0.31865740740613546)</f>
        <v>0.3186574074</v>
      </c>
      <c r="D15359" s="4">
        <f>IFERROR(__xludf.DUMMYFUNCTION("""COMPUTED_VALUE"""),13.020252)</f>
        <v>13.020252</v>
      </c>
      <c r="E15359" s="4">
        <f>IFERROR(__xludf.DUMMYFUNCTION("""COMPUTED_VALUE"""),80.262991)</f>
        <v>80.262991</v>
      </c>
      <c r="F15359" s="4">
        <f>IFERROR(__xludf.DUMMYFUNCTION("""COMPUTED_VALUE"""),805.0)</f>
        <v>805</v>
      </c>
      <c r="G15359" s="4">
        <f>IFERROR(__xludf.DUMMYFUNCTION("""COMPUTED_VALUE"""),8.0)</f>
        <v>8</v>
      </c>
      <c r="H15359" s="4"/>
      <c r="I15359" s="4"/>
    </row>
    <row r="15360">
      <c r="A15360" s="4" t="str">
        <f>IFERROR(__xludf.DUMMYFUNCTION("""COMPUTED_VALUE"""),"cas_hmw")</f>
        <v>cas_hmw</v>
      </c>
      <c r="B15360" s="5">
        <f>IFERROR(__xludf.DUMMYFUNCTION("""COMPUTED_VALUE"""),44729.0)</f>
        <v>44729</v>
      </c>
      <c r="C15360" s="6">
        <f>IFERROR(__xludf.DUMMYFUNCTION("""COMPUTED_VALUE"""),0.3186689814829151)</f>
        <v>0.3186689815</v>
      </c>
      <c r="D15360" s="4">
        <f>IFERROR(__xludf.DUMMYFUNCTION("""COMPUTED_VALUE"""),13.020252)</f>
        <v>13.020252</v>
      </c>
      <c r="E15360" s="4">
        <f>IFERROR(__xludf.DUMMYFUNCTION("""COMPUTED_VALUE"""),80.262991)</f>
        <v>80.262991</v>
      </c>
      <c r="F15360" s="4">
        <f>IFERROR(__xludf.DUMMYFUNCTION("""COMPUTED_VALUE"""),805.0)</f>
        <v>805</v>
      </c>
      <c r="G15360" s="4">
        <f>IFERROR(__xludf.DUMMYFUNCTION("""COMPUTED_VALUE"""),8.0)</f>
        <v>8</v>
      </c>
      <c r="H15360" s="4"/>
      <c r="I15360" s="4"/>
    </row>
    <row r="15361">
      <c r="A15361" s="4" t="str">
        <f>IFERROR(__xludf.DUMMYFUNCTION("""COMPUTED_VALUE"""),"cas_hmw")</f>
        <v>cas_hmw</v>
      </c>
      <c r="B15361" s="5">
        <f>IFERROR(__xludf.DUMMYFUNCTION("""COMPUTED_VALUE"""),44729.0)</f>
        <v>44729</v>
      </c>
      <c r="C15361" s="6">
        <f>IFERROR(__xludf.DUMMYFUNCTION("""COMPUTED_VALUE"""),0.31891203703708015)</f>
        <v>0.318912037</v>
      </c>
      <c r="D15361" s="4">
        <f>IFERROR(__xludf.DUMMYFUNCTION("""COMPUTED_VALUE"""),13.027899)</f>
        <v>13.027899</v>
      </c>
      <c r="E15361" s="4">
        <f>IFERROR(__xludf.DUMMYFUNCTION("""COMPUTED_VALUE"""),80.235347)</f>
        <v>80.235347</v>
      </c>
      <c r="F15361" s="4">
        <f>IFERROR(__xludf.DUMMYFUNCTION("""COMPUTED_VALUE"""),5339.0)</f>
        <v>5339</v>
      </c>
      <c r="G15361" s="4">
        <f>IFERROR(__xludf.DUMMYFUNCTION("""COMPUTED_VALUE"""),41.0)</f>
        <v>41</v>
      </c>
      <c r="H15361" s="4"/>
      <c r="I15361" s="4"/>
    </row>
    <row r="15362">
      <c r="A15362" s="4" t="str">
        <f>IFERROR(__xludf.DUMMYFUNCTION("""COMPUTED_VALUE"""),"cas_hmw")</f>
        <v>cas_hmw</v>
      </c>
      <c r="B15362" s="5">
        <f>IFERROR(__xludf.DUMMYFUNCTION("""COMPUTED_VALUE"""),44729.0)</f>
        <v>44729</v>
      </c>
      <c r="C15362" s="6">
        <f>IFERROR(__xludf.DUMMYFUNCTION("""COMPUTED_VALUE"""),0.3189699074064265)</f>
        <v>0.3189699074</v>
      </c>
      <c r="D15362" s="4">
        <f>IFERROR(__xludf.DUMMYFUNCTION("""COMPUTED_VALUE"""),13.027899)</f>
        <v>13.027899</v>
      </c>
      <c r="E15362" s="4">
        <f>IFERROR(__xludf.DUMMYFUNCTION("""COMPUTED_VALUE"""),80.235347)</f>
        <v>80.235347</v>
      </c>
      <c r="F15362" s="4">
        <f>IFERROR(__xludf.DUMMYFUNCTION("""COMPUTED_VALUE"""),5339.0)</f>
        <v>5339</v>
      </c>
      <c r="G15362" s="4">
        <f>IFERROR(__xludf.DUMMYFUNCTION("""COMPUTED_VALUE"""),41.0)</f>
        <v>41</v>
      </c>
      <c r="H15362" s="4"/>
      <c r="I15362" s="4"/>
    </row>
    <row r="15363">
      <c r="A15363" s="4" t="str">
        <f>IFERROR(__xludf.DUMMYFUNCTION("""COMPUTED_VALUE"""),"cas_hmw")</f>
        <v>cas_hmw</v>
      </c>
      <c r="B15363" s="5">
        <f>IFERROR(__xludf.DUMMYFUNCTION("""COMPUTED_VALUE"""),44729.0)</f>
        <v>44729</v>
      </c>
      <c r="C15363" s="6">
        <f>IFERROR(__xludf.DUMMYFUNCTION("""COMPUTED_VALUE"""),0.3195833333338669)</f>
        <v>0.3195833333</v>
      </c>
      <c r="D15363" s="4">
        <f>IFERROR(__xludf.DUMMYFUNCTION("""COMPUTED_VALUE"""),13.02667)</f>
        <v>13.02667</v>
      </c>
      <c r="E15363" s="4">
        <f>IFERROR(__xludf.DUMMYFUNCTION("""COMPUTED_VALUE"""),80.233289)</f>
        <v>80.233289</v>
      </c>
      <c r="F15363" s="4">
        <f>IFERROR(__xludf.DUMMYFUNCTION("""COMPUTED_VALUE"""),5339.0)</f>
        <v>5339</v>
      </c>
      <c r="G15363" s="4">
        <f>IFERROR(__xludf.DUMMYFUNCTION("""COMPUTED_VALUE"""),21.0)</f>
        <v>21</v>
      </c>
      <c r="H15363" s="4"/>
      <c r="I15363" s="4"/>
    </row>
    <row r="15364">
      <c r="A15364" s="4" t="str">
        <f>IFERROR(__xludf.DUMMYFUNCTION("""COMPUTED_VALUE"""),"cas_hmw")</f>
        <v>cas_hmw</v>
      </c>
      <c r="B15364" s="5">
        <f>IFERROR(__xludf.DUMMYFUNCTION("""COMPUTED_VALUE"""),44729.0)</f>
        <v>44729</v>
      </c>
      <c r="C15364" s="6">
        <f>IFERROR(__xludf.DUMMYFUNCTION("""COMPUTED_VALUE"""),0.31993055555722094)</f>
        <v>0.3199305556</v>
      </c>
      <c r="D15364" s="4">
        <f>IFERROR(__xludf.DUMMYFUNCTION("""COMPUTED_VALUE"""),13.016085)</f>
        <v>13.016085</v>
      </c>
      <c r="E15364" s="4">
        <f>IFERROR(__xludf.DUMMYFUNCTION("""COMPUTED_VALUE"""),80.25963)</f>
        <v>80.25963</v>
      </c>
      <c r="F15364" s="4">
        <f>IFERROR(__xludf.DUMMYFUNCTION("""COMPUTED_VALUE"""),805.0)</f>
        <v>805</v>
      </c>
      <c r="G15364" s="4">
        <f>IFERROR(__xludf.DUMMYFUNCTION("""COMPUTED_VALUE"""),27.0)</f>
        <v>27</v>
      </c>
      <c r="H15364" s="4"/>
      <c r="I15364" s="4"/>
    </row>
    <row r="15365">
      <c r="A15365" s="4" t="str">
        <f>IFERROR(__xludf.DUMMYFUNCTION("""COMPUTED_VALUE"""),"cas_hmw")</f>
        <v>cas_hmw</v>
      </c>
      <c r="B15365" s="5">
        <f>IFERROR(__xludf.DUMMYFUNCTION("""COMPUTED_VALUE"""),44729.0)</f>
        <v>44729</v>
      </c>
      <c r="C15365" s="6">
        <f>IFERROR(__xludf.DUMMYFUNCTION("""COMPUTED_VALUE"""),0.32001157407285064)</f>
        <v>0.3200115741</v>
      </c>
      <c r="D15365" s="4">
        <f>IFERROR(__xludf.DUMMYFUNCTION("""COMPUTED_VALUE"""),13.015327)</f>
        <v>13.015327</v>
      </c>
      <c r="E15365" s="4">
        <f>IFERROR(__xludf.DUMMYFUNCTION("""COMPUTED_VALUE"""),80.259339)</f>
        <v>80.259339</v>
      </c>
      <c r="F15365" s="4">
        <f>IFERROR(__xludf.DUMMYFUNCTION("""COMPUTED_VALUE"""),805.0)</f>
        <v>805</v>
      </c>
      <c r="G15365" s="4">
        <f>IFERROR(__xludf.DUMMYFUNCTION("""COMPUTED_VALUE"""),42.0)</f>
        <v>42</v>
      </c>
      <c r="H15365" s="4"/>
      <c r="I15365" s="4"/>
    </row>
    <row r="15366">
      <c r="A15366" s="4" t="str">
        <f>IFERROR(__xludf.DUMMYFUNCTION("""COMPUTED_VALUE"""),"cas_hmw")</f>
        <v>cas_hmw</v>
      </c>
      <c r="B15366" s="5">
        <f>IFERROR(__xludf.DUMMYFUNCTION("""COMPUTED_VALUE"""),44729.0)</f>
        <v>44729</v>
      </c>
      <c r="C15366" s="6">
        <f>IFERROR(__xludf.DUMMYFUNCTION("""COMPUTED_VALUE"""),0.3203935185192677)</f>
        <v>0.3203935185</v>
      </c>
      <c r="D15366" s="4">
        <f>IFERROR(__xludf.DUMMYFUNCTION("""COMPUTED_VALUE"""),13.012815)</f>
        <v>13.012815</v>
      </c>
      <c r="E15366" s="4">
        <f>IFERROR(__xludf.DUMMYFUNCTION("""COMPUTED_VALUE"""),80.259235)</f>
        <v>80.259235</v>
      </c>
      <c r="F15366" s="4">
        <f>IFERROR(__xludf.DUMMYFUNCTION("""COMPUTED_VALUE"""),805.0)</f>
        <v>805</v>
      </c>
      <c r="G15366" s="4">
        <f>IFERROR(__xludf.DUMMYFUNCTION("""COMPUTED_VALUE"""),52.0)</f>
        <v>52</v>
      </c>
      <c r="H15366" s="4"/>
      <c r="I15366" s="4"/>
    </row>
    <row r="15367">
      <c r="A15367" s="4" t="str">
        <f>IFERROR(__xludf.DUMMYFUNCTION("""COMPUTED_VALUE"""),"cas_hmw")</f>
        <v>cas_hmw</v>
      </c>
      <c r="B15367" s="5">
        <f>IFERROR(__xludf.DUMMYFUNCTION("""COMPUTED_VALUE"""),44729.0)</f>
        <v>44729</v>
      </c>
      <c r="C15367" s="6">
        <f>IFERROR(__xludf.DUMMYFUNCTION("""COMPUTED_VALUE"""),0.3210648148160544)</f>
        <v>0.3210648148</v>
      </c>
      <c r="D15367" s="4">
        <f>IFERROR(__xludf.DUMMYFUNCTION("""COMPUTED_VALUE"""),13.023132)</f>
        <v>13.023132</v>
      </c>
      <c r="E15367" s="4">
        <f>IFERROR(__xludf.DUMMYFUNCTION("""COMPUTED_VALUE"""),80.227321)</f>
        <v>80.227321</v>
      </c>
      <c r="F15367" s="4">
        <f>IFERROR(__xludf.DUMMYFUNCTION("""COMPUTED_VALUE"""),5339.0)</f>
        <v>5339</v>
      </c>
      <c r="G15367" s="4">
        <f>IFERROR(__xludf.DUMMYFUNCTION("""COMPUTED_VALUE"""),49.0)</f>
        <v>49</v>
      </c>
      <c r="H15367" s="4"/>
      <c r="I15367" s="4"/>
    </row>
    <row r="15368">
      <c r="A15368" s="4" t="str">
        <f>IFERROR(__xludf.DUMMYFUNCTION("""COMPUTED_VALUE"""),"cas_hmw")</f>
        <v>cas_hmw</v>
      </c>
      <c r="B15368" s="5">
        <f>IFERROR(__xludf.DUMMYFUNCTION("""COMPUTED_VALUE"""),44729.0)</f>
        <v>44729</v>
      </c>
      <c r="C15368" s="6">
        <f>IFERROR(__xludf.DUMMYFUNCTION("""COMPUTED_VALUE"""),0.32246527777897427)</f>
        <v>0.3224652778</v>
      </c>
      <c r="D15368" s="4">
        <f>IFERROR(__xludf.DUMMYFUNCTION("""COMPUTED_VALUE"""),13.014165)</f>
        <v>13.014165</v>
      </c>
      <c r="E15368" s="4">
        <f>IFERROR(__xludf.DUMMYFUNCTION("""COMPUTED_VALUE"""),80.226319)</f>
        <v>80.226319</v>
      </c>
      <c r="F15368" s="4">
        <f>IFERROR(__xludf.DUMMYFUNCTION("""COMPUTED_VALUE"""),5339.0)</f>
        <v>5339</v>
      </c>
      <c r="G15368" s="4">
        <f>IFERROR(__xludf.DUMMYFUNCTION("""COMPUTED_VALUE"""),40.0)</f>
        <v>40</v>
      </c>
      <c r="H15368" s="4"/>
      <c r="I15368" s="4"/>
    </row>
    <row r="15369">
      <c r="A15369" s="4" t="str">
        <f>IFERROR(__xludf.DUMMYFUNCTION("""COMPUTED_VALUE"""),"cas_hmw")</f>
        <v>cas_hmw</v>
      </c>
      <c r="B15369" s="5">
        <f>IFERROR(__xludf.DUMMYFUNCTION("""COMPUTED_VALUE"""),44729.0)</f>
        <v>44729</v>
      </c>
      <c r="C15369" s="6">
        <f>IFERROR(__xludf.DUMMYFUNCTION("""COMPUTED_VALUE"""),0.32334490740686306)</f>
        <v>0.3233449074</v>
      </c>
      <c r="D15369" s="4">
        <f>IFERROR(__xludf.DUMMYFUNCTION("""COMPUTED_VALUE"""),13.006444)</f>
        <v>13.006444</v>
      </c>
      <c r="E15369" s="4">
        <f>IFERROR(__xludf.DUMMYFUNCTION("""COMPUTED_VALUE"""),80.25583)</f>
        <v>80.25583</v>
      </c>
      <c r="F15369" s="4">
        <f>IFERROR(__xludf.DUMMYFUNCTION("""COMPUTED_VALUE"""),805.0)</f>
        <v>805</v>
      </c>
      <c r="G15369" s="4">
        <f>IFERROR(__xludf.DUMMYFUNCTION("""COMPUTED_VALUE"""),36.0)</f>
        <v>36</v>
      </c>
      <c r="H15369" s="4"/>
      <c r="I15369" s="4"/>
    </row>
    <row r="15370">
      <c r="A15370" s="4" t="str">
        <f>IFERROR(__xludf.DUMMYFUNCTION("""COMPUTED_VALUE"""),"cas_hmw")</f>
        <v>cas_hmw</v>
      </c>
      <c r="B15370" s="5">
        <f>IFERROR(__xludf.DUMMYFUNCTION("""COMPUTED_VALUE"""),44729.0)</f>
        <v>44729</v>
      </c>
      <c r="C15370" s="6">
        <f>IFERROR(__xludf.DUMMYFUNCTION("""COMPUTED_VALUE"""),0.3235532407416031)</f>
        <v>0.3235532407</v>
      </c>
      <c r="D15370" s="4">
        <f>IFERROR(__xludf.DUMMYFUNCTION("""COMPUTED_VALUE"""),13.012162)</f>
        <v>13.012162</v>
      </c>
      <c r="E15370" s="4">
        <f>IFERROR(__xludf.DUMMYFUNCTION("""COMPUTED_VALUE"""),80.221195)</f>
        <v>80.221195</v>
      </c>
      <c r="F15370" s="4">
        <f>IFERROR(__xludf.DUMMYFUNCTION("""COMPUTED_VALUE"""),5339.0)</f>
        <v>5339</v>
      </c>
      <c r="G15370" s="4">
        <f>IFERROR(__xludf.DUMMYFUNCTION("""COMPUTED_VALUE"""),29.0)</f>
        <v>29</v>
      </c>
      <c r="H15370" s="4"/>
      <c r="I15370" s="4"/>
    </row>
    <row r="15371">
      <c r="A15371" s="4" t="str">
        <f>IFERROR(__xludf.DUMMYFUNCTION("""COMPUTED_VALUE"""),"cas_hmw")</f>
        <v>cas_hmw</v>
      </c>
      <c r="B15371" s="5">
        <f>IFERROR(__xludf.DUMMYFUNCTION("""COMPUTED_VALUE"""),44729.0)</f>
        <v>44729</v>
      </c>
      <c r="C15371" s="6">
        <f>IFERROR(__xludf.DUMMYFUNCTION("""COMPUTED_VALUE"""),0.3236226851840911)</f>
        <v>0.3236226852</v>
      </c>
      <c r="D15371" s="4">
        <f>IFERROR(__xludf.DUMMYFUNCTION("""COMPUTED_VALUE"""),13.006519)</f>
        <v>13.006519</v>
      </c>
      <c r="E15371" s="4">
        <f>IFERROR(__xludf.DUMMYFUNCTION("""COMPUTED_VALUE"""),80.253654)</f>
        <v>80.253654</v>
      </c>
      <c r="F15371" s="4">
        <f>IFERROR(__xludf.DUMMYFUNCTION("""COMPUTED_VALUE"""),805.0)</f>
        <v>805</v>
      </c>
      <c r="G15371" s="4">
        <f>IFERROR(__xludf.DUMMYFUNCTION("""COMPUTED_VALUE"""),36.0)</f>
        <v>36</v>
      </c>
      <c r="H15371" s="4"/>
      <c r="I15371" s="4"/>
    </row>
    <row r="15372">
      <c r="A15372" s="4" t="str">
        <f>IFERROR(__xludf.DUMMYFUNCTION("""COMPUTED_VALUE"""),"cas_hmw")</f>
        <v>cas_hmw</v>
      </c>
      <c r="B15372" s="5">
        <f>IFERROR(__xludf.DUMMYFUNCTION("""COMPUTED_VALUE"""),44729.0)</f>
        <v>44729</v>
      </c>
      <c r="C15372" s="6">
        <f>IFERROR(__xludf.DUMMYFUNCTION("""COMPUTED_VALUE"""),0.3237962962957681)</f>
        <v>0.3237962963</v>
      </c>
      <c r="D15372" s="4">
        <f>IFERROR(__xludf.DUMMYFUNCTION("""COMPUTED_VALUE"""),13.006677)</f>
        <v>13.006677</v>
      </c>
      <c r="E15372" s="4">
        <f>IFERROR(__xludf.DUMMYFUNCTION("""COMPUTED_VALUE"""),80.25177)</f>
        <v>80.25177</v>
      </c>
      <c r="F15372" s="4">
        <f>IFERROR(__xludf.DUMMYFUNCTION("""COMPUTED_VALUE"""),805.0)</f>
        <v>805</v>
      </c>
      <c r="G15372" s="4">
        <f>IFERROR(__xludf.DUMMYFUNCTION("""COMPUTED_VALUE"""),37.0)</f>
        <v>37</v>
      </c>
      <c r="H15372" s="4"/>
      <c r="I15372" s="4"/>
    </row>
    <row r="15373">
      <c r="A15373" s="4" t="str">
        <f>IFERROR(__xludf.DUMMYFUNCTION("""COMPUTED_VALUE"""),"cas_hmw")</f>
        <v>cas_hmw</v>
      </c>
      <c r="B15373" s="5">
        <f>IFERROR(__xludf.DUMMYFUNCTION("""COMPUTED_VALUE"""),44729.0)</f>
        <v>44729</v>
      </c>
      <c r="C15373" s="6">
        <f>IFERROR(__xludf.DUMMYFUNCTION("""COMPUTED_VALUE"""),0.3239467592575238)</f>
        <v>0.3239467593</v>
      </c>
      <c r="D15373" s="4">
        <f>IFERROR(__xludf.DUMMYFUNCTION("""COMPUTED_VALUE"""),13.011284)</f>
        <v>13.011284</v>
      </c>
      <c r="E15373" s="4">
        <f>IFERROR(__xludf.DUMMYFUNCTION("""COMPUTED_VALUE"""),80.218294)</f>
        <v>80.218294</v>
      </c>
      <c r="F15373" s="4">
        <f>IFERROR(__xludf.DUMMYFUNCTION("""COMPUTED_VALUE"""),5339.0)</f>
        <v>5339</v>
      </c>
      <c r="G15373" s="4">
        <f>IFERROR(__xludf.DUMMYFUNCTION("""COMPUTED_VALUE"""),51.0)</f>
        <v>51</v>
      </c>
      <c r="H15373" s="4"/>
      <c r="I15373" s="4"/>
    </row>
    <row r="15374">
      <c r="A15374" s="4" t="str">
        <f>IFERROR(__xludf.DUMMYFUNCTION("""COMPUTED_VALUE"""),"cas_hmw")</f>
        <v>cas_hmw</v>
      </c>
      <c r="B15374" s="5">
        <f>IFERROR(__xludf.DUMMYFUNCTION("""COMPUTED_VALUE"""),44729.0)</f>
        <v>44729</v>
      </c>
      <c r="C15374" s="6">
        <f>IFERROR(__xludf.DUMMYFUNCTION("""COMPUTED_VALUE"""),0.3240509259267128)</f>
        <v>0.3240509259</v>
      </c>
      <c r="D15374" s="4">
        <f>IFERROR(__xludf.DUMMYFUNCTION("""COMPUTED_VALUE"""),13.010801)</f>
        <v>13.010801</v>
      </c>
      <c r="E15374" s="4">
        <f>IFERROR(__xludf.DUMMYFUNCTION("""COMPUTED_VALUE"""),80.217059)</f>
        <v>80.217059</v>
      </c>
      <c r="F15374" s="4">
        <f>IFERROR(__xludf.DUMMYFUNCTION("""COMPUTED_VALUE"""),5339.0)</f>
        <v>5339</v>
      </c>
      <c r="G15374" s="4">
        <f>IFERROR(__xludf.DUMMYFUNCTION("""COMPUTED_VALUE"""),44.0)</f>
        <v>44</v>
      </c>
      <c r="H15374" s="4"/>
      <c r="I15374" s="4"/>
    </row>
    <row r="15375">
      <c r="A15375" s="4" t="str">
        <f>IFERROR(__xludf.DUMMYFUNCTION("""COMPUTED_VALUE"""),"cas_hmw")</f>
        <v>cas_hmw</v>
      </c>
      <c r="B15375" s="5">
        <f>IFERROR(__xludf.DUMMYFUNCTION("""COMPUTED_VALUE"""),44729.0)</f>
        <v>44729</v>
      </c>
      <c r="C15375" s="6">
        <f>IFERROR(__xludf.DUMMYFUNCTION("""COMPUTED_VALUE"""),0.3241203703692008)</f>
        <v>0.3241203704</v>
      </c>
      <c r="D15375" s="4">
        <f>IFERROR(__xludf.DUMMYFUNCTION("""COMPUTED_VALUE"""),13.006766)</f>
        <v>13.006766</v>
      </c>
      <c r="E15375" s="4">
        <f>IFERROR(__xludf.DUMMYFUNCTION("""COMPUTED_VALUE"""),80.250067)</f>
        <v>80.250067</v>
      </c>
      <c r="F15375" s="4">
        <f>IFERROR(__xludf.DUMMYFUNCTION("""COMPUTED_VALUE"""),805.0)</f>
        <v>805</v>
      </c>
      <c r="G15375" s="4">
        <f>IFERROR(__xludf.DUMMYFUNCTION("""COMPUTED_VALUE"""),37.0)</f>
        <v>37</v>
      </c>
      <c r="H15375" s="4"/>
      <c r="I15375" s="4"/>
    </row>
    <row r="15376">
      <c r="A15376" s="4" t="str">
        <f>IFERROR(__xludf.DUMMYFUNCTION("""COMPUTED_VALUE"""),"cas_hmw")</f>
        <v>cas_hmw</v>
      </c>
      <c r="B15376" s="5">
        <f>IFERROR(__xludf.DUMMYFUNCTION("""COMPUTED_VALUE"""),44729.0)</f>
        <v>44729</v>
      </c>
      <c r="C15376" s="6">
        <f>IFERROR(__xludf.DUMMYFUNCTION("""COMPUTED_VALUE"""),0.32425925925781485)</f>
        <v>0.3242592593</v>
      </c>
      <c r="D15376" s="4">
        <f>IFERROR(__xludf.DUMMYFUNCTION("""COMPUTED_VALUE"""),13.01008)</f>
        <v>13.01008</v>
      </c>
      <c r="E15376" s="4">
        <f>IFERROR(__xludf.DUMMYFUNCTION("""COMPUTED_VALUE"""),80.214987)</f>
        <v>80.214987</v>
      </c>
      <c r="F15376" s="4">
        <f>IFERROR(__xludf.DUMMYFUNCTION("""COMPUTED_VALUE"""),5339.0)</f>
        <v>5339</v>
      </c>
      <c r="G15376" s="4">
        <f>IFERROR(__xludf.DUMMYFUNCTION("""COMPUTED_VALUE"""),44.0)</f>
        <v>44</v>
      </c>
      <c r="H15376" s="4"/>
      <c r="I15376" s="4"/>
    </row>
    <row r="15377">
      <c r="A15377" s="4" t="str">
        <f>IFERROR(__xludf.DUMMYFUNCTION("""COMPUTED_VALUE"""),"cas_hmw")</f>
        <v>cas_hmw</v>
      </c>
      <c r="B15377" s="5">
        <f>IFERROR(__xludf.DUMMYFUNCTION("""COMPUTED_VALUE"""),44729.0)</f>
        <v>44729</v>
      </c>
      <c r="C15377" s="6">
        <f>IFERROR(__xludf.DUMMYFUNCTION("""COMPUTED_VALUE"""),0.32436342592700385)</f>
        <v>0.3243634259</v>
      </c>
      <c r="D15377" s="4">
        <f>IFERROR(__xludf.DUMMYFUNCTION("""COMPUTED_VALUE"""),12.701091)</f>
        <v>12.701091</v>
      </c>
      <c r="E15377" s="4">
        <f>IFERROR(__xludf.DUMMYFUNCTION("""COMPUTED_VALUE"""),79.969)</f>
        <v>79.969</v>
      </c>
      <c r="F15377" s="4">
        <f>IFERROR(__xludf.DUMMYFUNCTION("""COMPUTED_VALUE"""),2846.0)</f>
        <v>2846</v>
      </c>
      <c r="G15377" s="4">
        <f>IFERROR(__xludf.DUMMYFUNCTION("""COMPUTED_VALUE"""),26.0)</f>
        <v>26</v>
      </c>
      <c r="H15377" s="4"/>
      <c r="I15377" s="4"/>
    </row>
    <row r="15378">
      <c r="A15378" s="4" t="str">
        <f>IFERROR(__xludf.DUMMYFUNCTION("""COMPUTED_VALUE"""),"cas_hmw")</f>
        <v>cas_hmw</v>
      </c>
      <c r="B15378" s="5">
        <f>IFERROR(__xludf.DUMMYFUNCTION("""COMPUTED_VALUE"""),44729.0)</f>
        <v>44729</v>
      </c>
      <c r="C15378" s="6">
        <f>IFERROR(__xludf.DUMMYFUNCTION("""COMPUTED_VALUE"""),0.3243750000001455)</f>
        <v>0.324375</v>
      </c>
      <c r="D15378" s="4">
        <f>IFERROR(__xludf.DUMMYFUNCTION("""COMPUTED_VALUE"""),12.701091)</f>
        <v>12.701091</v>
      </c>
      <c r="E15378" s="4">
        <f>IFERROR(__xludf.DUMMYFUNCTION("""COMPUTED_VALUE"""),79.969)</f>
        <v>79.969</v>
      </c>
      <c r="F15378" s="4">
        <f>IFERROR(__xludf.DUMMYFUNCTION("""COMPUTED_VALUE"""),2846.0)</f>
        <v>2846</v>
      </c>
      <c r="G15378" s="4">
        <f>IFERROR(__xludf.DUMMYFUNCTION("""COMPUTED_VALUE"""),26.0)</f>
        <v>26</v>
      </c>
      <c r="H15378" s="4"/>
      <c r="I15378" s="4"/>
    </row>
    <row r="15379">
      <c r="A15379" s="4" t="str">
        <f>IFERROR(__xludf.DUMMYFUNCTION("""COMPUTED_VALUE"""),"cas_hmw")</f>
        <v>cas_hmw</v>
      </c>
      <c r="B15379" s="5">
        <f>IFERROR(__xludf.DUMMYFUNCTION("""COMPUTED_VALUE"""),44729.0)</f>
        <v>44729</v>
      </c>
      <c r="C15379" s="6">
        <f>IFERROR(__xludf.DUMMYFUNCTION("""COMPUTED_VALUE"""),0.3243865740732872)</f>
        <v>0.3243865741</v>
      </c>
      <c r="D15379" s="4">
        <f>IFERROR(__xludf.DUMMYFUNCTION("""COMPUTED_VALUE"""),12.701091)</f>
        <v>12.701091</v>
      </c>
      <c r="E15379" s="4">
        <f>IFERROR(__xludf.DUMMYFUNCTION("""COMPUTED_VALUE"""),79.969)</f>
        <v>79.969</v>
      </c>
      <c r="F15379" s="4">
        <f>IFERROR(__xludf.DUMMYFUNCTION("""COMPUTED_VALUE"""),2846.0)</f>
        <v>2846</v>
      </c>
      <c r="G15379" s="4">
        <f>IFERROR(__xludf.DUMMYFUNCTION("""COMPUTED_VALUE"""),26.0)</f>
        <v>26</v>
      </c>
      <c r="H15379" s="4"/>
      <c r="I15379" s="4"/>
    </row>
    <row r="15380">
      <c r="A15380" s="4" t="str">
        <f>IFERROR(__xludf.DUMMYFUNCTION("""COMPUTED_VALUE"""),"cas_hmw")</f>
        <v>cas_hmw</v>
      </c>
      <c r="B15380" s="5">
        <f>IFERROR(__xludf.DUMMYFUNCTION("""COMPUTED_VALUE"""),44729.0)</f>
        <v>44729</v>
      </c>
      <c r="C15380" s="6">
        <f>IFERROR(__xludf.DUMMYFUNCTION("""COMPUTED_VALUE"""),0.3246296296310902)</f>
        <v>0.3246296296</v>
      </c>
      <c r="D15380" s="4">
        <f>IFERROR(__xludf.DUMMYFUNCTION("""COMPUTED_VALUE"""),12.702264)</f>
        <v>12.702264</v>
      </c>
      <c r="E15380" s="4">
        <f>IFERROR(__xludf.DUMMYFUNCTION("""COMPUTED_VALUE"""),79.970134)</f>
        <v>79.970134</v>
      </c>
      <c r="F15380" s="4">
        <f>IFERROR(__xludf.DUMMYFUNCTION("""COMPUTED_VALUE"""),2846.0)</f>
        <v>2846</v>
      </c>
      <c r="G15380" s="4">
        <f>IFERROR(__xludf.DUMMYFUNCTION("""COMPUTED_VALUE"""),40.0)</f>
        <v>40</v>
      </c>
      <c r="H15380" s="4"/>
      <c r="I15380" s="4"/>
    </row>
    <row r="15381">
      <c r="A15381" s="4" t="str">
        <f>IFERROR(__xludf.DUMMYFUNCTION("""COMPUTED_VALUE"""),"cas_hmw")</f>
        <v>cas_hmw</v>
      </c>
      <c r="B15381" s="5">
        <f>IFERROR(__xludf.DUMMYFUNCTION("""COMPUTED_VALUE"""),44729.0)</f>
        <v>44729</v>
      </c>
      <c r="C15381" s="6">
        <f>IFERROR(__xludf.DUMMYFUNCTION("""COMPUTED_VALUE"""),0.3254282407397113)</f>
        <v>0.3254282407</v>
      </c>
      <c r="D15381" s="4">
        <f>IFERROR(__xludf.DUMMYFUNCTION("""COMPUTED_VALUE"""),13.007162)</f>
        <v>13.007162</v>
      </c>
      <c r="E15381" s="4">
        <f>IFERROR(__xludf.DUMMYFUNCTION("""COMPUTED_VALUE"""),80.204798)</f>
        <v>80.204798</v>
      </c>
      <c r="F15381" s="4">
        <f>IFERROR(__xludf.DUMMYFUNCTION("""COMPUTED_VALUE"""),5339.0)</f>
        <v>5339</v>
      </c>
      <c r="G15381" s="4">
        <f>IFERROR(__xludf.DUMMYFUNCTION("""COMPUTED_VALUE"""),46.0)</f>
        <v>46</v>
      </c>
      <c r="H15381" s="4"/>
      <c r="I15381" s="4"/>
    </row>
    <row r="15382">
      <c r="A15382" s="4" t="str">
        <f>IFERROR(__xludf.DUMMYFUNCTION("""COMPUTED_VALUE"""),"cas_hmw")</f>
        <v>cas_hmw</v>
      </c>
      <c r="B15382" s="5">
        <f>IFERROR(__xludf.DUMMYFUNCTION("""COMPUTED_VALUE"""),44729.0)</f>
        <v>44729</v>
      </c>
      <c r="C15382" s="6">
        <f>IFERROR(__xludf.DUMMYFUNCTION("""COMPUTED_VALUE"""),0.32578703703620704)</f>
        <v>0.325787037</v>
      </c>
      <c r="D15382" s="4">
        <f>IFERROR(__xludf.DUMMYFUNCTION("""COMPUTED_VALUE"""),13.006612)</f>
        <v>13.006612</v>
      </c>
      <c r="E15382" s="4">
        <f>IFERROR(__xludf.DUMMYFUNCTION("""COMPUTED_VALUE"""),80.243018)</f>
        <v>80.243018</v>
      </c>
      <c r="F15382" s="4">
        <f>IFERROR(__xludf.DUMMYFUNCTION("""COMPUTED_VALUE"""),805.0)</f>
        <v>805</v>
      </c>
      <c r="G15382" s="4">
        <f>IFERROR(__xludf.DUMMYFUNCTION("""COMPUTED_VALUE"""),33.0)</f>
        <v>33</v>
      </c>
      <c r="H15382" s="4"/>
      <c r="I15382" s="4"/>
    </row>
    <row r="15383">
      <c r="A15383" s="4" t="str">
        <f>IFERROR(__xludf.DUMMYFUNCTION("""COMPUTED_VALUE"""),"cas_hmw")</f>
        <v>cas_hmw</v>
      </c>
      <c r="B15383" s="5">
        <f>IFERROR(__xludf.DUMMYFUNCTION("""COMPUTED_VALUE"""),44729.0)</f>
        <v>44729</v>
      </c>
      <c r="C15383" s="6">
        <f>IFERROR(__xludf.DUMMYFUNCTION("""COMPUTED_VALUE"""),0.32589120370539604)</f>
        <v>0.3258912037</v>
      </c>
      <c r="D15383" s="4">
        <f>IFERROR(__xludf.DUMMYFUNCTION("""COMPUTED_VALUE"""),13.004708)</f>
        <v>13.004708</v>
      </c>
      <c r="E15383" s="4">
        <f>IFERROR(__xludf.DUMMYFUNCTION("""COMPUTED_VALUE"""),80.201295)</f>
        <v>80.201295</v>
      </c>
      <c r="F15383" s="4">
        <f>IFERROR(__xludf.DUMMYFUNCTION("""COMPUTED_VALUE"""),5339.0)</f>
        <v>5339</v>
      </c>
      <c r="G15383" s="4">
        <f>IFERROR(__xludf.DUMMYFUNCTION("""COMPUTED_VALUE"""),53.0)</f>
        <v>53</v>
      </c>
      <c r="H15383" s="4"/>
      <c r="I15383" s="4"/>
    </row>
    <row r="15384">
      <c r="A15384" s="4" t="str">
        <f>IFERROR(__xludf.DUMMYFUNCTION("""COMPUTED_VALUE"""),"cas_hmw")</f>
        <v>cas_hmw</v>
      </c>
      <c r="B15384" s="5">
        <f>IFERROR(__xludf.DUMMYFUNCTION("""COMPUTED_VALUE"""),44729.0)</f>
        <v>44729</v>
      </c>
      <c r="C15384" s="6">
        <f>IFERROR(__xludf.DUMMYFUNCTION("""COMPUTED_VALUE"""),0.32631944444437977)</f>
        <v>0.3263194444</v>
      </c>
      <c r="D15384" s="4">
        <f>IFERROR(__xludf.DUMMYFUNCTION("""COMPUTED_VALUE"""),13.006922)</f>
        <v>13.006922</v>
      </c>
      <c r="E15384" s="4">
        <f>IFERROR(__xludf.DUMMYFUNCTION("""COMPUTED_VALUE"""),80.239668)</f>
        <v>80.239668</v>
      </c>
      <c r="F15384" s="4">
        <f>IFERROR(__xludf.DUMMYFUNCTION("""COMPUTED_VALUE"""),805.0)</f>
        <v>805</v>
      </c>
      <c r="G15384" s="4">
        <f>IFERROR(__xludf.DUMMYFUNCTION("""COMPUTED_VALUE"""),41.0)</f>
        <v>41</v>
      </c>
      <c r="H15384" s="4"/>
      <c r="I15384" s="4"/>
    </row>
    <row r="15385">
      <c r="A15385" s="4" t="str">
        <f>IFERROR(__xludf.DUMMYFUNCTION("""COMPUTED_VALUE"""),"cas_hmw")</f>
        <v>cas_hmw</v>
      </c>
      <c r="B15385" s="5">
        <f>IFERROR(__xludf.DUMMYFUNCTION("""COMPUTED_VALUE"""),44729.0)</f>
        <v>44729</v>
      </c>
      <c r="C15385" s="6">
        <f>IFERROR(__xludf.DUMMYFUNCTION("""COMPUTED_VALUE"""),0.3268634259256942)</f>
        <v>0.3268634259</v>
      </c>
      <c r="D15385" s="4">
        <f>IFERROR(__xludf.DUMMYFUNCTION("""COMPUTED_VALUE"""),13.007898)</f>
        <v>13.007898</v>
      </c>
      <c r="E15385" s="4">
        <f>IFERROR(__xludf.DUMMYFUNCTION("""COMPUTED_VALUE"""),80.234918)</f>
        <v>80.234918</v>
      </c>
      <c r="F15385" s="4">
        <f>IFERROR(__xludf.DUMMYFUNCTION("""COMPUTED_VALUE"""),805.0)</f>
        <v>805</v>
      </c>
      <c r="G15385" s="4">
        <f>IFERROR(__xludf.DUMMYFUNCTION("""COMPUTED_VALUE"""),21.0)</f>
        <v>21</v>
      </c>
      <c r="H15385" s="4"/>
      <c r="I15385" s="4"/>
    </row>
    <row r="15386">
      <c r="A15386" s="4" t="str">
        <f>IFERROR(__xludf.DUMMYFUNCTION("""COMPUTED_VALUE"""),"cas_hmw")</f>
        <v>cas_hmw</v>
      </c>
      <c r="B15386" s="5">
        <f>IFERROR(__xludf.DUMMYFUNCTION("""COMPUTED_VALUE"""),44729.0)</f>
        <v>44729</v>
      </c>
      <c r="C15386" s="6">
        <f>IFERROR(__xludf.DUMMYFUNCTION("""COMPUTED_VALUE"""),0.32694444444496185)</f>
        <v>0.3269444444</v>
      </c>
      <c r="D15386" s="4">
        <f>IFERROR(__xludf.DUMMYFUNCTION("""COMPUTED_VALUE"""),13.008068)</f>
        <v>13.008068</v>
      </c>
      <c r="E15386" s="4">
        <f>IFERROR(__xludf.DUMMYFUNCTION("""COMPUTED_VALUE"""),80.234128)</f>
        <v>80.234128</v>
      </c>
      <c r="F15386" s="4">
        <f>IFERROR(__xludf.DUMMYFUNCTION("""COMPUTED_VALUE"""),805.0)</f>
        <v>805</v>
      </c>
      <c r="G15386" s="4">
        <f>IFERROR(__xludf.DUMMYFUNCTION("""COMPUTED_VALUE"""),36.0)</f>
        <v>36</v>
      </c>
      <c r="H15386" s="4"/>
      <c r="I15386" s="4"/>
    </row>
    <row r="15387">
      <c r="A15387" s="4" t="str">
        <f>IFERROR(__xludf.DUMMYFUNCTION("""COMPUTED_VALUE"""),"cas_hmw")</f>
        <v>cas_hmw</v>
      </c>
      <c r="B15387" s="5">
        <f>IFERROR(__xludf.DUMMYFUNCTION("""COMPUTED_VALUE"""),44729.0)</f>
        <v>44729</v>
      </c>
      <c r="C15387" s="6">
        <f>IFERROR(__xludf.DUMMYFUNCTION("""COMPUTED_VALUE"""),0.3270254629642295)</f>
        <v>0.327025463</v>
      </c>
      <c r="D15387" s="4">
        <f>IFERROR(__xludf.DUMMYFUNCTION("""COMPUTED_VALUE"""),13.001223)</f>
        <v>13.001223</v>
      </c>
      <c r="E15387" s="4">
        <f>IFERROR(__xludf.DUMMYFUNCTION("""COMPUTED_VALUE"""),80.195809)</f>
        <v>80.195809</v>
      </c>
      <c r="F15387" s="4">
        <f>IFERROR(__xludf.DUMMYFUNCTION("""COMPUTED_VALUE"""),5339.0)</f>
        <v>5339</v>
      </c>
      <c r="G15387" s="4">
        <f>IFERROR(__xludf.DUMMYFUNCTION("""COMPUTED_VALUE"""),33.0)</f>
        <v>33</v>
      </c>
      <c r="H15387" s="4"/>
      <c r="I15387" s="4"/>
    </row>
    <row r="15388">
      <c r="A15388" s="4" t="str">
        <f>IFERROR(__xludf.DUMMYFUNCTION("""COMPUTED_VALUE"""),"cas_hmw")</f>
        <v>cas_hmw</v>
      </c>
      <c r="B15388" s="5">
        <f>IFERROR(__xludf.DUMMYFUNCTION("""COMPUTED_VALUE"""),44729.0)</f>
        <v>44729</v>
      </c>
      <c r="C15388" s="6">
        <f>IFERROR(__xludf.DUMMYFUNCTION("""COMPUTED_VALUE"""),0.3273958333338669)</f>
        <v>0.3273958333</v>
      </c>
      <c r="D15388" s="4">
        <f>IFERROR(__xludf.DUMMYFUNCTION("""COMPUTED_VALUE"""),12.999341)</f>
        <v>12.999341</v>
      </c>
      <c r="E15388" s="4">
        <f>IFERROR(__xludf.DUMMYFUNCTION("""COMPUTED_VALUE"""),80.193394)</f>
        <v>80.193394</v>
      </c>
      <c r="F15388" s="4">
        <f>IFERROR(__xludf.DUMMYFUNCTION("""COMPUTED_VALUE"""),5339.0)</f>
        <v>5339</v>
      </c>
      <c r="G15388" s="4">
        <f>IFERROR(__xludf.DUMMYFUNCTION("""COMPUTED_VALUE"""),41.0)</f>
        <v>41</v>
      </c>
      <c r="H15388" s="4"/>
      <c r="I15388" s="4"/>
    </row>
    <row r="15389">
      <c r="A15389" s="4" t="str">
        <f>IFERROR(__xludf.DUMMYFUNCTION("""COMPUTED_VALUE"""),"cas_hmw")</f>
        <v>cas_hmw</v>
      </c>
      <c r="B15389" s="5">
        <f>IFERROR(__xludf.DUMMYFUNCTION("""COMPUTED_VALUE"""),44729.0)</f>
        <v>44729</v>
      </c>
      <c r="C15389" s="6">
        <f>IFERROR(__xludf.DUMMYFUNCTION("""COMPUTED_VALUE"""),0.32741898148015025)</f>
        <v>0.3274189815</v>
      </c>
      <c r="D15389" s="4">
        <f>IFERROR(__xludf.DUMMYFUNCTION("""COMPUTED_VALUE"""),12.999341)</f>
        <v>12.999341</v>
      </c>
      <c r="E15389" s="4">
        <f>IFERROR(__xludf.DUMMYFUNCTION("""COMPUTED_VALUE"""),80.193394)</f>
        <v>80.193394</v>
      </c>
      <c r="F15389" s="4">
        <f>IFERROR(__xludf.DUMMYFUNCTION("""COMPUTED_VALUE"""),5339.0)</f>
        <v>5339</v>
      </c>
      <c r="G15389" s="4">
        <f>IFERROR(__xludf.DUMMYFUNCTION("""COMPUTED_VALUE"""),41.0)</f>
        <v>41</v>
      </c>
      <c r="H15389" s="4"/>
      <c r="I15389" s="4"/>
    </row>
    <row r="15390">
      <c r="A15390" s="4" t="str">
        <f>IFERROR(__xludf.DUMMYFUNCTION("""COMPUTED_VALUE"""),"cas_hmw")</f>
        <v>cas_hmw</v>
      </c>
      <c r="B15390" s="5">
        <f>IFERROR(__xludf.DUMMYFUNCTION("""COMPUTED_VALUE"""),44729.0)</f>
        <v>44729</v>
      </c>
      <c r="C15390" s="6">
        <f>IFERROR(__xludf.DUMMYFUNCTION("""COMPUTED_VALUE"""),0.32785879629591363)</f>
        <v>0.3278587963</v>
      </c>
      <c r="D15390" s="4">
        <f>IFERROR(__xludf.DUMMYFUNCTION("""COMPUTED_VALUE"""),12.998285)</f>
        <v>12.998285</v>
      </c>
      <c r="E15390" s="4">
        <f>IFERROR(__xludf.DUMMYFUNCTION("""COMPUTED_VALUE"""),80.192056)</f>
        <v>80.192056</v>
      </c>
      <c r="F15390" s="4">
        <f>IFERROR(__xludf.DUMMYFUNCTION("""COMPUTED_VALUE"""),5339.0)</f>
        <v>5339</v>
      </c>
      <c r="G15390" s="4">
        <f>IFERROR(__xludf.DUMMYFUNCTION("""COMPUTED_VALUE"""),42.0)</f>
        <v>42</v>
      </c>
      <c r="H15390" s="4"/>
      <c r="I15390" s="4"/>
    </row>
    <row r="15391">
      <c r="A15391" s="4" t="str">
        <f>IFERROR(__xludf.DUMMYFUNCTION("""COMPUTED_VALUE"""),"cas_hmw")</f>
        <v>cas_hmw</v>
      </c>
      <c r="B15391" s="5">
        <f>IFERROR(__xludf.DUMMYFUNCTION("""COMPUTED_VALUE"""),44729.0)</f>
        <v>44729</v>
      </c>
      <c r="C15391" s="6">
        <f>IFERROR(__xludf.DUMMYFUNCTION("""COMPUTED_VALUE"""),0.32833333333474)</f>
        <v>0.3283333333</v>
      </c>
      <c r="D15391" s="4">
        <f>IFERROR(__xludf.DUMMYFUNCTION("""COMPUTED_VALUE"""),13.011714)</f>
        <v>13.011714</v>
      </c>
      <c r="E15391" s="4">
        <f>IFERROR(__xludf.DUMMYFUNCTION("""COMPUTED_VALUE"""),80.219491)</f>
        <v>80.219491</v>
      </c>
      <c r="F15391" s="4">
        <f>IFERROR(__xludf.DUMMYFUNCTION("""COMPUTED_VALUE"""),805.0)</f>
        <v>805</v>
      </c>
      <c r="G15391" s="4">
        <f>IFERROR(__xludf.DUMMYFUNCTION("""COMPUTED_VALUE"""),60.0)</f>
        <v>60</v>
      </c>
      <c r="H15391" s="4"/>
      <c r="I15391" s="4"/>
    </row>
    <row r="15392">
      <c r="A15392" s="4" t="str">
        <f>IFERROR(__xludf.DUMMYFUNCTION("""COMPUTED_VALUE"""),"cas_hmw")</f>
        <v>cas_hmw</v>
      </c>
      <c r="B15392" s="5">
        <f>IFERROR(__xludf.DUMMYFUNCTION("""COMPUTED_VALUE"""),44729.0)</f>
        <v>44729</v>
      </c>
      <c r="C15392" s="6">
        <f>IFERROR(__xludf.DUMMYFUNCTION("""COMPUTED_VALUE"""),0.32843750000029104)</f>
        <v>0.3284375</v>
      </c>
      <c r="D15392" s="4">
        <f>IFERROR(__xludf.DUMMYFUNCTION("""COMPUTED_VALUE"""),13.011268)</f>
        <v>13.011268</v>
      </c>
      <c r="E15392" s="4">
        <f>IFERROR(__xludf.DUMMYFUNCTION("""COMPUTED_VALUE"""),80.218128)</f>
        <v>80.218128</v>
      </c>
      <c r="F15392" s="4">
        <f>IFERROR(__xludf.DUMMYFUNCTION("""COMPUTED_VALUE"""),805.0)</f>
        <v>805</v>
      </c>
      <c r="G15392" s="4">
        <f>IFERROR(__xludf.DUMMYFUNCTION("""COMPUTED_VALUE"""),47.0)</f>
        <v>47</v>
      </c>
      <c r="H15392" s="4"/>
      <c r="I15392" s="4"/>
    </row>
    <row r="15393">
      <c r="A15393" s="4" t="str">
        <f>IFERROR(__xludf.DUMMYFUNCTION("""COMPUTED_VALUE"""),"cas_hmw")</f>
        <v>cas_hmw</v>
      </c>
      <c r="B15393" s="5">
        <f>IFERROR(__xludf.DUMMYFUNCTION("""COMPUTED_VALUE"""),44729.0)</f>
        <v>44729</v>
      </c>
      <c r="C15393" s="6">
        <f>IFERROR(__xludf.DUMMYFUNCTION("""COMPUTED_VALUE"""),0.32855324073898373)</f>
        <v>0.3285532407</v>
      </c>
      <c r="D15393" s="4">
        <f>IFERROR(__xludf.DUMMYFUNCTION("""COMPUTED_VALUE"""),13.010782)</f>
        <v>13.010782</v>
      </c>
      <c r="E15393" s="4">
        <f>IFERROR(__xludf.DUMMYFUNCTION("""COMPUTED_VALUE"""),80.216983)</f>
        <v>80.216983</v>
      </c>
      <c r="F15393" s="4">
        <f>IFERROR(__xludf.DUMMYFUNCTION("""COMPUTED_VALUE"""),805.0)</f>
        <v>805</v>
      </c>
      <c r="G15393" s="4">
        <f>IFERROR(__xludf.DUMMYFUNCTION("""COMPUTED_VALUE"""),49.0)</f>
        <v>49</v>
      </c>
      <c r="H15393" s="4"/>
      <c r="I15393" s="4"/>
    </row>
    <row r="15394">
      <c r="A15394" s="4" t="str">
        <f>IFERROR(__xludf.DUMMYFUNCTION("""COMPUTED_VALUE"""),"cas_hmw")</f>
        <v>cas_hmw</v>
      </c>
      <c r="B15394" s="5">
        <f>IFERROR(__xludf.DUMMYFUNCTION("""COMPUTED_VALUE"""),44729.0)</f>
        <v>44729</v>
      </c>
      <c r="C15394" s="6">
        <f>IFERROR(__xludf.DUMMYFUNCTION("""COMPUTED_VALUE"""),0.3295023148129985)</f>
        <v>0.3295023148</v>
      </c>
      <c r="D15394" s="4">
        <f>IFERROR(__xludf.DUMMYFUNCTION("""COMPUTED_VALUE"""),13.008117)</f>
        <v>13.008117</v>
      </c>
      <c r="E15394" s="4">
        <f>IFERROR(__xludf.DUMMYFUNCTION("""COMPUTED_VALUE"""),80.209266)</f>
        <v>80.209266</v>
      </c>
      <c r="F15394" s="4">
        <f>IFERROR(__xludf.DUMMYFUNCTION("""COMPUTED_VALUE"""),805.0)</f>
        <v>805</v>
      </c>
      <c r="G15394" s="4">
        <f>IFERROR(__xludf.DUMMYFUNCTION("""COMPUTED_VALUE"""),28.0)</f>
        <v>28</v>
      </c>
      <c r="H15394" s="4"/>
      <c r="I15394" s="4"/>
    </row>
    <row r="15395">
      <c r="A15395" s="4" t="str">
        <f>IFERROR(__xludf.DUMMYFUNCTION("""COMPUTED_VALUE"""),"cas_hmw")</f>
        <v>cas_hmw</v>
      </c>
      <c r="B15395" s="5">
        <f>IFERROR(__xludf.DUMMYFUNCTION("""COMPUTED_VALUE"""),44729.0)</f>
        <v>44729</v>
      </c>
      <c r="C15395" s="6">
        <f>IFERROR(__xludf.DUMMYFUNCTION("""COMPUTED_VALUE"""),0.32969907407459687)</f>
        <v>0.3296990741</v>
      </c>
      <c r="D15395" s="4">
        <f>IFERROR(__xludf.DUMMYFUNCTION("""COMPUTED_VALUE"""),13.007631)</f>
        <v>13.007631</v>
      </c>
      <c r="E15395" s="4">
        <f>IFERROR(__xludf.DUMMYFUNCTION("""COMPUTED_VALUE"""),80.206469)</f>
        <v>80.206469</v>
      </c>
      <c r="F15395" s="4">
        <f>IFERROR(__xludf.DUMMYFUNCTION("""COMPUTED_VALUE"""),805.0)</f>
        <v>805</v>
      </c>
      <c r="G15395" s="4">
        <f>IFERROR(__xludf.DUMMYFUNCTION("""COMPUTED_VALUE"""),44.0)</f>
        <v>44</v>
      </c>
      <c r="H15395" s="4"/>
      <c r="I15395" s="4"/>
    </row>
    <row r="15396">
      <c r="A15396" s="4" t="str">
        <f>IFERROR(__xludf.DUMMYFUNCTION("""COMPUTED_VALUE"""),"cas_hmw")</f>
        <v>cas_hmw</v>
      </c>
      <c r="B15396" s="5">
        <f>IFERROR(__xludf.DUMMYFUNCTION("""COMPUTED_VALUE"""),44729.0)</f>
        <v>44729</v>
      </c>
      <c r="C15396" s="6">
        <f>IFERROR(__xludf.DUMMYFUNCTION("""COMPUTED_VALUE"""),0.3297569444439432)</f>
        <v>0.3297569444</v>
      </c>
      <c r="D15396" s="4">
        <f>IFERROR(__xludf.DUMMYFUNCTION("""COMPUTED_VALUE"""),12.989787)</f>
        <v>12.989787</v>
      </c>
      <c r="E15396" s="4">
        <f>IFERROR(__xludf.DUMMYFUNCTION("""COMPUTED_VALUE"""),80.179382)</f>
        <v>80.179382</v>
      </c>
      <c r="F15396" s="4">
        <f>IFERROR(__xludf.DUMMYFUNCTION("""COMPUTED_VALUE"""),5339.0)</f>
        <v>5339</v>
      </c>
      <c r="G15396" s="4">
        <f>IFERROR(__xludf.DUMMYFUNCTION("""COMPUTED_VALUE"""),0.0)</f>
        <v>0</v>
      </c>
      <c r="H15396" s="4"/>
      <c r="I15396" s="4"/>
    </row>
    <row r="15397">
      <c r="A15397" s="4" t="str">
        <f>IFERROR(__xludf.DUMMYFUNCTION("""COMPUTED_VALUE"""),"cas_hmw")</f>
        <v>cas_hmw</v>
      </c>
      <c r="B15397" s="5">
        <f>IFERROR(__xludf.DUMMYFUNCTION("""COMPUTED_VALUE"""),44729.0)</f>
        <v>44729</v>
      </c>
      <c r="C15397" s="6">
        <f>IFERROR(__xludf.DUMMYFUNCTION("""COMPUTED_VALUE"""),0.3298032407401479)</f>
        <v>0.3298032407</v>
      </c>
      <c r="D15397" s="4">
        <f>IFERROR(__xludf.DUMMYFUNCTION("""COMPUTED_VALUE"""),12.989482)</f>
        <v>12.989482</v>
      </c>
      <c r="E15397" s="4">
        <f>IFERROR(__xludf.DUMMYFUNCTION("""COMPUTED_VALUE"""),80.179015)</f>
        <v>80.179015</v>
      </c>
      <c r="F15397" s="4">
        <f>IFERROR(__xludf.DUMMYFUNCTION("""COMPUTED_VALUE"""),5339.0)</f>
        <v>5339</v>
      </c>
      <c r="G15397" s="4">
        <f>IFERROR(__xludf.DUMMYFUNCTION("""COMPUTED_VALUE"""),26.0)</f>
        <v>26</v>
      </c>
      <c r="H15397" s="4"/>
      <c r="I15397" s="4"/>
    </row>
    <row r="15398">
      <c r="A15398" s="4" t="str">
        <f>IFERROR(__xludf.DUMMYFUNCTION("""COMPUTED_VALUE"""),"cas_hmw")</f>
        <v>cas_hmw</v>
      </c>
      <c r="B15398" s="5">
        <f>IFERROR(__xludf.DUMMYFUNCTION("""COMPUTED_VALUE"""),44729.0)</f>
        <v>44729</v>
      </c>
      <c r="C15398" s="6">
        <f>IFERROR(__xludf.DUMMYFUNCTION("""COMPUTED_VALUE"""),0.33020833333284827)</f>
        <v>0.3302083333</v>
      </c>
      <c r="D15398" s="4">
        <f>IFERROR(__xludf.DUMMYFUNCTION("""COMPUTED_VALUE"""),12.987832)</f>
        <v>12.987832</v>
      </c>
      <c r="E15398" s="4">
        <f>IFERROR(__xludf.DUMMYFUNCTION("""COMPUTED_VALUE"""),80.176758)</f>
        <v>80.176758</v>
      </c>
      <c r="F15398" s="4">
        <f>IFERROR(__xludf.DUMMYFUNCTION("""COMPUTED_VALUE"""),5339.0)</f>
        <v>5339</v>
      </c>
      <c r="G15398" s="4">
        <f>IFERROR(__xludf.DUMMYFUNCTION("""COMPUTED_VALUE"""),40.0)</f>
        <v>40</v>
      </c>
      <c r="H15398" s="4"/>
      <c r="I15398" s="4"/>
    </row>
    <row r="15399">
      <c r="A15399" s="4" t="str">
        <f>IFERROR(__xludf.DUMMYFUNCTION("""COMPUTED_VALUE"""),"cas_hmw")</f>
        <v>cas_hmw</v>
      </c>
      <c r="B15399" s="5">
        <f>IFERROR(__xludf.DUMMYFUNCTION("""COMPUTED_VALUE"""),44729.0)</f>
        <v>44729</v>
      </c>
      <c r="C15399" s="6">
        <f>IFERROR(__xludf.DUMMYFUNCTION("""COMPUTED_VALUE"""),0.33028935185211594)</f>
        <v>0.3302893519</v>
      </c>
      <c r="D15399" s="4">
        <f>IFERROR(__xludf.DUMMYFUNCTION("""COMPUTED_VALUE"""),13.007024)</f>
        <v>13.007024</v>
      </c>
      <c r="E15399" s="4">
        <f>IFERROR(__xludf.DUMMYFUNCTION("""COMPUTED_VALUE"""),80.204528)</f>
        <v>80.204528</v>
      </c>
      <c r="F15399" s="4">
        <f>IFERROR(__xludf.DUMMYFUNCTION("""COMPUTED_VALUE"""),805.0)</f>
        <v>805</v>
      </c>
      <c r="G15399" s="4">
        <f>IFERROR(__xludf.DUMMYFUNCTION("""COMPUTED_VALUE"""),40.0)</f>
        <v>40</v>
      </c>
      <c r="H15399" s="4"/>
      <c r="I15399" s="4"/>
    </row>
    <row r="15400">
      <c r="A15400" s="4" t="str">
        <f>IFERROR(__xludf.DUMMYFUNCTION("""COMPUTED_VALUE"""),"cas_hmw")</f>
        <v>cas_hmw</v>
      </c>
      <c r="B15400" s="5">
        <f>IFERROR(__xludf.DUMMYFUNCTION("""COMPUTED_VALUE"""),44729.0)</f>
        <v>44729</v>
      </c>
      <c r="C15400" s="6">
        <f>IFERROR(__xludf.DUMMYFUNCTION("""COMPUTED_VALUE"""),0.3304861111100763)</f>
        <v>0.3304861111</v>
      </c>
      <c r="D15400" s="4">
        <f>IFERROR(__xludf.DUMMYFUNCTION("""COMPUTED_VALUE"""),13.005417)</f>
        <v>13.005417</v>
      </c>
      <c r="E15400" s="4">
        <f>IFERROR(__xludf.DUMMYFUNCTION("""COMPUTED_VALUE"""),80.201891)</f>
        <v>80.201891</v>
      </c>
      <c r="F15400" s="4">
        <f>IFERROR(__xludf.DUMMYFUNCTION("""COMPUTED_VALUE"""),805.0)</f>
        <v>805</v>
      </c>
      <c r="G15400" s="4">
        <f>IFERROR(__xludf.DUMMYFUNCTION("""COMPUTED_VALUE"""),42.0)</f>
        <v>42</v>
      </c>
      <c r="H15400" s="4"/>
      <c r="I15400" s="4"/>
    </row>
    <row r="15401">
      <c r="A15401" s="4" t="str">
        <f>IFERROR(__xludf.DUMMYFUNCTION("""COMPUTED_VALUE"""),"cas_hmw")</f>
        <v>cas_hmw</v>
      </c>
      <c r="B15401" s="5">
        <f>IFERROR(__xludf.DUMMYFUNCTION("""COMPUTED_VALUE"""),44729.0)</f>
        <v>44729</v>
      </c>
      <c r="C15401" s="6">
        <f>IFERROR(__xludf.DUMMYFUNCTION("""COMPUTED_VALUE"""),0.33064814814861165)</f>
        <v>0.3306481481</v>
      </c>
      <c r="D15401" s="4">
        <f>IFERROR(__xludf.DUMMYFUNCTION("""COMPUTED_VALUE"""),12.985225)</f>
        <v>12.985225</v>
      </c>
      <c r="E15401" s="4">
        <f>IFERROR(__xludf.DUMMYFUNCTION("""COMPUTED_VALUE"""),80.172963)</f>
        <v>80.172963</v>
      </c>
      <c r="F15401" s="4">
        <f>IFERROR(__xludf.DUMMYFUNCTION("""COMPUTED_VALUE"""),5339.0)</f>
        <v>5339</v>
      </c>
      <c r="G15401" s="4">
        <f>IFERROR(__xludf.DUMMYFUNCTION("""COMPUTED_VALUE"""),47.0)</f>
        <v>47</v>
      </c>
      <c r="H15401" s="4"/>
      <c r="I15401" s="4"/>
    </row>
    <row r="15402">
      <c r="A15402" s="4" t="str">
        <f>IFERROR(__xludf.DUMMYFUNCTION("""COMPUTED_VALUE"""),"cas_hmw")</f>
        <v>cas_hmw</v>
      </c>
      <c r="B15402" s="5">
        <f>IFERROR(__xludf.DUMMYFUNCTION("""COMPUTED_VALUE"""),44729.0)</f>
        <v>44729</v>
      </c>
      <c r="C15402" s="6">
        <f>IFERROR(__xludf.DUMMYFUNCTION("""COMPUTED_VALUE"""),0.3310763888875954)</f>
        <v>0.3310763889</v>
      </c>
      <c r="D15402" s="4">
        <f>IFERROR(__xludf.DUMMYFUNCTION("""COMPUTED_VALUE"""),13.0018)</f>
        <v>13.0018</v>
      </c>
      <c r="E15402" s="4">
        <f>IFERROR(__xludf.DUMMYFUNCTION("""COMPUTED_VALUE"""),80.199807)</f>
        <v>80.199807</v>
      </c>
      <c r="F15402" s="4">
        <f>IFERROR(__xludf.DUMMYFUNCTION("""COMPUTED_VALUE"""),805.0)</f>
        <v>805</v>
      </c>
      <c r="G15402" s="4">
        <f>IFERROR(__xludf.DUMMYFUNCTION("""COMPUTED_VALUE"""),46.0)</f>
        <v>46</v>
      </c>
      <c r="H15402" s="4"/>
      <c r="I15402" s="4"/>
    </row>
    <row r="15403">
      <c r="A15403" s="4" t="str">
        <f>IFERROR(__xludf.DUMMYFUNCTION("""COMPUTED_VALUE"""),"cas_hmw")</f>
        <v>cas_hmw</v>
      </c>
      <c r="B15403" s="5">
        <f>IFERROR(__xludf.DUMMYFUNCTION("""COMPUTED_VALUE"""),44729.0)</f>
        <v>44729</v>
      </c>
      <c r="C15403" s="6">
        <f>IFERROR(__xludf.DUMMYFUNCTION("""COMPUTED_VALUE"""),0.33115740740686306)</f>
        <v>0.3311574074</v>
      </c>
      <c r="D15403" s="4">
        <f>IFERROR(__xludf.DUMMYFUNCTION("""COMPUTED_VALUE"""),13.0018)</f>
        <v>13.0018</v>
      </c>
      <c r="E15403" s="4">
        <f>IFERROR(__xludf.DUMMYFUNCTION("""COMPUTED_VALUE"""),80.199807)</f>
        <v>80.199807</v>
      </c>
      <c r="F15403" s="4">
        <f>IFERROR(__xludf.DUMMYFUNCTION("""COMPUTED_VALUE"""),805.0)</f>
        <v>805</v>
      </c>
      <c r="G15403" s="4">
        <f>IFERROR(__xludf.DUMMYFUNCTION("""COMPUTED_VALUE"""),46.0)</f>
        <v>46</v>
      </c>
      <c r="H15403" s="4"/>
      <c r="I15403" s="4"/>
    </row>
    <row r="15404">
      <c r="A15404" s="4" t="str">
        <f>IFERROR(__xludf.DUMMYFUNCTION("""COMPUTED_VALUE"""),"cas_hmw")</f>
        <v>cas_hmw</v>
      </c>
      <c r="B15404" s="5">
        <f>IFERROR(__xludf.DUMMYFUNCTION("""COMPUTED_VALUE"""),44729.0)</f>
        <v>44729</v>
      </c>
      <c r="C15404" s="6">
        <f>IFERROR(__xludf.DUMMYFUNCTION("""COMPUTED_VALUE"""),0.33116898148000473)</f>
        <v>0.3311689815</v>
      </c>
      <c r="D15404" s="4">
        <f>IFERROR(__xludf.DUMMYFUNCTION("""COMPUTED_VALUE"""),13.0018)</f>
        <v>13.0018</v>
      </c>
      <c r="E15404" s="4">
        <f>IFERROR(__xludf.DUMMYFUNCTION("""COMPUTED_VALUE"""),80.199807)</f>
        <v>80.199807</v>
      </c>
      <c r="F15404" s="4">
        <f>IFERROR(__xludf.DUMMYFUNCTION("""COMPUTED_VALUE"""),805.0)</f>
        <v>805</v>
      </c>
      <c r="G15404" s="4">
        <f>IFERROR(__xludf.DUMMYFUNCTION("""COMPUTED_VALUE"""),46.0)</f>
        <v>46</v>
      </c>
      <c r="H15404" s="4"/>
      <c r="I15404" s="4"/>
    </row>
    <row r="15405">
      <c r="A15405" s="4" t="str">
        <f>IFERROR(__xludf.DUMMYFUNCTION("""COMPUTED_VALUE"""),"cas_hmw")</f>
        <v>cas_hmw</v>
      </c>
      <c r="B15405" s="5">
        <f>IFERROR(__xludf.DUMMYFUNCTION("""COMPUTED_VALUE"""),44729.0)</f>
        <v>44729</v>
      </c>
      <c r="C15405" s="6">
        <f>IFERROR(__xludf.DUMMYFUNCTION("""COMPUTED_VALUE"""),0.3312152777762094)</f>
        <v>0.3312152778</v>
      </c>
      <c r="D15405" s="4">
        <f>IFERROR(__xludf.DUMMYFUNCTION("""COMPUTED_VALUE"""),13.001787)</f>
        <v>13.001787</v>
      </c>
      <c r="E15405" s="4">
        <f>IFERROR(__xludf.DUMMYFUNCTION("""COMPUTED_VALUE"""),80.198784)</f>
        <v>80.198784</v>
      </c>
      <c r="F15405" s="4">
        <f>IFERROR(__xludf.DUMMYFUNCTION("""COMPUTED_VALUE"""),805.0)</f>
        <v>805</v>
      </c>
      <c r="G15405" s="4">
        <f>IFERROR(__xludf.DUMMYFUNCTION("""COMPUTED_VALUE"""),38.0)</f>
        <v>38</v>
      </c>
      <c r="H15405" s="4"/>
      <c r="I15405" s="4"/>
    </row>
    <row r="15406">
      <c r="A15406" s="4" t="str">
        <f>IFERROR(__xludf.DUMMYFUNCTION("""COMPUTED_VALUE"""),"cas_hmw")</f>
        <v>cas_hmw</v>
      </c>
      <c r="B15406" s="5">
        <f>IFERROR(__xludf.DUMMYFUNCTION("""COMPUTED_VALUE"""),44729.0)</f>
        <v>44729</v>
      </c>
      <c r="C15406" s="6">
        <f>IFERROR(__xludf.DUMMYFUNCTION("""COMPUTED_VALUE"""),0.33122685185298906)</f>
        <v>0.3312268519</v>
      </c>
      <c r="D15406" s="4">
        <f>IFERROR(__xludf.DUMMYFUNCTION("""COMPUTED_VALUE"""),13.001787)</f>
        <v>13.001787</v>
      </c>
      <c r="E15406" s="4">
        <f>IFERROR(__xludf.DUMMYFUNCTION("""COMPUTED_VALUE"""),80.198784)</f>
        <v>80.198784</v>
      </c>
      <c r="F15406" s="4">
        <f>IFERROR(__xludf.DUMMYFUNCTION("""COMPUTED_VALUE"""),805.0)</f>
        <v>805</v>
      </c>
      <c r="G15406" s="4">
        <f>IFERROR(__xludf.DUMMYFUNCTION("""COMPUTED_VALUE"""),38.0)</f>
        <v>38</v>
      </c>
      <c r="H15406" s="4"/>
      <c r="I15406" s="4"/>
    </row>
    <row r="15407">
      <c r="A15407" s="4" t="str">
        <f>IFERROR(__xludf.DUMMYFUNCTION("""COMPUTED_VALUE"""),"cas_hmw")</f>
        <v>cas_hmw</v>
      </c>
      <c r="B15407" s="5">
        <f>IFERROR(__xludf.DUMMYFUNCTION("""COMPUTED_VALUE"""),44729.0)</f>
        <v>44729</v>
      </c>
      <c r="C15407" s="6">
        <f>IFERROR(__xludf.DUMMYFUNCTION("""COMPUTED_VALUE"""),0.3314351851840911)</f>
        <v>0.3314351852</v>
      </c>
      <c r="D15407" s="4">
        <f>IFERROR(__xludf.DUMMYFUNCTION("""COMPUTED_VALUE"""),13.001917)</f>
        <v>13.001917</v>
      </c>
      <c r="E15407" s="4">
        <f>IFERROR(__xludf.DUMMYFUNCTION("""COMPUTED_VALUE"""),80.196912)</f>
        <v>80.196912</v>
      </c>
      <c r="F15407" s="4">
        <f>IFERROR(__xludf.DUMMYFUNCTION("""COMPUTED_VALUE"""),805.0)</f>
        <v>805</v>
      </c>
      <c r="G15407" s="4">
        <f>IFERROR(__xludf.DUMMYFUNCTION("""COMPUTED_VALUE"""),45.0)</f>
        <v>45</v>
      </c>
      <c r="H15407" s="4"/>
      <c r="I15407" s="4"/>
    </row>
    <row r="15408">
      <c r="A15408" s="4" t="str">
        <f>IFERROR(__xludf.DUMMYFUNCTION("""COMPUTED_VALUE"""),"cas_hmw")</f>
        <v>cas_hmw</v>
      </c>
      <c r="B15408" s="5">
        <f>IFERROR(__xludf.DUMMYFUNCTION("""COMPUTED_VALUE"""),44729.0)</f>
        <v>44729</v>
      </c>
      <c r="C15408" s="6">
        <f>IFERROR(__xludf.DUMMYFUNCTION("""COMPUTED_VALUE"""),0.33148148148029577)</f>
        <v>0.3314814815</v>
      </c>
      <c r="D15408" s="4">
        <f>IFERROR(__xludf.DUMMYFUNCTION("""COMPUTED_VALUE"""),12.754099)</f>
        <v>12.754099</v>
      </c>
      <c r="E15408" s="4">
        <f>IFERROR(__xludf.DUMMYFUNCTION("""COMPUTED_VALUE"""),80.000553)</f>
        <v>80.000553</v>
      </c>
      <c r="F15408" s="4">
        <f>IFERROR(__xludf.DUMMYFUNCTION("""COMPUTED_VALUE"""),2846.0)</f>
        <v>2846</v>
      </c>
      <c r="G15408" s="4">
        <f>IFERROR(__xludf.DUMMYFUNCTION("""COMPUTED_VALUE"""),57.0)</f>
        <v>57</v>
      </c>
      <c r="H15408" s="4"/>
      <c r="I15408" s="4"/>
    </row>
    <row r="15409">
      <c r="A15409" s="4" t="str">
        <f>IFERROR(__xludf.DUMMYFUNCTION("""COMPUTED_VALUE"""),"cas_hmw")</f>
        <v>cas_hmw</v>
      </c>
      <c r="B15409" s="5">
        <f>IFERROR(__xludf.DUMMYFUNCTION("""COMPUTED_VALUE"""),44729.0)</f>
        <v>44729</v>
      </c>
      <c r="C15409" s="6">
        <f>IFERROR(__xludf.DUMMYFUNCTION("""COMPUTED_VALUE"""),0.3318981481497758)</f>
        <v>0.3318981481</v>
      </c>
      <c r="D15409" s="4">
        <f>IFERROR(__xludf.DUMMYFUNCTION("""COMPUTED_VALUE"""),12.758933)</f>
        <v>12.758933</v>
      </c>
      <c r="E15409" s="4">
        <f>IFERROR(__xludf.DUMMYFUNCTION("""COMPUTED_VALUE"""),80.002818)</f>
        <v>80.002818</v>
      </c>
      <c r="F15409" s="4">
        <f>IFERROR(__xludf.DUMMYFUNCTION("""COMPUTED_VALUE"""),2846.0)</f>
        <v>2846</v>
      </c>
      <c r="G15409" s="4">
        <f>IFERROR(__xludf.DUMMYFUNCTION("""COMPUTED_VALUE"""),44.0)</f>
        <v>44</v>
      </c>
      <c r="H15409" s="4"/>
      <c r="I15409" s="4"/>
    </row>
    <row r="15410">
      <c r="A15410" s="4" t="str">
        <f>IFERROR(__xludf.DUMMYFUNCTION("""COMPUTED_VALUE"""),"cas_hmw")</f>
        <v>cas_hmw</v>
      </c>
      <c r="B15410" s="5">
        <f>IFERROR(__xludf.DUMMYFUNCTION("""COMPUTED_VALUE"""),44729.0)</f>
        <v>44729</v>
      </c>
      <c r="C15410" s="6">
        <f>IFERROR(__xludf.DUMMYFUNCTION("""COMPUTED_VALUE"""),0.3319444444459805)</f>
        <v>0.3319444444</v>
      </c>
      <c r="D15410" s="4">
        <f>IFERROR(__xludf.DUMMYFUNCTION("""COMPUTED_VALUE"""),12.998989)</f>
        <v>12.998989</v>
      </c>
      <c r="E15410" s="4">
        <f>IFERROR(__xludf.DUMMYFUNCTION("""COMPUTED_VALUE"""),80.192961)</f>
        <v>80.192961</v>
      </c>
      <c r="F15410" s="4">
        <f>IFERROR(__xludf.DUMMYFUNCTION("""COMPUTED_VALUE"""),805.0)</f>
        <v>805</v>
      </c>
      <c r="G15410" s="4">
        <f>IFERROR(__xludf.DUMMYFUNCTION("""COMPUTED_VALUE"""),36.0)</f>
        <v>36</v>
      </c>
      <c r="H15410" s="4"/>
      <c r="I15410" s="4"/>
    </row>
    <row r="15411">
      <c r="A15411" s="4" t="str">
        <f>IFERROR(__xludf.DUMMYFUNCTION("""COMPUTED_VALUE"""),"cas_hmw")</f>
        <v>cas_hmw</v>
      </c>
      <c r="B15411" s="5">
        <f>IFERROR(__xludf.DUMMYFUNCTION("""COMPUTED_VALUE"""),44729.0)</f>
        <v>44729</v>
      </c>
      <c r="C15411" s="6">
        <f>IFERROR(__xludf.DUMMYFUNCTION("""COMPUTED_VALUE"""),0.3322685185194132)</f>
        <v>0.3322685185</v>
      </c>
      <c r="D15411" s="4">
        <f>IFERROR(__xludf.DUMMYFUNCTION("""COMPUTED_VALUE"""),12.997806)</f>
        <v>12.997806</v>
      </c>
      <c r="E15411" s="4">
        <f>IFERROR(__xludf.DUMMYFUNCTION("""COMPUTED_VALUE"""),80.191483)</f>
        <v>80.191483</v>
      </c>
      <c r="F15411" s="4">
        <f>IFERROR(__xludf.DUMMYFUNCTION("""COMPUTED_VALUE"""),805.0)</f>
        <v>805</v>
      </c>
      <c r="G15411" s="4">
        <f>IFERROR(__xludf.DUMMYFUNCTION("""COMPUTED_VALUE"""),46.0)</f>
        <v>46</v>
      </c>
      <c r="H15411" s="4"/>
      <c r="I15411" s="4"/>
    </row>
    <row r="15412">
      <c r="A15412" s="4" t="str">
        <f>IFERROR(__xludf.DUMMYFUNCTION("""COMPUTED_VALUE"""),"cas_hmw")</f>
        <v>cas_hmw</v>
      </c>
      <c r="B15412" s="5">
        <f>IFERROR(__xludf.DUMMYFUNCTION("""COMPUTED_VALUE"""),44729.0)</f>
        <v>44729</v>
      </c>
      <c r="C15412" s="6">
        <f>IFERROR(__xludf.DUMMYFUNCTION("""COMPUTED_VALUE"""),0.3323726851849642)</f>
        <v>0.3323726852</v>
      </c>
      <c r="D15412" s="4">
        <f>IFERROR(__xludf.DUMMYFUNCTION("""COMPUTED_VALUE"""),12.976634)</f>
        <v>12.976634</v>
      </c>
      <c r="E15412" s="4">
        <f>IFERROR(__xludf.DUMMYFUNCTION("""COMPUTED_VALUE"""),80.157998)</f>
        <v>80.157998</v>
      </c>
      <c r="F15412" s="4">
        <f>IFERROR(__xludf.DUMMYFUNCTION("""COMPUTED_VALUE"""),5339.0)</f>
        <v>5339</v>
      </c>
      <c r="G15412" s="4">
        <f>IFERROR(__xludf.DUMMYFUNCTION("""COMPUTED_VALUE"""),53.0)</f>
        <v>53</v>
      </c>
      <c r="H15412" s="4"/>
      <c r="I15412" s="4"/>
    </row>
    <row r="15413">
      <c r="A15413" s="4" t="str">
        <f>IFERROR(__xludf.DUMMYFUNCTION("""COMPUTED_VALUE"""),"cas_hmw")</f>
        <v>cas_hmw</v>
      </c>
      <c r="B15413" s="5">
        <f>IFERROR(__xludf.DUMMYFUNCTION("""COMPUTED_VALUE"""),44729.0)</f>
        <v>44729</v>
      </c>
      <c r="C15413" s="6">
        <f>IFERROR(__xludf.DUMMYFUNCTION("""COMPUTED_VALUE"""),0.33287037037007394)</f>
        <v>0.3328703704</v>
      </c>
      <c r="D15413" s="4">
        <f>IFERROR(__xludf.DUMMYFUNCTION("""COMPUTED_VALUE"""),12.995844)</f>
        <v>12.995844</v>
      </c>
      <c r="E15413" s="4">
        <f>IFERROR(__xludf.DUMMYFUNCTION("""COMPUTED_VALUE"""),80.189106)</f>
        <v>80.189106</v>
      </c>
      <c r="F15413" s="4">
        <f>IFERROR(__xludf.DUMMYFUNCTION("""COMPUTED_VALUE"""),805.0)</f>
        <v>805</v>
      </c>
      <c r="G15413" s="4">
        <f>IFERROR(__xludf.DUMMYFUNCTION("""COMPUTED_VALUE"""),32.0)</f>
        <v>32</v>
      </c>
      <c r="H15413" s="4"/>
      <c r="I15413" s="4"/>
    </row>
    <row r="15414">
      <c r="A15414" s="4" t="str">
        <f>IFERROR(__xludf.DUMMYFUNCTION("""COMPUTED_VALUE"""),"cas_hmw")</f>
        <v>cas_hmw</v>
      </c>
      <c r="B15414" s="5">
        <f>IFERROR(__xludf.DUMMYFUNCTION("""COMPUTED_VALUE"""),44729.0)</f>
        <v>44729</v>
      </c>
      <c r="C15414" s="6">
        <f>IFERROR(__xludf.DUMMYFUNCTION("""COMPUTED_VALUE"""),0.33365740740919136)</f>
        <v>0.3336574074</v>
      </c>
      <c r="D15414" s="4">
        <f>IFERROR(__xludf.DUMMYFUNCTION("""COMPUTED_VALUE"""),12.99316)</f>
        <v>12.99316</v>
      </c>
      <c r="E15414" s="4">
        <f>IFERROR(__xludf.DUMMYFUNCTION("""COMPUTED_VALUE"""),80.184045)</f>
        <v>80.184045</v>
      </c>
      <c r="F15414" s="4">
        <f>IFERROR(__xludf.DUMMYFUNCTION("""COMPUTED_VALUE"""),805.0)</f>
        <v>805</v>
      </c>
      <c r="G15414" s="4">
        <f>IFERROR(__xludf.DUMMYFUNCTION("""COMPUTED_VALUE"""),56.0)</f>
        <v>56</v>
      </c>
      <c r="H15414" s="4"/>
      <c r="I15414" s="4"/>
    </row>
    <row r="15415">
      <c r="A15415" s="4" t="str">
        <f>IFERROR(__xludf.DUMMYFUNCTION("""COMPUTED_VALUE"""),"cas_hmw")</f>
        <v>cas_hmw</v>
      </c>
      <c r="B15415" s="5">
        <f>IFERROR(__xludf.DUMMYFUNCTION("""COMPUTED_VALUE"""),44729.0)</f>
        <v>44729</v>
      </c>
      <c r="C15415" s="6">
        <f>IFERROR(__xludf.DUMMYFUNCTION("""COMPUTED_VALUE"""),0.3337615740747424)</f>
        <v>0.3337615741</v>
      </c>
      <c r="D15415" s="4">
        <f>IFERROR(__xludf.DUMMYFUNCTION("""COMPUTED_VALUE"""),12.991504)</f>
        <v>12.991504</v>
      </c>
      <c r="E15415" s="4">
        <f>IFERROR(__xludf.DUMMYFUNCTION("""COMPUTED_VALUE"""),80.181556)</f>
        <v>80.181556</v>
      </c>
      <c r="F15415" s="4">
        <f>IFERROR(__xludf.DUMMYFUNCTION("""COMPUTED_VALUE"""),805.0)</f>
        <v>805</v>
      </c>
      <c r="G15415" s="4">
        <f>IFERROR(__xludf.DUMMYFUNCTION("""COMPUTED_VALUE"""),57.0)</f>
        <v>57</v>
      </c>
      <c r="H15415" s="4"/>
      <c r="I15415" s="4"/>
    </row>
    <row r="15416">
      <c r="A15416" s="4" t="str">
        <f>IFERROR(__xludf.DUMMYFUNCTION("""COMPUTED_VALUE"""),"cas_hmw")</f>
        <v>cas_hmw</v>
      </c>
      <c r="B15416" s="5">
        <f>IFERROR(__xludf.DUMMYFUNCTION("""COMPUTED_VALUE"""),44729.0)</f>
        <v>44729</v>
      </c>
      <c r="C15416" s="6">
        <f>IFERROR(__xludf.DUMMYFUNCTION("""COMPUTED_VALUE"""),0.3339120370364981)</f>
        <v>0.333912037</v>
      </c>
      <c r="D15416" s="4">
        <f>IFERROR(__xludf.DUMMYFUNCTION("""COMPUTED_VALUE"""),12.990592)</f>
        <v>12.990592</v>
      </c>
      <c r="E15416" s="4">
        <f>IFERROR(__xludf.DUMMYFUNCTION("""COMPUTED_VALUE"""),80.180397)</f>
        <v>80.180397</v>
      </c>
      <c r="F15416" s="4">
        <f>IFERROR(__xludf.DUMMYFUNCTION("""COMPUTED_VALUE"""),805.0)</f>
        <v>805</v>
      </c>
      <c r="G15416" s="4">
        <f>IFERROR(__xludf.DUMMYFUNCTION("""COMPUTED_VALUE"""),58.0)</f>
        <v>58</v>
      </c>
      <c r="H15416" s="4"/>
      <c r="I15416" s="4"/>
    </row>
    <row r="15417">
      <c r="A15417" s="4" t="str">
        <f>IFERROR(__xludf.DUMMYFUNCTION("""COMPUTED_VALUE"""),"cas_hmw")</f>
        <v>cas_hmw</v>
      </c>
      <c r="B15417" s="5">
        <f>IFERROR(__xludf.DUMMYFUNCTION("""COMPUTED_VALUE"""),44729.0)</f>
        <v>44729</v>
      </c>
      <c r="C15417" s="6">
        <f>IFERROR(__xludf.DUMMYFUNCTION("""COMPUTED_VALUE"""),0.33428240740613546)</f>
        <v>0.3342824074</v>
      </c>
      <c r="D15417" s="4">
        <f>IFERROR(__xludf.DUMMYFUNCTION("""COMPUTED_VALUE"""),12.989595)</f>
        <v>12.989595</v>
      </c>
      <c r="E15417" s="4">
        <f>IFERROR(__xludf.DUMMYFUNCTION("""COMPUTED_VALUE"""),80.179196)</f>
        <v>80.179196</v>
      </c>
      <c r="F15417" s="4">
        <f>IFERROR(__xludf.DUMMYFUNCTION("""COMPUTED_VALUE"""),805.0)</f>
        <v>805</v>
      </c>
      <c r="G15417" s="4">
        <f>IFERROR(__xludf.DUMMYFUNCTION("""COMPUTED_VALUE"""),0.0)</f>
        <v>0</v>
      </c>
      <c r="H15417" s="4"/>
      <c r="I15417" s="4"/>
    </row>
    <row r="15418">
      <c r="A15418" s="4" t="str">
        <f>IFERROR(__xludf.DUMMYFUNCTION("""COMPUTED_VALUE"""),"cas_hmw")</f>
        <v>cas_hmw</v>
      </c>
      <c r="B15418" s="5">
        <f>IFERROR(__xludf.DUMMYFUNCTION("""COMPUTED_VALUE"""),44729.0)</f>
        <v>44729</v>
      </c>
      <c r="C15418" s="6">
        <f>IFERROR(__xludf.DUMMYFUNCTION("""COMPUTED_VALUE"""),0.3344097222216078)</f>
        <v>0.3344097222</v>
      </c>
      <c r="D15418" s="4">
        <f>IFERROR(__xludf.DUMMYFUNCTION("""COMPUTED_VALUE"""),12.989329)</f>
        <v>12.989329</v>
      </c>
      <c r="E15418" s="4">
        <f>IFERROR(__xludf.DUMMYFUNCTION("""COMPUTED_VALUE"""),80.17884)</f>
        <v>80.17884</v>
      </c>
      <c r="F15418" s="4">
        <f>IFERROR(__xludf.DUMMYFUNCTION("""COMPUTED_VALUE"""),805.0)</f>
        <v>805</v>
      </c>
      <c r="G15418" s="4">
        <f>IFERROR(__xludf.DUMMYFUNCTION("""COMPUTED_VALUE"""),28.0)</f>
        <v>28</v>
      </c>
      <c r="H15418" s="4"/>
      <c r="I15418" s="4"/>
    </row>
    <row r="15419">
      <c r="A15419" s="4" t="str">
        <f>IFERROR(__xludf.DUMMYFUNCTION("""COMPUTED_VALUE"""),"cas_hmw")</f>
        <v>cas_hmw</v>
      </c>
      <c r="B15419" s="5">
        <f>IFERROR(__xludf.DUMMYFUNCTION("""COMPUTED_VALUE"""),44729.0)</f>
        <v>44729</v>
      </c>
      <c r="C15419" s="6">
        <f>IFERROR(__xludf.DUMMYFUNCTION("""COMPUTED_VALUE"""),0.33446759259095415)</f>
        <v>0.3344675926</v>
      </c>
      <c r="D15419" s="4">
        <f>IFERROR(__xludf.DUMMYFUNCTION("""COMPUTED_VALUE"""),12.968095)</f>
        <v>12.968095</v>
      </c>
      <c r="E15419" s="4">
        <f>IFERROR(__xludf.DUMMYFUNCTION("""COMPUTED_VALUE"""),80.149497)</f>
        <v>80.149497</v>
      </c>
      <c r="F15419" s="4">
        <f>IFERROR(__xludf.DUMMYFUNCTION("""COMPUTED_VALUE"""),5339.0)</f>
        <v>5339</v>
      </c>
      <c r="G15419" s="4">
        <f>IFERROR(__xludf.DUMMYFUNCTION("""COMPUTED_VALUE"""),25.0)</f>
        <v>25</v>
      </c>
      <c r="H15419" s="4"/>
      <c r="I15419" s="4"/>
    </row>
    <row r="15420">
      <c r="A15420" s="4" t="str">
        <f>IFERROR(__xludf.DUMMYFUNCTION("""COMPUTED_VALUE"""),"cas_hmw")</f>
        <v>cas_hmw</v>
      </c>
      <c r="B15420" s="5">
        <f>IFERROR(__xludf.DUMMYFUNCTION("""COMPUTED_VALUE"""),44729.0)</f>
        <v>44729</v>
      </c>
      <c r="C15420" s="6">
        <f>IFERROR(__xludf.DUMMYFUNCTION("""COMPUTED_VALUE"""),0.3363310185195587)</f>
        <v>0.3363310185</v>
      </c>
      <c r="D15420" s="4">
        <f>IFERROR(__xludf.DUMMYFUNCTION("""COMPUTED_VALUE"""),12.957236)</f>
        <v>12.957236</v>
      </c>
      <c r="E15420" s="4">
        <f>IFERROR(__xludf.DUMMYFUNCTION("""COMPUTED_VALUE"""),80.143796)</f>
        <v>80.143796</v>
      </c>
      <c r="F15420" s="4">
        <f>IFERROR(__xludf.DUMMYFUNCTION("""COMPUTED_VALUE"""),5339.0)</f>
        <v>5339</v>
      </c>
      <c r="G15420" s="4">
        <f>IFERROR(__xludf.DUMMYFUNCTION("""COMPUTED_VALUE"""),56.0)</f>
        <v>56</v>
      </c>
      <c r="H15420" s="4"/>
      <c r="I15420" s="4"/>
    </row>
    <row r="15421">
      <c r="A15421" s="4" t="str">
        <f>IFERROR(__xludf.DUMMYFUNCTION("""COMPUTED_VALUE"""),"cas_hmw")</f>
        <v>cas_hmw</v>
      </c>
      <c r="B15421" s="5">
        <f>IFERROR(__xludf.DUMMYFUNCTION("""COMPUTED_VALUE"""),44729.0)</f>
        <v>44729</v>
      </c>
      <c r="C15421" s="6">
        <f>IFERROR(__xludf.DUMMYFUNCTION("""COMPUTED_VALUE"""),0.33638888888890506)</f>
        <v>0.3363888889</v>
      </c>
      <c r="D15421" s="4">
        <f>IFERROR(__xludf.DUMMYFUNCTION("""COMPUTED_VALUE"""),12.979702)</f>
        <v>12.979702</v>
      </c>
      <c r="E15421" s="4">
        <f>IFERROR(__xludf.DUMMYFUNCTION("""COMPUTED_VALUE"""),80.162696)</f>
        <v>80.162696</v>
      </c>
      <c r="F15421" s="4">
        <f>IFERROR(__xludf.DUMMYFUNCTION("""COMPUTED_VALUE"""),805.0)</f>
        <v>805</v>
      </c>
      <c r="G15421" s="4">
        <f>IFERROR(__xludf.DUMMYFUNCTION("""COMPUTED_VALUE"""),29.0)</f>
        <v>29</v>
      </c>
      <c r="H15421" s="4"/>
      <c r="I15421" s="4"/>
    </row>
    <row r="15422">
      <c r="A15422" s="4" t="str">
        <f>IFERROR(__xludf.DUMMYFUNCTION("""COMPUTED_VALUE"""),"cas_hmw")</f>
        <v>cas_hmw</v>
      </c>
      <c r="B15422" s="5">
        <f>IFERROR(__xludf.DUMMYFUNCTION("""COMPUTED_VALUE"""),44729.0)</f>
        <v>44729</v>
      </c>
      <c r="C15422" s="6">
        <f>IFERROR(__xludf.DUMMYFUNCTION("""COMPUTED_VALUE"""),0.33642361111196806)</f>
        <v>0.3364236111</v>
      </c>
      <c r="D15422" s="4">
        <f>IFERROR(__xludf.DUMMYFUNCTION("""COMPUTED_VALUE"""),12.95609)</f>
        <v>12.95609</v>
      </c>
      <c r="E15422" s="4">
        <f>IFERROR(__xludf.DUMMYFUNCTION("""COMPUTED_VALUE"""),80.143173)</f>
        <v>80.143173</v>
      </c>
      <c r="F15422" s="4">
        <f>IFERROR(__xludf.DUMMYFUNCTION("""COMPUTED_VALUE"""),5339.0)</f>
        <v>5339</v>
      </c>
      <c r="G15422" s="4">
        <f>IFERROR(__xludf.DUMMYFUNCTION("""COMPUTED_VALUE"""),49.0)</f>
        <v>49</v>
      </c>
      <c r="H15422" s="4"/>
      <c r="I15422" s="4"/>
    </row>
    <row r="15423">
      <c r="A15423" s="4" t="str">
        <f>IFERROR(__xludf.DUMMYFUNCTION("""COMPUTED_VALUE"""),"cas_hmw")</f>
        <v>cas_hmw</v>
      </c>
      <c r="B15423" s="5">
        <f>IFERROR(__xludf.DUMMYFUNCTION("""COMPUTED_VALUE"""),44729.0)</f>
        <v>44729</v>
      </c>
      <c r="C15423" s="6">
        <f>IFERROR(__xludf.DUMMYFUNCTION("""COMPUTED_VALUE"""),0.3364467592582514)</f>
        <v>0.3364467593</v>
      </c>
      <c r="D15423" s="4">
        <f>IFERROR(__xludf.DUMMYFUNCTION("""COMPUTED_VALUE"""),12.979702)</f>
        <v>12.979702</v>
      </c>
      <c r="E15423" s="4">
        <f>IFERROR(__xludf.DUMMYFUNCTION("""COMPUTED_VALUE"""),80.162696)</f>
        <v>80.162696</v>
      </c>
      <c r="F15423" s="4">
        <f>IFERROR(__xludf.DUMMYFUNCTION("""COMPUTED_VALUE"""),805.0)</f>
        <v>805</v>
      </c>
      <c r="G15423" s="4">
        <f>IFERROR(__xludf.DUMMYFUNCTION("""COMPUTED_VALUE"""),29.0)</f>
        <v>29</v>
      </c>
      <c r="H15423" s="4"/>
      <c r="I15423" s="4"/>
    </row>
    <row r="15424">
      <c r="A15424" s="4" t="str">
        <f>IFERROR(__xludf.DUMMYFUNCTION("""COMPUTED_VALUE"""),"cas_hmw")</f>
        <v>cas_hmw</v>
      </c>
      <c r="B15424" s="5">
        <f>IFERROR(__xludf.DUMMYFUNCTION("""COMPUTED_VALUE"""),44729.0)</f>
        <v>44729</v>
      </c>
      <c r="C15424" s="6">
        <f>IFERROR(__xludf.DUMMYFUNCTION("""COMPUTED_VALUE"""),0.3364814814813144)</f>
        <v>0.3364814815</v>
      </c>
      <c r="D15424" s="4">
        <f>IFERROR(__xludf.DUMMYFUNCTION("""COMPUTED_VALUE"""),12.955152)</f>
        <v>12.955152</v>
      </c>
      <c r="E15424" s="4">
        <f>IFERROR(__xludf.DUMMYFUNCTION("""COMPUTED_VALUE"""),80.14266)</f>
        <v>80.14266</v>
      </c>
      <c r="F15424" s="4">
        <f>IFERROR(__xludf.DUMMYFUNCTION("""COMPUTED_VALUE"""),5339.0)</f>
        <v>5339</v>
      </c>
      <c r="G15424" s="4">
        <f>IFERROR(__xludf.DUMMYFUNCTION("""COMPUTED_VALUE"""),37.0)</f>
        <v>37</v>
      </c>
      <c r="H15424" s="4"/>
      <c r="I15424" s="4"/>
    </row>
    <row r="15425">
      <c r="A15425" s="4" t="str">
        <f>IFERROR(__xludf.DUMMYFUNCTION("""COMPUTED_VALUE"""),"cas_hmw")</f>
        <v>cas_hmw</v>
      </c>
      <c r="B15425" s="5">
        <f>IFERROR(__xludf.DUMMYFUNCTION("""COMPUTED_VALUE"""),44729.0)</f>
        <v>44729</v>
      </c>
      <c r="C15425" s="6">
        <f>IFERROR(__xludf.DUMMYFUNCTION("""COMPUTED_VALUE"""),0.3368750000008731)</f>
        <v>0.336875</v>
      </c>
      <c r="D15425" s="4">
        <f>IFERROR(__xludf.DUMMYFUNCTION("""COMPUTED_VALUE"""),12.978545)</f>
        <v>12.978545</v>
      </c>
      <c r="E15425" s="4">
        <f>IFERROR(__xludf.DUMMYFUNCTION("""COMPUTED_VALUE"""),80.160974)</f>
        <v>80.160974</v>
      </c>
      <c r="F15425" s="4">
        <f>IFERROR(__xludf.DUMMYFUNCTION("""COMPUTED_VALUE"""),805.0)</f>
        <v>805</v>
      </c>
      <c r="G15425" s="4">
        <f>IFERROR(__xludf.DUMMYFUNCTION("""COMPUTED_VALUE"""),50.0)</f>
        <v>50</v>
      </c>
      <c r="H15425" s="4"/>
      <c r="I15425" s="4"/>
    </row>
    <row r="15426">
      <c r="A15426" s="4" t="str">
        <f>IFERROR(__xludf.DUMMYFUNCTION("""COMPUTED_VALUE"""),"cas_hmw")</f>
        <v>cas_hmw</v>
      </c>
      <c r="B15426" s="5">
        <f>IFERROR(__xludf.DUMMYFUNCTION("""COMPUTED_VALUE"""),44729.0)</f>
        <v>44729</v>
      </c>
      <c r="C15426" s="6">
        <f>IFERROR(__xludf.DUMMYFUNCTION("""COMPUTED_VALUE"""),0.33700231481634546)</f>
        <v>0.3370023148</v>
      </c>
      <c r="D15426" s="4">
        <f>IFERROR(__xludf.DUMMYFUNCTION("""COMPUTED_VALUE"""),12.978545)</f>
        <v>12.978545</v>
      </c>
      <c r="E15426" s="4">
        <f>IFERROR(__xludf.DUMMYFUNCTION("""COMPUTED_VALUE"""),80.160974)</f>
        <v>80.160974</v>
      </c>
      <c r="F15426" s="4">
        <f>IFERROR(__xludf.DUMMYFUNCTION("""COMPUTED_VALUE"""),805.0)</f>
        <v>805</v>
      </c>
      <c r="G15426" s="4">
        <f>IFERROR(__xludf.DUMMYFUNCTION("""COMPUTED_VALUE"""),50.0)</f>
        <v>50</v>
      </c>
      <c r="H15426" s="4"/>
      <c r="I15426" s="4"/>
    </row>
    <row r="15427">
      <c r="A15427" s="4" t="str">
        <f>IFERROR(__xludf.DUMMYFUNCTION("""COMPUTED_VALUE"""),"cas_hmw")</f>
        <v>cas_hmw</v>
      </c>
      <c r="B15427" s="5">
        <f>IFERROR(__xludf.DUMMYFUNCTION("""COMPUTED_VALUE"""),44729.0)</f>
        <v>44729</v>
      </c>
      <c r="C15427" s="6">
        <f>IFERROR(__xludf.DUMMYFUNCTION("""COMPUTED_VALUE"""),0.33718750000116415)</f>
        <v>0.3371875</v>
      </c>
      <c r="D15427" s="4">
        <f>IFERROR(__xludf.DUMMYFUNCTION("""COMPUTED_VALUE"""),12.952859)</f>
        <v>12.952859</v>
      </c>
      <c r="E15427" s="4">
        <f>IFERROR(__xludf.DUMMYFUNCTION("""COMPUTED_VALUE"""),80.141385)</f>
        <v>80.141385</v>
      </c>
      <c r="F15427" s="4">
        <f>IFERROR(__xludf.DUMMYFUNCTION("""COMPUTED_VALUE"""),5339.0)</f>
        <v>5339</v>
      </c>
      <c r="G15427" s="4">
        <f>IFERROR(__xludf.DUMMYFUNCTION("""COMPUTED_VALUE"""),23.0)</f>
        <v>23</v>
      </c>
      <c r="H15427" s="4"/>
      <c r="I15427" s="4"/>
    </row>
    <row r="15428">
      <c r="A15428" s="4" t="str">
        <f>IFERROR(__xludf.DUMMYFUNCTION("""COMPUTED_VALUE"""),"cas_hmw")</f>
        <v>cas_hmw</v>
      </c>
      <c r="B15428" s="5">
        <f>IFERROR(__xludf.DUMMYFUNCTION("""COMPUTED_VALUE"""),44729.0)</f>
        <v>44729</v>
      </c>
      <c r="C15428" s="6">
        <f>IFERROR(__xludf.DUMMYFUNCTION("""COMPUTED_VALUE"""),0.3371990740743058)</f>
        <v>0.3371990741</v>
      </c>
      <c r="D15428" s="4">
        <f>IFERROR(__xludf.DUMMYFUNCTION("""COMPUTED_VALUE"""),12.952859)</f>
        <v>12.952859</v>
      </c>
      <c r="E15428" s="4">
        <f>IFERROR(__xludf.DUMMYFUNCTION("""COMPUTED_VALUE"""),80.141385)</f>
        <v>80.141385</v>
      </c>
      <c r="F15428" s="4">
        <f>IFERROR(__xludf.DUMMYFUNCTION("""COMPUTED_VALUE"""),5339.0)</f>
        <v>5339</v>
      </c>
      <c r="G15428" s="4">
        <f>IFERROR(__xludf.DUMMYFUNCTION("""COMPUTED_VALUE"""),23.0)</f>
        <v>23</v>
      </c>
      <c r="H15428" s="4"/>
      <c r="I15428" s="4"/>
    </row>
    <row r="15429">
      <c r="A15429" s="4" t="str">
        <f>IFERROR(__xludf.DUMMYFUNCTION("""COMPUTED_VALUE"""),"cas_hmw")</f>
        <v>cas_hmw</v>
      </c>
      <c r="B15429" s="5">
        <f>IFERROR(__xludf.DUMMYFUNCTION("""COMPUTED_VALUE"""),44729.0)</f>
        <v>44729</v>
      </c>
      <c r="C15429" s="6">
        <f>IFERROR(__xludf.DUMMYFUNCTION("""COMPUTED_VALUE"""),0.3378703703710926)</f>
        <v>0.3378703704</v>
      </c>
      <c r="D15429" s="4">
        <f>IFERROR(__xludf.DUMMYFUNCTION("""COMPUTED_VALUE"""),12.949167)</f>
        <v>12.949167</v>
      </c>
      <c r="E15429" s="4">
        <f>IFERROR(__xludf.DUMMYFUNCTION("""COMPUTED_VALUE"""),80.138551)</f>
        <v>80.138551</v>
      </c>
      <c r="F15429" s="4">
        <f>IFERROR(__xludf.DUMMYFUNCTION("""COMPUTED_VALUE"""),5339.0)</f>
        <v>5339</v>
      </c>
      <c r="G15429" s="4">
        <f>IFERROR(__xludf.DUMMYFUNCTION("""COMPUTED_VALUE"""),44.0)</f>
        <v>44</v>
      </c>
      <c r="H15429" s="4"/>
      <c r="I15429" s="4"/>
    </row>
    <row r="15430">
      <c r="A15430" s="4" t="str">
        <f>IFERROR(__xludf.DUMMYFUNCTION("""COMPUTED_VALUE"""),"cas_hmw")</f>
        <v>cas_hmw</v>
      </c>
      <c r="B15430" s="5">
        <f>IFERROR(__xludf.DUMMYFUNCTION("""COMPUTED_VALUE"""),44729.0)</f>
        <v>44729</v>
      </c>
      <c r="C15430" s="6">
        <f>IFERROR(__xludf.DUMMYFUNCTION("""COMPUTED_VALUE"""),0.33809027777897427)</f>
        <v>0.3380902778</v>
      </c>
      <c r="D15430" s="4">
        <f>IFERROR(__xludf.DUMMYFUNCTION("""COMPUTED_VALUE"""),12.971441)</f>
        <v>12.971441</v>
      </c>
      <c r="E15430" s="4">
        <f>IFERROR(__xludf.DUMMYFUNCTION("""COMPUTED_VALUE"""),80.151109)</f>
        <v>80.151109</v>
      </c>
      <c r="F15430" s="4">
        <f>IFERROR(__xludf.DUMMYFUNCTION("""COMPUTED_VALUE"""),805.0)</f>
        <v>805</v>
      </c>
      <c r="G15430" s="4">
        <f>IFERROR(__xludf.DUMMYFUNCTION("""COMPUTED_VALUE"""),22.0)</f>
        <v>22</v>
      </c>
      <c r="H15430" s="4"/>
      <c r="I15430" s="4"/>
    </row>
    <row r="15431">
      <c r="A15431" s="4" t="str">
        <f>IFERROR(__xludf.DUMMYFUNCTION("""COMPUTED_VALUE"""),"cas_hmw")</f>
        <v>cas_hmw</v>
      </c>
      <c r="B15431" s="5">
        <f>IFERROR(__xludf.DUMMYFUNCTION("""COMPUTED_VALUE"""),44729.0)</f>
        <v>44729</v>
      </c>
      <c r="C15431" s="6">
        <f>IFERROR(__xludf.DUMMYFUNCTION("""COMPUTED_VALUE"""),0.3381249999983993)</f>
        <v>0.338125</v>
      </c>
      <c r="D15431" s="4">
        <f>IFERROR(__xludf.DUMMYFUNCTION("""COMPUTED_VALUE"""),12.971441)</f>
        <v>12.971441</v>
      </c>
      <c r="E15431" s="4">
        <f>IFERROR(__xludf.DUMMYFUNCTION("""COMPUTED_VALUE"""),80.151109)</f>
        <v>80.151109</v>
      </c>
      <c r="F15431" s="4">
        <f>IFERROR(__xludf.DUMMYFUNCTION("""COMPUTED_VALUE"""),805.0)</f>
        <v>805</v>
      </c>
      <c r="G15431" s="4">
        <f>IFERROR(__xludf.DUMMYFUNCTION("""COMPUTED_VALUE"""),22.0)</f>
        <v>22</v>
      </c>
      <c r="H15431" s="4"/>
      <c r="I15431" s="4"/>
    </row>
    <row r="15432">
      <c r="A15432" s="4" t="str">
        <f>IFERROR(__xludf.DUMMYFUNCTION("""COMPUTED_VALUE"""),"cas_hmw")</f>
        <v>cas_hmw</v>
      </c>
      <c r="B15432" s="5">
        <f>IFERROR(__xludf.DUMMYFUNCTION("""COMPUTED_VALUE"""),44729.0)</f>
        <v>44729</v>
      </c>
      <c r="C15432" s="6">
        <f>IFERROR(__xludf.DUMMYFUNCTION("""COMPUTED_VALUE"""),0.33813657407517894)</f>
        <v>0.3381365741</v>
      </c>
      <c r="D15432" s="4">
        <f>IFERROR(__xludf.DUMMYFUNCTION("""COMPUTED_VALUE"""),12.970784)</f>
        <v>12.970784</v>
      </c>
      <c r="E15432" s="4">
        <f>IFERROR(__xludf.DUMMYFUNCTION("""COMPUTED_VALUE"""),80.150766)</f>
        <v>80.150766</v>
      </c>
      <c r="F15432" s="4">
        <f>IFERROR(__xludf.DUMMYFUNCTION("""COMPUTED_VALUE"""),805.0)</f>
        <v>805</v>
      </c>
      <c r="G15432" s="4">
        <f>IFERROR(__xludf.DUMMYFUNCTION("""COMPUTED_VALUE"""),30.0)</f>
        <v>30</v>
      </c>
      <c r="H15432" s="4"/>
      <c r="I15432" s="4"/>
    </row>
    <row r="15433">
      <c r="A15433" s="4" t="str">
        <f>IFERROR(__xludf.DUMMYFUNCTION("""COMPUTED_VALUE"""),"cas_hmw")</f>
        <v>cas_hmw</v>
      </c>
      <c r="B15433" s="5">
        <f>IFERROR(__xludf.DUMMYFUNCTION("""COMPUTED_VALUE"""),44729.0)</f>
        <v>44729</v>
      </c>
      <c r="C15433" s="6">
        <f>IFERROR(__xludf.DUMMYFUNCTION("""COMPUTED_VALUE"""),0.33824074074072996)</f>
        <v>0.3382407407</v>
      </c>
      <c r="D15433" s="4">
        <f>IFERROR(__xludf.DUMMYFUNCTION("""COMPUTED_VALUE"""),12.970784)</f>
        <v>12.970784</v>
      </c>
      <c r="E15433" s="4">
        <f>IFERROR(__xludf.DUMMYFUNCTION("""COMPUTED_VALUE"""),80.150766)</f>
        <v>80.150766</v>
      </c>
      <c r="F15433" s="4">
        <f>IFERROR(__xludf.DUMMYFUNCTION("""COMPUTED_VALUE"""),805.0)</f>
        <v>805</v>
      </c>
      <c r="G15433" s="4">
        <f>IFERROR(__xludf.DUMMYFUNCTION("""COMPUTED_VALUE"""),30.0)</f>
        <v>30</v>
      </c>
      <c r="H15433" s="4"/>
      <c r="I15433" s="4"/>
    </row>
    <row r="15434">
      <c r="A15434" s="4" t="str">
        <f>IFERROR(__xludf.DUMMYFUNCTION("""COMPUTED_VALUE"""),"cas_hmw")</f>
        <v>cas_hmw</v>
      </c>
      <c r="B15434" s="5">
        <f>IFERROR(__xludf.DUMMYFUNCTION("""COMPUTED_VALUE"""),44729.0)</f>
        <v>44729</v>
      </c>
      <c r="C15434" s="6">
        <f>IFERROR(__xludf.DUMMYFUNCTION("""COMPUTED_VALUE"""),0.3393055555570754)</f>
        <v>0.3393055556</v>
      </c>
      <c r="D15434" s="4">
        <f>IFERROR(__xludf.DUMMYFUNCTION("""COMPUTED_VALUE"""),12.941276)</f>
        <v>12.941276</v>
      </c>
      <c r="E15434" s="4">
        <f>IFERROR(__xludf.DUMMYFUNCTION("""COMPUTED_VALUE"""),80.131934)</f>
        <v>80.131934</v>
      </c>
      <c r="F15434" s="4">
        <f>IFERROR(__xludf.DUMMYFUNCTION("""COMPUTED_VALUE"""),5339.0)</f>
        <v>5339</v>
      </c>
      <c r="G15434" s="4">
        <f>IFERROR(__xludf.DUMMYFUNCTION("""COMPUTED_VALUE"""),39.0)</f>
        <v>39</v>
      </c>
      <c r="H15434" s="4"/>
      <c r="I15434" s="4"/>
    </row>
    <row r="15435">
      <c r="A15435" s="4" t="str">
        <f>IFERROR(__xludf.DUMMYFUNCTION("""COMPUTED_VALUE"""),"cas_hmw")</f>
        <v>cas_hmw</v>
      </c>
      <c r="B15435" s="5">
        <f>IFERROR(__xludf.DUMMYFUNCTION("""COMPUTED_VALUE"""),44729.0)</f>
        <v>44729</v>
      </c>
      <c r="C15435" s="6">
        <f>IFERROR(__xludf.DUMMYFUNCTION("""COMPUTED_VALUE"""),0.3393865740727051)</f>
        <v>0.3393865741</v>
      </c>
      <c r="D15435" s="4">
        <f>IFERROR(__xludf.DUMMYFUNCTION("""COMPUTED_VALUE"""),12.966076)</f>
        <v>12.966076</v>
      </c>
      <c r="E15435" s="4">
        <f>IFERROR(__xludf.DUMMYFUNCTION("""COMPUTED_VALUE"""),80.148585)</f>
        <v>80.148585</v>
      </c>
      <c r="F15435" s="4">
        <f>IFERROR(__xludf.DUMMYFUNCTION("""COMPUTED_VALUE"""),805.0)</f>
        <v>805</v>
      </c>
      <c r="G15435" s="4">
        <f>IFERROR(__xludf.DUMMYFUNCTION("""COMPUTED_VALUE"""),29.0)</f>
        <v>29</v>
      </c>
      <c r="H15435" s="4"/>
      <c r="I15435" s="4"/>
    </row>
    <row r="15436">
      <c r="A15436" s="4" t="str">
        <f>IFERROR(__xludf.DUMMYFUNCTION("""COMPUTED_VALUE"""),"cas_hmw")</f>
        <v>cas_hmw</v>
      </c>
      <c r="B15436" s="5">
        <f>IFERROR(__xludf.DUMMYFUNCTION("""COMPUTED_VALUE"""),44729.0)</f>
        <v>44729</v>
      </c>
      <c r="C15436" s="6">
        <f>IFERROR(__xludf.DUMMYFUNCTION("""COMPUTED_VALUE"""),0.33944444444568944)</f>
        <v>0.3394444444</v>
      </c>
      <c r="D15436" s="4">
        <f>IFERROR(__xludf.DUMMYFUNCTION("""COMPUTED_VALUE"""),12.829833)</f>
        <v>12.829833</v>
      </c>
      <c r="E15436" s="4">
        <f>IFERROR(__xludf.DUMMYFUNCTION("""COMPUTED_VALUE"""),80.044775)</f>
        <v>80.044775</v>
      </c>
      <c r="F15436" s="4">
        <f>IFERROR(__xludf.DUMMYFUNCTION("""COMPUTED_VALUE"""),2846.0)</f>
        <v>2846</v>
      </c>
      <c r="G15436" s="4">
        <f>IFERROR(__xludf.DUMMYFUNCTION("""COMPUTED_VALUE"""),57.0)</f>
        <v>57</v>
      </c>
      <c r="H15436" s="4"/>
      <c r="I15436" s="4"/>
    </row>
    <row r="15437">
      <c r="A15437" s="4" t="str">
        <f>IFERROR(__xludf.DUMMYFUNCTION("""COMPUTED_VALUE"""),"cas_hmw")</f>
        <v>cas_hmw</v>
      </c>
      <c r="B15437" s="5">
        <f>IFERROR(__xludf.DUMMYFUNCTION("""COMPUTED_VALUE"""),44729.0)</f>
        <v>44729</v>
      </c>
      <c r="C15437" s="6">
        <f>IFERROR(__xludf.DUMMYFUNCTION("""COMPUTED_VALUE"""),0.33958333333430346)</f>
        <v>0.3395833333</v>
      </c>
      <c r="D15437" s="4">
        <f>IFERROR(__xludf.DUMMYFUNCTION("""COMPUTED_VALUE"""),12.964508)</f>
        <v>12.964508</v>
      </c>
      <c r="E15437" s="4">
        <f>IFERROR(__xludf.DUMMYFUNCTION("""COMPUTED_VALUE"""),80.147822)</f>
        <v>80.147822</v>
      </c>
      <c r="F15437" s="4">
        <f>IFERROR(__xludf.DUMMYFUNCTION("""COMPUTED_VALUE"""),805.0)</f>
        <v>805</v>
      </c>
      <c r="G15437" s="4">
        <f>IFERROR(__xludf.DUMMYFUNCTION("""COMPUTED_VALUE"""),38.0)</f>
        <v>38</v>
      </c>
      <c r="H15437" s="4"/>
      <c r="I15437" s="4"/>
    </row>
    <row r="15438">
      <c r="A15438" s="4" t="str">
        <f>IFERROR(__xludf.DUMMYFUNCTION("""COMPUTED_VALUE"""),"cas_hmw")</f>
        <v>cas_hmw</v>
      </c>
      <c r="B15438" s="5">
        <f>IFERROR(__xludf.DUMMYFUNCTION("""COMPUTED_VALUE"""),44729.0)</f>
        <v>44729</v>
      </c>
      <c r="C15438" s="6">
        <f>IFERROR(__xludf.DUMMYFUNCTION("""COMPUTED_VALUE"""),0.3396527777767915)</f>
        <v>0.3396527778</v>
      </c>
      <c r="D15438" s="4">
        <f>IFERROR(__xludf.DUMMYFUNCTION("""COMPUTED_VALUE"""),12.963645)</f>
        <v>12.963645</v>
      </c>
      <c r="E15438" s="4">
        <f>IFERROR(__xludf.DUMMYFUNCTION("""COMPUTED_VALUE"""),80.147314)</f>
        <v>80.147314</v>
      </c>
      <c r="F15438" s="4">
        <f>IFERROR(__xludf.DUMMYFUNCTION("""COMPUTED_VALUE"""),805.0)</f>
        <v>805</v>
      </c>
      <c r="G15438" s="4">
        <f>IFERROR(__xludf.DUMMYFUNCTION("""COMPUTED_VALUE"""),43.0)</f>
        <v>43</v>
      </c>
      <c r="H15438" s="4"/>
      <c r="I15438" s="4"/>
    </row>
    <row r="15439">
      <c r="A15439" s="4" t="str">
        <f>IFERROR(__xludf.DUMMYFUNCTION("""COMPUTED_VALUE"""),"cas_hmw")</f>
        <v>cas_hmw</v>
      </c>
      <c r="B15439" s="5">
        <f>IFERROR(__xludf.DUMMYFUNCTION("""COMPUTED_VALUE"""),44729.0)</f>
        <v>44729</v>
      </c>
      <c r="C15439" s="6">
        <f>IFERROR(__xludf.DUMMYFUNCTION("""COMPUTED_VALUE"""),0.3397453703692008)</f>
        <v>0.3397453704</v>
      </c>
      <c r="D15439" s="4">
        <f>IFERROR(__xludf.DUMMYFUNCTION("""COMPUTED_VALUE"""),12.937696)</f>
        <v>12.937696</v>
      </c>
      <c r="E15439" s="4">
        <f>IFERROR(__xludf.DUMMYFUNCTION("""COMPUTED_VALUE"""),80.128527)</f>
        <v>80.128527</v>
      </c>
      <c r="F15439" s="4">
        <f>IFERROR(__xludf.DUMMYFUNCTION("""COMPUTED_VALUE"""),5339.0)</f>
        <v>5339</v>
      </c>
      <c r="G15439" s="4">
        <f>IFERROR(__xludf.DUMMYFUNCTION("""COMPUTED_VALUE"""),48.0)</f>
        <v>48</v>
      </c>
      <c r="H15439" s="4"/>
      <c r="I15439" s="4"/>
    </row>
    <row r="15440">
      <c r="A15440" s="4" t="str">
        <f>IFERROR(__xludf.DUMMYFUNCTION("""COMPUTED_VALUE"""),"cas_hmw")</f>
        <v>cas_hmw</v>
      </c>
      <c r="B15440" s="5">
        <f>IFERROR(__xludf.DUMMYFUNCTION("""COMPUTED_VALUE"""),44729.0)</f>
        <v>44729</v>
      </c>
      <c r="C15440" s="6">
        <f>IFERROR(__xludf.DUMMYFUNCTION("""COMPUTED_VALUE"""),0.33988425925781485)</f>
        <v>0.3398842593</v>
      </c>
      <c r="D15440" s="4">
        <f>IFERROR(__xludf.DUMMYFUNCTION("""COMPUTED_VALUE"""),12.961653)</f>
        <v>12.961653</v>
      </c>
      <c r="E15440" s="4">
        <f>IFERROR(__xludf.DUMMYFUNCTION("""COMPUTED_VALUE"""),80.146127)</f>
        <v>80.146127</v>
      </c>
      <c r="F15440" s="4">
        <f>IFERROR(__xludf.DUMMYFUNCTION("""COMPUTED_VALUE"""),805.0)</f>
        <v>805</v>
      </c>
      <c r="G15440" s="4">
        <f>IFERROR(__xludf.DUMMYFUNCTION("""COMPUTED_VALUE"""),31.0)</f>
        <v>31</v>
      </c>
      <c r="H15440" s="4"/>
      <c r="I15440" s="4"/>
    </row>
    <row r="15441">
      <c r="A15441" s="4" t="str">
        <f>IFERROR(__xludf.DUMMYFUNCTION("""COMPUTED_VALUE"""),"cas_hmw")</f>
        <v>cas_hmw</v>
      </c>
      <c r="B15441" s="5">
        <f>IFERROR(__xludf.DUMMYFUNCTION("""COMPUTED_VALUE"""),44729.0)</f>
        <v>44729</v>
      </c>
      <c r="C15441" s="6">
        <f>IFERROR(__xludf.DUMMYFUNCTION("""COMPUTED_VALUE"""),0.3398958333345945)</f>
        <v>0.3398958333</v>
      </c>
      <c r="D15441" s="4">
        <f>IFERROR(__xludf.DUMMYFUNCTION("""COMPUTED_VALUE"""),12.961653)</f>
        <v>12.961653</v>
      </c>
      <c r="E15441" s="4">
        <f>IFERROR(__xludf.DUMMYFUNCTION("""COMPUTED_VALUE"""),80.146127)</f>
        <v>80.146127</v>
      </c>
      <c r="F15441" s="4">
        <f>IFERROR(__xludf.DUMMYFUNCTION("""COMPUTED_VALUE"""),805.0)</f>
        <v>805</v>
      </c>
      <c r="G15441" s="4">
        <f>IFERROR(__xludf.DUMMYFUNCTION("""COMPUTED_VALUE"""),31.0)</f>
        <v>31</v>
      </c>
      <c r="H15441" s="4"/>
      <c r="I15441" s="4"/>
    </row>
    <row r="15442">
      <c r="A15442" s="4" t="str">
        <f>IFERROR(__xludf.DUMMYFUNCTION("""COMPUTED_VALUE"""),"cas_hmw")</f>
        <v>cas_hmw</v>
      </c>
      <c r="B15442" s="5">
        <f>IFERROR(__xludf.DUMMYFUNCTION("""COMPUTED_VALUE"""),44729.0)</f>
        <v>44729</v>
      </c>
      <c r="C15442" s="6">
        <f>IFERROR(__xludf.DUMMYFUNCTION("""COMPUTED_VALUE"""),0.3398958333345945)</f>
        <v>0.3398958333</v>
      </c>
      <c r="D15442" s="4">
        <f>IFERROR(__xludf.DUMMYFUNCTION("""COMPUTED_VALUE"""),12.961653)</f>
        <v>12.961653</v>
      </c>
      <c r="E15442" s="4">
        <f>IFERROR(__xludf.DUMMYFUNCTION("""COMPUTED_VALUE"""),80.146127)</f>
        <v>80.146127</v>
      </c>
      <c r="F15442" s="4">
        <f>IFERROR(__xludf.DUMMYFUNCTION("""COMPUTED_VALUE"""),805.0)</f>
        <v>805</v>
      </c>
      <c r="G15442" s="4">
        <f>IFERROR(__xludf.DUMMYFUNCTION("""COMPUTED_VALUE"""),31.0)</f>
        <v>31</v>
      </c>
      <c r="H15442" s="4"/>
      <c r="I15442" s="4"/>
    </row>
    <row r="15443">
      <c r="A15443" s="4" t="str">
        <f>IFERROR(__xludf.DUMMYFUNCTION("""COMPUTED_VALUE"""),"cas_hmw")</f>
        <v>cas_hmw</v>
      </c>
      <c r="B15443" s="5">
        <f>IFERROR(__xludf.DUMMYFUNCTION("""COMPUTED_VALUE"""),44729.0)</f>
        <v>44729</v>
      </c>
      <c r="C15443" s="6">
        <f>IFERROR(__xludf.DUMMYFUNCTION("""COMPUTED_VALUE"""),0.33991898148087785)</f>
        <v>0.3399189815</v>
      </c>
      <c r="D15443" s="4">
        <f>IFERROR(__xludf.DUMMYFUNCTION("""COMPUTED_VALUE"""),12.961653)</f>
        <v>12.961653</v>
      </c>
      <c r="E15443" s="4">
        <f>IFERROR(__xludf.DUMMYFUNCTION("""COMPUTED_VALUE"""),80.146127)</f>
        <v>80.146127</v>
      </c>
      <c r="F15443" s="4">
        <f>IFERROR(__xludf.DUMMYFUNCTION("""COMPUTED_VALUE"""),805.0)</f>
        <v>805</v>
      </c>
      <c r="G15443" s="4">
        <f>IFERROR(__xludf.DUMMYFUNCTION("""COMPUTED_VALUE"""),31.0)</f>
        <v>31</v>
      </c>
      <c r="H15443" s="4"/>
      <c r="I15443" s="4"/>
    </row>
    <row r="15444">
      <c r="A15444" s="4" t="str">
        <f>IFERROR(__xludf.DUMMYFUNCTION("""COMPUTED_VALUE"""),"cas_hmw")</f>
        <v>cas_hmw</v>
      </c>
      <c r="B15444" s="5">
        <f>IFERROR(__xludf.DUMMYFUNCTION("""COMPUTED_VALUE"""),44729.0)</f>
        <v>44729</v>
      </c>
      <c r="C15444" s="6">
        <f>IFERROR(__xludf.DUMMYFUNCTION("""COMPUTED_VALUE"""),0.3399305555540195)</f>
        <v>0.3399305556</v>
      </c>
      <c r="D15444" s="4">
        <f>IFERROR(__xludf.DUMMYFUNCTION("""COMPUTED_VALUE"""),12.961653)</f>
        <v>12.961653</v>
      </c>
      <c r="E15444" s="4">
        <f>IFERROR(__xludf.DUMMYFUNCTION("""COMPUTED_VALUE"""),80.146127)</f>
        <v>80.146127</v>
      </c>
      <c r="F15444" s="4">
        <f>IFERROR(__xludf.DUMMYFUNCTION("""COMPUTED_VALUE"""),805.0)</f>
        <v>805</v>
      </c>
      <c r="G15444" s="4">
        <f>IFERROR(__xludf.DUMMYFUNCTION("""COMPUTED_VALUE"""),31.0)</f>
        <v>31</v>
      </c>
      <c r="H15444" s="4"/>
      <c r="I15444" s="4"/>
    </row>
    <row r="15445">
      <c r="A15445" s="4" t="str">
        <f>IFERROR(__xludf.DUMMYFUNCTION("""COMPUTED_VALUE"""),"cas_hmw")</f>
        <v>cas_hmw</v>
      </c>
      <c r="B15445" s="5">
        <f>IFERROR(__xludf.DUMMYFUNCTION("""COMPUTED_VALUE"""),44729.0)</f>
        <v>44729</v>
      </c>
      <c r="C15445" s="6">
        <f>IFERROR(__xludf.DUMMYFUNCTION("""COMPUTED_VALUE"""),0.3406944444432156)</f>
        <v>0.3406944444</v>
      </c>
      <c r="D15445" s="4">
        <f>IFERROR(__xludf.DUMMYFUNCTION("""COMPUTED_VALUE"""),12.933033)</f>
        <v>12.933033</v>
      </c>
      <c r="E15445" s="4">
        <f>IFERROR(__xludf.DUMMYFUNCTION("""COMPUTED_VALUE"""),80.124305)</f>
        <v>80.124305</v>
      </c>
      <c r="F15445" s="4">
        <f>IFERROR(__xludf.DUMMYFUNCTION("""COMPUTED_VALUE"""),5339.0)</f>
        <v>5339</v>
      </c>
      <c r="G15445" s="4">
        <f>IFERROR(__xludf.DUMMYFUNCTION("""COMPUTED_VALUE"""),55.0)</f>
        <v>55</v>
      </c>
      <c r="H15445" s="4"/>
      <c r="I15445" s="4"/>
    </row>
    <row r="15446">
      <c r="A15446" s="4" t="str">
        <f>IFERROR(__xludf.DUMMYFUNCTION("""COMPUTED_VALUE"""),"cas_hmw")</f>
        <v>cas_hmw</v>
      </c>
      <c r="B15446" s="5">
        <f>IFERROR(__xludf.DUMMYFUNCTION("""COMPUTED_VALUE"""),44729.0)</f>
        <v>44729</v>
      </c>
      <c r="C15446" s="6">
        <f>IFERROR(__xludf.DUMMYFUNCTION("""COMPUTED_VALUE"""),0.3407638888893416)</f>
        <v>0.3407638889</v>
      </c>
      <c r="D15446" s="4">
        <f>IFERROR(__xludf.DUMMYFUNCTION("""COMPUTED_VALUE"""),12.933033)</f>
        <v>12.933033</v>
      </c>
      <c r="E15446" s="4">
        <f>IFERROR(__xludf.DUMMYFUNCTION("""COMPUTED_VALUE"""),80.124305)</f>
        <v>80.124305</v>
      </c>
      <c r="F15446" s="4">
        <f>IFERROR(__xludf.DUMMYFUNCTION("""COMPUTED_VALUE"""),5339.0)</f>
        <v>5339</v>
      </c>
      <c r="G15446" s="4">
        <f>IFERROR(__xludf.DUMMYFUNCTION("""COMPUTED_VALUE"""),55.0)</f>
        <v>55</v>
      </c>
      <c r="H15446" s="4"/>
      <c r="I15446" s="4"/>
    </row>
    <row r="15447">
      <c r="A15447" s="4" t="str">
        <f>IFERROR(__xludf.DUMMYFUNCTION("""COMPUTED_VALUE"""),"cas_hmw")</f>
        <v>cas_hmw</v>
      </c>
      <c r="B15447" s="5">
        <f>IFERROR(__xludf.DUMMYFUNCTION("""COMPUTED_VALUE"""),44729.0)</f>
        <v>44729</v>
      </c>
      <c r="C15447" s="6">
        <f>IFERROR(__xludf.DUMMYFUNCTION("""COMPUTED_VALUE"""),0.3409490740741603)</f>
        <v>0.3409490741</v>
      </c>
      <c r="D15447" s="4">
        <f>IFERROR(__xludf.DUMMYFUNCTION("""COMPUTED_VALUE"""),12.840702)</f>
        <v>12.840702</v>
      </c>
      <c r="E15447" s="4">
        <f>IFERROR(__xludf.DUMMYFUNCTION("""COMPUTED_VALUE"""),80.056076)</f>
        <v>80.056076</v>
      </c>
      <c r="F15447" s="4">
        <f>IFERROR(__xludf.DUMMYFUNCTION("""COMPUTED_VALUE"""),2846.0)</f>
        <v>2846</v>
      </c>
      <c r="G15447" s="4">
        <f>IFERROR(__xludf.DUMMYFUNCTION("""COMPUTED_VALUE"""),22.0)</f>
        <v>22</v>
      </c>
      <c r="H15447" s="4"/>
      <c r="I15447" s="4"/>
    </row>
    <row r="15448">
      <c r="A15448" s="4" t="str">
        <f>IFERROR(__xludf.DUMMYFUNCTION("""COMPUTED_VALUE"""),"cas_hmw")</f>
        <v>cas_hmw</v>
      </c>
      <c r="B15448" s="5">
        <f>IFERROR(__xludf.DUMMYFUNCTION("""COMPUTED_VALUE"""),44729.0)</f>
        <v>44729</v>
      </c>
      <c r="C15448" s="6">
        <f>IFERROR(__xludf.DUMMYFUNCTION("""COMPUTED_VALUE"""),0.34097222222044365)</f>
        <v>0.3409722222</v>
      </c>
      <c r="D15448" s="4">
        <f>IFERROR(__xludf.DUMMYFUNCTION("""COMPUTED_VALUE"""),12.931135)</f>
        <v>12.931135</v>
      </c>
      <c r="E15448" s="4">
        <f>IFERROR(__xludf.DUMMYFUNCTION("""COMPUTED_VALUE"""),80.122383)</f>
        <v>80.122383</v>
      </c>
      <c r="F15448" s="4">
        <f>IFERROR(__xludf.DUMMYFUNCTION("""COMPUTED_VALUE"""),5339.0)</f>
        <v>5339</v>
      </c>
      <c r="G15448" s="4">
        <f>IFERROR(__xludf.DUMMYFUNCTION("""COMPUTED_VALUE"""),51.0)</f>
        <v>51</v>
      </c>
      <c r="H15448" s="4"/>
      <c r="I15448" s="4"/>
    </row>
    <row r="15449">
      <c r="A15449" s="4" t="str">
        <f>IFERROR(__xludf.DUMMYFUNCTION("""COMPUTED_VALUE"""),"cas_hmw")</f>
        <v>cas_hmw</v>
      </c>
      <c r="B15449" s="5">
        <f>IFERROR(__xludf.DUMMYFUNCTION("""COMPUTED_VALUE"""),44729.0)</f>
        <v>44729</v>
      </c>
      <c r="C15449" s="6">
        <f>IFERROR(__xludf.DUMMYFUNCTION("""COMPUTED_VALUE"""),0.34159722222102573)</f>
        <v>0.3415972222</v>
      </c>
      <c r="D15449" s="4">
        <f>IFERROR(__xludf.DUMMYFUNCTION("""COMPUTED_VALUE"""),12.926486)</f>
        <v>12.926486</v>
      </c>
      <c r="E15449" s="4">
        <f>IFERROR(__xludf.DUMMYFUNCTION("""COMPUTED_VALUE"""),80.117664)</f>
        <v>80.117664</v>
      </c>
      <c r="F15449" s="4">
        <f>IFERROR(__xludf.DUMMYFUNCTION("""COMPUTED_VALUE"""),5339.0)</f>
        <v>5339</v>
      </c>
      <c r="G15449" s="4">
        <f>IFERROR(__xludf.DUMMYFUNCTION("""COMPUTED_VALUE"""),41.0)</f>
        <v>41</v>
      </c>
      <c r="H15449" s="4"/>
      <c r="I15449" s="4"/>
    </row>
    <row r="15450">
      <c r="A15450" s="4" t="str">
        <f>IFERROR(__xludf.DUMMYFUNCTION("""COMPUTED_VALUE"""),"cas_hmw")</f>
        <v>cas_hmw</v>
      </c>
      <c r="B15450" s="5">
        <f>IFERROR(__xludf.DUMMYFUNCTION("""COMPUTED_VALUE"""),44729.0)</f>
        <v>44729</v>
      </c>
      <c r="C15450" s="6">
        <f>IFERROR(__xludf.DUMMYFUNCTION("""COMPUTED_VALUE"""),0.3416435185172304)</f>
        <v>0.3416435185</v>
      </c>
      <c r="D15450" s="4">
        <f>IFERROR(__xludf.DUMMYFUNCTION("""COMPUTED_VALUE"""),12.926486)</f>
        <v>12.926486</v>
      </c>
      <c r="E15450" s="4">
        <f>IFERROR(__xludf.DUMMYFUNCTION("""COMPUTED_VALUE"""),80.117664)</f>
        <v>80.117664</v>
      </c>
      <c r="F15450" s="4">
        <f>IFERROR(__xludf.DUMMYFUNCTION("""COMPUTED_VALUE"""),5339.0)</f>
        <v>5339</v>
      </c>
      <c r="G15450" s="4">
        <f>IFERROR(__xludf.DUMMYFUNCTION("""COMPUTED_VALUE"""),41.0)</f>
        <v>41</v>
      </c>
      <c r="H15450" s="4"/>
      <c r="I15450" s="4"/>
    </row>
    <row r="15451">
      <c r="A15451" s="4" t="str">
        <f>IFERROR(__xludf.DUMMYFUNCTION("""COMPUTED_VALUE"""),"cas_hmw")</f>
        <v>cas_hmw</v>
      </c>
      <c r="B15451" s="5">
        <f>IFERROR(__xludf.DUMMYFUNCTION("""COMPUTED_VALUE"""),44729.0)</f>
        <v>44729</v>
      </c>
      <c r="C15451" s="6">
        <f>IFERROR(__xludf.DUMMYFUNCTION("""COMPUTED_VALUE"""),0.3420370370367891)</f>
        <v>0.342037037</v>
      </c>
      <c r="D15451" s="4">
        <f>IFERROR(__xludf.DUMMYFUNCTION("""COMPUTED_VALUE"""),12.922847)</f>
        <v>12.922847</v>
      </c>
      <c r="E15451" s="4">
        <f>IFERROR(__xludf.DUMMYFUNCTION("""COMPUTED_VALUE"""),80.114017)</f>
        <v>80.114017</v>
      </c>
      <c r="F15451" s="4">
        <f>IFERROR(__xludf.DUMMYFUNCTION("""COMPUTED_VALUE"""),5339.0)</f>
        <v>5339</v>
      </c>
      <c r="G15451" s="4">
        <f>IFERROR(__xludf.DUMMYFUNCTION("""COMPUTED_VALUE"""),60.0)</f>
        <v>60</v>
      </c>
      <c r="H15451" s="4"/>
      <c r="I15451" s="4"/>
    </row>
    <row r="15452">
      <c r="A15452" s="4" t="str">
        <f>IFERROR(__xludf.DUMMYFUNCTION("""COMPUTED_VALUE"""),"cas_hmw")</f>
        <v>cas_hmw</v>
      </c>
      <c r="B15452" s="5">
        <f>IFERROR(__xludf.DUMMYFUNCTION("""COMPUTED_VALUE"""),44729.0)</f>
        <v>44729</v>
      </c>
      <c r="C15452" s="6">
        <f>IFERROR(__xludf.DUMMYFUNCTION("""COMPUTED_VALUE"""),0.34219907407532446)</f>
        <v>0.3421990741</v>
      </c>
      <c r="D15452" s="4">
        <f>IFERROR(__xludf.DUMMYFUNCTION("""COMPUTED_VALUE"""),12.921813)</f>
        <v>12.921813</v>
      </c>
      <c r="E15452" s="4">
        <f>IFERROR(__xludf.DUMMYFUNCTION("""COMPUTED_VALUE"""),80.112966)</f>
        <v>80.112966</v>
      </c>
      <c r="F15452" s="4">
        <f>IFERROR(__xludf.DUMMYFUNCTION("""COMPUTED_VALUE"""),5339.0)</f>
        <v>5339</v>
      </c>
      <c r="G15452" s="4">
        <f>IFERROR(__xludf.DUMMYFUNCTION("""COMPUTED_VALUE"""),54.0)</f>
        <v>54</v>
      </c>
      <c r="H15452" s="4"/>
      <c r="I15452" s="4"/>
    </row>
    <row r="15453">
      <c r="A15453" s="4" t="str">
        <f>IFERROR(__xludf.DUMMYFUNCTION("""COMPUTED_VALUE"""),"cas_hmw")</f>
        <v>cas_hmw</v>
      </c>
      <c r="B15453" s="5">
        <f>IFERROR(__xludf.DUMMYFUNCTION("""COMPUTED_VALUE"""),44729.0)</f>
        <v>44729</v>
      </c>
      <c r="C15453" s="6">
        <f>IFERROR(__xludf.DUMMYFUNCTION("""COMPUTED_VALUE"""),0.34256944444496185)</f>
        <v>0.3425694444</v>
      </c>
      <c r="D15453" s="4">
        <f>IFERROR(__xludf.DUMMYFUNCTION("""COMPUTED_VALUE"""),12.949723)</f>
        <v>12.949723</v>
      </c>
      <c r="E15453" s="4">
        <f>IFERROR(__xludf.DUMMYFUNCTION("""COMPUTED_VALUE"""),80.139026)</f>
        <v>80.139026</v>
      </c>
      <c r="F15453" s="4">
        <f>IFERROR(__xludf.DUMMYFUNCTION("""COMPUTED_VALUE"""),805.0)</f>
        <v>805</v>
      </c>
      <c r="G15453" s="4">
        <f>IFERROR(__xludf.DUMMYFUNCTION("""COMPUTED_VALUE"""),27.0)</f>
        <v>27</v>
      </c>
      <c r="H15453" s="4"/>
      <c r="I15453" s="4"/>
    </row>
    <row r="15454">
      <c r="A15454" s="4" t="str">
        <f>IFERROR(__xludf.DUMMYFUNCTION("""COMPUTED_VALUE"""),"cas_hmw")</f>
        <v>cas_hmw</v>
      </c>
      <c r="B15454" s="5">
        <f>IFERROR(__xludf.DUMMYFUNCTION("""COMPUTED_VALUE"""),44729.0)</f>
        <v>44729</v>
      </c>
      <c r="C15454" s="6">
        <f>IFERROR(__xludf.DUMMYFUNCTION("""COMPUTED_VALUE"""),0.34282407407226856)</f>
        <v>0.3428240741</v>
      </c>
      <c r="D15454" s="4">
        <f>IFERROR(__xludf.DUMMYFUNCTION("""COMPUTED_VALUE"""),12.917387)</f>
        <v>12.917387</v>
      </c>
      <c r="E15454" s="4">
        <f>IFERROR(__xludf.DUMMYFUNCTION("""COMPUTED_VALUE"""),80.107804)</f>
        <v>80.107804</v>
      </c>
      <c r="F15454" s="4">
        <f>IFERROR(__xludf.DUMMYFUNCTION("""COMPUTED_VALUE"""),5339.0)</f>
        <v>5339</v>
      </c>
      <c r="G15454" s="4">
        <f>IFERROR(__xludf.DUMMYFUNCTION("""COMPUTED_VALUE"""),45.0)</f>
        <v>45</v>
      </c>
      <c r="H15454" s="4"/>
      <c r="I15454" s="4"/>
    </row>
    <row r="15455">
      <c r="A15455" s="4" t="str">
        <f>IFERROR(__xludf.DUMMYFUNCTION("""COMPUTED_VALUE"""),"cas_hmw")</f>
        <v>cas_hmw</v>
      </c>
      <c r="B15455" s="5">
        <f>IFERROR(__xludf.DUMMYFUNCTION("""COMPUTED_VALUE"""),44729.0)</f>
        <v>44729</v>
      </c>
      <c r="C15455" s="6">
        <f>IFERROR(__xludf.DUMMYFUNCTION("""COMPUTED_VALUE"""),0.3428472222221899)</f>
        <v>0.3428472222</v>
      </c>
      <c r="D15455" s="4">
        <f>IFERROR(__xludf.DUMMYFUNCTION("""COMPUTED_VALUE"""),12.948147)</f>
        <v>12.948147</v>
      </c>
      <c r="E15455" s="4">
        <f>IFERROR(__xludf.DUMMYFUNCTION("""COMPUTED_VALUE"""),80.137734)</f>
        <v>80.137734</v>
      </c>
      <c r="F15455" s="4">
        <f>IFERROR(__xludf.DUMMYFUNCTION("""COMPUTED_VALUE"""),805.0)</f>
        <v>805</v>
      </c>
      <c r="G15455" s="4">
        <f>IFERROR(__xludf.DUMMYFUNCTION("""COMPUTED_VALUE"""),41.0)</f>
        <v>41</v>
      </c>
      <c r="H15455" s="4"/>
      <c r="I15455" s="4"/>
    </row>
    <row r="15456">
      <c r="A15456" s="4" t="str">
        <f>IFERROR(__xludf.DUMMYFUNCTION("""COMPUTED_VALUE"""),"cas_hmw")</f>
        <v>cas_hmw</v>
      </c>
      <c r="B15456" s="5">
        <f>IFERROR(__xludf.DUMMYFUNCTION("""COMPUTED_VALUE"""),44729.0)</f>
        <v>44729</v>
      </c>
      <c r="C15456" s="6">
        <f>IFERROR(__xludf.DUMMYFUNCTION("""COMPUTED_VALUE"""),0.34285879629533156)</f>
        <v>0.3428587963</v>
      </c>
      <c r="D15456" s="4">
        <f>IFERROR(__xludf.DUMMYFUNCTION("""COMPUTED_VALUE"""),12.948147)</f>
        <v>12.948147</v>
      </c>
      <c r="E15456" s="4">
        <f>IFERROR(__xludf.DUMMYFUNCTION("""COMPUTED_VALUE"""),80.137734)</f>
        <v>80.137734</v>
      </c>
      <c r="F15456" s="4">
        <f>IFERROR(__xludf.DUMMYFUNCTION("""COMPUTED_VALUE"""),805.0)</f>
        <v>805</v>
      </c>
      <c r="G15456" s="4">
        <f>IFERROR(__xludf.DUMMYFUNCTION("""COMPUTED_VALUE"""),41.0)</f>
        <v>41</v>
      </c>
      <c r="H15456" s="4"/>
      <c r="I15456" s="4"/>
    </row>
    <row r="15457">
      <c r="A15457" s="4" t="str">
        <f>IFERROR(__xludf.DUMMYFUNCTION("""COMPUTED_VALUE"""),"cas_hmw")</f>
        <v>cas_hmw</v>
      </c>
      <c r="B15457" s="5">
        <f>IFERROR(__xludf.DUMMYFUNCTION("""COMPUTED_VALUE"""),44729.0)</f>
        <v>44729</v>
      </c>
      <c r="C15457" s="6">
        <f>IFERROR(__xludf.DUMMYFUNCTION("""COMPUTED_VALUE"""),0.34307870370321325)</f>
        <v>0.3430787037</v>
      </c>
      <c r="D15457" s="4">
        <f>IFERROR(__xludf.DUMMYFUNCTION("""COMPUTED_VALUE"""),12.847098)</f>
        <v>12.847098</v>
      </c>
      <c r="E15457" s="4">
        <f>IFERROR(__xludf.DUMMYFUNCTION("""COMPUTED_VALUE"""),80.062522)</f>
        <v>80.062522</v>
      </c>
      <c r="F15457" s="4">
        <f>IFERROR(__xludf.DUMMYFUNCTION("""COMPUTED_VALUE"""),2846.0)</f>
        <v>2846</v>
      </c>
      <c r="G15457" s="4">
        <f>IFERROR(__xludf.DUMMYFUNCTION("""COMPUTED_VALUE"""),39.0)</f>
        <v>39</v>
      </c>
      <c r="H15457" s="4"/>
      <c r="I15457" s="4"/>
    </row>
    <row r="15458">
      <c r="A15458" s="4" t="str">
        <f>IFERROR(__xludf.DUMMYFUNCTION("""COMPUTED_VALUE"""),"cas_hmw")</f>
        <v>cas_hmw</v>
      </c>
      <c r="B15458" s="5">
        <f>IFERROR(__xludf.DUMMYFUNCTION("""COMPUTED_VALUE"""),44729.0)</f>
        <v>44729</v>
      </c>
      <c r="C15458" s="6">
        <f>IFERROR(__xludf.DUMMYFUNCTION("""COMPUTED_VALUE"""),0.3432060185186856)</f>
        <v>0.3432060185</v>
      </c>
      <c r="D15458" s="4">
        <f>IFERROR(__xludf.DUMMYFUNCTION("""COMPUTED_VALUE"""),12.915105)</f>
        <v>12.915105</v>
      </c>
      <c r="E15458" s="4">
        <f>IFERROR(__xludf.DUMMYFUNCTION("""COMPUTED_VALUE"""),80.103688)</f>
        <v>80.103688</v>
      </c>
      <c r="F15458" s="4">
        <f>IFERROR(__xludf.DUMMYFUNCTION("""COMPUTED_VALUE"""),5339.0)</f>
        <v>5339</v>
      </c>
      <c r="G15458" s="4">
        <f>IFERROR(__xludf.DUMMYFUNCTION("""COMPUTED_VALUE"""),53.0)</f>
        <v>53</v>
      </c>
      <c r="H15458" s="4"/>
      <c r="I15458" s="4"/>
    </row>
    <row r="15459">
      <c r="A15459" s="4" t="str">
        <f>IFERROR(__xludf.DUMMYFUNCTION("""COMPUTED_VALUE"""),"cas_hmw")</f>
        <v>cas_hmw</v>
      </c>
      <c r="B15459" s="5">
        <f>IFERROR(__xludf.DUMMYFUNCTION("""COMPUTED_VALUE"""),44729.0)</f>
        <v>44729</v>
      </c>
      <c r="C15459" s="6">
        <f>IFERROR(__xludf.DUMMYFUNCTION("""COMPUTED_VALUE"""),0.34333333333415794)</f>
        <v>0.3433333333</v>
      </c>
      <c r="D15459" s="4">
        <f>IFERROR(__xludf.DUMMYFUNCTION("""COMPUTED_VALUE"""),12.944856)</f>
        <v>12.944856</v>
      </c>
      <c r="E15459" s="4">
        <f>IFERROR(__xludf.DUMMYFUNCTION("""COMPUTED_VALUE"""),80.13525)</f>
        <v>80.13525</v>
      </c>
      <c r="F15459" s="4">
        <f>IFERROR(__xludf.DUMMYFUNCTION("""COMPUTED_VALUE"""),805.0)</f>
        <v>805</v>
      </c>
      <c r="G15459" s="4">
        <f>IFERROR(__xludf.DUMMYFUNCTION("""COMPUTED_VALUE"""),44.0)</f>
        <v>44</v>
      </c>
      <c r="H15459" s="4"/>
      <c r="I15459" s="4"/>
    </row>
    <row r="15460">
      <c r="A15460" s="4" t="str">
        <f>IFERROR(__xludf.DUMMYFUNCTION("""COMPUTED_VALUE"""),"cas_hmw")</f>
        <v>cas_hmw</v>
      </c>
      <c r="B15460" s="5">
        <f>IFERROR(__xludf.DUMMYFUNCTION("""COMPUTED_VALUE"""),44729.0)</f>
        <v>44729</v>
      </c>
      <c r="C15460" s="6">
        <f>IFERROR(__xludf.DUMMYFUNCTION("""COMPUTED_VALUE"""),0.34344907407285064)</f>
        <v>0.3434490741</v>
      </c>
      <c r="D15460" s="4">
        <f>IFERROR(__xludf.DUMMYFUNCTION("""COMPUTED_VALUE"""),12.913942)</f>
        <v>12.913942</v>
      </c>
      <c r="E15460" s="4">
        <f>IFERROR(__xludf.DUMMYFUNCTION("""COMPUTED_VALUE"""),80.101954)</f>
        <v>80.101954</v>
      </c>
      <c r="F15460" s="4">
        <f>IFERROR(__xludf.DUMMYFUNCTION("""COMPUTED_VALUE"""),5339.0)</f>
        <v>5339</v>
      </c>
      <c r="G15460" s="4">
        <f>IFERROR(__xludf.DUMMYFUNCTION("""COMPUTED_VALUE"""),39.0)</f>
        <v>39</v>
      </c>
      <c r="H15460" s="4"/>
      <c r="I15460" s="4"/>
    </row>
    <row r="15461">
      <c r="A15461" s="4" t="str">
        <f>IFERROR(__xludf.DUMMYFUNCTION("""COMPUTED_VALUE"""),"cas_hmw")</f>
        <v>cas_hmw</v>
      </c>
      <c r="B15461" s="5">
        <f>IFERROR(__xludf.DUMMYFUNCTION("""COMPUTED_VALUE"""),44729.0)</f>
        <v>44729</v>
      </c>
      <c r="C15461" s="6">
        <f>IFERROR(__xludf.DUMMYFUNCTION("""COMPUTED_VALUE"""),0.34398148148102337)</f>
        <v>0.3439814815</v>
      </c>
      <c r="D15461" s="4">
        <f>IFERROR(__xludf.DUMMYFUNCTION("""COMPUTED_VALUE"""),12.942416)</f>
        <v>12.942416</v>
      </c>
      <c r="E15461" s="4">
        <f>IFERROR(__xludf.DUMMYFUNCTION("""COMPUTED_VALUE"""),80.133068)</f>
        <v>80.133068</v>
      </c>
      <c r="F15461" s="4">
        <f>IFERROR(__xludf.DUMMYFUNCTION("""COMPUTED_VALUE"""),805.0)</f>
        <v>805</v>
      </c>
      <c r="G15461" s="4">
        <f>IFERROR(__xludf.DUMMYFUNCTION("""COMPUTED_VALUE"""),23.0)</f>
        <v>23</v>
      </c>
      <c r="H15461" s="4"/>
      <c r="I15461" s="4"/>
    </row>
    <row r="15462">
      <c r="A15462" s="4" t="str">
        <f>IFERROR(__xludf.DUMMYFUNCTION("""COMPUTED_VALUE"""),"cas_hmw")</f>
        <v>cas_hmw</v>
      </c>
      <c r="B15462" s="5">
        <f>IFERROR(__xludf.DUMMYFUNCTION("""COMPUTED_VALUE"""),44729.0)</f>
        <v>44729</v>
      </c>
      <c r="C15462" s="6">
        <f>IFERROR(__xludf.DUMMYFUNCTION("""COMPUTED_VALUE"""),0.34435185185066075)</f>
        <v>0.3443518519</v>
      </c>
      <c r="D15462" s="4">
        <f>IFERROR(__xludf.DUMMYFUNCTION("""COMPUTED_VALUE"""),12.939781)</f>
        <v>12.939781</v>
      </c>
      <c r="E15462" s="4">
        <f>IFERROR(__xludf.DUMMYFUNCTION("""COMPUTED_VALUE"""),80.13038)</f>
        <v>80.13038</v>
      </c>
      <c r="F15462" s="4">
        <f>IFERROR(__xludf.DUMMYFUNCTION("""COMPUTED_VALUE"""),805.0)</f>
        <v>805</v>
      </c>
      <c r="G15462" s="4">
        <f>IFERROR(__xludf.DUMMYFUNCTION("""COMPUTED_VALUE"""),57.0)</f>
        <v>57</v>
      </c>
      <c r="H15462" s="4"/>
      <c r="I15462" s="4"/>
    </row>
    <row r="15463">
      <c r="A15463" s="4" t="str">
        <f>IFERROR(__xludf.DUMMYFUNCTION("""COMPUTED_VALUE"""),"cas_hmw")</f>
        <v>cas_hmw</v>
      </c>
      <c r="B15463" s="5">
        <f>IFERROR(__xludf.DUMMYFUNCTION("""COMPUTED_VALUE"""),44729.0)</f>
        <v>44729</v>
      </c>
      <c r="C15463" s="6">
        <f>IFERROR(__xludf.DUMMYFUNCTION("""COMPUTED_VALUE"""),0.3445833333316841)</f>
        <v>0.3445833333</v>
      </c>
      <c r="D15463" s="4">
        <f>IFERROR(__xludf.DUMMYFUNCTION("""COMPUTED_VALUE"""),12.909041)</f>
        <v>12.909041</v>
      </c>
      <c r="E15463" s="4">
        <f>IFERROR(__xludf.DUMMYFUNCTION("""COMPUTED_VALUE"""),80.098866)</f>
        <v>80.098866</v>
      </c>
      <c r="F15463" s="4">
        <f>IFERROR(__xludf.DUMMYFUNCTION("""COMPUTED_VALUE"""),5339.0)</f>
        <v>5339</v>
      </c>
      <c r="G15463" s="4">
        <f>IFERROR(__xludf.DUMMYFUNCTION("""COMPUTED_VALUE"""),19.0)</f>
        <v>19</v>
      </c>
      <c r="H15463" s="4"/>
      <c r="I15463" s="4"/>
    </row>
    <row r="15464">
      <c r="A15464" s="4" t="str">
        <f>IFERROR(__xludf.DUMMYFUNCTION("""COMPUTED_VALUE"""),"cas_hmw")</f>
        <v>cas_hmw</v>
      </c>
      <c r="B15464" s="5">
        <f>IFERROR(__xludf.DUMMYFUNCTION("""COMPUTED_VALUE"""),44729.0)</f>
        <v>44729</v>
      </c>
      <c r="C15464" s="6">
        <f>IFERROR(__xludf.DUMMYFUNCTION("""COMPUTED_VALUE"""),0.34459490740846377)</f>
        <v>0.3445949074</v>
      </c>
      <c r="D15464" s="4">
        <f>IFERROR(__xludf.DUMMYFUNCTION("""COMPUTED_VALUE"""),12.909041)</f>
        <v>12.909041</v>
      </c>
      <c r="E15464" s="4">
        <f>IFERROR(__xludf.DUMMYFUNCTION("""COMPUTED_VALUE"""),80.098866)</f>
        <v>80.098866</v>
      </c>
      <c r="F15464" s="4">
        <f>IFERROR(__xludf.DUMMYFUNCTION("""COMPUTED_VALUE"""),5339.0)</f>
        <v>5339</v>
      </c>
      <c r="G15464" s="4">
        <f>IFERROR(__xludf.DUMMYFUNCTION("""COMPUTED_VALUE"""),19.0)</f>
        <v>19</v>
      </c>
      <c r="H15464" s="4"/>
      <c r="I15464" s="4"/>
    </row>
    <row r="15465">
      <c r="A15465" s="4" t="str">
        <f>IFERROR(__xludf.DUMMYFUNCTION("""COMPUTED_VALUE"""),"cas_hmw")</f>
        <v>cas_hmw</v>
      </c>
      <c r="B15465" s="5">
        <f>IFERROR(__xludf.DUMMYFUNCTION("""COMPUTED_VALUE"""),44729.0)</f>
        <v>44729</v>
      </c>
      <c r="C15465" s="6">
        <f>IFERROR(__xludf.DUMMYFUNCTION("""COMPUTED_VALUE"""),0.3446875000008731)</f>
        <v>0.3446875</v>
      </c>
      <c r="D15465" s="4">
        <f>IFERROR(__xludf.DUMMYFUNCTION("""COMPUTED_VALUE"""),12.93606)</f>
        <v>12.93606</v>
      </c>
      <c r="E15465" s="4">
        <f>IFERROR(__xludf.DUMMYFUNCTION("""COMPUTED_VALUE"""),80.127184)</f>
        <v>80.127184</v>
      </c>
      <c r="F15465" s="4">
        <f>IFERROR(__xludf.DUMMYFUNCTION("""COMPUTED_VALUE"""),805.0)</f>
        <v>805</v>
      </c>
      <c r="G15465" s="4">
        <f>IFERROR(__xludf.DUMMYFUNCTION("""COMPUTED_VALUE"""),39.0)</f>
        <v>39</v>
      </c>
      <c r="H15465" s="4"/>
      <c r="I15465" s="4"/>
    </row>
    <row r="15466">
      <c r="A15466" s="4" t="str">
        <f>IFERROR(__xludf.DUMMYFUNCTION("""COMPUTED_VALUE"""),"cas_hmw")</f>
        <v>cas_hmw</v>
      </c>
      <c r="B15466" s="5">
        <f>IFERROR(__xludf.DUMMYFUNCTION("""COMPUTED_VALUE"""),44729.0)</f>
        <v>44729</v>
      </c>
      <c r="C15466" s="6">
        <f>IFERROR(__xludf.DUMMYFUNCTION("""COMPUTED_VALUE"""),0.3456828703710926)</f>
        <v>0.3456828704</v>
      </c>
      <c r="D15466" s="4">
        <f>IFERROR(__xludf.DUMMYFUNCTION("""COMPUTED_VALUE"""),12.9052)</f>
        <v>12.9052</v>
      </c>
      <c r="E15466" s="4">
        <f>IFERROR(__xludf.DUMMYFUNCTION("""COMPUTED_VALUE"""),80.095582)</f>
        <v>80.095582</v>
      </c>
      <c r="F15466" s="4">
        <f>IFERROR(__xludf.DUMMYFUNCTION("""COMPUTED_VALUE"""),5339.0)</f>
        <v>5339</v>
      </c>
      <c r="G15466" s="4">
        <f>IFERROR(__xludf.DUMMYFUNCTION("""COMPUTED_VALUE"""),18.0)</f>
        <v>18</v>
      </c>
      <c r="H15466" s="4"/>
      <c r="I15466" s="4"/>
    </row>
    <row r="15467">
      <c r="A15467" s="4" t="str">
        <f>IFERROR(__xludf.DUMMYFUNCTION("""COMPUTED_VALUE"""),"cas_hmw")</f>
        <v>cas_hmw</v>
      </c>
      <c r="B15467" s="5">
        <f>IFERROR(__xludf.DUMMYFUNCTION("""COMPUTED_VALUE"""),44729.0)</f>
        <v>44729</v>
      </c>
      <c r="C15467" s="6">
        <f>IFERROR(__xludf.DUMMYFUNCTION("""COMPUTED_VALUE"""),0.34569444444423425)</f>
        <v>0.3456944444</v>
      </c>
      <c r="D15467" s="4">
        <f>IFERROR(__xludf.DUMMYFUNCTION("""COMPUTED_VALUE"""),12.9052)</f>
        <v>12.9052</v>
      </c>
      <c r="E15467" s="4">
        <f>IFERROR(__xludf.DUMMYFUNCTION("""COMPUTED_VALUE"""),80.095582)</f>
        <v>80.095582</v>
      </c>
      <c r="F15467" s="4">
        <f>IFERROR(__xludf.DUMMYFUNCTION("""COMPUTED_VALUE"""),5339.0)</f>
        <v>5339</v>
      </c>
      <c r="G15467" s="4">
        <f>IFERROR(__xludf.DUMMYFUNCTION("""COMPUTED_VALUE"""),18.0)</f>
        <v>18</v>
      </c>
      <c r="H15467" s="4"/>
      <c r="I15467" s="4"/>
    </row>
    <row r="15468">
      <c r="A15468" s="4" t="str">
        <f>IFERROR(__xludf.DUMMYFUNCTION("""COMPUTED_VALUE"""),"cas_hmw")</f>
        <v>cas_hmw</v>
      </c>
      <c r="B15468" s="5">
        <f>IFERROR(__xludf.DUMMYFUNCTION("""COMPUTED_VALUE"""),44729.0)</f>
        <v>44729</v>
      </c>
      <c r="C15468" s="6">
        <f>IFERROR(__xludf.DUMMYFUNCTION("""COMPUTED_VALUE"""),0.3457754629635019)</f>
        <v>0.345775463</v>
      </c>
      <c r="D15468" s="4">
        <f>IFERROR(__xludf.DUMMYFUNCTION("""COMPUTED_VALUE"""),12.904678)</f>
        <v>12.904678</v>
      </c>
      <c r="E15468" s="4">
        <f>IFERROR(__xludf.DUMMYFUNCTION("""COMPUTED_VALUE"""),80.095233)</f>
        <v>80.095233</v>
      </c>
      <c r="F15468" s="4">
        <f>IFERROR(__xludf.DUMMYFUNCTION("""COMPUTED_VALUE"""),5339.0)</f>
        <v>5339</v>
      </c>
      <c r="G15468" s="4">
        <f>IFERROR(__xludf.DUMMYFUNCTION("""COMPUTED_VALUE"""),32.0)</f>
        <v>32</v>
      </c>
      <c r="H15468" s="4"/>
      <c r="I15468" s="4"/>
    </row>
    <row r="15469">
      <c r="A15469" s="4" t="str">
        <f>IFERROR(__xludf.DUMMYFUNCTION("""COMPUTED_VALUE"""),"cas_hmw")</f>
        <v>cas_hmw</v>
      </c>
      <c r="B15469" s="5">
        <f>IFERROR(__xludf.DUMMYFUNCTION("""COMPUTED_VALUE"""),44729.0)</f>
        <v>44729</v>
      </c>
      <c r="C15469" s="6">
        <f>IFERROR(__xludf.DUMMYFUNCTION("""COMPUTED_VALUE"""),0.346192129629344)</f>
        <v>0.3461921296</v>
      </c>
      <c r="D15469" s="4">
        <f>IFERROR(__xludf.DUMMYFUNCTION("""COMPUTED_VALUE"""),12.868435)</f>
        <v>12.868435</v>
      </c>
      <c r="E15469" s="4">
        <f>IFERROR(__xludf.DUMMYFUNCTION("""COMPUTED_VALUE"""),80.075752)</f>
        <v>80.075752</v>
      </c>
      <c r="F15469" s="4">
        <f>IFERROR(__xludf.DUMMYFUNCTION("""COMPUTED_VALUE"""),2846.0)</f>
        <v>2846</v>
      </c>
      <c r="G15469" s="4">
        <f>IFERROR(__xludf.DUMMYFUNCTION("""COMPUTED_VALUE"""),43.0)</f>
        <v>43</v>
      </c>
      <c r="H15469" s="4"/>
      <c r="I15469" s="4"/>
    </row>
    <row r="15470">
      <c r="A15470" s="4" t="str">
        <f>IFERROR(__xludf.DUMMYFUNCTION("""COMPUTED_VALUE"""),"cas_hmw")</f>
        <v>cas_hmw</v>
      </c>
      <c r="B15470" s="5">
        <f>IFERROR(__xludf.DUMMYFUNCTION("""COMPUTED_VALUE"""),44729.0)</f>
        <v>44729</v>
      </c>
      <c r="C15470" s="6">
        <f>IFERROR(__xludf.DUMMYFUNCTION("""COMPUTED_VALUE"""),0.34626157407547)</f>
        <v>0.3462615741</v>
      </c>
      <c r="D15470" s="4">
        <f>IFERROR(__xludf.DUMMYFUNCTION("""COMPUTED_VALUE"""),12.928321)</f>
        <v>12.928321</v>
      </c>
      <c r="E15470" s="4">
        <f>IFERROR(__xludf.DUMMYFUNCTION("""COMPUTED_VALUE"""),80.119508)</f>
        <v>80.119508</v>
      </c>
      <c r="F15470" s="4">
        <f>IFERROR(__xludf.DUMMYFUNCTION("""COMPUTED_VALUE"""),805.0)</f>
        <v>805</v>
      </c>
      <c r="G15470" s="4">
        <f>IFERROR(__xludf.DUMMYFUNCTION("""COMPUTED_VALUE"""),34.0)</f>
        <v>34</v>
      </c>
      <c r="H15470" s="4"/>
      <c r="I15470" s="4"/>
    </row>
    <row r="15471">
      <c r="A15471" s="4" t="str">
        <f>IFERROR(__xludf.DUMMYFUNCTION("""COMPUTED_VALUE"""),"cas_hmw")</f>
        <v>cas_hmw</v>
      </c>
      <c r="B15471" s="5">
        <f>IFERROR(__xludf.DUMMYFUNCTION("""COMPUTED_VALUE"""),44729.0)</f>
        <v>44729</v>
      </c>
      <c r="C15471" s="6">
        <f>IFERROR(__xludf.DUMMYFUNCTION("""COMPUTED_VALUE"""),0.3464814814797137)</f>
        <v>0.3464814815</v>
      </c>
      <c r="D15471" s="4">
        <f>IFERROR(__xludf.DUMMYFUNCTION("""COMPUTED_VALUE"""),12.899352)</f>
        <v>12.899352</v>
      </c>
      <c r="E15471" s="4">
        <f>IFERROR(__xludf.DUMMYFUNCTION("""COMPUTED_VALUE"""),80.091008)</f>
        <v>80.091008</v>
      </c>
      <c r="F15471" s="4">
        <f>IFERROR(__xludf.DUMMYFUNCTION("""COMPUTED_VALUE"""),5339.0)</f>
        <v>5339</v>
      </c>
      <c r="G15471" s="4">
        <f>IFERROR(__xludf.DUMMYFUNCTION("""COMPUTED_VALUE"""),59.0)</f>
        <v>59</v>
      </c>
      <c r="H15471" s="4"/>
      <c r="I15471" s="4"/>
    </row>
    <row r="15472">
      <c r="A15472" s="4" t="str">
        <f>IFERROR(__xludf.DUMMYFUNCTION("""COMPUTED_VALUE"""),"cas_hmw")</f>
        <v>cas_hmw</v>
      </c>
      <c r="B15472" s="5">
        <f>IFERROR(__xludf.DUMMYFUNCTION("""COMPUTED_VALUE"""),44729.0)</f>
        <v>44729</v>
      </c>
      <c r="C15472" s="6">
        <f>IFERROR(__xludf.DUMMYFUNCTION("""COMPUTED_VALUE"""),0.34700231481474475)</f>
        <v>0.3470023148</v>
      </c>
      <c r="D15472" s="4">
        <f>IFERROR(__xludf.DUMMYFUNCTION("""COMPUTED_VALUE"""),12.896908)</f>
        <v>12.896908</v>
      </c>
      <c r="E15472" s="4">
        <f>IFERROR(__xludf.DUMMYFUNCTION("""COMPUTED_VALUE"""),80.089153)</f>
        <v>80.089153</v>
      </c>
      <c r="F15472" s="4">
        <f>IFERROR(__xludf.DUMMYFUNCTION("""COMPUTED_VALUE"""),5339.0)</f>
        <v>5339</v>
      </c>
      <c r="G15472" s="4">
        <f>IFERROR(__xludf.DUMMYFUNCTION("""COMPUTED_VALUE"""),31.0)</f>
        <v>31</v>
      </c>
      <c r="H15472" s="4"/>
      <c r="I15472" s="4"/>
    </row>
    <row r="15473">
      <c r="A15473" s="4" t="str">
        <f>IFERROR(__xludf.DUMMYFUNCTION("""COMPUTED_VALUE"""),"cas_hmw")</f>
        <v>cas_hmw</v>
      </c>
      <c r="B15473" s="5">
        <f>IFERROR(__xludf.DUMMYFUNCTION("""COMPUTED_VALUE"""),44729.0)</f>
        <v>44729</v>
      </c>
      <c r="C15473" s="6">
        <f>IFERROR(__xludf.DUMMYFUNCTION("""COMPUTED_VALUE"""),0.34754629629605915)</f>
        <v>0.3475462963</v>
      </c>
      <c r="D15473" s="4">
        <f>IFERROR(__xludf.DUMMYFUNCTION("""COMPUTED_VALUE"""),12.892354)</f>
        <v>12.892354</v>
      </c>
      <c r="E15473" s="4">
        <f>IFERROR(__xludf.DUMMYFUNCTION("""COMPUTED_VALUE"""),80.085752)</f>
        <v>80.085752</v>
      </c>
      <c r="F15473" s="4">
        <f>IFERROR(__xludf.DUMMYFUNCTION("""COMPUTED_VALUE"""),5339.0)</f>
        <v>5339</v>
      </c>
      <c r="G15473" s="4">
        <f>IFERROR(__xludf.DUMMYFUNCTION("""COMPUTED_VALUE"""),58.0)</f>
        <v>58</v>
      </c>
      <c r="H15473" s="4"/>
      <c r="I15473" s="4"/>
    </row>
    <row r="15474">
      <c r="A15474" s="4" t="str">
        <f>IFERROR(__xludf.DUMMYFUNCTION("""COMPUTED_VALUE"""),"cas_hmw")</f>
        <v>cas_hmw</v>
      </c>
      <c r="B15474" s="5">
        <f>IFERROR(__xludf.DUMMYFUNCTION("""COMPUTED_VALUE"""),44729.0)</f>
        <v>44729</v>
      </c>
      <c r="C15474" s="6">
        <f>IFERROR(__xludf.DUMMYFUNCTION("""COMPUTED_VALUE"""),0.34795138888875954)</f>
        <v>0.3479513889</v>
      </c>
      <c r="D15474" s="4">
        <f>IFERROR(__xludf.DUMMYFUNCTION("""COMPUTED_VALUE"""),12.922423)</f>
        <v>12.922423</v>
      </c>
      <c r="E15474" s="4">
        <f>IFERROR(__xludf.DUMMYFUNCTION("""COMPUTED_VALUE"""),80.113598)</f>
        <v>80.113598</v>
      </c>
      <c r="F15474" s="4">
        <f>IFERROR(__xludf.DUMMYFUNCTION("""COMPUTED_VALUE"""),805.0)</f>
        <v>805</v>
      </c>
      <c r="G15474" s="4">
        <f>IFERROR(__xludf.DUMMYFUNCTION("""COMPUTED_VALUE"""),47.0)</f>
        <v>47</v>
      </c>
      <c r="H15474" s="4"/>
      <c r="I15474" s="4"/>
    </row>
    <row r="15475">
      <c r="A15475" s="4" t="str">
        <f>IFERROR(__xludf.DUMMYFUNCTION("""COMPUTED_VALUE"""),"cas_hmw")</f>
        <v>cas_hmw</v>
      </c>
      <c r="B15475" s="5">
        <f>IFERROR(__xludf.DUMMYFUNCTION("""COMPUTED_VALUE"""),44729.0)</f>
        <v>44729</v>
      </c>
      <c r="C15475" s="6">
        <f>IFERROR(__xludf.DUMMYFUNCTION("""COMPUTED_VALUE"""),0.3479976851849642)</f>
        <v>0.3479976852</v>
      </c>
      <c r="D15475" s="4">
        <f>IFERROR(__xludf.DUMMYFUNCTION("""COMPUTED_VALUE"""),12.887635)</f>
        <v>12.887635</v>
      </c>
      <c r="E15475" s="4">
        <f>IFERROR(__xludf.DUMMYFUNCTION("""COMPUTED_VALUE"""),80.083655)</f>
        <v>80.083655</v>
      </c>
      <c r="F15475" s="4">
        <f>IFERROR(__xludf.DUMMYFUNCTION("""COMPUTED_VALUE"""),5339.0)</f>
        <v>5339</v>
      </c>
      <c r="G15475" s="4">
        <f>IFERROR(__xludf.DUMMYFUNCTION("""COMPUTED_VALUE"""),57.0)</f>
        <v>57</v>
      </c>
      <c r="H15475" s="4"/>
      <c r="I15475" s="4"/>
    </row>
    <row r="15476">
      <c r="A15476" s="4" t="str">
        <f>IFERROR(__xludf.DUMMYFUNCTION("""COMPUTED_VALUE"""),"cas_hmw")</f>
        <v>cas_hmw</v>
      </c>
      <c r="B15476" s="5">
        <f>IFERROR(__xludf.DUMMYFUNCTION("""COMPUTED_VALUE"""),44729.0)</f>
        <v>44729</v>
      </c>
      <c r="C15476" s="6">
        <f>IFERROR(__xludf.DUMMYFUNCTION("""COMPUTED_VALUE"""),0.34815972222349956)</f>
        <v>0.3481597222</v>
      </c>
      <c r="D15476" s="4">
        <f>IFERROR(__xludf.DUMMYFUNCTION("""COMPUTED_VALUE"""),12.886329)</f>
        <v>12.886329</v>
      </c>
      <c r="E15476" s="4">
        <f>IFERROR(__xludf.DUMMYFUNCTION("""COMPUTED_VALUE"""),80.083122)</f>
        <v>80.083122</v>
      </c>
      <c r="F15476" s="4">
        <f>IFERROR(__xludf.DUMMYFUNCTION("""COMPUTED_VALUE"""),5339.0)</f>
        <v>5339</v>
      </c>
      <c r="G15476" s="4">
        <f>IFERROR(__xludf.DUMMYFUNCTION("""COMPUTED_VALUE"""),52.0)</f>
        <v>52</v>
      </c>
      <c r="H15476" s="4"/>
      <c r="I15476" s="4"/>
    </row>
    <row r="15477">
      <c r="A15477" s="4" t="str">
        <f>IFERROR(__xludf.DUMMYFUNCTION("""COMPUTED_VALUE"""),"cas_hmw")</f>
        <v>cas_hmw</v>
      </c>
      <c r="B15477" s="5">
        <f>IFERROR(__xludf.DUMMYFUNCTION("""COMPUTED_VALUE"""),44729.0)</f>
        <v>44729</v>
      </c>
      <c r="C15477" s="6">
        <f>IFERROR(__xludf.DUMMYFUNCTION("""COMPUTED_VALUE"""),0.3502083333332848)</f>
        <v>0.3502083333</v>
      </c>
      <c r="D15477" s="4">
        <f>IFERROR(__xludf.DUMMYFUNCTION("""COMPUTED_VALUE"""),12.878911)</f>
        <v>12.878911</v>
      </c>
      <c r="E15477" s="4">
        <f>IFERROR(__xludf.DUMMYFUNCTION("""COMPUTED_VALUE"""),80.080963)</f>
        <v>80.080963</v>
      </c>
      <c r="F15477" s="4">
        <f>IFERROR(__xludf.DUMMYFUNCTION("""COMPUTED_VALUE"""),5339.0)</f>
        <v>5339</v>
      </c>
      <c r="G15477" s="4">
        <f>IFERROR(__xludf.DUMMYFUNCTION("""COMPUTED_VALUE"""),22.0)</f>
        <v>22</v>
      </c>
      <c r="H15477" s="4"/>
      <c r="I15477" s="4"/>
    </row>
    <row r="15478">
      <c r="A15478" s="4" t="str">
        <f>IFERROR(__xludf.DUMMYFUNCTION("""COMPUTED_VALUE"""),"cas_hmw")</f>
        <v>cas_hmw</v>
      </c>
      <c r="B15478" s="5">
        <f>IFERROR(__xludf.DUMMYFUNCTION("""COMPUTED_VALUE"""),44729.0)</f>
        <v>44729</v>
      </c>
      <c r="C15478" s="6">
        <f>IFERROR(__xludf.DUMMYFUNCTION("""COMPUTED_VALUE"""),0.3502199074064265)</f>
        <v>0.3502199074</v>
      </c>
      <c r="D15478" s="4">
        <f>IFERROR(__xludf.DUMMYFUNCTION("""COMPUTED_VALUE"""),12.878911)</f>
        <v>12.878911</v>
      </c>
      <c r="E15478" s="4">
        <f>IFERROR(__xludf.DUMMYFUNCTION("""COMPUTED_VALUE"""),80.080963)</f>
        <v>80.080963</v>
      </c>
      <c r="F15478" s="4">
        <f>IFERROR(__xludf.DUMMYFUNCTION("""COMPUTED_VALUE"""),5339.0)</f>
        <v>5339</v>
      </c>
      <c r="G15478" s="4">
        <f>IFERROR(__xludf.DUMMYFUNCTION("""COMPUTED_VALUE"""),22.0)</f>
        <v>22</v>
      </c>
      <c r="H15478" s="4"/>
      <c r="I15478" s="4"/>
    </row>
    <row r="15479">
      <c r="A15479" s="4" t="str">
        <f>IFERROR(__xludf.DUMMYFUNCTION("""COMPUTED_VALUE"""),"cas_hmw")</f>
        <v>cas_hmw</v>
      </c>
      <c r="B15479" s="5">
        <f>IFERROR(__xludf.DUMMYFUNCTION("""COMPUTED_VALUE"""),44729.0)</f>
        <v>44729</v>
      </c>
      <c r="C15479" s="6">
        <f>IFERROR(__xludf.DUMMYFUNCTION("""COMPUTED_VALUE"""),0.3502430555563478)</f>
        <v>0.3502430556</v>
      </c>
      <c r="D15479" s="4">
        <f>IFERROR(__xludf.DUMMYFUNCTION("""COMPUTED_VALUE"""),12.878911)</f>
        <v>12.878911</v>
      </c>
      <c r="E15479" s="4">
        <f>IFERROR(__xludf.DUMMYFUNCTION("""COMPUTED_VALUE"""),80.080963)</f>
        <v>80.080963</v>
      </c>
      <c r="F15479" s="4">
        <f>IFERROR(__xludf.DUMMYFUNCTION("""COMPUTED_VALUE"""),5339.0)</f>
        <v>5339</v>
      </c>
      <c r="G15479" s="4">
        <f>IFERROR(__xludf.DUMMYFUNCTION("""COMPUTED_VALUE"""),22.0)</f>
        <v>22</v>
      </c>
      <c r="H15479" s="4"/>
      <c r="I15479" s="4"/>
    </row>
    <row r="15480">
      <c r="A15480" s="4" t="str">
        <f>IFERROR(__xludf.DUMMYFUNCTION("""COMPUTED_VALUE"""),"cas_hmw")</f>
        <v>cas_hmw</v>
      </c>
      <c r="B15480" s="5">
        <f>IFERROR(__xludf.DUMMYFUNCTION("""COMPUTED_VALUE"""),44729.0)</f>
        <v>44729</v>
      </c>
      <c r="C15480" s="6">
        <f>IFERROR(__xludf.DUMMYFUNCTION("""COMPUTED_VALUE"""),0.3509490740725596)</f>
        <v>0.3509490741</v>
      </c>
      <c r="D15480" s="4">
        <f>IFERROR(__xludf.DUMMYFUNCTION("""COMPUTED_VALUE"""),12.904672)</f>
        <v>12.904672</v>
      </c>
      <c r="E15480" s="4">
        <f>IFERROR(__xludf.DUMMYFUNCTION("""COMPUTED_VALUE"""),80.09518)</f>
        <v>80.09518</v>
      </c>
      <c r="F15480" s="4">
        <f>IFERROR(__xludf.DUMMYFUNCTION("""COMPUTED_VALUE"""),805.0)</f>
        <v>805</v>
      </c>
      <c r="G15480" s="4">
        <f>IFERROR(__xludf.DUMMYFUNCTION("""COMPUTED_VALUE"""),35.0)</f>
        <v>35</v>
      </c>
      <c r="H15480" s="4"/>
      <c r="I15480" s="4"/>
    </row>
    <row r="15481">
      <c r="A15481" s="4" t="str">
        <f>IFERROR(__xludf.DUMMYFUNCTION("""COMPUTED_VALUE"""),"cas_hmw")</f>
        <v>cas_hmw</v>
      </c>
      <c r="B15481" s="5">
        <f>IFERROR(__xludf.DUMMYFUNCTION("""COMPUTED_VALUE"""),44729.0)</f>
        <v>44729</v>
      </c>
      <c r="C15481" s="6">
        <f>IFERROR(__xludf.DUMMYFUNCTION("""COMPUTED_VALUE"""),0.35114583333415794)</f>
        <v>0.3511458333</v>
      </c>
      <c r="D15481" s="4">
        <f>IFERROR(__xludf.DUMMYFUNCTION("""COMPUTED_VALUE"""),12.903026)</f>
        <v>12.903026</v>
      </c>
      <c r="E15481" s="4">
        <f>IFERROR(__xludf.DUMMYFUNCTION("""COMPUTED_VALUE"""),80.093827)</f>
        <v>80.093827</v>
      </c>
      <c r="F15481" s="4">
        <f>IFERROR(__xludf.DUMMYFUNCTION("""COMPUTED_VALUE"""),805.0)</f>
        <v>805</v>
      </c>
      <c r="G15481" s="4">
        <f>IFERROR(__xludf.DUMMYFUNCTION("""COMPUTED_VALUE"""),40.0)</f>
        <v>40</v>
      </c>
      <c r="H15481" s="4"/>
      <c r="I15481" s="4"/>
    </row>
    <row r="15482">
      <c r="A15482" s="4" t="str">
        <f>IFERROR(__xludf.DUMMYFUNCTION("""COMPUTED_VALUE"""),"cas_hmw")</f>
        <v>cas_hmw</v>
      </c>
      <c r="B15482" s="5">
        <f>IFERROR(__xludf.DUMMYFUNCTION("""COMPUTED_VALUE"""),44729.0)</f>
        <v>44729</v>
      </c>
      <c r="C15482" s="6">
        <f>IFERROR(__xludf.DUMMYFUNCTION("""COMPUTED_VALUE"""),0.35135416666526)</f>
        <v>0.3513541667</v>
      </c>
      <c r="D15482" s="4">
        <f>IFERROR(__xludf.DUMMYFUNCTION("""COMPUTED_VALUE"""),12.902328)</f>
        <v>12.902328</v>
      </c>
      <c r="E15482" s="4">
        <f>IFERROR(__xludf.DUMMYFUNCTION("""COMPUTED_VALUE"""),80.093295)</f>
        <v>80.093295</v>
      </c>
      <c r="F15482" s="4">
        <f>IFERROR(__xludf.DUMMYFUNCTION("""COMPUTED_VALUE"""),805.0)</f>
        <v>805</v>
      </c>
      <c r="G15482" s="4">
        <f>IFERROR(__xludf.DUMMYFUNCTION("""COMPUTED_VALUE"""),20.0)</f>
        <v>20</v>
      </c>
      <c r="H15482" s="4"/>
      <c r="I15482" s="4"/>
    </row>
    <row r="15483">
      <c r="A15483" s="4" t="str">
        <f>IFERROR(__xludf.DUMMYFUNCTION("""COMPUTED_VALUE"""),"cas_hmw")</f>
        <v>cas_hmw</v>
      </c>
      <c r="B15483" s="5">
        <f>IFERROR(__xludf.DUMMYFUNCTION("""COMPUTED_VALUE"""),44729.0)</f>
        <v>44729</v>
      </c>
      <c r="C15483" s="6">
        <f>IFERROR(__xludf.DUMMYFUNCTION("""COMPUTED_VALUE"""),0.35168981481547235)</f>
        <v>0.3516898148</v>
      </c>
      <c r="D15483" s="4">
        <f>IFERROR(__xludf.DUMMYFUNCTION("""COMPUTED_VALUE"""),12.89973)</f>
        <v>12.89973</v>
      </c>
      <c r="E15483" s="4">
        <f>IFERROR(__xludf.DUMMYFUNCTION("""COMPUTED_VALUE"""),80.091391)</f>
        <v>80.091391</v>
      </c>
      <c r="F15483" s="4">
        <f>IFERROR(__xludf.DUMMYFUNCTION("""COMPUTED_VALUE"""),805.0)</f>
        <v>805</v>
      </c>
      <c r="G15483" s="4">
        <f>IFERROR(__xludf.DUMMYFUNCTION("""COMPUTED_VALUE"""),58.0)</f>
        <v>58</v>
      </c>
      <c r="H15483" s="4"/>
      <c r="I15483" s="4"/>
    </row>
    <row r="15484">
      <c r="A15484" s="4" t="str">
        <f>IFERROR(__xludf.DUMMYFUNCTION("""COMPUTED_VALUE"""),"cas_hmw")</f>
        <v>cas_hmw</v>
      </c>
      <c r="B15484" s="5">
        <f>IFERROR(__xludf.DUMMYFUNCTION("""COMPUTED_VALUE"""),44729.0)</f>
        <v>44729</v>
      </c>
      <c r="C15484" s="6">
        <f>IFERROR(__xludf.DUMMYFUNCTION("""COMPUTED_VALUE"""),0.3523148148160544)</f>
        <v>0.3523148148</v>
      </c>
      <c r="D15484" s="4">
        <f>IFERROR(__xludf.DUMMYFUNCTION("""COMPUTED_VALUE"""),12.894759)</f>
        <v>12.894759</v>
      </c>
      <c r="E15484" s="4">
        <f>IFERROR(__xludf.DUMMYFUNCTION("""COMPUTED_VALUE"""),80.087564)</f>
        <v>80.087564</v>
      </c>
      <c r="F15484" s="4">
        <f>IFERROR(__xludf.DUMMYFUNCTION("""COMPUTED_VALUE"""),805.0)</f>
        <v>805</v>
      </c>
      <c r="G15484" s="4">
        <f>IFERROR(__xludf.DUMMYFUNCTION("""COMPUTED_VALUE"""),48.0)</f>
        <v>48</v>
      </c>
      <c r="H15484" s="4"/>
      <c r="I15484" s="4"/>
    </row>
    <row r="15485">
      <c r="A15485" s="4" t="str">
        <f>IFERROR(__xludf.DUMMYFUNCTION("""COMPUTED_VALUE"""),"cas_hmw")</f>
        <v>cas_hmw</v>
      </c>
      <c r="B15485" s="5">
        <f>IFERROR(__xludf.DUMMYFUNCTION("""COMPUTED_VALUE"""),44729.0)</f>
        <v>44729</v>
      </c>
      <c r="C15485" s="6">
        <f>IFERROR(__xludf.DUMMYFUNCTION("""COMPUTED_VALUE"""),0.3524421296278888)</f>
        <v>0.3524421296</v>
      </c>
      <c r="D15485" s="4">
        <f>IFERROR(__xludf.DUMMYFUNCTION("""COMPUTED_VALUE"""),12.893693)</f>
        <v>12.893693</v>
      </c>
      <c r="E15485" s="4">
        <f>IFERROR(__xludf.DUMMYFUNCTION("""COMPUTED_VALUE"""),80.086779)</f>
        <v>80.086779</v>
      </c>
      <c r="F15485" s="4">
        <f>IFERROR(__xludf.DUMMYFUNCTION("""COMPUTED_VALUE"""),805.0)</f>
        <v>805</v>
      </c>
      <c r="G15485" s="4">
        <f>IFERROR(__xludf.DUMMYFUNCTION("""COMPUTED_VALUE"""),55.0)</f>
        <v>55</v>
      </c>
      <c r="H15485" s="4"/>
      <c r="I15485" s="4"/>
    </row>
    <row r="15486">
      <c r="A15486" s="4" t="str">
        <f>IFERROR(__xludf.DUMMYFUNCTION("""COMPUTED_VALUE"""),"cas_hmw")</f>
        <v>cas_hmw</v>
      </c>
      <c r="B15486" s="5">
        <f>IFERROR(__xludf.DUMMYFUNCTION("""COMPUTED_VALUE"""),44729.0)</f>
        <v>44729</v>
      </c>
      <c r="C15486" s="6">
        <f>IFERROR(__xludf.DUMMYFUNCTION("""COMPUTED_VALUE"""),0.35260416666642413)</f>
        <v>0.3526041667</v>
      </c>
      <c r="D15486" s="4">
        <f>IFERROR(__xludf.DUMMYFUNCTION("""COMPUTED_VALUE"""),12.892537)</f>
        <v>12.892537</v>
      </c>
      <c r="E15486" s="4">
        <f>IFERROR(__xludf.DUMMYFUNCTION("""COMPUTED_VALUE"""),80.085919)</f>
        <v>80.085919</v>
      </c>
      <c r="F15486" s="4">
        <f>IFERROR(__xludf.DUMMYFUNCTION("""COMPUTED_VALUE"""),805.0)</f>
        <v>805</v>
      </c>
      <c r="G15486" s="4">
        <f>IFERROR(__xludf.DUMMYFUNCTION("""COMPUTED_VALUE"""),55.0)</f>
        <v>55</v>
      </c>
      <c r="H15486" s="4"/>
      <c r="I15486" s="4"/>
    </row>
    <row r="15487">
      <c r="A15487" s="4" t="str">
        <f>IFERROR(__xludf.DUMMYFUNCTION("""COMPUTED_VALUE"""),"cas_hmw")</f>
        <v>cas_hmw</v>
      </c>
      <c r="B15487" s="5">
        <f>IFERROR(__xludf.DUMMYFUNCTION("""COMPUTED_VALUE"""),44729.0)</f>
        <v>44729</v>
      </c>
      <c r="C15487" s="6">
        <f>IFERROR(__xludf.DUMMYFUNCTION("""COMPUTED_VALUE"""),0.3530787037052505)</f>
        <v>0.3530787037</v>
      </c>
      <c r="D15487" s="4">
        <f>IFERROR(__xludf.DUMMYFUNCTION("""COMPUTED_VALUE"""),12.887493)</f>
        <v>12.887493</v>
      </c>
      <c r="E15487" s="4">
        <f>IFERROR(__xludf.DUMMYFUNCTION("""COMPUTED_VALUE"""),80.083576)</f>
        <v>80.083576</v>
      </c>
      <c r="F15487" s="4">
        <f>IFERROR(__xludf.DUMMYFUNCTION("""COMPUTED_VALUE"""),805.0)</f>
        <v>805</v>
      </c>
      <c r="G15487" s="4">
        <f>IFERROR(__xludf.DUMMYFUNCTION("""COMPUTED_VALUE"""),57.0)</f>
        <v>57</v>
      </c>
      <c r="H15487" s="4"/>
      <c r="I15487" s="4"/>
    </row>
    <row r="15488">
      <c r="A15488" s="4" t="str">
        <f>IFERROR(__xludf.DUMMYFUNCTION("""COMPUTED_VALUE"""),"cas_hmw")</f>
        <v>cas_hmw</v>
      </c>
      <c r="B15488" s="5">
        <f>IFERROR(__xludf.DUMMYFUNCTION("""COMPUTED_VALUE"""),44729.0)</f>
        <v>44729</v>
      </c>
      <c r="C15488" s="6">
        <f>IFERROR(__xludf.DUMMYFUNCTION("""COMPUTED_VALUE"""),0.35364583333284827)</f>
        <v>0.3536458333</v>
      </c>
      <c r="D15488" s="4">
        <f>IFERROR(__xludf.DUMMYFUNCTION("""COMPUTED_VALUE"""),12.881906)</f>
        <v>12.881906</v>
      </c>
      <c r="E15488" s="4">
        <f>IFERROR(__xludf.DUMMYFUNCTION("""COMPUTED_VALUE"""),80.081441)</f>
        <v>80.081441</v>
      </c>
      <c r="F15488" s="4">
        <f>IFERROR(__xludf.DUMMYFUNCTION("""COMPUTED_VALUE"""),805.0)</f>
        <v>805</v>
      </c>
      <c r="G15488" s="4">
        <f>IFERROR(__xludf.DUMMYFUNCTION("""COMPUTED_VALUE"""),25.0)</f>
        <v>25</v>
      </c>
      <c r="H15488" s="4"/>
      <c r="I15488" s="4"/>
    </row>
    <row r="15489">
      <c r="A15489" s="4" t="str">
        <f>IFERROR(__xludf.DUMMYFUNCTION("""COMPUTED_VALUE"""),"cas_hmw")</f>
        <v>cas_hmw</v>
      </c>
      <c r="B15489" s="5">
        <f>IFERROR(__xludf.DUMMYFUNCTION("""COMPUTED_VALUE"""),44729.0)</f>
        <v>44729</v>
      </c>
      <c r="C15489" s="6">
        <f>IFERROR(__xludf.DUMMYFUNCTION("""COMPUTED_VALUE"""),0.7116203703699284)</f>
        <v>0.7116203704</v>
      </c>
      <c r="D15489" s="4">
        <f>IFERROR(__xludf.DUMMYFUNCTION("""COMPUTED_VALUE"""),12.879147)</f>
        <v>12.879147</v>
      </c>
      <c r="E15489" s="4">
        <f>IFERROR(__xludf.DUMMYFUNCTION("""COMPUTED_VALUE"""),80.080194)</f>
        <v>80.080194</v>
      </c>
      <c r="F15489" s="4">
        <f>IFERROR(__xludf.DUMMYFUNCTION("""COMPUTED_VALUE"""),805.0)</f>
        <v>805</v>
      </c>
      <c r="G15489" s="4">
        <f>IFERROR(__xludf.DUMMYFUNCTION("""COMPUTED_VALUE"""),22.0)</f>
        <v>22</v>
      </c>
      <c r="H15489" s="4"/>
      <c r="I15489" s="4"/>
    </row>
    <row r="15490">
      <c r="A15490" s="4" t="str">
        <f>IFERROR(__xludf.DUMMYFUNCTION("""COMPUTED_VALUE"""),"cas_hmw")</f>
        <v>cas_hmw</v>
      </c>
      <c r="B15490" s="5">
        <f>IFERROR(__xludf.DUMMYFUNCTION("""COMPUTED_VALUE"""),44729.0)</f>
        <v>44729</v>
      </c>
      <c r="C15490" s="6">
        <f>IFERROR(__xludf.DUMMYFUNCTION("""COMPUTED_VALUE"""),0.7116319444430701)</f>
        <v>0.7116319444</v>
      </c>
      <c r="D15490" s="4">
        <f>IFERROR(__xludf.DUMMYFUNCTION("""COMPUTED_VALUE"""),12.879147)</f>
        <v>12.879147</v>
      </c>
      <c r="E15490" s="4">
        <f>IFERROR(__xludf.DUMMYFUNCTION("""COMPUTED_VALUE"""),80.080194)</f>
        <v>80.080194</v>
      </c>
      <c r="F15490" s="4">
        <f>IFERROR(__xludf.DUMMYFUNCTION("""COMPUTED_VALUE"""),805.0)</f>
        <v>805</v>
      </c>
      <c r="G15490" s="4">
        <f>IFERROR(__xludf.DUMMYFUNCTION("""COMPUTED_VALUE"""),22.0)</f>
        <v>22</v>
      </c>
      <c r="H15490" s="4"/>
      <c r="I15490" s="4"/>
    </row>
    <row r="15491">
      <c r="A15491" s="4" t="str">
        <f>IFERROR(__xludf.DUMMYFUNCTION("""COMPUTED_VALUE"""),"cas_hmw")</f>
        <v>cas_hmw</v>
      </c>
      <c r="B15491" s="5">
        <f>IFERROR(__xludf.DUMMYFUNCTION("""COMPUTED_VALUE"""),44729.0)</f>
        <v>44729</v>
      </c>
      <c r="C15491" s="6">
        <f>IFERROR(__xludf.DUMMYFUNCTION("""COMPUTED_VALUE"""),0.7119675925932825)</f>
        <v>0.7119675926</v>
      </c>
      <c r="D15491" s="4">
        <f>IFERROR(__xludf.DUMMYFUNCTION("""COMPUTED_VALUE"""),12.879218)</f>
        <v>12.879218</v>
      </c>
      <c r="E15491" s="4">
        <f>IFERROR(__xludf.DUMMYFUNCTION("""COMPUTED_VALUE"""),80.080094)</f>
        <v>80.080094</v>
      </c>
      <c r="F15491" s="4">
        <f>IFERROR(__xludf.DUMMYFUNCTION("""COMPUTED_VALUE"""),5339.0)</f>
        <v>5339</v>
      </c>
      <c r="G15491" s="4">
        <f>IFERROR(__xludf.DUMMYFUNCTION("""COMPUTED_VALUE"""),22.0)</f>
        <v>22</v>
      </c>
      <c r="H15491" s="4"/>
      <c r="I15491" s="4"/>
    </row>
    <row r="15492">
      <c r="A15492" s="4" t="str">
        <f>IFERROR(__xludf.DUMMYFUNCTION("""COMPUTED_VALUE"""),"cas_hmw")</f>
        <v>cas_hmw</v>
      </c>
      <c r="B15492" s="5">
        <f>IFERROR(__xludf.DUMMYFUNCTION("""COMPUTED_VALUE"""),44729.0)</f>
        <v>44729</v>
      </c>
      <c r="C15492" s="6">
        <f>IFERROR(__xludf.DUMMYFUNCTION("""COMPUTED_VALUE"""),0.7120254629626288)</f>
        <v>0.712025463</v>
      </c>
      <c r="D15492" s="4">
        <f>IFERROR(__xludf.DUMMYFUNCTION("""COMPUTED_VALUE"""),12.873581)</f>
        <v>12.873581</v>
      </c>
      <c r="E15492" s="4">
        <f>IFERROR(__xludf.DUMMYFUNCTION("""COMPUTED_VALUE"""),80.078025)</f>
        <v>80.078025</v>
      </c>
      <c r="F15492" s="4">
        <f>IFERROR(__xludf.DUMMYFUNCTION("""COMPUTED_VALUE"""),2846.0)</f>
        <v>2846</v>
      </c>
      <c r="G15492" s="4">
        <f>IFERROR(__xludf.DUMMYFUNCTION("""COMPUTED_VALUE"""),58.0)</f>
        <v>58</v>
      </c>
      <c r="H15492" s="4"/>
      <c r="I15492" s="4"/>
    </row>
    <row r="15493">
      <c r="A15493" s="4" t="str">
        <f>IFERROR(__xludf.DUMMYFUNCTION("""COMPUTED_VALUE"""),"cas_hmw")</f>
        <v>cas_hmw</v>
      </c>
      <c r="B15493" s="5">
        <f>IFERROR(__xludf.DUMMYFUNCTION("""COMPUTED_VALUE"""),44729.0)</f>
        <v>44729</v>
      </c>
      <c r="C15493" s="6">
        <f>IFERROR(__xludf.DUMMYFUNCTION("""COMPUTED_VALUE"""),0.7135069444448163)</f>
        <v>0.7135069444</v>
      </c>
      <c r="D15493" s="4">
        <f>IFERROR(__xludf.DUMMYFUNCTION("""COMPUTED_VALUE"""),12.892383)</f>
        <v>12.892383</v>
      </c>
      <c r="E15493" s="4">
        <f>IFERROR(__xludf.DUMMYFUNCTION("""COMPUTED_VALUE"""),80.085629)</f>
        <v>80.085629</v>
      </c>
      <c r="F15493" s="4">
        <f>IFERROR(__xludf.DUMMYFUNCTION("""COMPUTED_VALUE"""),805.0)</f>
        <v>805</v>
      </c>
      <c r="G15493" s="4">
        <f>IFERROR(__xludf.DUMMYFUNCTION("""COMPUTED_VALUE"""),58.0)</f>
        <v>58</v>
      </c>
      <c r="H15493" s="4"/>
      <c r="I15493" s="4"/>
    </row>
    <row r="15494">
      <c r="A15494" s="4" t="str">
        <f>IFERROR(__xludf.DUMMYFUNCTION("""COMPUTED_VALUE"""),"cas_hmw")</f>
        <v>cas_hmw</v>
      </c>
      <c r="B15494" s="5">
        <f>IFERROR(__xludf.DUMMYFUNCTION("""COMPUTED_VALUE"""),44729.0)</f>
        <v>44729</v>
      </c>
      <c r="C15494" s="6">
        <f>IFERROR(__xludf.DUMMYFUNCTION("""COMPUTED_VALUE"""),0.7141898148147448)</f>
        <v>0.7141898148</v>
      </c>
      <c r="D15494" s="4">
        <f>IFERROR(__xludf.DUMMYFUNCTION("""COMPUTED_VALUE"""),12.859784)</f>
        <v>12.859784</v>
      </c>
      <c r="E15494" s="4">
        <f>IFERROR(__xludf.DUMMYFUNCTION("""COMPUTED_VALUE"""),80.07218)</f>
        <v>80.07218</v>
      </c>
      <c r="F15494" s="4">
        <f>IFERROR(__xludf.DUMMYFUNCTION("""COMPUTED_VALUE"""),2846.0)</f>
        <v>2846</v>
      </c>
      <c r="G15494" s="4">
        <f>IFERROR(__xludf.DUMMYFUNCTION("""COMPUTED_VALUE"""),28.0)</f>
        <v>28</v>
      </c>
      <c r="H15494" s="4"/>
      <c r="I15494" s="4"/>
    </row>
    <row r="15495">
      <c r="A15495" s="4" t="str">
        <f>IFERROR(__xludf.DUMMYFUNCTION("""COMPUTED_VALUE"""),"cas_hmw")</f>
        <v>cas_hmw</v>
      </c>
      <c r="B15495" s="5">
        <f>IFERROR(__xludf.DUMMYFUNCTION("""COMPUTED_VALUE"""),44729.0)</f>
        <v>44729</v>
      </c>
      <c r="C15495" s="6">
        <f>IFERROR(__xludf.DUMMYFUNCTION("""COMPUTED_VALUE"""),0.7142361111109494)</f>
        <v>0.7142361111</v>
      </c>
      <c r="D15495" s="4">
        <f>IFERROR(__xludf.DUMMYFUNCTION("""COMPUTED_VALUE"""),12.859784)</f>
        <v>12.859784</v>
      </c>
      <c r="E15495" s="4">
        <f>IFERROR(__xludf.DUMMYFUNCTION("""COMPUTED_VALUE"""),80.07218)</f>
        <v>80.07218</v>
      </c>
      <c r="F15495" s="4">
        <f>IFERROR(__xludf.DUMMYFUNCTION("""COMPUTED_VALUE"""),2846.0)</f>
        <v>2846</v>
      </c>
      <c r="G15495" s="4">
        <f>IFERROR(__xludf.DUMMYFUNCTION("""COMPUTED_VALUE"""),28.0)</f>
        <v>28</v>
      </c>
      <c r="H15495" s="4"/>
      <c r="I15495" s="4"/>
    </row>
    <row r="15496">
      <c r="A15496" s="4" t="str">
        <f>IFERROR(__xludf.DUMMYFUNCTION("""COMPUTED_VALUE"""),"cas_hmw")</f>
        <v>cas_hmw</v>
      </c>
      <c r="B15496" s="5">
        <f>IFERROR(__xludf.DUMMYFUNCTION("""COMPUTED_VALUE"""),44729.0)</f>
        <v>44729</v>
      </c>
      <c r="C15496" s="6">
        <f>IFERROR(__xludf.DUMMYFUNCTION("""COMPUTED_VALUE"""),0.7142476851840911)</f>
        <v>0.7142476852</v>
      </c>
      <c r="D15496" s="4">
        <f>IFERROR(__xludf.DUMMYFUNCTION("""COMPUTED_VALUE"""),12.896479)</f>
        <v>12.896479</v>
      </c>
      <c r="E15496" s="4">
        <f>IFERROR(__xludf.DUMMYFUNCTION("""COMPUTED_VALUE"""),80.088673)</f>
        <v>80.088673</v>
      </c>
      <c r="F15496" s="4">
        <f>IFERROR(__xludf.DUMMYFUNCTION("""COMPUTED_VALUE"""),5339.0)</f>
        <v>5339</v>
      </c>
      <c r="G15496" s="4">
        <f>IFERROR(__xludf.DUMMYFUNCTION("""COMPUTED_VALUE"""),47.0)</f>
        <v>47</v>
      </c>
      <c r="H15496" s="4"/>
      <c r="I15496" s="4"/>
    </row>
    <row r="15497">
      <c r="A15497" s="4" t="str">
        <f>IFERROR(__xludf.DUMMYFUNCTION("""COMPUTED_VALUE"""),"cas_hmw")</f>
        <v>cas_hmw</v>
      </c>
      <c r="B15497" s="5">
        <f>IFERROR(__xludf.DUMMYFUNCTION("""COMPUTED_VALUE"""),44729.0)</f>
        <v>44729</v>
      </c>
      <c r="C15497" s="6">
        <f>IFERROR(__xludf.DUMMYFUNCTION("""COMPUTED_VALUE"""),0.7150462962963502)</f>
        <v>0.7150462963</v>
      </c>
      <c r="D15497" s="4">
        <f>IFERROR(__xludf.DUMMYFUNCTION("""COMPUTED_VALUE"""),12.905807)</f>
        <v>12.905807</v>
      </c>
      <c r="E15497" s="4">
        <f>IFERROR(__xludf.DUMMYFUNCTION("""COMPUTED_VALUE"""),80.095693)</f>
        <v>80.095693</v>
      </c>
      <c r="F15497" s="4">
        <f>IFERROR(__xludf.DUMMYFUNCTION("""COMPUTED_VALUE"""),805.0)</f>
        <v>805</v>
      </c>
      <c r="G15497" s="4">
        <f>IFERROR(__xludf.DUMMYFUNCTION("""COMPUTED_VALUE"""),58.0)</f>
        <v>58</v>
      </c>
      <c r="H15497" s="4"/>
      <c r="I15497" s="4"/>
    </row>
    <row r="15498">
      <c r="A15498" s="4" t="str">
        <f>IFERROR(__xludf.DUMMYFUNCTION("""COMPUTED_VALUE"""),"cas_hmw")</f>
        <v>cas_hmw</v>
      </c>
      <c r="B15498" s="5">
        <f>IFERROR(__xludf.DUMMYFUNCTION("""COMPUTED_VALUE"""),44729.0)</f>
        <v>44729</v>
      </c>
      <c r="C15498" s="6">
        <f>IFERROR(__xludf.DUMMYFUNCTION("""COMPUTED_VALUE"""),0.716307870370656)</f>
        <v>0.7163078704</v>
      </c>
      <c r="D15498" s="4">
        <f>IFERROR(__xludf.DUMMYFUNCTION("""COMPUTED_VALUE"""),12.909181)</f>
        <v>12.909181</v>
      </c>
      <c r="E15498" s="4">
        <f>IFERROR(__xludf.DUMMYFUNCTION("""COMPUTED_VALUE"""),80.098682)</f>
        <v>80.098682</v>
      </c>
      <c r="F15498" s="4">
        <f>IFERROR(__xludf.DUMMYFUNCTION("""COMPUTED_VALUE"""),5339.0)</f>
        <v>5339</v>
      </c>
      <c r="G15498" s="4">
        <f>IFERROR(__xludf.DUMMYFUNCTION("""COMPUTED_VALUE"""),25.0)</f>
        <v>25</v>
      </c>
      <c r="H15498" s="4"/>
      <c r="I15498" s="4"/>
    </row>
    <row r="15499">
      <c r="A15499" s="4" t="str">
        <f>IFERROR(__xludf.DUMMYFUNCTION("""COMPUTED_VALUE"""),"cas_hmw")</f>
        <v>cas_hmw</v>
      </c>
      <c r="B15499" s="5">
        <f>IFERROR(__xludf.DUMMYFUNCTION("""COMPUTED_VALUE"""),44729.0)</f>
        <v>44729</v>
      </c>
      <c r="C15499" s="6">
        <f>IFERROR(__xludf.DUMMYFUNCTION("""COMPUTED_VALUE"""),0.7163194444437977)</f>
        <v>0.7163194444</v>
      </c>
      <c r="D15499" s="4">
        <f>IFERROR(__xludf.DUMMYFUNCTION("""COMPUTED_VALUE"""),12.909181)</f>
        <v>12.909181</v>
      </c>
      <c r="E15499" s="4">
        <f>IFERROR(__xludf.DUMMYFUNCTION("""COMPUTED_VALUE"""),80.098682)</f>
        <v>80.098682</v>
      </c>
      <c r="F15499" s="4">
        <f>IFERROR(__xludf.DUMMYFUNCTION("""COMPUTED_VALUE"""),5339.0)</f>
        <v>5339</v>
      </c>
      <c r="G15499" s="4">
        <f>IFERROR(__xludf.DUMMYFUNCTION("""COMPUTED_VALUE"""),25.0)</f>
        <v>25</v>
      </c>
      <c r="H15499" s="4"/>
      <c r="I15499" s="4"/>
    </row>
    <row r="15500">
      <c r="A15500" s="4" t="str">
        <f>IFERROR(__xludf.DUMMYFUNCTION("""COMPUTED_VALUE"""),"cas_hmw")</f>
        <v>cas_hmw</v>
      </c>
      <c r="B15500" s="5">
        <f>IFERROR(__xludf.DUMMYFUNCTION("""COMPUTED_VALUE"""),44729.0)</f>
        <v>44729</v>
      </c>
      <c r="C15500" s="6">
        <f>IFERROR(__xludf.DUMMYFUNCTION("""COMPUTED_VALUE"""),0.716412037036207)</f>
        <v>0.716412037</v>
      </c>
      <c r="D15500" s="4">
        <f>IFERROR(__xludf.DUMMYFUNCTION("""COMPUTED_VALUE"""),12.909181)</f>
        <v>12.909181</v>
      </c>
      <c r="E15500" s="4">
        <f>IFERROR(__xludf.DUMMYFUNCTION("""COMPUTED_VALUE"""),80.098682)</f>
        <v>80.098682</v>
      </c>
      <c r="F15500" s="4">
        <f>IFERROR(__xludf.DUMMYFUNCTION("""COMPUTED_VALUE"""),5339.0)</f>
        <v>5339</v>
      </c>
      <c r="G15500" s="4">
        <f>IFERROR(__xludf.DUMMYFUNCTION("""COMPUTED_VALUE"""),25.0)</f>
        <v>25</v>
      </c>
      <c r="H15500" s="4"/>
      <c r="I15500" s="4"/>
    </row>
    <row r="15501">
      <c r="A15501" s="4" t="str">
        <f>IFERROR(__xludf.DUMMYFUNCTION("""COMPUTED_VALUE"""),"cas_hmw")</f>
        <v>cas_hmw</v>
      </c>
      <c r="B15501" s="5">
        <f>IFERROR(__xludf.DUMMYFUNCTION("""COMPUTED_VALUE"""),44729.0)</f>
        <v>44729</v>
      </c>
      <c r="C15501" s="6">
        <f>IFERROR(__xludf.DUMMYFUNCTION("""COMPUTED_VALUE"""),0.7170833333329938)</f>
        <v>0.7170833333</v>
      </c>
      <c r="D15501" s="4">
        <f>IFERROR(__xludf.DUMMYFUNCTION("""COMPUTED_VALUE"""),12.914572)</f>
        <v>12.914572</v>
      </c>
      <c r="E15501" s="4">
        <f>IFERROR(__xludf.DUMMYFUNCTION("""COMPUTED_VALUE"""),80.101764)</f>
        <v>80.101764</v>
      </c>
      <c r="F15501" s="4">
        <f>IFERROR(__xludf.DUMMYFUNCTION("""COMPUTED_VALUE"""),805.0)</f>
        <v>805</v>
      </c>
      <c r="G15501" s="4">
        <f>IFERROR(__xludf.DUMMYFUNCTION("""COMPUTED_VALUE"""),59.0)</f>
        <v>59</v>
      </c>
      <c r="H15501" s="4"/>
      <c r="I15501" s="4"/>
    </row>
    <row r="15502">
      <c r="A15502" s="4" t="str">
        <f>IFERROR(__xludf.DUMMYFUNCTION("""COMPUTED_VALUE"""),"cas_hmw")</f>
        <v>cas_hmw</v>
      </c>
      <c r="B15502" s="5">
        <f>IFERROR(__xludf.DUMMYFUNCTION("""COMPUTED_VALUE"""),44729.0)</f>
        <v>44729</v>
      </c>
      <c r="C15502" s="6">
        <f>IFERROR(__xludf.DUMMYFUNCTION("""COMPUTED_VALUE"""),0.7171527777791198)</f>
        <v>0.7171527778</v>
      </c>
      <c r="D15502" s="4">
        <f>IFERROR(__xludf.DUMMYFUNCTION("""COMPUTED_VALUE"""),12.914572)</f>
        <v>12.914572</v>
      </c>
      <c r="E15502" s="4">
        <f>IFERROR(__xludf.DUMMYFUNCTION("""COMPUTED_VALUE"""),80.101764)</f>
        <v>80.101764</v>
      </c>
      <c r="F15502" s="4">
        <f>IFERROR(__xludf.DUMMYFUNCTION("""COMPUTED_VALUE"""),805.0)</f>
        <v>805</v>
      </c>
      <c r="G15502" s="4">
        <f>IFERROR(__xludf.DUMMYFUNCTION("""COMPUTED_VALUE"""),59.0)</f>
        <v>59</v>
      </c>
      <c r="H15502" s="4"/>
      <c r="I15502" s="4"/>
    </row>
    <row r="15503">
      <c r="A15503" s="4" t="str">
        <f>IFERROR(__xludf.DUMMYFUNCTION("""COMPUTED_VALUE"""),"cas_hmw")</f>
        <v>cas_hmw</v>
      </c>
      <c r="B15503" s="5">
        <f>IFERROR(__xludf.DUMMYFUNCTION("""COMPUTED_VALUE"""),44729.0)</f>
        <v>44729</v>
      </c>
      <c r="C15503" s="6">
        <f>IFERROR(__xludf.DUMMYFUNCTION("""COMPUTED_VALUE"""),0.7172800925909542)</f>
        <v>0.7172800926</v>
      </c>
      <c r="D15503" s="4">
        <f>IFERROR(__xludf.DUMMYFUNCTION("""COMPUTED_VALUE"""),12.842457)</f>
        <v>12.842457</v>
      </c>
      <c r="E15503" s="4">
        <f>IFERROR(__xludf.DUMMYFUNCTION("""COMPUTED_VALUE"""),80.058359)</f>
        <v>80.058359</v>
      </c>
      <c r="F15503" s="4">
        <f>IFERROR(__xludf.DUMMYFUNCTION("""COMPUTED_VALUE"""),2846.0)</f>
        <v>2846</v>
      </c>
      <c r="G15503" s="4">
        <f>IFERROR(__xludf.DUMMYFUNCTION("""COMPUTED_VALUE"""),45.0)</f>
        <v>45</v>
      </c>
      <c r="H15503" s="4"/>
      <c r="I15503" s="4"/>
    </row>
    <row r="15504">
      <c r="A15504" s="4" t="str">
        <f>IFERROR(__xludf.DUMMYFUNCTION("""COMPUTED_VALUE"""),"cas_hmw")</f>
        <v>cas_hmw</v>
      </c>
      <c r="B15504" s="5">
        <f>IFERROR(__xludf.DUMMYFUNCTION("""COMPUTED_VALUE"""),44729.0)</f>
        <v>44729</v>
      </c>
      <c r="C15504" s="6">
        <f>IFERROR(__xludf.DUMMYFUNCTION("""COMPUTED_VALUE"""),0.7175810185181035)</f>
        <v>0.7175810185</v>
      </c>
      <c r="D15504" s="4">
        <f>IFERROR(__xludf.DUMMYFUNCTION("""COMPUTED_VALUE"""),12.916288)</f>
        <v>12.916288</v>
      </c>
      <c r="E15504" s="4">
        <f>IFERROR(__xludf.DUMMYFUNCTION("""COMPUTED_VALUE"""),80.10579)</f>
        <v>80.10579</v>
      </c>
      <c r="F15504" s="4">
        <f>IFERROR(__xludf.DUMMYFUNCTION("""COMPUTED_VALUE"""),805.0)</f>
        <v>805</v>
      </c>
      <c r="G15504" s="4">
        <f>IFERROR(__xludf.DUMMYFUNCTION("""COMPUTED_VALUE"""),38.0)</f>
        <v>38</v>
      </c>
      <c r="H15504" s="4"/>
      <c r="I15504" s="4"/>
    </row>
    <row r="15505">
      <c r="A15505" s="4" t="str">
        <f>IFERROR(__xludf.DUMMYFUNCTION("""COMPUTED_VALUE"""),"cas_hmw")</f>
        <v>cas_hmw</v>
      </c>
      <c r="B15505" s="5">
        <f>IFERROR(__xludf.DUMMYFUNCTION("""COMPUTED_VALUE"""),44729.0)</f>
        <v>44729</v>
      </c>
      <c r="C15505" s="6">
        <f>IFERROR(__xludf.DUMMYFUNCTION("""COMPUTED_VALUE"""),0.7177083333335759)</f>
        <v>0.7177083333</v>
      </c>
      <c r="D15505" s="4">
        <f>IFERROR(__xludf.DUMMYFUNCTION("""COMPUTED_VALUE"""),12.840857)</f>
        <v>12.840857</v>
      </c>
      <c r="E15505" s="4">
        <f>IFERROR(__xludf.DUMMYFUNCTION("""COMPUTED_VALUE"""),80.056653)</f>
        <v>80.056653</v>
      </c>
      <c r="F15505" s="4">
        <f>IFERROR(__xludf.DUMMYFUNCTION("""COMPUTED_VALUE"""),2846.0)</f>
        <v>2846</v>
      </c>
      <c r="G15505" s="4">
        <f>IFERROR(__xludf.DUMMYFUNCTION("""COMPUTED_VALUE"""),19.0)</f>
        <v>19</v>
      </c>
      <c r="H15505" s="4"/>
      <c r="I15505" s="4"/>
    </row>
    <row r="15506">
      <c r="A15506" s="4" t="str">
        <f>IFERROR(__xludf.DUMMYFUNCTION("""COMPUTED_VALUE"""),"cas_hmw")</f>
        <v>cas_hmw</v>
      </c>
      <c r="B15506" s="5">
        <f>IFERROR(__xludf.DUMMYFUNCTION("""COMPUTED_VALUE"""),44729.0)</f>
        <v>44729</v>
      </c>
      <c r="C15506" s="6">
        <f>IFERROR(__xludf.DUMMYFUNCTION("""COMPUTED_VALUE"""),0.7177893518528435)</f>
        <v>0.7177893519</v>
      </c>
      <c r="D15506" s="4">
        <f>IFERROR(__xludf.DUMMYFUNCTION("""COMPUTED_VALUE"""),12.913788)</f>
        <v>12.913788</v>
      </c>
      <c r="E15506" s="4">
        <f>IFERROR(__xludf.DUMMYFUNCTION("""COMPUTED_VALUE"""),80.101565)</f>
        <v>80.101565</v>
      </c>
      <c r="F15506" s="4">
        <f>IFERROR(__xludf.DUMMYFUNCTION("""COMPUTED_VALUE"""),5339.0)</f>
        <v>5339</v>
      </c>
      <c r="G15506" s="4">
        <f>IFERROR(__xludf.DUMMYFUNCTION("""COMPUTED_VALUE"""),45.0)</f>
        <v>45</v>
      </c>
      <c r="H15506" s="4"/>
      <c r="I15506" s="4"/>
    </row>
    <row r="15507">
      <c r="A15507" s="4" t="str">
        <f>IFERROR(__xludf.DUMMYFUNCTION("""COMPUTED_VALUE"""),"cas_hmw")</f>
        <v>cas_hmw</v>
      </c>
      <c r="B15507" s="5">
        <f>IFERROR(__xludf.DUMMYFUNCTION("""COMPUTED_VALUE"""),44729.0)</f>
        <v>44729</v>
      </c>
      <c r="C15507" s="6">
        <f>IFERROR(__xludf.DUMMYFUNCTION("""COMPUTED_VALUE"""),0.7186574074075907)</f>
        <v>0.7186574074</v>
      </c>
      <c r="D15507" s="4">
        <f>IFERROR(__xludf.DUMMYFUNCTION("""COMPUTED_VALUE"""),12.92224)</f>
        <v>12.92224</v>
      </c>
      <c r="E15507" s="4">
        <f>IFERROR(__xludf.DUMMYFUNCTION("""COMPUTED_VALUE"""),80.113293)</f>
        <v>80.113293</v>
      </c>
      <c r="F15507" s="4">
        <f>IFERROR(__xludf.DUMMYFUNCTION("""COMPUTED_VALUE"""),805.0)</f>
        <v>805</v>
      </c>
      <c r="G15507" s="4">
        <f>IFERROR(__xludf.DUMMYFUNCTION("""COMPUTED_VALUE"""),53.0)</f>
        <v>53</v>
      </c>
      <c r="H15507" s="4"/>
      <c r="I15507" s="4"/>
    </row>
    <row r="15508">
      <c r="A15508" s="4" t="str">
        <f>IFERROR(__xludf.DUMMYFUNCTION("""COMPUTED_VALUE"""),"cas_hmw")</f>
        <v>cas_hmw</v>
      </c>
      <c r="B15508" s="5">
        <f>IFERROR(__xludf.DUMMYFUNCTION("""COMPUTED_VALUE"""),44729.0)</f>
        <v>44729</v>
      </c>
      <c r="C15508" s="6">
        <f>IFERROR(__xludf.DUMMYFUNCTION("""COMPUTED_VALUE"""),0.7187037037037953)</f>
        <v>0.7187037037</v>
      </c>
      <c r="D15508" s="4">
        <f>IFERROR(__xludf.DUMMYFUNCTION("""COMPUTED_VALUE"""),12.832832)</f>
        <v>12.832832</v>
      </c>
      <c r="E15508" s="4">
        <f>IFERROR(__xludf.DUMMYFUNCTION("""COMPUTED_VALUE"""),80.048161)</f>
        <v>80.048161</v>
      </c>
      <c r="F15508" s="4">
        <f>IFERROR(__xludf.DUMMYFUNCTION("""COMPUTED_VALUE"""),2846.0)</f>
        <v>2846</v>
      </c>
      <c r="G15508" s="4">
        <f>IFERROR(__xludf.DUMMYFUNCTION("""COMPUTED_VALUE"""),57.0)</f>
        <v>57</v>
      </c>
      <c r="H15508" s="4"/>
      <c r="I15508" s="4"/>
    </row>
    <row r="15509">
      <c r="A15509" s="4" t="str">
        <f>IFERROR(__xludf.DUMMYFUNCTION("""COMPUTED_VALUE"""),"cas_hmw")</f>
        <v>cas_hmw</v>
      </c>
      <c r="B15509" s="5">
        <f>IFERROR(__xludf.DUMMYFUNCTION("""COMPUTED_VALUE"""),44729.0)</f>
        <v>44729</v>
      </c>
      <c r="C15509" s="6">
        <f>IFERROR(__xludf.DUMMYFUNCTION("""COMPUTED_VALUE"""),0.7187384259268583)</f>
        <v>0.7187384259</v>
      </c>
      <c r="D15509" s="4">
        <f>IFERROR(__xludf.DUMMYFUNCTION("""COMPUTED_VALUE"""),12.832832)</f>
        <v>12.832832</v>
      </c>
      <c r="E15509" s="4">
        <f>IFERROR(__xludf.DUMMYFUNCTION("""COMPUTED_VALUE"""),80.048161)</f>
        <v>80.048161</v>
      </c>
      <c r="F15509" s="4">
        <f>IFERROR(__xludf.DUMMYFUNCTION("""COMPUTED_VALUE"""),2846.0)</f>
        <v>2846</v>
      </c>
      <c r="G15509" s="4">
        <f>IFERROR(__xludf.DUMMYFUNCTION("""COMPUTED_VALUE"""),57.0)</f>
        <v>57</v>
      </c>
      <c r="H15509" s="4"/>
      <c r="I15509" s="4"/>
    </row>
    <row r="15510">
      <c r="A15510" s="4" t="str">
        <f>IFERROR(__xludf.DUMMYFUNCTION("""COMPUTED_VALUE"""),"cas_hmw")</f>
        <v>cas_hmw</v>
      </c>
      <c r="B15510" s="5">
        <f>IFERROR(__xludf.DUMMYFUNCTION("""COMPUTED_VALUE"""),44729.0)</f>
        <v>44729</v>
      </c>
      <c r="C15510" s="6">
        <f>IFERROR(__xludf.DUMMYFUNCTION("""COMPUTED_VALUE"""),0.7188773148154723)</f>
        <v>0.7188773148</v>
      </c>
      <c r="D15510" s="4">
        <f>IFERROR(__xludf.DUMMYFUNCTION("""COMPUTED_VALUE"""),12.830974)</f>
        <v>12.830974</v>
      </c>
      <c r="E15510" s="4">
        <f>IFERROR(__xludf.DUMMYFUNCTION("""COMPUTED_VALUE"""),80.046236)</f>
        <v>80.046236</v>
      </c>
      <c r="F15510" s="4">
        <f>IFERROR(__xludf.DUMMYFUNCTION("""COMPUTED_VALUE"""),2846.0)</f>
        <v>2846</v>
      </c>
      <c r="G15510" s="4">
        <f>IFERROR(__xludf.DUMMYFUNCTION("""COMPUTED_VALUE"""),41.0)</f>
        <v>41</v>
      </c>
      <c r="H15510" s="4"/>
      <c r="I15510" s="4"/>
    </row>
    <row r="15511">
      <c r="A15511" s="4" t="str">
        <f>IFERROR(__xludf.DUMMYFUNCTION("""COMPUTED_VALUE"""),"cas_hmw")</f>
        <v>cas_hmw</v>
      </c>
      <c r="B15511" s="5">
        <f>IFERROR(__xludf.DUMMYFUNCTION("""COMPUTED_VALUE"""),44729.0)</f>
        <v>44729</v>
      </c>
      <c r="C15511" s="6">
        <f>IFERROR(__xludf.DUMMYFUNCTION("""COMPUTED_VALUE"""),0.7192939814813144)</f>
        <v>0.7192939815</v>
      </c>
      <c r="D15511" s="4">
        <f>IFERROR(__xludf.DUMMYFUNCTION("""COMPUTED_VALUE"""),12.92656)</f>
        <v>12.92656</v>
      </c>
      <c r="E15511" s="4">
        <f>IFERROR(__xludf.DUMMYFUNCTION("""COMPUTED_VALUE"""),80.117656)</f>
        <v>80.117656</v>
      </c>
      <c r="F15511" s="4">
        <f>IFERROR(__xludf.DUMMYFUNCTION("""COMPUTED_VALUE"""),805.0)</f>
        <v>805</v>
      </c>
      <c r="G15511" s="4">
        <f>IFERROR(__xludf.DUMMYFUNCTION("""COMPUTED_VALUE"""),19.0)</f>
        <v>19</v>
      </c>
      <c r="H15511" s="4"/>
      <c r="I15511" s="4"/>
    </row>
    <row r="15512">
      <c r="A15512" s="4" t="str">
        <f>IFERROR(__xludf.DUMMYFUNCTION("""COMPUTED_VALUE"""),"cas_hmw")</f>
        <v>cas_hmw</v>
      </c>
      <c r="B15512" s="5">
        <f>IFERROR(__xludf.DUMMYFUNCTION("""COMPUTED_VALUE"""),44729.0)</f>
        <v>44729</v>
      </c>
      <c r="C15512" s="6">
        <f>IFERROR(__xludf.DUMMYFUNCTION("""COMPUTED_VALUE"""),0.7194907407392748)</f>
        <v>0.7194907407</v>
      </c>
      <c r="D15512" s="4">
        <f>IFERROR(__xludf.DUMMYFUNCTION("""COMPUTED_VALUE"""),12.827209)</f>
        <v>12.827209</v>
      </c>
      <c r="E15512" s="4">
        <f>IFERROR(__xludf.DUMMYFUNCTION("""COMPUTED_VALUE"""),80.042248)</f>
        <v>80.042248</v>
      </c>
      <c r="F15512" s="4">
        <f>IFERROR(__xludf.DUMMYFUNCTION("""COMPUTED_VALUE"""),2846.0)</f>
        <v>2846</v>
      </c>
      <c r="G15512" s="4">
        <f>IFERROR(__xludf.DUMMYFUNCTION("""COMPUTED_VALUE"""),56.0)</f>
        <v>56</v>
      </c>
      <c r="H15512" s="4"/>
      <c r="I15512" s="4"/>
    </row>
    <row r="15513">
      <c r="A15513" s="4" t="str">
        <f>IFERROR(__xludf.DUMMYFUNCTION("""COMPUTED_VALUE"""),"cas_hmw")</f>
        <v>cas_hmw</v>
      </c>
      <c r="B15513" s="5">
        <f>IFERROR(__xludf.DUMMYFUNCTION("""COMPUTED_VALUE"""),44729.0)</f>
        <v>44729</v>
      </c>
      <c r="C15513" s="6">
        <f>IFERROR(__xludf.DUMMYFUNCTION("""COMPUTED_VALUE"""),0.7200694444436522)</f>
        <v>0.7200694444</v>
      </c>
      <c r="D15513" s="4">
        <f>IFERROR(__xludf.DUMMYFUNCTION("""COMPUTED_VALUE"""),12.929319)</f>
        <v>12.929319</v>
      </c>
      <c r="E15513" s="4">
        <f>IFERROR(__xludf.DUMMYFUNCTION("""COMPUTED_VALUE"""),80.120411)</f>
        <v>80.120411</v>
      </c>
      <c r="F15513" s="4">
        <f>IFERROR(__xludf.DUMMYFUNCTION("""COMPUTED_VALUE"""),805.0)</f>
        <v>805</v>
      </c>
      <c r="G15513" s="4">
        <f>IFERROR(__xludf.DUMMYFUNCTION("""COMPUTED_VALUE"""),0.0)</f>
        <v>0</v>
      </c>
      <c r="H15513" s="4"/>
      <c r="I15513" s="4"/>
    </row>
    <row r="15514">
      <c r="A15514" s="4" t="str">
        <f>IFERROR(__xludf.DUMMYFUNCTION("""COMPUTED_VALUE"""),"cas_hmw")</f>
        <v>cas_hmw</v>
      </c>
      <c r="B15514" s="5">
        <f>IFERROR(__xludf.DUMMYFUNCTION("""COMPUTED_VALUE"""),44729.0)</f>
        <v>44729</v>
      </c>
      <c r="C15514" s="6">
        <f>IFERROR(__xludf.DUMMYFUNCTION("""COMPUTED_VALUE"""),0.7200694444436522)</f>
        <v>0.7200694444</v>
      </c>
      <c r="D15514" s="4">
        <f>IFERROR(__xludf.DUMMYFUNCTION("""COMPUTED_VALUE"""),12.929319)</f>
        <v>12.929319</v>
      </c>
      <c r="E15514" s="4">
        <f>IFERROR(__xludf.DUMMYFUNCTION("""COMPUTED_VALUE"""),80.120411)</f>
        <v>80.120411</v>
      </c>
      <c r="F15514" s="4">
        <f>IFERROR(__xludf.DUMMYFUNCTION("""COMPUTED_VALUE"""),805.0)</f>
        <v>805</v>
      </c>
      <c r="G15514" s="4">
        <f>IFERROR(__xludf.DUMMYFUNCTION("""COMPUTED_VALUE"""),0.0)</f>
        <v>0</v>
      </c>
      <c r="H15514" s="4"/>
      <c r="I15514" s="4"/>
    </row>
    <row r="15515">
      <c r="A15515" s="4" t="str">
        <f>IFERROR(__xludf.DUMMYFUNCTION("""COMPUTED_VALUE"""),"cas_hmw")</f>
        <v>cas_hmw</v>
      </c>
      <c r="B15515" s="5">
        <f>IFERROR(__xludf.DUMMYFUNCTION("""COMPUTED_VALUE"""),44729.0)</f>
        <v>44729</v>
      </c>
      <c r="C15515" s="6">
        <f>IFERROR(__xludf.DUMMYFUNCTION("""COMPUTED_VALUE"""),0.7201041666667152)</f>
        <v>0.7201041667</v>
      </c>
      <c r="D15515" s="4">
        <f>IFERROR(__xludf.DUMMYFUNCTION("""COMPUTED_VALUE"""),12.929319)</f>
        <v>12.929319</v>
      </c>
      <c r="E15515" s="4">
        <f>IFERROR(__xludf.DUMMYFUNCTION("""COMPUTED_VALUE"""),80.120411)</f>
        <v>80.120411</v>
      </c>
      <c r="F15515" s="4">
        <f>IFERROR(__xludf.DUMMYFUNCTION("""COMPUTED_VALUE"""),805.0)</f>
        <v>805</v>
      </c>
      <c r="G15515" s="4">
        <f>IFERROR(__xludf.DUMMYFUNCTION("""COMPUTED_VALUE"""),0.0)</f>
        <v>0</v>
      </c>
      <c r="H15515" s="4"/>
      <c r="I15515" s="4"/>
    </row>
    <row r="15516">
      <c r="A15516" s="4" t="str">
        <f>IFERROR(__xludf.DUMMYFUNCTION("""COMPUTED_VALUE"""),"cas_hmw")</f>
        <v>cas_hmw</v>
      </c>
      <c r="B15516" s="5">
        <f>IFERROR(__xludf.DUMMYFUNCTION("""COMPUTED_VALUE"""),44729.0)</f>
        <v>44729</v>
      </c>
      <c r="C15516" s="6">
        <f>IFERROR(__xludf.DUMMYFUNCTION("""COMPUTED_VALUE"""),0.7203240740745969)</f>
        <v>0.7203240741</v>
      </c>
      <c r="D15516" s="4">
        <f>IFERROR(__xludf.DUMMYFUNCTION("""COMPUTED_VALUE"""),12.930141)</f>
        <v>12.930141</v>
      </c>
      <c r="E15516" s="4">
        <f>IFERROR(__xludf.DUMMYFUNCTION("""COMPUTED_VALUE"""),80.121187)</f>
        <v>80.121187</v>
      </c>
      <c r="F15516" s="4">
        <f>IFERROR(__xludf.DUMMYFUNCTION("""COMPUTED_VALUE"""),805.0)</f>
        <v>805</v>
      </c>
      <c r="G15516" s="4">
        <f>IFERROR(__xludf.DUMMYFUNCTION("""COMPUTED_VALUE"""),21.0)</f>
        <v>21</v>
      </c>
      <c r="H15516" s="4"/>
      <c r="I15516" s="4"/>
    </row>
    <row r="15517">
      <c r="A15517" s="4" t="str">
        <f>IFERROR(__xludf.DUMMYFUNCTION("""COMPUTED_VALUE"""),"cas_hmw")</f>
        <v>cas_hmw</v>
      </c>
      <c r="B15517" s="5">
        <f>IFERROR(__xludf.DUMMYFUNCTION("""COMPUTED_VALUE"""),44729.0)</f>
        <v>44729</v>
      </c>
      <c r="C15517" s="6">
        <f>IFERROR(__xludf.DUMMYFUNCTION("""COMPUTED_VALUE"""),0.7204398148132896)</f>
        <v>0.7204398148</v>
      </c>
      <c r="D15517" s="4">
        <f>IFERROR(__xludf.DUMMYFUNCTION("""COMPUTED_VALUE"""),12.930141)</f>
        <v>12.930141</v>
      </c>
      <c r="E15517" s="4">
        <f>IFERROR(__xludf.DUMMYFUNCTION("""COMPUTED_VALUE"""),80.121187)</f>
        <v>80.121187</v>
      </c>
      <c r="F15517" s="4">
        <f>IFERROR(__xludf.DUMMYFUNCTION("""COMPUTED_VALUE"""),805.0)</f>
        <v>805</v>
      </c>
      <c r="G15517" s="4">
        <f>IFERROR(__xludf.DUMMYFUNCTION("""COMPUTED_VALUE"""),21.0)</f>
        <v>21</v>
      </c>
      <c r="H15517" s="4"/>
      <c r="I15517" s="4"/>
    </row>
    <row r="15518">
      <c r="A15518" s="4" t="str">
        <f>IFERROR(__xludf.DUMMYFUNCTION("""COMPUTED_VALUE"""),"cas_hmw")</f>
        <v>cas_hmw</v>
      </c>
      <c r="B15518" s="5">
        <f>IFERROR(__xludf.DUMMYFUNCTION("""COMPUTED_VALUE"""),44729.0)</f>
        <v>44729</v>
      </c>
      <c r="C15518" s="6">
        <f>IFERROR(__xludf.DUMMYFUNCTION("""COMPUTED_VALUE"""),0.7204398148132896)</f>
        <v>0.7204398148</v>
      </c>
      <c r="D15518" s="4">
        <f>IFERROR(__xludf.DUMMYFUNCTION("""COMPUTED_VALUE"""),12.930141)</f>
        <v>12.930141</v>
      </c>
      <c r="E15518" s="4">
        <f>IFERROR(__xludf.DUMMYFUNCTION("""COMPUTED_VALUE"""),80.121187)</f>
        <v>80.121187</v>
      </c>
      <c r="F15518" s="4">
        <f>IFERROR(__xludf.DUMMYFUNCTION("""COMPUTED_VALUE"""),805.0)</f>
        <v>805</v>
      </c>
      <c r="G15518" s="4">
        <f>IFERROR(__xludf.DUMMYFUNCTION("""COMPUTED_VALUE"""),21.0)</f>
        <v>21</v>
      </c>
      <c r="H15518" s="4"/>
      <c r="I15518" s="4"/>
    </row>
    <row r="15519">
      <c r="A15519" s="4" t="str">
        <f>IFERROR(__xludf.DUMMYFUNCTION("""COMPUTED_VALUE"""),"cas_hmw")</f>
        <v>cas_hmw</v>
      </c>
      <c r="B15519" s="5">
        <f>IFERROR(__xludf.DUMMYFUNCTION("""COMPUTED_VALUE"""),44729.0)</f>
        <v>44729</v>
      </c>
      <c r="C15519" s="6">
        <f>IFERROR(__xludf.DUMMYFUNCTION("""COMPUTED_VALUE"""),0.7206944444442343)</f>
        <v>0.7206944444</v>
      </c>
      <c r="D15519" s="4">
        <f>IFERROR(__xludf.DUMMYFUNCTION("""COMPUTED_VALUE"""),12.92766)</f>
        <v>12.92766</v>
      </c>
      <c r="E15519" s="4">
        <f>IFERROR(__xludf.DUMMYFUNCTION("""COMPUTED_VALUE"""),80.118783)</f>
        <v>80.118783</v>
      </c>
      <c r="F15519" s="4">
        <f>IFERROR(__xludf.DUMMYFUNCTION("""COMPUTED_VALUE"""),5339.0)</f>
        <v>5339</v>
      </c>
      <c r="G15519" s="4">
        <f>IFERROR(__xludf.DUMMYFUNCTION("""COMPUTED_VALUE"""),30.0)</f>
        <v>30</v>
      </c>
      <c r="H15519" s="4"/>
      <c r="I15519" s="4"/>
    </row>
    <row r="15520">
      <c r="A15520" s="4" t="str">
        <f>IFERROR(__xludf.DUMMYFUNCTION("""COMPUTED_VALUE"""),"cas_hmw")</f>
        <v>cas_hmw</v>
      </c>
      <c r="B15520" s="5">
        <f>IFERROR(__xludf.DUMMYFUNCTION("""COMPUTED_VALUE"""),44729.0)</f>
        <v>44729</v>
      </c>
      <c r="C15520" s="6">
        <f>IFERROR(__xludf.DUMMYFUNCTION("""COMPUTED_VALUE"""),0.7213078703716747)</f>
        <v>0.7213078704</v>
      </c>
      <c r="D15520" s="4">
        <f>IFERROR(__xludf.DUMMYFUNCTION("""COMPUTED_VALUE"""),12.93025)</f>
        <v>12.93025</v>
      </c>
      <c r="E15520" s="4">
        <f>IFERROR(__xludf.DUMMYFUNCTION("""COMPUTED_VALUE"""),80.121355)</f>
        <v>80.121355</v>
      </c>
      <c r="F15520" s="4">
        <f>IFERROR(__xludf.DUMMYFUNCTION("""COMPUTED_VALUE"""),5339.0)</f>
        <v>5339</v>
      </c>
      <c r="G15520" s="4">
        <f>IFERROR(__xludf.DUMMYFUNCTION("""COMPUTED_VALUE"""),31.0)</f>
        <v>31</v>
      </c>
      <c r="H15520" s="4"/>
      <c r="I15520" s="4"/>
    </row>
    <row r="15521">
      <c r="A15521" s="4" t="str">
        <f>IFERROR(__xludf.DUMMYFUNCTION("""COMPUTED_VALUE"""),"cas_hmw")</f>
        <v>cas_hmw</v>
      </c>
      <c r="B15521" s="5">
        <f>IFERROR(__xludf.DUMMYFUNCTION("""COMPUTED_VALUE"""),44729.0)</f>
        <v>44729</v>
      </c>
      <c r="C15521" s="6">
        <f>IFERROR(__xludf.DUMMYFUNCTION("""COMPUTED_VALUE"""),0.721365740741021)</f>
        <v>0.7213657407</v>
      </c>
      <c r="D15521" s="4">
        <f>IFERROR(__xludf.DUMMYFUNCTION("""COMPUTED_VALUE"""),12.93025)</f>
        <v>12.93025</v>
      </c>
      <c r="E15521" s="4">
        <f>IFERROR(__xludf.DUMMYFUNCTION("""COMPUTED_VALUE"""),80.121355)</f>
        <v>80.121355</v>
      </c>
      <c r="F15521" s="4">
        <f>IFERROR(__xludf.DUMMYFUNCTION("""COMPUTED_VALUE"""),5339.0)</f>
        <v>5339</v>
      </c>
      <c r="G15521" s="4">
        <f>IFERROR(__xludf.DUMMYFUNCTION("""COMPUTED_VALUE"""),31.0)</f>
        <v>31</v>
      </c>
      <c r="H15521" s="4"/>
      <c r="I15521" s="4"/>
    </row>
    <row r="15522">
      <c r="A15522" s="4" t="str">
        <f>IFERROR(__xludf.DUMMYFUNCTION("""COMPUTED_VALUE"""),"cas_hmw")</f>
        <v>cas_hmw</v>
      </c>
      <c r="B15522" s="5">
        <f>IFERROR(__xludf.DUMMYFUNCTION("""COMPUTED_VALUE"""),44729.0)</f>
        <v>44729</v>
      </c>
      <c r="C15522" s="6">
        <f>IFERROR(__xludf.DUMMYFUNCTION("""COMPUTED_VALUE"""),0.721678240741312)</f>
        <v>0.7216782407</v>
      </c>
      <c r="D15522" s="4">
        <f>IFERROR(__xludf.DUMMYFUNCTION("""COMPUTED_VALUE"""),12.935825)</f>
        <v>12.935825</v>
      </c>
      <c r="E15522" s="4">
        <f>IFERROR(__xludf.DUMMYFUNCTION("""COMPUTED_VALUE"""),80.126719)</f>
        <v>80.126719</v>
      </c>
      <c r="F15522" s="4">
        <f>IFERROR(__xludf.DUMMYFUNCTION("""COMPUTED_VALUE"""),805.0)</f>
        <v>805</v>
      </c>
      <c r="G15522" s="4">
        <f>IFERROR(__xludf.DUMMYFUNCTION("""COMPUTED_VALUE"""),0.0)</f>
        <v>0</v>
      </c>
      <c r="H15522" s="4"/>
      <c r="I15522" s="4"/>
    </row>
    <row r="15523">
      <c r="A15523" s="4" t="str">
        <f>IFERROR(__xludf.DUMMYFUNCTION("""COMPUTED_VALUE"""),"cas_hmw")</f>
        <v>cas_hmw</v>
      </c>
      <c r="B15523" s="5">
        <f>IFERROR(__xludf.DUMMYFUNCTION("""COMPUTED_VALUE"""),44729.0)</f>
        <v>44729</v>
      </c>
      <c r="C15523" s="6">
        <f>IFERROR(__xludf.DUMMYFUNCTION("""COMPUTED_VALUE"""),0.7220370370378077)</f>
        <v>0.722037037</v>
      </c>
      <c r="D15523" s="4">
        <f>IFERROR(__xludf.DUMMYFUNCTION("""COMPUTED_VALUE"""),12.936162)</f>
        <v>12.936162</v>
      </c>
      <c r="E15523" s="4">
        <f>IFERROR(__xludf.DUMMYFUNCTION("""COMPUTED_VALUE"""),80.127068)</f>
        <v>80.127068</v>
      </c>
      <c r="F15523" s="4">
        <f>IFERROR(__xludf.DUMMYFUNCTION("""COMPUTED_VALUE"""),805.0)</f>
        <v>805</v>
      </c>
      <c r="G15523" s="4">
        <f>IFERROR(__xludf.DUMMYFUNCTION("""COMPUTED_VALUE"""),32.0)</f>
        <v>32</v>
      </c>
      <c r="H15523" s="4"/>
      <c r="I15523" s="4"/>
    </row>
    <row r="15524">
      <c r="A15524" s="4" t="str">
        <f>IFERROR(__xludf.DUMMYFUNCTION("""COMPUTED_VALUE"""),"cas_hmw")</f>
        <v>cas_hmw</v>
      </c>
      <c r="B15524" s="5">
        <f>IFERROR(__xludf.DUMMYFUNCTION("""COMPUTED_VALUE"""),44729.0)</f>
        <v>44729</v>
      </c>
      <c r="C15524" s="6">
        <f>IFERROR(__xludf.DUMMYFUNCTION("""COMPUTED_VALUE"""),0.7220486111109494)</f>
        <v>0.7220486111</v>
      </c>
      <c r="D15524" s="4">
        <f>IFERROR(__xludf.DUMMYFUNCTION("""COMPUTED_VALUE"""),12.933476)</f>
        <v>12.933476</v>
      </c>
      <c r="E15524" s="4">
        <f>IFERROR(__xludf.DUMMYFUNCTION("""COMPUTED_VALUE"""),80.124605)</f>
        <v>80.124605</v>
      </c>
      <c r="F15524" s="4">
        <f>IFERROR(__xludf.DUMMYFUNCTION("""COMPUTED_VALUE"""),5339.0)</f>
        <v>5339</v>
      </c>
      <c r="G15524" s="4">
        <f>IFERROR(__xludf.DUMMYFUNCTION("""COMPUTED_VALUE"""),43.0)</f>
        <v>43</v>
      </c>
      <c r="H15524" s="4"/>
      <c r="I15524" s="4"/>
    </row>
    <row r="15525">
      <c r="A15525" s="4" t="str">
        <f>IFERROR(__xludf.DUMMYFUNCTION("""COMPUTED_VALUE"""),"cas_hmw")</f>
        <v>cas_hmw</v>
      </c>
      <c r="B15525" s="5">
        <f>IFERROR(__xludf.DUMMYFUNCTION("""COMPUTED_VALUE"""),44729.0)</f>
        <v>44729</v>
      </c>
      <c r="C15525" s="6">
        <f>IFERROR(__xludf.DUMMYFUNCTION("""COMPUTED_VALUE"""),0.7222916666651145)</f>
        <v>0.7222916667</v>
      </c>
      <c r="D15525" s="4">
        <f>IFERROR(__xludf.DUMMYFUNCTION("""COMPUTED_VALUE"""),12.937486)</f>
        <v>12.937486</v>
      </c>
      <c r="E15525" s="4">
        <f>IFERROR(__xludf.DUMMYFUNCTION("""COMPUTED_VALUE"""),80.12822)</f>
        <v>80.12822</v>
      </c>
      <c r="F15525" s="4">
        <f>IFERROR(__xludf.DUMMYFUNCTION("""COMPUTED_VALUE"""),805.0)</f>
        <v>805</v>
      </c>
      <c r="G15525" s="4">
        <f>IFERROR(__xludf.DUMMYFUNCTION("""COMPUTED_VALUE"""),47.0)</f>
        <v>47</v>
      </c>
      <c r="H15525" s="4"/>
      <c r="I15525" s="4"/>
    </row>
    <row r="15526">
      <c r="A15526" s="4" t="str">
        <f>IFERROR(__xludf.DUMMYFUNCTION("""COMPUTED_VALUE"""),"cas_hmw")</f>
        <v>cas_hmw</v>
      </c>
      <c r="B15526" s="5">
        <f>IFERROR(__xludf.DUMMYFUNCTION("""COMPUTED_VALUE"""),44729.0)</f>
        <v>44729</v>
      </c>
      <c r="C15526" s="6">
        <f>IFERROR(__xludf.DUMMYFUNCTION("""COMPUTED_VALUE"""),0.7223958333343035)</f>
        <v>0.7223958333</v>
      </c>
      <c r="D15526" s="4">
        <f>IFERROR(__xludf.DUMMYFUNCTION("""COMPUTED_VALUE"""),12.93573)</f>
        <v>12.93573</v>
      </c>
      <c r="E15526" s="4">
        <f>IFERROR(__xludf.DUMMYFUNCTION("""COMPUTED_VALUE"""),80.126667)</f>
        <v>80.126667</v>
      </c>
      <c r="F15526" s="4">
        <f>IFERROR(__xludf.DUMMYFUNCTION("""COMPUTED_VALUE"""),5339.0)</f>
        <v>5339</v>
      </c>
      <c r="G15526" s="4">
        <f>IFERROR(__xludf.DUMMYFUNCTION("""COMPUTED_VALUE"""),35.0)</f>
        <v>35</v>
      </c>
      <c r="H15526" s="4"/>
      <c r="I15526" s="4"/>
    </row>
    <row r="15527">
      <c r="A15527" s="4" t="str">
        <f>IFERROR(__xludf.DUMMYFUNCTION("""COMPUTED_VALUE"""),"cas_hmw")</f>
        <v>cas_hmw</v>
      </c>
      <c r="B15527" s="5">
        <f>IFERROR(__xludf.DUMMYFUNCTION("""COMPUTED_VALUE"""),44729.0)</f>
        <v>44729</v>
      </c>
      <c r="C15527" s="6">
        <f>IFERROR(__xludf.DUMMYFUNCTION("""COMPUTED_VALUE"""),0.7224884259267128)</f>
        <v>0.7224884259</v>
      </c>
      <c r="D15527" s="4">
        <f>IFERROR(__xludf.DUMMYFUNCTION("""COMPUTED_VALUE"""),12.9363)</f>
        <v>12.9363</v>
      </c>
      <c r="E15527" s="4">
        <f>IFERROR(__xludf.DUMMYFUNCTION("""COMPUTED_VALUE"""),80.12717)</f>
        <v>80.12717</v>
      </c>
      <c r="F15527" s="4">
        <f>IFERROR(__xludf.DUMMYFUNCTION("""COMPUTED_VALUE"""),5339.0)</f>
        <v>5339</v>
      </c>
      <c r="G15527" s="4">
        <f>IFERROR(__xludf.DUMMYFUNCTION("""COMPUTED_VALUE"""),36.0)</f>
        <v>36</v>
      </c>
      <c r="H15527" s="4"/>
      <c r="I15527" s="4"/>
    </row>
    <row r="15528">
      <c r="A15528" s="4" t="str">
        <f>IFERROR(__xludf.DUMMYFUNCTION("""COMPUTED_VALUE"""),"cas_hmw")</f>
        <v>cas_hmw</v>
      </c>
      <c r="B15528" s="5">
        <f>IFERROR(__xludf.DUMMYFUNCTION("""COMPUTED_VALUE"""),44729.0)</f>
        <v>44729</v>
      </c>
      <c r="C15528" s="6">
        <f>IFERROR(__xludf.DUMMYFUNCTION("""COMPUTED_VALUE"""),0.7225231481497758)</f>
        <v>0.7225231481</v>
      </c>
      <c r="D15528" s="4">
        <f>IFERROR(__xludf.DUMMYFUNCTION("""COMPUTED_VALUE"""),12.9363)</f>
        <v>12.9363</v>
      </c>
      <c r="E15528" s="4">
        <f>IFERROR(__xludf.DUMMYFUNCTION("""COMPUTED_VALUE"""),80.12717)</f>
        <v>80.12717</v>
      </c>
      <c r="F15528" s="4">
        <f>IFERROR(__xludf.DUMMYFUNCTION("""COMPUTED_VALUE"""),5339.0)</f>
        <v>5339</v>
      </c>
      <c r="G15528" s="4">
        <f>IFERROR(__xludf.DUMMYFUNCTION("""COMPUTED_VALUE"""),36.0)</f>
        <v>36</v>
      </c>
      <c r="H15528" s="4"/>
      <c r="I15528" s="4"/>
    </row>
    <row r="15529">
      <c r="A15529" s="4" t="str">
        <f>IFERROR(__xludf.DUMMYFUNCTION("""COMPUTED_VALUE"""),"cas_hmw")</f>
        <v>cas_hmw</v>
      </c>
      <c r="B15529" s="5">
        <f>IFERROR(__xludf.DUMMYFUNCTION("""COMPUTED_VALUE"""),44729.0)</f>
        <v>44729</v>
      </c>
      <c r="C15529" s="6">
        <f>IFERROR(__xludf.DUMMYFUNCTION("""COMPUTED_VALUE"""),0.7229629629619012)</f>
        <v>0.722962963</v>
      </c>
      <c r="D15529" s="4">
        <f>IFERROR(__xludf.DUMMYFUNCTION("""COMPUTED_VALUE"""),12.943533)</f>
        <v>12.943533</v>
      </c>
      <c r="E15529" s="4">
        <f>IFERROR(__xludf.DUMMYFUNCTION("""COMPUTED_VALUE"""),80.134068)</f>
        <v>80.134068</v>
      </c>
      <c r="F15529" s="4">
        <f>IFERROR(__xludf.DUMMYFUNCTION("""COMPUTED_VALUE"""),805.0)</f>
        <v>805</v>
      </c>
      <c r="G15529" s="4">
        <f>IFERROR(__xludf.DUMMYFUNCTION("""COMPUTED_VALUE"""),46.0)</f>
        <v>46</v>
      </c>
      <c r="H15529" s="4"/>
      <c r="I15529" s="4"/>
    </row>
    <row r="15530">
      <c r="A15530" s="4" t="str">
        <f>IFERROR(__xludf.DUMMYFUNCTION("""COMPUTED_VALUE"""),"cas_hmw")</f>
        <v>cas_hmw</v>
      </c>
      <c r="B15530" s="5">
        <f>IFERROR(__xludf.DUMMYFUNCTION("""COMPUTED_VALUE"""),44729.0)</f>
        <v>44729</v>
      </c>
      <c r="C15530" s="6">
        <f>IFERROR(__xludf.DUMMYFUNCTION("""COMPUTED_VALUE"""),0.7229861111118225)</f>
        <v>0.7229861111</v>
      </c>
      <c r="D15530" s="4">
        <f>IFERROR(__xludf.DUMMYFUNCTION("""COMPUTED_VALUE"""),12.939672)</f>
        <v>12.939672</v>
      </c>
      <c r="E15530" s="4">
        <f>IFERROR(__xludf.DUMMYFUNCTION("""COMPUTED_VALUE"""),80.130143)</f>
        <v>80.130143</v>
      </c>
      <c r="F15530" s="4">
        <f>IFERROR(__xludf.DUMMYFUNCTION("""COMPUTED_VALUE"""),5339.0)</f>
        <v>5339</v>
      </c>
      <c r="G15530" s="4">
        <f>IFERROR(__xludf.DUMMYFUNCTION("""COMPUTED_VALUE"""),49.0)</f>
        <v>49</v>
      </c>
      <c r="H15530" s="4"/>
      <c r="I15530" s="4"/>
    </row>
    <row r="15531">
      <c r="A15531" s="4" t="str">
        <f>IFERROR(__xludf.DUMMYFUNCTION("""COMPUTED_VALUE"""),"cas_hmw")</f>
        <v>cas_hmw</v>
      </c>
      <c r="B15531" s="5">
        <f>IFERROR(__xludf.DUMMYFUNCTION("""COMPUTED_VALUE"""),44729.0)</f>
        <v>44729</v>
      </c>
      <c r="C15531" s="6">
        <f>IFERROR(__xludf.DUMMYFUNCTION("""COMPUTED_VALUE"""),0.7230902777773736)</f>
        <v>0.7230902778</v>
      </c>
      <c r="D15531" s="4">
        <f>IFERROR(__xludf.DUMMYFUNCTION("""COMPUTED_VALUE"""),12.940591)</f>
        <v>12.940591</v>
      </c>
      <c r="E15531" s="4">
        <f>IFERROR(__xludf.DUMMYFUNCTION("""COMPUTED_VALUE"""),80.13104)</f>
        <v>80.13104</v>
      </c>
      <c r="F15531" s="4">
        <f>IFERROR(__xludf.DUMMYFUNCTION("""COMPUTED_VALUE"""),5339.0)</f>
        <v>5339</v>
      </c>
      <c r="G15531" s="4">
        <f>IFERROR(__xludf.DUMMYFUNCTION("""COMPUTED_VALUE"""),56.0)</f>
        <v>56</v>
      </c>
      <c r="H15531" s="4"/>
      <c r="I15531" s="4"/>
    </row>
    <row r="15532">
      <c r="A15532" s="4" t="str">
        <f>IFERROR(__xludf.DUMMYFUNCTION("""COMPUTED_VALUE"""),"cas_hmw")</f>
        <v>cas_hmw</v>
      </c>
      <c r="B15532" s="5">
        <f>IFERROR(__xludf.DUMMYFUNCTION("""COMPUTED_VALUE"""),44729.0)</f>
        <v>44729</v>
      </c>
      <c r="C15532" s="6">
        <f>IFERROR(__xludf.DUMMYFUNCTION("""COMPUTED_VALUE"""),0.7239699074089003)</f>
        <v>0.7239699074</v>
      </c>
      <c r="D15532" s="4">
        <f>IFERROR(__xludf.DUMMYFUNCTION("""COMPUTED_VALUE"""),12.950237)</f>
        <v>12.950237</v>
      </c>
      <c r="E15532" s="4">
        <f>IFERROR(__xludf.DUMMYFUNCTION("""COMPUTED_VALUE"""),80.139282)</f>
        <v>80.139282</v>
      </c>
      <c r="F15532" s="4">
        <f>IFERROR(__xludf.DUMMYFUNCTION("""COMPUTED_VALUE"""),805.0)</f>
        <v>805</v>
      </c>
      <c r="G15532" s="4">
        <f>IFERROR(__xludf.DUMMYFUNCTION("""COMPUTED_VALUE"""),0.0)</f>
        <v>0</v>
      </c>
      <c r="H15532" s="4"/>
      <c r="I15532" s="4"/>
    </row>
    <row r="15533">
      <c r="A15533" s="4" t="str">
        <f>IFERROR(__xludf.DUMMYFUNCTION("""COMPUTED_VALUE"""),"cas_hmw")</f>
        <v>cas_hmw</v>
      </c>
      <c r="B15533" s="5">
        <f>IFERROR(__xludf.DUMMYFUNCTION("""COMPUTED_VALUE"""),44729.0)</f>
        <v>44729</v>
      </c>
      <c r="C15533" s="6">
        <f>IFERROR(__xludf.DUMMYFUNCTION("""COMPUTED_VALUE"""),0.7260532407417486)</f>
        <v>0.7260532407</v>
      </c>
      <c r="D15533" s="4">
        <f>IFERROR(__xludf.DUMMYFUNCTION("""COMPUTED_VALUE"""),12.960236)</f>
        <v>12.960236</v>
      </c>
      <c r="E15533" s="4">
        <f>IFERROR(__xludf.DUMMYFUNCTION("""COMPUTED_VALUE"""),80.145066)</f>
        <v>80.145066</v>
      </c>
      <c r="F15533" s="4">
        <f>IFERROR(__xludf.DUMMYFUNCTION("""COMPUTED_VALUE"""),805.0)</f>
        <v>805</v>
      </c>
      <c r="G15533" s="4">
        <f>IFERROR(__xludf.DUMMYFUNCTION("""COMPUTED_VALUE"""),6.0)</f>
        <v>6</v>
      </c>
      <c r="H15533" s="4"/>
      <c r="I15533" s="4"/>
    </row>
    <row r="15534">
      <c r="A15534" s="4" t="str">
        <f>IFERROR(__xludf.DUMMYFUNCTION("""COMPUTED_VALUE"""),"cas_hmw")</f>
        <v>cas_hmw</v>
      </c>
      <c r="B15534" s="5">
        <f>IFERROR(__xludf.DUMMYFUNCTION("""COMPUTED_VALUE"""),44729.0)</f>
        <v>44729</v>
      </c>
      <c r="C15534" s="6">
        <f>IFERROR(__xludf.DUMMYFUNCTION("""COMPUTED_VALUE"""),0.726215277776646)</f>
        <v>0.7262152778</v>
      </c>
      <c r="D15534" s="4">
        <f>IFERROR(__xludf.DUMMYFUNCTION("""COMPUTED_VALUE"""),12.957383)</f>
        <v>12.957383</v>
      </c>
      <c r="E15534" s="4">
        <f>IFERROR(__xludf.DUMMYFUNCTION("""COMPUTED_VALUE"""),80.143735)</f>
        <v>80.143735</v>
      </c>
      <c r="F15534" s="4">
        <f>IFERROR(__xludf.DUMMYFUNCTION("""COMPUTED_VALUE"""),5339.0)</f>
        <v>5339</v>
      </c>
      <c r="G15534" s="4">
        <f>IFERROR(__xludf.DUMMYFUNCTION("""COMPUTED_VALUE"""),27.0)</f>
        <v>27</v>
      </c>
      <c r="H15534" s="4"/>
      <c r="I15534" s="4"/>
    </row>
    <row r="15535">
      <c r="A15535" s="4" t="str">
        <f>IFERROR(__xludf.DUMMYFUNCTION("""COMPUTED_VALUE"""),"cas_hmw")</f>
        <v>cas_hmw</v>
      </c>
      <c r="B15535" s="5">
        <f>IFERROR(__xludf.DUMMYFUNCTION("""COMPUTED_VALUE"""),44729.0)</f>
        <v>44729</v>
      </c>
      <c r="C15535" s="6">
        <f>IFERROR(__xludf.DUMMYFUNCTION("""COMPUTED_VALUE"""),0.7262615740728506)</f>
        <v>0.7262615741</v>
      </c>
      <c r="D15535" s="4">
        <f>IFERROR(__xludf.DUMMYFUNCTION("""COMPUTED_VALUE"""),12.96079)</f>
        <v>12.96079</v>
      </c>
      <c r="E15535" s="4">
        <f>IFERROR(__xludf.DUMMYFUNCTION("""COMPUTED_VALUE"""),80.145381)</f>
        <v>80.145381</v>
      </c>
      <c r="F15535" s="4">
        <f>IFERROR(__xludf.DUMMYFUNCTION("""COMPUTED_VALUE"""),805.0)</f>
        <v>805</v>
      </c>
      <c r="G15535" s="4">
        <f>IFERROR(__xludf.DUMMYFUNCTION("""COMPUTED_VALUE"""),29.0)</f>
        <v>29</v>
      </c>
      <c r="H15535" s="4"/>
      <c r="I15535" s="4"/>
    </row>
    <row r="15536">
      <c r="A15536" s="4" t="str">
        <f>IFERROR(__xludf.DUMMYFUNCTION("""COMPUTED_VALUE"""),"cas_hmw")</f>
        <v>cas_hmw</v>
      </c>
      <c r="B15536" s="5">
        <f>IFERROR(__xludf.DUMMYFUNCTION("""COMPUTED_VALUE"""),44729.0)</f>
        <v>44729</v>
      </c>
      <c r="C15536" s="6">
        <f>IFERROR(__xludf.DUMMYFUNCTION("""COMPUTED_VALUE"""),0.7264351851845277)</f>
        <v>0.7264351852</v>
      </c>
      <c r="D15536" s="4">
        <f>IFERROR(__xludf.DUMMYFUNCTION("""COMPUTED_VALUE"""),12.766339)</f>
        <v>12.766339</v>
      </c>
      <c r="E15536" s="4">
        <f>IFERROR(__xludf.DUMMYFUNCTION("""COMPUTED_VALUE"""),80.005514)</f>
        <v>80.005514</v>
      </c>
      <c r="F15536" s="4">
        <f>IFERROR(__xludf.DUMMYFUNCTION("""COMPUTED_VALUE"""),2846.0)</f>
        <v>2846</v>
      </c>
      <c r="G15536" s="4">
        <f>IFERROR(__xludf.DUMMYFUNCTION("""COMPUTED_VALUE"""),57.0)</f>
        <v>57</v>
      </c>
      <c r="H15536" s="4"/>
      <c r="I15536" s="4"/>
    </row>
    <row r="15537">
      <c r="A15537" s="4" t="str">
        <f>IFERROR(__xludf.DUMMYFUNCTION("""COMPUTED_VALUE"""),"cas_hmw")</f>
        <v>cas_hmw</v>
      </c>
      <c r="B15537" s="5">
        <f>IFERROR(__xludf.DUMMYFUNCTION("""COMPUTED_VALUE"""),44729.0)</f>
        <v>44729</v>
      </c>
      <c r="C15537" s="6">
        <f>IFERROR(__xludf.DUMMYFUNCTION("""COMPUTED_VALUE"""),0.726631944446126)</f>
        <v>0.7266319444</v>
      </c>
      <c r="D15537" s="4">
        <f>IFERROR(__xludf.DUMMYFUNCTION("""COMPUTED_VALUE"""),12.764234)</f>
        <v>12.764234</v>
      </c>
      <c r="E15537" s="4">
        <f>IFERROR(__xludf.DUMMYFUNCTION("""COMPUTED_VALUE"""),80.004636)</f>
        <v>80.004636</v>
      </c>
      <c r="F15537" s="4">
        <f>IFERROR(__xludf.DUMMYFUNCTION("""COMPUTED_VALUE"""),2846.0)</f>
        <v>2846</v>
      </c>
      <c r="G15537" s="4">
        <f>IFERROR(__xludf.DUMMYFUNCTION("""COMPUTED_VALUE"""),31.0)</f>
        <v>31</v>
      </c>
      <c r="H15537" s="4"/>
      <c r="I15537" s="4"/>
    </row>
    <row r="15538">
      <c r="A15538" s="4" t="str">
        <f>IFERROR(__xludf.DUMMYFUNCTION("""COMPUTED_VALUE"""),"cas_hmw")</f>
        <v>cas_hmw</v>
      </c>
      <c r="B15538" s="5">
        <f>IFERROR(__xludf.DUMMYFUNCTION("""COMPUTED_VALUE"""),44729.0)</f>
        <v>44729</v>
      </c>
      <c r="C15538" s="6">
        <f>IFERROR(__xludf.DUMMYFUNCTION("""COMPUTED_VALUE"""),0.7267129629617557)</f>
        <v>0.726712963</v>
      </c>
      <c r="D15538" s="4">
        <f>IFERROR(__xludf.DUMMYFUNCTION("""COMPUTED_VALUE"""),12.963673)</f>
        <v>12.963673</v>
      </c>
      <c r="E15538" s="4">
        <f>IFERROR(__xludf.DUMMYFUNCTION("""COMPUTED_VALUE"""),80.147004)</f>
        <v>80.147004</v>
      </c>
      <c r="F15538" s="4">
        <f>IFERROR(__xludf.DUMMYFUNCTION("""COMPUTED_VALUE"""),805.0)</f>
        <v>805</v>
      </c>
      <c r="G15538" s="4">
        <f>IFERROR(__xludf.DUMMYFUNCTION("""COMPUTED_VALUE"""),33.0)</f>
        <v>33</v>
      </c>
      <c r="H15538" s="4"/>
      <c r="I15538" s="4"/>
    </row>
    <row r="15539">
      <c r="A15539" s="4" t="str">
        <f>IFERROR(__xludf.DUMMYFUNCTION("""COMPUTED_VALUE"""),"cas_hmw")</f>
        <v>cas_hmw</v>
      </c>
      <c r="B15539" s="5">
        <f>IFERROR(__xludf.DUMMYFUNCTION("""COMPUTED_VALUE"""),44729.0)</f>
        <v>44729</v>
      </c>
      <c r="C15539" s="6">
        <f>IFERROR(__xludf.DUMMYFUNCTION("""COMPUTED_VALUE"""),0.7273032407392748)</f>
        <v>0.7273032407</v>
      </c>
      <c r="D15539" s="4">
        <f>IFERROR(__xludf.DUMMYFUNCTION("""COMPUTED_VALUE"""),12.960301)</f>
        <v>12.960301</v>
      </c>
      <c r="E15539" s="4">
        <f>IFERROR(__xludf.DUMMYFUNCTION("""COMPUTED_VALUE"""),80.145121)</f>
        <v>80.145121</v>
      </c>
      <c r="F15539" s="4">
        <f>IFERROR(__xludf.DUMMYFUNCTION("""COMPUTED_VALUE"""),5339.0)</f>
        <v>5339</v>
      </c>
      <c r="G15539" s="4">
        <f>IFERROR(__xludf.DUMMYFUNCTION("""COMPUTED_VALUE"""),13.0)</f>
        <v>13</v>
      </c>
      <c r="H15539" s="4"/>
      <c r="I15539" s="4"/>
    </row>
    <row r="15540">
      <c r="A15540" s="4" t="str">
        <f>IFERROR(__xludf.DUMMYFUNCTION("""COMPUTED_VALUE"""),"cas_hmw")</f>
        <v>cas_hmw</v>
      </c>
      <c r="B15540" s="5">
        <f>IFERROR(__xludf.DUMMYFUNCTION("""COMPUTED_VALUE"""),44729.0)</f>
        <v>44729</v>
      </c>
      <c r="C15540" s="6">
        <f>IFERROR(__xludf.DUMMYFUNCTION("""COMPUTED_VALUE"""),0.7275115740740148)</f>
        <v>0.7275115741</v>
      </c>
      <c r="D15540" s="4">
        <f>IFERROR(__xludf.DUMMYFUNCTION("""COMPUTED_VALUE"""),12.970275)</f>
        <v>12.970275</v>
      </c>
      <c r="E15540" s="4">
        <f>IFERROR(__xludf.DUMMYFUNCTION("""COMPUTED_VALUE"""),80.150444)</f>
        <v>80.150444</v>
      </c>
      <c r="F15540" s="4">
        <f>IFERROR(__xludf.DUMMYFUNCTION("""COMPUTED_VALUE"""),805.0)</f>
        <v>805</v>
      </c>
      <c r="G15540" s="4">
        <f>IFERROR(__xludf.DUMMYFUNCTION("""COMPUTED_VALUE"""),51.0)</f>
        <v>51</v>
      </c>
      <c r="H15540" s="4"/>
      <c r="I15540" s="4"/>
    </row>
    <row r="15541">
      <c r="A15541" s="4" t="str">
        <f>IFERROR(__xludf.DUMMYFUNCTION("""COMPUTED_VALUE"""),"cas_hmw")</f>
        <v>cas_hmw</v>
      </c>
      <c r="B15541" s="5">
        <f>IFERROR(__xludf.DUMMYFUNCTION("""COMPUTED_VALUE"""),44729.0)</f>
        <v>44729</v>
      </c>
      <c r="C15541" s="6">
        <f>IFERROR(__xludf.DUMMYFUNCTION("""COMPUTED_VALUE"""),0.7275231481471565)</f>
        <v>0.7275231481</v>
      </c>
      <c r="D15541" s="4">
        <f>IFERROR(__xludf.DUMMYFUNCTION("""COMPUTED_VALUE"""),12.970275)</f>
        <v>12.970275</v>
      </c>
      <c r="E15541" s="4">
        <f>IFERROR(__xludf.DUMMYFUNCTION("""COMPUTED_VALUE"""),80.150444)</f>
        <v>80.150444</v>
      </c>
      <c r="F15541" s="4">
        <f>IFERROR(__xludf.DUMMYFUNCTION("""COMPUTED_VALUE"""),805.0)</f>
        <v>805</v>
      </c>
      <c r="G15541" s="4">
        <f>IFERROR(__xludf.DUMMYFUNCTION("""COMPUTED_VALUE"""),51.0)</f>
        <v>51</v>
      </c>
      <c r="H15541" s="4"/>
      <c r="I15541" s="4"/>
    </row>
    <row r="15542">
      <c r="A15542" s="4" t="str">
        <f>IFERROR(__xludf.DUMMYFUNCTION("""COMPUTED_VALUE"""),"cas_hmw")</f>
        <v>cas_hmw</v>
      </c>
      <c r="B15542" s="5">
        <f>IFERROR(__xludf.DUMMYFUNCTION("""COMPUTED_VALUE"""),44729.0)</f>
        <v>44729</v>
      </c>
      <c r="C15542" s="6">
        <f>IFERROR(__xludf.DUMMYFUNCTION("""COMPUTED_VALUE"""),0.7275231481471565)</f>
        <v>0.7275231481</v>
      </c>
      <c r="D15542" s="4">
        <f>IFERROR(__xludf.DUMMYFUNCTION("""COMPUTED_VALUE"""),12.970275)</f>
        <v>12.970275</v>
      </c>
      <c r="E15542" s="4">
        <f>IFERROR(__xludf.DUMMYFUNCTION("""COMPUTED_VALUE"""),80.150444)</f>
        <v>80.150444</v>
      </c>
      <c r="F15542" s="4">
        <f>IFERROR(__xludf.DUMMYFUNCTION("""COMPUTED_VALUE"""),805.0)</f>
        <v>805</v>
      </c>
      <c r="G15542" s="4">
        <f>IFERROR(__xludf.DUMMYFUNCTION("""COMPUTED_VALUE"""),51.0)</f>
        <v>51</v>
      </c>
      <c r="H15542" s="4"/>
      <c r="I15542" s="4"/>
    </row>
    <row r="15543">
      <c r="A15543" s="4" t="str">
        <f>IFERROR(__xludf.DUMMYFUNCTION("""COMPUTED_VALUE"""),"cas_hmw")</f>
        <v>cas_hmw</v>
      </c>
      <c r="B15543" s="5">
        <f>IFERROR(__xludf.DUMMYFUNCTION("""COMPUTED_VALUE"""),44729.0)</f>
        <v>44729</v>
      </c>
      <c r="C15543" s="6">
        <f>IFERROR(__xludf.DUMMYFUNCTION("""COMPUTED_VALUE"""),0.7275231481471565)</f>
        <v>0.7275231481</v>
      </c>
      <c r="D15543" s="4">
        <f>IFERROR(__xludf.DUMMYFUNCTION("""COMPUTED_VALUE"""),12.970275)</f>
        <v>12.970275</v>
      </c>
      <c r="E15543" s="4">
        <f>IFERROR(__xludf.DUMMYFUNCTION("""COMPUTED_VALUE"""),80.150444)</f>
        <v>80.150444</v>
      </c>
      <c r="F15543" s="4">
        <f>IFERROR(__xludf.DUMMYFUNCTION("""COMPUTED_VALUE"""),805.0)</f>
        <v>805</v>
      </c>
      <c r="G15543" s="4">
        <f>IFERROR(__xludf.DUMMYFUNCTION("""COMPUTED_VALUE"""),51.0)</f>
        <v>51</v>
      </c>
      <c r="H15543" s="4"/>
      <c r="I15543" s="4"/>
    </row>
    <row r="15544">
      <c r="A15544" s="4" t="str">
        <f>IFERROR(__xludf.DUMMYFUNCTION("""COMPUTED_VALUE"""),"cas_hmw")</f>
        <v>cas_hmw</v>
      </c>
      <c r="B15544" s="5">
        <f>IFERROR(__xludf.DUMMYFUNCTION("""COMPUTED_VALUE"""),44729.0)</f>
        <v>44729</v>
      </c>
      <c r="C15544" s="6">
        <f>IFERROR(__xludf.DUMMYFUNCTION("""COMPUTED_VALUE"""),0.7275462962970778)</f>
        <v>0.7275462963</v>
      </c>
      <c r="D15544" s="4">
        <f>IFERROR(__xludf.DUMMYFUNCTION("""COMPUTED_VALUE"""),12.972163)</f>
        <v>12.972163</v>
      </c>
      <c r="E15544" s="4">
        <f>IFERROR(__xludf.DUMMYFUNCTION("""COMPUTED_VALUE"""),80.151479)</f>
        <v>80.151479</v>
      </c>
      <c r="F15544" s="4">
        <f>IFERROR(__xludf.DUMMYFUNCTION("""COMPUTED_VALUE"""),805.0)</f>
        <v>805</v>
      </c>
      <c r="G15544" s="4">
        <f>IFERROR(__xludf.DUMMYFUNCTION("""COMPUTED_VALUE"""),52.0)</f>
        <v>52</v>
      </c>
      <c r="H15544" s="4"/>
      <c r="I15544" s="4"/>
    </row>
    <row r="15545">
      <c r="A15545" s="4" t="str">
        <f>IFERROR(__xludf.DUMMYFUNCTION("""COMPUTED_VALUE"""),"cas_hmw")</f>
        <v>cas_hmw</v>
      </c>
      <c r="B15545" s="5">
        <f>IFERROR(__xludf.DUMMYFUNCTION("""COMPUTED_VALUE"""),44729.0)</f>
        <v>44729</v>
      </c>
      <c r="C15545" s="6">
        <f>IFERROR(__xludf.DUMMYFUNCTION("""COMPUTED_VALUE"""),0.7275462962970778)</f>
        <v>0.7275462963</v>
      </c>
      <c r="D15545" s="4">
        <f>IFERROR(__xludf.DUMMYFUNCTION("""COMPUTED_VALUE"""),12.972163)</f>
        <v>12.972163</v>
      </c>
      <c r="E15545" s="4">
        <f>IFERROR(__xludf.DUMMYFUNCTION("""COMPUTED_VALUE"""),80.151479)</f>
        <v>80.151479</v>
      </c>
      <c r="F15545" s="4">
        <f>IFERROR(__xludf.DUMMYFUNCTION("""COMPUTED_VALUE"""),805.0)</f>
        <v>805</v>
      </c>
      <c r="G15545" s="4">
        <f>IFERROR(__xludf.DUMMYFUNCTION("""COMPUTED_VALUE"""),52.0)</f>
        <v>52</v>
      </c>
      <c r="H15545" s="4"/>
      <c r="I15545" s="4"/>
    </row>
    <row r="15546">
      <c r="A15546" s="4" t="str">
        <f>IFERROR(__xludf.DUMMYFUNCTION("""COMPUTED_VALUE"""),"cas_hmw")</f>
        <v>cas_hmw</v>
      </c>
      <c r="B15546" s="5">
        <f>IFERROR(__xludf.DUMMYFUNCTION("""COMPUTED_VALUE"""),44729.0)</f>
        <v>44729</v>
      </c>
      <c r="C15546" s="6">
        <f>IFERROR(__xludf.DUMMYFUNCTION("""COMPUTED_VALUE"""),0.7275578703702195)</f>
        <v>0.7275578704</v>
      </c>
      <c r="D15546" s="4">
        <f>IFERROR(__xludf.DUMMYFUNCTION("""COMPUTED_VALUE"""),12.972163)</f>
        <v>12.972163</v>
      </c>
      <c r="E15546" s="4">
        <f>IFERROR(__xludf.DUMMYFUNCTION("""COMPUTED_VALUE"""),80.151479)</f>
        <v>80.151479</v>
      </c>
      <c r="F15546" s="4">
        <f>IFERROR(__xludf.DUMMYFUNCTION("""COMPUTED_VALUE"""),805.0)</f>
        <v>805</v>
      </c>
      <c r="G15546" s="4">
        <f>IFERROR(__xludf.DUMMYFUNCTION("""COMPUTED_VALUE"""),52.0)</f>
        <v>52</v>
      </c>
      <c r="H15546" s="4"/>
      <c r="I15546" s="4"/>
    </row>
    <row r="15547">
      <c r="A15547" s="4" t="str">
        <f>IFERROR(__xludf.DUMMYFUNCTION("""COMPUTED_VALUE"""),"cas_hmw")</f>
        <v>cas_hmw</v>
      </c>
      <c r="B15547" s="5">
        <f>IFERROR(__xludf.DUMMYFUNCTION("""COMPUTED_VALUE"""),44729.0)</f>
        <v>44729</v>
      </c>
      <c r="C15547" s="6">
        <f>IFERROR(__xludf.DUMMYFUNCTION("""COMPUTED_VALUE"""),0.7276504629626288)</f>
        <v>0.727650463</v>
      </c>
      <c r="D15547" s="4">
        <f>IFERROR(__xludf.DUMMYFUNCTION("""COMPUTED_VALUE"""),12.972163)</f>
        <v>12.972163</v>
      </c>
      <c r="E15547" s="4">
        <f>IFERROR(__xludf.DUMMYFUNCTION("""COMPUTED_VALUE"""),80.151479)</f>
        <v>80.151479</v>
      </c>
      <c r="F15547" s="4">
        <f>IFERROR(__xludf.DUMMYFUNCTION("""COMPUTED_VALUE"""),805.0)</f>
        <v>805</v>
      </c>
      <c r="G15547" s="4">
        <f>IFERROR(__xludf.DUMMYFUNCTION("""COMPUTED_VALUE"""),52.0)</f>
        <v>52</v>
      </c>
      <c r="H15547" s="4"/>
      <c r="I15547" s="4"/>
    </row>
    <row r="15548">
      <c r="A15548" s="4" t="str">
        <f>IFERROR(__xludf.DUMMYFUNCTION("""COMPUTED_VALUE"""),"cas_hmw")</f>
        <v>cas_hmw</v>
      </c>
      <c r="B15548" s="5">
        <f>IFERROR(__xludf.DUMMYFUNCTION("""COMPUTED_VALUE"""),44729.0)</f>
        <v>44729</v>
      </c>
      <c r="C15548" s="6">
        <f>IFERROR(__xludf.DUMMYFUNCTION("""COMPUTED_VALUE"""),0.7278819444436522)</f>
        <v>0.7278819444</v>
      </c>
      <c r="D15548" s="4">
        <f>IFERROR(__xludf.DUMMYFUNCTION("""COMPUTED_VALUE"""),12.973568)</f>
        <v>12.973568</v>
      </c>
      <c r="E15548" s="4">
        <f>IFERROR(__xludf.DUMMYFUNCTION("""COMPUTED_VALUE"""),80.153481)</f>
        <v>80.153481</v>
      </c>
      <c r="F15548" s="4">
        <f>IFERROR(__xludf.DUMMYFUNCTION("""COMPUTED_VALUE"""),805.0)</f>
        <v>805</v>
      </c>
      <c r="G15548" s="4">
        <f>IFERROR(__xludf.DUMMYFUNCTION("""COMPUTED_VALUE"""),57.0)</f>
        <v>57</v>
      </c>
      <c r="H15548" s="4"/>
      <c r="I15548" s="4"/>
    </row>
    <row r="15549">
      <c r="A15549" s="4" t="str">
        <f>IFERROR(__xludf.DUMMYFUNCTION("""COMPUTED_VALUE"""),"cas_hmw")</f>
        <v>cas_hmw</v>
      </c>
      <c r="B15549" s="5">
        <f>IFERROR(__xludf.DUMMYFUNCTION("""COMPUTED_VALUE"""),44729.0)</f>
        <v>44729</v>
      </c>
      <c r="C15549" s="6">
        <f>IFERROR(__xludf.DUMMYFUNCTION("""COMPUTED_VALUE"""),0.7282523148132896)</f>
        <v>0.7282523148</v>
      </c>
      <c r="D15549" s="4">
        <f>IFERROR(__xludf.DUMMYFUNCTION("""COMPUTED_VALUE"""),12.966351)</f>
        <v>12.966351</v>
      </c>
      <c r="E15549" s="4">
        <f>IFERROR(__xludf.DUMMYFUNCTION("""COMPUTED_VALUE"""),80.148615)</f>
        <v>80.148615</v>
      </c>
      <c r="F15549" s="4">
        <f>IFERROR(__xludf.DUMMYFUNCTION("""COMPUTED_VALUE"""),5339.0)</f>
        <v>5339</v>
      </c>
      <c r="G15549" s="4">
        <f>IFERROR(__xludf.DUMMYFUNCTION("""COMPUTED_VALUE"""),52.0)</f>
        <v>52</v>
      </c>
      <c r="H15549" s="4"/>
      <c r="I15549" s="4"/>
    </row>
    <row r="15550">
      <c r="A15550" s="4" t="str">
        <f>IFERROR(__xludf.DUMMYFUNCTION("""COMPUTED_VALUE"""),"cas_hmw")</f>
        <v>cas_hmw</v>
      </c>
      <c r="B15550" s="5">
        <f>IFERROR(__xludf.DUMMYFUNCTION("""COMPUTED_VALUE"""),44729.0)</f>
        <v>44729</v>
      </c>
      <c r="C15550" s="6">
        <f>IFERROR(__xludf.DUMMYFUNCTION("""COMPUTED_VALUE"""),0.7292245370372257)</f>
        <v>0.729224537</v>
      </c>
      <c r="D15550" s="4">
        <f>IFERROR(__xludf.DUMMYFUNCTION("""COMPUTED_VALUE"""),12.974882)</f>
        <v>12.974882</v>
      </c>
      <c r="E15550" s="4">
        <f>IFERROR(__xludf.DUMMYFUNCTION("""COMPUTED_VALUE"""),80.155362)</f>
        <v>80.155362</v>
      </c>
      <c r="F15550" s="4">
        <f>IFERROR(__xludf.DUMMYFUNCTION("""COMPUTED_VALUE"""),5339.0)</f>
        <v>5339</v>
      </c>
      <c r="G15550" s="4">
        <f>IFERROR(__xludf.DUMMYFUNCTION("""COMPUTED_VALUE"""),34.0)</f>
        <v>34</v>
      </c>
      <c r="H15550" s="4"/>
      <c r="I15550" s="4"/>
    </row>
    <row r="15551">
      <c r="A15551" s="4" t="str">
        <f>IFERROR(__xludf.DUMMYFUNCTION("""COMPUTED_VALUE"""),"cas_hmw")</f>
        <v>cas_hmw</v>
      </c>
      <c r="B15551" s="5">
        <f>IFERROR(__xludf.DUMMYFUNCTION("""COMPUTED_VALUE"""),44729.0)</f>
        <v>44729</v>
      </c>
      <c r="C15551" s="6">
        <f>IFERROR(__xludf.DUMMYFUNCTION("""COMPUTED_VALUE"""),0.7293055555564933)</f>
        <v>0.7293055556</v>
      </c>
      <c r="D15551" s="4">
        <f>IFERROR(__xludf.DUMMYFUNCTION("""COMPUTED_VALUE"""),12.975594)</f>
        <v>12.975594</v>
      </c>
      <c r="E15551" s="4">
        <f>IFERROR(__xludf.DUMMYFUNCTION("""COMPUTED_VALUE"""),80.156326)</f>
        <v>80.156326</v>
      </c>
      <c r="F15551" s="4">
        <f>IFERROR(__xludf.DUMMYFUNCTION("""COMPUTED_VALUE"""),5339.0)</f>
        <v>5339</v>
      </c>
      <c r="G15551" s="4">
        <f>IFERROR(__xludf.DUMMYFUNCTION("""COMPUTED_VALUE"""),30.0)</f>
        <v>30</v>
      </c>
      <c r="H15551" s="4"/>
      <c r="I15551" s="4"/>
    </row>
    <row r="15552">
      <c r="A15552" s="4" t="str">
        <f>IFERROR(__xludf.DUMMYFUNCTION("""COMPUTED_VALUE"""),"cas_hmw")</f>
        <v>cas_hmw</v>
      </c>
      <c r="B15552" s="5">
        <f>IFERROR(__xludf.DUMMYFUNCTION("""COMPUTED_VALUE"""),44729.0)</f>
        <v>44729</v>
      </c>
      <c r="C15552" s="6">
        <f>IFERROR(__xludf.DUMMYFUNCTION("""COMPUTED_VALUE"""),0.729386574075761)</f>
        <v>0.7293865741</v>
      </c>
      <c r="D15552" s="4">
        <f>IFERROR(__xludf.DUMMYFUNCTION("""COMPUTED_VALUE"""),12.982166)</f>
        <v>12.982166</v>
      </c>
      <c r="E15552" s="4">
        <f>IFERROR(__xludf.DUMMYFUNCTION("""COMPUTED_VALUE"""),80.167788)</f>
        <v>80.167788</v>
      </c>
      <c r="F15552" s="4">
        <f>IFERROR(__xludf.DUMMYFUNCTION("""COMPUTED_VALUE"""),805.0)</f>
        <v>805</v>
      </c>
      <c r="G15552" s="4">
        <f>IFERROR(__xludf.DUMMYFUNCTION("""COMPUTED_VALUE"""),57.0)</f>
        <v>57</v>
      </c>
      <c r="H15552" s="4"/>
      <c r="I15552" s="4"/>
    </row>
    <row r="15553">
      <c r="A15553" s="4" t="str">
        <f>IFERROR(__xludf.DUMMYFUNCTION("""COMPUTED_VALUE"""),"cas_hmw")</f>
        <v>cas_hmw</v>
      </c>
      <c r="B15553" s="5">
        <f>IFERROR(__xludf.DUMMYFUNCTION("""COMPUTED_VALUE"""),44729.0)</f>
        <v>44729</v>
      </c>
      <c r="C15553" s="6">
        <f>IFERROR(__xludf.DUMMYFUNCTION("""COMPUTED_VALUE"""),0.7294791666681704)</f>
        <v>0.7294791667</v>
      </c>
      <c r="D15553" s="4">
        <f>IFERROR(__xludf.DUMMYFUNCTION("""COMPUTED_VALUE"""),12.976346)</f>
        <v>12.976346</v>
      </c>
      <c r="E15553" s="4">
        <f>IFERROR(__xludf.DUMMYFUNCTION("""COMPUTED_VALUE"""),80.157438)</f>
        <v>80.157438</v>
      </c>
      <c r="F15553" s="4">
        <f>IFERROR(__xludf.DUMMYFUNCTION("""COMPUTED_VALUE"""),5339.0)</f>
        <v>5339</v>
      </c>
      <c r="G15553" s="4">
        <f>IFERROR(__xludf.DUMMYFUNCTION("""COMPUTED_VALUE"""),37.0)</f>
        <v>37</v>
      </c>
      <c r="H15553" s="4"/>
      <c r="I15553" s="4"/>
    </row>
    <row r="15554">
      <c r="A15554" s="4" t="str">
        <f>IFERROR(__xludf.DUMMYFUNCTION("""COMPUTED_VALUE"""),"cas_hmw")</f>
        <v>cas_hmw</v>
      </c>
      <c r="B15554" s="5">
        <f>IFERROR(__xludf.DUMMYFUNCTION("""COMPUTED_VALUE"""),44729.0)</f>
        <v>44729</v>
      </c>
      <c r="C15554" s="6">
        <f>IFERROR(__xludf.DUMMYFUNCTION("""COMPUTED_VALUE"""),0.7298842592608707)</f>
        <v>0.7298842593</v>
      </c>
      <c r="D15554" s="4">
        <f>IFERROR(__xludf.DUMMYFUNCTION("""COMPUTED_VALUE"""),12.985559)</f>
        <v>12.985559</v>
      </c>
      <c r="E15554" s="4">
        <f>IFERROR(__xludf.DUMMYFUNCTION("""COMPUTED_VALUE"""),80.173335)</f>
        <v>80.173335</v>
      </c>
      <c r="F15554" s="4">
        <f>IFERROR(__xludf.DUMMYFUNCTION("""COMPUTED_VALUE"""),805.0)</f>
        <v>805</v>
      </c>
      <c r="G15554" s="4">
        <f>IFERROR(__xludf.DUMMYFUNCTION("""COMPUTED_VALUE"""),34.0)</f>
        <v>34</v>
      </c>
      <c r="H15554" s="4"/>
      <c r="I15554" s="4"/>
    </row>
    <row r="15555">
      <c r="A15555" s="4" t="str">
        <f>IFERROR(__xludf.DUMMYFUNCTION("""COMPUTED_VALUE"""),"cas_hmw")</f>
        <v>cas_hmw</v>
      </c>
      <c r="B15555" s="5">
        <f>IFERROR(__xludf.DUMMYFUNCTION("""COMPUTED_VALUE"""),44729.0)</f>
        <v>44729</v>
      </c>
      <c r="C15555" s="6">
        <f>IFERROR(__xludf.DUMMYFUNCTION("""COMPUTED_VALUE"""),0.7298842592608707)</f>
        <v>0.7298842593</v>
      </c>
      <c r="D15555" s="4">
        <f>IFERROR(__xludf.DUMMYFUNCTION("""COMPUTED_VALUE"""),12.985559)</f>
        <v>12.985559</v>
      </c>
      <c r="E15555" s="4">
        <f>IFERROR(__xludf.DUMMYFUNCTION("""COMPUTED_VALUE"""),80.173335)</f>
        <v>80.173335</v>
      </c>
      <c r="F15555" s="4">
        <f>IFERROR(__xludf.DUMMYFUNCTION("""COMPUTED_VALUE"""),805.0)</f>
        <v>805</v>
      </c>
      <c r="G15555" s="4">
        <f>IFERROR(__xludf.DUMMYFUNCTION("""COMPUTED_VALUE"""),34.0)</f>
        <v>34</v>
      </c>
      <c r="H15555" s="4"/>
      <c r="I15555" s="4"/>
    </row>
    <row r="15556">
      <c r="A15556" s="4" t="str">
        <f>IFERROR(__xludf.DUMMYFUNCTION("""COMPUTED_VALUE"""),"cas_hmw")</f>
        <v>cas_hmw</v>
      </c>
      <c r="B15556" s="5">
        <f>IFERROR(__xludf.DUMMYFUNCTION("""COMPUTED_VALUE"""),44729.0)</f>
        <v>44729</v>
      </c>
      <c r="C15556" s="6">
        <f>IFERROR(__xludf.DUMMYFUNCTION("""COMPUTED_VALUE"""),0.7299074074071541)</f>
        <v>0.7299074074</v>
      </c>
      <c r="D15556" s="4">
        <f>IFERROR(__xludf.DUMMYFUNCTION("""COMPUTED_VALUE"""),12.985559)</f>
        <v>12.985559</v>
      </c>
      <c r="E15556" s="4">
        <f>IFERROR(__xludf.DUMMYFUNCTION("""COMPUTED_VALUE"""),80.173335)</f>
        <v>80.173335</v>
      </c>
      <c r="F15556" s="4">
        <f>IFERROR(__xludf.DUMMYFUNCTION("""COMPUTED_VALUE"""),805.0)</f>
        <v>805</v>
      </c>
      <c r="G15556" s="4">
        <f>IFERROR(__xludf.DUMMYFUNCTION("""COMPUTED_VALUE"""),34.0)</f>
        <v>34</v>
      </c>
      <c r="H15556" s="4"/>
      <c r="I15556" s="4"/>
    </row>
    <row r="15557">
      <c r="A15557" s="4" t="str">
        <f>IFERROR(__xludf.DUMMYFUNCTION("""COMPUTED_VALUE"""),"cas_hmw")</f>
        <v>cas_hmw</v>
      </c>
      <c r="B15557" s="5">
        <f>IFERROR(__xludf.DUMMYFUNCTION("""COMPUTED_VALUE"""),44729.0)</f>
        <v>44729</v>
      </c>
      <c r="C15557" s="6">
        <f>IFERROR(__xludf.DUMMYFUNCTION("""COMPUTED_VALUE"""),0.7299305555570754)</f>
        <v>0.7299305556</v>
      </c>
      <c r="D15557" s="4">
        <f>IFERROR(__xludf.DUMMYFUNCTION("""COMPUTED_VALUE"""),12.985559)</f>
        <v>12.985559</v>
      </c>
      <c r="E15557" s="4">
        <f>IFERROR(__xludf.DUMMYFUNCTION("""COMPUTED_VALUE"""),80.173335)</f>
        <v>80.173335</v>
      </c>
      <c r="F15557" s="4">
        <f>IFERROR(__xludf.DUMMYFUNCTION("""COMPUTED_VALUE"""),805.0)</f>
        <v>805</v>
      </c>
      <c r="G15557" s="4">
        <f>IFERROR(__xludf.DUMMYFUNCTION("""COMPUTED_VALUE"""),34.0)</f>
        <v>34</v>
      </c>
      <c r="H15557" s="4"/>
      <c r="I15557" s="4"/>
    </row>
    <row r="15558">
      <c r="A15558" s="4" t="str">
        <f>IFERROR(__xludf.DUMMYFUNCTION("""COMPUTED_VALUE"""),"cas_hmw")</f>
        <v>cas_hmw</v>
      </c>
      <c r="B15558" s="5">
        <f>IFERROR(__xludf.DUMMYFUNCTION("""COMPUTED_VALUE"""),44729.0)</f>
        <v>44729</v>
      </c>
      <c r="C15558" s="6">
        <f>IFERROR(__xludf.DUMMYFUNCTION("""COMPUTED_VALUE"""),0.7303124999998545)</f>
        <v>0.7303125</v>
      </c>
      <c r="D15558" s="4">
        <f>IFERROR(__xludf.DUMMYFUNCTION("""COMPUTED_VALUE"""),12.980172)</f>
        <v>12.980172</v>
      </c>
      <c r="E15558" s="4">
        <f>IFERROR(__xludf.DUMMYFUNCTION("""COMPUTED_VALUE"""),80.163713)</f>
        <v>80.163713</v>
      </c>
      <c r="F15558" s="4">
        <f>IFERROR(__xludf.DUMMYFUNCTION("""COMPUTED_VALUE"""),5339.0)</f>
        <v>5339</v>
      </c>
      <c r="G15558" s="4">
        <f>IFERROR(__xludf.DUMMYFUNCTION("""COMPUTED_VALUE"""),47.0)</f>
        <v>47</v>
      </c>
      <c r="H15558" s="4"/>
      <c r="I15558" s="4"/>
    </row>
    <row r="15559">
      <c r="A15559" s="4" t="str">
        <f>IFERROR(__xludf.DUMMYFUNCTION("""COMPUTED_VALUE"""),"cas_hmw")</f>
        <v>cas_hmw</v>
      </c>
      <c r="B15559" s="5">
        <f>IFERROR(__xludf.DUMMYFUNCTION("""COMPUTED_VALUE"""),44729.0)</f>
        <v>44729</v>
      </c>
      <c r="C15559" s="6">
        <f>IFERROR(__xludf.DUMMYFUNCTION("""COMPUTED_VALUE"""),0.7308564814811689)</f>
        <v>0.7308564815</v>
      </c>
      <c r="D15559" s="4">
        <f>IFERROR(__xludf.DUMMYFUNCTION("""COMPUTED_VALUE"""),12.983105)</f>
        <v>12.983105</v>
      </c>
      <c r="E15559" s="4">
        <f>IFERROR(__xludf.DUMMYFUNCTION("""COMPUTED_VALUE"""),80.169403)</f>
        <v>80.169403</v>
      </c>
      <c r="F15559" s="4">
        <f>IFERROR(__xludf.DUMMYFUNCTION("""COMPUTED_VALUE"""),5339.0)</f>
        <v>5339</v>
      </c>
      <c r="G15559" s="4">
        <f>IFERROR(__xludf.DUMMYFUNCTION("""COMPUTED_VALUE"""),55.0)</f>
        <v>55</v>
      </c>
      <c r="H15559" s="4"/>
      <c r="I15559" s="4"/>
    </row>
    <row r="15560">
      <c r="A15560" s="4" t="str">
        <f>IFERROR(__xludf.DUMMYFUNCTION("""COMPUTED_VALUE"""),"cas_hmw")</f>
        <v>cas_hmw</v>
      </c>
      <c r="B15560" s="5">
        <f>IFERROR(__xludf.DUMMYFUNCTION("""COMPUTED_VALUE"""),44729.0)</f>
        <v>44729</v>
      </c>
      <c r="C15560" s="6">
        <f>IFERROR(__xludf.DUMMYFUNCTION("""COMPUTED_VALUE"""),0.7309837962966412)</f>
        <v>0.7309837963</v>
      </c>
      <c r="D15560" s="4">
        <f>IFERROR(__xludf.DUMMYFUNCTION("""COMPUTED_VALUE"""),12.984213)</f>
        <v>12.984213</v>
      </c>
      <c r="E15560" s="4">
        <f>IFERROR(__xludf.DUMMYFUNCTION("""COMPUTED_VALUE"""),80.171242)</f>
        <v>80.171242</v>
      </c>
      <c r="F15560" s="4">
        <f>IFERROR(__xludf.DUMMYFUNCTION("""COMPUTED_VALUE"""),5339.0)</f>
        <v>5339</v>
      </c>
      <c r="G15560" s="4">
        <f>IFERROR(__xludf.DUMMYFUNCTION("""COMPUTED_VALUE"""),40.0)</f>
        <v>40</v>
      </c>
      <c r="H15560" s="4"/>
      <c r="I15560" s="4"/>
    </row>
    <row r="15561">
      <c r="A15561" s="4" t="str">
        <f>IFERROR(__xludf.DUMMYFUNCTION("""COMPUTED_VALUE"""),"cas_hmw")</f>
        <v>cas_hmw</v>
      </c>
      <c r="B15561" s="5">
        <f>IFERROR(__xludf.DUMMYFUNCTION("""COMPUTED_VALUE"""),44729.0)</f>
        <v>44729</v>
      </c>
      <c r="C15561" s="6">
        <f>IFERROR(__xludf.DUMMYFUNCTION("""COMPUTED_VALUE"""),0.7310069444429246)</f>
        <v>0.7310069444</v>
      </c>
      <c r="D15561" s="4">
        <f>IFERROR(__xludf.DUMMYFUNCTION("""COMPUTED_VALUE"""),12.984213)</f>
        <v>12.984213</v>
      </c>
      <c r="E15561" s="4">
        <f>IFERROR(__xludf.DUMMYFUNCTION("""COMPUTED_VALUE"""),80.171242)</f>
        <v>80.171242</v>
      </c>
      <c r="F15561" s="4">
        <f>IFERROR(__xludf.DUMMYFUNCTION("""COMPUTED_VALUE"""),5339.0)</f>
        <v>5339</v>
      </c>
      <c r="G15561" s="4">
        <f>IFERROR(__xludf.DUMMYFUNCTION("""COMPUTED_VALUE"""),40.0)</f>
        <v>40</v>
      </c>
      <c r="H15561" s="4"/>
      <c r="I15561" s="4"/>
    </row>
    <row r="15562">
      <c r="A15562" s="4" t="str">
        <f>IFERROR(__xludf.DUMMYFUNCTION("""COMPUTED_VALUE"""),"cas_hmw")</f>
        <v>cas_hmw</v>
      </c>
      <c r="B15562" s="5">
        <f>IFERROR(__xludf.DUMMYFUNCTION("""COMPUTED_VALUE"""),44729.0)</f>
        <v>44729</v>
      </c>
      <c r="C15562" s="6">
        <f>IFERROR(__xludf.DUMMYFUNCTION("""COMPUTED_VALUE"""),0.7310069444429246)</f>
        <v>0.7310069444</v>
      </c>
      <c r="D15562" s="4">
        <f>IFERROR(__xludf.DUMMYFUNCTION("""COMPUTED_VALUE"""),12.984213)</f>
        <v>12.984213</v>
      </c>
      <c r="E15562" s="4">
        <f>IFERROR(__xludf.DUMMYFUNCTION("""COMPUTED_VALUE"""),80.171242)</f>
        <v>80.171242</v>
      </c>
      <c r="F15562" s="4">
        <f>IFERROR(__xludf.DUMMYFUNCTION("""COMPUTED_VALUE"""),5339.0)</f>
        <v>5339</v>
      </c>
      <c r="G15562" s="4">
        <f>IFERROR(__xludf.DUMMYFUNCTION("""COMPUTED_VALUE"""),40.0)</f>
        <v>40</v>
      </c>
      <c r="H15562" s="4"/>
      <c r="I15562" s="4"/>
    </row>
    <row r="15563">
      <c r="A15563" s="4" t="str">
        <f>IFERROR(__xludf.DUMMYFUNCTION("""COMPUTED_VALUE"""),"cas_hmw")</f>
        <v>cas_hmw</v>
      </c>
      <c r="B15563" s="5">
        <f>IFERROR(__xludf.DUMMYFUNCTION("""COMPUTED_VALUE"""),44729.0)</f>
        <v>44729</v>
      </c>
      <c r="C15563" s="6">
        <f>IFERROR(__xludf.DUMMYFUNCTION("""COMPUTED_VALUE"""),0.7316666666665697)</f>
        <v>0.7316666667</v>
      </c>
      <c r="D15563" s="4">
        <f>IFERROR(__xludf.DUMMYFUNCTION("""COMPUTED_VALUE"""),12.989356)</f>
        <v>12.989356</v>
      </c>
      <c r="E15563" s="4">
        <f>IFERROR(__xludf.DUMMYFUNCTION("""COMPUTED_VALUE"""),80.178536)</f>
        <v>80.178536</v>
      </c>
      <c r="F15563" s="4">
        <f>IFERROR(__xludf.DUMMYFUNCTION("""COMPUTED_VALUE"""),805.0)</f>
        <v>805</v>
      </c>
      <c r="G15563" s="4">
        <f>IFERROR(__xludf.DUMMYFUNCTION("""COMPUTED_VALUE"""),12.0)</f>
        <v>12</v>
      </c>
      <c r="H15563" s="4"/>
      <c r="I15563" s="4"/>
    </row>
    <row r="15564">
      <c r="A15564" s="4" t="str">
        <f>IFERROR(__xludf.DUMMYFUNCTION("""COMPUTED_VALUE"""),"cas_hmw")</f>
        <v>cas_hmw</v>
      </c>
      <c r="B15564" s="5">
        <f>IFERROR(__xludf.DUMMYFUNCTION("""COMPUTED_VALUE"""),44729.0)</f>
        <v>44729</v>
      </c>
      <c r="C15564" s="6">
        <f>IFERROR(__xludf.DUMMYFUNCTION("""COMPUTED_VALUE"""),0.7321527777785377)</f>
        <v>0.7321527778</v>
      </c>
      <c r="D15564" s="4">
        <f>IFERROR(__xludf.DUMMYFUNCTION("""COMPUTED_VALUE"""),12.727364)</f>
        <v>12.727364</v>
      </c>
      <c r="E15564" s="4">
        <f>IFERROR(__xludf.DUMMYFUNCTION("""COMPUTED_VALUE"""),79.982646)</f>
        <v>79.982646</v>
      </c>
      <c r="F15564" s="4">
        <f>IFERROR(__xludf.DUMMYFUNCTION("""COMPUTED_VALUE"""),2846.0)</f>
        <v>2846</v>
      </c>
      <c r="G15564" s="4">
        <f>IFERROR(__xludf.DUMMYFUNCTION("""COMPUTED_VALUE"""),53.0)</f>
        <v>53</v>
      </c>
      <c r="H15564" s="4"/>
      <c r="I15564" s="4"/>
    </row>
    <row r="15565">
      <c r="A15565" s="4" t="str">
        <f>IFERROR(__xludf.DUMMYFUNCTION("""COMPUTED_VALUE"""),"cas_hmw")</f>
        <v>cas_hmw</v>
      </c>
      <c r="B15565" s="5">
        <f>IFERROR(__xludf.DUMMYFUNCTION("""COMPUTED_VALUE"""),44729.0)</f>
        <v>44729</v>
      </c>
      <c r="C15565" s="6">
        <f>IFERROR(__xludf.DUMMYFUNCTION("""COMPUTED_VALUE"""),0.7321759259248211)</f>
        <v>0.7321759259</v>
      </c>
      <c r="D15565" s="4">
        <f>IFERROR(__xludf.DUMMYFUNCTION("""COMPUTED_VALUE"""),12.727364)</f>
        <v>12.727364</v>
      </c>
      <c r="E15565" s="4">
        <f>IFERROR(__xludf.DUMMYFUNCTION("""COMPUTED_VALUE"""),79.982646)</f>
        <v>79.982646</v>
      </c>
      <c r="F15565" s="4">
        <f>IFERROR(__xludf.DUMMYFUNCTION("""COMPUTED_VALUE"""),2846.0)</f>
        <v>2846</v>
      </c>
      <c r="G15565" s="4">
        <f>IFERROR(__xludf.DUMMYFUNCTION("""COMPUTED_VALUE"""),53.0)</f>
        <v>53</v>
      </c>
      <c r="H15565" s="4"/>
      <c r="I15565" s="4"/>
    </row>
    <row r="15566">
      <c r="A15566" s="4" t="str">
        <f>IFERROR(__xludf.DUMMYFUNCTION("""COMPUTED_VALUE"""),"cas_hmw")</f>
        <v>cas_hmw</v>
      </c>
      <c r="B15566" s="5">
        <f>IFERROR(__xludf.DUMMYFUNCTION("""COMPUTED_VALUE"""),44729.0)</f>
        <v>44729</v>
      </c>
      <c r="C15566" s="6">
        <f>IFERROR(__xludf.DUMMYFUNCTION("""COMPUTED_VALUE"""),0.7330092592601432)</f>
        <v>0.7330092593</v>
      </c>
      <c r="D15566" s="4">
        <f>IFERROR(__xludf.DUMMYFUNCTION("""COMPUTED_VALUE"""),12.99069)</f>
        <v>12.99069</v>
      </c>
      <c r="E15566" s="4">
        <f>IFERROR(__xludf.DUMMYFUNCTION("""COMPUTED_VALUE"""),80.180329)</f>
        <v>80.180329</v>
      </c>
      <c r="F15566" s="4">
        <f>IFERROR(__xludf.DUMMYFUNCTION("""COMPUTED_VALUE"""),5339.0)</f>
        <v>5339</v>
      </c>
      <c r="G15566" s="4">
        <f>IFERROR(__xludf.DUMMYFUNCTION("""COMPUTED_VALUE"""),47.0)</f>
        <v>47</v>
      </c>
      <c r="H15566" s="4"/>
      <c r="I15566" s="4"/>
    </row>
    <row r="15567">
      <c r="A15567" s="4" t="str">
        <f>IFERROR(__xludf.DUMMYFUNCTION("""COMPUTED_VALUE"""),"cas_hmw")</f>
        <v>cas_hmw</v>
      </c>
      <c r="B15567" s="5">
        <f>IFERROR(__xludf.DUMMYFUNCTION("""COMPUTED_VALUE"""),44729.0)</f>
        <v>44729</v>
      </c>
      <c r="C15567" s="6">
        <f>IFERROR(__xludf.DUMMYFUNCTION("""COMPUTED_VALUE"""),0.7331944444449618)</f>
        <v>0.7331944444</v>
      </c>
      <c r="D15567" s="4">
        <f>IFERROR(__xludf.DUMMYFUNCTION("""COMPUTED_VALUE"""),12.991861)</f>
        <v>12.991861</v>
      </c>
      <c r="E15567" s="4">
        <f>IFERROR(__xludf.DUMMYFUNCTION("""COMPUTED_VALUE"""),80.181868)</f>
        <v>80.181868</v>
      </c>
      <c r="F15567" s="4">
        <f>IFERROR(__xludf.DUMMYFUNCTION("""COMPUTED_VALUE"""),5339.0)</f>
        <v>5339</v>
      </c>
      <c r="G15567" s="4">
        <f>IFERROR(__xludf.DUMMYFUNCTION("""COMPUTED_VALUE"""),47.0)</f>
        <v>47</v>
      </c>
      <c r="H15567" s="4"/>
      <c r="I15567" s="4"/>
    </row>
    <row r="15568">
      <c r="A15568" s="4" t="str">
        <f>IFERROR(__xludf.DUMMYFUNCTION("""COMPUTED_VALUE"""),"cas_hmw")</f>
        <v>cas_hmw</v>
      </c>
      <c r="B15568" s="5">
        <f>IFERROR(__xludf.DUMMYFUNCTION("""COMPUTED_VALUE"""),44729.0)</f>
        <v>44729</v>
      </c>
      <c r="C15568" s="6">
        <f>IFERROR(__xludf.DUMMYFUNCTION("""COMPUTED_VALUE"""),0.734618055554165)</f>
        <v>0.7346180556</v>
      </c>
      <c r="D15568" s="4">
        <f>IFERROR(__xludf.DUMMYFUNCTION("""COMPUTED_VALUE"""),12.995673)</f>
        <v>12.995673</v>
      </c>
      <c r="E15568" s="4">
        <f>IFERROR(__xludf.DUMMYFUNCTION("""COMPUTED_VALUE"""),80.188704)</f>
        <v>80.188704</v>
      </c>
      <c r="F15568" s="4">
        <f>IFERROR(__xludf.DUMMYFUNCTION("""COMPUTED_VALUE"""),5339.0)</f>
        <v>5339</v>
      </c>
      <c r="G15568" s="4">
        <f>IFERROR(__xludf.DUMMYFUNCTION("""COMPUTED_VALUE"""),12.0)</f>
        <v>12</v>
      </c>
      <c r="H15568" s="4"/>
      <c r="I15568" s="4"/>
    </row>
    <row r="15569">
      <c r="A15569" s="4" t="str">
        <f>IFERROR(__xludf.DUMMYFUNCTION("""COMPUTED_VALUE"""),"cas_hmw")</f>
        <v>cas_hmw</v>
      </c>
      <c r="B15569" s="5">
        <f>IFERROR(__xludf.DUMMYFUNCTION("""COMPUTED_VALUE"""),44729.0)</f>
        <v>44729</v>
      </c>
      <c r="C15569" s="6">
        <f>IFERROR(__xludf.DUMMYFUNCTION("""COMPUTED_VALUE"""),0.734618055554165)</f>
        <v>0.7346180556</v>
      </c>
      <c r="D15569" s="4">
        <f>IFERROR(__xludf.DUMMYFUNCTION("""COMPUTED_VALUE"""),12.995673)</f>
        <v>12.995673</v>
      </c>
      <c r="E15569" s="4">
        <f>IFERROR(__xludf.DUMMYFUNCTION("""COMPUTED_VALUE"""),80.188704)</f>
        <v>80.188704</v>
      </c>
      <c r="F15569" s="4">
        <f>IFERROR(__xludf.DUMMYFUNCTION("""COMPUTED_VALUE"""),5339.0)</f>
        <v>5339</v>
      </c>
      <c r="G15569" s="4">
        <f>IFERROR(__xludf.DUMMYFUNCTION("""COMPUTED_VALUE"""),12.0)</f>
        <v>12</v>
      </c>
      <c r="H15569" s="4"/>
      <c r="I15569" s="4"/>
    </row>
    <row r="15570">
      <c r="A15570" s="4" t="str">
        <f>IFERROR(__xludf.DUMMYFUNCTION("""COMPUTED_VALUE"""),"cas_hmw")</f>
        <v>cas_hmw</v>
      </c>
      <c r="B15570" s="5">
        <f>IFERROR(__xludf.DUMMYFUNCTION("""COMPUTED_VALUE"""),44729.0)</f>
        <v>44729</v>
      </c>
      <c r="C15570" s="6">
        <f>IFERROR(__xludf.DUMMYFUNCTION("""COMPUTED_VALUE"""),0.7346412037040864)</f>
        <v>0.7346412037</v>
      </c>
      <c r="D15570" s="4">
        <f>IFERROR(__xludf.DUMMYFUNCTION("""COMPUTED_VALUE"""),12.995673)</f>
        <v>12.995673</v>
      </c>
      <c r="E15570" s="4">
        <f>IFERROR(__xludf.DUMMYFUNCTION("""COMPUTED_VALUE"""),80.188704)</f>
        <v>80.188704</v>
      </c>
      <c r="F15570" s="4">
        <f>IFERROR(__xludf.DUMMYFUNCTION("""COMPUTED_VALUE"""),5339.0)</f>
        <v>5339</v>
      </c>
      <c r="G15570" s="4">
        <f>IFERROR(__xludf.DUMMYFUNCTION("""COMPUTED_VALUE"""),12.0)</f>
        <v>12</v>
      </c>
      <c r="H15570" s="4"/>
      <c r="I15570" s="4"/>
    </row>
    <row r="15571">
      <c r="A15571" s="4" t="str">
        <f>IFERROR(__xludf.DUMMYFUNCTION("""COMPUTED_VALUE"""),"cas_hmw")</f>
        <v>cas_hmw</v>
      </c>
      <c r="B15571" s="5">
        <f>IFERROR(__xludf.DUMMYFUNCTION("""COMPUTED_VALUE"""),44729.0)</f>
        <v>44729</v>
      </c>
      <c r="C15571" s="6">
        <f>IFERROR(__xludf.DUMMYFUNCTION("""COMPUTED_VALUE"""),0.734652777777228)</f>
        <v>0.7346527778</v>
      </c>
      <c r="D15571" s="4">
        <f>IFERROR(__xludf.DUMMYFUNCTION("""COMPUTED_VALUE"""),12.995673)</f>
        <v>12.995673</v>
      </c>
      <c r="E15571" s="4">
        <f>IFERROR(__xludf.DUMMYFUNCTION("""COMPUTED_VALUE"""),80.188704)</f>
        <v>80.188704</v>
      </c>
      <c r="F15571" s="4">
        <f>IFERROR(__xludf.DUMMYFUNCTION("""COMPUTED_VALUE"""),5339.0)</f>
        <v>5339</v>
      </c>
      <c r="G15571" s="4">
        <f>IFERROR(__xludf.DUMMYFUNCTION("""COMPUTED_VALUE"""),12.0)</f>
        <v>12</v>
      </c>
      <c r="H15571" s="4"/>
      <c r="I15571" s="4"/>
    </row>
    <row r="15572">
      <c r="A15572" s="4" t="str">
        <f>IFERROR(__xludf.DUMMYFUNCTION("""COMPUTED_VALUE"""),"cas_hmw")</f>
        <v>cas_hmw</v>
      </c>
      <c r="B15572" s="5">
        <f>IFERROR(__xludf.DUMMYFUNCTION("""COMPUTED_VALUE"""),44729.0)</f>
        <v>44729</v>
      </c>
      <c r="C15572" s="6">
        <f>IFERROR(__xludf.DUMMYFUNCTION("""COMPUTED_VALUE"""),0.7349652777775191)</f>
        <v>0.7349652778</v>
      </c>
      <c r="D15572" s="4">
        <f>IFERROR(__xludf.DUMMYFUNCTION("""COMPUTED_VALUE"""),12.712139)</f>
        <v>12.712139</v>
      </c>
      <c r="E15572" s="4">
        <f>IFERROR(__xludf.DUMMYFUNCTION("""COMPUTED_VALUE"""),79.979348)</f>
        <v>79.979348</v>
      </c>
      <c r="F15572" s="4">
        <f>IFERROR(__xludf.DUMMYFUNCTION("""COMPUTED_VALUE"""),2846.0)</f>
        <v>2846</v>
      </c>
      <c r="G15572" s="4">
        <f>IFERROR(__xludf.DUMMYFUNCTION("""COMPUTED_VALUE"""),56.0)</f>
        <v>56</v>
      </c>
      <c r="H15572" s="4"/>
      <c r="I15572" s="4"/>
    </row>
    <row r="15573">
      <c r="A15573" s="4" t="str">
        <f>IFERROR(__xludf.DUMMYFUNCTION("""COMPUTED_VALUE"""),"cas_hmw")</f>
        <v>cas_hmw</v>
      </c>
      <c r="B15573" s="5">
        <f>IFERROR(__xludf.DUMMYFUNCTION("""COMPUTED_VALUE"""),44729.0)</f>
        <v>44729</v>
      </c>
      <c r="C15573" s="6">
        <f>IFERROR(__xludf.DUMMYFUNCTION("""COMPUTED_VALUE"""),0.7357986111128412)</f>
        <v>0.7357986111</v>
      </c>
      <c r="D15573" s="4">
        <f>IFERROR(__xludf.DUMMYFUNCTION("""COMPUTED_VALUE"""),12.706591)</f>
        <v>12.706591</v>
      </c>
      <c r="E15573" s="4">
        <f>IFERROR(__xludf.DUMMYFUNCTION("""COMPUTED_VALUE"""),79.977415)</f>
        <v>79.977415</v>
      </c>
      <c r="F15573" s="4">
        <f>IFERROR(__xludf.DUMMYFUNCTION("""COMPUTED_VALUE"""),2846.0)</f>
        <v>2846</v>
      </c>
      <c r="G15573" s="4">
        <f>IFERROR(__xludf.DUMMYFUNCTION("""COMPUTED_VALUE"""),32.0)</f>
        <v>32</v>
      </c>
      <c r="H15573" s="4"/>
      <c r="I15573" s="4"/>
    </row>
    <row r="15574">
      <c r="A15574" s="4" t="str">
        <f>IFERROR(__xludf.DUMMYFUNCTION("""COMPUTED_VALUE"""),"cas_hmw")</f>
        <v>cas_hmw</v>
      </c>
      <c r="B15574" s="5">
        <f>IFERROR(__xludf.DUMMYFUNCTION("""COMPUTED_VALUE"""),44729.0)</f>
        <v>44729</v>
      </c>
      <c r="C15574" s="6">
        <f>IFERROR(__xludf.DUMMYFUNCTION("""COMPUTED_VALUE"""),0.7358101851859828)</f>
        <v>0.7358101852</v>
      </c>
      <c r="D15574" s="4">
        <f>IFERROR(__xludf.DUMMYFUNCTION("""COMPUTED_VALUE"""),12.706591)</f>
        <v>12.706591</v>
      </c>
      <c r="E15574" s="4">
        <f>IFERROR(__xludf.DUMMYFUNCTION("""COMPUTED_VALUE"""),79.977415)</f>
        <v>79.977415</v>
      </c>
      <c r="F15574" s="4">
        <f>IFERROR(__xludf.DUMMYFUNCTION("""COMPUTED_VALUE"""),2846.0)</f>
        <v>2846</v>
      </c>
      <c r="G15574" s="4">
        <f>IFERROR(__xludf.DUMMYFUNCTION("""COMPUTED_VALUE"""),32.0)</f>
        <v>32</v>
      </c>
      <c r="H15574" s="4"/>
      <c r="I15574" s="4"/>
    </row>
    <row r="15575">
      <c r="A15575" s="4" t="str">
        <f>IFERROR(__xludf.DUMMYFUNCTION("""COMPUTED_VALUE"""),"cas_hmw")</f>
        <v>cas_hmw</v>
      </c>
      <c r="B15575" s="5">
        <f>IFERROR(__xludf.DUMMYFUNCTION("""COMPUTED_VALUE"""),44729.0)</f>
        <v>44729</v>
      </c>
      <c r="C15575" s="6">
        <f>IFERROR(__xludf.DUMMYFUNCTION("""COMPUTED_VALUE"""),0.7358217592591245)</f>
        <v>0.7358217593</v>
      </c>
      <c r="D15575" s="4">
        <f>IFERROR(__xludf.DUMMYFUNCTION("""COMPUTED_VALUE"""),12.706591)</f>
        <v>12.706591</v>
      </c>
      <c r="E15575" s="4">
        <f>IFERROR(__xludf.DUMMYFUNCTION("""COMPUTED_VALUE"""),79.977415)</f>
        <v>79.977415</v>
      </c>
      <c r="F15575" s="4">
        <f>IFERROR(__xludf.DUMMYFUNCTION("""COMPUTED_VALUE"""),2846.0)</f>
        <v>2846</v>
      </c>
      <c r="G15575" s="4">
        <f>IFERROR(__xludf.DUMMYFUNCTION("""COMPUTED_VALUE"""),32.0)</f>
        <v>32</v>
      </c>
      <c r="H15575" s="4"/>
      <c r="I15575" s="4"/>
    </row>
    <row r="15576">
      <c r="A15576" s="4" t="str">
        <f>IFERROR(__xludf.DUMMYFUNCTION("""COMPUTED_VALUE"""),"cas_hmw")</f>
        <v>cas_hmw</v>
      </c>
      <c r="B15576" s="5">
        <f>IFERROR(__xludf.DUMMYFUNCTION("""COMPUTED_VALUE"""),44729.0)</f>
        <v>44729</v>
      </c>
      <c r="C15576" s="6">
        <f>IFERROR(__xludf.DUMMYFUNCTION("""COMPUTED_VALUE"""),0.737337962964375)</f>
        <v>0.737337963</v>
      </c>
      <c r="D15576" s="4">
        <f>IFERROR(__xludf.DUMMYFUNCTION("""COMPUTED_VALUE"""),13.001753)</f>
        <v>13.001753</v>
      </c>
      <c r="E15576" s="4">
        <f>IFERROR(__xludf.DUMMYFUNCTION("""COMPUTED_VALUE"""),80.196232)</f>
        <v>80.196232</v>
      </c>
      <c r="F15576" s="4">
        <f>IFERROR(__xludf.DUMMYFUNCTION("""COMPUTED_VALUE"""),805.0)</f>
        <v>805</v>
      </c>
      <c r="G15576" s="4">
        <f>IFERROR(__xludf.DUMMYFUNCTION("""COMPUTED_VALUE"""),20.0)</f>
        <v>20</v>
      </c>
      <c r="H15576" s="4"/>
      <c r="I15576" s="4"/>
    </row>
    <row r="15577">
      <c r="A15577" s="4" t="str">
        <f>IFERROR(__xludf.DUMMYFUNCTION("""COMPUTED_VALUE"""),"cas_hmw")</f>
        <v>cas_hmw</v>
      </c>
      <c r="B15577" s="5">
        <f>IFERROR(__xludf.DUMMYFUNCTION("""COMPUTED_VALUE"""),44729.0)</f>
        <v>44729</v>
      </c>
      <c r="C15577" s="6">
        <f>IFERROR(__xludf.DUMMYFUNCTION("""COMPUTED_VALUE"""),0.7385416666656965)</f>
        <v>0.7385416667</v>
      </c>
      <c r="D15577" s="4">
        <f>IFERROR(__xludf.DUMMYFUNCTION("""COMPUTED_VALUE"""),13.006697)</f>
        <v>13.006697</v>
      </c>
      <c r="E15577" s="4">
        <f>IFERROR(__xludf.DUMMYFUNCTION("""COMPUTED_VALUE"""),80.20333)</f>
        <v>80.20333</v>
      </c>
      <c r="F15577" s="4">
        <f>IFERROR(__xludf.DUMMYFUNCTION("""COMPUTED_VALUE"""),805.0)</f>
        <v>805</v>
      </c>
      <c r="G15577" s="4">
        <f>IFERROR(__xludf.DUMMYFUNCTION("""COMPUTED_VALUE"""),36.0)</f>
        <v>36</v>
      </c>
      <c r="H15577" s="4"/>
      <c r="I15577" s="4"/>
    </row>
    <row r="15578">
      <c r="A15578" s="4" t="str">
        <f>IFERROR(__xludf.DUMMYFUNCTION("""COMPUTED_VALUE"""),"cas_hmw")</f>
        <v>cas_hmw</v>
      </c>
      <c r="B15578" s="5">
        <f>IFERROR(__xludf.DUMMYFUNCTION("""COMPUTED_VALUE"""),44729.0)</f>
        <v>44729</v>
      </c>
      <c r="C15578" s="6">
        <f>IFERROR(__xludf.DUMMYFUNCTION("""COMPUTED_VALUE"""),0.7386458333348855)</f>
        <v>0.7386458333</v>
      </c>
      <c r="D15578" s="4">
        <f>IFERROR(__xludf.DUMMYFUNCTION("""COMPUTED_VALUE"""),13.008276)</f>
        <v>13.008276</v>
      </c>
      <c r="E15578" s="4">
        <f>IFERROR(__xludf.DUMMYFUNCTION("""COMPUTED_VALUE"""),80.203615)</f>
        <v>80.203615</v>
      </c>
      <c r="F15578" s="4">
        <f>IFERROR(__xludf.DUMMYFUNCTION("""COMPUTED_VALUE"""),805.0)</f>
        <v>805</v>
      </c>
      <c r="G15578" s="4">
        <f>IFERROR(__xludf.DUMMYFUNCTION("""COMPUTED_VALUE"""),31.0)</f>
        <v>31</v>
      </c>
      <c r="H15578" s="4"/>
      <c r="I15578" s="4"/>
    </row>
    <row r="15579">
      <c r="A15579" s="4" t="str">
        <f>IFERROR(__xludf.DUMMYFUNCTION("""COMPUTED_VALUE"""),"cas_hmw")</f>
        <v>cas_hmw</v>
      </c>
      <c r="B15579" s="5">
        <f>IFERROR(__xludf.DUMMYFUNCTION("""COMPUTED_VALUE"""),44729.0)</f>
        <v>44729</v>
      </c>
      <c r="C15579" s="6">
        <f>IFERROR(__xludf.DUMMYFUNCTION("""COMPUTED_VALUE"""),0.7386921296310902)</f>
        <v>0.7386921296</v>
      </c>
      <c r="D15579" s="4">
        <f>IFERROR(__xludf.DUMMYFUNCTION("""COMPUTED_VALUE"""),13.001454)</f>
        <v>13.001454</v>
      </c>
      <c r="E15579" s="4">
        <f>IFERROR(__xludf.DUMMYFUNCTION("""COMPUTED_VALUE"""),80.195914)</f>
        <v>80.195914</v>
      </c>
      <c r="F15579" s="4">
        <f>IFERROR(__xludf.DUMMYFUNCTION("""COMPUTED_VALUE"""),5339.0)</f>
        <v>5339</v>
      </c>
      <c r="G15579" s="4">
        <f>IFERROR(__xludf.DUMMYFUNCTION("""COMPUTED_VALUE"""),6.0)</f>
        <v>6</v>
      </c>
      <c r="H15579" s="4"/>
      <c r="I15579" s="4"/>
    </row>
    <row r="15580">
      <c r="A15580" s="4" t="str">
        <f>IFERROR(__xludf.DUMMYFUNCTION("""COMPUTED_VALUE"""),"cas_hmw")</f>
        <v>cas_hmw</v>
      </c>
      <c r="B15580" s="5">
        <f>IFERROR(__xludf.DUMMYFUNCTION("""COMPUTED_VALUE"""),44729.0)</f>
        <v>44729</v>
      </c>
      <c r="C15580" s="6">
        <f>IFERROR(__xludf.DUMMYFUNCTION("""COMPUTED_VALUE"""),0.7388078703697829)</f>
        <v>0.7388078704</v>
      </c>
      <c r="D15580" s="4">
        <f>IFERROR(__xludf.DUMMYFUNCTION("""COMPUTED_VALUE"""),13.007738)</f>
        <v>13.007738</v>
      </c>
      <c r="E15580" s="4">
        <f>IFERROR(__xludf.DUMMYFUNCTION("""COMPUTED_VALUE"""),80.202856)</f>
        <v>80.202856</v>
      </c>
      <c r="F15580" s="4">
        <f>IFERROR(__xludf.DUMMYFUNCTION("""COMPUTED_VALUE"""),805.0)</f>
        <v>805</v>
      </c>
      <c r="G15580" s="4">
        <f>IFERROR(__xludf.DUMMYFUNCTION("""COMPUTED_VALUE"""),38.0)</f>
        <v>38</v>
      </c>
      <c r="H15580" s="4"/>
      <c r="I15580" s="4"/>
    </row>
    <row r="15581">
      <c r="A15581" s="4" t="str">
        <f>IFERROR(__xludf.DUMMYFUNCTION("""COMPUTED_VALUE"""),"cas_hmw")</f>
        <v>cas_hmw</v>
      </c>
      <c r="B15581" s="5">
        <f>IFERROR(__xludf.DUMMYFUNCTION("""COMPUTED_VALUE"""),44729.0)</f>
        <v>44729</v>
      </c>
      <c r="C15581" s="6">
        <f>IFERROR(__xludf.DUMMYFUNCTION("""COMPUTED_VALUE"""),0.7388541666659876)</f>
        <v>0.7388541667</v>
      </c>
      <c r="D15581" s="4">
        <f>IFERROR(__xludf.DUMMYFUNCTION("""COMPUTED_VALUE"""),13.001762)</f>
        <v>13.001762</v>
      </c>
      <c r="E15581" s="4">
        <f>IFERROR(__xludf.DUMMYFUNCTION("""COMPUTED_VALUE"""),80.196319)</f>
        <v>80.196319</v>
      </c>
      <c r="F15581" s="4">
        <f>IFERROR(__xludf.DUMMYFUNCTION("""COMPUTED_VALUE"""),5339.0)</f>
        <v>5339</v>
      </c>
      <c r="G15581" s="4">
        <f>IFERROR(__xludf.DUMMYFUNCTION("""COMPUTED_VALUE"""),23.0)</f>
        <v>23</v>
      </c>
      <c r="H15581" s="4"/>
      <c r="I15581" s="4"/>
    </row>
    <row r="15582">
      <c r="A15582" s="4" t="str">
        <f>IFERROR(__xludf.DUMMYFUNCTION("""COMPUTED_VALUE"""),"cas_hmw")</f>
        <v>cas_hmw</v>
      </c>
      <c r="B15582" s="5">
        <f>IFERROR(__xludf.DUMMYFUNCTION("""COMPUTED_VALUE"""),44729.0)</f>
        <v>44729</v>
      </c>
      <c r="C15582" s="6">
        <f>IFERROR(__xludf.DUMMYFUNCTION("""COMPUTED_VALUE"""),0.739363425924239)</f>
        <v>0.7393634259</v>
      </c>
      <c r="D15582" s="4">
        <f>IFERROR(__xludf.DUMMYFUNCTION("""COMPUTED_VALUE"""),13.001862)</f>
        <v>13.001862</v>
      </c>
      <c r="E15582" s="4">
        <f>IFERROR(__xludf.DUMMYFUNCTION("""COMPUTED_VALUE"""),80.199728)</f>
        <v>80.199728</v>
      </c>
      <c r="F15582" s="4">
        <f>IFERROR(__xludf.DUMMYFUNCTION("""COMPUTED_VALUE"""),5339.0)</f>
        <v>5339</v>
      </c>
      <c r="G15582" s="4">
        <f>IFERROR(__xludf.DUMMYFUNCTION("""COMPUTED_VALUE"""),45.0)</f>
        <v>45</v>
      </c>
      <c r="H15582" s="4"/>
      <c r="I15582" s="4"/>
    </row>
    <row r="15583">
      <c r="A15583" s="4" t="str">
        <f>IFERROR(__xludf.DUMMYFUNCTION("""COMPUTED_VALUE"""),"cas_hmw")</f>
        <v>cas_hmw</v>
      </c>
      <c r="B15583" s="5">
        <f>IFERROR(__xludf.DUMMYFUNCTION("""COMPUTED_VALUE"""),44729.0)</f>
        <v>44729</v>
      </c>
      <c r="C15583" s="6">
        <f>IFERROR(__xludf.DUMMYFUNCTION("""COMPUTED_VALUE"""),0.7400115740747424)</f>
        <v>0.7400115741</v>
      </c>
      <c r="D15583" s="4">
        <f>IFERROR(__xludf.DUMMYFUNCTION("""COMPUTED_VALUE"""),13.009613)</f>
        <v>13.009613</v>
      </c>
      <c r="E15583" s="4">
        <f>IFERROR(__xludf.DUMMYFUNCTION("""COMPUTED_VALUE"""),80.213354)</f>
        <v>80.213354</v>
      </c>
      <c r="F15583" s="4">
        <f>IFERROR(__xludf.DUMMYFUNCTION("""COMPUTED_VALUE"""),805.0)</f>
        <v>805</v>
      </c>
      <c r="G15583" s="4">
        <f>IFERROR(__xludf.DUMMYFUNCTION("""COMPUTED_VALUE"""),44.0)</f>
        <v>44</v>
      </c>
      <c r="H15583" s="4"/>
      <c r="I15583" s="4"/>
    </row>
    <row r="15584">
      <c r="A15584" s="4" t="str">
        <f>IFERROR(__xludf.DUMMYFUNCTION("""COMPUTED_VALUE"""),"cas_hmw")</f>
        <v>cas_hmw</v>
      </c>
      <c r="B15584" s="5">
        <f>IFERROR(__xludf.DUMMYFUNCTION("""COMPUTED_VALUE"""),44729.0)</f>
        <v>44729</v>
      </c>
      <c r="C15584" s="6">
        <f>IFERROR(__xludf.DUMMYFUNCTION("""COMPUTED_VALUE"""),0.7401504629633564)</f>
        <v>0.740150463</v>
      </c>
      <c r="D15584" s="4">
        <f>IFERROR(__xludf.DUMMYFUNCTION("""COMPUTED_VALUE"""),13.010152)</f>
        <v>13.010152</v>
      </c>
      <c r="E15584" s="4">
        <f>IFERROR(__xludf.DUMMYFUNCTION("""COMPUTED_VALUE"""),80.214914)</f>
        <v>80.214914</v>
      </c>
      <c r="F15584" s="4">
        <f>IFERROR(__xludf.DUMMYFUNCTION("""COMPUTED_VALUE"""),805.0)</f>
        <v>805</v>
      </c>
      <c r="G15584" s="4">
        <f>IFERROR(__xludf.DUMMYFUNCTION("""COMPUTED_VALUE"""),35.0)</f>
        <v>35</v>
      </c>
      <c r="H15584" s="4"/>
      <c r="I15584" s="4"/>
    </row>
    <row r="15585">
      <c r="A15585" s="4" t="str">
        <f>IFERROR(__xludf.DUMMYFUNCTION("""COMPUTED_VALUE"""),"cas_hmw")</f>
        <v>cas_hmw</v>
      </c>
      <c r="B15585" s="5">
        <f>IFERROR(__xludf.DUMMYFUNCTION("""COMPUTED_VALUE"""),44729.0)</f>
        <v>44729</v>
      </c>
      <c r="C15585" s="6">
        <f>IFERROR(__xludf.DUMMYFUNCTION("""COMPUTED_VALUE"""),0.7403587962980964)</f>
        <v>0.7403587963</v>
      </c>
      <c r="D15585" s="4">
        <f>IFERROR(__xludf.DUMMYFUNCTION("""COMPUTED_VALUE"""),13.007623)</f>
        <v>13.007623</v>
      </c>
      <c r="E15585" s="4">
        <f>IFERROR(__xludf.DUMMYFUNCTION("""COMPUTED_VALUE"""),80.20455)</f>
        <v>80.20455</v>
      </c>
      <c r="F15585" s="4">
        <f>IFERROR(__xludf.DUMMYFUNCTION("""COMPUTED_VALUE"""),5339.0)</f>
        <v>5339</v>
      </c>
      <c r="G15585" s="4">
        <f>IFERROR(__xludf.DUMMYFUNCTION("""COMPUTED_VALUE"""),58.0)</f>
        <v>58</v>
      </c>
      <c r="H15585" s="4"/>
      <c r="I15585" s="4"/>
    </row>
    <row r="15586">
      <c r="A15586" s="4" t="str">
        <f>IFERROR(__xludf.DUMMYFUNCTION("""COMPUTED_VALUE"""),"cas_hmw")</f>
        <v>cas_hmw</v>
      </c>
      <c r="B15586" s="5">
        <f>IFERROR(__xludf.DUMMYFUNCTION("""COMPUTED_VALUE"""),44729.0)</f>
        <v>44729</v>
      </c>
      <c r="C15586" s="6">
        <f>IFERROR(__xludf.DUMMYFUNCTION("""COMPUTED_VALUE"""),0.7406134259254031)</f>
        <v>0.7406134259</v>
      </c>
      <c r="D15586" s="4">
        <f>IFERROR(__xludf.DUMMYFUNCTION("""COMPUTED_VALUE"""),13.011786)</f>
        <v>13.011786</v>
      </c>
      <c r="E15586" s="4">
        <f>IFERROR(__xludf.DUMMYFUNCTION("""COMPUTED_VALUE"""),80.219472)</f>
        <v>80.219472</v>
      </c>
      <c r="F15586" s="4">
        <f>IFERROR(__xludf.DUMMYFUNCTION("""COMPUTED_VALUE"""),805.0)</f>
        <v>805</v>
      </c>
      <c r="G15586" s="4">
        <f>IFERROR(__xludf.DUMMYFUNCTION("""COMPUTED_VALUE"""),50.0)</f>
        <v>50</v>
      </c>
      <c r="H15586" s="4"/>
      <c r="I15586" s="4"/>
    </row>
    <row r="15587">
      <c r="A15587" s="4" t="str">
        <f>IFERROR(__xludf.DUMMYFUNCTION("""COMPUTED_VALUE"""),"cas_hmw")</f>
        <v>cas_hmw</v>
      </c>
      <c r="B15587" s="5">
        <f>IFERROR(__xludf.DUMMYFUNCTION("""COMPUTED_VALUE"""),44729.0)</f>
        <v>44729</v>
      </c>
      <c r="C15587" s="6">
        <f>IFERROR(__xludf.DUMMYFUNCTION("""COMPUTED_VALUE"""),0.7408680555563478)</f>
        <v>0.7408680556</v>
      </c>
      <c r="D15587" s="4">
        <f>IFERROR(__xludf.DUMMYFUNCTION("""COMPUTED_VALUE"""),13.012343)</f>
        <v>13.012343</v>
      </c>
      <c r="E15587" s="4">
        <f>IFERROR(__xludf.DUMMYFUNCTION("""COMPUTED_VALUE"""),80.221163)</f>
        <v>80.221163</v>
      </c>
      <c r="F15587" s="4">
        <f>IFERROR(__xludf.DUMMYFUNCTION("""COMPUTED_VALUE"""),805.0)</f>
        <v>805</v>
      </c>
      <c r="G15587" s="4">
        <f>IFERROR(__xludf.DUMMYFUNCTION("""COMPUTED_VALUE"""),32.0)</f>
        <v>32</v>
      </c>
      <c r="H15587" s="4"/>
      <c r="I15587" s="4"/>
    </row>
    <row r="15588">
      <c r="A15588" s="4" t="str">
        <f>IFERROR(__xludf.DUMMYFUNCTION("""COMPUTED_VALUE"""),"cas_hmw")</f>
        <v>cas_hmw</v>
      </c>
      <c r="B15588" s="5">
        <f>IFERROR(__xludf.DUMMYFUNCTION("""COMPUTED_VALUE"""),44729.0)</f>
        <v>44729</v>
      </c>
      <c r="C15588" s="6">
        <f>IFERROR(__xludf.DUMMYFUNCTION("""COMPUTED_VALUE"""),0.7409143518525525)</f>
        <v>0.7409143519</v>
      </c>
      <c r="D15588" s="4">
        <f>IFERROR(__xludf.DUMMYFUNCTION("""COMPUTED_VALUE"""),13.012343)</f>
        <v>13.012343</v>
      </c>
      <c r="E15588" s="4">
        <f>IFERROR(__xludf.DUMMYFUNCTION("""COMPUTED_VALUE"""),80.221163)</f>
        <v>80.221163</v>
      </c>
      <c r="F15588" s="4">
        <f>IFERROR(__xludf.DUMMYFUNCTION("""COMPUTED_VALUE"""),805.0)</f>
        <v>805</v>
      </c>
      <c r="G15588" s="4">
        <f>IFERROR(__xludf.DUMMYFUNCTION("""COMPUTED_VALUE"""),32.0)</f>
        <v>32</v>
      </c>
      <c r="H15588" s="4"/>
      <c r="I15588" s="4"/>
    </row>
    <row r="15589">
      <c r="A15589" s="4" t="str">
        <f>IFERROR(__xludf.DUMMYFUNCTION("""COMPUTED_VALUE"""),"cas_hmw")</f>
        <v>cas_hmw</v>
      </c>
      <c r="B15589" s="5">
        <f>IFERROR(__xludf.DUMMYFUNCTION("""COMPUTED_VALUE"""),44729.0)</f>
        <v>44729</v>
      </c>
      <c r="C15589" s="6">
        <f>IFERROR(__xludf.DUMMYFUNCTION("""COMPUTED_VALUE"""),0.7409143518525525)</f>
        <v>0.7409143519</v>
      </c>
      <c r="D15589" s="4">
        <f>IFERROR(__xludf.DUMMYFUNCTION("""COMPUTED_VALUE"""),13.012343)</f>
        <v>13.012343</v>
      </c>
      <c r="E15589" s="4">
        <f>IFERROR(__xludf.DUMMYFUNCTION("""COMPUTED_VALUE"""),80.221163)</f>
        <v>80.221163</v>
      </c>
      <c r="F15589" s="4">
        <f>IFERROR(__xludf.DUMMYFUNCTION("""COMPUTED_VALUE"""),805.0)</f>
        <v>805</v>
      </c>
      <c r="G15589" s="4">
        <f>IFERROR(__xludf.DUMMYFUNCTION("""COMPUTED_VALUE"""),32.0)</f>
        <v>32</v>
      </c>
      <c r="H15589" s="4"/>
      <c r="I15589" s="4"/>
    </row>
    <row r="15590">
      <c r="A15590" s="4" t="str">
        <f>IFERROR(__xludf.DUMMYFUNCTION("""COMPUTED_VALUE"""),"cas_hmw")</f>
        <v>cas_hmw</v>
      </c>
      <c r="B15590" s="5">
        <f>IFERROR(__xludf.DUMMYFUNCTION("""COMPUTED_VALUE"""),44729.0)</f>
        <v>44729</v>
      </c>
      <c r="C15590" s="6">
        <f>IFERROR(__xludf.DUMMYFUNCTION("""COMPUTED_VALUE"""),0.7409143518525525)</f>
        <v>0.7409143519</v>
      </c>
      <c r="D15590" s="4">
        <f>IFERROR(__xludf.DUMMYFUNCTION("""COMPUTED_VALUE"""),13.012343)</f>
        <v>13.012343</v>
      </c>
      <c r="E15590" s="4">
        <f>IFERROR(__xludf.DUMMYFUNCTION("""COMPUTED_VALUE"""),80.221163)</f>
        <v>80.221163</v>
      </c>
      <c r="F15590" s="4">
        <f>IFERROR(__xludf.DUMMYFUNCTION("""COMPUTED_VALUE"""),805.0)</f>
        <v>805</v>
      </c>
      <c r="G15590" s="4">
        <f>IFERROR(__xludf.DUMMYFUNCTION("""COMPUTED_VALUE"""),32.0)</f>
        <v>32</v>
      </c>
      <c r="H15590" s="4"/>
      <c r="I15590" s="4"/>
    </row>
    <row r="15591">
      <c r="A15591" s="4" t="str">
        <f>IFERROR(__xludf.DUMMYFUNCTION("""COMPUTED_VALUE"""),"cas_hmw")</f>
        <v>cas_hmw</v>
      </c>
      <c r="B15591" s="5">
        <f>IFERROR(__xludf.DUMMYFUNCTION("""COMPUTED_VALUE"""),44729.0)</f>
        <v>44729</v>
      </c>
      <c r="C15591" s="6">
        <f>IFERROR(__xludf.DUMMYFUNCTION("""COMPUTED_VALUE"""),0.7411342592604342)</f>
        <v>0.7411342593</v>
      </c>
      <c r="D15591" s="4">
        <f>IFERROR(__xludf.DUMMYFUNCTION("""COMPUTED_VALUE"""),13.009716)</f>
        <v>13.009716</v>
      </c>
      <c r="E15591" s="4">
        <f>IFERROR(__xludf.DUMMYFUNCTION("""COMPUTED_VALUE"""),80.213652)</f>
        <v>80.213652</v>
      </c>
      <c r="F15591" s="4">
        <f>IFERROR(__xludf.DUMMYFUNCTION("""COMPUTED_VALUE"""),5339.0)</f>
        <v>5339</v>
      </c>
      <c r="G15591" s="4">
        <f>IFERROR(__xludf.DUMMYFUNCTION("""COMPUTED_VALUE"""),33.0)</f>
        <v>33</v>
      </c>
      <c r="H15591" s="4"/>
      <c r="I15591" s="4"/>
    </row>
    <row r="15592">
      <c r="A15592" s="4" t="str">
        <f>IFERROR(__xludf.DUMMYFUNCTION("""COMPUTED_VALUE"""),"cas_hmw")</f>
        <v>cas_hmw</v>
      </c>
      <c r="B15592" s="5">
        <f>IFERROR(__xludf.DUMMYFUNCTION("""COMPUTED_VALUE"""),44729.0)</f>
        <v>44729</v>
      </c>
      <c r="C15592" s="6">
        <f>IFERROR(__xludf.DUMMYFUNCTION("""COMPUTED_VALUE"""),0.7411458333335759)</f>
        <v>0.7411458333</v>
      </c>
      <c r="D15592" s="4">
        <f>IFERROR(__xludf.DUMMYFUNCTION("""COMPUTED_VALUE"""),13.009716)</f>
        <v>13.009716</v>
      </c>
      <c r="E15592" s="4">
        <f>IFERROR(__xludf.DUMMYFUNCTION("""COMPUTED_VALUE"""),80.213652)</f>
        <v>80.213652</v>
      </c>
      <c r="F15592" s="4">
        <f>IFERROR(__xludf.DUMMYFUNCTION("""COMPUTED_VALUE"""),5339.0)</f>
        <v>5339</v>
      </c>
      <c r="G15592" s="4">
        <f>IFERROR(__xludf.DUMMYFUNCTION("""COMPUTED_VALUE"""),33.0)</f>
        <v>33</v>
      </c>
      <c r="H15592" s="4"/>
      <c r="I15592" s="4"/>
    </row>
    <row r="15593">
      <c r="A15593" s="4" t="str">
        <f>IFERROR(__xludf.DUMMYFUNCTION("""COMPUTED_VALUE"""),"cas_hmw")</f>
        <v>cas_hmw</v>
      </c>
      <c r="B15593" s="5">
        <f>IFERROR(__xludf.DUMMYFUNCTION("""COMPUTED_VALUE"""),44729.0)</f>
        <v>44729</v>
      </c>
      <c r="C15593" s="6">
        <f>IFERROR(__xludf.DUMMYFUNCTION("""COMPUTED_VALUE"""),0.7411574074067175)</f>
        <v>0.7411574074</v>
      </c>
      <c r="D15593" s="4">
        <f>IFERROR(__xludf.DUMMYFUNCTION("""COMPUTED_VALUE"""),13.009716)</f>
        <v>13.009716</v>
      </c>
      <c r="E15593" s="4">
        <f>IFERROR(__xludf.DUMMYFUNCTION("""COMPUTED_VALUE"""),80.213652)</f>
        <v>80.213652</v>
      </c>
      <c r="F15593" s="4">
        <f>IFERROR(__xludf.DUMMYFUNCTION("""COMPUTED_VALUE"""),5339.0)</f>
        <v>5339</v>
      </c>
      <c r="G15593" s="4">
        <f>IFERROR(__xludf.DUMMYFUNCTION("""COMPUTED_VALUE"""),33.0)</f>
        <v>33</v>
      </c>
      <c r="H15593" s="4"/>
      <c r="I15593" s="4"/>
    </row>
    <row r="15594">
      <c r="A15594" s="4" t="str">
        <f>IFERROR(__xludf.DUMMYFUNCTION("""COMPUTED_VALUE"""),"cas_hmw")</f>
        <v>cas_hmw</v>
      </c>
      <c r="B15594" s="5">
        <f>IFERROR(__xludf.DUMMYFUNCTION("""COMPUTED_VALUE"""),44729.0)</f>
        <v>44729</v>
      </c>
      <c r="C15594" s="6">
        <f>IFERROR(__xludf.DUMMYFUNCTION("""COMPUTED_VALUE"""),0.7412731481490482)</f>
        <v>0.7412731481</v>
      </c>
      <c r="D15594" s="4">
        <f>IFERROR(__xludf.DUMMYFUNCTION("""COMPUTED_VALUE"""),13.009716)</f>
        <v>13.009716</v>
      </c>
      <c r="E15594" s="4">
        <f>IFERROR(__xludf.DUMMYFUNCTION("""COMPUTED_VALUE"""),80.213652)</f>
        <v>80.213652</v>
      </c>
      <c r="F15594" s="4">
        <f>IFERROR(__xludf.DUMMYFUNCTION("""COMPUTED_VALUE"""),5339.0)</f>
        <v>5339</v>
      </c>
      <c r="G15594" s="4">
        <f>IFERROR(__xludf.DUMMYFUNCTION("""COMPUTED_VALUE"""),33.0)</f>
        <v>33</v>
      </c>
      <c r="H15594" s="4"/>
      <c r="I15594" s="4"/>
    </row>
    <row r="15595">
      <c r="A15595" s="4" t="str">
        <f>IFERROR(__xludf.DUMMYFUNCTION("""COMPUTED_VALUE"""),"cas_hmw")</f>
        <v>cas_hmw</v>
      </c>
      <c r="B15595" s="5">
        <f>IFERROR(__xludf.DUMMYFUNCTION("""COMPUTED_VALUE"""),44729.0)</f>
        <v>44729</v>
      </c>
      <c r="C15595" s="6">
        <f>IFERROR(__xludf.DUMMYFUNCTION("""COMPUTED_VALUE"""),0.7413194444452529)</f>
        <v>0.7413194444</v>
      </c>
      <c r="D15595" s="4">
        <f>IFERROR(__xludf.DUMMYFUNCTION("""COMPUTED_VALUE"""),13.010143)</f>
        <v>13.010143</v>
      </c>
      <c r="E15595" s="4">
        <f>IFERROR(__xludf.DUMMYFUNCTION("""COMPUTED_VALUE"""),80.214835)</f>
        <v>80.214835</v>
      </c>
      <c r="F15595" s="4">
        <f>IFERROR(__xludf.DUMMYFUNCTION("""COMPUTED_VALUE"""),5339.0)</f>
        <v>5339</v>
      </c>
      <c r="G15595" s="4">
        <f>IFERROR(__xludf.DUMMYFUNCTION("""COMPUTED_VALUE"""),29.0)</f>
        <v>29</v>
      </c>
      <c r="H15595" s="4"/>
      <c r="I15595" s="4"/>
    </row>
    <row r="15596">
      <c r="A15596" s="4" t="str">
        <f>IFERROR(__xludf.DUMMYFUNCTION("""COMPUTED_VALUE"""),"cas_hmw")</f>
        <v>cas_hmw</v>
      </c>
      <c r="B15596" s="5">
        <f>IFERROR(__xludf.DUMMYFUNCTION("""COMPUTED_VALUE"""),44729.0)</f>
        <v>44729</v>
      </c>
      <c r="C15596" s="6">
        <f>IFERROR(__xludf.DUMMYFUNCTION("""COMPUTED_VALUE"""),0.7413194444452529)</f>
        <v>0.7413194444</v>
      </c>
      <c r="D15596" s="4">
        <f>IFERROR(__xludf.DUMMYFUNCTION("""COMPUTED_VALUE"""),13.010143)</f>
        <v>13.010143</v>
      </c>
      <c r="E15596" s="4">
        <f>IFERROR(__xludf.DUMMYFUNCTION("""COMPUTED_VALUE"""),80.214835)</f>
        <v>80.214835</v>
      </c>
      <c r="F15596" s="4">
        <f>IFERROR(__xludf.DUMMYFUNCTION("""COMPUTED_VALUE"""),5339.0)</f>
        <v>5339</v>
      </c>
      <c r="G15596" s="4">
        <f>IFERROR(__xludf.DUMMYFUNCTION("""COMPUTED_VALUE"""),29.0)</f>
        <v>29</v>
      </c>
      <c r="H15596" s="4"/>
      <c r="I15596" s="4"/>
    </row>
    <row r="15597">
      <c r="A15597" s="4" t="str">
        <f>IFERROR(__xludf.DUMMYFUNCTION("""COMPUTED_VALUE"""),"cas_hmw")</f>
        <v>cas_hmw</v>
      </c>
      <c r="B15597" s="5">
        <f>IFERROR(__xludf.DUMMYFUNCTION("""COMPUTED_VALUE"""),44729.0)</f>
        <v>44729</v>
      </c>
      <c r="C15597" s="6">
        <f>IFERROR(__xludf.DUMMYFUNCTION("""COMPUTED_VALUE"""),0.7414236111108039)</f>
        <v>0.7414236111</v>
      </c>
      <c r="D15597" s="4">
        <f>IFERROR(__xludf.DUMMYFUNCTION("""COMPUTED_VALUE"""),13.010143)</f>
        <v>13.010143</v>
      </c>
      <c r="E15597" s="4">
        <f>IFERROR(__xludf.DUMMYFUNCTION("""COMPUTED_VALUE"""),80.214835)</f>
        <v>80.214835</v>
      </c>
      <c r="F15597" s="4">
        <f>IFERROR(__xludf.DUMMYFUNCTION("""COMPUTED_VALUE"""),5339.0)</f>
        <v>5339</v>
      </c>
      <c r="G15597" s="4">
        <f>IFERROR(__xludf.DUMMYFUNCTION("""COMPUTED_VALUE"""),29.0)</f>
        <v>29</v>
      </c>
      <c r="H15597" s="4"/>
      <c r="I15597" s="4"/>
    </row>
    <row r="15598">
      <c r="A15598" s="4" t="str">
        <f>IFERROR(__xludf.DUMMYFUNCTION("""COMPUTED_VALUE"""),"cas_hmw")</f>
        <v>cas_hmw</v>
      </c>
      <c r="B15598" s="5">
        <f>IFERROR(__xludf.DUMMYFUNCTION("""COMPUTED_VALUE"""),44729.0)</f>
        <v>44729</v>
      </c>
      <c r="C15598" s="6">
        <f>IFERROR(__xludf.DUMMYFUNCTION("""COMPUTED_VALUE"""),0.7414930555569299)</f>
        <v>0.7414930556</v>
      </c>
      <c r="D15598" s="4">
        <f>IFERROR(__xludf.DUMMYFUNCTION("""COMPUTED_VALUE"""),13.010338)</f>
        <v>13.010338</v>
      </c>
      <c r="E15598" s="4">
        <f>IFERROR(__xludf.DUMMYFUNCTION("""COMPUTED_VALUE"""),80.215857)</f>
        <v>80.215857</v>
      </c>
      <c r="F15598" s="4">
        <f>IFERROR(__xludf.DUMMYFUNCTION("""COMPUTED_VALUE"""),5339.0)</f>
        <v>5339</v>
      </c>
      <c r="G15598" s="4">
        <f>IFERROR(__xludf.DUMMYFUNCTION("""COMPUTED_VALUE"""),25.0)</f>
        <v>25</v>
      </c>
      <c r="H15598" s="4"/>
      <c r="I15598" s="4"/>
    </row>
    <row r="15599">
      <c r="A15599" s="4" t="str">
        <f>IFERROR(__xludf.DUMMYFUNCTION("""COMPUTED_VALUE"""),"cas_hmw")</f>
        <v>cas_hmw</v>
      </c>
      <c r="B15599" s="5">
        <f>IFERROR(__xludf.DUMMYFUNCTION("""COMPUTED_VALUE"""),44729.0)</f>
        <v>44729</v>
      </c>
      <c r="C15599" s="6">
        <f>IFERROR(__xludf.DUMMYFUNCTION("""COMPUTED_VALUE"""),0.7415162037032133)</f>
        <v>0.7415162037</v>
      </c>
      <c r="D15599" s="4">
        <f>IFERROR(__xludf.DUMMYFUNCTION("""COMPUTED_VALUE"""),13.010338)</f>
        <v>13.010338</v>
      </c>
      <c r="E15599" s="4">
        <f>IFERROR(__xludf.DUMMYFUNCTION("""COMPUTED_VALUE"""),80.215857)</f>
        <v>80.215857</v>
      </c>
      <c r="F15599" s="4">
        <f>IFERROR(__xludf.DUMMYFUNCTION("""COMPUTED_VALUE"""),5339.0)</f>
        <v>5339</v>
      </c>
      <c r="G15599" s="4">
        <f>IFERROR(__xludf.DUMMYFUNCTION("""COMPUTED_VALUE"""),25.0)</f>
        <v>25</v>
      </c>
      <c r="H15599" s="4"/>
      <c r="I15599" s="4"/>
    </row>
    <row r="15600">
      <c r="A15600" s="4" t="str">
        <f>IFERROR(__xludf.DUMMYFUNCTION("""COMPUTED_VALUE"""),"cas_hmw")</f>
        <v>cas_hmw</v>
      </c>
      <c r="B15600" s="5">
        <f>IFERROR(__xludf.DUMMYFUNCTION("""COMPUTED_VALUE"""),44729.0)</f>
        <v>44729</v>
      </c>
      <c r="C15600" s="6">
        <f>IFERROR(__xludf.DUMMYFUNCTION("""COMPUTED_VALUE"""),0.7416087962956226)</f>
        <v>0.7416087963</v>
      </c>
      <c r="D15600" s="4">
        <f>IFERROR(__xludf.DUMMYFUNCTION("""COMPUTED_VALUE"""),13.010338)</f>
        <v>13.010338</v>
      </c>
      <c r="E15600" s="4">
        <f>IFERROR(__xludf.DUMMYFUNCTION("""COMPUTED_VALUE"""),80.215857)</f>
        <v>80.215857</v>
      </c>
      <c r="F15600" s="4">
        <f>IFERROR(__xludf.DUMMYFUNCTION("""COMPUTED_VALUE"""),5339.0)</f>
        <v>5339</v>
      </c>
      <c r="G15600" s="4">
        <f>IFERROR(__xludf.DUMMYFUNCTION("""COMPUTED_VALUE"""),25.0)</f>
        <v>25</v>
      </c>
      <c r="H15600" s="4"/>
      <c r="I15600" s="4"/>
    </row>
    <row r="15601">
      <c r="A15601" s="4" t="str">
        <f>IFERROR(__xludf.DUMMYFUNCTION("""COMPUTED_VALUE"""),"cas_hmw")</f>
        <v>cas_hmw</v>
      </c>
      <c r="B15601" s="5">
        <f>IFERROR(__xludf.DUMMYFUNCTION("""COMPUTED_VALUE"""),44729.0)</f>
        <v>44729</v>
      </c>
      <c r="C15601" s="6">
        <f>IFERROR(__xludf.DUMMYFUNCTION("""COMPUTED_VALUE"""),0.7418981481496303)</f>
        <v>0.7418981481</v>
      </c>
      <c r="D15601" s="4">
        <f>IFERROR(__xludf.DUMMYFUNCTION("""COMPUTED_VALUE"""),13.011303)</f>
        <v>13.011303</v>
      </c>
      <c r="E15601" s="4">
        <f>IFERROR(__xludf.DUMMYFUNCTION("""COMPUTED_VALUE"""),80.218092)</f>
        <v>80.218092</v>
      </c>
      <c r="F15601" s="4">
        <f>IFERROR(__xludf.DUMMYFUNCTION("""COMPUTED_VALUE"""),5339.0)</f>
        <v>5339</v>
      </c>
      <c r="G15601" s="4">
        <f>IFERROR(__xludf.DUMMYFUNCTION("""COMPUTED_VALUE"""),33.0)</f>
        <v>33</v>
      </c>
      <c r="H15601" s="4"/>
      <c r="I15601" s="4"/>
    </row>
    <row r="15602">
      <c r="A15602" s="4" t="str">
        <f>IFERROR(__xludf.DUMMYFUNCTION("""COMPUTED_VALUE"""),"cas_hmw")</f>
        <v>cas_hmw</v>
      </c>
      <c r="B15602" s="5">
        <f>IFERROR(__xludf.DUMMYFUNCTION("""COMPUTED_VALUE"""),44729.0)</f>
        <v>44729</v>
      </c>
      <c r="C15602" s="6">
        <f>IFERROR(__xludf.DUMMYFUNCTION("""COMPUTED_VALUE"""),0.7419328703690553)</f>
        <v>0.7419328704</v>
      </c>
      <c r="D15602" s="4">
        <f>IFERROR(__xludf.DUMMYFUNCTION("""COMPUTED_VALUE"""),13.011303)</f>
        <v>13.011303</v>
      </c>
      <c r="E15602" s="4">
        <f>IFERROR(__xludf.DUMMYFUNCTION("""COMPUTED_VALUE"""),80.218092)</f>
        <v>80.218092</v>
      </c>
      <c r="F15602" s="4">
        <f>IFERROR(__xludf.DUMMYFUNCTION("""COMPUTED_VALUE"""),5339.0)</f>
        <v>5339</v>
      </c>
      <c r="G15602" s="4">
        <f>IFERROR(__xludf.DUMMYFUNCTION("""COMPUTED_VALUE"""),33.0)</f>
        <v>33</v>
      </c>
      <c r="H15602" s="4"/>
      <c r="I15602" s="4"/>
    </row>
    <row r="15603">
      <c r="A15603" s="4" t="str">
        <f>IFERROR(__xludf.DUMMYFUNCTION("""COMPUTED_VALUE"""),"cas_hmw")</f>
        <v>cas_hmw</v>
      </c>
      <c r="B15603" s="5">
        <f>IFERROR(__xludf.DUMMYFUNCTION("""COMPUTED_VALUE"""),44729.0)</f>
        <v>44729</v>
      </c>
      <c r="C15603" s="6">
        <f>IFERROR(__xludf.DUMMYFUNCTION("""COMPUTED_VALUE"""),0.741944444445835)</f>
        <v>0.7419444444</v>
      </c>
      <c r="D15603" s="4">
        <f>IFERROR(__xludf.DUMMYFUNCTION("""COMPUTED_VALUE"""),13.014891)</f>
        <v>13.014891</v>
      </c>
      <c r="E15603" s="4">
        <f>IFERROR(__xludf.DUMMYFUNCTION("""COMPUTED_VALUE"""),80.225944)</f>
        <v>80.225944</v>
      </c>
      <c r="F15603" s="4">
        <f>IFERROR(__xludf.DUMMYFUNCTION("""COMPUTED_VALUE"""),805.0)</f>
        <v>805</v>
      </c>
      <c r="G15603" s="4">
        <f>IFERROR(__xludf.DUMMYFUNCTION("""COMPUTED_VALUE"""),33.0)</f>
        <v>33</v>
      </c>
      <c r="H15603" s="4"/>
      <c r="I15603" s="4"/>
    </row>
    <row r="15604">
      <c r="A15604" s="4" t="str">
        <f>IFERROR(__xludf.DUMMYFUNCTION("""COMPUTED_VALUE"""),"cas_hmw")</f>
        <v>cas_hmw</v>
      </c>
      <c r="B15604" s="5">
        <f>IFERROR(__xludf.DUMMYFUNCTION("""COMPUTED_VALUE"""),44729.0)</f>
        <v>44729</v>
      </c>
      <c r="C15604" s="6">
        <f>IFERROR(__xludf.DUMMYFUNCTION("""COMPUTED_VALUE"""),0.7419675925921183)</f>
        <v>0.7419675926</v>
      </c>
      <c r="D15604" s="4">
        <f>IFERROR(__xludf.DUMMYFUNCTION("""COMPUTED_VALUE"""),13.011303)</f>
        <v>13.011303</v>
      </c>
      <c r="E15604" s="4">
        <f>IFERROR(__xludf.DUMMYFUNCTION("""COMPUTED_VALUE"""),80.218092)</f>
        <v>80.218092</v>
      </c>
      <c r="F15604" s="4">
        <f>IFERROR(__xludf.DUMMYFUNCTION("""COMPUTED_VALUE"""),5339.0)</f>
        <v>5339</v>
      </c>
      <c r="G15604" s="4">
        <f>IFERROR(__xludf.DUMMYFUNCTION("""COMPUTED_VALUE"""),33.0)</f>
        <v>33</v>
      </c>
      <c r="H15604" s="4"/>
      <c r="I15604" s="4"/>
    </row>
    <row r="15605">
      <c r="A15605" s="4" t="str">
        <f>IFERROR(__xludf.DUMMYFUNCTION("""COMPUTED_VALUE"""),"cas_hmw")</f>
        <v>cas_hmw</v>
      </c>
      <c r="B15605" s="5">
        <f>IFERROR(__xludf.DUMMYFUNCTION("""COMPUTED_VALUE"""),44729.0)</f>
        <v>44729</v>
      </c>
      <c r="C15605" s="6">
        <f>IFERROR(__xludf.DUMMYFUNCTION("""COMPUTED_VALUE"""),0.74197916666526)</f>
        <v>0.7419791667</v>
      </c>
      <c r="D15605" s="4">
        <f>IFERROR(__xludf.DUMMYFUNCTION("""COMPUTED_VALUE"""),13.011303)</f>
        <v>13.011303</v>
      </c>
      <c r="E15605" s="4">
        <f>IFERROR(__xludf.DUMMYFUNCTION("""COMPUTED_VALUE"""),80.218092)</f>
        <v>80.218092</v>
      </c>
      <c r="F15605" s="4">
        <f>IFERROR(__xludf.DUMMYFUNCTION("""COMPUTED_VALUE"""),5339.0)</f>
        <v>5339</v>
      </c>
      <c r="G15605" s="4">
        <f>IFERROR(__xludf.DUMMYFUNCTION("""COMPUTED_VALUE"""),33.0)</f>
        <v>33</v>
      </c>
      <c r="H15605" s="4"/>
      <c r="I15605" s="4"/>
    </row>
    <row r="15606">
      <c r="A15606" s="4" t="str">
        <f>IFERROR(__xludf.DUMMYFUNCTION("""COMPUTED_VALUE"""),"cas_hmw")</f>
        <v>cas_hmw</v>
      </c>
      <c r="B15606" s="5">
        <f>IFERROR(__xludf.DUMMYFUNCTION("""COMPUTED_VALUE"""),44729.0)</f>
        <v>44729</v>
      </c>
      <c r="C15606" s="6">
        <f>IFERROR(__xludf.DUMMYFUNCTION("""COMPUTED_VALUE"""),0.7419907407420396)</f>
        <v>0.7419907407</v>
      </c>
      <c r="D15606" s="4">
        <f>IFERROR(__xludf.DUMMYFUNCTION("""COMPUTED_VALUE"""),13.011303)</f>
        <v>13.011303</v>
      </c>
      <c r="E15606" s="4">
        <f>IFERROR(__xludf.DUMMYFUNCTION("""COMPUTED_VALUE"""),80.218092)</f>
        <v>80.218092</v>
      </c>
      <c r="F15606" s="4">
        <f>IFERROR(__xludf.DUMMYFUNCTION("""COMPUTED_VALUE"""),5339.0)</f>
        <v>5339</v>
      </c>
      <c r="G15606" s="4">
        <f>IFERROR(__xludf.DUMMYFUNCTION("""COMPUTED_VALUE"""),33.0)</f>
        <v>33</v>
      </c>
      <c r="H15606" s="4"/>
      <c r="I15606" s="4"/>
    </row>
    <row r="15607">
      <c r="A15607" s="4" t="str">
        <f>IFERROR(__xludf.DUMMYFUNCTION("""COMPUTED_VALUE"""),"cas_hmw")</f>
        <v>cas_hmw</v>
      </c>
      <c r="B15607" s="5">
        <f>IFERROR(__xludf.DUMMYFUNCTION("""COMPUTED_VALUE"""),44729.0)</f>
        <v>44729</v>
      </c>
      <c r="C15607" s="6">
        <f>IFERROR(__xludf.DUMMYFUNCTION("""COMPUTED_VALUE"""),0.7420601851845277)</f>
        <v>0.7420601852</v>
      </c>
      <c r="D15607" s="4">
        <f>IFERROR(__xludf.DUMMYFUNCTION("""COMPUTED_VALUE"""),13.01176)</f>
        <v>13.01176</v>
      </c>
      <c r="E15607" s="4">
        <f>IFERROR(__xludf.DUMMYFUNCTION("""COMPUTED_VALUE"""),80.219283)</f>
        <v>80.219283</v>
      </c>
      <c r="F15607" s="4">
        <f>IFERROR(__xludf.DUMMYFUNCTION("""COMPUTED_VALUE"""),5339.0)</f>
        <v>5339</v>
      </c>
      <c r="G15607" s="4">
        <f>IFERROR(__xludf.DUMMYFUNCTION("""COMPUTED_VALUE"""),39.0)</f>
        <v>39</v>
      </c>
      <c r="H15607" s="4"/>
      <c r="I15607" s="4"/>
    </row>
    <row r="15608">
      <c r="A15608" s="4" t="str">
        <f>IFERROR(__xludf.DUMMYFUNCTION("""COMPUTED_VALUE"""),"cas_hmw")</f>
        <v>cas_hmw</v>
      </c>
      <c r="B15608" s="5">
        <f>IFERROR(__xludf.DUMMYFUNCTION("""COMPUTED_VALUE"""),44729.0)</f>
        <v>44729</v>
      </c>
      <c r="C15608" s="6">
        <f>IFERROR(__xludf.DUMMYFUNCTION("""COMPUTED_VALUE"""),0.7429513888891961)</f>
        <v>0.7429513889</v>
      </c>
      <c r="D15608" s="4">
        <f>IFERROR(__xludf.DUMMYFUNCTION("""COMPUTED_VALUE"""),13.014855)</f>
        <v>13.014855</v>
      </c>
      <c r="E15608" s="4">
        <f>IFERROR(__xludf.DUMMYFUNCTION("""COMPUTED_VALUE"""),80.224404)</f>
        <v>80.224404</v>
      </c>
      <c r="F15608" s="4">
        <f>IFERROR(__xludf.DUMMYFUNCTION("""COMPUTED_VALUE"""),5339.0)</f>
        <v>5339</v>
      </c>
      <c r="G15608" s="4">
        <f>IFERROR(__xludf.DUMMYFUNCTION("""COMPUTED_VALUE"""),13.0)</f>
        <v>13</v>
      </c>
      <c r="H15608" s="4"/>
      <c r="I15608" s="4"/>
    </row>
    <row r="15609">
      <c r="A15609" s="4" t="str">
        <f>IFERROR(__xludf.DUMMYFUNCTION("""COMPUTED_VALUE"""),"cas_hmw")</f>
        <v>cas_hmw</v>
      </c>
      <c r="B15609" s="5">
        <f>IFERROR(__xludf.DUMMYFUNCTION("""COMPUTED_VALUE"""),44729.0)</f>
        <v>44729</v>
      </c>
      <c r="C15609" s="6">
        <f>IFERROR(__xludf.DUMMYFUNCTION("""COMPUTED_VALUE"""),0.7431597222239361)</f>
        <v>0.7431597222</v>
      </c>
      <c r="D15609" s="4">
        <f>IFERROR(__xludf.DUMMYFUNCTION("""COMPUTED_VALUE"""),13.015427)</f>
        <v>13.015427</v>
      </c>
      <c r="E15609" s="4">
        <f>IFERROR(__xludf.DUMMYFUNCTION("""COMPUTED_VALUE"""),80.225045)</f>
        <v>80.225045</v>
      </c>
      <c r="F15609" s="4">
        <f>IFERROR(__xludf.DUMMYFUNCTION("""COMPUTED_VALUE"""),5339.0)</f>
        <v>5339</v>
      </c>
      <c r="G15609" s="4">
        <f>IFERROR(__xludf.DUMMYFUNCTION("""COMPUTED_VALUE"""),21.0)</f>
        <v>21</v>
      </c>
      <c r="H15609" s="4"/>
      <c r="I15609" s="4"/>
    </row>
    <row r="15610">
      <c r="A15610" s="4" t="str">
        <f>IFERROR(__xludf.DUMMYFUNCTION("""COMPUTED_VALUE"""),"cas_hmw")</f>
        <v>cas_hmw</v>
      </c>
      <c r="B15610" s="5">
        <f>IFERROR(__xludf.DUMMYFUNCTION("""COMPUTED_VALUE"""),44729.0)</f>
        <v>44729</v>
      </c>
      <c r="C15610" s="6">
        <f>IFERROR(__xludf.DUMMYFUNCTION("""COMPUTED_VALUE"""),0.7450578703719657)</f>
        <v>0.7450578704</v>
      </c>
      <c r="D15610" s="4">
        <f>IFERROR(__xludf.DUMMYFUNCTION("""COMPUTED_VALUE"""),13.024167)</f>
        <v>13.024167</v>
      </c>
      <c r="E15610" s="4">
        <f>IFERROR(__xludf.DUMMYFUNCTION("""COMPUTED_VALUE"""),80.228306)</f>
        <v>80.228306</v>
      </c>
      <c r="F15610" s="4">
        <f>IFERROR(__xludf.DUMMYFUNCTION("""COMPUTED_VALUE"""),5339.0)</f>
        <v>5339</v>
      </c>
      <c r="G15610" s="4">
        <f>IFERROR(__xludf.DUMMYFUNCTION("""COMPUTED_VALUE"""),0.0)</f>
        <v>0</v>
      </c>
      <c r="H15610" s="4"/>
      <c r="I15610" s="4"/>
    </row>
    <row r="15611">
      <c r="A15611" s="4" t="str">
        <f>IFERROR(__xludf.DUMMYFUNCTION("""COMPUTED_VALUE"""),"cas_hmw")</f>
        <v>cas_hmw</v>
      </c>
      <c r="B15611" s="5">
        <f>IFERROR(__xludf.DUMMYFUNCTION("""COMPUTED_VALUE"""),44729.0)</f>
        <v>44729</v>
      </c>
      <c r="C15611" s="6">
        <f>IFERROR(__xludf.DUMMYFUNCTION("""COMPUTED_VALUE"""),0.7451620370375167)</f>
        <v>0.745162037</v>
      </c>
      <c r="D15611" s="4">
        <f>IFERROR(__xludf.DUMMYFUNCTION("""COMPUTED_VALUE"""),13.024167)</f>
        <v>13.024167</v>
      </c>
      <c r="E15611" s="4">
        <f>IFERROR(__xludf.DUMMYFUNCTION("""COMPUTED_VALUE"""),80.228306)</f>
        <v>80.228306</v>
      </c>
      <c r="F15611" s="4">
        <f>IFERROR(__xludf.DUMMYFUNCTION("""COMPUTED_VALUE"""),5339.0)</f>
        <v>5339</v>
      </c>
      <c r="G15611" s="4">
        <f>IFERROR(__xludf.DUMMYFUNCTION("""COMPUTED_VALUE"""),0.0)</f>
        <v>0</v>
      </c>
      <c r="H15611" s="4"/>
      <c r="I15611" s="4"/>
    </row>
    <row r="15612">
      <c r="A15612" s="4" t="str">
        <f>IFERROR(__xludf.DUMMYFUNCTION("""COMPUTED_VALUE"""),"cas_hmw")</f>
        <v>cas_hmw</v>
      </c>
      <c r="B15612" s="5">
        <f>IFERROR(__xludf.DUMMYFUNCTION("""COMPUTED_VALUE"""),44729.0)</f>
        <v>44729</v>
      </c>
      <c r="C15612" s="6">
        <f>IFERROR(__xludf.DUMMYFUNCTION("""COMPUTED_VALUE"""),0.7451736111106584)</f>
        <v>0.7451736111</v>
      </c>
      <c r="D15612" s="4">
        <f>IFERROR(__xludf.DUMMYFUNCTION("""COMPUTED_VALUE"""),13.024167)</f>
        <v>13.024167</v>
      </c>
      <c r="E15612" s="4">
        <f>IFERROR(__xludf.DUMMYFUNCTION("""COMPUTED_VALUE"""),80.228306)</f>
        <v>80.228306</v>
      </c>
      <c r="F15612" s="4">
        <f>IFERROR(__xludf.DUMMYFUNCTION("""COMPUTED_VALUE"""),5339.0)</f>
        <v>5339</v>
      </c>
      <c r="G15612" s="4">
        <f>IFERROR(__xludf.DUMMYFUNCTION("""COMPUTED_VALUE"""),0.0)</f>
        <v>0</v>
      </c>
      <c r="H15612" s="4"/>
      <c r="I15612" s="4"/>
    </row>
    <row r="15613">
      <c r="A15613" s="4" t="str">
        <f>IFERROR(__xludf.DUMMYFUNCTION("""COMPUTED_VALUE"""),"cas_hmw")</f>
        <v>cas_hmw</v>
      </c>
      <c r="B15613" s="5">
        <f>IFERROR(__xludf.DUMMYFUNCTION("""COMPUTED_VALUE"""),44729.0)</f>
        <v>44729</v>
      </c>
      <c r="C15613" s="6">
        <f>IFERROR(__xludf.DUMMYFUNCTION("""COMPUTED_VALUE"""),0.7460995370383898)</f>
        <v>0.746099537</v>
      </c>
      <c r="D15613" s="4">
        <f>IFERROR(__xludf.DUMMYFUNCTION("""COMPUTED_VALUE"""),13.006657)</f>
        <v>13.006657</v>
      </c>
      <c r="E15613" s="4">
        <f>IFERROR(__xludf.DUMMYFUNCTION("""COMPUTED_VALUE"""),80.241755)</f>
        <v>80.241755</v>
      </c>
      <c r="F15613" s="4">
        <f>IFERROR(__xludf.DUMMYFUNCTION("""COMPUTED_VALUE"""),805.0)</f>
        <v>805</v>
      </c>
      <c r="G15613" s="4">
        <f>IFERROR(__xludf.DUMMYFUNCTION("""COMPUTED_VALUE"""),14.0)</f>
        <v>14</v>
      </c>
      <c r="H15613" s="4"/>
      <c r="I15613" s="4"/>
    </row>
    <row r="15614">
      <c r="A15614" s="4" t="str">
        <f>IFERROR(__xludf.DUMMYFUNCTION("""COMPUTED_VALUE"""),"cas_hmw")</f>
        <v>cas_hmw</v>
      </c>
      <c r="B15614" s="5">
        <f>IFERROR(__xludf.DUMMYFUNCTION("""COMPUTED_VALUE"""),44729.0)</f>
        <v>44729</v>
      </c>
      <c r="C15614" s="6">
        <f>IFERROR(__xludf.DUMMYFUNCTION("""COMPUTED_VALUE"""),0.7461805555540195)</f>
        <v>0.7461805556</v>
      </c>
      <c r="D15614" s="4">
        <f>IFERROR(__xludf.DUMMYFUNCTION("""COMPUTED_VALUE"""),13.006669)</f>
        <v>13.006669</v>
      </c>
      <c r="E15614" s="4">
        <f>IFERROR(__xludf.DUMMYFUNCTION("""COMPUTED_VALUE"""),80.242446)</f>
        <v>80.242446</v>
      </c>
      <c r="F15614" s="4">
        <f>IFERROR(__xludf.DUMMYFUNCTION("""COMPUTED_VALUE"""),805.0)</f>
        <v>805</v>
      </c>
      <c r="G15614" s="4">
        <f>IFERROR(__xludf.DUMMYFUNCTION("""COMPUTED_VALUE"""),10.0)</f>
        <v>10</v>
      </c>
      <c r="H15614" s="4"/>
      <c r="I15614" s="4"/>
    </row>
    <row r="15615">
      <c r="A15615" s="4" t="str">
        <f>IFERROR(__xludf.DUMMYFUNCTION("""COMPUTED_VALUE"""),"cas_hmw")</f>
        <v>cas_hmw</v>
      </c>
      <c r="B15615" s="5">
        <f>IFERROR(__xludf.DUMMYFUNCTION("""COMPUTED_VALUE"""),44729.0)</f>
        <v>44729</v>
      </c>
      <c r="C15615" s="6">
        <f>IFERROR(__xludf.DUMMYFUNCTION("""COMPUTED_VALUE"""),0.7462962962963502)</f>
        <v>0.7462962963</v>
      </c>
      <c r="D15615" s="4">
        <f>IFERROR(__xludf.DUMMYFUNCTION("""COMPUTED_VALUE"""),13.025887)</f>
        <v>13.025887</v>
      </c>
      <c r="E15615" s="4">
        <f>IFERROR(__xludf.DUMMYFUNCTION("""COMPUTED_VALUE"""),80.23084)</f>
        <v>80.23084</v>
      </c>
      <c r="F15615" s="4">
        <f>IFERROR(__xludf.DUMMYFUNCTION("""COMPUTED_VALUE"""),5339.0)</f>
        <v>5339</v>
      </c>
      <c r="G15615" s="4">
        <f>IFERROR(__xludf.DUMMYFUNCTION("""COMPUTED_VALUE"""),0.0)</f>
        <v>0</v>
      </c>
      <c r="H15615" s="4"/>
      <c r="I15615" s="4"/>
    </row>
    <row r="15616">
      <c r="A15616" s="4" t="str">
        <f>IFERROR(__xludf.DUMMYFUNCTION("""COMPUTED_VALUE"""),"cas_hmw")</f>
        <v>cas_hmw</v>
      </c>
      <c r="B15616" s="5">
        <f>IFERROR(__xludf.DUMMYFUNCTION("""COMPUTED_VALUE"""),44729.0)</f>
        <v>44729</v>
      </c>
      <c r="C15616" s="6">
        <f>IFERROR(__xludf.DUMMYFUNCTION("""COMPUTED_VALUE"""),0.7463194444426335)</f>
        <v>0.7463194444</v>
      </c>
      <c r="D15616" s="4">
        <f>IFERROR(__xludf.DUMMYFUNCTION("""COMPUTED_VALUE"""),13.025887)</f>
        <v>13.025887</v>
      </c>
      <c r="E15616" s="4">
        <f>IFERROR(__xludf.DUMMYFUNCTION("""COMPUTED_VALUE"""),80.23084)</f>
        <v>80.23084</v>
      </c>
      <c r="F15616" s="4">
        <f>IFERROR(__xludf.DUMMYFUNCTION("""COMPUTED_VALUE"""),5339.0)</f>
        <v>5339</v>
      </c>
      <c r="G15616" s="4">
        <f>IFERROR(__xludf.DUMMYFUNCTION("""COMPUTED_VALUE"""),0.0)</f>
        <v>0</v>
      </c>
      <c r="H15616" s="4"/>
      <c r="I15616" s="4"/>
    </row>
    <row r="15617">
      <c r="A15617" s="4" t="str">
        <f>IFERROR(__xludf.DUMMYFUNCTION("""COMPUTED_VALUE"""),"cas_hmw")</f>
        <v>cas_hmw</v>
      </c>
      <c r="B15617" s="5">
        <f>IFERROR(__xludf.DUMMYFUNCTION("""COMPUTED_VALUE"""),44729.0)</f>
        <v>44729</v>
      </c>
      <c r="C15617" s="6">
        <f>IFERROR(__xludf.DUMMYFUNCTION("""COMPUTED_VALUE"""),0.7464930555543106)</f>
        <v>0.7464930556</v>
      </c>
      <c r="D15617" s="4">
        <f>IFERROR(__xludf.DUMMYFUNCTION("""COMPUTED_VALUE"""),13.025887)</f>
        <v>13.025887</v>
      </c>
      <c r="E15617" s="4">
        <f>IFERROR(__xludf.DUMMYFUNCTION("""COMPUTED_VALUE"""),80.23084)</f>
        <v>80.23084</v>
      </c>
      <c r="F15617" s="4">
        <f>IFERROR(__xludf.DUMMYFUNCTION("""COMPUTED_VALUE"""),5339.0)</f>
        <v>5339</v>
      </c>
      <c r="G15617" s="4">
        <f>IFERROR(__xludf.DUMMYFUNCTION("""COMPUTED_VALUE"""),0.0)</f>
        <v>0</v>
      </c>
      <c r="H15617" s="4"/>
      <c r="I15617" s="4"/>
    </row>
    <row r="15618">
      <c r="A15618" s="4" t="str">
        <f>IFERROR(__xludf.DUMMYFUNCTION("""COMPUTED_VALUE"""),"cas_hmw")</f>
        <v>cas_hmw</v>
      </c>
      <c r="B15618" s="5">
        <f>IFERROR(__xludf.DUMMYFUNCTION("""COMPUTED_VALUE"""),44729.0)</f>
        <v>44729</v>
      </c>
      <c r="C15618" s="6">
        <f>IFERROR(__xludf.DUMMYFUNCTION("""COMPUTED_VALUE"""),0.7465393518505152)</f>
        <v>0.7465393519</v>
      </c>
      <c r="D15618" s="4">
        <f>IFERROR(__xludf.DUMMYFUNCTION("""COMPUTED_VALUE"""),13.025887)</f>
        <v>13.025887</v>
      </c>
      <c r="E15618" s="4">
        <f>IFERROR(__xludf.DUMMYFUNCTION("""COMPUTED_VALUE"""),80.23084)</f>
        <v>80.23084</v>
      </c>
      <c r="F15618" s="4">
        <f>IFERROR(__xludf.DUMMYFUNCTION("""COMPUTED_VALUE"""),5339.0)</f>
        <v>5339</v>
      </c>
      <c r="G15618" s="4">
        <f>IFERROR(__xludf.DUMMYFUNCTION("""COMPUTED_VALUE"""),0.0)</f>
        <v>0</v>
      </c>
      <c r="H15618" s="4"/>
      <c r="I15618" s="4"/>
    </row>
    <row r="15619">
      <c r="A15619" s="4" t="str">
        <f>IFERROR(__xludf.DUMMYFUNCTION("""COMPUTED_VALUE"""),"cas_hmw")</f>
        <v>cas_hmw</v>
      </c>
      <c r="B15619" s="5">
        <f>IFERROR(__xludf.DUMMYFUNCTION("""COMPUTED_VALUE"""),44729.0)</f>
        <v>44729</v>
      </c>
      <c r="C15619" s="6">
        <f>IFERROR(__xludf.DUMMYFUNCTION("""COMPUTED_VALUE"""),0.7475347222207347)</f>
        <v>0.7475347222</v>
      </c>
      <c r="D15619" s="4">
        <f>IFERROR(__xludf.DUMMYFUNCTION("""COMPUTED_VALUE"""),13.029533)</f>
        <v>13.029533</v>
      </c>
      <c r="E15619" s="4">
        <f>IFERROR(__xludf.DUMMYFUNCTION("""COMPUTED_VALUE"""),80.237123)</f>
        <v>80.237123</v>
      </c>
      <c r="F15619" s="4">
        <f>IFERROR(__xludf.DUMMYFUNCTION("""COMPUTED_VALUE"""),5339.0)</f>
        <v>5339</v>
      </c>
      <c r="G15619" s="4">
        <f>IFERROR(__xludf.DUMMYFUNCTION("""COMPUTED_VALUE"""),35.0)</f>
        <v>35</v>
      </c>
      <c r="H15619" s="4"/>
      <c r="I15619" s="4"/>
    </row>
    <row r="15620">
      <c r="A15620" s="4" t="str">
        <f>IFERROR(__xludf.DUMMYFUNCTION("""COMPUTED_VALUE"""),"cas_hmw")</f>
        <v>cas_hmw</v>
      </c>
      <c r="B15620" s="5">
        <f>IFERROR(__xludf.DUMMYFUNCTION("""COMPUTED_VALUE"""),44729.0)</f>
        <v>44729</v>
      </c>
      <c r="C15620" s="6">
        <f>IFERROR(__xludf.DUMMYFUNCTION("""COMPUTED_VALUE"""),0.7476041666668607)</f>
        <v>0.7476041667</v>
      </c>
      <c r="D15620" s="4">
        <f>IFERROR(__xludf.DUMMYFUNCTION("""COMPUTED_VALUE"""),13.029533)</f>
        <v>13.029533</v>
      </c>
      <c r="E15620" s="4">
        <f>IFERROR(__xludf.DUMMYFUNCTION("""COMPUTED_VALUE"""),80.237123)</f>
        <v>80.237123</v>
      </c>
      <c r="F15620" s="4">
        <f>IFERROR(__xludf.DUMMYFUNCTION("""COMPUTED_VALUE"""),5339.0)</f>
        <v>5339</v>
      </c>
      <c r="G15620" s="4">
        <f>IFERROR(__xludf.DUMMYFUNCTION("""COMPUTED_VALUE"""),35.0)</f>
        <v>35</v>
      </c>
      <c r="H15620" s="4"/>
      <c r="I15620" s="4"/>
    </row>
    <row r="15621">
      <c r="A15621" s="4" t="str">
        <f>IFERROR(__xludf.DUMMYFUNCTION("""COMPUTED_VALUE"""),"cas_hmw")</f>
        <v>cas_hmw</v>
      </c>
      <c r="B15621" s="5">
        <f>IFERROR(__xludf.DUMMYFUNCTION("""COMPUTED_VALUE"""),44729.0)</f>
        <v>44729</v>
      </c>
      <c r="C15621" s="6">
        <f>IFERROR(__xludf.DUMMYFUNCTION("""COMPUTED_VALUE"""),0.7478819444440887)</f>
        <v>0.7478819444</v>
      </c>
      <c r="D15621" s="4">
        <f>IFERROR(__xludf.DUMMYFUNCTION("""COMPUTED_VALUE"""),13.030394)</f>
        <v>13.030394</v>
      </c>
      <c r="E15621" s="4">
        <f>IFERROR(__xludf.DUMMYFUNCTION("""COMPUTED_VALUE"""),80.238498)</f>
        <v>80.238498</v>
      </c>
      <c r="F15621" s="4">
        <f>IFERROR(__xludf.DUMMYFUNCTION("""COMPUTED_VALUE"""),5339.0)</f>
        <v>5339</v>
      </c>
      <c r="G15621" s="4">
        <f>IFERROR(__xludf.DUMMYFUNCTION("""COMPUTED_VALUE"""),23.0)</f>
        <v>23</v>
      </c>
      <c r="H15621" s="4"/>
      <c r="I15621" s="4"/>
    </row>
    <row r="15622">
      <c r="A15622" s="4" t="str">
        <f>IFERROR(__xludf.DUMMYFUNCTION("""COMPUTED_VALUE"""),"cas_hmw")</f>
        <v>cas_hmw</v>
      </c>
      <c r="B15622" s="5">
        <f>IFERROR(__xludf.DUMMYFUNCTION("""COMPUTED_VALUE"""),44729.0)</f>
        <v>44729</v>
      </c>
      <c r="C15622" s="6">
        <f>IFERROR(__xludf.DUMMYFUNCTION("""COMPUTED_VALUE"""),0.7479398148134351)</f>
        <v>0.7479398148</v>
      </c>
      <c r="D15622" s="4">
        <f>IFERROR(__xludf.DUMMYFUNCTION("""COMPUTED_VALUE"""),13.030394)</f>
        <v>13.030394</v>
      </c>
      <c r="E15622" s="4">
        <f>IFERROR(__xludf.DUMMYFUNCTION("""COMPUTED_VALUE"""),80.238498)</f>
        <v>80.238498</v>
      </c>
      <c r="F15622" s="4">
        <f>IFERROR(__xludf.DUMMYFUNCTION("""COMPUTED_VALUE"""),5339.0)</f>
        <v>5339</v>
      </c>
      <c r="G15622" s="4">
        <f>IFERROR(__xludf.DUMMYFUNCTION("""COMPUTED_VALUE"""),23.0)</f>
        <v>23</v>
      </c>
      <c r="H15622" s="4"/>
      <c r="I15622" s="4"/>
    </row>
    <row r="15623">
      <c r="A15623" s="4" t="str">
        <f>IFERROR(__xludf.DUMMYFUNCTION("""COMPUTED_VALUE"""),"cas_hmw")</f>
        <v>cas_hmw</v>
      </c>
      <c r="B15623" s="5">
        <f>IFERROR(__xludf.DUMMYFUNCTION("""COMPUTED_VALUE"""),44729.0)</f>
        <v>44729</v>
      </c>
      <c r="C15623" s="6">
        <f>IFERROR(__xludf.DUMMYFUNCTION("""COMPUTED_VALUE"""),0.7504629629620467)</f>
        <v>0.750462963</v>
      </c>
      <c r="D15623" s="4">
        <f>IFERROR(__xludf.DUMMYFUNCTION("""COMPUTED_VALUE"""),13.006883)</f>
        <v>13.006883</v>
      </c>
      <c r="E15623" s="4">
        <f>IFERROR(__xludf.DUMMYFUNCTION("""COMPUTED_VALUE"""),80.251173)</f>
        <v>80.251173</v>
      </c>
      <c r="F15623" s="4">
        <f>IFERROR(__xludf.DUMMYFUNCTION("""COMPUTED_VALUE"""),805.0)</f>
        <v>805</v>
      </c>
      <c r="G15623" s="4">
        <f>IFERROR(__xludf.DUMMYFUNCTION("""COMPUTED_VALUE"""),14.0)</f>
        <v>14</v>
      </c>
      <c r="H15623" s="4"/>
      <c r="I15623" s="4"/>
    </row>
    <row r="15624">
      <c r="A15624" s="4" t="str">
        <f>IFERROR(__xludf.DUMMYFUNCTION("""COMPUTED_VALUE"""),"cas_hmw")</f>
        <v>cas_hmw</v>
      </c>
      <c r="B15624" s="5">
        <f>IFERROR(__xludf.DUMMYFUNCTION("""COMPUTED_VALUE"""),44729.0)</f>
        <v>44729</v>
      </c>
      <c r="C15624" s="6">
        <f>IFERROR(__xludf.DUMMYFUNCTION("""COMPUTED_VALUE"""),0.7535648148150358)</f>
        <v>0.7535648148</v>
      </c>
      <c r="D15624" s="4">
        <f>IFERROR(__xludf.DUMMYFUNCTION("""COMPUTED_VALUE"""),13.039166)</f>
        <v>13.039166</v>
      </c>
      <c r="E15624" s="4">
        <f>IFERROR(__xludf.DUMMYFUNCTION("""COMPUTED_VALUE"""),80.246902)</f>
        <v>80.246902</v>
      </c>
      <c r="F15624" s="4">
        <f>IFERROR(__xludf.DUMMYFUNCTION("""COMPUTED_VALUE"""),5339.0)</f>
        <v>5339</v>
      </c>
      <c r="G15624" s="4">
        <f>IFERROR(__xludf.DUMMYFUNCTION("""COMPUTED_VALUE"""),21.0)</f>
        <v>21</v>
      </c>
      <c r="H15624" s="4"/>
      <c r="I15624" s="4"/>
    </row>
    <row r="15625">
      <c r="A15625" s="4" t="str">
        <f>IFERROR(__xludf.DUMMYFUNCTION("""COMPUTED_VALUE"""),"cas_hmw")</f>
        <v>cas_hmw</v>
      </c>
      <c r="B15625" s="5">
        <f>IFERROR(__xludf.DUMMYFUNCTION("""COMPUTED_VALUE"""),44729.0)</f>
        <v>44729</v>
      </c>
      <c r="C15625" s="6">
        <f>IFERROR(__xludf.DUMMYFUNCTION("""COMPUTED_VALUE"""),0.7538773148153268)</f>
        <v>0.7538773148</v>
      </c>
      <c r="D15625" s="4">
        <f>IFERROR(__xludf.DUMMYFUNCTION("""COMPUTED_VALUE"""),13.040656)</f>
        <v>13.040656</v>
      </c>
      <c r="E15625" s="4">
        <f>IFERROR(__xludf.DUMMYFUNCTION("""COMPUTED_VALUE"""),80.247163)</f>
        <v>80.247163</v>
      </c>
      <c r="F15625" s="4">
        <f>IFERROR(__xludf.DUMMYFUNCTION("""COMPUTED_VALUE"""),5339.0)</f>
        <v>5339</v>
      </c>
      <c r="G15625" s="4">
        <f>IFERROR(__xludf.DUMMYFUNCTION("""COMPUTED_VALUE"""),20.0)</f>
        <v>20</v>
      </c>
      <c r="H15625" s="4"/>
      <c r="I15625" s="4"/>
    </row>
    <row r="15626">
      <c r="A15626" s="4" t="str">
        <f>IFERROR(__xludf.DUMMYFUNCTION("""COMPUTED_VALUE"""),"cas_hmw")</f>
        <v>cas_hmw</v>
      </c>
      <c r="B15626" s="5">
        <f>IFERROR(__xludf.DUMMYFUNCTION("""COMPUTED_VALUE"""),44729.0)</f>
        <v>44729</v>
      </c>
      <c r="C15626" s="6">
        <f>IFERROR(__xludf.DUMMYFUNCTION("""COMPUTED_VALUE"""),0.7556597222210257)</f>
        <v>0.7556597222</v>
      </c>
      <c r="D15626" s="4">
        <f>IFERROR(__xludf.DUMMYFUNCTION("""COMPUTED_VALUE"""),13.047134)</f>
        <v>13.047134</v>
      </c>
      <c r="E15626" s="4">
        <f>IFERROR(__xludf.DUMMYFUNCTION("""COMPUTED_VALUE"""),80.248469)</f>
        <v>80.248469</v>
      </c>
      <c r="F15626" s="4">
        <f>IFERROR(__xludf.DUMMYFUNCTION("""COMPUTED_VALUE"""),5339.0)</f>
        <v>5339</v>
      </c>
      <c r="G15626" s="4">
        <f>IFERROR(__xludf.DUMMYFUNCTION("""COMPUTED_VALUE"""),25.0)</f>
        <v>25</v>
      </c>
      <c r="H15626" s="4"/>
      <c r="I15626" s="4"/>
    </row>
    <row r="15627">
      <c r="A15627" s="4" t="str">
        <f>IFERROR(__xludf.DUMMYFUNCTION("""COMPUTED_VALUE"""),"cas_hmw")</f>
        <v>cas_hmw</v>
      </c>
      <c r="B15627" s="5">
        <f>IFERROR(__xludf.DUMMYFUNCTION("""COMPUTED_VALUE"""),44729.0)</f>
        <v>44729</v>
      </c>
      <c r="C15627" s="6">
        <f>IFERROR(__xludf.DUMMYFUNCTION("""COMPUTED_VALUE"""),0.7557175925940101)</f>
        <v>0.7557175926</v>
      </c>
      <c r="D15627" s="4">
        <f>IFERROR(__xludf.DUMMYFUNCTION("""COMPUTED_VALUE"""),13.047134)</f>
        <v>13.047134</v>
      </c>
      <c r="E15627" s="4">
        <f>IFERROR(__xludf.DUMMYFUNCTION("""COMPUTED_VALUE"""),80.248469)</f>
        <v>80.248469</v>
      </c>
      <c r="F15627" s="4">
        <f>IFERROR(__xludf.DUMMYFUNCTION("""COMPUTED_VALUE"""),5339.0)</f>
        <v>5339</v>
      </c>
      <c r="G15627" s="4">
        <f>IFERROR(__xludf.DUMMYFUNCTION("""COMPUTED_VALUE"""),25.0)</f>
        <v>25</v>
      </c>
      <c r="H15627" s="4"/>
      <c r="I15627" s="4"/>
    </row>
    <row r="15628">
      <c r="A15628" s="4" t="str">
        <f>IFERROR(__xludf.DUMMYFUNCTION("""COMPUTED_VALUE"""),"cas_hmw")</f>
        <v>cas_hmw</v>
      </c>
      <c r="B15628" s="5">
        <f>IFERROR(__xludf.DUMMYFUNCTION("""COMPUTED_VALUE"""),44729.0)</f>
        <v>44729</v>
      </c>
      <c r="C15628" s="6">
        <f>IFERROR(__xludf.DUMMYFUNCTION("""COMPUTED_VALUE"""),0.7561689814829151)</f>
        <v>0.7561689815</v>
      </c>
      <c r="D15628" s="4">
        <f>IFERROR(__xludf.DUMMYFUNCTION("""COMPUTED_VALUE"""),13.051508)</f>
        <v>13.051508</v>
      </c>
      <c r="E15628" s="4">
        <f>IFERROR(__xludf.DUMMYFUNCTION("""COMPUTED_VALUE"""),80.250221)</f>
        <v>80.250221</v>
      </c>
      <c r="F15628" s="4">
        <f>IFERROR(__xludf.DUMMYFUNCTION("""COMPUTED_VALUE"""),5339.0)</f>
        <v>5339</v>
      </c>
      <c r="G15628" s="4">
        <f>IFERROR(__xludf.DUMMYFUNCTION("""COMPUTED_VALUE"""),34.0)</f>
        <v>34</v>
      </c>
      <c r="H15628" s="4"/>
      <c r="I15628" s="4"/>
    </row>
    <row r="15629">
      <c r="A15629" s="4" t="str">
        <f>IFERROR(__xludf.DUMMYFUNCTION("""COMPUTED_VALUE"""),"cas_hmw")</f>
        <v>cas_hmw</v>
      </c>
      <c r="B15629" s="5">
        <f>IFERROR(__xludf.DUMMYFUNCTION("""COMPUTED_VALUE"""),44729.0)</f>
        <v>44729</v>
      </c>
      <c r="C15629" s="6">
        <f>IFERROR(__xludf.DUMMYFUNCTION("""COMPUTED_VALUE"""),0.7573263888880319)</f>
        <v>0.7573263889</v>
      </c>
      <c r="D15629" s="4">
        <f>IFERROR(__xludf.DUMMYFUNCTION("""COMPUTED_VALUE"""),13.020255)</f>
        <v>13.020255</v>
      </c>
      <c r="E15629" s="4">
        <f>IFERROR(__xludf.DUMMYFUNCTION("""COMPUTED_VALUE"""),80.262546)</f>
        <v>80.262546</v>
      </c>
      <c r="F15629" s="4">
        <f>IFERROR(__xludf.DUMMYFUNCTION("""COMPUTED_VALUE"""),805.0)</f>
        <v>805</v>
      </c>
      <c r="G15629" s="4">
        <f>IFERROR(__xludf.DUMMYFUNCTION("""COMPUTED_VALUE"""),11.0)</f>
        <v>11</v>
      </c>
      <c r="H15629" s="4"/>
      <c r="I15629" s="4"/>
    </row>
    <row r="15630">
      <c r="A15630" s="4" t="str">
        <f>IFERROR(__xludf.DUMMYFUNCTION("""COMPUTED_VALUE"""),"cas_hmw")</f>
        <v>cas_hmw</v>
      </c>
      <c r="B15630" s="5">
        <f>IFERROR(__xludf.DUMMYFUNCTION("""COMPUTED_VALUE"""),44729.0)</f>
        <v>44729</v>
      </c>
      <c r="C15630" s="6">
        <f>IFERROR(__xludf.DUMMYFUNCTION("""COMPUTED_VALUE"""),0.7573495370379533)</f>
        <v>0.757349537</v>
      </c>
      <c r="D15630" s="4">
        <f>IFERROR(__xludf.DUMMYFUNCTION("""COMPUTED_VALUE"""),13.020898)</f>
        <v>13.020898</v>
      </c>
      <c r="E15630" s="4">
        <f>IFERROR(__xludf.DUMMYFUNCTION("""COMPUTED_VALUE"""),80.262834)</f>
        <v>80.262834</v>
      </c>
      <c r="F15630" s="4">
        <f>IFERROR(__xludf.DUMMYFUNCTION("""COMPUTED_VALUE"""),805.0)</f>
        <v>805</v>
      </c>
      <c r="G15630" s="4">
        <f>IFERROR(__xludf.DUMMYFUNCTION("""COMPUTED_VALUE"""),6.0)</f>
        <v>6</v>
      </c>
      <c r="H15630" s="4"/>
      <c r="I15630" s="4"/>
    </row>
    <row r="15631">
      <c r="A15631" s="4" t="str">
        <f>IFERROR(__xludf.DUMMYFUNCTION("""COMPUTED_VALUE"""),"cas_hmw")</f>
        <v>cas_hmw</v>
      </c>
      <c r="B15631" s="5">
        <f>IFERROR(__xludf.DUMMYFUNCTION("""COMPUTED_VALUE"""),44729.0)</f>
        <v>44729</v>
      </c>
      <c r="C15631" s="6">
        <f>IFERROR(__xludf.DUMMYFUNCTION("""COMPUTED_VALUE"""),0.7573842592610163)</f>
        <v>0.7573842593</v>
      </c>
      <c r="D15631" s="4">
        <f>IFERROR(__xludf.DUMMYFUNCTION("""COMPUTED_VALUE"""),13.020898)</f>
        <v>13.020898</v>
      </c>
      <c r="E15631" s="4">
        <f>IFERROR(__xludf.DUMMYFUNCTION("""COMPUTED_VALUE"""),80.262834)</f>
        <v>80.262834</v>
      </c>
      <c r="F15631" s="4">
        <f>IFERROR(__xludf.DUMMYFUNCTION("""COMPUTED_VALUE"""),805.0)</f>
        <v>805</v>
      </c>
      <c r="G15631" s="4">
        <f>IFERROR(__xludf.DUMMYFUNCTION("""COMPUTED_VALUE"""),6.0)</f>
        <v>6</v>
      </c>
      <c r="H15631" s="4"/>
      <c r="I15631" s="4"/>
    </row>
    <row r="15632">
      <c r="A15632" s="4" t="str">
        <f>IFERROR(__xludf.DUMMYFUNCTION("""COMPUTED_VALUE"""),"cas_hmw")</f>
        <v>cas_hmw</v>
      </c>
      <c r="B15632" s="5">
        <f>IFERROR(__xludf.DUMMYFUNCTION("""COMPUTED_VALUE"""),44729.0)</f>
        <v>44729</v>
      </c>
      <c r="C15632" s="6">
        <f>IFERROR(__xludf.DUMMYFUNCTION("""COMPUTED_VALUE"""),0.7649421296300716)</f>
        <v>0.7649421296</v>
      </c>
      <c r="D15632" s="4">
        <f>IFERROR(__xludf.DUMMYFUNCTION("""COMPUTED_VALUE"""),13.041843)</f>
        <v>13.041843</v>
      </c>
      <c r="E15632" s="4">
        <f>IFERROR(__xludf.DUMMYFUNCTION("""COMPUTED_VALUE"""),80.268137)</f>
        <v>80.268137</v>
      </c>
      <c r="F15632" s="4">
        <f>IFERROR(__xludf.DUMMYFUNCTION("""COMPUTED_VALUE"""),805.0)</f>
        <v>805</v>
      </c>
      <c r="G15632" s="4">
        <f>IFERROR(__xludf.DUMMYFUNCTION("""COMPUTED_VALUE"""),30.0)</f>
        <v>30</v>
      </c>
      <c r="H15632" s="4"/>
      <c r="I15632" s="4"/>
    </row>
    <row r="15633">
      <c r="A15633" s="4" t="str">
        <f>IFERROR(__xludf.DUMMYFUNCTION("""COMPUTED_VALUE"""),"cas_hmw")</f>
        <v>cas_hmw</v>
      </c>
      <c r="B15633" s="5">
        <f>IFERROR(__xludf.DUMMYFUNCTION("""COMPUTED_VALUE"""),44729.0)</f>
        <v>44729</v>
      </c>
      <c r="C15633" s="6">
        <f>IFERROR(__xludf.DUMMYFUNCTION("""COMPUTED_VALUE"""),0.7684259259258397)</f>
        <v>0.7684259259</v>
      </c>
      <c r="D15633" s="4">
        <f>IFERROR(__xludf.DUMMYFUNCTION("""COMPUTED_VALUE"""),12.501234)</f>
        <v>12.501234</v>
      </c>
      <c r="E15633" s="4">
        <f>IFERROR(__xludf.DUMMYFUNCTION("""COMPUTED_VALUE"""),79.876329)</f>
        <v>79.876329</v>
      </c>
      <c r="F15633" s="4">
        <f>IFERROR(__xludf.DUMMYFUNCTION("""COMPUTED_VALUE"""),2846.0)</f>
        <v>2846</v>
      </c>
      <c r="G15633" s="4">
        <f>IFERROR(__xludf.DUMMYFUNCTION("""COMPUTED_VALUE"""),53.0)</f>
        <v>53</v>
      </c>
      <c r="H15633" s="4"/>
      <c r="I15633" s="4"/>
    </row>
    <row r="15634">
      <c r="A15634" s="4" t="str">
        <f>IFERROR(__xludf.DUMMYFUNCTION("""COMPUTED_VALUE"""),"cas_hmw")</f>
        <v>cas_hmw</v>
      </c>
      <c r="B15634" s="5">
        <f>IFERROR(__xludf.DUMMYFUNCTION("""COMPUTED_VALUE"""),44729.0)</f>
        <v>44729</v>
      </c>
      <c r="C15634" s="6">
        <f>IFERROR(__xludf.DUMMYFUNCTION("""COMPUTED_VALUE"""),0.7690740740727051)</f>
        <v>0.7690740741</v>
      </c>
      <c r="D15634" s="4">
        <f>IFERROR(__xludf.DUMMYFUNCTION("""COMPUTED_VALUE"""),13.067221)</f>
        <v>13.067221</v>
      </c>
      <c r="E15634" s="4">
        <f>IFERROR(__xludf.DUMMYFUNCTION("""COMPUTED_VALUE"""),80.273019)</f>
        <v>80.273019</v>
      </c>
      <c r="F15634" s="4">
        <f>IFERROR(__xludf.DUMMYFUNCTION("""COMPUTED_VALUE"""),5339.0)</f>
        <v>5339</v>
      </c>
      <c r="G15634" s="4">
        <f>IFERROR(__xludf.DUMMYFUNCTION("""COMPUTED_VALUE"""),25.0)</f>
        <v>25</v>
      </c>
      <c r="H15634" s="4"/>
      <c r="I15634" s="4"/>
    </row>
    <row r="15635">
      <c r="A15635" s="4" t="str">
        <f>IFERROR(__xludf.DUMMYFUNCTION("""COMPUTED_VALUE"""),"cas_hmw")</f>
        <v>cas_hmw</v>
      </c>
      <c r="B15635" s="5">
        <f>IFERROR(__xludf.DUMMYFUNCTION("""COMPUTED_VALUE"""),44729.0)</f>
        <v>44729</v>
      </c>
      <c r="C15635" s="6">
        <f>IFERROR(__xludf.DUMMYFUNCTION("""COMPUTED_VALUE"""),0.7690856481494848)</f>
        <v>0.7690856481</v>
      </c>
      <c r="D15635" s="4">
        <f>IFERROR(__xludf.DUMMYFUNCTION("""COMPUTED_VALUE"""),13.067221)</f>
        <v>13.067221</v>
      </c>
      <c r="E15635" s="4">
        <f>IFERROR(__xludf.DUMMYFUNCTION("""COMPUTED_VALUE"""),80.273019)</f>
        <v>80.273019</v>
      </c>
      <c r="F15635" s="4">
        <f>IFERROR(__xludf.DUMMYFUNCTION("""COMPUTED_VALUE"""),5339.0)</f>
        <v>5339</v>
      </c>
      <c r="G15635" s="4">
        <f>IFERROR(__xludf.DUMMYFUNCTION("""COMPUTED_VALUE"""),25.0)</f>
        <v>25</v>
      </c>
      <c r="H15635" s="4"/>
      <c r="I15635" s="4"/>
    </row>
    <row r="15636">
      <c r="A15636" s="4" t="str">
        <f>IFERROR(__xludf.DUMMYFUNCTION("""COMPUTED_VALUE"""),"cas_hmw")</f>
        <v>cas_hmw</v>
      </c>
      <c r="B15636" s="5">
        <f>IFERROR(__xludf.DUMMYFUNCTION("""COMPUTED_VALUE"""),44729.0)</f>
        <v>44729</v>
      </c>
      <c r="C15636" s="6">
        <f>IFERROR(__xludf.DUMMYFUNCTION("""COMPUTED_VALUE"""),0.7690972222226264)</f>
        <v>0.7690972222</v>
      </c>
      <c r="D15636" s="4">
        <f>IFERROR(__xludf.DUMMYFUNCTION("""COMPUTED_VALUE"""),13.067221)</f>
        <v>13.067221</v>
      </c>
      <c r="E15636" s="4">
        <f>IFERROR(__xludf.DUMMYFUNCTION("""COMPUTED_VALUE"""),80.273019)</f>
        <v>80.273019</v>
      </c>
      <c r="F15636" s="4">
        <f>IFERROR(__xludf.DUMMYFUNCTION("""COMPUTED_VALUE"""),5339.0)</f>
        <v>5339</v>
      </c>
      <c r="G15636" s="4">
        <f>IFERROR(__xludf.DUMMYFUNCTION("""COMPUTED_VALUE"""),25.0)</f>
        <v>25</v>
      </c>
      <c r="H15636" s="4"/>
      <c r="I15636" s="4"/>
    </row>
    <row r="15637">
      <c r="A15637" s="4" t="str">
        <f>IFERROR(__xludf.DUMMYFUNCTION("""COMPUTED_VALUE"""),"cas_hmw")</f>
        <v>cas_hmw</v>
      </c>
      <c r="B15637" s="5">
        <f>IFERROR(__xludf.DUMMYFUNCTION("""COMPUTED_VALUE"""),44729.0)</f>
        <v>44729</v>
      </c>
      <c r="C15637" s="6">
        <f>IFERROR(__xludf.DUMMYFUNCTION("""COMPUTED_VALUE"""),0.7691666666651145)</f>
        <v>0.7691666667</v>
      </c>
      <c r="D15637" s="4">
        <f>IFERROR(__xludf.DUMMYFUNCTION("""COMPUTED_VALUE"""),13.067699)</f>
        <v>13.067699</v>
      </c>
      <c r="E15637" s="4">
        <f>IFERROR(__xludf.DUMMYFUNCTION("""COMPUTED_VALUE"""),80.272458)</f>
        <v>80.272458</v>
      </c>
      <c r="F15637" s="4">
        <f>IFERROR(__xludf.DUMMYFUNCTION("""COMPUTED_VALUE"""),5339.0)</f>
        <v>5339</v>
      </c>
      <c r="G15637" s="4">
        <f>IFERROR(__xludf.DUMMYFUNCTION("""COMPUTED_VALUE"""),25.0)</f>
        <v>25</v>
      </c>
      <c r="H15637" s="4"/>
      <c r="I15637" s="4"/>
    </row>
    <row r="15638">
      <c r="A15638" s="4" t="str">
        <f>IFERROR(__xludf.DUMMYFUNCTION("""COMPUTED_VALUE"""),"cas_hmw")</f>
        <v>cas_hmw</v>
      </c>
      <c r="B15638" s="5">
        <f>IFERROR(__xludf.DUMMYFUNCTION("""COMPUTED_VALUE"""),44729.0)</f>
        <v>44729</v>
      </c>
      <c r="C15638" s="6">
        <f>IFERROR(__xludf.DUMMYFUNCTION("""COMPUTED_VALUE"""),0.7691782407418941)</f>
        <v>0.7691782407</v>
      </c>
      <c r="D15638" s="4">
        <f>IFERROR(__xludf.DUMMYFUNCTION("""COMPUTED_VALUE"""),13.067699)</f>
        <v>13.067699</v>
      </c>
      <c r="E15638" s="4">
        <f>IFERROR(__xludf.DUMMYFUNCTION("""COMPUTED_VALUE"""),80.272458)</f>
        <v>80.272458</v>
      </c>
      <c r="F15638" s="4">
        <f>IFERROR(__xludf.DUMMYFUNCTION("""COMPUTED_VALUE"""),5339.0)</f>
        <v>5339</v>
      </c>
      <c r="G15638" s="4">
        <f>IFERROR(__xludf.DUMMYFUNCTION("""COMPUTED_VALUE"""),25.0)</f>
        <v>25</v>
      </c>
      <c r="H15638" s="4"/>
      <c r="I15638" s="4"/>
    </row>
    <row r="15639">
      <c r="A15639" s="4" t="str">
        <f>IFERROR(__xludf.DUMMYFUNCTION("""COMPUTED_VALUE"""),"cas_hmw")</f>
        <v>cas_hmw</v>
      </c>
      <c r="B15639" s="5">
        <f>IFERROR(__xludf.DUMMYFUNCTION("""COMPUTED_VALUE"""),44729.0)</f>
        <v>44729</v>
      </c>
      <c r="C15639" s="6">
        <f>IFERROR(__xludf.DUMMYFUNCTION("""COMPUTED_VALUE"""),0.7769097222226264)</f>
        <v>0.7769097222</v>
      </c>
      <c r="D15639" s="4">
        <f>IFERROR(__xludf.DUMMYFUNCTION("""COMPUTED_VALUE"""),13.066827)</f>
        <v>13.066827</v>
      </c>
      <c r="E15639" s="4">
        <f>IFERROR(__xludf.DUMMYFUNCTION("""COMPUTED_VALUE"""),80.254071)</f>
        <v>80.254071</v>
      </c>
      <c r="F15639" s="4">
        <f>IFERROR(__xludf.DUMMYFUNCTION("""COMPUTED_VALUE"""),5339.0)</f>
        <v>5339</v>
      </c>
      <c r="G15639" s="4">
        <f>IFERROR(__xludf.DUMMYFUNCTION("""COMPUTED_VALUE"""),24.0)</f>
        <v>24</v>
      </c>
      <c r="H15639" s="4"/>
      <c r="I15639" s="4"/>
    </row>
    <row r="15640">
      <c r="A15640" s="4" t="str">
        <f>IFERROR(__xludf.DUMMYFUNCTION("""COMPUTED_VALUE"""),"cas_hmw")</f>
        <v>cas_hmw</v>
      </c>
      <c r="B15640" s="5">
        <f>IFERROR(__xludf.DUMMYFUNCTION("""COMPUTED_VALUE"""),44729.0)</f>
        <v>44729</v>
      </c>
      <c r="C15640" s="6">
        <f>IFERROR(__xludf.DUMMYFUNCTION("""COMPUTED_VALUE"""),0.7769212962957681)</f>
        <v>0.7769212963</v>
      </c>
      <c r="D15640" s="4">
        <f>IFERROR(__xludf.DUMMYFUNCTION("""COMPUTED_VALUE"""),13.066827)</f>
        <v>13.066827</v>
      </c>
      <c r="E15640" s="4">
        <f>IFERROR(__xludf.DUMMYFUNCTION("""COMPUTED_VALUE"""),80.254071)</f>
        <v>80.254071</v>
      </c>
      <c r="F15640" s="4">
        <f>IFERROR(__xludf.DUMMYFUNCTION("""COMPUTED_VALUE"""),5339.0)</f>
        <v>5339</v>
      </c>
      <c r="G15640" s="4">
        <f>IFERROR(__xludf.DUMMYFUNCTION("""COMPUTED_VALUE"""),24.0)</f>
        <v>24</v>
      </c>
      <c r="H15640" s="4"/>
      <c r="I15640" s="4"/>
    </row>
    <row r="15641">
      <c r="A15641" s="4" t="str">
        <f>IFERROR(__xludf.DUMMYFUNCTION("""COMPUTED_VALUE"""),"cas_hmw")</f>
        <v>cas_hmw</v>
      </c>
      <c r="B15641" s="5">
        <f>IFERROR(__xludf.DUMMYFUNCTION("""COMPUTED_VALUE"""),44729.0)</f>
        <v>44729</v>
      </c>
      <c r="C15641" s="6">
        <f>IFERROR(__xludf.DUMMYFUNCTION("""COMPUTED_VALUE"""),0.7769444444456894)</f>
        <v>0.7769444444</v>
      </c>
      <c r="D15641" s="4">
        <f>IFERROR(__xludf.DUMMYFUNCTION("""COMPUTED_VALUE"""),13.066827)</f>
        <v>13.066827</v>
      </c>
      <c r="E15641" s="4">
        <f>IFERROR(__xludf.DUMMYFUNCTION("""COMPUTED_VALUE"""),80.254071)</f>
        <v>80.254071</v>
      </c>
      <c r="F15641" s="4">
        <f>IFERROR(__xludf.DUMMYFUNCTION("""COMPUTED_VALUE"""),5339.0)</f>
        <v>5339</v>
      </c>
      <c r="G15641" s="4">
        <f>IFERROR(__xludf.DUMMYFUNCTION("""COMPUTED_VALUE"""),24.0)</f>
        <v>24</v>
      </c>
      <c r="H15641" s="4"/>
      <c r="I15641" s="4"/>
    </row>
    <row r="15642">
      <c r="A15642" s="4" t="str">
        <f>IFERROR(__xludf.DUMMYFUNCTION("""COMPUTED_VALUE"""),"cas_hmw")</f>
        <v>cas_hmw</v>
      </c>
      <c r="B15642" s="5">
        <f>IFERROR(__xludf.DUMMYFUNCTION("""COMPUTED_VALUE"""),44729.0)</f>
        <v>44729</v>
      </c>
      <c r="C15642" s="6">
        <f>IFERROR(__xludf.DUMMYFUNCTION("""COMPUTED_VALUE"""),0.7770717592575238)</f>
        <v>0.7770717593</v>
      </c>
      <c r="D15642" s="4">
        <f>IFERROR(__xludf.DUMMYFUNCTION("""COMPUTED_VALUE"""),13.067269)</f>
        <v>13.067269</v>
      </c>
      <c r="E15642" s="4">
        <f>IFERROR(__xludf.DUMMYFUNCTION("""COMPUTED_VALUE"""),80.2537)</f>
        <v>80.2537</v>
      </c>
      <c r="F15642" s="4">
        <f>IFERROR(__xludf.DUMMYFUNCTION("""COMPUTED_VALUE"""),5339.0)</f>
        <v>5339</v>
      </c>
      <c r="G15642" s="4">
        <f>IFERROR(__xludf.DUMMYFUNCTION("""COMPUTED_VALUE"""),26.0)</f>
        <v>26</v>
      </c>
      <c r="H15642" s="4"/>
      <c r="I15642" s="4"/>
    </row>
    <row r="15643">
      <c r="A15643" s="4" t="str">
        <f>IFERROR(__xludf.DUMMYFUNCTION("""COMPUTED_VALUE"""),"cas_hmw")</f>
        <v>cas_hmw</v>
      </c>
      <c r="B15643" s="5">
        <f>IFERROR(__xludf.DUMMYFUNCTION("""COMPUTED_VALUE"""),44729.0)</f>
        <v>44729</v>
      </c>
      <c r="C15643" s="6">
        <f>IFERROR(__xludf.DUMMYFUNCTION("""COMPUTED_VALUE"""),0.7770833333343035)</f>
        <v>0.7770833333</v>
      </c>
      <c r="D15643" s="4">
        <f>IFERROR(__xludf.DUMMYFUNCTION("""COMPUTED_VALUE"""),13.067269)</f>
        <v>13.067269</v>
      </c>
      <c r="E15643" s="4">
        <f>IFERROR(__xludf.DUMMYFUNCTION("""COMPUTED_VALUE"""),80.2537)</f>
        <v>80.2537</v>
      </c>
      <c r="F15643" s="4">
        <f>IFERROR(__xludf.DUMMYFUNCTION("""COMPUTED_VALUE"""),5339.0)</f>
        <v>5339</v>
      </c>
      <c r="G15643" s="4">
        <f>IFERROR(__xludf.DUMMYFUNCTION("""COMPUTED_VALUE"""),26.0)</f>
        <v>26</v>
      </c>
      <c r="H15643" s="4"/>
      <c r="I15643" s="4"/>
    </row>
    <row r="15644">
      <c r="A15644" s="4" t="str">
        <f>IFERROR(__xludf.DUMMYFUNCTION("""COMPUTED_VALUE"""),"cas_hmw")</f>
        <v>cas_hmw</v>
      </c>
      <c r="B15644" s="5">
        <f>IFERROR(__xludf.DUMMYFUNCTION("""COMPUTED_VALUE"""),44729.0)</f>
        <v>44729</v>
      </c>
      <c r="C15644" s="6">
        <f>IFERROR(__xludf.DUMMYFUNCTION("""COMPUTED_VALUE"""),0.7770833333343035)</f>
        <v>0.7770833333</v>
      </c>
      <c r="D15644" s="4">
        <f>IFERROR(__xludf.DUMMYFUNCTION("""COMPUTED_VALUE"""),13.067269)</f>
        <v>13.067269</v>
      </c>
      <c r="E15644" s="4">
        <f>IFERROR(__xludf.DUMMYFUNCTION("""COMPUTED_VALUE"""),80.2537)</f>
        <v>80.2537</v>
      </c>
      <c r="F15644" s="4">
        <f>IFERROR(__xludf.DUMMYFUNCTION("""COMPUTED_VALUE"""),5339.0)</f>
        <v>5339</v>
      </c>
      <c r="G15644" s="4">
        <f>IFERROR(__xludf.DUMMYFUNCTION("""COMPUTED_VALUE"""),26.0)</f>
        <v>26</v>
      </c>
      <c r="H15644" s="4"/>
      <c r="I15644" s="4"/>
    </row>
    <row r="15645">
      <c r="A15645" s="4" t="str">
        <f>IFERROR(__xludf.DUMMYFUNCTION("""COMPUTED_VALUE"""),"cas_hmw")</f>
        <v>cas_hmw</v>
      </c>
      <c r="B15645" s="5">
        <f>IFERROR(__xludf.DUMMYFUNCTION("""COMPUTED_VALUE"""),44729.0)</f>
        <v>44729</v>
      </c>
      <c r="C15645" s="6">
        <f>IFERROR(__xludf.DUMMYFUNCTION("""COMPUTED_VALUE"""),0.7770949074074451)</f>
        <v>0.7770949074</v>
      </c>
      <c r="D15645" s="4">
        <f>IFERROR(__xludf.DUMMYFUNCTION("""COMPUTED_VALUE"""),13.067269)</f>
        <v>13.067269</v>
      </c>
      <c r="E15645" s="4">
        <f>IFERROR(__xludf.DUMMYFUNCTION("""COMPUTED_VALUE"""),80.2537)</f>
        <v>80.2537</v>
      </c>
      <c r="F15645" s="4">
        <f>IFERROR(__xludf.DUMMYFUNCTION("""COMPUTED_VALUE"""),5339.0)</f>
        <v>5339</v>
      </c>
      <c r="G15645" s="4">
        <f>IFERROR(__xludf.DUMMYFUNCTION("""COMPUTED_VALUE"""),26.0)</f>
        <v>26</v>
      </c>
      <c r="H15645" s="4"/>
      <c r="I15645" s="4"/>
    </row>
    <row r="15646">
      <c r="A15646" s="4" t="str">
        <f>IFERROR(__xludf.DUMMYFUNCTION("""COMPUTED_VALUE"""),"cas_hmw")</f>
        <v>cas_hmw</v>
      </c>
      <c r="B15646" s="5">
        <f>IFERROR(__xludf.DUMMYFUNCTION("""COMPUTED_VALUE"""),44729.0)</f>
        <v>44729</v>
      </c>
      <c r="C15646" s="6">
        <f>IFERROR(__xludf.DUMMYFUNCTION("""COMPUTED_VALUE"""),0.7838773148141627)</f>
        <v>0.7838773148</v>
      </c>
      <c r="D15646" s="4">
        <f>IFERROR(__xludf.DUMMYFUNCTION("""COMPUTED_VALUE"""),12.616397)</f>
        <v>12.616397</v>
      </c>
      <c r="E15646" s="4">
        <f>IFERROR(__xludf.DUMMYFUNCTION("""COMPUTED_VALUE"""),79.926086)</f>
        <v>79.926086</v>
      </c>
      <c r="F15646" s="4">
        <f>IFERROR(__xludf.DUMMYFUNCTION("""COMPUTED_VALUE"""),2846.0)</f>
        <v>2846</v>
      </c>
      <c r="G15646" s="4">
        <f>IFERROR(__xludf.DUMMYFUNCTION("""COMPUTED_VALUE"""),39.0)</f>
        <v>39</v>
      </c>
      <c r="H15646" s="4"/>
      <c r="I15646" s="4"/>
    </row>
    <row r="15647">
      <c r="A15647" s="4" t="str">
        <f>IFERROR(__xludf.DUMMYFUNCTION("""COMPUTED_VALUE"""),"cas_hmw")</f>
        <v>cas_hmw</v>
      </c>
      <c r="B15647" s="5">
        <f>IFERROR(__xludf.DUMMYFUNCTION("""COMPUTED_VALUE"""),44729.0)</f>
        <v>44729</v>
      </c>
      <c r="C15647" s="6">
        <f>IFERROR(__xludf.DUMMYFUNCTION("""COMPUTED_VALUE"""),0.7963888888880319)</f>
        <v>0.7963888889</v>
      </c>
      <c r="D15647" s="4">
        <f>IFERROR(__xludf.DUMMYFUNCTION("""COMPUTED_VALUE"""),12.706798)</f>
        <v>12.706798</v>
      </c>
      <c r="E15647" s="4">
        <f>IFERROR(__xludf.DUMMYFUNCTION("""COMPUTED_VALUE"""),79.975906)</f>
        <v>79.975906</v>
      </c>
      <c r="F15647" s="4">
        <f>IFERROR(__xludf.DUMMYFUNCTION("""COMPUTED_VALUE"""),2846.0)</f>
        <v>2846</v>
      </c>
      <c r="G15647" s="4">
        <f>IFERROR(__xludf.DUMMYFUNCTION("""COMPUTED_VALUE"""),52.0)</f>
        <v>52</v>
      </c>
      <c r="H15647" s="4"/>
      <c r="I15647" s="4"/>
    </row>
    <row r="15648">
      <c r="A15648" s="4" t="str">
        <f>IFERROR(__xludf.DUMMYFUNCTION("""COMPUTED_VALUE"""),"cas_hmw")</f>
        <v>cas_hmw</v>
      </c>
      <c r="B15648" s="5">
        <f>IFERROR(__xludf.DUMMYFUNCTION("""COMPUTED_VALUE"""),44729.0)</f>
        <v>44729</v>
      </c>
      <c r="C15648" s="6">
        <f>IFERROR(__xludf.DUMMYFUNCTION("""COMPUTED_VALUE"""),0.8005787037036498)</f>
        <v>0.8005787037</v>
      </c>
      <c r="D15648" s="4">
        <f>IFERROR(__xludf.DUMMYFUNCTION("""COMPUTED_VALUE"""),12.737328)</f>
        <v>12.737328</v>
      </c>
      <c r="E15648" s="4">
        <f>IFERROR(__xludf.DUMMYFUNCTION("""COMPUTED_VALUE"""),79.987757)</f>
        <v>79.987757</v>
      </c>
      <c r="F15648" s="4">
        <f>IFERROR(__xludf.DUMMYFUNCTION("""COMPUTED_VALUE"""),2846.0)</f>
        <v>2846</v>
      </c>
      <c r="G15648" s="4">
        <f>IFERROR(__xludf.DUMMYFUNCTION("""COMPUTED_VALUE"""),42.0)</f>
        <v>42</v>
      </c>
      <c r="H15648" s="4"/>
      <c r="I15648" s="4"/>
    </row>
    <row r="15649">
      <c r="A15649" s="4" t="str">
        <f>IFERROR(__xludf.DUMMYFUNCTION("""COMPUTED_VALUE"""),"cas_hmw")</f>
        <v>cas_hmw</v>
      </c>
      <c r="B15649" s="5">
        <f>IFERROR(__xludf.DUMMYFUNCTION("""COMPUTED_VALUE"""),44729.0)</f>
        <v>44729</v>
      </c>
      <c r="C15649" s="6">
        <f>IFERROR(__xludf.DUMMYFUNCTION("""COMPUTED_VALUE"""),0.8042824074072996)</f>
        <v>0.8042824074</v>
      </c>
      <c r="D15649" s="4">
        <f>IFERROR(__xludf.DUMMYFUNCTION("""COMPUTED_VALUE"""),12.76088)</f>
        <v>12.76088</v>
      </c>
      <c r="E15649" s="4">
        <f>IFERROR(__xludf.DUMMYFUNCTION("""COMPUTED_VALUE"""),80.003407)</f>
        <v>80.003407</v>
      </c>
      <c r="F15649" s="4">
        <f>IFERROR(__xludf.DUMMYFUNCTION("""COMPUTED_VALUE"""),2846.0)</f>
        <v>2846</v>
      </c>
      <c r="G15649" s="4">
        <f>IFERROR(__xludf.DUMMYFUNCTION("""COMPUTED_VALUE"""),34.0)</f>
        <v>34</v>
      </c>
      <c r="H15649" s="4"/>
      <c r="I15649" s="4"/>
    </row>
    <row r="15650">
      <c r="A15650" s="4" t="str">
        <f>IFERROR(__xludf.DUMMYFUNCTION("""COMPUTED_VALUE"""),"cas_hmw")</f>
        <v>cas_hmw</v>
      </c>
      <c r="B15650" s="5">
        <f>IFERROR(__xludf.DUMMYFUNCTION("""COMPUTED_VALUE"""),44729.0)</f>
        <v>44729</v>
      </c>
      <c r="C15650" s="6">
        <f>IFERROR(__xludf.DUMMYFUNCTION("""COMPUTED_VALUE"""),0.8049421296309447)</f>
        <v>0.8049421296</v>
      </c>
      <c r="D15650" s="4">
        <f>IFERROR(__xludf.DUMMYFUNCTION("""COMPUTED_VALUE"""),13.065254)</f>
        <v>13.065254</v>
      </c>
      <c r="E15650" s="4">
        <f>IFERROR(__xludf.DUMMYFUNCTION("""COMPUTED_VALUE"""),80.240816)</f>
        <v>80.240816</v>
      </c>
      <c r="F15650" s="4">
        <f>IFERROR(__xludf.DUMMYFUNCTION("""COMPUTED_VALUE"""),805.0)</f>
        <v>805</v>
      </c>
      <c r="G15650" s="4">
        <f>IFERROR(__xludf.DUMMYFUNCTION("""COMPUTED_VALUE"""),24.0)</f>
        <v>24</v>
      </c>
      <c r="H15650" s="4"/>
      <c r="I15650" s="4"/>
    </row>
    <row r="15651">
      <c r="A15651" s="4" t="str">
        <f>IFERROR(__xludf.DUMMYFUNCTION("""COMPUTED_VALUE"""),"cas_hmw")</f>
        <v>cas_hmw</v>
      </c>
      <c r="B15651" s="5">
        <f>IFERROR(__xludf.DUMMYFUNCTION("""COMPUTED_VALUE"""),44729.0)</f>
        <v>44729</v>
      </c>
      <c r="C15651" s="6">
        <f>IFERROR(__xludf.DUMMYFUNCTION("""COMPUTED_VALUE"""),0.8068171296290529)</f>
        <v>0.8068171296</v>
      </c>
      <c r="D15651" s="4">
        <f>IFERROR(__xludf.DUMMYFUNCTION("""COMPUTED_VALUE"""),12.781686)</f>
        <v>12.781686</v>
      </c>
      <c r="E15651" s="4">
        <f>IFERROR(__xludf.DUMMYFUNCTION("""COMPUTED_VALUE"""),80.01241)</f>
        <v>80.01241</v>
      </c>
      <c r="F15651" s="4">
        <f>IFERROR(__xludf.DUMMYFUNCTION("""COMPUTED_VALUE"""),2846.0)</f>
        <v>2846</v>
      </c>
      <c r="G15651" s="4">
        <f>IFERROR(__xludf.DUMMYFUNCTION("""COMPUTED_VALUE"""),50.0)</f>
        <v>50</v>
      </c>
      <c r="H15651" s="4"/>
      <c r="I15651" s="4"/>
    </row>
    <row r="15652">
      <c r="A15652" s="4" t="str">
        <f>IFERROR(__xludf.DUMMYFUNCTION("""COMPUTED_VALUE"""),"cas_hmw")</f>
        <v>cas_hmw</v>
      </c>
      <c r="B15652" s="5">
        <f>IFERROR(__xludf.DUMMYFUNCTION("""COMPUTED_VALUE"""),44729.0)</f>
        <v>44729</v>
      </c>
      <c r="C15652" s="6">
        <f>IFERROR(__xludf.DUMMYFUNCTION("""COMPUTED_VALUE"""),0.8111111111102218)</f>
        <v>0.8111111111</v>
      </c>
      <c r="D15652" s="4">
        <f>IFERROR(__xludf.DUMMYFUNCTION("""COMPUTED_VALUE"""),12.818464)</f>
        <v>12.818464</v>
      </c>
      <c r="E15652" s="4">
        <f>IFERROR(__xludf.DUMMYFUNCTION("""COMPUTED_VALUE"""),80.035526)</f>
        <v>80.035526</v>
      </c>
      <c r="F15652" s="4">
        <f>IFERROR(__xludf.DUMMYFUNCTION("""COMPUTED_VALUE"""),2846.0)</f>
        <v>2846</v>
      </c>
      <c r="G15652" s="4">
        <f>IFERROR(__xludf.DUMMYFUNCTION("""COMPUTED_VALUE"""),32.0)</f>
        <v>32</v>
      </c>
      <c r="H15652" s="4"/>
      <c r="I15652" s="4"/>
    </row>
    <row r="15653">
      <c r="A15653" s="4" t="str">
        <f>IFERROR(__xludf.DUMMYFUNCTION("""COMPUTED_VALUE"""),"cas_hmw")</f>
        <v>cas_hmw</v>
      </c>
      <c r="B15653" s="5">
        <f>IFERROR(__xludf.DUMMYFUNCTION("""COMPUTED_VALUE"""),44729.0)</f>
        <v>44729</v>
      </c>
      <c r="C15653" s="6">
        <f>IFERROR(__xludf.DUMMYFUNCTION("""COMPUTED_VALUE"""),0.8159722222226264)</f>
        <v>0.8159722222</v>
      </c>
      <c r="D15653" s="4">
        <f>IFERROR(__xludf.DUMMYFUNCTION("""COMPUTED_VALUE"""),12.851302)</f>
        <v>12.851302</v>
      </c>
      <c r="E15653" s="4">
        <f>IFERROR(__xludf.DUMMYFUNCTION("""COMPUTED_VALUE"""),80.065597)</f>
        <v>80.065597</v>
      </c>
      <c r="F15653" s="4">
        <f>IFERROR(__xludf.DUMMYFUNCTION("""COMPUTED_VALUE"""),2846.0)</f>
        <v>2846</v>
      </c>
      <c r="G15653" s="4">
        <f>IFERROR(__xludf.DUMMYFUNCTION("""COMPUTED_VALUE"""),43.0)</f>
        <v>43</v>
      </c>
      <c r="H15653" s="4"/>
      <c r="I15653" s="4"/>
    </row>
    <row r="15654">
      <c r="A15654" s="4" t="str">
        <f>IFERROR(__xludf.DUMMYFUNCTION("""COMPUTED_VALUE"""),"cas_hmw")</f>
        <v>cas_hmw</v>
      </c>
      <c r="B15654" s="5">
        <f>IFERROR(__xludf.DUMMYFUNCTION("""COMPUTED_VALUE"""),44729.0)</f>
        <v>44729</v>
      </c>
      <c r="C15654" s="6">
        <f>IFERROR(__xludf.DUMMYFUNCTION("""COMPUTED_VALUE"""),0.817384259258688)</f>
        <v>0.8173842593</v>
      </c>
      <c r="D15654" s="4">
        <f>IFERROR(__xludf.DUMMYFUNCTION("""COMPUTED_VALUE"""),13.074573)</f>
        <v>13.074573</v>
      </c>
      <c r="E15654" s="4">
        <f>IFERROR(__xludf.DUMMYFUNCTION("""COMPUTED_VALUE"""),80.218654)</f>
        <v>80.218654</v>
      </c>
      <c r="F15654" s="4">
        <f>IFERROR(__xludf.DUMMYFUNCTION("""COMPUTED_VALUE"""),805.0)</f>
        <v>805</v>
      </c>
      <c r="G15654" s="4">
        <f>IFERROR(__xludf.DUMMYFUNCTION("""COMPUTED_VALUE"""),26.0)</f>
        <v>26</v>
      </c>
      <c r="H15654" s="4"/>
      <c r="I15654" s="4"/>
    </row>
    <row r="15655">
      <c r="A15655" s="4" t="str">
        <f>IFERROR(__xludf.DUMMYFUNCTION("""COMPUTED_VALUE"""),"cas_hmw")</f>
        <v>cas_hmw</v>
      </c>
      <c r="B15655" s="5">
        <f>IFERROR(__xludf.DUMMYFUNCTION("""COMPUTED_VALUE"""),44729.0)</f>
        <v>44729</v>
      </c>
      <c r="C15655" s="6">
        <f>IFERROR(__xludf.DUMMYFUNCTION("""COMPUTED_VALUE"""),0.8203125)</f>
        <v>0.8203125</v>
      </c>
      <c r="D15655" s="4">
        <f>IFERROR(__xludf.DUMMYFUNCTION("""COMPUTED_VALUE"""),13.077018)</f>
        <v>13.077018</v>
      </c>
      <c r="E15655" s="4">
        <f>IFERROR(__xludf.DUMMYFUNCTION("""COMPUTED_VALUE"""),80.208071)</f>
        <v>80.208071</v>
      </c>
      <c r="F15655" s="4">
        <f>IFERROR(__xludf.DUMMYFUNCTION("""COMPUTED_VALUE"""),805.0)</f>
        <v>805</v>
      </c>
      <c r="G15655" s="4">
        <f>IFERROR(__xludf.DUMMYFUNCTION("""COMPUTED_VALUE"""),18.0)</f>
        <v>18</v>
      </c>
      <c r="H15655" s="4"/>
      <c r="I15655" s="4"/>
    </row>
    <row r="15656">
      <c r="A15656" s="4" t="str">
        <f>IFERROR(__xludf.DUMMYFUNCTION("""COMPUTED_VALUE"""),"cas_hmw")</f>
        <v>cas_hmw</v>
      </c>
      <c r="B15656" s="5">
        <f>IFERROR(__xludf.DUMMYFUNCTION("""COMPUTED_VALUE"""),44729.0)</f>
        <v>44729</v>
      </c>
      <c r="C15656" s="6">
        <f>IFERROR(__xludf.DUMMYFUNCTION("""COMPUTED_VALUE"""),0.8203125)</f>
        <v>0.8203125</v>
      </c>
      <c r="D15656" s="4">
        <f>IFERROR(__xludf.DUMMYFUNCTION("""COMPUTED_VALUE"""),13.077018)</f>
        <v>13.077018</v>
      </c>
      <c r="E15656" s="4">
        <f>IFERROR(__xludf.DUMMYFUNCTION("""COMPUTED_VALUE"""),80.208071)</f>
        <v>80.208071</v>
      </c>
      <c r="F15656" s="4">
        <f>IFERROR(__xludf.DUMMYFUNCTION("""COMPUTED_VALUE"""),805.0)</f>
        <v>805</v>
      </c>
      <c r="G15656" s="4">
        <f>IFERROR(__xludf.DUMMYFUNCTION("""COMPUTED_VALUE"""),18.0)</f>
        <v>18</v>
      </c>
      <c r="H15656" s="4"/>
      <c r="I15656" s="4"/>
    </row>
    <row r="15657">
      <c r="A15657" s="4" t="str">
        <f>IFERROR(__xludf.DUMMYFUNCTION("""COMPUTED_VALUE"""),"cas_hmw")</f>
        <v>cas_hmw</v>
      </c>
      <c r="B15657" s="5">
        <f>IFERROR(__xludf.DUMMYFUNCTION("""COMPUTED_VALUE"""),44729.0)</f>
        <v>44729</v>
      </c>
      <c r="C15657" s="6">
        <f>IFERROR(__xludf.DUMMYFUNCTION("""COMPUTED_VALUE"""),0.820347222223063)</f>
        <v>0.8203472222</v>
      </c>
      <c r="D15657" s="4">
        <f>IFERROR(__xludf.DUMMYFUNCTION("""COMPUTED_VALUE"""),13.077018)</f>
        <v>13.077018</v>
      </c>
      <c r="E15657" s="4">
        <f>IFERROR(__xludf.DUMMYFUNCTION("""COMPUTED_VALUE"""),80.208071)</f>
        <v>80.208071</v>
      </c>
      <c r="F15657" s="4">
        <f>IFERROR(__xludf.DUMMYFUNCTION("""COMPUTED_VALUE"""),805.0)</f>
        <v>805</v>
      </c>
      <c r="G15657" s="4">
        <f>IFERROR(__xludf.DUMMYFUNCTION("""COMPUTED_VALUE"""),18.0)</f>
        <v>18</v>
      </c>
      <c r="H15657" s="4"/>
      <c r="I15657" s="4"/>
    </row>
    <row r="15658">
      <c r="A15658" s="4" t="str">
        <f>IFERROR(__xludf.DUMMYFUNCTION("""COMPUTED_VALUE"""),"cas_hmw")</f>
        <v>cas_hmw</v>
      </c>
      <c r="B15658" s="5">
        <f>IFERROR(__xludf.DUMMYFUNCTION("""COMPUTED_VALUE"""),44729.0)</f>
        <v>44729</v>
      </c>
      <c r="C15658" s="6">
        <f>IFERROR(__xludf.DUMMYFUNCTION("""COMPUTED_VALUE"""),0.8203703703693463)</f>
        <v>0.8203703704</v>
      </c>
      <c r="D15658" s="4">
        <f>IFERROR(__xludf.DUMMYFUNCTION("""COMPUTED_VALUE"""),13.077018)</f>
        <v>13.077018</v>
      </c>
      <c r="E15658" s="4">
        <f>IFERROR(__xludf.DUMMYFUNCTION("""COMPUTED_VALUE"""),80.208071)</f>
        <v>80.208071</v>
      </c>
      <c r="F15658" s="4">
        <f>IFERROR(__xludf.DUMMYFUNCTION("""COMPUTED_VALUE"""),805.0)</f>
        <v>805</v>
      </c>
      <c r="G15658" s="4">
        <f>IFERROR(__xludf.DUMMYFUNCTION("""COMPUTED_VALUE"""),18.0)</f>
        <v>18</v>
      </c>
      <c r="H15658" s="4"/>
      <c r="I15658" s="4"/>
    </row>
    <row r="15659">
      <c r="A15659" s="4" t="str">
        <f>IFERROR(__xludf.DUMMYFUNCTION("""COMPUTED_VALUE"""),"cas_hmw")</f>
        <v>cas_hmw</v>
      </c>
      <c r="B15659" s="5">
        <f>IFERROR(__xludf.DUMMYFUNCTION("""COMPUTED_VALUE"""),44729.0)</f>
        <v>44729</v>
      </c>
      <c r="C15659" s="6">
        <f>IFERROR(__xludf.DUMMYFUNCTION("""COMPUTED_VALUE"""),0.8210995370354794)</f>
        <v>0.821099537</v>
      </c>
      <c r="D15659" s="4">
        <f>IFERROR(__xludf.DUMMYFUNCTION("""COMPUTED_VALUE"""),13.076553)</f>
        <v>13.076553</v>
      </c>
      <c r="E15659" s="4">
        <f>IFERROR(__xludf.DUMMYFUNCTION("""COMPUTED_VALUE"""),80.20417)</f>
        <v>80.20417</v>
      </c>
      <c r="F15659" s="4">
        <f>IFERROR(__xludf.DUMMYFUNCTION("""COMPUTED_VALUE"""),805.0)</f>
        <v>805</v>
      </c>
      <c r="G15659" s="4">
        <f>IFERROR(__xludf.DUMMYFUNCTION("""COMPUTED_VALUE"""),24.0)</f>
        <v>24</v>
      </c>
      <c r="H15659" s="4"/>
      <c r="I15659" s="4"/>
    </row>
    <row r="15660">
      <c r="A15660" s="4" t="str">
        <f>IFERROR(__xludf.DUMMYFUNCTION("""COMPUTED_VALUE"""),"cas_hmw")</f>
        <v>cas_hmw</v>
      </c>
      <c r="B15660" s="5">
        <f>IFERROR(__xludf.DUMMYFUNCTION("""COMPUTED_VALUE"""),44729.0)</f>
        <v>44729</v>
      </c>
      <c r="C15660" s="6">
        <f>IFERROR(__xludf.DUMMYFUNCTION("""COMPUTED_VALUE"""),0.8216666666667152)</f>
        <v>0.8216666667</v>
      </c>
      <c r="D15660" s="4">
        <f>IFERROR(__xludf.DUMMYFUNCTION("""COMPUTED_VALUE"""),13.076185)</f>
        <v>13.076185</v>
      </c>
      <c r="E15660" s="4">
        <f>IFERROR(__xludf.DUMMYFUNCTION("""COMPUTED_VALUE"""),80.202087)</f>
        <v>80.202087</v>
      </c>
      <c r="F15660" s="4">
        <f>IFERROR(__xludf.DUMMYFUNCTION("""COMPUTED_VALUE"""),805.0)</f>
        <v>805</v>
      </c>
      <c r="G15660" s="4">
        <f>IFERROR(__xludf.DUMMYFUNCTION("""COMPUTED_VALUE"""),29.0)</f>
        <v>29</v>
      </c>
      <c r="H15660" s="4"/>
      <c r="I15660" s="4"/>
    </row>
    <row r="15661">
      <c r="A15661" s="4" t="str">
        <f>IFERROR(__xludf.DUMMYFUNCTION("""COMPUTED_VALUE"""),"cas_hmw")</f>
        <v>cas_hmw</v>
      </c>
      <c r="B15661" s="5">
        <f>IFERROR(__xludf.DUMMYFUNCTION("""COMPUTED_VALUE"""),44729.0)</f>
        <v>44729</v>
      </c>
      <c r="C15661" s="6">
        <f>IFERROR(__xludf.DUMMYFUNCTION("""COMPUTED_VALUE"""),0.8266782407408755)</f>
        <v>0.8266782407</v>
      </c>
      <c r="D15661" s="4">
        <f>IFERROR(__xludf.DUMMYFUNCTION("""COMPUTED_VALUE"""),13.070423)</f>
        <v>13.070423</v>
      </c>
      <c r="E15661" s="4">
        <f>IFERROR(__xludf.DUMMYFUNCTION("""COMPUTED_VALUE"""),80.182929)</f>
        <v>80.182929</v>
      </c>
      <c r="F15661" s="4">
        <f>IFERROR(__xludf.DUMMYFUNCTION("""COMPUTED_VALUE"""),805.0)</f>
        <v>805</v>
      </c>
      <c r="G15661" s="4">
        <f>IFERROR(__xludf.DUMMYFUNCTION("""COMPUTED_VALUE"""),8.0)</f>
        <v>8</v>
      </c>
      <c r="H15661" s="4"/>
      <c r="I15661" s="4"/>
    </row>
    <row r="15662">
      <c r="A15662" s="4" t="str">
        <f>IFERROR(__xludf.DUMMYFUNCTION("""COMPUTED_VALUE"""),"cas_hmw")</f>
        <v>cas_hmw</v>
      </c>
      <c r="B15662" s="5">
        <f>IFERROR(__xludf.DUMMYFUNCTION("""COMPUTED_VALUE"""),44729.0)</f>
        <v>44729</v>
      </c>
      <c r="C15662" s="6">
        <f>IFERROR(__xludf.DUMMYFUNCTION("""COMPUTED_VALUE"""),0.8266898148140172)</f>
        <v>0.8266898148</v>
      </c>
      <c r="D15662" s="4">
        <f>IFERROR(__xludf.DUMMYFUNCTION("""COMPUTED_VALUE"""),13.070423)</f>
        <v>13.070423</v>
      </c>
      <c r="E15662" s="4">
        <f>IFERROR(__xludf.DUMMYFUNCTION("""COMPUTED_VALUE"""),80.182929)</f>
        <v>80.182929</v>
      </c>
      <c r="F15662" s="4">
        <f>IFERROR(__xludf.DUMMYFUNCTION("""COMPUTED_VALUE"""),805.0)</f>
        <v>805</v>
      </c>
      <c r="G15662" s="4">
        <f>IFERROR(__xludf.DUMMYFUNCTION("""COMPUTED_VALUE"""),8.0)</f>
        <v>8</v>
      </c>
      <c r="H15662" s="4"/>
      <c r="I15662" s="4"/>
    </row>
    <row r="15663">
      <c r="A15663" s="4" t="str">
        <f>IFERROR(__xludf.DUMMYFUNCTION("""COMPUTED_VALUE"""),"cas_hmw")</f>
        <v>cas_hmw</v>
      </c>
      <c r="B15663" s="5">
        <f>IFERROR(__xludf.DUMMYFUNCTION("""COMPUTED_VALUE"""),44729.0)</f>
        <v>44729</v>
      </c>
      <c r="C15663" s="6">
        <f>IFERROR(__xludf.DUMMYFUNCTION("""COMPUTED_VALUE"""),0.8270601851836545)</f>
        <v>0.8270601852</v>
      </c>
      <c r="D15663" s="4">
        <f>IFERROR(__xludf.DUMMYFUNCTION("""COMPUTED_VALUE"""),13.069723)</f>
        <v>13.069723</v>
      </c>
      <c r="E15663" s="4">
        <f>IFERROR(__xludf.DUMMYFUNCTION("""COMPUTED_VALUE"""),80.181589)</f>
        <v>80.181589</v>
      </c>
      <c r="F15663" s="4">
        <f>IFERROR(__xludf.DUMMYFUNCTION("""COMPUTED_VALUE"""),805.0)</f>
        <v>805</v>
      </c>
      <c r="G15663" s="4">
        <f>IFERROR(__xludf.DUMMYFUNCTION("""COMPUTED_VALUE"""),27.0)</f>
        <v>27</v>
      </c>
      <c r="H15663" s="4"/>
      <c r="I15663" s="4"/>
    </row>
    <row r="15664">
      <c r="A15664" s="4" t="str">
        <f>IFERROR(__xludf.DUMMYFUNCTION("""COMPUTED_VALUE"""),"cas_hmw")</f>
        <v>cas_hmw</v>
      </c>
      <c r="B15664" s="5">
        <f>IFERROR(__xludf.DUMMYFUNCTION("""COMPUTED_VALUE"""),44729.0)</f>
        <v>44729</v>
      </c>
      <c r="C15664" s="6">
        <f>IFERROR(__xludf.DUMMYFUNCTION("""COMPUTED_VALUE"""),0.8271990740722686)</f>
        <v>0.8271990741</v>
      </c>
      <c r="D15664" s="4">
        <f>IFERROR(__xludf.DUMMYFUNCTION("""COMPUTED_VALUE"""),13.069146)</f>
        <v>13.069146</v>
      </c>
      <c r="E15664" s="4">
        <f>IFERROR(__xludf.DUMMYFUNCTION("""COMPUTED_VALUE"""),80.180727)</f>
        <v>80.180727</v>
      </c>
      <c r="F15664" s="4">
        <f>IFERROR(__xludf.DUMMYFUNCTION("""COMPUTED_VALUE"""),805.0)</f>
        <v>805</v>
      </c>
      <c r="G15664" s="4">
        <f>IFERROR(__xludf.DUMMYFUNCTION("""COMPUTED_VALUE"""),31.0)</f>
        <v>31</v>
      </c>
      <c r="H15664" s="4"/>
      <c r="I15664" s="4"/>
    </row>
    <row r="15665">
      <c r="A15665" s="4" t="str">
        <f>IFERROR(__xludf.DUMMYFUNCTION("""COMPUTED_VALUE"""),"cas_hmw")</f>
        <v>cas_hmw</v>
      </c>
      <c r="B15665" s="5">
        <f>IFERROR(__xludf.DUMMYFUNCTION("""COMPUTED_VALUE"""),44729.0)</f>
        <v>44729</v>
      </c>
      <c r="C15665" s="6">
        <f>IFERROR(__xludf.DUMMYFUNCTION("""COMPUTED_VALUE"""),0.828125)</f>
        <v>0.828125</v>
      </c>
      <c r="D15665" s="4">
        <f>IFERROR(__xludf.DUMMYFUNCTION("""COMPUTED_VALUE"""),13.067021)</f>
        <v>13.067021</v>
      </c>
      <c r="E15665" s="4">
        <f>IFERROR(__xludf.DUMMYFUNCTION("""COMPUTED_VALUE"""),80.175539)</f>
        <v>80.175539</v>
      </c>
      <c r="F15665" s="4">
        <f>IFERROR(__xludf.DUMMYFUNCTION("""COMPUTED_VALUE"""),805.0)</f>
        <v>805</v>
      </c>
      <c r="G15665" s="4">
        <f>IFERROR(__xludf.DUMMYFUNCTION("""COMPUTED_VALUE"""),0.0)</f>
        <v>0</v>
      </c>
      <c r="H15665" s="4"/>
      <c r="I15665" s="4"/>
    </row>
    <row r="15666">
      <c r="A15666" s="4" t="str">
        <f>IFERROR(__xludf.DUMMYFUNCTION("""COMPUTED_VALUE"""),"cas_hmw")</f>
        <v>cas_hmw</v>
      </c>
      <c r="B15666" s="5">
        <f>IFERROR(__xludf.DUMMYFUNCTION("""COMPUTED_VALUE"""),44729.0)</f>
        <v>44729</v>
      </c>
      <c r="C15666" s="6">
        <f>IFERROR(__xludf.DUMMYFUNCTION("""COMPUTED_VALUE"""),0.828125)</f>
        <v>0.828125</v>
      </c>
      <c r="D15666" s="4">
        <f>IFERROR(__xludf.DUMMYFUNCTION("""COMPUTED_VALUE"""),13.067021)</f>
        <v>13.067021</v>
      </c>
      <c r="E15666" s="4">
        <f>IFERROR(__xludf.DUMMYFUNCTION("""COMPUTED_VALUE"""),80.175539)</f>
        <v>80.175539</v>
      </c>
      <c r="F15666" s="4">
        <f>IFERROR(__xludf.DUMMYFUNCTION("""COMPUTED_VALUE"""),805.0)</f>
        <v>805</v>
      </c>
      <c r="G15666" s="4">
        <f>IFERROR(__xludf.DUMMYFUNCTION("""COMPUTED_VALUE"""),0.0)</f>
        <v>0</v>
      </c>
      <c r="H15666" s="4"/>
      <c r="I15666" s="4"/>
    </row>
    <row r="15667">
      <c r="A15667" s="4" t="str">
        <f>IFERROR(__xludf.DUMMYFUNCTION("""COMPUTED_VALUE"""),"cas_hmw")</f>
        <v>cas_hmw</v>
      </c>
      <c r="B15667" s="5">
        <f>IFERROR(__xludf.DUMMYFUNCTION("""COMPUTED_VALUE"""),44729.0)</f>
        <v>44729</v>
      </c>
      <c r="C15667" s="6">
        <f>IFERROR(__xludf.DUMMYFUNCTION("""COMPUTED_VALUE"""),0.8281481481499213)</f>
        <v>0.8281481481</v>
      </c>
      <c r="D15667" s="4">
        <f>IFERROR(__xludf.DUMMYFUNCTION("""COMPUTED_VALUE"""),13.067021)</f>
        <v>13.067021</v>
      </c>
      <c r="E15667" s="4">
        <f>IFERROR(__xludf.DUMMYFUNCTION("""COMPUTED_VALUE"""),80.175539)</f>
        <v>80.175539</v>
      </c>
      <c r="F15667" s="4">
        <f>IFERROR(__xludf.DUMMYFUNCTION("""COMPUTED_VALUE"""),805.0)</f>
        <v>805</v>
      </c>
      <c r="G15667" s="4">
        <f>IFERROR(__xludf.DUMMYFUNCTION("""COMPUTED_VALUE"""),0.0)</f>
        <v>0</v>
      </c>
      <c r="H15667" s="4"/>
      <c r="I15667" s="4"/>
    </row>
    <row r="15668">
      <c r="A15668" s="4" t="str">
        <f>IFERROR(__xludf.DUMMYFUNCTION("""COMPUTED_VALUE"""),"cas_hmw")</f>
        <v>cas_hmw</v>
      </c>
      <c r="B15668" s="5">
        <f>IFERROR(__xludf.DUMMYFUNCTION("""COMPUTED_VALUE"""),44729.0)</f>
        <v>44729</v>
      </c>
      <c r="C15668" s="6">
        <f>IFERROR(__xludf.DUMMYFUNCTION("""COMPUTED_VALUE"""),0.8282870370385353)</f>
        <v>0.828287037</v>
      </c>
      <c r="D15668" s="4">
        <f>IFERROR(__xludf.DUMMYFUNCTION("""COMPUTED_VALUE"""),13.067021)</f>
        <v>13.067021</v>
      </c>
      <c r="E15668" s="4">
        <f>IFERROR(__xludf.DUMMYFUNCTION("""COMPUTED_VALUE"""),80.175539)</f>
        <v>80.175539</v>
      </c>
      <c r="F15668" s="4">
        <f>IFERROR(__xludf.DUMMYFUNCTION("""COMPUTED_VALUE"""),805.0)</f>
        <v>805</v>
      </c>
      <c r="G15668" s="4">
        <f>IFERROR(__xludf.DUMMYFUNCTION("""COMPUTED_VALUE"""),0.0)</f>
        <v>0</v>
      </c>
      <c r="H15668" s="4"/>
      <c r="I15668" s="4"/>
    </row>
    <row r="15669">
      <c r="A15669" s="4" t="str">
        <f>IFERROR(__xludf.DUMMYFUNCTION("""COMPUTED_VALUE"""),"cas_hmw")</f>
        <v>cas_hmw</v>
      </c>
      <c r="B15669" s="5">
        <f>IFERROR(__xludf.DUMMYFUNCTION("""COMPUTED_VALUE"""),44729.0)</f>
        <v>44729</v>
      </c>
      <c r="C15669" s="6">
        <f>IFERROR(__xludf.DUMMYFUNCTION("""COMPUTED_VALUE"""),0.8286574074081727)</f>
        <v>0.8286574074</v>
      </c>
      <c r="D15669" s="4">
        <f>IFERROR(__xludf.DUMMYFUNCTION("""COMPUTED_VALUE"""),13.066465)</f>
        <v>13.066465</v>
      </c>
      <c r="E15669" s="4">
        <f>IFERROR(__xludf.DUMMYFUNCTION("""COMPUTED_VALUE"""),80.174703)</f>
        <v>80.174703</v>
      </c>
      <c r="F15669" s="4">
        <f>IFERROR(__xludf.DUMMYFUNCTION("""COMPUTED_VALUE"""),805.0)</f>
        <v>805</v>
      </c>
      <c r="G15669" s="4">
        <f>IFERROR(__xludf.DUMMYFUNCTION("""COMPUTED_VALUE"""),28.0)</f>
        <v>28</v>
      </c>
      <c r="H15669" s="4"/>
      <c r="I15669" s="4"/>
    </row>
    <row r="15670">
      <c r="A15670" s="4" t="str">
        <f>IFERROR(__xludf.DUMMYFUNCTION("""COMPUTED_VALUE"""),"cas_hmw")</f>
        <v>cas_hmw</v>
      </c>
      <c r="B15670" s="5">
        <f>IFERROR(__xludf.DUMMYFUNCTION("""COMPUTED_VALUE"""),44729.0)</f>
        <v>44729</v>
      </c>
      <c r="C15670" s="6">
        <f>IFERROR(__xludf.DUMMYFUNCTION("""COMPUTED_VALUE"""),0.8437384259268583)</f>
        <v>0.8437384259</v>
      </c>
      <c r="D15670" s="4">
        <f>IFERROR(__xludf.DUMMYFUNCTION("""COMPUTED_VALUE"""),13.043141)</f>
        <v>13.043141</v>
      </c>
      <c r="E15670" s="4">
        <f>IFERROR(__xludf.DUMMYFUNCTION("""COMPUTED_VALUE"""),80.149697)</f>
        <v>80.149697</v>
      </c>
      <c r="F15670" s="4">
        <f>IFERROR(__xludf.DUMMYFUNCTION("""COMPUTED_VALUE"""),805.0)</f>
        <v>805</v>
      </c>
      <c r="G15670" s="4">
        <f>IFERROR(__xludf.DUMMYFUNCTION("""COMPUTED_VALUE"""),27.0)</f>
        <v>27</v>
      </c>
      <c r="H15670" s="4"/>
      <c r="I15670" s="4"/>
    </row>
    <row r="15671">
      <c r="A15671" s="4" t="str">
        <f>IFERROR(__xludf.DUMMYFUNCTION("""COMPUTED_VALUE"""),"cas_hmw")</f>
        <v>cas_hmw</v>
      </c>
      <c r="B15671" s="5">
        <f>IFERROR(__xludf.DUMMYFUNCTION("""COMPUTED_VALUE"""),44729.0)</f>
        <v>44729</v>
      </c>
      <c r="C15671" s="6">
        <f>IFERROR(__xludf.DUMMYFUNCTION("""COMPUTED_VALUE"""),0.8541898148141627)</f>
        <v>0.8541898148</v>
      </c>
      <c r="D15671" s="4">
        <f>IFERROR(__xludf.DUMMYFUNCTION("""COMPUTED_VALUE"""),12.932954)</f>
        <v>12.932954</v>
      </c>
      <c r="E15671" s="4">
        <f>IFERROR(__xludf.DUMMYFUNCTION("""COMPUTED_VALUE"""),80.099605)</f>
        <v>80.099605</v>
      </c>
      <c r="F15671" s="4">
        <f>IFERROR(__xludf.DUMMYFUNCTION("""COMPUTED_VALUE"""),805.0)</f>
        <v>805</v>
      </c>
      <c r="G15671" s="4">
        <f>IFERROR(__xludf.DUMMYFUNCTION("""COMPUTED_VALUE"""),58.0)</f>
        <v>58</v>
      </c>
      <c r="H15671" s="4"/>
      <c r="I15671" s="4"/>
    </row>
    <row r="15672">
      <c r="A15672" s="4" t="str">
        <f>IFERROR(__xludf.DUMMYFUNCTION("""COMPUTED_VALUE"""),"cas_hmw")</f>
        <v>cas_hmw</v>
      </c>
      <c r="B15672" s="5">
        <f>IFERROR(__xludf.DUMMYFUNCTION("""COMPUTED_VALUE"""),44729.0)</f>
        <v>44729</v>
      </c>
      <c r="C15672" s="6">
        <f>IFERROR(__xludf.DUMMYFUNCTION("""COMPUTED_VALUE"""),0.8555902777770825)</f>
        <v>0.8555902778</v>
      </c>
      <c r="D15672" s="4">
        <f>IFERROR(__xludf.DUMMYFUNCTION("""COMPUTED_VALUE"""),12.91462)</f>
        <v>12.91462</v>
      </c>
      <c r="E15672" s="4">
        <f>IFERROR(__xludf.DUMMYFUNCTION("""COMPUTED_VALUE"""),80.10269)</f>
        <v>80.10269</v>
      </c>
      <c r="F15672" s="4">
        <f>IFERROR(__xludf.DUMMYFUNCTION("""COMPUTED_VALUE"""),805.0)</f>
        <v>805</v>
      </c>
      <c r="G15672" s="4">
        <f>IFERROR(__xludf.DUMMYFUNCTION("""COMPUTED_VALUE"""),46.0)</f>
        <v>46</v>
      </c>
      <c r="H15672" s="4"/>
      <c r="I15672" s="4"/>
    </row>
    <row r="15673">
      <c r="A15673" s="4" t="str">
        <f>IFERROR(__xludf.DUMMYFUNCTION("""COMPUTED_VALUE"""),"cas_hmw")</f>
        <v>cas_hmw</v>
      </c>
      <c r="B15673" s="5">
        <f>IFERROR(__xludf.DUMMYFUNCTION("""COMPUTED_VALUE"""),44729.0)</f>
        <v>44729</v>
      </c>
      <c r="C15673" s="6">
        <f>IFERROR(__xludf.DUMMYFUNCTION("""COMPUTED_VALUE"""),0.8611458333325572)</f>
        <v>0.8611458333</v>
      </c>
      <c r="D15673" s="4">
        <f>IFERROR(__xludf.DUMMYFUNCTION("""COMPUTED_VALUE"""),12.904092)</f>
        <v>12.904092</v>
      </c>
      <c r="E15673" s="4">
        <f>IFERROR(__xludf.DUMMYFUNCTION("""COMPUTED_VALUE"""),80.094778)</f>
        <v>80.094778</v>
      </c>
      <c r="F15673" s="4">
        <f>IFERROR(__xludf.DUMMYFUNCTION("""COMPUTED_VALUE"""),805.0)</f>
        <v>805</v>
      </c>
      <c r="G15673" s="4">
        <f>IFERROR(__xludf.DUMMYFUNCTION("""COMPUTED_VALUE"""),25.0)</f>
        <v>25</v>
      </c>
      <c r="H15673" s="4"/>
      <c r="I15673" s="4"/>
    </row>
    <row r="15674">
      <c r="A15674" s="4" t="str">
        <f>IFERROR(__xludf.DUMMYFUNCTION("""COMPUTED_VALUE"""),"cas_hmw")</f>
        <v>cas_hmw</v>
      </c>
      <c r="B15674" s="5">
        <f>IFERROR(__xludf.DUMMYFUNCTION("""COMPUTED_VALUE"""),44729.0)</f>
        <v>44729</v>
      </c>
      <c r="C15674" s="6">
        <f>IFERROR(__xludf.DUMMYFUNCTION("""COMPUTED_VALUE"""),0.8612731481480296)</f>
        <v>0.8612731481</v>
      </c>
      <c r="D15674" s="4">
        <f>IFERROR(__xludf.DUMMYFUNCTION("""COMPUTED_VALUE"""),12.903333)</f>
        <v>12.903333</v>
      </c>
      <c r="E15674" s="4">
        <f>IFERROR(__xludf.DUMMYFUNCTION("""COMPUTED_VALUE"""),80.09411)</f>
        <v>80.09411</v>
      </c>
      <c r="F15674" s="4">
        <f>IFERROR(__xludf.DUMMYFUNCTION("""COMPUTED_VALUE"""),805.0)</f>
        <v>805</v>
      </c>
      <c r="G15674" s="4">
        <f>IFERROR(__xludf.DUMMYFUNCTION("""COMPUTED_VALUE"""),20.0)</f>
        <v>20</v>
      </c>
      <c r="H15674" s="4"/>
      <c r="I15674" s="4"/>
    </row>
    <row r="15675">
      <c r="A15675" s="4" t="str">
        <f>IFERROR(__xludf.DUMMYFUNCTION("""COMPUTED_VALUE"""),"cas_hmw")</f>
        <v>cas_hmw</v>
      </c>
      <c r="B15675" s="5">
        <f>IFERROR(__xludf.DUMMYFUNCTION("""COMPUTED_VALUE"""),44729.0)</f>
        <v>44729</v>
      </c>
      <c r="C15675" s="6">
        <f>IFERROR(__xludf.DUMMYFUNCTION("""COMPUTED_VALUE"""),0.8612847222211713)</f>
        <v>0.8612847222</v>
      </c>
      <c r="D15675" s="4">
        <f>IFERROR(__xludf.DUMMYFUNCTION("""COMPUTED_VALUE"""),12.903333)</f>
        <v>12.903333</v>
      </c>
      <c r="E15675" s="4">
        <f>IFERROR(__xludf.DUMMYFUNCTION("""COMPUTED_VALUE"""),80.09411)</f>
        <v>80.09411</v>
      </c>
      <c r="F15675" s="4">
        <f>IFERROR(__xludf.DUMMYFUNCTION("""COMPUTED_VALUE"""),805.0)</f>
        <v>805</v>
      </c>
      <c r="G15675" s="4">
        <f>IFERROR(__xludf.DUMMYFUNCTION("""COMPUTED_VALUE"""),20.0)</f>
        <v>20</v>
      </c>
      <c r="H15675" s="4"/>
      <c r="I15675" s="4"/>
    </row>
    <row r="15676">
      <c r="A15676" s="4" t="str">
        <f>IFERROR(__xludf.DUMMYFUNCTION("""COMPUTED_VALUE"""),"cas_hmw")</f>
        <v>cas_hmw</v>
      </c>
      <c r="B15676" s="5">
        <f>IFERROR(__xludf.DUMMYFUNCTION("""COMPUTED_VALUE"""),44732.0)</f>
        <v>44732</v>
      </c>
      <c r="C15676" s="6">
        <f>IFERROR(__xludf.DUMMYFUNCTION("""COMPUTED_VALUE"""),0.24457175925999763)</f>
        <v>0.2445717593</v>
      </c>
      <c r="D15676" s="4">
        <f>IFERROR(__xludf.DUMMYFUNCTION("""COMPUTED_VALUE"""),12.896385)</f>
        <v>12.896385</v>
      </c>
      <c r="E15676" s="4">
        <f>IFERROR(__xludf.DUMMYFUNCTION("""COMPUTED_VALUE"""),80.088691)</f>
        <v>80.088691</v>
      </c>
      <c r="F15676" s="4">
        <f>IFERROR(__xludf.DUMMYFUNCTION("""COMPUTED_VALUE"""),5339.0)</f>
        <v>5339</v>
      </c>
      <c r="G15676" s="4">
        <f>IFERROR(__xludf.DUMMYFUNCTION("""COMPUTED_VALUE"""),52.0)</f>
        <v>52</v>
      </c>
      <c r="H15676" s="4"/>
      <c r="I15676" s="4"/>
    </row>
    <row r="15677">
      <c r="A15677" s="4" t="str">
        <f>IFERROR(__xludf.DUMMYFUNCTION("""COMPUTED_VALUE"""),"cas_hmw")</f>
        <v>cas_hmw</v>
      </c>
      <c r="B15677" s="5">
        <f>IFERROR(__xludf.DUMMYFUNCTION("""COMPUTED_VALUE"""),44732.0)</f>
        <v>44732</v>
      </c>
      <c r="C15677" s="6">
        <f>IFERROR(__xludf.DUMMYFUNCTION("""COMPUTED_VALUE"""),0.2450925925913907)</f>
        <v>0.2450925926</v>
      </c>
      <c r="D15677" s="4">
        <f>IFERROR(__xludf.DUMMYFUNCTION("""COMPUTED_VALUE"""),12.90053)</f>
        <v>12.90053</v>
      </c>
      <c r="E15677" s="4">
        <f>IFERROR(__xludf.DUMMYFUNCTION("""COMPUTED_VALUE"""),80.091722)</f>
        <v>80.091722</v>
      </c>
      <c r="F15677" s="4">
        <f>IFERROR(__xludf.DUMMYFUNCTION("""COMPUTED_VALUE"""),5339.0)</f>
        <v>5339</v>
      </c>
      <c r="G15677" s="4">
        <f>IFERROR(__xludf.DUMMYFUNCTION("""COMPUTED_VALUE"""),48.0)</f>
        <v>48</v>
      </c>
      <c r="H15677" s="4"/>
      <c r="I15677" s="4"/>
    </row>
    <row r="15678">
      <c r="A15678" s="4" t="str">
        <f>IFERROR(__xludf.DUMMYFUNCTION("""COMPUTED_VALUE"""),"cas_hmw")</f>
        <v>cas_hmw</v>
      </c>
      <c r="B15678" s="5">
        <f>IFERROR(__xludf.DUMMYFUNCTION("""COMPUTED_VALUE"""),44732.0)</f>
        <v>44732</v>
      </c>
      <c r="C15678" s="6">
        <f>IFERROR(__xludf.DUMMYFUNCTION("""COMPUTED_VALUE"""),0.24615740740773617)</f>
        <v>0.2461574074</v>
      </c>
      <c r="D15678" s="4">
        <f>IFERROR(__xludf.DUMMYFUNCTION("""COMPUTED_VALUE"""),12.907309)</f>
        <v>12.907309</v>
      </c>
      <c r="E15678" s="4">
        <f>IFERROR(__xludf.DUMMYFUNCTION("""COMPUTED_VALUE"""),80.096774)</f>
        <v>80.096774</v>
      </c>
      <c r="F15678" s="4">
        <f>IFERROR(__xludf.DUMMYFUNCTION("""COMPUTED_VALUE"""),5339.0)</f>
        <v>5339</v>
      </c>
      <c r="G15678" s="4">
        <f>IFERROR(__xludf.DUMMYFUNCTION("""COMPUTED_VALUE"""),36.0)</f>
        <v>36</v>
      </c>
      <c r="H15678" s="4"/>
      <c r="I15678" s="4"/>
    </row>
    <row r="15679">
      <c r="A15679" s="4" t="str">
        <f>IFERROR(__xludf.DUMMYFUNCTION("""COMPUTED_VALUE"""),"cas_hmw")</f>
        <v>cas_hmw</v>
      </c>
      <c r="B15679" s="5">
        <f>IFERROR(__xludf.DUMMYFUNCTION("""COMPUTED_VALUE"""),44732.0)</f>
        <v>44732</v>
      </c>
      <c r="C15679" s="6">
        <f>IFERROR(__xludf.DUMMYFUNCTION("""COMPUTED_VALUE"""),0.25155092592467554)</f>
        <v>0.2515509259</v>
      </c>
      <c r="D15679" s="4">
        <f>IFERROR(__xludf.DUMMYFUNCTION("""COMPUTED_VALUE"""),12.929206)</f>
        <v>12.929206</v>
      </c>
      <c r="E15679" s="4">
        <f>IFERROR(__xludf.DUMMYFUNCTION("""COMPUTED_VALUE"""),80.120316)</f>
        <v>80.120316</v>
      </c>
      <c r="F15679" s="4">
        <f>IFERROR(__xludf.DUMMYFUNCTION("""COMPUTED_VALUE"""),5339.0)</f>
        <v>5339</v>
      </c>
      <c r="G15679" s="4">
        <f>IFERROR(__xludf.DUMMYFUNCTION("""COMPUTED_VALUE"""),37.0)</f>
        <v>37</v>
      </c>
      <c r="H15679" s="4"/>
      <c r="I15679" s="4"/>
    </row>
    <row r="15680">
      <c r="A15680" s="4" t="str">
        <f>IFERROR(__xludf.DUMMYFUNCTION("""COMPUTED_VALUE"""),"cas_hmw")</f>
        <v>cas_hmw</v>
      </c>
      <c r="B15680" s="5">
        <f>IFERROR(__xludf.DUMMYFUNCTION("""COMPUTED_VALUE"""),44732.0)</f>
        <v>44732</v>
      </c>
      <c r="C15680" s="6">
        <f>IFERROR(__xludf.DUMMYFUNCTION("""COMPUTED_VALUE"""),0.25822916666584206)</f>
        <v>0.2582291667</v>
      </c>
      <c r="D15680" s="4">
        <f>IFERROR(__xludf.DUMMYFUNCTION("""COMPUTED_VALUE"""),12.956087)</f>
        <v>12.956087</v>
      </c>
      <c r="E15680" s="4">
        <f>IFERROR(__xludf.DUMMYFUNCTION("""COMPUTED_VALUE"""),80.143013)</f>
        <v>80.143013</v>
      </c>
      <c r="F15680" s="4">
        <f>IFERROR(__xludf.DUMMYFUNCTION("""COMPUTED_VALUE"""),5339.0)</f>
        <v>5339</v>
      </c>
      <c r="G15680" s="4">
        <f>IFERROR(__xludf.DUMMYFUNCTION("""COMPUTED_VALUE"""),0.0)</f>
        <v>0</v>
      </c>
      <c r="H15680" s="4"/>
      <c r="I15680" s="4"/>
    </row>
    <row r="15681">
      <c r="A15681" s="4" t="str">
        <f>IFERROR(__xludf.DUMMYFUNCTION("""COMPUTED_VALUE"""),"cas_hmw")</f>
        <v>cas_hmw</v>
      </c>
      <c r="B15681" s="5">
        <f>IFERROR(__xludf.DUMMYFUNCTION("""COMPUTED_VALUE"""),44732.0)</f>
        <v>44732</v>
      </c>
      <c r="C15681" s="6">
        <f>IFERROR(__xludf.DUMMYFUNCTION("""COMPUTED_VALUE"""),0.25877314814715646)</f>
        <v>0.2587731481</v>
      </c>
      <c r="D15681" s="4">
        <f>IFERROR(__xludf.DUMMYFUNCTION("""COMPUTED_VALUE"""),12.909556)</f>
        <v>12.909556</v>
      </c>
      <c r="E15681" s="4">
        <f>IFERROR(__xludf.DUMMYFUNCTION("""COMPUTED_VALUE"""),80.099263)</f>
        <v>80.099263</v>
      </c>
      <c r="F15681" s="4">
        <f>IFERROR(__xludf.DUMMYFUNCTION("""COMPUTED_VALUE"""),805.0)</f>
        <v>805</v>
      </c>
      <c r="G15681" s="4">
        <f>IFERROR(__xludf.DUMMYFUNCTION("""COMPUTED_VALUE"""),53.0)</f>
        <v>53</v>
      </c>
      <c r="H15681" s="4"/>
      <c r="I15681" s="4"/>
    </row>
    <row r="15682">
      <c r="A15682" s="4" t="str">
        <f>IFERROR(__xludf.DUMMYFUNCTION("""COMPUTED_VALUE"""),"cas_hmw")</f>
        <v>cas_hmw</v>
      </c>
      <c r="B15682" s="5">
        <f>IFERROR(__xludf.DUMMYFUNCTION("""COMPUTED_VALUE"""),44732.0)</f>
        <v>44732</v>
      </c>
      <c r="C15682" s="6">
        <f>IFERROR(__xludf.DUMMYFUNCTION("""COMPUTED_VALUE"""),0.2653703703690553)</f>
        <v>0.2653703704</v>
      </c>
      <c r="D15682" s="4">
        <f>IFERROR(__xludf.DUMMYFUNCTION("""COMPUTED_VALUE"""),12.657266)</f>
        <v>12.657266</v>
      </c>
      <c r="E15682" s="4">
        <f>IFERROR(__xludf.DUMMYFUNCTION("""COMPUTED_VALUE"""),79.947081)</f>
        <v>79.947081</v>
      </c>
      <c r="F15682" s="4">
        <f>IFERROR(__xludf.DUMMYFUNCTION("""COMPUTED_VALUE"""),2846.0)</f>
        <v>2846</v>
      </c>
      <c r="G15682" s="4">
        <f>IFERROR(__xludf.DUMMYFUNCTION("""COMPUTED_VALUE"""),27.0)</f>
        <v>27</v>
      </c>
      <c r="H15682" s="4"/>
      <c r="I15682" s="4"/>
    </row>
    <row r="15683">
      <c r="A15683" s="4" t="str">
        <f>IFERROR(__xludf.DUMMYFUNCTION("""COMPUTED_VALUE"""),"cas_hmw")</f>
        <v>cas_hmw</v>
      </c>
      <c r="B15683" s="5">
        <f>IFERROR(__xludf.DUMMYFUNCTION("""COMPUTED_VALUE"""),44732.0)</f>
        <v>44732</v>
      </c>
      <c r="C15683" s="6">
        <f>IFERROR(__xludf.DUMMYFUNCTION("""COMPUTED_VALUE"""),0.26568287036934635)</f>
        <v>0.2656828704</v>
      </c>
      <c r="D15683" s="4">
        <f>IFERROR(__xludf.DUMMYFUNCTION("""COMPUTED_VALUE"""),12.928661)</f>
        <v>12.928661</v>
      </c>
      <c r="E15683" s="4">
        <f>IFERROR(__xludf.DUMMYFUNCTION("""COMPUTED_VALUE"""),80.119804)</f>
        <v>80.119804</v>
      </c>
      <c r="F15683" s="4">
        <f>IFERROR(__xludf.DUMMYFUNCTION("""COMPUTED_VALUE"""),805.0)</f>
        <v>805</v>
      </c>
      <c r="G15683" s="4">
        <f>IFERROR(__xludf.DUMMYFUNCTION("""COMPUTED_VALUE"""),13.0)</f>
        <v>13</v>
      </c>
      <c r="H15683" s="4"/>
      <c r="I15683" s="4"/>
    </row>
    <row r="15684">
      <c r="A15684" s="4" t="str">
        <f>IFERROR(__xludf.DUMMYFUNCTION("""COMPUTED_VALUE"""),"cas_hmw")</f>
        <v>cas_hmw</v>
      </c>
      <c r="B15684" s="5">
        <f>IFERROR(__xludf.DUMMYFUNCTION("""COMPUTED_VALUE"""),44732.0)</f>
        <v>44732</v>
      </c>
      <c r="C15684" s="6">
        <f>IFERROR(__xludf.DUMMYFUNCTION("""COMPUTED_VALUE"""),0.2663773148160544)</f>
        <v>0.2663773148</v>
      </c>
      <c r="D15684" s="4">
        <f>IFERROR(__xludf.DUMMYFUNCTION("""COMPUTED_VALUE"""),12.931324)</f>
        <v>12.931324</v>
      </c>
      <c r="E15684" s="4">
        <f>IFERROR(__xludf.DUMMYFUNCTION("""COMPUTED_VALUE"""),80.122451)</f>
        <v>80.122451</v>
      </c>
      <c r="F15684" s="4">
        <f>IFERROR(__xludf.DUMMYFUNCTION("""COMPUTED_VALUE"""),805.0)</f>
        <v>805</v>
      </c>
      <c r="G15684" s="4">
        <f>IFERROR(__xludf.DUMMYFUNCTION("""COMPUTED_VALUE"""),18.0)</f>
        <v>18</v>
      </c>
      <c r="H15684" s="4"/>
      <c r="I15684" s="4"/>
    </row>
    <row r="15685">
      <c r="A15685" s="4" t="str">
        <f>IFERROR(__xludf.DUMMYFUNCTION("""COMPUTED_VALUE"""),"cas_hmw")</f>
        <v>cas_hmw</v>
      </c>
      <c r="B15685" s="5">
        <f>IFERROR(__xludf.DUMMYFUNCTION("""COMPUTED_VALUE"""),44732.0)</f>
        <v>44732</v>
      </c>
      <c r="C15685" s="6">
        <f>IFERROR(__xludf.DUMMYFUNCTION("""COMPUTED_VALUE"""),0.2665625000008731)</f>
        <v>0.2665625</v>
      </c>
      <c r="D15685" s="4">
        <f>IFERROR(__xludf.DUMMYFUNCTION("""COMPUTED_VALUE"""),12.931862)</f>
        <v>12.931862</v>
      </c>
      <c r="E15685" s="4">
        <f>IFERROR(__xludf.DUMMYFUNCTION("""COMPUTED_VALUE"""),80.122953)</f>
        <v>80.122953</v>
      </c>
      <c r="F15685" s="4">
        <f>IFERROR(__xludf.DUMMYFUNCTION("""COMPUTED_VALUE"""),805.0)</f>
        <v>805</v>
      </c>
      <c r="G15685" s="4">
        <f>IFERROR(__xludf.DUMMYFUNCTION("""COMPUTED_VALUE"""),26.0)</f>
        <v>26</v>
      </c>
      <c r="H15685" s="4"/>
      <c r="I15685" s="4"/>
    </row>
    <row r="15686">
      <c r="A15686" s="4" t="str">
        <f>IFERROR(__xludf.DUMMYFUNCTION("""COMPUTED_VALUE"""),"cas_hmw")</f>
        <v>cas_hmw</v>
      </c>
      <c r="B15686" s="5">
        <f>IFERROR(__xludf.DUMMYFUNCTION("""COMPUTED_VALUE"""),44732.0)</f>
        <v>44732</v>
      </c>
      <c r="C15686" s="6">
        <f>IFERROR(__xludf.DUMMYFUNCTION("""COMPUTED_VALUE"""),0.26699074073985685)</f>
        <v>0.2669907407</v>
      </c>
      <c r="D15686" s="4">
        <f>IFERROR(__xludf.DUMMYFUNCTION("""COMPUTED_VALUE"""),12.935502)</f>
        <v>12.935502</v>
      </c>
      <c r="E15686" s="4">
        <f>IFERROR(__xludf.DUMMYFUNCTION("""COMPUTED_VALUE"""),80.126488)</f>
        <v>80.126488</v>
      </c>
      <c r="F15686" s="4">
        <f>IFERROR(__xludf.DUMMYFUNCTION("""COMPUTED_VALUE"""),805.0)</f>
        <v>805</v>
      </c>
      <c r="G15686" s="4">
        <f>IFERROR(__xludf.DUMMYFUNCTION("""COMPUTED_VALUE"""),23.0)</f>
        <v>23</v>
      </c>
      <c r="H15686" s="4"/>
      <c r="I15686" s="4"/>
    </row>
    <row r="15687">
      <c r="A15687" s="4" t="str">
        <f>IFERROR(__xludf.DUMMYFUNCTION("""COMPUTED_VALUE"""),"cas_hmw")</f>
        <v>cas_hmw</v>
      </c>
      <c r="B15687" s="5">
        <f>IFERROR(__xludf.DUMMYFUNCTION("""COMPUTED_VALUE"""),44732.0)</f>
        <v>44732</v>
      </c>
      <c r="C15687" s="6">
        <f>IFERROR(__xludf.DUMMYFUNCTION("""COMPUTED_VALUE"""),0.2672916666670062)</f>
        <v>0.2672916667</v>
      </c>
      <c r="D15687" s="4">
        <f>IFERROR(__xludf.DUMMYFUNCTION("""COMPUTED_VALUE"""),12.935908)</f>
        <v>12.935908</v>
      </c>
      <c r="E15687" s="4">
        <f>IFERROR(__xludf.DUMMYFUNCTION("""COMPUTED_VALUE"""),80.126878)</f>
        <v>80.126878</v>
      </c>
      <c r="F15687" s="4">
        <f>IFERROR(__xludf.DUMMYFUNCTION("""COMPUTED_VALUE"""),805.0)</f>
        <v>805</v>
      </c>
      <c r="G15687" s="4">
        <f>IFERROR(__xludf.DUMMYFUNCTION("""COMPUTED_VALUE"""),27.0)</f>
        <v>27</v>
      </c>
      <c r="H15687" s="4"/>
      <c r="I15687" s="4"/>
    </row>
    <row r="15688">
      <c r="A15688" s="4" t="str">
        <f>IFERROR(__xludf.DUMMYFUNCTION("""COMPUTED_VALUE"""),"cas_hmw")</f>
        <v>cas_hmw</v>
      </c>
      <c r="B15688" s="5">
        <f>IFERROR(__xludf.DUMMYFUNCTION("""COMPUTED_VALUE"""),44732.0)</f>
        <v>44732</v>
      </c>
      <c r="C15688" s="6">
        <f>IFERROR(__xludf.DUMMYFUNCTION("""COMPUTED_VALUE"""),0.26738425925941556)</f>
        <v>0.2673842593</v>
      </c>
      <c r="D15688" s="4">
        <f>IFERROR(__xludf.DUMMYFUNCTION("""COMPUTED_VALUE"""),12.937033)</f>
        <v>12.937033</v>
      </c>
      <c r="E15688" s="4">
        <f>IFERROR(__xludf.DUMMYFUNCTION("""COMPUTED_VALUE"""),80.127865)</f>
        <v>80.127865</v>
      </c>
      <c r="F15688" s="4">
        <f>IFERROR(__xludf.DUMMYFUNCTION("""COMPUTED_VALUE"""),805.0)</f>
        <v>805</v>
      </c>
      <c r="G15688" s="4">
        <f>IFERROR(__xludf.DUMMYFUNCTION("""COMPUTED_VALUE"""),44.0)</f>
        <v>44</v>
      </c>
      <c r="H15688" s="4"/>
      <c r="I15688" s="4"/>
    </row>
    <row r="15689">
      <c r="A15689" s="4" t="str">
        <f>IFERROR(__xludf.DUMMYFUNCTION("""COMPUTED_VALUE"""),"cas_hmw")</f>
        <v>cas_hmw</v>
      </c>
      <c r="B15689" s="5">
        <f>IFERROR(__xludf.DUMMYFUNCTION("""COMPUTED_VALUE"""),44732.0)</f>
        <v>44732</v>
      </c>
      <c r="C15689" s="6">
        <f>IFERROR(__xludf.DUMMYFUNCTION("""COMPUTED_VALUE"""),0.2674884259249666)</f>
        <v>0.2674884259</v>
      </c>
      <c r="D15689" s="4">
        <f>IFERROR(__xludf.DUMMYFUNCTION("""COMPUTED_VALUE"""),12.937033)</f>
        <v>12.937033</v>
      </c>
      <c r="E15689" s="4">
        <f>IFERROR(__xludf.DUMMYFUNCTION("""COMPUTED_VALUE"""),80.127865)</f>
        <v>80.127865</v>
      </c>
      <c r="F15689" s="4">
        <f>IFERROR(__xludf.DUMMYFUNCTION("""COMPUTED_VALUE"""),805.0)</f>
        <v>805</v>
      </c>
      <c r="G15689" s="4">
        <f>IFERROR(__xludf.DUMMYFUNCTION("""COMPUTED_VALUE"""),44.0)</f>
        <v>44</v>
      </c>
      <c r="H15689" s="4"/>
      <c r="I15689" s="4"/>
    </row>
    <row r="15690">
      <c r="A15690" s="4" t="str">
        <f>IFERROR(__xludf.DUMMYFUNCTION("""COMPUTED_VALUE"""),"cas_hmw")</f>
        <v>cas_hmw</v>
      </c>
      <c r="B15690" s="5">
        <f>IFERROR(__xludf.DUMMYFUNCTION("""COMPUTED_VALUE"""),44732.0)</f>
        <v>44732</v>
      </c>
      <c r="C15690" s="6">
        <f>IFERROR(__xludf.DUMMYFUNCTION("""COMPUTED_VALUE"""),0.2685763888875954)</f>
        <v>0.2685763889</v>
      </c>
      <c r="D15690" s="4">
        <f>IFERROR(__xludf.DUMMYFUNCTION("""COMPUTED_VALUE"""),13.010543)</f>
        <v>13.010543</v>
      </c>
      <c r="E15690" s="4">
        <f>IFERROR(__xludf.DUMMYFUNCTION("""COMPUTED_VALUE"""),80.216321)</f>
        <v>80.216321</v>
      </c>
      <c r="F15690" s="4">
        <f>IFERROR(__xludf.DUMMYFUNCTION("""COMPUTED_VALUE"""),5339.0)</f>
        <v>5339</v>
      </c>
      <c r="G15690" s="4">
        <f>IFERROR(__xludf.DUMMYFUNCTION("""COMPUTED_VALUE"""),50.0)</f>
        <v>50</v>
      </c>
      <c r="H15690" s="4"/>
      <c r="I15690" s="4"/>
    </row>
    <row r="15691">
      <c r="A15691" s="4" t="str">
        <f>IFERROR(__xludf.DUMMYFUNCTION("""COMPUTED_VALUE"""),"cas_hmw")</f>
        <v>cas_hmw</v>
      </c>
      <c r="B15691" s="5">
        <f>IFERROR(__xludf.DUMMYFUNCTION("""COMPUTED_VALUE"""),44732.0)</f>
        <v>44732</v>
      </c>
      <c r="C15691" s="6">
        <f>IFERROR(__xludf.DUMMYFUNCTION("""COMPUTED_VALUE"""),0.2687152777762094)</f>
        <v>0.2687152778</v>
      </c>
      <c r="D15691" s="4">
        <f>IFERROR(__xludf.DUMMYFUNCTION("""COMPUTED_VALUE"""),12.949223)</f>
        <v>12.949223</v>
      </c>
      <c r="E15691" s="4">
        <f>IFERROR(__xludf.DUMMYFUNCTION("""COMPUTED_VALUE"""),80.138428)</f>
        <v>80.138428</v>
      </c>
      <c r="F15691" s="4">
        <f>IFERROR(__xludf.DUMMYFUNCTION("""COMPUTED_VALUE"""),805.0)</f>
        <v>805</v>
      </c>
      <c r="G15691" s="4">
        <f>IFERROR(__xludf.DUMMYFUNCTION("""COMPUTED_VALUE"""),58.0)</f>
        <v>58</v>
      </c>
      <c r="H15691" s="4"/>
      <c r="I15691" s="4"/>
    </row>
    <row r="15692">
      <c r="A15692" s="4" t="str">
        <f>IFERROR(__xludf.DUMMYFUNCTION("""COMPUTED_VALUE"""),"cas_hmw")</f>
        <v>cas_hmw</v>
      </c>
      <c r="B15692" s="5">
        <f>IFERROR(__xludf.DUMMYFUNCTION("""COMPUTED_VALUE"""),44732.0)</f>
        <v>44732</v>
      </c>
      <c r="C15692" s="6">
        <f>IFERROR(__xludf.DUMMYFUNCTION("""COMPUTED_VALUE"""),0.26906249999956344)</f>
        <v>0.2690625</v>
      </c>
      <c r="D15692" s="4">
        <f>IFERROR(__xludf.DUMMYFUNCTION("""COMPUTED_VALUE"""),12.951155)</f>
        <v>12.951155</v>
      </c>
      <c r="E15692" s="4">
        <f>IFERROR(__xludf.DUMMYFUNCTION("""COMPUTED_VALUE"""),80.140008)</f>
        <v>80.140008</v>
      </c>
      <c r="F15692" s="4">
        <f>IFERROR(__xludf.DUMMYFUNCTION("""COMPUTED_VALUE"""),805.0)</f>
        <v>805</v>
      </c>
      <c r="G15692" s="4">
        <f>IFERROR(__xludf.DUMMYFUNCTION("""COMPUTED_VALUE"""),58.0)</f>
        <v>58</v>
      </c>
      <c r="H15692" s="4"/>
      <c r="I15692" s="4"/>
    </row>
    <row r="15693">
      <c r="A15693" s="4" t="str">
        <f>IFERROR(__xludf.DUMMYFUNCTION("""COMPUTED_VALUE"""),"cas_hmw")</f>
        <v>cas_hmw</v>
      </c>
      <c r="B15693" s="5">
        <f>IFERROR(__xludf.DUMMYFUNCTION("""COMPUTED_VALUE"""),44732.0)</f>
        <v>44732</v>
      </c>
      <c r="C15693" s="6">
        <f>IFERROR(__xludf.DUMMYFUNCTION("""COMPUTED_VALUE"""),0.26921296296131914)</f>
        <v>0.269212963</v>
      </c>
      <c r="D15693" s="4">
        <f>IFERROR(__xludf.DUMMYFUNCTION("""COMPUTED_VALUE"""),12.952588)</f>
        <v>12.952588</v>
      </c>
      <c r="E15693" s="4">
        <f>IFERROR(__xludf.DUMMYFUNCTION("""COMPUTED_VALUE"""),80.141102)</f>
        <v>80.141102</v>
      </c>
      <c r="F15693" s="4">
        <f>IFERROR(__xludf.DUMMYFUNCTION("""COMPUTED_VALUE"""),805.0)</f>
        <v>805</v>
      </c>
      <c r="G15693" s="4">
        <f>IFERROR(__xludf.DUMMYFUNCTION("""COMPUTED_VALUE"""),47.0)</f>
        <v>47</v>
      </c>
      <c r="H15693" s="4"/>
      <c r="I15693" s="4"/>
    </row>
    <row r="15694">
      <c r="A15694" s="4" t="str">
        <f>IFERROR(__xludf.DUMMYFUNCTION("""COMPUTED_VALUE"""),"cas_hmw")</f>
        <v>cas_hmw</v>
      </c>
      <c r="B15694" s="5">
        <f>IFERROR(__xludf.DUMMYFUNCTION("""COMPUTED_VALUE"""),44732.0)</f>
        <v>44732</v>
      </c>
      <c r="C15694" s="6">
        <f>IFERROR(__xludf.DUMMYFUNCTION("""COMPUTED_VALUE"""),0.2693749999998545)</f>
        <v>0.269375</v>
      </c>
      <c r="D15694" s="4">
        <f>IFERROR(__xludf.DUMMYFUNCTION("""COMPUTED_VALUE"""),12.954536)</f>
        <v>12.954536</v>
      </c>
      <c r="E15694" s="4">
        <f>IFERROR(__xludf.DUMMYFUNCTION("""COMPUTED_VALUE"""),80.142242)</f>
        <v>80.142242</v>
      </c>
      <c r="F15694" s="4">
        <f>IFERROR(__xludf.DUMMYFUNCTION("""COMPUTED_VALUE"""),805.0)</f>
        <v>805</v>
      </c>
      <c r="G15694" s="4">
        <f>IFERROR(__xludf.DUMMYFUNCTION("""COMPUTED_VALUE"""),57.0)</f>
        <v>57</v>
      </c>
      <c r="H15694" s="4"/>
      <c r="I15694" s="4"/>
    </row>
    <row r="15695">
      <c r="A15695" s="4" t="str">
        <f>IFERROR(__xludf.DUMMYFUNCTION("""COMPUTED_VALUE"""),"cas_hmw")</f>
        <v>cas_hmw</v>
      </c>
      <c r="B15695" s="5">
        <f>IFERROR(__xludf.DUMMYFUNCTION("""COMPUTED_VALUE"""),44732.0)</f>
        <v>44732</v>
      </c>
      <c r="C15695" s="6">
        <f>IFERROR(__xludf.DUMMYFUNCTION("""COMPUTED_VALUE"""),0.2695949074077362)</f>
        <v>0.2695949074</v>
      </c>
      <c r="D15695" s="4">
        <f>IFERROR(__xludf.DUMMYFUNCTION("""COMPUTED_VALUE"""),12.956229)</f>
        <v>12.956229</v>
      </c>
      <c r="E15695" s="4">
        <f>IFERROR(__xludf.DUMMYFUNCTION("""COMPUTED_VALUE"""),80.143126)</f>
        <v>80.143126</v>
      </c>
      <c r="F15695" s="4">
        <f>IFERROR(__xludf.DUMMYFUNCTION("""COMPUTED_VALUE"""),805.0)</f>
        <v>805</v>
      </c>
      <c r="G15695" s="4">
        <f>IFERROR(__xludf.DUMMYFUNCTION("""COMPUTED_VALUE"""),45.0)</f>
        <v>45</v>
      </c>
      <c r="H15695" s="4"/>
      <c r="I15695" s="4"/>
    </row>
    <row r="15696">
      <c r="A15696" s="4" t="str">
        <f>IFERROR(__xludf.DUMMYFUNCTION("""COMPUTED_VALUE"""),"cas_hmw")</f>
        <v>cas_hmw</v>
      </c>
      <c r="B15696" s="5">
        <f>IFERROR(__xludf.DUMMYFUNCTION("""COMPUTED_VALUE"""),44732.0)</f>
        <v>44732</v>
      </c>
      <c r="C15696" s="6">
        <f>IFERROR(__xludf.DUMMYFUNCTION("""COMPUTED_VALUE"""),0.27025462963138125)</f>
        <v>0.2702546296</v>
      </c>
      <c r="D15696" s="4">
        <f>IFERROR(__xludf.DUMMYFUNCTION("""COMPUTED_VALUE"""),12.960933)</f>
        <v>12.960933</v>
      </c>
      <c r="E15696" s="4">
        <f>IFERROR(__xludf.DUMMYFUNCTION("""COMPUTED_VALUE"""),80.1455)</f>
        <v>80.1455</v>
      </c>
      <c r="F15696" s="4">
        <f>IFERROR(__xludf.DUMMYFUNCTION("""COMPUTED_VALUE"""),805.0)</f>
        <v>805</v>
      </c>
      <c r="G15696" s="4">
        <f>IFERROR(__xludf.DUMMYFUNCTION("""COMPUTED_VALUE"""),42.0)</f>
        <v>42</v>
      </c>
      <c r="H15696" s="4"/>
      <c r="I15696" s="4"/>
    </row>
    <row r="15697">
      <c r="A15697" s="4" t="str">
        <f>IFERROR(__xludf.DUMMYFUNCTION("""COMPUTED_VALUE"""),"cas_hmw")</f>
        <v>cas_hmw</v>
      </c>
      <c r="B15697" s="5">
        <f>IFERROR(__xludf.DUMMYFUNCTION("""COMPUTED_VALUE"""),44732.0)</f>
        <v>44732</v>
      </c>
      <c r="C15697" s="6">
        <f>IFERROR(__xludf.DUMMYFUNCTION("""COMPUTED_VALUE"""),0.27033564814701094)</f>
        <v>0.2703356481</v>
      </c>
      <c r="D15697" s="4">
        <f>IFERROR(__xludf.DUMMYFUNCTION("""COMPUTED_VALUE"""),12.960933)</f>
        <v>12.960933</v>
      </c>
      <c r="E15697" s="4">
        <f>IFERROR(__xludf.DUMMYFUNCTION("""COMPUTED_VALUE"""),80.1455)</f>
        <v>80.1455</v>
      </c>
      <c r="F15697" s="4">
        <f>IFERROR(__xludf.DUMMYFUNCTION("""COMPUTED_VALUE"""),805.0)</f>
        <v>805</v>
      </c>
      <c r="G15697" s="4">
        <f>IFERROR(__xludf.DUMMYFUNCTION("""COMPUTED_VALUE"""),42.0)</f>
        <v>42</v>
      </c>
      <c r="H15697" s="4"/>
      <c r="I15697" s="4"/>
    </row>
    <row r="15698">
      <c r="A15698" s="4" t="str">
        <f>IFERROR(__xludf.DUMMYFUNCTION("""COMPUTED_VALUE"""),"cas_hmw")</f>
        <v>cas_hmw</v>
      </c>
      <c r="B15698" s="5">
        <f>IFERROR(__xludf.DUMMYFUNCTION("""COMPUTED_VALUE"""),44732.0)</f>
        <v>44732</v>
      </c>
      <c r="C15698" s="6">
        <f>IFERROR(__xludf.DUMMYFUNCTION("""COMPUTED_VALUE"""),0.27178240740613546)</f>
        <v>0.2717824074</v>
      </c>
      <c r="D15698" s="4">
        <f>IFERROR(__xludf.DUMMYFUNCTION("""COMPUTED_VALUE"""),13.025935)</f>
        <v>13.025935</v>
      </c>
      <c r="E15698" s="4">
        <f>IFERROR(__xludf.DUMMYFUNCTION("""COMPUTED_VALUE"""),80.230918)</f>
        <v>80.230918</v>
      </c>
      <c r="F15698" s="4">
        <f>IFERROR(__xludf.DUMMYFUNCTION("""COMPUTED_VALUE"""),5339.0)</f>
        <v>5339</v>
      </c>
      <c r="G15698" s="4">
        <f>IFERROR(__xludf.DUMMYFUNCTION("""COMPUTED_VALUE"""),34.0)</f>
        <v>34</v>
      </c>
      <c r="H15698" s="4"/>
      <c r="I15698" s="4"/>
    </row>
    <row r="15699">
      <c r="A15699" s="4" t="str">
        <f>IFERROR(__xludf.DUMMYFUNCTION("""COMPUTED_VALUE"""),"cas_hmw")</f>
        <v>cas_hmw</v>
      </c>
      <c r="B15699" s="5">
        <f>IFERROR(__xludf.DUMMYFUNCTION("""COMPUTED_VALUE"""),44732.0)</f>
        <v>44732</v>
      </c>
      <c r="C15699" s="6">
        <f>IFERROR(__xludf.DUMMYFUNCTION("""COMPUTED_VALUE"""),0.27283564814933925)</f>
        <v>0.2728356481</v>
      </c>
      <c r="D15699" s="4">
        <f>IFERROR(__xludf.DUMMYFUNCTION("""COMPUTED_VALUE"""),13.027943)</f>
        <v>13.027943</v>
      </c>
      <c r="E15699" s="4">
        <f>IFERROR(__xludf.DUMMYFUNCTION("""COMPUTED_VALUE"""),80.23531)</f>
        <v>80.23531</v>
      </c>
      <c r="F15699" s="4">
        <f>IFERROR(__xludf.DUMMYFUNCTION("""COMPUTED_VALUE"""),5339.0)</f>
        <v>5339</v>
      </c>
      <c r="G15699" s="4">
        <f>IFERROR(__xludf.DUMMYFUNCTION("""COMPUTED_VALUE"""),38.0)</f>
        <v>38</v>
      </c>
      <c r="H15699" s="4"/>
      <c r="I15699" s="4"/>
    </row>
    <row r="15700">
      <c r="A15700" s="4" t="str">
        <f>IFERROR(__xludf.DUMMYFUNCTION("""COMPUTED_VALUE"""),"cas_hmw")</f>
        <v>cas_hmw</v>
      </c>
      <c r="B15700" s="5">
        <f>IFERROR(__xludf.DUMMYFUNCTION("""COMPUTED_VALUE"""),44732.0)</f>
        <v>44732</v>
      </c>
      <c r="C15700" s="6">
        <f>IFERROR(__xludf.DUMMYFUNCTION("""COMPUTED_VALUE"""),0.27297453703795327)</f>
        <v>0.272974537</v>
      </c>
      <c r="D15700" s="4">
        <f>IFERROR(__xludf.DUMMYFUNCTION("""COMPUTED_VALUE"""),12.580284)</f>
        <v>12.580284</v>
      </c>
      <c r="E15700" s="4">
        <f>IFERROR(__xludf.DUMMYFUNCTION("""COMPUTED_VALUE"""),79.918497)</f>
        <v>79.918497</v>
      </c>
      <c r="F15700" s="4">
        <f>IFERROR(__xludf.DUMMYFUNCTION("""COMPUTED_VALUE"""),2846.0)</f>
        <v>2846</v>
      </c>
      <c r="G15700" s="4">
        <f>IFERROR(__xludf.DUMMYFUNCTION("""COMPUTED_VALUE"""),50.0)</f>
        <v>50</v>
      </c>
      <c r="H15700" s="4"/>
      <c r="I15700" s="4"/>
    </row>
    <row r="15701">
      <c r="A15701" s="4" t="str">
        <f>IFERROR(__xludf.DUMMYFUNCTION("""COMPUTED_VALUE"""),"cas_hmw")</f>
        <v>cas_hmw</v>
      </c>
      <c r="B15701" s="5">
        <f>IFERROR(__xludf.DUMMYFUNCTION("""COMPUTED_VALUE"""),44732.0)</f>
        <v>44732</v>
      </c>
      <c r="C15701" s="6">
        <f>IFERROR(__xludf.DUMMYFUNCTION("""COMPUTED_VALUE"""),0.27305555555722094)</f>
        <v>0.2730555556</v>
      </c>
      <c r="D15701" s="4">
        <f>IFERROR(__xludf.DUMMYFUNCTION("""COMPUTED_VALUE"""),12.984071)</f>
        <v>12.984071</v>
      </c>
      <c r="E15701" s="4">
        <f>IFERROR(__xludf.DUMMYFUNCTION("""COMPUTED_VALUE"""),80.171018)</f>
        <v>80.171018</v>
      </c>
      <c r="F15701" s="4">
        <f>IFERROR(__xludf.DUMMYFUNCTION("""COMPUTED_VALUE"""),805.0)</f>
        <v>805</v>
      </c>
      <c r="G15701" s="4">
        <f>IFERROR(__xludf.DUMMYFUNCTION("""COMPUTED_VALUE"""),58.0)</f>
        <v>58</v>
      </c>
      <c r="H15701" s="4"/>
      <c r="I15701" s="4"/>
    </row>
    <row r="15702">
      <c r="A15702" s="4" t="str">
        <f>IFERROR(__xludf.DUMMYFUNCTION("""COMPUTED_VALUE"""),"cas_hmw")</f>
        <v>cas_hmw</v>
      </c>
      <c r="B15702" s="5">
        <f>IFERROR(__xludf.DUMMYFUNCTION("""COMPUTED_VALUE"""),44732.0)</f>
        <v>44732</v>
      </c>
      <c r="C15702" s="6">
        <f>IFERROR(__xludf.DUMMYFUNCTION("""COMPUTED_VALUE"""),0.27390046296204673)</f>
        <v>0.273900463</v>
      </c>
      <c r="D15702" s="4">
        <f>IFERROR(__xludf.DUMMYFUNCTION("""COMPUTED_VALUE"""),12.989329)</f>
        <v>12.989329</v>
      </c>
      <c r="E15702" s="4">
        <f>IFERROR(__xludf.DUMMYFUNCTION("""COMPUTED_VALUE"""),80.178581)</f>
        <v>80.178581</v>
      </c>
      <c r="F15702" s="4">
        <f>IFERROR(__xludf.DUMMYFUNCTION("""COMPUTED_VALUE"""),805.0)</f>
        <v>805</v>
      </c>
      <c r="G15702" s="4">
        <f>IFERROR(__xludf.DUMMYFUNCTION("""COMPUTED_VALUE"""),31.0)</f>
        <v>31</v>
      </c>
      <c r="H15702" s="4"/>
      <c r="I15702" s="4"/>
    </row>
    <row r="15703">
      <c r="A15703" s="4" t="str">
        <f>IFERROR(__xludf.DUMMYFUNCTION("""COMPUTED_VALUE"""),"cas_hmw")</f>
        <v>cas_hmw</v>
      </c>
      <c r="B15703" s="5">
        <f>IFERROR(__xludf.DUMMYFUNCTION("""COMPUTED_VALUE"""),44732.0)</f>
        <v>44732</v>
      </c>
      <c r="C15703" s="6">
        <f>IFERROR(__xludf.DUMMYFUNCTION("""COMPUTED_VALUE"""),0.27417824073927477)</f>
        <v>0.2741782407</v>
      </c>
      <c r="D15703" s="4">
        <f>IFERROR(__xludf.DUMMYFUNCTION("""COMPUTED_VALUE"""),13.033422)</f>
        <v>13.033422</v>
      </c>
      <c r="E15703" s="4">
        <f>IFERROR(__xludf.DUMMYFUNCTION("""COMPUTED_VALUE"""),80.243772)</f>
        <v>80.243772</v>
      </c>
      <c r="F15703" s="4">
        <f>IFERROR(__xludf.DUMMYFUNCTION("""COMPUTED_VALUE"""),5339.0)</f>
        <v>5339</v>
      </c>
      <c r="G15703" s="4">
        <f>IFERROR(__xludf.DUMMYFUNCTION("""COMPUTED_VALUE"""),30.0)</f>
        <v>30</v>
      </c>
      <c r="H15703" s="4"/>
      <c r="I15703" s="4"/>
    </row>
    <row r="15704">
      <c r="A15704" s="4" t="str">
        <f>IFERROR(__xludf.DUMMYFUNCTION("""COMPUTED_VALUE"""),"cas_hmw")</f>
        <v>cas_hmw</v>
      </c>
      <c r="B15704" s="5">
        <f>IFERROR(__xludf.DUMMYFUNCTION("""COMPUTED_VALUE"""),44732.0)</f>
        <v>44732</v>
      </c>
      <c r="C15704" s="6">
        <f>IFERROR(__xludf.DUMMYFUNCTION("""COMPUTED_VALUE"""),0.2742708333316841)</f>
        <v>0.2742708333</v>
      </c>
      <c r="D15704" s="4">
        <f>IFERROR(__xludf.DUMMYFUNCTION("""COMPUTED_VALUE"""),12.990258)</f>
        <v>12.990258</v>
      </c>
      <c r="E15704" s="4">
        <f>IFERROR(__xludf.DUMMYFUNCTION("""COMPUTED_VALUE"""),80.179782)</f>
        <v>80.179782</v>
      </c>
      <c r="F15704" s="4">
        <f>IFERROR(__xludf.DUMMYFUNCTION("""COMPUTED_VALUE"""),805.0)</f>
        <v>805</v>
      </c>
      <c r="G15704" s="4">
        <f>IFERROR(__xludf.DUMMYFUNCTION("""COMPUTED_VALUE"""),24.0)</f>
        <v>24</v>
      </c>
      <c r="H15704" s="4"/>
      <c r="I15704" s="4"/>
    </row>
    <row r="15705">
      <c r="A15705" s="4" t="str">
        <f>IFERROR(__xludf.DUMMYFUNCTION("""COMPUTED_VALUE"""),"cas_hmw")</f>
        <v>cas_hmw</v>
      </c>
      <c r="B15705" s="5">
        <f>IFERROR(__xludf.DUMMYFUNCTION("""COMPUTED_VALUE"""),44732.0)</f>
        <v>44732</v>
      </c>
      <c r="C15705" s="6">
        <f>IFERROR(__xludf.DUMMYFUNCTION("""COMPUTED_VALUE"""),0.2744212962970778)</f>
        <v>0.2744212963</v>
      </c>
      <c r="D15705" s="4">
        <f>IFERROR(__xludf.DUMMYFUNCTION("""COMPUTED_VALUE"""),12.991384)</f>
        <v>12.991384</v>
      </c>
      <c r="E15705" s="4">
        <f>IFERROR(__xludf.DUMMYFUNCTION("""COMPUTED_VALUE"""),80.181259)</f>
        <v>80.181259</v>
      </c>
      <c r="F15705" s="4">
        <f>IFERROR(__xludf.DUMMYFUNCTION("""COMPUTED_VALUE"""),805.0)</f>
        <v>805</v>
      </c>
      <c r="G15705" s="4">
        <f>IFERROR(__xludf.DUMMYFUNCTION("""COMPUTED_VALUE"""),48.0)</f>
        <v>48</v>
      </c>
      <c r="H15705" s="4"/>
      <c r="I15705" s="4"/>
    </row>
    <row r="15706">
      <c r="A15706" s="4" t="str">
        <f>IFERROR(__xludf.DUMMYFUNCTION("""COMPUTED_VALUE"""),"cas_hmw")</f>
        <v>cas_hmw</v>
      </c>
      <c r="B15706" s="5">
        <f>IFERROR(__xludf.DUMMYFUNCTION("""COMPUTED_VALUE"""),44732.0)</f>
        <v>44732</v>
      </c>
      <c r="C15706" s="6">
        <f>IFERROR(__xludf.DUMMYFUNCTION("""COMPUTED_VALUE"""),0.27483796296291985)</f>
        <v>0.274837963</v>
      </c>
      <c r="D15706" s="4">
        <f>IFERROR(__xludf.DUMMYFUNCTION("""COMPUTED_VALUE"""),12.993645)</f>
        <v>12.993645</v>
      </c>
      <c r="E15706" s="4">
        <f>IFERROR(__xludf.DUMMYFUNCTION("""COMPUTED_VALUE"""),80.18478)</f>
        <v>80.18478</v>
      </c>
      <c r="F15706" s="4">
        <f>IFERROR(__xludf.DUMMYFUNCTION("""COMPUTED_VALUE"""),805.0)</f>
        <v>805</v>
      </c>
      <c r="G15706" s="4">
        <f>IFERROR(__xludf.DUMMYFUNCTION("""COMPUTED_VALUE"""),26.0)</f>
        <v>26</v>
      </c>
      <c r="H15706" s="4"/>
      <c r="I15706" s="4"/>
    </row>
    <row r="15707">
      <c r="A15707" s="4" t="str">
        <f>IFERROR(__xludf.DUMMYFUNCTION("""COMPUTED_VALUE"""),"cas_hmw")</f>
        <v>cas_hmw</v>
      </c>
      <c r="B15707" s="5">
        <f>IFERROR(__xludf.DUMMYFUNCTION("""COMPUTED_VALUE"""),44732.0)</f>
        <v>44732</v>
      </c>
      <c r="C15707" s="6">
        <f>IFERROR(__xludf.DUMMYFUNCTION("""COMPUTED_VALUE"""),0.27483796296291985)</f>
        <v>0.274837963</v>
      </c>
      <c r="D15707" s="4">
        <f>IFERROR(__xludf.DUMMYFUNCTION("""COMPUTED_VALUE"""),12.993645)</f>
        <v>12.993645</v>
      </c>
      <c r="E15707" s="4">
        <f>IFERROR(__xludf.DUMMYFUNCTION("""COMPUTED_VALUE"""),80.18478)</f>
        <v>80.18478</v>
      </c>
      <c r="F15707" s="4">
        <f>IFERROR(__xludf.DUMMYFUNCTION("""COMPUTED_VALUE"""),805.0)</f>
        <v>805</v>
      </c>
      <c r="G15707" s="4">
        <f>IFERROR(__xludf.DUMMYFUNCTION("""COMPUTED_VALUE"""),26.0)</f>
        <v>26</v>
      </c>
      <c r="H15707" s="4"/>
      <c r="I15707" s="4"/>
    </row>
    <row r="15708">
      <c r="A15708" s="4" t="str">
        <f>IFERROR(__xludf.DUMMYFUNCTION("""COMPUTED_VALUE"""),"cas_hmw")</f>
        <v>cas_hmw</v>
      </c>
      <c r="B15708" s="5">
        <f>IFERROR(__xludf.DUMMYFUNCTION("""COMPUTED_VALUE"""),44732.0)</f>
        <v>44732</v>
      </c>
      <c r="C15708" s="6">
        <f>IFERROR(__xludf.DUMMYFUNCTION("""COMPUTED_VALUE"""),0.276226851852698)</f>
        <v>0.2762268519</v>
      </c>
      <c r="D15708" s="4">
        <f>IFERROR(__xludf.DUMMYFUNCTION("""COMPUTED_VALUE"""),12.999205)</f>
        <v>12.999205</v>
      </c>
      <c r="E15708" s="4">
        <f>IFERROR(__xludf.DUMMYFUNCTION("""COMPUTED_VALUE"""),80.193147)</f>
        <v>80.193147</v>
      </c>
      <c r="F15708" s="4">
        <f>IFERROR(__xludf.DUMMYFUNCTION("""COMPUTED_VALUE"""),805.0)</f>
        <v>805</v>
      </c>
      <c r="G15708" s="4">
        <f>IFERROR(__xludf.DUMMYFUNCTION("""COMPUTED_VALUE"""),55.0)</f>
        <v>55</v>
      </c>
      <c r="H15708" s="4"/>
      <c r="I15708" s="4"/>
    </row>
    <row r="15709">
      <c r="A15709" s="4" t="str">
        <f>IFERROR(__xludf.DUMMYFUNCTION("""COMPUTED_VALUE"""),"cas_hmw")</f>
        <v>cas_hmw</v>
      </c>
      <c r="B15709" s="5">
        <f>IFERROR(__xludf.DUMMYFUNCTION("""COMPUTED_VALUE"""),44732.0)</f>
        <v>44732</v>
      </c>
      <c r="C15709" s="6">
        <f>IFERROR(__xludf.DUMMYFUNCTION("""COMPUTED_VALUE"""),0.2767476851840911)</f>
        <v>0.2767476852</v>
      </c>
      <c r="D15709" s="4">
        <f>IFERROR(__xludf.DUMMYFUNCTION("""COMPUTED_VALUE"""),13.00193)</f>
        <v>13.00193</v>
      </c>
      <c r="E15709" s="4">
        <f>IFERROR(__xludf.DUMMYFUNCTION("""COMPUTED_VALUE"""),80.198476)</f>
        <v>80.198476</v>
      </c>
      <c r="F15709" s="4">
        <f>IFERROR(__xludf.DUMMYFUNCTION("""COMPUTED_VALUE"""),805.0)</f>
        <v>805</v>
      </c>
      <c r="G15709" s="4">
        <f>IFERROR(__xludf.DUMMYFUNCTION("""COMPUTED_VALUE"""),59.0)</f>
        <v>59</v>
      </c>
      <c r="H15709" s="4"/>
      <c r="I15709" s="4"/>
    </row>
    <row r="15710">
      <c r="A15710" s="4" t="str">
        <f>IFERROR(__xludf.DUMMYFUNCTION("""COMPUTED_VALUE"""),"cas_hmw")</f>
        <v>cas_hmw</v>
      </c>
      <c r="B15710" s="5">
        <f>IFERROR(__xludf.DUMMYFUNCTION("""COMPUTED_VALUE"""),44732.0)</f>
        <v>44732</v>
      </c>
      <c r="C15710" s="6">
        <f>IFERROR(__xludf.DUMMYFUNCTION("""COMPUTED_VALUE"""),0.27701388888817746)</f>
        <v>0.2770138889</v>
      </c>
      <c r="D15710" s="4">
        <f>IFERROR(__xludf.DUMMYFUNCTION("""COMPUTED_VALUE"""),13.045407)</f>
        <v>13.045407</v>
      </c>
      <c r="E15710" s="4">
        <f>IFERROR(__xludf.DUMMYFUNCTION("""COMPUTED_VALUE"""),80.248099)</f>
        <v>80.248099</v>
      </c>
      <c r="F15710" s="4">
        <f>IFERROR(__xludf.DUMMYFUNCTION("""COMPUTED_VALUE"""),5339.0)</f>
        <v>5339</v>
      </c>
      <c r="G15710" s="4">
        <f>IFERROR(__xludf.DUMMYFUNCTION("""COMPUTED_VALUE"""),35.0)</f>
        <v>35</v>
      </c>
      <c r="H15710" s="4"/>
      <c r="I15710" s="4"/>
    </row>
    <row r="15711">
      <c r="A15711" s="4" t="str">
        <f>IFERROR(__xludf.DUMMYFUNCTION("""COMPUTED_VALUE"""),"cas_hmw")</f>
        <v>cas_hmw</v>
      </c>
      <c r="B15711" s="5">
        <f>IFERROR(__xludf.DUMMYFUNCTION("""COMPUTED_VALUE"""),44732.0)</f>
        <v>44732</v>
      </c>
      <c r="C15711" s="6">
        <f>IFERROR(__xludf.DUMMYFUNCTION("""COMPUTED_VALUE"""),0.27709490740744513)</f>
        <v>0.2770949074</v>
      </c>
      <c r="D15711" s="4">
        <f>IFERROR(__xludf.DUMMYFUNCTION("""COMPUTED_VALUE"""),13.002962)</f>
        <v>13.002962</v>
      </c>
      <c r="E15711" s="4">
        <f>IFERROR(__xludf.DUMMYFUNCTION("""COMPUTED_VALUE"""),80.200716)</f>
        <v>80.200716</v>
      </c>
      <c r="F15711" s="4">
        <f>IFERROR(__xludf.DUMMYFUNCTION("""COMPUTED_VALUE"""),805.0)</f>
        <v>805</v>
      </c>
      <c r="G15711" s="4">
        <f>IFERROR(__xludf.DUMMYFUNCTION("""COMPUTED_VALUE"""),7.0)</f>
        <v>7</v>
      </c>
      <c r="H15711" s="4"/>
      <c r="I15711" s="4"/>
    </row>
    <row r="15712">
      <c r="A15712" s="4" t="str">
        <f>IFERROR(__xludf.DUMMYFUNCTION("""COMPUTED_VALUE"""),"cas_hmw")</f>
        <v>cas_hmw</v>
      </c>
      <c r="B15712" s="5">
        <f>IFERROR(__xludf.DUMMYFUNCTION("""COMPUTED_VALUE"""),44732.0)</f>
        <v>44732</v>
      </c>
      <c r="C15712" s="6">
        <f>IFERROR(__xludf.DUMMYFUNCTION("""COMPUTED_VALUE"""),0.27712962963050813)</f>
        <v>0.2771296296</v>
      </c>
      <c r="D15712" s="4">
        <f>IFERROR(__xludf.DUMMYFUNCTION("""COMPUTED_VALUE"""),13.002962)</f>
        <v>13.002962</v>
      </c>
      <c r="E15712" s="4">
        <f>IFERROR(__xludf.DUMMYFUNCTION("""COMPUTED_VALUE"""),80.200716)</f>
        <v>80.200716</v>
      </c>
      <c r="F15712" s="4">
        <f>IFERROR(__xludf.DUMMYFUNCTION("""COMPUTED_VALUE"""),805.0)</f>
        <v>805</v>
      </c>
      <c r="G15712" s="4">
        <f>IFERROR(__xludf.DUMMYFUNCTION("""COMPUTED_VALUE"""),7.0)</f>
        <v>7</v>
      </c>
      <c r="H15712" s="4"/>
      <c r="I15712" s="4"/>
    </row>
    <row r="15713">
      <c r="A15713" s="4" t="str">
        <f>IFERROR(__xludf.DUMMYFUNCTION("""COMPUTED_VALUE"""),"cas_hmw")</f>
        <v>cas_hmw</v>
      </c>
      <c r="B15713" s="5">
        <f>IFERROR(__xludf.DUMMYFUNCTION("""COMPUTED_VALUE"""),44732.0)</f>
        <v>44732</v>
      </c>
      <c r="C15713" s="6">
        <f>IFERROR(__xludf.DUMMYFUNCTION("""COMPUTED_VALUE"""),0.27712962963050813)</f>
        <v>0.2771296296</v>
      </c>
      <c r="D15713" s="4">
        <f>IFERROR(__xludf.DUMMYFUNCTION("""COMPUTED_VALUE"""),13.002962)</f>
        <v>13.002962</v>
      </c>
      <c r="E15713" s="4">
        <f>IFERROR(__xludf.DUMMYFUNCTION("""COMPUTED_VALUE"""),80.200716)</f>
        <v>80.200716</v>
      </c>
      <c r="F15713" s="4">
        <f>IFERROR(__xludf.DUMMYFUNCTION("""COMPUTED_VALUE"""),805.0)</f>
        <v>805</v>
      </c>
      <c r="G15713" s="4">
        <f>IFERROR(__xludf.DUMMYFUNCTION("""COMPUTED_VALUE"""),7.0)</f>
        <v>7</v>
      </c>
      <c r="H15713" s="4"/>
      <c r="I15713" s="4"/>
    </row>
    <row r="15714">
      <c r="A15714" s="4" t="str">
        <f>IFERROR(__xludf.DUMMYFUNCTION("""COMPUTED_VALUE"""),"cas_hmw")</f>
        <v>cas_hmw</v>
      </c>
      <c r="B15714" s="5">
        <f>IFERROR(__xludf.DUMMYFUNCTION("""COMPUTED_VALUE"""),44732.0)</f>
        <v>44732</v>
      </c>
      <c r="C15714" s="6">
        <f>IFERROR(__xludf.DUMMYFUNCTION("""COMPUTED_VALUE"""),0.2775810185194132)</f>
        <v>0.2775810185</v>
      </c>
      <c r="D15714" s="4">
        <f>IFERROR(__xludf.DUMMYFUNCTION("""COMPUTED_VALUE"""),13.050004)</f>
        <v>13.050004</v>
      </c>
      <c r="E15714" s="4">
        <f>IFERROR(__xludf.DUMMYFUNCTION("""COMPUTED_VALUE"""),80.249803)</f>
        <v>80.249803</v>
      </c>
      <c r="F15714" s="4">
        <f>IFERROR(__xludf.DUMMYFUNCTION("""COMPUTED_VALUE"""),5339.0)</f>
        <v>5339</v>
      </c>
      <c r="G15714" s="4">
        <f>IFERROR(__xludf.DUMMYFUNCTION("""COMPUTED_VALUE"""),45.0)</f>
        <v>45</v>
      </c>
      <c r="H15714" s="4"/>
      <c r="I15714" s="4"/>
    </row>
    <row r="15715">
      <c r="A15715" s="4" t="str">
        <f>IFERROR(__xludf.DUMMYFUNCTION("""COMPUTED_VALUE"""),"cas_hmw")</f>
        <v>cas_hmw</v>
      </c>
      <c r="B15715" s="5">
        <f>IFERROR(__xludf.DUMMYFUNCTION("""COMPUTED_VALUE"""),44732.0)</f>
        <v>44732</v>
      </c>
      <c r="C15715" s="6">
        <f>IFERROR(__xludf.DUMMYFUNCTION("""COMPUTED_VALUE"""),0.2779398148159089)</f>
        <v>0.2779398148</v>
      </c>
      <c r="D15715" s="4">
        <f>IFERROR(__xludf.DUMMYFUNCTION("""COMPUTED_VALUE"""),13.050004)</f>
        <v>13.050004</v>
      </c>
      <c r="E15715" s="4">
        <f>IFERROR(__xludf.DUMMYFUNCTION("""COMPUTED_VALUE"""),80.249803)</f>
        <v>80.249803</v>
      </c>
      <c r="F15715" s="4">
        <f>IFERROR(__xludf.DUMMYFUNCTION("""COMPUTED_VALUE"""),5339.0)</f>
        <v>5339</v>
      </c>
      <c r="G15715" s="4">
        <f>IFERROR(__xludf.DUMMYFUNCTION("""COMPUTED_VALUE"""),45.0)</f>
        <v>45</v>
      </c>
      <c r="H15715" s="4"/>
      <c r="I15715" s="4"/>
    </row>
    <row r="15716">
      <c r="A15716" s="4" t="str">
        <f>IFERROR(__xludf.DUMMYFUNCTION("""COMPUTED_VALUE"""),"cas_hmw")</f>
        <v>cas_hmw</v>
      </c>
      <c r="B15716" s="5">
        <f>IFERROR(__xludf.DUMMYFUNCTION("""COMPUTED_VALUE"""),44732.0)</f>
        <v>44732</v>
      </c>
      <c r="C15716" s="6">
        <f>IFERROR(__xludf.DUMMYFUNCTION("""COMPUTED_VALUE"""),0.27796296296219225)</f>
        <v>0.277962963</v>
      </c>
      <c r="D15716" s="4">
        <f>IFERROR(__xludf.DUMMYFUNCTION("""COMPUTED_VALUE"""),13.053524)</f>
        <v>13.053524</v>
      </c>
      <c r="E15716" s="4">
        <f>IFERROR(__xludf.DUMMYFUNCTION("""COMPUTED_VALUE"""),80.252538)</f>
        <v>80.252538</v>
      </c>
      <c r="F15716" s="4">
        <f>IFERROR(__xludf.DUMMYFUNCTION("""COMPUTED_VALUE"""),5339.0)</f>
        <v>5339</v>
      </c>
      <c r="G15716" s="4">
        <f>IFERROR(__xludf.DUMMYFUNCTION("""COMPUTED_VALUE"""),48.0)</f>
        <v>48</v>
      </c>
      <c r="H15716" s="4"/>
      <c r="I15716" s="4"/>
    </row>
    <row r="15717">
      <c r="A15717" s="4" t="str">
        <f>IFERROR(__xludf.DUMMYFUNCTION("""COMPUTED_VALUE"""),"cas_hmw")</f>
        <v>cas_hmw</v>
      </c>
      <c r="B15717" s="5">
        <f>IFERROR(__xludf.DUMMYFUNCTION("""COMPUTED_VALUE"""),44732.0)</f>
        <v>44732</v>
      </c>
      <c r="C15717" s="6">
        <f>IFERROR(__xludf.DUMMYFUNCTION("""COMPUTED_VALUE"""),0.27814814814701094)</f>
        <v>0.2781481481</v>
      </c>
      <c r="D15717" s="4">
        <f>IFERROR(__xludf.DUMMYFUNCTION("""COMPUTED_VALUE"""),13.05421)</f>
        <v>13.05421</v>
      </c>
      <c r="E15717" s="4">
        <f>IFERROR(__xludf.DUMMYFUNCTION("""COMPUTED_VALUE"""),80.253511)</f>
        <v>80.253511</v>
      </c>
      <c r="F15717" s="4">
        <f>IFERROR(__xludf.DUMMYFUNCTION("""COMPUTED_VALUE"""),5339.0)</f>
        <v>5339</v>
      </c>
      <c r="G15717" s="4">
        <f>IFERROR(__xludf.DUMMYFUNCTION("""COMPUTED_VALUE"""),46.0)</f>
        <v>46</v>
      </c>
      <c r="H15717" s="4"/>
      <c r="I15717" s="4"/>
    </row>
    <row r="15718">
      <c r="A15718" s="4" t="str">
        <f>IFERROR(__xludf.DUMMYFUNCTION("""COMPUTED_VALUE"""),"cas_hmw")</f>
        <v>cas_hmw</v>
      </c>
      <c r="B15718" s="5">
        <f>IFERROR(__xludf.DUMMYFUNCTION("""COMPUTED_VALUE"""),44732.0)</f>
        <v>44732</v>
      </c>
      <c r="C15718" s="6">
        <f>IFERROR(__xludf.DUMMYFUNCTION("""COMPUTED_VALUE"""),0.27934027777882875)</f>
        <v>0.2793402778</v>
      </c>
      <c r="D15718" s="4">
        <f>IFERROR(__xludf.DUMMYFUNCTION("""COMPUTED_VALUE"""),13.061573)</f>
        <v>13.061573</v>
      </c>
      <c r="E15718" s="4">
        <f>IFERROR(__xludf.DUMMYFUNCTION("""COMPUTED_VALUE"""),80.254428)</f>
        <v>80.254428</v>
      </c>
      <c r="F15718" s="4">
        <f>IFERROR(__xludf.DUMMYFUNCTION("""COMPUTED_VALUE"""),5339.0)</f>
        <v>5339</v>
      </c>
      <c r="G15718" s="4">
        <f>IFERROR(__xludf.DUMMYFUNCTION("""COMPUTED_VALUE"""),31.0)</f>
        <v>31</v>
      </c>
      <c r="H15718" s="4"/>
      <c r="I15718" s="4"/>
    </row>
    <row r="15719">
      <c r="A15719" s="4" t="str">
        <f>IFERROR(__xludf.DUMMYFUNCTION("""COMPUTED_VALUE"""),"cas_hmw")</f>
        <v>cas_hmw</v>
      </c>
      <c r="B15719" s="5">
        <f>IFERROR(__xludf.DUMMYFUNCTION("""COMPUTED_VALUE"""),44732.0)</f>
        <v>44732</v>
      </c>
      <c r="C15719" s="6">
        <f>IFERROR(__xludf.DUMMYFUNCTION("""COMPUTED_VALUE"""),0.28018518518365454)</f>
        <v>0.2801851852</v>
      </c>
      <c r="D15719" s="4">
        <f>IFERROR(__xludf.DUMMYFUNCTION("""COMPUTED_VALUE"""),13.016944)</f>
        <v>13.016944</v>
      </c>
      <c r="E15719" s="4">
        <f>IFERROR(__xludf.DUMMYFUNCTION("""COMPUTED_VALUE"""),80.225221)</f>
        <v>80.225221</v>
      </c>
      <c r="F15719" s="4">
        <f>IFERROR(__xludf.DUMMYFUNCTION("""COMPUTED_VALUE"""),805.0)</f>
        <v>805</v>
      </c>
      <c r="G15719" s="4">
        <f>IFERROR(__xludf.DUMMYFUNCTION("""COMPUTED_VALUE"""),58.0)</f>
        <v>58</v>
      </c>
      <c r="H15719" s="4"/>
      <c r="I15719" s="4"/>
    </row>
    <row r="15720">
      <c r="A15720" s="4" t="str">
        <f>IFERROR(__xludf.DUMMYFUNCTION("""COMPUTED_VALUE"""),"cas_hmw")</f>
        <v>cas_hmw</v>
      </c>
      <c r="B15720" s="5">
        <f>IFERROR(__xludf.DUMMYFUNCTION("""COMPUTED_VALUE"""),44732.0)</f>
        <v>44732</v>
      </c>
      <c r="C15720" s="6">
        <f>IFERROR(__xludf.DUMMYFUNCTION("""COMPUTED_VALUE"""),0.28075231481489027)</f>
        <v>0.2807523148</v>
      </c>
      <c r="D15720" s="4">
        <f>IFERROR(__xludf.DUMMYFUNCTION("""COMPUTED_VALUE"""),13.021782)</f>
        <v>13.021782</v>
      </c>
      <c r="E15720" s="4">
        <f>IFERROR(__xludf.DUMMYFUNCTION("""COMPUTED_VALUE"""),80.226015)</f>
        <v>80.226015</v>
      </c>
      <c r="F15720" s="4">
        <f>IFERROR(__xludf.DUMMYFUNCTION("""COMPUTED_VALUE"""),805.0)</f>
        <v>805</v>
      </c>
      <c r="G15720" s="4">
        <f>IFERROR(__xludf.DUMMYFUNCTION("""COMPUTED_VALUE"""),42.0)</f>
        <v>42</v>
      </c>
      <c r="H15720" s="4"/>
      <c r="I15720" s="4"/>
    </row>
    <row r="15721">
      <c r="A15721" s="4" t="str">
        <f>IFERROR(__xludf.DUMMYFUNCTION("""COMPUTED_VALUE"""),"cas_hmw")</f>
        <v>cas_hmw</v>
      </c>
      <c r="B15721" s="5">
        <f>IFERROR(__xludf.DUMMYFUNCTION("""COMPUTED_VALUE"""),44732.0)</f>
        <v>44732</v>
      </c>
      <c r="C15721" s="6">
        <f>IFERROR(__xludf.DUMMYFUNCTION("""COMPUTED_VALUE"""),0.28113425925766933)</f>
        <v>0.2811342593</v>
      </c>
      <c r="D15721" s="4">
        <f>IFERROR(__xludf.DUMMYFUNCTION("""COMPUTED_VALUE"""),13.024008)</f>
        <v>13.024008</v>
      </c>
      <c r="E15721" s="4">
        <f>IFERROR(__xludf.DUMMYFUNCTION("""COMPUTED_VALUE"""),80.228103)</f>
        <v>80.228103</v>
      </c>
      <c r="F15721" s="4">
        <f>IFERROR(__xludf.DUMMYFUNCTION("""COMPUTED_VALUE"""),805.0)</f>
        <v>805</v>
      </c>
      <c r="G15721" s="4">
        <f>IFERROR(__xludf.DUMMYFUNCTION("""COMPUTED_VALUE"""),40.0)</f>
        <v>40</v>
      </c>
      <c r="H15721" s="4"/>
      <c r="I15721" s="4"/>
    </row>
    <row r="15722">
      <c r="A15722" s="4" t="str">
        <f>IFERROR(__xludf.DUMMYFUNCTION("""COMPUTED_VALUE"""),"cas_hmw")</f>
        <v>cas_hmw</v>
      </c>
      <c r="B15722" s="5">
        <f>IFERROR(__xludf.DUMMYFUNCTION("""COMPUTED_VALUE"""),44732.0)</f>
        <v>44732</v>
      </c>
      <c r="C15722" s="6">
        <f>IFERROR(__xludf.DUMMYFUNCTION("""COMPUTED_VALUE"""),0.28224537037021946)</f>
        <v>0.2822453704</v>
      </c>
      <c r="D15722" s="4">
        <f>IFERROR(__xludf.DUMMYFUNCTION("""COMPUTED_VALUE"""),13.028946)</f>
        <v>13.028946</v>
      </c>
      <c r="E15722" s="4">
        <f>IFERROR(__xludf.DUMMYFUNCTION("""COMPUTED_VALUE"""),80.23644)</f>
        <v>80.23644</v>
      </c>
      <c r="F15722" s="4">
        <f>IFERROR(__xludf.DUMMYFUNCTION("""COMPUTED_VALUE"""),805.0)</f>
        <v>805</v>
      </c>
      <c r="G15722" s="4">
        <f>IFERROR(__xludf.DUMMYFUNCTION("""COMPUTED_VALUE"""),38.0)</f>
        <v>38</v>
      </c>
      <c r="H15722" s="4"/>
      <c r="I15722" s="4"/>
    </row>
    <row r="15723">
      <c r="A15723" s="4" t="str">
        <f>IFERROR(__xludf.DUMMYFUNCTION("""COMPUTED_VALUE"""),"cas_hmw")</f>
        <v>cas_hmw</v>
      </c>
      <c r="B15723" s="5">
        <f>IFERROR(__xludf.DUMMYFUNCTION("""COMPUTED_VALUE"""),44732.0)</f>
        <v>44732</v>
      </c>
      <c r="C15723" s="6">
        <f>IFERROR(__xludf.DUMMYFUNCTION("""COMPUTED_VALUE"""),0.28239583333197515)</f>
        <v>0.2823958333</v>
      </c>
      <c r="D15723" s="4">
        <f>IFERROR(__xludf.DUMMYFUNCTION("""COMPUTED_VALUE"""),13.02956)</f>
        <v>13.02956</v>
      </c>
      <c r="E15723" s="4">
        <f>IFERROR(__xludf.DUMMYFUNCTION("""COMPUTED_VALUE"""),80.237152)</f>
        <v>80.237152</v>
      </c>
      <c r="F15723" s="4">
        <f>IFERROR(__xludf.DUMMYFUNCTION("""COMPUTED_VALUE"""),805.0)</f>
        <v>805</v>
      </c>
      <c r="G15723" s="4">
        <f>IFERROR(__xludf.DUMMYFUNCTION("""COMPUTED_VALUE"""),30.0)</f>
        <v>30</v>
      </c>
      <c r="H15723" s="4"/>
      <c r="I15723" s="4"/>
    </row>
    <row r="15724">
      <c r="A15724" s="4" t="str">
        <f>IFERROR(__xludf.DUMMYFUNCTION("""COMPUTED_VALUE"""),"cas_hmw")</f>
        <v>cas_hmw</v>
      </c>
      <c r="B15724" s="5">
        <f>IFERROR(__xludf.DUMMYFUNCTION("""COMPUTED_VALUE"""),44732.0)</f>
        <v>44732</v>
      </c>
      <c r="C15724" s="6">
        <f>IFERROR(__xludf.DUMMYFUNCTION("""COMPUTED_VALUE"""),0.28278935185153387)</f>
        <v>0.2827893519</v>
      </c>
      <c r="D15724" s="4">
        <f>IFERROR(__xludf.DUMMYFUNCTION("""COMPUTED_VALUE"""),13.031233)</f>
        <v>13.031233</v>
      </c>
      <c r="E15724" s="4">
        <f>IFERROR(__xludf.DUMMYFUNCTION("""COMPUTED_VALUE"""),80.239872)</f>
        <v>80.239872</v>
      </c>
      <c r="F15724" s="4">
        <f>IFERROR(__xludf.DUMMYFUNCTION("""COMPUTED_VALUE"""),805.0)</f>
        <v>805</v>
      </c>
      <c r="G15724" s="4">
        <f>IFERROR(__xludf.DUMMYFUNCTION("""COMPUTED_VALUE"""),28.0)</f>
        <v>28</v>
      </c>
      <c r="H15724" s="4"/>
      <c r="I15724" s="4"/>
    </row>
    <row r="15725">
      <c r="A15725" s="4" t="str">
        <f>IFERROR(__xludf.DUMMYFUNCTION("""COMPUTED_VALUE"""),"cas_hmw")</f>
        <v>cas_hmw</v>
      </c>
      <c r="B15725" s="5">
        <f>IFERROR(__xludf.DUMMYFUNCTION("""COMPUTED_VALUE"""),44732.0)</f>
        <v>44732</v>
      </c>
      <c r="C15725" s="6">
        <f>IFERROR(__xludf.DUMMYFUNCTION("""COMPUTED_VALUE"""),0.28305555555562023)</f>
        <v>0.2830555556</v>
      </c>
      <c r="D15725" s="4">
        <f>IFERROR(__xludf.DUMMYFUNCTION("""COMPUTED_VALUE"""),13.031933)</f>
        <v>13.031933</v>
      </c>
      <c r="E15725" s="4">
        <f>IFERROR(__xludf.DUMMYFUNCTION("""COMPUTED_VALUE"""),80.241352)</f>
        <v>80.241352</v>
      </c>
      <c r="F15725" s="4">
        <f>IFERROR(__xludf.DUMMYFUNCTION("""COMPUTED_VALUE"""),805.0)</f>
        <v>805</v>
      </c>
      <c r="G15725" s="4">
        <f>IFERROR(__xludf.DUMMYFUNCTION("""COMPUTED_VALUE"""),33.0)</f>
        <v>33</v>
      </c>
      <c r="H15725" s="4"/>
      <c r="I15725" s="4"/>
    </row>
    <row r="15726">
      <c r="A15726" s="4" t="str">
        <f>IFERROR(__xludf.DUMMYFUNCTION("""COMPUTED_VALUE"""),"cas_hmw")</f>
        <v>cas_hmw</v>
      </c>
      <c r="B15726" s="5">
        <f>IFERROR(__xludf.DUMMYFUNCTION("""COMPUTED_VALUE"""),44732.0)</f>
        <v>44732</v>
      </c>
      <c r="C15726" s="6">
        <f>IFERROR(__xludf.DUMMYFUNCTION("""COMPUTED_VALUE"""),0.2830671296287619)</f>
        <v>0.2830671296</v>
      </c>
      <c r="D15726" s="4">
        <f>IFERROR(__xludf.DUMMYFUNCTION("""COMPUTED_VALUE"""),13.031933)</f>
        <v>13.031933</v>
      </c>
      <c r="E15726" s="4">
        <f>IFERROR(__xludf.DUMMYFUNCTION("""COMPUTED_VALUE"""),80.241352)</f>
        <v>80.241352</v>
      </c>
      <c r="F15726" s="4">
        <f>IFERROR(__xludf.DUMMYFUNCTION("""COMPUTED_VALUE"""),805.0)</f>
        <v>805</v>
      </c>
      <c r="G15726" s="4">
        <f>IFERROR(__xludf.DUMMYFUNCTION("""COMPUTED_VALUE"""),33.0)</f>
        <v>33</v>
      </c>
      <c r="H15726" s="4"/>
      <c r="I15726" s="4"/>
    </row>
    <row r="15727">
      <c r="A15727" s="4" t="str">
        <f>IFERROR(__xludf.DUMMYFUNCTION("""COMPUTED_VALUE"""),"cas_hmw")</f>
        <v>cas_hmw</v>
      </c>
      <c r="B15727" s="5">
        <f>IFERROR(__xludf.DUMMYFUNCTION("""COMPUTED_VALUE"""),44732.0)</f>
        <v>44732</v>
      </c>
      <c r="C15727" s="6">
        <f>IFERROR(__xludf.DUMMYFUNCTION("""COMPUTED_VALUE"""),0.28322916666729725)</f>
        <v>0.2832291667</v>
      </c>
      <c r="D15727" s="4">
        <f>IFERROR(__xludf.DUMMYFUNCTION("""COMPUTED_VALUE"""),13.032353)</f>
        <v>13.032353</v>
      </c>
      <c r="E15727" s="4">
        <f>IFERROR(__xludf.DUMMYFUNCTION("""COMPUTED_VALUE"""),80.242138)</f>
        <v>80.242138</v>
      </c>
      <c r="F15727" s="4">
        <f>IFERROR(__xludf.DUMMYFUNCTION("""COMPUTED_VALUE"""),805.0)</f>
        <v>805</v>
      </c>
      <c r="G15727" s="4">
        <f>IFERROR(__xludf.DUMMYFUNCTION("""COMPUTED_VALUE"""),35.0)</f>
        <v>35</v>
      </c>
      <c r="H15727" s="4"/>
      <c r="I15727" s="4"/>
    </row>
    <row r="15728">
      <c r="A15728" s="4" t="str">
        <f>IFERROR(__xludf.DUMMYFUNCTION("""COMPUTED_VALUE"""),"cas_hmw")</f>
        <v>cas_hmw</v>
      </c>
      <c r="B15728" s="5">
        <f>IFERROR(__xludf.DUMMYFUNCTION("""COMPUTED_VALUE"""),44732.0)</f>
        <v>44732</v>
      </c>
      <c r="C15728" s="6">
        <f>IFERROR(__xludf.DUMMYFUNCTION("""COMPUTED_VALUE"""),0.28366898148306063)</f>
        <v>0.2836689815</v>
      </c>
      <c r="D15728" s="4">
        <f>IFERROR(__xludf.DUMMYFUNCTION("""COMPUTED_VALUE"""),13.033916)</f>
        <v>13.033916</v>
      </c>
      <c r="E15728" s="4">
        <f>IFERROR(__xludf.DUMMYFUNCTION("""COMPUTED_VALUE"""),80.244306)</f>
        <v>80.244306</v>
      </c>
      <c r="F15728" s="4">
        <f>IFERROR(__xludf.DUMMYFUNCTION("""COMPUTED_VALUE"""),805.0)</f>
        <v>805</v>
      </c>
      <c r="G15728" s="4">
        <f>IFERROR(__xludf.DUMMYFUNCTION("""COMPUTED_VALUE"""),26.0)</f>
        <v>26</v>
      </c>
      <c r="H15728" s="4"/>
      <c r="I15728" s="4"/>
    </row>
    <row r="15729">
      <c r="A15729" s="4" t="str">
        <f>IFERROR(__xludf.DUMMYFUNCTION("""COMPUTED_VALUE"""),"cas_hmw")</f>
        <v>cas_hmw</v>
      </c>
      <c r="B15729" s="5">
        <f>IFERROR(__xludf.DUMMYFUNCTION("""COMPUTED_VALUE"""),44732.0)</f>
        <v>44732</v>
      </c>
      <c r="C15729" s="6">
        <f>IFERROR(__xludf.DUMMYFUNCTION("""COMPUTED_VALUE"""),0.2838541666678793)</f>
        <v>0.2838541667</v>
      </c>
      <c r="D15729" s="4">
        <f>IFERROR(__xludf.DUMMYFUNCTION("""COMPUTED_VALUE"""),13.034891)</f>
        <v>13.034891</v>
      </c>
      <c r="E15729" s="4">
        <f>IFERROR(__xludf.DUMMYFUNCTION("""COMPUTED_VALUE"""),80.245663)</f>
        <v>80.245663</v>
      </c>
      <c r="F15729" s="4">
        <f>IFERROR(__xludf.DUMMYFUNCTION("""COMPUTED_VALUE"""),805.0)</f>
        <v>805</v>
      </c>
      <c r="G15729" s="4">
        <f>IFERROR(__xludf.DUMMYFUNCTION("""COMPUTED_VALUE"""),35.0)</f>
        <v>35</v>
      </c>
      <c r="H15729" s="4"/>
      <c r="I15729" s="4"/>
    </row>
    <row r="15730">
      <c r="A15730" s="4" t="str">
        <f>IFERROR(__xludf.DUMMYFUNCTION("""COMPUTED_VALUE"""),"cas_hmw")</f>
        <v>cas_hmw</v>
      </c>
      <c r="B15730" s="5">
        <f>IFERROR(__xludf.DUMMYFUNCTION("""COMPUTED_VALUE"""),44732.0)</f>
        <v>44732</v>
      </c>
      <c r="C15730" s="6">
        <f>IFERROR(__xludf.DUMMYFUNCTION("""COMPUTED_VALUE"""),0.2839120370372257)</f>
        <v>0.283912037</v>
      </c>
      <c r="D15730" s="4">
        <f>IFERROR(__xludf.DUMMYFUNCTION("""COMPUTED_VALUE"""),13.034891)</f>
        <v>13.034891</v>
      </c>
      <c r="E15730" s="4">
        <f>IFERROR(__xludf.DUMMYFUNCTION("""COMPUTED_VALUE"""),80.245663)</f>
        <v>80.245663</v>
      </c>
      <c r="F15730" s="4">
        <f>IFERROR(__xludf.DUMMYFUNCTION("""COMPUTED_VALUE"""),805.0)</f>
        <v>805</v>
      </c>
      <c r="G15730" s="4">
        <f>IFERROR(__xludf.DUMMYFUNCTION("""COMPUTED_VALUE"""),35.0)</f>
        <v>35</v>
      </c>
      <c r="H15730" s="4"/>
      <c r="I15730" s="4"/>
    </row>
    <row r="15731">
      <c r="A15731" s="4" t="str">
        <f>IFERROR(__xludf.DUMMYFUNCTION("""COMPUTED_VALUE"""),"cas_hmw")</f>
        <v>cas_hmw</v>
      </c>
      <c r="B15731" s="5">
        <f>IFERROR(__xludf.DUMMYFUNCTION("""COMPUTED_VALUE"""),44732.0)</f>
        <v>44732</v>
      </c>
      <c r="C15731" s="6">
        <f>IFERROR(__xludf.DUMMYFUNCTION("""COMPUTED_VALUE"""),0.28526620370394085)</f>
        <v>0.2852662037</v>
      </c>
      <c r="D15731" s="4">
        <f>IFERROR(__xludf.DUMMYFUNCTION("""COMPUTED_VALUE"""),13.04195)</f>
        <v>13.04195</v>
      </c>
      <c r="E15731" s="4">
        <f>IFERROR(__xludf.DUMMYFUNCTION("""COMPUTED_VALUE"""),80.247349)</f>
        <v>80.247349</v>
      </c>
      <c r="F15731" s="4">
        <f>IFERROR(__xludf.DUMMYFUNCTION("""COMPUTED_VALUE"""),805.0)</f>
        <v>805</v>
      </c>
      <c r="G15731" s="4">
        <f>IFERROR(__xludf.DUMMYFUNCTION("""COMPUTED_VALUE"""),44.0)</f>
        <v>44</v>
      </c>
      <c r="H15731" s="4"/>
      <c r="I15731" s="4"/>
    </row>
    <row r="15732">
      <c r="A15732" s="4" t="str">
        <f>IFERROR(__xludf.DUMMYFUNCTION("""COMPUTED_VALUE"""),"cas_hmw")</f>
        <v>cas_hmw</v>
      </c>
      <c r="B15732" s="5">
        <f>IFERROR(__xludf.DUMMYFUNCTION("""COMPUTED_VALUE"""),44732.0)</f>
        <v>44732</v>
      </c>
      <c r="C15732" s="6">
        <f>IFERROR(__xludf.DUMMYFUNCTION("""COMPUTED_VALUE"""),0.2854629629619012)</f>
        <v>0.285462963</v>
      </c>
      <c r="D15732" s="4">
        <f>IFERROR(__xludf.DUMMYFUNCTION("""COMPUTED_VALUE"""),13.043724)</f>
        <v>13.043724</v>
      </c>
      <c r="E15732" s="4">
        <f>IFERROR(__xludf.DUMMYFUNCTION("""COMPUTED_VALUE"""),80.247684)</f>
        <v>80.247684</v>
      </c>
      <c r="F15732" s="4">
        <f>IFERROR(__xludf.DUMMYFUNCTION("""COMPUTED_VALUE"""),805.0)</f>
        <v>805</v>
      </c>
      <c r="G15732" s="4">
        <f>IFERROR(__xludf.DUMMYFUNCTION("""COMPUTED_VALUE"""),38.0)</f>
        <v>38</v>
      </c>
      <c r="H15732" s="4"/>
      <c r="I15732" s="4"/>
    </row>
    <row r="15733">
      <c r="A15733" s="4" t="str">
        <f>IFERROR(__xludf.DUMMYFUNCTION("""COMPUTED_VALUE"""),"cas_hmw")</f>
        <v>cas_hmw</v>
      </c>
      <c r="B15733" s="5">
        <f>IFERROR(__xludf.DUMMYFUNCTION("""COMPUTED_VALUE"""),44732.0)</f>
        <v>44732</v>
      </c>
      <c r="C15733" s="6">
        <f>IFERROR(__xludf.DUMMYFUNCTION("""COMPUTED_VALUE"""),0.2855439814811689)</f>
        <v>0.2855439815</v>
      </c>
      <c r="D15733" s="4">
        <f>IFERROR(__xludf.DUMMYFUNCTION("""COMPUTED_VALUE"""),13.043724)</f>
        <v>13.043724</v>
      </c>
      <c r="E15733" s="4">
        <f>IFERROR(__xludf.DUMMYFUNCTION("""COMPUTED_VALUE"""),80.247684)</f>
        <v>80.247684</v>
      </c>
      <c r="F15733" s="4">
        <f>IFERROR(__xludf.DUMMYFUNCTION("""COMPUTED_VALUE"""),805.0)</f>
        <v>805</v>
      </c>
      <c r="G15733" s="4">
        <f>IFERROR(__xludf.DUMMYFUNCTION("""COMPUTED_VALUE"""),38.0)</f>
        <v>38</v>
      </c>
      <c r="H15733" s="4"/>
      <c r="I15733" s="4"/>
    </row>
    <row r="15734">
      <c r="A15734" s="4" t="str">
        <f>IFERROR(__xludf.DUMMYFUNCTION("""COMPUTED_VALUE"""),"cas_hmw")</f>
        <v>cas_hmw</v>
      </c>
      <c r="B15734" s="5">
        <f>IFERROR(__xludf.DUMMYFUNCTION("""COMPUTED_VALUE"""),44732.0)</f>
        <v>44732</v>
      </c>
      <c r="C15734" s="6">
        <f>IFERROR(__xludf.DUMMYFUNCTION("""COMPUTED_VALUE"""),0.29413194444350665)</f>
        <v>0.2941319444</v>
      </c>
      <c r="D15734" s="4">
        <f>IFERROR(__xludf.DUMMYFUNCTION("""COMPUTED_VALUE"""),13.067345)</f>
        <v>13.067345</v>
      </c>
      <c r="E15734" s="4">
        <f>IFERROR(__xludf.DUMMYFUNCTION("""COMPUTED_VALUE"""),80.270545)</f>
        <v>80.270545</v>
      </c>
      <c r="F15734" s="4">
        <f>IFERROR(__xludf.DUMMYFUNCTION("""COMPUTED_VALUE"""),805.0)</f>
        <v>805</v>
      </c>
      <c r="G15734" s="4">
        <f>IFERROR(__xludf.DUMMYFUNCTION("""COMPUTED_VALUE"""),30.0)</f>
        <v>30</v>
      </c>
      <c r="H15734" s="4"/>
      <c r="I15734" s="4"/>
    </row>
    <row r="15735">
      <c r="A15735" s="4" t="str">
        <f>IFERROR(__xludf.DUMMYFUNCTION("""COMPUTED_VALUE"""),"cas_hmw")</f>
        <v>cas_hmw</v>
      </c>
      <c r="B15735" s="5">
        <f>IFERROR(__xludf.DUMMYFUNCTION("""COMPUTED_VALUE"""),44732.0)</f>
        <v>44732</v>
      </c>
      <c r="C15735" s="6">
        <f>IFERROR(__xludf.DUMMYFUNCTION("""COMPUTED_VALUE"""),0.3002199074071541)</f>
        <v>0.3002199074</v>
      </c>
      <c r="D15735" s="4">
        <f>IFERROR(__xludf.DUMMYFUNCTION("""COMPUTED_VALUE"""),13.071961)</f>
        <v>13.071961</v>
      </c>
      <c r="E15735" s="4">
        <f>IFERROR(__xludf.DUMMYFUNCTION("""COMPUTED_VALUE"""),80.259497)</f>
        <v>80.259497</v>
      </c>
      <c r="F15735" s="4">
        <f>IFERROR(__xludf.DUMMYFUNCTION("""COMPUTED_VALUE"""),5339.0)</f>
        <v>5339</v>
      </c>
      <c r="G15735" s="4">
        <f>IFERROR(__xludf.DUMMYFUNCTION("""COMPUTED_VALUE"""),29.0)</f>
        <v>29</v>
      </c>
      <c r="H15735" s="4"/>
      <c r="I15735" s="4"/>
    </row>
    <row r="15736">
      <c r="A15736" s="4" t="str">
        <f>IFERROR(__xludf.DUMMYFUNCTION("""COMPUTED_VALUE"""),"cas_hmw")</f>
        <v>cas_hmw</v>
      </c>
      <c r="B15736" s="5">
        <f>IFERROR(__xludf.DUMMYFUNCTION("""COMPUTED_VALUE"""),44732.0)</f>
        <v>44732</v>
      </c>
      <c r="C15736" s="6">
        <f>IFERROR(__xludf.DUMMYFUNCTION("""COMPUTED_VALUE"""),0.30026620370335877)</f>
        <v>0.3002662037</v>
      </c>
      <c r="D15736" s="4">
        <f>IFERROR(__xludf.DUMMYFUNCTION("""COMPUTED_VALUE"""),13.07245)</f>
        <v>13.07245</v>
      </c>
      <c r="E15736" s="4">
        <f>IFERROR(__xludf.DUMMYFUNCTION("""COMPUTED_VALUE"""),80.260056)</f>
        <v>80.260056</v>
      </c>
      <c r="F15736" s="4">
        <f>IFERROR(__xludf.DUMMYFUNCTION("""COMPUTED_VALUE"""),5339.0)</f>
        <v>5339</v>
      </c>
      <c r="G15736" s="4">
        <f>IFERROR(__xludf.DUMMYFUNCTION("""COMPUTED_VALUE"""),29.0)</f>
        <v>29</v>
      </c>
      <c r="H15736" s="4"/>
      <c r="I15736" s="4"/>
    </row>
    <row r="15737">
      <c r="A15737" s="4" t="str">
        <f>IFERROR(__xludf.DUMMYFUNCTION("""COMPUTED_VALUE"""),"cas_hmw")</f>
        <v>cas_hmw</v>
      </c>
      <c r="B15737" s="5">
        <f>IFERROR(__xludf.DUMMYFUNCTION("""COMPUTED_VALUE"""),44732.0)</f>
        <v>44732</v>
      </c>
      <c r="C15737" s="6">
        <f>IFERROR(__xludf.DUMMYFUNCTION("""COMPUTED_VALUE"""),0.30027777777650044)</f>
        <v>0.3002777778</v>
      </c>
      <c r="D15737" s="4">
        <f>IFERROR(__xludf.DUMMYFUNCTION("""COMPUTED_VALUE"""),13.07245)</f>
        <v>13.07245</v>
      </c>
      <c r="E15737" s="4">
        <f>IFERROR(__xludf.DUMMYFUNCTION("""COMPUTED_VALUE"""),80.260056)</f>
        <v>80.260056</v>
      </c>
      <c r="F15737" s="4">
        <f>IFERROR(__xludf.DUMMYFUNCTION("""COMPUTED_VALUE"""),5339.0)</f>
        <v>5339</v>
      </c>
      <c r="G15737" s="4">
        <f>IFERROR(__xludf.DUMMYFUNCTION("""COMPUTED_VALUE"""),29.0)</f>
        <v>29</v>
      </c>
      <c r="H15737" s="4"/>
      <c r="I15737" s="4"/>
    </row>
    <row r="15738">
      <c r="A15738" s="4" t="str">
        <f>IFERROR(__xludf.DUMMYFUNCTION("""COMPUTED_VALUE"""),"cas_hmw")</f>
        <v>cas_hmw</v>
      </c>
      <c r="B15738" s="5">
        <f>IFERROR(__xludf.DUMMYFUNCTION("""COMPUTED_VALUE"""),44732.0)</f>
        <v>44732</v>
      </c>
      <c r="C15738" s="6">
        <f>IFERROR(__xludf.DUMMYFUNCTION("""COMPUTED_VALUE"""),0.3103240740747424)</f>
        <v>0.3103240741</v>
      </c>
      <c r="D15738" s="4">
        <f>IFERROR(__xludf.DUMMYFUNCTION("""COMPUTED_VALUE"""),13.050667)</f>
        <v>13.050667</v>
      </c>
      <c r="E15738" s="4">
        <f>IFERROR(__xludf.DUMMYFUNCTION("""COMPUTED_VALUE"""),80.264142)</f>
        <v>80.264142</v>
      </c>
      <c r="F15738" s="4">
        <f>IFERROR(__xludf.DUMMYFUNCTION("""COMPUTED_VALUE"""),805.0)</f>
        <v>805</v>
      </c>
      <c r="G15738" s="4">
        <f>IFERROR(__xludf.DUMMYFUNCTION("""COMPUTED_VALUE"""),33.0)</f>
        <v>33</v>
      </c>
      <c r="H15738" s="4"/>
      <c r="I15738" s="4"/>
    </row>
    <row r="15739">
      <c r="A15739" s="4" t="str">
        <f>IFERROR(__xludf.DUMMYFUNCTION("""COMPUTED_VALUE"""),"cas_hmw")</f>
        <v>cas_hmw</v>
      </c>
      <c r="B15739" s="5">
        <f>IFERROR(__xludf.DUMMYFUNCTION("""COMPUTED_VALUE"""),44732.0)</f>
        <v>44732</v>
      </c>
      <c r="C15739" s="6">
        <f>IFERROR(__xludf.DUMMYFUNCTION("""COMPUTED_VALUE"""),0.31033564814788406)</f>
        <v>0.3103356481</v>
      </c>
      <c r="D15739" s="4">
        <f>IFERROR(__xludf.DUMMYFUNCTION("""COMPUTED_VALUE"""),13.050667)</f>
        <v>13.050667</v>
      </c>
      <c r="E15739" s="4">
        <f>IFERROR(__xludf.DUMMYFUNCTION("""COMPUTED_VALUE"""),80.264142)</f>
        <v>80.264142</v>
      </c>
      <c r="F15739" s="4">
        <f>IFERROR(__xludf.DUMMYFUNCTION("""COMPUTED_VALUE"""),805.0)</f>
        <v>805</v>
      </c>
      <c r="G15739" s="4">
        <f>IFERROR(__xludf.DUMMYFUNCTION("""COMPUTED_VALUE"""),33.0)</f>
        <v>33</v>
      </c>
      <c r="H15739" s="4"/>
      <c r="I15739" s="4"/>
    </row>
    <row r="15740">
      <c r="A15740" s="4" t="str">
        <f>IFERROR(__xludf.DUMMYFUNCTION("""COMPUTED_VALUE"""),"cas_hmw")</f>
        <v>cas_hmw</v>
      </c>
      <c r="B15740" s="5">
        <f>IFERROR(__xludf.DUMMYFUNCTION("""COMPUTED_VALUE"""),44732.0)</f>
        <v>44732</v>
      </c>
      <c r="C15740" s="6">
        <f>IFERROR(__xludf.DUMMYFUNCTION("""COMPUTED_VALUE"""),0.31273148148102337)</f>
        <v>0.3127314815</v>
      </c>
      <c r="D15740" s="4">
        <f>IFERROR(__xludf.DUMMYFUNCTION("""COMPUTED_VALUE"""),13.051505)</f>
        <v>13.051505</v>
      </c>
      <c r="E15740" s="4">
        <f>IFERROR(__xludf.DUMMYFUNCTION("""COMPUTED_VALUE"""),80.250296)</f>
        <v>80.250296</v>
      </c>
      <c r="F15740" s="4">
        <f>IFERROR(__xludf.DUMMYFUNCTION("""COMPUTED_VALUE"""),5339.0)</f>
        <v>5339</v>
      </c>
      <c r="G15740" s="4">
        <f>IFERROR(__xludf.DUMMYFUNCTION("""COMPUTED_VALUE"""),20.0)</f>
        <v>20</v>
      </c>
      <c r="H15740" s="4"/>
      <c r="I15740" s="4"/>
    </row>
    <row r="15741">
      <c r="A15741" s="4" t="str">
        <f>IFERROR(__xludf.DUMMYFUNCTION("""COMPUTED_VALUE"""),"cas_hmw")</f>
        <v>cas_hmw</v>
      </c>
      <c r="B15741" s="5">
        <f>IFERROR(__xludf.DUMMYFUNCTION("""COMPUTED_VALUE"""),44732.0)</f>
        <v>44732</v>
      </c>
      <c r="C15741" s="6">
        <f>IFERROR(__xludf.DUMMYFUNCTION("""COMPUTED_VALUE"""),0.31292824073898373)</f>
        <v>0.3129282407</v>
      </c>
      <c r="D15741" s="4">
        <f>IFERROR(__xludf.DUMMYFUNCTION("""COMPUTED_VALUE"""),12.659206)</f>
        <v>12.659206</v>
      </c>
      <c r="E15741" s="4">
        <f>IFERROR(__xludf.DUMMYFUNCTION("""COMPUTED_VALUE"""),79.962541)</f>
        <v>79.962541</v>
      </c>
      <c r="F15741" s="4">
        <f>IFERROR(__xludf.DUMMYFUNCTION("""COMPUTED_VALUE"""),2846.0)</f>
        <v>2846</v>
      </c>
      <c r="G15741" s="4">
        <f>IFERROR(__xludf.DUMMYFUNCTION("""COMPUTED_VALUE"""),44.0)</f>
        <v>44</v>
      </c>
      <c r="H15741" s="4"/>
      <c r="I15741" s="4"/>
    </row>
    <row r="15742">
      <c r="A15742" s="4" t="str">
        <f>IFERROR(__xludf.DUMMYFUNCTION("""COMPUTED_VALUE"""),"cas_hmw")</f>
        <v>cas_hmw</v>
      </c>
      <c r="B15742" s="5">
        <f>IFERROR(__xludf.DUMMYFUNCTION("""COMPUTED_VALUE"""),44732.0)</f>
        <v>44732</v>
      </c>
      <c r="C15742" s="6">
        <f>IFERROR(__xludf.DUMMYFUNCTION("""COMPUTED_VALUE"""),0.3130092592582514)</f>
        <v>0.3130092593</v>
      </c>
      <c r="D15742" s="4">
        <f>IFERROR(__xludf.DUMMYFUNCTION("""COMPUTED_VALUE"""),13.047963)</f>
        <v>13.047963</v>
      </c>
      <c r="E15742" s="4">
        <f>IFERROR(__xludf.DUMMYFUNCTION("""COMPUTED_VALUE"""),80.249321)</f>
        <v>80.249321</v>
      </c>
      <c r="F15742" s="4">
        <f>IFERROR(__xludf.DUMMYFUNCTION("""COMPUTED_VALUE"""),5339.0)</f>
        <v>5339</v>
      </c>
      <c r="G15742" s="4">
        <f>IFERROR(__xludf.DUMMYFUNCTION("""COMPUTED_VALUE"""),32.0)</f>
        <v>32</v>
      </c>
      <c r="H15742" s="4"/>
      <c r="I15742" s="4"/>
    </row>
    <row r="15743">
      <c r="A15743" s="4" t="str">
        <f>IFERROR(__xludf.DUMMYFUNCTION("""COMPUTED_VALUE"""),"cas_hmw")</f>
        <v>cas_hmw</v>
      </c>
      <c r="B15743" s="5">
        <f>IFERROR(__xludf.DUMMYFUNCTION("""COMPUTED_VALUE"""),44732.0)</f>
        <v>44732</v>
      </c>
      <c r="C15743" s="6">
        <f>IFERROR(__xludf.DUMMYFUNCTION("""COMPUTED_VALUE"""),0.3131134259274404)</f>
        <v>0.3131134259</v>
      </c>
      <c r="D15743" s="4">
        <f>IFERROR(__xludf.DUMMYFUNCTION("""COMPUTED_VALUE"""),13.047963)</f>
        <v>13.047963</v>
      </c>
      <c r="E15743" s="4">
        <f>IFERROR(__xludf.DUMMYFUNCTION("""COMPUTED_VALUE"""),80.249321)</f>
        <v>80.249321</v>
      </c>
      <c r="F15743" s="4">
        <f>IFERROR(__xludf.DUMMYFUNCTION("""COMPUTED_VALUE"""),5339.0)</f>
        <v>5339</v>
      </c>
      <c r="G15743" s="4">
        <f>IFERROR(__xludf.DUMMYFUNCTION("""COMPUTED_VALUE"""),32.0)</f>
        <v>32</v>
      </c>
      <c r="H15743" s="4"/>
      <c r="I15743" s="4"/>
    </row>
    <row r="15744">
      <c r="A15744" s="4" t="str">
        <f>IFERROR(__xludf.DUMMYFUNCTION("""COMPUTED_VALUE"""),"cas_hmw")</f>
        <v>cas_hmw</v>
      </c>
      <c r="B15744" s="5">
        <f>IFERROR(__xludf.DUMMYFUNCTION("""COMPUTED_VALUE"""),44732.0)</f>
        <v>44732</v>
      </c>
      <c r="C15744" s="6">
        <f>IFERROR(__xludf.DUMMYFUNCTION("""COMPUTED_VALUE"""),0.3135185185201408)</f>
        <v>0.3135185185</v>
      </c>
      <c r="D15744" s="4">
        <f>IFERROR(__xludf.DUMMYFUNCTION("""COMPUTED_VALUE"""),13.042778)</f>
        <v>13.042778</v>
      </c>
      <c r="E15744" s="4">
        <f>IFERROR(__xludf.DUMMYFUNCTION("""COMPUTED_VALUE"""),80.247712)</f>
        <v>80.247712</v>
      </c>
      <c r="F15744" s="4">
        <f>IFERROR(__xludf.DUMMYFUNCTION("""COMPUTED_VALUE"""),5339.0)</f>
        <v>5339</v>
      </c>
      <c r="G15744" s="4">
        <f>IFERROR(__xludf.DUMMYFUNCTION("""COMPUTED_VALUE"""),35.0)</f>
        <v>35</v>
      </c>
      <c r="H15744" s="4"/>
      <c r="I15744" s="4"/>
    </row>
    <row r="15745">
      <c r="A15745" s="4" t="str">
        <f>IFERROR(__xludf.DUMMYFUNCTION("""COMPUTED_VALUE"""),"cas_hmw")</f>
        <v>cas_hmw</v>
      </c>
      <c r="B15745" s="5">
        <f>IFERROR(__xludf.DUMMYFUNCTION("""COMPUTED_VALUE"""),44732.0)</f>
        <v>44732</v>
      </c>
      <c r="C15745" s="6">
        <f>IFERROR(__xludf.DUMMYFUNCTION("""COMPUTED_VALUE"""),0.314907407406281)</f>
        <v>0.3149074074</v>
      </c>
      <c r="D15745" s="4">
        <f>IFERROR(__xludf.DUMMYFUNCTION("""COMPUTED_VALUE"""),13.036086)</f>
        <v>13.036086</v>
      </c>
      <c r="E15745" s="4">
        <f>IFERROR(__xludf.DUMMYFUNCTION("""COMPUTED_VALUE"""),80.246276)</f>
        <v>80.246276</v>
      </c>
      <c r="F15745" s="4">
        <f>IFERROR(__xludf.DUMMYFUNCTION("""COMPUTED_VALUE"""),5339.0)</f>
        <v>5339</v>
      </c>
      <c r="G15745" s="4">
        <f>IFERROR(__xludf.DUMMYFUNCTION("""COMPUTED_VALUE"""),52.0)</f>
        <v>52</v>
      </c>
      <c r="H15745" s="4"/>
      <c r="I15745" s="4"/>
    </row>
    <row r="15746">
      <c r="A15746" s="4" t="str">
        <f>IFERROR(__xludf.DUMMYFUNCTION("""COMPUTED_VALUE"""),"cas_hmw")</f>
        <v>cas_hmw</v>
      </c>
      <c r="B15746" s="5">
        <f>IFERROR(__xludf.DUMMYFUNCTION("""COMPUTED_VALUE"""),44732.0)</f>
        <v>44732</v>
      </c>
      <c r="C15746" s="6">
        <f>IFERROR(__xludf.DUMMYFUNCTION("""COMPUTED_VALUE"""),0.315219907406572)</f>
        <v>0.3152199074</v>
      </c>
      <c r="D15746" s="4">
        <f>IFERROR(__xludf.DUMMYFUNCTION("""COMPUTED_VALUE"""),13.033373)</f>
        <v>13.033373</v>
      </c>
      <c r="E15746" s="4">
        <f>IFERROR(__xludf.DUMMYFUNCTION("""COMPUTED_VALUE"""),80.243914)</f>
        <v>80.243914</v>
      </c>
      <c r="F15746" s="4">
        <f>IFERROR(__xludf.DUMMYFUNCTION("""COMPUTED_VALUE"""),5339.0)</f>
        <v>5339</v>
      </c>
      <c r="G15746" s="4">
        <f>IFERROR(__xludf.DUMMYFUNCTION("""COMPUTED_VALUE"""),49.0)</f>
        <v>49</v>
      </c>
      <c r="H15746" s="4"/>
      <c r="I15746" s="4"/>
    </row>
    <row r="15747">
      <c r="A15747" s="4" t="str">
        <f>IFERROR(__xludf.DUMMYFUNCTION("""COMPUTED_VALUE"""),"cas_hmw")</f>
        <v>cas_hmw</v>
      </c>
      <c r="B15747" s="5">
        <f>IFERROR(__xludf.DUMMYFUNCTION("""COMPUTED_VALUE"""),44732.0)</f>
        <v>44732</v>
      </c>
      <c r="C15747" s="6">
        <f>IFERROR(__xludf.DUMMYFUNCTION("""COMPUTED_VALUE"""),0.3154398148144537)</f>
        <v>0.3154398148</v>
      </c>
      <c r="D15747" s="4">
        <f>IFERROR(__xludf.DUMMYFUNCTION("""COMPUTED_VALUE"""),13.031955)</f>
        <v>13.031955</v>
      </c>
      <c r="E15747" s="4">
        <f>IFERROR(__xludf.DUMMYFUNCTION("""COMPUTED_VALUE"""),80.241742)</f>
        <v>80.241742</v>
      </c>
      <c r="F15747" s="4">
        <f>IFERROR(__xludf.DUMMYFUNCTION("""COMPUTED_VALUE"""),5339.0)</f>
        <v>5339</v>
      </c>
      <c r="G15747" s="4">
        <f>IFERROR(__xludf.DUMMYFUNCTION("""COMPUTED_VALUE"""),53.0)</f>
        <v>53</v>
      </c>
      <c r="H15747" s="4"/>
      <c r="I15747" s="4"/>
    </row>
    <row r="15748">
      <c r="A15748" s="4" t="str">
        <f>IFERROR(__xludf.DUMMYFUNCTION("""COMPUTED_VALUE"""),"cas_hmw")</f>
        <v>cas_hmw</v>
      </c>
      <c r="B15748" s="5">
        <f>IFERROR(__xludf.DUMMYFUNCTION("""COMPUTED_VALUE"""),44732.0)</f>
        <v>44732</v>
      </c>
      <c r="C15748" s="6">
        <f>IFERROR(__xludf.DUMMYFUNCTION("""COMPUTED_VALUE"""),0.31604166666511446)</f>
        <v>0.3160416667</v>
      </c>
      <c r="D15748" s="4">
        <f>IFERROR(__xludf.DUMMYFUNCTION("""COMPUTED_VALUE"""),13.030848)</f>
        <v>13.030848</v>
      </c>
      <c r="E15748" s="4">
        <f>IFERROR(__xludf.DUMMYFUNCTION("""COMPUTED_VALUE"""),80.239435)</f>
        <v>80.239435</v>
      </c>
      <c r="F15748" s="4">
        <f>IFERROR(__xludf.DUMMYFUNCTION("""COMPUTED_VALUE"""),5339.0)</f>
        <v>5339</v>
      </c>
      <c r="G15748" s="4">
        <f>IFERROR(__xludf.DUMMYFUNCTION("""COMPUTED_VALUE"""),33.0)</f>
        <v>33</v>
      </c>
      <c r="H15748" s="4"/>
      <c r="I15748" s="4"/>
    </row>
    <row r="15749">
      <c r="A15749" s="4" t="str">
        <f>IFERROR(__xludf.DUMMYFUNCTION("""COMPUTED_VALUE"""),"cas_hmw")</f>
        <v>cas_hmw</v>
      </c>
      <c r="B15749" s="5">
        <f>IFERROR(__xludf.DUMMYFUNCTION("""COMPUTED_VALUE"""),44732.0)</f>
        <v>44732</v>
      </c>
      <c r="C15749" s="6">
        <f>IFERROR(__xludf.DUMMYFUNCTION("""COMPUTED_VALUE"""),0.3162731481497758)</f>
        <v>0.3162731481</v>
      </c>
      <c r="D15749" s="4">
        <f>IFERROR(__xludf.DUMMYFUNCTION("""COMPUTED_VALUE"""),13.029889)</f>
        <v>13.029889</v>
      </c>
      <c r="E15749" s="4">
        <f>IFERROR(__xludf.DUMMYFUNCTION("""COMPUTED_VALUE"""),80.237713)</f>
        <v>80.237713</v>
      </c>
      <c r="F15749" s="4">
        <f>IFERROR(__xludf.DUMMYFUNCTION("""COMPUTED_VALUE"""),5339.0)</f>
        <v>5339</v>
      </c>
      <c r="G15749" s="4">
        <f>IFERROR(__xludf.DUMMYFUNCTION("""COMPUTED_VALUE"""),39.0)</f>
        <v>39</v>
      </c>
      <c r="H15749" s="4"/>
      <c r="I15749" s="4"/>
    </row>
    <row r="15750">
      <c r="A15750" s="4" t="str">
        <f>IFERROR(__xludf.DUMMYFUNCTION("""COMPUTED_VALUE"""),"cas_hmw")</f>
        <v>cas_hmw</v>
      </c>
      <c r="B15750" s="5">
        <f>IFERROR(__xludf.DUMMYFUNCTION("""COMPUTED_VALUE"""),44732.0)</f>
        <v>44732</v>
      </c>
      <c r="C15750" s="6">
        <f>IFERROR(__xludf.DUMMYFUNCTION("""COMPUTED_VALUE"""),0.3165393518502242)</f>
        <v>0.3165393519</v>
      </c>
      <c r="D15750" s="4">
        <f>IFERROR(__xludf.DUMMYFUNCTION("""COMPUTED_VALUE"""),13.028403)</f>
        <v>13.028403</v>
      </c>
      <c r="E15750" s="4">
        <f>IFERROR(__xludf.DUMMYFUNCTION("""COMPUTED_VALUE"""),80.235962)</f>
        <v>80.235962</v>
      </c>
      <c r="F15750" s="4">
        <f>IFERROR(__xludf.DUMMYFUNCTION("""COMPUTED_VALUE"""),5339.0)</f>
        <v>5339</v>
      </c>
      <c r="G15750" s="4">
        <f>IFERROR(__xludf.DUMMYFUNCTION("""COMPUTED_VALUE"""),47.0)</f>
        <v>47</v>
      </c>
      <c r="H15750" s="4"/>
      <c r="I15750" s="4"/>
    </row>
    <row r="15751">
      <c r="A15751" s="4" t="str">
        <f>IFERROR(__xludf.DUMMYFUNCTION("""COMPUTED_VALUE"""),"cas_hmw")</f>
        <v>cas_hmw</v>
      </c>
      <c r="B15751" s="5">
        <f>IFERROR(__xludf.DUMMYFUNCTION("""COMPUTED_VALUE"""),44732.0)</f>
        <v>44732</v>
      </c>
      <c r="C15751" s="6">
        <f>IFERROR(__xludf.DUMMYFUNCTION("""COMPUTED_VALUE"""),0.3171064814814599)</f>
        <v>0.3171064815</v>
      </c>
      <c r="D15751" s="4">
        <f>IFERROR(__xludf.DUMMYFUNCTION("""COMPUTED_VALUE"""),13.0265)</f>
        <v>13.0265</v>
      </c>
      <c r="E15751" s="4">
        <f>IFERROR(__xludf.DUMMYFUNCTION("""COMPUTED_VALUE"""),80.233022)</f>
        <v>80.233022</v>
      </c>
      <c r="F15751" s="4">
        <f>IFERROR(__xludf.DUMMYFUNCTION("""COMPUTED_VALUE"""),5339.0)</f>
        <v>5339</v>
      </c>
      <c r="G15751" s="4">
        <f>IFERROR(__xludf.DUMMYFUNCTION("""COMPUTED_VALUE"""),28.0)</f>
        <v>28</v>
      </c>
      <c r="H15751" s="4"/>
      <c r="I15751" s="4"/>
    </row>
    <row r="15752">
      <c r="A15752" s="4" t="str">
        <f>IFERROR(__xludf.DUMMYFUNCTION("""COMPUTED_VALUE"""),"cas_hmw")</f>
        <v>cas_hmw</v>
      </c>
      <c r="B15752" s="5">
        <f>IFERROR(__xludf.DUMMYFUNCTION("""COMPUTED_VALUE"""),44732.0)</f>
        <v>44732</v>
      </c>
      <c r="C15752" s="6">
        <f>IFERROR(__xludf.DUMMYFUNCTION("""COMPUTED_VALUE"""),0.3171412037045229)</f>
        <v>0.3171412037</v>
      </c>
      <c r="D15752" s="4">
        <f>IFERROR(__xludf.DUMMYFUNCTION("""COMPUTED_VALUE"""),13.0265)</f>
        <v>13.0265</v>
      </c>
      <c r="E15752" s="4">
        <f>IFERROR(__xludf.DUMMYFUNCTION("""COMPUTED_VALUE"""),80.233022)</f>
        <v>80.233022</v>
      </c>
      <c r="F15752" s="4">
        <f>IFERROR(__xludf.DUMMYFUNCTION("""COMPUTED_VALUE"""),5339.0)</f>
        <v>5339</v>
      </c>
      <c r="G15752" s="4">
        <f>IFERROR(__xludf.DUMMYFUNCTION("""COMPUTED_VALUE"""),28.0)</f>
        <v>28</v>
      </c>
      <c r="H15752" s="4"/>
      <c r="I15752" s="4"/>
    </row>
    <row r="15753">
      <c r="A15753" s="4" t="str">
        <f>IFERROR(__xludf.DUMMYFUNCTION("""COMPUTED_VALUE"""),"cas_hmw")</f>
        <v>cas_hmw</v>
      </c>
      <c r="B15753" s="5">
        <f>IFERROR(__xludf.DUMMYFUNCTION("""COMPUTED_VALUE"""),44732.0)</f>
        <v>44732</v>
      </c>
      <c r="C15753" s="6">
        <f>IFERROR(__xludf.DUMMYFUNCTION("""COMPUTED_VALUE"""),0.31836805555576575)</f>
        <v>0.3183680556</v>
      </c>
      <c r="D15753" s="4">
        <f>IFERROR(__xludf.DUMMYFUNCTION("""COMPUTED_VALUE"""),13.023072)</f>
        <v>13.023072</v>
      </c>
      <c r="E15753" s="4">
        <f>IFERROR(__xludf.DUMMYFUNCTION("""COMPUTED_VALUE"""),80.227288)</f>
        <v>80.227288</v>
      </c>
      <c r="F15753" s="4">
        <f>IFERROR(__xludf.DUMMYFUNCTION("""COMPUTED_VALUE"""),5339.0)</f>
        <v>5339</v>
      </c>
      <c r="G15753" s="4">
        <f>IFERROR(__xludf.DUMMYFUNCTION("""COMPUTED_VALUE"""),43.0)</f>
        <v>43</v>
      </c>
      <c r="H15753" s="4"/>
      <c r="I15753" s="4"/>
    </row>
    <row r="15754">
      <c r="A15754" s="4" t="str">
        <f>IFERROR(__xludf.DUMMYFUNCTION("""COMPUTED_VALUE"""),"cas_hmw")</f>
        <v>cas_hmw</v>
      </c>
      <c r="B15754" s="5">
        <f>IFERROR(__xludf.DUMMYFUNCTION("""COMPUTED_VALUE"""),44732.0)</f>
        <v>44732</v>
      </c>
      <c r="C15754" s="6">
        <f>IFERROR(__xludf.DUMMYFUNCTION("""COMPUTED_VALUE"""),0.3188310185178125)</f>
        <v>0.3188310185</v>
      </c>
      <c r="D15754" s="4">
        <f>IFERROR(__xludf.DUMMYFUNCTION("""COMPUTED_VALUE"""),12.681405)</f>
        <v>12.681405</v>
      </c>
      <c r="E15754" s="4">
        <f>IFERROR(__xludf.DUMMYFUNCTION("""COMPUTED_VALUE"""),79.981677)</f>
        <v>79.981677</v>
      </c>
      <c r="F15754" s="4">
        <f>IFERROR(__xludf.DUMMYFUNCTION("""COMPUTED_VALUE"""),2846.0)</f>
        <v>2846</v>
      </c>
      <c r="G15754" s="4">
        <f>IFERROR(__xludf.DUMMYFUNCTION("""COMPUTED_VALUE"""),11.0)</f>
        <v>11</v>
      </c>
      <c r="H15754" s="4"/>
      <c r="I15754" s="4"/>
    </row>
    <row r="15755">
      <c r="A15755" s="4" t="str">
        <f>IFERROR(__xludf.DUMMYFUNCTION("""COMPUTED_VALUE"""),"cas_hmw")</f>
        <v>cas_hmw</v>
      </c>
      <c r="B15755" s="5">
        <f>IFERROR(__xludf.DUMMYFUNCTION("""COMPUTED_VALUE"""),44732.0)</f>
        <v>44732</v>
      </c>
      <c r="C15755" s="6">
        <f>IFERROR(__xludf.DUMMYFUNCTION("""COMPUTED_VALUE"""),0.31884259259095415)</f>
        <v>0.3188425926</v>
      </c>
      <c r="D15755" s="4">
        <f>IFERROR(__xludf.DUMMYFUNCTION("""COMPUTED_VALUE"""),13.023607)</f>
        <v>13.023607</v>
      </c>
      <c r="E15755" s="4">
        <f>IFERROR(__xludf.DUMMYFUNCTION("""COMPUTED_VALUE"""),80.26425)</f>
        <v>80.26425</v>
      </c>
      <c r="F15755" s="4">
        <f>IFERROR(__xludf.DUMMYFUNCTION("""COMPUTED_VALUE"""),805.0)</f>
        <v>805</v>
      </c>
      <c r="G15755" s="4">
        <f>IFERROR(__xludf.DUMMYFUNCTION("""COMPUTED_VALUE"""),21.0)</f>
        <v>21</v>
      </c>
      <c r="H15755" s="4"/>
      <c r="I15755" s="4"/>
    </row>
    <row r="15756">
      <c r="A15756" s="4" t="str">
        <f>IFERROR(__xludf.DUMMYFUNCTION("""COMPUTED_VALUE"""),"cas_hmw")</f>
        <v>cas_hmw</v>
      </c>
      <c r="B15756" s="5">
        <f>IFERROR(__xludf.DUMMYFUNCTION("""COMPUTED_VALUE"""),44732.0)</f>
        <v>44732</v>
      </c>
      <c r="C15756" s="6">
        <f>IFERROR(__xludf.DUMMYFUNCTION("""COMPUTED_VALUE"""),0.3191550925912452)</f>
        <v>0.3191550926</v>
      </c>
      <c r="D15756" s="4">
        <f>IFERROR(__xludf.DUMMYFUNCTION("""COMPUTED_VALUE"""),13.022206)</f>
        <v>13.022206</v>
      </c>
      <c r="E15756" s="4">
        <f>IFERROR(__xludf.DUMMYFUNCTION("""COMPUTED_VALUE"""),80.263488)</f>
        <v>80.263488</v>
      </c>
      <c r="F15756" s="4">
        <f>IFERROR(__xludf.DUMMYFUNCTION("""COMPUTED_VALUE"""),805.0)</f>
        <v>805</v>
      </c>
      <c r="G15756" s="4">
        <f>IFERROR(__xludf.DUMMYFUNCTION("""COMPUTED_VALUE"""),15.0)</f>
        <v>15</v>
      </c>
      <c r="H15756" s="4"/>
      <c r="I15756" s="4"/>
    </row>
    <row r="15757">
      <c r="A15757" s="4" t="str">
        <f>IFERROR(__xludf.DUMMYFUNCTION("""COMPUTED_VALUE"""),"cas_hmw")</f>
        <v>cas_hmw</v>
      </c>
      <c r="B15757" s="5">
        <f>IFERROR(__xludf.DUMMYFUNCTION("""COMPUTED_VALUE"""),44732.0)</f>
        <v>44732</v>
      </c>
      <c r="C15757" s="6">
        <f>IFERROR(__xludf.DUMMYFUNCTION("""COMPUTED_VALUE"""),0.3191550925912452)</f>
        <v>0.3191550926</v>
      </c>
      <c r="D15757" s="4">
        <f>IFERROR(__xludf.DUMMYFUNCTION("""COMPUTED_VALUE"""),13.022206)</f>
        <v>13.022206</v>
      </c>
      <c r="E15757" s="4">
        <f>IFERROR(__xludf.DUMMYFUNCTION("""COMPUTED_VALUE"""),80.263488)</f>
        <v>80.263488</v>
      </c>
      <c r="F15757" s="4">
        <f>IFERROR(__xludf.DUMMYFUNCTION("""COMPUTED_VALUE"""),805.0)</f>
        <v>805</v>
      </c>
      <c r="G15757" s="4">
        <f>IFERROR(__xludf.DUMMYFUNCTION("""COMPUTED_VALUE"""),15.0)</f>
        <v>15</v>
      </c>
      <c r="H15757" s="4"/>
      <c r="I15757" s="4"/>
    </row>
    <row r="15758">
      <c r="A15758" s="4" t="str">
        <f>IFERROR(__xludf.DUMMYFUNCTION("""COMPUTED_VALUE"""),"cas_hmw")</f>
        <v>cas_hmw</v>
      </c>
      <c r="B15758" s="5">
        <f>IFERROR(__xludf.DUMMYFUNCTION("""COMPUTED_VALUE"""),44732.0)</f>
        <v>44732</v>
      </c>
      <c r="C15758" s="6">
        <f>IFERROR(__xludf.DUMMYFUNCTION("""COMPUTED_VALUE"""),0.31916666666802485)</f>
        <v>0.3191666667</v>
      </c>
      <c r="D15758" s="4">
        <f>IFERROR(__xludf.DUMMYFUNCTION("""COMPUTED_VALUE"""),13.022206)</f>
        <v>13.022206</v>
      </c>
      <c r="E15758" s="4">
        <f>IFERROR(__xludf.DUMMYFUNCTION("""COMPUTED_VALUE"""),80.263488)</f>
        <v>80.263488</v>
      </c>
      <c r="F15758" s="4">
        <f>IFERROR(__xludf.DUMMYFUNCTION("""COMPUTED_VALUE"""),805.0)</f>
        <v>805</v>
      </c>
      <c r="G15758" s="4">
        <f>IFERROR(__xludf.DUMMYFUNCTION("""COMPUTED_VALUE"""),15.0)</f>
        <v>15</v>
      </c>
      <c r="H15758" s="4"/>
      <c r="I15758" s="4"/>
    </row>
    <row r="15759">
      <c r="A15759" s="4" t="str">
        <f>IFERROR(__xludf.DUMMYFUNCTION("""COMPUTED_VALUE"""),"cas_hmw")</f>
        <v>cas_hmw</v>
      </c>
      <c r="B15759" s="5">
        <f>IFERROR(__xludf.DUMMYFUNCTION("""COMPUTED_VALUE"""),44732.0)</f>
        <v>44732</v>
      </c>
      <c r="C15759" s="6">
        <f>IFERROR(__xludf.DUMMYFUNCTION("""COMPUTED_VALUE"""),0.3191782407411665)</f>
        <v>0.3191782407</v>
      </c>
      <c r="D15759" s="4">
        <f>IFERROR(__xludf.DUMMYFUNCTION("""COMPUTED_VALUE"""),13.022206)</f>
        <v>13.022206</v>
      </c>
      <c r="E15759" s="4">
        <f>IFERROR(__xludf.DUMMYFUNCTION("""COMPUTED_VALUE"""),80.263488)</f>
        <v>80.263488</v>
      </c>
      <c r="F15759" s="4">
        <f>IFERROR(__xludf.DUMMYFUNCTION("""COMPUTED_VALUE"""),805.0)</f>
        <v>805</v>
      </c>
      <c r="G15759" s="4">
        <f>IFERROR(__xludf.DUMMYFUNCTION("""COMPUTED_VALUE"""),15.0)</f>
        <v>15</v>
      </c>
      <c r="H15759" s="4"/>
      <c r="I15759" s="4"/>
    </row>
    <row r="15760">
      <c r="A15760" s="4" t="str">
        <f>IFERROR(__xludf.DUMMYFUNCTION("""COMPUTED_VALUE"""),"cas_hmw")</f>
        <v>cas_hmw</v>
      </c>
      <c r="B15760" s="5">
        <f>IFERROR(__xludf.DUMMYFUNCTION("""COMPUTED_VALUE"""),44732.0)</f>
        <v>44732</v>
      </c>
      <c r="C15760" s="6">
        <f>IFERROR(__xludf.DUMMYFUNCTION("""COMPUTED_VALUE"""),0.3196180555569299)</f>
        <v>0.3196180556</v>
      </c>
      <c r="D15760" s="4">
        <f>IFERROR(__xludf.DUMMYFUNCTION("""COMPUTED_VALUE"""),13.01421)</f>
        <v>13.01421</v>
      </c>
      <c r="E15760" s="4">
        <f>IFERROR(__xludf.DUMMYFUNCTION("""COMPUTED_VALUE"""),80.226319)</f>
        <v>80.226319</v>
      </c>
      <c r="F15760" s="4">
        <f>IFERROR(__xludf.DUMMYFUNCTION("""COMPUTED_VALUE"""),5339.0)</f>
        <v>5339</v>
      </c>
      <c r="G15760" s="4">
        <f>IFERROR(__xludf.DUMMYFUNCTION("""COMPUTED_VALUE"""),36.0)</f>
        <v>36</v>
      </c>
      <c r="H15760" s="4"/>
      <c r="I15760" s="4"/>
    </row>
    <row r="15761">
      <c r="A15761" s="4" t="str">
        <f>IFERROR(__xludf.DUMMYFUNCTION("""COMPUTED_VALUE"""),"cas_hmw")</f>
        <v>cas_hmw</v>
      </c>
      <c r="B15761" s="5">
        <f>IFERROR(__xludf.DUMMYFUNCTION("""COMPUTED_VALUE"""),44732.0)</f>
        <v>44732</v>
      </c>
      <c r="C15761" s="6">
        <f>IFERROR(__xludf.DUMMYFUNCTION("""COMPUTED_VALUE"""),0.3196990740725596)</f>
        <v>0.3196990741</v>
      </c>
      <c r="D15761" s="4">
        <f>IFERROR(__xludf.DUMMYFUNCTION("""COMPUTED_VALUE"""),12.68496)</f>
        <v>12.68496</v>
      </c>
      <c r="E15761" s="4">
        <f>IFERROR(__xludf.DUMMYFUNCTION("""COMPUTED_VALUE"""),79.98345)</f>
        <v>79.98345</v>
      </c>
      <c r="F15761" s="4">
        <f>IFERROR(__xludf.DUMMYFUNCTION("""COMPUTED_VALUE"""),2846.0)</f>
        <v>2846</v>
      </c>
      <c r="G15761" s="4">
        <f>IFERROR(__xludf.DUMMYFUNCTION("""COMPUTED_VALUE"""),36.0)</f>
        <v>36</v>
      </c>
      <c r="H15761" s="4"/>
      <c r="I15761" s="4"/>
    </row>
    <row r="15762">
      <c r="A15762" s="4" t="str">
        <f>IFERROR(__xludf.DUMMYFUNCTION("""COMPUTED_VALUE"""),"cas_hmw")</f>
        <v>cas_hmw</v>
      </c>
      <c r="B15762" s="5">
        <f>IFERROR(__xludf.DUMMYFUNCTION("""COMPUTED_VALUE"""),44732.0)</f>
        <v>44732</v>
      </c>
      <c r="C15762" s="6">
        <f>IFERROR(__xludf.DUMMYFUNCTION("""COMPUTED_VALUE"""),0.3197222222224809)</f>
        <v>0.3197222222</v>
      </c>
      <c r="D15762" s="4">
        <f>IFERROR(__xludf.DUMMYFUNCTION("""COMPUTED_VALUE"""),13.01335)</f>
        <v>13.01335</v>
      </c>
      <c r="E15762" s="4">
        <f>IFERROR(__xludf.DUMMYFUNCTION("""COMPUTED_VALUE"""),80.226617)</f>
        <v>80.226617</v>
      </c>
      <c r="F15762" s="4">
        <f>IFERROR(__xludf.DUMMYFUNCTION("""COMPUTED_VALUE"""),5339.0)</f>
        <v>5339</v>
      </c>
      <c r="G15762" s="4">
        <f>IFERROR(__xludf.DUMMYFUNCTION("""COMPUTED_VALUE"""),38.0)</f>
        <v>38</v>
      </c>
      <c r="H15762" s="4"/>
      <c r="I15762" s="4"/>
    </row>
    <row r="15763">
      <c r="A15763" s="4" t="str">
        <f>IFERROR(__xludf.DUMMYFUNCTION("""COMPUTED_VALUE"""),"cas_hmw")</f>
        <v>cas_hmw</v>
      </c>
      <c r="B15763" s="5">
        <f>IFERROR(__xludf.DUMMYFUNCTION("""COMPUTED_VALUE"""),44732.0)</f>
        <v>44732</v>
      </c>
      <c r="C15763" s="6">
        <f>IFERROR(__xludf.DUMMYFUNCTION("""COMPUTED_VALUE"""),0.3207870370388264)</f>
        <v>0.320787037</v>
      </c>
      <c r="D15763" s="4">
        <f>IFERROR(__xludf.DUMMYFUNCTION("""COMPUTED_VALUE"""),13.01103)</f>
        <v>13.01103</v>
      </c>
      <c r="E15763" s="4">
        <f>IFERROR(__xludf.DUMMYFUNCTION("""COMPUTED_VALUE"""),80.224215)</f>
        <v>80.224215</v>
      </c>
      <c r="F15763" s="4">
        <f>IFERROR(__xludf.DUMMYFUNCTION("""COMPUTED_VALUE"""),5339.0)</f>
        <v>5339</v>
      </c>
      <c r="G15763" s="4">
        <f>IFERROR(__xludf.DUMMYFUNCTION("""COMPUTED_VALUE"""),47.0)</f>
        <v>47</v>
      </c>
      <c r="H15763" s="4"/>
      <c r="I15763" s="4"/>
    </row>
    <row r="15764">
      <c r="A15764" s="4" t="str">
        <f>IFERROR(__xludf.DUMMYFUNCTION("""COMPUTED_VALUE"""),"cas_hmw")</f>
        <v>cas_hmw</v>
      </c>
      <c r="B15764" s="5">
        <f>IFERROR(__xludf.DUMMYFUNCTION("""COMPUTED_VALUE"""),44732.0)</f>
        <v>44732</v>
      </c>
      <c r="C15764" s="6">
        <f>IFERROR(__xludf.DUMMYFUNCTION("""COMPUTED_VALUE"""),0.3211921296278888)</f>
        <v>0.3211921296</v>
      </c>
      <c r="D15764" s="4">
        <f>IFERROR(__xludf.DUMMYFUNCTION("""COMPUTED_VALUE"""),13.014832)</f>
        <v>13.014832</v>
      </c>
      <c r="E15764" s="4">
        <f>IFERROR(__xludf.DUMMYFUNCTION("""COMPUTED_VALUE"""),80.259348)</f>
        <v>80.259348</v>
      </c>
      <c r="F15764" s="4">
        <f>IFERROR(__xludf.DUMMYFUNCTION("""COMPUTED_VALUE"""),805.0)</f>
        <v>805</v>
      </c>
      <c r="G15764" s="4">
        <f>IFERROR(__xludf.DUMMYFUNCTION("""COMPUTED_VALUE"""),42.0)</f>
        <v>42</v>
      </c>
      <c r="H15764" s="4"/>
      <c r="I15764" s="4"/>
    </row>
    <row r="15765">
      <c r="A15765" s="4" t="str">
        <f>IFERROR(__xludf.DUMMYFUNCTION("""COMPUTED_VALUE"""),"cas_hmw")</f>
        <v>cas_hmw</v>
      </c>
      <c r="B15765" s="5">
        <f>IFERROR(__xludf.DUMMYFUNCTION("""COMPUTED_VALUE"""),44732.0)</f>
        <v>44732</v>
      </c>
      <c r="C15765" s="6">
        <f>IFERROR(__xludf.DUMMYFUNCTION("""COMPUTED_VALUE"""),0.32134259259328246)</f>
        <v>0.3213425926</v>
      </c>
      <c r="D15765" s="4">
        <f>IFERROR(__xludf.DUMMYFUNCTION("""COMPUTED_VALUE"""),13.011371)</f>
        <v>13.011371</v>
      </c>
      <c r="E15765" s="4">
        <f>IFERROR(__xludf.DUMMYFUNCTION("""COMPUTED_VALUE"""),80.21848)</f>
        <v>80.21848</v>
      </c>
      <c r="F15765" s="4">
        <f>IFERROR(__xludf.DUMMYFUNCTION("""COMPUTED_VALUE"""),5339.0)</f>
        <v>5339</v>
      </c>
      <c r="G15765" s="4">
        <f>IFERROR(__xludf.DUMMYFUNCTION("""COMPUTED_VALUE"""),38.0)</f>
        <v>38</v>
      </c>
      <c r="H15765" s="4"/>
      <c r="I15765" s="4"/>
    </row>
    <row r="15766">
      <c r="A15766" s="4" t="str">
        <f>IFERROR(__xludf.DUMMYFUNCTION("""COMPUTED_VALUE"""),"cas_hmw")</f>
        <v>cas_hmw</v>
      </c>
      <c r="B15766" s="5">
        <f>IFERROR(__xludf.DUMMYFUNCTION("""COMPUTED_VALUE"""),44732.0)</f>
        <v>44732</v>
      </c>
      <c r="C15766" s="6">
        <f>IFERROR(__xludf.DUMMYFUNCTION("""COMPUTED_VALUE"""),0.3214004629626288)</f>
        <v>0.321400463</v>
      </c>
      <c r="D15766" s="4">
        <f>IFERROR(__xludf.DUMMYFUNCTION("""COMPUTED_VALUE"""),13.012766)</f>
        <v>13.012766</v>
      </c>
      <c r="E15766" s="4">
        <f>IFERROR(__xludf.DUMMYFUNCTION("""COMPUTED_VALUE"""),80.259266)</f>
        <v>80.259266</v>
      </c>
      <c r="F15766" s="4">
        <f>IFERROR(__xludf.DUMMYFUNCTION("""COMPUTED_VALUE"""),805.0)</f>
        <v>805</v>
      </c>
      <c r="G15766" s="4">
        <f>IFERROR(__xludf.DUMMYFUNCTION("""COMPUTED_VALUE"""),39.0)</f>
        <v>39</v>
      </c>
      <c r="H15766" s="4"/>
      <c r="I15766" s="4"/>
    </row>
    <row r="15767">
      <c r="A15767" s="4" t="str">
        <f>IFERROR(__xludf.DUMMYFUNCTION("""COMPUTED_VALUE"""),"cas_hmw")</f>
        <v>cas_hmw</v>
      </c>
      <c r="B15767" s="5">
        <f>IFERROR(__xludf.DUMMYFUNCTION("""COMPUTED_VALUE"""),44732.0)</f>
        <v>44732</v>
      </c>
      <c r="C15767" s="6">
        <f>IFERROR(__xludf.DUMMYFUNCTION("""COMPUTED_VALUE"""),0.32149305555503815)</f>
        <v>0.3214930556</v>
      </c>
      <c r="D15767" s="4">
        <f>IFERROR(__xludf.DUMMYFUNCTION("""COMPUTED_VALUE"""),13.011757)</f>
        <v>13.011757</v>
      </c>
      <c r="E15767" s="4">
        <f>IFERROR(__xludf.DUMMYFUNCTION("""COMPUTED_VALUE"""),80.259234)</f>
        <v>80.259234</v>
      </c>
      <c r="F15767" s="4">
        <f>IFERROR(__xludf.DUMMYFUNCTION("""COMPUTED_VALUE"""),805.0)</f>
        <v>805</v>
      </c>
      <c r="G15767" s="4">
        <f>IFERROR(__xludf.DUMMYFUNCTION("""COMPUTED_VALUE"""),38.0)</f>
        <v>38</v>
      </c>
      <c r="H15767" s="4"/>
      <c r="I15767" s="4"/>
    </row>
    <row r="15768">
      <c r="A15768" s="4" t="str">
        <f>IFERROR(__xludf.DUMMYFUNCTION("""COMPUTED_VALUE"""),"cas_hmw")</f>
        <v>cas_hmw</v>
      </c>
      <c r="B15768" s="5">
        <f>IFERROR(__xludf.DUMMYFUNCTION("""COMPUTED_VALUE"""),44732.0)</f>
        <v>44732</v>
      </c>
      <c r="C15768" s="6">
        <f>IFERROR(__xludf.DUMMYFUNCTION("""COMPUTED_VALUE"""),0.3220138888900692)</f>
        <v>0.3220138889</v>
      </c>
      <c r="D15768" s="4">
        <f>IFERROR(__xludf.DUMMYFUNCTION("""COMPUTED_VALUE"""),13.009247)</f>
        <v>13.009247</v>
      </c>
      <c r="E15768" s="4">
        <f>IFERROR(__xludf.DUMMYFUNCTION("""COMPUTED_VALUE"""),80.212617)</f>
        <v>80.212617</v>
      </c>
      <c r="F15768" s="4">
        <f>IFERROR(__xludf.DUMMYFUNCTION("""COMPUTED_VALUE"""),5339.0)</f>
        <v>5339</v>
      </c>
      <c r="G15768" s="4">
        <f>IFERROR(__xludf.DUMMYFUNCTION("""COMPUTED_VALUE"""),42.0)</f>
        <v>42</v>
      </c>
      <c r="H15768" s="4"/>
      <c r="I15768" s="4"/>
    </row>
    <row r="15769">
      <c r="A15769" s="4" t="str">
        <f>IFERROR(__xludf.DUMMYFUNCTION("""COMPUTED_VALUE"""),"cas_hmw")</f>
        <v>cas_hmw</v>
      </c>
      <c r="B15769" s="5">
        <f>IFERROR(__xludf.DUMMYFUNCTION("""COMPUTED_VALUE"""),44732.0)</f>
        <v>44732</v>
      </c>
      <c r="C15769" s="6">
        <f>IFERROR(__xludf.DUMMYFUNCTION("""COMPUTED_VALUE"""),0.32239583333284827)</f>
        <v>0.3223958333</v>
      </c>
      <c r="D15769" s="4">
        <f>IFERROR(__xludf.DUMMYFUNCTION("""COMPUTED_VALUE"""),13.008326)</f>
        <v>13.008326</v>
      </c>
      <c r="E15769" s="4">
        <f>IFERROR(__xludf.DUMMYFUNCTION("""COMPUTED_VALUE"""),80.210114)</f>
        <v>80.210114</v>
      </c>
      <c r="F15769" s="4">
        <f>IFERROR(__xludf.DUMMYFUNCTION("""COMPUTED_VALUE"""),5339.0)</f>
        <v>5339</v>
      </c>
      <c r="G15769" s="4">
        <f>IFERROR(__xludf.DUMMYFUNCTION("""COMPUTED_VALUE"""),39.0)</f>
        <v>39</v>
      </c>
      <c r="H15769" s="4"/>
      <c r="I15769" s="4"/>
    </row>
    <row r="15770">
      <c r="A15770" s="4" t="str">
        <f>IFERROR(__xludf.DUMMYFUNCTION("""COMPUTED_VALUE"""),"cas_hmw")</f>
        <v>cas_hmw</v>
      </c>
      <c r="B15770" s="5">
        <f>IFERROR(__xludf.DUMMYFUNCTION("""COMPUTED_VALUE"""),44732.0)</f>
        <v>44732</v>
      </c>
      <c r="C15770" s="6">
        <f>IFERROR(__xludf.DUMMYFUNCTION("""COMPUTED_VALUE"""),0.3224884259252576)</f>
        <v>0.3224884259</v>
      </c>
      <c r="D15770" s="4">
        <f>IFERROR(__xludf.DUMMYFUNCTION("""COMPUTED_VALUE"""),13.008079)</f>
        <v>13.008079</v>
      </c>
      <c r="E15770" s="4">
        <f>IFERROR(__xludf.DUMMYFUNCTION("""COMPUTED_VALUE"""),80.20925)</f>
        <v>80.20925</v>
      </c>
      <c r="F15770" s="4">
        <f>IFERROR(__xludf.DUMMYFUNCTION("""COMPUTED_VALUE"""),5339.0)</f>
        <v>5339</v>
      </c>
      <c r="G15770" s="4">
        <f>IFERROR(__xludf.DUMMYFUNCTION("""COMPUTED_VALUE"""),31.0)</f>
        <v>31</v>
      </c>
      <c r="H15770" s="4"/>
      <c r="I15770" s="4"/>
    </row>
    <row r="15771">
      <c r="A15771" s="4" t="str">
        <f>IFERROR(__xludf.DUMMYFUNCTION("""COMPUTED_VALUE"""),"cas_hmw")</f>
        <v>cas_hmw</v>
      </c>
      <c r="B15771" s="5">
        <f>IFERROR(__xludf.DUMMYFUNCTION("""COMPUTED_VALUE"""),44732.0)</f>
        <v>44732</v>
      </c>
      <c r="C15771" s="6">
        <f>IFERROR(__xludf.DUMMYFUNCTION("""COMPUTED_VALUE"""),0.32268518518685596)</f>
        <v>0.3226851852</v>
      </c>
      <c r="D15771" s="4">
        <f>IFERROR(__xludf.DUMMYFUNCTION("""COMPUTED_VALUE"""),13.00793)</f>
        <v>13.00793</v>
      </c>
      <c r="E15771" s="4">
        <f>IFERROR(__xludf.DUMMYFUNCTION("""COMPUTED_VALUE"""),80.208299)</f>
        <v>80.208299</v>
      </c>
      <c r="F15771" s="4">
        <f>IFERROR(__xludf.DUMMYFUNCTION("""COMPUTED_VALUE"""),5339.0)</f>
        <v>5339</v>
      </c>
      <c r="G15771" s="4">
        <f>IFERROR(__xludf.DUMMYFUNCTION("""COMPUTED_VALUE"""),42.0)</f>
        <v>42</v>
      </c>
      <c r="H15771" s="4"/>
      <c r="I15771" s="4"/>
    </row>
    <row r="15772">
      <c r="A15772" s="4" t="str">
        <f>IFERROR(__xludf.DUMMYFUNCTION("""COMPUTED_VALUE"""),"cas_hmw")</f>
        <v>cas_hmw</v>
      </c>
      <c r="B15772" s="5">
        <f>IFERROR(__xludf.DUMMYFUNCTION("""COMPUTED_VALUE"""),44732.0)</f>
        <v>44732</v>
      </c>
      <c r="C15772" s="6">
        <f>IFERROR(__xludf.DUMMYFUNCTION("""COMPUTED_VALUE"""),0.3227777777792653)</f>
        <v>0.3227777778</v>
      </c>
      <c r="D15772" s="4">
        <f>IFERROR(__xludf.DUMMYFUNCTION("""COMPUTED_VALUE"""),13.007773)</f>
        <v>13.007773</v>
      </c>
      <c r="E15772" s="4">
        <f>IFERROR(__xludf.DUMMYFUNCTION("""COMPUTED_VALUE"""),80.207283)</f>
        <v>80.207283</v>
      </c>
      <c r="F15772" s="4">
        <f>IFERROR(__xludf.DUMMYFUNCTION("""COMPUTED_VALUE"""),5339.0)</f>
        <v>5339</v>
      </c>
      <c r="G15772" s="4">
        <f>IFERROR(__xludf.DUMMYFUNCTION("""COMPUTED_VALUE"""),40.0)</f>
        <v>40</v>
      </c>
      <c r="H15772" s="4"/>
      <c r="I15772" s="4"/>
    </row>
    <row r="15773">
      <c r="A15773" s="4" t="str">
        <f>IFERROR(__xludf.DUMMYFUNCTION("""COMPUTED_VALUE"""),"cas_hmw")</f>
        <v>cas_hmw</v>
      </c>
      <c r="B15773" s="5">
        <f>IFERROR(__xludf.DUMMYFUNCTION("""COMPUTED_VALUE"""),44732.0)</f>
        <v>44732</v>
      </c>
      <c r="C15773" s="6">
        <f>IFERROR(__xludf.DUMMYFUNCTION("""COMPUTED_VALUE"""),0.3228819444448163)</f>
        <v>0.3228819444</v>
      </c>
      <c r="D15773" s="4">
        <f>IFERROR(__xludf.DUMMYFUNCTION("""COMPUTED_VALUE"""),13.007596)</f>
        <v>13.007596</v>
      </c>
      <c r="E15773" s="4">
        <f>IFERROR(__xludf.DUMMYFUNCTION("""COMPUTED_VALUE"""),80.206208)</f>
        <v>80.206208</v>
      </c>
      <c r="F15773" s="4">
        <f>IFERROR(__xludf.DUMMYFUNCTION("""COMPUTED_VALUE"""),5339.0)</f>
        <v>5339</v>
      </c>
      <c r="G15773" s="4">
        <f>IFERROR(__xludf.DUMMYFUNCTION("""COMPUTED_VALUE"""),38.0)</f>
        <v>38</v>
      </c>
      <c r="H15773" s="4"/>
      <c r="I15773" s="4"/>
    </row>
    <row r="15774">
      <c r="A15774" s="4" t="str">
        <f>IFERROR(__xludf.DUMMYFUNCTION("""COMPUTED_VALUE"""),"cas_hmw")</f>
        <v>cas_hmw</v>
      </c>
      <c r="B15774" s="5">
        <f>IFERROR(__xludf.DUMMYFUNCTION("""COMPUTED_VALUE"""),44732.0)</f>
        <v>44732</v>
      </c>
      <c r="C15774" s="6">
        <f>IFERROR(__xludf.DUMMYFUNCTION("""COMPUTED_VALUE"""),0.3231134259258397)</f>
        <v>0.3231134259</v>
      </c>
      <c r="D15774" s="4">
        <f>IFERROR(__xludf.DUMMYFUNCTION("""COMPUTED_VALUE"""),13.006812)</f>
        <v>13.006812</v>
      </c>
      <c r="E15774" s="4">
        <f>IFERROR(__xludf.DUMMYFUNCTION("""COMPUTED_VALUE"""),80.204194)</f>
        <v>80.204194</v>
      </c>
      <c r="F15774" s="4">
        <f>IFERROR(__xludf.DUMMYFUNCTION("""COMPUTED_VALUE"""),5339.0)</f>
        <v>5339</v>
      </c>
      <c r="G15774" s="4">
        <f>IFERROR(__xludf.DUMMYFUNCTION("""COMPUTED_VALUE"""),47.0)</f>
        <v>47</v>
      </c>
      <c r="H15774" s="4"/>
      <c r="I15774" s="4"/>
    </row>
    <row r="15775">
      <c r="A15775" s="4" t="str">
        <f>IFERROR(__xludf.DUMMYFUNCTION("""COMPUTED_VALUE"""),"cas_hmw")</f>
        <v>cas_hmw</v>
      </c>
      <c r="B15775" s="5">
        <f>IFERROR(__xludf.DUMMYFUNCTION("""COMPUTED_VALUE"""),44732.0)</f>
        <v>44732</v>
      </c>
      <c r="C15775" s="6">
        <f>IFERROR(__xludf.DUMMYFUNCTION("""COMPUTED_VALUE"""),0.32320601851824904)</f>
        <v>0.3232060185</v>
      </c>
      <c r="D15775" s="4">
        <f>IFERROR(__xludf.DUMMYFUNCTION("""COMPUTED_VALUE"""),13.006151)</f>
        <v>13.006151</v>
      </c>
      <c r="E15775" s="4">
        <f>IFERROR(__xludf.DUMMYFUNCTION("""COMPUTED_VALUE"""),80.203198)</f>
        <v>80.203198</v>
      </c>
      <c r="F15775" s="4">
        <f>IFERROR(__xludf.DUMMYFUNCTION("""COMPUTED_VALUE"""),5339.0)</f>
        <v>5339</v>
      </c>
      <c r="G15775" s="4">
        <f>IFERROR(__xludf.DUMMYFUNCTION("""COMPUTED_VALUE"""),43.0)</f>
        <v>43</v>
      </c>
      <c r="H15775" s="4"/>
      <c r="I15775" s="4"/>
    </row>
    <row r="15776">
      <c r="A15776" s="4" t="str">
        <f>IFERROR(__xludf.DUMMYFUNCTION("""COMPUTED_VALUE"""),"cas_hmw")</f>
        <v>cas_hmw</v>
      </c>
      <c r="B15776" s="5">
        <f>IFERROR(__xludf.DUMMYFUNCTION("""COMPUTED_VALUE"""),44732.0)</f>
        <v>44732</v>
      </c>
      <c r="C15776" s="6">
        <f>IFERROR(__xludf.DUMMYFUNCTION("""COMPUTED_VALUE"""),0.3232870370375167)</f>
        <v>0.323287037</v>
      </c>
      <c r="D15776" s="4">
        <f>IFERROR(__xludf.DUMMYFUNCTION("""COMPUTED_VALUE"""),12.694756)</f>
        <v>12.694756</v>
      </c>
      <c r="E15776" s="4">
        <f>IFERROR(__xludf.DUMMYFUNCTION("""COMPUTED_VALUE"""),79.97828)</f>
        <v>79.97828</v>
      </c>
      <c r="F15776" s="4">
        <f>IFERROR(__xludf.DUMMYFUNCTION("""COMPUTED_VALUE"""),2846.0)</f>
        <v>2846</v>
      </c>
      <c r="G15776" s="4">
        <f>IFERROR(__xludf.DUMMYFUNCTION("""COMPUTED_VALUE"""),35.0)</f>
        <v>35</v>
      </c>
      <c r="H15776" s="4"/>
      <c r="I15776" s="4"/>
    </row>
    <row r="15777">
      <c r="A15777" s="4" t="str">
        <f>IFERROR(__xludf.DUMMYFUNCTION("""COMPUTED_VALUE"""),"cas_hmw")</f>
        <v>cas_hmw</v>
      </c>
      <c r="B15777" s="5">
        <f>IFERROR(__xludf.DUMMYFUNCTION("""COMPUTED_VALUE"""),44732.0)</f>
        <v>44732</v>
      </c>
      <c r="C15777" s="6">
        <f>IFERROR(__xludf.DUMMYFUNCTION("""COMPUTED_VALUE"""),0.32334490740686306)</f>
        <v>0.3233449074</v>
      </c>
      <c r="D15777" s="4">
        <f>IFERROR(__xludf.DUMMYFUNCTION("""COMPUTED_VALUE"""),12.694756)</f>
        <v>12.694756</v>
      </c>
      <c r="E15777" s="4">
        <f>IFERROR(__xludf.DUMMYFUNCTION("""COMPUTED_VALUE"""),79.97828)</f>
        <v>79.97828</v>
      </c>
      <c r="F15777" s="4">
        <f>IFERROR(__xludf.DUMMYFUNCTION("""COMPUTED_VALUE"""),2846.0)</f>
        <v>2846</v>
      </c>
      <c r="G15777" s="4">
        <f>IFERROR(__xludf.DUMMYFUNCTION("""COMPUTED_VALUE"""),35.0)</f>
        <v>35</v>
      </c>
      <c r="H15777" s="4"/>
      <c r="I15777" s="4"/>
    </row>
    <row r="15778">
      <c r="A15778" s="4" t="str">
        <f>IFERROR(__xludf.DUMMYFUNCTION("""COMPUTED_VALUE"""),"cas_hmw")</f>
        <v>cas_hmw</v>
      </c>
      <c r="B15778" s="5">
        <f>IFERROR(__xludf.DUMMYFUNCTION("""COMPUTED_VALUE"""),44732.0)</f>
        <v>44732</v>
      </c>
      <c r="C15778" s="6">
        <f>IFERROR(__xludf.DUMMYFUNCTION("""COMPUTED_VALUE"""),0.32335648148000473)</f>
        <v>0.3233564815</v>
      </c>
      <c r="D15778" s="4">
        <f>IFERROR(__xludf.DUMMYFUNCTION("""COMPUTED_VALUE"""),12.694756)</f>
        <v>12.694756</v>
      </c>
      <c r="E15778" s="4">
        <f>IFERROR(__xludf.DUMMYFUNCTION("""COMPUTED_VALUE"""),79.97828)</f>
        <v>79.97828</v>
      </c>
      <c r="F15778" s="4">
        <f>IFERROR(__xludf.DUMMYFUNCTION("""COMPUTED_VALUE"""),2846.0)</f>
        <v>2846</v>
      </c>
      <c r="G15778" s="4">
        <f>IFERROR(__xludf.DUMMYFUNCTION("""COMPUTED_VALUE"""),35.0)</f>
        <v>35</v>
      </c>
      <c r="H15778" s="4"/>
      <c r="I15778" s="4"/>
    </row>
    <row r="15779">
      <c r="A15779" s="4" t="str">
        <f>IFERROR(__xludf.DUMMYFUNCTION("""COMPUTED_VALUE"""),"cas_hmw")</f>
        <v>cas_hmw</v>
      </c>
      <c r="B15779" s="5">
        <f>IFERROR(__xludf.DUMMYFUNCTION("""COMPUTED_VALUE"""),44732.0)</f>
        <v>44732</v>
      </c>
      <c r="C15779" s="6">
        <f>IFERROR(__xludf.DUMMYFUNCTION("""COMPUTED_VALUE"""),0.32335648148000473)</f>
        <v>0.3233564815</v>
      </c>
      <c r="D15779" s="4">
        <f>IFERROR(__xludf.DUMMYFUNCTION("""COMPUTED_VALUE"""),13.005671)</f>
        <v>13.005671</v>
      </c>
      <c r="E15779" s="4">
        <f>IFERROR(__xludf.DUMMYFUNCTION("""COMPUTED_VALUE"""),80.202279)</f>
        <v>80.202279</v>
      </c>
      <c r="F15779" s="4">
        <f>IFERROR(__xludf.DUMMYFUNCTION("""COMPUTED_VALUE"""),5339.0)</f>
        <v>5339</v>
      </c>
      <c r="G15779" s="4">
        <f>IFERROR(__xludf.DUMMYFUNCTION("""COMPUTED_VALUE"""),41.0)</f>
        <v>41</v>
      </c>
      <c r="H15779" s="4"/>
      <c r="I15779" s="4"/>
    </row>
    <row r="15780">
      <c r="A15780" s="4" t="str">
        <f>IFERROR(__xludf.DUMMYFUNCTION("""COMPUTED_VALUE"""),"cas_hmw")</f>
        <v>cas_hmw</v>
      </c>
      <c r="B15780" s="5">
        <f>IFERROR(__xludf.DUMMYFUNCTION("""COMPUTED_VALUE"""),44732.0)</f>
        <v>44732</v>
      </c>
      <c r="C15780" s="6">
        <f>IFERROR(__xludf.DUMMYFUNCTION("""COMPUTED_VALUE"""),0.32353009259168175)</f>
        <v>0.3235300926</v>
      </c>
      <c r="D15780" s="4">
        <f>IFERROR(__xludf.DUMMYFUNCTION("""COMPUTED_VALUE"""),13.003621)</f>
        <v>13.003621</v>
      </c>
      <c r="E15780" s="4">
        <f>IFERROR(__xludf.DUMMYFUNCTION("""COMPUTED_VALUE"""),80.200962)</f>
        <v>80.200962</v>
      </c>
      <c r="F15780" s="4">
        <f>IFERROR(__xludf.DUMMYFUNCTION("""COMPUTED_VALUE"""),5339.0)</f>
        <v>5339</v>
      </c>
      <c r="G15780" s="4">
        <f>IFERROR(__xludf.DUMMYFUNCTION("""COMPUTED_VALUE"""),51.0)</f>
        <v>51</v>
      </c>
      <c r="H15780" s="4"/>
      <c r="I15780" s="4"/>
    </row>
    <row r="15781">
      <c r="A15781" s="4" t="str">
        <f>IFERROR(__xludf.DUMMYFUNCTION("""COMPUTED_VALUE"""),"cas_hmw")</f>
        <v>cas_hmw</v>
      </c>
      <c r="B15781" s="5">
        <f>IFERROR(__xludf.DUMMYFUNCTION("""COMPUTED_VALUE"""),44732.0)</f>
        <v>44732</v>
      </c>
      <c r="C15781" s="6">
        <f>IFERROR(__xludf.DUMMYFUNCTION("""COMPUTED_VALUE"""),0.3236226851840911)</f>
        <v>0.3236226852</v>
      </c>
      <c r="D15781" s="4">
        <f>IFERROR(__xludf.DUMMYFUNCTION("""COMPUTED_VALUE"""),13.00647)</f>
        <v>13.00647</v>
      </c>
      <c r="E15781" s="4">
        <f>IFERROR(__xludf.DUMMYFUNCTION("""COMPUTED_VALUE"""),80.255402)</f>
        <v>80.255402</v>
      </c>
      <c r="F15781" s="4">
        <f>IFERROR(__xludf.DUMMYFUNCTION("""COMPUTED_VALUE"""),805.0)</f>
        <v>805</v>
      </c>
      <c r="G15781" s="4">
        <f>IFERROR(__xludf.DUMMYFUNCTION("""COMPUTED_VALUE"""),26.0)</f>
        <v>26</v>
      </c>
      <c r="H15781" s="4"/>
      <c r="I15781" s="4"/>
    </row>
    <row r="15782">
      <c r="A15782" s="4" t="str">
        <f>IFERROR(__xludf.DUMMYFUNCTION("""COMPUTED_VALUE"""),"cas_hmw")</f>
        <v>cas_hmw</v>
      </c>
      <c r="B15782" s="5">
        <f>IFERROR(__xludf.DUMMYFUNCTION("""COMPUTED_VALUE"""),44732.0)</f>
        <v>44732</v>
      </c>
      <c r="C15782" s="6">
        <f>IFERROR(__xludf.DUMMYFUNCTION("""COMPUTED_VALUE"""),0.32395833333430346)</f>
        <v>0.3239583333</v>
      </c>
      <c r="D15782" s="4">
        <f>IFERROR(__xludf.DUMMYFUNCTION("""COMPUTED_VALUE"""),13.001775)</f>
        <v>13.001775</v>
      </c>
      <c r="E15782" s="4">
        <f>IFERROR(__xludf.DUMMYFUNCTION("""COMPUTED_VALUE"""),80.198434)</f>
        <v>80.198434</v>
      </c>
      <c r="F15782" s="4">
        <f>IFERROR(__xludf.DUMMYFUNCTION("""COMPUTED_VALUE"""),5339.0)</f>
        <v>5339</v>
      </c>
      <c r="G15782" s="4">
        <f>IFERROR(__xludf.DUMMYFUNCTION("""COMPUTED_VALUE"""),57.0)</f>
        <v>57</v>
      </c>
      <c r="H15782" s="4"/>
      <c r="I15782" s="4"/>
    </row>
    <row r="15783">
      <c r="A15783" s="4" t="str">
        <f>IFERROR(__xludf.DUMMYFUNCTION("""COMPUTED_VALUE"""),"cas_hmw")</f>
        <v>cas_hmw</v>
      </c>
      <c r="B15783" s="5">
        <f>IFERROR(__xludf.DUMMYFUNCTION("""COMPUTED_VALUE"""),44732.0)</f>
        <v>44732</v>
      </c>
      <c r="C15783" s="6">
        <f>IFERROR(__xludf.DUMMYFUNCTION("""COMPUTED_VALUE"""),0.3240856481497758)</f>
        <v>0.3240856481</v>
      </c>
      <c r="D15783" s="4">
        <f>IFERROR(__xludf.DUMMYFUNCTION("""COMPUTED_VALUE"""),13.001921)</f>
        <v>13.001921</v>
      </c>
      <c r="E15783" s="4">
        <f>IFERROR(__xludf.DUMMYFUNCTION("""COMPUTED_VALUE"""),80.197042)</f>
        <v>80.197042</v>
      </c>
      <c r="F15783" s="4">
        <f>IFERROR(__xludf.DUMMYFUNCTION("""COMPUTED_VALUE"""),5339.0)</f>
        <v>5339</v>
      </c>
      <c r="G15783" s="4">
        <f>IFERROR(__xludf.DUMMYFUNCTION("""COMPUTED_VALUE"""),48.0)</f>
        <v>48</v>
      </c>
      <c r="H15783" s="4"/>
      <c r="I15783" s="4"/>
    </row>
    <row r="15784">
      <c r="A15784" s="4" t="str">
        <f>IFERROR(__xludf.DUMMYFUNCTION("""COMPUTED_VALUE"""),"cas_hmw")</f>
        <v>cas_hmw</v>
      </c>
      <c r="B15784" s="5">
        <f>IFERROR(__xludf.DUMMYFUNCTION("""COMPUTED_VALUE"""),44732.0)</f>
        <v>44732</v>
      </c>
      <c r="C15784" s="6">
        <f>IFERROR(__xludf.DUMMYFUNCTION("""COMPUTED_VALUE"""),0.325335648147302)</f>
        <v>0.3253356481</v>
      </c>
      <c r="D15784" s="4">
        <f>IFERROR(__xludf.DUMMYFUNCTION("""COMPUTED_VALUE"""),12.995871)</f>
        <v>12.995871</v>
      </c>
      <c r="E15784" s="4">
        <f>IFERROR(__xludf.DUMMYFUNCTION("""COMPUTED_VALUE"""),80.189134)</f>
        <v>80.189134</v>
      </c>
      <c r="F15784" s="4">
        <f>IFERROR(__xludf.DUMMYFUNCTION("""COMPUTED_VALUE"""),5339.0)</f>
        <v>5339</v>
      </c>
      <c r="G15784" s="4">
        <f>IFERROR(__xludf.DUMMYFUNCTION("""COMPUTED_VALUE"""),31.0)</f>
        <v>31</v>
      </c>
      <c r="H15784" s="4"/>
      <c r="I15784" s="4"/>
    </row>
    <row r="15785">
      <c r="A15785" s="4" t="str">
        <f>IFERROR(__xludf.DUMMYFUNCTION("""COMPUTED_VALUE"""),"cas_hmw")</f>
        <v>cas_hmw</v>
      </c>
      <c r="B15785" s="5">
        <f>IFERROR(__xludf.DUMMYFUNCTION("""COMPUTED_VALUE"""),44732.0)</f>
        <v>44732</v>
      </c>
      <c r="C15785" s="6">
        <f>IFERROR(__xludf.DUMMYFUNCTION("""COMPUTED_VALUE"""),0.3266782407408755)</f>
        <v>0.3266782407</v>
      </c>
      <c r="D15785" s="4">
        <f>IFERROR(__xludf.DUMMYFUNCTION("""COMPUTED_VALUE"""),12.992828)</f>
        <v>12.992828</v>
      </c>
      <c r="E15785" s="4">
        <f>IFERROR(__xludf.DUMMYFUNCTION("""COMPUTED_VALUE"""),80.183427)</f>
        <v>80.183427</v>
      </c>
      <c r="F15785" s="4">
        <f>IFERROR(__xludf.DUMMYFUNCTION("""COMPUTED_VALUE"""),5339.0)</f>
        <v>5339</v>
      </c>
      <c r="G15785" s="4">
        <f>IFERROR(__xludf.DUMMYFUNCTION("""COMPUTED_VALUE"""),55.0)</f>
        <v>55</v>
      </c>
      <c r="H15785" s="4"/>
      <c r="I15785" s="4"/>
    </row>
    <row r="15786">
      <c r="A15786" s="4" t="str">
        <f>IFERROR(__xludf.DUMMYFUNCTION("""COMPUTED_VALUE"""),"cas_hmw")</f>
        <v>cas_hmw</v>
      </c>
      <c r="B15786" s="5">
        <f>IFERROR(__xludf.DUMMYFUNCTION("""COMPUTED_VALUE"""),44732.0)</f>
        <v>44732</v>
      </c>
      <c r="C15786" s="6">
        <f>IFERROR(__xludf.DUMMYFUNCTION("""COMPUTED_VALUE"""),0.3272453703721112)</f>
        <v>0.3272453704</v>
      </c>
      <c r="D15786" s="4">
        <f>IFERROR(__xludf.DUMMYFUNCTION("""COMPUTED_VALUE"""),12.989712)</f>
        <v>12.989712</v>
      </c>
      <c r="E15786" s="4">
        <f>IFERROR(__xludf.DUMMYFUNCTION("""COMPUTED_VALUE"""),80.179277)</f>
        <v>80.179277</v>
      </c>
      <c r="F15786" s="4">
        <f>IFERROR(__xludf.DUMMYFUNCTION("""COMPUTED_VALUE"""),5339.0)</f>
        <v>5339</v>
      </c>
      <c r="G15786" s="4">
        <f>IFERROR(__xludf.DUMMYFUNCTION("""COMPUTED_VALUE"""),16.0)</f>
        <v>16</v>
      </c>
      <c r="H15786" s="4"/>
      <c r="I15786" s="4"/>
    </row>
    <row r="15787">
      <c r="A15787" s="4" t="str">
        <f>IFERROR(__xludf.DUMMYFUNCTION("""COMPUTED_VALUE"""),"cas_hmw")</f>
        <v>cas_hmw</v>
      </c>
      <c r="B15787" s="5">
        <f>IFERROR(__xludf.DUMMYFUNCTION("""COMPUTED_VALUE"""),44732.0)</f>
        <v>44732</v>
      </c>
      <c r="C15787" s="6">
        <f>IFERROR(__xludf.DUMMYFUNCTION("""COMPUTED_VALUE"""),0.32741898148015025)</f>
        <v>0.3274189815</v>
      </c>
      <c r="D15787" s="4">
        <f>IFERROR(__xludf.DUMMYFUNCTION("""COMPUTED_VALUE"""),12.988809)</f>
        <v>12.988809</v>
      </c>
      <c r="E15787" s="4">
        <f>IFERROR(__xludf.DUMMYFUNCTION("""COMPUTED_VALUE"""),80.178133)</f>
        <v>80.178133</v>
      </c>
      <c r="F15787" s="4">
        <f>IFERROR(__xludf.DUMMYFUNCTION("""COMPUTED_VALUE"""),5339.0)</f>
        <v>5339</v>
      </c>
      <c r="G15787" s="4">
        <f>IFERROR(__xludf.DUMMYFUNCTION("""COMPUTED_VALUE"""),38.0)</f>
        <v>38</v>
      </c>
      <c r="H15787" s="4"/>
      <c r="I15787" s="4"/>
    </row>
    <row r="15788">
      <c r="A15788" s="4" t="str">
        <f>IFERROR(__xludf.DUMMYFUNCTION("""COMPUTED_VALUE"""),"cas_hmw")</f>
        <v>cas_hmw</v>
      </c>
      <c r="B15788" s="5">
        <f>IFERROR(__xludf.DUMMYFUNCTION("""COMPUTED_VALUE"""),44732.0)</f>
        <v>44732</v>
      </c>
      <c r="C15788" s="6">
        <f>IFERROR(__xludf.DUMMYFUNCTION("""COMPUTED_VALUE"""),0.32748842592627625)</f>
        <v>0.3274884259</v>
      </c>
      <c r="D15788" s="4">
        <f>IFERROR(__xludf.DUMMYFUNCTION("""COMPUTED_VALUE"""),13.006582)</f>
        <v>13.006582</v>
      </c>
      <c r="E15788" s="4">
        <f>IFERROR(__xludf.DUMMYFUNCTION("""COMPUTED_VALUE"""),80.242986)</f>
        <v>80.242986</v>
      </c>
      <c r="F15788" s="4">
        <f>IFERROR(__xludf.DUMMYFUNCTION("""COMPUTED_VALUE"""),805.0)</f>
        <v>805</v>
      </c>
      <c r="G15788" s="4">
        <f>IFERROR(__xludf.DUMMYFUNCTION("""COMPUTED_VALUE"""),17.0)</f>
        <v>17</v>
      </c>
      <c r="H15788" s="4"/>
      <c r="I15788" s="4"/>
    </row>
    <row r="15789">
      <c r="A15789" s="4" t="str">
        <f>IFERROR(__xludf.DUMMYFUNCTION("""COMPUTED_VALUE"""),"cas_hmw")</f>
        <v>cas_hmw</v>
      </c>
      <c r="B15789" s="5">
        <f>IFERROR(__xludf.DUMMYFUNCTION("""COMPUTED_VALUE"""),44732.0)</f>
        <v>44732</v>
      </c>
      <c r="C15789" s="6">
        <f>IFERROR(__xludf.DUMMYFUNCTION("""COMPUTED_VALUE"""),0.3274999999994179)</f>
        <v>0.3275</v>
      </c>
      <c r="D15789" s="4">
        <f>IFERROR(__xludf.DUMMYFUNCTION("""COMPUTED_VALUE"""),13.006582)</f>
        <v>13.006582</v>
      </c>
      <c r="E15789" s="4">
        <f>IFERROR(__xludf.DUMMYFUNCTION("""COMPUTED_VALUE"""),80.242986)</f>
        <v>80.242986</v>
      </c>
      <c r="F15789" s="4">
        <f>IFERROR(__xludf.DUMMYFUNCTION("""COMPUTED_VALUE"""),805.0)</f>
        <v>805</v>
      </c>
      <c r="G15789" s="4">
        <f>IFERROR(__xludf.DUMMYFUNCTION("""COMPUTED_VALUE"""),17.0)</f>
        <v>17</v>
      </c>
      <c r="H15789" s="4"/>
      <c r="I15789" s="4"/>
    </row>
    <row r="15790">
      <c r="A15790" s="4" t="str">
        <f>IFERROR(__xludf.DUMMYFUNCTION("""COMPUTED_VALUE"""),"cas_hmw")</f>
        <v>cas_hmw</v>
      </c>
      <c r="B15790" s="5">
        <f>IFERROR(__xludf.DUMMYFUNCTION("""COMPUTED_VALUE"""),44732.0)</f>
        <v>44732</v>
      </c>
      <c r="C15790" s="6">
        <f>IFERROR(__xludf.DUMMYFUNCTION("""COMPUTED_VALUE"""),0.32770833333415794)</f>
        <v>0.3277083333</v>
      </c>
      <c r="D15790" s="4">
        <f>IFERROR(__xludf.DUMMYFUNCTION("""COMPUTED_VALUE"""),12.986901)</f>
        <v>12.986901</v>
      </c>
      <c r="E15790" s="4">
        <f>IFERROR(__xludf.DUMMYFUNCTION("""COMPUTED_VALUE"""),80.175449)</f>
        <v>80.175449</v>
      </c>
      <c r="F15790" s="4">
        <f>IFERROR(__xludf.DUMMYFUNCTION("""COMPUTED_VALUE"""),5339.0)</f>
        <v>5339</v>
      </c>
      <c r="G15790" s="4">
        <f>IFERROR(__xludf.DUMMYFUNCTION("""COMPUTED_VALUE"""),42.0)</f>
        <v>42</v>
      </c>
      <c r="H15790" s="4"/>
      <c r="I15790" s="4"/>
    </row>
    <row r="15791">
      <c r="A15791" s="4" t="str">
        <f>IFERROR(__xludf.DUMMYFUNCTION("""COMPUTED_VALUE"""),"cas_hmw")</f>
        <v>cas_hmw</v>
      </c>
      <c r="B15791" s="5">
        <f>IFERROR(__xludf.DUMMYFUNCTION("""COMPUTED_VALUE"""),44732.0)</f>
        <v>44732</v>
      </c>
      <c r="C15791" s="6">
        <f>IFERROR(__xludf.DUMMYFUNCTION("""COMPUTED_VALUE"""),0.32836805555416504)</f>
        <v>0.3283680556</v>
      </c>
      <c r="D15791" s="4">
        <f>IFERROR(__xludf.DUMMYFUNCTION("""COMPUTED_VALUE"""),13.006918)</f>
        <v>13.006918</v>
      </c>
      <c r="E15791" s="4">
        <f>IFERROR(__xludf.DUMMYFUNCTION("""COMPUTED_VALUE"""),80.239655)</f>
        <v>80.239655</v>
      </c>
      <c r="F15791" s="4">
        <f>IFERROR(__xludf.DUMMYFUNCTION("""COMPUTED_VALUE"""),805.0)</f>
        <v>805</v>
      </c>
      <c r="G15791" s="4">
        <f>IFERROR(__xludf.DUMMYFUNCTION("""COMPUTED_VALUE"""),28.0)</f>
        <v>28</v>
      </c>
      <c r="H15791" s="4"/>
      <c r="I15791" s="4"/>
    </row>
    <row r="15792">
      <c r="A15792" s="4" t="str">
        <f>IFERROR(__xludf.DUMMYFUNCTION("""COMPUTED_VALUE"""),"cas_hmw")</f>
        <v>cas_hmw</v>
      </c>
      <c r="B15792" s="5">
        <f>IFERROR(__xludf.DUMMYFUNCTION("""COMPUTED_VALUE"""),44732.0)</f>
        <v>44732</v>
      </c>
      <c r="C15792" s="6">
        <f>IFERROR(__xludf.DUMMYFUNCTION("""COMPUTED_VALUE"""),0.32842592592714936)</f>
        <v>0.3284259259</v>
      </c>
      <c r="D15792" s="4">
        <f>IFERROR(__xludf.DUMMYFUNCTION("""COMPUTED_VALUE"""),13.007054)</f>
        <v>13.007054</v>
      </c>
      <c r="E15792" s="4">
        <f>IFERROR(__xludf.DUMMYFUNCTION("""COMPUTED_VALUE"""),80.238959)</f>
        <v>80.238959</v>
      </c>
      <c r="F15792" s="4">
        <f>IFERROR(__xludf.DUMMYFUNCTION("""COMPUTED_VALUE"""),805.0)</f>
        <v>805</v>
      </c>
      <c r="G15792" s="4">
        <f>IFERROR(__xludf.DUMMYFUNCTION("""COMPUTED_VALUE"""),31.0)</f>
        <v>31</v>
      </c>
      <c r="H15792" s="4"/>
      <c r="I15792" s="4"/>
    </row>
    <row r="15793">
      <c r="A15793" s="4" t="str">
        <f>IFERROR(__xludf.DUMMYFUNCTION("""COMPUTED_VALUE"""),"cas_hmw")</f>
        <v>cas_hmw</v>
      </c>
      <c r="B15793" s="5">
        <f>IFERROR(__xludf.DUMMYFUNCTION("""COMPUTED_VALUE"""),44732.0)</f>
        <v>44732</v>
      </c>
      <c r="C15793" s="6">
        <f>IFERROR(__xludf.DUMMYFUNCTION("""COMPUTED_VALUE"""),0.32842592592714936)</f>
        <v>0.3284259259</v>
      </c>
      <c r="D15793" s="4">
        <f>IFERROR(__xludf.DUMMYFUNCTION("""COMPUTED_VALUE"""),13.007054)</f>
        <v>13.007054</v>
      </c>
      <c r="E15793" s="4">
        <f>IFERROR(__xludf.DUMMYFUNCTION("""COMPUTED_VALUE"""),80.238959)</f>
        <v>80.238959</v>
      </c>
      <c r="F15793" s="4">
        <f>IFERROR(__xludf.DUMMYFUNCTION("""COMPUTED_VALUE"""),805.0)</f>
        <v>805</v>
      </c>
      <c r="G15793" s="4">
        <f>IFERROR(__xludf.DUMMYFUNCTION("""COMPUTED_VALUE"""),31.0)</f>
        <v>31</v>
      </c>
      <c r="H15793" s="4"/>
      <c r="I15793" s="4"/>
    </row>
    <row r="15794">
      <c r="A15794" s="4" t="str">
        <f>IFERROR(__xludf.DUMMYFUNCTION("""COMPUTED_VALUE"""),"cas_hmw")</f>
        <v>cas_hmw</v>
      </c>
      <c r="B15794" s="5">
        <f>IFERROR(__xludf.DUMMYFUNCTION("""COMPUTED_VALUE"""),44732.0)</f>
        <v>44732</v>
      </c>
      <c r="C15794" s="6">
        <f>IFERROR(__xludf.DUMMYFUNCTION("""COMPUTED_VALUE"""),0.3284490740734327)</f>
        <v>0.3284490741</v>
      </c>
      <c r="D15794" s="4">
        <f>IFERROR(__xludf.DUMMYFUNCTION("""COMPUTED_VALUE"""),13.007054)</f>
        <v>13.007054</v>
      </c>
      <c r="E15794" s="4">
        <f>IFERROR(__xludf.DUMMYFUNCTION("""COMPUTED_VALUE"""),80.238959)</f>
        <v>80.238959</v>
      </c>
      <c r="F15794" s="4">
        <f>IFERROR(__xludf.DUMMYFUNCTION("""COMPUTED_VALUE"""),805.0)</f>
        <v>805</v>
      </c>
      <c r="G15794" s="4">
        <f>IFERROR(__xludf.DUMMYFUNCTION("""COMPUTED_VALUE"""),31.0)</f>
        <v>31</v>
      </c>
      <c r="H15794" s="4"/>
      <c r="I15794" s="4"/>
    </row>
    <row r="15795">
      <c r="A15795" s="4" t="str">
        <f>IFERROR(__xludf.DUMMYFUNCTION("""COMPUTED_VALUE"""),"cas_hmw")</f>
        <v>cas_hmw</v>
      </c>
      <c r="B15795" s="5">
        <f>IFERROR(__xludf.DUMMYFUNCTION("""COMPUTED_VALUE"""),44732.0)</f>
        <v>44732</v>
      </c>
      <c r="C15795" s="6">
        <f>IFERROR(__xludf.DUMMYFUNCTION("""COMPUTED_VALUE"""),0.32915509259328246)</f>
        <v>0.3291550926</v>
      </c>
      <c r="D15795" s="4">
        <f>IFERROR(__xludf.DUMMYFUNCTION("""COMPUTED_VALUE"""),13.007862)</f>
        <v>13.007862</v>
      </c>
      <c r="E15795" s="4">
        <f>IFERROR(__xludf.DUMMYFUNCTION("""COMPUTED_VALUE"""),80.23509)</f>
        <v>80.23509</v>
      </c>
      <c r="F15795" s="4">
        <f>IFERROR(__xludf.DUMMYFUNCTION("""COMPUTED_VALUE"""),805.0)</f>
        <v>805</v>
      </c>
      <c r="G15795" s="4">
        <f>IFERROR(__xludf.DUMMYFUNCTION("""COMPUTED_VALUE"""),12.0)</f>
        <v>12</v>
      </c>
      <c r="H15795" s="4"/>
      <c r="I15795" s="4"/>
    </row>
    <row r="15796">
      <c r="A15796" s="4" t="str">
        <f>IFERROR(__xludf.DUMMYFUNCTION("""COMPUTED_VALUE"""),"cas_hmw")</f>
        <v>cas_hmw</v>
      </c>
      <c r="B15796" s="5">
        <f>IFERROR(__xludf.DUMMYFUNCTION("""COMPUTED_VALUE"""),44732.0)</f>
        <v>44732</v>
      </c>
      <c r="C15796" s="6">
        <f>IFERROR(__xludf.DUMMYFUNCTION("""COMPUTED_VALUE"""),0.32927083333197515)</f>
        <v>0.3292708333</v>
      </c>
      <c r="D15796" s="4">
        <f>IFERROR(__xludf.DUMMYFUNCTION("""COMPUTED_VALUE"""),12.978024)</f>
        <v>12.978024</v>
      </c>
      <c r="E15796" s="4">
        <f>IFERROR(__xludf.DUMMYFUNCTION("""COMPUTED_VALUE"""),80.160144)</f>
        <v>80.160144</v>
      </c>
      <c r="F15796" s="4">
        <f>IFERROR(__xludf.DUMMYFUNCTION("""COMPUTED_VALUE"""),5339.0)</f>
        <v>5339</v>
      </c>
      <c r="G15796" s="4">
        <f>IFERROR(__xludf.DUMMYFUNCTION("""COMPUTED_VALUE"""),52.0)</f>
        <v>52</v>
      </c>
      <c r="H15796" s="4"/>
      <c r="I15796" s="4"/>
    </row>
    <row r="15797">
      <c r="A15797" s="4" t="str">
        <f>IFERROR(__xludf.DUMMYFUNCTION("""COMPUTED_VALUE"""),"cas_hmw")</f>
        <v>cas_hmw</v>
      </c>
      <c r="B15797" s="5">
        <f>IFERROR(__xludf.DUMMYFUNCTION("""COMPUTED_VALUE"""),44732.0)</f>
        <v>44732</v>
      </c>
      <c r="C15797" s="6">
        <f>IFERROR(__xludf.DUMMYFUNCTION("""COMPUTED_VALUE"""),0.3299884259249666)</f>
        <v>0.3299884259</v>
      </c>
      <c r="D15797" s="4">
        <f>IFERROR(__xludf.DUMMYFUNCTION("""COMPUTED_VALUE"""),12.726222)</f>
        <v>12.726222</v>
      </c>
      <c r="E15797" s="4">
        <f>IFERROR(__xludf.DUMMYFUNCTION("""COMPUTED_VALUE"""),79.982336)</f>
        <v>79.982336</v>
      </c>
      <c r="F15797" s="4">
        <f>IFERROR(__xludf.DUMMYFUNCTION("""COMPUTED_VALUE"""),2846.0)</f>
        <v>2846</v>
      </c>
      <c r="G15797" s="4">
        <f>IFERROR(__xludf.DUMMYFUNCTION("""COMPUTED_VALUE"""),35.0)</f>
        <v>35</v>
      </c>
      <c r="H15797" s="4"/>
      <c r="I15797" s="4"/>
    </row>
    <row r="15798">
      <c r="A15798" s="4" t="str">
        <f>IFERROR(__xludf.DUMMYFUNCTION("""COMPUTED_VALUE"""),"cas_hmw")</f>
        <v>cas_hmw</v>
      </c>
      <c r="B15798" s="5">
        <f>IFERROR(__xludf.DUMMYFUNCTION("""COMPUTED_VALUE"""),44732.0)</f>
        <v>44732</v>
      </c>
      <c r="C15798" s="6">
        <f>IFERROR(__xludf.DUMMYFUNCTION("""COMPUTED_VALUE"""),0.3300115740748879)</f>
        <v>0.3300115741</v>
      </c>
      <c r="D15798" s="4">
        <f>IFERROR(__xludf.DUMMYFUNCTION("""COMPUTED_VALUE"""),12.97437)</f>
        <v>12.97437</v>
      </c>
      <c r="E15798" s="4">
        <f>IFERROR(__xludf.DUMMYFUNCTION("""COMPUTED_VALUE"""),80.154776)</f>
        <v>80.154776</v>
      </c>
      <c r="F15798" s="4">
        <f>IFERROR(__xludf.DUMMYFUNCTION("""COMPUTED_VALUE"""),5339.0)</f>
        <v>5339</v>
      </c>
      <c r="G15798" s="4">
        <f>IFERROR(__xludf.DUMMYFUNCTION("""COMPUTED_VALUE"""),24.0)</f>
        <v>24</v>
      </c>
      <c r="H15798" s="4"/>
      <c r="I15798" s="4"/>
    </row>
    <row r="15799">
      <c r="A15799" s="4" t="str">
        <f>IFERROR(__xludf.DUMMYFUNCTION("""COMPUTED_VALUE"""),"cas_hmw")</f>
        <v>cas_hmw</v>
      </c>
      <c r="B15799" s="5">
        <f>IFERROR(__xludf.DUMMYFUNCTION("""COMPUTED_VALUE"""),44732.0)</f>
        <v>44732</v>
      </c>
      <c r="C15799" s="6">
        <f>IFERROR(__xludf.DUMMYFUNCTION("""COMPUTED_VALUE"""),0.3306249999986903)</f>
        <v>0.330625</v>
      </c>
      <c r="D15799" s="4">
        <f>IFERROR(__xludf.DUMMYFUNCTION("""COMPUTED_VALUE"""),13.008672)</f>
        <v>13.008672</v>
      </c>
      <c r="E15799" s="4">
        <f>IFERROR(__xludf.DUMMYFUNCTION("""COMPUTED_VALUE"""),80.230387)</f>
        <v>80.230387</v>
      </c>
      <c r="F15799" s="4">
        <f>IFERROR(__xludf.DUMMYFUNCTION("""COMPUTED_VALUE"""),805.0)</f>
        <v>805</v>
      </c>
      <c r="G15799" s="4">
        <f>IFERROR(__xludf.DUMMYFUNCTION("""COMPUTED_VALUE"""),23.0)</f>
        <v>23</v>
      </c>
      <c r="H15799" s="4"/>
      <c r="I15799" s="4"/>
    </row>
    <row r="15800">
      <c r="A15800" s="4" t="str">
        <f>IFERROR(__xludf.DUMMYFUNCTION("""COMPUTED_VALUE"""),"cas_hmw")</f>
        <v>cas_hmw</v>
      </c>
      <c r="B15800" s="5">
        <f>IFERROR(__xludf.DUMMYFUNCTION("""COMPUTED_VALUE"""),44732.0)</f>
        <v>44732</v>
      </c>
      <c r="C15800" s="6">
        <f>IFERROR(__xludf.DUMMYFUNCTION("""COMPUTED_VALUE"""),0.33063657407547)</f>
        <v>0.3306365741</v>
      </c>
      <c r="D15800" s="4">
        <f>IFERROR(__xludf.DUMMYFUNCTION("""COMPUTED_VALUE"""),13.008672)</f>
        <v>13.008672</v>
      </c>
      <c r="E15800" s="4">
        <f>IFERROR(__xludf.DUMMYFUNCTION("""COMPUTED_VALUE"""),80.230387)</f>
        <v>80.230387</v>
      </c>
      <c r="F15800" s="4">
        <f>IFERROR(__xludf.DUMMYFUNCTION("""COMPUTED_VALUE"""),805.0)</f>
        <v>805</v>
      </c>
      <c r="G15800" s="4">
        <f>IFERROR(__xludf.DUMMYFUNCTION("""COMPUTED_VALUE"""),23.0)</f>
        <v>23</v>
      </c>
      <c r="H15800" s="4"/>
      <c r="I15800" s="4"/>
    </row>
    <row r="15801">
      <c r="A15801" s="4" t="str">
        <f>IFERROR(__xludf.DUMMYFUNCTION("""COMPUTED_VALUE"""),"cas_hmw")</f>
        <v>cas_hmw</v>
      </c>
      <c r="B15801" s="5">
        <f>IFERROR(__xludf.DUMMYFUNCTION("""COMPUTED_VALUE"""),44732.0)</f>
        <v>44732</v>
      </c>
      <c r="C15801" s="6">
        <f>IFERROR(__xludf.DUMMYFUNCTION("""COMPUTED_VALUE"""),0.33064814814861165)</f>
        <v>0.3306481481</v>
      </c>
      <c r="D15801" s="4">
        <f>IFERROR(__xludf.DUMMYFUNCTION("""COMPUTED_VALUE"""),13.008672)</f>
        <v>13.008672</v>
      </c>
      <c r="E15801" s="4">
        <f>IFERROR(__xludf.DUMMYFUNCTION("""COMPUTED_VALUE"""),80.230387)</f>
        <v>80.230387</v>
      </c>
      <c r="F15801" s="4">
        <f>IFERROR(__xludf.DUMMYFUNCTION("""COMPUTED_VALUE"""),805.0)</f>
        <v>805</v>
      </c>
      <c r="G15801" s="4">
        <f>IFERROR(__xludf.DUMMYFUNCTION("""COMPUTED_VALUE"""),23.0)</f>
        <v>23</v>
      </c>
      <c r="H15801" s="4"/>
      <c r="I15801" s="4"/>
    </row>
    <row r="15802">
      <c r="A15802" s="4" t="str">
        <f>IFERROR(__xludf.DUMMYFUNCTION("""COMPUTED_VALUE"""),"cas_hmw")</f>
        <v>cas_hmw</v>
      </c>
      <c r="B15802" s="5">
        <f>IFERROR(__xludf.DUMMYFUNCTION("""COMPUTED_VALUE"""),44732.0)</f>
        <v>44732</v>
      </c>
      <c r="C15802" s="6">
        <f>IFERROR(__xludf.DUMMYFUNCTION("""COMPUTED_VALUE"""),0.33064814814861165)</f>
        <v>0.3306481481</v>
      </c>
      <c r="D15802" s="4">
        <f>IFERROR(__xludf.DUMMYFUNCTION("""COMPUTED_VALUE"""),13.008672)</f>
        <v>13.008672</v>
      </c>
      <c r="E15802" s="4">
        <f>IFERROR(__xludf.DUMMYFUNCTION("""COMPUTED_VALUE"""),80.230387)</f>
        <v>80.230387</v>
      </c>
      <c r="F15802" s="4">
        <f>IFERROR(__xludf.DUMMYFUNCTION("""COMPUTED_VALUE"""),805.0)</f>
        <v>805</v>
      </c>
      <c r="G15802" s="4">
        <f>IFERROR(__xludf.DUMMYFUNCTION("""COMPUTED_VALUE"""),23.0)</f>
        <v>23</v>
      </c>
      <c r="H15802" s="4"/>
      <c r="I15802" s="4"/>
    </row>
    <row r="15803">
      <c r="A15803" s="4" t="str">
        <f>IFERROR(__xludf.DUMMYFUNCTION("""COMPUTED_VALUE"""),"cas_hmw")</f>
        <v>cas_hmw</v>
      </c>
      <c r="B15803" s="5">
        <f>IFERROR(__xludf.DUMMYFUNCTION("""COMPUTED_VALUE"""),44732.0)</f>
        <v>44732</v>
      </c>
      <c r="C15803" s="6">
        <f>IFERROR(__xludf.DUMMYFUNCTION("""COMPUTED_VALUE"""),0.33105324074131204)</f>
        <v>0.3310532407</v>
      </c>
      <c r="D15803" s="4">
        <f>IFERROR(__xludf.DUMMYFUNCTION("""COMPUTED_VALUE"""),13.009565)</f>
        <v>13.009565</v>
      </c>
      <c r="E15803" s="4">
        <f>IFERROR(__xludf.DUMMYFUNCTION("""COMPUTED_VALUE"""),80.22736)</f>
        <v>80.22736</v>
      </c>
      <c r="F15803" s="4">
        <f>IFERROR(__xludf.DUMMYFUNCTION("""COMPUTED_VALUE"""),805.0)</f>
        <v>805</v>
      </c>
      <c r="G15803" s="4">
        <f>IFERROR(__xludf.DUMMYFUNCTION("""COMPUTED_VALUE"""),37.0)</f>
        <v>37</v>
      </c>
      <c r="H15803" s="4"/>
      <c r="I15803" s="4"/>
    </row>
    <row r="15804">
      <c r="A15804" s="4" t="str">
        <f>IFERROR(__xludf.DUMMYFUNCTION("""COMPUTED_VALUE"""),"cas_hmw")</f>
        <v>cas_hmw</v>
      </c>
      <c r="B15804" s="5">
        <f>IFERROR(__xludf.DUMMYFUNCTION("""COMPUTED_VALUE"""),44732.0)</f>
        <v>44732</v>
      </c>
      <c r="C15804" s="6">
        <f>IFERROR(__xludf.DUMMYFUNCTION("""COMPUTED_VALUE"""),0.3312847222223354)</f>
        <v>0.3312847222</v>
      </c>
      <c r="D15804" s="4">
        <f>IFERROR(__xludf.DUMMYFUNCTION("""COMPUTED_VALUE"""),13.009968)</f>
        <v>13.009968</v>
      </c>
      <c r="E15804" s="4">
        <f>IFERROR(__xludf.DUMMYFUNCTION("""COMPUTED_VALUE"""),80.226459)</f>
        <v>80.226459</v>
      </c>
      <c r="F15804" s="4">
        <f>IFERROR(__xludf.DUMMYFUNCTION("""COMPUTED_VALUE"""),805.0)</f>
        <v>805</v>
      </c>
      <c r="G15804" s="4">
        <f>IFERROR(__xludf.DUMMYFUNCTION("""COMPUTED_VALUE"""),37.0)</f>
        <v>37</v>
      </c>
      <c r="H15804" s="4"/>
      <c r="I15804" s="4"/>
    </row>
    <row r="15805">
      <c r="A15805" s="4" t="str">
        <f>IFERROR(__xludf.DUMMYFUNCTION("""COMPUTED_VALUE"""),"cas_hmw")</f>
        <v>cas_hmw</v>
      </c>
      <c r="B15805" s="5">
        <f>IFERROR(__xludf.DUMMYFUNCTION("""COMPUTED_VALUE"""),44732.0)</f>
        <v>44732</v>
      </c>
      <c r="C15805" s="6">
        <f>IFERROR(__xludf.DUMMYFUNCTION("""COMPUTED_VALUE"""),0.33130787036861875)</f>
        <v>0.3313078704</v>
      </c>
      <c r="D15805" s="4">
        <f>IFERROR(__xludf.DUMMYFUNCTION("""COMPUTED_VALUE"""),13.010347)</f>
        <v>13.010347</v>
      </c>
      <c r="E15805" s="4">
        <f>IFERROR(__xludf.DUMMYFUNCTION("""COMPUTED_VALUE"""),80.22566)</f>
        <v>80.22566</v>
      </c>
      <c r="F15805" s="4">
        <f>IFERROR(__xludf.DUMMYFUNCTION("""COMPUTED_VALUE"""),805.0)</f>
        <v>805</v>
      </c>
      <c r="G15805" s="4">
        <f>IFERROR(__xludf.DUMMYFUNCTION("""COMPUTED_VALUE"""),31.0)</f>
        <v>31</v>
      </c>
      <c r="H15805" s="4"/>
      <c r="I15805" s="4"/>
    </row>
    <row r="15806">
      <c r="A15806" s="4" t="str">
        <f>IFERROR(__xludf.DUMMYFUNCTION("""COMPUTED_VALUE"""),"cas_hmw")</f>
        <v>cas_hmw</v>
      </c>
      <c r="B15806" s="5">
        <f>IFERROR(__xludf.DUMMYFUNCTION("""COMPUTED_VALUE"""),44732.0)</f>
        <v>44732</v>
      </c>
      <c r="C15806" s="6">
        <f>IFERROR(__xludf.DUMMYFUNCTION("""COMPUTED_VALUE"""),0.33156249999956344)</f>
        <v>0.3315625</v>
      </c>
      <c r="D15806" s="4">
        <f>IFERROR(__xludf.DUMMYFUNCTION("""COMPUTED_VALUE"""),12.971333)</f>
        <v>12.971333</v>
      </c>
      <c r="E15806" s="4">
        <f>IFERROR(__xludf.DUMMYFUNCTION("""COMPUTED_VALUE"""),80.151061)</f>
        <v>80.151061</v>
      </c>
      <c r="F15806" s="4">
        <f>IFERROR(__xludf.DUMMYFUNCTION("""COMPUTED_VALUE"""),5339.0)</f>
        <v>5339</v>
      </c>
      <c r="G15806" s="4">
        <f>IFERROR(__xludf.DUMMYFUNCTION("""COMPUTED_VALUE"""),34.0)</f>
        <v>34</v>
      </c>
      <c r="H15806" s="4"/>
      <c r="I15806" s="4"/>
    </row>
    <row r="15807">
      <c r="A15807" s="4" t="str">
        <f>IFERROR(__xludf.DUMMYFUNCTION("""COMPUTED_VALUE"""),"cas_hmw")</f>
        <v>cas_hmw</v>
      </c>
      <c r="B15807" s="5">
        <f>IFERROR(__xludf.DUMMYFUNCTION("""COMPUTED_VALUE"""),44732.0)</f>
        <v>44732</v>
      </c>
      <c r="C15807" s="6">
        <f>IFERROR(__xludf.DUMMYFUNCTION("""COMPUTED_VALUE"""),0.33265046296219225)</f>
        <v>0.332650463</v>
      </c>
      <c r="D15807" s="4">
        <f>IFERROR(__xludf.DUMMYFUNCTION("""COMPUTED_VALUE"""),12.966208)</f>
        <v>12.966208</v>
      </c>
      <c r="E15807" s="4">
        <f>IFERROR(__xludf.DUMMYFUNCTION("""COMPUTED_VALUE"""),80.14863)</f>
        <v>80.14863</v>
      </c>
      <c r="F15807" s="4">
        <f>IFERROR(__xludf.DUMMYFUNCTION("""COMPUTED_VALUE"""),5339.0)</f>
        <v>5339</v>
      </c>
      <c r="G15807" s="4">
        <f>IFERROR(__xludf.DUMMYFUNCTION("""COMPUTED_VALUE"""),37.0)</f>
        <v>37</v>
      </c>
      <c r="H15807" s="4"/>
      <c r="I15807" s="4"/>
    </row>
    <row r="15808">
      <c r="A15808" s="4" t="str">
        <f>IFERROR(__xludf.DUMMYFUNCTION("""COMPUTED_VALUE"""),"cas_hmw")</f>
        <v>cas_hmw</v>
      </c>
      <c r="B15808" s="5">
        <f>IFERROR(__xludf.DUMMYFUNCTION("""COMPUTED_VALUE"""),44732.0)</f>
        <v>44732</v>
      </c>
      <c r="C15808" s="6">
        <f>IFERROR(__xludf.DUMMYFUNCTION("""COMPUTED_VALUE"""),0.3328009259275859)</f>
        <v>0.3328009259</v>
      </c>
      <c r="D15808" s="4">
        <f>IFERROR(__xludf.DUMMYFUNCTION("""COMPUTED_VALUE"""),13.01167)</f>
        <v>13.01167</v>
      </c>
      <c r="E15808" s="4">
        <f>IFERROR(__xludf.DUMMYFUNCTION("""COMPUTED_VALUE"""),80.219454)</f>
        <v>80.219454</v>
      </c>
      <c r="F15808" s="4">
        <f>IFERROR(__xludf.DUMMYFUNCTION("""COMPUTED_VALUE"""),805.0)</f>
        <v>805</v>
      </c>
      <c r="G15808" s="4">
        <f>IFERROR(__xludf.DUMMYFUNCTION("""COMPUTED_VALUE"""),40.0)</f>
        <v>40</v>
      </c>
      <c r="H15808" s="4"/>
      <c r="I15808" s="4"/>
    </row>
    <row r="15809">
      <c r="A15809" s="4" t="str">
        <f>IFERROR(__xludf.DUMMYFUNCTION("""COMPUTED_VALUE"""),"cas_hmw")</f>
        <v>cas_hmw</v>
      </c>
      <c r="B15809" s="5">
        <f>IFERROR(__xludf.DUMMYFUNCTION("""COMPUTED_VALUE"""),44732.0)</f>
        <v>44732</v>
      </c>
      <c r="C15809" s="6">
        <f>IFERROR(__xludf.DUMMYFUNCTION("""COMPUTED_VALUE"""),0.3328819444432156)</f>
        <v>0.3328819444</v>
      </c>
      <c r="D15809" s="4">
        <f>IFERROR(__xludf.DUMMYFUNCTION("""COMPUTED_VALUE"""),12.962035)</f>
        <v>12.962035</v>
      </c>
      <c r="E15809" s="4">
        <f>IFERROR(__xludf.DUMMYFUNCTION("""COMPUTED_VALUE"""),80.146373)</f>
        <v>80.146373</v>
      </c>
      <c r="F15809" s="4">
        <f>IFERROR(__xludf.DUMMYFUNCTION("""COMPUTED_VALUE"""),5339.0)</f>
        <v>5339</v>
      </c>
      <c r="G15809" s="4">
        <f>IFERROR(__xludf.DUMMYFUNCTION("""COMPUTED_VALUE"""),16.0)</f>
        <v>16</v>
      </c>
      <c r="H15809" s="4"/>
      <c r="I15809" s="4"/>
    </row>
    <row r="15810">
      <c r="A15810" s="4" t="str">
        <f>IFERROR(__xludf.DUMMYFUNCTION("""COMPUTED_VALUE"""),"cas_hmw")</f>
        <v>cas_hmw</v>
      </c>
      <c r="B15810" s="5">
        <f>IFERROR(__xludf.DUMMYFUNCTION("""COMPUTED_VALUE"""),44732.0)</f>
        <v>44732</v>
      </c>
      <c r="C15810" s="6">
        <f>IFERROR(__xludf.DUMMYFUNCTION("""COMPUTED_VALUE"""),0.3328819444432156)</f>
        <v>0.3328819444</v>
      </c>
      <c r="D15810" s="4">
        <f>IFERROR(__xludf.DUMMYFUNCTION("""COMPUTED_VALUE"""),12.962035)</f>
        <v>12.962035</v>
      </c>
      <c r="E15810" s="4">
        <f>IFERROR(__xludf.DUMMYFUNCTION("""COMPUTED_VALUE"""),80.146373)</f>
        <v>80.146373</v>
      </c>
      <c r="F15810" s="4">
        <f>IFERROR(__xludf.DUMMYFUNCTION("""COMPUTED_VALUE"""),5339.0)</f>
        <v>5339</v>
      </c>
      <c r="G15810" s="4">
        <f>IFERROR(__xludf.DUMMYFUNCTION("""COMPUTED_VALUE"""),16.0)</f>
        <v>16</v>
      </c>
      <c r="H15810" s="4"/>
      <c r="I15810" s="4"/>
    </row>
    <row r="15811">
      <c r="A15811" s="4" t="str">
        <f>IFERROR(__xludf.DUMMYFUNCTION("""COMPUTED_VALUE"""),"cas_hmw")</f>
        <v>cas_hmw</v>
      </c>
      <c r="B15811" s="5">
        <f>IFERROR(__xludf.DUMMYFUNCTION("""COMPUTED_VALUE"""),44732.0)</f>
        <v>44732</v>
      </c>
      <c r="C15811" s="6">
        <f>IFERROR(__xludf.DUMMYFUNCTION("""COMPUTED_VALUE"""),0.33289351851999527)</f>
        <v>0.3328935185</v>
      </c>
      <c r="D15811" s="4">
        <f>IFERROR(__xludf.DUMMYFUNCTION("""COMPUTED_VALUE"""),12.961494)</f>
        <v>12.961494</v>
      </c>
      <c r="E15811" s="4">
        <f>IFERROR(__xludf.DUMMYFUNCTION("""COMPUTED_VALUE"""),80.146077)</f>
        <v>80.146077</v>
      </c>
      <c r="F15811" s="4">
        <f>IFERROR(__xludf.DUMMYFUNCTION("""COMPUTED_VALUE"""),5339.0)</f>
        <v>5339</v>
      </c>
      <c r="G15811" s="4">
        <f>IFERROR(__xludf.DUMMYFUNCTION("""COMPUTED_VALUE"""),27.0)</f>
        <v>27</v>
      </c>
      <c r="H15811" s="4"/>
      <c r="I15811" s="4"/>
    </row>
    <row r="15812">
      <c r="A15812" s="4" t="str">
        <f>IFERROR(__xludf.DUMMYFUNCTION("""COMPUTED_VALUE"""),"cas_hmw")</f>
        <v>cas_hmw</v>
      </c>
      <c r="B15812" s="5">
        <f>IFERROR(__xludf.DUMMYFUNCTION("""COMPUTED_VALUE"""),44732.0)</f>
        <v>44732</v>
      </c>
      <c r="C15812" s="6">
        <f>IFERROR(__xludf.DUMMYFUNCTION("""COMPUTED_VALUE"""),0.3329629629624833)</f>
        <v>0.332962963</v>
      </c>
      <c r="D15812" s="4">
        <f>IFERROR(__xludf.DUMMYFUNCTION("""COMPUTED_VALUE"""),13.011356)</f>
        <v>13.011356</v>
      </c>
      <c r="E15812" s="4">
        <f>IFERROR(__xludf.DUMMYFUNCTION("""COMPUTED_VALUE"""),80.218482)</f>
        <v>80.218482</v>
      </c>
      <c r="F15812" s="4">
        <f>IFERROR(__xludf.DUMMYFUNCTION("""COMPUTED_VALUE"""),805.0)</f>
        <v>805</v>
      </c>
      <c r="G15812" s="4">
        <f>IFERROR(__xludf.DUMMYFUNCTION("""COMPUTED_VALUE"""),34.0)</f>
        <v>34</v>
      </c>
      <c r="H15812" s="4"/>
      <c r="I15812" s="4"/>
    </row>
    <row r="15813">
      <c r="A15813" s="4" t="str">
        <f>IFERROR(__xludf.DUMMYFUNCTION("""COMPUTED_VALUE"""),"cas_hmw")</f>
        <v>cas_hmw</v>
      </c>
      <c r="B15813" s="5">
        <f>IFERROR(__xludf.DUMMYFUNCTION("""COMPUTED_VALUE"""),44732.0)</f>
        <v>44732</v>
      </c>
      <c r="C15813" s="6">
        <f>IFERROR(__xludf.DUMMYFUNCTION("""COMPUTED_VALUE"""),0.3331018518510973)</f>
        <v>0.3331018519</v>
      </c>
      <c r="D15813" s="4">
        <f>IFERROR(__xludf.DUMMYFUNCTION("""COMPUTED_VALUE"""),12.960739)</f>
        <v>12.960739</v>
      </c>
      <c r="E15813" s="4">
        <f>IFERROR(__xludf.DUMMYFUNCTION("""COMPUTED_VALUE"""),80.145659)</f>
        <v>80.145659</v>
      </c>
      <c r="F15813" s="4">
        <f>IFERROR(__xludf.DUMMYFUNCTION("""COMPUTED_VALUE"""),5339.0)</f>
        <v>5339</v>
      </c>
      <c r="G15813" s="4">
        <f>IFERROR(__xludf.DUMMYFUNCTION("""COMPUTED_VALUE"""),40.0)</f>
        <v>40</v>
      </c>
      <c r="H15813" s="4"/>
      <c r="I15813" s="4"/>
    </row>
    <row r="15814">
      <c r="A15814" s="4" t="str">
        <f>IFERROR(__xludf.DUMMYFUNCTION("""COMPUTED_VALUE"""),"cas_hmw")</f>
        <v>cas_hmw</v>
      </c>
      <c r="B15814" s="5">
        <f>IFERROR(__xludf.DUMMYFUNCTION("""COMPUTED_VALUE"""),44732.0)</f>
        <v>44732</v>
      </c>
      <c r="C15814" s="6">
        <f>IFERROR(__xludf.DUMMYFUNCTION("""COMPUTED_VALUE"""),0.3333101851858373)</f>
        <v>0.3333101852</v>
      </c>
      <c r="D15814" s="4">
        <f>IFERROR(__xludf.DUMMYFUNCTION("""COMPUTED_VALUE"""),13.010502)</f>
        <v>13.010502</v>
      </c>
      <c r="E15814" s="4">
        <f>IFERROR(__xludf.DUMMYFUNCTION("""COMPUTED_VALUE"""),80.216414)</f>
        <v>80.216414</v>
      </c>
      <c r="F15814" s="4">
        <f>IFERROR(__xludf.DUMMYFUNCTION("""COMPUTED_VALUE"""),805.0)</f>
        <v>805</v>
      </c>
      <c r="G15814" s="4">
        <f>IFERROR(__xludf.DUMMYFUNCTION("""COMPUTED_VALUE"""),30.0)</f>
        <v>30</v>
      </c>
      <c r="H15814" s="4"/>
      <c r="I15814" s="4"/>
    </row>
    <row r="15815">
      <c r="A15815" s="4" t="str">
        <f>IFERROR(__xludf.DUMMYFUNCTION("""COMPUTED_VALUE"""),"cas_hmw")</f>
        <v>cas_hmw</v>
      </c>
      <c r="B15815" s="5">
        <f>IFERROR(__xludf.DUMMYFUNCTION("""COMPUTED_VALUE"""),44732.0)</f>
        <v>44732</v>
      </c>
      <c r="C15815" s="6">
        <f>IFERROR(__xludf.DUMMYFUNCTION("""COMPUTED_VALUE"""),0.3333333333321207)</f>
        <v>0.3333333333</v>
      </c>
      <c r="D15815" s="4">
        <f>IFERROR(__xludf.DUMMYFUNCTION("""COMPUTED_VALUE"""),12.754154)</f>
        <v>12.754154</v>
      </c>
      <c r="E15815" s="4">
        <f>IFERROR(__xludf.DUMMYFUNCTION("""COMPUTED_VALUE"""),80.000596)</f>
        <v>80.000596</v>
      </c>
      <c r="F15815" s="4">
        <f>IFERROR(__xludf.DUMMYFUNCTION("""COMPUTED_VALUE"""),2846.0)</f>
        <v>2846</v>
      </c>
      <c r="G15815" s="4">
        <f>IFERROR(__xludf.DUMMYFUNCTION("""COMPUTED_VALUE"""),57.0)</f>
        <v>57</v>
      </c>
      <c r="H15815" s="4"/>
      <c r="I15815" s="4"/>
    </row>
    <row r="15816">
      <c r="A15816" s="4" t="str">
        <f>IFERROR(__xludf.DUMMYFUNCTION("""COMPUTED_VALUE"""),"cas_hmw")</f>
        <v>cas_hmw</v>
      </c>
      <c r="B15816" s="5">
        <f>IFERROR(__xludf.DUMMYFUNCTION("""COMPUTED_VALUE"""),44732.0)</f>
        <v>44732</v>
      </c>
      <c r="C15816" s="6">
        <f>IFERROR(__xludf.DUMMYFUNCTION("""COMPUTED_VALUE"""),0.3336111111093487)</f>
        <v>0.3336111111</v>
      </c>
      <c r="D15816" s="4">
        <f>IFERROR(__xludf.DUMMYFUNCTION("""COMPUTED_VALUE"""),13.009599)</f>
        <v>13.009599</v>
      </c>
      <c r="E15816" s="4">
        <f>IFERROR(__xludf.DUMMYFUNCTION("""COMPUTED_VALUE"""),80.213535)</f>
        <v>80.213535</v>
      </c>
      <c r="F15816" s="4">
        <f>IFERROR(__xludf.DUMMYFUNCTION("""COMPUTED_VALUE"""),805.0)</f>
        <v>805</v>
      </c>
      <c r="G15816" s="4">
        <f>IFERROR(__xludf.DUMMYFUNCTION("""COMPUTED_VALUE"""),40.0)</f>
        <v>40</v>
      </c>
      <c r="H15816" s="4"/>
      <c r="I15816" s="4"/>
    </row>
    <row r="15817">
      <c r="A15817" s="4" t="str">
        <f>IFERROR(__xludf.DUMMYFUNCTION("""COMPUTED_VALUE"""),"cas_hmw")</f>
        <v>cas_hmw</v>
      </c>
      <c r="B15817" s="5">
        <f>IFERROR(__xludf.DUMMYFUNCTION("""COMPUTED_VALUE"""),44732.0)</f>
        <v>44732</v>
      </c>
      <c r="C15817" s="6">
        <f>IFERROR(__xludf.DUMMYFUNCTION("""COMPUTED_VALUE"""),0.3340046296289074)</f>
        <v>0.3340046296</v>
      </c>
      <c r="D15817" s="4">
        <f>IFERROR(__xludf.DUMMYFUNCTION("""COMPUTED_VALUE"""),13.008846)</f>
        <v>13.008846</v>
      </c>
      <c r="E15817" s="4">
        <f>IFERROR(__xludf.DUMMYFUNCTION("""COMPUTED_VALUE"""),80.211558)</f>
        <v>80.211558</v>
      </c>
      <c r="F15817" s="4">
        <f>IFERROR(__xludf.DUMMYFUNCTION("""COMPUTED_VALUE"""),805.0)</f>
        <v>805</v>
      </c>
      <c r="G15817" s="4">
        <f>IFERROR(__xludf.DUMMYFUNCTION("""COMPUTED_VALUE"""),29.0)</f>
        <v>29</v>
      </c>
      <c r="H15817" s="4"/>
      <c r="I15817" s="4"/>
    </row>
    <row r="15818">
      <c r="A15818" s="4" t="str">
        <f>IFERROR(__xludf.DUMMYFUNCTION("""COMPUTED_VALUE"""),"cas_hmw")</f>
        <v>cas_hmw</v>
      </c>
      <c r="B15818" s="5">
        <f>IFERROR(__xludf.DUMMYFUNCTION("""COMPUTED_VALUE"""),44732.0)</f>
        <v>44732</v>
      </c>
      <c r="C15818" s="6">
        <f>IFERROR(__xludf.DUMMYFUNCTION("""COMPUTED_VALUE"""),0.3340509259251121)</f>
        <v>0.3340509259</v>
      </c>
      <c r="D15818" s="4">
        <f>IFERROR(__xludf.DUMMYFUNCTION("""COMPUTED_VALUE"""),13.008522)</f>
        <v>13.008522</v>
      </c>
      <c r="E15818" s="4">
        <f>IFERROR(__xludf.DUMMYFUNCTION("""COMPUTED_VALUE"""),80.210652)</f>
        <v>80.210652</v>
      </c>
      <c r="F15818" s="4">
        <f>IFERROR(__xludf.DUMMYFUNCTION("""COMPUTED_VALUE"""),805.0)</f>
        <v>805</v>
      </c>
      <c r="G15818" s="4">
        <f>IFERROR(__xludf.DUMMYFUNCTION("""COMPUTED_VALUE"""),37.0)</f>
        <v>37</v>
      </c>
      <c r="H15818" s="4"/>
      <c r="I15818" s="4"/>
    </row>
    <row r="15819">
      <c r="A15819" s="4" t="str">
        <f>IFERROR(__xludf.DUMMYFUNCTION("""COMPUTED_VALUE"""),"cas_hmw")</f>
        <v>cas_hmw</v>
      </c>
      <c r="B15819" s="5">
        <f>IFERROR(__xludf.DUMMYFUNCTION("""COMPUTED_VALUE"""),44732.0)</f>
        <v>44732</v>
      </c>
      <c r="C15819" s="6">
        <f>IFERROR(__xludf.DUMMYFUNCTION("""COMPUTED_VALUE"""),0.3340856481481751)</f>
        <v>0.3340856481</v>
      </c>
      <c r="D15819" s="4">
        <f>IFERROR(__xludf.DUMMYFUNCTION("""COMPUTED_VALUE"""),13.008522)</f>
        <v>13.008522</v>
      </c>
      <c r="E15819" s="4">
        <f>IFERROR(__xludf.DUMMYFUNCTION("""COMPUTED_VALUE"""),80.210652)</f>
        <v>80.210652</v>
      </c>
      <c r="F15819" s="4">
        <f>IFERROR(__xludf.DUMMYFUNCTION("""COMPUTED_VALUE"""),805.0)</f>
        <v>805</v>
      </c>
      <c r="G15819" s="4">
        <f>IFERROR(__xludf.DUMMYFUNCTION("""COMPUTED_VALUE"""),37.0)</f>
        <v>37</v>
      </c>
      <c r="H15819" s="4"/>
      <c r="I15819" s="4"/>
    </row>
    <row r="15820">
      <c r="A15820" s="4" t="str">
        <f>IFERROR(__xludf.DUMMYFUNCTION("""COMPUTED_VALUE"""),"cas_hmw")</f>
        <v>cas_hmw</v>
      </c>
      <c r="B15820" s="5">
        <f>IFERROR(__xludf.DUMMYFUNCTION("""COMPUTED_VALUE"""),44732.0)</f>
        <v>44732</v>
      </c>
      <c r="C15820" s="6">
        <f>IFERROR(__xludf.DUMMYFUNCTION("""COMPUTED_VALUE"""),0.3341087962980964)</f>
        <v>0.3341087963</v>
      </c>
      <c r="D15820" s="4">
        <f>IFERROR(__xludf.DUMMYFUNCTION("""COMPUTED_VALUE"""),13.008522)</f>
        <v>13.008522</v>
      </c>
      <c r="E15820" s="4">
        <f>IFERROR(__xludf.DUMMYFUNCTION("""COMPUTED_VALUE"""),80.210652)</f>
        <v>80.210652</v>
      </c>
      <c r="F15820" s="4">
        <f>IFERROR(__xludf.DUMMYFUNCTION("""COMPUTED_VALUE"""),805.0)</f>
        <v>805</v>
      </c>
      <c r="G15820" s="4">
        <f>IFERROR(__xludf.DUMMYFUNCTION("""COMPUTED_VALUE"""),37.0)</f>
        <v>37</v>
      </c>
      <c r="H15820" s="4"/>
      <c r="I15820" s="4"/>
    </row>
    <row r="15821">
      <c r="A15821" s="4" t="str">
        <f>IFERROR(__xludf.DUMMYFUNCTION("""COMPUTED_VALUE"""),"cas_hmw")</f>
        <v>cas_hmw</v>
      </c>
      <c r="B15821" s="5">
        <f>IFERROR(__xludf.DUMMYFUNCTION("""COMPUTED_VALUE"""),44732.0)</f>
        <v>44732</v>
      </c>
      <c r="C15821" s="6">
        <f>IFERROR(__xludf.DUMMYFUNCTION("""COMPUTED_VALUE"""),0.3341203703712381)</f>
        <v>0.3341203704</v>
      </c>
      <c r="D15821" s="4">
        <f>IFERROR(__xludf.DUMMYFUNCTION("""COMPUTED_VALUE"""),13.008522)</f>
        <v>13.008522</v>
      </c>
      <c r="E15821" s="4">
        <f>IFERROR(__xludf.DUMMYFUNCTION("""COMPUTED_VALUE"""),80.210652)</f>
        <v>80.210652</v>
      </c>
      <c r="F15821" s="4">
        <f>IFERROR(__xludf.DUMMYFUNCTION("""COMPUTED_VALUE"""),805.0)</f>
        <v>805</v>
      </c>
      <c r="G15821" s="4">
        <f>IFERROR(__xludf.DUMMYFUNCTION("""COMPUTED_VALUE"""),37.0)</f>
        <v>37</v>
      </c>
      <c r="H15821" s="4"/>
      <c r="I15821" s="4"/>
    </row>
    <row r="15822">
      <c r="A15822" s="4" t="str">
        <f>IFERROR(__xludf.DUMMYFUNCTION("""COMPUTED_VALUE"""),"cas_hmw")</f>
        <v>cas_hmw</v>
      </c>
      <c r="B15822" s="5">
        <f>IFERROR(__xludf.DUMMYFUNCTION("""COMPUTED_VALUE"""),44732.0)</f>
        <v>44732</v>
      </c>
      <c r="C15822" s="6">
        <f>IFERROR(__xludf.DUMMYFUNCTION("""COMPUTED_VALUE"""),0.3342708333329938)</f>
        <v>0.3342708333</v>
      </c>
      <c r="D15822" s="4">
        <f>IFERROR(__xludf.DUMMYFUNCTION("""COMPUTED_VALUE"""),12.955866)</f>
        <v>12.955866</v>
      </c>
      <c r="E15822" s="4">
        <f>IFERROR(__xludf.DUMMYFUNCTION("""COMPUTED_VALUE"""),80.143016)</f>
        <v>80.143016</v>
      </c>
      <c r="F15822" s="4">
        <f>IFERROR(__xludf.DUMMYFUNCTION("""COMPUTED_VALUE"""),5339.0)</f>
        <v>5339</v>
      </c>
      <c r="G15822" s="4">
        <f>IFERROR(__xludf.DUMMYFUNCTION("""COMPUTED_VALUE"""),26.0)</f>
        <v>26</v>
      </c>
      <c r="H15822" s="4"/>
      <c r="I15822" s="4"/>
    </row>
    <row r="15823">
      <c r="A15823" s="4" t="str">
        <f>IFERROR(__xludf.DUMMYFUNCTION("""COMPUTED_VALUE"""),"cas_hmw")</f>
        <v>cas_hmw</v>
      </c>
      <c r="B15823" s="5">
        <f>IFERROR(__xludf.DUMMYFUNCTION("""COMPUTED_VALUE"""),44732.0)</f>
        <v>44732</v>
      </c>
      <c r="C15823" s="6">
        <f>IFERROR(__xludf.DUMMYFUNCTION("""COMPUTED_VALUE"""),0.33435185185226146)</f>
        <v>0.3343518519</v>
      </c>
      <c r="D15823" s="4">
        <f>IFERROR(__xludf.DUMMYFUNCTION("""COMPUTED_VALUE"""),13.008036)</f>
        <v>13.008036</v>
      </c>
      <c r="E15823" s="4">
        <f>IFERROR(__xludf.DUMMYFUNCTION("""COMPUTED_VALUE"""),80.209034)</f>
        <v>80.209034</v>
      </c>
      <c r="F15823" s="4">
        <f>IFERROR(__xludf.DUMMYFUNCTION("""COMPUTED_VALUE"""),805.0)</f>
        <v>805</v>
      </c>
      <c r="G15823" s="4">
        <f>IFERROR(__xludf.DUMMYFUNCTION("""COMPUTED_VALUE"""),36.0)</f>
        <v>36</v>
      </c>
      <c r="H15823" s="4"/>
      <c r="I15823" s="4"/>
    </row>
    <row r="15824">
      <c r="A15824" s="4" t="str">
        <f>IFERROR(__xludf.DUMMYFUNCTION("""COMPUTED_VALUE"""),"cas_hmw")</f>
        <v>cas_hmw</v>
      </c>
      <c r="B15824" s="5">
        <f>IFERROR(__xludf.DUMMYFUNCTION("""COMPUTED_VALUE"""),44732.0)</f>
        <v>44732</v>
      </c>
      <c r="C15824" s="6">
        <f>IFERROR(__xludf.DUMMYFUNCTION("""COMPUTED_VALUE"""),0.3345486111102218)</f>
        <v>0.3345486111</v>
      </c>
      <c r="D15824" s="4">
        <f>IFERROR(__xludf.DUMMYFUNCTION("""COMPUTED_VALUE"""),12.762758)</f>
        <v>12.762758</v>
      </c>
      <c r="E15824" s="4">
        <f>IFERROR(__xludf.DUMMYFUNCTION("""COMPUTED_VALUE"""),80.003904)</f>
        <v>80.003904</v>
      </c>
      <c r="F15824" s="4">
        <f>IFERROR(__xludf.DUMMYFUNCTION("""COMPUTED_VALUE"""),2846.0)</f>
        <v>2846</v>
      </c>
      <c r="G15824" s="4">
        <f>IFERROR(__xludf.DUMMYFUNCTION("""COMPUTED_VALUE"""),50.0)</f>
        <v>50</v>
      </c>
      <c r="H15824" s="4"/>
      <c r="I15824" s="4"/>
    </row>
    <row r="15825">
      <c r="A15825" s="4" t="str">
        <f>IFERROR(__xludf.DUMMYFUNCTION("""COMPUTED_VALUE"""),"cas_hmw")</f>
        <v>cas_hmw</v>
      </c>
      <c r="B15825" s="5">
        <f>IFERROR(__xludf.DUMMYFUNCTION("""COMPUTED_VALUE"""),44732.0)</f>
        <v>44732</v>
      </c>
      <c r="C15825" s="6">
        <f>IFERROR(__xludf.DUMMYFUNCTION("""COMPUTED_VALUE"""),0.33479166666802485)</f>
        <v>0.3347916667</v>
      </c>
      <c r="D15825" s="4">
        <f>IFERROR(__xludf.DUMMYFUNCTION("""COMPUTED_VALUE"""),13.007277)</f>
        <v>13.007277</v>
      </c>
      <c r="E15825" s="4">
        <f>IFERROR(__xludf.DUMMYFUNCTION("""COMPUTED_VALUE"""),80.20516)</f>
        <v>80.20516</v>
      </c>
      <c r="F15825" s="4">
        <f>IFERROR(__xludf.DUMMYFUNCTION("""COMPUTED_VALUE"""),805.0)</f>
        <v>805</v>
      </c>
      <c r="G15825" s="4">
        <f>IFERROR(__xludf.DUMMYFUNCTION("""COMPUTED_VALUE"""),43.0)</f>
        <v>43</v>
      </c>
      <c r="H15825" s="4"/>
      <c r="I15825" s="4"/>
    </row>
    <row r="15826">
      <c r="A15826" s="4" t="str">
        <f>IFERROR(__xludf.DUMMYFUNCTION("""COMPUTED_VALUE"""),"cas_hmw")</f>
        <v>cas_hmw</v>
      </c>
      <c r="B15826" s="5">
        <f>IFERROR(__xludf.DUMMYFUNCTION("""COMPUTED_VALUE"""),44732.0)</f>
        <v>44732</v>
      </c>
      <c r="C15826" s="6">
        <f>IFERROR(__xludf.DUMMYFUNCTION("""COMPUTED_VALUE"""),0.33486111111051287)</f>
        <v>0.3348611111</v>
      </c>
      <c r="D15826" s="4">
        <f>IFERROR(__xludf.DUMMYFUNCTION("""COMPUTED_VALUE"""),12.766122)</f>
        <v>12.766122</v>
      </c>
      <c r="E15826" s="4">
        <f>IFERROR(__xludf.DUMMYFUNCTION("""COMPUTED_VALUE"""),80.005273)</f>
        <v>80.005273</v>
      </c>
      <c r="F15826" s="4">
        <f>IFERROR(__xludf.DUMMYFUNCTION("""COMPUTED_VALUE"""),2846.0)</f>
        <v>2846</v>
      </c>
      <c r="G15826" s="4">
        <f>IFERROR(__xludf.DUMMYFUNCTION("""COMPUTED_VALUE"""),48.0)</f>
        <v>48</v>
      </c>
      <c r="H15826" s="4"/>
      <c r="I15826" s="4"/>
    </row>
    <row r="15827">
      <c r="A15827" s="4" t="str">
        <f>IFERROR(__xludf.DUMMYFUNCTION("""COMPUTED_VALUE"""),"cas_hmw")</f>
        <v>cas_hmw</v>
      </c>
      <c r="B15827" s="5">
        <f>IFERROR(__xludf.DUMMYFUNCTION("""COMPUTED_VALUE"""),44732.0)</f>
        <v>44732</v>
      </c>
      <c r="C15827" s="6">
        <f>IFERROR(__xludf.DUMMYFUNCTION("""COMPUTED_VALUE"""),0.33489583333357587)</f>
        <v>0.3348958333</v>
      </c>
      <c r="D15827" s="4">
        <f>IFERROR(__xludf.DUMMYFUNCTION("""COMPUTED_VALUE"""),12.952482)</f>
        <v>12.952482</v>
      </c>
      <c r="E15827" s="4">
        <f>IFERROR(__xludf.DUMMYFUNCTION("""COMPUTED_VALUE"""),80.141104)</f>
        <v>80.141104</v>
      </c>
      <c r="F15827" s="4">
        <f>IFERROR(__xludf.DUMMYFUNCTION("""COMPUTED_VALUE"""),5339.0)</f>
        <v>5339</v>
      </c>
      <c r="G15827" s="4">
        <f>IFERROR(__xludf.DUMMYFUNCTION("""COMPUTED_VALUE"""),24.0)</f>
        <v>24</v>
      </c>
      <c r="H15827" s="4"/>
      <c r="I15827" s="4"/>
    </row>
    <row r="15828">
      <c r="A15828" s="4" t="str">
        <f>IFERROR(__xludf.DUMMYFUNCTION("""COMPUTED_VALUE"""),"cas_hmw")</f>
        <v>cas_hmw</v>
      </c>
      <c r="B15828" s="5">
        <f>IFERROR(__xludf.DUMMYFUNCTION("""COMPUTED_VALUE"""),44732.0)</f>
        <v>44732</v>
      </c>
      <c r="C15828" s="6">
        <f>IFERROR(__xludf.DUMMYFUNCTION("""COMPUTED_VALUE"""),0.335972222223063)</f>
        <v>0.3359722222</v>
      </c>
      <c r="D15828" s="4">
        <f>IFERROR(__xludf.DUMMYFUNCTION("""COMPUTED_VALUE"""),12.950343)</f>
        <v>12.950343</v>
      </c>
      <c r="E15828" s="4">
        <f>IFERROR(__xludf.DUMMYFUNCTION("""COMPUTED_VALUE"""),80.139545)</f>
        <v>80.139545</v>
      </c>
      <c r="F15828" s="4">
        <f>IFERROR(__xludf.DUMMYFUNCTION("""COMPUTED_VALUE"""),5339.0)</f>
        <v>5339</v>
      </c>
      <c r="G15828" s="4">
        <f>IFERROR(__xludf.DUMMYFUNCTION("""COMPUTED_VALUE"""),25.0)</f>
        <v>25</v>
      </c>
      <c r="H15828" s="4"/>
      <c r="I15828" s="4"/>
    </row>
    <row r="15829">
      <c r="A15829" s="4" t="str">
        <f>IFERROR(__xludf.DUMMYFUNCTION("""COMPUTED_VALUE"""),"cas_hmw")</f>
        <v>cas_hmw</v>
      </c>
      <c r="B15829" s="5">
        <f>IFERROR(__xludf.DUMMYFUNCTION("""COMPUTED_VALUE"""),44732.0)</f>
        <v>44732</v>
      </c>
      <c r="C15829" s="6">
        <f>IFERROR(__xludf.DUMMYFUNCTION("""COMPUTED_VALUE"""),0.33616898148102337)</f>
        <v>0.3361689815</v>
      </c>
      <c r="D15829" s="4">
        <f>IFERROR(__xludf.DUMMYFUNCTION("""COMPUTED_VALUE"""),12.948865)</f>
        <v>12.948865</v>
      </c>
      <c r="E15829" s="4">
        <f>IFERROR(__xludf.DUMMYFUNCTION("""COMPUTED_VALUE"""),80.13832)</f>
        <v>80.13832</v>
      </c>
      <c r="F15829" s="4">
        <f>IFERROR(__xludf.DUMMYFUNCTION("""COMPUTED_VALUE"""),5339.0)</f>
        <v>5339</v>
      </c>
      <c r="G15829" s="4">
        <f>IFERROR(__xludf.DUMMYFUNCTION("""COMPUTED_VALUE"""),44.0)</f>
        <v>44</v>
      </c>
      <c r="H15829" s="4"/>
      <c r="I15829" s="4"/>
    </row>
    <row r="15830">
      <c r="A15830" s="4" t="str">
        <f>IFERROR(__xludf.DUMMYFUNCTION("""COMPUTED_VALUE"""),"cas_hmw")</f>
        <v>cas_hmw</v>
      </c>
      <c r="B15830" s="5">
        <f>IFERROR(__xludf.DUMMYFUNCTION("""COMPUTED_VALUE"""),44732.0)</f>
        <v>44732</v>
      </c>
      <c r="C15830" s="6">
        <f>IFERROR(__xludf.DUMMYFUNCTION("""COMPUTED_VALUE"""),0.33646990740817273)</f>
        <v>0.3364699074</v>
      </c>
      <c r="D15830" s="4">
        <f>IFERROR(__xludf.DUMMYFUNCTION("""COMPUTED_VALUE"""),13.002789)</f>
        <v>13.002789</v>
      </c>
      <c r="E15830" s="4">
        <f>IFERROR(__xludf.DUMMYFUNCTION("""COMPUTED_VALUE"""),80.200793)</f>
        <v>80.200793</v>
      </c>
      <c r="F15830" s="4">
        <f>IFERROR(__xludf.DUMMYFUNCTION("""COMPUTED_VALUE"""),805.0)</f>
        <v>805</v>
      </c>
      <c r="G15830" s="4">
        <f>IFERROR(__xludf.DUMMYFUNCTION("""COMPUTED_VALUE"""),14.0)</f>
        <v>14</v>
      </c>
      <c r="H15830" s="4"/>
      <c r="I15830" s="4"/>
    </row>
    <row r="15831">
      <c r="A15831" s="4" t="str">
        <f>IFERROR(__xludf.DUMMYFUNCTION("""COMPUTED_VALUE"""),"cas_hmw")</f>
        <v>cas_hmw</v>
      </c>
      <c r="B15831" s="5">
        <f>IFERROR(__xludf.DUMMYFUNCTION("""COMPUTED_VALUE"""),44732.0)</f>
        <v>44732</v>
      </c>
      <c r="C15831" s="6">
        <f>IFERROR(__xludf.DUMMYFUNCTION("""COMPUTED_VALUE"""),0.3364930555544561)</f>
        <v>0.3364930556</v>
      </c>
      <c r="D15831" s="4">
        <f>IFERROR(__xludf.DUMMYFUNCTION("""COMPUTED_VALUE"""),13.002416)</f>
        <v>13.002416</v>
      </c>
      <c r="E15831" s="4">
        <f>IFERROR(__xludf.DUMMYFUNCTION("""COMPUTED_VALUE"""),80.200604)</f>
        <v>80.200604</v>
      </c>
      <c r="F15831" s="4">
        <f>IFERROR(__xludf.DUMMYFUNCTION("""COMPUTED_VALUE"""),805.0)</f>
        <v>805</v>
      </c>
      <c r="G15831" s="4">
        <f>IFERROR(__xludf.DUMMYFUNCTION("""COMPUTED_VALUE"""),22.0)</f>
        <v>22</v>
      </c>
      <c r="H15831" s="4"/>
      <c r="I15831" s="4"/>
    </row>
    <row r="15832">
      <c r="A15832" s="4" t="str">
        <f>IFERROR(__xludf.DUMMYFUNCTION("""COMPUTED_VALUE"""),"cas_hmw")</f>
        <v>cas_hmw</v>
      </c>
      <c r="B15832" s="5">
        <f>IFERROR(__xludf.DUMMYFUNCTION("""COMPUTED_VALUE"""),44732.0)</f>
        <v>44732</v>
      </c>
      <c r="C15832" s="6">
        <f>IFERROR(__xludf.DUMMYFUNCTION("""COMPUTED_VALUE"""),0.3365509259274404)</f>
        <v>0.3365509259</v>
      </c>
      <c r="D15832" s="4">
        <f>IFERROR(__xludf.DUMMYFUNCTION("""COMPUTED_VALUE"""),13.002416)</f>
        <v>13.002416</v>
      </c>
      <c r="E15832" s="4">
        <f>IFERROR(__xludf.DUMMYFUNCTION("""COMPUTED_VALUE"""),80.200604)</f>
        <v>80.200604</v>
      </c>
      <c r="F15832" s="4">
        <f>IFERROR(__xludf.DUMMYFUNCTION("""COMPUTED_VALUE"""),805.0)</f>
        <v>805</v>
      </c>
      <c r="G15832" s="4">
        <f>IFERROR(__xludf.DUMMYFUNCTION("""COMPUTED_VALUE"""),22.0)</f>
        <v>22</v>
      </c>
      <c r="H15832" s="4"/>
      <c r="I15832" s="4"/>
    </row>
    <row r="15833">
      <c r="A15833" s="4" t="str">
        <f>IFERROR(__xludf.DUMMYFUNCTION("""COMPUTED_VALUE"""),"cas_hmw")</f>
        <v>cas_hmw</v>
      </c>
      <c r="B15833" s="5">
        <f>IFERROR(__xludf.DUMMYFUNCTION("""COMPUTED_VALUE"""),44732.0)</f>
        <v>44732</v>
      </c>
      <c r="C15833" s="6">
        <f>IFERROR(__xludf.DUMMYFUNCTION("""COMPUTED_VALUE"""),0.3366319444430701)</f>
        <v>0.3366319444</v>
      </c>
      <c r="D15833" s="4">
        <f>IFERROR(__xludf.DUMMYFUNCTION("""COMPUTED_VALUE"""),13.001933)</f>
        <v>13.001933</v>
      </c>
      <c r="E15833" s="4">
        <f>IFERROR(__xludf.DUMMYFUNCTION("""COMPUTED_VALUE"""),80.200063)</f>
        <v>80.200063</v>
      </c>
      <c r="F15833" s="4">
        <f>IFERROR(__xludf.DUMMYFUNCTION("""COMPUTED_VALUE"""),805.0)</f>
        <v>805</v>
      </c>
      <c r="G15833" s="4">
        <f>IFERROR(__xludf.DUMMYFUNCTION("""COMPUTED_VALUE"""),31.0)</f>
        <v>31</v>
      </c>
      <c r="H15833" s="4"/>
      <c r="I15833" s="4"/>
    </row>
    <row r="15834">
      <c r="A15834" s="4" t="str">
        <f>IFERROR(__xludf.DUMMYFUNCTION("""COMPUTED_VALUE"""),"cas_hmw")</f>
        <v>cas_hmw</v>
      </c>
      <c r="B15834" s="5">
        <f>IFERROR(__xludf.DUMMYFUNCTION("""COMPUTED_VALUE"""),44732.0)</f>
        <v>44732</v>
      </c>
      <c r="C15834" s="6">
        <f>IFERROR(__xludf.DUMMYFUNCTION("""COMPUTED_VALUE"""),0.33679398148160544)</f>
        <v>0.3367939815</v>
      </c>
      <c r="D15834" s="4">
        <f>IFERROR(__xludf.DUMMYFUNCTION("""COMPUTED_VALUE"""),13.001756)</f>
        <v>13.001756</v>
      </c>
      <c r="E15834" s="4">
        <f>IFERROR(__xludf.DUMMYFUNCTION("""COMPUTED_VALUE"""),80.199203)</f>
        <v>80.199203</v>
      </c>
      <c r="F15834" s="4">
        <f>IFERROR(__xludf.DUMMYFUNCTION("""COMPUTED_VALUE"""),805.0)</f>
        <v>805</v>
      </c>
      <c r="G15834" s="4">
        <f>IFERROR(__xludf.DUMMYFUNCTION("""COMPUTED_VALUE"""),34.0)</f>
        <v>34</v>
      </c>
      <c r="H15834" s="4"/>
      <c r="I15834" s="4"/>
    </row>
    <row r="15835">
      <c r="A15835" s="4" t="str">
        <f>IFERROR(__xludf.DUMMYFUNCTION("""COMPUTED_VALUE"""),"cas_hmw")</f>
        <v>cas_hmw</v>
      </c>
      <c r="B15835" s="5">
        <f>IFERROR(__xludf.DUMMYFUNCTION("""COMPUTED_VALUE"""),44732.0)</f>
        <v>44732</v>
      </c>
      <c r="C15835" s="6">
        <f>IFERROR(__xludf.DUMMYFUNCTION("""COMPUTED_VALUE"""),0.33694444444336114)</f>
        <v>0.3369444444</v>
      </c>
      <c r="D15835" s="4">
        <f>IFERROR(__xludf.DUMMYFUNCTION("""COMPUTED_VALUE"""),13.001967)</f>
        <v>13.001967</v>
      </c>
      <c r="E15835" s="4">
        <f>IFERROR(__xludf.DUMMYFUNCTION("""COMPUTED_VALUE"""),80.197192)</f>
        <v>80.197192</v>
      </c>
      <c r="F15835" s="4">
        <f>IFERROR(__xludf.DUMMYFUNCTION("""COMPUTED_VALUE"""),805.0)</f>
        <v>805</v>
      </c>
      <c r="G15835" s="4">
        <f>IFERROR(__xludf.DUMMYFUNCTION("""COMPUTED_VALUE"""),0.0)</f>
        <v>0</v>
      </c>
      <c r="H15835" s="4"/>
      <c r="I15835" s="4"/>
    </row>
    <row r="15836">
      <c r="A15836" s="4" t="str">
        <f>IFERROR(__xludf.DUMMYFUNCTION("""COMPUTED_VALUE"""),"cas_hmw")</f>
        <v>cas_hmw</v>
      </c>
      <c r="B15836" s="5">
        <f>IFERROR(__xludf.DUMMYFUNCTION("""COMPUTED_VALUE"""),44732.0)</f>
        <v>44732</v>
      </c>
      <c r="C15836" s="6">
        <f>IFERROR(__xludf.DUMMYFUNCTION("""COMPUTED_VALUE"""),0.33701388888948713)</f>
        <v>0.3370138889</v>
      </c>
      <c r="D15836" s="4">
        <f>IFERROR(__xludf.DUMMYFUNCTION("""COMPUTED_VALUE"""),13.001967)</f>
        <v>13.001967</v>
      </c>
      <c r="E15836" s="4">
        <f>IFERROR(__xludf.DUMMYFUNCTION("""COMPUTED_VALUE"""),80.197192)</f>
        <v>80.197192</v>
      </c>
      <c r="F15836" s="4">
        <f>IFERROR(__xludf.DUMMYFUNCTION("""COMPUTED_VALUE"""),805.0)</f>
        <v>805</v>
      </c>
      <c r="G15836" s="4">
        <f>IFERROR(__xludf.DUMMYFUNCTION("""COMPUTED_VALUE"""),0.0)</f>
        <v>0</v>
      </c>
      <c r="H15836" s="4"/>
      <c r="I15836" s="4"/>
    </row>
    <row r="15837">
      <c r="A15837" s="4" t="str">
        <f>IFERROR(__xludf.DUMMYFUNCTION("""COMPUTED_VALUE"""),"cas_hmw")</f>
        <v>cas_hmw</v>
      </c>
      <c r="B15837" s="5">
        <f>IFERROR(__xludf.DUMMYFUNCTION("""COMPUTED_VALUE"""),44732.0)</f>
        <v>44732</v>
      </c>
      <c r="C15837" s="6">
        <f>IFERROR(__xludf.DUMMYFUNCTION("""COMPUTED_VALUE"""),0.3370717592588335)</f>
        <v>0.3370717593</v>
      </c>
      <c r="D15837" s="4">
        <f>IFERROR(__xludf.DUMMYFUNCTION("""COMPUTED_VALUE"""),13.001457)</f>
        <v>13.001457</v>
      </c>
      <c r="E15837" s="4">
        <f>IFERROR(__xludf.DUMMYFUNCTION("""COMPUTED_VALUE"""),80.196154)</f>
        <v>80.196154</v>
      </c>
      <c r="F15837" s="4">
        <f>IFERROR(__xludf.DUMMYFUNCTION("""COMPUTED_VALUE"""),805.0)</f>
        <v>805</v>
      </c>
      <c r="G15837" s="4">
        <f>IFERROR(__xludf.DUMMYFUNCTION("""COMPUTED_VALUE"""),38.0)</f>
        <v>38</v>
      </c>
      <c r="H15837" s="4"/>
      <c r="I15837" s="4"/>
    </row>
    <row r="15838">
      <c r="A15838" s="4" t="str">
        <f>IFERROR(__xludf.DUMMYFUNCTION("""COMPUTED_VALUE"""),"cas_hmw")</f>
        <v>cas_hmw</v>
      </c>
      <c r="B15838" s="5">
        <f>IFERROR(__xludf.DUMMYFUNCTION("""COMPUTED_VALUE"""),44732.0)</f>
        <v>44732</v>
      </c>
      <c r="C15838" s="6">
        <f>IFERROR(__xludf.DUMMYFUNCTION("""COMPUTED_VALUE"""),0.3370717592588335)</f>
        <v>0.3370717593</v>
      </c>
      <c r="D15838" s="4">
        <f>IFERROR(__xludf.DUMMYFUNCTION("""COMPUTED_VALUE"""),12.790707)</f>
        <v>12.790707</v>
      </c>
      <c r="E15838" s="4">
        <f>IFERROR(__xludf.DUMMYFUNCTION("""COMPUTED_VALUE"""),80.017266)</f>
        <v>80.017266</v>
      </c>
      <c r="F15838" s="4">
        <f>IFERROR(__xludf.DUMMYFUNCTION("""COMPUTED_VALUE"""),2846.0)</f>
        <v>2846</v>
      </c>
      <c r="G15838" s="4">
        <f>IFERROR(__xludf.DUMMYFUNCTION("""COMPUTED_VALUE"""),51.0)</f>
        <v>51</v>
      </c>
      <c r="H15838" s="4"/>
      <c r="I15838" s="4"/>
    </row>
    <row r="15839">
      <c r="A15839" s="4" t="str">
        <f>IFERROR(__xludf.DUMMYFUNCTION("""COMPUTED_VALUE"""),"cas_hmw")</f>
        <v>cas_hmw</v>
      </c>
      <c r="B15839" s="5">
        <f>IFERROR(__xludf.DUMMYFUNCTION("""COMPUTED_VALUE"""),44732.0)</f>
        <v>44732</v>
      </c>
      <c r="C15839" s="6">
        <f>IFERROR(__xludf.DUMMYFUNCTION("""COMPUTED_VALUE"""),0.33711805555503815)</f>
        <v>0.3371180556</v>
      </c>
      <c r="D15839" s="4">
        <f>IFERROR(__xludf.DUMMYFUNCTION("""COMPUTED_VALUE"""),12.94399)</f>
        <v>12.94399</v>
      </c>
      <c r="E15839" s="4">
        <f>IFERROR(__xludf.DUMMYFUNCTION("""COMPUTED_VALUE"""),80.1346)</f>
        <v>80.1346</v>
      </c>
      <c r="F15839" s="4">
        <f>IFERROR(__xludf.DUMMYFUNCTION("""COMPUTED_VALUE"""),5339.0)</f>
        <v>5339</v>
      </c>
      <c r="G15839" s="4">
        <f>IFERROR(__xludf.DUMMYFUNCTION("""COMPUTED_VALUE"""),44.0)</f>
        <v>44</v>
      </c>
      <c r="H15839" s="4"/>
      <c r="I15839" s="4"/>
    </row>
    <row r="15840">
      <c r="A15840" s="4" t="str">
        <f>IFERROR(__xludf.DUMMYFUNCTION("""COMPUTED_VALUE"""),"cas_hmw")</f>
        <v>cas_hmw</v>
      </c>
      <c r="B15840" s="5">
        <f>IFERROR(__xludf.DUMMYFUNCTION("""COMPUTED_VALUE"""),44732.0)</f>
        <v>44732</v>
      </c>
      <c r="C15840" s="6">
        <f>IFERROR(__xludf.DUMMYFUNCTION("""COMPUTED_VALUE"""),0.33737268518598285)</f>
        <v>0.3373726852</v>
      </c>
      <c r="D15840" s="4">
        <f>IFERROR(__xludf.DUMMYFUNCTION("""COMPUTED_VALUE"""),13.000227)</f>
        <v>13.000227</v>
      </c>
      <c r="E15840" s="4">
        <f>IFERROR(__xludf.DUMMYFUNCTION("""COMPUTED_VALUE"""),80.194499)</f>
        <v>80.194499</v>
      </c>
      <c r="F15840" s="4">
        <f>IFERROR(__xludf.DUMMYFUNCTION("""COMPUTED_VALUE"""),805.0)</f>
        <v>805</v>
      </c>
      <c r="G15840" s="4">
        <f>IFERROR(__xludf.DUMMYFUNCTION("""COMPUTED_VALUE"""),31.0)</f>
        <v>31</v>
      </c>
      <c r="H15840" s="4"/>
      <c r="I15840" s="4"/>
    </row>
    <row r="15841">
      <c r="A15841" s="4" t="str">
        <f>IFERROR(__xludf.DUMMYFUNCTION("""COMPUTED_VALUE"""),"cas_hmw")</f>
        <v>cas_hmw</v>
      </c>
      <c r="B15841" s="5">
        <f>IFERROR(__xludf.DUMMYFUNCTION("""COMPUTED_VALUE"""),44732.0)</f>
        <v>44732</v>
      </c>
      <c r="C15841" s="6">
        <f>IFERROR(__xludf.DUMMYFUNCTION("""COMPUTED_VALUE"""),0.3375694444439432)</f>
        <v>0.3375694444</v>
      </c>
      <c r="D15841" s="4">
        <f>IFERROR(__xludf.DUMMYFUNCTION("""COMPUTED_VALUE"""),12.93738)</f>
        <v>12.93738</v>
      </c>
      <c r="E15841" s="4">
        <f>IFERROR(__xludf.DUMMYFUNCTION("""COMPUTED_VALUE"""),80.128279)</f>
        <v>80.128279</v>
      </c>
      <c r="F15841" s="4">
        <f>IFERROR(__xludf.DUMMYFUNCTION("""COMPUTED_VALUE"""),5339.0)</f>
        <v>5339</v>
      </c>
      <c r="G15841" s="4">
        <f>IFERROR(__xludf.DUMMYFUNCTION("""COMPUTED_VALUE"""),43.0)</f>
        <v>43</v>
      </c>
      <c r="H15841" s="4"/>
      <c r="I15841" s="4"/>
    </row>
    <row r="15842">
      <c r="A15842" s="4" t="str">
        <f>IFERROR(__xludf.DUMMYFUNCTION("""COMPUTED_VALUE"""),"cas_hmw")</f>
        <v>cas_hmw</v>
      </c>
      <c r="B15842" s="5">
        <f>IFERROR(__xludf.DUMMYFUNCTION("""COMPUTED_VALUE"""),44732.0)</f>
        <v>44732</v>
      </c>
      <c r="C15842" s="6">
        <f>IFERROR(__xludf.DUMMYFUNCTION("""COMPUTED_VALUE"""),0.3375694444439432)</f>
        <v>0.3375694444</v>
      </c>
      <c r="D15842" s="4">
        <f>IFERROR(__xludf.DUMMYFUNCTION("""COMPUTED_VALUE"""),12.93738)</f>
        <v>12.93738</v>
      </c>
      <c r="E15842" s="4">
        <f>IFERROR(__xludf.DUMMYFUNCTION("""COMPUTED_VALUE"""),80.128279)</f>
        <v>80.128279</v>
      </c>
      <c r="F15842" s="4">
        <f>IFERROR(__xludf.DUMMYFUNCTION("""COMPUTED_VALUE"""),5339.0)</f>
        <v>5339</v>
      </c>
      <c r="G15842" s="4">
        <f>IFERROR(__xludf.DUMMYFUNCTION("""COMPUTED_VALUE"""),43.0)</f>
        <v>43</v>
      </c>
      <c r="H15842" s="4"/>
      <c r="I15842" s="4"/>
    </row>
    <row r="15843">
      <c r="A15843" s="4" t="str">
        <f>IFERROR(__xludf.DUMMYFUNCTION("""COMPUTED_VALUE"""),"cas_hmw")</f>
        <v>cas_hmw</v>
      </c>
      <c r="B15843" s="5">
        <f>IFERROR(__xludf.DUMMYFUNCTION("""COMPUTED_VALUE"""),44732.0)</f>
        <v>44732</v>
      </c>
      <c r="C15843" s="6">
        <f>IFERROR(__xludf.DUMMYFUNCTION("""COMPUTED_VALUE"""),0.3378587962979509)</f>
        <v>0.3378587963</v>
      </c>
      <c r="D15843" s="4">
        <f>IFERROR(__xludf.DUMMYFUNCTION("""COMPUTED_VALUE"""),12.998102)</f>
        <v>12.998102</v>
      </c>
      <c r="E15843" s="4">
        <f>IFERROR(__xludf.DUMMYFUNCTION("""COMPUTED_VALUE"""),80.191795)</f>
        <v>80.191795</v>
      </c>
      <c r="F15843" s="4">
        <f>IFERROR(__xludf.DUMMYFUNCTION("""COMPUTED_VALUE"""),805.0)</f>
        <v>805</v>
      </c>
      <c r="G15843" s="4">
        <f>IFERROR(__xludf.DUMMYFUNCTION("""COMPUTED_VALUE"""),45.0)</f>
        <v>45</v>
      </c>
      <c r="H15843" s="4"/>
      <c r="I15843" s="4"/>
    </row>
    <row r="15844">
      <c r="A15844" s="4" t="str">
        <f>IFERROR(__xludf.DUMMYFUNCTION("""COMPUTED_VALUE"""),"cas_hmw")</f>
        <v>cas_hmw</v>
      </c>
      <c r="B15844" s="5">
        <f>IFERROR(__xludf.DUMMYFUNCTION("""COMPUTED_VALUE"""),44732.0)</f>
        <v>44732</v>
      </c>
      <c r="C15844" s="6">
        <f>IFERROR(__xludf.DUMMYFUNCTION("""COMPUTED_VALUE"""),0.3379050925941556)</f>
        <v>0.3379050926</v>
      </c>
      <c r="D15844" s="4">
        <f>IFERROR(__xludf.DUMMYFUNCTION("""COMPUTED_VALUE"""),12.795712)</f>
        <v>12.795712</v>
      </c>
      <c r="E15844" s="4">
        <f>IFERROR(__xludf.DUMMYFUNCTION("""COMPUTED_VALUE"""),80.020465)</f>
        <v>80.020465</v>
      </c>
      <c r="F15844" s="4">
        <f>IFERROR(__xludf.DUMMYFUNCTION("""COMPUTED_VALUE"""),2846.0)</f>
        <v>2846</v>
      </c>
      <c r="G15844" s="4">
        <f>IFERROR(__xludf.DUMMYFUNCTION("""COMPUTED_VALUE"""),34.0)</f>
        <v>34</v>
      </c>
      <c r="H15844" s="4"/>
      <c r="I15844" s="4"/>
    </row>
    <row r="15845">
      <c r="A15845" s="4" t="str">
        <f>IFERROR(__xludf.DUMMYFUNCTION("""COMPUTED_VALUE"""),"cas_hmw")</f>
        <v>cas_hmw</v>
      </c>
      <c r="B15845" s="5">
        <f>IFERROR(__xludf.DUMMYFUNCTION("""COMPUTED_VALUE"""),44732.0)</f>
        <v>44732</v>
      </c>
      <c r="C15845" s="6">
        <f>IFERROR(__xludf.DUMMYFUNCTION("""COMPUTED_VALUE"""),0.3379050925941556)</f>
        <v>0.3379050926</v>
      </c>
      <c r="D15845" s="4">
        <f>IFERROR(__xludf.DUMMYFUNCTION("""COMPUTED_VALUE"""),12.997333)</f>
        <v>12.997333</v>
      </c>
      <c r="E15845" s="4">
        <f>IFERROR(__xludf.DUMMYFUNCTION("""COMPUTED_VALUE"""),80.190875)</f>
        <v>80.190875</v>
      </c>
      <c r="F15845" s="4">
        <f>IFERROR(__xludf.DUMMYFUNCTION("""COMPUTED_VALUE"""),805.0)</f>
        <v>805</v>
      </c>
      <c r="G15845" s="4">
        <f>IFERROR(__xludf.DUMMYFUNCTION("""COMPUTED_VALUE"""),51.0)</f>
        <v>51</v>
      </c>
      <c r="H15845" s="4"/>
      <c r="I15845" s="4"/>
    </row>
    <row r="15846">
      <c r="A15846" s="4" t="str">
        <f>IFERROR(__xludf.DUMMYFUNCTION("""COMPUTED_VALUE"""),"cas_hmw")</f>
        <v>cas_hmw</v>
      </c>
      <c r="B15846" s="5">
        <f>IFERROR(__xludf.DUMMYFUNCTION("""COMPUTED_VALUE"""),44732.0)</f>
        <v>44732</v>
      </c>
      <c r="C15846" s="6">
        <f>IFERROR(__xludf.DUMMYFUNCTION("""COMPUTED_VALUE"""),0.3380092592597066)</f>
        <v>0.3380092593</v>
      </c>
      <c r="D15846" s="4">
        <f>IFERROR(__xludf.DUMMYFUNCTION("""COMPUTED_VALUE"""),12.996568)</f>
        <v>12.996568</v>
      </c>
      <c r="E15846" s="4">
        <f>IFERROR(__xludf.DUMMYFUNCTION("""COMPUTED_VALUE"""),80.190012)</f>
        <v>80.190012</v>
      </c>
      <c r="F15846" s="4">
        <f>IFERROR(__xludf.DUMMYFUNCTION("""COMPUTED_VALUE"""),805.0)</f>
        <v>805</v>
      </c>
      <c r="G15846" s="4">
        <f>IFERROR(__xludf.DUMMYFUNCTION("""COMPUTED_VALUE"""),35.0)</f>
        <v>35</v>
      </c>
      <c r="H15846" s="4"/>
      <c r="I15846" s="4"/>
    </row>
    <row r="15847">
      <c r="A15847" s="4" t="str">
        <f>IFERROR(__xludf.DUMMYFUNCTION("""COMPUTED_VALUE"""),"cas_hmw")</f>
        <v>cas_hmw</v>
      </c>
      <c r="B15847" s="5">
        <f>IFERROR(__xludf.DUMMYFUNCTION("""COMPUTED_VALUE"""),44732.0)</f>
        <v>44732</v>
      </c>
      <c r="C15847" s="6">
        <f>IFERROR(__xludf.DUMMYFUNCTION("""COMPUTED_VALUE"""),0.3381481481483206)</f>
        <v>0.3381481481</v>
      </c>
      <c r="D15847" s="4">
        <f>IFERROR(__xludf.DUMMYFUNCTION("""COMPUTED_VALUE"""),12.995962)</f>
        <v>12.995962</v>
      </c>
      <c r="E15847" s="4">
        <f>IFERROR(__xludf.DUMMYFUNCTION("""COMPUTED_VALUE"""),80.189356)</f>
        <v>80.189356</v>
      </c>
      <c r="F15847" s="4">
        <f>IFERROR(__xludf.DUMMYFUNCTION("""COMPUTED_VALUE"""),805.0)</f>
        <v>805</v>
      </c>
      <c r="G15847" s="4">
        <f>IFERROR(__xludf.DUMMYFUNCTION("""COMPUTED_VALUE"""),40.0)</f>
        <v>40</v>
      </c>
      <c r="H15847" s="4"/>
      <c r="I15847" s="4"/>
    </row>
    <row r="15848">
      <c r="A15848" s="4" t="str">
        <f>IFERROR(__xludf.DUMMYFUNCTION("""COMPUTED_VALUE"""),"cas_hmw")</f>
        <v>cas_hmw</v>
      </c>
      <c r="B15848" s="5">
        <f>IFERROR(__xludf.DUMMYFUNCTION("""COMPUTED_VALUE"""),44732.0)</f>
        <v>44732</v>
      </c>
      <c r="C15848" s="6">
        <f>IFERROR(__xludf.DUMMYFUNCTION("""COMPUTED_VALUE"""),0.3381828703713836)</f>
        <v>0.3381828704</v>
      </c>
      <c r="D15848" s="4">
        <f>IFERROR(__xludf.DUMMYFUNCTION("""COMPUTED_VALUE"""),12.995962)</f>
        <v>12.995962</v>
      </c>
      <c r="E15848" s="4">
        <f>IFERROR(__xludf.DUMMYFUNCTION("""COMPUTED_VALUE"""),80.189356)</f>
        <v>80.189356</v>
      </c>
      <c r="F15848" s="4">
        <f>IFERROR(__xludf.DUMMYFUNCTION("""COMPUTED_VALUE"""),805.0)</f>
        <v>805</v>
      </c>
      <c r="G15848" s="4">
        <f>IFERROR(__xludf.DUMMYFUNCTION("""COMPUTED_VALUE"""),40.0)</f>
        <v>40</v>
      </c>
      <c r="H15848" s="4"/>
      <c r="I15848" s="4"/>
    </row>
    <row r="15849">
      <c r="A15849" s="4" t="str">
        <f>IFERROR(__xludf.DUMMYFUNCTION("""COMPUTED_VALUE"""),"cas_hmw")</f>
        <v>cas_hmw</v>
      </c>
      <c r="B15849" s="5">
        <f>IFERROR(__xludf.DUMMYFUNCTION("""COMPUTED_VALUE"""),44732.0)</f>
        <v>44732</v>
      </c>
      <c r="C15849" s="6">
        <f>IFERROR(__xludf.DUMMYFUNCTION("""COMPUTED_VALUE"""),0.33827546296379296)</f>
        <v>0.338275463</v>
      </c>
      <c r="D15849" s="4">
        <f>IFERROR(__xludf.DUMMYFUNCTION("""COMPUTED_VALUE"""),12.995529)</f>
        <v>12.995529</v>
      </c>
      <c r="E15849" s="4">
        <f>IFERROR(__xludf.DUMMYFUNCTION("""COMPUTED_VALUE"""),80.188617)</f>
        <v>80.188617</v>
      </c>
      <c r="F15849" s="4">
        <f>IFERROR(__xludf.DUMMYFUNCTION("""COMPUTED_VALUE"""),805.0)</f>
        <v>805</v>
      </c>
      <c r="G15849" s="4">
        <f>IFERROR(__xludf.DUMMYFUNCTION("""COMPUTED_VALUE"""),28.0)</f>
        <v>28</v>
      </c>
      <c r="H15849" s="4"/>
      <c r="I15849" s="4"/>
    </row>
    <row r="15850">
      <c r="A15850" s="4" t="str">
        <f>IFERROR(__xludf.DUMMYFUNCTION("""COMPUTED_VALUE"""),"cas_hmw")</f>
        <v>cas_hmw</v>
      </c>
      <c r="B15850" s="5">
        <f>IFERROR(__xludf.DUMMYFUNCTION("""COMPUTED_VALUE"""),44732.0)</f>
        <v>44732</v>
      </c>
      <c r="C15850" s="6">
        <f>IFERROR(__xludf.DUMMYFUNCTION("""COMPUTED_VALUE"""),0.33883101851824904)</f>
        <v>0.3388310185</v>
      </c>
      <c r="D15850" s="4">
        <f>IFERROR(__xludf.DUMMYFUNCTION("""COMPUTED_VALUE"""),12.93115)</f>
        <v>12.93115</v>
      </c>
      <c r="E15850" s="4">
        <f>IFERROR(__xludf.DUMMYFUNCTION("""COMPUTED_VALUE"""),80.122417)</f>
        <v>80.122417</v>
      </c>
      <c r="F15850" s="4">
        <f>IFERROR(__xludf.DUMMYFUNCTION("""COMPUTED_VALUE"""),5339.0)</f>
        <v>5339</v>
      </c>
      <c r="G15850" s="4">
        <f>IFERROR(__xludf.DUMMYFUNCTION("""COMPUTED_VALUE"""),31.0)</f>
        <v>31</v>
      </c>
      <c r="H15850" s="4"/>
      <c r="I15850" s="4"/>
    </row>
    <row r="15851">
      <c r="A15851" s="4" t="str">
        <f>IFERROR(__xludf.DUMMYFUNCTION("""COMPUTED_VALUE"""),"cas_hmw")</f>
        <v>cas_hmw</v>
      </c>
      <c r="B15851" s="5">
        <f>IFERROR(__xludf.DUMMYFUNCTION("""COMPUTED_VALUE"""),44732.0)</f>
        <v>44732</v>
      </c>
      <c r="C15851" s="6">
        <f>IFERROR(__xludf.DUMMYFUNCTION("""COMPUTED_VALUE"""),0.33893518518380006)</f>
        <v>0.3389351852</v>
      </c>
      <c r="D15851" s="4">
        <f>IFERROR(__xludf.DUMMYFUNCTION("""COMPUTED_VALUE"""),12.992261)</f>
        <v>12.992261</v>
      </c>
      <c r="E15851" s="4">
        <f>IFERROR(__xludf.DUMMYFUNCTION("""COMPUTED_VALUE"""),80.182516)</f>
        <v>80.182516</v>
      </c>
      <c r="F15851" s="4">
        <f>IFERROR(__xludf.DUMMYFUNCTION("""COMPUTED_VALUE"""),805.0)</f>
        <v>805</v>
      </c>
      <c r="G15851" s="4">
        <f>IFERROR(__xludf.DUMMYFUNCTION("""COMPUTED_VALUE"""),55.0)</f>
        <v>55</v>
      </c>
      <c r="H15851" s="4"/>
      <c r="I15851" s="4"/>
    </row>
    <row r="15852">
      <c r="A15852" s="4" t="str">
        <f>IFERROR(__xludf.DUMMYFUNCTION("""COMPUTED_VALUE"""),"cas_hmw")</f>
        <v>cas_hmw</v>
      </c>
      <c r="B15852" s="5">
        <f>IFERROR(__xludf.DUMMYFUNCTION("""COMPUTED_VALUE"""),44732.0)</f>
        <v>44732</v>
      </c>
      <c r="C15852" s="6">
        <f>IFERROR(__xludf.DUMMYFUNCTION("""COMPUTED_VALUE"""),0.33915509259168175)</f>
        <v>0.3391550926</v>
      </c>
      <c r="D15852" s="4">
        <f>IFERROR(__xludf.DUMMYFUNCTION("""COMPUTED_VALUE"""),12.928984)</f>
        <v>12.928984</v>
      </c>
      <c r="E15852" s="4">
        <f>IFERROR(__xludf.DUMMYFUNCTION("""COMPUTED_VALUE"""),80.120217)</f>
        <v>80.120217</v>
      </c>
      <c r="F15852" s="4">
        <f>IFERROR(__xludf.DUMMYFUNCTION("""COMPUTED_VALUE"""),5339.0)</f>
        <v>5339</v>
      </c>
      <c r="G15852" s="4">
        <f>IFERROR(__xludf.DUMMYFUNCTION("""COMPUTED_VALUE"""),51.0)</f>
        <v>51</v>
      </c>
      <c r="H15852" s="4"/>
      <c r="I15852" s="4"/>
    </row>
    <row r="15853">
      <c r="A15853" s="4" t="str">
        <f>IFERROR(__xludf.DUMMYFUNCTION("""COMPUTED_VALUE"""),"cas_hmw")</f>
        <v>cas_hmw</v>
      </c>
      <c r="B15853" s="5">
        <f>IFERROR(__xludf.DUMMYFUNCTION("""COMPUTED_VALUE"""),44732.0)</f>
        <v>44732</v>
      </c>
      <c r="C15853" s="6">
        <f>IFERROR(__xludf.DUMMYFUNCTION("""COMPUTED_VALUE"""),0.3392824074071541)</f>
        <v>0.3392824074</v>
      </c>
      <c r="D15853" s="4">
        <f>IFERROR(__xludf.DUMMYFUNCTION("""COMPUTED_VALUE"""),12.808822)</f>
        <v>12.808822</v>
      </c>
      <c r="E15853" s="4">
        <f>IFERROR(__xludf.DUMMYFUNCTION("""COMPUTED_VALUE"""),80.029076)</f>
        <v>80.029076</v>
      </c>
      <c r="F15853" s="4">
        <f>IFERROR(__xludf.DUMMYFUNCTION("""COMPUTED_VALUE"""),2846.0)</f>
        <v>2846</v>
      </c>
      <c r="G15853" s="4">
        <f>IFERROR(__xludf.DUMMYFUNCTION("""COMPUTED_VALUE"""),40.0)</f>
        <v>40</v>
      </c>
      <c r="H15853" s="4"/>
      <c r="I15853" s="4"/>
    </row>
    <row r="15854">
      <c r="A15854" s="4" t="str">
        <f>IFERROR(__xludf.DUMMYFUNCTION("""COMPUTED_VALUE"""),"cas_hmw")</f>
        <v>cas_hmw</v>
      </c>
      <c r="B15854" s="5">
        <f>IFERROR(__xludf.DUMMYFUNCTION("""COMPUTED_VALUE"""),44732.0)</f>
        <v>44732</v>
      </c>
      <c r="C15854" s="6">
        <f>IFERROR(__xludf.DUMMYFUNCTION("""COMPUTED_VALUE"""),0.3400000000001455)</f>
        <v>0.34</v>
      </c>
      <c r="D15854" s="4">
        <f>IFERROR(__xludf.DUMMYFUNCTION("""COMPUTED_VALUE"""),12.925344)</f>
        <v>12.925344</v>
      </c>
      <c r="E15854" s="4">
        <f>IFERROR(__xludf.DUMMYFUNCTION("""COMPUTED_VALUE"""),80.116537)</f>
        <v>80.116537</v>
      </c>
      <c r="F15854" s="4">
        <f>IFERROR(__xludf.DUMMYFUNCTION("""COMPUTED_VALUE"""),5339.0)</f>
        <v>5339</v>
      </c>
      <c r="G15854" s="4">
        <f>IFERROR(__xludf.DUMMYFUNCTION("""COMPUTED_VALUE"""),41.0)</f>
        <v>41</v>
      </c>
      <c r="H15854" s="4"/>
      <c r="I15854" s="4"/>
    </row>
    <row r="15855">
      <c r="A15855" s="4" t="str">
        <f>IFERROR(__xludf.DUMMYFUNCTION("""COMPUTED_VALUE"""),"cas_hmw")</f>
        <v>cas_hmw</v>
      </c>
      <c r="B15855" s="5">
        <f>IFERROR(__xludf.DUMMYFUNCTION("""COMPUTED_VALUE"""),44732.0)</f>
        <v>44732</v>
      </c>
      <c r="C15855" s="6">
        <f>IFERROR(__xludf.DUMMYFUNCTION("""COMPUTED_VALUE"""),0.340925925924239)</f>
        <v>0.3409259259</v>
      </c>
      <c r="D15855" s="4">
        <f>IFERROR(__xludf.DUMMYFUNCTION("""COMPUTED_VALUE"""),12.984756)</f>
        <v>12.984756</v>
      </c>
      <c r="E15855" s="4">
        <f>IFERROR(__xludf.DUMMYFUNCTION("""COMPUTED_VALUE"""),80.172279)</f>
        <v>80.172279</v>
      </c>
      <c r="F15855" s="4">
        <f>IFERROR(__xludf.DUMMYFUNCTION("""COMPUTED_VALUE"""),805.0)</f>
        <v>805</v>
      </c>
      <c r="G15855" s="4">
        <f>IFERROR(__xludf.DUMMYFUNCTION("""COMPUTED_VALUE"""),47.0)</f>
        <v>47</v>
      </c>
      <c r="H15855" s="4"/>
      <c r="I15855" s="4"/>
    </row>
    <row r="15856">
      <c r="A15856" s="4" t="str">
        <f>IFERROR(__xludf.DUMMYFUNCTION("""COMPUTED_VALUE"""),"cas_hmw")</f>
        <v>cas_hmw</v>
      </c>
      <c r="B15856" s="5">
        <f>IFERROR(__xludf.DUMMYFUNCTION("""COMPUTED_VALUE"""),44732.0)</f>
        <v>44732</v>
      </c>
      <c r="C15856" s="6">
        <f>IFERROR(__xludf.DUMMYFUNCTION("""COMPUTED_VALUE"""),0.34107638888963265)</f>
        <v>0.3410763889</v>
      </c>
      <c r="D15856" s="4">
        <f>IFERROR(__xludf.DUMMYFUNCTION("""COMPUTED_VALUE"""),12.984144)</f>
        <v>12.984144</v>
      </c>
      <c r="E15856" s="4">
        <f>IFERROR(__xludf.DUMMYFUNCTION("""COMPUTED_VALUE"""),80.171271)</f>
        <v>80.171271</v>
      </c>
      <c r="F15856" s="4">
        <f>IFERROR(__xludf.DUMMYFUNCTION("""COMPUTED_VALUE"""),805.0)</f>
        <v>805</v>
      </c>
      <c r="G15856" s="4">
        <f>IFERROR(__xludf.DUMMYFUNCTION("""COMPUTED_VALUE"""),42.0)</f>
        <v>42</v>
      </c>
      <c r="H15856" s="4"/>
      <c r="I15856" s="4"/>
    </row>
    <row r="15857">
      <c r="A15857" s="4" t="str">
        <f>IFERROR(__xludf.DUMMYFUNCTION("""COMPUTED_VALUE"""),"cas_hmw")</f>
        <v>cas_hmw</v>
      </c>
      <c r="B15857" s="5">
        <f>IFERROR(__xludf.DUMMYFUNCTION("""COMPUTED_VALUE"""),44732.0)</f>
        <v>44732</v>
      </c>
      <c r="C15857" s="6">
        <f>IFERROR(__xludf.DUMMYFUNCTION("""COMPUTED_VALUE"""),0.34141203703620704)</f>
        <v>0.341412037</v>
      </c>
      <c r="D15857" s="4">
        <f>IFERROR(__xludf.DUMMYFUNCTION("""COMPUTED_VALUE"""),12.982032)</f>
        <v>12.982032</v>
      </c>
      <c r="E15857" s="4">
        <f>IFERROR(__xludf.DUMMYFUNCTION("""COMPUTED_VALUE"""),80.167728)</f>
        <v>80.167728</v>
      </c>
      <c r="F15857" s="4">
        <f>IFERROR(__xludf.DUMMYFUNCTION("""COMPUTED_VALUE"""),805.0)</f>
        <v>805</v>
      </c>
      <c r="G15857" s="4">
        <f>IFERROR(__xludf.DUMMYFUNCTION("""COMPUTED_VALUE"""),53.0)</f>
        <v>53</v>
      </c>
      <c r="H15857" s="4"/>
      <c r="I15857" s="4"/>
    </row>
    <row r="15858">
      <c r="A15858" s="4" t="str">
        <f>IFERROR(__xludf.DUMMYFUNCTION("""COMPUTED_VALUE"""),"cas_hmw")</f>
        <v>cas_hmw</v>
      </c>
      <c r="B15858" s="5">
        <f>IFERROR(__xludf.DUMMYFUNCTION("""COMPUTED_VALUE"""),44732.0)</f>
        <v>44732</v>
      </c>
      <c r="C15858" s="6">
        <f>IFERROR(__xludf.DUMMYFUNCTION("""COMPUTED_VALUE"""),0.34263888888744987)</f>
        <v>0.3426388889</v>
      </c>
      <c r="D15858" s="4">
        <f>IFERROR(__xludf.DUMMYFUNCTION("""COMPUTED_VALUE"""),12.976994)</f>
        <v>12.976994</v>
      </c>
      <c r="E15858" s="4">
        <f>IFERROR(__xludf.DUMMYFUNCTION("""COMPUTED_VALUE"""),80.158574)</f>
        <v>80.158574</v>
      </c>
      <c r="F15858" s="4">
        <f>IFERROR(__xludf.DUMMYFUNCTION("""COMPUTED_VALUE"""),805.0)</f>
        <v>805</v>
      </c>
      <c r="G15858" s="4">
        <f>IFERROR(__xludf.DUMMYFUNCTION("""COMPUTED_VALUE"""),54.0)</f>
        <v>54</v>
      </c>
      <c r="H15858" s="4"/>
      <c r="I15858" s="4"/>
    </row>
    <row r="15859">
      <c r="A15859" s="4" t="str">
        <f>IFERROR(__xludf.DUMMYFUNCTION("""COMPUTED_VALUE"""),"cas_hmw")</f>
        <v>cas_hmw</v>
      </c>
      <c r="B15859" s="5">
        <f>IFERROR(__xludf.DUMMYFUNCTION("""COMPUTED_VALUE"""),44732.0)</f>
        <v>44732</v>
      </c>
      <c r="C15859" s="6">
        <f>IFERROR(__xludf.DUMMYFUNCTION("""COMPUTED_VALUE"""),0.3428703703721112)</f>
        <v>0.3428703704</v>
      </c>
      <c r="D15859" s="4">
        <f>IFERROR(__xludf.DUMMYFUNCTION("""COMPUTED_VALUE"""),12.97557)</f>
        <v>12.97557</v>
      </c>
      <c r="E15859" s="4">
        <f>IFERROR(__xludf.DUMMYFUNCTION("""COMPUTED_VALUE"""),80.156434)</f>
        <v>80.156434</v>
      </c>
      <c r="F15859" s="4">
        <f>IFERROR(__xludf.DUMMYFUNCTION("""COMPUTED_VALUE"""),805.0)</f>
        <v>805</v>
      </c>
      <c r="G15859" s="4">
        <f>IFERROR(__xludf.DUMMYFUNCTION("""COMPUTED_VALUE"""),45.0)</f>
        <v>45</v>
      </c>
      <c r="H15859" s="4"/>
      <c r="I15859" s="4"/>
    </row>
    <row r="15860">
      <c r="A15860" s="4" t="str">
        <f>IFERROR(__xludf.DUMMYFUNCTION("""COMPUTED_VALUE"""),"cas_hmw")</f>
        <v>cas_hmw</v>
      </c>
      <c r="B15860" s="5">
        <f>IFERROR(__xludf.DUMMYFUNCTION("""COMPUTED_VALUE"""),44732.0)</f>
        <v>44732</v>
      </c>
      <c r="C15860" s="6">
        <f>IFERROR(__xludf.DUMMYFUNCTION("""COMPUTED_VALUE"""),0.3431249999994179)</f>
        <v>0.343125</v>
      </c>
      <c r="D15860" s="4">
        <f>IFERROR(__xludf.DUMMYFUNCTION("""COMPUTED_VALUE"""),12.974604)</f>
        <v>12.974604</v>
      </c>
      <c r="E15860" s="4">
        <f>IFERROR(__xludf.DUMMYFUNCTION("""COMPUTED_VALUE"""),80.155098)</f>
        <v>80.155098</v>
      </c>
      <c r="F15860" s="4">
        <f>IFERROR(__xludf.DUMMYFUNCTION("""COMPUTED_VALUE"""),805.0)</f>
        <v>805</v>
      </c>
      <c r="G15860" s="4">
        <f>IFERROR(__xludf.DUMMYFUNCTION("""COMPUTED_VALUE"""),22.0)</f>
        <v>22</v>
      </c>
      <c r="H15860" s="4"/>
      <c r="I15860" s="4"/>
    </row>
    <row r="15861">
      <c r="A15861" s="4" t="str">
        <f>IFERROR(__xludf.DUMMYFUNCTION("""COMPUTED_VALUE"""),"cas_hmw")</f>
        <v>cas_hmw</v>
      </c>
      <c r="B15861" s="5">
        <f>IFERROR(__xludf.DUMMYFUNCTION("""COMPUTED_VALUE"""),44732.0)</f>
        <v>44732</v>
      </c>
      <c r="C15861" s="6">
        <f>IFERROR(__xludf.DUMMYFUNCTION("""COMPUTED_VALUE"""),0.3431365740725596)</f>
        <v>0.3431365741</v>
      </c>
      <c r="D15861" s="4">
        <f>IFERROR(__xludf.DUMMYFUNCTION("""COMPUTED_VALUE"""),12.974604)</f>
        <v>12.974604</v>
      </c>
      <c r="E15861" s="4">
        <f>IFERROR(__xludf.DUMMYFUNCTION("""COMPUTED_VALUE"""),80.155098)</f>
        <v>80.155098</v>
      </c>
      <c r="F15861" s="4">
        <f>IFERROR(__xludf.DUMMYFUNCTION("""COMPUTED_VALUE"""),805.0)</f>
        <v>805</v>
      </c>
      <c r="G15861" s="4">
        <f>IFERROR(__xludf.DUMMYFUNCTION("""COMPUTED_VALUE"""),22.0)</f>
        <v>22</v>
      </c>
      <c r="H15861" s="4"/>
      <c r="I15861" s="4"/>
    </row>
    <row r="15862">
      <c r="A15862" s="4" t="str">
        <f>IFERROR(__xludf.DUMMYFUNCTION("""COMPUTED_VALUE"""),"cas_hmw")</f>
        <v>cas_hmw</v>
      </c>
      <c r="B15862" s="5">
        <f>IFERROR(__xludf.DUMMYFUNCTION("""COMPUTED_VALUE"""),44732.0)</f>
        <v>44732</v>
      </c>
      <c r="C15862" s="6">
        <f>IFERROR(__xludf.DUMMYFUNCTION("""COMPUTED_VALUE"""),0.3432060185186856)</f>
        <v>0.3432060185</v>
      </c>
      <c r="D15862" s="4">
        <f>IFERROR(__xludf.DUMMYFUNCTION("""COMPUTED_VALUE"""),12.8411)</f>
        <v>12.8411</v>
      </c>
      <c r="E15862" s="4">
        <f>IFERROR(__xludf.DUMMYFUNCTION("""COMPUTED_VALUE"""),80.056518)</f>
        <v>80.056518</v>
      </c>
      <c r="F15862" s="4">
        <f>IFERROR(__xludf.DUMMYFUNCTION("""COMPUTED_VALUE"""),2846.0)</f>
        <v>2846</v>
      </c>
      <c r="G15862" s="4">
        <f>IFERROR(__xludf.DUMMYFUNCTION("""COMPUTED_VALUE"""),25.0)</f>
        <v>25</v>
      </c>
      <c r="H15862" s="4"/>
      <c r="I15862" s="4"/>
    </row>
    <row r="15863">
      <c r="A15863" s="4" t="str">
        <f>IFERROR(__xludf.DUMMYFUNCTION("""COMPUTED_VALUE"""),"cas_hmw")</f>
        <v>cas_hmw</v>
      </c>
      <c r="B15863" s="5">
        <f>IFERROR(__xludf.DUMMYFUNCTION("""COMPUTED_VALUE"""),44732.0)</f>
        <v>44732</v>
      </c>
      <c r="C15863" s="6">
        <f>IFERROR(__xludf.DUMMYFUNCTION("""COMPUTED_VALUE"""),0.34325231481489027)</f>
        <v>0.3432523148</v>
      </c>
      <c r="D15863" s="4">
        <f>IFERROR(__xludf.DUMMYFUNCTION("""COMPUTED_VALUE"""),12.974199)</f>
        <v>12.974199</v>
      </c>
      <c r="E15863" s="4">
        <f>IFERROR(__xludf.DUMMYFUNCTION("""COMPUTED_VALUE"""),80.154505)</f>
        <v>80.154505</v>
      </c>
      <c r="F15863" s="4">
        <f>IFERROR(__xludf.DUMMYFUNCTION("""COMPUTED_VALUE"""),805.0)</f>
        <v>805</v>
      </c>
      <c r="G15863" s="4">
        <f>IFERROR(__xludf.DUMMYFUNCTION("""COMPUTED_VALUE"""),30.0)</f>
        <v>30</v>
      </c>
      <c r="H15863" s="4"/>
      <c r="I15863" s="4"/>
    </row>
    <row r="15864">
      <c r="A15864" s="4" t="str">
        <f>IFERROR(__xludf.DUMMYFUNCTION("""COMPUTED_VALUE"""),"cas_hmw")</f>
        <v>cas_hmw</v>
      </c>
      <c r="B15864" s="5">
        <f>IFERROR(__xludf.DUMMYFUNCTION("""COMPUTED_VALUE"""),44732.0)</f>
        <v>44732</v>
      </c>
      <c r="C15864" s="6">
        <f>IFERROR(__xludf.DUMMYFUNCTION("""COMPUTED_VALUE"""),0.3440393518503697)</f>
        <v>0.3440393519</v>
      </c>
      <c r="D15864" s="4">
        <f>IFERROR(__xludf.DUMMYFUNCTION("""COMPUTED_VALUE"""),12.970387)</f>
        <v>12.970387</v>
      </c>
      <c r="E15864" s="4">
        <f>IFERROR(__xludf.DUMMYFUNCTION("""COMPUTED_VALUE"""),80.150594)</f>
        <v>80.150594</v>
      </c>
      <c r="F15864" s="4">
        <f>IFERROR(__xludf.DUMMYFUNCTION("""COMPUTED_VALUE"""),805.0)</f>
        <v>805</v>
      </c>
      <c r="G15864" s="4">
        <f>IFERROR(__xludf.DUMMYFUNCTION("""COMPUTED_VALUE"""),28.0)</f>
        <v>28</v>
      </c>
      <c r="H15864" s="4"/>
      <c r="I15864" s="4"/>
    </row>
    <row r="15865">
      <c r="A15865" s="4" t="str">
        <f>IFERROR(__xludf.DUMMYFUNCTION("""COMPUTED_VALUE"""),"cas_hmw")</f>
        <v>cas_hmw</v>
      </c>
      <c r="B15865" s="5">
        <f>IFERROR(__xludf.DUMMYFUNCTION("""COMPUTED_VALUE"""),44732.0)</f>
        <v>44732</v>
      </c>
      <c r="C15865" s="6">
        <f>IFERROR(__xludf.DUMMYFUNCTION("""COMPUTED_VALUE"""),0.3451388888897782)</f>
        <v>0.3451388889</v>
      </c>
      <c r="D15865" s="4">
        <f>IFERROR(__xludf.DUMMYFUNCTION("""COMPUTED_VALUE"""),12.904713)</f>
        <v>12.904713</v>
      </c>
      <c r="E15865" s="4">
        <f>IFERROR(__xludf.DUMMYFUNCTION("""COMPUTED_VALUE"""),80.095246)</f>
        <v>80.095246</v>
      </c>
      <c r="F15865" s="4">
        <f>IFERROR(__xludf.DUMMYFUNCTION("""COMPUTED_VALUE"""),5339.0)</f>
        <v>5339</v>
      </c>
      <c r="G15865" s="4">
        <f>IFERROR(__xludf.DUMMYFUNCTION("""COMPUTED_VALUE"""),30.0)</f>
        <v>30</v>
      </c>
      <c r="H15865" s="4"/>
      <c r="I15865" s="4"/>
    </row>
    <row r="15866">
      <c r="A15866" s="4" t="str">
        <f>IFERROR(__xludf.DUMMYFUNCTION("""COMPUTED_VALUE"""),"cas_hmw")</f>
        <v>cas_hmw</v>
      </c>
      <c r="B15866" s="5">
        <f>IFERROR(__xludf.DUMMYFUNCTION("""COMPUTED_VALUE"""),44732.0)</f>
        <v>44732</v>
      </c>
      <c r="C15866" s="6">
        <f>IFERROR(__xludf.DUMMYFUNCTION("""COMPUTED_VALUE"""),0.34517361111284117)</f>
        <v>0.3451736111</v>
      </c>
      <c r="D15866" s="4">
        <f>IFERROR(__xludf.DUMMYFUNCTION("""COMPUTED_VALUE"""),12.904038)</f>
        <v>12.904038</v>
      </c>
      <c r="E15866" s="4">
        <f>IFERROR(__xludf.DUMMYFUNCTION("""COMPUTED_VALUE"""),80.094711)</f>
        <v>80.094711</v>
      </c>
      <c r="F15866" s="4">
        <f>IFERROR(__xludf.DUMMYFUNCTION("""COMPUTED_VALUE"""),5339.0)</f>
        <v>5339</v>
      </c>
      <c r="G15866" s="4">
        <f>IFERROR(__xludf.DUMMYFUNCTION("""COMPUTED_VALUE"""),36.0)</f>
        <v>36</v>
      </c>
      <c r="H15866" s="4"/>
      <c r="I15866" s="4"/>
    </row>
    <row r="15867">
      <c r="A15867" s="4" t="str">
        <f>IFERROR(__xludf.DUMMYFUNCTION("""COMPUTED_VALUE"""),"cas_hmw")</f>
        <v>cas_hmw</v>
      </c>
      <c r="B15867" s="5">
        <f>IFERROR(__xludf.DUMMYFUNCTION("""COMPUTED_VALUE"""),44732.0)</f>
        <v>44732</v>
      </c>
      <c r="C15867" s="6">
        <f>IFERROR(__xludf.DUMMYFUNCTION("""COMPUTED_VALUE"""),0.3457175925941556)</f>
        <v>0.3457175926</v>
      </c>
      <c r="D15867" s="4">
        <f>IFERROR(__xludf.DUMMYFUNCTION("""COMPUTED_VALUE"""),12.852273)</f>
        <v>12.852273</v>
      </c>
      <c r="E15867" s="4">
        <f>IFERROR(__xludf.DUMMYFUNCTION("""COMPUTED_VALUE"""),80.066284)</f>
        <v>80.066284</v>
      </c>
      <c r="F15867" s="4">
        <f>IFERROR(__xludf.DUMMYFUNCTION("""COMPUTED_VALUE"""),2846.0)</f>
        <v>2846</v>
      </c>
      <c r="G15867" s="4">
        <f>IFERROR(__xludf.DUMMYFUNCTION("""COMPUTED_VALUE"""),47.0)</f>
        <v>47</v>
      </c>
      <c r="H15867" s="4"/>
      <c r="I15867" s="4"/>
    </row>
    <row r="15868">
      <c r="A15868" s="4" t="str">
        <f>IFERROR(__xludf.DUMMYFUNCTION("""COMPUTED_VALUE"""),"cas_hmw")</f>
        <v>cas_hmw</v>
      </c>
      <c r="B15868" s="5">
        <f>IFERROR(__xludf.DUMMYFUNCTION("""COMPUTED_VALUE"""),44732.0)</f>
        <v>44732</v>
      </c>
      <c r="C15868" s="6">
        <f>IFERROR(__xludf.DUMMYFUNCTION("""COMPUTED_VALUE"""),0.34579861110978527)</f>
        <v>0.3457986111</v>
      </c>
      <c r="D15868" s="4">
        <f>IFERROR(__xludf.DUMMYFUNCTION("""COMPUTED_VALUE"""),12.852273)</f>
        <v>12.852273</v>
      </c>
      <c r="E15868" s="4">
        <f>IFERROR(__xludf.DUMMYFUNCTION("""COMPUTED_VALUE"""),80.066284)</f>
        <v>80.066284</v>
      </c>
      <c r="F15868" s="4">
        <f>IFERROR(__xludf.DUMMYFUNCTION("""COMPUTED_VALUE"""),2846.0)</f>
        <v>2846</v>
      </c>
      <c r="G15868" s="4">
        <f>IFERROR(__xludf.DUMMYFUNCTION("""COMPUTED_VALUE"""),47.0)</f>
        <v>47</v>
      </c>
      <c r="H15868" s="4"/>
      <c r="I15868" s="4"/>
    </row>
    <row r="15869">
      <c r="A15869" s="4" t="str">
        <f>IFERROR(__xludf.DUMMYFUNCTION("""COMPUTED_VALUE"""),"cas_hmw")</f>
        <v>cas_hmw</v>
      </c>
      <c r="B15869" s="5">
        <f>IFERROR(__xludf.DUMMYFUNCTION("""COMPUTED_VALUE"""),44732.0)</f>
        <v>44732</v>
      </c>
      <c r="C15869" s="6">
        <f>IFERROR(__xludf.DUMMYFUNCTION("""COMPUTED_VALUE"""),0.3458217592597066)</f>
        <v>0.3458217593</v>
      </c>
      <c r="D15869" s="4">
        <f>IFERROR(__xludf.DUMMYFUNCTION("""COMPUTED_VALUE"""),12.899299)</f>
        <v>12.899299</v>
      </c>
      <c r="E15869" s="4">
        <f>IFERROR(__xludf.DUMMYFUNCTION("""COMPUTED_VALUE"""),80.090998)</f>
        <v>80.090998</v>
      </c>
      <c r="F15869" s="4">
        <f>IFERROR(__xludf.DUMMYFUNCTION("""COMPUTED_VALUE"""),5339.0)</f>
        <v>5339</v>
      </c>
      <c r="G15869" s="4">
        <f>IFERROR(__xludf.DUMMYFUNCTION("""COMPUTED_VALUE"""),53.0)</f>
        <v>53</v>
      </c>
      <c r="H15869" s="4"/>
      <c r="I15869" s="4"/>
    </row>
    <row r="15870">
      <c r="A15870" s="4" t="str">
        <f>IFERROR(__xludf.DUMMYFUNCTION("""COMPUTED_VALUE"""),"cas_hmw")</f>
        <v>cas_hmw</v>
      </c>
      <c r="B15870" s="5">
        <f>IFERROR(__xludf.DUMMYFUNCTION("""COMPUTED_VALUE"""),44732.0)</f>
        <v>44732</v>
      </c>
      <c r="C15870" s="6">
        <f>IFERROR(__xludf.DUMMYFUNCTION("""COMPUTED_VALUE"""),0.3462847222217533)</f>
        <v>0.3462847222</v>
      </c>
      <c r="D15870" s="4">
        <f>IFERROR(__xludf.DUMMYFUNCTION("""COMPUTED_VALUE"""),12.958317)</f>
        <v>12.958317</v>
      </c>
      <c r="E15870" s="4">
        <f>IFERROR(__xludf.DUMMYFUNCTION("""COMPUTED_VALUE"""),80.144342)</f>
        <v>80.144342</v>
      </c>
      <c r="F15870" s="4">
        <f>IFERROR(__xludf.DUMMYFUNCTION("""COMPUTED_VALUE"""),805.0)</f>
        <v>805</v>
      </c>
      <c r="G15870" s="4">
        <f>IFERROR(__xludf.DUMMYFUNCTION("""COMPUTED_VALUE"""),47.0)</f>
        <v>47</v>
      </c>
      <c r="H15870" s="4"/>
      <c r="I15870" s="4"/>
    </row>
    <row r="15871">
      <c r="A15871" s="4" t="str">
        <f>IFERROR(__xludf.DUMMYFUNCTION("""COMPUTED_VALUE"""),"cas_hmw")</f>
        <v>cas_hmw</v>
      </c>
      <c r="B15871" s="5">
        <f>IFERROR(__xludf.DUMMYFUNCTION("""COMPUTED_VALUE"""),44732.0)</f>
        <v>44732</v>
      </c>
      <c r="C15871" s="6">
        <f>IFERROR(__xludf.DUMMYFUNCTION("""COMPUTED_VALUE"""),0.346435185183509)</f>
        <v>0.3464351852</v>
      </c>
      <c r="D15871" s="4">
        <f>IFERROR(__xludf.DUMMYFUNCTION("""COMPUTED_VALUE"""),12.858434)</f>
        <v>12.858434</v>
      </c>
      <c r="E15871" s="4">
        <f>IFERROR(__xludf.DUMMYFUNCTION("""COMPUTED_VALUE"""),80.070941)</f>
        <v>80.070941</v>
      </c>
      <c r="F15871" s="4">
        <f>IFERROR(__xludf.DUMMYFUNCTION("""COMPUTED_VALUE"""),2846.0)</f>
        <v>2846</v>
      </c>
      <c r="G15871" s="4">
        <f>IFERROR(__xludf.DUMMYFUNCTION("""COMPUTED_VALUE"""),57.0)</f>
        <v>57</v>
      </c>
      <c r="H15871" s="4"/>
      <c r="I15871" s="4"/>
    </row>
    <row r="15872">
      <c r="A15872" s="4" t="str">
        <f>IFERROR(__xludf.DUMMYFUNCTION("""COMPUTED_VALUE"""),"cas_hmw")</f>
        <v>cas_hmw</v>
      </c>
      <c r="B15872" s="5">
        <f>IFERROR(__xludf.DUMMYFUNCTION("""COMPUTED_VALUE"""),44732.0)</f>
        <v>44732</v>
      </c>
      <c r="C15872" s="6">
        <f>IFERROR(__xludf.DUMMYFUNCTION("""COMPUTED_VALUE"""),0.3465509259258397)</f>
        <v>0.3465509259</v>
      </c>
      <c r="D15872" s="4">
        <f>IFERROR(__xludf.DUMMYFUNCTION("""COMPUTED_VALUE"""),12.894738)</f>
        <v>12.894738</v>
      </c>
      <c r="E15872" s="4">
        <f>IFERROR(__xludf.DUMMYFUNCTION("""COMPUTED_VALUE"""),80.087566)</f>
        <v>80.087566</v>
      </c>
      <c r="F15872" s="4">
        <f>IFERROR(__xludf.DUMMYFUNCTION("""COMPUTED_VALUE"""),5339.0)</f>
        <v>5339</v>
      </c>
      <c r="G15872" s="4">
        <f>IFERROR(__xludf.DUMMYFUNCTION("""COMPUTED_VALUE"""),53.0)</f>
        <v>53</v>
      </c>
      <c r="H15872" s="4"/>
      <c r="I15872" s="4"/>
    </row>
    <row r="15873">
      <c r="A15873" s="4" t="str">
        <f>IFERROR(__xludf.DUMMYFUNCTION("""COMPUTED_VALUE"""),"cas_hmw")</f>
        <v>cas_hmw</v>
      </c>
      <c r="B15873" s="5">
        <f>IFERROR(__xludf.DUMMYFUNCTION("""COMPUTED_VALUE"""),44732.0)</f>
        <v>44732</v>
      </c>
      <c r="C15873" s="6">
        <f>IFERROR(__xludf.DUMMYFUNCTION("""COMPUTED_VALUE"""),0.3465856481489027)</f>
        <v>0.3465856481</v>
      </c>
      <c r="D15873" s="4">
        <f>IFERROR(__xludf.DUMMYFUNCTION("""COMPUTED_VALUE"""),12.859579)</f>
        <v>12.859579</v>
      </c>
      <c r="E15873" s="4">
        <f>IFERROR(__xludf.DUMMYFUNCTION("""COMPUTED_VALUE"""),80.071809)</f>
        <v>80.071809</v>
      </c>
      <c r="F15873" s="4">
        <f>IFERROR(__xludf.DUMMYFUNCTION("""COMPUTED_VALUE"""),2846.0)</f>
        <v>2846</v>
      </c>
      <c r="G15873" s="4">
        <f>IFERROR(__xludf.DUMMYFUNCTION("""COMPUTED_VALUE"""),52.0)</f>
        <v>52</v>
      </c>
      <c r="H15873" s="4"/>
      <c r="I15873" s="4"/>
    </row>
    <row r="15874">
      <c r="A15874" s="4" t="str">
        <f>IFERROR(__xludf.DUMMYFUNCTION("""COMPUTED_VALUE"""),"cas_hmw")</f>
        <v>cas_hmw</v>
      </c>
      <c r="B15874" s="5">
        <f>IFERROR(__xludf.DUMMYFUNCTION("""COMPUTED_VALUE"""),44732.0)</f>
        <v>44732</v>
      </c>
      <c r="C15874" s="6">
        <f>IFERROR(__xludf.DUMMYFUNCTION("""COMPUTED_VALUE"""),0.3466550925913907)</f>
        <v>0.3466550926</v>
      </c>
      <c r="D15874" s="4">
        <f>IFERROR(__xludf.DUMMYFUNCTION("""COMPUTED_VALUE"""),12.956126)</f>
        <v>12.956126</v>
      </c>
      <c r="E15874" s="4">
        <f>IFERROR(__xludf.DUMMYFUNCTION("""COMPUTED_VALUE"""),80.143192)</f>
        <v>80.143192</v>
      </c>
      <c r="F15874" s="4">
        <f>IFERROR(__xludf.DUMMYFUNCTION("""COMPUTED_VALUE"""),805.0)</f>
        <v>805</v>
      </c>
      <c r="G15874" s="4">
        <f>IFERROR(__xludf.DUMMYFUNCTION("""COMPUTED_VALUE"""),0.0)</f>
        <v>0</v>
      </c>
      <c r="H15874" s="4"/>
      <c r="I15874" s="4"/>
    </row>
    <row r="15875">
      <c r="A15875" s="4" t="str">
        <f>IFERROR(__xludf.DUMMYFUNCTION("""COMPUTED_VALUE"""),"cas_hmw")</f>
        <v>cas_hmw</v>
      </c>
      <c r="B15875" s="5">
        <f>IFERROR(__xludf.DUMMYFUNCTION("""COMPUTED_VALUE"""),44732.0)</f>
        <v>44732</v>
      </c>
      <c r="C15875" s="6">
        <f>IFERROR(__xludf.DUMMYFUNCTION("""COMPUTED_VALUE"""),0.3467708333337214)</f>
        <v>0.3467708333</v>
      </c>
      <c r="D15875" s="4">
        <f>IFERROR(__xludf.DUMMYFUNCTION("""COMPUTED_VALUE"""),12.955314)</f>
        <v>12.955314</v>
      </c>
      <c r="E15875" s="4">
        <f>IFERROR(__xludf.DUMMYFUNCTION("""COMPUTED_VALUE"""),80.142779)</f>
        <v>80.142779</v>
      </c>
      <c r="F15875" s="4">
        <f>IFERROR(__xludf.DUMMYFUNCTION("""COMPUTED_VALUE"""),805.0)</f>
        <v>805</v>
      </c>
      <c r="G15875" s="4">
        <f>IFERROR(__xludf.DUMMYFUNCTION("""COMPUTED_VALUE"""),34.0)</f>
        <v>34</v>
      </c>
      <c r="H15875" s="4"/>
      <c r="I15875" s="4"/>
    </row>
    <row r="15876">
      <c r="A15876" s="4" t="str">
        <f>IFERROR(__xludf.DUMMYFUNCTION("""COMPUTED_VALUE"""),"cas_hmw")</f>
        <v>cas_hmw</v>
      </c>
      <c r="B15876" s="5">
        <f>IFERROR(__xludf.DUMMYFUNCTION("""COMPUTED_VALUE"""),44732.0)</f>
        <v>44732</v>
      </c>
      <c r="C15876" s="6">
        <f>IFERROR(__xludf.DUMMYFUNCTION("""COMPUTED_VALUE"""),0.34678240740686306)</f>
        <v>0.3467824074</v>
      </c>
      <c r="D15876" s="4">
        <f>IFERROR(__xludf.DUMMYFUNCTION("""COMPUTED_VALUE"""),12.954583)</f>
        <v>12.954583</v>
      </c>
      <c r="E15876" s="4">
        <f>IFERROR(__xludf.DUMMYFUNCTION("""COMPUTED_VALUE"""),80.142375)</f>
        <v>80.142375</v>
      </c>
      <c r="F15876" s="4">
        <f>IFERROR(__xludf.DUMMYFUNCTION("""COMPUTED_VALUE"""),805.0)</f>
        <v>805</v>
      </c>
      <c r="G15876" s="4">
        <f>IFERROR(__xludf.DUMMYFUNCTION("""COMPUTED_VALUE"""),26.0)</f>
        <v>26</v>
      </c>
      <c r="H15876" s="4"/>
      <c r="I15876" s="4"/>
    </row>
    <row r="15877">
      <c r="A15877" s="4" t="str">
        <f>IFERROR(__xludf.DUMMYFUNCTION("""COMPUTED_VALUE"""),"cas_hmw")</f>
        <v>cas_hmw</v>
      </c>
      <c r="B15877" s="5">
        <f>IFERROR(__xludf.DUMMYFUNCTION("""COMPUTED_VALUE"""),44732.0)</f>
        <v>44732</v>
      </c>
      <c r="C15877" s="6">
        <f>IFERROR(__xludf.DUMMYFUNCTION("""COMPUTED_VALUE"""),0.3472685185188311)</f>
        <v>0.3472685185</v>
      </c>
      <c r="D15877" s="4">
        <f>IFERROR(__xludf.DUMMYFUNCTION("""COMPUTED_VALUE"""),12.888708)</f>
        <v>12.888708</v>
      </c>
      <c r="E15877" s="4">
        <f>IFERROR(__xludf.DUMMYFUNCTION("""COMPUTED_VALUE"""),80.084092)</f>
        <v>80.084092</v>
      </c>
      <c r="F15877" s="4">
        <f>IFERROR(__xludf.DUMMYFUNCTION("""COMPUTED_VALUE"""),5339.0)</f>
        <v>5339</v>
      </c>
      <c r="G15877" s="4">
        <f>IFERROR(__xludf.DUMMYFUNCTION("""COMPUTED_VALUE"""),46.0)</f>
        <v>46</v>
      </c>
      <c r="H15877" s="4"/>
      <c r="I15877" s="4"/>
    </row>
    <row r="15878">
      <c r="A15878" s="4" t="str">
        <f>IFERROR(__xludf.DUMMYFUNCTION("""COMPUTED_VALUE"""),"cas_hmw")</f>
        <v>cas_hmw</v>
      </c>
      <c r="B15878" s="5">
        <f>IFERROR(__xludf.DUMMYFUNCTION("""COMPUTED_VALUE"""),44732.0)</f>
        <v>44732</v>
      </c>
      <c r="C15878" s="6">
        <f>IFERROR(__xludf.DUMMYFUNCTION("""COMPUTED_VALUE"""),0.34751157407299615)</f>
        <v>0.3475115741</v>
      </c>
      <c r="D15878" s="4">
        <f>IFERROR(__xludf.DUMMYFUNCTION("""COMPUTED_VALUE"""),12.88648)</f>
        <v>12.88648</v>
      </c>
      <c r="E15878" s="4">
        <f>IFERROR(__xludf.DUMMYFUNCTION("""COMPUTED_VALUE"""),80.083196)</f>
        <v>80.083196</v>
      </c>
      <c r="F15878" s="4">
        <f>IFERROR(__xludf.DUMMYFUNCTION("""COMPUTED_VALUE"""),5339.0)</f>
        <v>5339</v>
      </c>
      <c r="G15878" s="4">
        <f>IFERROR(__xludf.DUMMYFUNCTION("""COMPUTED_VALUE"""),43.0)</f>
        <v>43</v>
      </c>
      <c r="H15878" s="4"/>
      <c r="I15878" s="4"/>
    </row>
    <row r="15879">
      <c r="A15879" s="4" t="str">
        <f>IFERROR(__xludf.DUMMYFUNCTION("""COMPUTED_VALUE"""),"cas_hmw")</f>
        <v>cas_hmw</v>
      </c>
      <c r="B15879" s="5">
        <f>IFERROR(__xludf.DUMMYFUNCTION("""COMPUTED_VALUE"""),44732.0)</f>
        <v>44732</v>
      </c>
      <c r="C15879" s="6">
        <f>IFERROR(__xludf.DUMMYFUNCTION("""COMPUTED_VALUE"""),0.3475578703692008)</f>
        <v>0.3475578704</v>
      </c>
      <c r="D15879" s="4">
        <f>IFERROR(__xludf.DUMMYFUNCTION("""COMPUTED_VALUE"""),12.88648)</f>
        <v>12.88648</v>
      </c>
      <c r="E15879" s="4">
        <f>IFERROR(__xludf.DUMMYFUNCTION("""COMPUTED_VALUE"""),80.083196)</f>
        <v>80.083196</v>
      </c>
      <c r="F15879" s="4">
        <f>IFERROR(__xludf.DUMMYFUNCTION("""COMPUTED_VALUE"""),5339.0)</f>
        <v>5339</v>
      </c>
      <c r="G15879" s="4">
        <f>IFERROR(__xludf.DUMMYFUNCTION("""COMPUTED_VALUE"""),43.0)</f>
        <v>43</v>
      </c>
      <c r="H15879" s="4"/>
      <c r="I15879" s="4"/>
    </row>
    <row r="15880">
      <c r="A15880" s="4" t="str">
        <f>IFERROR(__xludf.DUMMYFUNCTION("""COMPUTED_VALUE"""),"cas_hmw")</f>
        <v>cas_hmw</v>
      </c>
      <c r="B15880" s="5">
        <f>IFERROR(__xludf.DUMMYFUNCTION("""COMPUTED_VALUE"""),44732.0)</f>
        <v>44732</v>
      </c>
      <c r="C15880" s="6">
        <f>IFERROR(__xludf.DUMMYFUNCTION("""COMPUTED_VALUE"""),0.34761574074218515)</f>
        <v>0.3476157407</v>
      </c>
      <c r="D15880" s="4">
        <f>IFERROR(__xludf.DUMMYFUNCTION("""COMPUTED_VALUE"""),12.88547)</f>
        <v>12.88547</v>
      </c>
      <c r="E15880" s="4">
        <f>IFERROR(__xludf.DUMMYFUNCTION("""COMPUTED_VALUE"""),80.082748)</f>
        <v>80.082748</v>
      </c>
      <c r="F15880" s="4">
        <f>IFERROR(__xludf.DUMMYFUNCTION("""COMPUTED_VALUE"""),5339.0)</f>
        <v>5339</v>
      </c>
      <c r="G15880" s="4">
        <f>IFERROR(__xludf.DUMMYFUNCTION("""COMPUTED_VALUE"""),45.0)</f>
        <v>45</v>
      </c>
      <c r="H15880" s="4"/>
      <c r="I15880" s="4"/>
    </row>
    <row r="15881">
      <c r="A15881" s="4" t="str">
        <f>IFERROR(__xludf.DUMMYFUNCTION("""COMPUTED_VALUE"""),"cas_hmw")</f>
        <v>cas_hmw</v>
      </c>
      <c r="B15881" s="5">
        <f>IFERROR(__xludf.DUMMYFUNCTION("""COMPUTED_VALUE"""),44732.0)</f>
        <v>44732</v>
      </c>
      <c r="C15881" s="6">
        <f>IFERROR(__xludf.DUMMYFUNCTION("""COMPUTED_VALUE"""),0.3477546296307992)</f>
        <v>0.3477546296</v>
      </c>
      <c r="D15881" s="4">
        <f>IFERROR(__xludf.DUMMYFUNCTION("""COMPUTED_VALUE"""),12.950357)</f>
        <v>12.950357</v>
      </c>
      <c r="E15881" s="4">
        <f>IFERROR(__xludf.DUMMYFUNCTION("""COMPUTED_VALUE"""),80.139579)</f>
        <v>80.139579</v>
      </c>
      <c r="F15881" s="4">
        <f>IFERROR(__xludf.DUMMYFUNCTION("""COMPUTED_VALUE"""),805.0)</f>
        <v>805</v>
      </c>
      <c r="G15881" s="4">
        <f>IFERROR(__xludf.DUMMYFUNCTION("""COMPUTED_VALUE"""),26.0)</f>
        <v>26</v>
      </c>
      <c r="H15881" s="4"/>
      <c r="I15881" s="4"/>
    </row>
    <row r="15882">
      <c r="A15882" s="4" t="str">
        <f>IFERROR(__xludf.DUMMYFUNCTION("""COMPUTED_VALUE"""),"cas_hmw")</f>
        <v>cas_hmw</v>
      </c>
      <c r="B15882" s="5">
        <f>IFERROR(__xludf.DUMMYFUNCTION("""COMPUTED_VALUE"""),44732.0)</f>
        <v>44732</v>
      </c>
      <c r="C15882" s="6">
        <f>IFERROR(__xludf.DUMMYFUNCTION("""COMPUTED_VALUE"""),0.3477893518502242)</f>
        <v>0.3477893519</v>
      </c>
      <c r="D15882" s="4">
        <f>IFERROR(__xludf.DUMMYFUNCTION("""COMPUTED_VALUE"""),12.950357)</f>
        <v>12.950357</v>
      </c>
      <c r="E15882" s="4">
        <f>IFERROR(__xludf.DUMMYFUNCTION("""COMPUTED_VALUE"""),80.139579)</f>
        <v>80.139579</v>
      </c>
      <c r="F15882" s="4">
        <f>IFERROR(__xludf.DUMMYFUNCTION("""COMPUTED_VALUE"""),805.0)</f>
        <v>805</v>
      </c>
      <c r="G15882" s="4">
        <f>IFERROR(__xludf.DUMMYFUNCTION("""COMPUTED_VALUE"""),26.0)</f>
        <v>26</v>
      </c>
      <c r="H15882" s="4"/>
      <c r="I15882" s="4"/>
    </row>
    <row r="15883">
      <c r="A15883" s="4" t="str">
        <f>IFERROR(__xludf.DUMMYFUNCTION("""COMPUTED_VALUE"""),"cas_hmw")</f>
        <v>cas_hmw</v>
      </c>
      <c r="B15883" s="5">
        <f>IFERROR(__xludf.DUMMYFUNCTION("""COMPUTED_VALUE"""),44732.0)</f>
        <v>44732</v>
      </c>
      <c r="C15883" s="6">
        <f>IFERROR(__xludf.DUMMYFUNCTION("""COMPUTED_VALUE"""),0.34787037036949187)</f>
        <v>0.3478703704</v>
      </c>
      <c r="D15883" s="4">
        <f>IFERROR(__xludf.DUMMYFUNCTION("""COMPUTED_VALUE"""),12.868399)</f>
        <v>12.868399</v>
      </c>
      <c r="E15883" s="4">
        <f>IFERROR(__xludf.DUMMYFUNCTION("""COMPUTED_VALUE"""),80.075827)</f>
        <v>80.075827</v>
      </c>
      <c r="F15883" s="4">
        <f>IFERROR(__xludf.DUMMYFUNCTION("""COMPUTED_VALUE"""),2846.0)</f>
        <v>2846</v>
      </c>
      <c r="G15883" s="4">
        <f>IFERROR(__xludf.DUMMYFUNCTION("""COMPUTED_VALUE"""),46.0)</f>
        <v>46</v>
      </c>
      <c r="H15883" s="4"/>
      <c r="I15883" s="4"/>
    </row>
    <row r="15884">
      <c r="A15884" s="4" t="str">
        <f>IFERROR(__xludf.DUMMYFUNCTION("""COMPUTED_VALUE"""),"cas_hmw")</f>
        <v>cas_hmw</v>
      </c>
      <c r="B15884" s="5">
        <f>IFERROR(__xludf.DUMMYFUNCTION("""COMPUTED_VALUE"""),44732.0)</f>
        <v>44732</v>
      </c>
      <c r="C15884" s="6">
        <f>IFERROR(__xludf.DUMMYFUNCTION("""COMPUTED_VALUE"""),0.3478935185194132)</f>
        <v>0.3478935185</v>
      </c>
      <c r="D15884" s="4">
        <f>IFERROR(__xludf.DUMMYFUNCTION("""COMPUTED_VALUE"""),12.949681)</f>
        <v>12.949681</v>
      </c>
      <c r="E15884" s="4">
        <f>IFERROR(__xludf.DUMMYFUNCTION("""COMPUTED_VALUE"""),80.139017)</f>
        <v>80.139017</v>
      </c>
      <c r="F15884" s="4">
        <f>IFERROR(__xludf.DUMMYFUNCTION("""COMPUTED_VALUE"""),805.0)</f>
        <v>805</v>
      </c>
      <c r="G15884" s="4">
        <f>IFERROR(__xludf.DUMMYFUNCTION("""COMPUTED_VALUE"""),37.0)</f>
        <v>37</v>
      </c>
      <c r="H15884" s="4"/>
      <c r="I15884" s="4"/>
    </row>
    <row r="15885">
      <c r="A15885" s="4" t="str">
        <f>IFERROR(__xludf.DUMMYFUNCTION("""COMPUTED_VALUE"""),"cas_hmw")</f>
        <v>cas_hmw</v>
      </c>
      <c r="B15885" s="5">
        <f>IFERROR(__xludf.DUMMYFUNCTION("""COMPUTED_VALUE"""),44732.0)</f>
        <v>44732</v>
      </c>
      <c r="C15885" s="6">
        <f>IFERROR(__xludf.DUMMYFUNCTION("""COMPUTED_VALUE"""),0.34815972222349956)</f>
        <v>0.3481597222</v>
      </c>
      <c r="D15885" s="4">
        <f>IFERROR(__xludf.DUMMYFUNCTION("""COMPUTED_VALUE"""),12.947943)</f>
        <v>12.947943</v>
      </c>
      <c r="E15885" s="4">
        <f>IFERROR(__xludf.DUMMYFUNCTION("""COMPUTED_VALUE"""),80.137598)</f>
        <v>80.137598</v>
      </c>
      <c r="F15885" s="4">
        <f>IFERROR(__xludf.DUMMYFUNCTION("""COMPUTED_VALUE"""),805.0)</f>
        <v>805</v>
      </c>
      <c r="G15885" s="4">
        <f>IFERROR(__xludf.DUMMYFUNCTION("""COMPUTED_VALUE"""),42.0)</f>
        <v>42</v>
      </c>
      <c r="H15885" s="4"/>
      <c r="I15885" s="4"/>
    </row>
    <row r="15886">
      <c r="A15886" s="4" t="str">
        <f>IFERROR(__xludf.DUMMYFUNCTION("""COMPUTED_VALUE"""),"cas_hmw")</f>
        <v>cas_hmw</v>
      </c>
      <c r="B15886" s="5">
        <f>IFERROR(__xludf.DUMMYFUNCTION("""COMPUTED_VALUE"""),44732.0)</f>
        <v>44732</v>
      </c>
      <c r="C15886" s="6">
        <f>IFERROR(__xludf.DUMMYFUNCTION("""COMPUTED_VALUE"""),0.3488657407397113)</f>
        <v>0.3488657407</v>
      </c>
      <c r="D15886" s="4">
        <f>IFERROR(__xludf.DUMMYFUNCTION("""COMPUTED_VALUE"""),12.942524)</f>
        <v>12.942524</v>
      </c>
      <c r="E15886" s="4">
        <f>IFERROR(__xludf.DUMMYFUNCTION("""COMPUTED_VALUE"""),80.133307)</f>
        <v>80.133307</v>
      </c>
      <c r="F15886" s="4">
        <f>IFERROR(__xludf.DUMMYFUNCTION("""COMPUTED_VALUE"""),805.0)</f>
        <v>805</v>
      </c>
      <c r="G15886" s="4">
        <f>IFERROR(__xludf.DUMMYFUNCTION("""COMPUTED_VALUE"""),24.0)</f>
        <v>24</v>
      </c>
      <c r="H15886" s="4"/>
      <c r="I15886" s="4"/>
    </row>
    <row r="15887">
      <c r="A15887" s="4" t="str">
        <f>IFERROR(__xludf.DUMMYFUNCTION("""COMPUTED_VALUE"""),"cas_hmw")</f>
        <v>cas_hmw</v>
      </c>
      <c r="B15887" s="5">
        <f>IFERROR(__xludf.DUMMYFUNCTION("""COMPUTED_VALUE"""),44732.0)</f>
        <v>44732</v>
      </c>
      <c r="C15887" s="6">
        <f>IFERROR(__xludf.DUMMYFUNCTION("""COMPUTED_VALUE"""),0.348877314816491)</f>
        <v>0.3488773148</v>
      </c>
      <c r="D15887" s="4">
        <f>IFERROR(__xludf.DUMMYFUNCTION("""COMPUTED_VALUE"""),12.942524)</f>
        <v>12.942524</v>
      </c>
      <c r="E15887" s="4">
        <f>IFERROR(__xludf.DUMMYFUNCTION("""COMPUTED_VALUE"""),80.133307)</f>
        <v>80.133307</v>
      </c>
      <c r="F15887" s="4">
        <f>IFERROR(__xludf.DUMMYFUNCTION("""COMPUTED_VALUE"""),805.0)</f>
        <v>805</v>
      </c>
      <c r="G15887" s="4">
        <f>IFERROR(__xludf.DUMMYFUNCTION("""COMPUTED_VALUE"""),24.0)</f>
        <v>24</v>
      </c>
      <c r="H15887" s="4"/>
      <c r="I15887" s="4"/>
    </row>
    <row r="15888">
      <c r="A15888" s="4" t="str">
        <f>IFERROR(__xludf.DUMMYFUNCTION("""COMPUTED_VALUE"""),"cas_hmw")</f>
        <v>cas_hmw</v>
      </c>
      <c r="B15888" s="5">
        <f>IFERROR(__xludf.DUMMYFUNCTION("""COMPUTED_VALUE"""),44732.0)</f>
        <v>44732</v>
      </c>
      <c r="C15888" s="6">
        <f>IFERROR(__xludf.DUMMYFUNCTION("""COMPUTED_VALUE"""),0.34905092592453)</f>
        <v>0.3490509259</v>
      </c>
      <c r="D15888" s="4">
        <f>IFERROR(__xludf.DUMMYFUNCTION("""COMPUTED_VALUE"""),12.941979)</f>
        <v>12.941979</v>
      </c>
      <c r="E15888" s="4">
        <f>IFERROR(__xludf.DUMMYFUNCTION("""COMPUTED_VALUE"""),80.132764)</f>
        <v>80.132764</v>
      </c>
      <c r="F15888" s="4">
        <f>IFERROR(__xludf.DUMMYFUNCTION("""COMPUTED_VALUE"""),805.0)</f>
        <v>805</v>
      </c>
      <c r="G15888" s="4">
        <f>IFERROR(__xludf.DUMMYFUNCTION("""COMPUTED_VALUE"""),35.0)</f>
        <v>35</v>
      </c>
      <c r="H15888" s="4"/>
      <c r="I15888" s="4"/>
    </row>
    <row r="15889">
      <c r="A15889" s="4" t="str">
        <f>IFERROR(__xludf.DUMMYFUNCTION("""COMPUTED_VALUE"""),"cas_hmw")</f>
        <v>cas_hmw</v>
      </c>
      <c r="B15889" s="5">
        <f>IFERROR(__xludf.DUMMYFUNCTION("""COMPUTED_VALUE"""),44732.0)</f>
        <v>44732</v>
      </c>
      <c r="C15889" s="6">
        <f>IFERROR(__xludf.DUMMYFUNCTION("""COMPUTED_VALUE"""),0.34921296296306537)</f>
        <v>0.349212963</v>
      </c>
      <c r="D15889" s="4">
        <f>IFERROR(__xludf.DUMMYFUNCTION("""COMPUTED_VALUE"""),12.940654)</f>
        <v>12.940654</v>
      </c>
      <c r="E15889" s="4">
        <f>IFERROR(__xludf.DUMMYFUNCTION("""COMPUTED_VALUE"""),80.131303)</f>
        <v>80.131303</v>
      </c>
      <c r="F15889" s="4">
        <f>IFERROR(__xludf.DUMMYFUNCTION("""COMPUTED_VALUE"""),805.0)</f>
        <v>805</v>
      </c>
      <c r="G15889" s="4">
        <f>IFERROR(__xludf.DUMMYFUNCTION("""COMPUTED_VALUE"""),42.0)</f>
        <v>42</v>
      </c>
      <c r="H15889" s="4"/>
      <c r="I15889" s="4"/>
    </row>
    <row r="15890">
      <c r="A15890" s="4" t="str">
        <f>IFERROR(__xludf.DUMMYFUNCTION("""COMPUTED_VALUE"""),"cas_hmw")</f>
        <v>cas_hmw</v>
      </c>
      <c r="B15890" s="5">
        <f>IFERROR(__xludf.DUMMYFUNCTION("""COMPUTED_VALUE"""),44732.0)</f>
        <v>44732</v>
      </c>
      <c r="C15890" s="6">
        <f>IFERROR(__xludf.DUMMYFUNCTION("""COMPUTED_VALUE"""),0.34925925925927004)</f>
        <v>0.3492592593</v>
      </c>
      <c r="D15890" s="4">
        <f>IFERROR(__xludf.DUMMYFUNCTION("""COMPUTED_VALUE"""),12.940654)</f>
        <v>12.940654</v>
      </c>
      <c r="E15890" s="4">
        <f>IFERROR(__xludf.DUMMYFUNCTION("""COMPUTED_VALUE"""),80.131303)</f>
        <v>80.131303</v>
      </c>
      <c r="F15890" s="4">
        <f>IFERROR(__xludf.DUMMYFUNCTION("""COMPUTED_VALUE"""),805.0)</f>
        <v>805</v>
      </c>
      <c r="G15890" s="4">
        <f>IFERROR(__xludf.DUMMYFUNCTION("""COMPUTED_VALUE"""),42.0)</f>
        <v>42</v>
      </c>
      <c r="H15890" s="4"/>
      <c r="I15890" s="4"/>
    </row>
    <row r="15891">
      <c r="A15891" s="4" t="str">
        <f>IFERROR(__xludf.DUMMYFUNCTION("""COMPUTED_VALUE"""),"cas_hmw")</f>
        <v>cas_hmw</v>
      </c>
      <c r="B15891" s="5">
        <f>IFERROR(__xludf.DUMMYFUNCTION("""COMPUTED_VALUE"""),44732.0)</f>
        <v>44732</v>
      </c>
      <c r="C15891" s="6">
        <f>IFERROR(__xludf.DUMMYFUNCTION("""COMPUTED_VALUE"""),0.34951388889021473)</f>
        <v>0.3495138889</v>
      </c>
      <c r="D15891" s="4">
        <f>IFERROR(__xludf.DUMMYFUNCTION("""COMPUTED_VALUE"""),12.939262)</f>
        <v>12.939262</v>
      </c>
      <c r="E15891" s="4">
        <f>IFERROR(__xludf.DUMMYFUNCTION("""COMPUTED_VALUE"""),80.129953)</f>
        <v>80.129953</v>
      </c>
      <c r="F15891" s="4">
        <f>IFERROR(__xludf.DUMMYFUNCTION("""COMPUTED_VALUE"""),805.0)</f>
        <v>805</v>
      </c>
      <c r="G15891" s="4">
        <f>IFERROR(__xludf.DUMMYFUNCTION("""COMPUTED_VALUE"""),39.0)</f>
        <v>39</v>
      </c>
      <c r="H15891" s="4"/>
      <c r="I15891" s="4"/>
    </row>
    <row r="15892">
      <c r="A15892" s="4" t="str">
        <f>IFERROR(__xludf.DUMMYFUNCTION("""COMPUTED_VALUE"""),"cas_hmw")</f>
        <v>cas_hmw</v>
      </c>
      <c r="B15892" s="5">
        <f>IFERROR(__xludf.DUMMYFUNCTION("""COMPUTED_VALUE"""),44732.0)</f>
        <v>44732</v>
      </c>
      <c r="C15892" s="6">
        <f>IFERROR(__xludf.DUMMYFUNCTION("""COMPUTED_VALUE"""),0.34965277777882875)</f>
        <v>0.3496527778</v>
      </c>
      <c r="D15892" s="4">
        <f>IFERROR(__xludf.DUMMYFUNCTION("""COMPUTED_VALUE"""),12.938419)</f>
        <v>12.938419</v>
      </c>
      <c r="E15892" s="4">
        <f>IFERROR(__xludf.DUMMYFUNCTION("""COMPUTED_VALUE"""),80.129216)</f>
        <v>80.129216</v>
      </c>
      <c r="F15892" s="4">
        <f>IFERROR(__xludf.DUMMYFUNCTION("""COMPUTED_VALUE"""),805.0)</f>
        <v>805</v>
      </c>
      <c r="G15892" s="4">
        <f>IFERROR(__xludf.DUMMYFUNCTION("""COMPUTED_VALUE"""),47.0)</f>
        <v>47</v>
      </c>
      <c r="H15892" s="4"/>
      <c r="I15892" s="4"/>
    </row>
    <row r="15893">
      <c r="A15893" s="4" t="str">
        <f>IFERROR(__xludf.DUMMYFUNCTION("""COMPUTED_VALUE"""),"cas_hmw")</f>
        <v>cas_hmw</v>
      </c>
      <c r="B15893" s="5">
        <f>IFERROR(__xludf.DUMMYFUNCTION("""COMPUTED_VALUE"""),44732.0)</f>
        <v>44732</v>
      </c>
      <c r="C15893" s="6">
        <f>IFERROR(__xludf.DUMMYFUNCTION("""COMPUTED_VALUE"""),0.3498495370367891)</f>
        <v>0.349849537</v>
      </c>
      <c r="D15893" s="4">
        <f>IFERROR(__xludf.DUMMYFUNCTION("""COMPUTED_VALUE"""),12.936822)</f>
        <v>12.936822</v>
      </c>
      <c r="E15893" s="4">
        <f>IFERROR(__xludf.DUMMYFUNCTION("""COMPUTED_VALUE"""),80.127818)</f>
        <v>80.127818</v>
      </c>
      <c r="F15893" s="4">
        <f>IFERROR(__xludf.DUMMYFUNCTION("""COMPUTED_VALUE"""),805.0)</f>
        <v>805</v>
      </c>
      <c r="G15893" s="4">
        <f>IFERROR(__xludf.DUMMYFUNCTION("""COMPUTED_VALUE"""),42.0)</f>
        <v>42</v>
      </c>
      <c r="H15893" s="4"/>
      <c r="I15893" s="4"/>
    </row>
    <row r="15894">
      <c r="A15894" s="4" t="str">
        <f>IFERROR(__xludf.DUMMYFUNCTION("""COMPUTED_VALUE"""),"cas_hmw")</f>
        <v>cas_hmw</v>
      </c>
      <c r="B15894" s="5">
        <f>IFERROR(__xludf.DUMMYFUNCTION("""COMPUTED_VALUE"""),44732.0)</f>
        <v>44732</v>
      </c>
      <c r="C15894" s="6">
        <f>IFERROR(__xludf.DUMMYFUNCTION("""COMPUTED_VALUE"""),0.3502662037026312)</f>
        <v>0.3502662037</v>
      </c>
      <c r="D15894" s="4">
        <f>IFERROR(__xludf.DUMMYFUNCTION("""COMPUTED_VALUE"""),12.932814)</f>
        <v>12.932814</v>
      </c>
      <c r="E15894" s="4">
        <f>IFERROR(__xludf.DUMMYFUNCTION("""COMPUTED_VALUE"""),80.124088)</f>
        <v>80.124088</v>
      </c>
      <c r="F15894" s="4">
        <f>IFERROR(__xludf.DUMMYFUNCTION("""COMPUTED_VALUE"""),805.0)</f>
        <v>805</v>
      </c>
      <c r="G15894" s="4">
        <f>IFERROR(__xludf.DUMMYFUNCTION("""COMPUTED_VALUE"""),54.0)</f>
        <v>54</v>
      </c>
      <c r="H15894" s="4"/>
      <c r="I15894" s="4"/>
    </row>
    <row r="15895">
      <c r="A15895" s="4" t="str">
        <f>IFERROR(__xludf.DUMMYFUNCTION("""COMPUTED_VALUE"""),"cas_hmw")</f>
        <v>cas_hmw</v>
      </c>
      <c r="B15895" s="5">
        <f>IFERROR(__xludf.DUMMYFUNCTION("""COMPUTED_VALUE"""),44732.0)</f>
        <v>44732</v>
      </c>
      <c r="C15895" s="6">
        <f>IFERROR(__xludf.DUMMYFUNCTION("""COMPUTED_VALUE"""),0.3506249999991269)</f>
        <v>0.350625</v>
      </c>
      <c r="D15895" s="4">
        <f>IFERROR(__xludf.DUMMYFUNCTION("""COMPUTED_VALUE"""),12.931543)</f>
        <v>12.931543</v>
      </c>
      <c r="E15895" s="4">
        <f>IFERROR(__xludf.DUMMYFUNCTION("""COMPUTED_VALUE"""),80.122909)</f>
        <v>80.122909</v>
      </c>
      <c r="F15895" s="4">
        <f>IFERROR(__xludf.DUMMYFUNCTION("""COMPUTED_VALUE"""),805.0)</f>
        <v>805</v>
      </c>
      <c r="G15895" s="4">
        <f>IFERROR(__xludf.DUMMYFUNCTION("""COMPUTED_VALUE"""),21.0)</f>
        <v>21</v>
      </c>
      <c r="H15895" s="4"/>
      <c r="I15895" s="4"/>
    </row>
    <row r="15896">
      <c r="A15896" s="4" t="str">
        <f>IFERROR(__xludf.DUMMYFUNCTION("""COMPUTED_VALUE"""),"cas_hmw")</f>
        <v>cas_hmw</v>
      </c>
      <c r="B15896" s="5">
        <f>IFERROR(__xludf.DUMMYFUNCTION("""COMPUTED_VALUE"""),44732.0)</f>
        <v>44732</v>
      </c>
      <c r="C15896" s="6">
        <f>IFERROR(__xludf.DUMMYFUNCTION("""COMPUTED_VALUE"""),0.3506249999991269)</f>
        <v>0.350625</v>
      </c>
      <c r="D15896" s="4">
        <f>IFERROR(__xludf.DUMMYFUNCTION("""COMPUTED_VALUE"""),12.931543)</f>
        <v>12.931543</v>
      </c>
      <c r="E15896" s="4">
        <f>IFERROR(__xludf.DUMMYFUNCTION("""COMPUTED_VALUE"""),80.122909)</f>
        <v>80.122909</v>
      </c>
      <c r="F15896" s="4">
        <f>IFERROR(__xludf.DUMMYFUNCTION("""COMPUTED_VALUE"""),805.0)</f>
        <v>805</v>
      </c>
      <c r="G15896" s="4">
        <f>IFERROR(__xludf.DUMMYFUNCTION("""COMPUTED_VALUE"""),21.0)</f>
        <v>21</v>
      </c>
      <c r="H15896" s="4"/>
      <c r="I15896" s="4"/>
    </row>
    <row r="15897">
      <c r="A15897" s="4" t="str">
        <f>IFERROR(__xludf.DUMMYFUNCTION("""COMPUTED_VALUE"""),"cas_hmw")</f>
        <v>cas_hmw</v>
      </c>
      <c r="B15897" s="5">
        <f>IFERROR(__xludf.DUMMYFUNCTION("""COMPUTED_VALUE"""),44732.0)</f>
        <v>44732</v>
      </c>
      <c r="C15897" s="6">
        <f>IFERROR(__xludf.DUMMYFUNCTION("""COMPUTED_VALUE"""),0.35103009259182727)</f>
        <v>0.3510300926</v>
      </c>
      <c r="D15897" s="4">
        <f>IFERROR(__xludf.DUMMYFUNCTION("""COMPUTED_VALUE"""),12.929392)</f>
        <v>12.929392</v>
      </c>
      <c r="E15897" s="4">
        <f>IFERROR(__xludf.DUMMYFUNCTION("""COMPUTED_VALUE"""),80.120646)</f>
        <v>80.120646</v>
      </c>
      <c r="F15897" s="4">
        <f>IFERROR(__xludf.DUMMYFUNCTION("""COMPUTED_VALUE"""),805.0)</f>
        <v>805</v>
      </c>
      <c r="G15897" s="4">
        <f>IFERROR(__xludf.DUMMYFUNCTION("""COMPUTED_VALUE"""),47.0)</f>
        <v>47</v>
      </c>
      <c r="H15897" s="4"/>
      <c r="I15897" s="4"/>
    </row>
    <row r="15898">
      <c r="A15898" s="4" t="str">
        <f>IFERROR(__xludf.DUMMYFUNCTION("""COMPUTED_VALUE"""),"cas_hmw")</f>
        <v>cas_hmw</v>
      </c>
      <c r="B15898" s="5">
        <f>IFERROR(__xludf.DUMMYFUNCTION("""COMPUTED_VALUE"""),44732.0)</f>
        <v>44732</v>
      </c>
      <c r="C15898" s="6">
        <f>IFERROR(__xludf.DUMMYFUNCTION("""COMPUTED_VALUE"""),0.3511226851842366)</f>
        <v>0.3511226852</v>
      </c>
      <c r="D15898" s="4">
        <f>IFERROR(__xludf.DUMMYFUNCTION("""COMPUTED_VALUE"""),12.928523)</f>
        <v>12.928523</v>
      </c>
      <c r="E15898" s="4">
        <f>IFERROR(__xludf.DUMMYFUNCTION("""COMPUTED_VALUE"""),80.119743)</f>
        <v>80.119743</v>
      </c>
      <c r="F15898" s="4">
        <f>IFERROR(__xludf.DUMMYFUNCTION("""COMPUTED_VALUE"""),805.0)</f>
        <v>805</v>
      </c>
      <c r="G15898" s="4">
        <f>IFERROR(__xludf.DUMMYFUNCTION("""COMPUTED_VALUE"""),48.0)</f>
        <v>48</v>
      </c>
      <c r="H15898" s="4"/>
      <c r="I15898" s="4"/>
    </row>
    <row r="15899">
      <c r="A15899" s="4" t="str">
        <f>IFERROR(__xludf.DUMMYFUNCTION("""COMPUTED_VALUE"""),"cas_hmw")</f>
        <v>cas_hmw</v>
      </c>
      <c r="B15899" s="5">
        <f>IFERROR(__xludf.DUMMYFUNCTION("""COMPUTED_VALUE"""),44732.0)</f>
        <v>44732</v>
      </c>
      <c r="C15899" s="6">
        <f>IFERROR(__xludf.DUMMYFUNCTION("""COMPUTED_VALUE"""),0.3518518518503697)</f>
        <v>0.3518518519</v>
      </c>
      <c r="D15899" s="4">
        <f>IFERROR(__xludf.DUMMYFUNCTION("""COMPUTED_VALUE"""),12.925054)</f>
        <v>12.925054</v>
      </c>
      <c r="E15899" s="4">
        <f>IFERROR(__xludf.DUMMYFUNCTION("""COMPUTED_VALUE"""),80.116223)</f>
        <v>80.116223</v>
      </c>
      <c r="F15899" s="4">
        <f>IFERROR(__xludf.DUMMYFUNCTION("""COMPUTED_VALUE"""),805.0)</f>
        <v>805</v>
      </c>
      <c r="G15899" s="4">
        <f>IFERROR(__xludf.DUMMYFUNCTION("""COMPUTED_VALUE"""),58.0)</f>
        <v>58</v>
      </c>
      <c r="H15899" s="4"/>
      <c r="I15899" s="4"/>
    </row>
    <row r="15900">
      <c r="A15900" s="4" t="str">
        <f>IFERROR(__xludf.DUMMYFUNCTION("""COMPUTED_VALUE"""),"cas_hmw")</f>
        <v>cas_hmw</v>
      </c>
      <c r="B15900" s="5">
        <f>IFERROR(__xludf.DUMMYFUNCTION("""COMPUTED_VALUE"""),44732.0)</f>
        <v>44732</v>
      </c>
      <c r="C15900" s="6">
        <f>IFERROR(__xludf.DUMMYFUNCTION("""COMPUTED_VALUE"""),0.35364583333284827)</f>
        <v>0.3536458333</v>
      </c>
      <c r="D15900" s="4">
        <f>IFERROR(__xludf.DUMMYFUNCTION("""COMPUTED_VALUE"""),12.912801)</f>
        <v>12.912801</v>
      </c>
      <c r="E15900" s="4">
        <f>IFERROR(__xludf.DUMMYFUNCTION("""COMPUTED_VALUE"""),80.101552)</f>
        <v>80.101552</v>
      </c>
      <c r="F15900" s="4">
        <f>IFERROR(__xludf.DUMMYFUNCTION("""COMPUTED_VALUE"""),805.0)</f>
        <v>805</v>
      </c>
      <c r="G15900" s="4">
        <f>IFERROR(__xludf.DUMMYFUNCTION("""COMPUTED_VALUE"""),53.0)</f>
        <v>53</v>
      </c>
      <c r="H15900" s="4"/>
      <c r="I15900" s="4"/>
    </row>
    <row r="15901">
      <c r="A15901" s="4" t="str">
        <f>IFERROR(__xludf.DUMMYFUNCTION("""COMPUTED_VALUE"""),"cas_hmw")</f>
        <v>cas_hmw</v>
      </c>
      <c r="B15901" s="5">
        <f>IFERROR(__xludf.DUMMYFUNCTION("""COMPUTED_VALUE"""),44732.0)</f>
        <v>44732</v>
      </c>
      <c r="C15901" s="6">
        <f>IFERROR(__xludf.DUMMYFUNCTION("""COMPUTED_VALUE"""),0.35387731481387164)</f>
        <v>0.3538773148</v>
      </c>
      <c r="D15901" s="4">
        <f>IFERROR(__xludf.DUMMYFUNCTION("""COMPUTED_VALUE"""),12.910475)</f>
        <v>12.910475</v>
      </c>
      <c r="E15901" s="4">
        <f>IFERROR(__xludf.DUMMYFUNCTION("""COMPUTED_VALUE"""),80.101005)</f>
        <v>80.101005</v>
      </c>
      <c r="F15901" s="4">
        <f>IFERROR(__xludf.DUMMYFUNCTION("""COMPUTED_VALUE"""),805.0)</f>
        <v>805</v>
      </c>
      <c r="G15901" s="4">
        <f>IFERROR(__xludf.DUMMYFUNCTION("""COMPUTED_VALUE"""),59.0)</f>
        <v>59</v>
      </c>
      <c r="H15901" s="4"/>
      <c r="I15901" s="4"/>
    </row>
    <row r="15902">
      <c r="A15902" s="4" t="str">
        <f>IFERROR(__xludf.DUMMYFUNCTION("""COMPUTED_VALUE"""),"cas_hmw")</f>
        <v>cas_hmw</v>
      </c>
      <c r="B15902" s="5">
        <f>IFERROR(__xludf.DUMMYFUNCTION("""COMPUTED_VALUE"""),44732.0)</f>
        <v>44732</v>
      </c>
      <c r="C15902" s="6">
        <f>IFERROR(__xludf.DUMMYFUNCTION("""COMPUTED_VALUE"""),0.35407407407547)</f>
        <v>0.3540740741</v>
      </c>
      <c r="D15902" s="4">
        <f>IFERROR(__xludf.DUMMYFUNCTION("""COMPUTED_VALUE"""),12.909577)</f>
        <v>12.909577</v>
      </c>
      <c r="E15902" s="4">
        <f>IFERROR(__xludf.DUMMYFUNCTION("""COMPUTED_VALUE"""),80.099741)</f>
        <v>80.099741</v>
      </c>
      <c r="F15902" s="4">
        <f>IFERROR(__xludf.DUMMYFUNCTION("""COMPUTED_VALUE"""),805.0)</f>
        <v>805</v>
      </c>
      <c r="G15902" s="4">
        <f>IFERROR(__xludf.DUMMYFUNCTION("""COMPUTED_VALUE"""),53.0)</f>
        <v>53</v>
      </c>
      <c r="H15902" s="4"/>
      <c r="I15902" s="4"/>
    </row>
    <row r="15903">
      <c r="A15903" s="4" t="str">
        <f>IFERROR(__xludf.DUMMYFUNCTION("""COMPUTED_VALUE"""),"cas_hmw")</f>
        <v>cas_hmw</v>
      </c>
      <c r="B15903" s="5">
        <f>IFERROR(__xludf.DUMMYFUNCTION("""COMPUTED_VALUE"""),44732.0)</f>
        <v>44732</v>
      </c>
      <c r="C15903" s="6">
        <f>IFERROR(__xludf.DUMMYFUNCTION("""COMPUTED_VALUE"""),0.35575231481561786)</f>
        <v>0.3557523148</v>
      </c>
      <c r="D15903" s="4">
        <f>IFERROR(__xludf.DUMMYFUNCTION("""COMPUTED_VALUE"""),12.90391)</f>
        <v>12.90391</v>
      </c>
      <c r="E15903" s="4">
        <f>IFERROR(__xludf.DUMMYFUNCTION("""COMPUTED_VALUE"""),80.094569)</f>
        <v>80.094569</v>
      </c>
      <c r="F15903" s="4">
        <f>IFERROR(__xludf.DUMMYFUNCTION("""COMPUTED_VALUE"""),805.0)</f>
        <v>805</v>
      </c>
      <c r="G15903" s="4">
        <f>IFERROR(__xludf.DUMMYFUNCTION("""COMPUTED_VALUE"""),40.0)</f>
        <v>40</v>
      </c>
      <c r="H15903" s="4"/>
      <c r="I15903" s="4"/>
    </row>
    <row r="15904">
      <c r="A15904" s="4" t="str">
        <f>IFERROR(__xludf.DUMMYFUNCTION("""COMPUTED_VALUE"""),"cas_hmw")</f>
        <v>cas_hmw</v>
      </c>
      <c r="B15904" s="5">
        <f>IFERROR(__xludf.DUMMYFUNCTION("""COMPUTED_VALUE"""),44732.0)</f>
        <v>44732</v>
      </c>
      <c r="C15904" s="6">
        <f>IFERROR(__xludf.DUMMYFUNCTION("""COMPUTED_VALUE"""),0.3561111111121136)</f>
        <v>0.3561111111</v>
      </c>
      <c r="D15904" s="4">
        <f>IFERROR(__xludf.DUMMYFUNCTION("""COMPUTED_VALUE"""),12.901241)</f>
        <v>12.901241</v>
      </c>
      <c r="E15904" s="4">
        <f>IFERROR(__xludf.DUMMYFUNCTION("""COMPUTED_VALUE"""),80.092419)</f>
        <v>80.092419</v>
      </c>
      <c r="F15904" s="4">
        <f>IFERROR(__xludf.DUMMYFUNCTION("""COMPUTED_VALUE"""),805.0)</f>
        <v>805</v>
      </c>
      <c r="G15904" s="4">
        <f>IFERROR(__xludf.DUMMYFUNCTION("""COMPUTED_VALUE"""),55.0)</f>
        <v>55</v>
      </c>
      <c r="H15904" s="4"/>
      <c r="I15904" s="4"/>
    </row>
    <row r="15905">
      <c r="A15905" s="4" t="str">
        <f>IFERROR(__xludf.DUMMYFUNCTION("""COMPUTED_VALUE"""),"cas_hmw")</f>
        <v>cas_hmw</v>
      </c>
      <c r="B15905" s="5">
        <f>IFERROR(__xludf.DUMMYFUNCTION("""COMPUTED_VALUE"""),44732.0)</f>
        <v>44732</v>
      </c>
      <c r="C15905" s="6">
        <f>IFERROR(__xludf.DUMMYFUNCTION("""COMPUTED_VALUE"""),0.3561458333315386)</f>
        <v>0.3561458333</v>
      </c>
      <c r="D15905" s="4">
        <f>IFERROR(__xludf.DUMMYFUNCTION("""COMPUTED_VALUE"""),12.901241)</f>
        <v>12.901241</v>
      </c>
      <c r="E15905" s="4">
        <f>IFERROR(__xludf.DUMMYFUNCTION("""COMPUTED_VALUE"""),80.092419)</f>
        <v>80.092419</v>
      </c>
      <c r="F15905" s="4">
        <f>IFERROR(__xludf.DUMMYFUNCTION("""COMPUTED_VALUE"""),805.0)</f>
        <v>805</v>
      </c>
      <c r="G15905" s="4">
        <f>IFERROR(__xludf.DUMMYFUNCTION("""COMPUTED_VALUE"""),55.0)</f>
        <v>55</v>
      </c>
      <c r="H15905" s="4"/>
      <c r="I15905" s="4"/>
    </row>
    <row r="15906">
      <c r="A15906" s="4" t="str">
        <f>IFERROR(__xludf.DUMMYFUNCTION("""COMPUTED_VALUE"""),"cas_hmw")</f>
        <v>cas_hmw</v>
      </c>
      <c r="B15906" s="5">
        <f>IFERROR(__xludf.DUMMYFUNCTION("""COMPUTED_VALUE"""),44732.0)</f>
        <v>44732</v>
      </c>
      <c r="C15906" s="6">
        <f>IFERROR(__xludf.DUMMYFUNCTION("""COMPUTED_VALUE"""),0.3562847222237906)</f>
        <v>0.3562847222</v>
      </c>
      <c r="D15906" s="4">
        <f>IFERROR(__xludf.DUMMYFUNCTION("""COMPUTED_VALUE"""),12.898932)</f>
        <v>12.898932</v>
      </c>
      <c r="E15906" s="4">
        <f>IFERROR(__xludf.DUMMYFUNCTION("""COMPUTED_VALUE"""),80.090725)</f>
        <v>80.090725</v>
      </c>
      <c r="F15906" s="4">
        <f>IFERROR(__xludf.DUMMYFUNCTION("""COMPUTED_VALUE"""),805.0)</f>
        <v>805</v>
      </c>
      <c r="G15906" s="4">
        <f>IFERROR(__xludf.DUMMYFUNCTION("""COMPUTED_VALUE"""),58.0)</f>
        <v>58</v>
      </c>
      <c r="H15906" s="4"/>
      <c r="I15906" s="4"/>
    </row>
    <row r="15907">
      <c r="A15907" s="4" t="str">
        <f>IFERROR(__xludf.DUMMYFUNCTION("""COMPUTED_VALUE"""),"cas_hmw")</f>
        <v>cas_hmw</v>
      </c>
      <c r="B15907" s="5">
        <f>IFERROR(__xludf.DUMMYFUNCTION("""COMPUTED_VALUE"""),44732.0)</f>
        <v>44732</v>
      </c>
      <c r="C15907" s="6">
        <f>IFERROR(__xludf.DUMMYFUNCTION("""COMPUTED_VALUE"""),0.3564004629624833)</f>
        <v>0.356400463</v>
      </c>
      <c r="D15907" s="4">
        <f>IFERROR(__xludf.DUMMYFUNCTION("""COMPUTED_VALUE"""),12.898932)</f>
        <v>12.898932</v>
      </c>
      <c r="E15907" s="4">
        <f>IFERROR(__xludf.DUMMYFUNCTION("""COMPUTED_VALUE"""),80.090725)</f>
        <v>80.090725</v>
      </c>
      <c r="F15907" s="4">
        <f>IFERROR(__xludf.DUMMYFUNCTION("""COMPUTED_VALUE"""),805.0)</f>
        <v>805</v>
      </c>
      <c r="G15907" s="4">
        <f>IFERROR(__xludf.DUMMYFUNCTION("""COMPUTED_VALUE"""),58.0)</f>
        <v>58</v>
      </c>
      <c r="H15907" s="4"/>
      <c r="I15907" s="4"/>
    </row>
    <row r="15908">
      <c r="A15908" s="4" t="str">
        <f>IFERROR(__xludf.DUMMYFUNCTION("""COMPUTED_VALUE"""),"cas_hmw")</f>
        <v>cas_hmw</v>
      </c>
      <c r="B15908" s="5">
        <f>IFERROR(__xludf.DUMMYFUNCTION("""COMPUTED_VALUE"""),44732.0)</f>
        <v>44732</v>
      </c>
      <c r="C15908" s="6">
        <f>IFERROR(__xludf.DUMMYFUNCTION("""COMPUTED_VALUE"""),0.356793981482042)</f>
        <v>0.3567939815</v>
      </c>
      <c r="D15908" s="4">
        <f>IFERROR(__xludf.DUMMYFUNCTION("""COMPUTED_VALUE"""),12.895675)</f>
        <v>12.895675</v>
      </c>
      <c r="E15908" s="4">
        <f>IFERROR(__xludf.DUMMYFUNCTION("""COMPUTED_VALUE"""),80.088261)</f>
        <v>80.088261</v>
      </c>
      <c r="F15908" s="4">
        <f>IFERROR(__xludf.DUMMYFUNCTION("""COMPUTED_VALUE"""),805.0)</f>
        <v>805</v>
      </c>
      <c r="G15908" s="4">
        <f>IFERROR(__xludf.DUMMYFUNCTION("""COMPUTED_VALUE"""),58.0)</f>
        <v>58</v>
      </c>
      <c r="H15908" s="4"/>
      <c r="I15908" s="4"/>
    </row>
    <row r="15909">
      <c r="A15909" s="4" t="str">
        <f>IFERROR(__xludf.DUMMYFUNCTION("""COMPUTED_VALUE"""),"cas_hmw")</f>
        <v>cas_hmw</v>
      </c>
      <c r="B15909" s="5">
        <f>IFERROR(__xludf.DUMMYFUNCTION("""COMPUTED_VALUE"""),44732.0)</f>
        <v>44732</v>
      </c>
      <c r="C15909" s="6">
        <f>IFERROR(__xludf.DUMMYFUNCTION("""COMPUTED_VALUE"""),0.3581712962950405)</f>
        <v>0.3581712963</v>
      </c>
      <c r="D15909" s="4">
        <f>IFERROR(__xludf.DUMMYFUNCTION("""COMPUTED_VALUE"""),12.88105)</f>
        <v>12.88105</v>
      </c>
      <c r="E15909" s="4">
        <f>IFERROR(__xludf.DUMMYFUNCTION("""COMPUTED_VALUE"""),80.08105)</f>
        <v>80.08105</v>
      </c>
      <c r="F15909" s="4">
        <f>IFERROR(__xludf.DUMMYFUNCTION("""COMPUTED_VALUE"""),805.0)</f>
        <v>805</v>
      </c>
      <c r="G15909" s="4">
        <f>IFERROR(__xludf.DUMMYFUNCTION("""COMPUTED_VALUE"""),33.0)</f>
        <v>33</v>
      </c>
      <c r="H15909" s="4"/>
      <c r="I15909" s="4"/>
    </row>
    <row r="15910">
      <c r="A15910" s="4" t="str">
        <f>IFERROR(__xludf.DUMMYFUNCTION("""COMPUTED_VALUE"""),"cas_hmw")</f>
        <v>cas_hmw</v>
      </c>
      <c r="B15910" s="5">
        <f>IFERROR(__xludf.DUMMYFUNCTION("""COMPUTED_VALUE"""),44732.0)</f>
        <v>44732</v>
      </c>
      <c r="C15910" s="6">
        <f>IFERROR(__xludf.DUMMYFUNCTION("""COMPUTED_VALUE"""),0.35829861111051287)</f>
        <v>0.3582986111</v>
      </c>
      <c r="D15910" s="4">
        <f>IFERROR(__xludf.DUMMYFUNCTION("""COMPUTED_VALUE"""),12.88105)</f>
        <v>12.88105</v>
      </c>
      <c r="E15910" s="4">
        <f>IFERROR(__xludf.DUMMYFUNCTION("""COMPUTED_VALUE"""),80.08105)</f>
        <v>80.08105</v>
      </c>
      <c r="F15910" s="4">
        <f>IFERROR(__xludf.DUMMYFUNCTION("""COMPUTED_VALUE"""),805.0)</f>
        <v>805</v>
      </c>
      <c r="G15910" s="4">
        <f>IFERROR(__xludf.DUMMYFUNCTION("""COMPUTED_VALUE"""),33.0)</f>
        <v>33</v>
      </c>
      <c r="H15910" s="4"/>
      <c r="I15910" s="4"/>
    </row>
    <row r="15911">
      <c r="A15911" s="4" t="str">
        <f>IFERROR(__xludf.DUMMYFUNCTION("""COMPUTED_VALUE"""),"cas_hmw")</f>
        <v>cas_hmw</v>
      </c>
      <c r="B15911" s="5">
        <f>IFERROR(__xludf.DUMMYFUNCTION("""COMPUTED_VALUE"""),44732.0)</f>
        <v>44732</v>
      </c>
      <c r="C15911" s="6">
        <f>IFERROR(__xludf.DUMMYFUNCTION("""COMPUTED_VALUE"""),0.3583217592604342)</f>
        <v>0.3583217593</v>
      </c>
      <c r="D15911" s="4">
        <f>IFERROR(__xludf.DUMMYFUNCTION("""COMPUTED_VALUE"""),12.879874)</f>
        <v>12.879874</v>
      </c>
      <c r="E15911" s="4">
        <f>IFERROR(__xludf.DUMMYFUNCTION("""COMPUTED_VALUE"""),80.080579)</f>
        <v>80.080579</v>
      </c>
      <c r="F15911" s="4">
        <f>IFERROR(__xludf.DUMMYFUNCTION("""COMPUTED_VALUE"""),805.0)</f>
        <v>805</v>
      </c>
      <c r="G15911" s="4">
        <f>IFERROR(__xludf.DUMMYFUNCTION("""COMPUTED_VALUE"""),46.0)</f>
        <v>46</v>
      </c>
      <c r="H15911" s="4"/>
      <c r="I15911" s="4"/>
    </row>
    <row r="15912">
      <c r="A15912" s="4" t="str">
        <f>IFERROR(__xludf.DUMMYFUNCTION("""COMPUTED_VALUE"""),"cas_hmw")</f>
        <v>cas_hmw</v>
      </c>
      <c r="B15912" s="5">
        <f>IFERROR(__xludf.DUMMYFUNCTION("""COMPUTED_VALUE"""),44732.0)</f>
        <v>44732</v>
      </c>
      <c r="C15912" s="6">
        <f>IFERROR(__xludf.DUMMYFUNCTION("""COMPUTED_VALUE"""),0.7788194444437977)</f>
        <v>0.7788194444</v>
      </c>
      <c r="D15912" s="4">
        <f>IFERROR(__xludf.DUMMYFUNCTION("""COMPUTED_VALUE"""),12.866648)</f>
        <v>12.866648</v>
      </c>
      <c r="E15912" s="4">
        <f>IFERROR(__xludf.DUMMYFUNCTION("""COMPUTED_VALUE"""),80.075327)</f>
        <v>80.075327</v>
      </c>
      <c r="F15912" s="4">
        <f>IFERROR(__xludf.DUMMYFUNCTION("""COMPUTED_VALUE"""),2846.0)</f>
        <v>2846</v>
      </c>
      <c r="G15912" s="4">
        <f>IFERROR(__xludf.DUMMYFUNCTION("""COMPUTED_VALUE"""),25.0)</f>
        <v>25</v>
      </c>
      <c r="H15912" s="4"/>
      <c r="I15912" s="4"/>
    </row>
    <row r="15913">
      <c r="A15913" s="4" t="str">
        <f>IFERROR(__xludf.DUMMYFUNCTION("""COMPUTED_VALUE"""),"cas_hmw")</f>
        <v>cas_hmw</v>
      </c>
      <c r="B15913" s="5">
        <f>IFERROR(__xludf.DUMMYFUNCTION("""COMPUTED_VALUE"""),44732.0)</f>
        <v>44732</v>
      </c>
      <c r="C15913" s="6">
        <f>IFERROR(__xludf.DUMMYFUNCTION("""COMPUTED_VALUE"""),0.7788310185169394)</f>
        <v>0.7788310185</v>
      </c>
      <c r="D15913" s="4">
        <f>IFERROR(__xludf.DUMMYFUNCTION("""COMPUTED_VALUE"""),12.866648)</f>
        <v>12.866648</v>
      </c>
      <c r="E15913" s="4">
        <f>IFERROR(__xludf.DUMMYFUNCTION("""COMPUTED_VALUE"""),80.075327)</f>
        <v>80.075327</v>
      </c>
      <c r="F15913" s="4">
        <f>IFERROR(__xludf.DUMMYFUNCTION("""COMPUTED_VALUE"""),2846.0)</f>
        <v>2846</v>
      </c>
      <c r="G15913" s="4">
        <f>IFERROR(__xludf.DUMMYFUNCTION("""COMPUTED_VALUE"""),25.0)</f>
        <v>25</v>
      </c>
      <c r="H15913" s="4"/>
      <c r="I15913" s="4"/>
    </row>
    <row r="15914">
      <c r="A15914" s="4" t="str">
        <f>IFERROR(__xludf.DUMMYFUNCTION("""COMPUTED_VALUE"""),"cas_hmw")</f>
        <v>cas_hmw</v>
      </c>
      <c r="B15914" s="5">
        <f>IFERROR(__xludf.DUMMYFUNCTION("""COMPUTED_VALUE"""),44732.0)</f>
        <v>44732</v>
      </c>
      <c r="C15914" s="6">
        <f>IFERROR(__xludf.DUMMYFUNCTION("""COMPUTED_VALUE"""),0.7788541666668607)</f>
        <v>0.7788541667</v>
      </c>
      <c r="D15914" s="4">
        <f>IFERROR(__xludf.DUMMYFUNCTION("""COMPUTED_VALUE"""),12.866648)</f>
        <v>12.866648</v>
      </c>
      <c r="E15914" s="4">
        <f>IFERROR(__xludf.DUMMYFUNCTION("""COMPUTED_VALUE"""),80.075327)</f>
        <v>80.075327</v>
      </c>
      <c r="F15914" s="4">
        <f>IFERROR(__xludf.DUMMYFUNCTION("""COMPUTED_VALUE"""),2846.0)</f>
        <v>2846</v>
      </c>
      <c r="G15914" s="4">
        <f>IFERROR(__xludf.DUMMYFUNCTION("""COMPUTED_VALUE"""),25.0)</f>
        <v>25</v>
      </c>
      <c r="H15914" s="4"/>
      <c r="I15914" s="4"/>
    </row>
    <row r="15915">
      <c r="A15915" s="4" t="str">
        <f>IFERROR(__xludf.DUMMYFUNCTION("""COMPUTED_VALUE"""),"cas_hmw")</f>
        <v>cas_hmw</v>
      </c>
      <c r="B15915" s="5">
        <f>IFERROR(__xludf.DUMMYFUNCTION("""COMPUTED_VALUE"""),44732.0)</f>
        <v>44732</v>
      </c>
      <c r="C15915" s="6">
        <f>IFERROR(__xludf.DUMMYFUNCTION("""COMPUTED_VALUE"""),0.7791782407402934)</f>
        <v>0.7791782407</v>
      </c>
      <c r="D15915" s="4">
        <f>IFERROR(__xludf.DUMMYFUNCTION("""COMPUTED_VALUE"""),12.864068)</f>
        <v>12.864068</v>
      </c>
      <c r="E15915" s="4">
        <f>IFERROR(__xludf.DUMMYFUNCTION("""COMPUTED_VALUE"""),80.074398)</f>
        <v>80.074398</v>
      </c>
      <c r="F15915" s="4">
        <f>IFERROR(__xludf.DUMMYFUNCTION("""COMPUTED_VALUE"""),2846.0)</f>
        <v>2846</v>
      </c>
      <c r="G15915" s="4">
        <f>IFERROR(__xludf.DUMMYFUNCTION("""COMPUTED_VALUE"""),46.0)</f>
        <v>46</v>
      </c>
      <c r="H15915" s="4"/>
      <c r="I15915" s="4"/>
    </row>
    <row r="15916">
      <c r="A15916" s="4" t="str">
        <f>IFERROR(__xludf.DUMMYFUNCTION("""COMPUTED_VALUE"""),"cas_hmw")</f>
        <v>cas_hmw</v>
      </c>
      <c r="B15916" s="5">
        <f>IFERROR(__xludf.DUMMYFUNCTION("""COMPUTED_VALUE"""),44732.0)</f>
        <v>44732</v>
      </c>
      <c r="C15916" s="6">
        <f>IFERROR(__xludf.DUMMYFUNCTION("""COMPUTED_VALUE"""),0.7797916666677338)</f>
        <v>0.7797916667</v>
      </c>
      <c r="D15916" s="4">
        <f>IFERROR(__xludf.DUMMYFUNCTION("""COMPUTED_VALUE"""),12.859196)</f>
        <v>12.859196</v>
      </c>
      <c r="E15916" s="4">
        <f>IFERROR(__xludf.DUMMYFUNCTION("""COMPUTED_VALUE"""),80.071756)</f>
        <v>80.071756</v>
      </c>
      <c r="F15916" s="4">
        <f>IFERROR(__xludf.DUMMYFUNCTION("""COMPUTED_VALUE"""),2846.0)</f>
        <v>2846</v>
      </c>
      <c r="G15916" s="4">
        <f>IFERROR(__xludf.DUMMYFUNCTION("""COMPUTED_VALUE"""),42.0)</f>
        <v>42</v>
      </c>
      <c r="H15916" s="4"/>
      <c r="I15916" s="4"/>
    </row>
    <row r="15917">
      <c r="A15917" s="4" t="str">
        <f>IFERROR(__xludf.DUMMYFUNCTION("""COMPUTED_VALUE"""),"cas_hmw")</f>
        <v>cas_hmw</v>
      </c>
      <c r="B15917" s="5">
        <f>IFERROR(__xludf.DUMMYFUNCTION("""COMPUTED_VALUE"""),44732.0)</f>
        <v>44732</v>
      </c>
      <c r="C15917" s="6">
        <f>IFERROR(__xludf.DUMMYFUNCTION("""COMPUTED_VALUE"""),0.7800694444449618)</f>
        <v>0.7800694444</v>
      </c>
      <c r="D15917" s="4">
        <f>IFERROR(__xludf.DUMMYFUNCTION("""COMPUTED_VALUE"""),12.857283)</f>
        <v>12.857283</v>
      </c>
      <c r="E15917" s="4">
        <f>IFERROR(__xludf.DUMMYFUNCTION("""COMPUTED_VALUE"""),80.0703)</f>
        <v>80.0703</v>
      </c>
      <c r="F15917" s="4">
        <f>IFERROR(__xludf.DUMMYFUNCTION("""COMPUTED_VALUE"""),2846.0)</f>
        <v>2846</v>
      </c>
      <c r="G15917" s="4">
        <f>IFERROR(__xludf.DUMMYFUNCTION("""COMPUTED_VALUE"""),47.0)</f>
        <v>47</v>
      </c>
      <c r="H15917" s="4"/>
      <c r="I15917" s="4"/>
    </row>
    <row r="15918">
      <c r="A15918" s="4" t="str">
        <f>IFERROR(__xludf.DUMMYFUNCTION("""COMPUTED_VALUE"""),"cas_hmw")</f>
        <v>cas_hmw</v>
      </c>
      <c r="B15918" s="5">
        <f>IFERROR(__xludf.DUMMYFUNCTION("""COMPUTED_VALUE"""),44732.0)</f>
        <v>44732</v>
      </c>
      <c r="C15918" s="6">
        <f>IFERROR(__xludf.DUMMYFUNCTION("""COMPUTED_VALUE"""),0.7803472222221899)</f>
        <v>0.7803472222</v>
      </c>
      <c r="D15918" s="4">
        <f>IFERROR(__xludf.DUMMYFUNCTION("""COMPUTED_VALUE"""),12.85562)</f>
        <v>12.85562</v>
      </c>
      <c r="E15918" s="4">
        <f>IFERROR(__xludf.DUMMYFUNCTION("""COMPUTED_VALUE"""),80.069011)</f>
        <v>80.069011</v>
      </c>
      <c r="F15918" s="4">
        <f>IFERROR(__xludf.DUMMYFUNCTION("""COMPUTED_VALUE"""),2846.0)</f>
        <v>2846</v>
      </c>
      <c r="G15918" s="4">
        <f>IFERROR(__xludf.DUMMYFUNCTION("""COMPUTED_VALUE"""),40.0)</f>
        <v>40</v>
      </c>
      <c r="H15918" s="4"/>
      <c r="I15918" s="4"/>
    </row>
    <row r="15919">
      <c r="A15919" s="4" t="str">
        <f>IFERROR(__xludf.DUMMYFUNCTION("""COMPUTED_VALUE"""),"cas_hmw")</f>
        <v>cas_hmw</v>
      </c>
      <c r="B15919" s="5">
        <f>IFERROR(__xludf.DUMMYFUNCTION("""COMPUTED_VALUE"""),44732.0)</f>
        <v>44732</v>
      </c>
      <c r="C15919" s="6">
        <f>IFERROR(__xludf.DUMMYFUNCTION("""COMPUTED_VALUE"""),0.7804166666683159)</f>
        <v>0.7804166667</v>
      </c>
      <c r="D15919" s="4">
        <f>IFERROR(__xludf.DUMMYFUNCTION("""COMPUTED_VALUE"""),12.854849)</f>
        <v>12.854849</v>
      </c>
      <c r="E15919" s="4">
        <f>IFERROR(__xludf.DUMMYFUNCTION("""COMPUTED_VALUE"""),80.068446)</f>
        <v>80.068446</v>
      </c>
      <c r="F15919" s="4">
        <f>IFERROR(__xludf.DUMMYFUNCTION("""COMPUTED_VALUE"""),2846.0)</f>
        <v>2846</v>
      </c>
      <c r="G15919" s="4">
        <f>IFERROR(__xludf.DUMMYFUNCTION("""COMPUTED_VALUE"""),35.0)</f>
        <v>35</v>
      </c>
      <c r="H15919" s="4"/>
      <c r="I15919" s="4"/>
    </row>
    <row r="15920">
      <c r="A15920" s="4" t="str">
        <f>IFERROR(__xludf.DUMMYFUNCTION("""COMPUTED_VALUE"""),"cas_hmw")</f>
        <v>cas_hmw</v>
      </c>
      <c r="B15920" s="5">
        <f>IFERROR(__xludf.DUMMYFUNCTION("""COMPUTED_VALUE"""),44732.0)</f>
        <v>44732</v>
      </c>
      <c r="C15920" s="6">
        <f>IFERROR(__xludf.DUMMYFUNCTION("""COMPUTED_VALUE"""),0.7804629629645206)</f>
        <v>0.780462963</v>
      </c>
      <c r="D15920" s="4">
        <f>IFERROR(__xludf.DUMMYFUNCTION("""COMPUTED_VALUE"""),12.854849)</f>
        <v>12.854849</v>
      </c>
      <c r="E15920" s="4">
        <f>IFERROR(__xludf.DUMMYFUNCTION("""COMPUTED_VALUE"""),80.068446)</f>
        <v>80.068446</v>
      </c>
      <c r="F15920" s="4">
        <f>IFERROR(__xludf.DUMMYFUNCTION("""COMPUTED_VALUE"""),2846.0)</f>
        <v>2846</v>
      </c>
      <c r="G15920" s="4">
        <f>IFERROR(__xludf.DUMMYFUNCTION("""COMPUTED_VALUE"""),35.0)</f>
        <v>35</v>
      </c>
      <c r="H15920" s="4"/>
      <c r="I15920" s="4"/>
    </row>
    <row r="15921">
      <c r="A15921" s="4" t="str">
        <f>IFERROR(__xludf.DUMMYFUNCTION("""COMPUTED_VALUE"""),"cas_hmw")</f>
        <v>cas_hmw</v>
      </c>
      <c r="B15921" s="5">
        <f>IFERROR(__xludf.DUMMYFUNCTION("""COMPUTED_VALUE"""),44732.0)</f>
        <v>44732</v>
      </c>
      <c r="C15921" s="6">
        <f>IFERROR(__xludf.DUMMYFUNCTION("""COMPUTED_VALUE"""),0.7821643518509518)</f>
        <v>0.7821643519</v>
      </c>
      <c r="D15921" s="4">
        <f>IFERROR(__xludf.DUMMYFUNCTION("""COMPUTED_VALUE"""),12.845667)</f>
        <v>12.845667</v>
      </c>
      <c r="E15921" s="4">
        <f>IFERROR(__xludf.DUMMYFUNCTION("""COMPUTED_VALUE"""),80.061618)</f>
        <v>80.061618</v>
      </c>
      <c r="F15921" s="4">
        <f>IFERROR(__xludf.DUMMYFUNCTION("""COMPUTED_VALUE"""),2846.0)</f>
        <v>2846</v>
      </c>
      <c r="G15921" s="4">
        <f>IFERROR(__xludf.DUMMYFUNCTION("""COMPUTED_VALUE"""),30.0)</f>
        <v>30</v>
      </c>
      <c r="H15921" s="4"/>
      <c r="I15921" s="4"/>
    </row>
    <row r="15922">
      <c r="A15922" s="4" t="str">
        <f>IFERROR(__xludf.DUMMYFUNCTION("""COMPUTED_VALUE"""),"cas_hmw")</f>
        <v>cas_hmw</v>
      </c>
      <c r="B15922" s="5">
        <f>IFERROR(__xludf.DUMMYFUNCTION("""COMPUTED_VALUE"""),44732.0)</f>
        <v>44732</v>
      </c>
      <c r="C15922" s="6">
        <f>IFERROR(__xludf.DUMMYFUNCTION("""COMPUTED_VALUE"""),0.7856944444429246)</f>
        <v>0.7856944444</v>
      </c>
      <c r="D15922" s="4">
        <f>IFERROR(__xludf.DUMMYFUNCTION("""COMPUTED_VALUE"""),12.8309)</f>
        <v>12.8309</v>
      </c>
      <c r="E15922" s="4">
        <f>IFERROR(__xludf.DUMMYFUNCTION("""COMPUTED_VALUE"""),80.04618)</f>
        <v>80.04618</v>
      </c>
      <c r="F15922" s="4">
        <f>IFERROR(__xludf.DUMMYFUNCTION("""COMPUTED_VALUE"""),2846.0)</f>
        <v>2846</v>
      </c>
      <c r="G15922" s="4">
        <f>IFERROR(__xludf.DUMMYFUNCTION("""COMPUTED_VALUE"""),13.0)</f>
        <v>13</v>
      </c>
      <c r="H15922" s="4"/>
      <c r="I15922" s="4"/>
    </row>
    <row r="15923">
      <c r="A15923" s="4" t="str">
        <f>IFERROR(__xludf.DUMMYFUNCTION("""COMPUTED_VALUE"""),"cas_hmw")</f>
        <v>cas_hmw</v>
      </c>
      <c r="B15923" s="5">
        <f>IFERROR(__xludf.DUMMYFUNCTION("""COMPUTED_VALUE"""),44732.0)</f>
        <v>44732</v>
      </c>
      <c r="C15923" s="6">
        <f>IFERROR(__xludf.DUMMYFUNCTION("""COMPUTED_VALUE"""),0.786724537036207)</f>
        <v>0.786724537</v>
      </c>
      <c r="D15923" s="4">
        <f>IFERROR(__xludf.DUMMYFUNCTION("""COMPUTED_VALUE"""),12.822284)</f>
        <v>12.822284</v>
      </c>
      <c r="E15923" s="4">
        <f>IFERROR(__xludf.DUMMYFUNCTION("""COMPUTED_VALUE"""),80.038458)</f>
        <v>80.038458</v>
      </c>
      <c r="F15923" s="4">
        <f>IFERROR(__xludf.DUMMYFUNCTION("""COMPUTED_VALUE"""),2846.0)</f>
        <v>2846</v>
      </c>
      <c r="G15923" s="4">
        <f>IFERROR(__xludf.DUMMYFUNCTION("""COMPUTED_VALUE"""),41.0)</f>
        <v>41</v>
      </c>
      <c r="H15923" s="4"/>
      <c r="I15923" s="4"/>
    </row>
    <row r="15924">
      <c r="A15924" s="4" t="str">
        <f>IFERROR(__xludf.DUMMYFUNCTION("""COMPUTED_VALUE"""),"cas_hmw")</f>
        <v>cas_hmw</v>
      </c>
      <c r="B15924" s="5">
        <f>IFERROR(__xludf.DUMMYFUNCTION("""COMPUTED_VALUE"""),44732.0)</f>
        <v>44732</v>
      </c>
      <c r="C15924" s="6">
        <f>IFERROR(__xludf.DUMMYFUNCTION("""COMPUTED_VALUE"""),0.7871180555557657)</f>
        <v>0.7871180556</v>
      </c>
      <c r="D15924" s="4">
        <f>IFERROR(__xludf.DUMMYFUNCTION("""COMPUTED_VALUE"""),12.820583)</f>
        <v>12.820583</v>
      </c>
      <c r="E15924" s="4">
        <f>IFERROR(__xludf.DUMMYFUNCTION("""COMPUTED_VALUE"""),80.03721)</f>
        <v>80.03721</v>
      </c>
      <c r="F15924" s="4">
        <f>IFERROR(__xludf.DUMMYFUNCTION("""COMPUTED_VALUE"""),2846.0)</f>
        <v>2846</v>
      </c>
      <c r="G15924" s="4">
        <f>IFERROR(__xludf.DUMMYFUNCTION("""COMPUTED_VALUE"""),45.0)</f>
        <v>45</v>
      </c>
      <c r="H15924" s="4"/>
      <c r="I15924" s="4"/>
    </row>
    <row r="15925">
      <c r="A15925" s="4" t="str">
        <f>IFERROR(__xludf.DUMMYFUNCTION("""COMPUTED_VALUE"""),"cas_hmw")</f>
        <v>cas_hmw</v>
      </c>
      <c r="B15925" s="5">
        <f>IFERROR(__xludf.DUMMYFUNCTION("""COMPUTED_VALUE"""),44732.0)</f>
        <v>44732</v>
      </c>
      <c r="C15925" s="6">
        <f>IFERROR(__xludf.DUMMYFUNCTION("""COMPUTED_VALUE"""),0.7934143518505152)</f>
        <v>0.7934143519</v>
      </c>
      <c r="D15925" s="4">
        <f>IFERROR(__xludf.DUMMYFUNCTION("""COMPUTED_VALUE"""),12.768146)</f>
        <v>12.768146</v>
      </c>
      <c r="E15925" s="4">
        <f>IFERROR(__xludf.DUMMYFUNCTION("""COMPUTED_VALUE"""),80.006377)</f>
        <v>80.006377</v>
      </c>
      <c r="F15925" s="4">
        <f>IFERROR(__xludf.DUMMYFUNCTION("""COMPUTED_VALUE"""),2846.0)</f>
        <v>2846</v>
      </c>
      <c r="G15925" s="4">
        <f>IFERROR(__xludf.DUMMYFUNCTION("""COMPUTED_VALUE"""),58.0)</f>
        <v>58</v>
      </c>
      <c r="H15925" s="4"/>
      <c r="I15925" s="4"/>
    </row>
    <row r="15926">
      <c r="A15926" s="4" t="str">
        <f>IFERROR(__xludf.DUMMYFUNCTION("""COMPUTED_VALUE"""),"cas_hmw")</f>
        <v>cas_hmw</v>
      </c>
      <c r="B15926" s="5">
        <f>IFERROR(__xludf.DUMMYFUNCTION("""COMPUTED_VALUE"""),44732.0)</f>
        <v>44732</v>
      </c>
      <c r="C15926" s="6">
        <f>IFERROR(__xludf.DUMMYFUNCTION("""COMPUTED_VALUE"""),0.7977430555547471)</f>
        <v>0.7977430556</v>
      </c>
      <c r="D15926" s="4">
        <f>IFERROR(__xludf.DUMMYFUNCTION("""COMPUTED_VALUE"""),12.742923)</f>
        <v>12.742923</v>
      </c>
      <c r="E15926" s="4">
        <f>IFERROR(__xludf.DUMMYFUNCTION("""COMPUTED_VALUE"""),79.992363)</f>
        <v>79.992363</v>
      </c>
      <c r="F15926" s="4">
        <f>IFERROR(__xludf.DUMMYFUNCTION("""COMPUTED_VALUE"""),2846.0)</f>
        <v>2846</v>
      </c>
      <c r="G15926" s="4">
        <f>IFERROR(__xludf.DUMMYFUNCTION("""COMPUTED_VALUE"""),0.0)</f>
        <v>0</v>
      </c>
      <c r="H15926" s="4"/>
      <c r="I15926" s="4"/>
    </row>
    <row r="15927">
      <c r="A15927" s="4" t="str">
        <f>IFERROR(__xludf.DUMMYFUNCTION("""COMPUTED_VALUE"""),"cas_hmw")</f>
        <v>cas_hmw</v>
      </c>
      <c r="B15927" s="5">
        <f>IFERROR(__xludf.DUMMYFUNCTION("""COMPUTED_VALUE"""),44732.0)</f>
        <v>44732</v>
      </c>
      <c r="C15927" s="6">
        <f>IFERROR(__xludf.DUMMYFUNCTION("""COMPUTED_VALUE"""),0.7998263888875954)</f>
        <v>0.7998263889</v>
      </c>
      <c r="D15927" s="4">
        <f>IFERROR(__xludf.DUMMYFUNCTION("""COMPUTED_VALUE"""),12.724152)</f>
        <v>12.724152</v>
      </c>
      <c r="E15927" s="4">
        <f>IFERROR(__xludf.DUMMYFUNCTION("""COMPUTED_VALUE"""),79.982052)</f>
        <v>79.982052</v>
      </c>
      <c r="F15927" s="4">
        <f>IFERROR(__xludf.DUMMYFUNCTION("""COMPUTED_VALUE"""),2846.0)</f>
        <v>2846</v>
      </c>
      <c r="G15927" s="4">
        <f>IFERROR(__xludf.DUMMYFUNCTION("""COMPUTED_VALUE"""),10.0)</f>
        <v>10</v>
      </c>
      <c r="H15927" s="4"/>
      <c r="I15927" s="4"/>
    </row>
    <row r="15928">
      <c r="A15928" s="4" t="str">
        <f>IFERROR(__xludf.DUMMYFUNCTION("""COMPUTED_VALUE"""),"cas_hmw")</f>
        <v>cas_hmw</v>
      </c>
      <c r="B15928" s="5">
        <f>IFERROR(__xludf.DUMMYFUNCTION("""COMPUTED_VALUE"""),44732.0)</f>
        <v>44732</v>
      </c>
      <c r="C15928" s="6">
        <f>IFERROR(__xludf.DUMMYFUNCTION("""COMPUTED_VALUE"""),0.8000347222223354)</f>
        <v>0.8000347222</v>
      </c>
      <c r="D15928" s="4">
        <f>IFERROR(__xludf.DUMMYFUNCTION("""COMPUTED_VALUE"""),12.723764)</f>
        <v>12.723764</v>
      </c>
      <c r="E15928" s="4">
        <f>IFERROR(__xludf.DUMMYFUNCTION("""COMPUTED_VALUE"""),79.981936)</f>
        <v>79.981936</v>
      </c>
      <c r="F15928" s="4">
        <f>IFERROR(__xludf.DUMMYFUNCTION("""COMPUTED_VALUE"""),2846.0)</f>
        <v>2846</v>
      </c>
      <c r="G15928" s="4">
        <f>IFERROR(__xludf.DUMMYFUNCTION("""COMPUTED_VALUE"""),24.0)</f>
        <v>24</v>
      </c>
      <c r="H15928" s="4"/>
      <c r="I15928" s="4"/>
    </row>
    <row r="15929">
      <c r="A15929" s="4" t="str">
        <f>IFERROR(__xludf.DUMMYFUNCTION("""COMPUTED_VALUE"""),"cas_hmw")</f>
        <v>cas_hmw</v>
      </c>
      <c r="B15929" s="5">
        <f>IFERROR(__xludf.DUMMYFUNCTION("""COMPUTED_VALUE"""),44732.0)</f>
        <v>44732</v>
      </c>
      <c r="C15929" s="6">
        <f>IFERROR(__xludf.DUMMYFUNCTION("""COMPUTED_VALUE"""),0.8159143518532801)</f>
        <v>0.8159143519</v>
      </c>
      <c r="D15929" s="4">
        <f>IFERROR(__xludf.DUMMYFUNCTION("""COMPUTED_VALUE"""),12.649684)</f>
        <v>12.649684</v>
      </c>
      <c r="E15929" s="4">
        <f>IFERROR(__xludf.DUMMYFUNCTION("""COMPUTED_VALUE"""),79.941331)</f>
        <v>79.941331</v>
      </c>
      <c r="F15929" s="4">
        <f>IFERROR(__xludf.DUMMYFUNCTION("""COMPUTED_VALUE"""),2846.0)</f>
        <v>2846</v>
      </c>
      <c r="G15929" s="4">
        <f>IFERROR(__xludf.DUMMYFUNCTION("""COMPUTED_VALUE"""),49.0)</f>
        <v>49</v>
      </c>
      <c r="H15929" s="4"/>
      <c r="I15929" s="4"/>
    </row>
    <row r="15930">
      <c r="A15930" s="4" t="str">
        <f>IFERROR(__xludf.DUMMYFUNCTION("""COMPUTED_VALUE"""),"cas_hmw")</f>
        <v>cas_hmw</v>
      </c>
      <c r="B15930" s="5">
        <f>IFERROR(__xludf.DUMMYFUNCTION("""COMPUTED_VALUE"""),44732.0)</f>
        <v>44732</v>
      </c>
      <c r="C15930" s="6">
        <f>IFERROR(__xludf.DUMMYFUNCTION("""COMPUTED_VALUE"""),0.8169675925928459)</f>
        <v>0.8169675926</v>
      </c>
      <c r="D15930" s="4">
        <f>IFERROR(__xludf.DUMMYFUNCTION("""COMPUTED_VALUE"""),12.640447)</f>
        <v>12.640447</v>
      </c>
      <c r="E15930" s="4">
        <f>IFERROR(__xludf.DUMMYFUNCTION("""COMPUTED_VALUE"""),79.936718)</f>
        <v>79.936718</v>
      </c>
      <c r="F15930" s="4">
        <f>IFERROR(__xludf.DUMMYFUNCTION("""COMPUTED_VALUE"""),2846.0)</f>
        <v>2846</v>
      </c>
      <c r="G15930" s="4">
        <f>IFERROR(__xludf.DUMMYFUNCTION("""COMPUTED_VALUE"""),44.0)</f>
        <v>44</v>
      </c>
      <c r="H15930" s="4"/>
      <c r="I15930" s="4"/>
    </row>
    <row r="15931">
      <c r="A15931" s="4" t="str">
        <f>IFERROR(__xludf.DUMMYFUNCTION("""COMPUTED_VALUE"""),"cas_hmw")</f>
        <v>cas_hmw</v>
      </c>
      <c r="B15931" s="5">
        <f>IFERROR(__xludf.DUMMYFUNCTION("""COMPUTED_VALUE"""),44732.0)</f>
        <v>44732</v>
      </c>
      <c r="C15931" s="6">
        <f>IFERROR(__xludf.DUMMYFUNCTION("""COMPUTED_VALUE"""),0.8170949074083182)</f>
        <v>0.8170949074</v>
      </c>
      <c r="D15931" s="4">
        <f>IFERROR(__xludf.DUMMYFUNCTION("""COMPUTED_VALUE"""),12.640447)</f>
        <v>12.640447</v>
      </c>
      <c r="E15931" s="4">
        <f>IFERROR(__xludf.DUMMYFUNCTION("""COMPUTED_VALUE"""),79.936718)</f>
        <v>79.936718</v>
      </c>
      <c r="F15931" s="4">
        <f>IFERROR(__xludf.DUMMYFUNCTION("""COMPUTED_VALUE"""),2846.0)</f>
        <v>2846</v>
      </c>
      <c r="G15931" s="4">
        <f>IFERROR(__xludf.DUMMYFUNCTION("""COMPUTED_VALUE"""),44.0)</f>
        <v>44</v>
      </c>
      <c r="H15931" s="4"/>
      <c r="I15931" s="4"/>
    </row>
    <row r="15932">
      <c r="A15932" s="4" t="str">
        <f>IFERROR(__xludf.DUMMYFUNCTION("""COMPUTED_VALUE"""),"cas_hmw")</f>
        <v>cas_hmw</v>
      </c>
      <c r="B15932" s="5">
        <f>IFERROR(__xludf.DUMMYFUNCTION("""COMPUTED_VALUE"""),44732.0)</f>
        <v>44732</v>
      </c>
      <c r="C15932" s="6">
        <f>IFERROR(__xludf.DUMMYFUNCTION("""COMPUTED_VALUE"""),0.8247685185197042)</f>
        <v>0.8247685185</v>
      </c>
      <c r="D15932" s="4">
        <f>IFERROR(__xludf.DUMMYFUNCTION("""COMPUTED_VALUE"""),12.56235)</f>
        <v>12.56235</v>
      </c>
      <c r="E15932" s="4">
        <f>IFERROR(__xludf.DUMMYFUNCTION("""COMPUTED_VALUE"""),79.912694)</f>
        <v>79.912694</v>
      </c>
      <c r="F15932" s="4">
        <f>IFERROR(__xludf.DUMMYFUNCTION("""COMPUTED_VALUE"""),2846.0)</f>
        <v>2846</v>
      </c>
      <c r="G15932" s="4">
        <f>IFERROR(__xludf.DUMMYFUNCTION("""COMPUTED_VALUE"""),45.0)</f>
        <v>45</v>
      </c>
      <c r="H15932" s="4"/>
      <c r="I15932" s="4"/>
    </row>
    <row r="15933">
      <c r="A15933" s="4" t="str">
        <f>IFERROR(__xludf.DUMMYFUNCTION("""COMPUTED_VALUE"""),"cas_hmw")</f>
        <v>cas_hmw</v>
      </c>
      <c r="B15933" s="5">
        <f>IFERROR(__xludf.DUMMYFUNCTION("""COMPUTED_VALUE"""),44732.0)</f>
        <v>44732</v>
      </c>
      <c r="C15933" s="6">
        <f>IFERROR(__xludf.DUMMYFUNCTION("""COMPUTED_VALUE"""),0.8251388888893416)</f>
        <v>0.8251388889</v>
      </c>
      <c r="D15933" s="4">
        <f>IFERROR(__xludf.DUMMYFUNCTION("""COMPUTED_VALUE"""),12.556401)</f>
        <v>12.556401</v>
      </c>
      <c r="E15933" s="4">
        <f>IFERROR(__xludf.DUMMYFUNCTION("""COMPUTED_VALUE"""),79.909247)</f>
        <v>79.909247</v>
      </c>
      <c r="F15933" s="4">
        <f>IFERROR(__xludf.DUMMYFUNCTION("""COMPUTED_VALUE"""),2846.0)</f>
        <v>2846</v>
      </c>
      <c r="G15933" s="4">
        <f>IFERROR(__xludf.DUMMYFUNCTION("""COMPUTED_VALUE"""),25.0)</f>
        <v>25</v>
      </c>
      <c r="H15933" s="4"/>
      <c r="I15933" s="4"/>
    </row>
    <row r="15934">
      <c r="A15934" s="4" t="str">
        <f>IFERROR(__xludf.DUMMYFUNCTION("""COMPUTED_VALUE"""),"cas_hmw")</f>
        <v>cas_hmw</v>
      </c>
      <c r="B15934" s="5">
        <f>IFERROR(__xludf.DUMMYFUNCTION("""COMPUTED_VALUE"""),44732.0)</f>
        <v>44732</v>
      </c>
      <c r="C15934" s="6">
        <f>IFERROR(__xludf.DUMMYFUNCTION("""COMPUTED_VALUE"""),0.8278240740728506)</f>
        <v>0.8278240741</v>
      </c>
      <c r="D15934" s="4">
        <f>IFERROR(__xludf.DUMMYFUNCTION("""COMPUTED_VALUE"""),12.531684)</f>
        <v>12.531684</v>
      </c>
      <c r="E15934" s="4">
        <f>IFERROR(__xludf.DUMMYFUNCTION("""COMPUTED_VALUE"""),79.900428)</f>
        <v>79.900428</v>
      </c>
      <c r="F15934" s="4">
        <f>IFERROR(__xludf.DUMMYFUNCTION("""COMPUTED_VALUE"""),2846.0)</f>
        <v>2846</v>
      </c>
      <c r="G15934" s="4">
        <f>IFERROR(__xludf.DUMMYFUNCTION("""COMPUTED_VALUE"""),34.0)</f>
        <v>34</v>
      </c>
      <c r="H15934" s="4"/>
      <c r="I15934" s="4"/>
    </row>
    <row r="15935">
      <c r="A15935" s="4" t="str">
        <f>IFERROR(__xludf.DUMMYFUNCTION("""COMPUTED_VALUE"""),"cas_hmw")</f>
        <v>cas_hmw</v>
      </c>
      <c r="B15935" s="5">
        <f>IFERROR(__xludf.DUMMYFUNCTION("""COMPUTED_VALUE"""),44732.0)</f>
        <v>44732</v>
      </c>
      <c r="C15935" s="6">
        <f>IFERROR(__xludf.DUMMYFUNCTION("""COMPUTED_VALUE"""),0.8505092592604342)</f>
        <v>0.8505092593</v>
      </c>
      <c r="D15935" s="4">
        <f>IFERROR(__xludf.DUMMYFUNCTION("""COMPUTED_VALUE"""),12.629944)</f>
        <v>12.629944</v>
      </c>
      <c r="E15935" s="4">
        <f>IFERROR(__xludf.DUMMYFUNCTION("""COMPUTED_VALUE"""),79.931031)</f>
        <v>79.931031</v>
      </c>
      <c r="F15935" s="4">
        <f>IFERROR(__xludf.DUMMYFUNCTION("""COMPUTED_VALUE"""),2846.0)</f>
        <v>2846</v>
      </c>
      <c r="G15935" s="4">
        <f>IFERROR(__xludf.DUMMYFUNCTION("""COMPUTED_VALUE"""),24.0)</f>
        <v>24</v>
      </c>
      <c r="H15935" s="4"/>
      <c r="I15935" s="4"/>
    </row>
    <row r="15936">
      <c r="A15936" s="4" t="str">
        <f>IFERROR(__xludf.DUMMYFUNCTION("""COMPUTED_VALUE"""),"cas_hmw")</f>
        <v>cas_hmw</v>
      </c>
      <c r="B15936" s="5">
        <f>IFERROR(__xludf.DUMMYFUNCTION("""COMPUTED_VALUE"""),44732.0)</f>
        <v>44732</v>
      </c>
      <c r="C15936" s="6">
        <f>IFERROR(__xludf.DUMMYFUNCTION("""COMPUTED_VALUE"""),0.854247685183509)</f>
        <v>0.8542476852</v>
      </c>
      <c r="D15936" s="4">
        <f>IFERROR(__xludf.DUMMYFUNCTION("""COMPUTED_VALUE"""),12.656279)</f>
        <v>12.656279</v>
      </c>
      <c r="E15936" s="4">
        <f>IFERROR(__xludf.DUMMYFUNCTION("""COMPUTED_VALUE"""),79.951135)</f>
        <v>79.951135</v>
      </c>
      <c r="F15936" s="4">
        <f>IFERROR(__xludf.DUMMYFUNCTION("""COMPUTED_VALUE"""),2846.0)</f>
        <v>2846</v>
      </c>
      <c r="G15936" s="4">
        <f>IFERROR(__xludf.DUMMYFUNCTION("""COMPUTED_VALUE"""),42.0)</f>
        <v>42</v>
      </c>
      <c r="H15936" s="4"/>
      <c r="I15936" s="4"/>
    </row>
    <row r="15937">
      <c r="A15937" s="4" t="str">
        <f>IFERROR(__xludf.DUMMYFUNCTION("""COMPUTED_VALUE"""),"cas_hmw")</f>
        <v>cas_hmw</v>
      </c>
      <c r="B15937" s="5">
        <f>IFERROR(__xludf.DUMMYFUNCTION("""COMPUTED_VALUE"""),44732.0)</f>
        <v>44732</v>
      </c>
      <c r="C15937" s="6">
        <f>IFERROR(__xludf.DUMMYFUNCTION("""COMPUTED_VALUE"""),0.8544444444451074)</f>
        <v>0.8544444444</v>
      </c>
      <c r="D15937" s="4">
        <f>IFERROR(__xludf.DUMMYFUNCTION("""COMPUTED_VALUE"""),12.655913)</f>
        <v>12.655913</v>
      </c>
      <c r="E15937" s="4">
        <f>IFERROR(__xludf.DUMMYFUNCTION("""COMPUTED_VALUE"""),79.953012)</f>
        <v>79.953012</v>
      </c>
      <c r="F15937" s="4">
        <f>IFERROR(__xludf.DUMMYFUNCTION("""COMPUTED_VALUE"""),2846.0)</f>
        <v>2846</v>
      </c>
      <c r="G15937" s="4">
        <f>IFERROR(__xludf.DUMMYFUNCTION("""COMPUTED_VALUE"""),51.0)</f>
        <v>51</v>
      </c>
      <c r="H15937" s="4"/>
      <c r="I15937" s="4"/>
    </row>
    <row r="15938">
      <c r="A15938" s="4" t="str">
        <f>IFERROR(__xludf.DUMMYFUNCTION("""COMPUTED_VALUE"""),"cas_hmw")</f>
        <v>cas_hmw</v>
      </c>
      <c r="B15938" s="5">
        <f>IFERROR(__xludf.DUMMYFUNCTION("""COMPUTED_VALUE"""),44732.0)</f>
        <v>44732</v>
      </c>
      <c r="C15938" s="6">
        <f>IFERROR(__xludf.DUMMYFUNCTION("""COMPUTED_VALUE"""),0.8545023148144537)</f>
        <v>0.8545023148</v>
      </c>
      <c r="D15938" s="4">
        <f>IFERROR(__xludf.DUMMYFUNCTION("""COMPUTED_VALUE"""),12.655913)</f>
        <v>12.655913</v>
      </c>
      <c r="E15938" s="4">
        <f>IFERROR(__xludf.DUMMYFUNCTION("""COMPUTED_VALUE"""),79.953012)</f>
        <v>79.953012</v>
      </c>
      <c r="F15938" s="4">
        <f>IFERROR(__xludf.DUMMYFUNCTION("""COMPUTED_VALUE"""),2846.0)</f>
        <v>2846</v>
      </c>
      <c r="G15938" s="4">
        <f>IFERROR(__xludf.DUMMYFUNCTION("""COMPUTED_VALUE"""),51.0)</f>
        <v>51</v>
      </c>
      <c r="H15938" s="4"/>
      <c r="I15938" s="4"/>
    </row>
    <row r="15939">
      <c r="A15939" s="4" t="str">
        <f>IFERROR(__xludf.DUMMYFUNCTION("""COMPUTED_VALUE"""),"cas_hmw")</f>
        <v>cas_hmw</v>
      </c>
      <c r="B15939" s="5">
        <f>IFERROR(__xludf.DUMMYFUNCTION("""COMPUTED_VALUE"""),44732.0)</f>
        <v>44732</v>
      </c>
      <c r="C15939" s="6">
        <f>IFERROR(__xludf.DUMMYFUNCTION("""COMPUTED_VALUE"""),0.8597569444427791)</f>
        <v>0.8597569444</v>
      </c>
      <c r="D15939" s="4">
        <f>IFERROR(__xludf.DUMMYFUNCTION("""COMPUTED_VALUE"""),12.708004)</f>
        <v>12.708004</v>
      </c>
      <c r="E15939" s="4">
        <f>IFERROR(__xludf.DUMMYFUNCTION("""COMPUTED_VALUE"""),79.976689)</f>
        <v>79.976689</v>
      </c>
      <c r="F15939" s="4">
        <f>IFERROR(__xludf.DUMMYFUNCTION("""COMPUTED_VALUE"""),2846.0)</f>
        <v>2846</v>
      </c>
      <c r="G15939" s="4">
        <f>IFERROR(__xludf.DUMMYFUNCTION("""COMPUTED_VALUE"""),57.0)</f>
        <v>57</v>
      </c>
      <c r="H15939" s="4"/>
      <c r="I15939" s="4"/>
    </row>
    <row r="15940">
      <c r="A15940" s="4" t="str">
        <f>IFERROR(__xludf.DUMMYFUNCTION("""COMPUTED_VALUE"""),"cas_hmw")</f>
        <v>cas_hmw</v>
      </c>
      <c r="B15940" s="5">
        <f>IFERROR(__xludf.DUMMYFUNCTION("""COMPUTED_VALUE"""),44732.0)</f>
        <v>44732</v>
      </c>
      <c r="C15940" s="6">
        <f>IFERROR(__xludf.DUMMYFUNCTION("""COMPUTED_VALUE"""),0.8600000000005821)</f>
        <v>0.86</v>
      </c>
      <c r="D15940" s="4">
        <f>IFERROR(__xludf.DUMMYFUNCTION("""COMPUTED_VALUE"""),12.709602)</f>
        <v>12.709602</v>
      </c>
      <c r="E15940" s="4">
        <f>IFERROR(__xludf.DUMMYFUNCTION("""COMPUTED_VALUE"""),79.97762)</f>
        <v>79.97762</v>
      </c>
      <c r="F15940" s="4">
        <f>IFERROR(__xludf.DUMMYFUNCTION("""COMPUTED_VALUE"""),2846.0)</f>
        <v>2846</v>
      </c>
      <c r="G15940" s="4">
        <f>IFERROR(__xludf.DUMMYFUNCTION("""COMPUTED_VALUE"""),41.0)</f>
        <v>41</v>
      </c>
      <c r="H15940" s="4"/>
      <c r="I15940" s="4"/>
    </row>
    <row r="15941">
      <c r="A15941" s="4" t="str">
        <f>IFERROR(__xludf.DUMMYFUNCTION("""COMPUTED_VALUE"""),"cas_hmw")</f>
        <v>cas_hmw</v>
      </c>
      <c r="B15941" s="5">
        <f>IFERROR(__xludf.DUMMYFUNCTION("""COMPUTED_VALUE"""),44732.0)</f>
        <v>44732</v>
      </c>
      <c r="C15941" s="6">
        <f>IFERROR(__xludf.DUMMYFUNCTION("""COMPUTED_VALUE"""),0.8665972222224809)</f>
        <v>0.8665972222</v>
      </c>
      <c r="D15941" s="4">
        <f>IFERROR(__xludf.DUMMYFUNCTION("""COMPUTED_VALUE"""),12.762531)</f>
        <v>12.762531</v>
      </c>
      <c r="E15941" s="4">
        <f>IFERROR(__xludf.DUMMYFUNCTION("""COMPUTED_VALUE"""),80.003835)</f>
        <v>80.003835</v>
      </c>
      <c r="F15941" s="4">
        <f>IFERROR(__xludf.DUMMYFUNCTION("""COMPUTED_VALUE"""),2846.0)</f>
        <v>2846</v>
      </c>
      <c r="G15941" s="4">
        <f>IFERROR(__xludf.DUMMYFUNCTION("""COMPUTED_VALUE"""),0.0)</f>
        <v>0</v>
      </c>
      <c r="H15941" s="4"/>
      <c r="I15941" s="4"/>
    </row>
    <row r="15942">
      <c r="A15942" s="4" t="str">
        <f>IFERROR(__xludf.DUMMYFUNCTION("""COMPUTED_VALUE"""),"cas_hmw")</f>
        <v>cas_hmw</v>
      </c>
      <c r="B15942" s="5">
        <f>IFERROR(__xludf.DUMMYFUNCTION("""COMPUTED_VALUE"""),44732.0)</f>
        <v>44732</v>
      </c>
      <c r="C15942" s="6">
        <f>IFERROR(__xludf.DUMMYFUNCTION("""COMPUTED_VALUE"""),0.8668287037035043)</f>
        <v>0.8668287037</v>
      </c>
      <c r="D15942" s="4">
        <f>IFERROR(__xludf.DUMMYFUNCTION("""COMPUTED_VALUE"""),12.762531)</f>
        <v>12.762531</v>
      </c>
      <c r="E15942" s="4">
        <f>IFERROR(__xludf.DUMMYFUNCTION("""COMPUTED_VALUE"""),80.003835)</f>
        <v>80.003835</v>
      </c>
      <c r="F15942" s="4">
        <f>IFERROR(__xludf.DUMMYFUNCTION("""COMPUTED_VALUE"""),2846.0)</f>
        <v>2846</v>
      </c>
      <c r="G15942" s="4">
        <f>IFERROR(__xludf.DUMMYFUNCTION("""COMPUTED_VALUE"""),0.0)</f>
        <v>0</v>
      </c>
      <c r="H15942" s="4"/>
      <c r="I15942" s="4"/>
    </row>
    <row r="15943">
      <c r="A15943" s="4" t="str">
        <f>IFERROR(__xludf.DUMMYFUNCTION("""COMPUTED_VALUE"""),"cas_hmw")</f>
        <v>cas_hmw</v>
      </c>
      <c r="B15943" s="5">
        <f>IFERROR(__xludf.DUMMYFUNCTION("""COMPUTED_VALUE"""),44732.0)</f>
        <v>44732</v>
      </c>
      <c r="C15943" s="6">
        <f>IFERROR(__xludf.DUMMYFUNCTION("""COMPUTED_VALUE"""),0.8712500000001455)</f>
        <v>0.87125</v>
      </c>
      <c r="D15943" s="4">
        <f>IFERROR(__xludf.DUMMYFUNCTION("""COMPUTED_VALUE"""),12.801276)</f>
        <v>12.801276</v>
      </c>
      <c r="E15943" s="4">
        <f>IFERROR(__xludf.DUMMYFUNCTION("""COMPUTED_VALUE"""),80.024157)</f>
        <v>80.024157</v>
      </c>
      <c r="F15943" s="4">
        <f>IFERROR(__xludf.DUMMYFUNCTION("""COMPUTED_VALUE"""),2846.0)</f>
        <v>2846</v>
      </c>
      <c r="G15943" s="4">
        <f>IFERROR(__xludf.DUMMYFUNCTION("""COMPUTED_VALUE"""),58.0)</f>
        <v>58</v>
      </c>
      <c r="H15943" s="4"/>
      <c r="I15943" s="4"/>
    </row>
    <row r="15944">
      <c r="A15944" s="4" t="str">
        <f>IFERROR(__xludf.DUMMYFUNCTION("""COMPUTED_VALUE"""),"cas_hmw")</f>
        <v>cas_hmw</v>
      </c>
      <c r="B15944" s="5">
        <f>IFERROR(__xludf.DUMMYFUNCTION("""COMPUTED_VALUE"""),44732.0)</f>
        <v>44732</v>
      </c>
      <c r="C15944" s="6">
        <f>IFERROR(__xludf.DUMMYFUNCTION("""COMPUTED_VALUE"""),0.87269675925927)</f>
        <v>0.8726967593</v>
      </c>
      <c r="D15944" s="4">
        <f>IFERROR(__xludf.DUMMYFUNCTION("""COMPUTED_VALUE"""),12.816329)</f>
        <v>12.816329</v>
      </c>
      <c r="E15944" s="4">
        <f>IFERROR(__xludf.DUMMYFUNCTION("""COMPUTED_VALUE"""),80.034031)</f>
        <v>80.034031</v>
      </c>
      <c r="F15944" s="4">
        <f>IFERROR(__xludf.DUMMYFUNCTION("""COMPUTED_VALUE"""),2846.0)</f>
        <v>2846</v>
      </c>
      <c r="G15944" s="4">
        <f>IFERROR(__xludf.DUMMYFUNCTION("""COMPUTED_VALUE"""),57.0)</f>
        <v>57</v>
      </c>
      <c r="H15944" s="4"/>
      <c r="I15944" s="4"/>
    </row>
    <row r="15945">
      <c r="A15945" s="4" t="str">
        <f>IFERROR(__xludf.DUMMYFUNCTION("""COMPUTED_VALUE"""),"cas_hmw")</f>
        <v>cas_hmw</v>
      </c>
      <c r="B15945" s="5">
        <f>IFERROR(__xludf.DUMMYFUNCTION("""COMPUTED_VALUE"""),44732.0)</f>
        <v>44732</v>
      </c>
      <c r="C15945" s="6">
        <f>IFERROR(__xludf.DUMMYFUNCTION("""COMPUTED_VALUE"""),0.8744328703687643)</f>
        <v>0.8744328704</v>
      </c>
      <c r="D15945" s="4">
        <f>IFERROR(__xludf.DUMMYFUNCTION("""COMPUTED_VALUE"""),12.831588)</f>
        <v>12.831588</v>
      </c>
      <c r="E15945" s="4">
        <f>IFERROR(__xludf.DUMMYFUNCTION("""COMPUTED_VALUE"""),80.046646)</f>
        <v>80.046646</v>
      </c>
      <c r="F15945" s="4">
        <f>IFERROR(__xludf.DUMMYFUNCTION("""COMPUTED_VALUE"""),2846.0)</f>
        <v>2846</v>
      </c>
      <c r="G15945" s="4">
        <f>IFERROR(__xludf.DUMMYFUNCTION("""COMPUTED_VALUE"""),57.0)</f>
        <v>57</v>
      </c>
      <c r="H15945" s="4"/>
      <c r="I15945" s="4"/>
    </row>
    <row r="15946">
      <c r="A15946" s="4" t="str">
        <f>IFERROR(__xludf.DUMMYFUNCTION("""COMPUTED_VALUE"""),"cas_hmw")</f>
        <v>cas_hmw</v>
      </c>
      <c r="B15946" s="5">
        <f>IFERROR(__xludf.DUMMYFUNCTION("""COMPUTED_VALUE"""),44732.0)</f>
        <v>44732</v>
      </c>
      <c r="C15946" s="6">
        <f>IFERROR(__xludf.DUMMYFUNCTION("""COMPUTED_VALUE"""),0.8765046296284709)</f>
        <v>0.8765046296</v>
      </c>
      <c r="D15946" s="4">
        <f>IFERROR(__xludf.DUMMYFUNCTION("""COMPUTED_VALUE"""),12.845935)</f>
        <v>12.845935</v>
      </c>
      <c r="E15946" s="4">
        <f>IFERROR(__xludf.DUMMYFUNCTION("""COMPUTED_VALUE"""),80.061642)</f>
        <v>80.061642</v>
      </c>
      <c r="F15946" s="4">
        <f>IFERROR(__xludf.DUMMYFUNCTION("""COMPUTED_VALUE"""),2846.0)</f>
        <v>2846</v>
      </c>
      <c r="G15946" s="4">
        <f>IFERROR(__xludf.DUMMYFUNCTION("""COMPUTED_VALUE"""),53.0)</f>
        <v>53</v>
      </c>
      <c r="H15946" s="4"/>
      <c r="I15946" s="4"/>
    </row>
    <row r="15947">
      <c r="A15947" s="4" t="str">
        <f>IFERROR(__xludf.DUMMYFUNCTION("""COMPUTED_VALUE"""),"cas_hmw")</f>
        <v>cas_hmw</v>
      </c>
      <c r="B15947" s="5">
        <f>IFERROR(__xludf.DUMMYFUNCTION("""COMPUTED_VALUE"""),44732.0)</f>
        <v>44732</v>
      </c>
      <c r="C15947" s="6">
        <f>IFERROR(__xludf.DUMMYFUNCTION("""COMPUTED_VALUE"""),0.8766898148132896)</f>
        <v>0.8766898148</v>
      </c>
      <c r="D15947" s="4">
        <f>IFERROR(__xludf.DUMMYFUNCTION("""COMPUTED_VALUE"""),12.847864)</f>
        <v>12.847864</v>
      </c>
      <c r="E15947" s="4">
        <f>IFERROR(__xludf.DUMMYFUNCTION("""COMPUTED_VALUE"""),80.063147)</f>
        <v>80.063147</v>
      </c>
      <c r="F15947" s="4">
        <f>IFERROR(__xludf.DUMMYFUNCTION("""COMPUTED_VALUE"""),2846.0)</f>
        <v>2846</v>
      </c>
      <c r="G15947" s="4">
        <f>IFERROR(__xludf.DUMMYFUNCTION("""COMPUTED_VALUE"""),60.0)</f>
        <v>60</v>
      </c>
      <c r="H15947" s="4"/>
      <c r="I15947" s="4"/>
    </row>
    <row r="15948">
      <c r="A15948" s="4" t="str">
        <f>IFERROR(__xludf.DUMMYFUNCTION("""COMPUTED_VALUE"""),"cas_hmw")</f>
        <v>cas_hmw</v>
      </c>
      <c r="B15948" s="5">
        <f>IFERROR(__xludf.DUMMYFUNCTION("""COMPUTED_VALUE"""),44732.0)</f>
        <v>44732</v>
      </c>
      <c r="C15948" s="6">
        <f>IFERROR(__xludf.DUMMYFUNCTION("""COMPUTED_VALUE"""),0.8771180555559113)</f>
        <v>0.8771180556</v>
      </c>
      <c r="D15948" s="4">
        <f>IFERROR(__xludf.DUMMYFUNCTION("""COMPUTED_VALUE"""),12.852813)</f>
        <v>12.852813</v>
      </c>
      <c r="E15948" s="4">
        <f>IFERROR(__xludf.DUMMYFUNCTION("""COMPUTED_VALUE"""),80.066732)</f>
        <v>80.066732</v>
      </c>
      <c r="F15948" s="4">
        <f>IFERROR(__xludf.DUMMYFUNCTION("""COMPUTED_VALUE"""),2846.0)</f>
        <v>2846</v>
      </c>
      <c r="G15948" s="4">
        <f>IFERROR(__xludf.DUMMYFUNCTION("""COMPUTED_VALUE"""),42.0)</f>
        <v>42</v>
      </c>
      <c r="H15948" s="4"/>
      <c r="I15948" s="4"/>
    </row>
    <row r="15949">
      <c r="A15949" s="4" t="str">
        <f>IFERROR(__xludf.DUMMYFUNCTION("""COMPUTED_VALUE"""),"cas_hmw")</f>
        <v>cas_hmw</v>
      </c>
      <c r="B15949" s="5">
        <f>IFERROR(__xludf.DUMMYFUNCTION("""COMPUTED_VALUE"""),44732.0)</f>
        <v>44732</v>
      </c>
      <c r="C15949" s="6">
        <f>IFERROR(__xludf.DUMMYFUNCTION("""COMPUTED_VALUE"""),0.8789467592578148)</f>
        <v>0.8789467593</v>
      </c>
      <c r="D15949" s="4">
        <f>IFERROR(__xludf.DUMMYFUNCTION("""COMPUTED_VALUE"""),12.865671)</f>
        <v>12.865671</v>
      </c>
      <c r="E15949" s="4">
        <f>IFERROR(__xludf.DUMMYFUNCTION("""COMPUTED_VALUE"""),80.074732)</f>
        <v>80.074732</v>
      </c>
      <c r="F15949" s="4">
        <f>IFERROR(__xludf.DUMMYFUNCTION("""COMPUTED_VALUE"""),2846.0)</f>
        <v>2846</v>
      </c>
      <c r="G15949" s="4">
        <f>IFERROR(__xludf.DUMMYFUNCTION("""COMPUTED_VALUE"""),42.0)</f>
        <v>42</v>
      </c>
      <c r="H15949" s="4"/>
      <c r="I15949" s="4"/>
    </row>
    <row r="15950">
      <c r="A15950" s="4" t="str">
        <f>IFERROR(__xludf.DUMMYFUNCTION("""COMPUTED_VALUE"""),"cas_hmw")</f>
        <v>cas_hmw</v>
      </c>
      <c r="B15950" s="5">
        <f>IFERROR(__xludf.DUMMYFUNCTION("""COMPUTED_VALUE"""),44732.0)</f>
        <v>44732</v>
      </c>
      <c r="C15950" s="6">
        <f>IFERROR(__xludf.DUMMYFUNCTION("""COMPUTED_VALUE"""),0.8790625000001455)</f>
        <v>0.8790625</v>
      </c>
      <c r="D15950" s="4">
        <f>IFERROR(__xludf.DUMMYFUNCTION("""COMPUTED_VALUE"""),12.866449)</f>
        <v>12.866449</v>
      </c>
      <c r="E15950" s="4">
        <f>IFERROR(__xludf.DUMMYFUNCTION("""COMPUTED_VALUE"""),80.074991)</f>
        <v>80.074991</v>
      </c>
      <c r="F15950" s="4">
        <f>IFERROR(__xludf.DUMMYFUNCTION("""COMPUTED_VALUE"""),2846.0)</f>
        <v>2846</v>
      </c>
      <c r="G15950" s="4">
        <f>IFERROR(__xludf.DUMMYFUNCTION("""COMPUTED_VALUE"""),15.0)</f>
        <v>15</v>
      </c>
      <c r="H15950" s="4"/>
      <c r="I15950" s="4"/>
    </row>
    <row r="15951">
      <c r="A15951" s="4" t="str">
        <f>IFERROR(__xludf.DUMMYFUNCTION("""COMPUTED_VALUE"""),"cas_hmw")</f>
        <v>cas_hmw</v>
      </c>
      <c r="B15951" s="5">
        <f>IFERROR(__xludf.DUMMYFUNCTION("""COMPUTED_VALUE"""),44733.0)</f>
        <v>44733</v>
      </c>
      <c r="C15951" s="6">
        <f>IFERROR(__xludf.DUMMYFUNCTION("""COMPUTED_VALUE"""),0.24744212962832535)</f>
        <v>0.2474421296</v>
      </c>
      <c r="D15951" s="4">
        <f>IFERROR(__xludf.DUMMYFUNCTION("""COMPUTED_VALUE"""),12.905692)</f>
        <v>12.905692</v>
      </c>
      <c r="E15951" s="4">
        <f>IFERROR(__xludf.DUMMYFUNCTION("""COMPUTED_VALUE"""),80.09556)</f>
        <v>80.09556</v>
      </c>
      <c r="F15951" s="4">
        <f>IFERROR(__xludf.DUMMYFUNCTION("""COMPUTED_VALUE"""),5339.0)</f>
        <v>5339</v>
      </c>
      <c r="G15951" s="4">
        <f>IFERROR(__xludf.DUMMYFUNCTION("""COMPUTED_VALUE"""),47.0)</f>
        <v>47</v>
      </c>
      <c r="H15951" s="4"/>
      <c r="I15951" s="4"/>
    </row>
    <row r="15952">
      <c r="A15952" s="4" t="str">
        <f>IFERROR(__xludf.DUMMYFUNCTION("""COMPUTED_VALUE"""),"cas_hmw")</f>
        <v>cas_hmw</v>
      </c>
      <c r="B15952" s="5">
        <f>IFERROR(__xludf.DUMMYFUNCTION("""COMPUTED_VALUE"""),44733.0)</f>
        <v>44733</v>
      </c>
      <c r="C15952" s="6">
        <f>IFERROR(__xludf.DUMMYFUNCTION("""COMPUTED_VALUE"""),0.24758101851693937)</f>
        <v>0.2475810185</v>
      </c>
      <c r="D15952" s="4">
        <f>IFERROR(__xludf.DUMMYFUNCTION("""COMPUTED_VALUE"""),12.906628)</f>
        <v>12.906628</v>
      </c>
      <c r="E15952" s="4">
        <f>IFERROR(__xludf.DUMMYFUNCTION("""COMPUTED_VALUE"""),80.096264)</f>
        <v>80.096264</v>
      </c>
      <c r="F15952" s="4">
        <f>IFERROR(__xludf.DUMMYFUNCTION("""COMPUTED_VALUE"""),5339.0)</f>
        <v>5339</v>
      </c>
      <c r="G15952" s="4">
        <f>IFERROR(__xludf.DUMMYFUNCTION("""COMPUTED_VALUE"""),48.0)</f>
        <v>48</v>
      </c>
      <c r="H15952" s="4"/>
      <c r="I15952" s="4"/>
    </row>
    <row r="15953">
      <c r="A15953" s="4" t="str">
        <f>IFERROR(__xludf.DUMMYFUNCTION("""COMPUTED_VALUE"""),"cas_hmw")</f>
        <v>cas_hmw</v>
      </c>
      <c r="B15953" s="5">
        <f>IFERROR(__xludf.DUMMYFUNCTION("""COMPUTED_VALUE"""),44733.0)</f>
        <v>44733</v>
      </c>
      <c r="C15953" s="6">
        <f>IFERROR(__xludf.DUMMYFUNCTION("""COMPUTED_VALUE"""),0.24842592592540313)</f>
        <v>0.2484259259</v>
      </c>
      <c r="D15953" s="4">
        <f>IFERROR(__xludf.DUMMYFUNCTION("""COMPUTED_VALUE"""),12.911917)</f>
        <v>12.911917</v>
      </c>
      <c r="E15953" s="4">
        <f>IFERROR(__xludf.DUMMYFUNCTION("""COMPUTED_VALUE"""),80.101372)</f>
        <v>80.101372</v>
      </c>
      <c r="F15953" s="4">
        <f>IFERROR(__xludf.DUMMYFUNCTION("""COMPUTED_VALUE"""),5339.0)</f>
        <v>5339</v>
      </c>
      <c r="G15953" s="4">
        <f>IFERROR(__xludf.DUMMYFUNCTION("""COMPUTED_VALUE"""),46.0)</f>
        <v>46</v>
      </c>
      <c r="H15953" s="4"/>
      <c r="I15953" s="4"/>
    </row>
    <row r="15954">
      <c r="A15954" s="4" t="str">
        <f>IFERROR(__xludf.DUMMYFUNCTION("""COMPUTED_VALUE"""),"cas_hmw")</f>
        <v>cas_hmw</v>
      </c>
      <c r="B15954" s="5">
        <f>IFERROR(__xludf.DUMMYFUNCTION("""COMPUTED_VALUE"""),44733.0)</f>
        <v>44733</v>
      </c>
      <c r="C15954" s="6">
        <f>IFERROR(__xludf.DUMMYFUNCTION("""COMPUTED_VALUE"""),0.24910879629533156)</f>
        <v>0.2491087963</v>
      </c>
      <c r="D15954" s="4">
        <f>IFERROR(__xludf.DUMMYFUNCTION("""COMPUTED_VALUE"""),12.916829)</f>
        <v>12.916829</v>
      </c>
      <c r="E15954" s="4">
        <f>IFERROR(__xludf.DUMMYFUNCTION("""COMPUTED_VALUE"""),80.106686)</f>
        <v>80.106686</v>
      </c>
      <c r="F15954" s="4">
        <f>IFERROR(__xludf.DUMMYFUNCTION("""COMPUTED_VALUE"""),5339.0)</f>
        <v>5339</v>
      </c>
      <c r="G15954" s="4">
        <f>IFERROR(__xludf.DUMMYFUNCTION("""COMPUTED_VALUE"""),49.0)</f>
        <v>49</v>
      </c>
      <c r="H15954" s="4"/>
      <c r="I15954" s="4"/>
    </row>
    <row r="15955">
      <c r="A15955" s="4" t="str">
        <f>IFERROR(__xludf.DUMMYFUNCTION("""COMPUTED_VALUE"""),"cas_hmw")</f>
        <v>cas_hmw</v>
      </c>
      <c r="B15955" s="5">
        <f>IFERROR(__xludf.DUMMYFUNCTION("""COMPUTED_VALUE"""),44733.0)</f>
        <v>44733</v>
      </c>
      <c r="C15955" s="6">
        <f>IFERROR(__xludf.DUMMYFUNCTION("""COMPUTED_VALUE"""),0.24968749999970896)</f>
        <v>0.2496875</v>
      </c>
      <c r="D15955" s="4">
        <f>IFERROR(__xludf.DUMMYFUNCTION("""COMPUTED_VALUE"""),12.919814)</f>
        <v>12.919814</v>
      </c>
      <c r="E15955" s="4">
        <f>IFERROR(__xludf.DUMMYFUNCTION("""COMPUTED_VALUE"""),80.110752)</f>
        <v>80.110752</v>
      </c>
      <c r="F15955" s="4">
        <f>IFERROR(__xludf.DUMMYFUNCTION("""COMPUTED_VALUE"""),5339.0)</f>
        <v>5339</v>
      </c>
      <c r="G15955" s="4">
        <f>IFERROR(__xludf.DUMMYFUNCTION("""COMPUTED_VALUE"""),41.0)</f>
        <v>41</v>
      </c>
      <c r="H15955" s="4"/>
      <c r="I15955" s="4"/>
    </row>
    <row r="15956">
      <c r="A15956" s="4" t="str">
        <f>IFERROR(__xludf.DUMMYFUNCTION("""COMPUTED_VALUE"""),"cas_hmw")</f>
        <v>cas_hmw</v>
      </c>
      <c r="B15956" s="5">
        <f>IFERROR(__xludf.DUMMYFUNCTION("""COMPUTED_VALUE"""),44733.0)</f>
        <v>44733</v>
      </c>
      <c r="C15956" s="6">
        <f>IFERROR(__xludf.DUMMYFUNCTION("""COMPUTED_VALUE"""),0.24982638888832298)</f>
        <v>0.2498263889</v>
      </c>
      <c r="D15956" s="4">
        <f>IFERROR(__xludf.DUMMYFUNCTION("""COMPUTED_VALUE"""),12.920535)</f>
        <v>12.920535</v>
      </c>
      <c r="E15956" s="4">
        <f>IFERROR(__xludf.DUMMYFUNCTION("""COMPUTED_VALUE"""),80.111563)</f>
        <v>80.111563</v>
      </c>
      <c r="F15956" s="4">
        <f>IFERROR(__xludf.DUMMYFUNCTION("""COMPUTED_VALUE"""),5339.0)</f>
        <v>5339</v>
      </c>
      <c r="G15956" s="4">
        <f>IFERROR(__xludf.DUMMYFUNCTION("""COMPUTED_VALUE"""),40.0)</f>
        <v>40</v>
      </c>
      <c r="H15956" s="4"/>
      <c r="I15956" s="4"/>
    </row>
    <row r="15957">
      <c r="A15957" s="4" t="str">
        <f>IFERROR(__xludf.DUMMYFUNCTION("""COMPUTED_VALUE"""),"cas_hmw")</f>
        <v>cas_hmw</v>
      </c>
      <c r="B15957" s="5">
        <f>IFERROR(__xludf.DUMMYFUNCTION("""COMPUTED_VALUE"""),44733.0)</f>
        <v>44733</v>
      </c>
      <c r="C15957" s="6">
        <f>IFERROR(__xludf.DUMMYFUNCTION("""COMPUTED_VALUE"""),0.25045138888890506)</f>
        <v>0.2504513889</v>
      </c>
      <c r="D15957" s="4">
        <f>IFERROR(__xludf.DUMMYFUNCTION("""COMPUTED_VALUE"""),12.925036)</f>
        <v>12.925036</v>
      </c>
      <c r="E15957" s="4">
        <f>IFERROR(__xludf.DUMMYFUNCTION("""COMPUTED_VALUE"""),80.116136)</f>
        <v>80.116136</v>
      </c>
      <c r="F15957" s="4">
        <f>IFERROR(__xludf.DUMMYFUNCTION("""COMPUTED_VALUE"""),5339.0)</f>
        <v>5339</v>
      </c>
      <c r="G15957" s="4">
        <f>IFERROR(__xludf.DUMMYFUNCTION("""COMPUTED_VALUE"""),57.0)</f>
        <v>57</v>
      </c>
      <c r="H15957" s="4"/>
      <c r="I15957" s="4"/>
    </row>
    <row r="15958">
      <c r="A15958" s="4" t="str">
        <f>IFERROR(__xludf.DUMMYFUNCTION("""COMPUTED_VALUE"""),"cas_hmw")</f>
        <v>cas_hmw</v>
      </c>
      <c r="B15958" s="5">
        <f>IFERROR(__xludf.DUMMYFUNCTION("""COMPUTED_VALUE"""),44733.0)</f>
        <v>44733</v>
      </c>
      <c r="C15958" s="6">
        <f>IFERROR(__xludf.DUMMYFUNCTION("""COMPUTED_VALUE"""),0.25284722222204437)</f>
        <v>0.2528472222</v>
      </c>
      <c r="D15958" s="4">
        <f>IFERROR(__xludf.DUMMYFUNCTION("""COMPUTED_VALUE"""),12.936944)</f>
        <v>12.936944</v>
      </c>
      <c r="E15958" s="4">
        <f>IFERROR(__xludf.DUMMYFUNCTION("""COMPUTED_VALUE"""),80.12777)</f>
        <v>80.12777</v>
      </c>
      <c r="F15958" s="4">
        <f>IFERROR(__xludf.DUMMYFUNCTION("""COMPUTED_VALUE"""),5339.0)</f>
        <v>5339</v>
      </c>
      <c r="G15958" s="4">
        <f>IFERROR(__xludf.DUMMYFUNCTION("""COMPUTED_VALUE"""),44.0)</f>
        <v>44</v>
      </c>
      <c r="H15958" s="4"/>
      <c r="I15958" s="4"/>
    </row>
    <row r="15959">
      <c r="A15959" s="4" t="str">
        <f>IFERROR(__xludf.DUMMYFUNCTION("""COMPUTED_VALUE"""),"cas_hmw")</f>
        <v>cas_hmw</v>
      </c>
      <c r="B15959" s="5">
        <f>IFERROR(__xludf.DUMMYFUNCTION("""COMPUTED_VALUE"""),44733.0)</f>
        <v>44733</v>
      </c>
      <c r="C15959" s="6">
        <f>IFERROR(__xludf.DUMMYFUNCTION("""COMPUTED_VALUE"""),0.2548263888893416)</f>
        <v>0.2548263889</v>
      </c>
      <c r="D15959" s="4">
        <f>IFERROR(__xludf.DUMMYFUNCTION("""COMPUTED_VALUE"""),12.950788)</f>
        <v>12.950788</v>
      </c>
      <c r="E15959" s="4">
        <f>IFERROR(__xludf.DUMMYFUNCTION("""COMPUTED_VALUE"""),80.139712)</f>
        <v>80.139712</v>
      </c>
      <c r="F15959" s="4">
        <f>IFERROR(__xludf.DUMMYFUNCTION("""COMPUTED_VALUE"""),5339.0)</f>
        <v>5339</v>
      </c>
      <c r="G15959" s="4">
        <f>IFERROR(__xludf.DUMMYFUNCTION("""COMPUTED_VALUE"""),25.0)</f>
        <v>25</v>
      </c>
      <c r="H15959" s="4"/>
      <c r="I15959" s="4"/>
    </row>
    <row r="15960">
      <c r="A15960" s="4" t="str">
        <f>IFERROR(__xludf.DUMMYFUNCTION("""COMPUTED_VALUE"""),"cas_hmw")</f>
        <v>cas_hmw</v>
      </c>
      <c r="B15960" s="5">
        <f>IFERROR(__xludf.DUMMYFUNCTION("""COMPUTED_VALUE"""),44733.0)</f>
        <v>44733</v>
      </c>
      <c r="C15960" s="6">
        <f>IFERROR(__xludf.DUMMYFUNCTION("""COMPUTED_VALUE"""),0.2553472222207347)</f>
        <v>0.2553472222</v>
      </c>
      <c r="D15960" s="4">
        <f>IFERROR(__xludf.DUMMYFUNCTION("""COMPUTED_VALUE"""),12.953375)</f>
        <v>12.953375</v>
      </c>
      <c r="E15960" s="4">
        <f>IFERROR(__xludf.DUMMYFUNCTION("""COMPUTED_VALUE"""),80.141577)</f>
        <v>80.141577</v>
      </c>
      <c r="F15960" s="4">
        <f>IFERROR(__xludf.DUMMYFUNCTION("""COMPUTED_VALUE"""),5339.0)</f>
        <v>5339</v>
      </c>
      <c r="G15960" s="4">
        <f>IFERROR(__xludf.DUMMYFUNCTION("""COMPUTED_VALUE"""),35.0)</f>
        <v>35</v>
      </c>
      <c r="H15960" s="4"/>
      <c r="I15960" s="4"/>
    </row>
    <row r="15961">
      <c r="A15961" s="4" t="str">
        <f>IFERROR(__xludf.DUMMYFUNCTION("""COMPUTED_VALUE"""),"cas_hmw")</f>
        <v>cas_hmw</v>
      </c>
      <c r="B15961" s="5">
        <f>IFERROR(__xludf.DUMMYFUNCTION("""COMPUTED_VALUE"""),44733.0)</f>
        <v>44733</v>
      </c>
      <c r="C15961" s="6">
        <f>IFERROR(__xludf.DUMMYFUNCTION("""COMPUTED_VALUE"""),0.2556365740747424)</f>
        <v>0.2556365741</v>
      </c>
      <c r="D15961" s="4">
        <f>IFERROR(__xludf.DUMMYFUNCTION("""COMPUTED_VALUE"""),12.955282)</f>
        <v>12.955282</v>
      </c>
      <c r="E15961" s="4">
        <f>IFERROR(__xludf.DUMMYFUNCTION("""COMPUTED_VALUE"""),80.142617)</f>
        <v>80.142617</v>
      </c>
      <c r="F15961" s="4">
        <f>IFERROR(__xludf.DUMMYFUNCTION("""COMPUTED_VALUE"""),5339.0)</f>
        <v>5339</v>
      </c>
      <c r="G15961" s="4">
        <f>IFERROR(__xludf.DUMMYFUNCTION("""COMPUTED_VALUE"""),40.0)</f>
        <v>40</v>
      </c>
      <c r="H15961" s="4"/>
      <c r="I15961" s="4"/>
    </row>
    <row r="15962">
      <c r="A15962" s="4" t="str">
        <f>IFERROR(__xludf.DUMMYFUNCTION("""COMPUTED_VALUE"""),"cas_hmw")</f>
        <v>cas_hmw</v>
      </c>
      <c r="B15962" s="5">
        <f>IFERROR(__xludf.DUMMYFUNCTION("""COMPUTED_VALUE"""),44733.0)</f>
        <v>44733</v>
      </c>
      <c r="C15962" s="6">
        <f>IFERROR(__xludf.DUMMYFUNCTION("""COMPUTED_VALUE"""),0.26037037037167465)</f>
        <v>0.2603703704</v>
      </c>
      <c r="D15962" s="4">
        <f>IFERROR(__xludf.DUMMYFUNCTION("""COMPUTED_VALUE"""),12.881143)</f>
        <v>12.881143</v>
      </c>
      <c r="E15962" s="4">
        <f>IFERROR(__xludf.DUMMYFUNCTION("""COMPUTED_VALUE"""),80.080615)</f>
        <v>80.080615</v>
      </c>
      <c r="F15962" s="4">
        <f>IFERROR(__xludf.DUMMYFUNCTION("""COMPUTED_VALUE"""),805.0)</f>
        <v>805</v>
      </c>
      <c r="G15962" s="4">
        <f>IFERROR(__xludf.DUMMYFUNCTION("""COMPUTED_VALUE"""),14.0)</f>
        <v>14</v>
      </c>
      <c r="H15962" s="4"/>
      <c r="I15962" s="4"/>
    </row>
    <row r="15963">
      <c r="A15963" s="4" t="str">
        <f>IFERROR(__xludf.DUMMYFUNCTION("""COMPUTED_VALUE"""),"cas_hmw")</f>
        <v>cas_hmw</v>
      </c>
      <c r="B15963" s="5">
        <f>IFERROR(__xludf.DUMMYFUNCTION("""COMPUTED_VALUE"""),44733.0)</f>
        <v>44733</v>
      </c>
      <c r="C15963" s="6">
        <f>IFERROR(__xludf.DUMMYFUNCTION("""COMPUTED_VALUE"""),0.26077546296437504)</f>
        <v>0.260775463</v>
      </c>
      <c r="D15963" s="4">
        <f>IFERROR(__xludf.DUMMYFUNCTION("""COMPUTED_VALUE"""),12.884444)</f>
        <v>12.884444</v>
      </c>
      <c r="E15963" s="4">
        <f>IFERROR(__xludf.DUMMYFUNCTION("""COMPUTED_VALUE"""),80.081844)</f>
        <v>80.081844</v>
      </c>
      <c r="F15963" s="4">
        <f>IFERROR(__xludf.DUMMYFUNCTION("""COMPUTED_VALUE"""),805.0)</f>
        <v>805</v>
      </c>
      <c r="G15963" s="4">
        <f>IFERROR(__xludf.DUMMYFUNCTION("""COMPUTED_VALUE"""),44.0)</f>
        <v>44</v>
      </c>
      <c r="H15963" s="4"/>
      <c r="I15963" s="4"/>
    </row>
    <row r="15964">
      <c r="A15964" s="4" t="str">
        <f>IFERROR(__xludf.DUMMYFUNCTION("""COMPUTED_VALUE"""),"cas_hmw")</f>
        <v>cas_hmw</v>
      </c>
      <c r="B15964" s="5">
        <f>IFERROR(__xludf.DUMMYFUNCTION("""COMPUTED_VALUE"""),44733.0)</f>
        <v>44733</v>
      </c>
      <c r="C15964" s="6">
        <f>IFERROR(__xludf.DUMMYFUNCTION("""COMPUTED_VALUE"""),0.2610416666684614)</f>
        <v>0.2610416667</v>
      </c>
      <c r="D15964" s="4">
        <f>IFERROR(__xludf.DUMMYFUNCTION("""COMPUTED_VALUE"""),12.992356)</f>
        <v>12.992356</v>
      </c>
      <c r="E15964" s="4">
        <f>IFERROR(__xludf.DUMMYFUNCTION("""COMPUTED_VALUE"""),80.182537)</f>
        <v>80.182537</v>
      </c>
      <c r="F15964" s="4">
        <f>IFERROR(__xludf.DUMMYFUNCTION("""COMPUTED_VALUE"""),5339.0)</f>
        <v>5339</v>
      </c>
      <c r="G15964" s="4">
        <f>IFERROR(__xludf.DUMMYFUNCTION("""COMPUTED_VALUE"""),53.0)</f>
        <v>53</v>
      </c>
      <c r="H15964" s="4"/>
      <c r="I15964" s="4"/>
    </row>
    <row r="15965">
      <c r="A15965" s="4" t="str">
        <f>IFERROR(__xludf.DUMMYFUNCTION("""COMPUTED_VALUE"""),"cas_hmw")</f>
        <v>cas_hmw</v>
      </c>
      <c r="B15965" s="5">
        <f>IFERROR(__xludf.DUMMYFUNCTION("""COMPUTED_VALUE"""),44733.0)</f>
        <v>44733</v>
      </c>
      <c r="C15965" s="6">
        <f>IFERROR(__xludf.DUMMYFUNCTION("""COMPUTED_VALUE"""),0.2623611111121136)</f>
        <v>0.2623611111</v>
      </c>
      <c r="D15965" s="4">
        <f>IFERROR(__xludf.DUMMYFUNCTION("""COMPUTED_VALUE"""),12.901416)</f>
        <v>12.901416</v>
      </c>
      <c r="E15965" s="4">
        <f>IFERROR(__xludf.DUMMYFUNCTION("""COMPUTED_VALUE"""),80.092405)</f>
        <v>80.092405</v>
      </c>
      <c r="F15965" s="4">
        <f>IFERROR(__xludf.DUMMYFUNCTION("""COMPUTED_VALUE"""),805.0)</f>
        <v>805</v>
      </c>
      <c r="G15965" s="4">
        <f>IFERROR(__xludf.DUMMYFUNCTION("""COMPUTED_VALUE"""),53.0)</f>
        <v>53</v>
      </c>
      <c r="H15965" s="4"/>
      <c r="I15965" s="4"/>
    </row>
    <row r="15966">
      <c r="A15966" s="4" t="str">
        <f>IFERROR(__xludf.DUMMYFUNCTION("""COMPUTED_VALUE"""),"cas_hmw")</f>
        <v>cas_hmw</v>
      </c>
      <c r="B15966" s="5">
        <f>IFERROR(__xludf.DUMMYFUNCTION("""COMPUTED_VALUE"""),44733.0)</f>
        <v>44733</v>
      </c>
      <c r="C15966" s="6">
        <f>IFERROR(__xludf.DUMMYFUNCTION("""COMPUTED_VALUE"""),0.2626504629624833)</f>
        <v>0.262650463</v>
      </c>
      <c r="D15966" s="4">
        <f>IFERROR(__xludf.DUMMYFUNCTION("""COMPUTED_VALUE"""),12.997311)</f>
        <v>12.997311</v>
      </c>
      <c r="E15966" s="4">
        <f>IFERROR(__xludf.DUMMYFUNCTION("""COMPUTED_VALUE"""),80.19076)</f>
        <v>80.19076</v>
      </c>
      <c r="F15966" s="4">
        <f>IFERROR(__xludf.DUMMYFUNCTION("""COMPUTED_VALUE"""),5339.0)</f>
        <v>5339</v>
      </c>
      <c r="G15966" s="4">
        <f>IFERROR(__xludf.DUMMYFUNCTION("""COMPUTED_VALUE"""),42.0)</f>
        <v>42</v>
      </c>
      <c r="H15966" s="4"/>
      <c r="I15966" s="4"/>
    </row>
    <row r="15967">
      <c r="A15967" s="4" t="str">
        <f>IFERROR(__xludf.DUMMYFUNCTION("""COMPUTED_VALUE"""),"cas_hmw")</f>
        <v>cas_hmw</v>
      </c>
      <c r="B15967" s="5">
        <f>IFERROR(__xludf.DUMMYFUNCTION("""COMPUTED_VALUE"""),44733.0)</f>
        <v>44733</v>
      </c>
      <c r="C15967" s="6">
        <f>IFERROR(__xludf.DUMMYFUNCTION("""COMPUTED_VALUE"""),0.2628240740741603)</f>
        <v>0.2628240741</v>
      </c>
      <c r="D15967" s="4">
        <f>IFERROR(__xludf.DUMMYFUNCTION("""COMPUTED_VALUE"""),12.905916)</f>
        <v>12.905916</v>
      </c>
      <c r="E15967" s="4">
        <f>IFERROR(__xludf.DUMMYFUNCTION("""COMPUTED_VALUE"""),80.095746)</f>
        <v>80.095746</v>
      </c>
      <c r="F15967" s="4">
        <f>IFERROR(__xludf.DUMMYFUNCTION("""COMPUTED_VALUE"""),805.0)</f>
        <v>805</v>
      </c>
      <c r="G15967" s="4">
        <f>IFERROR(__xludf.DUMMYFUNCTION("""COMPUTED_VALUE"""),54.0)</f>
        <v>54</v>
      </c>
      <c r="H15967" s="4"/>
      <c r="I15967" s="4"/>
    </row>
    <row r="15968">
      <c r="A15968" s="4" t="str">
        <f>IFERROR(__xludf.DUMMYFUNCTION("""COMPUTED_VALUE"""),"cas_hmw")</f>
        <v>cas_hmw</v>
      </c>
      <c r="B15968" s="5">
        <f>IFERROR(__xludf.DUMMYFUNCTION("""COMPUTED_VALUE"""),44733.0)</f>
        <v>44733</v>
      </c>
      <c r="C15968" s="6">
        <f>IFERROR(__xludf.DUMMYFUNCTION("""COMPUTED_VALUE"""),0.2628587962972233)</f>
        <v>0.2628587963</v>
      </c>
      <c r="D15968" s="4">
        <f>IFERROR(__xludf.DUMMYFUNCTION("""COMPUTED_VALUE"""),12.905916)</f>
        <v>12.905916</v>
      </c>
      <c r="E15968" s="4">
        <f>IFERROR(__xludf.DUMMYFUNCTION("""COMPUTED_VALUE"""),80.095746)</f>
        <v>80.095746</v>
      </c>
      <c r="F15968" s="4">
        <f>IFERROR(__xludf.DUMMYFUNCTION("""COMPUTED_VALUE"""),805.0)</f>
        <v>805</v>
      </c>
      <c r="G15968" s="4">
        <f>IFERROR(__xludf.DUMMYFUNCTION("""COMPUTED_VALUE"""),54.0)</f>
        <v>54</v>
      </c>
      <c r="H15968" s="4"/>
      <c r="I15968" s="4"/>
    </row>
    <row r="15969">
      <c r="A15969" s="4" t="str">
        <f>IFERROR(__xludf.DUMMYFUNCTION("""COMPUTED_VALUE"""),"cas_hmw")</f>
        <v>cas_hmw</v>
      </c>
      <c r="B15969" s="5">
        <f>IFERROR(__xludf.DUMMYFUNCTION("""COMPUTED_VALUE"""),44733.0)</f>
        <v>44733</v>
      </c>
      <c r="C15969" s="6">
        <f>IFERROR(__xludf.DUMMYFUNCTION("""COMPUTED_VALUE"""),0.2630902777782467)</f>
        <v>0.2630902778</v>
      </c>
      <c r="D15969" s="4">
        <f>IFERROR(__xludf.DUMMYFUNCTION("""COMPUTED_VALUE"""),12.907937)</f>
        <v>12.907937</v>
      </c>
      <c r="E15969" s="4">
        <f>IFERROR(__xludf.DUMMYFUNCTION("""COMPUTED_VALUE"""),80.097287)</f>
        <v>80.097287</v>
      </c>
      <c r="F15969" s="4">
        <f>IFERROR(__xludf.DUMMYFUNCTION("""COMPUTED_VALUE"""),805.0)</f>
        <v>805</v>
      </c>
      <c r="G15969" s="4">
        <f>IFERROR(__xludf.DUMMYFUNCTION("""COMPUTED_VALUE"""),55.0)</f>
        <v>55</v>
      </c>
      <c r="H15969" s="4"/>
      <c r="I15969" s="4"/>
    </row>
    <row r="15970">
      <c r="A15970" s="4" t="str">
        <f>IFERROR(__xludf.DUMMYFUNCTION("""COMPUTED_VALUE"""),"cas_hmw")</f>
        <v>cas_hmw</v>
      </c>
      <c r="B15970" s="5">
        <f>IFERROR(__xludf.DUMMYFUNCTION("""COMPUTED_VALUE"""),44733.0)</f>
        <v>44733</v>
      </c>
      <c r="C15970" s="6">
        <f>IFERROR(__xludf.DUMMYFUNCTION("""COMPUTED_VALUE"""),0.263148148147593)</f>
        <v>0.2631481481</v>
      </c>
      <c r="D15970" s="4">
        <f>IFERROR(__xludf.DUMMYFUNCTION("""COMPUTED_VALUE"""),12.997311)</f>
        <v>12.997311</v>
      </c>
      <c r="E15970" s="4">
        <f>IFERROR(__xludf.DUMMYFUNCTION("""COMPUTED_VALUE"""),80.19076)</f>
        <v>80.19076</v>
      </c>
      <c r="F15970" s="4">
        <f>IFERROR(__xludf.DUMMYFUNCTION("""COMPUTED_VALUE"""),5339.0)</f>
        <v>5339</v>
      </c>
      <c r="G15970" s="4">
        <f>IFERROR(__xludf.DUMMYFUNCTION("""COMPUTED_VALUE"""),42.0)</f>
        <v>42</v>
      </c>
      <c r="H15970" s="4"/>
      <c r="I15970" s="4"/>
    </row>
    <row r="15971">
      <c r="A15971" s="4" t="str">
        <f>IFERROR(__xludf.DUMMYFUNCTION("""COMPUTED_VALUE"""),"cas_hmw")</f>
        <v>cas_hmw</v>
      </c>
      <c r="B15971" s="5">
        <f>IFERROR(__xludf.DUMMYFUNCTION("""COMPUTED_VALUE"""),44733.0)</f>
        <v>44733</v>
      </c>
      <c r="C15971" s="6">
        <f>IFERROR(__xludf.DUMMYFUNCTION("""COMPUTED_VALUE"""),0.26325231481314404)</f>
        <v>0.2632523148</v>
      </c>
      <c r="D15971" s="4">
        <f>IFERROR(__xludf.DUMMYFUNCTION("""COMPUTED_VALUE"""),12.997311)</f>
        <v>12.997311</v>
      </c>
      <c r="E15971" s="4">
        <f>IFERROR(__xludf.DUMMYFUNCTION("""COMPUTED_VALUE"""),80.19076)</f>
        <v>80.19076</v>
      </c>
      <c r="F15971" s="4">
        <f>IFERROR(__xludf.DUMMYFUNCTION("""COMPUTED_VALUE"""),5339.0)</f>
        <v>5339</v>
      </c>
      <c r="G15971" s="4">
        <f>IFERROR(__xludf.DUMMYFUNCTION("""COMPUTED_VALUE"""),42.0)</f>
        <v>42</v>
      </c>
      <c r="H15971" s="4"/>
      <c r="I15971" s="4"/>
    </row>
    <row r="15972">
      <c r="A15972" s="4" t="str">
        <f>IFERROR(__xludf.DUMMYFUNCTION("""COMPUTED_VALUE"""),"cas_hmw")</f>
        <v>cas_hmw</v>
      </c>
      <c r="B15972" s="5">
        <f>IFERROR(__xludf.DUMMYFUNCTION("""COMPUTED_VALUE"""),44733.0)</f>
        <v>44733</v>
      </c>
      <c r="C15972" s="6">
        <f>IFERROR(__xludf.DUMMYFUNCTION("""COMPUTED_VALUE"""),0.2632638888899237)</f>
        <v>0.2632638889</v>
      </c>
      <c r="D15972" s="4">
        <f>IFERROR(__xludf.DUMMYFUNCTION("""COMPUTED_VALUE"""),12.908849)</f>
        <v>12.908849</v>
      </c>
      <c r="E15972" s="4">
        <f>IFERROR(__xludf.DUMMYFUNCTION("""COMPUTED_VALUE"""),80.098077)</f>
        <v>80.098077</v>
      </c>
      <c r="F15972" s="4">
        <f>IFERROR(__xludf.DUMMYFUNCTION("""COMPUTED_VALUE"""),805.0)</f>
        <v>805</v>
      </c>
      <c r="G15972" s="4">
        <f>IFERROR(__xludf.DUMMYFUNCTION("""COMPUTED_VALUE"""),37.0)</f>
        <v>37</v>
      </c>
      <c r="H15972" s="4"/>
      <c r="I15972" s="4"/>
    </row>
    <row r="15973">
      <c r="A15973" s="4" t="str">
        <f>IFERROR(__xludf.DUMMYFUNCTION("""COMPUTED_VALUE"""),"cas_hmw")</f>
        <v>cas_hmw</v>
      </c>
      <c r="B15973" s="5">
        <f>IFERROR(__xludf.DUMMYFUNCTION("""COMPUTED_VALUE"""),44733.0)</f>
        <v>44733</v>
      </c>
      <c r="C15973" s="6">
        <f>IFERROR(__xludf.DUMMYFUNCTION("""COMPUTED_VALUE"""),0.26332175925927004)</f>
        <v>0.2633217593</v>
      </c>
      <c r="D15973" s="4">
        <f>IFERROR(__xludf.DUMMYFUNCTION("""COMPUTED_VALUE"""),12.997311)</f>
        <v>12.997311</v>
      </c>
      <c r="E15973" s="4">
        <f>IFERROR(__xludf.DUMMYFUNCTION("""COMPUTED_VALUE"""),80.19076)</f>
        <v>80.19076</v>
      </c>
      <c r="F15973" s="4">
        <f>IFERROR(__xludf.DUMMYFUNCTION("""COMPUTED_VALUE"""),5339.0)</f>
        <v>5339</v>
      </c>
      <c r="G15973" s="4">
        <f>IFERROR(__xludf.DUMMYFUNCTION("""COMPUTED_VALUE"""),42.0)</f>
        <v>42</v>
      </c>
      <c r="H15973" s="4"/>
      <c r="I15973" s="4"/>
    </row>
    <row r="15974">
      <c r="A15974" s="4" t="str">
        <f>IFERROR(__xludf.DUMMYFUNCTION("""COMPUTED_VALUE"""),"cas_hmw")</f>
        <v>cas_hmw</v>
      </c>
      <c r="B15974" s="5">
        <f>IFERROR(__xludf.DUMMYFUNCTION("""COMPUTED_VALUE"""),44733.0)</f>
        <v>44733</v>
      </c>
      <c r="C15974" s="6">
        <f>IFERROR(__xludf.DUMMYFUNCTION("""COMPUTED_VALUE"""),0.2633796296286164)</f>
        <v>0.2633796296</v>
      </c>
      <c r="D15974" s="4">
        <f>IFERROR(__xludf.DUMMYFUNCTION("""COMPUTED_VALUE"""),12.909261)</f>
        <v>12.909261</v>
      </c>
      <c r="E15974" s="4">
        <f>IFERROR(__xludf.DUMMYFUNCTION("""COMPUTED_VALUE"""),80.098666)</f>
        <v>80.098666</v>
      </c>
      <c r="F15974" s="4">
        <f>IFERROR(__xludf.DUMMYFUNCTION("""COMPUTED_VALUE"""),805.0)</f>
        <v>805</v>
      </c>
      <c r="G15974" s="4">
        <f>IFERROR(__xludf.DUMMYFUNCTION("""COMPUTED_VALUE"""),29.0)</f>
        <v>29</v>
      </c>
      <c r="H15974" s="4"/>
      <c r="I15974" s="4"/>
    </row>
    <row r="15975">
      <c r="A15975" s="4" t="str">
        <f>IFERROR(__xludf.DUMMYFUNCTION("""COMPUTED_VALUE"""),"cas_hmw")</f>
        <v>cas_hmw</v>
      </c>
      <c r="B15975" s="5">
        <f>IFERROR(__xludf.DUMMYFUNCTION("""COMPUTED_VALUE"""),44733.0)</f>
        <v>44733</v>
      </c>
      <c r="C15975" s="6">
        <f>IFERROR(__xludf.DUMMYFUNCTION("""COMPUTED_VALUE"""),0.2634490740747424)</f>
        <v>0.2634490741</v>
      </c>
      <c r="D15975" s="4">
        <f>IFERROR(__xludf.DUMMYFUNCTION("""COMPUTED_VALUE"""),12.997311)</f>
        <v>12.997311</v>
      </c>
      <c r="E15975" s="4">
        <f>IFERROR(__xludf.DUMMYFUNCTION("""COMPUTED_VALUE"""),80.19076)</f>
        <v>80.19076</v>
      </c>
      <c r="F15975" s="4">
        <f>IFERROR(__xludf.DUMMYFUNCTION("""COMPUTED_VALUE"""),5339.0)</f>
        <v>5339</v>
      </c>
      <c r="G15975" s="4">
        <f>IFERROR(__xludf.DUMMYFUNCTION("""COMPUTED_VALUE"""),42.0)</f>
        <v>42</v>
      </c>
      <c r="H15975" s="4"/>
      <c r="I15975" s="4"/>
    </row>
    <row r="15976">
      <c r="A15976" s="4" t="str">
        <f>IFERROR(__xludf.DUMMYFUNCTION("""COMPUTED_VALUE"""),"cas_hmw")</f>
        <v>cas_hmw</v>
      </c>
      <c r="B15976" s="5">
        <f>IFERROR(__xludf.DUMMYFUNCTION("""COMPUTED_VALUE"""),44733.0)</f>
        <v>44733</v>
      </c>
      <c r="C15976" s="6">
        <f>IFERROR(__xludf.DUMMYFUNCTION("""COMPUTED_VALUE"""),0.2634490740747424)</f>
        <v>0.2634490741</v>
      </c>
      <c r="D15976" s="4">
        <f>IFERROR(__xludf.DUMMYFUNCTION("""COMPUTED_VALUE"""),12.909668)</f>
        <v>12.909668</v>
      </c>
      <c r="E15976" s="4">
        <f>IFERROR(__xludf.DUMMYFUNCTION("""COMPUTED_VALUE"""),80.09937)</f>
        <v>80.09937</v>
      </c>
      <c r="F15976" s="4">
        <f>IFERROR(__xludf.DUMMYFUNCTION("""COMPUTED_VALUE"""),805.0)</f>
        <v>805</v>
      </c>
      <c r="G15976" s="4">
        <f>IFERROR(__xludf.DUMMYFUNCTION("""COMPUTED_VALUE"""),33.0)</f>
        <v>33</v>
      </c>
      <c r="H15976" s="4"/>
      <c r="I15976" s="4"/>
    </row>
    <row r="15977">
      <c r="A15977" s="4" t="str">
        <f>IFERROR(__xludf.DUMMYFUNCTION("""COMPUTED_VALUE"""),"cas_hmw")</f>
        <v>cas_hmw</v>
      </c>
      <c r="B15977" s="5">
        <f>IFERROR(__xludf.DUMMYFUNCTION("""COMPUTED_VALUE"""),44733.0)</f>
        <v>44733</v>
      </c>
      <c r="C15977" s="6">
        <f>IFERROR(__xludf.DUMMYFUNCTION("""COMPUTED_VALUE"""),0.2635532407402934)</f>
        <v>0.2635532407</v>
      </c>
      <c r="D15977" s="4">
        <f>IFERROR(__xludf.DUMMYFUNCTION("""COMPUTED_VALUE"""),12.910133)</f>
        <v>12.910133</v>
      </c>
      <c r="E15977" s="4">
        <f>IFERROR(__xludf.DUMMYFUNCTION("""COMPUTED_VALUE"""),80.100221)</f>
        <v>80.100221</v>
      </c>
      <c r="F15977" s="4">
        <f>IFERROR(__xludf.DUMMYFUNCTION("""COMPUTED_VALUE"""),805.0)</f>
        <v>805</v>
      </c>
      <c r="G15977" s="4">
        <f>IFERROR(__xludf.DUMMYFUNCTION("""COMPUTED_VALUE"""),46.0)</f>
        <v>46</v>
      </c>
      <c r="H15977" s="4"/>
      <c r="I15977" s="4"/>
    </row>
    <row r="15978">
      <c r="A15978" s="4" t="str">
        <f>IFERROR(__xludf.DUMMYFUNCTION("""COMPUTED_VALUE"""),"cas_hmw")</f>
        <v>cas_hmw</v>
      </c>
      <c r="B15978" s="5">
        <f>IFERROR(__xludf.DUMMYFUNCTION("""COMPUTED_VALUE"""),44733.0)</f>
        <v>44733</v>
      </c>
      <c r="C15978" s="6">
        <f>IFERROR(__xludf.DUMMYFUNCTION("""COMPUTED_VALUE"""),0.2647106481490482)</f>
        <v>0.2647106481</v>
      </c>
      <c r="D15978" s="4">
        <f>IFERROR(__xludf.DUMMYFUNCTION("""COMPUTED_VALUE"""),12.917551)</f>
        <v>12.917551</v>
      </c>
      <c r="E15978" s="4">
        <f>IFERROR(__xludf.DUMMYFUNCTION("""COMPUTED_VALUE"""),80.10793)</f>
        <v>80.10793</v>
      </c>
      <c r="F15978" s="4">
        <f>IFERROR(__xludf.DUMMYFUNCTION("""COMPUTED_VALUE"""),805.0)</f>
        <v>805</v>
      </c>
      <c r="G15978" s="4">
        <f>IFERROR(__xludf.DUMMYFUNCTION("""COMPUTED_VALUE"""),39.0)</f>
        <v>39</v>
      </c>
      <c r="H15978" s="4"/>
      <c r="I15978" s="4"/>
    </row>
    <row r="15979">
      <c r="A15979" s="4" t="str">
        <f>IFERROR(__xludf.DUMMYFUNCTION("""COMPUTED_VALUE"""),"cas_hmw")</f>
        <v>cas_hmw</v>
      </c>
      <c r="B15979" s="5">
        <f>IFERROR(__xludf.DUMMYFUNCTION("""COMPUTED_VALUE"""),44733.0)</f>
        <v>44733</v>
      </c>
      <c r="C15979" s="6">
        <f>IFERROR(__xludf.DUMMYFUNCTION("""COMPUTED_VALUE"""),0.26519675926101627)</f>
        <v>0.2651967593</v>
      </c>
      <c r="D15979" s="4">
        <f>IFERROR(__xludf.DUMMYFUNCTION("""COMPUTED_VALUE"""),12.921008)</f>
        <v>12.921008</v>
      </c>
      <c r="E15979" s="4">
        <f>IFERROR(__xludf.DUMMYFUNCTION("""COMPUTED_VALUE"""),80.112011)</f>
        <v>80.112011</v>
      </c>
      <c r="F15979" s="4">
        <f>IFERROR(__xludf.DUMMYFUNCTION("""COMPUTED_VALUE"""),805.0)</f>
        <v>805</v>
      </c>
      <c r="G15979" s="4">
        <f>IFERROR(__xludf.DUMMYFUNCTION("""COMPUTED_VALUE"""),56.0)</f>
        <v>56</v>
      </c>
      <c r="H15979" s="4"/>
      <c r="I15979" s="4"/>
    </row>
    <row r="15980">
      <c r="A15980" s="4" t="str">
        <f>IFERROR(__xludf.DUMMYFUNCTION("""COMPUTED_VALUE"""),"cas_hmw")</f>
        <v>cas_hmw</v>
      </c>
      <c r="B15980" s="5">
        <f>IFERROR(__xludf.DUMMYFUNCTION("""COMPUTED_VALUE"""),44733.0)</f>
        <v>44733</v>
      </c>
      <c r="C15980" s="6">
        <f>IFERROR(__xludf.DUMMYFUNCTION("""COMPUTED_VALUE"""),0.2654398148151813)</f>
        <v>0.2654398148</v>
      </c>
      <c r="D15980" s="4">
        <f>IFERROR(__xludf.DUMMYFUNCTION("""COMPUTED_VALUE"""),12.649203)</f>
        <v>12.649203</v>
      </c>
      <c r="E15980" s="4">
        <f>IFERROR(__xludf.DUMMYFUNCTION("""COMPUTED_VALUE"""),79.941124)</f>
        <v>79.941124</v>
      </c>
      <c r="F15980" s="4">
        <f>IFERROR(__xludf.DUMMYFUNCTION("""COMPUTED_VALUE"""),2846.0)</f>
        <v>2846</v>
      </c>
      <c r="G15980" s="4">
        <f>IFERROR(__xludf.DUMMYFUNCTION("""COMPUTED_VALUE"""),53.0)</f>
        <v>53</v>
      </c>
      <c r="H15980" s="4"/>
      <c r="I15980" s="4"/>
    </row>
    <row r="15981">
      <c r="A15981" s="4" t="str">
        <f>IFERROR(__xludf.DUMMYFUNCTION("""COMPUTED_VALUE"""),"cas_hmw")</f>
        <v>cas_hmw</v>
      </c>
      <c r="B15981" s="5">
        <f>IFERROR(__xludf.DUMMYFUNCTION("""COMPUTED_VALUE"""),44733.0)</f>
        <v>44733</v>
      </c>
      <c r="C15981" s="6">
        <f>IFERROR(__xludf.DUMMYFUNCTION("""COMPUTED_VALUE"""),0.265555555553874)</f>
        <v>0.2655555556</v>
      </c>
      <c r="D15981" s="4">
        <f>IFERROR(__xludf.DUMMYFUNCTION("""COMPUTED_VALUE"""),12.923955)</f>
        <v>12.923955</v>
      </c>
      <c r="E15981" s="4">
        <f>IFERROR(__xludf.DUMMYFUNCTION("""COMPUTED_VALUE"""),80.114993)</f>
        <v>80.114993</v>
      </c>
      <c r="F15981" s="4">
        <f>IFERROR(__xludf.DUMMYFUNCTION("""COMPUTED_VALUE"""),805.0)</f>
        <v>805</v>
      </c>
      <c r="G15981" s="4">
        <f>IFERROR(__xludf.DUMMYFUNCTION("""COMPUTED_VALUE"""),53.0)</f>
        <v>53</v>
      </c>
      <c r="H15981" s="4"/>
      <c r="I15981" s="4"/>
    </row>
    <row r="15982">
      <c r="A15982" s="4" t="str">
        <f>IFERROR(__xludf.DUMMYFUNCTION("""COMPUTED_VALUE"""),"cas_hmw")</f>
        <v>cas_hmw</v>
      </c>
      <c r="B15982" s="5">
        <f>IFERROR(__xludf.DUMMYFUNCTION("""COMPUTED_VALUE"""),44733.0)</f>
        <v>44733</v>
      </c>
      <c r="C15982" s="6">
        <f>IFERROR(__xludf.DUMMYFUNCTION("""COMPUTED_VALUE"""),0.2668865740743058)</f>
        <v>0.2668865741</v>
      </c>
      <c r="D15982" s="4">
        <f>IFERROR(__xludf.DUMMYFUNCTION("""COMPUTED_VALUE"""),12.927761)</f>
        <v>12.927761</v>
      </c>
      <c r="E15982" s="4">
        <f>IFERROR(__xludf.DUMMYFUNCTION("""COMPUTED_VALUE"""),80.118877)</f>
        <v>80.118877</v>
      </c>
      <c r="F15982" s="4">
        <f>IFERROR(__xludf.DUMMYFUNCTION("""COMPUTED_VALUE"""),805.0)</f>
        <v>805</v>
      </c>
      <c r="G15982" s="4">
        <f>IFERROR(__xludf.DUMMYFUNCTION("""COMPUTED_VALUE"""),31.0)</f>
        <v>31</v>
      </c>
      <c r="H15982" s="4"/>
      <c r="I15982" s="4"/>
    </row>
    <row r="15983">
      <c r="A15983" s="4" t="str">
        <f>IFERROR(__xludf.DUMMYFUNCTION("""COMPUTED_VALUE"""),"cas_hmw")</f>
        <v>cas_hmw</v>
      </c>
      <c r="B15983" s="5">
        <f>IFERROR(__xludf.DUMMYFUNCTION("""COMPUTED_VALUE"""),44733.0)</f>
        <v>44733</v>
      </c>
      <c r="C15983" s="6">
        <f>IFERROR(__xludf.DUMMYFUNCTION("""COMPUTED_VALUE"""),0.2672569444439432)</f>
        <v>0.2672569444</v>
      </c>
      <c r="D15983" s="4">
        <f>IFERROR(__xludf.DUMMYFUNCTION("""COMPUTED_VALUE"""),12.929437)</f>
        <v>12.929437</v>
      </c>
      <c r="E15983" s="4">
        <f>IFERROR(__xludf.DUMMYFUNCTION("""COMPUTED_VALUE"""),80.1205)</f>
        <v>80.1205</v>
      </c>
      <c r="F15983" s="4">
        <f>IFERROR(__xludf.DUMMYFUNCTION("""COMPUTED_VALUE"""),805.0)</f>
        <v>805</v>
      </c>
      <c r="G15983" s="4">
        <f>IFERROR(__xludf.DUMMYFUNCTION("""COMPUTED_VALUE"""),52.0)</f>
        <v>52</v>
      </c>
      <c r="H15983" s="4"/>
      <c r="I15983" s="4"/>
    </row>
    <row r="15984">
      <c r="A15984" s="4" t="str">
        <f>IFERROR(__xludf.DUMMYFUNCTION("""COMPUTED_VALUE"""),"cas_hmw")</f>
        <v>cas_hmw</v>
      </c>
      <c r="B15984" s="5">
        <f>IFERROR(__xludf.DUMMYFUNCTION("""COMPUTED_VALUE"""),44733.0)</f>
        <v>44733</v>
      </c>
      <c r="C15984" s="6">
        <f>IFERROR(__xludf.DUMMYFUNCTION("""COMPUTED_VALUE"""),0.2674537037019036)</f>
        <v>0.2674537037</v>
      </c>
      <c r="D15984" s="4">
        <f>IFERROR(__xludf.DUMMYFUNCTION("""COMPUTED_VALUE"""),12.931308)</f>
        <v>12.931308</v>
      </c>
      <c r="E15984" s="4">
        <f>IFERROR(__xludf.DUMMYFUNCTION("""COMPUTED_VALUE"""),80.122388)</f>
        <v>80.122388</v>
      </c>
      <c r="F15984" s="4">
        <f>IFERROR(__xludf.DUMMYFUNCTION("""COMPUTED_VALUE"""),805.0)</f>
        <v>805</v>
      </c>
      <c r="G15984" s="4">
        <f>IFERROR(__xludf.DUMMYFUNCTION("""COMPUTED_VALUE"""),59.0)</f>
        <v>59</v>
      </c>
      <c r="H15984" s="4"/>
      <c r="I15984" s="4"/>
    </row>
    <row r="15985">
      <c r="A15985" s="4" t="str">
        <f>IFERROR(__xludf.DUMMYFUNCTION("""COMPUTED_VALUE"""),"cas_hmw")</f>
        <v>cas_hmw</v>
      </c>
      <c r="B15985" s="5">
        <f>IFERROR(__xludf.DUMMYFUNCTION("""COMPUTED_VALUE"""),44733.0)</f>
        <v>44733</v>
      </c>
      <c r="C15985" s="6">
        <f>IFERROR(__xludf.DUMMYFUNCTION("""COMPUTED_VALUE"""),0.2682175925910997)</f>
        <v>0.2682175926</v>
      </c>
      <c r="D15985" s="4">
        <f>IFERROR(__xludf.DUMMYFUNCTION("""COMPUTED_VALUE"""),12.936754)</f>
        <v>12.936754</v>
      </c>
      <c r="E15985" s="4">
        <f>IFERROR(__xludf.DUMMYFUNCTION("""COMPUTED_VALUE"""),80.127592)</f>
        <v>80.127592</v>
      </c>
      <c r="F15985" s="4">
        <f>IFERROR(__xludf.DUMMYFUNCTION("""COMPUTED_VALUE"""),805.0)</f>
        <v>805</v>
      </c>
      <c r="G15985" s="4">
        <f>IFERROR(__xludf.DUMMYFUNCTION("""COMPUTED_VALUE"""),38.0)</f>
        <v>38</v>
      </c>
      <c r="H15985" s="4"/>
      <c r="I15985" s="4"/>
    </row>
    <row r="15986">
      <c r="A15986" s="4" t="str">
        <f>IFERROR(__xludf.DUMMYFUNCTION("""COMPUTED_VALUE"""),"cas_hmw")</f>
        <v>cas_hmw</v>
      </c>
      <c r="B15986" s="5">
        <f>IFERROR(__xludf.DUMMYFUNCTION("""COMPUTED_VALUE"""),44733.0)</f>
        <v>44733</v>
      </c>
      <c r="C15986" s="6">
        <f>IFERROR(__xludf.DUMMYFUNCTION("""COMPUTED_VALUE"""),0.26975694444263354)</f>
        <v>0.2697569444</v>
      </c>
      <c r="D15986" s="4">
        <f>IFERROR(__xludf.DUMMYFUNCTION("""COMPUTED_VALUE"""),13.024835)</f>
        <v>13.024835</v>
      </c>
      <c r="E15986" s="4">
        <f>IFERROR(__xludf.DUMMYFUNCTION("""COMPUTED_VALUE"""),80.22913)</f>
        <v>80.22913</v>
      </c>
      <c r="F15986" s="4">
        <f>IFERROR(__xludf.DUMMYFUNCTION("""COMPUTED_VALUE"""),5339.0)</f>
        <v>5339</v>
      </c>
      <c r="G15986" s="4">
        <f>IFERROR(__xludf.DUMMYFUNCTION("""COMPUTED_VALUE"""),35.0)</f>
        <v>35</v>
      </c>
      <c r="H15986" s="4"/>
      <c r="I15986" s="4"/>
    </row>
    <row r="15987">
      <c r="A15987" s="4" t="str">
        <f>IFERROR(__xludf.DUMMYFUNCTION("""COMPUTED_VALUE"""),"cas_hmw")</f>
        <v>cas_hmw</v>
      </c>
      <c r="B15987" s="5">
        <f>IFERROR(__xludf.DUMMYFUNCTION("""COMPUTED_VALUE"""),44733.0)</f>
        <v>44733</v>
      </c>
      <c r="C15987" s="6">
        <f>IFERROR(__xludf.DUMMYFUNCTION("""COMPUTED_VALUE"""),0.2707060185202863)</f>
        <v>0.2707060185</v>
      </c>
      <c r="D15987" s="4">
        <f>IFERROR(__xludf.DUMMYFUNCTION("""COMPUTED_VALUE"""),13.02728)</f>
        <v>13.02728</v>
      </c>
      <c r="E15987" s="4">
        <f>IFERROR(__xludf.DUMMYFUNCTION("""COMPUTED_VALUE"""),80.23406)</f>
        <v>80.23406</v>
      </c>
      <c r="F15987" s="4">
        <f>IFERROR(__xludf.DUMMYFUNCTION("""COMPUTED_VALUE"""),5339.0)</f>
        <v>5339</v>
      </c>
      <c r="G15987" s="4">
        <f>IFERROR(__xludf.DUMMYFUNCTION("""COMPUTED_VALUE"""),42.0)</f>
        <v>42</v>
      </c>
      <c r="H15987" s="4"/>
      <c r="I15987" s="4"/>
    </row>
    <row r="15988">
      <c r="A15988" s="4" t="str">
        <f>IFERROR(__xludf.DUMMYFUNCTION("""COMPUTED_VALUE"""),"cas_hmw")</f>
        <v>cas_hmw</v>
      </c>
      <c r="B15988" s="5">
        <f>IFERROR(__xludf.DUMMYFUNCTION("""COMPUTED_VALUE"""),44733.0)</f>
        <v>44733</v>
      </c>
      <c r="C15988" s="6">
        <f>IFERROR(__xludf.DUMMYFUNCTION("""COMPUTED_VALUE"""),0.2714120370364981)</f>
        <v>0.271412037</v>
      </c>
      <c r="D15988" s="4">
        <f>IFERROR(__xludf.DUMMYFUNCTION("""COMPUTED_VALUE"""),12.959163)</f>
        <v>12.959163</v>
      </c>
      <c r="E15988" s="4">
        <f>IFERROR(__xludf.DUMMYFUNCTION("""COMPUTED_VALUE"""),80.14453)</f>
        <v>80.14453</v>
      </c>
      <c r="F15988" s="4">
        <f>IFERROR(__xludf.DUMMYFUNCTION("""COMPUTED_VALUE"""),805.0)</f>
        <v>805</v>
      </c>
      <c r="G15988" s="4">
        <f>IFERROR(__xludf.DUMMYFUNCTION("""COMPUTED_VALUE"""),50.0)</f>
        <v>50</v>
      </c>
      <c r="H15988" s="4"/>
      <c r="I15988" s="4"/>
    </row>
    <row r="15989">
      <c r="A15989" s="4" t="str">
        <f>IFERROR(__xludf.DUMMYFUNCTION("""COMPUTED_VALUE"""),"cas_hmw")</f>
        <v>cas_hmw</v>
      </c>
      <c r="B15989" s="5">
        <f>IFERROR(__xludf.DUMMYFUNCTION("""COMPUTED_VALUE"""),44733.0)</f>
        <v>44733</v>
      </c>
      <c r="C15989" s="6">
        <f>IFERROR(__xludf.DUMMYFUNCTION("""COMPUTED_VALUE"""),0.2718402777791198)</f>
        <v>0.2718402778</v>
      </c>
      <c r="D15989" s="4">
        <f>IFERROR(__xludf.DUMMYFUNCTION("""COMPUTED_VALUE"""),12.9617)</f>
        <v>12.9617</v>
      </c>
      <c r="E15989" s="4">
        <f>IFERROR(__xludf.DUMMYFUNCTION("""COMPUTED_VALUE"""),80.14589)</f>
        <v>80.14589</v>
      </c>
      <c r="F15989" s="4">
        <f>IFERROR(__xludf.DUMMYFUNCTION("""COMPUTED_VALUE"""),805.0)</f>
        <v>805</v>
      </c>
      <c r="G15989" s="4">
        <f>IFERROR(__xludf.DUMMYFUNCTION("""COMPUTED_VALUE"""),37.0)</f>
        <v>37</v>
      </c>
      <c r="H15989" s="4"/>
      <c r="I15989" s="4"/>
    </row>
    <row r="15990">
      <c r="A15990" s="4" t="str">
        <f>IFERROR(__xludf.DUMMYFUNCTION("""COMPUTED_VALUE"""),"cas_hmw")</f>
        <v>cas_hmw</v>
      </c>
      <c r="B15990" s="5">
        <f>IFERROR(__xludf.DUMMYFUNCTION("""COMPUTED_VALUE"""),44733.0)</f>
        <v>44733</v>
      </c>
      <c r="C15990" s="6">
        <f>IFERROR(__xludf.DUMMYFUNCTION("""COMPUTED_VALUE"""),0.2720254629639385)</f>
        <v>0.272025463</v>
      </c>
      <c r="D15990" s="4">
        <f>IFERROR(__xludf.DUMMYFUNCTION("""COMPUTED_VALUE"""),12.963674)</f>
        <v>12.963674</v>
      </c>
      <c r="E15990" s="4">
        <f>IFERROR(__xludf.DUMMYFUNCTION("""COMPUTED_VALUE"""),80.147003)</f>
        <v>80.147003</v>
      </c>
      <c r="F15990" s="4">
        <f>IFERROR(__xludf.DUMMYFUNCTION("""COMPUTED_VALUE"""),805.0)</f>
        <v>805</v>
      </c>
      <c r="G15990" s="4">
        <f>IFERROR(__xludf.DUMMYFUNCTION("""COMPUTED_VALUE"""),45.0)</f>
        <v>45</v>
      </c>
      <c r="H15990" s="4"/>
      <c r="I15990" s="4"/>
    </row>
    <row r="15991">
      <c r="A15991" s="4" t="str">
        <f>IFERROR(__xludf.DUMMYFUNCTION("""COMPUTED_VALUE"""),"cas_hmw")</f>
        <v>cas_hmw</v>
      </c>
      <c r="B15991" s="5">
        <f>IFERROR(__xludf.DUMMYFUNCTION("""COMPUTED_VALUE"""),44733.0)</f>
        <v>44733</v>
      </c>
      <c r="C15991" s="6">
        <f>IFERROR(__xludf.DUMMYFUNCTION("""COMPUTED_VALUE"""),0.27222222222189885)</f>
        <v>0.2722222222</v>
      </c>
      <c r="D15991" s="4">
        <f>IFERROR(__xludf.DUMMYFUNCTION("""COMPUTED_VALUE"""),13.034803)</f>
        <v>13.034803</v>
      </c>
      <c r="E15991" s="4">
        <f>IFERROR(__xludf.DUMMYFUNCTION("""COMPUTED_VALUE"""),80.245564)</f>
        <v>80.245564</v>
      </c>
      <c r="F15991" s="4">
        <f>IFERROR(__xludf.DUMMYFUNCTION("""COMPUTED_VALUE"""),5339.0)</f>
        <v>5339</v>
      </c>
      <c r="G15991" s="4">
        <f>IFERROR(__xludf.DUMMYFUNCTION("""COMPUTED_VALUE"""),29.0)</f>
        <v>29</v>
      </c>
      <c r="H15991" s="4"/>
      <c r="I15991" s="4"/>
    </row>
    <row r="15992">
      <c r="A15992" s="4" t="str">
        <f>IFERROR(__xludf.DUMMYFUNCTION("""COMPUTED_VALUE"""),"cas_hmw")</f>
        <v>cas_hmw</v>
      </c>
      <c r="B15992" s="5">
        <f>IFERROR(__xludf.DUMMYFUNCTION("""COMPUTED_VALUE"""),44733.0)</f>
        <v>44733</v>
      </c>
      <c r="C15992" s="6">
        <f>IFERROR(__xludf.DUMMYFUNCTION("""COMPUTED_VALUE"""),0.27317129629591363)</f>
        <v>0.2731712963</v>
      </c>
      <c r="D15992" s="4">
        <f>IFERROR(__xludf.DUMMYFUNCTION("""COMPUTED_VALUE"""),12.9751)</f>
        <v>12.9751</v>
      </c>
      <c r="E15992" s="4">
        <f>IFERROR(__xludf.DUMMYFUNCTION("""COMPUTED_VALUE"""),80.155642)</f>
        <v>80.155642</v>
      </c>
      <c r="F15992" s="4">
        <f>IFERROR(__xludf.DUMMYFUNCTION("""COMPUTED_VALUE"""),805.0)</f>
        <v>805</v>
      </c>
      <c r="G15992" s="4">
        <f>IFERROR(__xludf.DUMMYFUNCTION("""COMPUTED_VALUE"""),58.0)</f>
        <v>58</v>
      </c>
      <c r="H15992" s="4"/>
      <c r="I15992" s="4"/>
    </row>
    <row r="15993">
      <c r="A15993" s="4" t="str">
        <f>IFERROR(__xludf.DUMMYFUNCTION("""COMPUTED_VALUE"""),"cas_hmw")</f>
        <v>cas_hmw</v>
      </c>
      <c r="B15993" s="5">
        <f>IFERROR(__xludf.DUMMYFUNCTION("""COMPUTED_VALUE"""),44733.0)</f>
        <v>44733</v>
      </c>
      <c r="C15993" s="6">
        <f>IFERROR(__xludf.DUMMYFUNCTION("""COMPUTED_VALUE"""),0.27429398148160544)</f>
        <v>0.2742939815</v>
      </c>
      <c r="D15993" s="4">
        <f>IFERROR(__xludf.DUMMYFUNCTION("""COMPUTED_VALUE"""),13.047209)</f>
        <v>13.047209</v>
      </c>
      <c r="E15993" s="4">
        <f>IFERROR(__xludf.DUMMYFUNCTION("""COMPUTED_VALUE"""),80.248469)</f>
        <v>80.248469</v>
      </c>
      <c r="F15993" s="4">
        <f>IFERROR(__xludf.DUMMYFUNCTION("""COMPUTED_VALUE"""),5339.0)</f>
        <v>5339</v>
      </c>
      <c r="G15993" s="4">
        <f>IFERROR(__xludf.DUMMYFUNCTION("""COMPUTED_VALUE"""),43.0)</f>
        <v>43</v>
      </c>
      <c r="H15993" s="4"/>
      <c r="I15993" s="4"/>
    </row>
    <row r="15994">
      <c r="A15994" s="4" t="str">
        <f>IFERROR(__xludf.DUMMYFUNCTION("""COMPUTED_VALUE"""),"cas_hmw")</f>
        <v>cas_hmw</v>
      </c>
      <c r="B15994" s="5">
        <f>IFERROR(__xludf.DUMMYFUNCTION("""COMPUTED_VALUE"""),44733.0)</f>
        <v>44733</v>
      </c>
      <c r="C15994" s="6">
        <f>IFERROR(__xludf.DUMMYFUNCTION("""COMPUTED_VALUE"""),0.27490740740904585)</f>
        <v>0.2749074074</v>
      </c>
      <c r="D15994" s="4">
        <f>IFERROR(__xludf.DUMMYFUNCTION("""COMPUTED_VALUE"""),12.544492)</f>
        <v>12.544492</v>
      </c>
      <c r="E15994" s="4">
        <f>IFERROR(__xludf.DUMMYFUNCTION("""COMPUTED_VALUE"""),79.905163)</f>
        <v>79.905163</v>
      </c>
      <c r="F15994" s="4">
        <f>IFERROR(__xludf.DUMMYFUNCTION("""COMPUTED_VALUE"""),2846.0)</f>
        <v>2846</v>
      </c>
      <c r="G15994" s="4">
        <f>IFERROR(__xludf.DUMMYFUNCTION("""COMPUTED_VALUE"""),40.0)</f>
        <v>40</v>
      </c>
      <c r="H15994" s="4"/>
      <c r="I15994" s="4"/>
    </row>
    <row r="15995">
      <c r="A15995" s="4" t="str">
        <f>IFERROR(__xludf.DUMMYFUNCTION("""COMPUTED_VALUE"""),"cas_hmw")</f>
        <v>cas_hmw</v>
      </c>
      <c r="B15995" s="5">
        <f>IFERROR(__xludf.DUMMYFUNCTION("""COMPUTED_VALUE"""),44733.0)</f>
        <v>44733</v>
      </c>
      <c r="C15995" s="6">
        <f>IFERROR(__xludf.DUMMYFUNCTION("""COMPUTED_VALUE"""),0.2751157407401479)</f>
        <v>0.2751157407</v>
      </c>
      <c r="D15995" s="4">
        <f>IFERROR(__xludf.DUMMYFUNCTION("""COMPUTED_VALUE"""),12.988131)</f>
        <v>12.988131</v>
      </c>
      <c r="E15995" s="4">
        <f>IFERROR(__xludf.DUMMYFUNCTION("""COMPUTED_VALUE"""),80.17704)</f>
        <v>80.17704</v>
      </c>
      <c r="F15995" s="4">
        <f>IFERROR(__xludf.DUMMYFUNCTION("""COMPUTED_VALUE"""),805.0)</f>
        <v>805</v>
      </c>
      <c r="G15995" s="4">
        <f>IFERROR(__xludf.DUMMYFUNCTION("""COMPUTED_VALUE"""),57.0)</f>
        <v>57</v>
      </c>
      <c r="H15995" s="4"/>
      <c r="I15995" s="4"/>
    </row>
    <row r="15996">
      <c r="A15996" s="4" t="str">
        <f>IFERROR(__xludf.DUMMYFUNCTION("""COMPUTED_VALUE"""),"cas_hmw")</f>
        <v>cas_hmw</v>
      </c>
      <c r="B15996" s="5">
        <f>IFERROR(__xludf.DUMMYFUNCTION("""COMPUTED_VALUE"""),44733.0)</f>
        <v>44733</v>
      </c>
      <c r="C15996" s="6">
        <f>IFERROR(__xludf.DUMMYFUNCTION("""COMPUTED_VALUE"""),0.2760069444448163)</f>
        <v>0.2760069444</v>
      </c>
      <c r="D15996" s="4">
        <f>IFERROR(__xludf.DUMMYFUNCTION("""COMPUTED_VALUE"""),12.99226)</f>
        <v>12.99226</v>
      </c>
      <c r="E15996" s="4">
        <f>IFERROR(__xludf.DUMMYFUNCTION("""COMPUTED_VALUE"""),80.182365)</f>
        <v>80.182365</v>
      </c>
      <c r="F15996" s="4">
        <f>IFERROR(__xludf.DUMMYFUNCTION("""COMPUTED_VALUE"""),805.0)</f>
        <v>805</v>
      </c>
      <c r="G15996" s="4">
        <f>IFERROR(__xludf.DUMMYFUNCTION("""COMPUTED_VALUE"""),58.0)</f>
        <v>58</v>
      </c>
      <c r="H15996" s="4"/>
      <c r="I15996" s="4"/>
    </row>
    <row r="15997">
      <c r="A15997" s="4" t="str">
        <f>IFERROR(__xludf.DUMMYFUNCTION("""COMPUTED_VALUE"""),"cas_hmw")</f>
        <v>cas_hmw</v>
      </c>
      <c r="B15997" s="5">
        <f>IFERROR(__xludf.DUMMYFUNCTION("""COMPUTED_VALUE"""),44733.0)</f>
        <v>44733</v>
      </c>
      <c r="C15997" s="6">
        <f>IFERROR(__xludf.DUMMYFUNCTION("""COMPUTED_VALUE"""),0.2771527777767915)</f>
        <v>0.2771527778</v>
      </c>
      <c r="D15997" s="4">
        <f>IFERROR(__xludf.DUMMYFUNCTION("""COMPUTED_VALUE"""),12.521709)</f>
        <v>12.521709</v>
      </c>
      <c r="E15997" s="4">
        <f>IFERROR(__xludf.DUMMYFUNCTION("""COMPUTED_VALUE"""),79.895256)</f>
        <v>79.895256</v>
      </c>
      <c r="F15997" s="4">
        <f>IFERROR(__xludf.DUMMYFUNCTION("""COMPUTED_VALUE"""),2846.0)</f>
        <v>2846</v>
      </c>
      <c r="G15997" s="4">
        <f>IFERROR(__xludf.DUMMYFUNCTION("""COMPUTED_VALUE"""),57.0)</f>
        <v>57</v>
      </c>
      <c r="H15997" s="4"/>
      <c r="I15997" s="4"/>
    </row>
    <row r="15998">
      <c r="A15998" s="4" t="str">
        <f>IFERROR(__xludf.DUMMYFUNCTION("""COMPUTED_VALUE"""),"cas_hmw")</f>
        <v>cas_hmw</v>
      </c>
      <c r="B15998" s="5">
        <f>IFERROR(__xludf.DUMMYFUNCTION("""COMPUTED_VALUE"""),44733.0)</f>
        <v>44733</v>
      </c>
      <c r="C15998" s="6">
        <f>IFERROR(__xludf.DUMMYFUNCTION("""COMPUTED_VALUE"""),0.2773379629616102)</f>
        <v>0.277337963</v>
      </c>
      <c r="D15998" s="4">
        <f>IFERROR(__xludf.DUMMYFUNCTION("""COMPUTED_VALUE"""),12.998772)</f>
        <v>12.998772</v>
      </c>
      <c r="E15998" s="4">
        <f>IFERROR(__xludf.DUMMYFUNCTION("""COMPUTED_VALUE"""),80.192543)</f>
        <v>80.192543</v>
      </c>
      <c r="F15998" s="4">
        <f>IFERROR(__xludf.DUMMYFUNCTION("""COMPUTED_VALUE"""),805.0)</f>
        <v>805</v>
      </c>
      <c r="G15998" s="4">
        <f>IFERROR(__xludf.DUMMYFUNCTION("""COMPUTED_VALUE"""),56.0)</f>
        <v>56</v>
      </c>
      <c r="H15998" s="4"/>
      <c r="I15998" s="4"/>
    </row>
    <row r="15999">
      <c r="A15999" s="4" t="str">
        <f>IFERROR(__xludf.DUMMYFUNCTION("""COMPUTED_VALUE"""),"cas_hmw")</f>
        <v>cas_hmw</v>
      </c>
      <c r="B15999" s="5">
        <f>IFERROR(__xludf.DUMMYFUNCTION("""COMPUTED_VALUE"""),44733.0)</f>
        <v>44733</v>
      </c>
      <c r="C15999" s="6">
        <f>IFERROR(__xludf.DUMMYFUNCTION("""COMPUTED_VALUE"""),0.27789351851970423)</f>
        <v>0.2778935185</v>
      </c>
      <c r="D15999" s="4">
        <f>IFERROR(__xludf.DUMMYFUNCTION("""COMPUTED_VALUE"""),13.002025)</f>
        <v>13.002025</v>
      </c>
      <c r="E15999" s="4">
        <f>IFERROR(__xludf.DUMMYFUNCTION("""COMPUTED_VALUE"""),80.198064)</f>
        <v>80.198064</v>
      </c>
      <c r="F15999" s="4">
        <f>IFERROR(__xludf.DUMMYFUNCTION("""COMPUTED_VALUE"""),805.0)</f>
        <v>805</v>
      </c>
      <c r="G15999" s="4">
        <f>IFERROR(__xludf.DUMMYFUNCTION("""COMPUTED_VALUE"""),58.0)</f>
        <v>58</v>
      </c>
      <c r="H15999" s="4"/>
      <c r="I15999" s="4"/>
    </row>
    <row r="16000">
      <c r="A16000" s="4" t="str">
        <f>IFERROR(__xludf.DUMMYFUNCTION("""COMPUTED_VALUE"""),"cas_hmw")</f>
        <v>cas_hmw</v>
      </c>
      <c r="B16000" s="5">
        <f>IFERROR(__xludf.DUMMYFUNCTION("""COMPUTED_VALUE"""),44733.0)</f>
        <v>44733</v>
      </c>
      <c r="C16000" s="6">
        <f>IFERROR(__xludf.DUMMYFUNCTION("""COMPUTED_VALUE"""),0.2780092592583969)</f>
        <v>0.2780092593</v>
      </c>
      <c r="D16000" s="4">
        <f>IFERROR(__xludf.DUMMYFUNCTION("""COMPUTED_VALUE"""),13.00184)</f>
        <v>13.00184</v>
      </c>
      <c r="E16000" s="4">
        <f>IFERROR(__xludf.DUMMYFUNCTION("""COMPUTED_VALUE"""),80.199452)</f>
        <v>80.199452</v>
      </c>
      <c r="F16000" s="4">
        <f>IFERROR(__xludf.DUMMYFUNCTION("""COMPUTED_VALUE"""),805.0)</f>
        <v>805</v>
      </c>
      <c r="G16000" s="4">
        <f>IFERROR(__xludf.DUMMYFUNCTION("""COMPUTED_VALUE"""),49.0)</f>
        <v>49</v>
      </c>
      <c r="H16000" s="4"/>
      <c r="I16000" s="4"/>
    </row>
    <row r="16001">
      <c r="A16001" s="4" t="str">
        <f>IFERROR(__xludf.DUMMYFUNCTION("""COMPUTED_VALUE"""),"cas_hmw")</f>
        <v>cas_hmw</v>
      </c>
      <c r="B16001" s="5">
        <f>IFERROR(__xludf.DUMMYFUNCTION("""COMPUTED_VALUE"""),44733.0)</f>
        <v>44733</v>
      </c>
      <c r="C16001" s="6">
        <f>IFERROR(__xludf.DUMMYFUNCTION("""COMPUTED_VALUE"""),0.2781134259275859)</f>
        <v>0.2781134259</v>
      </c>
      <c r="D16001" s="4">
        <f>IFERROR(__xludf.DUMMYFUNCTION("""COMPUTED_VALUE"""),13.002452)</f>
        <v>13.002452</v>
      </c>
      <c r="E16001" s="4">
        <f>IFERROR(__xludf.DUMMYFUNCTION("""COMPUTED_VALUE"""),80.200498)</f>
        <v>80.200498</v>
      </c>
      <c r="F16001" s="4">
        <f>IFERROR(__xludf.DUMMYFUNCTION("""COMPUTED_VALUE"""),805.0)</f>
        <v>805</v>
      </c>
      <c r="G16001" s="4">
        <f>IFERROR(__xludf.DUMMYFUNCTION("""COMPUTED_VALUE"""),48.0)</f>
        <v>48</v>
      </c>
      <c r="H16001" s="4"/>
      <c r="I16001" s="4"/>
    </row>
    <row r="16002">
      <c r="A16002" s="4" t="str">
        <f>IFERROR(__xludf.DUMMYFUNCTION("""COMPUTED_VALUE"""),"cas_hmw")</f>
        <v>cas_hmw</v>
      </c>
      <c r="B16002" s="5">
        <f>IFERROR(__xludf.DUMMYFUNCTION("""COMPUTED_VALUE"""),44733.0)</f>
        <v>44733</v>
      </c>
      <c r="C16002" s="6">
        <f>IFERROR(__xludf.DUMMYFUNCTION("""COMPUTED_VALUE"""),0.27840277777795563)</f>
        <v>0.2784027778</v>
      </c>
      <c r="D16002" s="4">
        <f>IFERROR(__xludf.DUMMYFUNCTION("""COMPUTED_VALUE"""),13.004937)</f>
        <v>13.004937</v>
      </c>
      <c r="E16002" s="4">
        <f>IFERROR(__xludf.DUMMYFUNCTION("""COMPUTED_VALUE"""),80.201262)</f>
        <v>80.201262</v>
      </c>
      <c r="F16002" s="4">
        <f>IFERROR(__xludf.DUMMYFUNCTION("""COMPUTED_VALUE"""),805.0)</f>
        <v>805</v>
      </c>
      <c r="G16002" s="4">
        <f>IFERROR(__xludf.DUMMYFUNCTION("""COMPUTED_VALUE"""),51.0)</f>
        <v>51</v>
      </c>
      <c r="H16002" s="4"/>
      <c r="I16002" s="4"/>
    </row>
    <row r="16003">
      <c r="A16003" s="4" t="str">
        <f>IFERROR(__xludf.DUMMYFUNCTION("""COMPUTED_VALUE"""),"cas_hmw")</f>
        <v>cas_hmw</v>
      </c>
      <c r="B16003" s="5">
        <f>IFERROR(__xludf.DUMMYFUNCTION("""COMPUTED_VALUE"""),44733.0)</f>
        <v>44733</v>
      </c>
      <c r="C16003" s="6">
        <f>IFERROR(__xludf.DUMMYFUNCTION("""COMPUTED_VALUE"""),0.2933564814811689)</f>
        <v>0.2933564815</v>
      </c>
      <c r="D16003" s="4">
        <f>IFERROR(__xludf.DUMMYFUNCTION("""COMPUTED_VALUE"""),13.010656)</f>
        <v>13.010656</v>
      </c>
      <c r="E16003" s="4">
        <f>IFERROR(__xludf.DUMMYFUNCTION("""COMPUTED_VALUE"""),80.216531)</f>
        <v>80.216531</v>
      </c>
      <c r="F16003" s="4">
        <f>IFERROR(__xludf.DUMMYFUNCTION("""COMPUTED_VALUE"""),805.0)</f>
        <v>805</v>
      </c>
      <c r="G16003" s="4">
        <f>IFERROR(__xludf.DUMMYFUNCTION("""COMPUTED_VALUE"""),33.0)</f>
        <v>33</v>
      </c>
      <c r="H16003" s="4"/>
      <c r="I16003" s="4"/>
    </row>
    <row r="16004">
      <c r="A16004" s="4" t="str">
        <f>IFERROR(__xludf.DUMMYFUNCTION("""COMPUTED_VALUE"""),"cas_hmw")</f>
        <v>cas_hmw</v>
      </c>
      <c r="B16004" s="5">
        <f>IFERROR(__xludf.DUMMYFUNCTION("""COMPUTED_VALUE"""),44733.0)</f>
        <v>44733</v>
      </c>
      <c r="C16004" s="6">
        <f>IFERROR(__xludf.DUMMYFUNCTION("""COMPUTED_VALUE"""),0.29343750000043656)</f>
        <v>0.2934375</v>
      </c>
      <c r="D16004" s="4">
        <f>IFERROR(__xludf.DUMMYFUNCTION("""COMPUTED_VALUE"""),13.011022)</f>
        <v>13.011022</v>
      </c>
      <c r="E16004" s="4">
        <f>IFERROR(__xludf.DUMMYFUNCTION("""COMPUTED_VALUE"""),80.217314)</f>
        <v>80.217314</v>
      </c>
      <c r="F16004" s="4">
        <f>IFERROR(__xludf.DUMMYFUNCTION("""COMPUTED_VALUE"""),805.0)</f>
        <v>805</v>
      </c>
      <c r="G16004" s="4">
        <f>IFERROR(__xludf.DUMMYFUNCTION("""COMPUTED_VALUE"""),28.0)</f>
        <v>28</v>
      </c>
      <c r="H16004" s="4"/>
      <c r="I16004" s="4"/>
    </row>
    <row r="16005">
      <c r="A16005" s="4" t="str">
        <f>IFERROR(__xludf.DUMMYFUNCTION("""COMPUTED_VALUE"""),"cas_hmw")</f>
        <v>cas_hmw</v>
      </c>
      <c r="B16005" s="5">
        <f>IFERROR(__xludf.DUMMYFUNCTION("""COMPUTED_VALUE"""),44733.0)</f>
        <v>44733</v>
      </c>
      <c r="C16005" s="6">
        <f>IFERROR(__xludf.DUMMYFUNCTION("""COMPUTED_VALUE"""),0.2935648148159089)</f>
        <v>0.2935648148</v>
      </c>
      <c r="D16005" s="4">
        <f>IFERROR(__xludf.DUMMYFUNCTION("""COMPUTED_VALUE"""),13.011351)</f>
        <v>13.011351</v>
      </c>
      <c r="E16005" s="4">
        <f>IFERROR(__xludf.DUMMYFUNCTION("""COMPUTED_VALUE"""),80.218087)</f>
        <v>80.218087</v>
      </c>
      <c r="F16005" s="4">
        <f>IFERROR(__xludf.DUMMYFUNCTION("""COMPUTED_VALUE"""),805.0)</f>
        <v>805</v>
      </c>
      <c r="G16005" s="4">
        <f>IFERROR(__xludf.DUMMYFUNCTION("""COMPUTED_VALUE"""),42.0)</f>
        <v>42</v>
      </c>
      <c r="H16005" s="4"/>
      <c r="I16005" s="4"/>
    </row>
    <row r="16006">
      <c r="A16006" s="4" t="str">
        <f>IFERROR(__xludf.DUMMYFUNCTION("""COMPUTED_VALUE"""),"cas_hmw")</f>
        <v>cas_hmw</v>
      </c>
      <c r="B16006" s="5">
        <f>IFERROR(__xludf.DUMMYFUNCTION("""COMPUTED_VALUE"""),44733.0)</f>
        <v>44733</v>
      </c>
      <c r="C16006" s="6">
        <f>IFERROR(__xludf.DUMMYFUNCTION("""COMPUTED_VALUE"""),0.2936342592583969)</f>
        <v>0.2936342593</v>
      </c>
      <c r="D16006" s="4">
        <f>IFERROR(__xludf.DUMMYFUNCTION("""COMPUTED_VALUE"""),13.011759)</f>
        <v>13.011759</v>
      </c>
      <c r="E16006" s="4">
        <f>IFERROR(__xludf.DUMMYFUNCTION("""COMPUTED_VALUE"""),80.219203)</f>
        <v>80.219203</v>
      </c>
      <c r="F16006" s="4">
        <f>IFERROR(__xludf.DUMMYFUNCTION("""COMPUTED_VALUE"""),805.0)</f>
        <v>805</v>
      </c>
      <c r="G16006" s="4">
        <f>IFERROR(__xludf.DUMMYFUNCTION("""COMPUTED_VALUE"""),47.0)</f>
        <v>47</v>
      </c>
      <c r="H16006" s="4"/>
      <c r="I16006" s="4"/>
    </row>
    <row r="16007">
      <c r="A16007" s="4" t="str">
        <f>IFERROR(__xludf.DUMMYFUNCTION("""COMPUTED_VALUE"""),"cas_hmw")</f>
        <v>cas_hmw</v>
      </c>
      <c r="B16007" s="5">
        <f>IFERROR(__xludf.DUMMYFUNCTION("""COMPUTED_VALUE"""),44733.0)</f>
        <v>44733</v>
      </c>
      <c r="C16007" s="6">
        <f>IFERROR(__xludf.DUMMYFUNCTION("""COMPUTED_VALUE"""),0.2937500000007276)</f>
        <v>0.29375</v>
      </c>
      <c r="D16007" s="4">
        <f>IFERROR(__xludf.DUMMYFUNCTION("""COMPUTED_VALUE"""),13.012184)</f>
        <v>13.012184</v>
      </c>
      <c r="E16007" s="4">
        <f>IFERROR(__xludf.DUMMYFUNCTION("""COMPUTED_VALUE"""),80.220489)</f>
        <v>80.220489</v>
      </c>
      <c r="F16007" s="4">
        <f>IFERROR(__xludf.DUMMYFUNCTION("""COMPUTED_VALUE"""),805.0)</f>
        <v>805</v>
      </c>
      <c r="G16007" s="4">
        <f>IFERROR(__xludf.DUMMYFUNCTION("""COMPUTED_VALUE"""),58.0)</f>
        <v>58</v>
      </c>
      <c r="H16007" s="4"/>
      <c r="I16007" s="4"/>
    </row>
    <row r="16008">
      <c r="A16008" s="4" t="str">
        <f>IFERROR(__xludf.DUMMYFUNCTION("""COMPUTED_VALUE"""),"cas_hmw")</f>
        <v>cas_hmw</v>
      </c>
      <c r="B16008" s="5">
        <f>IFERROR(__xludf.DUMMYFUNCTION("""COMPUTED_VALUE"""),44733.0)</f>
        <v>44733</v>
      </c>
      <c r="C16008" s="6">
        <f>IFERROR(__xludf.DUMMYFUNCTION("""COMPUTED_VALUE"""),0.294467592593719)</f>
        <v>0.2944675926</v>
      </c>
      <c r="D16008" s="4">
        <f>IFERROR(__xludf.DUMMYFUNCTION("""COMPUTED_VALUE"""),13.018046)</f>
        <v>13.018046</v>
      </c>
      <c r="E16008" s="4">
        <f>IFERROR(__xludf.DUMMYFUNCTION("""COMPUTED_VALUE"""),80.224754)</f>
        <v>80.224754</v>
      </c>
      <c r="F16008" s="4">
        <f>IFERROR(__xludf.DUMMYFUNCTION("""COMPUTED_VALUE"""),805.0)</f>
        <v>805</v>
      </c>
      <c r="G16008" s="4">
        <f>IFERROR(__xludf.DUMMYFUNCTION("""COMPUTED_VALUE"""),49.0)</f>
        <v>49</v>
      </c>
      <c r="H16008" s="4"/>
      <c r="I16008" s="4"/>
    </row>
    <row r="16009">
      <c r="A16009" s="4" t="str">
        <f>IFERROR(__xludf.DUMMYFUNCTION("""COMPUTED_VALUE"""),"cas_hmw")</f>
        <v>cas_hmw</v>
      </c>
      <c r="B16009" s="5">
        <f>IFERROR(__xludf.DUMMYFUNCTION("""COMPUTED_VALUE"""),44733.0)</f>
        <v>44733</v>
      </c>
      <c r="C16009" s="6">
        <f>IFERROR(__xludf.DUMMYFUNCTION("""COMPUTED_VALUE"""),0.29456018518612836)</f>
        <v>0.2945601852</v>
      </c>
      <c r="D16009" s="4">
        <f>IFERROR(__xludf.DUMMYFUNCTION("""COMPUTED_VALUE"""),13.019252)</f>
        <v>13.019252</v>
      </c>
      <c r="E16009" s="4">
        <f>IFERROR(__xludf.DUMMYFUNCTION("""COMPUTED_VALUE"""),80.224398)</f>
        <v>80.224398</v>
      </c>
      <c r="F16009" s="4">
        <f>IFERROR(__xludf.DUMMYFUNCTION("""COMPUTED_VALUE"""),805.0)</f>
        <v>805</v>
      </c>
      <c r="G16009" s="4">
        <f>IFERROR(__xludf.DUMMYFUNCTION("""COMPUTED_VALUE"""),47.0)</f>
        <v>47</v>
      </c>
      <c r="H16009" s="4"/>
      <c r="I16009" s="4"/>
    </row>
    <row r="16010">
      <c r="A16010" s="4" t="str">
        <f>IFERROR(__xludf.DUMMYFUNCTION("""COMPUTED_VALUE"""),"cas_hmw")</f>
        <v>cas_hmw</v>
      </c>
      <c r="B16010" s="5">
        <f>IFERROR(__xludf.DUMMYFUNCTION("""COMPUTED_VALUE"""),44733.0)</f>
        <v>44733</v>
      </c>
      <c r="C16010" s="6">
        <f>IFERROR(__xludf.DUMMYFUNCTION("""COMPUTED_VALUE"""),0.2946990740747424)</f>
        <v>0.2946990741</v>
      </c>
      <c r="D16010" s="4">
        <f>IFERROR(__xludf.DUMMYFUNCTION("""COMPUTED_VALUE"""),13.020208)</f>
        <v>13.020208</v>
      </c>
      <c r="E16010" s="4">
        <f>IFERROR(__xludf.DUMMYFUNCTION("""COMPUTED_VALUE"""),80.224821)</f>
        <v>80.224821</v>
      </c>
      <c r="F16010" s="4">
        <f>IFERROR(__xludf.DUMMYFUNCTION("""COMPUTED_VALUE"""),805.0)</f>
        <v>805</v>
      </c>
      <c r="G16010" s="4">
        <f>IFERROR(__xludf.DUMMYFUNCTION("""COMPUTED_VALUE"""),38.0)</f>
        <v>38</v>
      </c>
      <c r="H16010" s="4"/>
      <c r="I16010" s="4"/>
    </row>
    <row r="16011">
      <c r="A16011" s="4" t="str">
        <f>IFERROR(__xludf.DUMMYFUNCTION("""COMPUTED_VALUE"""),"cas_hmw")</f>
        <v>cas_hmw</v>
      </c>
      <c r="B16011" s="5">
        <f>IFERROR(__xludf.DUMMYFUNCTION("""COMPUTED_VALUE"""),44733.0)</f>
        <v>44733</v>
      </c>
      <c r="C16011" s="6">
        <f>IFERROR(__xludf.DUMMYFUNCTION("""COMPUTED_VALUE"""),0.2950462962980964)</f>
        <v>0.2950462963</v>
      </c>
      <c r="D16011" s="4">
        <f>IFERROR(__xludf.DUMMYFUNCTION("""COMPUTED_VALUE"""),13.022158)</f>
        <v>13.022158</v>
      </c>
      <c r="E16011" s="4">
        <f>IFERROR(__xludf.DUMMYFUNCTION("""COMPUTED_VALUE"""),80.226331)</f>
        <v>80.226331</v>
      </c>
      <c r="F16011" s="4">
        <f>IFERROR(__xludf.DUMMYFUNCTION("""COMPUTED_VALUE"""),805.0)</f>
        <v>805</v>
      </c>
      <c r="G16011" s="4">
        <f>IFERROR(__xludf.DUMMYFUNCTION("""COMPUTED_VALUE"""),44.0)</f>
        <v>44</v>
      </c>
      <c r="H16011" s="4"/>
      <c r="I16011" s="4"/>
    </row>
    <row r="16012">
      <c r="A16012" s="4" t="str">
        <f>IFERROR(__xludf.DUMMYFUNCTION("""COMPUTED_VALUE"""),"cas_hmw")</f>
        <v>cas_hmw</v>
      </c>
      <c r="B16012" s="5">
        <f>IFERROR(__xludf.DUMMYFUNCTION("""COMPUTED_VALUE"""),44733.0)</f>
        <v>44733</v>
      </c>
      <c r="C16012" s="6">
        <f>IFERROR(__xludf.DUMMYFUNCTION("""COMPUTED_VALUE"""),0.2951273148137261)</f>
        <v>0.2951273148</v>
      </c>
      <c r="D16012" s="4">
        <f>IFERROR(__xludf.DUMMYFUNCTION("""COMPUTED_VALUE"""),13.023226)</f>
        <v>13.023226</v>
      </c>
      <c r="E16012" s="4">
        <f>IFERROR(__xludf.DUMMYFUNCTION("""COMPUTED_VALUE"""),80.227228)</f>
        <v>80.227228</v>
      </c>
      <c r="F16012" s="4">
        <f>IFERROR(__xludf.DUMMYFUNCTION("""COMPUTED_VALUE"""),805.0)</f>
        <v>805</v>
      </c>
      <c r="G16012" s="4">
        <f>IFERROR(__xludf.DUMMYFUNCTION("""COMPUTED_VALUE"""),51.0)</f>
        <v>51</v>
      </c>
      <c r="H16012" s="4"/>
      <c r="I16012" s="4"/>
    </row>
    <row r="16013">
      <c r="A16013" s="4" t="str">
        <f>IFERROR(__xludf.DUMMYFUNCTION("""COMPUTED_VALUE"""),"cas_hmw")</f>
        <v>cas_hmw</v>
      </c>
      <c r="B16013" s="5">
        <f>IFERROR(__xludf.DUMMYFUNCTION("""COMPUTED_VALUE"""),44733.0)</f>
        <v>44733</v>
      </c>
      <c r="C16013" s="6">
        <f>IFERROR(__xludf.DUMMYFUNCTION("""COMPUTED_VALUE"""),0.29528935185226146)</f>
        <v>0.2952893519</v>
      </c>
      <c r="D16013" s="4">
        <f>IFERROR(__xludf.DUMMYFUNCTION("""COMPUTED_VALUE"""),13.024105)</f>
        <v>13.024105</v>
      </c>
      <c r="E16013" s="4">
        <f>IFERROR(__xludf.DUMMYFUNCTION("""COMPUTED_VALUE"""),80.228161)</f>
        <v>80.228161</v>
      </c>
      <c r="F16013" s="4">
        <f>IFERROR(__xludf.DUMMYFUNCTION("""COMPUTED_VALUE"""),805.0)</f>
        <v>805</v>
      </c>
      <c r="G16013" s="4">
        <f>IFERROR(__xludf.DUMMYFUNCTION("""COMPUTED_VALUE"""),46.0)</f>
        <v>46</v>
      </c>
      <c r="H16013" s="4"/>
      <c r="I16013" s="4"/>
    </row>
    <row r="16014">
      <c r="A16014" s="4" t="str">
        <f>IFERROR(__xludf.DUMMYFUNCTION("""COMPUTED_VALUE"""),"cas_hmw")</f>
        <v>cas_hmw</v>
      </c>
      <c r="B16014" s="5">
        <f>IFERROR(__xludf.DUMMYFUNCTION("""COMPUTED_VALUE"""),44733.0)</f>
        <v>44733</v>
      </c>
      <c r="C16014" s="6">
        <f>IFERROR(__xludf.DUMMYFUNCTION("""COMPUTED_VALUE"""),0.29537037037152913)</f>
        <v>0.2953703704</v>
      </c>
      <c r="D16014" s="4">
        <f>IFERROR(__xludf.DUMMYFUNCTION("""COMPUTED_VALUE"""),13.024772)</f>
        <v>13.024772</v>
      </c>
      <c r="E16014" s="4">
        <f>IFERROR(__xludf.DUMMYFUNCTION("""COMPUTED_VALUE"""),80.229062)</f>
        <v>80.229062</v>
      </c>
      <c r="F16014" s="4">
        <f>IFERROR(__xludf.DUMMYFUNCTION("""COMPUTED_VALUE"""),805.0)</f>
        <v>805</v>
      </c>
      <c r="G16014" s="4">
        <f>IFERROR(__xludf.DUMMYFUNCTION("""COMPUTED_VALUE"""),42.0)</f>
        <v>42</v>
      </c>
      <c r="H16014" s="4"/>
      <c r="I16014" s="4"/>
    </row>
    <row r="16015">
      <c r="A16015" s="4" t="str">
        <f>IFERROR(__xludf.DUMMYFUNCTION("""COMPUTED_VALUE"""),"cas_hmw")</f>
        <v>cas_hmw</v>
      </c>
      <c r="B16015" s="5">
        <f>IFERROR(__xludf.DUMMYFUNCTION("""COMPUTED_VALUE"""),44733.0)</f>
        <v>44733</v>
      </c>
      <c r="C16015" s="6">
        <f>IFERROR(__xludf.DUMMYFUNCTION("""COMPUTED_VALUE"""),0.2954976851870015)</f>
        <v>0.2954976852</v>
      </c>
      <c r="D16015" s="4">
        <f>IFERROR(__xludf.DUMMYFUNCTION("""COMPUTED_VALUE"""),13.025376)</f>
        <v>13.025376</v>
      </c>
      <c r="E16015" s="4">
        <f>IFERROR(__xludf.DUMMYFUNCTION("""COMPUTED_VALUE"""),80.229837)</f>
        <v>80.229837</v>
      </c>
      <c r="F16015" s="4">
        <f>IFERROR(__xludf.DUMMYFUNCTION("""COMPUTED_VALUE"""),805.0)</f>
        <v>805</v>
      </c>
      <c r="G16015" s="4">
        <f>IFERROR(__xludf.DUMMYFUNCTION("""COMPUTED_VALUE"""),39.0)</f>
        <v>39</v>
      </c>
      <c r="H16015" s="4"/>
      <c r="I16015" s="4"/>
    </row>
    <row r="16016">
      <c r="A16016" s="4" t="str">
        <f>IFERROR(__xludf.DUMMYFUNCTION("""COMPUTED_VALUE"""),"cas_hmw")</f>
        <v>cas_hmw</v>
      </c>
      <c r="B16016" s="5">
        <f>IFERROR(__xludf.DUMMYFUNCTION("""COMPUTED_VALUE"""),44733.0)</f>
        <v>44733</v>
      </c>
      <c r="C16016" s="6">
        <f>IFERROR(__xludf.DUMMYFUNCTION("""COMPUTED_VALUE"""),0.2955902777794108)</f>
        <v>0.2955902778</v>
      </c>
      <c r="D16016" s="4">
        <f>IFERROR(__xludf.DUMMYFUNCTION("""COMPUTED_VALUE"""),13.025925)</f>
        <v>13.025925</v>
      </c>
      <c r="E16016" s="4">
        <f>IFERROR(__xludf.DUMMYFUNCTION("""COMPUTED_VALUE"""),80.230774)</f>
        <v>80.230774</v>
      </c>
      <c r="F16016" s="4">
        <f>IFERROR(__xludf.DUMMYFUNCTION("""COMPUTED_VALUE"""),805.0)</f>
        <v>805</v>
      </c>
      <c r="G16016" s="4">
        <f>IFERROR(__xludf.DUMMYFUNCTION("""COMPUTED_VALUE"""),44.0)</f>
        <v>44</v>
      </c>
      <c r="H16016" s="4"/>
      <c r="I16016" s="4"/>
    </row>
    <row r="16017">
      <c r="A16017" s="4" t="str">
        <f>IFERROR(__xludf.DUMMYFUNCTION("""COMPUTED_VALUE"""),"cas_hmw")</f>
        <v>cas_hmw</v>
      </c>
      <c r="B16017" s="5">
        <f>IFERROR(__xludf.DUMMYFUNCTION("""COMPUTED_VALUE"""),44733.0)</f>
        <v>44733</v>
      </c>
      <c r="C16017" s="6">
        <f>IFERROR(__xludf.DUMMYFUNCTION("""COMPUTED_VALUE"""),0.2956365740756155)</f>
        <v>0.2956365741</v>
      </c>
      <c r="D16017" s="4">
        <f>IFERROR(__xludf.DUMMYFUNCTION("""COMPUTED_VALUE"""),13.025925)</f>
        <v>13.025925</v>
      </c>
      <c r="E16017" s="4">
        <f>IFERROR(__xludf.DUMMYFUNCTION("""COMPUTED_VALUE"""),80.230774)</f>
        <v>80.230774</v>
      </c>
      <c r="F16017" s="4">
        <f>IFERROR(__xludf.DUMMYFUNCTION("""COMPUTED_VALUE"""),805.0)</f>
        <v>805</v>
      </c>
      <c r="G16017" s="4">
        <f>IFERROR(__xludf.DUMMYFUNCTION("""COMPUTED_VALUE"""),44.0)</f>
        <v>44</v>
      </c>
      <c r="H16017" s="4"/>
      <c r="I16017" s="4"/>
    </row>
    <row r="16018">
      <c r="A16018" s="4" t="str">
        <f>IFERROR(__xludf.DUMMYFUNCTION("""COMPUTED_VALUE"""),"cas_hmw")</f>
        <v>cas_hmw</v>
      </c>
      <c r="B16018" s="5">
        <f>IFERROR(__xludf.DUMMYFUNCTION("""COMPUTED_VALUE"""),44733.0)</f>
        <v>44733</v>
      </c>
      <c r="C16018" s="6">
        <f>IFERROR(__xludf.DUMMYFUNCTION("""COMPUTED_VALUE"""),0.2957407407411665)</f>
        <v>0.2957407407</v>
      </c>
      <c r="D16018" s="4">
        <f>IFERROR(__xludf.DUMMYFUNCTION("""COMPUTED_VALUE"""),13.026199)</f>
        <v>13.026199</v>
      </c>
      <c r="E16018" s="4">
        <f>IFERROR(__xludf.DUMMYFUNCTION("""COMPUTED_VALUE"""),80.231805)</f>
        <v>80.231805</v>
      </c>
      <c r="F16018" s="4">
        <f>IFERROR(__xludf.DUMMYFUNCTION("""COMPUTED_VALUE"""),805.0)</f>
        <v>805</v>
      </c>
      <c r="G16018" s="4">
        <f>IFERROR(__xludf.DUMMYFUNCTION("""COMPUTED_VALUE"""),40.0)</f>
        <v>40</v>
      </c>
      <c r="H16018" s="4"/>
      <c r="I16018" s="4"/>
    </row>
    <row r="16019">
      <c r="A16019" s="4" t="str">
        <f>IFERROR(__xludf.DUMMYFUNCTION("""COMPUTED_VALUE"""),"cas_hmw")</f>
        <v>cas_hmw</v>
      </c>
      <c r="B16019" s="5">
        <f>IFERROR(__xludf.DUMMYFUNCTION("""COMPUTED_VALUE"""),44733.0)</f>
        <v>44733</v>
      </c>
      <c r="C16019" s="6">
        <f>IFERROR(__xludf.DUMMYFUNCTION("""COMPUTED_VALUE"""),0.29576388888744987)</f>
        <v>0.2957638889</v>
      </c>
      <c r="D16019" s="4">
        <f>IFERROR(__xludf.DUMMYFUNCTION("""COMPUTED_VALUE"""),13.026199)</f>
        <v>13.026199</v>
      </c>
      <c r="E16019" s="4">
        <f>IFERROR(__xludf.DUMMYFUNCTION("""COMPUTED_VALUE"""),80.231805)</f>
        <v>80.231805</v>
      </c>
      <c r="F16019" s="4">
        <f>IFERROR(__xludf.DUMMYFUNCTION("""COMPUTED_VALUE"""),805.0)</f>
        <v>805</v>
      </c>
      <c r="G16019" s="4">
        <f>IFERROR(__xludf.DUMMYFUNCTION("""COMPUTED_VALUE"""),40.0)</f>
        <v>40</v>
      </c>
      <c r="H16019" s="4"/>
      <c r="I16019" s="4"/>
    </row>
    <row r="16020">
      <c r="A16020" s="4" t="str">
        <f>IFERROR(__xludf.DUMMYFUNCTION("""COMPUTED_VALUE"""),"cas_hmw")</f>
        <v>cas_hmw</v>
      </c>
      <c r="B16020" s="5">
        <f>IFERROR(__xludf.DUMMYFUNCTION("""COMPUTED_VALUE"""),44733.0)</f>
        <v>44733</v>
      </c>
      <c r="C16020" s="6">
        <f>IFERROR(__xludf.DUMMYFUNCTION("""COMPUTED_VALUE"""),0.2959953703721112)</f>
        <v>0.2959953704</v>
      </c>
      <c r="D16020" s="4">
        <f>IFERROR(__xludf.DUMMYFUNCTION("""COMPUTED_VALUE"""),13.026566)</f>
        <v>13.026566</v>
      </c>
      <c r="E16020" s="4">
        <f>IFERROR(__xludf.DUMMYFUNCTION("""COMPUTED_VALUE"""),80.232895)</f>
        <v>80.232895</v>
      </c>
      <c r="F16020" s="4">
        <f>IFERROR(__xludf.DUMMYFUNCTION("""COMPUTED_VALUE"""),805.0)</f>
        <v>805</v>
      </c>
      <c r="G16020" s="4">
        <f>IFERROR(__xludf.DUMMYFUNCTION("""COMPUTED_VALUE"""),51.0)</f>
        <v>51</v>
      </c>
      <c r="H16020" s="4"/>
      <c r="I16020" s="4"/>
    </row>
    <row r="16021">
      <c r="A16021" s="4" t="str">
        <f>IFERROR(__xludf.DUMMYFUNCTION("""COMPUTED_VALUE"""),"cas_hmw")</f>
        <v>cas_hmw</v>
      </c>
      <c r="B16021" s="5">
        <f>IFERROR(__xludf.DUMMYFUNCTION("""COMPUTED_VALUE"""),44733.0)</f>
        <v>44733</v>
      </c>
      <c r="C16021" s="6">
        <f>IFERROR(__xludf.DUMMYFUNCTION("""COMPUTED_VALUE"""),0.2966898148151813)</f>
        <v>0.2966898148</v>
      </c>
      <c r="D16021" s="4">
        <f>IFERROR(__xludf.DUMMYFUNCTION("""COMPUTED_VALUE"""),13.028477)</f>
        <v>13.028477</v>
      </c>
      <c r="E16021" s="4">
        <f>IFERROR(__xludf.DUMMYFUNCTION("""COMPUTED_VALUE"""),80.235951)</f>
        <v>80.235951</v>
      </c>
      <c r="F16021" s="4">
        <f>IFERROR(__xludf.DUMMYFUNCTION("""COMPUTED_VALUE"""),805.0)</f>
        <v>805</v>
      </c>
      <c r="G16021" s="4">
        <f>IFERROR(__xludf.DUMMYFUNCTION("""COMPUTED_VALUE"""),38.0)</f>
        <v>38</v>
      </c>
      <c r="H16021" s="4"/>
      <c r="I16021" s="4"/>
    </row>
    <row r="16022">
      <c r="A16022" s="4" t="str">
        <f>IFERROR(__xludf.DUMMYFUNCTION("""COMPUTED_VALUE"""),"cas_hmw")</f>
        <v>cas_hmw</v>
      </c>
      <c r="B16022" s="5">
        <f>IFERROR(__xludf.DUMMYFUNCTION("""COMPUTED_VALUE"""),44733.0)</f>
        <v>44733</v>
      </c>
      <c r="C16022" s="6">
        <f>IFERROR(__xludf.DUMMYFUNCTION("""COMPUTED_VALUE"""),0.29700231481547235)</f>
        <v>0.2970023148</v>
      </c>
      <c r="D16022" s="4">
        <f>IFERROR(__xludf.DUMMYFUNCTION("""COMPUTED_VALUE"""),13.028477)</f>
        <v>13.028477</v>
      </c>
      <c r="E16022" s="4">
        <f>IFERROR(__xludf.DUMMYFUNCTION("""COMPUTED_VALUE"""),80.235951)</f>
        <v>80.235951</v>
      </c>
      <c r="F16022" s="4">
        <f>IFERROR(__xludf.DUMMYFUNCTION("""COMPUTED_VALUE"""),805.0)</f>
        <v>805</v>
      </c>
      <c r="G16022" s="4">
        <f>IFERROR(__xludf.DUMMYFUNCTION("""COMPUTED_VALUE"""),38.0)</f>
        <v>38</v>
      </c>
      <c r="H16022" s="4"/>
      <c r="I16022" s="4"/>
    </row>
    <row r="16023">
      <c r="A16023" s="4" t="str">
        <f>IFERROR(__xludf.DUMMYFUNCTION("""COMPUTED_VALUE"""),"cas_hmw")</f>
        <v>cas_hmw</v>
      </c>
      <c r="B16023" s="5">
        <f>IFERROR(__xludf.DUMMYFUNCTION("""COMPUTED_VALUE"""),44733.0)</f>
        <v>44733</v>
      </c>
      <c r="C16023" s="6">
        <f>IFERROR(__xludf.DUMMYFUNCTION("""COMPUTED_VALUE"""),0.2973148148157634)</f>
        <v>0.2973148148</v>
      </c>
      <c r="D16023" s="4">
        <f>IFERROR(__xludf.DUMMYFUNCTION("""COMPUTED_VALUE"""),13.028477)</f>
        <v>13.028477</v>
      </c>
      <c r="E16023" s="4">
        <f>IFERROR(__xludf.DUMMYFUNCTION("""COMPUTED_VALUE"""),80.235951)</f>
        <v>80.235951</v>
      </c>
      <c r="F16023" s="4">
        <f>IFERROR(__xludf.DUMMYFUNCTION("""COMPUTED_VALUE"""),805.0)</f>
        <v>805</v>
      </c>
      <c r="G16023" s="4">
        <f>IFERROR(__xludf.DUMMYFUNCTION("""COMPUTED_VALUE"""),38.0)</f>
        <v>38</v>
      </c>
      <c r="H16023" s="4"/>
      <c r="I16023" s="4"/>
    </row>
    <row r="16024">
      <c r="A16024" s="4" t="str">
        <f>IFERROR(__xludf.DUMMYFUNCTION("""COMPUTED_VALUE"""),"cas_hmw")</f>
        <v>cas_hmw</v>
      </c>
      <c r="B16024" s="5">
        <f>IFERROR(__xludf.DUMMYFUNCTION("""COMPUTED_VALUE"""),44733.0)</f>
        <v>44733</v>
      </c>
      <c r="C16024" s="6">
        <f>IFERROR(__xludf.DUMMYFUNCTION("""COMPUTED_VALUE"""),0.2974189814813144)</f>
        <v>0.2974189815</v>
      </c>
      <c r="D16024" s="4">
        <f>IFERROR(__xludf.DUMMYFUNCTION("""COMPUTED_VALUE"""),13.028477)</f>
        <v>13.028477</v>
      </c>
      <c r="E16024" s="4">
        <f>IFERROR(__xludf.DUMMYFUNCTION("""COMPUTED_VALUE"""),80.235951)</f>
        <v>80.235951</v>
      </c>
      <c r="F16024" s="4">
        <f>IFERROR(__xludf.DUMMYFUNCTION("""COMPUTED_VALUE"""),805.0)</f>
        <v>805</v>
      </c>
      <c r="G16024" s="4">
        <f>IFERROR(__xludf.DUMMYFUNCTION("""COMPUTED_VALUE"""),38.0)</f>
        <v>38</v>
      </c>
      <c r="H16024" s="4"/>
      <c r="I16024" s="4"/>
    </row>
    <row r="16025">
      <c r="A16025" s="4" t="str">
        <f>IFERROR(__xludf.DUMMYFUNCTION("""COMPUTED_VALUE"""),"cas_hmw")</f>
        <v>cas_hmw</v>
      </c>
      <c r="B16025" s="5">
        <f>IFERROR(__xludf.DUMMYFUNCTION("""COMPUTED_VALUE"""),44733.0)</f>
        <v>44733</v>
      </c>
      <c r="C16025" s="6">
        <f>IFERROR(__xludf.DUMMYFUNCTION("""COMPUTED_VALUE"""),0.2991319444445253)</f>
        <v>0.2991319444</v>
      </c>
      <c r="D16025" s="4">
        <f>IFERROR(__xludf.DUMMYFUNCTION("""COMPUTED_VALUE"""),13.040595)</f>
        <v>13.040595</v>
      </c>
      <c r="E16025" s="4">
        <f>IFERROR(__xludf.DUMMYFUNCTION("""COMPUTED_VALUE"""),80.247128)</f>
        <v>80.247128</v>
      </c>
      <c r="F16025" s="4">
        <f>IFERROR(__xludf.DUMMYFUNCTION("""COMPUTED_VALUE"""),805.0)</f>
        <v>805</v>
      </c>
      <c r="G16025" s="4">
        <f>IFERROR(__xludf.DUMMYFUNCTION("""COMPUTED_VALUE"""),49.0)</f>
        <v>49</v>
      </c>
      <c r="H16025" s="4"/>
      <c r="I16025" s="4"/>
    </row>
    <row r="16026">
      <c r="A16026" s="4" t="str">
        <f>IFERROR(__xludf.DUMMYFUNCTION("""COMPUTED_VALUE"""),"cas_hmw")</f>
        <v>cas_hmw</v>
      </c>
      <c r="B16026" s="5">
        <f>IFERROR(__xludf.DUMMYFUNCTION("""COMPUTED_VALUE"""),44733.0)</f>
        <v>44733</v>
      </c>
      <c r="C16026" s="6">
        <f>IFERROR(__xludf.DUMMYFUNCTION("""COMPUTED_VALUE"""),0.2996759259258397)</f>
        <v>0.2996759259</v>
      </c>
      <c r="D16026" s="4">
        <f>IFERROR(__xludf.DUMMYFUNCTION("""COMPUTED_VALUE"""),13.072982)</f>
        <v>13.072982</v>
      </c>
      <c r="E16026" s="4">
        <f>IFERROR(__xludf.DUMMYFUNCTION("""COMPUTED_VALUE"""),80.262012)</f>
        <v>80.262012</v>
      </c>
      <c r="F16026" s="4">
        <f>IFERROR(__xludf.DUMMYFUNCTION("""COMPUTED_VALUE"""),5339.0)</f>
        <v>5339</v>
      </c>
      <c r="G16026" s="4">
        <f>IFERROR(__xludf.DUMMYFUNCTION("""COMPUTED_VALUE"""),26.0)</f>
        <v>26</v>
      </c>
      <c r="H16026" s="4"/>
      <c r="I16026" s="4"/>
    </row>
    <row r="16027">
      <c r="A16027" s="4" t="str">
        <f>IFERROR(__xludf.DUMMYFUNCTION("""COMPUTED_VALUE"""),"cas_hmw")</f>
        <v>cas_hmw</v>
      </c>
      <c r="B16027" s="5">
        <f>IFERROR(__xludf.DUMMYFUNCTION("""COMPUTED_VALUE"""),44733.0)</f>
        <v>44733</v>
      </c>
      <c r="C16027" s="6">
        <f>IFERROR(__xludf.DUMMYFUNCTION("""COMPUTED_VALUE"""),0.2996759259258397)</f>
        <v>0.2996759259</v>
      </c>
      <c r="D16027" s="4">
        <f>IFERROR(__xludf.DUMMYFUNCTION("""COMPUTED_VALUE"""),13.072982)</f>
        <v>13.072982</v>
      </c>
      <c r="E16027" s="4">
        <f>IFERROR(__xludf.DUMMYFUNCTION("""COMPUTED_VALUE"""),80.262012)</f>
        <v>80.262012</v>
      </c>
      <c r="F16027" s="4">
        <f>IFERROR(__xludf.DUMMYFUNCTION("""COMPUTED_VALUE"""),5339.0)</f>
        <v>5339</v>
      </c>
      <c r="G16027" s="4">
        <f>IFERROR(__xludf.DUMMYFUNCTION("""COMPUTED_VALUE"""),26.0)</f>
        <v>26</v>
      </c>
      <c r="H16027" s="4"/>
      <c r="I16027" s="4"/>
    </row>
    <row r="16028">
      <c r="A16028" s="4" t="str">
        <f>IFERROR(__xludf.DUMMYFUNCTION("""COMPUTED_VALUE"""),"cas_hmw")</f>
        <v>cas_hmw</v>
      </c>
      <c r="B16028" s="5">
        <f>IFERROR(__xludf.DUMMYFUNCTION("""COMPUTED_VALUE"""),44733.0)</f>
        <v>44733</v>
      </c>
      <c r="C16028" s="6">
        <f>IFERROR(__xludf.DUMMYFUNCTION("""COMPUTED_VALUE"""),0.2998263888875954)</f>
        <v>0.2998263889</v>
      </c>
      <c r="D16028" s="4">
        <f>IFERROR(__xludf.DUMMYFUNCTION("""COMPUTED_VALUE"""),13.047837)</f>
        <v>13.047837</v>
      </c>
      <c r="E16028" s="4">
        <f>IFERROR(__xludf.DUMMYFUNCTION("""COMPUTED_VALUE"""),80.248986)</f>
        <v>80.248986</v>
      </c>
      <c r="F16028" s="4">
        <f>IFERROR(__xludf.DUMMYFUNCTION("""COMPUTED_VALUE"""),805.0)</f>
        <v>805</v>
      </c>
      <c r="G16028" s="4">
        <f>IFERROR(__xludf.DUMMYFUNCTION("""COMPUTED_VALUE"""),49.0)</f>
        <v>49</v>
      </c>
      <c r="H16028" s="4"/>
      <c r="I16028" s="4"/>
    </row>
    <row r="16029">
      <c r="A16029" s="4" t="str">
        <f>IFERROR(__xludf.DUMMYFUNCTION("""COMPUTED_VALUE"""),"cas_hmw")</f>
        <v>cas_hmw</v>
      </c>
      <c r="B16029" s="5">
        <f>IFERROR(__xludf.DUMMYFUNCTION("""COMPUTED_VALUE"""),44733.0)</f>
        <v>44733</v>
      </c>
      <c r="C16029" s="6">
        <f>IFERROR(__xludf.DUMMYFUNCTION("""COMPUTED_VALUE"""),0.2999652777762094)</f>
        <v>0.2999652778</v>
      </c>
      <c r="D16029" s="4">
        <f>IFERROR(__xludf.DUMMYFUNCTION("""COMPUTED_VALUE"""),13.072528)</f>
        <v>13.072528</v>
      </c>
      <c r="E16029" s="4">
        <f>IFERROR(__xludf.DUMMYFUNCTION("""COMPUTED_VALUE"""),80.263296)</f>
        <v>80.263296</v>
      </c>
      <c r="F16029" s="4">
        <f>IFERROR(__xludf.DUMMYFUNCTION("""COMPUTED_VALUE"""),5339.0)</f>
        <v>5339</v>
      </c>
      <c r="G16029" s="4">
        <f>IFERROR(__xludf.DUMMYFUNCTION("""COMPUTED_VALUE"""),16.0)</f>
        <v>16</v>
      </c>
      <c r="H16029" s="4"/>
      <c r="I16029" s="4"/>
    </row>
    <row r="16030">
      <c r="A16030" s="4" t="str">
        <f>IFERROR(__xludf.DUMMYFUNCTION("""COMPUTED_VALUE"""),"cas_hmw")</f>
        <v>cas_hmw</v>
      </c>
      <c r="B16030" s="5">
        <f>IFERROR(__xludf.DUMMYFUNCTION("""COMPUTED_VALUE"""),44733.0)</f>
        <v>44733</v>
      </c>
      <c r="C16030" s="6">
        <f>IFERROR(__xludf.DUMMYFUNCTION("""COMPUTED_VALUE"""),0.2999652777762094)</f>
        <v>0.2999652778</v>
      </c>
      <c r="D16030" s="4">
        <f>IFERROR(__xludf.DUMMYFUNCTION("""COMPUTED_VALUE"""),13.072528)</f>
        <v>13.072528</v>
      </c>
      <c r="E16030" s="4">
        <f>IFERROR(__xludf.DUMMYFUNCTION("""COMPUTED_VALUE"""),80.263296)</f>
        <v>80.263296</v>
      </c>
      <c r="F16030" s="4">
        <f>IFERROR(__xludf.DUMMYFUNCTION("""COMPUTED_VALUE"""),5339.0)</f>
        <v>5339</v>
      </c>
      <c r="G16030" s="4">
        <f>IFERROR(__xludf.DUMMYFUNCTION("""COMPUTED_VALUE"""),16.0)</f>
        <v>16</v>
      </c>
      <c r="H16030" s="4"/>
      <c r="I16030" s="4"/>
    </row>
    <row r="16031">
      <c r="A16031" s="4" t="str">
        <f>IFERROR(__xludf.DUMMYFUNCTION("""COMPUTED_VALUE"""),"cas_hmw")</f>
        <v>cas_hmw</v>
      </c>
      <c r="B16031" s="5">
        <f>IFERROR(__xludf.DUMMYFUNCTION("""COMPUTED_VALUE"""),44733.0)</f>
        <v>44733</v>
      </c>
      <c r="C16031" s="6">
        <f>IFERROR(__xludf.DUMMYFUNCTION("""COMPUTED_VALUE"""),0.29997685185298906)</f>
        <v>0.2999768519</v>
      </c>
      <c r="D16031" s="4">
        <f>IFERROR(__xludf.DUMMYFUNCTION("""COMPUTED_VALUE"""),13.072528)</f>
        <v>13.072528</v>
      </c>
      <c r="E16031" s="4">
        <f>IFERROR(__xludf.DUMMYFUNCTION("""COMPUTED_VALUE"""),80.263296)</f>
        <v>80.263296</v>
      </c>
      <c r="F16031" s="4">
        <f>IFERROR(__xludf.DUMMYFUNCTION("""COMPUTED_VALUE"""),5339.0)</f>
        <v>5339</v>
      </c>
      <c r="G16031" s="4">
        <f>IFERROR(__xludf.DUMMYFUNCTION("""COMPUTED_VALUE"""),16.0)</f>
        <v>16</v>
      </c>
      <c r="H16031" s="4"/>
      <c r="I16031" s="4"/>
    </row>
    <row r="16032">
      <c r="A16032" s="4" t="str">
        <f>IFERROR(__xludf.DUMMYFUNCTION("""COMPUTED_VALUE"""),"cas_hmw")</f>
        <v>cas_hmw</v>
      </c>
      <c r="B16032" s="5">
        <f>IFERROR(__xludf.DUMMYFUNCTION("""COMPUTED_VALUE"""),44733.0)</f>
        <v>44733</v>
      </c>
      <c r="C16032" s="6">
        <f>IFERROR(__xludf.DUMMYFUNCTION("""COMPUTED_VALUE"""),0.30019675926087075)</f>
        <v>0.3001967593</v>
      </c>
      <c r="D16032" s="4">
        <f>IFERROR(__xludf.DUMMYFUNCTION("""COMPUTED_VALUE"""),12.541448)</f>
        <v>12.541448</v>
      </c>
      <c r="E16032" s="4">
        <f>IFERROR(__xludf.DUMMYFUNCTION("""COMPUTED_VALUE"""),79.90448)</f>
        <v>79.90448</v>
      </c>
      <c r="F16032" s="4">
        <f>IFERROR(__xludf.DUMMYFUNCTION("""COMPUTED_VALUE"""),2846.0)</f>
        <v>2846</v>
      </c>
      <c r="G16032" s="4">
        <f>IFERROR(__xludf.DUMMYFUNCTION("""COMPUTED_VALUE"""),54.0)</f>
        <v>54</v>
      </c>
      <c r="H16032" s="4"/>
      <c r="I16032" s="4"/>
    </row>
    <row r="16033">
      <c r="A16033" s="4" t="str">
        <f>IFERROR(__xludf.DUMMYFUNCTION("""COMPUTED_VALUE"""),"cas_hmw")</f>
        <v>cas_hmw</v>
      </c>
      <c r="B16033" s="5">
        <f>IFERROR(__xludf.DUMMYFUNCTION("""COMPUTED_VALUE"""),44733.0)</f>
        <v>44733</v>
      </c>
      <c r="C16033" s="6">
        <f>IFERROR(__xludf.DUMMYFUNCTION("""COMPUTED_VALUE"""),0.30019675926087075)</f>
        <v>0.3001967593</v>
      </c>
      <c r="D16033" s="4">
        <f>IFERROR(__xludf.DUMMYFUNCTION("""COMPUTED_VALUE"""),13.072528)</f>
        <v>13.072528</v>
      </c>
      <c r="E16033" s="4">
        <f>IFERROR(__xludf.DUMMYFUNCTION("""COMPUTED_VALUE"""),80.263296)</f>
        <v>80.263296</v>
      </c>
      <c r="F16033" s="4">
        <f>IFERROR(__xludf.DUMMYFUNCTION("""COMPUTED_VALUE"""),5339.0)</f>
        <v>5339</v>
      </c>
      <c r="G16033" s="4">
        <f>IFERROR(__xludf.DUMMYFUNCTION("""COMPUTED_VALUE"""),16.0)</f>
        <v>16</v>
      </c>
      <c r="H16033" s="4"/>
      <c r="I16033" s="4"/>
    </row>
    <row r="16034">
      <c r="A16034" s="4" t="str">
        <f>IFERROR(__xludf.DUMMYFUNCTION("""COMPUTED_VALUE"""),"cas_hmw")</f>
        <v>cas_hmw</v>
      </c>
      <c r="B16034" s="5">
        <f>IFERROR(__xludf.DUMMYFUNCTION("""COMPUTED_VALUE"""),44733.0)</f>
        <v>44733</v>
      </c>
      <c r="C16034" s="6">
        <f>IFERROR(__xludf.DUMMYFUNCTION("""COMPUTED_VALUE"""),0.30019675926087075)</f>
        <v>0.3001967593</v>
      </c>
      <c r="D16034" s="4">
        <f>IFERROR(__xludf.DUMMYFUNCTION("""COMPUTED_VALUE"""),12.541448)</f>
        <v>12.541448</v>
      </c>
      <c r="E16034" s="4">
        <f>IFERROR(__xludf.DUMMYFUNCTION("""COMPUTED_VALUE"""),79.90448)</f>
        <v>79.90448</v>
      </c>
      <c r="F16034" s="4">
        <f>IFERROR(__xludf.DUMMYFUNCTION("""COMPUTED_VALUE"""),2846.0)</f>
        <v>2846</v>
      </c>
      <c r="G16034" s="4">
        <f>IFERROR(__xludf.DUMMYFUNCTION("""COMPUTED_VALUE"""),54.0)</f>
        <v>54</v>
      </c>
      <c r="H16034" s="4"/>
      <c r="I16034" s="4"/>
    </row>
    <row r="16035">
      <c r="A16035" s="4" t="str">
        <f>IFERROR(__xludf.DUMMYFUNCTION("""COMPUTED_VALUE"""),"cas_hmw")</f>
        <v>cas_hmw</v>
      </c>
      <c r="B16035" s="5">
        <f>IFERROR(__xludf.DUMMYFUNCTION("""COMPUTED_VALUE"""),44733.0)</f>
        <v>44733</v>
      </c>
      <c r="C16035" s="6">
        <f>IFERROR(__xludf.DUMMYFUNCTION("""COMPUTED_VALUE"""),0.3002199074071541)</f>
        <v>0.3002199074</v>
      </c>
      <c r="D16035" s="4">
        <f>IFERROR(__xludf.DUMMYFUNCTION("""COMPUTED_VALUE"""),13.071962)</f>
        <v>13.071962</v>
      </c>
      <c r="E16035" s="4">
        <f>IFERROR(__xludf.DUMMYFUNCTION("""COMPUTED_VALUE"""),80.264231)</f>
        <v>80.264231</v>
      </c>
      <c r="F16035" s="4">
        <f>IFERROR(__xludf.DUMMYFUNCTION("""COMPUTED_VALUE"""),5339.0)</f>
        <v>5339</v>
      </c>
      <c r="G16035" s="4">
        <f>IFERROR(__xludf.DUMMYFUNCTION("""COMPUTED_VALUE"""),17.0)</f>
        <v>17</v>
      </c>
      <c r="H16035" s="4"/>
      <c r="I16035" s="4"/>
    </row>
    <row r="16036">
      <c r="A16036" s="4" t="str">
        <f>IFERROR(__xludf.DUMMYFUNCTION("""COMPUTED_VALUE"""),"cas_hmw")</f>
        <v>cas_hmw</v>
      </c>
      <c r="B16036" s="5">
        <f>IFERROR(__xludf.DUMMYFUNCTION("""COMPUTED_VALUE"""),44733.0)</f>
        <v>44733</v>
      </c>
      <c r="C16036" s="6">
        <f>IFERROR(__xludf.DUMMYFUNCTION("""COMPUTED_VALUE"""),0.30060185185357113)</f>
        <v>0.3006018519</v>
      </c>
      <c r="D16036" s="4">
        <f>IFERROR(__xludf.DUMMYFUNCTION("""COMPUTED_VALUE"""),13.054192)</f>
        <v>13.054192</v>
      </c>
      <c r="E16036" s="4">
        <f>IFERROR(__xludf.DUMMYFUNCTION("""COMPUTED_VALUE"""),80.253421)</f>
        <v>80.253421</v>
      </c>
      <c r="F16036" s="4">
        <f>IFERROR(__xludf.DUMMYFUNCTION("""COMPUTED_VALUE"""),805.0)</f>
        <v>805</v>
      </c>
      <c r="G16036" s="4">
        <f>IFERROR(__xludf.DUMMYFUNCTION("""COMPUTED_VALUE"""),52.0)</f>
        <v>52</v>
      </c>
      <c r="H16036" s="4"/>
      <c r="I16036" s="4"/>
    </row>
    <row r="16037">
      <c r="A16037" s="4" t="str">
        <f>IFERROR(__xludf.DUMMYFUNCTION("""COMPUTED_VALUE"""),"cas_hmw")</f>
        <v>cas_hmw</v>
      </c>
      <c r="B16037" s="5">
        <f>IFERROR(__xludf.DUMMYFUNCTION("""COMPUTED_VALUE"""),44733.0)</f>
        <v>44733</v>
      </c>
      <c r="C16037" s="6">
        <f>IFERROR(__xludf.DUMMYFUNCTION("""COMPUTED_VALUE"""),0.3006828703692008)</f>
        <v>0.3006828704</v>
      </c>
      <c r="D16037" s="4">
        <f>IFERROR(__xludf.DUMMYFUNCTION("""COMPUTED_VALUE"""),13.054978)</f>
        <v>13.054978</v>
      </c>
      <c r="E16037" s="4">
        <f>IFERROR(__xludf.DUMMYFUNCTION("""COMPUTED_VALUE"""),80.254416)</f>
        <v>80.254416</v>
      </c>
      <c r="F16037" s="4">
        <f>IFERROR(__xludf.DUMMYFUNCTION("""COMPUTED_VALUE"""),805.0)</f>
        <v>805</v>
      </c>
      <c r="G16037" s="4">
        <f>IFERROR(__xludf.DUMMYFUNCTION("""COMPUTED_VALUE"""),42.0)</f>
        <v>42</v>
      </c>
      <c r="H16037" s="4"/>
      <c r="I16037" s="4"/>
    </row>
    <row r="16038">
      <c r="A16038" s="4" t="str">
        <f>IFERROR(__xludf.DUMMYFUNCTION("""COMPUTED_VALUE"""),"cas_hmw")</f>
        <v>cas_hmw</v>
      </c>
      <c r="B16038" s="5">
        <f>IFERROR(__xludf.DUMMYFUNCTION("""COMPUTED_VALUE"""),44733.0)</f>
        <v>44733</v>
      </c>
      <c r="C16038" s="6">
        <f>IFERROR(__xludf.DUMMYFUNCTION("""COMPUTED_VALUE"""),0.30092592592700385)</f>
        <v>0.3009259259</v>
      </c>
      <c r="D16038" s="4">
        <f>IFERROR(__xludf.DUMMYFUNCTION("""COMPUTED_VALUE"""),13.056337)</f>
        <v>13.056337</v>
      </c>
      <c r="E16038" s="4">
        <f>IFERROR(__xludf.DUMMYFUNCTION("""COMPUTED_VALUE"""),80.256319)</f>
        <v>80.256319</v>
      </c>
      <c r="F16038" s="4">
        <f>IFERROR(__xludf.DUMMYFUNCTION("""COMPUTED_VALUE"""),805.0)</f>
        <v>805</v>
      </c>
      <c r="G16038" s="4">
        <f>IFERROR(__xludf.DUMMYFUNCTION("""COMPUTED_VALUE"""),51.0)</f>
        <v>51</v>
      </c>
      <c r="H16038" s="4"/>
      <c r="I16038" s="4"/>
    </row>
    <row r="16039">
      <c r="A16039" s="4" t="str">
        <f>IFERROR(__xludf.DUMMYFUNCTION("""COMPUTED_VALUE"""),"cas_hmw")</f>
        <v>cas_hmw</v>
      </c>
      <c r="B16039" s="5">
        <f>IFERROR(__xludf.DUMMYFUNCTION("""COMPUTED_VALUE"""),44733.0)</f>
        <v>44733</v>
      </c>
      <c r="C16039" s="6">
        <f>IFERROR(__xludf.DUMMYFUNCTION("""COMPUTED_VALUE"""),0.3019560185202863)</f>
        <v>0.3019560185</v>
      </c>
      <c r="D16039" s="4">
        <f>IFERROR(__xludf.DUMMYFUNCTION("""COMPUTED_VALUE"""),13.06198)</f>
        <v>13.06198</v>
      </c>
      <c r="E16039" s="4">
        <f>IFERROR(__xludf.DUMMYFUNCTION("""COMPUTED_VALUE"""),80.262728)</f>
        <v>80.262728</v>
      </c>
      <c r="F16039" s="4">
        <f>IFERROR(__xludf.DUMMYFUNCTION("""COMPUTED_VALUE"""),805.0)</f>
        <v>805</v>
      </c>
      <c r="G16039" s="4">
        <f>IFERROR(__xludf.DUMMYFUNCTION("""COMPUTED_VALUE"""),21.0)</f>
        <v>21</v>
      </c>
      <c r="H16039" s="4"/>
      <c r="I16039" s="4"/>
    </row>
    <row r="16040">
      <c r="A16040" s="4" t="str">
        <f>IFERROR(__xludf.DUMMYFUNCTION("""COMPUTED_VALUE"""),"cas_hmw")</f>
        <v>cas_hmw</v>
      </c>
      <c r="B16040" s="5">
        <f>IFERROR(__xludf.DUMMYFUNCTION("""COMPUTED_VALUE"""),44733.0)</f>
        <v>44733</v>
      </c>
      <c r="C16040" s="6">
        <f>IFERROR(__xludf.DUMMYFUNCTION("""COMPUTED_VALUE"""),0.301967592593428)</f>
        <v>0.3019675926</v>
      </c>
      <c r="D16040" s="4">
        <f>IFERROR(__xludf.DUMMYFUNCTION("""COMPUTED_VALUE"""),13.06198)</f>
        <v>13.06198</v>
      </c>
      <c r="E16040" s="4">
        <f>IFERROR(__xludf.DUMMYFUNCTION("""COMPUTED_VALUE"""),80.262728)</f>
        <v>80.262728</v>
      </c>
      <c r="F16040" s="4">
        <f>IFERROR(__xludf.DUMMYFUNCTION("""COMPUTED_VALUE"""),805.0)</f>
        <v>805</v>
      </c>
      <c r="G16040" s="4">
        <f>IFERROR(__xludf.DUMMYFUNCTION("""COMPUTED_VALUE"""),21.0)</f>
        <v>21</v>
      </c>
      <c r="H16040" s="4"/>
      <c r="I16040" s="4"/>
    </row>
    <row r="16041">
      <c r="A16041" s="4" t="str">
        <f>IFERROR(__xludf.DUMMYFUNCTION("""COMPUTED_VALUE"""),"cas_hmw")</f>
        <v>cas_hmw</v>
      </c>
      <c r="B16041" s="5">
        <f>IFERROR(__xludf.DUMMYFUNCTION("""COMPUTED_VALUE"""),44733.0)</f>
        <v>44733</v>
      </c>
      <c r="C16041" s="6">
        <f>IFERROR(__xludf.DUMMYFUNCTION("""COMPUTED_VALUE"""),0.3022916666668607)</f>
        <v>0.3022916667</v>
      </c>
      <c r="D16041" s="4">
        <f>IFERROR(__xludf.DUMMYFUNCTION("""COMPUTED_VALUE"""),13.063786)</f>
        <v>13.063786</v>
      </c>
      <c r="E16041" s="4">
        <f>IFERROR(__xludf.DUMMYFUNCTION("""COMPUTED_VALUE"""),80.264929)</f>
        <v>80.264929</v>
      </c>
      <c r="F16041" s="4">
        <f>IFERROR(__xludf.DUMMYFUNCTION("""COMPUTED_VALUE"""),805.0)</f>
        <v>805</v>
      </c>
      <c r="G16041" s="4">
        <f>IFERROR(__xludf.DUMMYFUNCTION("""COMPUTED_VALUE"""),56.0)</f>
        <v>56</v>
      </c>
      <c r="H16041" s="4"/>
      <c r="I16041" s="4"/>
    </row>
    <row r="16042">
      <c r="A16042" s="4" t="str">
        <f>IFERROR(__xludf.DUMMYFUNCTION("""COMPUTED_VALUE"""),"cas_hmw")</f>
        <v>cas_hmw</v>
      </c>
      <c r="B16042" s="5">
        <f>IFERROR(__xludf.DUMMYFUNCTION("""COMPUTED_VALUE"""),44733.0)</f>
        <v>44733</v>
      </c>
      <c r="C16042" s="6">
        <f>IFERROR(__xludf.DUMMYFUNCTION("""COMPUTED_VALUE"""),0.30256944444408873)</f>
        <v>0.3025694444</v>
      </c>
      <c r="D16042" s="4">
        <f>IFERROR(__xludf.DUMMYFUNCTION("""COMPUTED_VALUE"""),13.065435)</f>
        <v>13.065435</v>
      </c>
      <c r="E16042" s="4">
        <f>IFERROR(__xludf.DUMMYFUNCTION("""COMPUTED_VALUE"""),80.267002)</f>
        <v>80.267002</v>
      </c>
      <c r="F16042" s="4">
        <f>IFERROR(__xludf.DUMMYFUNCTION("""COMPUTED_VALUE"""),805.0)</f>
        <v>805</v>
      </c>
      <c r="G16042" s="4">
        <f>IFERROR(__xludf.DUMMYFUNCTION("""COMPUTED_VALUE"""),50.0)</f>
        <v>50</v>
      </c>
      <c r="H16042" s="4"/>
      <c r="I16042" s="4"/>
    </row>
    <row r="16043">
      <c r="A16043" s="4" t="str">
        <f>IFERROR(__xludf.DUMMYFUNCTION("""COMPUTED_VALUE"""),"cas_hmw")</f>
        <v>cas_hmw</v>
      </c>
      <c r="B16043" s="5">
        <f>IFERROR(__xludf.DUMMYFUNCTION("""COMPUTED_VALUE"""),44733.0)</f>
        <v>44733</v>
      </c>
      <c r="C16043" s="6">
        <f>IFERROR(__xludf.DUMMYFUNCTION("""COMPUTED_VALUE"""),0.30260416666715173)</f>
        <v>0.3026041667</v>
      </c>
      <c r="D16043" s="4">
        <f>IFERROR(__xludf.DUMMYFUNCTION("""COMPUTED_VALUE"""),13.066083)</f>
        <v>13.066083</v>
      </c>
      <c r="E16043" s="4">
        <f>IFERROR(__xludf.DUMMYFUNCTION("""COMPUTED_VALUE"""),80.26784)</f>
        <v>80.26784</v>
      </c>
      <c r="F16043" s="4">
        <f>IFERROR(__xludf.DUMMYFUNCTION("""COMPUTED_VALUE"""),805.0)</f>
        <v>805</v>
      </c>
      <c r="G16043" s="4">
        <f>IFERROR(__xludf.DUMMYFUNCTION("""COMPUTED_VALUE"""),40.0)</f>
        <v>40</v>
      </c>
      <c r="H16043" s="4"/>
      <c r="I16043" s="4"/>
    </row>
    <row r="16044">
      <c r="A16044" s="4" t="str">
        <f>IFERROR(__xludf.DUMMYFUNCTION("""COMPUTED_VALUE"""),"cas_hmw")</f>
        <v>cas_hmw</v>
      </c>
      <c r="B16044" s="5">
        <f>IFERROR(__xludf.DUMMYFUNCTION("""COMPUTED_VALUE"""),44733.0)</f>
        <v>44733</v>
      </c>
      <c r="C16044" s="6">
        <f>IFERROR(__xludf.DUMMYFUNCTION("""COMPUTED_VALUE"""),0.3026273148134351)</f>
        <v>0.3026273148</v>
      </c>
      <c r="D16044" s="4">
        <f>IFERROR(__xludf.DUMMYFUNCTION("""COMPUTED_VALUE"""),13.066083)</f>
        <v>13.066083</v>
      </c>
      <c r="E16044" s="4">
        <f>IFERROR(__xludf.DUMMYFUNCTION("""COMPUTED_VALUE"""),80.26784)</f>
        <v>80.26784</v>
      </c>
      <c r="F16044" s="4">
        <f>IFERROR(__xludf.DUMMYFUNCTION("""COMPUTED_VALUE"""),805.0)</f>
        <v>805</v>
      </c>
      <c r="G16044" s="4">
        <f>IFERROR(__xludf.DUMMYFUNCTION("""COMPUTED_VALUE"""),40.0)</f>
        <v>40</v>
      </c>
      <c r="H16044" s="4"/>
      <c r="I16044" s="4"/>
    </row>
    <row r="16045">
      <c r="A16045" s="4" t="str">
        <f>IFERROR(__xludf.DUMMYFUNCTION("""COMPUTED_VALUE"""),"cas_hmw")</f>
        <v>cas_hmw</v>
      </c>
      <c r="B16045" s="5">
        <f>IFERROR(__xludf.DUMMYFUNCTION("""COMPUTED_VALUE"""),44733.0)</f>
        <v>44733</v>
      </c>
      <c r="C16045" s="6">
        <f>IFERROR(__xludf.DUMMYFUNCTION("""COMPUTED_VALUE"""),0.3026504629633564)</f>
        <v>0.302650463</v>
      </c>
      <c r="D16045" s="4">
        <f>IFERROR(__xludf.DUMMYFUNCTION("""COMPUTED_VALUE"""),13.066083)</f>
        <v>13.066083</v>
      </c>
      <c r="E16045" s="4">
        <f>IFERROR(__xludf.DUMMYFUNCTION("""COMPUTED_VALUE"""),80.26784)</f>
        <v>80.26784</v>
      </c>
      <c r="F16045" s="4">
        <f>IFERROR(__xludf.DUMMYFUNCTION("""COMPUTED_VALUE"""),805.0)</f>
        <v>805</v>
      </c>
      <c r="G16045" s="4">
        <f>IFERROR(__xludf.DUMMYFUNCTION("""COMPUTED_VALUE"""),40.0)</f>
        <v>40</v>
      </c>
      <c r="H16045" s="4"/>
      <c r="I16045" s="4"/>
    </row>
    <row r="16046">
      <c r="A16046" s="4" t="str">
        <f>IFERROR(__xludf.DUMMYFUNCTION("""COMPUTED_VALUE"""),"cas_hmw")</f>
        <v>cas_hmw</v>
      </c>
      <c r="B16046" s="5">
        <f>IFERROR(__xludf.DUMMYFUNCTION("""COMPUTED_VALUE"""),44733.0)</f>
        <v>44733</v>
      </c>
      <c r="C16046" s="6">
        <f>IFERROR(__xludf.DUMMYFUNCTION("""COMPUTED_VALUE"""),0.3028703703712381)</f>
        <v>0.3028703704</v>
      </c>
      <c r="D16046" s="4">
        <f>IFERROR(__xludf.DUMMYFUNCTION("""COMPUTED_VALUE"""),13.067439)</f>
        <v>13.067439</v>
      </c>
      <c r="E16046" s="4">
        <f>IFERROR(__xludf.DUMMYFUNCTION("""COMPUTED_VALUE"""),80.268874)</f>
        <v>80.268874</v>
      </c>
      <c r="F16046" s="4">
        <f>IFERROR(__xludf.DUMMYFUNCTION("""COMPUTED_VALUE"""),805.0)</f>
        <v>805</v>
      </c>
      <c r="G16046" s="4">
        <f>IFERROR(__xludf.DUMMYFUNCTION("""COMPUTED_VALUE"""),37.0)</f>
        <v>37</v>
      </c>
      <c r="H16046" s="4"/>
      <c r="I16046" s="4"/>
    </row>
    <row r="16047">
      <c r="A16047" s="4" t="str">
        <f>IFERROR(__xludf.DUMMYFUNCTION("""COMPUTED_VALUE"""),"cas_hmw")</f>
        <v>cas_hmw</v>
      </c>
      <c r="B16047" s="5">
        <f>IFERROR(__xludf.DUMMYFUNCTION("""COMPUTED_VALUE"""),44733.0)</f>
        <v>44733</v>
      </c>
      <c r="C16047" s="6">
        <f>IFERROR(__xludf.DUMMYFUNCTION("""COMPUTED_VALUE"""),0.3035185185181035)</f>
        <v>0.3035185185</v>
      </c>
      <c r="D16047" s="4">
        <f>IFERROR(__xludf.DUMMYFUNCTION("""COMPUTED_VALUE"""),13.066292)</f>
        <v>13.066292</v>
      </c>
      <c r="E16047" s="4">
        <f>IFERROR(__xludf.DUMMYFUNCTION("""COMPUTED_VALUE"""),80.268535)</f>
        <v>80.268535</v>
      </c>
      <c r="F16047" s="4">
        <f>IFERROR(__xludf.DUMMYFUNCTION("""COMPUTED_VALUE"""),805.0)</f>
        <v>805</v>
      </c>
      <c r="G16047" s="4">
        <f>IFERROR(__xludf.DUMMYFUNCTION("""COMPUTED_VALUE"""),53.0)</f>
        <v>53</v>
      </c>
      <c r="H16047" s="4"/>
      <c r="I16047" s="4"/>
    </row>
    <row r="16048">
      <c r="A16048" s="4" t="str">
        <f>IFERROR(__xludf.DUMMYFUNCTION("""COMPUTED_VALUE"""),"cas_hmw")</f>
        <v>cas_hmw</v>
      </c>
      <c r="B16048" s="5">
        <f>IFERROR(__xludf.DUMMYFUNCTION("""COMPUTED_VALUE"""),44733.0)</f>
        <v>44733</v>
      </c>
      <c r="C16048" s="6">
        <f>IFERROR(__xludf.DUMMYFUNCTION("""COMPUTED_VALUE"""),0.31081018518671044)</f>
        <v>0.3108101852</v>
      </c>
      <c r="D16048" s="4">
        <f>IFERROR(__xludf.DUMMYFUNCTION("""COMPUTED_VALUE"""),13.053797)</f>
        <v>13.053797</v>
      </c>
      <c r="E16048" s="4">
        <f>IFERROR(__xludf.DUMMYFUNCTION("""COMPUTED_VALUE"""),80.253051)</f>
        <v>80.253051</v>
      </c>
      <c r="F16048" s="4">
        <f>IFERROR(__xludf.DUMMYFUNCTION("""COMPUTED_VALUE"""),5339.0)</f>
        <v>5339</v>
      </c>
      <c r="G16048" s="4">
        <f>IFERROR(__xludf.DUMMYFUNCTION("""COMPUTED_VALUE"""),41.0)</f>
        <v>41</v>
      </c>
      <c r="H16048" s="4"/>
      <c r="I16048" s="4"/>
    </row>
    <row r="16049">
      <c r="A16049" s="4" t="str">
        <f>IFERROR(__xludf.DUMMYFUNCTION("""COMPUTED_VALUE"""),"cas_hmw")</f>
        <v>cas_hmw</v>
      </c>
      <c r="B16049" s="5">
        <f>IFERROR(__xludf.DUMMYFUNCTION("""COMPUTED_VALUE"""),44733.0)</f>
        <v>44733</v>
      </c>
      <c r="C16049" s="6">
        <f>IFERROR(__xludf.DUMMYFUNCTION("""COMPUTED_VALUE"""),0.31131944444496185)</f>
        <v>0.3113194444</v>
      </c>
      <c r="D16049" s="4">
        <f>IFERROR(__xludf.DUMMYFUNCTION("""COMPUTED_VALUE"""),12.657642)</f>
        <v>12.657642</v>
      </c>
      <c r="E16049" s="4">
        <f>IFERROR(__xludf.DUMMYFUNCTION("""COMPUTED_VALUE"""),79.946618)</f>
        <v>79.946618</v>
      </c>
      <c r="F16049" s="4">
        <f>IFERROR(__xludf.DUMMYFUNCTION("""COMPUTED_VALUE"""),2846.0)</f>
        <v>2846</v>
      </c>
      <c r="G16049" s="4">
        <f>IFERROR(__xludf.DUMMYFUNCTION("""COMPUTED_VALUE"""),46.0)</f>
        <v>46</v>
      </c>
      <c r="H16049" s="4"/>
      <c r="I16049" s="4"/>
    </row>
    <row r="16050">
      <c r="A16050" s="4" t="str">
        <f>IFERROR(__xludf.DUMMYFUNCTION("""COMPUTED_VALUE"""),"cas_hmw")</f>
        <v>cas_hmw</v>
      </c>
      <c r="B16050" s="5">
        <f>IFERROR(__xludf.DUMMYFUNCTION("""COMPUTED_VALUE"""),44733.0)</f>
        <v>44733</v>
      </c>
      <c r="C16050" s="6">
        <f>IFERROR(__xludf.DUMMYFUNCTION("""COMPUTED_VALUE"""),0.3131828703699284)</f>
        <v>0.3131828704</v>
      </c>
      <c r="D16050" s="4">
        <f>IFERROR(__xludf.DUMMYFUNCTION("""COMPUTED_VALUE"""),13.039154)</f>
        <v>13.039154</v>
      </c>
      <c r="E16050" s="4">
        <f>IFERROR(__xludf.DUMMYFUNCTION("""COMPUTED_VALUE"""),80.246972)</f>
        <v>80.246972</v>
      </c>
      <c r="F16050" s="4">
        <f>IFERROR(__xludf.DUMMYFUNCTION("""COMPUTED_VALUE"""),5339.0)</f>
        <v>5339</v>
      </c>
      <c r="G16050" s="4">
        <f>IFERROR(__xludf.DUMMYFUNCTION("""COMPUTED_VALUE"""),18.0)</f>
        <v>18</v>
      </c>
      <c r="H16050" s="4"/>
      <c r="I16050" s="4"/>
    </row>
    <row r="16051">
      <c r="A16051" s="4" t="str">
        <f>IFERROR(__xludf.DUMMYFUNCTION("""COMPUTED_VALUE"""),"cas_hmw")</f>
        <v>cas_hmw</v>
      </c>
      <c r="B16051" s="5">
        <f>IFERROR(__xludf.DUMMYFUNCTION("""COMPUTED_VALUE"""),44733.0)</f>
        <v>44733</v>
      </c>
      <c r="C16051" s="6">
        <f>IFERROR(__xludf.DUMMYFUNCTION("""COMPUTED_VALUE"""),0.3131944444430701)</f>
        <v>0.3131944444</v>
      </c>
      <c r="D16051" s="4">
        <f>IFERROR(__xludf.DUMMYFUNCTION("""COMPUTED_VALUE"""),13.039154)</f>
        <v>13.039154</v>
      </c>
      <c r="E16051" s="4">
        <f>IFERROR(__xludf.DUMMYFUNCTION("""COMPUTED_VALUE"""),80.246972)</f>
        <v>80.246972</v>
      </c>
      <c r="F16051" s="4">
        <f>IFERROR(__xludf.DUMMYFUNCTION("""COMPUTED_VALUE"""),5339.0)</f>
        <v>5339</v>
      </c>
      <c r="G16051" s="4">
        <f>IFERROR(__xludf.DUMMYFUNCTION("""COMPUTED_VALUE"""),18.0)</f>
        <v>18</v>
      </c>
      <c r="H16051" s="4"/>
      <c r="I16051" s="4"/>
    </row>
    <row r="16052">
      <c r="A16052" s="4" t="str">
        <f>IFERROR(__xludf.DUMMYFUNCTION("""COMPUTED_VALUE"""),"cas_hmw")</f>
        <v>cas_hmw</v>
      </c>
      <c r="B16052" s="5">
        <f>IFERROR(__xludf.DUMMYFUNCTION("""COMPUTED_VALUE"""),44733.0)</f>
        <v>44733</v>
      </c>
      <c r="C16052" s="6">
        <f>IFERROR(__xludf.DUMMYFUNCTION("""COMPUTED_VALUE"""),0.3132291666661331)</f>
        <v>0.3132291667</v>
      </c>
      <c r="D16052" s="4">
        <f>IFERROR(__xludf.DUMMYFUNCTION("""COMPUTED_VALUE"""),13.038572)</f>
        <v>13.038572</v>
      </c>
      <c r="E16052" s="4">
        <f>IFERROR(__xludf.DUMMYFUNCTION("""COMPUTED_VALUE"""),80.246838)</f>
        <v>80.246838</v>
      </c>
      <c r="F16052" s="4">
        <f>IFERROR(__xludf.DUMMYFUNCTION("""COMPUTED_VALUE"""),5339.0)</f>
        <v>5339</v>
      </c>
      <c r="G16052" s="4">
        <f>IFERROR(__xludf.DUMMYFUNCTION("""COMPUTED_VALUE"""),27.0)</f>
        <v>27</v>
      </c>
      <c r="H16052" s="4"/>
      <c r="I16052" s="4"/>
    </row>
    <row r="16053">
      <c r="A16053" s="4" t="str">
        <f>IFERROR(__xludf.DUMMYFUNCTION("""COMPUTED_VALUE"""),"cas_hmw")</f>
        <v>cas_hmw</v>
      </c>
      <c r="B16053" s="5">
        <f>IFERROR(__xludf.DUMMYFUNCTION("""COMPUTED_VALUE"""),44733.0)</f>
        <v>44733</v>
      </c>
      <c r="C16053" s="6">
        <f>IFERROR(__xludf.DUMMYFUNCTION("""COMPUTED_VALUE"""),0.31418981481328956)</f>
        <v>0.3141898148</v>
      </c>
      <c r="D16053" s="4">
        <f>IFERROR(__xludf.DUMMYFUNCTION("""COMPUTED_VALUE"""),13.03324)</f>
        <v>13.03324</v>
      </c>
      <c r="E16053" s="4">
        <f>IFERROR(__xludf.DUMMYFUNCTION("""COMPUTED_VALUE"""),80.243679)</f>
        <v>80.243679</v>
      </c>
      <c r="F16053" s="4">
        <f>IFERROR(__xludf.DUMMYFUNCTION("""COMPUTED_VALUE"""),5339.0)</f>
        <v>5339</v>
      </c>
      <c r="G16053" s="4">
        <f>IFERROR(__xludf.DUMMYFUNCTION("""COMPUTED_VALUE"""),38.0)</f>
        <v>38</v>
      </c>
      <c r="H16053" s="4"/>
      <c r="I16053" s="4"/>
    </row>
    <row r="16054">
      <c r="A16054" s="4" t="str">
        <f>IFERROR(__xludf.DUMMYFUNCTION("""COMPUTED_VALUE"""),"cas_hmw")</f>
        <v>cas_hmw</v>
      </c>
      <c r="B16054" s="5">
        <f>IFERROR(__xludf.DUMMYFUNCTION("""COMPUTED_VALUE"""),44733.0)</f>
        <v>44733</v>
      </c>
      <c r="C16054" s="6">
        <f>IFERROR(__xludf.DUMMYFUNCTION("""COMPUTED_VALUE"""),0.3154398148144537)</f>
        <v>0.3154398148</v>
      </c>
      <c r="D16054" s="4">
        <f>IFERROR(__xludf.DUMMYFUNCTION("""COMPUTED_VALUE"""),12.674448)</f>
        <v>12.674448</v>
      </c>
      <c r="E16054" s="4">
        <f>IFERROR(__xludf.DUMMYFUNCTION("""COMPUTED_VALUE"""),79.97698)</f>
        <v>79.97698</v>
      </c>
      <c r="F16054" s="4">
        <f>IFERROR(__xludf.DUMMYFUNCTION("""COMPUTED_VALUE"""),2846.0)</f>
        <v>2846</v>
      </c>
      <c r="G16054" s="4">
        <f>IFERROR(__xludf.DUMMYFUNCTION("""COMPUTED_VALUE"""),32.0)</f>
        <v>32</v>
      </c>
      <c r="H16054" s="4"/>
      <c r="I16054" s="4"/>
    </row>
    <row r="16055">
      <c r="A16055" s="4" t="str">
        <f>IFERROR(__xludf.DUMMYFUNCTION("""COMPUTED_VALUE"""),"cas_hmw")</f>
        <v>cas_hmw</v>
      </c>
      <c r="B16055" s="5">
        <f>IFERROR(__xludf.DUMMYFUNCTION("""COMPUTED_VALUE"""),44733.0)</f>
        <v>44733</v>
      </c>
      <c r="C16055" s="6">
        <f>IFERROR(__xludf.DUMMYFUNCTION("""COMPUTED_VALUE"""),0.3159143518532801)</f>
        <v>0.3159143519</v>
      </c>
      <c r="D16055" s="4">
        <f>IFERROR(__xludf.DUMMYFUNCTION("""COMPUTED_VALUE"""),13.03098)</f>
        <v>13.03098</v>
      </c>
      <c r="E16055" s="4">
        <f>IFERROR(__xludf.DUMMYFUNCTION("""COMPUTED_VALUE"""),80.239785)</f>
        <v>80.239785</v>
      </c>
      <c r="F16055" s="4">
        <f>IFERROR(__xludf.DUMMYFUNCTION("""COMPUTED_VALUE"""),5339.0)</f>
        <v>5339</v>
      </c>
      <c r="G16055" s="4">
        <f>IFERROR(__xludf.DUMMYFUNCTION("""COMPUTED_VALUE"""),22.0)</f>
        <v>22</v>
      </c>
      <c r="H16055" s="4"/>
      <c r="I16055" s="4"/>
    </row>
    <row r="16056">
      <c r="A16056" s="4" t="str">
        <f>IFERROR(__xludf.DUMMYFUNCTION("""COMPUTED_VALUE"""),"cas_hmw")</f>
        <v>cas_hmw</v>
      </c>
      <c r="B16056" s="5">
        <f>IFERROR(__xludf.DUMMYFUNCTION("""COMPUTED_VALUE"""),44733.0)</f>
        <v>44733</v>
      </c>
      <c r="C16056" s="6">
        <f>IFERROR(__xludf.DUMMYFUNCTION("""COMPUTED_VALUE"""),0.3162152777767915)</f>
        <v>0.3162152778</v>
      </c>
      <c r="D16056" s="4">
        <f>IFERROR(__xludf.DUMMYFUNCTION("""COMPUTED_VALUE"""),13.029494)</f>
        <v>13.029494</v>
      </c>
      <c r="E16056" s="4">
        <f>IFERROR(__xludf.DUMMYFUNCTION("""COMPUTED_VALUE"""),80.237202)</f>
        <v>80.237202</v>
      </c>
      <c r="F16056" s="4">
        <f>IFERROR(__xludf.DUMMYFUNCTION("""COMPUTED_VALUE"""),5339.0)</f>
        <v>5339</v>
      </c>
      <c r="G16056" s="4">
        <f>IFERROR(__xludf.DUMMYFUNCTION("""COMPUTED_VALUE"""),43.0)</f>
        <v>43</v>
      </c>
      <c r="H16056" s="4"/>
      <c r="I16056" s="4"/>
    </row>
    <row r="16057">
      <c r="A16057" s="4" t="str">
        <f>IFERROR(__xludf.DUMMYFUNCTION("""COMPUTED_VALUE"""),"cas_hmw")</f>
        <v>cas_hmw</v>
      </c>
      <c r="B16057" s="5">
        <f>IFERROR(__xludf.DUMMYFUNCTION("""COMPUTED_VALUE"""),44733.0)</f>
        <v>44733</v>
      </c>
      <c r="C16057" s="6">
        <f>IFERROR(__xludf.DUMMYFUNCTION("""COMPUTED_VALUE"""),0.3162384259267128)</f>
        <v>0.3162384259</v>
      </c>
      <c r="D16057" s="4">
        <f>IFERROR(__xludf.DUMMYFUNCTION("""COMPUTED_VALUE"""),13.029494)</f>
        <v>13.029494</v>
      </c>
      <c r="E16057" s="4">
        <f>IFERROR(__xludf.DUMMYFUNCTION("""COMPUTED_VALUE"""),80.237202)</f>
        <v>80.237202</v>
      </c>
      <c r="F16057" s="4">
        <f>IFERROR(__xludf.DUMMYFUNCTION("""COMPUTED_VALUE"""),5339.0)</f>
        <v>5339</v>
      </c>
      <c r="G16057" s="4">
        <f>IFERROR(__xludf.DUMMYFUNCTION("""COMPUTED_VALUE"""),43.0)</f>
        <v>43</v>
      </c>
      <c r="H16057" s="4"/>
      <c r="I16057" s="4"/>
    </row>
    <row r="16058">
      <c r="A16058" s="4" t="str">
        <f>IFERROR(__xludf.DUMMYFUNCTION("""COMPUTED_VALUE"""),"cas_hmw")</f>
        <v>cas_hmw</v>
      </c>
      <c r="B16058" s="5">
        <f>IFERROR(__xludf.DUMMYFUNCTION("""COMPUTED_VALUE"""),44733.0)</f>
        <v>44733</v>
      </c>
      <c r="C16058" s="6">
        <f>IFERROR(__xludf.DUMMYFUNCTION("""COMPUTED_VALUE"""),0.3162731481497758)</f>
        <v>0.3162731481</v>
      </c>
      <c r="D16058" s="4">
        <f>IFERROR(__xludf.DUMMYFUNCTION("""COMPUTED_VALUE"""),13.029494)</f>
        <v>13.029494</v>
      </c>
      <c r="E16058" s="4">
        <f>IFERROR(__xludf.DUMMYFUNCTION("""COMPUTED_VALUE"""),80.237202)</f>
        <v>80.237202</v>
      </c>
      <c r="F16058" s="4">
        <f>IFERROR(__xludf.DUMMYFUNCTION("""COMPUTED_VALUE"""),5339.0)</f>
        <v>5339</v>
      </c>
      <c r="G16058" s="4">
        <f>IFERROR(__xludf.DUMMYFUNCTION("""COMPUTED_VALUE"""),43.0)</f>
        <v>43</v>
      </c>
      <c r="H16058" s="4"/>
      <c r="I16058" s="4"/>
    </row>
    <row r="16059">
      <c r="A16059" s="4" t="str">
        <f>IFERROR(__xludf.DUMMYFUNCTION("""COMPUTED_VALUE"""),"cas_hmw")</f>
        <v>cas_hmw</v>
      </c>
      <c r="B16059" s="5">
        <f>IFERROR(__xludf.DUMMYFUNCTION("""COMPUTED_VALUE"""),44733.0)</f>
        <v>44733</v>
      </c>
      <c r="C16059" s="6">
        <f>IFERROR(__xludf.DUMMYFUNCTION("""COMPUTED_VALUE"""),0.3163194444459805)</f>
        <v>0.3163194444</v>
      </c>
      <c r="D16059" s="4">
        <f>IFERROR(__xludf.DUMMYFUNCTION("""COMPUTED_VALUE"""),13.028343)</f>
        <v>13.028343</v>
      </c>
      <c r="E16059" s="4">
        <f>IFERROR(__xludf.DUMMYFUNCTION("""COMPUTED_VALUE"""),80.235907)</f>
        <v>80.235907</v>
      </c>
      <c r="F16059" s="4">
        <f>IFERROR(__xludf.DUMMYFUNCTION("""COMPUTED_VALUE"""),5339.0)</f>
        <v>5339</v>
      </c>
      <c r="G16059" s="4">
        <f>IFERROR(__xludf.DUMMYFUNCTION("""COMPUTED_VALUE"""),43.0)</f>
        <v>43</v>
      </c>
      <c r="H16059" s="4"/>
      <c r="I16059" s="4"/>
    </row>
    <row r="16060">
      <c r="A16060" s="4" t="str">
        <f>IFERROR(__xludf.DUMMYFUNCTION("""COMPUTED_VALUE"""),"cas_hmw")</f>
        <v>cas_hmw</v>
      </c>
      <c r="B16060" s="5">
        <f>IFERROR(__xludf.DUMMYFUNCTION("""COMPUTED_VALUE"""),44733.0)</f>
        <v>44733</v>
      </c>
      <c r="C16060" s="6">
        <f>IFERROR(__xludf.DUMMYFUNCTION("""COMPUTED_VALUE"""),0.3163888888884685)</f>
        <v>0.3163888889</v>
      </c>
      <c r="D16060" s="4">
        <f>IFERROR(__xludf.DUMMYFUNCTION("""COMPUTED_VALUE"""),13.028343)</f>
        <v>13.028343</v>
      </c>
      <c r="E16060" s="4">
        <f>IFERROR(__xludf.DUMMYFUNCTION("""COMPUTED_VALUE"""),80.235907)</f>
        <v>80.235907</v>
      </c>
      <c r="F16060" s="4">
        <f>IFERROR(__xludf.DUMMYFUNCTION("""COMPUTED_VALUE"""),5339.0)</f>
        <v>5339</v>
      </c>
      <c r="G16060" s="4">
        <f>IFERROR(__xludf.DUMMYFUNCTION("""COMPUTED_VALUE"""),43.0)</f>
        <v>43</v>
      </c>
      <c r="H16060" s="4"/>
      <c r="I16060" s="4"/>
    </row>
    <row r="16061">
      <c r="A16061" s="4" t="str">
        <f>IFERROR(__xludf.DUMMYFUNCTION("""COMPUTED_VALUE"""),"cas_hmw")</f>
        <v>cas_hmw</v>
      </c>
      <c r="B16061" s="5">
        <f>IFERROR(__xludf.DUMMYFUNCTION("""COMPUTED_VALUE"""),44733.0)</f>
        <v>44733</v>
      </c>
      <c r="C16061" s="6">
        <f>IFERROR(__xludf.DUMMYFUNCTION("""COMPUTED_VALUE"""),0.3164699074077362)</f>
        <v>0.3164699074</v>
      </c>
      <c r="D16061" s="4">
        <f>IFERROR(__xludf.DUMMYFUNCTION("""COMPUTED_VALUE"""),12.678872)</f>
        <v>12.678872</v>
      </c>
      <c r="E16061" s="4">
        <f>IFERROR(__xludf.DUMMYFUNCTION("""COMPUTED_VALUE"""),79.980208)</f>
        <v>79.980208</v>
      </c>
      <c r="F16061" s="4">
        <f>IFERROR(__xludf.DUMMYFUNCTION("""COMPUTED_VALUE"""),2846.0)</f>
        <v>2846</v>
      </c>
      <c r="G16061" s="4">
        <f>IFERROR(__xludf.DUMMYFUNCTION("""COMPUTED_VALUE"""),30.0)</f>
        <v>30</v>
      </c>
      <c r="H16061" s="4"/>
      <c r="I16061" s="4"/>
    </row>
    <row r="16062">
      <c r="A16062" s="4" t="str">
        <f>IFERROR(__xludf.DUMMYFUNCTION("""COMPUTED_VALUE"""),"cas_hmw")</f>
        <v>cas_hmw</v>
      </c>
      <c r="B16062" s="5">
        <f>IFERROR(__xludf.DUMMYFUNCTION("""COMPUTED_VALUE"""),44733.0)</f>
        <v>44733</v>
      </c>
      <c r="C16062" s="6">
        <f>IFERROR(__xludf.DUMMYFUNCTION("""COMPUTED_VALUE"""),0.31648148148087785)</f>
        <v>0.3164814815</v>
      </c>
      <c r="D16062" s="4">
        <f>IFERROR(__xludf.DUMMYFUNCTION("""COMPUTED_VALUE"""),13.027487)</f>
        <v>13.027487</v>
      </c>
      <c r="E16062" s="4">
        <f>IFERROR(__xludf.DUMMYFUNCTION("""COMPUTED_VALUE"""),80.234624)</f>
        <v>80.234624</v>
      </c>
      <c r="F16062" s="4">
        <f>IFERROR(__xludf.DUMMYFUNCTION("""COMPUTED_VALUE"""),5339.0)</f>
        <v>5339</v>
      </c>
      <c r="G16062" s="4">
        <f>IFERROR(__xludf.DUMMYFUNCTION("""COMPUTED_VALUE"""),33.0)</f>
        <v>33</v>
      </c>
      <c r="H16062" s="4"/>
      <c r="I16062" s="4"/>
    </row>
    <row r="16063">
      <c r="A16063" s="4" t="str">
        <f>IFERROR(__xludf.DUMMYFUNCTION("""COMPUTED_VALUE"""),"cas_hmw")</f>
        <v>cas_hmw</v>
      </c>
      <c r="B16063" s="5">
        <f>IFERROR(__xludf.DUMMYFUNCTION("""COMPUTED_VALUE"""),44733.0)</f>
        <v>44733</v>
      </c>
      <c r="C16063" s="6">
        <f>IFERROR(__xludf.DUMMYFUNCTION("""COMPUTED_VALUE"""),0.3171875000007276)</f>
        <v>0.3171875</v>
      </c>
      <c r="D16063" s="4">
        <f>IFERROR(__xludf.DUMMYFUNCTION("""COMPUTED_VALUE"""),12.681671)</f>
        <v>12.681671</v>
      </c>
      <c r="E16063" s="4">
        <f>IFERROR(__xludf.DUMMYFUNCTION("""COMPUTED_VALUE"""),79.981831)</f>
        <v>79.981831</v>
      </c>
      <c r="F16063" s="4">
        <f>IFERROR(__xludf.DUMMYFUNCTION("""COMPUTED_VALUE"""),2846.0)</f>
        <v>2846</v>
      </c>
      <c r="G16063" s="4">
        <f>IFERROR(__xludf.DUMMYFUNCTION("""COMPUTED_VALUE"""),44.0)</f>
        <v>44</v>
      </c>
      <c r="H16063" s="4"/>
      <c r="I16063" s="4"/>
    </row>
    <row r="16064">
      <c r="A16064" s="4" t="str">
        <f>IFERROR(__xludf.DUMMYFUNCTION("""COMPUTED_VALUE"""),"cas_hmw")</f>
        <v>cas_hmw</v>
      </c>
      <c r="B16064" s="5">
        <f>IFERROR(__xludf.DUMMYFUNCTION("""COMPUTED_VALUE"""),44733.0)</f>
        <v>44733</v>
      </c>
      <c r="C16064" s="6">
        <f>IFERROR(__xludf.DUMMYFUNCTION("""COMPUTED_VALUE"""),0.31930555555663886)</f>
        <v>0.3193055556</v>
      </c>
      <c r="D16064" s="4">
        <f>IFERROR(__xludf.DUMMYFUNCTION("""COMPUTED_VALUE"""),13.015084)</f>
        <v>13.015084</v>
      </c>
      <c r="E16064" s="4">
        <f>IFERROR(__xludf.DUMMYFUNCTION("""COMPUTED_VALUE"""),80.225973)</f>
        <v>80.225973</v>
      </c>
      <c r="F16064" s="4">
        <f>IFERROR(__xludf.DUMMYFUNCTION("""COMPUTED_VALUE"""),5339.0)</f>
        <v>5339</v>
      </c>
      <c r="G16064" s="4">
        <f>IFERROR(__xludf.DUMMYFUNCTION("""COMPUTED_VALUE"""),16.0)</f>
        <v>16</v>
      </c>
      <c r="H16064" s="4"/>
      <c r="I16064" s="4"/>
    </row>
    <row r="16065">
      <c r="A16065" s="4" t="str">
        <f>IFERROR(__xludf.DUMMYFUNCTION("""COMPUTED_VALUE"""),"cas_hmw")</f>
        <v>cas_hmw</v>
      </c>
      <c r="B16065" s="5">
        <f>IFERROR(__xludf.DUMMYFUNCTION("""COMPUTED_VALUE"""),44733.0)</f>
        <v>44733</v>
      </c>
      <c r="C16065" s="6">
        <f>IFERROR(__xludf.DUMMYFUNCTION("""COMPUTED_VALUE"""),0.32006944444583496)</f>
        <v>0.3200694444</v>
      </c>
      <c r="D16065" s="4">
        <f>IFERROR(__xludf.DUMMYFUNCTION("""COMPUTED_VALUE"""),13.010191)</f>
        <v>13.010191</v>
      </c>
      <c r="E16065" s="4">
        <f>IFERROR(__xludf.DUMMYFUNCTION("""COMPUTED_VALUE"""),80.226127)</f>
        <v>80.226127</v>
      </c>
      <c r="F16065" s="4">
        <f>IFERROR(__xludf.DUMMYFUNCTION("""COMPUTED_VALUE"""),5339.0)</f>
        <v>5339</v>
      </c>
      <c r="G16065" s="4">
        <f>IFERROR(__xludf.DUMMYFUNCTION("""COMPUTED_VALUE"""),40.0)</f>
        <v>40</v>
      </c>
      <c r="H16065" s="4"/>
      <c r="I16065" s="4"/>
    </row>
    <row r="16066">
      <c r="A16066" s="4" t="str">
        <f>IFERROR(__xludf.DUMMYFUNCTION("""COMPUTED_VALUE"""),"cas_hmw")</f>
        <v>cas_hmw</v>
      </c>
      <c r="B16066" s="5">
        <f>IFERROR(__xludf.DUMMYFUNCTION("""COMPUTED_VALUE"""),44733.0)</f>
        <v>44733</v>
      </c>
      <c r="C16066" s="6">
        <f>IFERROR(__xludf.DUMMYFUNCTION("""COMPUTED_VALUE"""),0.32052083333474)</f>
        <v>0.3205208333</v>
      </c>
      <c r="D16066" s="4">
        <f>IFERROR(__xludf.DUMMYFUNCTION("""COMPUTED_VALUE"""),13.011706)</f>
        <v>13.011706</v>
      </c>
      <c r="E16066" s="4">
        <f>IFERROR(__xludf.DUMMYFUNCTION("""COMPUTED_VALUE"""),80.222419)</f>
        <v>80.222419</v>
      </c>
      <c r="F16066" s="4">
        <f>IFERROR(__xludf.DUMMYFUNCTION("""COMPUTED_VALUE"""),5339.0)</f>
        <v>5339</v>
      </c>
      <c r="G16066" s="4">
        <f>IFERROR(__xludf.DUMMYFUNCTION("""COMPUTED_VALUE"""),46.0)</f>
        <v>46</v>
      </c>
      <c r="H16066" s="4"/>
      <c r="I16066" s="4"/>
    </row>
    <row r="16067">
      <c r="A16067" s="4" t="str">
        <f>IFERROR(__xludf.DUMMYFUNCTION("""COMPUTED_VALUE"""),"cas_hmw")</f>
        <v>cas_hmw</v>
      </c>
      <c r="B16067" s="5">
        <f>IFERROR(__xludf.DUMMYFUNCTION("""COMPUTED_VALUE"""),44733.0)</f>
        <v>44733</v>
      </c>
      <c r="C16067" s="6">
        <f>IFERROR(__xludf.DUMMYFUNCTION("""COMPUTED_VALUE"""),0.3206365740734327)</f>
        <v>0.3206365741</v>
      </c>
      <c r="D16067" s="4">
        <f>IFERROR(__xludf.DUMMYFUNCTION("""COMPUTED_VALUE"""),13.012155)</f>
        <v>13.012155</v>
      </c>
      <c r="E16067" s="4">
        <f>IFERROR(__xludf.DUMMYFUNCTION("""COMPUTED_VALUE"""),80.221232)</f>
        <v>80.221232</v>
      </c>
      <c r="F16067" s="4">
        <f>IFERROR(__xludf.DUMMYFUNCTION("""COMPUTED_VALUE"""),5339.0)</f>
        <v>5339</v>
      </c>
      <c r="G16067" s="4">
        <f>IFERROR(__xludf.DUMMYFUNCTION("""COMPUTED_VALUE"""),25.0)</f>
        <v>25</v>
      </c>
      <c r="H16067" s="4"/>
      <c r="I16067" s="4"/>
    </row>
    <row r="16068">
      <c r="A16068" s="4" t="str">
        <f>IFERROR(__xludf.DUMMYFUNCTION("""COMPUTED_VALUE"""),"cas_hmw")</f>
        <v>cas_hmw</v>
      </c>
      <c r="B16068" s="5">
        <f>IFERROR(__xludf.DUMMYFUNCTION("""COMPUTED_VALUE"""),44733.0)</f>
        <v>44733</v>
      </c>
      <c r="C16068" s="6">
        <f>IFERROR(__xludf.DUMMYFUNCTION("""COMPUTED_VALUE"""),0.3212847222239361)</f>
        <v>0.3212847222</v>
      </c>
      <c r="D16068" s="4">
        <f>IFERROR(__xludf.DUMMYFUNCTION("""COMPUTED_VALUE"""),12.694892)</f>
        <v>12.694892</v>
      </c>
      <c r="E16068" s="4">
        <f>IFERROR(__xludf.DUMMYFUNCTION("""COMPUTED_VALUE"""),79.978194)</f>
        <v>79.978194</v>
      </c>
      <c r="F16068" s="4">
        <f>IFERROR(__xludf.DUMMYFUNCTION("""COMPUTED_VALUE"""),2846.0)</f>
        <v>2846</v>
      </c>
      <c r="G16068" s="4">
        <f>IFERROR(__xludf.DUMMYFUNCTION("""COMPUTED_VALUE"""),26.0)</f>
        <v>26</v>
      </c>
      <c r="H16068" s="4"/>
      <c r="I16068" s="4"/>
    </row>
    <row r="16069">
      <c r="A16069" s="4" t="str">
        <f>IFERROR(__xludf.DUMMYFUNCTION("""COMPUTED_VALUE"""),"cas_hmw")</f>
        <v>cas_hmw</v>
      </c>
      <c r="B16069" s="5">
        <f>IFERROR(__xludf.DUMMYFUNCTION("""COMPUTED_VALUE"""),44733.0)</f>
        <v>44733</v>
      </c>
      <c r="C16069" s="6">
        <f>IFERROR(__xludf.DUMMYFUNCTION("""COMPUTED_VALUE"""),0.32243055555591127)</f>
        <v>0.3224305556</v>
      </c>
      <c r="D16069" s="4">
        <f>IFERROR(__xludf.DUMMYFUNCTION("""COMPUTED_VALUE"""),13.00726)</f>
        <v>13.00726</v>
      </c>
      <c r="E16069" s="4">
        <f>IFERROR(__xludf.DUMMYFUNCTION("""COMPUTED_VALUE"""),80.204963)</f>
        <v>80.204963</v>
      </c>
      <c r="F16069" s="4">
        <f>IFERROR(__xludf.DUMMYFUNCTION("""COMPUTED_VALUE"""),5339.0)</f>
        <v>5339</v>
      </c>
      <c r="G16069" s="4">
        <f>IFERROR(__xludf.DUMMYFUNCTION("""COMPUTED_VALUE"""),50.0)</f>
        <v>50</v>
      </c>
      <c r="H16069" s="4"/>
      <c r="I16069" s="4"/>
    </row>
    <row r="16070">
      <c r="A16070" s="4" t="str">
        <f>IFERROR(__xludf.DUMMYFUNCTION("""COMPUTED_VALUE"""),"cas_hmw")</f>
        <v>cas_hmw</v>
      </c>
      <c r="B16070" s="5">
        <f>IFERROR(__xludf.DUMMYFUNCTION("""COMPUTED_VALUE"""),44733.0)</f>
        <v>44733</v>
      </c>
      <c r="C16070" s="6">
        <f>IFERROR(__xludf.DUMMYFUNCTION("""COMPUTED_VALUE"""),0.3230092592602887)</f>
        <v>0.3230092593</v>
      </c>
      <c r="D16070" s="4">
        <f>IFERROR(__xludf.DUMMYFUNCTION("""COMPUTED_VALUE"""),13.002852)</f>
        <v>13.002852</v>
      </c>
      <c r="E16070" s="4">
        <f>IFERROR(__xludf.DUMMYFUNCTION("""COMPUTED_VALUE"""),80.200743)</f>
        <v>80.200743</v>
      </c>
      <c r="F16070" s="4">
        <f>IFERROR(__xludf.DUMMYFUNCTION("""COMPUTED_VALUE"""),5339.0)</f>
        <v>5339</v>
      </c>
      <c r="G16070" s="4">
        <f>IFERROR(__xludf.DUMMYFUNCTION("""COMPUTED_VALUE"""),40.0)</f>
        <v>40</v>
      </c>
      <c r="H16070" s="4"/>
      <c r="I16070" s="4"/>
    </row>
    <row r="16071">
      <c r="A16071" s="4" t="str">
        <f>IFERROR(__xludf.DUMMYFUNCTION("""COMPUTED_VALUE"""),"cas_hmw")</f>
        <v>cas_hmw</v>
      </c>
      <c r="B16071" s="5">
        <f>IFERROR(__xludf.DUMMYFUNCTION("""COMPUTED_VALUE"""),44733.0)</f>
        <v>44733</v>
      </c>
      <c r="C16071" s="6">
        <f>IFERROR(__xludf.DUMMYFUNCTION("""COMPUTED_VALUE"""),0.32327546296437504)</f>
        <v>0.323275463</v>
      </c>
      <c r="D16071" s="4">
        <f>IFERROR(__xludf.DUMMYFUNCTION("""COMPUTED_VALUE"""),13.00644)</f>
        <v>13.00644</v>
      </c>
      <c r="E16071" s="4">
        <f>IFERROR(__xludf.DUMMYFUNCTION("""COMPUTED_VALUE"""),80.256214)</f>
        <v>80.256214</v>
      </c>
      <c r="F16071" s="4">
        <f>IFERROR(__xludf.DUMMYFUNCTION("""COMPUTED_VALUE"""),805.0)</f>
        <v>805</v>
      </c>
      <c r="G16071" s="4">
        <f>IFERROR(__xludf.DUMMYFUNCTION("""COMPUTED_VALUE"""),34.0)</f>
        <v>34</v>
      </c>
      <c r="H16071" s="4"/>
      <c r="I16071" s="4"/>
    </row>
    <row r="16072">
      <c r="A16072" s="4" t="str">
        <f>IFERROR(__xludf.DUMMYFUNCTION("""COMPUTED_VALUE"""),"cas_hmw")</f>
        <v>cas_hmw</v>
      </c>
      <c r="B16072" s="5">
        <f>IFERROR(__xludf.DUMMYFUNCTION("""COMPUTED_VALUE"""),44733.0)</f>
        <v>44733</v>
      </c>
      <c r="C16072" s="6">
        <f>IFERROR(__xludf.DUMMYFUNCTION("""COMPUTED_VALUE"""),0.32400462963050813)</f>
        <v>0.3240046296</v>
      </c>
      <c r="D16072" s="4">
        <f>IFERROR(__xludf.DUMMYFUNCTION("""COMPUTED_VALUE"""),13.00079)</f>
        <v>13.00079</v>
      </c>
      <c r="E16072" s="4">
        <f>IFERROR(__xludf.DUMMYFUNCTION("""COMPUTED_VALUE"""),80.195236)</f>
        <v>80.195236</v>
      </c>
      <c r="F16072" s="4">
        <f>IFERROR(__xludf.DUMMYFUNCTION("""COMPUTED_VALUE"""),5339.0)</f>
        <v>5339</v>
      </c>
      <c r="G16072" s="4">
        <f>IFERROR(__xludf.DUMMYFUNCTION("""COMPUTED_VALUE"""),39.0)</f>
        <v>39</v>
      </c>
      <c r="H16072" s="4"/>
      <c r="I16072" s="4"/>
    </row>
    <row r="16073">
      <c r="A16073" s="4" t="str">
        <f>IFERROR(__xludf.DUMMYFUNCTION("""COMPUTED_VALUE"""),"cas_hmw")</f>
        <v>cas_hmw</v>
      </c>
      <c r="B16073" s="5">
        <f>IFERROR(__xludf.DUMMYFUNCTION("""COMPUTED_VALUE"""),44733.0)</f>
        <v>44733</v>
      </c>
      <c r="C16073" s="6">
        <f>IFERROR(__xludf.DUMMYFUNCTION("""COMPUTED_VALUE"""),0.3247800925928459)</f>
        <v>0.3247800926</v>
      </c>
      <c r="D16073" s="4">
        <f>IFERROR(__xludf.DUMMYFUNCTION("""COMPUTED_VALUE"""),13.006725)</f>
        <v>13.006725</v>
      </c>
      <c r="E16073" s="4">
        <f>IFERROR(__xludf.DUMMYFUNCTION("""COMPUTED_VALUE"""),80.251136)</f>
        <v>80.251136</v>
      </c>
      <c r="F16073" s="4">
        <f>IFERROR(__xludf.DUMMYFUNCTION("""COMPUTED_VALUE"""),805.0)</f>
        <v>805</v>
      </c>
      <c r="G16073" s="4">
        <f>IFERROR(__xludf.DUMMYFUNCTION("""COMPUTED_VALUE"""),31.0)</f>
        <v>31</v>
      </c>
      <c r="H16073" s="4"/>
      <c r="I16073" s="4"/>
    </row>
    <row r="16074">
      <c r="A16074" s="4" t="str">
        <f>IFERROR(__xludf.DUMMYFUNCTION("""COMPUTED_VALUE"""),"cas_hmw")</f>
        <v>cas_hmw</v>
      </c>
      <c r="B16074" s="5">
        <f>IFERROR(__xludf.DUMMYFUNCTION("""COMPUTED_VALUE"""),44733.0)</f>
        <v>44733</v>
      </c>
      <c r="C16074" s="6">
        <f>IFERROR(__xludf.DUMMYFUNCTION("""COMPUTED_VALUE"""),0.32512731481619994)</f>
        <v>0.3251273148</v>
      </c>
      <c r="D16074" s="4">
        <f>IFERROR(__xludf.DUMMYFUNCTION("""COMPUTED_VALUE"""),12.99449)</f>
        <v>12.99449</v>
      </c>
      <c r="E16074" s="4">
        <f>IFERROR(__xludf.DUMMYFUNCTION("""COMPUTED_VALUE"""),80.186504)</f>
        <v>80.186504</v>
      </c>
      <c r="F16074" s="4">
        <f>IFERROR(__xludf.DUMMYFUNCTION("""COMPUTED_VALUE"""),5339.0)</f>
        <v>5339</v>
      </c>
      <c r="G16074" s="4">
        <f>IFERROR(__xludf.DUMMYFUNCTION("""COMPUTED_VALUE"""),21.0)</f>
        <v>21</v>
      </c>
      <c r="H16074" s="4"/>
      <c r="I16074" s="4"/>
    </row>
    <row r="16075">
      <c r="A16075" s="4" t="str">
        <f>IFERROR(__xludf.DUMMYFUNCTION("""COMPUTED_VALUE"""),"cas_hmw")</f>
        <v>cas_hmw</v>
      </c>
      <c r="B16075" s="5">
        <f>IFERROR(__xludf.DUMMYFUNCTION("""COMPUTED_VALUE"""),44733.0)</f>
        <v>44733</v>
      </c>
      <c r="C16075" s="6">
        <f>IFERROR(__xludf.DUMMYFUNCTION("""COMPUTED_VALUE"""),0.3256250000013097)</f>
        <v>0.325625</v>
      </c>
      <c r="D16075" s="4">
        <f>IFERROR(__xludf.DUMMYFUNCTION("""COMPUTED_VALUE"""),12.99449)</f>
        <v>12.99449</v>
      </c>
      <c r="E16075" s="4">
        <f>IFERROR(__xludf.DUMMYFUNCTION("""COMPUTED_VALUE"""),80.186504)</f>
        <v>80.186504</v>
      </c>
      <c r="F16075" s="4">
        <f>IFERROR(__xludf.DUMMYFUNCTION("""COMPUTED_VALUE"""),5339.0)</f>
        <v>5339</v>
      </c>
      <c r="G16075" s="4">
        <f>IFERROR(__xludf.DUMMYFUNCTION("""COMPUTED_VALUE"""),21.0)</f>
        <v>21</v>
      </c>
      <c r="H16075" s="4"/>
      <c r="I16075" s="4"/>
    </row>
    <row r="16076">
      <c r="A16076" s="4" t="str">
        <f>IFERROR(__xludf.DUMMYFUNCTION("""COMPUTED_VALUE"""),"cas_hmw")</f>
        <v>cas_hmw</v>
      </c>
      <c r="B16076" s="5">
        <f>IFERROR(__xludf.DUMMYFUNCTION("""COMPUTED_VALUE"""),44733.0)</f>
        <v>44733</v>
      </c>
      <c r="C16076" s="6">
        <f>IFERROR(__xludf.DUMMYFUNCTION("""COMPUTED_VALUE"""),0.32624999999825377)</f>
        <v>0.32625</v>
      </c>
      <c r="D16076" s="4">
        <f>IFERROR(__xludf.DUMMYFUNCTION("""COMPUTED_VALUE"""),12.989701)</f>
        <v>12.989701</v>
      </c>
      <c r="E16076" s="4">
        <f>IFERROR(__xludf.DUMMYFUNCTION("""COMPUTED_VALUE"""),80.179228)</f>
        <v>80.179228</v>
      </c>
      <c r="F16076" s="4">
        <f>IFERROR(__xludf.DUMMYFUNCTION("""COMPUTED_VALUE"""),5339.0)</f>
        <v>5339</v>
      </c>
      <c r="G16076" s="4">
        <f>IFERROR(__xludf.DUMMYFUNCTION("""COMPUTED_VALUE"""),23.0)</f>
        <v>23</v>
      </c>
      <c r="H16076" s="4"/>
      <c r="I16076" s="4"/>
    </row>
    <row r="16077">
      <c r="A16077" s="4" t="str">
        <f>IFERROR(__xludf.DUMMYFUNCTION("""COMPUTED_VALUE"""),"cas_hmw")</f>
        <v>cas_hmw</v>
      </c>
      <c r="B16077" s="5">
        <f>IFERROR(__xludf.DUMMYFUNCTION("""COMPUTED_VALUE"""),44733.0)</f>
        <v>44733</v>
      </c>
      <c r="C16077" s="6">
        <f>IFERROR(__xludf.DUMMYFUNCTION("""COMPUTED_VALUE"""),0.3267824074064265)</f>
        <v>0.3267824074</v>
      </c>
      <c r="D16077" s="4">
        <f>IFERROR(__xludf.DUMMYFUNCTION("""COMPUTED_VALUE"""),13.006656)</f>
        <v>13.006656</v>
      </c>
      <c r="E16077" s="4">
        <f>IFERROR(__xludf.DUMMYFUNCTION("""COMPUTED_VALUE"""),80.246301)</f>
        <v>80.246301</v>
      </c>
      <c r="F16077" s="4">
        <f>IFERROR(__xludf.DUMMYFUNCTION("""COMPUTED_VALUE"""),805.0)</f>
        <v>805</v>
      </c>
      <c r="G16077" s="4">
        <f>IFERROR(__xludf.DUMMYFUNCTION("""COMPUTED_VALUE"""),22.0)</f>
        <v>22</v>
      </c>
      <c r="H16077" s="4"/>
      <c r="I16077" s="4"/>
    </row>
    <row r="16078">
      <c r="A16078" s="4" t="str">
        <f>IFERROR(__xludf.DUMMYFUNCTION("""COMPUTED_VALUE"""),"cas_hmw")</f>
        <v>cas_hmw</v>
      </c>
      <c r="B16078" s="5">
        <f>IFERROR(__xludf.DUMMYFUNCTION("""COMPUTED_VALUE"""),44733.0)</f>
        <v>44733</v>
      </c>
      <c r="C16078" s="6">
        <f>IFERROR(__xludf.DUMMYFUNCTION("""COMPUTED_VALUE"""),0.3270370370373712)</f>
        <v>0.327037037</v>
      </c>
      <c r="D16078" s="4">
        <f>IFERROR(__xludf.DUMMYFUNCTION("""COMPUTED_VALUE"""),12.986824)</f>
        <v>12.986824</v>
      </c>
      <c r="E16078" s="4">
        <f>IFERROR(__xludf.DUMMYFUNCTION("""COMPUTED_VALUE"""),80.17528)</f>
        <v>80.17528</v>
      </c>
      <c r="F16078" s="4">
        <f>IFERROR(__xludf.DUMMYFUNCTION("""COMPUTED_VALUE"""),5339.0)</f>
        <v>5339</v>
      </c>
      <c r="G16078" s="4">
        <f>IFERROR(__xludf.DUMMYFUNCTION("""COMPUTED_VALUE"""),28.0)</f>
        <v>28</v>
      </c>
      <c r="H16078" s="4"/>
      <c r="I16078" s="4"/>
    </row>
    <row r="16079">
      <c r="A16079" s="4" t="str">
        <f>IFERROR(__xludf.DUMMYFUNCTION("""COMPUTED_VALUE"""),"cas_hmw")</f>
        <v>cas_hmw</v>
      </c>
      <c r="B16079" s="5">
        <f>IFERROR(__xludf.DUMMYFUNCTION("""COMPUTED_VALUE"""),44733.0)</f>
        <v>44733</v>
      </c>
      <c r="C16079" s="6">
        <f>IFERROR(__xludf.DUMMYFUNCTION("""COMPUTED_VALUE"""),0.32733796296452056)</f>
        <v>0.327337963</v>
      </c>
      <c r="D16079" s="4">
        <f>IFERROR(__xludf.DUMMYFUNCTION("""COMPUTED_VALUE"""),12.985173)</f>
        <v>12.985173</v>
      </c>
      <c r="E16079" s="4">
        <f>IFERROR(__xludf.DUMMYFUNCTION("""COMPUTED_VALUE"""),80.172904)</f>
        <v>80.172904</v>
      </c>
      <c r="F16079" s="4">
        <f>IFERROR(__xludf.DUMMYFUNCTION("""COMPUTED_VALUE"""),5339.0)</f>
        <v>5339</v>
      </c>
      <c r="G16079" s="4">
        <f>IFERROR(__xludf.DUMMYFUNCTION("""COMPUTED_VALUE"""),35.0)</f>
        <v>35</v>
      </c>
      <c r="H16079" s="4"/>
      <c r="I16079" s="4"/>
    </row>
    <row r="16080">
      <c r="A16080" s="4" t="str">
        <f>IFERROR(__xludf.DUMMYFUNCTION("""COMPUTED_VALUE"""),"cas_hmw")</f>
        <v>cas_hmw</v>
      </c>
      <c r="B16080" s="5">
        <f>IFERROR(__xludf.DUMMYFUNCTION("""COMPUTED_VALUE"""),44733.0)</f>
        <v>44733</v>
      </c>
      <c r="C16080" s="6">
        <f>IFERROR(__xludf.DUMMYFUNCTION("""COMPUTED_VALUE"""),0.32738425926072523)</f>
        <v>0.3273842593</v>
      </c>
      <c r="D16080" s="4">
        <f>IFERROR(__xludf.DUMMYFUNCTION("""COMPUTED_VALUE"""),13.006615)</f>
        <v>13.006615</v>
      </c>
      <c r="E16080" s="4">
        <f>IFERROR(__xludf.DUMMYFUNCTION("""COMPUTED_VALUE"""),80.242513)</f>
        <v>80.242513</v>
      </c>
      <c r="F16080" s="4">
        <f>IFERROR(__xludf.DUMMYFUNCTION("""COMPUTED_VALUE"""),805.0)</f>
        <v>805</v>
      </c>
      <c r="G16080" s="4">
        <f>IFERROR(__xludf.DUMMYFUNCTION("""COMPUTED_VALUE"""),32.0)</f>
        <v>32</v>
      </c>
      <c r="H16080" s="4"/>
      <c r="I16080" s="4"/>
    </row>
    <row r="16081">
      <c r="A16081" s="4" t="str">
        <f>IFERROR(__xludf.DUMMYFUNCTION("""COMPUTED_VALUE"""),"cas_hmw")</f>
        <v>cas_hmw</v>
      </c>
      <c r="B16081" s="5">
        <f>IFERROR(__xludf.DUMMYFUNCTION("""COMPUTED_VALUE"""),44733.0)</f>
        <v>44733</v>
      </c>
      <c r="C16081" s="6">
        <f>IFERROR(__xludf.DUMMYFUNCTION("""COMPUTED_VALUE"""),0.3274074074070086)</f>
        <v>0.3274074074</v>
      </c>
      <c r="D16081" s="4">
        <f>IFERROR(__xludf.DUMMYFUNCTION("""COMPUTED_VALUE"""),13.006709)</f>
        <v>13.006709</v>
      </c>
      <c r="E16081" s="4">
        <f>IFERROR(__xludf.DUMMYFUNCTION("""COMPUTED_VALUE"""),80.240689)</f>
        <v>80.240689</v>
      </c>
      <c r="F16081" s="4">
        <f>IFERROR(__xludf.DUMMYFUNCTION("""COMPUTED_VALUE"""),805.0)</f>
        <v>805</v>
      </c>
      <c r="G16081" s="4">
        <f>IFERROR(__xludf.DUMMYFUNCTION("""COMPUTED_VALUE"""),34.0)</f>
        <v>34</v>
      </c>
      <c r="H16081" s="4"/>
      <c r="I16081" s="4"/>
    </row>
    <row r="16082">
      <c r="A16082" s="4" t="str">
        <f>IFERROR(__xludf.DUMMYFUNCTION("""COMPUTED_VALUE"""),"cas_hmw")</f>
        <v>cas_hmw</v>
      </c>
      <c r="B16082" s="5">
        <f>IFERROR(__xludf.DUMMYFUNCTION("""COMPUTED_VALUE"""),44733.0)</f>
        <v>44733</v>
      </c>
      <c r="C16082" s="6">
        <f>IFERROR(__xludf.DUMMYFUNCTION("""COMPUTED_VALUE"""),0.3275115740725596)</f>
        <v>0.3275115741</v>
      </c>
      <c r="D16082" s="4">
        <f>IFERROR(__xludf.DUMMYFUNCTION("""COMPUTED_VALUE"""),12.984494)</f>
        <v>12.984494</v>
      </c>
      <c r="E16082" s="4">
        <f>IFERROR(__xludf.DUMMYFUNCTION("""COMPUTED_VALUE"""),80.171829)</f>
        <v>80.171829</v>
      </c>
      <c r="F16082" s="4">
        <f>IFERROR(__xludf.DUMMYFUNCTION("""COMPUTED_VALUE"""),5339.0)</f>
        <v>5339</v>
      </c>
      <c r="G16082" s="4">
        <f>IFERROR(__xludf.DUMMYFUNCTION("""COMPUTED_VALUE"""),31.0)</f>
        <v>31</v>
      </c>
      <c r="H16082" s="4"/>
      <c r="I16082" s="4"/>
    </row>
    <row r="16083">
      <c r="A16083" s="4" t="str">
        <f>IFERROR(__xludf.DUMMYFUNCTION("""COMPUTED_VALUE"""),"cas_hmw")</f>
        <v>cas_hmw</v>
      </c>
      <c r="B16083" s="5">
        <f>IFERROR(__xludf.DUMMYFUNCTION("""COMPUTED_VALUE"""),44733.0)</f>
        <v>44733</v>
      </c>
      <c r="C16083" s="6">
        <f>IFERROR(__xludf.DUMMYFUNCTION("""COMPUTED_VALUE"""),0.32752314814933925)</f>
        <v>0.3275231481</v>
      </c>
      <c r="D16083" s="4">
        <f>IFERROR(__xludf.DUMMYFUNCTION("""COMPUTED_VALUE"""),12.984494)</f>
        <v>12.984494</v>
      </c>
      <c r="E16083" s="4">
        <f>IFERROR(__xludf.DUMMYFUNCTION("""COMPUTED_VALUE"""),80.171829)</f>
        <v>80.171829</v>
      </c>
      <c r="F16083" s="4">
        <f>IFERROR(__xludf.DUMMYFUNCTION("""COMPUTED_VALUE"""),5339.0)</f>
        <v>5339</v>
      </c>
      <c r="G16083" s="4">
        <f>IFERROR(__xludf.DUMMYFUNCTION("""COMPUTED_VALUE"""),31.0)</f>
        <v>31</v>
      </c>
      <c r="H16083" s="4"/>
      <c r="I16083" s="4"/>
    </row>
    <row r="16084">
      <c r="A16084" s="4" t="str">
        <f>IFERROR(__xludf.DUMMYFUNCTION("""COMPUTED_VALUE"""),"cas_hmw")</f>
        <v>cas_hmw</v>
      </c>
      <c r="B16084" s="5">
        <f>IFERROR(__xludf.DUMMYFUNCTION("""COMPUTED_VALUE"""),44733.0)</f>
        <v>44733</v>
      </c>
      <c r="C16084" s="6">
        <f>IFERROR(__xludf.DUMMYFUNCTION("""COMPUTED_VALUE"""),0.32774305555722094)</f>
        <v>0.3277430556</v>
      </c>
      <c r="D16084" s="4">
        <f>IFERROR(__xludf.DUMMYFUNCTION("""COMPUTED_VALUE"""),13.007103)</f>
        <v>13.007103</v>
      </c>
      <c r="E16084" s="4">
        <f>IFERROR(__xludf.DUMMYFUNCTION("""COMPUTED_VALUE"""),80.238513)</f>
        <v>80.238513</v>
      </c>
      <c r="F16084" s="4">
        <f>IFERROR(__xludf.DUMMYFUNCTION("""COMPUTED_VALUE"""),805.0)</f>
        <v>805</v>
      </c>
      <c r="G16084" s="4">
        <f>IFERROR(__xludf.DUMMYFUNCTION("""COMPUTED_VALUE"""),41.0)</f>
        <v>41</v>
      </c>
      <c r="H16084" s="4"/>
      <c r="I16084" s="4"/>
    </row>
    <row r="16085">
      <c r="A16085" s="4" t="str">
        <f>IFERROR(__xludf.DUMMYFUNCTION("""COMPUTED_VALUE"""),"cas_hmw")</f>
        <v>cas_hmw</v>
      </c>
      <c r="B16085" s="5">
        <f>IFERROR(__xludf.DUMMYFUNCTION("""COMPUTED_VALUE"""),44733.0)</f>
        <v>44733</v>
      </c>
      <c r="C16085" s="6">
        <f>IFERROR(__xludf.DUMMYFUNCTION("""COMPUTED_VALUE"""),0.32784722222277196)</f>
        <v>0.3278472222</v>
      </c>
      <c r="D16085" s="4">
        <f>IFERROR(__xludf.DUMMYFUNCTION("""COMPUTED_VALUE"""),12.726214)</f>
        <v>12.726214</v>
      </c>
      <c r="E16085" s="4">
        <f>IFERROR(__xludf.DUMMYFUNCTION("""COMPUTED_VALUE"""),79.982323)</f>
        <v>79.982323</v>
      </c>
      <c r="F16085" s="4">
        <f>IFERROR(__xludf.DUMMYFUNCTION("""COMPUTED_VALUE"""),2846.0)</f>
        <v>2846</v>
      </c>
      <c r="G16085" s="4">
        <f>IFERROR(__xludf.DUMMYFUNCTION("""COMPUTED_VALUE"""),46.0)</f>
        <v>46</v>
      </c>
      <c r="H16085" s="4"/>
      <c r="I16085" s="4"/>
    </row>
    <row r="16086">
      <c r="A16086" s="4" t="str">
        <f>IFERROR(__xludf.DUMMYFUNCTION("""COMPUTED_VALUE"""),"cas_hmw")</f>
        <v>cas_hmw</v>
      </c>
      <c r="B16086" s="5">
        <f>IFERROR(__xludf.DUMMYFUNCTION("""COMPUTED_VALUE"""),44733.0)</f>
        <v>44733</v>
      </c>
      <c r="C16086" s="6">
        <f>IFERROR(__xludf.DUMMYFUNCTION("""COMPUTED_VALUE"""),0.32789351851897663)</f>
        <v>0.3278935185</v>
      </c>
      <c r="D16086" s="4">
        <f>IFERROR(__xludf.DUMMYFUNCTION("""COMPUTED_VALUE"""),12.983193)</f>
        <v>12.983193</v>
      </c>
      <c r="E16086" s="4">
        <f>IFERROR(__xludf.DUMMYFUNCTION("""COMPUTED_VALUE"""),80.169639)</f>
        <v>80.169639</v>
      </c>
      <c r="F16086" s="4">
        <f>IFERROR(__xludf.DUMMYFUNCTION("""COMPUTED_VALUE"""),5339.0)</f>
        <v>5339</v>
      </c>
      <c r="G16086" s="4">
        <f>IFERROR(__xludf.DUMMYFUNCTION("""COMPUTED_VALUE"""),47.0)</f>
        <v>47</v>
      </c>
      <c r="H16086" s="4"/>
      <c r="I16086" s="4"/>
    </row>
    <row r="16087">
      <c r="A16087" s="4" t="str">
        <f>IFERROR(__xludf.DUMMYFUNCTION("""COMPUTED_VALUE"""),"cas_hmw")</f>
        <v>cas_hmw</v>
      </c>
      <c r="B16087" s="5">
        <f>IFERROR(__xludf.DUMMYFUNCTION("""COMPUTED_VALUE"""),44733.0)</f>
        <v>44733</v>
      </c>
      <c r="C16087" s="6">
        <f>IFERROR(__xludf.DUMMYFUNCTION("""COMPUTED_VALUE"""),0.3279745370382443)</f>
        <v>0.327974537</v>
      </c>
      <c r="D16087" s="4">
        <f>IFERROR(__xludf.DUMMYFUNCTION("""COMPUTED_VALUE"""),12.983193)</f>
        <v>12.983193</v>
      </c>
      <c r="E16087" s="4">
        <f>IFERROR(__xludf.DUMMYFUNCTION("""COMPUTED_VALUE"""),80.169639)</f>
        <v>80.169639</v>
      </c>
      <c r="F16087" s="4">
        <f>IFERROR(__xludf.DUMMYFUNCTION("""COMPUTED_VALUE"""),5339.0)</f>
        <v>5339</v>
      </c>
      <c r="G16087" s="4">
        <f>IFERROR(__xludf.DUMMYFUNCTION("""COMPUTED_VALUE"""),47.0)</f>
        <v>47</v>
      </c>
      <c r="H16087" s="4"/>
      <c r="I16087" s="4"/>
    </row>
    <row r="16088">
      <c r="A16088" s="4" t="str">
        <f>IFERROR(__xludf.DUMMYFUNCTION("""COMPUTED_VALUE"""),"cas_hmw")</f>
        <v>cas_hmw</v>
      </c>
      <c r="B16088" s="5">
        <f>IFERROR(__xludf.DUMMYFUNCTION("""COMPUTED_VALUE"""),44733.0)</f>
        <v>44733</v>
      </c>
      <c r="C16088" s="6">
        <f>IFERROR(__xludf.DUMMYFUNCTION("""COMPUTED_VALUE"""),0.3283796296309447)</f>
        <v>0.3283796296</v>
      </c>
      <c r="D16088" s="4">
        <f>IFERROR(__xludf.DUMMYFUNCTION("""COMPUTED_VALUE"""),13.008538)</f>
        <v>13.008538</v>
      </c>
      <c r="E16088" s="4">
        <f>IFERROR(__xludf.DUMMYFUNCTION("""COMPUTED_VALUE"""),80.231531)</f>
        <v>80.231531</v>
      </c>
      <c r="F16088" s="4">
        <f>IFERROR(__xludf.DUMMYFUNCTION("""COMPUTED_VALUE"""),805.0)</f>
        <v>805</v>
      </c>
      <c r="G16088" s="4">
        <f>IFERROR(__xludf.DUMMYFUNCTION("""COMPUTED_VALUE"""),50.0)</f>
        <v>50</v>
      </c>
      <c r="H16088" s="4"/>
      <c r="I16088" s="4"/>
    </row>
    <row r="16089">
      <c r="A16089" s="4" t="str">
        <f>IFERROR(__xludf.DUMMYFUNCTION("""COMPUTED_VALUE"""),"cas_hmw")</f>
        <v>cas_hmw</v>
      </c>
      <c r="B16089" s="5">
        <f>IFERROR(__xludf.DUMMYFUNCTION("""COMPUTED_VALUE"""),44733.0)</f>
        <v>44733</v>
      </c>
      <c r="C16089" s="6">
        <f>IFERROR(__xludf.DUMMYFUNCTION("""COMPUTED_VALUE"""),0.3287037037043774)</f>
        <v>0.3287037037</v>
      </c>
      <c r="D16089" s="4">
        <f>IFERROR(__xludf.DUMMYFUNCTION("""COMPUTED_VALUE"""),12.979951)</f>
        <v>12.979951</v>
      </c>
      <c r="E16089" s="4">
        <f>IFERROR(__xludf.DUMMYFUNCTION("""COMPUTED_VALUE"""),80.163284)</f>
        <v>80.163284</v>
      </c>
      <c r="F16089" s="4">
        <f>IFERROR(__xludf.DUMMYFUNCTION("""COMPUTED_VALUE"""),5339.0)</f>
        <v>5339</v>
      </c>
      <c r="G16089" s="4">
        <f>IFERROR(__xludf.DUMMYFUNCTION("""COMPUTED_VALUE"""),12.0)</f>
        <v>12</v>
      </c>
      <c r="H16089" s="4"/>
      <c r="I16089" s="4"/>
    </row>
    <row r="16090">
      <c r="A16090" s="4" t="str">
        <f>IFERROR(__xludf.DUMMYFUNCTION("""COMPUTED_VALUE"""),"cas_hmw")</f>
        <v>cas_hmw</v>
      </c>
      <c r="B16090" s="5">
        <f>IFERROR(__xludf.DUMMYFUNCTION("""COMPUTED_VALUE"""),44733.0)</f>
        <v>44733</v>
      </c>
      <c r="C16090" s="6">
        <f>IFERROR(__xludf.DUMMYFUNCTION("""COMPUTED_VALUE"""),0.3288888888891961)</f>
        <v>0.3288888889</v>
      </c>
      <c r="D16090" s="4">
        <f>IFERROR(__xludf.DUMMYFUNCTION("""COMPUTED_VALUE"""),12.979041)</f>
        <v>12.979041</v>
      </c>
      <c r="E16090" s="4">
        <f>IFERROR(__xludf.DUMMYFUNCTION("""COMPUTED_VALUE"""),80.161582)</f>
        <v>80.161582</v>
      </c>
      <c r="F16090" s="4">
        <f>IFERROR(__xludf.DUMMYFUNCTION("""COMPUTED_VALUE"""),5339.0)</f>
        <v>5339</v>
      </c>
      <c r="G16090" s="4">
        <f>IFERROR(__xludf.DUMMYFUNCTION("""COMPUTED_VALUE"""),46.0)</f>
        <v>46</v>
      </c>
      <c r="H16090" s="4"/>
      <c r="I16090" s="4"/>
    </row>
    <row r="16091">
      <c r="A16091" s="4" t="str">
        <f>IFERROR(__xludf.DUMMYFUNCTION("""COMPUTED_VALUE"""),"cas_hmw")</f>
        <v>cas_hmw</v>
      </c>
      <c r="B16091" s="5">
        <f>IFERROR(__xludf.DUMMYFUNCTION("""COMPUTED_VALUE"""),44733.0)</f>
        <v>44733</v>
      </c>
      <c r="C16091" s="6">
        <f>IFERROR(__xludf.DUMMYFUNCTION("""COMPUTED_VALUE"""),0.32896990740846377)</f>
        <v>0.3289699074</v>
      </c>
      <c r="D16091" s="4">
        <f>IFERROR(__xludf.DUMMYFUNCTION("""COMPUTED_VALUE"""),13.010045)</f>
        <v>13.010045</v>
      </c>
      <c r="E16091" s="4">
        <f>IFERROR(__xludf.DUMMYFUNCTION("""COMPUTED_VALUE"""),80.226267)</f>
        <v>80.226267</v>
      </c>
      <c r="F16091" s="4">
        <f>IFERROR(__xludf.DUMMYFUNCTION("""COMPUTED_VALUE"""),805.0)</f>
        <v>805</v>
      </c>
      <c r="G16091" s="4">
        <f>IFERROR(__xludf.DUMMYFUNCTION("""COMPUTED_VALUE"""),50.0)</f>
        <v>50</v>
      </c>
      <c r="H16091" s="4"/>
      <c r="I16091" s="4"/>
    </row>
    <row r="16092">
      <c r="A16092" s="4" t="str">
        <f>IFERROR(__xludf.DUMMYFUNCTION("""COMPUTED_VALUE"""),"cas_hmw")</f>
        <v>cas_hmw</v>
      </c>
      <c r="B16092" s="5">
        <f>IFERROR(__xludf.DUMMYFUNCTION("""COMPUTED_VALUE"""),44733.0)</f>
        <v>44733</v>
      </c>
      <c r="C16092" s="6">
        <f>IFERROR(__xludf.DUMMYFUNCTION("""COMPUTED_VALUE"""),0.3290625000008731)</f>
        <v>0.3290625</v>
      </c>
      <c r="D16092" s="4">
        <f>IFERROR(__xludf.DUMMYFUNCTION("""COMPUTED_VALUE"""),12.978313)</f>
        <v>12.978313</v>
      </c>
      <c r="E16092" s="4">
        <f>IFERROR(__xludf.DUMMYFUNCTION("""COMPUTED_VALUE"""),80.160545)</f>
        <v>80.160545</v>
      </c>
      <c r="F16092" s="4">
        <f>IFERROR(__xludf.DUMMYFUNCTION("""COMPUTED_VALUE"""),5339.0)</f>
        <v>5339</v>
      </c>
      <c r="G16092" s="4">
        <f>IFERROR(__xludf.DUMMYFUNCTION("""COMPUTED_VALUE"""),50.0)</f>
        <v>50</v>
      </c>
      <c r="H16092" s="4"/>
      <c r="I16092" s="4"/>
    </row>
    <row r="16093">
      <c r="A16093" s="4" t="str">
        <f>IFERROR(__xludf.DUMMYFUNCTION("""COMPUTED_VALUE"""),"cas_hmw")</f>
        <v>cas_hmw</v>
      </c>
      <c r="B16093" s="5">
        <f>IFERROR(__xludf.DUMMYFUNCTION("""COMPUTED_VALUE"""),44733.0)</f>
        <v>44733</v>
      </c>
      <c r="C16093" s="6">
        <f>IFERROR(__xludf.DUMMYFUNCTION("""COMPUTED_VALUE"""),0.3293171296281798)</f>
        <v>0.3293171296</v>
      </c>
      <c r="D16093" s="4">
        <f>IFERROR(__xludf.DUMMYFUNCTION("""COMPUTED_VALUE"""),12.976932)</f>
        <v>12.976932</v>
      </c>
      <c r="E16093" s="4">
        <f>IFERROR(__xludf.DUMMYFUNCTION("""COMPUTED_VALUE"""),80.158498)</f>
        <v>80.158498</v>
      </c>
      <c r="F16093" s="4">
        <f>IFERROR(__xludf.DUMMYFUNCTION("""COMPUTED_VALUE"""),5339.0)</f>
        <v>5339</v>
      </c>
      <c r="G16093" s="4">
        <f>IFERROR(__xludf.DUMMYFUNCTION("""COMPUTED_VALUE"""),51.0)</f>
        <v>51</v>
      </c>
      <c r="H16093" s="4"/>
      <c r="I16093" s="4"/>
    </row>
    <row r="16094">
      <c r="A16094" s="4" t="str">
        <f>IFERROR(__xludf.DUMMYFUNCTION("""COMPUTED_VALUE"""),"cas_hmw")</f>
        <v>cas_hmw</v>
      </c>
      <c r="B16094" s="5">
        <f>IFERROR(__xludf.DUMMYFUNCTION("""COMPUTED_VALUE"""),44733.0)</f>
        <v>44733</v>
      </c>
      <c r="C16094" s="6">
        <f>IFERROR(__xludf.DUMMYFUNCTION("""COMPUTED_VALUE"""),0.32945601851679385)</f>
        <v>0.3294560185</v>
      </c>
      <c r="D16094" s="4">
        <f>IFERROR(__xludf.DUMMYFUNCTION("""COMPUTED_VALUE"""),13.01129)</f>
        <v>13.01129</v>
      </c>
      <c r="E16094" s="4">
        <f>IFERROR(__xludf.DUMMYFUNCTION("""COMPUTED_VALUE"""),80.223427)</f>
        <v>80.223427</v>
      </c>
      <c r="F16094" s="4">
        <f>IFERROR(__xludf.DUMMYFUNCTION("""COMPUTED_VALUE"""),805.0)</f>
        <v>805</v>
      </c>
      <c r="G16094" s="4">
        <f>IFERROR(__xludf.DUMMYFUNCTION("""COMPUTED_VALUE"""),26.0)</f>
        <v>26</v>
      </c>
      <c r="H16094" s="4"/>
      <c r="I16094" s="4"/>
    </row>
    <row r="16095">
      <c r="A16095" s="4" t="str">
        <f>IFERROR(__xludf.DUMMYFUNCTION("""COMPUTED_VALUE"""),"cas_hmw")</f>
        <v>cas_hmw</v>
      </c>
      <c r="B16095" s="5">
        <f>IFERROR(__xludf.DUMMYFUNCTION("""COMPUTED_VALUE"""),44733.0)</f>
        <v>44733</v>
      </c>
      <c r="C16095" s="6">
        <f>IFERROR(__xludf.DUMMYFUNCTION("""COMPUTED_VALUE"""),0.32959490740904585)</f>
        <v>0.3295949074</v>
      </c>
      <c r="D16095" s="4">
        <f>IFERROR(__xludf.DUMMYFUNCTION("""COMPUTED_VALUE"""),13.01129)</f>
        <v>13.01129</v>
      </c>
      <c r="E16095" s="4">
        <f>IFERROR(__xludf.DUMMYFUNCTION("""COMPUTED_VALUE"""),80.223427)</f>
        <v>80.223427</v>
      </c>
      <c r="F16095" s="4">
        <f>IFERROR(__xludf.DUMMYFUNCTION("""COMPUTED_VALUE"""),805.0)</f>
        <v>805</v>
      </c>
      <c r="G16095" s="4">
        <f>IFERROR(__xludf.DUMMYFUNCTION("""COMPUTED_VALUE"""),26.0)</f>
        <v>26</v>
      </c>
      <c r="H16095" s="4"/>
      <c r="I16095" s="4"/>
    </row>
    <row r="16096">
      <c r="A16096" s="4" t="str">
        <f>IFERROR(__xludf.DUMMYFUNCTION("""COMPUTED_VALUE"""),"cas_hmw")</f>
        <v>cas_hmw</v>
      </c>
      <c r="B16096" s="5">
        <f>IFERROR(__xludf.DUMMYFUNCTION("""COMPUTED_VALUE"""),44733.0)</f>
        <v>44733</v>
      </c>
      <c r="C16096" s="6">
        <f>IFERROR(__xludf.DUMMYFUNCTION("""COMPUTED_VALUE"""),0.32967592592467554)</f>
        <v>0.3296759259</v>
      </c>
      <c r="D16096" s="4">
        <f>IFERROR(__xludf.DUMMYFUNCTION("""COMPUTED_VALUE"""),12.974955)</f>
        <v>12.974955</v>
      </c>
      <c r="E16096" s="4">
        <f>IFERROR(__xludf.DUMMYFUNCTION("""COMPUTED_VALUE"""),80.155572)</f>
        <v>80.155572</v>
      </c>
      <c r="F16096" s="4">
        <f>IFERROR(__xludf.DUMMYFUNCTION("""COMPUTED_VALUE"""),5339.0)</f>
        <v>5339</v>
      </c>
      <c r="G16096" s="4">
        <f>IFERROR(__xludf.DUMMYFUNCTION("""COMPUTED_VALUE"""),28.0)</f>
        <v>28</v>
      </c>
      <c r="H16096" s="4"/>
      <c r="I16096" s="4"/>
    </row>
    <row r="16097">
      <c r="A16097" s="4" t="str">
        <f>IFERROR(__xludf.DUMMYFUNCTION("""COMPUTED_VALUE"""),"cas_hmw")</f>
        <v>cas_hmw</v>
      </c>
      <c r="B16097" s="5">
        <f>IFERROR(__xludf.DUMMYFUNCTION("""COMPUTED_VALUE"""),44733.0)</f>
        <v>44733</v>
      </c>
      <c r="C16097" s="6">
        <f>IFERROR(__xludf.DUMMYFUNCTION("""COMPUTED_VALUE"""),0.32967592592467554)</f>
        <v>0.3296759259</v>
      </c>
      <c r="D16097" s="4">
        <f>IFERROR(__xludf.DUMMYFUNCTION("""COMPUTED_VALUE"""),12.974955)</f>
        <v>12.974955</v>
      </c>
      <c r="E16097" s="4">
        <f>IFERROR(__xludf.DUMMYFUNCTION("""COMPUTED_VALUE"""),80.155572)</f>
        <v>80.155572</v>
      </c>
      <c r="F16097" s="4">
        <f>IFERROR(__xludf.DUMMYFUNCTION("""COMPUTED_VALUE"""),5339.0)</f>
        <v>5339</v>
      </c>
      <c r="G16097" s="4">
        <f>IFERROR(__xludf.DUMMYFUNCTION("""COMPUTED_VALUE"""),28.0)</f>
        <v>28</v>
      </c>
      <c r="H16097" s="4"/>
      <c r="I16097" s="4"/>
    </row>
    <row r="16098">
      <c r="A16098" s="4" t="str">
        <f>IFERROR(__xludf.DUMMYFUNCTION("""COMPUTED_VALUE"""),"cas_hmw")</f>
        <v>cas_hmw</v>
      </c>
      <c r="B16098" s="5">
        <f>IFERROR(__xludf.DUMMYFUNCTION("""COMPUTED_VALUE"""),44733.0)</f>
        <v>44733</v>
      </c>
      <c r="C16098" s="6">
        <f>IFERROR(__xludf.DUMMYFUNCTION("""COMPUTED_VALUE"""),0.32981481481328956)</f>
        <v>0.3298148148</v>
      </c>
      <c r="D16098" s="4">
        <f>IFERROR(__xludf.DUMMYFUNCTION("""COMPUTED_VALUE"""),12.974416)</f>
        <v>12.974416</v>
      </c>
      <c r="E16098" s="4">
        <f>IFERROR(__xludf.DUMMYFUNCTION("""COMPUTED_VALUE"""),80.154829)</f>
        <v>80.154829</v>
      </c>
      <c r="F16098" s="4">
        <f>IFERROR(__xludf.DUMMYFUNCTION("""COMPUTED_VALUE"""),5339.0)</f>
        <v>5339</v>
      </c>
      <c r="G16098" s="4">
        <f>IFERROR(__xludf.DUMMYFUNCTION("""COMPUTED_VALUE"""),27.0)</f>
        <v>27</v>
      </c>
      <c r="H16098" s="4"/>
      <c r="I16098" s="4"/>
    </row>
    <row r="16099">
      <c r="A16099" s="4" t="str">
        <f>IFERROR(__xludf.DUMMYFUNCTION("""COMPUTED_VALUE"""),"cas_hmw")</f>
        <v>cas_hmw</v>
      </c>
      <c r="B16099" s="5">
        <f>IFERROR(__xludf.DUMMYFUNCTION("""COMPUTED_VALUE"""),44733.0)</f>
        <v>44733</v>
      </c>
      <c r="C16099" s="6">
        <f>IFERROR(__xludf.DUMMYFUNCTION("""COMPUTED_VALUE"""),0.3299537037019036)</f>
        <v>0.3299537037</v>
      </c>
      <c r="D16099" s="4">
        <f>IFERROR(__xludf.DUMMYFUNCTION("""COMPUTED_VALUE"""),12.97397)</f>
        <v>12.97397</v>
      </c>
      <c r="E16099" s="4">
        <f>IFERROR(__xludf.DUMMYFUNCTION("""COMPUTED_VALUE"""),80.154164)</f>
        <v>80.154164</v>
      </c>
      <c r="F16099" s="4">
        <f>IFERROR(__xludf.DUMMYFUNCTION("""COMPUTED_VALUE"""),5339.0)</f>
        <v>5339</v>
      </c>
      <c r="G16099" s="4">
        <f>IFERROR(__xludf.DUMMYFUNCTION("""COMPUTED_VALUE"""),38.0)</f>
        <v>38</v>
      </c>
      <c r="H16099" s="4"/>
      <c r="I16099" s="4"/>
    </row>
    <row r="16100">
      <c r="A16100" s="4" t="str">
        <f>IFERROR(__xludf.DUMMYFUNCTION("""COMPUTED_VALUE"""),"cas_hmw")</f>
        <v>cas_hmw</v>
      </c>
      <c r="B16100" s="5">
        <f>IFERROR(__xludf.DUMMYFUNCTION("""COMPUTED_VALUE"""),44733.0)</f>
        <v>44733</v>
      </c>
      <c r="C16100" s="6">
        <f>IFERROR(__xludf.DUMMYFUNCTION("""COMPUTED_VALUE"""),0.3299768518518249)</f>
        <v>0.3299768519</v>
      </c>
      <c r="D16100" s="4">
        <f>IFERROR(__xludf.DUMMYFUNCTION("""COMPUTED_VALUE"""),13.012062)</f>
        <v>13.012062</v>
      </c>
      <c r="E16100" s="4">
        <f>IFERROR(__xludf.DUMMYFUNCTION("""COMPUTED_VALUE"""),80.220854)</f>
        <v>80.220854</v>
      </c>
      <c r="F16100" s="4">
        <f>IFERROR(__xludf.DUMMYFUNCTION("""COMPUTED_VALUE"""),805.0)</f>
        <v>805</v>
      </c>
      <c r="G16100" s="4">
        <f>IFERROR(__xludf.DUMMYFUNCTION("""COMPUTED_VALUE"""),28.0)</f>
        <v>28</v>
      </c>
      <c r="H16100" s="4"/>
      <c r="I16100" s="4"/>
    </row>
    <row r="16101">
      <c r="A16101" s="4" t="str">
        <f>IFERROR(__xludf.DUMMYFUNCTION("""COMPUTED_VALUE"""),"cas_hmw")</f>
        <v>cas_hmw</v>
      </c>
      <c r="B16101" s="5">
        <f>IFERROR(__xludf.DUMMYFUNCTION("""COMPUTED_VALUE"""),44733.0)</f>
        <v>44733</v>
      </c>
      <c r="C16101" s="6">
        <f>IFERROR(__xludf.DUMMYFUNCTION("""COMPUTED_VALUE"""),0.3300810185173759)</f>
        <v>0.3300810185</v>
      </c>
      <c r="D16101" s="4">
        <f>IFERROR(__xludf.DUMMYFUNCTION("""COMPUTED_VALUE"""),12.97268)</f>
        <v>12.97268</v>
      </c>
      <c r="E16101" s="4">
        <f>IFERROR(__xludf.DUMMYFUNCTION("""COMPUTED_VALUE"""),80.152203)</f>
        <v>80.152203</v>
      </c>
      <c r="F16101" s="4">
        <f>IFERROR(__xludf.DUMMYFUNCTION("""COMPUTED_VALUE"""),5339.0)</f>
        <v>5339</v>
      </c>
      <c r="G16101" s="4">
        <f>IFERROR(__xludf.DUMMYFUNCTION("""COMPUTED_VALUE"""),49.0)</f>
        <v>49</v>
      </c>
      <c r="H16101" s="4"/>
      <c r="I16101" s="4"/>
    </row>
    <row r="16102">
      <c r="A16102" s="4" t="str">
        <f>IFERROR(__xludf.DUMMYFUNCTION("""COMPUTED_VALUE"""),"cas_hmw")</f>
        <v>cas_hmw</v>
      </c>
      <c r="B16102" s="5">
        <f>IFERROR(__xludf.DUMMYFUNCTION("""COMPUTED_VALUE"""),44733.0)</f>
        <v>44733</v>
      </c>
      <c r="C16102" s="6">
        <f>IFERROR(__xludf.DUMMYFUNCTION("""COMPUTED_VALUE"""),0.33049768518685596)</f>
        <v>0.3304976852</v>
      </c>
      <c r="D16102" s="4">
        <f>IFERROR(__xludf.DUMMYFUNCTION("""COMPUTED_VALUE"""),12.971971)</f>
        <v>12.971971</v>
      </c>
      <c r="E16102" s="4">
        <f>IFERROR(__xludf.DUMMYFUNCTION("""COMPUTED_VALUE"""),80.151432)</f>
        <v>80.151432</v>
      </c>
      <c r="F16102" s="4">
        <f>IFERROR(__xludf.DUMMYFUNCTION("""COMPUTED_VALUE"""),5339.0)</f>
        <v>5339</v>
      </c>
      <c r="G16102" s="4">
        <f>IFERROR(__xludf.DUMMYFUNCTION("""COMPUTED_VALUE"""),0.0)</f>
        <v>0</v>
      </c>
      <c r="H16102" s="4"/>
      <c r="I16102" s="4"/>
    </row>
    <row r="16103">
      <c r="A16103" s="4" t="str">
        <f>IFERROR(__xludf.DUMMYFUNCTION("""COMPUTED_VALUE"""),"cas_hmw")</f>
        <v>cas_hmw</v>
      </c>
      <c r="B16103" s="5">
        <f>IFERROR(__xludf.DUMMYFUNCTION("""COMPUTED_VALUE"""),44733.0)</f>
        <v>44733</v>
      </c>
      <c r="C16103" s="6">
        <f>IFERROR(__xludf.DUMMYFUNCTION("""COMPUTED_VALUE"""),0.33054398148306063)</f>
        <v>0.3305439815</v>
      </c>
      <c r="D16103" s="4">
        <f>IFERROR(__xludf.DUMMYFUNCTION("""COMPUTED_VALUE"""),13.010689)</f>
        <v>13.010689</v>
      </c>
      <c r="E16103" s="4">
        <f>IFERROR(__xludf.DUMMYFUNCTION("""COMPUTED_VALUE"""),80.216762)</f>
        <v>80.216762</v>
      </c>
      <c r="F16103" s="4">
        <f>IFERROR(__xludf.DUMMYFUNCTION("""COMPUTED_VALUE"""),805.0)</f>
        <v>805</v>
      </c>
      <c r="G16103" s="4">
        <f>IFERROR(__xludf.DUMMYFUNCTION("""COMPUTED_VALUE"""),36.0)</f>
        <v>36</v>
      </c>
      <c r="H16103" s="4"/>
      <c r="I16103" s="4"/>
    </row>
    <row r="16104">
      <c r="A16104" s="4" t="str">
        <f>IFERROR(__xludf.DUMMYFUNCTION("""COMPUTED_VALUE"""),"cas_hmw")</f>
        <v>cas_hmw</v>
      </c>
      <c r="B16104" s="5">
        <f>IFERROR(__xludf.DUMMYFUNCTION("""COMPUTED_VALUE"""),44733.0)</f>
        <v>44733</v>
      </c>
      <c r="C16104" s="6">
        <f>IFERROR(__xludf.DUMMYFUNCTION("""COMPUTED_VALUE"""),0.33068287037167465)</f>
        <v>0.3306828704</v>
      </c>
      <c r="D16104" s="4">
        <f>IFERROR(__xludf.DUMMYFUNCTION("""COMPUTED_VALUE"""),12.971619)</f>
        <v>12.971619</v>
      </c>
      <c r="E16104" s="4">
        <f>IFERROR(__xludf.DUMMYFUNCTION("""COMPUTED_VALUE"""),80.15121)</f>
        <v>80.15121</v>
      </c>
      <c r="F16104" s="4">
        <f>IFERROR(__xludf.DUMMYFUNCTION("""COMPUTED_VALUE"""),5339.0)</f>
        <v>5339</v>
      </c>
      <c r="G16104" s="4">
        <f>IFERROR(__xludf.DUMMYFUNCTION("""COMPUTED_VALUE"""),24.0)</f>
        <v>24</v>
      </c>
      <c r="H16104" s="4"/>
      <c r="I16104" s="4"/>
    </row>
    <row r="16105">
      <c r="A16105" s="4" t="str">
        <f>IFERROR(__xludf.DUMMYFUNCTION("""COMPUTED_VALUE"""),"cas_hmw")</f>
        <v>cas_hmw</v>
      </c>
      <c r="B16105" s="5">
        <f>IFERROR(__xludf.DUMMYFUNCTION("""COMPUTED_VALUE"""),44733.0)</f>
        <v>44733</v>
      </c>
      <c r="C16105" s="6">
        <f>IFERROR(__xludf.DUMMYFUNCTION("""COMPUTED_VALUE"""),0.33098379629518604)</f>
        <v>0.3309837963</v>
      </c>
      <c r="D16105" s="4">
        <f>IFERROR(__xludf.DUMMYFUNCTION("""COMPUTED_VALUE"""),12.96814)</f>
        <v>12.96814</v>
      </c>
      <c r="E16105" s="4">
        <f>IFERROR(__xludf.DUMMYFUNCTION("""COMPUTED_VALUE"""),80.149531)</f>
        <v>80.149531</v>
      </c>
      <c r="F16105" s="4">
        <f>IFERROR(__xludf.DUMMYFUNCTION("""COMPUTED_VALUE"""),5339.0)</f>
        <v>5339</v>
      </c>
      <c r="G16105" s="4">
        <f>IFERROR(__xludf.DUMMYFUNCTION("""COMPUTED_VALUE"""),51.0)</f>
        <v>51</v>
      </c>
      <c r="H16105" s="4"/>
      <c r="I16105" s="4"/>
    </row>
    <row r="16106">
      <c r="A16106" s="4" t="str">
        <f>IFERROR(__xludf.DUMMYFUNCTION("""COMPUTED_VALUE"""),"cas_hmw")</f>
        <v>cas_hmw</v>
      </c>
      <c r="B16106" s="5">
        <f>IFERROR(__xludf.DUMMYFUNCTION("""COMPUTED_VALUE"""),44733.0)</f>
        <v>44733</v>
      </c>
      <c r="C16106" s="6">
        <f>IFERROR(__xludf.DUMMYFUNCTION("""COMPUTED_VALUE"""),0.33112268518380006)</f>
        <v>0.3311226852</v>
      </c>
      <c r="D16106" s="4">
        <f>IFERROR(__xludf.DUMMYFUNCTION("""COMPUTED_VALUE"""),12.967115)</f>
        <v>12.967115</v>
      </c>
      <c r="E16106" s="4">
        <f>IFERROR(__xludf.DUMMYFUNCTION("""COMPUTED_VALUE"""),80.149089)</f>
        <v>80.149089</v>
      </c>
      <c r="F16106" s="4">
        <f>IFERROR(__xludf.DUMMYFUNCTION("""COMPUTED_VALUE"""),5339.0)</f>
        <v>5339</v>
      </c>
      <c r="G16106" s="4">
        <f>IFERROR(__xludf.DUMMYFUNCTION("""COMPUTED_VALUE"""),35.0)</f>
        <v>35</v>
      </c>
      <c r="H16106" s="4"/>
      <c r="I16106" s="4"/>
    </row>
    <row r="16107">
      <c r="A16107" s="4" t="str">
        <f>IFERROR(__xludf.DUMMYFUNCTION("""COMPUTED_VALUE"""),"cas_hmw")</f>
        <v>cas_hmw</v>
      </c>
      <c r="B16107" s="5">
        <f>IFERROR(__xludf.DUMMYFUNCTION("""COMPUTED_VALUE"""),44733.0)</f>
        <v>44733</v>
      </c>
      <c r="C16107" s="6">
        <f>IFERROR(__xludf.DUMMYFUNCTION("""COMPUTED_VALUE"""),0.3311805555567844)</f>
        <v>0.3311805556</v>
      </c>
      <c r="D16107" s="4">
        <f>IFERROR(__xludf.DUMMYFUNCTION("""COMPUTED_VALUE"""),12.967115)</f>
        <v>12.967115</v>
      </c>
      <c r="E16107" s="4">
        <f>IFERROR(__xludf.DUMMYFUNCTION("""COMPUTED_VALUE"""),80.149089)</f>
        <v>80.149089</v>
      </c>
      <c r="F16107" s="4">
        <f>IFERROR(__xludf.DUMMYFUNCTION("""COMPUTED_VALUE"""),5339.0)</f>
        <v>5339</v>
      </c>
      <c r="G16107" s="4">
        <f>IFERROR(__xludf.DUMMYFUNCTION("""COMPUTED_VALUE"""),35.0)</f>
        <v>35</v>
      </c>
      <c r="H16107" s="4"/>
      <c r="I16107" s="4"/>
    </row>
    <row r="16108">
      <c r="A16108" s="4" t="str">
        <f>IFERROR(__xludf.DUMMYFUNCTION("""COMPUTED_VALUE"""),"cas_hmw")</f>
        <v>cas_hmw</v>
      </c>
      <c r="B16108" s="5">
        <f>IFERROR(__xludf.DUMMYFUNCTION("""COMPUTED_VALUE"""),44733.0)</f>
        <v>44733</v>
      </c>
      <c r="C16108" s="6">
        <f>IFERROR(__xludf.DUMMYFUNCTION("""COMPUTED_VALUE"""),0.3311805555567844)</f>
        <v>0.3311805556</v>
      </c>
      <c r="D16108" s="4">
        <f>IFERROR(__xludf.DUMMYFUNCTION("""COMPUTED_VALUE"""),12.967115)</f>
        <v>12.967115</v>
      </c>
      <c r="E16108" s="4">
        <f>IFERROR(__xludf.DUMMYFUNCTION("""COMPUTED_VALUE"""),80.149089)</f>
        <v>80.149089</v>
      </c>
      <c r="F16108" s="4">
        <f>IFERROR(__xludf.DUMMYFUNCTION("""COMPUTED_VALUE"""),5339.0)</f>
        <v>5339</v>
      </c>
      <c r="G16108" s="4">
        <f>IFERROR(__xludf.DUMMYFUNCTION("""COMPUTED_VALUE"""),35.0)</f>
        <v>35</v>
      </c>
      <c r="H16108" s="4"/>
      <c r="I16108" s="4"/>
    </row>
    <row r="16109">
      <c r="A16109" s="4" t="str">
        <f>IFERROR(__xludf.DUMMYFUNCTION("""COMPUTED_VALUE"""),"cas_hmw")</f>
        <v>cas_hmw</v>
      </c>
      <c r="B16109" s="5">
        <f>IFERROR(__xludf.DUMMYFUNCTION("""COMPUTED_VALUE"""),44733.0)</f>
        <v>44733</v>
      </c>
      <c r="C16109" s="6">
        <f>IFERROR(__xludf.DUMMYFUNCTION("""COMPUTED_VALUE"""),0.33119212962992606)</f>
        <v>0.3311921296</v>
      </c>
      <c r="D16109" s="4">
        <f>IFERROR(__xludf.DUMMYFUNCTION("""COMPUTED_VALUE"""),12.967115)</f>
        <v>12.967115</v>
      </c>
      <c r="E16109" s="4">
        <f>IFERROR(__xludf.DUMMYFUNCTION("""COMPUTED_VALUE"""),80.149089)</f>
        <v>80.149089</v>
      </c>
      <c r="F16109" s="4">
        <f>IFERROR(__xludf.DUMMYFUNCTION("""COMPUTED_VALUE"""),5339.0)</f>
        <v>5339</v>
      </c>
      <c r="G16109" s="4">
        <f>IFERROR(__xludf.DUMMYFUNCTION("""COMPUTED_VALUE"""),35.0)</f>
        <v>35</v>
      </c>
      <c r="H16109" s="4"/>
      <c r="I16109" s="4"/>
    </row>
    <row r="16110">
      <c r="A16110" s="4" t="str">
        <f>IFERROR(__xludf.DUMMYFUNCTION("""COMPUTED_VALUE"""),"cas_hmw")</f>
        <v>cas_hmw</v>
      </c>
      <c r="B16110" s="5">
        <f>IFERROR(__xludf.DUMMYFUNCTION("""COMPUTED_VALUE"""),44733.0)</f>
        <v>44733</v>
      </c>
      <c r="C16110" s="6">
        <f>IFERROR(__xludf.DUMMYFUNCTION("""COMPUTED_VALUE"""),0.3312152777762094)</f>
        <v>0.3312152778</v>
      </c>
      <c r="D16110" s="4">
        <f>IFERROR(__xludf.DUMMYFUNCTION("""COMPUTED_VALUE"""),12.967115)</f>
        <v>12.967115</v>
      </c>
      <c r="E16110" s="4">
        <f>IFERROR(__xludf.DUMMYFUNCTION("""COMPUTED_VALUE"""),80.149089)</f>
        <v>80.149089</v>
      </c>
      <c r="F16110" s="4">
        <f>IFERROR(__xludf.DUMMYFUNCTION("""COMPUTED_VALUE"""),5339.0)</f>
        <v>5339</v>
      </c>
      <c r="G16110" s="4">
        <f>IFERROR(__xludf.DUMMYFUNCTION("""COMPUTED_VALUE"""),35.0)</f>
        <v>35</v>
      </c>
      <c r="H16110" s="4"/>
      <c r="I16110" s="4"/>
    </row>
    <row r="16111">
      <c r="A16111" s="4" t="str">
        <f>IFERROR(__xludf.DUMMYFUNCTION("""COMPUTED_VALUE"""),"cas_hmw")</f>
        <v>cas_hmw</v>
      </c>
      <c r="B16111" s="5">
        <f>IFERROR(__xludf.DUMMYFUNCTION("""COMPUTED_VALUE"""),44733.0)</f>
        <v>44733</v>
      </c>
      <c r="C16111" s="6">
        <f>IFERROR(__xludf.DUMMYFUNCTION("""COMPUTED_VALUE"""),0.33130787036861875)</f>
        <v>0.3313078704</v>
      </c>
      <c r="D16111" s="4">
        <f>IFERROR(__xludf.DUMMYFUNCTION("""COMPUTED_VALUE"""),13.007989)</f>
        <v>13.007989</v>
      </c>
      <c r="E16111" s="4">
        <f>IFERROR(__xludf.DUMMYFUNCTION("""COMPUTED_VALUE"""),80.208672)</f>
        <v>80.208672</v>
      </c>
      <c r="F16111" s="4">
        <f>IFERROR(__xludf.DUMMYFUNCTION("""COMPUTED_VALUE"""),805.0)</f>
        <v>805</v>
      </c>
      <c r="G16111" s="4">
        <f>IFERROR(__xludf.DUMMYFUNCTION("""COMPUTED_VALUE"""),52.0)</f>
        <v>52</v>
      </c>
      <c r="H16111" s="4"/>
      <c r="I16111" s="4"/>
    </row>
    <row r="16112">
      <c r="A16112" s="4" t="str">
        <f>IFERROR(__xludf.DUMMYFUNCTION("""COMPUTED_VALUE"""),"cas_hmw")</f>
        <v>cas_hmw</v>
      </c>
      <c r="B16112" s="5">
        <f>IFERROR(__xludf.DUMMYFUNCTION("""COMPUTED_VALUE"""),44733.0)</f>
        <v>44733</v>
      </c>
      <c r="C16112" s="6">
        <f>IFERROR(__xludf.DUMMYFUNCTION("""COMPUTED_VALUE"""),0.3319097222229175)</f>
        <v>0.3319097222</v>
      </c>
      <c r="D16112" s="4">
        <f>IFERROR(__xludf.DUMMYFUNCTION("""COMPUTED_VALUE"""),12.96084)</f>
        <v>12.96084</v>
      </c>
      <c r="E16112" s="4">
        <f>IFERROR(__xludf.DUMMYFUNCTION("""COMPUTED_VALUE"""),80.145699)</f>
        <v>80.145699</v>
      </c>
      <c r="F16112" s="4">
        <f>IFERROR(__xludf.DUMMYFUNCTION("""COMPUTED_VALUE"""),5339.0)</f>
        <v>5339</v>
      </c>
      <c r="G16112" s="4">
        <f>IFERROR(__xludf.DUMMYFUNCTION("""COMPUTED_VALUE"""),52.0)</f>
        <v>52</v>
      </c>
      <c r="H16112" s="4"/>
      <c r="I16112" s="4"/>
    </row>
    <row r="16113">
      <c r="A16113" s="4" t="str">
        <f>IFERROR(__xludf.DUMMYFUNCTION("""COMPUTED_VALUE"""),"cas_hmw")</f>
        <v>cas_hmw</v>
      </c>
      <c r="B16113" s="5">
        <f>IFERROR(__xludf.DUMMYFUNCTION("""COMPUTED_VALUE"""),44733.0)</f>
        <v>44733</v>
      </c>
      <c r="C16113" s="6">
        <f>IFERROR(__xludf.DUMMYFUNCTION("""COMPUTED_VALUE"""),0.3320601851846732)</f>
        <v>0.3320601852</v>
      </c>
      <c r="D16113" s="4">
        <f>IFERROR(__xludf.DUMMYFUNCTION("""COMPUTED_VALUE"""),12.96084)</f>
        <v>12.96084</v>
      </c>
      <c r="E16113" s="4">
        <f>IFERROR(__xludf.DUMMYFUNCTION("""COMPUTED_VALUE"""),80.145699)</f>
        <v>80.145699</v>
      </c>
      <c r="F16113" s="4">
        <f>IFERROR(__xludf.DUMMYFUNCTION("""COMPUTED_VALUE"""),5339.0)</f>
        <v>5339</v>
      </c>
      <c r="G16113" s="4">
        <f>IFERROR(__xludf.DUMMYFUNCTION("""COMPUTED_VALUE"""),52.0)</f>
        <v>52</v>
      </c>
      <c r="H16113" s="4"/>
      <c r="I16113" s="4"/>
    </row>
    <row r="16114">
      <c r="A16114" s="4" t="str">
        <f>IFERROR(__xludf.DUMMYFUNCTION("""COMPUTED_VALUE"""),"cas_hmw")</f>
        <v>cas_hmw</v>
      </c>
      <c r="B16114" s="5">
        <f>IFERROR(__xludf.DUMMYFUNCTION("""COMPUTED_VALUE"""),44733.0)</f>
        <v>44733</v>
      </c>
      <c r="C16114" s="6">
        <f>IFERROR(__xludf.DUMMYFUNCTION("""COMPUTED_VALUE"""),0.3321643518502242)</f>
        <v>0.3321643519</v>
      </c>
      <c r="D16114" s="4">
        <f>IFERROR(__xludf.DUMMYFUNCTION("""COMPUTED_VALUE"""),13.005701)</f>
        <v>13.005701</v>
      </c>
      <c r="E16114" s="4">
        <f>IFERROR(__xludf.DUMMYFUNCTION("""COMPUTED_VALUE"""),80.202309)</f>
        <v>80.202309</v>
      </c>
      <c r="F16114" s="4">
        <f>IFERROR(__xludf.DUMMYFUNCTION("""COMPUTED_VALUE"""),805.0)</f>
        <v>805</v>
      </c>
      <c r="G16114" s="4">
        <f>IFERROR(__xludf.DUMMYFUNCTION("""COMPUTED_VALUE"""),31.0)</f>
        <v>31</v>
      </c>
      <c r="H16114" s="4"/>
      <c r="I16114" s="4"/>
    </row>
    <row r="16115">
      <c r="A16115" s="4" t="str">
        <f>IFERROR(__xludf.DUMMYFUNCTION("""COMPUTED_VALUE"""),"cas_hmw")</f>
        <v>cas_hmw</v>
      </c>
      <c r="B16115" s="5">
        <f>IFERROR(__xludf.DUMMYFUNCTION("""COMPUTED_VALUE"""),44733.0)</f>
        <v>44733</v>
      </c>
      <c r="C16115" s="6">
        <f>IFERROR(__xludf.DUMMYFUNCTION("""COMPUTED_VALUE"""),0.3329629629624833)</f>
        <v>0.332962963</v>
      </c>
      <c r="D16115" s="4">
        <f>IFERROR(__xludf.DUMMYFUNCTION("""COMPUTED_VALUE"""),12.956503)</f>
        <v>12.956503</v>
      </c>
      <c r="E16115" s="4">
        <f>IFERROR(__xludf.DUMMYFUNCTION("""COMPUTED_VALUE"""),80.143389)</f>
        <v>80.143389</v>
      </c>
      <c r="F16115" s="4">
        <f>IFERROR(__xludf.DUMMYFUNCTION("""COMPUTED_VALUE"""),5339.0)</f>
        <v>5339</v>
      </c>
      <c r="G16115" s="4">
        <f>IFERROR(__xludf.DUMMYFUNCTION("""COMPUTED_VALUE"""),14.0)</f>
        <v>14</v>
      </c>
      <c r="H16115" s="4"/>
      <c r="I16115" s="4"/>
    </row>
    <row r="16116">
      <c r="A16116" s="4" t="str">
        <f>IFERROR(__xludf.DUMMYFUNCTION("""COMPUTED_VALUE"""),"cas_hmw")</f>
        <v>cas_hmw</v>
      </c>
      <c r="B16116" s="5">
        <f>IFERROR(__xludf.DUMMYFUNCTION("""COMPUTED_VALUE"""),44733.0)</f>
        <v>44733</v>
      </c>
      <c r="C16116" s="6">
        <f>IFERROR(__xludf.DUMMYFUNCTION("""COMPUTED_VALUE"""),0.3329861111124046)</f>
        <v>0.3329861111</v>
      </c>
      <c r="D16116" s="4">
        <f>IFERROR(__xludf.DUMMYFUNCTION("""COMPUTED_VALUE"""),12.955811)</f>
        <v>12.955811</v>
      </c>
      <c r="E16116" s="4">
        <f>IFERROR(__xludf.DUMMYFUNCTION("""COMPUTED_VALUE"""),80.142998)</f>
        <v>80.142998</v>
      </c>
      <c r="F16116" s="4">
        <f>IFERROR(__xludf.DUMMYFUNCTION("""COMPUTED_VALUE"""),5339.0)</f>
        <v>5339</v>
      </c>
      <c r="G16116" s="4">
        <f>IFERROR(__xludf.DUMMYFUNCTION("""COMPUTED_VALUE"""),23.0)</f>
        <v>23</v>
      </c>
      <c r="H16116" s="4"/>
      <c r="I16116" s="4"/>
    </row>
    <row r="16117">
      <c r="A16117" s="4" t="str">
        <f>IFERROR(__xludf.DUMMYFUNCTION("""COMPUTED_VALUE"""),"cas_hmw")</f>
        <v>cas_hmw</v>
      </c>
      <c r="B16117" s="5">
        <f>IFERROR(__xludf.DUMMYFUNCTION("""COMPUTED_VALUE"""),44733.0)</f>
        <v>44733</v>
      </c>
      <c r="C16117" s="6">
        <f>IFERROR(__xludf.DUMMYFUNCTION("""COMPUTED_VALUE"""),0.33304398148175096)</f>
        <v>0.3330439815</v>
      </c>
      <c r="D16117" s="4">
        <f>IFERROR(__xludf.DUMMYFUNCTION("""COMPUTED_VALUE"""),12.955811)</f>
        <v>12.955811</v>
      </c>
      <c r="E16117" s="4">
        <f>IFERROR(__xludf.DUMMYFUNCTION("""COMPUTED_VALUE"""),80.142998)</f>
        <v>80.142998</v>
      </c>
      <c r="F16117" s="4">
        <f>IFERROR(__xludf.DUMMYFUNCTION("""COMPUTED_VALUE"""),5339.0)</f>
        <v>5339</v>
      </c>
      <c r="G16117" s="4">
        <f>IFERROR(__xludf.DUMMYFUNCTION("""COMPUTED_VALUE"""),23.0)</f>
        <v>23</v>
      </c>
      <c r="H16117" s="4"/>
      <c r="I16117" s="4"/>
    </row>
    <row r="16118">
      <c r="A16118" s="4" t="str">
        <f>IFERROR(__xludf.DUMMYFUNCTION("""COMPUTED_VALUE"""),"cas_hmw")</f>
        <v>cas_hmw</v>
      </c>
      <c r="B16118" s="5">
        <f>IFERROR(__xludf.DUMMYFUNCTION("""COMPUTED_VALUE"""),44733.0)</f>
        <v>44733</v>
      </c>
      <c r="C16118" s="6">
        <f>IFERROR(__xludf.DUMMYFUNCTION("""COMPUTED_VALUE"""),0.33305555555489263)</f>
        <v>0.3330555556</v>
      </c>
      <c r="D16118" s="4">
        <f>IFERROR(__xludf.DUMMYFUNCTION("""COMPUTED_VALUE"""),12.955811)</f>
        <v>12.955811</v>
      </c>
      <c r="E16118" s="4">
        <f>IFERROR(__xludf.DUMMYFUNCTION("""COMPUTED_VALUE"""),80.142998)</f>
        <v>80.142998</v>
      </c>
      <c r="F16118" s="4">
        <f>IFERROR(__xludf.DUMMYFUNCTION("""COMPUTED_VALUE"""),5339.0)</f>
        <v>5339</v>
      </c>
      <c r="G16118" s="4">
        <f>IFERROR(__xludf.DUMMYFUNCTION("""COMPUTED_VALUE"""),23.0)</f>
        <v>23</v>
      </c>
      <c r="H16118" s="4"/>
      <c r="I16118" s="4"/>
    </row>
    <row r="16119">
      <c r="A16119" s="4" t="str">
        <f>IFERROR(__xludf.DUMMYFUNCTION("""COMPUTED_VALUE"""),"cas_hmw")</f>
        <v>cas_hmw</v>
      </c>
      <c r="B16119" s="5">
        <f>IFERROR(__xludf.DUMMYFUNCTION("""COMPUTED_VALUE"""),44733.0)</f>
        <v>44733</v>
      </c>
      <c r="C16119" s="6">
        <f>IFERROR(__xludf.DUMMYFUNCTION("""COMPUTED_VALUE"""),0.33305555555489263)</f>
        <v>0.3330555556</v>
      </c>
      <c r="D16119" s="4">
        <f>IFERROR(__xludf.DUMMYFUNCTION("""COMPUTED_VALUE"""),12.955811)</f>
        <v>12.955811</v>
      </c>
      <c r="E16119" s="4">
        <f>IFERROR(__xludf.DUMMYFUNCTION("""COMPUTED_VALUE"""),80.142998)</f>
        <v>80.142998</v>
      </c>
      <c r="F16119" s="4">
        <f>IFERROR(__xludf.DUMMYFUNCTION("""COMPUTED_VALUE"""),5339.0)</f>
        <v>5339</v>
      </c>
      <c r="G16119" s="4">
        <f>IFERROR(__xludf.DUMMYFUNCTION("""COMPUTED_VALUE"""),23.0)</f>
        <v>23</v>
      </c>
      <c r="H16119" s="4"/>
      <c r="I16119" s="4"/>
    </row>
    <row r="16120">
      <c r="A16120" s="4" t="str">
        <f>IFERROR(__xludf.DUMMYFUNCTION("""COMPUTED_VALUE"""),"cas_hmw")</f>
        <v>cas_hmw</v>
      </c>
      <c r="B16120" s="5">
        <f>IFERROR(__xludf.DUMMYFUNCTION("""COMPUTED_VALUE"""),44733.0)</f>
        <v>44733</v>
      </c>
      <c r="C16120" s="6">
        <f>IFERROR(__xludf.DUMMYFUNCTION("""COMPUTED_VALUE"""),0.3341898148137261)</f>
        <v>0.3341898148</v>
      </c>
      <c r="D16120" s="4">
        <f>IFERROR(__xludf.DUMMYFUNCTION("""COMPUTED_VALUE"""),12.951209)</f>
        <v>12.951209</v>
      </c>
      <c r="E16120" s="4">
        <f>IFERROR(__xludf.DUMMYFUNCTION("""COMPUTED_VALUE"""),80.140152)</f>
        <v>80.140152</v>
      </c>
      <c r="F16120" s="4">
        <f>IFERROR(__xludf.DUMMYFUNCTION("""COMPUTED_VALUE"""),5339.0)</f>
        <v>5339</v>
      </c>
      <c r="G16120" s="4">
        <f>IFERROR(__xludf.DUMMYFUNCTION("""COMPUTED_VALUE"""),0.0)</f>
        <v>0</v>
      </c>
      <c r="H16120" s="4"/>
      <c r="I16120" s="4"/>
    </row>
    <row r="16121">
      <c r="A16121" s="4" t="str">
        <f>IFERROR(__xludf.DUMMYFUNCTION("""COMPUTED_VALUE"""),"cas_hmw")</f>
        <v>cas_hmw</v>
      </c>
      <c r="B16121" s="5">
        <f>IFERROR(__xludf.DUMMYFUNCTION("""COMPUTED_VALUE"""),44733.0)</f>
        <v>44733</v>
      </c>
      <c r="C16121" s="6">
        <f>IFERROR(__xludf.DUMMYFUNCTION("""COMPUTED_VALUE"""),0.33421296296364744)</f>
        <v>0.334212963</v>
      </c>
      <c r="D16121" s="4">
        <f>IFERROR(__xludf.DUMMYFUNCTION("""COMPUTED_VALUE"""),12.951209)</f>
        <v>12.951209</v>
      </c>
      <c r="E16121" s="4">
        <f>IFERROR(__xludf.DUMMYFUNCTION("""COMPUTED_VALUE"""),80.140152)</f>
        <v>80.140152</v>
      </c>
      <c r="F16121" s="4">
        <f>IFERROR(__xludf.DUMMYFUNCTION("""COMPUTED_VALUE"""),5339.0)</f>
        <v>5339</v>
      </c>
      <c r="G16121" s="4">
        <f>IFERROR(__xludf.DUMMYFUNCTION("""COMPUTED_VALUE"""),0.0)</f>
        <v>0</v>
      </c>
      <c r="H16121" s="4"/>
      <c r="I16121" s="4"/>
    </row>
    <row r="16122">
      <c r="A16122" s="4" t="str">
        <f>IFERROR(__xludf.DUMMYFUNCTION("""COMPUTED_VALUE"""),"cas_hmw")</f>
        <v>cas_hmw</v>
      </c>
      <c r="B16122" s="5">
        <f>IFERROR(__xludf.DUMMYFUNCTION("""COMPUTED_VALUE"""),44733.0)</f>
        <v>44733</v>
      </c>
      <c r="C16122" s="6">
        <f>IFERROR(__xludf.DUMMYFUNCTION("""COMPUTED_VALUE"""),0.3344791666677338)</f>
        <v>0.3344791667</v>
      </c>
      <c r="D16122" s="4">
        <f>IFERROR(__xludf.DUMMYFUNCTION("""COMPUTED_VALUE"""),12.949917)</f>
        <v>12.949917</v>
      </c>
      <c r="E16122" s="4">
        <f>IFERROR(__xludf.DUMMYFUNCTION("""COMPUTED_VALUE"""),80.139168)</f>
        <v>80.139168</v>
      </c>
      <c r="F16122" s="4">
        <f>IFERROR(__xludf.DUMMYFUNCTION("""COMPUTED_VALUE"""),5339.0)</f>
        <v>5339</v>
      </c>
      <c r="G16122" s="4">
        <f>IFERROR(__xludf.DUMMYFUNCTION("""COMPUTED_VALUE"""),33.0)</f>
        <v>33</v>
      </c>
      <c r="H16122" s="4"/>
      <c r="I16122" s="4"/>
    </row>
    <row r="16123">
      <c r="A16123" s="4" t="str">
        <f>IFERROR(__xludf.DUMMYFUNCTION("""COMPUTED_VALUE"""),"cas_hmw")</f>
        <v>cas_hmw</v>
      </c>
      <c r="B16123" s="5">
        <f>IFERROR(__xludf.DUMMYFUNCTION("""COMPUTED_VALUE"""),44733.0)</f>
        <v>44733</v>
      </c>
      <c r="C16123" s="6">
        <f>IFERROR(__xludf.DUMMYFUNCTION("""COMPUTED_VALUE"""),0.33479166666802485)</f>
        <v>0.3347916667</v>
      </c>
      <c r="D16123" s="4">
        <f>IFERROR(__xludf.DUMMYFUNCTION("""COMPUTED_VALUE"""),12.993655)</f>
        <v>12.993655</v>
      </c>
      <c r="E16123" s="4">
        <f>IFERROR(__xludf.DUMMYFUNCTION("""COMPUTED_VALUE"""),80.184957)</f>
        <v>80.184957</v>
      </c>
      <c r="F16123" s="4">
        <f>IFERROR(__xludf.DUMMYFUNCTION("""COMPUTED_VALUE"""),805.0)</f>
        <v>805</v>
      </c>
      <c r="G16123" s="4">
        <f>IFERROR(__xludf.DUMMYFUNCTION("""COMPUTED_VALUE"""),35.0)</f>
        <v>35</v>
      </c>
      <c r="H16123" s="4"/>
      <c r="I16123" s="4"/>
    </row>
    <row r="16124">
      <c r="A16124" s="4" t="str">
        <f>IFERROR(__xludf.DUMMYFUNCTION("""COMPUTED_VALUE"""),"cas_hmw")</f>
        <v>cas_hmw</v>
      </c>
      <c r="B16124" s="5">
        <f>IFERROR(__xludf.DUMMYFUNCTION("""COMPUTED_VALUE"""),44733.0)</f>
        <v>44733</v>
      </c>
      <c r="C16124" s="6">
        <f>IFERROR(__xludf.DUMMYFUNCTION("""COMPUTED_VALUE"""),0.33486111111051287)</f>
        <v>0.3348611111</v>
      </c>
      <c r="D16124" s="4">
        <f>IFERROR(__xludf.DUMMYFUNCTION("""COMPUTED_VALUE"""),12.993655)</f>
        <v>12.993655</v>
      </c>
      <c r="E16124" s="4">
        <f>IFERROR(__xludf.DUMMYFUNCTION("""COMPUTED_VALUE"""),80.184957)</f>
        <v>80.184957</v>
      </c>
      <c r="F16124" s="4">
        <f>IFERROR(__xludf.DUMMYFUNCTION("""COMPUTED_VALUE"""),805.0)</f>
        <v>805</v>
      </c>
      <c r="G16124" s="4">
        <f>IFERROR(__xludf.DUMMYFUNCTION("""COMPUTED_VALUE"""),35.0)</f>
        <v>35</v>
      </c>
      <c r="H16124" s="4"/>
      <c r="I16124" s="4"/>
    </row>
    <row r="16125">
      <c r="A16125" s="4" t="str">
        <f>IFERROR(__xludf.DUMMYFUNCTION("""COMPUTED_VALUE"""),"cas_hmw")</f>
        <v>cas_hmw</v>
      </c>
      <c r="B16125" s="5">
        <f>IFERROR(__xludf.DUMMYFUNCTION("""COMPUTED_VALUE"""),44733.0)</f>
        <v>44733</v>
      </c>
      <c r="C16125" s="6">
        <f>IFERROR(__xludf.DUMMYFUNCTION("""COMPUTED_VALUE"""),0.33515046296452056)</f>
        <v>0.335150463</v>
      </c>
      <c r="D16125" s="4">
        <f>IFERROR(__xludf.DUMMYFUNCTION("""COMPUTED_VALUE"""),12.991954)</f>
        <v>12.991954</v>
      </c>
      <c r="E16125" s="4">
        <f>IFERROR(__xludf.DUMMYFUNCTION("""COMPUTED_VALUE"""),80.182079)</f>
        <v>80.182079</v>
      </c>
      <c r="F16125" s="4">
        <f>IFERROR(__xludf.DUMMYFUNCTION("""COMPUTED_VALUE"""),805.0)</f>
        <v>805</v>
      </c>
      <c r="G16125" s="4">
        <f>IFERROR(__xludf.DUMMYFUNCTION("""COMPUTED_VALUE"""),51.0)</f>
        <v>51</v>
      </c>
      <c r="H16125" s="4"/>
      <c r="I16125" s="4"/>
    </row>
    <row r="16126">
      <c r="A16126" s="4" t="str">
        <f>IFERROR(__xludf.DUMMYFUNCTION("""COMPUTED_VALUE"""),"cas_hmw")</f>
        <v>cas_hmw</v>
      </c>
      <c r="B16126" s="5">
        <f>IFERROR(__xludf.DUMMYFUNCTION("""COMPUTED_VALUE"""),44733.0)</f>
        <v>44733</v>
      </c>
      <c r="C16126" s="6">
        <f>IFERROR(__xludf.DUMMYFUNCTION("""COMPUTED_VALUE"""),0.3352430555569299)</f>
        <v>0.3352430556</v>
      </c>
      <c r="D16126" s="4">
        <f>IFERROR(__xludf.DUMMYFUNCTION("""COMPUTED_VALUE"""),12.944575)</f>
        <v>12.944575</v>
      </c>
      <c r="E16126" s="4">
        <f>IFERROR(__xludf.DUMMYFUNCTION("""COMPUTED_VALUE"""),80.135034)</f>
        <v>80.135034</v>
      </c>
      <c r="F16126" s="4">
        <f>IFERROR(__xludf.DUMMYFUNCTION("""COMPUTED_VALUE"""),5339.0)</f>
        <v>5339</v>
      </c>
      <c r="G16126" s="4">
        <f>IFERROR(__xludf.DUMMYFUNCTION("""COMPUTED_VALUE"""),37.0)</f>
        <v>37</v>
      </c>
      <c r="H16126" s="4"/>
      <c r="I16126" s="4"/>
    </row>
    <row r="16127">
      <c r="A16127" s="4" t="str">
        <f>IFERROR(__xludf.DUMMYFUNCTION("""COMPUTED_VALUE"""),"cas_hmw")</f>
        <v>cas_hmw</v>
      </c>
      <c r="B16127" s="5">
        <f>IFERROR(__xludf.DUMMYFUNCTION("""COMPUTED_VALUE"""),44733.0)</f>
        <v>44733</v>
      </c>
      <c r="C16127" s="6">
        <f>IFERROR(__xludf.DUMMYFUNCTION("""COMPUTED_VALUE"""),0.3353587962956226)</f>
        <v>0.3353587963</v>
      </c>
      <c r="D16127" s="4">
        <f>IFERROR(__xludf.DUMMYFUNCTION("""COMPUTED_VALUE"""),12.943423)</f>
        <v>12.943423</v>
      </c>
      <c r="E16127" s="4">
        <f>IFERROR(__xludf.DUMMYFUNCTION("""COMPUTED_VALUE"""),80.1341)</f>
        <v>80.1341</v>
      </c>
      <c r="F16127" s="4">
        <f>IFERROR(__xludf.DUMMYFUNCTION("""COMPUTED_VALUE"""),5339.0)</f>
        <v>5339</v>
      </c>
      <c r="G16127" s="4">
        <f>IFERROR(__xludf.DUMMYFUNCTION("""COMPUTED_VALUE"""),38.0)</f>
        <v>38</v>
      </c>
      <c r="H16127" s="4"/>
      <c r="I16127" s="4"/>
    </row>
    <row r="16128">
      <c r="A16128" s="4" t="str">
        <f>IFERROR(__xludf.DUMMYFUNCTION("""COMPUTED_VALUE"""),"cas_hmw")</f>
        <v>cas_hmw</v>
      </c>
      <c r="B16128" s="5">
        <f>IFERROR(__xludf.DUMMYFUNCTION("""COMPUTED_VALUE"""),44733.0)</f>
        <v>44733</v>
      </c>
      <c r="C16128" s="6">
        <f>IFERROR(__xludf.DUMMYFUNCTION("""COMPUTED_VALUE"""),0.33540509259182727)</f>
        <v>0.3354050926</v>
      </c>
      <c r="D16128" s="4">
        <f>IFERROR(__xludf.DUMMYFUNCTION("""COMPUTED_VALUE"""),12.99059)</f>
        <v>12.99059</v>
      </c>
      <c r="E16128" s="4">
        <f>IFERROR(__xludf.DUMMYFUNCTION("""COMPUTED_VALUE"""),80.180312)</f>
        <v>80.180312</v>
      </c>
      <c r="F16128" s="4">
        <f>IFERROR(__xludf.DUMMYFUNCTION("""COMPUTED_VALUE"""),805.0)</f>
        <v>805</v>
      </c>
      <c r="G16128" s="4">
        <f>IFERROR(__xludf.DUMMYFUNCTION("""COMPUTED_VALUE"""),58.0)</f>
        <v>58</v>
      </c>
      <c r="H16128" s="4"/>
      <c r="I16128" s="4"/>
    </row>
    <row r="16129">
      <c r="A16129" s="4" t="str">
        <f>IFERROR(__xludf.DUMMYFUNCTION("""COMPUTED_VALUE"""),"cas_hmw")</f>
        <v>cas_hmw</v>
      </c>
      <c r="B16129" s="5">
        <f>IFERROR(__xludf.DUMMYFUNCTION("""COMPUTED_VALUE"""),44733.0)</f>
        <v>44733</v>
      </c>
      <c r="C16129" s="6">
        <f>IFERROR(__xludf.DUMMYFUNCTION("""COMPUTED_VALUE"""),0.3355671296303626)</f>
        <v>0.3355671296</v>
      </c>
      <c r="D16129" s="4">
        <f>IFERROR(__xludf.DUMMYFUNCTION("""COMPUTED_VALUE"""),12.942286)</f>
        <v>12.942286</v>
      </c>
      <c r="E16129" s="4">
        <f>IFERROR(__xludf.DUMMYFUNCTION("""COMPUTED_VALUE"""),80.132962)</f>
        <v>80.132962</v>
      </c>
      <c r="F16129" s="4">
        <f>IFERROR(__xludf.DUMMYFUNCTION("""COMPUTED_VALUE"""),5339.0)</f>
        <v>5339</v>
      </c>
      <c r="G16129" s="4">
        <f>IFERROR(__xludf.DUMMYFUNCTION("""COMPUTED_VALUE"""),46.0)</f>
        <v>46</v>
      </c>
      <c r="H16129" s="4"/>
      <c r="I16129" s="4"/>
    </row>
    <row r="16130">
      <c r="A16130" s="4" t="str">
        <f>IFERROR(__xludf.DUMMYFUNCTION("""COMPUTED_VALUE"""),"cas_hmw")</f>
        <v>cas_hmw</v>
      </c>
      <c r="B16130" s="5">
        <f>IFERROR(__xludf.DUMMYFUNCTION("""COMPUTED_VALUE"""),44733.0)</f>
        <v>44733</v>
      </c>
      <c r="C16130" s="6">
        <f>IFERROR(__xludf.DUMMYFUNCTION("""COMPUTED_VALUE"""),0.33559027777664596)</f>
        <v>0.3355902778</v>
      </c>
      <c r="D16130" s="4">
        <f>IFERROR(__xludf.DUMMYFUNCTION("""COMPUTED_VALUE"""),12.942286)</f>
        <v>12.942286</v>
      </c>
      <c r="E16130" s="4">
        <f>IFERROR(__xludf.DUMMYFUNCTION("""COMPUTED_VALUE"""),80.132962)</f>
        <v>80.132962</v>
      </c>
      <c r="F16130" s="4">
        <f>IFERROR(__xludf.DUMMYFUNCTION("""COMPUTED_VALUE"""),5339.0)</f>
        <v>5339</v>
      </c>
      <c r="G16130" s="4">
        <f>IFERROR(__xludf.DUMMYFUNCTION("""COMPUTED_VALUE"""),46.0)</f>
        <v>46</v>
      </c>
      <c r="H16130" s="4"/>
      <c r="I16130" s="4"/>
    </row>
    <row r="16131">
      <c r="A16131" s="4" t="str">
        <f>IFERROR(__xludf.DUMMYFUNCTION("""COMPUTED_VALUE"""),"cas_hmw")</f>
        <v>cas_hmw</v>
      </c>
      <c r="B16131" s="5">
        <f>IFERROR(__xludf.DUMMYFUNCTION("""COMPUTED_VALUE"""),44733.0)</f>
        <v>44733</v>
      </c>
      <c r="C16131" s="6">
        <f>IFERROR(__xludf.DUMMYFUNCTION("""COMPUTED_VALUE"""),0.33570601851897663)</f>
        <v>0.3357060185</v>
      </c>
      <c r="D16131" s="4">
        <f>IFERROR(__xludf.DUMMYFUNCTION("""COMPUTED_VALUE"""),12.940932)</f>
        <v>12.940932</v>
      </c>
      <c r="E16131" s="4">
        <f>IFERROR(__xludf.DUMMYFUNCTION("""COMPUTED_VALUE"""),80.131581)</f>
        <v>80.131581</v>
      </c>
      <c r="F16131" s="4">
        <f>IFERROR(__xludf.DUMMYFUNCTION("""COMPUTED_VALUE"""),5339.0)</f>
        <v>5339</v>
      </c>
      <c r="G16131" s="4">
        <f>IFERROR(__xludf.DUMMYFUNCTION("""COMPUTED_VALUE"""),51.0)</f>
        <v>51</v>
      </c>
      <c r="H16131" s="4"/>
      <c r="I16131" s="4"/>
    </row>
    <row r="16132">
      <c r="A16132" s="4" t="str">
        <f>IFERROR(__xludf.DUMMYFUNCTION("""COMPUTED_VALUE"""),"cas_hmw")</f>
        <v>cas_hmw</v>
      </c>
      <c r="B16132" s="5">
        <f>IFERROR(__xludf.DUMMYFUNCTION("""COMPUTED_VALUE"""),44733.0)</f>
        <v>44733</v>
      </c>
      <c r="C16132" s="6">
        <f>IFERROR(__xludf.DUMMYFUNCTION("""COMPUTED_VALUE"""),0.3357523148151813)</f>
        <v>0.3357523148</v>
      </c>
      <c r="D16132" s="4">
        <f>IFERROR(__xludf.DUMMYFUNCTION("""COMPUTED_VALUE"""),12.988075)</f>
        <v>12.988075</v>
      </c>
      <c r="E16132" s="4">
        <f>IFERROR(__xludf.DUMMYFUNCTION("""COMPUTED_VALUE"""),80.177068)</f>
        <v>80.177068</v>
      </c>
      <c r="F16132" s="4">
        <f>IFERROR(__xludf.DUMMYFUNCTION("""COMPUTED_VALUE"""),805.0)</f>
        <v>805</v>
      </c>
      <c r="G16132" s="4">
        <f>IFERROR(__xludf.DUMMYFUNCTION("""COMPUTED_VALUE"""),46.0)</f>
        <v>46</v>
      </c>
      <c r="H16132" s="4"/>
      <c r="I16132" s="4"/>
    </row>
    <row r="16133">
      <c r="A16133" s="4" t="str">
        <f>IFERROR(__xludf.DUMMYFUNCTION("""COMPUTED_VALUE"""),"cas_hmw")</f>
        <v>cas_hmw</v>
      </c>
      <c r="B16133" s="5">
        <f>IFERROR(__xludf.DUMMYFUNCTION("""COMPUTED_VALUE"""),44733.0)</f>
        <v>44733</v>
      </c>
      <c r="C16133" s="6">
        <f>IFERROR(__xludf.DUMMYFUNCTION("""COMPUTED_VALUE"""),0.335833333334449)</f>
        <v>0.3358333333</v>
      </c>
      <c r="D16133" s="4">
        <f>IFERROR(__xludf.DUMMYFUNCTION("""COMPUTED_VALUE"""),12.987083)</f>
        <v>12.987083</v>
      </c>
      <c r="E16133" s="4">
        <f>IFERROR(__xludf.DUMMYFUNCTION("""COMPUTED_VALUE"""),80.175658)</f>
        <v>80.175658</v>
      </c>
      <c r="F16133" s="4">
        <f>IFERROR(__xludf.DUMMYFUNCTION("""COMPUTED_VALUE"""),805.0)</f>
        <v>805</v>
      </c>
      <c r="G16133" s="4">
        <f>IFERROR(__xludf.DUMMYFUNCTION("""COMPUTED_VALUE"""),46.0)</f>
        <v>46</v>
      </c>
      <c r="H16133" s="4"/>
      <c r="I16133" s="4"/>
    </row>
    <row r="16134">
      <c r="A16134" s="4" t="str">
        <f>IFERROR(__xludf.DUMMYFUNCTION("""COMPUTED_VALUE"""),"cas_hmw")</f>
        <v>cas_hmw</v>
      </c>
      <c r="B16134" s="5">
        <f>IFERROR(__xludf.DUMMYFUNCTION("""COMPUTED_VALUE"""),44733.0)</f>
        <v>44733</v>
      </c>
      <c r="C16134" s="6">
        <f>IFERROR(__xludf.DUMMYFUNCTION("""COMPUTED_VALUE"""),0.3359259259268583)</f>
        <v>0.3359259259</v>
      </c>
      <c r="D16134" s="4">
        <f>IFERROR(__xludf.DUMMYFUNCTION("""COMPUTED_VALUE"""),12.987083)</f>
        <v>12.987083</v>
      </c>
      <c r="E16134" s="4">
        <f>IFERROR(__xludf.DUMMYFUNCTION("""COMPUTED_VALUE"""),80.175658)</f>
        <v>80.175658</v>
      </c>
      <c r="F16134" s="4">
        <f>IFERROR(__xludf.DUMMYFUNCTION("""COMPUTED_VALUE"""),805.0)</f>
        <v>805</v>
      </c>
      <c r="G16134" s="4">
        <f>IFERROR(__xludf.DUMMYFUNCTION("""COMPUTED_VALUE"""),46.0)</f>
        <v>46</v>
      </c>
      <c r="H16134" s="4"/>
      <c r="I16134" s="4"/>
    </row>
    <row r="16135">
      <c r="A16135" s="4" t="str">
        <f>IFERROR(__xludf.DUMMYFUNCTION("""COMPUTED_VALUE"""),"cas_hmw")</f>
        <v>cas_hmw</v>
      </c>
      <c r="B16135" s="5">
        <f>IFERROR(__xludf.DUMMYFUNCTION("""COMPUTED_VALUE"""),44733.0)</f>
        <v>44733</v>
      </c>
      <c r="C16135" s="6">
        <f>IFERROR(__xludf.DUMMYFUNCTION("""COMPUTED_VALUE"""),0.33606481481547235)</f>
        <v>0.3360648148</v>
      </c>
      <c r="D16135" s="4">
        <f>IFERROR(__xludf.DUMMYFUNCTION("""COMPUTED_VALUE"""),12.986315)</f>
        <v>12.986315</v>
      </c>
      <c r="E16135" s="4">
        <f>IFERROR(__xludf.DUMMYFUNCTION("""COMPUTED_VALUE"""),80.174605)</f>
        <v>80.174605</v>
      </c>
      <c r="F16135" s="4">
        <f>IFERROR(__xludf.DUMMYFUNCTION("""COMPUTED_VALUE"""),805.0)</f>
        <v>805</v>
      </c>
      <c r="G16135" s="4">
        <f>IFERROR(__xludf.DUMMYFUNCTION("""COMPUTED_VALUE"""),32.0)</f>
        <v>32</v>
      </c>
      <c r="H16135" s="4"/>
      <c r="I16135" s="4"/>
    </row>
    <row r="16136">
      <c r="A16136" s="4" t="str">
        <f>IFERROR(__xludf.DUMMYFUNCTION("""COMPUTED_VALUE"""),"cas_hmw")</f>
        <v>cas_hmw</v>
      </c>
      <c r="B16136" s="5">
        <f>IFERROR(__xludf.DUMMYFUNCTION("""COMPUTED_VALUE"""),44733.0)</f>
        <v>44733</v>
      </c>
      <c r="C16136" s="6">
        <f>IFERROR(__xludf.DUMMYFUNCTION("""COMPUTED_VALUE"""),0.3361574074078817)</f>
        <v>0.3361574074</v>
      </c>
      <c r="D16136" s="4">
        <f>IFERROR(__xludf.DUMMYFUNCTION("""COMPUTED_VALUE"""),12.986315)</f>
        <v>12.986315</v>
      </c>
      <c r="E16136" s="4">
        <f>IFERROR(__xludf.DUMMYFUNCTION("""COMPUTED_VALUE"""),80.174605)</f>
        <v>80.174605</v>
      </c>
      <c r="F16136" s="4">
        <f>IFERROR(__xludf.DUMMYFUNCTION("""COMPUTED_VALUE"""),805.0)</f>
        <v>805</v>
      </c>
      <c r="G16136" s="4">
        <f>IFERROR(__xludf.DUMMYFUNCTION("""COMPUTED_VALUE"""),32.0)</f>
        <v>32</v>
      </c>
      <c r="H16136" s="4"/>
      <c r="I16136" s="4"/>
    </row>
    <row r="16137">
      <c r="A16137" s="4" t="str">
        <f>IFERROR(__xludf.DUMMYFUNCTION("""COMPUTED_VALUE"""),"cas_hmw")</f>
        <v>cas_hmw</v>
      </c>
      <c r="B16137" s="5">
        <f>IFERROR(__xludf.DUMMYFUNCTION("""COMPUTED_VALUE"""),44733.0)</f>
        <v>44733</v>
      </c>
      <c r="C16137" s="6">
        <f>IFERROR(__xludf.DUMMYFUNCTION("""COMPUTED_VALUE"""),0.33640046296204673)</f>
        <v>0.336400463</v>
      </c>
      <c r="D16137" s="4">
        <f>IFERROR(__xludf.DUMMYFUNCTION("""COMPUTED_VALUE"""),12.936945)</f>
        <v>12.936945</v>
      </c>
      <c r="E16137" s="4">
        <f>IFERROR(__xludf.DUMMYFUNCTION("""COMPUTED_VALUE"""),80.127886)</f>
        <v>80.127886</v>
      </c>
      <c r="F16137" s="4">
        <f>IFERROR(__xludf.DUMMYFUNCTION("""COMPUTED_VALUE"""),5339.0)</f>
        <v>5339</v>
      </c>
      <c r="G16137" s="4">
        <f>IFERROR(__xludf.DUMMYFUNCTION("""COMPUTED_VALUE"""),33.0)</f>
        <v>33</v>
      </c>
      <c r="H16137" s="4"/>
      <c r="I16137" s="4"/>
    </row>
    <row r="16138">
      <c r="A16138" s="4" t="str">
        <f>IFERROR(__xludf.DUMMYFUNCTION("""COMPUTED_VALUE"""),"cas_hmw")</f>
        <v>cas_hmw</v>
      </c>
      <c r="B16138" s="5">
        <f>IFERROR(__xludf.DUMMYFUNCTION("""COMPUTED_VALUE"""),44733.0)</f>
        <v>44733</v>
      </c>
      <c r="C16138" s="6">
        <f>IFERROR(__xludf.DUMMYFUNCTION("""COMPUTED_VALUE"""),0.3364930555544561)</f>
        <v>0.3364930556</v>
      </c>
      <c r="D16138" s="4">
        <f>IFERROR(__xludf.DUMMYFUNCTION("""COMPUTED_VALUE"""),12.936562)</f>
        <v>12.936562</v>
      </c>
      <c r="E16138" s="4">
        <f>IFERROR(__xludf.DUMMYFUNCTION("""COMPUTED_VALUE"""),80.12755)</f>
        <v>80.12755</v>
      </c>
      <c r="F16138" s="4">
        <f>IFERROR(__xludf.DUMMYFUNCTION("""COMPUTED_VALUE"""),5339.0)</f>
        <v>5339</v>
      </c>
      <c r="G16138" s="4">
        <f>IFERROR(__xludf.DUMMYFUNCTION("""COMPUTED_VALUE"""),13.0)</f>
        <v>13</v>
      </c>
      <c r="H16138" s="4"/>
      <c r="I16138" s="4"/>
    </row>
    <row r="16139">
      <c r="A16139" s="4" t="str">
        <f>IFERROR(__xludf.DUMMYFUNCTION("""COMPUTED_VALUE"""),"cas_hmw")</f>
        <v>cas_hmw</v>
      </c>
      <c r="B16139" s="5">
        <f>IFERROR(__xludf.DUMMYFUNCTION("""COMPUTED_VALUE"""),44733.0)</f>
        <v>44733</v>
      </c>
      <c r="C16139" s="6">
        <f>IFERROR(__xludf.DUMMYFUNCTION("""COMPUTED_VALUE"""),0.3372453703705105)</f>
        <v>0.3372453704</v>
      </c>
      <c r="D16139" s="4">
        <f>IFERROR(__xludf.DUMMYFUNCTION("""COMPUTED_VALUE"""),12.931939)</f>
        <v>12.931939</v>
      </c>
      <c r="E16139" s="4">
        <f>IFERROR(__xludf.DUMMYFUNCTION("""COMPUTED_VALUE"""),80.123257)</f>
        <v>80.123257</v>
      </c>
      <c r="F16139" s="4">
        <f>IFERROR(__xludf.DUMMYFUNCTION("""COMPUTED_VALUE"""),5339.0)</f>
        <v>5339</v>
      </c>
      <c r="G16139" s="4">
        <f>IFERROR(__xludf.DUMMYFUNCTION("""COMPUTED_VALUE"""),0.0)</f>
        <v>0</v>
      </c>
      <c r="H16139" s="4"/>
      <c r="I16139" s="4"/>
    </row>
    <row r="16140">
      <c r="A16140" s="4" t="str">
        <f>IFERROR(__xludf.DUMMYFUNCTION("""COMPUTED_VALUE"""),"cas_hmw")</f>
        <v>cas_hmw</v>
      </c>
      <c r="B16140" s="5">
        <f>IFERROR(__xludf.DUMMYFUNCTION("""COMPUTED_VALUE"""),44733.0)</f>
        <v>44733</v>
      </c>
      <c r="C16140" s="6">
        <f>IFERROR(__xludf.DUMMYFUNCTION("""COMPUTED_VALUE"""),0.33740740740904585)</f>
        <v>0.3374074074</v>
      </c>
      <c r="D16140" s="4">
        <f>IFERROR(__xludf.DUMMYFUNCTION("""COMPUTED_VALUE"""),12.931772)</f>
        <v>12.931772</v>
      </c>
      <c r="E16140" s="4">
        <f>IFERROR(__xludf.DUMMYFUNCTION("""COMPUTED_VALUE"""),80.123099)</f>
        <v>80.123099</v>
      </c>
      <c r="F16140" s="4">
        <f>IFERROR(__xludf.DUMMYFUNCTION("""COMPUTED_VALUE"""),5339.0)</f>
        <v>5339</v>
      </c>
      <c r="G16140" s="4">
        <f>IFERROR(__xludf.DUMMYFUNCTION("""COMPUTED_VALUE"""),21.0)</f>
        <v>21</v>
      </c>
      <c r="H16140" s="4"/>
      <c r="I16140" s="4"/>
    </row>
    <row r="16141">
      <c r="A16141" s="4" t="str">
        <f>IFERROR(__xludf.DUMMYFUNCTION("""COMPUTED_VALUE"""),"cas_hmw")</f>
        <v>cas_hmw</v>
      </c>
      <c r="B16141" s="5">
        <f>IFERROR(__xludf.DUMMYFUNCTION("""COMPUTED_VALUE"""),44733.0)</f>
        <v>44733</v>
      </c>
      <c r="C16141" s="6">
        <f>IFERROR(__xludf.DUMMYFUNCTION("""COMPUTED_VALUE"""),0.33784722222117125)</f>
        <v>0.3378472222</v>
      </c>
      <c r="D16141" s="4">
        <f>IFERROR(__xludf.DUMMYFUNCTION("""COMPUTED_VALUE"""),12.929662)</f>
        <v>12.929662</v>
      </c>
      <c r="E16141" s="4">
        <f>IFERROR(__xludf.DUMMYFUNCTION("""COMPUTED_VALUE"""),80.120863)</f>
        <v>80.120863</v>
      </c>
      <c r="F16141" s="4">
        <f>IFERROR(__xludf.DUMMYFUNCTION("""COMPUTED_VALUE"""),5339.0)</f>
        <v>5339</v>
      </c>
      <c r="G16141" s="4">
        <f>IFERROR(__xludf.DUMMYFUNCTION("""COMPUTED_VALUE"""),52.0)</f>
        <v>52</v>
      </c>
      <c r="H16141" s="4"/>
      <c r="I16141" s="4"/>
    </row>
    <row r="16142">
      <c r="A16142" s="4" t="str">
        <f>IFERROR(__xludf.DUMMYFUNCTION("""COMPUTED_VALUE"""),"cas_hmw")</f>
        <v>cas_hmw</v>
      </c>
      <c r="B16142" s="5">
        <f>IFERROR(__xludf.DUMMYFUNCTION("""COMPUTED_VALUE"""),44733.0)</f>
        <v>44733</v>
      </c>
      <c r="C16142" s="6">
        <f>IFERROR(__xludf.DUMMYFUNCTION("""COMPUTED_VALUE"""),0.3381249999983993)</f>
        <v>0.338125</v>
      </c>
      <c r="D16142" s="4">
        <f>IFERROR(__xludf.DUMMYFUNCTION("""COMPUTED_VALUE"""),12.97769)</f>
        <v>12.97769</v>
      </c>
      <c r="E16142" s="4">
        <f>IFERROR(__xludf.DUMMYFUNCTION("""COMPUTED_VALUE"""),80.159631)</f>
        <v>80.159631</v>
      </c>
      <c r="F16142" s="4">
        <f>IFERROR(__xludf.DUMMYFUNCTION("""COMPUTED_VALUE"""),805.0)</f>
        <v>805</v>
      </c>
      <c r="G16142" s="4">
        <f>IFERROR(__xludf.DUMMYFUNCTION("""COMPUTED_VALUE"""),58.0)</f>
        <v>58</v>
      </c>
      <c r="H16142" s="4"/>
      <c r="I16142" s="4"/>
    </row>
    <row r="16143">
      <c r="A16143" s="4" t="str">
        <f>IFERROR(__xludf.DUMMYFUNCTION("""COMPUTED_VALUE"""),"cas_hmw")</f>
        <v>cas_hmw</v>
      </c>
      <c r="B16143" s="5">
        <f>IFERROR(__xludf.DUMMYFUNCTION("""COMPUTED_VALUE"""),44733.0)</f>
        <v>44733</v>
      </c>
      <c r="C16143" s="6">
        <f>IFERROR(__xludf.DUMMYFUNCTION("""COMPUTED_VALUE"""),0.33879629629518604)</f>
        <v>0.3387962963</v>
      </c>
      <c r="D16143" s="4">
        <f>IFERROR(__xludf.DUMMYFUNCTION("""COMPUTED_VALUE"""),12.921659)</f>
        <v>12.921659</v>
      </c>
      <c r="E16143" s="4">
        <f>IFERROR(__xludf.DUMMYFUNCTION("""COMPUTED_VALUE"""),80.112813)</f>
        <v>80.112813</v>
      </c>
      <c r="F16143" s="4">
        <f>IFERROR(__xludf.DUMMYFUNCTION("""COMPUTED_VALUE"""),5339.0)</f>
        <v>5339</v>
      </c>
      <c r="G16143" s="4">
        <f>IFERROR(__xludf.DUMMYFUNCTION("""COMPUTED_VALUE"""),51.0)</f>
        <v>51</v>
      </c>
      <c r="H16143" s="4"/>
      <c r="I16143" s="4"/>
    </row>
    <row r="16144">
      <c r="A16144" s="4" t="str">
        <f>IFERROR(__xludf.DUMMYFUNCTION("""COMPUTED_VALUE"""),"cas_hmw")</f>
        <v>cas_hmw</v>
      </c>
      <c r="B16144" s="5">
        <f>IFERROR(__xludf.DUMMYFUNCTION("""COMPUTED_VALUE"""),44733.0)</f>
        <v>44733</v>
      </c>
      <c r="C16144" s="6">
        <f>IFERROR(__xludf.DUMMYFUNCTION("""COMPUTED_VALUE"""),0.3388773148144537)</f>
        <v>0.3388773148</v>
      </c>
      <c r="D16144" s="4">
        <f>IFERROR(__xludf.DUMMYFUNCTION("""COMPUTED_VALUE"""),12.920238)</f>
        <v>12.920238</v>
      </c>
      <c r="E16144" s="4">
        <f>IFERROR(__xludf.DUMMYFUNCTION("""COMPUTED_VALUE"""),80.111372)</f>
        <v>80.111372</v>
      </c>
      <c r="F16144" s="4">
        <f>IFERROR(__xludf.DUMMYFUNCTION("""COMPUTED_VALUE"""),5339.0)</f>
        <v>5339</v>
      </c>
      <c r="G16144" s="4">
        <f>IFERROR(__xludf.DUMMYFUNCTION("""COMPUTED_VALUE"""),54.0)</f>
        <v>54</v>
      </c>
      <c r="H16144" s="4"/>
      <c r="I16144" s="4"/>
    </row>
    <row r="16145">
      <c r="A16145" s="4" t="str">
        <f>IFERROR(__xludf.DUMMYFUNCTION("""COMPUTED_VALUE"""),"cas_hmw")</f>
        <v>cas_hmw</v>
      </c>
      <c r="B16145" s="5">
        <f>IFERROR(__xludf.DUMMYFUNCTION("""COMPUTED_VALUE"""),44733.0)</f>
        <v>44733</v>
      </c>
      <c r="C16145" s="6">
        <f>IFERROR(__xludf.DUMMYFUNCTION("""COMPUTED_VALUE"""),0.33893518518380006)</f>
        <v>0.3389351852</v>
      </c>
      <c r="D16145" s="4">
        <f>IFERROR(__xludf.DUMMYFUNCTION("""COMPUTED_VALUE"""),12.81819)</f>
        <v>12.81819</v>
      </c>
      <c r="E16145" s="4">
        <f>IFERROR(__xludf.DUMMYFUNCTION("""COMPUTED_VALUE"""),80.035343)</f>
        <v>80.035343</v>
      </c>
      <c r="F16145" s="4">
        <f>IFERROR(__xludf.DUMMYFUNCTION("""COMPUTED_VALUE"""),2846.0)</f>
        <v>2846</v>
      </c>
      <c r="G16145" s="4">
        <f>IFERROR(__xludf.DUMMYFUNCTION("""COMPUTED_VALUE"""),46.0)</f>
        <v>46</v>
      </c>
      <c r="H16145" s="4"/>
      <c r="I16145" s="4"/>
    </row>
    <row r="16146">
      <c r="A16146" s="4" t="str">
        <f>IFERROR(__xludf.DUMMYFUNCTION("""COMPUTED_VALUE"""),"cas_hmw")</f>
        <v>cas_hmw</v>
      </c>
      <c r="B16146" s="5">
        <f>IFERROR(__xludf.DUMMYFUNCTION("""COMPUTED_VALUE"""),44733.0)</f>
        <v>44733</v>
      </c>
      <c r="C16146" s="6">
        <f>IFERROR(__xludf.DUMMYFUNCTION("""COMPUTED_VALUE"""),0.3390972222223354)</f>
        <v>0.3390972222</v>
      </c>
      <c r="D16146" s="4">
        <f>IFERROR(__xludf.DUMMYFUNCTION("""COMPUTED_VALUE"""),12.819691)</f>
        <v>12.819691</v>
      </c>
      <c r="E16146" s="4">
        <f>IFERROR(__xludf.DUMMYFUNCTION("""COMPUTED_VALUE"""),80.036377)</f>
        <v>80.036377</v>
      </c>
      <c r="F16146" s="4">
        <f>IFERROR(__xludf.DUMMYFUNCTION("""COMPUTED_VALUE"""),2846.0)</f>
        <v>2846</v>
      </c>
      <c r="G16146" s="4">
        <f>IFERROR(__xludf.DUMMYFUNCTION("""COMPUTED_VALUE"""),38.0)</f>
        <v>38</v>
      </c>
      <c r="H16146" s="4"/>
      <c r="I16146" s="4"/>
    </row>
    <row r="16147">
      <c r="A16147" s="4" t="str">
        <f>IFERROR(__xludf.DUMMYFUNCTION("""COMPUTED_VALUE"""),"cas_hmw")</f>
        <v>cas_hmw</v>
      </c>
      <c r="B16147" s="5">
        <f>IFERROR(__xludf.DUMMYFUNCTION("""COMPUTED_VALUE"""),44733.0)</f>
        <v>44733</v>
      </c>
      <c r="C16147" s="6">
        <f>IFERROR(__xludf.DUMMYFUNCTION("""COMPUTED_VALUE"""),0.3395370370380988)</f>
        <v>0.339537037</v>
      </c>
      <c r="D16147" s="4">
        <f>IFERROR(__xludf.DUMMYFUNCTION("""COMPUTED_VALUE"""),12.969385)</f>
        <v>12.969385</v>
      </c>
      <c r="E16147" s="4">
        <f>IFERROR(__xludf.DUMMYFUNCTION("""COMPUTED_VALUE"""),80.150109)</f>
        <v>80.150109</v>
      </c>
      <c r="F16147" s="4">
        <f>IFERROR(__xludf.DUMMYFUNCTION("""COMPUTED_VALUE"""),805.0)</f>
        <v>805</v>
      </c>
      <c r="G16147" s="4">
        <f>IFERROR(__xludf.DUMMYFUNCTION("""COMPUTED_VALUE"""),35.0)</f>
        <v>35</v>
      </c>
      <c r="H16147" s="4"/>
      <c r="I16147" s="4"/>
    </row>
    <row r="16148">
      <c r="A16148" s="4" t="str">
        <f>IFERROR(__xludf.DUMMYFUNCTION("""COMPUTED_VALUE"""),"cas_hmw")</f>
        <v>cas_hmw</v>
      </c>
      <c r="B16148" s="5">
        <f>IFERROR(__xludf.DUMMYFUNCTION("""COMPUTED_VALUE"""),44733.0)</f>
        <v>44733</v>
      </c>
      <c r="C16148" s="6">
        <f>IFERROR(__xludf.DUMMYFUNCTION("""COMPUTED_VALUE"""),0.33961805555736646)</f>
        <v>0.3396180556</v>
      </c>
      <c r="D16148" s="4">
        <f>IFERROR(__xludf.DUMMYFUNCTION("""COMPUTED_VALUE"""),12.91621)</f>
        <v>12.91621</v>
      </c>
      <c r="E16148" s="4">
        <f>IFERROR(__xludf.DUMMYFUNCTION("""COMPUTED_VALUE"""),80.105738)</f>
        <v>80.105738</v>
      </c>
      <c r="F16148" s="4">
        <f>IFERROR(__xludf.DUMMYFUNCTION("""COMPUTED_VALUE"""),5339.0)</f>
        <v>5339</v>
      </c>
      <c r="G16148" s="4">
        <f>IFERROR(__xludf.DUMMYFUNCTION("""COMPUTED_VALUE"""),51.0)</f>
        <v>51</v>
      </c>
      <c r="H16148" s="4"/>
      <c r="I16148" s="4"/>
    </row>
    <row r="16149">
      <c r="A16149" s="4" t="str">
        <f>IFERROR(__xludf.DUMMYFUNCTION("""COMPUTED_VALUE"""),"cas_hmw")</f>
        <v>cas_hmw</v>
      </c>
      <c r="B16149" s="5">
        <f>IFERROR(__xludf.DUMMYFUNCTION("""COMPUTED_VALUE"""),44733.0)</f>
        <v>44733</v>
      </c>
      <c r="C16149" s="6">
        <f>IFERROR(__xludf.DUMMYFUNCTION("""COMPUTED_VALUE"""),0.3402199074080272)</f>
        <v>0.3402199074</v>
      </c>
      <c r="D16149" s="4">
        <f>IFERROR(__xludf.DUMMYFUNCTION("""COMPUTED_VALUE"""),12.912924)</f>
        <v>12.912924</v>
      </c>
      <c r="E16149" s="4">
        <f>IFERROR(__xludf.DUMMYFUNCTION("""COMPUTED_VALUE"""),80.101586)</f>
        <v>80.101586</v>
      </c>
      <c r="F16149" s="4">
        <f>IFERROR(__xludf.DUMMYFUNCTION("""COMPUTED_VALUE"""),5339.0)</f>
        <v>5339</v>
      </c>
      <c r="G16149" s="4">
        <f>IFERROR(__xludf.DUMMYFUNCTION("""COMPUTED_VALUE"""),44.0)</f>
        <v>44</v>
      </c>
      <c r="H16149" s="4"/>
      <c r="I16149" s="4"/>
    </row>
    <row r="16150">
      <c r="A16150" s="4" t="str">
        <f>IFERROR(__xludf.DUMMYFUNCTION("""COMPUTED_VALUE"""),"cas_hmw")</f>
        <v>cas_hmw</v>
      </c>
      <c r="B16150" s="5">
        <f>IFERROR(__xludf.DUMMYFUNCTION("""COMPUTED_VALUE"""),44733.0)</f>
        <v>44733</v>
      </c>
      <c r="C16150" s="6">
        <f>IFERROR(__xludf.DUMMYFUNCTION("""COMPUTED_VALUE"""),0.3421180555560568)</f>
        <v>0.3421180556</v>
      </c>
      <c r="D16150" s="4">
        <f>IFERROR(__xludf.DUMMYFUNCTION("""COMPUTED_VALUE"""),12.840935)</f>
        <v>12.840935</v>
      </c>
      <c r="E16150" s="4">
        <f>IFERROR(__xludf.DUMMYFUNCTION("""COMPUTED_VALUE"""),80.056338)</f>
        <v>80.056338</v>
      </c>
      <c r="F16150" s="4">
        <f>IFERROR(__xludf.DUMMYFUNCTION("""COMPUTED_VALUE"""),2846.0)</f>
        <v>2846</v>
      </c>
      <c r="G16150" s="4">
        <f>IFERROR(__xludf.DUMMYFUNCTION("""COMPUTED_VALUE"""),23.0)</f>
        <v>23</v>
      </c>
      <c r="H16150" s="4"/>
      <c r="I16150" s="4"/>
    </row>
    <row r="16151">
      <c r="A16151" s="4" t="str">
        <f>IFERROR(__xludf.DUMMYFUNCTION("""COMPUTED_VALUE"""),"cas_hmw")</f>
        <v>cas_hmw</v>
      </c>
      <c r="B16151" s="5">
        <f>IFERROR(__xludf.DUMMYFUNCTION("""COMPUTED_VALUE"""),44733.0)</f>
        <v>44733</v>
      </c>
      <c r="C16151" s="6">
        <f>IFERROR(__xludf.DUMMYFUNCTION("""COMPUTED_VALUE"""),0.3421874999985448)</f>
        <v>0.3421875</v>
      </c>
      <c r="D16151" s="4">
        <f>IFERROR(__xludf.DUMMYFUNCTION("""COMPUTED_VALUE"""),12.840935)</f>
        <v>12.840935</v>
      </c>
      <c r="E16151" s="4">
        <f>IFERROR(__xludf.DUMMYFUNCTION("""COMPUTED_VALUE"""),80.056338)</f>
        <v>80.056338</v>
      </c>
      <c r="F16151" s="4">
        <f>IFERROR(__xludf.DUMMYFUNCTION("""COMPUTED_VALUE"""),2846.0)</f>
        <v>2846</v>
      </c>
      <c r="G16151" s="4">
        <f>IFERROR(__xludf.DUMMYFUNCTION("""COMPUTED_VALUE"""),23.0)</f>
        <v>23</v>
      </c>
      <c r="H16151" s="4"/>
      <c r="I16151" s="4"/>
    </row>
    <row r="16152">
      <c r="A16152" s="4" t="str">
        <f>IFERROR(__xludf.DUMMYFUNCTION("""COMPUTED_VALUE"""),"cas_hmw")</f>
        <v>cas_hmw</v>
      </c>
      <c r="B16152" s="5">
        <f>IFERROR(__xludf.DUMMYFUNCTION("""COMPUTED_VALUE"""),44733.0)</f>
        <v>44733</v>
      </c>
      <c r="C16152" s="6">
        <f>IFERROR(__xludf.DUMMYFUNCTION("""COMPUTED_VALUE"""),0.3424421296294895)</f>
        <v>0.3424421296</v>
      </c>
      <c r="D16152" s="4">
        <f>IFERROR(__xludf.DUMMYFUNCTION("""COMPUTED_VALUE"""),12.955705)</f>
        <v>12.955705</v>
      </c>
      <c r="E16152" s="4">
        <f>IFERROR(__xludf.DUMMYFUNCTION("""COMPUTED_VALUE"""),80.142988)</f>
        <v>80.142988</v>
      </c>
      <c r="F16152" s="4">
        <f>IFERROR(__xludf.DUMMYFUNCTION("""COMPUTED_VALUE"""),805.0)</f>
        <v>805</v>
      </c>
      <c r="G16152" s="4">
        <f>IFERROR(__xludf.DUMMYFUNCTION("""COMPUTED_VALUE"""),24.0)</f>
        <v>24</v>
      </c>
      <c r="H16152" s="4"/>
      <c r="I16152" s="4"/>
    </row>
    <row r="16153">
      <c r="A16153" s="4" t="str">
        <f>IFERROR(__xludf.DUMMYFUNCTION("""COMPUTED_VALUE"""),"cas_hmw")</f>
        <v>cas_hmw</v>
      </c>
      <c r="B16153" s="5">
        <f>IFERROR(__xludf.DUMMYFUNCTION("""COMPUTED_VALUE"""),44733.0)</f>
        <v>44733</v>
      </c>
      <c r="C16153" s="6">
        <f>IFERROR(__xludf.DUMMYFUNCTION("""COMPUTED_VALUE"""),0.3424768518525525)</f>
        <v>0.3424768519</v>
      </c>
      <c r="D16153" s="4">
        <f>IFERROR(__xludf.DUMMYFUNCTION("""COMPUTED_VALUE"""),12.905776)</f>
        <v>12.905776</v>
      </c>
      <c r="E16153" s="4">
        <f>IFERROR(__xludf.DUMMYFUNCTION("""COMPUTED_VALUE"""),80.096)</f>
        <v>80.096</v>
      </c>
      <c r="F16153" s="4">
        <f>IFERROR(__xludf.DUMMYFUNCTION("""COMPUTED_VALUE"""),5339.0)</f>
        <v>5339</v>
      </c>
      <c r="G16153" s="4">
        <f>IFERROR(__xludf.DUMMYFUNCTION("""COMPUTED_VALUE"""),0.0)</f>
        <v>0</v>
      </c>
      <c r="H16153" s="4"/>
      <c r="I16153" s="4"/>
    </row>
    <row r="16154">
      <c r="A16154" s="4" t="str">
        <f>IFERROR(__xludf.DUMMYFUNCTION("""COMPUTED_VALUE"""),"cas_hmw")</f>
        <v>cas_hmw</v>
      </c>
      <c r="B16154" s="5">
        <f>IFERROR(__xludf.DUMMYFUNCTION("""COMPUTED_VALUE"""),44733.0)</f>
        <v>44733</v>
      </c>
      <c r="C16154" s="6">
        <f>IFERROR(__xludf.DUMMYFUNCTION("""COMPUTED_VALUE"""),0.34271990740671754)</f>
        <v>0.3427199074</v>
      </c>
      <c r="D16154" s="4">
        <f>IFERROR(__xludf.DUMMYFUNCTION("""COMPUTED_VALUE"""),12.953653)</f>
        <v>12.953653</v>
      </c>
      <c r="E16154" s="4">
        <f>IFERROR(__xludf.DUMMYFUNCTION("""COMPUTED_VALUE"""),80.141896)</f>
        <v>80.141896</v>
      </c>
      <c r="F16154" s="4">
        <f>IFERROR(__xludf.DUMMYFUNCTION("""COMPUTED_VALUE"""),805.0)</f>
        <v>805</v>
      </c>
      <c r="G16154" s="4">
        <f>IFERROR(__xludf.DUMMYFUNCTION("""COMPUTED_VALUE"""),33.0)</f>
        <v>33</v>
      </c>
      <c r="H16154" s="4"/>
      <c r="I16154" s="4"/>
    </row>
    <row r="16155">
      <c r="A16155" s="4" t="str">
        <f>IFERROR(__xludf.DUMMYFUNCTION("""COMPUTED_VALUE"""),"cas_hmw")</f>
        <v>cas_hmw</v>
      </c>
      <c r="B16155" s="5">
        <f>IFERROR(__xludf.DUMMYFUNCTION("""COMPUTED_VALUE"""),44733.0)</f>
        <v>44733</v>
      </c>
      <c r="C16155" s="6">
        <f>IFERROR(__xludf.DUMMYFUNCTION("""COMPUTED_VALUE"""),0.3430902777763549)</f>
        <v>0.3430902778</v>
      </c>
      <c r="D16155" s="4">
        <f>IFERROR(__xludf.DUMMYFUNCTION("""COMPUTED_VALUE"""),12.903041)</f>
        <v>12.903041</v>
      </c>
      <c r="E16155" s="4">
        <f>IFERROR(__xludf.DUMMYFUNCTION("""COMPUTED_VALUE"""),80.093798)</f>
        <v>80.093798</v>
      </c>
      <c r="F16155" s="4">
        <f>IFERROR(__xludf.DUMMYFUNCTION("""COMPUTED_VALUE"""),5339.0)</f>
        <v>5339</v>
      </c>
      <c r="G16155" s="4">
        <f>IFERROR(__xludf.DUMMYFUNCTION("""COMPUTED_VALUE"""),48.0)</f>
        <v>48</v>
      </c>
      <c r="H16155" s="4"/>
      <c r="I16155" s="4"/>
    </row>
    <row r="16156">
      <c r="A16156" s="4" t="str">
        <f>IFERROR(__xludf.DUMMYFUNCTION("""COMPUTED_VALUE"""),"cas_hmw")</f>
        <v>cas_hmw</v>
      </c>
      <c r="B16156" s="5">
        <f>IFERROR(__xludf.DUMMYFUNCTION("""COMPUTED_VALUE"""),44733.0)</f>
        <v>44733</v>
      </c>
      <c r="C16156" s="6">
        <f>IFERROR(__xludf.DUMMYFUNCTION("""COMPUTED_VALUE"""),0.34325231481489027)</f>
        <v>0.3432523148</v>
      </c>
      <c r="D16156" s="4">
        <f>IFERROR(__xludf.DUMMYFUNCTION("""COMPUTED_VALUE"""),12.951129)</f>
        <v>12.951129</v>
      </c>
      <c r="E16156" s="4">
        <f>IFERROR(__xludf.DUMMYFUNCTION("""COMPUTED_VALUE"""),80.14005)</f>
        <v>80.14005</v>
      </c>
      <c r="F16156" s="4">
        <f>IFERROR(__xludf.DUMMYFUNCTION("""COMPUTED_VALUE"""),805.0)</f>
        <v>805</v>
      </c>
      <c r="G16156" s="4">
        <f>IFERROR(__xludf.DUMMYFUNCTION("""COMPUTED_VALUE"""),0.0)</f>
        <v>0</v>
      </c>
      <c r="H16156" s="4"/>
      <c r="I16156" s="4"/>
    </row>
    <row r="16157">
      <c r="A16157" s="4" t="str">
        <f>IFERROR(__xludf.DUMMYFUNCTION("""COMPUTED_VALUE"""),"cas_hmw")</f>
        <v>cas_hmw</v>
      </c>
      <c r="B16157" s="5">
        <f>IFERROR(__xludf.DUMMYFUNCTION("""COMPUTED_VALUE"""),44733.0)</f>
        <v>44733</v>
      </c>
      <c r="C16157" s="6">
        <f>IFERROR(__xludf.DUMMYFUNCTION("""COMPUTED_VALUE"""),0.34445601851984975)</f>
        <v>0.3444560185</v>
      </c>
      <c r="D16157" s="4">
        <f>IFERROR(__xludf.DUMMYFUNCTION("""COMPUTED_VALUE"""),12.893239)</f>
        <v>12.893239</v>
      </c>
      <c r="E16157" s="4">
        <f>IFERROR(__xludf.DUMMYFUNCTION("""COMPUTED_VALUE"""),80.086418)</f>
        <v>80.086418</v>
      </c>
      <c r="F16157" s="4">
        <f>IFERROR(__xludf.DUMMYFUNCTION("""COMPUTED_VALUE"""),5339.0)</f>
        <v>5339</v>
      </c>
      <c r="G16157" s="4">
        <f>IFERROR(__xludf.DUMMYFUNCTION("""COMPUTED_VALUE"""),47.0)</f>
        <v>47</v>
      </c>
      <c r="H16157" s="4"/>
      <c r="I16157" s="4"/>
    </row>
    <row r="16158">
      <c r="A16158" s="4" t="str">
        <f>IFERROR(__xludf.DUMMYFUNCTION("""COMPUTED_VALUE"""),"cas_hmw")</f>
        <v>cas_hmw</v>
      </c>
      <c r="B16158" s="5">
        <f>IFERROR(__xludf.DUMMYFUNCTION("""COMPUTED_VALUE"""),44733.0)</f>
        <v>44733</v>
      </c>
      <c r="C16158" s="6">
        <f>IFERROR(__xludf.DUMMYFUNCTION("""COMPUTED_VALUE"""),0.3446527777778101)</f>
        <v>0.3446527778</v>
      </c>
      <c r="D16158" s="4">
        <f>IFERROR(__xludf.DUMMYFUNCTION("""COMPUTED_VALUE"""),12.943046)</f>
        <v>12.943046</v>
      </c>
      <c r="E16158" s="4">
        <f>IFERROR(__xludf.DUMMYFUNCTION("""COMPUTED_VALUE"""),80.133778)</f>
        <v>80.133778</v>
      </c>
      <c r="F16158" s="4">
        <f>IFERROR(__xludf.DUMMYFUNCTION("""COMPUTED_VALUE"""),805.0)</f>
        <v>805</v>
      </c>
      <c r="G16158" s="4">
        <f>IFERROR(__xludf.DUMMYFUNCTION("""COMPUTED_VALUE"""),33.0)</f>
        <v>33</v>
      </c>
      <c r="H16158" s="4"/>
      <c r="I16158" s="4"/>
    </row>
    <row r="16159">
      <c r="A16159" s="4" t="str">
        <f>IFERROR(__xludf.DUMMYFUNCTION("""COMPUTED_VALUE"""),"cas_hmw")</f>
        <v>cas_hmw</v>
      </c>
      <c r="B16159" s="5">
        <f>IFERROR(__xludf.DUMMYFUNCTION("""COMPUTED_VALUE"""),44733.0)</f>
        <v>44733</v>
      </c>
      <c r="C16159" s="6">
        <f>IFERROR(__xludf.DUMMYFUNCTION("""COMPUTED_VALUE"""),0.3446643518509518)</f>
        <v>0.3446643519</v>
      </c>
      <c r="D16159" s="4">
        <f>IFERROR(__xludf.DUMMYFUNCTION("""COMPUTED_VALUE"""),12.891888)</f>
        <v>12.891888</v>
      </c>
      <c r="E16159" s="4">
        <f>IFERROR(__xludf.DUMMYFUNCTION("""COMPUTED_VALUE"""),80.085502)</f>
        <v>80.085502</v>
      </c>
      <c r="F16159" s="4">
        <f>IFERROR(__xludf.DUMMYFUNCTION("""COMPUTED_VALUE"""),5339.0)</f>
        <v>5339</v>
      </c>
      <c r="G16159" s="4">
        <f>IFERROR(__xludf.DUMMYFUNCTION("""COMPUTED_VALUE"""),40.0)</f>
        <v>40</v>
      </c>
      <c r="H16159" s="4"/>
      <c r="I16159" s="4"/>
    </row>
    <row r="16160">
      <c r="A16160" s="4" t="str">
        <f>IFERROR(__xludf.DUMMYFUNCTION("""COMPUTED_VALUE"""),"cas_hmw")</f>
        <v>cas_hmw</v>
      </c>
      <c r="B16160" s="5">
        <f>IFERROR(__xludf.DUMMYFUNCTION("""COMPUTED_VALUE"""),44733.0)</f>
        <v>44733</v>
      </c>
      <c r="C16160" s="6">
        <f>IFERROR(__xludf.DUMMYFUNCTION("""COMPUTED_VALUE"""),0.34486111111255013)</f>
        <v>0.3448611111</v>
      </c>
      <c r="D16160" s="4">
        <f>IFERROR(__xludf.DUMMYFUNCTION("""COMPUTED_VALUE"""),12.942388)</f>
        <v>12.942388</v>
      </c>
      <c r="E16160" s="4">
        <f>IFERROR(__xludf.DUMMYFUNCTION("""COMPUTED_VALUE"""),80.133048)</f>
        <v>80.133048</v>
      </c>
      <c r="F16160" s="4">
        <f>IFERROR(__xludf.DUMMYFUNCTION("""COMPUTED_VALUE"""),805.0)</f>
        <v>805</v>
      </c>
      <c r="G16160" s="4">
        <f>IFERROR(__xludf.DUMMYFUNCTION("""COMPUTED_VALUE"""),31.0)</f>
        <v>31</v>
      </c>
      <c r="H16160" s="4"/>
      <c r="I16160" s="4"/>
    </row>
    <row r="16161">
      <c r="A16161" s="4" t="str">
        <f>IFERROR(__xludf.DUMMYFUNCTION("""COMPUTED_VALUE"""),"cas_hmw")</f>
        <v>cas_hmw</v>
      </c>
      <c r="B16161" s="5">
        <f>IFERROR(__xludf.DUMMYFUNCTION("""COMPUTED_VALUE"""),44733.0)</f>
        <v>44733</v>
      </c>
      <c r="C16161" s="6">
        <f>IFERROR(__xludf.DUMMYFUNCTION("""COMPUTED_VALUE"""),0.3449537037049595)</f>
        <v>0.3449537037</v>
      </c>
      <c r="D16161" s="4">
        <f>IFERROR(__xludf.DUMMYFUNCTION("""COMPUTED_VALUE"""),12.888086)</f>
        <v>12.888086</v>
      </c>
      <c r="E16161" s="4">
        <f>IFERROR(__xludf.DUMMYFUNCTION("""COMPUTED_VALUE"""),80.083827)</f>
        <v>80.083827</v>
      </c>
      <c r="F16161" s="4">
        <f>IFERROR(__xludf.DUMMYFUNCTION("""COMPUTED_VALUE"""),5339.0)</f>
        <v>5339</v>
      </c>
      <c r="G16161" s="4">
        <f>IFERROR(__xludf.DUMMYFUNCTION("""COMPUTED_VALUE"""),53.0)</f>
        <v>53</v>
      </c>
      <c r="H16161" s="4"/>
      <c r="I16161" s="4"/>
    </row>
    <row r="16162">
      <c r="A16162" s="4" t="str">
        <f>IFERROR(__xludf.DUMMYFUNCTION("""COMPUTED_VALUE"""),"cas_hmw")</f>
        <v>cas_hmw</v>
      </c>
      <c r="B16162" s="5">
        <f>IFERROR(__xludf.DUMMYFUNCTION("""COMPUTED_VALUE"""),44733.0)</f>
        <v>44733</v>
      </c>
      <c r="C16162" s="6">
        <f>IFERROR(__xludf.DUMMYFUNCTION("""COMPUTED_VALUE"""),0.3451041666667152)</f>
        <v>0.3451041667</v>
      </c>
      <c r="D16162" s="4">
        <f>IFERROR(__xludf.DUMMYFUNCTION("""COMPUTED_VALUE"""),12.853177)</f>
        <v>12.853177</v>
      </c>
      <c r="E16162" s="4">
        <f>IFERROR(__xludf.DUMMYFUNCTION("""COMPUTED_VALUE"""),80.066956)</f>
        <v>80.066956</v>
      </c>
      <c r="F16162" s="4">
        <f>IFERROR(__xludf.DUMMYFUNCTION("""COMPUTED_VALUE"""),2846.0)</f>
        <v>2846</v>
      </c>
      <c r="G16162" s="4">
        <f>IFERROR(__xludf.DUMMYFUNCTION("""COMPUTED_VALUE"""),59.0)</f>
        <v>59</v>
      </c>
      <c r="H16162" s="4"/>
      <c r="I16162" s="4"/>
    </row>
    <row r="16163">
      <c r="A16163" s="4" t="str">
        <f>IFERROR(__xludf.DUMMYFUNCTION("""COMPUTED_VALUE"""),"cas_hmw")</f>
        <v>cas_hmw</v>
      </c>
      <c r="B16163" s="5">
        <f>IFERROR(__xludf.DUMMYFUNCTION("""COMPUTED_VALUE"""),44733.0)</f>
        <v>44733</v>
      </c>
      <c r="C16163" s="6">
        <f>IFERROR(__xludf.DUMMYFUNCTION("""COMPUTED_VALUE"""),0.34550925925941556)</f>
        <v>0.3455092593</v>
      </c>
      <c r="D16163" s="4">
        <f>IFERROR(__xludf.DUMMYFUNCTION("""COMPUTED_VALUE"""),12.88266)</f>
        <v>12.88266</v>
      </c>
      <c r="E16163" s="4">
        <f>IFERROR(__xludf.DUMMYFUNCTION("""COMPUTED_VALUE"""),80.081739)</f>
        <v>80.081739</v>
      </c>
      <c r="F16163" s="4">
        <f>IFERROR(__xludf.DUMMYFUNCTION("""COMPUTED_VALUE"""),5339.0)</f>
        <v>5339</v>
      </c>
      <c r="G16163" s="4">
        <f>IFERROR(__xludf.DUMMYFUNCTION("""COMPUTED_VALUE"""),39.0)</f>
        <v>39</v>
      </c>
      <c r="H16163" s="4"/>
      <c r="I16163" s="4"/>
    </row>
    <row r="16164">
      <c r="A16164" s="4" t="str">
        <f>IFERROR(__xludf.DUMMYFUNCTION("""COMPUTED_VALUE"""),"cas_hmw")</f>
        <v>cas_hmw</v>
      </c>
      <c r="B16164" s="5">
        <f>IFERROR(__xludf.DUMMYFUNCTION("""COMPUTED_VALUE"""),44733.0)</f>
        <v>44733</v>
      </c>
      <c r="C16164" s="6">
        <f>IFERROR(__xludf.DUMMYFUNCTION("""COMPUTED_VALUE"""),0.34594907407517894)</f>
        <v>0.3459490741</v>
      </c>
      <c r="D16164" s="4">
        <f>IFERROR(__xludf.DUMMYFUNCTION("""COMPUTED_VALUE"""),12.936199)</f>
        <v>12.936199</v>
      </c>
      <c r="E16164" s="4">
        <f>IFERROR(__xludf.DUMMYFUNCTION("""COMPUTED_VALUE"""),80.127369)</f>
        <v>80.127369</v>
      </c>
      <c r="F16164" s="4">
        <f>IFERROR(__xludf.DUMMYFUNCTION("""COMPUTED_VALUE"""),805.0)</f>
        <v>805</v>
      </c>
      <c r="G16164" s="4">
        <f>IFERROR(__xludf.DUMMYFUNCTION("""COMPUTED_VALUE"""),15.0)</f>
        <v>15</v>
      </c>
      <c r="H16164" s="4"/>
      <c r="I16164" s="4"/>
    </row>
    <row r="16165">
      <c r="A16165" s="4" t="str">
        <f>IFERROR(__xludf.DUMMYFUNCTION("""COMPUTED_VALUE"""),"cas_hmw")</f>
        <v>cas_hmw</v>
      </c>
      <c r="B16165" s="5">
        <f>IFERROR(__xludf.DUMMYFUNCTION("""COMPUTED_VALUE"""),44733.0)</f>
        <v>44733</v>
      </c>
      <c r="C16165" s="6">
        <f>IFERROR(__xludf.DUMMYFUNCTION("""COMPUTED_VALUE"""),0.3463541666678793)</f>
        <v>0.3463541667</v>
      </c>
      <c r="D16165" s="4">
        <f>IFERROR(__xludf.DUMMYFUNCTION("""COMPUTED_VALUE"""),12.934933)</f>
        <v>12.934933</v>
      </c>
      <c r="E16165" s="4">
        <f>IFERROR(__xludf.DUMMYFUNCTION("""COMPUTED_VALUE"""),80.12616)</f>
        <v>80.12616</v>
      </c>
      <c r="F16165" s="4">
        <f>IFERROR(__xludf.DUMMYFUNCTION("""COMPUTED_VALUE"""),805.0)</f>
        <v>805</v>
      </c>
      <c r="G16165" s="4">
        <f>IFERROR(__xludf.DUMMYFUNCTION("""COMPUTED_VALUE"""),50.0)</f>
        <v>50</v>
      </c>
      <c r="H16165" s="4"/>
      <c r="I16165" s="4"/>
    </row>
    <row r="16166">
      <c r="A16166" s="4" t="str">
        <f>IFERROR(__xludf.DUMMYFUNCTION("""COMPUTED_VALUE"""),"cas_hmw")</f>
        <v>cas_hmw</v>
      </c>
      <c r="B16166" s="5">
        <f>IFERROR(__xludf.DUMMYFUNCTION("""COMPUTED_VALUE"""),44733.0)</f>
        <v>44733</v>
      </c>
      <c r="C16166" s="6">
        <f>IFERROR(__xludf.DUMMYFUNCTION("""COMPUTED_VALUE"""),0.3463773148141627)</f>
        <v>0.3463773148</v>
      </c>
      <c r="D16166" s="4">
        <f>IFERROR(__xludf.DUMMYFUNCTION("""COMPUTED_VALUE"""),12.934933)</f>
        <v>12.934933</v>
      </c>
      <c r="E16166" s="4">
        <f>IFERROR(__xludf.DUMMYFUNCTION("""COMPUTED_VALUE"""),80.12616)</f>
        <v>80.12616</v>
      </c>
      <c r="F16166" s="4">
        <f>IFERROR(__xludf.DUMMYFUNCTION("""COMPUTED_VALUE"""),805.0)</f>
        <v>805</v>
      </c>
      <c r="G16166" s="4">
        <f>IFERROR(__xludf.DUMMYFUNCTION("""COMPUTED_VALUE"""),50.0)</f>
        <v>50</v>
      </c>
      <c r="H16166" s="4"/>
      <c r="I16166" s="4"/>
    </row>
    <row r="16167">
      <c r="A16167" s="4" t="str">
        <f>IFERROR(__xludf.DUMMYFUNCTION("""COMPUTED_VALUE"""),"cas_hmw")</f>
        <v>cas_hmw</v>
      </c>
      <c r="B16167" s="5">
        <f>IFERROR(__xludf.DUMMYFUNCTION("""COMPUTED_VALUE"""),44733.0)</f>
        <v>44733</v>
      </c>
      <c r="C16167" s="6">
        <f>IFERROR(__xludf.DUMMYFUNCTION("""COMPUTED_VALUE"""),0.34659722222204437)</f>
        <v>0.3465972222</v>
      </c>
      <c r="D16167" s="4">
        <f>IFERROR(__xludf.DUMMYFUNCTION("""COMPUTED_VALUE"""),12.93334)</f>
        <v>12.93334</v>
      </c>
      <c r="E16167" s="4">
        <f>IFERROR(__xludf.DUMMYFUNCTION("""COMPUTED_VALUE"""),80.124643)</f>
        <v>80.124643</v>
      </c>
      <c r="F16167" s="4">
        <f>IFERROR(__xludf.DUMMYFUNCTION("""COMPUTED_VALUE"""),805.0)</f>
        <v>805</v>
      </c>
      <c r="G16167" s="4">
        <f>IFERROR(__xludf.DUMMYFUNCTION("""COMPUTED_VALUE"""),58.0)</f>
        <v>58</v>
      </c>
      <c r="H16167" s="4"/>
      <c r="I16167" s="4"/>
    </row>
    <row r="16168">
      <c r="A16168" s="4" t="str">
        <f>IFERROR(__xludf.DUMMYFUNCTION("""COMPUTED_VALUE"""),"cas_hmw")</f>
        <v>cas_hmw</v>
      </c>
      <c r="B16168" s="5">
        <f>IFERROR(__xludf.DUMMYFUNCTION("""COMPUTED_VALUE"""),44733.0)</f>
        <v>44733</v>
      </c>
      <c r="C16168" s="6">
        <f>IFERROR(__xludf.DUMMYFUNCTION("""COMPUTED_VALUE"""),0.34659722222204437)</f>
        <v>0.3465972222</v>
      </c>
      <c r="D16168" s="4">
        <f>IFERROR(__xludf.DUMMYFUNCTION("""COMPUTED_VALUE"""),12.93334)</f>
        <v>12.93334</v>
      </c>
      <c r="E16168" s="4">
        <f>IFERROR(__xludf.DUMMYFUNCTION("""COMPUTED_VALUE"""),80.124643)</f>
        <v>80.124643</v>
      </c>
      <c r="F16168" s="4">
        <f>IFERROR(__xludf.DUMMYFUNCTION("""COMPUTED_VALUE"""),805.0)</f>
        <v>805</v>
      </c>
      <c r="G16168" s="4">
        <f>IFERROR(__xludf.DUMMYFUNCTION("""COMPUTED_VALUE"""),58.0)</f>
        <v>58</v>
      </c>
      <c r="H16168" s="4"/>
      <c r="I16168" s="4"/>
    </row>
    <row r="16169">
      <c r="A16169" s="4" t="str">
        <f>IFERROR(__xludf.DUMMYFUNCTION("""COMPUTED_VALUE"""),"cas_hmw")</f>
        <v>cas_hmw</v>
      </c>
      <c r="B16169" s="5">
        <f>IFERROR(__xludf.DUMMYFUNCTION("""COMPUTED_VALUE"""),44733.0)</f>
        <v>44733</v>
      </c>
      <c r="C16169" s="6">
        <f>IFERROR(__xludf.DUMMYFUNCTION("""COMPUTED_VALUE"""),0.34682870370306773)</f>
        <v>0.3468287037</v>
      </c>
      <c r="D16169" s="4">
        <f>IFERROR(__xludf.DUMMYFUNCTION("""COMPUTED_VALUE"""),12.931962)</f>
        <v>12.931962</v>
      </c>
      <c r="E16169" s="4">
        <f>IFERROR(__xludf.DUMMYFUNCTION("""COMPUTED_VALUE"""),80.1233)</f>
        <v>80.1233</v>
      </c>
      <c r="F16169" s="4">
        <f>IFERROR(__xludf.DUMMYFUNCTION("""COMPUTED_VALUE"""),805.0)</f>
        <v>805</v>
      </c>
      <c r="G16169" s="4">
        <f>IFERROR(__xludf.DUMMYFUNCTION("""COMPUTED_VALUE"""),22.0)</f>
        <v>22</v>
      </c>
      <c r="H16169" s="4"/>
      <c r="I16169" s="4"/>
    </row>
    <row r="16170">
      <c r="A16170" s="4" t="str">
        <f>IFERROR(__xludf.DUMMYFUNCTION("""COMPUTED_VALUE"""),"cas_hmw")</f>
        <v>cas_hmw</v>
      </c>
      <c r="B16170" s="5">
        <f>IFERROR(__xludf.DUMMYFUNCTION("""COMPUTED_VALUE"""),44733.0)</f>
        <v>44733</v>
      </c>
      <c r="C16170" s="6">
        <f>IFERROR(__xludf.DUMMYFUNCTION("""COMPUTED_VALUE"""),0.3468865740724141)</f>
        <v>0.3468865741</v>
      </c>
      <c r="D16170" s="4">
        <f>IFERROR(__xludf.DUMMYFUNCTION("""COMPUTED_VALUE"""),12.931962)</f>
        <v>12.931962</v>
      </c>
      <c r="E16170" s="4">
        <f>IFERROR(__xludf.DUMMYFUNCTION("""COMPUTED_VALUE"""),80.1233)</f>
        <v>80.1233</v>
      </c>
      <c r="F16170" s="4">
        <f>IFERROR(__xludf.DUMMYFUNCTION("""COMPUTED_VALUE"""),805.0)</f>
        <v>805</v>
      </c>
      <c r="G16170" s="4">
        <f>IFERROR(__xludf.DUMMYFUNCTION("""COMPUTED_VALUE"""),22.0)</f>
        <v>22</v>
      </c>
      <c r="H16170" s="4"/>
      <c r="I16170" s="4"/>
    </row>
    <row r="16171">
      <c r="A16171" s="4" t="str">
        <f>IFERROR(__xludf.DUMMYFUNCTION("""COMPUTED_VALUE"""),"cas_hmw")</f>
        <v>cas_hmw</v>
      </c>
      <c r="B16171" s="5">
        <f>IFERROR(__xludf.DUMMYFUNCTION("""COMPUTED_VALUE"""),44733.0)</f>
        <v>44733</v>
      </c>
      <c r="C16171" s="6">
        <f>IFERROR(__xludf.DUMMYFUNCTION("""COMPUTED_VALUE"""),0.3471180555570754)</f>
        <v>0.3471180556</v>
      </c>
      <c r="D16171" s="4">
        <f>IFERROR(__xludf.DUMMYFUNCTION("""COMPUTED_VALUE"""),12.866228)</f>
        <v>12.866228</v>
      </c>
      <c r="E16171" s="4">
        <f>IFERROR(__xludf.DUMMYFUNCTION("""COMPUTED_VALUE"""),80.07493)</f>
        <v>80.07493</v>
      </c>
      <c r="F16171" s="4">
        <f>IFERROR(__xludf.DUMMYFUNCTION("""COMPUTED_VALUE"""),2846.0)</f>
        <v>2846</v>
      </c>
      <c r="G16171" s="4">
        <f>IFERROR(__xludf.DUMMYFUNCTION("""COMPUTED_VALUE"""),35.0)</f>
        <v>35</v>
      </c>
      <c r="H16171" s="4"/>
      <c r="I16171" s="4"/>
    </row>
    <row r="16172">
      <c r="A16172" s="4" t="str">
        <f>IFERROR(__xludf.DUMMYFUNCTION("""COMPUTED_VALUE"""),"cas_hmw")</f>
        <v>cas_hmw</v>
      </c>
      <c r="B16172" s="5">
        <f>IFERROR(__xludf.DUMMYFUNCTION("""COMPUTED_VALUE"""),44733.0)</f>
        <v>44733</v>
      </c>
      <c r="C16172" s="6">
        <f>IFERROR(__xludf.DUMMYFUNCTION("""COMPUTED_VALUE"""),0.34787037036949187)</f>
        <v>0.3478703704</v>
      </c>
      <c r="D16172" s="4">
        <f>IFERROR(__xludf.DUMMYFUNCTION("""COMPUTED_VALUE"""),12.872029)</f>
        <v>12.872029</v>
      </c>
      <c r="E16172" s="4">
        <f>IFERROR(__xludf.DUMMYFUNCTION("""COMPUTED_VALUE"""),80.077226)</f>
        <v>80.077226</v>
      </c>
      <c r="F16172" s="4">
        <f>IFERROR(__xludf.DUMMYFUNCTION("""COMPUTED_VALUE"""),2846.0)</f>
        <v>2846</v>
      </c>
      <c r="G16172" s="4">
        <f>IFERROR(__xludf.DUMMYFUNCTION("""COMPUTED_VALUE"""),45.0)</f>
        <v>45</v>
      </c>
      <c r="H16172" s="4"/>
      <c r="I16172" s="4"/>
    </row>
    <row r="16173">
      <c r="A16173" s="4" t="str">
        <f>IFERROR(__xludf.DUMMYFUNCTION("""COMPUTED_VALUE"""),"cas_hmw")</f>
        <v>cas_hmw</v>
      </c>
      <c r="B16173" s="5">
        <f>IFERROR(__xludf.DUMMYFUNCTION("""COMPUTED_VALUE"""),44733.0)</f>
        <v>44733</v>
      </c>
      <c r="C16173" s="6">
        <f>IFERROR(__xludf.DUMMYFUNCTION("""COMPUTED_VALUE"""),0.34863425925868796)</f>
        <v>0.3486342593</v>
      </c>
      <c r="D16173" s="4">
        <f>IFERROR(__xludf.DUMMYFUNCTION("""COMPUTED_VALUE"""),12.923197)</f>
        <v>12.923197</v>
      </c>
      <c r="E16173" s="4">
        <f>IFERROR(__xludf.DUMMYFUNCTION("""COMPUTED_VALUE"""),80.114386)</f>
        <v>80.114386</v>
      </c>
      <c r="F16173" s="4">
        <f>IFERROR(__xludf.DUMMYFUNCTION("""COMPUTED_VALUE"""),805.0)</f>
        <v>805</v>
      </c>
      <c r="G16173" s="4">
        <f>IFERROR(__xludf.DUMMYFUNCTION("""COMPUTED_VALUE"""),0.0)</f>
        <v>0</v>
      </c>
      <c r="H16173" s="4"/>
      <c r="I16173" s="4"/>
    </row>
    <row r="16174">
      <c r="A16174" s="4" t="str">
        <f>IFERROR(__xludf.DUMMYFUNCTION("""COMPUTED_VALUE"""),"cas_hmw")</f>
        <v>cas_hmw</v>
      </c>
      <c r="B16174" s="5">
        <f>IFERROR(__xludf.DUMMYFUNCTION("""COMPUTED_VALUE"""),44733.0)</f>
        <v>44733</v>
      </c>
      <c r="C16174" s="6">
        <f>IFERROR(__xludf.DUMMYFUNCTION("""COMPUTED_VALUE"""),0.34868055555489263)</f>
        <v>0.3486805556</v>
      </c>
      <c r="D16174" s="4">
        <f>IFERROR(__xludf.DUMMYFUNCTION("""COMPUTED_VALUE"""),12.923197)</f>
        <v>12.923197</v>
      </c>
      <c r="E16174" s="4">
        <f>IFERROR(__xludf.DUMMYFUNCTION("""COMPUTED_VALUE"""),80.114386)</f>
        <v>80.114386</v>
      </c>
      <c r="F16174" s="4">
        <f>IFERROR(__xludf.DUMMYFUNCTION("""COMPUTED_VALUE"""),805.0)</f>
        <v>805</v>
      </c>
      <c r="G16174" s="4">
        <f>IFERROR(__xludf.DUMMYFUNCTION("""COMPUTED_VALUE"""),0.0)</f>
        <v>0</v>
      </c>
      <c r="H16174" s="4"/>
      <c r="I16174" s="4"/>
    </row>
    <row r="16175">
      <c r="A16175" s="4" t="str">
        <f>IFERROR(__xludf.DUMMYFUNCTION("""COMPUTED_VALUE"""),"cas_hmw")</f>
        <v>cas_hmw</v>
      </c>
      <c r="B16175" s="5">
        <f>IFERROR(__xludf.DUMMYFUNCTION("""COMPUTED_VALUE"""),44733.0)</f>
        <v>44733</v>
      </c>
      <c r="C16175" s="6">
        <f>IFERROR(__xludf.DUMMYFUNCTION("""COMPUTED_VALUE"""),0.35129629629591363)</f>
        <v>0.3512962963</v>
      </c>
      <c r="D16175" s="4">
        <f>IFERROR(__xludf.DUMMYFUNCTION("""COMPUTED_VALUE"""),12.909049)</f>
        <v>12.909049</v>
      </c>
      <c r="E16175" s="4">
        <f>IFERROR(__xludf.DUMMYFUNCTION("""COMPUTED_VALUE"""),80.098858)</f>
        <v>80.098858</v>
      </c>
      <c r="F16175" s="4">
        <f>IFERROR(__xludf.DUMMYFUNCTION("""COMPUTED_VALUE"""),805.0)</f>
        <v>805</v>
      </c>
      <c r="G16175" s="4">
        <f>IFERROR(__xludf.DUMMYFUNCTION("""COMPUTED_VALUE"""),4.0)</f>
        <v>4</v>
      </c>
      <c r="H16175" s="4"/>
      <c r="I16175" s="4"/>
    </row>
    <row r="16176">
      <c r="A16176" s="4" t="str">
        <f>IFERROR(__xludf.DUMMYFUNCTION("""COMPUTED_VALUE"""),"cas_hmw")</f>
        <v>cas_hmw</v>
      </c>
      <c r="B16176" s="5">
        <f>IFERROR(__xludf.DUMMYFUNCTION("""COMPUTED_VALUE"""),44733.0)</f>
        <v>44733</v>
      </c>
      <c r="C16176" s="6">
        <f>IFERROR(__xludf.DUMMYFUNCTION("""COMPUTED_VALUE"""),0.3513078703690553)</f>
        <v>0.3513078704</v>
      </c>
      <c r="D16176" s="4">
        <f>IFERROR(__xludf.DUMMYFUNCTION("""COMPUTED_VALUE"""),12.909049)</f>
        <v>12.909049</v>
      </c>
      <c r="E16176" s="4">
        <f>IFERROR(__xludf.DUMMYFUNCTION("""COMPUTED_VALUE"""),80.098858)</f>
        <v>80.098858</v>
      </c>
      <c r="F16176" s="4">
        <f>IFERROR(__xludf.DUMMYFUNCTION("""COMPUTED_VALUE"""),805.0)</f>
        <v>805</v>
      </c>
      <c r="G16176" s="4">
        <f>IFERROR(__xludf.DUMMYFUNCTION("""COMPUTED_VALUE"""),4.0)</f>
        <v>4</v>
      </c>
      <c r="H16176" s="4"/>
      <c r="I16176" s="4"/>
    </row>
    <row r="16177">
      <c r="A16177" s="4" t="str">
        <f>IFERROR(__xludf.DUMMYFUNCTION("""COMPUTED_VALUE"""),"cas_hmw")</f>
        <v>cas_hmw</v>
      </c>
      <c r="B16177" s="5">
        <f>IFERROR(__xludf.DUMMYFUNCTION("""COMPUTED_VALUE"""),44733.0)</f>
        <v>44733</v>
      </c>
      <c r="C16177" s="6">
        <f>IFERROR(__xludf.DUMMYFUNCTION("""COMPUTED_VALUE"""),0.3513078703690553)</f>
        <v>0.3513078704</v>
      </c>
      <c r="D16177" s="4">
        <f>IFERROR(__xludf.DUMMYFUNCTION("""COMPUTED_VALUE"""),12.909049)</f>
        <v>12.909049</v>
      </c>
      <c r="E16177" s="4">
        <f>IFERROR(__xludf.DUMMYFUNCTION("""COMPUTED_VALUE"""),80.098858)</f>
        <v>80.098858</v>
      </c>
      <c r="F16177" s="4">
        <f>IFERROR(__xludf.DUMMYFUNCTION("""COMPUTED_VALUE"""),805.0)</f>
        <v>805</v>
      </c>
      <c r="G16177" s="4">
        <f>IFERROR(__xludf.DUMMYFUNCTION("""COMPUTED_VALUE"""),4.0)</f>
        <v>4</v>
      </c>
      <c r="H16177" s="4"/>
      <c r="I16177" s="4"/>
    </row>
    <row r="16178">
      <c r="A16178" s="4" t="str">
        <f>IFERROR(__xludf.DUMMYFUNCTION("""COMPUTED_VALUE"""),"cas_hmw")</f>
        <v>cas_hmw</v>
      </c>
      <c r="B16178" s="5">
        <f>IFERROR(__xludf.DUMMYFUNCTION("""COMPUTED_VALUE"""),44733.0)</f>
        <v>44733</v>
      </c>
      <c r="C16178" s="6">
        <f>IFERROR(__xludf.DUMMYFUNCTION("""COMPUTED_VALUE"""),0.3522222222236451)</f>
        <v>0.3522222222</v>
      </c>
      <c r="D16178" s="4">
        <f>IFERROR(__xludf.DUMMYFUNCTION("""COMPUTED_VALUE"""),12.905617)</f>
        <v>12.905617</v>
      </c>
      <c r="E16178" s="4">
        <f>IFERROR(__xludf.DUMMYFUNCTION("""COMPUTED_VALUE"""),80.095878)</f>
        <v>80.095878</v>
      </c>
      <c r="F16178" s="4">
        <f>IFERROR(__xludf.DUMMYFUNCTION("""COMPUTED_VALUE"""),805.0)</f>
        <v>805</v>
      </c>
      <c r="G16178" s="4">
        <f>IFERROR(__xludf.DUMMYFUNCTION("""COMPUTED_VALUE"""),0.0)</f>
        <v>0</v>
      </c>
      <c r="H16178" s="4"/>
      <c r="I16178" s="4"/>
    </row>
    <row r="16179">
      <c r="A16179" s="4" t="str">
        <f>IFERROR(__xludf.DUMMYFUNCTION("""COMPUTED_VALUE"""),"cas_hmw")</f>
        <v>cas_hmw</v>
      </c>
      <c r="B16179" s="5">
        <f>IFERROR(__xludf.DUMMYFUNCTION("""COMPUTED_VALUE"""),44733.0)</f>
        <v>44733</v>
      </c>
      <c r="C16179" s="6">
        <f>IFERROR(__xludf.DUMMYFUNCTION("""COMPUTED_VALUE"""),0.3524305555547471)</f>
        <v>0.3524305556</v>
      </c>
      <c r="D16179" s="4">
        <f>IFERROR(__xludf.DUMMYFUNCTION("""COMPUTED_VALUE"""),12.905613)</f>
        <v>12.905613</v>
      </c>
      <c r="E16179" s="4">
        <f>IFERROR(__xludf.DUMMYFUNCTION("""COMPUTED_VALUE"""),80.095878)</f>
        <v>80.095878</v>
      </c>
      <c r="F16179" s="4">
        <f>IFERROR(__xludf.DUMMYFUNCTION("""COMPUTED_VALUE"""),805.0)</f>
        <v>805</v>
      </c>
      <c r="G16179" s="4">
        <f>IFERROR(__xludf.DUMMYFUNCTION("""COMPUTED_VALUE"""),0.0)</f>
        <v>0</v>
      </c>
      <c r="H16179" s="4"/>
      <c r="I16179" s="4"/>
    </row>
    <row r="16180">
      <c r="A16180" s="4" t="str">
        <f>IFERROR(__xludf.DUMMYFUNCTION("""COMPUTED_VALUE"""),"cas_hmw")</f>
        <v>cas_hmw</v>
      </c>
      <c r="B16180" s="5">
        <f>IFERROR(__xludf.DUMMYFUNCTION("""COMPUTED_VALUE"""),44733.0)</f>
        <v>44733</v>
      </c>
      <c r="C16180" s="6">
        <f>IFERROR(__xludf.DUMMYFUNCTION("""COMPUTED_VALUE"""),0.3526620370357705)</f>
        <v>0.352662037</v>
      </c>
      <c r="D16180" s="4">
        <f>IFERROR(__xludf.DUMMYFUNCTION("""COMPUTED_VALUE"""),12.904205)</f>
        <v>12.904205</v>
      </c>
      <c r="E16180" s="4">
        <f>IFERROR(__xludf.DUMMYFUNCTION("""COMPUTED_VALUE"""),80.094838)</f>
        <v>80.094838</v>
      </c>
      <c r="F16180" s="4">
        <f>IFERROR(__xludf.DUMMYFUNCTION("""COMPUTED_VALUE"""),805.0)</f>
        <v>805</v>
      </c>
      <c r="G16180" s="4">
        <f>IFERROR(__xludf.DUMMYFUNCTION("""COMPUTED_VALUE"""),41.0)</f>
        <v>41</v>
      </c>
      <c r="H16180" s="4"/>
      <c r="I16180" s="4"/>
    </row>
    <row r="16181">
      <c r="A16181" s="4" t="str">
        <f>IFERROR(__xludf.DUMMYFUNCTION("""COMPUTED_VALUE"""),"cas_hmw")</f>
        <v>cas_hmw</v>
      </c>
      <c r="B16181" s="5">
        <f>IFERROR(__xludf.DUMMYFUNCTION("""COMPUTED_VALUE"""),44733.0)</f>
        <v>44733</v>
      </c>
      <c r="C16181" s="6">
        <f>IFERROR(__xludf.DUMMYFUNCTION("""COMPUTED_VALUE"""),0.3527314814818965)</f>
        <v>0.3527314815</v>
      </c>
      <c r="D16181" s="4">
        <f>IFERROR(__xludf.DUMMYFUNCTION("""COMPUTED_VALUE"""),12.904205)</f>
        <v>12.904205</v>
      </c>
      <c r="E16181" s="4">
        <f>IFERROR(__xludf.DUMMYFUNCTION("""COMPUTED_VALUE"""),80.094838)</f>
        <v>80.094838</v>
      </c>
      <c r="F16181" s="4">
        <f>IFERROR(__xludf.DUMMYFUNCTION("""COMPUTED_VALUE"""),805.0)</f>
        <v>805</v>
      </c>
      <c r="G16181" s="4">
        <f>IFERROR(__xludf.DUMMYFUNCTION("""COMPUTED_VALUE"""),41.0)</f>
        <v>41</v>
      </c>
      <c r="H16181" s="4"/>
      <c r="I16181" s="4"/>
    </row>
    <row r="16182">
      <c r="A16182" s="4" t="str">
        <f>IFERROR(__xludf.DUMMYFUNCTION("""COMPUTED_VALUE"""),"cas_hmw")</f>
        <v>cas_hmw</v>
      </c>
      <c r="B16182" s="5">
        <f>IFERROR(__xludf.DUMMYFUNCTION("""COMPUTED_VALUE"""),44733.0)</f>
        <v>44733</v>
      </c>
      <c r="C16182" s="6">
        <f>IFERROR(__xludf.DUMMYFUNCTION("""COMPUTED_VALUE"""),0.3528240740743058)</f>
        <v>0.3528240741</v>
      </c>
      <c r="D16182" s="4">
        <f>IFERROR(__xludf.DUMMYFUNCTION("""COMPUTED_VALUE"""),12.904205)</f>
        <v>12.904205</v>
      </c>
      <c r="E16182" s="4">
        <f>IFERROR(__xludf.DUMMYFUNCTION("""COMPUTED_VALUE"""),80.094838)</f>
        <v>80.094838</v>
      </c>
      <c r="F16182" s="4">
        <f>IFERROR(__xludf.DUMMYFUNCTION("""COMPUTED_VALUE"""),805.0)</f>
        <v>805</v>
      </c>
      <c r="G16182" s="4">
        <f>IFERROR(__xludf.DUMMYFUNCTION("""COMPUTED_VALUE"""),41.0)</f>
        <v>41</v>
      </c>
      <c r="H16182" s="4"/>
      <c r="I16182" s="4"/>
    </row>
    <row r="16183">
      <c r="A16183" s="4" t="str">
        <f>IFERROR(__xludf.DUMMYFUNCTION("""COMPUTED_VALUE"""),"cas_hmw")</f>
        <v>cas_hmw</v>
      </c>
      <c r="B16183" s="5">
        <f>IFERROR(__xludf.DUMMYFUNCTION("""COMPUTED_VALUE"""),44733.0)</f>
        <v>44733</v>
      </c>
      <c r="C16183" s="6">
        <f>IFERROR(__xludf.DUMMYFUNCTION("""COMPUTED_VALUE"""),0.35768518518671044)</f>
        <v>0.3576851852</v>
      </c>
      <c r="D16183" s="4">
        <f>IFERROR(__xludf.DUMMYFUNCTION("""COMPUTED_VALUE"""),12.878942)</f>
        <v>12.878942</v>
      </c>
      <c r="E16183" s="4">
        <f>IFERROR(__xludf.DUMMYFUNCTION("""COMPUTED_VALUE"""),80.080833)</f>
        <v>80.080833</v>
      </c>
      <c r="F16183" s="4">
        <f>IFERROR(__xludf.DUMMYFUNCTION("""COMPUTED_VALUE"""),805.0)</f>
        <v>805</v>
      </c>
      <c r="G16183" s="4">
        <f>IFERROR(__xludf.DUMMYFUNCTION("""COMPUTED_VALUE"""),0.0)</f>
        <v>0</v>
      </c>
      <c r="H16183" s="4"/>
      <c r="I16183" s="4"/>
    </row>
    <row r="16184">
      <c r="A16184" s="4" t="str">
        <f>IFERROR(__xludf.DUMMYFUNCTION("""COMPUTED_VALUE"""),"cas_hmw")</f>
        <v>cas_hmw</v>
      </c>
      <c r="B16184" s="5">
        <f>IFERROR(__xludf.DUMMYFUNCTION("""COMPUTED_VALUE"""),44733.0)</f>
        <v>44733</v>
      </c>
      <c r="C16184" s="6">
        <f>IFERROR(__xludf.DUMMYFUNCTION("""COMPUTED_VALUE"""),0.3577314814829151)</f>
        <v>0.3577314815</v>
      </c>
      <c r="D16184" s="4">
        <f>IFERROR(__xludf.DUMMYFUNCTION("""COMPUTED_VALUE"""),12.878942)</f>
        <v>12.878942</v>
      </c>
      <c r="E16184" s="4">
        <f>IFERROR(__xludf.DUMMYFUNCTION("""COMPUTED_VALUE"""),80.080833)</f>
        <v>80.080833</v>
      </c>
      <c r="F16184" s="4">
        <f>IFERROR(__xludf.DUMMYFUNCTION("""COMPUTED_VALUE"""),805.0)</f>
        <v>805</v>
      </c>
      <c r="G16184" s="4">
        <f>IFERROR(__xludf.DUMMYFUNCTION("""COMPUTED_VALUE"""),0.0)</f>
        <v>0</v>
      </c>
      <c r="H16184" s="4"/>
      <c r="I16184" s="4"/>
    </row>
    <row r="16185">
      <c r="A16185" s="4" t="str">
        <f>IFERROR(__xludf.DUMMYFUNCTION("""COMPUTED_VALUE"""),"cas_hmw")</f>
        <v>cas_hmw</v>
      </c>
      <c r="B16185" s="5">
        <f>IFERROR(__xludf.DUMMYFUNCTION("""COMPUTED_VALUE"""),44733.0)</f>
        <v>44733</v>
      </c>
      <c r="C16185" s="6">
        <f>IFERROR(__xludf.DUMMYFUNCTION("""COMPUTED_VALUE"""),0.6899537037024857)</f>
        <v>0.6899537037</v>
      </c>
      <c r="D16185" s="4">
        <f>IFERROR(__xludf.DUMMYFUNCTION("""COMPUTED_VALUE"""),12.876037)</f>
        <v>12.876037</v>
      </c>
      <c r="E16185" s="4">
        <f>IFERROR(__xludf.DUMMYFUNCTION("""COMPUTED_VALUE"""),80.079137)</f>
        <v>80.079137</v>
      </c>
      <c r="F16185" s="4">
        <f>IFERROR(__xludf.DUMMYFUNCTION("""COMPUTED_VALUE"""),2846.0)</f>
        <v>2846</v>
      </c>
      <c r="G16185" s="4">
        <f>IFERROR(__xludf.DUMMYFUNCTION("""COMPUTED_VALUE"""),48.0)</f>
        <v>48</v>
      </c>
      <c r="H16185" s="4"/>
      <c r="I16185" s="4"/>
    </row>
    <row r="16186">
      <c r="A16186" s="4" t="str">
        <f>IFERROR(__xludf.DUMMYFUNCTION("""COMPUTED_VALUE"""),"cas_hmw")</f>
        <v>cas_hmw</v>
      </c>
      <c r="B16186" s="5">
        <f>IFERROR(__xludf.DUMMYFUNCTION("""COMPUTED_VALUE"""),44733.0)</f>
        <v>44733</v>
      </c>
      <c r="C16186" s="6">
        <f>IFERROR(__xludf.DUMMYFUNCTION("""COMPUTED_VALUE"""),0.6916666666656965)</f>
        <v>0.6916666667</v>
      </c>
      <c r="D16186" s="4">
        <f>IFERROR(__xludf.DUMMYFUNCTION("""COMPUTED_VALUE"""),12.86543)</f>
        <v>12.86543</v>
      </c>
      <c r="E16186" s="4">
        <f>IFERROR(__xludf.DUMMYFUNCTION("""COMPUTED_VALUE"""),80.074876)</f>
        <v>80.074876</v>
      </c>
      <c r="F16186" s="4">
        <f>IFERROR(__xludf.DUMMYFUNCTION("""COMPUTED_VALUE"""),2846.0)</f>
        <v>2846</v>
      </c>
      <c r="G16186" s="4">
        <f>IFERROR(__xludf.DUMMYFUNCTION("""COMPUTED_VALUE"""),47.0)</f>
        <v>47</v>
      </c>
      <c r="H16186" s="4"/>
      <c r="I16186" s="4"/>
    </row>
    <row r="16187">
      <c r="A16187" s="4" t="str">
        <f>IFERROR(__xludf.DUMMYFUNCTION("""COMPUTED_VALUE"""),"cas_hmw")</f>
        <v>cas_hmw</v>
      </c>
      <c r="B16187" s="5">
        <f>IFERROR(__xludf.DUMMYFUNCTION("""COMPUTED_VALUE"""),44733.0)</f>
        <v>44733</v>
      </c>
      <c r="C16187" s="6">
        <f>IFERROR(__xludf.DUMMYFUNCTION("""COMPUTED_VALUE"""),0.6942129629642295)</f>
        <v>0.694212963</v>
      </c>
      <c r="D16187" s="4">
        <f>IFERROR(__xludf.DUMMYFUNCTION("""COMPUTED_VALUE"""),12.906354)</f>
        <v>12.906354</v>
      </c>
      <c r="E16187" s="4">
        <f>IFERROR(__xludf.DUMMYFUNCTION("""COMPUTED_VALUE"""),80.096091)</f>
        <v>80.096091</v>
      </c>
      <c r="F16187" s="4">
        <f>IFERROR(__xludf.DUMMYFUNCTION("""COMPUTED_VALUE"""),5339.0)</f>
        <v>5339</v>
      </c>
      <c r="G16187" s="4">
        <f>IFERROR(__xludf.DUMMYFUNCTION("""COMPUTED_VALUE"""),50.0)</f>
        <v>50</v>
      </c>
      <c r="H16187" s="4"/>
      <c r="I16187" s="4"/>
    </row>
    <row r="16188">
      <c r="A16188" s="4" t="str">
        <f>IFERROR(__xludf.DUMMYFUNCTION("""COMPUTED_VALUE"""),"cas_hmw")</f>
        <v>cas_hmw</v>
      </c>
      <c r="B16188" s="5">
        <f>IFERROR(__xludf.DUMMYFUNCTION("""COMPUTED_VALUE"""),44733.0)</f>
        <v>44733</v>
      </c>
      <c r="C16188" s="6">
        <f>IFERROR(__xludf.DUMMYFUNCTION("""COMPUTED_VALUE"""),0.6962037037046684)</f>
        <v>0.6962037037</v>
      </c>
      <c r="D16188" s="4">
        <f>IFERROR(__xludf.DUMMYFUNCTION("""COMPUTED_VALUE"""),12.841922)</f>
        <v>12.841922</v>
      </c>
      <c r="E16188" s="4">
        <f>IFERROR(__xludf.DUMMYFUNCTION("""COMPUTED_VALUE"""),80.057818)</f>
        <v>80.057818</v>
      </c>
      <c r="F16188" s="4">
        <f>IFERROR(__xludf.DUMMYFUNCTION("""COMPUTED_VALUE"""),2846.0)</f>
        <v>2846</v>
      </c>
      <c r="G16188" s="4">
        <f>IFERROR(__xludf.DUMMYFUNCTION("""COMPUTED_VALUE"""),45.0)</f>
        <v>45</v>
      </c>
      <c r="H16188" s="4"/>
      <c r="I16188" s="4"/>
    </row>
    <row r="16189">
      <c r="A16189" s="4" t="str">
        <f>IFERROR(__xludf.DUMMYFUNCTION("""COMPUTED_VALUE"""),"cas_hmw")</f>
        <v>cas_hmw</v>
      </c>
      <c r="B16189" s="5">
        <f>IFERROR(__xludf.DUMMYFUNCTION("""COMPUTED_VALUE"""),44733.0)</f>
        <v>44733</v>
      </c>
      <c r="C16189" s="6">
        <f>IFERROR(__xludf.DUMMYFUNCTION("""COMPUTED_VALUE"""),0.6966203703705105)</f>
        <v>0.6966203704</v>
      </c>
      <c r="D16189" s="4">
        <f>IFERROR(__xludf.DUMMYFUNCTION("""COMPUTED_VALUE"""),12.838685)</f>
        <v>12.838685</v>
      </c>
      <c r="E16189" s="4">
        <f>IFERROR(__xludf.DUMMYFUNCTION("""COMPUTED_VALUE"""),80.05429)</f>
        <v>80.05429</v>
      </c>
      <c r="F16189" s="4">
        <f>IFERROR(__xludf.DUMMYFUNCTION("""COMPUTED_VALUE"""),2846.0)</f>
        <v>2846</v>
      </c>
      <c r="G16189" s="4">
        <f>IFERROR(__xludf.DUMMYFUNCTION("""COMPUTED_VALUE"""),49.0)</f>
        <v>49</v>
      </c>
      <c r="H16189" s="4"/>
      <c r="I16189" s="4"/>
    </row>
    <row r="16190">
      <c r="A16190" s="4" t="str">
        <f>IFERROR(__xludf.DUMMYFUNCTION("""COMPUTED_VALUE"""),"cas_hmw")</f>
        <v>cas_hmw</v>
      </c>
      <c r="B16190" s="5">
        <f>IFERROR(__xludf.DUMMYFUNCTION("""COMPUTED_VALUE"""),44733.0)</f>
        <v>44733</v>
      </c>
      <c r="C16190" s="6">
        <f>IFERROR(__xludf.DUMMYFUNCTION("""COMPUTED_VALUE"""),0.6971527777786832)</f>
        <v>0.6971527778</v>
      </c>
      <c r="D16190" s="4">
        <f>IFERROR(__xludf.DUMMYFUNCTION("""COMPUTED_VALUE"""),12.91765)</f>
        <v>12.91765</v>
      </c>
      <c r="E16190" s="4">
        <f>IFERROR(__xludf.DUMMYFUNCTION("""COMPUTED_VALUE"""),80.108121)</f>
        <v>80.108121</v>
      </c>
      <c r="F16190" s="4">
        <f>IFERROR(__xludf.DUMMYFUNCTION("""COMPUTED_VALUE"""),5339.0)</f>
        <v>5339</v>
      </c>
      <c r="G16190" s="4">
        <f>IFERROR(__xludf.DUMMYFUNCTION("""COMPUTED_VALUE"""),46.0)</f>
        <v>46</v>
      </c>
      <c r="H16190" s="4"/>
      <c r="I16190" s="4"/>
    </row>
    <row r="16191">
      <c r="A16191" s="4" t="str">
        <f>IFERROR(__xludf.DUMMYFUNCTION("""COMPUTED_VALUE"""),"cas_hmw")</f>
        <v>cas_hmw</v>
      </c>
      <c r="B16191" s="5">
        <f>IFERROR(__xludf.DUMMYFUNCTION("""COMPUTED_VALUE"""),44733.0)</f>
        <v>44733</v>
      </c>
      <c r="C16191" s="6">
        <f>IFERROR(__xludf.DUMMYFUNCTION("""COMPUTED_VALUE"""),0.6973726851865649)</f>
        <v>0.6973726852</v>
      </c>
      <c r="D16191" s="4">
        <f>IFERROR(__xludf.DUMMYFUNCTION("""COMPUTED_VALUE"""),12.919177)</f>
        <v>12.919177</v>
      </c>
      <c r="E16191" s="4">
        <f>IFERROR(__xludf.DUMMYFUNCTION("""COMPUTED_VALUE"""),80.10997)</f>
        <v>80.10997</v>
      </c>
      <c r="F16191" s="4">
        <f>IFERROR(__xludf.DUMMYFUNCTION("""COMPUTED_VALUE"""),5339.0)</f>
        <v>5339</v>
      </c>
      <c r="G16191" s="4">
        <f>IFERROR(__xludf.DUMMYFUNCTION("""COMPUTED_VALUE"""),45.0)</f>
        <v>45</v>
      </c>
      <c r="H16191" s="4"/>
      <c r="I16191" s="4"/>
    </row>
    <row r="16192">
      <c r="A16192" s="4" t="str">
        <f>IFERROR(__xludf.DUMMYFUNCTION("""COMPUTED_VALUE"""),"cas_hmw")</f>
        <v>cas_hmw</v>
      </c>
      <c r="B16192" s="5">
        <f>IFERROR(__xludf.DUMMYFUNCTION("""COMPUTED_VALUE"""),44733.0)</f>
        <v>44733</v>
      </c>
      <c r="C16192" s="6">
        <f>IFERROR(__xludf.DUMMYFUNCTION("""COMPUTED_VALUE"""),0.6986574074071541)</f>
        <v>0.6986574074</v>
      </c>
      <c r="D16192" s="4">
        <f>IFERROR(__xludf.DUMMYFUNCTION("""COMPUTED_VALUE"""),12.925463)</f>
        <v>12.925463</v>
      </c>
      <c r="E16192" s="4">
        <f>IFERROR(__xludf.DUMMYFUNCTION("""COMPUTED_VALUE"""),80.116587)</f>
        <v>80.116587</v>
      </c>
      <c r="F16192" s="4">
        <f>IFERROR(__xludf.DUMMYFUNCTION("""COMPUTED_VALUE"""),5339.0)</f>
        <v>5339</v>
      </c>
      <c r="G16192" s="4">
        <f>IFERROR(__xludf.DUMMYFUNCTION("""COMPUTED_VALUE"""),45.0)</f>
        <v>45</v>
      </c>
      <c r="H16192" s="4"/>
      <c r="I16192" s="4"/>
    </row>
    <row r="16193">
      <c r="A16193" s="4" t="str">
        <f>IFERROR(__xludf.DUMMYFUNCTION("""COMPUTED_VALUE"""),"cas_hmw")</f>
        <v>cas_hmw</v>
      </c>
      <c r="B16193" s="5">
        <f>IFERROR(__xludf.DUMMYFUNCTION("""COMPUTED_VALUE"""),44733.0)</f>
        <v>44733</v>
      </c>
      <c r="C16193" s="6">
        <f>IFERROR(__xludf.DUMMYFUNCTION("""COMPUTED_VALUE"""),0.6996875000004366)</f>
        <v>0.6996875</v>
      </c>
      <c r="D16193" s="4">
        <f>IFERROR(__xludf.DUMMYFUNCTION("""COMPUTED_VALUE"""),12.929679)</f>
        <v>12.929679</v>
      </c>
      <c r="E16193" s="4">
        <f>IFERROR(__xludf.DUMMYFUNCTION("""COMPUTED_VALUE"""),80.120754)</f>
        <v>80.120754</v>
      </c>
      <c r="F16193" s="4">
        <f>IFERROR(__xludf.DUMMYFUNCTION("""COMPUTED_VALUE"""),5339.0)</f>
        <v>5339</v>
      </c>
      <c r="G16193" s="4">
        <f>IFERROR(__xludf.DUMMYFUNCTION("""COMPUTED_VALUE"""),24.0)</f>
        <v>24</v>
      </c>
      <c r="H16193" s="4"/>
      <c r="I16193" s="4"/>
    </row>
    <row r="16194">
      <c r="A16194" s="4" t="str">
        <f>IFERROR(__xludf.DUMMYFUNCTION("""COMPUTED_VALUE"""),"cas_hmw")</f>
        <v>cas_hmw</v>
      </c>
      <c r="B16194" s="5">
        <f>IFERROR(__xludf.DUMMYFUNCTION("""COMPUTED_VALUE"""),44733.0)</f>
        <v>44733</v>
      </c>
      <c r="C16194" s="6">
        <f>IFERROR(__xludf.DUMMYFUNCTION("""COMPUTED_VALUE"""),0.6997916666659876)</f>
        <v>0.6997916667</v>
      </c>
      <c r="D16194" s="4">
        <f>IFERROR(__xludf.DUMMYFUNCTION("""COMPUTED_VALUE"""),12.929679)</f>
        <v>12.929679</v>
      </c>
      <c r="E16194" s="4">
        <f>IFERROR(__xludf.DUMMYFUNCTION("""COMPUTED_VALUE"""),80.120754)</f>
        <v>80.120754</v>
      </c>
      <c r="F16194" s="4">
        <f>IFERROR(__xludf.DUMMYFUNCTION("""COMPUTED_VALUE"""),5339.0)</f>
        <v>5339</v>
      </c>
      <c r="G16194" s="4">
        <f>IFERROR(__xludf.DUMMYFUNCTION("""COMPUTED_VALUE"""),24.0)</f>
        <v>24</v>
      </c>
      <c r="H16194" s="4"/>
      <c r="I16194" s="4"/>
    </row>
    <row r="16195">
      <c r="A16195" s="4" t="str">
        <f>IFERROR(__xludf.DUMMYFUNCTION("""COMPUTED_VALUE"""),"cas_hmw")</f>
        <v>cas_hmw</v>
      </c>
      <c r="B16195" s="5">
        <f>IFERROR(__xludf.DUMMYFUNCTION("""COMPUTED_VALUE"""),44733.0)</f>
        <v>44733</v>
      </c>
      <c r="C16195" s="6">
        <f>IFERROR(__xludf.DUMMYFUNCTION("""COMPUTED_VALUE"""),0.6998032407391293)</f>
        <v>0.6998032407</v>
      </c>
      <c r="D16195" s="4">
        <f>IFERROR(__xludf.DUMMYFUNCTION("""COMPUTED_VALUE"""),12.930189)</f>
        <v>12.930189</v>
      </c>
      <c r="E16195" s="4">
        <f>IFERROR(__xludf.DUMMYFUNCTION("""COMPUTED_VALUE"""),80.121255)</f>
        <v>80.121255</v>
      </c>
      <c r="F16195" s="4">
        <f>IFERROR(__xludf.DUMMYFUNCTION("""COMPUTED_VALUE"""),5339.0)</f>
        <v>5339</v>
      </c>
      <c r="G16195" s="4">
        <f>IFERROR(__xludf.DUMMYFUNCTION("""COMPUTED_VALUE"""),30.0)</f>
        <v>30</v>
      </c>
      <c r="H16195" s="4"/>
      <c r="I16195" s="4"/>
    </row>
    <row r="16196">
      <c r="A16196" s="4" t="str">
        <f>IFERROR(__xludf.DUMMYFUNCTION("""COMPUTED_VALUE"""),"cas_hmw")</f>
        <v>cas_hmw</v>
      </c>
      <c r="B16196" s="5">
        <f>IFERROR(__xludf.DUMMYFUNCTION("""COMPUTED_VALUE"""),44733.0)</f>
        <v>44733</v>
      </c>
      <c r="C16196" s="6">
        <f>IFERROR(__xludf.DUMMYFUNCTION("""COMPUTED_VALUE"""),0.700439814816491)</f>
        <v>0.7004398148</v>
      </c>
      <c r="D16196" s="4">
        <f>IFERROR(__xludf.DUMMYFUNCTION("""COMPUTED_VALUE"""),12.811129)</f>
        <v>12.811129</v>
      </c>
      <c r="E16196" s="4">
        <f>IFERROR(__xludf.DUMMYFUNCTION("""COMPUTED_VALUE"""),80.03069)</f>
        <v>80.03069</v>
      </c>
      <c r="F16196" s="4">
        <f>IFERROR(__xludf.DUMMYFUNCTION("""COMPUTED_VALUE"""),2846.0)</f>
        <v>2846</v>
      </c>
      <c r="G16196" s="4">
        <f>IFERROR(__xludf.DUMMYFUNCTION("""COMPUTED_VALUE"""),0.0)</f>
        <v>0</v>
      </c>
      <c r="H16196" s="4"/>
      <c r="I16196" s="4"/>
    </row>
    <row r="16197">
      <c r="A16197" s="4" t="str">
        <f>IFERROR(__xludf.DUMMYFUNCTION("""COMPUTED_VALUE"""),"cas_hmw")</f>
        <v>cas_hmw</v>
      </c>
      <c r="B16197" s="5">
        <f>IFERROR(__xludf.DUMMYFUNCTION("""COMPUTED_VALUE"""),44733.0)</f>
        <v>44733</v>
      </c>
      <c r="C16197" s="6">
        <f>IFERROR(__xludf.DUMMYFUNCTION("""COMPUTED_VALUE"""),0.7008333333324117)</f>
        <v>0.7008333333</v>
      </c>
      <c r="D16197" s="4">
        <f>IFERROR(__xludf.DUMMYFUNCTION("""COMPUTED_VALUE"""),12.936094)</f>
        <v>12.936094</v>
      </c>
      <c r="E16197" s="4">
        <f>IFERROR(__xludf.DUMMYFUNCTION("""COMPUTED_VALUE"""),80.126969)</f>
        <v>80.126969</v>
      </c>
      <c r="F16197" s="4">
        <f>IFERROR(__xludf.DUMMYFUNCTION("""COMPUTED_VALUE"""),5339.0)</f>
        <v>5339</v>
      </c>
      <c r="G16197" s="4">
        <f>IFERROR(__xludf.DUMMYFUNCTION("""COMPUTED_VALUE"""),43.0)</f>
        <v>43</v>
      </c>
      <c r="H16197" s="4"/>
      <c r="I16197" s="4"/>
    </row>
    <row r="16198">
      <c r="A16198" s="4" t="str">
        <f>IFERROR(__xludf.DUMMYFUNCTION("""COMPUTED_VALUE"""),"cas_hmw")</f>
        <v>cas_hmw</v>
      </c>
      <c r="B16198" s="5">
        <f>IFERROR(__xludf.DUMMYFUNCTION("""COMPUTED_VALUE"""),44733.0)</f>
        <v>44733</v>
      </c>
      <c r="C16198" s="6">
        <f>IFERROR(__xludf.DUMMYFUNCTION("""COMPUTED_VALUE"""),0.7011342592595611)</f>
        <v>0.7011342593</v>
      </c>
      <c r="D16198" s="4">
        <f>IFERROR(__xludf.DUMMYFUNCTION("""COMPUTED_VALUE"""),12.806818)</f>
        <v>12.806818</v>
      </c>
      <c r="E16198" s="4">
        <f>IFERROR(__xludf.DUMMYFUNCTION("""COMPUTED_VALUE"""),80.027922)</f>
        <v>80.027922</v>
      </c>
      <c r="F16198" s="4">
        <f>IFERROR(__xludf.DUMMYFUNCTION("""COMPUTED_VALUE"""),2846.0)</f>
        <v>2846</v>
      </c>
      <c r="G16198" s="4">
        <f>IFERROR(__xludf.DUMMYFUNCTION("""COMPUTED_VALUE"""),45.0)</f>
        <v>45</v>
      </c>
      <c r="H16198" s="4"/>
      <c r="I16198" s="4"/>
    </row>
    <row r="16199">
      <c r="A16199" s="4" t="str">
        <f>IFERROR(__xludf.DUMMYFUNCTION("""COMPUTED_VALUE"""),"cas_hmw")</f>
        <v>cas_hmw</v>
      </c>
      <c r="B16199" s="5">
        <f>IFERROR(__xludf.DUMMYFUNCTION("""COMPUTED_VALUE"""),44733.0)</f>
        <v>44733</v>
      </c>
      <c r="C16199" s="6">
        <f>IFERROR(__xludf.DUMMYFUNCTION("""COMPUTED_VALUE"""),0.7014699074061355)</f>
        <v>0.7014699074</v>
      </c>
      <c r="D16199" s="4">
        <f>IFERROR(__xludf.DUMMYFUNCTION("""COMPUTED_VALUE"""),12.94081)</f>
        <v>12.94081</v>
      </c>
      <c r="E16199" s="4">
        <f>IFERROR(__xludf.DUMMYFUNCTION("""COMPUTED_VALUE"""),80.131296)</f>
        <v>80.131296</v>
      </c>
      <c r="F16199" s="4">
        <f>IFERROR(__xludf.DUMMYFUNCTION("""COMPUTED_VALUE"""),5339.0)</f>
        <v>5339</v>
      </c>
      <c r="G16199" s="4">
        <f>IFERROR(__xludf.DUMMYFUNCTION("""COMPUTED_VALUE"""),51.0)</f>
        <v>51</v>
      </c>
      <c r="H16199" s="4"/>
      <c r="I16199" s="4"/>
    </row>
    <row r="16200">
      <c r="A16200" s="4" t="str">
        <f>IFERROR(__xludf.DUMMYFUNCTION("""COMPUTED_VALUE"""),"cas_hmw")</f>
        <v>cas_hmw</v>
      </c>
      <c r="B16200" s="5">
        <f>IFERROR(__xludf.DUMMYFUNCTION("""COMPUTED_VALUE"""),44733.0)</f>
        <v>44733</v>
      </c>
      <c r="C16200" s="6">
        <f>IFERROR(__xludf.DUMMYFUNCTION("""COMPUTED_VALUE"""),0.7014814814829151)</f>
        <v>0.7014814815</v>
      </c>
      <c r="D16200" s="4">
        <f>IFERROR(__xludf.DUMMYFUNCTION("""COMPUTED_VALUE"""),12.803642)</f>
        <v>12.803642</v>
      </c>
      <c r="E16200" s="4">
        <f>IFERROR(__xludf.DUMMYFUNCTION("""COMPUTED_VALUE"""),80.025883)</f>
        <v>80.025883</v>
      </c>
      <c r="F16200" s="4">
        <f>IFERROR(__xludf.DUMMYFUNCTION("""COMPUTED_VALUE"""),2846.0)</f>
        <v>2846</v>
      </c>
      <c r="G16200" s="4">
        <f>IFERROR(__xludf.DUMMYFUNCTION("""COMPUTED_VALUE"""),47.0)</f>
        <v>47</v>
      </c>
      <c r="H16200" s="4"/>
      <c r="I16200" s="4"/>
    </row>
    <row r="16201">
      <c r="A16201" s="4" t="str">
        <f>IFERROR(__xludf.DUMMYFUNCTION("""COMPUTED_VALUE"""),"cas_hmw")</f>
        <v>cas_hmw</v>
      </c>
      <c r="B16201" s="5">
        <f>IFERROR(__xludf.DUMMYFUNCTION("""COMPUTED_VALUE"""),44733.0)</f>
        <v>44733</v>
      </c>
      <c r="C16201" s="6">
        <f>IFERROR(__xludf.DUMMYFUNCTION("""COMPUTED_VALUE"""),0.7014930555560568)</f>
        <v>0.7014930556</v>
      </c>
      <c r="D16201" s="4">
        <f>IFERROR(__xludf.DUMMYFUNCTION("""COMPUTED_VALUE"""),12.803642)</f>
        <v>12.803642</v>
      </c>
      <c r="E16201" s="4">
        <f>IFERROR(__xludf.DUMMYFUNCTION("""COMPUTED_VALUE"""),80.025883)</f>
        <v>80.025883</v>
      </c>
      <c r="F16201" s="4">
        <f>IFERROR(__xludf.DUMMYFUNCTION("""COMPUTED_VALUE"""),2846.0)</f>
        <v>2846</v>
      </c>
      <c r="G16201" s="4">
        <f>IFERROR(__xludf.DUMMYFUNCTION("""COMPUTED_VALUE"""),47.0)</f>
        <v>47</v>
      </c>
      <c r="H16201" s="4"/>
      <c r="I16201" s="4"/>
    </row>
    <row r="16202">
      <c r="A16202" s="4" t="str">
        <f>IFERROR(__xludf.DUMMYFUNCTION("""COMPUTED_VALUE"""),"cas_hmw")</f>
        <v>cas_hmw</v>
      </c>
      <c r="B16202" s="5">
        <f>IFERROR(__xludf.DUMMYFUNCTION("""COMPUTED_VALUE"""),44733.0)</f>
        <v>44733</v>
      </c>
      <c r="C16202" s="6">
        <f>IFERROR(__xludf.DUMMYFUNCTION("""COMPUTED_VALUE"""),0.7017824074064265)</f>
        <v>0.7017824074</v>
      </c>
      <c r="D16202" s="4">
        <f>IFERROR(__xludf.DUMMYFUNCTION("""COMPUTED_VALUE"""),12.943029)</f>
        <v>12.943029</v>
      </c>
      <c r="E16202" s="4">
        <f>IFERROR(__xludf.DUMMYFUNCTION("""COMPUTED_VALUE"""),80.133578)</f>
        <v>80.133578</v>
      </c>
      <c r="F16202" s="4">
        <f>IFERROR(__xludf.DUMMYFUNCTION("""COMPUTED_VALUE"""),5339.0)</f>
        <v>5339</v>
      </c>
      <c r="G16202" s="4">
        <f>IFERROR(__xludf.DUMMYFUNCTION("""COMPUTED_VALUE"""),34.0)</f>
        <v>34</v>
      </c>
      <c r="H16202" s="4"/>
      <c r="I16202" s="4"/>
    </row>
    <row r="16203">
      <c r="A16203" s="4" t="str">
        <f>IFERROR(__xludf.DUMMYFUNCTION("""COMPUTED_VALUE"""),"cas_hmw")</f>
        <v>cas_hmw</v>
      </c>
      <c r="B16203" s="5">
        <f>IFERROR(__xludf.DUMMYFUNCTION("""COMPUTED_VALUE"""),44733.0)</f>
        <v>44733</v>
      </c>
      <c r="C16203" s="6">
        <f>IFERROR(__xludf.DUMMYFUNCTION("""COMPUTED_VALUE"""),0.7018981481487572)</f>
        <v>0.7018981481</v>
      </c>
      <c r="D16203" s="4">
        <f>IFERROR(__xludf.DUMMYFUNCTION("""COMPUTED_VALUE"""),12.801333)</f>
        <v>12.801333</v>
      </c>
      <c r="E16203" s="4">
        <f>IFERROR(__xludf.DUMMYFUNCTION("""COMPUTED_VALUE"""),80.024353)</f>
        <v>80.024353</v>
      </c>
      <c r="F16203" s="4">
        <f>IFERROR(__xludf.DUMMYFUNCTION("""COMPUTED_VALUE"""),2846.0)</f>
        <v>2846</v>
      </c>
      <c r="G16203" s="4">
        <f>IFERROR(__xludf.DUMMYFUNCTION("""COMPUTED_VALUE"""),45.0)</f>
        <v>45</v>
      </c>
      <c r="H16203" s="4"/>
      <c r="I16203" s="4"/>
    </row>
    <row r="16204">
      <c r="A16204" s="4" t="str">
        <f>IFERROR(__xludf.DUMMYFUNCTION("""COMPUTED_VALUE"""),"cas_hmw")</f>
        <v>cas_hmw</v>
      </c>
      <c r="B16204" s="5">
        <f>IFERROR(__xludf.DUMMYFUNCTION("""COMPUTED_VALUE"""),44733.0)</f>
        <v>44733</v>
      </c>
      <c r="C16204" s="6">
        <f>IFERROR(__xludf.DUMMYFUNCTION("""COMPUTED_VALUE"""),0.703472222223354)</f>
        <v>0.7034722222</v>
      </c>
      <c r="D16204" s="4">
        <f>IFERROR(__xludf.DUMMYFUNCTION("""COMPUTED_VALUE"""),12.950708)</f>
        <v>12.950708</v>
      </c>
      <c r="E16204" s="4">
        <f>IFERROR(__xludf.DUMMYFUNCTION("""COMPUTED_VALUE"""),80.139663)</f>
        <v>80.139663</v>
      </c>
      <c r="F16204" s="4">
        <f>IFERROR(__xludf.DUMMYFUNCTION("""COMPUTED_VALUE"""),5339.0)</f>
        <v>5339</v>
      </c>
      <c r="G16204" s="4">
        <f>IFERROR(__xludf.DUMMYFUNCTION("""COMPUTED_VALUE"""),28.0)</f>
        <v>28</v>
      </c>
      <c r="H16204" s="4"/>
      <c r="I16204" s="4"/>
    </row>
    <row r="16205">
      <c r="A16205" s="4" t="str">
        <f>IFERROR(__xludf.DUMMYFUNCTION("""COMPUTED_VALUE"""),"cas_hmw")</f>
        <v>cas_hmw</v>
      </c>
      <c r="B16205" s="5">
        <f>IFERROR(__xludf.DUMMYFUNCTION("""COMPUTED_VALUE"""),44733.0)</f>
        <v>44733</v>
      </c>
      <c r="C16205" s="6">
        <f>IFERROR(__xludf.DUMMYFUNCTION("""COMPUTED_VALUE"""),0.7035995370388264)</f>
        <v>0.703599537</v>
      </c>
      <c r="D16205" s="4">
        <f>IFERROR(__xludf.DUMMYFUNCTION("""COMPUTED_VALUE"""),12.951323)</f>
        <v>12.951323</v>
      </c>
      <c r="E16205" s="4">
        <f>IFERROR(__xludf.DUMMYFUNCTION("""COMPUTED_VALUE"""),80.140135)</f>
        <v>80.140135</v>
      </c>
      <c r="F16205" s="4">
        <f>IFERROR(__xludf.DUMMYFUNCTION("""COMPUTED_VALUE"""),5339.0)</f>
        <v>5339</v>
      </c>
      <c r="G16205" s="4">
        <f>IFERROR(__xludf.DUMMYFUNCTION("""COMPUTED_VALUE"""),25.0)</f>
        <v>25</v>
      </c>
      <c r="H16205" s="4"/>
      <c r="I16205" s="4"/>
    </row>
    <row r="16206">
      <c r="A16206" s="4" t="str">
        <f>IFERROR(__xludf.DUMMYFUNCTION("""COMPUTED_VALUE"""),"cas_hmw")</f>
        <v>cas_hmw</v>
      </c>
      <c r="B16206" s="5">
        <f>IFERROR(__xludf.DUMMYFUNCTION("""COMPUTED_VALUE"""),44733.0)</f>
        <v>44733</v>
      </c>
      <c r="C16206" s="6">
        <f>IFERROR(__xludf.DUMMYFUNCTION("""COMPUTED_VALUE"""),0.7035995370388264)</f>
        <v>0.703599537</v>
      </c>
      <c r="D16206" s="4">
        <f>IFERROR(__xludf.DUMMYFUNCTION("""COMPUTED_VALUE"""),12.951323)</f>
        <v>12.951323</v>
      </c>
      <c r="E16206" s="4">
        <f>IFERROR(__xludf.DUMMYFUNCTION("""COMPUTED_VALUE"""),80.140135)</f>
        <v>80.140135</v>
      </c>
      <c r="F16206" s="4">
        <f>IFERROR(__xludf.DUMMYFUNCTION("""COMPUTED_VALUE"""),5339.0)</f>
        <v>5339</v>
      </c>
      <c r="G16206" s="4">
        <f>IFERROR(__xludf.DUMMYFUNCTION("""COMPUTED_VALUE"""),25.0)</f>
        <v>25</v>
      </c>
      <c r="H16206" s="4"/>
      <c r="I16206" s="4"/>
    </row>
    <row r="16207">
      <c r="A16207" s="4" t="str">
        <f>IFERROR(__xludf.DUMMYFUNCTION("""COMPUTED_VALUE"""),"cas_hmw")</f>
        <v>cas_hmw</v>
      </c>
      <c r="B16207" s="5">
        <f>IFERROR(__xludf.DUMMYFUNCTION("""COMPUTED_VALUE"""),44733.0)</f>
        <v>44733</v>
      </c>
      <c r="C16207" s="6">
        <f>IFERROR(__xludf.DUMMYFUNCTION("""COMPUTED_VALUE"""),0.7035995370388264)</f>
        <v>0.703599537</v>
      </c>
      <c r="D16207" s="4">
        <f>IFERROR(__xludf.DUMMYFUNCTION("""COMPUTED_VALUE"""),12.951323)</f>
        <v>12.951323</v>
      </c>
      <c r="E16207" s="4">
        <f>IFERROR(__xludf.DUMMYFUNCTION("""COMPUTED_VALUE"""),80.140135)</f>
        <v>80.140135</v>
      </c>
      <c r="F16207" s="4">
        <f>IFERROR(__xludf.DUMMYFUNCTION("""COMPUTED_VALUE"""),5339.0)</f>
        <v>5339</v>
      </c>
      <c r="G16207" s="4">
        <f>IFERROR(__xludf.DUMMYFUNCTION("""COMPUTED_VALUE"""),25.0)</f>
        <v>25</v>
      </c>
      <c r="H16207" s="4"/>
      <c r="I16207" s="4"/>
    </row>
    <row r="16208">
      <c r="A16208" s="4" t="str">
        <f>IFERROR(__xludf.DUMMYFUNCTION("""COMPUTED_VALUE"""),"cas_hmw")</f>
        <v>cas_hmw</v>
      </c>
      <c r="B16208" s="5">
        <f>IFERROR(__xludf.DUMMYFUNCTION("""COMPUTED_VALUE"""),44733.0)</f>
        <v>44733</v>
      </c>
      <c r="C16208" s="6">
        <f>IFERROR(__xludf.DUMMYFUNCTION("""COMPUTED_VALUE"""),0.7037384259274404)</f>
        <v>0.7037384259</v>
      </c>
      <c r="D16208" s="4">
        <f>IFERROR(__xludf.DUMMYFUNCTION("""COMPUTED_VALUE"""),12.95192)</f>
        <v>12.95192</v>
      </c>
      <c r="E16208" s="4">
        <f>IFERROR(__xludf.DUMMYFUNCTION("""COMPUTED_VALUE"""),80.140588)</f>
        <v>80.140588</v>
      </c>
      <c r="F16208" s="4">
        <f>IFERROR(__xludf.DUMMYFUNCTION("""COMPUTED_VALUE"""),5339.0)</f>
        <v>5339</v>
      </c>
      <c r="G16208" s="4">
        <f>IFERROR(__xludf.DUMMYFUNCTION("""COMPUTED_VALUE"""),33.0)</f>
        <v>33</v>
      </c>
      <c r="H16208" s="4"/>
      <c r="I16208" s="4"/>
    </row>
    <row r="16209">
      <c r="A16209" s="4" t="str">
        <f>IFERROR(__xludf.DUMMYFUNCTION("""COMPUTED_VALUE"""),"cas_hmw")</f>
        <v>cas_hmw</v>
      </c>
      <c r="B16209" s="5">
        <f>IFERROR(__xludf.DUMMYFUNCTION("""COMPUTED_VALUE"""),44733.0)</f>
        <v>44733</v>
      </c>
      <c r="C16209" s="6">
        <f>IFERROR(__xludf.DUMMYFUNCTION("""COMPUTED_VALUE"""),0.7042939814818965)</f>
        <v>0.7042939815</v>
      </c>
      <c r="D16209" s="4">
        <f>IFERROR(__xludf.DUMMYFUNCTION("""COMPUTED_VALUE"""),12.778369)</f>
        <v>12.778369</v>
      </c>
      <c r="E16209" s="4">
        <f>IFERROR(__xludf.DUMMYFUNCTION("""COMPUTED_VALUE"""),80.011074)</f>
        <v>80.011074</v>
      </c>
      <c r="F16209" s="4">
        <f>IFERROR(__xludf.DUMMYFUNCTION("""COMPUTED_VALUE"""),2846.0)</f>
        <v>2846</v>
      </c>
      <c r="G16209" s="4">
        <f>IFERROR(__xludf.DUMMYFUNCTION("""COMPUTED_VALUE"""),55.0)</f>
        <v>55</v>
      </c>
      <c r="H16209" s="4"/>
      <c r="I16209" s="4"/>
    </row>
    <row r="16210">
      <c r="A16210" s="4" t="str">
        <f>IFERROR(__xludf.DUMMYFUNCTION("""COMPUTED_VALUE"""),"cas_hmw")</f>
        <v>cas_hmw</v>
      </c>
      <c r="B16210" s="5">
        <f>IFERROR(__xludf.DUMMYFUNCTION("""COMPUTED_VALUE"""),44733.0)</f>
        <v>44733</v>
      </c>
      <c r="C16210" s="6">
        <f>IFERROR(__xludf.DUMMYFUNCTION("""COMPUTED_VALUE"""),0.7053009259252576)</f>
        <v>0.7053009259</v>
      </c>
      <c r="D16210" s="4">
        <f>IFERROR(__xludf.DUMMYFUNCTION("""COMPUTED_VALUE"""),12.770427)</f>
        <v>12.770427</v>
      </c>
      <c r="E16210" s="4">
        <f>IFERROR(__xludf.DUMMYFUNCTION("""COMPUTED_VALUE"""),80.007531)</f>
        <v>80.007531</v>
      </c>
      <c r="F16210" s="4">
        <f>IFERROR(__xludf.DUMMYFUNCTION("""COMPUTED_VALUE"""),2846.0)</f>
        <v>2846</v>
      </c>
      <c r="G16210" s="4">
        <f>IFERROR(__xludf.DUMMYFUNCTION("""COMPUTED_VALUE"""),19.0)</f>
        <v>19</v>
      </c>
      <c r="H16210" s="4"/>
      <c r="I16210" s="4"/>
    </row>
    <row r="16211">
      <c r="A16211" s="4" t="str">
        <f>IFERROR(__xludf.DUMMYFUNCTION("""COMPUTED_VALUE"""),"cas_hmw")</f>
        <v>cas_hmw</v>
      </c>
      <c r="B16211" s="5">
        <f>IFERROR(__xludf.DUMMYFUNCTION("""COMPUTED_VALUE"""),44733.0)</f>
        <v>44733</v>
      </c>
      <c r="C16211" s="6">
        <f>IFERROR(__xludf.DUMMYFUNCTION("""COMPUTED_VALUE"""),0.7054513888906513)</f>
        <v>0.7054513889</v>
      </c>
      <c r="D16211" s="4">
        <f>IFERROR(__xludf.DUMMYFUNCTION("""COMPUTED_VALUE"""),12.769328)</f>
        <v>12.769328</v>
      </c>
      <c r="E16211" s="4">
        <f>IFERROR(__xludf.DUMMYFUNCTION("""COMPUTED_VALUE"""),80.006968)</f>
        <v>80.006968</v>
      </c>
      <c r="F16211" s="4">
        <f>IFERROR(__xludf.DUMMYFUNCTION("""COMPUTED_VALUE"""),2846.0)</f>
        <v>2846</v>
      </c>
      <c r="G16211" s="4">
        <f>IFERROR(__xludf.DUMMYFUNCTION("""COMPUTED_VALUE"""),38.0)</f>
        <v>38</v>
      </c>
      <c r="H16211" s="4"/>
      <c r="I16211" s="4"/>
    </row>
    <row r="16212">
      <c r="A16212" s="4" t="str">
        <f>IFERROR(__xludf.DUMMYFUNCTION("""COMPUTED_VALUE"""),"cas_hmw")</f>
        <v>cas_hmw</v>
      </c>
      <c r="B16212" s="5">
        <f>IFERROR(__xludf.DUMMYFUNCTION("""COMPUTED_VALUE"""),44733.0)</f>
        <v>44733</v>
      </c>
      <c r="C16212" s="6">
        <f>IFERROR(__xludf.DUMMYFUNCTION("""COMPUTED_VALUE"""),0.7055787037024857)</f>
        <v>0.7055787037</v>
      </c>
      <c r="D16212" s="4">
        <f>IFERROR(__xludf.DUMMYFUNCTION("""COMPUTED_VALUE"""),12.767924)</f>
        <v>12.767924</v>
      </c>
      <c r="E16212" s="4">
        <f>IFERROR(__xludf.DUMMYFUNCTION("""COMPUTED_VALUE"""),80.006265)</f>
        <v>80.006265</v>
      </c>
      <c r="F16212" s="4">
        <f>IFERROR(__xludf.DUMMYFUNCTION("""COMPUTED_VALUE"""),2846.0)</f>
        <v>2846</v>
      </c>
      <c r="G16212" s="4">
        <f>IFERROR(__xludf.DUMMYFUNCTION("""COMPUTED_VALUE"""),45.0)</f>
        <v>45</v>
      </c>
      <c r="H16212" s="4"/>
      <c r="I16212" s="4"/>
    </row>
    <row r="16213">
      <c r="A16213" s="4" t="str">
        <f>IFERROR(__xludf.DUMMYFUNCTION("""COMPUTED_VALUE"""),"cas_hmw")</f>
        <v>cas_hmw</v>
      </c>
      <c r="B16213" s="5">
        <f>IFERROR(__xludf.DUMMYFUNCTION("""COMPUTED_VALUE"""),44733.0)</f>
        <v>44733</v>
      </c>
      <c r="C16213" s="6">
        <f>IFERROR(__xludf.DUMMYFUNCTION("""COMPUTED_VALUE"""),0.7057291666678793)</f>
        <v>0.7057291667</v>
      </c>
      <c r="D16213" s="4">
        <f>IFERROR(__xludf.DUMMYFUNCTION("""COMPUTED_VALUE"""),12.766603)</f>
        <v>12.766603</v>
      </c>
      <c r="E16213" s="4">
        <f>IFERROR(__xludf.DUMMYFUNCTION("""COMPUTED_VALUE"""),80.005645)</f>
        <v>80.005645</v>
      </c>
      <c r="F16213" s="4">
        <f>IFERROR(__xludf.DUMMYFUNCTION("""COMPUTED_VALUE"""),2846.0)</f>
        <v>2846</v>
      </c>
      <c r="G16213" s="4">
        <f>IFERROR(__xludf.DUMMYFUNCTION("""COMPUTED_VALUE"""),31.0)</f>
        <v>31</v>
      </c>
      <c r="H16213" s="4"/>
      <c r="I16213" s="4"/>
    </row>
    <row r="16214">
      <c r="A16214" s="4" t="str">
        <f>IFERROR(__xludf.DUMMYFUNCTION("""COMPUTED_VALUE"""),"cas_hmw")</f>
        <v>cas_hmw</v>
      </c>
      <c r="B16214" s="5">
        <f>IFERROR(__xludf.DUMMYFUNCTION("""COMPUTED_VALUE"""),44733.0)</f>
        <v>44733</v>
      </c>
      <c r="C16214" s="6">
        <f>IFERROR(__xludf.DUMMYFUNCTION("""COMPUTED_VALUE"""),0.7072337962963502)</f>
        <v>0.7072337963</v>
      </c>
      <c r="D16214" s="4">
        <f>IFERROR(__xludf.DUMMYFUNCTION("""COMPUTED_VALUE"""),12.965939)</f>
        <v>12.965939</v>
      </c>
      <c r="E16214" s="4">
        <f>IFERROR(__xludf.DUMMYFUNCTION("""COMPUTED_VALUE"""),80.148399)</f>
        <v>80.148399</v>
      </c>
      <c r="F16214" s="4">
        <f>IFERROR(__xludf.DUMMYFUNCTION("""COMPUTED_VALUE"""),5339.0)</f>
        <v>5339</v>
      </c>
      <c r="G16214" s="4">
        <f>IFERROR(__xludf.DUMMYFUNCTION("""COMPUTED_VALUE"""),35.0)</f>
        <v>35</v>
      </c>
      <c r="H16214" s="4"/>
      <c r="I16214" s="4"/>
    </row>
    <row r="16215">
      <c r="A16215" s="4" t="str">
        <f>IFERROR(__xludf.DUMMYFUNCTION("""COMPUTED_VALUE"""),"cas_hmw")</f>
        <v>cas_hmw</v>
      </c>
      <c r="B16215" s="5">
        <f>IFERROR(__xludf.DUMMYFUNCTION("""COMPUTED_VALUE"""),44733.0)</f>
        <v>44733</v>
      </c>
      <c r="C16215" s="6">
        <f>IFERROR(__xludf.DUMMYFUNCTION("""COMPUTED_VALUE"""),0.7075000000004366)</f>
        <v>0.7075</v>
      </c>
      <c r="D16215" s="4">
        <f>IFERROR(__xludf.DUMMYFUNCTION("""COMPUTED_VALUE"""),12.967675)</f>
        <v>12.967675</v>
      </c>
      <c r="E16215" s="4">
        <f>IFERROR(__xludf.DUMMYFUNCTION("""COMPUTED_VALUE"""),80.149259)</f>
        <v>80.149259</v>
      </c>
      <c r="F16215" s="4">
        <f>IFERROR(__xludf.DUMMYFUNCTION("""COMPUTED_VALUE"""),5339.0)</f>
        <v>5339</v>
      </c>
      <c r="G16215" s="4">
        <f>IFERROR(__xludf.DUMMYFUNCTION("""COMPUTED_VALUE"""),41.0)</f>
        <v>41</v>
      </c>
      <c r="H16215" s="4"/>
      <c r="I16215" s="4"/>
    </row>
    <row r="16216">
      <c r="A16216" s="4" t="str">
        <f>IFERROR(__xludf.DUMMYFUNCTION("""COMPUTED_VALUE"""),"cas_hmw")</f>
        <v>cas_hmw</v>
      </c>
      <c r="B16216" s="5">
        <f>IFERROR(__xludf.DUMMYFUNCTION("""COMPUTED_VALUE"""),44733.0)</f>
        <v>44733</v>
      </c>
      <c r="C16216" s="6">
        <f>IFERROR(__xludf.DUMMYFUNCTION("""COMPUTED_VALUE"""),0.70863425925927)</f>
        <v>0.7086342593</v>
      </c>
      <c r="D16216" s="4">
        <f>IFERROR(__xludf.DUMMYFUNCTION("""COMPUTED_VALUE"""),12.975952)</f>
        <v>12.975952</v>
      </c>
      <c r="E16216" s="4">
        <f>IFERROR(__xludf.DUMMYFUNCTION("""COMPUTED_VALUE"""),80.156938)</f>
        <v>80.156938</v>
      </c>
      <c r="F16216" s="4">
        <f>IFERROR(__xludf.DUMMYFUNCTION("""COMPUTED_VALUE"""),5339.0)</f>
        <v>5339</v>
      </c>
      <c r="G16216" s="4">
        <f>IFERROR(__xludf.DUMMYFUNCTION("""COMPUTED_VALUE"""),38.0)</f>
        <v>38</v>
      </c>
      <c r="H16216" s="4"/>
      <c r="I16216" s="4"/>
    </row>
    <row r="16217">
      <c r="A16217" s="4" t="str">
        <f>IFERROR(__xludf.DUMMYFUNCTION("""COMPUTED_VALUE"""),"cas_hmw")</f>
        <v>cas_hmw</v>
      </c>
      <c r="B16217" s="5">
        <f>IFERROR(__xludf.DUMMYFUNCTION("""COMPUTED_VALUE"""),44733.0)</f>
        <v>44733</v>
      </c>
      <c r="C16217" s="6">
        <f>IFERROR(__xludf.DUMMYFUNCTION("""COMPUTED_VALUE"""),0.7093981481484661)</f>
        <v>0.7093981481</v>
      </c>
      <c r="D16217" s="4">
        <f>IFERROR(__xludf.DUMMYFUNCTION("""COMPUTED_VALUE"""),12.976736)</f>
        <v>12.976736</v>
      </c>
      <c r="E16217" s="4">
        <f>IFERROR(__xludf.DUMMYFUNCTION("""COMPUTED_VALUE"""),80.158108)</f>
        <v>80.158108</v>
      </c>
      <c r="F16217" s="4">
        <f>IFERROR(__xludf.DUMMYFUNCTION("""COMPUTED_VALUE"""),5339.0)</f>
        <v>5339</v>
      </c>
      <c r="G16217" s="4">
        <f>IFERROR(__xludf.DUMMYFUNCTION("""COMPUTED_VALUE"""),39.0)</f>
        <v>39</v>
      </c>
      <c r="H16217" s="4"/>
      <c r="I16217" s="4"/>
    </row>
    <row r="16218">
      <c r="A16218" s="4" t="str">
        <f>IFERROR(__xludf.DUMMYFUNCTION("""COMPUTED_VALUE"""),"cas_hmw")</f>
        <v>cas_hmw</v>
      </c>
      <c r="B16218" s="5">
        <f>IFERROR(__xludf.DUMMYFUNCTION("""COMPUTED_VALUE"""),44733.0)</f>
        <v>44733</v>
      </c>
      <c r="C16218" s="6">
        <f>IFERROR(__xludf.DUMMYFUNCTION("""COMPUTED_VALUE"""),0.7094097222216078)</f>
        <v>0.7094097222</v>
      </c>
      <c r="D16218" s="4">
        <f>IFERROR(__xludf.DUMMYFUNCTION("""COMPUTED_VALUE"""),12.97972)</f>
        <v>12.97972</v>
      </c>
      <c r="E16218" s="4">
        <f>IFERROR(__xludf.DUMMYFUNCTION("""COMPUTED_VALUE"""),80.162482)</f>
        <v>80.162482</v>
      </c>
      <c r="F16218" s="4">
        <f>IFERROR(__xludf.DUMMYFUNCTION("""COMPUTED_VALUE"""),5339.0)</f>
        <v>5339</v>
      </c>
      <c r="G16218" s="4">
        <f>IFERROR(__xludf.DUMMYFUNCTION("""COMPUTED_VALUE"""),40.0)</f>
        <v>40</v>
      </c>
      <c r="H16218" s="4"/>
      <c r="I16218" s="4"/>
    </row>
    <row r="16219">
      <c r="A16219" s="4" t="str">
        <f>IFERROR(__xludf.DUMMYFUNCTION("""COMPUTED_VALUE"""),"cas_hmw")</f>
        <v>cas_hmw</v>
      </c>
      <c r="B16219" s="5">
        <f>IFERROR(__xludf.DUMMYFUNCTION("""COMPUTED_VALUE"""),44733.0)</f>
        <v>44733</v>
      </c>
      <c r="C16219" s="6">
        <f>IFERROR(__xludf.DUMMYFUNCTION("""COMPUTED_VALUE"""),0.7094328703715291)</f>
        <v>0.7094328704</v>
      </c>
      <c r="D16219" s="4">
        <f>IFERROR(__xludf.DUMMYFUNCTION("""COMPUTED_VALUE"""),12.97972)</f>
        <v>12.97972</v>
      </c>
      <c r="E16219" s="4">
        <f>IFERROR(__xludf.DUMMYFUNCTION("""COMPUTED_VALUE"""),80.162482)</f>
        <v>80.162482</v>
      </c>
      <c r="F16219" s="4">
        <f>IFERROR(__xludf.DUMMYFUNCTION("""COMPUTED_VALUE"""),5339.0)</f>
        <v>5339</v>
      </c>
      <c r="G16219" s="4">
        <f>IFERROR(__xludf.DUMMYFUNCTION("""COMPUTED_VALUE"""),40.0)</f>
        <v>40</v>
      </c>
      <c r="H16219" s="4"/>
      <c r="I16219" s="4"/>
    </row>
    <row r="16220">
      <c r="A16220" s="4" t="str">
        <f>IFERROR(__xludf.DUMMYFUNCTION("""COMPUTED_VALUE"""),"cas_hmw")</f>
        <v>cas_hmw</v>
      </c>
      <c r="B16220" s="5">
        <f>IFERROR(__xludf.DUMMYFUNCTION("""COMPUTED_VALUE"""),44733.0)</f>
        <v>44733</v>
      </c>
      <c r="C16220" s="6">
        <f>IFERROR(__xludf.DUMMYFUNCTION("""COMPUTED_VALUE"""),0.7097800925912452)</f>
        <v>0.7097800926</v>
      </c>
      <c r="D16220" s="4">
        <f>IFERROR(__xludf.DUMMYFUNCTION("""COMPUTED_VALUE"""),12.9812)</f>
        <v>12.9812</v>
      </c>
      <c r="E16220" s="4">
        <f>IFERROR(__xludf.DUMMYFUNCTION("""COMPUTED_VALUE"""),80.166152)</f>
        <v>80.166152</v>
      </c>
      <c r="F16220" s="4">
        <f>IFERROR(__xludf.DUMMYFUNCTION("""COMPUTED_VALUE"""),5339.0)</f>
        <v>5339</v>
      </c>
      <c r="G16220" s="4">
        <f>IFERROR(__xludf.DUMMYFUNCTION("""COMPUTED_VALUE"""),56.0)</f>
        <v>56</v>
      </c>
      <c r="H16220" s="4"/>
      <c r="I16220" s="4"/>
    </row>
    <row r="16221">
      <c r="A16221" s="4" t="str">
        <f>IFERROR(__xludf.DUMMYFUNCTION("""COMPUTED_VALUE"""),"cas_hmw")</f>
        <v>cas_hmw</v>
      </c>
      <c r="B16221" s="5">
        <f>IFERROR(__xludf.DUMMYFUNCTION("""COMPUTED_VALUE"""),44733.0)</f>
        <v>44733</v>
      </c>
      <c r="C16221" s="6">
        <f>IFERROR(__xludf.DUMMYFUNCTION("""COMPUTED_VALUE"""),0.7103240740725596)</f>
        <v>0.7103240741</v>
      </c>
      <c r="D16221" s="4">
        <f>IFERROR(__xludf.DUMMYFUNCTION("""COMPUTED_VALUE"""),12.984107)</f>
        <v>12.984107</v>
      </c>
      <c r="E16221" s="4">
        <f>IFERROR(__xludf.DUMMYFUNCTION("""COMPUTED_VALUE"""),80.171141)</f>
        <v>80.171141</v>
      </c>
      <c r="F16221" s="4">
        <f>IFERROR(__xludf.DUMMYFUNCTION("""COMPUTED_VALUE"""),5339.0)</f>
        <v>5339</v>
      </c>
      <c r="G16221" s="4">
        <f>IFERROR(__xludf.DUMMYFUNCTION("""COMPUTED_VALUE"""),59.0)</f>
        <v>59</v>
      </c>
      <c r="H16221" s="4"/>
      <c r="I16221" s="4"/>
    </row>
    <row r="16222">
      <c r="A16222" s="4" t="str">
        <f>IFERROR(__xludf.DUMMYFUNCTION("""COMPUTED_VALUE"""),"cas_hmw")</f>
        <v>cas_hmw</v>
      </c>
      <c r="B16222" s="5">
        <f>IFERROR(__xludf.DUMMYFUNCTION("""COMPUTED_VALUE"""),44733.0)</f>
        <v>44733</v>
      </c>
      <c r="C16222" s="6">
        <f>IFERROR(__xludf.DUMMYFUNCTION("""COMPUTED_VALUE"""),0.7104398148148903)</f>
        <v>0.7104398148</v>
      </c>
      <c r="D16222" s="4">
        <f>IFERROR(__xludf.DUMMYFUNCTION("""COMPUTED_VALUE"""),12.985236)</f>
        <v>12.985236</v>
      </c>
      <c r="E16222" s="4">
        <f>IFERROR(__xludf.DUMMYFUNCTION("""COMPUTED_VALUE"""),80.172907)</f>
        <v>80.172907</v>
      </c>
      <c r="F16222" s="4">
        <f>IFERROR(__xludf.DUMMYFUNCTION("""COMPUTED_VALUE"""),5339.0)</f>
        <v>5339</v>
      </c>
      <c r="G16222" s="4">
        <f>IFERROR(__xludf.DUMMYFUNCTION("""COMPUTED_VALUE"""),45.0)</f>
        <v>45</v>
      </c>
      <c r="H16222" s="4"/>
      <c r="I16222" s="4"/>
    </row>
    <row r="16223">
      <c r="A16223" s="4" t="str">
        <f>IFERROR(__xludf.DUMMYFUNCTION("""COMPUTED_VALUE"""),"cas_hmw")</f>
        <v>cas_hmw</v>
      </c>
      <c r="B16223" s="5">
        <f>IFERROR(__xludf.DUMMYFUNCTION("""COMPUTED_VALUE"""),44733.0)</f>
        <v>44733</v>
      </c>
      <c r="C16223" s="6">
        <f>IFERROR(__xludf.DUMMYFUNCTION("""COMPUTED_VALUE"""),0.7112037037040864)</f>
        <v>0.7112037037</v>
      </c>
      <c r="D16223" s="4">
        <f>IFERROR(__xludf.DUMMYFUNCTION("""COMPUTED_VALUE"""),12.986568)</f>
        <v>12.986568</v>
      </c>
      <c r="E16223" s="4">
        <f>IFERROR(__xludf.DUMMYFUNCTION("""COMPUTED_VALUE"""),80.174902)</f>
        <v>80.174902</v>
      </c>
      <c r="F16223" s="4">
        <f>IFERROR(__xludf.DUMMYFUNCTION("""COMPUTED_VALUE"""),5339.0)</f>
        <v>5339</v>
      </c>
      <c r="G16223" s="4">
        <f>IFERROR(__xludf.DUMMYFUNCTION("""COMPUTED_VALUE"""),20.0)</f>
        <v>20</v>
      </c>
      <c r="H16223" s="4"/>
      <c r="I16223" s="4"/>
    </row>
    <row r="16224">
      <c r="A16224" s="4" t="str">
        <f>IFERROR(__xludf.DUMMYFUNCTION("""COMPUTED_VALUE"""),"cas_hmw")</f>
        <v>cas_hmw</v>
      </c>
      <c r="B16224" s="5">
        <f>IFERROR(__xludf.DUMMYFUNCTION("""COMPUTED_VALUE"""),44733.0)</f>
        <v>44733</v>
      </c>
      <c r="C16224" s="6">
        <f>IFERROR(__xludf.DUMMYFUNCTION("""COMPUTED_VALUE"""),0.7112731481465744)</f>
        <v>0.7112731481</v>
      </c>
      <c r="D16224" s="4">
        <f>IFERROR(__xludf.DUMMYFUNCTION("""COMPUTED_VALUE"""),12.986568)</f>
        <v>12.986568</v>
      </c>
      <c r="E16224" s="4">
        <f>IFERROR(__xludf.DUMMYFUNCTION("""COMPUTED_VALUE"""),80.174902)</f>
        <v>80.174902</v>
      </c>
      <c r="F16224" s="4">
        <f>IFERROR(__xludf.DUMMYFUNCTION("""COMPUTED_VALUE"""),5339.0)</f>
        <v>5339</v>
      </c>
      <c r="G16224" s="4">
        <f>IFERROR(__xludf.DUMMYFUNCTION("""COMPUTED_VALUE"""),20.0)</f>
        <v>20</v>
      </c>
      <c r="H16224" s="4"/>
      <c r="I16224" s="4"/>
    </row>
    <row r="16225">
      <c r="A16225" s="4" t="str">
        <f>IFERROR(__xludf.DUMMYFUNCTION("""COMPUTED_VALUE"""),"cas_hmw")</f>
        <v>cas_hmw</v>
      </c>
      <c r="B16225" s="5">
        <f>IFERROR(__xludf.DUMMYFUNCTION("""COMPUTED_VALUE"""),44733.0)</f>
        <v>44733</v>
      </c>
      <c r="C16225" s="6">
        <f>IFERROR(__xludf.DUMMYFUNCTION("""COMPUTED_VALUE"""),0.7115046296312357)</f>
        <v>0.7115046296</v>
      </c>
      <c r="D16225" s="4">
        <f>IFERROR(__xludf.DUMMYFUNCTION("""COMPUTED_VALUE"""),12.98798)</f>
        <v>12.98798</v>
      </c>
      <c r="E16225" s="4">
        <f>IFERROR(__xludf.DUMMYFUNCTION("""COMPUTED_VALUE"""),80.176832)</f>
        <v>80.176832</v>
      </c>
      <c r="F16225" s="4">
        <f>IFERROR(__xludf.DUMMYFUNCTION("""COMPUTED_VALUE"""),5339.0)</f>
        <v>5339</v>
      </c>
      <c r="G16225" s="4">
        <f>IFERROR(__xludf.DUMMYFUNCTION("""COMPUTED_VALUE"""),39.0)</f>
        <v>39</v>
      </c>
      <c r="H16225" s="4"/>
      <c r="I16225" s="4"/>
    </row>
    <row r="16226">
      <c r="A16226" s="4" t="str">
        <f>IFERROR(__xludf.DUMMYFUNCTION("""COMPUTED_VALUE"""),"cas_hmw")</f>
        <v>cas_hmw</v>
      </c>
      <c r="B16226" s="5">
        <f>IFERROR(__xludf.DUMMYFUNCTION("""COMPUTED_VALUE"""),44733.0)</f>
        <v>44733</v>
      </c>
      <c r="C16226" s="6">
        <f>IFERROR(__xludf.DUMMYFUNCTION("""COMPUTED_VALUE"""),0.7123726851859828)</f>
        <v>0.7123726852</v>
      </c>
      <c r="D16226" s="4">
        <f>IFERROR(__xludf.DUMMYFUNCTION("""COMPUTED_VALUE"""),12.989443)</f>
        <v>12.989443</v>
      </c>
      <c r="E16226" s="4">
        <f>IFERROR(__xludf.DUMMYFUNCTION("""COMPUTED_VALUE"""),80.17868)</f>
        <v>80.17868</v>
      </c>
      <c r="F16226" s="4">
        <f>IFERROR(__xludf.DUMMYFUNCTION("""COMPUTED_VALUE"""),5339.0)</f>
        <v>5339</v>
      </c>
      <c r="G16226" s="4">
        <f>IFERROR(__xludf.DUMMYFUNCTION("""COMPUTED_VALUE"""),25.0)</f>
        <v>25</v>
      </c>
      <c r="H16226" s="4"/>
      <c r="I16226" s="4"/>
    </row>
    <row r="16227">
      <c r="A16227" s="4" t="str">
        <f>IFERROR(__xludf.DUMMYFUNCTION("""COMPUTED_VALUE"""),"cas_hmw")</f>
        <v>cas_hmw</v>
      </c>
      <c r="B16227" s="5">
        <f>IFERROR(__xludf.DUMMYFUNCTION("""COMPUTED_VALUE"""),44733.0)</f>
        <v>44733</v>
      </c>
      <c r="C16227" s="6">
        <f>IFERROR(__xludf.DUMMYFUNCTION("""COMPUTED_VALUE"""),0.7126620370363526)</f>
        <v>0.712662037</v>
      </c>
      <c r="D16227" s="4">
        <f>IFERROR(__xludf.DUMMYFUNCTION("""COMPUTED_VALUE"""),12.72413)</f>
        <v>12.72413</v>
      </c>
      <c r="E16227" s="4">
        <f>IFERROR(__xludf.DUMMYFUNCTION("""COMPUTED_VALUE"""),79.982116)</f>
        <v>79.982116</v>
      </c>
      <c r="F16227" s="4">
        <f>IFERROR(__xludf.DUMMYFUNCTION("""COMPUTED_VALUE"""),2846.0)</f>
        <v>2846</v>
      </c>
      <c r="G16227" s="4">
        <f>IFERROR(__xludf.DUMMYFUNCTION("""COMPUTED_VALUE"""),1.0)</f>
        <v>1</v>
      </c>
      <c r="H16227" s="4"/>
      <c r="I16227" s="4"/>
    </row>
    <row r="16228">
      <c r="A16228" s="4" t="str">
        <f>IFERROR(__xludf.DUMMYFUNCTION("""COMPUTED_VALUE"""),"cas_hmw")</f>
        <v>cas_hmw</v>
      </c>
      <c r="B16228" s="5">
        <f>IFERROR(__xludf.DUMMYFUNCTION("""COMPUTED_VALUE"""),44733.0)</f>
        <v>44733</v>
      </c>
      <c r="C16228" s="6">
        <f>IFERROR(__xludf.DUMMYFUNCTION("""COMPUTED_VALUE"""),0.7134722222217533)</f>
        <v>0.7134722222</v>
      </c>
      <c r="D16228" s="4">
        <f>IFERROR(__xludf.DUMMYFUNCTION("""COMPUTED_VALUE"""),12.718134)</f>
        <v>12.718134</v>
      </c>
      <c r="E16228" s="4">
        <f>IFERROR(__xludf.DUMMYFUNCTION("""COMPUTED_VALUE"""),79.981007)</f>
        <v>79.981007</v>
      </c>
      <c r="F16228" s="4">
        <f>IFERROR(__xludf.DUMMYFUNCTION("""COMPUTED_VALUE"""),2846.0)</f>
        <v>2846</v>
      </c>
      <c r="G16228" s="4">
        <f>IFERROR(__xludf.DUMMYFUNCTION("""COMPUTED_VALUE"""),53.0)</f>
        <v>53</v>
      </c>
      <c r="H16228" s="4"/>
      <c r="I16228" s="4"/>
    </row>
    <row r="16229">
      <c r="A16229" s="4" t="str">
        <f>IFERROR(__xludf.DUMMYFUNCTION("""COMPUTED_VALUE"""),"cas_hmw")</f>
        <v>cas_hmw</v>
      </c>
      <c r="B16229" s="5">
        <f>IFERROR(__xludf.DUMMYFUNCTION("""COMPUTED_VALUE"""),44733.0)</f>
        <v>44733</v>
      </c>
      <c r="C16229" s="6">
        <f>IFERROR(__xludf.DUMMYFUNCTION("""COMPUTED_VALUE"""),0.7136805555564933)</f>
        <v>0.7136805556</v>
      </c>
      <c r="D16229" s="4">
        <f>IFERROR(__xludf.DUMMYFUNCTION("""COMPUTED_VALUE"""),12.993573)</f>
        <v>12.993573</v>
      </c>
      <c r="E16229" s="4">
        <f>IFERROR(__xludf.DUMMYFUNCTION("""COMPUTED_VALUE"""),80.184656)</f>
        <v>80.184656</v>
      </c>
      <c r="F16229" s="4">
        <f>IFERROR(__xludf.DUMMYFUNCTION("""COMPUTED_VALUE"""),5339.0)</f>
        <v>5339</v>
      </c>
      <c r="G16229" s="4">
        <f>IFERROR(__xludf.DUMMYFUNCTION("""COMPUTED_VALUE"""),13.0)</f>
        <v>13</v>
      </c>
      <c r="H16229" s="4"/>
      <c r="I16229" s="4"/>
    </row>
    <row r="16230">
      <c r="A16230" s="4" t="str">
        <f>IFERROR(__xludf.DUMMYFUNCTION("""COMPUTED_VALUE"""),"cas_hmw")</f>
        <v>cas_hmw</v>
      </c>
      <c r="B16230" s="5">
        <f>IFERROR(__xludf.DUMMYFUNCTION("""COMPUTED_VALUE"""),44733.0)</f>
        <v>44733</v>
      </c>
      <c r="C16230" s="6">
        <f>IFERROR(__xludf.DUMMYFUNCTION("""COMPUTED_VALUE"""),0.7143171296302171)</f>
        <v>0.7143171296</v>
      </c>
      <c r="D16230" s="4">
        <f>IFERROR(__xludf.DUMMYFUNCTION("""COMPUTED_VALUE"""),12.995463)</f>
        <v>12.995463</v>
      </c>
      <c r="E16230" s="4">
        <f>IFERROR(__xludf.DUMMYFUNCTION("""COMPUTED_VALUE"""),80.188317)</f>
        <v>80.188317</v>
      </c>
      <c r="F16230" s="4">
        <f>IFERROR(__xludf.DUMMYFUNCTION("""COMPUTED_VALUE"""),5339.0)</f>
        <v>5339</v>
      </c>
      <c r="G16230" s="4">
        <f>IFERROR(__xludf.DUMMYFUNCTION("""COMPUTED_VALUE"""),31.0)</f>
        <v>31</v>
      </c>
      <c r="H16230" s="4"/>
      <c r="I16230" s="4"/>
    </row>
    <row r="16231">
      <c r="A16231" s="4" t="str">
        <f>IFERROR(__xludf.DUMMYFUNCTION("""COMPUTED_VALUE"""),"cas_hmw")</f>
        <v>cas_hmw</v>
      </c>
      <c r="B16231" s="5">
        <f>IFERROR(__xludf.DUMMYFUNCTION("""COMPUTED_VALUE"""),44733.0)</f>
        <v>44733</v>
      </c>
      <c r="C16231" s="6">
        <f>IFERROR(__xludf.DUMMYFUNCTION("""COMPUTED_VALUE"""),0.7144907407418941)</f>
        <v>0.7144907407</v>
      </c>
      <c r="D16231" s="4">
        <f>IFERROR(__xludf.DUMMYFUNCTION("""COMPUTED_VALUE"""),12.995914)</f>
        <v>12.995914</v>
      </c>
      <c r="E16231" s="4">
        <f>IFERROR(__xludf.DUMMYFUNCTION("""COMPUTED_VALUE"""),80.189082)</f>
        <v>80.189082</v>
      </c>
      <c r="F16231" s="4">
        <f>IFERROR(__xludf.DUMMYFUNCTION("""COMPUTED_VALUE"""),5339.0)</f>
        <v>5339</v>
      </c>
      <c r="G16231" s="4">
        <f>IFERROR(__xludf.DUMMYFUNCTION("""COMPUTED_VALUE"""),23.0)</f>
        <v>23</v>
      </c>
      <c r="H16231" s="4"/>
      <c r="I16231" s="4"/>
    </row>
    <row r="16232">
      <c r="A16232" s="4" t="str">
        <f>IFERROR(__xludf.DUMMYFUNCTION("""COMPUTED_VALUE"""),"cas_hmw")</f>
        <v>cas_hmw</v>
      </c>
      <c r="B16232" s="5">
        <f>IFERROR(__xludf.DUMMYFUNCTION("""COMPUTED_VALUE"""),44733.0)</f>
        <v>44733</v>
      </c>
      <c r="C16232" s="6">
        <f>IFERROR(__xludf.DUMMYFUNCTION("""COMPUTED_VALUE"""),0.7150694444426335)</f>
        <v>0.7150694444</v>
      </c>
      <c r="D16232" s="4">
        <f>IFERROR(__xludf.DUMMYFUNCTION("""COMPUTED_VALUE"""),12.99825)</f>
        <v>12.99825</v>
      </c>
      <c r="E16232" s="4">
        <f>IFERROR(__xludf.DUMMYFUNCTION("""COMPUTED_VALUE"""),80.191898)</f>
        <v>80.191898</v>
      </c>
      <c r="F16232" s="4">
        <f>IFERROR(__xludf.DUMMYFUNCTION("""COMPUTED_VALUE"""),5339.0)</f>
        <v>5339</v>
      </c>
      <c r="G16232" s="4">
        <f>IFERROR(__xludf.DUMMYFUNCTION("""COMPUTED_VALUE"""),0.0)</f>
        <v>0</v>
      </c>
      <c r="H16232" s="4"/>
      <c r="I16232" s="4"/>
    </row>
    <row r="16233">
      <c r="A16233" s="4" t="str">
        <f>IFERROR(__xludf.DUMMYFUNCTION("""COMPUTED_VALUE"""),"cas_hmw")</f>
        <v>cas_hmw</v>
      </c>
      <c r="B16233" s="5">
        <f>IFERROR(__xludf.DUMMYFUNCTION("""COMPUTED_VALUE"""),44733.0)</f>
        <v>44733</v>
      </c>
      <c r="C16233" s="6">
        <f>IFERROR(__xludf.DUMMYFUNCTION("""COMPUTED_VALUE"""),0.7152199074080272)</f>
        <v>0.7152199074</v>
      </c>
      <c r="D16233" s="4">
        <f>IFERROR(__xludf.DUMMYFUNCTION("""COMPUTED_VALUE"""),12.998356)</f>
        <v>12.998356</v>
      </c>
      <c r="E16233" s="4">
        <f>IFERROR(__xludf.DUMMYFUNCTION("""COMPUTED_VALUE"""),80.192035)</f>
        <v>80.192035</v>
      </c>
      <c r="F16233" s="4">
        <f>IFERROR(__xludf.DUMMYFUNCTION("""COMPUTED_VALUE"""),5339.0)</f>
        <v>5339</v>
      </c>
      <c r="G16233" s="4">
        <f>IFERROR(__xludf.DUMMYFUNCTION("""COMPUTED_VALUE"""),6.0)</f>
        <v>6</v>
      </c>
      <c r="H16233" s="4"/>
      <c r="I16233" s="4"/>
    </row>
    <row r="16234">
      <c r="A16234" s="4" t="str">
        <f>IFERROR(__xludf.DUMMYFUNCTION("""COMPUTED_VALUE"""),"cas_hmw")</f>
        <v>cas_hmw</v>
      </c>
      <c r="B16234" s="5">
        <f>IFERROR(__xludf.DUMMYFUNCTION("""COMPUTED_VALUE"""),44733.0)</f>
        <v>44733</v>
      </c>
      <c r="C16234" s="6">
        <f>IFERROR(__xludf.DUMMYFUNCTION("""COMPUTED_VALUE"""),0.7152199074080272)</f>
        <v>0.7152199074</v>
      </c>
      <c r="D16234" s="4">
        <f>IFERROR(__xludf.DUMMYFUNCTION("""COMPUTED_VALUE"""),12.998356)</f>
        <v>12.998356</v>
      </c>
      <c r="E16234" s="4">
        <f>IFERROR(__xludf.DUMMYFUNCTION("""COMPUTED_VALUE"""),80.192035)</f>
        <v>80.192035</v>
      </c>
      <c r="F16234" s="4">
        <f>IFERROR(__xludf.DUMMYFUNCTION("""COMPUTED_VALUE"""),5339.0)</f>
        <v>5339</v>
      </c>
      <c r="G16234" s="4">
        <f>IFERROR(__xludf.DUMMYFUNCTION("""COMPUTED_VALUE"""),6.0)</f>
        <v>6</v>
      </c>
      <c r="H16234" s="4"/>
      <c r="I16234" s="4"/>
    </row>
    <row r="16235">
      <c r="A16235" s="4" t="str">
        <f>IFERROR(__xludf.DUMMYFUNCTION("""COMPUTED_VALUE"""),"cas_hmw")</f>
        <v>cas_hmw</v>
      </c>
      <c r="B16235" s="5">
        <f>IFERROR(__xludf.DUMMYFUNCTION("""COMPUTED_VALUE"""),44733.0)</f>
        <v>44733</v>
      </c>
      <c r="C16235" s="6">
        <f>IFERROR(__xludf.DUMMYFUNCTION("""COMPUTED_VALUE"""),0.7152199074080272)</f>
        <v>0.7152199074</v>
      </c>
      <c r="D16235" s="4">
        <f>IFERROR(__xludf.DUMMYFUNCTION("""COMPUTED_VALUE"""),12.998356)</f>
        <v>12.998356</v>
      </c>
      <c r="E16235" s="4">
        <f>IFERROR(__xludf.DUMMYFUNCTION("""COMPUTED_VALUE"""),80.192035)</f>
        <v>80.192035</v>
      </c>
      <c r="F16235" s="4">
        <f>IFERROR(__xludf.DUMMYFUNCTION("""COMPUTED_VALUE"""),5339.0)</f>
        <v>5339</v>
      </c>
      <c r="G16235" s="4">
        <f>IFERROR(__xludf.DUMMYFUNCTION("""COMPUTED_VALUE"""),6.0)</f>
        <v>6</v>
      </c>
      <c r="H16235" s="4"/>
      <c r="I16235" s="4"/>
    </row>
    <row r="16236">
      <c r="A16236" s="4" t="str">
        <f>IFERROR(__xludf.DUMMYFUNCTION("""COMPUTED_VALUE"""),"cas_hmw")</f>
        <v>cas_hmw</v>
      </c>
      <c r="B16236" s="5">
        <f>IFERROR(__xludf.DUMMYFUNCTION("""COMPUTED_VALUE"""),44733.0)</f>
        <v>44733</v>
      </c>
      <c r="C16236" s="6">
        <f>IFERROR(__xludf.DUMMYFUNCTION("""COMPUTED_VALUE"""),0.7164930555554747)</f>
        <v>0.7164930556</v>
      </c>
      <c r="D16236" s="4">
        <f>IFERROR(__xludf.DUMMYFUNCTION("""COMPUTED_VALUE"""),13.001812)</f>
        <v>13.001812</v>
      </c>
      <c r="E16236" s="4">
        <f>IFERROR(__xludf.DUMMYFUNCTION("""COMPUTED_VALUE"""),80.196371)</f>
        <v>80.196371</v>
      </c>
      <c r="F16236" s="4">
        <f>IFERROR(__xludf.DUMMYFUNCTION("""COMPUTED_VALUE"""),5339.0)</f>
        <v>5339</v>
      </c>
      <c r="G16236" s="4">
        <f>IFERROR(__xludf.DUMMYFUNCTION("""COMPUTED_VALUE"""),26.0)</f>
        <v>26</v>
      </c>
      <c r="H16236" s="4"/>
      <c r="I16236" s="4"/>
    </row>
    <row r="16237">
      <c r="A16237" s="4" t="str">
        <f>IFERROR(__xludf.DUMMYFUNCTION("""COMPUTED_VALUE"""),"cas_hmw")</f>
        <v>cas_hmw</v>
      </c>
      <c r="B16237" s="5">
        <f>IFERROR(__xludf.DUMMYFUNCTION("""COMPUTED_VALUE"""),44733.0)</f>
        <v>44733</v>
      </c>
      <c r="C16237" s="6">
        <f>IFERROR(__xludf.DUMMYFUNCTION("""COMPUTED_VALUE"""),0.7182986111110949)</f>
        <v>0.7182986111</v>
      </c>
      <c r="D16237" s="4">
        <f>IFERROR(__xludf.DUMMYFUNCTION("""COMPUTED_VALUE"""),13.007636)</f>
        <v>13.007636</v>
      </c>
      <c r="E16237" s="4">
        <f>IFERROR(__xludf.DUMMYFUNCTION("""COMPUTED_VALUE"""),80.205662)</f>
        <v>80.205662</v>
      </c>
      <c r="F16237" s="4">
        <f>IFERROR(__xludf.DUMMYFUNCTION("""COMPUTED_VALUE"""),5339.0)</f>
        <v>5339</v>
      </c>
      <c r="G16237" s="4">
        <f>IFERROR(__xludf.DUMMYFUNCTION("""COMPUTED_VALUE"""),52.0)</f>
        <v>52</v>
      </c>
      <c r="H16237" s="4"/>
      <c r="I16237" s="4"/>
    </row>
    <row r="16238">
      <c r="A16238" s="4" t="str">
        <f>IFERROR(__xludf.DUMMYFUNCTION("""COMPUTED_VALUE"""),"cas_hmw")</f>
        <v>cas_hmw</v>
      </c>
      <c r="B16238" s="5">
        <f>IFERROR(__xludf.DUMMYFUNCTION("""COMPUTED_VALUE"""),44733.0)</f>
        <v>44733</v>
      </c>
      <c r="C16238" s="6">
        <f>IFERROR(__xludf.DUMMYFUNCTION("""COMPUTED_VALUE"""),0.71895833333474)</f>
        <v>0.7189583333</v>
      </c>
      <c r="D16238" s="4">
        <f>IFERROR(__xludf.DUMMYFUNCTION("""COMPUTED_VALUE"""),13.008661)</f>
        <v>13.008661</v>
      </c>
      <c r="E16238" s="4">
        <f>IFERROR(__xludf.DUMMYFUNCTION("""COMPUTED_VALUE"""),80.21079)</f>
        <v>80.21079</v>
      </c>
      <c r="F16238" s="4">
        <f>IFERROR(__xludf.DUMMYFUNCTION("""COMPUTED_VALUE"""),5339.0)</f>
        <v>5339</v>
      </c>
      <c r="G16238" s="4">
        <f>IFERROR(__xludf.DUMMYFUNCTION("""COMPUTED_VALUE"""),40.0)</f>
        <v>40</v>
      </c>
      <c r="H16238" s="4"/>
      <c r="I16238" s="4"/>
    </row>
    <row r="16239">
      <c r="A16239" s="4" t="str">
        <f>IFERROR(__xludf.DUMMYFUNCTION("""COMPUTED_VALUE"""),"cas_hmw")</f>
        <v>cas_hmw</v>
      </c>
      <c r="B16239" s="5">
        <f>IFERROR(__xludf.DUMMYFUNCTION("""COMPUTED_VALUE"""),44733.0)</f>
        <v>44733</v>
      </c>
      <c r="C16239" s="6">
        <f>IFERROR(__xludf.DUMMYFUNCTION("""COMPUTED_VALUE"""),0.7189814814810234)</f>
        <v>0.7189814815</v>
      </c>
      <c r="D16239" s="4">
        <f>IFERROR(__xludf.DUMMYFUNCTION("""COMPUTED_VALUE"""),13.009247)</f>
        <v>13.009247</v>
      </c>
      <c r="E16239" s="4">
        <f>IFERROR(__xludf.DUMMYFUNCTION("""COMPUTED_VALUE"""),80.212364)</f>
        <v>80.212364</v>
      </c>
      <c r="F16239" s="4">
        <f>IFERROR(__xludf.DUMMYFUNCTION("""COMPUTED_VALUE"""),5339.0)</f>
        <v>5339</v>
      </c>
      <c r="G16239" s="4">
        <f>IFERROR(__xludf.DUMMYFUNCTION("""COMPUTED_VALUE"""),33.0)</f>
        <v>33</v>
      </c>
      <c r="H16239" s="4"/>
      <c r="I16239" s="4"/>
    </row>
    <row r="16240">
      <c r="A16240" s="4" t="str">
        <f>IFERROR(__xludf.DUMMYFUNCTION("""COMPUTED_VALUE"""),"cas_hmw")</f>
        <v>cas_hmw</v>
      </c>
      <c r="B16240" s="5">
        <f>IFERROR(__xludf.DUMMYFUNCTION("""COMPUTED_VALUE"""),44733.0)</f>
        <v>44733</v>
      </c>
      <c r="C16240" s="6">
        <f>IFERROR(__xludf.DUMMYFUNCTION("""COMPUTED_VALUE"""),0.7191666666658421)</f>
        <v>0.7191666667</v>
      </c>
      <c r="D16240" s="4">
        <f>IFERROR(__xludf.DUMMYFUNCTION("""COMPUTED_VALUE"""),13.009726)</f>
        <v>13.009726</v>
      </c>
      <c r="E16240" s="4">
        <f>IFERROR(__xludf.DUMMYFUNCTION("""COMPUTED_VALUE"""),80.21361)</f>
        <v>80.21361</v>
      </c>
      <c r="F16240" s="4">
        <f>IFERROR(__xludf.DUMMYFUNCTION("""COMPUTED_VALUE"""),5339.0)</f>
        <v>5339</v>
      </c>
      <c r="G16240" s="4">
        <f>IFERROR(__xludf.DUMMYFUNCTION("""COMPUTED_VALUE"""),32.0)</f>
        <v>32</v>
      </c>
      <c r="H16240" s="4"/>
      <c r="I16240" s="4"/>
    </row>
    <row r="16241">
      <c r="A16241" s="4" t="str">
        <f>IFERROR(__xludf.DUMMYFUNCTION("""COMPUTED_VALUE"""),"cas_hmw")</f>
        <v>cas_hmw</v>
      </c>
      <c r="B16241" s="5">
        <f>IFERROR(__xludf.DUMMYFUNCTION("""COMPUTED_VALUE"""),44733.0)</f>
        <v>44733</v>
      </c>
      <c r="C16241" s="6">
        <f>IFERROR(__xludf.DUMMYFUNCTION("""COMPUTED_VALUE"""),0.7192824074081727)</f>
        <v>0.7192824074</v>
      </c>
      <c r="D16241" s="4">
        <f>IFERROR(__xludf.DUMMYFUNCTION("""COMPUTED_VALUE"""),13.009726)</f>
        <v>13.009726</v>
      </c>
      <c r="E16241" s="4">
        <f>IFERROR(__xludf.DUMMYFUNCTION("""COMPUTED_VALUE"""),80.21361)</f>
        <v>80.21361</v>
      </c>
      <c r="F16241" s="4">
        <f>IFERROR(__xludf.DUMMYFUNCTION("""COMPUTED_VALUE"""),5339.0)</f>
        <v>5339</v>
      </c>
      <c r="G16241" s="4">
        <f>IFERROR(__xludf.DUMMYFUNCTION("""COMPUTED_VALUE"""),32.0)</f>
        <v>32</v>
      </c>
      <c r="H16241" s="4"/>
      <c r="I16241" s="4"/>
    </row>
    <row r="16242">
      <c r="A16242" s="4" t="str">
        <f>IFERROR(__xludf.DUMMYFUNCTION("""COMPUTED_VALUE"""),"cas_hmw")</f>
        <v>cas_hmw</v>
      </c>
      <c r="B16242" s="5">
        <f>IFERROR(__xludf.DUMMYFUNCTION("""COMPUTED_VALUE"""),44733.0)</f>
        <v>44733</v>
      </c>
      <c r="C16242" s="6">
        <f>IFERROR(__xludf.DUMMYFUNCTION("""COMPUTED_VALUE"""),0.7195254629623378)</f>
        <v>0.719525463</v>
      </c>
      <c r="D16242" s="4">
        <f>IFERROR(__xludf.DUMMYFUNCTION("""COMPUTED_VALUE"""),13.010181)</f>
        <v>13.010181</v>
      </c>
      <c r="E16242" s="4">
        <f>IFERROR(__xludf.DUMMYFUNCTION("""COMPUTED_VALUE"""),80.214812)</f>
        <v>80.214812</v>
      </c>
      <c r="F16242" s="4">
        <f>IFERROR(__xludf.DUMMYFUNCTION("""COMPUTED_VALUE"""),5339.0)</f>
        <v>5339</v>
      </c>
      <c r="G16242" s="4">
        <f>IFERROR(__xludf.DUMMYFUNCTION("""COMPUTED_VALUE"""),38.0)</f>
        <v>38</v>
      </c>
      <c r="H16242" s="4"/>
      <c r="I16242" s="4"/>
    </row>
    <row r="16243">
      <c r="A16243" s="4" t="str">
        <f>IFERROR(__xludf.DUMMYFUNCTION("""COMPUTED_VALUE"""),"cas_hmw")</f>
        <v>cas_hmw</v>
      </c>
      <c r="B16243" s="5">
        <f>IFERROR(__xludf.DUMMYFUNCTION("""COMPUTED_VALUE"""),44733.0)</f>
        <v>44733</v>
      </c>
      <c r="C16243" s="6">
        <f>IFERROR(__xludf.DUMMYFUNCTION("""COMPUTED_VALUE"""),0.7209722222214623)</f>
        <v>0.7209722222</v>
      </c>
      <c r="D16243" s="4">
        <f>IFERROR(__xludf.DUMMYFUNCTION("""COMPUTED_VALUE"""),13.014869)</f>
        <v>13.014869</v>
      </c>
      <c r="E16243" s="4">
        <f>IFERROR(__xludf.DUMMYFUNCTION("""COMPUTED_VALUE"""),80.224357)</f>
        <v>80.224357</v>
      </c>
      <c r="F16243" s="4">
        <f>IFERROR(__xludf.DUMMYFUNCTION("""COMPUTED_VALUE"""),5339.0)</f>
        <v>5339</v>
      </c>
      <c r="G16243" s="4">
        <f>IFERROR(__xludf.DUMMYFUNCTION("""COMPUTED_VALUE"""),9.0)</f>
        <v>9</v>
      </c>
      <c r="H16243" s="4"/>
      <c r="I16243" s="4"/>
    </row>
    <row r="16244">
      <c r="A16244" s="4" t="str">
        <f>IFERROR(__xludf.DUMMYFUNCTION("""COMPUTED_VALUE"""),"cas_hmw")</f>
        <v>cas_hmw</v>
      </c>
      <c r="B16244" s="5">
        <f>IFERROR(__xludf.DUMMYFUNCTION("""COMPUTED_VALUE"""),44733.0)</f>
        <v>44733</v>
      </c>
      <c r="C16244" s="6">
        <f>IFERROR(__xludf.DUMMYFUNCTION("""COMPUTED_VALUE"""),0.7211458333331393)</f>
        <v>0.7211458333</v>
      </c>
      <c r="D16244" s="4">
        <f>IFERROR(__xludf.DUMMYFUNCTION("""COMPUTED_VALUE"""),13.015487)</f>
        <v>13.015487</v>
      </c>
      <c r="E16244" s="4">
        <f>IFERROR(__xludf.DUMMYFUNCTION("""COMPUTED_VALUE"""),80.225085)</f>
        <v>80.225085</v>
      </c>
      <c r="F16244" s="4">
        <f>IFERROR(__xludf.DUMMYFUNCTION("""COMPUTED_VALUE"""),5339.0)</f>
        <v>5339</v>
      </c>
      <c r="G16244" s="4">
        <f>IFERROR(__xludf.DUMMYFUNCTION("""COMPUTED_VALUE"""),29.0)</f>
        <v>29</v>
      </c>
      <c r="H16244" s="4"/>
      <c r="I16244" s="4"/>
    </row>
    <row r="16245">
      <c r="A16245" s="4" t="str">
        <f>IFERROR(__xludf.DUMMYFUNCTION("""COMPUTED_VALUE"""),"cas_hmw")</f>
        <v>cas_hmw</v>
      </c>
      <c r="B16245" s="5">
        <f>IFERROR(__xludf.DUMMYFUNCTION("""COMPUTED_VALUE"""),44733.0)</f>
        <v>44733</v>
      </c>
      <c r="C16245" s="6">
        <f>IFERROR(__xludf.DUMMYFUNCTION("""COMPUTED_VALUE"""),0.721226851852407)</f>
        <v>0.7212268519</v>
      </c>
      <c r="D16245" s="4">
        <f>IFERROR(__xludf.DUMMYFUNCTION("""COMPUTED_VALUE"""),13.015487)</f>
        <v>13.015487</v>
      </c>
      <c r="E16245" s="4">
        <f>IFERROR(__xludf.DUMMYFUNCTION("""COMPUTED_VALUE"""),80.225085)</f>
        <v>80.225085</v>
      </c>
      <c r="F16245" s="4">
        <f>IFERROR(__xludf.DUMMYFUNCTION("""COMPUTED_VALUE"""),5339.0)</f>
        <v>5339</v>
      </c>
      <c r="G16245" s="4">
        <f>IFERROR(__xludf.DUMMYFUNCTION("""COMPUTED_VALUE"""),29.0)</f>
        <v>29</v>
      </c>
      <c r="H16245" s="4"/>
      <c r="I16245" s="4"/>
    </row>
    <row r="16246">
      <c r="A16246" s="4" t="str">
        <f>IFERROR(__xludf.DUMMYFUNCTION("""COMPUTED_VALUE"""),"cas_hmw")</f>
        <v>cas_hmw</v>
      </c>
      <c r="B16246" s="5">
        <f>IFERROR(__xludf.DUMMYFUNCTION("""COMPUTED_VALUE"""),44733.0)</f>
        <v>44733</v>
      </c>
      <c r="C16246" s="6">
        <f>IFERROR(__xludf.DUMMYFUNCTION("""COMPUTED_VALUE"""),0.7213078703716747)</f>
        <v>0.7213078704</v>
      </c>
      <c r="D16246" s="4">
        <f>IFERROR(__xludf.DUMMYFUNCTION("""COMPUTED_VALUE"""),13.016869)</f>
        <v>13.016869</v>
      </c>
      <c r="E16246" s="4">
        <f>IFERROR(__xludf.DUMMYFUNCTION("""COMPUTED_VALUE"""),80.225177)</f>
        <v>80.225177</v>
      </c>
      <c r="F16246" s="4">
        <f>IFERROR(__xludf.DUMMYFUNCTION("""COMPUTED_VALUE"""),5339.0)</f>
        <v>5339</v>
      </c>
      <c r="G16246" s="4">
        <f>IFERROR(__xludf.DUMMYFUNCTION("""COMPUTED_VALUE"""),35.0)</f>
        <v>35</v>
      </c>
      <c r="H16246" s="4"/>
      <c r="I16246" s="4"/>
    </row>
    <row r="16247">
      <c r="A16247" s="4" t="str">
        <f>IFERROR(__xludf.DUMMYFUNCTION("""COMPUTED_VALUE"""),"cas_hmw")</f>
        <v>cas_hmw</v>
      </c>
      <c r="B16247" s="5">
        <f>IFERROR(__xludf.DUMMYFUNCTION("""COMPUTED_VALUE"""),44733.0)</f>
        <v>44733</v>
      </c>
      <c r="C16247" s="6">
        <f>IFERROR(__xludf.DUMMYFUNCTION("""COMPUTED_VALUE"""),0.7217824074068631)</f>
        <v>0.7217824074</v>
      </c>
      <c r="D16247" s="4">
        <f>IFERROR(__xludf.DUMMYFUNCTION("""COMPUTED_VALUE"""),13.019367)</f>
        <v>13.019367</v>
      </c>
      <c r="E16247" s="4">
        <f>IFERROR(__xludf.DUMMYFUNCTION("""COMPUTED_VALUE"""),80.224434)</f>
        <v>80.224434</v>
      </c>
      <c r="F16247" s="4">
        <f>IFERROR(__xludf.DUMMYFUNCTION("""COMPUTED_VALUE"""),5339.0)</f>
        <v>5339</v>
      </c>
      <c r="G16247" s="4">
        <f>IFERROR(__xludf.DUMMYFUNCTION("""COMPUTED_VALUE"""),0.0)</f>
        <v>0</v>
      </c>
      <c r="H16247" s="4"/>
      <c r="I16247" s="4"/>
    </row>
    <row r="16248">
      <c r="A16248" s="4" t="str">
        <f>IFERROR(__xludf.DUMMYFUNCTION("""COMPUTED_VALUE"""),"cas_hmw")</f>
        <v>cas_hmw</v>
      </c>
      <c r="B16248" s="5">
        <f>IFERROR(__xludf.DUMMYFUNCTION("""COMPUTED_VALUE"""),44733.0)</f>
        <v>44733</v>
      </c>
      <c r="C16248" s="6">
        <f>IFERROR(__xludf.DUMMYFUNCTION("""COMPUTED_VALUE"""),0.7232638888890506)</f>
        <v>0.7232638889</v>
      </c>
      <c r="D16248" s="4">
        <f>IFERROR(__xludf.DUMMYFUNCTION("""COMPUTED_VALUE"""),13.024587)</f>
        <v>13.024587</v>
      </c>
      <c r="E16248" s="4">
        <f>IFERROR(__xludf.DUMMYFUNCTION("""COMPUTED_VALUE"""),80.228834)</f>
        <v>80.228834</v>
      </c>
      <c r="F16248" s="4">
        <f>IFERROR(__xludf.DUMMYFUNCTION("""COMPUTED_VALUE"""),5339.0)</f>
        <v>5339</v>
      </c>
      <c r="G16248" s="4">
        <f>IFERROR(__xludf.DUMMYFUNCTION("""COMPUTED_VALUE"""),0.0)</f>
        <v>0</v>
      </c>
      <c r="H16248" s="4"/>
      <c r="I16248" s="4"/>
    </row>
    <row r="16249">
      <c r="A16249" s="4" t="str">
        <f>IFERROR(__xludf.DUMMYFUNCTION("""COMPUTED_VALUE"""),"cas_hmw")</f>
        <v>cas_hmw</v>
      </c>
      <c r="B16249" s="5">
        <f>IFERROR(__xludf.DUMMYFUNCTION("""COMPUTED_VALUE"""),44733.0)</f>
        <v>44733</v>
      </c>
      <c r="C16249" s="6">
        <f>IFERROR(__xludf.DUMMYFUNCTION("""COMPUTED_VALUE"""),0.7233101851852552)</f>
        <v>0.7233101852</v>
      </c>
      <c r="D16249" s="4">
        <f>IFERROR(__xludf.DUMMYFUNCTION("""COMPUTED_VALUE"""),13.024587)</f>
        <v>13.024587</v>
      </c>
      <c r="E16249" s="4">
        <f>IFERROR(__xludf.DUMMYFUNCTION("""COMPUTED_VALUE"""),80.228834)</f>
        <v>80.228834</v>
      </c>
      <c r="F16249" s="4">
        <f>IFERROR(__xludf.DUMMYFUNCTION("""COMPUTED_VALUE"""),5339.0)</f>
        <v>5339</v>
      </c>
      <c r="G16249" s="4">
        <f>IFERROR(__xludf.DUMMYFUNCTION("""COMPUTED_VALUE"""),0.0)</f>
        <v>0</v>
      </c>
      <c r="H16249" s="4"/>
      <c r="I16249" s="4"/>
    </row>
    <row r="16250">
      <c r="A16250" s="4" t="str">
        <f>IFERROR(__xludf.DUMMYFUNCTION("""COMPUTED_VALUE"""),"cas_hmw")</f>
        <v>cas_hmw</v>
      </c>
      <c r="B16250" s="5">
        <f>IFERROR(__xludf.DUMMYFUNCTION("""COMPUTED_VALUE"""),44733.0)</f>
        <v>44733</v>
      </c>
      <c r="C16250" s="6">
        <f>IFERROR(__xludf.DUMMYFUNCTION("""COMPUTED_VALUE"""),0.7233796296313812)</f>
        <v>0.7233796296</v>
      </c>
      <c r="D16250" s="4">
        <f>IFERROR(__xludf.DUMMYFUNCTION("""COMPUTED_VALUE"""),13.024587)</f>
        <v>13.024587</v>
      </c>
      <c r="E16250" s="4">
        <f>IFERROR(__xludf.DUMMYFUNCTION("""COMPUTED_VALUE"""),80.228834)</f>
        <v>80.228834</v>
      </c>
      <c r="F16250" s="4">
        <f>IFERROR(__xludf.DUMMYFUNCTION("""COMPUTED_VALUE"""),5339.0)</f>
        <v>5339</v>
      </c>
      <c r="G16250" s="4">
        <f>IFERROR(__xludf.DUMMYFUNCTION("""COMPUTED_VALUE"""),0.0)</f>
        <v>0</v>
      </c>
      <c r="H16250" s="4"/>
      <c r="I16250" s="4"/>
    </row>
    <row r="16251">
      <c r="A16251" s="4" t="str">
        <f>IFERROR(__xludf.DUMMYFUNCTION("""COMPUTED_VALUE"""),"cas_hmw")</f>
        <v>cas_hmw</v>
      </c>
      <c r="B16251" s="5">
        <f>IFERROR(__xludf.DUMMYFUNCTION("""COMPUTED_VALUE"""),44733.0)</f>
        <v>44733</v>
      </c>
      <c r="C16251" s="6">
        <f>IFERROR(__xludf.DUMMYFUNCTION("""COMPUTED_VALUE"""),0.7248148148137261)</f>
        <v>0.7248148148</v>
      </c>
      <c r="D16251" s="4">
        <f>IFERROR(__xludf.DUMMYFUNCTION("""COMPUTED_VALUE"""),13.02656)</f>
        <v>13.02656</v>
      </c>
      <c r="E16251" s="4">
        <f>IFERROR(__xludf.DUMMYFUNCTION("""COMPUTED_VALUE"""),80.232808)</f>
        <v>80.232808</v>
      </c>
      <c r="F16251" s="4">
        <f>IFERROR(__xludf.DUMMYFUNCTION("""COMPUTED_VALUE"""),5339.0)</f>
        <v>5339</v>
      </c>
      <c r="G16251" s="4">
        <f>IFERROR(__xludf.DUMMYFUNCTION("""COMPUTED_VALUE"""),0.0)</f>
        <v>0</v>
      </c>
      <c r="H16251" s="4"/>
      <c r="I16251" s="4"/>
    </row>
    <row r="16252">
      <c r="A16252" s="4" t="str">
        <f>IFERROR(__xludf.DUMMYFUNCTION("""COMPUTED_VALUE"""),"cas_hmw")</f>
        <v>cas_hmw</v>
      </c>
      <c r="B16252" s="5">
        <f>IFERROR(__xludf.DUMMYFUNCTION("""COMPUTED_VALUE"""),44733.0)</f>
        <v>44733</v>
      </c>
      <c r="C16252" s="6">
        <f>IFERROR(__xludf.DUMMYFUNCTION("""COMPUTED_VALUE"""),0.7248379629636474)</f>
        <v>0.724837963</v>
      </c>
      <c r="D16252" s="4">
        <f>IFERROR(__xludf.DUMMYFUNCTION("""COMPUTED_VALUE"""),13.02656)</f>
        <v>13.02656</v>
      </c>
      <c r="E16252" s="4">
        <f>IFERROR(__xludf.DUMMYFUNCTION("""COMPUTED_VALUE"""),80.232808)</f>
        <v>80.232808</v>
      </c>
      <c r="F16252" s="4">
        <f>IFERROR(__xludf.DUMMYFUNCTION("""COMPUTED_VALUE"""),5339.0)</f>
        <v>5339</v>
      </c>
      <c r="G16252" s="4">
        <f>IFERROR(__xludf.DUMMYFUNCTION("""COMPUTED_VALUE"""),0.0)</f>
        <v>0</v>
      </c>
      <c r="H16252" s="4"/>
      <c r="I16252" s="4"/>
    </row>
    <row r="16253">
      <c r="A16253" s="4" t="str">
        <f>IFERROR(__xludf.DUMMYFUNCTION("""COMPUTED_VALUE"""),"cas_hmw")</f>
        <v>cas_hmw</v>
      </c>
      <c r="B16253" s="5">
        <f>IFERROR(__xludf.DUMMYFUNCTION("""COMPUTED_VALUE"""),44733.0)</f>
        <v>44733</v>
      </c>
      <c r="C16253" s="6">
        <f>IFERROR(__xludf.DUMMYFUNCTION("""COMPUTED_VALUE"""),0.7253472222218988)</f>
        <v>0.7253472222</v>
      </c>
      <c r="D16253" s="4">
        <f>IFERROR(__xludf.DUMMYFUNCTION("""COMPUTED_VALUE"""),13.027459)</f>
        <v>13.027459</v>
      </c>
      <c r="E16253" s="4">
        <f>IFERROR(__xludf.DUMMYFUNCTION("""COMPUTED_VALUE"""),80.234348)</f>
        <v>80.234348</v>
      </c>
      <c r="F16253" s="4">
        <f>IFERROR(__xludf.DUMMYFUNCTION("""COMPUTED_VALUE"""),5339.0)</f>
        <v>5339</v>
      </c>
      <c r="G16253" s="4">
        <f>IFERROR(__xludf.DUMMYFUNCTION("""COMPUTED_VALUE"""),31.0)</f>
        <v>31</v>
      </c>
      <c r="H16253" s="4"/>
      <c r="I16253" s="4"/>
    </row>
    <row r="16254">
      <c r="A16254" s="4" t="str">
        <f>IFERROR(__xludf.DUMMYFUNCTION("""COMPUTED_VALUE"""),"cas_hmw")</f>
        <v>cas_hmw</v>
      </c>
      <c r="B16254" s="5">
        <f>IFERROR(__xludf.DUMMYFUNCTION("""COMPUTED_VALUE"""),44733.0)</f>
        <v>44733</v>
      </c>
      <c r="C16254" s="6">
        <f>IFERROR(__xludf.DUMMYFUNCTION("""COMPUTED_VALUE"""),0.7254976851836545)</f>
        <v>0.7254976852</v>
      </c>
      <c r="D16254" s="4">
        <f>IFERROR(__xludf.DUMMYFUNCTION("""COMPUTED_VALUE"""),13.028091)</f>
        <v>13.028091</v>
      </c>
      <c r="E16254" s="4">
        <f>IFERROR(__xludf.DUMMYFUNCTION("""COMPUTED_VALUE"""),80.235475)</f>
        <v>80.235475</v>
      </c>
      <c r="F16254" s="4">
        <f>IFERROR(__xludf.DUMMYFUNCTION("""COMPUTED_VALUE"""),5339.0)</f>
        <v>5339</v>
      </c>
      <c r="G16254" s="4">
        <f>IFERROR(__xludf.DUMMYFUNCTION("""COMPUTED_VALUE"""),34.0)</f>
        <v>34</v>
      </c>
      <c r="H16254" s="4"/>
      <c r="I16254" s="4"/>
    </row>
    <row r="16255">
      <c r="A16255" s="4" t="str">
        <f>IFERROR(__xludf.DUMMYFUNCTION("""COMPUTED_VALUE"""),"cas_hmw")</f>
        <v>cas_hmw</v>
      </c>
      <c r="B16255" s="5">
        <f>IFERROR(__xludf.DUMMYFUNCTION("""COMPUTED_VALUE"""),44733.0)</f>
        <v>44733</v>
      </c>
      <c r="C16255" s="6">
        <f>IFERROR(__xludf.DUMMYFUNCTION("""COMPUTED_VALUE"""),0.7255671296297805)</f>
        <v>0.7255671296</v>
      </c>
      <c r="D16255" s="4">
        <f>IFERROR(__xludf.DUMMYFUNCTION("""COMPUTED_VALUE"""),13.028091)</f>
        <v>13.028091</v>
      </c>
      <c r="E16255" s="4">
        <f>IFERROR(__xludf.DUMMYFUNCTION("""COMPUTED_VALUE"""),80.235475)</f>
        <v>80.235475</v>
      </c>
      <c r="F16255" s="4">
        <f>IFERROR(__xludf.DUMMYFUNCTION("""COMPUTED_VALUE"""),5339.0)</f>
        <v>5339</v>
      </c>
      <c r="G16255" s="4">
        <f>IFERROR(__xludf.DUMMYFUNCTION("""COMPUTED_VALUE"""),34.0)</f>
        <v>34</v>
      </c>
      <c r="H16255" s="4"/>
      <c r="I16255" s="4"/>
    </row>
    <row r="16256">
      <c r="A16256" s="4" t="str">
        <f>IFERROR(__xludf.DUMMYFUNCTION("""COMPUTED_VALUE"""),"cas_hmw")</f>
        <v>cas_hmw</v>
      </c>
      <c r="B16256" s="5">
        <f>IFERROR(__xludf.DUMMYFUNCTION("""COMPUTED_VALUE"""),44733.0)</f>
        <v>44733</v>
      </c>
      <c r="C16256" s="6">
        <f>IFERROR(__xludf.DUMMYFUNCTION("""COMPUTED_VALUE"""),0.7257060185183946)</f>
        <v>0.7257060185</v>
      </c>
      <c r="D16256" s="4">
        <f>IFERROR(__xludf.DUMMYFUNCTION("""COMPUTED_VALUE"""),12.657403)</f>
        <v>12.657403</v>
      </c>
      <c r="E16256" s="4">
        <f>IFERROR(__xludf.DUMMYFUNCTION("""COMPUTED_VALUE"""),79.957922)</f>
        <v>79.957922</v>
      </c>
      <c r="F16256" s="4">
        <f>IFERROR(__xludf.DUMMYFUNCTION("""COMPUTED_VALUE"""),2846.0)</f>
        <v>2846</v>
      </c>
      <c r="G16256" s="4">
        <f>IFERROR(__xludf.DUMMYFUNCTION("""COMPUTED_VALUE"""),0.0)</f>
        <v>0</v>
      </c>
      <c r="H16256" s="4"/>
      <c r="I16256" s="4"/>
    </row>
    <row r="16257">
      <c r="A16257" s="4" t="str">
        <f>IFERROR(__xludf.DUMMYFUNCTION("""COMPUTED_VALUE"""),"cas_hmw")</f>
        <v>cas_hmw</v>
      </c>
      <c r="B16257" s="5">
        <f>IFERROR(__xludf.DUMMYFUNCTION("""COMPUTED_VALUE"""),44733.0)</f>
        <v>44733</v>
      </c>
      <c r="C16257" s="6">
        <f>IFERROR(__xludf.DUMMYFUNCTION("""COMPUTED_VALUE"""),0.7270138888889051)</f>
        <v>0.7270138889</v>
      </c>
      <c r="D16257" s="4">
        <f>IFERROR(__xludf.DUMMYFUNCTION("""COMPUTED_VALUE"""),13.031)</f>
        <v>13.031</v>
      </c>
      <c r="E16257" s="4">
        <f>IFERROR(__xludf.DUMMYFUNCTION("""COMPUTED_VALUE"""),80.239389)</f>
        <v>80.239389</v>
      </c>
      <c r="F16257" s="4">
        <f>IFERROR(__xludf.DUMMYFUNCTION("""COMPUTED_VALUE"""),5339.0)</f>
        <v>5339</v>
      </c>
      <c r="G16257" s="4">
        <f>IFERROR(__xludf.DUMMYFUNCTION("""COMPUTED_VALUE"""),0.0)</f>
        <v>0</v>
      </c>
      <c r="H16257" s="4"/>
      <c r="I16257" s="4"/>
    </row>
    <row r="16258">
      <c r="A16258" s="4" t="str">
        <f>IFERROR(__xludf.DUMMYFUNCTION("""COMPUTED_VALUE"""),"cas_hmw")</f>
        <v>cas_hmw</v>
      </c>
      <c r="B16258" s="5">
        <f>IFERROR(__xludf.DUMMYFUNCTION("""COMPUTED_VALUE"""),44733.0)</f>
        <v>44733</v>
      </c>
      <c r="C16258" s="6">
        <f>IFERROR(__xludf.DUMMYFUNCTION("""COMPUTED_VALUE"""),0.7272800925929914)</f>
        <v>0.7272800926</v>
      </c>
      <c r="D16258" s="4">
        <f>IFERROR(__xludf.DUMMYFUNCTION("""COMPUTED_VALUE"""),13.031562)</f>
        <v>13.031562</v>
      </c>
      <c r="E16258" s="4">
        <f>IFERROR(__xludf.DUMMYFUNCTION("""COMPUTED_VALUE"""),80.240639)</f>
        <v>80.240639</v>
      </c>
      <c r="F16258" s="4">
        <f>IFERROR(__xludf.DUMMYFUNCTION("""COMPUTED_VALUE"""),5339.0)</f>
        <v>5339</v>
      </c>
      <c r="G16258" s="4">
        <f>IFERROR(__xludf.DUMMYFUNCTION("""COMPUTED_VALUE"""),37.0)</f>
        <v>37</v>
      </c>
      <c r="H16258" s="4"/>
      <c r="I16258" s="4"/>
    </row>
    <row r="16259">
      <c r="A16259" s="4" t="str">
        <f>IFERROR(__xludf.DUMMYFUNCTION("""COMPUTED_VALUE"""),"cas_hmw")</f>
        <v>cas_hmw</v>
      </c>
      <c r="B16259" s="5">
        <f>IFERROR(__xludf.DUMMYFUNCTION("""COMPUTED_VALUE"""),44733.0)</f>
        <v>44733</v>
      </c>
      <c r="C16259" s="6">
        <f>IFERROR(__xludf.DUMMYFUNCTION("""COMPUTED_VALUE"""),0.7276620370357705)</f>
        <v>0.727662037</v>
      </c>
      <c r="D16259" s="4">
        <f>IFERROR(__xludf.DUMMYFUNCTION("""COMPUTED_VALUE"""),13.033201)</f>
        <v>13.033201</v>
      </c>
      <c r="E16259" s="4">
        <f>IFERROR(__xludf.DUMMYFUNCTION("""COMPUTED_VALUE"""),80.243398)</f>
        <v>80.243398</v>
      </c>
      <c r="F16259" s="4">
        <f>IFERROR(__xludf.DUMMYFUNCTION("""COMPUTED_VALUE"""),5339.0)</f>
        <v>5339</v>
      </c>
      <c r="G16259" s="4">
        <f>IFERROR(__xludf.DUMMYFUNCTION("""COMPUTED_VALUE"""),24.0)</f>
        <v>24</v>
      </c>
      <c r="H16259" s="4"/>
      <c r="I16259" s="4"/>
    </row>
    <row r="16260">
      <c r="A16260" s="4" t="str">
        <f>IFERROR(__xludf.DUMMYFUNCTION("""COMPUTED_VALUE"""),"cas_hmw")</f>
        <v>cas_hmw</v>
      </c>
      <c r="B16260" s="5">
        <f>IFERROR(__xludf.DUMMYFUNCTION("""COMPUTED_VALUE"""),44733.0)</f>
        <v>44733</v>
      </c>
      <c r="C16260" s="6">
        <f>IFERROR(__xludf.DUMMYFUNCTION("""COMPUTED_VALUE"""),0.7277199074087548)</f>
        <v>0.7277199074</v>
      </c>
      <c r="D16260" s="4">
        <f>IFERROR(__xludf.DUMMYFUNCTION("""COMPUTED_VALUE"""),13.033201)</f>
        <v>13.033201</v>
      </c>
      <c r="E16260" s="4">
        <f>IFERROR(__xludf.DUMMYFUNCTION("""COMPUTED_VALUE"""),80.243398)</f>
        <v>80.243398</v>
      </c>
      <c r="F16260" s="4">
        <f>IFERROR(__xludf.DUMMYFUNCTION("""COMPUTED_VALUE"""),5339.0)</f>
        <v>5339</v>
      </c>
      <c r="G16260" s="4">
        <f>IFERROR(__xludf.DUMMYFUNCTION("""COMPUTED_VALUE"""),24.0)</f>
        <v>24</v>
      </c>
      <c r="H16260" s="4"/>
      <c r="I16260" s="4"/>
    </row>
    <row r="16261">
      <c r="A16261" s="4" t="str">
        <f>IFERROR(__xludf.DUMMYFUNCTION("""COMPUTED_VALUE"""),"cas_hmw")</f>
        <v>cas_hmw</v>
      </c>
      <c r="B16261" s="5">
        <f>IFERROR(__xludf.DUMMYFUNCTION("""COMPUTED_VALUE"""),44733.0)</f>
        <v>44733</v>
      </c>
      <c r="C16261" s="6">
        <f>IFERROR(__xludf.DUMMYFUNCTION("""COMPUTED_VALUE"""),0.7277662037049595)</f>
        <v>0.7277662037</v>
      </c>
      <c r="D16261" s="4">
        <f>IFERROR(__xludf.DUMMYFUNCTION("""COMPUTED_VALUE"""),13.033201)</f>
        <v>13.033201</v>
      </c>
      <c r="E16261" s="4">
        <f>IFERROR(__xludf.DUMMYFUNCTION("""COMPUTED_VALUE"""),80.243398)</f>
        <v>80.243398</v>
      </c>
      <c r="F16261" s="4">
        <f>IFERROR(__xludf.DUMMYFUNCTION("""COMPUTED_VALUE"""),5339.0)</f>
        <v>5339</v>
      </c>
      <c r="G16261" s="4">
        <f>IFERROR(__xludf.DUMMYFUNCTION("""COMPUTED_VALUE"""),24.0)</f>
        <v>24</v>
      </c>
      <c r="H16261" s="4"/>
      <c r="I16261" s="4"/>
    </row>
    <row r="16262">
      <c r="A16262" s="4" t="str">
        <f>IFERROR(__xludf.DUMMYFUNCTION("""COMPUTED_VALUE"""),"cas_hmw")</f>
        <v>cas_hmw</v>
      </c>
      <c r="B16262" s="5">
        <f>IFERROR(__xludf.DUMMYFUNCTION("""COMPUTED_VALUE"""),44733.0)</f>
        <v>44733</v>
      </c>
      <c r="C16262" s="6">
        <f>IFERROR(__xludf.DUMMYFUNCTION("""COMPUTED_VALUE"""),0.7278009259243845)</f>
        <v>0.7278009259</v>
      </c>
      <c r="D16262" s="4">
        <f>IFERROR(__xludf.DUMMYFUNCTION("""COMPUTED_VALUE"""),13.033201)</f>
        <v>13.033201</v>
      </c>
      <c r="E16262" s="4">
        <f>IFERROR(__xludf.DUMMYFUNCTION("""COMPUTED_VALUE"""),80.243398)</f>
        <v>80.243398</v>
      </c>
      <c r="F16262" s="4">
        <f>IFERROR(__xludf.DUMMYFUNCTION("""COMPUTED_VALUE"""),5339.0)</f>
        <v>5339</v>
      </c>
      <c r="G16262" s="4">
        <f>IFERROR(__xludf.DUMMYFUNCTION("""COMPUTED_VALUE"""),24.0)</f>
        <v>24</v>
      </c>
      <c r="H16262" s="4"/>
      <c r="I16262" s="4"/>
    </row>
    <row r="16263">
      <c r="A16263" s="4" t="str">
        <f>IFERROR(__xludf.DUMMYFUNCTION("""COMPUTED_VALUE"""),"cas_hmw")</f>
        <v>cas_hmw</v>
      </c>
      <c r="B16263" s="5">
        <f>IFERROR(__xludf.DUMMYFUNCTION("""COMPUTED_VALUE"""),44733.0)</f>
        <v>44733</v>
      </c>
      <c r="C16263" s="6">
        <f>IFERROR(__xludf.DUMMYFUNCTION("""COMPUTED_VALUE"""),0.7289236111100763)</f>
        <v>0.7289236111</v>
      </c>
      <c r="D16263" s="4">
        <f>IFERROR(__xludf.DUMMYFUNCTION("""COMPUTED_VALUE"""),12.645642)</f>
        <v>12.645642</v>
      </c>
      <c r="E16263" s="4">
        <f>IFERROR(__xludf.DUMMYFUNCTION("""COMPUTED_VALUE"""),79.93978)</f>
        <v>79.93978</v>
      </c>
      <c r="F16263" s="4">
        <f>IFERROR(__xludf.DUMMYFUNCTION("""COMPUTED_VALUE"""),2846.0)</f>
        <v>2846</v>
      </c>
      <c r="G16263" s="4">
        <f>IFERROR(__xludf.DUMMYFUNCTION("""COMPUTED_VALUE"""),54.0)</f>
        <v>54</v>
      </c>
      <c r="H16263" s="4"/>
      <c r="I16263" s="4"/>
    </row>
    <row r="16264">
      <c r="A16264" s="4" t="str">
        <f>IFERROR(__xludf.DUMMYFUNCTION("""COMPUTED_VALUE"""),"cas_hmw")</f>
        <v>cas_hmw</v>
      </c>
      <c r="B16264" s="5">
        <f>IFERROR(__xludf.DUMMYFUNCTION("""COMPUTED_VALUE"""),44733.0)</f>
        <v>44733</v>
      </c>
      <c r="C16264" s="6">
        <f>IFERROR(__xludf.DUMMYFUNCTION("""COMPUTED_VALUE"""),0.7302777777767915)</f>
        <v>0.7302777778</v>
      </c>
      <c r="D16264" s="4">
        <f>IFERROR(__xludf.DUMMYFUNCTION("""COMPUTED_VALUE"""),13.04234)</f>
        <v>13.04234</v>
      </c>
      <c r="E16264" s="4">
        <f>IFERROR(__xludf.DUMMYFUNCTION("""COMPUTED_VALUE"""),80.24742)</f>
        <v>80.24742</v>
      </c>
      <c r="F16264" s="4">
        <f>IFERROR(__xludf.DUMMYFUNCTION("""COMPUTED_VALUE"""),5339.0)</f>
        <v>5339</v>
      </c>
      <c r="G16264" s="4">
        <f>IFERROR(__xludf.DUMMYFUNCTION("""COMPUTED_VALUE"""),16.0)</f>
        <v>16</v>
      </c>
      <c r="H16264" s="4"/>
      <c r="I16264" s="4"/>
    </row>
    <row r="16265">
      <c r="A16265" s="4" t="str">
        <f>IFERROR(__xludf.DUMMYFUNCTION("""COMPUTED_VALUE"""),"cas_hmw")</f>
        <v>cas_hmw</v>
      </c>
      <c r="B16265" s="5">
        <f>IFERROR(__xludf.DUMMYFUNCTION("""COMPUTED_VALUE"""),44733.0)</f>
        <v>44733</v>
      </c>
      <c r="C16265" s="6">
        <f>IFERROR(__xludf.DUMMYFUNCTION("""COMPUTED_VALUE"""),0.7302777777767915)</f>
        <v>0.7302777778</v>
      </c>
      <c r="D16265" s="4">
        <f>IFERROR(__xludf.DUMMYFUNCTION("""COMPUTED_VALUE"""),13.04234)</f>
        <v>13.04234</v>
      </c>
      <c r="E16265" s="4">
        <f>IFERROR(__xludf.DUMMYFUNCTION("""COMPUTED_VALUE"""),80.24742)</f>
        <v>80.24742</v>
      </c>
      <c r="F16265" s="4">
        <f>IFERROR(__xludf.DUMMYFUNCTION("""COMPUTED_VALUE"""),5339.0)</f>
        <v>5339</v>
      </c>
      <c r="G16265" s="4">
        <f>IFERROR(__xludf.DUMMYFUNCTION("""COMPUTED_VALUE"""),16.0)</f>
        <v>16</v>
      </c>
      <c r="H16265" s="4"/>
      <c r="I16265" s="4"/>
    </row>
    <row r="16266">
      <c r="A16266" s="4" t="str">
        <f>IFERROR(__xludf.DUMMYFUNCTION("""COMPUTED_VALUE"""),"cas_hmw")</f>
        <v>cas_hmw</v>
      </c>
      <c r="B16266" s="5">
        <f>IFERROR(__xludf.DUMMYFUNCTION("""COMPUTED_VALUE"""),44733.0)</f>
        <v>44733</v>
      </c>
      <c r="C16266" s="6">
        <f>IFERROR(__xludf.DUMMYFUNCTION("""COMPUTED_VALUE"""),0.7308912037042319)</f>
        <v>0.7308912037</v>
      </c>
      <c r="D16266" s="4">
        <f>IFERROR(__xludf.DUMMYFUNCTION("""COMPUTED_VALUE"""),13.045845)</f>
        <v>13.045845</v>
      </c>
      <c r="E16266" s="4">
        <f>IFERROR(__xludf.DUMMYFUNCTION("""COMPUTED_VALUE"""),80.248151)</f>
        <v>80.248151</v>
      </c>
      <c r="F16266" s="4">
        <f>IFERROR(__xludf.DUMMYFUNCTION("""COMPUTED_VALUE"""),5339.0)</f>
        <v>5339</v>
      </c>
      <c r="G16266" s="4">
        <f>IFERROR(__xludf.DUMMYFUNCTION("""COMPUTED_VALUE"""),31.0)</f>
        <v>31</v>
      </c>
      <c r="H16266" s="4"/>
      <c r="I16266" s="4"/>
    </row>
    <row r="16267">
      <c r="A16267" s="4" t="str">
        <f>IFERROR(__xludf.DUMMYFUNCTION("""COMPUTED_VALUE"""),"cas_hmw")</f>
        <v>cas_hmw</v>
      </c>
      <c r="B16267" s="5">
        <f>IFERROR(__xludf.DUMMYFUNCTION("""COMPUTED_VALUE"""),44733.0)</f>
        <v>44733</v>
      </c>
      <c r="C16267" s="6">
        <f>IFERROR(__xludf.DUMMYFUNCTION("""COMPUTED_VALUE"""),0.7319097222207347)</f>
        <v>0.7319097222</v>
      </c>
      <c r="D16267" s="4">
        <f>IFERROR(__xludf.DUMMYFUNCTION("""COMPUTED_VALUE"""),13.049588)</f>
        <v>13.049588</v>
      </c>
      <c r="E16267" s="4">
        <f>IFERROR(__xludf.DUMMYFUNCTION("""COMPUTED_VALUE"""),80.249731)</f>
        <v>80.249731</v>
      </c>
      <c r="F16267" s="4">
        <f>IFERROR(__xludf.DUMMYFUNCTION("""COMPUTED_VALUE"""),5339.0)</f>
        <v>5339</v>
      </c>
      <c r="G16267" s="4">
        <f>IFERROR(__xludf.DUMMYFUNCTION("""COMPUTED_VALUE"""),12.0)</f>
        <v>12</v>
      </c>
      <c r="H16267" s="4"/>
      <c r="I16267" s="4"/>
    </row>
    <row r="16268">
      <c r="A16268" s="4" t="str">
        <f>IFERROR(__xludf.DUMMYFUNCTION("""COMPUTED_VALUE"""),"cas_hmw")</f>
        <v>cas_hmw</v>
      </c>
      <c r="B16268" s="5">
        <f>IFERROR(__xludf.DUMMYFUNCTION("""COMPUTED_VALUE"""),44733.0)</f>
        <v>44733</v>
      </c>
      <c r="C16268" s="6">
        <f>IFERROR(__xludf.DUMMYFUNCTION("""COMPUTED_VALUE"""),0.7319560185169394)</f>
        <v>0.7319560185</v>
      </c>
      <c r="D16268" s="4">
        <f>IFERROR(__xludf.DUMMYFUNCTION("""COMPUTED_VALUE"""),13.050361)</f>
        <v>13.050361</v>
      </c>
      <c r="E16268" s="4">
        <f>IFERROR(__xludf.DUMMYFUNCTION("""COMPUTED_VALUE"""),80.249869)</f>
        <v>80.249869</v>
      </c>
      <c r="F16268" s="4">
        <f>IFERROR(__xludf.DUMMYFUNCTION("""COMPUTED_VALUE"""),5339.0)</f>
        <v>5339</v>
      </c>
      <c r="G16268" s="4">
        <f>IFERROR(__xludf.DUMMYFUNCTION("""COMPUTED_VALUE"""),24.0)</f>
        <v>24</v>
      </c>
      <c r="H16268" s="4"/>
      <c r="I16268" s="4"/>
    </row>
    <row r="16269">
      <c r="A16269" s="4" t="str">
        <f>IFERROR(__xludf.DUMMYFUNCTION("""COMPUTED_VALUE"""),"cas_hmw")</f>
        <v>cas_hmw</v>
      </c>
      <c r="B16269" s="5">
        <f>IFERROR(__xludf.DUMMYFUNCTION("""COMPUTED_VALUE"""),44733.0)</f>
        <v>44733</v>
      </c>
      <c r="C16269" s="6">
        <f>IFERROR(__xludf.DUMMYFUNCTION("""COMPUTED_VALUE"""),0.731967592593719)</f>
        <v>0.7319675926</v>
      </c>
      <c r="D16269" s="4">
        <f>IFERROR(__xludf.DUMMYFUNCTION("""COMPUTED_VALUE"""),13.050361)</f>
        <v>13.050361</v>
      </c>
      <c r="E16269" s="4">
        <f>IFERROR(__xludf.DUMMYFUNCTION("""COMPUTED_VALUE"""),80.249869)</f>
        <v>80.249869</v>
      </c>
      <c r="F16269" s="4">
        <f>IFERROR(__xludf.DUMMYFUNCTION("""COMPUTED_VALUE"""),5339.0)</f>
        <v>5339</v>
      </c>
      <c r="G16269" s="4">
        <f>IFERROR(__xludf.DUMMYFUNCTION("""COMPUTED_VALUE"""),24.0)</f>
        <v>24</v>
      </c>
      <c r="H16269" s="4"/>
      <c r="I16269" s="4"/>
    </row>
    <row r="16270">
      <c r="A16270" s="4" t="str">
        <f>IFERROR(__xludf.DUMMYFUNCTION("""COMPUTED_VALUE"""),"cas_hmw")</f>
        <v>cas_hmw</v>
      </c>
      <c r="B16270" s="5">
        <f>IFERROR(__xludf.DUMMYFUNCTION("""COMPUTED_VALUE"""),44733.0)</f>
        <v>44733</v>
      </c>
      <c r="C16270" s="6">
        <f>IFERROR(__xludf.DUMMYFUNCTION("""COMPUTED_VALUE"""),0.7340740740728506)</f>
        <v>0.7340740741</v>
      </c>
      <c r="D16270" s="4">
        <f>IFERROR(__xludf.DUMMYFUNCTION("""COMPUTED_VALUE"""),12.591283)</f>
        <v>12.591283</v>
      </c>
      <c r="E16270" s="4">
        <f>IFERROR(__xludf.DUMMYFUNCTION("""COMPUTED_VALUE"""),79.919295)</f>
        <v>79.919295</v>
      </c>
      <c r="F16270" s="4">
        <f>IFERROR(__xludf.DUMMYFUNCTION("""COMPUTED_VALUE"""),2846.0)</f>
        <v>2846</v>
      </c>
      <c r="G16270" s="4">
        <f>IFERROR(__xludf.DUMMYFUNCTION("""COMPUTED_VALUE"""),56.0)</f>
        <v>56</v>
      </c>
      <c r="H16270" s="4"/>
      <c r="I16270" s="4"/>
    </row>
    <row r="16271">
      <c r="A16271" s="4" t="str">
        <f>IFERROR(__xludf.DUMMYFUNCTION("""COMPUTED_VALUE"""),"cas_hmw")</f>
        <v>cas_hmw</v>
      </c>
      <c r="B16271" s="5">
        <f>IFERROR(__xludf.DUMMYFUNCTION("""COMPUTED_VALUE"""),44733.0)</f>
        <v>44733</v>
      </c>
      <c r="C16271" s="6">
        <f>IFERROR(__xludf.DUMMYFUNCTION("""COMPUTED_VALUE"""),0.7343981481499213)</f>
        <v>0.7343981481</v>
      </c>
      <c r="D16271" s="4">
        <f>IFERROR(__xludf.DUMMYFUNCTION("""COMPUTED_VALUE"""),12.586679)</f>
        <v>12.586679</v>
      </c>
      <c r="E16271" s="4">
        <f>IFERROR(__xludf.DUMMYFUNCTION("""COMPUTED_VALUE"""),79.919474)</f>
        <v>79.919474</v>
      </c>
      <c r="F16271" s="4">
        <f>IFERROR(__xludf.DUMMYFUNCTION("""COMPUTED_VALUE"""),2846.0)</f>
        <v>2846</v>
      </c>
      <c r="G16271" s="4">
        <f>IFERROR(__xludf.DUMMYFUNCTION("""COMPUTED_VALUE"""),55.0)</f>
        <v>55</v>
      </c>
      <c r="H16271" s="4"/>
      <c r="I16271" s="4"/>
    </row>
    <row r="16272">
      <c r="A16272" s="4" t="str">
        <f>IFERROR(__xludf.DUMMYFUNCTION("""COMPUTED_VALUE"""),"cas_hmw")</f>
        <v>cas_hmw</v>
      </c>
      <c r="B16272" s="5">
        <f>IFERROR(__xludf.DUMMYFUNCTION("""COMPUTED_VALUE"""),44733.0)</f>
        <v>44733</v>
      </c>
      <c r="C16272" s="6">
        <f>IFERROR(__xludf.DUMMYFUNCTION("""COMPUTED_VALUE"""),0.7352546296278888)</f>
        <v>0.7352546296</v>
      </c>
      <c r="D16272" s="4">
        <f>IFERROR(__xludf.DUMMYFUNCTION("""COMPUTED_VALUE"""),13.054284)</f>
        <v>13.054284</v>
      </c>
      <c r="E16272" s="4">
        <f>IFERROR(__xludf.DUMMYFUNCTION("""COMPUTED_VALUE"""),80.260359)</f>
        <v>80.260359</v>
      </c>
      <c r="F16272" s="4">
        <f>IFERROR(__xludf.DUMMYFUNCTION("""COMPUTED_VALUE"""),5339.0)</f>
        <v>5339</v>
      </c>
      <c r="G16272" s="4">
        <f>IFERROR(__xludf.DUMMYFUNCTION("""COMPUTED_VALUE"""),22.0)</f>
        <v>22</v>
      </c>
      <c r="H16272" s="4"/>
      <c r="I16272" s="4"/>
    </row>
    <row r="16273">
      <c r="A16273" s="4" t="str">
        <f>IFERROR(__xludf.DUMMYFUNCTION("""COMPUTED_VALUE"""),"cas_hmw")</f>
        <v>cas_hmw</v>
      </c>
      <c r="B16273" s="5">
        <f>IFERROR(__xludf.DUMMYFUNCTION("""COMPUTED_VALUE"""),44733.0)</f>
        <v>44733</v>
      </c>
      <c r="C16273" s="6">
        <f>IFERROR(__xludf.DUMMYFUNCTION("""COMPUTED_VALUE"""),0.7356018518512428)</f>
        <v>0.7356018519</v>
      </c>
      <c r="D16273" s="4">
        <f>IFERROR(__xludf.DUMMYFUNCTION("""COMPUTED_VALUE"""),13.054174)</f>
        <v>13.054174</v>
      </c>
      <c r="E16273" s="4">
        <f>IFERROR(__xludf.DUMMYFUNCTION("""COMPUTED_VALUE"""),80.261401)</f>
        <v>80.261401</v>
      </c>
      <c r="F16273" s="4">
        <f>IFERROR(__xludf.DUMMYFUNCTION("""COMPUTED_VALUE"""),5339.0)</f>
        <v>5339</v>
      </c>
      <c r="G16273" s="4">
        <f>IFERROR(__xludf.DUMMYFUNCTION("""COMPUTED_VALUE"""),15.0)</f>
        <v>15</v>
      </c>
      <c r="H16273" s="4"/>
      <c r="I16273" s="4"/>
    </row>
    <row r="16274">
      <c r="A16274" s="4" t="str">
        <f>IFERROR(__xludf.DUMMYFUNCTION("""COMPUTED_VALUE"""),"cas_hmw")</f>
        <v>cas_hmw</v>
      </c>
      <c r="B16274" s="5">
        <f>IFERROR(__xludf.DUMMYFUNCTION("""COMPUTED_VALUE"""),44733.0)</f>
        <v>44733</v>
      </c>
      <c r="C16274" s="6">
        <f>IFERROR(__xludf.DUMMYFUNCTION("""COMPUTED_VALUE"""),0.7359259259246755)</f>
        <v>0.7359259259</v>
      </c>
      <c r="D16274" s="4">
        <f>IFERROR(__xludf.DUMMYFUNCTION("""COMPUTED_VALUE"""),12.569844)</f>
        <v>12.569844</v>
      </c>
      <c r="E16274" s="4">
        <f>IFERROR(__xludf.DUMMYFUNCTION("""COMPUTED_VALUE"""),79.915707)</f>
        <v>79.915707</v>
      </c>
      <c r="F16274" s="4">
        <f>IFERROR(__xludf.DUMMYFUNCTION("""COMPUTED_VALUE"""),2846.0)</f>
        <v>2846</v>
      </c>
      <c r="G16274" s="4">
        <f>IFERROR(__xludf.DUMMYFUNCTION("""COMPUTED_VALUE"""),53.0)</f>
        <v>53</v>
      </c>
      <c r="H16274" s="4"/>
      <c r="I16274" s="4"/>
    </row>
    <row r="16275">
      <c r="A16275" s="4" t="str">
        <f>IFERROR(__xludf.DUMMYFUNCTION("""COMPUTED_VALUE"""),"cas_hmw")</f>
        <v>cas_hmw</v>
      </c>
      <c r="B16275" s="5">
        <f>IFERROR(__xludf.DUMMYFUNCTION("""COMPUTED_VALUE"""),44733.0)</f>
        <v>44733</v>
      </c>
      <c r="C16275" s="6">
        <f>IFERROR(__xludf.DUMMYFUNCTION("""COMPUTED_VALUE"""),0.7388425925928459)</f>
        <v>0.7388425926</v>
      </c>
      <c r="D16275" s="4">
        <f>IFERROR(__xludf.DUMMYFUNCTION("""COMPUTED_VALUE"""),12.543042)</f>
        <v>12.543042</v>
      </c>
      <c r="E16275" s="4">
        <f>IFERROR(__xludf.DUMMYFUNCTION("""COMPUTED_VALUE"""),79.904912)</f>
        <v>79.904912</v>
      </c>
      <c r="F16275" s="4">
        <f>IFERROR(__xludf.DUMMYFUNCTION("""COMPUTED_VALUE"""),2846.0)</f>
        <v>2846</v>
      </c>
      <c r="G16275" s="4">
        <f>IFERROR(__xludf.DUMMYFUNCTION("""COMPUTED_VALUE"""),26.0)</f>
        <v>26</v>
      </c>
      <c r="H16275" s="4"/>
      <c r="I16275" s="4"/>
    </row>
    <row r="16276">
      <c r="A16276" s="4" t="str">
        <f>IFERROR(__xludf.DUMMYFUNCTION("""COMPUTED_VALUE"""),"cas_hmw")</f>
        <v>cas_hmw</v>
      </c>
      <c r="B16276" s="5">
        <f>IFERROR(__xludf.DUMMYFUNCTION("""COMPUTED_VALUE"""),44733.0)</f>
        <v>44733</v>
      </c>
      <c r="C16276" s="6">
        <f>IFERROR(__xludf.DUMMYFUNCTION("""COMPUTED_VALUE"""),0.7407986111102218)</f>
        <v>0.7407986111</v>
      </c>
      <c r="D16276" s="4">
        <f>IFERROR(__xludf.DUMMYFUNCTION("""COMPUTED_VALUE"""),12.524243)</f>
        <v>12.524243</v>
      </c>
      <c r="E16276" s="4">
        <f>IFERROR(__xludf.DUMMYFUNCTION("""COMPUTED_VALUE"""),79.896711)</f>
        <v>79.896711</v>
      </c>
      <c r="F16276" s="4">
        <f>IFERROR(__xludf.DUMMYFUNCTION("""COMPUTED_VALUE"""),2846.0)</f>
        <v>2846</v>
      </c>
      <c r="G16276" s="4">
        <f>IFERROR(__xludf.DUMMYFUNCTION("""COMPUTED_VALUE"""),48.0)</f>
        <v>48</v>
      </c>
      <c r="H16276" s="4"/>
      <c r="I16276" s="4"/>
    </row>
    <row r="16277">
      <c r="A16277" s="4" t="str">
        <f>IFERROR(__xludf.DUMMYFUNCTION("""COMPUTED_VALUE"""),"cas_hmw")</f>
        <v>cas_hmw</v>
      </c>
      <c r="B16277" s="5">
        <f>IFERROR(__xludf.DUMMYFUNCTION("""COMPUTED_VALUE"""),44733.0)</f>
        <v>44733</v>
      </c>
      <c r="C16277" s="6">
        <f>IFERROR(__xludf.DUMMYFUNCTION("""COMPUTED_VALUE"""),0.7492129629645206)</f>
        <v>0.749212963</v>
      </c>
      <c r="D16277" s="4">
        <f>IFERROR(__xludf.DUMMYFUNCTION("""COMPUTED_VALUE"""),13.072357)</f>
        <v>13.072357</v>
      </c>
      <c r="E16277" s="4">
        <f>IFERROR(__xludf.DUMMYFUNCTION("""COMPUTED_VALUE"""),80.260026)</f>
        <v>80.260026</v>
      </c>
      <c r="F16277" s="4">
        <f>IFERROR(__xludf.DUMMYFUNCTION("""COMPUTED_VALUE"""),5339.0)</f>
        <v>5339</v>
      </c>
      <c r="G16277" s="4">
        <f>IFERROR(__xludf.DUMMYFUNCTION("""COMPUTED_VALUE"""),34.0)</f>
        <v>34</v>
      </c>
      <c r="H16277" s="4"/>
      <c r="I16277" s="4"/>
    </row>
    <row r="16278">
      <c r="A16278" s="4" t="str">
        <f>IFERROR(__xludf.DUMMYFUNCTION("""COMPUTED_VALUE"""),"cas_hmw")</f>
        <v>cas_hmw</v>
      </c>
      <c r="B16278" s="5">
        <f>IFERROR(__xludf.DUMMYFUNCTION("""COMPUTED_VALUE"""),44733.0)</f>
        <v>44733</v>
      </c>
      <c r="C16278" s="6">
        <f>IFERROR(__xludf.DUMMYFUNCTION("""COMPUTED_VALUE"""),0.7521296296290529)</f>
        <v>0.7521296296</v>
      </c>
      <c r="D16278" s="4">
        <f>IFERROR(__xludf.DUMMYFUNCTION("""COMPUTED_VALUE"""),13.067681)</f>
        <v>13.067681</v>
      </c>
      <c r="E16278" s="4">
        <f>IFERROR(__xludf.DUMMYFUNCTION("""COMPUTED_VALUE"""),80.249184)</f>
        <v>80.249184</v>
      </c>
      <c r="F16278" s="4">
        <f>IFERROR(__xludf.DUMMYFUNCTION("""COMPUTED_VALUE"""),5339.0)</f>
        <v>5339</v>
      </c>
      <c r="G16278" s="4">
        <f>IFERROR(__xludf.DUMMYFUNCTION("""COMPUTED_VALUE"""),20.0)</f>
        <v>20</v>
      </c>
      <c r="H16278" s="4"/>
      <c r="I16278" s="4"/>
    </row>
    <row r="16279">
      <c r="A16279" s="4" t="str">
        <f>IFERROR(__xludf.DUMMYFUNCTION("""COMPUTED_VALUE"""),"cas_hmw")</f>
        <v>cas_hmw</v>
      </c>
      <c r="B16279" s="5">
        <f>IFERROR(__xludf.DUMMYFUNCTION("""COMPUTED_VALUE"""),44733.0)</f>
        <v>44733</v>
      </c>
      <c r="C16279" s="6">
        <f>IFERROR(__xludf.DUMMYFUNCTION("""COMPUTED_VALUE"""),0.7522453703713836)</f>
        <v>0.7522453704</v>
      </c>
      <c r="D16279" s="4">
        <f>IFERROR(__xludf.DUMMYFUNCTION("""COMPUTED_VALUE"""),13.067681)</f>
        <v>13.067681</v>
      </c>
      <c r="E16279" s="4">
        <f>IFERROR(__xludf.DUMMYFUNCTION("""COMPUTED_VALUE"""),80.249184)</f>
        <v>80.249184</v>
      </c>
      <c r="F16279" s="4">
        <f>IFERROR(__xludf.DUMMYFUNCTION("""COMPUTED_VALUE"""),5339.0)</f>
        <v>5339</v>
      </c>
      <c r="G16279" s="4">
        <f>IFERROR(__xludf.DUMMYFUNCTION("""COMPUTED_VALUE"""),20.0)</f>
        <v>20</v>
      </c>
      <c r="H16279" s="4"/>
      <c r="I16279" s="4"/>
    </row>
    <row r="16280">
      <c r="A16280" s="4" t="str">
        <f>IFERROR(__xludf.DUMMYFUNCTION("""COMPUTED_VALUE"""),"cas_hmw")</f>
        <v>cas_hmw</v>
      </c>
      <c r="B16280" s="5">
        <f>IFERROR(__xludf.DUMMYFUNCTION("""COMPUTED_VALUE"""),44733.0)</f>
        <v>44733</v>
      </c>
      <c r="C16280" s="6">
        <f>IFERROR(__xludf.DUMMYFUNCTION("""COMPUTED_VALUE"""),0.752268518517667)</f>
        <v>0.7522685185</v>
      </c>
      <c r="D16280" s="4">
        <f>IFERROR(__xludf.DUMMYFUNCTION("""COMPUTED_VALUE"""),13.067681)</f>
        <v>13.067681</v>
      </c>
      <c r="E16280" s="4">
        <f>IFERROR(__xludf.DUMMYFUNCTION("""COMPUTED_VALUE"""),80.249184)</f>
        <v>80.249184</v>
      </c>
      <c r="F16280" s="4">
        <f>IFERROR(__xludf.DUMMYFUNCTION("""COMPUTED_VALUE"""),5339.0)</f>
        <v>5339</v>
      </c>
      <c r="G16280" s="4">
        <f>IFERROR(__xludf.DUMMYFUNCTION("""COMPUTED_VALUE"""),20.0)</f>
        <v>20</v>
      </c>
      <c r="H16280" s="4"/>
      <c r="I16280" s="4"/>
    </row>
    <row r="16281">
      <c r="A16281" s="4" t="str">
        <f>IFERROR(__xludf.DUMMYFUNCTION("""COMPUTED_VALUE"""),"cas_hmw")</f>
        <v>cas_hmw</v>
      </c>
      <c r="B16281" s="5">
        <f>IFERROR(__xludf.DUMMYFUNCTION("""COMPUTED_VALUE"""),44733.0)</f>
        <v>44733</v>
      </c>
      <c r="C16281" s="6">
        <f>IFERROR(__xludf.DUMMYFUNCTION("""COMPUTED_VALUE"""),0.752268518517667)</f>
        <v>0.7522685185</v>
      </c>
      <c r="D16281" s="4">
        <f>IFERROR(__xludf.DUMMYFUNCTION("""COMPUTED_VALUE"""),13.067681)</f>
        <v>13.067681</v>
      </c>
      <c r="E16281" s="4">
        <f>IFERROR(__xludf.DUMMYFUNCTION("""COMPUTED_VALUE"""),80.249184)</f>
        <v>80.249184</v>
      </c>
      <c r="F16281" s="4">
        <f>IFERROR(__xludf.DUMMYFUNCTION("""COMPUTED_VALUE"""),5339.0)</f>
        <v>5339</v>
      </c>
      <c r="G16281" s="4">
        <f>IFERROR(__xludf.DUMMYFUNCTION("""COMPUTED_VALUE"""),20.0)</f>
        <v>20</v>
      </c>
      <c r="H16281" s="4"/>
      <c r="I16281" s="4"/>
    </row>
    <row r="16282">
      <c r="A16282" s="4" t="str">
        <f>IFERROR(__xludf.DUMMYFUNCTION("""COMPUTED_VALUE"""),"cas_hmw")</f>
        <v>cas_hmw</v>
      </c>
      <c r="B16282" s="5">
        <f>IFERROR(__xludf.DUMMYFUNCTION("""COMPUTED_VALUE"""),44733.0)</f>
        <v>44733</v>
      </c>
      <c r="C16282" s="6">
        <f>IFERROR(__xludf.DUMMYFUNCTION("""COMPUTED_VALUE"""),0.7626157407394203)</f>
        <v>0.7626157407</v>
      </c>
      <c r="D16282" s="4">
        <f>IFERROR(__xludf.DUMMYFUNCTION("""COMPUTED_VALUE"""),12.647275)</f>
        <v>12.647275</v>
      </c>
      <c r="E16282" s="4">
        <f>IFERROR(__xludf.DUMMYFUNCTION("""COMPUTED_VALUE"""),79.940412)</f>
        <v>79.940412</v>
      </c>
      <c r="F16282" s="4">
        <f>IFERROR(__xludf.DUMMYFUNCTION("""COMPUTED_VALUE"""),2846.0)</f>
        <v>2846</v>
      </c>
      <c r="G16282" s="4">
        <f>IFERROR(__xludf.DUMMYFUNCTION("""COMPUTED_VALUE"""),58.0)</f>
        <v>58</v>
      </c>
      <c r="H16282" s="4"/>
      <c r="I16282" s="4"/>
    </row>
    <row r="16283">
      <c r="A16283" s="4" t="str">
        <f>IFERROR(__xludf.DUMMYFUNCTION("""COMPUTED_VALUE"""),"cas_hmw")</f>
        <v>cas_hmw</v>
      </c>
      <c r="B16283" s="5">
        <f>IFERROR(__xludf.DUMMYFUNCTION("""COMPUTED_VALUE"""),44733.0)</f>
        <v>44733</v>
      </c>
      <c r="C16283" s="6">
        <f>IFERROR(__xludf.DUMMYFUNCTION("""COMPUTED_VALUE"""),0.7734259259268583)</f>
        <v>0.7734259259</v>
      </c>
      <c r="D16283" s="4">
        <f>IFERROR(__xludf.DUMMYFUNCTION("""COMPUTED_VALUE"""),12.736035)</f>
        <v>12.736035</v>
      </c>
      <c r="E16283" s="4">
        <f>IFERROR(__xludf.DUMMYFUNCTION("""COMPUTED_VALUE"""),79.986781)</f>
        <v>79.986781</v>
      </c>
      <c r="F16283" s="4">
        <f>IFERROR(__xludf.DUMMYFUNCTION("""COMPUTED_VALUE"""),2846.0)</f>
        <v>2846</v>
      </c>
      <c r="G16283" s="4">
        <f>IFERROR(__xludf.DUMMYFUNCTION("""COMPUTED_VALUE"""),59.0)</f>
        <v>59</v>
      </c>
      <c r="H16283" s="4"/>
      <c r="I16283" s="4"/>
    </row>
    <row r="16284">
      <c r="A16284" s="4" t="str">
        <f>IFERROR(__xludf.DUMMYFUNCTION("""COMPUTED_VALUE"""),"cas_hmw")</f>
        <v>cas_hmw</v>
      </c>
      <c r="B16284" s="5">
        <f>IFERROR(__xludf.DUMMYFUNCTION("""COMPUTED_VALUE"""),44733.0)</f>
        <v>44733</v>
      </c>
      <c r="C16284" s="6">
        <f>IFERROR(__xludf.DUMMYFUNCTION("""COMPUTED_VALUE"""),0.773611111111677)</f>
        <v>0.7736111111</v>
      </c>
      <c r="D16284" s="4">
        <f>IFERROR(__xludf.DUMMYFUNCTION("""COMPUTED_VALUE"""),12.741422)</f>
        <v>12.741422</v>
      </c>
      <c r="E16284" s="4">
        <f>IFERROR(__xludf.DUMMYFUNCTION("""COMPUTED_VALUE"""),79.990837)</f>
        <v>79.990837</v>
      </c>
      <c r="F16284" s="4">
        <f>IFERROR(__xludf.DUMMYFUNCTION("""COMPUTED_VALUE"""),2846.0)</f>
        <v>2846</v>
      </c>
      <c r="G16284" s="4">
        <f>IFERROR(__xludf.DUMMYFUNCTION("""COMPUTED_VALUE"""),39.0)</f>
        <v>39</v>
      </c>
      <c r="H16284" s="4"/>
      <c r="I16284" s="4"/>
    </row>
    <row r="16285">
      <c r="A16285" s="4" t="str">
        <f>IFERROR(__xludf.DUMMYFUNCTION("""COMPUTED_VALUE"""),"cas_hmw")</f>
        <v>cas_hmw</v>
      </c>
      <c r="B16285" s="5">
        <f>IFERROR(__xludf.DUMMYFUNCTION("""COMPUTED_VALUE"""),44733.0)</f>
        <v>44733</v>
      </c>
      <c r="C16285" s="6">
        <f>IFERROR(__xludf.DUMMYFUNCTION("""COMPUTED_VALUE"""),0.7751736111094942)</f>
        <v>0.7751736111</v>
      </c>
      <c r="D16285" s="4">
        <f>IFERROR(__xludf.DUMMYFUNCTION("""COMPUTED_VALUE"""),12.753912)</f>
        <v>12.753912</v>
      </c>
      <c r="E16285" s="4">
        <f>IFERROR(__xludf.DUMMYFUNCTION("""COMPUTED_VALUE"""),80.00039)</f>
        <v>80.00039</v>
      </c>
      <c r="F16285" s="4">
        <f>IFERROR(__xludf.DUMMYFUNCTION("""COMPUTED_VALUE"""),2846.0)</f>
        <v>2846</v>
      </c>
      <c r="G16285" s="4">
        <f>IFERROR(__xludf.DUMMYFUNCTION("""COMPUTED_VALUE"""),45.0)</f>
        <v>45</v>
      </c>
      <c r="H16285" s="4"/>
      <c r="I16285" s="4"/>
    </row>
    <row r="16286">
      <c r="A16286" s="4" t="str">
        <f>IFERROR(__xludf.DUMMYFUNCTION("""COMPUTED_VALUE"""),"cas_hmw")</f>
        <v>cas_hmw</v>
      </c>
      <c r="B16286" s="5">
        <f>IFERROR(__xludf.DUMMYFUNCTION("""COMPUTED_VALUE"""),44733.0)</f>
        <v>44733</v>
      </c>
      <c r="C16286" s="6">
        <f>IFERROR(__xludf.DUMMYFUNCTION("""COMPUTED_VALUE"""),0.7787615740744513)</f>
        <v>0.7787615741</v>
      </c>
      <c r="D16286" s="4">
        <f>IFERROR(__xludf.DUMMYFUNCTION("""COMPUTED_VALUE"""),12.761872)</f>
        <v>12.761872</v>
      </c>
      <c r="E16286" s="4">
        <f>IFERROR(__xludf.DUMMYFUNCTION("""COMPUTED_VALUE"""),80.003656)</f>
        <v>80.003656</v>
      </c>
      <c r="F16286" s="4">
        <f>IFERROR(__xludf.DUMMYFUNCTION("""COMPUTED_VALUE"""),2846.0)</f>
        <v>2846</v>
      </c>
      <c r="G16286" s="4">
        <f>IFERROR(__xludf.DUMMYFUNCTION("""COMPUTED_VALUE"""),4.0)</f>
        <v>4</v>
      </c>
      <c r="H16286" s="4"/>
      <c r="I16286" s="4"/>
    </row>
    <row r="16287">
      <c r="A16287" s="4" t="str">
        <f>IFERROR(__xludf.DUMMYFUNCTION("""COMPUTED_VALUE"""),"cas_hmw")</f>
        <v>cas_hmw</v>
      </c>
      <c r="B16287" s="5">
        <f>IFERROR(__xludf.DUMMYFUNCTION("""COMPUTED_VALUE"""),44733.0)</f>
        <v>44733</v>
      </c>
      <c r="C16287" s="6">
        <f>IFERROR(__xludf.DUMMYFUNCTION("""COMPUTED_VALUE"""),0.778981481482333)</f>
        <v>0.7789814815</v>
      </c>
      <c r="D16287" s="4">
        <f>IFERROR(__xludf.DUMMYFUNCTION("""COMPUTED_VALUE"""),12.762104)</f>
        <v>12.762104</v>
      </c>
      <c r="E16287" s="4">
        <f>IFERROR(__xludf.DUMMYFUNCTION("""COMPUTED_VALUE"""),80.003708)</f>
        <v>80.003708</v>
      </c>
      <c r="F16287" s="4">
        <f>IFERROR(__xludf.DUMMYFUNCTION("""COMPUTED_VALUE"""),2846.0)</f>
        <v>2846</v>
      </c>
      <c r="G16287" s="4">
        <f>IFERROR(__xludf.DUMMYFUNCTION("""COMPUTED_VALUE"""),0.0)</f>
        <v>0</v>
      </c>
      <c r="H16287" s="4"/>
      <c r="I16287" s="4"/>
    </row>
    <row r="16288">
      <c r="A16288" s="4" t="str">
        <f>IFERROR(__xludf.DUMMYFUNCTION("""COMPUTED_VALUE"""),"cas_hmw")</f>
        <v>cas_hmw</v>
      </c>
      <c r="B16288" s="5">
        <f>IFERROR(__xludf.DUMMYFUNCTION("""COMPUTED_VALUE"""),44733.0)</f>
        <v>44733</v>
      </c>
      <c r="C16288" s="6">
        <f>IFERROR(__xludf.DUMMYFUNCTION("""COMPUTED_VALUE"""),0.7805671296300716)</f>
        <v>0.7805671296</v>
      </c>
      <c r="D16288" s="4">
        <f>IFERROR(__xludf.DUMMYFUNCTION("""COMPUTED_VALUE"""),12.776288)</f>
        <v>12.776288</v>
      </c>
      <c r="E16288" s="4">
        <f>IFERROR(__xludf.DUMMYFUNCTION("""COMPUTED_VALUE"""),80.010035)</f>
        <v>80.010035</v>
      </c>
      <c r="F16288" s="4">
        <f>IFERROR(__xludf.DUMMYFUNCTION("""COMPUTED_VALUE"""),2846.0)</f>
        <v>2846</v>
      </c>
      <c r="G16288" s="4">
        <f>IFERROR(__xludf.DUMMYFUNCTION("""COMPUTED_VALUE"""),57.0)</f>
        <v>57</v>
      </c>
      <c r="H16288" s="4"/>
      <c r="I16288" s="4"/>
    </row>
    <row r="16289">
      <c r="A16289" s="4" t="str">
        <f>IFERROR(__xludf.DUMMYFUNCTION("""COMPUTED_VALUE"""),"cas_hmw")</f>
        <v>cas_hmw</v>
      </c>
      <c r="B16289" s="5">
        <f>IFERROR(__xludf.DUMMYFUNCTION("""COMPUTED_VALUE"""),44733.0)</f>
        <v>44733</v>
      </c>
      <c r="C16289" s="6">
        <f>IFERROR(__xludf.DUMMYFUNCTION("""COMPUTED_VALUE"""),0.7808912037035043)</f>
        <v>0.7808912037</v>
      </c>
      <c r="D16289" s="4">
        <f>IFERROR(__xludf.DUMMYFUNCTION("""COMPUTED_VALUE"""),12.778526)</f>
        <v>12.778526</v>
      </c>
      <c r="E16289" s="4">
        <f>IFERROR(__xludf.DUMMYFUNCTION("""COMPUTED_VALUE"""),80.011021)</f>
        <v>80.011021</v>
      </c>
      <c r="F16289" s="4">
        <f>IFERROR(__xludf.DUMMYFUNCTION("""COMPUTED_VALUE"""),2846.0)</f>
        <v>2846</v>
      </c>
      <c r="G16289" s="4">
        <f>IFERROR(__xludf.DUMMYFUNCTION("""COMPUTED_VALUE"""),57.0)</f>
        <v>57</v>
      </c>
      <c r="H16289" s="4"/>
      <c r="I16289" s="4"/>
    </row>
    <row r="16290">
      <c r="A16290" s="4" t="str">
        <f>IFERROR(__xludf.DUMMYFUNCTION("""COMPUTED_VALUE"""),"cas_hmw")</f>
        <v>cas_hmw</v>
      </c>
      <c r="B16290" s="5">
        <f>IFERROR(__xludf.DUMMYFUNCTION("""COMPUTED_VALUE"""),44733.0)</f>
        <v>44733</v>
      </c>
      <c r="C16290" s="6">
        <f>IFERROR(__xludf.DUMMYFUNCTION("""COMPUTED_VALUE"""),0.7819560185198497)</f>
        <v>0.7819560185</v>
      </c>
      <c r="D16290" s="4">
        <f>IFERROR(__xludf.DUMMYFUNCTION("""COMPUTED_VALUE"""),12.787795)</f>
        <v>12.787795</v>
      </c>
      <c r="E16290" s="4">
        <f>IFERROR(__xludf.DUMMYFUNCTION("""COMPUTED_VALUE"""),80.015552)</f>
        <v>80.015552</v>
      </c>
      <c r="F16290" s="4">
        <f>IFERROR(__xludf.DUMMYFUNCTION("""COMPUTED_VALUE"""),2846.0)</f>
        <v>2846</v>
      </c>
      <c r="G16290" s="4">
        <f>IFERROR(__xludf.DUMMYFUNCTION("""COMPUTED_VALUE"""),42.0)</f>
        <v>42</v>
      </c>
      <c r="H16290" s="4"/>
      <c r="I16290" s="4"/>
    </row>
    <row r="16291">
      <c r="A16291" s="4" t="str">
        <f>IFERROR(__xludf.DUMMYFUNCTION("""COMPUTED_VALUE"""),"cas_hmw")</f>
        <v>cas_hmw</v>
      </c>
      <c r="B16291" s="5">
        <f>IFERROR(__xludf.DUMMYFUNCTION("""COMPUTED_VALUE"""),44733.0)</f>
        <v>44733</v>
      </c>
      <c r="C16291" s="6">
        <f>IFERROR(__xludf.DUMMYFUNCTION("""COMPUTED_VALUE"""),0.7839120370372257)</f>
        <v>0.783912037</v>
      </c>
      <c r="D16291" s="4">
        <f>IFERROR(__xludf.DUMMYFUNCTION("""COMPUTED_VALUE"""),12.795195)</f>
        <v>12.795195</v>
      </c>
      <c r="E16291" s="4">
        <f>IFERROR(__xludf.DUMMYFUNCTION("""COMPUTED_VALUE"""),80.020094)</f>
        <v>80.020094</v>
      </c>
      <c r="F16291" s="4">
        <f>IFERROR(__xludf.DUMMYFUNCTION("""COMPUTED_VALUE"""),2846.0)</f>
        <v>2846</v>
      </c>
      <c r="G16291" s="4">
        <f>IFERROR(__xludf.DUMMYFUNCTION("""COMPUTED_VALUE"""),6.0)</f>
        <v>6</v>
      </c>
      <c r="H16291" s="4"/>
      <c r="I16291" s="4"/>
    </row>
    <row r="16292">
      <c r="A16292" s="4" t="str">
        <f>IFERROR(__xludf.DUMMYFUNCTION("""COMPUTED_VALUE"""),"cas_hmw")</f>
        <v>cas_hmw</v>
      </c>
      <c r="B16292" s="5">
        <f>IFERROR(__xludf.DUMMYFUNCTION("""COMPUTED_VALUE"""),44733.0)</f>
        <v>44733</v>
      </c>
      <c r="C16292" s="6">
        <f>IFERROR(__xludf.DUMMYFUNCTION("""COMPUTED_VALUE"""),0.7880671296297805)</f>
        <v>0.7880671296</v>
      </c>
      <c r="D16292" s="4">
        <f>IFERROR(__xludf.DUMMYFUNCTION("""COMPUTED_VALUE"""),12.830388)</f>
        <v>12.830388</v>
      </c>
      <c r="E16292" s="4">
        <f>IFERROR(__xludf.DUMMYFUNCTION("""COMPUTED_VALUE"""),80.045325)</f>
        <v>80.045325</v>
      </c>
      <c r="F16292" s="4">
        <f>IFERROR(__xludf.DUMMYFUNCTION("""COMPUTED_VALUE"""),2846.0)</f>
        <v>2846</v>
      </c>
      <c r="G16292" s="4">
        <f>IFERROR(__xludf.DUMMYFUNCTION("""COMPUTED_VALUE"""),19.0)</f>
        <v>19</v>
      </c>
      <c r="H16292" s="4"/>
      <c r="I16292" s="4"/>
    </row>
    <row r="16293">
      <c r="A16293" s="4" t="str">
        <f>IFERROR(__xludf.DUMMYFUNCTION("""COMPUTED_VALUE"""),"cas_hmw")</f>
        <v>cas_hmw</v>
      </c>
      <c r="B16293" s="5">
        <f>IFERROR(__xludf.DUMMYFUNCTION("""COMPUTED_VALUE"""),44733.0)</f>
        <v>44733</v>
      </c>
      <c r="C16293" s="6">
        <f>IFERROR(__xludf.DUMMYFUNCTION("""COMPUTED_VALUE"""),0.7896064814813144)</f>
        <v>0.7896064815</v>
      </c>
      <c r="D16293" s="4">
        <f>IFERROR(__xludf.DUMMYFUNCTION("""COMPUTED_VALUE"""),12.838897)</f>
        <v>12.838897</v>
      </c>
      <c r="E16293" s="4">
        <f>IFERROR(__xludf.DUMMYFUNCTION("""COMPUTED_VALUE"""),80.054271)</f>
        <v>80.054271</v>
      </c>
      <c r="F16293" s="4">
        <f>IFERROR(__xludf.DUMMYFUNCTION("""COMPUTED_VALUE"""),2846.0)</f>
        <v>2846</v>
      </c>
      <c r="G16293" s="4">
        <f>IFERROR(__xludf.DUMMYFUNCTION("""COMPUTED_VALUE"""),40.0)</f>
        <v>40</v>
      </c>
      <c r="H16293" s="4"/>
      <c r="I16293" s="4"/>
    </row>
    <row r="16294">
      <c r="A16294" s="4" t="str">
        <f>IFERROR(__xludf.DUMMYFUNCTION("""COMPUTED_VALUE"""),"cas_hmw")</f>
        <v>cas_hmw</v>
      </c>
      <c r="B16294" s="5">
        <f>IFERROR(__xludf.DUMMYFUNCTION("""COMPUTED_VALUE"""),44733.0)</f>
        <v>44733</v>
      </c>
      <c r="C16294" s="6">
        <f>IFERROR(__xludf.DUMMYFUNCTION("""COMPUTED_VALUE"""),0.7910416666672972)</f>
        <v>0.7910416667</v>
      </c>
      <c r="D16294" s="4">
        <f>IFERROR(__xludf.DUMMYFUNCTION("""COMPUTED_VALUE"""),12.845144)</f>
        <v>12.845144</v>
      </c>
      <c r="E16294" s="4">
        <f>IFERROR(__xludf.DUMMYFUNCTION("""COMPUTED_VALUE"""),80.060879)</f>
        <v>80.060879</v>
      </c>
      <c r="F16294" s="4">
        <f>IFERROR(__xludf.DUMMYFUNCTION("""COMPUTED_VALUE"""),2846.0)</f>
        <v>2846</v>
      </c>
      <c r="G16294" s="4">
        <f>IFERROR(__xludf.DUMMYFUNCTION("""COMPUTED_VALUE"""),26.0)</f>
        <v>26</v>
      </c>
      <c r="H16294" s="4"/>
      <c r="I16294" s="4"/>
    </row>
    <row r="16295">
      <c r="A16295" s="4" t="str">
        <f>IFERROR(__xludf.DUMMYFUNCTION("""COMPUTED_VALUE"""),"cas_hmw")</f>
        <v>cas_hmw</v>
      </c>
      <c r="B16295" s="5">
        <f>IFERROR(__xludf.DUMMYFUNCTION("""COMPUTED_VALUE"""),44733.0)</f>
        <v>44733</v>
      </c>
      <c r="C16295" s="6">
        <f>IFERROR(__xludf.DUMMYFUNCTION("""COMPUTED_VALUE"""),0.7910879629635019)</f>
        <v>0.791087963</v>
      </c>
      <c r="D16295" s="4">
        <f>IFERROR(__xludf.DUMMYFUNCTION("""COMPUTED_VALUE"""),12.845144)</f>
        <v>12.845144</v>
      </c>
      <c r="E16295" s="4">
        <f>IFERROR(__xludf.DUMMYFUNCTION("""COMPUTED_VALUE"""),80.060879)</f>
        <v>80.060879</v>
      </c>
      <c r="F16295" s="4">
        <f>IFERROR(__xludf.DUMMYFUNCTION("""COMPUTED_VALUE"""),2846.0)</f>
        <v>2846</v>
      </c>
      <c r="G16295" s="4">
        <f>IFERROR(__xludf.DUMMYFUNCTION("""COMPUTED_VALUE"""),26.0)</f>
        <v>26</v>
      </c>
      <c r="H16295" s="4"/>
      <c r="I16295" s="4"/>
    </row>
    <row r="16296">
      <c r="A16296" s="4" t="str">
        <f>IFERROR(__xludf.DUMMYFUNCTION("""COMPUTED_VALUE"""),"cas_hmw")</f>
        <v>cas_hmw</v>
      </c>
      <c r="B16296" s="5">
        <f>IFERROR(__xludf.DUMMYFUNCTION("""COMPUTED_VALUE"""),44733.0)</f>
        <v>44733</v>
      </c>
      <c r="C16296" s="6">
        <f>IFERROR(__xludf.DUMMYFUNCTION("""COMPUTED_VALUE"""),0.7910995370366436)</f>
        <v>0.791099537</v>
      </c>
      <c r="D16296" s="4">
        <f>IFERROR(__xludf.DUMMYFUNCTION("""COMPUTED_VALUE"""),12.845144)</f>
        <v>12.845144</v>
      </c>
      <c r="E16296" s="4">
        <f>IFERROR(__xludf.DUMMYFUNCTION("""COMPUTED_VALUE"""),80.060879)</f>
        <v>80.060879</v>
      </c>
      <c r="F16296" s="4">
        <f>IFERROR(__xludf.DUMMYFUNCTION("""COMPUTED_VALUE"""),2846.0)</f>
        <v>2846</v>
      </c>
      <c r="G16296" s="4">
        <f>IFERROR(__xludf.DUMMYFUNCTION("""COMPUTED_VALUE"""),26.0)</f>
        <v>26</v>
      </c>
      <c r="H16296" s="4"/>
      <c r="I16296" s="4"/>
    </row>
    <row r="16297">
      <c r="A16297" s="4" t="str">
        <f>IFERROR(__xludf.DUMMYFUNCTION("""COMPUTED_VALUE"""),"cas_hmw")</f>
        <v>cas_hmw</v>
      </c>
      <c r="B16297" s="5">
        <f>IFERROR(__xludf.DUMMYFUNCTION("""COMPUTED_VALUE"""),44733.0)</f>
        <v>44733</v>
      </c>
      <c r="C16297" s="6">
        <f>IFERROR(__xludf.DUMMYFUNCTION("""COMPUTED_VALUE"""),0.7919444444451074)</f>
        <v>0.7919444444</v>
      </c>
      <c r="D16297" s="4">
        <f>IFERROR(__xludf.DUMMYFUNCTION("""COMPUTED_VALUE"""),12.849479)</f>
        <v>12.849479</v>
      </c>
      <c r="E16297" s="4">
        <f>IFERROR(__xludf.DUMMYFUNCTION("""COMPUTED_VALUE"""),80.064306)</f>
        <v>80.064306</v>
      </c>
      <c r="F16297" s="4">
        <f>IFERROR(__xludf.DUMMYFUNCTION("""COMPUTED_VALUE"""),2846.0)</f>
        <v>2846</v>
      </c>
      <c r="G16297" s="4">
        <f>IFERROR(__xludf.DUMMYFUNCTION("""COMPUTED_VALUE"""),18.0)</f>
        <v>18</v>
      </c>
      <c r="H16297" s="4"/>
      <c r="I16297" s="4"/>
    </row>
    <row r="16298">
      <c r="A16298" s="4" t="str">
        <f>IFERROR(__xludf.DUMMYFUNCTION("""COMPUTED_VALUE"""),"cas_hmw")</f>
        <v>cas_hmw</v>
      </c>
      <c r="B16298" s="5">
        <f>IFERROR(__xludf.DUMMYFUNCTION("""COMPUTED_VALUE"""),44733.0)</f>
        <v>44733</v>
      </c>
      <c r="C16298" s="6">
        <f>IFERROR(__xludf.DUMMYFUNCTION("""COMPUTED_VALUE"""),0.7926620370380988)</f>
        <v>0.792662037</v>
      </c>
      <c r="D16298" s="4">
        <f>IFERROR(__xludf.DUMMYFUNCTION("""COMPUTED_VALUE"""),12.851911)</f>
        <v>12.851911</v>
      </c>
      <c r="E16298" s="4">
        <f>IFERROR(__xludf.DUMMYFUNCTION("""COMPUTED_VALUE"""),80.066077)</f>
        <v>80.066077</v>
      </c>
      <c r="F16298" s="4">
        <f>IFERROR(__xludf.DUMMYFUNCTION("""COMPUTED_VALUE"""),2846.0)</f>
        <v>2846</v>
      </c>
      <c r="G16298" s="4">
        <f>IFERROR(__xludf.DUMMYFUNCTION("""COMPUTED_VALUE"""),40.0)</f>
        <v>40</v>
      </c>
      <c r="H16298" s="4"/>
      <c r="I16298" s="4"/>
    </row>
    <row r="16299">
      <c r="A16299" s="4" t="str">
        <f>IFERROR(__xludf.DUMMYFUNCTION("""COMPUTED_VALUE"""),"cas_hmw")</f>
        <v>cas_hmw</v>
      </c>
      <c r="B16299" s="5">
        <f>IFERROR(__xludf.DUMMYFUNCTION("""COMPUTED_VALUE"""),44733.0)</f>
        <v>44733</v>
      </c>
      <c r="C16299" s="6">
        <f>IFERROR(__xludf.DUMMYFUNCTION("""COMPUTED_VALUE"""),0.7943055555551837)</f>
        <v>0.7943055556</v>
      </c>
      <c r="D16299" s="4">
        <f>IFERROR(__xludf.DUMMYFUNCTION("""COMPUTED_VALUE"""),12.863664)</f>
        <v>12.863664</v>
      </c>
      <c r="E16299" s="4">
        <f>IFERROR(__xludf.DUMMYFUNCTION("""COMPUTED_VALUE"""),80.074008)</f>
        <v>80.074008</v>
      </c>
      <c r="F16299" s="4">
        <f>IFERROR(__xludf.DUMMYFUNCTION("""COMPUTED_VALUE"""),2846.0)</f>
        <v>2846</v>
      </c>
      <c r="G16299" s="4">
        <f>IFERROR(__xludf.DUMMYFUNCTION("""COMPUTED_VALUE"""),57.0)</f>
        <v>57</v>
      </c>
      <c r="H16299" s="4"/>
      <c r="I16299" s="4"/>
    </row>
    <row r="16300">
      <c r="A16300" s="4" t="str">
        <f>IFERROR(__xludf.DUMMYFUNCTION("""COMPUTED_VALUE"""),"cas_hmw")</f>
        <v>cas_hmw</v>
      </c>
      <c r="B16300" s="5">
        <f>IFERROR(__xludf.DUMMYFUNCTION("""COMPUTED_VALUE"""),44733.0)</f>
        <v>44733</v>
      </c>
      <c r="C16300" s="6">
        <f>IFERROR(__xludf.DUMMYFUNCTION("""COMPUTED_VALUE"""),0.7945486111093487)</f>
        <v>0.7945486111</v>
      </c>
      <c r="D16300" s="4">
        <f>IFERROR(__xludf.DUMMYFUNCTION("""COMPUTED_VALUE"""),12.865839)</f>
        <v>12.865839</v>
      </c>
      <c r="E16300" s="4">
        <f>IFERROR(__xludf.DUMMYFUNCTION("""COMPUTED_VALUE"""),80.074832)</f>
        <v>80.074832</v>
      </c>
      <c r="F16300" s="4">
        <f>IFERROR(__xludf.DUMMYFUNCTION("""COMPUTED_VALUE"""),2846.0)</f>
        <v>2846</v>
      </c>
      <c r="G16300" s="4">
        <f>IFERROR(__xludf.DUMMYFUNCTION("""COMPUTED_VALUE"""),56.0)</f>
        <v>56</v>
      </c>
      <c r="H16300" s="4"/>
      <c r="I16300" s="4"/>
    </row>
    <row r="16301">
      <c r="A16301" s="4" t="str">
        <f>IFERROR(__xludf.DUMMYFUNCTION("""COMPUTED_VALUE"""),"cas_hmw")</f>
        <v>cas_hmw</v>
      </c>
      <c r="B16301" s="5">
        <f>IFERROR(__xludf.DUMMYFUNCTION("""COMPUTED_VALUE"""),44733.0)</f>
        <v>44733</v>
      </c>
      <c r="C16301" s="6">
        <f>IFERROR(__xludf.DUMMYFUNCTION("""COMPUTED_VALUE"""),0.7947337962978054)</f>
        <v>0.7947337963</v>
      </c>
      <c r="D16301" s="4">
        <f>IFERROR(__xludf.DUMMYFUNCTION("""COMPUTED_VALUE"""),12.867191)</f>
        <v>12.867191</v>
      </c>
      <c r="E16301" s="4">
        <f>IFERROR(__xludf.DUMMYFUNCTION("""COMPUTED_VALUE"""),80.075327)</f>
        <v>80.075327</v>
      </c>
      <c r="F16301" s="4">
        <f>IFERROR(__xludf.DUMMYFUNCTION("""COMPUTED_VALUE"""),2846.0)</f>
        <v>2846</v>
      </c>
      <c r="G16301" s="4">
        <f>IFERROR(__xludf.DUMMYFUNCTION("""COMPUTED_VALUE"""),28.0)</f>
        <v>28</v>
      </c>
      <c r="H16301" s="4"/>
      <c r="I16301" s="4"/>
    </row>
    <row r="16302">
      <c r="A16302" s="4" t="str">
        <f>IFERROR(__xludf.DUMMYFUNCTION("""COMPUTED_VALUE"""),"cas_hmw")</f>
        <v>cas_hmw</v>
      </c>
      <c r="B16302" s="5">
        <f>IFERROR(__xludf.DUMMYFUNCTION("""COMPUTED_VALUE"""),44733.0)</f>
        <v>44733</v>
      </c>
      <c r="C16302" s="6">
        <f>IFERROR(__xludf.DUMMYFUNCTION("""COMPUTED_VALUE"""),0.7947685185172304)</f>
        <v>0.7947685185</v>
      </c>
      <c r="D16302" s="4">
        <f>IFERROR(__xludf.DUMMYFUNCTION("""COMPUTED_VALUE"""),12.867191)</f>
        <v>12.867191</v>
      </c>
      <c r="E16302" s="4">
        <f>IFERROR(__xludf.DUMMYFUNCTION("""COMPUTED_VALUE"""),80.075327)</f>
        <v>80.075327</v>
      </c>
      <c r="F16302" s="4">
        <f>IFERROR(__xludf.DUMMYFUNCTION("""COMPUTED_VALUE"""),2846.0)</f>
        <v>2846</v>
      </c>
      <c r="G16302" s="4">
        <f>IFERROR(__xludf.DUMMYFUNCTION("""COMPUTED_VALUE"""),28.0)</f>
        <v>28</v>
      </c>
      <c r="H16302" s="4"/>
      <c r="I16302" s="4"/>
    </row>
    <row r="16303">
      <c r="A16303" s="4" t="str">
        <f>IFERROR(__xludf.DUMMYFUNCTION("""COMPUTED_VALUE"""),"cas_hmw")</f>
        <v>cas_hmw</v>
      </c>
      <c r="B16303" s="5">
        <f>IFERROR(__xludf.DUMMYFUNCTION("""COMPUTED_VALUE"""),44733.0)</f>
        <v>44733</v>
      </c>
      <c r="C16303" s="6">
        <f>IFERROR(__xludf.DUMMYFUNCTION("""COMPUTED_VALUE"""),0.7949652777788287)</f>
        <v>0.7949652778</v>
      </c>
      <c r="D16303" s="4">
        <f>IFERROR(__xludf.DUMMYFUNCTION("""COMPUTED_VALUE"""),12.86843)</f>
        <v>12.86843</v>
      </c>
      <c r="E16303" s="4">
        <f>IFERROR(__xludf.DUMMYFUNCTION("""COMPUTED_VALUE"""),80.075832)</f>
        <v>80.075832</v>
      </c>
      <c r="F16303" s="4">
        <f>IFERROR(__xludf.DUMMYFUNCTION("""COMPUTED_VALUE"""),2846.0)</f>
        <v>2846</v>
      </c>
      <c r="G16303" s="4">
        <f>IFERROR(__xludf.DUMMYFUNCTION("""COMPUTED_VALUE"""),39.0)</f>
        <v>39</v>
      </c>
      <c r="H16303" s="4"/>
      <c r="I16303" s="4"/>
    </row>
    <row r="16304">
      <c r="A16304" s="4" t="str">
        <f>IFERROR(__xludf.DUMMYFUNCTION("""COMPUTED_VALUE"""),"cas_hmw")</f>
        <v>cas_hmw</v>
      </c>
      <c r="B16304" s="5">
        <f>IFERROR(__xludf.DUMMYFUNCTION("""COMPUTED_VALUE"""),44735.0)</f>
        <v>44735</v>
      </c>
      <c r="C16304" s="6">
        <f>IFERROR(__xludf.DUMMYFUNCTION("""COMPUTED_VALUE"""),0.23788194444568944)</f>
        <v>0.2378819444</v>
      </c>
      <c r="D16304" s="4">
        <f>IFERROR(__xludf.DUMMYFUNCTION("""COMPUTED_VALUE"""),12.854382)</f>
        <v>12.854382</v>
      </c>
      <c r="E16304" s="4">
        <f>IFERROR(__xludf.DUMMYFUNCTION("""COMPUTED_VALUE"""),80.068033)</f>
        <v>80.068033</v>
      </c>
      <c r="F16304" s="4">
        <f>IFERROR(__xludf.DUMMYFUNCTION("""COMPUTED_VALUE"""),2846.0)</f>
        <v>2846</v>
      </c>
      <c r="G16304" s="4">
        <f>IFERROR(__xludf.DUMMYFUNCTION("""COMPUTED_VALUE"""),52.0)</f>
        <v>52</v>
      </c>
      <c r="H16304" s="4"/>
      <c r="I16304" s="4"/>
    </row>
    <row r="16305">
      <c r="A16305" s="4" t="str">
        <f>IFERROR(__xludf.DUMMYFUNCTION("""COMPUTED_VALUE"""),"cas_hmw")</f>
        <v>cas_hmw</v>
      </c>
      <c r="B16305" s="5">
        <f>IFERROR(__xludf.DUMMYFUNCTION("""COMPUTED_VALUE"""),44735.0)</f>
        <v>44735</v>
      </c>
      <c r="C16305" s="6">
        <f>IFERROR(__xludf.DUMMYFUNCTION("""COMPUTED_VALUE"""),0.2972337962964957)</f>
        <v>0.2972337963</v>
      </c>
      <c r="D16305" s="4">
        <f>IFERROR(__xludf.DUMMYFUNCTION("""COMPUTED_VALUE"""),13.061983)</f>
        <v>13.061983</v>
      </c>
      <c r="E16305" s="4">
        <f>IFERROR(__xludf.DUMMYFUNCTION("""COMPUTED_VALUE"""),80.245786)</f>
        <v>80.245786</v>
      </c>
      <c r="F16305" s="4">
        <f>IFERROR(__xludf.DUMMYFUNCTION("""COMPUTED_VALUE"""),5339.0)</f>
        <v>5339</v>
      </c>
      <c r="G16305" s="4">
        <f>IFERROR(__xludf.DUMMYFUNCTION("""COMPUTED_VALUE"""),42.0)</f>
        <v>42</v>
      </c>
      <c r="H16305" s="4"/>
      <c r="I16305" s="4"/>
    </row>
    <row r="16306">
      <c r="A16306" s="4" t="str">
        <f>IFERROR(__xludf.DUMMYFUNCTION("""COMPUTED_VALUE"""),"cas_hmw")</f>
        <v>cas_hmw</v>
      </c>
      <c r="B16306" s="5">
        <f>IFERROR(__xludf.DUMMYFUNCTION("""COMPUTED_VALUE"""),44735.0)</f>
        <v>44735</v>
      </c>
      <c r="C16306" s="6">
        <f>IFERROR(__xludf.DUMMYFUNCTION("""COMPUTED_VALUE"""),0.29736111111196806)</f>
        <v>0.2973611111</v>
      </c>
      <c r="D16306" s="4">
        <f>IFERROR(__xludf.DUMMYFUNCTION("""COMPUTED_VALUE"""),13.063237)</f>
        <v>13.063237</v>
      </c>
      <c r="E16306" s="4">
        <f>IFERROR(__xludf.DUMMYFUNCTION("""COMPUTED_VALUE"""),80.244278)</f>
        <v>80.244278</v>
      </c>
      <c r="F16306" s="4">
        <f>IFERROR(__xludf.DUMMYFUNCTION("""COMPUTED_VALUE"""),5339.0)</f>
        <v>5339</v>
      </c>
      <c r="G16306" s="4">
        <f>IFERROR(__xludf.DUMMYFUNCTION("""COMPUTED_VALUE"""),37.0)</f>
        <v>37</v>
      </c>
      <c r="H16306" s="4"/>
      <c r="I16306" s="4"/>
    </row>
    <row r="16307">
      <c r="A16307" s="4" t="str">
        <f>IFERROR(__xludf.DUMMYFUNCTION("""COMPUTED_VALUE"""),"cas_hmw")</f>
        <v>cas_hmw</v>
      </c>
      <c r="B16307" s="5">
        <f>IFERROR(__xludf.DUMMYFUNCTION("""COMPUTED_VALUE"""),44735.0)</f>
        <v>44735</v>
      </c>
      <c r="C16307" s="6">
        <f>IFERROR(__xludf.DUMMYFUNCTION("""COMPUTED_VALUE"""),0.3118865740725596)</f>
        <v>0.3118865741</v>
      </c>
      <c r="D16307" s="4">
        <f>IFERROR(__xludf.DUMMYFUNCTION("""COMPUTED_VALUE"""),13.054225)</f>
        <v>13.054225</v>
      </c>
      <c r="E16307" s="4">
        <f>IFERROR(__xludf.DUMMYFUNCTION("""COMPUTED_VALUE"""),80.260157)</f>
        <v>80.260157</v>
      </c>
      <c r="F16307" s="4">
        <f>IFERROR(__xludf.DUMMYFUNCTION("""COMPUTED_VALUE"""),5339.0)</f>
        <v>5339</v>
      </c>
      <c r="G16307" s="4">
        <f>IFERROR(__xludf.DUMMYFUNCTION("""COMPUTED_VALUE"""),39.0)</f>
        <v>39</v>
      </c>
      <c r="H16307" s="4"/>
      <c r="I16307" s="4"/>
    </row>
    <row r="16308">
      <c r="A16308" s="4" t="str">
        <f>IFERROR(__xludf.DUMMYFUNCTION("""COMPUTED_VALUE"""),"cas_hmw")</f>
        <v>cas_hmw</v>
      </c>
      <c r="B16308" s="5">
        <f>IFERROR(__xludf.DUMMYFUNCTION("""COMPUTED_VALUE"""),44735.0)</f>
        <v>44735</v>
      </c>
      <c r="C16308" s="6">
        <f>IFERROR(__xludf.DUMMYFUNCTION("""COMPUTED_VALUE"""),0.3119907407417486)</f>
        <v>0.3119907407</v>
      </c>
      <c r="D16308" s="4">
        <f>IFERROR(__xludf.DUMMYFUNCTION("""COMPUTED_VALUE"""),13.054308)</f>
        <v>13.054308</v>
      </c>
      <c r="E16308" s="4">
        <f>IFERROR(__xludf.DUMMYFUNCTION("""COMPUTED_VALUE"""),80.259105)</f>
        <v>80.259105</v>
      </c>
      <c r="F16308" s="4">
        <f>IFERROR(__xludf.DUMMYFUNCTION("""COMPUTED_VALUE"""),5339.0)</f>
        <v>5339</v>
      </c>
      <c r="G16308" s="4">
        <f>IFERROR(__xludf.DUMMYFUNCTION("""COMPUTED_VALUE"""),39.0)</f>
        <v>39</v>
      </c>
      <c r="H16308" s="4"/>
      <c r="I16308" s="4"/>
    </row>
    <row r="16309">
      <c r="A16309" s="4" t="str">
        <f>IFERROR(__xludf.DUMMYFUNCTION("""COMPUTED_VALUE"""),"cas_hmw")</f>
        <v>cas_hmw</v>
      </c>
      <c r="B16309" s="5">
        <f>IFERROR(__xludf.DUMMYFUNCTION("""COMPUTED_VALUE"""),44735.0)</f>
        <v>44735</v>
      </c>
      <c r="C16309" s="6">
        <f>IFERROR(__xludf.DUMMYFUNCTION("""COMPUTED_VALUE"""),0.31225694444583496)</f>
        <v>0.3122569444</v>
      </c>
      <c r="D16309" s="4">
        <f>IFERROR(__xludf.DUMMYFUNCTION("""COMPUTED_VALUE"""),13.054601)</f>
        <v>13.054601</v>
      </c>
      <c r="E16309" s="4">
        <f>IFERROR(__xludf.DUMMYFUNCTION("""COMPUTED_VALUE"""),80.255806)</f>
        <v>80.255806</v>
      </c>
      <c r="F16309" s="4">
        <f>IFERROR(__xludf.DUMMYFUNCTION("""COMPUTED_VALUE"""),5339.0)</f>
        <v>5339</v>
      </c>
      <c r="G16309" s="4">
        <f>IFERROR(__xludf.DUMMYFUNCTION("""COMPUTED_VALUE"""),49.0)</f>
        <v>49</v>
      </c>
      <c r="H16309" s="4"/>
      <c r="I16309" s="4"/>
    </row>
    <row r="16310">
      <c r="A16310" s="4" t="str">
        <f>IFERROR(__xludf.DUMMYFUNCTION("""COMPUTED_VALUE"""),"cas_hmw")</f>
        <v>cas_hmw</v>
      </c>
      <c r="B16310" s="5">
        <f>IFERROR(__xludf.DUMMYFUNCTION("""COMPUTED_VALUE"""),44735.0)</f>
        <v>44735</v>
      </c>
      <c r="C16310" s="6">
        <f>IFERROR(__xludf.DUMMYFUNCTION("""COMPUTED_VALUE"""),0.31310185185066075)</f>
        <v>0.3131018519</v>
      </c>
      <c r="D16310" s="4">
        <f>IFERROR(__xludf.DUMMYFUNCTION("""COMPUTED_VALUE"""),13.052152)</f>
        <v>13.052152</v>
      </c>
      <c r="E16310" s="4">
        <f>IFERROR(__xludf.DUMMYFUNCTION("""COMPUTED_VALUE"""),80.250779)</f>
        <v>80.250779</v>
      </c>
      <c r="F16310" s="4">
        <f>IFERROR(__xludf.DUMMYFUNCTION("""COMPUTED_VALUE"""),5339.0)</f>
        <v>5339</v>
      </c>
      <c r="G16310" s="4">
        <f>IFERROR(__xludf.DUMMYFUNCTION("""COMPUTED_VALUE"""),43.0)</f>
        <v>43</v>
      </c>
      <c r="H16310" s="4"/>
      <c r="I16310" s="4"/>
    </row>
    <row r="16311">
      <c r="A16311" s="4" t="str">
        <f>IFERROR(__xludf.DUMMYFUNCTION("""COMPUTED_VALUE"""),"cas_hmw")</f>
        <v>cas_hmw</v>
      </c>
      <c r="B16311" s="5">
        <f>IFERROR(__xludf.DUMMYFUNCTION("""COMPUTED_VALUE"""),44735.0)</f>
        <v>44735</v>
      </c>
      <c r="C16311" s="6">
        <f>IFERROR(__xludf.DUMMYFUNCTION("""COMPUTED_VALUE"""),0.31324074073927477)</f>
        <v>0.3132407407</v>
      </c>
      <c r="D16311" s="4">
        <f>IFERROR(__xludf.DUMMYFUNCTION("""COMPUTED_VALUE"""),13.052152)</f>
        <v>13.052152</v>
      </c>
      <c r="E16311" s="4">
        <f>IFERROR(__xludf.DUMMYFUNCTION("""COMPUTED_VALUE"""),80.250779)</f>
        <v>80.250779</v>
      </c>
      <c r="F16311" s="4">
        <f>IFERROR(__xludf.DUMMYFUNCTION("""COMPUTED_VALUE"""),5339.0)</f>
        <v>5339</v>
      </c>
      <c r="G16311" s="4">
        <f>IFERROR(__xludf.DUMMYFUNCTION("""COMPUTED_VALUE"""),43.0)</f>
        <v>43</v>
      </c>
      <c r="H16311" s="4"/>
      <c r="I16311" s="4"/>
    </row>
    <row r="16312">
      <c r="A16312" s="4" t="str">
        <f>IFERROR(__xludf.DUMMYFUNCTION("""COMPUTED_VALUE"""),"cas_hmw")</f>
        <v>cas_hmw</v>
      </c>
      <c r="B16312" s="5">
        <f>IFERROR(__xludf.DUMMYFUNCTION("""COMPUTED_VALUE"""),44735.0)</f>
        <v>44735</v>
      </c>
      <c r="C16312" s="6">
        <f>IFERROR(__xludf.DUMMYFUNCTION("""COMPUTED_VALUE"""),0.3134490740740148)</f>
        <v>0.3134490741</v>
      </c>
      <c r="D16312" s="4">
        <f>IFERROR(__xludf.DUMMYFUNCTION("""COMPUTED_VALUE"""),13.048207)</f>
        <v>13.048207</v>
      </c>
      <c r="E16312" s="4">
        <f>IFERROR(__xludf.DUMMYFUNCTION("""COMPUTED_VALUE"""),80.249489)</f>
        <v>80.249489</v>
      </c>
      <c r="F16312" s="4">
        <f>IFERROR(__xludf.DUMMYFUNCTION("""COMPUTED_VALUE"""),5339.0)</f>
        <v>5339</v>
      </c>
      <c r="G16312" s="4">
        <f>IFERROR(__xludf.DUMMYFUNCTION("""COMPUTED_VALUE"""),38.0)</f>
        <v>38</v>
      </c>
      <c r="H16312" s="4"/>
      <c r="I16312" s="4"/>
    </row>
    <row r="16313">
      <c r="A16313" s="4" t="str">
        <f>IFERROR(__xludf.DUMMYFUNCTION("""COMPUTED_VALUE"""),"cas_hmw")</f>
        <v>cas_hmw</v>
      </c>
      <c r="B16313" s="5">
        <f>IFERROR(__xludf.DUMMYFUNCTION("""COMPUTED_VALUE"""),44735.0)</f>
        <v>44735</v>
      </c>
      <c r="C16313" s="6">
        <f>IFERROR(__xludf.DUMMYFUNCTION("""COMPUTED_VALUE"""),0.31840277777882875)</f>
        <v>0.3184027778</v>
      </c>
      <c r="D16313" s="4">
        <f>IFERROR(__xludf.DUMMYFUNCTION("""COMPUTED_VALUE"""),12.689053)</f>
        <v>12.689053</v>
      </c>
      <c r="E16313" s="4">
        <f>IFERROR(__xludf.DUMMYFUNCTION("""COMPUTED_VALUE"""),79.982444)</f>
        <v>79.982444</v>
      </c>
      <c r="F16313" s="4">
        <f>IFERROR(__xludf.DUMMYFUNCTION("""COMPUTED_VALUE"""),2846.0)</f>
        <v>2846</v>
      </c>
      <c r="G16313" s="4">
        <f>IFERROR(__xludf.DUMMYFUNCTION("""COMPUTED_VALUE"""),31.0)</f>
        <v>31</v>
      </c>
      <c r="H16313" s="4"/>
      <c r="I16313" s="4"/>
    </row>
    <row r="16314">
      <c r="A16314" s="4" t="str">
        <f>IFERROR(__xludf.DUMMYFUNCTION("""COMPUTED_VALUE"""),"cas_hmw")</f>
        <v>cas_hmw</v>
      </c>
      <c r="B16314" s="5">
        <f>IFERROR(__xludf.DUMMYFUNCTION("""COMPUTED_VALUE"""),44735.0)</f>
        <v>44735</v>
      </c>
      <c r="C16314" s="6">
        <f>IFERROR(__xludf.DUMMYFUNCTION("""COMPUTED_VALUE"""),0.3191203703718202)</f>
        <v>0.3191203704</v>
      </c>
      <c r="D16314" s="4">
        <f>IFERROR(__xludf.DUMMYFUNCTION("""COMPUTED_VALUE"""),13.019992)</f>
        <v>13.019992</v>
      </c>
      <c r="E16314" s="4">
        <f>IFERROR(__xludf.DUMMYFUNCTION("""COMPUTED_VALUE"""),80.22482)</f>
        <v>80.22482</v>
      </c>
      <c r="F16314" s="4">
        <f>IFERROR(__xludf.DUMMYFUNCTION("""COMPUTED_VALUE"""),5339.0)</f>
        <v>5339</v>
      </c>
      <c r="G16314" s="4">
        <f>IFERROR(__xludf.DUMMYFUNCTION("""COMPUTED_VALUE"""),20.0)</f>
        <v>20</v>
      </c>
      <c r="H16314" s="4"/>
      <c r="I16314" s="4"/>
    </row>
    <row r="16315">
      <c r="A16315" s="4" t="str">
        <f>IFERROR(__xludf.DUMMYFUNCTION("""COMPUTED_VALUE"""),"cas_hmw")</f>
        <v>cas_hmw</v>
      </c>
      <c r="B16315" s="5">
        <f>IFERROR(__xludf.DUMMYFUNCTION("""COMPUTED_VALUE"""),44735.0)</f>
        <v>44735</v>
      </c>
      <c r="C16315" s="6">
        <f>IFERROR(__xludf.DUMMYFUNCTION("""COMPUTED_VALUE"""),0.31935185185284354)</f>
        <v>0.3193518519</v>
      </c>
      <c r="D16315" s="4">
        <f>IFERROR(__xludf.DUMMYFUNCTION("""COMPUTED_VALUE"""),13.018515)</f>
        <v>13.018515</v>
      </c>
      <c r="E16315" s="4">
        <f>IFERROR(__xludf.DUMMYFUNCTION("""COMPUTED_VALUE"""),80.224638)</f>
        <v>80.224638</v>
      </c>
      <c r="F16315" s="4">
        <f>IFERROR(__xludf.DUMMYFUNCTION("""COMPUTED_VALUE"""),5339.0)</f>
        <v>5339</v>
      </c>
      <c r="G16315" s="4">
        <f>IFERROR(__xludf.DUMMYFUNCTION("""COMPUTED_VALUE"""),38.0)</f>
        <v>38</v>
      </c>
      <c r="H16315" s="4"/>
      <c r="I16315" s="4"/>
    </row>
    <row r="16316">
      <c r="A16316" s="4" t="str">
        <f>IFERROR(__xludf.DUMMYFUNCTION("""COMPUTED_VALUE"""),"cas_hmw")</f>
        <v>cas_hmw</v>
      </c>
      <c r="B16316" s="5">
        <f>IFERROR(__xludf.DUMMYFUNCTION("""COMPUTED_VALUE"""),44735.0)</f>
        <v>44735</v>
      </c>
      <c r="C16316" s="6">
        <f>IFERROR(__xludf.DUMMYFUNCTION("""COMPUTED_VALUE"""),0.3195949074070086)</f>
        <v>0.3195949074</v>
      </c>
      <c r="D16316" s="4">
        <f>IFERROR(__xludf.DUMMYFUNCTION("""COMPUTED_VALUE"""),13.016495)</f>
        <v>13.016495</v>
      </c>
      <c r="E16316" s="4">
        <f>IFERROR(__xludf.DUMMYFUNCTION("""COMPUTED_VALUE"""),80.225453)</f>
        <v>80.225453</v>
      </c>
      <c r="F16316" s="4">
        <f>IFERROR(__xludf.DUMMYFUNCTION("""COMPUTED_VALUE"""),5339.0)</f>
        <v>5339</v>
      </c>
      <c r="G16316" s="4">
        <f>IFERROR(__xludf.DUMMYFUNCTION("""COMPUTED_VALUE"""),41.0)</f>
        <v>41</v>
      </c>
      <c r="H16316" s="4"/>
      <c r="I16316" s="4"/>
    </row>
    <row r="16317">
      <c r="A16317" s="4" t="str">
        <f>IFERROR(__xludf.DUMMYFUNCTION("""COMPUTED_VALUE"""),"cas_hmw")</f>
        <v>cas_hmw</v>
      </c>
      <c r="B16317" s="5">
        <f>IFERROR(__xludf.DUMMYFUNCTION("""COMPUTED_VALUE"""),44735.0)</f>
        <v>44735</v>
      </c>
      <c r="C16317" s="6">
        <f>IFERROR(__xludf.DUMMYFUNCTION("""COMPUTED_VALUE"""),0.3210069444430701)</f>
        <v>0.3210069444</v>
      </c>
      <c r="D16317" s="4">
        <f>IFERROR(__xludf.DUMMYFUNCTION("""COMPUTED_VALUE"""),13.010175)</f>
        <v>13.010175</v>
      </c>
      <c r="E16317" s="4">
        <f>IFERROR(__xludf.DUMMYFUNCTION("""COMPUTED_VALUE"""),80.226103)</f>
        <v>80.226103</v>
      </c>
      <c r="F16317" s="4">
        <f>IFERROR(__xludf.DUMMYFUNCTION("""COMPUTED_VALUE"""),5339.0)</f>
        <v>5339</v>
      </c>
      <c r="G16317" s="4">
        <f>IFERROR(__xludf.DUMMYFUNCTION("""COMPUTED_VALUE"""),44.0)</f>
        <v>44</v>
      </c>
      <c r="H16317" s="4"/>
      <c r="I16317" s="4"/>
    </row>
    <row r="16318">
      <c r="A16318" s="4" t="str">
        <f>IFERROR(__xludf.DUMMYFUNCTION("""COMPUTED_VALUE"""),"cas_hmw")</f>
        <v>cas_hmw</v>
      </c>
      <c r="B16318" s="5">
        <f>IFERROR(__xludf.DUMMYFUNCTION("""COMPUTED_VALUE"""),44735.0)</f>
        <v>44735</v>
      </c>
      <c r="C16318" s="6">
        <f>IFERROR(__xludf.DUMMYFUNCTION("""COMPUTED_VALUE"""),0.3214467592588335)</f>
        <v>0.3214467593</v>
      </c>
      <c r="D16318" s="4">
        <f>IFERROR(__xludf.DUMMYFUNCTION("""COMPUTED_VALUE"""),13.011485)</f>
        <v>13.011485</v>
      </c>
      <c r="E16318" s="4">
        <f>IFERROR(__xludf.DUMMYFUNCTION("""COMPUTED_VALUE"""),80.223061)</f>
        <v>80.223061</v>
      </c>
      <c r="F16318" s="4">
        <f>IFERROR(__xludf.DUMMYFUNCTION("""COMPUTED_VALUE"""),5339.0)</f>
        <v>5339</v>
      </c>
      <c r="G16318" s="4">
        <f>IFERROR(__xludf.DUMMYFUNCTION("""COMPUTED_VALUE"""),26.0)</f>
        <v>26</v>
      </c>
      <c r="H16318" s="4"/>
      <c r="I16318" s="4"/>
    </row>
    <row r="16319">
      <c r="A16319" s="4" t="str">
        <f>IFERROR(__xludf.DUMMYFUNCTION("""COMPUTED_VALUE"""),"cas_hmw")</f>
        <v>cas_hmw</v>
      </c>
      <c r="B16319" s="5">
        <f>IFERROR(__xludf.DUMMYFUNCTION("""COMPUTED_VALUE"""),44735.0)</f>
        <v>44735</v>
      </c>
      <c r="C16319" s="6">
        <f>IFERROR(__xludf.DUMMYFUNCTION("""COMPUTED_VALUE"""),0.3215046296281798)</f>
        <v>0.3215046296</v>
      </c>
      <c r="D16319" s="4">
        <f>IFERROR(__xludf.DUMMYFUNCTION("""COMPUTED_VALUE"""),13.011485)</f>
        <v>13.011485</v>
      </c>
      <c r="E16319" s="4">
        <f>IFERROR(__xludf.DUMMYFUNCTION("""COMPUTED_VALUE"""),80.223061)</f>
        <v>80.223061</v>
      </c>
      <c r="F16319" s="4">
        <f>IFERROR(__xludf.DUMMYFUNCTION("""COMPUTED_VALUE"""),5339.0)</f>
        <v>5339</v>
      </c>
      <c r="G16319" s="4">
        <f>IFERROR(__xludf.DUMMYFUNCTION("""COMPUTED_VALUE"""),26.0)</f>
        <v>26</v>
      </c>
      <c r="H16319" s="4"/>
      <c r="I16319" s="4"/>
    </row>
    <row r="16320">
      <c r="A16320" s="4" t="str">
        <f>IFERROR(__xludf.DUMMYFUNCTION("""COMPUTED_VALUE"""),"cas_hmw")</f>
        <v>cas_hmw</v>
      </c>
      <c r="B16320" s="5">
        <f>IFERROR(__xludf.DUMMYFUNCTION("""COMPUTED_VALUE"""),44735.0)</f>
        <v>44735</v>
      </c>
      <c r="C16320" s="6">
        <f>IFERROR(__xludf.DUMMYFUNCTION("""COMPUTED_VALUE"""),0.32152777777810115)</f>
        <v>0.3215277778</v>
      </c>
      <c r="D16320" s="4">
        <f>IFERROR(__xludf.DUMMYFUNCTION("""COMPUTED_VALUE"""),13.011787)</f>
        <v>13.011787</v>
      </c>
      <c r="E16320" s="4">
        <f>IFERROR(__xludf.DUMMYFUNCTION("""COMPUTED_VALUE"""),80.222222)</f>
        <v>80.222222</v>
      </c>
      <c r="F16320" s="4">
        <f>IFERROR(__xludf.DUMMYFUNCTION("""COMPUTED_VALUE"""),5339.0)</f>
        <v>5339</v>
      </c>
      <c r="G16320" s="4">
        <f>IFERROR(__xludf.DUMMYFUNCTION("""COMPUTED_VALUE"""),43.0)</f>
        <v>43</v>
      </c>
      <c r="H16320" s="4"/>
      <c r="I16320" s="4"/>
    </row>
    <row r="16321">
      <c r="A16321" s="4" t="str">
        <f>IFERROR(__xludf.DUMMYFUNCTION("""COMPUTED_VALUE"""),"cas_hmw")</f>
        <v>cas_hmw</v>
      </c>
      <c r="B16321" s="5">
        <f>IFERROR(__xludf.DUMMYFUNCTION("""COMPUTED_VALUE"""),44735.0)</f>
        <v>44735</v>
      </c>
      <c r="C16321" s="6">
        <f>IFERROR(__xludf.DUMMYFUNCTION("""COMPUTED_VALUE"""),0.3217245370360615)</f>
        <v>0.321724537</v>
      </c>
      <c r="D16321" s="4">
        <f>IFERROR(__xludf.DUMMYFUNCTION("""COMPUTED_VALUE"""),13.011787)</f>
        <v>13.011787</v>
      </c>
      <c r="E16321" s="4">
        <f>IFERROR(__xludf.DUMMYFUNCTION("""COMPUTED_VALUE"""),80.222222)</f>
        <v>80.222222</v>
      </c>
      <c r="F16321" s="4">
        <f>IFERROR(__xludf.DUMMYFUNCTION("""COMPUTED_VALUE"""),5339.0)</f>
        <v>5339</v>
      </c>
      <c r="G16321" s="4">
        <f>IFERROR(__xludf.DUMMYFUNCTION("""COMPUTED_VALUE"""),43.0)</f>
        <v>43</v>
      </c>
      <c r="H16321" s="4"/>
      <c r="I16321" s="4"/>
    </row>
    <row r="16322">
      <c r="A16322" s="4" t="str">
        <f>IFERROR(__xludf.DUMMYFUNCTION("""COMPUTED_VALUE"""),"cas_hmw")</f>
        <v>cas_hmw</v>
      </c>
      <c r="B16322" s="5">
        <f>IFERROR(__xludf.DUMMYFUNCTION("""COMPUTED_VALUE"""),44735.0)</f>
        <v>44735</v>
      </c>
      <c r="C16322" s="6">
        <f>IFERROR(__xludf.DUMMYFUNCTION("""COMPUTED_VALUE"""),0.3217708333322662)</f>
        <v>0.3217708333</v>
      </c>
      <c r="D16322" s="4">
        <f>IFERROR(__xludf.DUMMYFUNCTION("""COMPUTED_VALUE"""),13.011921)</f>
        <v>13.011921</v>
      </c>
      <c r="E16322" s="4">
        <f>IFERROR(__xludf.DUMMYFUNCTION("""COMPUTED_VALUE"""),80.220224)</f>
        <v>80.220224</v>
      </c>
      <c r="F16322" s="4">
        <f>IFERROR(__xludf.DUMMYFUNCTION("""COMPUTED_VALUE"""),5339.0)</f>
        <v>5339</v>
      </c>
      <c r="G16322" s="4">
        <f>IFERROR(__xludf.DUMMYFUNCTION("""COMPUTED_VALUE"""),46.0)</f>
        <v>46</v>
      </c>
      <c r="H16322" s="4"/>
      <c r="I16322" s="4"/>
    </row>
    <row r="16323">
      <c r="A16323" s="4" t="str">
        <f>IFERROR(__xludf.DUMMYFUNCTION("""COMPUTED_VALUE"""),"cas_hmw")</f>
        <v>cas_hmw</v>
      </c>
      <c r="B16323" s="5">
        <f>IFERROR(__xludf.DUMMYFUNCTION("""COMPUTED_VALUE"""),44735.0)</f>
        <v>44735</v>
      </c>
      <c r="C16323" s="6">
        <f>IFERROR(__xludf.DUMMYFUNCTION("""COMPUTED_VALUE"""),0.32282407407547)</f>
        <v>0.3228240741</v>
      </c>
      <c r="D16323" s="4">
        <f>IFERROR(__xludf.DUMMYFUNCTION("""COMPUTED_VALUE"""),13.007932)</f>
        <v>13.007932</v>
      </c>
      <c r="E16323" s="4">
        <f>IFERROR(__xludf.DUMMYFUNCTION("""COMPUTED_VALUE"""),80.208242)</f>
        <v>80.208242</v>
      </c>
      <c r="F16323" s="4">
        <f>IFERROR(__xludf.DUMMYFUNCTION("""COMPUTED_VALUE"""),5339.0)</f>
        <v>5339</v>
      </c>
      <c r="G16323" s="4">
        <f>IFERROR(__xludf.DUMMYFUNCTION("""COMPUTED_VALUE"""),58.0)</f>
        <v>58</v>
      </c>
      <c r="H16323" s="4"/>
      <c r="I16323" s="4"/>
    </row>
    <row r="16324">
      <c r="A16324" s="4" t="str">
        <f>IFERROR(__xludf.DUMMYFUNCTION("""COMPUTED_VALUE"""),"cas_hmw")</f>
        <v>cas_hmw</v>
      </c>
      <c r="B16324" s="5">
        <f>IFERROR(__xludf.DUMMYFUNCTION("""COMPUTED_VALUE"""),44735.0)</f>
        <v>44735</v>
      </c>
      <c r="C16324" s="6">
        <f>IFERROR(__xludf.DUMMYFUNCTION("""COMPUTED_VALUE"""),0.32363425926087075)</f>
        <v>0.3236342593</v>
      </c>
      <c r="D16324" s="4">
        <f>IFERROR(__xludf.DUMMYFUNCTION("""COMPUTED_VALUE"""),13.00515)</f>
        <v>13.00515</v>
      </c>
      <c r="E16324" s="4">
        <f>IFERROR(__xludf.DUMMYFUNCTION("""COMPUTED_VALUE"""),80.201654)</f>
        <v>80.201654</v>
      </c>
      <c r="F16324" s="4">
        <f>IFERROR(__xludf.DUMMYFUNCTION("""COMPUTED_VALUE"""),5339.0)</f>
        <v>5339</v>
      </c>
      <c r="G16324" s="4">
        <f>IFERROR(__xludf.DUMMYFUNCTION("""COMPUTED_VALUE"""),45.0)</f>
        <v>45</v>
      </c>
      <c r="H16324" s="4"/>
      <c r="I16324" s="4"/>
    </row>
    <row r="16325">
      <c r="A16325" s="4" t="str">
        <f>IFERROR(__xludf.DUMMYFUNCTION("""COMPUTED_VALUE"""),"cas_hmw")</f>
        <v>cas_hmw</v>
      </c>
      <c r="B16325" s="5">
        <f>IFERROR(__xludf.DUMMYFUNCTION("""COMPUTED_VALUE"""),44735.0)</f>
        <v>44735</v>
      </c>
      <c r="C16325" s="6">
        <f>IFERROR(__xludf.DUMMYFUNCTION("""COMPUTED_VALUE"""),0.3237615740727051)</f>
        <v>0.3237615741</v>
      </c>
      <c r="D16325" s="4">
        <f>IFERROR(__xludf.DUMMYFUNCTION("""COMPUTED_VALUE"""),13.002909)</f>
        <v>13.002909</v>
      </c>
      <c r="E16325" s="4">
        <f>IFERROR(__xludf.DUMMYFUNCTION("""COMPUTED_VALUE"""),80.200773)</f>
        <v>80.200773</v>
      </c>
      <c r="F16325" s="4">
        <f>IFERROR(__xludf.DUMMYFUNCTION("""COMPUTED_VALUE"""),5339.0)</f>
        <v>5339</v>
      </c>
      <c r="G16325" s="4">
        <f>IFERROR(__xludf.DUMMYFUNCTION("""COMPUTED_VALUE"""),43.0)</f>
        <v>43</v>
      </c>
      <c r="H16325" s="4"/>
      <c r="I16325" s="4"/>
    </row>
    <row r="16326">
      <c r="A16326" s="4" t="str">
        <f>IFERROR(__xludf.DUMMYFUNCTION("""COMPUTED_VALUE"""),"cas_hmw")</f>
        <v>cas_hmw</v>
      </c>
      <c r="B16326" s="5">
        <f>IFERROR(__xludf.DUMMYFUNCTION("""COMPUTED_VALUE"""),44735.0)</f>
        <v>44735</v>
      </c>
      <c r="C16326" s="6">
        <f>IFERROR(__xludf.DUMMYFUNCTION("""COMPUTED_VALUE"""),0.32436342592700385)</f>
        <v>0.3243634259</v>
      </c>
      <c r="D16326" s="4">
        <f>IFERROR(__xludf.DUMMYFUNCTION("""COMPUTED_VALUE"""),13.001207)</f>
        <v>13.001207</v>
      </c>
      <c r="E16326" s="4">
        <f>IFERROR(__xludf.DUMMYFUNCTION("""COMPUTED_VALUE"""),80.195777)</f>
        <v>80.195777</v>
      </c>
      <c r="F16326" s="4">
        <f>IFERROR(__xludf.DUMMYFUNCTION("""COMPUTED_VALUE"""),5339.0)</f>
        <v>5339</v>
      </c>
      <c r="G16326" s="4">
        <f>IFERROR(__xludf.DUMMYFUNCTION("""COMPUTED_VALUE"""),47.0)</f>
        <v>47</v>
      </c>
      <c r="H16326" s="4"/>
      <c r="I16326" s="4"/>
    </row>
    <row r="16327">
      <c r="A16327" s="4" t="str">
        <f>IFERROR(__xludf.DUMMYFUNCTION("""COMPUTED_VALUE"""),"cas_hmw")</f>
        <v>cas_hmw</v>
      </c>
      <c r="B16327" s="5">
        <f>IFERROR(__xludf.DUMMYFUNCTION("""COMPUTED_VALUE"""),44735.0)</f>
        <v>44735</v>
      </c>
      <c r="C16327" s="6">
        <f>IFERROR(__xludf.DUMMYFUNCTION("""COMPUTED_VALUE"""),0.32473379629664123)</f>
        <v>0.3247337963</v>
      </c>
      <c r="D16327" s="4">
        <f>IFERROR(__xludf.DUMMYFUNCTION("""COMPUTED_VALUE"""),12.698852)</f>
        <v>12.698852</v>
      </c>
      <c r="E16327" s="4">
        <f>IFERROR(__xludf.DUMMYFUNCTION("""COMPUTED_VALUE"""),79.969922)</f>
        <v>79.969922</v>
      </c>
      <c r="F16327" s="4">
        <f>IFERROR(__xludf.DUMMYFUNCTION("""COMPUTED_VALUE"""),2846.0)</f>
        <v>2846</v>
      </c>
      <c r="G16327" s="4">
        <f>IFERROR(__xludf.DUMMYFUNCTION("""COMPUTED_VALUE"""),18.0)</f>
        <v>18</v>
      </c>
      <c r="H16327" s="4"/>
      <c r="I16327" s="4"/>
    </row>
    <row r="16328">
      <c r="A16328" s="4" t="str">
        <f>IFERROR(__xludf.DUMMYFUNCTION("""COMPUTED_VALUE"""),"cas_hmw")</f>
        <v>cas_hmw</v>
      </c>
      <c r="B16328" s="5">
        <f>IFERROR(__xludf.DUMMYFUNCTION("""COMPUTED_VALUE"""),44735.0)</f>
        <v>44735</v>
      </c>
      <c r="C16328" s="6">
        <f>IFERROR(__xludf.DUMMYFUNCTION("""COMPUTED_VALUE"""),0.3247800925928459)</f>
        <v>0.3247800926</v>
      </c>
      <c r="D16328" s="4">
        <f>IFERROR(__xludf.DUMMYFUNCTION("""COMPUTED_VALUE"""),12.698852)</f>
        <v>12.698852</v>
      </c>
      <c r="E16328" s="4">
        <f>IFERROR(__xludf.DUMMYFUNCTION("""COMPUTED_VALUE"""),79.969922)</f>
        <v>79.969922</v>
      </c>
      <c r="F16328" s="4">
        <f>IFERROR(__xludf.DUMMYFUNCTION("""COMPUTED_VALUE"""),2846.0)</f>
        <v>2846</v>
      </c>
      <c r="G16328" s="4">
        <f>IFERROR(__xludf.DUMMYFUNCTION("""COMPUTED_VALUE"""),18.0)</f>
        <v>18</v>
      </c>
      <c r="H16328" s="4"/>
      <c r="I16328" s="4"/>
    </row>
    <row r="16329">
      <c r="A16329" s="4" t="str">
        <f>IFERROR(__xludf.DUMMYFUNCTION("""COMPUTED_VALUE"""),"cas_hmw")</f>
        <v>cas_hmw</v>
      </c>
      <c r="B16329" s="5">
        <f>IFERROR(__xludf.DUMMYFUNCTION("""COMPUTED_VALUE"""),44735.0)</f>
        <v>44735</v>
      </c>
      <c r="C16329" s="6">
        <f>IFERROR(__xludf.DUMMYFUNCTION("""COMPUTED_VALUE"""),0.3253240740741603)</f>
        <v>0.3253240741</v>
      </c>
      <c r="D16329" s="4">
        <f>IFERROR(__xludf.DUMMYFUNCTION("""COMPUTED_VALUE"""),12.998194)</f>
        <v>12.998194</v>
      </c>
      <c r="E16329" s="4">
        <f>IFERROR(__xludf.DUMMYFUNCTION("""COMPUTED_VALUE"""),80.191929)</f>
        <v>80.191929</v>
      </c>
      <c r="F16329" s="4">
        <f>IFERROR(__xludf.DUMMYFUNCTION("""COMPUTED_VALUE"""),5339.0)</f>
        <v>5339</v>
      </c>
      <c r="G16329" s="4">
        <f>IFERROR(__xludf.DUMMYFUNCTION("""COMPUTED_VALUE"""),48.0)</f>
        <v>48</v>
      </c>
      <c r="H16329" s="4"/>
      <c r="I16329" s="4"/>
    </row>
    <row r="16330">
      <c r="A16330" s="4" t="str">
        <f>IFERROR(__xludf.DUMMYFUNCTION("""COMPUTED_VALUE"""),"cas_hmw")</f>
        <v>cas_hmw</v>
      </c>
      <c r="B16330" s="5">
        <f>IFERROR(__xludf.DUMMYFUNCTION("""COMPUTED_VALUE"""),44735.0)</f>
        <v>44735</v>
      </c>
      <c r="C16330" s="6">
        <f>IFERROR(__xludf.DUMMYFUNCTION("""COMPUTED_VALUE"""),0.32592592592482106)</f>
        <v>0.3259259259</v>
      </c>
      <c r="D16330" s="4">
        <f>IFERROR(__xludf.DUMMYFUNCTION("""COMPUTED_VALUE"""),12.993072)</f>
        <v>12.993072</v>
      </c>
      <c r="E16330" s="4">
        <f>IFERROR(__xludf.DUMMYFUNCTION("""COMPUTED_VALUE"""),80.183904)</f>
        <v>80.183904</v>
      </c>
      <c r="F16330" s="4">
        <f>IFERROR(__xludf.DUMMYFUNCTION("""COMPUTED_VALUE"""),5339.0)</f>
        <v>5339</v>
      </c>
      <c r="G16330" s="4">
        <f>IFERROR(__xludf.DUMMYFUNCTION("""COMPUTED_VALUE"""),48.0)</f>
        <v>48</v>
      </c>
      <c r="H16330" s="4"/>
      <c r="I16330" s="4"/>
    </row>
    <row r="16331">
      <c r="A16331" s="4" t="str">
        <f>IFERROR(__xludf.DUMMYFUNCTION("""COMPUTED_VALUE"""),"cas_hmw")</f>
        <v>cas_hmw</v>
      </c>
      <c r="B16331" s="5">
        <f>IFERROR(__xludf.DUMMYFUNCTION("""COMPUTED_VALUE"""),44735.0)</f>
        <v>44735</v>
      </c>
      <c r="C16331" s="6">
        <f>IFERROR(__xludf.DUMMYFUNCTION("""COMPUTED_VALUE"""),0.32592592592482106)</f>
        <v>0.3259259259</v>
      </c>
      <c r="D16331" s="4">
        <f>IFERROR(__xludf.DUMMYFUNCTION("""COMPUTED_VALUE"""),12.709813)</f>
        <v>12.709813</v>
      </c>
      <c r="E16331" s="4">
        <f>IFERROR(__xludf.DUMMYFUNCTION("""COMPUTED_VALUE"""),79.977738)</f>
        <v>79.977738</v>
      </c>
      <c r="F16331" s="4">
        <f>IFERROR(__xludf.DUMMYFUNCTION("""COMPUTED_VALUE"""),2846.0)</f>
        <v>2846</v>
      </c>
      <c r="G16331" s="4">
        <f>IFERROR(__xludf.DUMMYFUNCTION("""COMPUTED_VALUE"""),38.0)</f>
        <v>38</v>
      </c>
      <c r="H16331" s="4"/>
      <c r="I16331" s="4"/>
    </row>
    <row r="16332">
      <c r="A16332" s="4" t="str">
        <f>IFERROR(__xludf.DUMMYFUNCTION("""COMPUTED_VALUE"""),"cas_hmw")</f>
        <v>cas_hmw</v>
      </c>
      <c r="B16332" s="5">
        <f>IFERROR(__xludf.DUMMYFUNCTION("""COMPUTED_VALUE"""),44735.0)</f>
        <v>44735</v>
      </c>
      <c r="C16332" s="6">
        <f>IFERROR(__xludf.DUMMYFUNCTION("""COMPUTED_VALUE"""),0.32611111110963975)</f>
        <v>0.3261111111</v>
      </c>
      <c r="D16332" s="4">
        <f>IFERROR(__xludf.DUMMYFUNCTION("""COMPUTED_VALUE"""),12.992459)</f>
        <v>12.992459</v>
      </c>
      <c r="E16332" s="4">
        <f>IFERROR(__xludf.DUMMYFUNCTION("""COMPUTED_VALUE"""),80.182908)</f>
        <v>80.182908</v>
      </c>
      <c r="F16332" s="4">
        <f>IFERROR(__xludf.DUMMYFUNCTION("""COMPUTED_VALUE"""),5339.0)</f>
        <v>5339</v>
      </c>
      <c r="G16332" s="4">
        <f>IFERROR(__xludf.DUMMYFUNCTION("""COMPUTED_VALUE"""),43.0)</f>
        <v>43</v>
      </c>
      <c r="H16332" s="4"/>
      <c r="I16332" s="4"/>
    </row>
    <row r="16333">
      <c r="A16333" s="4" t="str">
        <f>IFERROR(__xludf.DUMMYFUNCTION("""COMPUTED_VALUE"""),"cas_hmw")</f>
        <v>cas_hmw</v>
      </c>
      <c r="B16333" s="5">
        <f>IFERROR(__xludf.DUMMYFUNCTION("""COMPUTED_VALUE"""),44735.0)</f>
        <v>44735</v>
      </c>
      <c r="C16333" s="6">
        <f>IFERROR(__xludf.DUMMYFUNCTION("""COMPUTED_VALUE"""),0.32640046296364744)</f>
        <v>0.326400463</v>
      </c>
      <c r="D16333" s="4">
        <f>IFERROR(__xludf.DUMMYFUNCTION("""COMPUTED_VALUE"""),12.990261)</f>
        <v>12.990261</v>
      </c>
      <c r="E16333" s="4">
        <f>IFERROR(__xludf.DUMMYFUNCTION("""COMPUTED_VALUE"""),80.179997)</f>
        <v>80.179997</v>
      </c>
      <c r="F16333" s="4">
        <f>IFERROR(__xludf.DUMMYFUNCTION("""COMPUTED_VALUE"""),5339.0)</f>
        <v>5339</v>
      </c>
      <c r="G16333" s="4">
        <f>IFERROR(__xludf.DUMMYFUNCTION("""COMPUTED_VALUE"""),47.0)</f>
        <v>47</v>
      </c>
      <c r="H16333" s="4"/>
      <c r="I16333" s="4"/>
    </row>
    <row r="16334">
      <c r="A16334" s="4" t="str">
        <f>IFERROR(__xludf.DUMMYFUNCTION("""COMPUTED_VALUE"""),"cas_hmw")</f>
        <v>cas_hmw</v>
      </c>
      <c r="B16334" s="5">
        <f>IFERROR(__xludf.DUMMYFUNCTION("""COMPUTED_VALUE"""),44735.0)</f>
        <v>44735</v>
      </c>
      <c r="C16334" s="6">
        <f>IFERROR(__xludf.DUMMYFUNCTION("""COMPUTED_VALUE"""),0.3264930555560568)</f>
        <v>0.3264930556</v>
      </c>
      <c r="D16334" s="4">
        <f>IFERROR(__xludf.DUMMYFUNCTION("""COMPUTED_VALUE"""),12.990261)</f>
        <v>12.990261</v>
      </c>
      <c r="E16334" s="4">
        <f>IFERROR(__xludf.DUMMYFUNCTION("""COMPUTED_VALUE"""),80.179997)</f>
        <v>80.179997</v>
      </c>
      <c r="F16334" s="4">
        <f>IFERROR(__xludf.DUMMYFUNCTION("""COMPUTED_VALUE"""),5339.0)</f>
        <v>5339</v>
      </c>
      <c r="G16334" s="4">
        <f>IFERROR(__xludf.DUMMYFUNCTION("""COMPUTED_VALUE"""),47.0)</f>
        <v>47</v>
      </c>
      <c r="H16334" s="4"/>
      <c r="I16334" s="4"/>
    </row>
    <row r="16335">
      <c r="A16335" s="4" t="str">
        <f>IFERROR(__xludf.DUMMYFUNCTION("""COMPUTED_VALUE"""),"cas_hmw")</f>
        <v>cas_hmw</v>
      </c>
      <c r="B16335" s="5">
        <f>IFERROR(__xludf.DUMMYFUNCTION("""COMPUTED_VALUE"""),44735.0)</f>
        <v>44735</v>
      </c>
      <c r="C16335" s="6">
        <f>IFERROR(__xludf.DUMMYFUNCTION("""COMPUTED_VALUE"""),0.32662037037152913)</f>
        <v>0.3266203704</v>
      </c>
      <c r="D16335" s="4">
        <f>IFERROR(__xludf.DUMMYFUNCTION("""COMPUTED_VALUE"""),12.988882)</f>
        <v>12.988882</v>
      </c>
      <c r="E16335" s="4">
        <f>IFERROR(__xludf.DUMMYFUNCTION("""COMPUTED_VALUE"""),80.178305)</f>
        <v>80.178305</v>
      </c>
      <c r="F16335" s="4">
        <f>IFERROR(__xludf.DUMMYFUNCTION("""COMPUTED_VALUE"""),5339.0)</f>
        <v>5339</v>
      </c>
      <c r="G16335" s="4">
        <f>IFERROR(__xludf.DUMMYFUNCTION("""COMPUTED_VALUE"""),41.0)</f>
        <v>41</v>
      </c>
      <c r="H16335" s="4"/>
      <c r="I16335" s="4"/>
    </row>
    <row r="16336">
      <c r="A16336" s="4" t="str">
        <f>IFERROR(__xludf.DUMMYFUNCTION("""COMPUTED_VALUE"""),"cas_hmw")</f>
        <v>cas_hmw</v>
      </c>
      <c r="B16336" s="5">
        <f>IFERROR(__xludf.DUMMYFUNCTION("""COMPUTED_VALUE"""),44735.0)</f>
        <v>44735</v>
      </c>
      <c r="C16336" s="6">
        <f>IFERROR(__xludf.DUMMYFUNCTION("""COMPUTED_VALUE"""),0.3275347222224809)</f>
        <v>0.3275347222</v>
      </c>
      <c r="D16336" s="4">
        <f>IFERROR(__xludf.DUMMYFUNCTION("""COMPUTED_VALUE"""),12.98636)</f>
        <v>12.98636</v>
      </c>
      <c r="E16336" s="4">
        <f>IFERROR(__xludf.DUMMYFUNCTION("""COMPUTED_VALUE"""),80.174768)</f>
        <v>80.174768</v>
      </c>
      <c r="F16336" s="4">
        <f>IFERROR(__xludf.DUMMYFUNCTION("""COMPUTED_VALUE"""),5339.0)</f>
        <v>5339</v>
      </c>
      <c r="G16336" s="4">
        <f>IFERROR(__xludf.DUMMYFUNCTION("""COMPUTED_VALUE"""),23.0)</f>
        <v>23</v>
      </c>
      <c r="H16336" s="4"/>
      <c r="I16336" s="4"/>
    </row>
    <row r="16337">
      <c r="A16337" s="4" t="str">
        <f>IFERROR(__xludf.DUMMYFUNCTION("""COMPUTED_VALUE"""),"cas_hmw")</f>
        <v>cas_hmw</v>
      </c>
      <c r="B16337" s="5">
        <f>IFERROR(__xludf.DUMMYFUNCTION("""COMPUTED_VALUE"""),44735.0)</f>
        <v>44735</v>
      </c>
      <c r="C16337" s="6">
        <f>IFERROR(__xludf.DUMMYFUNCTION("""COMPUTED_VALUE"""),0.327986111111386)</f>
        <v>0.3279861111</v>
      </c>
      <c r="D16337" s="4">
        <f>IFERROR(__xludf.DUMMYFUNCTION("""COMPUTED_VALUE"""),12.724367)</f>
        <v>12.724367</v>
      </c>
      <c r="E16337" s="4">
        <f>IFERROR(__xludf.DUMMYFUNCTION("""COMPUTED_VALUE"""),79.981668)</f>
        <v>79.981668</v>
      </c>
      <c r="F16337" s="4">
        <f>IFERROR(__xludf.DUMMYFUNCTION("""COMPUTED_VALUE"""),2846.0)</f>
        <v>2846</v>
      </c>
      <c r="G16337" s="4">
        <f>IFERROR(__xludf.DUMMYFUNCTION("""COMPUTED_VALUE"""),16.0)</f>
        <v>16</v>
      </c>
      <c r="H16337" s="4"/>
      <c r="I16337" s="4"/>
    </row>
    <row r="16338">
      <c r="A16338" s="4" t="str">
        <f>IFERROR(__xludf.DUMMYFUNCTION("""COMPUTED_VALUE"""),"cas_hmw")</f>
        <v>cas_hmw</v>
      </c>
      <c r="B16338" s="5">
        <f>IFERROR(__xludf.DUMMYFUNCTION("""COMPUTED_VALUE"""),44735.0)</f>
        <v>44735</v>
      </c>
      <c r="C16338" s="6">
        <f>IFERROR(__xludf.DUMMYFUNCTION("""COMPUTED_VALUE"""),0.3281481481499213)</f>
        <v>0.3281481481</v>
      </c>
      <c r="D16338" s="4">
        <f>IFERROR(__xludf.DUMMYFUNCTION("""COMPUTED_VALUE"""),12.982422)</f>
        <v>12.982422</v>
      </c>
      <c r="E16338" s="4">
        <f>IFERROR(__xludf.DUMMYFUNCTION("""COMPUTED_VALUE"""),80.16847)</f>
        <v>80.16847</v>
      </c>
      <c r="F16338" s="4">
        <f>IFERROR(__xludf.DUMMYFUNCTION("""COMPUTED_VALUE"""),5339.0)</f>
        <v>5339</v>
      </c>
      <c r="G16338" s="4">
        <f>IFERROR(__xludf.DUMMYFUNCTION("""COMPUTED_VALUE"""),53.0)</f>
        <v>53</v>
      </c>
      <c r="H16338" s="4"/>
      <c r="I16338" s="4"/>
    </row>
    <row r="16339">
      <c r="A16339" s="4" t="str">
        <f>IFERROR(__xludf.DUMMYFUNCTION("""COMPUTED_VALUE"""),"cas_hmw")</f>
        <v>cas_hmw</v>
      </c>
      <c r="B16339" s="5">
        <f>IFERROR(__xludf.DUMMYFUNCTION("""COMPUTED_VALUE"""),44735.0)</f>
        <v>44735</v>
      </c>
      <c r="C16339" s="6">
        <f>IFERROR(__xludf.DUMMYFUNCTION("""COMPUTED_VALUE"""),0.32825231481547235)</f>
        <v>0.3282523148</v>
      </c>
      <c r="D16339" s="4">
        <f>IFERROR(__xludf.DUMMYFUNCTION("""COMPUTED_VALUE"""),12.981664)</f>
        <v>12.981664</v>
      </c>
      <c r="E16339" s="4">
        <f>IFERROR(__xludf.DUMMYFUNCTION("""COMPUTED_VALUE"""),80.167262)</f>
        <v>80.167262</v>
      </c>
      <c r="F16339" s="4">
        <f>IFERROR(__xludf.DUMMYFUNCTION("""COMPUTED_VALUE"""),5339.0)</f>
        <v>5339</v>
      </c>
      <c r="G16339" s="4">
        <f>IFERROR(__xludf.DUMMYFUNCTION("""COMPUTED_VALUE"""),54.0)</f>
        <v>54</v>
      </c>
      <c r="H16339" s="4"/>
      <c r="I16339" s="4"/>
    </row>
    <row r="16340">
      <c r="A16340" s="4" t="str">
        <f>IFERROR(__xludf.DUMMYFUNCTION("""COMPUTED_VALUE"""),"cas_hmw")</f>
        <v>cas_hmw</v>
      </c>
      <c r="B16340" s="5">
        <f>IFERROR(__xludf.DUMMYFUNCTION("""COMPUTED_VALUE"""),44735.0)</f>
        <v>44735</v>
      </c>
      <c r="C16340" s="6">
        <f>IFERROR(__xludf.DUMMYFUNCTION("""COMPUTED_VALUE"""),0.32835648148102337)</f>
        <v>0.3283564815</v>
      </c>
      <c r="D16340" s="4">
        <f>IFERROR(__xludf.DUMMYFUNCTION("""COMPUTED_VALUE"""),12.981664)</f>
        <v>12.981664</v>
      </c>
      <c r="E16340" s="4">
        <f>IFERROR(__xludf.DUMMYFUNCTION("""COMPUTED_VALUE"""),80.167262)</f>
        <v>80.167262</v>
      </c>
      <c r="F16340" s="4">
        <f>IFERROR(__xludf.DUMMYFUNCTION("""COMPUTED_VALUE"""),5339.0)</f>
        <v>5339</v>
      </c>
      <c r="G16340" s="4">
        <f>IFERROR(__xludf.DUMMYFUNCTION("""COMPUTED_VALUE"""),54.0)</f>
        <v>54</v>
      </c>
      <c r="H16340" s="4"/>
      <c r="I16340" s="4"/>
    </row>
    <row r="16341">
      <c r="A16341" s="4" t="str">
        <f>IFERROR(__xludf.DUMMYFUNCTION("""COMPUTED_VALUE"""),"cas_hmw")</f>
        <v>cas_hmw</v>
      </c>
      <c r="B16341" s="5">
        <f>IFERROR(__xludf.DUMMYFUNCTION("""COMPUTED_VALUE"""),44735.0)</f>
        <v>44735</v>
      </c>
      <c r="C16341" s="6">
        <f>IFERROR(__xludf.DUMMYFUNCTION("""COMPUTED_VALUE"""),0.3284953703696374)</f>
        <v>0.3284953704</v>
      </c>
      <c r="D16341" s="4">
        <f>IFERROR(__xludf.DUMMYFUNCTION("""COMPUTED_VALUE"""),12.980457)</f>
        <v>12.980457</v>
      </c>
      <c r="E16341" s="4">
        <f>IFERROR(__xludf.DUMMYFUNCTION("""COMPUTED_VALUE"""),80.165062)</f>
        <v>80.165062</v>
      </c>
      <c r="F16341" s="4">
        <f>IFERROR(__xludf.DUMMYFUNCTION("""COMPUTED_VALUE"""),5339.0)</f>
        <v>5339</v>
      </c>
      <c r="G16341" s="4">
        <f>IFERROR(__xludf.DUMMYFUNCTION("""COMPUTED_VALUE"""),51.0)</f>
        <v>51</v>
      </c>
      <c r="H16341" s="4"/>
      <c r="I16341" s="4"/>
    </row>
    <row r="16342">
      <c r="A16342" s="4" t="str">
        <f>IFERROR(__xludf.DUMMYFUNCTION("""COMPUTED_VALUE"""),"cas_hmw")</f>
        <v>cas_hmw</v>
      </c>
      <c r="B16342" s="5">
        <f>IFERROR(__xludf.DUMMYFUNCTION("""COMPUTED_VALUE"""),44735.0)</f>
        <v>44735</v>
      </c>
      <c r="C16342" s="6">
        <f>IFERROR(__xludf.DUMMYFUNCTION("""COMPUTED_VALUE"""),0.3287037037043774)</f>
        <v>0.3287037037</v>
      </c>
      <c r="D16342" s="4">
        <f>IFERROR(__xludf.DUMMYFUNCTION("""COMPUTED_VALUE"""),12.979586)</f>
        <v>12.979586</v>
      </c>
      <c r="E16342" s="4">
        <f>IFERROR(__xludf.DUMMYFUNCTION("""COMPUTED_VALUE"""),80.162455)</f>
        <v>80.162455</v>
      </c>
      <c r="F16342" s="4">
        <f>IFERROR(__xludf.DUMMYFUNCTION("""COMPUTED_VALUE"""),5339.0)</f>
        <v>5339</v>
      </c>
      <c r="G16342" s="4">
        <f>IFERROR(__xludf.DUMMYFUNCTION("""COMPUTED_VALUE"""),53.0)</f>
        <v>53</v>
      </c>
      <c r="H16342" s="4"/>
      <c r="I16342" s="4"/>
    </row>
    <row r="16343">
      <c r="A16343" s="4" t="str">
        <f>IFERROR(__xludf.DUMMYFUNCTION("""COMPUTED_VALUE"""),"cas_hmw")</f>
        <v>cas_hmw</v>
      </c>
      <c r="B16343" s="5">
        <f>IFERROR(__xludf.DUMMYFUNCTION("""COMPUTED_VALUE"""),44735.0)</f>
        <v>44735</v>
      </c>
      <c r="C16343" s="6">
        <f>IFERROR(__xludf.DUMMYFUNCTION("""COMPUTED_VALUE"""),0.3287731481468654)</f>
        <v>0.3287731481</v>
      </c>
      <c r="D16343" s="4">
        <f>IFERROR(__xludf.DUMMYFUNCTION("""COMPUTED_VALUE"""),12.979586)</f>
        <v>12.979586</v>
      </c>
      <c r="E16343" s="4">
        <f>IFERROR(__xludf.DUMMYFUNCTION("""COMPUTED_VALUE"""),80.162455)</f>
        <v>80.162455</v>
      </c>
      <c r="F16343" s="4">
        <f>IFERROR(__xludf.DUMMYFUNCTION("""COMPUTED_VALUE"""),5339.0)</f>
        <v>5339</v>
      </c>
      <c r="G16343" s="4">
        <f>IFERROR(__xludf.DUMMYFUNCTION("""COMPUTED_VALUE"""),53.0)</f>
        <v>53</v>
      </c>
      <c r="H16343" s="4"/>
      <c r="I16343" s="4"/>
    </row>
    <row r="16344">
      <c r="A16344" s="4" t="str">
        <f>IFERROR(__xludf.DUMMYFUNCTION("""COMPUTED_VALUE"""),"cas_hmw")</f>
        <v>cas_hmw</v>
      </c>
      <c r="B16344" s="5">
        <f>IFERROR(__xludf.DUMMYFUNCTION("""COMPUTED_VALUE"""),44735.0)</f>
        <v>44735</v>
      </c>
      <c r="C16344" s="6">
        <f>IFERROR(__xludf.DUMMYFUNCTION("""COMPUTED_VALUE"""),0.32913194444336114)</f>
        <v>0.3291319444</v>
      </c>
      <c r="D16344" s="4">
        <f>IFERROR(__xludf.DUMMYFUNCTION("""COMPUTED_VALUE"""),12.977221)</f>
        <v>12.977221</v>
      </c>
      <c r="E16344" s="4">
        <f>IFERROR(__xludf.DUMMYFUNCTION("""COMPUTED_VALUE"""),80.159043)</f>
        <v>80.159043</v>
      </c>
      <c r="F16344" s="4">
        <f>IFERROR(__xludf.DUMMYFUNCTION("""COMPUTED_VALUE"""),5339.0)</f>
        <v>5339</v>
      </c>
      <c r="G16344" s="4">
        <f>IFERROR(__xludf.DUMMYFUNCTION("""COMPUTED_VALUE"""),51.0)</f>
        <v>51</v>
      </c>
      <c r="H16344" s="4"/>
      <c r="I16344" s="4"/>
    </row>
    <row r="16345">
      <c r="A16345" s="4" t="str">
        <f>IFERROR(__xludf.DUMMYFUNCTION("""COMPUTED_VALUE"""),"cas_hmw")</f>
        <v>cas_hmw</v>
      </c>
      <c r="B16345" s="5">
        <f>IFERROR(__xludf.DUMMYFUNCTION("""COMPUTED_VALUE"""),44735.0)</f>
        <v>44735</v>
      </c>
      <c r="C16345" s="6">
        <f>IFERROR(__xludf.DUMMYFUNCTION("""COMPUTED_VALUE"""),0.32956018518598285)</f>
        <v>0.3295601852</v>
      </c>
      <c r="D16345" s="4">
        <f>IFERROR(__xludf.DUMMYFUNCTION("""COMPUTED_VALUE"""),12.974471)</f>
        <v>12.974471</v>
      </c>
      <c r="E16345" s="4">
        <f>IFERROR(__xludf.DUMMYFUNCTION("""COMPUTED_VALUE"""),80.154932)</f>
        <v>80.154932</v>
      </c>
      <c r="F16345" s="4">
        <f>IFERROR(__xludf.DUMMYFUNCTION("""COMPUTED_VALUE"""),5339.0)</f>
        <v>5339</v>
      </c>
      <c r="G16345" s="4">
        <f>IFERROR(__xludf.DUMMYFUNCTION("""COMPUTED_VALUE"""),27.0)</f>
        <v>27</v>
      </c>
      <c r="H16345" s="4"/>
      <c r="I16345" s="4"/>
    </row>
    <row r="16346">
      <c r="A16346" s="4" t="str">
        <f>IFERROR(__xludf.DUMMYFUNCTION("""COMPUTED_VALUE"""),"cas_hmw")</f>
        <v>cas_hmw</v>
      </c>
      <c r="B16346" s="5">
        <f>IFERROR(__xludf.DUMMYFUNCTION("""COMPUTED_VALUE"""),44735.0)</f>
        <v>44735</v>
      </c>
      <c r="C16346" s="6">
        <f>IFERROR(__xludf.DUMMYFUNCTION("""COMPUTED_VALUE"""),0.32974537037080154)</f>
        <v>0.3297453704</v>
      </c>
      <c r="D16346" s="4">
        <f>IFERROR(__xludf.DUMMYFUNCTION("""COMPUTED_VALUE"""),12.973556)</f>
        <v>12.973556</v>
      </c>
      <c r="E16346" s="4">
        <f>IFERROR(__xludf.DUMMYFUNCTION("""COMPUTED_VALUE"""),80.153578)</f>
        <v>80.153578</v>
      </c>
      <c r="F16346" s="4">
        <f>IFERROR(__xludf.DUMMYFUNCTION("""COMPUTED_VALUE"""),5339.0)</f>
        <v>5339</v>
      </c>
      <c r="G16346" s="4">
        <f>IFERROR(__xludf.DUMMYFUNCTION("""COMPUTED_VALUE"""),40.0)</f>
        <v>40</v>
      </c>
      <c r="H16346" s="4"/>
      <c r="I16346" s="4"/>
    </row>
    <row r="16347">
      <c r="A16347" s="4" t="str">
        <f>IFERROR(__xludf.DUMMYFUNCTION("""COMPUTED_VALUE"""),"cas_hmw")</f>
        <v>cas_hmw</v>
      </c>
      <c r="B16347" s="5">
        <f>IFERROR(__xludf.DUMMYFUNCTION("""COMPUTED_VALUE"""),44735.0)</f>
        <v>44735</v>
      </c>
      <c r="C16347" s="6">
        <f>IFERROR(__xludf.DUMMYFUNCTION("""COMPUTED_VALUE"""),0.33039351851766696)</f>
        <v>0.3303935185</v>
      </c>
      <c r="D16347" s="4">
        <f>IFERROR(__xludf.DUMMYFUNCTION("""COMPUTED_VALUE"""),12.971444)</f>
        <v>12.971444</v>
      </c>
      <c r="E16347" s="4">
        <f>IFERROR(__xludf.DUMMYFUNCTION("""COMPUTED_VALUE"""),80.151072)</f>
        <v>80.151072</v>
      </c>
      <c r="F16347" s="4">
        <f>IFERROR(__xludf.DUMMYFUNCTION("""COMPUTED_VALUE"""),5339.0)</f>
        <v>5339</v>
      </c>
      <c r="G16347" s="4">
        <f>IFERROR(__xludf.DUMMYFUNCTION("""COMPUTED_VALUE"""),30.0)</f>
        <v>30</v>
      </c>
      <c r="H16347" s="4"/>
      <c r="I16347" s="4"/>
    </row>
    <row r="16348">
      <c r="A16348" s="4" t="str">
        <f>IFERROR(__xludf.DUMMYFUNCTION("""COMPUTED_VALUE"""),"cas_hmw")</f>
        <v>cas_hmw</v>
      </c>
      <c r="B16348" s="5">
        <f>IFERROR(__xludf.DUMMYFUNCTION("""COMPUTED_VALUE"""),44735.0)</f>
        <v>44735</v>
      </c>
      <c r="C16348" s="6">
        <f>IFERROR(__xludf.DUMMYFUNCTION("""COMPUTED_VALUE"""),0.3306944444448163)</f>
        <v>0.3306944444</v>
      </c>
      <c r="D16348" s="4">
        <f>IFERROR(__xludf.DUMMYFUNCTION("""COMPUTED_VALUE"""),12.96939)</f>
        <v>12.96939</v>
      </c>
      <c r="E16348" s="4">
        <f>IFERROR(__xludf.DUMMYFUNCTION("""COMPUTED_VALUE"""),80.150093)</f>
        <v>80.150093</v>
      </c>
      <c r="F16348" s="4">
        <f>IFERROR(__xludf.DUMMYFUNCTION("""COMPUTED_VALUE"""),5339.0)</f>
        <v>5339</v>
      </c>
      <c r="G16348" s="4">
        <f>IFERROR(__xludf.DUMMYFUNCTION("""COMPUTED_VALUE"""),45.0)</f>
        <v>45</v>
      </c>
      <c r="H16348" s="4"/>
      <c r="I16348" s="4"/>
    </row>
    <row r="16349">
      <c r="A16349" s="4" t="str">
        <f>IFERROR(__xludf.DUMMYFUNCTION("""COMPUTED_VALUE"""),"cas_hmw")</f>
        <v>cas_hmw</v>
      </c>
      <c r="B16349" s="5">
        <f>IFERROR(__xludf.DUMMYFUNCTION("""COMPUTED_VALUE"""),44735.0)</f>
        <v>44735</v>
      </c>
      <c r="C16349" s="6">
        <f>IFERROR(__xludf.DUMMYFUNCTION("""COMPUTED_VALUE"""),0.33251157407357823)</f>
        <v>0.3325115741</v>
      </c>
      <c r="D16349" s="4">
        <f>IFERROR(__xludf.DUMMYFUNCTION("""COMPUTED_VALUE"""),12.961573)</f>
        <v>12.961573</v>
      </c>
      <c r="E16349" s="4">
        <f>IFERROR(__xludf.DUMMYFUNCTION("""COMPUTED_VALUE"""),80.146082)</f>
        <v>80.146082</v>
      </c>
      <c r="F16349" s="4">
        <f>IFERROR(__xludf.DUMMYFUNCTION("""COMPUTED_VALUE"""),5339.0)</f>
        <v>5339</v>
      </c>
      <c r="G16349" s="4">
        <f>IFERROR(__xludf.DUMMYFUNCTION("""COMPUTED_VALUE"""),33.0)</f>
        <v>33</v>
      </c>
      <c r="H16349" s="4"/>
      <c r="I16349" s="4"/>
    </row>
    <row r="16350">
      <c r="A16350" s="4" t="str">
        <f>IFERROR(__xludf.DUMMYFUNCTION("""COMPUTED_VALUE"""),"cas_hmw")</f>
        <v>cas_hmw</v>
      </c>
      <c r="B16350" s="5">
        <f>IFERROR(__xludf.DUMMYFUNCTION("""COMPUTED_VALUE"""),44735.0)</f>
        <v>44735</v>
      </c>
      <c r="C16350" s="6">
        <f>IFERROR(__xludf.DUMMYFUNCTION("""COMPUTED_VALUE"""),0.33254629629664123)</f>
        <v>0.3325462963</v>
      </c>
      <c r="D16350" s="4">
        <f>IFERROR(__xludf.DUMMYFUNCTION("""COMPUTED_VALUE"""),12.960704)</f>
        <v>12.960704</v>
      </c>
      <c r="E16350" s="4">
        <f>IFERROR(__xludf.DUMMYFUNCTION("""COMPUTED_VALUE"""),80.145607)</f>
        <v>80.145607</v>
      </c>
      <c r="F16350" s="4">
        <f>IFERROR(__xludf.DUMMYFUNCTION("""COMPUTED_VALUE"""),5339.0)</f>
        <v>5339</v>
      </c>
      <c r="G16350" s="4">
        <f>IFERROR(__xludf.DUMMYFUNCTION("""COMPUTED_VALUE"""),42.0)</f>
        <v>42</v>
      </c>
      <c r="H16350" s="4"/>
      <c r="I16350" s="4"/>
    </row>
    <row r="16351">
      <c r="A16351" s="4" t="str">
        <f>IFERROR(__xludf.DUMMYFUNCTION("""COMPUTED_VALUE"""),"cas_hmw")</f>
        <v>cas_hmw</v>
      </c>
      <c r="B16351" s="5">
        <f>IFERROR(__xludf.DUMMYFUNCTION("""COMPUTED_VALUE"""),44735.0)</f>
        <v>44735</v>
      </c>
      <c r="C16351" s="6">
        <f>IFERROR(__xludf.DUMMYFUNCTION("""COMPUTED_VALUE"""),0.33275462963138125)</f>
        <v>0.3327546296</v>
      </c>
      <c r="D16351" s="4">
        <f>IFERROR(__xludf.DUMMYFUNCTION("""COMPUTED_VALUE"""),12.958878)</f>
        <v>12.958878</v>
      </c>
      <c r="E16351" s="4">
        <f>IFERROR(__xludf.DUMMYFUNCTION("""COMPUTED_VALUE"""),80.144613)</f>
        <v>80.144613</v>
      </c>
      <c r="F16351" s="4">
        <f>IFERROR(__xludf.DUMMYFUNCTION("""COMPUTED_VALUE"""),5339.0)</f>
        <v>5339</v>
      </c>
      <c r="G16351" s="4">
        <f>IFERROR(__xludf.DUMMYFUNCTION("""COMPUTED_VALUE"""),41.0)</f>
        <v>41</v>
      </c>
      <c r="H16351" s="4"/>
      <c r="I16351" s="4"/>
    </row>
    <row r="16352">
      <c r="A16352" s="4" t="str">
        <f>IFERROR(__xludf.DUMMYFUNCTION("""COMPUTED_VALUE"""),"cas_hmw")</f>
        <v>cas_hmw</v>
      </c>
      <c r="B16352" s="5">
        <f>IFERROR(__xludf.DUMMYFUNCTION("""COMPUTED_VALUE"""),44735.0)</f>
        <v>44735</v>
      </c>
      <c r="C16352" s="6">
        <f>IFERROR(__xludf.DUMMYFUNCTION("""COMPUTED_VALUE"""),0.3329166666662786)</f>
        <v>0.3329166667</v>
      </c>
      <c r="D16352" s="4">
        <f>IFERROR(__xludf.DUMMYFUNCTION("""COMPUTED_VALUE"""),12.958051)</f>
        <v>12.958051</v>
      </c>
      <c r="E16352" s="4">
        <f>IFERROR(__xludf.DUMMYFUNCTION("""COMPUTED_VALUE"""),80.144172)</f>
        <v>80.144172</v>
      </c>
      <c r="F16352" s="4">
        <f>IFERROR(__xludf.DUMMYFUNCTION("""COMPUTED_VALUE"""),5339.0)</f>
        <v>5339</v>
      </c>
      <c r="G16352" s="4">
        <f>IFERROR(__xludf.DUMMYFUNCTION("""COMPUTED_VALUE"""),30.0)</f>
        <v>30</v>
      </c>
      <c r="H16352" s="4"/>
      <c r="I16352" s="4"/>
    </row>
    <row r="16353">
      <c r="A16353" s="4" t="str">
        <f>IFERROR(__xludf.DUMMYFUNCTION("""COMPUTED_VALUE"""),"cas_hmw")</f>
        <v>cas_hmw</v>
      </c>
      <c r="B16353" s="5">
        <f>IFERROR(__xludf.DUMMYFUNCTION("""COMPUTED_VALUE"""),44735.0)</f>
        <v>44735</v>
      </c>
      <c r="C16353" s="6">
        <f>IFERROR(__xludf.DUMMYFUNCTION("""COMPUTED_VALUE"""),0.3329166666662786)</f>
        <v>0.3329166667</v>
      </c>
      <c r="D16353" s="4">
        <f>IFERROR(__xludf.DUMMYFUNCTION("""COMPUTED_VALUE"""),12.958878)</f>
        <v>12.958878</v>
      </c>
      <c r="E16353" s="4">
        <f>IFERROR(__xludf.DUMMYFUNCTION("""COMPUTED_VALUE"""),80.144613)</f>
        <v>80.144613</v>
      </c>
      <c r="F16353" s="4">
        <f>IFERROR(__xludf.DUMMYFUNCTION("""COMPUTED_VALUE"""),5339.0)</f>
        <v>5339</v>
      </c>
      <c r="G16353" s="4">
        <f>IFERROR(__xludf.DUMMYFUNCTION("""COMPUTED_VALUE"""),41.0)</f>
        <v>41</v>
      </c>
      <c r="H16353" s="4"/>
      <c r="I16353" s="4"/>
    </row>
    <row r="16354">
      <c r="A16354" s="4" t="str">
        <f>IFERROR(__xludf.DUMMYFUNCTION("""COMPUTED_VALUE"""),"cas_hmw")</f>
        <v>cas_hmw</v>
      </c>
      <c r="B16354" s="5">
        <f>IFERROR(__xludf.DUMMYFUNCTION("""COMPUTED_VALUE"""),44735.0)</f>
        <v>44735</v>
      </c>
      <c r="C16354" s="6">
        <f>IFERROR(__xludf.DUMMYFUNCTION("""COMPUTED_VALUE"""),0.3342708333329938)</f>
        <v>0.3342708333</v>
      </c>
      <c r="D16354" s="4">
        <f>IFERROR(__xludf.DUMMYFUNCTION("""COMPUTED_VALUE"""),12.951372)</f>
        <v>12.951372</v>
      </c>
      <c r="E16354" s="4">
        <f>IFERROR(__xludf.DUMMYFUNCTION("""COMPUTED_VALUE"""),80.140316)</f>
        <v>80.140316</v>
      </c>
      <c r="F16354" s="4">
        <f>IFERROR(__xludf.DUMMYFUNCTION("""COMPUTED_VALUE"""),5339.0)</f>
        <v>5339</v>
      </c>
      <c r="G16354" s="4">
        <f>IFERROR(__xludf.DUMMYFUNCTION("""COMPUTED_VALUE"""),40.0)</f>
        <v>40</v>
      </c>
      <c r="H16354" s="4"/>
      <c r="I16354" s="4"/>
    </row>
    <row r="16355">
      <c r="A16355" s="4" t="str">
        <f>IFERROR(__xludf.DUMMYFUNCTION("""COMPUTED_VALUE"""),"cas_hmw")</f>
        <v>cas_hmw</v>
      </c>
      <c r="B16355" s="5">
        <f>IFERROR(__xludf.DUMMYFUNCTION("""COMPUTED_VALUE"""),44735.0)</f>
        <v>44735</v>
      </c>
      <c r="C16355" s="6">
        <f>IFERROR(__xludf.DUMMYFUNCTION("""COMPUTED_VALUE"""),0.3342939814829151)</f>
        <v>0.3342939815</v>
      </c>
      <c r="D16355" s="4">
        <f>IFERROR(__xludf.DUMMYFUNCTION("""COMPUTED_VALUE"""),12.951372)</f>
        <v>12.951372</v>
      </c>
      <c r="E16355" s="4">
        <f>IFERROR(__xludf.DUMMYFUNCTION("""COMPUTED_VALUE"""),80.140316)</f>
        <v>80.140316</v>
      </c>
      <c r="F16355" s="4">
        <f>IFERROR(__xludf.DUMMYFUNCTION("""COMPUTED_VALUE"""),5339.0)</f>
        <v>5339</v>
      </c>
      <c r="G16355" s="4">
        <f>IFERROR(__xludf.DUMMYFUNCTION("""COMPUTED_VALUE"""),40.0)</f>
        <v>40</v>
      </c>
      <c r="H16355" s="4"/>
      <c r="I16355" s="4"/>
    </row>
    <row r="16356">
      <c r="A16356" s="4" t="str">
        <f>IFERROR(__xludf.DUMMYFUNCTION("""COMPUTED_VALUE"""),"cas_hmw")</f>
        <v>cas_hmw</v>
      </c>
      <c r="B16356" s="5">
        <f>IFERROR(__xludf.DUMMYFUNCTION("""COMPUTED_VALUE"""),44735.0)</f>
        <v>44735</v>
      </c>
      <c r="C16356" s="6">
        <f>IFERROR(__xludf.DUMMYFUNCTION("""COMPUTED_VALUE"""),0.33523148148015025)</f>
        <v>0.3352314815</v>
      </c>
      <c r="D16356" s="4">
        <f>IFERROR(__xludf.DUMMYFUNCTION("""COMPUTED_VALUE"""),12.949959)</f>
        <v>12.949959</v>
      </c>
      <c r="E16356" s="4">
        <f>IFERROR(__xludf.DUMMYFUNCTION("""COMPUTED_VALUE"""),80.139268)</f>
        <v>80.139268</v>
      </c>
      <c r="F16356" s="4">
        <f>IFERROR(__xludf.DUMMYFUNCTION("""COMPUTED_VALUE"""),5339.0)</f>
        <v>5339</v>
      </c>
      <c r="G16356" s="4">
        <f>IFERROR(__xludf.DUMMYFUNCTION("""COMPUTED_VALUE"""),26.0)</f>
        <v>26</v>
      </c>
      <c r="H16356" s="4"/>
      <c r="I16356" s="4"/>
    </row>
    <row r="16357">
      <c r="A16357" s="4" t="str">
        <f>IFERROR(__xludf.DUMMYFUNCTION("""COMPUTED_VALUE"""),"cas_hmw")</f>
        <v>cas_hmw</v>
      </c>
      <c r="B16357" s="5">
        <f>IFERROR(__xludf.DUMMYFUNCTION("""COMPUTED_VALUE"""),44735.0)</f>
        <v>44735</v>
      </c>
      <c r="C16357" s="6">
        <f>IFERROR(__xludf.DUMMYFUNCTION("""COMPUTED_VALUE"""),0.33530092592627625)</f>
        <v>0.3353009259</v>
      </c>
      <c r="D16357" s="4">
        <f>IFERROR(__xludf.DUMMYFUNCTION("""COMPUTED_VALUE"""),12.949332)</f>
        <v>12.949332</v>
      </c>
      <c r="E16357" s="4">
        <f>IFERROR(__xludf.DUMMYFUNCTION("""COMPUTED_VALUE"""),80.138712)</f>
        <v>80.138712</v>
      </c>
      <c r="F16357" s="4">
        <f>IFERROR(__xludf.DUMMYFUNCTION("""COMPUTED_VALUE"""),5339.0)</f>
        <v>5339</v>
      </c>
      <c r="G16357" s="4">
        <f>IFERROR(__xludf.DUMMYFUNCTION("""COMPUTED_VALUE"""),39.0)</f>
        <v>39</v>
      </c>
      <c r="H16357" s="4"/>
      <c r="I16357" s="4"/>
    </row>
    <row r="16358">
      <c r="A16358" s="4" t="str">
        <f>IFERROR(__xludf.DUMMYFUNCTION("""COMPUTED_VALUE"""),"cas_hmw")</f>
        <v>cas_hmw</v>
      </c>
      <c r="B16358" s="5">
        <f>IFERROR(__xludf.DUMMYFUNCTION("""COMPUTED_VALUE"""),44735.0)</f>
        <v>44735</v>
      </c>
      <c r="C16358" s="6">
        <f>IFERROR(__xludf.DUMMYFUNCTION("""COMPUTED_VALUE"""),0.33545138888803194)</f>
        <v>0.3354513889</v>
      </c>
      <c r="D16358" s="4">
        <f>IFERROR(__xludf.DUMMYFUNCTION("""COMPUTED_VALUE"""),12.948552)</f>
        <v>12.948552</v>
      </c>
      <c r="E16358" s="4">
        <f>IFERROR(__xludf.DUMMYFUNCTION("""COMPUTED_VALUE"""),80.138082)</f>
        <v>80.138082</v>
      </c>
      <c r="F16358" s="4">
        <f>IFERROR(__xludf.DUMMYFUNCTION("""COMPUTED_VALUE"""),5339.0)</f>
        <v>5339</v>
      </c>
      <c r="G16358" s="4">
        <f>IFERROR(__xludf.DUMMYFUNCTION("""COMPUTED_VALUE"""),38.0)</f>
        <v>38</v>
      </c>
      <c r="H16358" s="4"/>
      <c r="I16358" s="4"/>
    </row>
    <row r="16359">
      <c r="A16359" s="4" t="str">
        <f>IFERROR(__xludf.DUMMYFUNCTION("""COMPUTED_VALUE"""),"cas_hmw")</f>
        <v>cas_hmw</v>
      </c>
      <c r="B16359" s="5">
        <f>IFERROR(__xludf.DUMMYFUNCTION("""COMPUTED_VALUE"""),44735.0)</f>
        <v>44735</v>
      </c>
      <c r="C16359" s="6">
        <f>IFERROR(__xludf.DUMMYFUNCTION("""COMPUTED_VALUE"""),0.33570601851897663)</f>
        <v>0.3357060185</v>
      </c>
      <c r="D16359" s="4">
        <f>IFERROR(__xludf.DUMMYFUNCTION("""COMPUTED_VALUE"""),12.793476)</f>
        <v>12.793476</v>
      </c>
      <c r="E16359" s="4">
        <f>IFERROR(__xludf.DUMMYFUNCTION("""COMPUTED_VALUE"""),80.018995)</f>
        <v>80.018995</v>
      </c>
      <c r="F16359" s="4">
        <f>IFERROR(__xludf.DUMMYFUNCTION("""COMPUTED_VALUE"""),2846.0)</f>
        <v>2846</v>
      </c>
      <c r="G16359" s="4">
        <f>IFERROR(__xludf.DUMMYFUNCTION("""COMPUTED_VALUE"""),56.0)</f>
        <v>56</v>
      </c>
      <c r="H16359" s="4"/>
      <c r="I16359" s="4"/>
    </row>
    <row r="16360">
      <c r="A16360" s="4" t="str">
        <f>IFERROR(__xludf.DUMMYFUNCTION("""COMPUTED_VALUE"""),"cas_hmw")</f>
        <v>cas_hmw</v>
      </c>
      <c r="B16360" s="5">
        <f>IFERROR(__xludf.DUMMYFUNCTION("""COMPUTED_VALUE"""),44735.0)</f>
        <v>44735</v>
      </c>
      <c r="C16360" s="6">
        <f>IFERROR(__xludf.DUMMYFUNCTION("""COMPUTED_VALUE"""),0.3362268518503697)</f>
        <v>0.3362268519</v>
      </c>
      <c r="D16360" s="4">
        <f>IFERROR(__xludf.DUMMYFUNCTION("""COMPUTED_VALUE"""),12.944848)</f>
        <v>12.944848</v>
      </c>
      <c r="E16360" s="4">
        <f>IFERROR(__xludf.DUMMYFUNCTION("""COMPUTED_VALUE"""),80.135237)</f>
        <v>80.135237</v>
      </c>
      <c r="F16360" s="4">
        <f>IFERROR(__xludf.DUMMYFUNCTION("""COMPUTED_VALUE"""),5339.0)</f>
        <v>5339</v>
      </c>
      <c r="G16360" s="4">
        <f>IFERROR(__xludf.DUMMYFUNCTION("""COMPUTED_VALUE"""),54.0)</f>
        <v>54</v>
      </c>
      <c r="H16360" s="4"/>
      <c r="I16360" s="4"/>
    </row>
    <row r="16361">
      <c r="A16361" s="4" t="str">
        <f>IFERROR(__xludf.DUMMYFUNCTION("""COMPUTED_VALUE"""),"cas_hmw")</f>
        <v>cas_hmw</v>
      </c>
      <c r="B16361" s="5">
        <f>IFERROR(__xludf.DUMMYFUNCTION("""COMPUTED_VALUE"""),44735.0)</f>
        <v>44735</v>
      </c>
      <c r="C16361" s="6">
        <f>IFERROR(__xludf.DUMMYFUNCTION("""COMPUTED_VALUE"""),0.3367708333316841)</f>
        <v>0.3367708333</v>
      </c>
      <c r="D16361" s="4">
        <f>IFERROR(__xludf.DUMMYFUNCTION("""COMPUTED_VALUE"""),12.940986)</f>
        <v>12.940986</v>
      </c>
      <c r="E16361" s="4">
        <f>IFERROR(__xludf.DUMMYFUNCTION("""COMPUTED_VALUE"""),80.131622)</f>
        <v>80.131622</v>
      </c>
      <c r="F16361" s="4">
        <f>IFERROR(__xludf.DUMMYFUNCTION("""COMPUTED_VALUE"""),5339.0)</f>
        <v>5339</v>
      </c>
      <c r="G16361" s="4">
        <f>IFERROR(__xludf.DUMMYFUNCTION("""COMPUTED_VALUE"""),55.0)</f>
        <v>55</v>
      </c>
      <c r="H16361" s="4"/>
      <c r="I16361" s="4"/>
    </row>
    <row r="16362">
      <c r="A16362" s="4" t="str">
        <f>IFERROR(__xludf.DUMMYFUNCTION("""COMPUTED_VALUE"""),"cas_hmw")</f>
        <v>cas_hmw</v>
      </c>
      <c r="B16362" s="5">
        <f>IFERROR(__xludf.DUMMYFUNCTION("""COMPUTED_VALUE"""),44735.0)</f>
        <v>44735</v>
      </c>
      <c r="C16362" s="6">
        <f>IFERROR(__xludf.DUMMYFUNCTION("""COMPUTED_VALUE"""),0.33715277777810115)</f>
        <v>0.3371527778</v>
      </c>
      <c r="D16362" s="4">
        <f>IFERROR(__xludf.DUMMYFUNCTION("""COMPUTED_VALUE"""),12.937997)</f>
        <v>12.937997</v>
      </c>
      <c r="E16362" s="4">
        <f>IFERROR(__xludf.DUMMYFUNCTION("""COMPUTED_VALUE"""),80.128799)</f>
        <v>80.128799</v>
      </c>
      <c r="F16362" s="4">
        <f>IFERROR(__xludf.DUMMYFUNCTION("""COMPUTED_VALUE"""),5339.0)</f>
        <v>5339</v>
      </c>
      <c r="G16362" s="4">
        <f>IFERROR(__xludf.DUMMYFUNCTION("""COMPUTED_VALUE"""),39.0)</f>
        <v>39</v>
      </c>
      <c r="H16362" s="4"/>
      <c r="I16362" s="4"/>
    </row>
    <row r="16363">
      <c r="A16363" s="4" t="str">
        <f>IFERROR(__xludf.DUMMYFUNCTION("""COMPUTED_VALUE"""),"cas_hmw")</f>
        <v>cas_hmw</v>
      </c>
      <c r="B16363" s="5">
        <f>IFERROR(__xludf.DUMMYFUNCTION("""COMPUTED_VALUE"""),44735.0)</f>
        <v>44735</v>
      </c>
      <c r="C16363" s="6">
        <f>IFERROR(__xludf.DUMMYFUNCTION("""COMPUTED_VALUE"""),0.3371990740743058)</f>
        <v>0.3371990741</v>
      </c>
      <c r="D16363" s="4">
        <f>IFERROR(__xludf.DUMMYFUNCTION("""COMPUTED_VALUE"""),12.937997)</f>
        <v>12.937997</v>
      </c>
      <c r="E16363" s="4">
        <f>IFERROR(__xludf.DUMMYFUNCTION("""COMPUTED_VALUE"""),80.128799)</f>
        <v>80.128799</v>
      </c>
      <c r="F16363" s="4">
        <f>IFERROR(__xludf.DUMMYFUNCTION("""COMPUTED_VALUE"""),5339.0)</f>
        <v>5339</v>
      </c>
      <c r="G16363" s="4">
        <f>IFERROR(__xludf.DUMMYFUNCTION("""COMPUTED_VALUE"""),39.0)</f>
        <v>39</v>
      </c>
      <c r="H16363" s="4"/>
      <c r="I16363" s="4"/>
    </row>
    <row r="16364">
      <c r="A16364" s="4" t="str">
        <f>IFERROR(__xludf.DUMMYFUNCTION("""COMPUTED_VALUE"""),"cas_hmw")</f>
        <v>cas_hmw</v>
      </c>
      <c r="B16364" s="5">
        <f>IFERROR(__xludf.DUMMYFUNCTION("""COMPUTED_VALUE"""),44735.0)</f>
        <v>44735</v>
      </c>
      <c r="C16364" s="6">
        <f>IFERROR(__xludf.DUMMYFUNCTION("""COMPUTED_VALUE"""),0.33754629629765986)</f>
        <v>0.3375462963</v>
      </c>
      <c r="D16364" s="4">
        <f>IFERROR(__xludf.DUMMYFUNCTION("""COMPUTED_VALUE"""),12.936167)</f>
        <v>12.936167</v>
      </c>
      <c r="E16364" s="4">
        <f>IFERROR(__xludf.DUMMYFUNCTION("""COMPUTED_VALUE"""),80.127233)</f>
        <v>80.127233</v>
      </c>
      <c r="F16364" s="4">
        <f>IFERROR(__xludf.DUMMYFUNCTION("""COMPUTED_VALUE"""),5339.0)</f>
        <v>5339</v>
      </c>
      <c r="G16364" s="4">
        <f>IFERROR(__xludf.DUMMYFUNCTION("""COMPUTED_VALUE"""),37.0)</f>
        <v>37</v>
      </c>
      <c r="H16364" s="4"/>
      <c r="I16364" s="4"/>
    </row>
    <row r="16365">
      <c r="A16365" s="4" t="str">
        <f>IFERROR(__xludf.DUMMYFUNCTION("""COMPUTED_VALUE"""),"cas_hmw")</f>
        <v>cas_hmw</v>
      </c>
      <c r="B16365" s="5">
        <f>IFERROR(__xludf.DUMMYFUNCTION("""COMPUTED_VALUE"""),44735.0)</f>
        <v>44735</v>
      </c>
      <c r="C16365" s="6">
        <f>IFERROR(__xludf.DUMMYFUNCTION("""COMPUTED_VALUE"""),0.33874999999898137)</f>
        <v>0.33875</v>
      </c>
      <c r="D16365" s="4">
        <f>IFERROR(__xludf.DUMMYFUNCTION("""COMPUTED_VALUE"""),12.823525)</f>
        <v>12.823525</v>
      </c>
      <c r="E16365" s="4">
        <f>IFERROR(__xludf.DUMMYFUNCTION("""COMPUTED_VALUE"""),80.039057)</f>
        <v>80.039057</v>
      </c>
      <c r="F16365" s="4">
        <f>IFERROR(__xludf.DUMMYFUNCTION("""COMPUTED_VALUE"""),2846.0)</f>
        <v>2846</v>
      </c>
      <c r="G16365" s="4">
        <f>IFERROR(__xludf.DUMMYFUNCTION("""COMPUTED_VALUE"""),57.0)</f>
        <v>57</v>
      </c>
      <c r="H16365" s="4"/>
      <c r="I16365" s="4"/>
    </row>
    <row r="16366">
      <c r="A16366" s="4" t="str">
        <f>IFERROR(__xludf.DUMMYFUNCTION("""COMPUTED_VALUE"""),"cas_hmw")</f>
        <v>cas_hmw</v>
      </c>
      <c r="B16366" s="5">
        <f>IFERROR(__xludf.DUMMYFUNCTION("""COMPUTED_VALUE"""),44735.0)</f>
        <v>44735</v>
      </c>
      <c r="C16366" s="6">
        <f>IFERROR(__xludf.DUMMYFUNCTION("""COMPUTED_VALUE"""),0.33881944444510737)</f>
        <v>0.3388194444</v>
      </c>
      <c r="D16366" s="4">
        <f>IFERROR(__xludf.DUMMYFUNCTION("""COMPUTED_VALUE"""),12.930817)</f>
        <v>12.930817</v>
      </c>
      <c r="E16366" s="4">
        <f>IFERROR(__xludf.DUMMYFUNCTION("""COMPUTED_VALUE"""),80.122057)</f>
        <v>80.122057</v>
      </c>
      <c r="F16366" s="4">
        <f>IFERROR(__xludf.DUMMYFUNCTION("""COMPUTED_VALUE"""),5339.0)</f>
        <v>5339</v>
      </c>
      <c r="G16366" s="4">
        <f>IFERROR(__xludf.DUMMYFUNCTION("""COMPUTED_VALUE"""),37.0)</f>
        <v>37</v>
      </c>
      <c r="H16366" s="4"/>
      <c r="I16366" s="4"/>
    </row>
    <row r="16367">
      <c r="A16367" s="4" t="str">
        <f>IFERROR(__xludf.DUMMYFUNCTION("""COMPUTED_VALUE"""),"cas_hmw")</f>
        <v>cas_hmw</v>
      </c>
      <c r="B16367" s="5">
        <f>IFERROR(__xludf.DUMMYFUNCTION("""COMPUTED_VALUE"""),44735.0)</f>
        <v>44735</v>
      </c>
      <c r="C16367" s="6">
        <f>IFERROR(__xludf.DUMMYFUNCTION("""COMPUTED_VALUE"""),0.3390972222223354)</f>
        <v>0.3390972222</v>
      </c>
      <c r="D16367" s="4">
        <f>IFERROR(__xludf.DUMMYFUNCTION("""COMPUTED_VALUE"""),12.929483)</f>
        <v>12.929483</v>
      </c>
      <c r="E16367" s="4">
        <f>IFERROR(__xludf.DUMMYFUNCTION("""COMPUTED_VALUE"""),80.120744)</f>
        <v>80.120744</v>
      </c>
      <c r="F16367" s="4">
        <f>IFERROR(__xludf.DUMMYFUNCTION("""COMPUTED_VALUE"""),5339.0)</f>
        <v>5339</v>
      </c>
      <c r="G16367" s="4">
        <f>IFERROR(__xludf.DUMMYFUNCTION("""COMPUTED_VALUE"""),41.0)</f>
        <v>41</v>
      </c>
      <c r="H16367" s="4"/>
      <c r="I16367" s="4"/>
    </row>
    <row r="16368">
      <c r="A16368" s="4" t="str">
        <f>IFERROR(__xludf.DUMMYFUNCTION("""COMPUTED_VALUE"""),"cas_hmw")</f>
        <v>cas_hmw</v>
      </c>
      <c r="B16368" s="5">
        <f>IFERROR(__xludf.DUMMYFUNCTION("""COMPUTED_VALUE"""),44735.0)</f>
        <v>44735</v>
      </c>
      <c r="C16368" s="6">
        <f>IFERROR(__xludf.DUMMYFUNCTION("""COMPUTED_VALUE"""),0.33925925926087075)</f>
        <v>0.3392592593</v>
      </c>
      <c r="D16368" s="4">
        <f>IFERROR(__xludf.DUMMYFUNCTION("""COMPUTED_VALUE"""),12.927819)</f>
        <v>12.927819</v>
      </c>
      <c r="E16368" s="4">
        <f>IFERROR(__xludf.DUMMYFUNCTION("""COMPUTED_VALUE"""),80.119031)</f>
        <v>80.119031</v>
      </c>
      <c r="F16368" s="4">
        <f>IFERROR(__xludf.DUMMYFUNCTION("""COMPUTED_VALUE"""),5339.0)</f>
        <v>5339</v>
      </c>
      <c r="G16368" s="4">
        <f>IFERROR(__xludf.DUMMYFUNCTION("""COMPUTED_VALUE"""),50.0)</f>
        <v>50</v>
      </c>
      <c r="H16368" s="4"/>
      <c r="I16368" s="4"/>
    </row>
    <row r="16369">
      <c r="A16369" s="4" t="str">
        <f>IFERROR(__xludf.DUMMYFUNCTION("""COMPUTED_VALUE"""),"cas_hmw")</f>
        <v>cas_hmw</v>
      </c>
      <c r="B16369" s="5">
        <f>IFERROR(__xludf.DUMMYFUNCTION("""COMPUTED_VALUE"""),44735.0)</f>
        <v>44735</v>
      </c>
      <c r="C16369" s="6">
        <f>IFERROR(__xludf.DUMMYFUNCTION("""COMPUTED_VALUE"""),0.3402314814811689)</f>
        <v>0.3402314815</v>
      </c>
      <c r="D16369" s="4">
        <f>IFERROR(__xludf.DUMMYFUNCTION("""COMPUTED_VALUE"""),12.921958)</f>
        <v>12.921958</v>
      </c>
      <c r="E16369" s="4">
        <f>IFERROR(__xludf.DUMMYFUNCTION("""COMPUTED_VALUE"""),80.113156)</f>
        <v>80.113156</v>
      </c>
      <c r="F16369" s="4">
        <f>IFERROR(__xludf.DUMMYFUNCTION("""COMPUTED_VALUE"""),5339.0)</f>
        <v>5339</v>
      </c>
      <c r="G16369" s="4">
        <f>IFERROR(__xludf.DUMMYFUNCTION("""COMPUTED_VALUE"""),51.0)</f>
        <v>51</v>
      </c>
      <c r="H16369" s="4"/>
      <c r="I16369" s="4"/>
    </row>
    <row r="16370">
      <c r="A16370" s="4" t="str">
        <f>IFERROR(__xludf.DUMMYFUNCTION("""COMPUTED_VALUE"""),"cas_hmw")</f>
        <v>cas_hmw</v>
      </c>
      <c r="B16370" s="5">
        <f>IFERROR(__xludf.DUMMYFUNCTION("""COMPUTED_VALUE"""),44735.0)</f>
        <v>44735</v>
      </c>
      <c r="C16370" s="6">
        <f>IFERROR(__xludf.DUMMYFUNCTION("""COMPUTED_VALUE"""),0.34129629629751435)</f>
        <v>0.3412962963</v>
      </c>
      <c r="D16370" s="4">
        <f>IFERROR(__xludf.DUMMYFUNCTION("""COMPUTED_VALUE"""),12.916812)</f>
        <v>12.916812</v>
      </c>
      <c r="E16370" s="4">
        <f>IFERROR(__xludf.DUMMYFUNCTION("""COMPUTED_VALUE"""),80.106901)</f>
        <v>80.106901</v>
      </c>
      <c r="F16370" s="4">
        <f>IFERROR(__xludf.DUMMYFUNCTION("""COMPUTED_VALUE"""),5339.0)</f>
        <v>5339</v>
      </c>
      <c r="G16370" s="4">
        <f>IFERROR(__xludf.DUMMYFUNCTION("""COMPUTED_VALUE"""),29.0)</f>
        <v>29</v>
      </c>
      <c r="H16370" s="4"/>
      <c r="I16370" s="4"/>
    </row>
    <row r="16371">
      <c r="A16371" s="4" t="str">
        <f>IFERROR(__xludf.DUMMYFUNCTION("""COMPUTED_VALUE"""),"cas_hmw")</f>
        <v>cas_hmw</v>
      </c>
      <c r="B16371" s="5">
        <f>IFERROR(__xludf.DUMMYFUNCTION("""COMPUTED_VALUE"""),44735.0)</f>
        <v>44735</v>
      </c>
      <c r="C16371" s="6">
        <f>IFERROR(__xludf.DUMMYFUNCTION("""COMPUTED_VALUE"""),0.34587962962905294)</f>
        <v>0.3458796296</v>
      </c>
      <c r="D16371" s="4">
        <f>IFERROR(__xludf.DUMMYFUNCTION("""COMPUTED_VALUE"""),12.865982)</f>
        <v>12.865982</v>
      </c>
      <c r="E16371" s="4">
        <f>IFERROR(__xludf.DUMMYFUNCTION("""COMPUTED_VALUE"""),80.074834)</f>
        <v>80.074834</v>
      </c>
      <c r="F16371" s="4">
        <f>IFERROR(__xludf.DUMMYFUNCTION("""COMPUTED_VALUE"""),2846.0)</f>
        <v>2846</v>
      </c>
      <c r="G16371" s="4">
        <f>IFERROR(__xludf.DUMMYFUNCTION("""COMPUTED_VALUE"""),28.0)</f>
        <v>28</v>
      </c>
      <c r="H16371" s="4"/>
      <c r="I16371" s="4"/>
    </row>
    <row r="16372">
      <c r="A16372" s="4" t="str">
        <f>IFERROR(__xludf.DUMMYFUNCTION("""COMPUTED_VALUE"""),"cas_hmw")</f>
        <v>cas_hmw</v>
      </c>
      <c r="B16372" s="5">
        <f>IFERROR(__xludf.DUMMYFUNCTION("""COMPUTED_VALUE"""),44735.0)</f>
        <v>44735</v>
      </c>
      <c r="C16372" s="6">
        <f>IFERROR(__xludf.DUMMYFUNCTION("""COMPUTED_VALUE"""),0.346331018517958)</f>
        <v>0.3463310185</v>
      </c>
      <c r="D16372" s="4">
        <f>IFERROR(__xludf.DUMMYFUNCTION("""COMPUTED_VALUE"""),12.87183)</f>
        <v>12.87183</v>
      </c>
      <c r="E16372" s="4">
        <f>IFERROR(__xludf.DUMMYFUNCTION("""COMPUTED_VALUE"""),80.077111)</f>
        <v>80.077111</v>
      </c>
      <c r="F16372" s="4">
        <f>IFERROR(__xludf.DUMMYFUNCTION("""COMPUTED_VALUE"""),2846.0)</f>
        <v>2846</v>
      </c>
      <c r="G16372" s="4">
        <f>IFERROR(__xludf.DUMMYFUNCTION("""COMPUTED_VALUE"""),49.0)</f>
        <v>49</v>
      </c>
      <c r="H16372" s="4"/>
      <c r="I16372" s="4"/>
    </row>
    <row r="16373">
      <c r="A16373" s="4" t="str">
        <f>IFERROR(__xludf.DUMMYFUNCTION("""COMPUTED_VALUE"""),"cas_hmw")</f>
        <v>cas_hmw</v>
      </c>
      <c r="B16373" s="5">
        <f>IFERROR(__xludf.DUMMYFUNCTION("""COMPUTED_VALUE"""),44735.0)</f>
        <v>44735</v>
      </c>
      <c r="C16373" s="6">
        <f>IFERROR(__xludf.DUMMYFUNCTION("""COMPUTED_VALUE"""),0.34837962963138125)</f>
        <v>0.3483796296</v>
      </c>
      <c r="D16373" s="4">
        <f>IFERROR(__xludf.DUMMYFUNCTION("""COMPUTED_VALUE"""),12.91076)</f>
        <v>12.91076</v>
      </c>
      <c r="E16373" s="4">
        <f>IFERROR(__xludf.DUMMYFUNCTION("""COMPUTED_VALUE"""),80.101219)</f>
        <v>80.101219</v>
      </c>
      <c r="F16373" s="4">
        <f>IFERROR(__xludf.DUMMYFUNCTION("""COMPUTED_VALUE"""),5339.0)</f>
        <v>5339</v>
      </c>
      <c r="G16373" s="4">
        <f>IFERROR(__xludf.DUMMYFUNCTION("""COMPUTED_VALUE"""),46.0)</f>
        <v>46</v>
      </c>
      <c r="H16373" s="4"/>
      <c r="I16373" s="4"/>
    </row>
    <row r="16374">
      <c r="A16374" s="4" t="str">
        <f>IFERROR(__xludf.DUMMYFUNCTION("""COMPUTED_VALUE"""),"cas_hmw")</f>
        <v>cas_hmw</v>
      </c>
      <c r="B16374" s="5">
        <f>IFERROR(__xludf.DUMMYFUNCTION("""COMPUTED_VALUE"""),44735.0)</f>
        <v>44735</v>
      </c>
      <c r="C16374" s="6">
        <f>IFERROR(__xludf.DUMMYFUNCTION("""COMPUTED_VALUE"""),0.35144675925766933)</f>
        <v>0.3514467593</v>
      </c>
      <c r="D16374" s="4">
        <f>IFERROR(__xludf.DUMMYFUNCTION("""COMPUTED_VALUE"""),12.904307)</f>
        <v>12.904307</v>
      </c>
      <c r="E16374" s="4">
        <f>IFERROR(__xludf.DUMMYFUNCTION("""COMPUTED_VALUE"""),80.094942)</f>
        <v>80.094942</v>
      </c>
      <c r="F16374" s="4">
        <f>IFERROR(__xludf.DUMMYFUNCTION("""COMPUTED_VALUE"""),5339.0)</f>
        <v>5339</v>
      </c>
      <c r="G16374" s="4">
        <f>IFERROR(__xludf.DUMMYFUNCTION("""COMPUTED_VALUE"""),37.0)</f>
        <v>37</v>
      </c>
      <c r="H16374" s="4"/>
      <c r="I16374" s="4"/>
    </row>
    <row r="16375">
      <c r="A16375" s="4" t="str">
        <f>IFERROR(__xludf.DUMMYFUNCTION("""COMPUTED_VALUE"""),"cas_hmw")</f>
        <v>cas_hmw</v>
      </c>
      <c r="B16375" s="5">
        <f>IFERROR(__xludf.DUMMYFUNCTION("""COMPUTED_VALUE"""),44735.0)</f>
        <v>44735</v>
      </c>
      <c r="C16375" s="6">
        <f>IFERROR(__xludf.DUMMYFUNCTION("""COMPUTED_VALUE"""),0.3517129629617557)</f>
        <v>0.351712963</v>
      </c>
      <c r="D16375" s="4">
        <f>IFERROR(__xludf.DUMMYFUNCTION("""COMPUTED_VALUE"""),12.902836)</f>
        <v>12.902836</v>
      </c>
      <c r="E16375" s="4">
        <f>IFERROR(__xludf.DUMMYFUNCTION("""COMPUTED_VALUE"""),80.09367)</f>
        <v>80.09367</v>
      </c>
      <c r="F16375" s="4">
        <f>IFERROR(__xludf.DUMMYFUNCTION("""COMPUTED_VALUE"""),5339.0)</f>
        <v>5339</v>
      </c>
      <c r="G16375" s="4">
        <f>IFERROR(__xludf.DUMMYFUNCTION("""COMPUTED_VALUE"""),36.0)</f>
        <v>36</v>
      </c>
      <c r="H16375" s="4"/>
      <c r="I16375" s="4"/>
    </row>
    <row r="16376">
      <c r="A16376" s="4" t="str">
        <f>IFERROR(__xludf.DUMMYFUNCTION("""COMPUTED_VALUE"""),"cas_hmw")</f>
        <v>cas_hmw</v>
      </c>
      <c r="B16376" s="5">
        <f>IFERROR(__xludf.DUMMYFUNCTION("""COMPUTED_VALUE"""),44735.0)</f>
        <v>44735</v>
      </c>
      <c r="C16376" s="6">
        <f>IFERROR(__xludf.DUMMYFUNCTION("""COMPUTED_VALUE"""),0.35393518518685596)</f>
        <v>0.3539351852</v>
      </c>
      <c r="D16376" s="4">
        <f>IFERROR(__xludf.DUMMYFUNCTION("""COMPUTED_VALUE"""),12.885699)</f>
        <v>12.885699</v>
      </c>
      <c r="E16376" s="4">
        <f>IFERROR(__xludf.DUMMYFUNCTION("""COMPUTED_VALUE"""),80.082821)</f>
        <v>80.082821</v>
      </c>
      <c r="F16376" s="4">
        <f>IFERROR(__xludf.DUMMYFUNCTION("""COMPUTED_VALUE"""),5339.0)</f>
        <v>5339</v>
      </c>
      <c r="G16376" s="4">
        <f>IFERROR(__xludf.DUMMYFUNCTION("""COMPUTED_VALUE"""),57.0)</f>
        <v>57</v>
      </c>
      <c r="H16376" s="4"/>
      <c r="I16376" s="4"/>
    </row>
    <row r="16377">
      <c r="A16377" s="4" t="str">
        <f>IFERROR(__xludf.DUMMYFUNCTION("""COMPUTED_VALUE"""),"cas_hmw")</f>
        <v>cas_hmw</v>
      </c>
      <c r="B16377" s="5">
        <f>IFERROR(__xludf.DUMMYFUNCTION("""COMPUTED_VALUE"""),44735.0)</f>
        <v>44735</v>
      </c>
      <c r="C16377" s="6">
        <f>IFERROR(__xludf.DUMMYFUNCTION("""COMPUTED_VALUE"""),0.354282407406572)</f>
        <v>0.3542824074</v>
      </c>
      <c r="D16377" s="4">
        <f>IFERROR(__xludf.DUMMYFUNCTION("""COMPUTED_VALUE"""),12.881244)</f>
        <v>12.881244</v>
      </c>
      <c r="E16377" s="4">
        <f>IFERROR(__xludf.DUMMYFUNCTION("""COMPUTED_VALUE"""),80.081173)</f>
        <v>80.081173</v>
      </c>
      <c r="F16377" s="4">
        <f>IFERROR(__xludf.DUMMYFUNCTION("""COMPUTED_VALUE"""),5339.0)</f>
        <v>5339</v>
      </c>
      <c r="G16377" s="4">
        <f>IFERROR(__xludf.DUMMYFUNCTION("""COMPUTED_VALUE"""),34.0)</f>
        <v>34</v>
      </c>
      <c r="H16377" s="4"/>
      <c r="I16377" s="4"/>
    </row>
    <row r="16378">
      <c r="A16378" s="4" t="str">
        <f>IFERROR(__xludf.DUMMYFUNCTION("""COMPUTED_VALUE"""),"cas_hmw")</f>
        <v>cas_hmw</v>
      </c>
      <c r="B16378" s="5">
        <f>IFERROR(__xludf.DUMMYFUNCTION("""COMPUTED_VALUE"""),44735.0)</f>
        <v>44735</v>
      </c>
      <c r="C16378" s="6">
        <f>IFERROR(__xludf.DUMMYFUNCTION("""COMPUTED_VALUE"""),0.48755787036861875)</f>
        <v>0.4875578704</v>
      </c>
      <c r="D16378" s="4">
        <f>IFERROR(__xludf.DUMMYFUNCTION("""COMPUTED_VALUE"""),12.870888)</f>
        <v>12.870888</v>
      </c>
      <c r="E16378" s="4">
        <f>IFERROR(__xludf.DUMMYFUNCTION("""COMPUTED_VALUE"""),80.105106)</f>
        <v>80.105106</v>
      </c>
      <c r="F16378" s="4">
        <f>IFERROR(__xludf.DUMMYFUNCTION("""COMPUTED_VALUE"""),2846.0)</f>
        <v>2846</v>
      </c>
      <c r="G16378" s="4">
        <f>IFERROR(__xludf.DUMMYFUNCTION("""COMPUTED_VALUE"""),40.0)</f>
        <v>40</v>
      </c>
      <c r="H16378" s="4"/>
      <c r="I16378" s="4"/>
    </row>
    <row r="16379">
      <c r="A16379" s="4" t="str">
        <f>IFERROR(__xludf.DUMMYFUNCTION("""COMPUTED_VALUE"""),"cas_hmw")</f>
        <v>cas_hmw</v>
      </c>
      <c r="B16379" s="5">
        <f>IFERROR(__xludf.DUMMYFUNCTION("""COMPUTED_VALUE"""),44735.0)</f>
        <v>44735</v>
      </c>
      <c r="C16379" s="6">
        <f>IFERROR(__xludf.DUMMYFUNCTION("""COMPUTED_VALUE"""),0.6956134259271494)</f>
        <v>0.6956134259</v>
      </c>
      <c r="D16379" s="4">
        <f>IFERROR(__xludf.DUMMYFUNCTION("""COMPUTED_VALUE"""),12.892424)</f>
        <v>12.892424</v>
      </c>
      <c r="E16379" s="4">
        <f>IFERROR(__xludf.DUMMYFUNCTION("""COMPUTED_VALUE"""),80.085654)</f>
        <v>80.085654</v>
      </c>
      <c r="F16379" s="4">
        <f>IFERROR(__xludf.DUMMYFUNCTION("""COMPUTED_VALUE"""),5339.0)</f>
        <v>5339</v>
      </c>
      <c r="G16379" s="4">
        <f>IFERROR(__xludf.DUMMYFUNCTION("""COMPUTED_VALUE"""),46.0)</f>
        <v>46</v>
      </c>
      <c r="H16379" s="4"/>
      <c r="I16379" s="4"/>
    </row>
    <row r="16380">
      <c r="A16380" s="4" t="str">
        <f>IFERROR(__xludf.DUMMYFUNCTION("""COMPUTED_VALUE"""),"cas_hmw")</f>
        <v>cas_hmw</v>
      </c>
      <c r="B16380" s="5">
        <f>IFERROR(__xludf.DUMMYFUNCTION("""COMPUTED_VALUE"""),44735.0)</f>
        <v>44735</v>
      </c>
      <c r="C16380" s="6">
        <f>IFERROR(__xludf.DUMMYFUNCTION("""COMPUTED_VALUE"""),0.6982523148144537)</f>
        <v>0.6982523148</v>
      </c>
      <c r="D16380" s="4">
        <f>IFERROR(__xludf.DUMMYFUNCTION("""COMPUTED_VALUE"""),12.906857)</f>
        <v>12.906857</v>
      </c>
      <c r="E16380" s="4">
        <f>IFERROR(__xludf.DUMMYFUNCTION("""COMPUTED_VALUE"""),80.096636)</f>
        <v>80.096636</v>
      </c>
      <c r="F16380" s="4">
        <f>IFERROR(__xludf.DUMMYFUNCTION("""COMPUTED_VALUE"""),5339.0)</f>
        <v>5339</v>
      </c>
      <c r="G16380" s="4">
        <f>IFERROR(__xludf.DUMMYFUNCTION("""COMPUTED_VALUE"""),34.0)</f>
        <v>34</v>
      </c>
      <c r="H16380" s="4"/>
      <c r="I16380" s="4"/>
    </row>
    <row r="16381">
      <c r="A16381" s="4" t="str">
        <f>IFERROR(__xludf.DUMMYFUNCTION("""COMPUTED_VALUE"""),"cas_hmw")</f>
        <v>cas_hmw</v>
      </c>
      <c r="B16381" s="5">
        <f>IFERROR(__xludf.DUMMYFUNCTION("""COMPUTED_VALUE"""),44735.0)</f>
        <v>44735</v>
      </c>
      <c r="C16381" s="6">
        <f>IFERROR(__xludf.DUMMYFUNCTION("""COMPUTED_VALUE"""),0.6985069444453984)</f>
        <v>0.6985069444</v>
      </c>
      <c r="D16381" s="4">
        <f>IFERROR(__xludf.DUMMYFUNCTION("""COMPUTED_VALUE"""),12.908547)</f>
        <v>12.908547</v>
      </c>
      <c r="E16381" s="4">
        <f>IFERROR(__xludf.DUMMYFUNCTION("""COMPUTED_VALUE"""),80.097991)</f>
        <v>80.097991</v>
      </c>
      <c r="F16381" s="4">
        <f>IFERROR(__xludf.DUMMYFUNCTION("""COMPUTED_VALUE"""),5339.0)</f>
        <v>5339</v>
      </c>
      <c r="G16381" s="4">
        <f>IFERROR(__xludf.DUMMYFUNCTION("""COMPUTED_VALUE"""),41.0)</f>
        <v>41</v>
      </c>
      <c r="H16381" s="4"/>
      <c r="I16381" s="4"/>
    </row>
    <row r="16382">
      <c r="A16382" s="4" t="str">
        <f>IFERROR(__xludf.DUMMYFUNCTION("""COMPUTED_VALUE"""),"cas_hmw")</f>
        <v>cas_hmw</v>
      </c>
      <c r="B16382" s="5">
        <f>IFERROR(__xludf.DUMMYFUNCTION("""COMPUTED_VALUE"""),44735.0)</f>
        <v>44735</v>
      </c>
      <c r="C16382" s="6">
        <f>IFERROR(__xludf.DUMMYFUNCTION("""COMPUTED_VALUE"""),0.7018171296294895)</f>
        <v>0.7018171296</v>
      </c>
      <c r="D16382" s="4">
        <f>IFERROR(__xludf.DUMMYFUNCTION("""COMPUTED_VALUE"""),12.920947)</f>
        <v>12.920947</v>
      </c>
      <c r="E16382" s="4">
        <f>IFERROR(__xludf.DUMMYFUNCTION("""COMPUTED_VALUE"""),80.112003)</f>
        <v>80.112003</v>
      </c>
      <c r="F16382" s="4">
        <f>IFERROR(__xludf.DUMMYFUNCTION("""COMPUTED_VALUE"""),5339.0)</f>
        <v>5339</v>
      </c>
      <c r="G16382" s="4">
        <f>IFERROR(__xludf.DUMMYFUNCTION("""COMPUTED_VALUE"""),48.0)</f>
        <v>48</v>
      </c>
      <c r="H16382" s="4"/>
      <c r="I16382" s="4"/>
    </row>
    <row r="16383">
      <c r="A16383" s="4" t="str">
        <f>IFERROR(__xludf.DUMMYFUNCTION("""COMPUTED_VALUE"""),"cas_hmw")</f>
        <v>cas_hmw</v>
      </c>
      <c r="B16383" s="5">
        <f>IFERROR(__xludf.DUMMYFUNCTION("""COMPUTED_VALUE"""),44735.0)</f>
        <v>44735</v>
      </c>
      <c r="C16383" s="6">
        <f>IFERROR(__xludf.DUMMYFUNCTION("""COMPUTED_VALUE"""),0.7020486111105129)</f>
        <v>0.7020486111</v>
      </c>
      <c r="D16383" s="4">
        <f>IFERROR(__xludf.DUMMYFUNCTION("""COMPUTED_VALUE"""),12.922592)</f>
        <v>12.922592</v>
      </c>
      <c r="E16383" s="4">
        <f>IFERROR(__xludf.DUMMYFUNCTION("""COMPUTED_VALUE"""),80.113632)</f>
        <v>80.113632</v>
      </c>
      <c r="F16383" s="4">
        <f>IFERROR(__xludf.DUMMYFUNCTION("""COMPUTED_VALUE"""),5339.0)</f>
        <v>5339</v>
      </c>
      <c r="G16383" s="4">
        <f>IFERROR(__xludf.DUMMYFUNCTION("""COMPUTED_VALUE"""),42.0)</f>
        <v>42</v>
      </c>
      <c r="H16383" s="4"/>
      <c r="I16383" s="4"/>
    </row>
    <row r="16384">
      <c r="A16384" s="4" t="str">
        <f>IFERROR(__xludf.DUMMYFUNCTION("""COMPUTED_VALUE"""),"cas_hmw")</f>
        <v>cas_hmw</v>
      </c>
      <c r="B16384" s="5">
        <f>IFERROR(__xludf.DUMMYFUNCTION("""COMPUTED_VALUE"""),44735.0)</f>
        <v>44735</v>
      </c>
      <c r="C16384" s="6">
        <f>IFERROR(__xludf.DUMMYFUNCTION("""COMPUTED_VALUE"""),0.7044097222205892)</f>
        <v>0.7044097222</v>
      </c>
      <c r="D16384" s="4">
        <f>IFERROR(__xludf.DUMMYFUNCTION("""COMPUTED_VALUE"""),12.93012)</f>
        <v>12.93012</v>
      </c>
      <c r="E16384" s="4">
        <f>IFERROR(__xludf.DUMMYFUNCTION("""COMPUTED_VALUE"""),80.121233)</f>
        <v>80.121233</v>
      </c>
      <c r="F16384" s="4">
        <f>IFERROR(__xludf.DUMMYFUNCTION("""COMPUTED_VALUE"""),5339.0)</f>
        <v>5339</v>
      </c>
      <c r="G16384" s="4">
        <f>IFERROR(__xludf.DUMMYFUNCTION("""COMPUTED_VALUE"""),27.0)</f>
        <v>27</v>
      </c>
      <c r="H16384" s="4"/>
      <c r="I16384" s="4"/>
    </row>
    <row r="16385">
      <c r="A16385" s="4" t="str">
        <f>IFERROR(__xludf.DUMMYFUNCTION("""COMPUTED_VALUE"""),"cas_hmw")</f>
        <v>cas_hmw</v>
      </c>
      <c r="B16385" s="5">
        <f>IFERROR(__xludf.DUMMYFUNCTION("""COMPUTED_VALUE"""),44735.0)</f>
        <v>44735</v>
      </c>
      <c r="C16385" s="6">
        <f>IFERROR(__xludf.DUMMYFUNCTION("""COMPUTED_VALUE"""),0.7044560185167938)</f>
        <v>0.7044560185</v>
      </c>
      <c r="D16385" s="4">
        <f>IFERROR(__xludf.DUMMYFUNCTION("""COMPUTED_VALUE"""),12.93012)</f>
        <v>12.93012</v>
      </c>
      <c r="E16385" s="4">
        <f>IFERROR(__xludf.DUMMYFUNCTION("""COMPUTED_VALUE"""),80.121233)</f>
        <v>80.121233</v>
      </c>
      <c r="F16385" s="4">
        <f>IFERROR(__xludf.DUMMYFUNCTION("""COMPUTED_VALUE"""),5339.0)</f>
        <v>5339</v>
      </c>
      <c r="G16385" s="4">
        <f>IFERROR(__xludf.DUMMYFUNCTION("""COMPUTED_VALUE"""),27.0)</f>
        <v>27</v>
      </c>
      <c r="H16385" s="4"/>
      <c r="I16385" s="4"/>
    </row>
    <row r="16386">
      <c r="A16386" s="4" t="str">
        <f>IFERROR(__xludf.DUMMYFUNCTION("""COMPUTED_VALUE"""),"cas_hmw")</f>
        <v>cas_hmw</v>
      </c>
      <c r="B16386" s="5">
        <f>IFERROR(__xludf.DUMMYFUNCTION("""COMPUTED_VALUE"""),44735.0)</f>
        <v>44735</v>
      </c>
      <c r="C16386" s="6">
        <f>IFERROR(__xludf.DUMMYFUNCTION("""COMPUTED_VALUE"""),0.7044675925935735)</f>
        <v>0.7044675926</v>
      </c>
      <c r="D16386" s="4">
        <f>IFERROR(__xludf.DUMMYFUNCTION("""COMPUTED_VALUE"""),12.93012)</f>
        <v>12.93012</v>
      </c>
      <c r="E16386" s="4">
        <f>IFERROR(__xludf.DUMMYFUNCTION("""COMPUTED_VALUE"""),80.121233)</f>
        <v>80.121233</v>
      </c>
      <c r="F16386" s="4">
        <f>IFERROR(__xludf.DUMMYFUNCTION("""COMPUTED_VALUE"""),5339.0)</f>
        <v>5339</v>
      </c>
      <c r="G16386" s="4">
        <f>IFERROR(__xludf.DUMMYFUNCTION("""COMPUTED_VALUE"""),27.0)</f>
        <v>27</v>
      </c>
      <c r="H16386" s="4"/>
      <c r="I16386" s="4"/>
    </row>
    <row r="16387">
      <c r="A16387" s="4" t="str">
        <f>IFERROR(__xludf.DUMMYFUNCTION("""COMPUTED_VALUE"""),"cas_hmw")</f>
        <v>cas_hmw</v>
      </c>
      <c r="B16387" s="5">
        <f>IFERROR(__xludf.DUMMYFUNCTION("""COMPUTED_VALUE"""),44735.0)</f>
        <v>44735</v>
      </c>
      <c r="C16387" s="6">
        <f>IFERROR(__xludf.DUMMYFUNCTION("""COMPUTED_VALUE"""),0.705358796294604)</f>
        <v>0.7053587963</v>
      </c>
      <c r="D16387" s="4">
        <f>IFERROR(__xludf.DUMMYFUNCTION("""COMPUTED_VALUE"""),12.932074)</f>
        <v>12.932074</v>
      </c>
      <c r="E16387" s="4">
        <f>IFERROR(__xludf.DUMMYFUNCTION("""COMPUTED_VALUE"""),80.123196)</f>
        <v>80.123196</v>
      </c>
      <c r="F16387" s="4">
        <f>IFERROR(__xludf.DUMMYFUNCTION("""COMPUTED_VALUE"""),5339.0)</f>
        <v>5339</v>
      </c>
      <c r="G16387" s="4">
        <f>IFERROR(__xludf.DUMMYFUNCTION("""COMPUTED_VALUE"""),32.0)</f>
        <v>32</v>
      </c>
      <c r="H16387" s="4"/>
      <c r="I16387" s="4"/>
    </row>
    <row r="16388">
      <c r="A16388" s="4" t="str">
        <f>IFERROR(__xludf.DUMMYFUNCTION("""COMPUTED_VALUE"""),"cas_hmw")</f>
        <v>cas_hmw</v>
      </c>
      <c r="B16388" s="5">
        <f>IFERROR(__xludf.DUMMYFUNCTION("""COMPUTED_VALUE"""),44735.0)</f>
        <v>44735</v>
      </c>
      <c r="C16388" s="6">
        <f>IFERROR(__xludf.DUMMYFUNCTION("""COMPUTED_VALUE"""),0.705462962963793)</f>
        <v>0.705462963</v>
      </c>
      <c r="D16388" s="4">
        <f>IFERROR(__xludf.DUMMYFUNCTION("""COMPUTED_VALUE"""),12.932734)</f>
        <v>12.932734</v>
      </c>
      <c r="E16388" s="4">
        <f>IFERROR(__xludf.DUMMYFUNCTION("""COMPUTED_VALUE"""),80.123849)</f>
        <v>80.123849</v>
      </c>
      <c r="F16388" s="4">
        <f>IFERROR(__xludf.DUMMYFUNCTION("""COMPUTED_VALUE"""),5339.0)</f>
        <v>5339</v>
      </c>
      <c r="G16388" s="4">
        <f>IFERROR(__xludf.DUMMYFUNCTION("""COMPUTED_VALUE"""),39.0)</f>
        <v>39</v>
      </c>
      <c r="H16388" s="4"/>
      <c r="I16388" s="4"/>
    </row>
    <row r="16389">
      <c r="A16389" s="4" t="str">
        <f>IFERROR(__xludf.DUMMYFUNCTION("""COMPUTED_VALUE"""),"cas_hmw")</f>
        <v>cas_hmw</v>
      </c>
      <c r="B16389" s="5">
        <f>IFERROR(__xludf.DUMMYFUNCTION("""COMPUTED_VALUE"""),44735.0)</f>
        <v>44735</v>
      </c>
      <c r="C16389" s="6">
        <f>IFERROR(__xludf.DUMMYFUNCTION("""COMPUTED_VALUE"""),0.705879629629635)</f>
        <v>0.7058796296</v>
      </c>
      <c r="D16389" s="4">
        <f>IFERROR(__xludf.DUMMYFUNCTION("""COMPUTED_VALUE"""),12.871475)</f>
        <v>12.871475</v>
      </c>
      <c r="E16389" s="4">
        <f>IFERROR(__xludf.DUMMYFUNCTION("""COMPUTED_VALUE"""),80.077248)</f>
        <v>80.077248</v>
      </c>
      <c r="F16389" s="4">
        <f>IFERROR(__xludf.DUMMYFUNCTION("""COMPUTED_VALUE"""),2846.0)</f>
        <v>2846</v>
      </c>
      <c r="G16389" s="4">
        <f>IFERROR(__xludf.DUMMYFUNCTION("""COMPUTED_VALUE"""),48.0)</f>
        <v>48</v>
      </c>
      <c r="H16389" s="4"/>
      <c r="I16389" s="4"/>
    </row>
    <row r="16390">
      <c r="A16390" s="4" t="str">
        <f>IFERROR(__xludf.DUMMYFUNCTION("""COMPUTED_VALUE"""),"cas_hmw")</f>
        <v>cas_hmw</v>
      </c>
      <c r="B16390" s="5">
        <f>IFERROR(__xludf.DUMMYFUNCTION("""COMPUTED_VALUE"""),44735.0)</f>
        <v>44735</v>
      </c>
      <c r="C16390" s="6">
        <f>IFERROR(__xludf.DUMMYFUNCTION("""COMPUTED_VALUE"""),0.7077430555546016)</f>
        <v>0.7077430556</v>
      </c>
      <c r="D16390" s="4">
        <f>IFERROR(__xludf.DUMMYFUNCTION("""COMPUTED_VALUE"""),12.943473)</f>
        <v>12.943473</v>
      </c>
      <c r="E16390" s="4">
        <f>IFERROR(__xludf.DUMMYFUNCTION("""COMPUTED_VALUE"""),80.133995)</f>
        <v>80.133995</v>
      </c>
      <c r="F16390" s="4">
        <f>IFERROR(__xludf.DUMMYFUNCTION("""COMPUTED_VALUE"""),5339.0)</f>
        <v>5339</v>
      </c>
      <c r="G16390" s="4">
        <f>IFERROR(__xludf.DUMMYFUNCTION("""COMPUTED_VALUE"""),41.0)</f>
        <v>41</v>
      </c>
      <c r="H16390" s="4"/>
      <c r="I16390" s="4"/>
    </row>
    <row r="16391">
      <c r="A16391" s="4" t="str">
        <f>IFERROR(__xludf.DUMMYFUNCTION("""COMPUTED_VALUE"""),"cas_hmw")</f>
        <v>cas_hmw</v>
      </c>
      <c r="B16391" s="5">
        <f>IFERROR(__xludf.DUMMYFUNCTION("""COMPUTED_VALUE"""),44735.0)</f>
        <v>44735</v>
      </c>
      <c r="C16391" s="6">
        <f>IFERROR(__xludf.DUMMYFUNCTION("""COMPUTED_VALUE"""),0.708078703704814)</f>
        <v>0.7080787037</v>
      </c>
      <c r="D16391" s="4">
        <f>IFERROR(__xludf.DUMMYFUNCTION("""COMPUTED_VALUE"""),12.860139)</f>
        <v>12.860139</v>
      </c>
      <c r="E16391" s="4">
        <f>IFERROR(__xludf.DUMMYFUNCTION("""COMPUTED_VALUE"""),80.072414)</f>
        <v>80.072414</v>
      </c>
      <c r="F16391" s="4">
        <f>IFERROR(__xludf.DUMMYFUNCTION("""COMPUTED_VALUE"""),2846.0)</f>
        <v>2846</v>
      </c>
      <c r="G16391" s="4">
        <f>IFERROR(__xludf.DUMMYFUNCTION("""COMPUTED_VALUE"""),12.0)</f>
        <v>12</v>
      </c>
      <c r="H16391" s="4"/>
      <c r="I16391" s="4"/>
    </row>
    <row r="16392">
      <c r="A16392" s="4" t="str">
        <f>IFERROR(__xludf.DUMMYFUNCTION("""COMPUTED_VALUE"""),"cas_hmw")</f>
        <v>cas_hmw</v>
      </c>
      <c r="B16392" s="5">
        <f>IFERROR(__xludf.DUMMYFUNCTION("""COMPUTED_VALUE"""),44735.0)</f>
        <v>44735</v>
      </c>
      <c r="C16392" s="6">
        <f>IFERROR(__xludf.DUMMYFUNCTION("""COMPUTED_VALUE"""),0.7090740740750334)</f>
        <v>0.7090740741</v>
      </c>
      <c r="D16392" s="4">
        <f>IFERROR(__xludf.DUMMYFUNCTION("""COMPUTED_VALUE"""),12.852604)</f>
        <v>12.852604</v>
      </c>
      <c r="E16392" s="4">
        <f>IFERROR(__xludf.DUMMYFUNCTION("""COMPUTED_VALUE"""),80.066778)</f>
        <v>80.066778</v>
      </c>
      <c r="F16392" s="4">
        <f>IFERROR(__xludf.DUMMYFUNCTION("""COMPUTED_VALUE"""),2846.0)</f>
        <v>2846</v>
      </c>
      <c r="G16392" s="4">
        <f>IFERROR(__xludf.DUMMYFUNCTION("""COMPUTED_VALUE"""),57.0)</f>
        <v>57</v>
      </c>
      <c r="H16392" s="4"/>
      <c r="I16392" s="4"/>
    </row>
    <row r="16393">
      <c r="A16393" s="4" t="str">
        <f>IFERROR(__xludf.DUMMYFUNCTION("""COMPUTED_VALUE"""),"cas_hmw")</f>
        <v>cas_hmw</v>
      </c>
      <c r="B16393" s="5">
        <f>IFERROR(__xludf.DUMMYFUNCTION("""COMPUTED_VALUE"""),44735.0)</f>
        <v>44735</v>
      </c>
      <c r="C16393" s="6">
        <f>IFERROR(__xludf.DUMMYFUNCTION("""COMPUTED_VALUE"""),0.7093055555560568)</f>
        <v>0.7093055556</v>
      </c>
      <c r="D16393" s="4">
        <f>IFERROR(__xludf.DUMMYFUNCTION("""COMPUTED_VALUE"""),12.950315)</f>
        <v>12.950315</v>
      </c>
      <c r="E16393" s="4">
        <f>IFERROR(__xludf.DUMMYFUNCTION("""COMPUTED_VALUE"""),80.139338)</f>
        <v>80.139338</v>
      </c>
      <c r="F16393" s="4">
        <f>IFERROR(__xludf.DUMMYFUNCTION("""COMPUTED_VALUE"""),5339.0)</f>
        <v>5339</v>
      </c>
      <c r="G16393" s="4">
        <f>IFERROR(__xludf.DUMMYFUNCTION("""COMPUTED_VALUE"""),8.0)</f>
        <v>8</v>
      </c>
      <c r="H16393" s="4"/>
      <c r="I16393" s="4"/>
    </row>
    <row r="16394">
      <c r="A16394" s="4" t="str">
        <f>IFERROR(__xludf.DUMMYFUNCTION("""COMPUTED_VALUE"""),"cas_hmw")</f>
        <v>cas_hmw</v>
      </c>
      <c r="B16394" s="5">
        <f>IFERROR(__xludf.DUMMYFUNCTION("""COMPUTED_VALUE"""),44735.0)</f>
        <v>44735</v>
      </c>
      <c r="C16394" s="6">
        <f>IFERROR(__xludf.DUMMYFUNCTION("""COMPUTED_VALUE"""),0.7093171296291985)</f>
        <v>0.7093171296</v>
      </c>
      <c r="D16394" s="4">
        <f>IFERROR(__xludf.DUMMYFUNCTION("""COMPUTED_VALUE"""),12.950315)</f>
        <v>12.950315</v>
      </c>
      <c r="E16394" s="4">
        <f>IFERROR(__xludf.DUMMYFUNCTION("""COMPUTED_VALUE"""),80.139338)</f>
        <v>80.139338</v>
      </c>
      <c r="F16394" s="4">
        <f>IFERROR(__xludf.DUMMYFUNCTION("""COMPUTED_VALUE"""),5339.0)</f>
        <v>5339</v>
      </c>
      <c r="G16394" s="4">
        <f>IFERROR(__xludf.DUMMYFUNCTION("""COMPUTED_VALUE"""),8.0)</f>
        <v>8</v>
      </c>
      <c r="H16394" s="4"/>
      <c r="I16394" s="4"/>
    </row>
    <row r="16395">
      <c r="A16395" s="4" t="str">
        <f>IFERROR(__xludf.DUMMYFUNCTION("""COMPUTED_VALUE"""),"cas_hmw")</f>
        <v>cas_hmw</v>
      </c>
      <c r="B16395" s="5">
        <f>IFERROR(__xludf.DUMMYFUNCTION("""COMPUTED_VALUE"""),44735.0)</f>
        <v>44735</v>
      </c>
      <c r="C16395" s="6">
        <f>IFERROR(__xludf.DUMMYFUNCTION("""COMPUTED_VALUE"""),0.7122800925935735)</f>
        <v>0.7122800926</v>
      </c>
      <c r="D16395" s="4">
        <f>IFERROR(__xludf.DUMMYFUNCTION("""COMPUTED_VALUE"""),12.962903)</f>
        <v>12.962903</v>
      </c>
      <c r="E16395" s="4">
        <f>IFERROR(__xludf.DUMMYFUNCTION("""COMPUTED_VALUE"""),80.1467)</f>
        <v>80.1467</v>
      </c>
      <c r="F16395" s="4">
        <f>IFERROR(__xludf.DUMMYFUNCTION("""COMPUTED_VALUE"""),5339.0)</f>
        <v>5339</v>
      </c>
      <c r="G16395" s="4">
        <f>IFERROR(__xludf.DUMMYFUNCTION("""COMPUTED_VALUE"""),43.0)</f>
        <v>43</v>
      </c>
      <c r="H16395" s="4"/>
      <c r="I16395" s="4"/>
    </row>
    <row r="16396">
      <c r="A16396" s="4" t="str">
        <f>IFERROR(__xludf.DUMMYFUNCTION("""COMPUTED_VALUE"""),"cas_hmw")</f>
        <v>cas_hmw</v>
      </c>
      <c r="B16396" s="5">
        <f>IFERROR(__xludf.DUMMYFUNCTION("""COMPUTED_VALUE"""),44735.0)</f>
        <v>44735</v>
      </c>
      <c r="C16396" s="6">
        <f>IFERROR(__xludf.DUMMYFUNCTION("""COMPUTED_VALUE"""),0.7124652777783922)</f>
        <v>0.7124652778</v>
      </c>
      <c r="D16396" s="4">
        <f>IFERROR(__xludf.DUMMYFUNCTION("""COMPUTED_VALUE"""),12.963866)</f>
        <v>12.963866</v>
      </c>
      <c r="E16396" s="4">
        <f>IFERROR(__xludf.DUMMYFUNCTION("""COMPUTED_VALUE"""),80.147244)</f>
        <v>80.147244</v>
      </c>
      <c r="F16396" s="4">
        <f>IFERROR(__xludf.DUMMYFUNCTION("""COMPUTED_VALUE"""),5339.0)</f>
        <v>5339</v>
      </c>
      <c r="G16396" s="4">
        <f>IFERROR(__xludf.DUMMYFUNCTION("""COMPUTED_VALUE"""),42.0)</f>
        <v>42</v>
      </c>
      <c r="H16396" s="4"/>
      <c r="I16396" s="4"/>
    </row>
    <row r="16397">
      <c r="A16397" s="4" t="str">
        <f>IFERROR(__xludf.DUMMYFUNCTION("""COMPUTED_VALUE"""),"cas_hmw")</f>
        <v>cas_hmw</v>
      </c>
      <c r="B16397" s="5">
        <f>IFERROR(__xludf.DUMMYFUNCTION("""COMPUTED_VALUE"""),44735.0)</f>
        <v>44735</v>
      </c>
      <c r="C16397" s="6">
        <f>IFERROR(__xludf.DUMMYFUNCTION("""COMPUTED_VALUE"""),0.7125115740745969)</f>
        <v>0.7125115741</v>
      </c>
      <c r="D16397" s="4">
        <f>IFERROR(__xludf.DUMMYFUNCTION("""COMPUTED_VALUE"""),12.83444)</f>
        <v>12.83444</v>
      </c>
      <c r="E16397" s="4">
        <f>IFERROR(__xludf.DUMMYFUNCTION("""COMPUTED_VALUE"""),80.049909)</f>
        <v>80.049909</v>
      </c>
      <c r="F16397" s="4">
        <f>IFERROR(__xludf.DUMMYFUNCTION("""COMPUTED_VALUE"""),2846.0)</f>
        <v>2846</v>
      </c>
      <c r="G16397" s="4">
        <f>IFERROR(__xludf.DUMMYFUNCTION("""COMPUTED_VALUE"""),58.0)</f>
        <v>58</v>
      </c>
      <c r="H16397" s="4"/>
      <c r="I16397" s="4"/>
    </row>
    <row r="16398">
      <c r="A16398" s="4" t="str">
        <f>IFERROR(__xludf.DUMMYFUNCTION("""COMPUTED_VALUE"""),"cas_hmw")</f>
        <v>cas_hmw</v>
      </c>
      <c r="B16398" s="5">
        <f>IFERROR(__xludf.DUMMYFUNCTION("""COMPUTED_VALUE"""),44735.0)</f>
        <v>44735</v>
      </c>
      <c r="C16398" s="6">
        <f>IFERROR(__xludf.DUMMYFUNCTION("""COMPUTED_VALUE"""),0.7129629629635019)</f>
        <v>0.712962963</v>
      </c>
      <c r="D16398" s="4">
        <f>IFERROR(__xludf.DUMMYFUNCTION("""COMPUTED_VALUE"""),12.967446)</f>
        <v>12.967446</v>
      </c>
      <c r="E16398" s="4">
        <f>IFERROR(__xludf.DUMMYFUNCTION("""COMPUTED_VALUE"""),80.149124)</f>
        <v>80.149124</v>
      </c>
      <c r="F16398" s="4">
        <f>IFERROR(__xludf.DUMMYFUNCTION("""COMPUTED_VALUE"""),5339.0)</f>
        <v>5339</v>
      </c>
      <c r="G16398" s="4">
        <f>IFERROR(__xludf.DUMMYFUNCTION("""COMPUTED_VALUE"""),39.0)</f>
        <v>39</v>
      </c>
      <c r="H16398" s="4"/>
      <c r="I16398" s="4"/>
    </row>
    <row r="16399">
      <c r="A16399" s="4" t="str">
        <f>IFERROR(__xludf.DUMMYFUNCTION("""COMPUTED_VALUE"""),"cas_hmw")</f>
        <v>cas_hmw</v>
      </c>
      <c r="B16399" s="5">
        <f>IFERROR(__xludf.DUMMYFUNCTION("""COMPUTED_VALUE"""),44735.0)</f>
        <v>44735</v>
      </c>
      <c r="C16399" s="6">
        <f>IFERROR(__xludf.DUMMYFUNCTION("""COMPUTED_VALUE"""),0.713310185186856)</f>
        <v>0.7133101852</v>
      </c>
      <c r="D16399" s="4">
        <f>IFERROR(__xludf.DUMMYFUNCTION("""COMPUTED_VALUE"""),12.970933)</f>
        <v>12.970933</v>
      </c>
      <c r="E16399" s="4">
        <f>IFERROR(__xludf.DUMMYFUNCTION("""COMPUTED_VALUE"""),80.150755)</f>
        <v>80.150755</v>
      </c>
      <c r="F16399" s="4">
        <f>IFERROR(__xludf.DUMMYFUNCTION("""COMPUTED_VALUE"""),5339.0)</f>
        <v>5339</v>
      </c>
      <c r="G16399" s="4">
        <f>IFERROR(__xludf.DUMMYFUNCTION("""COMPUTED_VALUE"""),55.0)</f>
        <v>55</v>
      </c>
      <c r="H16399" s="4"/>
      <c r="I16399" s="4"/>
    </row>
    <row r="16400">
      <c r="A16400" s="4" t="str">
        <f>IFERROR(__xludf.DUMMYFUNCTION("""COMPUTED_VALUE"""),"cas_hmw")</f>
        <v>cas_hmw</v>
      </c>
      <c r="B16400" s="5">
        <f>IFERROR(__xludf.DUMMYFUNCTION("""COMPUTED_VALUE"""),44735.0)</f>
        <v>44735</v>
      </c>
      <c r="C16400" s="6">
        <f>IFERROR(__xludf.DUMMYFUNCTION("""COMPUTED_VALUE"""),0.7141666666684614)</f>
        <v>0.7141666667</v>
      </c>
      <c r="D16400" s="4">
        <f>IFERROR(__xludf.DUMMYFUNCTION("""COMPUTED_VALUE"""),12.962658)</f>
        <v>12.962658</v>
      </c>
      <c r="E16400" s="4">
        <f>IFERROR(__xludf.DUMMYFUNCTION("""COMPUTED_VALUE"""),80.14643)</f>
        <v>80.14643</v>
      </c>
      <c r="F16400" s="4">
        <f>IFERROR(__xludf.DUMMYFUNCTION("""COMPUTED_VALUE"""),805.0)</f>
        <v>805</v>
      </c>
      <c r="G16400" s="4">
        <f>IFERROR(__xludf.DUMMYFUNCTION("""COMPUTED_VALUE"""),39.0)</f>
        <v>39</v>
      </c>
      <c r="H16400" s="4"/>
      <c r="I16400" s="4"/>
    </row>
    <row r="16401">
      <c r="A16401" s="4" t="str">
        <f>IFERROR(__xludf.DUMMYFUNCTION("""COMPUTED_VALUE"""),"cas_hmw")</f>
        <v>cas_hmw</v>
      </c>
      <c r="B16401" s="5">
        <f>IFERROR(__xludf.DUMMYFUNCTION("""COMPUTED_VALUE"""),44735.0)</f>
        <v>44735</v>
      </c>
      <c r="C16401" s="6">
        <f>IFERROR(__xludf.DUMMYFUNCTION("""COMPUTED_VALUE"""),0.7145486111112405)</f>
        <v>0.7145486111</v>
      </c>
      <c r="D16401" s="4">
        <f>IFERROR(__xludf.DUMMYFUNCTION("""COMPUTED_VALUE"""),12.9653)</f>
        <v>12.9653</v>
      </c>
      <c r="E16401" s="4">
        <f>IFERROR(__xludf.DUMMYFUNCTION("""COMPUTED_VALUE"""),80.148075)</f>
        <v>80.148075</v>
      </c>
      <c r="F16401" s="4">
        <f>IFERROR(__xludf.DUMMYFUNCTION("""COMPUTED_VALUE"""),805.0)</f>
        <v>805</v>
      </c>
      <c r="G16401" s="4">
        <f>IFERROR(__xludf.DUMMYFUNCTION("""COMPUTED_VALUE"""),50.0)</f>
        <v>50</v>
      </c>
      <c r="H16401" s="4"/>
      <c r="I16401" s="4"/>
    </row>
    <row r="16402">
      <c r="A16402" s="4" t="str">
        <f>IFERROR(__xludf.DUMMYFUNCTION("""COMPUTED_VALUE"""),"cas_hmw")</f>
        <v>cas_hmw</v>
      </c>
      <c r="B16402" s="5">
        <f>IFERROR(__xludf.DUMMYFUNCTION("""COMPUTED_VALUE"""),44735.0)</f>
        <v>44735</v>
      </c>
      <c r="C16402" s="6">
        <f>IFERROR(__xludf.DUMMYFUNCTION("""COMPUTED_VALUE"""),0.7145833333343035)</f>
        <v>0.7145833333</v>
      </c>
      <c r="D16402" s="4">
        <f>IFERROR(__xludf.DUMMYFUNCTION("""COMPUTED_VALUE"""),12.979181)</f>
        <v>12.979181</v>
      </c>
      <c r="E16402" s="4">
        <f>IFERROR(__xludf.DUMMYFUNCTION("""COMPUTED_VALUE"""),80.161653)</f>
        <v>80.161653</v>
      </c>
      <c r="F16402" s="4">
        <f>IFERROR(__xludf.DUMMYFUNCTION("""COMPUTED_VALUE"""),5339.0)</f>
        <v>5339</v>
      </c>
      <c r="G16402" s="4">
        <f>IFERROR(__xludf.DUMMYFUNCTION("""COMPUTED_VALUE"""),42.0)</f>
        <v>42</v>
      </c>
      <c r="H16402" s="4"/>
      <c r="I16402" s="4"/>
    </row>
    <row r="16403">
      <c r="A16403" s="4" t="str">
        <f>IFERROR(__xludf.DUMMYFUNCTION("""COMPUTED_VALUE"""),"cas_hmw")</f>
        <v>cas_hmw</v>
      </c>
      <c r="B16403" s="5">
        <f>IFERROR(__xludf.DUMMYFUNCTION("""COMPUTED_VALUE"""),44735.0)</f>
        <v>44735</v>
      </c>
      <c r="C16403" s="6">
        <f>IFERROR(__xludf.DUMMYFUNCTION("""COMPUTED_VALUE"""),0.7147569444459805)</f>
        <v>0.7147569444</v>
      </c>
      <c r="D16403" s="4">
        <f>IFERROR(__xludf.DUMMYFUNCTION("""COMPUTED_VALUE"""),12.979733)</f>
        <v>12.979733</v>
      </c>
      <c r="E16403" s="4">
        <f>IFERROR(__xludf.DUMMYFUNCTION("""COMPUTED_VALUE"""),80.162491)</f>
        <v>80.162491</v>
      </c>
      <c r="F16403" s="4">
        <f>IFERROR(__xludf.DUMMYFUNCTION("""COMPUTED_VALUE"""),5339.0)</f>
        <v>5339</v>
      </c>
      <c r="G16403" s="4">
        <f>IFERROR(__xludf.DUMMYFUNCTION("""COMPUTED_VALUE"""),37.0)</f>
        <v>37</v>
      </c>
      <c r="H16403" s="4"/>
      <c r="I16403" s="4"/>
    </row>
    <row r="16404">
      <c r="A16404" s="4" t="str">
        <f>IFERROR(__xludf.DUMMYFUNCTION("""COMPUTED_VALUE"""),"cas_hmw")</f>
        <v>cas_hmw</v>
      </c>
      <c r="B16404" s="5">
        <f>IFERROR(__xludf.DUMMYFUNCTION("""COMPUTED_VALUE"""),44735.0)</f>
        <v>44735</v>
      </c>
      <c r="C16404" s="6">
        <f>IFERROR(__xludf.DUMMYFUNCTION("""COMPUTED_VALUE"""),0.7148958333345945)</f>
        <v>0.7148958333</v>
      </c>
      <c r="D16404" s="4">
        <f>IFERROR(__xludf.DUMMYFUNCTION("""COMPUTED_VALUE"""),12.980107)</f>
        <v>12.980107</v>
      </c>
      <c r="E16404" s="4">
        <f>IFERROR(__xludf.DUMMYFUNCTION("""COMPUTED_VALUE"""),80.163426)</f>
        <v>80.163426</v>
      </c>
      <c r="F16404" s="4">
        <f>IFERROR(__xludf.DUMMYFUNCTION("""COMPUTED_VALUE"""),5339.0)</f>
        <v>5339</v>
      </c>
      <c r="G16404" s="4">
        <f>IFERROR(__xludf.DUMMYFUNCTION("""COMPUTED_VALUE"""),42.0)</f>
        <v>42</v>
      </c>
      <c r="H16404" s="4"/>
      <c r="I16404" s="4"/>
    </row>
    <row r="16405">
      <c r="A16405" s="4" t="str">
        <f>IFERROR(__xludf.DUMMYFUNCTION("""COMPUTED_VALUE"""),"cas_hmw")</f>
        <v>cas_hmw</v>
      </c>
      <c r="B16405" s="5">
        <f>IFERROR(__xludf.DUMMYFUNCTION("""COMPUTED_VALUE"""),44735.0)</f>
        <v>44735</v>
      </c>
      <c r="C16405" s="6">
        <f>IFERROR(__xludf.DUMMYFUNCTION("""COMPUTED_VALUE"""),0.7149768518502242)</f>
        <v>0.7149768519</v>
      </c>
      <c r="D16405" s="4">
        <f>IFERROR(__xludf.DUMMYFUNCTION("""COMPUTED_VALUE"""),12.969396)</f>
        <v>12.969396</v>
      </c>
      <c r="E16405" s="4">
        <f>IFERROR(__xludf.DUMMYFUNCTION("""COMPUTED_VALUE"""),80.150064)</f>
        <v>80.150064</v>
      </c>
      <c r="F16405" s="4">
        <f>IFERROR(__xludf.DUMMYFUNCTION("""COMPUTED_VALUE"""),805.0)</f>
        <v>805</v>
      </c>
      <c r="G16405" s="4">
        <f>IFERROR(__xludf.DUMMYFUNCTION("""COMPUTED_VALUE"""),58.0)</f>
        <v>58</v>
      </c>
      <c r="H16405" s="4"/>
      <c r="I16405" s="4"/>
    </row>
    <row r="16406">
      <c r="A16406" s="4" t="str">
        <f>IFERROR(__xludf.DUMMYFUNCTION("""COMPUTED_VALUE"""),"cas_hmw")</f>
        <v>cas_hmw</v>
      </c>
      <c r="B16406" s="5">
        <f>IFERROR(__xludf.DUMMYFUNCTION("""COMPUTED_VALUE"""),44735.0)</f>
        <v>44735</v>
      </c>
      <c r="C16406" s="6">
        <f>IFERROR(__xludf.DUMMYFUNCTION("""COMPUTED_VALUE"""),0.7151504629619012)</f>
        <v>0.715150463</v>
      </c>
      <c r="D16406" s="4">
        <f>IFERROR(__xludf.DUMMYFUNCTION("""COMPUTED_VALUE"""),12.971503)</f>
        <v>12.971503</v>
      </c>
      <c r="E16406" s="4">
        <f>IFERROR(__xludf.DUMMYFUNCTION("""COMPUTED_VALUE"""),80.151037)</f>
        <v>80.151037</v>
      </c>
      <c r="F16406" s="4">
        <f>IFERROR(__xludf.DUMMYFUNCTION("""COMPUTED_VALUE"""),805.0)</f>
        <v>805</v>
      </c>
      <c r="G16406" s="4">
        <f>IFERROR(__xludf.DUMMYFUNCTION("""COMPUTED_VALUE"""),57.0)</f>
        <v>57</v>
      </c>
      <c r="H16406" s="4"/>
      <c r="I16406" s="4"/>
    </row>
    <row r="16407">
      <c r="A16407" s="4" t="str">
        <f>IFERROR(__xludf.DUMMYFUNCTION("""COMPUTED_VALUE"""),"cas_hmw")</f>
        <v>cas_hmw</v>
      </c>
      <c r="B16407" s="5">
        <f>IFERROR(__xludf.DUMMYFUNCTION("""COMPUTED_VALUE"""),44735.0)</f>
        <v>44735</v>
      </c>
      <c r="C16407" s="6">
        <f>IFERROR(__xludf.DUMMYFUNCTION("""COMPUTED_VALUE"""),0.7171064814829151)</f>
        <v>0.7171064815</v>
      </c>
      <c r="D16407" s="4">
        <f>IFERROR(__xludf.DUMMYFUNCTION("""COMPUTED_VALUE"""),12.809147)</f>
        <v>12.809147</v>
      </c>
      <c r="E16407" s="4">
        <f>IFERROR(__xludf.DUMMYFUNCTION("""COMPUTED_VALUE"""),80.029444)</f>
        <v>80.029444</v>
      </c>
      <c r="F16407" s="4">
        <f>IFERROR(__xludf.DUMMYFUNCTION("""COMPUTED_VALUE"""),2846.0)</f>
        <v>2846</v>
      </c>
      <c r="G16407" s="4">
        <f>IFERROR(__xludf.DUMMYFUNCTION("""COMPUTED_VALUE"""),48.0)</f>
        <v>48</v>
      </c>
      <c r="H16407" s="4"/>
      <c r="I16407" s="4"/>
    </row>
    <row r="16408">
      <c r="A16408" s="4" t="str">
        <f>IFERROR(__xludf.DUMMYFUNCTION("""COMPUTED_VALUE"""),"cas_hmw")</f>
        <v>cas_hmw</v>
      </c>
      <c r="B16408" s="5">
        <f>IFERROR(__xludf.DUMMYFUNCTION("""COMPUTED_VALUE"""),44735.0)</f>
        <v>44735</v>
      </c>
      <c r="C16408" s="6">
        <f>IFERROR(__xludf.DUMMYFUNCTION("""COMPUTED_VALUE"""),0.7171874999985448)</f>
        <v>0.7171875</v>
      </c>
      <c r="D16408" s="4">
        <f>IFERROR(__xludf.DUMMYFUNCTION("""COMPUTED_VALUE"""),12.986751)</f>
        <v>12.986751</v>
      </c>
      <c r="E16408" s="4">
        <f>IFERROR(__xludf.DUMMYFUNCTION("""COMPUTED_VALUE"""),80.175008)</f>
        <v>80.175008</v>
      </c>
      <c r="F16408" s="4">
        <f>IFERROR(__xludf.DUMMYFUNCTION("""COMPUTED_VALUE"""),5339.0)</f>
        <v>5339</v>
      </c>
      <c r="G16408" s="4">
        <f>IFERROR(__xludf.DUMMYFUNCTION("""COMPUTED_VALUE"""),17.0)</f>
        <v>17</v>
      </c>
      <c r="H16408" s="4"/>
      <c r="I16408" s="4"/>
    </row>
    <row r="16409">
      <c r="A16409" s="4" t="str">
        <f>IFERROR(__xludf.DUMMYFUNCTION("""COMPUTED_VALUE"""),"cas_hmw")</f>
        <v>cas_hmw</v>
      </c>
      <c r="B16409" s="5">
        <f>IFERROR(__xludf.DUMMYFUNCTION("""COMPUTED_VALUE"""),44735.0)</f>
        <v>44735</v>
      </c>
      <c r="C16409" s="6">
        <f>IFERROR(__xludf.DUMMYFUNCTION("""COMPUTED_VALUE"""),0.7176736111105129)</f>
        <v>0.7176736111</v>
      </c>
      <c r="D16409" s="4">
        <f>IFERROR(__xludf.DUMMYFUNCTION("""COMPUTED_VALUE"""),12.988066)</f>
        <v>12.988066</v>
      </c>
      <c r="E16409" s="4">
        <f>IFERROR(__xludf.DUMMYFUNCTION("""COMPUTED_VALUE"""),80.17686)</f>
        <v>80.17686</v>
      </c>
      <c r="F16409" s="4">
        <f>IFERROR(__xludf.DUMMYFUNCTION("""COMPUTED_VALUE"""),5339.0)</f>
        <v>5339</v>
      </c>
      <c r="G16409" s="4">
        <f>IFERROR(__xludf.DUMMYFUNCTION("""COMPUTED_VALUE"""),33.0)</f>
        <v>33</v>
      </c>
      <c r="H16409" s="4"/>
      <c r="I16409" s="4"/>
    </row>
    <row r="16410">
      <c r="A16410" s="4" t="str">
        <f>IFERROR(__xludf.DUMMYFUNCTION("""COMPUTED_VALUE"""),"cas_hmw")</f>
        <v>cas_hmw</v>
      </c>
      <c r="B16410" s="5">
        <f>IFERROR(__xludf.DUMMYFUNCTION("""COMPUTED_VALUE"""),44735.0)</f>
        <v>44735</v>
      </c>
      <c r="C16410" s="6">
        <f>IFERROR(__xludf.DUMMYFUNCTION("""COMPUTED_VALUE"""),0.7177430555566389)</f>
        <v>0.7177430556</v>
      </c>
      <c r="D16410" s="4">
        <f>IFERROR(__xludf.DUMMYFUNCTION("""COMPUTED_VALUE"""),12.988587)</f>
        <v>12.988587</v>
      </c>
      <c r="E16410" s="4">
        <f>IFERROR(__xludf.DUMMYFUNCTION("""COMPUTED_VALUE"""),80.177638)</f>
        <v>80.177638</v>
      </c>
      <c r="F16410" s="4">
        <f>IFERROR(__xludf.DUMMYFUNCTION("""COMPUTED_VALUE"""),5339.0)</f>
        <v>5339</v>
      </c>
      <c r="G16410" s="4">
        <f>IFERROR(__xludf.DUMMYFUNCTION("""COMPUTED_VALUE"""),37.0)</f>
        <v>37</v>
      </c>
      <c r="H16410" s="4"/>
      <c r="I16410" s="4"/>
    </row>
    <row r="16411">
      <c r="A16411" s="4" t="str">
        <f>IFERROR(__xludf.DUMMYFUNCTION("""COMPUTED_VALUE"""),"cas_hmw")</f>
        <v>cas_hmw</v>
      </c>
      <c r="B16411" s="5">
        <f>IFERROR(__xludf.DUMMYFUNCTION("""COMPUTED_VALUE"""),44735.0)</f>
        <v>44735</v>
      </c>
      <c r="C16411" s="6">
        <f>IFERROR(__xludf.DUMMYFUNCTION("""COMPUTED_VALUE"""),0.7178124999991269)</f>
        <v>0.7178125</v>
      </c>
      <c r="D16411" s="4">
        <f>IFERROR(__xludf.DUMMYFUNCTION("""COMPUTED_VALUE"""),12.989195)</f>
        <v>12.989195</v>
      </c>
      <c r="E16411" s="4">
        <f>IFERROR(__xludf.DUMMYFUNCTION("""COMPUTED_VALUE"""),80.178387)</f>
        <v>80.178387</v>
      </c>
      <c r="F16411" s="4">
        <f>IFERROR(__xludf.DUMMYFUNCTION("""COMPUTED_VALUE"""),5339.0)</f>
        <v>5339</v>
      </c>
      <c r="G16411" s="4">
        <f>IFERROR(__xludf.DUMMYFUNCTION("""COMPUTED_VALUE"""),35.0)</f>
        <v>35</v>
      </c>
      <c r="H16411" s="4"/>
      <c r="I16411" s="4"/>
    </row>
    <row r="16412">
      <c r="A16412" s="4" t="str">
        <f>IFERROR(__xludf.DUMMYFUNCTION("""COMPUTED_VALUE"""),"cas_hmw")</f>
        <v>cas_hmw</v>
      </c>
      <c r="B16412" s="5">
        <f>IFERROR(__xludf.DUMMYFUNCTION("""COMPUTED_VALUE"""),44735.0)</f>
        <v>44735</v>
      </c>
      <c r="C16412" s="6">
        <f>IFERROR(__xludf.DUMMYFUNCTION("""COMPUTED_VALUE"""),0.7179629629645206)</f>
        <v>0.717962963</v>
      </c>
      <c r="D16412" s="4">
        <f>IFERROR(__xludf.DUMMYFUNCTION("""COMPUTED_VALUE"""),12.989766)</f>
        <v>12.989766</v>
      </c>
      <c r="E16412" s="4">
        <f>IFERROR(__xludf.DUMMYFUNCTION("""COMPUTED_VALUE"""),80.179165)</f>
        <v>80.179165</v>
      </c>
      <c r="F16412" s="4">
        <f>IFERROR(__xludf.DUMMYFUNCTION("""COMPUTED_VALUE"""),5339.0)</f>
        <v>5339</v>
      </c>
      <c r="G16412" s="4">
        <f>IFERROR(__xludf.DUMMYFUNCTION("""COMPUTED_VALUE"""),40.0)</f>
        <v>40</v>
      </c>
      <c r="H16412" s="4"/>
      <c r="I16412" s="4"/>
    </row>
    <row r="16413">
      <c r="A16413" s="4" t="str">
        <f>IFERROR(__xludf.DUMMYFUNCTION("""COMPUTED_VALUE"""),"cas_hmw")</f>
        <v>cas_hmw</v>
      </c>
      <c r="B16413" s="5">
        <f>IFERROR(__xludf.DUMMYFUNCTION("""COMPUTED_VALUE"""),44735.0)</f>
        <v>44735</v>
      </c>
      <c r="C16413" s="6">
        <f>IFERROR(__xludf.DUMMYFUNCTION("""COMPUTED_VALUE"""),0.7179745370376622)</f>
        <v>0.717974537</v>
      </c>
      <c r="D16413" s="4">
        <f>IFERROR(__xludf.DUMMYFUNCTION("""COMPUTED_VALUE"""),12.802769)</f>
        <v>12.802769</v>
      </c>
      <c r="E16413" s="4">
        <f>IFERROR(__xludf.DUMMYFUNCTION("""COMPUTED_VALUE"""),80.025392)</f>
        <v>80.025392</v>
      </c>
      <c r="F16413" s="4">
        <f>IFERROR(__xludf.DUMMYFUNCTION("""COMPUTED_VALUE"""),2846.0)</f>
        <v>2846</v>
      </c>
      <c r="G16413" s="4">
        <f>IFERROR(__xludf.DUMMYFUNCTION("""COMPUTED_VALUE"""),20.0)</f>
        <v>20</v>
      </c>
      <c r="H16413" s="4"/>
      <c r="I16413" s="4"/>
    </row>
    <row r="16414">
      <c r="A16414" s="4" t="str">
        <f>IFERROR(__xludf.DUMMYFUNCTION("""COMPUTED_VALUE"""),"cas_hmw")</f>
        <v>cas_hmw</v>
      </c>
      <c r="B16414" s="5">
        <f>IFERROR(__xludf.DUMMYFUNCTION("""COMPUTED_VALUE"""),44735.0)</f>
        <v>44735</v>
      </c>
      <c r="C16414" s="6">
        <f>IFERROR(__xludf.DUMMYFUNCTION("""COMPUTED_VALUE"""),0.7179745370376622)</f>
        <v>0.717974537</v>
      </c>
      <c r="D16414" s="4">
        <f>IFERROR(__xludf.DUMMYFUNCTION("""COMPUTED_VALUE"""),12.802769)</f>
        <v>12.802769</v>
      </c>
      <c r="E16414" s="4">
        <f>IFERROR(__xludf.DUMMYFUNCTION("""COMPUTED_VALUE"""),80.025392)</f>
        <v>80.025392</v>
      </c>
      <c r="F16414" s="4">
        <f>IFERROR(__xludf.DUMMYFUNCTION("""COMPUTED_VALUE"""),2846.0)</f>
        <v>2846</v>
      </c>
      <c r="G16414" s="4">
        <f>IFERROR(__xludf.DUMMYFUNCTION("""COMPUTED_VALUE"""),20.0)</f>
        <v>20</v>
      </c>
      <c r="H16414" s="4"/>
      <c r="I16414" s="4"/>
    </row>
    <row r="16415">
      <c r="A16415" s="4" t="str">
        <f>IFERROR(__xludf.DUMMYFUNCTION("""COMPUTED_VALUE"""),"cas_hmw")</f>
        <v>cas_hmw</v>
      </c>
      <c r="B16415" s="5">
        <f>IFERROR(__xludf.DUMMYFUNCTION("""COMPUTED_VALUE"""),44735.0)</f>
        <v>44735</v>
      </c>
      <c r="C16415" s="6">
        <f>IFERROR(__xludf.DUMMYFUNCTION("""COMPUTED_VALUE"""),0.7182754629611736)</f>
        <v>0.718275463</v>
      </c>
      <c r="D16415" s="4">
        <f>IFERROR(__xludf.DUMMYFUNCTION("""COMPUTED_VALUE"""),12.986506)</f>
        <v>12.986506</v>
      </c>
      <c r="E16415" s="4">
        <f>IFERROR(__xludf.DUMMYFUNCTION("""COMPUTED_VALUE"""),80.174684)</f>
        <v>80.174684</v>
      </c>
      <c r="F16415" s="4">
        <f>IFERROR(__xludf.DUMMYFUNCTION("""COMPUTED_VALUE"""),805.0)</f>
        <v>805</v>
      </c>
      <c r="G16415" s="4">
        <f>IFERROR(__xludf.DUMMYFUNCTION("""COMPUTED_VALUE"""),0.0)</f>
        <v>0</v>
      </c>
      <c r="H16415" s="4"/>
      <c r="I16415" s="4"/>
    </row>
    <row r="16416">
      <c r="A16416" s="4" t="str">
        <f>IFERROR(__xludf.DUMMYFUNCTION("""COMPUTED_VALUE"""),"cas_hmw")</f>
        <v>cas_hmw</v>
      </c>
      <c r="B16416" s="5">
        <f>IFERROR(__xludf.DUMMYFUNCTION("""COMPUTED_VALUE"""),44735.0)</f>
        <v>44735</v>
      </c>
      <c r="C16416" s="6">
        <f>IFERROR(__xludf.DUMMYFUNCTION("""COMPUTED_VALUE"""),0.7182986111110949)</f>
        <v>0.7182986111</v>
      </c>
      <c r="D16416" s="4">
        <f>IFERROR(__xludf.DUMMYFUNCTION("""COMPUTED_VALUE"""),12.986506)</f>
        <v>12.986506</v>
      </c>
      <c r="E16416" s="4">
        <f>IFERROR(__xludf.DUMMYFUNCTION("""COMPUTED_VALUE"""),80.174684)</f>
        <v>80.174684</v>
      </c>
      <c r="F16416" s="4">
        <f>IFERROR(__xludf.DUMMYFUNCTION("""COMPUTED_VALUE"""),805.0)</f>
        <v>805</v>
      </c>
      <c r="G16416" s="4">
        <f>IFERROR(__xludf.DUMMYFUNCTION("""COMPUTED_VALUE"""),0.0)</f>
        <v>0</v>
      </c>
      <c r="H16416" s="4"/>
      <c r="I16416" s="4"/>
    </row>
    <row r="16417">
      <c r="A16417" s="4" t="str">
        <f>IFERROR(__xludf.DUMMYFUNCTION("""COMPUTED_VALUE"""),"cas_hmw")</f>
        <v>cas_hmw</v>
      </c>
      <c r="B16417" s="5">
        <f>IFERROR(__xludf.DUMMYFUNCTION("""COMPUTED_VALUE"""),44735.0)</f>
        <v>44735</v>
      </c>
      <c r="C16417" s="6">
        <f>IFERROR(__xludf.DUMMYFUNCTION("""COMPUTED_VALUE"""),0.7185879629614647)</f>
        <v>0.718587963</v>
      </c>
      <c r="D16417" s="4">
        <f>IFERROR(__xludf.DUMMYFUNCTION("""COMPUTED_VALUE"""),12.987451)</f>
        <v>12.987451</v>
      </c>
      <c r="E16417" s="4">
        <f>IFERROR(__xludf.DUMMYFUNCTION("""COMPUTED_VALUE"""),80.175983)</f>
        <v>80.175983</v>
      </c>
      <c r="F16417" s="4">
        <f>IFERROR(__xludf.DUMMYFUNCTION("""COMPUTED_VALUE"""),805.0)</f>
        <v>805</v>
      </c>
      <c r="G16417" s="4">
        <f>IFERROR(__xludf.DUMMYFUNCTION("""COMPUTED_VALUE"""),0.0)</f>
        <v>0</v>
      </c>
      <c r="H16417" s="4"/>
      <c r="I16417" s="4"/>
    </row>
    <row r="16418">
      <c r="A16418" s="4" t="str">
        <f>IFERROR(__xludf.DUMMYFUNCTION("""COMPUTED_VALUE"""),"cas_hmw")</f>
        <v>cas_hmw</v>
      </c>
      <c r="B16418" s="5">
        <f>IFERROR(__xludf.DUMMYFUNCTION("""COMPUTED_VALUE"""),44735.0)</f>
        <v>44735</v>
      </c>
      <c r="C16418" s="6">
        <f>IFERROR(__xludf.DUMMYFUNCTION("""COMPUTED_VALUE"""),0.718993055554165)</f>
        <v>0.7189930556</v>
      </c>
      <c r="D16418" s="4">
        <f>IFERROR(__xludf.DUMMYFUNCTION("""COMPUTED_VALUE"""),12.988476)</f>
        <v>12.988476</v>
      </c>
      <c r="E16418" s="4">
        <f>IFERROR(__xludf.DUMMYFUNCTION("""COMPUTED_VALUE"""),80.17746)</f>
        <v>80.17746</v>
      </c>
      <c r="F16418" s="4">
        <f>IFERROR(__xludf.DUMMYFUNCTION("""COMPUTED_VALUE"""),805.0)</f>
        <v>805</v>
      </c>
      <c r="G16418" s="4">
        <f>IFERROR(__xludf.DUMMYFUNCTION("""COMPUTED_VALUE"""),42.0)</f>
        <v>42</v>
      </c>
      <c r="H16418" s="4"/>
      <c r="I16418" s="4"/>
    </row>
    <row r="16419">
      <c r="A16419" s="4" t="str">
        <f>IFERROR(__xludf.DUMMYFUNCTION("""COMPUTED_VALUE"""),"cas_hmw")</f>
        <v>cas_hmw</v>
      </c>
      <c r="B16419" s="5">
        <f>IFERROR(__xludf.DUMMYFUNCTION("""COMPUTED_VALUE"""),44735.0)</f>
        <v>44735</v>
      </c>
      <c r="C16419" s="6">
        <f>IFERROR(__xludf.DUMMYFUNCTION("""COMPUTED_VALUE"""),0.7191782407389837)</f>
        <v>0.7191782407</v>
      </c>
      <c r="D16419" s="4">
        <f>IFERROR(__xludf.DUMMYFUNCTION("""COMPUTED_VALUE"""),12.989489)</f>
        <v>12.989489</v>
      </c>
      <c r="E16419" s="4">
        <f>IFERROR(__xludf.DUMMYFUNCTION("""COMPUTED_VALUE"""),80.178743)</f>
        <v>80.178743</v>
      </c>
      <c r="F16419" s="4">
        <f>IFERROR(__xludf.DUMMYFUNCTION("""COMPUTED_VALUE"""),805.0)</f>
        <v>805</v>
      </c>
      <c r="G16419" s="4">
        <f>IFERROR(__xludf.DUMMYFUNCTION("""COMPUTED_VALUE"""),30.0)</f>
        <v>30</v>
      </c>
      <c r="H16419" s="4"/>
      <c r="I16419" s="4"/>
    </row>
    <row r="16420">
      <c r="A16420" s="4" t="str">
        <f>IFERROR(__xludf.DUMMYFUNCTION("""COMPUTED_VALUE"""),"cas_hmw")</f>
        <v>cas_hmw</v>
      </c>
      <c r="B16420" s="5">
        <f>IFERROR(__xludf.DUMMYFUNCTION("""COMPUTED_VALUE"""),44735.0)</f>
        <v>44735</v>
      </c>
      <c r="C16420" s="6">
        <f>IFERROR(__xludf.DUMMYFUNCTION("""COMPUTED_VALUE"""),0.7195138888891961)</f>
        <v>0.7195138889</v>
      </c>
      <c r="D16420" s="4">
        <f>IFERROR(__xludf.DUMMYFUNCTION("""COMPUTED_VALUE"""),12.994186)</f>
        <v>12.994186</v>
      </c>
      <c r="E16420" s="4">
        <f>IFERROR(__xludf.DUMMYFUNCTION("""COMPUTED_VALUE"""),80.185768)</f>
        <v>80.185768</v>
      </c>
      <c r="F16420" s="4">
        <f>IFERROR(__xludf.DUMMYFUNCTION("""COMPUTED_VALUE"""),5339.0)</f>
        <v>5339</v>
      </c>
      <c r="G16420" s="4">
        <f>IFERROR(__xludf.DUMMYFUNCTION("""COMPUTED_VALUE"""),35.0)</f>
        <v>35</v>
      </c>
      <c r="H16420" s="4"/>
      <c r="I16420" s="4"/>
    </row>
    <row r="16421">
      <c r="A16421" s="4" t="str">
        <f>IFERROR(__xludf.DUMMYFUNCTION("""COMPUTED_VALUE"""),"cas_hmw")</f>
        <v>cas_hmw</v>
      </c>
      <c r="B16421" s="5">
        <f>IFERROR(__xludf.DUMMYFUNCTION("""COMPUTED_VALUE"""),44735.0)</f>
        <v>44735</v>
      </c>
      <c r="C16421" s="6">
        <f>IFERROR(__xludf.DUMMYFUNCTION("""COMPUTED_VALUE"""),0.7201041666667152)</f>
        <v>0.7201041667</v>
      </c>
      <c r="D16421" s="4">
        <f>IFERROR(__xludf.DUMMYFUNCTION("""COMPUTED_VALUE"""),12.996701)</f>
        <v>12.996701</v>
      </c>
      <c r="E16421" s="4">
        <f>IFERROR(__xludf.DUMMYFUNCTION("""COMPUTED_VALUE"""),80.190008)</f>
        <v>80.190008</v>
      </c>
      <c r="F16421" s="4">
        <f>IFERROR(__xludf.DUMMYFUNCTION("""COMPUTED_VALUE"""),5339.0)</f>
        <v>5339</v>
      </c>
      <c r="G16421" s="4">
        <f>IFERROR(__xludf.DUMMYFUNCTION("""COMPUTED_VALUE"""),40.0)</f>
        <v>40</v>
      </c>
      <c r="H16421" s="4"/>
      <c r="I16421" s="4"/>
    </row>
    <row r="16422">
      <c r="A16422" s="4" t="str">
        <f>IFERROR(__xludf.DUMMYFUNCTION("""COMPUTED_VALUE"""),"cas_hmw")</f>
        <v>cas_hmw</v>
      </c>
      <c r="B16422" s="5">
        <f>IFERROR(__xludf.DUMMYFUNCTION("""COMPUTED_VALUE"""),44735.0)</f>
        <v>44735</v>
      </c>
      <c r="C16422" s="6">
        <f>IFERROR(__xludf.DUMMYFUNCTION("""COMPUTED_VALUE"""),0.7201041666667152)</f>
        <v>0.7201041667</v>
      </c>
      <c r="D16422" s="4">
        <f>IFERROR(__xludf.DUMMYFUNCTION("""COMPUTED_VALUE"""),12.79134)</f>
        <v>12.79134</v>
      </c>
      <c r="E16422" s="4">
        <f>IFERROR(__xludf.DUMMYFUNCTION("""COMPUTED_VALUE"""),80.01783)</f>
        <v>80.01783</v>
      </c>
      <c r="F16422" s="4">
        <f>IFERROR(__xludf.DUMMYFUNCTION("""COMPUTED_VALUE"""),2846.0)</f>
        <v>2846</v>
      </c>
      <c r="G16422" s="4">
        <f>IFERROR(__xludf.DUMMYFUNCTION("""COMPUTED_VALUE"""),58.0)</f>
        <v>58</v>
      </c>
      <c r="H16422" s="4"/>
      <c r="I16422" s="4"/>
    </row>
    <row r="16423">
      <c r="A16423" s="4" t="str">
        <f>IFERROR(__xludf.DUMMYFUNCTION("""COMPUTED_VALUE"""),"cas_hmw")</f>
        <v>cas_hmw</v>
      </c>
      <c r="B16423" s="5">
        <f>IFERROR(__xludf.DUMMYFUNCTION("""COMPUTED_VALUE"""),44735.0)</f>
        <v>44735</v>
      </c>
      <c r="C16423" s="6">
        <f>IFERROR(__xludf.DUMMYFUNCTION("""COMPUTED_VALUE"""),0.7201967592591245)</f>
        <v>0.7201967593</v>
      </c>
      <c r="D16423" s="4">
        <f>IFERROR(__xludf.DUMMYFUNCTION("""COMPUTED_VALUE"""),12.997373)</f>
        <v>12.997373</v>
      </c>
      <c r="E16423" s="4">
        <f>IFERROR(__xludf.DUMMYFUNCTION("""COMPUTED_VALUE"""),80.190817)</f>
        <v>80.190817</v>
      </c>
      <c r="F16423" s="4">
        <f>IFERROR(__xludf.DUMMYFUNCTION("""COMPUTED_VALUE"""),5339.0)</f>
        <v>5339</v>
      </c>
      <c r="G16423" s="4">
        <f>IFERROR(__xludf.DUMMYFUNCTION("""COMPUTED_VALUE"""),41.0)</f>
        <v>41</v>
      </c>
      <c r="H16423" s="4"/>
      <c r="I16423" s="4"/>
    </row>
    <row r="16424">
      <c r="A16424" s="4" t="str">
        <f>IFERROR(__xludf.DUMMYFUNCTION("""COMPUTED_VALUE"""),"cas_hmw")</f>
        <v>cas_hmw</v>
      </c>
      <c r="B16424" s="5">
        <f>IFERROR(__xludf.DUMMYFUNCTION("""COMPUTED_VALUE"""),44735.0)</f>
        <v>44735</v>
      </c>
      <c r="C16424" s="6">
        <f>IFERROR(__xludf.DUMMYFUNCTION("""COMPUTED_VALUE"""),0.7202893518515339)</f>
        <v>0.7202893519</v>
      </c>
      <c r="D16424" s="4">
        <f>IFERROR(__xludf.DUMMYFUNCTION("""COMPUTED_VALUE"""),12.997932)</f>
        <v>12.997932</v>
      </c>
      <c r="E16424" s="4">
        <f>IFERROR(__xludf.DUMMYFUNCTION("""COMPUTED_VALUE"""),80.191531)</f>
        <v>80.191531</v>
      </c>
      <c r="F16424" s="4">
        <f>IFERROR(__xludf.DUMMYFUNCTION("""COMPUTED_VALUE"""),5339.0)</f>
        <v>5339</v>
      </c>
      <c r="G16424" s="4">
        <f>IFERROR(__xludf.DUMMYFUNCTION("""COMPUTED_VALUE"""),29.0)</f>
        <v>29</v>
      </c>
      <c r="H16424" s="4"/>
      <c r="I16424" s="4"/>
    </row>
    <row r="16425">
      <c r="A16425" s="4" t="str">
        <f>IFERROR(__xludf.DUMMYFUNCTION("""COMPUTED_VALUE"""),"cas_hmw")</f>
        <v>cas_hmw</v>
      </c>
      <c r="B16425" s="5">
        <f>IFERROR(__xludf.DUMMYFUNCTION("""COMPUTED_VALUE"""),44735.0)</f>
        <v>44735</v>
      </c>
      <c r="C16425" s="6">
        <f>IFERROR(__xludf.DUMMYFUNCTION("""COMPUTED_VALUE"""),0.7202893518515339)</f>
        <v>0.7202893519</v>
      </c>
      <c r="D16425" s="4">
        <f>IFERROR(__xludf.DUMMYFUNCTION("""COMPUTED_VALUE"""),12.997932)</f>
        <v>12.997932</v>
      </c>
      <c r="E16425" s="4">
        <f>IFERROR(__xludf.DUMMYFUNCTION("""COMPUTED_VALUE"""),80.191531)</f>
        <v>80.191531</v>
      </c>
      <c r="F16425" s="4">
        <f>IFERROR(__xludf.DUMMYFUNCTION("""COMPUTED_VALUE"""),5339.0)</f>
        <v>5339</v>
      </c>
      <c r="G16425" s="4">
        <f>IFERROR(__xludf.DUMMYFUNCTION("""COMPUTED_VALUE"""),29.0)</f>
        <v>29</v>
      </c>
      <c r="H16425" s="4"/>
      <c r="I16425" s="4"/>
    </row>
    <row r="16426">
      <c r="A16426" s="4" t="str">
        <f>IFERROR(__xludf.DUMMYFUNCTION("""COMPUTED_VALUE"""),"cas_hmw")</f>
        <v>cas_hmw</v>
      </c>
      <c r="B16426" s="5">
        <f>IFERROR(__xludf.DUMMYFUNCTION("""COMPUTED_VALUE"""),44735.0)</f>
        <v>44735</v>
      </c>
      <c r="C16426" s="6">
        <f>IFERROR(__xludf.DUMMYFUNCTION("""COMPUTED_VALUE"""),0.7203009259246755)</f>
        <v>0.7203009259</v>
      </c>
      <c r="D16426" s="4">
        <f>IFERROR(__xludf.DUMMYFUNCTION("""COMPUTED_VALUE"""),12.997932)</f>
        <v>12.997932</v>
      </c>
      <c r="E16426" s="4">
        <f>IFERROR(__xludf.DUMMYFUNCTION("""COMPUTED_VALUE"""),80.191531)</f>
        <v>80.191531</v>
      </c>
      <c r="F16426" s="4">
        <f>IFERROR(__xludf.DUMMYFUNCTION("""COMPUTED_VALUE"""),5339.0)</f>
        <v>5339</v>
      </c>
      <c r="G16426" s="4">
        <f>IFERROR(__xludf.DUMMYFUNCTION("""COMPUTED_VALUE"""),29.0)</f>
        <v>29</v>
      </c>
      <c r="H16426" s="4"/>
      <c r="I16426" s="4"/>
    </row>
    <row r="16427">
      <c r="A16427" s="4" t="str">
        <f>IFERROR(__xludf.DUMMYFUNCTION("""COMPUTED_VALUE"""),"cas_hmw")</f>
        <v>cas_hmw</v>
      </c>
      <c r="B16427" s="5">
        <f>IFERROR(__xludf.DUMMYFUNCTION("""COMPUTED_VALUE"""),44735.0)</f>
        <v>44735</v>
      </c>
      <c r="C16427" s="6">
        <f>IFERROR(__xludf.DUMMYFUNCTION("""COMPUTED_VALUE"""),0.7203009259246755)</f>
        <v>0.7203009259</v>
      </c>
      <c r="D16427" s="4">
        <f>IFERROR(__xludf.DUMMYFUNCTION("""COMPUTED_VALUE"""),12.997932)</f>
        <v>12.997932</v>
      </c>
      <c r="E16427" s="4">
        <f>IFERROR(__xludf.DUMMYFUNCTION("""COMPUTED_VALUE"""),80.191531)</f>
        <v>80.191531</v>
      </c>
      <c r="F16427" s="4">
        <f>IFERROR(__xludf.DUMMYFUNCTION("""COMPUTED_VALUE"""),5339.0)</f>
        <v>5339</v>
      </c>
      <c r="G16427" s="4">
        <f>IFERROR(__xludf.DUMMYFUNCTION("""COMPUTED_VALUE"""),29.0)</f>
        <v>29</v>
      </c>
      <c r="H16427" s="4"/>
      <c r="I16427" s="4"/>
    </row>
    <row r="16428">
      <c r="A16428" s="4" t="str">
        <f>IFERROR(__xludf.DUMMYFUNCTION("""COMPUTED_VALUE"""),"cas_hmw")</f>
        <v>cas_hmw</v>
      </c>
      <c r="B16428" s="5">
        <f>IFERROR(__xludf.DUMMYFUNCTION("""COMPUTED_VALUE"""),44735.0)</f>
        <v>44735</v>
      </c>
      <c r="C16428" s="6">
        <f>IFERROR(__xludf.DUMMYFUNCTION("""COMPUTED_VALUE"""),0.7203125000014552)</f>
        <v>0.7203125</v>
      </c>
      <c r="D16428" s="4">
        <f>IFERROR(__xludf.DUMMYFUNCTION("""COMPUTED_VALUE"""),12.997932)</f>
        <v>12.997932</v>
      </c>
      <c r="E16428" s="4">
        <f>IFERROR(__xludf.DUMMYFUNCTION("""COMPUTED_VALUE"""),80.191531)</f>
        <v>80.191531</v>
      </c>
      <c r="F16428" s="4">
        <f>IFERROR(__xludf.DUMMYFUNCTION("""COMPUTED_VALUE"""),5339.0)</f>
        <v>5339</v>
      </c>
      <c r="G16428" s="4">
        <f>IFERROR(__xludf.DUMMYFUNCTION("""COMPUTED_VALUE"""),29.0)</f>
        <v>29</v>
      </c>
      <c r="H16428" s="4"/>
      <c r="I16428" s="4"/>
    </row>
    <row r="16429">
      <c r="A16429" s="4" t="str">
        <f>IFERROR(__xludf.DUMMYFUNCTION("""COMPUTED_VALUE"""),"cas_hmw")</f>
        <v>cas_hmw</v>
      </c>
      <c r="B16429" s="5">
        <f>IFERROR(__xludf.DUMMYFUNCTION("""COMPUTED_VALUE"""),44735.0)</f>
        <v>44735</v>
      </c>
      <c r="C16429" s="6">
        <f>IFERROR(__xludf.DUMMYFUNCTION("""COMPUTED_VALUE"""),0.7203125000014552)</f>
        <v>0.7203125</v>
      </c>
      <c r="D16429" s="4">
        <f>IFERROR(__xludf.DUMMYFUNCTION("""COMPUTED_VALUE"""),12.997932)</f>
        <v>12.997932</v>
      </c>
      <c r="E16429" s="4">
        <f>IFERROR(__xludf.DUMMYFUNCTION("""COMPUTED_VALUE"""),80.191531)</f>
        <v>80.191531</v>
      </c>
      <c r="F16429" s="4">
        <f>IFERROR(__xludf.DUMMYFUNCTION("""COMPUTED_VALUE"""),5339.0)</f>
        <v>5339</v>
      </c>
      <c r="G16429" s="4">
        <f>IFERROR(__xludf.DUMMYFUNCTION("""COMPUTED_VALUE"""),29.0)</f>
        <v>29</v>
      </c>
      <c r="H16429" s="4"/>
      <c r="I16429" s="4"/>
    </row>
    <row r="16430">
      <c r="A16430" s="4" t="str">
        <f>IFERROR(__xludf.DUMMYFUNCTION("""COMPUTED_VALUE"""),"cas_hmw")</f>
        <v>cas_hmw</v>
      </c>
      <c r="B16430" s="5">
        <f>IFERROR(__xludf.DUMMYFUNCTION("""COMPUTED_VALUE"""),44735.0)</f>
        <v>44735</v>
      </c>
      <c r="C16430" s="6">
        <f>IFERROR(__xludf.DUMMYFUNCTION("""COMPUTED_VALUE"""),0.7203587962976599)</f>
        <v>0.7203587963</v>
      </c>
      <c r="D16430" s="4">
        <f>IFERROR(__xludf.DUMMYFUNCTION("""COMPUTED_VALUE"""),12.998316)</f>
        <v>12.998316</v>
      </c>
      <c r="E16430" s="4">
        <f>IFERROR(__xludf.DUMMYFUNCTION("""COMPUTED_VALUE"""),80.191996)</f>
        <v>80.191996</v>
      </c>
      <c r="F16430" s="4">
        <f>IFERROR(__xludf.DUMMYFUNCTION("""COMPUTED_VALUE"""),5339.0)</f>
        <v>5339</v>
      </c>
      <c r="G16430" s="4">
        <f>IFERROR(__xludf.DUMMYFUNCTION("""COMPUTED_VALUE"""),28.0)</f>
        <v>28</v>
      </c>
      <c r="H16430" s="4"/>
      <c r="I16430" s="4"/>
    </row>
    <row r="16431">
      <c r="A16431" s="4" t="str">
        <f>IFERROR(__xludf.DUMMYFUNCTION("""COMPUTED_VALUE"""),"cas_hmw")</f>
        <v>cas_hmw</v>
      </c>
      <c r="B16431" s="5">
        <f>IFERROR(__xludf.DUMMYFUNCTION("""COMPUTED_VALUE"""),44735.0)</f>
        <v>44735</v>
      </c>
      <c r="C16431" s="6">
        <f>IFERROR(__xludf.DUMMYFUNCTION("""COMPUTED_VALUE"""),0.7203819444439432)</f>
        <v>0.7203819444</v>
      </c>
      <c r="D16431" s="4">
        <f>IFERROR(__xludf.DUMMYFUNCTION("""COMPUTED_VALUE"""),12.998316)</f>
        <v>12.998316</v>
      </c>
      <c r="E16431" s="4">
        <f>IFERROR(__xludf.DUMMYFUNCTION("""COMPUTED_VALUE"""),80.191996)</f>
        <v>80.191996</v>
      </c>
      <c r="F16431" s="4">
        <f>IFERROR(__xludf.DUMMYFUNCTION("""COMPUTED_VALUE"""),5339.0)</f>
        <v>5339</v>
      </c>
      <c r="G16431" s="4">
        <f>IFERROR(__xludf.DUMMYFUNCTION("""COMPUTED_VALUE"""),28.0)</f>
        <v>28</v>
      </c>
      <c r="H16431" s="4"/>
      <c r="I16431" s="4"/>
    </row>
    <row r="16432">
      <c r="A16432" s="4" t="str">
        <f>IFERROR(__xludf.DUMMYFUNCTION("""COMPUTED_VALUE"""),"cas_hmw")</f>
        <v>cas_hmw</v>
      </c>
      <c r="B16432" s="5">
        <f>IFERROR(__xludf.DUMMYFUNCTION("""COMPUTED_VALUE"""),44735.0)</f>
        <v>44735</v>
      </c>
      <c r="C16432" s="6">
        <f>IFERROR(__xludf.DUMMYFUNCTION("""COMPUTED_VALUE"""),0.7205555555556202)</f>
        <v>0.7205555556</v>
      </c>
      <c r="D16432" s="4">
        <f>IFERROR(__xludf.DUMMYFUNCTION("""COMPUTED_VALUE"""),12.998831)</f>
        <v>12.998831</v>
      </c>
      <c r="E16432" s="4">
        <f>IFERROR(__xludf.DUMMYFUNCTION("""COMPUTED_VALUE"""),80.192651)</f>
        <v>80.192651</v>
      </c>
      <c r="F16432" s="4">
        <f>IFERROR(__xludf.DUMMYFUNCTION("""COMPUTED_VALUE"""),5339.0)</f>
        <v>5339</v>
      </c>
      <c r="G16432" s="4">
        <f>IFERROR(__xludf.DUMMYFUNCTION("""COMPUTED_VALUE"""),23.0)</f>
        <v>23</v>
      </c>
      <c r="H16432" s="4"/>
      <c r="I16432" s="4"/>
    </row>
    <row r="16433">
      <c r="A16433" s="4" t="str">
        <f>IFERROR(__xludf.DUMMYFUNCTION("""COMPUTED_VALUE"""),"cas_hmw")</f>
        <v>cas_hmw</v>
      </c>
      <c r="B16433" s="5">
        <f>IFERROR(__xludf.DUMMYFUNCTION("""COMPUTED_VALUE"""),44735.0)</f>
        <v>44735</v>
      </c>
      <c r="C16433" s="6">
        <f>IFERROR(__xludf.DUMMYFUNCTION("""COMPUTED_VALUE"""),0.7205787037019036)</f>
        <v>0.7205787037</v>
      </c>
      <c r="D16433" s="4">
        <f>IFERROR(__xludf.DUMMYFUNCTION("""COMPUTED_VALUE"""),12.998831)</f>
        <v>12.998831</v>
      </c>
      <c r="E16433" s="4">
        <f>IFERROR(__xludf.DUMMYFUNCTION("""COMPUTED_VALUE"""),80.192651)</f>
        <v>80.192651</v>
      </c>
      <c r="F16433" s="4">
        <f>IFERROR(__xludf.DUMMYFUNCTION("""COMPUTED_VALUE"""),5339.0)</f>
        <v>5339</v>
      </c>
      <c r="G16433" s="4">
        <f>IFERROR(__xludf.DUMMYFUNCTION("""COMPUTED_VALUE"""),23.0)</f>
        <v>23</v>
      </c>
      <c r="H16433" s="4"/>
      <c r="I16433" s="4"/>
    </row>
    <row r="16434">
      <c r="A16434" s="4" t="str">
        <f>IFERROR(__xludf.DUMMYFUNCTION("""COMPUTED_VALUE"""),"cas_hmw")</f>
        <v>cas_hmw</v>
      </c>
      <c r="B16434" s="5">
        <f>IFERROR(__xludf.DUMMYFUNCTION("""COMPUTED_VALUE"""),44735.0)</f>
        <v>44735</v>
      </c>
      <c r="C16434" s="6">
        <f>IFERROR(__xludf.DUMMYFUNCTION("""COMPUTED_VALUE"""),0.7205902777786832)</f>
        <v>0.7205902778</v>
      </c>
      <c r="D16434" s="4">
        <f>IFERROR(__xludf.DUMMYFUNCTION("""COMPUTED_VALUE"""),12.998831)</f>
        <v>12.998831</v>
      </c>
      <c r="E16434" s="4">
        <f>IFERROR(__xludf.DUMMYFUNCTION("""COMPUTED_VALUE"""),80.192651)</f>
        <v>80.192651</v>
      </c>
      <c r="F16434" s="4">
        <f>IFERROR(__xludf.DUMMYFUNCTION("""COMPUTED_VALUE"""),5339.0)</f>
        <v>5339</v>
      </c>
      <c r="G16434" s="4">
        <f>IFERROR(__xludf.DUMMYFUNCTION("""COMPUTED_VALUE"""),23.0)</f>
        <v>23</v>
      </c>
      <c r="H16434" s="4"/>
      <c r="I16434" s="4"/>
    </row>
    <row r="16435">
      <c r="A16435" s="4" t="str">
        <f>IFERROR(__xludf.DUMMYFUNCTION("""COMPUTED_VALUE"""),"cas_hmw")</f>
        <v>cas_hmw</v>
      </c>
      <c r="B16435" s="5">
        <f>IFERROR(__xludf.DUMMYFUNCTION("""COMPUTED_VALUE"""),44735.0)</f>
        <v>44735</v>
      </c>
      <c r="C16435" s="6">
        <f>IFERROR(__xludf.DUMMYFUNCTION("""COMPUTED_VALUE"""),0.7205902777786832)</f>
        <v>0.7205902778</v>
      </c>
      <c r="D16435" s="4">
        <f>IFERROR(__xludf.DUMMYFUNCTION("""COMPUTED_VALUE"""),12.998831)</f>
        <v>12.998831</v>
      </c>
      <c r="E16435" s="4">
        <f>IFERROR(__xludf.DUMMYFUNCTION("""COMPUTED_VALUE"""),80.192651)</f>
        <v>80.192651</v>
      </c>
      <c r="F16435" s="4">
        <f>IFERROR(__xludf.DUMMYFUNCTION("""COMPUTED_VALUE"""),5339.0)</f>
        <v>5339</v>
      </c>
      <c r="G16435" s="4">
        <f>IFERROR(__xludf.DUMMYFUNCTION("""COMPUTED_VALUE"""),23.0)</f>
        <v>23</v>
      </c>
      <c r="H16435" s="4"/>
      <c r="I16435" s="4"/>
    </row>
    <row r="16436">
      <c r="A16436" s="4" t="str">
        <f>IFERROR(__xludf.DUMMYFUNCTION("""COMPUTED_VALUE"""),"cas_hmw")</f>
        <v>cas_hmw</v>
      </c>
      <c r="B16436" s="5">
        <f>IFERROR(__xludf.DUMMYFUNCTION("""COMPUTED_VALUE"""),44735.0)</f>
        <v>44735</v>
      </c>
      <c r="C16436" s="6">
        <f>IFERROR(__xludf.DUMMYFUNCTION("""COMPUTED_VALUE"""),0.7206134259249666)</f>
        <v>0.7206134259</v>
      </c>
      <c r="D16436" s="4">
        <f>IFERROR(__xludf.DUMMYFUNCTION("""COMPUTED_VALUE"""),12.999249)</f>
        <v>12.999249</v>
      </c>
      <c r="E16436" s="4">
        <f>IFERROR(__xludf.DUMMYFUNCTION("""COMPUTED_VALUE"""),80.193174)</f>
        <v>80.193174</v>
      </c>
      <c r="F16436" s="4">
        <f>IFERROR(__xludf.DUMMYFUNCTION("""COMPUTED_VALUE"""),5339.0)</f>
        <v>5339</v>
      </c>
      <c r="G16436" s="4">
        <f>IFERROR(__xludf.DUMMYFUNCTION("""COMPUTED_VALUE"""),31.0)</f>
        <v>31</v>
      </c>
      <c r="H16436" s="4"/>
      <c r="I16436" s="4"/>
    </row>
    <row r="16437">
      <c r="A16437" s="4" t="str">
        <f>IFERROR(__xludf.DUMMYFUNCTION("""COMPUTED_VALUE"""),"cas_hmw")</f>
        <v>cas_hmw</v>
      </c>
      <c r="B16437" s="5">
        <f>IFERROR(__xludf.DUMMYFUNCTION("""COMPUTED_VALUE"""),44735.0)</f>
        <v>44735</v>
      </c>
      <c r="C16437" s="6">
        <f>IFERROR(__xludf.DUMMYFUNCTION("""COMPUTED_VALUE"""),0.7207175925941556)</f>
        <v>0.7207175926</v>
      </c>
      <c r="D16437" s="4">
        <f>IFERROR(__xludf.DUMMYFUNCTION("""COMPUTED_VALUE"""),12.995798)</f>
        <v>12.995798</v>
      </c>
      <c r="E16437" s="4">
        <f>IFERROR(__xludf.DUMMYFUNCTION("""COMPUTED_VALUE"""),80.188924)</f>
        <v>80.188924</v>
      </c>
      <c r="F16437" s="4">
        <f>IFERROR(__xludf.DUMMYFUNCTION("""COMPUTED_VALUE"""),805.0)</f>
        <v>805</v>
      </c>
      <c r="G16437" s="4">
        <f>IFERROR(__xludf.DUMMYFUNCTION("""COMPUTED_VALUE"""),6.0)</f>
        <v>6</v>
      </c>
      <c r="H16437" s="4"/>
      <c r="I16437" s="4"/>
    </row>
    <row r="16438">
      <c r="A16438" s="4" t="str">
        <f>IFERROR(__xludf.DUMMYFUNCTION("""COMPUTED_VALUE"""),"cas_hmw")</f>
        <v>cas_hmw</v>
      </c>
      <c r="B16438" s="5">
        <f>IFERROR(__xludf.DUMMYFUNCTION("""COMPUTED_VALUE"""),44735.0)</f>
        <v>44735</v>
      </c>
      <c r="C16438" s="6">
        <f>IFERROR(__xludf.DUMMYFUNCTION("""COMPUTED_VALUE"""),0.7207291666672972)</f>
        <v>0.7207291667</v>
      </c>
      <c r="D16438" s="4">
        <f>IFERROR(__xludf.DUMMYFUNCTION("""COMPUTED_VALUE"""),12.999691)</f>
        <v>12.999691</v>
      </c>
      <c r="E16438" s="4">
        <f>IFERROR(__xludf.DUMMYFUNCTION("""COMPUTED_VALUE"""),80.193754)</f>
        <v>80.193754</v>
      </c>
      <c r="F16438" s="4">
        <f>IFERROR(__xludf.DUMMYFUNCTION("""COMPUTED_VALUE"""),5339.0)</f>
        <v>5339</v>
      </c>
      <c r="G16438" s="4">
        <f>IFERROR(__xludf.DUMMYFUNCTION("""COMPUTED_VALUE"""),28.0)</f>
        <v>28</v>
      </c>
      <c r="H16438" s="4"/>
      <c r="I16438" s="4"/>
    </row>
    <row r="16439">
      <c r="A16439" s="4" t="str">
        <f>IFERROR(__xludf.DUMMYFUNCTION("""COMPUTED_VALUE"""),"cas_hmw")</f>
        <v>cas_hmw</v>
      </c>
      <c r="B16439" s="5">
        <f>IFERROR(__xludf.DUMMYFUNCTION("""COMPUTED_VALUE"""),44735.0)</f>
        <v>44735</v>
      </c>
      <c r="C16439" s="6">
        <f>IFERROR(__xludf.DUMMYFUNCTION("""COMPUTED_VALUE"""),0.7210416666675883)</f>
        <v>0.7210416667</v>
      </c>
      <c r="D16439" s="4">
        <f>IFERROR(__xludf.DUMMYFUNCTION("""COMPUTED_VALUE"""),12.996204)</f>
        <v>12.996204</v>
      </c>
      <c r="E16439" s="4">
        <f>IFERROR(__xludf.DUMMYFUNCTION("""COMPUTED_VALUE"""),80.189444)</f>
        <v>80.189444</v>
      </c>
      <c r="F16439" s="4">
        <f>IFERROR(__xludf.DUMMYFUNCTION("""COMPUTED_VALUE"""),805.0)</f>
        <v>805</v>
      </c>
      <c r="G16439" s="4">
        <f>IFERROR(__xludf.DUMMYFUNCTION("""COMPUTED_VALUE"""),19.0)</f>
        <v>19</v>
      </c>
      <c r="H16439" s="4"/>
      <c r="I16439" s="4"/>
    </row>
    <row r="16440">
      <c r="A16440" s="4" t="str">
        <f>IFERROR(__xludf.DUMMYFUNCTION("""COMPUTED_VALUE"""),"cas_hmw")</f>
        <v>cas_hmw</v>
      </c>
      <c r="B16440" s="5">
        <f>IFERROR(__xludf.DUMMYFUNCTION("""COMPUTED_VALUE"""),44735.0)</f>
        <v>44735</v>
      </c>
      <c r="C16440" s="6">
        <f>IFERROR(__xludf.DUMMYFUNCTION("""COMPUTED_VALUE"""),0.7210763888906513)</f>
        <v>0.7210763889</v>
      </c>
      <c r="D16440" s="4">
        <f>IFERROR(__xludf.DUMMYFUNCTION("""COMPUTED_VALUE"""),12.781469)</f>
        <v>12.781469</v>
      </c>
      <c r="E16440" s="4">
        <f>IFERROR(__xludf.DUMMYFUNCTION("""COMPUTED_VALUE"""),80.012453)</f>
        <v>80.012453</v>
      </c>
      <c r="F16440" s="4">
        <f>IFERROR(__xludf.DUMMYFUNCTION("""COMPUTED_VALUE"""),2846.0)</f>
        <v>2846</v>
      </c>
      <c r="G16440" s="4">
        <f>IFERROR(__xludf.DUMMYFUNCTION("""COMPUTED_VALUE"""),58.0)</f>
        <v>58</v>
      </c>
      <c r="H16440" s="4"/>
      <c r="I16440" s="4"/>
    </row>
    <row r="16441">
      <c r="A16441" s="4" t="str">
        <f>IFERROR(__xludf.DUMMYFUNCTION("""COMPUTED_VALUE"""),"cas_hmw")</f>
        <v>cas_hmw</v>
      </c>
      <c r="B16441" s="5">
        <f>IFERROR(__xludf.DUMMYFUNCTION("""COMPUTED_VALUE"""),44735.0)</f>
        <v>44735</v>
      </c>
      <c r="C16441" s="6">
        <f>IFERROR(__xludf.DUMMYFUNCTION("""COMPUTED_VALUE"""),0.721226851852407)</f>
        <v>0.7212268519</v>
      </c>
      <c r="D16441" s="4">
        <f>IFERROR(__xludf.DUMMYFUNCTION("""COMPUTED_VALUE"""),12.996912)</f>
        <v>12.996912</v>
      </c>
      <c r="E16441" s="4">
        <f>IFERROR(__xludf.DUMMYFUNCTION("""COMPUTED_VALUE"""),80.190249)</f>
        <v>80.190249</v>
      </c>
      <c r="F16441" s="4">
        <f>IFERROR(__xludf.DUMMYFUNCTION("""COMPUTED_VALUE"""),805.0)</f>
        <v>805</v>
      </c>
      <c r="G16441" s="4">
        <f>IFERROR(__xludf.DUMMYFUNCTION("""COMPUTED_VALUE"""),33.0)</f>
        <v>33</v>
      </c>
      <c r="H16441" s="4"/>
      <c r="I16441" s="4"/>
    </row>
    <row r="16442">
      <c r="A16442" s="4" t="str">
        <f>IFERROR(__xludf.DUMMYFUNCTION("""COMPUTED_VALUE"""),"cas_hmw")</f>
        <v>cas_hmw</v>
      </c>
      <c r="B16442" s="5">
        <f>IFERROR(__xludf.DUMMYFUNCTION("""COMPUTED_VALUE"""),44735.0)</f>
        <v>44735</v>
      </c>
      <c r="C16442" s="6">
        <f>IFERROR(__xludf.DUMMYFUNCTION("""COMPUTED_VALUE"""),0.72126157407547)</f>
        <v>0.7212615741</v>
      </c>
      <c r="D16442" s="4">
        <f>IFERROR(__xludf.DUMMYFUNCTION("""COMPUTED_VALUE"""),12.996912)</f>
        <v>12.996912</v>
      </c>
      <c r="E16442" s="4">
        <f>IFERROR(__xludf.DUMMYFUNCTION("""COMPUTED_VALUE"""),80.190249)</f>
        <v>80.190249</v>
      </c>
      <c r="F16442" s="4">
        <f>IFERROR(__xludf.DUMMYFUNCTION("""COMPUTED_VALUE"""),805.0)</f>
        <v>805</v>
      </c>
      <c r="G16442" s="4">
        <f>IFERROR(__xludf.DUMMYFUNCTION("""COMPUTED_VALUE"""),33.0)</f>
        <v>33</v>
      </c>
      <c r="H16442" s="4"/>
      <c r="I16442" s="4"/>
    </row>
    <row r="16443">
      <c r="A16443" s="4" t="str">
        <f>IFERROR(__xludf.DUMMYFUNCTION("""COMPUTED_VALUE"""),"cas_hmw")</f>
        <v>cas_hmw</v>
      </c>
      <c r="B16443" s="5">
        <f>IFERROR(__xludf.DUMMYFUNCTION("""COMPUTED_VALUE"""),44735.0)</f>
        <v>44735</v>
      </c>
      <c r="C16443" s="6">
        <f>IFERROR(__xludf.DUMMYFUNCTION("""COMPUTED_VALUE"""),0.7215162037027767)</f>
        <v>0.7215162037</v>
      </c>
      <c r="D16443" s="4">
        <f>IFERROR(__xludf.DUMMYFUNCTION("""COMPUTED_VALUE"""),12.998619)</f>
        <v>12.998619</v>
      </c>
      <c r="E16443" s="4">
        <f>IFERROR(__xludf.DUMMYFUNCTION("""COMPUTED_VALUE"""),80.192387)</f>
        <v>80.192387</v>
      </c>
      <c r="F16443" s="4">
        <f>IFERROR(__xludf.DUMMYFUNCTION("""COMPUTED_VALUE"""),805.0)</f>
        <v>805</v>
      </c>
      <c r="G16443" s="4">
        <f>IFERROR(__xludf.DUMMYFUNCTION("""COMPUTED_VALUE"""),32.0)</f>
        <v>32</v>
      </c>
      <c r="H16443" s="4"/>
      <c r="I16443" s="4"/>
    </row>
    <row r="16444">
      <c r="A16444" s="4" t="str">
        <f>IFERROR(__xludf.DUMMYFUNCTION("""COMPUTED_VALUE"""),"cas_hmw")</f>
        <v>cas_hmw</v>
      </c>
      <c r="B16444" s="5">
        <f>IFERROR(__xludf.DUMMYFUNCTION("""COMPUTED_VALUE"""),44735.0)</f>
        <v>44735</v>
      </c>
      <c r="C16444" s="6">
        <f>IFERROR(__xludf.DUMMYFUNCTION("""COMPUTED_VALUE"""),0.7215277777795563)</f>
        <v>0.7215277778</v>
      </c>
      <c r="D16444" s="4">
        <f>IFERROR(__xludf.DUMMYFUNCTION("""COMPUTED_VALUE"""),12.998619)</f>
        <v>12.998619</v>
      </c>
      <c r="E16444" s="4">
        <f>IFERROR(__xludf.DUMMYFUNCTION("""COMPUTED_VALUE"""),80.192387)</f>
        <v>80.192387</v>
      </c>
      <c r="F16444" s="4">
        <f>IFERROR(__xludf.DUMMYFUNCTION("""COMPUTED_VALUE"""),805.0)</f>
        <v>805</v>
      </c>
      <c r="G16444" s="4">
        <f>IFERROR(__xludf.DUMMYFUNCTION("""COMPUTED_VALUE"""),32.0)</f>
        <v>32</v>
      </c>
      <c r="H16444" s="4"/>
      <c r="I16444" s="4"/>
    </row>
    <row r="16445">
      <c r="A16445" s="4" t="str">
        <f>IFERROR(__xludf.DUMMYFUNCTION("""COMPUTED_VALUE"""),"cas_hmw")</f>
        <v>cas_hmw</v>
      </c>
      <c r="B16445" s="5">
        <f>IFERROR(__xludf.DUMMYFUNCTION("""COMPUTED_VALUE"""),44735.0)</f>
        <v>44735</v>
      </c>
      <c r="C16445" s="6">
        <f>IFERROR(__xludf.DUMMYFUNCTION("""COMPUTED_VALUE"""),0.721539351852698)</f>
        <v>0.7215393519</v>
      </c>
      <c r="D16445" s="4">
        <f>IFERROR(__xludf.DUMMYFUNCTION("""COMPUTED_VALUE"""),12.998619)</f>
        <v>12.998619</v>
      </c>
      <c r="E16445" s="4">
        <f>IFERROR(__xludf.DUMMYFUNCTION("""COMPUTED_VALUE"""),80.192387)</f>
        <v>80.192387</v>
      </c>
      <c r="F16445" s="4">
        <f>IFERROR(__xludf.DUMMYFUNCTION("""COMPUTED_VALUE"""),805.0)</f>
        <v>805</v>
      </c>
      <c r="G16445" s="4">
        <f>IFERROR(__xludf.DUMMYFUNCTION("""COMPUTED_VALUE"""),32.0)</f>
        <v>32</v>
      </c>
      <c r="H16445" s="4"/>
      <c r="I16445" s="4"/>
    </row>
    <row r="16446">
      <c r="A16446" s="4" t="str">
        <f>IFERROR(__xludf.DUMMYFUNCTION("""COMPUTED_VALUE"""),"cas_hmw")</f>
        <v>cas_hmw</v>
      </c>
      <c r="B16446" s="5">
        <f>IFERROR(__xludf.DUMMYFUNCTION("""COMPUTED_VALUE"""),44735.0)</f>
        <v>44735</v>
      </c>
      <c r="C16446" s="6">
        <f>IFERROR(__xludf.DUMMYFUNCTION("""COMPUTED_VALUE"""),0.7217245370375167)</f>
        <v>0.721724537</v>
      </c>
      <c r="D16446" s="4">
        <f>IFERROR(__xludf.DUMMYFUNCTION("""COMPUTED_VALUE"""),12.775163)</f>
        <v>12.775163</v>
      </c>
      <c r="E16446" s="4">
        <f>IFERROR(__xludf.DUMMYFUNCTION("""COMPUTED_VALUE"""),80.009702)</f>
        <v>80.009702</v>
      </c>
      <c r="F16446" s="4">
        <f>IFERROR(__xludf.DUMMYFUNCTION("""COMPUTED_VALUE"""),2846.0)</f>
        <v>2846</v>
      </c>
      <c r="G16446" s="4">
        <f>IFERROR(__xludf.DUMMYFUNCTION("""COMPUTED_VALUE"""),48.0)</f>
        <v>48</v>
      </c>
      <c r="H16446" s="4"/>
      <c r="I16446" s="4"/>
    </row>
    <row r="16447">
      <c r="A16447" s="4" t="str">
        <f>IFERROR(__xludf.DUMMYFUNCTION("""COMPUTED_VALUE"""),"cas_hmw")</f>
        <v>cas_hmw</v>
      </c>
      <c r="B16447" s="5">
        <f>IFERROR(__xludf.DUMMYFUNCTION("""COMPUTED_VALUE"""),44735.0)</f>
        <v>44735</v>
      </c>
      <c r="C16447" s="6">
        <f>IFERROR(__xludf.DUMMYFUNCTION("""COMPUTED_VALUE"""),0.7217708333337214)</f>
        <v>0.7217708333</v>
      </c>
      <c r="D16447" s="4">
        <f>IFERROR(__xludf.DUMMYFUNCTION("""COMPUTED_VALUE"""),13.002035)</f>
        <v>13.002035</v>
      </c>
      <c r="E16447" s="4">
        <f>IFERROR(__xludf.DUMMYFUNCTION("""COMPUTED_VALUE"""),80.197704)</f>
        <v>80.197704</v>
      </c>
      <c r="F16447" s="4">
        <f>IFERROR(__xludf.DUMMYFUNCTION("""COMPUTED_VALUE"""),5339.0)</f>
        <v>5339</v>
      </c>
      <c r="G16447" s="4">
        <f>IFERROR(__xludf.DUMMYFUNCTION("""COMPUTED_VALUE"""),41.0)</f>
        <v>41</v>
      </c>
      <c r="H16447" s="4"/>
      <c r="I16447" s="4"/>
    </row>
    <row r="16448">
      <c r="A16448" s="4" t="str">
        <f>IFERROR(__xludf.DUMMYFUNCTION("""COMPUTED_VALUE"""),"cas_hmw")</f>
        <v>cas_hmw</v>
      </c>
      <c r="B16448" s="5">
        <f>IFERROR(__xludf.DUMMYFUNCTION("""COMPUTED_VALUE"""),44735.0)</f>
        <v>44735</v>
      </c>
      <c r="C16448" s="6">
        <f>IFERROR(__xludf.DUMMYFUNCTION("""COMPUTED_VALUE"""),0.7218171296299261)</f>
        <v>0.7218171296</v>
      </c>
      <c r="D16448" s="4">
        <f>IFERROR(__xludf.DUMMYFUNCTION("""COMPUTED_VALUE"""),13.002035)</f>
        <v>13.002035</v>
      </c>
      <c r="E16448" s="4">
        <f>IFERROR(__xludf.DUMMYFUNCTION("""COMPUTED_VALUE"""),80.197704)</f>
        <v>80.197704</v>
      </c>
      <c r="F16448" s="4">
        <f>IFERROR(__xludf.DUMMYFUNCTION("""COMPUTED_VALUE"""),5339.0)</f>
        <v>5339</v>
      </c>
      <c r="G16448" s="4">
        <f>IFERROR(__xludf.DUMMYFUNCTION("""COMPUTED_VALUE"""),41.0)</f>
        <v>41</v>
      </c>
      <c r="H16448" s="4"/>
      <c r="I16448" s="4"/>
    </row>
    <row r="16449">
      <c r="A16449" s="4" t="str">
        <f>IFERROR(__xludf.DUMMYFUNCTION("""COMPUTED_VALUE"""),"cas_hmw")</f>
        <v>cas_hmw</v>
      </c>
      <c r="B16449" s="5">
        <f>IFERROR(__xludf.DUMMYFUNCTION("""COMPUTED_VALUE"""),44735.0)</f>
        <v>44735</v>
      </c>
      <c r="C16449" s="6">
        <f>IFERROR(__xludf.DUMMYFUNCTION("""COMPUTED_VALUE"""),0.7219444444453984)</f>
        <v>0.7219444444</v>
      </c>
      <c r="D16449" s="4">
        <f>IFERROR(__xludf.DUMMYFUNCTION("""COMPUTED_VALUE"""),13.001848)</f>
        <v>13.001848</v>
      </c>
      <c r="E16449" s="4">
        <f>IFERROR(__xludf.DUMMYFUNCTION("""COMPUTED_VALUE"""),80.198837)</f>
        <v>80.198837</v>
      </c>
      <c r="F16449" s="4">
        <f>IFERROR(__xludf.DUMMYFUNCTION("""COMPUTED_VALUE"""),5339.0)</f>
        <v>5339</v>
      </c>
      <c r="G16449" s="4">
        <f>IFERROR(__xludf.DUMMYFUNCTION("""COMPUTED_VALUE"""),46.0)</f>
        <v>46</v>
      </c>
      <c r="H16449" s="4"/>
      <c r="I16449" s="4"/>
    </row>
    <row r="16450">
      <c r="A16450" s="4" t="str">
        <f>IFERROR(__xludf.DUMMYFUNCTION("""COMPUTED_VALUE"""),"cas_hmw")</f>
        <v>cas_hmw</v>
      </c>
      <c r="B16450" s="5">
        <f>IFERROR(__xludf.DUMMYFUNCTION("""COMPUTED_VALUE"""),44735.0)</f>
        <v>44735</v>
      </c>
      <c r="C16450" s="6">
        <f>IFERROR(__xludf.DUMMYFUNCTION("""COMPUTED_VALUE"""),0.7220023148147448)</f>
        <v>0.7220023148</v>
      </c>
      <c r="D16450" s="4">
        <f>IFERROR(__xludf.DUMMYFUNCTION("""COMPUTED_VALUE"""),12.771229)</f>
        <v>12.771229</v>
      </c>
      <c r="E16450" s="4">
        <f>IFERROR(__xludf.DUMMYFUNCTION("""COMPUTED_VALUE"""),80.007904)</f>
        <v>80.007904</v>
      </c>
      <c r="F16450" s="4">
        <f>IFERROR(__xludf.DUMMYFUNCTION("""COMPUTED_VALUE"""),2846.0)</f>
        <v>2846</v>
      </c>
      <c r="G16450" s="4">
        <f>IFERROR(__xludf.DUMMYFUNCTION("""COMPUTED_VALUE"""),47.0)</f>
        <v>47</v>
      </c>
      <c r="H16450" s="4"/>
      <c r="I16450" s="4"/>
    </row>
    <row r="16451">
      <c r="A16451" s="4" t="str">
        <f>IFERROR(__xludf.DUMMYFUNCTION("""COMPUTED_VALUE"""),"cas_hmw")</f>
        <v>cas_hmw</v>
      </c>
      <c r="B16451" s="5">
        <f>IFERROR(__xludf.DUMMYFUNCTION("""COMPUTED_VALUE"""),44735.0)</f>
        <v>44735</v>
      </c>
      <c r="C16451" s="6">
        <f>IFERROR(__xludf.DUMMYFUNCTION("""COMPUTED_VALUE"""),0.7222106481494848)</f>
        <v>0.7222106481</v>
      </c>
      <c r="D16451" s="4">
        <f>IFERROR(__xludf.DUMMYFUNCTION("""COMPUTED_VALUE"""),13.000817)</f>
        <v>13.000817</v>
      </c>
      <c r="E16451" s="4">
        <f>IFERROR(__xludf.DUMMYFUNCTION("""COMPUTED_VALUE"""),80.195096)</f>
        <v>80.195096</v>
      </c>
      <c r="F16451" s="4">
        <f>IFERROR(__xludf.DUMMYFUNCTION("""COMPUTED_VALUE"""),805.0)</f>
        <v>805</v>
      </c>
      <c r="G16451" s="4">
        <f>IFERROR(__xludf.DUMMYFUNCTION("""COMPUTED_VALUE"""),25.0)</f>
        <v>25</v>
      </c>
      <c r="H16451" s="4"/>
      <c r="I16451" s="4"/>
    </row>
    <row r="16452">
      <c r="A16452" s="4" t="str">
        <f>IFERROR(__xludf.DUMMYFUNCTION("""COMPUTED_VALUE"""),"cas_hmw")</f>
        <v>cas_hmw</v>
      </c>
      <c r="B16452" s="5">
        <f>IFERROR(__xludf.DUMMYFUNCTION("""COMPUTED_VALUE"""),44735.0)</f>
        <v>44735</v>
      </c>
      <c r="C16452" s="6">
        <f>IFERROR(__xludf.DUMMYFUNCTION("""COMPUTED_VALUE"""),0.7224189814805868)</f>
        <v>0.7224189815</v>
      </c>
      <c r="D16452" s="4">
        <f>IFERROR(__xludf.DUMMYFUNCTION("""COMPUTED_VALUE"""),13.001325)</f>
        <v>13.001325</v>
      </c>
      <c r="E16452" s="4">
        <f>IFERROR(__xludf.DUMMYFUNCTION("""COMPUTED_VALUE"""),80.195716)</f>
        <v>80.195716</v>
      </c>
      <c r="F16452" s="4">
        <f>IFERROR(__xludf.DUMMYFUNCTION("""COMPUTED_VALUE"""),805.0)</f>
        <v>805</v>
      </c>
      <c r="G16452" s="4">
        <f>IFERROR(__xludf.DUMMYFUNCTION("""COMPUTED_VALUE"""),23.0)</f>
        <v>23</v>
      </c>
      <c r="H16452" s="4"/>
      <c r="I16452" s="4"/>
    </row>
    <row r="16453">
      <c r="A16453" s="4" t="str">
        <f>IFERROR(__xludf.DUMMYFUNCTION("""COMPUTED_VALUE"""),"cas_hmw")</f>
        <v>cas_hmw</v>
      </c>
      <c r="B16453" s="5">
        <f>IFERROR(__xludf.DUMMYFUNCTION("""COMPUTED_VALUE"""),44735.0)</f>
        <v>44735</v>
      </c>
      <c r="C16453" s="6">
        <f>IFERROR(__xludf.DUMMYFUNCTION("""COMPUTED_VALUE"""),0.7225115740729962)</f>
        <v>0.7225115741</v>
      </c>
      <c r="D16453" s="4">
        <f>IFERROR(__xludf.DUMMYFUNCTION("""COMPUTED_VALUE"""),13.005502)</f>
        <v>13.005502</v>
      </c>
      <c r="E16453" s="4">
        <f>IFERROR(__xludf.DUMMYFUNCTION("""COMPUTED_VALUE"""),80.201733)</f>
        <v>80.201733</v>
      </c>
      <c r="F16453" s="4">
        <f>IFERROR(__xludf.DUMMYFUNCTION("""COMPUTED_VALUE"""),5339.0)</f>
        <v>5339</v>
      </c>
      <c r="G16453" s="4">
        <f>IFERROR(__xludf.DUMMYFUNCTION("""COMPUTED_VALUE"""),45.0)</f>
        <v>45</v>
      </c>
      <c r="H16453" s="4"/>
      <c r="I16453" s="4"/>
    </row>
    <row r="16454">
      <c r="A16454" s="4" t="str">
        <f>IFERROR(__xludf.DUMMYFUNCTION("""COMPUTED_VALUE"""),"cas_hmw")</f>
        <v>cas_hmw</v>
      </c>
      <c r="B16454" s="5">
        <f>IFERROR(__xludf.DUMMYFUNCTION("""COMPUTED_VALUE"""),44735.0)</f>
        <v>44735</v>
      </c>
      <c r="C16454" s="6">
        <f>IFERROR(__xludf.DUMMYFUNCTION("""COMPUTED_VALUE"""),0.7226736111115315)</f>
        <v>0.7226736111</v>
      </c>
      <c r="D16454" s="4">
        <f>IFERROR(__xludf.DUMMYFUNCTION("""COMPUTED_VALUE"""),13.002)</f>
        <v>13.002</v>
      </c>
      <c r="E16454" s="4">
        <f>IFERROR(__xludf.DUMMYFUNCTION("""COMPUTED_VALUE"""),80.198133)</f>
        <v>80.198133</v>
      </c>
      <c r="F16454" s="4">
        <f>IFERROR(__xludf.DUMMYFUNCTION("""COMPUTED_VALUE"""),805.0)</f>
        <v>805</v>
      </c>
      <c r="G16454" s="4">
        <f>IFERROR(__xludf.DUMMYFUNCTION("""COMPUTED_VALUE"""),43.0)</f>
        <v>43</v>
      </c>
      <c r="H16454" s="4"/>
      <c r="I16454" s="4"/>
    </row>
    <row r="16455">
      <c r="A16455" s="4" t="str">
        <f>IFERROR(__xludf.DUMMYFUNCTION("""COMPUTED_VALUE"""),"cas_hmw")</f>
        <v>cas_hmw</v>
      </c>
      <c r="B16455" s="5">
        <f>IFERROR(__xludf.DUMMYFUNCTION("""COMPUTED_VALUE"""),44735.0)</f>
        <v>44735</v>
      </c>
      <c r="C16455" s="6">
        <f>IFERROR(__xludf.DUMMYFUNCTION("""COMPUTED_VALUE"""),0.7227083333345945)</f>
        <v>0.7227083333</v>
      </c>
      <c r="D16455" s="4">
        <f>IFERROR(__xludf.DUMMYFUNCTION("""COMPUTED_VALUE"""),13.006788)</f>
        <v>13.006788</v>
      </c>
      <c r="E16455" s="4">
        <f>IFERROR(__xludf.DUMMYFUNCTION("""COMPUTED_VALUE"""),80.203364)</f>
        <v>80.203364</v>
      </c>
      <c r="F16455" s="4">
        <f>IFERROR(__xludf.DUMMYFUNCTION("""COMPUTED_VALUE"""),5339.0)</f>
        <v>5339</v>
      </c>
      <c r="G16455" s="4">
        <f>IFERROR(__xludf.DUMMYFUNCTION("""COMPUTED_VALUE"""),37.0)</f>
        <v>37</v>
      </c>
      <c r="H16455" s="4"/>
      <c r="I16455" s="4"/>
    </row>
    <row r="16456">
      <c r="A16456" s="4" t="str">
        <f>IFERROR(__xludf.DUMMYFUNCTION("""COMPUTED_VALUE"""),"cas_hmw")</f>
        <v>cas_hmw</v>
      </c>
      <c r="B16456" s="5">
        <f>IFERROR(__xludf.DUMMYFUNCTION("""COMPUTED_VALUE"""),44735.0)</f>
        <v>44735</v>
      </c>
      <c r="C16456" s="6">
        <f>IFERROR(__xludf.DUMMYFUNCTION("""COMPUTED_VALUE"""),0.7227199074077362)</f>
        <v>0.7227199074</v>
      </c>
      <c r="D16456" s="4">
        <f>IFERROR(__xludf.DUMMYFUNCTION("""COMPUTED_VALUE"""),13.006788)</f>
        <v>13.006788</v>
      </c>
      <c r="E16456" s="4">
        <f>IFERROR(__xludf.DUMMYFUNCTION("""COMPUTED_VALUE"""),80.203364)</f>
        <v>80.203364</v>
      </c>
      <c r="F16456" s="4">
        <f>IFERROR(__xludf.DUMMYFUNCTION("""COMPUTED_VALUE"""),5339.0)</f>
        <v>5339</v>
      </c>
      <c r="G16456" s="4">
        <f>IFERROR(__xludf.DUMMYFUNCTION("""COMPUTED_VALUE"""),37.0)</f>
        <v>37</v>
      </c>
      <c r="H16456" s="4"/>
      <c r="I16456" s="4"/>
    </row>
    <row r="16457">
      <c r="A16457" s="4" t="str">
        <f>IFERROR(__xludf.DUMMYFUNCTION("""COMPUTED_VALUE"""),"cas_hmw")</f>
        <v>cas_hmw</v>
      </c>
      <c r="B16457" s="5">
        <f>IFERROR(__xludf.DUMMYFUNCTION("""COMPUTED_VALUE"""),44735.0)</f>
        <v>44735</v>
      </c>
      <c r="C16457" s="6">
        <f>IFERROR(__xludf.DUMMYFUNCTION("""COMPUTED_VALUE"""),0.7227777777770825)</f>
        <v>0.7227777778</v>
      </c>
      <c r="D16457" s="4">
        <f>IFERROR(__xludf.DUMMYFUNCTION("""COMPUTED_VALUE"""),13.006788)</f>
        <v>13.006788</v>
      </c>
      <c r="E16457" s="4">
        <f>IFERROR(__xludf.DUMMYFUNCTION("""COMPUTED_VALUE"""),80.203364)</f>
        <v>80.203364</v>
      </c>
      <c r="F16457" s="4">
        <f>IFERROR(__xludf.DUMMYFUNCTION("""COMPUTED_VALUE"""),5339.0)</f>
        <v>5339</v>
      </c>
      <c r="G16457" s="4">
        <f>IFERROR(__xludf.DUMMYFUNCTION("""COMPUTED_VALUE"""),37.0)</f>
        <v>37</v>
      </c>
      <c r="H16457" s="4"/>
      <c r="I16457" s="4"/>
    </row>
    <row r="16458">
      <c r="A16458" s="4" t="str">
        <f>IFERROR(__xludf.DUMMYFUNCTION("""COMPUTED_VALUE"""),"cas_hmw")</f>
        <v>cas_hmw</v>
      </c>
      <c r="B16458" s="5">
        <f>IFERROR(__xludf.DUMMYFUNCTION("""COMPUTED_VALUE"""),44735.0)</f>
        <v>44735</v>
      </c>
      <c r="C16458" s="6">
        <f>IFERROR(__xludf.DUMMYFUNCTION("""COMPUTED_VALUE"""),0.7231018518505152)</f>
        <v>0.7231018519</v>
      </c>
      <c r="D16458" s="4">
        <f>IFERROR(__xludf.DUMMYFUNCTION("""COMPUTED_VALUE"""),13.002841)</f>
        <v>13.002841</v>
      </c>
      <c r="E16458" s="4">
        <f>IFERROR(__xludf.DUMMYFUNCTION("""COMPUTED_VALUE"""),80.200617)</f>
        <v>80.200617</v>
      </c>
      <c r="F16458" s="4">
        <f>IFERROR(__xludf.DUMMYFUNCTION("""COMPUTED_VALUE"""),805.0)</f>
        <v>805</v>
      </c>
      <c r="G16458" s="4">
        <f>IFERROR(__xludf.DUMMYFUNCTION("""COMPUTED_VALUE"""),23.0)</f>
        <v>23</v>
      </c>
      <c r="H16458" s="4"/>
      <c r="I16458" s="4"/>
    </row>
    <row r="16459">
      <c r="A16459" s="4" t="str">
        <f>IFERROR(__xludf.DUMMYFUNCTION("""COMPUTED_VALUE"""),"cas_hmw")</f>
        <v>cas_hmw</v>
      </c>
      <c r="B16459" s="5">
        <f>IFERROR(__xludf.DUMMYFUNCTION("""COMPUTED_VALUE"""),44735.0)</f>
        <v>44735</v>
      </c>
      <c r="C16459" s="6">
        <f>IFERROR(__xludf.DUMMYFUNCTION("""COMPUTED_VALUE"""),0.7231018518505152)</f>
        <v>0.7231018519</v>
      </c>
      <c r="D16459" s="4">
        <f>IFERROR(__xludf.DUMMYFUNCTION("""COMPUTED_VALUE"""),13.002841)</f>
        <v>13.002841</v>
      </c>
      <c r="E16459" s="4">
        <f>IFERROR(__xludf.DUMMYFUNCTION("""COMPUTED_VALUE"""),80.200617)</f>
        <v>80.200617</v>
      </c>
      <c r="F16459" s="4">
        <f>IFERROR(__xludf.DUMMYFUNCTION("""COMPUTED_VALUE"""),805.0)</f>
        <v>805</v>
      </c>
      <c r="G16459" s="4">
        <f>IFERROR(__xludf.DUMMYFUNCTION("""COMPUTED_VALUE"""),23.0)</f>
        <v>23</v>
      </c>
      <c r="H16459" s="4"/>
      <c r="I16459" s="4"/>
    </row>
    <row r="16460">
      <c r="A16460" s="4" t="str">
        <f>IFERROR(__xludf.DUMMYFUNCTION("""COMPUTED_VALUE"""),"cas_hmw")</f>
        <v>cas_hmw</v>
      </c>
      <c r="B16460" s="5">
        <f>IFERROR(__xludf.DUMMYFUNCTION("""COMPUTED_VALUE"""),44735.0)</f>
        <v>44735</v>
      </c>
      <c r="C16460" s="6">
        <f>IFERROR(__xludf.DUMMYFUNCTION("""COMPUTED_VALUE"""),0.7231134259272949)</f>
        <v>0.7231134259</v>
      </c>
      <c r="D16460" s="4">
        <f>IFERROR(__xludf.DUMMYFUNCTION("""COMPUTED_VALUE"""),13.002841)</f>
        <v>13.002841</v>
      </c>
      <c r="E16460" s="4">
        <f>IFERROR(__xludf.DUMMYFUNCTION("""COMPUTED_VALUE"""),80.200617)</f>
        <v>80.200617</v>
      </c>
      <c r="F16460" s="4">
        <f>IFERROR(__xludf.DUMMYFUNCTION("""COMPUTED_VALUE"""),805.0)</f>
        <v>805</v>
      </c>
      <c r="G16460" s="4">
        <f>IFERROR(__xludf.DUMMYFUNCTION("""COMPUTED_VALUE"""),23.0)</f>
        <v>23</v>
      </c>
      <c r="H16460" s="4"/>
      <c r="I16460" s="4"/>
    </row>
    <row r="16461">
      <c r="A16461" s="4" t="str">
        <f>IFERROR(__xludf.DUMMYFUNCTION("""COMPUTED_VALUE"""),"cas_hmw")</f>
        <v>cas_hmw</v>
      </c>
      <c r="B16461" s="5">
        <f>IFERROR(__xludf.DUMMYFUNCTION("""COMPUTED_VALUE"""),44735.0)</f>
        <v>44735</v>
      </c>
      <c r="C16461" s="6">
        <f>IFERROR(__xludf.DUMMYFUNCTION("""COMPUTED_VALUE"""),0.7234375000007276)</f>
        <v>0.7234375</v>
      </c>
      <c r="D16461" s="4">
        <f>IFERROR(__xludf.DUMMYFUNCTION("""COMPUTED_VALUE"""),13.007615)</f>
        <v>13.007615</v>
      </c>
      <c r="E16461" s="4">
        <f>IFERROR(__xludf.DUMMYFUNCTION("""COMPUTED_VALUE"""),80.205288)</f>
        <v>80.205288</v>
      </c>
      <c r="F16461" s="4">
        <f>IFERROR(__xludf.DUMMYFUNCTION("""COMPUTED_VALUE"""),5339.0)</f>
        <v>5339</v>
      </c>
      <c r="G16461" s="4">
        <f>IFERROR(__xludf.DUMMYFUNCTION("""COMPUTED_VALUE"""),49.0)</f>
        <v>49</v>
      </c>
      <c r="H16461" s="4"/>
      <c r="I16461" s="4"/>
    </row>
    <row r="16462">
      <c r="A16462" s="4" t="str">
        <f>IFERROR(__xludf.DUMMYFUNCTION("""COMPUTED_VALUE"""),"cas_hmw")</f>
        <v>cas_hmw</v>
      </c>
      <c r="B16462" s="5">
        <f>IFERROR(__xludf.DUMMYFUNCTION("""COMPUTED_VALUE"""),44735.0)</f>
        <v>44735</v>
      </c>
      <c r="C16462" s="6">
        <f>IFERROR(__xludf.DUMMYFUNCTION("""COMPUTED_VALUE"""),0.723668981481751)</f>
        <v>0.7236689815</v>
      </c>
      <c r="D16462" s="4">
        <f>IFERROR(__xludf.DUMMYFUNCTION("""COMPUTED_VALUE"""),13.004794)</f>
        <v>13.004794</v>
      </c>
      <c r="E16462" s="4">
        <f>IFERROR(__xludf.DUMMYFUNCTION("""COMPUTED_VALUE"""),80.201173)</f>
        <v>80.201173</v>
      </c>
      <c r="F16462" s="4">
        <f>IFERROR(__xludf.DUMMYFUNCTION("""COMPUTED_VALUE"""),805.0)</f>
        <v>805</v>
      </c>
      <c r="G16462" s="4">
        <f>IFERROR(__xludf.DUMMYFUNCTION("""COMPUTED_VALUE"""),28.0)</f>
        <v>28</v>
      </c>
      <c r="H16462" s="4"/>
      <c r="I16462" s="4"/>
    </row>
    <row r="16463">
      <c r="A16463" s="4" t="str">
        <f>IFERROR(__xludf.DUMMYFUNCTION("""COMPUTED_VALUE"""),"cas_hmw")</f>
        <v>cas_hmw</v>
      </c>
      <c r="B16463" s="5">
        <f>IFERROR(__xludf.DUMMYFUNCTION("""COMPUTED_VALUE"""),44735.0)</f>
        <v>44735</v>
      </c>
      <c r="C16463" s="6">
        <f>IFERROR(__xludf.DUMMYFUNCTION("""COMPUTED_VALUE"""),0.723773148147302)</f>
        <v>0.7237731481</v>
      </c>
      <c r="D16463" s="4">
        <f>IFERROR(__xludf.DUMMYFUNCTION("""COMPUTED_VALUE"""),13.00797)</f>
        <v>13.00797</v>
      </c>
      <c r="E16463" s="4">
        <f>IFERROR(__xludf.DUMMYFUNCTION("""COMPUTED_VALUE"""),80.208004)</f>
        <v>80.208004</v>
      </c>
      <c r="F16463" s="4">
        <f>IFERROR(__xludf.DUMMYFUNCTION("""COMPUTED_VALUE"""),5339.0)</f>
        <v>5339</v>
      </c>
      <c r="G16463" s="4">
        <f>IFERROR(__xludf.DUMMYFUNCTION("""COMPUTED_VALUE"""),19.0)</f>
        <v>19</v>
      </c>
      <c r="H16463" s="4"/>
      <c r="I16463" s="4"/>
    </row>
    <row r="16464">
      <c r="A16464" s="4" t="str">
        <f>IFERROR(__xludf.DUMMYFUNCTION("""COMPUTED_VALUE"""),"cas_hmw")</f>
        <v>cas_hmw</v>
      </c>
      <c r="B16464" s="5">
        <f>IFERROR(__xludf.DUMMYFUNCTION("""COMPUTED_VALUE"""),44735.0)</f>
        <v>44735</v>
      </c>
      <c r="C16464" s="6">
        <f>IFERROR(__xludf.DUMMYFUNCTION("""COMPUTED_VALUE"""),0.723773148147302)</f>
        <v>0.7237731481</v>
      </c>
      <c r="D16464" s="4">
        <f>IFERROR(__xludf.DUMMYFUNCTION("""COMPUTED_VALUE"""),13.00797)</f>
        <v>13.00797</v>
      </c>
      <c r="E16464" s="4">
        <f>IFERROR(__xludf.DUMMYFUNCTION("""COMPUTED_VALUE"""),80.208004)</f>
        <v>80.208004</v>
      </c>
      <c r="F16464" s="4">
        <f>IFERROR(__xludf.DUMMYFUNCTION("""COMPUTED_VALUE"""),5339.0)</f>
        <v>5339</v>
      </c>
      <c r="G16464" s="4">
        <f>IFERROR(__xludf.DUMMYFUNCTION("""COMPUTED_VALUE"""),19.0)</f>
        <v>19</v>
      </c>
      <c r="H16464" s="4"/>
      <c r="I16464" s="4"/>
    </row>
    <row r="16465">
      <c r="A16465" s="4" t="str">
        <f>IFERROR(__xludf.DUMMYFUNCTION("""COMPUTED_VALUE"""),"cas_hmw")</f>
        <v>cas_hmw</v>
      </c>
      <c r="B16465" s="5">
        <f>IFERROR(__xludf.DUMMYFUNCTION("""COMPUTED_VALUE"""),44735.0)</f>
        <v>44735</v>
      </c>
      <c r="C16465" s="6">
        <f>IFERROR(__xludf.DUMMYFUNCTION("""COMPUTED_VALUE"""),0.723912037035916)</f>
        <v>0.723912037</v>
      </c>
      <c r="D16465" s="4">
        <f>IFERROR(__xludf.DUMMYFUNCTION("""COMPUTED_VALUE"""),13.00592)</f>
        <v>13.00592</v>
      </c>
      <c r="E16465" s="4">
        <f>IFERROR(__xludf.DUMMYFUNCTION("""COMPUTED_VALUE"""),80.202334)</f>
        <v>80.202334</v>
      </c>
      <c r="F16465" s="4">
        <f>IFERROR(__xludf.DUMMYFUNCTION("""COMPUTED_VALUE"""),805.0)</f>
        <v>805</v>
      </c>
      <c r="G16465" s="4">
        <f>IFERROR(__xludf.DUMMYFUNCTION("""COMPUTED_VALUE"""),43.0)</f>
        <v>43</v>
      </c>
      <c r="H16465" s="4"/>
      <c r="I16465" s="4"/>
    </row>
    <row r="16466">
      <c r="A16466" s="4" t="str">
        <f>IFERROR(__xludf.DUMMYFUNCTION("""COMPUTED_VALUE"""),"cas_hmw")</f>
        <v>cas_hmw</v>
      </c>
      <c r="B16466" s="5">
        <f>IFERROR(__xludf.DUMMYFUNCTION("""COMPUTED_VALUE"""),44735.0)</f>
        <v>44735</v>
      </c>
      <c r="C16466" s="6">
        <f>IFERROR(__xludf.DUMMYFUNCTION("""COMPUTED_VALUE"""),0.7239699074089003)</f>
        <v>0.7239699074</v>
      </c>
      <c r="D16466" s="4">
        <f>IFERROR(__xludf.DUMMYFUNCTION("""COMPUTED_VALUE"""),13.007138)</f>
        <v>13.007138</v>
      </c>
      <c r="E16466" s="4">
        <f>IFERROR(__xludf.DUMMYFUNCTION("""COMPUTED_VALUE"""),80.203494)</f>
        <v>80.203494</v>
      </c>
      <c r="F16466" s="4">
        <f>IFERROR(__xludf.DUMMYFUNCTION("""COMPUTED_VALUE"""),805.0)</f>
        <v>805</v>
      </c>
      <c r="G16466" s="4">
        <f>IFERROR(__xludf.DUMMYFUNCTION("""COMPUTED_VALUE"""),37.0)</f>
        <v>37</v>
      </c>
      <c r="H16466" s="4"/>
      <c r="I16466" s="4"/>
    </row>
    <row r="16467">
      <c r="A16467" s="4" t="str">
        <f>IFERROR(__xludf.DUMMYFUNCTION("""COMPUTED_VALUE"""),"cas_hmw")</f>
        <v>cas_hmw</v>
      </c>
      <c r="B16467" s="5">
        <f>IFERROR(__xludf.DUMMYFUNCTION("""COMPUTED_VALUE"""),44735.0)</f>
        <v>44735</v>
      </c>
      <c r="C16467" s="6">
        <f>IFERROR(__xludf.DUMMYFUNCTION("""COMPUTED_VALUE"""),0.7240277777782467)</f>
        <v>0.7240277778</v>
      </c>
      <c r="D16467" s="4">
        <f>IFERROR(__xludf.DUMMYFUNCTION("""COMPUTED_VALUE"""),13.007138)</f>
        <v>13.007138</v>
      </c>
      <c r="E16467" s="4">
        <f>IFERROR(__xludf.DUMMYFUNCTION("""COMPUTED_VALUE"""),80.203494)</f>
        <v>80.203494</v>
      </c>
      <c r="F16467" s="4">
        <f>IFERROR(__xludf.DUMMYFUNCTION("""COMPUTED_VALUE"""),805.0)</f>
        <v>805</v>
      </c>
      <c r="G16467" s="4">
        <f>IFERROR(__xludf.DUMMYFUNCTION("""COMPUTED_VALUE"""),37.0)</f>
        <v>37</v>
      </c>
      <c r="H16467" s="4"/>
      <c r="I16467" s="4"/>
    </row>
    <row r="16468">
      <c r="A16468" s="4" t="str">
        <f>IFERROR(__xludf.DUMMYFUNCTION("""COMPUTED_VALUE"""),"cas_hmw")</f>
        <v>cas_hmw</v>
      </c>
      <c r="B16468" s="5">
        <f>IFERROR(__xludf.DUMMYFUNCTION("""COMPUTED_VALUE"""),44735.0)</f>
        <v>44735</v>
      </c>
      <c r="C16468" s="6">
        <f>IFERROR(__xludf.DUMMYFUNCTION("""COMPUTED_VALUE"""),0.7243055555554747)</f>
        <v>0.7243055556</v>
      </c>
      <c r="D16468" s="4">
        <f>IFERROR(__xludf.DUMMYFUNCTION("""COMPUTED_VALUE"""),13.00766)</f>
        <v>13.00766</v>
      </c>
      <c r="E16468" s="4">
        <f>IFERROR(__xludf.DUMMYFUNCTION("""COMPUTED_VALUE"""),80.202921)</f>
        <v>80.202921</v>
      </c>
      <c r="F16468" s="4">
        <f>IFERROR(__xludf.DUMMYFUNCTION("""COMPUTED_VALUE"""),805.0)</f>
        <v>805</v>
      </c>
      <c r="G16468" s="4">
        <f>IFERROR(__xludf.DUMMYFUNCTION("""COMPUTED_VALUE"""),37.0)</f>
        <v>37</v>
      </c>
      <c r="H16468" s="4"/>
      <c r="I16468" s="4"/>
    </row>
    <row r="16469">
      <c r="A16469" s="4" t="str">
        <f>IFERROR(__xludf.DUMMYFUNCTION("""COMPUTED_VALUE"""),"cas_hmw")</f>
        <v>cas_hmw</v>
      </c>
      <c r="B16469" s="5">
        <f>IFERROR(__xludf.DUMMYFUNCTION("""COMPUTED_VALUE"""),44735.0)</f>
        <v>44735</v>
      </c>
      <c r="C16469" s="6">
        <f>IFERROR(__xludf.DUMMYFUNCTION("""COMPUTED_VALUE"""),0.7243055555554747)</f>
        <v>0.7243055556</v>
      </c>
      <c r="D16469" s="4">
        <f>IFERROR(__xludf.DUMMYFUNCTION("""COMPUTED_VALUE"""),13.009104)</f>
        <v>13.009104</v>
      </c>
      <c r="E16469" s="4">
        <f>IFERROR(__xludf.DUMMYFUNCTION("""COMPUTED_VALUE"""),80.212037)</f>
        <v>80.212037</v>
      </c>
      <c r="F16469" s="4">
        <f>IFERROR(__xludf.DUMMYFUNCTION("""COMPUTED_VALUE"""),5339.0)</f>
        <v>5339</v>
      </c>
      <c r="G16469" s="4">
        <f>IFERROR(__xludf.DUMMYFUNCTION("""COMPUTED_VALUE"""),31.0)</f>
        <v>31</v>
      </c>
      <c r="H16469" s="4"/>
      <c r="I16469" s="4"/>
    </row>
    <row r="16470">
      <c r="A16470" s="4" t="str">
        <f>IFERROR(__xludf.DUMMYFUNCTION("""COMPUTED_VALUE"""),"cas_hmw")</f>
        <v>cas_hmw</v>
      </c>
      <c r="B16470" s="5">
        <f>IFERROR(__xludf.DUMMYFUNCTION("""COMPUTED_VALUE"""),44735.0)</f>
        <v>44735</v>
      </c>
      <c r="C16470" s="6">
        <f>IFERROR(__xludf.DUMMYFUNCTION("""COMPUTED_VALUE"""),0.7244907407402934)</f>
        <v>0.7244907407</v>
      </c>
      <c r="D16470" s="4">
        <f>IFERROR(__xludf.DUMMYFUNCTION("""COMPUTED_VALUE"""),13.007645)</f>
        <v>13.007645</v>
      </c>
      <c r="E16470" s="4">
        <f>IFERROR(__xludf.DUMMYFUNCTION("""COMPUTED_VALUE"""),80.204606)</f>
        <v>80.204606</v>
      </c>
      <c r="F16470" s="4">
        <f>IFERROR(__xludf.DUMMYFUNCTION("""COMPUTED_VALUE"""),805.0)</f>
        <v>805</v>
      </c>
      <c r="G16470" s="4">
        <f>IFERROR(__xludf.DUMMYFUNCTION("""COMPUTED_VALUE"""),44.0)</f>
        <v>44</v>
      </c>
      <c r="H16470" s="4"/>
      <c r="I16470" s="4"/>
    </row>
    <row r="16471">
      <c r="A16471" s="4" t="str">
        <f>IFERROR(__xludf.DUMMYFUNCTION("""COMPUTED_VALUE"""),"cas_hmw")</f>
        <v>cas_hmw</v>
      </c>
      <c r="B16471" s="5">
        <f>IFERROR(__xludf.DUMMYFUNCTION("""COMPUTED_VALUE"""),44735.0)</f>
        <v>44735</v>
      </c>
      <c r="C16471" s="6">
        <f>IFERROR(__xludf.DUMMYFUNCTION("""COMPUTED_VALUE"""),0.7247685185175214)</f>
        <v>0.7247685185</v>
      </c>
      <c r="D16471" s="4">
        <f>IFERROR(__xludf.DUMMYFUNCTION("""COMPUTED_VALUE"""),13.007753)</f>
        <v>13.007753</v>
      </c>
      <c r="E16471" s="4">
        <f>IFERROR(__xludf.DUMMYFUNCTION("""COMPUTED_VALUE"""),80.206501)</f>
        <v>80.206501</v>
      </c>
      <c r="F16471" s="4">
        <f>IFERROR(__xludf.DUMMYFUNCTION("""COMPUTED_VALUE"""),805.0)</f>
        <v>805</v>
      </c>
      <c r="G16471" s="4">
        <f>IFERROR(__xludf.DUMMYFUNCTION("""COMPUTED_VALUE"""),46.0)</f>
        <v>46</v>
      </c>
      <c r="H16471" s="4"/>
      <c r="I16471" s="4"/>
    </row>
    <row r="16472">
      <c r="A16472" s="4" t="str">
        <f>IFERROR(__xludf.DUMMYFUNCTION("""COMPUTED_VALUE"""),"cas_hmw")</f>
        <v>cas_hmw</v>
      </c>
      <c r="B16472" s="5">
        <f>IFERROR(__xludf.DUMMYFUNCTION("""COMPUTED_VALUE"""),44735.0)</f>
        <v>44735</v>
      </c>
      <c r="C16472" s="6">
        <f>IFERROR(__xludf.DUMMYFUNCTION("""COMPUTED_VALUE"""),0.726736111111677)</f>
        <v>0.7267361111</v>
      </c>
      <c r="D16472" s="4">
        <f>IFERROR(__xludf.DUMMYFUNCTION("""COMPUTED_VALUE"""),13.011206)</f>
        <v>13.011206</v>
      </c>
      <c r="E16472" s="4">
        <f>IFERROR(__xludf.DUMMYFUNCTION("""COMPUTED_VALUE"""),80.217652)</f>
        <v>80.217652</v>
      </c>
      <c r="F16472" s="4">
        <f>IFERROR(__xludf.DUMMYFUNCTION("""COMPUTED_VALUE"""),805.0)</f>
        <v>805</v>
      </c>
      <c r="G16472" s="4">
        <f>IFERROR(__xludf.DUMMYFUNCTION("""COMPUTED_VALUE"""),13.0)</f>
        <v>13</v>
      </c>
      <c r="H16472" s="4"/>
      <c r="I16472" s="4"/>
    </row>
    <row r="16473">
      <c r="A16473" s="4" t="str">
        <f>IFERROR(__xludf.DUMMYFUNCTION("""COMPUTED_VALUE"""),"cas_hmw")</f>
        <v>cas_hmw</v>
      </c>
      <c r="B16473" s="5">
        <f>IFERROR(__xludf.DUMMYFUNCTION("""COMPUTED_VALUE"""),44735.0)</f>
        <v>44735</v>
      </c>
      <c r="C16473" s="6">
        <f>IFERROR(__xludf.DUMMYFUNCTION("""COMPUTED_VALUE"""),0.7270833333350311)</f>
        <v>0.7270833333</v>
      </c>
      <c r="D16473" s="4">
        <f>IFERROR(__xludf.DUMMYFUNCTION("""COMPUTED_VALUE"""),13.013003)</f>
        <v>13.013003</v>
      </c>
      <c r="E16473" s="4">
        <f>IFERROR(__xludf.DUMMYFUNCTION("""COMPUTED_VALUE"""),80.222092)</f>
        <v>80.222092</v>
      </c>
      <c r="F16473" s="4">
        <f>IFERROR(__xludf.DUMMYFUNCTION("""COMPUTED_VALUE"""),5339.0)</f>
        <v>5339</v>
      </c>
      <c r="G16473" s="4">
        <f>IFERROR(__xludf.DUMMYFUNCTION("""COMPUTED_VALUE"""),22.0)</f>
        <v>22</v>
      </c>
      <c r="H16473" s="4"/>
      <c r="I16473" s="4"/>
    </row>
    <row r="16474">
      <c r="A16474" s="4" t="str">
        <f>IFERROR(__xludf.DUMMYFUNCTION("""COMPUTED_VALUE"""),"cas_hmw")</f>
        <v>cas_hmw</v>
      </c>
      <c r="B16474" s="5">
        <f>IFERROR(__xludf.DUMMYFUNCTION("""COMPUTED_VALUE"""),44735.0)</f>
        <v>44735</v>
      </c>
      <c r="C16474" s="6">
        <f>IFERROR(__xludf.DUMMYFUNCTION("""COMPUTED_VALUE"""),0.7271527777775191)</f>
        <v>0.7271527778</v>
      </c>
      <c r="D16474" s="4">
        <f>IFERROR(__xludf.DUMMYFUNCTION("""COMPUTED_VALUE"""),13.01168)</f>
        <v>13.01168</v>
      </c>
      <c r="E16474" s="4">
        <f>IFERROR(__xludf.DUMMYFUNCTION("""COMPUTED_VALUE"""),80.219039)</f>
        <v>80.219039</v>
      </c>
      <c r="F16474" s="4">
        <f>IFERROR(__xludf.DUMMYFUNCTION("""COMPUTED_VALUE"""),805.0)</f>
        <v>805</v>
      </c>
      <c r="G16474" s="4">
        <f>IFERROR(__xludf.DUMMYFUNCTION("""COMPUTED_VALUE"""),36.0)</f>
        <v>36</v>
      </c>
      <c r="H16474" s="4"/>
      <c r="I16474" s="4"/>
    </row>
    <row r="16475">
      <c r="A16475" s="4" t="str">
        <f>IFERROR(__xludf.DUMMYFUNCTION("""COMPUTED_VALUE"""),"cas_hmw")</f>
        <v>cas_hmw</v>
      </c>
      <c r="B16475" s="5">
        <f>IFERROR(__xludf.DUMMYFUNCTION("""COMPUTED_VALUE"""),44735.0)</f>
        <v>44735</v>
      </c>
      <c r="C16475" s="6">
        <f>IFERROR(__xludf.DUMMYFUNCTION("""COMPUTED_VALUE"""),0.7272800925929914)</f>
        <v>0.7272800926</v>
      </c>
      <c r="D16475" s="4">
        <f>IFERROR(__xludf.DUMMYFUNCTION("""COMPUTED_VALUE"""),13.01168)</f>
        <v>13.01168</v>
      </c>
      <c r="E16475" s="4">
        <f>IFERROR(__xludf.DUMMYFUNCTION("""COMPUTED_VALUE"""),80.219039)</f>
        <v>80.219039</v>
      </c>
      <c r="F16475" s="4">
        <f>IFERROR(__xludf.DUMMYFUNCTION("""COMPUTED_VALUE"""),805.0)</f>
        <v>805</v>
      </c>
      <c r="G16475" s="4">
        <f>IFERROR(__xludf.DUMMYFUNCTION("""COMPUTED_VALUE"""),36.0)</f>
        <v>36</v>
      </c>
      <c r="H16475" s="4"/>
      <c r="I16475" s="4"/>
    </row>
    <row r="16476">
      <c r="A16476" s="4" t="str">
        <f>IFERROR(__xludf.DUMMYFUNCTION("""COMPUTED_VALUE"""),"cas_hmw")</f>
        <v>cas_hmw</v>
      </c>
      <c r="B16476" s="5">
        <f>IFERROR(__xludf.DUMMYFUNCTION("""COMPUTED_VALUE"""),44735.0)</f>
        <v>44735</v>
      </c>
      <c r="C16476" s="6">
        <f>IFERROR(__xludf.DUMMYFUNCTION("""COMPUTED_VALUE"""),0.7274652777778101)</f>
        <v>0.7274652778</v>
      </c>
      <c r="D16476" s="4">
        <f>IFERROR(__xludf.DUMMYFUNCTION("""COMPUTED_VALUE"""),13.014516)</f>
        <v>13.014516</v>
      </c>
      <c r="E16476" s="4">
        <f>IFERROR(__xludf.DUMMYFUNCTION("""COMPUTED_VALUE"""),80.223904)</f>
        <v>80.223904</v>
      </c>
      <c r="F16476" s="4">
        <f>IFERROR(__xludf.DUMMYFUNCTION("""COMPUTED_VALUE"""),5339.0)</f>
        <v>5339</v>
      </c>
      <c r="G16476" s="4">
        <f>IFERROR(__xludf.DUMMYFUNCTION("""COMPUTED_VALUE"""),32.0)</f>
        <v>32</v>
      </c>
      <c r="H16476" s="4"/>
      <c r="I16476" s="4"/>
    </row>
    <row r="16477">
      <c r="A16477" s="4" t="str">
        <f>IFERROR(__xludf.DUMMYFUNCTION("""COMPUTED_VALUE"""),"cas_hmw")</f>
        <v>cas_hmw</v>
      </c>
      <c r="B16477" s="5">
        <f>IFERROR(__xludf.DUMMYFUNCTION("""COMPUTED_VALUE"""),44735.0)</f>
        <v>44735</v>
      </c>
      <c r="C16477" s="6">
        <f>IFERROR(__xludf.DUMMYFUNCTION("""COMPUTED_VALUE"""),0.7276620370357705)</f>
        <v>0.727662037</v>
      </c>
      <c r="D16477" s="4">
        <f>IFERROR(__xludf.DUMMYFUNCTION("""COMPUTED_VALUE"""),13.018803)</f>
        <v>13.018803</v>
      </c>
      <c r="E16477" s="4">
        <f>IFERROR(__xludf.DUMMYFUNCTION("""COMPUTED_VALUE"""),80.224385)</f>
        <v>80.224385</v>
      </c>
      <c r="F16477" s="4">
        <f>IFERROR(__xludf.DUMMYFUNCTION("""COMPUTED_VALUE"""),5339.0)</f>
        <v>5339</v>
      </c>
      <c r="G16477" s="4">
        <f>IFERROR(__xludf.DUMMYFUNCTION("""COMPUTED_VALUE"""),32.0)</f>
        <v>32</v>
      </c>
      <c r="H16477" s="4"/>
      <c r="I16477" s="4"/>
    </row>
    <row r="16478">
      <c r="A16478" s="4" t="str">
        <f>IFERROR(__xludf.DUMMYFUNCTION("""COMPUTED_VALUE"""),"cas_hmw")</f>
        <v>cas_hmw</v>
      </c>
      <c r="B16478" s="5">
        <f>IFERROR(__xludf.DUMMYFUNCTION("""COMPUTED_VALUE"""),44735.0)</f>
        <v>44735</v>
      </c>
      <c r="C16478" s="6">
        <f>IFERROR(__xludf.DUMMYFUNCTION("""COMPUTED_VALUE"""),0.7276851851856918)</f>
        <v>0.7276851852</v>
      </c>
      <c r="D16478" s="4">
        <f>IFERROR(__xludf.DUMMYFUNCTION("""COMPUTED_VALUE"""),13.018803)</f>
        <v>13.018803</v>
      </c>
      <c r="E16478" s="4">
        <f>IFERROR(__xludf.DUMMYFUNCTION("""COMPUTED_VALUE"""),80.224385)</f>
        <v>80.224385</v>
      </c>
      <c r="F16478" s="4">
        <f>IFERROR(__xludf.DUMMYFUNCTION("""COMPUTED_VALUE"""),5339.0)</f>
        <v>5339</v>
      </c>
      <c r="G16478" s="4">
        <f>IFERROR(__xludf.DUMMYFUNCTION("""COMPUTED_VALUE"""),32.0)</f>
        <v>32</v>
      </c>
      <c r="H16478" s="4"/>
      <c r="I16478" s="4"/>
    </row>
    <row r="16479">
      <c r="A16479" s="4" t="str">
        <f>IFERROR(__xludf.DUMMYFUNCTION("""COMPUTED_VALUE"""),"cas_hmw")</f>
        <v>cas_hmw</v>
      </c>
      <c r="B16479" s="5">
        <f>IFERROR(__xludf.DUMMYFUNCTION("""COMPUTED_VALUE"""),44735.0)</f>
        <v>44735</v>
      </c>
      <c r="C16479" s="6">
        <f>IFERROR(__xludf.DUMMYFUNCTION("""COMPUTED_VALUE"""),0.7277083333319752)</f>
        <v>0.7277083333</v>
      </c>
      <c r="D16479" s="4">
        <f>IFERROR(__xludf.DUMMYFUNCTION("""COMPUTED_VALUE"""),13.018803)</f>
        <v>13.018803</v>
      </c>
      <c r="E16479" s="4">
        <f>IFERROR(__xludf.DUMMYFUNCTION("""COMPUTED_VALUE"""),80.224385)</f>
        <v>80.224385</v>
      </c>
      <c r="F16479" s="4">
        <f>IFERROR(__xludf.DUMMYFUNCTION("""COMPUTED_VALUE"""),5339.0)</f>
        <v>5339</v>
      </c>
      <c r="G16479" s="4">
        <f>IFERROR(__xludf.DUMMYFUNCTION("""COMPUTED_VALUE"""),32.0)</f>
        <v>32</v>
      </c>
      <c r="H16479" s="4"/>
      <c r="I16479" s="4"/>
    </row>
    <row r="16480">
      <c r="A16480" s="4" t="str">
        <f>IFERROR(__xludf.DUMMYFUNCTION("""COMPUTED_VALUE"""),"cas_hmw")</f>
        <v>cas_hmw</v>
      </c>
      <c r="B16480" s="5">
        <f>IFERROR(__xludf.DUMMYFUNCTION("""COMPUTED_VALUE"""),44735.0)</f>
        <v>44735</v>
      </c>
      <c r="C16480" s="6">
        <f>IFERROR(__xludf.DUMMYFUNCTION("""COMPUTED_VALUE"""),0.7277199074087548)</f>
        <v>0.7277199074</v>
      </c>
      <c r="D16480" s="4">
        <f>IFERROR(__xludf.DUMMYFUNCTION("""COMPUTED_VALUE"""),13.018803)</f>
        <v>13.018803</v>
      </c>
      <c r="E16480" s="4">
        <f>IFERROR(__xludf.DUMMYFUNCTION("""COMPUTED_VALUE"""),80.224385)</f>
        <v>80.224385</v>
      </c>
      <c r="F16480" s="4">
        <f>IFERROR(__xludf.DUMMYFUNCTION("""COMPUTED_VALUE"""),5339.0)</f>
        <v>5339</v>
      </c>
      <c r="G16480" s="4">
        <f>IFERROR(__xludf.DUMMYFUNCTION("""COMPUTED_VALUE"""),32.0)</f>
        <v>32</v>
      </c>
      <c r="H16480" s="4"/>
      <c r="I16480" s="4"/>
    </row>
    <row r="16481">
      <c r="A16481" s="4" t="str">
        <f>IFERROR(__xludf.DUMMYFUNCTION("""COMPUTED_VALUE"""),"cas_hmw")</f>
        <v>cas_hmw</v>
      </c>
      <c r="B16481" s="5">
        <f>IFERROR(__xludf.DUMMYFUNCTION("""COMPUTED_VALUE"""),44735.0)</f>
        <v>44735</v>
      </c>
      <c r="C16481" s="6">
        <f>IFERROR(__xludf.DUMMYFUNCTION("""COMPUTED_VALUE"""),0.7283333333325572)</f>
        <v>0.7283333333</v>
      </c>
      <c r="D16481" s="4">
        <f>IFERROR(__xludf.DUMMYFUNCTION("""COMPUTED_VALUE"""),13.021808)</f>
        <v>13.021808</v>
      </c>
      <c r="E16481" s="4">
        <f>IFERROR(__xludf.DUMMYFUNCTION("""COMPUTED_VALUE"""),80.22603)</f>
        <v>80.22603</v>
      </c>
      <c r="F16481" s="4">
        <f>IFERROR(__xludf.DUMMYFUNCTION("""COMPUTED_VALUE"""),5339.0)</f>
        <v>5339</v>
      </c>
      <c r="G16481" s="4">
        <f>IFERROR(__xludf.DUMMYFUNCTION("""COMPUTED_VALUE"""),36.0)</f>
        <v>36</v>
      </c>
      <c r="H16481" s="4"/>
      <c r="I16481" s="4"/>
    </row>
    <row r="16482">
      <c r="A16482" s="4" t="str">
        <f>IFERROR(__xludf.DUMMYFUNCTION("""COMPUTED_VALUE"""),"cas_hmw")</f>
        <v>cas_hmw</v>
      </c>
      <c r="B16482" s="5">
        <f>IFERROR(__xludf.DUMMYFUNCTION("""COMPUTED_VALUE"""),44735.0)</f>
        <v>44735</v>
      </c>
      <c r="C16482" s="6">
        <f>IFERROR(__xludf.DUMMYFUNCTION("""COMPUTED_VALUE"""),0.7283449074056989)</f>
        <v>0.7283449074</v>
      </c>
      <c r="D16482" s="4">
        <f>IFERROR(__xludf.DUMMYFUNCTION("""COMPUTED_VALUE"""),13.015215)</f>
        <v>13.015215</v>
      </c>
      <c r="E16482" s="4">
        <f>IFERROR(__xludf.DUMMYFUNCTION("""COMPUTED_VALUE"""),80.224817)</f>
        <v>80.224817</v>
      </c>
      <c r="F16482" s="4">
        <f>IFERROR(__xludf.DUMMYFUNCTION("""COMPUTED_VALUE"""),805.0)</f>
        <v>805</v>
      </c>
      <c r="G16482" s="4">
        <f>IFERROR(__xludf.DUMMYFUNCTION("""COMPUTED_VALUE"""),20.0)</f>
        <v>20</v>
      </c>
      <c r="H16482" s="4"/>
      <c r="I16482" s="4"/>
    </row>
    <row r="16483">
      <c r="A16483" s="4" t="str">
        <f>IFERROR(__xludf.DUMMYFUNCTION("""COMPUTED_VALUE"""),"cas_hmw")</f>
        <v>cas_hmw</v>
      </c>
      <c r="B16483" s="5">
        <f>IFERROR(__xludf.DUMMYFUNCTION("""COMPUTED_VALUE"""),44735.0)</f>
        <v>44735</v>
      </c>
      <c r="C16483" s="6">
        <f>IFERROR(__xludf.DUMMYFUNCTION("""COMPUTED_VALUE"""),0.7283449074056989)</f>
        <v>0.7283449074</v>
      </c>
      <c r="D16483" s="4">
        <f>IFERROR(__xludf.DUMMYFUNCTION("""COMPUTED_VALUE"""),13.021808)</f>
        <v>13.021808</v>
      </c>
      <c r="E16483" s="4">
        <f>IFERROR(__xludf.DUMMYFUNCTION("""COMPUTED_VALUE"""),80.22603)</f>
        <v>80.22603</v>
      </c>
      <c r="F16483" s="4">
        <f>IFERROR(__xludf.DUMMYFUNCTION("""COMPUTED_VALUE"""),5339.0)</f>
        <v>5339</v>
      </c>
      <c r="G16483" s="4">
        <f>IFERROR(__xludf.DUMMYFUNCTION("""COMPUTED_VALUE"""),36.0)</f>
        <v>36</v>
      </c>
      <c r="H16483" s="4"/>
      <c r="I16483" s="4"/>
    </row>
    <row r="16484">
      <c r="A16484" s="4" t="str">
        <f>IFERROR(__xludf.DUMMYFUNCTION("""COMPUTED_VALUE"""),"cas_hmw")</f>
        <v>cas_hmw</v>
      </c>
      <c r="B16484" s="5">
        <f>IFERROR(__xludf.DUMMYFUNCTION("""COMPUTED_VALUE"""),44735.0)</f>
        <v>44735</v>
      </c>
      <c r="C16484" s="6">
        <f>IFERROR(__xludf.DUMMYFUNCTION("""COMPUTED_VALUE"""),0.7283564814824786)</f>
        <v>0.7283564815</v>
      </c>
      <c r="D16484" s="4">
        <f>IFERROR(__xludf.DUMMYFUNCTION("""COMPUTED_VALUE"""),13.015215)</f>
        <v>13.015215</v>
      </c>
      <c r="E16484" s="4">
        <f>IFERROR(__xludf.DUMMYFUNCTION("""COMPUTED_VALUE"""),80.224817)</f>
        <v>80.224817</v>
      </c>
      <c r="F16484" s="4">
        <f>IFERROR(__xludf.DUMMYFUNCTION("""COMPUTED_VALUE"""),805.0)</f>
        <v>805</v>
      </c>
      <c r="G16484" s="4">
        <f>IFERROR(__xludf.DUMMYFUNCTION("""COMPUTED_VALUE"""),20.0)</f>
        <v>20</v>
      </c>
      <c r="H16484" s="4"/>
      <c r="I16484" s="4"/>
    </row>
    <row r="16485">
      <c r="A16485" s="4" t="str">
        <f>IFERROR(__xludf.DUMMYFUNCTION("""COMPUTED_VALUE"""),"cas_hmw")</f>
        <v>cas_hmw</v>
      </c>
      <c r="B16485" s="5">
        <f>IFERROR(__xludf.DUMMYFUNCTION("""COMPUTED_VALUE"""),44735.0)</f>
        <v>44735</v>
      </c>
      <c r="C16485" s="6">
        <f>IFERROR(__xludf.DUMMYFUNCTION("""COMPUTED_VALUE"""),0.7284027777786832)</f>
        <v>0.7284027778</v>
      </c>
      <c r="D16485" s="4">
        <f>IFERROR(__xludf.DUMMYFUNCTION("""COMPUTED_VALUE"""),13.015451)</f>
        <v>13.015451</v>
      </c>
      <c r="E16485" s="4">
        <f>IFERROR(__xludf.DUMMYFUNCTION("""COMPUTED_VALUE"""),80.225392)</f>
        <v>80.225392</v>
      </c>
      <c r="F16485" s="4">
        <f>IFERROR(__xludf.DUMMYFUNCTION("""COMPUTED_VALUE"""),805.0)</f>
        <v>805</v>
      </c>
      <c r="G16485" s="4">
        <f>IFERROR(__xludf.DUMMYFUNCTION("""COMPUTED_VALUE"""),15.0)</f>
        <v>15</v>
      </c>
      <c r="H16485" s="4"/>
      <c r="I16485" s="4"/>
    </row>
    <row r="16486">
      <c r="A16486" s="4" t="str">
        <f>IFERROR(__xludf.DUMMYFUNCTION("""COMPUTED_VALUE"""),"cas_hmw")</f>
        <v>cas_hmw</v>
      </c>
      <c r="B16486" s="5">
        <f>IFERROR(__xludf.DUMMYFUNCTION("""COMPUTED_VALUE"""),44735.0)</f>
        <v>44735</v>
      </c>
      <c r="C16486" s="6">
        <f>IFERROR(__xludf.DUMMYFUNCTION("""COMPUTED_VALUE"""),0.7285879629635019)</f>
        <v>0.728587963</v>
      </c>
      <c r="D16486" s="4">
        <f>IFERROR(__xludf.DUMMYFUNCTION("""COMPUTED_VALUE"""),13.015243)</f>
        <v>13.015243</v>
      </c>
      <c r="E16486" s="4">
        <f>IFERROR(__xludf.DUMMYFUNCTION("""COMPUTED_VALUE"""),80.225786)</f>
        <v>80.225786</v>
      </c>
      <c r="F16486" s="4">
        <f>IFERROR(__xludf.DUMMYFUNCTION("""COMPUTED_VALUE"""),805.0)</f>
        <v>805</v>
      </c>
      <c r="G16486" s="4">
        <f>IFERROR(__xludf.DUMMYFUNCTION("""COMPUTED_VALUE"""),0.0)</f>
        <v>0</v>
      </c>
      <c r="H16486" s="4"/>
      <c r="I16486" s="4"/>
    </row>
    <row r="16487">
      <c r="A16487" s="4" t="str">
        <f>IFERROR(__xludf.DUMMYFUNCTION("""COMPUTED_VALUE"""),"cas_hmw")</f>
        <v>cas_hmw</v>
      </c>
      <c r="B16487" s="5">
        <f>IFERROR(__xludf.DUMMYFUNCTION("""COMPUTED_VALUE"""),44735.0)</f>
        <v>44735</v>
      </c>
      <c r="C16487" s="6">
        <f>IFERROR(__xludf.DUMMYFUNCTION("""COMPUTED_VALUE"""),0.7292245370372257)</f>
        <v>0.729224537</v>
      </c>
      <c r="D16487" s="4">
        <f>IFERROR(__xludf.DUMMYFUNCTION("""COMPUTED_VALUE"""),13.024357)</f>
        <v>13.024357</v>
      </c>
      <c r="E16487" s="4">
        <f>IFERROR(__xludf.DUMMYFUNCTION("""COMPUTED_VALUE"""),80.228552)</f>
        <v>80.228552</v>
      </c>
      <c r="F16487" s="4">
        <f>IFERROR(__xludf.DUMMYFUNCTION("""COMPUTED_VALUE"""),5339.0)</f>
        <v>5339</v>
      </c>
      <c r="G16487" s="4">
        <f>IFERROR(__xludf.DUMMYFUNCTION("""COMPUTED_VALUE"""),25.0)</f>
        <v>25</v>
      </c>
      <c r="H16487" s="4"/>
      <c r="I16487" s="4"/>
    </row>
    <row r="16488">
      <c r="A16488" s="4" t="str">
        <f>IFERROR(__xludf.DUMMYFUNCTION("""COMPUTED_VALUE"""),"cas_hmw")</f>
        <v>cas_hmw</v>
      </c>
      <c r="B16488" s="5">
        <f>IFERROR(__xludf.DUMMYFUNCTION("""COMPUTED_VALUE"""),44735.0)</f>
        <v>44735</v>
      </c>
      <c r="C16488" s="6">
        <f>IFERROR(__xludf.DUMMYFUNCTION("""COMPUTED_VALUE"""),0.7292245370372257)</f>
        <v>0.729224537</v>
      </c>
      <c r="D16488" s="4">
        <f>IFERROR(__xludf.DUMMYFUNCTION("""COMPUTED_VALUE"""),13.024357)</f>
        <v>13.024357</v>
      </c>
      <c r="E16488" s="4">
        <f>IFERROR(__xludf.DUMMYFUNCTION("""COMPUTED_VALUE"""),80.228552)</f>
        <v>80.228552</v>
      </c>
      <c r="F16488" s="4">
        <f>IFERROR(__xludf.DUMMYFUNCTION("""COMPUTED_VALUE"""),5339.0)</f>
        <v>5339</v>
      </c>
      <c r="G16488" s="4">
        <f>IFERROR(__xludf.DUMMYFUNCTION("""COMPUTED_VALUE"""),25.0)</f>
        <v>25</v>
      </c>
      <c r="H16488" s="4"/>
      <c r="I16488" s="4"/>
    </row>
    <row r="16489">
      <c r="A16489" s="4" t="str">
        <f>IFERROR(__xludf.DUMMYFUNCTION("""COMPUTED_VALUE"""),"cas_hmw")</f>
        <v>cas_hmw</v>
      </c>
      <c r="B16489" s="5">
        <f>IFERROR(__xludf.DUMMYFUNCTION("""COMPUTED_VALUE"""),44735.0)</f>
        <v>44735</v>
      </c>
      <c r="C16489" s="6">
        <f>IFERROR(__xludf.DUMMYFUNCTION("""COMPUTED_VALUE"""),0.7292361111103673)</f>
        <v>0.7292361111</v>
      </c>
      <c r="D16489" s="4">
        <f>IFERROR(__xludf.DUMMYFUNCTION("""COMPUTED_VALUE"""),13.024357)</f>
        <v>13.024357</v>
      </c>
      <c r="E16489" s="4">
        <f>IFERROR(__xludf.DUMMYFUNCTION("""COMPUTED_VALUE"""),80.228552)</f>
        <v>80.228552</v>
      </c>
      <c r="F16489" s="4">
        <f>IFERROR(__xludf.DUMMYFUNCTION("""COMPUTED_VALUE"""),5339.0)</f>
        <v>5339</v>
      </c>
      <c r="G16489" s="4">
        <f>IFERROR(__xludf.DUMMYFUNCTION("""COMPUTED_VALUE"""),25.0)</f>
        <v>25</v>
      </c>
      <c r="H16489" s="4"/>
      <c r="I16489" s="4"/>
    </row>
    <row r="16490">
      <c r="A16490" s="4" t="str">
        <f>IFERROR(__xludf.DUMMYFUNCTION("""COMPUTED_VALUE"""),"cas_hmw")</f>
        <v>cas_hmw</v>
      </c>
      <c r="B16490" s="5">
        <f>IFERROR(__xludf.DUMMYFUNCTION("""COMPUTED_VALUE"""),44735.0)</f>
        <v>44735</v>
      </c>
      <c r="C16490" s="6">
        <f>IFERROR(__xludf.DUMMYFUNCTION("""COMPUTED_VALUE"""),0.7296990740724141)</f>
        <v>0.7296990741</v>
      </c>
      <c r="D16490" s="4">
        <f>IFERROR(__xludf.DUMMYFUNCTION("""COMPUTED_VALUE"""),12.726498)</f>
        <v>12.726498</v>
      </c>
      <c r="E16490" s="4">
        <f>IFERROR(__xludf.DUMMYFUNCTION("""COMPUTED_VALUE"""),79.982533)</f>
        <v>79.982533</v>
      </c>
      <c r="F16490" s="4">
        <f>IFERROR(__xludf.DUMMYFUNCTION("""COMPUTED_VALUE"""),2846.0)</f>
        <v>2846</v>
      </c>
      <c r="G16490" s="4">
        <f>IFERROR(__xludf.DUMMYFUNCTION("""COMPUTED_VALUE"""),57.0)</f>
        <v>57</v>
      </c>
      <c r="H16490" s="4"/>
      <c r="I16490" s="4"/>
    </row>
    <row r="16491">
      <c r="A16491" s="4" t="str">
        <f>IFERROR(__xludf.DUMMYFUNCTION("""COMPUTED_VALUE"""),"cas_hmw")</f>
        <v>cas_hmw</v>
      </c>
      <c r="B16491" s="5">
        <f>IFERROR(__xludf.DUMMYFUNCTION("""COMPUTED_VALUE"""),44735.0)</f>
        <v>44735</v>
      </c>
      <c r="C16491" s="6">
        <f>IFERROR(__xludf.DUMMYFUNCTION("""COMPUTED_VALUE"""),0.7299305555570754)</f>
        <v>0.7299305556</v>
      </c>
      <c r="D16491" s="4">
        <f>IFERROR(__xludf.DUMMYFUNCTION("""COMPUTED_VALUE"""),13.008302)</f>
        <v>13.008302</v>
      </c>
      <c r="E16491" s="4">
        <f>IFERROR(__xludf.DUMMYFUNCTION("""COMPUTED_VALUE"""),80.232974)</f>
        <v>80.232974</v>
      </c>
      <c r="F16491" s="4">
        <f>IFERROR(__xludf.DUMMYFUNCTION("""COMPUTED_VALUE"""),805.0)</f>
        <v>805</v>
      </c>
      <c r="G16491" s="4">
        <f>IFERROR(__xludf.DUMMYFUNCTION("""COMPUTED_VALUE"""),46.0)</f>
        <v>46</v>
      </c>
      <c r="H16491" s="4"/>
      <c r="I16491" s="4"/>
    </row>
    <row r="16492">
      <c r="A16492" s="4" t="str">
        <f>IFERROR(__xludf.DUMMYFUNCTION("""COMPUTED_VALUE"""),"cas_hmw")</f>
        <v>cas_hmw</v>
      </c>
      <c r="B16492" s="5">
        <f>IFERROR(__xludf.DUMMYFUNCTION("""COMPUTED_VALUE"""),44735.0)</f>
        <v>44735</v>
      </c>
      <c r="C16492" s="6">
        <f>IFERROR(__xludf.DUMMYFUNCTION("""COMPUTED_VALUE"""),0.7310069444429246)</f>
        <v>0.7310069444</v>
      </c>
      <c r="D16492" s="4">
        <f>IFERROR(__xludf.DUMMYFUNCTION("""COMPUTED_VALUE"""),13.026365)</f>
        <v>13.026365</v>
      </c>
      <c r="E16492" s="4">
        <f>IFERROR(__xludf.DUMMYFUNCTION("""COMPUTED_VALUE"""),80.232409)</f>
        <v>80.232409</v>
      </c>
      <c r="F16492" s="4">
        <f>IFERROR(__xludf.DUMMYFUNCTION("""COMPUTED_VALUE"""),5339.0)</f>
        <v>5339</v>
      </c>
      <c r="G16492" s="4">
        <f>IFERROR(__xludf.DUMMYFUNCTION("""COMPUTED_VALUE"""),9.0)</f>
        <v>9</v>
      </c>
      <c r="H16492" s="4"/>
      <c r="I16492" s="4"/>
    </row>
    <row r="16493">
      <c r="A16493" s="4" t="str">
        <f>IFERROR(__xludf.DUMMYFUNCTION("""COMPUTED_VALUE"""),"cas_hmw")</f>
        <v>cas_hmw</v>
      </c>
      <c r="B16493" s="5">
        <f>IFERROR(__xludf.DUMMYFUNCTION("""COMPUTED_VALUE"""),44735.0)</f>
        <v>44735</v>
      </c>
      <c r="C16493" s="6">
        <f>IFERROR(__xludf.DUMMYFUNCTION("""COMPUTED_VALUE"""),0.7310069444429246)</f>
        <v>0.7310069444</v>
      </c>
      <c r="D16493" s="4">
        <f>IFERROR(__xludf.DUMMYFUNCTION("""COMPUTED_VALUE"""),13.026365)</f>
        <v>13.026365</v>
      </c>
      <c r="E16493" s="4">
        <f>IFERROR(__xludf.DUMMYFUNCTION("""COMPUTED_VALUE"""),80.232409)</f>
        <v>80.232409</v>
      </c>
      <c r="F16493" s="4">
        <f>IFERROR(__xludf.DUMMYFUNCTION("""COMPUTED_VALUE"""),5339.0)</f>
        <v>5339</v>
      </c>
      <c r="G16493" s="4">
        <f>IFERROR(__xludf.DUMMYFUNCTION("""COMPUTED_VALUE"""),9.0)</f>
        <v>9</v>
      </c>
      <c r="H16493" s="4"/>
      <c r="I16493" s="4"/>
    </row>
    <row r="16494">
      <c r="A16494" s="4" t="str">
        <f>IFERROR(__xludf.DUMMYFUNCTION("""COMPUTED_VALUE"""),"cas_hmw")</f>
        <v>cas_hmw</v>
      </c>
      <c r="B16494" s="5">
        <f>IFERROR(__xludf.DUMMYFUNCTION("""COMPUTED_VALUE"""),44735.0)</f>
        <v>44735</v>
      </c>
      <c r="C16494" s="6">
        <f>IFERROR(__xludf.DUMMYFUNCTION("""COMPUTED_VALUE"""),0.7310185185197042)</f>
        <v>0.7310185185</v>
      </c>
      <c r="D16494" s="4">
        <f>IFERROR(__xludf.DUMMYFUNCTION("""COMPUTED_VALUE"""),13.026365)</f>
        <v>13.026365</v>
      </c>
      <c r="E16494" s="4">
        <f>IFERROR(__xludf.DUMMYFUNCTION("""COMPUTED_VALUE"""),80.232409)</f>
        <v>80.232409</v>
      </c>
      <c r="F16494" s="4">
        <f>IFERROR(__xludf.DUMMYFUNCTION("""COMPUTED_VALUE"""),5339.0)</f>
        <v>5339</v>
      </c>
      <c r="G16494" s="4">
        <f>IFERROR(__xludf.DUMMYFUNCTION("""COMPUTED_VALUE"""),9.0)</f>
        <v>9</v>
      </c>
      <c r="H16494" s="4"/>
      <c r="I16494" s="4"/>
    </row>
    <row r="16495">
      <c r="A16495" s="4" t="str">
        <f>IFERROR(__xludf.DUMMYFUNCTION("""COMPUTED_VALUE"""),"cas_hmw")</f>
        <v>cas_hmw</v>
      </c>
      <c r="B16495" s="5">
        <f>IFERROR(__xludf.DUMMYFUNCTION("""COMPUTED_VALUE"""),44735.0)</f>
        <v>44735</v>
      </c>
      <c r="C16495" s="6">
        <f>IFERROR(__xludf.DUMMYFUNCTION("""COMPUTED_VALUE"""),0.7310532407391293)</f>
        <v>0.7310532407</v>
      </c>
      <c r="D16495" s="4">
        <f>IFERROR(__xludf.DUMMYFUNCTION("""COMPUTED_VALUE"""),13.02658)</f>
        <v>13.02658</v>
      </c>
      <c r="E16495" s="4">
        <f>IFERROR(__xludf.DUMMYFUNCTION("""COMPUTED_VALUE"""),80.232889)</f>
        <v>80.232889</v>
      </c>
      <c r="F16495" s="4">
        <f>IFERROR(__xludf.DUMMYFUNCTION("""COMPUTED_VALUE"""),5339.0)</f>
        <v>5339</v>
      </c>
      <c r="G16495" s="4">
        <f>IFERROR(__xludf.DUMMYFUNCTION("""COMPUTED_VALUE"""),24.0)</f>
        <v>24</v>
      </c>
      <c r="H16495" s="4"/>
      <c r="I16495" s="4"/>
    </row>
    <row r="16496">
      <c r="A16496" s="4" t="str">
        <f>IFERROR(__xludf.DUMMYFUNCTION("""COMPUTED_VALUE"""),"cas_hmw")</f>
        <v>cas_hmw</v>
      </c>
      <c r="B16496" s="5">
        <f>IFERROR(__xludf.DUMMYFUNCTION("""COMPUTED_VALUE"""),44735.0)</f>
        <v>44735</v>
      </c>
      <c r="C16496" s="6">
        <f>IFERROR(__xludf.DUMMYFUNCTION("""COMPUTED_VALUE"""),0.7310648148159089)</f>
        <v>0.7310648148</v>
      </c>
      <c r="D16496" s="4">
        <f>IFERROR(__xludf.DUMMYFUNCTION("""COMPUTED_VALUE"""),13.007114)</f>
        <v>13.007114</v>
      </c>
      <c r="E16496" s="4">
        <f>IFERROR(__xludf.DUMMYFUNCTION("""COMPUTED_VALUE"""),80.23901)</f>
        <v>80.23901</v>
      </c>
      <c r="F16496" s="4">
        <f>IFERROR(__xludf.DUMMYFUNCTION("""COMPUTED_VALUE"""),805.0)</f>
        <v>805</v>
      </c>
      <c r="G16496" s="4">
        <f>IFERROR(__xludf.DUMMYFUNCTION("""COMPUTED_VALUE"""),18.0)</f>
        <v>18</v>
      </c>
      <c r="H16496" s="4"/>
      <c r="I16496" s="4"/>
    </row>
    <row r="16497">
      <c r="A16497" s="4" t="str">
        <f>IFERROR(__xludf.DUMMYFUNCTION("""COMPUTED_VALUE"""),"cas_hmw")</f>
        <v>cas_hmw</v>
      </c>
      <c r="B16497" s="5">
        <f>IFERROR(__xludf.DUMMYFUNCTION("""COMPUTED_VALUE"""),44735.0)</f>
        <v>44735</v>
      </c>
      <c r="C16497" s="6">
        <f>IFERROR(__xludf.DUMMYFUNCTION("""COMPUTED_VALUE"""),0.7311458333315386)</f>
        <v>0.7311458333</v>
      </c>
      <c r="D16497" s="4">
        <f>IFERROR(__xludf.DUMMYFUNCTION("""COMPUTED_VALUE"""),13.026943)</f>
        <v>13.026943</v>
      </c>
      <c r="E16497" s="4">
        <f>IFERROR(__xludf.DUMMYFUNCTION("""COMPUTED_VALUE"""),80.233522)</f>
        <v>80.233522</v>
      </c>
      <c r="F16497" s="4">
        <f>IFERROR(__xludf.DUMMYFUNCTION("""COMPUTED_VALUE"""),5339.0)</f>
        <v>5339</v>
      </c>
      <c r="G16497" s="4">
        <f>IFERROR(__xludf.DUMMYFUNCTION("""COMPUTED_VALUE"""),30.0)</f>
        <v>30</v>
      </c>
      <c r="H16497" s="4"/>
      <c r="I16497" s="4"/>
    </row>
    <row r="16498">
      <c r="A16498" s="4" t="str">
        <f>IFERROR(__xludf.DUMMYFUNCTION("""COMPUTED_VALUE"""),"cas_hmw")</f>
        <v>cas_hmw</v>
      </c>
      <c r="B16498" s="5">
        <f>IFERROR(__xludf.DUMMYFUNCTION("""COMPUTED_VALUE"""),44735.0)</f>
        <v>44735</v>
      </c>
      <c r="C16498" s="6">
        <f>IFERROR(__xludf.DUMMYFUNCTION("""COMPUTED_VALUE"""),0.7319791666668607)</f>
        <v>0.7319791667</v>
      </c>
      <c r="D16498" s="4">
        <f>IFERROR(__xludf.DUMMYFUNCTION("""COMPUTED_VALUE"""),13.006695)</f>
        <v>13.006695</v>
      </c>
      <c r="E16498" s="4">
        <f>IFERROR(__xludf.DUMMYFUNCTION("""COMPUTED_VALUE"""),80.243545)</f>
        <v>80.243545</v>
      </c>
      <c r="F16498" s="4">
        <f>IFERROR(__xludf.DUMMYFUNCTION("""COMPUTED_VALUE"""),805.0)</f>
        <v>805</v>
      </c>
      <c r="G16498" s="4">
        <f>IFERROR(__xludf.DUMMYFUNCTION("""COMPUTED_VALUE"""),7.0)</f>
        <v>7</v>
      </c>
      <c r="H16498" s="4"/>
      <c r="I16498" s="4"/>
    </row>
    <row r="16499">
      <c r="A16499" s="4" t="str">
        <f>IFERROR(__xludf.DUMMYFUNCTION("""COMPUTED_VALUE"""),"cas_hmw")</f>
        <v>cas_hmw</v>
      </c>
      <c r="B16499" s="5">
        <f>IFERROR(__xludf.DUMMYFUNCTION("""COMPUTED_VALUE"""),44735.0)</f>
        <v>44735</v>
      </c>
      <c r="C16499" s="6">
        <f>IFERROR(__xludf.DUMMYFUNCTION("""COMPUTED_VALUE"""),0.7320254629630654)</f>
        <v>0.732025463</v>
      </c>
      <c r="D16499" s="4">
        <f>IFERROR(__xludf.DUMMYFUNCTION("""COMPUTED_VALUE"""),13.006695)</f>
        <v>13.006695</v>
      </c>
      <c r="E16499" s="4">
        <f>IFERROR(__xludf.DUMMYFUNCTION("""COMPUTED_VALUE"""),80.243545)</f>
        <v>80.243545</v>
      </c>
      <c r="F16499" s="4">
        <f>IFERROR(__xludf.DUMMYFUNCTION("""COMPUTED_VALUE"""),805.0)</f>
        <v>805</v>
      </c>
      <c r="G16499" s="4">
        <f>IFERROR(__xludf.DUMMYFUNCTION("""COMPUTED_VALUE"""),7.0)</f>
        <v>7</v>
      </c>
      <c r="H16499" s="4"/>
      <c r="I16499" s="4"/>
    </row>
    <row r="16500">
      <c r="A16500" s="4" t="str">
        <f>IFERROR(__xludf.DUMMYFUNCTION("""COMPUTED_VALUE"""),"cas_hmw")</f>
        <v>cas_hmw</v>
      </c>
      <c r="B16500" s="5">
        <f>IFERROR(__xludf.DUMMYFUNCTION("""COMPUTED_VALUE"""),44735.0)</f>
        <v>44735</v>
      </c>
      <c r="C16500" s="6">
        <f>IFERROR(__xludf.DUMMYFUNCTION("""COMPUTED_VALUE"""),0.732106481482333)</f>
        <v>0.7321064815</v>
      </c>
      <c r="D16500" s="4">
        <f>IFERROR(__xludf.DUMMYFUNCTION("""COMPUTED_VALUE"""),13.006695)</f>
        <v>13.006695</v>
      </c>
      <c r="E16500" s="4">
        <f>IFERROR(__xludf.DUMMYFUNCTION("""COMPUTED_VALUE"""),80.243545)</f>
        <v>80.243545</v>
      </c>
      <c r="F16500" s="4">
        <f>IFERROR(__xludf.DUMMYFUNCTION("""COMPUTED_VALUE"""),805.0)</f>
        <v>805</v>
      </c>
      <c r="G16500" s="4">
        <f>IFERROR(__xludf.DUMMYFUNCTION("""COMPUTED_VALUE"""),7.0)</f>
        <v>7</v>
      </c>
      <c r="H16500" s="4"/>
      <c r="I16500" s="4"/>
    </row>
    <row r="16501">
      <c r="A16501" s="4" t="str">
        <f>IFERROR(__xludf.DUMMYFUNCTION("""COMPUTED_VALUE"""),"cas_hmw")</f>
        <v>cas_hmw</v>
      </c>
      <c r="B16501" s="5">
        <f>IFERROR(__xludf.DUMMYFUNCTION("""COMPUTED_VALUE"""),44735.0)</f>
        <v>44735</v>
      </c>
      <c r="C16501" s="6">
        <f>IFERROR(__xludf.DUMMYFUNCTION("""COMPUTED_VALUE"""),0.7322685185172304)</f>
        <v>0.7322685185</v>
      </c>
      <c r="D16501" s="4">
        <f>IFERROR(__xludf.DUMMYFUNCTION("""COMPUTED_VALUE"""),13.030118)</f>
        <v>13.030118</v>
      </c>
      <c r="E16501" s="4">
        <f>IFERROR(__xludf.DUMMYFUNCTION("""COMPUTED_VALUE"""),80.23797)</f>
        <v>80.23797</v>
      </c>
      <c r="F16501" s="4">
        <f>IFERROR(__xludf.DUMMYFUNCTION("""COMPUTED_VALUE"""),5339.0)</f>
        <v>5339</v>
      </c>
      <c r="G16501" s="4">
        <f>IFERROR(__xludf.DUMMYFUNCTION("""COMPUTED_VALUE"""),24.0)</f>
        <v>24</v>
      </c>
      <c r="H16501" s="4"/>
      <c r="I16501" s="4"/>
    </row>
    <row r="16502">
      <c r="A16502" s="4" t="str">
        <f>IFERROR(__xludf.DUMMYFUNCTION("""COMPUTED_VALUE"""),"cas_hmw")</f>
        <v>cas_hmw</v>
      </c>
      <c r="B16502" s="5">
        <f>IFERROR(__xludf.DUMMYFUNCTION("""COMPUTED_VALUE"""),44735.0)</f>
        <v>44735</v>
      </c>
      <c r="C16502" s="6">
        <f>IFERROR(__xludf.DUMMYFUNCTION("""COMPUTED_VALUE"""),0.7322685185172304)</f>
        <v>0.7322685185</v>
      </c>
      <c r="D16502" s="4">
        <f>IFERROR(__xludf.DUMMYFUNCTION("""COMPUTED_VALUE"""),13.030118)</f>
        <v>13.030118</v>
      </c>
      <c r="E16502" s="4">
        <f>IFERROR(__xludf.DUMMYFUNCTION("""COMPUTED_VALUE"""),80.23797)</f>
        <v>80.23797</v>
      </c>
      <c r="F16502" s="4">
        <f>IFERROR(__xludf.DUMMYFUNCTION("""COMPUTED_VALUE"""),5339.0)</f>
        <v>5339</v>
      </c>
      <c r="G16502" s="4">
        <f>IFERROR(__xludf.DUMMYFUNCTION("""COMPUTED_VALUE"""),24.0)</f>
        <v>24</v>
      </c>
      <c r="H16502" s="4"/>
      <c r="I16502" s="4"/>
    </row>
    <row r="16503">
      <c r="A16503" s="4" t="str">
        <f>IFERROR(__xludf.DUMMYFUNCTION("""COMPUTED_VALUE"""),"cas_hmw")</f>
        <v>cas_hmw</v>
      </c>
      <c r="B16503" s="5">
        <f>IFERROR(__xludf.DUMMYFUNCTION("""COMPUTED_VALUE"""),44735.0)</f>
        <v>44735</v>
      </c>
      <c r="C16503" s="6">
        <f>IFERROR(__xludf.DUMMYFUNCTION("""COMPUTED_VALUE"""),0.7326273148137261)</f>
        <v>0.7326273148</v>
      </c>
      <c r="D16503" s="4">
        <f>IFERROR(__xludf.DUMMYFUNCTION("""COMPUTED_VALUE"""),13.030118)</f>
        <v>13.030118</v>
      </c>
      <c r="E16503" s="4">
        <f>IFERROR(__xludf.DUMMYFUNCTION("""COMPUTED_VALUE"""),80.23797)</f>
        <v>80.23797</v>
      </c>
      <c r="F16503" s="4">
        <f>IFERROR(__xludf.DUMMYFUNCTION("""COMPUTED_VALUE"""),5339.0)</f>
        <v>5339</v>
      </c>
      <c r="G16503" s="4">
        <f>IFERROR(__xludf.DUMMYFUNCTION("""COMPUTED_VALUE"""),24.0)</f>
        <v>24</v>
      </c>
      <c r="H16503" s="4"/>
      <c r="I16503" s="4"/>
    </row>
    <row r="16504">
      <c r="A16504" s="4" t="str">
        <f>IFERROR(__xludf.DUMMYFUNCTION("""COMPUTED_VALUE"""),"cas_hmw")</f>
        <v>cas_hmw</v>
      </c>
      <c r="B16504" s="5">
        <f>IFERROR(__xludf.DUMMYFUNCTION("""COMPUTED_VALUE"""),44735.0)</f>
        <v>44735</v>
      </c>
      <c r="C16504" s="6">
        <f>IFERROR(__xludf.DUMMYFUNCTION("""COMPUTED_VALUE"""),0.7328703703715291)</f>
        <v>0.7328703704</v>
      </c>
      <c r="D16504" s="4">
        <f>IFERROR(__xludf.DUMMYFUNCTION("""COMPUTED_VALUE"""),13.006785)</f>
        <v>13.006785</v>
      </c>
      <c r="E16504" s="4">
        <f>IFERROR(__xludf.DUMMYFUNCTION("""COMPUTED_VALUE"""),80.247846)</f>
        <v>80.247846</v>
      </c>
      <c r="F16504" s="4">
        <f>IFERROR(__xludf.DUMMYFUNCTION("""COMPUTED_VALUE"""),805.0)</f>
        <v>805</v>
      </c>
      <c r="G16504" s="4">
        <f>IFERROR(__xludf.DUMMYFUNCTION("""COMPUTED_VALUE"""),0.0)</f>
        <v>0</v>
      </c>
      <c r="H16504" s="4"/>
      <c r="I16504" s="4"/>
    </row>
    <row r="16505">
      <c r="A16505" s="4" t="str">
        <f>IFERROR(__xludf.DUMMYFUNCTION("""COMPUTED_VALUE"""),"cas_hmw")</f>
        <v>cas_hmw</v>
      </c>
      <c r="B16505" s="5">
        <f>IFERROR(__xludf.DUMMYFUNCTION("""COMPUTED_VALUE"""),44735.0)</f>
        <v>44735</v>
      </c>
      <c r="C16505" s="6">
        <f>IFERROR(__xludf.DUMMYFUNCTION("""COMPUTED_VALUE"""),0.7334953703721112)</f>
        <v>0.7334953704</v>
      </c>
      <c r="D16505" s="4">
        <f>IFERROR(__xludf.DUMMYFUNCTION("""COMPUTED_VALUE"""),13.006892)</f>
        <v>13.006892</v>
      </c>
      <c r="E16505" s="4">
        <f>IFERROR(__xludf.DUMMYFUNCTION("""COMPUTED_VALUE"""),80.251294)</f>
        <v>80.251294</v>
      </c>
      <c r="F16505" s="4">
        <f>IFERROR(__xludf.DUMMYFUNCTION("""COMPUTED_VALUE"""),805.0)</f>
        <v>805</v>
      </c>
      <c r="G16505" s="4">
        <f>IFERROR(__xludf.DUMMYFUNCTION("""COMPUTED_VALUE"""),16.0)</f>
        <v>16</v>
      </c>
      <c r="H16505" s="4"/>
      <c r="I16505" s="4"/>
    </row>
    <row r="16506">
      <c r="A16506" s="4" t="str">
        <f>IFERROR(__xludf.DUMMYFUNCTION("""COMPUTED_VALUE"""),"cas_hmw")</f>
        <v>cas_hmw</v>
      </c>
      <c r="B16506" s="5">
        <f>IFERROR(__xludf.DUMMYFUNCTION("""COMPUTED_VALUE"""),44735.0)</f>
        <v>44735</v>
      </c>
      <c r="C16506" s="6">
        <f>IFERROR(__xludf.DUMMYFUNCTION("""COMPUTED_VALUE"""),0.7347800925927004)</f>
        <v>0.7347800926</v>
      </c>
      <c r="D16506" s="4">
        <f>IFERROR(__xludf.DUMMYFUNCTION("""COMPUTED_VALUE"""),12.689496)</f>
        <v>12.689496</v>
      </c>
      <c r="E16506" s="4">
        <f>IFERROR(__xludf.DUMMYFUNCTION("""COMPUTED_VALUE"""),79.982338)</f>
        <v>79.982338</v>
      </c>
      <c r="F16506" s="4">
        <f>IFERROR(__xludf.DUMMYFUNCTION("""COMPUTED_VALUE"""),2846.0)</f>
        <v>2846</v>
      </c>
      <c r="G16506" s="4">
        <f>IFERROR(__xludf.DUMMYFUNCTION("""COMPUTED_VALUE"""),33.0)</f>
        <v>33</v>
      </c>
      <c r="H16506" s="4"/>
      <c r="I16506" s="4"/>
    </row>
    <row r="16507">
      <c r="A16507" s="4" t="str">
        <f>IFERROR(__xludf.DUMMYFUNCTION("""COMPUTED_VALUE"""),"cas_hmw")</f>
        <v>cas_hmw</v>
      </c>
      <c r="B16507" s="5">
        <f>IFERROR(__xludf.DUMMYFUNCTION("""COMPUTED_VALUE"""),44735.0)</f>
        <v>44735</v>
      </c>
      <c r="C16507" s="6">
        <f>IFERROR(__xludf.DUMMYFUNCTION("""COMPUTED_VALUE"""),0.7348726851851097)</f>
        <v>0.7348726852</v>
      </c>
      <c r="D16507" s="4">
        <f>IFERROR(__xludf.DUMMYFUNCTION("""COMPUTED_VALUE"""),12.688766)</f>
        <v>12.688766</v>
      </c>
      <c r="E16507" s="4">
        <f>IFERROR(__xludf.DUMMYFUNCTION("""COMPUTED_VALUE"""),79.982573)</f>
        <v>79.982573</v>
      </c>
      <c r="F16507" s="4">
        <f>IFERROR(__xludf.DUMMYFUNCTION("""COMPUTED_VALUE"""),2846.0)</f>
        <v>2846</v>
      </c>
      <c r="G16507" s="4">
        <f>IFERROR(__xludf.DUMMYFUNCTION("""COMPUTED_VALUE"""),29.0)</f>
        <v>29</v>
      </c>
      <c r="H16507" s="4"/>
      <c r="I16507" s="4"/>
    </row>
    <row r="16508">
      <c r="A16508" s="4" t="str">
        <f>IFERROR(__xludf.DUMMYFUNCTION("""COMPUTED_VALUE"""),"cas_hmw")</f>
        <v>cas_hmw</v>
      </c>
      <c r="B16508" s="5">
        <f>IFERROR(__xludf.DUMMYFUNCTION("""COMPUTED_VALUE"""),44735.0)</f>
        <v>44735</v>
      </c>
      <c r="C16508" s="6">
        <f>IFERROR(__xludf.DUMMYFUNCTION("""COMPUTED_VALUE"""),0.7353935185201408)</f>
        <v>0.7353935185</v>
      </c>
      <c r="D16508" s="4">
        <f>IFERROR(__xludf.DUMMYFUNCTION("""COMPUTED_VALUE"""),13.033882)</f>
        <v>13.033882</v>
      </c>
      <c r="E16508" s="4">
        <f>IFERROR(__xludf.DUMMYFUNCTION("""COMPUTED_VALUE"""),80.244345)</f>
        <v>80.244345</v>
      </c>
      <c r="F16508" s="4">
        <f>IFERROR(__xludf.DUMMYFUNCTION("""COMPUTED_VALUE"""),5339.0)</f>
        <v>5339</v>
      </c>
      <c r="G16508" s="4">
        <f>IFERROR(__xludf.DUMMYFUNCTION("""COMPUTED_VALUE"""),37.0)</f>
        <v>37</v>
      </c>
      <c r="H16508" s="4"/>
      <c r="I16508" s="4"/>
    </row>
    <row r="16509">
      <c r="A16509" s="4" t="str">
        <f>IFERROR(__xludf.DUMMYFUNCTION("""COMPUTED_VALUE"""),"cas_hmw")</f>
        <v>cas_hmw</v>
      </c>
      <c r="B16509" s="5">
        <f>IFERROR(__xludf.DUMMYFUNCTION("""COMPUTED_VALUE"""),44735.0)</f>
        <v>44735</v>
      </c>
      <c r="C16509" s="6">
        <f>IFERROR(__xludf.DUMMYFUNCTION("""COMPUTED_VALUE"""),0.7354745370357705)</f>
        <v>0.735474537</v>
      </c>
      <c r="D16509" s="4">
        <f>IFERROR(__xludf.DUMMYFUNCTION("""COMPUTED_VALUE"""),12.686054)</f>
        <v>12.686054</v>
      </c>
      <c r="E16509" s="4">
        <f>IFERROR(__xludf.DUMMYFUNCTION("""COMPUTED_VALUE"""),79.983463)</f>
        <v>79.983463</v>
      </c>
      <c r="F16509" s="4">
        <f>IFERROR(__xludf.DUMMYFUNCTION("""COMPUTED_VALUE"""),2846.0)</f>
        <v>2846</v>
      </c>
      <c r="G16509" s="4">
        <f>IFERROR(__xludf.DUMMYFUNCTION("""COMPUTED_VALUE"""),24.0)</f>
        <v>24</v>
      </c>
      <c r="H16509" s="4"/>
      <c r="I16509" s="4"/>
    </row>
    <row r="16510">
      <c r="A16510" s="4" t="str">
        <f>IFERROR(__xludf.DUMMYFUNCTION("""COMPUTED_VALUE"""),"cas_hmw")</f>
        <v>cas_hmw</v>
      </c>
      <c r="B16510" s="5">
        <f>IFERROR(__xludf.DUMMYFUNCTION("""COMPUTED_VALUE"""),44735.0)</f>
        <v>44735</v>
      </c>
      <c r="C16510" s="6">
        <f>IFERROR(__xludf.DUMMYFUNCTION("""COMPUTED_VALUE"""),0.7357060185167938)</f>
        <v>0.7357060185</v>
      </c>
      <c r="D16510" s="4">
        <f>IFERROR(__xludf.DUMMYFUNCTION("""COMPUTED_VALUE"""),13.008259)</f>
        <v>13.008259</v>
      </c>
      <c r="E16510" s="4">
        <f>IFERROR(__xludf.DUMMYFUNCTION("""COMPUTED_VALUE"""),80.258971)</f>
        <v>80.258971</v>
      </c>
      <c r="F16510" s="4">
        <f>IFERROR(__xludf.DUMMYFUNCTION("""COMPUTED_VALUE"""),805.0)</f>
        <v>805</v>
      </c>
      <c r="G16510" s="4">
        <f>IFERROR(__xludf.DUMMYFUNCTION("""COMPUTED_VALUE"""),25.0)</f>
        <v>25</v>
      </c>
      <c r="H16510" s="4"/>
      <c r="I16510" s="4"/>
    </row>
    <row r="16511">
      <c r="A16511" s="4" t="str">
        <f>IFERROR(__xludf.DUMMYFUNCTION("""COMPUTED_VALUE"""),"cas_hmw")</f>
        <v>cas_hmw</v>
      </c>
      <c r="B16511" s="5">
        <f>IFERROR(__xludf.DUMMYFUNCTION("""COMPUTED_VALUE"""),44735.0)</f>
        <v>44735</v>
      </c>
      <c r="C16511" s="6">
        <f>IFERROR(__xludf.DUMMYFUNCTION("""COMPUTED_VALUE"""),0.7357407407398568)</f>
        <v>0.7357407407</v>
      </c>
      <c r="D16511" s="4">
        <f>IFERROR(__xludf.DUMMYFUNCTION("""COMPUTED_VALUE"""),13.008259)</f>
        <v>13.008259</v>
      </c>
      <c r="E16511" s="4">
        <f>IFERROR(__xludf.DUMMYFUNCTION("""COMPUTED_VALUE"""),80.258971)</f>
        <v>80.258971</v>
      </c>
      <c r="F16511" s="4">
        <f>IFERROR(__xludf.DUMMYFUNCTION("""COMPUTED_VALUE"""),805.0)</f>
        <v>805</v>
      </c>
      <c r="G16511" s="4">
        <f>IFERROR(__xludf.DUMMYFUNCTION("""COMPUTED_VALUE"""),25.0)</f>
        <v>25</v>
      </c>
      <c r="H16511" s="4"/>
      <c r="I16511" s="4"/>
    </row>
    <row r="16512">
      <c r="A16512" s="4" t="str">
        <f>IFERROR(__xludf.DUMMYFUNCTION("""COMPUTED_VALUE"""),"cas_hmw")</f>
        <v>cas_hmw</v>
      </c>
      <c r="B16512" s="5">
        <f>IFERROR(__xludf.DUMMYFUNCTION("""COMPUTED_VALUE"""),44735.0)</f>
        <v>44735</v>
      </c>
      <c r="C16512" s="6">
        <f>IFERROR(__xludf.DUMMYFUNCTION("""COMPUTED_VALUE"""),0.7359375000014552)</f>
        <v>0.7359375</v>
      </c>
      <c r="D16512" s="4">
        <f>IFERROR(__xludf.DUMMYFUNCTION("""COMPUTED_VALUE"""),13.008817)</f>
        <v>13.008817</v>
      </c>
      <c r="E16512" s="4">
        <f>IFERROR(__xludf.DUMMYFUNCTION("""COMPUTED_VALUE"""),80.259069)</f>
        <v>80.259069</v>
      </c>
      <c r="F16512" s="4">
        <f>IFERROR(__xludf.DUMMYFUNCTION("""COMPUTED_VALUE"""),805.0)</f>
        <v>805</v>
      </c>
      <c r="G16512" s="4">
        <f>IFERROR(__xludf.DUMMYFUNCTION("""COMPUTED_VALUE"""),11.0)</f>
        <v>11</v>
      </c>
      <c r="H16512" s="4"/>
      <c r="I16512" s="4"/>
    </row>
    <row r="16513">
      <c r="A16513" s="4" t="str">
        <f>IFERROR(__xludf.DUMMYFUNCTION("""COMPUTED_VALUE"""),"cas_hmw")</f>
        <v>cas_hmw</v>
      </c>
      <c r="B16513" s="5">
        <f>IFERROR(__xludf.DUMMYFUNCTION("""COMPUTED_VALUE"""),44735.0)</f>
        <v>44735</v>
      </c>
      <c r="C16513" s="6">
        <f>IFERROR(__xludf.DUMMYFUNCTION("""COMPUTED_VALUE"""),0.7359722222208802)</f>
        <v>0.7359722222</v>
      </c>
      <c r="D16513" s="4">
        <f>IFERROR(__xludf.DUMMYFUNCTION("""COMPUTED_VALUE"""),13.035586)</f>
        <v>13.035586</v>
      </c>
      <c r="E16513" s="4">
        <f>IFERROR(__xludf.DUMMYFUNCTION("""COMPUTED_VALUE"""),80.24599)</f>
        <v>80.24599</v>
      </c>
      <c r="F16513" s="4">
        <f>IFERROR(__xludf.DUMMYFUNCTION("""COMPUTED_VALUE"""),5339.0)</f>
        <v>5339</v>
      </c>
      <c r="G16513" s="4">
        <f>IFERROR(__xludf.DUMMYFUNCTION("""COMPUTED_VALUE"""),21.0)</f>
        <v>21</v>
      </c>
      <c r="H16513" s="4"/>
      <c r="I16513" s="4"/>
    </row>
    <row r="16514">
      <c r="A16514" s="4" t="str">
        <f>IFERROR(__xludf.DUMMYFUNCTION("""COMPUTED_VALUE"""),"cas_hmw")</f>
        <v>cas_hmw</v>
      </c>
      <c r="B16514" s="5">
        <f>IFERROR(__xludf.DUMMYFUNCTION("""COMPUTED_VALUE"""),44735.0)</f>
        <v>44735</v>
      </c>
      <c r="C16514" s="6">
        <f>IFERROR(__xludf.DUMMYFUNCTION("""COMPUTED_VALUE"""),0.7360532407401479)</f>
        <v>0.7360532407</v>
      </c>
      <c r="D16514" s="4">
        <f>IFERROR(__xludf.DUMMYFUNCTION("""COMPUTED_VALUE"""),13.009468)</f>
        <v>13.009468</v>
      </c>
      <c r="E16514" s="4">
        <f>IFERROR(__xludf.DUMMYFUNCTION("""COMPUTED_VALUE"""),80.259055)</f>
        <v>80.259055</v>
      </c>
      <c r="F16514" s="4">
        <f>IFERROR(__xludf.DUMMYFUNCTION("""COMPUTED_VALUE"""),805.0)</f>
        <v>805</v>
      </c>
      <c r="G16514" s="4">
        <f>IFERROR(__xludf.DUMMYFUNCTION("""COMPUTED_VALUE"""),31.0)</f>
        <v>31</v>
      </c>
      <c r="H16514" s="4"/>
      <c r="I16514" s="4"/>
    </row>
    <row r="16515">
      <c r="A16515" s="4" t="str">
        <f>IFERROR(__xludf.DUMMYFUNCTION("""COMPUTED_VALUE"""),"cas_hmw")</f>
        <v>cas_hmw</v>
      </c>
      <c r="B16515" s="5">
        <f>IFERROR(__xludf.DUMMYFUNCTION("""COMPUTED_VALUE"""),44735.0)</f>
        <v>44735</v>
      </c>
      <c r="C16515" s="6">
        <f>IFERROR(__xludf.DUMMYFUNCTION("""COMPUTED_VALUE"""),0.7361805555556202)</f>
        <v>0.7361805556</v>
      </c>
      <c r="D16515" s="4">
        <f>IFERROR(__xludf.DUMMYFUNCTION("""COMPUTED_VALUE"""),13.009468)</f>
        <v>13.009468</v>
      </c>
      <c r="E16515" s="4">
        <f>IFERROR(__xludf.DUMMYFUNCTION("""COMPUTED_VALUE"""),80.259055)</f>
        <v>80.259055</v>
      </c>
      <c r="F16515" s="4">
        <f>IFERROR(__xludf.DUMMYFUNCTION("""COMPUTED_VALUE"""),805.0)</f>
        <v>805</v>
      </c>
      <c r="G16515" s="4">
        <f>IFERROR(__xludf.DUMMYFUNCTION("""COMPUTED_VALUE"""),31.0)</f>
        <v>31</v>
      </c>
      <c r="H16515" s="4"/>
      <c r="I16515" s="4"/>
    </row>
    <row r="16516">
      <c r="A16516" s="4" t="str">
        <f>IFERROR(__xludf.DUMMYFUNCTION("""COMPUTED_VALUE"""),"cas_hmw")</f>
        <v>cas_hmw</v>
      </c>
      <c r="B16516" s="5">
        <f>IFERROR(__xludf.DUMMYFUNCTION("""COMPUTED_VALUE"""),44735.0)</f>
        <v>44735</v>
      </c>
      <c r="C16516" s="6">
        <f>IFERROR(__xludf.DUMMYFUNCTION("""COMPUTED_VALUE"""),0.739918981482333)</f>
        <v>0.7399189815</v>
      </c>
      <c r="D16516" s="4">
        <f>IFERROR(__xludf.DUMMYFUNCTION("""COMPUTED_VALUE"""),13.042102)</f>
        <v>13.042102</v>
      </c>
      <c r="E16516" s="4">
        <f>IFERROR(__xludf.DUMMYFUNCTION("""COMPUTED_VALUE"""),80.247416)</f>
        <v>80.247416</v>
      </c>
      <c r="F16516" s="4">
        <f>IFERROR(__xludf.DUMMYFUNCTION("""COMPUTED_VALUE"""),5339.0)</f>
        <v>5339</v>
      </c>
      <c r="G16516" s="4">
        <f>IFERROR(__xludf.DUMMYFUNCTION("""COMPUTED_VALUE"""),17.0)</f>
        <v>17</v>
      </c>
      <c r="H16516" s="4"/>
      <c r="I16516" s="4"/>
    </row>
    <row r="16517">
      <c r="A16517" s="4" t="str">
        <f>IFERROR(__xludf.DUMMYFUNCTION("""COMPUTED_VALUE"""),"cas_hmw")</f>
        <v>cas_hmw</v>
      </c>
      <c r="B16517" s="5">
        <f>IFERROR(__xludf.DUMMYFUNCTION("""COMPUTED_VALUE"""),44735.0)</f>
        <v>44735</v>
      </c>
      <c r="C16517" s="6">
        <f>IFERROR(__xludf.DUMMYFUNCTION("""COMPUTED_VALUE"""),0.7418171296303626)</f>
        <v>0.7418171296</v>
      </c>
      <c r="D16517" s="4">
        <f>IFERROR(__xludf.DUMMYFUNCTION("""COMPUTED_VALUE"""),13.051618)</f>
        <v>13.051618</v>
      </c>
      <c r="E16517" s="4">
        <f>IFERROR(__xludf.DUMMYFUNCTION("""COMPUTED_VALUE"""),80.250291)</f>
        <v>80.250291</v>
      </c>
      <c r="F16517" s="4">
        <f>IFERROR(__xludf.DUMMYFUNCTION("""COMPUTED_VALUE"""),5339.0)</f>
        <v>5339</v>
      </c>
      <c r="G16517" s="4">
        <f>IFERROR(__xludf.DUMMYFUNCTION("""COMPUTED_VALUE"""),27.0)</f>
        <v>27</v>
      </c>
      <c r="H16517" s="4"/>
      <c r="I16517" s="4"/>
    </row>
    <row r="16518">
      <c r="A16518" s="4" t="str">
        <f>IFERROR(__xludf.DUMMYFUNCTION("""COMPUTED_VALUE"""),"cas_hmw")</f>
        <v>cas_hmw</v>
      </c>
      <c r="B16518" s="5">
        <f>IFERROR(__xludf.DUMMYFUNCTION("""COMPUTED_VALUE"""),44735.0)</f>
        <v>44735</v>
      </c>
      <c r="C16518" s="6">
        <f>IFERROR(__xludf.DUMMYFUNCTION("""COMPUTED_VALUE"""),0.74239583333474)</f>
        <v>0.7423958333</v>
      </c>
      <c r="D16518" s="4">
        <f>IFERROR(__xludf.DUMMYFUNCTION("""COMPUTED_VALUE"""),13.053955)</f>
        <v>13.053955</v>
      </c>
      <c r="E16518" s="4">
        <f>IFERROR(__xludf.DUMMYFUNCTION("""COMPUTED_VALUE"""),80.253199)</f>
        <v>80.253199</v>
      </c>
      <c r="F16518" s="4">
        <f>IFERROR(__xludf.DUMMYFUNCTION("""COMPUTED_VALUE"""),5339.0)</f>
        <v>5339</v>
      </c>
      <c r="G16518" s="4">
        <f>IFERROR(__xludf.DUMMYFUNCTION("""COMPUTED_VALUE"""),29.0)</f>
        <v>29</v>
      </c>
      <c r="H16518" s="4"/>
      <c r="I16518" s="4"/>
    </row>
    <row r="16519">
      <c r="A16519" s="4" t="str">
        <f>IFERROR(__xludf.DUMMYFUNCTION("""COMPUTED_VALUE"""),"cas_hmw")</f>
        <v>cas_hmw</v>
      </c>
      <c r="B16519" s="5">
        <f>IFERROR(__xludf.DUMMYFUNCTION("""COMPUTED_VALUE"""),44735.0)</f>
        <v>44735</v>
      </c>
      <c r="C16519" s="6">
        <f>IFERROR(__xludf.DUMMYFUNCTION("""COMPUTED_VALUE"""),0.742465277777228)</f>
        <v>0.7424652778</v>
      </c>
      <c r="D16519" s="4">
        <f>IFERROR(__xludf.DUMMYFUNCTION("""COMPUTED_VALUE"""),12.655902)</f>
        <v>12.655902</v>
      </c>
      <c r="E16519" s="4">
        <f>IFERROR(__xludf.DUMMYFUNCTION("""COMPUTED_VALUE"""),79.951663)</f>
        <v>79.951663</v>
      </c>
      <c r="F16519" s="4">
        <f>IFERROR(__xludf.DUMMYFUNCTION("""COMPUTED_VALUE"""),2846.0)</f>
        <v>2846</v>
      </c>
      <c r="G16519" s="4">
        <f>IFERROR(__xludf.DUMMYFUNCTION("""COMPUTED_VALUE"""),42.0)</f>
        <v>42</v>
      </c>
      <c r="H16519" s="4"/>
      <c r="I16519" s="4"/>
    </row>
    <row r="16520">
      <c r="A16520" s="4" t="str">
        <f>IFERROR(__xludf.DUMMYFUNCTION("""COMPUTED_VALUE"""),"cas_hmw")</f>
        <v>cas_hmw</v>
      </c>
      <c r="B16520" s="5">
        <f>IFERROR(__xludf.DUMMYFUNCTION("""COMPUTED_VALUE"""),44735.0)</f>
        <v>44735</v>
      </c>
      <c r="C16520" s="6">
        <f>IFERROR(__xludf.DUMMYFUNCTION("""COMPUTED_VALUE"""),0.742500000000291)</f>
        <v>0.7425</v>
      </c>
      <c r="D16520" s="4">
        <f>IFERROR(__xludf.DUMMYFUNCTION("""COMPUTED_VALUE"""),12.656356)</f>
        <v>12.656356</v>
      </c>
      <c r="E16520" s="4">
        <f>IFERROR(__xludf.DUMMYFUNCTION("""COMPUTED_VALUE"""),79.950081)</f>
        <v>79.950081</v>
      </c>
      <c r="F16520" s="4">
        <f>IFERROR(__xludf.DUMMYFUNCTION("""COMPUTED_VALUE"""),2846.0)</f>
        <v>2846</v>
      </c>
      <c r="G16520" s="4">
        <f>IFERROR(__xludf.DUMMYFUNCTION("""COMPUTED_VALUE"""),26.0)</f>
        <v>26</v>
      </c>
      <c r="H16520" s="4"/>
      <c r="I16520" s="4"/>
    </row>
    <row r="16521">
      <c r="A16521" s="4" t="str">
        <f>IFERROR(__xludf.DUMMYFUNCTION("""COMPUTED_VALUE"""),"cas_hmw")</f>
        <v>cas_hmw</v>
      </c>
      <c r="B16521" s="5">
        <f>IFERROR(__xludf.DUMMYFUNCTION("""COMPUTED_VALUE"""),44735.0)</f>
        <v>44735</v>
      </c>
      <c r="C16521" s="6">
        <f>IFERROR(__xludf.DUMMYFUNCTION("""COMPUTED_VALUE"""),0.7439930555556202)</f>
        <v>0.7439930556</v>
      </c>
      <c r="D16521" s="4">
        <f>IFERROR(__xludf.DUMMYFUNCTION("""COMPUTED_VALUE"""),12.651696)</f>
        <v>12.651696</v>
      </c>
      <c r="E16521" s="4">
        <f>IFERROR(__xludf.DUMMYFUNCTION("""COMPUTED_VALUE"""),79.94197)</f>
        <v>79.94197</v>
      </c>
      <c r="F16521" s="4">
        <f>IFERROR(__xludf.DUMMYFUNCTION("""COMPUTED_VALUE"""),2846.0)</f>
        <v>2846</v>
      </c>
      <c r="G16521" s="4">
        <f>IFERROR(__xludf.DUMMYFUNCTION("""COMPUTED_VALUE"""),47.0)</f>
        <v>47</v>
      </c>
      <c r="H16521" s="4"/>
      <c r="I16521" s="4"/>
    </row>
    <row r="16522">
      <c r="A16522" s="4" t="str">
        <f>IFERROR(__xludf.DUMMYFUNCTION("""COMPUTED_VALUE"""),"cas_hmw")</f>
        <v>cas_hmw</v>
      </c>
      <c r="B16522" s="5">
        <f>IFERROR(__xludf.DUMMYFUNCTION("""COMPUTED_VALUE"""),44735.0)</f>
        <v>44735</v>
      </c>
      <c r="C16522" s="6">
        <f>IFERROR(__xludf.DUMMYFUNCTION("""COMPUTED_VALUE"""),0.7440856481480296)</f>
        <v>0.7440856481</v>
      </c>
      <c r="D16522" s="4">
        <f>IFERROR(__xludf.DUMMYFUNCTION("""COMPUTED_VALUE"""),12.651696)</f>
        <v>12.651696</v>
      </c>
      <c r="E16522" s="4">
        <f>IFERROR(__xludf.DUMMYFUNCTION("""COMPUTED_VALUE"""),79.94197)</f>
        <v>79.94197</v>
      </c>
      <c r="F16522" s="4">
        <f>IFERROR(__xludf.DUMMYFUNCTION("""COMPUTED_VALUE"""),2846.0)</f>
        <v>2846</v>
      </c>
      <c r="G16522" s="4">
        <f>IFERROR(__xludf.DUMMYFUNCTION("""COMPUTED_VALUE"""),47.0)</f>
        <v>47</v>
      </c>
      <c r="H16522" s="4"/>
      <c r="I16522" s="4"/>
    </row>
    <row r="16523">
      <c r="A16523" s="4" t="str">
        <f>IFERROR(__xludf.DUMMYFUNCTION("""COMPUTED_VALUE"""),"cas_hmw")</f>
        <v>cas_hmw</v>
      </c>
      <c r="B16523" s="5">
        <f>IFERROR(__xludf.DUMMYFUNCTION("""COMPUTED_VALUE"""),44735.0)</f>
        <v>44735</v>
      </c>
      <c r="C16523" s="6">
        <f>IFERROR(__xludf.DUMMYFUNCTION("""COMPUTED_VALUE"""),0.744456018517667)</f>
        <v>0.7444560185</v>
      </c>
      <c r="D16523" s="4">
        <f>IFERROR(__xludf.DUMMYFUNCTION("""COMPUTED_VALUE"""),12.649144)</f>
        <v>12.649144</v>
      </c>
      <c r="E16523" s="4">
        <f>IFERROR(__xludf.DUMMYFUNCTION("""COMPUTED_VALUE"""),79.941155)</f>
        <v>79.941155</v>
      </c>
      <c r="F16523" s="4">
        <f>IFERROR(__xludf.DUMMYFUNCTION("""COMPUTED_VALUE"""),2846.0)</f>
        <v>2846</v>
      </c>
      <c r="G16523" s="4">
        <f>IFERROR(__xludf.DUMMYFUNCTION("""COMPUTED_VALUE"""),31.0)</f>
        <v>31</v>
      </c>
      <c r="H16523" s="4"/>
      <c r="I16523" s="4"/>
    </row>
    <row r="16524">
      <c r="A16524" s="4" t="str">
        <f>IFERROR(__xludf.DUMMYFUNCTION("""COMPUTED_VALUE"""),"cas_hmw")</f>
        <v>cas_hmw</v>
      </c>
      <c r="B16524" s="5">
        <f>IFERROR(__xludf.DUMMYFUNCTION("""COMPUTED_VALUE"""),44735.0)</f>
        <v>44735</v>
      </c>
      <c r="C16524" s="6">
        <f>IFERROR(__xludf.DUMMYFUNCTION("""COMPUTED_VALUE"""),0.750347222223354)</f>
        <v>0.7503472222</v>
      </c>
      <c r="D16524" s="4">
        <f>IFERROR(__xludf.DUMMYFUNCTION("""COMPUTED_VALUE"""),12.587459)</f>
        <v>12.587459</v>
      </c>
      <c r="E16524" s="4">
        <f>IFERROR(__xludf.DUMMYFUNCTION("""COMPUTED_VALUE"""),79.919452)</f>
        <v>79.919452</v>
      </c>
      <c r="F16524" s="4">
        <f>IFERROR(__xludf.DUMMYFUNCTION("""COMPUTED_VALUE"""),2846.0)</f>
        <v>2846</v>
      </c>
      <c r="G16524" s="4">
        <f>IFERROR(__xludf.DUMMYFUNCTION("""COMPUTED_VALUE"""),58.0)</f>
        <v>58</v>
      </c>
      <c r="H16524" s="4"/>
      <c r="I16524" s="4"/>
    </row>
    <row r="16525">
      <c r="A16525" s="4" t="str">
        <f>IFERROR(__xludf.DUMMYFUNCTION("""COMPUTED_VALUE"""),"cas_hmw")</f>
        <v>cas_hmw</v>
      </c>
      <c r="B16525" s="5">
        <f>IFERROR(__xludf.DUMMYFUNCTION("""COMPUTED_VALUE"""),44735.0)</f>
        <v>44735</v>
      </c>
      <c r="C16525" s="6">
        <f>IFERROR(__xludf.DUMMYFUNCTION("""COMPUTED_VALUE"""),0.7509490740740148)</f>
        <v>0.7509490741</v>
      </c>
      <c r="D16525" s="4">
        <f>IFERROR(__xludf.DUMMYFUNCTION("""COMPUTED_VALUE"""),12.578075)</f>
        <v>12.578075</v>
      </c>
      <c r="E16525" s="4">
        <f>IFERROR(__xludf.DUMMYFUNCTION("""COMPUTED_VALUE"""),79.917581)</f>
        <v>79.917581</v>
      </c>
      <c r="F16525" s="4">
        <f>IFERROR(__xludf.DUMMYFUNCTION("""COMPUTED_VALUE"""),2846.0)</f>
        <v>2846</v>
      </c>
      <c r="G16525" s="4">
        <f>IFERROR(__xludf.DUMMYFUNCTION("""COMPUTED_VALUE"""),58.0)</f>
        <v>58</v>
      </c>
      <c r="H16525" s="4"/>
      <c r="I16525" s="4"/>
    </row>
    <row r="16526">
      <c r="A16526" s="4" t="str">
        <f>IFERROR(__xludf.DUMMYFUNCTION("""COMPUTED_VALUE"""),"cas_hmw")</f>
        <v>cas_hmw</v>
      </c>
      <c r="B16526" s="5">
        <f>IFERROR(__xludf.DUMMYFUNCTION("""COMPUTED_VALUE"""),44735.0)</f>
        <v>44735</v>
      </c>
      <c r="C16526" s="6">
        <f>IFERROR(__xludf.DUMMYFUNCTION("""COMPUTED_VALUE"""),0.7516666666670062)</f>
        <v>0.7516666667</v>
      </c>
      <c r="D16526" s="4">
        <f>IFERROR(__xludf.DUMMYFUNCTION("""COMPUTED_VALUE"""),13.054171)</f>
        <v>13.054171</v>
      </c>
      <c r="E16526" s="4">
        <f>IFERROR(__xludf.DUMMYFUNCTION("""COMPUTED_VALUE"""),80.264012)</f>
        <v>80.264012</v>
      </c>
      <c r="F16526" s="4">
        <f>IFERROR(__xludf.DUMMYFUNCTION("""COMPUTED_VALUE"""),805.0)</f>
        <v>805</v>
      </c>
      <c r="G16526" s="4">
        <f>IFERROR(__xludf.DUMMYFUNCTION("""COMPUTED_VALUE"""),12.0)</f>
        <v>12</v>
      </c>
      <c r="H16526" s="4"/>
      <c r="I16526" s="4"/>
    </row>
    <row r="16527">
      <c r="A16527" s="4" t="str">
        <f>IFERROR(__xludf.DUMMYFUNCTION("""COMPUTED_VALUE"""),"cas_hmw")</f>
        <v>cas_hmw</v>
      </c>
      <c r="B16527" s="5">
        <f>IFERROR(__xludf.DUMMYFUNCTION("""COMPUTED_VALUE"""),44735.0)</f>
        <v>44735</v>
      </c>
      <c r="C16527" s="6">
        <f>IFERROR(__xludf.DUMMYFUNCTION("""COMPUTED_VALUE"""),0.7516666666670062)</f>
        <v>0.7516666667</v>
      </c>
      <c r="D16527" s="4">
        <f>IFERROR(__xludf.DUMMYFUNCTION("""COMPUTED_VALUE"""),13.054171)</f>
        <v>13.054171</v>
      </c>
      <c r="E16527" s="4">
        <f>IFERROR(__xludf.DUMMYFUNCTION("""COMPUTED_VALUE"""),80.264012)</f>
        <v>80.264012</v>
      </c>
      <c r="F16527" s="4">
        <f>IFERROR(__xludf.DUMMYFUNCTION("""COMPUTED_VALUE"""),805.0)</f>
        <v>805</v>
      </c>
      <c r="G16527" s="4">
        <f>IFERROR(__xludf.DUMMYFUNCTION("""COMPUTED_VALUE"""),12.0)</f>
        <v>12</v>
      </c>
      <c r="H16527" s="4"/>
      <c r="I16527" s="4"/>
    </row>
    <row r="16528">
      <c r="A16528" s="4" t="str">
        <f>IFERROR(__xludf.DUMMYFUNCTION("""COMPUTED_VALUE"""),"cas_hmw")</f>
        <v>cas_hmw</v>
      </c>
      <c r="B16528" s="5">
        <f>IFERROR(__xludf.DUMMYFUNCTION("""COMPUTED_VALUE"""),44735.0)</f>
        <v>44735</v>
      </c>
      <c r="C16528" s="6">
        <f>IFERROR(__xludf.DUMMYFUNCTION("""COMPUTED_VALUE"""),0.7520833333328483)</f>
        <v>0.7520833333</v>
      </c>
      <c r="D16528" s="4">
        <f>IFERROR(__xludf.DUMMYFUNCTION("""COMPUTED_VALUE"""),12.565727)</f>
        <v>12.565727</v>
      </c>
      <c r="E16528" s="4">
        <f>IFERROR(__xludf.DUMMYFUNCTION("""COMPUTED_VALUE"""),79.914588)</f>
        <v>79.914588</v>
      </c>
      <c r="F16528" s="4">
        <f>IFERROR(__xludf.DUMMYFUNCTION("""COMPUTED_VALUE"""),2846.0)</f>
        <v>2846</v>
      </c>
      <c r="G16528" s="4">
        <f>IFERROR(__xludf.DUMMYFUNCTION("""COMPUTED_VALUE"""),57.0)</f>
        <v>57</v>
      </c>
      <c r="H16528" s="4"/>
      <c r="I16528" s="4"/>
    </row>
    <row r="16529">
      <c r="A16529" s="4" t="str">
        <f>IFERROR(__xludf.DUMMYFUNCTION("""COMPUTED_VALUE"""),"cas_hmw")</f>
        <v>cas_hmw</v>
      </c>
      <c r="B16529" s="5">
        <f>IFERROR(__xludf.DUMMYFUNCTION("""COMPUTED_VALUE"""),44735.0)</f>
        <v>44735</v>
      </c>
      <c r="C16529" s="6">
        <f>IFERROR(__xludf.DUMMYFUNCTION("""COMPUTED_VALUE"""),0.7540277777770825)</f>
        <v>0.7540277778</v>
      </c>
      <c r="D16529" s="4">
        <f>IFERROR(__xludf.DUMMYFUNCTION("""COMPUTED_VALUE"""),12.563658)</f>
        <v>12.563658</v>
      </c>
      <c r="E16529" s="4">
        <f>IFERROR(__xludf.DUMMYFUNCTION("""COMPUTED_VALUE"""),79.913506)</f>
        <v>79.913506</v>
      </c>
      <c r="F16529" s="4">
        <f>IFERROR(__xludf.DUMMYFUNCTION("""COMPUTED_VALUE"""),2846.0)</f>
        <v>2846</v>
      </c>
      <c r="G16529" s="4">
        <f>IFERROR(__xludf.DUMMYFUNCTION("""COMPUTED_VALUE"""),52.0)</f>
        <v>52</v>
      </c>
      <c r="H16529" s="4"/>
      <c r="I16529" s="4"/>
    </row>
    <row r="16530">
      <c r="A16530" s="4" t="str">
        <f>IFERROR(__xludf.DUMMYFUNCTION("""COMPUTED_VALUE"""),"cas_hmw")</f>
        <v>cas_hmw</v>
      </c>
      <c r="B16530" s="5">
        <f>IFERROR(__xludf.DUMMYFUNCTION("""COMPUTED_VALUE"""),44735.0)</f>
        <v>44735</v>
      </c>
      <c r="C16530" s="6">
        <f>IFERROR(__xludf.DUMMYFUNCTION("""COMPUTED_VALUE"""),0.7563657407408755)</f>
        <v>0.7563657407</v>
      </c>
      <c r="D16530" s="4">
        <f>IFERROR(__xludf.DUMMYFUNCTION("""COMPUTED_VALUE"""),13.067489)</f>
        <v>13.067489</v>
      </c>
      <c r="E16530" s="4">
        <f>IFERROR(__xludf.DUMMYFUNCTION("""COMPUTED_VALUE"""),80.270719)</f>
        <v>80.270719</v>
      </c>
      <c r="F16530" s="4">
        <f>IFERROR(__xludf.DUMMYFUNCTION("""COMPUTED_VALUE"""),5339.0)</f>
        <v>5339</v>
      </c>
      <c r="G16530" s="4">
        <f>IFERROR(__xludf.DUMMYFUNCTION("""COMPUTED_VALUE"""),29.0)</f>
        <v>29</v>
      </c>
      <c r="H16530" s="4"/>
      <c r="I16530" s="4"/>
    </row>
    <row r="16531">
      <c r="A16531" s="4" t="str">
        <f>IFERROR(__xludf.DUMMYFUNCTION("""COMPUTED_VALUE"""),"cas_hmw")</f>
        <v>cas_hmw</v>
      </c>
      <c r="B16531" s="5">
        <f>IFERROR(__xludf.DUMMYFUNCTION("""COMPUTED_VALUE"""),44735.0)</f>
        <v>44735</v>
      </c>
      <c r="C16531" s="6">
        <f>IFERROR(__xludf.DUMMYFUNCTION("""COMPUTED_VALUE"""),0.7566087962950405)</f>
        <v>0.7566087963</v>
      </c>
      <c r="D16531" s="4">
        <f>IFERROR(__xludf.DUMMYFUNCTION("""COMPUTED_VALUE"""),12.524244)</f>
        <v>12.524244</v>
      </c>
      <c r="E16531" s="4">
        <f>IFERROR(__xludf.DUMMYFUNCTION("""COMPUTED_VALUE"""),79.896792)</f>
        <v>79.896792</v>
      </c>
      <c r="F16531" s="4">
        <f>IFERROR(__xludf.DUMMYFUNCTION("""COMPUTED_VALUE"""),2846.0)</f>
        <v>2846</v>
      </c>
      <c r="G16531" s="4">
        <f>IFERROR(__xludf.DUMMYFUNCTION("""COMPUTED_VALUE"""),57.0)</f>
        <v>57</v>
      </c>
      <c r="H16531" s="4"/>
      <c r="I16531" s="4"/>
    </row>
    <row r="16532">
      <c r="A16532" s="4" t="str">
        <f>IFERROR(__xludf.DUMMYFUNCTION("""COMPUTED_VALUE"""),"cas_hmw")</f>
        <v>cas_hmw</v>
      </c>
      <c r="B16532" s="5">
        <f>IFERROR(__xludf.DUMMYFUNCTION("""COMPUTED_VALUE"""),44735.0)</f>
        <v>44735</v>
      </c>
      <c r="C16532" s="6">
        <f>IFERROR(__xludf.DUMMYFUNCTION("""COMPUTED_VALUE"""),0.757569444445835)</f>
        <v>0.7575694444</v>
      </c>
      <c r="D16532" s="4">
        <f>IFERROR(__xludf.DUMMYFUNCTION("""COMPUTED_VALUE"""),12.514451)</f>
        <v>12.514451</v>
      </c>
      <c r="E16532" s="4">
        <f>IFERROR(__xludf.DUMMYFUNCTION("""COMPUTED_VALUE"""),79.888382)</f>
        <v>79.888382</v>
      </c>
      <c r="F16532" s="4">
        <f>IFERROR(__xludf.DUMMYFUNCTION("""COMPUTED_VALUE"""),2846.0)</f>
        <v>2846</v>
      </c>
      <c r="G16532" s="4">
        <f>IFERROR(__xludf.DUMMYFUNCTION("""COMPUTED_VALUE"""),31.0)</f>
        <v>31</v>
      </c>
      <c r="H16532" s="4"/>
      <c r="I16532" s="4"/>
    </row>
    <row r="16533">
      <c r="A16533" s="4" t="str">
        <f>IFERROR(__xludf.DUMMYFUNCTION("""COMPUTED_VALUE"""),"cas_hmw")</f>
        <v>cas_hmw</v>
      </c>
      <c r="B16533" s="5">
        <f>IFERROR(__xludf.DUMMYFUNCTION("""COMPUTED_VALUE"""),44735.0)</f>
        <v>44735</v>
      </c>
      <c r="C16533" s="6">
        <f>IFERROR(__xludf.DUMMYFUNCTION("""COMPUTED_VALUE"""),0.7584143518506608)</f>
        <v>0.7584143519</v>
      </c>
      <c r="D16533" s="4">
        <f>IFERROR(__xludf.DUMMYFUNCTION("""COMPUTED_VALUE"""),13.069604)</f>
        <v>13.069604</v>
      </c>
      <c r="E16533" s="4">
        <f>IFERROR(__xludf.DUMMYFUNCTION("""COMPUTED_VALUE"""),80.26656)</f>
        <v>80.26656</v>
      </c>
      <c r="F16533" s="4">
        <f>IFERROR(__xludf.DUMMYFUNCTION("""COMPUTED_VALUE"""),5339.0)</f>
        <v>5339</v>
      </c>
      <c r="G16533" s="4">
        <f>IFERROR(__xludf.DUMMYFUNCTION("""COMPUTED_VALUE"""),25.0)</f>
        <v>25</v>
      </c>
      <c r="H16533" s="4"/>
      <c r="I16533" s="4"/>
    </row>
    <row r="16534">
      <c r="A16534" s="4" t="str">
        <f>IFERROR(__xludf.DUMMYFUNCTION("""COMPUTED_VALUE"""),"cas_hmw")</f>
        <v>cas_hmw</v>
      </c>
      <c r="B16534" s="5">
        <f>IFERROR(__xludf.DUMMYFUNCTION("""COMPUTED_VALUE"""),44735.0)</f>
        <v>44735</v>
      </c>
      <c r="C16534" s="6">
        <f>IFERROR(__xludf.DUMMYFUNCTION("""COMPUTED_VALUE"""),0.7584375000005821)</f>
        <v>0.7584375</v>
      </c>
      <c r="D16534" s="4">
        <f>IFERROR(__xludf.DUMMYFUNCTION("""COMPUTED_VALUE"""),13.069604)</f>
        <v>13.069604</v>
      </c>
      <c r="E16534" s="4">
        <f>IFERROR(__xludf.DUMMYFUNCTION("""COMPUTED_VALUE"""),80.26656)</f>
        <v>80.26656</v>
      </c>
      <c r="F16534" s="4">
        <f>IFERROR(__xludf.DUMMYFUNCTION("""COMPUTED_VALUE"""),5339.0)</f>
        <v>5339</v>
      </c>
      <c r="G16534" s="4">
        <f>IFERROR(__xludf.DUMMYFUNCTION("""COMPUTED_VALUE"""),25.0)</f>
        <v>25</v>
      </c>
      <c r="H16534" s="4"/>
      <c r="I16534" s="4"/>
    </row>
    <row r="16535">
      <c r="A16535" s="4" t="str">
        <f>IFERROR(__xludf.DUMMYFUNCTION("""COMPUTED_VALUE"""),"cas_hmw")</f>
        <v>cas_hmw</v>
      </c>
      <c r="B16535" s="5">
        <f>IFERROR(__xludf.DUMMYFUNCTION("""COMPUTED_VALUE"""),44735.0)</f>
        <v>44735</v>
      </c>
      <c r="C16535" s="6">
        <f>IFERROR(__xludf.DUMMYFUNCTION("""COMPUTED_VALUE"""),0.7612962962957681)</f>
        <v>0.7612962963</v>
      </c>
      <c r="D16535" s="4">
        <f>IFERROR(__xludf.DUMMYFUNCTION("""COMPUTED_VALUE"""),13.070334)</f>
        <v>13.070334</v>
      </c>
      <c r="E16535" s="4">
        <f>IFERROR(__xludf.DUMMYFUNCTION("""COMPUTED_VALUE"""),80.257884)</f>
        <v>80.257884</v>
      </c>
      <c r="F16535" s="4">
        <f>IFERROR(__xludf.DUMMYFUNCTION("""COMPUTED_VALUE"""),5339.0)</f>
        <v>5339</v>
      </c>
      <c r="G16535" s="4">
        <f>IFERROR(__xludf.DUMMYFUNCTION("""COMPUTED_VALUE"""),35.0)</f>
        <v>35</v>
      </c>
      <c r="H16535" s="4"/>
      <c r="I16535" s="4"/>
    </row>
    <row r="16536">
      <c r="A16536" s="4" t="str">
        <f>IFERROR(__xludf.DUMMYFUNCTION("""COMPUTED_VALUE"""),"cas_hmw")</f>
        <v>cas_hmw</v>
      </c>
      <c r="B16536" s="5">
        <f>IFERROR(__xludf.DUMMYFUNCTION("""COMPUTED_VALUE"""),44735.0)</f>
        <v>44735</v>
      </c>
      <c r="C16536" s="6">
        <f>IFERROR(__xludf.DUMMYFUNCTION("""COMPUTED_VALUE"""),0.7614236111112405)</f>
        <v>0.7614236111</v>
      </c>
      <c r="D16536" s="4">
        <f>IFERROR(__xludf.DUMMYFUNCTION("""COMPUTED_VALUE"""),13.06925)</f>
        <v>13.06925</v>
      </c>
      <c r="E16536" s="4">
        <f>IFERROR(__xludf.DUMMYFUNCTION("""COMPUTED_VALUE"""),80.256742)</f>
        <v>80.256742</v>
      </c>
      <c r="F16536" s="4">
        <f>IFERROR(__xludf.DUMMYFUNCTION("""COMPUTED_VALUE"""),5339.0)</f>
        <v>5339</v>
      </c>
      <c r="G16536" s="4">
        <f>IFERROR(__xludf.DUMMYFUNCTION("""COMPUTED_VALUE"""),25.0)</f>
        <v>25</v>
      </c>
      <c r="H16536" s="4"/>
      <c r="I16536" s="4"/>
    </row>
    <row r="16537">
      <c r="A16537" s="4" t="str">
        <f>IFERROR(__xludf.DUMMYFUNCTION("""COMPUTED_VALUE"""),"cas_hmw")</f>
        <v>cas_hmw</v>
      </c>
      <c r="B16537" s="5">
        <f>IFERROR(__xludf.DUMMYFUNCTION("""COMPUTED_VALUE"""),44735.0)</f>
        <v>44735</v>
      </c>
      <c r="C16537" s="6">
        <f>IFERROR(__xludf.DUMMYFUNCTION("""COMPUTED_VALUE"""),0.7614351851843821)</f>
        <v>0.7614351852</v>
      </c>
      <c r="D16537" s="4">
        <f>IFERROR(__xludf.DUMMYFUNCTION("""COMPUTED_VALUE"""),13.06925)</f>
        <v>13.06925</v>
      </c>
      <c r="E16537" s="4">
        <f>IFERROR(__xludf.DUMMYFUNCTION("""COMPUTED_VALUE"""),80.256742)</f>
        <v>80.256742</v>
      </c>
      <c r="F16537" s="4">
        <f>IFERROR(__xludf.DUMMYFUNCTION("""COMPUTED_VALUE"""),5339.0)</f>
        <v>5339</v>
      </c>
      <c r="G16537" s="4">
        <f>IFERROR(__xludf.DUMMYFUNCTION("""COMPUTED_VALUE"""),25.0)</f>
        <v>25</v>
      </c>
      <c r="H16537" s="4"/>
      <c r="I16537" s="4"/>
    </row>
    <row r="16538">
      <c r="A16538" s="4" t="str">
        <f>IFERROR(__xludf.DUMMYFUNCTION("""COMPUTED_VALUE"""),"cas_hmw")</f>
        <v>cas_hmw</v>
      </c>
      <c r="B16538" s="5">
        <f>IFERROR(__xludf.DUMMYFUNCTION("""COMPUTED_VALUE"""),44735.0)</f>
        <v>44735</v>
      </c>
      <c r="C16538" s="6">
        <f>IFERROR(__xludf.DUMMYFUNCTION("""COMPUTED_VALUE"""),0.763078703705105)</f>
        <v>0.7630787037</v>
      </c>
      <c r="D16538" s="4">
        <f>IFERROR(__xludf.DUMMYFUNCTION("""COMPUTED_VALUE"""),13.068199)</f>
        <v>13.068199</v>
      </c>
      <c r="E16538" s="4">
        <f>IFERROR(__xludf.DUMMYFUNCTION("""COMPUTED_VALUE"""),80.252614)</f>
        <v>80.252614</v>
      </c>
      <c r="F16538" s="4">
        <f>IFERROR(__xludf.DUMMYFUNCTION("""COMPUTED_VALUE"""),5339.0)</f>
        <v>5339</v>
      </c>
      <c r="G16538" s="4">
        <f>IFERROR(__xludf.DUMMYFUNCTION("""COMPUTED_VALUE"""),36.0)</f>
        <v>36</v>
      </c>
      <c r="H16538" s="4"/>
      <c r="I16538" s="4"/>
    </row>
    <row r="16539">
      <c r="A16539" s="4" t="str">
        <f>IFERROR(__xludf.DUMMYFUNCTION("""COMPUTED_VALUE"""),"cas_hmw")</f>
        <v>cas_hmw</v>
      </c>
      <c r="B16539" s="5">
        <f>IFERROR(__xludf.DUMMYFUNCTION("""COMPUTED_VALUE"""),44736.0)</f>
        <v>44736</v>
      </c>
      <c r="C16539" s="6">
        <f>IFERROR(__xludf.DUMMYFUNCTION("""COMPUTED_VALUE"""),0.29129629629460396)</f>
        <v>0.2912962963</v>
      </c>
      <c r="D16539" s="4">
        <f>IFERROR(__xludf.DUMMYFUNCTION("""COMPUTED_VALUE"""),12.498503)</f>
        <v>12.498503</v>
      </c>
      <c r="E16539" s="4">
        <f>IFERROR(__xludf.DUMMYFUNCTION("""COMPUTED_VALUE"""),79.873921)</f>
        <v>79.873921</v>
      </c>
      <c r="F16539" s="4">
        <f>IFERROR(__xludf.DUMMYFUNCTION("""COMPUTED_VALUE"""),2846.0)</f>
        <v>2846</v>
      </c>
      <c r="G16539" s="4">
        <f>IFERROR(__xludf.DUMMYFUNCTION("""COMPUTED_VALUE"""),56.0)</f>
        <v>56</v>
      </c>
      <c r="H16539" s="4"/>
      <c r="I16539" s="4"/>
    </row>
    <row r="16540">
      <c r="A16540" s="4" t="str">
        <f>IFERROR(__xludf.DUMMYFUNCTION("""COMPUTED_VALUE"""),"cas_hmw")</f>
        <v>cas_hmw</v>
      </c>
      <c r="B16540" s="5">
        <f>IFERROR(__xludf.DUMMYFUNCTION("""COMPUTED_VALUE"""),44736.0)</f>
        <v>44736</v>
      </c>
      <c r="C16540" s="6">
        <f>IFERROR(__xludf.DUMMYFUNCTION("""COMPUTED_VALUE"""),0.2975694444430701)</f>
        <v>0.2975694444</v>
      </c>
      <c r="D16540" s="4">
        <f>IFERROR(__xludf.DUMMYFUNCTION("""COMPUTED_VALUE"""),13.061882)</f>
        <v>13.061882</v>
      </c>
      <c r="E16540" s="4">
        <f>IFERROR(__xludf.DUMMYFUNCTION("""COMPUTED_VALUE"""),80.24614)</f>
        <v>80.24614</v>
      </c>
      <c r="F16540" s="4">
        <f>IFERROR(__xludf.DUMMYFUNCTION("""COMPUTED_VALUE"""),5339.0)</f>
        <v>5339</v>
      </c>
      <c r="G16540" s="4">
        <f>IFERROR(__xludf.DUMMYFUNCTION("""COMPUTED_VALUE"""),38.0)</f>
        <v>38</v>
      </c>
      <c r="H16540" s="4"/>
      <c r="I16540" s="4"/>
    </row>
    <row r="16541">
      <c r="A16541" s="4" t="str">
        <f>IFERROR(__xludf.DUMMYFUNCTION("""COMPUTED_VALUE"""),"cas_hmw")</f>
        <v>cas_hmw</v>
      </c>
      <c r="B16541" s="5">
        <f>IFERROR(__xludf.DUMMYFUNCTION("""COMPUTED_VALUE"""),44736.0)</f>
        <v>44736</v>
      </c>
      <c r="C16541" s="6">
        <f>IFERROR(__xludf.DUMMYFUNCTION("""COMPUTED_VALUE"""),0.29829861111284117)</f>
        <v>0.2982986111</v>
      </c>
      <c r="D16541" s="4">
        <f>IFERROR(__xludf.DUMMYFUNCTION("""COMPUTED_VALUE"""),13.066123)</f>
        <v>13.066123</v>
      </c>
      <c r="E16541" s="4">
        <f>IFERROR(__xludf.DUMMYFUNCTION("""COMPUTED_VALUE"""),80.243988)</f>
        <v>80.243988</v>
      </c>
      <c r="F16541" s="4">
        <f>IFERROR(__xludf.DUMMYFUNCTION("""COMPUTED_VALUE"""),5339.0)</f>
        <v>5339</v>
      </c>
      <c r="G16541" s="4">
        <f>IFERROR(__xludf.DUMMYFUNCTION("""COMPUTED_VALUE"""),28.0)</f>
        <v>28</v>
      </c>
      <c r="H16541" s="4"/>
      <c r="I16541" s="4"/>
    </row>
    <row r="16542">
      <c r="A16542" s="4" t="str">
        <f>IFERROR(__xludf.DUMMYFUNCTION("""COMPUTED_VALUE"""),"cas_hmw")</f>
        <v>cas_hmw</v>
      </c>
      <c r="B16542" s="5">
        <f>IFERROR(__xludf.DUMMYFUNCTION("""COMPUTED_VALUE"""),44736.0)</f>
        <v>44736</v>
      </c>
      <c r="C16542" s="6">
        <f>IFERROR(__xludf.DUMMYFUNCTION("""COMPUTED_VALUE"""),0.3007638888884685)</f>
        <v>0.3007638889</v>
      </c>
      <c r="D16542" s="4">
        <f>IFERROR(__xludf.DUMMYFUNCTION("""COMPUTED_VALUE"""),13.069735)</f>
        <v>13.069735</v>
      </c>
      <c r="E16542" s="4">
        <f>IFERROR(__xludf.DUMMYFUNCTION("""COMPUTED_VALUE"""),80.257102)</f>
        <v>80.257102</v>
      </c>
      <c r="F16542" s="4">
        <f>IFERROR(__xludf.DUMMYFUNCTION("""COMPUTED_VALUE"""),5339.0)</f>
        <v>5339</v>
      </c>
      <c r="G16542" s="4">
        <f>IFERROR(__xludf.DUMMYFUNCTION("""COMPUTED_VALUE"""),24.0)</f>
        <v>24</v>
      </c>
      <c r="H16542" s="4"/>
      <c r="I16542" s="4"/>
    </row>
    <row r="16543">
      <c r="A16543" s="4" t="str">
        <f>IFERROR(__xludf.DUMMYFUNCTION("""COMPUTED_VALUE"""),"cas_hmw")</f>
        <v>cas_hmw</v>
      </c>
      <c r="B16543" s="5">
        <f>IFERROR(__xludf.DUMMYFUNCTION("""COMPUTED_VALUE"""),44736.0)</f>
        <v>44736</v>
      </c>
      <c r="C16543" s="6">
        <f>IFERROR(__xludf.DUMMYFUNCTION("""COMPUTED_VALUE"""),0.3008101851846732)</f>
        <v>0.3008101852</v>
      </c>
      <c r="D16543" s="4">
        <f>IFERROR(__xludf.DUMMYFUNCTION("""COMPUTED_VALUE"""),13.069735)</f>
        <v>13.069735</v>
      </c>
      <c r="E16543" s="4">
        <f>IFERROR(__xludf.DUMMYFUNCTION("""COMPUTED_VALUE"""),80.257102)</f>
        <v>80.257102</v>
      </c>
      <c r="F16543" s="4">
        <f>IFERROR(__xludf.DUMMYFUNCTION("""COMPUTED_VALUE"""),5339.0)</f>
        <v>5339</v>
      </c>
      <c r="G16543" s="4">
        <f>IFERROR(__xludf.DUMMYFUNCTION("""COMPUTED_VALUE"""),24.0)</f>
        <v>24</v>
      </c>
      <c r="H16543" s="4"/>
      <c r="I16543" s="4"/>
    </row>
    <row r="16544">
      <c r="A16544" s="4" t="str">
        <f>IFERROR(__xludf.DUMMYFUNCTION("""COMPUTED_VALUE"""),"cas_hmw")</f>
        <v>cas_hmw</v>
      </c>
      <c r="B16544" s="5">
        <f>IFERROR(__xludf.DUMMYFUNCTION("""COMPUTED_VALUE"""),44736.0)</f>
        <v>44736</v>
      </c>
      <c r="C16544" s="6">
        <f>IFERROR(__xludf.DUMMYFUNCTION("""COMPUTED_VALUE"""),0.30100694444263354)</f>
        <v>0.3010069444</v>
      </c>
      <c r="D16544" s="4">
        <f>IFERROR(__xludf.DUMMYFUNCTION("""COMPUTED_VALUE"""),13.070725)</f>
        <v>13.070725</v>
      </c>
      <c r="E16544" s="4">
        <f>IFERROR(__xludf.DUMMYFUNCTION("""COMPUTED_VALUE"""),80.258144)</f>
        <v>80.258144</v>
      </c>
      <c r="F16544" s="4">
        <f>IFERROR(__xludf.DUMMYFUNCTION("""COMPUTED_VALUE"""),5339.0)</f>
        <v>5339</v>
      </c>
      <c r="G16544" s="4">
        <f>IFERROR(__xludf.DUMMYFUNCTION("""COMPUTED_VALUE"""),28.0)</f>
        <v>28</v>
      </c>
      <c r="H16544" s="4"/>
      <c r="I16544" s="4"/>
    </row>
    <row r="16545">
      <c r="A16545" s="4" t="str">
        <f>IFERROR(__xludf.DUMMYFUNCTION("""COMPUTED_VALUE"""),"cas_hmw")</f>
        <v>cas_hmw</v>
      </c>
      <c r="B16545" s="5">
        <f>IFERROR(__xludf.DUMMYFUNCTION("""COMPUTED_VALUE"""),44736.0)</f>
        <v>44736</v>
      </c>
      <c r="C16545" s="6">
        <f>IFERROR(__xludf.DUMMYFUNCTION("""COMPUTED_VALUE"""),0.30100694444263354)</f>
        <v>0.3010069444</v>
      </c>
      <c r="D16545" s="4">
        <f>IFERROR(__xludf.DUMMYFUNCTION("""COMPUTED_VALUE"""),13.070725)</f>
        <v>13.070725</v>
      </c>
      <c r="E16545" s="4">
        <f>IFERROR(__xludf.DUMMYFUNCTION("""COMPUTED_VALUE"""),80.258144)</f>
        <v>80.258144</v>
      </c>
      <c r="F16545" s="4">
        <f>IFERROR(__xludf.DUMMYFUNCTION("""COMPUTED_VALUE"""),5339.0)</f>
        <v>5339</v>
      </c>
      <c r="G16545" s="4">
        <f>IFERROR(__xludf.DUMMYFUNCTION("""COMPUTED_VALUE"""),28.0)</f>
        <v>28</v>
      </c>
      <c r="H16545" s="4"/>
      <c r="I16545" s="4"/>
    </row>
    <row r="16546">
      <c r="A16546" s="4" t="str">
        <f>IFERROR(__xludf.DUMMYFUNCTION("""COMPUTED_VALUE"""),"cas_hmw")</f>
        <v>cas_hmw</v>
      </c>
      <c r="B16546" s="5">
        <f>IFERROR(__xludf.DUMMYFUNCTION("""COMPUTED_VALUE"""),44736.0)</f>
        <v>44736</v>
      </c>
      <c r="C16546" s="6">
        <f>IFERROR(__xludf.DUMMYFUNCTION("""COMPUTED_VALUE"""),0.30313657407532446)</f>
        <v>0.3031365741</v>
      </c>
      <c r="D16546" s="4">
        <f>IFERROR(__xludf.DUMMYFUNCTION("""COMPUTED_VALUE"""),12.570318)</f>
        <v>12.570318</v>
      </c>
      <c r="E16546" s="4">
        <f>IFERROR(__xludf.DUMMYFUNCTION("""COMPUTED_VALUE"""),79.915669)</f>
        <v>79.915669</v>
      </c>
      <c r="F16546" s="4">
        <f>IFERROR(__xludf.DUMMYFUNCTION("""COMPUTED_VALUE"""),2846.0)</f>
        <v>2846</v>
      </c>
      <c r="G16546" s="4">
        <f>IFERROR(__xludf.DUMMYFUNCTION("""COMPUTED_VALUE"""),58.0)</f>
        <v>58</v>
      </c>
      <c r="H16546" s="4"/>
      <c r="I16546" s="4"/>
    </row>
    <row r="16547">
      <c r="A16547" s="4" t="str">
        <f>IFERROR(__xludf.DUMMYFUNCTION("""COMPUTED_VALUE"""),"cas_hmw")</f>
        <v>cas_hmw</v>
      </c>
      <c r="B16547" s="5">
        <f>IFERROR(__xludf.DUMMYFUNCTION("""COMPUTED_VALUE"""),44736.0)</f>
        <v>44736</v>
      </c>
      <c r="C16547" s="6">
        <f>IFERROR(__xludf.DUMMYFUNCTION("""COMPUTED_VALUE"""),0.3040046296300716)</f>
        <v>0.3040046296</v>
      </c>
      <c r="D16547" s="4">
        <f>IFERROR(__xludf.DUMMYFUNCTION("""COMPUTED_VALUE"""),13.068272)</f>
        <v>13.068272</v>
      </c>
      <c r="E16547" s="4">
        <f>IFERROR(__xludf.DUMMYFUNCTION("""COMPUTED_VALUE"""),80.269646)</f>
        <v>80.269646</v>
      </c>
      <c r="F16547" s="4">
        <f>IFERROR(__xludf.DUMMYFUNCTION("""COMPUTED_VALUE"""),805.0)</f>
        <v>805</v>
      </c>
      <c r="G16547" s="4">
        <f>IFERROR(__xludf.DUMMYFUNCTION("""COMPUTED_VALUE"""),34.0)</f>
        <v>34</v>
      </c>
      <c r="H16547" s="4"/>
      <c r="I16547" s="4"/>
    </row>
    <row r="16548">
      <c r="A16548" s="4" t="str">
        <f>IFERROR(__xludf.DUMMYFUNCTION("""COMPUTED_VALUE"""),"cas_hmw")</f>
        <v>cas_hmw</v>
      </c>
      <c r="B16548" s="5">
        <f>IFERROR(__xludf.DUMMYFUNCTION("""COMPUTED_VALUE"""),44736.0)</f>
        <v>44736</v>
      </c>
      <c r="C16548" s="6">
        <f>IFERROR(__xludf.DUMMYFUNCTION("""COMPUTED_VALUE"""),0.3043518518534256)</f>
        <v>0.3043518519</v>
      </c>
      <c r="D16548" s="4">
        <f>IFERROR(__xludf.DUMMYFUNCTION("""COMPUTED_VALUE"""),13.068339)</f>
        <v>13.068339</v>
      </c>
      <c r="E16548" s="4">
        <f>IFERROR(__xludf.DUMMYFUNCTION("""COMPUTED_VALUE"""),80.269396)</f>
        <v>80.269396</v>
      </c>
      <c r="F16548" s="4">
        <f>IFERROR(__xludf.DUMMYFUNCTION("""COMPUTED_VALUE"""),5339.0)</f>
        <v>5339</v>
      </c>
      <c r="G16548" s="4">
        <f>IFERROR(__xludf.DUMMYFUNCTION("""COMPUTED_VALUE"""),23.0)</f>
        <v>23</v>
      </c>
      <c r="H16548" s="4"/>
      <c r="I16548" s="4"/>
    </row>
    <row r="16549">
      <c r="A16549" s="4" t="str">
        <f>IFERROR(__xludf.DUMMYFUNCTION("""COMPUTED_VALUE"""),"cas_hmw")</f>
        <v>cas_hmw</v>
      </c>
      <c r="B16549" s="5">
        <f>IFERROR(__xludf.DUMMYFUNCTION("""COMPUTED_VALUE"""),44736.0)</f>
        <v>44736</v>
      </c>
      <c r="C16549" s="6">
        <f>IFERROR(__xludf.DUMMYFUNCTION("""COMPUTED_VALUE"""),0.30444444444583496)</f>
        <v>0.3044444444</v>
      </c>
      <c r="D16549" s="4">
        <f>IFERROR(__xludf.DUMMYFUNCTION("""COMPUTED_VALUE"""),13.068241)</f>
        <v>13.068241</v>
      </c>
      <c r="E16549" s="4">
        <f>IFERROR(__xludf.DUMMYFUNCTION("""COMPUTED_VALUE"""),80.270097)</f>
        <v>80.270097</v>
      </c>
      <c r="F16549" s="4">
        <f>IFERROR(__xludf.DUMMYFUNCTION("""COMPUTED_VALUE"""),5339.0)</f>
        <v>5339</v>
      </c>
      <c r="G16549" s="4">
        <f>IFERROR(__xludf.DUMMYFUNCTION("""COMPUTED_VALUE"""),35.0)</f>
        <v>35</v>
      </c>
      <c r="H16549" s="4"/>
      <c r="I16549" s="4"/>
    </row>
    <row r="16550">
      <c r="A16550" s="4" t="str">
        <f>IFERROR(__xludf.DUMMYFUNCTION("""COMPUTED_VALUE"""),"cas_hmw")</f>
        <v>cas_hmw</v>
      </c>
      <c r="B16550" s="5">
        <f>IFERROR(__xludf.DUMMYFUNCTION("""COMPUTED_VALUE"""),44736.0)</f>
        <v>44736</v>
      </c>
      <c r="C16550" s="6">
        <f>IFERROR(__xludf.DUMMYFUNCTION("""COMPUTED_VALUE"""),0.30452546296146465)</f>
        <v>0.304525463</v>
      </c>
      <c r="D16550" s="4">
        <f>IFERROR(__xludf.DUMMYFUNCTION("""COMPUTED_VALUE"""),13.068241)</f>
        <v>13.068241</v>
      </c>
      <c r="E16550" s="4">
        <f>IFERROR(__xludf.DUMMYFUNCTION("""COMPUTED_VALUE"""),80.270097)</f>
        <v>80.270097</v>
      </c>
      <c r="F16550" s="4">
        <f>IFERROR(__xludf.DUMMYFUNCTION("""COMPUTED_VALUE"""),5339.0)</f>
        <v>5339</v>
      </c>
      <c r="G16550" s="4">
        <f>IFERROR(__xludf.DUMMYFUNCTION("""COMPUTED_VALUE"""),35.0)</f>
        <v>35</v>
      </c>
      <c r="H16550" s="4"/>
      <c r="I16550" s="4"/>
    </row>
    <row r="16551">
      <c r="A16551" s="4" t="str">
        <f>IFERROR(__xludf.DUMMYFUNCTION("""COMPUTED_VALUE"""),"cas_hmw")</f>
        <v>cas_hmw</v>
      </c>
      <c r="B16551" s="5">
        <f>IFERROR(__xludf.DUMMYFUNCTION("""COMPUTED_VALUE"""),44736.0)</f>
        <v>44736</v>
      </c>
      <c r="C16551" s="6">
        <f>IFERROR(__xludf.DUMMYFUNCTION("""COMPUTED_VALUE"""),0.31153935185284354)</f>
        <v>0.3115393519</v>
      </c>
      <c r="D16551" s="4">
        <f>IFERROR(__xludf.DUMMYFUNCTION("""COMPUTED_VALUE"""),12.657786)</f>
        <v>12.657786</v>
      </c>
      <c r="E16551" s="4">
        <f>IFERROR(__xludf.DUMMYFUNCTION("""COMPUTED_VALUE"""),79.946132)</f>
        <v>79.946132</v>
      </c>
      <c r="F16551" s="4">
        <f>IFERROR(__xludf.DUMMYFUNCTION("""COMPUTED_VALUE"""),2846.0)</f>
        <v>2846</v>
      </c>
      <c r="G16551" s="4">
        <f>IFERROR(__xludf.DUMMYFUNCTION("""COMPUTED_VALUE"""),42.0)</f>
        <v>42</v>
      </c>
      <c r="H16551" s="4"/>
      <c r="I16551" s="4"/>
    </row>
    <row r="16552">
      <c r="A16552" s="4" t="str">
        <f>IFERROR(__xludf.DUMMYFUNCTION("""COMPUTED_VALUE"""),"cas_hmw")</f>
        <v>cas_hmw</v>
      </c>
      <c r="B16552" s="5">
        <f>IFERROR(__xludf.DUMMYFUNCTION("""COMPUTED_VALUE"""),44736.0)</f>
        <v>44736</v>
      </c>
      <c r="C16552" s="6">
        <f>IFERROR(__xludf.DUMMYFUNCTION("""COMPUTED_VALUE"""),0.315115740741021)</f>
        <v>0.3151157407</v>
      </c>
      <c r="D16552" s="4">
        <f>IFERROR(__xludf.DUMMYFUNCTION("""COMPUTED_VALUE"""),13.038931)</f>
        <v>13.038931</v>
      </c>
      <c r="E16552" s="4">
        <f>IFERROR(__xludf.DUMMYFUNCTION("""COMPUTED_VALUE"""),80.246905)</f>
        <v>80.246905</v>
      </c>
      <c r="F16552" s="4">
        <f>IFERROR(__xludf.DUMMYFUNCTION("""COMPUTED_VALUE"""),5339.0)</f>
        <v>5339</v>
      </c>
      <c r="G16552" s="4">
        <f>IFERROR(__xludf.DUMMYFUNCTION("""COMPUTED_VALUE"""),32.0)</f>
        <v>32</v>
      </c>
      <c r="H16552" s="4"/>
      <c r="I16552" s="4"/>
    </row>
    <row r="16553">
      <c r="A16553" s="4" t="str">
        <f>IFERROR(__xludf.DUMMYFUNCTION("""COMPUTED_VALUE"""),"cas_hmw")</f>
        <v>cas_hmw</v>
      </c>
      <c r="B16553" s="5">
        <f>IFERROR(__xludf.DUMMYFUNCTION("""COMPUTED_VALUE"""),44736.0)</f>
        <v>44736</v>
      </c>
      <c r="C16553" s="6">
        <f>IFERROR(__xludf.DUMMYFUNCTION("""COMPUTED_VALUE"""),0.31593749999956344)</f>
        <v>0.3159375</v>
      </c>
      <c r="D16553" s="4">
        <f>IFERROR(__xludf.DUMMYFUNCTION("""COMPUTED_VALUE"""),13.034932)</f>
        <v>13.034932</v>
      </c>
      <c r="E16553" s="4">
        <f>IFERROR(__xludf.DUMMYFUNCTION("""COMPUTED_VALUE"""),80.245868)</f>
        <v>80.245868</v>
      </c>
      <c r="F16553" s="4">
        <f>IFERROR(__xludf.DUMMYFUNCTION("""COMPUTED_VALUE"""),5339.0)</f>
        <v>5339</v>
      </c>
      <c r="G16553" s="4">
        <f>IFERROR(__xludf.DUMMYFUNCTION("""COMPUTED_VALUE"""),28.0)</f>
        <v>28</v>
      </c>
      <c r="H16553" s="4"/>
      <c r="I16553" s="4"/>
    </row>
    <row r="16554">
      <c r="A16554" s="4" t="str">
        <f>IFERROR(__xludf.DUMMYFUNCTION("""COMPUTED_VALUE"""),"cas_hmw")</f>
        <v>cas_hmw</v>
      </c>
      <c r="B16554" s="5">
        <f>IFERROR(__xludf.DUMMYFUNCTION("""COMPUTED_VALUE"""),44736.0)</f>
        <v>44736</v>
      </c>
      <c r="C16554" s="6">
        <f>IFERROR(__xludf.DUMMYFUNCTION("""COMPUTED_VALUE"""),0.3177199074089003)</f>
        <v>0.3177199074</v>
      </c>
      <c r="D16554" s="4">
        <f>IFERROR(__xludf.DUMMYFUNCTION("""COMPUTED_VALUE"""),12.678697)</f>
        <v>12.678697</v>
      </c>
      <c r="E16554" s="4">
        <f>IFERROR(__xludf.DUMMYFUNCTION("""COMPUTED_VALUE"""),79.980075)</f>
        <v>79.980075</v>
      </c>
      <c r="F16554" s="4">
        <f>IFERROR(__xludf.DUMMYFUNCTION("""COMPUTED_VALUE"""),2846.0)</f>
        <v>2846</v>
      </c>
      <c r="G16554" s="4">
        <f>IFERROR(__xludf.DUMMYFUNCTION("""COMPUTED_VALUE"""),32.0)</f>
        <v>32</v>
      </c>
      <c r="H16554" s="4"/>
      <c r="I16554" s="4"/>
    </row>
    <row r="16555">
      <c r="A16555" s="4" t="str">
        <f>IFERROR(__xludf.DUMMYFUNCTION("""COMPUTED_VALUE"""),"cas_hmw")</f>
        <v>cas_hmw</v>
      </c>
      <c r="B16555" s="5">
        <f>IFERROR(__xludf.DUMMYFUNCTION("""COMPUTED_VALUE"""),44736.0)</f>
        <v>44736</v>
      </c>
      <c r="C16555" s="6">
        <f>IFERROR(__xludf.DUMMYFUNCTION("""COMPUTED_VALUE"""),0.31826388889021473)</f>
        <v>0.3182638889</v>
      </c>
      <c r="D16555" s="4">
        <f>IFERROR(__xludf.DUMMYFUNCTION("""COMPUTED_VALUE"""),13.030428)</f>
        <v>13.030428</v>
      </c>
      <c r="E16555" s="4">
        <f>IFERROR(__xludf.DUMMYFUNCTION("""COMPUTED_VALUE"""),80.23871)</f>
        <v>80.23871</v>
      </c>
      <c r="F16555" s="4">
        <f>IFERROR(__xludf.DUMMYFUNCTION("""COMPUTED_VALUE"""),5339.0)</f>
        <v>5339</v>
      </c>
      <c r="G16555" s="4">
        <f>IFERROR(__xludf.DUMMYFUNCTION("""COMPUTED_VALUE"""),46.0)</f>
        <v>46</v>
      </c>
      <c r="H16555" s="4"/>
      <c r="I16555" s="4"/>
    </row>
    <row r="16556">
      <c r="A16556" s="4" t="str">
        <f>IFERROR(__xludf.DUMMYFUNCTION("""COMPUTED_VALUE"""),"cas_hmw")</f>
        <v>cas_hmw</v>
      </c>
      <c r="B16556" s="5">
        <f>IFERROR(__xludf.DUMMYFUNCTION("""COMPUTED_VALUE"""),44736.0)</f>
        <v>44736</v>
      </c>
      <c r="C16556" s="6">
        <f>IFERROR(__xludf.DUMMYFUNCTION("""COMPUTED_VALUE"""),0.3191550925912452)</f>
        <v>0.3191550926</v>
      </c>
      <c r="D16556" s="4">
        <f>IFERROR(__xludf.DUMMYFUNCTION("""COMPUTED_VALUE"""),13.026043)</f>
        <v>13.026043</v>
      </c>
      <c r="E16556" s="4">
        <f>IFERROR(__xludf.DUMMYFUNCTION("""COMPUTED_VALUE"""),80.23171)</f>
        <v>80.23171</v>
      </c>
      <c r="F16556" s="4">
        <f>IFERROR(__xludf.DUMMYFUNCTION("""COMPUTED_VALUE"""),5339.0)</f>
        <v>5339</v>
      </c>
      <c r="G16556" s="4">
        <f>IFERROR(__xludf.DUMMYFUNCTION("""COMPUTED_VALUE"""),32.0)</f>
        <v>32</v>
      </c>
      <c r="H16556" s="4"/>
      <c r="I16556" s="4"/>
    </row>
    <row r="16557">
      <c r="A16557" s="4" t="str">
        <f>IFERROR(__xludf.DUMMYFUNCTION("""COMPUTED_VALUE"""),"cas_hmw")</f>
        <v>cas_hmw</v>
      </c>
      <c r="B16557" s="5">
        <f>IFERROR(__xludf.DUMMYFUNCTION("""COMPUTED_VALUE"""),44736.0)</f>
        <v>44736</v>
      </c>
      <c r="C16557" s="6">
        <f>IFERROR(__xludf.DUMMYFUNCTION("""COMPUTED_VALUE"""),0.3192592592604342)</f>
        <v>0.3192592593</v>
      </c>
      <c r="D16557" s="4">
        <f>IFERROR(__xludf.DUMMYFUNCTION("""COMPUTED_VALUE"""),13.025755)</f>
        <v>13.025755</v>
      </c>
      <c r="E16557" s="4">
        <f>IFERROR(__xludf.DUMMYFUNCTION("""COMPUTED_VALUE"""),80.2307)</f>
        <v>80.2307</v>
      </c>
      <c r="F16557" s="4">
        <f>IFERROR(__xludf.DUMMYFUNCTION("""COMPUTED_VALUE"""),5339.0)</f>
        <v>5339</v>
      </c>
      <c r="G16557" s="4">
        <f>IFERROR(__xludf.DUMMYFUNCTION("""COMPUTED_VALUE"""),47.0)</f>
        <v>47</v>
      </c>
      <c r="H16557" s="4"/>
      <c r="I16557" s="4"/>
    </row>
    <row r="16558">
      <c r="A16558" s="4" t="str">
        <f>IFERROR(__xludf.DUMMYFUNCTION("""COMPUTED_VALUE"""),"cas_hmw")</f>
        <v>cas_hmw</v>
      </c>
      <c r="B16558" s="5">
        <f>IFERROR(__xludf.DUMMYFUNCTION("""COMPUTED_VALUE"""),44736.0)</f>
        <v>44736</v>
      </c>
      <c r="C16558" s="6">
        <f>IFERROR(__xludf.DUMMYFUNCTION("""COMPUTED_VALUE"""),0.3193634259259852)</f>
        <v>0.3193634259</v>
      </c>
      <c r="D16558" s="4">
        <f>IFERROR(__xludf.DUMMYFUNCTION("""COMPUTED_VALUE"""),12.68936)</f>
        <v>12.68936</v>
      </c>
      <c r="E16558" s="4">
        <f>IFERROR(__xludf.DUMMYFUNCTION("""COMPUTED_VALUE"""),79.982395)</f>
        <v>79.982395</v>
      </c>
      <c r="F16558" s="4">
        <f>IFERROR(__xludf.DUMMYFUNCTION("""COMPUTED_VALUE"""),2846.0)</f>
        <v>2846</v>
      </c>
      <c r="G16558" s="4">
        <f>IFERROR(__xludf.DUMMYFUNCTION("""COMPUTED_VALUE"""),35.0)</f>
        <v>35</v>
      </c>
      <c r="H16558" s="4"/>
      <c r="I16558" s="4"/>
    </row>
    <row r="16559">
      <c r="A16559" s="4" t="str">
        <f>IFERROR(__xludf.DUMMYFUNCTION("""COMPUTED_VALUE"""),"cas_hmw")</f>
        <v>cas_hmw</v>
      </c>
      <c r="B16559" s="5">
        <f>IFERROR(__xludf.DUMMYFUNCTION("""COMPUTED_VALUE"""),44736.0)</f>
        <v>44736</v>
      </c>
      <c r="C16559" s="6">
        <f>IFERROR(__xludf.DUMMYFUNCTION("""COMPUTED_VALUE"""),0.3207870370388264)</f>
        <v>0.320787037</v>
      </c>
      <c r="D16559" s="4">
        <f>IFERROR(__xludf.DUMMYFUNCTION("""COMPUTED_VALUE"""),13.015019)</f>
        <v>13.015019</v>
      </c>
      <c r="E16559" s="4">
        <f>IFERROR(__xludf.DUMMYFUNCTION("""COMPUTED_VALUE"""),80.226035)</f>
        <v>80.226035</v>
      </c>
      <c r="F16559" s="4">
        <f>IFERROR(__xludf.DUMMYFUNCTION("""COMPUTED_VALUE"""),5339.0)</f>
        <v>5339</v>
      </c>
      <c r="G16559" s="4">
        <f>IFERROR(__xludf.DUMMYFUNCTION("""COMPUTED_VALUE"""),51.0)</f>
        <v>51</v>
      </c>
      <c r="H16559" s="4"/>
      <c r="I16559" s="4"/>
    </row>
    <row r="16560">
      <c r="A16560" s="4" t="str">
        <f>IFERROR(__xludf.DUMMYFUNCTION("""COMPUTED_VALUE"""),"cas_hmw")</f>
        <v>cas_hmw</v>
      </c>
      <c r="B16560" s="5">
        <f>IFERROR(__xludf.DUMMYFUNCTION("""COMPUTED_VALUE"""),44736.0)</f>
        <v>44736</v>
      </c>
      <c r="C16560" s="6">
        <f>IFERROR(__xludf.DUMMYFUNCTION("""COMPUTED_VALUE"""),0.32091435185066075)</f>
        <v>0.3209143519</v>
      </c>
      <c r="D16560" s="4">
        <f>IFERROR(__xludf.DUMMYFUNCTION("""COMPUTED_VALUE"""),13.013776)</f>
        <v>13.013776</v>
      </c>
      <c r="E16560" s="4">
        <f>IFERROR(__xludf.DUMMYFUNCTION("""COMPUTED_VALUE"""),80.226472)</f>
        <v>80.226472</v>
      </c>
      <c r="F16560" s="4">
        <f>IFERROR(__xludf.DUMMYFUNCTION("""COMPUTED_VALUE"""),5339.0)</f>
        <v>5339</v>
      </c>
      <c r="G16560" s="4">
        <f>IFERROR(__xludf.DUMMYFUNCTION("""COMPUTED_VALUE"""),55.0)</f>
        <v>55</v>
      </c>
      <c r="H16560" s="4"/>
      <c r="I16560" s="4"/>
    </row>
    <row r="16561">
      <c r="A16561" s="4" t="str">
        <f>IFERROR(__xludf.DUMMYFUNCTION("""COMPUTED_VALUE"""),"cas_hmw")</f>
        <v>cas_hmw</v>
      </c>
      <c r="B16561" s="5">
        <f>IFERROR(__xludf.DUMMYFUNCTION("""COMPUTED_VALUE"""),44736.0)</f>
        <v>44736</v>
      </c>
      <c r="C16561" s="6">
        <f>IFERROR(__xludf.DUMMYFUNCTION("""COMPUTED_VALUE"""),0.3215856481474475)</f>
        <v>0.3215856481</v>
      </c>
      <c r="D16561" s="4">
        <f>IFERROR(__xludf.DUMMYFUNCTION("""COMPUTED_VALUE"""),12.69554)</f>
        <v>12.69554</v>
      </c>
      <c r="E16561" s="4">
        <f>IFERROR(__xludf.DUMMYFUNCTION("""COMPUTED_VALUE"""),79.977854)</f>
        <v>79.977854</v>
      </c>
      <c r="F16561" s="4">
        <f>IFERROR(__xludf.DUMMYFUNCTION("""COMPUTED_VALUE"""),2846.0)</f>
        <v>2846</v>
      </c>
      <c r="G16561" s="4">
        <f>IFERROR(__xludf.DUMMYFUNCTION("""COMPUTED_VALUE"""),35.0)</f>
        <v>35</v>
      </c>
      <c r="H16561" s="4"/>
      <c r="I16561" s="4"/>
    </row>
    <row r="16562">
      <c r="A16562" s="4" t="str">
        <f>IFERROR(__xludf.DUMMYFUNCTION("""COMPUTED_VALUE"""),"cas_hmw")</f>
        <v>cas_hmw</v>
      </c>
      <c r="B16562" s="5">
        <f>IFERROR(__xludf.DUMMYFUNCTION("""COMPUTED_VALUE"""),44736.0)</f>
        <v>44736</v>
      </c>
      <c r="C16562" s="6">
        <f>IFERROR(__xludf.DUMMYFUNCTION("""COMPUTED_VALUE"""),0.32188657407459687)</f>
        <v>0.3218865741</v>
      </c>
      <c r="D16562" s="4">
        <f>IFERROR(__xludf.DUMMYFUNCTION("""COMPUTED_VALUE"""),13.011279)</f>
        <v>13.011279</v>
      </c>
      <c r="E16562" s="4">
        <f>IFERROR(__xludf.DUMMYFUNCTION("""COMPUTED_VALUE"""),80.223675)</f>
        <v>80.223675</v>
      </c>
      <c r="F16562" s="4">
        <f>IFERROR(__xludf.DUMMYFUNCTION("""COMPUTED_VALUE"""),5339.0)</f>
        <v>5339</v>
      </c>
      <c r="G16562" s="4">
        <f>IFERROR(__xludf.DUMMYFUNCTION("""COMPUTED_VALUE"""),37.0)</f>
        <v>37</v>
      </c>
      <c r="H16562" s="4"/>
      <c r="I16562" s="4"/>
    </row>
    <row r="16563">
      <c r="A16563" s="4" t="str">
        <f>IFERROR(__xludf.DUMMYFUNCTION("""COMPUTED_VALUE"""),"cas_hmw")</f>
        <v>cas_hmw</v>
      </c>
      <c r="B16563" s="5">
        <f>IFERROR(__xludf.DUMMYFUNCTION("""COMPUTED_VALUE"""),44736.0)</f>
        <v>44736</v>
      </c>
      <c r="C16563" s="6">
        <f>IFERROR(__xludf.DUMMYFUNCTION("""COMPUTED_VALUE"""),0.32196759259386454)</f>
        <v>0.3219675926</v>
      </c>
      <c r="D16563" s="4">
        <f>IFERROR(__xludf.DUMMYFUNCTION("""COMPUTED_VALUE"""),13.01164)</f>
        <v>13.01164</v>
      </c>
      <c r="E16563" s="4">
        <f>IFERROR(__xludf.DUMMYFUNCTION("""COMPUTED_VALUE"""),80.222819)</f>
        <v>80.222819</v>
      </c>
      <c r="F16563" s="4">
        <f>IFERROR(__xludf.DUMMYFUNCTION("""COMPUTED_VALUE"""),5339.0)</f>
        <v>5339</v>
      </c>
      <c r="G16563" s="4">
        <f>IFERROR(__xludf.DUMMYFUNCTION("""COMPUTED_VALUE"""),35.0)</f>
        <v>35</v>
      </c>
      <c r="H16563" s="4"/>
      <c r="I16563" s="4"/>
    </row>
    <row r="16564">
      <c r="A16564" s="4" t="str">
        <f>IFERROR(__xludf.DUMMYFUNCTION("""COMPUTED_VALUE"""),"cas_hmw")</f>
        <v>cas_hmw</v>
      </c>
      <c r="B16564" s="5">
        <f>IFERROR(__xludf.DUMMYFUNCTION("""COMPUTED_VALUE"""),44736.0)</f>
        <v>44736</v>
      </c>
      <c r="C16564" s="6">
        <f>IFERROR(__xludf.DUMMYFUNCTION("""COMPUTED_VALUE"""),0.32204861110949423)</f>
        <v>0.3220486111</v>
      </c>
      <c r="D16564" s="4">
        <f>IFERROR(__xludf.DUMMYFUNCTION("""COMPUTED_VALUE"""),13.011955)</f>
        <v>13.011955</v>
      </c>
      <c r="E16564" s="4">
        <f>IFERROR(__xludf.DUMMYFUNCTION("""COMPUTED_VALUE"""),80.222074)</f>
        <v>80.222074</v>
      </c>
      <c r="F16564" s="4">
        <f>IFERROR(__xludf.DUMMYFUNCTION("""COMPUTED_VALUE"""),5339.0)</f>
        <v>5339</v>
      </c>
      <c r="G16564" s="4">
        <f>IFERROR(__xludf.DUMMYFUNCTION("""COMPUTED_VALUE"""),24.0)</f>
        <v>24</v>
      </c>
      <c r="H16564" s="4"/>
      <c r="I16564" s="4"/>
    </row>
    <row r="16565">
      <c r="A16565" s="4" t="str">
        <f>IFERROR(__xludf.DUMMYFUNCTION("""COMPUTED_VALUE"""),"cas_hmw")</f>
        <v>cas_hmw</v>
      </c>
      <c r="B16565" s="5">
        <f>IFERROR(__xludf.DUMMYFUNCTION("""COMPUTED_VALUE"""),44736.0)</f>
        <v>44736</v>
      </c>
      <c r="C16565" s="6">
        <f>IFERROR(__xludf.DUMMYFUNCTION("""COMPUTED_VALUE"""),0.32204861110949423)</f>
        <v>0.3220486111</v>
      </c>
      <c r="D16565" s="4">
        <f>IFERROR(__xludf.DUMMYFUNCTION("""COMPUTED_VALUE"""),13.011955)</f>
        <v>13.011955</v>
      </c>
      <c r="E16565" s="4">
        <f>IFERROR(__xludf.DUMMYFUNCTION("""COMPUTED_VALUE"""),80.222074)</f>
        <v>80.222074</v>
      </c>
      <c r="F16565" s="4">
        <f>IFERROR(__xludf.DUMMYFUNCTION("""COMPUTED_VALUE"""),5339.0)</f>
        <v>5339</v>
      </c>
      <c r="G16565" s="4">
        <f>IFERROR(__xludf.DUMMYFUNCTION("""COMPUTED_VALUE"""),24.0)</f>
        <v>24</v>
      </c>
      <c r="H16565" s="4"/>
      <c r="I16565" s="4"/>
    </row>
    <row r="16566">
      <c r="A16566" s="4" t="str">
        <f>IFERROR(__xludf.DUMMYFUNCTION("""COMPUTED_VALUE"""),"cas_hmw")</f>
        <v>cas_hmw</v>
      </c>
      <c r="B16566" s="5">
        <f>IFERROR(__xludf.DUMMYFUNCTION("""COMPUTED_VALUE"""),44736.0)</f>
        <v>44736</v>
      </c>
      <c r="C16566" s="6">
        <f>IFERROR(__xludf.DUMMYFUNCTION("""COMPUTED_VALUE"""),0.3221759259249666)</f>
        <v>0.3221759259</v>
      </c>
      <c r="D16566" s="4">
        <f>IFERROR(__xludf.DUMMYFUNCTION("""COMPUTED_VALUE"""),13.012186)</f>
        <v>13.012186</v>
      </c>
      <c r="E16566" s="4">
        <f>IFERROR(__xludf.DUMMYFUNCTION("""COMPUTED_VALUE"""),80.221382)</f>
        <v>80.221382</v>
      </c>
      <c r="F16566" s="4">
        <f>IFERROR(__xludf.DUMMYFUNCTION("""COMPUTED_VALUE"""),5339.0)</f>
        <v>5339</v>
      </c>
      <c r="G16566" s="4">
        <f>IFERROR(__xludf.DUMMYFUNCTION("""COMPUTED_VALUE"""),29.0)</f>
        <v>29</v>
      </c>
      <c r="H16566" s="4"/>
      <c r="I16566" s="4"/>
    </row>
    <row r="16567">
      <c r="A16567" s="4" t="str">
        <f>IFERROR(__xludf.DUMMYFUNCTION("""COMPUTED_VALUE"""),"cas_hmw")</f>
        <v>cas_hmw</v>
      </c>
      <c r="B16567" s="5">
        <f>IFERROR(__xludf.DUMMYFUNCTION("""COMPUTED_VALUE"""),44736.0)</f>
        <v>44736</v>
      </c>
      <c r="C16567" s="6">
        <f>IFERROR(__xludf.DUMMYFUNCTION("""COMPUTED_VALUE"""),0.3241666666654055)</f>
        <v>0.3241666667</v>
      </c>
      <c r="D16567" s="4">
        <f>IFERROR(__xludf.DUMMYFUNCTION("""COMPUTED_VALUE"""),13.007005)</f>
        <v>13.007005</v>
      </c>
      <c r="E16567" s="4">
        <f>IFERROR(__xludf.DUMMYFUNCTION("""COMPUTED_VALUE"""),80.204504)</f>
        <v>80.204504</v>
      </c>
      <c r="F16567" s="4">
        <f>IFERROR(__xludf.DUMMYFUNCTION("""COMPUTED_VALUE"""),5339.0)</f>
        <v>5339</v>
      </c>
      <c r="G16567" s="4">
        <f>IFERROR(__xludf.DUMMYFUNCTION("""COMPUTED_VALUE"""),46.0)</f>
        <v>46</v>
      </c>
      <c r="H16567" s="4"/>
      <c r="I16567" s="4"/>
    </row>
    <row r="16568">
      <c r="A16568" s="4" t="str">
        <f>IFERROR(__xludf.DUMMYFUNCTION("""COMPUTED_VALUE"""),"cas_hmw")</f>
        <v>cas_hmw</v>
      </c>
      <c r="B16568" s="5">
        <f>IFERROR(__xludf.DUMMYFUNCTION("""COMPUTED_VALUE"""),44736.0)</f>
        <v>44736</v>
      </c>
      <c r="C16568" s="6">
        <f>IFERROR(__xludf.DUMMYFUNCTION("""COMPUTED_VALUE"""),0.32497685185080627)</f>
        <v>0.3249768519</v>
      </c>
      <c r="D16568" s="4">
        <f>IFERROR(__xludf.DUMMYFUNCTION("""COMPUTED_VALUE"""),12.703822)</f>
        <v>12.703822</v>
      </c>
      <c r="E16568" s="4">
        <f>IFERROR(__xludf.DUMMYFUNCTION("""COMPUTED_VALUE"""),79.97209)</f>
        <v>79.97209</v>
      </c>
      <c r="F16568" s="4">
        <f>IFERROR(__xludf.DUMMYFUNCTION("""COMPUTED_VALUE"""),2846.0)</f>
        <v>2846</v>
      </c>
      <c r="G16568" s="4">
        <f>IFERROR(__xludf.DUMMYFUNCTION("""COMPUTED_VALUE"""),56.0)</f>
        <v>56</v>
      </c>
      <c r="H16568" s="4"/>
      <c r="I16568" s="4"/>
    </row>
    <row r="16569">
      <c r="A16569" s="4" t="str">
        <f>IFERROR(__xludf.DUMMYFUNCTION("""COMPUTED_VALUE"""),"cas_hmw")</f>
        <v>cas_hmw</v>
      </c>
      <c r="B16569" s="5">
        <f>IFERROR(__xludf.DUMMYFUNCTION("""COMPUTED_VALUE"""),44736.0)</f>
        <v>44736</v>
      </c>
      <c r="C16569" s="6">
        <f>IFERROR(__xludf.DUMMYFUNCTION("""COMPUTED_VALUE"""),0.32582175925927004)</f>
        <v>0.3258217593</v>
      </c>
      <c r="D16569" s="4">
        <f>IFERROR(__xludf.DUMMYFUNCTION("""COMPUTED_VALUE"""),12.710112)</f>
        <v>12.710112</v>
      </c>
      <c r="E16569" s="4">
        <f>IFERROR(__xludf.DUMMYFUNCTION("""COMPUTED_VALUE"""),79.977921)</f>
        <v>79.977921</v>
      </c>
      <c r="F16569" s="4">
        <f>IFERROR(__xludf.DUMMYFUNCTION("""COMPUTED_VALUE"""),2846.0)</f>
        <v>2846</v>
      </c>
      <c r="G16569" s="4">
        <f>IFERROR(__xludf.DUMMYFUNCTION("""COMPUTED_VALUE"""),38.0)</f>
        <v>38</v>
      </c>
      <c r="H16569" s="4"/>
      <c r="I16569" s="4"/>
    </row>
    <row r="16570">
      <c r="A16570" s="4" t="str">
        <f>IFERROR(__xludf.DUMMYFUNCTION("""COMPUTED_VALUE"""),"cas_hmw")</f>
        <v>cas_hmw</v>
      </c>
      <c r="B16570" s="5">
        <f>IFERROR(__xludf.DUMMYFUNCTION("""COMPUTED_VALUE"""),44736.0)</f>
        <v>44736</v>
      </c>
      <c r="C16570" s="6">
        <f>IFERROR(__xludf.DUMMYFUNCTION("""COMPUTED_VALUE"""),0.32589120370539604)</f>
        <v>0.3258912037</v>
      </c>
      <c r="D16570" s="4">
        <f>IFERROR(__xludf.DUMMYFUNCTION("""COMPUTED_VALUE"""),12.710112)</f>
        <v>12.710112</v>
      </c>
      <c r="E16570" s="4">
        <f>IFERROR(__xludf.DUMMYFUNCTION("""COMPUTED_VALUE"""),79.977921)</f>
        <v>79.977921</v>
      </c>
      <c r="F16570" s="4">
        <f>IFERROR(__xludf.DUMMYFUNCTION("""COMPUTED_VALUE"""),2846.0)</f>
        <v>2846</v>
      </c>
      <c r="G16570" s="4">
        <f>IFERROR(__xludf.DUMMYFUNCTION("""COMPUTED_VALUE"""),38.0)</f>
        <v>38</v>
      </c>
      <c r="H16570" s="4"/>
      <c r="I16570" s="4"/>
    </row>
    <row r="16571">
      <c r="A16571" s="4" t="str">
        <f>IFERROR(__xludf.DUMMYFUNCTION("""COMPUTED_VALUE"""),"cas_hmw")</f>
        <v>cas_hmw</v>
      </c>
      <c r="B16571" s="5">
        <f>IFERROR(__xludf.DUMMYFUNCTION("""COMPUTED_VALUE"""),44736.0)</f>
        <v>44736</v>
      </c>
      <c r="C16571" s="6">
        <f>IFERROR(__xludf.DUMMYFUNCTION("""COMPUTED_VALUE"""),0.3271064814798592)</f>
        <v>0.3271064815</v>
      </c>
      <c r="D16571" s="4">
        <f>IFERROR(__xludf.DUMMYFUNCTION("""COMPUTED_VALUE"""),12.994068)</f>
        <v>12.994068</v>
      </c>
      <c r="E16571" s="4">
        <f>IFERROR(__xludf.DUMMYFUNCTION("""COMPUTED_VALUE"""),80.185683)</f>
        <v>80.185683</v>
      </c>
      <c r="F16571" s="4">
        <f>IFERROR(__xludf.DUMMYFUNCTION("""COMPUTED_VALUE"""),5339.0)</f>
        <v>5339</v>
      </c>
      <c r="G16571" s="4">
        <f>IFERROR(__xludf.DUMMYFUNCTION("""COMPUTED_VALUE"""),29.0)</f>
        <v>29</v>
      </c>
      <c r="H16571" s="4"/>
      <c r="I16571" s="4"/>
    </row>
    <row r="16572">
      <c r="A16572" s="4" t="str">
        <f>IFERROR(__xludf.DUMMYFUNCTION("""COMPUTED_VALUE"""),"cas_hmw")</f>
        <v>cas_hmw</v>
      </c>
      <c r="B16572" s="5">
        <f>IFERROR(__xludf.DUMMYFUNCTION("""COMPUTED_VALUE"""),44736.0)</f>
        <v>44736</v>
      </c>
      <c r="C16572" s="6">
        <f>IFERROR(__xludf.DUMMYFUNCTION("""COMPUTED_VALUE"""),0.3285185185195587)</f>
        <v>0.3285185185</v>
      </c>
      <c r="D16572" s="4">
        <f>IFERROR(__xludf.DUMMYFUNCTION("""COMPUTED_VALUE"""),12.733472)</f>
        <v>12.733472</v>
      </c>
      <c r="E16572" s="4">
        <f>IFERROR(__xludf.DUMMYFUNCTION("""COMPUTED_VALUE"""),79.983616)</f>
        <v>79.983616</v>
      </c>
      <c r="F16572" s="4">
        <f>IFERROR(__xludf.DUMMYFUNCTION("""COMPUTED_VALUE"""),2846.0)</f>
        <v>2846</v>
      </c>
      <c r="G16572" s="4">
        <f>IFERROR(__xludf.DUMMYFUNCTION("""COMPUTED_VALUE"""),52.0)</f>
        <v>52</v>
      </c>
      <c r="H16572" s="4"/>
      <c r="I16572" s="4"/>
    </row>
    <row r="16573">
      <c r="A16573" s="4" t="str">
        <f>IFERROR(__xludf.DUMMYFUNCTION("""COMPUTED_VALUE"""),"cas_hmw")</f>
        <v>cas_hmw</v>
      </c>
      <c r="B16573" s="5">
        <f>IFERROR(__xludf.DUMMYFUNCTION("""COMPUTED_VALUE"""),44736.0)</f>
        <v>44736</v>
      </c>
      <c r="C16573" s="6">
        <f>IFERROR(__xludf.DUMMYFUNCTION("""COMPUTED_VALUE"""),0.32916666666642413)</f>
        <v>0.3291666667</v>
      </c>
      <c r="D16573" s="4">
        <f>IFERROR(__xludf.DUMMYFUNCTION("""COMPUTED_VALUE"""),12.739769)</f>
        <v>12.739769</v>
      </c>
      <c r="E16573" s="4">
        <f>IFERROR(__xludf.DUMMYFUNCTION("""COMPUTED_VALUE"""),79.989512)</f>
        <v>79.989512</v>
      </c>
      <c r="F16573" s="4">
        <f>IFERROR(__xludf.DUMMYFUNCTION("""COMPUTED_VALUE"""),2846.0)</f>
        <v>2846</v>
      </c>
      <c r="G16573" s="4">
        <f>IFERROR(__xludf.DUMMYFUNCTION("""COMPUTED_VALUE"""),58.0)</f>
        <v>58</v>
      </c>
      <c r="H16573" s="4"/>
      <c r="I16573" s="4"/>
    </row>
    <row r="16574">
      <c r="A16574" s="4" t="str">
        <f>IFERROR(__xludf.DUMMYFUNCTION("""COMPUTED_VALUE"""),"cas_hmw")</f>
        <v>cas_hmw</v>
      </c>
      <c r="B16574" s="5">
        <f>IFERROR(__xludf.DUMMYFUNCTION("""COMPUTED_VALUE"""),44736.0)</f>
        <v>44736</v>
      </c>
      <c r="C16574" s="6">
        <f>IFERROR(__xludf.DUMMYFUNCTION("""COMPUTED_VALUE"""),0.32923611111255013)</f>
        <v>0.3292361111</v>
      </c>
      <c r="D16574" s="4">
        <f>IFERROR(__xludf.DUMMYFUNCTION("""COMPUTED_VALUE"""),12.739769)</f>
        <v>12.739769</v>
      </c>
      <c r="E16574" s="4">
        <f>IFERROR(__xludf.DUMMYFUNCTION("""COMPUTED_VALUE"""),79.989512)</f>
        <v>79.989512</v>
      </c>
      <c r="F16574" s="4">
        <f>IFERROR(__xludf.DUMMYFUNCTION("""COMPUTED_VALUE"""),2846.0)</f>
        <v>2846</v>
      </c>
      <c r="G16574" s="4">
        <f>IFERROR(__xludf.DUMMYFUNCTION("""COMPUTED_VALUE"""),58.0)</f>
        <v>58</v>
      </c>
      <c r="H16574" s="4"/>
      <c r="I16574" s="4"/>
    </row>
    <row r="16575">
      <c r="A16575" s="4" t="str">
        <f>IFERROR(__xludf.DUMMYFUNCTION("""COMPUTED_VALUE"""),"cas_hmw")</f>
        <v>cas_hmw</v>
      </c>
      <c r="B16575" s="5">
        <f>IFERROR(__xludf.DUMMYFUNCTION("""COMPUTED_VALUE"""),44736.0)</f>
        <v>44736</v>
      </c>
      <c r="C16575" s="6">
        <f>IFERROR(__xludf.DUMMYFUNCTION("""COMPUTED_VALUE"""),0.32967592592467554)</f>
        <v>0.3296759259</v>
      </c>
      <c r="D16575" s="4">
        <f>IFERROR(__xludf.DUMMYFUNCTION("""COMPUTED_VALUE"""),12.980421)</f>
        <v>12.980421</v>
      </c>
      <c r="E16575" s="4">
        <f>IFERROR(__xludf.DUMMYFUNCTION("""COMPUTED_VALUE"""),80.164815)</f>
        <v>80.164815</v>
      </c>
      <c r="F16575" s="4">
        <f>IFERROR(__xludf.DUMMYFUNCTION("""COMPUTED_VALUE"""),5339.0)</f>
        <v>5339</v>
      </c>
      <c r="G16575" s="4">
        <f>IFERROR(__xludf.DUMMYFUNCTION("""COMPUTED_VALUE"""),44.0)</f>
        <v>44</v>
      </c>
      <c r="H16575" s="4"/>
      <c r="I16575" s="4"/>
    </row>
    <row r="16576">
      <c r="A16576" s="4" t="str">
        <f>IFERROR(__xludf.DUMMYFUNCTION("""COMPUTED_VALUE"""),"cas_hmw")</f>
        <v>cas_hmw</v>
      </c>
      <c r="B16576" s="5">
        <f>IFERROR(__xludf.DUMMYFUNCTION("""COMPUTED_VALUE"""),44736.0)</f>
        <v>44736</v>
      </c>
      <c r="C16576" s="6">
        <f>IFERROR(__xludf.DUMMYFUNCTION("""COMPUTED_VALUE"""),0.3316435185188311)</f>
        <v>0.3316435185</v>
      </c>
      <c r="D16576" s="4">
        <f>IFERROR(__xludf.DUMMYFUNCTION("""COMPUTED_VALUE"""),12.97337)</f>
        <v>12.97337</v>
      </c>
      <c r="E16576" s="4">
        <f>IFERROR(__xludf.DUMMYFUNCTION("""COMPUTED_VALUE"""),80.153207)</f>
        <v>80.153207</v>
      </c>
      <c r="F16576" s="4">
        <f>IFERROR(__xludf.DUMMYFUNCTION("""COMPUTED_VALUE"""),5339.0)</f>
        <v>5339</v>
      </c>
      <c r="G16576" s="4">
        <f>IFERROR(__xludf.DUMMYFUNCTION("""COMPUTED_VALUE"""),40.0)</f>
        <v>40</v>
      </c>
      <c r="H16576" s="4"/>
      <c r="I16576" s="4"/>
    </row>
    <row r="16577">
      <c r="A16577" s="4" t="str">
        <f>IFERROR(__xludf.DUMMYFUNCTION("""COMPUTED_VALUE"""),"cas_hmw")</f>
        <v>cas_hmw</v>
      </c>
      <c r="B16577" s="5">
        <f>IFERROR(__xludf.DUMMYFUNCTION("""COMPUTED_VALUE"""),44736.0)</f>
        <v>44736</v>
      </c>
      <c r="C16577" s="6">
        <f>IFERROR(__xludf.DUMMYFUNCTION("""COMPUTED_VALUE"""),0.3320486111115315)</f>
        <v>0.3320486111</v>
      </c>
      <c r="D16577" s="4">
        <f>IFERROR(__xludf.DUMMYFUNCTION("""COMPUTED_VALUE"""),12.971651)</f>
        <v>12.971651</v>
      </c>
      <c r="E16577" s="4">
        <f>IFERROR(__xludf.DUMMYFUNCTION("""COMPUTED_VALUE"""),80.151239)</f>
        <v>80.151239</v>
      </c>
      <c r="F16577" s="4">
        <f>IFERROR(__xludf.DUMMYFUNCTION("""COMPUTED_VALUE"""),5339.0)</f>
        <v>5339</v>
      </c>
      <c r="G16577" s="4">
        <f>IFERROR(__xludf.DUMMYFUNCTION("""COMPUTED_VALUE"""),25.0)</f>
        <v>25</v>
      </c>
      <c r="H16577" s="4"/>
      <c r="I16577" s="4"/>
    </row>
    <row r="16578">
      <c r="A16578" s="4" t="str">
        <f>IFERROR(__xludf.DUMMYFUNCTION("""COMPUTED_VALUE"""),"cas_hmw")</f>
        <v>cas_hmw</v>
      </c>
      <c r="B16578" s="5">
        <f>IFERROR(__xludf.DUMMYFUNCTION("""COMPUTED_VALUE"""),44736.0)</f>
        <v>44736</v>
      </c>
      <c r="C16578" s="6">
        <f>IFERROR(__xludf.DUMMYFUNCTION("""COMPUTED_VALUE"""),0.3326273148159089)</f>
        <v>0.3326273148</v>
      </c>
      <c r="D16578" s="4">
        <f>IFERROR(__xludf.DUMMYFUNCTION("""COMPUTED_VALUE"""),12.968604)</f>
        <v>12.968604</v>
      </c>
      <c r="E16578" s="4">
        <f>IFERROR(__xludf.DUMMYFUNCTION("""COMPUTED_VALUE"""),80.149734)</f>
        <v>80.149734</v>
      </c>
      <c r="F16578" s="4">
        <f>IFERROR(__xludf.DUMMYFUNCTION("""COMPUTED_VALUE"""),5339.0)</f>
        <v>5339</v>
      </c>
      <c r="G16578" s="4">
        <f>IFERROR(__xludf.DUMMYFUNCTION("""COMPUTED_VALUE"""),29.0)</f>
        <v>29</v>
      </c>
      <c r="H16578" s="4"/>
      <c r="I16578" s="4"/>
    </row>
    <row r="16579">
      <c r="A16579" s="4" t="str">
        <f>IFERROR(__xludf.DUMMYFUNCTION("""COMPUTED_VALUE"""),"cas_hmw")</f>
        <v>cas_hmw</v>
      </c>
      <c r="B16579" s="5">
        <f>IFERROR(__xludf.DUMMYFUNCTION("""COMPUTED_VALUE"""),44736.0)</f>
        <v>44736</v>
      </c>
      <c r="C16579" s="6">
        <f>IFERROR(__xludf.DUMMYFUNCTION("""COMPUTED_VALUE"""),0.3326388888890506)</f>
        <v>0.3326388889</v>
      </c>
      <c r="D16579" s="4">
        <f>IFERROR(__xludf.DUMMYFUNCTION("""COMPUTED_VALUE"""),12.968604)</f>
        <v>12.968604</v>
      </c>
      <c r="E16579" s="4">
        <f>IFERROR(__xludf.DUMMYFUNCTION("""COMPUTED_VALUE"""),80.149734)</f>
        <v>80.149734</v>
      </c>
      <c r="F16579" s="4">
        <f>IFERROR(__xludf.DUMMYFUNCTION("""COMPUTED_VALUE"""),5339.0)</f>
        <v>5339</v>
      </c>
      <c r="G16579" s="4">
        <f>IFERROR(__xludf.DUMMYFUNCTION("""COMPUTED_VALUE"""),29.0)</f>
        <v>29</v>
      </c>
      <c r="H16579" s="4"/>
      <c r="I16579" s="4"/>
    </row>
    <row r="16580">
      <c r="A16580" s="4" t="str">
        <f>IFERROR(__xludf.DUMMYFUNCTION("""COMPUTED_VALUE"""),"cas_hmw")</f>
        <v>cas_hmw</v>
      </c>
      <c r="B16580" s="5">
        <f>IFERROR(__xludf.DUMMYFUNCTION("""COMPUTED_VALUE"""),44736.0)</f>
        <v>44736</v>
      </c>
      <c r="C16580" s="6">
        <f>IFERROR(__xludf.DUMMYFUNCTION("""COMPUTED_VALUE"""),0.33381944444408873)</f>
        <v>0.3338194444</v>
      </c>
      <c r="D16580" s="4">
        <f>IFERROR(__xludf.DUMMYFUNCTION("""COMPUTED_VALUE"""),12.961948)</f>
        <v>12.961948</v>
      </c>
      <c r="E16580" s="4">
        <f>IFERROR(__xludf.DUMMYFUNCTION("""COMPUTED_VALUE"""),80.1463)</f>
        <v>80.1463</v>
      </c>
      <c r="F16580" s="4">
        <f>IFERROR(__xludf.DUMMYFUNCTION("""COMPUTED_VALUE"""),5339.0)</f>
        <v>5339</v>
      </c>
      <c r="G16580" s="4">
        <f>IFERROR(__xludf.DUMMYFUNCTION("""COMPUTED_VALUE"""),46.0)</f>
        <v>46</v>
      </c>
      <c r="H16580" s="4"/>
      <c r="I16580" s="4"/>
    </row>
    <row r="16581">
      <c r="A16581" s="4" t="str">
        <f>IFERROR(__xludf.DUMMYFUNCTION("""COMPUTED_VALUE"""),"cas_hmw")</f>
        <v>cas_hmw</v>
      </c>
      <c r="B16581" s="5">
        <f>IFERROR(__xludf.DUMMYFUNCTION("""COMPUTED_VALUE"""),44736.0)</f>
        <v>44736</v>
      </c>
      <c r="C16581" s="6">
        <f>IFERROR(__xludf.DUMMYFUNCTION("""COMPUTED_VALUE"""),0.33428240740613546)</f>
        <v>0.3342824074</v>
      </c>
      <c r="D16581" s="4">
        <f>IFERROR(__xludf.DUMMYFUNCTION("""COMPUTED_VALUE"""),12.957988)</f>
        <v>12.957988</v>
      </c>
      <c r="E16581" s="4">
        <f>IFERROR(__xludf.DUMMYFUNCTION("""COMPUTED_VALUE"""),80.144176)</f>
        <v>80.144176</v>
      </c>
      <c r="F16581" s="4">
        <f>IFERROR(__xludf.DUMMYFUNCTION("""COMPUTED_VALUE"""),5339.0)</f>
        <v>5339</v>
      </c>
      <c r="G16581" s="4">
        <f>IFERROR(__xludf.DUMMYFUNCTION("""COMPUTED_VALUE"""),40.0)</f>
        <v>40</v>
      </c>
      <c r="H16581" s="4"/>
      <c r="I16581" s="4"/>
    </row>
    <row r="16582">
      <c r="A16582" s="4" t="str">
        <f>IFERROR(__xludf.DUMMYFUNCTION("""COMPUTED_VALUE"""),"cas_hmw")</f>
        <v>cas_hmw</v>
      </c>
      <c r="B16582" s="5">
        <f>IFERROR(__xludf.DUMMYFUNCTION("""COMPUTED_VALUE"""),44736.0)</f>
        <v>44736</v>
      </c>
      <c r="C16582" s="6">
        <f>IFERROR(__xludf.DUMMYFUNCTION("""COMPUTED_VALUE"""),0.33453703703708015)</f>
        <v>0.334537037</v>
      </c>
      <c r="D16582" s="4">
        <f>IFERROR(__xludf.DUMMYFUNCTION("""COMPUTED_VALUE"""),12.956429)</f>
        <v>12.956429</v>
      </c>
      <c r="E16582" s="4">
        <f>IFERROR(__xludf.DUMMYFUNCTION("""COMPUTED_VALUE"""),80.143394)</f>
        <v>80.143394</v>
      </c>
      <c r="F16582" s="4">
        <f>IFERROR(__xludf.DUMMYFUNCTION("""COMPUTED_VALUE"""),5339.0)</f>
        <v>5339</v>
      </c>
      <c r="G16582" s="4">
        <f>IFERROR(__xludf.DUMMYFUNCTION("""COMPUTED_VALUE"""),30.0)</f>
        <v>30</v>
      </c>
      <c r="H16582" s="4"/>
      <c r="I16582" s="4"/>
    </row>
    <row r="16583">
      <c r="A16583" s="4" t="str">
        <f>IFERROR(__xludf.DUMMYFUNCTION("""COMPUTED_VALUE"""),"cas_hmw")</f>
        <v>cas_hmw</v>
      </c>
      <c r="B16583" s="5">
        <f>IFERROR(__xludf.DUMMYFUNCTION("""COMPUTED_VALUE"""),44736.0)</f>
        <v>44736</v>
      </c>
      <c r="C16583" s="6">
        <f>IFERROR(__xludf.DUMMYFUNCTION("""COMPUTED_VALUE"""),0.3346643518525525)</f>
        <v>0.3346643519</v>
      </c>
      <c r="D16583" s="4">
        <f>IFERROR(__xludf.DUMMYFUNCTION("""COMPUTED_VALUE"""),12.955757)</f>
        <v>12.955757</v>
      </c>
      <c r="E16583" s="4">
        <f>IFERROR(__xludf.DUMMYFUNCTION("""COMPUTED_VALUE"""),80.143016)</f>
        <v>80.143016</v>
      </c>
      <c r="F16583" s="4">
        <f>IFERROR(__xludf.DUMMYFUNCTION("""COMPUTED_VALUE"""),5339.0)</f>
        <v>5339</v>
      </c>
      <c r="G16583" s="4">
        <f>IFERROR(__xludf.DUMMYFUNCTION("""COMPUTED_VALUE"""),32.0)</f>
        <v>32</v>
      </c>
      <c r="H16583" s="4"/>
      <c r="I16583" s="4"/>
    </row>
    <row r="16584">
      <c r="A16584" s="4" t="str">
        <f>IFERROR(__xludf.DUMMYFUNCTION("""COMPUTED_VALUE"""),"cas_hmw")</f>
        <v>cas_hmw</v>
      </c>
      <c r="B16584" s="5">
        <f>IFERROR(__xludf.DUMMYFUNCTION("""COMPUTED_VALUE"""),44736.0)</f>
        <v>44736</v>
      </c>
      <c r="C16584" s="6">
        <f>IFERROR(__xludf.DUMMYFUNCTION("""COMPUTED_VALUE"""),0.3349189814798592)</f>
        <v>0.3349189815</v>
      </c>
      <c r="D16584" s="4">
        <f>IFERROR(__xludf.DUMMYFUNCTION("""COMPUTED_VALUE"""),12.787706)</f>
        <v>12.787706</v>
      </c>
      <c r="E16584" s="4">
        <f>IFERROR(__xludf.DUMMYFUNCTION("""COMPUTED_VALUE"""),80.015498)</f>
        <v>80.015498</v>
      </c>
      <c r="F16584" s="4">
        <f>IFERROR(__xludf.DUMMYFUNCTION("""COMPUTED_VALUE"""),2846.0)</f>
        <v>2846</v>
      </c>
      <c r="G16584" s="4">
        <f>IFERROR(__xludf.DUMMYFUNCTION("""COMPUTED_VALUE"""),45.0)</f>
        <v>45</v>
      </c>
      <c r="H16584" s="4"/>
      <c r="I16584" s="4"/>
    </row>
    <row r="16585">
      <c r="A16585" s="4" t="str">
        <f>IFERROR(__xludf.DUMMYFUNCTION("""COMPUTED_VALUE"""),"cas_hmw")</f>
        <v>cas_hmw</v>
      </c>
      <c r="B16585" s="5">
        <f>IFERROR(__xludf.DUMMYFUNCTION("""COMPUTED_VALUE"""),44736.0)</f>
        <v>44736</v>
      </c>
      <c r="C16585" s="6">
        <f>IFERROR(__xludf.DUMMYFUNCTION("""COMPUTED_VALUE"""),0.33614583333474)</f>
        <v>0.3361458333</v>
      </c>
      <c r="D16585" s="4">
        <f>IFERROR(__xludf.DUMMYFUNCTION("""COMPUTED_VALUE"""),12.951026)</f>
        <v>12.951026</v>
      </c>
      <c r="E16585" s="4">
        <f>IFERROR(__xludf.DUMMYFUNCTION("""COMPUTED_VALUE"""),80.140069)</f>
        <v>80.140069</v>
      </c>
      <c r="F16585" s="4">
        <f>IFERROR(__xludf.DUMMYFUNCTION("""COMPUTED_VALUE"""),5339.0)</f>
        <v>5339</v>
      </c>
      <c r="G16585" s="4">
        <f>IFERROR(__xludf.DUMMYFUNCTION("""COMPUTED_VALUE"""),24.0)</f>
        <v>24</v>
      </c>
      <c r="H16585" s="4"/>
      <c r="I16585" s="4"/>
    </row>
    <row r="16586">
      <c r="A16586" s="4" t="str">
        <f>IFERROR(__xludf.DUMMYFUNCTION("""COMPUTED_VALUE"""),"cas_hmw")</f>
        <v>cas_hmw</v>
      </c>
      <c r="B16586" s="5">
        <f>IFERROR(__xludf.DUMMYFUNCTION("""COMPUTED_VALUE"""),44736.0)</f>
        <v>44736</v>
      </c>
      <c r="C16586" s="6">
        <f>IFERROR(__xludf.DUMMYFUNCTION("""COMPUTED_VALUE"""),0.3361574074078817)</f>
        <v>0.3361574074</v>
      </c>
      <c r="D16586" s="4">
        <f>IFERROR(__xludf.DUMMYFUNCTION("""COMPUTED_VALUE"""),12.951026)</f>
        <v>12.951026</v>
      </c>
      <c r="E16586" s="4">
        <f>IFERROR(__xludf.DUMMYFUNCTION("""COMPUTED_VALUE"""),80.140069)</f>
        <v>80.140069</v>
      </c>
      <c r="F16586" s="4">
        <f>IFERROR(__xludf.DUMMYFUNCTION("""COMPUTED_VALUE"""),5339.0)</f>
        <v>5339</v>
      </c>
      <c r="G16586" s="4">
        <f>IFERROR(__xludf.DUMMYFUNCTION("""COMPUTED_VALUE"""),24.0)</f>
        <v>24</v>
      </c>
      <c r="H16586" s="4"/>
      <c r="I16586" s="4"/>
    </row>
    <row r="16587">
      <c r="A16587" s="4" t="str">
        <f>IFERROR(__xludf.DUMMYFUNCTION("""COMPUTED_VALUE"""),"cas_hmw")</f>
        <v>cas_hmw</v>
      </c>
      <c r="B16587" s="5">
        <f>IFERROR(__xludf.DUMMYFUNCTION("""COMPUTED_VALUE"""),44736.0)</f>
        <v>44736</v>
      </c>
      <c r="C16587" s="6">
        <f>IFERROR(__xludf.DUMMYFUNCTION("""COMPUTED_VALUE"""),0.33821759259080864)</f>
        <v>0.3382175926</v>
      </c>
      <c r="D16587" s="4">
        <f>IFERROR(__xludf.DUMMYFUNCTION("""COMPUTED_VALUE"""),12.941554)</f>
        <v>12.941554</v>
      </c>
      <c r="E16587" s="4">
        <f>IFERROR(__xludf.DUMMYFUNCTION("""COMPUTED_VALUE"""),80.13221)</f>
        <v>80.13221</v>
      </c>
      <c r="F16587" s="4">
        <f>IFERROR(__xludf.DUMMYFUNCTION("""COMPUTED_VALUE"""),5339.0)</f>
        <v>5339</v>
      </c>
      <c r="G16587" s="4">
        <f>IFERROR(__xludf.DUMMYFUNCTION("""COMPUTED_VALUE"""),39.0)</f>
        <v>39</v>
      </c>
      <c r="H16587" s="4"/>
      <c r="I16587" s="4"/>
    </row>
    <row r="16588">
      <c r="A16588" s="4" t="str">
        <f>IFERROR(__xludf.DUMMYFUNCTION("""COMPUTED_VALUE"""),"cas_hmw")</f>
        <v>cas_hmw</v>
      </c>
      <c r="B16588" s="5">
        <f>IFERROR(__xludf.DUMMYFUNCTION("""COMPUTED_VALUE"""),44736.0)</f>
        <v>44736</v>
      </c>
      <c r="C16588" s="6">
        <f>IFERROR(__xludf.DUMMYFUNCTION("""COMPUTED_VALUE"""),0.3389467592605797)</f>
        <v>0.3389467593</v>
      </c>
      <c r="D16588" s="4">
        <f>IFERROR(__xludf.DUMMYFUNCTION("""COMPUTED_VALUE"""),12.937522)</f>
        <v>12.937522</v>
      </c>
      <c r="E16588" s="4">
        <f>IFERROR(__xludf.DUMMYFUNCTION("""COMPUTED_VALUE"""),80.128413)</f>
        <v>80.128413</v>
      </c>
      <c r="F16588" s="4">
        <f>IFERROR(__xludf.DUMMYFUNCTION("""COMPUTED_VALUE"""),5339.0)</f>
        <v>5339</v>
      </c>
      <c r="G16588" s="4">
        <f>IFERROR(__xludf.DUMMYFUNCTION("""COMPUTED_VALUE"""),35.0)</f>
        <v>35</v>
      </c>
      <c r="H16588" s="4"/>
      <c r="I16588" s="4"/>
    </row>
    <row r="16589">
      <c r="A16589" s="4" t="str">
        <f>IFERROR(__xludf.DUMMYFUNCTION("""COMPUTED_VALUE"""),"cas_hmw")</f>
        <v>cas_hmw</v>
      </c>
      <c r="B16589" s="5">
        <f>IFERROR(__xludf.DUMMYFUNCTION("""COMPUTED_VALUE"""),44736.0)</f>
        <v>44736</v>
      </c>
      <c r="C16589" s="6">
        <f>IFERROR(__xludf.DUMMYFUNCTION("""COMPUTED_VALUE"""),0.3391087962954771)</f>
        <v>0.3391087963</v>
      </c>
      <c r="D16589" s="4">
        <f>IFERROR(__xludf.DUMMYFUNCTION("""COMPUTED_VALUE"""),12.831393)</f>
        <v>12.831393</v>
      </c>
      <c r="E16589" s="4">
        <f>IFERROR(__xludf.DUMMYFUNCTION("""COMPUTED_VALUE"""),80.046354)</f>
        <v>80.046354</v>
      </c>
      <c r="F16589" s="4">
        <f>IFERROR(__xludf.DUMMYFUNCTION("""COMPUTED_VALUE"""),2846.0)</f>
        <v>2846</v>
      </c>
      <c r="G16589" s="4">
        <f>IFERROR(__xludf.DUMMYFUNCTION("""COMPUTED_VALUE"""),36.0)</f>
        <v>36</v>
      </c>
      <c r="H16589" s="4"/>
      <c r="I16589" s="4"/>
    </row>
    <row r="16590">
      <c r="A16590" s="4" t="str">
        <f>IFERROR(__xludf.DUMMYFUNCTION("""COMPUTED_VALUE"""),"cas_hmw")</f>
        <v>cas_hmw</v>
      </c>
      <c r="B16590" s="5">
        <f>IFERROR(__xludf.DUMMYFUNCTION("""COMPUTED_VALUE"""),44736.0)</f>
        <v>44736</v>
      </c>
      <c r="C16590" s="6">
        <f>IFERROR(__xludf.DUMMYFUNCTION("""COMPUTED_VALUE"""),0.34027777777737356)</f>
        <v>0.3402777778</v>
      </c>
      <c r="D16590" s="4">
        <f>IFERROR(__xludf.DUMMYFUNCTION("""COMPUTED_VALUE"""),12.841101)</f>
        <v>12.841101</v>
      </c>
      <c r="E16590" s="4">
        <f>IFERROR(__xludf.DUMMYFUNCTION("""COMPUTED_VALUE"""),80.05655)</f>
        <v>80.05655</v>
      </c>
      <c r="F16590" s="4">
        <f>IFERROR(__xludf.DUMMYFUNCTION("""COMPUTED_VALUE"""),2846.0)</f>
        <v>2846</v>
      </c>
      <c r="G16590" s="4">
        <f>IFERROR(__xludf.DUMMYFUNCTION("""COMPUTED_VALUE"""),57.0)</f>
        <v>57</v>
      </c>
      <c r="H16590" s="4"/>
      <c r="I16590" s="4"/>
    </row>
    <row r="16591">
      <c r="A16591" s="4" t="str">
        <f>IFERROR(__xludf.DUMMYFUNCTION("""COMPUTED_VALUE"""),"cas_hmw")</f>
        <v>cas_hmw</v>
      </c>
      <c r="B16591" s="5">
        <f>IFERROR(__xludf.DUMMYFUNCTION("""COMPUTED_VALUE"""),44736.0)</f>
        <v>44736</v>
      </c>
      <c r="C16591" s="6">
        <f>IFERROR(__xludf.DUMMYFUNCTION("""COMPUTED_VALUE"""),0.3404398148159089)</f>
        <v>0.3404398148</v>
      </c>
      <c r="D16591" s="4">
        <f>IFERROR(__xludf.DUMMYFUNCTION("""COMPUTED_VALUE"""),12.842062)</f>
        <v>12.842062</v>
      </c>
      <c r="E16591" s="4">
        <f>IFERROR(__xludf.DUMMYFUNCTION("""COMPUTED_VALUE"""),80.057547)</f>
        <v>80.057547</v>
      </c>
      <c r="F16591" s="4">
        <f>IFERROR(__xludf.DUMMYFUNCTION("""COMPUTED_VALUE"""),2846.0)</f>
        <v>2846</v>
      </c>
      <c r="G16591" s="4">
        <f>IFERROR(__xludf.DUMMYFUNCTION("""COMPUTED_VALUE"""),51.0)</f>
        <v>51</v>
      </c>
      <c r="H16591" s="4"/>
      <c r="I16591" s="4"/>
    </row>
    <row r="16592">
      <c r="A16592" s="4" t="str">
        <f>IFERROR(__xludf.DUMMYFUNCTION("""COMPUTED_VALUE"""),"cas_hmw")</f>
        <v>cas_hmw</v>
      </c>
      <c r="B16592" s="5">
        <f>IFERROR(__xludf.DUMMYFUNCTION("""COMPUTED_VALUE"""),44736.0)</f>
        <v>44736</v>
      </c>
      <c r="C16592" s="6">
        <f>IFERROR(__xludf.DUMMYFUNCTION("""COMPUTED_VALUE"""),0.34046296296219225)</f>
        <v>0.340462963</v>
      </c>
      <c r="D16592" s="4">
        <f>IFERROR(__xludf.DUMMYFUNCTION("""COMPUTED_VALUE"""),12.842062)</f>
        <v>12.842062</v>
      </c>
      <c r="E16592" s="4">
        <f>IFERROR(__xludf.DUMMYFUNCTION("""COMPUTED_VALUE"""),80.057547)</f>
        <v>80.057547</v>
      </c>
      <c r="F16592" s="4">
        <f>IFERROR(__xludf.DUMMYFUNCTION("""COMPUTED_VALUE"""),2846.0)</f>
        <v>2846</v>
      </c>
      <c r="G16592" s="4">
        <f>IFERROR(__xludf.DUMMYFUNCTION("""COMPUTED_VALUE"""),51.0)</f>
        <v>51</v>
      </c>
      <c r="H16592" s="4"/>
      <c r="I16592" s="4"/>
    </row>
    <row r="16593">
      <c r="A16593" s="4" t="str">
        <f>IFERROR(__xludf.DUMMYFUNCTION("""COMPUTED_VALUE"""),"cas_hmw")</f>
        <v>cas_hmw</v>
      </c>
      <c r="B16593" s="5">
        <f>IFERROR(__xludf.DUMMYFUNCTION("""COMPUTED_VALUE"""),44736.0)</f>
        <v>44736</v>
      </c>
      <c r="C16593" s="6">
        <f>IFERROR(__xludf.DUMMYFUNCTION("""COMPUTED_VALUE"""),0.3412847222207347)</f>
        <v>0.3412847222</v>
      </c>
      <c r="D16593" s="4">
        <f>IFERROR(__xludf.DUMMYFUNCTION("""COMPUTED_VALUE"""),12.927862)</f>
        <v>12.927862</v>
      </c>
      <c r="E16593" s="4">
        <f>IFERROR(__xludf.DUMMYFUNCTION("""COMPUTED_VALUE"""),80.119057)</f>
        <v>80.119057</v>
      </c>
      <c r="F16593" s="4">
        <f>IFERROR(__xludf.DUMMYFUNCTION("""COMPUTED_VALUE"""),5339.0)</f>
        <v>5339</v>
      </c>
      <c r="G16593" s="4">
        <f>IFERROR(__xludf.DUMMYFUNCTION("""COMPUTED_VALUE"""),42.0)</f>
        <v>42</v>
      </c>
      <c r="H16593" s="4"/>
      <c r="I16593" s="4"/>
    </row>
    <row r="16594">
      <c r="A16594" s="4" t="str">
        <f>IFERROR(__xludf.DUMMYFUNCTION("""COMPUTED_VALUE"""),"cas_hmw")</f>
        <v>cas_hmw</v>
      </c>
      <c r="B16594" s="5">
        <f>IFERROR(__xludf.DUMMYFUNCTION("""COMPUTED_VALUE"""),44736.0)</f>
        <v>44736</v>
      </c>
      <c r="C16594" s="6">
        <f>IFERROR(__xludf.DUMMYFUNCTION("""COMPUTED_VALUE"""),0.34267361111051287)</f>
        <v>0.3426736111</v>
      </c>
      <c r="D16594" s="4">
        <f>IFERROR(__xludf.DUMMYFUNCTION("""COMPUTED_VALUE"""),12.917764)</f>
        <v>12.917764</v>
      </c>
      <c r="E16594" s="4">
        <f>IFERROR(__xludf.DUMMYFUNCTION("""COMPUTED_VALUE"""),80.108304)</f>
        <v>80.108304</v>
      </c>
      <c r="F16594" s="4">
        <f>IFERROR(__xludf.DUMMYFUNCTION("""COMPUTED_VALUE"""),5339.0)</f>
        <v>5339</v>
      </c>
      <c r="G16594" s="4">
        <f>IFERROR(__xludf.DUMMYFUNCTION("""COMPUTED_VALUE"""),57.0)</f>
        <v>57</v>
      </c>
      <c r="H16594" s="4"/>
      <c r="I16594" s="4"/>
    </row>
    <row r="16595">
      <c r="A16595" s="4" t="str">
        <f>IFERROR(__xludf.DUMMYFUNCTION("""COMPUTED_VALUE"""),"cas_hmw")</f>
        <v>cas_hmw</v>
      </c>
      <c r="B16595" s="5">
        <f>IFERROR(__xludf.DUMMYFUNCTION("""COMPUTED_VALUE"""),44736.0)</f>
        <v>44736</v>
      </c>
      <c r="C16595" s="6">
        <f>IFERROR(__xludf.DUMMYFUNCTION("""COMPUTED_VALUE"""),0.343784722223063)</f>
        <v>0.3437847222</v>
      </c>
      <c r="D16595" s="4">
        <f>IFERROR(__xludf.DUMMYFUNCTION("""COMPUTED_VALUE"""),12.858472)</f>
        <v>12.858472</v>
      </c>
      <c r="E16595" s="4">
        <f>IFERROR(__xludf.DUMMYFUNCTION("""COMPUTED_VALUE"""),80.070957)</f>
        <v>80.070957</v>
      </c>
      <c r="F16595" s="4">
        <f>IFERROR(__xludf.DUMMYFUNCTION("""COMPUTED_VALUE"""),2846.0)</f>
        <v>2846</v>
      </c>
      <c r="G16595" s="4">
        <f>IFERROR(__xludf.DUMMYFUNCTION("""COMPUTED_VALUE"""),58.0)</f>
        <v>58</v>
      </c>
      <c r="H16595" s="4"/>
      <c r="I16595" s="4"/>
    </row>
    <row r="16596">
      <c r="A16596" s="4" t="str">
        <f>IFERROR(__xludf.DUMMYFUNCTION("""COMPUTED_VALUE"""),"cas_hmw")</f>
        <v>cas_hmw</v>
      </c>
      <c r="B16596" s="5">
        <f>IFERROR(__xludf.DUMMYFUNCTION("""COMPUTED_VALUE"""),44736.0)</f>
        <v>44736</v>
      </c>
      <c r="C16596" s="6">
        <f>IFERROR(__xludf.DUMMYFUNCTION("""COMPUTED_VALUE"""),0.34421296296204673)</f>
        <v>0.344212963</v>
      </c>
      <c r="D16596" s="4">
        <f>IFERROR(__xludf.DUMMYFUNCTION("""COMPUTED_VALUE"""),12.908168)</f>
        <v>12.908168</v>
      </c>
      <c r="E16596" s="4">
        <f>IFERROR(__xludf.DUMMYFUNCTION("""COMPUTED_VALUE"""),80.097873)</f>
        <v>80.097873</v>
      </c>
      <c r="F16596" s="4">
        <f>IFERROR(__xludf.DUMMYFUNCTION("""COMPUTED_VALUE"""),5339.0)</f>
        <v>5339</v>
      </c>
      <c r="G16596" s="4">
        <f>IFERROR(__xludf.DUMMYFUNCTION("""COMPUTED_VALUE"""),37.0)</f>
        <v>37</v>
      </c>
      <c r="H16596" s="4"/>
      <c r="I16596" s="4"/>
    </row>
    <row r="16597">
      <c r="A16597" s="4" t="str">
        <f>IFERROR(__xludf.DUMMYFUNCTION("""COMPUTED_VALUE"""),"cas_hmw")</f>
        <v>cas_hmw</v>
      </c>
      <c r="B16597" s="5">
        <f>IFERROR(__xludf.DUMMYFUNCTION("""COMPUTED_VALUE"""),44736.0)</f>
        <v>44736</v>
      </c>
      <c r="C16597" s="6">
        <f>IFERROR(__xludf.DUMMYFUNCTION("""COMPUTED_VALUE"""),0.34428240740817273)</f>
        <v>0.3442824074</v>
      </c>
      <c r="D16597" s="4">
        <f>IFERROR(__xludf.DUMMYFUNCTION("""COMPUTED_VALUE"""),12.907472)</f>
        <v>12.907472</v>
      </c>
      <c r="E16597" s="4">
        <f>IFERROR(__xludf.DUMMYFUNCTION("""COMPUTED_VALUE"""),80.097314)</f>
        <v>80.097314</v>
      </c>
      <c r="F16597" s="4">
        <f>IFERROR(__xludf.DUMMYFUNCTION("""COMPUTED_VALUE"""),5339.0)</f>
        <v>5339</v>
      </c>
      <c r="G16597" s="4">
        <f>IFERROR(__xludf.DUMMYFUNCTION("""COMPUTED_VALUE"""),33.0)</f>
        <v>33</v>
      </c>
      <c r="H16597" s="4"/>
      <c r="I16597" s="4"/>
    </row>
    <row r="16598">
      <c r="A16598" s="4" t="str">
        <f>IFERROR(__xludf.DUMMYFUNCTION("""COMPUTED_VALUE"""),"cas_hmw")</f>
        <v>cas_hmw</v>
      </c>
      <c r="B16598" s="5">
        <f>IFERROR(__xludf.DUMMYFUNCTION("""COMPUTED_VALUE"""),44736.0)</f>
        <v>44736</v>
      </c>
      <c r="C16598" s="6">
        <f>IFERROR(__xludf.DUMMYFUNCTION("""COMPUTED_VALUE"""),0.34428240740817273)</f>
        <v>0.3442824074</v>
      </c>
      <c r="D16598" s="4">
        <f>IFERROR(__xludf.DUMMYFUNCTION("""COMPUTED_VALUE"""),12.907472)</f>
        <v>12.907472</v>
      </c>
      <c r="E16598" s="4">
        <f>IFERROR(__xludf.DUMMYFUNCTION("""COMPUTED_VALUE"""),80.097314)</f>
        <v>80.097314</v>
      </c>
      <c r="F16598" s="4">
        <f>IFERROR(__xludf.DUMMYFUNCTION("""COMPUTED_VALUE"""),5339.0)</f>
        <v>5339</v>
      </c>
      <c r="G16598" s="4">
        <f>IFERROR(__xludf.DUMMYFUNCTION("""COMPUTED_VALUE"""),33.0)</f>
        <v>33</v>
      </c>
      <c r="H16598" s="4"/>
      <c r="I16598" s="4"/>
    </row>
    <row r="16599">
      <c r="A16599" s="4" t="str">
        <f>IFERROR(__xludf.DUMMYFUNCTION("""COMPUTED_VALUE"""),"cas_hmw")</f>
        <v>cas_hmw</v>
      </c>
      <c r="B16599" s="5">
        <f>IFERROR(__xludf.DUMMYFUNCTION("""COMPUTED_VALUE"""),44736.0)</f>
        <v>44736</v>
      </c>
      <c r="C16599" s="6">
        <f>IFERROR(__xludf.DUMMYFUNCTION("""COMPUTED_VALUE"""),0.3442939814813144)</f>
        <v>0.3442939815</v>
      </c>
      <c r="D16599" s="4">
        <f>IFERROR(__xludf.DUMMYFUNCTION("""COMPUTED_VALUE"""),12.907472)</f>
        <v>12.907472</v>
      </c>
      <c r="E16599" s="4">
        <f>IFERROR(__xludf.DUMMYFUNCTION("""COMPUTED_VALUE"""),80.097314)</f>
        <v>80.097314</v>
      </c>
      <c r="F16599" s="4">
        <f>IFERROR(__xludf.DUMMYFUNCTION("""COMPUTED_VALUE"""),5339.0)</f>
        <v>5339</v>
      </c>
      <c r="G16599" s="4">
        <f>IFERROR(__xludf.DUMMYFUNCTION("""COMPUTED_VALUE"""),33.0)</f>
        <v>33</v>
      </c>
      <c r="H16599" s="4"/>
      <c r="I16599" s="4"/>
    </row>
    <row r="16600">
      <c r="A16600" s="4" t="str">
        <f>IFERROR(__xludf.DUMMYFUNCTION("""COMPUTED_VALUE"""),"cas_hmw")</f>
        <v>cas_hmw</v>
      </c>
      <c r="B16600" s="5">
        <f>IFERROR(__xludf.DUMMYFUNCTION("""COMPUTED_VALUE"""),44736.0)</f>
        <v>44736</v>
      </c>
      <c r="C16600" s="6">
        <f>IFERROR(__xludf.DUMMYFUNCTION("""COMPUTED_VALUE"""),0.3443055555544561)</f>
        <v>0.3443055556</v>
      </c>
      <c r="D16600" s="4">
        <f>IFERROR(__xludf.DUMMYFUNCTION("""COMPUTED_VALUE"""),12.907472)</f>
        <v>12.907472</v>
      </c>
      <c r="E16600" s="4">
        <f>IFERROR(__xludf.DUMMYFUNCTION("""COMPUTED_VALUE"""),80.097314)</f>
        <v>80.097314</v>
      </c>
      <c r="F16600" s="4">
        <f>IFERROR(__xludf.DUMMYFUNCTION("""COMPUTED_VALUE"""),5339.0)</f>
        <v>5339</v>
      </c>
      <c r="G16600" s="4">
        <f>IFERROR(__xludf.DUMMYFUNCTION("""COMPUTED_VALUE"""),33.0)</f>
        <v>33</v>
      </c>
      <c r="H16600" s="4"/>
      <c r="I16600" s="4"/>
    </row>
    <row r="16601">
      <c r="A16601" s="4" t="str">
        <f>IFERROR(__xludf.DUMMYFUNCTION("""COMPUTED_VALUE"""),"cas_hmw")</f>
        <v>cas_hmw</v>
      </c>
      <c r="B16601" s="5">
        <f>IFERROR(__xludf.DUMMYFUNCTION("""COMPUTED_VALUE"""),44736.0)</f>
        <v>44736</v>
      </c>
      <c r="C16601" s="6">
        <f>IFERROR(__xludf.DUMMYFUNCTION("""COMPUTED_VALUE"""),0.3459722222214623)</f>
        <v>0.3459722222</v>
      </c>
      <c r="D16601" s="4">
        <f>IFERROR(__xludf.DUMMYFUNCTION("""COMPUTED_VALUE"""),12.898903)</f>
        <v>12.898903</v>
      </c>
      <c r="E16601" s="4">
        <f>IFERROR(__xludf.DUMMYFUNCTION("""COMPUTED_VALUE"""),80.090719)</f>
        <v>80.090719</v>
      </c>
      <c r="F16601" s="4">
        <f>IFERROR(__xludf.DUMMYFUNCTION("""COMPUTED_VALUE"""),5339.0)</f>
        <v>5339</v>
      </c>
      <c r="G16601" s="4">
        <f>IFERROR(__xludf.DUMMYFUNCTION("""COMPUTED_VALUE"""),51.0)</f>
        <v>51</v>
      </c>
      <c r="H16601" s="4"/>
      <c r="I16601" s="4"/>
    </row>
    <row r="16602">
      <c r="A16602" s="4" t="str">
        <f>IFERROR(__xludf.DUMMYFUNCTION("""COMPUTED_VALUE"""),"cas_hmw")</f>
        <v>cas_hmw</v>
      </c>
      <c r="B16602" s="5">
        <f>IFERROR(__xludf.DUMMYFUNCTION("""COMPUTED_VALUE"""),44736.0)</f>
        <v>44736</v>
      </c>
      <c r="C16602" s="6">
        <f>IFERROR(__xludf.DUMMYFUNCTION("""COMPUTED_VALUE"""),0.3463773148141627)</f>
        <v>0.3463773148</v>
      </c>
      <c r="D16602" s="4">
        <f>IFERROR(__xludf.DUMMYFUNCTION("""COMPUTED_VALUE"""),12.872191)</f>
        <v>12.872191</v>
      </c>
      <c r="E16602" s="4">
        <f>IFERROR(__xludf.DUMMYFUNCTION("""COMPUTED_VALUE"""),80.077285)</f>
        <v>80.077285</v>
      </c>
      <c r="F16602" s="4">
        <f>IFERROR(__xludf.DUMMYFUNCTION("""COMPUTED_VALUE"""),2846.0)</f>
        <v>2846</v>
      </c>
      <c r="G16602" s="4">
        <f>IFERROR(__xludf.DUMMYFUNCTION("""COMPUTED_VALUE"""),54.0)</f>
        <v>54</v>
      </c>
      <c r="H16602" s="4"/>
      <c r="I16602" s="4"/>
    </row>
    <row r="16603">
      <c r="A16603" s="4" t="str">
        <f>IFERROR(__xludf.DUMMYFUNCTION("""COMPUTED_VALUE"""),"cas_hmw")</f>
        <v>cas_hmw</v>
      </c>
      <c r="B16603" s="5">
        <f>IFERROR(__xludf.DUMMYFUNCTION("""COMPUTED_VALUE"""),44736.0)</f>
        <v>44736</v>
      </c>
      <c r="C16603" s="6">
        <f>IFERROR(__xludf.DUMMYFUNCTION("""COMPUTED_VALUE"""),0.3477546296307992)</f>
        <v>0.3477546296</v>
      </c>
      <c r="D16603" s="4">
        <f>IFERROR(__xludf.DUMMYFUNCTION("""COMPUTED_VALUE"""),12.883429)</f>
        <v>12.883429</v>
      </c>
      <c r="E16603" s="4">
        <f>IFERROR(__xludf.DUMMYFUNCTION("""COMPUTED_VALUE"""),80.082061)</f>
        <v>80.082061</v>
      </c>
      <c r="F16603" s="4">
        <f>IFERROR(__xludf.DUMMYFUNCTION("""COMPUTED_VALUE"""),5339.0)</f>
        <v>5339</v>
      </c>
      <c r="G16603" s="4">
        <f>IFERROR(__xludf.DUMMYFUNCTION("""COMPUTED_VALUE"""),48.0)</f>
        <v>48</v>
      </c>
      <c r="H16603" s="4"/>
      <c r="I16603" s="4"/>
    </row>
    <row r="16604">
      <c r="A16604" s="4" t="str">
        <f>IFERROR(__xludf.DUMMYFUNCTION("""COMPUTED_VALUE"""),"cas_hmw")</f>
        <v>cas_hmw</v>
      </c>
      <c r="B16604" s="5">
        <f>IFERROR(__xludf.DUMMYFUNCTION("""COMPUTED_VALUE"""),44736.0)</f>
        <v>44736</v>
      </c>
      <c r="C16604" s="6">
        <f>IFERROR(__xludf.DUMMYFUNCTION("""COMPUTED_VALUE"""),0.6906481481491937)</f>
        <v>0.6906481481</v>
      </c>
      <c r="D16604" s="4">
        <f>IFERROR(__xludf.DUMMYFUNCTION("""COMPUTED_VALUE"""),12.89008)</f>
        <v>12.89008</v>
      </c>
      <c r="E16604" s="4">
        <f>IFERROR(__xludf.DUMMYFUNCTION("""COMPUTED_VALUE"""),80.084516)</f>
        <v>80.084516</v>
      </c>
      <c r="F16604" s="4">
        <f>IFERROR(__xludf.DUMMYFUNCTION("""COMPUTED_VALUE"""),5339.0)</f>
        <v>5339</v>
      </c>
      <c r="G16604" s="4">
        <f>IFERROR(__xludf.DUMMYFUNCTION("""COMPUTED_VALUE"""),57.0)</f>
        <v>57</v>
      </c>
      <c r="H16604" s="4"/>
      <c r="I16604" s="4"/>
    </row>
    <row r="16605">
      <c r="A16605" s="4" t="str">
        <f>IFERROR(__xludf.DUMMYFUNCTION("""COMPUTED_VALUE"""),"cas_hmw")</f>
        <v>cas_hmw</v>
      </c>
      <c r="B16605" s="5">
        <f>IFERROR(__xludf.DUMMYFUNCTION("""COMPUTED_VALUE"""),44736.0)</f>
        <v>44736</v>
      </c>
      <c r="C16605" s="6">
        <f>IFERROR(__xludf.DUMMYFUNCTION("""COMPUTED_VALUE"""),0.6909374999995634)</f>
        <v>0.6909375</v>
      </c>
      <c r="D16605" s="4">
        <f>IFERROR(__xludf.DUMMYFUNCTION("""COMPUTED_VALUE"""),12.892652)</f>
        <v>12.892652</v>
      </c>
      <c r="E16605" s="4">
        <f>IFERROR(__xludf.DUMMYFUNCTION("""COMPUTED_VALUE"""),80.085818)</f>
        <v>80.085818</v>
      </c>
      <c r="F16605" s="4">
        <f>IFERROR(__xludf.DUMMYFUNCTION("""COMPUTED_VALUE"""),5339.0)</f>
        <v>5339</v>
      </c>
      <c r="G16605" s="4">
        <f>IFERROR(__xludf.DUMMYFUNCTION("""COMPUTED_VALUE"""),54.0)</f>
        <v>54</v>
      </c>
      <c r="H16605" s="4"/>
      <c r="I16605" s="4"/>
    </row>
    <row r="16606">
      <c r="A16606" s="4" t="str">
        <f>IFERROR(__xludf.DUMMYFUNCTION("""COMPUTED_VALUE"""),"cas_hmw")</f>
        <v>cas_hmw</v>
      </c>
      <c r="B16606" s="5">
        <f>IFERROR(__xludf.DUMMYFUNCTION("""COMPUTED_VALUE"""),44736.0)</f>
        <v>44736</v>
      </c>
      <c r="C16606" s="6">
        <f>IFERROR(__xludf.DUMMYFUNCTION("""COMPUTED_VALUE"""),0.6911111111112405)</f>
        <v>0.6911111111</v>
      </c>
      <c r="D16606" s="4">
        <f>IFERROR(__xludf.DUMMYFUNCTION("""COMPUTED_VALUE"""),12.894873)</f>
        <v>12.894873</v>
      </c>
      <c r="E16606" s="4">
        <f>IFERROR(__xludf.DUMMYFUNCTION("""COMPUTED_VALUE"""),80.087482)</f>
        <v>80.087482</v>
      </c>
      <c r="F16606" s="4">
        <f>IFERROR(__xludf.DUMMYFUNCTION("""COMPUTED_VALUE"""),5339.0)</f>
        <v>5339</v>
      </c>
      <c r="G16606" s="4">
        <f>IFERROR(__xludf.DUMMYFUNCTION("""COMPUTED_VALUE"""),50.0)</f>
        <v>50</v>
      </c>
      <c r="H16606" s="4"/>
      <c r="I16606" s="4"/>
    </row>
    <row r="16607">
      <c r="A16607" s="4" t="str">
        <f>IFERROR(__xludf.DUMMYFUNCTION("""COMPUTED_VALUE"""),"cas_hmw")</f>
        <v>cas_hmw</v>
      </c>
      <c r="B16607" s="5">
        <f>IFERROR(__xludf.DUMMYFUNCTION("""COMPUTED_VALUE"""),44736.0)</f>
        <v>44736</v>
      </c>
      <c r="C16607" s="6">
        <f>IFERROR(__xludf.DUMMYFUNCTION("""COMPUTED_VALUE"""),0.6911458333343035)</f>
        <v>0.6911458333</v>
      </c>
      <c r="D16607" s="4">
        <f>IFERROR(__xludf.DUMMYFUNCTION("""COMPUTED_VALUE"""),12.894873)</f>
        <v>12.894873</v>
      </c>
      <c r="E16607" s="4">
        <f>IFERROR(__xludf.DUMMYFUNCTION("""COMPUTED_VALUE"""),80.087482)</f>
        <v>80.087482</v>
      </c>
      <c r="F16607" s="4">
        <f>IFERROR(__xludf.DUMMYFUNCTION("""COMPUTED_VALUE"""),5339.0)</f>
        <v>5339</v>
      </c>
      <c r="G16607" s="4">
        <f>IFERROR(__xludf.DUMMYFUNCTION("""COMPUTED_VALUE"""),50.0)</f>
        <v>50</v>
      </c>
      <c r="H16607" s="4"/>
      <c r="I16607" s="4"/>
    </row>
    <row r="16608">
      <c r="A16608" s="4" t="str">
        <f>IFERROR(__xludf.DUMMYFUNCTION("""COMPUTED_VALUE"""),"cas_hmw")</f>
        <v>cas_hmw</v>
      </c>
      <c r="B16608" s="5">
        <f>IFERROR(__xludf.DUMMYFUNCTION("""COMPUTED_VALUE"""),44736.0)</f>
        <v>44736</v>
      </c>
      <c r="C16608" s="6">
        <f>IFERROR(__xludf.DUMMYFUNCTION("""COMPUTED_VALUE"""),0.6913541666654055)</f>
        <v>0.6913541667</v>
      </c>
      <c r="D16608" s="4">
        <f>IFERROR(__xludf.DUMMYFUNCTION("""COMPUTED_VALUE"""),12.896823)</f>
        <v>12.896823</v>
      </c>
      <c r="E16608" s="4">
        <f>IFERROR(__xludf.DUMMYFUNCTION("""COMPUTED_VALUE"""),80.088952)</f>
        <v>80.088952</v>
      </c>
      <c r="F16608" s="4">
        <f>IFERROR(__xludf.DUMMYFUNCTION("""COMPUTED_VALUE"""),5339.0)</f>
        <v>5339</v>
      </c>
      <c r="G16608" s="4">
        <f>IFERROR(__xludf.DUMMYFUNCTION("""COMPUTED_VALUE"""),47.0)</f>
        <v>47</v>
      </c>
      <c r="H16608" s="4"/>
      <c r="I16608" s="4"/>
    </row>
    <row r="16609">
      <c r="A16609" s="4" t="str">
        <f>IFERROR(__xludf.DUMMYFUNCTION("""COMPUTED_VALUE"""),"cas_hmw")</f>
        <v>cas_hmw</v>
      </c>
      <c r="B16609" s="5">
        <f>IFERROR(__xludf.DUMMYFUNCTION("""COMPUTED_VALUE"""),44736.0)</f>
        <v>44736</v>
      </c>
      <c r="C16609" s="6">
        <f>IFERROR(__xludf.DUMMYFUNCTION("""COMPUTED_VALUE"""),0.6914814814808778)</f>
        <v>0.6914814815</v>
      </c>
      <c r="D16609" s="4">
        <f>IFERROR(__xludf.DUMMYFUNCTION("""COMPUTED_VALUE"""),12.897889)</f>
        <v>12.897889</v>
      </c>
      <c r="E16609" s="4">
        <f>IFERROR(__xludf.DUMMYFUNCTION("""COMPUTED_VALUE"""),80.089743)</f>
        <v>80.089743</v>
      </c>
      <c r="F16609" s="4">
        <f>IFERROR(__xludf.DUMMYFUNCTION("""COMPUTED_VALUE"""),5339.0)</f>
        <v>5339</v>
      </c>
      <c r="G16609" s="4">
        <f>IFERROR(__xludf.DUMMYFUNCTION("""COMPUTED_VALUE"""),51.0)</f>
        <v>51</v>
      </c>
      <c r="H16609" s="4"/>
      <c r="I16609" s="4"/>
    </row>
    <row r="16610">
      <c r="A16610" s="4" t="str">
        <f>IFERROR(__xludf.DUMMYFUNCTION("""COMPUTED_VALUE"""),"cas_hmw")</f>
        <v>cas_hmw</v>
      </c>
      <c r="B16610" s="5">
        <f>IFERROR(__xludf.DUMMYFUNCTION("""COMPUTED_VALUE"""),44736.0)</f>
        <v>44736</v>
      </c>
      <c r="C16610" s="6">
        <f>IFERROR(__xludf.DUMMYFUNCTION("""COMPUTED_VALUE"""),0.6917476851849642)</f>
        <v>0.6917476852</v>
      </c>
      <c r="D16610" s="4">
        <f>IFERROR(__xludf.DUMMYFUNCTION("""COMPUTED_VALUE"""),12.899973)</f>
        <v>12.899973</v>
      </c>
      <c r="E16610" s="4">
        <f>IFERROR(__xludf.DUMMYFUNCTION("""COMPUTED_VALUE"""),80.091308)</f>
        <v>80.091308</v>
      </c>
      <c r="F16610" s="4">
        <f>IFERROR(__xludf.DUMMYFUNCTION("""COMPUTED_VALUE"""),5339.0)</f>
        <v>5339</v>
      </c>
      <c r="G16610" s="4">
        <f>IFERROR(__xludf.DUMMYFUNCTION("""COMPUTED_VALUE"""),61.0)</f>
        <v>61</v>
      </c>
      <c r="H16610" s="4"/>
      <c r="I16610" s="4"/>
    </row>
    <row r="16611">
      <c r="A16611" s="4" t="str">
        <f>IFERROR(__xludf.DUMMYFUNCTION("""COMPUTED_VALUE"""),"cas_hmw")</f>
        <v>cas_hmw</v>
      </c>
      <c r="B16611" s="5">
        <f>IFERROR(__xludf.DUMMYFUNCTION("""COMPUTED_VALUE"""),44736.0)</f>
        <v>44736</v>
      </c>
      <c r="C16611" s="6">
        <f>IFERROR(__xludf.DUMMYFUNCTION("""COMPUTED_VALUE"""),0.6918981481467199)</f>
        <v>0.6918981481</v>
      </c>
      <c r="D16611" s="4">
        <f>IFERROR(__xludf.DUMMYFUNCTION("""COMPUTED_VALUE"""),12.869342)</f>
        <v>12.869342</v>
      </c>
      <c r="E16611" s="4">
        <f>IFERROR(__xludf.DUMMYFUNCTION("""COMPUTED_VALUE"""),80.076423)</f>
        <v>80.076423</v>
      </c>
      <c r="F16611" s="4">
        <f>IFERROR(__xludf.DUMMYFUNCTION("""COMPUTED_VALUE"""),2846.0)</f>
        <v>2846</v>
      </c>
      <c r="G16611" s="4">
        <f>IFERROR(__xludf.DUMMYFUNCTION("""COMPUTED_VALUE"""),55.0)</f>
        <v>55</v>
      </c>
      <c r="H16611" s="4"/>
      <c r="I16611" s="4"/>
    </row>
    <row r="16612">
      <c r="A16612" s="4" t="str">
        <f>IFERROR(__xludf.DUMMYFUNCTION("""COMPUTED_VALUE"""),"cas_hmw")</f>
        <v>cas_hmw</v>
      </c>
      <c r="B16612" s="5">
        <f>IFERROR(__xludf.DUMMYFUNCTION("""COMPUTED_VALUE"""),44736.0)</f>
        <v>44736</v>
      </c>
      <c r="C16612" s="6">
        <f>IFERROR(__xludf.DUMMYFUNCTION("""COMPUTED_VALUE"""),0.6924074074086093)</f>
        <v>0.6924074074</v>
      </c>
      <c r="D16612" s="4">
        <f>IFERROR(__xludf.DUMMYFUNCTION("""COMPUTED_VALUE"""),12.905215)</f>
        <v>12.905215</v>
      </c>
      <c r="E16612" s="4">
        <f>IFERROR(__xludf.DUMMYFUNCTION("""COMPUTED_VALUE"""),80.095394)</f>
        <v>80.095394</v>
      </c>
      <c r="F16612" s="4">
        <f>IFERROR(__xludf.DUMMYFUNCTION("""COMPUTED_VALUE"""),5339.0)</f>
        <v>5339</v>
      </c>
      <c r="G16612" s="4">
        <f>IFERROR(__xludf.DUMMYFUNCTION("""COMPUTED_VALUE"""),45.0)</f>
        <v>45</v>
      </c>
      <c r="H16612" s="4"/>
      <c r="I16612" s="4"/>
    </row>
    <row r="16613">
      <c r="A16613" s="4" t="str">
        <f>IFERROR(__xludf.DUMMYFUNCTION("""COMPUTED_VALUE"""),"cas_hmw")</f>
        <v>cas_hmw</v>
      </c>
      <c r="B16613" s="5">
        <f>IFERROR(__xludf.DUMMYFUNCTION("""COMPUTED_VALUE"""),44736.0)</f>
        <v>44736</v>
      </c>
      <c r="C16613" s="6">
        <f>IFERROR(__xludf.DUMMYFUNCTION("""COMPUTED_VALUE"""),0.6937731481484661)</f>
        <v>0.6937731481</v>
      </c>
      <c r="D16613" s="4">
        <f>IFERROR(__xludf.DUMMYFUNCTION("""COMPUTED_VALUE"""),12.909671)</f>
        <v>12.909671</v>
      </c>
      <c r="E16613" s="4">
        <f>IFERROR(__xludf.DUMMYFUNCTION("""COMPUTED_VALUE"""),80.099382)</f>
        <v>80.099382</v>
      </c>
      <c r="F16613" s="4">
        <f>IFERROR(__xludf.DUMMYFUNCTION("""COMPUTED_VALUE"""),5339.0)</f>
        <v>5339</v>
      </c>
      <c r="G16613" s="4">
        <f>IFERROR(__xludf.DUMMYFUNCTION("""COMPUTED_VALUE"""),39.0)</f>
        <v>39</v>
      </c>
      <c r="H16613" s="4"/>
      <c r="I16613" s="4"/>
    </row>
    <row r="16614">
      <c r="A16614" s="4" t="str">
        <f>IFERROR(__xludf.DUMMYFUNCTION("""COMPUTED_VALUE"""),"cas_hmw")</f>
        <v>cas_hmw</v>
      </c>
      <c r="B16614" s="5">
        <f>IFERROR(__xludf.DUMMYFUNCTION("""COMPUTED_VALUE"""),44736.0)</f>
        <v>44736</v>
      </c>
      <c r="C16614" s="6">
        <f>IFERROR(__xludf.DUMMYFUNCTION("""COMPUTED_VALUE"""),0.6939814814832062)</f>
        <v>0.6939814815</v>
      </c>
      <c r="D16614" s="4">
        <f>IFERROR(__xludf.DUMMYFUNCTION("""COMPUTED_VALUE"""),12.910227)</f>
        <v>12.910227</v>
      </c>
      <c r="E16614" s="4">
        <f>IFERROR(__xludf.DUMMYFUNCTION("""COMPUTED_VALUE"""),80.100297)</f>
        <v>80.100297</v>
      </c>
      <c r="F16614" s="4">
        <f>IFERROR(__xludf.DUMMYFUNCTION("""COMPUTED_VALUE"""),5339.0)</f>
        <v>5339</v>
      </c>
      <c r="G16614" s="4">
        <f>IFERROR(__xludf.DUMMYFUNCTION("""COMPUTED_VALUE"""),39.0)</f>
        <v>39</v>
      </c>
      <c r="H16614" s="4"/>
      <c r="I16614" s="4"/>
    </row>
    <row r="16615">
      <c r="A16615" s="4" t="str">
        <f>IFERROR(__xludf.DUMMYFUNCTION("""COMPUTED_VALUE"""),"cas_hmw")</f>
        <v>cas_hmw</v>
      </c>
      <c r="B16615" s="5">
        <f>IFERROR(__xludf.DUMMYFUNCTION("""COMPUTED_VALUE"""),44736.0)</f>
        <v>44736</v>
      </c>
      <c r="C16615" s="6">
        <f>IFERROR(__xludf.DUMMYFUNCTION("""COMPUTED_VALUE"""),0.6939814814832062)</f>
        <v>0.6939814815</v>
      </c>
      <c r="D16615" s="4">
        <f>IFERROR(__xludf.DUMMYFUNCTION("""COMPUTED_VALUE"""),12.910227)</f>
        <v>12.910227</v>
      </c>
      <c r="E16615" s="4">
        <f>IFERROR(__xludf.DUMMYFUNCTION("""COMPUTED_VALUE"""),80.100297)</f>
        <v>80.100297</v>
      </c>
      <c r="F16615" s="4">
        <f>IFERROR(__xludf.DUMMYFUNCTION("""COMPUTED_VALUE"""),5339.0)</f>
        <v>5339</v>
      </c>
      <c r="G16615" s="4">
        <f>IFERROR(__xludf.DUMMYFUNCTION("""COMPUTED_VALUE"""),39.0)</f>
        <v>39</v>
      </c>
      <c r="H16615" s="4"/>
      <c r="I16615" s="4"/>
    </row>
    <row r="16616">
      <c r="A16616" s="4" t="str">
        <f>IFERROR(__xludf.DUMMYFUNCTION("""COMPUTED_VALUE"""),"cas_hmw")</f>
        <v>cas_hmw</v>
      </c>
      <c r="B16616" s="5">
        <f>IFERROR(__xludf.DUMMYFUNCTION("""COMPUTED_VALUE"""),44736.0)</f>
        <v>44736</v>
      </c>
      <c r="C16616" s="6">
        <f>IFERROR(__xludf.DUMMYFUNCTION("""COMPUTED_VALUE"""),0.6941666666680248)</f>
        <v>0.6941666667</v>
      </c>
      <c r="D16616" s="4">
        <f>IFERROR(__xludf.DUMMYFUNCTION("""COMPUTED_VALUE"""),12.850798)</f>
        <v>12.850798</v>
      </c>
      <c r="E16616" s="4">
        <f>IFERROR(__xludf.DUMMYFUNCTION("""COMPUTED_VALUE"""),80.065509)</f>
        <v>80.065509</v>
      </c>
      <c r="F16616" s="4">
        <f>IFERROR(__xludf.DUMMYFUNCTION("""COMPUTED_VALUE"""),2846.0)</f>
        <v>2846</v>
      </c>
      <c r="G16616" s="4">
        <f>IFERROR(__xludf.DUMMYFUNCTION("""COMPUTED_VALUE"""),56.0)</f>
        <v>56</v>
      </c>
      <c r="H16616" s="4"/>
      <c r="I16616" s="4"/>
    </row>
    <row r="16617">
      <c r="A16617" s="4" t="str">
        <f>IFERROR(__xludf.DUMMYFUNCTION("""COMPUTED_VALUE"""),"cas_hmw")</f>
        <v>cas_hmw</v>
      </c>
      <c r="B16617" s="5">
        <f>IFERROR(__xludf.DUMMYFUNCTION("""COMPUTED_VALUE"""),44736.0)</f>
        <v>44736</v>
      </c>
      <c r="C16617" s="6">
        <f>IFERROR(__xludf.DUMMYFUNCTION("""COMPUTED_VALUE"""),0.6944560185183946)</f>
        <v>0.6944560185</v>
      </c>
      <c r="D16617" s="4">
        <f>IFERROR(__xludf.DUMMYFUNCTION("""COMPUTED_VALUE"""),12.912138)</f>
        <v>12.912138</v>
      </c>
      <c r="E16617" s="4">
        <f>IFERROR(__xludf.DUMMYFUNCTION("""COMPUTED_VALUE"""),80.10141)</f>
        <v>80.10141</v>
      </c>
      <c r="F16617" s="4">
        <f>IFERROR(__xludf.DUMMYFUNCTION("""COMPUTED_VALUE"""),5339.0)</f>
        <v>5339</v>
      </c>
      <c r="G16617" s="4">
        <f>IFERROR(__xludf.DUMMYFUNCTION("""COMPUTED_VALUE"""),24.0)</f>
        <v>24</v>
      </c>
      <c r="H16617" s="4"/>
      <c r="I16617" s="4"/>
    </row>
    <row r="16618">
      <c r="A16618" s="4" t="str">
        <f>IFERROR(__xludf.DUMMYFUNCTION("""COMPUTED_VALUE"""),"cas_hmw")</f>
        <v>cas_hmw</v>
      </c>
      <c r="B16618" s="5">
        <f>IFERROR(__xludf.DUMMYFUNCTION("""COMPUTED_VALUE"""),44736.0)</f>
        <v>44736</v>
      </c>
      <c r="C16618" s="6">
        <f>IFERROR(__xludf.DUMMYFUNCTION("""COMPUTED_VALUE"""),0.6944675925915362)</f>
        <v>0.6944675926</v>
      </c>
      <c r="D16618" s="4">
        <f>IFERROR(__xludf.DUMMYFUNCTION("""COMPUTED_VALUE"""),12.912138)</f>
        <v>12.912138</v>
      </c>
      <c r="E16618" s="4">
        <f>IFERROR(__xludf.DUMMYFUNCTION("""COMPUTED_VALUE"""),80.10141)</f>
        <v>80.10141</v>
      </c>
      <c r="F16618" s="4">
        <f>IFERROR(__xludf.DUMMYFUNCTION("""COMPUTED_VALUE"""),5339.0)</f>
        <v>5339</v>
      </c>
      <c r="G16618" s="4">
        <f>IFERROR(__xludf.DUMMYFUNCTION("""COMPUTED_VALUE"""),24.0)</f>
        <v>24</v>
      </c>
      <c r="H16618" s="4"/>
      <c r="I16618" s="4"/>
    </row>
    <row r="16619">
      <c r="A16619" s="4" t="str">
        <f>IFERROR(__xludf.DUMMYFUNCTION("""COMPUTED_VALUE"""),"cas_hmw")</f>
        <v>cas_hmw</v>
      </c>
      <c r="B16619" s="5">
        <f>IFERROR(__xludf.DUMMYFUNCTION("""COMPUTED_VALUE"""),44736.0)</f>
        <v>44736</v>
      </c>
      <c r="C16619" s="6">
        <f>IFERROR(__xludf.DUMMYFUNCTION("""COMPUTED_VALUE"""),0.6946527777763549)</f>
        <v>0.6946527778</v>
      </c>
      <c r="D16619" s="4">
        <f>IFERROR(__xludf.DUMMYFUNCTION("""COMPUTED_VALUE"""),12.912964)</f>
        <v>12.912964</v>
      </c>
      <c r="E16619" s="4">
        <f>IFERROR(__xludf.DUMMYFUNCTION("""COMPUTED_VALUE"""),80.101474)</f>
        <v>80.101474</v>
      </c>
      <c r="F16619" s="4">
        <f>IFERROR(__xludf.DUMMYFUNCTION("""COMPUTED_VALUE"""),5339.0)</f>
        <v>5339</v>
      </c>
      <c r="G16619" s="4">
        <f>IFERROR(__xludf.DUMMYFUNCTION("""COMPUTED_VALUE"""),40.0)</f>
        <v>40</v>
      </c>
      <c r="H16619" s="4"/>
      <c r="I16619" s="4"/>
    </row>
    <row r="16620">
      <c r="A16620" s="4" t="str">
        <f>IFERROR(__xludf.DUMMYFUNCTION("""COMPUTED_VALUE"""),"cas_hmw")</f>
        <v>cas_hmw</v>
      </c>
      <c r="B16620" s="5">
        <f>IFERROR(__xludf.DUMMYFUNCTION("""COMPUTED_VALUE"""),44736.0)</f>
        <v>44736</v>
      </c>
      <c r="C16620" s="6">
        <f>IFERROR(__xludf.DUMMYFUNCTION("""COMPUTED_VALUE"""),0.6954629629617557)</f>
        <v>0.695462963</v>
      </c>
      <c r="D16620" s="4">
        <f>IFERROR(__xludf.DUMMYFUNCTION("""COMPUTED_VALUE"""),12.917158)</f>
        <v>12.917158</v>
      </c>
      <c r="E16620" s="4">
        <f>IFERROR(__xludf.DUMMYFUNCTION("""COMPUTED_VALUE"""),80.107169)</f>
        <v>80.107169</v>
      </c>
      <c r="F16620" s="4">
        <f>IFERROR(__xludf.DUMMYFUNCTION("""COMPUTED_VALUE"""),5339.0)</f>
        <v>5339</v>
      </c>
      <c r="G16620" s="4">
        <f>IFERROR(__xludf.DUMMYFUNCTION("""COMPUTED_VALUE"""),20.0)</f>
        <v>20</v>
      </c>
      <c r="H16620" s="4"/>
      <c r="I16620" s="4"/>
    </row>
    <row r="16621">
      <c r="A16621" s="4" t="str">
        <f>IFERROR(__xludf.DUMMYFUNCTION("""COMPUTED_VALUE"""),"cas_hmw")</f>
        <v>cas_hmw</v>
      </c>
      <c r="B16621" s="5">
        <f>IFERROR(__xludf.DUMMYFUNCTION("""COMPUTED_VALUE"""),44736.0)</f>
        <v>44736</v>
      </c>
      <c r="C16621" s="6">
        <f>IFERROR(__xludf.DUMMYFUNCTION("""COMPUTED_VALUE"""),0.6955324074078817)</f>
        <v>0.6955324074</v>
      </c>
      <c r="D16621" s="4">
        <f>IFERROR(__xludf.DUMMYFUNCTION("""COMPUTED_VALUE"""),12.917503)</f>
        <v>12.917503</v>
      </c>
      <c r="E16621" s="4">
        <f>IFERROR(__xludf.DUMMYFUNCTION("""COMPUTED_VALUE"""),80.107814)</f>
        <v>80.107814</v>
      </c>
      <c r="F16621" s="4">
        <f>IFERROR(__xludf.DUMMYFUNCTION("""COMPUTED_VALUE"""),5339.0)</f>
        <v>5339</v>
      </c>
      <c r="G16621" s="4">
        <f>IFERROR(__xludf.DUMMYFUNCTION("""COMPUTED_VALUE"""),36.0)</f>
        <v>36</v>
      </c>
      <c r="H16621" s="4"/>
      <c r="I16621" s="4"/>
    </row>
    <row r="16622">
      <c r="A16622" s="4" t="str">
        <f>IFERROR(__xludf.DUMMYFUNCTION("""COMPUTED_VALUE"""),"cas_hmw")</f>
        <v>cas_hmw</v>
      </c>
      <c r="B16622" s="5">
        <f>IFERROR(__xludf.DUMMYFUNCTION("""COMPUTED_VALUE"""),44736.0)</f>
        <v>44736</v>
      </c>
      <c r="C16622" s="6">
        <f>IFERROR(__xludf.DUMMYFUNCTION("""COMPUTED_VALUE"""),0.6956018518503697)</f>
        <v>0.6956018519</v>
      </c>
      <c r="D16622" s="4">
        <f>IFERROR(__xludf.DUMMYFUNCTION("""COMPUTED_VALUE"""),12.917503)</f>
        <v>12.917503</v>
      </c>
      <c r="E16622" s="4">
        <f>IFERROR(__xludf.DUMMYFUNCTION("""COMPUTED_VALUE"""),80.107814)</f>
        <v>80.107814</v>
      </c>
      <c r="F16622" s="4">
        <f>IFERROR(__xludf.DUMMYFUNCTION("""COMPUTED_VALUE"""),5339.0)</f>
        <v>5339</v>
      </c>
      <c r="G16622" s="4">
        <f>IFERROR(__xludf.DUMMYFUNCTION("""COMPUTED_VALUE"""),36.0)</f>
        <v>36</v>
      </c>
      <c r="H16622" s="4"/>
      <c r="I16622" s="4"/>
    </row>
    <row r="16623">
      <c r="A16623" s="4" t="str">
        <f>IFERROR(__xludf.DUMMYFUNCTION("""COMPUTED_VALUE"""),"cas_hmw")</f>
        <v>cas_hmw</v>
      </c>
      <c r="B16623" s="5">
        <f>IFERROR(__xludf.DUMMYFUNCTION("""COMPUTED_VALUE"""),44736.0)</f>
        <v>44736</v>
      </c>
      <c r="C16623" s="6">
        <f>IFERROR(__xludf.DUMMYFUNCTION("""COMPUTED_VALUE"""),0.6957175925927004)</f>
        <v>0.6957175926</v>
      </c>
      <c r="D16623" s="4">
        <f>IFERROR(__xludf.DUMMYFUNCTION("""COMPUTED_VALUE"""),12.918171)</f>
        <v>12.918171</v>
      </c>
      <c r="E16623" s="4">
        <f>IFERROR(__xludf.DUMMYFUNCTION("""COMPUTED_VALUE"""),80.108624)</f>
        <v>80.108624</v>
      </c>
      <c r="F16623" s="4">
        <f>IFERROR(__xludf.DUMMYFUNCTION("""COMPUTED_VALUE"""),5339.0)</f>
        <v>5339</v>
      </c>
      <c r="G16623" s="4">
        <f>IFERROR(__xludf.DUMMYFUNCTION("""COMPUTED_VALUE"""),39.0)</f>
        <v>39</v>
      </c>
      <c r="H16623" s="4"/>
      <c r="I16623" s="4"/>
    </row>
    <row r="16624">
      <c r="A16624" s="4" t="str">
        <f>IFERROR(__xludf.DUMMYFUNCTION("""COMPUTED_VALUE"""),"cas_hmw")</f>
        <v>cas_hmw</v>
      </c>
      <c r="B16624" s="5">
        <f>IFERROR(__xludf.DUMMYFUNCTION("""COMPUTED_VALUE"""),44736.0)</f>
        <v>44736</v>
      </c>
      <c r="C16624" s="6">
        <f>IFERROR(__xludf.DUMMYFUNCTION("""COMPUTED_VALUE"""),0.6957523148157634)</f>
        <v>0.6957523148</v>
      </c>
      <c r="D16624" s="4">
        <f>IFERROR(__xludf.DUMMYFUNCTION("""COMPUTED_VALUE"""),12.918828)</f>
        <v>12.918828</v>
      </c>
      <c r="E16624" s="4">
        <f>IFERROR(__xludf.DUMMYFUNCTION("""COMPUTED_VALUE"""),80.10943)</f>
        <v>80.10943</v>
      </c>
      <c r="F16624" s="4">
        <f>IFERROR(__xludf.DUMMYFUNCTION("""COMPUTED_VALUE"""),5339.0)</f>
        <v>5339</v>
      </c>
      <c r="G16624" s="4">
        <f>IFERROR(__xludf.DUMMYFUNCTION("""COMPUTED_VALUE"""),42.0)</f>
        <v>42</v>
      </c>
      <c r="H16624" s="4"/>
      <c r="I16624" s="4"/>
    </row>
    <row r="16625">
      <c r="A16625" s="4" t="str">
        <f>IFERROR(__xludf.DUMMYFUNCTION("""COMPUTED_VALUE"""),"cas_hmw")</f>
        <v>cas_hmw</v>
      </c>
      <c r="B16625" s="5">
        <f>IFERROR(__xludf.DUMMYFUNCTION("""COMPUTED_VALUE"""),44736.0)</f>
        <v>44736</v>
      </c>
      <c r="C16625" s="6">
        <f>IFERROR(__xludf.DUMMYFUNCTION("""COMPUTED_VALUE"""),0.6961342592585424)</f>
        <v>0.6961342593</v>
      </c>
      <c r="D16625" s="4">
        <f>IFERROR(__xludf.DUMMYFUNCTION("""COMPUTED_VALUE"""),12.921257)</f>
        <v>12.921257</v>
      </c>
      <c r="E16625" s="4">
        <f>IFERROR(__xludf.DUMMYFUNCTION("""COMPUTED_VALUE"""),80.112284)</f>
        <v>80.112284</v>
      </c>
      <c r="F16625" s="4">
        <f>IFERROR(__xludf.DUMMYFUNCTION("""COMPUTED_VALUE"""),5339.0)</f>
        <v>5339</v>
      </c>
      <c r="G16625" s="4">
        <f>IFERROR(__xludf.DUMMYFUNCTION("""COMPUTED_VALUE"""),55.0)</f>
        <v>55</v>
      </c>
      <c r="H16625" s="4"/>
      <c r="I16625" s="4"/>
    </row>
    <row r="16626">
      <c r="A16626" s="4" t="str">
        <f>IFERROR(__xludf.DUMMYFUNCTION("""COMPUTED_VALUE"""),"cas_hmw")</f>
        <v>cas_hmw</v>
      </c>
      <c r="B16626" s="5">
        <f>IFERROR(__xludf.DUMMYFUNCTION("""COMPUTED_VALUE"""),44736.0)</f>
        <v>44736</v>
      </c>
      <c r="C16626" s="6">
        <f>IFERROR(__xludf.DUMMYFUNCTION("""COMPUTED_VALUE"""),0.6976736111100763)</f>
        <v>0.6976736111</v>
      </c>
      <c r="D16626" s="4">
        <f>IFERROR(__xludf.DUMMYFUNCTION("""COMPUTED_VALUE"""),12.833342)</f>
        <v>12.833342</v>
      </c>
      <c r="E16626" s="4">
        <f>IFERROR(__xludf.DUMMYFUNCTION("""COMPUTED_VALUE"""),80.048766)</f>
        <v>80.048766</v>
      </c>
      <c r="F16626" s="4">
        <f>IFERROR(__xludf.DUMMYFUNCTION("""COMPUTED_VALUE"""),2846.0)</f>
        <v>2846</v>
      </c>
      <c r="G16626" s="4">
        <f>IFERROR(__xludf.DUMMYFUNCTION("""COMPUTED_VALUE"""),50.0)</f>
        <v>50</v>
      </c>
      <c r="H16626" s="4"/>
      <c r="I16626" s="4"/>
    </row>
    <row r="16627">
      <c r="A16627" s="4" t="str">
        <f>IFERROR(__xludf.DUMMYFUNCTION("""COMPUTED_VALUE"""),"cas_hmw")</f>
        <v>cas_hmw</v>
      </c>
      <c r="B16627" s="5">
        <f>IFERROR(__xludf.DUMMYFUNCTION("""COMPUTED_VALUE"""),44736.0)</f>
        <v>44736</v>
      </c>
      <c r="C16627" s="6">
        <f>IFERROR(__xludf.DUMMYFUNCTION("""COMPUTED_VALUE"""),0.6978009259255487)</f>
        <v>0.6978009259</v>
      </c>
      <c r="D16627" s="4">
        <f>IFERROR(__xludf.DUMMYFUNCTION("""COMPUTED_VALUE"""),12.930004)</f>
        <v>12.930004</v>
      </c>
      <c r="E16627" s="4">
        <f>IFERROR(__xludf.DUMMYFUNCTION("""COMPUTED_VALUE"""),80.121059)</f>
        <v>80.121059</v>
      </c>
      <c r="F16627" s="4">
        <f>IFERROR(__xludf.DUMMYFUNCTION("""COMPUTED_VALUE"""),5339.0)</f>
        <v>5339</v>
      </c>
      <c r="G16627" s="4">
        <f>IFERROR(__xludf.DUMMYFUNCTION("""COMPUTED_VALUE"""),20.0)</f>
        <v>20</v>
      </c>
      <c r="H16627" s="4"/>
      <c r="I16627" s="4"/>
    </row>
    <row r="16628">
      <c r="A16628" s="4" t="str">
        <f>IFERROR(__xludf.DUMMYFUNCTION("""COMPUTED_VALUE"""),"cas_hmw")</f>
        <v>cas_hmw</v>
      </c>
      <c r="B16628" s="5">
        <f>IFERROR(__xludf.DUMMYFUNCTION("""COMPUTED_VALUE"""),44736.0)</f>
        <v>44736</v>
      </c>
      <c r="C16628" s="6">
        <f>IFERROR(__xludf.DUMMYFUNCTION("""COMPUTED_VALUE"""),0.6985532407416031)</f>
        <v>0.6985532407</v>
      </c>
      <c r="D16628" s="4">
        <f>IFERROR(__xludf.DUMMYFUNCTION("""COMPUTED_VALUE"""),12.825977)</f>
        <v>12.825977</v>
      </c>
      <c r="E16628" s="4">
        <f>IFERROR(__xludf.DUMMYFUNCTION("""COMPUTED_VALUE"""),80.041066)</f>
        <v>80.041066</v>
      </c>
      <c r="F16628" s="4">
        <f>IFERROR(__xludf.DUMMYFUNCTION("""COMPUTED_VALUE"""),2846.0)</f>
        <v>2846</v>
      </c>
      <c r="G16628" s="4">
        <f>IFERROR(__xludf.DUMMYFUNCTION("""COMPUTED_VALUE"""),49.0)</f>
        <v>49</v>
      </c>
      <c r="H16628" s="4"/>
      <c r="I16628" s="4"/>
    </row>
    <row r="16629">
      <c r="A16629" s="4" t="str">
        <f>IFERROR(__xludf.DUMMYFUNCTION("""COMPUTED_VALUE"""),"cas_hmw")</f>
        <v>cas_hmw</v>
      </c>
      <c r="B16629" s="5">
        <f>IFERROR(__xludf.DUMMYFUNCTION("""COMPUTED_VALUE"""),44736.0)</f>
        <v>44736</v>
      </c>
      <c r="C16629" s="6">
        <f>IFERROR(__xludf.DUMMYFUNCTION("""COMPUTED_VALUE"""),0.6986689814802958)</f>
        <v>0.6986689815</v>
      </c>
      <c r="D16629" s="4">
        <f>IFERROR(__xludf.DUMMYFUNCTION("""COMPUTED_VALUE"""),12.932532)</f>
        <v>12.932532</v>
      </c>
      <c r="E16629" s="4">
        <f>IFERROR(__xludf.DUMMYFUNCTION("""COMPUTED_VALUE"""),80.123626)</f>
        <v>80.123626</v>
      </c>
      <c r="F16629" s="4">
        <f>IFERROR(__xludf.DUMMYFUNCTION("""COMPUTED_VALUE"""),5339.0)</f>
        <v>5339</v>
      </c>
      <c r="G16629" s="4">
        <f>IFERROR(__xludf.DUMMYFUNCTION("""COMPUTED_VALUE"""),20.0)</f>
        <v>20</v>
      </c>
      <c r="H16629" s="4"/>
      <c r="I16629" s="4"/>
    </row>
    <row r="16630">
      <c r="A16630" s="4" t="str">
        <f>IFERROR(__xludf.DUMMYFUNCTION("""COMPUTED_VALUE"""),"cas_hmw")</f>
        <v>cas_hmw</v>
      </c>
      <c r="B16630" s="5">
        <f>IFERROR(__xludf.DUMMYFUNCTION("""COMPUTED_VALUE"""),44736.0)</f>
        <v>44736</v>
      </c>
      <c r="C16630" s="6">
        <f>IFERROR(__xludf.DUMMYFUNCTION("""COMPUTED_VALUE"""),0.6989814814805868)</f>
        <v>0.6989814815</v>
      </c>
      <c r="D16630" s="4">
        <f>IFERROR(__xludf.DUMMYFUNCTION("""COMPUTED_VALUE"""),12.934879)</f>
        <v>12.934879</v>
      </c>
      <c r="E16630" s="4">
        <f>IFERROR(__xludf.DUMMYFUNCTION("""COMPUTED_VALUE"""),80.125909)</f>
        <v>80.125909</v>
      </c>
      <c r="F16630" s="4">
        <f>IFERROR(__xludf.DUMMYFUNCTION("""COMPUTED_VALUE"""),5339.0)</f>
        <v>5339</v>
      </c>
      <c r="G16630" s="4">
        <f>IFERROR(__xludf.DUMMYFUNCTION("""COMPUTED_VALUE"""),34.0)</f>
        <v>34</v>
      </c>
      <c r="H16630" s="4"/>
      <c r="I16630" s="4"/>
    </row>
    <row r="16631">
      <c r="A16631" s="4" t="str">
        <f>IFERROR(__xludf.DUMMYFUNCTION("""COMPUTED_VALUE"""),"cas_hmw")</f>
        <v>cas_hmw</v>
      </c>
      <c r="B16631" s="5">
        <f>IFERROR(__xludf.DUMMYFUNCTION("""COMPUTED_VALUE"""),44736.0)</f>
        <v>44736</v>
      </c>
      <c r="C16631" s="6">
        <f>IFERROR(__xludf.DUMMYFUNCTION("""COMPUTED_VALUE"""),0.6990046296305081)</f>
        <v>0.6990046296</v>
      </c>
      <c r="D16631" s="4">
        <f>IFERROR(__xludf.DUMMYFUNCTION("""COMPUTED_VALUE"""),12.934879)</f>
        <v>12.934879</v>
      </c>
      <c r="E16631" s="4">
        <f>IFERROR(__xludf.DUMMYFUNCTION("""COMPUTED_VALUE"""),80.125909)</f>
        <v>80.125909</v>
      </c>
      <c r="F16631" s="4">
        <f>IFERROR(__xludf.DUMMYFUNCTION("""COMPUTED_VALUE"""),5339.0)</f>
        <v>5339</v>
      </c>
      <c r="G16631" s="4">
        <f>IFERROR(__xludf.DUMMYFUNCTION("""COMPUTED_VALUE"""),34.0)</f>
        <v>34</v>
      </c>
      <c r="H16631" s="4"/>
      <c r="I16631" s="4"/>
    </row>
    <row r="16632">
      <c r="A16632" s="4" t="str">
        <f>IFERROR(__xludf.DUMMYFUNCTION("""COMPUTED_VALUE"""),"cas_hmw")</f>
        <v>cas_hmw</v>
      </c>
      <c r="B16632" s="5">
        <f>IFERROR(__xludf.DUMMYFUNCTION("""COMPUTED_VALUE"""),44736.0)</f>
        <v>44736</v>
      </c>
      <c r="C16632" s="6">
        <f>IFERROR(__xludf.DUMMYFUNCTION("""COMPUTED_VALUE"""),0.6990162037036498)</f>
        <v>0.6990162037</v>
      </c>
      <c r="D16632" s="4">
        <f>IFERROR(__xludf.DUMMYFUNCTION("""COMPUTED_VALUE"""),12.934879)</f>
        <v>12.934879</v>
      </c>
      <c r="E16632" s="4">
        <f>IFERROR(__xludf.DUMMYFUNCTION("""COMPUTED_VALUE"""),80.125909)</f>
        <v>80.125909</v>
      </c>
      <c r="F16632" s="4">
        <f>IFERROR(__xludf.DUMMYFUNCTION("""COMPUTED_VALUE"""),5339.0)</f>
        <v>5339</v>
      </c>
      <c r="G16632" s="4">
        <f>IFERROR(__xludf.DUMMYFUNCTION("""COMPUTED_VALUE"""),34.0)</f>
        <v>34</v>
      </c>
      <c r="H16632" s="4"/>
      <c r="I16632" s="4"/>
    </row>
    <row r="16633">
      <c r="A16633" s="4" t="str">
        <f>IFERROR(__xludf.DUMMYFUNCTION("""COMPUTED_VALUE"""),"cas_hmw")</f>
        <v>cas_hmw</v>
      </c>
      <c r="B16633" s="5">
        <f>IFERROR(__xludf.DUMMYFUNCTION("""COMPUTED_VALUE"""),44736.0)</f>
        <v>44736</v>
      </c>
      <c r="C16633" s="6">
        <f>IFERROR(__xludf.DUMMYFUNCTION("""COMPUTED_VALUE"""),0.6990740740729962)</f>
        <v>0.6990740741</v>
      </c>
      <c r="D16633" s="4">
        <f>IFERROR(__xludf.DUMMYFUNCTION("""COMPUTED_VALUE"""),12.934879)</f>
        <v>12.934879</v>
      </c>
      <c r="E16633" s="4">
        <f>IFERROR(__xludf.DUMMYFUNCTION("""COMPUTED_VALUE"""),80.125909)</f>
        <v>80.125909</v>
      </c>
      <c r="F16633" s="4">
        <f>IFERROR(__xludf.DUMMYFUNCTION("""COMPUTED_VALUE"""),5339.0)</f>
        <v>5339</v>
      </c>
      <c r="G16633" s="4">
        <f>IFERROR(__xludf.DUMMYFUNCTION("""COMPUTED_VALUE"""),34.0)</f>
        <v>34</v>
      </c>
      <c r="H16633" s="4"/>
      <c r="I16633" s="4"/>
    </row>
    <row r="16634">
      <c r="A16634" s="4" t="str">
        <f>IFERROR(__xludf.DUMMYFUNCTION("""COMPUTED_VALUE"""),"cas_hmw")</f>
        <v>cas_hmw</v>
      </c>
      <c r="B16634" s="5">
        <f>IFERROR(__xludf.DUMMYFUNCTION("""COMPUTED_VALUE"""),44736.0)</f>
        <v>44736</v>
      </c>
      <c r="C16634" s="6">
        <f>IFERROR(__xludf.DUMMYFUNCTION("""COMPUTED_VALUE"""),0.6991550925922638)</f>
        <v>0.6991550926</v>
      </c>
      <c r="D16634" s="4">
        <f>IFERROR(__xludf.DUMMYFUNCTION("""COMPUTED_VALUE"""),12.935467)</f>
        <v>12.935467</v>
      </c>
      <c r="E16634" s="4">
        <f>IFERROR(__xludf.DUMMYFUNCTION("""COMPUTED_VALUE"""),80.126393)</f>
        <v>80.126393</v>
      </c>
      <c r="F16634" s="4">
        <f>IFERROR(__xludf.DUMMYFUNCTION("""COMPUTED_VALUE"""),5339.0)</f>
        <v>5339</v>
      </c>
      <c r="G16634" s="4">
        <f>IFERROR(__xludf.DUMMYFUNCTION("""COMPUTED_VALUE"""),35.0)</f>
        <v>35</v>
      </c>
      <c r="H16634" s="4"/>
      <c r="I16634" s="4"/>
    </row>
    <row r="16635">
      <c r="A16635" s="4" t="str">
        <f>IFERROR(__xludf.DUMMYFUNCTION("""COMPUTED_VALUE"""),"cas_hmw")</f>
        <v>cas_hmw</v>
      </c>
      <c r="B16635" s="5">
        <f>IFERROR(__xludf.DUMMYFUNCTION("""COMPUTED_VALUE"""),44736.0)</f>
        <v>44736</v>
      </c>
      <c r="C16635" s="6">
        <f>IFERROR(__xludf.DUMMYFUNCTION("""COMPUTED_VALUE"""),0.6995717592581059)</f>
        <v>0.6995717593</v>
      </c>
      <c r="D16635" s="4">
        <f>IFERROR(__xludf.DUMMYFUNCTION("""COMPUTED_VALUE"""),12.820745)</f>
        <v>12.820745</v>
      </c>
      <c r="E16635" s="4">
        <f>IFERROR(__xludf.DUMMYFUNCTION("""COMPUTED_VALUE"""),80.037398)</f>
        <v>80.037398</v>
      </c>
      <c r="F16635" s="4">
        <f>IFERROR(__xludf.DUMMYFUNCTION("""COMPUTED_VALUE"""),2846.0)</f>
        <v>2846</v>
      </c>
      <c r="G16635" s="4">
        <f>IFERROR(__xludf.DUMMYFUNCTION("""COMPUTED_VALUE"""),31.0)</f>
        <v>31</v>
      </c>
      <c r="H16635" s="4"/>
      <c r="I16635" s="4"/>
    </row>
    <row r="16636">
      <c r="A16636" s="4" t="str">
        <f>IFERROR(__xludf.DUMMYFUNCTION("""COMPUTED_VALUE"""),"cas_hmw")</f>
        <v>cas_hmw</v>
      </c>
      <c r="B16636" s="5">
        <f>IFERROR(__xludf.DUMMYFUNCTION("""COMPUTED_VALUE"""),44736.0)</f>
        <v>44736</v>
      </c>
      <c r="C16636" s="6">
        <f>IFERROR(__xludf.DUMMYFUNCTION("""COMPUTED_VALUE"""),0.6995717592581059)</f>
        <v>0.6995717593</v>
      </c>
      <c r="D16636" s="4">
        <f>IFERROR(__xludf.DUMMYFUNCTION("""COMPUTED_VALUE"""),12.938991)</f>
        <v>12.938991</v>
      </c>
      <c r="E16636" s="4">
        <f>IFERROR(__xludf.DUMMYFUNCTION("""COMPUTED_VALUE"""),80.129491)</f>
        <v>80.129491</v>
      </c>
      <c r="F16636" s="4">
        <f>IFERROR(__xludf.DUMMYFUNCTION("""COMPUTED_VALUE"""),5339.0)</f>
        <v>5339</v>
      </c>
      <c r="G16636" s="4">
        <f>IFERROR(__xludf.DUMMYFUNCTION("""COMPUTED_VALUE"""),57.0)</f>
        <v>57</v>
      </c>
      <c r="H16636" s="4"/>
      <c r="I16636" s="4"/>
    </row>
    <row r="16637">
      <c r="A16637" s="4" t="str">
        <f>IFERROR(__xludf.DUMMYFUNCTION("""COMPUTED_VALUE"""),"cas_hmw")</f>
        <v>cas_hmw</v>
      </c>
      <c r="B16637" s="5">
        <f>IFERROR(__xludf.DUMMYFUNCTION("""COMPUTED_VALUE"""),44736.0)</f>
        <v>44736</v>
      </c>
      <c r="C16637" s="6">
        <f>IFERROR(__xludf.DUMMYFUNCTION("""COMPUTED_VALUE"""),0.6996180555543106)</f>
        <v>0.6996180556</v>
      </c>
      <c r="D16637" s="4">
        <f>IFERROR(__xludf.DUMMYFUNCTION("""COMPUTED_VALUE"""),12.938991)</f>
        <v>12.938991</v>
      </c>
      <c r="E16637" s="4">
        <f>IFERROR(__xludf.DUMMYFUNCTION("""COMPUTED_VALUE"""),80.129491)</f>
        <v>80.129491</v>
      </c>
      <c r="F16637" s="4">
        <f>IFERROR(__xludf.DUMMYFUNCTION("""COMPUTED_VALUE"""),5339.0)</f>
        <v>5339</v>
      </c>
      <c r="G16637" s="4">
        <f>IFERROR(__xludf.DUMMYFUNCTION("""COMPUTED_VALUE"""),57.0)</f>
        <v>57</v>
      </c>
      <c r="H16637" s="4"/>
      <c r="I16637" s="4"/>
    </row>
    <row r="16638">
      <c r="A16638" s="4" t="str">
        <f>IFERROR(__xludf.DUMMYFUNCTION("""COMPUTED_VALUE"""),"cas_hmw")</f>
        <v>cas_hmw</v>
      </c>
      <c r="B16638" s="5">
        <f>IFERROR(__xludf.DUMMYFUNCTION("""COMPUTED_VALUE"""),44736.0)</f>
        <v>44736</v>
      </c>
      <c r="C16638" s="6">
        <f>IFERROR(__xludf.DUMMYFUNCTION("""COMPUTED_VALUE"""),0.700439814816491)</f>
        <v>0.7004398148</v>
      </c>
      <c r="D16638" s="4">
        <f>IFERROR(__xludf.DUMMYFUNCTION("""COMPUTED_VALUE"""),12.943014)</f>
        <v>12.943014</v>
      </c>
      <c r="E16638" s="4">
        <f>IFERROR(__xludf.DUMMYFUNCTION("""COMPUTED_VALUE"""),80.133496)</f>
        <v>80.133496</v>
      </c>
      <c r="F16638" s="4">
        <f>IFERROR(__xludf.DUMMYFUNCTION("""COMPUTED_VALUE"""),5339.0)</f>
        <v>5339</v>
      </c>
      <c r="G16638" s="4">
        <f>IFERROR(__xludf.DUMMYFUNCTION("""COMPUTED_VALUE"""),29.0)</f>
        <v>29</v>
      </c>
      <c r="H16638" s="4"/>
      <c r="I16638" s="4"/>
    </row>
    <row r="16639">
      <c r="A16639" s="4" t="str">
        <f>IFERROR(__xludf.DUMMYFUNCTION("""COMPUTED_VALUE"""),"cas_hmw")</f>
        <v>cas_hmw</v>
      </c>
      <c r="B16639" s="5">
        <f>IFERROR(__xludf.DUMMYFUNCTION("""COMPUTED_VALUE"""),44736.0)</f>
        <v>44736</v>
      </c>
      <c r="C16639" s="6">
        <f>IFERROR(__xludf.DUMMYFUNCTION("""COMPUTED_VALUE"""),0.7007291666668607)</f>
        <v>0.7007291667</v>
      </c>
      <c r="D16639" s="4">
        <f>IFERROR(__xludf.DUMMYFUNCTION("""COMPUTED_VALUE"""),12.945077)</f>
        <v>12.945077</v>
      </c>
      <c r="E16639" s="4">
        <f>IFERROR(__xludf.DUMMYFUNCTION("""COMPUTED_VALUE"""),80.135295)</f>
        <v>80.135295</v>
      </c>
      <c r="F16639" s="4">
        <f>IFERROR(__xludf.DUMMYFUNCTION("""COMPUTED_VALUE"""),5339.0)</f>
        <v>5339</v>
      </c>
      <c r="G16639" s="4">
        <f>IFERROR(__xludf.DUMMYFUNCTION("""COMPUTED_VALUE"""),45.0)</f>
        <v>45</v>
      </c>
      <c r="H16639" s="4"/>
      <c r="I16639" s="4"/>
    </row>
    <row r="16640">
      <c r="A16640" s="4" t="str">
        <f>IFERROR(__xludf.DUMMYFUNCTION("""COMPUTED_VALUE"""),"cas_hmw")</f>
        <v>cas_hmw</v>
      </c>
      <c r="B16640" s="5">
        <f>IFERROR(__xludf.DUMMYFUNCTION("""COMPUTED_VALUE"""),44736.0)</f>
        <v>44736</v>
      </c>
      <c r="C16640" s="6">
        <f>IFERROR(__xludf.DUMMYFUNCTION("""COMPUTED_VALUE"""),0.7010879629633564)</f>
        <v>0.701087963</v>
      </c>
      <c r="D16640" s="4">
        <f>IFERROR(__xludf.DUMMYFUNCTION("""COMPUTED_VALUE"""),12.947594)</f>
        <v>12.947594</v>
      </c>
      <c r="E16640" s="4">
        <f>IFERROR(__xludf.DUMMYFUNCTION("""COMPUTED_VALUE"""),80.137211)</f>
        <v>80.137211</v>
      </c>
      <c r="F16640" s="4">
        <f>IFERROR(__xludf.DUMMYFUNCTION("""COMPUTED_VALUE"""),5339.0)</f>
        <v>5339</v>
      </c>
      <c r="G16640" s="4">
        <f>IFERROR(__xludf.DUMMYFUNCTION("""COMPUTED_VALUE"""),42.0)</f>
        <v>42</v>
      </c>
      <c r="H16640" s="4"/>
      <c r="I16640" s="4"/>
    </row>
    <row r="16641">
      <c r="A16641" s="4" t="str">
        <f>IFERROR(__xludf.DUMMYFUNCTION("""COMPUTED_VALUE"""),"cas_hmw")</f>
        <v>cas_hmw</v>
      </c>
      <c r="B16641" s="5">
        <f>IFERROR(__xludf.DUMMYFUNCTION("""COMPUTED_VALUE"""),44736.0)</f>
        <v>44736</v>
      </c>
      <c r="C16641" s="6">
        <f>IFERROR(__xludf.DUMMYFUNCTION("""COMPUTED_VALUE"""),0.7011342592595611)</f>
        <v>0.7011342593</v>
      </c>
      <c r="D16641" s="4">
        <f>IFERROR(__xludf.DUMMYFUNCTION("""COMPUTED_VALUE"""),12.807033)</f>
        <v>12.807033</v>
      </c>
      <c r="E16641" s="4">
        <f>IFERROR(__xludf.DUMMYFUNCTION("""COMPUTED_VALUE"""),80.028072)</f>
        <v>80.028072</v>
      </c>
      <c r="F16641" s="4">
        <f>IFERROR(__xludf.DUMMYFUNCTION("""COMPUTED_VALUE"""),2846.0)</f>
        <v>2846</v>
      </c>
      <c r="G16641" s="4">
        <f>IFERROR(__xludf.DUMMYFUNCTION("""COMPUTED_VALUE"""),51.0)</f>
        <v>51</v>
      </c>
      <c r="H16641" s="4"/>
      <c r="I16641" s="4"/>
    </row>
    <row r="16642">
      <c r="A16642" s="4" t="str">
        <f>IFERROR(__xludf.DUMMYFUNCTION("""COMPUTED_VALUE"""),"cas_hmw")</f>
        <v>cas_hmw</v>
      </c>
      <c r="B16642" s="5">
        <f>IFERROR(__xludf.DUMMYFUNCTION("""COMPUTED_VALUE"""),44736.0)</f>
        <v>44736</v>
      </c>
      <c r="C16642" s="6">
        <f>IFERROR(__xludf.DUMMYFUNCTION("""COMPUTED_VALUE"""),0.7012615740750334)</f>
        <v>0.7012615741</v>
      </c>
      <c r="D16642" s="4">
        <f>IFERROR(__xludf.DUMMYFUNCTION("""COMPUTED_VALUE"""),12.805196)</f>
        <v>12.805196</v>
      </c>
      <c r="E16642" s="4">
        <f>IFERROR(__xludf.DUMMYFUNCTION("""COMPUTED_VALUE"""),80.026901)</f>
        <v>80.026901</v>
      </c>
      <c r="F16642" s="4">
        <f>IFERROR(__xludf.DUMMYFUNCTION("""COMPUTED_VALUE"""),2846.0)</f>
        <v>2846</v>
      </c>
      <c r="G16642" s="4">
        <f>IFERROR(__xludf.DUMMYFUNCTION("""COMPUTED_VALUE"""),51.0)</f>
        <v>51</v>
      </c>
      <c r="H16642" s="4"/>
      <c r="I16642" s="4"/>
    </row>
    <row r="16643">
      <c r="A16643" s="4" t="str">
        <f>IFERROR(__xludf.DUMMYFUNCTION("""COMPUTED_VALUE"""),"cas_hmw")</f>
        <v>cas_hmw</v>
      </c>
      <c r="B16643" s="5">
        <f>IFERROR(__xludf.DUMMYFUNCTION("""COMPUTED_VALUE"""),44736.0)</f>
        <v>44736</v>
      </c>
      <c r="C16643" s="6">
        <f>IFERROR(__xludf.DUMMYFUNCTION("""COMPUTED_VALUE"""),0.7013078703712381)</f>
        <v>0.7013078704</v>
      </c>
      <c r="D16643" s="4">
        <f>IFERROR(__xludf.DUMMYFUNCTION("""COMPUTED_VALUE"""),12.949489)</f>
        <v>12.949489</v>
      </c>
      <c r="E16643" s="4">
        <f>IFERROR(__xludf.DUMMYFUNCTION("""COMPUTED_VALUE"""),80.138605)</f>
        <v>80.138605</v>
      </c>
      <c r="F16643" s="4">
        <f>IFERROR(__xludf.DUMMYFUNCTION("""COMPUTED_VALUE"""),5339.0)</f>
        <v>5339</v>
      </c>
      <c r="G16643" s="4">
        <f>IFERROR(__xludf.DUMMYFUNCTION("""COMPUTED_VALUE"""),47.0)</f>
        <v>47</v>
      </c>
      <c r="H16643" s="4"/>
      <c r="I16643" s="4"/>
    </row>
    <row r="16644">
      <c r="A16644" s="4" t="str">
        <f>IFERROR(__xludf.DUMMYFUNCTION("""COMPUTED_VALUE"""),"cas_hmw")</f>
        <v>cas_hmw</v>
      </c>
      <c r="B16644" s="5">
        <f>IFERROR(__xludf.DUMMYFUNCTION("""COMPUTED_VALUE"""),44736.0)</f>
        <v>44736</v>
      </c>
      <c r="C16644" s="6">
        <f>IFERROR(__xludf.DUMMYFUNCTION("""COMPUTED_VALUE"""),0.7030324074075907)</f>
        <v>0.7030324074</v>
      </c>
      <c r="D16644" s="4">
        <f>IFERROR(__xludf.DUMMYFUNCTION("""COMPUTED_VALUE"""),12.955722)</f>
        <v>12.955722</v>
      </c>
      <c r="E16644" s="4">
        <f>IFERROR(__xludf.DUMMYFUNCTION("""COMPUTED_VALUE"""),80.142758)</f>
        <v>80.142758</v>
      </c>
      <c r="F16644" s="4">
        <f>IFERROR(__xludf.DUMMYFUNCTION("""COMPUTED_VALUE"""),5339.0)</f>
        <v>5339</v>
      </c>
      <c r="G16644" s="4">
        <f>IFERROR(__xludf.DUMMYFUNCTION("""COMPUTED_VALUE"""),39.0)</f>
        <v>39</v>
      </c>
      <c r="H16644" s="4"/>
      <c r="I16644" s="4"/>
    </row>
    <row r="16645">
      <c r="A16645" s="4" t="str">
        <f>IFERROR(__xludf.DUMMYFUNCTION("""COMPUTED_VALUE"""),"cas_hmw")</f>
        <v>cas_hmw</v>
      </c>
      <c r="B16645" s="5">
        <f>IFERROR(__xludf.DUMMYFUNCTION("""COMPUTED_VALUE"""),44736.0)</f>
        <v>44736</v>
      </c>
      <c r="C16645" s="6">
        <f>IFERROR(__xludf.DUMMYFUNCTION("""COMPUTED_VALUE"""),0.7042361111125501)</f>
        <v>0.7042361111</v>
      </c>
      <c r="D16645" s="4">
        <f>IFERROR(__xludf.DUMMYFUNCTION("""COMPUTED_VALUE"""),12.782809)</f>
        <v>12.782809</v>
      </c>
      <c r="E16645" s="4">
        <f>IFERROR(__xludf.DUMMYFUNCTION("""COMPUTED_VALUE"""),80.013049)</f>
        <v>80.013049</v>
      </c>
      <c r="F16645" s="4">
        <f>IFERROR(__xludf.DUMMYFUNCTION("""COMPUTED_VALUE"""),2846.0)</f>
        <v>2846</v>
      </c>
      <c r="G16645" s="4">
        <f>IFERROR(__xludf.DUMMYFUNCTION("""COMPUTED_VALUE"""),57.0)</f>
        <v>57</v>
      </c>
      <c r="H16645" s="4"/>
      <c r="I16645" s="4"/>
    </row>
    <row r="16646">
      <c r="A16646" s="4" t="str">
        <f>IFERROR(__xludf.DUMMYFUNCTION("""COMPUTED_VALUE"""),"cas_hmw")</f>
        <v>cas_hmw</v>
      </c>
      <c r="B16646" s="5">
        <f>IFERROR(__xludf.DUMMYFUNCTION("""COMPUTED_VALUE"""),44736.0)</f>
        <v>44736</v>
      </c>
      <c r="C16646" s="6">
        <f>IFERROR(__xludf.DUMMYFUNCTION("""COMPUTED_VALUE"""),0.7045370370360615)</f>
        <v>0.704537037</v>
      </c>
      <c r="D16646" s="4">
        <f>IFERROR(__xludf.DUMMYFUNCTION("""COMPUTED_VALUE"""),12.962914)</f>
        <v>12.962914</v>
      </c>
      <c r="E16646" s="4">
        <f>IFERROR(__xludf.DUMMYFUNCTION("""COMPUTED_VALUE"""),80.146576)</f>
        <v>80.146576</v>
      </c>
      <c r="F16646" s="4">
        <f>IFERROR(__xludf.DUMMYFUNCTION("""COMPUTED_VALUE"""),5339.0)</f>
        <v>5339</v>
      </c>
      <c r="G16646" s="4">
        <f>IFERROR(__xludf.DUMMYFUNCTION("""COMPUTED_VALUE"""),47.0)</f>
        <v>47</v>
      </c>
      <c r="H16646" s="4"/>
      <c r="I16646" s="4"/>
    </row>
    <row r="16647">
      <c r="A16647" s="4" t="str">
        <f>IFERROR(__xludf.DUMMYFUNCTION("""COMPUTED_VALUE"""),"cas_hmw")</f>
        <v>cas_hmw</v>
      </c>
      <c r="B16647" s="5">
        <f>IFERROR(__xludf.DUMMYFUNCTION("""COMPUTED_VALUE"""),44736.0)</f>
        <v>44736</v>
      </c>
      <c r="C16647" s="6">
        <f>IFERROR(__xludf.DUMMYFUNCTION("""COMPUTED_VALUE"""),0.7049074074056989)</f>
        <v>0.7049074074</v>
      </c>
      <c r="D16647" s="4">
        <f>IFERROR(__xludf.DUMMYFUNCTION("""COMPUTED_VALUE"""),12.965775)</f>
        <v>12.965775</v>
      </c>
      <c r="E16647" s="4">
        <f>IFERROR(__xludf.DUMMYFUNCTION("""COMPUTED_VALUE"""),80.148304)</f>
        <v>80.148304</v>
      </c>
      <c r="F16647" s="4">
        <f>IFERROR(__xludf.DUMMYFUNCTION("""COMPUTED_VALUE"""),5339.0)</f>
        <v>5339</v>
      </c>
      <c r="G16647" s="4">
        <f>IFERROR(__xludf.DUMMYFUNCTION("""COMPUTED_VALUE"""),51.0)</f>
        <v>51</v>
      </c>
      <c r="H16647" s="4"/>
      <c r="I16647" s="4"/>
    </row>
    <row r="16648">
      <c r="A16648" s="4" t="str">
        <f>IFERROR(__xludf.DUMMYFUNCTION("""COMPUTED_VALUE"""),"cas_hmw")</f>
        <v>cas_hmw</v>
      </c>
      <c r="B16648" s="5">
        <f>IFERROR(__xludf.DUMMYFUNCTION("""COMPUTED_VALUE"""),44736.0)</f>
        <v>44736</v>
      </c>
      <c r="C16648" s="6">
        <f>IFERROR(__xludf.DUMMYFUNCTION("""COMPUTED_VALUE"""),0.7050000000017462)</f>
        <v>0.705</v>
      </c>
      <c r="D16648" s="4">
        <f>IFERROR(__xludf.DUMMYFUNCTION("""COMPUTED_VALUE"""),12.965775)</f>
        <v>12.965775</v>
      </c>
      <c r="E16648" s="4">
        <f>IFERROR(__xludf.DUMMYFUNCTION("""COMPUTED_VALUE"""),80.148304)</f>
        <v>80.148304</v>
      </c>
      <c r="F16648" s="4">
        <f>IFERROR(__xludf.DUMMYFUNCTION("""COMPUTED_VALUE"""),5339.0)</f>
        <v>5339</v>
      </c>
      <c r="G16648" s="4">
        <f>IFERROR(__xludf.DUMMYFUNCTION("""COMPUTED_VALUE"""),51.0)</f>
        <v>51</v>
      </c>
      <c r="H16648" s="4"/>
      <c r="I16648" s="4"/>
    </row>
    <row r="16649">
      <c r="A16649" s="4" t="str">
        <f>IFERROR(__xludf.DUMMYFUNCTION("""COMPUTED_VALUE"""),"cas_hmw")</f>
        <v>cas_hmw</v>
      </c>
      <c r="B16649" s="5">
        <f>IFERROR(__xludf.DUMMYFUNCTION("""COMPUTED_VALUE"""),44736.0)</f>
        <v>44736</v>
      </c>
      <c r="C16649" s="6">
        <f>IFERROR(__xludf.DUMMYFUNCTION("""COMPUTED_VALUE"""),0.7050578703710926)</f>
        <v>0.7050578704</v>
      </c>
      <c r="D16649" s="4">
        <f>IFERROR(__xludf.DUMMYFUNCTION("""COMPUTED_VALUE"""),12.966818)</f>
        <v>12.966818</v>
      </c>
      <c r="E16649" s="4">
        <f>IFERROR(__xludf.DUMMYFUNCTION("""COMPUTED_VALUE"""),80.148829)</f>
        <v>80.148829</v>
      </c>
      <c r="F16649" s="4">
        <f>IFERROR(__xludf.DUMMYFUNCTION("""COMPUTED_VALUE"""),5339.0)</f>
        <v>5339</v>
      </c>
      <c r="G16649" s="4">
        <f>IFERROR(__xludf.DUMMYFUNCTION("""COMPUTED_VALUE"""),38.0)</f>
        <v>38</v>
      </c>
      <c r="H16649" s="4"/>
      <c r="I16649" s="4"/>
    </row>
    <row r="16650">
      <c r="A16650" s="4" t="str">
        <f>IFERROR(__xludf.DUMMYFUNCTION("""COMPUTED_VALUE"""),"cas_hmw")</f>
        <v>cas_hmw</v>
      </c>
      <c r="B16650" s="5">
        <f>IFERROR(__xludf.DUMMYFUNCTION("""COMPUTED_VALUE"""),44736.0)</f>
        <v>44736</v>
      </c>
      <c r="C16650" s="6">
        <f>IFERROR(__xludf.DUMMYFUNCTION("""COMPUTED_VALUE"""),0.7055092592599976)</f>
        <v>0.7055092593</v>
      </c>
      <c r="D16650" s="4">
        <f>IFERROR(__xludf.DUMMYFUNCTION("""COMPUTED_VALUE"""),12.971474)</f>
        <v>12.971474</v>
      </c>
      <c r="E16650" s="4">
        <f>IFERROR(__xludf.DUMMYFUNCTION("""COMPUTED_VALUE"""),80.151039)</f>
        <v>80.151039</v>
      </c>
      <c r="F16650" s="4">
        <f>IFERROR(__xludf.DUMMYFUNCTION("""COMPUTED_VALUE"""),5339.0)</f>
        <v>5339</v>
      </c>
      <c r="G16650" s="4">
        <f>IFERROR(__xludf.DUMMYFUNCTION("""COMPUTED_VALUE"""),54.0)</f>
        <v>54</v>
      </c>
      <c r="H16650" s="4"/>
      <c r="I16650" s="4"/>
    </row>
    <row r="16651">
      <c r="A16651" s="4" t="str">
        <f>IFERROR(__xludf.DUMMYFUNCTION("""COMPUTED_VALUE"""),"cas_hmw")</f>
        <v>cas_hmw</v>
      </c>
      <c r="B16651" s="5">
        <f>IFERROR(__xludf.DUMMYFUNCTION("""COMPUTED_VALUE"""),44736.0)</f>
        <v>44736</v>
      </c>
      <c r="C16651" s="6">
        <f>IFERROR(__xludf.DUMMYFUNCTION("""COMPUTED_VALUE"""),0.7056944444448163)</f>
        <v>0.7056944444</v>
      </c>
      <c r="D16651" s="4">
        <f>IFERROR(__xludf.DUMMYFUNCTION("""COMPUTED_VALUE"""),12.973283)</f>
        <v>12.973283</v>
      </c>
      <c r="E16651" s="4">
        <f>IFERROR(__xludf.DUMMYFUNCTION("""COMPUTED_VALUE"""),80.152973)</f>
        <v>80.152973</v>
      </c>
      <c r="F16651" s="4">
        <f>IFERROR(__xludf.DUMMYFUNCTION("""COMPUTED_VALUE"""),5339.0)</f>
        <v>5339</v>
      </c>
      <c r="G16651" s="4">
        <f>IFERROR(__xludf.DUMMYFUNCTION("""COMPUTED_VALUE"""),55.0)</f>
        <v>55</v>
      </c>
      <c r="H16651" s="4"/>
      <c r="I16651" s="4"/>
    </row>
    <row r="16652">
      <c r="A16652" s="4" t="str">
        <f>IFERROR(__xludf.DUMMYFUNCTION("""COMPUTED_VALUE"""),"cas_hmw")</f>
        <v>cas_hmw</v>
      </c>
      <c r="B16652" s="5">
        <f>IFERROR(__xludf.DUMMYFUNCTION("""COMPUTED_VALUE"""),44736.0)</f>
        <v>44736</v>
      </c>
      <c r="C16652" s="6">
        <f>IFERROR(__xludf.DUMMYFUNCTION("""COMPUTED_VALUE"""),0.7060300925913907)</f>
        <v>0.7060300926</v>
      </c>
      <c r="D16652" s="4">
        <f>IFERROR(__xludf.DUMMYFUNCTION("""COMPUTED_VALUE"""),12.974766)</f>
        <v>12.974766</v>
      </c>
      <c r="E16652" s="4">
        <f>IFERROR(__xludf.DUMMYFUNCTION("""COMPUTED_VALUE"""),80.155139)</f>
        <v>80.155139</v>
      </c>
      <c r="F16652" s="4">
        <f>IFERROR(__xludf.DUMMYFUNCTION("""COMPUTED_VALUE"""),5339.0)</f>
        <v>5339</v>
      </c>
      <c r="G16652" s="4">
        <f>IFERROR(__xludf.DUMMYFUNCTION("""COMPUTED_VALUE"""),46.0)</f>
        <v>46</v>
      </c>
      <c r="H16652" s="4"/>
      <c r="I16652" s="4"/>
    </row>
    <row r="16653">
      <c r="A16653" s="4" t="str">
        <f>IFERROR(__xludf.DUMMYFUNCTION("""COMPUTED_VALUE"""),"cas_hmw")</f>
        <v>cas_hmw</v>
      </c>
      <c r="B16653" s="5">
        <f>IFERROR(__xludf.DUMMYFUNCTION("""COMPUTED_VALUE"""),44736.0)</f>
        <v>44736</v>
      </c>
      <c r="C16653" s="6">
        <f>IFERROR(__xludf.DUMMYFUNCTION("""COMPUTED_VALUE"""),0.7062037037030677)</f>
        <v>0.7062037037</v>
      </c>
      <c r="D16653" s="4">
        <f>IFERROR(__xludf.DUMMYFUNCTION("""COMPUTED_VALUE"""),12.976033)</f>
        <v>12.976033</v>
      </c>
      <c r="E16653" s="4">
        <f>IFERROR(__xludf.DUMMYFUNCTION("""COMPUTED_VALUE"""),80.156964)</f>
        <v>80.156964</v>
      </c>
      <c r="F16653" s="4">
        <f>IFERROR(__xludf.DUMMYFUNCTION("""COMPUTED_VALUE"""),5339.0)</f>
        <v>5339</v>
      </c>
      <c r="G16653" s="4">
        <f>IFERROR(__xludf.DUMMYFUNCTION("""COMPUTED_VALUE"""),40.0)</f>
        <v>40</v>
      </c>
      <c r="H16653" s="4"/>
      <c r="I16653" s="4"/>
    </row>
    <row r="16654">
      <c r="A16654" s="4" t="str">
        <f>IFERROR(__xludf.DUMMYFUNCTION("""COMPUTED_VALUE"""),"cas_hmw")</f>
        <v>cas_hmw</v>
      </c>
      <c r="B16654" s="5">
        <f>IFERROR(__xludf.DUMMYFUNCTION("""COMPUTED_VALUE"""),44736.0)</f>
        <v>44736</v>
      </c>
      <c r="C16654" s="6">
        <f>IFERROR(__xludf.DUMMYFUNCTION("""COMPUTED_VALUE"""),0.7068634259267128)</f>
        <v>0.7068634259</v>
      </c>
      <c r="D16654" s="4">
        <f>IFERROR(__xludf.DUMMYFUNCTION("""COMPUTED_VALUE"""),12.98033)</f>
        <v>12.98033</v>
      </c>
      <c r="E16654" s="4">
        <f>IFERROR(__xludf.DUMMYFUNCTION("""COMPUTED_VALUE"""),80.164003)</f>
        <v>80.164003</v>
      </c>
      <c r="F16654" s="4">
        <f>IFERROR(__xludf.DUMMYFUNCTION("""COMPUTED_VALUE"""),5339.0)</f>
        <v>5339</v>
      </c>
      <c r="G16654" s="4">
        <f>IFERROR(__xludf.DUMMYFUNCTION("""COMPUTED_VALUE"""),58.0)</f>
        <v>58</v>
      </c>
      <c r="H16654" s="4"/>
      <c r="I16654" s="4"/>
    </row>
    <row r="16655">
      <c r="A16655" s="4" t="str">
        <f>IFERROR(__xludf.DUMMYFUNCTION("""COMPUTED_VALUE"""),"cas_hmw")</f>
        <v>cas_hmw</v>
      </c>
      <c r="B16655" s="5">
        <f>IFERROR(__xludf.DUMMYFUNCTION("""COMPUTED_VALUE"""),44736.0)</f>
        <v>44736</v>
      </c>
      <c r="C16655" s="6">
        <f>IFERROR(__xludf.DUMMYFUNCTION("""COMPUTED_VALUE"""),0.7069097222229175)</f>
        <v>0.7069097222</v>
      </c>
      <c r="D16655" s="4">
        <f>IFERROR(__xludf.DUMMYFUNCTION("""COMPUTED_VALUE"""),12.98033)</f>
        <v>12.98033</v>
      </c>
      <c r="E16655" s="4">
        <f>IFERROR(__xludf.DUMMYFUNCTION("""COMPUTED_VALUE"""),80.164003)</f>
        <v>80.164003</v>
      </c>
      <c r="F16655" s="4">
        <f>IFERROR(__xludf.DUMMYFUNCTION("""COMPUTED_VALUE"""),5339.0)</f>
        <v>5339</v>
      </c>
      <c r="G16655" s="4">
        <f>IFERROR(__xludf.DUMMYFUNCTION("""COMPUTED_VALUE"""),58.0)</f>
        <v>58</v>
      </c>
      <c r="H16655" s="4"/>
      <c r="I16655" s="4"/>
    </row>
    <row r="16656">
      <c r="A16656" s="4" t="str">
        <f>IFERROR(__xludf.DUMMYFUNCTION("""COMPUTED_VALUE"""),"cas_hmw")</f>
        <v>cas_hmw</v>
      </c>
      <c r="B16656" s="5">
        <f>IFERROR(__xludf.DUMMYFUNCTION("""COMPUTED_VALUE"""),44736.0)</f>
        <v>44736</v>
      </c>
      <c r="C16656" s="6">
        <f>IFERROR(__xludf.DUMMYFUNCTION("""COMPUTED_VALUE"""),0.7074652777773736)</f>
        <v>0.7074652778</v>
      </c>
      <c r="D16656" s="4">
        <f>IFERROR(__xludf.DUMMYFUNCTION("""COMPUTED_VALUE"""),12.983892)</f>
        <v>12.983892</v>
      </c>
      <c r="E16656" s="4">
        <f>IFERROR(__xludf.DUMMYFUNCTION("""COMPUTED_VALUE"""),80.170618)</f>
        <v>80.170618</v>
      </c>
      <c r="F16656" s="4">
        <f>IFERROR(__xludf.DUMMYFUNCTION("""COMPUTED_VALUE"""),5339.0)</f>
        <v>5339</v>
      </c>
      <c r="G16656" s="4">
        <f>IFERROR(__xludf.DUMMYFUNCTION("""COMPUTED_VALUE"""),64.0)</f>
        <v>64</v>
      </c>
      <c r="H16656" s="4"/>
      <c r="I16656" s="4"/>
    </row>
    <row r="16657">
      <c r="A16657" s="4" t="str">
        <f>IFERROR(__xludf.DUMMYFUNCTION("""COMPUTED_VALUE"""),"cas_hmw")</f>
        <v>cas_hmw</v>
      </c>
      <c r="B16657" s="5">
        <f>IFERROR(__xludf.DUMMYFUNCTION("""COMPUTED_VALUE"""),44736.0)</f>
        <v>44736</v>
      </c>
      <c r="C16657" s="6">
        <f>IFERROR(__xludf.DUMMYFUNCTION("""COMPUTED_VALUE"""),0.7084027777782467)</f>
        <v>0.7084027778</v>
      </c>
      <c r="D16657" s="4">
        <f>IFERROR(__xludf.DUMMYFUNCTION("""COMPUTED_VALUE"""),12.987202)</f>
        <v>12.987202</v>
      </c>
      <c r="E16657" s="4">
        <f>IFERROR(__xludf.DUMMYFUNCTION("""COMPUTED_VALUE"""),80.175686)</f>
        <v>80.175686</v>
      </c>
      <c r="F16657" s="4">
        <f>IFERROR(__xludf.DUMMYFUNCTION("""COMPUTED_VALUE"""),5339.0)</f>
        <v>5339</v>
      </c>
      <c r="G16657" s="4">
        <f>IFERROR(__xludf.DUMMYFUNCTION("""COMPUTED_VALUE"""),34.0)</f>
        <v>34</v>
      </c>
      <c r="H16657" s="4"/>
      <c r="I16657" s="4"/>
    </row>
    <row r="16658">
      <c r="A16658" s="4" t="str">
        <f>IFERROR(__xludf.DUMMYFUNCTION("""COMPUTED_VALUE"""),"cas_hmw")</f>
        <v>cas_hmw</v>
      </c>
      <c r="B16658" s="5">
        <f>IFERROR(__xludf.DUMMYFUNCTION("""COMPUTED_VALUE"""),44736.0)</f>
        <v>44736</v>
      </c>
      <c r="C16658" s="6">
        <f>IFERROR(__xludf.DUMMYFUNCTION("""COMPUTED_VALUE"""),0.7085416666668607)</f>
        <v>0.7085416667</v>
      </c>
      <c r="D16658" s="4">
        <f>IFERROR(__xludf.DUMMYFUNCTION("""COMPUTED_VALUE"""),12.987814)</f>
        <v>12.987814</v>
      </c>
      <c r="E16658" s="4">
        <f>IFERROR(__xludf.DUMMYFUNCTION("""COMPUTED_VALUE"""),80.176576)</f>
        <v>80.176576</v>
      </c>
      <c r="F16658" s="4">
        <f>IFERROR(__xludf.DUMMYFUNCTION("""COMPUTED_VALUE"""),5339.0)</f>
        <v>5339</v>
      </c>
      <c r="G16658" s="4">
        <f>IFERROR(__xludf.DUMMYFUNCTION("""COMPUTED_VALUE"""),40.0)</f>
        <v>40</v>
      </c>
      <c r="H16658" s="4"/>
      <c r="I16658" s="4"/>
    </row>
    <row r="16659">
      <c r="A16659" s="4" t="str">
        <f>IFERROR(__xludf.DUMMYFUNCTION("""COMPUTED_VALUE"""),"cas_hmw")</f>
        <v>cas_hmw</v>
      </c>
      <c r="B16659" s="5">
        <f>IFERROR(__xludf.DUMMYFUNCTION("""COMPUTED_VALUE"""),44736.0)</f>
        <v>44736</v>
      </c>
      <c r="C16659" s="6">
        <f>IFERROR(__xludf.DUMMYFUNCTION("""COMPUTED_VALUE"""),0.7095254629639385)</f>
        <v>0.709525463</v>
      </c>
      <c r="D16659" s="4">
        <f>IFERROR(__xludf.DUMMYFUNCTION("""COMPUTED_VALUE"""),12.991699)</f>
        <v>12.991699</v>
      </c>
      <c r="E16659" s="4">
        <f>IFERROR(__xludf.DUMMYFUNCTION("""COMPUTED_VALUE"""),80.181618)</f>
        <v>80.181618</v>
      </c>
      <c r="F16659" s="4">
        <f>IFERROR(__xludf.DUMMYFUNCTION("""COMPUTED_VALUE"""),5339.0)</f>
        <v>5339</v>
      </c>
      <c r="G16659" s="4">
        <f>IFERROR(__xludf.DUMMYFUNCTION("""COMPUTED_VALUE"""),56.0)</f>
        <v>56</v>
      </c>
      <c r="H16659" s="4"/>
      <c r="I16659" s="4"/>
    </row>
    <row r="16660">
      <c r="A16660" s="4" t="str">
        <f>IFERROR(__xludf.DUMMYFUNCTION("""COMPUTED_VALUE"""),"cas_hmw")</f>
        <v>cas_hmw</v>
      </c>
      <c r="B16660" s="5">
        <f>IFERROR(__xludf.DUMMYFUNCTION("""COMPUTED_VALUE"""),44736.0)</f>
        <v>44736</v>
      </c>
      <c r="C16660" s="6">
        <f>IFERROR(__xludf.DUMMYFUNCTION("""COMPUTED_VALUE"""),0.7095949074064265)</f>
        <v>0.7095949074</v>
      </c>
      <c r="D16660" s="4">
        <f>IFERROR(__xludf.DUMMYFUNCTION("""COMPUTED_VALUE"""),12.991699)</f>
        <v>12.991699</v>
      </c>
      <c r="E16660" s="4">
        <f>IFERROR(__xludf.DUMMYFUNCTION("""COMPUTED_VALUE"""),80.181618)</f>
        <v>80.181618</v>
      </c>
      <c r="F16660" s="4">
        <f>IFERROR(__xludf.DUMMYFUNCTION("""COMPUTED_VALUE"""),5339.0)</f>
        <v>5339</v>
      </c>
      <c r="G16660" s="4">
        <f>IFERROR(__xludf.DUMMYFUNCTION("""COMPUTED_VALUE"""),56.0)</f>
        <v>56</v>
      </c>
      <c r="H16660" s="4"/>
      <c r="I16660" s="4"/>
    </row>
    <row r="16661">
      <c r="A16661" s="4" t="str">
        <f>IFERROR(__xludf.DUMMYFUNCTION("""COMPUTED_VALUE"""),"cas_hmw")</f>
        <v>cas_hmw</v>
      </c>
      <c r="B16661" s="5">
        <f>IFERROR(__xludf.DUMMYFUNCTION("""COMPUTED_VALUE"""),44736.0)</f>
        <v>44736</v>
      </c>
      <c r="C16661" s="6">
        <f>IFERROR(__xludf.DUMMYFUNCTION("""COMPUTED_VALUE"""),0.7113310185195587)</f>
        <v>0.7113310185</v>
      </c>
      <c r="D16661" s="4">
        <f>IFERROR(__xludf.DUMMYFUNCTION("""COMPUTED_VALUE"""),12.998175)</f>
        <v>12.998175</v>
      </c>
      <c r="E16661" s="4">
        <f>IFERROR(__xludf.DUMMYFUNCTION("""COMPUTED_VALUE"""),80.191715)</f>
        <v>80.191715</v>
      </c>
      <c r="F16661" s="4">
        <f>IFERROR(__xludf.DUMMYFUNCTION("""COMPUTED_VALUE"""),5339.0)</f>
        <v>5339</v>
      </c>
      <c r="G16661" s="4">
        <f>IFERROR(__xludf.DUMMYFUNCTION("""COMPUTED_VALUE"""),23.0)</f>
        <v>23</v>
      </c>
      <c r="H16661" s="4"/>
      <c r="I16661" s="4"/>
    </row>
    <row r="16662">
      <c r="A16662" s="4" t="str">
        <f>IFERROR(__xludf.DUMMYFUNCTION("""COMPUTED_VALUE"""),"cas_hmw")</f>
        <v>cas_hmw</v>
      </c>
      <c r="B16662" s="5">
        <f>IFERROR(__xludf.DUMMYFUNCTION("""COMPUTED_VALUE"""),44736.0)</f>
        <v>44736</v>
      </c>
      <c r="C16662" s="6">
        <f>IFERROR(__xludf.DUMMYFUNCTION("""COMPUTED_VALUE"""),0.7136805555564933)</f>
        <v>0.7136805556</v>
      </c>
      <c r="D16662" s="4">
        <f>IFERROR(__xludf.DUMMYFUNCTION("""COMPUTED_VALUE"""),13.001689)</f>
        <v>13.001689</v>
      </c>
      <c r="E16662" s="4">
        <f>IFERROR(__xludf.DUMMYFUNCTION("""COMPUTED_VALUE"""),80.196072)</f>
        <v>80.196072</v>
      </c>
      <c r="F16662" s="4">
        <f>IFERROR(__xludf.DUMMYFUNCTION("""COMPUTED_VALUE"""),5339.0)</f>
        <v>5339</v>
      </c>
      <c r="G16662" s="4">
        <f>IFERROR(__xludf.DUMMYFUNCTION("""COMPUTED_VALUE"""),30.0)</f>
        <v>30</v>
      </c>
      <c r="H16662" s="4"/>
      <c r="I16662" s="4"/>
    </row>
    <row r="16663">
      <c r="A16663" s="4" t="str">
        <f>IFERROR(__xludf.DUMMYFUNCTION("""COMPUTED_VALUE"""),"cas_hmw")</f>
        <v>cas_hmw</v>
      </c>
      <c r="B16663" s="5">
        <f>IFERROR(__xludf.DUMMYFUNCTION("""COMPUTED_VALUE"""),44736.0)</f>
        <v>44736</v>
      </c>
      <c r="C16663" s="6">
        <f>IFERROR(__xludf.DUMMYFUNCTION("""COMPUTED_VALUE"""),0.7144097222226264)</f>
        <v>0.7144097222</v>
      </c>
      <c r="D16663" s="4">
        <f>IFERROR(__xludf.DUMMYFUNCTION("""COMPUTED_VALUE"""),13.006079)</f>
        <v>13.006079</v>
      </c>
      <c r="E16663" s="4">
        <f>IFERROR(__xludf.DUMMYFUNCTION("""COMPUTED_VALUE"""),80.202594)</f>
        <v>80.202594</v>
      </c>
      <c r="F16663" s="4">
        <f>IFERROR(__xludf.DUMMYFUNCTION("""COMPUTED_VALUE"""),5339.0)</f>
        <v>5339</v>
      </c>
      <c r="G16663" s="4">
        <f>IFERROR(__xludf.DUMMYFUNCTION("""COMPUTED_VALUE"""),57.0)</f>
        <v>57</v>
      </c>
      <c r="H16663" s="4"/>
      <c r="I16663" s="4"/>
    </row>
    <row r="16664">
      <c r="A16664" s="4" t="str">
        <f>IFERROR(__xludf.DUMMYFUNCTION("""COMPUTED_VALUE"""),"cas_hmw")</f>
        <v>cas_hmw</v>
      </c>
      <c r="B16664" s="5">
        <f>IFERROR(__xludf.DUMMYFUNCTION("""COMPUTED_VALUE"""),44736.0)</f>
        <v>44736</v>
      </c>
      <c r="C16664" s="6">
        <f>IFERROR(__xludf.DUMMYFUNCTION("""COMPUTED_VALUE"""),0.7144444444456894)</f>
        <v>0.7144444444</v>
      </c>
      <c r="D16664" s="4">
        <f>IFERROR(__xludf.DUMMYFUNCTION("""COMPUTED_VALUE"""),13.006079)</f>
        <v>13.006079</v>
      </c>
      <c r="E16664" s="4">
        <f>IFERROR(__xludf.DUMMYFUNCTION("""COMPUTED_VALUE"""),80.202594)</f>
        <v>80.202594</v>
      </c>
      <c r="F16664" s="4">
        <f>IFERROR(__xludf.DUMMYFUNCTION("""COMPUTED_VALUE"""),5339.0)</f>
        <v>5339</v>
      </c>
      <c r="G16664" s="4">
        <f>IFERROR(__xludf.DUMMYFUNCTION("""COMPUTED_VALUE"""),57.0)</f>
        <v>57</v>
      </c>
      <c r="H16664" s="4"/>
      <c r="I16664" s="4"/>
    </row>
    <row r="16665">
      <c r="A16665" s="4" t="str">
        <f>IFERROR(__xludf.DUMMYFUNCTION("""COMPUTED_VALUE"""),"cas_hmw")</f>
        <v>cas_hmw</v>
      </c>
      <c r="B16665" s="5">
        <f>IFERROR(__xludf.DUMMYFUNCTION("""COMPUTED_VALUE"""),44736.0)</f>
        <v>44736</v>
      </c>
      <c r="C16665" s="6">
        <f>IFERROR(__xludf.DUMMYFUNCTION("""COMPUTED_VALUE"""),0.7145486111112405)</f>
        <v>0.7145486111</v>
      </c>
      <c r="D16665" s="4">
        <f>IFERROR(__xludf.DUMMYFUNCTION("""COMPUTED_VALUE"""),13.00701)</f>
        <v>13.00701</v>
      </c>
      <c r="E16665" s="4">
        <f>IFERROR(__xludf.DUMMYFUNCTION("""COMPUTED_VALUE"""),80.20349)</f>
        <v>80.20349</v>
      </c>
      <c r="F16665" s="4">
        <f>IFERROR(__xludf.DUMMYFUNCTION("""COMPUTED_VALUE"""),5339.0)</f>
        <v>5339</v>
      </c>
      <c r="G16665" s="4">
        <f>IFERROR(__xludf.DUMMYFUNCTION("""COMPUTED_VALUE"""),45.0)</f>
        <v>45</v>
      </c>
      <c r="H16665" s="4"/>
      <c r="I16665" s="4"/>
    </row>
    <row r="16666">
      <c r="A16666" s="4" t="str">
        <f>IFERROR(__xludf.DUMMYFUNCTION("""COMPUTED_VALUE"""),"cas_hmw")</f>
        <v>cas_hmw</v>
      </c>
      <c r="B16666" s="5">
        <f>IFERROR(__xludf.DUMMYFUNCTION("""COMPUTED_VALUE"""),44736.0)</f>
        <v>44736</v>
      </c>
      <c r="C16666" s="6">
        <f>IFERROR(__xludf.DUMMYFUNCTION("""COMPUTED_VALUE"""),0.7155902777776646)</f>
        <v>0.7155902778</v>
      </c>
      <c r="D16666" s="4">
        <f>IFERROR(__xludf.DUMMYFUNCTION("""COMPUTED_VALUE"""),12.696579)</f>
        <v>12.696579</v>
      </c>
      <c r="E16666" s="4">
        <f>IFERROR(__xludf.DUMMYFUNCTION("""COMPUTED_VALUE"""),79.977109)</f>
        <v>79.977109</v>
      </c>
      <c r="F16666" s="4">
        <f>IFERROR(__xludf.DUMMYFUNCTION("""COMPUTED_VALUE"""),2846.0)</f>
        <v>2846</v>
      </c>
      <c r="G16666" s="4">
        <f>IFERROR(__xludf.DUMMYFUNCTION("""COMPUTED_VALUE"""),13.0)</f>
        <v>13</v>
      </c>
      <c r="H16666" s="4"/>
      <c r="I16666" s="4"/>
    </row>
    <row r="16667">
      <c r="A16667" s="4" t="str">
        <f>IFERROR(__xludf.DUMMYFUNCTION("""COMPUTED_VALUE"""),"cas_hmw")</f>
        <v>cas_hmw</v>
      </c>
      <c r="B16667" s="5">
        <f>IFERROR(__xludf.DUMMYFUNCTION("""COMPUTED_VALUE"""),44736.0)</f>
        <v>44736</v>
      </c>
      <c r="C16667" s="6">
        <f>IFERROR(__xludf.DUMMYFUNCTION("""COMPUTED_VALUE"""),0.7156481481470109)</f>
        <v>0.7156481481</v>
      </c>
      <c r="D16667" s="4">
        <f>IFERROR(__xludf.DUMMYFUNCTION("""COMPUTED_VALUE"""),12.696376)</f>
        <v>12.696376</v>
      </c>
      <c r="E16667" s="4">
        <f>IFERROR(__xludf.DUMMYFUNCTION("""COMPUTED_VALUE"""),79.977278)</f>
        <v>79.977278</v>
      </c>
      <c r="F16667" s="4">
        <f>IFERROR(__xludf.DUMMYFUNCTION("""COMPUTED_VALUE"""),2846.0)</f>
        <v>2846</v>
      </c>
      <c r="G16667" s="4">
        <f>IFERROR(__xludf.DUMMYFUNCTION("""COMPUTED_VALUE"""),13.0)</f>
        <v>13</v>
      </c>
      <c r="H16667" s="4"/>
      <c r="I16667" s="4"/>
    </row>
    <row r="16668">
      <c r="A16668" s="4" t="str">
        <f>IFERROR(__xludf.DUMMYFUNCTION("""COMPUTED_VALUE"""),"cas_hmw")</f>
        <v>cas_hmw</v>
      </c>
      <c r="B16668" s="5">
        <f>IFERROR(__xludf.DUMMYFUNCTION("""COMPUTED_VALUE"""),44736.0)</f>
        <v>44736</v>
      </c>
      <c r="C16668" s="6">
        <f>IFERROR(__xludf.DUMMYFUNCTION("""COMPUTED_VALUE"""),0.7160416666665697)</f>
        <v>0.7160416667</v>
      </c>
      <c r="D16668" s="4">
        <f>IFERROR(__xludf.DUMMYFUNCTION("""COMPUTED_VALUE"""),13.009731)</f>
        <v>13.009731</v>
      </c>
      <c r="E16668" s="4">
        <f>IFERROR(__xludf.DUMMYFUNCTION("""COMPUTED_VALUE"""),80.213655)</f>
        <v>80.213655</v>
      </c>
      <c r="F16668" s="4">
        <f>IFERROR(__xludf.DUMMYFUNCTION("""COMPUTED_VALUE"""),5339.0)</f>
        <v>5339</v>
      </c>
      <c r="G16668" s="4">
        <f>IFERROR(__xludf.DUMMYFUNCTION("""COMPUTED_VALUE"""),31.0)</f>
        <v>31</v>
      </c>
      <c r="H16668" s="4"/>
      <c r="I16668" s="4"/>
    </row>
    <row r="16669">
      <c r="A16669" s="4" t="str">
        <f>IFERROR(__xludf.DUMMYFUNCTION("""COMPUTED_VALUE"""),"cas_hmw")</f>
        <v>cas_hmw</v>
      </c>
      <c r="B16669" s="5">
        <f>IFERROR(__xludf.DUMMYFUNCTION("""COMPUTED_VALUE"""),44736.0)</f>
        <v>44736</v>
      </c>
      <c r="C16669" s="6">
        <f>IFERROR(__xludf.DUMMYFUNCTION("""COMPUTED_VALUE"""),0.7162152777782467)</f>
        <v>0.7162152778</v>
      </c>
      <c r="D16669" s="4">
        <f>IFERROR(__xludf.DUMMYFUNCTION("""COMPUTED_VALUE"""),13.010093)</f>
        <v>13.010093</v>
      </c>
      <c r="E16669" s="4">
        <f>IFERROR(__xludf.DUMMYFUNCTION("""COMPUTED_VALUE"""),80.214501)</f>
        <v>80.214501</v>
      </c>
      <c r="F16669" s="4">
        <f>IFERROR(__xludf.DUMMYFUNCTION("""COMPUTED_VALUE"""),5339.0)</f>
        <v>5339</v>
      </c>
      <c r="G16669" s="4">
        <f>IFERROR(__xludf.DUMMYFUNCTION("""COMPUTED_VALUE"""),41.0)</f>
        <v>41</v>
      </c>
      <c r="H16669" s="4"/>
      <c r="I16669" s="4"/>
    </row>
    <row r="16670">
      <c r="A16670" s="4" t="str">
        <f>IFERROR(__xludf.DUMMYFUNCTION("""COMPUTED_VALUE"""),"cas_hmw")</f>
        <v>cas_hmw</v>
      </c>
      <c r="B16670" s="5">
        <f>IFERROR(__xludf.DUMMYFUNCTION("""COMPUTED_VALUE"""),44736.0)</f>
        <v>44736</v>
      </c>
      <c r="C16670" s="6">
        <f>IFERROR(__xludf.DUMMYFUNCTION("""COMPUTED_VALUE"""),0.7166898148134351)</f>
        <v>0.7166898148</v>
      </c>
      <c r="D16670" s="4">
        <f>IFERROR(__xludf.DUMMYFUNCTION("""COMPUTED_VALUE"""),13.01156)</f>
        <v>13.01156</v>
      </c>
      <c r="E16670" s="4">
        <f>IFERROR(__xludf.DUMMYFUNCTION("""COMPUTED_VALUE"""),80.218638)</f>
        <v>80.218638</v>
      </c>
      <c r="F16670" s="4">
        <f>IFERROR(__xludf.DUMMYFUNCTION("""COMPUTED_VALUE"""),5339.0)</f>
        <v>5339</v>
      </c>
      <c r="G16670" s="4">
        <f>IFERROR(__xludf.DUMMYFUNCTION("""COMPUTED_VALUE"""),46.0)</f>
        <v>46</v>
      </c>
      <c r="H16670" s="4"/>
      <c r="I16670" s="4"/>
    </row>
    <row r="16671">
      <c r="A16671" s="4" t="str">
        <f>IFERROR(__xludf.DUMMYFUNCTION("""COMPUTED_VALUE"""),"cas_hmw")</f>
        <v>cas_hmw</v>
      </c>
      <c r="B16671" s="5">
        <f>IFERROR(__xludf.DUMMYFUNCTION("""COMPUTED_VALUE"""),44736.0)</f>
        <v>44736</v>
      </c>
      <c r="C16671" s="6">
        <f>IFERROR(__xludf.DUMMYFUNCTION("""COMPUTED_VALUE"""),0.7174305555563478)</f>
        <v>0.7174305556</v>
      </c>
      <c r="D16671" s="4">
        <f>IFERROR(__xludf.DUMMYFUNCTION("""COMPUTED_VALUE"""),12.696376)</f>
        <v>12.696376</v>
      </c>
      <c r="E16671" s="4">
        <f>IFERROR(__xludf.DUMMYFUNCTION("""COMPUTED_VALUE"""),79.977278)</f>
        <v>79.977278</v>
      </c>
      <c r="F16671" s="4">
        <f>IFERROR(__xludf.DUMMYFUNCTION("""COMPUTED_VALUE"""),2846.0)</f>
        <v>2846</v>
      </c>
      <c r="G16671" s="4">
        <f>IFERROR(__xludf.DUMMYFUNCTION("""COMPUTED_VALUE"""),13.0)</f>
        <v>13</v>
      </c>
      <c r="H16671" s="4"/>
      <c r="I16671" s="4"/>
    </row>
    <row r="16672">
      <c r="A16672" s="4" t="str">
        <f>IFERROR(__xludf.DUMMYFUNCTION("""COMPUTED_VALUE"""),"cas_hmw")</f>
        <v>cas_hmw</v>
      </c>
      <c r="B16672" s="5">
        <f>IFERROR(__xludf.DUMMYFUNCTION("""COMPUTED_VALUE"""),44736.0)</f>
        <v>44736</v>
      </c>
      <c r="C16672" s="6">
        <f>IFERROR(__xludf.DUMMYFUNCTION("""COMPUTED_VALUE"""),0.7176041666680248)</f>
        <v>0.7176041667</v>
      </c>
      <c r="D16672" s="4">
        <f>IFERROR(__xludf.DUMMYFUNCTION("""COMPUTED_VALUE"""),13.013642)</f>
        <v>13.013642</v>
      </c>
      <c r="E16672" s="4">
        <f>IFERROR(__xludf.DUMMYFUNCTION("""COMPUTED_VALUE"""),80.222776)</f>
        <v>80.222776</v>
      </c>
      <c r="F16672" s="4">
        <f>IFERROR(__xludf.DUMMYFUNCTION("""COMPUTED_VALUE"""),5339.0)</f>
        <v>5339</v>
      </c>
      <c r="G16672" s="4">
        <f>IFERROR(__xludf.DUMMYFUNCTION("""COMPUTED_VALUE"""),21.0)</f>
        <v>21</v>
      </c>
      <c r="H16672" s="4"/>
      <c r="I16672" s="4"/>
    </row>
    <row r="16673">
      <c r="A16673" s="4" t="str">
        <f>IFERROR(__xludf.DUMMYFUNCTION("""COMPUTED_VALUE"""),"cas_hmw")</f>
        <v>cas_hmw</v>
      </c>
      <c r="B16673" s="5">
        <f>IFERROR(__xludf.DUMMYFUNCTION("""COMPUTED_VALUE"""),44736.0)</f>
        <v>44736</v>
      </c>
      <c r="C16673" s="6">
        <f>IFERROR(__xludf.DUMMYFUNCTION("""COMPUTED_VALUE"""),0.7178240740722686)</f>
        <v>0.7178240741</v>
      </c>
      <c r="D16673" s="4">
        <f>IFERROR(__xludf.DUMMYFUNCTION("""COMPUTED_VALUE"""),13.015774)</f>
        <v>13.015774</v>
      </c>
      <c r="E16673" s="4">
        <f>IFERROR(__xludf.DUMMYFUNCTION("""COMPUTED_VALUE"""),80.225292)</f>
        <v>80.225292</v>
      </c>
      <c r="F16673" s="4">
        <f>IFERROR(__xludf.DUMMYFUNCTION("""COMPUTED_VALUE"""),5339.0)</f>
        <v>5339</v>
      </c>
      <c r="G16673" s="4">
        <f>IFERROR(__xludf.DUMMYFUNCTION("""COMPUTED_VALUE"""),35.0)</f>
        <v>35</v>
      </c>
      <c r="H16673" s="4"/>
      <c r="I16673" s="4"/>
    </row>
    <row r="16674">
      <c r="A16674" s="4" t="str">
        <f>IFERROR(__xludf.DUMMYFUNCTION("""COMPUTED_VALUE"""),"cas_hmw")</f>
        <v>cas_hmw</v>
      </c>
      <c r="B16674" s="5">
        <f>IFERROR(__xludf.DUMMYFUNCTION("""COMPUTED_VALUE"""),44736.0)</f>
        <v>44736</v>
      </c>
      <c r="C16674" s="6">
        <f>IFERROR(__xludf.DUMMYFUNCTION("""COMPUTED_VALUE"""),0.7179398148145992)</f>
        <v>0.7179398148</v>
      </c>
      <c r="D16674" s="4">
        <f>IFERROR(__xludf.DUMMYFUNCTION("""COMPUTED_VALUE"""),13.016675)</f>
        <v>13.016675</v>
      </c>
      <c r="E16674" s="4">
        <f>IFERROR(__xludf.DUMMYFUNCTION("""COMPUTED_VALUE"""),80.225239)</f>
        <v>80.225239</v>
      </c>
      <c r="F16674" s="4">
        <f>IFERROR(__xludf.DUMMYFUNCTION("""COMPUTED_VALUE"""),5339.0)</f>
        <v>5339</v>
      </c>
      <c r="G16674" s="4">
        <f>IFERROR(__xludf.DUMMYFUNCTION("""COMPUTED_VALUE"""),36.0)</f>
        <v>36</v>
      </c>
      <c r="H16674" s="4"/>
      <c r="I16674" s="4"/>
    </row>
    <row r="16675">
      <c r="A16675" s="4" t="str">
        <f>IFERROR(__xludf.DUMMYFUNCTION("""COMPUTED_VALUE"""),"cas_hmw")</f>
        <v>cas_hmw</v>
      </c>
      <c r="B16675" s="5">
        <f>IFERROR(__xludf.DUMMYFUNCTION("""COMPUTED_VALUE"""),44736.0)</f>
        <v>44736</v>
      </c>
      <c r="C16675" s="6">
        <f>IFERROR(__xludf.DUMMYFUNCTION("""COMPUTED_VALUE"""),0.7179861111108039)</f>
        <v>0.7179861111</v>
      </c>
      <c r="D16675" s="4">
        <f>IFERROR(__xludf.DUMMYFUNCTION("""COMPUTED_VALUE"""),13.017617)</f>
        <v>13.017617</v>
      </c>
      <c r="E16675" s="4">
        <f>IFERROR(__xludf.DUMMYFUNCTION("""COMPUTED_VALUE"""),80.224874)</f>
        <v>80.224874</v>
      </c>
      <c r="F16675" s="4">
        <f>IFERROR(__xludf.DUMMYFUNCTION("""COMPUTED_VALUE"""),5339.0)</f>
        <v>5339</v>
      </c>
      <c r="G16675" s="4">
        <f>IFERROR(__xludf.DUMMYFUNCTION("""COMPUTED_VALUE"""),38.0)</f>
        <v>38</v>
      </c>
      <c r="H16675" s="4"/>
      <c r="I16675" s="4"/>
    </row>
    <row r="16676">
      <c r="A16676" s="4" t="str">
        <f>IFERROR(__xludf.DUMMYFUNCTION("""COMPUTED_VALUE"""),"cas_hmw")</f>
        <v>cas_hmw</v>
      </c>
      <c r="B16676" s="5">
        <f>IFERROR(__xludf.DUMMYFUNCTION("""COMPUTED_VALUE"""),44736.0)</f>
        <v>44736</v>
      </c>
      <c r="C16676" s="6">
        <f>IFERROR(__xludf.DUMMYFUNCTION("""COMPUTED_VALUE"""),0.7182060185186856)</f>
        <v>0.7182060185</v>
      </c>
      <c r="D16676" s="4">
        <f>IFERROR(__xludf.DUMMYFUNCTION("""COMPUTED_VALUE"""),13.019248)</f>
        <v>13.019248</v>
      </c>
      <c r="E16676" s="4">
        <f>IFERROR(__xludf.DUMMYFUNCTION("""COMPUTED_VALUE"""),80.224381)</f>
        <v>80.224381</v>
      </c>
      <c r="F16676" s="4">
        <f>IFERROR(__xludf.DUMMYFUNCTION("""COMPUTED_VALUE"""),5339.0)</f>
        <v>5339</v>
      </c>
      <c r="G16676" s="4">
        <f>IFERROR(__xludf.DUMMYFUNCTION("""COMPUTED_VALUE"""),35.0)</f>
        <v>35</v>
      </c>
      <c r="H16676" s="4"/>
      <c r="I16676" s="4"/>
    </row>
    <row r="16677">
      <c r="A16677" s="4" t="str">
        <f>IFERROR(__xludf.DUMMYFUNCTION("""COMPUTED_VALUE"""),"cas_hmw")</f>
        <v>cas_hmw</v>
      </c>
      <c r="B16677" s="5">
        <f>IFERROR(__xludf.DUMMYFUNCTION("""COMPUTED_VALUE"""),44736.0)</f>
        <v>44736</v>
      </c>
      <c r="C16677" s="6">
        <f>IFERROR(__xludf.DUMMYFUNCTION("""COMPUTED_VALUE"""),0.7187268518500787)</f>
        <v>0.7187268519</v>
      </c>
      <c r="D16677" s="4">
        <f>IFERROR(__xludf.DUMMYFUNCTION("""COMPUTED_VALUE"""),13.021791)</f>
        <v>13.021791</v>
      </c>
      <c r="E16677" s="4">
        <f>IFERROR(__xludf.DUMMYFUNCTION("""COMPUTED_VALUE"""),80.22596)</f>
        <v>80.22596</v>
      </c>
      <c r="F16677" s="4">
        <f>IFERROR(__xludf.DUMMYFUNCTION("""COMPUTED_VALUE"""),5339.0)</f>
        <v>5339</v>
      </c>
      <c r="G16677" s="4">
        <f>IFERROR(__xludf.DUMMYFUNCTION("""COMPUTED_VALUE"""),28.0)</f>
        <v>28</v>
      </c>
      <c r="H16677" s="4"/>
      <c r="I16677" s="4"/>
    </row>
    <row r="16678">
      <c r="A16678" s="4" t="str">
        <f>IFERROR(__xludf.DUMMYFUNCTION("""COMPUTED_VALUE"""),"cas_hmw")</f>
        <v>cas_hmw</v>
      </c>
      <c r="B16678" s="5">
        <f>IFERROR(__xludf.DUMMYFUNCTION("""COMPUTED_VALUE"""),44736.0)</f>
        <v>44736</v>
      </c>
      <c r="C16678" s="6">
        <f>IFERROR(__xludf.DUMMYFUNCTION("""COMPUTED_VALUE"""),0.7189004629617557)</f>
        <v>0.718900463</v>
      </c>
      <c r="D16678" s="4">
        <f>IFERROR(__xludf.DUMMYFUNCTION("""COMPUTED_VALUE"""),13.023203)</f>
        <v>13.023203</v>
      </c>
      <c r="E16678" s="4">
        <f>IFERROR(__xludf.DUMMYFUNCTION("""COMPUTED_VALUE"""),80.227197)</f>
        <v>80.227197</v>
      </c>
      <c r="F16678" s="4">
        <f>IFERROR(__xludf.DUMMYFUNCTION("""COMPUTED_VALUE"""),5339.0)</f>
        <v>5339</v>
      </c>
      <c r="G16678" s="4">
        <f>IFERROR(__xludf.DUMMYFUNCTION("""COMPUTED_VALUE"""),46.0)</f>
        <v>46</v>
      </c>
      <c r="H16678" s="4"/>
      <c r="I16678" s="4"/>
    </row>
    <row r="16679">
      <c r="A16679" s="4" t="str">
        <f>IFERROR(__xludf.DUMMYFUNCTION("""COMPUTED_VALUE"""),"cas_hmw")</f>
        <v>cas_hmw</v>
      </c>
      <c r="B16679" s="5">
        <f>IFERROR(__xludf.DUMMYFUNCTION("""COMPUTED_VALUE"""),44736.0)</f>
        <v>44736</v>
      </c>
      <c r="C16679" s="6">
        <f>IFERROR(__xludf.DUMMYFUNCTION("""COMPUTED_VALUE"""),0.7191898148157634)</f>
        <v>0.7191898148</v>
      </c>
      <c r="D16679" s="4">
        <f>IFERROR(__xludf.DUMMYFUNCTION("""COMPUTED_VALUE"""),13.024307)</f>
        <v>13.024307</v>
      </c>
      <c r="E16679" s="4">
        <f>IFERROR(__xludf.DUMMYFUNCTION("""COMPUTED_VALUE"""),80.228358)</f>
        <v>80.228358</v>
      </c>
      <c r="F16679" s="4">
        <f>IFERROR(__xludf.DUMMYFUNCTION("""COMPUTED_VALUE"""),5339.0)</f>
        <v>5339</v>
      </c>
      <c r="G16679" s="4">
        <f>IFERROR(__xludf.DUMMYFUNCTION("""COMPUTED_VALUE"""),20.0)</f>
        <v>20</v>
      </c>
      <c r="H16679" s="4"/>
      <c r="I16679" s="4"/>
    </row>
    <row r="16680">
      <c r="A16680" s="4" t="str">
        <f>IFERROR(__xludf.DUMMYFUNCTION("""COMPUTED_VALUE"""),"cas_hmw")</f>
        <v>cas_hmw</v>
      </c>
      <c r="B16680" s="5">
        <f>IFERROR(__xludf.DUMMYFUNCTION("""COMPUTED_VALUE"""),44736.0)</f>
        <v>44736</v>
      </c>
      <c r="C16680" s="6">
        <f>IFERROR(__xludf.DUMMYFUNCTION("""COMPUTED_VALUE"""),0.7192361111119681)</f>
        <v>0.7192361111</v>
      </c>
      <c r="D16680" s="4">
        <f>IFERROR(__xludf.DUMMYFUNCTION("""COMPUTED_VALUE"""),13.024307)</f>
        <v>13.024307</v>
      </c>
      <c r="E16680" s="4">
        <f>IFERROR(__xludf.DUMMYFUNCTION("""COMPUTED_VALUE"""),80.228358)</f>
        <v>80.228358</v>
      </c>
      <c r="F16680" s="4">
        <f>IFERROR(__xludf.DUMMYFUNCTION("""COMPUTED_VALUE"""),5339.0)</f>
        <v>5339</v>
      </c>
      <c r="G16680" s="4">
        <f>IFERROR(__xludf.DUMMYFUNCTION("""COMPUTED_VALUE"""),20.0)</f>
        <v>20</v>
      </c>
      <c r="H16680" s="4"/>
      <c r="I16680" s="4"/>
    </row>
    <row r="16681">
      <c r="A16681" s="4" t="str">
        <f>IFERROR(__xludf.DUMMYFUNCTION("""COMPUTED_VALUE"""),"cas_hmw")</f>
        <v>cas_hmw</v>
      </c>
      <c r="B16681" s="5">
        <f>IFERROR(__xludf.DUMMYFUNCTION("""COMPUTED_VALUE"""),44736.0)</f>
        <v>44736</v>
      </c>
      <c r="C16681" s="6">
        <f>IFERROR(__xludf.DUMMYFUNCTION("""COMPUTED_VALUE"""),0.7194328703699284)</f>
        <v>0.7194328704</v>
      </c>
      <c r="D16681" s="4">
        <f>IFERROR(__xludf.DUMMYFUNCTION("""COMPUTED_VALUE"""),13.025187)</f>
        <v>13.025187</v>
      </c>
      <c r="E16681" s="4">
        <f>IFERROR(__xludf.DUMMYFUNCTION("""COMPUTED_VALUE"""),80.229579)</f>
        <v>80.229579</v>
      </c>
      <c r="F16681" s="4">
        <f>IFERROR(__xludf.DUMMYFUNCTION("""COMPUTED_VALUE"""),5339.0)</f>
        <v>5339</v>
      </c>
      <c r="G16681" s="4">
        <f>IFERROR(__xludf.DUMMYFUNCTION("""COMPUTED_VALUE"""),30.0)</f>
        <v>30</v>
      </c>
      <c r="H16681" s="4"/>
      <c r="I16681" s="4"/>
    </row>
    <row r="16682">
      <c r="A16682" s="4" t="str">
        <f>IFERROR(__xludf.DUMMYFUNCTION("""COMPUTED_VALUE"""),"cas_hmw")</f>
        <v>cas_hmw</v>
      </c>
      <c r="B16682" s="5">
        <f>IFERROR(__xludf.DUMMYFUNCTION("""COMPUTED_VALUE"""),44736.0)</f>
        <v>44736</v>
      </c>
      <c r="C16682" s="6">
        <f>IFERROR(__xludf.DUMMYFUNCTION("""COMPUTED_VALUE"""),0.721157407406281)</f>
        <v>0.7211574074</v>
      </c>
      <c r="D16682" s="4">
        <f>IFERROR(__xludf.DUMMYFUNCTION("""COMPUTED_VALUE"""),13.028548)</f>
        <v>13.028548</v>
      </c>
      <c r="E16682" s="4">
        <f>IFERROR(__xludf.DUMMYFUNCTION("""COMPUTED_VALUE"""),80.235986)</f>
        <v>80.235986</v>
      </c>
      <c r="F16682" s="4">
        <f>IFERROR(__xludf.DUMMYFUNCTION("""COMPUTED_VALUE"""),5339.0)</f>
        <v>5339</v>
      </c>
      <c r="G16682" s="4">
        <f>IFERROR(__xludf.DUMMYFUNCTION("""COMPUTED_VALUE"""),40.0)</f>
        <v>40</v>
      </c>
      <c r="H16682" s="4"/>
      <c r="I16682" s="4"/>
    </row>
    <row r="16683">
      <c r="A16683" s="4" t="str">
        <f>IFERROR(__xludf.DUMMYFUNCTION("""COMPUTED_VALUE"""),"cas_hmw")</f>
        <v>cas_hmw</v>
      </c>
      <c r="B16683" s="5">
        <f>IFERROR(__xludf.DUMMYFUNCTION("""COMPUTED_VALUE"""),44736.0)</f>
        <v>44736</v>
      </c>
      <c r="C16683" s="6">
        <f>IFERROR(__xludf.DUMMYFUNCTION("""COMPUTED_VALUE"""),0.7228472222232085)</f>
        <v>0.7228472222</v>
      </c>
      <c r="D16683" s="4">
        <f>IFERROR(__xludf.DUMMYFUNCTION("""COMPUTED_VALUE"""),13.031341)</f>
        <v>13.031341</v>
      </c>
      <c r="E16683" s="4">
        <f>IFERROR(__xludf.DUMMYFUNCTION("""COMPUTED_VALUE"""),80.240069)</f>
        <v>80.240069</v>
      </c>
      <c r="F16683" s="4">
        <f>IFERROR(__xludf.DUMMYFUNCTION("""COMPUTED_VALUE"""),5339.0)</f>
        <v>5339</v>
      </c>
      <c r="G16683" s="4">
        <f>IFERROR(__xludf.DUMMYFUNCTION("""COMPUTED_VALUE"""),35.0)</f>
        <v>35</v>
      </c>
      <c r="H16683" s="4"/>
      <c r="I16683" s="4"/>
    </row>
    <row r="16684">
      <c r="A16684" s="4" t="str">
        <f>IFERROR(__xludf.DUMMYFUNCTION("""COMPUTED_VALUE"""),"cas_hmw")</f>
        <v>cas_hmw</v>
      </c>
      <c r="B16684" s="5">
        <f>IFERROR(__xludf.DUMMYFUNCTION("""COMPUTED_VALUE"""),44736.0)</f>
        <v>44736</v>
      </c>
      <c r="C16684" s="6">
        <f>IFERROR(__xludf.DUMMYFUNCTION("""COMPUTED_VALUE"""),0.7232870370353339)</f>
        <v>0.723287037</v>
      </c>
      <c r="D16684" s="4">
        <f>IFERROR(__xludf.DUMMYFUNCTION("""COMPUTED_VALUE"""),13.032425)</f>
        <v>13.032425</v>
      </c>
      <c r="E16684" s="4">
        <f>IFERROR(__xludf.DUMMYFUNCTION("""COMPUTED_VALUE"""),80.242345)</f>
        <v>80.242345</v>
      </c>
      <c r="F16684" s="4">
        <f>IFERROR(__xludf.DUMMYFUNCTION("""COMPUTED_VALUE"""),5339.0)</f>
        <v>5339</v>
      </c>
      <c r="G16684" s="4">
        <f>IFERROR(__xludf.DUMMYFUNCTION("""COMPUTED_VALUE"""),33.0)</f>
        <v>33</v>
      </c>
      <c r="H16684" s="4"/>
      <c r="I16684" s="4"/>
    </row>
    <row r="16685">
      <c r="A16685" s="4" t="str">
        <f>IFERROR(__xludf.DUMMYFUNCTION("""COMPUTED_VALUE"""),"cas_hmw")</f>
        <v>cas_hmw</v>
      </c>
      <c r="B16685" s="5">
        <f>IFERROR(__xludf.DUMMYFUNCTION("""COMPUTED_VALUE"""),44736.0)</f>
        <v>44736</v>
      </c>
      <c r="C16685" s="6">
        <f>IFERROR(__xludf.DUMMYFUNCTION("""COMPUTED_VALUE"""),0.731689814816491)</f>
        <v>0.7316898148</v>
      </c>
      <c r="D16685" s="4">
        <f>IFERROR(__xludf.DUMMYFUNCTION("""COMPUTED_VALUE"""),13.044214)</f>
        <v>13.044214</v>
      </c>
      <c r="E16685" s="4">
        <f>IFERROR(__xludf.DUMMYFUNCTION("""COMPUTED_VALUE"""),80.247863)</f>
        <v>80.247863</v>
      </c>
      <c r="F16685" s="4">
        <f>IFERROR(__xludf.DUMMYFUNCTION("""COMPUTED_VALUE"""),5339.0)</f>
        <v>5339</v>
      </c>
      <c r="G16685" s="4">
        <f>IFERROR(__xludf.DUMMYFUNCTION("""COMPUTED_VALUE"""),27.0)</f>
        <v>27</v>
      </c>
      <c r="H16685" s="4"/>
      <c r="I16685" s="4"/>
    </row>
    <row r="16686">
      <c r="A16686" s="4" t="str">
        <f>IFERROR(__xludf.DUMMYFUNCTION("""COMPUTED_VALUE"""),"cas_hmw")</f>
        <v>cas_hmw</v>
      </c>
      <c r="B16686" s="5">
        <f>IFERROR(__xludf.DUMMYFUNCTION("""COMPUTED_VALUE"""),44736.0)</f>
        <v>44736</v>
      </c>
      <c r="C16686" s="6">
        <f>IFERROR(__xludf.DUMMYFUNCTION("""COMPUTED_VALUE"""),0.7321643518516794)</f>
        <v>0.7321643519</v>
      </c>
      <c r="D16686" s="4">
        <f>IFERROR(__xludf.DUMMYFUNCTION("""COMPUTED_VALUE"""),13.046311)</f>
        <v>13.046311</v>
      </c>
      <c r="E16686" s="4">
        <f>IFERROR(__xludf.DUMMYFUNCTION("""COMPUTED_VALUE"""),80.248245)</f>
        <v>80.248245</v>
      </c>
      <c r="F16686" s="4">
        <f>IFERROR(__xludf.DUMMYFUNCTION("""COMPUTED_VALUE"""),5339.0)</f>
        <v>5339</v>
      </c>
      <c r="G16686" s="4">
        <f>IFERROR(__xludf.DUMMYFUNCTION("""COMPUTED_VALUE"""),42.0)</f>
        <v>42</v>
      </c>
      <c r="H16686" s="4"/>
      <c r="I16686" s="4"/>
    </row>
    <row r="16687">
      <c r="A16687" s="4" t="str">
        <f>IFERROR(__xludf.DUMMYFUNCTION("""COMPUTED_VALUE"""),"cas_hmw")</f>
        <v>cas_hmw</v>
      </c>
      <c r="B16687" s="5">
        <f>IFERROR(__xludf.DUMMYFUNCTION("""COMPUTED_VALUE"""),44736.0)</f>
        <v>44736</v>
      </c>
      <c r="C16687" s="6">
        <f>IFERROR(__xludf.DUMMYFUNCTION("""COMPUTED_VALUE"""),0.7339004629611736)</f>
        <v>0.733900463</v>
      </c>
      <c r="D16687" s="4">
        <f>IFERROR(__xludf.DUMMYFUNCTION("""COMPUTED_VALUE"""),12.575325)</f>
        <v>12.575325</v>
      </c>
      <c r="E16687" s="4">
        <f>IFERROR(__xludf.DUMMYFUNCTION("""COMPUTED_VALUE"""),79.916969)</f>
        <v>79.916969</v>
      </c>
      <c r="F16687" s="4">
        <f>IFERROR(__xludf.DUMMYFUNCTION("""COMPUTED_VALUE"""),2846.0)</f>
        <v>2846</v>
      </c>
      <c r="G16687" s="4">
        <f>IFERROR(__xludf.DUMMYFUNCTION("""COMPUTED_VALUE"""),54.0)</f>
        <v>54</v>
      </c>
      <c r="H16687" s="4"/>
      <c r="I16687" s="4"/>
    </row>
    <row r="16688">
      <c r="A16688" s="4" t="str">
        <f>IFERROR(__xludf.DUMMYFUNCTION("""COMPUTED_VALUE"""),"cas_hmw")</f>
        <v>cas_hmw</v>
      </c>
      <c r="B16688" s="5">
        <f>IFERROR(__xludf.DUMMYFUNCTION("""COMPUTED_VALUE"""),44736.0)</f>
        <v>44736</v>
      </c>
      <c r="C16688" s="6">
        <f>IFERROR(__xludf.DUMMYFUNCTION("""COMPUTED_VALUE"""),0.7372106481489027)</f>
        <v>0.7372106481</v>
      </c>
      <c r="D16688" s="4">
        <f>IFERROR(__xludf.DUMMYFUNCTION("""COMPUTED_VALUE"""),12.539776)</f>
        <v>12.539776</v>
      </c>
      <c r="E16688" s="4">
        <f>IFERROR(__xludf.DUMMYFUNCTION("""COMPUTED_VALUE"""),79.904319)</f>
        <v>79.904319</v>
      </c>
      <c r="F16688" s="4">
        <f>IFERROR(__xludf.DUMMYFUNCTION("""COMPUTED_VALUE"""),2846.0)</f>
        <v>2846</v>
      </c>
      <c r="G16688" s="4">
        <f>IFERROR(__xludf.DUMMYFUNCTION("""COMPUTED_VALUE"""),50.0)</f>
        <v>50</v>
      </c>
      <c r="H16688" s="4"/>
      <c r="I16688" s="4"/>
    </row>
    <row r="16689">
      <c r="A16689" s="4" t="str">
        <f>IFERROR(__xludf.DUMMYFUNCTION("""COMPUTED_VALUE"""),"cas_hmw")</f>
        <v>cas_hmw</v>
      </c>
      <c r="B16689" s="5">
        <f>IFERROR(__xludf.DUMMYFUNCTION("""COMPUTED_VALUE"""),44736.0)</f>
        <v>44736</v>
      </c>
      <c r="C16689" s="6">
        <f>IFERROR(__xludf.DUMMYFUNCTION("""COMPUTED_VALUE"""),0.7493749999994179)</f>
        <v>0.749375</v>
      </c>
      <c r="D16689" s="4">
        <f>IFERROR(__xludf.DUMMYFUNCTION("""COMPUTED_VALUE"""),13.067642)</f>
        <v>13.067642</v>
      </c>
      <c r="E16689" s="4">
        <f>IFERROR(__xludf.DUMMYFUNCTION("""COMPUTED_VALUE"""),80.268987)</f>
        <v>80.268987</v>
      </c>
      <c r="F16689" s="4">
        <f>IFERROR(__xludf.DUMMYFUNCTION("""COMPUTED_VALUE"""),5339.0)</f>
        <v>5339</v>
      </c>
      <c r="G16689" s="4">
        <f>IFERROR(__xludf.DUMMYFUNCTION("""COMPUTED_VALUE"""),27.0)</f>
        <v>27</v>
      </c>
      <c r="H16689" s="4"/>
      <c r="I16689" s="4"/>
    </row>
    <row r="16690">
      <c r="A16690" s="4" t="str">
        <f>IFERROR(__xludf.DUMMYFUNCTION("""COMPUTED_VALUE"""),"cas_hmw")</f>
        <v>cas_hmw</v>
      </c>
      <c r="B16690" s="5">
        <f>IFERROR(__xludf.DUMMYFUNCTION("""COMPUTED_VALUE"""),44736.0)</f>
        <v>44736</v>
      </c>
      <c r="C16690" s="6">
        <f>IFERROR(__xludf.DUMMYFUNCTION("""COMPUTED_VALUE"""),0.7497800925921183)</f>
        <v>0.7497800926</v>
      </c>
      <c r="D16690" s="4">
        <f>IFERROR(__xludf.DUMMYFUNCTION("""COMPUTED_VALUE"""),13.068468)</f>
        <v>13.068468</v>
      </c>
      <c r="E16690" s="4">
        <f>IFERROR(__xludf.DUMMYFUNCTION("""COMPUTED_VALUE"""),80.268627)</f>
        <v>80.268627</v>
      </c>
      <c r="F16690" s="4">
        <f>IFERROR(__xludf.DUMMYFUNCTION("""COMPUTED_VALUE"""),5339.0)</f>
        <v>5339</v>
      </c>
      <c r="G16690" s="4">
        <f>IFERROR(__xludf.DUMMYFUNCTION("""COMPUTED_VALUE"""),31.0)</f>
        <v>31</v>
      </c>
      <c r="H16690" s="4"/>
      <c r="I16690" s="4"/>
    </row>
    <row r="16691">
      <c r="A16691" s="4" t="str">
        <f>IFERROR(__xludf.DUMMYFUNCTION("""COMPUTED_VALUE"""),"cas_hmw")</f>
        <v>cas_hmw</v>
      </c>
      <c r="B16691" s="5">
        <f>IFERROR(__xludf.DUMMYFUNCTION("""COMPUTED_VALUE"""),44736.0)</f>
        <v>44736</v>
      </c>
      <c r="C16691" s="6">
        <f>IFERROR(__xludf.DUMMYFUNCTION("""COMPUTED_VALUE"""),0.7514120370360615)</f>
        <v>0.751412037</v>
      </c>
      <c r="D16691" s="4">
        <f>IFERROR(__xludf.DUMMYFUNCTION("""COMPUTED_VALUE"""),13.072628)</f>
        <v>13.072628</v>
      </c>
      <c r="E16691" s="4">
        <f>IFERROR(__xludf.DUMMYFUNCTION("""COMPUTED_VALUE"""),80.262802)</f>
        <v>80.262802</v>
      </c>
      <c r="F16691" s="4">
        <f>IFERROR(__xludf.DUMMYFUNCTION("""COMPUTED_VALUE"""),5339.0)</f>
        <v>5339</v>
      </c>
      <c r="G16691" s="4">
        <f>IFERROR(__xludf.DUMMYFUNCTION("""COMPUTED_VALUE"""),29.0)</f>
        <v>29</v>
      </c>
      <c r="H16691" s="4"/>
      <c r="I16691" s="4"/>
    </row>
    <row r="16692">
      <c r="A16692" s="4" t="str">
        <f>IFERROR(__xludf.DUMMYFUNCTION("""COMPUTED_VALUE"""),"cas_hmw")</f>
        <v>cas_hmw</v>
      </c>
      <c r="B16692" s="5">
        <f>IFERROR(__xludf.DUMMYFUNCTION("""COMPUTED_VALUE"""),44736.0)</f>
        <v>44736</v>
      </c>
      <c r="C16692" s="6">
        <f>IFERROR(__xludf.DUMMYFUNCTION("""COMPUTED_VALUE"""),0.7523148148138716)</f>
        <v>0.7523148148</v>
      </c>
      <c r="D16692" s="4">
        <f>IFERROR(__xludf.DUMMYFUNCTION("""COMPUTED_VALUE"""),13.071527)</f>
        <v>13.071527</v>
      </c>
      <c r="E16692" s="4">
        <f>IFERROR(__xludf.DUMMYFUNCTION("""COMPUTED_VALUE"""),80.259128)</f>
        <v>80.259128</v>
      </c>
      <c r="F16692" s="4">
        <f>IFERROR(__xludf.DUMMYFUNCTION("""COMPUTED_VALUE"""),5339.0)</f>
        <v>5339</v>
      </c>
      <c r="G16692" s="4">
        <f>IFERROR(__xludf.DUMMYFUNCTION("""COMPUTED_VALUE"""),16.0)</f>
        <v>16</v>
      </c>
      <c r="H16692" s="4"/>
      <c r="I16692" s="4"/>
    </row>
    <row r="16693">
      <c r="A16693" s="4" t="str">
        <f>IFERROR(__xludf.DUMMYFUNCTION("""COMPUTED_VALUE"""),"cas_hmw")</f>
        <v>cas_hmw</v>
      </c>
      <c r="B16693" s="5">
        <f>IFERROR(__xludf.DUMMYFUNCTION("""COMPUTED_VALUE"""),44736.0)</f>
        <v>44736</v>
      </c>
      <c r="C16693" s="6">
        <f>IFERROR(__xludf.DUMMYFUNCTION("""COMPUTED_VALUE"""),0.752337962963793)</f>
        <v>0.752337963</v>
      </c>
      <c r="D16693" s="4">
        <f>IFERROR(__xludf.DUMMYFUNCTION("""COMPUTED_VALUE"""),13.071527)</f>
        <v>13.071527</v>
      </c>
      <c r="E16693" s="4">
        <f>IFERROR(__xludf.DUMMYFUNCTION("""COMPUTED_VALUE"""),80.259128)</f>
        <v>80.259128</v>
      </c>
      <c r="F16693" s="4">
        <f>IFERROR(__xludf.DUMMYFUNCTION("""COMPUTED_VALUE"""),5339.0)</f>
        <v>5339</v>
      </c>
      <c r="G16693" s="4">
        <f>IFERROR(__xludf.DUMMYFUNCTION("""COMPUTED_VALUE"""),16.0)</f>
        <v>16</v>
      </c>
      <c r="H16693" s="4"/>
      <c r="I16693" s="4"/>
    </row>
    <row r="16694">
      <c r="A16694" s="4" t="str">
        <f>IFERROR(__xludf.DUMMYFUNCTION("""COMPUTED_VALUE"""),"cas_hmw")</f>
        <v>cas_hmw</v>
      </c>
      <c r="B16694" s="5">
        <f>IFERROR(__xludf.DUMMYFUNCTION("""COMPUTED_VALUE"""),44736.0)</f>
        <v>44736</v>
      </c>
      <c r="C16694" s="6">
        <f>IFERROR(__xludf.DUMMYFUNCTION("""COMPUTED_VALUE"""),0.7523495370369346)</f>
        <v>0.752349537</v>
      </c>
      <c r="D16694" s="4">
        <f>IFERROR(__xludf.DUMMYFUNCTION("""COMPUTED_VALUE"""),13.071527)</f>
        <v>13.071527</v>
      </c>
      <c r="E16694" s="4">
        <f>IFERROR(__xludf.DUMMYFUNCTION("""COMPUTED_VALUE"""),80.259128)</f>
        <v>80.259128</v>
      </c>
      <c r="F16694" s="4">
        <f>IFERROR(__xludf.DUMMYFUNCTION("""COMPUTED_VALUE"""),5339.0)</f>
        <v>5339</v>
      </c>
      <c r="G16694" s="4">
        <f>IFERROR(__xludf.DUMMYFUNCTION("""COMPUTED_VALUE"""),16.0)</f>
        <v>16</v>
      </c>
      <c r="H16694" s="4"/>
      <c r="I16694" s="4"/>
    </row>
    <row r="16695">
      <c r="A16695" s="4" t="str">
        <f>IFERROR(__xludf.DUMMYFUNCTION("""COMPUTED_VALUE"""),"cas_hmw")</f>
        <v>cas_hmw</v>
      </c>
      <c r="B16695" s="5">
        <f>IFERROR(__xludf.DUMMYFUNCTION("""COMPUTED_VALUE"""),44736.0)</f>
        <v>44736</v>
      </c>
      <c r="C16695" s="6">
        <f>IFERROR(__xludf.DUMMYFUNCTION("""COMPUTED_VALUE"""),0.7523611111100763)</f>
        <v>0.7523611111</v>
      </c>
      <c r="D16695" s="4">
        <f>IFERROR(__xludf.DUMMYFUNCTION("""COMPUTED_VALUE"""),13.071527)</f>
        <v>13.071527</v>
      </c>
      <c r="E16695" s="4">
        <f>IFERROR(__xludf.DUMMYFUNCTION("""COMPUTED_VALUE"""),80.259128)</f>
        <v>80.259128</v>
      </c>
      <c r="F16695" s="4">
        <f>IFERROR(__xludf.DUMMYFUNCTION("""COMPUTED_VALUE"""),5339.0)</f>
        <v>5339</v>
      </c>
      <c r="G16695" s="4">
        <f>IFERROR(__xludf.DUMMYFUNCTION("""COMPUTED_VALUE"""),16.0)</f>
        <v>16</v>
      </c>
      <c r="H16695" s="4"/>
      <c r="I16695" s="4"/>
    </row>
    <row r="16696">
      <c r="A16696" s="4" t="str">
        <f>IFERROR(__xludf.DUMMYFUNCTION("""COMPUTED_VALUE"""),"cas_hmw")</f>
        <v>cas_hmw</v>
      </c>
      <c r="B16696" s="5">
        <f>IFERROR(__xludf.DUMMYFUNCTION("""COMPUTED_VALUE"""),44736.0)</f>
        <v>44736</v>
      </c>
      <c r="C16696" s="6">
        <f>IFERROR(__xludf.DUMMYFUNCTION("""COMPUTED_VALUE"""),0.7524305555562023)</f>
        <v>0.7524305556</v>
      </c>
      <c r="D16696" s="4">
        <f>IFERROR(__xludf.DUMMYFUNCTION("""COMPUTED_VALUE"""),13.071096)</f>
        <v>13.071096</v>
      </c>
      <c r="E16696" s="4">
        <f>IFERROR(__xludf.DUMMYFUNCTION("""COMPUTED_VALUE"""),80.258655)</f>
        <v>80.258655</v>
      </c>
      <c r="F16696" s="4">
        <f>IFERROR(__xludf.DUMMYFUNCTION("""COMPUTED_VALUE"""),5339.0)</f>
        <v>5339</v>
      </c>
      <c r="G16696" s="4">
        <f>IFERROR(__xludf.DUMMYFUNCTION("""COMPUTED_VALUE"""),29.0)</f>
        <v>29</v>
      </c>
      <c r="H16696" s="4"/>
      <c r="I16696" s="4"/>
    </row>
    <row r="16697">
      <c r="A16697" s="4" t="str">
        <f>IFERROR(__xludf.DUMMYFUNCTION("""COMPUTED_VALUE"""),"cas_hmw")</f>
        <v>cas_hmw</v>
      </c>
      <c r="B16697" s="5">
        <f>IFERROR(__xludf.DUMMYFUNCTION("""COMPUTED_VALUE"""),44736.0)</f>
        <v>44736</v>
      </c>
      <c r="C16697" s="6">
        <f>IFERROR(__xludf.DUMMYFUNCTION("""COMPUTED_VALUE"""),0.75251157407547)</f>
        <v>0.7525115741</v>
      </c>
      <c r="D16697" s="4">
        <f>IFERROR(__xludf.DUMMYFUNCTION("""COMPUTED_VALUE"""),13.070563)</f>
        <v>13.070563</v>
      </c>
      <c r="E16697" s="4">
        <f>IFERROR(__xludf.DUMMYFUNCTION("""COMPUTED_VALUE"""),80.258094)</f>
        <v>80.258094</v>
      </c>
      <c r="F16697" s="4">
        <f>IFERROR(__xludf.DUMMYFUNCTION("""COMPUTED_VALUE"""),5339.0)</f>
        <v>5339</v>
      </c>
      <c r="G16697" s="4">
        <f>IFERROR(__xludf.DUMMYFUNCTION("""COMPUTED_VALUE"""),29.0)</f>
        <v>29</v>
      </c>
      <c r="H16697" s="4"/>
      <c r="I16697" s="4"/>
    </row>
    <row r="16698">
      <c r="A16698" s="4" t="str">
        <f>IFERROR(__xludf.DUMMYFUNCTION("""COMPUTED_VALUE"""),"cas_hmw")</f>
        <v>cas_hmw</v>
      </c>
      <c r="B16698" s="5">
        <f>IFERROR(__xludf.DUMMYFUNCTION("""COMPUTED_VALUE"""),44736.0)</f>
        <v>44736</v>
      </c>
      <c r="C16698" s="6">
        <f>IFERROR(__xludf.DUMMYFUNCTION("""COMPUTED_VALUE"""),0.7525231481486117)</f>
        <v>0.7525231481</v>
      </c>
      <c r="D16698" s="4">
        <f>IFERROR(__xludf.DUMMYFUNCTION("""COMPUTED_VALUE"""),13.070563)</f>
        <v>13.070563</v>
      </c>
      <c r="E16698" s="4">
        <f>IFERROR(__xludf.DUMMYFUNCTION("""COMPUTED_VALUE"""),80.258094)</f>
        <v>80.258094</v>
      </c>
      <c r="F16698" s="4">
        <f>IFERROR(__xludf.DUMMYFUNCTION("""COMPUTED_VALUE"""),5339.0)</f>
        <v>5339</v>
      </c>
      <c r="G16698" s="4">
        <f>IFERROR(__xludf.DUMMYFUNCTION("""COMPUTED_VALUE"""),29.0)</f>
        <v>29</v>
      </c>
      <c r="H16698" s="4"/>
      <c r="I16698" s="4"/>
    </row>
    <row r="16699">
      <c r="A16699" s="4" t="str">
        <f>IFERROR(__xludf.DUMMYFUNCTION("""COMPUTED_VALUE"""),"cas_hmw")</f>
        <v>cas_hmw</v>
      </c>
      <c r="B16699" s="5">
        <f>IFERROR(__xludf.DUMMYFUNCTION("""COMPUTED_VALUE"""),44736.0)</f>
        <v>44736</v>
      </c>
      <c r="C16699" s="6">
        <f>IFERROR(__xludf.DUMMYFUNCTION("""COMPUTED_VALUE"""),0.7526967592602887)</f>
        <v>0.7526967593</v>
      </c>
      <c r="D16699" s="4">
        <f>IFERROR(__xludf.DUMMYFUNCTION("""COMPUTED_VALUE"""),13.070062)</f>
        <v>13.070062</v>
      </c>
      <c r="E16699" s="4">
        <f>IFERROR(__xludf.DUMMYFUNCTION("""COMPUTED_VALUE"""),80.257529)</f>
        <v>80.257529</v>
      </c>
      <c r="F16699" s="4">
        <f>IFERROR(__xludf.DUMMYFUNCTION("""COMPUTED_VALUE"""),5339.0)</f>
        <v>5339</v>
      </c>
      <c r="G16699" s="4">
        <f>IFERROR(__xludf.DUMMYFUNCTION("""COMPUTED_VALUE"""),32.0)</f>
        <v>32</v>
      </c>
      <c r="H16699" s="4"/>
      <c r="I16699" s="4"/>
    </row>
    <row r="16700">
      <c r="A16700" s="4" t="str">
        <f>IFERROR(__xludf.DUMMYFUNCTION("""COMPUTED_VALUE"""),"cas_hmw")</f>
        <v>cas_hmw</v>
      </c>
      <c r="B16700" s="5">
        <f>IFERROR(__xludf.DUMMYFUNCTION("""COMPUTED_VALUE"""),44737.0)</f>
        <v>44737</v>
      </c>
      <c r="C16700" s="6">
        <f>IFERROR(__xludf.DUMMYFUNCTION("""COMPUTED_VALUE"""),0.3057407407395658)</f>
        <v>0.3057407407</v>
      </c>
      <c r="D16700" s="4">
        <f>IFERROR(__xludf.DUMMYFUNCTION("""COMPUTED_VALUE"""),13.067978)</f>
        <v>13.067978</v>
      </c>
      <c r="E16700" s="4">
        <f>IFERROR(__xludf.DUMMYFUNCTION("""COMPUTED_VALUE"""),80.247366)</f>
        <v>80.247366</v>
      </c>
      <c r="F16700" s="4">
        <f>IFERROR(__xludf.DUMMYFUNCTION("""COMPUTED_VALUE"""),5339.0)</f>
        <v>5339</v>
      </c>
      <c r="G16700" s="4">
        <f>IFERROR(__xludf.DUMMYFUNCTION("""COMPUTED_VALUE"""),29.0)</f>
        <v>29</v>
      </c>
      <c r="H16700" s="4"/>
      <c r="I16700" s="4"/>
    </row>
    <row r="16701">
      <c r="A16701" s="4" t="str">
        <f>IFERROR(__xludf.DUMMYFUNCTION("""COMPUTED_VALUE"""),"cas_hmw")</f>
        <v>cas_hmw</v>
      </c>
      <c r="B16701" s="5">
        <f>IFERROR(__xludf.DUMMYFUNCTION("""COMPUTED_VALUE"""),44737.0)</f>
        <v>44737</v>
      </c>
      <c r="C16701" s="6">
        <f>IFERROR(__xludf.DUMMYFUNCTION("""COMPUTED_VALUE"""),0.3061458333322662)</f>
        <v>0.3061458333</v>
      </c>
      <c r="D16701" s="4">
        <f>IFERROR(__xludf.DUMMYFUNCTION("""COMPUTED_VALUE"""),13.067736)</f>
        <v>13.067736</v>
      </c>
      <c r="E16701" s="4">
        <f>IFERROR(__xludf.DUMMYFUNCTION("""COMPUTED_VALUE"""),80.249285)</f>
        <v>80.249285</v>
      </c>
      <c r="F16701" s="4">
        <f>IFERROR(__xludf.DUMMYFUNCTION("""COMPUTED_VALUE"""),5339.0)</f>
        <v>5339</v>
      </c>
      <c r="G16701" s="4">
        <f>IFERROR(__xludf.DUMMYFUNCTION("""COMPUTED_VALUE"""),19.0)</f>
        <v>19</v>
      </c>
      <c r="H16701" s="4"/>
      <c r="I16701" s="4"/>
    </row>
    <row r="16702">
      <c r="A16702" s="4" t="str">
        <f>IFERROR(__xludf.DUMMYFUNCTION("""COMPUTED_VALUE"""),"cas_hmw")</f>
        <v>cas_hmw</v>
      </c>
      <c r="B16702" s="5">
        <f>IFERROR(__xludf.DUMMYFUNCTION("""COMPUTED_VALUE"""),44737.0)</f>
        <v>44737</v>
      </c>
      <c r="C16702" s="6">
        <f>IFERROR(__xludf.DUMMYFUNCTION("""COMPUTED_VALUE"""),0.307094907406281)</f>
        <v>0.3070949074</v>
      </c>
      <c r="D16702" s="4">
        <f>IFERROR(__xludf.DUMMYFUNCTION("""COMPUTED_VALUE"""),13.06828)</f>
        <v>13.06828</v>
      </c>
      <c r="E16702" s="4">
        <f>IFERROR(__xludf.DUMMYFUNCTION("""COMPUTED_VALUE"""),80.255601)</f>
        <v>80.255601</v>
      </c>
      <c r="F16702" s="4">
        <f>IFERROR(__xludf.DUMMYFUNCTION("""COMPUTED_VALUE"""),5339.0)</f>
        <v>5339</v>
      </c>
      <c r="G16702" s="4">
        <f>IFERROR(__xludf.DUMMYFUNCTION("""COMPUTED_VALUE"""),35.0)</f>
        <v>35</v>
      </c>
      <c r="H16702" s="4"/>
      <c r="I16702" s="4"/>
    </row>
    <row r="16703">
      <c r="A16703" s="4" t="str">
        <f>IFERROR(__xludf.DUMMYFUNCTION("""COMPUTED_VALUE"""),"cas_hmw")</f>
        <v>cas_hmw</v>
      </c>
      <c r="B16703" s="5">
        <f>IFERROR(__xludf.DUMMYFUNCTION("""COMPUTED_VALUE"""),44737.0)</f>
        <v>44737</v>
      </c>
      <c r="C16703" s="6">
        <f>IFERROR(__xludf.DUMMYFUNCTION("""COMPUTED_VALUE"""),0.3097685185202863)</f>
        <v>0.3097685185</v>
      </c>
      <c r="D16703" s="4">
        <f>IFERROR(__xludf.DUMMYFUNCTION("""COMPUTED_VALUE"""),13.068254)</f>
        <v>13.068254</v>
      </c>
      <c r="E16703" s="4">
        <f>IFERROR(__xludf.DUMMYFUNCTION("""COMPUTED_VALUE"""),80.27008)</f>
        <v>80.27008</v>
      </c>
      <c r="F16703" s="4">
        <f>IFERROR(__xludf.DUMMYFUNCTION("""COMPUTED_VALUE"""),5339.0)</f>
        <v>5339</v>
      </c>
      <c r="G16703" s="4">
        <f>IFERROR(__xludf.DUMMYFUNCTION("""COMPUTED_VALUE"""),32.0)</f>
        <v>32</v>
      </c>
      <c r="H16703" s="4"/>
      <c r="I16703" s="4"/>
    </row>
    <row r="16704">
      <c r="A16704" s="4" t="str">
        <f>IFERROR(__xludf.DUMMYFUNCTION("""COMPUTED_VALUE"""),"cas_hmw")</f>
        <v>cas_hmw</v>
      </c>
      <c r="B16704" s="5">
        <f>IFERROR(__xludf.DUMMYFUNCTION("""COMPUTED_VALUE"""),44737.0)</f>
        <v>44737</v>
      </c>
      <c r="C16704" s="6">
        <f>IFERROR(__xludf.DUMMYFUNCTION("""COMPUTED_VALUE"""),0.30979166666656965)</f>
        <v>0.3097916667</v>
      </c>
      <c r="D16704" s="4">
        <f>IFERROR(__xludf.DUMMYFUNCTION("""COMPUTED_VALUE"""),13.068254)</f>
        <v>13.068254</v>
      </c>
      <c r="E16704" s="4">
        <f>IFERROR(__xludf.DUMMYFUNCTION("""COMPUTED_VALUE"""),80.27008)</f>
        <v>80.27008</v>
      </c>
      <c r="F16704" s="4">
        <f>IFERROR(__xludf.DUMMYFUNCTION("""COMPUTED_VALUE"""),5339.0)</f>
        <v>5339</v>
      </c>
      <c r="G16704" s="4">
        <f>IFERROR(__xludf.DUMMYFUNCTION("""COMPUTED_VALUE"""),32.0)</f>
        <v>32</v>
      </c>
      <c r="H16704" s="4"/>
      <c r="I16704" s="4"/>
    </row>
    <row r="16705">
      <c r="A16705" s="4" t="str">
        <f>IFERROR(__xludf.DUMMYFUNCTION("""COMPUTED_VALUE"""),"cas_hmw")</f>
        <v>cas_hmw</v>
      </c>
      <c r="B16705" s="5">
        <f>IFERROR(__xludf.DUMMYFUNCTION("""COMPUTED_VALUE"""),44737.0)</f>
        <v>44737</v>
      </c>
      <c r="C16705" s="6">
        <f>IFERROR(__xludf.DUMMYFUNCTION("""COMPUTED_VALUE"""),0.31019675925927004)</f>
        <v>0.3101967593</v>
      </c>
      <c r="D16705" s="4">
        <f>IFERROR(__xludf.DUMMYFUNCTION("""COMPUTED_VALUE"""),13.067538)</f>
        <v>13.067538</v>
      </c>
      <c r="E16705" s="4">
        <f>IFERROR(__xludf.DUMMYFUNCTION("""COMPUTED_VALUE"""),80.272872)</f>
        <v>80.272872</v>
      </c>
      <c r="F16705" s="4">
        <f>IFERROR(__xludf.DUMMYFUNCTION("""COMPUTED_VALUE"""),5339.0)</f>
        <v>5339</v>
      </c>
      <c r="G16705" s="4">
        <f>IFERROR(__xludf.DUMMYFUNCTION("""COMPUTED_VALUE"""),44.0)</f>
        <v>44</v>
      </c>
      <c r="H16705" s="4"/>
      <c r="I16705" s="4"/>
    </row>
    <row r="16706">
      <c r="A16706" s="4" t="str">
        <f>IFERROR(__xludf.DUMMYFUNCTION("""COMPUTED_VALUE"""),"cas_hmw")</f>
        <v>cas_hmw</v>
      </c>
      <c r="B16706" s="5">
        <f>IFERROR(__xludf.DUMMYFUNCTION("""COMPUTED_VALUE"""),44737.0)</f>
        <v>44737</v>
      </c>
      <c r="C16706" s="6">
        <f>IFERROR(__xludf.DUMMYFUNCTION("""COMPUTED_VALUE"""),0.3154398148144537)</f>
        <v>0.3154398148</v>
      </c>
      <c r="D16706" s="4">
        <f>IFERROR(__xludf.DUMMYFUNCTION("""COMPUTED_VALUE"""),13.05396)</f>
        <v>13.05396</v>
      </c>
      <c r="E16706" s="4">
        <f>IFERROR(__xludf.DUMMYFUNCTION("""COMPUTED_VALUE"""),80.263149)</f>
        <v>80.263149</v>
      </c>
      <c r="F16706" s="4">
        <f>IFERROR(__xludf.DUMMYFUNCTION("""COMPUTED_VALUE"""),5339.0)</f>
        <v>5339</v>
      </c>
      <c r="G16706" s="4">
        <f>IFERROR(__xludf.DUMMYFUNCTION("""COMPUTED_VALUE"""),53.0)</f>
        <v>53</v>
      </c>
      <c r="H16706" s="4"/>
      <c r="I16706" s="4"/>
    </row>
    <row r="16707">
      <c r="A16707" s="4" t="str">
        <f>IFERROR(__xludf.DUMMYFUNCTION("""COMPUTED_VALUE"""),"cas_hmw")</f>
        <v>cas_hmw</v>
      </c>
      <c r="B16707" s="5">
        <f>IFERROR(__xludf.DUMMYFUNCTION("""COMPUTED_VALUE"""),44737.0)</f>
        <v>44737</v>
      </c>
      <c r="C16707" s="6">
        <f>IFERROR(__xludf.DUMMYFUNCTION("""COMPUTED_VALUE"""),0.31585648148029577)</f>
        <v>0.3158564815</v>
      </c>
      <c r="D16707" s="4">
        <f>IFERROR(__xludf.DUMMYFUNCTION("""COMPUTED_VALUE"""),13.054375)</f>
        <v>13.054375</v>
      </c>
      <c r="E16707" s="4">
        <f>IFERROR(__xludf.DUMMYFUNCTION("""COMPUTED_VALUE"""),80.258809)</f>
        <v>80.258809</v>
      </c>
      <c r="F16707" s="4">
        <f>IFERROR(__xludf.DUMMYFUNCTION("""COMPUTED_VALUE"""),5339.0)</f>
        <v>5339</v>
      </c>
      <c r="G16707" s="4">
        <f>IFERROR(__xludf.DUMMYFUNCTION("""COMPUTED_VALUE"""),53.0)</f>
        <v>53</v>
      </c>
      <c r="H16707" s="4"/>
      <c r="I16707" s="4"/>
    </row>
    <row r="16708">
      <c r="A16708" s="4" t="str">
        <f>IFERROR(__xludf.DUMMYFUNCTION("""COMPUTED_VALUE"""),"cas_hmw")</f>
        <v>cas_hmw</v>
      </c>
      <c r="B16708" s="5">
        <f>IFERROR(__xludf.DUMMYFUNCTION("""COMPUTED_VALUE"""),44737.0)</f>
        <v>44737</v>
      </c>
      <c r="C16708" s="6">
        <f>IFERROR(__xludf.DUMMYFUNCTION("""COMPUTED_VALUE"""),0.31636574074218515)</f>
        <v>0.3163657407</v>
      </c>
      <c r="D16708" s="4">
        <f>IFERROR(__xludf.DUMMYFUNCTION("""COMPUTED_VALUE"""),13.05432)</f>
        <v>13.05432</v>
      </c>
      <c r="E16708" s="4">
        <f>IFERROR(__xludf.DUMMYFUNCTION("""COMPUTED_VALUE"""),80.253728)</f>
        <v>80.253728</v>
      </c>
      <c r="F16708" s="4">
        <f>IFERROR(__xludf.DUMMYFUNCTION("""COMPUTED_VALUE"""),5339.0)</f>
        <v>5339</v>
      </c>
      <c r="G16708" s="4">
        <f>IFERROR(__xludf.DUMMYFUNCTION("""COMPUTED_VALUE"""),42.0)</f>
        <v>42</v>
      </c>
      <c r="H16708" s="4"/>
      <c r="I16708" s="4"/>
    </row>
    <row r="16709">
      <c r="A16709" s="4" t="str">
        <f>IFERROR(__xludf.DUMMYFUNCTION("""COMPUTED_VALUE"""),"cas_hmw")</f>
        <v>cas_hmw</v>
      </c>
      <c r="B16709" s="5">
        <f>IFERROR(__xludf.DUMMYFUNCTION("""COMPUTED_VALUE"""),44737.0)</f>
        <v>44737</v>
      </c>
      <c r="C16709" s="6">
        <f>IFERROR(__xludf.DUMMYFUNCTION("""COMPUTED_VALUE"""),0.3164351851846732)</f>
        <v>0.3164351852</v>
      </c>
      <c r="D16709" s="4">
        <f>IFERROR(__xludf.DUMMYFUNCTION("""COMPUTED_VALUE"""),13.053672)</f>
        <v>13.053672</v>
      </c>
      <c r="E16709" s="4">
        <f>IFERROR(__xludf.DUMMYFUNCTION("""COMPUTED_VALUE"""),80.252821)</f>
        <v>80.252821</v>
      </c>
      <c r="F16709" s="4">
        <f>IFERROR(__xludf.DUMMYFUNCTION("""COMPUTED_VALUE"""),5339.0)</f>
        <v>5339</v>
      </c>
      <c r="G16709" s="4">
        <f>IFERROR(__xludf.DUMMYFUNCTION("""COMPUTED_VALUE"""),34.0)</f>
        <v>34</v>
      </c>
      <c r="H16709" s="4"/>
      <c r="I16709" s="4"/>
    </row>
    <row r="16710">
      <c r="A16710" s="4" t="str">
        <f>IFERROR(__xludf.DUMMYFUNCTION("""COMPUTED_VALUE"""),"cas_hmw")</f>
        <v>cas_hmw</v>
      </c>
      <c r="B16710" s="5">
        <f>IFERROR(__xludf.DUMMYFUNCTION("""COMPUTED_VALUE"""),44737.0)</f>
        <v>44737</v>
      </c>
      <c r="C16710" s="6">
        <f>IFERROR(__xludf.DUMMYFUNCTION("""COMPUTED_VALUE"""),0.3168171296310902)</f>
        <v>0.3168171296</v>
      </c>
      <c r="D16710" s="4">
        <f>IFERROR(__xludf.DUMMYFUNCTION("""COMPUTED_VALUE"""),13.052476)</f>
        <v>13.052476</v>
      </c>
      <c r="E16710" s="4">
        <f>IFERROR(__xludf.DUMMYFUNCTION("""COMPUTED_VALUE"""),80.251166)</f>
        <v>80.251166</v>
      </c>
      <c r="F16710" s="4">
        <f>IFERROR(__xludf.DUMMYFUNCTION("""COMPUTED_VALUE"""),5339.0)</f>
        <v>5339</v>
      </c>
      <c r="G16710" s="4">
        <f>IFERROR(__xludf.DUMMYFUNCTION("""COMPUTED_VALUE"""),37.0)</f>
        <v>37</v>
      </c>
      <c r="H16710" s="4"/>
      <c r="I16710" s="4"/>
    </row>
    <row r="16711">
      <c r="A16711" s="4" t="str">
        <f>IFERROR(__xludf.DUMMYFUNCTION("""COMPUTED_VALUE"""),"cas_hmw")</f>
        <v>cas_hmw</v>
      </c>
      <c r="B16711" s="5">
        <f>IFERROR(__xludf.DUMMYFUNCTION("""COMPUTED_VALUE"""),44737.0)</f>
        <v>44737</v>
      </c>
      <c r="C16711" s="6">
        <f>IFERROR(__xludf.DUMMYFUNCTION("""COMPUTED_VALUE"""),0.31946759259153623)</f>
        <v>0.3194675926</v>
      </c>
      <c r="D16711" s="4">
        <f>IFERROR(__xludf.DUMMYFUNCTION("""COMPUTED_VALUE"""),13.035068)</f>
        <v>13.035068</v>
      </c>
      <c r="E16711" s="4">
        <f>IFERROR(__xludf.DUMMYFUNCTION("""COMPUTED_VALUE"""),80.24599)</f>
        <v>80.24599</v>
      </c>
      <c r="F16711" s="4">
        <f>IFERROR(__xludf.DUMMYFUNCTION("""COMPUTED_VALUE"""),5339.0)</f>
        <v>5339</v>
      </c>
      <c r="G16711" s="4">
        <f>IFERROR(__xludf.DUMMYFUNCTION("""COMPUTED_VALUE"""),26.0)</f>
        <v>26</v>
      </c>
      <c r="H16711" s="4"/>
      <c r="I16711" s="4"/>
    </row>
    <row r="16712">
      <c r="A16712" s="4" t="str">
        <f>IFERROR(__xludf.DUMMYFUNCTION("""COMPUTED_VALUE"""),"cas_hmw")</f>
        <v>cas_hmw</v>
      </c>
      <c r="B16712" s="5">
        <f>IFERROR(__xludf.DUMMYFUNCTION("""COMPUTED_VALUE"""),44737.0)</f>
        <v>44737</v>
      </c>
      <c r="C16712" s="6">
        <f>IFERROR(__xludf.DUMMYFUNCTION("""COMPUTED_VALUE"""),0.31950231481459923)</f>
        <v>0.3195023148</v>
      </c>
      <c r="D16712" s="4">
        <f>IFERROR(__xludf.DUMMYFUNCTION("""COMPUTED_VALUE"""),13.035068)</f>
        <v>13.035068</v>
      </c>
      <c r="E16712" s="4">
        <f>IFERROR(__xludf.DUMMYFUNCTION("""COMPUTED_VALUE"""),80.24599)</f>
        <v>80.24599</v>
      </c>
      <c r="F16712" s="4">
        <f>IFERROR(__xludf.DUMMYFUNCTION("""COMPUTED_VALUE"""),5339.0)</f>
        <v>5339</v>
      </c>
      <c r="G16712" s="4">
        <f>IFERROR(__xludf.DUMMYFUNCTION("""COMPUTED_VALUE"""),26.0)</f>
        <v>26</v>
      </c>
      <c r="H16712" s="4"/>
      <c r="I16712" s="4"/>
    </row>
    <row r="16713">
      <c r="A16713" s="4" t="str">
        <f>IFERROR(__xludf.DUMMYFUNCTION("""COMPUTED_VALUE"""),"cas_hmw")</f>
        <v>cas_hmw</v>
      </c>
      <c r="B16713" s="5">
        <f>IFERROR(__xludf.DUMMYFUNCTION("""COMPUTED_VALUE"""),44737.0)</f>
        <v>44737</v>
      </c>
      <c r="C16713" s="6">
        <f>IFERROR(__xludf.DUMMYFUNCTION("""COMPUTED_VALUE"""),0.31981481481489027)</f>
        <v>0.3198148148</v>
      </c>
      <c r="D16713" s="4">
        <f>IFERROR(__xludf.DUMMYFUNCTION("""COMPUTED_VALUE"""),12.684092)</f>
        <v>12.684092</v>
      </c>
      <c r="E16713" s="4">
        <f>IFERROR(__xludf.DUMMYFUNCTION("""COMPUTED_VALUE"""),79.983289)</f>
        <v>79.983289</v>
      </c>
      <c r="F16713" s="4">
        <f>IFERROR(__xludf.DUMMYFUNCTION("""COMPUTED_VALUE"""),2846.0)</f>
        <v>2846</v>
      </c>
      <c r="G16713" s="4">
        <f>IFERROR(__xludf.DUMMYFUNCTION("""COMPUTED_VALUE"""),18.0)</f>
        <v>18</v>
      </c>
      <c r="H16713" s="4"/>
      <c r="I16713" s="4"/>
    </row>
    <row r="16714">
      <c r="A16714" s="4" t="str">
        <f>IFERROR(__xludf.DUMMYFUNCTION("""COMPUTED_VALUE"""),"cas_hmw")</f>
        <v>cas_hmw</v>
      </c>
      <c r="B16714" s="5">
        <f>IFERROR(__xludf.DUMMYFUNCTION("""COMPUTED_VALUE"""),44737.0)</f>
        <v>44737</v>
      </c>
      <c r="C16714" s="6">
        <f>IFERROR(__xludf.DUMMYFUNCTION("""COMPUTED_VALUE"""),0.32008101851897663)</f>
        <v>0.3200810185</v>
      </c>
      <c r="D16714" s="4">
        <f>IFERROR(__xludf.DUMMYFUNCTION("""COMPUTED_VALUE"""),12.68472)</f>
        <v>12.68472</v>
      </c>
      <c r="E16714" s="4">
        <f>IFERROR(__xludf.DUMMYFUNCTION("""COMPUTED_VALUE"""),79.98345)</f>
        <v>79.98345</v>
      </c>
      <c r="F16714" s="4">
        <f>IFERROR(__xludf.DUMMYFUNCTION("""COMPUTED_VALUE"""),2846.0)</f>
        <v>2846</v>
      </c>
      <c r="G16714" s="4">
        <f>IFERROR(__xludf.DUMMYFUNCTION("""COMPUTED_VALUE"""),29.0)</f>
        <v>29</v>
      </c>
      <c r="H16714" s="4"/>
      <c r="I16714" s="4"/>
    </row>
    <row r="16715">
      <c r="A16715" s="4" t="str">
        <f>IFERROR(__xludf.DUMMYFUNCTION("""COMPUTED_VALUE"""),"cas_hmw")</f>
        <v>cas_hmw</v>
      </c>
      <c r="B16715" s="5">
        <f>IFERROR(__xludf.DUMMYFUNCTION("""COMPUTED_VALUE"""),44737.0)</f>
        <v>44737</v>
      </c>
      <c r="C16715" s="6">
        <f>IFERROR(__xludf.DUMMYFUNCTION("""COMPUTED_VALUE"""),0.32059027777722804)</f>
        <v>0.3205902778</v>
      </c>
      <c r="D16715" s="4">
        <f>IFERROR(__xludf.DUMMYFUNCTION("""COMPUTED_VALUE"""),12.688082)</f>
        <v>12.688082</v>
      </c>
      <c r="E16715" s="4">
        <f>IFERROR(__xludf.DUMMYFUNCTION("""COMPUTED_VALUE"""),79.982921)</f>
        <v>79.982921</v>
      </c>
      <c r="F16715" s="4">
        <f>IFERROR(__xludf.DUMMYFUNCTION("""COMPUTED_VALUE"""),2846.0)</f>
        <v>2846</v>
      </c>
      <c r="G16715" s="4">
        <f>IFERROR(__xludf.DUMMYFUNCTION("""COMPUTED_VALUE"""),27.0)</f>
        <v>27</v>
      </c>
      <c r="H16715" s="4"/>
      <c r="I16715" s="4"/>
    </row>
    <row r="16716">
      <c r="A16716" s="4" t="str">
        <f>IFERROR(__xludf.DUMMYFUNCTION("""COMPUTED_VALUE"""),"cas_hmw")</f>
        <v>cas_hmw</v>
      </c>
      <c r="B16716" s="5">
        <f>IFERROR(__xludf.DUMMYFUNCTION("""COMPUTED_VALUE"""),44737.0)</f>
        <v>44737</v>
      </c>
      <c r="C16716" s="6">
        <f>IFERROR(__xludf.DUMMYFUNCTION("""COMPUTED_VALUE"""),0.32094907407372375)</f>
        <v>0.3209490741</v>
      </c>
      <c r="D16716" s="4">
        <f>IFERROR(__xludf.DUMMYFUNCTION("""COMPUTED_VALUE"""),13.029587)</f>
        <v>13.029587</v>
      </c>
      <c r="E16716" s="4">
        <f>IFERROR(__xludf.DUMMYFUNCTION("""COMPUTED_VALUE"""),80.237285)</f>
        <v>80.237285</v>
      </c>
      <c r="F16716" s="4">
        <f>IFERROR(__xludf.DUMMYFUNCTION("""COMPUTED_VALUE"""),5339.0)</f>
        <v>5339</v>
      </c>
      <c r="G16716" s="4">
        <f>IFERROR(__xludf.DUMMYFUNCTION("""COMPUTED_VALUE"""),53.0)</f>
        <v>53</v>
      </c>
      <c r="H16716" s="4"/>
      <c r="I16716" s="4"/>
    </row>
    <row r="16717">
      <c r="A16717" s="4" t="str">
        <f>IFERROR(__xludf.DUMMYFUNCTION("""COMPUTED_VALUE"""),"cas_hmw")</f>
        <v>cas_hmw</v>
      </c>
      <c r="B16717" s="5">
        <f>IFERROR(__xludf.DUMMYFUNCTION("""COMPUTED_VALUE"""),44737.0)</f>
        <v>44737</v>
      </c>
      <c r="C16717" s="6">
        <f>IFERROR(__xludf.DUMMYFUNCTION("""COMPUTED_VALUE"""),0.32113425925854244)</f>
        <v>0.3211342593</v>
      </c>
      <c r="D16717" s="4">
        <f>IFERROR(__xludf.DUMMYFUNCTION("""COMPUTED_VALUE"""),13.028698)</f>
        <v>13.028698</v>
      </c>
      <c r="E16717" s="4">
        <f>IFERROR(__xludf.DUMMYFUNCTION("""COMPUTED_VALUE"""),80.236314)</f>
        <v>80.236314</v>
      </c>
      <c r="F16717" s="4">
        <f>IFERROR(__xludf.DUMMYFUNCTION("""COMPUTED_VALUE"""),5339.0)</f>
        <v>5339</v>
      </c>
      <c r="G16717" s="4">
        <f>IFERROR(__xludf.DUMMYFUNCTION("""COMPUTED_VALUE"""),50.0)</f>
        <v>50</v>
      </c>
      <c r="H16717" s="4"/>
      <c r="I16717" s="4"/>
    </row>
    <row r="16718">
      <c r="A16718" s="4" t="str">
        <f>IFERROR(__xludf.DUMMYFUNCTION("""COMPUTED_VALUE"""),"cas_hmw")</f>
        <v>cas_hmw</v>
      </c>
      <c r="B16718" s="5">
        <f>IFERROR(__xludf.DUMMYFUNCTION("""COMPUTED_VALUE"""),44737.0)</f>
        <v>44737</v>
      </c>
      <c r="C16718" s="6">
        <f>IFERROR(__xludf.DUMMYFUNCTION("""COMPUTED_VALUE"""),0.32120370370466844)</f>
        <v>0.3212037037</v>
      </c>
      <c r="D16718" s="4">
        <f>IFERROR(__xludf.DUMMYFUNCTION("""COMPUTED_VALUE"""),13.027901)</f>
        <v>13.027901</v>
      </c>
      <c r="E16718" s="4">
        <f>IFERROR(__xludf.DUMMYFUNCTION("""COMPUTED_VALUE"""),80.235397)</f>
        <v>80.235397</v>
      </c>
      <c r="F16718" s="4">
        <f>IFERROR(__xludf.DUMMYFUNCTION("""COMPUTED_VALUE"""),5339.0)</f>
        <v>5339</v>
      </c>
      <c r="G16718" s="4">
        <f>IFERROR(__xludf.DUMMYFUNCTION("""COMPUTED_VALUE"""),47.0)</f>
        <v>47</v>
      </c>
      <c r="H16718" s="4"/>
      <c r="I16718" s="4"/>
    </row>
    <row r="16719">
      <c r="A16719" s="4" t="str">
        <f>IFERROR(__xludf.DUMMYFUNCTION("""COMPUTED_VALUE"""),"cas_hmw")</f>
        <v>cas_hmw</v>
      </c>
      <c r="B16719" s="5">
        <f>IFERROR(__xludf.DUMMYFUNCTION("""COMPUTED_VALUE"""),44737.0)</f>
        <v>44737</v>
      </c>
      <c r="C16719" s="6">
        <f>IFERROR(__xludf.DUMMYFUNCTION("""COMPUTED_VALUE"""),0.3212615740740148)</f>
        <v>0.3212615741</v>
      </c>
      <c r="D16719" s="4">
        <f>IFERROR(__xludf.DUMMYFUNCTION("""COMPUTED_VALUE"""),13.027901)</f>
        <v>13.027901</v>
      </c>
      <c r="E16719" s="4">
        <f>IFERROR(__xludf.DUMMYFUNCTION("""COMPUTED_VALUE"""),80.235397)</f>
        <v>80.235397</v>
      </c>
      <c r="F16719" s="4">
        <f>IFERROR(__xludf.DUMMYFUNCTION("""COMPUTED_VALUE"""),5339.0)</f>
        <v>5339</v>
      </c>
      <c r="G16719" s="4">
        <f>IFERROR(__xludf.DUMMYFUNCTION("""COMPUTED_VALUE"""),47.0)</f>
        <v>47</v>
      </c>
      <c r="H16719" s="4"/>
      <c r="I16719" s="4"/>
    </row>
    <row r="16720">
      <c r="A16720" s="4" t="str">
        <f>IFERROR(__xludf.DUMMYFUNCTION("""COMPUTED_VALUE"""),"cas_hmw")</f>
        <v>cas_hmw</v>
      </c>
      <c r="B16720" s="5">
        <f>IFERROR(__xludf.DUMMYFUNCTION("""COMPUTED_VALUE"""),44737.0)</f>
        <v>44737</v>
      </c>
      <c r="C16720" s="6">
        <f>IFERROR(__xludf.DUMMYFUNCTION("""COMPUTED_VALUE"""),0.3214699074087548)</f>
        <v>0.3214699074</v>
      </c>
      <c r="D16720" s="4">
        <f>IFERROR(__xludf.DUMMYFUNCTION("""COMPUTED_VALUE"""),13.026574)</f>
        <v>13.026574</v>
      </c>
      <c r="E16720" s="4">
        <f>IFERROR(__xludf.DUMMYFUNCTION("""COMPUTED_VALUE"""),80.233187)</f>
        <v>80.233187</v>
      </c>
      <c r="F16720" s="4">
        <f>IFERROR(__xludf.DUMMYFUNCTION("""COMPUTED_VALUE"""),5339.0)</f>
        <v>5339</v>
      </c>
      <c r="G16720" s="4">
        <f>IFERROR(__xludf.DUMMYFUNCTION("""COMPUTED_VALUE"""),52.0)</f>
        <v>52</v>
      </c>
      <c r="H16720" s="4"/>
      <c r="I16720" s="4"/>
    </row>
    <row r="16721">
      <c r="A16721" s="4" t="str">
        <f>IFERROR(__xludf.DUMMYFUNCTION("""COMPUTED_VALUE"""),"cas_hmw")</f>
        <v>cas_hmw</v>
      </c>
      <c r="B16721" s="5">
        <f>IFERROR(__xludf.DUMMYFUNCTION("""COMPUTED_VALUE"""),44737.0)</f>
        <v>44737</v>
      </c>
      <c r="C16721" s="6">
        <f>IFERROR(__xludf.DUMMYFUNCTION("""COMPUTED_VALUE"""),0.32246527777897427)</f>
        <v>0.3224652778</v>
      </c>
      <c r="D16721" s="4">
        <f>IFERROR(__xludf.DUMMYFUNCTION("""COMPUTED_VALUE"""),13.023468)</f>
        <v>13.023468</v>
      </c>
      <c r="E16721" s="4">
        <f>IFERROR(__xludf.DUMMYFUNCTION("""COMPUTED_VALUE"""),80.227664)</f>
        <v>80.227664</v>
      </c>
      <c r="F16721" s="4">
        <f>IFERROR(__xludf.DUMMYFUNCTION("""COMPUTED_VALUE"""),5339.0)</f>
        <v>5339</v>
      </c>
      <c r="G16721" s="4">
        <f>IFERROR(__xludf.DUMMYFUNCTION("""COMPUTED_VALUE"""),47.0)</f>
        <v>47</v>
      </c>
      <c r="H16721" s="4"/>
      <c r="I16721" s="4"/>
    </row>
    <row r="16722">
      <c r="A16722" s="4" t="str">
        <f>IFERROR(__xludf.DUMMYFUNCTION("""COMPUTED_VALUE"""),"cas_hmw")</f>
        <v>cas_hmw</v>
      </c>
      <c r="B16722" s="5">
        <f>IFERROR(__xludf.DUMMYFUNCTION("""COMPUTED_VALUE"""),44737.0)</f>
        <v>44737</v>
      </c>
      <c r="C16722" s="6">
        <f>IFERROR(__xludf.DUMMYFUNCTION("""COMPUTED_VALUE"""),0.3245254629619012)</f>
        <v>0.324525463</v>
      </c>
      <c r="D16722" s="4">
        <f>IFERROR(__xludf.DUMMYFUNCTION("""COMPUTED_VALUE"""),13.010487)</f>
        <v>13.010487</v>
      </c>
      <c r="E16722" s="4">
        <f>IFERROR(__xludf.DUMMYFUNCTION("""COMPUTED_VALUE"""),80.225558)</f>
        <v>80.225558</v>
      </c>
      <c r="F16722" s="4">
        <f>IFERROR(__xludf.DUMMYFUNCTION("""COMPUTED_VALUE"""),5339.0)</f>
        <v>5339</v>
      </c>
      <c r="G16722" s="4">
        <f>IFERROR(__xludf.DUMMYFUNCTION("""COMPUTED_VALUE"""),52.0)</f>
        <v>52</v>
      </c>
      <c r="H16722" s="4"/>
      <c r="I16722" s="4"/>
    </row>
    <row r="16723">
      <c r="A16723" s="4" t="str">
        <f>IFERROR(__xludf.DUMMYFUNCTION("""COMPUTED_VALUE"""),"cas_hmw")</f>
        <v>cas_hmw</v>
      </c>
      <c r="B16723" s="5">
        <f>IFERROR(__xludf.DUMMYFUNCTION("""COMPUTED_VALUE"""),44737.0)</f>
        <v>44737</v>
      </c>
      <c r="C16723" s="6">
        <f>IFERROR(__xludf.DUMMYFUNCTION("""COMPUTED_VALUE"""),0.3249189814814599)</f>
        <v>0.3249189815</v>
      </c>
      <c r="D16723" s="4">
        <f>IFERROR(__xludf.DUMMYFUNCTION("""COMPUTED_VALUE"""),13.012035)</f>
        <v>13.012035</v>
      </c>
      <c r="E16723" s="4">
        <f>IFERROR(__xludf.DUMMYFUNCTION("""COMPUTED_VALUE"""),80.221681)</f>
        <v>80.221681</v>
      </c>
      <c r="F16723" s="4">
        <f>IFERROR(__xludf.DUMMYFUNCTION("""COMPUTED_VALUE"""),5339.0)</f>
        <v>5339</v>
      </c>
      <c r="G16723" s="4">
        <f>IFERROR(__xludf.DUMMYFUNCTION("""COMPUTED_VALUE"""),54.0)</f>
        <v>54</v>
      </c>
      <c r="H16723" s="4"/>
      <c r="I16723" s="4"/>
    </row>
    <row r="16724">
      <c r="A16724" s="4" t="str">
        <f>IFERROR(__xludf.DUMMYFUNCTION("""COMPUTED_VALUE"""),"cas_hmw")</f>
        <v>cas_hmw</v>
      </c>
      <c r="B16724" s="5">
        <f>IFERROR(__xludf.DUMMYFUNCTION("""COMPUTED_VALUE"""),44737.0)</f>
        <v>44737</v>
      </c>
      <c r="C16724" s="6">
        <f>IFERROR(__xludf.DUMMYFUNCTION("""COMPUTED_VALUE"""),0.32575231481314404)</f>
        <v>0.3257523148</v>
      </c>
      <c r="D16724" s="4">
        <f>IFERROR(__xludf.DUMMYFUNCTION("""COMPUTED_VALUE"""),13.009457)</f>
        <v>13.009457</v>
      </c>
      <c r="E16724" s="4">
        <f>IFERROR(__xludf.DUMMYFUNCTION("""COMPUTED_VALUE"""),80.213104)</f>
        <v>80.213104</v>
      </c>
      <c r="F16724" s="4">
        <f>IFERROR(__xludf.DUMMYFUNCTION("""COMPUTED_VALUE"""),5339.0)</f>
        <v>5339</v>
      </c>
      <c r="G16724" s="4">
        <f>IFERROR(__xludf.DUMMYFUNCTION("""COMPUTED_VALUE"""),60.0)</f>
        <v>60</v>
      </c>
      <c r="H16724" s="4"/>
      <c r="I16724" s="4"/>
    </row>
    <row r="16725">
      <c r="A16725" s="4" t="str">
        <f>IFERROR(__xludf.DUMMYFUNCTION("""COMPUTED_VALUE"""),"cas_hmw")</f>
        <v>cas_hmw</v>
      </c>
      <c r="B16725" s="5">
        <f>IFERROR(__xludf.DUMMYFUNCTION("""COMPUTED_VALUE"""),44737.0)</f>
        <v>44737</v>
      </c>
      <c r="C16725" s="6">
        <f>IFERROR(__xludf.DUMMYFUNCTION("""COMPUTED_VALUE"""),0.3261689814826241)</f>
        <v>0.3261689815</v>
      </c>
      <c r="D16725" s="4">
        <f>IFERROR(__xludf.DUMMYFUNCTION("""COMPUTED_VALUE"""),13.007828)</f>
        <v>13.007828</v>
      </c>
      <c r="E16725" s="4">
        <f>IFERROR(__xludf.DUMMYFUNCTION("""COMPUTED_VALUE"""),80.207381)</f>
        <v>80.207381</v>
      </c>
      <c r="F16725" s="4">
        <f>IFERROR(__xludf.DUMMYFUNCTION("""COMPUTED_VALUE"""),5339.0)</f>
        <v>5339</v>
      </c>
      <c r="G16725" s="4">
        <f>IFERROR(__xludf.DUMMYFUNCTION("""COMPUTED_VALUE"""),58.0)</f>
        <v>58</v>
      </c>
      <c r="H16725" s="4"/>
      <c r="I16725" s="4"/>
    </row>
    <row r="16726">
      <c r="A16726" s="4" t="str">
        <f>IFERROR(__xludf.DUMMYFUNCTION("""COMPUTED_VALUE"""),"cas_hmw")</f>
        <v>cas_hmw</v>
      </c>
      <c r="B16726" s="5">
        <f>IFERROR(__xludf.DUMMYFUNCTION("""COMPUTED_VALUE"""),44737.0)</f>
        <v>44737</v>
      </c>
      <c r="C16726" s="6">
        <f>IFERROR(__xludf.DUMMYFUNCTION("""COMPUTED_VALUE"""),0.3262962962980964)</f>
        <v>0.3262962963</v>
      </c>
      <c r="D16726" s="4">
        <f>IFERROR(__xludf.DUMMYFUNCTION("""COMPUTED_VALUE"""),13.007567)</f>
        <v>13.007567</v>
      </c>
      <c r="E16726" s="4">
        <f>IFERROR(__xludf.DUMMYFUNCTION("""COMPUTED_VALUE"""),80.205998)</f>
        <v>80.205998</v>
      </c>
      <c r="F16726" s="4">
        <f>IFERROR(__xludf.DUMMYFUNCTION("""COMPUTED_VALUE"""),5339.0)</f>
        <v>5339</v>
      </c>
      <c r="G16726" s="4">
        <f>IFERROR(__xludf.DUMMYFUNCTION("""COMPUTED_VALUE"""),48.0)</f>
        <v>48</v>
      </c>
      <c r="H16726" s="4"/>
      <c r="I16726" s="4"/>
    </row>
    <row r="16727">
      <c r="A16727" s="4" t="str">
        <f>IFERROR(__xludf.DUMMYFUNCTION("""COMPUTED_VALUE"""),"cas_hmw")</f>
        <v>cas_hmw</v>
      </c>
      <c r="B16727" s="5">
        <f>IFERROR(__xludf.DUMMYFUNCTION("""COMPUTED_VALUE"""),44737.0)</f>
        <v>44737</v>
      </c>
      <c r="C16727" s="6">
        <f>IFERROR(__xludf.DUMMYFUNCTION("""COMPUTED_VALUE"""),0.3267476851870015)</f>
        <v>0.3267476852</v>
      </c>
      <c r="D16727" s="4">
        <f>IFERROR(__xludf.DUMMYFUNCTION("""COMPUTED_VALUE"""),13.005529)</f>
        <v>13.005529</v>
      </c>
      <c r="E16727" s="4">
        <f>IFERROR(__xludf.DUMMYFUNCTION("""COMPUTED_VALUE"""),80.202051)</f>
        <v>80.202051</v>
      </c>
      <c r="F16727" s="4">
        <f>IFERROR(__xludf.DUMMYFUNCTION("""COMPUTED_VALUE"""),5339.0)</f>
        <v>5339</v>
      </c>
      <c r="G16727" s="4">
        <f>IFERROR(__xludf.DUMMYFUNCTION("""COMPUTED_VALUE"""),38.0)</f>
        <v>38</v>
      </c>
      <c r="H16727" s="4"/>
      <c r="I16727" s="4"/>
    </row>
    <row r="16728">
      <c r="A16728" s="4" t="str">
        <f>IFERROR(__xludf.DUMMYFUNCTION("""COMPUTED_VALUE"""),"cas_hmw")</f>
        <v>cas_hmw</v>
      </c>
      <c r="B16728" s="5">
        <f>IFERROR(__xludf.DUMMYFUNCTION("""COMPUTED_VALUE"""),44737.0)</f>
        <v>44737</v>
      </c>
      <c r="C16728" s="6">
        <f>IFERROR(__xludf.DUMMYFUNCTION("""COMPUTED_VALUE"""),0.3268865740756155)</f>
        <v>0.3268865741</v>
      </c>
      <c r="D16728" s="4">
        <f>IFERROR(__xludf.DUMMYFUNCTION("""COMPUTED_VALUE"""),13.00469)</f>
        <v>13.00469</v>
      </c>
      <c r="E16728" s="4">
        <f>IFERROR(__xludf.DUMMYFUNCTION("""COMPUTED_VALUE"""),80.201301)</f>
        <v>80.201301</v>
      </c>
      <c r="F16728" s="4">
        <f>IFERROR(__xludf.DUMMYFUNCTION("""COMPUTED_VALUE"""),5339.0)</f>
        <v>5339</v>
      </c>
      <c r="G16728" s="4">
        <f>IFERROR(__xludf.DUMMYFUNCTION("""COMPUTED_VALUE"""),48.0)</f>
        <v>48</v>
      </c>
      <c r="H16728" s="4"/>
      <c r="I16728" s="4"/>
    </row>
    <row r="16729">
      <c r="A16729" s="4" t="str">
        <f>IFERROR(__xludf.DUMMYFUNCTION("""COMPUTED_VALUE"""),"cas_hmw")</f>
        <v>cas_hmw</v>
      </c>
      <c r="B16729" s="5">
        <f>IFERROR(__xludf.DUMMYFUNCTION("""COMPUTED_VALUE"""),44737.0)</f>
        <v>44737</v>
      </c>
      <c r="C16729" s="6">
        <f>IFERROR(__xludf.DUMMYFUNCTION("""COMPUTED_VALUE"""),0.32706018518365454)</f>
        <v>0.3270601852</v>
      </c>
      <c r="D16729" s="4">
        <f>IFERROR(__xludf.DUMMYFUNCTION("""COMPUTED_VALUE"""),13.002707)</f>
        <v>13.002707</v>
      </c>
      <c r="E16729" s="4">
        <f>IFERROR(__xludf.DUMMYFUNCTION("""COMPUTED_VALUE"""),80.200722)</f>
        <v>80.200722</v>
      </c>
      <c r="F16729" s="4">
        <f>IFERROR(__xludf.DUMMYFUNCTION("""COMPUTED_VALUE"""),5339.0)</f>
        <v>5339</v>
      </c>
      <c r="G16729" s="4">
        <f>IFERROR(__xludf.DUMMYFUNCTION("""COMPUTED_VALUE"""),40.0)</f>
        <v>40</v>
      </c>
      <c r="H16729" s="4"/>
      <c r="I16729" s="4"/>
    </row>
    <row r="16730">
      <c r="A16730" s="4" t="str">
        <f>IFERROR(__xludf.DUMMYFUNCTION("""COMPUTED_VALUE"""),"cas_hmw")</f>
        <v>cas_hmw</v>
      </c>
      <c r="B16730" s="5">
        <f>IFERROR(__xludf.DUMMYFUNCTION("""COMPUTED_VALUE"""),44737.0)</f>
        <v>44737</v>
      </c>
      <c r="C16730" s="6">
        <f>IFERROR(__xludf.DUMMYFUNCTION("""COMPUTED_VALUE"""),0.32728009259153623)</f>
        <v>0.3272800926</v>
      </c>
      <c r="D16730" s="4">
        <f>IFERROR(__xludf.DUMMYFUNCTION("""COMPUTED_VALUE"""),13.00189)</f>
        <v>13.00189</v>
      </c>
      <c r="E16730" s="4">
        <f>IFERROR(__xludf.DUMMYFUNCTION("""COMPUTED_VALUE"""),80.200083)</f>
        <v>80.200083</v>
      </c>
      <c r="F16730" s="4">
        <f>IFERROR(__xludf.DUMMYFUNCTION("""COMPUTED_VALUE"""),5339.0)</f>
        <v>5339</v>
      </c>
      <c r="G16730" s="4">
        <f>IFERROR(__xludf.DUMMYFUNCTION("""COMPUTED_VALUE"""),47.0)</f>
        <v>47</v>
      </c>
      <c r="H16730" s="4"/>
      <c r="I16730" s="4"/>
    </row>
    <row r="16731">
      <c r="A16731" s="4" t="str">
        <f>IFERROR(__xludf.DUMMYFUNCTION("""COMPUTED_VALUE"""),"cas_hmw")</f>
        <v>cas_hmw</v>
      </c>
      <c r="B16731" s="5">
        <f>IFERROR(__xludf.DUMMYFUNCTION("""COMPUTED_VALUE"""),44737.0)</f>
        <v>44737</v>
      </c>
      <c r="C16731" s="6">
        <f>IFERROR(__xludf.DUMMYFUNCTION("""COMPUTED_VALUE"""),0.32745370370321325)</f>
        <v>0.3274537037</v>
      </c>
      <c r="D16731" s="4">
        <f>IFERROR(__xludf.DUMMYFUNCTION("""COMPUTED_VALUE"""),13.001926)</f>
        <v>13.001926</v>
      </c>
      <c r="E16731" s="4">
        <f>IFERROR(__xludf.DUMMYFUNCTION("""COMPUTED_VALUE"""),80.197955)</f>
        <v>80.197955</v>
      </c>
      <c r="F16731" s="4">
        <f>IFERROR(__xludf.DUMMYFUNCTION("""COMPUTED_VALUE"""),5339.0)</f>
        <v>5339</v>
      </c>
      <c r="G16731" s="4">
        <f>IFERROR(__xludf.DUMMYFUNCTION("""COMPUTED_VALUE"""),40.0)</f>
        <v>40</v>
      </c>
      <c r="H16731" s="4"/>
      <c r="I16731" s="4"/>
    </row>
    <row r="16732">
      <c r="A16732" s="4" t="str">
        <f>IFERROR(__xludf.DUMMYFUNCTION("""COMPUTED_VALUE"""),"cas_hmw")</f>
        <v>cas_hmw</v>
      </c>
      <c r="B16732" s="5">
        <f>IFERROR(__xludf.DUMMYFUNCTION("""COMPUTED_VALUE"""),44737.0)</f>
        <v>44737</v>
      </c>
      <c r="C16732" s="6">
        <f>IFERROR(__xludf.DUMMYFUNCTION("""COMPUTED_VALUE"""),0.3276157407417486)</f>
        <v>0.3276157407</v>
      </c>
      <c r="D16732" s="4">
        <f>IFERROR(__xludf.DUMMYFUNCTION("""COMPUTED_VALUE"""),13.001897)</f>
        <v>13.001897</v>
      </c>
      <c r="E16732" s="4">
        <f>IFERROR(__xludf.DUMMYFUNCTION("""COMPUTED_VALUE"""),80.196825)</f>
        <v>80.196825</v>
      </c>
      <c r="F16732" s="4">
        <f>IFERROR(__xludf.DUMMYFUNCTION("""COMPUTED_VALUE"""),5339.0)</f>
        <v>5339</v>
      </c>
      <c r="G16732" s="4">
        <f>IFERROR(__xludf.DUMMYFUNCTION("""COMPUTED_VALUE"""),37.0)</f>
        <v>37</v>
      </c>
      <c r="H16732" s="4"/>
      <c r="I16732" s="4"/>
    </row>
    <row r="16733">
      <c r="A16733" s="4" t="str">
        <f>IFERROR(__xludf.DUMMYFUNCTION("""COMPUTED_VALUE"""),"cas_hmw")</f>
        <v>cas_hmw</v>
      </c>
      <c r="B16733" s="5">
        <f>IFERROR(__xludf.DUMMYFUNCTION("""COMPUTED_VALUE"""),44737.0)</f>
        <v>44737</v>
      </c>
      <c r="C16733" s="6">
        <f>IFERROR(__xludf.DUMMYFUNCTION("""COMPUTED_VALUE"""),0.32762731481489027)</f>
        <v>0.3276273148</v>
      </c>
      <c r="D16733" s="4">
        <f>IFERROR(__xludf.DUMMYFUNCTION("""COMPUTED_VALUE"""),13.001897)</f>
        <v>13.001897</v>
      </c>
      <c r="E16733" s="4">
        <f>IFERROR(__xludf.DUMMYFUNCTION("""COMPUTED_VALUE"""),80.196825)</f>
        <v>80.196825</v>
      </c>
      <c r="F16733" s="4">
        <f>IFERROR(__xludf.DUMMYFUNCTION("""COMPUTED_VALUE"""),5339.0)</f>
        <v>5339</v>
      </c>
      <c r="G16733" s="4">
        <f>IFERROR(__xludf.DUMMYFUNCTION("""COMPUTED_VALUE"""),37.0)</f>
        <v>37</v>
      </c>
      <c r="H16733" s="4"/>
      <c r="I16733" s="4"/>
    </row>
    <row r="16734">
      <c r="A16734" s="4" t="str">
        <f>IFERROR(__xludf.DUMMYFUNCTION("""COMPUTED_VALUE"""),"cas_hmw")</f>
        <v>cas_hmw</v>
      </c>
      <c r="B16734" s="5">
        <f>IFERROR(__xludf.DUMMYFUNCTION("""COMPUTED_VALUE"""),44737.0)</f>
        <v>44737</v>
      </c>
      <c r="C16734" s="6">
        <f>IFERROR(__xludf.DUMMYFUNCTION("""COMPUTED_VALUE"""),0.32789351851897663)</f>
        <v>0.3278935185</v>
      </c>
      <c r="D16734" s="4">
        <f>IFERROR(__xludf.DUMMYFUNCTION("""COMPUTED_VALUE"""),13.000207)</f>
        <v>13.000207</v>
      </c>
      <c r="E16734" s="4">
        <f>IFERROR(__xludf.DUMMYFUNCTION("""COMPUTED_VALUE"""),80.194522)</f>
        <v>80.194522</v>
      </c>
      <c r="F16734" s="4">
        <f>IFERROR(__xludf.DUMMYFUNCTION("""COMPUTED_VALUE"""),5339.0)</f>
        <v>5339</v>
      </c>
      <c r="G16734" s="4">
        <f>IFERROR(__xludf.DUMMYFUNCTION("""COMPUTED_VALUE"""),48.0)</f>
        <v>48</v>
      </c>
      <c r="H16734" s="4"/>
      <c r="I16734" s="4"/>
    </row>
    <row r="16735">
      <c r="A16735" s="4" t="str">
        <f>IFERROR(__xludf.DUMMYFUNCTION("""COMPUTED_VALUE"""),"cas_hmw")</f>
        <v>cas_hmw</v>
      </c>
      <c r="B16735" s="5">
        <f>IFERROR(__xludf.DUMMYFUNCTION("""COMPUTED_VALUE"""),44737.0)</f>
        <v>44737</v>
      </c>
      <c r="C16735" s="6">
        <f>IFERROR(__xludf.DUMMYFUNCTION("""COMPUTED_VALUE"""),0.328055555553874)</f>
        <v>0.3280555556</v>
      </c>
      <c r="D16735" s="4">
        <f>IFERROR(__xludf.DUMMYFUNCTION("""COMPUTED_VALUE"""),12.999513)</f>
        <v>12.999513</v>
      </c>
      <c r="E16735" s="4">
        <f>IFERROR(__xludf.DUMMYFUNCTION("""COMPUTED_VALUE"""),80.193635)</f>
        <v>80.193635</v>
      </c>
      <c r="F16735" s="4">
        <f>IFERROR(__xludf.DUMMYFUNCTION("""COMPUTED_VALUE"""),5339.0)</f>
        <v>5339</v>
      </c>
      <c r="G16735" s="4">
        <f>IFERROR(__xludf.DUMMYFUNCTION("""COMPUTED_VALUE"""),43.0)</f>
        <v>43</v>
      </c>
      <c r="H16735" s="4"/>
      <c r="I16735" s="4"/>
    </row>
    <row r="16736">
      <c r="A16736" s="4" t="str">
        <f>IFERROR(__xludf.DUMMYFUNCTION("""COMPUTED_VALUE"""),"cas_hmw")</f>
        <v>cas_hmw</v>
      </c>
      <c r="B16736" s="5">
        <f>IFERROR(__xludf.DUMMYFUNCTION("""COMPUTED_VALUE"""),44737.0)</f>
        <v>44737</v>
      </c>
      <c r="C16736" s="6">
        <f>IFERROR(__xludf.DUMMYFUNCTION("""COMPUTED_VALUE"""),0.3281134259268583)</f>
        <v>0.3281134259</v>
      </c>
      <c r="D16736" s="4">
        <f>IFERROR(__xludf.DUMMYFUNCTION("""COMPUTED_VALUE"""),12.712954)</f>
        <v>12.712954</v>
      </c>
      <c r="E16736" s="4">
        <f>IFERROR(__xludf.DUMMYFUNCTION("""COMPUTED_VALUE"""),79.979708)</f>
        <v>79.979708</v>
      </c>
      <c r="F16736" s="4">
        <f>IFERROR(__xludf.DUMMYFUNCTION("""COMPUTED_VALUE"""),2846.0)</f>
        <v>2846</v>
      </c>
      <c r="G16736" s="4">
        <f>IFERROR(__xludf.DUMMYFUNCTION("""COMPUTED_VALUE"""),57.0)</f>
        <v>57</v>
      </c>
      <c r="H16736" s="4"/>
      <c r="I16736" s="4"/>
    </row>
    <row r="16737">
      <c r="A16737" s="4" t="str">
        <f>IFERROR(__xludf.DUMMYFUNCTION("""COMPUTED_VALUE"""),"cas_hmw")</f>
        <v>cas_hmw</v>
      </c>
      <c r="B16737" s="5">
        <f>IFERROR(__xludf.DUMMYFUNCTION("""COMPUTED_VALUE"""),44737.0)</f>
        <v>44737</v>
      </c>
      <c r="C16737" s="6">
        <f>IFERROR(__xludf.DUMMYFUNCTION("""COMPUTED_VALUE"""),0.3284490740734327)</f>
        <v>0.3284490741</v>
      </c>
      <c r="D16737" s="4">
        <f>IFERROR(__xludf.DUMMYFUNCTION("""COMPUTED_VALUE"""),12.996321)</f>
        <v>12.996321</v>
      </c>
      <c r="E16737" s="4">
        <f>IFERROR(__xludf.DUMMYFUNCTION("""COMPUTED_VALUE"""),80.18965)</f>
        <v>80.18965</v>
      </c>
      <c r="F16737" s="4">
        <f>IFERROR(__xludf.DUMMYFUNCTION("""COMPUTED_VALUE"""),5339.0)</f>
        <v>5339</v>
      </c>
      <c r="G16737" s="4">
        <f>IFERROR(__xludf.DUMMYFUNCTION("""COMPUTED_VALUE"""),48.0)</f>
        <v>48</v>
      </c>
      <c r="H16737" s="4"/>
      <c r="I16737" s="4"/>
    </row>
    <row r="16738">
      <c r="A16738" s="4" t="str">
        <f>IFERROR(__xludf.DUMMYFUNCTION("""COMPUTED_VALUE"""),"cas_hmw")</f>
        <v>cas_hmw</v>
      </c>
      <c r="B16738" s="5">
        <f>IFERROR(__xludf.DUMMYFUNCTION("""COMPUTED_VALUE"""),44737.0)</f>
        <v>44737</v>
      </c>
      <c r="C16738" s="6">
        <f>IFERROR(__xludf.DUMMYFUNCTION("""COMPUTED_VALUE"""),0.32850694444277906)</f>
        <v>0.3285069444</v>
      </c>
      <c r="D16738" s="4">
        <f>IFERROR(__xludf.DUMMYFUNCTION("""COMPUTED_VALUE"""),12.996321)</f>
        <v>12.996321</v>
      </c>
      <c r="E16738" s="4">
        <f>IFERROR(__xludf.DUMMYFUNCTION("""COMPUTED_VALUE"""),80.18965)</f>
        <v>80.18965</v>
      </c>
      <c r="F16738" s="4">
        <f>IFERROR(__xludf.DUMMYFUNCTION("""COMPUTED_VALUE"""),5339.0)</f>
        <v>5339</v>
      </c>
      <c r="G16738" s="4">
        <f>IFERROR(__xludf.DUMMYFUNCTION("""COMPUTED_VALUE"""),48.0)</f>
        <v>48</v>
      </c>
      <c r="H16738" s="4"/>
      <c r="I16738" s="4"/>
    </row>
    <row r="16739">
      <c r="A16739" s="4" t="str">
        <f>IFERROR(__xludf.DUMMYFUNCTION("""COMPUTED_VALUE"""),"cas_hmw")</f>
        <v>cas_hmw</v>
      </c>
      <c r="B16739" s="5">
        <f>IFERROR(__xludf.DUMMYFUNCTION("""COMPUTED_VALUE"""),44737.0)</f>
        <v>44737</v>
      </c>
      <c r="C16739" s="6">
        <f>IFERROR(__xludf.DUMMYFUNCTION("""COMPUTED_VALUE"""),0.32862268518510973)</f>
        <v>0.3286226852</v>
      </c>
      <c r="D16739" s="4">
        <f>IFERROR(__xludf.DUMMYFUNCTION("""COMPUTED_VALUE"""),12.995525)</f>
        <v>12.995525</v>
      </c>
      <c r="E16739" s="4">
        <f>IFERROR(__xludf.DUMMYFUNCTION("""COMPUTED_VALUE"""),80.18858)</f>
        <v>80.18858</v>
      </c>
      <c r="F16739" s="4">
        <f>IFERROR(__xludf.DUMMYFUNCTION("""COMPUTED_VALUE"""),5339.0)</f>
        <v>5339</v>
      </c>
      <c r="G16739" s="4">
        <f>IFERROR(__xludf.DUMMYFUNCTION("""COMPUTED_VALUE"""),54.0)</f>
        <v>54</v>
      </c>
      <c r="H16739" s="4"/>
      <c r="I16739" s="4"/>
    </row>
    <row r="16740">
      <c r="A16740" s="4" t="str">
        <f>IFERROR(__xludf.DUMMYFUNCTION("""COMPUTED_VALUE"""),"cas_hmw")</f>
        <v>cas_hmw</v>
      </c>
      <c r="B16740" s="5">
        <f>IFERROR(__xludf.DUMMYFUNCTION("""COMPUTED_VALUE"""),44737.0)</f>
        <v>44737</v>
      </c>
      <c r="C16740" s="6">
        <f>IFERROR(__xludf.DUMMYFUNCTION("""COMPUTED_VALUE"""),0.32876157407372375)</f>
        <v>0.3287615741</v>
      </c>
      <c r="D16740" s="4">
        <f>IFERROR(__xludf.DUMMYFUNCTION("""COMPUTED_VALUE"""),12.994982)</f>
        <v>12.994982</v>
      </c>
      <c r="E16740" s="4">
        <f>IFERROR(__xludf.DUMMYFUNCTION("""COMPUTED_VALUE"""),80.187497)</f>
        <v>80.187497</v>
      </c>
      <c r="F16740" s="4">
        <f>IFERROR(__xludf.DUMMYFUNCTION("""COMPUTED_VALUE"""),5339.0)</f>
        <v>5339</v>
      </c>
      <c r="G16740" s="4">
        <f>IFERROR(__xludf.DUMMYFUNCTION("""COMPUTED_VALUE"""),45.0)</f>
        <v>45</v>
      </c>
      <c r="H16740" s="4"/>
      <c r="I16740" s="4"/>
    </row>
    <row r="16741">
      <c r="A16741" s="4" t="str">
        <f>IFERROR(__xludf.DUMMYFUNCTION("""COMPUTED_VALUE"""),"cas_hmw")</f>
        <v>cas_hmw</v>
      </c>
      <c r="B16741" s="5">
        <f>IFERROR(__xludf.DUMMYFUNCTION("""COMPUTED_VALUE"""),44737.0)</f>
        <v>44737</v>
      </c>
      <c r="C16741" s="6">
        <f>IFERROR(__xludf.DUMMYFUNCTION("""COMPUTED_VALUE"""),0.32898148148160544)</f>
        <v>0.3289814815</v>
      </c>
      <c r="D16741" s="4">
        <f>IFERROR(__xludf.DUMMYFUNCTION("""COMPUTED_VALUE"""),12.994281)</f>
        <v>12.994281</v>
      </c>
      <c r="E16741" s="4">
        <f>IFERROR(__xludf.DUMMYFUNCTION("""COMPUTED_VALUE"""),80.186121)</f>
        <v>80.186121</v>
      </c>
      <c r="F16741" s="4">
        <f>IFERROR(__xludf.DUMMYFUNCTION("""COMPUTED_VALUE"""),5339.0)</f>
        <v>5339</v>
      </c>
      <c r="G16741" s="4">
        <f>IFERROR(__xludf.DUMMYFUNCTION("""COMPUTED_VALUE"""),23.0)</f>
        <v>23</v>
      </c>
      <c r="H16741" s="4"/>
      <c r="I16741" s="4"/>
    </row>
    <row r="16742">
      <c r="A16742" s="4" t="str">
        <f>IFERROR(__xludf.DUMMYFUNCTION("""COMPUTED_VALUE"""),"cas_hmw")</f>
        <v>cas_hmw</v>
      </c>
      <c r="B16742" s="5">
        <f>IFERROR(__xludf.DUMMYFUNCTION("""COMPUTED_VALUE"""),44737.0)</f>
        <v>44737</v>
      </c>
      <c r="C16742" s="6">
        <f>IFERROR(__xludf.DUMMYFUNCTION("""COMPUTED_VALUE"""),0.3289930555547471)</f>
        <v>0.3289930556</v>
      </c>
      <c r="D16742" s="4">
        <f>IFERROR(__xludf.DUMMYFUNCTION("""COMPUTED_VALUE"""),12.994281)</f>
        <v>12.994281</v>
      </c>
      <c r="E16742" s="4">
        <f>IFERROR(__xludf.DUMMYFUNCTION("""COMPUTED_VALUE"""),80.186121)</f>
        <v>80.186121</v>
      </c>
      <c r="F16742" s="4">
        <f>IFERROR(__xludf.DUMMYFUNCTION("""COMPUTED_VALUE"""),5339.0)</f>
        <v>5339</v>
      </c>
      <c r="G16742" s="4">
        <f>IFERROR(__xludf.DUMMYFUNCTION("""COMPUTED_VALUE"""),23.0)</f>
        <v>23</v>
      </c>
      <c r="H16742" s="4"/>
      <c r="I16742" s="4"/>
    </row>
    <row r="16743">
      <c r="A16743" s="4" t="str">
        <f>IFERROR(__xludf.DUMMYFUNCTION("""COMPUTED_VALUE"""),"cas_hmw")</f>
        <v>cas_hmw</v>
      </c>
      <c r="B16743" s="5">
        <f>IFERROR(__xludf.DUMMYFUNCTION("""COMPUTED_VALUE"""),44737.0)</f>
        <v>44737</v>
      </c>
      <c r="C16743" s="6">
        <f>IFERROR(__xludf.DUMMYFUNCTION("""COMPUTED_VALUE"""),0.3290972222239361)</f>
        <v>0.3290972222</v>
      </c>
      <c r="D16743" s="4">
        <f>IFERROR(__xludf.DUMMYFUNCTION("""COMPUTED_VALUE"""),12.993968)</f>
        <v>12.993968</v>
      </c>
      <c r="E16743" s="4">
        <f>IFERROR(__xludf.DUMMYFUNCTION("""COMPUTED_VALUE"""),80.185524)</f>
        <v>80.185524</v>
      </c>
      <c r="F16743" s="4">
        <f>IFERROR(__xludf.DUMMYFUNCTION("""COMPUTED_VALUE"""),5339.0)</f>
        <v>5339</v>
      </c>
      <c r="G16743" s="4">
        <f>IFERROR(__xludf.DUMMYFUNCTION("""COMPUTED_VALUE"""),31.0)</f>
        <v>31</v>
      </c>
      <c r="H16743" s="4"/>
      <c r="I16743" s="4"/>
    </row>
    <row r="16744">
      <c r="A16744" s="4" t="str">
        <f>IFERROR(__xludf.DUMMYFUNCTION("""COMPUTED_VALUE"""),"cas_hmw")</f>
        <v>cas_hmw</v>
      </c>
      <c r="B16744" s="5">
        <f>IFERROR(__xludf.DUMMYFUNCTION("""COMPUTED_VALUE"""),44737.0)</f>
        <v>44737</v>
      </c>
      <c r="C16744" s="6">
        <f>IFERROR(__xludf.DUMMYFUNCTION("""COMPUTED_VALUE"""),0.32989583333255723)</f>
        <v>0.3298958333</v>
      </c>
      <c r="D16744" s="4">
        <f>IFERROR(__xludf.DUMMYFUNCTION("""COMPUTED_VALUE"""),12.989523)</f>
        <v>12.989523</v>
      </c>
      <c r="E16744" s="4">
        <f>IFERROR(__xludf.DUMMYFUNCTION("""COMPUTED_VALUE"""),80.17902)</f>
        <v>80.17902</v>
      </c>
      <c r="F16744" s="4">
        <f>IFERROR(__xludf.DUMMYFUNCTION("""COMPUTED_VALUE"""),5339.0)</f>
        <v>5339</v>
      </c>
      <c r="G16744" s="4">
        <f>IFERROR(__xludf.DUMMYFUNCTION("""COMPUTED_VALUE"""),39.0)</f>
        <v>39</v>
      </c>
      <c r="H16744" s="4"/>
      <c r="I16744" s="4"/>
    </row>
    <row r="16745">
      <c r="A16745" s="4" t="str">
        <f>IFERROR(__xludf.DUMMYFUNCTION("""COMPUTED_VALUE"""),"cas_hmw")</f>
        <v>cas_hmw</v>
      </c>
      <c r="B16745" s="5">
        <f>IFERROR(__xludf.DUMMYFUNCTION("""COMPUTED_VALUE"""),44737.0)</f>
        <v>44737</v>
      </c>
      <c r="C16745" s="6">
        <f>IFERROR(__xludf.DUMMYFUNCTION("""COMPUTED_VALUE"""),0.3303009259252576)</f>
        <v>0.3303009259</v>
      </c>
      <c r="D16745" s="4">
        <f>IFERROR(__xludf.DUMMYFUNCTION("""COMPUTED_VALUE"""),12.987309)</f>
        <v>12.987309</v>
      </c>
      <c r="E16745" s="4">
        <f>IFERROR(__xludf.DUMMYFUNCTION("""COMPUTED_VALUE"""),80.176058)</f>
        <v>80.176058</v>
      </c>
      <c r="F16745" s="4">
        <f>IFERROR(__xludf.DUMMYFUNCTION("""COMPUTED_VALUE"""),5339.0)</f>
        <v>5339</v>
      </c>
      <c r="G16745" s="4">
        <f>IFERROR(__xludf.DUMMYFUNCTION("""COMPUTED_VALUE"""),36.0)</f>
        <v>36</v>
      </c>
      <c r="H16745" s="4"/>
      <c r="I16745" s="4"/>
    </row>
    <row r="16746">
      <c r="A16746" s="4" t="str">
        <f>IFERROR(__xludf.DUMMYFUNCTION("""COMPUTED_VALUE"""),"cas_hmw")</f>
        <v>cas_hmw</v>
      </c>
      <c r="B16746" s="5">
        <f>IFERROR(__xludf.DUMMYFUNCTION("""COMPUTED_VALUE"""),44737.0)</f>
        <v>44737</v>
      </c>
      <c r="C16746" s="6">
        <f>IFERROR(__xludf.DUMMYFUNCTION("""COMPUTED_VALUE"""),0.3311805555567844)</f>
        <v>0.3311805556</v>
      </c>
      <c r="D16746" s="4">
        <f>IFERROR(__xludf.DUMMYFUNCTION("""COMPUTED_VALUE"""),12.985737)</f>
        <v>12.985737</v>
      </c>
      <c r="E16746" s="4">
        <f>IFERROR(__xludf.DUMMYFUNCTION("""COMPUTED_VALUE"""),80.17377)</f>
        <v>80.17377</v>
      </c>
      <c r="F16746" s="4">
        <f>IFERROR(__xludf.DUMMYFUNCTION("""COMPUTED_VALUE"""),5339.0)</f>
        <v>5339</v>
      </c>
      <c r="G16746" s="4">
        <f>IFERROR(__xludf.DUMMYFUNCTION("""COMPUTED_VALUE"""),48.0)</f>
        <v>48</v>
      </c>
      <c r="H16746" s="4"/>
      <c r="I16746" s="4"/>
    </row>
    <row r="16747">
      <c r="A16747" s="4" t="str">
        <f>IFERROR(__xludf.DUMMYFUNCTION("""COMPUTED_VALUE"""),"cas_hmw")</f>
        <v>cas_hmw</v>
      </c>
      <c r="B16747" s="5">
        <f>IFERROR(__xludf.DUMMYFUNCTION("""COMPUTED_VALUE"""),44737.0)</f>
        <v>44737</v>
      </c>
      <c r="C16747" s="6">
        <f>IFERROR(__xludf.DUMMYFUNCTION("""COMPUTED_VALUE"""),0.3316782407418941)</f>
        <v>0.3316782407</v>
      </c>
      <c r="D16747" s="4">
        <f>IFERROR(__xludf.DUMMYFUNCTION("""COMPUTED_VALUE"""),12.982728)</f>
        <v>12.982728</v>
      </c>
      <c r="E16747" s="4">
        <f>IFERROR(__xludf.DUMMYFUNCTION("""COMPUTED_VALUE"""),80.168951)</f>
        <v>80.168951</v>
      </c>
      <c r="F16747" s="4">
        <f>IFERROR(__xludf.DUMMYFUNCTION("""COMPUTED_VALUE"""),5339.0)</f>
        <v>5339</v>
      </c>
      <c r="G16747" s="4">
        <f>IFERROR(__xludf.DUMMYFUNCTION("""COMPUTED_VALUE"""),55.0)</f>
        <v>55</v>
      </c>
      <c r="H16747" s="4"/>
      <c r="I16747" s="4"/>
    </row>
    <row r="16748">
      <c r="A16748" s="4" t="str">
        <f>IFERROR(__xludf.DUMMYFUNCTION("""COMPUTED_VALUE"""),"cas_hmw")</f>
        <v>cas_hmw</v>
      </c>
      <c r="B16748" s="5">
        <f>IFERROR(__xludf.DUMMYFUNCTION("""COMPUTED_VALUE"""),44737.0)</f>
        <v>44737</v>
      </c>
      <c r="C16748" s="6">
        <f>IFERROR(__xludf.DUMMYFUNCTION("""COMPUTED_VALUE"""),0.3322685185194132)</f>
        <v>0.3322685185</v>
      </c>
      <c r="D16748" s="4">
        <f>IFERROR(__xludf.DUMMYFUNCTION("""COMPUTED_VALUE"""),12.979127)</f>
        <v>12.979127</v>
      </c>
      <c r="E16748" s="4">
        <f>IFERROR(__xludf.DUMMYFUNCTION("""COMPUTED_VALUE"""),80.161642)</f>
        <v>80.161642</v>
      </c>
      <c r="F16748" s="4">
        <f>IFERROR(__xludf.DUMMYFUNCTION("""COMPUTED_VALUE"""),5339.0)</f>
        <v>5339</v>
      </c>
      <c r="G16748" s="4">
        <f>IFERROR(__xludf.DUMMYFUNCTION("""COMPUTED_VALUE"""),54.0)</f>
        <v>54</v>
      </c>
      <c r="H16748" s="4"/>
      <c r="I16748" s="4"/>
    </row>
    <row r="16749">
      <c r="A16749" s="4" t="str">
        <f>IFERROR(__xludf.DUMMYFUNCTION("""COMPUTED_VALUE"""),"cas_hmw")</f>
        <v>cas_hmw</v>
      </c>
      <c r="B16749" s="5">
        <f>IFERROR(__xludf.DUMMYFUNCTION("""COMPUTED_VALUE"""),44737.0)</f>
        <v>44737</v>
      </c>
      <c r="C16749" s="6">
        <f>IFERROR(__xludf.DUMMYFUNCTION("""COMPUTED_VALUE"""),0.33271990740831825)</f>
        <v>0.3327199074</v>
      </c>
      <c r="D16749" s="4">
        <f>IFERROR(__xludf.DUMMYFUNCTION("""COMPUTED_VALUE"""),12.976614)</f>
        <v>12.976614</v>
      </c>
      <c r="E16749" s="4">
        <f>IFERROR(__xludf.DUMMYFUNCTION("""COMPUTED_VALUE"""),80.15798)</f>
        <v>80.15798</v>
      </c>
      <c r="F16749" s="4">
        <f>IFERROR(__xludf.DUMMYFUNCTION("""COMPUTED_VALUE"""),5339.0)</f>
        <v>5339</v>
      </c>
      <c r="G16749" s="4">
        <f>IFERROR(__xludf.DUMMYFUNCTION("""COMPUTED_VALUE"""),58.0)</f>
        <v>58</v>
      </c>
      <c r="H16749" s="4"/>
      <c r="I16749" s="4"/>
    </row>
    <row r="16750">
      <c r="A16750" s="4" t="str">
        <f>IFERROR(__xludf.DUMMYFUNCTION("""COMPUTED_VALUE"""),"cas_hmw")</f>
        <v>cas_hmw</v>
      </c>
      <c r="B16750" s="5">
        <f>IFERROR(__xludf.DUMMYFUNCTION("""COMPUTED_VALUE"""),44737.0)</f>
        <v>44737</v>
      </c>
      <c r="C16750" s="6">
        <f>IFERROR(__xludf.DUMMYFUNCTION("""COMPUTED_VALUE"""),0.3337152777785377)</f>
        <v>0.3337152778</v>
      </c>
      <c r="D16750" s="4">
        <f>IFERROR(__xludf.DUMMYFUNCTION("""COMPUTED_VALUE"""),12.755054)</f>
        <v>12.755054</v>
      </c>
      <c r="E16750" s="4">
        <f>IFERROR(__xludf.DUMMYFUNCTION("""COMPUTED_VALUE"""),80.001171)</f>
        <v>80.001171</v>
      </c>
      <c r="F16750" s="4">
        <f>IFERROR(__xludf.DUMMYFUNCTION("""COMPUTED_VALUE"""),2846.0)</f>
        <v>2846</v>
      </c>
      <c r="G16750" s="4">
        <f>IFERROR(__xludf.DUMMYFUNCTION("""COMPUTED_VALUE"""),57.0)</f>
        <v>57</v>
      </c>
      <c r="H16750" s="4"/>
      <c r="I16750" s="4"/>
    </row>
    <row r="16751">
      <c r="A16751" s="4" t="str">
        <f>IFERROR(__xludf.DUMMYFUNCTION("""COMPUTED_VALUE"""),"cas_hmw")</f>
        <v>cas_hmw</v>
      </c>
      <c r="B16751" s="5">
        <f>IFERROR(__xludf.DUMMYFUNCTION("""COMPUTED_VALUE"""),44737.0)</f>
        <v>44737</v>
      </c>
      <c r="C16751" s="6">
        <f>IFERROR(__xludf.DUMMYFUNCTION("""COMPUTED_VALUE"""),0.33475694444496185)</f>
        <v>0.3347569444</v>
      </c>
      <c r="D16751" s="4">
        <f>IFERROR(__xludf.DUMMYFUNCTION("""COMPUTED_VALUE"""),12.764822)</f>
        <v>12.764822</v>
      </c>
      <c r="E16751" s="4">
        <f>IFERROR(__xludf.DUMMYFUNCTION("""COMPUTED_VALUE"""),80.004696)</f>
        <v>80.004696</v>
      </c>
      <c r="F16751" s="4">
        <f>IFERROR(__xludf.DUMMYFUNCTION("""COMPUTED_VALUE"""),2846.0)</f>
        <v>2846</v>
      </c>
      <c r="G16751" s="4">
        <f>IFERROR(__xludf.DUMMYFUNCTION("""COMPUTED_VALUE"""),42.0)</f>
        <v>42</v>
      </c>
      <c r="H16751" s="4"/>
      <c r="I16751" s="4"/>
    </row>
    <row r="16752">
      <c r="A16752" s="4" t="str">
        <f>IFERROR(__xludf.DUMMYFUNCTION("""COMPUTED_VALUE"""),"cas_hmw")</f>
        <v>cas_hmw</v>
      </c>
      <c r="B16752" s="5">
        <f>IFERROR(__xludf.DUMMYFUNCTION("""COMPUTED_VALUE"""),44737.0)</f>
        <v>44737</v>
      </c>
      <c r="C16752" s="6">
        <f>IFERROR(__xludf.DUMMYFUNCTION("""COMPUTED_VALUE"""),0.3352199074070086)</f>
        <v>0.3352199074</v>
      </c>
      <c r="D16752" s="4">
        <f>IFERROR(__xludf.DUMMYFUNCTION("""COMPUTED_VALUE"""),12.769252)</f>
        <v>12.769252</v>
      </c>
      <c r="E16752" s="4">
        <f>IFERROR(__xludf.DUMMYFUNCTION("""COMPUTED_VALUE"""),80.006733)</f>
        <v>80.006733</v>
      </c>
      <c r="F16752" s="4">
        <f>IFERROR(__xludf.DUMMYFUNCTION("""COMPUTED_VALUE"""),2846.0)</f>
        <v>2846</v>
      </c>
      <c r="G16752" s="4">
        <f>IFERROR(__xludf.DUMMYFUNCTION("""COMPUTED_VALUE"""),53.0)</f>
        <v>53</v>
      </c>
      <c r="H16752" s="4"/>
      <c r="I16752" s="4"/>
    </row>
    <row r="16753">
      <c r="A16753" s="4" t="str">
        <f>IFERROR(__xludf.DUMMYFUNCTION("""COMPUTED_VALUE"""),"cas_hmw")</f>
        <v>cas_hmw</v>
      </c>
      <c r="B16753" s="5">
        <f>IFERROR(__xludf.DUMMYFUNCTION("""COMPUTED_VALUE"""),44737.0)</f>
        <v>44737</v>
      </c>
      <c r="C16753" s="6">
        <f>IFERROR(__xludf.DUMMYFUNCTION("""COMPUTED_VALUE"""),0.3356018518534256)</f>
        <v>0.3356018519</v>
      </c>
      <c r="D16753" s="4">
        <f>IFERROR(__xludf.DUMMYFUNCTION("""COMPUTED_VALUE"""),12.967214)</f>
        <v>12.967214</v>
      </c>
      <c r="E16753" s="4">
        <f>IFERROR(__xludf.DUMMYFUNCTION("""COMPUTED_VALUE"""),80.14909)</f>
        <v>80.14909</v>
      </c>
      <c r="F16753" s="4">
        <f>IFERROR(__xludf.DUMMYFUNCTION("""COMPUTED_VALUE"""),5339.0)</f>
        <v>5339</v>
      </c>
      <c r="G16753" s="4">
        <f>IFERROR(__xludf.DUMMYFUNCTION("""COMPUTED_VALUE"""),29.0)</f>
        <v>29</v>
      </c>
      <c r="H16753" s="4"/>
      <c r="I16753" s="4"/>
    </row>
    <row r="16754">
      <c r="A16754" s="4" t="str">
        <f>IFERROR(__xludf.DUMMYFUNCTION("""COMPUTED_VALUE"""),"cas_hmw")</f>
        <v>cas_hmw</v>
      </c>
      <c r="B16754" s="5">
        <f>IFERROR(__xludf.DUMMYFUNCTION("""COMPUTED_VALUE"""),44737.0)</f>
        <v>44737</v>
      </c>
      <c r="C16754" s="6">
        <f>IFERROR(__xludf.DUMMYFUNCTION("""COMPUTED_VALUE"""),0.33584490740759065)</f>
        <v>0.3358449074</v>
      </c>
      <c r="D16754" s="4">
        <f>IFERROR(__xludf.DUMMYFUNCTION("""COMPUTED_VALUE"""),12.96568)</f>
        <v>12.96568</v>
      </c>
      <c r="E16754" s="4">
        <f>IFERROR(__xludf.DUMMYFUNCTION("""COMPUTED_VALUE"""),80.148344)</f>
        <v>80.148344</v>
      </c>
      <c r="F16754" s="4">
        <f>IFERROR(__xludf.DUMMYFUNCTION("""COMPUTED_VALUE"""),5339.0)</f>
        <v>5339</v>
      </c>
      <c r="G16754" s="4">
        <f>IFERROR(__xludf.DUMMYFUNCTION("""COMPUTED_VALUE"""),35.0)</f>
        <v>35</v>
      </c>
      <c r="H16754" s="4"/>
      <c r="I16754" s="4"/>
    </row>
    <row r="16755">
      <c r="A16755" s="4" t="str">
        <f>IFERROR(__xludf.DUMMYFUNCTION("""COMPUTED_VALUE"""),"cas_hmw")</f>
        <v>cas_hmw</v>
      </c>
      <c r="B16755" s="5">
        <f>IFERROR(__xludf.DUMMYFUNCTION("""COMPUTED_VALUE"""),44737.0)</f>
        <v>44737</v>
      </c>
      <c r="C16755" s="6">
        <f>IFERROR(__xludf.DUMMYFUNCTION("""COMPUTED_VALUE"""),0.3369907407395658)</f>
        <v>0.3369907407</v>
      </c>
      <c r="D16755" s="4">
        <f>IFERROR(__xludf.DUMMYFUNCTION("""COMPUTED_VALUE"""),12.960722)</f>
        <v>12.960722</v>
      </c>
      <c r="E16755" s="4">
        <f>IFERROR(__xludf.DUMMYFUNCTION("""COMPUTED_VALUE"""),80.14564)</f>
        <v>80.14564</v>
      </c>
      <c r="F16755" s="4">
        <f>IFERROR(__xludf.DUMMYFUNCTION("""COMPUTED_VALUE"""),5339.0)</f>
        <v>5339</v>
      </c>
      <c r="G16755" s="4">
        <f>IFERROR(__xludf.DUMMYFUNCTION("""COMPUTED_VALUE"""),33.0)</f>
        <v>33</v>
      </c>
      <c r="H16755" s="4"/>
      <c r="I16755" s="4"/>
    </row>
    <row r="16756">
      <c r="A16756" s="4" t="str">
        <f>IFERROR(__xludf.DUMMYFUNCTION("""COMPUTED_VALUE"""),"cas_hmw")</f>
        <v>cas_hmw</v>
      </c>
      <c r="B16756" s="5">
        <f>IFERROR(__xludf.DUMMYFUNCTION("""COMPUTED_VALUE"""),44737.0)</f>
        <v>44737</v>
      </c>
      <c r="C16756" s="6">
        <f>IFERROR(__xludf.DUMMYFUNCTION("""COMPUTED_VALUE"""),0.3371412037049595)</f>
        <v>0.3371412037</v>
      </c>
      <c r="D16756" s="4">
        <f>IFERROR(__xludf.DUMMYFUNCTION("""COMPUTED_VALUE"""),12.958833)</f>
        <v>12.958833</v>
      </c>
      <c r="E16756" s="4">
        <f>IFERROR(__xludf.DUMMYFUNCTION("""COMPUTED_VALUE"""),80.144634)</f>
        <v>80.144634</v>
      </c>
      <c r="F16756" s="4">
        <f>IFERROR(__xludf.DUMMYFUNCTION("""COMPUTED_VALUE"""),5339.0)</f>
        <v>5339</v>
      </c>
      <c r="G16756" s="4">
        <f>IFERROR(__xludf.DUMMYFUNCTION("""COMPUTED_VALUE"""),44.0)</f>
        <v>44</v>
      </c>
      <c r="H16756" s="4"/>
      <c r="I16756" s="4"/>
    </row>
    <row r="16757">
      <c r="A16757" s="4" t="str">
        <f>IFERROR(__xludf.DUMMYFUNCTION("""COMPUTED_VALUE"""),"cas_hmw")</f>
        <v>cas_hmw</v>
      </c>
      <c r="B16757" s="5">
        <f>IFERROR(__xludf.DUMMYFUNCTION("""COMPUTED_VALUE"""),44737.0)</f>
        <v>44737</v>
      </c>
      <c r="C16757" s="6">
        <f>IFERROR(__xludf.DUMMYFUNCTION("""COMPUTED_VALUE"""),0.3381134259252576)</f>
        <v>0.3381134259</v>
      </c>
      <c r="D16757" s="4">
        <f>IFERROR(__xludf.DUMMYFUNCTION("""COMPUTED_VALUE"""),12.955651)</f>
        <v>12.955651</v>
      </c>
      <c r="E16757" s="4">
        <f>IFERROR(__xludf.DUMMYFUNCTION("""COMPUTED_VALUE"""),80.142928)</f>
        <v>80.142928</v>
      </c>
      <c r="F16757" s="4">
        <f>IFERROR(__xludf.DUMMYFUNCTION("""COMPUTED_VALUE"""),5339.0)</f>
        <v>5339</v>
      </c>
      <c r="G16757" s="4">
        <f>IFERROR(__xludf.DUMMYFUNCTION("""COMPUTED_VALUE"""),38.0)</f>
        <v>38</v>
      </c>
      <c r="H16757" s="4"/>
      <c r="I16757" s="4"/>
    </row>
    <row r="16758">
      <c r="A16758" s="4" t="str">
        <f>IFERROR(__xludf.DUMMYFUNCTION("""COMPUTED_VALUE"""),"cas_hmw")</f>
        <v>cas_hmw</v>
      </c>
      <c r="B16758" s="5">
        <f>IFERROR(__xludf.DUMMYFUNCTION("""COMPUTED_VALUE"""),44737.0)</f>
        <v>44737</v>
      </c>
      <c r="C16758" s="6">
        <f>IFERROR(__xludf.DUMMYFUNCTION("""COMPUTED_VALUE"""),0.33846064814861165)</f>
        <v>0.3384606481</v>
      </c>
      <c r="D16758" s="4">
        <f>IFERROR(__xludf.DUMMYFUNCTION("""COMPUTED_VALUE"""),12.952122)</f>
        <v>12.952122</v>
      </c>
      <c r="E16758" s="4">
        <f>IFERROR(__xludf.DUMMYFUNCTION("""COMPUTED_VALUE"""),80.14087)</f>
        <v>80.14087</v>
      </c>
      <c r="F16758" s="4">
        <f>IFERROR(__xludf.DUMMYFUNCTION("""COMPUTED_VALUE"""),5339.0)</f>
        <v>5339</v>
      </c>
      <c r="G16758" s="4">
        <f>IFERROR(__xludf.DUMMYFUNCTION("""COMPUTED_VALUE"""),56.0)</f>
        <v>56</v>
      </c>
      <c r="H16758" s="4"/>
      <c r="I16758" s="4"/>
    </row>
    <row r="16759">
      <c r="A16759" s="4" t="str">
        <f>IFERROR(__xludf.DUMMYFUNCTION("""COMPUTED_VALUE"""),"cas_hmw")</f>
        <v>cas_hmw</v>
      </c>
      <c r="B16759" s="5">
        <f>IFERROR(__xludf.DUMMYFUNCTION("""COMPUTED_VALUE"""),44737.0)</f>
        <v>44737</v>
      </c>
      <c r="C16759" s="6">
        <f>IFERROR(__xludf.DUMMYFUNCTION("""COMPUTED_VALUE"""),0.33861111111036735)</f>
        <v>0.3386111111</v>
      </c>
      <c r="D16759" s="4">
        <f>IFERROR(__xludf.DUMMYFUNCTION("""COMPUTED_VALUE"""),12.951156)</f>
        <v>12.951156</v>
      </c>
      <c r="E16759" s="4">
        <f>IFERROR(__xludf.DUMMYFUNCTION("""COMPUTED_VALUE"""),80.140133)</f>
        <v>80.140133</v>
      </c>
      <c r="F16759" s="4">
        <f>IFERROR(__xludf.DUMMYFUNCTION("""COMPUTED_VALUE"""),5339.0)</f>
        <v>5339</v>
      </c>
      <c r="G16759" s="4">
        <f>IFERROR(__xludf.DUMMYFUNCTION("""COMPUTED_VALUE"""),33.0)</f>
        <v>33</v>
      </c>
      <c r="H16759" s="4"/>
      <c r="I16759" s="4"/>
    </row>
    <row r="16760">
      <c r="A16760" s="4" t="str">
        <f>IFERROR(__xludf.DUMMYFUNCTION("""COMPUTED_VALUE"""),"cas_hmw")</f>
        <v>cas_hmw</v>
      </c>
      <c r="B16760" s="5">
        <f>IFERROR(__xludf.DUMMYFUNCTION("""COMPUTED_VALUE"""),44737.0)</f>
        <v>44737</v>
      </c>
      <c r="C16760" s="6">
        <f>IFERROR(__xludf.DUMMYFUNCTION("""COMPUTED_VALUE"""),0.338692129629635)</f>
        <v>0.3386921296</v>
      </c>
      <c r="D16760" s="4">
        <f>IFERROR(__xludf.DUMMYFUNCTION("""COMPUTED_VALUE"""),12.950531)</f>
        <v>12.950531</v>
      </c>
      <c r="E16760" s="4">
        <f>IFERROR(__xludf.DUMMYFUNCTION("""COMPUTED_VALUE"""),80.139708)</f>
        <v>80.139708</v>
      </c>
      <c r="F16760" s="4">
        <f>IFERROR(__xludf.DUMMYFUNCTION("""COMPUTED_VALUE"""),5339.0)</f>
        <v>5339</v>
      </c>
      <c r="G16760" s="4">
        <f>IFERROR(__xludf.DUMMYFUNCTION("""COMPUTED_VALUE"""),28.0)</f>
        <v>28</v>
      </c>
      <c r="H16760" s="4"/>
      <c r="I16760" s="4"/>
    </row>
    <row r="16761">
      <c r="A16761" s="4" t="str">
        <f>IFERROR(__xludf.DUMMYFUNCTION("""COMPUTED_VALUE"""),"cas_hmw")</f>
        <v>cas_hmw</v>
      </c>
      <c r="B16761" s="5">
        <f>IFERROR(__xludf.DUMMYFUNCTION("""COMPUTED_VALUE"""),44737.0)</f>
        <v>44737</v>
      </c>
      <c r="C16761" s="6">
        <f>IFERROR(__xludf.DUMMYFUNCTION("""COMPUTED_VALUE"""),0.33879629629518604)</f>
        <v>0.3387962963</v>
      </c>
      <c r="D16761" s="4">
        <f>IFERROR(__xludf.DUMMYFUNCTION("""COMPUTED_VALUE"""),12.949826)</f>
        <v>12.949826</v>
      </c>
      <c r="E16761" s="4">
        <f>IFERROR(__xludf.DUMMYFUNCTION("""COMPUTED_VALUE"""),80.1392)</f>
        <v>80.1392</v>
      </c>
      <c r="F16761" s="4">
        <f>IFERROR(__xludf.DUMMYFUNCTION("""COMPUTED_VALUE"""),5339.0)</f>
        <v>5339</v>
      </c>
      <c r="G16761" s="4">
        <f>IFERROR(__xludf.DUMMYFUNCTION("""COMPUTED_VALUE"""),36.0)</f>
        <v>36</v>
      </c>
      <c r="H16761" s="4"/>
      <c r="I16761" s="4"/>
    </row>
    <row r="16762">
      <c r="A16762" s="4" t="str">
        <f>IFERROR(__xludf.DUMMYFUNCTION("""COMPUTED_VALUE"""),"cas_hmw")</f>
        <v>cas_hmw</v>
      </c>
      <c r="B16762" s="5">
        <f>IFERROR(__xludf.DUMMYFUNCTION("""COMPUTED_VALUE"""),44737.0)</f>
        <v>44737</v>
      </c>
      <c r="C16762" s="6">
        <f>IFERROR(__xludf.DUMMYFUNCTION("""COMPUTED_VALUE"""),0.3389120370375167)</f>
        <v>0.338912037</v>
      </c>
      <c r="D16762" s="4">
        <f>IFERROR(__xludf.DUMMYFUNCTION("""COMPUTED_VALUE"""),12.80649)</f>
        <v>12.80649</v>
      </c>
      <c r="E16762" s="4">
        <f>IFERROR(__xludf.DUMMYFUNCTION("""COMPUTED_VALUE"""),80.02756)</f>
        <v>80.02756</v>
      </c>
      <c r="F16762" s="4">
        <f>IFERROR(__xludf.DUMMYFUNCTION("""COMPUTED_VALUE"""),2846.0)</f>
        <v>2846</v>
      </c>
      <c r="G16762" s="4">
        <f>IFERROR(__xludf.DUMMYFUNCTION("""COMPUTED_VALUE"""),57.0)</f>
        <v>57</v>
      </c>
      <c r="H16762" s="4"/>
      <c r="I16762" s="4"/>
    </row>
    <row r="16763">
      <c r="A16763" s="4" t="str">
        <f>IFERROR(__xludf.DUMMYFUNCTION("""COMPUTED_VALUE"""),"cas_hmw")</f>
        <v>cas_hmw</v>
      </c>
      <c r="B16763" s="5">
        <f>IFERROR(__xludf.DUMMYFUNCTION("""COMPUTED_VALUE"""),44737.0)</f>
        <v>44737</v>
      </c>
      <c r="C16763" s="6">
        <f>IFERROR(__xludf.DUMMYFUNCTION("""COMPUTED_VALUE"""),0.33901620370306773)</f>
        <v>0.3390162037</v>
      </c>
      <c r="D16763" s="4">
        <f>IFERROR(__xludf.DUMMYFUNCTION("""COMPUTED_VALUE"""),12.948399)</f>
        <v>12.948399</v>
      </c>
      <c r="E16763" s="4">
        <f>IFERROR(__xludf.DUMMYFUNCTION("""COMPUTED_VALUE"""),80.138013)</f>
        <v>80.138013</v>
      </c>
      <c r="F16763" s="4">
        <f>IFERROR(__xludf.DUMMYFUNCTION("""COMPUTED_VALUE"""),5339.0)</f>
        <v>5339</v>
      </c>
      <c r="G16763" s="4">
        <f>IFERROR(__xludf.DUMMYFUNCTION("""COMPUTED_VALUE"""),45.0)</f>
        <v>45</v>
      </c>
      <c r="H16763" s="4"/>
      <c r="I16763" s="4"/>
    </row>
    <row r="16764">
      <c r="A16764" s="4" t="str">
        <f>IFERROR(__xludf.DUMMYFUNCTION("""COMPUTED_VALUE"""),"cas_hmw")</f>
        <v>cas_hmw</v>
      </c>
      <c r="B16764" s="5">
        <f>IFERROR(__xludf.DUMMYFUNCTION("""COMPUTED_VALUE"""),44737.0)</f>
        <v>44737</v>
      </c>
      <c r="C16764" s="6">
        <f>IFERROR(__xludf.DUMMYFUNCTION("""COMPUTED_VALUE"""),0.3392361111109494)</f>
        <v>0.3392361111</v>
      </c>
      <c r="D16764" s="4">
        <f>IFERROR(__xludf.DUMMYFUNCTION("""COMPUTED_VALUE"""),12.947017)</f>
        <v>12.947017</v>
      </c>
      <c r="E16764" s="4">
        <f>IFERROR(__xludf.DUMMYFUNCTION("""COMPUTED_VALUE"""),80.136996)</f>
        <v>80.136996</v>
      </c>
      <c r="F16764" s="4">
        <f>IFERROR(__xludf.DUMMYFUNCTION("""COMPUTED_VALUE"""),5339.0)</f>
        <v>5339</v>
      </c>
      <c r="G16764" s="4">
        <f>IFERROR(__xludf.DUMMYFUNCTION("""COMPUTED_VALUE"""),39.0)</f>
        <v>39</v>
      </c>
      <c r="H16764" s="4"/>
      <c r="I16764" s="4"/>
    </row>
    <row r="16765">
      <c r="A16765" s="4" t="str">
        <f>IFERROR(__xludf.DUMMYFUNCTION("""COMPUTED_VALUE"""),"cas_hmw")</f>
        <v>cas_hmw</v>
      </c>
      <c r="B16765" s="5">
        <f>IFERROR(__xludf.DUMMYFUNCTION("""COMPUTED_VALUE"""),44737.0)</f>
        <v>44737</v>
      </c>
      <c r="C16765" s="6">
        <f>IFERROR(__xludf.DUMMYFUNCTION("""COMPUTED_VALUE"""),0.33962962963050813)</f>
        <v>0.3396296296</v>
      </c>
      <c r="D16765" s="4">
        <f>IFERROR(__xludf.DUMMYFUNCTION("""COMPUTED_VALUE"""),12.944183)</f>
        <v>12.944183</v>
      </c>
      <c r="E16765" s="4">
        <f>IFERROR(__xludf.DUMMYFUNCTION("""COMPUTED_VALUE"""),80.134749)</f>
        <v>80.134749</v>
      </c>
      <c r="F16765" s="4">
        <f>IFERROR(__xludf.DUMMYFUNCTION("""COMPUTED_VALUE"""),5339.0)</f>
        <v>5339</v>
      </c>
      <c r="G16765" s="4">
        <f>IFERROR(__xludf.DUMMYFUNCTION("""COMPUTED_VALUE"""),43.0)</f>
        <v>43</v>
      </c>
      <c r="H16765" s="4"/>
      <c r="I16765" s="4"/>
    </row>
    <row r="16766">
      <c r="A16766" s="4" t="str">
        <f>IFERROR(__xludf.DUMMYFUNCTION("""COMPUTED_VALUE"""),"cas_hmw")</f>
        <v>cas_hmw</v>
      </c>
      <c r="B16766" s="5">
        <f>IFERROR(__xludf.DUMMYFUNCTION("""COMPUTED_VALUE"""),44737.0)</f>
        <v>44737</v>
      </c>
      <c r="C16766" s="6">
        <f>IFERROR(__xludf.DUMMYFUNCTION("""COMPUTED_VALUE"""),0.3400810185194132)</f>
        <v>0.3400810185</v>
      </c>
      <c r="D16766" s="4">
        <f>IFERROR(__xludf.DUMMYFUNCTION("""COMPUTED_VALUE"""),12.94188)</f>
        <v>12.94188</v>
      </c>
      <c r="E16766" s="4">
        <f>IFERROR(__xludf.DUMMYFUNCTION("""COMPUTED_VALUE"""),80.132516)</f>
        <v>80.132516</v>
      </c>
      <c r="F16766" s="4">
        <f>IFERROR(__xludf.DUMMYFUNCTION("""COMPUTED_VALUE"""),5339.0)</f>
        <v>5339</v>
      </c>
      <c r="G16766" s="4">
        <f>IFERROR(__xludf.DUMMYFUNCTION("""COMPUTED_VALUE"""),45.0)</f>
        <v>45</v>
      </c>
      <c r="H16766" s="4"/>
      <c r="I16766" s="4"/>
    </row>
    <row r="16767">
      <c r="A16767" s="4" t="str">
        <f>IFERROR(__xludf.DUMMYFUNCTION("""COMPUTED_VALUE"""),"cas_hmw")</f>
        <v>cas_hmw</v>
      </c>
      <c r="B16767" s="5">
        <f>IFERROR(__xludf.DUMMYFUNCTION("""COMPUTED_VALUE"""),44737.0)</f>
        <v>44737</v>
      </c>
      <c r="C16767" s="6">
        <f>IFERROR(__xludf.DUMMYFUNCTION("""COMPUTED_VALUE"""),0.3402199074080272)</f>
        <v>0.3402199074</v>
      </c>
      <c r="D16767" s="4">
        <f>IFERROR(__xludf.DUMMYFUNCTION("""COMPUTED_VALUE"""),12.941104)</f>
        <v>12.941104</v>
      </c>
      <c r="E16767" s="4">
        <f>IFERROR(__xludf.DUMMYFUNCTION("""COMPUTED_VALUE"""),80.131708)</f>
        <v>80.131708</v>
      </c>
      <c r="F16767" s="4">
        <f>IFERROR(__xludf.DUMMYFUNCTION("""COMPUTED_VALUE"""),5339.0)</f>
        <v>5339</v>
      </c>
      <c r="G16767" s="4">
        <f>IFERROR(__xludf.DUMMYFUNCTION("""COMPUTED_VALUE"""),35.0)</f>
        <v>35</v>
      </c>
      <c r="H16767" s="4"/>
      <c r="I16767" s="4"/>
    </row>
    <row r="16768">
      <c r="A16768" s="4" t="str">
        <f>IFERROR(__xludf.DUMMYFUNCTION("""COMPUTED_VALUE"""),"cas_hmw")</f>
        <v>cas_hmw</v>
      </c>
      <c r="B16768" s="5">
        <f>IFERROR(__xludf.DUMMYFUNCTION("""COMPUTED_VALUE"""),44737.0)</f>
        <v>44737</v>
      </c>
      <c r="C16768" s="6">
        <f>IFERROR(__xludf.DUMMYFUNCTION("""COMPUTED_VALUE"""),0.34046296296219225)</f>
        <v>0.340462963</v>
      </c>
      <c r="D16768" s="4">
        <f>IFERROR(__xludf.DUMMYFUNCTION("""COMPUTED_VALUE"""),12.939822)</f>
        <v>12.939822</v>
      </c>
      <c r="E16768" s="4">
        <f>IFERROR(__xludf.DUMMYFUNCTION("""COMPUTED_VALUE"""),80.130417)</f>
        <v>80.130417</v>
      </c>
      <c r="F16768" s="4">
        <f>IFERROR(__xludf.DUMMYFUNCTION("""COMPUTED_VALUE"""),5339.0)</f>
        <v>5339</v>
      </c>
      <c r="G16768" s="4">
        <f>IFERROR(__xludf.DUMMYFUNCTION("""COMPUTED_VALUE"""),36.0)</f>
        <v>36</v>
      </c>
      <c r="H16768" s="4"/>
      <c r="I16768" s="4"/>
    </row>
    <row r="16769">
      <c r="A16769" s="4" t="str">
        <f>IFERROR(__xludf.DUMMYFUNCTION("""COMPUTED_VALUE"""),"cas_hmw")</f>
        <v>cas_hmw</v>
      </c>
      <c r="B16769" s="5">
        <f>IFERROR(__xludf.DUMMYFUNCTION("""COMPUTED_VALUE"""),44737.0)</f>
        <v>44737</v>
      </c>
      <c r="C16769" s="6">
        <f>IFERROR(__xludf.DUMMYFUNCTION("""COMPUTED_VALUE"""),0.3406250000007276)</f>
        <v>0.340625</v>
      </c>
      <c r="D16769" s="4">
        <f>IFERROR(__xludf.DUMMYFUNCTION("""COMPUTED_VALUE"""),12.93831)</f>
        <v>12.93831</v>
      </c>
      <c r="E16769" s="4">
        <f>IFERROR(__xludf.DUMMYFUNCTION("""COMPUTED_VALUE"""),80.129081)</f>
        <v>80.129081</v>
      </c>
      <c r="F16769" s="4">
        <f>IFERROR(__xludf.DUMMYFUNCTION("""COMPUTED_VALUE"""),5339.0)</f>
        <v>5339</v>
      </c>
      <c r="G16769" s="4">
        <f>IFERROR(__xludf.DUMMYFUNCTION("""COMPUTED_VALUE"""),40.0)</f>
        <v>40</v>
      </c>
      <c r="H16769" s="4"/>
      <c r="I16769" s="4"/>
    </row>
    <row r="16770">
      <c r="A16770" s="4" t="str">
        <f>IFERROR(__xludf.DUMMYFUNCTION("""COMPUTED_VALUE"""),"cas_hmw")</f>
        <v>cas_hmw</v>
      </c>
      <c r="B16770" s="5">
        <f>IFERROR(__xludf.DUMMYFUNCTION("""COMPUTED_VALUE"""),44737.0)</f>
        <v>44737</v>
      </c>
      <c r="C16770" s="6">
        <f>IFERROR(__xludf.DUMMYFUNCTION("""COMPUTED_VALUE"""),0.34086805555489263)</f>
        <v>0.3408680556</v>
      </c>
      <c r="D16770" s="4">
        <f>IFERROR(__xludf.DUMMYFUNCTION("""COMPUTED_VALUE"""),12.936843)</f>
        <v>12.936843</v>
      </c>
      <c r="E16770" s="4">
        <f>IFERROR(__xludf.DUMMYFUNCTION("""COMPUTED_VALUE"""),80.127818)</f>
        <v>80.127818</v>
      </c>
      <c r="F16770" s="4">
        <f>IFERROR(__xludf.DUMMYFUNCTION("""COMPUTED_VALUE"""),5339.0)</f>
        <v>5339</v>
      </c>
      <c r="G16770" s="4">
        <f>IFERROR(__xludf.DUMMYFUNCTION("""COMPUTED_VALUE"""),37.0)</f>
        <v>37</v>
      </c>
      <c r="H16770" s="4"/>
      <c r="I16770" s="4"/>
    </row>
    <row r="16771">
      <c r="A16771" s="4" t="str">
        <f>IFERROR(__xludf.DUMMYFUNCTION("""COMPUTED_VALUE"""),"cas_hmw")</f>
        <v>cas_hmw</v>
      </c>
      <c r="B16771" s="5">
        <f>IFERROR(__xludf.DUMMYFUNCTION("""COMPUTED_VALUE"""),44737.0)</f>
        <v>44737</v>
      </c>
      <c r="C16771" s="6">
        <f>IFERROR(__xludf.DUMMYFUNCTION("""COMPUTED_VALUE"""),0.3416435185172304)</f>
        <v>0.3416435185</v>
      </c>
      <c r="D16771" s="4">
        <f>IFERROR(__xludf.DUMMYFUNCTION("""COMPUTED_VALUE"""),12.931443)</f>
        <v>12.931443</v>
      </c>
      <c r="E16771" s="4">
        <f>IFERROR(__xludf.DUMMYFUNCTION("""COMPUTED_VALUE"""),80.122657)</f>
        <v>80.122657</v>
      </c>
      <c r="F16771" s="4">
        <f>IFERROR(__xludf.DUMMYFUNCTION("""COMPUTED_VALUE"""),5339.0)</f>
        <v>5339</v>
      </c>
      <c r="G16771" s="4">
        <f>IFERROR(__xludf.DUMMYFUNCTION("""COMPUTED_VALUE"""),32.0)</f>
        <v>32</v>
      </c>
      <c r="H16771" s="4"/>
      <c r="I16771" s="4"/>
    </row>
    <row r="16772">
      <c r="A16772" s="4" t="str">
        <f>IFERROR(__xludf.DUMMYFUNCTION("""COMPUTED_VALUE"""),"cas_hmw")</f>
        <v>cas_hmw</v>
      </c>
      <c r="B16772" s="5">
        <f>IFERROR(__xludf.DUMMYFUNCTION("""COMPUTED_VALUE"""),44737.0)</f>
        <v>44737</v>
      </c>
      <c r="C16772" s="6">
        <f>IFERROR(__xludf.DUMMYFUNCTION("""COMPUTED_VALUE"""),0.3418171296289074)</f>
        <v>0.3418171296</v>
      </c>
      <c r="D16772" s="4">
        <f>IFERROR(__xludf.DUMMYFUNCTION("""COMPUTED_VALUE"""),12.930821)</f>
        <v>12.930821</v>
      </c>
      <c r="E16772" s="4">
        <f>IFERROR(__xludf.DUMMYFUNCTION("""COMPUTED_VALUE"""),80.122036)</f>
        <v>80.122036</v>
      </c>
      <c r="F16772" s="4">
        <f>IFERROR(__xludf.DUMMYFUNCTION("""COMPUTED_VALUE"""),5339.0)</f>
        <v>5339</v>
      </c>
      <c r="G16772" s="4">
        <f>IFERROR(__xludf.DUMMYFUNCTION("""COMPUTED_VALUE"""),34.0)</f>
        <v>34</v>
      </c>
      <c r="H16772" s="4"/>
      <c r="I16772" s="4"/>
    </row>
    <row r="16773">
      <c r="A16773" s="4" t="str">
        <f>IFERROR(__xludf.DUMMYFUNCTION("""COMPUTED_VALUE"""),"cas_hmw")</f>
        <v>cas_hmw</v>
      </c>
      <c r="B16773" s="5">
        <f>IFERROR(__xludf.DUMMYFUNCTION("""COMPUTED_VALUE"""),44737.0)</f>
        <v>44737</v>
      </c>
      <c r="C16773" s="6">
        <f>IFERROR(__xludf.DUMMYFUNCTION("""COMPUTED_VALUE"""),0.3429166666683159)</f>
        <v>0.3429166667</v>
      </c>
      <c r="D16773" s="4">
        <f>IFERROR(__xludf.DUMMYFUNCTION("""COMPUTED_VALUE"""),12.92361)</f>
        <v>12.92361</v>
      </c>
      <c r="E16773" s="4">
        <f>IFERROR(__xludf.DUMMYFUNCTION("""COMPUTED_VALUE"""),80.114787)</f>
        <v>80.114787</v>
      </c>
      <c r="F16773" s="4">
        <f>IFERROR(__xludf.DUMMYFUNCTION("""COMPUTED_VALUE"""),5339.0)</f>
        <v>5339</v>
      </c>
      <c r="G16773" s="4">
        <f>IFERROR(__xludf.DUMMYFUNCTION("""COMPUTED_VALUE"""),56.0)</f>
        <v>56</v>
      </c>
      <c r="H16773" s="4"/>
      <c r="I16773" s="4"/>
    </row>
    <row r="16774">
      <c r="A16774" s="4" t="str">
        <f>IFERROR(__xludf.DUMMYFUNCTION("""COMPUTED_VALUE"""),"cas_hmw")</f>
        <v>cas_hmw</v>
      </c>
      <c r="B16774" s="5">
        <f>IFERROR(__xludf.DUMMYFUNCTION("""COMPUTED_VALUE"""),44737.0)</f>
        <v>44737</v>
      </c>
      <c r="C16774" s="6">
        <f>IFERROR(__xludf.DUMMYFUNCTION("""COMPUTED_VALUE"""),0.34363425925766933)</f>
        <v>0.3436342593</v>
      </c>
      <c r="D16774" s="4">
        <f>IFERROR(__xludf.DUMMYFUNCTION("""COMPUTED_VALUE"""),12.844226)</f>
        <v>12.844226</v>
      </c>
      <c r="E16774" s="4">
        <f>IFERROR(__xludf.DUMMYFUNCTION("""COMPUTED_VALUE"""),80.059833)</f>
        <v>80.059833</v>
      </c>
      <c r="F16774" s="4">
        <f>IFERROR(__xludf.DUMMYFUNCTION("""COMPUTED_VALUE"""),2846.0)</f>
        <v>2846</v>
      </c>
      <c r="G16774" s="4">
        <f>IFERROR(__xludf.DUMMYFUNCTION("""COMPUTED_VALUE"""),22.0)</f>
        <v>22</v>
      </c>
      <c r="H16774" s="4"/>
      <c r="I16774" s="4"/>
    </row>
    <row r="16775">
      <c r="A16775" s="4" t="str">
        <f>IFERROR(__xludf.DUMMYFUNCTION("""COMPUTED_VALUE"""),"cas_hmw")</f>
        <v>cas_hmw</v>
      </c>
      <c r="B16775" s="5">
        <f>IFERROR(__xludf.DUMMYFUNCTION("""COMPUTED_VALUE"""),44737.0)</f>
        <v>44737</v>
      </c>
      <c r="C16775" s="6">
        <f>IFERROR(__xludf.DUMMYFUNCTION("""COMPUTED_VALUE"""),0.34363425925766933)</f>
        <v>0.3436342593</v>
      </c>
      <c r="D16775" s="4">
        <f>IFERROR(__xludf.DUMMYFUNCTION("""COMPUTED_VALUE"""),12.843986)</f>
        <v>12.843986</v>
      </c>
      <c r="E16775" s="4">
        <f>IFERROR(__xludf.DUMMYFUNCTION("""COMPUTED_VALUE"""),80.059549)</f>
        <v>80.059549</v>
      </c>
      <c r="F16775" s="4">
        <f>IFERROR(__xludf.DUMMYFUNCTION("""COMPUTED_VALUE"""),2846.0)</f>
        <v>2846</v>
      </c>
      <c r="G16775" s="4">
        <f>IFERROR(__xludf.DUMMYFUNCTION("""COMPUTED_VALUE"""),4.0)</f>
        <v>4</v>
      </c>
      <c r="H16775" s="4"/>
      <c r="I16775" s="4"/>
    </row>
    <row r="16776">
      <c r="A16776" s="4" t="str">
        <f>IFERROR(__xludf.DUMMYFUNCTION("""COMPUTED_VALUE"""),"cas_hmw")</f>
        <v>cas_hmw</v>
      </c>
      <c r="B16776" s="5">
        <f>IFERROR(__xludf.DUMMYFUNCTION("""COMPUTED_VALUE"""),44737.0)</f>
        <v>44737</v>
      </c>
      <c r="C16776" s="6">
        <f>IFERROR(__xludf.DUMMYFUNCTION("""COMPUTED_VALUE"""),0.34424768518510973)</f>
        <v>0.3442476852</v>
      </c>
      <c r="D16776" s="4">
        <f>IFERROR(__xludf.DUMMYFUNCTION("""COMPUTED_VALUE"""),12.915795)</f>
        <v>12.915795</v>
      </c>
      <c r="E16776" s="4">
        <f>IFERROR(__xludf.DUMMYFUNCTION("""COMPUTED_VALUE"""),80.104966)</f>
        <v>80.104966</v>
      </c>
      <c r="F16776" s="4">
        <f>IFERROR(__xludf.DUMMYFUNCTION("""COMPUTED_VALUE"""),5339.0)</f>
        <v>5339</v>
      </c>
      <c r="G16776" s="4">
        <f>IFERROR(__xludf.DUMMYFUNCTION("""COMPUTED_VALUE"""),57.0)</f>
        <v>57</v>
      </c>
      <c r="H16776" s="4"/>
      <c r="I16776" s="4"/>
    </row>
    <row r="16777">
      <c r="A16777" s="4" t="str">
        <f>IFERROR(__xludf.DUMMYFUNCTION("""COMPUTED_VALUE"""),"cas_hmw")</f>
        <v>cas_hmw</v>
      </c>
      <c r="B16777" s="5">
        <f>IFERROR(__xludf.DUMMYFUNCTION("""COMPUTED_VALUE"""),44737.0)</f>
        <v>44737</v>
      </c>
      <c r="C16777" s="6">
        <f>IFERROR(__xludf.DUMMYFUNCTION("""COMPUTED_VALUE"""),0.3447337962970778)</f>
        <v>0.3447337963</v>
      </c>
      <c r="D16777" s="4">
        <f>IFERROR(__xludf.DUMMYFUNCTION("""COMPUTED_VALUE"""),12.912352)</f>
        <v>12.912352</v>
      </c>
      <c r="E16777" s="4">
        <f>IFERROR(__xludf.DUMMYFUNCTION("""COMPUTED_VALUE"""),80.101513)</f>
        <v>80.101513</v>
      </c>
      <c r="F16777" s="4">
        <f>IFERROR(__xludf.DUMMYFUNCTION("""COMPUTED_VALUE"""),5339.0)</f>
        <v>5339</v>
      </c>
      <c r="G16777" s="4">
        <f>IFERROR(__xludf.DUMMYFUNCTION("""COMPUTED_VALUE"""),40.0)</f>
        <v>40</v>
      </c>
      <c r="H16777" s="4"/>
      <c r="I16777" s="4"/>
    </row>
    <row r="16778">
      <c r="A16778" s="4" t="str">
        <f>IFERROR(__xludf.DUMMYFUNCTION("""COMPUTED_VALUE"""),"cas_hmw")</f>
        <v>cas_hmw</v>
      </c>
      <c r="B16778" s="5">
        <f>IFERROR(__xludf.DUMMYFUNCTION("""COMPUTED_VALUE"""),44737.0)</f>
        <v>44737</v>
      </c>
      <c r="C16778" s="6">
        <f>IFERROR(__xludf.DUMMYFUNCTION("""COMPUTED_VALUE"""),0.3447685185201408)</f>
        <v>0.3447685185</v>
      </c>
      <c r="D16778" s="4">
        <f>IFERROR(__xludf.DUMMYFUNCTION("""COMPUTED_VALUE"""),12.849228)</f>
        <v>12.849228</v>
      </c>
      <c r="E16778" s="4">
        <f>IFERROR(__xludf.DUMMYFUNCTION("""COMPUTED_VALUE"""),80.064084)</f>
        <v>80.064084</v>
      </c>
      <c r="F16778" s="4">
        <f>IFERROR(__xludf.DUMMYFUNCTION("""COMPUTED_VALUE"""),2846.0)</f>
        <v>2846</v>
      </c>
      <c r="G16778" s="4">
        <f>IFERROR(__xludf.DUMMYFUNCTION("""COMPUTED_VALUE"""),50.0)</f>
        <v>50</v>
      </c>
      <c r="H16778" s="4"/>
      <c r="I16778" s="4"/>
    </row>
    <row r="16779">
      <c r="A16779" s="4" t="str">
        <f>IFERROR(__xludf.DUMMYFUNCTION("""COMPUTED_VALUE"""),"cas_hmw")</f>
        <v>cas_hmw</v>
      </c>
      <c r="B16779" s="5">
        <f>IFERROR(__xludf.DUMMYFUNCTION("""COMPUTED_VALUE"""),44737.0)</f>
        <v>44737</v>
      </c>
      <c r="C16779" s="6">
        <f>IFERROR(__xludf.DUMMYFUNCTION("""COMPUTED_VALUE"""),0.34478009259328246)</f>
        <v>0.3447800926</v>
      </c>
      <c r="D16779" s="4">
        <f>IFERROR(__xludf.DUMMYFUNCTION("""COMPUTED_VALUE"""),12.849228)</f>
        <v>12.849228</v>
      </c>
      <c r="E16779" s="4">
        <f>IFERROR(__xludf.DUMMYFUNCTION("""COMPUTED_VALUE"""),80.064084)</f>
        <v>80.064084</v>
      </c>
      <c r="F16779" s="4">
        <f>IFERROR(__xludf.DUMMYFUNCTION("""COMPUTED_VALUE"""),2846.0)</f>
        <v>2846</v>
      </c>
      <c r="G16779" s="4">
        <f>IFERROR(__xludf.DUMMYFUNCTION("""COMPUTED_VALUE"""),50.0)</f>
        <v>50</v>
      </c>
      <c r="H16779" s="4"/>
      <c r="I16779" s="4"/>
    </row>
    <row r="16780">
      <c r="A16780" s="4" t="str">
        <f>IFERROR(__xludf.DUMMYFUNCTION("""COMPUTED_VALUE"""),"cas_hmw")</f>
        <v>cas_hmw</v>
      </c>
      <c r="B16780" s="5">
        <f>IFERROR(__xludf.DUMMYFUNCTION("""COMPUTED_VALUE"""),44737.0)</f>
        <v>44737</v>
      </c>
      <c r="C16780" s="6">
        <f>IFERROR(__xludf.DUMMYFUNCTION("""COMPUTED_VALUE"""),0.34479166666642413)</f>
        <v>0.3447916667</v>
      </c>
      <c r="D16780" s="4">
        <f>IFERROR(__xludf.DUMMYFUNCTION("""COMPUTED_VALUE"""),12.911301)</f>
        <v>12.911301</v>
      </c>
      <c r="E16780" s="4">
        <f>IFERROR(__xludf.DUMMYFUNCTION("""COMPUTED_VALUE"""),80.101382)</f>
        <v>80.101382</v>
      </c>
      <c r="F16780" s="4">
        <f>IFERROR(__xludf.DUMMYFUNCTION("""COMPUTED_VALUE"""),5339.0)</f>
        <v>5339</v>
      </c>
      <c r="G16780" s="4">
        <f>IFERROR(__xludf.DUMMYFUNCTION("""COMPUTED_VALUE"""),45.0)</f>
        <v>45</v>
      </c>
      <c r="H16780" s="4"/>
      <c r="I16780" s="4"/>
    </row>
    <row r="16781">
      <c r="A16781" s="4" t="str">
        <f>IFERROR(__xludf.DUMMYFUNCTION("""COMPUTED_VALUE"""),"cas_hmw")</f>
        <v>cas_hmw</v>
      </c>
      <c r="B16781" s="5">
        <f>IFERROR(__xludf.DUMMYFUNCTION("""COMPUTED_VALUE"""),44737.0)</f>
        <v>44737</v>
      </c>
      <c r="C16781" s="6">
        <f>IFERROR(__xludf.DUMMYFUNCTION("""COMPUTED_VALUE"""),0.3450694444436522)</f>
        <v>0.3450694444</v>
      </c>
      <c r="D16781" s="4">
        <f>IFERROR(__xludf.DUMMYFUNCTION("""COMPUTED_VALUE"""),12.851852)</f>
        <v>12.851852</v>
      </c>
      <c r="E16781" s="4">
        <f>IFERROR(__xludf.DUMMYFUNCTION("""COMPUTED_VALUE"""),80.065984)</f>
        <v>80.065984</v>
      </c>
      <c r="F16781" s="4">
        <f>IFERROR(__xludf.DUMMYFUNCTION("""COMPUTED_VALUE"""),2846.0)</f>
        <v>2846</v>
      </c>
      <c r="G16781" s="4">
        <f>IFERROR(__xludf.DUMMYFUNCTION("""COMPUTED_VALUE"""),40.0)</f>
        <v>40</v>
      </c>
      <c r="H16781" s="4"/>
      <c r="I16781" s="4"/>
    </row>
    <row r="16782">
      <c r="A16782" s="4" t="str">
        <f>IFERROR(__xludf.DUMMYFUNCTION("""COMPUTED_VALUE"""),"cas_hmw")</f>
        <v>cas_hmw</v>
      </c>
      <c r="B16782" s="5">
        <f>IFERROR(__xludf.DUMMYFUNCTION("""COMPUTED_VALUE"""),44737.0)</f>
        <v>44737</v>
      </c>
      <c r="C16782" s="6">
        <f>IFERROR(__xludf.DUMMYFUNCTION("""COMPUTED_VALUE"""),0.34793981481561786)</f>
        <v>0.3479398148</v>
      </c>
      <c r="D16782" s="4">
        <f>IFERROR(__xludf.DUMMYFUNCTION("""COMPUTED_VALUE"""),12.904904)</f>
        <v>12.904904</v>
      </c>
      <c r="E16782" s="4">
        <f>IFERROR(__xludf.DUMMYFUNCTION("""COMPUTED_VALUE"""),80.095331)</f>
        <v>80.095331</v>
      </c>
      <c r="F16782" s="4">
        <f>IFERROR(__xludf.DUMMYFUNCTION("""COMPUTED_VALUE"""),5339.0)</f>
        <v>5339</v>
      </c>
      <c r="G16782" s="4">
        <f>IFERROR(__xludf.DUMMYFUNCTION("""COMPUTED_VALUE"""),30.0)</f>
        <v>30</v>
      </c>
      <c r="H16782" s="4"/>
      <c r="I16782" s="4"/>
    </row>
    <row r="16783">
      <c r="A16783" s="4" t="str">
        <f>IFERROR(__xludf.DUMMYFUNCTION("""COMPUTED_VALUE"""),"cas_hmw")</f>
        <v>cas_hmw</v>
      </c>
      <c r="B16783" s="5">
        <f>IFERROR(__xludf.DUMMYFUNCTION("""COMPUTED_VALUE"""),44737.0)</f>
        <v>44737</v>
      </c>
      <c r="C16783" s="6">
        <f>IFERROR(__xludf.DUMMYFUNCTION("""COMPUTED_VALUE"""),0.34793981481561786)</f>
        <v>0.3479398148</v>
      </c>
      <c r="D16783" s="4">
        <f>IFERROR(__xludf.DUMMYFUNCTION("""COMPUTED_VALUE"""),12.904904)</f>
        <v>12.904904</v>
      </c>
      <c r="E16783" s="4">
        <f>IFERROR(__xludf.DUMMYFUNCTION("""COMPUTED_VALUE"""),80.095331)</f>
        <v>80.095331</v>
      </c>
      <c r="F16783" s="4">
        <f>IFERROR(__xludf.DUMMYFUNCTION("""COMPUTED_VALUE"""),5339.0)</f>
        <v>5339</v>
      </c>
      <c r="G16783" s="4">
        <f>IFERROR(__xludf.DUMMYFUNCTION("""COMPUTED_VALUE"""),30.0)</f>
        <v>30</v>
      </c>
      <c r="H16783" s="4"/>
      <c r="I16783" s="4"/>
    </row>
    <row r="16784">
      <c r="A16784" s="4" t="str">
        <f>IFERROR(__xludf.DUMMYFUNCTION("""COMPUTED_VALUE"""),"cas_hmw")</f>
        <v>cas_hmw</v>
      </c>
      <c r="B16784" s="5">
        <f>IFERROR(__xludf.DUMMYFUNCTION("""COMPUTED_VALUE"""),44737.0)</f>
        <v>44737</v>
      </c>
      <c r="C16784" s="6">
        <f>IFERROR(__xludf.DUMMYFUNCTION("""COMPUTED_VALUE"""),0.3482986111121136)</f>
        <v>0.3482986111</v>
      </c>
      <c r="D16784" s="4">
        <f>IFERROR(__xludf.DUMMYFUNCTION("""COMPUTED_VALUE"""),12.902658)</f>
        <v>12.902658</v>
      </c>
      <c r="E16784" s="4">
        <f>IFERROR(__xludf.DUMMYFUNCTION("""COMPUTED_VALUE"""),80.093488)</f>
        <v>80.093488</v>
      </c>
      <c r="F16784" s="4">
        <f>IFERROR(__xludf.DUMMYFUNCTION("""COMPUTED_VALUE"""),5339.0)</f>
        <v>5339</v>
      </c>
      <c r="G16784" s="4">
        <f>IFERROR(__xludf.DUMMYFUNCTION("""COMPUTED_VALUE"""),46.0)</f>
        <v>46</v>
      </c>
      <c r="H16784" s="4"/>
      <c r="I16784" s="4"/>
    </row>
    <row r="16785">
      <c r="A16785" s="4" t="str">
        <f>IFERROR(__xludf.DUMMYFUNCTION("""COMPUTED_VALUE"""),"cas_hmw")</f>
        <v>cas_hmw</v>
      </c>
      <c r="B16785" s="5">
        <f>IFERROR(__xludf.DUMMYFUNCTION("""COMPUTED_VALUE"""),44737.0)</f>
        <v>44737</v>
      </c>
      <c r="C16785" s="6">
        <f>IFERROR(__xludf.DUMMYFUNCTION("""COMPUTED_VALUE"""),0.3485763888893416)</f>
        <v>0.3485763889</v>
      </c>
      <c r="D16785" s="4">
        <f>IFERROR(__xludf.DUMMYFUNCTION("""COMPUTED_VALUE"""),12.900576)</f>
        <v>12.900576</v>
      </c>
      <c r="E16785" s="4">
        <f>IFERROR(__xludf.DUMMYFUNCTION("""COMPUTED_VALUE"""),80.091944)</f>
        <v>80.091944</v>
      </c>
      <c r="F16785" s="4">
        <f>IFERROR(__xludf.DUMMYFUNCTION("""COMPUTED_VALUE"""),5339.0)</f>
        <v>5339</v>
      </c>
      <c r="G16785" s="4">
        <f>IFERROR(__xludf.DUMMYFUNCTION("""COMPUTED_VALUE"""),56.0)</f>
        <v>56</v>
      </c>
      <c r="H16785" s="4"/>
      <c r="I16785" s="4"/>
    </row>
    <row r="16786">
      <c r="A16786" s="4" t="str">
        <f>IFERROR(__xludf.DUMMYFUNCTION("""COMPUTED_VALUE"""),"cas_hmw")</f>
        <v>cas_hmw</v>
      </c>
      <c r="B16786" s="5">
        <f>IFERROR(__xludf.DUMMYFUNCTION("""COMPUTED_VALUE"""),44737.0)</f>
        <v>44737</v>
      </c>
      <c r="C16786" s="6">
        <f>IFERROR(__xludf.DUMMYFUNCTION("""COMPUTED_VALUE"""),0.3494212962978054)</f>
        <v>0.3494212963</v>
      </c>
      <c r="D16786" s="4">
        <f>IFERROR(__xludf.DUMMYFUNCTION("""COMPUTED_VALUE"""),12.892736)</f>
        <v>12.892736</v>
      </c>
      <c r="E16786" s="4">
        <f>IFERROR(__xludf.DUMMYFUNCTION("""COMPUTED_VALUE"""),80.086068)</f>
        <v>80.086068</v>
      </c>
      <c r="F16786" s="4">
        <f>IFERROR(__xludf.DUMMYFUNCTION("""COMPUTED_VALUE"""),5339.0)</f>
        <v>5339</v>
      </c>
      <c r="G16786" s="4">
        <f>IFERROR(__xludf.DUMMYFUNCTION("""COMPUTED_VALUE"""),51.0)</f>
        <v>51</v>
      </c>
      <c r="H16786" s="4"/>
      <c r="I16786" s="4"/>
    </row>
    <row r="16787">
      <c r="A16787" s="4" t="str">
        <f>IFERROR(__xludf.DUMMYFUNCTION("""COMPUTED_VALUE"""),"cas_hmw")</f>
        <v>cas_hmw</v>
      </c>
      <c r="B16787" s="5">
        <f>IFERROR(__xludf.DUMMYFUNCTION("""COMPUTED_VALUE"""),44737.0)</f>
        <v>44737</v>
      </c>
      <c r="C16787" s="6">
        <f>IFERROR(__xludf.DUMMYFUNCTION("""COMPUTED_VALUE"""),0.6736805555556202)</f>
        <v>0.6736805556</v>
      </c>
      <c r="D16787" s="4">
        <f>IFERROR(__xludf.DUMMYFUNCTION("""COMPUTED_VALUE"""),12.867145)</f>
        <v>12.867145</v>
      </c>
      <c r="E16787" s="4">
        <f>IFERROR(__xludf.DUMMYFUNCTION("""COMPUTED_VALUE"""),80.075565)</f>
        <v>80.075565</v>
      </c>
      <c r="F16787" s="4">
        <f>IFERROR(__xludf.DUMMYFUNCTION("""COMPUTED_VALUE"""),2846.0)</f>
        <v>2846</v>
      </c>
      <c r="G16787" s="4">
        <f>IFERROR(__xludf.DUMMYFUNCTION("""COMPUTED_VALUE"""),0.0)</f>
        <v>0</v>
      </c>
      <c r="H16787" s="4"/>
      <c r="I16787" s="4"/>
    </row>
    <row r="16788">
      <c r="A16788" s="4" t="str">
        <f>IFERROR(__xludf.DUMMYFUNCTION("""COMPUTED_VALUE"""),"cas_hmw")</f>
        <v>cas_hmw</v>
      </c>
      <c r="B16788" s="5">
        <f>IFERROR(__xludf.DUMMYFUNCTION("""COMPUTED_VALUE"""),44737.0)</f>
        <v>44737</v>
      </c>
      <c r="C16788" s="6">
        <f>IFERROR(__xludf.DUMMYFUNCTION("""COMPUTED_VALUE"""),0.6738657407404389)</f>
        <v>0.6738657407</v>
      </c>
      <c r="D16788" s="4">
        <f>IFERROR(__xludf.DUMMYFUNCTION("""COMPUTED_VALUE"""),12.865487)</f>
        <v>12.865487</v>
      </c>
      <c r="E16788" s="4">
        <f>IFERROR(__xludf.DUMMYFUNCTION("""COMPUTED_VALUE"""),80.074938)</f>
        <v>80.074938</v>
      </c>
      <c r="F16788" s="4">
        <f>IFERROR(__xludf.DUMMYFUNCTION("""COMPUTED_VALUE"""),2846.0)</f>
        <v>2846</v>
      </c>
      <c r="G16788" s="4">
        <f>IFERROR(__xludf.DUMMYFUNCTION("""COMPUTED_VALUE"""),43.0)</f>
        <v>43</v>
      </c>
      <c r="H16788" s="4"/>
      <c r="I16788" s="4"/>
    </row>
    <row r="16789">
      <c r="A16789" s="4" t="str">
        <f>IFERROR(__xludf.DUMMYFUNCTION("""COMPUTED_VALUE"""),"cas_hmw")</f>
        <v>cas_hmw</v>
      </c>
      <c r="B16789" s="5">
        <f>IFERROR(__xludf.DUMMYFUNCTION("""COMPUTED_VALUE"""),44737.0)</f>
        <v>44737</v>
      </c>
      <c r="C16789" s="6">
        <f>IFERROR(__xludf.DUMMYFUNCTION("""COMPUTED_VALUE"""),0.6740393518521159)</f>
        <v>0.6740393519</v>
      </c>
      <c r="D16789" s="4">
        <f>IFERROR(__xludf.DUMMYFUNCTION("""COMPUTED_VALUE"""),12.865487)</f>
        <v>12.865487</v>
      </c>
      <c r="E16789" s="4">
        <f>IFERROR(__xludf.DUMMYFUNCTION("""COMPUTED_VALUE"""),80.074938)</f>
        <v>80.074938</v>
      </c>
      <c r="F16789" s="4">
        <f>IFERROR(__xludf.DUMMYFUNCTION("""COMPUTED_VALUE"""),2846.0)</f>
        <v>2846</v>
      </c>
      <c r="G16789" s="4">
        <f>IFERROR(__xludf.DUMMYFUNCTION("""COMPUTED_VALUE"""),43.0)</f>
        <v>43</v>
      </c>
      <c r="H16789" s="4"/>
      <c r="I16789" s="4"/>
    </row>
    <row r="16790">
      <c r="A16790" s="4" t="str">
        <f>IFERROR(__xludf.DUMMYFUNCTION("""COMPUTED_VALUE"""),"cas_hmw")</f>
        <v>cas_hmw</v>
      </c>
      <c r="B16790" s="5">
        <f>IFERROR(__xludf.DUMMYFUNCTION("""COMPUTED_VALUE"""),44737.0)</f>
        <v>44737</v>
      </c>
      <c r="C16790" s="6">
        <f>IFERROR(__xludf.DUMMYFUNCTION("""COMPUTED_VALUE"""),0.6741203703713836)</f>
        <v>0.6741203704</v>
      </c>
      <c r="D16790" s="4">
        <f>IFERROR(__xludf.DUMMYFUNCTION("""COMPUTED_VALUE"""),12.878227)</f>
        <v>12.878227</v>
      </c>
      <c r="E16790" s="4">
        <f>IFERROR(__xludf.DUMMYFUNCTION("""COMPUTED_VALUE"""),80.08255)</f>
        <v>80.08255</v>
      </c>
      <c r="F16790" s="4">
        <f>IFERROR(__xludf.DUMMYFUNCTION("""COMPUTED_VALUE"""),805.0)</f>
        <v>805</v>
      </c>
      <c r="G16790" s="4">
        <f>IFERROR(__xludf.DUMMYFUNCTION("""COMPUTED_VALUE"""),51.0)</f>
        <v>51</v>
      </c>
      <c r="H16790" s="4"/>
      <c r="I16790" s="4"/>
    </row>
    <row r="16791">
      <c r="A16791" s="4" t="str">
        <f>IFERROR(__xludf.DUMMYFUNCTION("""COMPUTED_VALUE"""),"cas_hmw")</f>
        <v>cas_hmw</v>
      </c>
      <c r="B16791" s="5">
        <f>IFERROR(__xludf.DUMMYFUNCTION("""COMPUTED_VALUE"""),44737.0)</f>
        <v>44737</v>
      </c>
      <c r="C16791" s="6">
        <f>IFERROR(__xludf.DUMMYFUNCTION("""COMPUTED_VALUE"""),0.6744791666678793)</f>
        <v>0.6744791667</v>
      </c>
      <c r="D16791" s="4">
        <f>IFERROR(__xludf.DUMMYFUNCTION("""COMPUTED_VALUE"""),12.891292)</f>
        <v>12.891292</v>
      </c>
      <c r="E16791" s="4">
        <f>IFERROR(__xludf.DUMMYFUNCTION("""COMPUTED_VALUE"""),80.085039)</f>
        <v>80.085039</v>
      </c>
      <c r="F16791" s="4">
        <f>IFERROR(__xludf.DUMMYFUNCTION("""COMPUTED_VALUE"""),5339.0)</f>
        <v>5339</v>
      </c>
      <c r="G16791" s="4">
        <f>IFERROR(__xludf.DUMMYFUNCTION("""COMPUTED_VALUE"""),58.0)</f>
        <v>58</v>
      </c>
      <c r="H16791" s="4"/>
      <c r="I16791" s="4"/>
    </row>
    <row r="16792">
      <c r="A16792" s="4" t="str">
        <f>IFERROR(__xludf.DUMMYFUNCTION("""COMPUTED_VALUE"""),"cas_hmw")</f>
        <v>cas_hmw</v>
      </c>
      <c r="B16792" s="5">
        <f>IFERROR(__xludf.DUMMYFUNCTION("""COMPUTED_VALUE"""),44737.0)</f>
        <v>44737</v>
      </c>
      <c r="C16792" s="6">
        <f>IFERROR(__xludf.DUMMYFUNCTION("""COMPUTED_VALUE"""),0.6747453703719657)</f>
        <v>0.6747453704</v>
      </c>
      <c r="D16792" s="4">
        <f>IFERROR(__xludf.DUMMYFUNCTION("""COMPUTED_VALUE"""),12.893686)</f>
        <v>12.893686</v>
      </c>
      <c r="E16792" s="4">
        <f>IFERROR(__xludf.DUMMYFUNCTION("""COMPUTED_VALUE"""),80.086592)</f>
        <v>80.086592</v>
      </c>
      <c r="F16792" s="4">
        <f>IFERROR(__xludf.DUMMYFUNCTION("""COMPUTED_VALUE"""),5339.0)</f>
        <v>5339</v>
      </c>
      <c r="G16792" s="4">
        <f>IFERROR(__xludf.DUMMYFUNCTION("""COMPUTED_VALUE"""),47.0)</f>
        <v>47</v>
      </c>
      <c r="H16792" s="4"/>
      <c r="I16792" s="4"/>
    </row>
    <row r="16793">
      <c r="A16793" s="4" t="str">
        <f>IFERROR(__xludf.DUMMYFUNCTION("""COMPUTED_VALUE"""),"cas_hmw")</f>
        <v>cas_hmw</v>
      </c>
      <c r="B16793" s="5">
        <f>IFERROR(__xludf.DUMMYFUNCTION("""COMPUTED_VALUE"""),44737.0)</f>
        <v>44737</v>
      </c>
      <c r="C16793" s="6">
        <f>IFERROR(__xludf.DUMMYFUNCTION("""COMPUTED_VALUE"""),0.6749999999992724)</f>
        <v>0.675</v>
      </c>
      <c r="D16793" s="4">
        <f>IFERROR(__xludf.DUMMYFUNCTION("""COMPUTED_VALUE"""),12.895634)</f>
        <v>12.895634</v>
      </c>
      <c r="E16793" s="4">
        <f>IFERROR(__xludf.DUMMYFUNCTION("""COMPUTED_VALUE"""),80.088089)</f>
        <v>80.088089</v>
      </c>
      <c r="F16793" s="4">
        <f>IFERROR(__xludf.DUMMYFUNCTION("""COMPUTED_VALUE"""),5339.0)</f>
        <v>5339</v>
      </c>
      <c r="G16793" s="4">
        <f>IFERROR(__xludf.DUMMYFUNCTION("""COMPUTED_VALUE"""),51.0)</f>
        <v>51</v>
      </c>
      <c r="H16793" s="4"/>
      <c r="I16793" s="4"/>
    </row>
    <row r="16794">
      <c r="A16794" s="4" t="str">
        <f>IFERROR(__xludf.DUMMYFUNCTION("""COMPUTED_VALUE"""),"cas_hmw")</f>
        <v>cas_hmw</v>
      </c>
      <c r="B16794" s="5">
        <f>IFERROR(__xludf.DUMMYFUNCTION("""COMPUTED_VALUE"""),44737.0)</f>
        <v>44737</v>
      </c>
      <c r="C16794" s="6">
        <f>IFERROR(__xludf.DUMMYFUNCTION("""COMPUTED_VALUE"""),0.6755439814805868)</f>
        <v>0.6755439815</v>
      </c>
      <c r="D16794" s="4">
        <f>IFERROR(__xludf.DUMMYFUNCTION("""COMPUTED_VALUE"""),12.901172)</f>
        <v>12.901172</v>
      </c>
      <c r="E16794" s="4">
        <f>IFERROR(__xludf.DUMMYFUNCTION("""COMPUTED_VALUE"""),80.092262)</f>
        <v>80.092262</v>
      </c>
      <c r="F16794" s="4">
        <f>IFERROR(__xludf.DUMMYFUNCTION("""COMPUTED_VALUE"""),5339.0)</f>
        <v>5339</v>
      </c>
      <c r="G16794" s="4">
        <f>IFERROR(__xludf.DUMMYFUNCTION("""COMPUTED_VALUE"""),56.0)</f>
        <v>56</v>
      </c>
      <c r="H16794" s="4"/>
      <c r="I16794" s="4"/>
    </row>
    <row r="16795">
      <c r="A16795" s="4" t="str">
        <f>IFERROR(__xludf.DUMMYFUNCTION("""COMPUTED_VALUE"""),"cas_hmw")</f>
        <v>cas_hmw</v>
      </c>
      <c r="B16795" s="5">
        <f>IFERROR(__xludf.DUMMYFUNCTION("""COMPUTED_VALUE"""),44737.0)</f>
        <v>44737</v>
      </c>
      <c r="C16795" s="6">
        <f>IFERROR(__xludf.DUMMYFUNCTION("""COMPUTED_VALUE"""),0.6756249999998545)</f>
        <v>0.675625</v>
      </c>
      <c r="D16795" s="4">
        <f>IFERROR(__xludf.DUMMYFUNCTION("""COMPUTED_VALUE"""),12.901172)</f>
        <v>12.901172</v>
      </c>
      <c r="E16795" s="4">
        <f>IFERROR(__xludf.DUMMYFUNCTION("""COMPUTED_VALUE"""),80.092262)</f>
        <v>80.092262</v>
      </c>
      <c r="F16795" s="4">
        <f>IFERROR(__xludf.DUMMYFUNCTION("""COMPUTED_VALUE"""),5339.0)</f>
        <v>5339</v>
      </c>
      <c r="G16795" s="4">
        <f>IFERROR(__xludf.DUMMYFUNCTION("""COMPUTED_VALUE"""),56.0)</f>
        <v>56</v>
      </c>
      <c r="H16795" s="4"/>
      <c r="I16795" s="4"/>
    </row>
    <row r="16796">
      <c r="A16796" s="4" t="str">
        <f>IFERROR(__xludf.DUMMYFUNCTION("""COMPUTED_VALUE"""),"cas_hmw")</f>
        <v>cas_hmw</v>
      </c>
      <c r="B16796" s="5">
        <f>IFERROR(__xludf.DUMMYFUNCTION("""COMPUTED_VALUE"""),44737.0)</f>
        <v>44737</v>
      </c>
      <c r="C16796" s="6">
        <f>IFERROR(__xludf.DUMMYFUNCTION("""COMPUTED_VALUE"""),0.6756365740729962)</f>
        <v>0.6756365741</v>
      </c>
      <c r="D16796" s="4">
        <f>IFERROR(__xludf.DUMMYFUNCTION("""COMPUTED_VALUE"""),12.902194)</f>
        <v>12.902194</v>
      </c>
      <c r="E16796" s="4">
        <f>IFERROR(__xludf.DUMMYFUNCTION("""COMPUTED_VALUE"""),80.093031)</f>
        <v>80.093031</v>
      </c>
      <c r="F16796" s="4">
        <f>IFERROR(__xludf.DUMMYFUNCTION("""COMPUTED_VALUE"""),5339.0)</f>
        <v>5339</v>
      </c>
      <c r="G16796" s="4">
        <f>IFERROR(__xludf.DUMMYFUNCTION("""COMPUTED_VALUE"""),47.0)</f>
        <v>47</v>
      </c>
      <c r="H16796" s="4"/>
      <c r="I16796" s="4"/>
    </row>
    <row r="16797">
      <c r="A16797" s="4" t="str">
        <f>IFERROR(__xludf.DUMMYFUNCTION("""COMPUTED_VALUE"""),"cas_hmw")</f>
        <v>cas_hmw</v>
      </c>
      <c r="B16797" s="5">
        <f>IFERROR(__xludf.DUMMYFUNCTION("""COMPUTED_VALUE"""),44737.0)</f>
        <v>44737</v>
      </c>
      <c r="C16797" s="6">
        <f>IFERROR(__xludf.DUMMYFUNCTION("""COMPUTED_VALUE"""),0.6762037037042319)</f>
        <v>0.6762037037</v>
      </c>
      <c r="D16797" s="4">
        <f>IFERROR(__xludf.DUMMYFUNCTION("""COMPUTED_VALUE"""),12.905817)</f>
        <v>12.905817</v>
      </c>
      <c r="E16797" s="4">
        <f>IFERROR(__xludf.DUMMYFUNCTION("""COMPUTED_VALUE"""),80.095895)</f>
        <v>80.095895</v>
      </c>
      <c r="F16797" s="4">
        <f>IFERROR(__xludf.DUMMYFUNCTION("""COMPUTED_VALUE"""),5339.0)</f>
        <v>5339</v>
      </c>
      <c r="G16797" s="4">
        <f>IFERROR(__xludf.DUMMYFUNCTION("""COMPUTED_VALUE"""),35.0)</f>
        <v>35</v>
      </c>
      <c r="H16797" s="4"/>
      <c r="I16797" s="4"/>
    </row>
    <row r="16798">
      <c r="A16798" s="4" t="str">
        <f>IFERROR(__xludf.DUMMYFUNCTION("""COMPUTED_VALUE"""),"cas_hmw")</f>
        <v>cas_hmw</v>
      </c>
      <c r="B16798" s="5">
        <f>IFERROR(__xludf.DUMMYFUNCTION("""COMPUTED_VALUE"""),44737.0)</f>
        <v>44737</v>
      </c>
      <c r="C16798" s="6">
        <f>IFERROR(__xludf.DUMMYFUNCTION("""COMPUTED_VALUE"""),0.6769444444435067)</f>
        <v>0.6769444444</v>
      </c>
      <c r="D16798" s="4">
        <f>IFERROR(__xludf.DUMMYFUNCTION("""COMPUTED_VALUE"""),12.882518)</f>
        <v>12.882518</v>
      </c>
      <c r="E16798" s="4">
        <f>IFERROR(__xludf.DUMMYFUNCTION("""COMPUTED_VALUE"""),80.081098)</f>
        <v>80.081098</v>
      </c>
      <c r="F16798" s="4">
        <f>IFERROR(__xludf.DUMMYFUNCTION("""COMPUTED_VALUE"""),805.0)</f>
        <v>805</v>
      </c>
      <c r="G16798" s="4">
        <f>IFERROR(__xludf.DUMMYFUNCTION("""COMPUTED_VALUE"""),20.0)</f>
        <v>20</v>
      </c>
      <c r="H16798" s="4"/>
      <c r="I16798" s="4"/>
    </row>
    <row r="16799">
      <c r="A16799" s="4" t="str">
        <f>IFERROR(__xludf.DUMMYFUNCTION("""COMPUTED_VALUE"""),"cas_hmw")</f>
        <v>cas_hmw</v>
      </c>
      <c r="B16799" s="5">
        <f>IFERROR(__xludf.DUMMYFUNCTION("""COMPUTED_VALUE"""),44737.0)</f>
        <v>44737</v>
      </c>
      <c r="C16799" s="6">
        <f>IFERROR(__xludf.DUMMYFUNCTION("""COMPUTED_VALUE"""),0.677314814813144)</f>
        <v>0.6773148148</v>
      </c>
      <c r="D16799" s="4">
        <f>IFERROR(__xludf.DUMMYFUNCTION("""COMPUTED_VALUE"""),12.884231)</f>
        <v>12.884231</v>
      </c>
      <c r="E16799" s="4">
        <f>IFERROR(__xludf.DUMMYFUNCTION("""COMPUTED_VALUE"""),80.08178)</f>
        <v>80.08178</v>
      </c>
      <c r="F16799" s="4">
        <f>IFERROR(__xludf.DUMMYFUNCTION("""COMPUTED_VALUE"""),805.0)</f>
        <v>805</v>
      </c>
      <c r="G16799" s="4">
        <f>IFERROR(__xludf.DUMMYFUNCTION("""COMPUTED_VALUE"""),28.0)</f>
        <v>28</v>
      </c>
      <c r="H16799" s="4"/>
      <c r="I16799" s="4"/>
    </row>
    <row r="16800">
      <c r="A16800" s="4" t="str">
        <f>IFERROR(__xludf.DUMMYFUNCTION("""COMPUTED_VALUE"""),"cas_hmw")</f>
        <v>cas_hmw</v>
      </c>
      <c r="B16800" s="5">
        <f>IFERROR(__xludf.DUMMYFUNCTION("""COMPUTED_VALUE"""),44737.0)</f>
        <v>44737</v>
      </c>
      <c r="C16800" s="6">
        <f>IFERROR(__xludf.DUMMYFUNCTION("""COMPUTED_VALUE"""),0.6774652777785377)</f>
        <v>0.6774652778</v>
      </c>
      <c r="D16800" s="4">
        <f>IFERROR(__xludf.DUMMYFUNCTION("""COMPUTED_VALUE"""),12.884937)</f>
        <v>12.884937</v>
      </c>
      <c r="E16800" s="4">
        <f>IFERROR(__xludf.DUMMYFUNCTION("""COMPUTED_VALUE"""),80.082088)</f>
        <v>80.082088</v>
      </c>
      <c r="F16800" s="4">
        <f>IFERROR(__xludf.DUMMYFUNCTION("""COMPUTED_VALUE"""),805.0)</f>
        <v>805</v>
      </c>
      <c r="G16800" s="4">
        <f>IFERROR(__xludf.DUMMYFUNCTION("""COMPUTED_VALUE"""),34.0)</f>
        <v>34</v>
      </c>
      <c r="H16800" s="4"/>
      <c r="I16800" s="4"/>
    </row>
    <row r="16801">
      <c r="A16801" s="4" t="str">
        <f>IFERROR(__xludf.DUMMYFUNCTION("""COMPUTED_VALUE"""),"cas_hmw")</f>
        <v>cas_hmw</v>
      </c>
      <c r="B16801" s="5">
        <f>IFERROR(__xludf.DUMMYFUNCTION("""COMPUTED_VALUE"""),44737.0)</f>
        <v>44737</v>
      </c>
      <c r="C16801" s="6">
        <f>IFERROR(__xludf.DUMMYFUNCTION("""COMPUTED_VALUE"""),0.6775462962978054)</f>
        <v>0.6775462963</v>
      </c>
      <c r="D16801" s="4">
        <f>IFERROR(__xludf.DUMMYFUNCTION("""COMPUTED_VALUE"""),12.88568)</f>
        <v>12.88568</v>
      </c>
      <c r="E16801" s="4">
        <f>IFERROR(__xludf.DUMMYFUNCTION("""COMPUTED_VALUE"""),80.082646)</f>
        <v>80.082646</v>
      </c>
      <c r="F16801" s="4">
        <f>IFERROR(__xludf.DUMMYFUNCTION("""COMPUTED_VALUE"""),805.0)</f>
        <v>805</v>
      </c>
      <c r="G16801" s="4">
        <f>IFERROR(__xludf.DUMMYFUNCTION("""COMPUTED_VALUE"""),34.0)</f>
        <v>34</v>
      </c>
      <c r="H16801" s="4"/>
      <c r="I16801" s="4"/>
    </row>
    <row r="16802">
      <c r="A16802" s="4" t="str">
        <f>IFERROR(__xludf.DUMMYFUNCTION("""COMPUTED_VALUE"""),"cas_hmw")</f>
        <v>cas_hmw</v>
      </c>
      <c r="B16802" s="5">
        <f>IFERROR(__xludf.DUMMYFUNCTION("""COMPUTED_VALUE"""),44737.0)</f>
        <v>44737</v>
      </c>
      <c r="C16802" s="6">
        <f>IFERROR(__xludf.DUMMYFUNCTION("""COMPUTED_VALUE"""),0.6776388888902147)</f>
        <v>0.6776388889</v>
      </c>
      <c r="D16802" s="4">
        <f>IFERROR(__xludf.DUMMYFUNCTION("""COMPUTED_VALUE"""),12.845838)</f>
        <v>12.845838</v>
      </c>
      <c r="E16802" s="4">
        <f>IFERROR(__xludf.DUMMYFUNCTION("""COMPUTED_VALUE"""),80.061821)</f>
        <v>80.061821</v>
      </c>
      <c r="F16802" s="4">
        <f>IFERROR(__xludf.DUMMYFUNCTION("""COMPUTED_VALUE"""),2846.0)</f>
        <v>2846</v>
      </c>
      <c r="G16802" s="4">
        <f>IFERROR(__xludf.DUMMYFUNCTION("""COMPUTED_VALUE"""),19.0)</f>
        <v>19</v>
      </c>
      <c r="H16802" s="4"/>
      <c r="I16802" s="4"/>
    </row>
    <row r="16803">
      <c r="A16803" s="4" t="str">
        <f>IFERROR(__xludf.DUMMYFUNCTION("""COMPUTED_VALUE"""),"cas_hmw")</f>
        <v>cas_hmw</v>
      </c>
      <c r="B16803" s="5">
        <f>IFERROR(__xludf.DUMMYFUNCTION("""COMPUTED_VALUE"""),44737.0)</f>
        <v>44737</v>
      </c>
      <c r="C16803" s="6">
        <f>IFERROR(__xludf.DUMMYFUNCTION("""COMPUTED_VALUE"""),0.6781597222216078)</f>
        <v>0.6781597222</v>
      </c>
      <c r="D16803" s="4">
        <f>IFERROR(__xludf.DUMMYFUNCTION("""COMPUTED_VALUE"""),12.916855)</f>
        <v>12.916855</v>
      </c>
      <c r="E16803" s="4">
        <f>IFERROR(__xludf.DUMMYFUNCTION("""COMPUTED_VALUE"""),80.10676)</f>
        <v>80.10676</v>
      </c>
      <c r="F16803" s="4">
        <f>IFERROR(__xludf.DUMMYFUNCTION("""COMPUTED_VALUE"""),5339.0)</f>
        <v>5339</v>
      </c>
      <c r="G16803" s="4">
        <f>IFERROR(__xludf.DUMMYFUNCTION("""COMPUTED_VALUE"""),14.0)</f>
        <v>14</v>
      </c>
      <c r="H16803" s="4"/>
      <c r="I16803" s="4"/>
    </row>
    <row r="16804">
      <c r="A16804" s="4" t="str">
        <f>IFERROR(__xludf.DUMMYFUNCTION("""COMPUTED_VALUE"""),"cas_hmw")</f>
        <v>cas_hmw</v>
      </c>
      <c r="B16804" s="5">
        <f>IFERROR(__xludf.DUMMYFUNCTION("""COMPUTED_VALUE"""),44737.0)</f>
        <v>44737</v>
      </c>
      <c r="C16804" s="6">
        <f>IFERROR(__xludf.DUMMYFUNCTION("""COMPUTED_VALUE"""),0.6785185185181035)</f>
        <v>0.6785185185</v>
      </c>
      <c r="D16804" s="4">
        <f>IFERROR(__xludf.DUMMYFUNCTION("""COMPUTED_VALUE"""),12.918657)</f>
        <v>12.918657</v>
      </c>
      <c r="E16804" s="4">
        <f>IFERROR(__xludf.DUMMYFUNCTION("""COMPUTED_VALUE"""),80.109307)</f>
        <v>80.109307</v>
      </c>
      <c r="F16804" s="4">
        <f>IFERROR(__xludf.DUMMYFUNCTION("""COMPUTED_VALUE"""),5339.0)</f>
        <v>5339</v>
      </c>
      <c r="G16804" s="4">
        <f>IFERROR(__xludf.DUMMYFUNCTION("""COMPUTED_VALUE"""),52.0)</f>
        <v>52</v>
      </c>
      <c r="H16804" s="4"/>
      <c r="I16804" s="4"/>
    </row>
    <row r="16805">
      <c r="A16805" s="4" t="str">
        <f>IFERROR(__xludf.DUMMYFUNCTION("""COMPUTED_VALUE"""),"cas_hmw")</f>
        <v>cas_hmw</v>
      </c>
      <c r="B16805" s="5">
        <f>IFERROR(__xludf.DUMMYFUNCTION("""COMPUTED_VALUE"""),44737.0)</f>
        <v>44737</v>
      </c>
      <c r="C16805" s="6">
        <f>IFERROR(__xludf.DUMMYFUNCTION("""COMPUTED_VALUE"""),0.6789814814801503)</f>
        <v>0.6789814815</v>
      </c>
      <c r="D16805" s="4">
        <f>IFERROR(__xludf.DUMMYFUNCTION("""COMPUTED_VALUE"""),12.839889)</f>
        <v>12.839889</v>
      </c>
      <c r="E16805" s="4">
        <f>IFERROR(__xludf.DUMMYFUNCTION("""COMPUTED_VALUE"""),80.055637)</f>
        <v>80.055637</v>
      </c>
      <c r="F16805" s="4">
        <f>IFERROR(__xludf.DUMMYFUNCTION("""COMPUTED_VALUE"""),2846.0)</f>
        <v>2846</v>
      </c>
      <c r="G16805" s="4">
        <f>IFERROR(__xludf.DUMMYFUNCTION("""COMPUTED_VALUE"""),52.0)</f>
        <v>52</v>
      </c>
      <c r="H16805" s="4"/>
      <c r="I16805" s="4"/>
    </row>
    <row r="16806">
      <c r="A16806" s="4" t="str">
        <f>IFERROR(__xludf.DUMMYFUNCTION("""COMPUTED_VALUE"""),"cas_hmw")</f>
        <v>cas_hmw</v>
      </c>
      <c r="B16806" s="5">
        <f>IFERROR(__xludf.DUMMYFUNCTION("""COMPUTED_VALUE"""),44737.0)</f>
        <v>44737</v>
      </c>
      <c r="C16806" s="6">
        <f>IFERROR(__xludf.DUMMYFUNCTION("""COMPUTED_VALUE"""),0.6793865740728506)</f>
        <v>0.6793865741</v>
      </c>
      <c r="D16806" s="4">
        <f>IFERROR(__xludf.DUMMYFUNCTION("""COMPUTED_VALUE"""),12.837158)</f>
        <v>12.837158</v>
      </c>
      <c r="E16806" s="4">
        <f>IFERROR(__xludf.DUMMYFUNCTION("""COMPUTED_VALUE"""),80.052771)</f>
        <v>80.052771</v>
      </c>
      <c r="F16806" s="4">
        <f>IFERROR(__xludf.DUMMYFUNCTION("""COMPUTED_VALUE"""),2846.0)</f>
        <v>2846</v>
      </c>
      <c r="G16806" s="4">
        <f>IFERROR(__xludf.DUMMYFUNCTION("""COMPUTED_VALUE"""),54.0)</f>
        <v>54</v>
      </c>
      <c r="H16806" s="4"/>
      <c r="I16806" s="4"/>
    </row>
    <row r="16807">
      <c r="A16807" s="4" t="str">
        <f>IFERROR(__xludf.DUMMYFUNCTION("""COMPUTED_VALUE"""),"cas_hmw")</f>
        <v>cas_hmw</v>
      </c>
      <c r="B16807" s="5">
        <f>IFERROR(__xludf.DUMMYFUNCTION("""COMPUTED_VALUE"""),44737.0)</f>
        <v>44737</v>
      </c>
      <c r="C16807" s="6">
        <f>IFERROR(__xludf.DUMMYFUNCTION("""COMPUTED_VALUE"""),0.6795717592576693)</f>
        <v>0.6795717593</v>
      </c>
      <c r="D16807" s="4">
        <f>IFERROR(__xludf.DUMMYFUNCTION("""COMPUTED_VALUE"""),12.905617)</f>
        <v>12.905617</v>
      </c>
      <c r="E16807" s="4">
        <f>IFERROR(__xludf.DUMMYFUNCTION("""COMPUTED_VALUE"""),80.095542)</f>
        <v>80.095542</v>
      </c>
      <c r="F16807" s="4">
        <f>IFERROR(__xludf.DUMMYFUNCTION("""COMPUTED_VALUE"""),805.0)</f>
        <v>805</v>
      </c>
      <c r="G16807" s="4">
        <f>IFERROR(__xludf.DUMMYFUNCTION("""COMPUTED_VALUE"""),50.0)</f>
        <v>50</v>
      </c>
      <c r="H16807" s="4"/>
      <c r="I16807" s="4"/>
    </row>
    <row r="16808">
      <c r="A16808" s="4" t="str">
        <f>IFERROR(__xludf.DUMMYFUNCTION("""COMPUTED_VALUE"""),"cas_hmw")</f>
        <v>cas_hmw</v>
      </c>
      <c r="B16808" s="5">
        <f>IFERROR(__xludf.DUMMYFUNCTION("""COMPUTED_VALUE"""),44737.0)</f>
        <v>44737</v>
      </c>
      <c r="C16808" s="6">
        <f>IFERROR(__xludf.DUMMYFUNCTION("""COMPUTED_VALUE"""),0.6795949074075907)</f>
        <v>0.6795949074</v>
      </c>
      <c r="D16808" s="4">
        <f>IFERROR(__xludf.DUMMYFUNCTION("""COMPUTED_VALUE"""),12.924699)</f>
        <v>12.924699</v>
      </c>
      <c r="E16808" s="4">
        <f>IFERROR(__xludf.DUMMYFUNCTION("""COMPUTED_VALUE"""),80.115797)</f>
        <v>80.115797</v>
      </c>
      <c r="F16808" s="4">
        <f>IFERROR(__xludf.DUMMYFUNCTION("""COMPUTED_VALUE"""),5339.0)</f>
        <v>5339</v>
      </c>
      <c r="G16808" s="4">
        <f>IFERROR(__xludf.DUMMYFUNCTION("""COMPUTED_VALUE"""),45.0)</f>
        <v>45</v>
      </c>
      <c r="H16808" s="4"/>
      <c r="I16808" s="4"/>
    </row>
    <row r="16809">
      <c r="A16809" s="4" t="str">
        <f>IFERROR(__xludf.DUMMYFUNCTION("""COMPUTED_VALUE"""),"cas_hmw")</f>
        <v>cas_hmw</v>
      </c>
      <c r="B16809" s="5">
        <f>IFERROR(__xludf.DUMMYFUNCTION("""COMPUTED_VALUE"""),44737.0)</f>
        <v>44737</v>
      </c>
      <c r="C16809" s="6">
        <f>IFERROR(__xludf.DUMMYFUNCTION("""COMPUTED_VALUE"""),0.6797337962962047)</f>
        <v>0.6797337963</v>
      </c>
      <c r="D16809" s="4">
        <f>IFERROR(__xludf.DUMMYFUNCTION("""COMPUTED_VALUE"""),12.924699)</f>
        <v>12.924699</v>
      </c>
      <c r="E16809" s="4">
        <f>IFERROR(__xludf.DUMMYFUNCTION("""COMPUTED_VALUE"""),80.115797)</f>
        <v>80.115797</v>
      </c>
      <c r="F16809" s="4">
        <f>IFERROR(__xludf.DUMMYFUNCTION("""COMPUTED_VALUE"""),5339.0)</f>
        <v>5339</v>
      </c>
      <c r="G16809" s="4">
        <f>IFERROR(__xludf.DUMMYFUNCTION("""COMPUTED_VALUE"""),45.0)</f>
        <v>45</v>
      </c>
      <c r="H16809" s="4"/>
      <c r="I16809" s="4"/>
    </row>
    <row r="16810">
      <c r="A16810" s="4" t="str">
        <f>IFERROR(__xludf.DUMMYFUNCTION("""COMPUTED_VALUE"""),"cas_hmw")</f>
        <v>cas_hmw</v>
      </c>
      <c r="B16810" s="5">
        <f>IFERROR(__xludf.DUMMYFUNCTION("""COMPUTED_VALUE"""),44737.0)</f>
        <v>44737</v>
      </c>
      <c r="C16810" s="6">
        <f>IFERROR(__xludf.DUMMYFUNCTION("""COMPUTED_VALUE"""),0.680000000000291)</f>
        <v>0.68</v>
      </c>
      <c r="D16810" s="4">
        <f>IFERROR(__xludf.DUMMYFUNCTION("""COMPUTED_VALUE"""),12.83214)</f>
        <v>12.83214</v>
      </c>
      <c r="E16810" s="4">
        <f>IFERROR(__xludf.DUMMYFUNCTION("""COMPUTED_VALUE"""),80.047508)</f>
        <v>80.047508</v>
      </c>
      <c r="F16810" s="4">
        <f>IFERROR(__xludf.DUMMYFUNCTION("""COMPUTED_VALUE"""),2846.0)</f>
        <v>2846</v>
      </c>
      <c r="G16810" s="4">
        <f>IFERROR(__xludf.DUMMYFUNCTION("""COMPUTED_VALUE"""),58.0)</f>
        <v>58</v>
      </c>
      <c r="H16810" s="4"/>
      <c r="I16810" s="4"/>
    </row>
    <row r="16811">
      <c r="A16811" s="4" t="str">
        <f>IFERROR(__xludf.DUMMYFUNCTION("""COMPUTED_VALUE"""),"cas_hmw")</f>
        <v>cas_hmw</v>
      </c>
      <c r="B16811" s="5">
        <f>IFERROR(__xludf.DUMMYFUNCTION("""COMPUTED_VALUE"""),44737.0)</f>
        <v>44737</v>
      </c>
      <c r="C16811" s="6">
        <f>IFERROR(__xludf.DUMMYFUNCTION("""COMPUTED_VALUE"""),0.6800578703696374)</f>
        <v>0.6800578704</v>
      </c>
      <c r="D16811" s="4">
        <f>IFERROR(__xludf.DUMMYFUNCTION("""COMPUTED_VALUE"""),12.926748)</f>
        <v>12.926748</v>
      </c>
      <c r="E16811" s="4">
        <f>IFERROR(__xludf.DUMMYFUNCTION("""COMPUTED_VALUE"""),80.117866)</f>
        <v>80.117866</v>
      </c>
      <c r="F16811" s="4">
        <f>IFERROR(__xludf.DUMMYFUNCTION("""COMPUTED_VALUE"""),5339.0)</f>
        <v>5339</v>
      </c>
      <c r="G16811" s="4">
        <f>IFERROR(__xludf.DUMMYFUNCTION("""COMPUTED_VALUE"""),30.0)</f>
        <v>30</v>
      </c>
      <c r="H16811" s="4"/>
      <c r="I16811" s="4"/>
    </row>
    <row r="16812">
      <c r="A16812" s="4" t="str">
        <f>IFERROR(__xludf.DUMMYFUNCTION("""COMPUTED_VALUE"""),"cas_hmw")</f>
        <v>cas_hmw</v>
      </c>
      <c r="B16812" s="5">
        <f>IFERROR(__xludf.DUMMYFUNCTION("""COMPUTED_VALUE"""),44737.0)</f>
        <v>44737</v>
      </c>
      <c r="C16812" s="6">
        <f>IFERROR(__xludf.DUMMYFUNCTION("""COMPUTED_VALUE"""),0.6803587962967867)</f>
        <v>0.6803587963</v>
      </c>
      <c r="D16812" s="4">
        <f>IFERROR(__xludf.DUMMYFUNCTION("""COMPUTED_VALUE"""),12.82823)</f>
        <v>12.82823</v>
      </c>
      <c r="E16812" s="4">
        <f>IFERROR(__xludf.DUMMYFUNCTION("""COMPUTED_VALUE"""),80.043433)</f>
        <v>80.043433</v>
      </c>
      <c r="F16812" s="4">
        <f>IFERROR(__xludf.DUMMYFUNCTION("""COMPUTED_VALUE"""),2846.0)</f>
        <v>2846</v>
      </c>
      <c r="G16812" s="4">
        <f>IFERROR(__xludf.DUMMYFUNCTION("""COMPUTED_VALUE"""),57.0)</f>
        <v>57</v>
      </c>
      <c r="H16812" s="4"/>
      <c r="I16812" s="4"/>
    </row>
    <row r="16813">
      <c r="A16813" s="4" t="str">
        <f>IFERROR(__xludf.DUMMYFUNCTION("""COMPUTED_VALUE"""),"cas_hmw")</f>
        <v>cas_hmw</v>
      </c>
      <c r="B16813" s="5">
        <f>IFERROR(__xludf.DUMMYFUNCTION("""COMPUTED_VALUE"""),44737.0)</f>
        <v>44737</v>
      </c>
      <c r="C16813" s="6">
        <f>IFERROR(__xludf.DUMMYFUNCTION("""COMPUTED_VALUE"""),0.6809953703705105)</f>
        <v>0.6809953704</v>
      </c>
      <c r="D16813" s="4">
        <f>IFERROR(__xludf.DUMMYFUNCTION("""COMPUTED_VALUE"""),12.931127)</f>
        <v>12.931127</v>
      </c>
      <c r="E16813" s="4">
        <f>IFERROR(__xludf.DUMMYFUNCTION("""COMPUTED_VALUE"""),80.122258)</f>
        <v>80.122258</v>
      </c>
      <c r="F16813" s="4">
        <f>IFERROR(__xludf.DUMMYFUNCTION("""COMPUTED_VALUE"""),5339.0)</f>
        <v>5339</v>
      </c>
      <c r="G16813" s="4">
        <f>IFERROR(__xludf.DUMMYFUNCTION("""COMPUTED_VALUE"""),33.0)</f>
        <v>33</v>
      </c>
      <c r="H16813" s="4"/>
      <c r="I16813" s="4"/>
    </row>
    <row r="16814">
      <c r="A16814" s="4" t="str">
        <f>IFERROR(__xludf.DUMMYFUNCTION("""COMPUTED_VALUE"""),"cas_hmw")</f>
        <v>cas_hmw</v>
      </c>
      <c r="B16814" s="5">
        <f>IFERROR(__xludf.DUMMYFUNCTION("""COMPUTED_VALUE"""),44737.0)</f>
        <v>44737</v>
      </c>
      <c r="C16814" s="6">
        <f>IFERROR(__xludf.DUMMYFUNCTION("""COMPUTED_VALUE"""),0.6810069444436522)</f>
        <v>0.6810069444</v>
      </c>
      <c r="D16814" s="4">
        <f>IFERROR(__xludf.DUMMYFUNCTION("""COMPUTED_VALUE"""),12.931127)</f>
        <v>12.931127</v>
      </c>
      <c r="E16814" s="4">
        <f>IFERROR(__xludf.DUMMYFUNCTION("""COMPUTED_VALUE"""),80.122258)</f>
        <v>80.122258</v>
      </c>
      <c r="F16814" s="4">
        <f>IFERROR(__xludf.DUMMYFUNCTION("""COMPUTED_VALUE"""),5339.0)</f>
        <v>5339</v>
      </c>
      <c r="G16814" s="4">
        <f>IFERROR(__xludf.DUMMYFUNCTION("""COMPUTED_VALUE"""),33.0)</f>
        <v>33</v>
      </c>
      <c r="H16814" s="4"/>
      <c r="I16814" s="4"/>
    </row>
    <row r="16815">
      <c r="A16815" s="4" t="str">
        <f>IFERROR(__xludf.DUMMYFUNCTION("""COMPUTED_VALUE"""),"cas_hmw")</f>
        <v>cas_hmw</v>
      </c>
      <c r="B16815" s="5">
        <f>IFERROR(__xludf.DUMMYFUNCTION("""COMPUTED_VALUE"""),44737.0)</f>
        <v>44737</v>
      </c>
      <c r="C16815" s="6">
        <f>IFERROR(__xludf.DUMMYFUNCTION("""COMPUTED_VALUE"""),0.6812384259246755)</f>
        <v>0.6812384259</v>
      </c>
      <c r="D16815" s="4">
        <f>IFERROR(__xludf.DUMMYFUNCTION("""COMPUTED_VALUE"""),12.931834)</f>
        <v>12.931834</v>
      </c>
      <c r="E16815" s="4">
        <f>IFERROR(__xludf.DUMMYFUNCTION("""COMPUTED_VALUE"""),80.122964)</f>
        <v>80.122964</v>
      </c>
      <c r="F16815" s="4">
        <f>IFERROR(__xludf.DUMMYFUNCTION("""COMPUTED_VALUE"""),5339.0)</f>
        <v>5339</v>
      </c>
      <c r="G16815" s="4">
        <f>IFERROR(__xludf.DUMMYFUNCTION("""COMPUTED_VALUE"""),29.0)</f>
        <v>29</v>
      </c>
      <c r="H16815" s="4"/>
      <c r="I16815" s="4"/>
    </row>
    <row r="16816">
      <c r="A16816" s="4" t="str">
        <f>IFERROR(__xludf.DUMMYFUNCTION("""COMPUTED_VALUE"""),"cas_hmw")</f>
        <v>cas_hmw</v>
      </c>
      <c r="B16816" s="5">
        <f>IFERROR(__xludf.DUMMYFUNCTION("""COMPUTED_VALUE"""),44737.0)</f>
        <v>44737</v>
      </c>
      <c r="C16816" s="6">
        <f>IFERROR(__xludf.DUMMYFUNCTION("""COMPUTED_VALUE"""),0.6813888888900692)</f>
        <v>0.6813888889</v>
      </c>
      <c r="D16816" s="4">
        <f>IFERROR(__xludf.DUMMYFUNCTION("""COMPUTED_VALUE"""),12.933019)</f>
        <v>12.933019</v>
      </c>
      <c r="E16816" s="4">
        <f>IFERROR(__xludf.DUMMYFUNCTION("""COMPUTED_VALUE"""),80.124142)</f>
        <v>80.124142</v>
      </c>
      <c r="F16816" s="4">
        <f>IFERROR(__xludf.DUMMYFUNCTION("""COMPUTED_VALUE"""),5339.0)</f>
        <v>5339</v>
      </c>
      <c r="G16816" s="4">
        <f>IFERROR(__xludf.DUMMYFUNCTION("""COMPUTED_VALUE"""),48.0)</f>
        <v>48</v>
      </c>
      <c r="H16816" s="4"/>
      <c r="I16816" s="4"/>
    </row>
    <row r="16817">
      <c r="A16817" s="4" t="str">
        <f>IFERROR(__xludf.DUMMYFUNCTION("""COMPUTED_VALUE"""),"cas_hmw")</f>
        <v>cas_hmw</v>
      </c>
      <c r="B16817" s="5">
        <f>IFERROR(__xludf.DUMMYFUNCTION("""COMPUTED_VALUE"""),44737.0)</f>
        <v>44737</v>
      </c>
      <c r="C16817" s="6">
        <f>IFERROR(__xludf.DUMMYFUNCTION("""COMPUTED_VALUE"""),0.6817708333328483)</f>
        <v>0.6817708333</v>
      </c>
      <c r="D16817" s="4">
        <f>IFERROR(__xludf.DUMMYFUNCTION("""COMPUTED_VALUE"""),12.935548)</f>
        <v>12.935548</v>
      </c>
      <c r="E16817" s="4">
        <f>IFERROR(__xludf.DUMMYFUNCTION("""COMPUTED_VALUE"""),80.126534)</f>
        <v>80.126534</v>
      </c>
      <c r="F16817" s="4">
        <f>IFERROR(__xludf.DUMMYFUNCTION("""COMPUTED_VALUE"""),5339.0)</f>
        <v>5339</v>
      </c>
      <c r="G16817" s="4">
        <f>IFERROR(__xludf.DUMMYFUNCTION("""COMPUTED_VALUE"""),46.0)</f>
        <v>46</v>
      </c>
      <c r="H16817" s="4"/>
      <c r="I16817" s="4"/>
    </row>
    <row r="16818">
      <c r="A16818" s="4" t="str">
        <f>IFERROR(__xludf.DUMMYFUNCTION("""COMPUTED_VALUE"""),"cas_hmw")</f>
        <v>cas_hmw</v>
      </c>
      <c r="B16818" s="5">
        <f>IFERROR(__xludf.DUMMYFUNCTION("""COMPUTED_VALUE"""),44737.0)</f>
        <v>44737</v>
      </c>
      <c r="C16818" s="6">
        <f>IFERROR(__xludf.DUMMYFUNCTION("""COMPUTED_VALUE"""),0.6819675925908086)</f>
        <v>0.6819675926</v>
      </c>
      <c r="D16818" s="4">
        <f>IFERROR(__xludf.DUMMYFUNCTION("""COMPUTED_VALUE"""),12.93687)</f>
        <v>12.93687</v>
      </c>
      <c r="E16818" s="4">
        <f>IFERROR(__xludf.DUMMYFUNCTION("""COMPUTED_VALUE"""),80.127689)</f>
        <v>80.127689</v>
      </c>
      <c r="F16818" s="4">
        <f>IFERROR(__xludf.DUMMYFUNCTION("""COMPUTED_VALUE"""),5339.0)</f>
        <v>5339</v>
      </c>
      <c r="G16818" s="4">
        <f>IFERROR(__xludf.DUMMYFUNCTION("""COMPUTED_VALUE"""),44.0)</f>
        <v>44</v>
      </c>
      <c r="H16818" s="4"/>
      <c r="I16818" s="4"/>
    </row>
    <row r="16819">
      <c r="A16819" s="4" t="str">
        <f>IFERROR(__xludf.DUMMYFUNCTION("""COMPUTED_VALUE"""),"cas_hmw")</f>
        <v>cas_hmw</v>
      </c>
      <c r="B16819" s="5">
        <f>IFERROR(__xludf.DUMMYFUNCTION("""COMPUTED_VALUE"""),44737.0)</f>
        <v>44737</v>
      </c>
      <c r="C16819" s="6">
        <f>IFERROR(__xludf.DUMMYFUNCTION("""COMPUTED_VALUE"""),0.6819791666675883)</f>
        <v>0.6819791667</v>
      </c>
      <c r="D16819" s="4">
        <f>IFERROR(__xludf.DUMMYFUNCTION("""COMPUTED_VALUE"""),12.93687)</f>
        <v>12.93687</v>
      </c>
      <c r="E16819" s="4">
        <f>IFERROR(__xludf.DUMMYFUNCTION("""COMPUTED_VALUE"""),80.127689)</f>
        <v>80.127689</v>
      </c>
      <c r="F16819" s="4">
        <f>IFERROR(__xludf.DUMMYFUNCTION("""COMPUTED_VALUE"""),5339.0)</f>
        <v>5339</v>
      </c>
      <c r="G16819" s="4">
        <f>IFERROR(__xludf.DUMMYFUNCTION("""COMPUTED_VALUE"""),44.0)</f>
        <v>44</v>
      </c>
      <c r="H16819" s="4"/>
      <c r="I16819" s="4"/>
    </row>
    <row r="16820">
      <c r="A16820" s="4" t="str">
        <f>IFERROR(__xludf.DUMMYFUNCTION("""COMPUTED_VALUE"""),"cas_hmw")</f>
        <v>cas_hmw</v>
      </c>
      <c r="B16820" s="5">
        <f>IFERROR(__xludf.DUMMYFUNCTION("""COMPUTED_VALUE"""),44737.0)</f>
        <v>44737</v>
      </c>
      <c r="C16820" s="6">
        <f>IFERROR(__xludf.DUMMYFUNCTION("""COMPUTED_VALUE"""),0.682094907406281)</f>
        <v>0.6820949074</v>
      </c>
      <c r="D16820" s="4">
        <f>IFERROR(__xludf.DUMMYFUNCTION("""COMPUTED_VALUE"""),12.918478)</f>
        <v>12.918478</v>
      </c>
      <c r="E16820" s="4">
        <f>IFERROR(__xludf.DUMMYFUNCTION("""COMPUTED_VALUE"""),80.109073)</f>
        <v>80.109073</v>
      </c>
      <c r="F16820" s="4">
        <f>IFERROR(__xludf.DUMMYFUNCTION("""COMPUTED_VALUE"""),805.0)</f>
        <v>805</v>
      </c>
      <c r="G16820" s="4">
        <f>IFERROR(__xludf.DUMMYFUNCTION("""COMPUTED_VALUE"""),54.0)</f>
        <v>54</v>
      </c>
      <c r="H16820" s="4"/>
      <c r="I16820" s="4"/>
    </row>
    <row r="16821">
      <c r="A16821" s="4" t="str">
        <f>IFERROR(__xludf.DUMMYFUNCTION("""COMPUTED_VALUE"""),"cas_hmw")</f>
        <v>cas_hmw</v>
      </c>
      <c r="B16821" s="5">
        <f>IFERROR(__xludf.DUMMYFUNCTION("""COMPUTED_VALUE"""),44737.0)</f>
        <v>44737</v>
      </c>
      <c r="C16821" s="6">
        <f>IFERROR(__xludf.DUMMYFUNCTION("""COMPUTED_VALUE"""),0.6825347222220444)</f>
        <v>0.6825347222</v>
      </c>
      <c r="D16821" s="4">
        <f>IFERROR(__xludf.DUMMYFUNCTION("""COMPUTED_VALUE"""),12.941688)</f>
        <v>12.941688</v>
      </c>
      <c r="E16821" s="4">
        <f>IFERROR(__xludf.DUMMYFUNCTION("""COMPUTED_VALUE"""),80.132182)</f>
        <v>80.132182</v>
      </c>
      <c r="F16821" s="4">
        <f>IFERROR(__xludf.DUMMYFUNCTION("""COMPUTED_VALUE"""),5339.0)</f>
        <v>5339</v>
      </c>
      <c r="G16821" s="4">
        <f>IFERROR(__xludf.DUMMYFUNCTION("""COMPUTED_VALUE"""),40.0)</f>
        <v>40</v>
      </c>
      <c r="H16821" s="4"/>
      <c r="I16821" s="4"/>
    </row>
    <row r="16822">
      <c r="A16822" s="4" t="str">
        <f>IFERROR(__xludf.DUMMYFUNCTION("""COMPUTED_VALUE"""),"cas_hmw")</f>
        <v>cas_hmw</v>
      </c>
      <c r="B16822" s="5">
        <f>IFERROR(__xludf.DUMMYFUNCTION("""COMPUTED_VALUE"""),44737.0)</f>
        <v>44737</v>
      </c>
      <c r="C16822" s="6">
        <f>IFERROR(__xludf.DUMMYFUNCTION("""COMPUTED_VALUE"""),0.6825578703719657)</f>
        <v>0.6825578704</v>
      </c>
      <c r="D16822" s="4">
        <f>IFERROR(__xludf.DUMMYFUNCTION("""COMPUTED_VALUE"""),12.942172)</f>
        <v>12.942172</v>
      </c>
      <c r="E16822" s="4">
        <f>IFERROR(__xludf.DUMMYFUNCTION("""COMPUTED_VALUE"""),80.132672)</f>
        <v>80.132672</v>
      </c>
      <c r="F16822" s="4">
        <f>IFERROR(__xludf.DUMMYFUNCTION("""COMPUTED_VALUE"""),5339.0)</f>
        <v>5339</v>
      </c>
      <c r="G16822" s="4">
        <f>IFERROR(__xludf.DUMMYFUNCTION("""COMPUTED_VALUE"""),16.0)</f>
        <v>16</v>
      </c>
      <c r="H16822" s="4"/>
      <c r="I16822" s="4"/>
    </row>
    <row r="16823">
      <c r="A16823" s="4" t="str">
        <f>IFERROR(__xludf.DUMMYFUNCTION("""COMPUTED_VALUE"""),"cas_hmw")</f>
        <v>cas_hmw</v>
      </c>
      <c r="B16823" s="5">
        <f>IFERROR(__xludf.DUMMYFUNCTION("""COMPUTED_VALUE"""),44737.0)</f>
        <v>44737</v>
      </c>
      <c r="C16823" s="6">
        <f>IFERROR(__xludf.DUMMYFUNCTION("""COMPUTED_VALUE"""),0.6825578703719657)</f>
        <v>0.6825578704</v>
      </c>
      <c r="D16823" s="4">
        <f>IFERROR(__xludf.DUMMYFUNCTION("""COMPUTED_VALUE"""),12.942172)</f>
        <v>12.942172</v>
      </c>
      <c r="E16823" s="4">
        <f>IFERROR(__xludf.DUMMYFUNCTION("""COMPUTED_VALUE"""),80.132672)</f>
        <v>80.132672</v>
      </c>
      <c r="F16823" s="4">
        <f>IFERROR(__xludf.DUMMYFUNCTION("""COMPUTED_VALUE"""),5339.0)</f>
        <v>5339</v>
      </c>
      <c r="G16823" s="4">
        <f>IFERROR(__xludf.DUMMYFUNCTION("""COMPUTED_VALUE"""),16.0)</f>
        <v>16</v>
      </c>
      <c r="H16823" s="4"/>
      <c r="I16823" s="4"/>
    </row>
    <row r="16824">
      <c r="A16824" s="4" t="str">
        <f>IFERROR(__xludf.DUMMYFUNCTION("""COMPUTED_VALUE"""),"cas_hmw")</f>
        <v>cas_hmw</v>
      </c>
      <c r="B16824" s="5">
        <f>IFERROR(__xludf.DUMMYFUNCTION("""COMPUTED_VALUE"""),44737.0)</f>
        <v>44737</v>
      </c>
      <c r="C16824" s="6">
        <f>IFERROR(__xludf.DUMMYFUNCTION("""COMPUTED_VALUE"""),0.6827083333337214)</f>
        <v>0.6827083333</v>
      </c>
      <c r="D16824" s="4">
        <f>IFERROR(__xludf.DUMMYFUNCTION("""COMPUTED_VALUE"""),12.942172)</f>
        <v>12.942172</v>
      </c>
      <c r="E16824" s="4">
        <f>IFERROR(__xludf.DUMMYFUNCTION("""COMPUTED_VALUE"""),80.132672)</f>
        <v>80.132672</v>
      </c>
      <c r="F16824" s="4">
        <f>IFERROR(__xludf.DUMMYFUNCTION("""COMPUTED_VALUE"""),5339.0)</f>
        <v>5339</v>
      </c>
      <c r="G16824" s="4">
        <f>IFERROR(__xludf.DUMMYFUNCTION("""COMPUTED_VALUE"""),16.0)</f>
        <v>16</v>
      </c>
      <c r="H16824" s="4"/>
      <c r="I16824" s="4"/>
    </row>
    <row r="16825">
      <c r="A16825" s="4" t="str">
        <f>IFERROR(__xludf.DUMMYFUNCTION("""COMPUTED_VALUE"""),"cas_hmw")</f>
        <v>cas_hmw</v>
      </c>
      <c r="B16825" s="5">
        <f>IFERROR(__xludf.DUMMYFUNCTION("""COMPUTED_VALUE"""),44737.0)</f>
        <v>44737</v>
      </c>
      <c r="C16825" s="6">
        <f>IFERROR(__xludf.DUMMYFUNCTION("""COMPUTED_VALUE"""),0.6828356481491937)</f>
        <v>0.6828356481</v>
      </c>
      <c r="D16825" s="4">
        <f>IFERROR(__xludf.DUMMYFUNCTION("""COMPUTED_VALUE"""),12.942901)</f>
        <v>12.942901</v>
      </c>
      <c r="E16825" s="4">
        <f>IFERROR(__xludf.DUMMYFUNCTION("""COMPUTED_VALUE"""),80.133453)</f>
        <v>80.133453</v>
      </c>
      <c r="F16825" s="4">
        <f>IFERROR(__xludf.DUMMYFUNCTION("""COMPUTED_VALUE"""),5339.0)</f>
        <v>5339</v>
      </c>
      <c r="G16825" s="4">
        <f>IFERROR(__xludf.DUMMYFUNCTION("""COMPUTED_VALUE"""),36.0)</f>
        <v>36</v>
      </c>
      <c r="H16825" s="4"/>
      <c r="I16825" s="4"/>
    </row>
    <row r="16826">
      <c r="A16826" s="4" t="str">
        <f>IFERROR(__xludf.DUMMYFUNCTION("""COMPUTED_VALUE"""),"cas_hmw")</f>
        <v>cas_hmw</v>
      </c>
      <c r="B16826" s="5">
        <f>IFERROR(__xludf.DUMMYFUNCTION("""COMPUTED_VALUE"""),44737.0)</f>
        <v>44737</v>
      </c>
      <c r="C16826" s="6">
        <f>IFERROR(__xludf.DUMMYFUNCTION("""COMPUTED_VALUE"""),0.6831365740727051)</f>
        <v>0.6831365741</v>
      </c>
      <c r="D16826" s="4">
        <f>IFERROR(__xludf.DUMMYFUNCTION("""COMPUTED_VALUE"""),12.945564)</f>
        <v>12.945564</v>
      </c>
      <c r="E16826" s="4">
        <f>IFERROR(__xludf.DUMMYFUNCTION("""COMPUTED_VALUE"""),80.135721)</f>
        <v>80.135721</v>
      </c>
      <c r="F16826" s="4">
        <f>IFERROR(__xludf.DUMMYFUNCTION("""COMPUTED_VALUE"""),5339.0)</f>
        <v>5339</v>
      </c>
      <c r="G16826" s="4">
        <f>IFERROR(__xludf.DUMMYFUNCTION("""COMPUTED_VALUE"""),55.0)</f>
        <v>55</v>
      </c>
      <c r="H16826" s="4"/>
      <c r="I16826" s="4"/>
    </row>
    <row r="16827">
      <c r="A16827" s="4" t="str">
        <f>IFERROR(__xludf.DUMMYFUNCTION("""COMPUTED_VALUE"""),"cas_hmw")</f>
        <v>cas_hmw</v>
      </c>
      <c r="B16827" s="5">
        <f>IFERROR(__xludf.DUMMYFUNCTION("""COMPUTED_VALUE"""),44737.0)</f>
        <v>44737</v>
      </c>
      <c r="C16827" s="6">
        <f>IFERROR(__xludf.DUMMYFUNCTION("""COMPUTED_VALUE"""),0.6833912037036498)</f>
        <v>0.6833912037</v>
      </c>
      <c r="D16827" s="4">
        <f>IFERROR(__xludf.DUMMYFUNCTION("""COMPUTED_VALUE"""),12.926725)</f>
        <v>12.926725</v>
      </c>
      <c r="E16827" s="4">
        <f>IFERROR(__xludf.DUMMYFUNCTION("""COMPUTED_VALUE"""),80.11779)</f>
        <v>80.11779</v>
      </c>
      <c r="F16827" s="4">
        <f>IFERROR(__xludf.DUMMYFUNCTION("""COMPUTED_VALUE"""),805.0)</f>
        <v>805</v>
      </c>
      <c r="G16827" s="4">
        <f>IFERROR(__xludf.DUMMYFUNCTION("""COMPUTED_VALUE"""),20.0)</f>
        <v>20</v>
      </c>
      <c r="H16827" s="4"/>
      <c r="I16827" s="4"/>
    </row>
    <row r="16828">
      <c r="A16828" s="4" t="str">
        <f>IFERROR(__xludf.DUMMYFUNCTION("""COMPUTED_VALUE"""),"cas_hmw")</f>
        <v>cas_hmw</v>
      </c>
      <c r="B16828" s="5">
        <f>IFERROR(__xludf.DUMMYFUNCTION("""COMPUTED_VALUE"""),44737.0)</f>
        <v>44737</v>
      </c>
      <c r="C16828" s="6">
        <f>IFERROR(__xludf.DUMMYFUNCTION("""COMPUTED_VALUE"""),0.6834143518535711)</f>
        <v>0.6834143519</v>
      </c>
      <c r="D16828" s="4">
        <f>IFERROR(__xludf.DUMMYFUNCTION("""COMPUTED_VALUE"""),12.926725)</f>
        <v>12.926725</v>
      </c>
      <c r="E16828" s="4">
        <f>IFERROR(__xludf.DUMMYFUNCTION("""COMPUTED_VALUE"""),80.11779)</f>
        <v>80.11779</v>
      </c>
      <c r="F16828" s="4">
        <f>IFERROR(__xludf.DUMMYFUNCTION("""COMPUTED_VALUE"""),805.0)</f>
        <v>805</v>
      </c>
      <c r="G16828" s="4">
        <f>IFERROR(__xludf.DUMMYFUNCTION("""COMPUTED_VALUE"""),20.0)</f>
        <v>20</v>
      </c>
      <c r="H16828" s="4"/>
      <c r="I16828" s="4"/>
    </row>
    <row r="16829">
      <c r="A16829" s="4" t="str">
        <f>IFERROR(__xludf.DUMMYFUNCTION("""COMPUTED_VALUE"""),"cas_hmw")</f>
        <v>cas_hmw</v>
      </c>
      <c r="B16829" s="5">
        <f>IFERROR(__xludf.DUMMYFUNCTION("""COMPUTED_VALUE"""),44737.0)</f>
        <v>44737</v>
      </c>
      <c r="C16829" s="6">
        <f>IFERROR(__xludf.DUMMYFUNCTION("""COMPUTED_VALUE"""),0.6834374999998545)</f>
        <v>0.6834375</v>
      </c>
      <c r="D16829" s="4">
        <f>IFERROR(__xludf.DUMMYFUNCTION("""COMPUTED_VALUE"""),12.926725)</f>
        <v>12.926725</v>
      </c>
      <c r="E16829" s="4">
        <f>IFERROR(__xludf.DUMMYFUNCTION("""COMPUTED_VALUE"""),80.11779)</f>
        <v>80.11779</v>
      </c>
      <c r="F16829" s="4">
        <f>IFERROR(__xludf.DUMMYFUNCTION("""COMPUTED_VALUE"""),805.0)</f>
        <v>805</v>
      </c>
      <c r="G16829" s="4">
        <f>IFERROR(__xludf.DUMMYFUNCTION("""COMPUTED_VALUE"""),20.0)</f>
        <v>20</v>
      </c>
      <c r="H16829" s="4"/>
      <c r="I16829" s="4"/>
    </row>
    <row r="16830">
      <c r="A16830" s="4" t="str">
        <f>IFERROR(__xludf.DUMMYFUNCTION("""COMPUTED_VALUE"""),"cas_hmw")</f>
        <v>cas_hmw</v>
      </c>
      <c r="B16830" s="5">
        <f>IFERROR(__xludf.DUMMYFUNCTION("""COMPUTED_VALUE"""),44737.0)</f>
        <v>44737</v>
      </c>
      <c r="C16830" s="6">
        <f>IFERROR(__xludf.DUMMYFUNCTION("""COMPUTED_VALUE"""),0.6835069444459805)</f>
        <v>0.6835069444</v>
      </c>
      <c r="D16830" s="4">
        <f>IFERROR(__xludf.DUMMYFUNCTION("""COMPUTED_VALUE"""),12.94727)</f>
        <v>12.94727</v>
      </c>
      <c r="E16830" s="4">
        <f>IFERROR(__xludf.DUMMYFUNCTION("""COMPUTED_VALUE"""),80.137025)</f>
        <v>80.137025</v>
      </c>
      <c r="F16830" s="4">
        <f>IFERROR(__xludf.DUMMYFUNCTION("""COMPUTED_VALUE"""),5339.0)</f>
        <v>5339</v>
      </c>
      <c r="G16830" s="4">
        <f>IFERROR(__xludf.DUMMYFUNCTION("""COMPUTED_VALUE"""),52.0)</f>
        <v>52</v>
      </c>
      <c r="H16830" s="4"/>
      <c r="I16830" s="4"/>
    </row>
    <row r="16831">
      <c r="A16831" s="4" t="str">
        <f>IFERROR(__xludf.DUMMYFUNCTION("""COMPUTED_VALUE"""),"cas_hmw")</f>
        <v>cas_hmw</v>
      </c>
      <c r="B16831" s="5">
        <f>IFERROR(__xludf.DUMMYFUNCTION("""COMPUTED_VALUE"""),44737.0)</f>
        <v>44737</v>
      </c>
      <c r="C16831" s="6">
        <f>IFERROR(__xludf.DUMMYFUNCTION("""COMPUTED_VALUE"""),0.6839814814811689)</f>
        <v>0.6839814815</v>
      </c>
      <c r="D16831" s="4">
        <f>IFERROR(__xludf.DUMMYFUNCTION("""COMPUTED_VALUE"""),12.950287)</f>
        <v>12.950287</v>
      </c>
      <c r="E16831" s="4">
        <f>IFERROR(__xludf.DUMMYFUNCTION("""COMPUTED_VALUE"""),80.139336)</f>
        <v>80.139336</v>
      </c>
      <c r="F16831" s="4">
        <f>IFERROR(__xludf.DUMMYFUNCTION("""COMPUTED_VALUE"""),5339.0)</f>
        <v>5339</v>
      </c>
      <c r="G16831" s="4">
        <f>IFERROR(__xludf.DUMMYFUNCTION("""COMPUTED_VALUE"""),22.0)</f>
        <v>22</v>
      </c>
      <c r="H16831" s="4"/>
      <c r="I16831" s="4"/>
    </row>
    <row r="16832">
      <c r="A16832" s="4" t="str">
        <f>IFERROR(__xludf.DUMMYFUNCTION("""COMPUTED_VALUE"""),"cas_hmw")</f>
        <v>cas_hmw</v>
      </c>
      <c r="B16832" s="5">
        <f>IFERROR(__xludf.DUMMYFUNCTION("""COMPUTED_VALUE"""),44737.0)</f>
        <v>44737</v>
      </c>
      <c r="C16832" s="6">
        <f>IFERROR(__xludf.DUMMYFUNCTION("""COMPUTED_VALUE"""),0.6840393518505152)</f>
        <v>0.6840393519</v>
      </c>
      <c r="D16832" s="4">
        <f>IFERROR(__xludf.DUMMYFUNCTION("""COMPUTED_VALUE"""),12.951295)</f>
        <v>12.951295</v>
      </c>
      <c r="E16832" s="4">
        <f>IFERROR(__xludf.DUMMYFUNCTION("""COMPUTED_VALUE"""),80.14011)</f>
        <v>80.14011</v>
      </c>
      <c r="F16832" s="4">
        <f>IFERROR(__xludf.DUMMYFUNCTION("""COMPUTED_VALUE"""),5339.0)</f>
        <v>5339</v>
      </c>
      <c r="G16832" s="4">
        <f>IFERROR(__xludf.DUMMYFUNCTION("""COMPUTED_VALUE"""),42.0)</f>
        <v>42</v>
      </c>
      <c r="H16832" s="4"/>
      <c r="I16832" s="4"/>
    </row>
    <row r="16833">
      <c r="A16833" s="4" t="str">
        <f>IFERROR(__xludf.DUMMYFUNCTION("""COMPUTED_VALUE"""),"cas_hmw")</f>
        <v>cas_hmw</v>
      </c>
      <c r="B16833" s="5">
        <f>IFERROR(__xludf.DUMMYFUNCTION("""COMPUTED_VALUE"""),44737.0)</f>
        <v>44737</v>
      </c>
      <c r="C16833" s="6">
        <f>IFERROR(__xludf.DUMMYFUNCTION("""COMPUTED_VALUE"""),0.6840625000004366)</f>
        <v>0.6840625</v>
      </c>
      <c r="D16833" s="4">
        <f>IFERROR(__xludf.DUMMYFUNCTION("""COMPUTED_VALUE"""),12.929386)</f>
        <v>12.929386</v>
      </c>
      <c r="E16833" s="4">
        <f>IFERROR(__xludf.DUMMYFUNCTION("""COMPUTED_VALUE"""),80.120408)</f>
        <v>80.120408</v>
      </c>
      <c r="F16833" s="4">
        <f>IFERROR(__xludf.DUMMYFUNCTION("""COMPUTED_VALUE"""),805.0)</f>
        <v>805</v>
      </c>
      <c r="G16833" s="4">
        <f>IFERROR(__xludf.DUMMYFUNCTION("""COMPUTED_VALUE"""),11.0)</f>
        <v>11</v>
      </c>
      <c r="H16833" s="4"/>
      <c r="I16833" s="4"/>
    </row>
    <row r="16834">
      <c r="A16834" s="4" t="str">
        <f>IFERROR(__xludf.DUMMYFUNCTION("""COMPUTED_VALUE"""),"cas_hmw")</f>
        <v>cas_hmw</v>
      </c>
      <c r="B16834" s="5">
        <f>IFERROR(__xludf.DUMMYFUNCTION("""COMPUTED_VALUE"""),44737.0)</f>
        <v>44737</v>
      </c>
      <c r="C16834" s="6">
        <f>IFERROR(__xludf.DUMMYFUNCTION("""COMPUTED_VALUE"""),0.6840856481467199)</f>
        <v>0.6840856481</v>
      </c>
      <c r="D16834" s="4">
        <f>IFERROR(__xludf.DUMMYFUNCTION("""COMPUTED_VALUE"""),12.929776)</f>
        <v>12.929776</v>
      </c>
      <c r="E16834" s="4">
        <f>IFERROR(__xludf.DUMMYFUNCTION("""COMPUTED_VALUE"""),80.120782)</f>
        <v>80.120782</v>
      </c>
      <c r="F16834" s="4">
        <f>IFERROR(__xludf.DUMMYFUNCTION("""COMPUTED_VALUE"""),805.0)</f>
        <v>805</v>
      </c>
      <c r="G16834" s="4">
        <f>IFERROR(__xludf.DUMMYFUNCTION("""COMPUTED_VALUE"""),20.0)</f>
        <v>20</v>
      </c>
      <c r="H16834" s="4"/>
      <c r="I16834" s="4"/>
    </row>
    <row r="16835">
      <c r="A16835" s="4" t="str">
        <f>IFERROR(__xludf.DUMMYFUNCTION("""COMPUTED_VALUE"""),"cas_hmw")</f>
        <v>cas_hmw</v>
      </c>
      <c r="B16835" s="5">
        <f>IFERROR(__xludf.DUMMYFUNCTION("""COMPUTED_VALUE"""),44737.0)</f>
        <v>44737</v>
      </c>
      <c r="C16835" s="6">
        <f>IFERROR(__xludf.DUMMYFUNCTION("""COMPUTED_VALUE"""),0.6840856481467199)</f>
        <v>0.6840856481</v>
      </c>
      <c r="D16835" s="4">
        <f>IFERROR(__xludf.DUMMYFUNCTION("""COMPUTED_VALUE"""),12.929776)</f>
        <v>12.929776</v>
      </c>
      <c r="E16835" s="4">
        <f>IFERROR(__xludf.DUMMYFUNCTION("""COMPUTED_VALUE"""),80.120782)</f>
        <v>80.120782</v>
      </c>
      <c r="F16835" s="4">
        <f>IFERROR(__xludf.DUMMYFUNCTION("""COMPUTED_VALUE"""),805.0)</f>
        <v>805</v>
      </c>
      <c r="G16835" s="4">
        <f>IFERROR(__xludf.DUMMYFUNCTION("""COMPUTED_VALUE"""),20.0)</f>
        <v>20</v>
      </c>
      <c r="H16835" s="4"/>
      <c r="I16835" s="4"/>
    </row>
    <row r="16836">
      <c r="A16836" s="4" t="str">
        <f>IFERROR(__xludf.DUMMYFUNCTION("""COMPUTED_VALUE"""),"cas_hmw")</f>
        <v>cas_hmw</v>
      </c>
      <c r="B16836" s="5">
        <f>IFERROR(__xludf.DUMMYFUNCTION("""COMPUTED_VALUE"""),44737.0)</f>
        <v>44737</v>
      </c>
      <c r="C16836" s="6">
        <f>IFERROR(__xludf.DUMMYFUNCTION("""COMPUTED_VALUE"""),0.6841435185197042)</f>
        <v>0.6841435185</v>
      </c>
      <c r="D16836" s="4">
        <f>IFERROR(__xludf.DUMMYFUNCTION("""COMPUTED_VALUE"""),12.951295)</f>
        <v>12.951295</v>
      </c>
      <c r="E16836" s="4">
        <f>IFERROR(__xludf.DUMMYFUNCTION("""COMPUTED_VALUE"""),80.14011)</f>
        <v>80.14011</v>
      </c>
      <c r="F16836" s="4">
        <f>IFERROR(__xludf.DUMMYFUNCTION("""COMPUTED_VALUE"""),5339.0)</f>
        <v>5339</v>
      </c>
      <c r="G16836" s="4">
        <f>IFERROR(__xludf.DUMMYFUNCTION("""COMPUTED_VALUE"""),42.0)</f>
        <v>42</v>
      </c>
      <c r="H16836" s="4"/>
      <c r="I16836" s="4"/>
    </row>
    <row r="16837">
      <c r="A16837" s="4" t="str">
        <f>IFERROR(__xludf.DUMMYFUNCTION("""COMPUTED_VALUE"""),"cas_hmw")</f>
        <v>cas_hmw</v>
      </c>
      <c r="B16837" s="5">
        <f>IFERROR(__xludf.DUMMYFUNCTION("""COMPUTED_VALUE"""),44737.0)</f>
        <v>44737</v>
      </c>
      <c r="C16837" s="6">
        <f>IFERROR(__xludf.DUMMYFUNCTION("""COMPUTED_VALUE"""),0.6841435185197042)</f>
        <v>0.6841435185</v>
      </c>
      <c r="D16837" s="4">
        <f>IFERROR(__xludf.DUMMYFUNCTION("""COMPUTED_VALUE"""),12.929776)</f>
        <v>12.929776</v>
      </c>
      <c r="E16837" s="4">
        <f>IFERROR(__xludf.DUMMYFUNCTION("""COMPUTED_VALUE"""),80.120782)</f>
        <v>80.120782</v>
      </c>
      <c r="F16837" s="4">
        <f>IFERROR(__xludf.DUMMYFUNCTION("""COMPUTED_VALUE"""),805.0)</f>
        <v>805</v>
      </c>
      <c r="G16837" s="4">
        <f>IFERROR(__xludf.DUMMYFUNCTION("""COMPUTED_VALUE"""),20.0)</f>
        <v>20</v>
      </c>
      <c r="H16837" s="4"/>
      <c r="I16837" s="4"/>
    </row>
    <row r="16838">
      <c r="A16838" s="4" t="str">
        <f>IFERROR(__xludf.DUMMYFUNCTION("""COMPUTED_VALUE"""),"cas_hmw")</f>
        <v>cas_hmw</v>
      </c>
      <c r="B16838" s="5">
        <f>IFERROR(__xludf.DUMMYFUNCTION("""COMPUTED_VALUE"""),44737.0)</f>
        <v>44737</v>
      </c>
      <c r="C16838" s="6">
        <f>IFERROR(__xludf.DUMMYFUNCTION("""COMPUTED_VALUE"""),0.6845138888893416)</f>
        <v>0.6845138889</v>
      </c>
      <c r="D16838" s="4">
        <f>IFERROR(__xludf.DUMMYFUNCTION("""COMPUTED_VALUE"""),12.931261)</f>
        <v>12.931261</v>
      </c>
      <c r="E16838" s="4">
        <f>IFERROR(__xludf.DUMMYFUNCTION("""COMPUTED_VALUE"""),80.122339)</f>
        <v>80.122339</v>
      </c>
      <c r="F16838" s="4">
        <f>IFERROR(__xludf.DUMMYFUNCTION("""COMPUTED_VALUE"""),805.0)</f>
        <v>805</v>
      </c>
      <c r="G16838" s="4">
        <f>IFERROR(__xludf.DUMMYFUNCTION("""COMPUTED_VALUE"""),15.0)</f>
        <v>15</v>
      </c>
      <c r="H16838" s="4"/>
      <c r="I16838" s="4"/>
    </row>
    <row r="16839">
      <c r="A16839" s="4" t="str">
        <f>IFERROR(__xludf.DUMMYFUNCTION("""COMPUTED_VALUE"""),"cas_hmw")</f>
        <v>cas_hmw</v>
      </c>
      <c r="B16839" s="5">
        <f>IFERROR(__xludf.DUMMYFUNCTION("""COMPUTED_VALUE"""),44737.0)</f>
        <v>44737</v>
      </c>
      <c r="C16839" s="6">
        <f>IFERROR(__xludf.DUMMYFUNCTION("""COMPUTED_VALUE"""),0.68498842592453)</f>
        <v>0.6849884259</v>
      </c>
      <c r="D16839" s="4">
        <f>IFERROR(__xludf.DUMMYFUNCTION("""COMPUTED_VALUE"""),12.933352)</f>
        <v>12.933352</v>
      </c>
      <c r="E16839" s="4">
        <f>IFERROR(__xludf.DUMMYFUNCTION("""COMPUTED_VALUE"""),80.124368)</f>
        <v>80.124368</v>
      </c>
      <c r="F16839" s="4">
        <f>IFERROR(__xludf.DUMMYFUNCTION("""COMPUTED_VALUE"""),805.0)</f>
        <v>805</v>
      </c>
      <c r="G16839" s="4">
        <f>IFERROR(__xludf.DUMMYFUNCTION("""COMPUTED_VALUE"""),53.0)</f>
        <v>53</v>
      </c>
      <c r="H16839" s="4"/>
      <c r="I16839" s="4"/>
    </row>
    <row r="16840">
      <c r="A16840" s="4" t="str">
        <f>IFERROR(__xludf.DUMMYFUNCTION("""COMPUTED_VALUE"""),"cas_hmw")</f>
        <v>cas_hmw</v>
      </c>
      <c r="B16840" s="5">
        <f>IFERROR(__xludf.DUMMYFUNCTION("""COMPUTED_VALUE"""),44737.0)</f>
        <v>44737</v>
      </c>
      <c r="C16840" s="6">
        <f>IFERROR(__xludf.DUMMYFUNCTION("""COMPUTED_VALUE"""),0.685162037036207)</f>
        <v>0.685162037</v>
      </c>
      <c r="D16840" s="4">
        <f>IFERROR(__xludf.DUMMYFUNCTION("""COMPUTED_VALUE"""),12.934607)</f>
        <v>12.934607</v>
      </c>
      <c r="E16840" s="4">
        <f>IFERROR(__xludf.DUMMYFUNCTION("""COMPUTED_VALUE"""),80.125604)</f>
        <v>80.125604</v>
      </c>
      <c r="F16840" s="4">
        <f>IFERROR(__xludf.DUMMYFUNCTION("""COMPUTED_VALUE"""),805.0)</f>
        <v>805</v>
      </c>
      <c r="G16840" s="4">
        <f>IFERROR(__xludf.DUMMYFUNCTION("""COMPUTED_VALUE"""),24.0)</f>
        <v>24</v>
      </c>
      <c r="H16840" s="4"/>
      <c r="I16840" s="4"/>
    </row>
    <row r="16841">
      <c r="A16841" s="4" t="str">
        <f>IFERROR(__xludf.DUMMYFUNCTION("""COMPUTED_VALUE"""),"cas_hmw")</f>
        <v>cas_hmw</v>
      </c>
      <c r="B16841" s="5">
        <f>IFERROR(__xludf.DUMMYFUNCTION("""COMPUTED_VALUE"""),44737.0)</f>
        <v>44737</v>
      </c>
      <c r="C16841" s="6">
        <f>IFERROR(__xludf.DUMMYFUNCTION("""COMPUTED_VALUE"""),0.6855787037020491)</f>
        <v>0.6855787037</v>
      </c>
      <c r="D16841" s="4">
        <f>IFERROR(__xludf.DUMMYFUNCTION("""COMPUTED_VALUE"""),12.938529)</f>
        <v>12.938529</v>
      </c>
      <c r="E16841" s="4">
        <f>IFERROR(__xludf.DUMMYFUNCTION("""COMPUTED_VALUE"""),80.129119)</f>
        <v>80.129119</v>
      </c>
      <c r="F16841" s="4">
        <f>IFERROR(__xludf.DUMMYFUNCTION("""COMPUTED_VALUE"""),805.0)</f>
        <v>805</v>
      </c>
      <c r="G16841" s="4">
        <f>IFERROR(__xludf.DUMMYFUNCTION("""COMPUTED_VALUE"""),54.0)</f>
        <v>54</v>
      </c>
      <c r="H16841" s="4"/>
      <c r="I16841" s="4"/>
    </row>
    <row r="16842">
      <c r="A16842" s="4" t="str">
        <f>IFERROR(__xludf.DUMMYFUNCTION("""COMPUTED_VALUE"""),"cas_hmw")</f>
        <v>cas_hmw</v>
      </c>
      <c r="B16842" s="5">
        <f>IFERROR(__xludf.DUMMYFUNCTION("""COMPUTED_VALUE"""),44737.0)</f>
        <v>44737</v>
      </c>
      <c r="C16842" s="6">
        <f>IFERROR(__xludf.DUMMYFUNCTION("""COMPUTED_VALUE"""),0.6858680555560568)</f>
        <v>0.6858680556</v>
      </c>
      <c r="D16842" s="4">
        <f>IFERROR(__xludf.DUMMYFUNCTION("""COMPUTED_VALUE"""),12.782641)</f>
        <v>12.782641</v>
      </c>
      <c r="E16842" s="4">
        <f>IFERROR(__xludf.DUMMYFUNCTION("""COMPUTED_VALUE"""),80.012929)</f>
        <v>80.012929</v>
      </c>
      <c r="F16842" s="4">
        <f>IFERROR(__xludf.DUMMYFUNCTION("""COMPUTED_VALUE"""),2846.0)</f>
        <v>2846</v>
      </c>
      <c r="G16842" s="4">
        <f>IFERROR(__xludf.DUMMYFUNCTION("""COMPUTED_VALUE"""),57.0)</f>
        <v>57</v>
      </c>
      <c r="H16842" s="4"/>
      <c r="I16842" s="4"/>
    </row>
    <row r="16843">
      <c r="A16843" s="4" t="str">
        <f>IFERROR(__xludf.DUMMYFUNCTION("""COMPUTED_VALUE"""),"cas_hmw")</f>
        <v>cas_hmw</v>
      </c>
      <c r="B16843" s="5">
        <f>IFERROR(__xludf.DUMMYFUNCTION("""COMPUTED_VALUE"""),44737.0)</f>
        <v>44737</v>
      </c>
      <c r="C16843" s="6">
        <f>IFERROR(__xludf.DUMMYFUNCTION("""COMPUTED_VALUE"""),0.6861342592601432)</f>
        <v>0.6861342593</v>
      </c>
      <c r="D16843" s="4">
        <f>IFERROR(__xludf.DUMMYFUNCTION("""COMPUTED_VALUE"""),12.956514)</f>
        <v>12.956514</v>
      </c>
      <c r="E16843" s="4">
        <f>IFERROR(__xludf.DUMMYFUNCTION("""COMPUTED_VALUE"""),80.143293)</f>
        <v>80.143293</v>
      </c>
      <c r="F16843" s="4">
        <f>IFERROR(__xludf.DUMMYFUNCTION("""COMPUTED_VALUE"""),5339.0)</f>
        <v>5339</v>
      </c>
      <c r="G16843" s="4">
        <f>IFERROR(__xludf.DUMMYFUNCTION("""COMPUTED_VALUE"""),31.0)</f>
        <v>31</v>
      </c>
      <c r="H16843" s="4"/>
      <c r="I16843" s="4"/>
    </row>
    <row r="16844">
      <c r="A16844" s="4" t="str">
        <f>IFERROR(__xludf.DUMMYFUNCTION("""COMPUTED_VALUE"""),"cas_hmw")</f>
        <v>cas_hmw</v>
      </c>
      <c r="B16844" s="5">
        <f>IFERROR(__xludf.DUMMYFUNCTION("""COMPUTED_VALUE"""),44737.0)</f>
        <v>44737</v>
      </c>
      <c r="C16844" s="6">
        <f>IFERROR(__xludf.DUMMYFUNCTION("""COMPUTED_VALUE"""),0.6861921296294895)</f>
        <v>0.6861921296</v>
      </c>
      <c r="D16844" s="4">
        <f>IFERROR(__xludf.DUMMYFUNCTION("""COMPUTED_VALUE"""),12.778407)</f>
        <v>12.778407</v>
      </c>
      <c r="E16844" s="4">
        <f>IFERROR(__xludf.DUMMYFUNCTION("""COMPUTED_VALUE"""),80.011116)</f>
        <v>80.011116</v>
      </c>
      <c r="F16844" s="4">
        <f>IFERROR(__xludf.DUMMYFUNCTION("""COMPUTED_VALUE"""),2846.0)</f>
        <v>2846</v>
      </c>
      <c r="G16844" s="4">
        <f>IFERROR(__xludf.DUMMYFUNCTION("""COMPUTED_VALUE"""),56.0)</f>
        <v>56</v>
      </c>
      <c r="H16844" s="4"/>
      <c r="I16844" s="4"/>
    </row>
    <row r="16845">
      <c r="A16845" s="4" t="str">
        <f>IFERROR(__xludf.DUMMYFUNCTION("""COMPUTED_VALUE"""),"cas_hmw")</f>
        <v>cas_hmw</v>
      </c>
      <c r="B16845" s="5">
        <f>IFERROR(__xludf.DUMMYFUNCTION("""COMPUTED_VALUE"""),44737.0)</f>
        <v>44737</v>
      </c>
      <c r="C16845" s="6">
        <f>IFERROR(__xludf.DUMMYFUNCTION("""COMPUTED_VALUE"""),0.6864351851836545)</f>
        <v>0.6864351852</v>
      </c>
      <c r="D16845" s="4">
        <f>IFERROR(__xludf.DUMMYFUNCTION("""COMPUTED_VALUE"""),12.9427)</f>
        <v>12.9427</v>
      </c>
      <c r="E16845" s="4">
        <f>IFERROR(__xludf.DUMMYFUNCTION("""COMPUTED_VALUE"""),80.133265)</f>
        <v>80.133265</v>
      </c>
      <c r="F16845" s="4">
        <f>IFERROR(__xludf.DUMMYFUNCTION("""COMPUTED_VALUE"""),805.0)</f>
        <v>805</v>
      </c>
      <c r="G16845" s="4">
        <f>IFERROR(__xludf.DUMMYFUNCTION("""COMPUTED_VALUE"""),30.0)</f>
        <v>30</v>
      </c>
      <c r="H16845" s="4"/>
      <c r="I16845" s="4"/>
    </row>
    <row r="16846">
      <c r="A16846" s="4" t="str">
        <f>IFERROR(__xludf.DUMMYFUNCTION("""COMPUTED_VALUE"""),"cas_hmw")</f>
        <v>cas_hmw</v>
      </c>
      <c r="B16846" s="5">
        <f>IFERROR(__xludf.DUMMYFUNCTION("""COMPUTED_VALUE"""),44737.0)</f>
        <v>44737</v>
      </c>
      <c r="C16846" s="6">
        <f>IFERROR(__xludf.DUMMYFUNCTION("""COMPUTED_VALUE"""),0.6865046296297805)</f>
        <v>0.6865046296</v>
      </c>
      <c r="D16846" s="4">
        <f>IFERROR(__xludf.DUMMYFUNCTION("""COMPUTED_VALUE"""),12.94345)</f>
        <v>12.94345</v>
      </c>
      <c r="E16846" s="4">
        <f>IFERROR(__xludf.DUMMYFUNCTION("""COMPUTED_VALUE"""),80.134031)</f>
        <v>80.134031</v>
      </c>
      <c r="F16846" s="4">
        <f>IFERROR(__xludf.DUMMYFUNCTION("""COMPUTED_VALUE"""),805.0)</f>
        <v>805</v>
      </c>
      <c r="G16846" s="4">
        <f>IFERROR(__xludf.DUMMYFUNCTION("""COMPUTED_VALUE"""),37.0)</f>
        <v>37</v>
      </c>
      <c r="H16846" s="4"/>
      <c r="I16846" s="4"/>
    </row>
    <row r="16847">
      <c r="A16847" s="4" t="str">
        <f>IFERROR(__xludf.DUMMYFUNCTION("""COMPUTED_VALUE"""),"cas_hmw")</f>
        <v>cas_hmw</v>
      </c>
      <c r="B16847" s="5">
        <f>IFERROR(__xludf.DUMMYFUNCTION("""COMPUTED_VALUE"""),44737.0)</f>
        <v>44737</v>
      </c>
      <c r="C16847" s="6">
        <f>IFERROR(__xludf.DUMMYFUNCTION("""COMPUTED_VALUE"""),0.6869675925918273)</f>
        <v>0.6869675926</v>
      </c>
      <c r="D16847" s="4">
        <f>IFERROR(__xludf.DUMMYFUNCTION("""COMPUTED_VALUE"""),12.771871)</f>
        <v>12.771871</v>
      </c>
      <c r="E16847" s="4">
        <f>IFERROR(__xludf.DUMMYFUNCTION("""COMPUTED_VALUE"""),80.008202)</f>
        <v>80.008202</v>
      </c>
      <c r="F16847" s="4">
        <f>IFERROR(__xludf.DUMMYFUNCTION("""COMPUTED_VALUE"""),2846.0)</f>
        <v>2846</v>
      </c>
      <c r="G16847" s="4">
        <f>IFERROR(__xludf.DUMMYFUNCTION("""COMPUTED_VALUE"""),48.0)</f>
        <v>48</v>
      </c>
      <c r="H16847" s="4"/>
      <c r="I16847" s="4"/>
    </row>
    <row r="16848">
      <c r="A16848" s="4" t="str">
        <f>IFERROR(__xludf.DUMMYFUNCTION("""COMPUTED_VALUE"""),"cas_hmw")</f>
        <v>cas_hmw</v>
      </c>
      <c r="B16848" s="5">
        <f>IFERROR(__xludf.DUMMYFUNCTION("""COMPUTED_VALUE"""),44737.0)</f>
        <v>44737</v>
      </c>
      <c r="C16848" s="6">
        <f>IFERROR(__xludf.DUMMYFUNCTION("""COMPUTED_VALUE"""),0.6869907407417486)</f>
        <v>0.6869907407</v>
      </c>
      <c r="D16848" s="4">
        <f>IFERROR(__xludf.DUMMYFUNCTION("""COMPUTED_VALUE"""),12.771871)</f>
        <v>12.771871</v>
      </c>
      <c r="E16848" s="4">
        <f>IFERROR(__xludf.DUMMYFUNCTION("""COMPUTED_VALUE"""),80.008202)</f>
        <v>80.008202</v>
      </c>
      <c r="F16848" s="4">
        <f>IFERROR(__xludf.DUMMYFUNCTION("""COMPUTED_VALUE"""),2846.0)</f>
        <v>2846</v>
      </c>
      <c r="G16848" s="4">
        <f>IFERROR(__xludf.DUMMYFUNCTION("""COMPUTED_VALUE"""),48.0)</f>
        <v>48</v>
      </c>
      <c r="H16848" s="4"/>
      <c r="I16848" s="4"/>
    </row>
    <row r="16849">
      <c r="A16849" s="4" t="str">
        <f>IFERROR(__xludf.DUMMYFUNCTION("""COMPUTED_VALUE"""),"cas_hmw")</f>
        <v>cas_hmw</v>
      </c>
      <c r="B16849" s="5">
        <f>IFERROR(__xludf.DUMMYFUNCTION("""COMPUTED_VALUE"""),44737.0)</f>
        <v>44737</v>
      </c>
      <c r="C16849" s="6">
        <f>IFERROR(__xludf.DUMMYFUNCTION("""COMPUTED_VALUE"""),0.687430555553874)</f>
        <v>0.6874305556</v>
      </c>
      <c r="D16849" s="4">
        <f>IFERROR(__xludf.DUMMYFUNCTION("""COMPUTED_VALUE"""),12.950836)</f>
        <v>12.950836</v>
      </c>
      <c r="E16849" s="4">
        <f>IFERROR(__xludf.DUMMYFUNCTION("""COMPUTED_VALUE"""),80.139765)</f>
        <v>80.139765</v>
      </c>
      <c r="F16849" s="4">
        <f>IFERROR(__xludf.DUMMYFUNCTION("""COMPUTED_VALUE"""),805.0)</f>
        <v>805</v>
      </c>
      <c r="G16849" s="4">
        <f>IFERROR(__xludf.DUMMYFUNCTION("""COMPUTED_VALUE"""),28.0)</f>
        <v>28</v>
      </c>
      <c r="H16849" s="4"/>
      <c r="I16849" s="4"/>
    </row>
    <row r="16850">
      <c r="A16850" s="4" t="str">
        <f>IFERROR(__xludf.DUMMYFUNCTION("""COMPUTED_VALUE"""),"cas_hmw")</f>
        <v>cas_hmw</v>
      </c>
      <c r="B16850" s="5">
        <f>IFERROR(__xludf.DUMMYFUNCTION("""COMPUTED_VALUE"""),44737.0)</f>
        <v>44737</v>
      </c>
      <c r="C16850" s="6">
        <f>IFERROR(__xludf.DUMMYFUNCTION("""COMPUTED_VALUE"""),0.687812500000291)</f>
        <v>0.6878125</v>
      </c>
      <c r="D16850" s="4">
        <f>IFERROR(__xludf.DUMMYFUNCTION("""COMPUTED_VALUE"""),12.953255)</f>
        <v>12.953255</v>
      </c>
      <c r="E16850" s="4">
        <f>IFERROR(__xludf.DUMMYFUNCTION("""COMPUTED_VALUE"""),80.14154)</f>
        <v>80.14154</v>
      </c>
      <c r="F16850" s="4">
        <f>IFERROR(__xludf.DUMMYFUNCTION("""COMPUTED_VALUE"""),805.0)</f>
        <v>805</v>
      </c>
      <c r="G16850" s="4">
        <f>IFERROR(__xludf.DUMMYFUNCTION("""COMPUTED_VALUE"""),43.0)</f>
        <v>43</v>
      </c>
      <c r="H16850" s="4"/>
      <c r="I16850" s="4"/>
    </row>
    <row r="16851">
      <c r="A16851" s="4" t="str">
        <f>IFERROR(__xludf.DUMMYFUNCTION("""COMPUTED_VALUE"""),"cas_hmw")</f>
        <v>cas_hmw</v>
      </c>
      <c r="B16851" s="5">
        <f>IFERROR(__xludf.DUMMYFUNCTION("""COMPUTED_VALUE"""),44737.0)</f>
        <v>44737</v>
      </c>
      <c r="C16851" s="6">
        <f>IFERROR(__xludf.DUMMYFUNCTION("""COMPUTED_VALUE"""),0.6881365740737238)</f>
        <v>0.6881365741</v>
      </c>
      <c r="D16851" s="4">
        <f>IFERROR(__xludf.DUMMYFUNCTION("""COMPUTED_VALUE"""),12.971055)</f>
        <v>12.971055</v>
      </c>
      <c r="E16851" s="4">
        <f>IFERROR(__xludf.DUMMYFUNCTION("""COMPUTED_VALUE"""),80.150839)</f>
        <v>80.150839</v>
      </c>
      <c r="F16851" s="4">
        <f>IFERROR(__xludf.DUMMYFUNCTION("""COMPUTED_VALUE"""),5339.0)</f>
        <v>5339</v>
      </c>
      <c r="G16851" s="4">
        <f>IFERROR(__xludf.DUMMYFUNCTION("""COMPUTED_VALUE"""),58.0)</f>
        <v>58</v>
      </c>
      <c r="H16851" s="4"/>
      <c r="I16851" s="4"/>
    </row>
    <row r="16852">
      <c r="A16852" s="4" t="str">
        <f>IFERROR(__xludf.DUMMYFUNCTION("""COMPUTED_VALUE"""),"cas_hmw")</f>
        <v>cas_hmw</v>
      </c>
      <c r="B16852" s="5">
        <f>IFERROR(__xludf.DUMMYFUNCTION("""COMPUTED_VALUE"""),44737.0)</f>
        <v>44737</v>
      </c>
      <c r="C16852" s="6">
        <f>IFERROR(__xludf.DUMMYFUNCTION("""COMPUTED_VALUE"""),0.6883564814816054)</f>
        <v>0.6883564815</v>
      </c>
      <c r="D16852" s="4">
        <f>IFERROR(__xludf.DUMMYFUNCTION("""COMPUTED_VALUE"""),12.972734)</f>
        <v>12.972734</v>
      </c>
      <c r="E16852" s="4">
        <f>IFERROR(__xludf.DUMMYFUNCTION("""COMPUTED_VALUE"""),80.152214)</f>
        <v>80.152214</v>
      </c>
      <c r="F16852" s="4">
        <f>IFERROR(__xludf.DUMMYFUNCTION("""COMPUTED_VALUE"""),5339.0)</f>
        <v>5339</v>
      </c>
      <c r="G16852" s="4">
        <f>IFERROR(__xludf.DUMMYFUNCTION("""COMPUTED_VALUE"""),58.0)</f>
        <v>58</v>
      </c>
      <c r="H16852" s="4"/>
      <c r="I16852" s="4"/>
    </row>
    <row r="16853">
      <c r="A16853" s="4" t="str">
        <f>IFERROR(__xludf.DUMMYFUNCTION("""COMPUTED_VALUE"""),"cas_hmw")</f>
        <v>cas_hmw</v>
      </c>
      <c r="B16853" s="5">
        <f>IFERROR(__xludf.DUMMYFUNCTION("""COMPUTED_VALUE"""),44737.0)</f>
        <v>44737</v>
      </c>
      <c r="C16853" s="6">
        <f>IFERROR(__xludf.DUMMYFUNCTION("""COMPUTED_VALUE"""),0.6890509259246755)</f>
        <v>0.6890509259</v>
      </c>
      <c r="D16853" s="4">
        <f>IFERROR(__xludf.DUMMYFUNCTION("""COMPUTED_VALUE"""),12.95606)</f>
        <v>12.95606</v>
      </c>
      <c r="E16853" s="4">
        <f>IFERROR(__xludf.DUMMYFUNCTION("""COMPUTED_VALUE"""),80.14292)</f>
        <v>80.14292</v>
      </c>
      <c r="F16853" s="4">
        <f>IFERROR(__xludf.DUMMYFUNCTION("""COMPUTED_VALUE"""),805.0)</f>
        <v>805</v>
      </c>
      <c r="G16853" s="4">
        <f>IFERROR(__xludf.DUMMYFUNCTION("""COMPUTED_VALUE"""),0.0)</f>
        <v>0</v>
      </c>
      <c r="H16853" s="4"/>
      <c r="I16853" s="4"/>
    </row>
    <row r="16854">
      <c r="A16854" s="4" t="str">
        <f>IFERROR(__xludf.DUMMYFUNCTION("""COMPUTED_VALUE"""),"cas_hmw")</f>
        <v>cas_hmw</v>
      </c>
      <c r="B16854" s="5">
        <f>IFERROR(__xludf.DUMMYFUNCTION("""COMPUTED_VALUE"""),44737.0)</f>
        <v>44737</v>
      </c>
      <c r="C16854" s="6">
        <f>IFERROR(__xludf.DUMMYFUNCTION("""COMPUTED_VALUE"""),0.6890856481477385)</f>
        <v>0.6890856481</v>
      </c>
      <c r="D16854" s="4">
        <f>IFERROR(__xludf.DUMMYFUNCTION("""COMPUTED_VALUE"""),12.979127)</f>
        <v>12.979127</v>
      </c>
      <c r="E16854" s="4">
        <f>IFERROR(__xludf.DUMMYFUNCTION("""COMPUTED_VALUE"""),80.161566)</f>
        <v>80.161566</v>
      </c>
      <c r="F16854" s="4">
        <f>IFERROR(__xludf.DUMMYFUNCTION("""COMPUTED_VALUE"""),5339.0)</f>
        <v>5339</v>
      </c>
      <c r="G16854" s="4">
        <f>IFERROR(__xludf.DUMMYFUNCTION("""COMPUTED_VALUE"""),58.0)</f>
        <v>58</v>
      </c>
      <c r="H16854" s="4"/>
      <c r="I16854" s="4"/>
    </row>
    <row r="16855">
      <c r="A16855" s="4" t="str">
        <f>IFERROR(__xludf.DUMMYFUNCTION("""COMPUTED_VALUE"""),"cas_hmw")</f>
        <v>cas_hmw</v>
      </c>
      <c r="B16855" s="5">
        <f>IFERROR(__xludf.DUMMYFUNCTION("""COMPUTED_VALUE"""),44737.0)</f>
        <v>44737</v>
      </c>
      <c r="C16855" s="6">
        <f>IFERROR(__xludf.DUMMYFUNCTION("""COMPUTED_VALUE"""),0.6891666666670062)</f>
        <v>0.6891666667</v>
      </c>
      <c r="D16855" s="4">
        <f>IFERROR(__xludf.DUMMYFUNCTION("""COMPUTED_VALUE"""),12.979127)</f>
        <v>12.979127</v>
      </c>
      <c r="E16855" s="4">
        <f>IFERROR(__xludf.DUMMYFUNCTION("""COMPUTED_VALUE"""),80.161566)</f>
        <v>80.161566</v>
      </c>
      <c r="F16855" s="4">
        <f>IFERROR(__xludf.DUMMYFUNCTION("""COMPUTED_VALUE"""),5339.0)</f>
        <v>5339</v>
      </c>
      <c r="G16855" s="4">
        <f>IFERROR(__xludf.DUMMYFUNCTION("""COMPUTED_VALUE"""),58.0)</f>
        <v>58</v>
      </c>
      <c r="H16855" s="4"/>
      <c r="I16855" s="4"/>
    </row>
    <row r="16856">
      <c r="A16856" s="4" t="str">
        <f>IFERROR(__xludf.DUMMYFUNCTION("""COMPUTED_VALUE"""),"cas_hmw")</f>
        <v>cas_hmw</v>
      </c>
      <c r="B16856" s="5">
        <f>IFERROR(__xludf.DUMMYFUNCTION("""COMPUTED_VALUE"""),44737.0)</f>
        <v>44737</v>
      </c>
      <c r="C16856" s="6">
        <f>IFERROR(__xludf.DUMMYFUNCTION("""COMPUTED_VALUE"""),0.6898842592599976)</f>
        <v>0.6898842593</v>
      </c>
      <c r="D16856" s="4">
        <f>IFERROR(__xludf.DUMMYFUNCTION("""COMPUTED_VALUE"""),12.98335)</f>
        <v>12.98335</v>
      </c>
      <c r="E16856" s="4">
        <f>IFERROR(__xludf.DUMMYFUNCTION("""COMPUTED_VALUE"""),80.16985)</f>
        <v>80.16985</v>
      </c>
      <c r="F16856" s="4">
        <f>IFERROR(__xludf.DUMMYFUNCTION("""COMPUTED_VALUE"""),5339.0)</f>
        <v>5339</v>
      </c>
      <c r="G16856" s="4">
        <f>IFERROR(__xludf.DUMMYFUNCTION("""COMPUTED_VALUE"""),61.0)</f>
        <v>61</v>
      </c>
      <c r="H16856" s="4"/>
      <c r="I16856" s="4"/>
    </row>
    <row r="16857">
      <c r="A16857" s="4" t="str">
        <f>IFERROR(__xludf.DUMMYFUNCTION("""COMPUTED_VALUE"""),"cas_hmw")</f>
        <v>cas_hmw</v>
      </c>
      <c r="B16857" s="5">
        <f>IFERROR(__xludf.DUMMYFUNCTION("""COMPUTED_VALUE"""),44737.0)</f>
        <v>44737</v>
      </c>
      <c r="C16857" s="6">
        <f>IFERROR(__xludf.DUMMYFUNCTION("""COMPUTED_VALUE"""),0.6902083333334303)</f>
        <v>0.6902083333</v>
      </c>
      <c r="D16857" s="4">
        <f>IFERROR(__xludf.DUMMYFUNCTION("""COMPUTED_VALUE"""),12.985506)</f>
        <v>12.985506</v>
      </c>
      <c r="E16857" s="4">
        <f>IFERROR(__xludf.DUMMYFUNCTION("""COMPUTED_VALUE"""),80.173295)</f>
        <v>80.173295</v>
      </c>
      <c r="F16857" s="4">
        <f>IFERROR(__xludf.DUMMYFUNCTION("""COMPUTED_VALUE"""),5339.0)</f>
        <v>5339</v>
      </c>
      <c r="G16857" s="4">
        <f>IFERROR(__xludf.DUMMYFUNCTION("""COMPUTED_VALUE"""),43.0)</f>
        <v>43</v>
      </c>
      <c r="H16857" s="4"/>
      <c r="I16857" s="4"/>
    </row>
    <row r="16858">
      <c r="A16858" s="4" t="str">
        <f>IFERROR(__xludf.DUMMYFUNCTION("""COMPUTED_VALUE"""),"cas_hmw")</f>
        <v>cas_hmw</v>
      </c>
      <c r="B16858" s="5">
        <f>IFERROR(__xludf.DUMMYFUNCTION("""COMPUTED_VALUE"""),44737.0)</f>
        <v>44737</v>
      </c>
      <c r="C16858" s="6">
        <f>IFERROR(__xludf.DUMMYFUNCTION("""COMPUTED_VALUE"""),0.6905324074068631)</f>
        <v>0.6905324074</v>
      </c>
      <c r="D16858" s="4">
        <f>IFERROR(__xludf.DUMMYFUNCTION("""COMPUTED_VALUE"""),12.986532)</f>
        <v>12.986532</v>
      </c>
      <c r="E16858" s="4">
        <f>IFERROR(__xludf.DUMMYFUNCTION("""COMPUTED_VALUE"""),80.174753)</f>
        <v>80.174753</v>
      </c>
      <c r="F16858" s="4">
        <f>IFERROR(__xludf.DUMMYFUNCTION("""COMPUTED_VALUE"""),5339.0)</f>
        <v>5339</v>
      </c>
      <c r="G16858" s="4">
        <f>IFERROR(__xludf.DUMMYFUNCTION("""COMPUTED_VALUE"""),42.0)</f>
        <v>42</v>
      </c>
      <c r="H16858" s="4"/>
      <c r="I16858" s="4"/>
    </row>
    <row r="16859">
      <c r="A16859" s="4" t="str">
        <f>IFERROR(__xludf.DUMMYFUNCTION("""COMPUTED_VALUE"""),"cas_hmw")</f>
        <v>cas_hmw</v>
      </c>
      <c r="B16859" s="5">
        <f>IFERROR(__xludf.DUMMYFUNCTION("""COMPUTED_VALUE"""),44737.0)</f>
        <v>44737</v>
      </c>
      <c r="C16859" s="6">
        <f>IFERROR(__xludf.DUMMYFUNCTION("""COMPUTED_VALUE"""),0.6915277777770825)</f>
        <v>0.6915277778</v>
      </c>
      <c r="D16859" s="4">
        <f>IFERROR(__xludf.DUMMYFUNCTION("""COMPUTED_VALUE"""),12.989291)</f>
        <v>12.989291</v>
      </c>
      <c r="E16859" s="4">
        <f>IFERROR(__xludf.DUMMYFUNCTION("""COMPUTED_VALUE"""),80.178548)</f>
        <v>80.178548</v>
      </c>
      <c r="F16859" s="4">
        <f>IFERROR(__xludf.DUMMYFUNCTION("""COMPUTED_VALUE"""),5339.0)</f>
        <v>5339</v>
      </c>
      <c r="G16859" s="4">
        <f>IFERROR(__xludf.DUMMYFUNCTION("""COMPUTED_VALUE"""),0.0)</f>
        <v>0</v>
      </c>
      <c r="H16859" s="4"/>
      <c r="I16859" s="4"/>
    </row>
    <row r="16860">
      <c r="A16860" s="4" t="str">
        <f>IFERROR(__xludf.DUMMYFUNCTION("""COMPUTED_VALUE"""),"cas_hmw")</f>
        <v>cas_hmw</v>
      </c>
      <c r="B16860" s="5">
        <f>IFERROR(__xludf.DUMMYFUNCTION("""COMPUTED_VALUE"""),44737.0)</f>
        <v>44737</v>
      </c>
      <c r="C16860" s="6">
        <f>IFERROR(__xludf.DUMMYFUNCTION("""COMPUTED_VALUE"""),0.6915625000001455)</f>
        <v>0.6915625</v>
      </c>
      <c r="D16860" s="4">
        <f>IFERROR(__xludf.DUMMYFUNCTION("""COMPUTED_VALUE"""),12.960914)</f>
        <v>12.960914</v>
      </c>
      <c r="E16860" s="4">
        <f>IFERROR(__xludf.DUMMYFUNCTION("""COMPUTED_VALUE"""),80.145562)</f>
        <v>80.145562</v>
      </c>
      <c r="F16860" s="4">
        <f>IFERROR(__xludf.DUMMYFUNCTION("""COMPUTED_VALUE"""),805.0)</f>
        <v>805</v>
      </c>
      <c r="G16860" s="4">
        <f>IFERROR(__xludf.DUMMYFUNCTION("""COMPUTED_VALUE"""),6.0)</f>
        <v>6</v>
      </c>
      <c r="H16860" s="4"/>
      <c r="I16860" s="4"/>
    </row>
    <row r="16861">
      <c r="A16861" s="4" t="str">
        <f>IFERROR(__xludf.DUMMYFUNCTION("""COMPUTED_VALUE"""),"cas_hmw")</f>
        <v>cas_hmw</v>
      </c>
      <c r="B16861" s="5">
        <f>IFERROR(__xludf.DUMMYFUNCTION("""COMPUTED_VALUE"""),44737.0)</f>
        <v>44737</v>
      </c>
      <c r="C16861" s="6">
        <f>IFERROR(__xludf.DUMMYFUNCTION("""COMPUTED_VALUE"""),0.6917361111118225)</f>
        <v>0.6917361111</v>
      </c>
      <c r="D16861" s="4">
        <f>IFERROR(__xludf.DUMMYFUNCTION("""COMPUTED_VALUE"""),12.961532)</f>
        <v>12.961532</v>
      </c>
      <c r="E16861" s="4">
        <f>IFERROR(__xludf.DUMMYFUNCTION("""COMPUTED_VALUE"""),80.145909)</f>
        <v>80.145909</v>
      </c>
      <c r="F16861" s="4">
        <f>IFERROR(__xludf.DUMMYFUNCTION("""COMPUTED_VALUE"""),805.0)</f>
        <v>805</v>
      </c>
      <c r="G16861" s="4">
        <f>IFERROR(__xludf.DUMMYFUNCTION("""COMPUTED_VALUE"""),34.0)</f>
        <v>34</v>
      </c>
      <c r="H16861" s="4"/>
      <c r="I16861" s="4"/>
    </row>
    <row r="16862">
      <c r="A16862" s="4" t="str">
        <f>IFERROR(__xludf.DUMMYFUNCTION("""COMPUTED_VALUE"""),"cas_hmw")</f>
        <v>cas_hmw</v>
      </c>
      <c r="B16862" s="5">
        <f>IFERROR(__xludf.DUMMYFUNCTION("""COMPUTED_VALUE"""),44737.0)</f>
        <v>44737</v>
      </c>
      <c r="C16862" s="6">
        <f>IFERROR(__xludf.DUMMYFUNCTION("""COMPUTED_VALUE"""),0.6918865740735782)</f>
        <v>0.6918865741</v>
      </c>
      <c r="D16862" s="4">
        <f>IFERROR(__xludf.DUMMYFUNCTION("""COMPUTED_VALUE"""),12.990706)</f>
        <v>12.990706</v>
      </c>
      <c r="E16862" s="4">
        <f>IFERROR(__xludf.DUMMYFUNCTION("""COMPUTED_VALUE"""),80.180368)</f>
        <v>80.180368</v>
      </c>
      <c r="F16862" s="4">
        <f>IFERROR(__xludf.DUMMYFUNCTION("""COMPUTED_VALUE"""),5339.0)</f>
        <v>5339</v>
      </c>
      <c r="G16862" s="4">
        <f>IFERROR(__xludf.DUMMYFUNCTION("""COMPUTED_VALUE"""),40.0)</f>
        <v>40</v>
      </c>
      <c r="H16862" s="4"/>
      <c r="I16862" s="4"/>
    </row>
    <row r="16863">
      <c r="A16863" s="4" t="str">
        <f>IFERROR(__xludf.DUMMYFUNCTION("""COMPUTED_VALUE"""),"cas_hmw")</f>
        <v>cas_hmw</v>
      </c>
      <c r="B16863" s="5">
        <f>IFERROR(__xludf.DUMMYFUNCTION("""COMPUTED_VALUE"""),44737.0)</f>
        <v>44737</v>
      </c>
      <c r="C16863" s="6">
        <f>IFERROR(__xludf.DUMMYFUNCTION("""COMPUTED_VALUE"""),0.6920486111121136)</f>
        <v>0.6920486111</v>
      </c>
      <c r="D16863" s="4">
        <f>IFERROR(__xludf.DUMMYFUNCTION("""COMPUTED_VALUE"""),12.990706)</f>
        <v>12.990706</v>
      </c>
      <c r="E16863" s="4">
        <f>IFERROR(__xludf.DUMMYFUNCTION("""COMPUTED_VALUE"""),80.180368)</f>
        <v>80.180368</v>
      </c>
      <c r="F16863" s="4">
        <f>IFERROR(__xludf.DUMMYFUNCTION("""COMPUTED_VALUE"""),5339.0)</f>
        <v>5339</v>
      </c>
      <c r="G16863" s="4">
        <f>IFERROR(__xludf.DUMMYFUNCTION("""COMPUTED_VALUE"""),40.0)</f>
        <v>40</v>
      </c>
      <c r="H16863" s="4"/>
      <c r="I16863" s="4"/>
    </row>
    <row r="16864">
      <c r="A16864" s="4" t="str">
        <f>IFERROR(__xludf.DUMMYFUNCTION("""COMPUTED_VALUE"""),"cas_hmw")</f>
        <v>cas_hmw</v>
      </c>
      <c r="B16864" s="5">
        <f>IFERROR(__xludf.DUMMYFUNCTION("""COMPUTED_VALUE"""),44737.0)</f>
        <v>44737</v>
      </c>
      <c r="C16864" s="6">
        <f>IFERROR(__xludf.DUMMYFUNCTION("""COMPUTED_VALUE"""),0.692523148147302)</f>
        <v>0.6925231481</v>
      </c>
      <c r="D16864" s="4">
        <f>IFERROR(__xludf.DUMMYFUNCTION("""COMPUTED_VALUE"""),12.968279)</f>
        <v>12.968279</v>
      </c>
      <c r="E16864" s="4">
        <f>IFERROR(__xludf.DUMMYFUNCTION("""COMPUTED_VALUE"""),80.149503)</f>
        <v>80.149503</v>
      </c>
      <c r="F16864" s="4">
        <f>IFERROR(__xludf.DUMMYFUNCTION("""COMPUTED_VALUE"""),805.0)</f>
        <v>805</v>
      </c>
      <c r="G16864" s="4">
        <f>IFERROR(__xludf.DUMMYFUNCTION("""COMPUTED_VALUE"""),57.0)</f>
        <v>57</v>
      </c>
      <c r="H16864" s="4"/>
      <c r="I16864" s="4"/>
    </row>
    <row r="16865">
      <c r="A16865" s="4" t="str">
        <f>IFERROR(__xludf.DUMMYFUNCTION("""COMPUTED_VALUE"""),"cas_hmw")</f>
        <v>cas_hmw</v>
      </c>
      <c r="B16865" s="5">
        <f>IFERROR(__xludf.DUMMYFUNCTION("""COMPUTED_VALUE"""),44737.0)</f>
        <v>44737</v>
      </c>
      <c r="C16865" s="6">
        <f>IFERROR(__xludf.DUMMYFUNCTION("""COMPUTED_VALUE"""),0.6928240740744513)</f>
        <v>0.6928240741</v>
      </c>
      <c r="D16865" s="4">
        <f>IFERROR(__xludf.DUMMYFUNCTION("""COMPUTED_VALUE"""),12.995046)</f>
        <v>12.995046</v>
      </c>
      <c r="E16865" s="4">
        <f>IFERROR(__xludf.DUMMYFUNCTION("""COMPUTED_VALUE"""),80.187425)</f>
        <v>80.187425</v>
      </c>
      <c r="F16865" s="4">
        <f>IFERROR(__xludf.DUMMYFUNCTION("""COMPUTED_VALUE"""),5339.0)</f>
        <v>5339</v>
      </c>
      <c r="G16865" s="4">
        <f>IFERROR(__xludf.DUMMYFUNCTION("""COMPUTED_VALUE"""),52.0)</f>
        <v>52</v>
      </c>
      <c r="H16865" s="4"/>
      <c r="I16865" s="4"/>
    </row>
    <row r="16866">
      <c r="A16866" s="4" t="str">
        <f>IFERROR(__xludf.DUMMYFUNCTION("""COMPUTED_VALUE"""),"cas_hmw")</f>
        <v>cas_hmw</v>
      </c>
      <c r="B16866" s="5">
        <f>IFERROR(__xludf.DUMMYFUNCTION("""COMPUTED_VALUE"""),44737.0)</f>
        <v>44737</v>
      </c>
      <c r="C16866" s="6">
        <f>IFERROR(__xludf.DUMMYFUNCTION("""COMPUTED_VALUE"""),0.693078703705396)</f>
        <v>0.6930787037</v>
      </c>
      <c r="D16866" s="4">
        <f>IFERROR(__xludf.DUMMYFUNCTION("""COMPUTED_VALUE"""),12.9734)</f>
        <v>12.9734</v>
      </c>
      <c r="E16866" s="4">
        <f>IFERROR(__xludf.DUMMYFUNCTION("""COMPUTED_VALUE"""),80.15324)</f>
        <v>80.15324</v>
      </c>
      <c r="F16866" s="4">
        <f>IFERROR(__xludf.DUMMYFUNCTION("""COMPUTED_VALUE"""),805.0)</f>
        <v>805</v>
      </c>
      <c r="G16866" s="4">
        <f>IFERROR(__xludf.DUMMYFUNCTION("""COMPUTED_VALUE"""),59.0)</f>
        <v>59</v>
      </c>
      <c r="H16866" s="4"/>
      <c r="I16866" s="4"/>
    </row>
    <row r="16867">
      <c r="A16867" s="4" t="str">
        <f>IFERROR(__xludf.DUMMYFUNCTION("""COMPUTED_VALUE"""),"cas_hmw")</f>
        <v>cas_hmw</v>
      </c>
      <c r="B16867" s="5">
        <f>IFERROR(__xludf.DUMMYFUNCTION("""COMPUTED_VALUE"""),44737.0)</f>
        <v>44737</v>
      </c>
      <c r="C16867" s="6">
        <f>IFERROR(__xludf.DUMMYFUNCTION("""COMPUTED_VALUE"""),0.6933564814826241)</f>
        <v>0.6933564815</v>
      </c>
      <c r="D16867" s="4">
        <f>IFERROR(__xludf.DUMMYFUNCTION("""COMPUTED_VALUE"""),12.998134)</f>
        <v>12.998134</v>
      </c>
      <c r="E16867" s="4">
        <f>IFERROR(__xludf.DUMMYFUNCTION("""COMPUTED_VALUE"""),80.191757)</f>
        <v>80.191757</v>
      </c>
      <c r="F16867" s="4">
        <f>IFERROR(__xludf.DUMMYFUNCTION("""COMPUTED_VALUE"""),5339.0)</f>
        <v>5339</v>
      </c>
      <c r="G16867" s="4">
        <f>IFERROR(__xludf.DUMMYFUNCTION("""COMPUTED_VALUE"""),38.0)</f>
        <v>38</v>
      </c>
      <c r="H16867" s="4"/>
      <c r="I16867" s="4"/>
    </row>
    <row r="16868">
      <c r="A16868" s="4" t="str">
        <f>IFERROR(__xludf.DUMMYFUNCTION("""COMPUTED_VALUE"""),"cas_hmw")</f>
        <v>cas_hmw</v>
      </c>
      <c r="B16868" s="5">
        <f>IFERROR(__xludf.DUMMYFUNCTION("""COMPUTED_VALUE"""),44737.0)</f>
        <v>44737</v>
      </c>
      <c r="C16868" s="6">
        <f>IFERROR(__xludf.DUMMYFUNCTION("""COMPUTED_VALUE"""),0.6934374999982538)</f>
        <v>0.6934375</v>
      </c>
      <c r="D16868" s="4">
        <f>IFERROR(__xludf.DUMMYFUNCTION("""COMPUTED_VALUE"""),12.999026)</f>
        <v>12.999026</v>
      </c>
      <c r="E16868" s="4">
        <f>IFERROR(__xludf.DUMMYFUNCTION("""COMPUTED_VALUE"""),80.19289)</f>
        <v>80.19289</v>
      </c>
      <c r="F16868" s="4">
        <f>IFERROR(__xludf.DUMMYFUNCTION("""COMPUTED_VALUE"""),5339.0)</f>
        <v>5339</v>
      </c>
      <c r="G16868" s="4">
        <f>IFERROR(__xludf.DUMMYFUNCTION("""COMPUTED_VALUE"""),35.0)</f>
        <v>35</v>
      </c>
      <c r="H16868" s="4"/>
      <c r="I16868" s="4"/>
    </row>
    <row r="16869">
      <c r="A16869" s="4" t="str">
        <f>IFERROR(__xludf.DUMMYFUNCTION("""COMPUTED_VALUE"""),"cas_hmw")</f>
        <v>cas_hmw</v>
      </c>
      <c r="B16869" s="5">
        <f>IFERROR(__xludf.DUMMYFUNCTION("""COMPUTED_VALUE"""),44737.0)</f>
        <v>44737</v>
      </c>
      <c r="C16869" s="6">
        <f>IFERROR(__xludf.DUMMYFUNCTION("""COMPUTED_VALUE"""),0.6935532407405844)</f>
        <v>0.6935532407</v>
      </c>
      <c r="D16869" s="4">
        <f>IFERROR(__xludf.DUMMYFUNCTION("""COMPUTED_VALUE"""),12.999026)</f>
        <v>12.999026</v>
      </c>
      <c r="E16869" s="4">
        <f>IFERROR(__xludf.DUMMYFUNCTION("""COMPUTED_VALUE"""),80.19289)</f>
        <v>80.19289</v>
      </c>
      <c r="F16869" s="4">
        <f>IFERROR(__xludf.DUMMYFUNCTION("""COMPUTED_VALUE"""),5339.0)</f>
        <v>5339</v>
      </c>
      <c r="G16869" s="4">
        <f>IFERROR(__xludf.DUMMYFUNCTION("""COMPUTED_VALUE"""),35.0)</f>
        <v>35</v>
      </c>
      <c r="H16869" s="4"/>
      <c r="I16869" s="4"/>
    </row>
    <row r="16870">
      <c r="A16870" s="4" t="str">
        <f>IFERROR(__xludf.DUMMYFUNCTION("""COMPUTED_VALUE"""),"cas_hmw")</f>
        <v>cas_hmw</v>
      </c>
      <c r="B16870" s="5">
        <f>IFERROR(__xludf.DUMMYFUNCTION("""COMPUTED_VALUE"""),44737.0)</f>
        <v>44737</v>
      </c>
      <c r="C16870" s="6">
        <f>IFERROR(__xludf.DUMMYFUNCTION("""COMPUTED_VALUE"""),0.6939467592601432)</f>
        <v>0.6939467593</v>
      </c>
      <c r="D16870" s="4">
        <f>IFERROR(__xludf.DUMMYFUNCTION("""COMPUTED_VALUE"""),13.001006)</f>
        <v>13.001006</v>
      </c>
      <c r="E16870" s="4">
        <f>IFERROR(__xludf.DUMMYFUNCTION("""COMPUTED_VALUE"""),80.195368)</f>
        <v>80.195368</v>
      </c>
      <c r="F16870" s="4">
        <f>IFERROR(__xludf.DUMMYFUNCTION("""COMPUTED_VALUE"""),5339.0)</f>
        <v>5339</v>
      </c>
      <c r="G16870" s="4">
        <f>IFERROR(__xludf.DUMMYFUNCTION("""COMPUTED_VALUE"""),30.0)</f>
        <v>30</v>
      </c>
      <c r="H16870" s="4"/>
      <c r="I16870" s="4"/>
    </row>
    <row r="16871">
      <c r="A16871" s="4" t="str">
        <f>IFERROR(__xludf.DUMMYFUNCTION("""COMPUTED_VALUE"""),"cas_hmw")</f>
        <v>cas_hmw</v>
      </c>
      <c r="B16871" s="5">
        <f>IFERROR(__xludf.DUMMYFUNCTION("""COMPUTED_VALUE"""),44737.0)</f>
        <v>44737</v>
      </c>
      <c r="C16871" s="6">
        <f>IFERROR(__xludf.DUMMYFUNCTION("""COMPUTED_VALUE"""),0.6940277777794108)</f>
        <v>0.6940277778</v>
      </c>
      <c r="D16871" s="4">
        <f>IFERROR(__xludf.DUMMYFUNCTION("""COMPUTED_VALUE"""),13.00154)</f>
        <v>13.00154</v>
      </c>
      <c r="E16871" s="4">
        <f>IFERROR(__xludf.DUMMYFUNCTION("""COMPUTED_VALUE"""),80.195995)</f>
        <v>80.195995</v>
      </c>
      <c r="F16871" s="4">
        <f>IFERROR(__xludf.DUMMYFUNCTION("""COMPUTED_VALUE"""),5339.0)</f>
        <v>5339</v>
      </c>
      <c r="G16871" s="4">
        <f>IFERROR(__xludf.DUMMYFUNCTION("""COMPUTED_VALUE"""),20.0)</f>
        <v>20</v>
      </c>
      <c r="H16871" s="4"/>
      <c r="I16871" s="4"/>
    </row>
    <row r="16872">
      <c r="A16872" s="4" t="str">
        <f>IFERROR(__xludf.DUMMYFUNCTION("""COMPUTED_VALUE"""),"cas_hmw")</f>
        <v>cas_hmw</v>
      </c>
      <c r="B16872" s="5">
        <f>IFERROR(__xludf.DUMMYFUNCTION("""COMPUTED_VALUE"""),44737.0)</f>
        <v>44737</v>
      </c>
      <c r="C16872" s="6">
        <f>IFERROR(__xludf.DUMMYFUNCTION("""COMPUTED_VALUE"""),0.6941203703718202)</f>
        <v>0.6941203704</v>
      </c>
      <c r="D16872" s="4">
        <f>IFERROR(__xludf.DUMMYFUNCTION("""COMPUTED_VALUE"""),13.00154)</f>
        <v>13.00154</v>
      </c>
      <c r="E16872" s="4">
        <f>IFERROR(__xludf.DUMMYFUNCTION("""COMPUTED_VALUE"""),80.195995)</f>
        <v>80.195995</v>
      </c>
      <c r="F16872" s="4">
        <f>IFERROR(__xludf.DUMMYFUNCTION("""COMPUTED_VALUE"""),5339.0)</f>
        <v>5339</v>
      </c>
      <c r="G16872" s="4">
        <f>IFERROR(__xludf.DUMMYFUNCTION("""COMPUTED_VALUE"""),20.0)</f>
        <v>20</v>
      </c>
      <c r="H16872" s="4"/>
      <c r="I16872" s="4"/>
    </row>
    <row r="16873">
      <c r="A16873" s="4" t="str">
        <f>IFERROR(__xludf.DUMMYFUNCTION("""COMPUTED_VALUE"""),"cas_hmw")</f>
        <v>cas_hmw</v>
      </c>
      <c r="B16873" s="5">
        <f>IFERROR(__xludf.DUMMYFUNCTION("""COMPUTED_VALUE"""),44737.0)</f>
        <v>44737</v>
      </c>
      <c r="C16873" s="6">
        <f>IFERROR(__xludf.DUMMYFUNCTION("""COMPUTED_VALUE"""),0.6945370370376622)</f>
        <v>0.694537037</v>
      </c>
      <c r="D16873" s="4">
        <f>IFERROR(__xludf.DUMMYFUNCTION("""COMPUTED_VALUE"""),12.982466)</f>
        <v>12.982466</v>
      </c>
      <c r="E16873" s="4">
        <f>IFERROR(__xludf.DUMMYFUNCTION("""COMPUTED_VALUE"""),80.168292)</f>
        <v>80.168292</v>
      </c>
      <c r="F16873" s="4">
        <f>IFERROR(__xludf.DUMMYFUNCTION("""COMPUTED_VALUE"""),805.0)</f>
        <v>805</v>
      </c>
      <c r="G16873" s="4">
        <f>IFERROR(__xludf.DUMMYFUNCTION("""COMPUTED_VALUE"""),58.0)</f>
        <v>58</v>
      </c>
      <c r="H16873" s="4"/>
      <c r="I16873" s="4"/>
    </row>
    <row r="16874">
      <c r="A16874" s="4" t="str">
        <f>IFERROR(__xludf.DUMMYFUNCTION("""COMPUTED_VALUE"""),"cas_hmw")</f>
        <v>cas_hmw</v>
      </c>
      <c r="B16874" s="5">
        <f>IFERROR(__xludf.DUMMYFUNCTION("""COMPUTED_VALUE"""),44737.0)</f>
        <v>44737</v>
      </c>
      <c r="C16874" s="6">
        <f>IFERROR(__xludf.DUMMYFUNCTION("""COMPUTED_VALUE"""),0.6946180555569299)</f>
        <v>0.6946180556</v>
      </c>
      <c r="D16874" s="4">
        <f>IFERROR(__xludf.DUMMYFUNCTION("""COMPUTED_VALUE"""),12.983605)</f>
        <v>12.983605</v>
      </c>
      <c r="E16874" s="4">
        <f>IFERROR(__xludf.DUMMYFUNCTION("""COMPUTED_VALUE"""),80.170218)</f>
        <v>80.170218</v>
      </c>
      <c r="F16874" s="4">
        <f>IFERROR(__xludf.DUMMYFUNCTION("""COMPUTED_VALUE"""),805.0)</f>
        <v>805</v>
      </c>
      <c r="G16874" s="4">
        <f>IFERROR(__xludf.DUMMYFUNCTION("""COMPUTED_VALUE"""),58.0)</f>
        <v>58</v>
      </c>
      <c r="H16874" s="4"/>
      <c r="I16874" s="4"/>
    </row>
    <row r="16875">
      <c r="A16875" s="4" t="str">
        <f>IFERROR(__xludf.DUMMYFUNCTION("""COMPUTED_VALUE"""),"cas_hmw")</f>
        <v>cas_hmw</v>
      </c>
      <c r="B16875" s="5">
        <f>IFERROR(__xludf.DUMMYFUNCTION("""COMPUTED_VALUE"""),44737.0)</f>
        <v>44737</v>
      </c>
      <c r="C16875" s="6">
        <f>IFERROR(__xludf.DUMMYFUNCTION("""COMPUTED_VALUE"""),0.6949884259265673)</f>
        <v>0.6949884259</v>
      </c>
      <c r="D16875" s="4">
        <f>IFERROR(__xludf.DUMMYFUNCTION("""COMPUTED_VALUE"""),13.001857)</f>
        <v>13.001857</v>
      </c>
      <c r="E16875" s="4">
        <f>IFERROR(__xludf.DUMMYFUNCTION("""COMPUTED_VALUE"""),80.198718)</f>
        <v>80.198718</v>
      </c>
      <c r="F16875" s="4">
        <f>IFERROR(__xludf.DUMMYFUNCTION("""COMPUTED_VALUE"""),5339.0)</f>
        <v>5339</v>
      </c>
      <c r="G16875" s="4">
        <f>IFERROR(__xludf.DUMMYFUNCTION("""COMPUTED_VALUE"""),44.0)</f>
        <v>44</v>
      </c>
      <c r="H16875" s="4"/>
      <c r="I16875" s="4"/>
    </row>
    <row r="16876">
      <c r="A16876" s="4" t="str">
        <f>IFERROR(__xludf.DUMMYFUNCTION("""COMPUTED_VALUE"""),"cas_hmw")</f>
        <v>cas_hmw</v>
      </c>
      <c r="B16876" s="5">
        <f>IFERROR(__xludf.DUMMYFUNCTION("""COMPUTED_VALUE"""),44737.0)</f>
        <v>44737</v>
      </c>
      <c r="C16876" s="6">
        <f>IFERROR(__xludf.DUMMYFUNCTION("""COMPUTED_VALUE"""),0.6953240740731417)</f>
        <v>0.6953240741</v>
      </c>
      <c r="D16876" s="4">
        <f>IFERROR(__xludf.DUMMYFUNCTION("""COMPUTED_VALUE"""),12.986583)</f>
        <v>12.986583</v>
      </c>
      <c r="E16876" s="4">
        <f>IFERROR(__xludf.DUMMYFUNCTION("""COMPUTED_VALUE"""),80.174757)</f>
        <v>80.174757</v>
      </c>
      <c r="F16876" s="4">
        <f>IFERROR(__xludf.DUMMYFUNCTION("""COMPUTED_VALUE"""),805.0)</f>
        <v>805</v>
      </c>
      <c r="G16876" s="4">
        <f>IFERROR(__xludf.DUMMYFUNCTION("""COMPUTED_VALUE"""),21.0)</f>
        <v>21</v>
      </c>
      <c r="H16876" s="4"/>
      <c r="I16876" s="4"/>
    </row>
    <row r="16877">
      <c r="A16877" s="4" t="str">
        <f>IFERROR(__xludf.DUMMYFUNCTION("""COMPUTED_VALUE"""),"cas_hmw")</f>
        <v>cas_hmw</v>
      </c>
      <c r="B16877" s="5">
        <f>IFERROR(__xludf.DUMMYFUNCTION("""COMPUTED_VALUE"""),44737.0)</f>
        <v>44737</v>
      </c>
      <c r="C16877" s="6">
        <f>IFERROR(__xludf.DUMMYFUNCTION("""COMPUTED_VALUE"""),0.6956134259271494)</f>
        <v>0.6956134259</v>
      </c>
      <c r="D16877" s="4">
        <f>IFERROR(__xludf.DUMMYFUNCTION("""COMPUTED_VALUE"""),13.007483)</f>
        <v>13.007483</v>
      </c>
      <c r="E16877" s="4">
        <f>IFERROR(__xludf.DUMMYFUNCTION("""COMPUTED_VALUE"""),80.203087)</f>
        <v>80.203087</v>
      </c>
      <c r="F16877" s="4">
        <f>IFERROR(__xludf.DUMMYFUNCTION("""COMPUTED_VALUE"""),5339.0)</f>
        <v>5339</v>
      </c>
      <c r="G16877" s="4">
        <f>IFERROR(__xludf.DUMMYFUNCTION("""COMPUTED_VALUE"""),38.0)</f>
        <v>38</v>
      </c>
      <c r="H16877" s="4"/>
      <c r="I16877" s="4"/>
    </row>
    <row r="16878">
      <c r="A16878" s="4" t="str">
        <f>IFERROR(__xludf.DUMMYFUNCTION("""COMPUTED_VALUE"""),"cas_hmw")</f>
        <v>cas_hmw</v>
      </c>
      <c r="B16878" s="5">
        <f>IFERROR(__xludf.DUMMYFUNCTION("""COMPUTED_VALUE"""),44737.0)</f>
        <v>44737</v>
      </c>
      <c r="C16878" s="6">
        <f>IFERROR(__xludf.DUMMYFUNCTION("""COMPUTED_VALUE"""),0.6958680555544561)</f>
        <v>0.6958680556</v>
      </c>
      <c r="D16878" s="4">
        <f>IFERROR(__xludf.DUMMYFUNCTION("""COMPUTED_VALUE"""),13.00761)</f>
        <v>13.00761</v>
      </c>
      <c r="E16878" s="4">
        <f>IFERROR(__xludf.DUMMYFUNCTION("""COMPUTED_VALUE"""),80.205225)</f>
        <v>80.205225</v>
      </c>
      <c r="F16878" s="4">
        <f>IFERROR(__xludf.DUMMYFUNCTION("""COMPUTED_VALUE"""),5339.0)</f>
        <v>5339</v>
      </c>
      <c r="G16878" s="4">
        <f>IFERROR(__xludf.DUMMYFUNCTION("""COMPUTED_VALUE"""),53.0)</f>
        <v>53</v>
      </c>
      <c r="H16878" s="4"/>
      <c r="I16878" s="4"/>
    </row>
    <row r="16879">
      <c r="A16879" s="4" t="str">
        <f>IFERROR(__xludf.DUMMYFUNCTION("""COMPUTED_VALUE"""),"cas_hmw")</f>
        <v>cas_hmw</v>
      </c>
      <c r="B16879" s="5">
        <f>IFERROR(__xludf.DUMMYFUNCTION("""COMPUTED_VALUE"""),44737.0)</f>
        <v>44737</v>
      </c>
      <c r="C16879" s="6">
        <f>IFERROR(__xludf.DUMMYFUNCTION("""COMPUTED_VALUE"""),0.6962037037046684)</f>
        <v>0.6962037037</v>
      </c>
      <c r="D16879" s="4">
        <f>IFERROR(__xludf.DUMMYFUNCTION("""COMPUTED_VALUE"""),12.990092)</f>
        <v>12.990092</v>
      </c>
      <c r="E16879" s="4">
        <f>IFERROR(__xludf.DUMMYFUNCTION("""COMPUTED_VALUE"""),80.179615)</f>
        <v>80.179615</v>
      </c>
      <c r="F16879" s="4">
        <f>IFERROR(__xludf.DUMMYFUNCTION("""COMPUTED_VALUE"""),805.0)</f>
        <v>805</v>
      </c>
      <c r="G16879" s="4">
        <f>IFERROR(__xludf.DUMMYFUNCTION("""COMPUTED_VALUE"""),45.0)</f>
        <v>45</v>
      </c>
      <c r="H16879" s="4"/>
      <c r="I16879" s="4"/>
    </row>
    <row r="16880">
      <c r="A16880" s="4" t="str">
        <f>IFERROR(__xludf.DUMMYFUNCTION("""COMPUTED_VALUE"""),"cas_hmw")</f>
        <v>cas_hmw</v>
      </c>
      <c r="B16880" s="5">
        <f>IFERROR(__xludf.DUMMYFUNCTION("""COMPUTED_VALUE"""),44737.0)</f>
        <v>44737</v>
      </c>
      <c r="C16880" s="6">
        <f>IFERROR(__xludf.DUMMYFUNCTION("""COMPUTED_VALUE"""),0.6965740740743058)</f>
        <v>0.6965740741</v>
      </c>
      <c r="D16880" s="4">
        <f>IFERROR(__xludf.DUMMYFUNCTION("""COMPUTED_VALUE"""),12.697381)</f>
        <v>12.697381</v>
      </c>
      <c r="E16880" s="4">
        <f>IFERROR(__xludf.DUMMYFUNCTION("""COMPUTED_VALUE"""),79.976494)</f>
        <v>79.976494</v>
      </c>
      <c r="F16880" s="4">
        <f>IFERROR(__xludf.DUMMYFUNCTION("""COMPUTED_VALUE"""),2846.0)</f>
        <v>2846</v>
      </c>
      <c r="G16880" s="4">
        <f>IFERROR(__xludf.DUMMYFUNCTION("""COMPUTED_VALUE"""),13.0)</f>
        <v>13</v>
      </c>
      <c r="H16880" s="4"/>
      <c r="I16880" s="4"/>
    </row>
    <row r="16881">
      <c r="A16881" s="4" t="str">
        <f>IFERROR(__xludf.DUMMYFUNCTION("""COMPUTED_VALUE"""),"cas_hmw")</f>
        <v>cas_hmw</v>
      </c>
      <c r="B16881" s="5">
        <f>IFERROR(__xludf.DUMMYFUNCTION("""COMPUTED_VALUE"""),44737.0)</f>
        <v>44737</v>
      </c>
      <c r="C16881" s="6">
        <f>IFERROR(__xludf.DUMMYFUNCTION("""COMPUTED_VALUE"""),0.6966087962973688)</f>
        <v>0.6966087963</v>
      </c>
      <c r="D16881" s="4">
        <f>IFERROR(__xludf.DUMMYFUNCTION("""COMPUTED_VALUE"""),12.696698)</f>
        <v>12.696698</v>
      </c>
      <c r="E16881" s="4">
        <f>IFERROR(__xludf.DUMMYFUNCTION("""COMPUTED_VALUE"""),79.976961)</f>
        <v>79.976961</v>
      </c>
      <c r="F16881" s="4">
        <f>IFERROR(__xludf.DUMMYFUNCTION("""COMPUTED_VALUE"""),2846.0)</f>
        <v>2846</v>
      </c>
      <c r="G16881" s="4">
        <f>IFERROR(__xludf.DUMMYFUNCTION("""COMPUTED_VALUE"""),7.0)</f>
        <v>7</v>
      </c>
      <c r="H16881" s="4"/>
      <c r="I16881" s="4"/>
    </row>
    <row r="16882">
      <c r="A16882" s="4" t="str">
        <f>IFERROR(__xludf.DUMMYFUNCTION("""COMPUTED_VALUE"""),"cas_hmw")</f>
        <v>cas_hmw</v>
      </c>
      <c r="B16882" s="5">
        <f>IFERROR(__xludf.DUMMYFUNCTION("""COMPUTED_VALUE"""),44737.0)</f>
        <v>44737</v>
      </c>
      <c r="C16882" s="6">
        <f>IFERROR(__xludf.DUMMYFUNCTION("""COMPUTED_VALUE"""),0.6966319444436522)</f>
        <v>0.6966319444</v>
      </c>
      <c r="D16882" s="4">
        <f>IFERROR(__xludf.DUMMYFUNCTION("""COMPUTED_VALUE"""),13.009169)</f>
        <v>13.009169</v>
      </c>
      <c r="E16882" s="4">
        <f>IFERROR(__xludf.DUMMYFUNCTION("""COMPUTED_VALUE"""),80.212077)</f>
        <v>80.212077</v>
      </c>
      <c r="F16882" s="4">
        <f>IFERROR(__xludf.DUMMYFUNCTION("""COMPUTED_VALUE"""),5339.0)</f>
        <v>5339</v>
      </c>
      <c r="G16882" s="4">
        <f>IFERROR(__xludf.DUMMYFUNCTION("""COMPUTED_VALUE"""),27.0)</f>
        <v>27</v>
      </c>
      <c r="H16882" s="4"/>
      <c r="I16882" s="4"/>
    </row>
    <row r="16883">
      <c r="A16883" s="4" t="str">
        <f>IFERROR(__xludf.DUMMYFUNCTION("""COMPUTED_VALUE"""),"cas_hmw")</f>
        <v>cas_hmw</v>
      </c>
      <c r="B16883" s="5">
        <f>IFERROR(__xludf.DUMMYFUNCTION("""COMPUTED_VALUE"""),44737.0)</f>
        <v>44737</v>
      </c>
      <c r="C16883" s="6">
        <f>IFERROR(__xludf.DUMMYFUNCTION("""COMPUTED_VALUE"""),0.6967129629629198)</f>
        <v>0.696712963</v>
      </c>
      <c r="D16883" s="4">
        <f>IFERROR(__xludf.DUMMYFUNCTION("""COMPUTED_VALUE"""),12.696687)</f>
        <v>12.696687</v>
      </c>
      <c r="E16883" s="4">
        <f>IFERROR(__xludf.DUMMYFUNCTION("""COMPUTED_VALUE"""),79.97697)</f>
        <v>79.97697</v>
      </c>
      <c r="F16883" s="4">
        <f>IFERROR(__xludf.DUMMYFUNCTION("""COMPUTED_VALUE"""),2846.0)</f>
        <v>2846</v>
      </c>
      <c r="G16883" s="4">
        <f>IFERROR(__xludf.DUMMYFUNCTION("""COMPUTED_VALUE"""),0.0)</f>
        <v>0</v>
      </c>
      <c r="H16883" s="4"/>
      <c r="I16883" s="4"/>
    </row>
    <row r="16884">
      <c r="A16884" s="4" t="str">
        <f>IFERROR(__xludf.DUMMYFUNCTION("""COMPUTED_VALUE"""),"cas_hmw")</f>
        <v>cas_hmw</v>
      </c>
      <c r="B16884" s="5">
        <f>IFERROR(__xludf.DUMMYFUNCTION("""COMPUTED_VALUE"""),44737.0)</f>
        <v>44737</v>
      </c>
      <c r="C16884" s="6">
        <f>IFERROR(__xludf.DUMMYFUNCTION("""COMPUTED_VALUE"""),0.6975347222214623)</f>
        <v>0.6975347222</v>
      </c>
      <c r="D16884" s="4">
        <f>IFERROR(__xludf.DUMMYFUNCTION("""COMPUTED_VALUE"""),13.010891)</f>
        <v>13.010891</v>
      </c>
      <c r="E16884" s="4">
        <f>IFERROR(__xludf.DUMMYFUNCTION("""COMPUTED_VALUE"""),80.217021)</f>
        <v>80.217021</v>
      </c>
      <c r="F16884" s="4">
        <f>IFERROR(__xludf.DUMMYFUNCTION("""COMPUTED_VALUE"""),5339.0)</f>
        <v>5339</v>
      </c>
      <c r="G16884" s="4">
        <f>IFERROR(__xludf.DUMMYFUNCTION("""COMPUTED_VALUE"""),0.0)</f>
        <v>0</v>
      </c>
      <c r="H16884" s="4"/>
      <c r="I16884" s="4"/>
    </row>
    <row r="16885">
      <c r="A16885" s="4" t="str">
        <f>IFERROR(__xludf.DUMMYFUNCTION("""COMPUTED_VALUE"""),"cas_hmw")</f>
        <v>cas_hmw</v>
      </c>
      <c r="B16885" s="5">
        <f>IFERROR(__xludf.DUMMYFUNCTION("""COMPUTED_VALUE"""),44737.0)</f>
        <v>44737</v>
      </c>
      <c r="C16885" s="6">
        <f>IFERROR(__xludf.DUMMYFUNCTION("""COMPUTED_VALUE"""),0.6976388888906513)</f>
        <v>0.6976388889</v>
      </c>
      <c r="D16885" s="4">
        <f>IFERROR(__xludf.DUMMYFUNCTION("""COMPUTED_VALUE"""),12.99595)</f>
        <v>12.99595</v>
      </c>
      <c r="E16885" s="4">
        <f>IFERROR(__xludf.DUMMYFUNCTION("""COMPUTED_VALUE"""),80.189112)</f>
        <v>80.189112</v>
      </c>
      <c r="F16885" s="4">
        <f>IFERROR(__xludf.DUMMYFUNCTION("""COMPUTED_VALUE"""),805.0)</f>
        <v>805</v>
      </c>
      <c r="G16885" s="4">
        <f>IFERROR(__xludf.DUMMYFUNCTION("""COMPUTED_VALUE"""),0.0)</f>
        <v>0</v>
      </c>
      <c r="H16885" s="4"/>
      <c r="I16885" s="4"/>
    </row>
    <row r="16886">
      <c r="A16886" s="4" t="str">
        <f>IFERROR(__xludf.DUMMYFUNCTION("""COMPUTED_VALUE"""),"cas_hmw")</f>
        <v>cas_hmw</v>
      </c>
      <c r="B16886" s="5">
        <f>IFERROR(__xludf.DUMMYFUNCTION("""COMPUTED_VALUE"""),44737.0)</f>
        <v>44737</v>
      </c>
      <c r="C16886" s="6">
        <f>IFERROR(__xludf.DUMMYFUNCTION("""COMPUTED_VALUE"""),0.6977083333331393)</f>
        <v>0.6977083333</v>
      </c>
      <c r="D16886" s="4">
        <f>IFERROR(__xludf.DUMMYFUNCTION("""COMPUTED_VALUE"""),12.99595)</f>
        <v>12.99595</v>
      </c>
      <c r="E16886" s="4">
        <f>IFERROR(__xludf.DUMMYFUNCTION("""COMPUTED_VALUE"""),80.189112)</f>
        <v>80.189112</v>
      </c>
      <c r="F16886" s="4">
        <f>IFERROR(__xludf.DUMMYFUNCTION("""COMPUTED_VALUE"""),805.0)</f>
        <v>805</v>
      </c>
      <c r="G16886" s="4">
        <f>IFERROR(__xludf.DUMMYFUNCTION("""COMPUTED_VALUE"""),0.0)</f>
        <v>0</v>
      </c>
      <c r="H16886" s="4"/>
      <c r="I16886" s="4"/>
    </row>
    <row r="16887">
      <c r="A16887" s="4" t="str">
        <f>IFERROR(__xludf.DUMMYFUNCTION("""COMPUTED_VALUE"""),"cas_hmw")</f>
        <v>cas_hmw</v>
      </c>
      <c r="B16887" s="5">
        <f>IFERROR(__xludf.DUMMYFUNCTION("""COMPUTED_VALUE"""),44737.0)</f>
        <v>44737</v>
      </c>
      <c r="C16887" s="6">
        <f>IFERROR(__xludf.DUMMYFUNCTION("""COMPUTED_VALUE"""),0.6981134259258397)</f>
        <v>0.6981134259</v>
      </c>
      <c r="D16887" s="4">
        <f>IFERROR(__xludf.DUMMYFUNCTION("""COMPUTED_VALUE"""),12.997667)</f>
        <v>12.997667</v>
      </c>
      <c r="E16887" s="4">
        <f>IFERROR(__xludf.DUMMYFUNCTION("""COMPUTED_VALUE"""),80.191188)</f>
        <v>80.191188</v>
      </c>
      <c r="F16887" s="4">
        <f>IFERROR(__xludf.DUMMYFUNCTION("""COMPUTED_VALUE"""),805.0)</f>
        <v>805</v>
      </c>
      <c r="G16887" s="4">
        <f>IFERROR(__xludf.DUMMYFUNCTION("""COMPUTED_VALUE"""),48.0)</f>
        <v>48</v>
      </c>
      <c r="H16887" s="4"/>
      <c r="I16887" s="4"/>
    </row>
    <row r="16888">
      <c r="A16888" s="4" t="str">
        <f>IFERROR(__xludf.DUMMYFUNCTION("""COMPUTED_VALUE"""),"cas_hmw")</f>
        <v>cas_hmw</v>
      </c>
      <c r="B16888" s="5">
        <f>IFERROR(__xludf.DUMMYFUNCTION("""COMPUTED_VALUE"""),44737.0)</f>
        <v>44737</v>
      </c>
      <c r="C16888" s="6">
        <f>IFERROR(__xludf.DUMMYFUNCTION("""COMPUTED_VALUE"""),0.698171296295186)</f>
        <v>0.6981712963</v>
      </c>
      <c r="D16888" s="4">
        <f>IFERROR(__xludf.DUMMYFUNCTION("""COMPUTED_VALUE"""),12.998861)</f>
        <v>12.998861</v>
      </c>
      <c r="E16888" s="4">
        <f>IFERROR(__xludf.DUMMYFUNCTION("""COMPUTED_VALUE"""),80.192651)</f>
        <v>80.192651</v>
      </c>
      <c r="F16888" s="4">
        <f>IFERROR(__xludf.DUMMYFUNCTION("""COMPUTED_VALUE"""),805.0)</f>
        <v>805</v>
      </c>
      <c r="G16888" s="4">
        <f>IFERROR(__xludf.DUMMYFUNCTION("""COMPUTED_VALUE"""),43.0)</f>
        <v>43</v>
      </c>
      <c r="H16888" s="4"/>
      <c r="I16888" s="4"/>
    </row>
    <row r="16889">
      <c r="A16889" s="4" t="str">
        <f>IFERROR(__xludf.DUMMYFUNCTION("""COMPUTED_VALUE"""),"cas_hmw")</f>
        <v>cas_hmw</v>
      </c>
      <c r="B16889" s="5">
        <f>IFERROR(__xludf.DUMMYFUNCTION("""COMPUTED_VALUE"""),44737.0)</f>
        <v>44737</v>
      </c>
      <c r="C16889" s="6">
        <f>IFERROR(__xludf.DUMMYFUNCTION("""COMPUTED_VALUE"""),0.6986111111109494)</f>
        <v>0.6986111111</v>
      </c>
      <c r="D16889" s="4">
        <f>IFERROR(__xludf.DUMMYFUNCTION("""COMPUTED_VALUE"""),13.000767)</f>
        <v>13.000767</v>
      </c>
      <c r="E16889" s="4">
        <f>IFERROR(__xludf.DUMMYFUNCTION("""COMPUTED_VALUE"""),80.194995)</f>
        <v>80.194995</v>
      </c>
      <c r="F16889" s="4">
        <f>IFERROR(__xludf.DUMMYFUNCTION("""COMPUTED_VALUE"""),805.0)</f>
        <v>805</v>
      </c>
      <c r="G16889" s="4">
        <f>IFERROR(__xludf.DUMMYFUNCTION("""COMPUTED_VALUE"""),28.0)</f>
        <v>28</v>
      </c>
      <c r="H16889" s="4"/>
      <c r="I16889" s="4"/>
    </row>
    <row r="16890">
      <c r="A16890" s="4" t="str">
        <f>IFERROR(__xludf.DUMMYFUNCTION("""COMPUTED_VALUE"""),"cas_hmw")</f>
        <v>cas_hmw</v>
      </c>
      <c r="B16890" s="5">
        <f>IFERROR(__xludf.DUMMYFUNCTION("""COMPUTED_VALUE"""),44737.0)</f>
        <v>44737</v>
      </c>
      <c r="C16890" s="6">
        <f>IFERROR(__xludf.DUMMYFUNCTION("""COMPUTED_VALUE"""),0.6987384259264218)</f>
        <v>0.6987384259</v>
      </c>
      <c r="D16890" s="4">
        <f>IFERROR(__xludf.DUMMYFUNCTION("""COMPUTED_VALUE"""),13.001351)</f>
        <v>13.001351</v>
      </c>
      <c r="E16890" s="4">
        <f>IFERROR(__xludf.DUMMYFUNCTION("""COMPUTED_VALUE"""),80.195705)</f>
        <v>80.195705</v>
      </c>
      <c r="F16890" s="4">
        <f>IFERROR(__xludf.DUMMYFUNCTION("""COMPUTED_VALUE"""),805.0)</f>
        <v>805</v>
      </c>
      <c r="G16890" s="4">
        <f>IFERROR(__xludf.DUMMYFUNCTION("""COMPUTED_VALUE"""),16.0)</f>
        <v>16</v>
      </c>
      <c r="H16890" s="4"/>
      <c r="I16890" s="4"/>
    </row>
    <row r="16891">
      <c r="A16891" s="4" t="str">
        <f>IFERROR(__xludf.DUMMYFUNCTION("""COMPUTED_VALUE"""),"cas_hmw")</f>
        <v>cas_hmw</v>
      </c>
      <c r="B16891" s="5">
        <f>IFERROR(__xludf.DUMMYFUNCTION("""COMPUTED_VALUE"""),44737.0)</f>
        <v>44737</v>
      </c>
      <c r="C16891" s="6">
        <f>IFERROR(__xludf.DUMMYFUNCTION("""COMPUTED_VALUE"""),0.6993634259270038)</f>
        <v>0.6993634259</v>
      </c>
      <c r="D16891" s="4">
        <f>IFERROR(__xludf.DUMMYFUNCTION("""COMPUTED_VALUE"""),13.001801)</f>
        <v>13.001801</v>
      </c>
      <c r="E16891" s="4">
        <f>IFERROR(__xludf.DUMMYFUNCTION("""COMPUTED_VALUE"""),80.199505)</f>
        <v>80.199505</v>
      </c>
      <c r="F16891" s="4">
        <f>IFERROR(__xludf.DUMMYFUNCTION("""COMPUTED_VALUE"""),805.0)</f>
        <v>805</v>
      </c>
      <c r="G16891" s="4">
        <f>IFERROR(__xludf.DUMMYFUNCTION("""COMPUTED_VALUE"""),40.0)</f>
        <v>40</v>
      </c>
      <c r="H16891" s="4"/>
      <c r="I16891" s="4"/>
    </row>
    <row r="16892">
      <c r="A16892" s="4" t="str">
        <f>IFERROR(__xludf.DUMMYFUNCTION("""COMPUTED_VALUE"""),"cas_hmw")</f>
        <v>cas_hmw</v>
      </c>
      <c r="B16892" s="5">
        <f>IFERROR(__xludf.DUMMYFUNCTION("""COMPUTED_VALUE"""),44737.0)</f>
        <v>44737</v>
      </c>
      <c r="C16892" s="6">
        <f>IFERROR(__xludf.DUMMYFUNCTION("""COMPUTED_VALUE"""),0.6995370370386809)</f>
        <v>0.699537037</v>
      </c>
      <c r="D16892" s="4">
        <f>IFERROR(__xludf.DUMMYFUNCTION("""COMPUTED_VALUE"""),13.002688)</f>
        <v>13.002688</v>
      </c>
      <c r="E16892" s="4">
        <f>IFERROR(__xludf.DUMMYFUNCTION("""COMPUTED_VALUE"""),80.200598)</f>
        <v>80.200598</v>
      </c>
      <c r="F16892" s="4">
        <f>IFERROR(__xludf.DUMMYFUNCTION("""COMPUTED_VALUE"""),805.0)</f>
        <v>805</v>
      </c>
      <c r="G16892" s="4">
        <f>IFERROR(__xludf.DUMMYFUNCTION("""COMPUTED_VALUE"""),38.0)</f>
        <v>38</v>
      </c>
      <c r="H16892" s="4"/>
      <c r="I16892" s="4"/>
    </row>
    <row r="16893">
      <c r="A16893" s="4" t="str">
        <f>IFERROR(__xludf.DUMMYFUNCTION("""COMPUTED_VALUE"""),"cas_hmw")</f>
        <v>cas_hmw</v>
      </c>
      <c r="B16893" s="5">
        <f>IFERROR(__xludf.DUMMYFUNCTION("""COMPUTED_VALUE"""),44737.0)</f>
        <v>44737</v>
      </c>
      <c r="C16893" s="6">
        <f>IFERROR(__xludf.DUMMYFUNCTION("""COMPUTED_VALUE"""),0.6996527777773736)</f>
        <v>0.6996527778</v>
      </c>
      <c r="D16893" s="4">
        <f>IFERROR(__xludf.DUMMYFUNCTION("""COMPUTED_VALUE"""),13.003954)</f>
        <v>13.003954</v>
      </c>
      <c r="E16893" s="4">
        <f>IFERROR(__xludf.DUMMYFUNCTION("""COMPUTED_VALUE"""),80.200935)</f>
        <v>80.200935</v>
      </c>
      <c r="F16893" s="4">
        <f>IFERROR(__xludf.DUMMYFUNCTION("""COMPUTED_VALUE"""),805.0)</f>
        <v>805</v>
      </c>
      <c r="G16893" s="4">
        <f>IFERROR(__xludf.DUMMYFUNCTION("""COMPUTED_VALUE"""),28.0)</f>
        <v>28</v>
      </c>
      <c r="H16893" s="4"/>
      <c r="I16893" s="4"/>
    </row>
    <row r="16894">
      <c r="A16894" s="4" t="str">
        <f>IFERROR(__xludf.DUMMYFUNCTION("""COMPUTED_VALUE"""),"cas_hmw")</f>
        <v>cas_hmw</v>
      </c>
      <c r="B16894" s="5">
        <f>IFERROR(__xludf.DUMMYFUNCTION("""COMPUTED_VALUE"""),44737.0)</f>
        <v>44737</v>
      </c>
      <c r="C16894" s="6">
        <f>IFERROR(__xludf.DUMMYFUNCTION("""COMPUTED_VALUE"""),0.7000000000007276)</f>
        <v>0.7</v>
      </c>
      <c r="D16894" s="4">
        <f>IFERROR(__xludf.DUMMYFUNCTION("""COMPUTED_VALUE"""),12.682688)</f>
        <v>12.682688</v>
      </c>
      <c r="E16894" s="4">
        <f>IFERROR(__xludf.DUMMYFUNCTION("""COMPUTED_VALUE"""),79.982649)</f>
        <v>79.982649</v>
      </c>
      <c r="F16894" s="4">
        <f>IFERROR(__xludf.DUMMYFUNCTION("""COMPUTED_VALUE"""),2846.0)</f>
        <v>2846</v>
      </c>
      <c r="G16894" s="4">
        <f>IFERROR(__xludf.DUMMYFUNCTION("""COMPUTED_VALUE"""),18.0)</f>
        <v>18</v>
      </c>
      <c r="H16894" s="4"/>
      <c r="I16894" s="4"/>
    </row>
    <row r="16895">
      <c r="A16895" s="4" t="str">
        <f>IFERROR(__xludf.DUMMYFUNCTION("""COMPUTED_VALUE"""),"cas_hmw")</f>
        <v>cas_hmw</v>
      </c>
      <c r="B16895" s="5">
        <f>IFERROR(__xludf.DUMMYFUNCTION("""COMPUTED_VALUE"""),44737.0)</f>
        <v>44737</v>
      </c>
      <c r="C16895" s="6">
        <f>IFERROR(__xludf.DUMMYFUNCTION("""COMPUTED_VALUE"""),0.7002199074086093)</f>
        <v>0.7002199074</v>
      </c>
      <c r="D16895" s="4">
        <f>IFERROR(__xludf.DUMMYFUNCTION("""COMPUTED_VALUE"""),13.016405)</f>
        <v>13.016405</v>
      </c>
      <c r="E16895" s="4">
        <f>IFERROR(__xludf.DUMMYFUNCTION("""COMPUTED_VALUE"""),80.225306)</f>
        <v>80.225306</v>
      </c>
      <c r="F16895" s="4">
        <f>IFERROR(__xludf.DUMMYFUNCTION("""COMPUTED_VALUE"""),5339.0)</f>
        <v>5339</v>
      </c>
      <c r="G16895" s="4">
        <f>IFERROR(__xludf.DUMMYFUNCTION("""COMPUTED_VALUE"""),17.0)</f>
        <v>17</v>
      </c>
      <c r="H16895" s="4"/>
      <c r="I16895" s="4"/>
    </row>
    <row r="16896">
      <c r="A16896" s="4" t="str">
        <f>IFERROR(__xludf.DUMMYFUNCTION("""COMPUTED_VALUE"""),"cas_hmw")</f>
        <v>cas_hmw</v>
      </c>
      <c r="B16896" s="5">
        <f>IFERROR(__xludf.DUMMYFUNCTION("""COMPUTED_VALUE"""),44737.0)</f>
        <v>44737</v>
      </c>
      <c r="C16896" s="6">
        <f>IFERROR(__xludf.DUMMYFUNCTION("""COMPUTED_VALUE"""),0.7003125000010186)</f>
        <v>0.7003125</v>
      </c>
      <c r="D16896" s="4">
        <f>IFERROR(__xludf.DUMMYFUNCTION("""COMPUTED_VALUE"""),13.017733)</f>
        <v>13.017733</v>
      </c>
      <c r="E16896" s="4">
        <f>IFERROR(__xludf.DUMMYFUNCTION("""COMPUTED_VALUE"""),80.224827)</f>
        <v>80.224827</v>
      </c>
      <c r="F16896" s="4">
        <f>IFERROR(__xludf.DUMMYFUNCTION("""COMPUTED_VALUE"""),5339.0)</f>
        <v>5339</v>
      </c>
      <c r="G16896" s="4">
        <f>IFERROR(__xludf.DUMMYFUNCTION("""COMPUTED_VALUE"""),46.0)</f>
        <v>46</v>
      </c>
      <c r="H16896" s="4"/>
      <c r="I16896" s="4"/>
    </row>
    <row r="16897">
      <c r="A16897" s="4" t="str">
        <f>IFERROR(__xludf.DUMMYFUNCTION("""COMPUTED_VALUE"""),"cas_hmw")</f>
        <v>cas_hmw</v>
      </c>
      <c r="B16897" s="5">
        <f>IFERROR(__xludf.DUMMYFUNCTION("""COMPUTED_VALUE"""),44737.0)</f>
        <v>44737</v>
      </c>
      <c r="C16897" s="6">
        <f>IFERROR(__xludf.DUMMYFUNCTION("""COMPUTED_VALUE"""),0.7003125000010186)</f>
        <v>0.7003125</v>
      </c>
      <c r="D16897" s="4">
        <f>IFERROR(__xludf.DUMMYFUNCTION("""COMPUTED_VALUE"""),13.017733)</f>
        <v>13.017733</v>
      </c>
      <c r="E16897" s="4">
        <f>IFERROR(__xludf.DUMMYFUNCTION("""COMPUTED_VALUE"""),80.224827)</f>
        <v>80.224827</v>
      </c>
      <c r="F16897" s="4">
        <f>IFERROR(__xludf.DUMMYFUNCTION("""COMPUTED_VALUE"""),5339.0)</f>
        <v>5339</v>
      </c>
      <c r="G16897" s="4">
        <f>IFERROR(__xludf.DUMMYFUNCTION("""COMPUTED_VALUE"""),46.0)</f>
        <v>46</v>
      </c>
      <c r="H16897" s="4"/>
      <c r="I16897" s="4"/>
    </row>
    <row r="16898">
      <c r="A16898" s="4" t="str">
        <f>IFERROR(__xludf.DUMMYFUNCTION("""COMPUTED_VALUE"""),"cas_hmw")</f>
        <v>cas_hmw</v>
      </c>
      <c r="B16898" s="5">
        <f>IFERROR(__xludf.DUMMYFUNCTION("""COMPUTED_VALUE"""),44737.0)</f>
        <v>44737</v>
      </c>
      <c r="C16898" s="6">
        <f>IFERROR(__xludf.DUMMYFUNCTION("""COMPUTED_VALUE"""),0.700543981482042)</f>
        <v>0.7005439815</v>
      </c>
      <c r="D16898" s="4">
        <f>IFERROR(__xludf.DUMMYFUNCTION("""COMPUTED_VALUE"""),13.019171)</f>
        <v>13.019171</v>
      </c>
      <c r="E16898" s="4">
        <f>IFERROR(__xludf.DUMMYFUNCTION("""COMPUTED_VALUE"""),80.22436)</f>
        <v>80.22436</v>
      </c>
      <c r="F16898" s="4">
        <f>IFERROR(__xludf.DUMMYFUNCTION("""COMPUTED_VALUE"""),5339.0)</f>
        <v>5339</v>
      </c>
      <c r="G16898" s="4">
        <f>IFERROR(__xludf.DUMMYFUNCTION("""COMPUTED_VALUE"""),30.0)</f>
        <v>30</v>
      </c>
      <c r="H16898" s="4"/>
      <c r="I16898" s="4"/>
    </row>
    <row r="16899">
      <c r="A16899" s="4" t="str">
        <f>IFERROR(__xludf.DUMMYFUNCTION("""COMPUTED_VALUE"""),"cas_hmw")</f>
        <v>cas_hmw</v>
      </c>
      <c r="B16899" s="5">
        <f>IFERROR(__xludf.DUMMYFUNCTION("""COMPUTED_VALUE"""),44737.0)</f>
        <v>44737</v>
      </c>
      <c r="C16899" s="6">
        <f>IFERROR(__xludf.DUMMYFUNCTION("""COMPUTED_VALUE"""),0.700543981482042)</f>
        <v>0.7005439815</v>
      </c>
      <c r="D16899" s="4">
        <f>IFERROR(__xludf.DUMMYFUNCTION("""COMPUTED_VALUE"""),13.019171)</f>
        <v>13.019171</v>
      </c>
      <c r="E16899" s="4">
        <f>IFERROR(__xludf.DUMMYFUNCTION("""COMPUTED_VALUE"""),80.22436)</f>
        <v>80.22436</v>
      </c>
      <c r="F16899" s="4">
        <f>IFERROR(__xludf.DUMMYFUNCTION("""COMPUTED_VALUE"""),5339.0)</f>
        <v>5339</v>
      </c>
      <c r="G16899" s="4">
        <f>IFERROR(__xludf.DUMMYFUNCTION("""COMPUTED_VALUE"""),30.0)</f>
        <v>30</v>
      </c>
      <c r="H16899" s="4"/>
      <c r="I16899" s="4"/>
    </row>
    <row r="16900">
      <c r="A16900" s="4" t="str">
        <f>IFERROR(__xludf.DUMMYFUNCTION("""COMPUTED_VALUE"""),"cas_hmw")</f>
        <v>cas_hmw</v>
      </c>
      <c r="B16900" s="5">
        <f>IFERROR(__xludf.DUMMYFUNCTION("""COMPUTED_VALUE"""),44737.0)</f>
        <v>44737</v>
      </c>
      <c r="C16900" s="6">
        <f>IFERROR(__xludf.DUMMYFUNCTION("""COMPUTED_VALUE"""),0.700543981482042)</f>
        <v>0.7005439815</v>
      </c>
      <c r="D16900" s="4">
        <f>IFERROR(__xludf.DUMMYFUNCTION("""COMPUTED_VALUE"""),13.019171)</f>
        <v>13.019171</v>
      </c>
      <c r="E16900" s="4">
        <f>IFERROR(__xludf.DUMMYFUNCTION("""COMPUTED_VALUE"""),80.22436)</f>
        <v>80.22436</v>
      </c>
      <c r="F16900" s="4">
        <f>IFERROR(__xludf.DUMMYFUNCTION("""COMPUTED_VALUE"""),5339.0)</f>
        <v>5339</v>
      </c>
      <c r="G16900" s="4">
        <f>IFERROR(__xludf.DUMMYFUNCTION("""COMPUTED_VALUE"""),30.0)</f>
        <v>30</v>
      </c>
      <c r="H16900" s="4"/>
      <c r="I16900" s="4"/>
    </row>
    <row r="16901">
      <c r="A16901" s="4" t="str">
        <f>IFERROR(__xludf.DUMMYFUNCTION("""COMPUTED_VALUE"""),"cas_hmw")</f>
        <v>cas_hmw</v>
      </c>
      <c r="B16901" s="5">
        <f>IFERROR(__xludf.DUMMYFUNCTION("""COMPUTED_VALUE"""),44737.0)</f>
        <v>44737</v>
      </c>
      <c r="C16901" s="6">
        <f>IFERROR(__xludf.DUMMYFUNCTION("""COMPUTED_VALUE"""),0.700682870370656)</f>
        <v>0.7006828704</v>
      </c>
      <c r="D16901" s="4">
        <f>IFERROR(__xludf.DUMMYFUNCTION("""COMPUTED_VALUE"""),13.007661)</f>
        <v>13.007661</v>
      </c>
      <c r="E16901" s="4">
        <f>IFERROR(__xludf.DUMMYFUNCTION("""COMPUTED_VALUE"""),80.205737)</f>
        <v>80.205737</v>
      </c>
      <c r="F16901" s="4">
        <f>IFERROR(__xludf.DUMMYFUNCTION("""COMPUTED_VALUE"""),805.0)</f>
        <v>805</v>
      </c>
      <c r="G16901" s="4">
        <f>IFERROR(__xludf.DUMMYFUNCTION("""COMPUTED_VALUE"""),60.0)</f>
        <v>60</v>
      </c>
      <c r="H16901" s="4"/>
      <c r="I16901" s="4"/>
    </row>
    <row r="16902">
      <c r="A16902" s="4" t="str">
        <f>IFERROR(__xludf.DUMMYFUNCTION("""COMPUTED_VALUE"""),"cas_hmw")</f>
        <v>cas_hmw</v>
      </c>
      <c r="B16902" s="5">
        <f>IFERROR(__xludf.DUMMYFUNCTION("""COMPUTED_VALUE"""),44737.0)</f>
        <v>44737</v>
      </c>
      <c r="C16902" s="6">
        <f>IFERROR(__xludf.DUMMYFUNCTION("""COMPUTED_VALUE"""),0.7008796296286164)</f>
        <v>0.7008796296</v>
      </c>
      <c r="D16902" s="4">
        <f>IFERROR(__xludf.DUMMYFUNCTION("""COMPUTED_VALUE"""),13.007968)</f>
        <v>13.007968</v>
      </c>
      <c r="E16902" s="4">
        <f>IFERROR(__xludf.DUMMYFUNCTION("""COMPUTED_VALUE"""),80.207994)</f>
        <v>80.207994</v>
      </c>
      <c r="F16902" s="4">
        <f>IFERROR(__xludf.DUMMYFUNCTION("""COMPUTED_VALUE"""),805.0)</f>
        <v>805</v>
      </c>
      <c r="G16902" s="4">
        <f>IFERROR(__xludf.DUMMYFUNCTION("""COMPUTED_VALUE"""),37.0)</f>
        <v>37</v>
      </c>
      <c r="H16902" s="4"/>
      <c r="I16902" s="4"/>
    </row>
    <row r="16903">
      <c r="A16903" s="4" t="str">
        <f>IFERROR(__xludf.DUMMYFUNCTION("""COMPUTED_VALUE"""),"cas_hmw")</f>
        <v>cas_hmw</v>
      </c>
      <c r="B16903" s="5">
        <f>IFERROR(__xludf.DUMMYFUNCTION("""COMPUTED_VALUE"""),44737.0)</f>
        <v>44737</v>
      </c>
      <c r="C16903" s="6">
        <f>IFERROR(__xludf.DUMMYFUNCTION("""COMPUTED_VALUE"""),0.7011921296289074)</f>
        <v>0.7011921296</v>
      </c>
      <c r="D16903" s="4">
        <f>IFERROR(__xludf.DUMMYFUNCTION("""COMPUTED_VALUE"""),13.008317)</f>
        <v>13.008317</v>
      </c>
      <c r="E16903" s="4">
        <f>IFERROR(__xludf.DUMMYFUNCTION("""COMPUTED_VALUE"""),80.209811)</f>
        <v>80.209811</v>
      </c>
      <c r="F16903" s="4">
        <f>IFERROR(__xludf.DUMMYFUNCTION("""COMPUTED_VALUE"""),805.0)</f>
        <v>805</v>
      </c>
      <c r="G16903" s="4">
        <f>IFERROR(__xludf.DUMMYFUNCTION("""COMPUTED_VALUE"""),52.0)</f>
        <v>52</v>
      </c>
      <c r="H16903" s="4"/>
      <c r="I16903" s="4"/>
    </row>
    <row r="16904">
      <c r="A16904" s="4" t="str">
        <f>IFERROR(__xludf.DUMMYFUNCTION("""COMPUTED_VALUE"""),"cas_hmw")</f>
        <v>cas_hmw</v>
      </c>
      <c r="B16904" s="5">
        <f>IFERROR(__xludf.DUMMYFUNCTION("""COMPUTED_VALUE"""),44737.0)</f>
        <v>44737</v>
      </c>
      <c r="C16904" s="6">
        <f>IFERROR(__xludf.DUMMYFUNCTION("""COMPUTED_VALUE"""),0.7012384259251121)</f>
        <v>0.7012384259</v>
      </c>
      <c r="D16904" s="4">
        <f>IFERROR(__xludf.DUMMYFUNCTION("""COMPUTED_VALUE"""),13.008944)</f>
        <v>13.008944</v>
      </c>
      <c r="E16904" s="4">
        <f>IFERROR(__xludf.DUMMYFUNCTION("""COMPUTED_VALUE"""),80.211614)</f>
        <v>80.211614</v>
      </c>
      <c r="F16904" s="4">
        <f>IFERROR(__xludf.DUMMYFUNCTION("""COMPUTED_VALUE"""),805.0)</f>
        <v>805</v>
      </c>
      <c r="G16904" s="4">
        <f>IFERROR(__xludf.DUMMYFUNCTION("""COMPUTED_VALUE"""),38.0)</f>
        <v>38</v>
      </c>
      <c r="H16904" s="4"/>
      <c r="I16904" s="4"/>
    </row>
    <row r="16905">
      <c r="A16905" s="4" t="str">
        <f>IFERROR(__xludf.DUMMYFUNCTION("""COMPUTED_VALUE"""),"cas_hmw")</f>
        <v>cas_hmw</v>
      </c>
      <c r="B16905" s="5">
        <f>IFERROR(__xludf.DUMMYFUNCTION("""COMPUTED_VALUE"""),44737.0)</f>
        <v>44737</v>
      </c>
      <c r="C16905" s="6">
        <f>IFERROR(__xludf.DUMMYFUNCTION("""COMPUTED_VALUE"""),0.7012384259251121)</f>
        <v>0.7012384259</v>
      </c>
      <c r="D16905" s="4">
        <f>IFERROR(__xludf.DUMMYFUNCTION("""COMPUTED_VALUE"""),13.008944)</f>
        <v>13.008944</v>
      </c>
      <c r="E16905" s="4">
        <f>IFERROR(__xludf.DUMMYFUNCTION("""COMPUTED_VALUE"""),80.211614)</f>
        <v>80.211614</v>
      </c>
      <c r="F16905" s="4">
        <f>IFERROR(__xludf.DUMMYFUNCTION("""COMPUTED_VALUE"""),805.0)</f>
        <v>805</v>
      </c>
      <c r="G16905" s="4">
        <f>IFERROR(__xludf.DUMMYFUNCTION("""COMPUTED_VALUE"""),38.0)</f>
        <v>38</v>
      </c>
      <c r="H16905" s="4"/>
      <c r="I16905" s="4"/>
    </row>
    <row r="16906">
      <c r="A16906" s="4" t="str">
        <f>IFERROR(__xludf.DUMMYFUNCTION("""COMPUTED_VALUE"""),"cas_hmw")</f>
        <v>cas_hmw</v>
      </c>
      <c r="B16906" s="5">
        <f>IFERROR(__xludf.DUMMYFUNCTION("""COMPUTED_VALUE"""),44737.0)</f>
        <v>44737</v>
      </c>
      <c r="C16906" s="6">
        <f>IFERROR(__xludf.DUMMYFUNCTION("""COMPUTED_VALUE"""),0.7014699074061355)</f>
        <v>0.7014699074</v>
      </c>
      <c r="D16906" s="4">
        <f>IFERROR(__xludf.DUMMYFUNCTION("""COMPUTED_VALUE"""),13.009547)</f>
        <v>13.009547</v>
      </c>
      <c r="E16906" s="4">
        <f>IFERROR(__xludf.DUMMYFUNCTION("""COMPUTED_VALUE"""),80.213187)</f>
        <v>80.213187</v>
      </c>
      <c r="F16906" s="4">
        <f>IFERROR(__xludf.DUMMYFUNCTION("""COMPUTED_VALUE"""),805.0)</f>
        <v>805</v>
      </c>
      <c r="G16906" s="4">
        <f>IFERROR(__xludf.DUMMYFUNCTION("""COMPUTED_VALUE"""),23.0)</f>
        <v>23</v>
      </c>
      <c r="H16906" s="4"/>
      <c r="I16906" s="4"/>
    </row>
    <row r="16907">
      <c r="A16907" s="4" t="str">
        <f>IFERROR(__xludf.DUMMYFUNCTION("""COMPUTED_VALUE"""),"cas_hmw")</f>
        <v>cas_hmw</v>
      </c>
      <c r="B16907" s="5">
        <f>IFERROR(__xludf.DUMMYFUNCTION("""COMPUTED_VALUE"""),44737.0)</f>
        <v>44737</v>
      </c>
      <c r="C16907" s="6">
        <f>IFERROR(__xludf.DUMMYFUNCTION("""COMPUTED_VALUE"""),0.7019675925912452)</f>
        <v>0.7019675926</v>
      </c>
      <c r="D16907" s="4">
        <f>IFERROR(__xludf.DUMMYFUNCTION("""COMPUTED_VALUE"""),13.01026)</f>
        <v>13.01026</v>
      </c>
      <c r="E16907" s="4">
        <f>IFERROR(__xludf.DUMMYFUNCTION("""COMPUTED_VALUE"""),80.215571)</f>
        <v>80.215571</v>
      </c>
      <c r="F16907" s="4">
        <f>IFERROR(__xludf.DUMMYFUNCTION("""COMPUTED_VALUE"""),805.0)</f>
        <v>805</v>
      </c>
      <c r="G16907" s="4">
        <f>IFERROR(__xludf.DUMMYFUNCTION("""COMPUTED_VALUE"""),30.0)</f>
        <v>30</v>
      </c>
      <c r="H16907" s="4"/>
      <c r="I16907" s="4"/>
    </row>
    <row r="16908">
      <c r="A16908" s="4" t="str">
        <f>IFERROR(__xludf.DUMMYFUNCTION("""COMPUTED_VALUE"""),"cas_hmw")</f>
        <v>cas_hmw</v>
      </c>
      <c r="B16908" s="5">
        <f>IFERROR(__xludf.DUMMYFUNCTION("""COMPUTED_VALUE"""),44737.0)</f>
        <v>44737</v>
      </c>
      <c r="C16908" s="6">
        <f>IFERROR(__xludf.DUMMYFUNCTION("""COMPUTED_VALUE"""),0.7020138888874499)</f>
        <v>0.7020138889</v>
      </c>
      <c r="D16908" s="4">
        <f>IFERROR(__xludf.DUMMYFUNCTION("""COMPUTED_VALUE"""),13.010794)</f>
        <v>13.010794</v>
      </c>
      <c r="E16908" s="4">
        <f>IFERROR(__xludf.DUMMYFUNCTION("""COMPUTED_VALUE"""),80.216823)</f>
        <v>80.216823</v>
      </c>
      <c r="F16908" s="4">
        <f>IFERROR(__xludf.DUMMYFUNCTION("""COMPUTED_VALUE"""),805.0)</f>
        <v>805</v>
      </c>
      <c r="G16908" s="4">
        <f>IFERROR(__xludf.DUMMYFUNCTION("""COMPUTED_VALUE"""),34.0)</f>
        <v>34</v>
      </c>
      <c r="H16908" s="4"/>
      <c r="I16908" s="4"/>
    </row>
    <row r="16909">
      <c r="A16909" s="4" t="str">
        <f>IFERROR(__xludf.DUMMYFUNCTION("""COMPUTED_VALUE"""),"cas_hmw")</f>
        <v>cas_hmw</v>
      </c>
      <c r="B16909" s="5">
        <f>IFERROR(__xludf.DUMMYFUNCTION("""COMPUTED_VALUE"""),44737.0)</f>
        <v>44737</v>
      </c>
      <c r="C16909" s="6">
        <f>IFERROR(__xludf.DUMMYFUNCTION("""COMPUTED_VALUE"""),0.7038310185198497)</f>
        <v>0.7038310185</v>
      </c>
      <c r="D16909" s="4">
        <f>IFERROR(__xludf.DUMMYFUNCTION("""COMPUTED_VALUE"""),13.015451)</f>
        <v>13.015451</v>
      </c>
      <c r="E16909" s="4">
        <f>IFERROR(__xludf.DUMMYFUNCTION("""COMPUTED_VALUE"""),80.225226)</f>
        <v>80.225226</v>
      </c>
      <c r="F16909" s="4">
        <f>IFERROR(__xludf.DUMMYFUNCTION("""COMPUTED_VALUE"""),805.0)</f>
        <v>805</v>
      </c>
      <c r="G16909" s="4">
        <f>IFERROR(__xludf.DUMMYFUNCTION("""COMPUTED_VALUE"""),0.0)</f>
        <v>0</v>
      </c>
      <c r="H16909" s="4"/>
      <c r="I16909" s="4"/>
    </row>
    <row r="16910">
      <c r="A16910" s="4" t="str">
        <f>IFERROR(__xludf.DUMMYFUNCTION("""COMPUTED_VALUE"""),"cas_hmw")</f>
        <v>cas_hmw</v>
      </c>
      <c r="B16910" s="5">
        <f>IFERROR(__xludf.DUMMYFUNCTION("""COMPUTED_VALUE"""),44737.0)</f>
        <v>44737</v>
      </c>
      <c r="C16910" s="6">
        <f>IFERROR(__xludf.DUMMYFUNCTION("""COMPUTED_VALUE"""),0.7039699074084638)</f>
        <v>0.7039699074</v>
      </c>
      <c r="D16910" s="4">
        <f>IFERROR(__xludf.DUMMYFUNCTION("""COMPUTED_VALUE"""),13.015451)</f>
        <v>13.015451</v>
      </c>
      <c r="E16910" s="4">
        <f>IFERROR(__xludf.DUMMYFUNCTION("""COMPUTED_VALUE"""),80.225226)</f>
        <v>80.225226</v>
      </c>
      <c r="F16910" s="4">
        <f>IFERROR(__xludf.DUMMYFUNCTION("""COMPUTED_VALUE"""),805.0)</f>
        <v>805</v>
      </c>
      <c r="G16910" s="4">
        <f>IFERROR(__xludf.DUMMYFUNCTION("""COMPUTED_VALUE"""),0.0)</f>
        <v>0</v>
      </c>
      <c r="H16910" s="4"/>
      <c r="I16910" s="4"/>
    </row>
    <row r="16911">
      <c r="A16911" s="4" t="str">
        <f>IFERROR(__xludf.DUMMYFUNCTION("""COMPUTED_VALUE"""),"cas_hmw")</f>
        <v>cas_hmw</v>
      </c>
      <c r="B16911" s="5">
        <f>IFERROR(__xludf.DUMMYFUNCTION("""COMPUTED_VALUE"""),44737.0)</f>
        <v>44737</v>
      </c>
      <c r="C16911" s="6">
        <f>IFERROR(__xludf.DUMMYFUNCTION("""COMPUTED_VALUE"""),0.7041550925932825)</f>
        <v>0.7041550926</v>
      </c>
      <c r="D16911" s="4">
        <f>IFERROR(__xludf.DUMMYFUNCTION("""COMPUTED_VALUE"""),13.015465)</f>
        <v>13.015465</v>
      </c>
      <c r="E16911" s="4">
        <f>IFERROR(__xludf.DUMMYFUNCTION("""COMPUTED_VALUE"""),80.225339)</f>
        <v>80.225339</v>
      </c>
      <c r="F16911" s="4">
        <f>IFERROR(__xludf.DUMMYFUNCTION("""COMPUTED_VALUE"""),805.0)</f>
        <v>805</v>
      </c>
      <c r="G16911" s="4">
        <f>IFERROR(__xludf.DUMMYFUNCTION("""COMPUTED_VALUE"""),6.0)</f>
        <v>6</v>
      </c>
      <c r="H16911" s="4"/>
      <c r="I16911" s="4"/>
    </row>
    <row r="16912">
      <c r="A16912" s="4" t="str">
        <f>IFERROR(__xludf.DUMMYFUNCTION("""COMPUTED_VALUE"""),"cas_hmw")</f>
        <v>cas_hmw</v>
      </c>
      <c r="B16912" s="5">
        <f>IFERROR(__xludf.DUMMYFUNCTION("""COMPUTED_VALUE"""),44737.0)</f>
        <v>44737</v>
      </c>
      <c r="C16912" s="6">
        <f>IFERROR(__xludf.DUMMYFUNCTION("""COMPUTED_VALUE"""),0.7048726851862739)</f>
        <v>0.7048726852</v>
      </c>
      <c r="D16912" s="4">
        <f>IFERROR(__xludf.DUMMYFUNCTION("""COMPUTED_VALUE"""),13.026468)</f>
        <v>13.026468</v>
      </c>
      <c r="E16912" s="4">
        <f>IFERROR(__xludf.DUMMYFUNCTION("""COMPUTED_VALUE"""),80.232622)</f>
        <v>80.232622</v>
      </c>
      <c r="F16912" s="4">
        <f>IFERROR(__xludf.DUMMYFUNCTION("""COMPUTED_VALUE"""),5339.0)</f>
        <v>5339</v>
      </c>
      <c r="G16912" s="4">
        <f>IFERROR(__xludf.DUMMYFUNCTION("""COMPUTED_VALUE"""),0.0)</f>
        <v>0</v>
      </c>
      <c r="H16912" s="4"/>
      <c r="I16912" s="4"/>
    </row>
    <row r="16913">
      <c r="A16913" s="4" t="str">
        <f>IFERROR(__xludf.DUMMYFUNCTION("""COMPUTED_VALUE"""),"cas_hmw")</f>
        <v>cas_hmw</v>
      </c>
      <c r="B16913" s="5">
        <f>IFERROR(__xludf.DUMMYFUNCTION("""COMPUTED_VALUE"""),44737.0)</f>
        <v>44737</v>
      </c>
      <c r="C16913" s="6">
        <f>IFERROR(__xludf.DUMMYFUNCTION("""COMPUTED_VALUE"""),0.7052662037021946)</f>
        <v>0.7052662037</v>
      </c>
      <c r="D16913" s="4">
        <f>IFERROR(__xludf.DUMMYFUNCTION("""COMPUTED_VALUE"""),13.027105)</f>
        <v>13.027105</v>
      </c>
      <c r="E16913" s="4">
        <f>IFERROR(__xludf.DUMMYFUNCTION("""COMPUTED_VALUE"""),80.233803)</f>
        <v>80.233803</v>
      </c>
      <c r="F16913" s="4">
        <f>IFERROR(__xludf.DUMMYFUNCTION("""COMPUTED_VALUE"""),5339.0)</f>
        <v>5339</v>
      </c>
      <c r="G16913" s="4">
        <f>IFERROR(__xludf.DUMMYFUNCTION("""COMPUTED_VALUE"""),34.0)</f>
        <v>34</v>
      </c>
      <c r="H16913" s="4"/>
      <c r="I16913" s="4"/>
    </row>
    <row r="16914">
      <c r="A16914" s="4" t="str">
        <f>IFERROR(__xludf.DUMMYFUNCTION("""COMPUTED_VALUE"""),"cas_hmw")</f>
        <v>cas_hmw</v>
      </c>
      <c r="B16914" s="5">
        <f>IFERROR(__xludf.DUMMYFUNCTION("""COMPUTED_VALUE"""),44737.0)</f>
        <v>44737</v>
      </c>
      <c r="C16914" s="6">
        <f>IFERROR(__xludf.DUMMYFUNCTION("""COMPUTED_VALUE"""),0.7052893518521159)</f>
        <v>0.7052893519</v>
      </c>
      <c r="D16914" s="4">
        <f>IFERROR(__xludf.DUMMYFUNCTION("""COMPUTED_VALUE"""),13.027105)</f>
        <v>13.027105</v>
      </c>
      <c r="E16914" s="4">
        <f>IFERROR(__xludf.DUMMYFUNCTION("""COMPUTED_VALUE"""),80.233803)</f>
        <v>80.233803</v>
      </c>
      <c r="F16914" s="4">
        <f>IFERROR(__xludf.DUMMYFUNCTION("""COMPUTED_VALUE"""),5339.0)</f>
        <v>5339</v>
      </c>
      <c r="G16914" s="4">
        <f>IFERROR(__xludf.DUMMYFUNCTION("""COMPUTED_VALUE"""),34.0)</f>
        <v>34</v>
      </c>
      <c r="H16914" s="4"/>
      <c r="I16914" s="4"/>
    </row>
    <row r="16915">
      <c r="A16915" s="4" t="str">
        <f>IFERROR(__xludf.DUMMYFUNCTION("""COMPUTED_VALUE"""),"cas_hmw")</f>
        <v>cas_hmw</v>
      </c>
      <c r="B16915" s="5">
        <f>IFERROR(__xludf.DUMMYFUNCTION("""COMPUTED_VALUE"""),44737.0)</f>
        <v>44737</v>
      </c>
      <c r="C16915" s="6">
        <f>IFERROR(__xludf.DUMMYFUNCTION("""COMPUTED_VALUE"""),0.7053009259252576)</f>
        <v>0.7053009259</v>
      </c>
      <c r="D16915" s="4">
        <f>IFERROR(__xludf.DUMMYFUNCTION("""COMPUTED_VALUE"""),12.656852)</f>
        <v>12.656852</v>
      </c>
      <c r="E16915" s="4">
        <f>IFERROR(__xludf.DUMMYFUNCTION("""COMPUTED_VALUE"""),79.956351)</f>
        <v>79.956351</v>
      </c>
      <c r="F16915" s="4">
        <f>IFERROR(__xludf.DUMMYFUNCTION("""COMPUTED_VALUE"""),2846.0)</f>
        <v>2846</v>
      </c>
      <c r="G16915" s="4">
        <f>IFERROR(__xludf.DUMMYFUNCTION("""COMPUTED_VALUE"""),42.0)</f>
        <v>42</v>
      </c>
      <c r="H16915" s="4"/>
      <c r="I16915" s="4"/>
    </row>
    <row r="16916">
      <c r="A16916" s="4" t="str">
        <f>IFERROR(__xludf.DUMMYFUNCTION("""COMPUTED_VALUE"""),"cas_hmw")</f>
        <v>cas_hmw</v>
      </c>
      <c r="B16916" s="5">
        <f>IFERROR(__xludf.DUMMYFUNCTION("""COMPUTED_VALUE"""),44737.0)</f>
        <v>44737</v>
      </c>
      <c r="C16916" s="6">
        <f>IFERROR(__xludf.DUMMYFUNCTION("""COMPUTED_VALUE"""),0.7068749999998545)</f>
        <v>0.706875</v>
      </c>
      <c r="D16916" s="4">
        <f>IFERROR(__xludf.DUMMYFUNCTION("""COMPUTED_VALUE"""),12.657708)</f>
        <v>12.657708</v>
      </c>
      <c r="E16916" s="4">
        <f>IFERROR(__xludf.DUMMYFUNCTION("""COMPUTED_VALUE"""),79.945398)</f>
        <v>79.945398</v>
      </c>
      <c r="F16916" s="4">
        <f>IFERROR(__xludf.DUMMYFUNCTION("""COMPUTED_VALUE"""),2846.0)</f>
        <v>2846</v>
      </c>
      <c r="G16916" s="4">
        <f>IFERROR(__xludf.DUMMYFUNCTION("""COMPUTED_VALUE"""),40.0)</f>
        <v>40</v>
      </c>
      <c r="H16916" s="4"/>
      <c r="I16916" s="4"/>
    </row>
    <row r="16917">
      <c r="A16917" s="4" t="str">
        <f>IFERROR(__xludf.DUMMYFUNCTION("""COMPUTED_VALUE"""),"cas_hmw")</f>
        <v>cas_hmw</v>
      </c>
      <c r="B16917" s="5">
        <f>IFERROR(__xludf.DUMMYFUNCTION("""COMPUTED_VALUE"""),44737.0)</f>
        <v>44737</v>
      </c>
      <c r="C16917" s="6">
        <f>IFERROR(__xludf.DUMMYFUNCTION("""COMPUTED_VALUE"""),0.7074884259272949)</f>
        <v>0.7074884259</v>
      </c>
      <c r="D16917" s="4">
        <f>IFERROR(__xludf.DUMMYFUNCTION("""COMPUTED_VALUE"""),13.032716)</f>
        <v>13.032716</v>
      </c>
      <c r="E16917" s="4">
        <f>IFERROR(__xludf.DUMMYFUNCTION("""COMPUTED_VALUE"""),80.242794)</f>
        <v>80.242794</v>
      </c>
      <c r="F16917" s="4">
        <f>IFERROR(__xludf.DUMMYFUNCTION("""COMPUTED_VALUE"""),5339.0)</f>
        <v>5339</v>
      </c>
      <c r="G16917" s="4">
        <f>IFERROR(__xludf.DUMMYFUNCTION("""COMPUTED_VALUE"""),36.0)</f>
        <v>36</v>
      </c>
      <c r="H16917" s="4"/>
      <c r="I16917" s="4"/>
    </row>
    <row r="16918">
      <c r="A16918" s="4" t="str">
        <f>IFERROR(__xludf.DUMMYFUNCTION("""COMPUTED_VALUE"""),"cas_hmw")</f>
        <v>cas_hmw</v>
      </c>
      <c r="B16918" s="5">
        <f>IFERROR(__xludf.DUMMYFUNCTION("""COMPUTED_VALUE"""),44737.0)</f>
        <v>44737</v>
      </c>
      <c r="C16918" s="6">
        <f>IFERROR(__xludf.DUMMYFUNCTION("""COMPUTED_VALUE"""),0.7076504629621923)</f>
        <v>0.707650463</v>
      </c>
      <c r="D16918" s="4">
        <f>IFERROR(__xludf.DUMMYFUNCTION("""COMPUTED_VALUE"""),13.032716)</f>
        <v>13.032716</v>
      </c>
      <c r="E16918" s="4">
        <f>IFERROR(__xludf.DUMMYFUNCTION("""COMPUTED_VALUE"""),80.242794)</f>
        <v>80.242794</v>
      </c>
      <c r="F16918" s="4">
        <f>IFERROR(__xludf.DUMMYFUNCTION("""COMPUTED_VALUE"""),5339.0)</f>
        <v>5339</v>
      </c>
      <c r="G16918" s="4">
        <f>IFERROR(__xludf.DUMMYFUNCTION("""COMPUTED_VALUE"""),36.0)</f>
        <v>36</v>
      </c>
      <c r="H16918" s="4"/>
      <c r="I16918" s="4"/>
    </row>
    <row r="16919">
      <c r="A16919" s="4" t="str">
        <f>IFERROR(__xludf.DUMMYFUNCTION("""COMPUTED_VALUE"""),"cas_hmw")</f>
        <v>cas_hmw</v>
      </c>
      <c r="B16919" s="5">
        <f>IFERROR(__xludf.DUMMYFUNCTION("""COMPUTED_VALUE"""),44737.0)</f>
        <v>44737</v>
      </c>
      <c r="C16919" s="6">
        <f>IFERROR(__xludf.DUMMYFUNCTION("""COMPUTED_VALUE"""),0.708009259258688)</f>
        <v>0.7080092593</v>
      </c>
      <c r="D16919" s="4">
        <f>IFERROR(__xludf.DUMMYFUNCTION("""COMPUTED_VALUE"""),12.649581)</f>
        <v>12.649581</v>
      </c>
      <c r="E16919" s="4">
        <f>IFERROR(__xludf.DUMMYFUNCTION("""COMPUTED_VALUE"""),79.941263)</f>
        <v>79.941263</v>
      </c>
      <c r="F16919" s="4">
        <f>IFERROR(__xludf.DUMMYFUNCTION("""COMPUTED_VALUE"""),2846.0)</f>
        <v>2846</v>
      </c>
      <c r="G16919" s="4">
        <f>IFERROR(__xludf.DUMMYFUNCTION("""COMPUTED_VALUE"""),50.0)</f>
        <v>50</v>
      </c>
      <c r="H16919" s="4"/>
      <c r="I16919" s="4"/>
    </row>
    <row r="16920">
      <c r="A16920" s="4" t="str">
        <f>IFERROR(__xludf.DUMMYFUNCTION("""COMPUTED_VALUE"""),"cas_hmw")</f>
        <v>cas_hmw</v>
      </c>
      <c r="B16920" s="5">
        <f>IFERROR(__xludf.DUMMYFUNCTION("""COMPUTED_VALUE"""),44737.0)</f>
        <v>44737</v>
      </c>
      <c r="C16920" s="6">
        <f>IFERROR(__xludf.DUMMYFUNCTION("""COMPUTED_VALUE"""),0.7100925925915362)</f>
        <v>0.7100925926</v>
      </c>
      <c r="D16920" s="4">
        <f>IFERROR(__xludf.DUMMYFUNCTION("""COMPUTED_VALUE"""),13.008019)</f>
        <v>13.008019</v>
      </c>
      <c r="E16920" s="4">
        <f>IFERROR(__xludf.DUMMYFUNCTION("""COMPUTED_VALUE"""),80.234441)</f>
        <v>80.234441</v>
      </c>
      <c r="F16920" s="4">
        <f>IFERROR(__xludf.DUMMYFUNCTION("""COMPUTED_VALUE"""),805.0)</f>
        <v>805</v>
      </c>
      <c r="G16920" s="4">
        <f>IFERROR(__xludf.DUMMYFUNCTION("""COMPUTED_VALUE"""),0.0)</f>
        <v>0</v>
      </c>
      <c r="H16920" s="4"/>
      <c r="I16920" s="4"/>
    </row>
    <row r="16921">
      <c r="A16921" s="4" t="str">
        <f>IFERROR(__xludf.DUMMYFUNCTION("""COMPUTED_VALUE"""),"cas_hmw")</f>
        <v>cas_hmw</v>
      </c>
      <c r="B16921" s="5">
        <f>IFERROR(__xludf.DUMMYFUNCTION("""COMPUTED_VALUE"""),44737.0)</f>
        <v>44737</v>
      </c>
      <c r="C16921" s="6">
        <f>IFERROR(__xludf.DUMMYFUNCTION("""COMPUTED_VALUE"""),0.7101041666683159)</f>
        <v>0.7101041667</v>
      </c>
      <c r="D16921" s="4">
        <f>IFERROR(__xludf.DUMMYFUNCTION("""COMPUTED_VALUE"""),13.008019)</f>
        <v>13.008019</v>
      </c>
      <c r="E16921" s="4">
        <f>IFERROR(__xludf.DUMMYFUNCTION("""COMPUTED_VALUE"""),80.234441)</f>
        <v>80.234441</v>
      </c>
      <c r="F16921" s="4">
        <f>IFERROR(__xludf.DUMMYFUNCTION("""COMPUTED_VALUE"""),805.0)</f>
        <v>805</v>
      </c>
      <c r="G16921" s="4">
        <f>IFERROR(__xludf.DUMMYFUNCTION("""COMPUTED_VALUE"""),0.0)</f>
        <v>0</v>
      </c>
      <c r="H16921" s="4"/>
      <c r="I16921" s="4"/>
    </row>
    <row r="16922">
      <c r="A16922" s="4" t="str">
        <f>IFERROR(__xludf.DUMMYFUNCTION("""COMPUTED_VALUE"""),"cas_hmw")</f>
        <v>cas_hmw</v>
      </c>
      <c r="B16922" s="5">
        <f>IFERROR(__xludf.DUMMYFUNCTION("""COMPUTED_VALUE"""),44737.0)</f>
        <v>44737</v>
      </c>
      <c r="C16922" s="6">
        <f>IFERROR(__xludf.DUMMYFUNCTION("""COMPUTED_VALUE"""),0.7106828703690553)</f>
        <v>0.7106828704</v>
      </c>
      <c r="D16922" s="4">
        <f>IFERROR(__xludf.DUMMYFUNCTION("""COMPUTED_VALUE"""),12.622289)</f>
        <v>12.622289</v>
      </c>
      <c r="E16922" s="4">
        <f>IFERROR(__xludf.DUMMYFUNCTION("""COMPUTED_VALUE"""),79.927872)</f>
        <v>79.927872</v>
      </c>
      <c r="F16922" s="4">
        <f>IFERROR(__xludf.DUMMYFUNCTION("""COMPUTED_VALUE"""),2846.0)</f>
        <v>2846</v>
      </c>
      <c r="G16922" s="4">
        <f>IFERROR(__xludf.DUMMYFUNCTION("""COMPUTED_VALUE"""),57.0)</f>
        <v>57</v>
      </c>
      <c r="H16922" s="4"/>
      <c r="I16922" s="4"/>
    </row>
    <row r="16923">
      <c r="A16923" s="4" t="str">
        <f>IFERROR(__xludf.DUMMYFUNCTION("""COMPUTED_VALUE"""),"cas_hmw")</f>
        <v>cas_hmw</v>
      </c>
      <c r="B16923" s="5">
        <f>IFERROR(__xludf.DUMMYFUNCTION("""COMPUTED_VALUE"""),44737.0)</f>
        <v>44737</v>
      </c>
      <c r="C16923" s="6">
        <f>IFERROR(__xludf.DUMMYFUNCTION("""COMPUTED_VALUE"""),0.7117824074084638)</f>
        <v>0.7117824074</v>
      </c>
      <c r="D16923" s="4">
        <f>IFERROR(__xludf.DUMMYFUNCTION("""COMPUTED_VALUE"""),13.043964)</f>
        <v>13.043964</v>
      </c>
      <c r="E16923" s="4">
        <f>IFERROR(__xludf.DUMMYFUNCTION("""COMPUTED_VALUE"""),80.247803)</f>
        <v>80.247803</v>
      </c>
      <c r="F16923" s="4">
        <f>IFERROR(__xludf.DUMMYFUNCTION("""COMPUTED_VALUE"""),5339.0)</f>
        <v>5339</v>
      </c>
      <c r="G16923" s="4">
        <f>IFERROR(__xludf.DUMMYFUNCTION("""COMPUTED_VALUE"""),32.0)</f>
        <v>32</v>
      </c>
      <c r="H16923" s="4"/>
      <c r="I16923" s="4"/>
    </row>
    <row r="16924">
      <c r="A16924" s="4" t="str">
        <f>IFERROR(__xludf.DUMMYFUNCTION("""COMPUTED_VALUE"""),"cas_hmw")</f>
        <v>cas_hmw</v>
      </c>
      <c r="B16924" s="5">
        <f>IFERROR(__xludf.DUMMYFUNCTION("""COMPUTED_VALUE"""),44737.0)</f>
        <v>44737</v>
      </c>
      <c r="C16924" s="6">
        <f>IFERROR(__xludf.DUMMYFUNCTION("""COMPUTED_VALUE"""),0.7118287037046684)</f>
        <v>0.7118287037</v>
      </c>
      <c r="D16924" s="4">
        <f>IFERROR(__xludf.DUMMYFUNCTION("""COMPUTED_VALUE"""),13.007045)</f>
        <v>13.007045</v>
      </c>
      <c r="E16924" s="4">
        <f>IFERROR(__xludf.DUMMYFUNCTION("""COMPUTED_VALUE"""),80.239246)</f>
        <v>80.239246</v>
      </c>
      <c r="F16924" s="4">
        <f>IFERROR(__xludf.DUMMYFUNCTION("""COMPUTED_VALUE"""),805.0)</f>
        <v>805</v>
      </c>
      <c r="G16924" s="4">
        <f>IFERROR(__xludf.DUMMYFUNCTION("""COMPUTED_VALUE"""),33.0)</f>
        <v>33</v>
      </c>
      <c r="H16924" s="4"/>
      <c r="I16924" s="4"/>
    </row>
    <row r="16925">
      <c r="A16925" s="4" t="str">
        <f>IFERROR(__xludf.DUMMYFUNCTION("""COMPUTED_VALUE"""),"cas_hmw")</f>
        <v>cas_hmw</v>
      </c>
      <c r="B16925" s="5">
        <f>IFERROR(__xludf.DUMMYFUNCTION("""COMPUTED_VALUE"""),44737.0)</f>
        <v>44737</v>
      </c>
      <c r="C16925" s="6">
        <f>IFERROR(__xludf.DUMMYFUNCTION("""COMPUTED_VALUE"""),0.7122800925935735)</f>
        <v>0.7122800926</v>
      </c>
      <c r="D16925" s="4">
        <f>IFERROR(__xludf.DUMMYFUNCTION("""COMPUTED_VALUE"""),13.045133)</f>
        <v>13.045133</v>
      </c>
      <c r="E16925" s="4">
        <f>IFERROR(__xludf.DUMMYFUNCTION("""COMPUTED_VALUE"""),80.248006)</f>
        <v>80.248006</v>
      </c>
      <c r="F16925" s="4">
        <f>IFERROR(__xludf.DUMMYFUNCTION("""COMPUTED_VALUE"""),5339.0)</f>
        <v>5339</v>
      </c>
      <c r="G16925" s="4">
        <f>IFERROR(__xludf.DUMMYFUNCTION("""COMPUTED_VALUE"""),16.0)</f>
        <v>16</v>
      </c>
      <c r="H16925" s="4"/>
      <c r="I16925" s="4"/>
    </row>
    <row r="16926">
      <c r="A16926" s="4" t="str">
        <f>IFERROR(__xludf.DUMMYFUNCTION("""COMPUTED_VALUE"""),"cas_hmw")</f>
        <v>cas_hmw</v>
      </c>
      <c r="B16926" s="5">
        <f>IFERROR(__xludf.DUMMYFUNCTION("""COMPUTED_VALUE"""),44737.0)</f>
        <v>44737</v>
      </c>
      <c r="C16926" s="6">
        <f>IFERROR(__xludf.DUMMYFUNCTION("""COMPUTED_VALUE"""),0.7123611111128412)</f>
        <v>0.7123611111</v>
      </c>
      <c r="D16926" s="4">
        <f>IFERROR(__xludf.DUMMYFUNCTION("""COMPUTED_VALUE"""),13.045133)</f>
        <v>13.045133</v>
      </c>
      <c r="E16926" s="4">
        <f>IFERROR(__xludf.DUMMYFUNCTION("""COMPUTED_VALUE"""),80.248006)</f>
        <v>80.248006</v>
      </c>
      <c r="F16926" s="4">
        <f>IFERROR(__xludf.DUMMYFUNCTION("""COMPUTED_VALUE"""),5339.0)</f>
        <v>5339</v>
      </c>
      <c r="G16926" s="4">
        <f>IFERROR(__xludf.DUMMYFUNCTION("""COMPUTED_VALUE"""),16.0)</f>
        <v>16</v>
      </c>
      <c r="H16926" s="4"/>
      <c r="I16926" s="4"/>
    </row>
    <row r="16927">
      <c r="A16927" s="4" t="str">
        <f>IFERROR(__xludf.DUMMYFUNCTION("""COMPUTED_VALUE"""),"cas_hmw")</f>
        <v>cas_hmw</v>
      </c>
      <c r="B16927" s="5">
        <f>IFERROR(__xludf.DUMMYFUNCTION("""COMPUTED_VALUE"""),44737.0)</f>
        <v>44737</v>
      </c>
      <c r="C16927" s="6">
        <f>IFERROR(__xludf.DUMMYFUNCTION("""COMPUTED_VALUE"""),0.7123726851859828)</f>
        <v>0.7123726852</v>
      </c>
      <c r="D16927" s="4">
        <f>IFERROR(__xludf.DUMMYFUNCTION("""COMPUTED_VALUE"""),13.046346)</f>
        <v>13.046346</v>
      </c>
      <c r="E16927" s="4">
        <f>IFERROR(__xludf.DUMMYFUNCTION("""COMPUTED_VALUE"""),80.248253)</f>
        <v>80.248253</v>
      </c>
      <c r="F16927" s="4">
        <f>IFERROR(__xludf.DUMMYFUNCTION("""COMPUTED_VALUE"""),5339.0)</f>
        <v>5339</v>
      </c>
      <c r="G16927" s="4">
        <f>IFERROR(__xludf.DUMMYFUNCTION("""COMPUTED_VALUE"""),33.0)</f>
        <v>33</v>
      </c>
      <c r="H16927" s="4"/>
      <c r="I16927" s="4"/>
    </row>
    <row r="16928">
      <c r="A16928" s="4" t="str">
        <f>IFERROR(__xludf.DUMMYFUNCTION("""COMPUTED_VALUE"""),"cas_hmw")</f>
        <v>cas_hmw</v>
      </c>
      <c r="B16928" s="5">
        <f>IFERROR(__xludf.DUMMYFUNCTION("""COMPUTED_VALUE"""),44737.0)</f>
        <v>44737</v>
      </c>
      <c r="C16928" s="6">
        <f>IFERROR(__xludf.DUMMYFUNCTION("""COMPUTED_VALUE"""),0.7127430555556202)</f>
        <v>0.7127430556</v>
      </c>
      <c r="D16928" s="4">
        <f>IFERROR(__xludf.DUMMYFUNCTION("""COMPUTED_VALUE"""),13.048824)</f>
        <v>13.048824</v>
      </c>
      <c r="E16928" s="4">
        <f>IFERROR(__xludf.DUMMYFUNCTION("""COMPUTED_VALUE"""),80.249632)</f>
        <v>80.249632</v>
      </c>
      <c r="F16928" s="4">
        <f>IFERROR(__xludf.DUMMYFUNCTION("""COMPUTED_VALUE"""),5339.0)</f>
        <v>5339</v>
      </c>
      <c r="G16928" s="4">
        <f>IFERROR(__xludf.DUMMYFUNCTION("""COMPUTED_VALUE"""),38.0)</f>
        <v>38</v>
      </c>
      <c r="H16928" s="4"/>
      <c r="I16928" s="4"/>
    </row>
    <row r="16929">
      <c r="A16929" s="4" t="str">
        <f>IFERROR(__xludf.DUMMYFUNCTION("""COMPUTED_VALUE"""),"cas_hmw")</f>
        <v>cas_hmw</v>
      </c>
      <c r="B16929" s="5">
        <f>IFERROR(__xludf.DUMMYFUNCTION("""COMPUTED_VALUE"""),44737.0)</f>
        <v>44737</v>
      </c>
      <c r="C16929" s="6">
        <f>IFERROR(__xludf.DUMMYFUNCTION("""COMPUTED_VALUE"""),0.7129282407404389)</f>
        <v>0.7129282407</v>
      </c>
      <c r="D16929" s="4">
        <f>IFERROR(__xludf.DUMMYFUNCTION("""COMPUTED_VALUE"""),12.59893)</f>
        <v>12.59893</v>
      </c>
      <c r="E16929" s="4">
        <f>IFERROR(__xludf.DUMMYFUNCTION("""COMPUTED_VALUE"""),79.919821)</f>
        <v>79.919821</v>
      </c>
      <c r="F16929" s="4">
        <f>IFERROR(__xludf.DUMMYFUNCTION("""COMPUTED_VALUE"""),2846.0)</f>
        <v>2846</v>
      </c>
      <c r="G16929" s="4">
        <f>IFERROR(__xludf.DUMMYFUNCTION("""COMPUTED_VALUE"""),56.0)</f>
        <v>56</v>
      </c>
      <c r="H16929" s="4"/>
      <c r="I16929" s="4"/>
    </row>
    <row r="16930">
      <c r="A16930" s="4" t="str">
        <f>IFERROR(__xludf.DUMMYFUNCTION("""COMPUTED_VALUE"""),"cas_hmw")</f>
        <v>cas_hmw</v>
      </c>
      <c r="B16930" s="5">
        <f>IFERROR(__xludf.DUMMYFUNCTION("""COMPUTED_VALUE"""),44737.0)</f>
        <v>44737</v>
      </c>
      <c r="C16930" s="6">
        <f>IFERROR(__xludf.DUMMYFUNCTION("""COMPUTED_VALUE"""),0.7129976851865649)</f>
        <v>0.7129976852</v>
      </c>
      <c r="D16930" s="4">
        <f>IFERROR(__xludf.DUMMYFUNCTION("""COMPUTED_VALUE"""),12.59661)</f>
        <v>12.59661</v>
      </c>
      <c r="E16930" s="4">
        <f>IFERROR(__xludf.DUMMYFUNCTION("""COMPUTED_VALUE"""),79.91956)</f>
        <v>79.91956</v>
      </c>
      <c r="F16930" s="4">
        <f>IFERROR(__xludf.DUMMYFUNCTION("""COMPUTED_VALUE"""),2846.0)</f>
        <v>2846</v>
      </c>
      <c r="G16930" s="4">
        <f>IFERROR(__xludf.DUMMYFUNCTION("""COMPUTED_VALUE"""),58.0)</f>
        <v>58</v>
      </c>
      <c r="H16930" s="4"/>
      <c r="I16930" s="4"/>
    </row>
    <row r="16931">
      <c r="A16931" s="4" t="str">
        <f>IFERROR(__xludf.DUMMYFUNCTION("""COMPUTED_VALUE"""),"cas_hmw")</f>
        <v>cas_hmw</v>
      </c>
      <c r="B16931" s="5">
        <f>IFERROR(__xludf.DUMMYFUNCTION("""COMPUTED_VALUE"""),44737.0)</f>
        <v>44737</v>
      </c>
      <c r="C16931" s="6">
        <f>IFERROR(__xludf.DUMMYFUNCTION("""COMPUTED_VALUE"""),0.7131944444445253)</f>
        <v>0.7131944444</v>
      </c>
      <c r="D16931" s="4">
        <f>IFERROR(__xludf.DUMMYFUNCTION("""COMPUTED_VALUE"""),13.006759)</f>
        <v>13.006759</v>
      </c>
      <c r="E16931" s="4">
        <f>IFERROR(__xludf.DUMMYFUNCTION("""COMPUTED_VALUE"""),80.247702)</f>
        <v>80.247702</v>
      </c>
      <c r="F16931" s="4">
        <f>IFERROR(__xludf.DUMMYFUNCTION("""COMPUTED_VALUE"""),805.0)</f>
        <v>805</v>
      </c>
      <c r="G16931" s="4">
        <f>IFERROR(__xludf.DUMMYFUNCTION("""COMPUTED_VALUE"""),20.0)</f>
        <v>20</v>
      </c>
      <c r="H16931" s="4"/>
      <c r="I16931" s="4"/>
    </row>
    <row r="16932">
      <c r="A16932" s="4" t="str">
        <f>IFERROR(__xludf.DUMMYFUNCTION("""COMPUTED_VALUE"""),"cas_hmw")</f>
        <v>cas_hmw</v>
      </c>
      <c r="B16932" s="5">
        <f>IFERROR(__xludf.DUMMYFUNCTION("""COMPUTED_VALUE"""),44737.0)</f>
        <v>44737</v>
      </c>
      <c r="C16932" s="6">
        <f>IFERROR(__xludf.DUMMYFUNCTION("""COMPUTED_VALUE"""),0.7132175925908086)</f>
        <v>0.7132175926</v>
      </c>
      <c r="D16932" s="4">
        <f>IFERROR(__xludf.DUMMYFUNCTION("""COMPUTED_VALUE"""),13.052463)</f>
        <v>13.052463</v>
      </c>
      <c r="E16932" s="4">
        <f>IFERROR(__xludf.DUMMYFUNCTION("""COMPUTED_VALUE"""),80.251129)</f>
        <v>80.251129</v>
      </c>
      <c r="F16932" s="4">
        <f>IFERROR(__xludf.DUMMYFUNCTION("""COMPUTED_VALUE"""),5339.0)</f>
        <v>5339</v>
      </c>
      <c r="G16932" s="4">
        <f>IFERROR(__xludf.DUMMYFUNCTION("""COMPUTED_VALUE"""),44.0)</f>
        <v>44</v>
      </c>
      <c r="H16932" s="4"/>
      <c r="I16932" s="4"/>
    </row>
    <row r="16933">
      <c r="A16933" s="4" t="str">
        <f>IFERROR(__xludf.DUMMYFUNCTION("""COMPUTED_VALUE"""),"cas_hmw")</f>
        <v>cas_hmw</v>
      </c>
      <c r="B16933" s="5">
        <f>IFERROR(__xludf.DUMMYFUNCTION("""COMPUTED_VALUE"""),44737.0)</f>
        <v>44737</v>
      </c>
      <c r="C16933" s="6">
        <f>IFERROR(__xludf.DUMMYFUNCTION("""COMPUTED_VALUE"""),0.7132291666675883)</f>
        <v>0.7132291667</v>
      </c>
      <c r="D16933" s="4">
        <f>IFERROR(__xludf.DUMMYFUNCTION("""COMPUTED_VALUE"""),13.052463)</f>
        <v>13.052463</v>
      </c>
      <c r="E16933" s="4">
        <f>IFERROR(__xludf.DUMMYFUNCTION("""COMPUTED_VALUE"""),80.251129)</f>
        <v>80.251129</v>
      </c>
      <c r="F16933" s="4">
        <f>IFERROR(__xludf.DUMMYFUNCTION("""COMPUTED_VALUE"""),5339.0)</f>
        <v>5339</v>
      </c>
      <c r="G16933" s="4">
        <f>IFERROR(__xludf.DUMMYFUNCTION("""COMPUTED_VALUE"""),44.0)</f>
        <v>44</v>
      </c>
      <c r="H16933" s="4"/>
      <c r="I16933" s="4"/>
    </row>
    <row r="16934">
      <c r="A16934" s="4" t="str">
        <f>IFERROR(__xludf.DUMMYFUNCTION("""COMPUTED_VALUE"""),"cas_hmw")</f>
        <v>cas_hmw</v>
      </c>
      <c r="B16934" s="5">
        <f>IFERROR(__xludf.DUMMYFUNCTION("""COMPUTED_VALUE"""),44737.0)</f>
        <v>44737</v>
      </c>
      <c r="C16934" s="6">
        <f>IFERROR(__xludf.DUMMYFUNCTION("""COMPUTED_VALUE"""),0.7135648148141627)</f>
        <v>0.7135648148</v>
      </c>
      <c r="D16934" s="4">
        <f>IFERROR(__xludf.DUMMYFUNCTION("""COMPUTED_VALUE"""),13.05391)</f>
        <v>13.05391</v>
      </c>
      <c r="E16934" s="4">
        <f>IFERROR(__xludf.DUMMYFUNCTION("""COMPUTED_VALUE"""),80.25311)</f>
        <v>80.25311</v>
      </c>
      <c r="F16934" s="4">
        <f>IFERROR(__xludf.DUMMYFUNCTION("""COMPUTED_VALUE"""),5339.0)</f>
        <v>5339</v>
      </c>
      <c r="G16934" s="4">
        <f>IFERROR(__xludf.DUMMYFUNCTION("""COMPUTED_VALUE"""),25.0)</f>
        <v>25</v>
      </c>
      <c r="H16934" s="4"/>
      <c r="I16934" s="4"/>
    </row>
    <row r="16935">
      <c r="A16935" s="4" t="str">
        <f>IFERROR(__xludf.DUMMYFUNCTION("""COMPUTED_VALUE"""),"cas_hmw")</f>
        <v>cas_hmw</v>
      </c>
      <c r="B16935" s="5">
        <f>IFERROR(__xludf.DUMMYFUNCTION("""COMPUTED_VALUE"""),44737.0)</f>
        <v>44737</v>
      </c>
      <c r="C16935" s="6">
        <f>IFERROR(__xludf.DUMMYFUNCTION("""COMPUTED_VALUE"""),0.7136805555564933)</f>
        <v>0.7136805556</v>
      </c>
      <c r="D16935" s="4">
        <f>IFERROR(__xludf.DUMMYFUNCTION("""COMPUTED_VALUE"""),12.587473)</f>
        <v>12.587473</v>
      </c>
      <c r="E16935" s="4">
        <f>IFERROR(__xludf.DUMMYFUNCTION("""COMPUTED_VALUE"""),79.919469)</f>
        <v>79.919469</v>
      </c>
      <c r="F16935" s="4">
        <f>IFERROR(__xludf.DUMMYFUNCTION("""COMPUTED_VALUE"""),2846.0)</f>
        <v>2846</v>
      </c>
      <c r="G16935" s="4">
        <f>IFERROR(__xludf.DUMMYFUNCTION("""COMPUTED_VALUE"""),58.0)</f>
        <v>58</v>
      </c>
      <c r="H16935" s="4"/>
      <c r="I16935" s="4"/>
    </row>
    <row r="16936">
      <c r="A16936" s="4" t="str">
        <f>IFERROR(__xludf.DUMMYFUNCTION("""COMPUTED_VALUE"""),"cas_hmw")</f>
        <v>cas_hmw</v>
      </c>
      <c r="B16936" s="5">
        <f>IFERROR(__xludf.DUMMYFUNCTION("""COMPUTED_VALUE"""),44737.0)</f>
        <v>44737</v>
      </c>
      <c r="C16936" s="6">
        <f>IFERROR(__xludf.DUMMYFUNCTION("""COMPUTED_VALUE"""),0.7147453703692008)</f>
        <v>0.7147453704</v>
      </c>
      <c r="D16936" s="4">
        <f>IFERROR(__xludf.DUMMYFUNCTION("""COMPUTED_VALUE"""),13.006949)</f>
        <v>13.006949</v>
      </c>
      <c r="E16936" s="4">
        <f>IFERROR(__xludf.DUMMYFUNCTION("""COMPUTED_VALUE"""),80.251108)</f>
        <v>80.251108</v>
      </c>
      <c r="F16936" s="4">
        <f>IFERROR(__xludf.DUMMYFUNCTION("""COMPUTED_VALUE"""),805.0)</f>
        <v>805</v>
      </c>
      <c r="G16936" s="4">
        <f>IFERROR(__xludf.DUMMYFUNCTION("""COMPUTED_VALUE"""),6.0)</f>
        <v>6</v>
      </c>
      <c r="H16936" s="4"/>
      <c r="I16936" s="4"/>
    </row>
    <row r="16937">
      <c r="A16937" s="4" t="str">
        <f>IFERROR(__xludf.DUMMYFUNCTION("""COMPUTED_VALUE"""),"cas_hmw")</f>
        <v>cas_hmw</v>
      </c>
      <c r="B16937" s="5">
        <f>IFERROR(__xludf.DUMMYFUNCTION("""COMPUTED_VALUE"""),44737.0)</f>
        <v>44737</v>
      </c>
      <c r="C16937" s="6">
        <f>IFERROR(__xludf.DUMMYFUNCTION("""COMPUTED_VALUE"""),0.7149768518502242)</f>
        <v>0.7149768519</v>
      </c>
      <c r="D16937" s="4">
        <f>IFERROR(__xludf.DUMMYFUNCTION("""COMPUTED_VALUE"""),13.006907)</f>
        <v>13.006907</v>
      </c>
      <c r="E16937" s="4">
        <f>IFERROR(__xludf.DUMMYFUNCTION("""COMPUTED_VALUE"""),80.251371)</f>
        <v>80.251371</v>
      </c>
      <c r="F16937" s="4">
        <f>IFERROR(__xludf.DUMMYFUNCTION("""COMPUTED_VALUE"""),805.0)</f>
        <v>805</v>
      </c>
      <c r="G16937" s="4">
        <f>IFERROR(__xludf.DUMMYFUNCTION("""COMPUTED_VALUE"""),11.0)</f>
        <v>11</v>
      </c>
      <c r="H16937" s="4"/>
      <c r="I16937" s="4"/>
    </row>
    <row r="16938">
      <c r="A16938" s="4" t="str">
        <f>IFERROR(__xludf.DUMMYFUNCTION("""COMPUTED_VALUE"""),"cas_hmw")</f>
        <v>cas_hmw</v>
      </c>
      <c r="B16938" s="5">
        <f>IFERROR(__xludf.DUMMYFUNCTION("""COMPUTED_VALUE"""),44737.0)</f>
        <v>44737</v>
      </c>
      <c r="C16938" s="6">
        <f>IFERROR(__xludf.DUMMYFUNCTION("""COMPUTED_VALUE"""),0.7179976851839456)</f>
        <v>0.7179976852</v>
      </c>
      <c r="D16938" s="4">
        <f>IFERROR(__xludf.DUMMYFUNCTION("""COMPUTED_VALUE"""),12.542438)</f>
        <v>12.542438</v>
      </c>
      <c r="E16938" s="4">
        <f>IFERROR(__xludf.DUMMYFUNCTION("""COMPUTED_VALUE"""),79.904782)</f>
        <v>79.904782</v>
      </c>
      <c r="F16938" s="4">
        <f>IFERROR(__xludf.DUMMYFUNCTION("""COMPUTED_VALUE"""),2846.0)</f>
        <v>2846</v>
      </c>
      <c r="G16938" s="4">
        <f>IFERROR(__xludf.DUMMYFUNCTION("""COMPUTED_VALUE"""),39.0)</f>
        <v>39</v>
      </c>
      <c r="H16938" s="4"/>
      <c r="I16938" s="4"/>
    </row>
    <row r="16939">
      <c r="A16939" s="4" t="str">
        <f>IFERROR(__xludf.DUMMYFUNCTION("""COMPUTED_VALUE"""),"cas_hmw")</f>
        <v>cas_hmw</v>
      </c>
      <c r="B16939" s="5">
        <f>IFERROR(__xludf.DUMMYFUNCTION("""COMPUTED_VALUE"""),44737.0)</f>
        <v>44737</v>
      </c>
      <c r="C16939" s="6">
        <f>IFERROR(__xludf.DUMMYFUNCTION("""COMPUTED_VALUE"""),0.7182754629611736)</f>
        <v>0.718275463</v>
      </c>
      <c r="D16939" s="4">
        <f>IFERROR(__xludf.DUMMYFUNCTION("""COMPUTED_VALUE"""),12.538362)</f>
        <v>12.538362</v>
      </c>
      <c r="E16939" s="4">
        <f>IFERROR(__xludf.DUMMYFUNCTION("""COMPUTED_VALUE"""),79.90395)</f>
        <v>79.90395</v>
      </c>
      <c r="F16939" s="4">
        <f>IFERROR(__xludf.DUMMYFUNCTION("""COMPUTED_VALUE"""),2846.0)</f>
        <v>2846</v>
      </c>
      <c r="G16939" s="4">
        <f>IFERROR(__xludf.DUMMYFUNCTION("""COMPUTED_VALUE"""),51.0)</f>
        <v>51</v>
      </c>
      <c r="H16939" s="4"/>
      <c r="I16939" s="4"/>
    </row>
    <row r="16940">
      <c r="A16940" s="4" t="str">
        <f>IFERROR(__xludf.DUMMYFUNCTION("""COMPUTED_VALUE"""),"cas_hmw")</f>
        <v>cas_hmw</v>
      </c>
      <c r="B16940" s="5">
        <f>IFERROR(__xludf.DUMMYFUNCTION("""COMPUTED_VALUE"""),44737.0)</f>
        <v>44737</v>
      </c>
      <c r="C16940" s="6">
        <f>IFERROR(__xludf.DUMMYFUNCTION("""COMPUTED_VALUE"""),0.7212847222217533)</f>
        <v>0.7212847222</v>
      </c>
      <c r="D16940" s="4">
        <f>IFERROR(__xludf.DUMMYFUNCTION("""COMPUTED_VALUE"""),12.515903)</f>
        <v>12.515903</v>
      </c>
      <c r="E16940" s="4">
        <f>IFERROR(__xludf.DUMMYFUNCTION("""COMPUTED_VALUE"""),79.889652)</f>
        <v>79.889652</v>
      </c>
      <c r="F16940" s="4">
        <f>IFERROR(__xludf.DUMMYFUNCTION("""COMPUTED_VALUE"""),2846.0)</f>
        <v>2846</v>
      </c>
      <c r="G16940" s="4">
        <f>IFERROR(__xludf.DUMMYFUNCTION("""COMPUTED_VALUE"""),36.0)</f>
        <v>36</v>
      </c>
      <c r="H16940" s="4"/>
      <c r="I16940" s="4"/>
    </row>
    <row r="16941">
      <c r="A16941" s="4" t="str">
        <f>IFERROR(__xludf.DUMMYFUNCTION("""COMPUTED_VALUE"""),"cas_hmw")</f>
        <v>cas_hmw</v>
      </c>
      <c r="B16941" s="5">
        <f>IFERROR(__xludf.DUMMYFUNCTION("""COMPUTED_VALUE"""),44737.0)</f>
        <v>44737</v>
      </c>
      <c r="C16941" s="6">
        <f>IFERROR(__xludf.DUMMYFUNCTION("""COMPUTED_VALUE"""),0.72425925925927)</f>
        <v>0.7242592593</v>
      </c>
      <c r="D16941" s="4">
        <f>IFERROR(__xludf.DUMMYFUNCTION("""COMPUTED_VALUE"""),13.065509)</f>
        <v>13.065509</v>
      </c>
      <c r="E16941" s="4">
        <f>IFERROR(__xludf.DUMMYFUNCTION("""COMPUTED_VALUE"""),80.273797)</f>
        <v>80.273797</v>
      </c>
      <c r="F16941" s="4">
        <f>IFERROR(__xludf.DUMMYFUNCTION("""COMPUTED_VALUE"""),5339.0)</f>
        <v>5339</v>
      </c>
      <c r="G16941" s="4">
        <f>IFERROR(__xludf.DUMMYFUNCTION("""COMPUTED_VALUE"""),12.0)</f>
        <v>12</v>
      </c>
      <c r="H16941" s="4"/>
      <c r="I16941" s="4"/>
    </row>
    <row r="16942">
      <c r="A16942" s="4" t="str">
        <f>IFERROR(__xludf.DUMMYFUNCTION("""COMPUTED_VALUE"""),"cas_hmw")</f>
        <v>cas_hmw</v>
      </c>
      <c r="B16942" s="5">
        <f>IFERROR(__xludf.DUMMYFUNCTION("""COMPUTED_VALUE"""),44737.0)</f>
        <v>44737</v>
      </c>
      <c r="C16942" s="6">
        <f>IFERROR(__xludf.DUMMYFUNCTION("""COMPUTED_VALUE"""),0.7242824074091914)</f>
        <v>0.7242824074</v>
      </c>
      <c r="D16942" s="4">
        <f>IFERROR(__xludf.DUMMYFUNCTION("""COMPUTED_VALUE"""),13.065509)</f>
        <v>13.065509</v>
      </c>
      <c r="E16942" s="4">
        <f>IFERROR(__xludf.DUMMYFUNCTION("""COMPUTED_VALUE"""),80.273797)</f>
        <v>80.273797</v>
      </c>
      <c r="F16942" s="4">
        <f>IFERROR(__xludf.DUMMYFUNCTION("""COMPUTED_VALUE"""),5339.0)</f>
        <v>5339</v>
      </c>
      <c r="G16942" s="4">
        <f>IFERROR(__xludf.DUMMYFUNCTION("""COMPUTED_VALUE"""),12.0)</f>
        <v>12</v>
      </c>
      <c r="H16942" s="4"/>
      <c r="I16942" s="4"/>
    </row>
    <row r="16943">
      <c r="A16943" s="4" t="str">
        <f>IFERROR(__xludf.DUMMYFUNCTION("""COMPUTED_VALUE"""),"cas_hmw")</f>
        <v>cas_hmw</v>
      </c>
      <c r="B16943" s="5">
        <f>IFERROR(__xludf.DUMMYFUNCTION("""COMPUTED_VALUE"""),44737.0)</f>
        <v>44737</v>
      </c>
      <c r="C16943" s="6">
        <f>IFERROR(__xludf.DUMMYFUNCTION("""COMPUTED_VALUE"""),0.7243750000016007)</f>
        <v>0.724375</v>
      </c>
      <c r="D16943" s="4">
        <f>IFERROR(__xludf.DUMMYFUNCTION("""COMPUTED_VALUE"""),13.065509)</f>
        <v>13.065509</v>
      </c>
      <c r="E16943" s="4">
        <f>IFERROR(__xludf.DUMMYFUNCTION("""COMPUTED_VALUE"""),80.273797)</f>
        <v>80.273797</v>
      </c>
      <c r="F16943" s="4">
        <f>IFERROR(__xludf.DUMMYFUNCTION("""COMPUTED_VALUE"""),5339.0)</f>
        <v>5339</v>
      </c>
      <c r="G16943" s="4">
        <f>IFERROR(__xludf.DUMMYFUNCTION("""COMPUTED_VALUE"""),12.0)</f>
        <v>12</v>
      </c>
      <c r="H16943" s="4"/>
      <c r="I16943" s="4"/>
    </row>
    <row r="16944">
      <c r="A16944" s="4" t="str">
        <f>IFERROR(__xludf.DUMMYFUNCTION("""COMPUTED_VALUE"""),"cas_hmw")</f>
        <v>cas_hmw</v>
      </c>
      <c r="B16944" s="5">
        <f>IFERROR(__xludf.DUMMYFUNCTION("""COMPUTED_VALUE"""),44737.0)</f>
        <v>44737</v>
      </c>
      <c r="C16944" s="6">
        <f>IFERROR(__xludf.DUMMYFUNCTION("""COMPUTED_VALUE"""),0.7277893518512428)</f>
        <v>0.7277893519</v>
      </c>
      <c r="D16944" s="4">
        <f>IFERROR(__xludf.DUMMYFUNCTION("""COMPUTED_VALUE"""),12.469843)</f>
        <v>12.469843</v>
      </c>
      <c r="E16944" s="4">
        <f>IFERROR(__xludf.DUMMYFUNCTION("""COMPUTED_VALUE"""),79.853078)</f>
        <v>79.853078</v>
      </c>
      <c r="F16944" s="4">
        <f>IFERROR(__xludf.DUMMYFUNCTION("""COMPUTED_VALUE"""),2846.0)</f>
        <v>2846</v>
      </c>
      <c r="G16944" s="4">
        <f>IFERROR(__xludf.DUMMYFUNCTION("""COMPUTED_VALUE"""),55.0)</f>
        <v>55</v>
      </c>
      <c r="H16944" s="4"/>
      <c r="I16944" s="4"/>
    </row>
    <row r="16945">
      <c r="A16945" s="4" t="str">
        <f>IFERROR(__xludf.DUMMYFUNCTION("""COMPUTED_VALUE"""),"cas_hmw")</f>
        <v>cas_hmw</v>
      </c>
      <c r="B16945" s="5">
        <f>IFERROR(__xludf.DUMMYFUNCTION("""COMPUTED_VALUE"""),44737.0)</f>
        <v>44737</v>
      </c>
      <c r="C16945" s="6">
        <f>IFERROR(__xludf.DUMMYFUNCTION("""COMPUTED_VALUE"""),0.7287152777789743)</f>
        <v>0.7287152778</v>
      </c>
      <c r="D16945" s="4">
        <f>IFERROR(__xludf.DUMMYFUNCTION("""COMPUTED_VALUE"""),12.460816)</f>
        <v>12.460816</v>
      </c>
      <c r="E16945" s="4">
        <f>IFERROR(__xludf.DUMMYFUNCTION("""COMPUTED_VALUE"""),79.846647)</f>
        <v>79.846647</v>
      </c>
      <c r="F16945" s="4">
        <f>IFERROR(__xludf.DUMMYFUNCTION("""COMPUTED_VALUE"""),2846.0)</f>
        <v>2846</v>
      </c>
      <c r="G16945" s="4">
        <f>IFERROR(__xludf.DUMMYFUNCTION("""COMPUTED_VALUE"""),55.0)</f>
        <v>55</v>
      </c>
      <c r="H16945" s="4"/>
      <c r="I16945" s="4"/>
    </row>
    <row r="16946">
      <c r="A16946" s="4" t="str">
        <f>IFERROR(__xludf.DUMMYFUNCTION("""COMPUTED_VALUE"""),"cas_hmw")</f>
        <v>cas_hmw</v>
      </c>
      <c r="B16946" s="5">
        <f>IFERROR(__xludf.DUMMYFUNCTION("""COMPUTED_VALUE"""),44737.0)</f>
        <v>44737</v>
      </c>
      <c r="C16946" s="6">
        <f>IFERROR(__xludf.DUMMYFUNCTION("""COMPUTED_VALUE"""),0.7291203703716747)</f>
        <v>0.7291203704</v>
      </c>
      <c r="D16946" s="4">
        <f>IFERROR(__xludf.DUMMYFUNCTION("""COMPUTED_VALUE"""),12.457303)</f>
        <v>12.457303</v>
      </c>
      <c r="E16946" s="4">
        <f>IFERROR(__xludf.DUMMYFUNCTION("""COMPUTED_VALUE"""),79.844156)</f>
        <v>79.844156</v>
      </c>
      <c r="F16946" s="4">
        <f>IFERROR(__xludf.DUMMYFUNCTION("""COMPUTED_VALUE"""),2846.0)</f>
        <v>2846</v>
      </c>
      <c r="G16946" s="4">
        <f>IFERROR(__xludf.DUMMYFUNCTION("""COMPUTED_VALUE"""),51.0)</f>
        <v>51</v>
      </c>
      <c r="H16946" s="4"/>
      <c r="I16946" s="4"/>
    </row>
    <row r="16947">
      <c r="A16947" s="4" t="str">
        <f>IFERROR(__xludf.DUMMYFUNCTION("""COMPUTED_VALUE"""),"cas_hmw")</f>
        <v>cas_hmw</v>
      </c>
      <c r="B16947" s="5">
        <f>IFERROR(__xludf.DUMMYFUNCTION("""COMPUTED_VALUE"""),44737.0)</f>
        <v>44737</v>
      </c>
      <c r="C16947" s="6">
        <f>IFERROR(__xludf.DUMMYFUNCTION("""COMPUTED_VALUE"""),0.7293402777795563)</f>
        <v>0.7293402778</v>
      </c>
      <c r="D16947" s="4">
        <f>IFERROR(__xludf.DUMMYFUNCTION("""COMPUTED_VALUE"""),13.069887)</f>
        <v>13.069887</v>
      </c>
      <c r="E16947" s="4">
        <f>IFERROR(__xludf.DUMMYFUNCTION("""COMPUTED_VALUE"""),80.257325)</f>
        <v>80.257325</v>
      </c>
      <c r="F16947" s="4">
        <f>IFERROR(__xludf.DUMMYFUNCTION("""COMPUTED_VALUE"""),5339.0)</f>
        <v>5339</v>
      </c>
      <c r="G16947" s="4">
        <f>IFERROR(__xludf.DUMMYFUNCTION("""COMPUTED_VALUE"""),37.0)</f>
        <v>37</v>
      </c>
      <c r="H16947" s="4"/>
      <c r="I16947" s="4"/>
    </row>
    <row r="16948">
      <c r="A16948" s="4" t="str">
        <f>IFERROR(__xludf.DUMMYFUNCTION("""COMPUTED_VALUE"""),"cas_hmw")</f>
        <v>cas_hmw</v>
      </c>
      <c r="B16948" s="5">
        <f>IFERROR(__xludf.DUMMYFUNCTION("""COMPUTED_VALUE"""),44737.0)</f>
        <v>44737</v>
      </c>
      <c r="C16948" s="6">
        <f>IFERROR(__xludf.DUMMYFUNCTION("""COMPUTED_VALUE"""),0.7313657407394203)</f>
        <v>0.7313657407</v>
      </c>
      <c r="D16948" s="4">
        <f>IFERROR(__xludf.DUMMYFUNCTION("""COMPUTED_VALUE"""),13.047975)</f>
        <v>13.047975</v>
      </c>
      <c r="E16948" s="4">
        <f>IFERROR(__xludf.DUMMYFUNCTION("""COMPUTED_VALUE"""),80.265972)</f>
        <v>80.265972</v>
      </c>
      <c r="F16948" s="4">
        <f>IFERROR(__xludf.DUMMYFUNCTION("""COMPUTED_VALUE"""),805.0)</f>
        <v>805</v>
      </c>
      <c r="G16948" s="4">
        <f>IFERROR(__xludf.DUMMYFUNCTION("""COMPUTED_VALUE"""),18.0)</f>
        <v>18</v>
      </c>
      <c r="H16948" s="4"/>
      <c r="I16948" s="4"/>
    </row>
    <row r="16949">
      <c r="A16949" s="4" t="str">
        <f>IFERROR(__xludf.DUMMYFUNCTION("""COMPUTED_VALUE"""),"cas_hmw")</f>
        <v>cas_hmw</v>
      </c>
      <c r="B16949" s="5">
        <f>IFERROR(__xludf.DUMMYFUNCTION("""COMPUTED_VALUE"""),44737.0)</f>
        <v>44737</v>
      </c>
      <c r="C16949" s="6">
        <f>IFERROR(__xludf.DUMMYFUNCTION("""COMPUTED_VALUE"""),0.7313657407394203)</f>
        <v>0.7313657407</v>
      </c>
      <c r="D16949" s="4">
        <f>IFERROR(__xludf.DUMMYFUNCTION("""COMPUTED_VALUE"""),13.047975)</f>
        <v>13.047975</v>
      </c>
      <c r="E16949" s="4">
        <f>IFERROR(__xludf.DUMMYFUNCTION("""COMPUTED_VALUE"""),80.265972)</f>
        <v>80.265972</v>
      </c>
      <c r="F16949" s="4">
        <f>IFERROR(__xludf.DUMMYFUNCTION("""COMPUTED_VALUE"""),805.0)</f>
        <v>805</v>
      </c>
      <c r="G16949" s="4">
        <f>IFERROR(__xludf.DUMMYFUNCTION("""COMPUTED_VALUE"""),18.0)</f>
        <v>18</v>
      </c>
      <c r="H16949" s="4"/>
      <c r="I16949" s="4"/>
    </row>
    <row r="16950">
      <c r="A16950" s="4" t="str">
        <f>IFERROR(__xludf.DUMMYFUNCTION("""COMPUTED_VALUE"""),"cas_hmw")</f>
        <v>cas_hmw</v>
      </c>
      <c r="B16950" s="5">
        <f>IFERROR(__xludf.DUMMYFUNCTION("""COMPUTED_VALUE"""),44737.0)</f>
        <v>44737</v>
      </c>
      <c r="C16950" s="6">
        <f>IFERROR(__xludf.DUMMYFUNCTION("""COMPUTED_VALUE"""),0.7313888888893416)</f>
        <v>0.7313888889</v>
      </c>
      <c r="D16950" s="4">
        <f>IFERROR(__xludf.DUMMYFUNCTION("""COMPUTED_VALUE"""),13.047975)</f>
        <v>13.047975</v>
      </c>
      <c r="E16950" s="4">
        <f>IFERROR(__xludf.DUMMYFUNCTION("""COMPUTED_VALUE"""),80.265972)</f>
        <v>80.265972</v>
      </c>
      <c r="F16950" s="4">
        <f>IFERROR(__xludf.DUMMYFUNCTION("""COMPUTED_VALUE"""),805.0)</f>
        <v>805</v>
      </c>
      <c r="G16950" s="4">
        <f>IFERROR(__xludf.DUMMYFUNCTION("""COMPUTED_VALUE"""),18.0)</f>
        <v>18</v>
      </c>
      <c r="H16950" s="4"/>
      <c r="I16950" s="4"/>
    </row>
    <row r="16951">
      <c r="A16951" s="4" t="str">
        <f>IFERROR(__xludf.DUMMYFUNCTION("""COMPUTED_VALUE"""),"cas_hmw")</f>
        <v>cas_hmw</v>
      </c>
      <c r="B16951" s="5">
        <f>IFERROR(__xludf.DUMMYFUNCTION("""COMPUTED_VALUE"""),44737.0)</f>
        <v>44737</v>
      </c>
      <c r="C16951" s="6">
        <f>IFERROR(__xludf.DUMMYFUNCTION("""COMPUTED_VALUE"""),0.7314004629624833)</f>
        <v>0.731400463</v>
      </c>
      <c r="D16951" s="4">
        <f>IFERROR(__xludf.DUMMYFUNCTION("""COMPUTED_VALUE"""),13.048643)</f>
        <v>13.048643</v>
      </c>
      <c r="E16951" s="4">
        <f>IFERROR(__xludf.DUMMYFUNCTION("""COMPUTED_VALUE"""),80.265356)</f>
        <v>80.265356</v>
      </c>
      <c r="F16951" s="4">
        <f>IFERROR(__xludf.DUMMYFUNCTION("""COMPUTED_VALUE"""),805.0)</f>
        <v>805</v>
      </c>
      <c r="G16951" s="4">
        <f>IFERROR(__xludf.DUMMYFUNCTION("""COMPUTED_VALUE"""),22.0)</f>
        <v>22</v>
      </c>
      <c r="H16951" s="4"/>
      <c r="I16951" s="4"/>
    </row>
    <row r="16952">
      <c r="A16952" s="4" t="str">
        <f>IFERROR(__xludf.DUMMYFUNCTION("""COMPUTED_VALUE"""),"cas_hmw")</f>
        <v>cas_hmw</v>
      </c>
      <c r="B16952" s="5">
        <f>IFERROR(__xludf.DUMMYFUNCTION("""COMPUTED_VALUE"""),44737.0)</f>
        <v>44737</v>
      </c>
      <c r="C16952" s="6">
        <f>IFERROR(__xludf.DUMMYFUNCTION("""COMPUTED_VALUE"""),0.7314004629624833)</f>
        <v>0.731400463</v>
      </c>
      <c r="D16952" s="4">
        <f>IFERROR(__xludf.DUMMYFUNCTION("""COMPUTED_VALUE"""),13.048643)</f>
        <v>13.048643</v>
      </c>
      <c r="E16952" s="4">
        <f>IFERROR(__xludf.DUMMYFUNCTION("""COMPUTED_VALUE"""),80.265356)</f>
        <v>80.265356</v>
      </c>
      <c r="F16952" s="4">
        <f>IFERROR(__xludf.DUMMYFUNCTION("""COMPUTED_VALUE"""),805.0)</f>
        <v>805</v>
      </c>
      <c r="G16952" s="4">
        <f>IFERROR(__xludf.DUMMYFUNCTION("""COMPUTED_VALUE"""),22.0)</f>
        <v>22</v>
      </c>
      <c r="H16952" s="4"/>
      <c r="I16952" s="4"/>
    </row>
    <row r="16953">
      <c r="A16953" s="4" t="str">
        <f>IFERROR(__xludf.DUMMYFUNCTION("""COMPUTED_VALUE"""),"cas_hmw")</f>
        <v>cas_hmw</v>
      </c>
      <c r="B16953" s="5">
        <f>IFERROR(__xludf.DUMMYFUNCTION("""COMPUTED_VALUE"""),44737.0)</f>
        <v>44737</v>
      </c>
      <c r="C16953" s="6">
        <f>IFERROR(__xludf.DUMMYFUNCTION("""COMPUTED_VALUE"""),0.7315740740741603)</f>
        <v>0.7315740741</v>
      </c>
      <c r="D16953" s="4">
        <f>IFERROR(__xludf.DUMMYFUNCTION("""COMPUTED_VALUE"""),13.06781)</f>
        <v>13.06781</v>
      </c>
      <c r="E16953" s="4">
        <f>IFERROR(__xludf.DUMMYFUNCTION("""COMPUTED_VALUE"""),80.248436)</f>
        <v>80.248436</v>
      </c>
      <c r="F16953" s="4">
        <f>IFERROR(__xludf.DUMMYFUNCTION("""COMPUTED_VALUE"""),5339.0)</f>
        <v>5339</v>
      </c>
      <c r="G16953" s="4">
        <f>IFERROR(__xludf.DUMMYFUNCTION("""COMPUTED_VALUE"""),31.0)</f>
        <v>31</v>
      </c>
      <c r="H16953" s="4"/>
      <c r="I16953" s="4"/>
    </row>
    <row r="16954">
      <c r="A16954" s="4" t="str">
        <f>IFERROR(__xludf.DUMMYFUNCTION("""COMPUTED_VALUE"""),"cas_hmw")</f>
        <v>cas_hmw</v>
      </c>
      <c r="B16954" s="5">
        <f>IFERROR(__xludf.DUMMYFUNCTION("""COMPUTED_VALUE"""),44737.0)</f>
        <v>44737</v>
      </c>
      <c r="C16954" s="6">
        <f>IFERROR(__xludf.DUMMYFUNCTION("""COMPUTED_VALUE"""),0.7317476851858373)</f>
        <v>0.7317476852</v>
      </c>
      <c r="D16954" s="4">
        <f>IFERROR(__xludf.DUMMYFUNCTION("""COMPUTED_VALUE"""),13.06696)</f>
        <v>13.06696</v>
      </c>
      <c r="E16954" s="4">
        <f>IFERROR(__xludf.DUMMYFUNCTION("""COMPUTED_VALUE"""),80.247866)</f>
        <v>80.247866</v>
      </c>
      <c r="F16954" s="4">
        <f>IFERROR(__xludf.DUMMYFUNCTION("""COMPUTED_VALUE"""),5339.0)</f>
        <v>5339</v>
      </c>
      <c r="G16954" s="4">
        <f>IFERROR(__xludf.DUMMYFUNCTION("""COMPUTED_VALUE"""),32.0)</f>
        <v>32</v>
      </c>
      <c r="H16954" s="4"/>
      <c r="I16954" s="4"/>
    </row>
    <row r="16955">
      <c r="A16955" s="4" t="str">
        <f>IFERROR(__xludf.DUMMYFUNCTION("""COMPUTED_VALUE"""),"cas_hmw")</f>
        <v>cas_hmw</v>
      </c>
      <c r="B16955" s="5">
        <f>IFERROR(__xludf.DUMMYFUNCTION("""COMPUTED_VALUE"""),44737.0)</f>
        <v>44737</v>
      </c>
      <c r="C16955" s="6">
        <f>IFERROR(__xludf.DUMMYFUNCTION("""COMPUTED_VALUE"""),0.7336574074070086)</f>
        <v>0.7336574074</v>
      </c>
      <c r="D16955" s="4">
        <f>IFERROR(__xludf.DUMMYFUNCTION("""COMPUTED_VALUE"""),13.061594)</f>
        <v>13.061594</v>
      </c>
      <c r="E16955" s="4">
        <f>IFERROR(__xludf.DUMMYFUNCTION("""COMPUTED_VALUE"""),80.246748)</f>
        <v>80.246748</v>
      </c>
      <c r="F16955" s="4">
        <f>IFERROR(__xludf.DUMMYFUNCTION("""COMPUTED_VALUE"""),5339.0)</f>
        <v>5339</v>
      </c>
      <c r="G16955" s="4">
        <f>IFERROR(__xludf.DUMMYFUNCTION("""COMPUTED_VALUE"""),20.0)</f>
        <v>20</v>
      </c>
      <c r="H16955" s="4"/>
      <c r="I16955" s="4"/>
    </row>
    <row r="16956">
      <c r="A16956" s="4" t="str">
        <f>IFERROR(__xludf.DUMMYFUNCTION("""COMPUTED_VALUE"""),"cas_hmw")</f>
        <v>cas_hmw</v>
      </c>
      <c r="B16956" s="5">
        <f>IFERROR(__xludf.DUMMYFUNCTION("""COMPUTED_VALUE"""),44737.0)</f>
        <v>44737</v>
      </c>
      <c r="C16956" s="6">
        <f>IFERROR(__xludf.DUMMYFUNCTION("""COMPUTED_VALUE"""),0.7393865740741603)</f>
        <v>0.7393865741</v>
      </c>
      <c r="D16956" s="4">
        <f>IFERROR(__xludf.DUMMYFUNCTION("""COMPUTED_VALUE"""),13.067617)</f>
        <v>13.067617</v>
      </c>
      <c r="E16956" s="4">
        <f>IFERROR(__xludf.DUMMYFUNCTION("""COMPUTED_VALUE"""),80.253457)</f>
        <v>80.253457</v>
      </c>
      <c r="F16956" s="4">
        <f>IFERROR(__xludf.DUMMYFUNCTION("""COMPUTED_VALUE"""),5339.0)</f>
        <v>5339</v>
      </c>
      <c r="G16956" s="4">
        <f>IFERROR(__xludf.DUMMYFUNCTION("""COMPUTED_VALUE"""),32.0)</f>
        <v>32</v>
      </c>
      <c r="H16956" s="4"/>
      <c r="I16956" s="4"/>
    </row>
    <row r="16957">
      <c r="A16957" s="4" t="str">
        <f>IFERROR(__xludf.DUMMYFUNCTION("""COMPUTED_VALUE"""),"cas_hmw")</f>
        <v>cas_hmw</v>
      </c>
      <c r="B16957" s="5">
        <f>IFERROR(__xludf.DUMMYFUNCTION("""COMPUTED_VALUE"""),44737.0)</f>
        <v>44737</v>
      </c>
      <c r="C16957" s="6">
        <f>IFERROR(__xludf.DUMMYFUNCTION("""COMPUTED_VALUE"""),0.7405439814829151)</f>
        <v>0.7405439815</v>
      </c>
      <c r="D16957" s="4">
        <f>IFERROR(__xludf.DUMMYFUNCTION("""COMPUTED_VALUE"""),13.069723)</f>
        <v>13.069723</v>
      </c>
      <c r="E16957" s="4">
        <f>IFERROR(__xludf.DUMMYFUNCTION("""COMPUTED_VALUE"""),80.257074)</f>
        <v>80.257074</v>
      </c>
      <c r="F16957" s="4">
        <f>IFERROR(__xludf.DUMMYFUNCTION("""COMPUTED_VALUE"""),5339.0)</f>
        <v>5339</v>
      </c>
      <c r="G16957" s="4">
        <f>IFERROR(__xludf.DUMMYFUNCTION("""COMPUTED_VALUE"""),29.0)</f>
        <v>29</v>
      </c>
      <c r="H16957" s="4"/>
      <c r="I16957" s="4"/>
    </row>
    <row r="16958">
      <c r="A16958" s="4" t="str">
        <f>IFERROR(__xludf.DUMMYFUNCTION("""COMPUTED_VALUE"""),"cas_hmw")</f>
        <v>cas_hmw</v>
      </c>
      <c r="B16958" s="5">
        <f>IFERROR(__xludf.DUMMYFUNCTION("""COMPUTED_VALUE"""),44737.0)</f>
        <v>44737</v>
      </c>
      <c r="C16958" s="6">
        <f>IFERROR(__xludf.DUMMYFUNCTION("""COMPUTED_VALUE"""),0.7417013888880319)</f>
        <v>0.7417013889</v>
      </c>
      <c r="D16958" s="4">
        <f>IFERROR(__xludf.DUMMYFUNCTION("""COMPUTED_VALUE"""),13.07133)</f>
        <v>13.07133</v>
      </c>
      <c r="E16958" s="4">
        <f>IFERROR(__xludf.DUMMYFUNCTION("""COMPUTED_VALUE"""),80.258878)</f>
        <v>80.258878</v>
      </c>
      <c r="F16958" s="4">
        <f>IFERROR(__xludf.DUMMYFUNCTION("""COMPUTED_VALUE"""),805.0)</f>
        <v>805</v>
      </c>
      <c r="G16958" s="4">
        <f>IFERROR(__xludf.DUMMYFUNCTION("""COMPUTED_VALUE"""),17.0)</f>
        <v>17</v>
      </c>
      <c r="H16958" s="4"/>
      <c r="I16958" s="4"/>
    </row>
    <row r="16959">
      <c r="A16959" s="4" t="str">
        <f>IFERROR(__xludf.DUMMYFUNCTION("""COMPUTED_VALUE"""),"cas_hmw")</f>
        <v>cas_hmw</v>
      </c>
      <c r="B16959" s="5">
        <f>IFERROR(__xludf.DUMMYFUNCTION("""COMPUTED_VALUE"""),44737.0)</f>
        <v>44737</v>
      </c>
      <c r="C16959" s="6">
        <f>IFERROR(__xludf.DUMMYFUNCTION("""COMPUTED_VALUE"""),0.7419328703690553)</f>
        <v>0.7419328704</v>
      </c>
      <c r="D16959" s="4">
        <f>IFERROR(__xludf.DUMMYFUNCTION("""COMPUTED_VALUE"""),13.073903)</f>
        <v>13.073903</v>
      </c>
      <c r="E16959" s="4">
        <f>IFERROR(__xludf.DUMMYFUNCTION("""COMPUTED_VALUE"""),80.261766)</f>
        <v>80.261766</v>
      </c>
      <c r="F16959" s="4">
        <f>IFERROR(__xludf.DUMMYFUNCTION("""COMPUTED_VALUE"""),5339.0)</f>
        <v>5339</v>
      </c>
      <c r="G16959" s="4">
        <f>IFERROR(__xludf.DUMMYFUNCTION("""COMPUTED_VALUE"""),21.0)</f>
        <v>21</v>
      </c>
      <c r="H16959" s="4"/>
      <c r="I16959" s="4"/>
    </row>
    <row r="16960">
      <c r="A16960" s="4" t="str">
        <f>IFERROR(__xludf.DUMMYFUNCTION("""COMPUTED_VALUE"""),"cas_hmw")</f>
        <v>cas_hmw</v>
      </c>
      <c r="B16960" s="5">
        <f>IFERROR(__xludf.DUMMYFUNCTION("""COMPUTED_VALUE"""),44737.0)</f>
        <v>44737</v>
      </c>
      <c r="C16960" s="6">
        <f>IFERROR(__xludf.DUMMYFUNCTION("""COMPUTED_VALUE"""),0.7419328703690553)</f>
        <v>0.7419328704</v>
      </c>
      <c r="D16960" s="4">
        <f>IFERROR(__xludf.DUMMYFUNCTION("""COMPUTED_VALUE"""),13.073903)</f>
        <v>13.073903</v>
      </c>
      <c r="E16960" s="4">
        <f>IFERROR(__xludf.DUMMYFUNCTION("""COMPUTED_VALUE"""),80.261766)</f>
        <v>80.261766</v>
      </c>
      <c r="F16960" s="4">
        <f>IFERROR(__xludf.DUMMYFUNCTION("""COMPUTED_VALUE"""),5339.0)</f>
        <v>5339</v>
      </c>
      <c r="G16960" s="4">
        <f>IFERROR(__xludf.DUMMYFUNCTION("""COMPUTED_VALUE"""),21.0)</f>
        <v>21</v>
      </c>
      <c r="H16960" s="4"/>
      <c r="I16960" s="4"/>
    </row>
    <row r="16961">
      <c r="A16961" s="4" t="str">
        <f>IFERROR(__xludf.DUMMYFUNCTION("""COMPUTED_VALUE"""),"cas_hmw")</f>
        <v>cas_hmw</v>
      </c>
      <c r="B16961" s="5">
        <f>IFERROR(__xludf.DUMMYFUNCTION("""COMPUTED_VALUE"""),44737.0)</f>
        <v>44737</v>
      </c>
      <c r="C16961" s="6">
        <f>IFERROR(__xludf.DUMMYFUNCTION("""COMPUTED_VALUE"""),0.7426620370388264)</f>
        <v>0.742662037</v>
      </c>
      <c r="D16961" s="4">
        <f>IFERROR(__xludf.DUMMYFUNCTION("""COMPUTED_VALUE"""),13.075973)</f>
        <v>13.075973</v>
      </c>
      <c r="E16961" s="4">
        <f>IFERROR(__xludf.DUMMYFUNCTION("""COMPUTED_VALUE"""),80.264652)</f>
        <v>80.264652</v>
      </c>
      <c r="F16961" s="4">
        <f>IFERROR(__xludf.DUMMYFUNCTION("""COMPUTED_VALUE"""),5339.0)</f>
        <v>5339</v>
      </c>
      <c r="G16961" s="4">
        <f>IFERROR(__xludf.DUMMYFUNCTION("""COMPUTED_VALUE"""),36.0)</f>
        <v>36</v>
      </c>
      <c r="H16961" s="4"/>
      <c r="I16961" s="4"/>
    </row>
    <row r="16962">
      <c r="A16962" s="4" t="str">
        <f>IFERROR(__xludf.DUMMYFUNCTION("""COMPUTED_VALUE"""),"cas_hmw")</f>
        <v>cas_hmw</v>
      </c>
      <c r="B16962" s="5">
        <f>IFERROR(__xludf.DUMMYFUNCTION("""COMPUTED_VALUE"""),44737.0)</f>
        <v>44737</v>
      </c>
      <c r="C16962" s="6">
        <f>IFERROR(__xludf.DUMMYFUNCTION("""COMPUTED_VALUE"""),0.7439583333325572)</f>
        <v>0.7439583333</v>
      </c>
      <c r="D16962" s="4">
        <f>IFERROR(__xludf.DUMMYFUNCTION("""COMPUTED_VALUE"""),13.080579)</f>
        <v>13.080579</v>
      </c>
      <c r="E16962" s="4">
        <f>IFERROR(__xludf.DUMMYFUNCTION("""COMPUTED_VALUE"""),80.265064)</f>
        <v>80.265064</v>
      </c>
      <c r="F16962" s="4">
        <f>IFERROR(__xludf.DUMMYFUNCTION("""COMPUTED_VALUE"""),5339.0)</f>
        <v>5339</v>
      </c>
      <c r="G16962" s="4">
        <f>IFERROR(__xludf.DUMMYFUNCTION("""COMPUTED_VALUE"""),14.0)</f>
        <v>14</v>
      </c>
      <c r="H16962" s="4"/>
      <c r="I16962" s="4"/>
    </row>
    <row r="16963">
      <c r="A16963" s="4" t="str">
        <f>IFERROR(__xludf.DUMMYFUNCTION("""COMPUTED_VALUE"""),"cas_hmw")</f>
        <v>cas_hmw</v>
      </c>
      <c r="B16963" s="5">
        <f>IFERROR(__xludf.DUMMYFUNCTION("""COMPUTED_VALUE"""),44737.0)</f>
        <v>44737</v>
      </c>
      <c r="C16963" s="6">
        <f>IFERROR(__xludf.DUMMYFUNCTION("""COMPUTED_VALUE"""),0.7439814814824786)</f>
        <v>0.7439814815</v>
      </c>
      <c r="D16963" s="4">
        <f>IFERROR(__xludf.DUMMYFUNCTION("""COMPUTED_VALUE"""),13.080579)</f>
        <v>13.080579</v>
      </c>
      <c r="E16963" s="4">
        <f>IFERROR(__xludf.DUMMYFUNCTION("""COMPUTED_VALUE"""),80.265064)</f>
        <v>80.265064</v>
      </c>
      <c r="F16963" s="4">
        <f>IFERROR(__xludf.DUMMYFUNCTION("""COMPUTED_VALUE"""),5339.0)</f>
        <v>5339</v>
      </c>
      <c r="G16963" s="4">
        <f>IFERROR(__xludf.DUMMYFUNCTION("""COMPUTED_VALUE"""),14.0)</f>
        <v>14</v>
      </c>
      <c r="H16963" s="4"/>
      <c r="I16963" s="4"/>
    </row>
    <row r="16964">
      <c r="A16964" s="4" t="str">
        <f>IFERROR(__xludf.DUMMYFUNCTION("""COMPUTED_VALUE"""),"cas_hmw")</f>
        <v>cas_hmw</v>
      </c>
      <c r="B16964" s="5">
        <f>IFERROR(__xludf.DUMMYFUNCTION("""COMPUTED_VALUE"""),44737.0)</f>
        <v>44737</v>
      </c>
      <c r="C16964" s="6">
        <f>IFERROR(__xludf.DUMMYFUNCTION("""COMPUTED_VALUE"""),0.7439814814824786)</f>
        <v>0.7439814815</v>
      </c>
      <c r="D16964" s="4">
        <f>IFERROR(__xludf.DUMMYFUNCTION("""COMPUTED_VALUE"""),13.080579)</f>
        <v>13.080579</v>
      </c>
      <c r="E16964" s="4">
        <f>IFERROR(__xludf.DUMMYFUNCTION("""COMPUTED_VALUE"""),80.265064)</f>
        <v>80.265064</v>
      </c>
      <c r="F16964" s="4">
        <f>IFERROR(__xludf.DUMMYFUNCTION("""COMPUTED_VALUE"""),5339.0)</f>
        <v>5339</v>
      </c>
      <c r="G16964" s="4">
        <f>IFERROR(__xludf.DUMMYFUNCTION("""COMPUTED_VALUE"""),14.0)</f>
        <v>14</v>
      </c>
      <c r="H16964" s="4"/>
      <c r="I16964" s="4"/>
    </row>
    <row r="16965">
      <c r="A16965" s="4" t="str">
        <f>IFERROR(__xludf.DUMMYFUNCTION("""COMPUTED_VALUE"""),"cas_hmw")</f>
        <v>cas_hmw</v>
      </c>
      <c r="B16965" s="5">
        <f>IFERROR(__xludf.DUMMYFUNCTION("""COMPUTED_VALUE"""),44737.0)</f>
        <v>44737</v>
      </c>
      <c r="C16965" s="6">
        <f>IFERROR(__xludf.DUMMYFUNCTION("""COMPUTED_VALUE"""),0.7440162037019036)</f>
        <v>0.7440162037</v>
      </c>
      <c r="D16965" s="4">
        <f>IFERROR(__xludf.DUMMYFUNCTION("""COMPUTED_VALUE"""),13.08077)</f>
        <v>13.08077</v>
      </c>
      <c r="E16965" s="4">
        <f>IFERROR(__xludf.DUMMYFUNCTION("""COMPUTED_VALUE"""),80.265677)</f>
        <v>80.265677</v>
      </c>
      <c r="F16965" s="4">
        <f>IFERROR(__xludf.DUMMYFUNCTION("""COMPUTED_VALUE"""),5339.0)</f>
        <v>5339</v>
      </c>
      <c r="G16965" s="4">
        <f>IFERROR(__xludf.DUMMYFUNCTION("""COMPUTED_VALUE"""),27.0)</f>
        <v>27</v>
      </c>
      <c r="H16965" s="4"/>
      <c r="I16965" s="4"/>
    </row>
    <row r="16966">
      <c r="A16966" s="4" t="str">
        <f>IFERROR(__xludf.DUMMYFUNCTION("""COMPUTED_VALUE"""),"cas_hmw")</f>
        <v>cas_hmw</v>
      </c>
      <c r="B16966" s="5">
        <f>IFERROR(__xludf.DUMMYFUNCTION("""COMPUTED_VALUE"""),44737.0)</f>
        <v>44737</v>
      </c>
      <c r="C16966" s="6">
        <f>IFERROR(__xludf.DUMMYFUNCTION("""COMPUTED_VALUE"""),0.7440162037019036)</f>
        <v>0.7440162037</v>
      </c>
      <c r="D16966" s="4">
        <f>IFERROR(__xludf.DUMMYFUNCTION("""COMPUTED_VALUE"""),13.08077)</f>
        <v>13.08077</v>
      </c>
      <c r="E16966" s="4">
        <f>IFERROR(__xludf.DUMMYFUNCTION("""COMPUTED_VALUE"""),80.265677)</f>
        <v>80.265677</v>
      </c>
      <c r="F16966" s="4">
        <f>IFERROR(__xludf.DUMMYFUNCTION("""COMPUTED_VALUE"""),5339.0)</f>
        <v>5339</v>
      </c>
      <c r="G16966" s="4">
        <f>IFERROR(__xludf.DUMMYFUNCTION("""COMPUTED_VALUE"""),27.0)</f>
        <v>27</v>
      </c>
      <c r="H16966" s="4"/>
      <c r="I16966" s="4"/>
    </row>
    <row r="16967">
      <c r="A16967" s="4" t="str">
        <f>IFERROR(__xludf.DUMMYFUNCTION("""COMPUTED_VALUE"""),"cas_hmw")</f>
        <v>cas_hmw</v>
      </c>
      <c r="B16967" s="5">
        <f>IFERROR(__xludf.DUMMYFUNCTION("""COMPUTED_VALUE"""),44737.0)</f>
        <v>44737</v>
      </c>
      <c r="C16967" s="6">
        <f>IFERROR(__xludf.DUMMYFUNCTION("""COMPUTED_VALUE"""),0.7446527777792653)</f>
        <v>0.7446527778</v>
      </c>
      <c r="D16967" s="4">
        <f>IFERROR(__xludf.DUMMYFUNCTION("""COMPUTED_VALUE"""),13.067643)</f>
        <v>13.067643</v>
      </c>
      <c r="E16967" s="4">
        <f>IFERROR(__xludf.DUMMYFUNCTION("""COMPUTED_VALUE"""),80.249418)</f>
        <v>80.249418</v>
      </c>
      <c r="F16967" s="4">
        <f>IFERROR(__xludf.DUMMYFUNCTION("""COMPUTED_VALUE"""),805.0)</f>
        <v>805</v>
      </c>
      <c r="G16967" s="4">
        <f>IFERROR(__xludf.DUMMYFUNCTION("""COMPUTED_VALUE"""),2.0)</f>
        <v>2</v>
      </c>
      <c r="H16967" s="4"/>
      <c r="I16967" s="4"/>
    </row>
    <row r="16968">
      <c r="A16968" s="4" t="str">
        <f>IFERROR(__xludf.DUMMYFUNCTION("""COMPUTED_VALUE"""),"cas_hmw")</f>
        <v>cas_hmw</v>
      </c>
      <c r="B16968" s="5">
        <f>IFERROR(__xludf.DUMMYFUNCTION("""COMPUTED_VALUE"""),44737.0)</f>
        <v>44737</v>
      </c>
      <c r="C16968" s="6">
        <f>IFERROR(__xludf.DUMMYFUNCTION("""COMPUTED_VALUE"""),0.7470601851855463)</f>
        <v>0.7470601852</v>
      </c>
      <c r="D16968" s="4">
        <f>IFERROR(__xludf.DUMMYFUNCTION("""COMPUTED_VALUE"""),13.081608)</f>
        <v>13.081608</v>
      </c>
      <c r="E16968" s="4">
        <f>IFERROR(__xludf.DUMMYFUNCTION("""COMPUTED_VALUE"""),80.274055)</f>
        <v>80.274055</v>
      </c>
      <c r="F16968" s="4">
        <f>IFERROR(__xludf.DUMMYFUNCTION("""COMPUTED_VALUE"""),5339.0)</f>
        <v>5339</v>
      </c>
      <c r="G16968" s="4">
        <f>IFERROR(__xludf.DUMMYFUNCTION("""COMPUTED_VALUE"""),47.0)</f>
        <v>47</v>
      </c>
      <c r="H16968" s="4"/>
      <c r="I16968" s="4"/>
    </row>
    <row r="16969">
      <c r="A16969" s="4" t="str">
        <f>IFERROR(__xludf.DUMMYFUNCTION("""COMPUTED_VALUE"""),"cas_hmw")</f>
        <v>cas_hmw</v>
      </c>
      <c r="B16969" s="5">
        <f>IFERROR(__xludf.DUMMYFUNCTION("""COMPUTED_VALUE"""),44737.0)</f>
        <v>44737</v>
      </c>
      <c r="C16969" s="6">
        <f>IFERROR(__xludf.DUMMYFUNCTION("""COMPUTED_VALUE"""),0.7479745370364981)</f>
        <v>0.747974537</v>
      </c>
      <c r="D16969" s="4">
        <f>IFERROR(__xludf.DUMMYFUNCTION("""COMPUTED_VALUE"""),13.082198)</f>
        <v>13.082198</v>
      </c>
      <c r="E16969" s="4">
        <f>IFERROR(__xludf.DUMMYFUNCTION("""COMPUTED_VALUE"""),80.279363)</f>
        <v>80.279363</v>
      </c>
      <c r="F16969" s="4">
        <f>IFERROR(__xludf.DUMMYFUNCTION("""COMPUTED_VALUE"""),5339.0)</f>
        <v>5339</v>
      </c>
      <c r="G16969" s="4">
        <f>IFERROR(__xludf.DUMMYFUNCTION("""COMPUTED_VALUE"""),34.0)</f>
        <v>34</v>
      </c>
      <c r="H16969" s="4"/>
      <c r="I16969" s="4"/>
    </row>
    <row r="16970">
      <c r="A16970" s="4" t="str">
        <f>IFERROR(__xludf.DUMMYFUNCTION("""COMPUTED_VALUE"""),"cas_hmw")</f>
        <v>cas_hmw</v>
      </c>
      <c r="B16970" s="5">
        <f>IFERROR(__xludf.DUMMYFUNCTION("""COMPUTED_VALUE"""),44737.0)</f>
        <v>44737</v>
      </c>
      <c r="C16970" s="6">
        <f>IFERROR(__xludf.DUMMYFUNCTION("""COMPUTED_VALUE"""),0.7486226851870015)</f>
        <v>0.7486226852</v>
      </c>
      <c r="D16970" s="4">
        <f>IFERROR(__xludf.DUMMYFUNCTION("""COMPUTED_VALUE"""),13.082804)</f>
        <v>13.082804</v>
      </c>
      <c r="E16970" s="4">
        <f>IFERROR(__xludf.DUMMYFUNCTION("""COMPUTED_VALUE"""),80.28199)</f>
        <v>80.28199</v>
      </c>
      <c r="F16970" s="4">
        <f>IFERROR(__xludf.DUMMYFUNCTION("""COMPUTED_VALUE"""),5339.0)</f>
        <v>5339</v>
      </c>
      <c r="G16970" s="4">
        <f>IFERROR(__xludf.DUMMYFUNCTION("""COMPUTED_VALUE"""),34.0)</f>
        <v>34</v>
      </c>
      <c r="H16970" s="4"/>
      <c r="I16970" s="4"/>
    </row>
    <row r="16971">
      <c r="A16971" s="4" t="str">
        <f>IFERROR(__xludf.DUMMYFUNCTION("""COMPUTED_VALUE"""),"cas_hmw")</f>
        <v>cas_hmw</v>
      </c>
      <c r="B16971" s="5">
        <f>IFERROR(__xludf.DUMMYFUNCTION("""COMPUTED_VALUE"""),44737.0)</f>
        <v>44737</v>
      </c>
      <c r="C16971" s="6">
        <f>IFERROR(__xludf.DUMMYFUNCTION("""COMPUTED_VALUE"""),0.7490162037029222)</f>
        <v>0.7490162037</v>
      </c>
      <c r="D16971" s="4">
        <f>IFERROR(__xludf.DUMMYFUNCTION("""COMPUTED_VALUE"""),13.08503)</f>
        <v>13.08503</v>
      </c>
      <c r="E16971" s="4">
        <f>IFERROR(__xludf.DUMMYFUNCTION("""COMPUTED_VALUE"""),80.283673)</f>
        <v>80.283673</v>
      </c>
      <c r="F16971" s="4">
        <f>IFERROR(__xludf.DUMMYFUNCTION("""COMPUTED_VALUE"""),5339.0)</f>
        <v>5339</v>
      </c>
      <c r="G16971" s="4">
        <f>IFERROR(__xludf.DUMMYFUNCTION("""COMPUTED_VALUE"""),29.0)</f>
        <v>29</v>
      </c>
      <c r="H16971" s="4"/>
      <c r="I16971" s="4"/>
    </row>
    <row r="16972">
      <c r="A16972" s="4" t="str">
        <f>IFERROR(__xludf.DUMMYFUNCTION("""COMPUTED_VALUE"""),"cas_hmw")</f>
        <v>cas_hmw</v>
      </c>
      <c r="B16972" s="5">
        <f>IFERROR(__xludf.DUMMYFUNCTION("""COMPUTED_VALUE"""),44737.0)</f>
        <v>44737</v>
      </c>
      <c r="C16972" s="6">
        <f>IFERROR(__xludf.DUMMYFUNCTION("""COMPUTED_VALUE"""),0.7497800925921183)</f>
        <v>0.7497800926</v>
      </c>
      <c r="D16972" s="4">
        <f>IFERROR(__xludf.DUMMYFUNCTION("""COMPUTED_VALUE"""),13.085976)</f>
        <v>13.085976</v>
      </c>
      <c r="E16972" s="4">
        <f>IFERROR(__xludf.DUMMYFUNCTION("""COMPUTED_VALUE"""),80.289121)</f>
        <v>80.289121</v>
      </c>
      <c r="F16972" s="4">
        <f>IFERROR(__xludf.DUMMYFUNCTION("""COMPUTED_VALUE"""),5339.0)</f>
        <v>5339</v>
      </c>
      <c r="G16972" s="4">
        <f>IFERROR(__xludf.DUMMYFUNCTION("""COMPUTED_VALUE"""),30.0)</f>
        <v>30</v>
      </c>
      <c r="H16972" s="4"/>
      <c r="I16972" s="4"/>
    </row>
    <row r="16973">
      <c r="A16973" s="4" t="str">
        <f>IFERROR(__xludf.DUMMYFUNCTION("""COMPUTED_VALUE"""),"cas_hmw")</f>
        <v>cas_hmw</v>
      </c>
      <c r="B16973" s="5">
        <f>IFERROR(__xludf.DUMMYFUNCTION("""COMPUTED_VALUE"""),44737.0)</f>
        <v>44737</v>
      </c>
      <c r="C16973" s="6">
        <f>IFERROR(__xludf.DUMMYFUNCTION("""COMPUTED_VALUE"""),0.7519791666672972)</f>
        <v>0.7519791667</v>
      </c>
      <c r="D16973" s="4">
        <f>IFERROR(__xludf.DUMMYFUNCTION("""COMPUTED_VALUE"""),13.094368)</f>
        <v>13.094368</v>
      </c>
      <c r="E16973" s="4">
        <f>IFERROR(__xludf.DUMMYFUNCTION("""COMPUTED_VALUE"""),80.292217)</f>
        <v>80.292217</v>
      </c>
      <c r="F16973" s="4">
        <f>IFERROR(__xludf.DUMMYFUNCTION("""COMPUTED_VALUE"""),5339.0)</f>
        <v>5339</v>
      </c>
      <c r="G16973" s="4">
        <f>IFERROR(__xludf.DUMMYFUNCTION("""COMPUTED_VALUE"""),33.0)</f>
        <v>33</v>
      </c>
      <c r="H16973" s="4"/>
      <c r="I16973" s="4"/>
    </row>
    <row r="16974">
      <c r="A16974" s="4" t="str">
        <f>IFERROR(__xludf.DUMMYFUNCTION("""COMPUTED_VALUE"""),"cas_hmw")</f>
        <v>cas_hmw</v>
      </c>
      <c r="B16974" s="5">
        <f>IFERROR(__xludf.DUMMYFUNCTION("""COMPUTED_VALUE"""),44737.0)</f>
        <v>44737</v>
      </c>
      <c r="C16974" s="6">
        <f>IFERROR(__xludf.DUMMYFUNCTION("""COMPUTED_VALUE"""),0.7519791666672972)</f>
        <v>0.7519791667</v>
      </c>
      <c r="D16974" s="4">
        <f>IFERROR(__xludf.DUMMYFUNCTION("""COMPUTED_VALUE"""),13.094368)</f>
        <v>13.094368</v>
      </c>
      <c r="E16974" s="4">
        <f>IFERROR(__xludf.DUMMYFUNCTION("""COMPUTED_VALUE"""),80.292217)</f>
        <v>80.292217</v>
      </c>
      <c r="F16974" s="4">
        <f>IFERROR(__xludf.DUMMYFUNCTION("""COMPUTED_VALUE"""),5339.0)</f>
        <v>5339</v>
      </c>
      <c r="G16974" s="4">
        <f>IFERROR(__xludf.DUMMYFUNCTION("""COMPUTED_VALUE"""),33.0)</f>
        <v>33</v>
      </c>
      <c r="H16974" s="4"/>
      <c r="I16974" s="4"/>
    </row>
    <row r="16975">
      <c r="A16975" s="4" t="str">
        <f>IFERROR(__xludf.DUMMYFUNCTION("""COMPUTED_VALUE"""),"cas_hmw")</f>
        <v>cas_hmw</v>
      </c>
      <c r="B16975" s="5">
        <f>IFERROR(__xludf.DUMMYFUNCTION("""COMPUTED_VALUE"""),44737.0)</f>
        <v>44737</v>
      </c>
      <c r="C16975" s="6">
        <f>IFERROR(__xludf.DUMMYFUNCTION("""COMPUTED_VALUE"""),0.7520023148135806)</f>
        <v>0.7520023148</v>
      </c>
      <c r="D16975" s="4">
        <f>IFERROR(__xludf.DUMMYFUNCTION("""COMPUTED_VALUE"""),13.094368)</f>
        <v>13.094368</v>
      </c>
      <c r="E16975" s="4">
        <f>IFERROR(__xludf.DUMMYFUNCTION("""COMPUTED_VALUE"""),80.292217)</f>
        <v>80.292217</v>
      </c>
      <c r="F16975" s="4">
        <f>IFERROR(__xludf.DUMMYFUNCTION("""COMPUTED_VALUE"""),5339.0)</f>
        <v>5339</v>
      </c>
      <c r="G16975" s="4">
        <f>IFERROR(__xludf.DUMMYFUNCTION("""COMPUTED_VALUE"""),33.0)</f>
        <v>33</v>
      </c>
      <c r="H16975" s="4"/>
      <c r="I16975" s="4"/>
    </row>
    <row r="16976">
      <c r="A16976" s="4" t="str">
        <f>IFERROR(__xludf.DUMMYFUNCTION("""COMPUTED_VALUE"""),"cas_hmw")</f>
        <v>cas_hmw</v>
      </c>
      <c r="B16976" s="5">
        <f>IFERROR(__xludf.DUMMYFUNCTION("""COMPUTED_VALUE"""),44737.0)</f>
        <v>44737</v>
      </c>
      <c r="C16976" s="6">
        <f>IFERROR(__xludf.DUMMYFUNCTION("""COMPUTED_VALUE"""),0.7521643518521159)</f>
        <v>0.7521643519</v>
      </c>
      <c r="D16976" s="4">
        <f>IFERROR(__xludf.DUMMYFUNCTION("""COMPUTED_VALUE"""),13.095216)</f>
        <v>13.095216</v>
      </c>
      <c r="E16976" s="4">
        <f>IFERROR(__xludf.DUMMYFUNCTION("""COMPUTED_VALUE"""),80.29249)</f>
        <v>80.29249</v>
      </c>
      <c r="F16976" s="4">
        <f>IFERROR(__xludf.DUMMYFUNCTION("""COMPUTED_VALUE"""),5339.0)</f>
        <v>5339</v>
      </c>
      <c r="G16976" s="4">
        <f>IFERROR(__xludf.DUMMYFUNCTION("""COMPUTED_VALUE"""),21.0)</f>
        <v>21</v>
      </c>
      <c r="H16976" s="4"/>
      <c r="I16976" s="4"/>
    </row>
    <row r="16977">
      <c r="A16977" s="4" t="str">
        <f>IFERROR(__xludf.DUMMYFUNCTION("""COMPUTED_VALUE"""),"cas_hmw")</f>
        <v>cas_hmw</v>
      </c>
      <c r="B16977" s="5">
        <f>IFERROR(__xludf.DUMMYFUNCTION("""COMPUTED_VALUE"""),44737.0)</f>
        <v>44737</v>
      </c>
      <c r="C16977" s="6">
        <f>IFERROR(__xludf.DUMMYFUNCTION("""COMPUTED_VALUE"""),0.7521643518521159)</f>
        <v>0.7521643519</v>
      </c>
      <c r="D16977" s="4">
        <f>IFERROR(__xludf.DUMMYFUNCTION("""COMPUTED_VALUE"""),13.095216)</f>
        <v>13.095216</v>
      </c>
      <c r="E16977" s="4">
        <f>IFERROR(__xludf.DUMMYFUNCTION("""COMPUTED_VALUE"""),80.29249)</f>
        <v>80.29249</v>
      </c>
      <c r="F16977" s="4">
        <f>IFERROR(__xludf.DUMMYFUNCTION("""COMPUTED_VALUE"""),5339.0)</f>
        <v>5339</v>
      </c>
      <c r="G16977" s="4">
        <f>IFERROR(__xludf.DUMMYFUNCTION("""COMPUTED_VALUE"""),21.0)</f>
        <v>21</v>
      </c>
      <c r="H16977" s="4"/>
      <c r="I16977" s="4"/>
    </row>
    <row r="16978">
      <c r="A16978" s="4" t="str">
        <f>IFERROR(__xludf.DUMMYFUNCTION("""COMPUTED_VALUE"""),"cas_hmw")</f>
        <v>cas_hmw</v>
      </c>
      <c r="B16978" s="5">
        <f>IFERROR(__xludf.DUMMYFUNCTION("""COMPUTED_VALUE"""),44737.0)</f>
        <v>44737</v>
      </c>
      <c r="C16978" s="6">
        <f>IFERROR(__xludf.DUMMYFUNCTION("""COMPUTED_VALUE"""),0.7528819444451074)</f>
        <v>0.7528819444</v>
      </c>
      <c r="D16978" s="4">
        <f>IFERROR(__xludf.DUMMYFUNCTION("""COMPUTED_VALUE"""),13.100265)</f>
        <v>13.100265</v>
      </c>
      <c r="E16978" s="4">
        <f>IFERROR(__xludf.DUMMYFUNCTION("""COMPUTED_VALUE"""),80.294114)</f>
        <v>80.294114</v>
      </c>
      <c r="F16978" s="4">
        <f>IFERROR(__xludf.DUMMYFUNCTION("""COMPUTED_VALUE"""),5339.0)</f>
        <v>5339</v>
      </c>
      <c r="G16978" s="4">
        <f>IFERROR(__xludf.DUMMYFUNCTION("""COMPUTED_VALUE"""),35.0)</f>
        <v>35</v>
      </c>
      <c r="H16978" s="4"/>
      <c r="I16978" s="4"/>
    </row>
    <row r="16979">
      <c r="A16979" s="4" t="str">
        <f>IFERROR(__xludf.DUMMYFUNCTION("""COMPUTED_VALUE"""),"cas_hmw")</f>
        <v>cas_hmw</v>
      </c>
      <c r="B16979" s="5">
        <f>IFERROR(__xludf.DUMMYFUNCTION("""COMPUTED_VALUE"""),44737.0)</f>
        <v>44737</v>
      </c>
      <c r="C16979" s="6">
        <f>IFERROR(__xludf.DUMMYFUNCTION("""COMPUTED_VALUE"""),0.7528819444451074)</f>
        <v>0.7528819444</v>
      </c>
      <c r="D16979" s="4">
        <f>IFERROR(__xludf.DUMMYFUNCTION("""COMPUTED_VALUE"""),13.100265)</f>
        <v>13.100265</v>
      </c>
      <c r="E16979" s="4">
        <f>IFERROR(__xludf.DUMMYFUNCTION("""COMPUTED_VALUE"""),80.294114)</f>
        <v>80.294114</v>
      </c>
      <c r="F16979" s="4">
        <f>IFERROR(__xludf.DUMMYFUNCTION("""COMPUTED_VALUE"""),5339.0)</f>
        <v>5339</v>
      </c>
      <c r="G16979" s="4">
        <f>IFERROR(__xludf.DUMMYFUNCTION("""COMPUTED_VALUE"""),35.0)</f>
        <v>35</v>
      </c>
      <c r="H16979" s="4"/>
      <c r="I16979" s="4"/>
    </row>
    <row r="16980">
      <c r="A16980" s="4" t="str">
        <f>IFERROR(__xludf.DUMMYFUNCTION("""COMPUTED_VALUE"""),"cas_hmw")</f>
        <v>cas_hmw</v>
      </c>
      <c r="B16980" s="5">
        <f>IFERROR(__xludf.DUMMYFUNCTION("""COMPUTED_VALUE"""),44737.0)</f>
        <v>44737</v>
      </c>
      <c r="C16980" s="6">
        <f>IFERROR(__xludf.DUMMYFUNCTION("""COMPUTED_VALUE"""),0.7531481481491937)</f>
        <v>0.7531481481</v>
      </c>
      <c r="D16980" s="4">
        <f>IFERROR(__xludf.DUMMYFUNCTION("""COMPUTED_VALUE"""),13.101458)</f>
        <v>13.101458</v>
      </c>
      <c r="E16980" s="4">
        <f>IFERROR(__xludf.DUMMYFUNCTION("""COMPUTED_VALUE"""),80.294093)</f>
        <v>80.294093</v>
      </c>
      <c r="F16980" s="4">
        <f>IFERROR(__xludf.DUMMYFUNCTION("""COMPUTED_VALUE"""),5339.0)</f>
        <v>5339</v>
      </c>
      <c r="G16980" s="4">
        <f>IFERROR(__xludf.DUMMYFUNCTION("""COMPUTED_VALUE"""),23.0)</f>
        <v>23</v>
      </c>
      <c r="H16980" s="4"/>
      <c r="I16980" s="4"/>
    </row>
    <row r="16981">
      <c r="A16981" s="4" t="str">
        <f>IFERROR(__xludf.DUMMYFUNCTION("""COMPUTED_VALUE"""),"cas_hmw")</f>
        <v>cas_hmw</v>
      </c>
      <c r="B16981" s="5">
        <f>IFERROR(__xludf.DUMMYFUNCTION("""COMPUTED_VALUE"""),44737.0)</f>
        <v>44737</v>
      </c>
      <c r="C16981" s="6">
        <f>IFERROR(__xludf.DUMMYFUNCTION("""COMPUTED_VALUE"""),0.7531828703686188)</f>
        <v>0.7531828704</v>
      </c>
      <c r="D16981" s="4">
        <f>IFERROR(__xludf.DUMMYFUNCTION("""COMPUTED_VALUE"""),13.101458)</f>
        <v>13.101458</v>
      </c>
      <c r="E16981" s="4">
        <f>IFERROR(__xludf.DUMMYFUNCTION("""COMPUTED_VALUE"""),80.294093)</f>
        <v>80.294093</v>
      </c>
      <c r="F16981" s="4">
        <f>IFERROR(__xludf.DUMMYFUNCTION("""COMPUTED_VALUE"""),5339.0)</f>
        <v>5339</v>
      </c>
      <c r="G16981" s="4">
        <f>IFERROR(__xludf.DUMMYFUNCTION("""COMPUTED_VALUE"""),23.0)</f>
        <v>23</v>
      </c>
      <c r="H16981" s="4"/>
      <c r="I16981" s="4"/>
    </row>
    <row r="16982">
      <c r="A16982" s="4" t="str">
        <f>IFERROR(__xludf.DUMMYFUNCTION("""COMPUTED_VALUE"""),"cas_hmw")</f>
        <v>cas_hmw</v>
      </c>
      <c r="B16982" s="5">
        <f>IFERROR(__xludf.DUMMYFUNCTION("""COMPUTED_VALUE"""),44737.0)</f>
        <v>44737</v>
      </c>
      <c r="C16982" s="6">
        <f>IFERROR(__xludf.DUMMYFUNCTION("""COMPUTED_VALUE"""),0.7532060185185401)</f>
        <v>0.7532060185</v>
      </c>
      <c r="D16982" s="4">
        <f>IFERROR(__xludf.DUMMYFUNCTION("""COMPUTED_VALUE"""),13.101836)</f>
        <v>13.101836</v>
      </c>
      <c r="E16982" s="4">
        <f>IFERROR(__xludf.DUMMYFUNCTION("""COMPUTED_VALUE"""),80.293363)</f>
        <v>80.293363</v>
      </c>
      <c r="F16982" s="4">
        <f>IFERROR(__xludf.DUMMYFUNCTION("""COMPUTED_VALUE"""),5339.0)</f>
        <v>5339</v>
      </c>
      <c r="G16982" s="4">
        <f>IFERROR(__xludf.DUMMYFUNCTION("""COMPUTED_VALUE"""),22.0)</f>
        <v>22</v>
      </c>
      <c r="H16982" s="4"/>
      <c r="I16982" s="4"/>
    </row>
    <row r="16983">
      <c r="A16983" s="4" t="str">
        <f>IFERROR(__xludf.DUMMYFUNCTION("""COMPUTED_VALUE"""),"cas_hmw")</f>
        <v>cas_hmw</v>
      </c>
      <c r="B16983" s="5">
        <f>IFERROR(__xludf.DUMMYFUNCTION("""COMPUTED_VALUE"""),44737.0)</f>
        <v>44737</v>
      </c>
      <c r="C16983" s="6">
        <f>IFERROR(__xludf.DUMMYFUNCTION("""COMPUTED_VALUE"""),0.7570254629645206)</f>
        <v>0.757025463</v>
      </c>
      <c r="D16983" s="4">
        <f>IFERROR(__xludf.DUMMYFUNCTION("""COMPUTED_VALUE"""),13.116378)</f>
        <v>13.116378</v>
      </c>
      <c r="E16983" s="4">
        <f>IFERROR(__xludf.DUMMYFUNCTION("""COMPUTED_VALUE"""),80.292721)</f>
        <v>80.292721</v>
      </c>
      <c r="F16983" s="4">
        <f>IFERROR(__xludf.DUMMYFUNCTION("""COMPUTED_VALUE"""),5339.0)</f>
        <v>5339</v>
      </c>
      <c r="G16983" s="4">
        <f>IFERROR(__xludf.DUMMYFUNCTION("""COMPUTED_VALUE"""),34.0)</f>
        <v>34</v>
      </c>
      <c r="H16983" s="4"/>
      <c r="I16983" s="4"/>
    </row>
    <row r="16984">
      <c r="A16984" s="4" t="str">
        <f>IFERROR(__xludf.DUMMYFUNCTION("""COMPUTED_VALUE"""),"cas_hmw")</f>
        <v>cas_hmw</v>
      </c>
      <c r="B16984" s="5">
        <f>IFERROR(__xludf.DUMMYFUNCTION("""COMPUTED_VALUE"""),44737.0)</f>
        <v>44737</v>
      </c>
      <c r="C16984" s="6">
        <f>IFERROR(__xludf.DUMMYFUNCTION("""COMPUTED_VALUE"""),0.7572106481493392)</f>
        <v>0.7572106481</v>
      </c>
      <c r="D16984" s="4">
        <f>IFERROR(__xludf.DUMMYFUNCTION("""COMPUTED_VALUE"""),13.117817)</f>
        <v>13.117817</v>
      </c>
      <c r="E16984" s="4">
        <f>IFERROR(__xludf.DUMMYFUNCTION("""COMPUTED_VALUE"""),80.292965)</f>
        <v>80.292965</v>
      </c>
      <c r="F16984" s="4">
        <f>IFERROR(__xludf.DUMMYFUNCTION("""COMPUTED_VALUE"""),5339.0)</f>
        <v>5339</v>
      </c>
      <c r="G16984" s="4">
        <f>IFERROR(__xludf.DUMMYFUNCTION("""COMPUTED_VALUE"""),38.0)</f>
        <v>38</v>
      </c>
      <c r="H16984" s="4"/>
      <c r="I16984" s="4"/>
    </row>
    <row r="16985">
      <c r="A16985" s="4" t="str">
        <f>IFERROR(__xludf.DUMMYFUNCTION("""COMPUTED_VALUE"""),"cas_hmw")</f>
        <v>cas_hmw</v>
      </c>
      <c r="B16985" s="5">
        <f>IFERROR(__xludf.DUMMYFUNCTION("""COMPUTED_VALUE"""),44737.0)</f>
        <v>44737</v>
      </c>
      <c r="C16985" s="6">
        <f>IFERROR(__xludf.DUMMYFUNCTION("""COMPUTED_VALUE"""),0.7710879629630654)</f>
        <v>0.771087963</v>
      </c>
      <c r="D16985" s="4">
        <f>IFERROR(__xludf.DUMMYFUNCTION("""COMPUTED_VALUE"""),13.177723)</f>
        <v>13.177723</v>
      </c>
      <c r="E16985" s="4">
        <f>IFERROR(__xludf.DUMMYFUNCTION("""COMPUTED_VALUE"""),80.313772)</f>
        <v>80.313772</v>
      </c>
      <c r="F16985" s="4">
        <f>IFERROR(__xludf.DUMMYFUNCTION("""COMPUTED_VALUE"""),5339.0)</f>
        <v>5339</v>
      </c>
      <c r="G16985" s="4">
        <f>IFERROR(__xludf.DUMMYFUNCTION("""COMPUTED_VALUE"""),51.0)</f>
        <v>51</v>
      </c>
      <c r="H16985" s="4"/>
      <c r="I16985" s="4"/>
    </row>
    <row r="16986">
      <c r="A16986" s="4" t="str">
        <f>IFERROR(__xludf.DUMMYFUNCTION("""COMPUTED_VALUE"""),"cas_hmw")</f>
        <v>cas_hmw</v>
      </c>
      <c r="B16986" s="5">
        <f>IFERROR(__xludf.DUMMYFUNCTION("""COMPUTED_VALUE"""),44737.0)</f>
        <v>44737</v>
      </c>
      <c r="C16986" s="6">
        <f>IFERROR(__xludf.DUMMYFUNCTION("""COMPUTED_VALUE"""),0.8106249999982538)</f>
        <v>0.810625</v>
      </c>
      <c r="D16986" s="4">
        <f>IFERROR(__xludf.DUMMYFUNCTION("""COMPUTED_VALUE"""),13.182797)</f>
        <v>13.182797</v>
      </c>
      <c r="E16986" s="4">
        <f>IFERROR(__xludf.DUMMYFUNCTION("""COMPUTED_VALUE"""),80.316079)</f>
        <v>80.316079</v>
      </c>
      <c r="F16986" s="4">
        <f>IFERROR(__xludf.DUMMYFUNCTION("""COMPUTED_VALUE"""),5339.0)</f>
        <v>5339</v>
      </c>
      <c r="G16986" s="4">
        <f>IFERROR(__xludf.DUMMYFUNCTION("""COMPUTED_VALUE"""),31.0)</f>
        <v>31</v>
      </c>
      <c r="H16986" s="4"/>
      <c r="I16986" s="4"/>
    </row>
    <row r="16987">
      <c r="A16987" s="4" t="str">
        <f>IFERROR(__xludf.DUMMYFUNCTION("""COMPUTED_VALUE"""),"cas_hmw")</f>
        <v>cas_hmw</v>
      </c>
      <c r="B16987" s="5">
        <f>IFERROR(__xludf.DUMMYFUNCTION("""COMPUTED_VALUE"""),44737.0)</f>
        <v>44737</v>
      </c>
      <c r="C16987" s="6">
        <f>IFERROR(__xludf.DUMMYFUNCTION("""COMPUTED_VALUE"""),0.8164930555540195)</f>
        <v>0.8164930556</v>
      </c>
      <c r="D16987" s="4">
        <f>IFERROR(__xludf.DUMMYFUNCTION("""COMPUTED_VALUE"""),13.136282)</f>
        <v>13.136282</v>
      </c>
      <c r="E16987" s="4">
        <f>IFERROR(__xludf.DUMMYFUNCTION("""COMPUTED_VALUE"""),80.297753)</f>
        <v>80.297753</v>
      </c>
      <c r="F16987" s="4">
        <f>IFERROR(__xludf.DUMMYFUNCTION("""COMPUTED_VALUE"""),5339.0)</f>
        <v>5339</v>
      </c>
      <c r="G16987" s="4">
        <f>IFERROR(__xludf.DUMMYFUNCTION("""COMPUTED_VALUE"""),53.0)</f>
        <v>53</v>
      </c>
      <c r="H16987" s="4"/>
      <c r="I16987" s="4"/>
    </row>
    <row r="16988">
      <c r="A16988" s="4" t="str">
        <f>IFERROR(__xludf.DUMMYFUNCTION("""COMPUTED_VALUE"""),"cas_hmw")</f>
        <v>cas_hmw</v>
      </c>
      <c r="B16988" s="5">
        <f>IFERROR(__xludf.DUMMYFUNCTION("""COMPUTED_VALUE"""),44737.0)</f>
        <v>44737</v>
      </c>
      <c r="C16988" s="6">
        <f>IFERROR(__xludf.DUMMYFUNCTION("""COMPUTED_VALUE"""),0.8168287037042319)</f>
        <v>0.8168287037</v>
      </c>
      <c r="D16988" s="4">
        <f>IFERROR(__xludf.DUMMYFUNCTION("""COMPUTED_VALUE"""),13.133742)</f>
        <v>13.133742</v>
      </c>
      <c r="E16988" s="4">
        <f>IFERROR(__xludf.DUMMYFUNCTION("""COMPUTED_VALUE"""),80.297142)</f>
        <v>80.297142</v>
      </c>
      <c r="F16988" s="4">
        <f>IFERROR(__xludf.DUMMYFUNCTION("""COMPUTED_VALUE"""),5339.0)</f>
        <v>5339</v>
      </c>
      <c r="G16988" s="4">
        <f>IFERROR(__xludf.DUMMYFUNCTION("""COMPUTED_VALUE"""),14.0)</f>
        <v>14</v>
      </c>
      <c r="H16988" s="4"/>
      <c r="I16988" s="4"/>
    </row>
    <row r="16989">
      <c r="A16989" s="4" t="str">
        <f>IFERROR(__xludf.DUMMYFUNCTION("""COMPUTED_VALUE"""),"cas_hmw")</f>
        <v>cas_hmw</v>
      </c>
      <c r="B16989" s="5">
        <f>IFERROR(__xludf.DUMMYFUNCTION("""COMPUTED_VALUE"""),44737.0)</f>
        <v>44737</v>
      </c>
      <c r="C16989" s="6">
        <f>IFERROR(__xludf.DUMMYFUNCTION("""COMPUTED_VALUE"""),0.8168634259272949)</f>
        <v>0.8168634259</v>
      </c>
      <c r="D16989" s="4">
        <f>IFERROR(__xludf.DUMMYFUNCTION("""COMPUTED_VALUE"""),13.133742)</f>
        <v>13.133742</v>
      </c>
      <c r="E16989" s="4">
        <f>IFERROR(__xludf.DUMMYFUNCTION("""COMPUTED_VALUE"""),80.297142)</f>
        <v>80.297142</v>
      </c>
      <c r="F16989" s="4">
        <f>IFERROR(__xludf.DUMMYFUNCTION("""COMPUTED_VALUE"""),5339.0)</f>
        <v>5339</v>
      </c>
      <c r="G16989" s="4">
        <f>IFERROR(__xludf.DUMMYFUNCTION("""COMPUTED_VALUE"""),14.0)</f>
        <v>14</v>
      </c>
      <c r="H16989" s="4"/>
      <c r="I16989" s="4"/>
    </row>
    <row r="16990">
      <c r="A16990" s="4" t="str">
        <f>IFERROR(__xludf.DUMMYFUNCTION("""COMPUTED_VALUE"""),"cas_hmw")</f>
        <v>cas_hmw</v>
      </c>
      <c r="B16990" s="5">
        <f>IFERROR(__xludf.DUMMYFUNCTION("""COMPUTED_VALUE"""),44737.0)</f>
        <v>44737</v>
      </c>
      <c r="C16990" s="6">
        <f>IFERROR(__xludf.DUMMYFUNCTION("""COMPUTED_VALUE"""),0.8168865740735782)</f>
        <v>0.8168865741</v>
      </c>
      <c r="D16990" s="4">
        <f>IFERROR(__xludf.DUMMYFUNCTION("""COMPUTED_VALUE"""),13.133027)</f>
        <v>13.133027</v>
      </c>
      <c r="E16990" s="4">
        <f>IFERROR(__xludf.DUMMYFUNCTION("""COMPUTED_VALUE"""),80.296829)</f>
        <v>80.296829</v>
      </c>
      <c r="F16990" s="4">
        <f>IFERROR(__xludf.DUMMYFUNCTION("""COMPUTED_VALUE"""),5339.0)</f>
        <v>5339</v>
      </c>
      <c r="G16990" s="4">
        <f>IFERROR(__xludf.DUMMYFUNCTION("""COMPUTED_VALUE"""),23.0)</f>
        <v>23</v>
      </c>
      <c r="H16990" s="4"/>
      <c r="I16990" s="4"/>
    </row>
    <row r="16991">
      <c r="A16991" s="4" t="str">
        <f>IFERROR(__xludf.DUMMYFUNCTION("""COMPUTED_VALUE"""),"cas_hmw")</f>
        <v>cas_hmw</v>
      </c>
      <c r="B16991" s="5">
        <f>IFERROR(__xludf.DUMMYFUNCTION("""COMPUTED_VALUE"""),44737.0)</f>
        <v>44737</v>
      </c>
      <c r="C16991" s="6">
        <f>IFERROR(__xludf.DUMMYFUNCTION("""COMPUTED_VALUE"""),0.8171990740738693)</f>
        <v>0.8171990741</v>
      </c>
      <c r="D16991" s="4">
        <f>IFERROR(__xludf.DUMMYFUNCTION("""COMPUTED_VALUE"""),13.131886)</f>
        <v>13.131886</v>
      </c>
      <c r="E16991" s="4">
        <f>IFERROR(__xludf.DUMMYFUNCTION("""COMPUTED_VALUE"""),80.29652)</f>
        <v>80.29652</v>
      </c>
      <c r="F16991" s="4">
        <f>IFERROR(__xludf.DUMMYFUNCTION("""COMPUTED_VALUE"""),5339.0)</f>
        <v>5339</v>
      </c>
      <c r="G16991" s="4">
        <f>IFERROR(__xludf.DUMMYFUNCTION("""COMPUTED_VALUE"""),24.0)</f>
        <v>24</v>
      </c>
      <c r="H16991" s="4"/>
      <c r="I16991" s="4"/>
    </row>
    <row r="16992">
      <c r="A16992" s="4" t="str">
        <f>IFERROR(__xludf.DUMMYFUNCTION("""COMPUTED_VALUE"""),"cas_hmw")</f>
        <v>cas_hmw</v>
      </c>
      <c r="B16992" s="5">
        <f>IFERROR(__xludf.DUMMYFUNCTION("""COMPUTED_VALUE"""),44737.0)</f>
        <v>44737</v>
      </c>
      <c r="C16992" s="6">
        <f>IFERROR(__xludf.DUMMYFUNCTION("""COMPUTED_VALUE"""),0.8184606481481751)</f>
        <v>0.8184606481</v>
      </c>
      <c r="D16992" s="4">
        <f>IFERROR(__xludf.DUMMYFUNCTION("""COMPUTED_VALUE"""),13.125258)</f>
        <v>13.125258</v>
      </c>
      <c r="E16992" s="4">
        <f>IFERROR(__xludf.DUMMYFUNCTION("""COMPUTED_VALUE"""),80.2947)</f>
        <v>80.2947</v>
      </c>
      <c r="F16992" s="4">
        <f>IFERROR(__xludf.DUMMYFUNCTION("""COMPUTED_VALUE"""),5339.0)</f>
        <v>5339</v>
      </c>
      <c r="G16992" s="4">
        <f>IFERROR(__xludf.DUMMYFUNCTION("""COMPUTED_VALUE"""),15.0)</f>
        <v>15</v>
      </c>
      <c r="H16992" s="4"/>
      <c r="I16992" s="4"/>
    </row>
    <row r="16993">
      <c r="A16993" s="4" t="str">
        <f>IFERROR(__xludf.DUMMYFUNCTION("""COMPUTED_VALUE"""),"cas_hmw")</f>
        <v>cas_hmw</v>
      </c>
      <c r="B16993" s="5">
        <f>IFERROR(__xludf.DUMMYFUNCTION("""COMPUTED_VALUE"""),44737.0)</f>
        <v>44737</v>
      </c>
      <c r="C16993" s="6">
        <f>IFERROR(__xludf.DUMMYFUNCTION("""COMPUTED_VALUE"""),0.8184722222213168)</f>
        <v>0.8184722222</v>
      </c>
      <c r="D16993" s="4">
        <f>IFERROR(__xludf.DUMMYFUNCTION("""COMPUTED_VALUE"""),13.125258)</f>
        <v>13.125258</v>
      </c>
      <c r="E16993" s="4">
        <f>IFERROR(__xludf.DUMMYFUNCTION("""COMPUTED_VALUE"""),80.2947)</f>
        <v>80.2947</v>
      </c>
      <c r="F16993" s="4">
        <f>IFERROR(__xludf.DUMMYFUNCTION("""COMPUTED_VALUE"""),5339.0)</f>
        <v>5339</v>
      </c>
      <c r="G16993" s="4">
        <f>IFERROR(__xludf.DUMMYFUNCTION("""COMPUTED_VALUE"""),15.0)</f>
        <v>15</v>
      </c>
      <c r="H16993" s="4"/>
      <c r="I16993" s="4"/>
    </row>
    <row r="16994">
      <c r="A16994" s="4" t="str">
        <f>IFERROR(__xludf.DUMMYFUNCTION("""COMPUTED_VALUE"""),"cas_hmw")</f>
        <v>cas_hmw</v>
      </c>
      <c r="B16994" s="5">
        <f>IFERROR(__xludf.DUMMYFUNCTION("""COMPUTED_VALUE"""),44737.0)</f>
        <v>44737</v>
      </c>
      <c r="C16994" s="6">
        <f>IFERROR(__xludf.DUMMYFUNCTION("""COMPUTED_VALUE"""),0.822685185186856)</f>
        <v>0.8226851852</v>
      </c>
      <c r="D16994" s="4">
        <f>IFERROR(__xludf.DUMMYFUNCTION("""COMPUTED_VALUE"""),13.114736)</f>
        <v>13.114736</v>
      </c>
      <c r="E16994" s="4">
        <f>IFERROR(__xludf.DUMMYFUNCTION("""COMPUTED_VALUE"""),80.29257)</f>
        <v>80.29257</v>
      </c>
      <c r="F16994" s="4">
        <f>IFERROR(__xludf.DUMMYFUNCTION("""COMPUTED_VALUE"""),5339.0)</f>
        <v>5339</v>
      </c>
      <c r="G16994" s="4">
        <f>IFERROR(__xludf.DUMMYFUNCTION("""COMPUTED_VALUE"""),8.0)</f>
        <v>8</v>
      </c>
      <c r="H16994" s="4"/>
      <c r="I16994" s="4"/>
    </row>
    <row r="16995">
      <c r="A16995" s="4" t="str">
        <f>IFERROR(__xludf.DUMMYFUNCTION("""COMPUTED_VALUE"""),"cas_hmw")</f>
        <v>cas_hmw</v>
      </c>
      <c r="B16995" s="5">
        <f>IFERROR(__xludf.DUMMYFUNCTION("""COMPUTED_VALUE"""),44737.0)</f>
        <v>44737</v>
      </c>
      <c r="C16995" s="6">
        <f>IFERROR(__xludf.DUMMYFUNCTION("""COMPUTED_VALUE"""),0.8226967592599976)</f>
        <v>0.8226967593</v>
      </c>
      <c r="D16995" s="4">
        <f>IFERROR(__xludf.DUMMYFUNCTION("""COMPUTED_VALUE"""),13.114736)</f>
        <v>13.114736</v>
      </c>
      <c r="E16995" s="4">
        <f>IFERROR(__xludf.DUMMYFUNCTION("""COMPUTED_VALUE"""),80.29257)</f>
        <v>80.29257</v>
      </c>
      <c r="F16995" s="4">
        <f>IFERROR(__xludf.DUMMYFUNCTION("""COMPUTED_VALUE"""),5339.0)</f>
        <v>5339</v>
      </c>
      <c r="G16995" s="4">
        <f>IFERROR(__xludf.DUMMYFUNCTION("""COMPUTED_VALUE"""),8.0)</f>
        <v>8</v>
      </c>
      <c r="H16995" s="4"/>
      <c r="I16995" s="4"/>
    </row>
    <row r="16996">
      <c r="A16996" s="4" t="str">
        <f>IFERROR(__xludf.DUMMYFUNCTION("""COMPUTED_VALUE"""),"cas_hmw")</f>
        <v>cas_hmw</v>
      </c>
      <c r="B16996" s="5">
        <f>IFERROR(__xludf.DUMMYFUNCTION("""COMPUTED_VALUE"""),44737.0)</f>
        <v>44737</v>
      </c>
      <c r="C16996" s="6">
        <f>IFERROR(__xludf.DUMMYFUNCTION("""COMPUTED_VALUE"""),0.8257407407400024)</f>
        <v>0.8257407407</v>
      </c>
      <c r="D16996" s="4">
        <f>IFERROR(__xludf.DUMMYFUNCTION("""COMPUTED_VALUE"""),13.106056)</f>
        <v>13.106056</v>
      </c>
      <c r="E16996" s="4">
        <f>IFERROR(__xludf.DUMMYFUNCTION("""COMPUTED_VALUE"""),80.292543)</f>
        <v>80.292543</v>
      </c>
      <c r="F16996" s="4">
        <f>IFERROR(__xludf.DUMMYFUNCTION("""COMPUTED_VALUE"""),5339.0)</f>
        <v>5339</v>
      </c>
      <c r="G16996" s="4">
        <f>IFERROR(__xludf.DUMMYFUNCTION("""COMPUTED_VALUE"""),17.0)</f>
        <v>17</v>
      </c>
      <c r="H16996" s="4"/>
      <c r="I16996" s="4"/>
    </row>
    <row r="16997">
      <c r="A16997" s="4" t="str">
        <f>IFERROR(__xludf.DUMMYFUNCTION("""COMPUTED_VALUE"""),"cas_hmw")</f>
        <v>cas_hmw</v>
      </c>
      <c r="B16997" s="5">
        <f>IFERROR(__xludf.DUMMYFUNCTION("""COMPUTED_VALUE"""),44737.0)</f>
        <v>44737</v>
      </c>
      <c r="C16997" s="6">
        <f>IFERROR(__xludf.DUMMYFUNCTION("""COMPUTED_VALUE"""),0.8258101851861284)</f>
        <v>0.8258101852</v>
      </c>
      <c r="D16997" s="4">
        <f>IFERROR(__xludf.DUMMYFUNCTION("""COMPUTED_VALUE"""),13.10599)</f>
        <v>13.10599</v>
      </c>
      <c r="E16997" s="4">
        <f>IFERROR(__xludf.DUMMYFUNCTION("""COMPUTED_VALUE"""),80.293325)</f>
        <v>80.293325</v>
      </c>
      <c r="F16997" s="4">
        <f>IFERROR(__xludf.DUMMYFUNCTION("""COMPUTED_VALUE"""),5339.0)</f>
        <v>5339</v>
      </c>
      <c r="G16997" s="4">
        <f>IFERROR(__xludf.DUMMYFUNCTION("""COMPUTED_VALUE"""),18.0)</f>
        <v>18</v>
      </c>
      <c r="H16997" s="4"/>
      <c r="I16997" s="4"/>
    </row>
    <row r="16998">
      <c r="A16998" s="4" t="str">
        <f>IFERROR(__xludf.DUMMYFUNCTION("""COMPUTED_VALUE"""),"cas_hmw")</f>
        <v>cas_hmw</v>
      </c>
      <c r="B16998" s="5">
        <f>IFERROR(__xludf.DUMMYFUNCTION("""COMPUTED_VALUE"""),44737.0)</f>
        <v>44737</v>
      </c>
      <c r="C16998" s="6">
        <f>IFERROR(__xludf.DUMMYFUNCTION("""COMPUTED_VALUE"""),0.8300810185173759)</f>
        <v>0.8300810185</v>
      </c>
      <c r="D16998" s="4">
        <f>IFERROR(__xludf.DUMMYFUNCTION("""COMPUTED_VALUE"""),13.085801)</f>
        <v>13.085801</v>
      </c>
      <c r="E16998" s="4">
        <f>IFERROR(__xludf.DUMMYFUNCTION("""COMPUTED_VALUE"""),80.289433)</f>
        <v>80.289433</v>
      </c>
      <c r="F16998" s="4">
        <f>IFERROR(__xludf.DUMMYFUNCTION("""COMPUTED_VALUE"""),5339.0)</f>
        <v>5339</v>
      </c>
      <c r="G16998" s="4">
        <f>IFERROR(__xludf.DUMMYFUNCTION("""COMPUTED_VALUE"""),21.0)</f>
        <v>21</v>
      </c>
      <c r="H16998" s="4"/>
      <c r="I16998" s="4"/>
    </row>
    <row r="16999">
      <c r="A16999" s="4" t="str">
        <f>IFERROR(__xludf.DUMMYFUNCTION("""COMPUTED_VALUE"""),"cas_hmw")</f>
        <v>cas_hmw</v>
      </c>
      <c r="B16999" s="5">
        <f>IFERROR(__xludf.DUMMYFUNCTION("""COMPUTED_VALUE"""),44737.0)</f>
        <v>44737</v>
      </c>
      <c r="C16999" s="6">
        <f>IFERROR(__xludf.DUMMYFUNCTION("""COMPUTED_VALUE"""),0.8303356481483206)</f>
        <v>0.8303356481</v>
      </c>
      <c r="D16999" s="4">
        <f>IFERROR(__xludf.DUMMYFUNCTION("""COMPUTED_VALUE"""),13.085182)</f>
        <v>13.085182</v>
      </c>
      <c r="E16999" s="4">
        <f>IFERROR(__xludf.DUMMYFUNCTION("""COMPUTED_VALUE"""),80.288271)</f>
        <v>80.288271</v>
      </c>
      <c r="F16999" s="4">
        <f>IFERROR(__xludf.DUMMYFUNCTION("""COMPUTED_VALUE"""),5339.0)</f>
        <v>5339</v>
      </c>
      <c r="G16999" s="4">
        <f>IFERROR(__xludf.DUMMYFUNCTION("""COMPUTED_VALUE"""),38.0)</f>
        <v>38</v>
      </c>
      <c r="H16999" s="4"/>
      <c r="I16999" s="4"/>
    </row>
    <row r="17000">
      <c r="A17000" s="4" t="str">
        <f>IFERROR(__xludf.DUMMYFUNCTION("""COMPUTED_VALUE"""),"cas_hmw")</f>
        <v>cas_hmw</v>
      </c>
      <c r="B17000" s="5">
        <f>IFERROR(__xludf.DUMMYFUNCTION("""COMPUTED_VALUE"""),44737.0)</f>
        <v>44737</v>
      </c>
      <c r="C17000" s="6">
        <f>IFERROR(__xludf.DUMMYFUNCTION("""COMPUTED_VALUE"""),0.8303356481483206)</f>
        <v>0.8303356481</v>
      </c>
      <c r="D17000" s="4">
        <f>IFERROR(__xludf.DUMMYFUNCTION("""COMPUTED_VALUE"""),13.085182)</f>
        <v>13.085182</v>
      </c>
      <c r="E17000" s="4">
        <f>IFERROR(__xludf.DUMMYFUNCTION("""COMPUTED_VALUE"""),80.288271)</f>
        <v>80.288271</v>
      </c>
      <c r="F17000" s="4">
        <f>IFERROR(__xludf.DUMMYFUNCTION("""COMPUTED_VALUE"""),5339.0)</f>
        <v>5339</v>
      </c>
      <c r="G17000" s="4">
        <f>IFERROR(__xludf.DUMMYFUNCTION("""COMPUTED_VALUE"""),38.0)</f>
        <v>38</v>
      </c>
      <c r="H17000" s="4"/>
      <c r="I17000" s="4"/>
    </row>
    <row r="17001">
      <c r="A17001" s="4" t="str">
        <f>IFERROR(__xludf.DUMMYFUNCTION("""COMPUTED_VALUE"""),"cas_hmw")</f>
        <v>cas_hmw</v>
      </c>
      <c r="B17001" s="5">
        <f>IFERROR(__xludf.DUMMYFUNCTION("""COMPUTED_VALUE"""),44737.0)</f>
        <v>44737</v>
      </c>
      <c r="C17001" s="6">
        <f>IFERROR(__xludf.DUMMYFUNCTION("""COMPUTED_VALUE"""),0.8304513888906513)</f>
        <v>0.8304513889</v>
      </c>
      <c r="D17001" s="4">
        <f>IFERROR(__xludf.DUMMYFUNCTION("""COMPUTED_VALUE"""),13.085182)</f>
        <v>13.085182</v>
      </c>
      <c r="E17001" s="4">
        <f>IFERROR(__xludf.DUMMYFUNCTION("""COMPUTED_VALUE"""),80.288271)</f>
        <v>80.288271</v>
      </c>
      <c r="F17001" s="4">
        <f>IFERROR(__xludf.DUMMYFUNCTION("""COMPUTED_VALUE"""),5339.0)</f>
        <v>5339</v>
      </c>
      <c r="G17001" s="4">
        <f>IFERROR(__xludf.DUMMYFUNCTION("""COMPUTED_VALUE"""),38.0)</f>
        <v>38</v>
      </c>
      <c r="H17001" s="4"/>
      <c r="I17001" s="4"/>
    </row>
    <row r="17002">
      <c r="A17002" s="4" t="str">
        <f>IFERROR(__xludf.DUMMYFUNCTION("""COMPUTED_VALUE"""),"cas_hmw")</f>
        <v>cas_hmw</v>
      </c>
      <c r="B17002" s="5">
        <f>IFERROR(__xludf.DUMMYFUNCTION("""COMPUTED_VALUE"""),44737.0)</f>
        <v>44737</v>
      </c>
      <c r="C17002" s="6">
        <f>IFERROR(__xludf.DUMMYFUNCTION("""COMPUTED_VALUE"""),0.8304513888906513)</f>
        <v>0.8304513889</v>
      </c>
      <c r="D17002" s="4">
        <f>IFERROR(__xludf.DUMMYFUNCTION("""COMPUTED_VALUE"""),13.085182)</f>
        <v>13.085182</v>
      </c>
      <c r="E17002" s="4">
        <f>IFERROR(__xludf.DUMMYFUNCTION("""COMPUTED_VALUE"""),80.288271)</f>
        <v>80.288271</v>
      </c>
      <c r="F17002" s="4">
        <f>IFERROR(__xludf.DUMMYFUNCTION("""COMPUTED_VALUE"""),5339.0)</f>
        <v>5339</v>
      </c>
      <c r="G17002" s="4">
        <f>IFERROR(__xludf.DUMMYFUNCTION("""COMPUTED_VALUE"""),38.0)</f>
        <v>38</v>
      </c>
      <c r="H17002" s="4"/>
      <c r="I17002" s="4"/>
    </row>
    <row r="17003">
      <c r="A17003" s="4" t="str">
        <f>IFERROR(__xludf.DUMMYFUNCTION("""COMPUTED_VALUE"""),"cas_hmw")</f>
        <v>cas_hmw</v>
      </c>
      <c r="B17003" s="5">
        <f>IFERROR(__xludf.DUMMYFUNCTION("""COMPUTED_VALUE"""),44737.0)</f>
        <v>44737</v>
      </c>
      <c r="C17003" s="6">
        <f>IFERROR(__xludf.DUMMYFUNCTION("""COMPUTED_VALUE"""),0.830497685186856)</f>
        <v>0.8304976852</v>
      </c>
      <c r="D17003" s="4">
        <f>IFERROR(__xludf.DUMMYFUNCTION("""COMPUTED_VALUE"""),13.085167)</f>
        <v>13.085167</v>
      </c>
      <c r="E17003" s="4">
        <f>IFERROR(__xludf.DUMMYFUNCTION("""COMPUTED_VALUE"""),80.286935)</f>
        <v>80.286935</v>
      </c>
      <c r="F17003" s="4">
        <f>IFERROR(__xludf.DUMMYFUNCTION("""COMPUTED_VALUE"""),5339.0)</f>
        <v>5339</v>
      </c>
      <c r="G17003" s="4">
        <f>IFERROR(__xludf.DUMMYFUNCTION("""COMPUTED_VALUE"""),46.0)</f>
        <v>46</v>
      </c>
      <c r="H17003" s="4"/>
      <c r="I17003" s="4"/>
    </row>
    <row r="17004">
      <c r="A17004" s="4" t="str">
        <f>IFERROR(__xludf.DUMMYFUNCTION("""COMPUTED_VALUE"""),"cas_hmw")</f>
        <v>cas_hmw</v>
      </c>
      <c r="B17004" s="5">
        <f>IFERROR(__xludf.DUMMYFUNCTION("""COMPUTED_VALUE"""),44737.0)</f>
        <v>44737</v>
      </c>
      <c r="C17004" s="6">
        <f>IFERROR(__xludf.DUMMYFUNCTION("""COMPUTED_VALUE"""),0.8305439814830606)</f>
        <v>0.8305439815</v>
      </c>
      <c r="D17004" s="4">
        <f>IFERROR(__xludf.DUMMYFUNCTION("""COMPUTED_VALUE"""),13.085167)</f>
        <v>13.085167</v>
      </c>
      <c r="E17004" s="4">
        <f>IFERROR(__xludf.DUMMYFUNCTION("""COMPUTED_VALUE"""),80.286935)</f>
        <v>80.286935</v>
      </c>
      <c r="F17004" s="4">
        <f>IFERROR(__xludf.DUMMYFUNCTION("""COMPUTED_VALUE"""),5339.0)</f>
        <v>5339</v>
      </c>
      <c r="G17004" s="4">
        <f>IFERROR(__xludf.DUMMYFUNCTION("""COMPUTED_VALUE"""),46.0)</f>
        <v>46</v>
      </c>
      <c r="H17004" s="4"/>
      <c r="I17004" s="4"/>
    </row>
    <row r="17005">
      <c r="A17005" s="4" t="str">
        <f>IFERROR(__xludf.DUMMYFUNCTION("""COMPUTED_VALUE"""),"cas_hmw")</f>
        <v>cas_hmw</v>
      </c>
      <c r="B17005" s="5">
        <f>IFERROR(__xludf.DUMMYFUNCTION("""COMPUTED_VALUE"""),44737.0)</f>
        <v>44737</v>
      </c>
      <c r="C17005" s="6">
        <f>IFERROR(__xludf.DUMMYFUNCTION("""COMPUTED_VALUE"""),0.8371412037049595)</f>
        <v>0.8371412037</v>
      </c>
      <c r="D17005" s="4">
        <f>IFERROR(__xludf.DUMMYFUNCTION("""COMPUTED_VALUE"""),13.06632)</f>
        <v>13.06632</v>
      </c>
      <c r="E17005" s="4">
        <f>IFERROR(__xludf.DUMMYFUNCTION("""COMPUTED_VALUE"""),80.268608)</f>
        <v>80.268608</v>
      </c>
      <c r="F17005" s="4">
        <f>IFERROR(__xludf.DUMMYFUNCTION("""COMPUTED_VALUE"""),5339.0)</f>
        <v>5339</v>
      </c>
      <c r="G17005" s="4">
        <f>IFERROR(__xludf.DUMMYFUNCTION("""COMPUTED_VALUE"""),28.0)</f>
        <v>28</v>
      </c>
      <c r="H17005" s="4"/>
      <c r="I17005" s="4"/>
    </row>
    <row r="17006">
      <c r="A17006" s="4" t="str">
        <f>IFERROR(__xludf.DUMMYFUNCTION("""COMPUTED_VALUE"""),"cas_hmw")</f>
        <v>cas_hmw</v>
      </c>
      <c r="B17006" s="5">
        <f>IFERROR(__xludf.DUMMYFUNCTION("""COMPUTED_VALUE"""),44737.0)</f>
        <v>44737</v>
      </c>
      <c r="C17006" s="6">
        <f>IFERROR(__xludf.DUMMYFUNCTION("""COMPUTED_VALUE"""),0.8382523148138716)</f>
        <v>0.8382523148</v>
      </c>
      <c r="D17006" s="4">
        <f>IFERROR(__xludf.DUMMYFUNCTION("""COMPUTED_VALUE"""),13.062105)</f>
        <v>13.062105</v>
      </c>
      <c r="E17006" s="4">
        <f>IFERROR(__xludf.DUMMYFUNCTION("""COMPUTED_VALUE"""),80.263221)</f>
        <v>80.263221</v>
      </c>
      <c r="F17006" s="4">
        <f>IFERROR(__xludf.DUMMYFUNCTION("""COMPUTED_VALUE"""),5339.0)</f>
        <v>5339</v>
      </c>
      <c r="G17006" s="4">
        <f>IFERROR(__xludf.DUMMYFUNCTION("""COMPUTED_VALUE"""),19.0)</f>
        <v>19</v>
      </c>
      <c r="H17006" s="4"/>
      <c r="I17006" s="4"/>
    </row>
    <row r="17007">
      <c r="A17007" s="4" t="str">
        <f>IFERROR(__xludf.DUMMYFUNCTION("""COMPUTED_VALUE"""),"cas_hmw")</f>
        <v>cas_hmw</v>
      </c>
      <c r="B17007" s="5">
        <f>IFERROR(__xludf.DUMMYFUNCTION("""COMPUTED_VALUE"""),44737.0)</f>
        <v>44737</v>
      </c>
      <c r="C17007" s="6">
        <f>IFERROR(__xludf.DUMMYFUNCTION("""COMPUTED_VALUE"""),0.8417708333327028)</f>
        <v>0.8417708333</v>
      </c>
      <c r="D17007" s="4">
        <f>IFERROR(__xludf.DUMMYFUNCTION("""COMPUTED_VALUE"""),13.067519)</f>
        <v>13.067519</v>
      </c>
      <c r="E17007" s="4">
        <f>IFERROR(__xludf.DUMMYFUNCTION("""COMPUTED_VALUE"""),80.250004)</f>
        <v>80.250004</v>
      </c>
      <c r="F17007" s="4">
        <f>IFERROR(__xludf.DUMMYFUNCTION("""COMPUTED_VALUE"""),5339.0)</f>
        <v>5339</v>
      </c>
      <c r="G17007" s="4">
        <f>IFERROR(__xludf.DUMMYFUNCTION("""COMPUTED_VALUE"""),30.0)</f>
        <v>30</v>
      </c>
      <c r="H17007" s="4"/>
      <c r="I17007" s="4"/>
    </row>
    <row r="17008">
      <c r="A17008" s="4" t="str">
        <f>IFERROR(__xludf.DUMMYFUNCTION("""COMPUTED_VALUE"""),"cas_hmw")</f>
        <v>cas_hmw</v>
      </c>
      <c r="B17008" s="5">
        <f>IFERROR(__xludf.DUMMYFUNCTION("""COMPUTED_VALUE"""),44739.0)</f>
        <v>44739</v>
      </c>
      <c r="C17008" s="6">
        <f>IFERROR(__xludf.DUMMYFUNCTION("""COMPUTED_VALUE"""),0.29395833333182964)</f>
        <v>0.2939583333</v>
      </c>
      <c r="D17008" s="4">
        <f>IFERROR(__xludf.DUMMYFUNCTION("""COMPUTED_VALUE"""),12.51483)</f>
        <v>12.51483</v>
      </c>
      <c r="E17008" s="4">
        <f>IFERROR(__xludf.DUMMYFUNCTION("""COMPUTED_VALUE"""),79.8854)</f>
        <v>79.8854</v>
      </c>
      <c r="F17008" s="4">
        <f>IFERROR(__xludf.DUMMYFUNCTION("""COMPUTED_VALUE"""),2846.0)</f>
        <v>2846</v>
      </c>
      <c r="G17008" s="4">
        <f>IFERROR(__xludf.DUMMYFUNCTION("""COMPUTED_VALUE"""),58.0)</f>
        <v>58</v>
      </c>
      <c r="H17008" s="4"/>
      <c r="I17008" s="4"/>
    </row>
    <row r="17009">
      <c r="A17009" s="4" t="str">
        <f>IFERROR(__xludf.DUMMYFUNCTION("""COMPUTED_VALUE"""),"cas_hmw")</f>
        <v>cas_hmw</v>
      </c>
      <c r="B17009" s="5">
        <f>IFERROR(__xludf.DUMMYFUNCTION("""COMPUTED_VALUE"""),44739.0)</f>
        <v>44739</v>
      </c>
      <c r="C17009" s="6">
        <f>IFERROR(__xludf.DUMMYFUNCTION("""COMPUTED_VALUE"""),0.2959953703721112)</f>
        <v>0.2959953704</v>
      </c>
      <c r="D17009" s="4">
        <f>IFERROR(__xludf.DUMMYFUNCTION("""COMPUTED_VALUE"""),13.062956)</f>
        <v>13.062956</v>
      </c>
      <c r="E17009" s="4">
        <f>IFERROR(__xludf.DUMMYFUNCTION("""COMPUTED_VALUE"""),80.24767)</f>
        <v>80.24767</v>
      </c>
      <c r="F17009" s="4">
        <f>IFERROR(__xludf.DUMMYFUNCTION("""COMPUTED_VALUE"""),5339.0)</f>
        <v>5339</v>
      </c>
      <c r="G17009" s="4">
        <f>IFERROR(__xludf.DUMMYFUNCTION("""COMPUTED_VALUE"""),31.0)</f>
        <v>31</v>
      </c>
      <c r="H17009" s="4"/>
      <c r="I17009" s="4"/>
    </row>
    <row r="17010">
      <c r="A17010" s="4" t="str">
        <f>IFERROR(__xludf.DUMMYFUNCTION("""COMPUTED_VALUE"""),"cas_hmw")</f>
        <v>cas_hmw</v>
      </c>
      <c r="B17010" s="5">
        <f>IFERROR(__xludf.DUMMYFUNCTION("""COMPUTED_VALUE"""),44739.0)</f>
        <v>44739</v>
      </c>
      <c r="C17010" s="6">
        <f>IFERROR(__xludf.DUMMYFUNCTION("""COMPUTED_VALUE"""),0.2972106481465744)</f>
        <v>0.2972106481</v>
      </c>
      <c r="D17010" s="4">
        <f>IFERROR(__xludf.DUMMYFUNCTION("""COMPUTED_VALUE"""),13.066245)</f>
        <v>13.066245</v>
      </c>
      <c r="E17010" s="4">
        <f>IFERROR(__xludf.DUMMYFUNCTION("""COMPUTED_VALUE"""),80.244679)</f>
        <v>80.244679</v>
      </c>
      <c r="F17010" s="4">
        <f>IFERROR(__xludf.DUMMYFUNCTION("""COMPUTED_VALUE"""),5339.0)</f>
        <v>5339</v>
      </c>
      <c r="G17010" s="4">
        <f>IFERROR(__xludf.DUMMYFUNCTION("""COMPUTED_VALUE"""),40.0)</f>
        <v>40</v>
      </c>
      <c r="H17010" s="4"/>
      <c r="I17010" s="4"/>
    </row>
    <row r="17011">
      <c r="A17011" s="4" t="str">
        <f>IFERROR(__xludf.DUMMYFUNCTION("""COMPUTED_VALUE"""),"cas_hmw")</f>
        <v>cas_hmw</v>
      </c>
      <c r="B17011" s="5">
        <f>IFERROR(__xludf.DUMMYFUNCTION("""COMPUTED_VALUE"""),44739.0)</f>
        <v>44739</v>
      </c>
      <c r="C17011" s="6">
        <f>IFERROR(__xludf.DUMMYFUNCTION("""COMPUTED_VALUE"""),0.2975925925929914)</f>
        <v>0.2975925926</v>
      </c>
      <c r="D17011" s="4">
        <f>IFERROR(__xludf.DUMMYFUNCTION("""COMPUTED_VALUE"""),13.067843)</f>
        <v>13.067843</v>
      </c>
      <c r="E17011" s="4">
        <f>IFERROR(__xludf.DUMMYFUNCTION("""COMPUTED_VALUE"""),80.246559)</f>
        <v>80.246559</v>
      </c>
      <c r="F17011" s="4">
        <f>IFERROR(__xludf.DUMMYFUNCTION("""COMPUTED_VALUE"""),5339.0)</f>
        <v>5339</v>
      </c>
      <c r="G17011" s="4">
        <f>IFERROR(__xludf.DUMMYFUNCTION("""COMPUTED_VALUE"""),29.0)</f>
        <v>29</v>
      </c>
      <c r="H17011" s="4"/>
      <c r="I17011" s="4"/>
    </row>
    <row r="17012">
      <c r="A17012" s="4" t="str">
        <f>IFERROR(__xludf.DUMMYFUNCTION("""COMPUTED_VALUE"""),"cas_hmw")</f>
        <v>cas_hmw</v>
      </c>
      <c r="B17012" s="5">
        <f>IFERROR(__xludf.DUMMYFUNCTION("""COMPUTED_VALUE"""),44739.0)</f>
        <v>44739</v>
      </c>
      <c r="C17012" s="6">
        <f>IFERROR(__xludf.DUMMYFUNCTION("""COMPUTED_VALUE"""),0.2977777777778101)</f>
        <v>0.2977777778</v>
      </c>
      <c r="D17012" s="4">
        <f>IFERROR(__xludf.DUMMYFUNCTION("""COMPUTED_VALUE"""),13.06793)</f>
        <v>13.06793</v>
      </c>
      <c r="E17012" s="4">
        <f>IFERROR(__xludf.DUMMYFUNCTION("""COMPUTED_VALUE"""),80.248052)</f>
        <v>80.248052</v>
      </c>
      <c r="F17012" s="4">
        <f>IFERROR(__xludf.DUMMYFUNCTION("""COMPUTED_VALUE"""),5339.0)</f>
        <v>5339</v>
      </c>
      <c r="G17012" s="4">
        <f>IFERROR(__xludf.DUMMYFUNCTION("""COMPUTED_VALUE"""),29.0)</f>
        <v>29</v>
      </c>
      <c r="H17012" s="4"/>
      <c r="I17012" s="4"/>
    </row>
    <row r="17013">
      <c r="A17013" s="4" t="str">
        <f>IFERROR(__xludf.DUMMYFUNCTION("""COMPUTED_VALUE"""),"cas_hmw")</f>
        <v>cas_hmw</v>
      </c>
      <c r="B17013" s="5">
        <f>IFERROR(__xludf.DUMMYFUNCTION("""COMPUTED_VALUE"""),44739.0)</f>
        <v>44739</v>
      </c>
      <c r="C17013" s="6">
        <f>IFERROR(__xludf.DUMMYFUNCTION("""COMPUTED_VALUE"""),0.29844907407459687)</f>
        <v>0.2984490741</v>
      </c>
      <c r="D17013" s="4">
        <f>IFERROR(__xludf.DUMMYFUNCTION("""COMPUTED_VALUE"""),13.067428)</f>
        <v>13.067428</v>
      </c>
      <c r="E17013" s="4">
        <f>IFERROR(__xludf.DUMMYFUNCTION("""COMPUTED_VALUE"""),80.251944)</f>
        <v>80.251944</v>
      </c>
      <c r="F17013" s="4">
        <f>IFERROR(__xludf.DUMMYFUNCTION("""COMPUTED_VALUE"""),5339.0)</f>
        <v>5339</v>
      </c>
      <c r="G17013" s="4">
        <f>IFERROR(__xludf.DUMMYFUNCTION("""COMPUTED_VALUE"""),21.0)</f>
        <v>21</v>
      </c>
      <c r="H17013" s="4"/>
      <c r="I17013" s="4"/>
    </row>
    <row r="17014">
      <c r="A17014" s="4" t="str">
        <f>IFERROR(__xludf.DUMMYFUNCTION("""COMPUTED_VALUE"""),"cas_hmw")</f>
        <v>cas_hmw</v>
      </c>
      <c r="B17014" s="5">
        <f>IFERROR(__xludf.DUMMYFUNCTION("""COMPUTED_VALUE"""),44739.0)</f>
        <v>44739</v>
      </c>
      <c r="C17014" s="6">
        <f>IFERROR(__xludf.DUMMYFUNCTION("""COMPUTED_VALUE"""),0.3000694444453984)</f>
        <v>0.3000694444</v>
      </c>
      <c r="D17014" s="4">
        <f>IFERROR(__xludf.DUMMYFUNCTION("""COMPUTED_VALUE"""),13.071515)</f>
        <v>13.071515</v>
      </c>
      <c r="E17014" s="4">
        <f>IFERROR(__xludf.DUMMYFUNCTION("""COMPUTED_VALUE"""),80.259034)</f>
        <v>80.259034</v>
      </c>
      <c r="F17014" s="4">
        <f>IFERROR(__xludf.DUMMYFUNCTION("""COMPUTED_VALUE"""),5339.0)</f>
        <v>5339</v>
      </c>
      <c r="G17014" s="4">
        <f>IFERROR(__xludf.DUMMYFUNCTION("""COMPUTED_VALUE"""),26.0)</f>
        <v>26</v>
      </c>
      <c r="H17014" s="4"/>
      <c r="I17014" s="4"/>
    </row>
    <row r="17015">
      <c r="A17015" s="4" t="str">
        <f>IFERROR(__xludf.DUMMYFUNCTION("""COMPUTED_VALUE"""),"cas_hmw")</f>
        <v>cas_hmw</v>
      </c>
      <c r="B17015" s="5">
        <f>IFERROR(__xludf.DUMMYFUNCTION("""COMPUTED_VALUE"""),44739.0)</f>
        <v>44739</v>
      </c>
      <c r="C17015" s="6">
        <f>IFERROR(__xludf.DUMMYFUNCTION("""COMPUTED_VALUE"""),0.30310185185226146)</f>
        <v>0.3031018519</v>
      </c>
      <c r="D17015" s="4">
        <f>IFERROR(__xludf.DUMMYFUNCTION("""COMPUTED_VALUE"""),13.068347)</f>
        <v>13.068347</v>
      </c>
      <c r="E17015" s="4">
        <f>IFERROR(__xludf.DUMMYFUNCTION("""COMPUTED_VALUE"""),80.272037)</f>
        <v>80.272037</v>
      </c>
      <c r="F17015" s="4">
        <f>IFERROR(__xludf.DUMMYFUNCTION("""COMPUTED_VALUE"""),5339.0)</f>
        <v>5339</v>
      </c>
      <c r="G17015" s="4">
        <f>IFERROR(__xludf.DUMMYFUNCTION("""COMPUTED_VALUE"""),24.0)</f>
        <v>24</v>
      </c>
      <c r="H17015" s="4"/>
      <c r="I17015" s="4"/>
    </row>
    <row r="17016">
      <c r="A17016" s="4" t="str">
        <f>IFERROR(__xludf.DUMMYFUNCTION("""COMPUTED_VALUE"""),"cas_hmw")</f>
        <v>cas_hmw</v>
      </c>
      <c r="B17016" s="5">
        <f>IFERROR(__xludf.DUMMYFUNCTION("""COMPUTED_VALUE"""),44739.0)</f>
        <v>44739</v>
      </c>
      <c r="C17016" s="6">
        <f>IFERROR(__xludf.DUMMYFUNCTION("""COMPUTED_VALUE"""),0.30332175926014315)</f>
        <v>0.3033217593</v>
      </c>
      <c r="D17016" s="4">
        <f>IFERROR(__xludf.DUMMYFUNCTION("""COMPUTED_VALUE"""),13.067171)</f>
        <v>13.067171</v>
      </c>
      <c r="E17016" s="4">
        <f>IFERROR(__xludf.DUMMYFUNCTION("""COMPUTED_VALUE"""),80.27331)</f>
        <v>80.27331</v>
      </c>
      <c r="F17016" s="4">
        <f>IFERROR(__xludf.DUMMYFUNCTION("""COMPUTED_VALUE"""),5339.0)</f>
        <v>5339</v>
      </c>
      <c r="G17016" s="4">
        <f>IFERROR(__xludf.DUMMYFUNCTION("""COMPUTED_VALUE"""),35.0)</f>
        <v>35</v>
      </c>
      <c r="H17016" s="4"/>
      <c r="I17016" s="4"/>
    </row>
    <row r="17017">
      <c r="A17017" s="4" t="str">
        <f>IFERROR(__xludf.DUMMYFUNCTION("""COMPUTED_VALUE"""),"cas_hmw")</f>
        <v>cas_hmw</v>
      </c>
      <c r="B17017" s="5">
        <f>IFERROR(__xludf.DUMMYFUNCTION("""COMPUTED_VALUE"""),44739.0)</f>
        <v>44739</v>
      </c>
      <c r="C17017" s="6">
        <f>IFERROR(__xludf.DUMMYFUNCTION("""COMPUTED_VALUE"""),0.3039699074070086)</f>
        <v>0.3039699074</v>
      </c>
      <c r="D17017" s="4">
        <f>IFERROR(__xludf.DUMMYFUNCTION("""COMPUTED_VALUE"""),12.55997)</f>
        <v>12.55997</v>
      </c>
      <c r="E17017" s="4">
        <f>IFERROR(__xludf.DUMMYFUNCTION("""COMPUTED_VALUE"""),79.911174)</f>
        <v>79.911174</v>
      </c>
      <c r="F17017" s="4">
        <f>IFERROR(__xludf.DUMMYFUNCTION("""COMPUTED_VALUE"""),2846.0)</f>
        <v>2846</v>
      </c>
      <c r="G17017" s="4">
        <f>IFERROR(__xludf.DUMMYFUNCTION("""COMPUTED_VALUE"""),56.0)</f>
        <v>56</v>
      </c>
      <c r="H17017" s="4"/>
      <c r="I17017" s="4"/>
    </row>
    <row r="17018">
      <c r="A17018" s="4" t="str">
        <f>IFERROR(__xludf.DUMMYFUNCTION("""COMPUTED_VALUE"""),"cas_hmw")</f>
        <v>cas_hmw</v>
      </c>
      <c r="B17018" s="5">
        <f>IFERROR(__xludf.DUMMYFUNCTION("""COMPUTED_VALUE"""),44739.0)</f>
        <v>44739</v>
      </c>
      <c r="C17018" s="6">
        <f>IFERROR(__xludf.DUMMYFUNCTION("""COMPUTED_VALUE"""),0.3119212962956226)</f>
        <v>0.3119212963</v>
      </c>
      <c r="D17018" s="4">
        <f>IFERROR(__xludf.DUMMYFUNCTION("""COMPUTED_VALUE"""),13.053215)</f>
        <v>13.053215</v>
      </c>
      <c r="E17018" s="4">
        <f>IFERROR(__xludf.DUMMYFUNCTION("""COMPUTED_VALUE"""),80.252195)</f>
        <v>80.252195</v>
      </c>
      <c r="F17018" s="4">
        <f>IFERROR(__xludf.DUMMYFUNCTION("""COMPUTED_VALUE"""),5339.0)</f>
        <v>5339</v>
      </c>
      <c r="G17018" s="4">
        <f>IFERROR(__xludf.DUMMYFUNCTION("""COMPUTED_VALUE"""),42.0)</f>
        <v>42</v>
      </c>
      <c r="H17018" s="4"/>
      <c r="I17018" s="4"/>
    </row>
    <row r="17019">
      <c r="A17019" s="4" t="str">
        <f>IFERROR(__xludf.DUMMYFUNCTION("""COMPUTED_VALUE"""),"cas_hmw")</f>
        <v>cas_hmw</v>
      </c>
      <c r="B17019" s="5">
        <f>IFERROR(__xludf.DUMMYFUNCTION("""COMPUTED_VALUE"""),44739.0)</f>
        <v>44739</v>
      </c>
      <c r="C17019" s="6">
        <f>IFERROR(__xludf.DUMMYFUNCTION("""COMPUTED_VALUE"""),0.3129745370388264)</f>
        <v>0.312974537</v>
      </c>
      <c r="D17019" s="4">
        <f>IFERROR(__xludf.DUMMYFUNCTION("""COMPUTED_VALUE"""),13.044697)</f>
        <v>13.044697</v>
      </c>
      <c r="E17019" s="4">
        <f>IFERROR(__xludf.DUMMYFUNCTION("""COMPUTED_VALUE"""),80.248057)</f>
        <v>80.248057</v>
      </c>
      <c r="F17019" s="4">
        <f>IFERROR(__xludf.DUMMYFUNCTION("""COMPUTED_VALUE"""),5339.0)</f>
        <v>5339</v>
      </c>
      <c r="G17019" s="4">
        <f>IFERROR(__xludf.DUMMYFUNCTION("""COMPUTED_VALUE"""),38.0)</f>
        <v>38</v>
      </c>
      <c r="H17019" s="4"/>
      <c r="I17019" s="4"/>
    </row>
    <row r="17020">
      <c r="A17020" s="4" t="str">
        <f>IFERROR(__xludf.DUMMYFUNCTION("""COMPUTED_VALUE"""),"cas_hmw")</f>
        <v>cas_hmw</v>
      </c>
      <c r="B17020" s="5">
        <f>IFERROR(__xludf.DUMMYFUNCTION("""COMPUTED_VALUE"""),44739.0)</f>
        <v>44739</v>
      </c>
      <c r="C17020" s="6">
        <f>IFERROR(__xludf.DUMMYFUNCTION("""COMPUTED_VALUE"""),0.31480324074072996)</f>
        <v>0.3148032407</v>
      </c>
      <c r="D17020" s="4">
        <f>IFERROR(__xludf.DUMMYFUNCTION("""COMPUTED_VALUE"""),13.035429)</f>
        <v>13.035429</v>
      </c>
      <c r="E17020" s="4">
        <f>IFERROR(__xludf.DUMMYFUNCTION("""COMPUTED_VALUE"""),80.246153)</f>
        <v>80.246153</v>
      </c>
      <c r="F17020" s="4">
        <f>IFERROR(__xludf.DUMMYFUNCTION("""COMPUTED_VALUE"""),5339.0)</f>
        <v>5339</v>
      </c>
      <c r="G17020" s="4">
        <f>IFERROR(__xludf.DUMMYFUNCTION("""COMPUTED_VALUE"""),24.0)</f>
        <v>24</v>
      </c>
      <c r="H17020" s="4"/>
      <c r="I17020" s="4"/>
    </row>
    <row r="17021">
      <c r="A17021" s="4" t="str">
        <f>IFERROR(__xludf.DUMMYFUNCTION("""COMPUTED_VALUE"""),"cas_hmw")</f>
        <v>cas_hmw</v>
      </c>
      <c r="B17021" s="5">
        <f>IFERROR(__xludf.DUMMYFUNCTION("""COMPUTED_VALUE"""),44739.0)</f>
        <v>44739</v>
      </c>
      <c r="C17021" s="6">
        <f>IFERROR(__xludf.DUMMYFUNCTION("""COMPUTED_VALUE"""),0.3149305555562023)</f>
        <v>0.3149305556</v>
      </c>
      <c r="D17021" s="4">
        <f>IFERROR(__xludf.DUMMYFUNCTION("""COMPUTED_VALUE"""),13.034822)</f>
        <v>13.034822</v>
      </c>
      <c r="E17021" s="4">
        <f>IFERROR(__xludf.DUMMYFUNCTION("""COMPUTED_VALUE"""),80.245768)</f>
        <v>80.245768</v>
      </c>
      <c r="F17021" s="4">
        <f>IFERROR(__xludf.DUMMYFUNCTION("""COMPUTED_VALUE"""),5339.0)</f>
        <v>5339</v>
      </c>
      <c r="G17021" s="4">
        <f>IFERROR(__xludf.DUMMYFUNCTION("""COMPUTED_VALUE"""),29.0)</f>
        <v>29</v>
      </c>
      <c r="H17021" s="4"/>
      <c r="I17021" s="4"/>
    </row>
    <row r="17022">
      <c r="A17022" s="4" t="str">
        <f>IFERROR(__xludf.DUMMYFUNCTION("""COMPUTED_VALUE"""),"cas_hmw")</f>
        <v>cas_hmw</v>
      </c>
      <c r="B17022" s="5">
        <f>IFERROR(__xludf.DUMMYFUNCTION("""COMPUTED_VALUE"""),44739.0)</f>
        <v>44739</v>
      </c>
      <c r="C17022" s="6">
        <f>IFERROR(__xludf.DUMMYFUNCTION("""COMPUTED_VALUE"""),0.315081018517958)</f>
        <v>0.3150810185</v>
      </c>
      <c r="D17022" s="4">
        <f>IFERROR(__xludf.DUMMYFUNCTION("""COMPUTED_VALUE"""),13.034285)</f>
        <v>13.034285</v>
      </c>
      <c r="E17022" s="4">
        <f>IFERROR(__xludf.DUMMYFUNCTION("""COMPUTED_VALUE"""),80.245042)</f>
        <v>80.245042</v>
      </c>
      <c r="F17022" s="4">
        <f>IFERROR(__xludf.DUMMYFUNCTION("""COMPUTED_VALUE"""),5339.0)</f>
        <v>5339</v>
      </c>
      <c r="G17022" s="4">
        <f>IFERROR(__xludf.DUMMYFUNCTION("""COMPUTED_VALUE"""),37.0)</f>
        <v>37</v>
      </c>
      <c r="H17022" s="4"/>
      <c r="I17022" s="4"/>
    </row>
    <row r="17023">
      <c r="A17023" s="4" t="str">
        <f>IFERROR(__xludf.DUMMYFUNCTION("""COMPUTED_VALUE"""),"cas_hmw")</f>
        <v>cas_hmw</v>
      </c>
      <c r="B17023" s="5">
        <f>IFERROR(__xludf.DUMMYFUNCTION("""COMPUTED_VALUE"""),44739.0)</f>
        <v>44739</v>
      </c>
      <c r="C17023" s="6">
        <f>IFERROR(__xludf.DUMMYFUNCTION("""COMPUTED_VALUE"""),0.315219907406572)</f>
        <v>0.3152199074</v>
      </c>
      <c r="D17023" s="4">
        <f>IFERROR(__xludf.DUMMYFUNCTION("""COMPUTED_VALUE"""),13.033664)</f>
        <v>13.033664</v>
      </c>
      <c r="E17023" s="4">
        <f>IFERROR(__xludf.DUMMYFUNCTION("""COMPUTED_VALUE"""),80.244227)</f>
        <v>80.244227</v>
      </c>
      <c r="F17023" s="4">
        <f>IFERROR(__xludf.DUMMYFUNCTION("""COMPUTED_VALUE"""),5339.0)</f>
        <v>5339</v>
      </c>
      <c r="G17023" s="4">
        <f>IFERROR(__xludf.DUMMYFUNCTION("""COMPUTED_VALUE"""),39.0)</f>
        <v>39</v>
      </c>
      <c r="H17023" s="4"/>
      <c r="I17023" s="4"/>
    </row>
    <row r="17024">
      <c r="A17024" s="4" t="str">
        <f>IFERROR(__xludf.DUMMYFUNCTION("""COMPUTED_VALUE"""),"cas_hmw")</f>
        <v>cas_hmw</v>
      </c>
      <c r="B17024" s="5">
        <f>IFERROR(__xludf.DUMMYFUNCTION("""COMPUTED_VALUE"""),44739.0)</f>
        <v>44739</v>
      </c>
      <c r="C17024" s="6">
        <f>IFERROR(__xludf.DUMMYFUNCTION("""COMPUTED_VALUE"""),0.3161342592575238)</f>
        <v>0.3161342593</v>
      </c>
      <c r="D17024" s="4">
        <f>IFERROR(__xludf.DUMMYFUNCTION("""COMPUTED_VALUE"""),13.031042)</f>
        <v>13.031042</v>
      </c>
      <c r="E17024" s="4">
        <f>IFERROR(__xludf.DUMMYFUNCTION("""COMPUTED_VALUE"""),80.239875)</f>
        <v>80.239875</v>
      </c>
      <c r="F17024" s="4">
        <f>IFERROR(__xludf.DUMMYFUNCTION("""COMPUTED_VALUE"""),5339.0)</f>
        <v>5339</v>
      </c>
      <c r="G17024" s="4">
        <f>IFERROR(__xludf.DUMMYFUNCTION("""COMPUTED_VALUE"""),32.0)</f>
        <v>32</v>
      </c>
      <c r="H17024" s="4"/>
      <c r="I17024" s="4"/>
    </row>
    <row r="17025">
      <c r="A17025" s="4" t="str">
        <f>IFERROR(__xludf.DUMMYFUNCTION("""COMPUTED_VALUE"""),"cas_hmw")</f>
        <v>cas_hmw</v>
      </c>
      <c r="B17025" s="5">
        <f>IFERROR(__xludf.DUMMYFUNCTION("""COMPUTED_VALUE"""),44739.0)</f>
        <v>44739</v>
      </c>
      <c r="C17025" s="6">
        <f>IFERROR(__xludf.DUMMYFUNCTION("""COMPUTED_VALUE"""),0.3171180555546016)</f>
        <v>0.3171180556</v>
      </c>
      <c r="D17025" s="4">
        <f>IFERROR(__xludf.DUMMYFUNCTION("""COMPUTED_VALUE"""),13.026699)</f>
        <v>13.026699</v>
      </c>
      <c r="E17025" s="4">
        <f>IFERROR(__xludf.DUMMYFUNCTION("""COMPUTED_VALUE"""),80.233412)</f>
        <v>80.233412</v>
      </c>
      <c r="F17025" s="4">
        <f>IFERROR(__xludf.DUMMYFUNCTION("""COMPUTED_VALUE"""),5339.0)</f>
        <v>5339</v>
      </c>
      <c r="G17025" s="4">
        <f>IFERROR(__xludf.DUMMYFUNCTION("""COMPUTED_VALUE"""),8.0)</f>
        <v>8</v>
      </c>
      <c r="H17025" s="4"/>
      <c r="I17025" s="4"/>
    </row>
    <row r="17026">
      <c r="A17026" s="4" t="str">
        <f>IFERROR(__xludf.DUMMYFUNCTION("""COMPUTED_VALUE"""),"cas_hmw")</f>
        <v>cas_hmw</v>
      </c>
      <c r="B17026" s="5">
        <f>IFERROR(__xludf.DUMMYFUNCTION("""COMPUTED_VALUE"""),44739.0)</f>
        <v>44739</v>
      </c>
      <c r="C17026" s="6">
        <f>IFERROR(__xludf.DUMMYFUNCTION("""COMPUTED_VALUE"""),0.317488425924239)</f>
        <v>0.3174884259</v>
      </c>
      <c r="D17026" s="4">
        <f>IFERROR(__xludf.DUMMYFUNCTION("""COMPUTED_VALUE"""),13.025982)</f>
        <v>13.025982</v>
      </c>
      <c r="E17026" s="4">
        <f>IFERROR(__xludf.DUMMYFUNCTION("""COMPUTED_VALUE"""),80.231362)</f>
        <v>80.231362</v>
      </c>
      <c r="F17026" s="4">
        <f>IFERROR(__xludf.DUMMYFUNCTION("""COMPUTED_VALUE"""),5339.0)</f>
        <v>5339</v>
      </c>
      <c r="G17026" s="4">
        <f>IFERROR(__xludf.DUMMYFUNCTION("""COMPUTED_VALUE"""),25.0)</f>
        <v>25</v>
      </c>
      <c r="H17026" s="4"/>
      <c r="I17026" s="4"/>
    </row>
    <row r="17027">
      <c r="A17027" s="4" t="str">
        <f>IFERROR(__xludf.DUMMYFUNCTION("""COMPUTED_VALUE"""),"cas_hmw")</f>
        <v>cas_hmw</v>
      </c>
      <c r="B17027" s="5">
        <f>IFERROR(__xludf.DUMMYFUNCTION("""COMPUTED_VALUE"""),44739.0)</f>
        <v>44739</v>
      </c>
      <c r="C17027" s="6">
        <f>IFERROR(__xludf.DUMMYFUNCTION("""COMPUTED_VALUE"""),0.31750000000101863)</f>
        <v>0.3175</v>
      </c>
      <c r="D17027" s="4">
        <f>IFERROR(__xludf.DUMMYFUNCTION("""COMPUTED_VALUE"""),13.025982)</f>
        <v>13.025982</v>
      </c>
      <c r="E17027" s="4">
        <f>IFERROR(__xludf.DUMMYFUNCTION("""COMPUTED_VALUE"""),80.231362)</f>
        <v>80.231362</v>
      </c>
      <c r="F17027" s="4">
        <f>IFERROR(__xludf.DUMMYFUNCTION("""COMPUTED_VALUE"""),5339.0)</f>
        <v>5339</v>
      </c>
      <c r="G17027" s="4">
        <f>IFERROR(__xludf.DUMMYFUNCTION("""COMPUTED_VALUE"""),25.0)</f>
        <v>25</v>
      </c>
      <c r="H17027" s="4"/>
      <c r="I17027" s="4"/>
    </row>
    <row r="17028">
      <c r="A17028" s="4" t="str">
        <f>IFERROR(__xludf.DUMMYFUNCTION("""COMPUTED_VALUE"""),"cas_hmw")</f>
        <v>cas_hmw</v>
      </c>
      <c r="B17028" s="5">
        <f>IFERROR(__xludf.DUMMYFUNCTION("""COMPUTED_VALUE"""),44739.0)</f>
        <v>44739</v>
      </c>
      <c r="C17028" s="6">
        <f>IFERROR(__xludf.DUMMYFUNCTION("""COMPUTED_VALUE"""),0.3189004629639385)</f>
        <v>0.318900463</v>
      </c>
      <c r="D17028" s="4">
        <f>IFERROR(__xludf.DUMMYFUNCTION("""COMPUTED_VALUE"""),13.015368)</f>
        <v>13.015368</v>
      </c>
      <c r="E17028" s="4">
        <f>IFERROR(__xludf.DUMMYFUNCTION("""COMPUTED_VALUE"""),80.22588)</f>
        <v>80.22588</v>
      </c>
      <c r="F17028" s="4">
        <f>IFERROR(__xludf.DUMMYFUNCTION("""COMPUTED_VALUE"""),5339.0)</f>
        <v>5339</v>
      </c>
      <c r="G17028" s="4">
        <f>IFERROR(__xludf.DUMMYFUNCTION("""COMPUTED_VALUE"""),51.0)</f>
        <v>51</v>
      </c>
      <c r="H17028" s="4"/>
      <c r="I17028" s="4"/>
    </row>
    <row r="17029">
      <c r="A17029" s="4" t="str">
        <f>IFERROR(__xludf.DUMMYFUNCTION("""COMPUTED_VALUE"""),"cas_hmw")</f>
        <v>cas_hmw</v>
      </c>
      <c r="B17029" s="5">
        <f>IFERROR(__xludf.DUMMYFUNCTION("""COMPUTED_VALUE"""),44739.0)</f>
        <v>44739</v>
      </c>
      <c r="C17029" s="6">
        <f>IFERROR(__xludf.DUMMYFUNCTION("""COMPUTED_VALUE"""),0.3193402777760639)</f>
        <v>0.3193402778</v>
      </c>
      <c r="D17029" s="4">
        <f>IFERROR(__xludf.DUMMYFUNCTION("""COMPUTED_VALUE"""),13.010819)</f>
        <v>13.010819</v>
      </c>
      <c r="E17029" s="4">
        <f>IFERROR(__xludf.DUMMYFUNCTION("""COMPUTED_VALUE"""),80.22762)</f>
        <v>80.22762</v>
      </c>
      <c r="F17029" s="4">
        <f>IFERROR(__xludf.DUMMYFUNCTION("""COMPUTED_VALUE"""),5339.0)</f>
        <v>5339</v>
      </c>
      <c r="G17029" s="4">
        <f>IFERROR(__xludf.DUMMYFUNCTION("""COMPUTED_VALUE"""),47.0)</f>
        <v>47</v>
      </c>
      <c r="H17029" s="4"/>
      <c r="I17029" s="4"/>
    </row>
    <row r="17030">
      <c r="A17030" s="4" t="str">
        <f>IFERROR(__xludf.DUMMYFUNCTION("""COMPUTED_VALUE"""),"cas_hmw")</f>
        <v>cas_hmw</v>
      </c>
      <c r="B17030" s="5">
        <f>IFERROR(__xludf.DUMMYFUNCTION("""COMPUTED_VALUE"""),44739.0)</f>
        <v>44739</v>
      </c>
      <c r="C17030" s="6">
        <f>IFERROR(__xludf.DUMMYFUNCTION("""COMPUTED_VALUE"""),0.31978009259182727)</f>
        <v>0.3197800926</v>
      </c>
      <c r="D17030" s="4">
        <f>IFERROR(__xludf.DUMMYFUNCTION("""COMPUTED_VALUE"""),13.010334)</f>
        <v>13.010334</v>
      </c>
      <c r="E17030" s="4">
        <f>IFERROR(__xludf.DUMMYFUNCTION("""COMPUTED_VALUE"""),80.225805)</f>
        <v>80.225805</v>
      </c>
      <c r="F17030" s="4">
        <f>IFERROR(__xludf.DUMMYFUNCTION("""COMPUTED_VALUE"""),5339.0)</f>
        <v>5339</v>
      </c>
      <c r="G17030" s="4">
        <f>IFERROR(__xludf.DUMMYFUNCTION("""COMPUTED_VALUE"""),45.0)</f>
        <v>45</v>
      </c>
      <c r="H17030" s="4"/>
      <c r="I17030" s="4"/>
    </row>
    <row r="17031">
      <c r="A17031" s="4" t="str">
        <f>IFERROR(__xludf.DUMMYFUNCTION("""COMPUTED_VALUE"""),"cas_hmw")</f>
        <v>cas_hmw</v>
      </c>
      <c r="B17031" s="5">
        <f>IFERROR(__xludf.DUMMYFUNCTION("""COMPUTED_VALUE"""),44739.0)</f>
        <v>44739</v>
      </c>
      <c r="C17031" s="6">
        <f>IFERROR(__xludf.DUMMYFUNCTION("""COMPUTED_VALUE"""),0.3198032407417486)</f>
        <v>0.3198032407</v>
      </c>
      <c r="D17031" s="4">
        <f>IFERROR(__xludf.DUMMYFUNCTION("""COMPUTED_VALUE"""),13.010334)</f>
        <v>13.010334</v>
      </c>
      <c r="E17031" s="4">
        <f>IFERROR(__xludf.DUMMYFUNCTION("""COMPUTED_VALUE"""),80.225805)</f>
        <v>80.225805</v>
      </c>
      <c r="F17031" s="4">
        <f>IFERROR(__xludf.DUMMYFUNCTION("""COMPUTED_VALUE"""),5339.0)</f>
        <v>5339</v>
      </c>
      <c r="G17031" s="4">
        <f>IFERROR(__xludf.DUMMYFUNCTION("""COMPUTED_VALUE"""),45.0)</f>
        <v>45</v>
      </c>
      <c r="H17031" s="4"/>
      <c r="I17031" s="4"/>
    </row>
    <row r="17032">
      <c r="A17032" s="4" t="str">
        <f>IFERROR(__xludf.DUMMYFUNCTION("""COMPUTED_VALUE"""),"cas_hmw")</f>
        <v>cas_hmw</v>
      </c>
      <c r="B17032" s="5">
        <f>IFERROR(__xludf.DUMMYFUNCTION("""COMPUTED_VALUE"""),44739.0)</f>
        <v>44739</v>
      </c>
      <c r="C17032" s="6">
        <f>IFERROR(__xludf.DUMMYFUNCTION("""COMPUTED_VALUE"""),0.32052083333474)</f>
        <v>0.3205208333</v>
      </c>
      <c r="D17032" s="4">
        <f>IFERROR(__xludf.DUMMYFUNCTION("""COMPUTED_VALUE"""),12.683804)</f>
        <v>12.683804</v>
      </c>
      <c r="E17032" s="4">
        <f>IFERROR(__xludf.DUMMYFUNCTION("""COMPUTED_VALUE"""),79.983184)</f>
        <v>79.983184</v>
      </c>
      <c r="F17032" s="4">
        <f>IFERROR(__xludf.DUMMYFUNCTION("""COMPUTED_VALUE"""),2846.0)</f>
        <v>2846</v>
      </c>
      <c r="G17032" s="4">
        <f>IFERROR(__xludf.DUMMYFUNCTION("""COMPUTED_VALUE"""),19.0)</f>
        <v>19</v>
      </c>
      <c r="H17032" s="4"/>
      <c r="I17032" s="4"/>
    </row>
    <row r="17033">
      <c r="A17033" s="4" t="str">
        <f>IFERROR(__xludf.DUMMYFUNCTION("""COMPUTED_VALUE"""),"cas_hmw")</f>
        <v>cas_hmw</v>
      </c>
      <c r="B17033" s="5">
        <f>IFERROR(__xludf.DUMMYFUNCTION("""COMPUTED_VALUE"""),44739.0)</f>
        <v>44739</v>
      </c>
      <c r="C17033" s="6">
        <f>IFERROR(__xludf.DUMMYFUNCTION("""COMPUTED_VALUE"""),0.3205671296309447)</f>
        <v>0.3205671296</v>
      </c>
      <c r="D17033" s="4">
        <f>IFERROR(__xludf.DUMMYFUNCTION("""COMPUTED_VALUE"""),13.011981)</f>
        <v>13.011981</v>
      </c>
      <c r="E17033" s="4">
        <f>IFERROR(__xludf.DUMMYFUNCTION("""COMPUTED_VALUE"""),80.221808)</f>
        <v>80.221808</v>
      </c>
      <c r="F17033" s="4">
        <f>IFERROR(__xludf.DUMMYFUNCTION("""COMPUTED_VALUE"""),5339.0)</f>
        <v>5339</v>
      </c>
      <c r="G17033" s="4">
        <f>IFERROR(__xludf.DUMMYFUNCTION("""COMPUTED_VALUE"""),39.0)</f>
        <v>39</v>
      </c>
      <c r="H17033" s="4"/>
      <c r="I17033" s="4"/>
    </row>
    <row r="17034">
      <c r="A17034" s="4" t="str">
        <f>IFERROR(__xludf.DUMMYFUNCTION("""COMPUTED_VALUE"""),"cas_hmw")</f>
        <v>cas_hmw</v>
      </c>
      <c r="B17034" s="5">
        <f>IFERROR(__xludf.DUMMYFUNCTION("""COMPUTED_VALUE"""),44739.0)</f>
        <v>44739</v>
      </c>
      <c r="C17034" s="6">
        <f>IFERROR(__xludf.DUMMYFUNCTION("""COMPUTED_VALUE"""),0.3206018518503697)</f>
        <v>0.3206018519</v>
      </c>
      <c r="D17034" s="4">
        <f>IFERROR(__xludf.DUMMYFUNCTION("""COMPUTED_VALUE"""),13.011981)</f>
        <v>13.011981</v>
      </c>
      <c r="E17034" s="4">
        <f>IFERROR(__xludf.DUMMYFUNCTION("""COMPUTED_VALUE"""),80.221808)</f>
        <v>80.221808</v>
      </c>
      <c r="F17034" s="4">
        <f>IFERROR(__xludf.DUMMYFUNCTION("""COMPUTED_VALUE"""),5339.0)</f>
        <v>5339</v>
      </c>
      <c r="G17034" s="4">
        <f>IFERROR(__xludf.DUMMYFUNCTION("""COMPUTED_VALUE"""),39.0)</f>
        <v>39</v>
      </c>
      <c r="H17034" s="4"/>
      <c r="I17034" s="4"/>
    </row>
    <row r="17035">
      <c r="A17035" s="4" t="str">
        <f>IFERROR(__xludf.DUMMYFUNCTION("""COMPUTED_VALUE"""),"cas_hmw")</f>
        <v>cas_hmw</v>
      </c>
      <c r="B17035" s="5">
        <f>IFERROR(__xludf.DUMMYFUNCTION("""COMPUTED_VALUE"""),44739.0)</f>
        <v>44739</v>
      </c>
      <c r="C17035" s="6">
        <f>IFERROR(__xludf.DUMMYFUNCTION("""COMPUTED_VALUE"""),0.32091435185066075)</f>
        <v>0.3209143519</v>
      </c>
      <c r="D17035" s="4">
        <f>IFERROR(__xludf.DUMMYFUNCTION("""COMPUTED_VALUE"""),13.011538)</f>
        <v>13.011538</v>
      </c>
      <c r="E17035" s="4">
        <f>IFERROR(__xludf.DUMMYFUNCTION("""COMPUTED_VALUE"""),80.219076)</f>
        <v>80.219076</v>
      </c>
      <c r="F17035" s="4">
        <f>IFERROR(__xludf.DUMMYFUNCTION("""COMPUTED_VALUE"""),5339.0)</f>
        <v>5339</v>
      </c>
      <c r="G17035" s="4">
        <f>IFERROR(__xludf.DUMMYFUNCTION("""COMPUTED_VALUE"""),46.0)</f>
        <v>46</v>
      </c>
      <c r="H17035" s="4"/>
      <c r="I17035" s="4"/>
    </row>
    <row r="17036">
      <c r="A17036" s="4" t="str">
        <f>IFERROR(__xludf.DUMMYFUNCTION("""COMPUTED_VALUE"""),"cas_hmw")</f>
        <v>cas_hmw</v>
      </c>
      <c r="B17036" s="5">
        <f>IFERROR(__xludf.DUMMYFUNCTION("""COMPUTED_VALUE"""),44739.0)</f>
        <v>44739</v>
      </c>
      <c r="C17036" s="6">
        <f>IFERROR(__xludf.DUMMYFUNCTION("""COMPUTED_VALUE"""),0.32164351851679385)</f>
        <v>0.3216435185</v>
      </c>
      <c r="D17036" s="4">
        <f>IFERROR(__xludf.DUMMYFUNCTION("""COMPUTED_VALUE"""),13.008914)</f>
        <v>13.008914</v>
      </c>
      <c r="E17036" s="4">
        <f>IFERROR(__xludf.DUMMYFUNCTION("""COMPUTED_VALUE"""),80.21175)</f>
        <v>80.21175</v>
      </c>
      <c r="F17036" s="4">
        <f>IFERROR(__xludf.DUMMYFUNCTION("""COMPUTED_VALUE"""),5339.0)</f>
        <v>5339</v>
      </c>
      <c r="G17036" s="4">
        <f>IFERROR(__xludf.DUMMYFUNCTION("""COMPUTED_VALUE"""),33.0)</f>
        <v>33</v>
      </c>
      <c r="H17036" s="4"/>
      <c r="I17036" s="4"/>
    </row>
    <row r="17037">
      <c r="A17037" s="4" t="str">
        <f>IFERROR(__xludf.DUMMYFUNCTION("""COMPUTED_VALUE"""),"cas_hmw")</f>
        <v>cas_hmw</v>
      </c>
      <c r="B17037" s="5">
        <f>IFERROR(__xludf.DUMMYFUNCTION("""COMPUTED_VALUE"""),44739.0)</f>
        <v>44739</v>
      </c>
      <c r="C17037" s="6">
        <f>IFERROR(__xludf.DUMMYFUNCTION("""COMPUTED_VALUE"""),0.3217013888897782)</f>
        <v>0.3217013889</v>
      </c>
      <c r="D17037" s="4">
        <f>IFERROR(__xludf.DUMMYFUNCTION("""COMPUTED_VALUE"""),13.008914)</f>
        <v>13.008914</v>
      </c>
      <c r="E17037" s="4">
        <f>IFERROR(__xludf.DUMMYFUNCTION("""COMPUTED_VALUE"""),80.21175)</f>
        <v>80.21175</v>
      </c>
      <c r="F17037" s="4">
        <f>IFERROR(__xludf.DUMMYFUNCTION("""COMPUTED_VALUE"""),5339.0)</f>
        <v>5339</v>
      </c>
      <c r="G17037" s="4">
        <f>IFERROR(__xludf.DUMMYFUNCTION("""COMPUTED_VALUE"""),33.0)</f>
        <v>33</v>
      </c>
      <c r="H17037" s="4"/>
      <c r="I17037" s="4"/>
    </row>
    <row r="17038">
      <c r="A17038" s="4" t="str">
        <f>IFERROR(__xludf.DUMMYFUNCTION("""COMPUTED_VALUE"""),"cas_hmw")</f>
        <v>cas_hmw</v>
      </c>
      <c r="B17038" s="5">
        <f>IFERROR(__xludf.DUMMYFUNCTION("""COMPUTED_VALUE"""),44739.0)</f>
        <v>44739</v>
      </c>
      <c r="C17038" s="6">
        <f>IFERROR(__xludf.DUMMYFUNCTION("""COMPUTED_VALUE"""),0.3218402777783922)</f>
        <v>0.3218402778</v>
      </c>
      <c r="D17038" s="4">
        <f>IFERROR(__xludf.DUMMYFUNCTION("""COMPUTED_VALUE"""),13.008259)</f>
        <v>13.008259</v>
      </c>
      <c r="E17038" s="4">
        <f>IFERROR(__xludf.DUMMYFUNCTION("""COMPUTED_VALUE"""),80.209845)</f>
        <v>80.209845</v>
      </c>
      <c r="F17038" s="4">
        <f>IFERROR(__xludf.DUMMYFUNCTION("""COMPUTED_VALUE"""),5339.0)</f>
        <v>5339</v>
      </c>
      <c r="G17038" s="4">
        <f>IFERROR(__xludf.DUMMYFUNCTION("""COMPUTED_VALUE"""),45.0)</f>
        <v>45</v>
      </c>
      <c r="H17038" s="4"/>
      <c r="I17038" s="4"/>
    </row>
    <row r="17039">
      <c r="A17039" s="4" t="str">
        <f>IFERROR(__xludf.DUMMYFUNCTION("""COMPUTED_VALUE"""),"cas_hmw")</f>
        <v>cas_hmw</v>
      </c>
      <c r="B17039" s="5">
        <f>IFERROR(__xludf.DUMMYFUNCTION("""COMPUTED_VALUE"""),44739.0)</f>
        <v>44739</v>
      </c>
      <c r="C17039" s="6">
        <f>IFERROR(__xludf.DUMMYFUNCTION("""COMPUTED_VALUE"""),0.32210648148247856)</f>
        <v>0.3221064815</v>
      </c>
      <c r="D17039" s="4">
        <f>IFERROR(__xludf.DUMMYFUNCTION("""COMPUTED_VALUE"""),13.007816)</f>
        <v>13.007816</v>
      </c>
      <c r="E17039" s="4">
        <f>IFERROR(__xludf.DUMMYFUNCTION("""COMPUTED_VALUE"""),80.207555)</f>
        <v>80.207555</v>
      </c>
      <c r="F17039" s="4">
        <f>IFERROR(__xludf.DUMMYFUNCTION("""COMPUTED_VALUE"""),5339.0)</f>
        <v>5339</v>
      </c>
      <c r="G17039" s="4">
        <f>IFERROR(__xludf.DUMMYFUNCTION("""COMPUTED_VALUE"""),51.0)</f>
        <v>51</v>
      </c>
      <c r="H17039" s="4"/>
      <c r="I17039" s="4"/>
    </row>
    <row r="17040">
      <c r="A17040" s="4" t="str">
        <f>IFERROR(__xludf.DUMMYFUNCTION("""COMPUTED_VALUE"""),"cas_hmw")</f>
        <v>cas_hmw</v>
      </c>
      <c r="B17040" s="5">
        <f>IFERROR(__xludf.DUMMYFUNCTION("""COMPUTED_VALUE"""),44739.0)</f>
        <v>44739</v>
      </c>
      <c r="C17040" s="6">
        <f>IFERROR(__xludf.DUMMYFUNCTION("""COMPUTED_VALUE"""),0.32232638889036025)</f>
        <v>0.3223263889</v>
      </c>
      <c r="D17040" s="4">
        <f>IFERROR(__xludf.DUMMYFUNCTION("""COMPUTED_VALUE"""),13.00726)</f>
        <v>13.00726</v>
      </c>
      <c r="E17040" s="4">
        <f>IFERROR(__xludf.DUMMYFUNCTION("""COMPUTED_VALUE"""),80.205114)</f>
        <v>80.205114</v>
      </c>
      <c r="F17040" s="4">
        <f>IFERROR(__xludf.DUMMYFUNCTION("""COMPUTED_VALUE"""),5339.0)</f>
        <v>5339</v>
      </c>
      <c r="G17040" s="4">
        <f>IFERROR(__xludf.DUMMYFUNCTION("""COMPUTED_VALUE"""),50.0)</f>
        <v>50</v>
      </c>
      <c r="H17040" s="4"/>
      <c r="I17040" s="4"/>
    </row>
    <row r="17041">
      <c r="A17041" s="4" t="str">
        <f>IFERROR(__xludf.DUMMYFUNCTION("""COMPUTED_VALUE"""),"cas_hmw")</f>
        <v>cas_hmw</v>
      </c>
      <c r="B17041" s="5">
        <f>IFERROR(__xludf.DUMMYFUNCTION("""COMPUTED_VALUE"""),44739.0)</f>
        <v>44739</v>
      </c>
      <c r="C17041" s="6">
        <f>IFERROR(__xludf.DUMMYFUNCTION("""COMPUTED_VALUE"""),0.3232175925913907)</f>
        <v>0.3232175926</v>
      </c>
      <c r="D17041" s="4">
        <f>IFERROR(__xludf.DUMMYFUNCTION("""COMPUTED_VALUE"""),13.003296)</f>
        <v>13.003296</v>
      </c>
      <c r="E17041" s="4">
        <f>IFERROR(__xludf.DUMMYFUNCTION("""COMPUTED_VALUE"""),80.200846)</f>
        <v>80.200846</v>
      </c>
      <c r="F17041" s="4">
        <f>IFERROR(__xludf.DUMMYFUNCTION("""COMPUTED_VALUE"""),5339.0)</f>
        <v>5339</v>
      </c>
      <c r="G17041" s="4">
        <f>IFERROR(__xludf.DUMMYFUNCTION("""COMPUTED_VALUE"""),46.0)</f>
        <v>46</v>
      </c>
      <c r="H17041" s="4"/>
      <c r="I17041" s="4"/>
    </row>
    <row r="17042">
      <c r="A17042" s="4" t="str">
        <f>IFERROR(__xludf.DUMMYFUNCTION("""COMPUTED_VALUE"""),"cas_hmw")</f>
        <v>cas_hmw</v>
      </c>
      <c r="B17042" s="5">
        <f>IFERROR(__xludf.DUMMYFUNCTION("""COMPUTED_VALUE"""),44739.0)</f>
        <v>44739</v>
      </c>
      <c r="C17042" s="6">
        <f>IFERROR(__xludf.DUMMYFUNCTION("""COMPUTED_VALUE"""),0.32335648148000473)</f>
        <v>0.3233564815</v>
      </c>
      <c r="D17042" s="4">
        <f>IFERROR(__xludf.DUMMYFUNCTION("""COMPUTED_VALUE"""),13.001732)</f>
        <v>13.001732</v>
      </c>
      <c r="E17042" s="4">
        <f>IFERROR(__xludf.DUMMYFUNCTION("""COMPUTED_VALUE"""),80.199506)</f>
        <v>80.199506</v>
      </c>
      <c r="F17042" s="4">
        <f>IFERROR(__xludf.DUMMYFUNCTION("""COMPUTED_VALUE"""),5339.0)</f>
        <v>5339</v>
      </c>
      <c r="G17042" s="4">
        <f>IFERROR(__xludf.DUMMYFUNCTION("""COMPUTED_VALUE"""),41.0)</f>
        <v>41</v>
      </c>
      <c r="H17042" s="4"/>
      <c r="I17042" s="4"/>
    </row>
    <row r="17043">
      <c r="A17043" s="4" t="str">
        <f>IFERROR(__xludf.DUMMYFUNCTION("""COMPUTED_VALUE"""),"cas_hmw")</f>
        <v>cas_hmw</v>
      </c>
      <c r="B17043" s="5">
        <f>IFERROR(__xludf.DUMMYFUNCTION("""COMPUTED_VALUE"""),44739.0)</f>
        <v>44739</v>
      </c>
      <c r="C17043" s="6">
        <f>IFERROR(__xludf.DUMMYFUNCTION("""COMPUTED_VALUE"""),0.32465277777737356)</f>
        <v>0.3246527778</v>
      </c>
      <c r="D17043" s="4">
        <f>IFERROR(__xludf.DUMMYFUNCTION("""COMPUTED_VALUE"""),12.995701)</f>
        <v>12.995701</v>
      </c>
      <c r="E17043" s="4">
        <f>IFERROR(__xludf.DUMMYFUNCTION("""COMPUTED_VALUE"""),80.188889)</f>
        <v>80.188889</v>
      </c>
      <c r="F17043" s="4">
        <f>IFERROR(__xludf.DUMMYFUNCTION("""COMPUTED_VALUE"""),5339.0)</f>
        <v>5339</v>
      </c>
      <c r="G17043" s="4">
        <f>IFERROR(__xludf.DUMMYFUNCTION("""COMPUTED_VALUE"""),54.0)</f>
        <v>54</v>
      </c>
      <c r="H17043" s="4"/>
      <c r="I17043" s="4"/>
    </row>
    <row r="17044">
      <c r="A17044" s="4" t="str">
        <f>IFERROR(__xludf.DUMMYFUNCTION("""COMPUTED_VALUE"""),"cas_hmw")</f>
        <v>cas_hmw</v>
      </c>
      <c r="B17044" s="5">
        <f>IFERROR(__xludf.DUMMYFUNCTION("""COMPUTED_VALUE"""),44739.0)</f>
        <v>44739</v>
      </c>
      <c r="C17044" s="6">
        <f>IFERROR(__xludf.DUMMYFUNCTION("""COMPUTED_VALUE"""),0.3247800925928459)</f>
        <v>0.3247800926</v>
      </c>
      <c r="D17044" s="4">
        <f>IFERROR(__xludf.DUMMYFUNCTION("""COMPUTED_VALUE"""),12.995189)</f>
        <v>12.995189</v>
      </c>
      <c r="E17044" s="4">
        <f>IFERROR(__xludf.DUMMYFUNCTION("""COMPUTED_VALUE"""),80.187918)</f>
        <v>80.187918</v>
      </c>
      <c r="F17044" s="4">
        <f>IFERROR(__xludf.DUMMYFUNCTION("""COMPUTED_VALUE"""),5339.0)</f>
        <v>5339</v>
      </c>
      <c r="G17044" s="4">
        <f>IFERROR(__xludf.DUMMYFUNCTION("""COMPUTED_VALUE"""),34.0)</f>
        <v>34</v>
      </c>
      <c r="H17044" s="4"/>
      <c r="I17044" s="4"/>
    </row>
    <row r="17045">
      <c r="A17045" s="4" t="str">
        <f>IFERROR(__xludf.DUMMYFUNCTION("""COMPUTED_VALUE"""),"cas_hmw")</f>
        <v>cas_hmw</v>
      </c>
      <c r="B17045" s="5">
        <f>IFERROR(__xludf.DUMMYFUNCTION("""COMPUTED_VALUE"""),44739.0)</f>
        <v>44739</v>
      </c>
      <c r="C17045" s="6">
        <f>IFERROR(__xludf.DUMMYFUNCTION("""COMPUTED_VALUE"""),0.3253587962972233)</f>
        <v>0.3253587963</v>
      </c>
      <c r="D17045" s="4">
        <f>IFERROR(__xludf.DUMMYFUNCTION("""COMPUTED_VALUE"""),13.006493)</f>
        <v>13.006493</v>
      </c>
      <c r="E17045" s="4">
        <f>IFERROR(__xludf.DUMMYFUNCTION("""COMPUTED_VALUE"""),80.252665)</f>
        <v>80.252665</v>
      </c>
      <c r="F17045" s="4">
        <f>IFERROR(__xludf.DUMMYFUNCTION("""COMPUTED_VALUE"""),805.0)</f>
        <v>805</v>
      </c>
      <c r="G17045" s="4">
        <f>IFERROR(__xludf.DUMMYFUNCTION("""COMPUTED_VALUE"""),37.0)</f>
        <v>37</v>
      </c>
      <c r="H17045" s="4"/>
      <c r="I17045" s="4"/>
    </row>
    <row r="17046">
      <c r="A17046" s="4" t="str">
        <f>IFERROR(__xludf.DUMMYFUNCTION("""COMPUTED_VALUE"""),"cas_hmw")</f>
        <v>cas_hmw</v>
      </c>
      <c r="B17046" s="5">
        <f>IFERROR(__xludf.DUMMYFUNCTION("""COMPUTED_VALUE"""),44739.0)</f>
        <v>44739</v>
      </c>
      <c r="C17046" s="6">
        <f>IFERROR(__xludf.DUMMYFUNCTION("""COMPUTED_VALUE"""),0.3253587962972233)</f>
        <v>0.3253587963</v>
      </c>
      <c r="D17046" s="4">
        <f>IFERROR(__xludf.DUMMYFUNCTION("""COMPUTED_VALUE"""),13.006493)</f>
        <v>13.006493</v>
      </c>
      <c r="E17046" s="4">
        <f>IFERROR(__xludf.DUMMYFUNCTION("""COMPUTED_VALUE"""),80.252665)</f>
        <v>80.252665</v>
      </c>
      <c r="F17046" s="4">
        <f>IFERROR(__xludf.DUMMYFUNCTION("""COMPUTED_VALUE"""),805.0)</f>
        <v>805</v>
      </c>
      <c r="G17046" s="4">
        <f>IFERROR(__xludf.DUMMYFUNCTION("""COMPUTED_VALUE"""),37.0)</f>
        <v>37</v>
      </c>
      <c r="H17046" s="4"/>
      <c r="I17046" s="4"/>
    </row>
    <row r="17047">
      <c r="A17047" s="4" t="str">
        <f>IFERROR(__xludf.DUMMYFUNCTION("""COMPUTED_VALUE"""),"cas_hmw")</f>
        <v>cas_hmw</v>
      </c>
      <c r="B17047" s="5">
        <f>IFERROR(__xludf.DUMMYFUNCTION("""COMPUTED_VALUE"""),44739.0)</f>
        <v>44739</v>
      </c>
      <c r="C17047" s="6">
        <f>IFERROR(__xludf.DUMMYFUNCTION("""COMPUTED_VALUE"""),0.32585648148233304)</f>
        <v>0.3258564815</v>
      </c>
      <c r="D17047" s="4">
        <f>IFERROR(__xludf.DUMMYFUNCTION("""COMPUTED_VALUE"""),12.993784)</f>
        <v>12.993784</v>
      </c>
      <c r="E17047" s="4">
        <f>IFERROR(__xludf.DUMMYFUNCTION("""COMPUTED_VALUE"""),80.185188)</f>
        <v>80.185188</v>
      </c>
      <c r="F17047" s="4">
        <f>IFERROR(__xludf.DUMMYFUNCTION("""COMPUTED_VALUE"""),5339.0)</f>
        <v>5339</v>
      </c>
      <c r="G17047" s="4">
        <f>IFERROR(__xludf.DUMMYFUNCTION("""COMPUTED_VALUE"""),34.0)</f>
        <v>34</v>
      </c>
      <c r="H17047" s="4"/>
      <c r="I17047" s="4"/>
    </row>
    <row r="17048">
      <c r="A17048" s="4" t="str">
        <f>IFERROR(__xludf.DUMMYFUNCTION("""COMPUTED_VALUE"""),"cas_hmw")</f>
        <v>cas_hmw</v>
      </c>
      <c r="B17048" s="5">
        <f>IFERROR(__xludf.DUMMYFUNCTION("""COMPUTED_VALUE"""),44739.0)</f>
        <v>44739</v>
      </c>
      <c r="C17048" s="6">
        <f>IFERROR(__xludf.DUMMYFUNCTION("""COMPUTED_VALUE"""),0.3262037037020491)</f>
        <v>0.3262037037</v>
      </c>
      <c r="D17048" s="4">
        <f>IFERROR(__xludf.DUMMYFUNCTION("""COMPUTED_VALUE"""),12.991942)</f>
        <v>12.991942</v>
      </c>
      <c r="E17048" s="4">
        <f>IFERROR(__xludf.DUMMYFUNCTION("""COMPUTED_VALUE"""),80.182177)</f>
        <v>80.182177</v>
      </c>
      <c r="F17048" s="4">
        <f>IFERROR(__xludf.DUMMYFUNCTION("""COMPUTED_VALUE"""),5339.0)</f>
        <v>5339</v>
      </c>
      <c r="G17048" s="4">
        <f>IFERROR(__xludf.DUMMYFUNCTION("""COMPUTED_VALUE"""),47.0)</f>
        <v>47</v>
      </c>
      <c r="H17048" s="4"/>
      <c r="I17048" s="4"/>
    </row>
    <row r="17049">
      <c r="A17049" s="4" t="str">
        <f>IFERROR(__xludf.DUMMYFUNCTION("""COMPUTED_VALUE"""),"cas_hmw")</f>
        <v>cas_hmw</v>
      </c>
      <c r="B17049" s="5">
        <f>IFERROR(__xludf.DUMMYFUNCTION("""COMPUTED_VALUE"""),44739.0)</f>
        <v>44739</v>
      </c>
      <c r="C17049" s="6">
        <f>IFERROR(__xludf.DUMMYFUNCTION("""COMPUTED_VALUE"""),0.32631944444437977)</f>
        <v>0.3263194444</v>
      </c>
      <c r="D17049" s="4">
        <f>IFERROR(__xludf.DUMMYFUNCTION("""COMPUTED_VALUE"""),12.99125)</f>
        <v>12.99125</v>
      </c>
      <c r="E17049" s="4">
        <f>IFERROR(__xludf.DUMMYFUNCTION("""COMPUTED_VALUE"""),80.181263)</f>
        <v>80.181263</v>
      </c>
      <c r="F17049" s="4">
        <f>IFERROR(__xludf.DUMMYFUNCTION("""COMPUTED_VALUE"""),5339.0)</f>
        <v>5339</v>
      </c>
      <c r="G17049" s="4">
        <f>IFERROR(__xludf.DUMMYFUNCTION("""COMPUTED_VALUE"""),44.0)</f>
        <v>44</v>
      </c>
      <c r="H17049" s="4"/>
      <c r="I17049" s="4"/>
    </row>
    <row r="17050">
      <c r="A17050" s="4" t="str">
        <f>IFERROR(__xludf.DUMMYFUNCTION("""COMPUTED_VALUE"""),"cas_hmw")</f>
        <v>cas_hmw</v>
      </c>
      <c r="B17050" s="5">
        <f>IFERROR(__xludf.DUMMYFUNCTION("""COMPUTED_VALUE"""),44739.0)</f>
        <v>44739</v>
      </c>
      <c r="C17050" s="6">
        <f>IFERROR(__xludf.DUMMYFUNCTION("""COMPUTED_VALUE"""),0.32704861111051287)</f>
        <v>0.3270486111</v>
      </c>
      <c r="D17050" s="4">
        <f>IFERROR(__xludf.DUMMYFUNCTION("""COMPUTED_VALUE"""),12.700375)</f>
        <v>12.700375</v>
      </c>
      <c r="E17050" s="4">
        <f>IFERROR(__xludf.DUMMYFUNCTION("""COMPUTED_VALUE"""),79.968595)</f>
        <v>79.968595</v>
      </c>
      <c r="F17050" s="4">
        <f>IFERROR(__xludf.DUMMYFUNCTION("""COMPUTED_VALUE"""),2846.0)</f>
        <v>2846</v>
      </c>
      <c r="G17050" s="4">
        <f>IFERROR(__xludf.DUMMYFUNCTION("""COMPUTED_VALUE"""),20.0)</f>
        <v>20</v>
      </c>
      <c r="H17050" s="4"/>
      <c r="I17050" s="4"/>
    </row>
    <row r="17051">
      <c r="A17051" s="4" t="str">
        <f>IFERROR(__xludf.DUMMYFUNCTION("""COMPUTED_VALUE"""),"cas_hmw")</f>
        <v>cas_hmw</v>
      </c>
      <c r="B17051" s="5">
        <f>IFERROR(__xludf.DUMMYFUNCTION("""COMPUTED_VALUE"""),44739.0)</f>
        <v>44739</v>
      </c>
      <c r="C17051" s="6">
        <f>IFERROR(__xludf.DUMMYFUNCTION("""COMPUTED_VALUE"""),0.32741898148015025)</f>
        <v>0.3274189815</v>
      </c>
      <c r="D17051" s="4">
        <f>IFERROR(__xludf.DUMMYFUNCTION("""COMPUTED_VALUE"""),12.70342)</f>
        <v>12.70342</v>
      </c>
      <c r="E17051" s="4">
        <f>IFERROR(__xludf.DUMMYFUNCTION("""COMPUTED_VALUE"""),79.971588)</f>
        <v>79.971588</v>
      </c>
      <c r="F17051" s="4">
        <f>IFERROR(__xludf.DUMMYFUNCTION("""COMPUTED_VALUE"""),2846.0)</f>
        <v>2846</v>
      </c>
      <c r="G17051" s="4">
        <f>IFERROR(__xludf.DUMMYFUNCTION("""COMPUTED_VALUE"""),31.0)</f>
        <v>31</v>
      </c>
      <c r="H17051" s="4"/>
      <c r="I17051" s="4"/>
    </row>
    <row r="17052">
      <c r="A17052" s="4" t="str">
        <f>IFERROR(__xludf.DUMMYFUNCTION("""COMPUTED_VALUE"""),"cas_hmw")</f>
        <v>cas_hmw</v>
      </c>
      <c r="B17052" s="5">
        <f>IFERROR(__xludf.DUMMYFUNCTION("""COMPUTED_VALUE"""),44739.0)</f>
        <v>44739</v>
      </c>
      <c r="C17052" s="6">
        <f>IFERROR(__xludf.DUMMYFUNCTION("""COMPUTED_VALUE"""),0.32762731481489027)</f>
        <v>0.3276273148</v>
      </c>
      <c r="D17052" s="4">
        <f>IFERROR(__xludf.DUMMYFUNCTION("""COMPUTED_VALUE"""),12.986308)</f>
        <v>12.986308</v>
      </c>
      <c r="E17052" s="4">
        <f>IFERROR(__xludf.DUMMYFUNCTION("""COMPUTED_VALUE"""),80.174657)</f>
        <v>80.174657</v>
      </c>
      <c r="F17052" s="4">
        <f>IFERROR(__xludf.DUMMYFUNCTION("""COMPUTED_VALUE"""),5339.0)</f>
        <v>5339</v>
      </c>
      <c r="G17052" s="4">
        <f>IFERROR(__xludf.DUMMYFUNCTION("""COMPUTED_VALUE"""),30.0)</f>
        <v>30</v>
      </c>
      <c r="H17052" s="4"/>
      <c r="I17052" s="4"/>
    </row>
    <row r="17053">
      <c r="A17053" s="4" t="str">
        <f>IFERROR(__xludf.DUMMYFUNCTION("""COMPUTED_VALUE"""),"cas_hmw")</f>
        <v>cas_hmw</v>
      </c>
      <c r="B17053" s="5">
        <f>IFERROR(__xludf.DUMMYFUNCTION("""COMPUTED_VALUE"""),44739.0)</f>
        <v>44739</v>
      </c>
      <c r="C17053" s="6">
        <f>IFERROR(__xludf.DUMMYFUNCTION("""COMPUTED_VALUE"""),0.32763888888803194)</f>
        <v>0.3276388889</v>
      </c>
      <c r="D17053" s="4">
        <f>IFERROR(__xludf.DUMMYFUNCTION("""COMPUTED_VALUE"""),12.986308)</f>
        <v>12.986308</v>
      </c>
      <c r="E17053" s="4">
        <f>IFERROR(__xludf.DUMMYFUNCTION("""COMPUTED_VALUE"""),80.174657)</f>
        <v>80.174657</v>
      </c>
      <c r="F17053" s="4">
        <f>IFERROR(__xludf.DUMMYFUNCTION("""COMPUTED_VALUE"""),5339.0)</f>
        <v>5339</v>
      </c>
      <c r="G17053" s="4">
        <f>IFERROR(__xludf.DUMMYFUNCTION("""COMPUTED_VALUE"""),30.0)</f>
        <v>30</v>
      </c>
      <c r="H17053" s="4"/>
      <c r="I17053" s="4"/>
    </row>
    <row r="17054">
      <c r="A17054" s="4" t="str">
        <f>IFERROR(__xludf.DUMMYFUNCTION("""COMPUTED_VALUE"""),"cas_hmw")</f>
        <v>cas_hmw</v>
      </c>
      <c r="B17054" s="5">
        <f>IFERROR(__xludf.DUMMYFUNCTION("""COMPUTED_VALUE"""),44739.0)</f>
        <v>44739</v>
      </c>
      <c r="C17054" s="6">
        <f>IFERROR(__xludf.DUMMYFUNCTION("""COMPUTED_VALUE"""),0.32792824074203963)</f>
        <v>0.3279282407</v>
      </c>
      <c r="D17054" s="4">
        <f>IFERROR(__xludf.DUMMYFUNCTION("""COMPUTED_VALUE"""),12.707006)</f>
        <v>12.707006</v>
      </c>
      <c r="E17054" s="4">
        <f>IFERROR(__xludf.DUMMYFUNCTION("""COMPUTED_VALUE"""),79.976046)</f>
        <v>79.976046</v>
      </c>
      <c r="F17054" s="4">
        <f>IFERROR(__xludf.DUMMYFUNCTION("""COMPUTED_VALUE"""),2846.0)</f>
        <v>2846</v>
      </c>
      <c r="G17054" s="4">
        <f>IFERROR(__xludf.DUMMYFUNCTION("""COMPUTED_VALUE"""),58.0)</f>
        <v>58</v>
      </c>
      <c r="H17054" s="4"/>
      <c r="I17054" s="4"/>
    </row>
    <row r="17055">
      <c r="A17055" s="4" t="str">
        <f>IFERROR(__xludf.DUMMYFUNCTION("""COMPUTED_VALUE"""),"cas_hmw")</f>
        <v>cas_hmw</v>
      </c>
      <c r="B17055" s="5">
        <f>IFERROR(__xludf.DUMMYFUNCTION("""COMPUTED_VALUE"""),44739.0)</f>
        <v>44739</v>
      </c>
      <c r="C17055" s="6">
        <f>IFERROR(__xludf.DUMMYFUNCTION("""COMPUTED_VALUE"""),0.32800925925766933)</f>
        <v>0.3280092593</v>
      </c>
      <c r="D17055" s="4">
        <f>IFERROR(__xludf.DUMMYFUNCTION("""COMPUTED_VALUE"""),12.984652)</f>
        <v>12.984652</v>
      </c>
      <c r="E17055" s="4">
        <f>IFERROR(__xludf.DUMMYFUNCTION("""COMPUTED_VALUE"""),80.172133)</f>
        <v>80.172133</v>
      </c>
      <c r="F17055" s="4">
        <f>IFERROR(__xludf.DUMMYFUNCTION("""COMPUTED_VALUE"""),5339.0)</f>
        <v>5339</v>
      </c>
      <c r="G17055" s="4">
        <f>IFERROR(__xludf.DUMMYFUNCTION("""COMPUTED_VALUE"""),43.0)</f>
        <v>43</v>
      </c>
      <c r="H17055" s="4"/>
      <c r="I17055" s="4"/>
    </row>
    <row r="17056">
      <c r="A17056" s="4" t="str">
        <f>IFERROR(__xludf.DUMMYFUNCTION("""COMPUTED_VALUE"""),"cas_hmw")</f>
        <v>cas_hmw</v>
      </c>
      <c r="B17056" s="5">
        <f>IFERROR(__xludf.DUMMYFUNCTION("""COMPUTED_VALUE"""),44739.0)</f>
        <v>44739</v>
      </c>
      <c r="C17056" s="6">
        <f>IFERROR(__xludf.DUMMYFUNCTION("""COMPUTED_VALUE"""),0.3288425925929914)</f>
        <v>0.3288425926</v>
      </c>
      <c r="D17056" s="4">
        <f>IFERROR(__xludf.DUMMYFUNCTION("""COMPUTED_VALUE"""),12.980687)</f>
        <v>12.980687</v>
      </c>
      <c r="E17056" s="4">
        <f>IFERROR(__xludf.DUMMYFUNCTION("""COMPUTED_VALUE"""),80.165517)</f>
        <v>80.165517</v>
      </c>
      <c r="F17056" s="4">
        <f>IFERROR(__xludf.DUMMYFUNCTION("""COMPUTED_VALUE"""),5339.0)</f>
        <v>5339</v>
      </c>
      <c r="G17056" s="4">
        <f>IFERROR(__xludf.DUMMYFUNCTION("""COMPUTED_VALUE"""),54.0)</f>
        <v>54</v>
      </c>
      <c r="H17056" s="4"/>
      <c r="I17056" s="4"/>
    </row>
    <row r="17057">
      <c r="A17057" s="4" t="str">
        <f>IFERROR(__xludf.DUMMYFUNCTION("""COMPUTED_VALUE"""),"cas_hmw")</f>
        <v>cas_hmw</v>
      </c>
      <c r="B17057" s="5">
        <f>IFERROR(__xludf.DUMMYFUNCTION("""COMPUTED_VALUE"""),44739.0)</f>
        <v>44739</v>
      </c>
      <c r="C17057" s="6">
        <f>IFERROR(__xludf.DUMMYFUNCTION("""COMPUTED_VALUE"""),0.32918981481634546)</f>
        <v>0.3291898148</v>
      </c>
      <c r="D17057" s="4">
        <f>IFERROR(__xludf.DUMMYFUNCTION("""COMPUTED_VALUE"""),13.009134)</f>
        <v>13.009134</v>
      </c>
      <c r="E17057" s="4">
        <f>IFERROR(__xludf.DUMMYFUNCTION("""COMPUTED_VALUE"""),80.228462)</f>
        <v>80.228462</v>
      </c>
      <c r="F17057" s="4">
        <f>IFERROR(__xludf.DUMMYFUNCTION("""COMPUTED_VALUE"""),805.0)</f>
        <v>805</v>
      </c>
      <c r="G17057" s="4">
        <f>IFERROR(__xludf.DUMMYFUNCTION("""COMPUTED_VALUE"""),36.0)</f>
        <v>36</v>
      </c>
      <c r="H17057" s="4"/>
      <c r="I17057" s="4"/>
    </row>
    <row r="17058">
      <c r="A17058" s="4" t="str">
        <f>IFERROR(__xludf.DUMMYFUNCTION("""COMPUTED_VALUE"""),"cas_hmw")</f>
        <v>cas_hmw</v>
      </c>
      <c r="B17058" s="5">
        <f>IFERROR(__xludf.DUMMYFUNCTION("""COMPUTED_VALUE"""),44739.0)</f>
        <v>44739</v>
      </c>
      <c r="C17058" s="6">
        <f>IFERROR(__xludf.DUMMYFUNCTION("""COMPUTED_VALUE"""),0.3292476851856918)</f>
        <v>0.3292476852</v>
      </c>
      <c r="D17058" s="4">
        <f>IFERROR(__xludf.DUMMYFUNCTION("""COMPUTED_VALUE"""),13.009474)</f>
        <v>13.009474</v>
      </c>
      <c r="E17058" s="4">
        <f>IFERROR(__xludf.DUMMYFUNCTION("""COMPUTED_VALUE"""),80.227555)</f>
        <v>80.227555</v>
      </c>
      <c r="F17058" s="4">
        <f>IFERROR(__xludf.DUMMYFUNCTION("""COMPUTED_VALUE"""),805.0)</f>
        <v>805</v>
      </c>
      <c r="G17058" s="4">
        <f>IFERROR(__xludf.DUMMYFUNCTION("""COMPUTED_VALUE"""),38.0)</f>
        <v>38</v>
      </c>
      <c r="H17058" s="4"/>
      <c r="I17058" s="4"/>
    </row>
    <row r="17059">
      <c r="A17059" s="4" t="str">
        <f>IFERROR(__xludf.DUMMYFUNCTION("""COMPUTED_VALUE"""),"cas_hmw")</f>
        <v>cas_hmw</v>
      </c>
      <c r="B17059" s="5">
        <f>IFERROR(__xludf.DUMMYFUNCTION("""COMPUTED_VALUE"""),44739.0)</f>
        <v>44739</v>
      </c>
      <c r="C17059" s="6">
        <f>IFERROR(__xludf.DUMMYFUNCTION("""COMPUTED_VALUE"""),0.3296875000014552)</f>
        <v>0.3296875</v>
      </c>
      <c r="D17059" s="4">
        <f>IFERROR(__xludf.DUMMYFUNCTION("""COMPUTED_VALUE"""),13.01079)</f>
        <v>13.01079</v>
      </c>
      <c r="E17059" s="4">
        <f>IFERROR(__xludf.DUMMYFUNCTION("""COMPUTED_VALUE"""),80.224758)</f>
        <v>80.224758</v>
      </c>
      <c r="F17059" s="4">
        <f>IFERROR(__xludf.DUMMYFUNCTION("""COMPUTED_VALUE"""),805.0)</f>
        <v>805</v>
      </c>
      <c r="G17059" s="4">
        <f>IFERROR(__xludf.DUMMYFUNCTION("""COMPUTED_VALUE"""),33.0)</f>
        <v>33</v>
      </c>
      <c r="H17059" s="4"/>
      <c r="I17059" s="4"/>
    </row>
    <row r="17060">
      <c r="A17060" s="4" t="str">
        <f>IFERROR(__xludf.DUMMYFUNCTION("""COMPUTED_VALUE"""),"cas_hmw")</f>
        <v>cas_hmw</v>
      </c>
      <c r="B17060" s="5">
        <f>IFERROR(__xludf.DUMMYFUNCTION("""COMPUTED_VALUE"""),44739.0)</f>
        <v>44739</v>
      </c>
      <c r="C17060" s="6">
        <f>IFERROR(__xludf.DUMMYFUNCTION("""COMPUTED_VALUE"""),0.32974537037080154)</f>
        <v>0.3297453704</v>
      </c>
      <c r="D17060" s="4">
        <f>IFERROR(__xludf.DUMMYFUNCTION("""COMPUTED_VALUE"""),13.011099)</f>
        <v>13.011099</v>
      </c>
      <c r="E17060" s="4">
        <f>IFERROR(__xludf.DUMMYFUNCTION("""COMPUTED_VALUE"""),80.224054)</f>
        <v>80.224054</v>
      </c>
      <c r="F17060" s="4">
        <f>IFERROR(__xludf.DUMMYFUNCTION("""COMPUTED_VALUE"""),805.0)</f>
        <v>805</v>
      </c>
      <c r="G17060" s="4">
        <f>IFERROR(__xludf.DUMMYFUNCTION("""COMPUTED_VALUE"""),30.0)</f>
        <v>30</v>
      </c>
      <c r="H17060" s="4"/>
      <c r="I17060" s="4"/>
    </row>
    <row r="17061">
      <c r="A17061" s="4" t="str">
        <f>IFERROR(__xludf.DUMMYFUNCTION("""COMPUTED_VALUE"""),"cas_hmw")</f>
        <v>cas_hmw</v>
      </c>
      <c r="B17061" s="5">
        <f>IFERROR(__xludf.DUMMYFUNCTION("""COMPUTED_VALUE"""),44739.0)</f>
        <v>44739</v>
      </c>
      <c r="C17061" s="6">
        <f>IFERROR(__xludf.DUMMYFUNCTION("""COMPUTED_VALUE"""),0.3304861111100763)</f>
        <v>0.3304861111</v>
      </c>
      <c r="D17061" s="4">
        <f>IFERROR(__xludf.DUMMYFUNCTION("""COMPUTED_VALUE"""),13.012054)</f>
        <v>13.012054</v>
      </c>
      <c r="E17061" s="4">
        <f>IFERROR(__xludf.DUMMYFUNCTION("""COMPUTED_VALUE"""),80.22071)</f>
        <v>80.22071</v>
      </c>
      <c r="F17061" s="4">
        <f>IFERROR(__xludf.DUMMYFUNCTION("""COMPUTED_VALUE"""),805.0)</f>
        <v>805</v>
      </c>
      <c r="G17061" s="4">
        <f>IFERROR(__xludf.DUMMYFUNCTION("""COMPUTED_VALUE"""),31.0)</f>
        <v>31</v>
      </c>
      <c r="H17061" s="4"/>
      <c r="I17061" s="4"/>
    </row>
    <row r="17062">
      <c r="A17062" s="4" t="str">
        <f>IFERROR(__xludf.DUMMYFUNCTION("""COMPUTED_VALUE"""),"cas_hmw")</f>
        <v>cas_hmw</v>
      </c>
      <c r="B17062" s="5">
        <f>IFERROR(__xludf.DUMMYFUNCTION("""COMPUTED_VALUE"""),44739.0)</f>
        <v>44739</v>
      </c>
      <c r="C17062" s="6">
        <f>IFERROR(__xludf.DUMMYFUNCTION("""COMPUTED_VALUE"""),0.330671296294895)</f>
        <v>0.3306712963</v>
      </c>
      <c r="D17062" s="4">
        <f>IFERROR(__xludf.DUMMYFUNCTION("""COMPUTED_VALUE"""),12.974318)</f>
        <v>12.974318</v>
      </c>
      <c r="E17062" s="4">
        <f>IFERROR(__xludf.DUMMYFUNCTION("""COMPUTED_VALUE"""),80.154709)</f>
        <v>80.154709</v>
      </c>
      <c r="F17062" s="4">
        <f>IFERROR(__xludf.DUMMYFUNCTION("""COMPUTED_VALUE"""),5339.0)</f>
        <v>5339</v>
      </c>
      <c r="G17062" s="4">
        <f>IFERROR(__xludf.DUMMYFUNCTION("""COMPUTED_VALUE"""),19.0)</f>
        <v>19</v>
      </c>
      <c r="H17062" s="4"/>
      <c r="I17062" s="4"/>
    </row>
    <row r="17063">
      <c r="A17063" s="4" t="str">
        <f>IFERROR(__xludf.DUMMYFUNCTION("""COMPUTED_VALUE"""),"cas_hmw")</f>
        <v>cas_hmw</v>
      </c>
      <c r="B17063" s="5">
        <f>IFERROR(__xludf.DUMMYFUNCTION("""COMPUTED_VALUE"""),44739.0)</f>
        <v>44739</v>
      </c>
      <c r="C17063" s="6">
        <f>IFERROR(__xludf.DUMMYFUNCTION("""COMPUTED_VALUE"""),0.3317939814805868)</f>
        <v>0.3317939815</v>
      </c>
      <c r="D17063" s="4">
        <f>IFERROR(__xludf.DUMMYFUNCTION("""COMPUTED_VALUE"""),13.008297)</f>
        <v>13.008297</v>
      </c>
      <c r="E17063" s="4">
        <f>IFERROR(__xludf.DUMMYFUNCTION("""COMPUTED_VALUE"""),80.210051)</f>
        <v>80.210051</v>
      </c>
      <c r="F17063" s="4">
        <f>IFERROR(__xludf.DUMMYFUNCTION("""COMPUTED_VALUE"""),805.0)</f>
        <v>805</v>
      </c>
      <c r="G17063" s="4">
        <f>IFERROR(__xludf.DUMMYFUNCTION("""COMPUTED_VALUE"""),39.0)</f>
        <v>39</v>
      </c>
      <c r="H17063" s="4"/>
      <c r="I17063" s="4"/>
    </row>
    <row r="17064">
      <c r="A17064" s="4" t="str">
        <f>IFERROR(__xludf.DUMMYFUNCTION("""COMPUTED_VALUE"""),"cas_hmw")</f>
        <v>cas_hmw</v>
      </c>
      <c r="B17064" s="5">
        <f>IFERROR(__xludf.DUMMYFUNCTION("""COMPUTED_VALUE"""),44739.0)</f>
        <v>44739</v>
      </c>
      <c r="C17064" s="6">
        <f>IFERROR(__xludf.DUMMYFUNCTION("""COMPUTED_VALUE"""),0.33181712963050813)</f>
        <v>0.3318171296</v>
      </c>
      <c r="D17064" s="4">
        <f>IFERROR(__xludf.DUMMYFUNCTION("""COMPUTED_VALUE"""),13.008297)</f>
        <v>13.008297</v>
      </c>
      <c r="E17064" s="4">
        <f>IFERROR(__xludf.DUMMYFUNCTION("""COMPUTED_VALUE"""),80.210051)</f>
        <v>80.210051</v>
      </c>
      <c r="F17064" s="4">
        <f>IFERROR(__xludf.DUMMYFUNCTION("""COMPUTED_VALUE"""),805.0)</f>
        <v>805</v>
      </c>
      <c r="G17064" s="4">
        <f>IFERROR(__xludf.DUMMYFUNCTION("""COMPUTED_VALUE"""),39.0)</f>
        <v>39</v>
      </c>
      <c r="H17064" s="4"/>
      <c r="I17064" s="4"/>
    </row>
    <row r="17065">
      <c r="A17065" s="4" t="str">
        <f>IFERROR(__xludf.DUMMYFUNCTION("""COMPUTED_VALUE"""),"cas_hmw")</f>
        <v>cas_hmw</v>
      </c>
      <c r="B17065" s="5">
        <f>IFERROR(__xludf.DUMMYFUNCTION("""COMPUTED_VALUE"""),44739.0)</f>
        <v>44739</v>
      </c>
      <c r="C17065" s="6">
        <f>IFERROR(__xludf.DUMMYFUNCTION("""COMPUTED_VALUE"""),0.3318634259267128)</f>
        <v>0.3318634259</v>
      </c>
      <c r="D17065" s="4">
        <f>IFERROR(__xludf.DUMMYFUNCTION("""COMPUTED_VALUE"""),13.008031)</f>
        <v>13.008031</v>
      </c>
      <c r="E17065" s="4">
        <f>IFERROR(__xludf.DUMMYFUNCTION("""COMPUTED_VALUE"""),80.208865)</f>
        <v>80.208865</v>
      </c>
      <c r="F17065" s="4">
        <f>IFERROR(__xludf.DUMMYFUNCTION("""COMPUTED_VALUE"""),805.0)</f>
        <v>805</v>
      </c>
      <c r="G17065" s="4">
        <f>IFERROR(__xludf.DUMMYFUNCTION("""COMPUTED_VALUE"""),43.0)</f>
        <v>43</v>
      </c>
      <c r="H17065" s="4"/>
      <c r="I17065" s="4"/>
    </row>
    <row r="17066">
      <c r="A17066" s="4" t="str">
        <f>IFERROR(__xludf.DUMMYFUNCTION("""COMPUTED_VALUE"""),"cas_hmw")</f>
        <v>cas_hmw</v>
      </c>
      <c r="B17066" s="5">
        <f>IFERROR(__xludf.DUMMYFUNCTION("""COMPUTED_VALUE"""),44739.0)</f>
        <v>44739</v>
      </c>
      <c r="C17066" s="6">
        <f>IFERROR(__xludf.DUMMYFUNCTION("""COMPUTED_VALUE"""),0.3329513888893416)</f>
        <v>0.3329513889</v>
      </c>
      <c r="D17066" s="4">
        <f>IFERROR(__xludf.DUMMYFUNCTION("""COMPUTED_VALUE"""),13.003201)</f>
        <v>13.003201</v>
      </c>
      <c r="E17066" s="4">
        <f>IFERROR(__xludf.DUMMYFUNCTION("""COMPUTED_VALUE"""),80.200831)</f>
        <v>80.200831</v>
      </c>
      <c r="F17066" s="4">
        <f>IFERROR(__xludf.DUMMYFUNCTION("""COMPUTED_VALUE"""),805.0)</f>
        <v>805</v>
      </c>
      <c r="G17066" s="4">
        <f>IFERROR(__xludf.DUMMYFUNCTION("""COMPUTED_VALUE"""),47.0)</f>
        <v>47</v>
      </c>
      <c r="H17066" s="4"/>
      <c r="I17066" s="4"/>
    </row>
    <row r="17067">
      <c r="A17067" s="4" t="str">
        <f>IFERROR(__xludf.DUMMYFUNCTION("""COMPUTED_VALUE"""),"cas_hmw")</f>
        <v>cas_hmw</v>
      </c>
      <c r="B17067" s="5">
        <f>IFERROR(__xludf.DUMMYFUNCTION("""COMPUTED_VALUE"""),44739.0)</f>
        <v>44739</v>
      </c>
      <c r="C17067" s="6">
        <f>IFERROR(__xludf.DUMMYFUNCTION("""COMPUTED_VALUE"""),0.333356481482042)</f>
        <v>0.3333564815</v>
      </c>
      <c r="D17067" s="4">
        <f>IFERROR(__xludf.DUMMYFUNCTION("""COMPUTED_VALUE"""),12.959307)</f>
        <v>12.959307</v>
      </c>
      <c r="E17067" s="4">
        <f>IFERROR(__xludf.DUMMYFUNCTION("""COMPUTED_VALUE"""),80.144865)</f>
        <v>80.144865</v>
      </c>
      <c r="F17067" s="4">
        <f>IFERROR(__xludf.DUMMYFUNCTION("""COMPUTED_VALUE"""),5339.0)</f>
        <v>5339</v>
      </c>
      <c r="G17067" s="4">
        <f>IFERROR(__xludf.DUMMYFUNCTION("""COMPUTED_VALUE"""),49.0)</f>
        <v>49</v>
      </c>
      <c r="H17067" s="4"/>
      <c r="I17067" s="4"/>
    </row>
    <row r="17068">
      <c r="A17068" s="4" t="str">
        <f>IFERROR(__xludf.DUMMYFUNCTION("""COMPUTED_VALUE"""),"cas_hmw")</f>
        <v>cas_hmw</v>
      </c>
      <c r="B17068" s="5">
        <f>IFERROR(__xludf.DUMMYFUNCTION("""COMPUTED_VALUE"""),44739.0)</f>
        <v>44739</v>
      </c>
      <c r="C17068" s="6">
        <f>IFERROR(__xludf.DUMMYFUNCTION("""COMPUTED_VALUE"""),0.33365740740919136)</f>
        <v>0.3336574074</v>
      </c>
      <c r="D17068" s="4">
        <f>IFERROR(__xludf.DUMMYFUNCTION("""COMPUTED_VALUE"""),13.000908)</f>
        <v>13.000908</v>
      </c>
      <c r="E17068" s="4">
        <f>IFERROR(__xludf.DUMMYFUNCTION("""COMPUTED_VALUE"""),80.1954)</f>
        <v>80.1954</v>
      </c>
      <c r="F17068" s="4">
        <f>IFERROR(__xludf.DUMMYFUNCTION("""COMPUTED_VALUE"""),805.0)</f>
        <v>805</v>
      </c>
      <c r="G17068" s="4">
        <f>IFERROR(__xludf.DUMMYFUNCTION("""COMPUTED_VALUE"""),43.0)</f>
        <v>43</v>
      </c>
      <c r="H17068" s="4"/>
      <c r="I17068" s="4"/>
    </row>
    <row r="17069">
      <c r="A17069" s="4" t="str">
        <f>IFERROR(__xludf.DUMMYFUNCTION("""COMPUTED_VALUE"""),"cas_hmw")</f>
        <v>cas_hmw</v>
      </c>
      <c r="B17069" s="5">
        <f>IFERROR(__xludf.DUMMYFUNCTION("""COMPUTED_VALUE"""),44739.0)</f>
        <v>44739</v>
      </c>
      <c r="C17069" s="6">
        <f>IFERROR(__xludf.DUMMYFUNCTION("""COMPUTED_VALUE"""),0.33446759259095415)</f>
        <v>0.3344675926</v>
      </c>
      <c r="D17069" s="4">
        <f>IFERROR(__xludf.DUMMYFUNCTION("""COMPUTED_VALUE"""),12.956017)</f>
        <v>12.956017</v>
      </c>
      <c r="E17069" s="4">
        <f>IFERROR(__xludf.DUMMYFUNCTION("""COMPUTED_VALUE"""),80.1431)</f>
        <v>80.1431</v>
      </c>
      <c r="F17069" s="4">
        <f>IFERROR(__xludf.DUMMYFUNCTION("""COMPUTED_VALUE"""),5339.0)</f>
        <v>5339</v>
      </c>
      <c r="G17069" s="4">
        <f>IFERROR(__xludf.DUMMYFUNCTION("""COMPUTED_VALUE"""),32.0)</f>
        <v>32</v>
      </c>
      <c r="H17069" s="4"/>
      <c r="I17069" s="4"/>
    </row>
    <row r="17070">
      <c r="A17070" s="4" t="str">
        <f>IFERROR(__xludf.DUMMYFUNCTION("""COMPUTED_VALUE"""),"cas_hmw")</f>
        <v>cas_hmw</v>
      </c>
      <c r="B17070" s="5">
        <f>IFERROR(__xludf.DUMMYFUNCTION("""COMPUTED_VALUE"""),44739.0)</f>
        <v>44739</v>
      </c>
      <c r="C17070" s="6">
        <f>IFERROR(__xludf.DUMMYFUNCTION("""COMPUTED_VALUE"""),0.3345949074064265)</f>
        <v>0.3345949074</v>
      </c>
      <c r="D17070" s="4">
        <f>IFERROR(__xludf.DUMMYFUNCTION("""COMPUTED_VALUE"""),12.759655)</f>
        <v>12.759655</v>
      </c>
      <c r="E17070" s="4">
        <f>IFERROR(__xludf.DUMMYFUNCTION("""COMPUTED_VALUE"""),80.003028)</f>
        <v>80.003028</v>
      </c>
      <c r="F17070" s="4">
        <f>IFERROR(__xludf.DUMMYFUNCTION("""COMPUTED_VALUE"""),2846.0)</f>
        <v>2846</v>
      </c>
      <c r="G17070" s="4">
        <f>IFERROR(__xludf.DUMMYFUNCTION("""COMPUTED_VALUE"""),12.0)</f>
        <v>12</v>
      </c>
      <c r="H17070" s="4"/>
      <c r="I17070" s="4"/>
    </row>
    <row r="17071">
      <c r="A17071" s="4" t="str">
        <f>IFERROR(__xludf.DUMMYFUNCTION("""COMPUTED_VALUE"""),"cas_hmw")</f>
        <v>cas_hmw</v>
      </c>
      <c r="B17071" s="5">
        <f>IFERROR(__xludf.DUMMYFUNCTION("""COMPUTED_VALUE"""),44739.0)</f>
        <v>44739</v>
      </c>
      <c r="C17071" s="6">
        <f>IFERROR(__xludf.DUMMYFUNCTION("""COMPUTED_VALUE"""),0.33516203703766223)</f>
        <v>0.335162037</v>
      </c>
      <c r="D17071" s="4">
        <f>IFERROR(__xludf.DUMMYFUNCTION("""COMPUTED_VALUE"""),12.952184)</f>
        <v>12.952184</v>
      </c>
      <c r="E17071" s="4">
        <f>IFERROR(__xludf.DUMMYFUNCTION("""COMPUTED_VALUE"""),80.140873)</f>
        <v>80.140873</v>
      </c>
      <c r="F17071" s="4">
        <f>IFERROR(__xludf.DUMMYFUNCTION("""COMPUTED_VALUE"""),5339.0)</f>
        <v>5339</v>
      </c>
      <c r="G17071" s="4">
        <f>IFERROR(__xludf.DUMMYFUNCTION("""COMPUTED_VALUE"""),25.0)</f>
        <v>25</v>
      </c>
      <c r="H17071" s="4"/>
      <c r="I17071" s="4"/>
    </row>
    <row r="17072">
      <c r="A17072" s="4" t="str">
        <f>IFERROR(__xludf.DUMMYFUNCTION("""COMPUTED_VALUE"""),"cas_hmw")</f>
        <v>cas_hmw</v>
      </c>
      <c r="B17072" s="5">
        <f>IFERROR(__xludf.DUMMYFUNCTION("""COMPUTED_VALUE"""),44739.0)</f>
        <v>44739</v>
      </c>
      <c r="C17072" s="6">
        <f>IFERROR(__xludf.DUMMYFUNCTION("""COMPUTED_VALUE"""),0.3353819444455439)</f>
        <v>0.3353819444</v>
      </c>
      <c r="D17072" s="4">
        <f>IFERROR(__xludf.DUMMYFUNCTION("""COMPUTED_VALUE"""),12.993674)</f>
        <v>12.993674</v>
      </c>
      <c r="E17072" s="4">
        <f>IFERROR(__xludf.DUMMYFUNCTION("""COMPUTED_VALUE"""),80.185024)</f>
        <v>80.185024</v>
      </c>
      <c r="F17072" s="4">
        <f>IFERROR(__xludf.DUMMYFUNCTION("""COMPUTED_VALUE"""),805.0)</f>
        <v>805</v>
      </c>
      <c r="G17072" s="4">
        <f>IFERROR(__xludf.DUMMYFUNCTION("""COMPUTED_VALUE"""),34.0)</f>
        <v>34</v>
      </c>
      <c r="H17072" s="4"/>
      <c r="I17072" s="4"/>
    </row>
    <row r="17073">
      <c r="A17073" s="4" t="str">
        <f>IFERROR(__xludf.DUMMYFUNCTION("""COMPUTED_VALUE"""),"cas_hmw")</f>
        <v>cas_hmw</v>
      </c>
      <c r="B17073" s="5">
        <f>IFERROR(__xludf.DUMMYFUNCTION("""COMPUTED_VALUE"""),44739.0)</f>
        <v>44739</v>
      </c>
      <c r="C17073" s="6">
        <f>IFERROR(__xludf.DUMMYFUNCTION("""COMPUTED_VALUE"""),0.335902777776937)</f>
        <v>0.3359027778</v>
      </c>
      <c r="D17073" s="4">
        <f>IFERROR(__xludf.DUMMYFUNCTION("""COMPUTED_VALUE"""),12.990875)</f>
        <v>12.990875</v>
      </c>
      <c r="E17073" s="4">
        <f>IFERROR(__xludf.DUMMYFUNCTION("""COMPUTED_VALUE"""),80.180716)</f>
        <v>80.180716</v>
      </c>
      <c r="F17073" s="4">
        <f>IFERROR(__xludf.DUMMYFUNCTION("""COMPUTED_VALUE"""),805.0)</f>
        <v>805</v>
      </c>
      <c r="G17073" s="4">
        <f>IFERROR(__xludf.DUMMYFUNCTION("""COMPUTED_VALUE"""),49.0)</f>
        <v>49</v>
      </c>
      <c r="H17073" s="4"/>
      <c r="I17073" s="4"/>
    </row>
    <row r="17074">
      <c r="A17074" s="4" t="str">
        <f>IFERROR(__xludf.DUMMYFUNCTION("""COMPUTED_VALUE"""),"cas_hmw")</f>
        <v>cas_hmw</v>
      </c>
      <c r="B17074" s="5">
        <f>IFERROR(__xludf.DUMMYFUNCTION("""COMPUTED_VALUE"""),44739.0)</f>
        <v>44739</v>
      </c>
      <c r="C17074" s="6">
        <f>IFERROR(__xludf.DUMMYFUNCTION("""COMPUTED_VALUE"""),0.33650462963123573)</f>
        <v>0.3365046296</v>
      </c>
      <c r="D17074" s="4">
        <f>IFERROR(__xludf.DUMMYFUNCTION("""COMPUTED_VALUE"""),12.949536)</f>
        <v>12.949536</v>
      </c>
      <c r="E17074" s="4">
        <f>IFERROR(__xludf.DUMMYFUNCTION("""COMPUTED_VALUE"""),80.138846)</f>
        <v>80.138846</v>
      </c>
      <c r="F17074" s="4">
        <f>IFERROR(__xludf.DUMMYFUNCTION("""COMPUTED_VALUE"""),5339.0)</f>
        <v>5339</v>
      </c>
      <c r="G17074" s="4">
        <f>IFERROR(__xludf.DUMMYFUNCTION("""COMPUTED_VALUE"""),35.0)</f>
        <v>35</v>
      </c>
      <c r="H17074" s="4"/>
      <c r="I17074" s="4"/>
    </row>
    <row r="17075">
      <c r="A17075" s="4" t="str">
        <f>IFERROR(__xludf.DUMMYFUNCTION("""COMPUTED_VALUE"""),"cas_hmw")</f>
        <v>cas_hmw</v>
      </c>
      <c r="B17075" s="5">
        <f>IFERROR(__xludf.DUMMYFUNCTION("""COMPUTED_VALUE"""),44739.0)</f>
        <v>44739</v>
      </c>
      <c r="C17075" s="6">
        <f>IFERROR(__xludf.DUMMYFUNCTION("""COMPUTED_VALUE"""),0.33748842592467554)</f>
        <v>0.3374884259</v>
      </c>
      <c r="D17075" s="4">
        <f>IFERROR(__xludf.DUMMYFUNCTION("""COMPUTED_VALUE"""),12.941)</f>
        <v>12.941</v>
      </c>
      <c r="E17075" s="4">
        <f>IFERROR(__xludf.DUMMYFUNCTION("""COMPUTED_VALUE"""),80.131628)</f>
        <v>80.131628</v>
      </c>
      <c r="F17075" s="4">
        <f>IFERROR(__xludf.DUMMYFUNCTION("""COMPUTED_VALUE"""),5339.0)</f>
        <v>5339</v>
      </c>
      <c r="G17075" s="4">
        <f>IFERROR(__xludf.DUMMYFUNCTION("""COMPUTED_VALUE"""),45.0)</f>
        <v>45</v>
      </c>
      <c r="H17075" s="4"/>
      <c r="I17075" s="4"/>
    </row>
    <row r="17076">
      <c r="A17076" s="4" t="str">
        <f>IFERROR(__xludf.DUMMYFUNCTION("""COMPUTED_VALUE"""),"cas_hmw")</f>
        <v>cas_hmw</v>
      </c>
      <c r="B17076" s="5">
        <f>IFERROR(__xludf.DUMMYFUNCTION("""COMPUTED_VALUE"""),44739.0)</f>
        <v>44739</v>
      </c>
      <c r="C17076" s="6">
        <f>IFERROR(__xludf.DUMMYFUNCTION("""COMPUTED_VALUE"""),0.33774305555562023)</f>
        <v>0.3377430556</v>
      </c>
      <c r="D17076" s="4">
        <f>IFERROR(__xludf.DUMMYFUNCTION("""COMPUTED_VALUE"""),12.939472)</f>
        <v>12.939472</v>
      </c>
      <c r="E17076" s="4">
        <f>IFERROR(__xludf.DUMMYFUNCTION("""COMPUTED_VALUE"""),80.130153)</f>
        <v>80.130153</v>
      </c>
      <c r="F17076" s="4">
        <f>IFERROR(__xludf.DUMMYFUNCTION("""COMPUTED_VALUE"""),5339.0)</f>
        <v>5339</v>
      </c>
      <c r="G17076" s="4">
        <f>IFERROR(__xludf.DUMMYFUNCTION("""COMPUTED_VALUE"""),39.0)</f>
        <v>39</v>
      </c>
      <c r="H17076" s="4"/>
      <c r="I17076" s="4"/>
    </row>
    <row r="17077">
      <c r="A17077" s="4" t="str">
        <f>IFERROR(__xludf.DUMMYFUNCTION("""COMPUTED_VALUE"""),"cas_hmw")</f>
        <v>cas_hmw</v>
      </c>
      <c r="B17077" s="5">
        <f>IFERROR(__xludf.DUMMYFUNCTION("""COMPUTED_VALUE"""),44739.0)</f>
        <v>44739</v>
      </c>
      <c r="C17077" s="6">
        <f>IFERROR(__xludf.DUMMYFUNCTION("""COMPUTED_VALUE"""),0.33817129629460396)</f>
        <v>0.3381712963</v>
      </c>
      <c r="D17077" s="4">
        <f>IFERROR(__xludf.DUMMYFUNCTION("""COMPUTED_VALUE"""),12.98425)</f>
        <v>12.98425</v>
      </c>
      <c r="E17077" s="4">
        <f>IFERROR(__xludf.DUMMYFUNCTION("""COMPUTED_VALUE"""),80.171517)</f>
        <v>80.171517</v>
      </c>
      <c r="F17077" s="4">
        <f>IFERROR(__xludf.DUMMYFUNCTION("""COMPUTED_VALUE"""),805.0)</f>
        <v>805</v>
      </c>
      <c r="G17077" s="4">
        <f>IFERROR(__xludf.DUMMYFUNCTION("""COMPUTED_VALUE"""),49.0)</f>
        <v>49</v>
      </c>
      <c r="H17077" s="4"/>
      <c r="I17077" s="4"/>
    </row>
    <row r="17078">
      <c r="A17078" s="4" t="str">
        <f>IFERROR(__xludf.DUMMYFUNCTION("""COMPUTED_VALUE"""),"cas_hmw")</f>
        <v>cas_hmw</v>
      </c>
      <c r="B17078" s="5">
        <f>IFERROR(__xludf.DUMMYFUNCTION("""COMPUTED_VALUE"""),44739.0)</f>
        <v>44739</v>
      </c>
      <c r="C17078" s="6">
        <f>IFERROR(__xludf.DUMMYFUNCTION("""COMPUTED_VALUE"""),0.3381944444445253)</f>
        <v>0.3381944444</v>
      </c>
      <c r="D17078" s="4">
        <f>IFERROR(__xludf.DUMMYFUNCTION("""COMPUTED_VALUE"""),12.936441)</f>
        <v>12.936441</v>
      </c>
      <c r="E17078" s="4">
        <f>IFERROR(__xludf.DUMMYFUNCTION("""COMPUTED_VALUE"""),80.127482)</f>
        <v>80.127482</v>
      </c>
      <c r="F17078" s="4">
        <f>IFERROR(__xludf.DUMMYFUNCTION("""COMPUTED_VALUE"""),5339.0)</f>
        <v>5339</v>
      </c>
      <c r="G17078" s="4">
        <f>IFERROR(__xludf.DUMMYFUNCTION("""COMPUTED_VALUE"""),35.0)</f>
        <v>35</v>
      </c>
      <c r="H17078" s="4"/>
      <c r="I17078" s="4"/>
    </row>
    <row r="17079">
      <c r="A17079" s="4" t="str">
        <f>IFERROR(__xludf.DUMMYFUNCTION("""COMPUTED_VALUE"""),"cas_hmw")</f>
        <v>cas_hmw</v>
      </c>
      <c r="B17079" s="5">
        <f>IFERROR(__xludf.DUMMYFUNCTION("""COMPUTED_VALUE"""),44739.0)</f>
        <v>44739</v>
      </c>
      <c r="C17079" s="6">
        <f>IFERROR(__xludf.DUMMYFUNCTION("""COMPUTED_VALUE"""),0.3381944444445253)</f>
        <v>0.3381944444</v>
      </c>
      <c r="D17079" s="4">
        <f>IFERROR(__xludf.DUMMYFUNCTION("""COMPUTED_VALUE"""),12.98425)</f>
        <v>12.98425</v>
      </c>
      <c r="E17079" s="4">
        <f>IFERROR(__xludf.DUMMYFUNCTION("""COMPUTED_VALUE"""),80.171517)</f>
        <v>80.171517</v>
      </c>
      <c r="F17079" s="4">
        <f>IFERROR(__xludf.DUMMYFUNCTION("""COMPUTED_VALUE"""),805.0)</f>
        <v>805</v>
      </c>
      <c r="G17079" s="4">
        <f>IFERROR(__xludf.DUMMYFUNCTION("""COMPUTED_VALUE"""),49.0)</f>
        <v>49</v>
      </c>
      <c r="H17079" s="4"/>
      <c r="I17079" s="4"/>
    </row>
    <row r="17080">
      <c r="A17080" s="4" t="str">
        <f>IFERROR(__xludf.DUMMYFUNCTION("""COMPUTED_VALUE"""),"cas_hmw")</f>
        <v>cas_hmw</v>
      </c>
      <c r="B17080" s="5">
        <f>IFERROR(__xludf.DUMMYFUNCTION("""COMPUTED_VALUE"""),44739.0)</f>
        <v>44739</v>
      </c>
      <c r="C17080" s="6">
        <f>IFERROR(__xludf.DUMMYFUNCTION("""COMPUTED_VALUE"""),0.338344907406281)</f>
        <v>0.3383449074</v>
      </c>
      <c r="D17080" s="4">
        <f>IFERROR(__xludf.DUMMYFUNCTION("""COMPUTED_VALUE"""),12.935674)</f>
        <v>12.935674</v>
      </c>
      <c r="E17080" s="4">
        <f>IFERROR(__xludf.DUMMYFUNCTION("""COMPUTED_VALUE"""),80.12683)</f>
        <v>80.12683</v>
      </c>
      <c r="F17080" s="4">
        <f>IFERROR(__xludf.DUMMYFUNCTION("""COMPUTED_VALUE"""),5339.0)</f>
        <v>5339</v>
      </c>
      <c r="G17080" s="4">
        <f>IFERROR(__xludf.DUMMYFUNCTION("""COMPUTED_VALUE"""),44.0)</f>
        <v>44</v>
      </c>
      <c r="H17080" s="4"/>
      <c r="I17080" s="4"/>
    </row>
    <row r="17081">
      <c r="A17081" s="4" t="str">
        <f>IFERROR(__xludf.DUMMYFUNCTION("""COMPUTED_VALUE"""),"cas_hmw")</f>
        <v>cas_hmw</v>
      </c>
      <c r="B17081" s="5">
        <f>IFERROR(__xludf.DUMMYFUNCTION("""COMPUTED_VALUE"""),44739.0)</f>
        <v>44739</v>
      </c>
      <c r="C17081" s="6">
        <f>IFERROR(__xludf.DUMMYFUNCTION("""COMPUTED_VALUE"""),0.3384027777792653)</f>
        <v>0.3384027778</v>
      </c>
      <c r="D17081" s="4">
        <f>IFERROR(__xludf.DUMMYFUNCTION("""COMPUTED_VALUE"""),12.792667)</f>
        <v>12.792667</v>
      </c>
      <c r="E17081" s="4">
        <f>IFERROR(__xludf.DUMMYFUNCTION("""COMPUTED_VALUE"""),80.018475)</f>
        <v>80.018475</v>
      </c>
      <c r="F17081" s="4">
        <f>IFERROR(__xludf.DUMMYFUNCTION("""COMPUTED_VALUE"""),2846.0)</f>
        <v>2846</v>
      </c>
      <c r="G17081" s="4">
        <f>IFERROR(__xludf.DUMMYFUNCTION("""COMPUTED_VALUE"""),54.0)</f>
        <v>54</v>
      </c>
      <c r="H17081" s="4"/>
      <c r="I17081" s="4"/>
    </row>
    <row r="17082">
      <c r="A17082" s="4" t="str">
        <f>IFERROR(__xludf.DUMMYFUNCTION("""COMPUTED_VALUE"""),"cas_hmw")</f>
        <v>cas_hmw</v>
      </c>
      <c r="B17082" s="5">
        <f>IFERROR(__xludf.DUMMYFUNCTION("""COMPUTED_VALUE"""),44739.0)</f>
        <v>44739</v>
      </c>
      <c r="C17082" s="6">
        <f>IFERROR(__xludf.DUMMYFUNCTION("""COMPUTED_VALUE"""),0.33951388888817746)</f>
        <v>0.3395138889</v>
      </c>
      <c r="D17082" s="4">
        <f>IFERROR(__xludf.DUMMYFUNCTION("""COMPUTED_VALUE"""),12.978507)</f>
        <v>12.978507</v>
      </c>
      <c r="E17082" s="4">
        <f>IFERROR(__xludf.DUMMYFUNCTION("""COMPUTED_VALUE"""),80.160862)</f>
        <v>80.160862</v>
      </c>
      <c r="F17082" s="4">
        <f>IFERROR(__xludf.DUMMYFUNCTION("""COMPUTED_VALUE"""),805.0)</f>
        <v>805</v>
      </c>
      <c r="G17082" s="4">
        <f>IFERROR(__xludf.DUMMYFUNCTION("""COMPUTED_VALUE"""),55.0)</f>
        <v>55</v>
      </c>
      <c r="H17082" s="4"/>
      <c r="I17082" s="4"/>
    </row>
    <row r="17083">
      <c r="A17083" s="4" t="str">
        <f>IFERROR(__xludf.DUMMYFUNCTION("""COMPUTED_VALUE"""),"cas_hmw")</f>
        <v>cas_hmw</v>
      </c>
      <c r="B17083" s="5">
        <f>IFERROR(__xludf.DUMMYFUNCTION("""COMPUTED_VALUE"""),44739.0)</f>
        <v>44739</v>
      </c>
      <c r="C17083" s="6">
        <f>IFERROR(__xludf.DUMMYFUNCTION("""COMPUTED_VALUE"""),0.3396759259267128)</f>
        <v>0.3396759259</v>
      </c>
      <c r="D17083" s="4">
        <f>IFERROR(__xludf.DUMMYFUNCTION("""COMPUTED_VALUE"""),12.9257)</f>
        <v>12.9257</v>
      </c>
      <c r="E17083" s="4">
        <f>IFERROR(__xludf.DUMMYFUNCTION("""COMPUTED_VALUE"""),80.116876)</f>
        <v>80.116876</v>
      </c>
      <c r="F17083" s="4">
        <f>IFERROR(__xludf.DUMMYFUNCTION("""COMPUTED_VALUE"""),5339.0)</f>
        <v>5339</v>
      </c>
      <c r="G17083" s="4">
        <f>IFERROR(__xludf.DUMMYFUNCTION("""COMPUTED_VALUE"""),45.0)</f>
        <v>45</v>
      </c>
      <c r="H17083" s="4"/>
      <c r="I17083" s="4"/>
    </row>
    <row r="17084">
      <c r="A17084" s="4" t="str">
        <f>IFERROR(__xludf.DUMMYFUNCTION("""COMPUTED_VALUE"""),"cas_hmw")</f>
        <v>cas_hmw</v>
      </c>
      <c r="B17084" s="5">
        <f>IFERROR(__xludf.DUMMYFUNCTION("""COMPUTED_VALUE"""),44739.0)</f>
        <v>44739</v>
      </c>
      <c r="C17084" s="6">
        <f>IFERROR(__xludf.DUMMYFUNCTION("""COMPUTED_VALUE"""),0.3398611111115315)</f>
        <v>0.3398611111</v>
      </c>
      <c r="D17084" s="4">
        <f>IFERROR(__xludf.DUMMYFUNCTION("""COMPUTED_VALUE"""),12.976208)</f>
        <v>12.976208</v>
      </c>
      <c r="E17084" s="4">
        <f>IFERROR(__xludf.DUMMYFUNCTION("""COMPUTED_VALUE"""),80.157439)</f>
        <v>80.157439</v>
      </c>
      <c r="F17084" s="4">
        <f>IFERROR(__xludf.DUMMYFUNCTION("""COMPUTED_VALUE"""),805.0)</f>
        <v>805</v>
      </c>
      <c r="G17084" s="4">
        <f>IFERROR(__xludf.DUMMYFUNCTION("""COMPUTED_VALUE"""),54.0)</f>
        <v>54</v>
      </c>
      <c r="H17084" s="4"/>
      <c r="I17084" s="4"/>
    </row>
    <row r="17085">
      <c r="A17085" s="4" t="str">
        <f>IFERROR(__xludf.DUMMYFUNCTION("""COMPUTED_VALUE"""),"cas_hmw")</f>
        <v>cas_hmw</v>
      </c>
      <c r="B17085" s="5">
        <f>IFERROR(__xludf.DUMMYFUNCTION("""COMPUTED_VALUE"""),44739.0)</f>
        <v>44739</v>
      </c>
      <c r="C17085" s="6">
        <f>IFERROR(__xludf.DUMMYFUNCTION("""COMPUTED_VALUE"""),0.34039351851970423)</f>
        <v>0.3403935185</v>
      </c>
      <c r="D17085" s="4">
        <f>IFERROR(__xludf.DUMMYFUNCTION("""COMPUTED_VALUE"""),12.974565)</f>
        <v>12.974565</v>
      </c>
      <c r="E17085" s="4">
        <f>IFERROR(__xludf.DUMMYFUNCTION("""COMPUTED_VALUE"""),80.155082)</f>
        <v>80.155082</v>
      </c>
      <c r="F17085" s="4">
        <f>IFERROR(__xludf.DUMMYFUNCTION("""COMPUTED_VALUE"""),805.0)</f>
        <v>805</v>
      </c>
      <c r="G17085" s="4">
        <f>IFERROR(__xludf.DUMMYFUNCTION("""COMPUTED_VALUE"""),20.0)</f>
        <v>20</v>
      </c>
      <c r="H17085" s="4"/>
      <c r="I17085" s="4"/>
    </row>
    <row r="17086">
      <c r="A17086" s="4" t="str">
        <f>IFERROR(__xludf.DUMMYFUNCTION("""COMPUTED_VALUE"""),"cas_hmw")</f>
        <v>cas_hmw</v>
      </c>
      <c r="B17086" s="5">
        <f>IFERROR(__xludf.DUMMYFUNCTION("""COMPUTED_VALUE"""),44739.0)</f>
        <v>44739</v>
      </c>
      <c r="C17086" s="6">
        <f>IFERROR(__xludf.DUMMYFUNCTION("""COMPUTED_VALUE"""),0.34064814814701094)</f>
        <v>0.3406481481</v>
      </c>
      <c r="D17086" s="4">
        <f>IFERROR(__xludf.DUMMYFUNCTION("""COMPUTED_VALUE"""),12.973255)</f>
        <v>12.973255</v>
      </c>
      <c r="E17086" s="4">
        <f>IFERROR(__xludf.DUMMYFUNCTION("""COMPUTED_VALUE"""),80.153068)</f>
        <v>80.153068</v>
      </c>
      <c r="F17086" s="4">
        <f>IFERROR(__xludf.DUMMYFUNCTION("""COMPUTED_VALUE"""),805.0)</f>
        <v>805</v>
      </c>
      <c r="G17086" s="4">
        <f>IFERROR(__xludf.DUMMYFUNCTION("""COMPUTED_VALUE"""),34.0)</f>
        <v>34</v>
      </c>
      <c r="H17086" s="4"/>
      <c r="I17086" s="4"/>
    </row>
    <row r="17087">
      <c r="A17087" s="4" t="str">
        <f>IFERROR(__xludf.DUMMYFUNCTION("""COMPUTED_VALUE"""),"cas_hmw")</f>
        <v>cas_hmw</v>
      </c>
      <c r="B17087" s="5">
        <f>IFERROR(__xludf.DUMMYFUNCTION("""COMPUTED_VALUE"""),44739.0)</f>
        <v>44739</v>
      </c>
      <c r="C17087" s="6">
        <f>IFERROR(__xludf.DUMMYFUNCTION("""COMPUTED_VALUE"""),0.34090277777795563)</f>
        <v>0.3409027778</v>
      </c>
      <c r="D17087" s="4">
        <f>IFERROR(__xludf.DUMMYFUNCTION("""COMPUTED_VALUE"""),12.972313)</f>
        <v>12.972313</v>
      </c>
      <c r="E17087" s="4">
        <f>IFERROR(__xludf.DUMMYFUNCTION("""COMPUTED_VALUE"""),80.151748)</f>
        <v>80.151748</v>
      </c>
      <c r="F17087" s="4">
        <f>IFERROR(__xludf.DUMMYFUNCTION("""COMPUTED_VALUE"""),805.0)</f>
        <v>805</v>
      </c>
      <c r="G17087" s="4">
        <f>IFERROR(__xludf.DUMMYFUNCTION("""COMPUTED_VALUE"""),38.0)</f>
        <v>38</v>
      </c>
      <c r="H17087" s="4"/>
      <c r="I17087" s="4"/>
    </row>
    <row r="17088">
      <c r="A17088" s="4" t="str">
        <f>IFERROR(__xludf.DUMMYFUNCTION("""COMPUTED_VALUE"""),"cas_hmw")</f>
        <v>cas_hmw</v>
      </c>
      <c r="B17088" s="5">
        <f>IFERROR(__xludf.DUMMYFUNCTION("""COMPUTED_VALUE"""),44739.0)</f>
        <v>44739</v>
      </c>
      <c r="C17088" s="6">
        <f>IFERROR(__xludf.DUMMYFUNCTION("""COMPUTED_VALUE"""),0.3409490740741603)</f>
        <v>0.3409490741</v>
      </c>
      <c r="D17088" s="4">
        <f>IFERROR(__xludf.DUMMYFUNCTION("""COMPUTED_VALUE"""),12.972313)</f>
        <v>12.972313</v>
      </c>
      <c r="E17088" s="4">
        <f>IFERROR(__xludf.DUMMYFUNCTION("""COMPUTED_VALUE"""),80.151748)</f>
        <v>80.151748</v>
      </c>
      <c r="F17088" s="4">
        <f>IFERROR(__xludf.DUMMYFUNCTION("""COMPUTED_VALUE"""),805.0)</f>
        <v>805</v>
      </c>
      <c r="G17088" s="4">
        <f>IFERROR(__xludf.DUMMYFUNCTION("""COMPUTED_VALUE"""),38.0)</f>
        <v>38</v>
      </c>
      <c r="H17088" s="4"/>
      <c r="I17088" s="4"/>
    </row>
    <row r="17089">
      <c r="A17089" s="4" t="str">
        <f>IFERROR(__xludf.DUMMYFUNCTION("""COMPUTED_VALUE"""),"cas_hmw")</f>
        <v>cas_hmw</v>
      </c>
      <c r="B17089" s="5">
        <f>IFERROR(__xludf.DUMMYFUNCTION("""COMPUTED_VALUE"""),44739.0)</f>
        <v>44739</v>
      </c>
      <c r="C17089" s="6">
        <f>IFERROR(__xludf.DUMMYFUNCTION("""COMPUTED_VALUE"""),0.34209490740613546)</f>
        <v>0.3420949074</v>
      </c>
      <c r="D17089" s="4">
        <f>IFERROR(__xludf.DUMMYFUNCTION("""COMPUTED_VALUE"""),12.966133)</f>
        <v>12.966133</v>
      </c>
      <c r="E17089" s="4">
        <f>IFERROR(__xludf.DUMMYFUNCTION("""COMPUTED_VALUE"""),80.148608)</f>
        <v>80.148608</v>
      </c>
      <c r="F17089" s="4">
        <f>IFERROR(__xludf.DUMMYFUNCTION("""COMPUTED_VALUE"""),805.0)</f>
        <v>805</v>
      </c>
      <c r="G17089" s="4">
        <f>IFERROR(__xludf.DUMMYFUNCTION("""COMPUTED_VALUE"""),27.0)</f>
        <v>27</v>
      </c>
      <c r="H17089" s="4"/>
      <c r="I17089" s="4"/>
    </row>
    <row r="17090">
      <c r="A17090" s="4" t="str">
        <f>IFERROR(__xludf.DUMMYFUNCTION("""COMPUTED_VALUE"""),"cas_hmw")</f>
        <v>cas_hmw</v>
      </c>
      <c r="B17090" s="5">
        <f>IFERROR(__xludf.DUMMYFUNCTION("""COMPUTED_VALUE"""),44739.0)</f>
        <v>44739</v>
      </c>
      <c r="C17090" s="6">
        <f>IFERROR(__xludf.DUMMYFUNCTION("""COMPUTED_VALUE"""),0.3421180555560568)</f>
        <v>0.3421180556</v>
      </c>
      <c r="D17090" s="4">
        <f>IFERROR(__xludf.DUMMYFUNCTION("""COMPUTED_VALUE"""),12.966133)</f>
        <v>12.966133</v>
      </c>
      <c r="E17090" s="4">
        <f>IFERROR(__xludf.DUMMYFUNCTION("""COMPUTED_VALUE"""),80.148608)</f>
        <v>80.148608</v>
      </c>
      <c r="F17090" s="4">
        <f>IFERROR(__xludf.DUMMYFUNCTION("""COMPUTED_VALUE"""),805.0)</f>
        <v>805</v>
      </c>
      <c r="G17090" s="4">
        <f>IFERROR(__xludf.DUMMYFUNCTION("""COMPUTED_VALUE"""),27.0)</f>
        <v>27</v>
      </c>
      <c r="H17090" s="4"/>
      <c r="I17090" s="4"/>
    </row>
    <row r="17091">
      <c r="A17091" s="4" t="str">
        <f>IFERROR(__xludf.DUMMYFUNCTION("""COMPUTED_VALUE"""),"cas_hmw")</f>
        <v>cas_hmw</v>
      </c>
      <c r="B17091" s="5">
        <f>IFERROR(__xludf.DUMMYFUNCTION("""COMPUTED_VALUE"""),44739.0)</f>
        <v>44739</v>
      </c>
      <c r="C17091" s="6">
        <f>IFERROR(__xludf.DUMMYFUNCTION("""COMPUTED_VALUE"""),0.34232638888715883)</f>
        <v>0.3423263889</v>
      </c>
      <c r="D17091" s="4">
        <f>IFERROR(__xludf.DUMMYFUNCTION("""COMPUTED_VALUE"""),12.829822)</f>
        <v>12.829822</v>
      </c>
      <c r="E17091" s="4">
        <f>IFERROR(__xludf.DUMMYFUNCTION("""COMPUTED_VALUE"""),80.044699)</f>
        <v>80.044699</v>
      </c>
      <c r="F17091" s="4">
        <f>IFERROR(__xludf.DUMMYFUNCTION("""COMPUTED_VALUE"""),2846.0)</f>
        <v>2846</v>
      </c>
      <c r="G17091" s="4">
        <f>IFERROR(__xludf.DUMMYFUNCTION("""COMPUTED_VALUE"""),58.0)</f>
        <v>58</v>
      </c>
      <c r="H17091" s="4"/>
      <c r="I17091" s="4"/>
    </row>
    <row r="17092">
      <c r="A17092" s="4" t="str">
        <f>IFERROR(__xludf.DUMMYFUNCTION("""COMPUTED_VALUE"""),"cas_hmw")</f>
        <v>cas_hmw</v>
      </c>
      <c r="B17092" s="5">
        <f>IFERROR(__xludf.DUMMYFUNCTION("""COMPUTED_VALUE"""),44739.0)</f>
        <v>44739</v>
      </c>
      <c r="C17092" s="6">
        <f>IFERROR(__xludf.DUMMYFUNCTION("""COMPUTED_VALUE"""),0.34406250000029104)</f>
        <v>0.3440625</v>
      </c>
      <c r="D17092" s="4">
        <f>IFERROR(__xludf.DUMMYFUNCTION("""COMPUTED_VALUE"""),12.956116)</f>
        <v>12.956116</v>
      </c>
      <c r="E17092" s="4">
        <f>IFERROR(__xludf.DUMMYFUNCTION("""COMPUTED_VALUE"""),80.143257)</f>
        <v>80.143257</v>
      </c>
      <c r="F17092" s="4">
        <f>IFERROR(__xludf.DUMMYFUNCTION("""COMPUTED_VALUE"""),805.0)</f>
        <v>805</v>
      </c>
      <c r="G17092" s="4">
        <f>IFERROR(__xludf.DUMMYFUNCTION("""COMPUTED_VALUE"""),22.0)</f>
        <v>22</v>
      </c>
      <c r="H17092" s="4"/>
      <c r="I17092" s="4"/>
    </row>
    <row r="17093">
      <c r="A17093" s="4" t="str">
        <f>IFERROR(__xludf.DUMMYFUNCTION("""COMPUTED_VALUE"""),"cas_hmw")</f>
        <v>cas_hmw</v>
      </c>
      <c r="B17093" s="5">
        <f>IFERROR(__xludf.DUMMYFUNCTION("""COMPUTED_VALUE"""),44739.0)</f>
        <v>44739</v>
      </c>
      <c r="C17093" s="6">
        <f>IFERROR(__xludf.DUMMYFUNCTION("""COMPUTED_VALUE"""),0.3445023148160544)</f>
        <v>0.3445023148</v>
      </c>
      <c r="D17093" s="4">
        <f>IFERROR(__xludf.DUMMYFUNCTION("""COMPUTED_VALUE"""),12.954098)</f>
        <v>12.954098</v>
      </c>
      <c r="E17093" s="4">
        <f>IFERROR(__xludf.DUMMYFUNCTION("""COMPUTED_VALUE"""),80.142133)</f>
        <v>80.142133</v>
      </c>
      <c r="F17093" s="4">
        <f>IFERROR(__xludf.DUMMYFUNCTION("""COMPUTED_VALUE"""),805.0)</f>
        <v>805</v>
      </c>
      <c r="G17093" s="4">
        <f>IFERROR(__xludf.DUMMYFUNCTION("""COMPUTED_VALUE"""),30.0)</f>
        <v>30</v>
      </c>
      <c r="H17093" s="4"/>
      <c r="I17093" s="4"/>
    </row>
    <row r="17094">
      <c r="A17094" s="4" t="str">
        <f>IFERROR(__xludf.DUMMYFUNCTION("""COMPUTED_VALUE"""),"cas_hmw")</f>
        <v>cas_hmw</v>
      </c>
      <c r="B17094" s="5">
        <f>IFERROR(__xludf.DUMMYFUNCTION("""COMPUTED_VALUE"""),44739.0)</f>
        <v>44739</v>
      </c>
      <c r="C17094" s="6">
        <f>IFERROR(__xludf.DUMMYFUNCTION("""COMPUTED_VALUE"""),0.34554398148247856)</f>
        <v>0.3455439815</v>
      </c>
      <c r="D17094" s="4">
        <f>IFERROR(__xludf.DUMMYFUNCTION("""COMPUTED_VALUE"""),12.95083)</f>
        <v>12.95083</v>
      </c>
      <c r="E17094" s="4">
        <f>IFERROR(__xludf.DUMMYFUNCTION("""COMPUTED_VALUE"""),80.139966)</f>
        <v>80.139966</v>
      </c>
      <c r="F17094" s="4">
        <f>IFERROR(__xludf.DUMMYFUNCTION("""COMPUTED_VALUE"""),805.0)</f>
        <v>805</v>
      </c>
      <c r="G17094" s="4">
        <f>IFERROR(__xludf.DUMMYFUNCTION("""COMPUTED_VALUE"""),9.0)</f>
        <v>9</v>
      </c>
      <c r="H17094" s="4"/>
      <c r="I17094" s="4"/>
    </row>
    <row r="17095">
      <c r="A17095" s="4" t="str">
        <f>IFERROR(__xludf.DUMMYFUNCTION("""COMPUTED_VALUE"""),"cas_hmw")</f>
        <v>cas_hmw</v>
      </c>
      <c r="B17095" s="5">
        <f>IFERROR(__xludf.DUMMYFUNCTION("""COMPUTED_VALUE"""),44739.0)</f>
        <v>44739</v>
      </c>
      <c r="C17095" s="6">
        <f>IFERROR(__xludf.DUMMYFUNCTION("""COMPUTED_VALUE"""),0.34565972222117125)</f>
        <v>0.3456597222</v>
      </c>
      <c r="D17095" s="4">
        <f>IFERROR(__xludf.DUMMYFUNCTION("""COMPUTED_VALUE"""),12.847742)</f>
        <v>12.847742</v>
      </c>
      <c r="E17095" s="4">
        <f>IFERROR(__xludf.DUMMYFUNCTION("""COMPUTED_VALUE"""),80.063028)</f>
        <v>80.063028</v>
      </c>
      <c r="F17095" s="4">
        <f>IFERROR(__xludf.DUMMYFUNCTION("""COMPUTED_VALUE"""),2846.0)</f>
        <v>2846</v>
      </c>
      <c r="G17095" s="4">
        <f>IFERROR(__xludf.DUMMYFUNCTION("""COMPUTED_VALUE"""),49.0)</f>
        <v>49</v>
      </c>
      <c r="H17095" s="4"/>
      <c r="I17095" s="4"/>
    </row>
    <row r="17096">
      <c r="A17096" s="4" t="str">
        <f>IFERROR(__xludf.DUMMYFUNCTION("""COMPUTED_VALUE"""),"cas_hmw")</f>
        <v>cas_hmw</v>
      </c>
      <c r="B17096" s="5">
        <f>IFERROR(__xludf.DUMMYFUNCTION("""COMPUTED_VALUE"""),44739.0)</f>
        <v>44739</v>
      </c>
      <c r="C17096" s="6">
        <f>IFERROR(__xludf.DUMMYFUNCTION("""COMPUTED_VALUE"""),0.3456828703710926)</f>
        <v>0.3456828704</v>
      </c>
      <c r="D17096" s="4">
        <f>IFERROR(__xludf.DUMMYFUNCTION("""COMPUTED_VALUE"""),12.847742)</f>
        <v>12.847742</v>
      </c>
      <c r="E17096" s="4">
        <f>IFERROR(__xludf.DUMMYFUNCTION("""COMPUTED_VALUE"""),80.063028)</f>
        <v>80.063028</v>
      </c>
      <c r="F17096" s="4">
        <f>IFERROR(__xludf.DUMMYFUNCTION("""COMPUTED_VALUE"""),2846.0)</f>
        <v>2846</v>
      </c>
      <c r="G17096" s="4">
        <f>IFERROR(__xludf.DUMMYFUNCTION("""COMPUTED_VALUE"""),49.0)</f>
        <v>49</v>
      </c>
      <c r="H17096" s="4"/>
      <c r="I17096" s="4"/>
    </row>
    <row r="17097">
      <c r="A17097" s="4" t="str">
        <f>IFERROR(__xludf.DUMMYFUNCTION("""COMPUTED_VALUE"""),"cas_hmw")</f>
        <v>cas_hmw</v>
      </c>
      <c r="B17097" s="5">
        <f>IFERROR(__xludf.DUMMYFUNCTION("""COMPUTED_VALUE"""),44739.0)</f>
        <v>44739</v>
      </c>
      <c r="C17097" s="6">
        <f>IFERROR(__xludf.DUMMYFUNCTION("""COMPUTED_VALUE"""),0.34569444444423425)</f>
        <v>0.3456944444</v>
      </c>
      <c r="D17097" s="4">
        <f>IFERROR(__xludf.DUMMYFUNCTION("""COMPUTED_VALUE"""),12.950034)</f>
        <v>12.950034</v>
      </c>
      <c r="E17097" s="4">
        <f>IFERROR(__xludf.DUMMYFUNCTION("""COMPUTED_VALUE"""),80.139381)</f>
        <v>80.139381</v>
      </c>
      <c r="F17097" s="4">
        <f>IFERROR(__xludf.DUMMYFUNCTION("""COMPUTED_VALUE"""),805.0)</f>
        <v>805</v>
      </c>
      <c r="G17097" s="4">
        <f>IFERROR(__xludf.DUMMYFUNCTION("""COMPUTED_VALUE"""),36.0)</f>
        <v>36</v>
      </c>
      <c r="H17097" s="4"/>
      <c r="I17097" s="4"/>
    </row>
    <row r="17098">
      <c r="A17098" s="4" t="str">
        <f>IFERROR(__xludf.DUMMYFUNCTION("""COMPUTED_VALUE"""),"cas_hmw")</f>
        <v>cas_hmw</v>
      </c>
      <c r="B17098" s="5">
        <f>IFERROR(__xludf.DUMMYFUNCTION("""COMPUTED_VALUE"""),44739.0)</f>
        <v>44739</v>
      </c>
      <c r="C17098" s="6">
        <f>IFERROR(__xludf.DUMMYFUNCTION("""COMPUTED_VALUE"""),0.3457175925941556)</f>
        <v>0.3457175926</v>
      </c>
      <c r="D17098" s="4">
        <f>IFERROR(__xludf.DUMMYFUNCTION("""COMPUTED_VALUE"""),12.847742)</f>
        <v>12.847742</v>
      </c>
      <c r="E17098" s="4">
        <f>IFERROR(__xludf.DUMMYFUNCTION("""COMPUTED_VALUE"""),80.063028)</f>
        <v>80.063028</v>
      </c>
      <c r="F17098" s="4">
        <f>IFERROR(__xludf.DUMMYFUNCTION("""COMPUTED_VALUE"""),2846.0)</f>
        <v>2846</v>
      </c>
      <c r="G17098" s="4">
        <f>IFERROR(__xludf.DUMMYFUNCTION("""COMPUTED_VALUE"""),49.0)</f>
        <v>49</v>
      </c>
      <c r="H17098" s="4"/>
      <c r="I17098" s="4"/>
    </row>
    <row r="17099">
      <c r="A17099" s="4" t="str">
        <f>IFERROR(__xludf.DUMMYFUNCTION("""COMPUTED_VALUE"""),"cas_hmw")</f>
        <v>cas_hmw</v>
      </c>
      <c r="B17099" s="5">
        <f>IFERROR(__xludf.DUMMYFUNCTION("""COMPUTED_VALUE"""),44739.0)</f>
        <v>44739</v>
      </c>
      <c r="C17099" s="6">
        <f>IFERROR(__xludf.DUMMYFUNCTION("""COMPUTED_VALUE"""),0.3458217592597066)</f>
        <v>0.3458217593</v>
      </c>
      <c r="D17099" s="4">
        <f>IFERROR(__xludf.DUMMYFUNCTION("""COMPUTED_VALUE"""),12.950034)</f>
        <v>12.950034</v>
      </c>
      <c r="E17099" s="4">
        <f>IFERROR(__xludf.DUMMYFUNCTION("""COMPUTED_VALUE"""),80.139381)</f>
        <v>80.139381</v>
      </c>
      <c r="F17099" s="4">
        <f>IFERROR(__xludf.DUMMYFUNCTION("""COMPUTED_VALUE"""),805.0)</f>
        <v>805</v>
      </c>
      <c r="G17099" s="4">
        <f>IFERROR(__xludf.DUMMYFUNCTION("""COMPUTED_VALUE"""),36.0)</f>
        <v>36</v>
      </c>
      <c r="H17099" s="4"/>
      <c r="I17099" s="4"/>
    </row>
    <row r="17100">
      <c r="A17100" s="4" t="str">
        <f>IFERROR(__xludf.DUMMYFUNCTION("""COMPUTED_VALUE"""),"cas_hmw")</f>
        <v>cas_hmw</v>
      </c>
      <c r="B17100" s="5">
        <f>IFERROR(__xludf.DUMMYFUNCTION("""COMPUTED_VALUE"""),44739.0)</f>
        <v>44739</v>
      </c>
      <c r="C17100" s="6">
        <f>IFERROR(__xludf.DUMMYFUNCTION("""COMPUTED_VALUE"""),0.3458912037021946)</f>
        <v>0.3458912037</v>
      </c>
      <c r="D17100" s="4">
        <f>IFERROR(__xludf.DUMMYFUNCTION("""COMPUTED_VALUE"""),12.849519)</f>
        <v>12.849519</v>
      </c>
      <c r="E17100" s="4">
        <f>IFERROR(__xludf.DUMMYFUNCTION("""COMPUTED_VALUE"""),80.064301)</f>
        <v>80.064301</v>
      </c>
      <c r="F17100" s="4">
        <f>IFERROR(__xludf.DUMMYFUNCTION("""COMPUTED_VALUE"""),2846.0)</f>
        <v>2846</v>
      </c>
      <c r="G17100" s="4">
        <f>IFERROR(__xludf.DUMMYFUNCTION("""COMPUTED_VALUE"""),54.0)</f>
        <v>54</v>
      </c>
      <c r="H17100" s="4"/>
      <c r="I17100" s="4"/>
    </row>
    <row r="17101">
      <c r="A17101" s="4" t="str">
        <f>IFERROR(__xludf.DUMMYFUNCTION("""COMPUTED_VALUE"""),"cas_hmw")</f>
        <v>cas_hmw</v>
      </c>
      <c r="B17101" s="5">
        <f>IFERROR(__xludf.DUMMYFUNCTION("""COMPUTED_VALUE"""),44739.0)</f>
        <v>44739</v>
      </c>
      <c r="C17101" s="6">
        <f>IFERROR(__xludf.DUMMYFUNCTION("""COMPUTED_VALUE"""),0.3463541666678793)</f>
        <v>0.3463541667</v>
      </c>
      <c r="D17101" s="4">
        <f>IFERROR(__xludf.DUMMYFUNCTION("""COMPUTED_VALUE"""),12.946289)</f>
        <v>12.946289</v>
      </c>
      <c r="E17101" s="4">
        <f>IFERROR(__xludf.DUMMYFUNCTION("""COMPUTED_VALUE"""),80.136406)</f>
        <v>80.136406</v>
      </c>
      <c r="F17101" s="4">
        <f>IFERROR(__xludf.DUMMYFUNCTION("""COMPUTED_VALUE"""),805.0)</f>
        <v>805</v>
      </c>
      <c r="G17101" s="4">
        <f>IFERROR(__xludf.DUMMYFUNCTION("""COMPUTED_VALUE"""),50.0)</f>
        <v>50</v>
      </c>
      <c r="H17101" s="4"/>
      <c r="I17101" s="4"/>
    </row>
    <row r="17102">
      <c r="A17102" s="4" t="str">
        <f>IFERROR(__xludf.DUMMYFUNCTION("""COMPUTED_VALUE"""),"cas_hmw")</f>
        <v>cas_hmw</v>
      </c>
      <c r="B17102" s="5">
        <f>IFERROR(__xludf.DUMMYFUNCTION("""COMPUTED_VALUE"""),44739.0)</f>
        <v>44739</v>
      </c>
      <c r="C17102" s="6">
        <f>IFERROR(__xludf.DUMMYFUNCTION("""COMPUTED_VALUE"""),0.3467361111106584)</f>
        <v>0.3467361111</v>
      </c>
      <c r="D17102" s="4">
        <f>IFERROR(__xludf.DUMMYFUNCTION("""COMPUTED_VALUE"""),12.943559)</f>
        <v>12.943559</v>
      </c>
      <c r="E17102" s="4">
        <f>IFERROR(__xludf.DUMMYFUNCTION("""COMPUTED_VALUE"""),80.134237)</f>
        <v>80.134237</v>
      </c>
      <c r="F17102" s="4">
        <f>IFERROR(__xludf.DUMMYFUNCTION("""COMPUTED_VALUE"""),805.0)</f>
        <v>805</v>
      </c>
      <c r="G17102" s="4">
        <f>IFERROR(__xludf.DUMMYFUNCTION("""COMPUTED_VALUE"""),38.0)</f>
        <v>38</v>
      </c>
      <c r="H17102" s="4"/>
      <c r="I17102" s="4"/>
    </row>
    <row r="17103">
      <c r="A17103" s="4" t="str">
        <f>IFERROR(__xludf.DUMMYFUNCTION("""COMPUTED_VALUE"""),"cas_hmw")</f>
        <v>cas_hmw</v>
      </c>
      <c r="B17103" s="5">
        <f>IFERROR(__xludf.DUMMYFUNCTION("""COMPUTED_VALUE"""),44739.0)</f>
        <v>44739</v>
      </c>
      <c r="C17103" s="6">
        <f>IFERROR(__xludf.DUMMYFUNCTION("""COMPUTED_VALUE"""),0.34674768518380006)</f>
        <v>0.3467476852</v>
      </c>
      <c r="D17103" s="4">
        <f>IFERROR(__xludf.DUMMYFUNCTION("""COMPUTED_VALUE"""),12.857741)</f>
        <v>12.857741</v>
      </c>
      <c r="E17103" s="4">
        <f>IFERROR(__xludf.DUMMYFUNCTION("""COMPUTED_VALUE"""),80.070418)</f>
        <v>80.070418</v>
      </c>
      <c r="F17103" s="4">
        <f>IFERROR(__xludf.DUMMYFUNCTION("""COMPUTED_VALUE"""),2846.0)</f>
        <v>2846</v>
      </c>
      <c r="G17103" s="4">
        <f>IFERROR(__xludf.DUMMYFUNCTION("""COMPUTED_VALUE"""),55.0)</f>
        <v>55</v>
      </c>
      <c r="H17103" s="4"/>
      <c r="I17103" s="4"/>
    </row>
    <row r="17104">
      <c r="A17104" s="4" t="str">
        <f>IFERROR(__xludf.DUMMYFUNCTION("""COMPUTED_VALUE"""),"cas_hmw")</f>
        <v>cas_hmw</v>
      </c>
      <c r="B17104" s="5">
        <f>IFERROR(__xludf.DUMMYFUNCTION("""COMPUTED_VALUE"""),44739.0)</f>
        <v>44739</v>
      </c>
      <c r="C17104" s="6">
        <f>IFERROR(__xludf.DUMMYFUNCTION("""COMPUTED_VALUE"""),0.3467592592605797)</f>
        <v>0.3467592593</v>
      </c>
      <c r="D17104" s="4">
        <f>IFERROR(__xludf.DUMMYFUNCTION("""COMPUTED_VALUE"""),12.942572)</f>
        <v>12.942572</v>
      </c>
      <c r="E17104" s="4">
        <f>IFERROR(__xludf.DUMMYFUNCTION("""COMPUTED_VALUE"""),80.133382)</f>
        <v>80.133382</v>
      </c>
      <c r="F17104" s="4">
        <f>IFERROR(__xludf.DUMMYFUNCTION("""COMPUTED_VALUE"""),805.0)</f>
        <v>805</v>
      </c>
      <c r="G17104" s="4">
        <f>IFERROR(__xludf.DUMMYFUNCTION("""COMPUTED_VALUE"""),22.0)</f>
        <v>22</v>
      </c>
      <c r="H17104" s="4"/>
      <c r="I17104" s="4"/>
    </row>
    <row r="17105">
      <c r="A17105" s="4" t="str">
        <f>IFERROR(__xludf.DUMMYFUNCTION("""COMPUTED_VALUE"""),"cas_hmw")</f>
        <v>cas_hmw</v>
      </c>
      <c r="B17105" s="5">
        <f>IFERROR(__xludf.DUMMYFUNCTION("""COMPUTED_VALUE"""),44739.0)</f>
        <v>44739</v>
      </c>
      <c r="C17105" s="6">
        <f>IFERROR(__xludf.DUMMYFUNCTION("""COMPUTED_VALUE"""),0.3467708333337214)</f>
        <v>0.3467708333</v>
      </c>
      <c r="D17105" s="4">
        <f>IFERROR(__xludf.DUMMYFUNCTION("""COMPUTED_VALUE"""),12.857741)</f>
        <v>12.857741</v>
      </c>
      <c r="E17105" s="4">
        <f>IFERROR(__xludf.DUMMYFUNCTION("""COMPUTED_VALUE"""),80.070418)</f>
        <v>80.070418</v>
      </c>
      <c r="F17105" s="4">
        <f>IFERROR(__xludf.DUMMYFUNCTION("""COMPUTED_VALUE"""),2846.0)</f>
        <v>2846</v>
      </c>
      <c r="G17105" s="4">
        <f>IFERROR(__xludf.DUMMYFUNCTION("""COMPUTED_VALUE"""),55.0)</f>
        <v>55</v>
      </c>
      <c r="H17105" s="4"/>
      <c r="I17105" s="4"/>
    </row>
    <row r="17106">
      <c r="A17106" s="4" t="str">
        <f>IFERROR(__xludf.DUMMYFUNCTION("""COMPUTED_VALUE"""),"cas_hmw")</f>
        <v>cas_hmw</v>
      </c>
      <c r="B17106" s="5">
        <f>IFERROR(__xludf.DUMMYFUNCTION("""COMPUTED_VALUE"""),44739.0)</f>
        <v>44739</v>
      </c>
      <c r="C17106" s="6">
        <f>IFERROR(__xludf.DUMMYFUNCTION("""COMPUTED_VALUE"""),0.34678240740686306)</f>
        <v>0.3467824074</v>
      </c>
      <c r="D17106" s="4">
        <f>IFERROR(__xludf.DUMMYFUNCTION("""COMPUTED_VALUE"""),12.857741)</f>
        <v>12.857741</v>
      </c>
      <c r="E17106" s="4">
        <f>IFERROR(__xludf.DUMMYFUNCTION("""COMPUTED_VALUE"""),80.070418)</f>
        <v>80.070418</v>
      </c>
      <c r="F17106" s="4">
        <f>IFERROR(__xludf.DUMMYFUNCTION("""COMPUTED_VALUE"""),2846.0)</f>
        <v>2846</v>
      </c>
      <c r="G17106" s="4">
        <f>IFERROR(__xludf.DUMMYFUNCTION("""COMPUTED_VALUE"""),55.0)</f>
        <v>55</v>
      </c>
      <c r="H17106" s="4"/>
      <c r="I17106" s="4"/>
    </row>
    <row r="17107">
      <c r="A17107" s="4" t="str">
        <f>IFERROR(__xludf.DUMMYFUNCTION("""COMPUTED_VALUE"""),"cas_hmw")</f>
        <v>cas_hmw</v>
      </c>
      <c r="B17107" s="5">
        <f>IFERROR(__xludf.DUMMYFUNCTION("""COMPUTED_VALUE"""),44739.0)</f>
        <v>44739</v>
      </c>
      <c r="C17107" s="6">
        <f>IFERROR(__xludf.DUMMYFUNCTION("""COMPUTED_VALUE"""),0.3470601851840911)</f>
        <v>0.3470601852</v>
      </c>
      <c r="D17107" s="4">
        <f>IFERROR(__xludf.DUMMYFUNCTION("""COMPUTED_VALUE"""),12.941681)</f>
        <v>12.941681</v>
      </c>
      <c r="E17107" s="4">
        <f>IFERROR(__xludf.DUMMYFUNCTION("""COMPUTED_VALUE"""),80.132335)</f>
        <v>80.132335</v>
      </c>
      <c r="F17107" s="4">
        <f>IFERROR(__xludf.DUMMYFUNCTION("""COMPUTED_VALUE"""),805.0)</f>
        <v>805</v>
      </c>
      <c r="G17107" s="4">
        <f>IFERROR(__xludf.DUMMYFUNCTION("""COMPUTED_VALUE"""),46.0)</f>
        <v>46</v>
      </c>
      <c r="H17107" s="4"/>
      <c r="I17107" s="4"/>
    </row>
    <row r="17108">
      <c r="A17108" s="4" t="str">
        <f>IFERROR(__xludf.DUMMYFUNCTION("""COMPUTED_VALUE"""),"cas_hmw")</f>
        <v>cas_hmw</v>
      </c>
      <c r="B17108" s="5">
        <f>IFERROR(__xludf.DUMMYFUNCTION("""COMPUTED_VALUE"""),44739.0)</f>
        <v>44739</v>
      </c>
      <c r="C17108" s="6">
        <f>IFERROR(__xludf.DUMMYFUNCTION("""COMPUTED_VALUE"""),0.3470833333340124)</f>
        <v>0.3470833333</v>
      </c>
      <c r="D17108" s="4">
        <f>IFERROR(__xludf.DUMMYFUNCTION("""COMPUTED_VALUE"""),12.941681)</f>
        <v>12.941681</v>
      </c>
      <c r="E17108" s="4">
        <f>IFERROR(__xludf.DUMMYFUNCTION("""COMPUTED_VALUE"""),80.132335)</f>
        <v>80.132335</v>
      </c>
      <c r="F17108" s="4">
        <f>IFERROR(__xludf.DUMMYFUNCTION("""COMPUTED_VALUE"""),805.0)</f>
        <v>805</v>
      </c>
      <c r="G17108" s="4">
        <f>IFERROR(__xludf.DUMMYFUNCTION("""COMPUTED_VALUE"""),46.0)</f>
        <v>46</v>
      </c>
      <c r="H17108" s="4"/>
      <c r="I17108" s="4"/>
    </row>
    <row r="17109">
      <c r="A17109" s="4" t="str">
        <f>IFERROR(__xludf.DUMMYFUNCTION("""COMPUTED_VALUE"""),"cas_hmw")</f>
        <v>cas_hmw</v>
      </c>
      <c r="B17109" s="5">
        <f>IFERROR(__xludf.DUMMYFUNCTION("""COMPUTED_VALUE"""),44739.0)</f>
        <v>44739</v>
      </c>
      <c r="C17109" s="6">
        <f>IFERROR(__xludf.DUMMYFUNCTION("""COMPUTED_VALUE"""),0.34773148148087785)</f>
        <v>0.3477314815</v>
      </c>
      <c r="D17109" s="4">
        <f>IFERROR(__xludf.DUMMYFUNCTION("""COMPUTED_VALUE"""),12.862768)</f>
        <v>12.862768</v>
      </c>
      <c r="E17109" s="4">
        <f>IFERROR(__xludf.DUMMYFUNCTION("""COMPUTED_VALUE"""),80.073593)</f>
        <v>80.073593</v>
      </c>
      <c r="F17109" s="4">
        <f>IFERROR(__xludf.DUMMYFUNCTION("""COMPUTED_VALUE"""),2846.0)</f>
        <v>2846</v>
      </c>
      <c r="G17109" s="4">
        <f>IFERROR(__xludf.DUMMYFUNCTION("""COMPUTED_VALUE"""),0.0)</f>
        <v>0</v>
      </c>
      <c r="H17109" s="4"/>
      <c r="I17109" s="4"/>
    </row>
    <row r="17110">
      <c r="A17110" s="4" t="str">
        <f>IFERROR(__xludf.DUMMYFUNCTION("""COMPUTED_VALUE"""),"cas_hmw")</f>
        <v>cas_hmw</v>
      </c>
      <c r="B17110" s="5">
        <f>IFERROR(__xludf.DUMMYFUNCTION("""COMPUTED_VALUE"""),44739.0)</f>
        <v>44739</v>
      </c>
      <c r="C17110" s="6">
        <f>IFERROR(__xludf.DUMMYFUNCTION("""COMPUTED_VALUE"""),0.3479629629619012)</f>
        <v>0.347962963</v>
      </c>
      <c r="D17110" s="4">
        <f>IFERROR(__xludf.DUMMYFUNCTION("""COMPUTED_VALUE"""),12.863191)</f>
        <v>12.863191</v>
      </c>
      <c r="E17110" s="4">
        <f>IFERROR(__xludf.DUMMYFUNCTION("""COMPUTED_VALUE"""),80.073758)</f>
        <v>80.073758</v>
      </c>
      <c r="F17110" s="4">
        <f>IFERROR(__xludf.DUMMYFUNCTION("""COMPUTED_VALUE"""),2846.0)</f>
        <v>2846</v>
      </c>
      <c r="G17110" s="4">
        <f>IFERROR(__xludf.DUMMYFUNCTION("""COMPUTED_VALUE"""),25.0)</f>
        <v>25</v>
      </c>
      <c r="H17110" s="4"/>
      <c r="I17110" s="4"/>
    </row>
    <row r="17111">
      <c r="A17111" s="4" t="str">
        <f>IFERROR(__xludf.DUMMYFUNCTION("""COMPUTED_VALUE"""),"cas_hmw")</f>
        <v>cas_hmw</v>
      </c>
      <c r="B17111" s="5">
        <f>IFERROR(__xludf.DUMMYFUNCTION("""COMPUTED_VALUE"""),44739.0)</f>
        <v>44739</v>
      </c>
      <c r="C17111" s="6">
        <f>IFERROR(__xludf.DUMMYFUNCTION("""COMPUTED_VALUE"""),0.3481134259272949)</f>
        <v>0.3481134259</v>
      </c>
      <c r="D17111" s="4">
        <f>IFERROR(__xludf.DUMMYFUNCTION("""COMPUTED_VALUE"""),12.936313)</f>
        <v>12.936313</v>
      </c>
      <c r="E17111" s="4">
        <f>IFERROR(__xludf.DUMMYFUNCTION("""COMPUTED_VALUE"""),80.127326)</f>
        <v>80.127326</v>
      </c>
      <c r="F17111" s="4">
        <f>IFERROR(__xludf.DUMMYFUNCTION("""COMPUTED_VALUE"""),805.0)</f>
        <v>805</v>
      </c>
      <c r="G17111" s="4">
        <f>IFERROR(__xludf.DUMMYFUNCTION("""COMPUTED_VALUE"""),13.0)</f>
        <v>13</v>
      </c>
      <c r="H17111" s="4"/>
      <c r="I17111" s="4"/>
    </row>
    <row r="17112">
      <c r="A17112" s="4" t="str">
        <f>IFERROR(__xludf.DUMMYFUNCTION("""COMPUTED_VALUE"""),"cas_hmw")</f>
        <v>cas_hmw</v>
      </c>
      <c r="B17112" s="5">
        <f>IFERROR(__xludf.DUMMYFUNCTION("""COMPUTED_VALUE"""),44739.0)</f>
        <v>44739</v>
      </c>
      <c r="C17112" s="6">
        <f>IFERROR(__xludf.DUMMYFUNCTION("""COMPUTED_VALUE"""),0.3481481481467199)</f>
        <v>0.3481481481</v>
      </c>
      <c r="D17112" s="4">
        <f>IFERROR(__xludf.DUMMYFUNCTION("""COMPUTED_VALUE"""),12.864543)</f>
        <v>12.864543</v>
      </c>
      <c r="E17112" s="4">
        <f>IFERROR(__xludf.DUMMYFUNCTION("""COMPUTED_VALUE"""),80.074285)</f>
        <v>80.074285</v>
      </c>
      <c r="F17112" s="4">
        <f>IFERROR(__xludf.DUMMYFUNCTION("""COMPUTED_VALUE"""),2846.0)</f>
        <v>2846</v>
      </c>
      <c r="G17112" s="4">
        <f>IFERROR(__xludf.DUMMYFUNCTION("""COMPUTED_VALUE"""),42.0)</f>
        <v>42</v>
      </c>
      <c r="H17112" s="4"/>
      <c r="I17112" s="4"/>
    </row>
    <row r="17113">
      <c r="A17113" s="4" t="str">
        <f>IFERROR(__xludf.DUMMYFUNCTION("""COMPUTED_VALUE"""),"cas_hmw")</f>
        <v>cas_hmw</v>
      </c>
      <c r="B17113" s="5">
        <f>IFERROR(__xludf.DUMMYFUNCTION("""COMPUTED_VALUE"""),44739.0)</f>
        <v>44739</v>
      </c>
      <c r="C17113" s="6">
        <f>IFERROR(__xludf.DUMMYFUNCTION("""COMPUTED_VALUE"""),0.3482638888890506)</f>
        <v>0.3482638889</v>
      </c>
      <c r="D17113" s="4">
        <f>IFERROR(__xludf.DUMMYFUNCTION("""COMPUTED_VALUE"""),12.900735)</f>
        <v>12.900735</v>
      </c>
      <c r="E17113" s="4">
        <f>IFERROR(__xludf.DUMMYFUNCTION("""COMPUTED_VALUE"""),80.09207)</f>
        <v>80.09207</v>
      </c>
      <c r="F17113" s="4">
        <f>IFERROR(__xludf.DUMMYFUNCTION("""COMPUTED_VALUE"""),5339.0)</f>
        <v>5339</v>
      </c>
      <c r="G17113" s="4">
        <f>IFERROR(__xludf.DUMMYFUNCTION("""COMPUTED_VALUE"""),49.0)</f>
        <v>49</v>
      </c>
      <c r="H17113" s="4"/>
      <c r="I17113" s="4"/>
    </row>
    <row r="17114">
      <c r="A17114" s="4" t="str">
        <f>IFERROR(__xludf.DUMMYFUNCTION("""COMPUTED_VALUE"""),"cas_hmw")</f>
        <v>cas_hmw</v>
      </c>
      <c r="B17114" s="5">
        <f>IFERROR(__xludf.DUMMYFUNCTION("""COMPUTED_VALUE"""),44739.0)</f>
        <v>44739</v>
      </c>
      <c r="C17114" s="6">
        <f>IFERROR(__xludf.DUMMYFUNCTION("""COMPUTED_VALUE"""),0.3483333333315386)</f>
        <v>0.3483333333</v>
      </c>
      <c r="D17114" s="4">
        <f>IFERROR(__xludf.DUMMYFUNCTION("""COMPUTED_VALUE"""),12.900735)</f>
        <v>12.900735</v>
      </c>
      <c r="E17114" s="4">
        <f>IFERROR(__xludf.DUMMYFUNCTION("""COMPUTED_VALUE"""),80.09207)</f>
        <v>80.09207</v>
      </c>
      <c r="F17114" s="4">
        <f>IFERROR(__xludf.DUMMYFUNCTION("""COMPUTED_VALUE"""),5339.0)</f>
        <v>5339</v>
      </c>
      <c r="G17114" s="4">
        <f>IFERROR(__xludf.DUMMYFUNCTION("""COMPUTED_VALUE"""),49.0)</f>
        <v>49</v>
      </c>
      <c r="H17114" s="4"/>
      <c r="I17114" s="4"/>
    </row>
    <row r="17115">
      <c r="A17115" s="4" t="str">
        <f>IFERROR(__xludf.DUMMYFUNCTION("""COMPUTED_VALUE"""),"cas_hmw")</f>
        <v>cas_hmw</v>
      </c>
      <c r="B17115" s="5">
        <f>IFERROR(__xludf.DUMMYFUNCTION("""COMPUTED_VALUE"""),44739.0)</f>
        <v>44739</v>
      </c>
      <c r="C17115" s="6">
        <f>IFERROR(__xludf.DUMMYFUNCTION("""COMPUTED_VALUE"""),0.34875000000101863)</f>
        <v>0.34875</v>
      </c>
      <c r="D17115" s="4">
        <f>IFERROR(__xludf.DUMMYFUNCTION("""COMPUTED_VALUE"""),12.870995)</f>
        <v>12.870995</v>
      </c>
      <c r="E17115" s="4">
        <f>IFERROR(__xludf.DUMMYFUNCTION("""COMPUTED_VALUE"""),80.076779)</f>
        <v>80.076779</v>
      </c>
      <c r="F17115" s="4">
        <f>IFERROR(__xludf.DUMMYFUNCTION("""COMPUTED_VALUE"""),2846.0)</f>
        <v>2846</v>
      </c>
      <c r="G17115" s="4">
        <f>IFERROR(__xludf.DUMMYFUNCTION("""COMPUTED_VALUE"""),34.0)</f>
        <v>34</v>
      </c>
      <c r="H17115" s="4"/>
      <c r="I17115" s="4"/>
    </row>
    <row r="17116">
      <c r="A17116" s="4" t="str">
        <f>IFERROR(__xludf.DUMMYFUNCTION("""COMPUTED_VALUE"""),"cas_hmw")</f>
        <v>cas_hmw</v>
      </c>
      <c r="B17116" s="5">
        <f>IFERROR(__xludf.DUMMYFUNCTION("""COMPUTED_VALUE"""),44739.0)</f>
        <v>44739</v>
      </c>
      <c r="C17116" s="6">
        <f>IFERROR(__xludf.DUMMYFUNCTION("""COMPUTED_VALUE"""),0.34943287037094706)</f>
        <v>0.3494328704</v>
      </c>
      <c r="D17116" s="4">
        <f>IFERROR(__xludf.DUMMYFUNCTION("""COMPUTED_VALUE"""),12.93075)</f>
        <v>12.93075</v>
      </c>
      <c r="E17116" s="4">
        <f>IFERROR(__xludf.DUMMYFUNCTION("""COMPUTED_VALUE"""),80.121941)</f>
        <v>80.121941</v>
      </c>
      <c r="F17116" s="4">
        <f>IFERROR(__xludf.DUMMYFUNCTION("""COMPUTED_VALUE"""),805.0)</f>
        <v>805</v>
      </c>
      <c r="G17116" s="4">
        <f>IFERROR(__xludf.DUMMYFUNCTION("""COMPUTED_VALUE"""),24.0)</f>
        <v>24</v>
      </c>
      <c r="H17116" s="4"/>
      <c r="I17116" s="4"/>
    </row>
    <row r="17117">
      <c r="A17117" s="4" t="str">
        <f>IFERROR(__xludf.DUMMYFUNCTION("""COMPUTED_VALUE"""),"cas_hmw")</f>
        <v>cas_hmw</v>
      </c>
      <c r="B17117" s="5">
        <f>IFERROR(__xludf.DUMMYFUNCTION("""COMPUTED_VALUE"""),44739.0)</f>
        <v>44739</v>
      </c>
      <c r="C17117" s="6">
        <f>IFERROR(__xludf.DUMMYFUNCTION("""COMPUTED_VALUE"""),0.3500810185178125)</f>
        <v>0.3500810185</v>
      </c>
      <c r="D17117" s="4">
        <f>IFERROR(__xludf.DUMMYFUNCTION("""COMPUTED_VALUE"""),12.885863)</f>
        <v>12.885863</v>
      </c>
      <c r="E17117" s="4">
        <f>IFERROR(__xludf.DUMMYFUNCTION("""COMPUTED_VALUE"""),80.082889)</f>
        <v>80.082889</v>
      </c>
      <c r="F17117" s="4">
        <f>IFERROR(__xludf.DUMMYFUNCTION("""COMPUTED_VALUE"""),5339.0)</f>
        <v>5339</v>
      </c>
      <c r="G17117" s="4">
        <f>IFERROR(__xludf.DUMMYFUNCTION("""COMPUTED_VALUE"""),58.0)</f>
        <v>58</v>
      </c>
      <c r="H17117" s="4"/>
      <c r="I17117" s="4"/>
    </row>
    <row r="17118">
      <c r="A17118" s="4" t="str">
        <f>IFERROR(__xludf.DUMMYFUNCTION("""COMPUTED_VALUE"""),"cas_hmw")</f>
        <v>cas_hmw</v>
      </c>
      <c r="B17118" s="5">
        <f>IFERROR(__xludf.DUMMYFUNCTION("""COMPUTED_VALUE"""),44739.0)</f>
        <v>44739</v>
      </c>
      <c r="C17118" s="6">
        <f>IFERROR(__xludf.DUMMYFUNCTION("""COMPUTED_VALUE"""),0.35048611111051287)</f>
        <v>0.3504861111</v>
      </c>
      <c r="D17118" s="4">
        <f>IFERROR(__xludf.DUMMYFUNCTION("""COMPUTED_VALUE"""),12.927749)</f>
        <v>12.927749</v>
      </c>
      <c r="E17118" s="4">
        <f>IFERROR(__xludf.DUMMYFUNCTION("""COMPUTED_VALUE"""),80.118917)</f>
        <v>80.118917</v>
      </c>
      <c r="F17118" s="4">
        <f>IFERROR(__xludf.DUMMYFUNCTION("""COMPUTED_VALUE"""),805.0)</f>
        <v>805</v>
      </c>
      <c r="G17118" s="4">
        <f>IFERROR(__xludf.DUMMYFUNCTION("""COMPUTED_VALUE"""),0.0)</f>
        <v>0</v>
      </c>
      <c r="H17118" s="4"/>
      <c r="I17118" s="4"/>
    </row>
    <row r="17119">
      <c r="A17119" s="4" t="str">
        <f>IFERROR(__xludf.DUMMYFUNCTION("""COMPUTED_VALUE"""),"cas_hmw")</f>
        <v>cas_hmw</v>
      </c>
      <c r="B17119" s="5">
        <f>IFERROR(__xludf.DUMMYFUNCTION("""COMPUTED_VALUE"""),44739.0)</f>
        <v>44739</v>
      </c>
      <c r="C17119" s="6">
        <f>IFERROR(__xludf.DUMMYFUNCTION("""COMPUTED_VALUE"""),0.35048611111051287)</f>
        <v>0.3504861111</v>
      </c>
      <c r="D17119" s="4">
        <f>IFERROR(__xludf.DUMMYFUNCTION("""COMPUTED_VALUE"""),12.927749)</f>
        <v>12.927749</v>
      </c>
      <c r="E17119" s="4">
        <f>IFERROR(__xludf.DUMMYFUNCTION("""COMPUTED_VALUE"""),80.118917)</f>
        <v>80.118917</v>
      </c>
      <c r="F17119" s="4">
        <f>IFERROR(__xludf.DUMMYFUNCTION("""COMPUTED_VALUE"""),805.0)</f>
        <v>805</v>
      </c>
      <c r="G17119" s="4">
        <f>IFERROR(__xludf.DUMMYFUNCTION("""COMPUTED_VALUE"""),0.0)</f>
        <v>0</v>
      </c>
      <c r="H17119" s="4"/>
      <c r="I17119" s="4"/>
    </row>
    <row r="17120">
      <c r="A17120" s="4" t="str">
        <f>IFERROR(__xludf.DUMMYFUNCTION("""COMPUTED_VALUE"""),"cas_hmw")</f>
        <v>cas_hmw</v>
      </c>
      <c r="B17120" s="5">
        <f>IFERROR(__xludf.DUMMYFUNCTION("""COMPUTED_VALUE"""),44739.0)</f>
        <v>44739</v>
      </c>
      <c r="C17120" s="6">
        <f>IFERROR(__xludf.DUMMYFUNCTION("""COMPUTED_VALUE"""),0.3528703703705105)</f>
        <v>0.3528703704</v>
      </c>
      <c r="D17120" s="4">
        <f>IFERROR(__xludf.DUMMYFUNCTION("""COMPUTED_VALUE"""),12.916579)</f>
        <v>12.916579</v>
      </c>
      <c r="E17120" s="4">
        <f>IFERROR(__xludf.DUMMYFUNCTION("""COMPUTED_VALUE"""),80.106408)</f>
        <v>80.106408</v>
      </c>
      <c r="F17120" s="4">
        <f>IFERROR(__xludf.DUMMYFUNCTION("""COMPUTED_VALUE"""),805.0)</f>
        <v>805</v>
      </c>
      <c r="G17120" s="4">
        <f>IFERROR(__xludf.DUMMYFUNCTION("""COMPUTED_VALUE"""),43.0)</f>
        <v>43</v>
      </c>
      <c r="H17120" s="4"/>
      <c r="I17120" s="4"/>
    </row>
    <row r="17121">
      <c r="A17121" s="4" t="str">
        <f>IFERROR(__xludf.DUMMYFUNCTION("""COMPUTED_VALUE"""),"cas_hmw")</f>
        <v>cas_hmw</v>
      </c>
      <c r="B17121" s="5">
        <f>IFERROR(__xludf.DUMMYFUNCTION("""COMPUTED_VALUE"""),44739.0)</f>
        <v>44739</v>
      </c>
      <c r="C17121" s="6">
        <f>IFERROR(__xludf.DUMMYFUNCTION("""COMPUTED_VALUE"""),0.3529166666667152)</f>
        <v>0.3529166667</v>
      </c>
      <c r="D17121" s="4">
        <f>IFERROR(__xludf.DUMMYFUNCTION("""COMPUTED_VALUE"""),12.916579)</f>
        <v>12.916579</v>
      </c>
      <c r="E17121" s="4">
        <f>IFERROR(__xludf.DUMMYFUNCTION("""COMPUTED_VALUE"""),80.106408)</f>
        <v>80.106408</v>
      </c>
      <c r="F17121" s="4">
        <f>IFERROR(__xludf.DUMMYFUNCTION("""COMPUTED_VALUE"""),805.0)</f>
        <v>805</v>
      </c>
      <c r="G17121" s="4">
        <f>IFERROR(__xludf.DUMMYFUNCTION("""COMPUTED_VALUE"""),43.0)</f>
        <v>43</v>
      </c>
      <c r="H17121" s="4"/>
      <c r="I17121" s="4"/>
    </row>
    <row r="17122">
      <c r="A17122" s="4" t="str">
        <f>IFERROR(__xludf.DUMMYFUNCTION("""COMPUTED_VALUE"""),"cas_hmw")</f>
        <v>cas_hmw</v>
      </c>
      <c r="B17122" s="5">
        <f>IFERROR(__xludf.DUMMYFUNCTION("""COMPUTED_VALUE"""),44739.0)</f>
        <v>44739</v>
      </c>
      <c r="C17122" s="6">
        <f>IFERROR(__xludf.DUMMYFUNCTION("""COMPUTED_VALUE"""),0.3561805555546016)</f>
        <v>0.3561805556</v>
      </c>
      <c r="D17122" s="4">
        <f>IFERROR(__xludf.DUMMYFUNCTION("""COMPUTED_VALUE"""),12.906518)</f>
        <v>12.906518</v>
      </c>
      <c r="E17122" s="4">
        <f>IFERROR(__xludf.DUMMYFUNCTION("""COMPUTED_VALUE"""),80.096614)</f>
        <v>80.096614</v>
      </c>
      <c r="F17122" s="4">
        <f>IFERROR(__xludf.DUMMYFUNCTION("""COMPUTED_VALUE"""),805.0)</f>
        <v>805</v>
      </c>
      <c r="G17122" s="4">
        <f>IFERROR(__xludf.DUMMYFUNCTION("""COMPUTED_VALUE"""),16.0)</f>
        <v>16</v>
      </c>
      <c r="H17122" s="4"/>
      <c r="I17122" s="4"/>
    </row>
    <row r="17123">
      <c r="A17123" s="4" t="str">
        <f>IFERROR(__xludf.DUMMYFUNCTION("""COMPUTED_VALUE"""),"cas_hmw")</f>
        <v>cas_hmw</v>
      </c>
      <c r="B17123" s="5">
        <f>IFERROR(__xludf.DUMMYFUNCTION("""COMPUTED_VALUE"""),44739.0)</f>
        <v>44739</v>
      </c>
      <c r="C17123" s="6">
        <f>IFERROR(__xludf.DUMMYFUNCTION("""COMPUTED_VALUE"""),0.3561805555546016)</f>
        <v>0.3561805556</v>
      </c>
      <c r="D17123" s="4">
        <f>IFERROR(__xludf.DUMMYFUNCTION("""COMPUTED_VALUE"""),12.906518)</f>
        <v>12.906518</v>
      </c>
      <c r="E17123" s="4">
        <f>IFERROR(__xludf.DUMMYFUNCTION("""COMPUTED_VALUE"""),80.096614)</f>
        <v>80.096614</v>
      </c>
      <c r="F17123" s="4">
        <f>IFERROR(__xludf.DUMMYFUNCTION("""COMPUTED_VALUE"""),805.0)</f>
        <v>805</v>
      </c>
      <c r="G17123" s="4">
        <f>IFERROR(__xludf.DUMMYFUNCTION("""COMPUTED_VALUE"""),16.0)</f>
        <v>16</v>
      </c>
      <c r="H17123" s="4"/>
      <c r="I17123" s="4"/>
    </row>
    <row r="17124">
      <c r="A17124" s="4" t="str">
        <f>IFERROR(__xludf.DUMMYFUNCTION("""COMPUTED_VALUE"""),"cas_hmw")</f>
        <v>cas_hmw</v>
      </c>
      <c r="B17124" s="5">
        <f>IFERROR(__xludf.DUMMYFUNCTION("""COMPUTED_VALUE"""),44739.0)</f>
        <v>44739</v>
      </c>
      <c r="C17124" s="6">
        <f>IFERROR(__xludf.DUMMYFUNCTION("""COMPUTED_VALUE"""),0.35619212963138125)</f>
        <v>0.3561921296</v>
      </c>
      <c r="D17124" s="4">
        <f>IFERROR(__xludf.DUMMYFUNCTION("""COMPUTED_VALUE"""),12.906518)</f>
        <v>12.906518</v>
      </c>
      <c r="E17124" s="4">
        <f>IFERROR(__xludf.DUMMYFUNCTION("""COMPUTED_VALUE"""),80.096614)</f>
        <v>80.096614</v>
      </c>
      <c r="F17124" s="4">
        <f>IFERROR(__xludf.DUMMYFUNCTION("""COMPUTED_VALUE"""),805.0)</f>
        <v>805</v>
      </c>
      <c r="G17124" s="4">
        <f>IFERROR(__xludf.DUMMYFUNCTION("""COMPUTED_VALUE"""),16.0)</f>
        <v>16</v>
      </c>
      <c r="H17124" s="4"/>
      <c r="I17124" s="4"/>
    </row>
    <row r="17125">
      <c r="A17125" s="4" t="str">
        <f>IFERROR(__xludf.DUMMYFUNCTION("""COMPUTED_VALUE"""),"cas_hmw")</f>
        <v>cas_hmw</v>
      </c>
      <c r="B17125" s="5">
        <f>IFERROR(__xludf.DUMMYFUNCTION("""COMPUTED_VALUE"""),44739.0)</f>
        <v>44739</v>
      </c>
      <c r="C17125" s="6">
        <f>IFERROR(__xludf.DUMMYFUNCTION("""COMPUTED_VALUE"""),0.3562152777776646)</f>
        <v>0.3562152778</v>
      </c>
      <c r="D17125" s="4">
        <f>IFERROR(__xludf.DUMMYFUNCTION("""COMPUTED_VALUE"""),12.906518)</f>
        <v>12.906518</v>
      </c>
      <c r="E17125" s="4">
        <f>IFERROR(__xludf.DUMMYFUNCTION("""COMPUTED_VALUE"""),80.096614)</f>
        <v>80.096614</v>
      </c>
      <c r="F17125" s="4">
        <f>IFERROR(__xludf.DUMMYFUNCTION("""COMPUTED_VALUE"""),805.0)</f>
        <v>805</v>
      </c>
      <c r="G17125" s="4">
        <f>IFERROR(__xludf.DUMMYFUNCTION("""COMPUTED_VALUE"""),16.0)</f>
        <v>16</v>
      </c>
      <c r="H17125" s="4"/>
      <c r="I17125" s="4"/>
    </row>
    <row r="17126">
      <c r="A17126" s="4" t="str">
        <f>IFERROR(__xludf.DUMMYFUNCTION("""COMPUTED_VALUE"""),"cas_hmw")</f>
        <v>cas_hmw</v>
      </c>
      <c r="B17126" s="5">
        <f>IFERROR(__xludf.DUMMYFUNCTION("""COMPUTED_VALUE"""),44739.0)</f>
        <v>44739</v>
      </c>
      <c r="C17126" s="6">
        <f>IFERROR(__xludf.DUMMYFUNCTION("""COMPUTED_VALUE"""),0.35659722222044365)</f>
        <v>0.3565972222</v>
      </c>
      <c r="D17126" s="4">
        <f>IFERROR(__xludf.DUMMYFUNCTION("""COMPUTED_VALUE"""),12.905412)</f>
        <v>12.905412</v>
      </c>
      <c r="E17126" s="4">
        <f>IFERROR(__xludf.DUMMYFUNCTION("""COMPUTED_VALUE"""),80.095708)</f>
        <v>80.095708</v>
      </c>
      <c r="F17126" s="4">
        <f>IFERROR(__xludf.DUMMYFUNCTION("""COMPUTED_VALUE"""),805.0)</f>
        <v>805</v>
      </c>
      <c r="G17126" s="4">
        <f>IFERROR(__xludf.DUMMYFUNCTION("""COMPUTED_VALUE"""),14.0)</f>
        <v>14</v>
      </c>
      <c r="H17126" s="4"/>
      <c r="I17126" s="4"/>
    </row>
    <row r="17127">
      <c r="A17127" s="4" t="str">
        <f>IFERROR(__xludf.DUMMYFUNCTION("""COMPUTED_VALUE"""),"cas_hmw")</f>
        <v>cas_hmw</v>
      </c>
      <c r="B17127" s="5">
        <f>IFERROR(__xludf.DUMMYFUNCTION("""COMPUTED_VALUE"""),44739.0)</f>
        <v>44739</v>
      </c>
      <c r="C17127" s="6">
        <f>IFERROR(__xludf.DUMMYFUNCTION("""COMPUTED_VALUE"""),0.356759259258979)</f>
        <v>0.3567592593</v>
      </c>
      <c r="D17127" s="4">
        <f>IFERROR(__xludf.DUMMYFUNCTION("""COMPUTED_VALUE"""),12.904562)</f>
        <v>12.904562</v>
      </c>
      <c r="E17127" s="4">
        <f>IFERROR(__xludf.DUMMYFUNCTION("""COMPUTED_VALUE"""),80.095113)</f>
        <v>80.095113</v>
      </c>
      <c r="F17127" s="4">
        <f>IFERROR(__xludf.DUMMYFUNCTION("""COMPUTED_VALUE"""),805.0)</f>
        <v>805</v>
      </c>
      <c r="G17127" s="4">
        <f>IFERROR(__xludf.DUMMYFUNCTION("""COMPUTED_VALUE"""),30.0)</f>
        <v>30</v>
      </c>
      <c r="H17127" s="4"/>
      <c r="I17127" s="4"/>
    </row>
    <row r="17128">
      <c r="A17128" s="4" t="str">
        <f>IFERROR(__xludf.DUMMYFUNCTION("""COMPUTED_VALUE"""),"cas_hmw")</f>
        <v>cas_hmw</v>
      </c>
      <c r="B17128" s="5">
        <f>IFERROR(__xludf.DUMMYFUNCTION("""COMPUTED_VALUE"""),44739.0)</f>
        <v>44739</v>
      </c>
      <c r="C17128" s="6">
        <f>IFERROR(__xludf.DUMMYFUNCTION("""COMPUTED_VALUE"""),0.3568750000013097)</f>
        <v>0.356875</v>
      </c>
      <c r="D17128" s="4">
        <f>IFERROR(__xludf.DUMMYFUNCTION("""COMPUTED_VALUE"""),12.903439)</f>
        <v>12.903439</v>
      </c>
      <c r="E17128" s="4">
        <f>IFERROR(__xludf.DUMMYFUNCTION("""COMPUTED_VALUE"""),80.094206)</f>
        <v>80.094206</v>
      </c>
      <c r="F17128" s="4">
        <f>IFERROR(__xludf.DUMMYFUNCTION("""COMPUTED_VALUE"""),805.0)</f>
        <v>805</v>
      </c>
      <c r="G17128" s="4">
        <f>IFERROR(__xludf.DUMMYFUNCTION("""COMPUTED_VALUE"""),37.0)</f>
        <v>37</v>
      </c>
      <c r="H17128" s="4"/>
      <c r="I17128" s="4"/>
    </row>
    <row r="17129">
      <c r="A17129" s="4" t="str">
        <f>IFERROR(__xludf.DUMMYFUNCTION("""COMPUTED_VALUE"""),"cas_hmw")</f>
        <v>cas_hmw</v>
      </c>
      <c r="B17129" s="5">
        <f>IFERROR(__xludf.DUMMYFUNCTION("""COMPUTED_VALUE"""),44739.0)</f>
        <v>44739</v>
      </c>
      <c r="C17129" s="6">
        <f>IFERROR(__xludf.DUMMYFUNCTION("""COMPUTED_VALUE"""),0.35980324073898373)</f>
        <v>0.3598032407</v>
      </c>
      <c r="D17129" s="4">
        <f>IFERROR(__xludf.DUMMYFUNCTION("""COMPUTED_VALUE"""),12.8917)</f>
        <v>12.8917</v>
      </c>
      <c r="E17129" s="4">
        <f>IFERROR(__xludf.DUMMYFUNCTION("""COMPUTED_VALUE"""),80.085386)</f>
        <v>80.085386</v>
      </c>
      <c r="F17129" s="4">
        <f>IFERROR(__xludf.DUMMYFUNCTION("""COMPUTED_VALUE"""),805.0)</f>
        <v>805</v>
      </c>
      <c r="G17129" s="4">
        <f>IFERROR(__xludf.DUMMYFUNCTION("""COMPUTED_VALUE"""),59.0)</f>
        <v>59</v>
      </c>
      <c r="H17129" s="4"/>
      <c r="I17129" s="4"/>
    </row>
    <row r="17130">
      <c r="A17130" s="4" t="str">
        <f>IFERROR(__xludf.DUMMYFUNCTION("""COMPUTED_VALUE"""),"cas_hmw")</f>
        <v>cas_hmw</v>
      </c>
      <c r="B17130" s="5">
        <f>IFERROR(__xludf.DUMMYFUNCTION("""COMPUTED_VALUE"""),44739.0)</f>
        <v>44739</v>
      </c>
      <c r="C17130" s="6">
        <f>IFERROR(__xludf.DUMMYFUNCTION("""COMPUTED_VALUE"""),0.6712962962956226)</f>
        <v>0.6712962963</v>
      </c>
      <c r="D17130" s="4">
        <f>IFERROR(__xludf.DUMMYFUNCTION("""COMPUTED_VALUE"""),12.878329)</f>
        <v>12.878329</v>
      </c>
      <c r="E17130" s="4">
        <f>IFERROR(__xludf.DUMMYFUNCTION("""COMPUTED_VALUE"""),80.082277)</f>
        <v>80.082277</v>
      </c>
      <c r="F17130" s="4">
        <f>IFERROR(__xludf.DUMMYFUNCTION("""COMPUTED_VALUE"""),5339.0)</f>
        <v>5339</v>
      </c>
      <c r="G17130" s="4">
        <f>IFERROR(__xludf.DUMMYFUNCTION("""COMPUTED_VALUE"""),55.0)</f>
        <v>55</v>
      </c>
      <c r="H17130" s="4"/>
      <c r="I17130" s="4"/>
    </row>
    <row r="17131">
      <c r="A17131" s="4" t="str">
        <f>IFERROR(__xludf.DUMMYFUNCTION("""COMPUTED_VALUE"""),"cas_hmw")</f>
        <v>cas_hmw</v>
      </c>
      <c r="B17131" s="5">
        <f>IFERROR(__xludf.DUMMYFUNCTION("""COMPUTED_VALUE"""),44739.0)</f>
        <v>44739</v>
      </c>
      <c r="C17131" s="6">
        <f>IFERROR(__xludf.DUMMYFUNCTION("""COMPUTED_VALUE"""),0.6725000000005821)</f>
        <v>0.6725</v>
      </c>
      <c r="D17131" s="4">
        <f>IFERROR(__xludf.DUMMYFUNCTION("""COMPUTED_VALUE"""),12.879694)</f>
        <v>12.879694</v>
      </c>
      <c r="E17131" s="4">
        <f>IFERROR(__xludf.DUMMYFUNCTION("""COMPUTED_VALUE"""),80.080184)</f>
        <v>80.080184</v>
      </c>
      <c r="F17131" s="4">
        <f>IFERROR(__xludf.DUMMYFUNCTION("""COMPUTED_VALUE"""),5339.0)</f>
        <v>5339</v>
      </c>
      <c r="G17131" s="4">
        <f>IFERROR(__xludf.DUMMYFUNCTION("""COMPUTED_VALUE"""),30.0)</f>
        <v>30</v>
      </c>
      <c r="H17131" s="4"/>
      <c r="I17131" s="4"/>
    </row>
    <row r="17132">
      <c r="A17132" s="4" t="str">
        <f>IFERROR(__xludf.DUMMYFUNCTION("""COMPUTED_VALUE"""),"cas_hmw")</f>
        <v>cas_hmw</v>
      </c>
      <c r="B17132" s="5">
        <f>IFERROR(__xludf.DUMMYFUNCTION("""COMPUTED_VALUE"""),44739.0)</f>
        <v>44739</v>
      </c>
      <c r="C17132" s="6">
        <f>IFERROR(__xludf.DUMMYFUNCTION("""COMPUTED_VALUE"""),0.6728587962970778)</f>
        <v>0.6728587963</v>
      </c>
      <c r="D17132" s="4">
        <f>IFERROR(__xludf.DUMMYFUNCTION("""COMPUTED_VALUE"""),12.881712)</f>
        <v>12.881712</v>
      </c>
      <c r="E17132" s="4">
        <f>IFERROR(__xludf.DUMMYFUNCTION("""COMPUTED_VALUE"""),80.080792)</f>
        <v>80.080792</v>
      </c>
      <c r="F17132" s="4">
        <f>IFERROR(__xludf.DUMMYFUNCTION("""COMPUTED_VALUE"""),805.0)</f>
        <v>805</v>
      </c>
      <c r="G17132" s="4">
        <f>IFERROR(__xludf.DUMMYFUNCTION("""COMPUTED_VALUE"""),30.0)</f>
        <v>30</v>
      </c>
      <c r="H17132" s="4"/>
      <c r="I17132" s="4"/>
    </row>
    <row r="17133">
      <c r="A17133" s="4" t="str">
        <f>IFERROR(__xludf.DUMMYFUNCTION("""COMPUTED_VALUE"""),"cas_hmw")</f>
        <v>cas_hmw</v>
      </c>
      <c r="B17133" s="5">
        <f>IFERROR(__xludf.DUMMYFUNCTION("""COMPUTED_VALUE"""),44739.0)</f>
        <v>44739</v>
      </c>
      <c r="C17133" s="6">
        <f>IFERROR(__xludf.DUMMYFUNCTION("""COMPUTED_VALUE"""),0.6743055555562023)</f>
        <v>0.6743055556</v>
      </c>
      <c r="D17133" s="4">
        <f>IFERROR(__xludf.DUMMYFUNCTION("""COMPUTED_VALUE"""),12.893556)</f>
        <v>12.893556</v>
      </c>
      <c r="E17133" s="4">
        <f>IFERROR(__xludf.DUMMYFUNCTION("""COMPUTED_VALUE"""),80.086391)</f>
        <v>80.086391</v>
      </c>
      <c r="F17133" s="4">
        <f>IFERROR(__xludf.DUMMYFUNCTION("""COMPUTED_VALUE"""),805.0)</f>
        <v>805</v>
      </c>
      <c r="G17133" s="4">
        <f>IFERROR(__xludf.DUMMYFUNCTION("""COMPUTED_VALUE"""),43.0)</f>
        <v>43</v>
      </c>
      <c r="H17133" s="4"/>
      <c r="I17133" s="4"/>
    </row>
    <row r="17134">
      <c r="A17134" s="4" t="str">
        <f>IFERROR(__xludf.DUMMYFUNCTION("""COMPUTED_VALUE"""),"cas_hmw")</f>
        <v>cas_hmw</v>
      </c>
      <c r="B17134" s="5">
        <f>IFERROR(__xludf.DUMMYFUNCTION("""COMPUTED_VALUE"""),44739.0)</f>
        <v>44739</v>
      </c>
      <c r="C17134" s="6">
        <f>IFERROR(__xludf.DUMMYFUNCTION("""COMPUTED_VALUE"""),0.6744675925910997)</f>
        <v>0.6744675926</v>
      </c>
      <c r="D17134" s="4">
        <f>IFERROR(__xludf.DUMMYFUNCTION("""COMPUTED_VALUE"""),12.863126)</f>
        <v>12.863126</v>
      </c>
      <c r="E17134" s="4">
        <f>IFERROR(__xludf.DUMMYFUNCTION("""COMPUTED_VALUE"""),80.074046)</f>
        <v>80.074046</v>
      </c>
      <c r="F17134" s="4">
        <f>IFERROR(__xludf.DUMMYFUNCTION("""COMPUTED_VALUE"""),2846.0)</f>
        <v>2846</v>
      </c>
      <c r="G17134" s="4">
        <f>IFERROR(__xludf.DUMMYFUNCTION("""COMPUTED_VALUE"""),49.0)</f>
        <v>49</v>
      </c>
      <c r="H17134" s="4"/>
      <c r="I17134" s="4"/>
    </row>
    <row r="17135">
      <c r="A17135" s="4" t="str">
        <f>IFERROR(__xludf.DUMMYFUNCTION("""COMPUTED_VALUE"""),"cas_hmw")</f>
        <v>cas_hmw</v>
      </c>
      <c r="B17135" s="5">
        <f>IFERROR(__xludf.DUMMYFUNCTION("""COMPUTED_VALUE"""),44739.0)</f>
        <v>44739</v>
      </c>
      <c r="C17135" s="6">
        <f>IFERROR(__xludf.DUMMYFUNCTION("""COMPUTED_VALUE"""),0.674560185183509)</f>
        <v>0.6745601852</v>
      </c>
      <c r="D17135" s="4">
        <f>IFERROR(__xludf.DUMMYFUNCTION("""COMPUTED_VALUE"""),12.895537)</f>
        <v>12.895537</v>
      </c>
      <c r="E17135" s="4">
        <f>IFERROR(__xludf.DUMMYFUNCTION("""COMPUTED_VALUE"""),80.087959)</f>
        <v>80.087959</v>
      </c>
      <c r="F17135" s="4">
        <f>IFERROR(__xludf.DUMMYFUNCTION("""COMPUTED_VALUE"""),805.0)</f>
        <v>805</v>
      </c>
      <c r="G17135" s="4">
        <f>IFERROR(__xludf.DUMMYFUNCTION("""COMPUTED_VALUE"""),37.0)</f>
        <v>37</v>
      </c>
      <c r="H17135" s="4"/>
      <c r="I17135" s="4"/>
    </row>
    <row r="17136">
      <c r="A17136" s="4" t="str">
        <f>IFERROR(__xludf.DUMMYFUNCTION("""COMPUTED_VALUE"""),"cas_hmw")</f>
        <v>cas_hmw</v>
      </c>
      <c r="B17136" s="5">
        <f>IFERROR(__xludf.DUMMYFUNCTION("""COMPUTED_VALUE"""),44739.0)</f>
        <v>44739</v>
      </c>
      <c r="C17136" s="6">
        <f>IFERROR(__xludf.DUMMYFUNCTION("""COMPUTED_VALUE"""),0.6747453703719657)</f>
        <v>0.6747453704</v>
      </c>
      <c r="D17136" s="4">
        <f>IFERROR(__xludf.DUMMYFUNCTION("""COMPUTED_VALUE"""),12.89727)</f>
        <v>12.89727</v>
      </c>
      <c r="E17136" s="4">
        <f>IFERROR(__xludf.DUMMYFUNCTION("""COMPUTED_VALUE"""),80.089263)</f>
        <v>80.089263</v>
      </c>
      <c r="F17136" s="4">
        <f>IFERROR(__xludf.DUMMYFUNCTION("""COMPUTED_VALUE"""),805.0)</f>
        <v>805</v>
      </c>
      <c r="G17136" s="4">
        <f>IFERROR(__xludf.DUMMYFUNCTION("""COMPUTED_VALUE"""),32.0)</f>
        <v>32</v>
      </c>
      <c r="H17136" s="4"/>
      <c r="I17136" s="4"/>
    </row>
    <row r="17137">
      <c r="A17137" s="4" t="str">
        <f>IFERROR(__xludf.DUMMYFUNCTION("""COMPUTED_VALUE"""),"cas_hmw")</f>
        <v>cas_hmw</v>
      </c>
      <c r="B17137" s="5">
        <f>IFERROR(__xludf.DUMMYFUNCTION("""COMPUTED_VALUE"""),44739.0)</f>
        <v>44739</v>
      </c>
      <c r="C17137" s="6">
        <f>IFERROR(__xludf.DUMMYFUNCTION("""COMPUTED_VALUE"""),0.6750578703686188)</f>
        <v>0.6750578704</v>
      </c>
      <c r="D17137" s="4">
        <f>IFERROR(__xludf.DUMMYFUNCTION("""COMPUTED_VALUE"""),12.899192)</f>
        <v>12.899192</v>
      </c>
      <c r="E17137" s="4">
        <f>IFERROR(__xludf.DUMMYFUNCTION("""COMPUTED_VALUE"""),80.090711)</f>
        <v>80.090711</v>
      </c>
      <c r="F17137" s="4">
        <f>IFERROR(__xludf.DUMMYFUNCTION("""COMPUTED_VALUE"""),5339.0)</f>
        <v>5339</v>
      </c>
      <c r="G17137" s="4">
        <f>IFERROR(__xludf.DUMMYFUNCTION("""COMPUTED_VALUE"""),50.0)</f>
        <v>50</v>
      </c>
      <c r="H17137" s="4"/>
      <c r="I17137" s="4"/>
    </row>
    <row r="17138">
      <c r="A17138" s="4" t="str">
        <f>IFERROR(__xludf.DUMMYFUNCTION("""COMPUTED_VALUE"""),"cas_hmw")</f>
        <v>cas_hmw</v>
      </c>
      <c r="B17138" s="5">
        <f>IFERROR(__xludf.DUMMYFUNCTION("""COMPUTED_VALUE"""),44739.0)</f>
        <v>44739</v>
      </c>
      <c r="C17138" s="6">
        <f>IFERROR(__xludf.DUMMYFUNCTION("""COMPUTED_VALUE"""),0.6751851851840911)</f>
        <v>0.6751851852</v>
      </c>
      <c r="D17138" s="4">
        <f>IFERROR(__xludf.DUMMYFUNCTION("""COMPUTED_VALUE"""),12.860304)</f>
        <v>12.860304</v>
      </c>
      <c r="E17138" s="4">
        <f>IFERROR(__xludf.DUMMYFUNCTION("""COMPUTED_VALUE"""),80.072483)</f>
        <v>80.072483</v>
      </c>
      <c r="F17138" s="4">
        <f>IFERROR(__xludf.DUMMYFUNCTION("""COMPUTED_VALUE"""),2846.0)</f>
        <v>2846</v>
      </c>
      <c r="G17138" s="4">
        <f>IFERROR(__xludf.DUMMYFUNCTION("""COMPUTED_VALUE"""),20.0)</f>
        <v>20</v>
      </c>
      <c r="H17138" s="4"/>
      <c r="I17138" s="4"/>
    </row>
    <row r="17139">
      <c r="A17139" s="4" t="str">
        <f>IFERROR(__xludf.DUMMYFUNCTION("""COMPUTED_VALUE"""),"cas_hmw")</f>
        <v>cas_hmw</v>
      </c>
      <c r="B17139" s="5">
        <f>IFERROR(__xludf.DUMMYFUNCTION("""COMPUTED_VALUE"""),44739.0)</f>
        <v>44739</v>
      </c>
      <c r="C17139" s="6">
        <f>IFERROR(__xludf.DUMMYFUNCTION("""COMPUTED_VALUE"""),0.6754398148150358)</f>
        <v>0.6754398148</v>
      </c>
      <c r="D17139" s="4">
        <f>IFERROR(__xludf.DUMMYFUNCTION("""COMPUTED_VALUE"""),12.902132)</f>
        <v>12.902132</v>
      </c>
      <c r="E17139" s="4">
        <f>IFERROR(__xludf.DUMMYFUNCTION("""COMPUTED_VALUE"""),80.092889)</f>
        <v>80.092889</v>
      </c>
      <c r="F17139" s="4">
        <f>IFERROR(__xludf.DUMMYFUNCTION("""COMPUTED_VALUE"""),5339.0)</f>
        <v>5339</v>
      </c>
      <c r="G17139" s="4">
        <f>IFERROR(__xludf.DUMMYFUNCTION("""COMPUTED_VALUE"""),44.0)</f>
        <v>44</v>
      </c>
      <c r="H17139" s="4"/>
      <c r="I17139" s="4"/>
    </row>
    <row r="17140">
      <c r="A17140" s="4" t="str">
        <f>IFERROR(__xludf.DUMMYFUNCTION("""COMPUTED_VALUE"""),"cas_hmw")</f>
        <v>cas_hmw</v>
      </c>
      <c r="B17140" s="5">
        <f>IFERROR(__xludf.DUMMYFUNCTION("""COMPUTED_VALUE"""),44739.0)</f>
        <v>44739</v>
      </c>
      <c r="C17140" s="6">
        <f>IFERROR(__xludf.DUMMYFUNCTION("""COMPUTED_VALUE"""),0.6757638888884685)</f>
        <v>0.6757638889</v>
      </c>
      <c r="D17140" s="4">
        <f>IFERROR(__xludf.DUMMYFUNCTION("""COMPUTED_VALUE"""),12.856048)</f>
        <v>12.856048</v>
      </c>
      <c r="E17140" s="4">
        <f>IFERROR(__xludf.DUMMYFUNCTION("""COMPUTED_VALUE"""),80.069372)</f>
        <v>80.069372</v>
      </c>
      <c r="F17140" s="4">
        <f>IFERROR(__xludf.DUMMYFUNCTION("""COMPUTED_VALUE"""),2846.0)</f>
        <v>2846</v>
      </c>
      <c r="G17140" s="4">
        <f>IFERROR(__xludf.DUMMYFUNCTION("""COMPUTED_VALUE"""),59.0)</f>
        <v>59</v>
      </c>
      <c r="H17140" s="4"/>
      <c r="I17140" s="4"/>
    </row>
    <row r="17141">
      <c r="A17141" s="4" t="str">
        <f>IFERROR(__xludf.DUMMYFUNCTION("""COMPUTED_VALUE"""),"cas_hmw")</f>
        <v>cas_hmw</v>
      </c>
      <c r="B17141" s="5">
        <f>IFERROR(__xludf.DUMMYFUNCTION("""COMPUTED_VALUE"""),44739.0)</f>
        <v>44739</v>
      </c>
      <c r="C17141" s="6">
        <f>IFERROR(__xludf.DUMMYFUNCTION("""COMPUTED_VALUE"""),0.6757754629616102)</f>
        <v>0.675775463</v>
      </c>
      <c r="D17141" s="4">
        <f>IFERROR(__xludf.DUMMYFUNCTION("""COMPUTED_VALUE"""),12.905134)</f>
        <v>12.905134</v>
      </c>
      <c r="E17141" s="4">
        <f>IFERROR(__xludf.DUMMYFUNCTION("""COMPUTED_VALUE"""),80.095343)</f>
        <v>80.095343</v>
      </c>
      <c r="F17141" s="4">
        <f>IFERROR(__xludf.DUMMYFUNCTION("""COMPUTED_VALUE"""),805.0)</f>
        <v>805</v>
      </c>
      <c r="G17141" s="4">
        <f>IFERROR(__xludf.DUMMYFUNCTION("""COMPUTED_VALUE"""),45.0)</f>
        <v>45</v>
      </c>
      <c r="H17141" s="4"/>
      <c r="I17141" s="4"/>
    </row>
    <row r="17142">
      <c r="A17142" s="4" t="str">
        <f>IFERROR(__xludf.DUMMYFUNCTION("""COMPUTED_VALUE"""),"cas_hmw")</f>
        <v>cas_hmw</v>
      </c>
      <c r="B17142" s="5">
        <f>IFERROR(__xludf.DUMMYFUNCTION("""COMPUTED_VALUE"""),44739.0)</f>
        <v>44739</v>
      </c>
      <c r="C17142" s="6">
        <f>IFERROR(__xludf.DUMMYFUNCTION("""COMPUTED_VALUE"""),0.6764236111121136)</f>
        <v>0.6764236111</v>
      </c>
      <c r="D17142" s="4">
        <f>IFERROR(__xludf.DUMMYFUNCTION("""COMPUTED_VALUE"""),12.909187)</f>
        <v>12.909187</v>
      </c>
      <c r="E17142" s="4">
        <f>IFERROR(__xludf.DUMMYFUNCTION("""COMPUTED_VALUE"""),80.098704)</f>
        <v>80.098704</v>
      </c>
      <c r="F17142" s="4">
        <f>IFERROR(__xludf.DUMMYFUNCTION("""COMPUTED_VALUE"""),805.0)</f>
        <v>805</v>
      </c>
      <c r="G17142" s="4">
        <f>IFERROR(__xludf.DUMMYFUNCTION("""COMPUTED_VALUE"""),28.0)</f>
        <v>28</v>
      </c>
      <c r="H17142" s="4"/>
      <c r="I17142" s="4"/>
    </row>
    <row r="17143">
      <c r="A17143" s="4" t="str">
        <f>IFERROR(__xludf.DUMMYFUNCTION("""COMPUTED_VALUE"""),"cas_hmw")</f>
        <v>cas_hmw</v>
      </c>
      <c r="B17143" s="5">
        <f>IFERROR(__xludf.DUMMYFUNCTION("""COMPUTED_VALUE"""),44739.0)</f>
        <v>44739</v>
      </c>
      <c r="C17143" s="6">
        <f>IFERROR(__xludf.DUMMYFUNCTION("""COMPUTED_VALUE"""),0.6770254629627743)</f>
        <v>0.677025463</v>
      </c>
      <c r="D17143" s="4">
        <f>IFERROR(__xludf.DUMMYFUNCTION("""COMPUTED_VALUE"""),12.847118)</f>
        <v>12.847118</v>
      </c>
      <c r="E17143" s="4">
        <f>IFERROR(__xludf.DUMMYFUNCTION("""COMPUTED_VALUE"""),80.062838)</f>
        <v>80.062838</v>
      </c>
      <c r="F17143" s="4">
        <f>IFERROR(__xludf.DUMMYFUNCTION("""COMPUTED_VALUE"""),2846.0)</f>
        <v>2846</v>
      </c>
      <c r="G17143" s="4">
        <f>IFERROR(__xludf.DUMMYFUNCTION("""COMPUTED_VALUE"""),51.0)</f>
        <v>51</v>
      </c>
      <c r="H17143" s="4"/>
      <c r="I17143" s="4"/>
    </row>
    <row r="17144">
      <c r="A17144" s="4" t="str">
        <f>IFERROR(__xludf.DUMMYFUNCTION("""COMPUTED_VALUE"""),"cas_hmw")</f>
        <v>cas_hmw</v>
      </c>
      <c r="B17144" s="5">
        <f>IFERROR(__xludf.DUMMYFUNCTION("""COMPUTED_VALUE"""),44739.0)</f>
        <v>44739</v>
      </c>
      <c r="C17144" s="6">
        <f>IFERROR(__xludf.DUMMYFUNCTION("""COMPUTED_VALUE"""),0.6770486111126957)</f>
        <v>0.6770486111</v>
      </c>
      <c r="D17144" s="4">
        <f>IFERROR(__xludf.DUMMYFUNCTION("""COMPUTED_VALUE"""),12.913698)</f>
        <v>12.913698</v>
      </c>
      <c r="E17144" s="4">
        <f>IFERROR(__xludf.DUMMYFUNCTION("""COMPUTED_VALUE"""),80.101492)</f>
        <v>80.101492</v>
      </c>
      <c r="F17144" s="4">
        <f>IFERROR(__xludf.DUMMYFUNCTION("""COMPUTED_VALUE"""),5339.0)</f>
        <v>5339</v>
      </c>
      <c r="G17144" s="4">
        <f>IFERROR(__xludf.DUMMYFUNCTION("""COMPUTED_VALUE"""),51.0)</f>
        <v>51</v>
      </c>
      <c r="H17144" s="4"/>
      <c r="I17144" s="4"/>
    </row>
    <row r="17145">
      <c r="A17145" s="4" t="str">
        <f>IFERROR(__xludf.DUMMYFUNCTION("""COMPUTED_VALUE"""),"cas_hmw")</f>
        <v>cas_hmw</v>
      </c>
      <c r="B17145" s="5">
        <f>IFERROR(__xludf.DUMMYFUNCTION("""COMPUTED_VALUE"""),44739.0)</f>
        <v>44739</v>
      </c>
      <c r="C17145" s="6">
        <f>IFERROR(__xludf.DUMMYFUNCTION("""COMPUTED_VALUE"""),0.6773379629630654)</f>
        <v>0.677337963</v>
      </c>
      <c r="D17145" s="4">
        <f>IFERROR(__xludf.DUMMYFUNCTION("""COMPUTED_VALUE"""),12.914789)</f>
        <v>12.914789</v>
      </c>
      <c r="E17145" s="4">
        <f>IFERROR(__xludf.DUMMYFUNCTION("""COMPUTED_VALUE"""),80.101919)</f>
        <v>80.101919</v>
      </c>
      <c r="F17145" s="4">
        <f>IFERROR(__xludf.DUMMYFUNCTION("""COMPUTED_VALUE"""),805.0)</f>
        <v>805</v>
      </c>
      <c r="G17145" s="4">
        <f>IFERROR(__xludf.DUMMYFUNCTION("""COMPUTED_VALUE"""),50.0)</f>
        <v>50</v>
      </c>
      <c r="H17145" s="4"/>
      <c r="I17145" s="4"/>
    </row>
    <row r="17146">
      <c r="A17146" s="4" t="str">
        <f>IFERROR(__xludf.DUMMYFUNCTION("""COMPUTED_VALUE"""),"cas_hmw")</f>
        <v>cas_hmw</v>
      </c>
      <c r="B17146" s="5">
        <f>IFERROR(__xludf.DUMMYFUNCTION("""COMPUTED_VALUE"""),44739.0)</f>
        <v>44739</v>
      </c>
      <c r="C17146" s="6">
        <f>IFERROR(__xludf.DUMMYFUNCTION("""COMPUTED_VALUE"""),0.6775000000016007)</f>
        <v>0.6775</v>
      </c>
      <c r="D17146" s="4">
        <f>IFERROR(__xludf.DUMMYFUNCTION("""COMPUTED_VALUE"""),12.915514)</f>
        <v>12.915514</v>
      </c>
      <c r="E17146" s="4">
        <f>IFERROR(__xludf.DUMMYFUNCTION("""COMPUTED_VALUE"""),80.102808)</f>
        <v>80.102808</v>
      </c>
      <c r="F17146" s="4">
        <f>IFERROR(__xludf.DUMMYFUNCTION("""COMPUTED_VALUE"""),805.0)</f>
        <v>805</v>
      </c>
      <c r="G17146" s="4">
        <f>IFERROR(__xludf.DUMMYFUNCTION("""COMPUTED_VALUE"""),39.0)</f>
        <v>39</v>
      </c>
      <c r="H17146" s="4"/>
      <c r="I17146" s="4"/>
    </row>
    <row r="17147">
      <c r="A17147" s="4" t="str">
        <f>IFERROR(__xludf.DUMMYFUNCTION("""COMPUTED_VALUE"""),"cas_hmw")</f>
        <v>cas_hmw</v>
      </c>
      <c r="B17147" s="5">
        <f>IFERROR(__xludf.DUMMYFUNCTION("""COMPUTED_VALUE"""),44739.0)</f>
        <v>44739</v>
      </c>
      <c r="C17147" s="6">
        <f>IFERROR(__xludf.DUMMYFUNCTION("""COMPUTED_VALUE"""),0.6781365740753245)</f>
        <v>0.6781365741</v>
      </c>
      <c r="D17147" s="4">
        <f>IFERROR(__xludf.DUMMYFUNCTION("""COMPUTED_VALUE"""),12.84113)</f>
        <v>12.84113</v>
      </c>
      <c r="E17147" s="4">
        <f>IFERROR(__xludf.DUMMYFUNCTION("""COMPUTED_VALUE"""),80.056936)</f>
        <v>80.056936</v>
      </c>
      <c r="F17147" s="4">
        <f>IFERROR(__xludf.DUMMYFUNCTION("""COMPUTED_VALUE"""),2846.0)</f>
        <v>2846</v>
      </c>
      <c r="G17147" s="4">
        <f>IFERROR(__xludf.DUMMYFUNCTION("""COMPUTED_VALUE"""),52.0)</f>
        <v>52</v>
      </c>
      <c r="H17147" s="4"/>
      <c r="I17147" s="4"/>
    </row>
    <row r="17148">
      <c r="A17148" s="4" t="str">
        <f>IFERROR(__xludf.DUMMYFUNCTION("""COMPUTED_VALUE"""),"cas_hmw")</f>
        <v>cas_hmw</v>
      </c>
      <c r="B17148" s="5">
        <f>IFERROR(__xludf.DUMMYFUNCTION("""COMPUTED_VALUE"""),44739.0)</f>
        <v>44739</v>
      </c>
      <c r="C17148" s="6">
        <f>IFERROR(__xludf.DUMMYFUNCTION("""COMPUTED_VALUE"""),0.6781712962947495)</f>
        <v>0.6781712963</v>
      </c>
      <c r="D17148" s="4">
        <f>IFERROR(__xludf.DUMMYFUNCTION("""COMPUTED_VALUE"""),12.919051)</f>
        <v>12.919051</v>
      </c>
      <c r="E17148" s="4">
        <f>IFERROR(__xludf.DUMMYFUNCTION("""COMPUTED_VALUE"""),80.109766)</f>
        <v>80.109766</v>
      </c>
      <c r="F17148" s="4">
        <f>IFERROR(__xludf.DUMMYFUNCTION("""COMPUTED_VALUE"""),5339.0)</f>
        <v>5339</v>
      </c>
      <c r="G17148" s="4">
        <f>IFERROR(__xludf.DUMMYFUNCTION("""COMPUTED_VALUE"""),56.0)</f>
        <v>56</v>
      </c>
      <c r="H17148" s="4"/>
      <c r="I17148" s="4"/>
    </row>
    <row r="17149">
      <c r="A17149" s="4" t="str">
        <f>IFERROR(__xludf.DUMMYFUNCTION("""COMPUTED_VALUE"""),"cas_hmw")</f>
        <v>cas_hmw</v>
      </c>
      <c r="B17149" s="5">
        <f>IFERROR(__xludf.DUMMYFUNCTION("""COMPUTED_VALUE"""),44739.0)</f>
        <v>44739</v>
      </c>
      <c r="C17149" s="6">
        <f>IFERROR(__xludf.DUMMYFUNCTION("""COMPUTED_VALUE"""),0.6783101851870015)</f>
        <v>0.6783101852</v>
      </c>
      <c r="D17149" s="4">
        <f>IFERROR(__xludf.DUMMYFUNCTION("""COMPUTED_VALUE"""),12.916831)</f>
        <v>12.916831</v>
      </c>
      <c r="E17149" s="4">
        <f>IFERROR(__xludf.DUMMYFUNCTION("""COMPUTED_VALUE"""),80.106779)</f>
        <v>80.106779</v>
      </c>
      <c r="F17149" s="4">
        <f>IFERROR(__xludf.DUMMYFUNCTION("""COMPUTED_VALUE"""),805.0)</f>
        <v>805</v>
      </c>
      <c r="G17149" s="4">
        <f>IFERROR(__xludf.DUMMYFUNCTION("""COMPUTED_VALUE"""),3.0)</f>
        <v>3</v>
      </c>
      <c r="H17149" s="4"/>
      <c r="I17149" s="4"/>
    </row>
    <row r="17150">
      <c r="A17150" s="4" t="str">
        <f>IFERROR(__xludf.DUMMYFUNCTION("""COMPUTED_VALUE"""),"cas_hmw")</f>
        <v>cas_hmw</v>
      </c>
      <c r="B17150" s="5">
        <f>IFERROR(__xludf.DUMMYFUNCTION("""COMPUTED_VALUE"""),44739.0)</f>
        <v>44739</v>
      </c>
      <c r="C17150" s="6">
        <f>IFERROR(__xludf.DUMMYFUNCTION("""COMPUTED_VALUE"""),0.6783796296294895)</f>
        <v>0.6783796296</v>
      </c>
      <c r="D17150" s="4">
        <f>IFERROR(__xludf.DUMMYFUNCTION("""COMPUTED_VALUE"""),12.916831)</f>
        <v>12.916831</v>
      </c>
      <c r="E17150" s="4">
        <f>IFERROR(__xludf.DUMMYFUNCTION("""COMPUTED_VALUE"""),80.106779)</f>
        <v>80.106779</v>
      </c>
      <c r="F17150" s="4">
        <f>IFERROR(__xludf.DUMMYFUNCTION("""COMPUTED_VALUE"""),805.0)</f>
        <v>805</v>
      </c>
      <c r="G17150" s="4">
        <f>IFERROR(__xludf.DUMMYFUNCTION("""COMPUTED_VALUE"""),3.0)</f>
        <v>3</v>
      </c>
      <c r="H17150" s="4"/>
      <c r="I17150" s="4"/>
    </row>
    <row r="17151">
      <c r="A17151" s="4" t="str">
        <f>IFERROR(__xludf.DUMMYFUNCTION("""COMPUTED_VALUE"""),"cas_hmw")</f>
        <v>cas_hmw</v>
      </c>
      <c r="B17151" s="5">
        <f>IFERROR(__xludf.DUMMYFUNCTION("""COMPUTED_VALUE"""),44739.0)</f>
        <v>44739</v>
      </c>
      <c r="C17151" s="6">
        <f>IFERROR(__xludf.DUMMYFUNCTION("""COMPUTED_VALUE"""),0.6791666666649689)</f>
        <v>0.6791666667</v>
      </c>
      <c r="D17151" s="4">
        <f>IFERROR(__xludf.DUMMYFUNCTION("""COMPUTED_VALUE"""),12.926223)</f>
        <v>12.926223</v>
      </c>
      <c r="E17151" s="4">
        <f>IFERROR(__xludf.DUMMYFUNCTION("""COMPUTED_VALUE"""),80.117332)</f>
        <v>80.117332</v>
      </c>
      <c r="F17151" s="4">
        <f>IFERROR(__xludf.DUMMYFUNCTION("""COMPUTED_VALUE"""),5339.0)</f>
        <v>5339</v>
      </c>
      <c r="G17151" s="4">
        <f>IFERROR(__xludf.DUMMYFUNCTION("""COMPUTED_VALUE"""),38.0)</f>
        <v>38</v>
      </c>
      <c r="H17151" s="4"/>
      <c r="I17151" s="4"/>
    </row>
    <row r="17152">
      <c r="A17152" s="4" t="str">
        <f>IFERROR(__xludf.DUMMYFUNCTION("""COMPUTED_VALUE"""),"cas_hmw")</f>
        <v>cas_hmw</v>
      </c>
      <c r="B17152" s="5">
        <f>IFERROR(__xludf.DUMMYFUNCTION("""COMPUTED_VALUE"""),44739.0)</f>
        <v>44739</v>
      </c>
      <c r="C17152" s="6">
        <f>IFERROR(__xludf.DUMMYFUNCTION("""COMPUTED_VALUE"""),0.6793981481496303)</f>
        <v>0.6793981481</v>
      </c>
      <c r="D17152" s="4">
        <f>IFERROR(__xludf.DUMMYFUNCTION("""COMPUTED_VALUE"""),12.830381)</f>
        <v>12.830381</v>
      </c>
      <c r="E17152" s="4">
        <f>IFERROR(__xludf.DUMMYFUNCTION("""COMPUTED_VALUE"""),80.045602)</f>
        <v>80.045602</v>
      </c>
      <c r="F17152" s="4">
        <f>IFERROR(__xludf.DUMMYFUNCTION("""COMPUTED_VALUE"""),2846.0)</f>
        <v>2846</v>
      </c>
      <c r="G17152" s="4">
        <f>IFERROR(__xludf.DUMMYFUNCTION("""COMPUTED_VALUE"""),42.0)</f>
        <v>42</v>
      </c>
      <c r="H17152" s="4"/>
      <c r="I17152" s="4"/>
    </row>
    <row r="17153">
      <c r="A17153" s="4" t="str">
        <f>IFERROR(__xludf.DUMMYFUNCTION("""COMPUTED_VALUE"""),"cas_hmw")</f>
        <v>cas_hmw</v>
      </c>
      <c r="B17153" s="5">
        <f>IFERROR(__xludf.DUMMYFUNCTION("""COMPUTED_VALUE"""),44739.0)</f>
        <v>44739</v>
      </c>
      <c r="C17153" s="6">
        <f>IFERROR(__xludf.DUMMYFUNCTION("""COMPUTED_VALUE"""),0.6798379629617557)</f>
        <v>0.679837963</v>
      </c>
      <c r="D17153" s="4">
        <f>IFERROR(__xludf.DUMMYFUNCTION("""COMPUTED_VALUE"""),12.927041)</f>
        <v>12.927041</v>
      </c>
      <c r="E17153" s="4">
        <f>IFERROR(__xludf.DUMMYFUNCTION("""COMPUTED_VALUE"""),80.118134)</f>
        <v>80.118134</v>
      </c>
      <c r="F17153" s="4">
        <f>IFERROR(__xludf.DUMMYFUNCTION("""COMPUTED_VALUE"""),805.0)</f>
        <v>805</v>
      </c>
      <c r="G17153" s="4">
        <f>IFERROR(__xludf.DUMMYFUNCTION("""COMPUTED_VALUE"""),17.0)</f>
        <v>17</v>
      </c>
      <c r="H17153" s="4"/>
      <c r="I17153" s="4"/>
    </row>
    <row r="17154">
      <c r="A17154" s="4" t="str">
        <f>IFERROR(__xludf.DUMMYFUNCTION("""COMPUTED_VALUE"""),"cas_hmw")</f>
        <v>cas_hmw</v>
      </c>
      <c r="B17154" s="5">
        <f>IFERROR(__xludf.DUMMYFUNCTION("""COMPUTED_VALUE"""),44739.0)</f>
        <v>44739</v>
      </c>
      <c r="C17154" s="6">
        <f>IFERROR(__xludf.DUMMYFUNCTION("""COMPUTED_VALUE"""),0.6822453703716747)</f>
        <v>0.6822453704</v>
      </c>
      <c r="D17154" s="4">
        <f>IFERROR(__xludf.DUMMYFUNCTION("""COMPUTED_VALUE"""),12.93375)</f>
        <v>12.93375</v>
      </c>
      <c r="E17154" s="4">
        <f>IFERROR(__xludf.DUMMYFUNCTION("""COMPUTED_VALUE"""),80.124778)</f>
        <v>80.124778</v>
      </c>
      <c r="F17154" s="4">
        <f>IFERROR(__xludf.DUMMYFUNCTION("""COMPUTED_VALUE"""),5339.0)</f>
        <v>5339</v>
      </c>
      <c r="G17154" s="4">
        <f>IFERROR(__xludf.DUMMYFUNCTION("""COMPUTED_VALUE"""),36.0)</f>
        <v>36</v>
      </c>
      <c r="H17154" s="4"/>
      <c r="I17154" s="4"/>
    </row>
    <row r="17155">
      <c r="A17155" s="4" t="str">
        <f>IFERROR(__xludf.DUMMYFUNCTION("""COMPUTED_VALUE"""),"cas_hmw")</f>
        <v>cas_hmw</v>
      </c>
      <c r="B17155" s="5">
        <f>IFERROR(__xludf.DUMMYFUNCTION("""COMPUTED_VALUE"""),44739.0)</f>
        <v>44739</v>
      </c>
      <c r="C17155" s="6">
        <f>IFERROR(__xludf.DUMMYFUNCTION("""COMPUTED_VALUE"""),0.6825925925913907)</f>
        <v>0.6825925926</v>
      </c>
      <c r="D17155" s="4">
        <f>IFERROR(__xludf.DUMMYFUNCTION("""COMPUTED_VALUE"""),12.934524)</f>
        <v>12.934524</v>
      </c>
      <c r="E17155" s="4">
        <f>IFERROR(__xludf.DUMMYFUNCTION("""COMPUTED_VALUE"""),80.125525)</f>
        <v>80.125525</v>
      </c>
      <c r="F17155" s="4">
        <f>IFERROR(__xludf.DUMMYFUNCTION("""COMPUTED_VALUE"""),805.0)</f>
        <v>805</v>
      </c>
      <c r="G17155" s="4">
        <f>IFERROR(__xludf.DUMMYFUNCTION("""COMPUTED_VALUE"""),17.0)</f>
        <v>17</v>
      </c>
      <c r="H17155" s="4"/>
      <c r="I17155" s="4"/>
    </row>
    <row r="17156">
      <c r="A17156" s="4" t="str">
        <f>IFERROR(__xludf.DUMMYFUNCTION("""COMPUTED_VALUE"""),"cas_hmw")</f>
        <v>cas_hmw</v>
      </c>
      <c r="B17156" s="5">
        <f>IFERROR(__xludf.DUMMYFUNCTION("""COMPUTED_VALUE"""),44739.0)</f>
        <v>44739</v>
      </c>
      <c r="C17156" s="6">
        <f>IFERROR(__xludf.DUMMYFUNCTION("""COMPUTED_VALUE"""),0.6832523148150358)</f>
        <v>0.6832523148</v>
      </c>
      <c r="D17156" s="4">
        <f>IFERROR(__xludf.DUMMYFUNCTION("""COMPUTED_VALUE"""),12.93585)</f>
        <v>12.93585</v>
      </c>
      <c r="E17156" s="4">
        <f>IFERROR(__xludf.DUMMYFUNCTION("""COMPUTED_VALUE"""),80.126688)</f>
        <v>80.126688</v>
      </c>
      <c r="F17156" s="4">
        <f>IFERROR(__xludf.DUMMYFUNCTION("""COMPUTED_VALUE"""),805.0)</f>
        <v>805</v>
      </c>
      <c r="G17156" s="4">
        <f>IFERROR(__xludf.DUMMYFUNCTION("""COMPUTED_VALUE"""),21.0)</f>
        <v>21</v>
      </c>
      <c r="H17156" s="4"/>
      <c r="I17156" s="4"/>
    </row>
    <row r="17157">
      <c r="A17157" s="4" t="str">
        <f>IFERROR(__xludf.DUMMYFUNCTION("""COMPUTED_VALUE"""),"cas_hmw")</f>
        <v>cas_hmw</v>
      </c>
      <c r="B17157" s="5">
        <f>IFERROR(__xludf.DUMMYFUNCTION("""COMPUTED_VALUE"""),44739.0)</f>
        <v>44739</v>
      </c>
      <c r="C17157" s="6">
        <f>IFERROR(__xludf.DUMMYFUNCTION("""COMPUTED_VALUE"""),0.6835763888884685)</f>
        <v>0.6835763889</v>
      </c>
      <c r="D17157" s="4">
        <f>IFERROR(__xludf.DUMMYFUNCTION("""COMPUTED_VALUE"""),12.938396)</f>
        <v>12.938396</v>
      </c>
      <c r="E17157" s="4">
        <f>IFERROR(__xludf.DUMMYFUNCTION("""COMPUTED_VALUE"""),80.128966)</f>
        <v>80.128966</v>
      </c>
      <c r="F17157" s="4">
        <f>IFERROR(__xludf.DUMMYFUNCTION("""COMPUTED_VALUE"""),5339.0)</f>
        <v>5339</v>
      </c>
      <c r="G17157" s="4">
        <f>IFERROR(__xludf.DUMMYFUNCTION("""COMPUTED_VALUE"""),51.0)</f>
        <v>51</v>
      </c>
      <c r="H17157" s="4"/>
      <c r="I17157" s="4"/>
    </row>
    <row r="17158">
      <c r="A17158" s="4" t="str">
        <f>IFERROR(__xludf.DUMMYFUNCTION("""COMPUTED_VALUE"""),"cas_hmw")</f>
        <v>cas_hmw</v>
      </c>
      <c r="B17158" s="5">
        <f>IFERROR(__xludf.DUMMYFUNCTION("""COMPUTED_VALUE"""),44739.0)</f>
        <v>44739</v>
      </c>
      <c r="C17158" s="6">
        <f>IFERROR(__xludf.DUMMYFUNCTION("""COMPUTED_VALUE"""),0.6843634259275859)</f>
        <v>0.6843634259</v>
      </c>
      <c r="D17158" s="4">
        <f>IFERROR(__xludf.DUMMYFUNCTION("""COMPUTED_VALUE"""),12.942692)</f>
        <v>12.942692</v>
      </c>
      <c r="E17158" s="4">
        <f>IFERROR(__xludf.DUMMYFUNCTION("""COMPUTED_VALUE"""),80.133236)</f>
        <v>80.133236</v>
      </c>
      <c r="F17158" s="4">
        <f>IFERROR(__xludf.DUMMYFUNCTION("""COMPUTED_VALUE"""),5339.0)</f>
        <v>5339</v>
      </c>
      <c r="G17158" s="4">
        <f>IFERROR(__xludf.DUMMYFUNCTION("""COMPUTED_VALUE"""),27.0)</f>
        <v>27</v>
      </c>
      <c r="H17158" s="4"/>
      <c r="I17158" s="4"/>
    </row>
    <row r="17159">
      <c r="A17159" s="4" t="str">
        <f>IFERROR(__xludf.DUMMYFUNCTION("""COMPUTED_VALUE"""),"cas_hmw")</f>
        <v>cas_hmw</v>
      </c>
      <c r="B17159" s="5">
        <f>IFERROR(__xludf.DUMMYFUNCTION("""COMPUTED_VALUE"""),44739.0)</f>
        <v>44739</v>
      </c>
      <c r="C17159" s="6">
        <f>IFERROR(__xludf.DUMMYFUNCTION("""COMPUTED_VALUE"""),0.6843981481470109)</f>
        <v>0.6843981481</v>
      </c>
      <c r="D17159" s="4">
        <f>IFERROR(__xludf.DUMMYFUNCTION("""COMPUTED_VALUE"""),12.943554)</f>
        <v>12.943554</v>
      </c>
      <c r="E17159" s="4">
        <f>IFERROR(__xludf.DUMMYFUNCTION("""COMPUTED_VALUE"""),80.134072)</f>
        <v>80.134072</v>
      </c>
      <c r="F17159" s="4">
        <f>IFERROR(__xludf.DUMMYFUNCTION("""COMPUTED_VALUE"""),805.0)</f>
        <v>805</v>
      </c>
      <c r="G17159" s="4">
        <f>IFERROR(__xludf.DUMMYFUNCTION("""COMPUTED_VALUE"""),37.0)</f>
        <v>37</v>
      </c>
      <c r="H17159" s="4"/>
      <c r="I17159" s="4"/>
    </row>
    <row r="17160">
      <c r="A17160" s="4" t="str">
        <f>IFERROR(__xludf.DUMMYFUNCTION("""COMPUTED_VALUE"""),"cas_hmw")</f>
        <v>cas_hmw</v>
      </c>
      <c r="B17160" s="5">
        <f>IFERROR(__xludf.DUMMYFUNCTION("""COMPUTED_VALUE"""),44739.0)</f>
        <v>44739</v>
      </c>
      <c r="C17160" s="6">
        <f>IFERROR(__xludf.DUMMYFUNCTION("""COMPUTED_VALUE"""),0.6844444444432156)</f>
        <v>0.6844444444</v>
      </c>
      <c r="D17160" s="4">
        <f>IFERROR(__xludf.DUMMYFUNCTION("""COMPUTED_VALUE"""),12.943554)</f>
        <v>12.943554</v>
      </c>
      <c r="E17160" s="4">
        <f>IFERROR(__xludf.DUMMYFUNCTION("""COMPUTED_VALUE"""),80.134072)</f>
        <v>80.134072</v>
      </c>
      <c r="F17160" s="4">
        <f>IFERROR(__xludf.DUMMYFUNCTION("""COMPUTED_VALUE"""),805.0)</f>
        <v>805</v>
      </c>
      <c r="G17160" s="4">
        <f>IFERROR(__xludf.DUMMYFUNCTION("""COMPUTED_VALUE"""),37.0)</f>
        <v>37</v>
      </c>
      <c r="H17160" s="4"/>
      <c r="I17160" s="4"/>
    </row>
    <row r="17161">
      <c r="A17161" s="4" t="str">
        <f>IFERROR(__xludf.DUMMYFUNCTION("""COMPUTED_VALUE"""),"cas_hmw")</f>
        <v>cas_hmw</v>
      </c>
      <c r="B17161" s="5">
        <f>IFERROR(__xludf.DUMMYFUNCTION("""COMPUTED_VALUE"""),44739.0)</f>
        <v>44739</v>
      </c>
      <c r="C17161" s="6">
        <f>IFERROR(__xludf.DUMMYFUNCTION("""COMPUTED_VALUE"""),0.684571759258688)</f>
        <v>0.6845717593</v>
      </c>
      <c r="D17161" s="4">
        <f>IFERROR(__xludf.DUMMYFUNCTION("""COMPUTED_VALUE"""),12.944796)</f>
        <v>12.944796</v>
      </c>
      <c r="E17161" s="4">
        <f>IFERROR(__xludf.DUMMYFUNCTION("""COMPUTED_VALUE"""),80.135092)</f>
        <v>80.135092</v>
      </c>
      <c r="F17161" s="4">
        <f>IFERROR(__xludf.DUMMYFUNCTION("""COMPUTED_VALUE"""),5339.0)</f>
        <v>5339</v>
      </c>
      <c r="G17161" s="4">
        <f>IFERROR(__xludf.DUMMYFUNCTION("""COMPUTED_VALUE"""),46.0)</f>
        <v>46</v>
      </c>
      <c r="H17161" s="4"/>
      <c r="I17161" s="4"/>
    </row>
    <row r="17162">
      <c r="A17162" s="4" t="str">
        <f>IFERROR(__xludf.DUMMYFUNCTION("""COMPUTED_VALUE"""),"cas_hmw")</f>
        <v>cas_hmw</v>
      </c>
      <c r="B17162" s="5">
        <f>IFERROR(__xludf.DUMMYFUNCTION("""COMPUTED_VALUE"""),44739.0)</f>
        <v>44739</v>
      </c>
      <c r="C17162" s="6">
        <f>IFERROR(__xludf.DUMMYFUNCTION("""COMPUTED_VALUE"""),0.684918981482042)</f>
        <v>0.6849189815</v>
      </c>
      <c r="D17162" s="4">
        <f>IFERROR(__xludf.DUMMYFUNCTION("""COMPUTED_VALUE"""),12.947828)</f>
        <v>12.947828</v>
      </c>
      <c r="E17162" s="4">
        <f>IFERROR(__xludf.DUMMYFUNCTION("""COMPUTED_VALUE"""),80.137401)</f>
        <v>80.137401</v>
      </c>
      <c r="F17162" s="4">
        <f>IFERROR(__xludf.DUMMYFUNCTION("""COMPUTED_VALUE"""),5339.0)</f>
        <v>5339</v>
      </c>
      <c r="G17162" s="4">
        <f>IFERROR(__xludf.DUMMYFUNCTION("""COMPUTED_VALUE"""),50.0)</f>
        <v>50</v>
      </c>
      <c r="H17162" s="4"/>
      <c r="I17162" s="4"/>
    </row>
    <row r="17163">
      <c r="A17163" s="4" t="str">
        <f>IFERROR(__xludf.DUMMYFUNCTION("""COMPUTED_VALUE"""),"cas_hmw")</f>
        <v>cas_hmw</v>
      </c>
      <c r="B17163" s="5">
        <f>IFERROR(__xludf.DUMMYFUNCTION("""COMPUTED_VALUE"""),44739.0)</f>
        <v>44739</v>
      </c>
      <c r="C17163" s="6">
        <f>IFERROR(__xludf.DUMMYFUNCTION("""COMPUTED_VALUE"""),0.6849305555551837)</f>
        <v>0.6849305556</v>
      </c>
      <c r="D17163" s="4">
        <f>IFERROR(__xludf.DUMMYFUNCTION("""COMPUTED_VALUE"""),12.946442)</f>
        <v>12.946442</v>
      </c>
      <c r="E17163" s="4">
        <f>IFERROR(__xludf.DUMMYFUNCTION("""COMPUTED_VALUE"""),80.136392)</f>
        <v>80.136392</v>
      </c>
      <c r="F17163" s="4">
        <f>IFERROR(__xludf.DUMMYFUNCTION("""COMPUTED_VALUE"""),805.0)</f>
        <v>805</v>
      </c>
      <c r="G17163" s="4">
        <f>IFERROR(__xludf.DUMMYFUNCTION("""COMPUTED_VALUE"""),48.0)</f>
        <v>48</v>
      </c>
      <c r="H17163" s="4"/>
      <c r="I17163" s="4"/>
    </row>
    <row r="17164">
      <c r="A17164" s="4" t="str">
        <f>IFERROR(__xludf.DUMMYFUNCTION("""COMPUTED_VALUE"""),"cas_hmw")</f>
        <v>cas_hmw</v>
      </c>
      <c r="B17164" s="5">
        <f>IFERROR(__xludf.DUMMYFUNCTION("""COMPUTED_VALUE"""),44739.0)</f>
        <v>44739</v>
      </c>
      <c r="C17164" s="6">
        <f>IFERROR(__xludf.DUMMYFUNCTION("""COMPUTED_VALUE"""),0.6851736111093487)</f>
        <v>0.6851736111</v>
      </c>
      <c r="D17164" s="4">
        <f>IFERROR(__xludf.DUMMYFUNCTION("""COMPUTED_VALUE"""),12.94949)</f>
        <v>12.94949</v>
      </c>
      <c r="E17164" s="4">
        <f>IFERROR(__xludf.DUMMYFUNCTION("""COMPUTED_VALUE"""),80.138654)</f>
        <v>80.138654</v>
      </c>
      <c r="F17164" s="4">
        <f>IFERROR(__xludf.DUMMYFUNCTION("""COMPUTED_VALUE"""),5339.0)</f>
        <v>5339</v>
      </c>
      <c r="G17164" s="4">
        <f>IFERROR(__xludf.DUMMYFUNCTION("""COMPUTED_VALUE"""),47.0)</f>
        <v>47</v>
      </c>
      <c r="H17164" s="4"/>
      <c r="I17164" s="4"/>
    </row>
    <row r="17165">
      <c r="A17165" s="4" t="str">
        <f>IFERROR(__xludf.DUMMYFUNCTION("""COMPUTED_VALUE"""),"cas_hmw")</f>
        <v>cas_hmw</v>
      </c>
      <c r="B17165" s="5">
        <f>IFERROR(__xludf.DUMMYFUNCTION("""COMPUTED_VALUE"""),44739.0)</f>
        <v>44739</v>
      </c>
      <c r="C17165" s="6">
        <f>IFERROR(__xludf.DUMMYFUNCTION("""COMPUTED_VALUE"""),0.6852777777785377)</f>
        <v>0.6852777778</v>
      </c>
      <c r="D17165" s="4">
        <f>IFERROR(__xludf.DUMMYFUNCTION("""COMPUTED_VALUE"""),12.949642)</f>
        <v>12.949642</v>
      </c>
      <c r="E17165" s="4">
        <f>IFERROR(__xludf.DUMMYFUNCTION("""COMPUTED_VALUE"""),80.138784)</f>
        <v>80.138784</v>
      </c>
      <c r="F17165" s="4">
        <f>IFERROR(__xludf.DUMMYFUNCTION("""COMPUTED_VALUE"""),805.0)</f>
        <v>805</v>
      </c>
      <c r="G17165" s="4">
        <f>IFERROR(__xludf.DUMMYFUNCTION("""COMPUTED_VALUE"""),49.0)</f>
        <v>49</v>
      </c>
      <c r="H17165" s="4"/>
      <c r="I17165" s="4"/>
    </row>
    <row r="17166">
      <c r="A17166" s="4" t="str">
        <f>IFERROR(__xludf.DUMMYFUNCTION("""COMPUTED_VALUE"""),"cas_hmw")</f>
        <v>cas_hmw</v>
      </c>
      <c r="B17166" s="5">
        <f>IFERROR(__xludf.DUMMYFUNCTION("""COMPUTED_VALUE"""),44739.0)</f>
        <v>44739</v>
      </c>
      <c r="C17166" s="6">
        <f>IFERROR(__xludf.DUMMYFUNCTION("""COMPUTED_VALUE"""),0.6853009259248211)</f>
        <v>0.6853009259</v>
      </c>
      <c r="D17166" s="4">
        <f>IFERROR(__xludf.DUMMYFUNCTION("""COMPUTED_VALUE"""),12.950459)</f>
        <v>12.950459</v>
      </c>
      <c r="E17166" s="4">
        <f>IFERROR(__xludf.DUMMYFUNCTION("""COMPUTED_VALUE"""),80.139436)</f>
        <v>80.139436</v>
      </c>
      <c r="F17166" s="4">
        <f>IFERROR(__xludf.DUMMYFUNCTION("""COMPUTED_VALUE"""),5339.0)</f>
        <v>5339</v>
      </c>
      <c r="G17166" s="4">
        <f>IFERROR(__xludf.DUMMYFUNCTION("""COMPUTED_VALUE"""),22.0)</f>
        <v>22</v>
      </c>
      <c r="H17166" s="4"/>
      <c r="I17166" s="4"/>
    </row>
    <row r="17167">
      <c r="A17167" s="4" t="str">
        <f>IFERROR(__xludf.DUMMYFUNCTION("""COMPUTED_VALUE"""),"cas_hmw")</f>
        <v>cas_hmw</v>
      </c>
      <c r="B17167" s="5">
        <f>IFERROR(__xludf.DUMMYFUNCTION("""COMPUTED_VALUE"""),44739.0)</f>
        <v>44739</v>
      </c>
      <c r="C17167" s="6">
        <f>IFERROR(__xludf.DUMMYFUNCTION("""COMPUTED_VALUE"""),0.6854861111096398)</f>
        <v>0.6854861111</v>
      </c>
      <c r="D17167" s="4">
        <f>IFERROR(__xludf.DUMMYFUNCTION("""COMPUTED_VALUE"""),12.951685)</f>
        <v>12.951685</v>
      </c>
      <c r="E17167" s="4">
        <f>IFERROR(__xludf.DUMMYFUNCTION("""COMPUTED_VALUE"""),80.140388)</f>
        <v>80.140388</v>
      </c>
      <c r="F17167" s="4">
        <f>IFERROR(__xludf.DUMMYFUNCTION("""COMPUTED_VALUE"""),805.0)</f>
        <v>805</v>
      </c>
      <c r="G17167" s="4">
        <f>IFERROR(__xludf.DUMMYFUNCTION("""COMPUTED_VALUE"""),31.0)</f>
        <v>31</v>
      </c>
      <c r="H17167" s="4"/>
      <c r="I17167" s="4"/>
    </row>
    <row r="17168">
      <c r="A17168" s="4" t="str">
        <f>IFERROR(__xludf.DUMMYFUNCTION("""COMPUTED_VALUE"""),"cas_hmw")</f>
        <v>cas_hmw</v>
      </c>
      <c r="B17168" s="5">
        <f>IFERROR(__xludf.DUMMYFUNCTION("""COMPUTED_VALUE"""),44739.0)</f>
        <v>44739</v>
      </c>
      <c r="C17168" s="6">
        <f>IFERROR(__xludf.DUMMYFUNCTION("""COMPUTED_VALUE"""),0.6854976851864194)</f>
        <v>0.6854976852</v>
      </c>
      <c r="D17168" s="4">
        <f>IFERROR(__xludf.DUMMYFUNCTION("""COMPUTED_VALUE"""),12.951402)</f>
        <v>12.951402</v>
      </c>
      <c r="E17168" s="4">
        <f>IFERROR(__xludf.DUMMYFUNCTION("""COMPUTED_VALUE"""),80.140174)</f>
        <v>80.140174</v>
      </c>
      <c r="F17168" s="4">
        <f>IFERROR(__xludf.DUMMYFUNCTION("""COMPUTED_VALUE"""),5339.0)</f>
        <v>5339</v>
      </c>
      <c r="G17168" s="4">
        <f>IFERROR(__xludf.DUMMYFUNCTION("""COMPUTED_VALUE"""),37.0)</f>
        <v>37</v>
      </c>
      <c r="H17168" s="4"/>
      <c r="I17168" s="4"/>
    </row>
    <row r="17169">
      <c r="A17169" s="4" t="str">
        <f>IFERROR(__xludf.DUMMYFUNCTION("""COMPUTED_VALUE"""),"cas_hmw")</f>
        <v>cas_hmw</v>
      </c>
      <c r="B17169" s="5">
        <f>IFERROR(__xludf.DUMMYFUNCTION("""COMPUTED_VALUE"""),44739.0)</f>
        <v>44739</v>
      </c>
      <c r="C17169" s="6">
        <f>IFERROR(__xludf.DUMMYFUNCTION("""COMPUTED_VALUE"""),0.6865162037029222)</f>
        <v>0.6865162037</v>
      </c>
      <c r="D17169" s="4">
        <f>IFERROR(__xludf.DUMMYFUNCTION("""COMPUTED_VALUE"""),12.955958)</f>
        <v>12.955958</v>
      </c>
      <c r="E17169" s="4">
        <f>IFERROR(__xludf.DUMMYFUNCTION("""COMPUTED_VALUE"""),80.142842)</f>
        <v>80.142842</v>
      </c>
      <c r="F17169" s="4">
        <f>IFERROR(__xludf.DUMMYFUNCTION("""COMPUTED_VALUE"""),5339.0)</f>
        <v>5339</v>
      </c>
      <c r="G17169" s="4">
        <f>IFERROR(__xludf.DUMMYFUNCTION("""COMPUTED_VALUE"""),0.0)</f>
        <v>0</v>
      </c>
      <c r="H17169" s="4"/>
      <c r="I17169" s="4"/>
    </row>
    <row r="17170">
      <c r="A17170" s="4" t="str">
        <f>IFERROR(__xludf.DUMMYFUNCTION("""COMPUTED_VALUE"""),"cas_hmw")</f>
        <v>cas_hmw</v>
      </c>
      <c r="B17170" s="5">
        <f>IFERROR(__xludf.DUMMYFUNCTION("""COMPUTED_VALUE"""),44739.0)</f>
        <v>44739</v>
      </c>
      <c r="C17170" s="6">
        <f>IFERROR(__xludf.DUMMYFUNCTION("""COMPUTED_VALUE"""),0.6865393518528435)</f>
        <v>0.6865393519</v>
      </c>
      <c r="D17170" s="4">
        <f>IFERROR(__xludf.DUMMYFUNCTION("""COMPUTED_VALUE"""),12.95626)</f>
        <v>12.95626</v>
      </c>
      <c r="E17170" s="4">
        <f>IFERROR(__xludf.DUMMYFUNCTION("""COMPUTED_VALUE"""),80.143063)</f>
        <v>80.143063</v>
      </c>
      <c r="F17170" s="4">
        <f>IFERROR(__xludf.DUMMYFUNCTION("""COMPUTED_VALUE"""),5339.0)</f>
        <v>5339</v>
      </c>
      <c r="G17170" s="4">
        <f>IFERROR(__xludf.DUMMYFUNCTION("""COMPUTED_VALUE"""),14.0)</f>
        <v>14</v>
      </c>
      <c r="H17170" s="4"/>
      <c r="I17170" s="4"/>
    </row>
    <row r="17171">
      <c r="A17171" s="4" t="str">
        <f>IFERROR(__xludf.DUMMYFUNCTION("""COMPUTED_VALUE"""),"cas_hmw")</f>
        <v>cas_hmw</v>
      </c>
      <c r="B17171" s="5">
        <f>IFERROR(__xludf.DUMMYFUNCTION("""COMPUTED_VALUE"""),44739.0)</f>
        <v>44739</v>
      </c>
      <c r="C17171" s="6">
        <f>IFERROR(__xludf.DUMMYFUNCTION("""COMPUTED_VALUE"""),0.6865509259259852)</f>
        <v>0.6865509259</v>
      </c>
      <c r="D17171" s="4">
        <f>IFERROR(__xludf.DUMMYFUNCTION("""COMPUTED_VALUE"""),12.95626)</f>
        <v>12.95626</v>
      </c>
      <c r="E17171" s="4">
        <f>IFERROR(__xludf.DUMMYFUNCTION("""COMPUTED_VALUE"""),80.143063)</f>
        <v>80.143063</v>
      </c>
      <c r="F17171" s="4">
        <f>IFERROR(__xludf.DUMMYFUNCTION("""COMPUTED_VALUE"""),5339.0)</f>
        <v>5339</v>
      </c>
      <c r="G17171" s="4">
        <f>IFERROR(__xludf.DUMMYFUNCTION("""COMPUTED_VALUE"""),14.0)</f>
        <v>14</v>
      </c>
      <c r="H17171" s="4"/>
      <c r="I17171" s="4"/>
    </row>
    <row r="17172">
      <c r="A17172" s="4" t="str">
        <f>IFERROR(__xludf.DUMMYFUNCTION("""COMPUTED_VALUE"""),"cas_hmw")</f>
        <v>cas_hmw</v>
      </c>
      <c r="B17172" s="5">
        <f>IFERROR(__xludf.DUMMYFUNCTION("""COMPUTED_VALUE"""),44739.0)</f>
        <v>44739</v>
      </c>
      <c r="C17172" s="6">
        <f>IFERROR(__xludf.DUMMYFUNCTION("""COMPUTED_VALUE"""),0.6866087962953316)</f>
        <v>0.6866087963</v>
      </c>
      <c r="D17172" s="4">
        <f>IFERROR(__xludf.DUMMYFUNCTION("""COMPUTED_VALUE"""),12.774867)</f>
        <v>12.774867</v>
      </c>
      <c r="E17172" s="4">
        <f>IFERROR(__xludf.DUMMYFUNCTION("""COMPUTED_VALUE"""),80.009569)</f>
        <v>80.009569</v>
      </c>
      <c r="F17172" s="4">
        <f>IFERROR(__xludf.DUMMYFUNCTION("""COMPUTED_VALUE"""),2846.0)</f>
        <v>2846</v>
      </c>
      <c r="G17172" s="4">
        <f>IFERROR(__xludf.DUMMYFUNCTION("""COMPUTED_VALUE"""),58.0)</f>
        <v>58</v>
      </c>
      <c r="H17172" s="4"/>
      <c r="I17172" s="4"/>
    </row>
    <row r="17173">
      <c r="A17173" s="4" t="str">
        <f>IFERROR(__xludf.DUMMYFUNCTION("""COMPUTED_VALUE"""),"cas_hmw")</f>
        <v>cas_hmw</v>
      </c>
      <c r="B17173" s="5">
        <f>IFERROR(__xludf.DUMMYFUNCTION("""COMPUTED_VALUE"""),44739.0)</f>
        <v>44739</v>
      </c>
      <c r="C17173" s="6">
        <f>IFERROR(__xludf.DUMMYFUNCTION("""COMPUTED_VALUE"""),0.6869675925918273)</f>
        <v>0.6869675926</v>
      </c>
      <c r="D17173" s="4">
        <f>IFERROR(__xludf.DUMMYFUNCTION("""COMPUTED_VALUE"""),12.958031)</f>
        <v>12.958031</v>
      </c>
      <c r="E17173" s="4">
        <f>IFERROR(__xludf.DUMMYFUNCTION("""COMPUTED_VALUE"""),80.14399)</f>
        <v>80.14399</v>
      </c>
      <c r="F17173" s="4">
        <f>IFERROR(__xludf.DUMMYFUNCTION("""COMPUTED_VALUE"""),5339.0)</f>
        <v>5339</v>
      </c>
      <c r="G17173" s="4">
        <f>IFERROR(__xludf.DUMMYFUNCTION("""COMPUTED_VALUE"""),20.0)</f>
        <v>20</v>
      </c>
      <c r="H17173" s="4"/>
      <c r="I17173" s="4"/>
    </row>
    <row r="17174">
      <c r="A17174" s="4" t="str">
        <f>IFERROR(__xludf.DUMMYFUNCTION("""COMPUTED_VALUE"""),"cas_hmw")</f>
        <v>cas_hmw</v>
      </c>
      <c r="B17174" s="5">
        <f>IFERROR(__xludf.DUMMYFUNCTION("""COMPUTED_VALUE"""),44739.0)</f>
        <v>44739</v>
      </c>
      <c r="C17174" s="6">
        <f>IFERROR(__xludf.DUMMYFUNCTION("""COMPUTED_VALUE"""),0.6869907407417486)</f>
        <v>0.6869907407</v>
      </c>
      <c r="D17174" s="4">
        <f>IFERROR(__xludf.DUMMYFUNCTION("""COMPUTED_VALUE"""),12.958031)</f>
        <v>12.958031</v>
      </c>
      <c r="E17174" s="4">
        <f>IFERROR(__xludf.DUMMYFUNCTION("""COMPUTED_VALUE"""),80.14399)</f>
        <v>80.14399</v>
      </c>
      <c r="F17174" s="4">
        <f>IFERROR(__xludf.DUMMYFUNCTION("""COMPUTED_VALUE"""),5339.0)</f>
        <v>5339</v>
      </c>
      <c r="G17174" s="4">
        <f>IFERROR(__xludf.DUMMYFUNCTION("""COMPUTED_VALUE"""),20.0)</f>
        <v>20</v>
      </c>
      <c r="H17174" s="4"/>
      <c r="I17174" s="4"/>
    </row>
    <row r="17175">
      <c r="A17175" s="4" t="str">
        <f>IFERROR(__xludf.DUMMYFUNCTION("""COMPUTED_VALUE"""),"cas_hmw")</f>
        <v>cas_hmw</v>
      </c>
      <c r="B17175" s="5">
        <f>IFERROR(__xludf.DUMMYFUNCTION("""COMPUTED_VALUE"""),44739.0)</f>
        <v>44739</v>
      </c>
      <c r="C17175" s="6">
        <f>IFERROR(__xludf.DUMMYFUNCTION("""COMPUTED_VALUE"""),0.687673611111677)</f>
        <v>0.6876736111</v>
      </c>
      <c r="D17175" s="4">
        <f>IFERROR(__xludf.DUMMYFUNCTION("""COMPUTED_VALUE"""),12.961326)</f>
        <v>12.961326</v>
      </c>
      <c r="E17175" s="4">
        <f>IFERROR(__xludf.DUMMYFUNCTION("""COMPUTED_VALUE"""),80.145671)</f>
        <v>80.145671</v>
      </c>
      <c r="F17175" s="4">
        <f>IFERROR(__xludf.DUMMYFUNCTION("""COMPUTED_VALUE"""),5339.0)</f>
        <v>5339</v>
      </c>
      <c r="G17175" s="4">
        <f>IFERROR(__xludf.DUMMYFUNCTION("""COMPUTED_VALUE"""),43.0)</f>
        <v>43</v>
      </c>
      <c r="H17175" s="4"/>
      <c r="I17175" s="4"/>
    </row>
    <row r="17176">
      <c r="A17176" s="4" t="str">
        <f>IFERROR(__xludf.DUMMYFUNCTION("""COMPUTED_VALUE"""),"cas_hmw")</f>
        <v>cas_hmw</v>
      </c>
      <c r="B17176" s="5">
        <f>IFERROR(__xludf.DUMMYFUNCTION("""COMPUTED_VALUE"""),44739.0)</f>
        <v>44739</v>
      </c>
      <c r="C17176" s="6">
        <f>IFERROR(__xludf.DUMMYFUNCTION("""COMPUTED_VALUE"""),0.687673611111677)</f>
        <v>0.6876736111</v>
      </c>
      <c r="D17176" s="4">
        <f>IFERROR(__xludf.DUMMYFUNCTION("""COMPUTED_VALUE"""),12.961326)</f>
        <v>12.961326</v>
      </c>
      <c r="E17176" s="4">
        <f>IFERROR(__xludf.DUMMYFUNCTION("""COMPUTED_VALUE"""),80.145671)</f>
        <v>80.145671</v>
      </c>
      <c r="F17176" s="4">
        <f>IFERROR(__xludf.DUMMYFUNCTION("""COMPUTED_VALUE"""),5339.0)</f>
        <v>5339</v>
      </c>
      <c r="G17176" s="4">
        <f>IFERROR(__xludf.DUMMYFUNCTION("""COMPUTED_VALUE"""),43.0)</f>
        <v>43</v>
      </c>
      <c r="H17176" s="4"/>
      <c r="I17176" s="4"/>
    </row>
    <row r="17177">
      <c r="A17177" s="4" t="str">
        <f>IFERROR(__xludf.DUMMYFUNCTION("""COMPUTED_VALUE"""),"cas_hmw")</f>
        <v>cas_hmw</v>
      </c>
      <c r="B17177" s="5">
        <f>IFERROR(__xludf.DUMMYFUNCTION("""COMPUTED_VALUE"""),44739.0)</f>
        <v>44739</v>
      </c>
      <c r="C17177" s="6">
        <f>IFERROR(__xludf.DUMMYFUNCTION("""COMPUTED_VALUE"""),0.68770833333474)</f>
        <v>0.6877083333</v>
      </c>
      <c r="D17177" s="4">
        <f>IFERROR(__xludf.DUMMYFUNCTION("""COMPUTED_VALUE"""),12.961326)</f>
        <v>12.961326</v>
      </c>
      <c r="E17177" s="4">
        <f>IFERROR(__xludf.DUMMYFUNCTION("""COMPUTED_VALUE"""),80.145671)</f>
        <v>80.145671</v>
      </c>
      <c r="F17177" s="4">
        <f>IFERROR(__xludf.DUMMYFUNCTION("""COMPUTED_VALUE"""),5339.0)</f>
        <v>5339</v>
      </c>
      <c r="G17177" s="4">
        <f>IFERROR(__xludf.DUMMYFUNCTION("""COMPUTED_VALUE"""),43.0)</f>
        <v>43</v>
      </c>
      <c r="H17177" s="4"/>
      <c r="I17177" s="4"/>
    </row>
    <row r="17178">
      <c r="A17178" s="4" t="str">
        <f>IFERROR(__xludf.DUMMYFUNCTION("""COMPUTED_VALUE"""),"cas_hmw")</f>
        <v>cas_hmw</v>
      </c>
      <c r="B17178" s="5">
        <f>IFERROR(__xludf.DUMMYFUNCTION("""COMPUTED_VALUE"""),44739.0)</f>
        <v>44739</v>
      </c>
      <c r="C17178" s="6">
        <f>IFERROR(__xludf.DUMMYFUNCTION("""COMPUTED_VALUE"""),0.6877199074078817)</f>
        <v>0.6877199074</v>
      </c>
      <c r="D17178" s="4">
        <f>IFERROR(__xludf.DUMMYFUNCTION("""COMPUTED_VALUE"""),12.961326)</f>
        <v>12.961326</v>
      </c>
      <c r="E17178" s="4">
        <f>IFERROR(__xludf.DUMMYFUNCTION("""COMPUTED_VALUE"""),80.145671)</f>
        <v>80.145671</v>
      </c>
      <c r="F17178" s="4">
        <f>IFERROR(__xludf.DUMMYFUNCTION("""COMPUTED_VALUE"""),5339.0)</f>
        <v>5339</v>
      </c>
      <c r="G17178" s="4">
        <f>IFERROR(__xludf.DUMMYFUNCTION("""COMPUTED_VALUE"""),43.0)</f>
        <v>43</v>
      </c>
      <c r="H17178" s="4"/>
      <c r="I17178" s="4"/>
    </row>
    <row r="17179">
      <c r="A17179" s="4" t="str">
        <f>IFERROR(__xludf.DUMMYFUNCTION("""COMPUTED_VALUE"""),"cas_hmw")</f>
        <v>cas_hmw</v>
      </c>
      <c r="B17179" s="5">
        <f>IFERROR(__xludf.DUMMYFUNCTION("""COMPUTED_VALUE"""),44739.0)</f>
        <v>44739</v>
      </c>
      <c r="C17179" s="6">
        <f>IFERROR(__xludf.DUMMYFUNCTION("""COMPUTED_VALUE"""),0.6877199074078817)</f>
        <v>0.6877199074</v>
      </c>
      <c r="D17179" s="4">
        <f>IFERROR(__xludf.DUMMYFUNCTION("""COMPUTED_VALUE"""),12.961326)</f>
        <v>12.961326</v>
      </c>
      <c r="E17179" s="4">
        <f>IFERROR(__xludf.DUMMYFUNCTION("""COMPUTED_VALUE"""),80.145671)</f>
        <v>80.145671</v>
      </c>
      <c r="F17179" s="4">
        <f>IFERROR(__xludf.DUMMYFUNCTION("""COMPUTED_VALUE"""),5339.0)</f>
        <v>5339</v>
      </c>
      <c r="G17179" s="4">
        <f>IFERROR(__xludf.DUMMYFUNCTION("""COMPUTED_VALUE"""),43.0)</f>
        <v>43</v>
      </c>
      <c r="H17179" s="4"/>
      <c r="I17179" s="4"/>
    </row>
    <row r="17180">
      <c r="A17180" s="4" t="str">
        <f>IFERROR(__xludf.DUMMYFUNCTION("""COMPUTED_VALUE"""),"cas_hmw")</f>
        <v>cas_hmw</v>
      </c>
      <c r="B17180" s="5">
        <f>IFERROR(__xludf.DUMMYFUNCTION("""COMPUTED_VALUE"""),44739.0)</f>
        <v>44739</v>
      </c>
      <c r="C17180" s="6">
        <f>IFERROR(__xludf.DUMMYFUNCTION("""COMPUTED_VALUE"""),0.6878009259271494)</f>
        <v>0.6878009259</v>
      </c>
      <c r="D17180" s="4">
        <f>IFERROR(__xludf.DUMMYFUNCTION("""COMPUTED_VALUE"""),12.961434)</f>
        <v>12.961434</v>
      </c>
      <c r="E17180" s="4">
        <f>IFERROR(__xludf.DUMMYFUNCTION("""COMPUTED_VALUE"""),80.145751)</f>
        <v>80.145751</v>
      </c>
      <c r="F17180" s="4">
        <f>IFERROR(__xludf.DUMMYFUNCTION("""COMPUTED_VALUE"""),805.0)</f>
        <v>805</v>
      </c>
      <c r="G17180" s="4">
        <f>IFERROR(__xludf.DUMMYFUNCTION("""COMPUTED_VALUE"""),51.0)</f>
        <v>51</v>
      </c>
      <c r="H17180" s="4"/>
      <c r="I17180" s="4"/>
    </row>
    <row r="17181">
      <c r="A17181" s="4" t="str">
        <f>IFERROR(__xludf.DUMMYFUNCTION("""COMPUTED_VALUE"""),"cas_hmw")</f>
        <v>cas_hmw</v>
      </c>
      <c r="B17181" s="5">
        <f>IFERROR(__xludf.DUMMYFUNCTION("""COMPUTED_VALUE"""),44739.0)</f>
        <v>44739</v>
      </c>
      <c r="C17181" s="6">
        <f>IFERROR(__xludf.DUMMYFUNCTION("""COMPUTED_VALUE"""),0.6878240740734327)</f>
        <v>0.6878240741</v>
      </c>
      <c r="D17181" s="4">
        <f>IFERROR(__xludf.DUMMYFUNCTION("""COMPUTED_VALUE"""),12.961434)</f>
        <v>12.961434</v>
      </c>
      <c r="E17181" s="4">
        <f>IFERROR(__xludf.DUMMYFUNCTION("""COMPUTED_VALUE"""),80.145751)</f>
        <v>80.145751</v>
      </c>
      <c r="F17181" s="4">
        <f>IFERROR(__xludf.DUMMYFUNCTION("""COMPUTED_VALUE"""),805.0)</f>
        <v>805</v>
      </c>
      <c r="G17181" s="4">
        <f>IFERROR(__xludf.DUMMYFUNCTION("""COMPUTED_VALUE"""),51.0)</f>
        <v>51</v>
      </c>
      <c r="H17181" s="4"/>
      <c r="I17181" s="4"/>
    </row>
    <row r="17182">
      <c r="A17182" s="4" t="str">
        <f>IFERROR(__xludf.DUMMYFUNCTION("""COMPUTED_VALUE"""),"cas_hmw")</f>
        <v>cas_hmw</v>
      </c>
      <c r="B17182" s="5">
        <f>IFERROR(__xludf.DUMMYFUNCTION("""COMPUTED_VALUE"""),44739.0)</f>
        <v>44739</v>
      </c>
      <c r="C17182" s="6">
        <f>IFERROR(__xludf.DUMMYFUNCTION("""COMPUTED_VALUE"""),0.687847222223354)</f>
        <v>0.6878472222</v>
      </c>
      <c r="D17182" s="4">
        <f>IFERROR(__xludf.DUMMYFUNCTION("""COMPUTED_VALUE"""),12.963026)</f>
        <v>12.963026</v>
      </c>
      <c r="E17182" s="4">
        <f>IFERROR(__xludf.DUMMYFUNCTION("""COMPUTED_VALUE"""),80.146608)</f>
        <v>80.146608</v>
      </c>
      <c r="F17182" s="4">
        <f>IFERROR(__xludf.DUMMYFUNCTION("""COMPUTED_VALUE"""),5339.0)</f>
        <v>5339</v>
      </c>
      <c r="G17182" s="4">
        <f>IFERROR(__xludf.DUMMYFUNCTION("""COMPUTED_VALUE"""),56.0)</f>
        <v>56</v>
      </c>
      <c r="H17182" s="4"/>
      <c r="I17182" s="4"/>
    </row>
    <row r="17183">
      <c r="A17183" s="4" t="str">
        <f>IFERROR(__xludf.DUMMYFUNCTION("""COMPUTED_VALUE"""),"cas_hmw")</f>
        <v>cas_hmw</v>
      </c>
      <c r="B17183" s="5">
        <f>IFERROR(__xludf.DUMMYFUNCTION("""COMPUTED_VALUE"""),44739.0)</f>
        <v>44739</v>
      </c>
      <c r="C17183" s="6">
        <f>IFERROR(__xludf.DUMMYFUNCTION("""COMPUTED_VALUE"""),0.6879629629620467)</f>
        <v>0.687962963</v>
      </c>
      <c r="D17183" s="4">
        <f>IFERROR(__xludf.DUMMYFUNCTION("""COMPUTED_VALUE"""),12.963243)</f>
        <v>12.963243</v>
      </c>
      <c r="E17183" s="4">
        <f>IFERROR(__xludf.DUMMYFUNCTION("""COMPUTED_VALUE"""),80.146714)</f>
        <v>80.146714</v>
      </c>
      <c r="F17183" s="4">
        <f>IFERROR(__xludf.DUMMYFUNCTION("""COMPUTED_VALUE"""),805.0)</f>
        <v>805</v>
      </c>
      <c r="G17183" s="4">
        <f>IFERROR(__xludf.DUMMYFUNCTION("""COMPUTED_VALUE"""),42.0)</f>
        <v>42</v>
      </c>
      <c r="H17183" s="4"/>
      <c r="I17183" s="4"/>
    </row>
    <row r="17184">
      <c r="A17184" s="4" t="str">
        <f>IFERROR(__xludf.DUMMYFUNCTION("""COMPUTED_VALUE"""),"cas_hmw")</f>
        <v>cas_hmw</v>
      </c>
      <c r="B17184" s="5">
        <f>IFERROR(__xludf.DUMMYFUNCTION("""COMPUTED_VALUE"""),44739.0)</f>
        <v>44739</v>
      </c>
      <c r="C17184" s="6">
        <f>IFERROR(__xludf.DUMMYFUNCTION("""COMPUTED_VALUE"""),0.6882060185198497)</f>
        <v>0.6882060185</v>
      </c>
      <c r="D17184" s="4">
        <f>IFERROR(__xludf.DUMMYFUNCTION("""COMPUTED_VALUE"""),12.965182)</f>
        <v>12.965182</v>
      </c>
      <c r="E17184" s="4">
        <f>IFERROR(__xludf.DUMMYFUNCTION("""COMPUTED_VALUE"""),80.147948)</f>
        <v>80.147948</v>
      </c>
      <c r="F17184" s="4">
        <f>IFERROR(__xludf.DUMMYFUNCTION("""COMPUTED_VALUE"""),5339.0)</f>
        <v>5339</v>
      </c>
      <c r="G17184" s="4">
        <f>IFERROR(__xludf.DUMMYFUNCTION("""COMPUTED_VALUE"""),34.0)</f>
        <v>34</v>
      </c>
      <c r="H17184" s="4"/>
      <c r="I17184" s="4"/>
    </row>
    <row r="17185">
      <c r="A17185" s="4" t="str">
        <f>IFERROR(__xludf.DUMMYFUNCTION("""COMPUTED_VALUE"""),"cas_hmw")</f>
        <v>cas_hmw</v>
      </c>
      <c r="B17185" s="5">
        <f>IFERROR(__xludf.DUMMYFUNCTION("""COMPUTED_VALUE"""),44739.0)</f>
        <v>44739</v>
      </c>
      <c r="C17185" s="6">
        <f>IFERROR(__xludf.DUMMYFUNCTION("""COMPUTED_VALUE"""),0.6882638888891961)</f>
        <v>0.6882638889</v>
      </c>
      <c r="D17185" s="4">
        <f>IFERROR(__xludf.DUMMYFUNCTION("""COMPUTED_VALUE"""),12.965182)</f>
        <v>12.965182</v>
      </c>
      <c r="E17185" s="4">
        <f>IFERROR(__xludf.DUMMYFUNCTION("""COMPUTED_VALUE"""),80.147948)</f>
        <v>80.147948</v>
      </c>
      <c r="F17185" s="4">
        <f>IFERROR(__xludf.DUMMYFUNCTION("""COMPUTED_VALUE"""),5339.0)</f>
        <v>5339</v>
      </c>
      <c r="G17185" s="4">
        <f>IFERROR(__xludf.DUMMYFUNCTION("""COMPUTED_VALUE"""),34.0)</f>
        <v>34</v>
      </c>
      <c r="H17185" s="4"/>
      <c r="I17185" s="4"/>
    </row>
    <row r="17186">
      <c r="A17186" s="4" t="str">
        <f>IFERROR(__xludf.DUMMYFUNCTION("""COMPUTED_VALUE"""),"cas_hmw")</f>
        <v>cas_hmw</v>
      </c>
      <c r="B17186" s="5">
        <f>IFERROR(__xludf.DUMMYFUNCTION("""COMPUTED_VALUE"""),44739.0)</f>
        <v>44739</v>
      </c>
      <c r="C17186" s="6">
        <f>IFERROR(__xludf.DUMMYFUNCTION("""COMPUTED_VALUE"""),0.6882870370354794)</f>
        <v>0.688287037</v>
      </c>
      <c r="D17186" s="4">
        <f>IFERROR(__xludf.DUMMYFUNCTION("""COMPUTED_VALUE"""),12.965284)</f>
        <v>12.965284</v>
      </c>
      <c r="E17186" s="4">
        <f>IFERROR(__xludf.DUMMYFUNCTION("""COMPUTED_VALUE"""),80.147983)</f>
        <v>80.147983</v>
      </c>
      <c r="F17186" s="4">
        <f>IFERROR(__xludf.DUMMYFUNCTION("""COMPUTED_VALUE"""),805.0)</f>
        <v>805</v>
      </c>
      <c r="G17186" s="4">
        <f>IFERROR(__xludf.DUMMYFUNCTION("""COMPUTED_VALUE"""),34.0)</f>
        <v>34</v>
      </c>
      <c r="H17186" s="4"/>
      <c r="I17186" s="4"/>
    </row>
    <row r="17187">
      <c r="A17187" s="4" t="str">
        <f>IFERROR(__xludf.DUMMYFUNCTION("""COMPUTED_VALUE"""),"cas_hmw")</f>
        <v>cas_hmw</v>
      </c>
      <c r="B17187" s="5">
        <f>IFERROR(__xludf.DUMMYFUNCTION("""COMPUTED_VALUE"""),44739.0)</f>
        <v>44739</v>
      </c>
      <c r="C17187" s="6">
        <f>IFERROR(__xludf.DUMMYFUNCTION("""COMPUTED_VALUE"""),0.6883333333316841)</f>
        <v>0.6883333333</v>
      </c>
      <c r="D17187" s="4">
        <f>IFERROR(__xludf.DUMMYFUNCTION("""COMPUTED_VALUE"""),12.965182)</f>
        <v>12.965182</v>
      </c>
      <c r="E17187" s="4">
        <f>IFERROR(__xludf.DUMMYFUNCTION("""COMPUTED_VALUE"""),80.147948)</f>
        <v>80.147948</v>
      </c>
      <c r="F17187" s="4">
        <f>IFERROR(__xludf.DUMMYFUNCTION("""COMPUTED_VALUE"""),5339.0)</f>
        <v>5339</v>
      </c>
      <c r="G17187" s="4">
        <f>IFERROR(__xludf.DUMMYFUNCTION("""COMPUTED_VALUE"""),34.0)</f>
        <v>34</v>
      </c>
      <c r="H17187" s="4"/>
      <c r="I17187" s="4"/>
    </row>
    <row r="17188">
      <c r="A17188" s="4" t="str">
        <f>IFERROR(__xludf.DUMMYFUNCTION("""COMPUTED_VALUE"""),"cas_hmw")</f>
        <v>cas_hmw</v>
      </c>
      <c r="B17188" s="5">
        <f>IFERROR(__xludf.DUMMYFUNCTION("""COMPUTED_VALUE"""),44739.0)</f>
        <v>44739</v>
      </c>
      <c r="C17188" s="6">
        <f>IFERROR(__xludf.DUMMYFUNCTION("""COMPUTED_VALUE"""),0.6883333333316841)</f>
        <v>0.6883333333</v>
      </c>
      <c r="D17188" s="4">
        <f>IFERROR(__xludf.DUMMYFUNCTION("""COMPUTED_VALUE"""),12.767695)</f>
        <v>12.767695</v>
      </c>
      <c r="E17188" s="4">
        <f>IFERROR(__xludf.DUMMYFUNCTION("""COMPUTED_VALUE"""),80.006166)</f>
        <v>80.006166</v>
      </c>
      <c r="F17188" s="4">
        <f>IFERROR(__xludf.DUMMYFUNCTION("""COMPUTED_VALUE"""),2846.0)</f>
        <v>2846</v>
      </c>
      <c r="G17188" s="4">
        <f>IFERROR(__xludf.DUMMYFUNCTION("""COMPUTED_VALUE"""),49.0)</f>
        <v>49</v>
      </c>
      <c r="H17188" s="4"/>
      <c r="I17188" s="4"/>
    </row>
    <row r="17189">
      <c r="A17189" s="4" t="str">
        <f>IFERROR(__xludf.DUMMYFUNCTION("""COMPUTED_VALUE"""),"cas_hmw")</f>
        <v>cas_hmw</v>
      </c>
      <c r="B17189" s="5">
        <f>IFERROR(__xludf.DUMMYFUNCTION("""COMPUTED_VALUE"""),44739.0)</f>
        <v>44739</v>
      </c>
      <c r="C17189" s="6">
        <f>IFERROR(__xludf.DUMMYFUNCTION("""COMPUTED_VALUE"""),0.6886226851856918)</f>
        <v>0.6886226852</v>
      </c>
      <c r="D17189" s="4">
        <f>IFERROR(__xludf.DUMMYFUNCTION("""COMPUTED_VALUE"""),12.967858)</f>
        <v>12.967858</v>
      </c>
      <c r="E17189" s="4">
        <f>IFERROR(__xludf.DUMMYFUNCTION("""COMPUTED_VALUE"""),80.149305)</f>
        <v>80.149305</v>
      </c>
      <c r="F17189" s="4">
        <f>IFERROR(__xludf.DUMMYFUNCTION("""COMPUTED_VALUE"""),5339.0)</f>
        <v>5339</v>
      </c>
      <c r="G17189" s="4">
        <f>IFERROR(__xludf.DUMMYFUNCTION("""COMPUTED_VALUE"""),44.0)</f>
        <v>44</v>
      </c>
      <c r="H17189" s="4"/>
      <c r="I17189" s="4"/>
    </row>
    <row r="17190">
      <c r="A17190" s="4" t="str">
        <f>IFERROR(__xludf.DUMMYFUNCTION("""COMPUTED_VALUE"""),"cas_hmw")</f>
        <v>cas_hmw</v>
      </c>
      <c r="B17190" s="5">
        <f>IFERROR(__xludf.DUMMYFUNCTION("""COMPUTED_VALUE"""),44739.0)</f>
        <v>44739</v>
      </c>
      <c r="C17190" s="6">
        <f>IFERROR(__xludf.DUMMYFUNCTION("""COMPUTED_VALUE"""),0.6886921296281798)</f>
        <v>0.6886921296</v>
      </c>
      <c r="D17190" s="4">
        <f>IFERROR(__xludf.DUMMYFUNCTION("""COMPUTED_VALUE"""),12.968212)</f>
        <v>12.968212</v>
      </c>
      <c r="E17190" s="4">
        <f>IFERROR(__xludf.DUMMYFUNCTION("""COMPUTED_VALUE"""),80.149463)</f>
        <v>80.149463</v>
      </c>
      <c r="F17190" s="4">
        <f>IFERROR(__xludf.DUMMYFUNCTION("""COMPUTED_VALUE"""),805.0)</f>
        <v>805</v>
      </c>
      <c r="G17190" s="4">
        <f>IFERROR(__xludf.DUMMYFUNCTION("""COMPUTED_VALUE"""),51.0)</f>
        <v>51</v>
      </c>
      <c r="H17190" s="4"/>
      <c r="I17190" s="4"/>
    </row>
    <row r="17191">
      <c r="A17191" s="4" t="str">
        <f>IFERROR(__xludf.DUMMYFUNCTION("""COMPUTED_VALUE"""),"cas_hmw")</f>
        <v>cas_hmw</v>
      </c>
      <c r="B17191" s="5">
        <f>IFERROR(__xludf.DUMMYFUNCTION("""COMPUTED_VALUE"""),44739.0)</f>
        <v>44739</v>
      </c>
      <c r="C17191" s="6">
        <f>IFERROR(__xludf.DUMMYFUNCTION("""COMPUTED_VALUE"""),0.6888078703705105)</f>
        <v>0.6888078704</v>
      </c>
      <c r="D17191" s="4">
        <f>IFERROR(__xludf.DUMMYFUNCTION("""COMPUTED_VALUE"""),12.969524)</f>
        <v>12.969524</v>
      </c>
      <c r="E17191" s="4">
        <f>IFERROR(__xludf.DUMMYFUNCTION("""COMPUTED_VALUE"""),80.150074)</f>
        <v>80.150074</v>
      </c>
      <c r="F17191" s="4">
        <f>IFERROR(__xludf.DUMMYFUNCTION("""COMPUTED_VALUE"""),5339.0)</f>
        <v>5339</v>
      </c>
      <c r="G17191" s="4">
        <f>IFERROR(__xludf.DUMMYFUNCTION("""COMPUTED_VALUE"""),55.0)</f>
        <v>55</v>
      </c>
      <c r="H17191" s="4"/>
      <c r="I17191" s="4"/>
    </row>
    <row r="17192">
      <c r="A17192" s="4" t="str">
        <f>IFERROR(__xludf.DUMMYFUNCTION("""COMPUTED_VALUE"""),"cas_hmw")</f>
        <v>cas_hmw</v>
      </c>
      <c r="B17192" s="5">
        <f>IFERROR(__xludf.DUMMYFUNCTION("""COMPUTED_VALUE"""),44739.0)</f>
        <v>44739</v>
      </c>
      <c r="C17192" s="6">
        <f>IFERROR(__xludf.DUMMYFUNCTION("""COMPUTED_VALUE"""),0.6889583333322662)</f>
        <v>0.6889583333</v>
      </c>
      <c r="D17192" s="4">
        <f>IFERROR(__xludf.DUMMYFUNCTION("""COMPUTED_VALUE"""),12.971702)</f>
        <v>12.971702</v>
      </c>
      <c r="E17192" s="4">
        <f>IFERROR(__xludf.DUMMYFUNCTION("""COMPUTED_VALUE"""),80.151117)</f>
        <v>80.151117</v>
      </c>
      <c r="F17192" s="4">
        <f>IFERROR(__xludf.DUMMYFUNCTION("""COMPUTED_VALUE"""),805.0)</f>
        <v>805</v>
      </c>
      <c r="G17192" s="4">
        <f>IFERROR(__xludf.DUMMYFUNCTION("""COMPUTED_VALUE"""),53.0)</f>
        <v>53</v>
      </c>
      <c r="H17192" s="4"/>
      <c r="I17192" s="4"/>
    </row>
    <row r="17193">
      <c r="A17193" s="4" t="str">
        <f>IFERROR(__xludf.DUMMYFUNCTION("""COMPUTED_VALUE"""),"cas_hmw")</f>
        <v>cas_hmw</v>
      </c>
      <c r="B17193" s="5">
        <f>IFERROR(__xludf.DUMMYFUNCTION("""COMPUTED_VALUE"""),44739.0)</f>
        <v>44739</v>
      </c>
      <c r="C17193" s="6">
        <f>IFERROR(__xludf.DUMMYFUNCTION("""COMPUTED_VALUE"""),0.6890625000014552)</f>
        <v>0.6890625</v>
      </c>
      <c r="D17193" s="4">
        <f>IFERROR(__xludf.DUMMYFUNCTION("""COMPUTED_VALUE"""),12.972766)</f>
        <v>12.972766</v>
      </c>
      <c r="E17193" s="4">
        <f>IFERROR(__xludf.DUMMYFUNCTION("""COMPUTED_VALUE"""),80.152234)</f>
        <v>80.152234</v>
      </c>
      <c r="F17193" s="4">
        <f>IFERROR(__xludf.DUMMYFUNCTION("""COMPUTED_VALUE"""),5339.0)</f>
        <v>5339</v>
      </c>
      <c r="G17193" s="4">
        <f>IFERROR(__xludf.DUMMYFUNCTION("""COMPUTED_VALUE"""),38.0)</f>
        <v>38</v>
      </c>
      <c r="H17193" s="4"/>
      <c r="I17193" s="4"/>
    </row>
    <row r="17194">
      <c r="A17194" s="4" t="str">
        <f>IFERROR(__xludf.DUMMYFUNCTION("""COMPUTED_VALUE"""),"cas_hmw")</f>
        <v>cas_hmw</v>
      </c>
      <c r="B17194" s="5">
        <f>IFERROR(__xludf.DUMMYFUNCTION("""COMPUTED_VALUE"""),44739.0)</f>
        <v>44739</v>
      </c>
      <c r="C17194" s="6">
        <f>IFERROR(__xludf.DUMMYFUNCTION("""COMPUTED_VALUE"""),0.6890972222208802)</f>
        <v>0.6890972222</v>
      </c>
      <c r="D17194" s="4">
        <f>IFERROR(__xludf.DUMMYFUNCTION("""COMPUTED_VALUE"""),12.971702)</f>
        <v>12.971702</v>
      </c>
      <c r="E17194" s="4">
        <f>IFERROR(__xludf.DUMMYFUNCTION("""COMPUTED_VALUE"""),80.151117)</f>
        <v>80.151117</v>
      </c>
      <c r="F17194" s="4">
        <f>IFERROR(__xludf.DUMMYFUNCTION("""COMPUTED_VALUE"""),805.0)</f>
        <v>805</v>
      </c>
      <c r="G17194" s="4">
        <f>IFERROR(__xludf.DUMMYFUNCTION("""COMPUTED_VALUE"""),53.0)</f>
        <v>53</v>
      </c>
      <c r="H17194" s="4"/>
      <c r="I17194" s="4"/>
    </row>
    <row r="17195">
      <c r="A17195" s="4" t="str">
        <f>IFERROR(__xludf.DUMMYFUNCTION("""COMPUTED_VALUE"""),"cas_hmw")</f>
        <v>cas_hmw</v>
      </c>
      <c r="B17195" s="5">
        <f>IFERROR(__xludf.DUMMYFUNCTION("""COMPUTED_VALUE"""),44739.0)</f>
        <v>44739</v>
      </c>
      <c r="C17195" s="6">
        <f>IFERROR(__xludf.DUMMYFUNCTION("""COMPUTED_VALUE"""),0.6891087962976599)</f>
        <v>0.6891087963</v>
      </c>
      <c r="D17195" s="4">
        <f>IFERROR(__xludf.DUMMYFUNCTION("""COMPUTED_VALUE"""),12.972766)</f>
        <v>12.972766</v>
      </c>
      <c r="E17195" s="4">
        <f>IFERROR(__xludf.DUMMYFUNCTION("""COMPUTED_VALUE"""),80.152234)</f>
        <v>80.152234</v>
      </c>
      <c r="F17195" s="4">
        <f>IFERROR(__xludf.DUMMYFUNCTION("""COMPUTED_VALUE"""),5339.0)</f>
        <v>5339</v>
      </c>
      <c r="G17195" s="4">
        <f>IFERROR(__xludf.DUMMYFUNCTION("""COMPUTED_VALUE"""),38.0)</f>
        <v>38</v>
      </c>
      <c r="H17195" s="4"/>
      <c r="I17195" s="4"/>
    </row>
    <row r="17196">
      <c r="A17196" s="4" t="str">
        <f>IFERROR(__xludf.DUMMYFUNCTION("""COMPUTED_VALUE"""),"cas_hmw")</f>
        <v>cas_hmw</v>
      </c>
      <c r="B17196" s="5">
        <f>IFERROR(__xludf.DUMMYFUNCTION("""COMPUTED_VALUE"""),44739.0)</f>
        <v>44739</v>
      </c>
      <c r="C17196" s="6">
        <f>IFERROR(__xludf.DUMMYFUNCTION("""COMPUTED_VALUE"""),0.6892476851862739)</f>
        <v>0.6892476852</v>
      </c>
      <c r="D17196" s="4">
        <f>IFERROR(__xludf.DUMMYFUNCTION("""COMPUTED_VALUE"""),12.972961)</f>
        <v>12.972961</v>
      </c>
      <c r="E17196" s="4">
        <f>IFERROR(__xludf.DUMMYFUNCTION("""COMPUTED_VALUE"""),80.152516)</f>
        <v>80.152516</v>
      </c>
      <c r="F17196" s="4">
        <f>IFERROR(__xludf.DUMMYFUNCTION("""COMPUTED_VALUE"""),805.0)</f>
        <v>805</v>
      </c>
      <c r="G17196" s="4">
        <f>IFERROR(__xludf.DUMMYFUNCTION("""COMPUTED_VALUE"""),46.0)</f>
        <v>46</v>
      </c>
      <c r="H17196" s="4"/>
      <c r="I17196" s="4"/>
    </row>
    <row r="17197">
      <c r="A17197" s="4" t="str">
        <f>IFERROR(__xludf.DUMMYFUNCTION("""COMPUTED_VALUE"""),"cas_hmw")</f>
        <v>cas_hmw</v>
      </c>
      <c r="B17197" s="5">
        <f>IFERROR(__xludf.DUMMYFUNCTION("""COMPUTED_VALUE"""),44739.0)</f>
        <v>44739</v>
      </c>
      <c r="C17197" s="6">
        <f>IFERROR(__xludf.DUMMYFUNCTION("""COMPUTED_VALUE"""),0.6892476851862739)</f>
        <v>0.6892476852</v>
      </c>
      <c r="D17197" s="4">
        <f>IFERROR(__xludf.DUMMYFUNCTION("""COMPUTED_VALUE"""),12.973686)</f>
        <v>12.973686</v>
      </c>
      <c r="E17197" s="4">
        <f>IFERROR(__xludf.DUMMYFUNCTION("""COMPUTED_VALUE"""),80.153635)</f>
        <v>80.153635</v>
      </c>
      <c r="F17197" s="4">
        <f>IFERROR(__xludf.DUMMYFUNCTION("""COMPUTED_VALUE"""),5339.0)</f>
        <v>5339</v>
      </c>
      <c r="G17197" s="4">
        <f>IFERROR(__xludf.DUMMYFUNCTION("""COMPUTED_VALUE"""),52.0)</f>
        <v>52</v>
      </c>
      <c r="H17197" s="4"/>
      <c r="I17197" s="4"/>
    </row>
    <row r="17198">
      <c r="A17198" s="4" t="str">
        <f>IFERROR(__xludf.DUMMYFUNCTION("""COMPUTED_VALUE"""),"cas_hmw")</f>
        <v>cas_hmw</v>
      </c>
      <c r="B17198" s="5">
        <f>IFERROR(__xludf.DUMMYFUNCTION("""COMPUTED_VALUE"""),44739.0)</f>
        <v>44739</v>
      </c>
      <c r="C17198" s="6">
        <f>IFERROR(__xludf.DUMMYFUNCTION("""COMPUTED_VALUE"""),0.6894212962979509)</f>
        <v>0.6894212963</v>
      </c>
      <c r="D17198" s="4">
        <f>IFERROR(__xludf.DUMMYFUNCTION("""COMPUTED_VALUE"""),12.973877)</f>
        <v>12.973877</v>
      </c>
      <c r="E17198" s="4">
        <f>IFERROR(__xludf.DUMMYFUNCTION("""COMPUTED_VALUE"""),80.153927)</f>
        <v>80.153927</v>
      </c>
      <c r="F17198" s="4">
        <f>IFERROR(__xludf.DUMMYFUNCTION("""COMPUTED_VALUE"""),805.0)</f>
        <v>805</v>
      </c>
      <c r="G17198" s="4">
        <f>IFERROR(__xludf.DUMMYFUNCTION("""COMPUTED_VALUE"""),50.0)</f>
        <v>50</v>
      </c>
      <c r="H17198" s="4"/>
      <c r="I17198" s="4"/>
    </row>
    <row r="17199">
      <c r="A17199" s="4" t="str">
        <f>IFERROR(__xludf.DUMMYFUNCTION("""COMPUTED_VALUE"""),"cas_hmw")</f>
        <v>cas_hmw</v>
      </c>
      <c r="B17199" s="5">
        <f>IFERROR(__xludf.DUMMYFUNCTION("""COMPUTED_VALUE"""),44739.0)</f>
        <v>44739</v>
      </c>
      <c r="C17199" s="6">
        <f>IFERROR(__xludf.DUMMYFUNCTION("""COMPUTED_VALUE"""),0.6895023148135806)</f>
        <v>0.6895023148</v>
      </c>
      <c r="D17199" s="4">
        <f>IFERROR(__xludf.DUMMYFUNCTION("""COMPUTED_VALUE"""),12.753581)</f>
        <v>12.753581</v>
      </c>
      <c r="E17199" s="4">
        <f>IFERROR(__xludf.DUMMYFUNCTION("""COMPUTED_VALUE"""),80.000475)</f>
        <v>80.000475</v>
      </c>
      <c r="F17199" s="4">
        <f>IFERROR(__xludf.DUMMYFUNCTION("""COMPUTED_VALUE"""),2846.0)</f>
        <v>2846</v>
      </c>
      <c r="G17199" s="4">
        <f>IFERROR(__xludf.DUMMYFUNCTION("""COMPUTED_VALUE"""),55.0)</f>
        <v>55</v>
      </c>
      <c r="H17199" s="4"/>
      <c r="I17199" s="4"/>
    </row>
    <row r="17200">
      <c r="A17200" s="4" t="str">
        <f>IFERROR(__xludf.DUMMYFUNCTION("""COMPUTED_VALUE"""),"cas_hmw")</f>
        <v>cas_hmw</v>
      </c>
      <c r="B17200" s="5">
        <f>IFERROR(__xludf.DUMMYFUNCTION("""COMPUTED_VALUE"""),44739.0)</f>
        <v>44739</v>
      </c>
      <c r="C17200" s="6">
        <f>IFERROR(__xludf.DUMMYFUNCTION("""COMPUTED_VALUE"""),0.6895601851865649)</f>
        <v>0.6895601852</v>
      </c>
      <c r="D17200" s="4">
        <f>IFERROR(__xludf.DUMMYFUNCTION("""COMPUTED_VALUE"""),12.975835)</f>
        <v>12.975835</v>
      </c>
      <c r="E17200" s="4">
        <f>IFERROR(__xludf.DUMMYFUNCTION("""COMPUTED_VALUE"""),80.15669)</f>
        <v>80.15669</v>
      </c>
      <c r="F17200" s="4">
        <f>IFERROR(__xludf.DUMMYFUNCTION("""COMPUTED_VALUE"""),5339.0)</f>
        <v>5339</v>
      </c>
      <c r="G17200" s="4">
        <f>IFERROR(__xludf.DUMMYFUNCTION("""COMPUTED_VALUE"""),43.0)</f>
        <v>43</v>
      </c>
      <c r="H17200" s="4"/>
      <c r="I17200" s="4"/>
    </row>
    <row r="17201">
      <c r="A17201" s="4" t="str">
        <f>IFERROR(__xludf.DUMMYFUNCTION("""COMPUTED_VALUE"""),"cas_hmw")</f>
        <v>cas_hmw</v>
      </c>
      <c r="B17201" s="5">
        <f>IFERROR(__xludf.DUMMYFUNCTION("""COMPUTED_VALUE"""),44739.0)</f>
        <v>44739</v>
      </c>
      <c r="C17201" s="6">
        <f>IFERROR(__xludf.DUMMYFUNCTION("""COMPUTED_VALUE"""),0.6896527777789743)</f>
        <v>0.6896527778</v>
      </c>
      <c r="D17201" s="4">
        <f>IFERROR(__xludf.DUMMYFUNCTION("""COMPUTED_VALUE"""),12.975902)</f>
        <v>12.975902</v>
      </c>
      <c r="E17201" s="4">
        <f>IFERROR(__xludf.DUMMYFUNCTION("""COMPUTED_VALUE"""),80.156844)</f>
        <v>80.156844</v>
      </c>
      <c r="F17201" s="4">
        <f>IFERROR(__xludf.DUMMYFUNCTION("""COMPUTED_VALUE"""),805.0)</f>
        <v>805</v>
      </c>
      <c r="G17201" s="4">
        <f>IFERROR(__xludf.DUMMYFUNCTION("""COMPUTED_VALUE"""),44.0)</f>
        <v>44</v>
      </c>
      <c r="H17201" s="4"/>
      <c r="I17201" s="4"/>
    </row>
    <row r="17202">
      <c r="A17202" s="4" t="str">
        <f>IFERROR(__xludf.DUMMYFUNCTION("""COMPUTED_VALUE"""),"cas_hmw")</f>
        <v>cas_hmw</v>
      </c>
      <c r="B17202" s="5">
        <f>IFERROR(__xludf.DUMMYFUNCTION("""COMPUTED_VALUE"""),44739.0)</f>
        <v>44739</v>
      </c>
      <c r="C17202" s="6">
        <f>IFERROR(__xludf.DUMMYFUNCTION("""COMPUTED_VALUE"""),0.689768518517667)</f>
        <v>0.6897685185</v>
      </c>
      <c r="D17202" s="4">
        <f>IFERROR(__xludf.DUMMYFUNCTION("""COMPUTED_VALUE"""),12.975902)</f>
        <v>12.975902</v>
      </c>
      <c r="E17202" s="4">
        <f>IFERROR(__xludf.DUMMYFUNCTION("""COMPUTED_VALUE"""),80.156844)</f>
        <v>80.156844</v>
      </c>
      <c r="F17202" s="4">
        <f>IFERROR(__xludf.DUMMYFUNCTION("""COMPUTED_VALUE"""),805.0)</f>
        <v>805</v>
      </c>
      <c r="G17202" s="4">
        <f>IFERROR(__xludf.DUMMYFUNCTION("""COMPUTED_VALUE"""),44.0)</f>
        <v>44</v>
      </c>
      <c r="H17202" s="4"/>
      <c r="I17202" s="4"/>
    </row>
    <row r="17203">
      <c r="A17203" s="4" t="str">
        <f>IFERROR(__xludf.DUMMYFUNCTION("""COMPUTED_VALUE"""),"cas_hmw")</f>
        <v>cas_hmw</v>
      </c>
      <c r="B17203" s="5">
        <f>IFERROR(__xludf.DUMMYFUNCTION("""COMPUTED_VALUE"""),44739.0)</f>
        <v>44739</v>
      </c>
      <c r="C17203" s="6">
        <f>IFERROR(__xludf.DUMMYFUNCTION("""COMPUTED_VALUE"""),0.6904166666681704)</f>
        <v>0.6904166667</v>
      </c>
      <c r="D17203" s="4">
        <f>IFERROR(__xludf.DUMMYFUNCTION("""COMPUTED_VALUE"""),12.977934)</f>
        <v>12.977934</v>
      </c>
      <c r="E17203" s="4">
        <f>IFERROR(__xludf.DUMMYFUNCTION("""COMPUTED_VALUE"""),80.159822)</f>
        <v>80.159822</v>
      </c>
      <c r="F17203" s="4">
        <f>IFERROR(__xludf.DUMMYFUNCTION("""COMPUTED_VALUE"""),805.0)</f>
        <v>805</v>
      </c>
      <c r="G17203" s="4">
        <f>IFERROR(__xludf.DUMMYFUNCTION("""COMPUTED_VALUE"""),55.0)</f>
        <v>55</v>
      </c>
      <c r="H17203" s="4"/>
      <c r="I17203" s="4"/>
    </row>
    <row r="17204">
      <c r="A17204" s="4" t="str">
        <f>IFERROR(__xludf.DUMMYFUNCTION("""COMPUTED_VALUE"""),"cas_hmw")</f>
        <v>cas_hmw</v>
      </c>
      <c r="B17204" s="5">
        <f>IFERROR(__xludf.DUMMYFUNCTION("""COMPUTED_VALUE"""),44739.0)</f>
        <v>44739</v>
      </c>
      <c r="C17204" s="6">
        <f>IFERROR(__xludf.DUMMYFUNCTION("""COMPUTED_VALUE"""),0.6905208333337214)</f>
        <v>0.6905208333</v>
      </c>
      <c r="D17204" s="4">
        <f>IFERROR(__xludf.DUMMYFUNCTION("""COMPUTED_VALUE"""),12.978958)</f>
        <v>12.978958</v>
      </c>
      <c r="E17204" s="4">
        <f>IFERROR(__xludf.DUMMYFUNCTION("""COMPUTED_VALUE"""),80.161272)</f>
        <v>80.161272</v>
      </c>
      <c r="F17204" s="4">
        <f>IFERROR(__xludf.DUMMYFUNCTION("""COMPUTED_VALUE"""),805.0)</f>
        <v>805</v>
      </c>
      <c r="G17204" s="4">
        <f>IFERROR(__xludf.DUMMYFUNCTION("""COMPUTED_VALUE"""),44.0)</f>
        <v>44</v>
      </c>
      <c r="H17204" s="4"/>
      <c r="I17204" s="4"/>
    </row>
    <row r="17205">
      <c r="A17205" s="4" t="str">
        <f>IFERROR(__xludf.DUMMYFUNCTION("""COMPUTED_VALUE"""),"cas_hmw")</f>
        <v>cas_hmw</v>
      </c>
      <c r="B17205" s="5">
        <f>IFERROR(__xludf.DUMMYFUNCTION("""COMPUTED_VALUE"""),44739.0)</f>
        <v>44739</v>
      </c>
      <c r="C17205" s="6">
        <f>IFERROR(__xludf.DUMMYFUNCTION("""COMPUTED_VALUE"""),0.6905555555567844)</f>
        <v>0.6905555556</v>
      </c>
      <c r="D17205" s="4">
        <f>IFERROR(__xludf.DUMMYFUNCTION("""COMPUTED_VALUE"""),12.980554)</f>
        <v>12.980554</v>
      </c>
      <c r="E17205" s="4">
        <f>IFERROR(__xludf.DUMMYFUNCTION("""COMPUTED_VALUE"""),80.164925)</f>
        <v>80.164925</v>
      </c>
      <c r="F17205" s="4">
        <f>IFERROR(__xludf.DUMMYFUNCTION("""COMPUTED_VALUE"""),5339.0)</f>
        <v>5339</v>
      </c>
      <c r="G17205" s="4">
        <f>IFERROR(__xludf.DUMMYFUNCTION("""COMPUTED_VALUE"""),59.0)</f>
        <v>59</v>
      </c>
      <c r="H17205" s="4"/>
      <c r="I17205" s="4"/>
    </row>
    <row r="17206">
      <c r="A17206" s="4" t="str">
        <f>IFERROR(__xludf.DUMMYFUNCTION("""COMPUTED_VALUE"""),"cas_hmw")</f>
        <v>cas_hmw</v>
      </c>
      <c r="B17206" s="5">
        <f>IFERROR(__xludf.DUMMYFUNCTION("""COMPUTED_VALUE"""),44739.0)</f>
        <v>44739</v>
      </c>
      <c r="C17206" s="6">
        <f>IFERROR(__xludf.DUMMYFUNCTION("""COMPUTED_VALUE"""),0.6905555555567844)</f>
        <v>0.6905555556</v>
      </c>
      <c r="D17206" s="4">
        <f>IFERROR(__xludf.DUMMYFUNCTION("""COMPUTED_VALUE"""),12.744255)</f>
        <v>12.744255</v>
      </c>
      <c r="E17206" s="4">
        <f>IFERROR(__xludf.DUMMYFUNCTION("""COMPUTED_VALUE"""),79.993391)</f>
        <v>79.993391</v>
      </c>
      <c r="F17206" s="4">
        <f>IFERROR(__xludf.DUMMYFUNCTION("""COMPUTED_VALUE"""),2846.0)</f>
        <v>2846</v>
      </c>
      <c r="G17206" s="4">
        <f>IFERROR(__xludf.DUMMYFUNCTION("""COMPUTED_VALUE"""),46.0)</f>
        <v>46</v>
      </c>
      <c r="H17206" s="4"/>
      <c r="I17206" s="4"/>
    </row>
    <row r="17207">
      <c r="A17207" s="4" t="str">
        <f>IFERROR(__xludf.DUMMYFUNCTION("""COMPUTED_VALUE"""),"cas_hmw")</f>
        <v>cas_hmw</v>
      </c>
      <c r="B17207" s="5">
        <f>IFERROR(__xludf.DUMMYFUNCTION("""COMPUTED_VALUE"""),44739.0)</f>
        <v>44739</v>
      </c>
      <c r="C17207" s="6">
        <f>IFERROR(__xludf.DUMMYFUNCTION("""COMPUTED_VALUE"""),0.6908796296302171)</f>
        <v>0.6908796296</v>
      </c>
      <c r="D17207" s="4">
        <f>IFERROR(__xludf.DUMMYFUNCTION("""COMPUTED_VALUE"""),12.9826)</f>
        <v>12.9826</v>
      </c>
      <c r="E17207" s="4">
        <f>IFERROR(__xludf.DUMMYFUNCTION("""COMPUTED_VALUE"""),80.168507)</f>
        <v>80.168507</v>
      </c>
      <c r="F17207" s="4">
        <f>IFERROR(__xludf.DUMMYFUNCTION("""COMPUTED_VALUE"""),805.0)</f>
        <v>805</v>
      </c>
      <c r="G17207" s="4">
        <f>IFERROR(__xludf.DUMMYFUNCTION("""COMPUTED_VALUE"""),50.0)</f>
        <v>50</v>
      </c>
      <c r="H17207" s="4"/>
      <c r="I17207" s="4"/>
    </row>
    <row r="17208">
      <c r="A17208" s="4" t="str">
        <f>IFERROR(__xludf.DUMMYFUNCTION("""COMPUTED_VALUE"""),"cas_hmw")</f>
        <v>cas_hmw</v>
      </c>
      <c r="B17208" s="5">
        <f>IFERROR(__xludf.DUMMYFUNCTION("""COMPUTED_VALUE"""),44739.0)</f>
        <v>44739</v>
      </c>
      <c r="C17208" s="6">
        <f>IFERROR(__xludf.DUMMYFUNCTION("""COMPUTED_VALUE"""),0.6909143518532801)</f>
        <v>0.6909143519</v>
      </c>
      <c r="D17208" s="4">
        <f>IFERROR(__xludf.DUMMYFUNCTION("""COMPUTED_VALUE"""),12.9826)</f>
        <v>12.9826</v>
      </c>
      <c r="E17208" s="4">
        <f>IFERROR(__xludf.DUMMYFUNCTION("""COMPUTED_VALUE"""),80.168507)</f>
        <v>80.168507</v>
      </c>
      <c r="F17208" s="4">
        <f>IFERROR(__xludf.DUMMYFUNCTION("""COMPUTED_VALUE"""),805.0)</f>
        <v>805</v>
      </c>
      <c r="G17208" s="4">
        <f>IFERROR(__xludf.DUMMYFUNCTION("""COMPUTED_VALUE"""),50.0)</f>
        <v>50</v>
      </c>
      <c r="H17208" s="4"/>
      <c r="I17208" s="4"/>
    </row>
    <row r="17209">
      <c r="A17209" s="4" t="str">
        <f>IFERROR(__xludf.DUMMYFUNCTION("""COMPUTED_VALUE"""),"cas_hmw")</f>
        <v>cas_hmw</v>
      </c>
      <c r="B17209" s="5">
        <f>IFERROR(__xludf.DUMMYFUNCTION("""COMPUTED_VALUE"""),44739.0)</f>
        <v>44739</v>
      </c>
      <c r="C17209" s="6">
        <f>IFERROR(__xludf.DUMMYFUNCTION("""COMPUTED_VALUE"""),0.6911574074074451)</f>
        <v>0.6911574074</v>
      </c>
      <c r="D17209" s="4">
        <f>IFERROR(__xludf.DUMMYFUNCTION("""COMPUTED_VALUE"""),12.984979)</f>
        <v>12.984979</v>
      </c>
      <c r="E17209" s="4">
        <f>IFERROR(__xludf.DUMMYFUNCTION("""COMPUTED_VALUE"""),80.172488)</f>
        <v>80.172488</v>
      </c>
      <c r="F17209" s="4">
        <f>IFERROR(__xludf.DUMMYFUNCTION("""COMPUTED_VALUE"""),5339.0)</f>
        <v>5339</v>
      </c>
      <c r="G17209" s="4">
        <f>IFERROR(__xludf.DUMMYFUNCTION("""COMPUTED_VALUE"""),36.0)</f>
        <v>36</v>
      </c>
      <c r="H17209" s="4"/>
      <c r="I17209" s="4"/>
    </row>
    <row r="17210">
      <c r="A17210" s="4" t="str">
        <f>IFERROR(__xludf.DUMMYFUNCTION("""COMPUTED_VALUE"""),"cas_hmw")</f>
        <v>cas_hmw</v>
      </c>
      <c r="B17210" s="5">
        <f>IFERROR(__xludf.DUMMYFUNCTION("""COMPUTED_VALUE"""),44739.0)</f>
        <v>44739</v>
      </c>
      <c r="C17210" s="6">
        <f>IFERROR(__xludf.DUMMYFUNCTION("""COMPUTED_VALUE"""),0.6912499999998545)</f>
        <v>0.69125</v>
      </c>
      <c r="D17210" s="4">
        <f>IFERROR(__xludf.DUMMYFUNCTION("""COMPUTED_VALUE"""),12.984979)</f>
        <v>12.984979</v>
      </c>
      <c r="E17210" s="4">
        <f>IFERROR(__xludf.DUMMYFUNCTION("""COMPUTED_VALUE"""),80.172488)</f>
        <v>80.172488</v>
      </c>
      <c r="F17210" s="4">
        <f>IFERROR(__xludf.DUMMYFUNCTION("""COMPUTED_VALUE"""),5339.0)</f>
        <v>5339</v>
      </c>
      <c r="G17210" s="4">
        <f>IFERROR(__xludf.DUMMYFUNCTION("""COMPUTED_VALUE"""),36.0)</f>
        <v>36</v>
      </c>
      <c r="H17210" s="4"/>
      <c r="I17210" s="4"/>
    </row>
    <row r="17211">
      <c r="A17211" s="4" t="str">
        <f>IFERROR(__xludf.DUMMYFUNCTION("""COMPUTED_VALUE"""),"cas_hmw")</f>
        <v>cas_hmw</v>
      </c>
      <c r="B17211" s="5">
        <f>IFERROR(__xludf.DUMMYFUNCTION("""COMPUTED_VALUE"""),44739.0)</f>
        <v>44739</v>
      </c>
      <c r="C17211" s="6">
        <f>IFERROR(__xludf.DUMMYFUNCTION("""COMPUTED_VALUE"""),0.6912499999998545)</f>
        <v>0.69125</v>
      </c>
      <c r="D17211" s="4">
        <f>IFERROR(__xludf.DUMMYFUNCTION("""COMPUTED_VALUE"""),12.984979)</f>
        <v>12.984979</v>
      </c>
      <c r="E17211" s="4">
        <f>IFERROR(__xludf.DUMMYFUNCTION("""COMPUTED_VALUE"""),80.172488)</f>
        <v>80.172488</v>
      </c>
      <c r="F17211" s="4">
        <f>IFERROR(__xludf.DUMMYFUNCTION("""COMPUTED_VALUE"""),5339.0)</f>
        <v>5339</v>
      </c>
      <c r="G17211" s="4">
        <f>IFERROR(__xludf.DUMMYFUNCTION("""COMPUTED_VALUE"""),36.0)</f>
        <v>36</v>
      </c>
      <c r="H17211" s="4"/>
      <c r="I17211" s="4"/>
    </row>
    <row r="17212">
      <c r="A17212" s="4" t="str">
        <f>IFERROR(__xludf.DUMMYFUNCTION("""COMPUTED_VALUE"""),"cas_hmw")</f>
        <v>cas_hmw</v>
      </c>
      <c r="B17212" s="5">
        <f>IFERROR(__xludf.DUMMYFUNCTION("""COMPUTED_VALUE"""),44739.0)</f>
        <v>44739</v>
      </c>
      <c r="C17212" s="6">
        <f>IFERROR(__xludf.DUMMYFUNCTION("""COMPUTED_VALUE"""),0.6914930555540195)</f>
        <v>0.6914930556</v>
      </c>
      <c r="D17212" s="4">
        <f>IFERROR(__xludf.DUMMYFUNCTION("""COMPUTED_VALUE"""),12.98567)</f>
        <v>12.98567</v>
      </c>
      <c r="E17212" s="4">
        <f>IFERROR(__xludf.DUMMYFUNCTION("""COMPUTED_VALUE"""),80.173443)</f>
        <v>80.173443</v>
      </c>
      <c r="F17212" s="4">
        <f>IFERROR(__xludf.DUMMYFUNCTION("""COMPUTED_VALUE"""),5339.0)</f>
        <v>5339</v>
      </c>
      <c r="G17212" s="4">
        <f>IFERROR(__xludf.DUMMYFUNCTION("""COMPUTED_VALUE"""),18.0)</f>
        <v>18</v>
      </c>
      <c r="H17212" s="4"/>
      <c r="I17212" s="4"/>
    </row>
    <row r="17213">
      <c r="A17213" s="4" t="str">
        <f>IFERROR(__xludf.DUMMYFUNCTION("""COMPUTED_VALUE"""),"cas_hmw")</f>
        <v>cas_hmw</v>
      </c>
      <c r="B17213" s="5">
        <f>IFERROR(__xludf.DUMMYFUNCTION("""COMPUTED_VALUE"""),44739.0)</f>
        <v>44739</v>
      </c>
      <c r="C17213" s="6">
        <f>IFERROR(__xludf.DUMMYFUNCTION("""COMPUTED_VALUE"""),0.6917939814811689)</f>
        <v>0.6917939815</v>
      </c>
      <c r="D17213" s="4">
        <f>IFERROR(__xludf.DUMMYFUNCTION("""COMPUTED_VALUE"""),12.986722)</f>
        <v>12.986722</v>
      </c>
      <c r="E17213" s="4">
        <f>IFERROR(__xludf.DUMMYFUNCTION("""COMPUTED_VALUE"""),80.175028)</f>
        <v>80.175028</v>
      </c>
      <c r="F17213" s="4">
        <f>IFERROR(__xludf.DUMMYFUNCTION("""COMPUTED_VALUE"""),5339.0)</f>
        <v>5339</v>
      </c>
      <c r="G17213" s="4">
        <f>IFERROR(__xludf.DUMMYFUNCTION("""COMPUTED_VALUE"""),28.0)</f>
        <v>28</v>
      </c>
      <c r="H17213" s="4"/>
      <c r="I17213" s="4"/>
    </row>
    <row r="17214">
      <c r="A17214" s="4" t="str">
        <f>IFERROR(__xludf.DUMMYFUNCTION("""COMPUTED_VALUE"""),"cas_hmw")</f>
        <v>cas_hmw</v>
      </c>
      <c r="B17214" s="5">
        <f>IFERROR(__xludf.DUMMYFUNCTION("""COMPUTED_VALUE"""),44739.0)</f>
        <v>44739</v>
      </c>
      <c r="C17214" s="6">
        <f>IFERROR(__xludf.DUMMYFUNCTION("""COMPUTED_VALUE"""),0.6919560185197042)</f>
        <v>0.6919560185</v>
      </c>
      <c r="D17214" s="4">
        <f>IFERROR(__xludf.DUMMYFUNCTION("""COMPUTED_VALUE"""),12.987186)</f>
        <v>12.987186</v>
      </c>
      <c r="E17214" s="4">
        <f>IFERROR(__xludf.DUMMYFUNCTION("""COMPUTED_VALUE"""),80.175694)</f>
        <v>80.175694</v>
      </c>
      <c r="F17214" s="4">
        <f>IFERROR(__xludf.DUMMYFUNCTION("""COMPUTED_VALUE"""),805.0)</f>
        <v>805</v>
      </c>
      <c r="G17214" s="4">
        <f>IFERROR(__xludf.DUMMYFUNCTION("""COMPUTED_VALUE"""),15.0)</f>
        <v>15</v>
      </c>
      <c r="H17214" s="4"/>
      <c r="I17214" s="4"/>
    </row>
    <row r="17215">
      <c r="A17215" s="4" t="str">
        <f>IFERROR(__xludf.DUMMYFUNCTION("""COMPUTED_VALUE"""),"cas_hmw")</f>
        <v>cas_hmw</v>
      </c>
      <c r="B17215" s="5">
        <f>IFERROR(__xludf.DUMMYFUNCTION("""COMPUTED_VALUE"""),44739.0)</f>
        <v>44739</v>
      </c>
      <c r="C17215" s="6">
        <f>IFERROR(__xludf.DUMMYFUNCTION("""COMPUTED_VALUE"""),0.6920370370353339)</f>
        <v>0.692037037</v>
      </c>
      <c r="D17215" s="4">
        <f>IFERROR(__xludf.DUMMYFUNCTION("""COMPUTED_VALUE"""),12.734226)</f>
        <v>12.734226</v>
      </c>
      <c r="E17215" s="4">
        <f>IFERROR(__xludf.DUMMYFUNCTION("""COMPUTED_VALUE"""),79.985063)</f>
        <v>79.985063</v>
      </c>
      <c r="F17215" s="4">
        <f>IFERROR(__xludf.DUMMYFUNCTION("""COMPUTED_VALUE"""),2846.0)</f>
        <v>2846</v>
      </c>
      <c r="G17215" s="4">
        <f>IFERROR(__xludf.DUMMYFUNCTION("""COMPUTED_VALUE"""),40.0)</f>
        <v>40</v>
      </c>
      <c r="H17215" s="4"/>
      <c r="I17215" s="4"/>
    </row>
    <row r="17216">
      <c r="A17216" s="4" t="str">
        <f>IFERROR(__xludf.DUMMYFUNCTION("""COMPUTED_VALUE"""),"cas_hmw")</f>
        <v>cas_hmw</v>
      </c>
      <c r="B17216" s="5">
        <f>IFERROR(__xludf.DUMMYFUNCTION("""COMPUTED_VALUE"""),44739.0)</f>
        <v>44739</v>
      </c>
      <c r="C17216" s="6">
        <f>IFERROR(__xludf.DUMMYFUNCTION("""COMPUTED_VALUE"""),0.6921990740738693)</f>
        <v>0.6921990741</v>
      </c>
      <c r="D17216" s="4">
        <f>IFERROR(__xludf.DUMMYFUNCTION("""COMPUTED_VALUE"""),12.987568)</f>
        <v>12.987568</v>
      </c>
      <c r="E17216" s="4">
        <f>IFERROR(__xludf.DUMMYFUNCTION("""COMPUTED_VALUE"""),80.176235)</f>
        <v>80.176235</v>
      </c>
      <c r="F17216" s="4">
        <f>IFERROR(__xludf.DUMMYFUNCTION("""COMPUTED_VALUE"""),805.0)</f>
        <v>805</v>
      </c>
      <c r="G17216" s="4">
        <f>IFERROR(__xludf.DUMMYFUNCTION("""COMPUTED_VALUE"""),31.0)</f>
        <v>31</v>
      </c>
      <c r="H17216" s="4"/>
      <c r="I17216" s="4"/>
    </row>
    <row r="17217">
      <c r="A17217" s="4" t="str">
        <f>IFERROR(__xludf.DUMMYFUNCTION("""COMPUTED_VALUE"""),"cas_hmw")</f>
        <v>cas_hmw</v>
      </c>
      <c r="B17217" s="5">
        <f>IFERROR(__xludf.DUMMYFUNCTION("""COMPUTED_VALUE"""),44739.0)</f>
        <v>44739</v>
      </c>
      <c r="C17217" s="6">
        <f>IFERROR(__xludf.DUMMYFUNCTION("""COMPUTED_VALUE"""),0.6922106481470109)</f>
        <v>0.6922106481</v>
      </c>
      <c r="D17217" s="4">
        <f>IFERROR(__xludf.DUMMYFUNCTION("""COMPUTED_VALUE"""),12.987568)</f>
        <v>12.987568</v>
      </c>
      <c r="E17217" s="4">
        <f>IFERROR(__xludf.DUMMYFUNCTION("""COMPUTED_VALUE"""),80.176235)</f>
        <v>80.176235</v>
      </c>
      <c r="F17217" s="4">
        <f>IFERROR(__xludf.DUMMYFUNCTION("""COMPUTED_VALUE"""),805.0)</f>
        <v>805</v>
      </c>
      <c r="G17217" s="4">
        <f>IFERROR(__xludf.DUMMYFUNCTION("""COMPUTED_VALUE"""),31.0)</f>
        <v>31</v>
      </c>
      <c r="H17217" s="4"/>
      <c r="I17217" s="4"/>
    </row>
    <row r="17218">
      <c r="A17218" s="4" t="str">
        <f>IFERROR(__xludf.DUMMYFUNCTION("""COMPUTED_VALUE"""),"cas_hmw")</f>
        <v>cas_hmw</v>
      </c>
      <c r="B17218" s="5">
        <f>IFERROR(__xludf.DUMMYFUNCTION("""COMPUTED_VALUE"""),44739.0)</f>
        <v>44739</v>
      </c>
      <c r="C17218" s="6">
        <f>IFERROR(__xludf.DUMMYFUNCTION("""COMPUTED_VALUE"""),0.6922569444432156)</f>
        <v>0.6922569444</v>
      </c>
      <c r="D17218" s="4">
        <f>IFERROR(__xludf.DUMMYFUNCTION("""COMPUTED_VALUE"""),12.988118)</f>
        <v>12.988118</v>
      </c>
      <c r="E17218" s="4">
        <f>IFERROR(__xludf.DUMMYFUNCTION("""COMPUTED_VALUE"""),80.177019)</f>
        <v>80.177019</v>
      </c>
      <c r="F17218" s="4">
        <f>IFERROR(__xludf.DUMMYFUNCTION("""COMPUTED_VALUE"""),5339.0)</f>
        <v>5339</v>
      </c>
      <c r="G17218" s="4">
        <f>IFERROR(__xludf.DUMMYFUNCTION("""COMPUTED_VALUE"""),38.0)</f>
        <v>38</v>
      </c>
      <c r="H17218" s="4"/>
      <c r="I17218" s="4"/>
    </row>
    <row r="17219">
      <c r="A17219" s="4" t="str">
        <f>IFERROR(__xludf.DUMMYFUNCTION("""COMPUTED_VALUE"""),"cas_hmw")</f>
        <v>cas_hmw</v>
      </c>
      <c r="B17219" s="5">
        <f>IFERROR(__xludf.DUMMYFUNCTION("""COMPUTED_VALUE"""),44739.0)</f>
        <v>44739</v>
      </c>
      <c r="C17219" s="6">
        <f>IFERROR(__xludf.DUMMYFUNCTION("""COMPUTED_VALUE"""),0.69280092592453)</f>
        <v>0.6928009259</v>
      </c>
      <c r="D17219" s="4">
        <f>IFERROR(__xludf.DUMMYFUNCTION("""COMPUTED_VALUE"""),12.726888)</f>
        <v>12.726888</v>
      </c>
      <c r="E17219" s="4">
        <f>IFERROR(__xludf.DUMMYFUNCTION("""COMPUTED_VALUE"""),79.982616)</f>
        <v>79.982616</v>
      </c>
      <c r="F17219" s="4">
        <f>IFERROR(__xludf.DUMMYFUNCTION("""COMPUTED_VALUE"""),2846.0)</f>
        <v>2846</v>
      </c>
      <c r="G17219" s="4">
        <f>IFERROR(__xludf.DUMMYFUNCTION("""COMPUTED_VALUE"""),53.0)</f>
        <v>53</v>
      </c>
      <c r="H17219" s="4"/>
      <c r="I17219" s="4"/>
    </row>
    <row r="17220">
      <c r="A17220" s="4" t="str">
        <f>IFERROR(__xludf.DUMMYFUNCTION("""COMPUTED_VALUE"""),"cas_hmw")</f>
        <v>cas_hmw</v>
      </c>
      <c r="B17220" s="5">
        <f>IFERROR(__xludf.DUMMYFUNCTION("""COMPUTED_VALUE"""),44739.0)</f>
        <v>44739</v>
      </c>
      <c r="C17220" s="6">
        <f>IFERROR(__xludf.DUMMYFUNCTION("""COMPUTED_VALUE"""),0.6935300925943011)</f>
        <v>0.6935300926</v>
      </c>
      <c r="D17220" s="4">
        <f>IFERROR(__xludf.DUMMYFUNCTION("""COMPUTED_VALUE"""),12.993241)</f>
        <v>12.993241</v>
      </c>
      <c r="E17220" s="4">
        <f>IFERROR(__xludf.DUMMYFUNCTION("""COMPUTED_VALUE"""),80.18405)</f>
        <v>80.18405</v>
      </c>
      <c r="F17220" s="4">
        <f>IFERROR(__xludf.DUMMYFUNCTION("""COMPUTED_VALUE"""),805.0)</f>
        <v>805</v>
      </c>
      <c r="G17220" s="4">
        <f>IFERROR(__xludf.DUMMYFUNCTION("""COMPUTED_VALUE"""),12.0)</f>
        <v>12</v>
      </c>
      <c r="H17220" s="4"/>
      <c r="I17220" s="4"/>
    </row>
    <row r="17221">
      <c r="A17221" s="4" t="str">
        <f>IFERROR(__xludf.DUMMYFUNCTION("""COMPUTED_VALUE"""),"cas_hmw")</f>
        <v>cas_hmw</v>
      </c>
      <c r="B17221" s="5">
        <f>IFERROR(__xludf.DUMMYFUNCTION("""COMPUTED_VALUE"""),44739.0)</f>
        <v>44739</v>
      </c>
      <c r="C17221" s="6">
        <f>IFERROR(__xludf.DUMMYFUNCTION("""COMPUTED_VALUE"""),0.6935879629636474)</f>
        <v>0.693587963</v>
      </c>
      <c r="D17221" s="4">
        <f>IFERROR(__xludf.DUMMYFUNCTION("""COMPUTED_VALUE"""),12.993452)</f>
        <v>12.993452</v>
      </c>
      <c r="E17221" s="4">
        <f>IFERROR(__xludf.DUMMYFUNCTION("""COMPUTED_VALUE"""),80.184436)</f>
        <v>80.184436</v>
      </c>
      <c r="F17221" s="4">
        <f>IFERROR(__xludf.DUMMYFUNCTION("""COMPUTED_VALUE"""),805.0)</f>
        <v>805</v>
      </c>
      <c r="G17221" s="4">
        <f>IFERROR(__xludf.DUMMYFUNCTION("""COMPUTED_VALUE"""),0.0)</f>
        <v>0</v>
      </c>
      <c r="H17221" s="4"/>
      <c r="I17221" s="4"/>
    </row>
    <row r="17222">
      <c r="A17222" s="4" t="str">
        <f>IFERROR(__xludf.DUMMYFUNCTION("""COMPUTED_VALUE"""),"cas_hmw")</f>
        <v>cas_hmw</v>
      </c>
      <c r="B17222" s="5">
        <f>IFERROR(__xludf.DUMMYFUNCTION("""COMPUTED_VALUE"""),44739.0)</f>
        <v>44739</v>
      </c>
      <c r="C17222" s="6">
        <f>IFERROR(__xludf.DUMMYFUNCTION("""COMPUTED_VALUE"""),0.6935995370367891)</f>
        <v>0.693599537</v>
      </c>
      <c r="D17222" s="4">
        <f>IFERROR(__xludf.DUMMYFUNCTION("""COMPUTED_VALUE"""),12.993559)</f>
        <v>12.993559</v>
      </c>
      <c r="E17222" s="4">
        <f>IFERROR(__xludf.DUMMYFUNCTION("""COMPUTED_VALUE"""),80.184609)</f>
        <v>80.184609</v>
      </c>
      <c r="F17222" s="4">
        <f>IFERROR(__xludf.DUMMYFUNCTION("""COMPUTED_VALUE"""),5339.0)</f>
        <v>5339</v>
      </c>
      <c r="G17222" s="4">
        <f>IFERROR(__xludf.DUMMYFUNCTION("""COMPUTED_VALUE"""),7.0)</f>
        <v>7</v>
      </c>
      <c r="H17222" s="4"/>
      <c r="I17222" s="4"/>
    </row>
    <row r="17223">
      <c r="A17223" s="4" t="str">
        <f>IFERROR(__xludf.DUMMYFUNCTION("""COMPUTED_VALUE"""),"cas_hmw")</f>
        <v>cas_hmw</v>
      </c>
      <c r="B17223" s="5">
        <f>IFERROR(__xludf.DUMMYFUNCTION("""COMPUTED_VALUE"""),44739.0)</f>
        <v>44739</v>
      </c>
      <c r="C17223" s="6">
        <f>IFERROR(__xludf.DUMMYFUNCTION("""COMPUTED_VALUE"""),0.6939467592601432)</f>
        <v>0.6939467593</v>
      </c>
      <c r="D17223" s="4">
        <f>IFERROR(__xludf.DUMMYFUNCTION("""COMPUTED_VALUE"""),12.994101)</f>
        <v>12.994101</v>
      </c>
      <c r="E17223" s="4">
        <f>IFERROR(__xludf.DUMMYFUNCTION("""COMPUTED_VALUE"""),80.185625)</f>
        <v>80.185625</v>
      </c>
      <c r="F17223" s="4">
        <f>IFERROR(__xludf.DUMMYFUNCTION("""COMPUTED_VALUE"""),5339.0)</f>
        <v>5339</v>
      </c>
      <c r="G17223" s="4">
        <f>IFERROR(__xludf.DUMMYFUNCTION("""COMPUTED_VALUE"""),32.0)</f>
        <v>32</v>
      </c>
      <c r="H17223" s="4"/>
      <c r="I17223" s="4"/>
    </row>
    <row r="17224">
      <c r="A17224" s="4" t="str">
        <f>IFERROR(__xludf.DUMMYFUNCTION("""COMPUTED_VALUE"""),"cas_hmw")</f>
        <v>cas_hmw</v>
      </c>
      <c r="B17224" s="5">
        <f>IFERROR(__xludf.DUMMYFUNCTION("""COMPUTED_VALUE"""),44739.0)</f>
        <v>44739</v>
      </c>
      <c r="C17224" s="6">
        <f>IFERROR(__xludf.DUMMYFUNCTION("""COMPUTED_VALUE"""),0.6940162037026312)</f>
        <v>0.6940162037</v>
      </c>
      <c r="D17224" s="4">
        <f>IFERROR(__xludf.DUMMYFUNCTION("""COMPUTED_VALUE"""),12.994101)</f>
        <v>12.994101</v>
      </c>
      <c r="E17224" s="4">
        <f>IFERROR(__xludf.DUMMYFUNCTION("""COMPUTED_VALUE"""),80.185625)</f>
        <v>80.185625</v>
      </c>
      <c r="F17224" s="4">
        <f>IFERROR(__xludf.DUMMYFUNCTION("""COMPUTED_VALUE"""),5339.0)</f>
        <v>5339</v>
      </c>
      <c r="G17224" s="4">
        <f>IFERROR(__xludf.DUMMYFUNCTION("""COMPUTED_VALUE"""),32.0)</f>
        <v>32</v>
      </c>
      <c r="H17224" s="4"/>
      <c r="I17224" s="4"/>
    </row>
    <row r="17225">
      <c r="A17225" s="4" t="str">
        <f>IFERROR(__xludf.DUMMYFUNCTION("""COMPUTED_VALUE"""),"cas_hmw")</f>
        <v>cas_hmw</v>
      </c>
      <c r="B17225" s="5">
        <f>IFERROR(__xludf.DUMMYFUNCTION("""COMPUTED_VALUE"""),44739.0)</f>
        <v>44739</v>
      </c>
      <c r="C17225" s="6">
        <f>IFERROR(__xludf.DUMMYFUNCTION("""COMPUTED_VALUE"""),0.6941087962950405)</f>
        <v>0.6941087963</v>
      </c>
      <c r="D17225" s="4">
        <f>IFERROR(__xludf.DUMMYFUNCTION("""COMPUTED_VALUE"""),12.994409)</f>
        <v>12.994409</v>
      </c>
      <c r="E17225" s="4">
        <f>IFERROR(__xludf.DUMMYFUNCTION("""COMPUTED_VALUE"""),80.186211)</f>
        <v>80.186211</v>
      </c>
      <c r="F17225" s="4">
        <f>IFERROR(__xludf.DUMMYFUNCTION("""COMPUTED_VALUE"""),805.0)</f>
        <v>805</v>
      </c>
      <c r="G17225" s="4">
        <f>IFERROR(__xludf.DUMMYFUNCTION("""COMPUTED_VALUE"""),45.0)</f>
        <v>45</v>
      </c>
      <c r="H17225" s="4"/>
      <c r="I17225" s="4"/>
    </row>
    <row r="17226">
      <c r="A17226" s="4" t="str">
        <f>IFERROR(__xludf.DUMMYFUNCTION("""COMPUTED_VALUE"""),"cas_hmw")</f>
        <v>cas_hmw</v>
      </c>
      <c r="B17226" s="5">
        <f>IFERROR(__xludf.DUMMYFUNCTION("""COMPUTED_VALUE"""),44739.0)</f>
        <v>44739</v>
      </c>
      <c r="C17226" s="6">
        <f>IFERROR(__xludf.DUMMYFUNCTION("""COMPUTED_VALUE"""),0.6942013888874499)</f>
        <v>0.6942013889</v>
      </c>
      <c r="D17226" s="4">
        <f>IFERROR(__xludf.DUMMYFUNCTION("""COMPUTED_VALUE"""),12.994909)</f>
        <v>12.994909</v>
      </c>
      <c r="E17226" s="4">
        <f>IFERROR(__xludf.DUMMYFUNCTION("""COMPUTED_VALUE"""),80.187188)</f>
        <v>80.187188</v>
      </c>
      <c r="F17226" s="4">
        <f>IFERROR(__xludf.DUMMYFUNCTION("""COMPUTED_VALUE"""),5339.0)</f>
        <v>5339</v>
      </c>
      <c r="G17226" s="4">
        <f>IFERROR(__xludf.DUMMYFUNCTION("""COMPUTED_VALUE"""),50.0)</f>
        <v>50</v>
      </c>
      <c r="H17226" s="4"/>
      <c r="I17226" s="4"/>
    </row>
    <row r="17227">
      <c r="A17227" s="4" t="str">
        <f>IFERROR(__xludf.DUMMYFUNCTION("""COMPUTED_VALUE"""),"cas_hmw")</f>
        <v>cas_hmw</v>
      </c>
      <c r="B17227" s="5">
        <f>IFERROR(__xludf.DUMMYFUNCTION("""COMPUTED_VALUE"""),44739.0)</f>
        <v>44739</v>
      </c>
      <c r="C17227" s="6">
        <f>IFERROR(__xludf.DUMMYFUNCTION("""COMPUTED_VALUE"""),0.6943749999991269)</f>
        <v>0.694375</v>
      </c>
      <c r="D17227" s="4">
        <f>IFERROR(__xludf.DUMMYFUNCTION("""COMPUTED_VALUE"""),12.995261)</f>
        <v>12.995261</v>
      </c>
      <c r="E17227" s="4">
        <f>IFERROR(__xludf.DUMMYFUNCTION("""COMPUTED_VALUE"""),80.187911)</f>
        <v>80.187911</v>
      </c>
      <c r="F17227" s="4">
        <f>IFERROR(__xludf.DUMMYFUNCTION("""COMPUTED_VALUE"""),805.0)</f>
        <v>805</v>
      </c>
      <c r="G17227" s="4">
        <f>IFERROR(__xludf.DUMMYFUNCTION("""COMPUTED_VALUE"""),54.0)</f>
        <v>54</v>
      </c>
      <c r="H17227" s="4"/>
      <c r="I17227" s="4"/>
    </row>
    <row r="17228">
      <c r="A17228" s="4" t="str">
        <f>IFERROR(__xludf.DUMMYFUNCTION("""COMPUTED_VALUE"""),"cas_hmw")</f>
        <v>cas_hmw</v>
      </c>
      <c r="B17228" s="5">
        <f>IFERROR(__xludf.DUMMYFUNCTION("""COMPUTED_VALUE"""),44739.0)</f>
        <v>44739</v>
      </c>
      <c r="C17228" s="6">
        <f>IFERROR(__xludf.DUMMYFUNCTION("""COMPUTED_VALUE"""),0.6945486111108039)</f>
        <v>0.6945486111</v>
      </c>
      <c r="D17228" s="4">
        <f>IFERROR(__xludf.DUMMYFUNCTION("""COMPUTED_VALUE"""),12.996548)</f>
        <v>12.996548</v>
      </c>
      <c r="E17228" s="4">
        <f>IFERROR(__xludf.DUMMYFUNCTION("""COMPUTED_VALUE"""),80.18982)</f>
        <v>80.18982</v>
      </c>
      <c r="F17228" s="4">
        <f>IFERROR(__xludf.DUMMYFUNCTION("""COMPUTED_VALUE"""),805.0)</f>
        <v>805</v>
      </c>
      <c r="G17228" s="4">
        <f>IFERROR(__xludf.DUMMYFUNCTION("""COMPUTED_VALUE"""),48.0)</f>
        <v>48</v>
      </c>
      <c r="H17228" s="4"/>
      <c r="I17228" s="4"/>
    </row>
    <row r="17229">
      <c r="A17229" s="4" t="str">
        <f>IFERROR(__xludf.DUMMYFUNCTION("""COMPUTED_VALUE"""),"cas_hmw")</f>
        <v>cas_hmw</v>
      </c>
      <c r="B17229" s="5">
        <f>IFERROR(__xludf.DUMMYFUNCTION("""COMPUTED_VALUE"""),44739.0)</f>
        <v>44739</v>
      </c>
      <c r="C17229" s="6">
        <f>IFERROR(__xludf.DUMMYFUNCTION("""COMPUTED_VALUE"""),0.6947106481493392)</f>
        <v>0.6947106481</v>
      </c>
      <c r="D17229" s="4">
        <f>IFERROR(__xludf.DUMMYFUNCTION("""COMPUTED_VALUE"""),12.998116)</f>
        <v>12.998116</v>
      </c>
      <c r="E17229" s="4">
        <f>IFERROR(__xludf.DUMMYFUNCTION("""COMPUTED_VALUE"""),80.191718)</f>
        <v>80.191718</v>
      </c>
      <c r="F17229" s="4">
        <f>IFERROR(__xludf.DUMMYFUNCTION("""COMPUTED_VALUE"""),5339.0)</f>
        <v>5339</v>
      </c>
      <c r="G17229" s="4">
        <f>IFERROR(__xludf.DUMMYFUNCTION("""COMPUTED_VALUE"""),39.0)</f>
        <v>39</v>
      </c>
      <c r="H17229" s="4"/>
      <c r="I17229" s="4"/>
    </row>
    <row r="17230">
      <c r="A17230" s="4" t="str">
        <f>IFERROR(__xludf.DUMMYFUNCTION("""COMPUTED_VALUE"""),"cas_hmw")</f>
        <v>cas_hmw</v>
      </c>
      <c r="B17230" s="5">
        <f>IFERROR(__xludf.DUMMYFUNCTION("""COMPUTED_VALUE"""),44739.0)</f>
        <v>44739</v>
      </c>
      <c r="C17230" s="6">
        <f>IFERROR(__xludf.DUMMYFUNCTION("""COMPUTED_VALUE"""),0.6947453703687643)</f>
        <v>0.6947453704</v>
      </c>
      <c r="D17230" s="4">
        <f>IFERROR(__xludf.DUMMYFUNCTION("""COMPUTED_VALUE"""),12.997583)</f>
        <v>12.997583</v>
      </c>
      <c r="E17230" s="4">
        <f>IFERROR(__xludf.DUMMYFUNCTION("""COMPUTED_VALUE"""),80.191038)</f>
        <v>80.191038</v>
      </c>
      <c r="F17230" s="4">
        <f>IFERROR(__xludf.DUMMYFUNCTION("""COMPUTED_VALUE"""),805.0)</f>
        <v>805</v>
      </c>
      <c r="G17230" s="4">
        <f>IFERROR(__xludf.DUMMYFUNCTION("""COMPUTED_VALUE"""),33.0)</f>
        <v>33</v>
      </c>
      <c r="H17230" s="4"/>
      <c r="I17230" s="4"/>
    </row>
    <row r="17231">
      <c r="A17231" s="4" t="str">
        <f>IFERROR(__xludf.DUMMYFUNCTION("""COMPUTED_VALUE"""),"cas_hmw")</f>
        <v>cas_hmw</v>
      </c>
      <c r="B17231" s="5">
        <f>IFERROR(__xludf.DUMMYFUNCTION("""COMPUTED_VALUE"""),44739.0)</f>
        <v>44739</v>
      </c>
      <c r="C17231" s="6">
        <f>IFERROR(__xludf.DUMMYFUNCTION("""COMPUTED_VALUE"""),0.6947800925918273)</f>
        <v>0.6947800926</v>
      </c>
      <c r="D17231" s="4">
        <f>IFERROR(__xludf.DUMMYFUNCTION("""COMPUTED_VALUE"""),12.998116)</f>
        <v>12.998116</v>
      </c>
      <c r="E17231" s="4">
        <f>IFERROR(__xludf.DUMMYFUNCTION("""COMPUTED_VALUE"""),80.191718)</f>
        <v>80.191718</v>
      </c>
      <c r="F17231" s="4">
        <f>IFERROR(__xludf.DUMMYFUNCTION("""COMPUTED_VALUE"""),5339.0)</f>
        <v>5339</v>
      </c>
      <c r="G17231" s="4">
        <f>IFERROR(__xludf.DUMMYFUNCTION("""COMPUTED_VALUE"""),39.0)</f>
        <v>39</v>
      </c>
      <c r="H17231" s="4"/>
      <c r="I17231" s="4"/>
    </row>
    <row r="17232">
      <c r="A17232" s="4" t="str">
        <f>IFERROR(__xludf.DUMMYFUNCTION("""COMPUTED_VALUE"""),"cas_hmw")</f>
        <v>cas_hmw</v>
      </c>
      <c r="B17232" s="5">
        <f>IFERROR(__xludf.DUMMYFUNCTION("""COMPUTED_VALUE"""),44739.0)</f>
        <v>44739</v>
      </c>
      <c r="C17232" s="6">
        <f>IFERROR(__xludf.DUMMYFUNCTION("""COMPUTED_VALUE"""),0.6948726851842366)</f>
        <v>0.6948726852</v>
      </c>
      <c r="D17232" s="4">
        <f>IFERROR(__xludf.DUMMYFUNCTION("""COMPUTED_VALUE"""),12.998453)</f>
        <v>12.998453</v>
      </c>
      <c r="E17232" s="4">
        <f>IFERROR(__xludf.DUMMYFUNCTION("""COMPUTED_VALUE"""),80.192177)</f>
        <v>80.192177</v>
      </c>
      <c r="F17232" s="4">
        <f>IFERROR(__xludf.DUMMYFUNCTION("""COMPUTED_VALUE"""),805.0)</f>
        <v>805</v>
      </c>
      <c r="G17232" s="4">
        <f>IFERROR(__xludf.DUMMYFUNCTION("""COMPUTED_VALUE"""),33.0)</f>
        <v>33</v>
      </c>
      <c r="H17232" s="4"/>
      <c r="I17232" s="4"/>
    </row>
    <row r="17233">
      <c r="A17233" s="4" t="str">
        <f>IFERROR(__xludf.DUMMYFUNCTION("""COMPUTED_VALUE"""),"cas_hmw")</f>
        <v>cas_hmw</v>
      </c>
      <c r="B17233" s="5">
        <f>IFERROR(__xludf.DUMMYFUNCTION("""COMPUTED_VALUE"""),44739.0)</f>
        <v>44739</v>
      </c>
      <c r="C17233" s="6">
        <f>IFERROR(__xludf.DUMMYFUNCTION("""COMPUTED_VALUE"""),0.6950115740728506)</f>
        <v>0.6950115741</v>
      </c>
      <c r="D17233" s="4">
        <f>IFERROR(__xludf.DUMMYFUNCTION("""COMPUTED_VALUE"""),12.99906)</f>
        <v>12.99906</v>
      </c>
      <c r="E17233" s="4">
        <f>IFERROR(__xludf.DUMMYFUNCTION("""COMPUTED_VALUE"""),80.192904)</f>
        <v>80.192904</v>
      </c>
      <c r="F17233" s="4">
        <f>IFERROR(__xludf.DUMMYFUNCTION("""COMPUTED_VALUE"""),5339.0)</f>
        <v>5339</v>
      </c>
      <c r="G17233" s="4">
        <f>IFERROR(__xludf.DUMMYFUNCTION("""COMPUTED_VALUE"""),33.0)</f>
        <v>33</v>
      </c>
      <c r="H17233" s="4"/>
      <c r="I17233" s="4"/>
    </row>
    <row r="17234">
      <c r="A17234" s="4" t="str">
        <f>IFERROR(__xludf.DUMMYFUNCTION("""COMPUTED_VALUE"""),"cas_hmw")</f>
        <v>cas_hmw</v>
      </c>
      <c r="B17234" s="5">
        <f>IFERROR(__xludf.DUMMYFUNCTION("""COMPUTED_VALUE"""),44739.0)</f>
        <v>44739</v>
      </c>
      <c r="C17234" s="6">
        <f>IFERROR(__xludf.DUMMYFUNCTION("""COMPUTED_VALUE"""),0.6950115740728506)</f>
        <v>0.6950115741</v>
      </c>
      <c r="D17234" s="4">
        <f>IFERROR(__xludf.DUMMYFUNCTION("""COMPUTED_VALUE"""),12.99906)</f>
        <v>12.99906</v>
      </c>
      <c r="E17234" s="4">
        <f>IFERROR(__xludf.DUMMYFUNCTION("""COMPUTED_VALUE"""),80.192904)</f>
        <v>80.192904</v>
      </c>
      <c r="F17234" s="4">
        <f>IFERROR(__xludf.DUMMYFUNCTION("""COMPUTED_VALUE"""),5339.0)</f>
        <v>5339</v>
      </c>
      <c r="G17234" s="4">
        <f>IFERROR(__xludf.DUMMYFUNCTION("""COMPUTED_VALUE"""),33.0)</f>
        <v>33</v>
      </c>
      <c r="H17234" s="4"/>
      <c r="I17234" s="4"/>
    </row>
    <row r="17235">
      <c r="A17235" s="4" t="str">
        <f>IFERROR(__xludf.DUMMYFUNCTION("""COMPUTED_VALUE"""),"cas_hmw")</f>
        <v>cas_hmw</v>
      </c>
      <c r="B17235" s="5">
        <f>IFERROR(__xludf.DUMMYFUNCTION("""COMPUTED_VALUE"""),44739.0)</f>
        <v>44739</v>
      </c>
      <c r="C17235" s="6">
        <f>IFERROR(__xludf.DUMMYFUNCTION("""COMPUTED_VALUE"""),0.695173611111386)</f>
        <v>0.6951736111</v>
      </c>
      <c r="D17235" s="4">
        <f>IFERROR(__xludf.DUMMYFUNCTION("""COMPUTED_VALUE"""),13.000016)</f>
        <v>13.000016</v>
      </c>
      <c r="E17235" s="4">
        <f>IFERROR(__xludf.DUMMYFUNCTION("""COMPUTED_VALUE"""),80.194058)</f>
        <v>80.194058</v>
      </c>
      <c r="F17235" s="4">
        <f>IFERROR(__xludf.DUMMYFUNCTION("""COMPUTED_VALUE"""),5339.0)</f>
        <v>5339</v>
      </c>
      <c r="G17235" s="4">
        <f>IFERROR(__xludf.DUMMYFUNCTION("""COMPUTED_VALUE"""),40.0)</f>
        <v>40</v>
      </c>
      <c r="H17235" s="4"/>
      <c r="I17235" s="4"/>
    </row>
    <row r="17236">
      <c r="A17236" s="4" t="str">
        <f>IFERROR(__xludf.DUMMYFUNCTION("""COMPUTED_VALUE"""),"cas_hmw")</f>
        <v>cas_hmw</v>
      </c>
      <c r="B17236" s="5">
        <f>IFERROR(__xludf.DUMMYFUNCTION("""COMPUTED_VALUE"""),44739.0)</f>
        <v>44739</v>
      </c>
      <c r="C17236" s="6">
        <f>IFERROR(__xludf.DUMMYFUNCTION("""COMPUTED_VALUE"""),0.6953240740731417)</f>
        <v>0.6953240741</v>
      </c>
      <c r="D17236" s="4">
        <f>IFERROR(__xludf.DUMMYFUNCTION("""COMPUTED_VALUE"""),13.000261)</f>
        <v>13.000261</v>
      </c>
      <c r="E17236" s="4">
        <f>IFERROR(__xludf.DUMMYFUNCTION("""COMPUTED_VALUE"""),80.194408)</f>
        <v>80.194408</v>
      </c>
      <c r="F17236" s="4">
        <f>IFERROR(__xludf.DUMMYFUNCTION("""COMPUTED_VALUE"""),805.0)</f>
        <v>805</v>
      </c>
      <c r="G17236" s="4">
        <f>IFERROR(__xludf.DUMMYFUNCTION("""COMPUTED_VALUE"""),42.0)</f>
        <v>42</v>
      </c>
      <c r="H17236" s="4"/>
      <c r="I17236" s="4"/>
    </row>
    <row r="17237">
      <c r="A17237" s="4" t="str">
        <f>IFERROR(__xludf.DUMMYFUNCTION("""COMPUTED_VALUE"""),"cas_hmw")</f>
        <v>cas_hmw</v>
      </c>
      <c r="B17237" s="5">
        <f>IFERROR(__xludf.DUMMYFUNCTION("""COMPUTED_VALUE"""),44739.0)</f>
        <v>44739</v>
      </c>
      <c r="C17237" s="6">
        <f>IFERROR(__xludf.DUMMYFUNCTION("""COMPUTED_VALUE"""),0.6953935185192677)</f>
        <v>0.6953935185</v>
      </c>
      <c r="D17237" s="4">
        <f>IFERROR(__xludf.DUMMYFUNCTION("""COMPUTED_VALUE"""),13.001239)</f>
        <v>13.001239</v>
      </c>
      <c r="E17237" s="4">
        <f>IFERROR(__xludf.DUMMYFUNCTION("""COMPUTED_VALUE"""),80.195583)</f>
        <v>80.195583</v>
      </c>
      <c r="F17237" s="4">
        <f>IFERROR(__xludf.DUMMYFUNCTION("""COMPUTED_VALUE"""),805.0)</f>
        <v>805</v>
      </c>
      <c r="G17237" s="4">
        <f>IFERROR(__xludf.DUMMYFUNCTION("""COMPUTED_VALUE"""),26.0)</f>
        <v>26</v>
      </c>
      <c r="H17237" s="4"/>
      <c r="I17237" s="4"/>
    </row>
    <row r="17238">
      <c r="A17238" s="4" t="str">
        <f>IFERROR(__xludf.DUMMYFUNCTION("""COMPUTED_VALUE"""),"cas_hmw")</f>
        <v>cas_hmw</v>
      </c>
      <c r="B17238" s="5">
        <f>IFERROR(__xludf.DUMMYFUNCTION("""COMPUTED_VALUE"""),44739.0)</f>
        <v>44739</v>
      </c>
      <c r="C17238" s="6">
        <f>IFERROR(__xludf.DUMMYFUNCTION("""COMPUTED_VALUE"""),0.6955092592579604)</f>
        <v>0.6955092593</v>
      </c>
      <c r="D17238" s="4">
        <f>IFERROR(__xludf.DUMMYFUNCTION("""COMPUTED_VALUE"""),13.001239)</f>
        <v>13.001239</v>
      </c>
      <c r="E17238" s="4">
        <f>IFERROR(__xludf.DUMMYFUNCTION("""COMPUTED_VALUE"""),80.195583)</f>
        <v>80.195583</v>
      </c>
      <c r="F17238" s="4">
        <f>IFERROR(__xludf.DUMMYFUNCTION("""COMPUTED_VALUE"""),805.0)</f>
        <v>805</v>
      </c>
      <c r="G17238" s="4">
        <f>IFERROR(__xludf.DUMMYFUNCTION("""COMPUTED_VALUE"""),26.0)</f>
        <v>26</v>
      </c>
      <c r="H17238" s="4"/>
      <c r="I17238" s="4"/>
    </row>
    <row r="17239">
      <c r="A17239" s="4" t="str">
        <f>IFERROR(__xludf.DUMMYFUNCTION("""COMPUTED_VALUE"""),"cas_hmw")</f>
        <v>cas_hmw</v>
      </c>
      <c r="B17239" s="5">
        <f>IFERROR(__xludf.DUMMYFUNCTION("""COMPUTED_VALUE"""),44739.0)</f>
        <v>44739</v>
      </c>
      <c r="C17239" s="6">
        <f>IFERROR(__xludf.DUMMYFUNCTION("""COMPUTED_VALUE"""),0.6957870370388264)</f>
        <v>0.695787037</v>
      </c>
      <c r="D17239" s="4">
        <f>IFERROR(__xludf.DUMMYFUNCTION("""COMPUTED_VALUE"""),13.001975)</f>
        <v>13.001975</v>
      </c>
      <c r="E17239" s="4">
        <f>IFERROR(__xludf.DUMMYFUNCTION("""COMPUTED_VALUE"""),80.198262)</f>
        <v>80.198262</v>
      </c>
      <c r="F17239" s="4">
        <f>IFERROR(__xludf.DUMMYFUNCTION("""COMPUTED_VALUE"""),805.0)</f>
        <v>805</v>
      </c>
      <c r="G17239" s="4">
        <f>IFERROR(__xludf.DUMMYFUNCTION("""COMPUTED_VALUE"""),47.0)</f>
        <v>47</v>
      </c>
      <c r="H17239" s="4"/>
      <c r="I17239" s="4"/>
    </row>
    <row r="17240">
      <c r="A17240" s="4" t="str">
        <f>IFERROR(__xludf.DUMMYFUNCTION("""COMPUTED_VALUE"""),"cas_hmw")</f>
        <v>cas_hmw</v>
      </c>
      <c r="B17240" s="5">
        <f>IFERROR(__xludf.DUMMYFUNCTION("""COMPUTED_VALUE"""),44739.0)</f>
        <v>44739</v>
      </c>
      <c r="C17240" s="6">
        <f>IFERROR(__xludf.DUMMYFUNCTION("""COMPUTED_VALUE"""),0.6960648148160544)</f>
        <v>0.6960648148</v>
      </c>
      <c r="D17240" s="4">
        <f>IFERROR(__xludf.DUMMYFUNCTION("""COMPUTED_VALUE"""),13.00202)</f>
        <v>13.00202</v>
      </c>
      <c r="E17240" s="4">
        <f>IFERROR(__xludf.DUMMYFUNCTION("""COMPUTED_VALUE"""),80.200051)</f>
        <v>80.200051</v>
      </c>
      <c r="F17240" s="4">
        <f>IFERROR(__xludf.DUMMYFUNCTION("""COMPUTED_VALUE"""),805.0)</f>
        <v>805</v>
      </c>
      <c r="G17240" s="4">
        <f>IFERROR(__xludf.DUMMYFUNCTION("""COMPUTED_VALUE"""),42.0)</f>
        <v>42</v>
      </c>
      <c r="H17240" s="4"/>
      <c r="I17240" s="4"/>
    </row>
    <row r="17241">
      <c r="A17241" s="4" t="str">
        <f>IFERROR(__xludf.DUMMYFUNCTION("""COMPUTED_VALUE"""),"cas_hmw")</f>
        <v>cas_hmw</v>
      </c>
      <c r="B17241" s="5">
        <f>IFERROR(__xludf.DUMMYFUNCTION("""COMPUTED_VALUE"""),44739.0)</f>
        <v>44739</v>
      </c>
      <c r="C17241" s="6">
        <f>IFERROR(__xludf.DUMMYFUNCTION("""COMPUTED_VALUE"""),0.6960648148160544)</f>
        <v>0.6960648148</v>
      </c>
      <c r="D17241" s="4">
        <f>IFERROR(__xludf.DUMMYFUNCTION("""COMPUTED_VALUE"""),13.003831)</f>
        <v>13.003831</v>
      </c>
      <c r="E17241" s="4">
        <f>IFERROR(__xludf.DUMMYFUNCTION("""COMPUTED_VALUE"""),80.200906)</f>
        <v>80.200906</v>
      </c>
      <c r="F17241" s="4">
        <f>IFERROR(__xludf.DUMMYFUNCTION("""COMPUTED_VALUE"""),5339.0)</f>
        <v>5339</v>
      </c>
      <c r="G17241" s="4">
        <f>IFERROR(__xludf.DUMMYFUNCTION("""COMPUTED_VALUE"""),48.0)</f>
        <v>48</v>
      </c>
      <c r="H17241" s="4"/>
      <c r="I17241" s="4"/>
    </row>
    <row r="17242">
      <c r="A17242" s="4" t="str">
        <f>IFERROR(__xludf.DUMMYFUNCTION("""COMPUTED_VALUE"""),"cas_hmw")</f>
        <v>cas_hmw</v>
      </c>
      <c r="B17242" s="5">
        <f>IFERROR(__xludf.DUMMYFUNCTION("""COMPUTED_VALUE"""),44739.0)</f>
        <v>44739</v>
      </c>
      <c r="C17242" s="6">
        <f>IFERROR(__xludf.DUMMYFUNCTION("""COMPUTED_VALUE"""),0.6961574074084638)</f>
        <v>0.6961574074</v>
      </c>
      <c r="D17242" s="4">
        <f>IFERROR(__xludf.DUMMYFUNCTION("""COMPUTED_VALUE"""),13.003853)</f>
        <v>13.003853</v>
      </c>
      <c r="E17242" s="4">
        <f>IFERROR(__xludf.DUMMYFUNCTION("""COMPUTED_VALUE"""),80.200926)</f>
        <v>80.200926</v>
      </c>
      <c r="F17242" s="4">
        <f>IFERROR(__xludf.DUMMYFUNCTION("""COMPUTED_VALUE"""),805.0)</f>
        <v>805</v>
      </c>
      <c r="G17242" s="4">
        <f>IFERROR(__xludf.DUMMYFUNCTION("""COMPUTED_VALUE"""),47.0)</f>
        <v>47</v>
      </c>
      <c r="H17242" s="4"/>
      <c r="I17242" s="4"/>
    </row>
    <row r="17243">
      <c r="A17243" s="4" t="str">
        <f>IFERROR(__xludf.DUMMYFUNCTION("""COMPUTED_VALUE"""),"cas_hmw")</f>
        <v>cas_hmw</v>
      </c>
      <c r="B17243" s="5">
        <f>IFERROR(__xludf.DUMMYFUNCTION("""COMPUTED_VALUE"""),44739.0)</f>
        <v>44739</v>
      </c>
      <c r="C17243" s="6">
        <f>IFERROR(__xludf.DUMMYFUNCTION("""COMPUTED_VALUE"""),0.6964467592588335)</f>
        <v>0.6964467593</v>
      </c>
      <c r="D17243" s="4">
        <f>IFERROR(__xludf.DUMMYFUNCTION("""COMPUTED_VALUE"""),13.004967)</f>
        <v>13.004967</v>
      </c>
      <c r="E17243" s="4">
        <f>IFERROR(__xludf.DUMMYFUNCTION("""COMPUTED_VALUE"""),80.201294)</f>
        <v>80.201294</v>
      </c>
      <c r="F17243" s="4">
        <f>IFERROR(__xludf.DUMMYFUNCTION("""COMPUTED_VALUE"""),805.0)</f>
        <v>805</v>
      </c>
      <c r="G17243" s="4">
        <f>IFERROR(__xludf.DUMMYFUNCTION("""COMPUTED_VALUE"""),34.0)</f>
        <v>34</v>
      </c>
      <c r="H17243" s="4"/>
      <c r="I17243" s="4"/>
    </row>
    <row r="17244">
      <c r="A17244" s="4" t="str">
        <f>IFERROR(__xludf.DUMMYFUNCTION("""COMPUTED_VALUE"""),"cas_hmw")</f>
        <v>cas_hmw</v>
      </c>
      <c r="B17244" s="5">
        <f>IFERROR(__xludf.DUMMYFUNCTION("""COMPUTED_VALUE"""),44739.0)</f>
        <v>44739</v>
      </c>
      <c r="C17244" s="6">
        <f>IFERROR(__xludf.DUMMYFUNCTION("""COMPUTED_VALUE"""),0.6967245370360615)</f>
        <v>0.696724537</v>
      </c>
      <c r="D17244" s="4">
        <f>IFERROR(__xludf.DUMMYFUNCTION("""COMPUTED_VALUE"""),13.007278)</f>
        <v>13.007278</v>
      </c>
      <c r="E17244" s="4">
        <f>IFERROR(__xludf.DUMMYFUNCTION("""COMPUTED_VALUE"""),80.203613)</f>
        <v>80.203613</v>
      </c>
      <c r="F17244" s="4">
        <f>IFERROR(__xludf.DUMMYFUNCTION("""COMPUTED_VALUE"""),805.0)</f>
        <v>805</v>
      </c>
      <c r="G17244" s="4">
        <f>IFERROR(__xludf.DUMMYFUNCTION("""COMPUTED_VALUE"""),24.0)</f>
        <v>24</v>
      </c>
      <c r="H17244" s="4"/>
      <c r="I17244" s="4"/>
    </row>
    <row r="17245">
      <c r="A17245" s="4" t="str">
        <f>IFERROR(__xludf.DUMMYFUNCTION("""COMPUTED_VALUE"""),"cas_hmw")</f>
        <v>cas_hmw</v>
      </c>
      <c r="B17245" s="5">
        <f>IFERROR(__xludf.DUMMYFUNCTION("""COMPUTED_VALUE"""),44739.0)</f>
        <v>44739</v>
      </c>
      <c r="C17245" s="6">
        <f>IFERROR(__xludf.DUMMYFUNCTION("""COMPUTED_VALUE"""),0.6971296296287619)</f>
        <v>0.6971296296</v>
      </c>
      <c r="D17245" s="4">
        <f>IFERROR(__xludf.DUMMYFUNCTION("""COMPUTED_VALUE"""),13.007571)</f>
        <v>13.007571</v>
      </c>
      <c r="E17245" s="4">
        <f>IFERROR(__xludf.DUMMYFUNCTION("""COMPUTED_VALUE"""),80.203721)</f>
        <v>80.203721</v>
      </c>
      <c r="F17245" s="4">
        <f>IFERROR(__xludf.DUMMYFUNCTION("""COMPUTED_VALUE"""),5339.0)</f>
        <v>5339</v>
      </c>
      <c r="G17245" s="4">
        <f>IFERROR(__xludf.DUMMYFUNCTION("""COMPUTED_VALUE"""),44.0)</f>
        <v>44</v>
      </c>
      <c r="H17245" s="4"/>
      <c r="I17245" s="4"/>
    </row>
    <row r="17246">
      <c r="A17246" s="4" t="str">
        <f>IFERROR(__xludf.DUMMYFUNCTION("""COMPUTED_VALUE"""),"cas_hmw")</f>
        <v>cas_hmw</v>
      </c>
      <c r="B17246" s="5">
        <f>IFERROR(__xludf.DUMMYFUNCTION("""COMPUTED_VALUE"""),44739.0)</f>
        <v>44739</v>
      </c>
      <c r="C17246" s="6">
        <f>IFERROR(__xludf.DUMMYFUNCTION("""COMPUTED_VALUE"""),0.6972800925941556)</f>
        <v>0.6972800926</v>
      </c>
      <c r="D17246" s="4">
        <f>IFERROR(__xludf.DUMMYFUNCTION("""COMPUTED_VALUE"""),13.007664)</f>
        <v>13.007664</v>
      </c>
      <c r="E17246" s="4">
        <f>IFERROR(__xludf.DUMMYFUNCTION("""COMPUTED_VALUE"""),80.205877)</f>
        <v>80.205877</v>
      </c>
      <c r="F17246" s="4">
        <f>IFERROR(__xludf.DUMMYFUNCTION("""COMPUTED_VALUE"""),5339.0)</f>
        <v>5339</v>
      </c>
      <c r="G17246" s="4">
        <f>IFERROR(__xludf.DUMMYFUNCTION("""COMPUTED_VALUE"""),59.0)</f>
        <v>59</v>
      </c>
      <c r="H17246" s="4"/>
      <c r="I17246" s="4"/>
    </row>
    <row r="17247">
      <c r="A17247" s="4" t="str">
        <f>IFERROR(__xludf.DUMMYFUNCTION("""COMPUTED_VALUE"""),"cas_hmw")</f>
        <v>cas_hmw</v>
      </c>
      <c r="B17247" s="5">
        <f>IFERROR(__xludf.DUMMYFUNCTION("""COMPUTED_VALUE"""),44739.0)</f>
        <v>44739</v>
      </c>
      <c r="C17247" s="6">
        <f>IFERROR(__xludf.DUMMYFUNCTION("""COMPUTED_VALUE"""),0.6974421296290529)</f>
        <v>0.6974421296</v>
      </c>
      <c r="D17247" s="4">
        <f>IFERROR(__xludf.DUMMYFUNCTION("""COMPUTED_VALUE"""),13.007664)</f>
        <v>13.007664</v>
      </c>
      <c r="E17247" s="4">
        <f>IFERROR(__xludf.DUMMYFUNCTION("""COMPUTED_VALUE"""),80.205877)</f>
        <v>80.205877</v>
      </c>
      <c r="F17247" s="4">
        <f>IFERROR(__xludf.DUMMYFUNCTION("""COMPUTED_VALUE"""),5339.0)</f>
        <v>5339</v>
      </c>
      <c r="G17247" s="4">
        <f>IFERROR(__xludf.DUMMYFUNCTION("""COMPUTED_VALUE"""),59.0)</f>
        <v>59</v>
      </c>
      <c r="H17247" s="4"/>
      <c r="I17247" s="4"/>
    </row>
    <row r="17248">
      <c r="A17248" s="4" t="str">
        <f>IFERROR(__xludf.DUMMYFUNCTION("""COMPUTED_VALUE"""),"cas_hmw")</f>
        <v>cas_hmw</v>
      </c>
      <c r="B17248" s="5">
        <f>IFERROR(__xludf.DUMMYFUNCTION("""COMPUTED_VALUE"""),44739.0)</f>
        <v>44739</v>
      </c>
      <c r="C17248" s="6">
        <f>IFERROR(__xludf.DUMMYFUNCTION("""COMPUTED_VALUE"""),0.697581018517667)</f>
        <v>0.6975810185</v>
      </c>
      <c r="D17248" s="4">
        <f>IFERROR(__xludf.DUMMYFUNCTION("""COMPUTED_VALUE"""),13.007847)</f>
        <v>13.007847</v>
      </c>
      <c r="E17248" s="4">
        <f>IFERROR(__xludf.DUMMYFUNCTION("""COMPUTED_VALUE"""),80.206996)</f>
        <v>80.206996</v>
      </c>
      <c r="F17248" s="4">
        <f>IFERROR(__xludf.DUMMYFUNCTION("""COMPUTED_VALUE"""),805.0)</f>
        <v>805</v>
      </c>
      <c r="G17248" s="4">
        <f>IFERROR(__xludf.DUMMYFUNCTION("""COMPUTED_VALUE"""),43.0)</f>
        <v>43</v>
      </c>
      <c r="H17248" s="4"/>
      <c r="I17248" s="4"/>
    </row>
    <row r="17249">
      <c r="A17249" s="4" t="str">
        <f>IFERROR(__xludf.DUMMYFUNCTION("""COMPUTED_VALUE"""),"cas_hmw")</f>
        <v>cas_hmw</v>
      </c>
      <c r="B17249" s="5">
        <f>IFERROR(__xludf.DUMMYFUNCTION("""COMPUTED_VALUE"""),44739.0)</f>
        <v>44739</v>
      </c>
      <c r="C17249" s="6">
        <f>IFERROR(__xludf.DUMMYFUNCTION("""COMPUTED_VALUE"""),0.6977662037024857)</f>
        <v>0.6977662037</v>
      </c>
      <c r="D17249" s="4">
        <f>IFERROR(__xludf.DUMMYFUNCTION("""COMPUTED_VALUE"""),12.697055)</f>
        <v>12.697055</v>
      </c>
      <c r="E17249" s="4">
        <f>IFERROR(__xludf.DUMMYFUNCTION("""COMPUTED_VALUE"""),79.976658)</f>
        <v>79.976658</v>
      </c>
      <c r="F17249" s="4">
        <f>IFERROR(__xludf.DUMMYFUNCTION("""COMPUTED_VALUE"""),2846.0)</f>
        <v>2846</v>
      </c>
      <c r="G17249" s="4">
        <f>IFERROR(__xludf.DUMMYFUNCTION("""COMPUTED_VALUE"""),24.0)</f>
        <v>24</v>
      </c>
      <c r="H17249" s="4"/>
      <c r="I17249" s="4"/>
    </row>
    <row r="17250">
      <c r="A17250" s="4" t="str">
        <f>IFERROR(__xludf.DUMMYFUNCTION("""COMPUTED_VALUE"""),"cas_hmw")</f>
        <v>cas_hmw</v>
      </c>
      <c r="B17250" s="5">
        <f>IFERROR(__xludf.DUMMYFUNCTION("""COMPUTED_VALUE"""),44739.0)</f>
        <v>44739</v>
      </c>
      <c r="C17250" s="6">
        <f>IFERROR(__xludf.DUMMYFUNCTION("""COMPUTED_VALUE"""),0.69782407407547)</f>
        <v>0.6978240741</v>
      </c>
      <c r="D17250" s="4">
        <f>IFERROR(__xludf.DUMMYFUNCTION("""COMPUTED_VALUE"""),13.008154)</f>
        <v>13.008154</v>
      </c>
      <c r="E17250" s="4">
        <f>IFERROR(__xludf.DUMMYFUNCTION("""COMPUTED_VALUE"""),80.209241)</f>
        <v>80.209241</v>
      </c>
      <c r="F17250" s="4">
        <f>IFERROR(__xludf.DUMMYFUNCTION("""COMPUTED_VALUE"""),5339.0)</f>
        <v>5339</v>
      </c>
      <c r="G17250" s="4">
        <f>IFERROR(__xludf.DUMMYFUNCTION("""COMPUTED_VALUE"""),40.0)</f>
        <v>40</v>
      </c>
      <c r="H17250" s="4"/>
      <c r="I17250" s="4"/>
    </row>
    <row r="17251">
      <c r="A17251" s="4" t="str">
        <f>IFERROR(__xludf.DUMMYFUNCTION("""COMPUTED_VALUE"""),"cas_hmw")</f>
        <v>cas_hmw</v>
      </c>
      <c r="B17251" s="5">
        <f>IFERROR(__xludf.DUMMYFUNCTION("""COMPUTED_VALUE"""),44739.0)</f>
        <v>44739</v>
      </c>
      <c r="C17251" s="6">
        <f>IFERROR(__xludf.DUMMYFUNCTION("""COMPUTED_VALUE"""),0.6978819444448163)</f>
        <v>0.6978819444</v>
      </c>
      <c r="D17251" s="4">
        <f>IFERROR(__xludf.DUMMYFUNCTION("""COMPUTED_VALUE"""),13.008726)</f>
        <v>13.008726</v>
      </c>
      <c r="E17251" s="4">
        <f>IFERROR(__xludf.DUMMYFUNCTION("""COMPUTED_VALUE"""),80.210941)</f>
        <v>80.210941</v>
      </c>
      <c r="F17251" s="4">
        <f>IFERROR(__xludf.DUMMYFUNCTION("""COMPUTED_VALUE"""),5339.0)</f>
        <v>5339</v>
      </c>
      <c r="G17251" s="4">
        <f>IFERROR(__xludf.DUMMYFUNCTION("""COMPUTED_VALUE"""),40.0)</f>
        <v>40</v>
      </c>
      <c r="H17251" s="4"/>
      <c r="I17251" s="4"/>
    </row>
    <row r="17252">
      <c r="A17252" s="4" t="str">
        <f>IFERROR(__xludf.DUMMYFUNCTION("""COMPUTED_VALUE"""),"cas_hmw")</f>
        <v>cas_hmw</v>
      </c>
      <c r="B17252" s="5">
        <f>IFERROR(__xludf.DUMMYFUNCTION("""COMPUTED_VALUE"""),44739.0)</f>
        <v>44739</v>
      </c>
      <c r="C17252" s="6">
        <f>IFERROR(__xludf.DUMMYFUNCTION("""COMPUTED_VALUE"""),0.6979166666678793)</f>
        <v>0.6979166667</v>
      </c>
      <c r="D17252" s="4">
        <f>IFERROR(__xludf.DUMMYFUNCTION("""COMPUTED_VALUE"""),13.008391)</f>
        <v>13.008391</v>
      </c>
      <c r="E17252" s="4">
        <f>IFERROR(__xludf.DUMMYFUNCTION("""COMPUTED_VALUE"""),80.210036)</f>
        <v>80.210036</v>
      </c>
      <c r="F17252" s="4">
        <f>IFERROR(__xludf.DUMMYFUNCTION("""COMPUTED_VALUE"""),805.0)</f>
        <v>805</v>
      </c>
      <c r="G17252" s="4">
        <f>IFERROR(__xludf.DUMMYFUNCTION("""COMPUTED_VALUE"""),45.0)</f>
        <v>45</v>
      </c>
      <c r="H17252" s="4"/>
      <c r="I17252" s="4"/>
    </row>
    <row r="17253">
      <c r="A17253" s="4" t="str">
        <f>IFERROR(__xludf.DUMMYFUNCTION("""COMPUTED_VALUE"""),"cas_hmw")</f>
        <v>cas_hmw</v>
      </c>
      <c r="B17253" s="5">
        <f>IFERROR(__xludf.DUMMYFUNCTION("""COMPUTED_VALUE"""),44739.0)</f>
        <v>44739</v>
      </c>
      <c r="C17253" s="6">
        <f>IFERROR(__xludf.DUMMYFUNCTION("""COMPUTED_VALUE"""),0.6979513888873043)</f>
        <v>0.6979513889</v>
      </c>
      <c r="D17253" s="4">
        <f>IFERROR(__xludf.DUMMYFUNCTION("""COMPUTED_VALUE"""),13.008391)</f>
        <v>13.008391</v>
      </c>
      <c r="E17253" s="4">
        <f>IFERROR(__xludf.DUMMYFUNCTION("""COMPUTED_VALUE"""),80.210036)</f>
        <v>80.210036</v>
      </c>
      <c r="F17253" s="4">
        <f>IFERROR(__xludf.DUMMYFUNCTION("""COMPUTED_VALUE"""),805.0)</f>
        <v>805</v>
      </c>
      <c r="G17253" s="4">
        <f>IFERROR(__xludf.DUMMYFUNCTION("""COMPUTED_VALUE"""),45.0)</f>
        <v>45</v>
      </c>
      <c r="H17253" s="4"/>
      <c r="I17253" s="4"/>
    </row>
    <row r="17254">
      <c r="A17254" s="4" t="str">
        <f>IFERROR(__xludf.DUMMYFUNCTION("""COMPUTED_VALUE"""),"cas_hmw")</f>
        <v>cas_hmw</v>
      </c>
      <c r="B17254" s="5">
        <f>IFERROR(__xludf.DUMMYFUNCTION("""COMPUTED_VALUE"""),44739.0)</f>
        <v>44739</v>
      </c>
      <c r="C17254" s="6">
        <f>IFERROR(__xludf.DUMMYFUNCTION("""COMPUTED_VALUE"""),0.6979745370372257)</f>
        <v>0.697974537</v>
      </c>
      <c r="D17254" s="4">
        <f>IFERROR(__xludf.DUMMYFUNCTION("""COMPUTED_VALUE"""),13.008988)</f>
        <v>13.008988</v>
      </c>
      <c r="E17254" s="4">
        <f>IFERROR(__xludf.DUMMYFUNCTION("""COMPUTED_VALUE"""),80.211646)</f>
        <v>80.211646</v>
      </c>
      <c r="F17254" s="4">
        <f>IFERROR(__xludf.DUMMYFUNCTION("""COMPUTED_VALUE"""),805.0)</f>
        <v>805</v>
      </c>
      <c r="G17254" s="4">
        <f>IFERROR(__xludf.DUMMYFUNCTION("""COMPUTED_VALUE"""),45.0)</f>
        <v>45</v>
      </c>
      <c r="H17254" s="4"/>
      <c r="I17254" s="4"/>
    </row>
    <row r="17255">
      <c r="A17255" s="4" t="str">
        <f>IFERROR(__xludf.DUMMYFUNCTION("""COMPUTED_VALUE"""),"cas_hmw")</f>
        <v>cas_hmw</v>
      </c>
      <c r="B17255" s="5">
        <f>IFERROR(__xludf.DUMMYFUNCTION("""COMPUTED_VALUE"""),44739.0)</f>
        <v>44739</v>
      </c>
      <c r="C17255" s="6">
        <f>IFERROR(__xludf.DUMMYFUNCTION("""COMPUTED_VALUE"""),0.698032407406572)</f>
        <v>0.6980324074</v>
      </c>
      <c r="D17255" s="4">
        <f>IFERROR(__xludf.DUMMYFUNCTION("""COMPUTED_VALUE"""),13.009315)</f>
        <v>13.009315</v>
      </c>
      <c r="E17255" s="4">
        <f>IFERROR(__xludf.DUMMYFUNCTION("""COMPUTED_VALUE"""),80.21251)</f>
        <v>80.21251</v>
      </c>
      <c r="F17255" s="4">
        <f>IFERROR(__xludf.DUMMYFUNCTION("""COMPUTED_VALUE"""),5339.0)</f>
        <v>5339</v>
      </c>
      <c r="G17255" s="4">
        <f>IFERROR(__xludf.DUMMYFUNCTION("""COMPUTED_VALUE"""),43.0)</f>
        <v>43</v>
      </c>
      <c r="H17255" s="4"/>
      <c r="I17255" s="4"/>
    </row>
    <row r="17256">
      <c r="A17256" s="4" t="str">
        <f>IFERROR(__xludf.DUMMYFUNCTION("""COMPUTED_VALUE"""),"cas_hmw")</f>
        <v>cas_hmw</v>
      </c>
      <c r="B17256" s="5">
        <f>IFERROR(__xludf.DUMMYFUNCTION("""COMPUTED_VALUE"""),44739.0)</f>
        <v>44739</v>
      </c>
      <c r="C17256" s="6">
        <f>IFERROR(__xludf.DUMMYFUNCTION("""COMPUTED_VALUE"""),0.6980439814797137)</f>
        <v>0.6980439815</v>
      </c>
      <c r="D17256" s="4">
        <f>IFERROR(__xludf.DUMMYFUNCTION("""COMPUTED_VALUE"""),13.008988)</f>
        <v>13.008988</v>
      </c>
      <c r="E17256" s="4">
        <f>IFERROR(__xludf.DUMMYFUNCTION("""COMPUTED_VALUE"""),80.211646)</f>
        <v>80.211646</v>
      </c>
      <c r="F17256" s="4">
        <f>IFERROR(__xludf.DUMMYFUNCTION("""COMPUTED_VALUE"""),805.0)</f>
        <v>805</v>
      </c>
      <c r="G17256" s="4">
        <f>IFERROR(__xludf.DUMMYFUNCTION("""COMPUTED_VALUE"""),45.0)</f>
        <v>45</v>
      </c>
      <c r="H17256" s="4"/>
      <c r="I17256" s="4"/>
    </row>
    <row r="17257">
      <c r="A17257" s="4" t="str">
        <f>IFERROR(__xludf.DUMMYFUNCTION("""COMPUTED_VALUE"""),"cas_hmw")</f>
        <v>cas_hmw</v>
      </c>
      <c r="B17257" s="5">
        <f>IFERROR(__xludf.DUMMYFUNCTION("""COMPUTED_VALUE"""),44739.0)</f>
        <v>44739</v>
      </c>
      <c r="C17257" s="6">
        <f>IFERROR(__xludf.DUMMYFUNCTION("""COMPUTED_VALUE"""),0.6980902777795563)</f>
        <v>0.6980902778</v>
      </c>
      <c r="D17257" s="4">
        <f>IFERROR(__xludf.DUMMYFUNCTION("""COMPUTED_VALUE"""),13.008988)</f>
        <v>13.008988</v>
      </c>
      <c r="E17257" s="4">
        <f>IFERROR(__xludf.DUMMYFUNCTION("""COMPUTED_VALUE"""),80.211646)</f>
        <v>80.211646</v>
      </c>
      <c r="F17257" s="4">
        <f>IFERROR(__xludf.DUMMYFUNCTION("""COMPUTED_VALUE"""),805.0)</f>
        <v>805</v>
      </c>
      <c r="G17257" s="4">
        <f>IFERROR(__xludf.DUMMYFUNCTION("""COMPUTED_VALUE"""),45.0)</f>
        <v>45</v>
      </c>
      <c r="H17257" s="4"/>
      <c r="I17257" s="4"/>
    </row>
    <row r="17258">
      <c r="A17258" s="4" t="str">
        <f>IFERROR(__xludf.DUMMYFUNCTION("""COMPUTED_VALUE"""),"cas_hmw")</f>
        <v>cas_hmw</v>
      </c>
      <c r="B17258" s="5">
        <f>IFERROR(__xludf.DUMMYFUNCTION("""COMPUTED_VALUE"""),44739.0)</f>
        <v>44739</v>
      </c>
      <c r="C17258" s="6">
        <f>IFERROR(__xludf.DUMMYFUNCTION("""COMPUTED_VALUE"""),0.6981481481489027)</f>
        <v>0.6981481481</v>
      </c>
      <c r="D17258" s="4">
        <f>IFERROR(__xludf.DUMMYFUNCTION("""COMPUTED_VALUE"""),13.009315)</f>
        <v>13.009315</v>
      </c>
      <c r="E17258" s="4">
        <f>IFERROR(__xludf.DUMMYFUNCTION("""COMPUTED_VALUE"""),80.21251)</f>
        <v>80.21251</v>
      </c>
      <c r="F17258" s="4">
        <f>IFERROR(__xludf.DUMMYFUNCTION("""COMPUTED_VALUE"""),5339.0)</f>
        <v>5339</v>
      </c>
      <c r="G17258" s="4">
        <f>IFERROR(__xludf.DUMMYFUNCTION("""COMPUTED_VALUE"""),43.0)</f>
        <v>43</v>
      </c>
      <c r="H17258" s="4"/>
      <c r="I17258" s="4"/>
    </row>
    <row r="17259">
      <c r="A17259" s="4" t="str">
        <f>IFERROR(__xludf.DUMMYFUNCTION("""COMPUTED_VALUE"""),"cas_hmw")</f>
        <v>cas_hmw</v>
      </c>
      <c r="B17259" s="5">
        <f>IFERROR(__xludf.DUMMYFUNCTION("""COMPUTED_VALUE"""),44739.0)</f>
        <v>44739</v>
      </c>
      <c r="C17259" s="6">
        <f>IFERROR(__xludf.DUMMYFUNCTION("""COMPUTED_VALUE"""),0.698171296295186)</f>
        <v>0.6981712963</v>
      </c>
      <c r="D17259" s="4">
        <f>IFERROR(__xludf.DUMMYFUNCTION("""COMPUTED_VALUE"""),13.009315)</f>
        <v>13.009315</v>
      </c>
      <c r="E17259" s="4">
        <f>IFERROR(__xludf.DUMMYFUNCTION("""COMPUTED_VALUE"""),80.21251)</f>
        <v>80.21251</v>
      </c>
      <c r="F17259" s="4">
        <f>IFERROR(__xludf.DUMMYFUNCTION("""COMPUTED_VALUE"""),5339.0)</f>
        <v>5339</v>
      </c>
      <c r="G17259" s="4">
        <f>IFERROR(__xludf.DUMMYFUNCTION("""COMPUTED_VALUE"""),43.0)</f>
        <v>43</v>
      </c>
      <c r="H17259" s="4"/>
      <c r="I17259" s="4"/>
    </row>
    <row r="17260">
      <c r="A17260" s="4" t="str">
        <f>IFERROR(__xludf.DUMMYFUNCTION("""COMPUTED_VALUE"""),"cas_hmw")</f>
        <v>cas_hmw</v>
      </c>
      <c r="B17260" s="5">
        <f>IFERROR(__xludf.DUMMYFUNCTION("""COMPUTED_VALUE"""),44739.0)</f>
        <v>44739</v>
      </c>
      <c r="C17260" s="6">
        <f>IFERROR(__xludf.DUMMYFUNCTION("""COMPUTED_VALUE"""),0.6981828703719657)</f>
        <v>0.6981828704</v>
      </c>
      <c r="D17260" s="4">
        <f>IFERROR(__xludf.DUMMYFUNCTION("""COMPUTED_VALUE"""),13.009644)</f>
        <v>13.009644</v>
      </c>
      <c r="E17260" s="4">
        <f>IFERROR(__xludf.DUMMYFUNCTION("""COMPUTED_VALUE"""),80.213437)</f>
        <v>80.213437</v>
      </c>
      <c r="F17260" s="4">
        <f>IFERROR(__xludf.DUMMYFUNCTION("""COMPUTED_VALUE"""),805.0)</f>
        <v>805</v>
      </c>
      <c r="G17260" s="4">
        <f>IFERROR(__xludf.DUMMYFUNCTION("""COMPUTED_VALUE"""),46.0)</f>
        <v>46</v>
      </c>
      <c r="H17260" s="4"/>
      <c r="I17260" s="4"/>
    </row>
    <row r="17261">
      <c r="A17261" s="4" t="str">
        <f>IFERROR(__xludf.DUMMYFUNCTION("""COMPUTED_VALUE"""),"cas_hmw")</f>
        <v>cas_hmw</v>
      </c>
      <c r="B17261" s="5">
        <f>IFERROR(__xludf.DUMMYFUNCTION("""COMPUTED_VALUE"""),44739.0)</f>
        <v>44739</v>
      </c>
      <c r="C17261" s="6">
        <f>IFERROR(__xludf.DUMMYFUNCTION("""COMPUTED_VALUE"""),0.698206018518249)</f>
        <v>0.6982060185</v>
      </c>
      <c r="D17261" s="4">
        <f>IFERROR(__xludf.DUMMYFUNCTION("""COMPUTED_VALUE"""),13.009315)</f>
        <v>13.009315</v>
      </c>
      <c r="E17261" s="4">
        <f>IFERROR(__xludf.DUMMYFUNCTION("""COMPUTED_VALUE"""),80.21251)</f>
        <v>80.21251</v>
      </c>
      <c r="F17261" s="4">
        <f>IFERROR(__xludf.DUMMYFUNCTION("""COMPUTED_VALUE"""),5339.0)</f>
        <v>5339</v>
      </c>
      <c r="G17261" s="4">
        <f>IFERROR(__xludf.DUMMYFUNCTION("""COMPUTED_VALUE"""),43.0)</f>
        <v>43</v>
      </c>
      <c r="H17261" s="4"/>
      <c r="I17261" s="4"/>
    </row>
    <row r="17262">
      <c r="A17262" s="4" t="str">
        <f>IFERROR(__xludf.DUMMYFUNCTION("""COMPUTED_VALUE"""),"cas_hmw")</f>
        <v>cas_hmw</v>
      </c>
      <c r="B17262" s="5">
        <f>IFERROR(__xludf.DUMMYFUNCTION("""COMPUTED_VALUE"""),44739.0)</f>
        <v>44739</v>
      </c>
      <c r="C17262" s="6">
        <f>IFERROR(__xludf.DUMMYFUNCTION("""COMPUTED_VALUE"""),0.6986805555570754)</f>
        <v>0.6986805556</v>
      </c>
      <c r="D17262" s="4">
        <f>IFERROR(__xludf.DUMMYFUNCTION("""COMPUTED_VALUE"""),13.011047)</f>
        <v>13.011047</v>
      </c>
      <c r="E17262" s="4">
        <f>IFERROR(__xludf.DUMMYFUNCTION("""COMPUTED_VALUE"""),80.217328)</f>
        <v>80.217328</v>
      </c>
      <c r="F17262" s="4">
        <f>IFERROR(__xludf.DUMMYFUNCTION("""COMPUTED_VALUE"""),5339.0)</f>
        <v>5339</v>
      </c>
      <c r="G17262" s="4">
        <f>IFERROR(__xludf.DUMMYFUNCTION("""COMPUTED_VALUE"""),41.0)</f>
        <v>41</v>
      </c>
      <c r="H17262" s="4"/>
      <c r="I17262" s="4"/>
    </row>
    <row r="17263">
      <c r="A17263" s="4" t="str">
        <f>IFERROR(__xludf.DUMMYFUNCTION("""COMPUTED_VALUE"""),"cas_hmw")</f>
        <v>cas_hmw</v>
      </c>
      <c r="B17263" s="5">
        <f>IFERROR(__xludf.DUMMYFUNCTION("""COMPUTED_VALUE"""),44739.0)</f>
        <v>44739</v>
      </c>
      <c r="C17263" s="6">
        <f>IFERROR(__xludf.DUMMYFUNCTION("""COMPUTED_VALUE"""),0.6993518518502242)</f>
        <v>0.6993518519</v>
      </c>
      <c r="D17263" s="4">
        <f>IFERROR(__xludf.DUMMYFUNCTION("""COMPUTED_VALUE"""),13.013332)</f>
        <v>13.013332</v>
      </c>
      <c r="E17263" s="4">
        <f>IFERROR(__xludf.DUMMYFUNCTION("""COMPUTED_VALUE"""),80.222463)</f>
        <v>80.222463</v>
      </c>
      <c r="F17263" s="4">
        <f>IFERROR(__xludf.DUMMYFUNCTION("""COMPUTED_VALUE"""),5339.0)</f>
        <v>5339</v>
      </c>
      <c r="G17263" s="4">
        <f>IFERROR(__xludf.DUMMYFUNCTION("""COMPUTED_VALUE"""),8.0)</f>
        <v>8</v>
      </c>
      <c r="H17263" s="4"/>
      <c r="I17263" s="4"/>
    </row>
    <row r="17264">
      <c r="A17264" s="4" t="str">
        <f>IFERROR(__xludf.DUMMYFUNCTION("""COMPUTED_VALUE"""),"cas_hmw")</f>
        <v>cas_hmw</v>
      </c>
      <c r="B17264" s="5">
        <f>IFERROR(__xludf.DUMMYFUNCTION("""COMPUTED_VALUE"""),44739.0)</f>
        <v>44739</v>
      </c>
      <c r="C17264" s="6">
        <f>IFERROR(__xludf.DUMMYFUNCTION("""COMPUTED_VALUE"""),0.6993865740732872)</f>
        <v>0.6993865741</v>
      </c>
      <c r="D17264" s="4">
        <f>IFERROR(__xludf.DUMMYFUNCTION("""COMPUTED_VALUE"""),13.013332)</f>
        <v>13.013332</v>
      </c>
      <c r="E17264" s="4">
        <f>IFERROR(__xludf.DUMMYFUNCTION("""COMPUTED_VALUE"""),80.222463)</f>
        <v>80.222463</v>
      </c>
      <c r="F17264" s="4">
        <f>IFERROR(__xludf.DUMMYFUNCTION("""COMPUTED_VALUE"""),5339.0)</f>
        <v>5339</v>
      </c>
      <c r="G17264" s="4">
        <f>IFERROR(__xludf.DUMMYFUNCTION("""COMPUTED_VALUE"""),8.0)</f>
        <v>8</v>
      </c>
      <c r="H17264" s="4"/>
      <c r="I17264" s="4"/>
    </row>
    <row r="17265">
      <c r="A17265" s="4" t="str">
        <f>IFERROR(__xludf.DUMMYFUNCTION("""COMPUTED_VALUE"""),"cas_hmw")</f>
        <v>cas_hmw</v>
      </c>
      <c r="B17265" s="5">
        <f>IFERROR(__xludf.DUMMYFUNCTION("""COMPUTED_VALUE"""),44739.0)</f>
        <v>44739</v>
      </c>
      <c r="C17265" s="6">
        <f>IFERROR(__xludf.DUMMYFUNCTION("""COMPUTED_VALUE"""),0.6993981481464289)</f>
        <v>0.6993981481</v>
      </c>
      <c r="D17265" s="4">
        <f>IFERROR(__xludf.DUMMYFUNCTION("""COMPUTED_VALUE"""),13.013332)</f>
        <v>13.013332</v>
      </c>
      <c r="E17265" s="4">
        <f>IFERROR(__xludf.DUMMYFUNCTION("""COMPUTED_VALUE"""),80.222463)</f>
        <v>80.222463</v>
      </c>
      <c r="F17265" s="4">
        <f>IFERROR(__xludf.DUMMYFUNCTION("""COMPUTED_VALUE"""),5339.0)</f>
        <v>5339</v>
      </c>
      <c r="G17265" s="4">
        <f>IFERROR(__xludf.DUMMYFUNCTION("""COMPUTED_VALUE"""),8.0)</f>
        <v>8</v>
      </c>
      <c r="H17265" s="4"/>
      <c r="I17265" s="4"/>
    </row>
    <row r="17266">
      <c r="A17266" s="4" t="str">
        <f>IFERROR(__xludf.DUMMYFUNCTION("""COMPUTED_VALUE"""),"cas_hmw")</f>
        <v>cas_hmw</v>
      </c>
      <c r="B17266" s="5">
        <f>IFERROR(__xludf.DUMMYFUNCTION("""COMPUTED_VALUE"""),44739.0)</f>
        <v>44739</v>
      </c>
      <c r="C17266" s="6">
        <f>IFERROR(__xludf.DUMMYFUNCTION("""COMPUTED_VALUE"""),0.6999305555546016)</f>
        <v>0.6999305556</v>
      </c>
      <c r="D17266" s="4">
        <f>IFERROR(__xludf.DUMMYFUNCTION("""COMPUTED_VALUE"""),12.688698)</f>
        <v>12.688698</v>
      </c>
      <c r="E17266" s="4">
        <f>IFERROR(__xludf.DUMMYFUNCTION("""COMPUTED_VALUE"""),79.982613)</f>
        <v>79.982613</v>
      </c>
      <c r="F17266" s="4">
        <f>IFERROR(__xludf.DUMMYFUNCTION("""COMPUTED_VALUE"""),2846.0)</f>
        <v>2846</v>
      </c>
      <c r="G17266" s="4">
        <f>IFERROR(__xludf.DUMMYFUNCTION("""COMPUTED_VALUE"""),34.0)</f>
        <v>34</v>
      </c>
      <c r="H17266" s="4"/>
      <c r="I17266" s="4"/>
    </row>
    <row r="17267">
      <c r="A17267" s="4" t="str">
        <f>IFERROR(__xludf.DUMMYFUNCTION("""COMPUTED_VALUE"""),"cas_hmw")</f>
        <v>cas_hmw</v>
      </c>
      <c r="B17267" s="5">
        <f>IFERROR(__xludf.DUMMYFUNCTION("""COMPUTED_VALUE"""),44739.0)</f>
        <v>44739</v>
      </c>
      <c r="C17267" s="6">
        <f>IFERROR(__xludf.DUMMYFUNCTION("""COMPUTED_VALUE"""),0.7000694444432156)</f>
        <v>0.7000694444</v>
      </c>
      <c r="D17267" s="4">
        <f>IFERROR(__xludf.DUMMYFUNCTION("""COMPUTED_VALUE"""),13.014609)</f>
        <v>13.014609</v>
      </c>
      <c r="E17267" s="4">
        <f>IFERROR(__xludf.DUMMYFUNCTION("""COMPUTED_VALUE"""),80.224082)</f>
        <v>80.224082</v>
      </c>
      <c r="F17267" s="4">
        <f>IFERROR(__xludf.DUMMYFUNCTION("""COMPUTED_VALUE"""),5339.0)</f>
        <v>5339</v>
      </c>
      <c r="G17267" s="4">
        <f>IFERROR(__xludf.DUMMYFUNCTION("""COMPUTED_VALUE"""),26.0)</f>
        <v>26</v>
      </c>
      <c r="H17267" s="4"/>
      <c r="I17267" s="4"/>
    </row>
    <row r="17268">
      <c r="A17268" s="4" t="str">
        <f>IFERROR(__xludf.DUMMYFUNCTION("""COMPUTED_VALUE"""),"cas_hmw")</f>
        <v>cas_hmw</v>
      </c>
      <c r="B17268" s="5">
        <f>IFERROR(__xludf.DUMMYFUNCTION("""COMPUTED_VALUE"""),44739.0)</f>
        <v>44739</v>
      </c>
      <c r="C17268" s="6">
        <f>IFERROR(__xludf.DUMMYFUNCTION("""COMPUTED_VALUE"""),0.7004861111126957)</f>
        <v>0.7004861111</v>
      </c>
      <c r="D17268" s="4">
        <f>IFERROR(__xludf.DUMMYFUNCTION("""COMPUTED_VALUE"""),13.015447)</f>
        <v>13.015447</v>
      </c>
      <c r="E17268" s="4">
        <f>IFERROR(__xludf.DUMMYFUNCTION("""COMPUTED_VALUE"""),80.225308)</f>
        <v>80.225308</v>
      </c>
      <c r="F17268" s="4">
        <f>IFERROR(__xludf.DUMMYFUNCTION("""COMPUTED_VALUE"""),805.0)</f>
        <v>805</v>
      </c>
      <c r="G17268" s="4">
        <f>IFERROR(__xludf.DUMMYFUNCTION("""COMPUTED_VALUE"""),0.0)</f>
        <v>0</v>
      </c>
      <c r="H17268" s="4"/>
      <c r="I17268" s="4"/>
    </row>
    <row r="17269">
      <c r="A17269" s="4" t="str">
        <f>IFERROR(__xludf.DUMMYFUNCTION("""COMPUTED_VALUE"""),"cas_hmw")</f>
        <v>cas_hmw</v>
      </c>
      <c r="B17269" s="5">
        <f>IFERROR(__xludf.DUMMYFUNCTION("""COMPUTED_VALUE"""),44739.0)</f>
        <v>44739</v>
      </c>
      <c r="C17269" s="6">
        <f>IFERROR(__xludf.DUMMYFUNCTION("""COMPUTED_VALUE"""),0.7009143518516794)</f>
        <v>0.7009143519</v>
      </c>
      <c r="D17269" s="4">
        <f>IFERROR(__xludf.DUMMYFUNCTION("""COMPUTED_VALUE"""),13.01446)</f>
        <v>13.01446</v>
      </c>
      <c r="E17269" s="4">
        <f>IFERROR(__xludf.DUMMYFUNCTION("""COMPUTED_VALUE"""),80.226096)</f>
        <v>80.226096</v>
      </c>
      <c r="F17269" s="4">
        <f>IFERROR(__xludf.DUMMYFUNCTION("""COMPUTED_VALUE"""),805.0)</f>
        <v>805</v>
      </c>
      <c r="G17269" s="4">
        <f>IFERROR(__xludf.DUMMYFUNCTION("""COMPUTED_VALUE"""),28.0)</f>
        <v>28</v>
      </c>
      <c r="H17269" s="4"/>
      <c r="I17269" s="4"/>
    </row>
    <row r="17270">
      <c r="A17270" s="4" t="str">
        <f>IFERROR(__xludf.DUMMYFUNCTION("""COMPUTED_VALUE"""),"cas_hmw")</f>
        <v>cas_hmw</v>
      </c>
      <c r="B17270" s="5">
        <f>IFERROR(__xludf.DUMMYFUNCTION("""COMPUTED_VALUE"""),44739.0)</f>
        <v>44739</v>
      </c>
      <c r="C17270" s="6">
        <f>IFERROR(__xludf.DUMMYFUNCTION("""COMPUTED_VALUE"""),0.7017939814832062)</f>
        <v>0.7017939815</v>
      </c>
      <c r="D17270" s="4">
        <f>IFERROR(__xludf.DUMMYFUNCTION("""COMPUTED_VALUE"""),13.024254)</f>
        <v>13.024254</v>
      </c>
      <c r="E17270" s="4">
        <f>IFERROR(__xludf.DUMMYFUNCTION("""COMPUTED_VALUE"""),80.228402)</f>
        <v>80.228402</v>
      </c>
      <c r="F17270" s="4">
        <f>IFERROR(__xludf.DUMMYFUNCTION("""COMPUTED_VALUE"""),5339.0)</f>
        <v>5339</v>
      </c>
      <c r="G17270" s="4">
        <f>IFERROR(__xludf.DUMMYFUNCTION("""COMPUTED_VALUE"""),0.0)</f>
        <v>0</v>
      </c>
      <c r="H17270" s="4"/>
      <c r="I17270" s="4"/>
    </row>
    <row r="17271">
      <c r="A17271" s="4" t="str">
        <f>IFERROR(__xludf.DUMMYFUNCTION("""COMPUTED_VALUE"""),"cas_hmw")</f>
        <v>cas_hmw</v>
      </c>
      <c r="B17271" s="5">
        <f>IFERROR(__xludf.DUMMYFUNCTION("""COMPUTED_VALUE"""),44739.0)</f>
        <v>44739</v>
      </c>
      <c r="C17271" s="6">
        <f>IFERROR(__xludf.DUMMYFUNCTION("""COMPUTED_VALUE"""),0.7023148148145992)</f>
        <v>0.7023148148</v>
      </c>
      <c r="D17271" s="4">
        <f>IFERROR(__xludf.DUMMYFUNCTION("""COMPUTED_VALUE"""),13.008068)</f>
        <v>13.008068</v>
      </c>
      <c r="E17271" s="4">
        <f>IFERROR(__xludf.DUMMYFUNCTION("""COMPUTED_VALUE"""),80.23439)</f>
        <v>80.23439</v>
      </c>
      <c r="F17271" s="4">
        <f>IFERROR(__xludf.DUMMYFUNCTION("""COMPUTED_VALUE"""),805.0)</f>
        <v>805</v>
      </c>
      <c r="G17271" s="4">
        <f>IFERROR(__xludf.DUMMYFUNCTION("""COMPUTED_VALUE"""),25.0)</f>
        <v>25</v>
      </c>
      <c r="H17271" s="4"/>
      <c r="I17271" s="4"/>
    </row>
    <row r="17272">
      <c r="A17272" s="4" t="str">
        <f>IFERROR(__xludf.DUMMYFUNCTION("""COMPUTED_VALUE"""),"cas_hmw")</f>
        <v>cas_hmw</v>
      </c>
      <c r="B17272" s="5">
        <f>IFERROR(__xludf.DUMMYFUNCTION("""COMPUTED_VALUE"""),44739.0)</f>
        <v>44739</v>
      </c>
      <c r="C17272" s="6">
        <f>IFERROR(__xludf.DUMMYFUNCTION("""COMPUTED_VALUE"""),0.7023379629645206)</f>
        <v>0.702337963</v>
      </c>
      <c r="D17272" s="4">
        <f>IFERROR(__xludf.DUMMYFUNCTION("""COMPUTED_VALUE"""),13.008068)</f>
        <v>13.008068</v>
      </c>
      <c r="E17272" s="4">
        <f>IFERROR(__xludf.DUMMYFUNCTION("""COMPUTED_VALUE"""),80.23439)</f>
        <v>80.23439</v>
      </c>
      <c r="F17272" s="4">
        <f>IFERROR(__xludf.DUMMYFUNCTION("""COMPUTED_VALUE"""),805.0)</f>
        <v>805</v>
      </c>
      <c r="G17272" s="4">
        <f>IFERROR(__xludf.DUMMYFUNCTION("""COMPUTED_VALUE"""),25.0)</f>
        <v>25</v>
      </c>
      <c r="H17272" s="4"/>
      <c r="I17272" s="4"/>
    </row>
    <row r="17273">
      <c r="A17273" s="4" t="str">
        <f>IFERROR(__xludf.DUMMYFUNCTION("""COMPUTED_VALUE"""),"cas_hmw")</f>
        <v>cas_hmw</v>
      </c>
      <c r="B17273" s="5">
        <f>IFERROR(__xludf.DUMMYFUNCTION("""COMPUTED_VALUE"""),44739.0)</f>
        <v>44739</v>
      </c>
      <c r="C17273" s="6">
        <f>IFERROR(__xludf.DUMMYFUNCTION("""COMPUTED_VALUE"""),0.7045486111128412)</f>
        <v>0.7045486111</v>
      </c>
      <c r="D17273" s="4">
        <f>IFERROR(__xludf.DUMMYFUNCTION("""COMPUTED_VALUE"""),13.026001)</f>
        <v>13.026001</v>
      </c>
      <c r="E17273" s="4">
        <f>IFERROR(__xludf.DUMMYFUNCTION("""COMPUTED_VALUE"""),80.231065)</f>
        <v>80.231065</v>
      </c>
      <c r="F17273" s="4">
        <f>IFERROR(__xludf.DUMMYFUNCTION("""COMPUTED_VALUE"""),5339.0)</f>
        <v>5339</v>
      </c>
      <c r="G17273" s="4">
        <f>IFERROR(__xludf.DUMMYFUNCTION("""COMPUTED_VALUE"""),0.0)</f>
        <v>0</v>
      </c>
      <c r="H17273" s="4"/>
      <c r="I17273" s="4"/>
    </row>
    <row r="17274">
      <c r="A17274" s="4" t="str">
        <f>IFERROR(__xludf.DUMMYFUNCTION("""COMPUTED_VALUE"""),"cas_hmw")</f>
        <v>cas_hmw</v>
      </c>
      <c r="B17274" s="5">
        <f>IFERROR(__xludf.DUMMYFUNCTION("""COMPUTED_VALUE"""),44739.0)</f>
        <v>44739</v>
      </c>
      <c r="C17274" s="6">
        <f>IFERROR(__xludf.DUMMYFUNCTION("""COMPUTED_VALUE"""),0.7046296296284709)</f>
        <v>0.7046296296</v>
      </c>
      <c r="D17274" s="4">
        <f>IFERROR(__xludf.DUMMYFUNCTION("""COMPUTED_VALUE"""),12.667342)</f>
        <v>12.667342</v>
      </c>
      <c r="E17274" s="4">
        <f>IFERROR(__xludf.DUMMYFUNCTION("""COMPUTED_VALUE"""),79.971926)</f>
        <v>79.971926</v>
      </c>
      <c r="F17274" s="4">
        <f>IFERROR(__xludf.DUMMYFUNCTION("""COMPUTED_VALUE"""),2846.0)</f>
        <v>2846</v>
      </c>
      <c r="G17274" s="4">
        <f>IFERROR(__xludf.DUMMYFUNCTION("""COMPUTED_VALUE"""),54.0)</f>
        <v>54</v>
      </c>
      <c r="H17274" s="4"/>
      <c r="I17274" s="4"/>
    </row>
    <row r="17275">
      <c r="A17275" s="4" t="str">
        <f>IFERROR(__xludf.DUMMYFUNCTION("""COMPUTED_VALUE"""),"cas_hmw")</f>
        <v>cas_hmw</v>
      </c>
      <c r="B17275" s="5">
        <f>IFERROR(__xludf.DUMMYFUNCTION("""COMPUTED_VALUE"""),44739.0)</f>
        <v>44739</v>
      </c>
      <c r="C17275" s="6">
        <f>IFERROR(__xludf.DUMMYFUNCTION("""COMPUTED_VALUE"""),0.7046412037052505)</f>
        <v>0.7046412037</v>
      </c>
      <c r="D17275" s="4">
        <f>IFERROR(__xludf.DUMMYFUNCTION("""COMPUTED_VALUE"""),12.667342)</f>
        <v>12.667342</v>
      </c>
      <c r="E17275" s="4">
        <f>IFERROR(__xludf.DUMMYFUNCTION("""COMPUTED_VALUE"""),79.971926)</f>
        <v>79.971926</v>
      </c>
      <c r="F17275" s="4">
        <f>IFERROR(__xludf.DUMMYFUNCTION("""COMPUTED_VALUE"""),2846.0)</f>
        <v>2846</v>
      </c>
      <c r="G17275" s="4">
        <f>IFERROR(__xludf.DUMMYFUNCTION("""COMPUTED_VALUE"""),54.0)</f>
        <v>54</v>
      </c>
      <c r="H17275" s="4"/>
      <c r="I17275" s="4"/>
    </row>
    <row r="17276">
      <c r="A17276" s="4" t="str">
        <f>IFERROR(__xludf.DUMMYFUNCTION("""COMPUTED_VALUE"""),"cas_hmw")</f>
        <v>cas_hmw</v>
      </c>
      <c r="B17276" s="5">
        <f>IFERROR(__xludf.DUMMYFUNCTION("""COMPUTED_VALUE"""),44739.0)</f>
        <v>44739</v>
      </c>
      <c r="C17276" s="6">
        <f>IFERROR(__xludf.DUMMYFUNCTION("""COMPUTED_VALUE"""),0.7048032407401479)</f>
        <v>0.7048032407</v>
      </c>
      <c r="D17276" s="4">
        <f>IFERROR(__xludf.DUMMYFUNCTION("""COMPUTED_VALUE"""),12.667342)</f>
        <v>12.667342</v>
      </c>
      <c r="E17276" s="4">
        <f>IFERROR(__xludf.DUMMYFUNCTION("""COMPUTED_VALUE"""),79.971926)</f>
        <v>79.971926</v>
      </c>
      <c r="F17276" s="4">
        <f>IFERROR(__xludf.DUMMYFUNCTION("""COMPUTED_VALUE"""),2846.0)</f>
        <v>2846</v>
      </c>
      <c r="G17276" s="4">
        <f>IFERROR(__xludf.DUMMYFUNCTION("""COMPUTED_VALUE"""),54.0)</f>
        <v>54</v>
      </c>
      <c r="H17276" s="4"/>
      <c r="I17276" s="4"/>
    </row>
    <row r="17277">
      <c r="A17277" s="4" t="str">
        <f>IFERROR(__xludf.DUMMYFUNCTION("""COMPUTED_VALUE"""),"cas_hmw")</f>
        <v>cas_hmw</v>
      </c>
      <c r="B17277" s="5">
        <f>IFERROR(__xludf.DUMMYFUNCTION("""COMPUTED_VALUE"""),44739.0)</f>
        <v>44739</v>
      </c>
      <c r="C17277" s="6">
        <f>IFERROR(__xludf.DUMMYFUNCTION("""COMPUTED_VALUE"""),0.7056828703716747)</f>
        <v>0.7056828704</v>
      </c>
      <c r="D17277" s="4">
        <f>IFERROR(__xludf.DUMMYFUNCTION("""COMPUTED_VALUE"""),13.006878)</f>
        <v>13.006878</v>
      </c>
      <c r="E17277" s="4">
        <f>IFERROR(__xludf.DUMMYFUNCTION("""COMPUTED_VALUE"""),80.251355)</f>
        <v>80.251355</v>
      </c>
      <c r="F17277" s="4">
        <f>IFERROR(__xludf.DUMMYFUNCTION("""COMPUTED_VALUE"""),805.0)</f>
        <v>805</v>
      </c>
      <c r="G17277" s="4">
        <f>IFERROR(__xludf.DUMMYFUNCTION("""COMPUTED_VALUE"""),0.0)</f>
        <v>0</v>
      </c>
      <c r="H17277" s="4"/>
      <c r="I17277" s="4"/>
    </row>
    <row r="17278">
      <c r="A17278" s="4" t="str">
        <f>IFERROR(__xludf.DUMMYFUNCTION("""COMPUTED_VALUE"""),"cas_hmw")</f>
        <v>cas_hmw</v>
      </c>
      <c r="B17278" s="5">
        <f>IFERROR(__xludf.DUMMYFUNCTION("""COMPUTED_VALUE"""),44739.0)</f>
        <v>44739</v>
      </c>
      <c r="C17278" s="6">
        <f>IFERROR(__xludf.DUMMYFUNCTION("""COMPUTED_VALUE"""),0.706018518518249)</f>
        <v>0.7060185185</v>
      </c>
      <c r="D17278" s="4">
        <f>IFERROR(__xludf.DUMMYFUNCTION("""COMPUTED_VALUE"""),13.028736)</f>
        <v>13.028736</v>
      </c>
      <c r="E17278" s="4">
        <f>IFERROR(__xludf.DUMMYFUNCTION("""COMPUTED_VALUE"""),80.236238)</f>
        <v>80.236238</v>
      </c>
      <c r="F17278" s="4">
        <f>IFERROR(__xludf.DUMMYFUNCTION("""COMPUTED_VALUE"""),5339.0)</f>
        <v>5339</v>
      </c>
      <c r="G17278" s="4">
        <f>IFERROR(__xludf.DUMMYFUNCTION("""COMPUTED_VALUE"""),54.0)</f>
        <v>54</v>
      </c>
      <c r="H17278" s="4"/>
      <c r="I17278" s="4"/>
    </row>
    <row r="17279">
      <c r="A17279" s="4" t="str">
        <f>IFERROR(__xludf.DUMMYFUNCTION("""COMPUTED_VALUE"""),"cas_hmw")</f>
        <v>cas_hmw</v>
      </c>
      <c r="B17279" s="5">
        <f>IFERROR(__xludf.DUMMYFUNCTION("""COMPUTED_VALUE"""),44739.0)</f>
        <v>44739</v>
      </c>
      <c r="C17279" s="6">
        <f>IFERROR(__xludf.DUMMYFUNCTION("""COMPUTED_VALUE"""),0.7060300925913907)</f>
        <v>0.7060300926</v>
      </c>
      <c r="D17279" s="4">
        <f>IFERROR(__xludf.DUMMYFUNCTION("""COMPUTED_VALUE"""),13.03)</f>
        <v>13.03</v>
      </c>
      <c r="E17279" s="4">
        <f>IFERROR(__xludf.DUMMYFUNCTION("""COMPUTED_VALUE"""),80.237779)</f>
        <v>80.237779</v>
      </c>
      <c r="F17279" s="4">
        <f>IFERROR(__xludf.DUMMYFUNCTION("""COMPUTED_VALUE"""),5339.0)</f>
        <v>5339</v>
      </c>
      <c r="G17279" s="4">
        <f>IFERROR(__xludf.DUMMYFUNCTION("""COMPUTED_VALUE"""),41.0)</f>
        <v>41</v>
      </c>
      <c r="H17279" s="4"/>
      <c r="I17279" s="4"/>
    </row>
    <row r="17280">
      <c r="A17280" s="4" t="str">
        <f>IFERROR(__xludf.DUMMYFUNCTION("""COMPUTED_VALUE"""),"cas_hmw")</f>
        <v>cas_hmw</v>
      </c>
      <c r="B17280" s="5">
        <f>IFERROR(__xludf.DUMMYFUNCTION("""COMPUTED_VALUE"""),44739.0)</f>
        <v>44739</v>
      </c>
      <c r="C17280" s="6">
        <f>IFERROR(__xludf.DUMMYFUNCTION("""COMPUTED_VALUE"""),0.7063078703686188)</f>
        <v>0.7063078704</v>
      </c>
      <c r="D17280" s="4">
        <f>IFERROR(__xludf.DUMMYFUNCTION("""COMPUTED_VALUE"""),13.03)</f>
        <v>13.03</v>
      </c>
      <c r="E17280" s="4">
        <f>IFERROR(__xludf.DUMMYFUNCTION("""COMPUTED_VALUE"""),80.237779)</f>
        <v>80.237779</v>
      </c>
      <c r="F17280" s="4">
        <f>IFERROR(__xludf.DUMMYFUNCTION("""COMPUTED_VALUE"""),5339.0)</f>
        <v>5339</v>
      </c>
      <c r="G17280" s="4">
        <f>IFERROR(__xludf.DUMMYFUNCTION("""COMPUTED_VALUE"""),41.0)</f>
        <v>41</v>
      </c>
      <c r="H17280" s="4"/>
      <c r="I17280" s="4"/>
    </row>
    <row r="17281">
      <c r="A17281" s="4" t="str">
        <f>IFERROR(__xludf.DUMMYFUNCTION("""COMPUTED_VALUE"""),"cas_hmw")</f>
        <v>cas_hmw</v>
      </c>
      <c r="B17281" s="5">
        <f>IFERROR(__xludf.DUMMYFUNCTION("""COMPUTED_VALUE"""),44739.0)</f>
        <v>44739</v>
      </c>
      <c r="C17281" s="6">
        <f>IFERROR(__xludf.DUMMYFUNCTION("""COMPUTED_VALUE"""),0.7069791666654055)</f>
        <v>0.7069791667</v>
      </c>
      <c r="D17281" s="4">
        <f>IFERROR(__xludf.DUMMYFUNCTION("""COMPUTED_VALUE"""),12.655936)</f>
        <v>12.655936</v>
      </c>
      <c r="E17281" s="4">
        <f>IFERROR(__xludf.DUMMYFUNCTION("""COMPUTED_VALUE"""),79.95152)</f>
        <v>79.95152</v>
      </c>
      <c r="F17281" s="4">
        <f>IFERROR(__xludf.DUMMYFUNCTION("""COMPUTED_VALUE"""),2846.0)</f>
        <v>2846</v>
      </c>
      <c r="G17281" s="4">
        <f>IFERROR(__xludf.DUMMYFUNCTION("""COMPUTED_VALUE"""),37.0)</f>
        <v>37</v>
      </c>
      <c r="H17281" s="4"/>
      <c r="I17281" s="4"/>
    </row>
    <row r="17282">
      <c r="A17282" s="4" t="str">
        <f>IFERROR(__xludf.DUMMYFUNCTION("""COMPUTED_VALUE"""),"cas_hmw")</f>
        <v>cas_hmw</v>
      </c>
      <c r="B17282" s="5">
        <f>IFERROR(__xludf.DUMMYFUNCTION("""COMPUTED_VALUE"""),44739.0)</f>
        <v>44739</v>
      </c>
      <c r="C17282" s="6">
        <f>IFERROR(__xludf.DUMMYFUNCTION("""COMPUTED_VALUE"""),0.7074884259272949)</f>
        <v>0.7074884259</v>
      </c>
      <c r="D17282" s="4">
        <f>IFERROR(__xludf.DUMMYFUNCTION("""COMPUTED_VALUE"""),12.656686)</f>
        <v>12.656686</v>
      </c>
      <c r="E17282" s="4">
        <f>IFERROR(__xludf.DUMMYFUNCTION("""COMPUTED_VALUE"""),79.948955)</f>
        <v>79.948955</v>
      </c>
      <c r="F17282" s="4">
        <f>IFERROR(__xludf.DUMMYFUNCTION("""COMPUTED_VALUE"""),2846.0)</f>
        <v>2846</v>
      </c>
      <c r="G17282" s="4">
        <f>IFERROR(__xludf.DUMMYFUNCTION("""COMPUTED_VALUE"""),19.0)</f>
        <v>19</v>
      </c>
      <c r="H17282" s="4"/>
      <c r="I17282" s="4"/>
    </row>
    <row r="17283">
      <c r="A17283" s="4" t="str">
        <f>IFERROR(__xludf.DUMMYFUNCTION("""COMPUTED_VALUE"""),"cas_hmw")</f>
        <v>cas_hmw</v>
      </c>
      <c r="B17283" s="5">
        <f>IFERROR(__xludf.DUMMYFUNCTION("""COMPUTED_VALUE"""),44739.0)</f>
        <v>44739</v>
      </c>
      <c r="C17283" s="6">
        <f>IFERROR(__xludf.DUMMYFUNCTION("""COMPUTED_VALUE"""),0.7084027777782467)</f>
        <v>0.7084027778</v>
      </c>
      <c r="D17283" s="4">
        <f>IFERROR(__xludf.DUMMYFUNCTION("""COMPUTED_VALUE"""),13.009616)</f>
        <v>13.009616</v>
      </c>
      <c r="E17283" s="4">
        <f>IFERROR(__xludf.DUMMYFUNCTION("""COMPUTED_VALUE"""),80.259032)</f>
        <v>80.259032</v>
      </c>
      <c r="F17283" s="4">
        <f>IFERROR(__xludf.DUMMYFUNCTION("""COMPUTED_VALUE"""),805.0)</f>
        <v>805</v>
      </c>
      <c r="G17283" s="4">
        <f>IFERROR(__xludf.DUMMYFUNCTION("""COMPUTED_VALUE"""),37.0)</f>
        <v>37</v>
      </c>
      <c r="H17283" s="4"/>
      <c r="I17283" s="4"/>
    </row>
    <row r="17284">
      <c r="A17284" s="4" t="str">
        <f>IFERROR(__xludf.DUMMYFUNCTION("""COMPUTED_VALUE"""),"cas_hmw")</f>
        <v>cas_hmw</v>
      </c>
      <c r="B17284" s="5">
        <f>IFERROR(__xludf.DUMMYFUNCTION("""COMPUTED_VALUE"""),44739.0)</f>
        <v>44739</v>
      </c>
      <c r="C17284" s="6">
        <f>IFERROR(__xludf.DUMMYFUNCTION("""COMPUTED_VALUE"""),0.7084375000013097)</f>
        <v>0.7084375</v>
      </c>
      <c r="D17284" s="4">
        <f>IFERROR(__xludf.DUMMYFUNCTION("""COMPUTED_VALUE"""),13.011717)</f>
        <v>13.011717</v>
      </c>
      <c r="E17284" s="4">
        <f>IFERROR(__xludf.DUMMYFUNCTION("""COMPUTED_VALUE"""),80.259098)</f>
        <v>80.259098</v>
      </c>
      <c r="F17284" s="4">
        <f>IFERROR(__xludf.DUMMYFUNCTION("""COMPUTED_VALUE"""),805.0)</f>
        <v>805</v>
      </c>
      <c r="G17284" s="4">
        <f>IFERROR(__xludf.DUMMYFUNCTION("""COMPUTED_VALUE"""),57.0)</f>
        <v>57</v>
      </c>
      <c r="H17284" s="4"/>
      <c r="I17284" s="4"/>
    </row>
    <row r="17285">
      <c r="A17285" s="4" t="str">
        <f>IFERROR(__xludf.DUMMYFUNCTION("""COMPUTED_VALUE"""),"cas_hmw")</f>
        <v>cas_hmw</v>
      </c>
      <c r="B17285" s="5">
        <f>IFERROR(__xludf.DUMMYFUNCTION("""COMPUTED_VALUE"""),44739.0)</f>
        <v>44739</v>
      </c>
      <c r="C17285" s="6">
        <f>IFERROR(__xludf.DUMMYFUNCTION("""COMPUTED_VALUE"""),0.7109490740731417)</f>
        <v>0.7109490741</v>
      </c>
      <c r="D17285" s="4">
        <f>IFERROR(__xludf.DUMMYFUNCTION("""COMPUTED_VALUE"""),13.022941)</f>
        <v>13.022941</v>
      </c>
      <c r="E17285" s="4">
        <f>IFERROR(__xludf.DUMMYFUNCTION("""COMPUTED_VALUE"""),80.263797)</f>
        <v>80.263797</v>
      </c>
      <c r="F17285" s="4">
        <f>IFERROR(__xludf.DUMMYFUNCTION("""COMPUTED_VALUE"""),805.0)</f>
        <v>805</v>
      </c>
      <c r="G17285" s="4">
        <f>IFERROR(__xludf.DUMMYFUNCTION("""COMPUTED_VALUE"""),19.0)</f>
        <v>19</v>
      </c>
      <c r="H17285" s="4"/>
      <c r="I17285" s="4"/>
    </row>
    <row r="17286">
      <c r="A17286" s="4" t="str">
        <f>IFERROR(__xludf.DUMMYFUNCTION("""COMPUTED_VALUE"""),"cas_hmw")</f>
        <v>cas_hmw</v>
      </c>
      <c r="B17286" s="5">
        <f>IFERROR(__xludf.DUMMYFUNCTION("""COMPUTED_VALUE"""),44739.0)</f>
        <v>44739</v>
      </c>
      <c r="C17286" s="6">
        <f>IFERROR(__xludf.DUMMYFUNCTION("""COMPUTED_VALUE"""),0.7109490740731417)</f>
        <v>0.7109490741</v>
      </c>
      <c r="D17286" s="4">
        <f>IFERROR(__xludf.DUMMYFUNCTION("""COMPUTED_VALUE"""),13.022941)</f>
        <v>13.022941</v>
      </c>
      <c r="E17286" s="4">
        <f>IFERROR(__xludf.DUMMYFUNCTION("""COMPUTED_VALUE"""),80.263797)</f>
        <v>80.263797</v>
      </c>
      <c r="F17286" s="4">
        <f>IFERROR(__xludf.DUMMYFUNCTION("""COMPUTED_VALUE"""),805.0)</f>
        <v>805</v>
      </c>
      <c r="G17286" s="4">
        <f>IFERROR(__xludf.DUMMYFUNCTION("""COMPUTED_VALUE"""),19.0)</f>
        <v>19</v>
      </c>
      <c r="H17286" s="4"/>
      <c r="I17286" s="4"/>
    </row>
    <row r="17287">
      <c r="A17287" s="4" t="str">
        <f>IFERROR(__xludf.DUMMYFUNCTION("""COMPUTED_VALUE"""),"cas_hmw")</f>
        <v>cas_hmw</v>
      </c>
      <c r="B17287" s="5">
        <f>IFERROR(__xludf.DUMMYFUNCTION("""COMPUTED_VALUE"""),44739.0)</f>
        <v>44739</v>
      </c>
      <c r="C17287" s="6">
        <f>IFERROR(__xludf.DUMMYFUNCTION("""COMPUTED_VALUE"""),0.7114583333350311)</f>
        <v>0.7114583333</v>
      </c>
      <c r="D17287" s="4">
        <f>IFERROR(__xludf.DUMMYFUNCTION("""COMPUTED_VALUE"""),12.625002)</f>
        <v>12.625002</v>
      </c>
      <c r="E17287" s="4">
        <f>IFERROR(__xludf.DUMMYFUNCTION("""COMPUTED_VALUE"""),79.929106)</f>
        <v>79.929106</v>
      </c>
      <c r="F17287" s="4">
        <f>IFERROR(__xludf.DUMMYFUNCTION("""COMPUTED_VALUE"""),2846.0)</f>
        <v>2846</v>
      </c>
      <c r="G17287" s="4">
        <f>IFERROR(__xludf.DUMMYFUNCTION("""COMPUTED_VALUE"""),57.0)</f>
        <v>57</v>
      </c>
      <c r="H17287" s="4"/>
      <c r="I17287" s="4"/>
    </row>
    <row r="17288">
      <c r="A17288" s="4" t="str">
        <f>IFERROR(__xludf.DUMMYFUNCTION("""COMPUTED_VALUE"""),"cas_hmw")</f>
        <v>cas_hmw</v>
      </c>
      <c r="B17288" s="5">
        <f>IFERROR(__xludf.DUMMYFUNCTION("""COMPUTED_VALUE"""),44739.0)</f>
        <v>44739</v>
      </c>
      <c r="C17288" s="6">
        <f>IFERROR(__xludf.DUMMYFUNCTION("""COMPUTED_VALUE"""),0.7118750000008731)</f>
        <v>0.711875</v>
      </c>
      <c r="D17288" s="4">
        <f>IFERROR(__xludf.DUMMYFUNCTION("""COMPUTED_VALUE"""),13.048081)</f>
        <v>13.048081</v>
      </c>
      <c r="E17288" s="4">
        <f>IFERROR(__xludf.DUMMYFUNCTION("""COMPUTED_VALUE"""),80.249002)</f>
        <v>80.249002</v>
      </c>
      <c r="F17288" s="4">
        <f>IFERROR(__xludf.DUMMYFUNCTION("""COMPUTED_VALUE"""),5339.0)</f>
        <v>5339</v>
      </c>
      <c r="G17288" s="4">
        <f>IFERROR(__xludf.DUMMYFUNCTION("""COMPUTED_VALUE"""),27.0)</f>
        <v>27</v>
      </c>
      <c r="H17288" s="4"/>
      <c r="I17288" s="4"/>
    </row>
    <row r="17289">
      <c r="A17289" s="4" t="str">
        <f>IFERROR(__xludf.DUMMYFUNCTION("""COMPUTED_VALUE"""),"cas_hmw")</f>
        <v>cas_hmw</v>
      </c>
      <c r="B17289" s="5">
        <f>IFERROR(__xludf.DUMMYFUNCTION("""COMPUTED_VALUE"""),44739.0)</f>
        <v>44739</v>
      </c>
      <c r="C17289" s="6">
        <f>IFERROR(__xludf.DUMMYFUNCTION("""COMPUTED_VALUE"""),0.7119560185201408)</f>
        <v>0.7119560185</v>
      </c>
      <c r="D17289" s="4">
        <f>IFERROR(__xludf.DUMMYFUNCTION("""COMPUTED_VALUE"""),12.62235)</f>
        <v>12.62235</v>
      </c>
      <c r="E17289" s="4">
        <f>IFERROR(__xludf.DUMMYFUNCTION("""COMPUTED_VALUE"""),79.927943)</f>
        <v>79.927943</v>
      </c>
      <c r="F17289" s="4">
        <f>IFERROR(__xludf.DUMMYFUNCTION("""COMPUTED_VALUE"""),2846.0)</f>
        <v>2846</v>
      </c>
      <c r="G17289" s="4">
        <f>IFERROR(__xludf.DUMMYFUNCTION("""COMPUTED_VALUE"""),58.0)</f>
        <v>58</v>
      </c>
      <c r="H17289" s="4"/>
      <c r="I17289" s="4"/>
    </row>
    <row r="17290">
      <c r="A17290" s="4" t="str">
        <f>IFERROR(__xludf.DUMMYFUNCTION("""COMPUTED_VALUE"""),"cas_hmw")</f>
        <v>cas_hmw</v>
      </c>
      <c r="B17290" s="5">
        <f>IFERROR(__xludf.DUMMYFUNCTION("""COMPUTED_VALUE"""),44739.0)</f>
        <v>44739</v>
      </c>
      <c r="C17290" s="6">
        <f>IFERROR(__xludf.DUMMYFUNCTION("""COMPUTED_VALUE"""),0.7119560185201408)</f>
        <v>0.7119560185</v>
      </c>
      <c r="D17290" s="4">
        <f>IFERROR(__xludf.DUMMYFUNCTION("""COMPUTED_VALUE"""),12.619565)</f>
        <v>12.619565</v>
      </c>
      <c r="E17290" s="4">
        <f>IFERROR(__xludf.DUMMYFUNCTION("""COMPUTED_VALUE"""),79.927048)</f>
        <v>79.927048</v>
      </c>
      <c r="F17290" s="4">
        <f>IFERROR(__xludf.DUMMYFUNCTION("""COMPUTED_VALUE"""),2846.0)</f>
        <v>2846</v>
      </c>
      <c r="G17290" s="4">
        <f>IFERROR(__xludf.DUMMYFUNCTION("""COMPUTED_VALUE"""),59.0)</f>
        <v>59</v>
      </c>
      <c r="H17290" s="4"/>
      <c r="I17290" s="4"/>
    </row>
    <row r="17291">
      <c r="A17291" s="4" t="str">
        <f>IFERROR(__xludf.DUMMYFUNCTION("""COMPUTED_VALUE"""),"cas_hmw")</f>
        <v>cas_hmw</v>
      </c>
      <c r="B17291" s="5">
        <f>IFERROR(__xludf.DUMMYFUNCTION("""COMPUTED_VALUE"""),44739.0)</f>
        <v>44739</v>
      </c>
      <c r="C17291" s="6">
        <f>IFERROR(__xludf.DUMMYFUNCTION("""COMPUTED_VALUE"""),0.7135763888873043)</f>
        <v>0.7135763889</v>
      </c>
      <c r="D17291" s="4">
        <f>IFERROR(__xludf.DUMMYFUNCTION("""COMPUTED_VALUE"""),12.603998)</f>
        <v>12.603998</v>
      </c>
      <c r="E17291" s="4">
        <f>IFERROR(__xludf.DUMMYFUNCTION("""COMPUTED_VALUE"""),79.92049)</f>
        <v>79.92049</v>
      </c>
      <c r="F17291" s="4">
        <f>IFERROR(__xludf.DUMMYFUNCTION("""COMPUTED_VALUE"""),2846.0)</f>
        <v>2846</v>
      </c>
      <c r="G17291" s="4">
        <f>IFERROR(__xludf.DUMMYFUNCTION("""COMPUTED_VALUE"""),55.0)</f>
        <v>55</v>
      </c>
      <c r="H17291" s="4"/>
      <c r="I17291" s="4"/>
    </row>
    <row r="17292">
      <c r="A17292" s="4" t="str">
        <f>IFERROR(__xludf.DUMMYFUNCTION("""COMPUTED_VALUE"""),"cas_hmw")</f>
        <v>cas_hmw</v>
      </c>
      <c r="B17292" s="5">
        <f>IFERROR(__xludf.DUMMYFUNCTION("""COMPUTED_VALUE"""),44739.0)</f>
        <v>44739</v>
      </c>
      <c r="C17292" s="6">
        <f>IFERROR(__xludf.DUMMYFUNCTION("""COMPUTED_VALUE"""),0.7144097222226264)</f>
        <v>0.7144097222</v>
      </c>
      <c r="D17292" s="4">
        <f>IFERROR(__xludf.DUMMYFUNCTION("""COMPUTED_VALUE"""),12.595911)</f>
        <v>12.595911</v>
      </c>
      <c r="E17292" s="4">
        <f>IFERROR(__xludf.DUMMYFUNCTION("""COMPUTED_VALUE"""),79.919556)</f>
        <v>79.919556</v>
      </c>
      <c r="F17292" s="4">
        <f>IFERROR(__xludf.DUMMYFUNCTION("""COMPUTED_VALUE"""),2846.0)</f>
        <v>2846</v>
      </c>
      <c r="G17292" s="4">
        <f>IFERROR(__xludf.DUMMYFUNCTION("""COMPUTED_VALUE"""),58.0)</f>
        <v>58</v>
      </c>
      <c r="H17292" s="4"/>
      <c r="I17292" s="4"/>
    </row>
    <row r="17293">
      <c r="A17293" s="4" t="str">
        <f>IFERROR(__xludf.DUMMYFUNCTION("""COMPUTED_VALUE"""),"cas_hmw")</f>
        <v>cas_hmw</v>
      </c>
      <c r="B17293" s="5">
        <f>IFERROR(__xludf.DUMMYFUNCTION("""COMPUTED_VALUE"""),44739.0)</f>
        <v>44739</v>
      </c>
      <c r="C17293" s="6">
        <f>IFERROR(__xludf.DUMMYFUNCTION("""COMPUTED_VALUE"""),0.7145601851843821)</f>
        <v>0.7145601852</v>
      </c>
      <c r="D17293" s="4">
        <f>IFERROR(__xludf.DUMMYFUNCTION("""COMPUTED_VALUE"""),13.054302)</f>
        <v>13.054302</v>
      </c>
      <c r="E17293" s="4">
        <f>IFERROR(__xludf.DUMMYFUNCTION("""COMPUTED_VALUE"""),80.260492)</f>
        <v>80.260492</v>
      </c>
      <c r="F17293" s="4">
        <f>IFERROR(__xludf.DUMMYFUNCTION("""COMPUTED_VALUE"""),5339.0)</f>
        <v>5339</v>
      </c>
      <c r="G17293" s="4">
        <f>IFERROR(__xludf.DUMMYFUNCTION("""COMPUTED_VALUE"""),25.0)</f>
        <v>25</v>
      </c>
      <c r="H17293" s="4"/>
      <c r="I17293" s="4"/>
    </row>
    <row r="17294">
      <c r="A17294" s="4" t="str">
        <f>IFERROR(__xludf.DUMMYFUNCTION("""COMPUTED_VALUE"""),"cas_hmw")</f>
        <v>cas_hmw</v>
      </c>
      <c r="B17294" s="5">
        <f>IFERROR(__xludf.DUMMYFUNCTION("""COMPUTED_VALUE"""),44739.0)</f>
        <v>44739</v>
      </c>
      <c r="C17294" s="6">
        <f>IFERROR(__xludf.DUMMYFUNCTION("""COMPUTED_VALUE"""),0.7147569444459805)</f>
        <v>0.7147569444</v>
      </c>
      <c r="D17294" s="4">
        <f>IFERROR(__xludf.DUMMYFUNCTION("""COMPUTED_VALUE"""),13.054126)</f>
        <v>13.054126</v>
      </c>
      <c r="E17294" s="4">
        <f>IFERROR(__xludf.DUMMYFUNCTION("""COMPUTED_VALUE"""),80.261798)</f>
        <v>80.261798</v>
      </c>
      <c r="F17294" s="4">
        <f>IFERROR(__xludf.DUMMYFUNCTION("""COMPUTED_VALUE"""),5339.0)</f>
        <v>5339</v>
      </c>
      <c r="G17294" s="4">
        <f>IFERROR(__xludf.DUMMYFUNCTION("""COMPUTED_VALUE"""),30.0)</f>
        <v>30</v>
      </c>
      <c r="H17294" s="4"/>
      <c r="I17294" s="4"/>
    </row>
    <row r="17295">
      <c r="A17295" s="4" t="str">
        <f>IFERROR(__xludf.DUMMYFUNCTION("""COMPUTED_VALUE"""),"cas_hmw")</f>
        <v>cas_hmw</v>
      </c>
      <c r="B17295" s="5">
        <f>IFERROR(__xludf.DUMMYFUNCTION("""COMPUTED_VALUE"""),44739.0)</f>
        <v>44739</v>
      </c>
      <c r="C17295" s="6">
        <f>IFERROR(__xludf.DUMMYFUNCTION("""COMPUTED_VALUE"""),0.7150000000001455)</f>
        <v>0.715</v>
      </c>
      <c r="D17295" s="4">
        <f>IFERROR(__xludf.DUMMYFUNCTION("""COMPUTED_VALUE"""),13.053907)</f>
        <v>13.053907</v>
      </c>
      <c r="E17295" s="4">
        <f>IFERROR(__xludf.DUMMYFUNCTION("""COMPUTED_VALUE"""),80.263636)</f>
        <v>80.263636</v>
      </c>
      <c r="F17295" s="4">
        <f>IFERROR(__xludf.DUMMYFUNCTION("""COMPUTED_VALUE"""),5339.0)</f>
        <v>5339</v>
      </c>
      <c r="G17295" s="4">
        <f>IFERROR(__xludf.DUMMYFUNCTION("""COMPUTED_VALUE"""),34.0)</f>
        <v>34</v>
      </c>
      <c r="H17295" s="4"/>
      <c r="I17295" s="4"/>
    </row>
    <row r="17296">
      <c r="A17296" s="4" t="str">
        <f>IFERROR(__xludf.DUMMYFUNCTION("""COMPUTED_VALUE"""),"cas_hmw")</f>
        <v>cas_hmw</v>
      </c>
      <c r="B17296" s="5">
        <f>IFERROR(__xludf.DUMMYFUNCTION("""COMPUTED_VALUE"""),44739.0)</f>
        <v>44739</v>
      </c>
      <c r="C17296" s="6">
        <f>IFERROR(__xludf.DUMMYFUNCTION("""COMPUTED_VALUE"""),0.7152662037042319)</f>
        <v>0.7152662037</v>
      </c>
      <c r="D17296" s="4">
        <f>IFERROR(__xludf.DUMMYFUNCTION("""COMPUTED_VALUE"""),13.05382)</f>
        <v>13.05382</v>
      </c>
      <c r="E17296" s="4">
        <f>IFERROR(__xludf.DUMMYFUNCTION("""COMPUTED_VALUE"""),80.264525)</f>
        <v>80.264525</v>
      </c>
      <c r="F17296" s="4">
        <f>IFERROR(__xludf.DUMMYFUNCTION("""COMPUTED_VALUE"""),5339.0)</f>
        <v>5339</v>
      </c>
      <c r="G17296" s="4">
        <f>IFERROR(__xludf.DUMMYFUNCTION("""COMPUTED_VALUE"""),36.0)</f>
        <v>36</v>
      </c>
      <c r="H17296" s="4"/>
      <c r="I17296" s="4"/>
    </row>
    <row r="17297">
      <c r="A17297" s="4" t="str">
        <f>IFERROR(__xludf.DUMMYFUNCTION("""COMPUTED_VALUE"""),"cas_hmw")</f>
        <v>cas_hmw</v>
      </c>
      <c r="B17297" s="5">
        <f>IFERROR(__xludf.DUMMYFUNCTION("""COMPUTED_VALUE"""),44739.0)</f>
        <v>44739</v>
      </c>
      <c r="C17297" s="6">
        <f>IFERROR(__xludf.DUMMYFUNCTION("""COMPUTED_VALUE"""),0.7153356481467199)</f>
        <v>0.7153356481</v>
      </c>
      <c r="D17297" s="4">
        <f>IFERROR(__xludf.DUMMYFUNCTION("""COMPUTED_VALUE"""),13.05382)</f>
        <v>13.05382</v>
      </c>
      <c r="E17297" s="4">
        <f>IFERROR(__xludf.DUMMYFUNCTION("""COMPUTED_VALUE"""),80.264525)</f>
        <v>80.264525</v>
      </c>
      <c r="F17297" s="4">
        <f>IFERROR(__xludf.DUMMYFUNCTION("""COMPUTED_VALUE"""),5339.0)</f>
        <v>5339</v>
      </c>
      <c r="G17297" s="4">
        <f>IFERROR(__xludf.DUMMYFUNCTION("""COMPUTED_VALUE"""),36.0)</f>
        <v>36</v>
      </c>
      <c r="H17297" s="4"/>
      <c r="I17297" s="4"/>
    </row>
    <row r="17298">
      <c r="A17298" s="4" t="str">
        <f>IFERROR(__xludf.DUMMYFUNCTION("""COMPUTED_VALUE"""),"cas_hmw")</f>
        <v>cas_hmw</v>
      </c>
      <c r="B17298" s="5">
        <f>IFERROR(__xludf.DUMMYFUNCTION("""COMPUTED_VALUE"""),44739.0)</f>
        <v>44739</v>
      </c>
      <c r="C17298" s="6">
        <f>IFERROR(__xludf.DUMMYFUNCTION("""COMPUTED_VALUE"""),0.718402777776646)</f>
        <v>0.7184027778</v>
      </c>
      <c r="D17298" s="4">
        <f>IFERROR(__xludf.DUMMYFUNCTION("""COMPUTED_VALUE"""),12.557285)</f>
        <v>12.557285</v>
      </c>
      <c r="E17298" s="4">
        <f>IFERROR(__xludf.DUMMYFUNCTION("""COMPUTED_VALUE"""),79.90972)</f>
        <v>79.90972</v>
      </c>
      <c r="F17298" s="4">
        <f>IFERROR(__xludf.DUMMYFUNCTION("""COMPUTED_VALUE"""),2846.0)</f>
        <v>2846</v>
      </c>
      <c r="G17298" s="4">
        <f>IFERROR(__xludf.DUMMYFUNCTION("""COMPUTED_VALUE"""),54.0)</f>
        <v>54</v>
      </c>
      <c r="H17298" s="4"/>
      <c r="I17298" s="4"/>
    </row>
    <row r="17299">
      <c r="A17299" s="4" t="str">
        <f>IFERROR(__xludf.DUMMYFUNCTION("""COMPUTED_VALUE"""),"cas_hmw")</f>
        <v>cas_hmw</v>
      </c>
      <c r="B17299" s="5">
        <f>IFERROR(__xludf.DUMMYFUNCTION("""COMPUTED_VALUE"""),44739.0)</f>
        <v>44739</v>
      </c>
      <c r="C17299" s="6">
        <f>IFERROR(__xludf.DUMMYFUNCTION("""COMPUTED_VALUE"""),0.7192824074081727)</f>
        <v>0.7192824074</v>
      </c>
      <c r="D17299" s="4">
        <f>IFERROR(__xludf.DUMMYFUNCTION("""COMPUTED_VALUE"""),13.041006)</f>
        <v>13.041006</v>
      </c>
      <c r="E17299" s="4">
        <f>IFERROR(__xludf.DUMMYFUNCTION("""COMPUTED_VALUE"""),80.268134)</f>
        <v>80.268134</v>
      </c>
      <c r="F17299" s="4">
        <f>IFERROR(__xludf.DUMMYFUNCTION("""COMPUTED_VALUE"""),805.0)</f>
        <v>805</v>
      </c>
      <c r="G17299" s="4">
        <f>IFERROR(__xludf.DUMMYFUNCTION("""COMPUTED_VALUE"""),16.0)</f>
        <v>16</v>
      </c>
      <c r="H17299" s="4"/>
      <c r="I17299" s="4"/>
    </row>
    <row r="17300">
      <c r="A17300" s="4" t="str">
        <f>IFERROR(__xludf.DUMMYFUNCTION("""COMPUTED_VALUE"""),"cas_hmw")</f>
        <v>cas_hmw</v>
      </c>
      <c r="B17300" s="5">
        <f>IFERROR(__xludf.DUMMYFUNCTION("""COMPUTED_VALUE"""),44739.0)</f>
        <v>44739</v>
      </c>
      <c r="C17300" s="6">
        <f>IFERROR(__xludf.DUMMYFUNCTION("""COMPUTED_VALUE"""),0.7193402777775191)</f>
        <v>0.7193402778</v>
      </c>
      <c r="D17300" s="4">
        <f>IFERROR(__xludf.DUMMYFUNCTION("""COMPUTED_VALUE"""),13.041006)</f>
        <v>13.041006</v>
      </c>
      <c r="E17300" s="4">
        <f>IFERROR(__xludf.DUMMYFUNCTION("""COMPUTED_VALUE"""),80.268134)</f>
        <v>80.268134</v>
      </c>
      <c r="F17300" s="4">
        <f>IFERROR(__xludf.DUMMYFUNCTION("""COMPUTED_VALUE"""),805.0)</f>
        <v>805</v>
      </c>
      <c r="G17300" s="4">
        <f>IFERROR(__xludf.DUMMYFUNCTION("""COMPUTED_VALUE"""),16.0)</f>
        <v>16</v>
      </c>
      <c r="H17300" s="4"/>
      <c r="I17300" s="4"/>
    </row>
    <row r="17301">
      <c r="A17301" s="4" t="str">
        <f>IFERROR(__xludf.DUMMYFUNCTION("""COMPUTED_VALUE"""),"cas_hmw")</f>
        <v>cas_hmw</v>
      </c>
      <c r="B17301" s="5">
        <f>IFERROR(__xludf.DUMMYFUNCTION("""COMPUTED_VALUE"""),44739.0)</f>
        <v>44739</v>
      </c>
      <c r="C17301" s="6">
        <f>IFERROR(__xludf.DUMMYFUNCTION("""COMPUTED_VALUE"""),0.7193750000005821)</f>
        <v>0.719375</v>
      </c>
      <c r="D17301" s="4">
        <f>IFERROR(__xludf.DUMMYFUNCTION("""COMPUTED_VALUE"""),13.041006)</f>
        <v>13.041006</v>
      </c>
      <c r="E17301" s="4">
        <f>IFERROR(__xludf.DUMMYFUNCTION("""COMPUTED_VALUE"""),80.268134)</f>
        <v>80.268134</v>
      </c>
      <c r="F17301" s="4">
        <f>IFERROR(__xludf.DUMMYFUNCTION("""COMPUTED_VALUE"""),805.0)</f>
        <v>805</v>
      </c>
      <c r="G17301" s="4">
        <f>IFERROR(__xludf.DUMMYFUNCTION("""COMPUTED_VALUE"""),16.0)</f>
        <v>16</v>
      </c>
      <c r="H17301" s="4"/>
      <c r="I17301" s="4"/>
    </row>
    <row r="17302">
      <c r="A17302" s="4" t="str">
        <f>IFERROR(__xludf.DUMMYFUNCTION("""COMPUTED_VALUE"""),"cas_hmw")</f>
        <v>cas_hmw</v>
      </c>
      <c r="B17302" s="5">
        <f>IFERROR(__xludf.DUMMYFUNCTION("""COMPUTED_VALUE"""),44739.0)</f>
        <v>44739</v>
      </c>
      <c r="C17302" s="6">
        <f>IFERROR(__xludf.DUMMYFUNCTION("""COMPUTED_VALUE"""),0.7195601851854008)</f>
        <v>0.7195601852</v>
      </c>
      <c r="D17302" s="4">
        <f>IFERROR(__xludf.DUMMYFUNCTION("""COMPUTED_VALUE"""),12.540369)</f>
        <v>12.540369</v>
      </c>
      <c r="E17302" s="4">
        <f>IFERROR(__xludf.DUMMYFUNCTION("""COMPUTED_VALUE"""),79.904412)</f>
        <v>79.904412</v>
      </c>
      <c r="F17302" s="4">
        <f>IFERROR(__xludf.DUMMYFUNCTION("""COMPUTED_VALUE"""),2846.0)</f>
        <v>2846</v>
      </c>
      <c r="G17302" s="4">
        <f>IFERROR(__xludf.DUMMYFUNCTION("""COMPUTED_VALUE"""),57.0)</f>
        <v>57</v>
      </c>
      <c r="H17302" s="4"/>
      <c r="I17302" s="4"/>
    </row>
    <row r="17303">
      <c r="A17303" s="4" t="str">
        <f>IFERROR(__xludf.DUMMYFUNCTION("""COMPUTED_VALUE"""),"cas_hmw")</f>
        <v>cas_hmw</v>
      </c>
      <c r="B17303" s="5">
        <f>IFERROR(__xludf.DUMMYFUNCTION("""COMPUTED_VALUE"""),44739.0)</f>
        <v>44739</v>
      </c>
      <c r="C17303" s="6">
        <f>IFERROR(__xludf.DUMMYFUNCTION("""COMPUTED_VALUE"""),0.7195717592585424)</f>
        <v>0.7195717593</v>
      </c>
      <c r="D17303" s="4">
        <f>IFERROR(__xludf.DUMMYFUNCTION("""COMPUTED_VALUE"""),13.041006)</f>
        <v>13.041006</v>
      </c>
      <c r="E17303" s="4">
        <f>IFERROR(__xludf.DUMMYFUNCTION("""COMPUTED_VALUE"""),80.268134)</f>
        <v>80.268134</v>
      </c>
      <c r="F17303" s="4">
        <f>IFERROR(__xludf.DUMMYFUNCTION("""COMPUTED_VALUE"""),805.0)</f>
        <v>805</v>
      </c>
      <c r="G17303" s="4">
        <f>IFERROR(__xludf.DUMMYFUNCTION("""COMPUTED_VALUE"""),16.0)</f>
        <v>16</v>
      </c>
      <c r="H17303" s="4"/>
      <c r="I17303" s="4"/>
    </row>
    <row r="17304">
      <c r="A17304" s="4" t="str">
        <f>IFERROR(__xludf.DUMMYFUNCTION("""COMPUTED_VALUE"""),"cas_hmw")</f>
        <v>cas_hmw</v>
      </c>
      <c r="B17304" s="5">
        <f>IFERROR(__xludf.DUMMYFUNCTION("""COMPUTED_VALUE"""),44739.0)</f>
        <v>44739</v>
      </c>
      <c r="C17304" s="6">
        <f>IFERROR(__xludf.DUMMYFUNCTION("""COMPUTED_VALUE"""),0.7198379629626288)</f>
        <v>0.719837963</v>
      </c>
      <c r="D17304" s="4">
        <f>IFERROR(__xludf.DUMMYFUNCTION("""COMPUTED_VALUE"""),12.536524)</f>
        <v>12.536524</v>
      </c>
      <c r="E17304" s="4">
        <f>IFERROR(__xludf.DUMMYFUNCTION("""COMPUTED_VALUE"""),79.902835)</f>
        <v>79.902835</v>
      </c>
      <c r="F17304" s="4">
        <f>IFERROR(__xludf.DUMMYFUNCTION("""COMPUTED_VALUE"""),2846.0)</f>
        <v>2846</v>
      </c>
      <c r="G17304" s="4">
        <f>IFERROR(__xludf.DUMMYFUNCTION("""COMPUTED_VALUE"""),56.0)</f>
        <v>56</v>
      </c>
      <c r="H17304" s="4"/>
      <c r="I17304" s="4"/>
    </row>
    <row r="17305">
      <c r="A17305" s="4" t="str">
        <f>IFERROR(__xludf.DUMMYFUNCTION("""COMPUTED_VALUE"""),"cas_hmw")</f>
        <v>cas_hmw</v>
      </c>
      <c r="B17305" s="5">
        <f>IFERROR(__xludf.DUMMYFUNCTION("""COMPUTED_VALUE"""),44739.0)</f>
        <v>44739</v>
      </c>
      <c r="C17305" s="6">
        <f>IFERROR(__xludf.DUMMYFUNCTION("""COMPUTED_VALUE"""),0.721226851852407)</f>
        <v>0.7212268519</v>
      </c>
      <c r="D17305" s="4">
        <f>IFERROR(__xludf.DUMMYFUNCTION("""COMPUTED_VALUE"""),12.522094)</f>
        <v>12.522094</v>
      </c>
      <c r="E17305" s="4">
        <f>IFERROR(__xludf.DUMMYFUNCTION("""COMPUTED_VALUE"""),79.895659)</f>
        <v>79.895659</v>
      </c>
      <c r="F17305" s="4">
        <f>IFERROR(__xludf.DUMMYFUNCTION("""COMPUTED_VALUE"""),2846.0)</f>
        <v>2846</v>
      </c>
      <c r="G17305" s="4">
        <f>IFERROR(__xludf.DUMMYFUNCTION("""COMPUTED_VALUE"""),57.0)</f>
        <v>57</v>
      </c>
      <c r="H17305" s="4"/>
      <c r="I17305" s="4"/>
    </row>
    <row r="17306">
      <c r="A17306" s="4" t="str">
        <f>IFERROR(__xludf.DUMMYFUNCTION("""COMPUTED_VALUE"""),"cas_hmw")</f>
        <v>cas_hmw</v>
      </c>
      <c r="B17306" s="5">
        <f>IFERROR(__xludf.DUMMYFUNCTION("""COMPUTED_VALUE"""),44739.0)</f>
        <v>44739</v>
      </c>
      <c r="C17306" s="6">
        <f>IFERROR(__xludf.DUMMYFUNCTION("""COMPUTED_VALUE"""),0.7271180555544561)</f>
        <v>0.7271180556</v>
      </c>
      <c r="D17306" s="4">
        <f>IFERROR(__xludf.DUMMYFUNCTION("""COMPUTED_VALUE"""),13.072452)</f>
        <v>13.072452</v>
      </c>
      <c r="E17306" s="4">
        <f>IFERROR(__xludf.DUMMYFUNCTION("""COMPUTED_VALUE"""),80.263179)</f>
        <v>80.263179</v>
      </c>
      <c r="F17306" s="4">
        <f>IFERROR(__xludf.DUMMYFUNCTION("""COMPUTED_VALUE"""),5339.0)</f>
        <v>5339</v>
      </c>
      <c r="G17306" s="4">
        <f>IFERROR(__xludf.DUMMYFUNCTION("""COMPUTED_VALUE"""),12.0)</f>
        <v>12</v>
      </c>
      <c r="H17306" s="4"/>
      <c r="I17306" s="4"/>
    </row>
    <row r="17307">
      <c r="A17307" s="4" t="str">
        <f>IFERROR(__xludf.DUMMYFUNCTION("""COMPUTED_VALUE"""),"cas_hmw")</f>
        <v>cas_hmw</v>
      </c>
      <c r="B17307" s="5">
        <f>IFERROR(__xludf.DUMMYFUNCTION("""COMPUTED_VALUE"""),44739.0)</f>
        <v>44739</v>
      </c>
      <c r="C17307" s="6">
        <f>IFERROR(__xludf.DUMMYFUNCTION("""COMPUTED_VALUE"""),0.7271412037043774)</f>
        <v>0.7271412037</v>
      </c>
      <c r="D17307" s="4">
        <f>IFERROR(__xludf.DUMMYFUNCTION("""COMPUTED_VALUE"""),13.072452)</f>
        <v>13.072452</v>
      </c>
      <c r="E17307" s="4">
        <f>IFERROR(__xludf.DUMMYFUNCTION("""COMPUTED_VALUE"""),80.263179)</f>
        <v>80.263179</v>
      </c>
      <c r="F17307" s="4">
        <f>IFERROR(__xludf.DUMMYFUNCTION("""COMPUTED_VALUE"""),5339.0)</f>
        <v>5339</v>
      </c>
      <c r="G17307" s="4">
        <f>IFERROR(__xludf.DUMMYFUNCTION("""COMPUTED_VALUE"""),12.0)</f>
        <v>12</v>
      </c>
      <c r="H17307" s="4"/>
      <c r="I17307" s="4"/>
    </row>
    <row r="17308">
      <c r="A17308" s="4" t="str">
        <f>IFERROR(__xludf.DUMMYFUNCTION("""COMPUTED_VALUE"""),"cas_hmw")</f>
        <v>cas_hmw</v>
      </c>
      <c r="B17308" s="5">
        <f>IFERROR(__xludf.DUMMYFUNCTION("""COMPUTED_VALUE"""),44739.0)</f>
        <v>44739</v>
      </c>
      <c r="C17308" s="6">
        <f>IFERROR(__xludf.DUMMYFUNCTION("""COMPUTED_VALUE"""),0.7271875000005821)</f>
        <v>0.7271875</v>
      </c>
      <c r="D17308" s="4">
        <f>IFERROR(__xludf.DUMMYFUNCTION("""COMPUTED_VALUE"""),13.072452)</f>
        <v>13.072452</v>
      </c>
      <c r="E17308" s="4">
        <f>IFERROR(__xludf.DUMMYFUNCTION("""COMPUTED_VALUE"""),80.263179)</f>
        <v>80.263179</v>
      </c>
      <c r="F17308" s="4">
        <f>IFERROR(__xludf.DUMMYFUNCTION("""COMPUTED_VALUE"""),5339.0)</f>
        <v>5339</v>
      </c>
      <c r="G17308" s="4">
        <f>IFERROR(__xludf.DUMMYFUNCTION("""COMPUTED_VALUE"""),12.0)</f>
        <v>12</v>
      </c>
      <c r="H17308" s="4"/>
      <c r="I17308" s="4"/>
    </row>
    <row r="17309">
      <c r="A17309" s="4" t="str">
        <f>IFERROR(__xludf.DUMMYFUNCTION("""COMPUTED_VALUE"""),"cas_hmw")</f>
        <v>cas_hmw</v>
      </c>
      <c r="B17309" s="5">
        <f>IFERROR(__xludf.DUMMYFUNCTION("""COMPUTED_VALUE"""),44739.0)</f>
        <v>44739</v>
      </c>
      <c r="C17309" s="6">
        <f>IFERROR(__xludf.DUMMYFUNCTION("""COMPUTED_VALUE"""),0.7324189814826241)</f>
        <v>0.7324189815</v>
      </c>
      <c r="D17309" s="4">
        <f>IFERROR(__xludf.DUMMYFUNCTION("""COMPUTED_VALUE"""),13.06766)</f>
        <v>13.06766</v>
      </c>
      <c r="E17309" s="4">
        <f>IFERROR(__xludf.DUMMYFUNCTION("""COMPUTED_VALUE"""),80.255134)</f>
        <v>80.255134</v>
      </c>
      <c r="F17309" s="4">
        <f>IFERROR(__xludf.DUMMYFUNCTION("""COMPUTED_VALUE"""),805.0)</f>
        <v>805</v>
      </c>
      <c r="G17309" s="4">
        <f>IFERROR(__xludf.DUMMYFUNCTION("""COMPUTED_VALUE"""),0.0)</f>
        <v>0</v>
      </c>
      <c r="H17309" s="4"/>
      <c r="I17309" s="4"/>
    </row>
    <row r="17310">
      <c r="A17310" s="4" t="str">
        <f>IFERROR(__xludf.DUMMYFUNCTION("""COMPUTED_VALUE"""),"cas_hmw")</f>
        <v>cas_hmw</v>
      </c>
      <c r="B17310" s="5">
        <f>IFERROR(__xludf.DUMMYFUNCTION("""COMPUTED_VALUE"""),44739.0)</f>
        <v>44739</v>
      </c>
      <c r="C17310" s="6">
        <f>IFERROR(__xludf.DUMMYFUNCTION("""COMPUTED_VALUE"""),0.7324421296289074)</f>
        <v>0.7324421296</v>
      </c>
      <c r="D17310" s="4">
        <f>IFERROR(__xludf.DUMMYFUNCTION("""COMPUTED_VALUE"""),13.06766)</f>
        <v>13.06766</v>
      </c>
      <c r="E17310" s="4">
        <f>IFERROR(__xludf.DUMMYFUNCTION("""COMPUTED_VALUE"""),80.255134)</f>
        <v>80.255134</v>
      </c>
      <c r="F17310" s="4">
        <f>IFERROR(__xludf.DUMMYFUNCTION("""COMPUTED_VALUE"""),805.0)</f>
        <v>805</v>
      </c>
      <c r="G17310" s="4">
        <f>IFERROR(__xludf.DUMMYFUNCTION("""COMPUTED_VALUE"""),0.0)</f>
        <v>0</v>
      </c>
      <c r="H17310" s="4"/>
      <c r="I17310" s="4"/>
    </row>
    <row r="17311">
      <c r="A17311" s="4" t="str">
        <f>IFERROR(__xludf.DUMMYFUNCTION("""COMPUTED_VALUE"""),"cas_hmw")</f>
        <v>cas_hmw</v>
      </c>
      <c r="B17311" s="5">
        <f>IFERROR(__xludf.DUMMYFUNCTION("""COMPUTED_VALUE"""),44739.0)</f>
        <v>44739</v>
      </c>
      <c r="C17311" s="6">
        <f>IFERROR(__xludf.DUMMYFUNCTION("""COMPUTED_VALUE"""),0.7325810185175214)</f>
        <v>0.7325810185</v>
      </c>
      <c r="D17311" s="4">
        <f>IFERROR(__xludf.DUMMYFUNCTION("""COMPUTED_VALUE"""),13.067515)</f>
        <v>13.067515</v>
      </c>
      <c r="E17311" s="4">
        <f>IFERROR(__xludf.DUMMYFUNCTION("""COMPUTED_VALUE"""),80.255074)</f>
        <v>80.255074</v>
      </c>
      <c r="F17311" s="4">
        <f>IFERROR(__xludf.DUMMYFUNCTION("""COMPUTED_VALUE"""),805.0)</f>
        <v>805</v>
      </c>
      <c r="G17311" s="4">
        <f>IFERROR(__xludf.DUMMYFUNCTION("""COMPUTED_VALUE"""),0.0)</f>
        <v>0</v>
      </c>
      <c r="H17311" s="4"/>
      <c r="I17311" s="4"/>
    </row>
    <row r="17312">
      <c r="A17312" s="4" t="str">
        <f>IFERROR(__xludf.DUMMYFUNCTION("""COMPUTED_VALUE"""),"cas_hmw")</f>
        <v>cas_hmw</v>
      </c>
      <c r="B17312" s="5">
        <f>IFERROR(__xludf.DUMMYFUNCTION("""COMPUTED_VALUE"""),44739.0)</f>
        <v>44739</v>
      </c>
      <c r="C17312" s="6">
        <f>IFERROR(__xludf.DUMMYFUNCTION("""COMPUTED_VALUE"""),0.7353240740740148)</f>
        <v>0.7353240741</v>
      </c>
      <c r="D17312" s="4">
        <f>IFERROR(__xludf.DUMMYFUNCTION("""COMPUTED_VALUE"""),13.065645)</f>
        <v>13.065645</v>
      </c>
      <c r="E17312" s="4">
        <f>IFERROR(__xludf.DUMMYFUNCTION("""COMPUTED_VALUE"""),80.247829)</f>
        <v>80.247829</v>
      </c>
      <c r="F17312" s="4">
        <f>IFERROR(__xludf.DUMMYFUNCTION("""COMPUTED_VALUE"""),5339.0)</f>
        <v>5339</v>
      </c>
      <c r="G17312" s="4">
        <f>IFERROR(__xludf.DUMMYFUNCTION("""COMPUTED_VALUE"""),17.0)</f>
        <v>17</v>
      </c>
      <c r="H17312" s="4"/>
      <c r="I17312" s="4"/>
    </row>
    <row r="17313">
      <c r="A17313" s="4" t="str">
        <f>IFERROR(__xludf.DUMMYFUNCTION("""COMPUTED_VALUE"""),"cas_hmw")</f>
        <v>cas_hmw</v>
      </c>
      <c r="B17313" s="5">
        <f>IFERROR(__xludf.DUMMYFUNCTION("""COMPUTED_VALUE"""),44740.0)</f>
        <v>44740</v>
      </c>
      <c r="C17313" s="6">
        <f>IFERROR(__xludf.DUMMYFUNCTION("""COMPUTED_VALUE"""),0.2959027777760639)</f>
        <v>0.2959027778</v>
      </c>
      <c r="D17313" s="4">
        <f>IFERROR(__xludf.DUMMYFUNCTION("""COMPUTED_VALUE"""),12.51021)</f>
        <v>12.51021</v>
      </c>
      <c r="E17313" s="4">
        <f>IFERROR(__xludf.DUMMYFUNCTION("""COMPUTED_VALUE"""),79.885747)</f>
        <v>79.885747</v>
      </c>
      <c r="F17313" s="4">
        <f>IFERROR(__xludf.DUMMYFUNCTION("""COMPUTED_VALUE"""),2846.0)</f>
        <v>2846</v>
      </c>
      <c r="G17313" s="4">
        <f>IFERROR(__xludf.DUMMYFUNCTION("""COMPUTED_VALUE"""),31.0)</f>
        <v>31</v>
      </c>
      <c r="H17313" s="4"/>
      <c r="I17313" s="4"/>
    </row>
    <row r="17314">
      <c r="A17314" s="4" t="str">
        <f>IFERROR(__xludf.DUMMYFUNCTION("""COMPUTED_VALUE"""),"cas_hmw")</f>
        <v>cas_hmw</v>
      </c>
      <c r="B17314" s="5">
        <f>IFERROR(__xludf.DUMMYFUNCTION("""COMPUTED_VALUE"""),44740.0)</f>
        <v>44740</v>
      </c>
      <c r="C17314" s="6">
        <f>IFERROR(__xludf.DUMMYFUNCTION("""COMPUTED_VALUE"""),0.2959374999991269)</f>
        <v>0.2959375</v>
      </c>
      <c r="D17314" s="4">
        <f>IFERROR(__xludf.DUMMYFUNCTION("""COMPUTED_VALUE"""),12.51021)</f>
        <v>12.51021</v>
      </c>
      <c r="E17314" s="4">
        <f>IFERROR(__xludf.DUMMYFUNCTION("""COMPUTED_VALUE"""),79.885747)</f>
        <v>79.885747</v>
      </c>
      <c r="F17314" s="4">
        <f>IFERROR(__xludf.DUMMYFUNCTION("""COMPUTED_VALUE"""),2846.0)</f>
        <v>2846</v>
      </c>
      <c r="G17314" s="4">
        <f>IFERROR(__xludf.DUMMYFUNCTION("""COMPUTED_VALUE"""),31.0)</f>
        <v>31</v>
      </c>
      <c r="H17314" s="4"/>
      <c r="I17314" s="4"/>
    </row>
    <row r="17315">
      <c r="A17315" s="4" t="str">
        <f>IFERROR(__xludf.DUMMYFUNCTION("""COMPUTED_VALUE"""),"cas_hmw")</f>
        <v>cas_hmw</v>
      </c>
      <c r="B17315" s="5">
        <f>IFERROR(__xludf.DUMMYFUNCTION("""COMPUTED_VALUE"""),44740.0)</f>
        <v>44740</v>
      </c>
      <c r="C17315" s="6">
        <f>IFERROR(__xludf.DUMMYFUNCTION("""COMPUTED_VALUE"""),0.3023611111093487)</f>
        <v>0.3023611111</v>
      </c>
      <c r="D17315" s="4">
        <f>IFERROR(__xludf.DUMMYFUNCTION("""COMPUTED_VALUE"""),13.06697)</f>
        <v>13.06697</v>
      </c>
      <c r="E17315" s="4">
        <f>IFERROR(__xludf.DUMMYFUNCTION("""COMPUTED_VALUE"""),80.268582)</f>
        <v>80.268582</v>
      </c>
      <c r="F17315" s="4">
        <f>IFERROR(__xludf.DUMMYFUNCTION("""COMPUTED_VALUE"""),805.0)</f>
        <v>805</v>
      </c>
      <c r="G17315" s="4">
        <f>IFERROR(__xludf.DUMMYFUNCTION("""COMPUTED_VALUE"""),25.0)</f>
        <v>25</v>
      </c>
      <c r="H17315" s="4"/>
      <c r="I17315" s="4"/>
    </row>
    <row r="17316">
      <c r="A17316" s="4" t="str">
        <f>IFERROR(__xludf.DUMMYFUNCTION("""COMPUTED_VALUE"""),"cas_hmw")</f>
        <v>cas_hmw</v>
      </c>
      <c r="B17316" s="5">
        <f>IFERROR(__xludf.DUMMYFUNCTION("""COMPUTED_VALUE"""),44740.0)</f>
        <v>44740</v>
      </c>
      <c r="C17316" s="6">
        <f>IFERROR(__xludf.DUMMYFUNCTION("""COMPUTED_VALUE"""),0.3029861111099308)</f>
        <v>0.3029861111</v>
      </c>
      <c r="D17316" s="4">
        <f>IFERROR(__xludf.DUMMYFUNCTION("""COMPUTED_VALUE"""),13.068061)</f>
        <v>13.068061</v>
      </c>
      <c r="E17316" s="4">
        <f>IFERROR(__xludf.DUMMYFUNCTION("""COMPUTED_VALUE"""),80.272223)</f>
        <v>80.272223</v>
      </c>
      <c r="F17316" s="4">
        <f>IFERROR(__xludf.DUMMYFUNCTION("""COMPUTED_VALUE"""),5339.0)</f>
        <v>5339</v>
      </c>
      <c r="G17316" s="4">
        <f>IFERROR(__xludf.DUMMYFUNCTION("""COMPUTED_VALUE"""),32.0)</f>
        <v>32</v>
      </c>
      <c r="H17316" s="4"/>
      <c r="I17316" s="4"/>
    </row>
    <row r="17317">
      <c r="A17317" s="4" t="str">
        <f>IFERROR(__xludf.DUMMYFUNCTION("""COMPUTED_VALUE"""),"cas_hmw")</f>
        <v>cas_hmw</v>
      </c>
      <c r="B17317" s="5">
        <f>IFERROR(__xludf.DUMMYFUNCTION("""COMPUTED_VALUE"""),44740.0)</f>
        <v>44740</v>
      </c>
      <c r="C17317" s="6">
        <f>IFERROR(__xludf.DUMMYFUNCTION("""COMPUTED_VALUE"""),0.3030555555560568)</f>
        <v>0.3030555556</v>
      </c>
      <c r="D17317" s="4">
        <f>IFERROR(__xludf.DUMMYFUNCTION("""COMPUTED_VALUE"""),13.067466)</f>
        <v>13.067466</v>
      </c>
      <c r="E17317" s="4">
        <f>IFERROR(__xludf.DUMMYFUNCTION("""COMPUTED_VALUE"""),80.272893)</f>
        <v>80.272893</v>
      </c>
      <c r="F17317" s="4">
        <f>IFERROR(__xludf.DUMMYFUNCTION("""COMPUTED_VALUE"""),5339.0)</f>
        <v>5339</v>
      </c>
      <c r="G17317" s="4">
        <f>IFERROR(__xludf.DUMMYFUNCTION("""COMPUTED_VALUE"""),36.0)</f>
        <v>36</v>
      </c>
      <c r="H17317" s="4"/>
      <c r="I17317" s="4"/>
    </row>
    <row r="17318">
      <c r="A17318" s="4" t="str">
        <f>IFERROR(__xludf.DUMMYFUNCTION("""COMPUTED_VALUE"""),"cas_hmw")</f>
        <v>cas_hmw</v>
      </c>
      <c r="B17318" s="5">
        <f>IFERROR(__xludf.DUMMYFUNCTION("""COMPUTED_VALUE"""),44740.0)</f>
        <v>44740</v>
      </c>
      <c r="C17318" s="6">
        <f>IFERROR(__xludf.DUMMYFUNCTION("""COMPUTED_VALUE"""),0.3139930555553292)</f>
        <v>0.3139930556</v>
      </c>
      <c r="D17318" s="4">
        <f>IFERROR(__xludf.DUMMYFUNCTION("""COMPUTED_VALUE"""),12.657987)</f>
        <v>12.657987</v>
      </c>
      <c r="E17318" s="4">
        <f>IFERROR(__xludf.DUMMYFUNCTION("""COMPUTED_VALUE"""),79.945356)</f>
        <v>79.945356</v>
      </c>
      <c r="F17318" s="4">
        <f>IFERROR(__xludf.DUMMYFUNCTION("""COMPUTED_VALUE"""),2846.0)</f>
        <v>2846</v>
      </c>
      <c r="G17318" s="4">
        <f>IFERROR(__xludf.DUMMYFUNCTION("""COMPUTED_VALUE"""),32.0)</f>
        <v>32</v>
      </c>
      <c r="H17318" s="4"/>
      <c r="I17318" s="4"/>
    </row>
    <row r="17319">
      <c r="A17319" s="4" t="str">
        <f>IFERROR(__xludf.DUMMYFUNCTION("""COMPUTED_VALUE"""),"cas_hmw")</f>
        <v>cas_hmw</v>
      </c>
      <c r="B17319" s="5">
        <f>IFERROR(__xludf.DUMMYFUNCTION("""COMPUTED_VALUE"""),44740.0)</f>
        <v>44740</v>
      </c>
      <c r="C17319" s="6">
        <f>IFERROR(__xludf.DUMMYFUNCTION("""COMPUTED_VALUE"""),0.3144212962979509)</f>
        <v>0.3144212963</v>
      </c>
      <c r="D17319" s="4">
        <f>IFERROR(__xludf.DUMMYFUNCTION("""COMPUTED_VALUE"""),12.657453)</f>
        <v>12.657453</v>
      </c>
      <c r="E17319" s="4">
        <f>IFERROR(__xludf.DUMMYFUNCTION("""COMPUTED_VALUE"""),79.947258)</f>
        <v>79.947258</v>
      </c>
      <c r="F17319" s="4">
        <f>IFERROR(__xludf.DUMMYFUNCTION("""COMPUTED_VALUE"""),2846.0)</f>
        <v>2846</v>
      </c>
      <c r="G17319" s="4">
        <f>IFERROR(__xludf.DUMMYFUNCTION("""COMPUTED_VALUE"""),40.0)</f>
        <v>40</v>
      </c>
      <c r="H17319" s="4"/>
      <c r="I17319" s="4"/>
    </row>
    <row r="17320">
      <c r="A17320" s="4" t="str">
        <f>IFERROR(__xludf.DUMMYFUNCTION("""COMPUTED_VALUE"""),"cas_hmw")</f>
        <v>cas_hmw</v>
      </c>
      <c r="B17320" s="5">
        <f>IFERROR(__xludf.DUMMYFUNCTION("""COMPUTED_VALUE"""),44740.0)</f>
        <v>44740</v>
      </c>
      <c r="C17320" s="6">
        <f>IFERROR(__xludf.DUMMYFUNCTION("""COMPUTED_VALUE"""),0.315115740741021)</f>
        <v>0.3151157407</v>
      </c>
      <c r="D17320" s="4">
        <f>IFERROR(__xludf.DUMMYFUNCTION("""COMPUTED_VALUE"""),13.039649)</f>
        <v>13.039649</v>
      </c>
      <c r="E17320" s="4">
        <f>IFERROR(__xludf.DUMMYFUNCTION("""COMPUTED_VALUE"""),80.247084)</f>
        <v>80.247084</v>
      </c>
      <c r="F17320" s="4">
        <f>IFERROR(__xludf.DUMMYFUNCTION("""COMPUTED_VALUE"""),5339.0)</f>
        <v>5339</v>
      </c>
      <c r="G17320" s="4">
        <f>IFERROR(__xludf.DUMMYFUNCTION("""COMPUTED_VALUE"""),11.0)</f>
        <v>11</v>
      </c>
      <c r="H17320" s="4"/>
      <c r="I17320" s="4"/>
    </row>
    <row r="17321">
      <c r="A17321" s="4" t="str">
        <f>IFERROR(__xludf.DUMMYFUNCTION("""COMPUTED_VALUE"""),"cas_hmw")</f>
        <v>cas_hmw</v>
      </c>
      <c r="B17321" s="5">
        <f>IFERROR(__xludf.DUMMYFUNCTION("""COMPUTED_VALUE"""),44740.0)</f>
        <v>44740</v>
      </c>
      <c r="C17321" s="6">
        <f>IFERROR(__xludf.DUMMYFUNCTION("""COMPUTED_VALUE"""),0.31517361111036735)</f>
        <v>0.3151736111</v>
      </c>
      <c r="D17321" s="4">
        <f>IFERROR(__xludf.DUMMYFUNCTION("""COMPUTED_VALUE"""),13.039055)</f>
        <v>13.039055</v>
      </c>
      <c r="E17321" s="4">
        <f>IFERROR(__xludf.DUMMYFUNCTION("""COMPUTED_VALUE"""),80.246948)</f>
        <v>80.246948</v>
      </c>
      <c r="F17321" s="4">
        <f>IFERROR(__xludf.DUMMYFUNCTION("""COMPUTED_VALUE"""),5339.0)</f>
        <v>5339</v>
      </c>
      <c r="G17321" s="4">
        <f>IFERROR(__xludf.DUMMYFUNCTION("""COMPUTED_VALUE"""),33.0)</f>
        <v>33</v>
      </c>
      <c r="H17321" s="4"/>
      <c r="I17321" s="4"/>
    </row>
    <row r="17322">
      <c r="A17322" s="4" t="str">
        <f>IFERROR(__xludf.DUMMYFUNCTION("""COMPUTED_VALUE"""),"cas_hmw")</f>
        <v>cas_hmw</v>
      </c>
      <c r="B17322" s="5">
        <f>IFERROR(__xludf.DUMMYFUNCTION("""COMPUTED_VALUE"""),44740.0)</f>
        <v>44740</v>
      </c>
      <c r="C17322" s="6">
        <f>IFERROR(__xludf.DUMMYFUNCTION("""COMPUTED_VALUE"""),0.31648148148087785)</f>
        <v>0.3164814815</v>
      </c>
      <c r="D17322" s="4">
        <f>IFERROR(__xludf.DUMMYFUNCTION("""COMPUTED_VALUE"""),13.031896)</f>
        <v>13.031896</v>
      </c>
      <c r="E17322" s="4">
        <f>IFERROR(__xludf.DUMMYFUNCTION("""COMPUTED_VALUE"""),80.241595)</f>
        <v>80.241595</v>
      </c>
      <c r="F17322" s="4">
        <f>IFERROR(__xludf.DUMMYFUNCTION("""COMPUTED_VALUE"""),5339.0)</f>
        <v>5339</v>
      </c>
      <c r="G17322" s="4">
        <f>IFERROR(__xludf.DUMMYFUNCTION("""COMPUTED_VALUE"""),53.0)</f>
        <v>53</v>
      </c>
      <c r="H17322" s="4"/>
      <c r="I17322" s="4"/>
    </row>
    <row r="17323">
      <c r="A17323" s="4" t="str">
        <f>IFERROR(__xludf.DUMMYFUNCTION("""COMPUTED_VALUE"""),"cas_hmw")</f>
        <v>cas_hmw</v>
      </c>
      <c r="B17323" s="5">
        <f>IFERROR(__xludf.DUMMYFUNCTION("""COMPUTED_VALUE"""),44740.0)</f>
        <v>44740</v>
      </c>
      <c r="C17323" s="6">
        <f>IFERROR(__xludf.DUMMYFUNCTION("""COMPUTED_VALUE"""),0.3170370370353339)</f>
        <v>0.317037037</v>
      </c>
      <c r="D17323" s="4">
        <f>IFERROR(__xludf.DUMMYFUNCTION("""COMPUTED_VALUE"""),13.022936)</f>
        <v>13.022936</v>
      </c>
      <c r="E17323" s="4">
        <f>IFERROR(__xludf.DUMMYFUNCTION("""COMPUTED_VALUE"""),80.263833)</f>
        <v>80.263833</v>
      </c>
      <c r="F17323" s="4">
        <f>IFERROR(__xludf.DUMMYFUNCTION("""COMPUTED_VALUE"""),805.0)</f>
        <v>805</v>
      </c>
      <c r="G17323" s="4">
        <f>IFERROR(__xludf.DUMMYFUNCTION("""COMPUTED_VALUE"""),31.0)</f>
        <v>31</v>
      </c>
      <c r="H17323" s="4"/>
      <c r="I17323" s="4"/>
    </row>
    <row r="17324">
      <c r="A17324" s="4" t="str">
        <f>IFERROR(__xludf.DUMMYFUNCTION("""COMPUTED_VALUE"""),"cas_hmw")</f>
        <v>cas_hmw</v>
      </c>
      <c r="B17324" s="5">
        <f>IFERROR(__xludf.DUMMYFUNCTION("""COMPUTED_VALUE"""),44740.0)</f>
        <v>44740</v>
      </c>
      <c r="C17324" s="6">
        <f>IFERROR(__xludf.DUMMYFUNCTION("""COMPUTED_VALUE"""),0.31712962963138125)</f>
        <v>0.3171296296</v>
      </c>
      <c r="D17324" s="4">
        <f>IFERROR(__xludf.DUMMYFUNCTION("""COMPUTED_VALUE"""),13.022153)</f>
        <v>13.022153</v>
      </c>
      <c r="E17324" s="4">
        <f>IFERROR(__xludf.DUMMYFUNCTION("""COMPUTED_VALUE"""),80.26346)</f>
        <v>80.26346</v>
      </c>
      <c r="F17324" s="4">
        <f>IFERROR(__xludf.DUMMYFUNCTION("""COMPUTED_VALUE"""),805.0)</f>
        <v>805</v>
      </c>
      <c r="G17324" s="4">
        <f>IFERROR(__xludf.DUMMYFUNCTION("""COMPUTED_VALUE"""),35.0)</f>
        <v>35</v>
      </c>
      <c r="H17324" s="4"/>
      <c r="I17324" s="4"/>
    </row>
    <row r="17325">
      <c r="A17325" s="4" t="str">
        <f>IFERROR(__xludf.DUMMYFUNCTION("""COMPUTED_VALUE"""),"cas_hmw")</f>
        <v>cas_hmw</v>
      </c>
      <c r="B17325" s="5">
        <f>IFERROR(__xludf.DUMMYFUNCTION("""COMPUTED_VALUE"""),44740.0)</f>
        <v>44740</v>
      </c>
      <c r="C17325" s="6">
        <f>IFERROR(__xludf.DUMMYFUNCTION("""COMPUTED_VALUE"""),0.31821759259401006)</f>
        <v>0.3182175926</v>
      </c>
      <c r="D17325" s="4">
        <f>IFERROR(__xludf.DUMMYFUNCTION("""COMPUTED_VALUE"""),13.03083)</f>
        <v>13.03083</v>
      </c>
      <c r="E17325" s="4">
        <f>IFERROR(__xludf.DUMMYFUNCTION("""COMPUTED_VALUE"""),80.239413)</f>
        <v>80.239413</v>
      </c>
      <c r="F17325" s="4">
        <f>IFERROR(__xludf.DUMMYFUNCTION("""COMPUTED_VALUE"""),5339.0)</f>
        <v>5339</v>
      </c>
      <c r="G17325" s="4">
        <f>IFERROR(__xludf.DUMMYFUNCTION("""COMPUTED_VALUE"""),32.0)</f>
        <v>32</v>
      </c>
      <c r="H17325" s="4"/>
      <c r="I17325" s="4"/>
    </row>
    <row r="17326">
      <c r="A17326" s="4" t="str">
        <f>IFERROR(__xludf.DUMMYFUNCTION("""COMPUTED_VALUE"""),"cas_hmw")</f>
        <v>cas_hmw</v>
      </c>
      <c r="B17326" s="5">
        <f>IFERROR(__xludf.DUMMYFUNCTION("""COMPUTED_VALUE"""),44740.0)</f>
        <v>44740</v>
      </c>
      <c r="C17326" s="6">
        <f>IFERROR(__xludf.DUMMYFUNCTION("""COMPUTED_VALUE"""),0.3182523148134351)</f>
        <v>0.3182523148</v>
      </c>
      <c r="D17326" s="4">
        <f>IFERROR(__xludf.DUMMYFUNCTION("""COMPUTED_VALUE"""),13.03083)</f>
        <v>13.03083</v>
      </c>
      <c r="E17326" s="4">
        <f>IFERROR(__xludf.DUMMYFUNCTION("""COMPUTED_VALUE"""),80.239413)</f>
        <v>80.239413</v>
      </c>
      <c r="F17326" s="4">
        <f>IFERROR(__xludf.DUMMYFUNCTION("""COMPUTED_VALUE"""),5339.0)</f>
        <v>5339</v>
      </c>
      <c r="G17326" s="4">
        <f>IFERROR(__xludf.DUMMYFUNCTION("""COMPUTED_VALUE"""),32.0)</f>
        <v>32</v>
      </c>
      <c r="H17326" s="4"/>
      <c r="I17326" s="4"/>
    </row>
    <row r="17327">
      <c r="A17327" s="4" t="str">
        <f>IFERROR(__xludf.DUMMYFUNCTION("""COMPUTED_VALUE"""),"cas_hmw")</f>
        <v>cas_hmw</v>
      </c>
      <c r="B17327" s="5">
        <f>IFERROR(__xludf.DUMMYFUNCTION("""COMPUTED_VALUE"""),44740.0)</f>
        <v>44740</v>
      </c>
      <c r="C17327" s="6">
        <f>IFERROR(__xludf.DUMMYFUNCTION("""COMPUTED_VALUE"""),0.3189699074064265)</f>
        <v>0.3189699074</v>
      </c>
      <c r="D17327" s="4">
        <f>IFERROR(__xludf.DUMMYFUNCTION("""COMPUTED_VALUE"""),13.026225)</f>
        <v>13.026225</v>
      </c>
      <c r="E17327" s="4">
        <f>IFERROR(__xludf.DUMMYFUNCTION("""COMPUTED_VALUE"""),80.23222)</f>
        <v>80.23222</v>
      </c>
      <c r="F17327" s="4">
        <f>IFERROR(__xludf.DUMMYFUNCTION("""COMPUTED_VALUE"""),5339.0)</f>
        <v>5339</v>
      </c>
      <c r="G17327" s="4">
        <f>IFERROR(__xludf.DUMMYFUNCTION("""COMPUTED_VALUE"""),29.0)</f>
        <v>29</v>
      </c>
      <c r="H17327" s="4"/>
      <c r="I17327" s="4"/>
    </row>
    <row r="17328">
      <c r="A17328" s="4" t="str">
        <f>IFERROR(__xludf.DUMMYFUNCTION("""COMPUTED_VALUE"""),"cas_hmw")</f>
        <v>cas_hmw</v>
      </c>
      <c r="B17328" s="5">
        <f>IFERROR(__xludf.DUMMYFUNCTION("""COMPUTED_VALUE"""),44740.0)</f>
        <v>44740</v>
      </c>
      <c r="C17328" s="6">
        <f>IFERROR(__xludf.DUMMYFUNCTION("""COMPUTED_VALUE"""),0.3194444444452529)</f>
        <v>0.3194444444</v>
      </c>
      <c r="D17328" s="4">
        <f>IFERROR(__xludf.DUMMYFUNCTION("""COMPUTED_VALUE"""),13.012434)</f>
        <v>13.012434</v>
      </c>
      <c r="E17328" s="4">
        <f>IFERROR(__xludf.DUMMYFUNCTION("""COMPUTED_VALUE"""),80.259267)</f>
        <v>80.259267</v>
      </c>
      <c r="F17328" s="4">
        <f>IFERROR(__xludf.DUMMYFUNCTION("""COMPUTED_VALUE"""),805.0)</f>
        <v>805</v>
      </c>
      <c r="G17328" s="4">
        <f>IFERROR(__xludf.DUMMYFUNCTION("""COMPUTED_VALUE"""),43.0)</f>
        <v>43</v>
      </c>
      <c r="H17328" s="4"/>
      <c r="I17328" s="4"/>
    </row>
    <row r="17329">
      <c r="A17329" s="4" t="str">
        <f>IFERROR(__xludf.DUMMYFUNCTION("""COMPUTED_VALUE"""),"cas_hmw")</f>
        <v>cas_hmw</v>
      </c>
      <c r="B17329" s="5">
        <f>IFERROR(__xludf.DUMMYFUNCTION("""COMPUTED_VALUE"""),44740.0)</f>
        <v>44740</v>
      </c>
      <c r="C17329" s="6">
        <f>IFERROR(__xludf.DUMMYFUNCTION("""COMPUTED_VALUE"""),0.32098379629678675)</f>
        <v>0.3209837963</v>
      </c>
      <c r="D17329" s="4">
        <f>IFERROR(__xludf.DUMMYFUNCTION("""COMPUTED_VALUE"""),13.017892)</f>
        <v>13.017892</v>
      </c>
      <c r="E17329" s="4">
        <f>IFERROR(__xludf.DUMMYFUNCTION("""COMPUTED_VALUE"""),80.224881)</f>
        <v>80.224881</v>
      </c>
      <c r="F17329" s="4">
        <f>IFERROR(__xludf.DUMMYFUNCTION("""COMPUTED_VALUE"""),5339.0)</f>
        <v>5339</v>
      </c>
      <c r="G17329" s="4">
        <f>IFERROR(__xludf.DUMMYFUNCTION("""COMPUTED_VALUE"""),56.0)</f>
        <v>56</v>
      </c>
      <c r="H17329" s="4"/>
      <c r="I17329" s="4"/>
    </row>
    <row r="17330">
      <c r="A17330" s="4" t="str">
        <f>IFERROR(__xludf.DUMMYFUNCTION("""COMPUTED_VALUE"""),"cas_hmw")</f>
        <v>cas_hmw</v>
      </c>
      <c r="B17330" s="5">
        <f>IFERROR(__xludf.DUMMYFUNCTION("""COMPUTED_VALUE"""),44740.0)</f>
        <v>44740</v>
      </c>
      <c r="C17330" s="6">
        <f>IFERROR(__xludf.DUMMYFUNCTION("""COMPUTED_VALUE"""),0.3216087962973688)</f>
        <v>0.3216087963</v>
      </c>
      <c r="D17330" s="4">
        <f>IFERROR(__xludf.DUMMYFUNCTION("""COMPUTED_VALUE"""),13.01259)</f>
        <v>13.01259</v>
      </c>
      <c r="E17330" s="4">
        <f>IFERROR(__xludf.DUMMYFUNCTION("""COMPUTED_VALUE"""),80.226909)</f>
        <v>80.226909</v>
      </c>
      <c r="F17330" s="4">
        <f>IFERROR(__xludf.DUMMYFUNCTION("""COMPUTED_VALUE"""),5339.0)</f>
        <v>5339</v>
      </c>
      <c r="G17330" s="4">
        <f>IFERROR(__xludf.DUMMYFUNCTION("""COMPUTED_VALUE"""),56.0)</f>
        <v>56</v>
      </c>
      <c r="H17330" s="4"/>
      <c r="I17330" s="4"/>
    </row>
    <row r="17331">
      <c r="A17331" s="4" t="str">
        <f>IFERROR(__xludf.DUMMYFUNCTION("""COMPUTED_VALUE"""),"cas_hmw")</f>
        <v>cas_hmw</v>
      </c>
      <c r="B17331" s="5">
        <f>IFERROR(__xludf.DUMMYFUNCTION("""COMPUTED_VALUE"""),44740.0)</f>
        <v>44740</v>
      </c>
      <c r="C17331" s="6">
        <f>IFERROR(__xludf.DUMMYFUNCTION("""COMPUTED_VALUE"""),0.3222453703710926)</f>
        <v>0.3222453704</v>
      </c>
      <c r="D17331" s="4">
        <f>IFERROR(__xludf.DUMMYFUNCTION("""COMPUTED_VALUE"""),13.010917)</f>
        <v>13.010917</v>
      </c>
      <c r="E17331" s="4">
        <f>IFERROR(__xludf.DUMMYFUNCTION("""COMPUTED_VALUE"""),80.224545)</f>
        <v>80.224545</v>
      </c>
      <c r="F17331" s="4">
        <f>IFERROR(__xludf.DUMMYFUNCTION("""COMPUTED_VALUE"""),5339.0)</f>
        <v>5339</v>
      </c>
      <c r="G17331" s="4">
        <f>IFERROR(__xludf.DUMMYFUNCTION("""COMPUTED_VALUE"""),47.0)</f>
        <v>47</v>
      </c>
      <c r="H17331" s="4"/>
      <c r="I17331" s="4"/>
    </row>
    <row r="17332">
      <c r="A17332" s="4" t="str">
        <f>IFERROR(__xludf.DUMMYFUNCTION("""COMPUTED_VALUE"""),"cas_hmw")</f>
        <v>cas_hmw</v>
      </c>
      <c r="B17332" s="5">
        <f>IFERROR(__xludf.DUMMYFUNCTION("""COMPUTED_VALUE"""),44740.0)</f>
        <v>44740</v>
      </c>
      <c r="C17332" s="6">
        <f>IFERROR(__xludf.DUMMYFUNCTION("""COMPUTED_VALUE"""),0.32356481481474475)</f>
        <v>0.3235648148</v>
      </c>
      <c r="D17332" s="4">
        <f>IFERROR(__xludf.DUMMYFUNCTION("""COMPUTED_VALUE"""),13.006687)</f>
        <v>13.006687</v>
      </c>
      <c r="E17332" s="4">
        <f>IFERROR(__xludf.DUMMYFUNCTION("""COMPUTED_VALUE"""),80.24572)</f>
        <v>80.24572</v>
      </c>
      <c r="F17332" s="4">
        <f>IFERROR(__xludf.DUMMYFUNCTION("""COMPUTED_VALUE"""),805.0)</f>
        <v>805</v>
      </c>
      <c r="G17332" s="4">
        <f>IFERROR(__xludf.DUMMYFUNCTION("""COMPUTED_VALUE"""),36.0)</f>
        <v>36</v>
      </c>
      <c r="H17332" s="4"/>
      <c r="I17332" s="4"/>
    </row>
    <row r="17333">
      <c r="A17333" s="4" t="str">
        <f>IFERROR(__xludf.DUMMYFUNCTION("""COMPUTED_VALUE"""),"cas_hmw")</f>
        <v>cas_hmw</v>
      </c>
      <c r="B17333" s="5">
        <f>IFERROR(__xludf.DUMMYFUNCTION("""COMPUTED_VALUE"""),44740.0)</f>
        <v>44740</v>
      </c>
      <c r="C17333" s="6">
        <f>IFERROR(__xludf.DUMMYFUNCTION("""COMPUTED_VALUE"""),0.3236111111109494)</f>
        <v>0.3236111111</v>
      </c>
      <c r="D17333" s="4">
        <f>IFERROR(__xludf.DUMMYFUNCTION("""COMPUTED_VALUE"""),13.006687)</f>
        <v>13.006687</v>
      </c>
      <c r="E17333" s="4">
        <f>IFERROR(__xludf.DUMMYFUNCTION("""COMPUTED_VALUE"""),80.24572)</f>
        <v>80.24572</v>
      </c>
      <c r="F17333" s="4">
        <f>IFERROR(__xludf.DUMMYFUNCTION("""COMPUTED_VALUE"""),805.0)</f>
        <v>805</v>
      </c>
      <c r="G17333" s="4">
        <f>IFERROR(__xludf.DUMMYFUNCTION("""COMPUTED_VALUE"""),36.0)</f>
        <v>36</v>
      </c>
      <c r="H17333" s="4"/>
      <c r="I17333" s="4"/>
    </row>
    <row r="17334">
      <c r="A17334" s="4" t="str">
        <f>IFERROR(__xludf.DUMMYFUNCTION("""COMPUTED_VALUE"""),"cas_hmw")</f>
        <v>cas_hmw</v>
      </c>
      <c r="B17334" s="5">
        <f>IFERROR(__xludf.DUMMYFUNCTION("""COMPUTED_VALUE"""),44740.0)</f>
        <v>44740</v>
      </c>
      <c r="C17334" s="6">
        <f>IFERROR(__xludf.DUMMYFUNCTION("""COMPUTED_VALUE"""),0.32363425926087075)</f>
        <v>0.3236342593</v>
      </c>
      <c r="D17334" s="4">
        <f>IFERROR(__xludf.DUMMYFUNCTION("""COMPUTED_VALUE"""),13.006687)</f>
        <v>13.006687</v>
      </c>
      <c r="E17334" s="4">
        <f>IFERROR(__xludf.DUMMYFUNCTION("""COMPUTED_VALUE"""),80.24572)</f>
        <v>80.24572</v>
      </c>
      <c r="F17334" s="4">
        <f>IFERROR(__xludf.DUMMYFUNCTION("""COMPUTED_VALUE"""),805.0)</f>
        <v>805</v>
      </c>
      <c r="G17334" s="4">
        <f>IFERROR(__xludf.DUMMYFUNCTION("""COMPUTED_VALUE"""),36.0)</f>
        <v>36</v>
      </c>
      <c r="H17334" s="4"/>
      <c r="I17334" s="4"/>
    </row>
    <row r="17335">
      <c r="A17335" s="4" t="str">
        <f>IFERROR(__xludf.DUMMYFUNCTION("""COMPUTED_VALUE"""),"cas_hmw")</f>
        <v>cas_hmw</v>
      </c>
      <c r="B17335" s="5">
        <f>IFERROR(__xludf.DUMMYFUNCTION("""COMPUTED_VALUE"""),44740.0)</f>
        <v>44740</v>
      </c>
      <c r="C17335" s="6">
        <f>IFERROR(__xludf.DUMMYFUNCTION("""COMPUTED_VALUE"""),0.32363425926087075)</f>
        <v>0.3236342593</v>
      </c>
      <c r="D17335" s="4">
        <f>IFERROR(__xludf.DUMMYFUNCTION("""COMPUTED_VALUE"""),12.692103)</f>
        <v>12.692103</v>
      </c>
      <c r="E17335" s="4">
        <f>IFERROR(__xludf.DUMMYFUNCTION("""COMPUTED_VALUE"""),79.980047)</f>
        <v>79.980047</v>
      </c>
      <c r="F17335" s="4">
        <f>IFERROR(__xludf.DUMMYFUNCTION("""COMPUTED_VALUE"""),2846.0)</f>
        <v>2846</v>
      </c>
      <c r="G17335" s="4">
        <f>IFERROR(__xludf.DUMMYFUNCTION("""COMPUTED_VALUE"""),32.0)</f>
        <v>32</v>
      </c>
      <c r="H17335" s="4"/>
      <c r="I17335" s="4"/>
    </row>
    <row r="17336">
      <c r="A17336" s="4" t="str">
        <f>IFERROR(__xludf.DUMMYFUNCTION("""COMPUTED_VALUE"""),"cas_hmw")</f>
        <v>cas_hmw</v>
      </c>
      <c r="B17336" s="5">
        <f>IFERROR(__xludf.DUMMYFUNCTION("""COMPUTED_VALUE"""),44740.0)</f>
        <v>44740</v>
      </c>
      <c r="C17336" s="6">
        <f>IFERROR(__xludf.DUMMYFUNCTION("""COMPUTED_VALUE"""),0.3239120370380988)</f>
        <v>0.323912037</v>
      </c>
      <c r="D17336" s="4">
        <f>IFERROR(__xludf.DUMMYFUNCTION("""COMPUTED_VALUE"""),13.007862)</f>
        <v>13.007862</v>
      </c>
      <c r="E17336" s="4">
        <f>IFERROR(__xludf.DUMMYFUNCTION("""COMPUTED_VALUE"""),80.207812)</f>
        <v>80.207812</v>
      </c>
      <c r="F17336" s="4">
        <f>IFERROR(__xludf.DUMMYFUNCTION("""COMPUTED_VALUE"""),5339.0)</f>
        <v>5339</v>
      </c>
      <c r="G17336" s="4">
        <f>IFERROR(__xludf.DUMMYFUNCTION("""COMPUTED_VALUE"""),51.0)</f>
        <v>51</v>
      </c>
      <c r="H17336" s="4"/>
      <c r="I17336" s="4"/>
    </row>
    <row r="17337">
      <c r="A17337" s="4" t="str">
        <f>IFERROR(__xludf.DUMMYFUNCTION("""COMPUTED_VALUE"""),"cas_hmw")</f>
        <v>cas_hmw</v>
      </c>
      <c r="B17337" s="5">
        <f>IFERROR(__xludf.DUMMYFUNCTION("""COMPUTED_VALUE"""),44740.0)</f>
        <v>44740</v>
      </c>
      <c r="C17337" s="6">
        <f>IFERROR(__xludf.DUMMYFUNCTION("""COMPUTED_VALUE"""),0.3244097222232085)</f>
        <v>0.3244097222</v>
      </c>
      <c r="D17337" s="4">
        <f>IFERROR(__xludf.DUMMYFUNCTION("""COMPUTED_VALUE"""),13.006894)</f>
        <v>13.006894</v>
      </c>
      <c r="E17337" s="4">
        <f>IFERROR(__xludf.DUMMYFUNCTION("""COMPUTED_VALUE"""),80.240015)</f>
        <v>80.240015</v>
      </c>
      <c r="F17337" s="4">
        <f>IFERROR(__xludf.DUMMYFUNCTION("""COMPUTED_VALUE"""),805.0)</f>
        <v>805</v>
      </c>
      <c r="G17337" s="4">
        <f>IFERROR(__xludf.DUMMYFUNCTION("""COMPUTED_VALUE"""),0.0)</f>
        <v>0</v>
      </c>
      <c r="H17337" s="4"/>
      <c r="I17337" s="4"/>
    </row>
    <row r="17338">
      <c r="A17338" s="4" t="str">
        <f>IFERROR(__xludf.DUMMYFUNCTION("""COMPUTED_VALUE"""),"cas_hmw")</f>
        <v>cas_hmw</v>
      </c>
      <c r="B17338" s="5">
        <f>IFERROR(__xludf.DUMMYFUNCTION("""COMPUTED_VALUE"""),44740.0)</f>
        <v>44740</v>
      </c>
      <c r="C17338" s="6">
        <f>IFERROR(__xludf.DUMMYFUNCTION("""COMPUTED_VALUE"""),0.32450231481561786)</f>
        <v>0.3245023148</v>
      </c>
      <c r="D17338" s="4">
        <f>IFERROR(__xludf.DUMMYFUNCTION("""COMPUTED_VALUE"""),13.005699)</f>
        <v>13.005699</v>
      </c>
      <c r="E17338" s="4">
        <f>IFERROR(__xludf.DUMMYFUNCTION("""COMPUTED_VALUE"""),80.202343)</f>
        <v>80.202343</v>
      </c>
      <c r="F17338" s="4">
        <f>IFERROR(__xludf.DUMMYFUNCTION("""COMPUTED_VALUE"""),5339.0)</f>
        <v>5339</v>
      </c>
      <c r="G17338" s="4">
        <f>IFERROR(__xludf.DUMMYFUNCTION("""COMPUTED_VALUE"""),46.0)</f>
        <v>46</v>
      </c>
      <c r="H17338" s="4"/>
      <c r="I17338" s="4"/>
    </row>
    <row r="17339">
      <c r="A17339" s="4" t="str">
        <f>IFERROR(__xludf.DUMMYFUNCTION("""COMPUTED_VALUE"""),"cas_hmw")</f>
        <v>cas_hmw</v>
      </c>
      <c r="B17339" s="5">
        <f>IFERROR(__xludf.DUMMYFUNCTION("""COMPUTED_VALUE"""),44740.0)</f>
        <v>44740</v>
      </c>
      <c r="C17339" s="6">
        <f>IFERROR(__xludf.DUMMYFUNCTION("""COMPUTED_VALUE"""),0.32454861111182254)</f>
        <v>0.3245486111</v>
      </c>
      <c r="D17339" s="4">
        <f>IFERROR(__xludf.DUMMYFUNCTION("""COMPUTED_VALUE"""),12.694437)</f>
        <v>12.694437</v>
      </c>
      <c r="E17339" s="4">
        <f>IFERROR(__xludf.DUMMYFUNCTION("""COMPUTED_VALUE"""),79.978488)</f>
        <v>79.978488</v>
      </c>
      <c r="F17339" s="4">
        <f>IFERROR(__xludf.DUMMYFUNCTION("""COMPUTED_VALUE"""),2846.0)</f>
        <v>2846</v>
      </c>
      <c r="G17339" s="4">
        <f>IFERROR(__xludf.DUMMYFUNCTION("""COMPUTED_VALUE"""),0.0)</f>
        <v>0</v>
      </c>
      <c r="H17339" s="4"/>
      <c r="I17339" s="4"/>
    </row>
    <row r="17340">
      <c r="A17340" s="4" t="str">
        <f>IFERROR(__xludf.DUMMYFUNCTION("""COMPUTED_VALUE"""),"cas_hmw")</f>
        <v>cas_hmw</v>
      </c>
      <c r="B17340" s="5">
        <f>IFERROR(__xludf.DUMMYFUNCTION("""COMPUTED_VALUE"""),44740.0)</f>
        <v>44740</v>
      </c>
      <c r="C17340" s="6">
        <f>IFERROR(__xludf.DUMMYFUNCTION("""COMPUTED_VALUE"""),0.32461805555431056)</f>
        <v>0.3246180556</v>
      </c>
      <c r="D17340" s="4">
        <f>IFERROR(__xludf.DUMMYFUNCTION("""COMPUTED_VALUE"""),13.004864)</f>
        <v>13.004864</v>
      </c>
      <c r="E17340" s="4">
        <f>IFERROR(__xludf.DUMMYFUNCTION("""COMPUTED_VALUE"""),80.201438)</f>
        <v>80.201438</v>
      </c>
      <c r="F17340" s="4">
        <f>IFERROR(__xludf.DUMMYFUNCTION("""COMPUTED_VALUE"""),5339.0)</f>
        <v>5339</v>
      </c>
      <c r="G17340" s="4">
        <f>IFERROR(__xludf.DUMMYFUNCTION("""COMPUTED_VALUE"""),47.0)</f>
        <v>47</v>
      </c>
      <c r="H17340" s="4"/>
      <c r="I17340" s="4"/>
    </row>
    <row r="17341">
      <c r="A17341" s="4" t="str">
        <f>IFERROR(__xludf.DUMMYFUNCTION("""COMPUTED_VALUE"""),"cas_hmw")</f>
        <v>cas_hmw</v>
      </c>
      <c r="B17341" s="5">
        <f>IFERROR(__xludf.DUMMYFUNCTION("""COMPUTED_VALUE"""),44740.0)</f>
        <v>44740</v>
      </c>
      <c r="C17341" s="6">
        <f>IFERROR(__xludf.DUMMYFUNCTION("""COMPUTED_VALUE"""),0.32466435185051523)</f>
        <v>0.3246643519</v>
      </c>
      <c r="D17341" s="4">
        <f>IFERROR(__xludf.DUMMYFUNCTION("""COMPUTED_VALUE"""),13.003717)</f>
        <v>13.003717</v>
      </c>
      <c r="E17341" s="4">
        <f>IFERROR(__xludf.DUMMYFUNCTION("""COMPUTED_VALUE"""),80.20097)</f>
        <v>80.20097</v>
      </c>
      <c r="F17341" s="4">
        <f>IFERROR(__xludf.DUMMYFUNCTION("""COMPUTED_VALUE"""),5339.0)</f>
        <v>5339</v>
      </c>
      <c r="G17341" s="4">
        <f>IFERROR(__xludf.DUMMYFUNCTION("""COMPUTED_VALUE"""),44.0)</f>
        <v>44</v>
      </c>
      <c r="H17341" s="4"/>
      <c r="I17341" s="4"/>
    </row>
    <row r="17342">
      <c r="A17342" s="4" t="str">
        <f>IFERROR(__xludf.DUMMYFUNCTION("""COMPUTED_VALUE"""),"cas_hmw")</f>
        <v>cas_hmw</v>
      </c>
      <c r="B17342" s="5">
        <f>IFERROR(__xludf.DUMMYFUNCTION("""COMPUTED_VALUE"""),44740.0)</f>
        <v>44740</v>
      </c>
      <c r="C17342" s="6">
        <f>IFERROR(__xludf.DUMMYFUNCTION("""COMPUTED_VALUE"""),0.3247800925928459)</f>
        <v>0.3247800926</v>
      </c>
      <c r="D17342" s="4">
        <f>IFERROR(__xludf.DUMMYFUNCTION("""COMPUTED_VALUE"""),13.002753)</f>
        <v>13.002753</v>
      </c>
      <c r="E17342" s="4">
        <f>IFERROR(__xludf.DUMMYFUNCTION("""COMPUTED_VALUE"""),80.200735)</f>
        <v>80.200735</v>
      </c>
      <c r="F17342" s="4">
        <f>IFERROR(__xludf.DUMMYFUNCTION("""COMPUTED_VALUE"""),5339.0)</f>
        <v>5339</v>
      </c>
      <c r="G17342" s="4">
        <f>IFERROR(__xludf.DUMMYFUNCTION("""COMPUTED_VALUE"""),35.0)</f>
        <v>35</v>
      </c>
      <c r="H17342" s="4"/>
      <c r="I17342" s="4"/>
    </row>
    <row r="17343">
      <c r="A17343" s="4" t="str">
        <f>IFERROR(__xludf.DUMMYFUNCTION("""COMPUTED_VALUE"""),"cas_hmw")</f>
        <v>cas_hmw</v>
      </c>
      <c r="B17343" s="5">
        <f>IFERROR(__xludf.DUMMYFUNCTION("""COMPUTED_VALUE"""),44740.0)</f>
        <v>44740</v>
      </c>
      <c r="C17343" s="6">
        <f>IFERROR(__xludf.DUMMYFUNCTION("""COMPUTED_VALUE"""),0.32480324073912925)</f>
        <v>0.3248032407</v>
      </c>
      <c r="D17343" s="4">
        <f>IFERROR(__xludf.DUMMYFUNCTION("""COMPUTED_VALUE"""),13.007508)</f>
        <v>13.007508</v>
      </c>
      <c r="E17343" s="4">
        <f>IFERROR(__xludf.DUMMYFUNCTION("""COMPUTED_VALUE"""),80.236841)</f>
        <v>80.236841</v>
      </c>
      <c r="F17343" s="4">
        <f>IFERROR(__xludf.DUMMYFUNCTION("""COMPUTED_VALUE"""),805.0)</f>
        <v>805</v>
      </c>
      <c r="G17343" s="4">
        <f>IFERROR(__xludf.DUMMYFUNCTION("""COMPUTED_VALUE"""),49.0)</f>
        <v>49</v>
      </c>
      <c r="H17343" s="4"/>
      <c r="I17343" s="4"/>
    </row>
    <row r="17344">
      <c r="A17344" s="4" t="str">
        <f>IFERROR(__xludf.DUMMYFUNCTION("""COMPUTED_VALUE"""),"cas_hmw")</f>
        <v>cas_hmw</v>
      </c>
      <c r="B17344" s="5">
        <f>IFERROR(__xludf.DUMMYFUNCTION("""COMPUTED_VALUE"""),44740.0)</f>
        <v>44740</v>
      </c>
      <c r="C17344" s="6">
        <f>IFERROR(__xludf.DUMMYFUNCTION("""COMPUTED_VALUE"""),0.3248842592583969)</f>
        <v>0.3248842593</v>
      </c>
      <c r="D17344" s="4">
        <f>IFERROR(__xludf.DUMMYFUNCTION("""COMPUTED_VALUE"""),13.002032)</f>
        <v>13.002032</v>
      </c>
      <c r="E17344" s="4">
        <f>IFERROR(__xludf.DUMMYFUNCTION("""COMPUTED_VALUE"""),80.200209)</f>
        <v>80.200209</v>
      </c>
      <c r="F17344" s="4">
        <f>IFERROR(__xludf.DUMMYFUNCTION("""COMPUTED_VALUE"""),5339.0)</f>
        <v>5339</v>
      </c>
      <c r="G17344" s="4">
        <f>IFERROR(__xludf.DUMMYFUNCTION("""COMPUTED_VALUE"""),41.0)</f>
        <v>41</v>
      </c>
      <c r="H17344" s="4"/>
      <c r="I17344" s="4"/>
    </row>
    <row r="17345">
      <c r="A17345" s="4" t="str">
        <f>IFERROR(__xludf.DUMMYFUNCTION("""COMPUTED_VALUE"""),"cas_hmw")</f>
        <v>cas_hmw</v>
      </c>
      <c r="B17345" s="5">
        <f>IFERROR(__xludf.DUMMYFUNCTION("""COMPUTED_VALUE"""),44740.0)</f>
        <v>44740</v>
      </c>
      <c r="C17345" s="6">
        <f>IFERROR(__xludf.DUMMYFUNCTION("""COMPUTED_VALUE"""),0.3250347222237906)</f>
        <v>0.3250347222</v>
      </c>
      <c r="D17345" s="4">
        <f>IFERROR(__xludf.DUMMYFUNCTION("""COMPUTED_VALUE"""),13.001752)</f>
        <v>13.001752</v>
      </c>
      <c r="E17345" s="4">
        <f>IFERROR(__xludf.DUMMYFUNCTION("""COMPUTED_VALUE"""),80.199153)</f>
        <v>80.199153</v>
      </c>
      <c r="F17345" s="4">
        <f>IFERROR(__xludf.DUMMYFUNCTION("""COMPUTED_VALUE"""),5339.0)</f>
        <v>5339</v>
      </c>
      <c r="G17345" s="4">
        <f>IFERROR(__xludf.DUMMYFUNCTION("""COMPUTED_VALUE"""),44.0)</f>
        <v>44</v>
      </c>
      <c r="H17345" s="4"/>
      <c r="I17345" s="4"/>
    </row>
    <row r="17346">
      <c r="A17346" s="4" t="str">
        <f>IFERROR(__xludf.DUMMYFUNCTION("""COMPUTED_VALUE"""),"cas_hmw")</f>
        <v>cas_hmw</v>
      </c>
      <c r="B17346" s="5">
        <f>IFERROR(__xludf.DUMMYFUNCTION("""COMPUTED_VALUE"""),44740.0)</f>
        <v>44740</v>
      </c>
      <c r="C17346" s="6">
        <f>IFERROR(__xludf.DUMMYFUNCTION("""COMPUTED_VALUE"""),0.3251157407394203)</f>
        <v>0.3251157407</v>
      </c>
      <c r="D17346" s="4">
        <f>IFERROR(__xludf.DUMMYFUNCTION("""COMPUTED_VALUE"""),13.001927)</f>
        <v>13.001927</v>
      </c>
      <c r="E17346" s="4">
        <f>IFERROR(__xludf.DUMMYFUNCTION("""COMPUTED_VALUE"""),80.198044)</f>
        <v>80.198044</v>
      </c>
      <c r="F17346" s="4">
        <f>IFERROR(__xludf.DUMMYFUNCTION("""COMPUTED_VALUE"""),5339.0)</f>
        <v>5339</v>
      </c>
      <c r="G17346" s="4">
        <f>IFERROR(__xludf.DUMMYFUNCTION("""COMPUTED_VALUE"""),44.0)</f>
        <v>44</v>
      </c>
      <c r="H17346" s="4"/>
      <c r="I17346" s="4"/>
    </row>
    <row r="17347">
      <c r="A17347" s="4" t="str">
        <f>IFERROR(__xludf.DUMMYFUNCTION("""COMPUTED_VALUE"""),"cas_hmw")</f>
        <v>cas_hmw</v>
      </c>
      <c r="B17347" s="5">
        <f>IFERROR(__xludf.DUMMYFUNCTION("""COMPUTED_VALUE"""),44740.0)</f>
        <v>44740</v>
      </c>
      <c r="C17347" s="6">
        <f>IFERROR(__xludf.DUMMYFUNCTION("""COMPUTED_VALUE"""),0.32516203703562496)</f>
        <v>0.325162037</v>
      </c>
      <c r="D17347" s="4">
        <f>IFERROR(__xludf.DUMMYFUNCTION("""COMPUTED_VALUE"""),13.001927)</f>
        <v>13.001927</v>
      </c>
      <c r="E17347" s="4">
        <f>IFERROR(__xludf.DUMMYFUNCTION("""COMPUTED_VALUE"""),80.198044)</f>
        <v>80.198044</v>
      </c>
      <c r="F17347" s="4">
        <f>IFERROR(__xludf.DUMMYFUNCTION("""COMPUTED_VALUE"""),5339.0)</f>
        <v>5339</v>
      </c>
      <c r="G17347" s="4">
        <f>IFERROR(__xludf.DUMMYFUNCTION("""COMPUTED_VALUE"""),44.0)</f>
        <v>44</v>
      </c>
      <c r="H17347" s="4"/>
      <c r="I17347" s="4"/>
    </row>
    <row r="17348">
      <c r="A17348" s="4" t="str">
        <f>IFERROR(__xludf.DUMMYFUNCTION("""COMPUTED_VALUE"""),"cas_hmw")</f>
        <v>cas_hmw</v>
      </c>
      <c r="B17348" s="5">
        <f>IFERROR(__xludf.DUMMYFUNCTION("""COMPUTED_VALUE"""),44740.0)</f>
        <v>44740</v>
      </c>
      <c r="C17348" s="6">
        <f>IFERROR(__xludf.DUMMYFUNCTION("""COMPUTED_VALUE"""),0.32534722222044365)</f>
        <v>0.3253472222</v>
      </c>
      <c r="D17348" s="4">
        <f>IFERROR(__xludf.DUMMYFUNCTION("""COMPUTED_VALUE"""),12.69764)</f>
        <v>12.69764</v>
      </c>
      <c r="E17348" s="4">
        <f>IFERROR(__xludf.DUMMYFUNCTION("""COMPUTED_VALUE"""),79.975734)</f>
        <v>79.975734</v>
      </c>
      <c r="F17348" s="4">
        <f>IFERROR(__xludf.DUMMYFUNCTION("""COMPUTED_VALUE"""),2846.0)</f>
        <v>2846</v>
      </c>
      <c r="G17348" s="4">
        <f>IFERROR(__xludf.DUMMYFUNCTION("""COMPUTED_VALUE"""),30.0)</f>
        <v>30</v>
      </c>
      <c r="H17348" s="4"/>
      <c r="I17348" s="4"/>
    </row>
    <row r="17349">
      <c r="A17349" s="4" t="str">
        <f>IFERROR(__xludf.DUMMYFUNCTION("""COMPUTED_VALUE"""),"cas_hmw")</f>
        <v>cas_hmw</v>
      </c>
      <c r="B17349" s="5">
        <f>IFERROR(__xludf.DUMMYFUNCTION("""COMPUTED_VALUE"""),44740.0)</f>
        <v>44740</v>
      </c>
      <c r="C17349" s="6">
        <f>IFERROR(__xludf.DUMMYFUNCTION("""COMPUTED_VALUE"""),0.3255208333321207)</f>
        <v>0.3255208333</v>
      </c>
      <c r="D17349" s="4">
        <f>IFERROR(__xludf.DUMMYFUNCTION("""COMPUTED_VALUE"""),13.000956)</f>
        <v>13.000956</v>
      </c>
      <c r="E17349" s="4">
        <f>IFERROR(__xludf.DUMMYFUNCTION("""COMPUTED_VALUE"""),80.195476)</f>
        <v>80.195476</v>
      </c>
      <c r="F17349" s="4">
        <f>IFERROR(__xludf.DUMMYFUNCTION("""COMPUTED_VALUE"""),5339.0)</f>
        <v>5339</v>
      </c>
      <c r="G17349" s="4">
        <f>IFERROR(__xludf.DUMMYFUNCTION("""COMPUTED_VALUE"""),45.0)</f>
        <v>45</v>
      </c>
      <c r="H17349" s="4"/>
      <c r="I17349" s="4"/>
    </row>
    <row r="17350">
      <c r="A17350" s="4" t="str">
        <f>IFERROR(__xludf.DUMMYFUNCTION("""COMPUTED_VALUE"""),"cas_hmw")</f>
        <v>cas_hmw</v>
      </c>
      <c r="B17350" s="5">
        <f>IFERROR(__xludf.DUMMYFUNCTION("""COMPUTED_VALUE"""),44740.0)</f>
        <v>44740</v>
      </c>
      <c r="C17350" s="6">
        <f>IFERROR(__xludf.DUMMYFUNCTION("""COMPUTED_VALUE"""),0.3255902777782467)</f>
        <v>0.3255902778</v>
      </c>
      <c r="D17350" s="4">
        <f>IFERROR(__xludf.DUMMYFUNCTION("""COMPUTED_VALUE"""),13.000164)</f>
        <v>13.000164</v>
      </c>
      <c r="E17350" s="4">
        <f>IFERROR(__xludf.DUMMYFUNCTION("""COMPUTED_VALUE"""),80.194499)</f>
        <v>80.194499</v>
      </c>
      <c r="F17350" s="4">
        <f>IFERROR(__xludf.DUMMYFUNCTION("""COMPUTED_VALUE"""),5339.0)</f>
        <v>5339</v>
      </c>
      <c r="G17350" s="4">
        <f>IFERROR(__xludf.DUMMYFUNCTION("""COMPUTED_VALUE"""),52.0)</f>
        <v>52</v>
      </c>
      <c r="H17350" s="4"/>
      <c r="I17350" s="4"/>
    </row>
    <row r="17351">
      <c r="A17351" s="4" t="str">
        <f>IFERROR(__xludf.DUMMYFUNCTION("""COMPUTED_VALUE"""),"cas_hmw")</f>
        <v>cas_hmw</v>
      </c>
      <c r="B17351" s="5">
        <f>IFERROR(__xludf.DUMMYFUNCTION("""COMPUTED_VALUE"""),44740.0)</f>
        <v>44740</v>
      </c>
      <c r="C17351" s="6">
        <f>IFERROR(__xludf.DUMMYFUNCTION("""COMPUTED_VALUE"""),0.32561342592453)</f>
        <v>0.3256134259</v>
      </c>
      <c r="D17351" s="4">
        <f>IFERROR(__xludf.DUMMYFUNCTION("""COMPUTED_VALUE"""),13.000164)</f>
        <v>13.000164</v>
      </c>
      <c r="E17351" s="4">
        <f>IFERROR(__xludf.DUMMYFUNCTION("""COMPUTED_VALUE"""),80.194499)</f>
        <v>80.194499</v>
      </c>
      <c r="F17351" s="4">
        <f>IFERROR(__xludf.DUMMYFUNCTION("""COMPUTED_VALUE"""),5339.0)</f>
        <v>5339</v>
      </c>
      <c r="G17351" s="4">
        <f>IFERROR(__xludf.DUMMYFUNCTION("""COMPUTED_VALUE"""),52.0)</f>
        <v>52</v>
      </c>
      <c r="H17351" s="4"/>
      <c r="I17351" s="4"/>
    </row>
    <row r="17352">
      <c r="A17352" s="4" t="str">
        <f>IFERROR(__xludf.DUMMYFUNCTION("""COMPUTED_VALUE"""),"cas_hmw")</f>
        <v>cas_hmw</v>
      </c>
      <c r="B17352" s="5">
        <f>IFERROR(__xludf.DUMMYFUNCTION("""COMPUTED_VALUE"""),44740.0)</f>
        <v>44740</v>
      </c>
      <c r="C17352" s="6">
        <f>IFERROR(__xludf.DUMMYFUNCTION("""COMPUTED_VALUE"""),0.3258333333324117)</f>
        <v>0.3258333333</v>
      </c>
      <c r="D17352" s="4">
        <f>IFERROR(__xludf.DUMMYFUNCTION("""COMPUTED_VALUE"""),13.009147)</f>
        <v>13.009147</v>
      </c>
      <c r="E17352" s="4">
        <f>IFERROR(__xludf.DUMMYFUNCTION("""COMPUTED_VALUE"""),80.228468)</f>
        <v>80.228468</v>
      </c>
      <c r="F17352" s="4">
        <f>IFERROR(__xludf.DUMMYFUNCTION("""COMPUTED_VALUE"""),805.0)</f>
        <v>805</v>
      </c>
      <c r="G17352" s="4">
        <f>IFERROR(__xludf.DUMMYFUNCTION("""COMPUTED_VALUE"""),44.0)</f>
        <v>44</v>
      </c>
      <c r="H17352" s="4"/>
      <c r="I17352" s="4"/>
    </row>
    <row r="17353">
      <c r="A17353" s="4" t="str">
        <f>IFERROR(__xludf.DUMMYFUNCTION("""COMPUTED_VALUE"""),"cas_hmw")</f>
        <v>cas_hmw</v>
      </c>
      <c r="B17353" s="5">
        <f>IFERROR(__xludf.DUMMYFUNCTION("""COMPUTED_VALUE"""),44740.0)</f>
        <v>44740</v>
      </c>
      <c r="C17353" s="6">
        <f>IFERROR(__xludf.DUMMYFUNCTION("""COMPUTED_VALUE"""),0.32653935185226146)</f>
        <v>0.3265393519</v>
      </c>
      <c r="D17353" s="4">
        <f>IFERROR(__xludf.DUMMYFUNCTION("""COMPUTED_VALUE"""),13.011452)</f>
        <v>13.011452</v>
      </c>
      <c r="E17353" s="4">
        <f>IFERROR(__xludf.DUMMYFUNCTION("""COMPUTED_VALUE"""),80.223173)</f>
        <v>80.223173</v>
      </c>
      <c r="F17353" s="4">
        <f>IFERROR(__xludf.DUMMYFUNCTION("""COMPUTED_VALUE"""),805.0)</f>
        <v>805</v>
      </c>
      <c r="G17353" s="4">
        <f>IFERROR(__xludf.DUMMYFUNCTION("""COMPUTED_VALUE"""),22.0)</f>
        <v>22</v>
      </c>
      <c r="H17353" s="4"/>
      <c r="I17353" s="4"/>
    </row>
    <row r="17354">
      <c r="A17354" s="4" t="str">
        <f>IFERROR(__xludf.DUMMYFUNCTION("""COMPUTED_VALUE"""),"cas_hmw")</f>
        <v>cas_hmw</v>
      </c>
      <c r="B17354" s="5">
        <f>IFERROR(__xludf.DUMMYFUNCTION("""COMPUTED_VALUE"""),44740.0)</f>
        <v>44740</v>
      </c>
      <c r="C17354" s="6">
        <f>IFERROR(__xludf.DUMMYFUNCTION("""COMPUTED_VALUE"""),0.3266087962947495)</f>
        <v>0.3266087963</v>
      </c>
      <c r="D17354" s="4">
        <f>IFERROR(__xludf.DUMMYFUNCTION("""COMPUTED_VALUE"""),13.011452)</f>
        <v>13.011452</v>
      </c>
      <c r="E17354" s="4">
        <f>IFERROR(__xludf.DUMMYFUNCTION("""COMPUTED_VALUE"""),80.223173)</f>
        <v>80.223173</v>
      </c>
      <c r="F17354" s="4">
        <f>IFERROR(__xludf.DUMMYFUNCTION("""COMPUTED_VALUE"""),805.0)</f>
        <v>805</v>
      </c>
      <c r="G17354" s="4">
        <f>IFERROR(__xludf.DUMMYFUNCTION("""COMPUTED_VALUE"""),22.0)</f>
        <v>22</v>
      </c>
      <c r="H17354" s="4"/>
      <c r="I17354" s="4"/>
    </row>
    <row r="17355">
      <c r="A17355" s="4" t="str">
        <f>IFERROR(__xludf.DUMMYFUNCTION("""COMPUTED_VALUE"""),"cas_hmw")</f>
        <v>cas_hmw</v>
      </c>
      <c r="B17355" s="5">
        <f>IFERROR(__xludf.DUMMYFUNCTION("""COMPUTED_VALUE"""),44740.0)</f>
        <v>44740</v>
      </c>
      <c r="C17355" s="6">
        <f>IFERROR(__xludf.DUMMYFUNCTION("""COMPUTED_VALUE"""),0.3273726851839456)</f>
        <v>0.3273726852</v>
      </c>
      <c r="D17355" s="4">
        <f>IFERROR(__xludf.DUMMYFUNCTION("""COMPUTED_VALUE"""),12.993429)</f>
        <v>12.993429</v>
      </c>
      <c r="E17355" s="4">
        <f>IFERROR(__xludf.DUMMYFUNCTION("""COMPUTED_VALUE"""),80.184504)</f>
        <v>80.184504</v>
      </c>
      <c r="F17355" s="4">
        <f>IFERROR(__xludf.DUMMYFUNCTION("""COMPUTED_VALUE"""),5339.0)</f>
        <v>5339</v>
      </c>
      <c r="G17355" s="4">
        <f>IFERROR(__xludf.DUMMYFUNCTION("""COMPUTED_VALUE"""),44.0)</f>
        <v>44</v>
      </c>
      <c r="H17355" s="4"/>
      <c r="I17355" s="4"/>
    </row>
    <row r="17356">
      <c r="A17356" s="4" t="str">
        <f>IFERROR(__xludf.DUMMYFUNCTION("""COMPUTED_VALUE"""),"cas_hmw")</f>
        <v>cas_hmw</v>
      </c>
      <c r="B17356" s="5">
        <f>IFERROR(__xludf.DUMMYFUNCTION("""COMPUTED_VALUE"""),44740.0)</f>
        <v>44740</v>
      </c>
      <c r="C17356" s="6">
        <f>IFERROR(__xludf.DUMMYFUNCTION("""COMPUTED_VALUE"""),0.32785879629591363)</f>
        <v>0.3278587963</v>
      </c>
      <c r="D17356" s="4">
        <f>IFERROR(__xludf.DUMMYFUNCTION("""COMPUTED_VALUE"""),12.990434)</f>
        <v>12.990434</v>
      </c>
      <c r="E17356" s="4">
        <f>IFERROR(__xludf.DUMMYFUNCTION("""COMPUTED_VALUE"""),80.180216)</f>
        <v>80.180216</v>
      </c>
      <c r="F17356" s="4">
        <f>IFERROR(__xludf.DUMMYFUNCTION("""COMPUTED_VALUE"""),5339.0)</f>
        <v>5339</v>
      </c>
      <c r="G17356" s="4">
        <f>IFERROR(__xludf.DUMMYFUNCTION("""COMPUTED_VALUE"""),51.0)</f>
        <v>51</v>
      </c>
      <c r="H17356" s="4"/>
      <c r="I17356" s="4"/>
    </row>
    <row r="17357">
      <c r="A17357" s="4" t="str">
        <f>IFERROR(__xludf.DUMMYFUNCTION("""COMPUTED_VALUE"""),"cas_hmw")</f>
        <v>cas_hmw</v>
      </c>
      <c r="B17357" s="5">
        <f>IFERROR(__xludf.DUMMYFUNCTION("""COMPUTED_VALUE"""),44740.0)</f>
        <v>44740</v>
      </c>
      <c r="C17357" s="6">
        <f>IFERROR(__xludf.DUMMYFUNCTION("""COMPUTED_VALUE"""),0.328229166665551)</f>
        <v>0.3282291667</v>
      </c>
      <c r="D17357" s="4">
        <f>IFERROR(__xludf.DUMMYFUNCTION("""COMPUTED_VALUE"""),13.008876)</f>
        <v>13.008876</v>
      </c>
      <c r="E17357" s="4">
        <f>IFERROR(__xludf.DUMMYFUNCTION("""COMPUTED_VALUE"""),80.211543)</f>
        <v>80.211543</v>
      </c>
      <c r="F17357" s="4">
        <f>IFERROR(__xludf.DUMMYFUNCTION("""COMPUTED_VALUE"""),805.0)</f>
        <v>805</v>
      </c>
      <c r="G17357" s="4">
        <f>IFERROR(__xludf.DUMMYFUNCTION("""COMPUTED_VALUE"""),56.0)</f>
        <v>56</v>
      </c>
      <c r="H17357" s="4"/>
      <c r="I17357" s="4"/>
    </row>
    <row r="17358">
      <c r="A17358" s="4" t="str">
        <f>IFERROR(__xludf.DUMMYFUNCTION("""COMPUTED_VALUE"""),"cas_hmw")</f>
        <v>cas_hmw</v>
      </c>
      <c r="B17358" s="5">
        <f>IFERROR(__xludf.DUMMYFUNCTION("""COMPUTED_VALUE"""),44740.0)</f>
        <v>44740</v>
      </c>
      <c r="C17358" s="6">
        <f>IFERROR(__xludf.DUMMYFUNCTION("""COMPUTED_VALUE"""),0.32847222222335404)</f>
        <v>0.3284722222</v>
      </c>
      <c r="D17358" s="4">
        <f>IFERROR(__xludf.DUMMYFUNCTION("""COMPUTED_VALUE"""),13.006934)</f>
        <v>13.006934</v>
      </c>
      <c r="E17358" s="4">
        <f>IFERROR(__xludf.DUMMYFUNCTION("""COMPUTED_VALUE"""),80.204349)</f>
        <v>80.204349</v>
      </c>
      <c r="F17358" s="4">
        <f>IFERROR(__xludf.DUMMYFUNCTION("""COMPUTED_VALUE"""),805.0)</f>
        <v>805</v>
      </c>
      <c r="G17358" s="4">
        <f>IFERROR(__xludf.DUMMYFUNCTION("""COMPUTED_VALUE"""),28.0)</f>
        <v>28</v>
      </c>
      <c r="H17358" s="4"/>
      <c r="I17358" s="4"/>
    </row>
    <row r="17359">
      <c r="A17359" s="4" t="str">
        <f>IFERROR(__xludf.DUMMYFUNCTION("""COMPUTED_VALUE"""),"cas_hmw")</f>
        <v>cas_hmw</v>
      </c>
      <c r="B17359" s="5">
        <f>IFERROR(__xludf.DUMMYFUNCTION("""COMPUTED_VALUE"""),44740.0)</f>
        <v>44740</v>
      </c>
      <c r="C17359" s="6">
        <f>IFERROR(__xludf.DUMMYFUNCTION("""COMPUTED_VALUE"""),0.3285995370388264)</f>
        <v>0.328599537</v>
      </c>
      <c r="D17359" s="4">
        <f>IFERROR(__xludf.DUMMYFUNCTION("""COMPUTED_VALUE"""),12.986213)</f>
        <v>12.986213</v>
      </c>
      <c r="E17359" s="4">
        <f>IFERROR(__xludf.DUMMYFUNCTION("""COMPUTED_VALUE"""),80.174502)</f>
        <v>80.174502</v>
      </c>
      <c r="F17359" s="4">
        <f>IFERROR(__xludf.DUMMYFUNCTION("""COMPUTED_VALUE"""),5339.0)</f>
        <v>5339</v>
      </c>
      <c r="G17359" s="4">
        <f>IFERROR(__xludf.DUMMYFUNCTION("""COMPUTED_VALUE"""),39.0)</f>
        <v>39</v>
      </c>
      <c r="H17359" s="4"/>
      <c r="I17359" s="4"/>
    </row>
    <row r="17360">
      <c r="A17360" s="4" t="str">
        <f>IFERROR(__xludf.DUMMYFUNCTION("""COMPUTED_VALUE"""),"cas_hmw")</f>
        <v>cas_hmw</v>
      </c>
      <c r="B17360" s="5">
        <f>IFERROR(__xludf.DUMMYFUNCTION("""COMPUTED_VALUE"""),44740.0)</f>
        <v>44740</v>
      </c>
      <c r="C17360" s="6">
        <f>IFERROR(__xludf.DUMMYFUNCTION("""COMPUTED_VALUE"""),0.3290740740740148)</f>
        <v>0.3290740741</v>
      </c>
      <c r="D17360" s="4">
        <f>IFERROR(__xludf.DUMMYFUNCTION("""COMPUTED_VALUE"""),13.00332)</f>
        <v>13.00332</v>
      </c>
      <c r="E17360" s="4">
        <f>IFERROR(__xludf.DUMMYFUNCTION("""COMPUTED_VALUE"""),80.200822)</f>
        <v>80.200822</v>
      </c>
      <c r="F17360" s="4">
        <f>IFERROR(__xludf.DUMMYFUNCTION("""COMPUTED_VALUE"""),805.0)</f>
        <v>805</v>
      </c>
      <c r="G17360" s="4">
        <f>IFERROR(__xludf.DUMMYFUNCTION("""COMPUTED_VALUE"""),48.0)</f>
        <v>48</v>
      </c>
      <c r="H17360" s="4"/>
      <c r="I17360" s="4"/>
    </row>
    <row r="17361">
      <c r="A17361" s="4" t="str">
        <f>IFERROR(__xludf.DUMMYFUNCTION("""COMPUTED_VALUE"""),"cas_hmw")</f>
        <v>cas_hmw</v>
      </c>
      <c r="B17361" s="5">
        <f>IFERROR(__xludf.DUMMYFUNCTION("""COMPUTED_VALUE"""),44740.0)</f>
        <v>44740</v>
      </c>
      <c r="C17361" s="6">
        <f>IFERROR(__xludf.DUMMYFUNCTION("""COMPUTED_VALUE"""),0.32912037037021946)</f>
        <v>0.3291203704</v>
      </c>
      <c r="D17361" s="4">
        <f>IFERROR(__xludf.DUMMYFUNCTION("""COMPUTED_VALUE"""),12.984164)</f>
        <v>12.984164</v>
      </c>
      <c r="E17361" s="4">
        <f>IFERROR(__xludf.DUMMYFUNCTION("""COMPUTED_VALUE"""),80.171374)</f>
        <v>80.171374</v>
      </c>
      <c r="F17361" s="4">
        <f>IFERROR(__xludf.DUMMYFUNCTION("""COMPUTED_VALUE"""),5339.0)</f>
        <v>5339</v>
      </c>
      <c r="G17361" s="4">
        <f>IFERROR(__xludf.DUMMYFUNCTION("""COMPUTED_VALUE"""),37.0)</f>
        <v>37</v>
      </c>
      <c r="H17361" s="4"/>
      <c r="I17361" s="4"/>
    </row>
    <row r="17362">
      <c r="A17362" s="4" t="str">
        <f>IFERROR(__xludf.DUMMYFUNCTION("""COMPUTED_VALUE"""),"cas_hmw")</f>
        <v>cas_hmw</v>
      </c>
      <c r="B17362" s="5">
        <f>IFERROR(__xludf.DUMMYFUNCTION("""COMPUTED_VALUE"""),44740.0)</f>
        <v>44740</v>
      </c>
      <c r="C17362" s="6">
        <f>IFERROR(__xludf.DUMMYFUNCTION("""COMPUTED_VALUE"""),0.32916666666642413)</f>
        <v>0.3291666667</v>
      </c>
      <c r="D17362" s="4">
        <f>IFERROR(__xludf.DUMMYFUNCTION("""COMPUTED_VALUE"""),13.00332)</f>
        <v>13.00332</v>
      </c>
      <c r="E17362" s="4">
        <f>IFERROR(__xludf.DUMMYFUNCTION("""COMPUTED_VALUE"""),80.200822)</f>
        <v>80.200822</v>
      </c>
      <c r="F17362" s="4">
        <f>IFERROR(__xludf.DUMMYFUNCTION("""COMPUTED_VALUE"""),805.0)</f>
        <v>805</v>
      </c>
      <c r="G17362" s="4">
        <f>IFERROR(__xludf.DUMMYFUNCTION("""COMPUTED_VALUE"""),48.0)</f>
        <v>48</v>
      </c>
      <c r="H17362" s="4"/>
      <c r="I17362" s="4"/>
    </row>
    <row r="17363">
      <c r="A17363" s="4" t="str">
        <f>IFERROR(__xludf.DUMMYFUNCTION("""COMPUTED_VALUE"""),"cas_hmw")</f>
        <v>cas_hmw</v>
      </c>
      <c r="B17363" s="5">
        <f>IFERROR(__xludf.DUMMYFUNCTION("""COMPUTED_VALUE"""),44740.0)</f>
        <v>44740</v>
      </c>
      <c r="C17363" s="6">
        <f>IFERROR(__xludf.DUMMYFUNCTION("""COMPUTED_VALUE"""),0.32918981481634546)</f>
        <v>0.3291898148</v>
      </c>
      <c r="D17363" s="4">
        <f>IFERROR(__xludf.DUMMYFUNCTION("""COMPUTED_VALUE"""),13.00332)</f>
        <v>13.00332</v>
      </c>
      <c r="E17363" s="4">
        <f>IFERROR(__xludf.DUMMYFUNCTION("""COMPUTED_VALUE"""),80.200822)</f>
        <v>80.200822</v>
      </c>
      <c r="F17363" s="4">
        <f>IFERROR(__xludf.DUMMYFUNCTION("""COMPUTED_VALUE"""),805.0)</f>
        <v>805</v>
      </c>
      <c r="G17363" s="4">
        <f>IFERROR(__xludf.DUMMYFUNCTION("""COMPUTED_VALUE"""),48.0)</f>
        <v>48</v>
      </c>
      <c r="H17363" s="4"/>
      <c r="I17363" s="4"/>
    </row>
    <row r="17364">
      <c r="A17364" s="4" t="str">
        <f>IFERROR(__xludf.DUMMYFUNCTION("""COMPUTED_VALUE"""),"cas_hmw")</f>
        <v>cas_hmw</v>
      </c>
      <c r="B17364" s="5">
        <f>IFERROR(__xludf.DUMMYFUNCTION("""COMPUTED_VALUE"""),44740.0)</f>
        <v>44740</v>
      </c>
      <c r="C17364" s="6">
        <f>IFERROR(__xludf.DUMMYFUNCTION("""COMPUTED_VALUE"""),0.3293171296281798)</f>
        <v>0.3293171296</v>
      </c>
      <c r="D17364" s="4">
        <f>IFERROR(__xludf.DUMMYFUNCTION("""COMPUTED_VALUE"""),12.983008)</f>
        <v>12.983008</v>
      </c>
      <c r="E17364" s="4">
        <f>IFERROR(__xludf.DUMMYFUNCTION("""COMPUTED_VALUE"""),80.16944)</f>
        <v>80.16944</v>
      </c>
      <c r="F17364" s="4">
        <f>IFERROR(__xludf.DUMMYFUNCTION("""COMPUTED_VALUE"""),5339.0)</f>
        <v>5339</v>
      </c>
      <c r="G17364" s="4">
        <f>IFERROR(__xludf.DUMMYFUNCTION("""COMPUTED_VALUE"""),49.0)</f>
        <v>49</v>
      </c>
      <c r="H17364" s="4"/>
      <c r="I17364" s="4"/>
    </row>
    <row r="17365">
      <c r="A17365" s="4" t="str">
        <f>IFERROR(__xludf.DUMMYFUNCTION("""COMPUTED_VALUE"""),"cas_hmw")</f>
        <v>cas_hmw</v>
      </c>
      <c r="B17365" s="5">
        <f>IFERROR(__xludf.DUMMYFUNCTION("""COMPUTED_VALUE"""),44740.0)</f>
        <v>44740</v>
      </c>
      <c r="C17365" s="6">
        <f>IFERROR(__xludf.DUMMYFUNCTION("""COMPUTED_VALUE"""),0.3293171296281798)</f>
        <v>0.3293171296</v>
      </c>
      <c r="D17365" s="4">
        <f>IFERROR(__xludf.DUMMYFUNCTION("""COMPUTED_VALUE"""),13.001853)</f>
        <v>13.001853</v>
      </c>
      <c r="E17365" s="4">
        <f>IFERROR(__xludf.DUMMYFUNCTION("""COMPUTED_VALUE"""),80.199957)</f>
        <v>80.199957</v>
      </c>
      <c r="F17365" s="4">
        <f>IFERROR(__xludf.DUMMYFUNCTION("""COMPUTED_VALUE"""),805.0)</f>
        <v>805</v>
      </c>
      <c r="G17365" s="4">
        <f>IFERROR(__xludf.DUMMYFUNCTION("""COMPUTED_VALUE"""),41.0)</f>
        <v>41</v>
      </c>
      <c r="H17365" s="4"/>
      <c r="I17365" s="4"/>
    </row>
    <row r="17366">
      <c r="A17366" s="4" t="str">
        <f>IFERROR(__xludf.DUMMYFUNCTION("""COMPUTED_VALUE"""),"cas_hmw")</f>
        <v>cas_hmw</v>
      </c>
      <c r="B17366" s="5">
        <f>IFERROR(__xludf.DUMMYFUNCTION("""COMPUTED_VALUE"""),44740.0)</f>
        <v>44740</v>
      </c>
      <c r="C17366" s="6">
        <f>IFERROR(__xludf.DUMMYFUNCTION("""COMPUTED_VALUE"""),0.3295833333322662)</f>
        <v>0.3295833333</v>
      </c>
      <c r="D17366" s="4">
        <f>IFERROR(__xludf.DUMMYFUNCTION("""COMPUTED_VALUE"""),12.981748)</f>
        <v>12.981748</v>
      </c>
      <c r="E17366" s="4">
        <f>IFERROR(__xludf.DUMMYFUNCTION("""COMPUTED_VALUE"""),80.167348)</f>
        <v>80.167348</v>
      </c>
      <c r="F17366" s="4">
        <f>IFERROR(__xludf.DUMMYFUNCTION("""COMPUTED_VALUE"""),5339.0)</f>
        <v>5339</v>
      </c>
      <c r="G17366" s="4">
        <f>IFERROR(__xludf.DUMMYFUNCTION("""COMPUTED_VALUE"""),48.0)</f>
        <v>48</v>
      </c>
      <c r="H17366" s="4"/>
      <c r="I17366" s="4"/>
    </row>
    <row r="17367">
      <c r="A17367" s="4" t="str">
        <f>IFERROR(__xludf.DUMMYFUNCTION("""COMPUTED_VALUE"""),"cas_hmw")</f>
        <v>cas_hmw</v>
      </c>
      <c r="B17367" s="5">
        <f>IFERROR(__xludf.DUMMYFUNCTION("""COMPUTED_VALUE"""),44740.0)</f>
        <v>44740</v>
      </c>
      <c r="C17367" s="6">
        <f>IFERROR(__xludf.DUMMYFUNCTION("""COMPUTED_VALUE"""),0.3301157407404389)</f>
        <v>0.3301157407</v>
      </c>
      <c r="D17367" s="4">
        <f>IFERROR(__xludf.DUMMYFUNCTION("""COMPUTED_VALUE"""),12.999476)</f>
        <v>12.999476</v>
      </c>
      <c r="E17367" s="4">
        <f>IFERROR(__xludf.DUMMYFUNCTION("""COMPUTED_VALUE"""),80.193532)</f>
        <v>80.193532</v>
      </c>
      <c r="F17367" s="4">
        <f>IFERROR(__xludf.DUMMYFUNCTION("""COMPUTED_VALUE"""),805.0)</f>
        <v>805</v>
      </c>
      <c r="G17367" s="4">
        <f>IFERROR(__xludf.DUMMYFUNCTION("""COMPUTED_VALUE"""),46.0)</f>
        <v>46</v>
      </c>
      <c r="H17367" s="4"/>
      <c r="I17367" s="4"/>
    </row>
    <row r="17368">
      <c r="A17368" s="4" t="str">
        <f>IFERROR(__xludf.DUMMYFUNCTION("""COMPUTED_VALUE"""),"cas_hmw")</f>
        <v>cas_hmw</v>
      </c>
      <c r="B17368" s="5">
        <f>IFERROR(__xludf.DUMMYFUNCTION("""COMPUTED_VALUE"""),44740.0)</f>
        <v>44740</v>
      </c>
      <c r="C17368" s="6">
        <f>IFERROR(__xludf.DUMMYFUNCTION("""COMPUTED_VALUE"""),0.3304166666675883)</f>
        <v>0.3304166667</v>
      </c>
      <c r="D17368" s="4">
        <f>IFERROR(__xludf.DUMMYFUNCTION("""COMPUTED_VALUE"""),12.979922)</f>
        <v>12.979922</v>
      </c>
      <c r="E17368" s="4">
        <f>IFERROR(__xludf.DUMMYFUNCTION("""COMPUTED_VALUE"""),80.163126)</f>
        <v>80.163126</v>
      </c>
      <c r="F17368" s="4">
        <f>IFERROR(__xludf.DUMMYFUNCTION("""COMPUTED_VALUE"""),5339.0)</f>
        <v>5339</v>
      </c>
      <c r="G17368" s="4">
        <f>IFERROR(__xludf.DUMMYFUNCTION("""COMPUTED_VALUE"""),19.0)</f>
        <v>19</v>
      </c>
      <c r="H17368" s="4"/>
      <c r="I17368" s="4"/>
    </row>
    <row r="17369">
      <c r="A17369" s="4" t="str">
        <f>IFERROR(__xludf.DUMMYFUNCTION("""COMPUTED_VALUE"""),"cas_hmw")</f>
        <v>cas_hmw</v>
      </c>
      <c r="B17369" s="5">
        <f>IFERROR(__xludf.DUMMYFUNCTION("""COMPUTED_VALUE"""),44740.0)</f>
        <v>44740</v>
      </c>
      <c r="C17369" s="6">
        <f>IFERROR(__xludf.DUMMYFUNCTION("""COMPUTED_VALUE"""),0.33050925925999763)</f>
        <v>0.3305092593</v>
      </c>
      <c r="D17369" s="4">
        <f>IFERROR(__xludf.DUMMYFUNCTION("""COMPUTED_VALUE"""),12.99698)</f>
        <v>12.99698</v>
      </c>
      <c r="E17369" s="4">
        <f>IFERROR(__xludf.DUMMYFUNCTION("""COMPUTED_VALUE"""),80.190484)</f>
        <v>80.190484</v>
      </c>
      <c r="F17369" s="4">
        <f>IFERROR(__xludf.DUMMYFUNCTION("""COMPUTED_VALUE"""),805.0)</f>
        <v>805</v>
      </c>
      <c r="G17369" s="4">
        <f>IFERROR(__xludf.DUMMYFUNCTION("""COMPUTED_VALUE"""),45.0)</f>
        <v>45</v>
      </c>
      <c r="H17369" s="4"/>
      <c r="I17369" s="4"/>
    </row>
    <row r="17370">
      <c r="A17370" s="4" t="str">
        <f>IFERROR(__xludf.DUMMYFUNCTION("""COMPUTED_VALUE"""),"cas_hmw")</f>
        <v>cas_hmw</v>
      </c>
      <c r="B17370" s="5">
        <f>IFERROR(__xludf.DUMMYFUNCTION("""COMPUTED_VALUE"""),44740.0)</f>
        <v>44740</v>
      </c>
      <c r="C17370" s="6">
        <f>IFERROR(__xludf.DUMMYFUNCTION("""COMPUTED_VALUE"""),0.33064814814861165)</f>
        <v>0.3306481481</v>
      </c>
      <c r="D17370" s="4">
        <f>IFERROR(__xludf.DUMMYFUNCTION("""COMPUTED_VALUE"""),12.99601)</f>
        <v>12.99601</v>
      </c>
      <c r="E17370" s="4">
        <f>IFERROR(__xludf.DUMMYFUNCTION("""COMPUTED_VALUE"""),80.189424)</f>
        <v>80.189424</v>
      </c>
      <c r="F17370" s="4">
        <f>IFERROR(__xludf.DUMMYFUNCTION("""COMPUTED_VALUE"""),805.0)</f>
        <v>805</v>
      </c>
      <c r="G17370" s="4">
        <f>IFERROR(__xludf.DUMMYFUNCTION("""COMPUTED_VALUE"""),22.0)</f>
        <v>22</v>
      </c>
      <c r="H17370" s="4"/>
      <c r="I17370" s="4"/>
    </row>
    <row r="17371">
      <c r="A17371" s="4" t="str">
        <f>IFERROR(__xludf.DUMMYFUNCTION("""COMPUTED_VALUE"""),"cas_hmw")</f>
        <v>cas_hmw</v>
      </c>
      <c r="B17371" s="5">
        <f>IFERROR(__xludf.DUMMYFUNCTION("""COMPUTED_VALUE"""),44740.0)</f>
        <v>44740</v>
      </c>
      <c r="C17371" s="6">
        <f>IFERROR(__xludf.DUMMYFUNCTION("""COMPUTED_VALUE"""),0.3310995370375167)</f>
        <v>0.331099537</v>
      </c>
      <c r="D17371" s="4">
        <f>IFERROR(__xludf.DUMMYFUNCTION("""COMPUTED_VALUE"""),12.994074)</f>
        <v>12.994074</v>
      </c>
      <c r="E17371" s="4">
        <f>IFERROR(__xludf.DUMMYFUNCTION("""COMPUTED_VALUE"""),80.185794)</f>
        <v>80.185794</v>
      </c>
      <c r="F17371" s="4">
        <f>IFERROR(__xludf.DUMMYFUNCTION("""COMPUTED_VALUE"""),805.0)</f>
        <v>805</v>
      </c>
      <c r="G17371" s="4">
        <f>IFERROR(__xludf.DUMMYFUNCTION("""COMPUTED_VALUE"""),24.0)</f>
        <v>24</v>
      </c>
      <c r="H17371" s="4"/>
      <c r="I17371" s="4"/>
    </row>
    <row r="17372">
      <c r="A17372" s="4" t="str">
        <f>IFERROR(__xludf.DUMMYFUNCTION("""COMPUTED_VALUE"""),"cas_hmw")</f>
        <v>cas_hmw</v>
      </c>
      <c r="B17372" s="5">
        <f>IFERROR(__xludf.DUMMYFUNCTION("""COMPUTED_VALUE"""),44740.0)</f>
        <v>44740</v>
      </c>
      <c r="C17372" s="6">
        <f>IFERROR(__xludf.DUMMYFUNCTION("""COMPUTED_VALUE"""),0.33120370370306773)</f>
        <v>0.3312037037</v>
      </c>
      <c r="D17372" s="4">
        <f>IFERROR(__xludf.DUMMYFUNCTION("""COMPUTED_VALUE"""),12.975936)</f>
        <v>12.975936</v>
      </c>
      <c r="E17372" s="4">
        <f>IFERROR(__xludf.DUMMYFUNCTION("""COMPUTED_VALUE"""),80.1571)</f>
        <v>80.1571</v>
      </c>
      <c r="F17372" s="4">
        <f>IFERROR(__xludf.DUMMYFUNCTION("""COMPUTED_VALUE"""),5339.0)</f>
        <v>5339</v>
      </c>
      <c r="G17372" s="4">
        <f>IFERROR(__xludf.DUMMYFUNCTION("""COMPUTED_VALUE"""),45.0)</f>
        <v>45</v>
      </c>
      <c r="H17372" s="4"/>
      <c r="I17372" s="4"/>
    </row>
    <row r="17373">
      <c r="A17373" s="4" t="str">
        <f>IFERROR(__xludf.DUMMYFUNCTION("""COMPUTED_VALUE"""),"cas_hmw")</f>
        <v>cas_hmw</v>
      </c>
      <c r="B17373" s="5">
        <f>IFERROR(__xludf.DUMMYFUNCTION("""COMPUTED_VALUE"""),44740.0)</f>
        <v>44740</v>
      </c>
      <c r="C17373" s="6">
        <f>IFERROR(__xludf.DUMMYFUNCTION("""COMPUTED_VALUE"""),0.3314583333340124)</f>
        <v>0.3314583333</v>
      </c>
      <c r="D17373" s="4">
        <f>IFERROR(__xludf.DUMMYFUNCTION("""COMPUTED_VALUE"""),12.7326)</f>
        <v>12.7326</v>
      </c>
      <c r="E17373" s="4">
        <f>IFERROR(__xludf.DUMMYFUNCTION("""COMPUTED_VALUE"""),79.983072)</f>
        <v>79.983072</v>
      </c>
      <c r="F17373" s="4">
        <f>IFERROR(__xludf.DUMMYFUNCTION("""COMPUTED_VALUE"""),2846.0)</f>
        <v>2846</v>
      </c>
      <c r="G17373" s="4">
        <f>IFERROR(__xludf.DUMMYFUNCTION("""COMPUTED_VALUE"""),56.0)</f>
        <v>56</v>
      </c>
      <c r="H17373" s="4"/>
      <c r="I17373" s="4"/>
    </row>
    <row r="17374">
      <c r="A17374" s="4" t="str">
        <f>IFERROR(__xludf.DUMMYFUNCTION("""COMPUTED_VALUE"""),"cas_hmw")</f>
        <v>cas_hmw</v>
      </c>
      <c r="B17374" s="5">
        <f>IFERROR(__xludf.DUMMYFUNCTION("""COMPUTED_VALUE"""),44740.0)</f>
        <v>44740</v>
      </c>
      <c r="C17374" s="6">
        <f>IFERROR(__xludf.DUMMYFUNCTION("""COMPUTED_VALUE"""),0.33152777777650044)</f>
        <v>0.3315277778</v>
      </c>
      <c r="D17374" s="4">
        <f>IFERROR(__xludf.DUMMYFUNCTION("""COMPUTED_VALUE"""),12.974425)</f>
        <v>12.974425</v>
      </c>
      <c r="E17374" s="4">
        <f>IFERROR(__xludf.DUMMYFUNCTION("""COMPUTED_VALUE"""),80.154864)</f>
        <v>80.154864</v>
      </c>
      <c r="F17374" s="4">
        <f>IFERROR(__xludf.DUMMYFUNCTION("""COMPUTED_VALUE"""),5339.0)</f>
        <v>5339</v>
      </c>
      <c r="G17374" s="4">
        <f>IFERROR(__xludf.DUMMYFUNCTION("""COMPUTED_VALUE"""),27.0)</f>
        <v>27</v>
      </c>
      <c r="H17374" s="4"/>
      <c r="I17374" s="4"/>
    </row>
    <row r="17375">
      <c r="A17375" s="4" t="str">
        <f>IFERROR(__xludf.DUMMYFUNCTION("""COMPUTED_VALUE"""),"cas_hmw")</f>
        <v>cas_hmw</v>
      </c>
      <c r="B17375" s="5">
        <f>IFERROR(__xludf.DUMMYFUNCTION("""COMPUTED_VALUE"""),44740.0)</f>
        <v>44740</v>
      </c>
      <c r="C17375" s="6">
        <f>IFERROR(__xludf.DUMMYFUNCTION("""COMPUTED_VALUE"""),0.3317939814805868)</f>
        <v>0.3317939815</v>
      </c>
      <c r="D17375" s="4">
        <f>IFERROR(__xludf.DUMMYFUNCTION("""COMPUTED_VALUE"""),12.973327)</f>
        <v>12.973327</v>
      </c>
      <c r="E17375" s="4">
        <f>IFERROR(__xludf.DUMMYFUNCTION("""COMPUTED_VALUE"""),80.153158)</f>
        <v>80.153158</v>
      </c>
      <c r="F17375" s="4">
        <f>IFERROR(__xludf.DUMMYFUNCTION("""COMPUTED_VALUE"""),5339.0)</f>
        <v>5339</v>
      </c>
      <c r="G17375" s="4">
        <f>IFERROR(__xludf.DUMMYFUNCTION("""COMPUTED_VALUE"""),47.0)</f>
        <v>47</v>
      </c>
      <c r="H17375" s="4"/>
      <c r="I17375" s="4"/>
    </row>
    <row r="17376">
      <c r="A17376" s="4" t="str">
        <f>IFERROR(__xludf.DUMMYFUNCTION("""COMPUTED_VALUE"""),"cas_hmw")</f>
        <v>cas_hmw</v>
      </c>
      <c r="B17376" s="5">
        <f>IFERROR(__xludf.DUMMYFUNCTION("""COMPUTED_VALUE"""),44740.0)</f>
        <v>44740</v>
      </c>
      <c r="C17376" s="6">
        <f>IFERROR(__xludf.DUMMYFUNCTION("""COMPUTED_VALUE"""),0.33185185185357113)</f>
        <v>0.3318518519</v>
      </c>
      <c r="D17376" s="4">
        <f>IFERROR(__xludf.DUMMYFUNCTION("""COMPUTED_VALUE"""),12.972681)</f>
        <v>12.972681</v>
      </c>
      <c r="E17376" s="4">
        <f>IFERROR(__xludf.DUMMYFUNCTION("""COMPUTED_VALUE"""),80.152197)</f>
        <v>80.152197</v>
      </c>
      <c r="F17376" s="4">
        <f>IFERROR(__xludf.DUMMYFUNCTION("""COMPUTED_VALUE"""),5339.0)</f>
        <v>5339</v>
      </c>
      <c r="G17376" s="4">
        <f>IFERROR(__xludf.DUMMYFUNCTION("""COMPUTED_VALUE"""),38.0)</f>
        <v>38</v>
      </c>
      <c r="H17376" s="4"/>
      <c r="I17376" s="4"/>
    </row>
    <row r="17377">
      <c r="A17377" s="4" t="str">
        <f>IFERROR(__xludf.DUMMYFUNCTION("""COMPUTED_VALUE"""),"cas_hmw")</f>
        <v>cas_hmw</v>
      </c>
      <c r="B17377" s="5">
        <f>IFERROR(__xludf.DUMMYFUNCTION("""COMPUTED_VALUE"""),44740.0)</f>
        <v>44740</v>
      </c>
      <c r="C17377" s="6">
        <f>IFERROR(__xludf.DUMMYFUNCTION("""COMPUTED_VALUE"""),0.33224537036949187)</f>
        <v>0.3322453704</v>
      </c>
      <c r="D17377" s="4">
        <f>IFERROR(__xludf.DUMMYFUNCTION("""COMPUTED_VALUE"""),12.971351)</f>
        <v>12.971351</v>
      </c>
      <c r="E17377" s="4">
        <f>IFERROR(__xludf.DUMMYFUNCTION("""COMPUTED_VALUE"""),80.151035)</f>
        <v>80.151035</v>
      </c>
      <c r="F17377" s="4">
        <f>IFERROR(__xludf.DUMMYFUNCTION("""COMPUTED_VALUE"""),5339.0)</f>
        <v>5339</v>
      </c>
      <c r="G17377" s="4">
        <f>IFERROR(__xludf.DUMMYFUNCTION("""COMPUTED_VALUE"""),31.0)</f>
        <v>31</v>
      </c>
      <c r="H17377" s="4"/>
      <c r="I17377" s="4"/>
    </row>
    <row r="17378">
      <c r="A17378" s="4" t="str">
        <f>IFERROR(__xludf.DUMMYFUNCTION("""COMPUTED_VALUE"""),"cas_hmw")</f>
        <v>cas_hmw</v>
      </c>
      <c r="B17378" s="5">
        <f>IFERROR(__xludf.DUMMYFUNCTION("""COMPUTED_VALUE"""),44740.0)</f>
        <v>44740</v>
      </c>
      <c r="C17378" s="6">
        <f>IFERROR(__xludf.DUMMYFUNCTION("""COMPUTED_VALUE"""),0.333252314816491)</f>
        <v>0.3332523148</v>
      </c>
      <c r="D17378" s="4">
        <f>IFERROR(__xludf.DUMMYFUNCTION("""COMPUTED_VALUE"""),12.964663)</f>
        <v>12.964663</v>
      </c>
      <c r="E17378" s="4">
        <f>IFERROR(__xludf.DUMMYFUNCTION("""COMPUTED_VALUE"""),80.147799)</f>
        <v>80.147799</v>
      </c>
      <c r="F17378" s="4">
        <f>IFERROR(__xludf.DUMMYFUNCTION("""COMPUTED_VALUE"""),5339.0)</f>
        <v>5339</v>
      </c>
      <c r="G17378" s="4">
        <f>IFERROR(__xludf.DUMMYFUNCTION("""COMPUTED_VALUE"""),43.0)</f>
        <v>43</v>
      </c>
      <c r="H17378" s="4"/>
      <c r="I17378" s="4"/>
    </row>
    <row r="17379">
      <c r="A17379" s="4" t="str">
        <f>IFERROR(__xludf.DUMMYFUNCTION("""COMPUTED_VALUE"""),"cas_hmw")</f>
        <v>cas_hmw</v>
      </c>
      <c r="B17379" s="5">
        <f>IFERROR(__xludf.DUMMYFUNCTION("""COMPUTED_VALUE"""),44740.0)</f>
        <v>44740</v>
      </c>
      <c r="C17379" s="6">
        <f>IFERROR(__xludf.DUMMYFUNCTION("""COMPUTED_VALUE"""),0.3338310185172304)</f>
        <v>0.3338310185</v>
      </c>
      <c r="D17379" s="4">
        <f>IFERROR(__xludf.DUMMYFUNCTION("""COMPUTED_VALUE"""),12.74772)</f>
        <v>12.74772</v>
      </c>
      <c r="E17379" s="4">
        <f>IFERROR(__xludf.DUMMYFUNCTION("""COMPUTED_VALUE"""),79.995875)</f>
        <v>79.995875</v>
      </c>
      <c r="F17379" s="4">
        <f>IFERROR(__xludf.DUMMYFUNCTION("""COMPUTED_VALUE"""),2846.0)</f>
        <v>2846</v>
      </c>
      <c r="G17379" s="4">
        <f>IFERROR(__xludf.DUMMYFUNCTION("""COMPUTED_VALUE"""),46.0)</f>
        <v>46</v>
      </c>
      <c r="H17379" s="4"/>
      <c r="I17379" s="4"/>
    </row>
    <row r="17380">
      <c r="A17380" s="4" t="str">
        <f>IFERROR(__xludf.DUMMYFUNCTION("""COMPUTED_VALUE"""),"cas_hmw")</f>
        <v>cas_hmw</v>
      </c>
      <c r="B17380" s="5">
        <f>IFERROR(__xludf.DUMMYFUNCTION("""COMPUTED_VALUE"""),44740.0)</f>
        <v>44740</v>
      </c>
      <c r="C17380" s="6">
        <f>IFERROR(__xludf.DUMMYFUNCTION("""COMPUTED_VALUE"""),0.3344907407408755)</f>
        <v>0.3344907407</v>
      </c>
      <c r="D17380" s="4">
        <f>IFERROR(__xludf.DUMMYFUNCTION("""COMPUTED_VALUE"""),12.754471)</f>
        <v>12.754471</v>
      </c>
      <c r="E17380" s="4">
        <f>IFERROR(__xludf.DUMMYFUNCTION("""COMPUTED_VALUE"""),80.000805)</f>
        <v>80.000805</v>
      </c>
      <c r="F17380" s="4">
        <f>IFERROR(__xludf.DUMMYFUNCTION("""COMPUTED_VALUE"""),2846.0)</f>
        <v>2846</v>
      </c>
      <c r="G17380" s="4">
        <f>IFERROR(__xludf.DUMMYFUNCTION("""COMPUTED_VALUE"""),53.0)</f>
        <v>53</v>
      </c>
      <c r="H17380" s="4"/>
      <c r="I17380" s="4"/>
    </row>
    <row r="17381">
      <c r="A17381" s="4" t="str">
        <f>IFERROR(__xludf.DUMMYFUNCTION("""COMPUTED_VALUE"""),"cas_hmw")</f>
        <v>cas_hmw</v>
      </c>
      <c r="B17381" s="5">
        <f>IFERROR(__xludf.DUMMYFUNCTION("""COMPUTED_VALUE"""),44740.0)</f>
        <v>44740</v>
      </c>
      <c r="C17381" s="6">
        <f>IFERROR(__xludf.DUMMYFUNCTION("""COMPUTED_VALUE"""),0.3347800925912452)</f>
        <v>0.3347800926</v>
      </c>
      <c r="D17381" s="4">
        <f>IFERROR(__xludf.DUMMYFUNCTION("""COMPUTED_VALUE"""),12.756688)</f>
        <v>12.756688</v>
      </c>
      <c r="E17381" s="4">
        <f>IFERROR(__xludf.DUMMYFUNCTION("""COMPUTED_VALUE"""),80.002042)</f>
        <v>80.002042</v>
      </c>
      <c r="F17381" s="4">
        <f>IFERROR(__xludf.DUMMYFUNCTION("""COMPUTED_VALUE"""),2846.0)</f>
        <v>2846</v>
      </c>
      <c r="G17381" s="4">
        <f>IFERROR(__xludf.DUMMYFUNCTION("""COMPUTED_VALUE"""),51.0)</f>
        <v>51</v>
      </c>
      <c r="H17381" s="4"/>
      <c r="I17381" s="4"/>
    </row>
    <row r="17382">
      <c r="A17382" s="4" t="str">
        <f>IFERROR(__xludf.DUMMYFUNCTION("""COMPUTED_VALUE"""),"cas_hmw")</f>
        <v>cas_hmw</v>
      </c>
      <c r="B17382" s="5">
        <f>IFERROR(__xludf.DUMMYFUNCTION("""COMPUTED_VALUE"""),44740.0)</f>
        <v>44740</v>
      </c>
      <c r="C17382" s="6">
        <f>IFERROR(__xludf.DUMMYFUNCTION("""COMPUTED_VALUE"""),0.33479166666802485)</f>
        <v>0.3347916667</v>
      </c>
      <c r="D17382" s="4">
        <f>IFERROR(__xludf.DUMMYFUNCTION("""COMPUTED_VALUE"""),12.756688)</f>
        <v>12.756688</v>
      </c>
      <c r="E17382" s="4">
        <f>IFERROR(__xludf.DUMMYFUNCTION("""COMPUTED_VALUE"""),80.002042)</f>
        <v>80.002042</v>
      </c>
      <c r="F17382" s="4">
        <f>IFERROR(__xludf.DUMMYFUNCTION("""COMPUTED_VALUE"""),2846.0)</f>
        <v>2846</v>
      </c>
      <c r="G17382" s="4">
        <f>IFERROR(__xludf.DUMMYFUNCTION("""COMPUTED_VALUE"""),51.0)</f>
        <v>51</v>
      </c>
      <c r="H17382" s="4"/>
      <c r="I17382" s="4"/>
    </row>
    <row r="17383">
      <c r="A17383" s="4" t="str">
        <f>IFERROR(__xludf.DUMMYFUNCTION("""COMPUTED_VALUE"""),"cas_hmw")</f>
        <v>cas_hmw</v>
      </c>
      <c r="B17383" s="5">
        <f>IFERROR(__xludf.DUMMYFUNCTION("""COMPUTED_VALUE"""),44740.0)</f>
        <v>44740</v>
      </c>
      <c r="C17383" s="6">
        <f>IFERROR(__xludf.DUMMYFUNCTION("""COMPUTED_VALUE"""),0.33489583333357587)</f>
        <v>0.3348958333</v>
      </c>
      <c r="D17383" s="4">
        <f>IFERROR(__xludf.DUMMYFUNCTION("""COMPUTED_VALUE"""),12.756688)</f>
        <v>12.756688</v>
      </c>
      <c r="E17383" s="4">
        <f>IFERROR(__xludf.DUMMYFUNCTION("""COMPUTED_VALUE"""),80.002042)</f>
        <v>80.002042</v>
      </c>
      <c r="F17383" s="4">
        <f>IFERROR(__xludf.DUMMYFUNCTION("""COMPUTED_VALUE"""),2846.0)</f>
        <v>2846</v>
      </c>
      <c r="G17383" s="4">
        <f>IFERROR(__xludf.DUMMYFUNCTION("""COMPUTED_VALUE"""),51.0)</f>
        <v>51</v>
      </c>
      <c r="H17383" s="4"/>
      <c r="I17383" s="4"/>
    </row>
    <row r="17384">
      <c r="A17384" s="4" t="str">
        <f>IFERROR(__xludf.DUMMYFUNCTION("""COMPUTED_VALUE"""),"cas_hmw")</f>
        <v>cas_hmw</v>
      </c>
      <c r="B17384" s="5">
        <f>IFERROR(__xludf.DUMMYFUNCTION("""COMPUTED_VALUE"""),44740.0)</f>
        <v>44740</v>
      </c>
      <c r="C17384" s="6">
        <f>IFERROR(__xludf.DUMMYFUNCTION("""COMPUTED_VALUE"""),0.33509259259153623)</f>
        <v>0.3350925926</v>
      </c>
      <c r="D17384" s="4">
        <f>IFERROR(__xludf.DUMMYFUNCTION("""COMPUTED_VALUE"""),12.971791)</f>
        <v>12.971791</v>
      </c>
      <c r="E17384" s="4">
        <f>IFERROR(__xludf.DUMMYFUNCTION("""COMPUTED_VALUE"""),80.151348)</f>
        <v>80.151348</v>
      </c>
      <c r="F17384" s="4">
        <f>IFERROR(__xludf.DUMMYFUNCTION("""COMPUTED_VALUE"""),805.0)</f>
        <v>805</v>
      </c>
      <c r="G17384" s="4">
        <f>IFERROR(__xludf.DUMMYFUNCTION("""COMPUTED_VALUE"""),23.0)</f>
        <v>23</v>
      </c>
      <c r="H17384" s="4"/>
      <c r="I17384" s="4"/>
    </row>
    <row r="17385">
      <c r="A17385" s="4" t="str">
        <f>IFERROR(__xludf.DUMMYFUNCTION("""COMPUTED_VALUE"""),"cas_hmw")</f>
        <v>cas_hmw</v>
      </c>
      <c r="B17385" s="5">
        <f>IFERROR(__xludf.DUMMYFUNCTION("""COMPUTED_VALUE"""),44740.0)</f>
        <v>44740</v>
      </c>
      <c r="C17385" s="6">
        <f>IFERROR(__xludf.DUMMYFUNCTION("""COMPUTED_VALUE"""),0.3364120370388264)</f>
        <v>0.336412037</v>
      </c>
      <c r="D17385" s="4">
        <f>IFERROR(__xludf.DUMMYFUNCTION("""COMPUTED_VALUE"""),12.950557)</f>
        <v>12.950557</v>
      </c>
      <c r="E17385" s="4">
        <f>IFERROR(__xludf.DUMMYFUNCTION("""COMPUTED_VALUE"""),80.139767)</f>
        <v>80.139767</v>
      </c>
      <c r="F17385" s="4">
        <f>IFERROR(__xludf.DUMMYFUNCTION("""COMPUTED_VALUE"""),5339.0)</f>
        <v>5339</v>
      </c>
      <c r="G17385" s="4">
        <f>IFERROR(__xludf.DUMMYFUNCTION("""COMPUTED_VALUE"""),15.0)</f>
        <v>15</v>
      </c>
      <c r="H17385" s="4"/>
      <c r="I17385" s="4"/>
    </row>
    <row r="17386">
      <c r="A17386" s="4" t="str">
        <f>IFERROR(__xludf.DUMMYFUNCTION("""COMPUTED_VALUE"""),"cas_hmw")</f>
        <v>cas_hmw</v>
      </c>
      <c r="B17386" s="5">
        <f>IFERROR(__xludf.DUMMYFUNCTION("""COMPUTED_VALUE"""),44740.0)</f>
        <v>44740</v>
      </c>
      <c r="C17386" s="6">
        <f>IFERROR(__xludf.DUMMYFUNCTION("""COMPUTED_VALUE"""),0.3368518518509518)</f>
        <v>0.3368518519</v>
      </c>
      <c r="D17386" s="4">
        <f>IFERROR(__xludf.DUMMYFUNCTION("""COMPUTED_VALUE"""),12.96198)</f>
        <v>12.96198</v>
      </c>
      <c r="E17386" s="4">
        <f>IFERROR(__xludf.DUMMYFUNCTION("""COMPUTED_VALUE"""),80.14635)</f>
        <v>80.14635</v>
      </c>
      <c r="F17386" s="4">
        <f>IFERROR(__xludf.DUMMYFUNCTION("""COMPUTED_VALUE"""),805.0)</f>
        <v>805</v>
      </c>
      <c r="G17386" s="4">
        <f>IFERROR(__xludf.DUMMYFUNCTION("""COMPUTED_VALUE"""),12.0)</f>
        <v>12</v>
      </c>
      <c r="H17386" s="4"/>
      <c r="I17386" s="4"/>
    </row>
    <row r="17387">
      <c r="A17387" s="4" t="str">
        <f>IFERROR(__xludf.DUMMYFUNCTION("""COMPUTED_VALUE"""),"cas_hmw")</f>
        <v>cas_hmw</v>
      </c>
      <c r="B17387" s="5">
        <f>IFERROR(__xludf.DUMMYFUNCTION("""COMPUTED_VALUE"""),44740.0)</f>
        <v>44740</v>
      </c>
      <c r="C17387" s="6">
        <f>IFERROR(__xludf.DUMMYFUNCTION("""COMPUTED_VALUE"""),0.33689814814715646)</f>
        <v>0.3368981481</v>
      </c>
      <c r="D17387" s="4">
        <f>IFERROR(__xludf.DUMMYFUNCTION("""COMPUTED_VALUE"""),12.947158)</f>
        <v>12.947158</v>
      </c>
      <c r="E17387" s="4">
        <f>IFERROR(__xludf.DUMMYFUNCTION("""COMPUTED_VALUE"""),80.137069)</f>
        <v>80.137069</v>
      </c>
      <c r="F17387" s="4">
        <f>IFERROR(__xludf.DUMMYFUNCTION("""COMPUTED_VALUE"""),5339.0)</f>
        <v>5339</v>
      </c>
      <c r="G17387" s="4">
        <f>IFERROR(__xludf.DUMMYFUNCTION("""COMPUTED_VALUE"""),56.0)</f>
        <v>56</v>
      </c>
      <c r="H17387" s="4"/>
      <c r="I17387" s="4"/>
    </row>
    <row r="17388">
      <c r="A17388" s="4" t="str">
        <f>IFERROR(__xludf.DUMMYFUNCTION("""COMPUTED_VALUE"""),"cas_hmw")</f>
        <v>cas_hmw</v>
      </c>
      <c r="B17388" s="5">
        <f>IFERROR(__xludf.DUMMYFUNCTION("""COMPUTED_VALUE"""),44740.0)</f>
        <v>44740</v>
      </c>
      <c r="C17388" s="6">
        <f>IFERROR(__xludf.DUMMYFUNCTION("""COMPUTED_VALUE"""),0.3377546296287619)</f>
        <v>0.3377546296</v>
      </c>
      <c r="D17388" s="4">
        <f>IFERROR(__xludf.DUMMYFUNCTION("""COMPUTED_VALUE"""),12.938928)</f>
        <v>12.938928</v>
      </c>
      <c r="E17388" s="4">
        <f>IFERROR(__xludf.DUMMYFUNCTION("""COMPUTED_VALUE"""),80.129619)</f>
        <v>80.129619</v>
      </c>
      <c r="F17388" s="4">
        <f>IFERROR(__xludf.DUMMYFUNCTION("""COMPUTED_VALUE"""),5339.0)</f>
        <v>5339</v>
      </c>
      <c r="G17388" s="4">
        <f>IFERROR(__xludf.DUMMYFUNCTION("""COMPUTED_VALUE"""),56.0)</f>
        <v>56</v>
      </c>
      <c r="H17388" s="4"/>
      <c r="I17388" s="4"/>
    </row>
    <row r="17389">
      <c r="A17389" s="4" t="str">
        <f>IFERROR(__xludf.DUMMYFUNCTION("""COMPUTED_VALUE"""),"cas_hmw")</f>
        <v>cas_hmw</v>
      </c>
      <c r="B17389" s="5">
        <f>IFERROR(__xludf.DUMMYFUNCTION("""COMPUTED_VALUE"""),44740.0)</f>
        <v>44740</v>
      </c>
      <c r="C17389" s="6">
        <f>IFERROR(__xludf.DUMMYFUNCTION("""COMPUTED_VALUE"""),0.3380787037021946)</f>
        <v>0.3380787037</v>
      </c>
      <c r="D17389" s="4">
        <f>IFERROR(__xludf.DUMMYFUNCTION("""COMPUTED_VALUE"""),12.936032)</f>
        <v>12.936032</v>
      </c>
      <c r="E17389" s="4">
        <f>IFERROR(__xludf.DUMMYFUNCTION("""COMPUTED_VALUE"""),80.127149)</f>
        <v>80.127149</v>
      </c>
      <c r="F17389" s="4">
        <f>IFERROR(__xludf.DUMMYFUNCTION("""COMPUTED_VALUE"""),5339.0)</f>
        <v>5339</v>
      </c>
      <c r="G17389" s="4">
        <f>IFERROR(__xludf.DUMMYFUNCTION("""COMPUTED_VALUE"""),49.0)</f>
        <v>49</v>
      </c>
      <c r="H17389" s="4"/>
      <c r="I17389" s="4"/>
    </row>
    <row r="17390">
      <c r="A17390" s="4" t="str">
        <f>IFERROR(__xludf.DUMMYFUNCTION("""COMPUTED_VALUE"""),"cas_hmw")</f>
        <v>cas_hmw</v>
      </c>
      <c r="B17390" s="5">
        <f>IFERROR(__xludf.DUMMYFUNCTION("""COMPUTED_VALUE"""),44740.0)</f>
        <v>44740</v>
      </c>
      <c r="C17390" s="6">
        <f>IFERROR(__xludf.DUMMYFUNCTION("""COMPUTED_VALUE"""),0.3382986111100763)</f>
        <v>0.3382986111</v>
      </c>
      <c r="D17390" s="4">
        <f>IFERROR(__xludf.DUMMYFUNCTION("""COMPUTED_VALUE"""),12.934141)</f>
        <v>12.934141</v>
      </c>
      <c r="E17390" s="4">
        <f>IFERROR(__xludf.DUMMYFUNCTION("""COMPUTED_VALUE"""),80.125377)</f>
        <v>80.125377</v>
      </c>
      <c r="F17390" s="4">
        <f>IFERROR(__xludf.DUMMYFUNCTION("""COMPUTED_VALUE"""),5339.0)</f>
        <v>5339</v>
      </c>
      <c r="G17390" s="4">
        <f>IFERROR(__xludf.DUMMYFUNCTION("""COMPUTED_VALUE"""),56.0)</f>
        <v>56</v>
      </c>
      <c r="H17390" s="4"/>
      <c r="I17390" s="4"/>
    </row>
    <row r="17391">
      <c r="A17391" s="4" t="str">
        <f>IFERROR(__xludf.DUMMYFUNCTION("""COMPUTED_VALUE"""),"cas_hmw")</f>
        <v>cas_hmw</v>
      </c>
      <c r="B17391" s="5">
        <f>IFERROR(__xludf.DUMMYFUNCTION("""COMPUTED_VALUE"""),44740.0)</f>
        <v>44740</v>
      </c>
      <c r="C17391" s="6">
        <f>IFERROR(__xludf.DUMMYFUNCTION("""COMPUTED_VALUE"""),0.338518518517958)</f>
        <v>0.3385185185</v>
      </c>
      <c r="D17391" s="4">
        <f>IFERROR(__xludf.DUMMYFUNCTION("""COMPUTED_VALUE"""),12.786956)</f>
        <v>12.786956</v>
      </c>
      <c r="E17391" s="4">
        <f>IFERROR(__xludf.DUMMYFUNCTION("""COMPUTED_VALUE"""),80.015038)</f>
        <v>80.015038</v>
      </c>
      <c r="F17391" s="4">
        <f>IFERROR(__xludf.DUMMYFUNCTION("""COMPUTED_VALUE"""),2846.0)</f>
        <v>2846</v>
      </c>
      <c r="G17391" s="4">
        <f>IFERROR(__xludf.DUMMYFUNCTION("""COMPUTED_VALUE"""),52.0)</f>
        <v>52</v>
      </c>
      <c r="H17391" s="4"/>
      <c r="I17391" s="4"/>
    </row>
    <row r="17392">
      <c r="A17392" s="4" t="str">
        <f>IFERROR(__xludf.DUMMYFUNCTION("""COMPUTED_VALUE"""),"cas_hmw")</f>
        <v>cas_hmw</v>
      </c>
      <c r="B17392" s="5">
        <f>IFERROR(__xludf.DUMMYFUNCTION("""COMPUTED_VALUE"""),44740.0)</f>
        <v>44740</v>
      </c>
      <c r="C17392" s="6">
        <f>IFERROR(__xludf.DUMMYFUNCTION("""COMPUTED_VALUE"""),0.33857638888730435)</f>
        <v>0.3385763889</v>
      </c>
      <c r="D17392" s="4">
        <f>IFERROR(__xludf.DUMMYFUNCTION("""COMPUTED_VALUE"""),12.791535)</f>
        <v>12.791535</v>
      </c>
      <c r="E17392" s="4">
        <f>IFERROR(__xludf.DUMMYFUNCTION("""COMPUTED_VALUE"""),80.017781)</f>
        <v>80.017781</v>
      </c>
      <c r="F17392" s="4">
        <f>IFERROR(__xludf.DUMMYFUNCTION("""COMPUTED_VALUE"""),2846.0)</f>
        <v>2846</v>
      </c>
      <c r="G17392" s="4">
        <f>IFERROR(__xludf.DUMMYFUNCTION("""COMPUTED_VALUE"""),48.0)</f>
        <v>48</v>
      </c>
      <c r="H17392" s="4"/>
      <c r="I17392" s="4"/>
    </row>
    <row r="17393">
      <c r="A17393" s="4" t="str">
        <f>IFERROR(__xludf.DUMMYFUNCTION("""COMPUTED_VALUE"""),"cas_hmw")</f>
        <v>cas_hmw</v>
      </c>
      <c r="B17393" s="5">
        <f>IFERROR(__xludf.DUMMYFUNCTION("""COMPUTED_VALUE"""),44740.0)</f>
        <v>44740</v>
      </c>
      <c r="C17393" s="6">
        <f>IFERROR(__xludf.DUMMYFUNCTION("""COMPUTED_VALUE"""),0.33908564814919373)</f>
        <v>0.3390856481</v>
      </c>
      <c r="D17393" s="4">
        <f>IFERROR(__xludf.DUMMYFUNCTION("""COMPUTED_VALUE"""),12.931468)</f>
        <v>12.931468</v>
      </c>
      <c r="E17393" s="4">
        <f>IFERROR(__xludf.DUMMYFUNCTION("""COMPUTED_VALUE"""),80.122737)</f>
        <v>80.122737</v>
      </c>
      <c r="F17393" s="4">
        <f>IFERROR(__xludf.DUMMYFUNCTION("""COMPUTED_VALUE"""),5339.0)</f>
        <v>5339</v>
      </c>
      <c r="G17393" s="4">
        <f>IFERROR(__xludf.DUMMYFUNCTION("""COMPUTED_VALUE"""),21.0)</f>
        <v>21</v>
      </c>
      <c r="H17393" s="4"/>
      <c r="I17393" s="4"/>
    </row>
    <row r="17394">
      <c r="A17394" s="4" t="str">
        <f>IFERROR(__xludf.DUMMYFUNCTION("""COMPUTED_VALUE"""),"cas_hmw")</f>
        <v>cas_hmw</v>
      </c>
      <c r="B17394" s="5">
        <f>IFERROR(__xludf.DUMMYFUNCTION("""COMPUTED_VALUE"""),44740.0)</f>
        <v>44740</v>
      </c>
      <c r="C17394" s="6">
        <f>IFERROR(__xludf.DUMMYFUNCTION("""COMPUTED_VALUE"""),0.3390972222223354)</f>
        <v>0.3390972222</v>
      </c>
      <c r="D17394" s="4">
        <f>IFERROR(__xludf.DUMMYFUNCTION("""COMPUTED_VALUE"""),12.931128)</f>
        <v>12.931128</v>
      </c>
      <c r="E17394" s="4">
        <f>IFERROR(__xludf.DUMMYFUNCTION("""COMPUTED_VALUE"""),80.122382)</f>
        <v>80.122382</v>
      </c>
      <c r="F17394" s="4">
        <f>IFERROR(__xludf.DUMMYFUNCTION("""COMPUTED_VALUE"""),5339.0)</f>
        <v>5339</v>
      </c>
      <c r="G17394" s="4">
        <f>IFERROR(__xludf.DUMMYFUNCTION("""COMPUTED_VALUE"""),24.0)</f>
        <v>24</v>
      </c>
      <c r="H17394" s="4"/>
      <c r="I17394" s="4"/>
    </row>
    <row r="17395">
      <c r="A17395" s="4" t="str">
        <f>IFERROR(__xludf.DUMMYFUNCTION("""COMPUTED_VALUE"""),"cas_hmw")</f>
        <v>cas_hmw</v>
      </c>
      <c r="B17395" s="5">
        <f>IFERROR(__xludf.DUMMYFUNCTION("""COMPUTED_VALUE"""),44740.0)</f>
        <v>44740</v>
      </c>
      <c r="C17395" s="6">
        <f>IFERROR(__xludf.DUMMYFUNCTION("""COMPUTED_VALUE"""),0.33932870370335877)</f>
        <v>0.3393287037</v>
      </c>
      <c r="D17395" s="4">
        <f>IFERROR(__xludf.DUMMYFUNCTION("""COMPUTED_VALUE"""),12.929925)</f>
        <v>12.929925</v>
      </c>
      <c r="E17395" s="4">
        <f>IFERROR(__xludf.DUMMYFUNCTION("""COMPUTED_VALUE"""),80.121193)</f>
        <v>80.121193</v>
      </c>
      <c r="F17395" s="4">
        <f>IFERROR(__xludf.DUMMYFUNCTION("""COMPUTED_VALUE"""),5339.0)</f>
        <v>5339</v>
      </c>
      <c r="G17395" s="4">
        <f>IFERROR(__xludf.DUMMYFUNCTION("""COMPUTED_VALUE"""),38.0)</f>
        <v>38</v>
      </c>
      <c r="H17395" s="4"/>
      <c r="I17395" s="4"/>
    </row>
    <row r="17396">
      <c r="A17396" s="4" t="str">
        <f>IFERROR(__xludf.DUMMYFUNCTION("""COMPUTED_VALUE"""),"cas_hmw")</f>
        <v>cas_hmw</v>
      </c>
      <c r="B17396" s="5">
        <f>IFERROR(__xludf.DUMMYFUNCTION("""COMPUTED_VALUE"""),44740.0)</f>
        <v>44740</v>
      </c>
      <c r="C17396" s="6">
        <f>IFERROR(__xludf.DUMMYFUNCTION("""COMPUTED_VALUE"""),0.33973379629605915)</f>
        <v>0.3397337963</v>
      </c>
      <c r="D17396" s="4">
        <f>IFERROR(__xludf.DUMMYFUNCTION("""COMPUTED_VALUE"""),12.927439)</f>
        <v>12.927439</v>
      </c>
      <c r="E17396" s="4">
        <f>IFERROR(__xludf.DUMMYFUNCTION("""COMPUTED_VALUE"""),80.118694)</f>
        <v>80.118694</v>
      </c>
      <c r="F17396" s="4">
        <f>IFERROR(__xludf.DUMMYFUNCTION("""COMPUTED_VALUE"""),5339.0)</f>
        <v>5339</v>
      </c>
      <c r="G17396" s="4">
        <f>IFERROR(__xludf.DUMMYFUNCTION("""COMPUTED_VALUE"""),56.0)</f>
        <v>56</v>
      </c>
      <c r="H17396" s="4"/>
      <c r="I17396" s="4"/>
    </row>
    <row r="17397">
      <c r="A17397" s="4" t="str">
        <f>IFERROR(__xludf.DUMMYFUNCTION("""COMPUTED_VALUE"""),"cas_hmw")</f>
        <v>cas_hmw</v>
      </c>
      <c r="B17397" s="5">
        <f>IFERROR(__xludf.DUMMYFUNCTION("""COMPUTED_VALUE"""),44740.0)</f>
        <v>44740</v>
      </c>
      <c r="C17397" s="6">
        <f>IFERROR(__xludf.DUMMYFUNCTION("""COMPUTED_VALUE"""),0.33976851851912215)</f>
        <v>0.3397685185</v>
      </c>
      <c r="D17397" s="4">
        <f>IFERROR(__xludf.DUMMYFUNCTION("""COMPUTED_VALUE"""),12.799068)</f>
        <v>12.799068</v>
      </c>
      <c r="E17397" s="4">
        <f>IFERROR(__xludf.DUMMYFUNCTION("""COMPUTED_VALUE"""),80.02271)</f>
        <v>80.02271</v>
      </c>
      <c r="F17397" s="4">
        <f>IFERROR(__xludf.DUMMYFUNCTION("""COMPUTED_VALUE"""),2846.0)</f>
        <v>2846</v>
      </c>
      <c r="G17397" s="4">
        <f>IFERROR(__xludf.DUMMYFUNCTION("""COMPUTED_VALUE"""),59.0)</f>
        <v>59</v>
      </c>
      <c r="H17397" s="4"/>
      <c r="I17397" s="4"/>
    </row>
    <row r="17398">
      <c r="A17398" s="4" t="str">
        <f>IFERROR(__xludf.DUMMYFUNCTION("""COMPUTED_VALUE"""),"cas_hmw")</f>
        <v>cas_hmw</v>
      </c>
      <c r="B17398" s="5">
        <f>IFERROR(__xludf.DUMMYFUNCTION("""COMPUTED_VALUE"""),44740.0)</f>
        <v>44740</v>
      </c>
      <c r="C17398" s="6">
        <f>IFERROR(__xludf.DUMMYFUNCTION("""COMPUTED_VALUE"""),0.3398263888884685)</f>
        <v>0.3398263889</v>
      </c>
      <c r="D17398" s="4">
        <f>IFERROR(__xludf.DUMMYFUNCTION("""COMPUTED_VALUE"""),12.926752)</f>
        <v>12.926752</v>
      </c>
      <c r="E17398" s="4">
        <f>IFERROR(__xludf.DUMMYFUNCTION("""COMPUTED_VALUE"""),80.117995)</f>
        <v>80.117995</v>
      </c>
      <c r="F17398" s="4">
        <f>IFERROR(__xludf.DUMMYFUNCTION("""COMPUTED_VALUE"""),5339.0)</f>
        <v>5339</v>
      </c>
      <c r="G17398" s="4">
        <f>IFERROR(__xludf.DUMMYFUNCTION("""COMPUTED_VALUE"""),33.0)</f>
        <v>33</v>
      </c>
      <c r="H17398" s="4"/>
      <c r="I17398" s="4"/>
    </row>
    <row r="17399">
      <c r="A17399" s="4" t="str">
        <f>IFERROR(__xludf.DUMMYFUNCTION("""COMPUTED_VALUE"""),"cas_hmw")</f>
        <v>cas_hmw</v>
      </c>
      <c r="B17399" s="5">
        <f>IFERROR(__xludf.DUMMYFUNCTION("""COMPUTED_VALUE"""),44740.0)</f>
        <v>44740</v>
      </c>
      <c r="C17399" s="6">
        <f>IFERROR(__xludf.DUMMYFUNCTION("""COMPUTED_VALUE"""),0.3398379629616102)</f>
        <v>0.339837963</v>
      </c>
      <c r="D17399" s="4">
        <f>IFERROR(__xludf.DUMMYFUNCTION("""COMPUTED_VALUE"""),12.950249)</f>
        <v>12.950249</v>
      </c>
      <c r="E17399" s="4">
        <f>IFERROR(__xludf.DUMMYFUNCTION("""COMPUTED_VALUE"""),80.139447)</f>
        <v>80.139447</v>
      </c>
      <c r="F17399" s="4">
        <f>IFERROR(__xludf.DUMMYFUNCTION("""COMPUTED_VALUE"""),805.0)</f>
        <v>805</v>
      </c>
      <c r="G17399" s="4">
        <f>IFERROR(__xludf.DUMMYFUNCTION("""COMPUTED_VALUE"""),32.0)</f>
        <v>32</v>
      </c>
      <c r="H17399" s="4"/>
      <c r="I17399" s="4"/>
    </row>
    <row r="17400">
      <c r="A17400" s="4" t="str">
        <f>IFERROR(__xludf.DUMMYFUNCTION("""COMPUTED_VALUE"""),"cas_hmw")</f>
        <v>cas_hmw</v>
      </c>
      <c r="B17400" s="5">
        <f>IFERROR(__xludf.DUMMYFUNCTION("""COMPUTED_VALUE"""),44740.0)</f>
        <v>44740</v>
      </c>
      <c r="C17400" s="6">
        <f>IFERROR(__xludf.DUMMYFUNCTION("""COMPUTED_VALUE"""),0.3400347222232085)</f>
        <v>0.3400347222</v>
      </c>
      <c r="D17400" s="4">
        <f>IFERROR(__xludf.DUMMYFUNCTION("""COMPUTED_VALUE"""),12.925129)</f>
        <v>12.925129</v>
      </c>
      <c r="E17400" s="4">
        <f>IFERROR(__xludf.DUMMYFUNCTION("""COMPUTED_VALUE"""),80.116323)</f>
        <v>80.116323</v>
      </c>
      <c r="F17400" s="4">
        <f>IFERROR(__xludf.DUMMYFUNCTION("""COMPUTED_VALUE"""),5339.0)</f>
        <v>5339</v>
      </c>
      <c r="G17400" s="4">
        <f>IFERROR(__xludf.DUMMYFUNCTION("""COMPUTED_VALUE"""),50.0)</f>
        <v>50</v>
      </c>
      <c r="H17400" s="4"/>
      <c r="I17400" s="4"/>
    </row>
    <row r="17401">
      <c r="A17401" s="4" t="str">
        <f>IFERROR(__xludf.DUMMYFUNCTION("""COMPUTED_VALUE"""),"cas_hmw")</f>
        <v>cas_hmw</v>
      </c>
      <c r="B17401" s="5">
        <f>IFERROR(__xludf.DUMMYFUNCTION("""COMPUTED_VALUE"""),44740.0)</f>
        <v>44740</v>
      </c>
      <c r="C17401" s="6">
        <f>IFERROR(__xludf.DUMMYFUNCTION("""COMPUTED_VALUE"""),0.3401157407424762)</f>
        <v>0.3401157407</v>
      </c>
      <c r="D17401" s="4">
        <f>IFERROR(__xludf.DUMMYFUNCTION("""COMPUTED_VALUE"""),12.925129)</f>
        <v>12.925129</v>
      </c>
      <c r="E17401" s="4">
        <f>IFERROR(__xludf.DUMMYFUNCTION("""COMPUTED_VALUE"""),80.116323)</f>
        <v>80.116323</v>
      </c>
      <c r="F17401" s="4">
        <f>IFERROR(__xludf.DUMMYFUNCTION("""COMPUTED_VALUE"""),5339.0)</f>
        <v>5339</v>
      </c>
      <c r="G17401" s="4">
        <f>IFERROR(__xludf.DUMMYFUNCTION("""COMPUTED_VALUE"""),50.0)</f>
        <v>50</v>
      </c>
      <c r="H17401" s="4"/>
      <c r="I17401" s="4"/>
    </row>
    <row r="17402">
      <c r="A17402" s="4" t="str">
        <f>IFERROR(__xludf.DUMMYFUNCTION("""COMPUTED_VALUE"""),"cas_hmw")</f>
        <v>cas_hmw</v>
      </c>
      <c r="B17402" s="5">
        <f>IFERROR(__xludf.DUMMYFUNCTION("""COMPUTED_VALUE"""),44740.0)</f>
        <v>44740</v>
      </c>
      <c r="C17402" s="6">
        <f>IFERROR(__xludf.DUMMYFUNCTION("""COMPUTED_VALUE"""),0.3406597222237906)</f>
        <v>0.3406597222</v>
      </c>
      <c r="D17402" s="4">
        <f>IFERROR(__xludf.DUMMYFUNCTION("""COMPUTED_VALUE"""),12.944326)</f>
        <v>12.944326</v>
      </c>
      <c r="E17402" s="4">
        <f>IFERROR(__xludf.DUMMYFUNCTION("""COMPUTED_VALUE"""),80.134872)</f>
        <v>80.134872</v>
      </c>
      <c r="F17402" s="4">
        <f>IFERROR(__xludf.DUMMYFUNCTION("""COMPUTED_VALUE"""),805.0)</f>
        <v>805</v>
      </c>
      <c r="G17402" s="4">
        <f>IFERROR(__xludf.DUMMYFUNCTION("""COMPUTED_VALUE"""),48.0)</f>
        <v>48</v>
      </c>
      <c r="H17402" s="4"/>
      <c r="I17402" s="4"/>
    </row>
    <row r="17403">
      <c r="A17403" s="4" t="str">
        <f>IFERROR(__xludf.DUMMYFUNCTION("""COMPUTED_VALUE"""),"cas_hmw")</f>
        <v>cas_hmw</v>
      </c>
      <c r="B17403" s="5">
        <f>IFERROR(__xludf.DUMMYFUNCTION("""COMPUTED_VALUE"""),44740.0)</f>
        <v>44740</v>
      </c>
      <c r="C17403" s="6">
        <f>IFERROR(__xludf.DUMMYFUNCTION("""COMPUTED_VALUE"""),0.3406597222237906)</f>
        <v>0.3406597222</v>
      </c>
      <c r="D17403" s="4">
        <f>IFERROR(__xludf.DUMMYFUNCTION("""COMPUTED_VALUE"""),12.944326)</f>
        <v>12.944326</v>
      </c>
      <c r="E17403" s="4">
        <f>IFERROR(__xludf.DUMMYFUNCTION("""COMPUTED_VALUE"""),80.134872)</f>
        <v>80.134872</v>
      </c>
      <c r="F17403" s="4">
        <f>IFERROR(__xludf.DUMMYFUNCTION("""COMPUTED_VALUE"""),805.0)</f>
        <v>805</v>
      </c>
      <c r="G17403" s="4">
        <f>IFERROR(__xludf.DUMMYFUNCTION("""COMPUTED_VALUE"""),48.0)</f>
        <v>48</v>
      </c>
      <c r="H17403" s="4"/>
      <c r="I17403" s="4"/>
    </row>
    <row r="17404">
      <c r="A17404" s="4" t="str">
        <f>IFERROR(__xludf.DUMMYFUNCTION("""COMPUTED_VALUE"""),"cas_hmw")</f>
        <v>cas_hmw</v>
      </c>
      <c r="B17404" s="5">
        <f>IFERROR(__xludf.DUMMYFUNCTION("""COMPUTED_VALUE"""),44740.0)</f>
        <v>44740</v>
      </c>
      <c r="C17404" s="6">
        <f>IFERROR(__xludf.DUMMYFUNCTION("""COMPUTED_VALUE"""),0.34067129629693227)</f>
        <v>0.3406712963</v>
      </c>
      <c r="D17404" s="4">
        <f>IFERROR(__xludf.DUMMYFUNCTION("""COMPUTED_VALUE"""),12.944326)</f>
        <v>12.944326</v>
      </c>
      <c r="E17404" s="4">
        <f>IFERROR(__xludf.DUMMYFUNCTION("""COMPUTED_VALUE"""),80.134872)</f>
        <v>80.134872</v>
      </c>
      <c r="F17404" s="4">
        <f>IFERROR(__xludf.DUMMYFUNCTION("""COMPUTED_VALUE"""),805.0)</f>
        <v>805</v>
      </c>
      <c r="G17404" s="4">
        <f>IFERROR(__xludf.DUMMYFUNCTION("""COMPUTED_VALUE"""),48.0)</f>
        <v>48</v>
      </c>
      <c r="H17404" s="4"/>
      <c r="I17404" s="4"/>
    </row>
    <row r="17405">
      <c r="A17405" s="4" t="str">
        <f>IFERROR(__xludf.DUMMYFUNCTION("""COMPUTED_VALUE"""),"cas_hmw")</f>
        <v>cas_hmw</v>
      </c>
      <c r="B17405" s="5">
        <f>IFERROR(__xludf.DUMMYFUNCTION("""COMPUTED_VALUE"""),44740.0)</f>
        <v>44740</v>
      </c>
      <c r="C17405" s="6">
        <f>IFERROR(__xludf.DUMMYFUNCTION("""COMPUTED_VALUE"""),0.34071759259313694)</f>
        <v>0.3407175926</v>
      </c>
      <c r="D17405" s="4">
        <f>IFERROR(__xludf.DUMMYFUNCTION("""COMPUTED_VALUE"""),12.944326)</f>
        <v>12.944326</v>
      </c>
      <c r="E17405" s="4">
        <f>IFERROR(__xludf.DUMMYFUNCTION("""COMPUTED_VALUE"""),80.134872)</f>
        <v>80.134872</v>
      </c>
      <c r="F17405" s="4">
        <f>IFERROR(__xludf.DUMMYFUNCTION("""COMPUTED_VALUE"""),805.0)</f>
        <v>805</v>
      </c>
      <c r="G17405" s="4">
        <f>IFERROR(__xludf.DUMMYFUNCTION("""COMPUTED_VALUE"""),48.0)</f>
        <v>48</v>
      </c>
      <c r="H17405" s="4"/>
      <c r="I17405" s="4"/>
    </row>
    <row r="17406">
      <c r="A17406" s="4" t="str">
        <f>IFERROR(__xludf.DUMMYFUNCTION("""COMPUTED_VALUE"""),"cas_hmw")</f>
        <v>cas_hmw</v>
      </c>
      <c r="B17406" s="5">
        <f>IFERROR(__xludf.DUMMYFUNCTION("""COMPUTED_VALUE"""),44740.0)</f>
        <v>44740</v>
      </c>
      <c r="C17406" s="6">
        <f>IFERROR(__xludf.DUMMYFUNCTION("""COMPUTED_VALUE"""),0.3407407407394203)</f>
        <v>0.3407407407</v>
      </c>
      <c r="D17406" s="4">
        <f>IFERROR(__xludf.DUMMYFUNCTION("""COMPUTED_VALUE"""),12.944326)</f>
        <v>12.944326</v>
      </c>
      <c r="E17406" s="4">
        <f>IFERROR(__xludf.DUMMYFUNCTION("""COMPUTED_VALUE"""),80.134872)</f>
        <v>80.134872</v>
      </c>
      <c r="F17406" s="4">
        <f>IFERROR(__xludf.DUMMYFUNCTION("""COMPUTED_VALUE"""),805.0)</f>
        <v>805</v>
      </c>
      <c r="G17406" s="4">
        <f>IFERROR(__xludf.DUMMYFUNCTION("""COMPUTED_VALUE"""),48.0)</f>
        <v>48</v>
      </c>
      <c r="H17406" s="4"/>
      <c r="I17406" s="4"/>
    </row>
    <row r="17407">
      <c r="A17407" s="4" t="str">
        <f>IFERROR(__xludf.DUMMYFUNCTION("""COMPUTED_VALUE"""),"cas_hmw")</f>
        <v>cas_hmw</v>
      </c>
      <c r="B17407" s="5">
        <f>IFERROR(__xludf.DUMMYFUNCTION("""COMPUTED_VALUE"""),44740.0)</f>
        <v>44740</v>
      </c>
      <c r="C17407" s="6">
        <f>IFERROR(__xludf.DUMMYFUNCTION("""COMPUTED_VALUE"""),0.3413194444437977)</f>
        <v>0.3413194444</v>
      </c>
      <c r="D17407" s="4">
        <f>IFERROR(__xludf.DUMMYFUNCTION("""COMPUTED_VALUE"""),12.94139)</f>
        <v>12.94139</v>
      </c>
      <c r="E17407" s="4">
        <f>IFERROR(__xludf.DUMMYFUNCTION("""COMPUTED_VALUE"""),80.132047)</f>
        <v>80.132047</v>
      </c>
      <c r="F17407" s="4">
        <f>IFERROR(__xludf.DUMMYFUNCTION("""COMPUTED_VALUE"""),805.0)</f>
        <v>805</v>
      </c>
      <c r="G17407" s="4">
        <f>IFERROR(__xludf.DUMMYFUNCTION("""COMPUTED_VALUE"""),34.0)</f>
        <v>34</v>
      </c>
      <c r="H17407" s="4"/>
      <c r="I17407" s="4"/>
    </row>
    <row r="17408">
      <c r="A17408" s="4" t="str">
        <f>IFERROR(__xludf.DUMMYFUNCTION("""COMPUTED_VALUE"""),"cas_hmw")</f>
        <v>cas_hmw</v>
      </c>
      <c r="B17408" s="5">
        <f>IFERROR(__xludf.DUMMYFUNCTION("""COMPUTED_VALUE"""),44740.0)</f>
        <v>44740</v>
      </c>
      <c r="C17408" s="6">
        <f>IFERROR(__xludf.DUMMYFUNCTION("""COMPUTED_VALUE"""),0.34212962962919846)</f>
        <v>0.3421296296</v>
      </c>
      <c r="D17408" s="4">
        <f>IFERROR(__xludf.DUMMYFUNCTION("""COMPUTED_VALUE"""),12.821199)</f>
        <v>12.821199</v>
      </c>
      <c r="E17408" s="4">
        <f>IFERROR(__xludf.DUMMYFUNCTION("""COMPUTED_VALUE"""),80.037459)</f>
        <v>80.037459</v>
      </c>
      <c r="F17408" s="4">
        <f>IFERROR(__xludf.DUMMYFUNCTION("""COMPUTED_VALUE"""),2846.0)</f>
        <v>2846</v>
      </c>
      <c r="G17408" s="4">
        <f>IFERROR(__xludf.DUMMYFUNCTION("""COMPUTED_VALUE"""),24.0)</f>
        <v>24</v>
      </c>
      <c r="H17408" s="4"/>
      <c r="I17408" s="4"/>
    </row>
    <row r="17409">
      <c r="A17409" s="4" t="str">
        <f>IFERROR(__xludf.DUMMYFUNCTION("""COMPUTED_VALUE"""),"cas_hmw")</f>
        <v>cas_hmw</v>
      </c>
      <c r="B17409" s="5">
        <f>IFERROR(__xludf.DUMMYFUNCTION("""COMPUTED_VALUE"""),44740.0)</f>
        <v>44740</v>
      </c>
      <c r="C17409" s="6">
        <f>IFERROR(__xludf.DUMMYFUNCTION("""COMPUTED_VALUE"""),0.3425925925912452)</f>
        <v>0.3425925926</v>
      </c>
      <c r="D17409" s="4">
        <f>IFERROR(__xludf.DUMMYFUNCTION("""COMPUTED_VALUE"""),12.908292)</f>
        <v>12.908292</v>
      </c>
      <c r="E17409" s="4">
        <f>IFERROR(__xludf.DUMMYFUNCTION("""COMPUTED_VALUE"""),80.097969)</f>
        <v>80.097969</v>
      </c>
      <c r="F17409" s="4">
        <f>IFERROR(__xludf.DUMMYFUNCTION("""COMPUTED_VALUE"""),5339.0)</f>
        <v>5339</v>
      </c>
      <c r="G17409" s="4">
        <f>IFERROR(__xludf.DUMMYFUNCTION("""COMPUTED_VALUE"""),28.0)</f>
        <v>28</v>
      </c>
      <c r="H17409" s="4"/>
      <c r="I17409" s="4"/>
    </row>
    <row r="17410">
      <c r="A17410" s="4" t="str">
        <f>IFERROR(__xludf.DUMMYFUNCTION("""COMPUTED_VALUE"""),"cas_hmw")</f>
        <v>cas_hmw</v>
      </c>
      <c r="B17410" s="5">
        <f>IFERROR(__xludf.DUMMYFUNCTION("""COMPUTED_VALUE"""),44740.0)</f>
        <v>44740</v>
      </c>
      <c r="C17410" s="6">
        <f>IFERROR(__xludf.DUMMYFUNCTION("""COMPUTED_VALUE"""),0.3429166666683159)</f>
        <v>0.3429166667</v>
      </c>
      <c r="D17410" s="4">
        <f>IFERROR(__xludf.DUMMYFUNCTION("""COMPUTED_VALUE"""),12.939132)</f>
        <v>12.939132</v>
      </c>
      <c r="E17410" s="4">
        <f>IFERROR(__xludf.DUMMYFUNCTION("""COMPUTED_VALUE"""),80.129807)</f>
        <v>80.129807</v>
      </c>
      <c r="F17410" s="4">
        <f>IFERROR(__xludf.DUMMYFUNCTION("""COMPUTED_VALUE"""),805.0)</f>
        <v>805</v>
      </c>
      <c r="G17410" s="4">
        <f>IFERROR(__xludf.DUMMYFUNCTION("""COMPUTED_VALUE"""),44.0)</f>
        <v>44</v>
      </c>
      <c r="H17410" s="4"/>
      <c r="I17410" s="4"/>
    </row>
    <row r="17411">
      <c r="A17411" s="4" t="str">
        <f>IFERROR(__xludf.DUMMYFUNCTION("""COMPUTED_VALUE"""),"cas_hmw")</f>
        <v>cas_hmw</v>
      </c>
      <c r="B17411" s="5">
        <f>IFERROR(__xludf.DUMMYFUNCTION("""COMPUTED_VALUE"""),44740.0)</f>
        <v>44740</v>
      </c>
      <c r="C17411" s="6">
        <f>IFERROR(__xludf.DUMMYFUNCTION("""COMPUTED_VALUE"""),0.3429166666683159)</f>
        <v>0.3429166667</v>
      </c>
      <c r="D17411" s="4">
        <f>IFERROR(__xludf.DUMMYFUNCTION("""COMPUTED_VALUE"""),12.939132)</f>
        <v>12.939132</v>
      </c>
      <c r="E17411" s="4">
        <f>IFERROR(__xludf.DUMMYFUNCTION("""COMPUTED_VALUE"""),80.129807)</f>
        <v>80.129807</v>
      </c>
      <c r="F17411" s="4">
        <f>IFERROR(__xludf.DUMMYFUNCTION("""COMPUTED_VALUE"""),805.0)</f>
        <v>805</v>
      </c>
      <c r="G17411" s="4">
        <f>IFERROR(__xludf.DUMMYFUNCTION("""COMPUTED_VALUE"""),44.0)</f>
        <v>44</v>
      </c>
      <c r="H17411" s="4"/>
      <c r="I17411" s="4"/>
    </row>
    <row r="17412">
      <c r="A17412" s="4" t="str">
        <f>IFERROR(__xludf.DUMMYFUNCTION("""COMPUTED_VALUE"""),"cas_hmw")</f>
        <v>cas_hmw</v>
      </c>
      <c r="B17412" s="5">
        <f>IFERROR(__xludf.DUMMYFUNCTION("""COMPUTED_VALUE"""),44740.0)</f>
        <v>44740</v>
      </c>
      <c r="C17412" s="6">
        <f>IFERROR(__xludf.DUMMYFUNCTION("""COMPUTED_VALUE"""),0.34351851851897663)</f>
        <v>0.3435185185</v>
      </c>
      <c r="D17412" s="4">
        <f>IFERROR(__xludf.DUMMYFUNCTION("""COMPUTED_VALUE"""),12.939132)</f>
        <v>12.939132</v>
      </c>
      <c r="E17412" s="4">
        <f>IFERROR(__xludf.DUMMYFUNCTION("""COMPUTED_VALUE"""),80.129807)</f>
        <v>80.129807</v>
      </c>
      <c r="F17412" s="4">
        <f>IFERROR(__xludf.DUMMYFUNCTION("""COMPUTED_VALUE"""),805.0)</f>
        <v>805</v>
      </c>
      <c r="G17412" s="4">
        <f>IFERROR(__xludf.DUMMYFUNCTION("""COMPUTED_VALUE"""),44.0)</f>
        <v>44</v>
      </c>
      <c r="H17412" s="4"/>
      <c r="I17412" s="4"/>
    </row>
    <row r="17413">
      <c r="A17413" s="4" t="str">
        <f>IFERROR(__xludf.DUMMYFUNCTION("""COMPUTED_VALUE"""),"cas_hmw")</f>
        <v>cas_hmw</v>
      </c>
      <c r="B17413" s="5">
        <f>IFERROR(__xludf.DUMMYFUNCTION("""COMPUTED_VALUE"""),44740.0)</f>
        <v>44740</v>
      </c>
      <c r="C17413" s="6">
        <f>IFERROR(__xludf.DUMMYFUNCTION("""COMPUTED_VALUE"""),0.34456018518540077)</f>
        <v>0.3445601852</v>
      </c>
      <c r="D17413" s="4">
        <f>IFERROR(__xludf.DUMMYFUNCTION("""COMPUTED_VALUE"""),12.898639)</f>
        <v>12.898639</v>
      </c>
      <c r="E17413" s="4">
        <f>IFERROR(__xludf.DUMMYFUNCTION("""COMPUTED_VALUE"""),80.090524)</f>
        <v>80.090524</v>
      </c>
      <c r="F17413" s="4">
        <f>IFERROR(__xludf.DUMMYFUNCTION("""COMPUTED_VALUE"""),5339.0)</f>
        <v>5339</v>
      </c>
      <c r="G17413" s="4">
        <f>IFERROR(__xludf.DUMMYFUNCTION("""COMPUTED_VALUE"""),56.0)</f>
        <v>56</v>
      </c>
      <c r="H17413" s="4"/>
      <c r="I17413" s="4"/>
    </row>
    <row r="17414">
      <c r="A17414" s="4" t="str">
        <f>IFERROR(__xludf.DUMMYFUNCTION("""COMPUTED_VALUE"""),"cas_hmw")</f>
        <v>cas_hmw</v>
      </c>
      <c r="B17414" s="5">
        <f>IFERROR(__xludf.DUMMYFUNCTION("""COMPUTED_VALUE"""),44740.0)</f>
        <v>44740</v>
      </c>
      <c r="C17414" s="6">
        <f>IFERROR(__xludf.DUMMYFUNCTION("""COMPUTED_VALUE"""),0.3460069444445253)</f>
        <v>0.3460069444</v>
      </c>
      <c r="D17414" s="4">
        <f>IFERROR(__xludf.DUMMYFUNCTION("""COMPUTED_VALUE"""),12.883964)</f>
        <v>12.883964</v>
      </c>
      <c r="E17414" s="4">
        <f>IFERROR(__xludf.DUMMYFUNCTION("""COMPUTED_VALUE"""),80.082246)</f>
        <v>80.082246</v>
      </c>
      <c r="F17414" s="4">
        <f>IFERROR(__xludf.DUMMYFUNCTION("""COMPUTED_VALUE"""),5339.0)</f>
        <v>5339</v>
      </c>
      <c r="G17414" s="4">
        <f>IFERROR(__xludf.DUMMYFUNCTION("""COMPUTED_VALUE"""),46.0)</f>
        <v>46</v>
      </c>
      <c r="H17414" s="4"/>
      <c r="I17414" s="4"/>
    </row>
    <row r="17415">
      <c r="A17415" s="4" t="str">
        <f>IFERROR(__xludf.DUMMYFUNCTION("""COMPUTED_VALUE"""),"cas_hmw")</f>
        <v>cas_hmw</v>
      </c>
      <c r="B17415" s="5">
        <f>IFERROR(__xludf.DUMMYFUNCTION("""COMPUTED_VALUE"""),44740.0)</f>
        <v>44740</v>
      </c>
      <c r="C17415" s="6">
        <f>IFERROR(__xludf.DUMMYFUNCTION("""COMPUTED_VALUE"""),0.34638888888730435)</f>
        <v>0.3463888889</v>
      </c>
      <c r="D17415" s="4">
        <f>IFERROR(__xludf.DUMMYFUNCTION("""COMPUTED_VALUE"""),12.881426)</f>
        <v>12.881426</v>
      </c>
      <c r="E17415" s="4">
        <f>IFERROR(__xludf.DUMMYFUNCTION("""COMPUTED_VALUE"""),80.081244)</f>
        <v>80.081244</v>
      </c>
      <c r="F17415" s="4">
        <f>IFERROR(__xludf.DUMMYFUNCTION("""COMPUTED_VALUE"""),5339.0)</f>
        <v>5339</v>
      </c>
      <c r="G17415" s="4">
        <f>IFERROR(__xludf.DUMMYFUNCTION("""COMPUTED_VALUE"""),33.0)</f>
        <v>33</v>
      </c>
      <c r="H17415" s="4"/>
      <c r="I17415" s="4"/>
    </row>
    <row r="17416">
      <c r="A17416" s="4" t="str">
        <f>IFERROR(__xludf.DUMMYFUNCTION("""COMPUTED_VALUE"""),"cas_hmw")</f>
        <v>cas_hmw</v>
      </c>
      <c r="B17416" s="5">
        <f>IFERROR(__xludf.DUMMYFUNCTION("""COMPUTED_VALUE"""),44740.0)</f>
        <v>44740</v>
      </c>
      <c r="C17416" s="6">
        <f>IFERROR(__xludf.DUMMYFUNCTION("""COMPUTED_VALUE"""),0.34679398148000473)</f>
        <v>0.3467939815</v>
      </c>
      <c r="D17416" s="4">
        <f>IFERROR(__xludf.DUMMYFUNCTION("""COMPUTED_VALUE"""),12.847124)</f>
        <v>12.847124</v>
      </c>
      <c r="E17416" s="4">
        <f>IFERROR(__xludf.DUMMYFUNCTION("""COMPUTED_VALUE"""),80.062524)</f>
        <v>80.062524</v>
      </c>
      <c r="F17416" s="4">
        <f>IFERROR(__xludf.DUMMYFUNCTION("""COMPUTED_VALUE"""),2846.0)</f>
        <v>2846</v>
      </c>
      <c r="G17416" s="4">
        <f>IFERROR(__xludf.DUMMYFUNCTION("""COMPUTED_VALUE"""),34.0)</f>
        <v>34</v>
      </c>
      <c r="H17416" s="4"/>
      <c r="I17416" s="4"/>
    </row>
    <row r="17417">
      <c r="A17417" s="4" t="str">
        <f>IFERROR(__xludf.DUMMYFUNCTION("""COMPUTED_VALUE"""),"cas_hmw")</f>
        <v>cas_hmw</v>
      </c>
      <c r="B17417" s="5">
        <f>IFERROR(__xludf.DUMMYFUNCTION("""COMPUTED_VALUE"""),44740.0)</f>
        <v>44740</v>
      </c>
      <c r="C17417" s="6">
        <f>IFERROR(__xludf.DUMMYFUNCTION("""COMPUTED_VALUE"""),0.34703703703780775)</f>
        <v>0.347037037</v>
      </c>
      <c r="D17417" s="4">
        <f>IFERROR(__xludf.DUMMYFUNCTION("""COMPUTED_VALUE"""),12.906867)</f>
        <v>12.906867</v>
      </c>
      <c r="E17417" s="4">
        <f>IFERROR(__xludf.DUMMYFUNCTION("""COMPUTED_VALUE"""),80.096773)</f>
        <v>80.096773</v>
      </c>
      <c r="F17417" s="4">
        <f>IFERROR(__xludf.DUMMYFUNCTION("""COMPUTED_VALUE"""),805.0)</f>
        <v>805</v>
      </c>
      <c r="G17417" s="4">
        <f>IFERROR(__xludf.DUMMYFUNCTION("""COMPUTED_VALUE"""),53.0)</f>
        <v>53</v>
      </c>
      <c r="H17417" s="4"/>
      <c r="I17417" s="4"/>
    </row>
    <row r="17418">
      <c r="A17418" s="4" t="str">
        <f>IFERROR(__xludf.DUMMYFUNCTION("""COMPUTED_VALUE"""),"cas_hmw")</f>
        <v>cas_hmw</v>
      </c>
      <c r="B17418" s="5">
        <f>IFERROR(__xludf.DUMMYFUNCTION("""COMPUTED_VALUE"""),44740.0)</f>
        <v>44740</v>
      </c>
      <c r="C17418" s="6">
        <f>IFERROR(__xludf.DUMMYFUNCTION("""COMPUTED_VALUE"""),0.3470949074071541)</f>
        <v>0.3470949074</v>
      </c>
      <c r="D17418" s="4">
        <f>IFERROR(__xludf.DUMMYFUNCTION("""COMPUTED_VALUE"""),12.847124)</f>
        <v>12.847124</v>
      </c>
      <c r="E17418" s="4">
        <f>IFERROR(__xludf.DUMMYFUNCTION("""COMPUTED_VALUE"""),80.062524)</f>
        <v>80.062524</v>
      </c>
      <c r="F17418" s="4">
        <f>IFERROR(__xludf.DUMMYFUNCTION("""COMPUTED_VALUE"""),2846.0)</f>
        <v>2846</v>
      </c>
      <c r="G17418" s="4">
        <f>IFERROR(__xludf.DUMMYFUNCTION("""COMPUTED_VALUE"""),34.0)</f>
        <v>34</v>
      </c>
      <c r="H17418" s="4"/>
      <c r="I17418" s="4"/>
    </row>
    <row r="17419">
      <c r="A17419" s="4" t="str">
        <f>IFERROR(__xludf.DUMMYFUNCTION("""COMPUTED_VALUE"""),"cas_hmw")</f>
        <v>cas_hmw</v>
      </c>
      <c r="B17419" s="5">
        <f>IFERROR(__xludf.DUMMYFUNCTION("""COMPUTED_VALUE"""),44740.0)</f>
        <v>44740</v>
      </c>
      <c r="C17419" s="6">
        <f>IFERROR(__xludf.DUMMYFUNCTION("""COMPUTED_VALUE"""),0.34744212963050813)</f>
        <v>0.3474421296</v>
      </c>
      <c r="D17419" s="4">
        <f>IFERROR(__xludf.DUMMYFUNCTION("""COMPUTED_VALUE"""),12.850934)</f>
        <v>12.850934</v>
      </c>
      <c r="E17419" s="4">
        <f>IFERROR(__xludf.DUMMYFUNCTION("""COMPUTED_VALUE"""),80.065313)</f>
        <v>80.065313</v>
      </c>
      <c r="F17419" s="4">
        <f>IFERROR(__xludf.DUMMYFUNCTION("""COMPUTED_VALUE"""),2846.0)</f>
        <v>2846</v>
      </c>
      <c r="G17419" s="4">
        <f>IFERROR(__xludf.DUMMYFUNCTION("""COMPUTED_VALUE"""),37.0)</f>
        <v>37</v>
      </c>
      <c r="H17419" s="4"/>
      <c r="I17419" s="4"/>
    </row>
    <row r="17420">
      <c r="A17420" s="4" t="str">
        <f>IFERROR(__xludf.DUMMYFUNCTION("""COMPUTED_VALUE"""),"cas_hmw")</f>
        <v>cas_hmw</v>
      </c>
      <c r="B17420" s="5">
        <f>IFERROR(__xludf.DUMMYFUNCTION("""COMPUTED_VALUE"""),44740.0)</f>
        <v>44740</v>
      </c>
      <c r="C17420" s="6">
        <f>IFERROR(__xludf.DUMMYFUNCTION("""COMPUTED_VALUE"""),0.3478587962963502)</f>
        <v>0.3478587963</v>
      </c>
      <c r="D17420" s="4">
        <f>IFERROR(__xludf.DUMMYFUNCTION("""COMPUTED_VALUE"""),12.85391)</f>
        <v>12.85391</v>
      </c>
      <c r="E17420" s="4">
        <f>IFERROR(__xludf.DUMMYFUNCTION("""COMPUTED_VALUE"""),80.067486)</f>
        <v>80.067486</v>
      </c>
      <c r="F17420" s="4">
        <f>IFERROR(__xludf.DUMMYFUNCTION("""COMPUTED_VALUE"""),2846.0)</f>
        <v>2846</v>
      </c>
      <c r="G17420" s="4">
        <f>IFERROR(__xludf.DUMMYFUNCTION("""COMPUTED_VALUE"""),32.0)</f>
        <v>32</v>
      </c>
      <c r="H17420" s="4"/>
      <c r="I17420" s="4"/>
    </row>
    <row r="17421">
      <c r="A17421" s="4" t="str">
        <f>IFERROR(__xludf.DUMMYFUNCTION("""COMPUTED_VALUE"""),"cas_hmw")</f>
        <v>cas_hmw</v>
      </c>
      <c r="B17421" s="5">
        <f>IFERROR(__xludf.DUMMYFUNCTION("""COMPUTED_VALUE"""),44740.0)</f>
        <v>44740</v>
      </c>
      <c r="C17421" s="6">
        <f>IFERROR(__xludf.DUMMYFUNCTION("""COMPUTED_VALUE"""),0.3478587962963502)</f>
        <v>0.3478587963</v>
      </c>
      <c r="D17421" s="4">
        <f>IFERROR(__xludf.DUMMYFUNCTION("""COMPUTED_VALUE"""),12.903263)</f>
        <v>12.903263</v>
      </c>
      <c r="E17421" s="4">
        <f>IFERROR(__xludf.DUMMYFUNCTION("""COMPUTED_VALUE"""),80.094011)</f>
        <v>80.094011</v>
      </c>
      <c r="F17421" s="4">
        <f>IFERROR(__xludf.DUMMYFUNCTION("""COMPUTED_VALUE"""),805.0)</f>
        <v>805</v>
      </c>
      <c r="G17421" s="4">
        <f>IFERROR(__xludf.DUMMYFUNCTION("""COMPUTED_VALUE"""),47.0)</f>
        <v>47</v>
      </c>
      <c r="H17421" s="4"/>
      <c r="I17421" s="4"/>
    </row>
    <row r="17422">
      <c r="A17422" s="4" t="str">
        <f>IFERROR(__xludf.DUMMYFUNCTION("""COMPUTED_VALUE"""),"cas_hmw")</f>
        <v>cas_hmw</v>
      </c>
      <c r="B17422" s="5">
        <f>IFERROR(__xludf.DUMMYFUNCTION("""COMPUTED_VALUE"""),44740.0)</f>
        <v>44740</v>
      </c>
      <c r="C17422" s="6">
        <f>IFERROR(__xludf.DUMMYFUNCTION("""COMPUTED_VALUE"""),0.34824074073912925)</f>
        <v>0.3482407407</v>
      </c>
      <c r="D17422" s="4">
        <f>IFERROR(__xludf.DUMMYFUNCTION("""COMPUTED_VALUE"""),12.855184)</f>
        <v>12.855184</v>
      </c>
      <c r="E17422" s="4">
        <f>IFERROR(__xludf.DUMMYFUNCTION("""COMPUTED_VALUE"""),80.068447)</f>
        <v>80.068447</v>
      </c>
      <c r="F17422" s="4">
        <f>IFERROR(__xludf.DUMMYFUNCTION("""COMPUTED_VALUE"""),2846.0)</f>
        <v>2846</v>
      </c>
      <c r="G17422" s="4">
        <f>IFERROR(__xludf.DUMMYFUNCTION("""COMPUTED_VALUE"""),44.0)</f>
        <v>44</v>
      </c>
      <c r="H17422" s="4"/>
      <c r="I17422" s="4"/>
    </row>
    <row r="17423">
      <c r="A17423" s="4" t="str">
        <f>IFERROR(__xludf.DUMMYFUNCTION("""COMPUTED_VALUE"""),"cas_hmw")</f>
        <v>cas_hmw</v>
      </c>
      <c r="B17423" s="5">
        <f>IFERROR(__xludf.DUMMYFUNCTION("""COMPUTED_VALUE"""),44740.0)</f>
        <v>44740</v>
      </c>
      <c r="C17423" s="6">
        <f>IFERROR(__xludf.DUMMYFUNCTION("""COMPUTED_VALUE"""),0.3485879629624833)</f>
        <v>0.348587963</v>
      </c>
      <c r="D17423" s="4">
        <f>IFERROR(__xludf.DUMMYFUNCTION("""COMPUTED_VALUE"""),12.897398)</f>
        <v>12.897398</v>
      </c>
      <c r="E17423" s="4">
        <f>IFERROR(__xludf.DUMMYFUNCTION("""COMPUTED_VALUE"""),80.089571)</f>
        <v>80.089571</v>
      </c>
      <c r="F17423" s="4">
        <f>IFERROR(__xludf.DUMMYFUNCTION("""COMPUTED_VALUE"""),805.0)</f>
        <v>805</v>
      </c>
      <c r="G17423" s="4">
        <f>IFERROR(__xludf.DUMMYFUNCTION("""COMPUTED_VALUE"""),13.0)</f>
        <v>13</v>
      </c>
      <c r="H17423" s="4"/>
      <c r="I17423" s="4"/>
    </row>
    <row r="17424">
      <c r="A17424" s="4" t="str">
        <f>IFERROR(__xludf.DUMMYFUNCTION("""COMPUTED_VALUE"""),"cas_hmw")</f>
        <v>cas_hmw</v>
      </c>
      <c r="B17424" s="5">
        <f>IFERROR(__xludf.DUMMYFUNCTION("""COMPUTED_VALUE"""),44740.0)</f>
        <v>44740</v>
      </c>
      <c r="C17424" s="6">
        <f>IFERROR(__xludf.DUMMYFUNCTION("""COMPUTED_VALUE"""),0.34885416666656965)</f>
        <v>0.3488541667</v>
      </c>
      <c r="D17424" s="4">
        <f>IFERROR(__xludf.DUMMYFUNCTION("""COMPUTED_VALUE"""),12.860845)</f>
        <v>12.860845</v>
      </c>
      <c r="E17424" s="4">
        <f>IFERROR(__xludf.DUMMYFUNCTION("""COMPUTED_VALUE"""),80.072628)</f>
        <v>80.072628</v>
      </c>
      <c r="F17424" s="4">
        <f>IFERROR(__xludf.DUMMYFUNCTION("""COMPUTED_VALUE"""),2846.0)</f>
        <v>2846</v>
      </c>
      <c r="G17424" s="4">
        <f>IFERROR(__xludf.DUMMYFUNCTION("""COMPUTED_VALUE"""),28.0)</f>
        <v>28</v>
      </c>
      <c r="H17424" s="4"/>
      <c r="I17424" s="4"/>
    </row>
    <row r="17425">
      <c r="A17425" s="4" t="str">
        <f>IFERROR(__xludf.DUMMYFUNCTION("""COMPUTED_VALUE"""),"cas_hmw")</f>
        <v>cas_hmw</v>
      </c>
      <c r="B17425" s="5">
        <f>IFERROR(__xludf.DUMMYFUNCTION("""COMPUTED_VALUE"""),44740.0)</f>
        <v>44740</v>
      </c>
      <c r="C17425" s="6">
        <f>IFERROR(__xludf.DUMMYFUNCTION("""COMPUTED_VALUE"""),0.348946759258979)</f>
        <v>0.3489467593</v>
      </c>
      <c r="D17425" s="4">
        <f>IFERROR(__xludf.DUMMYFUNCTION("""COMPUTED_VALUE"""),12.895443)</f>
        <v>12.895443</v>
      </c>
      <c r="E17425" s="4">
        <f>IFERROR(__xludf.DUMMYFUNCTION("""COMPUTED_VALUE"""),80.088109)</f>
        <v>80.088109</v>
      </c>
      <c r="F17425" s="4">
        <f>IFERROR(__xludf.DUMMYFUNCTION("""COMPUTED_VALUE"""),805.0)</f>
        <v>805</v>
      </c>
      <c r="G17425" s="4">
        <f>IFERROR(__xludf.DUMMYFUNCTION("""COMPUTED_VALUE"""),42.0)</f>
        <v>42</v>
      </c>
      <c r="H17425" s="4"/>
      <c r="I17425" s="4"/>
    </row>
    <row r="17426">
      <c r="A17426" s="4" t="str">
        <f>IFERROR(__xludf.DUMMYFUNCTION("""COMPUTED_VALUE"""),"cas_hmw")</f>
        <v>cas_hmw</v>
      </c>
      <c r="B17426" s="5">
        <f>IFERROR(__xludf.DUMMYFUNCTION("""COMPUTED_VALUE"""),44740.0)</f>
        <v>44740</v>
      </c>
      <c r="C17426" s="6">
        <f>IFERROR(__xludf.DUMMYFUNCTION("""COMPUTED_VALUE"""),0.34936342592482106)</f>
        <v>0.3493634259</v>
      </c>
      <c r="D17426" s="4">
        <f>IFERROR(__xludf.DUMMYFUNCTION("""COMPUTED_VALUE"""),12.863151)</f>
        <v>12.863151</v>
      </c>
      <c r="E17426" s="4">
        <f>IFERROR(__xludf.DUMMYFUNCTION("""COMPUTED_VALUE"""),80.073753)</f>
        <v>80.073753</v>
      </c>
      <c r="F17426" s="4">
        <f>IFERROR(__xludf.DUMMYFUNCTION("""COMPUTED_VALUE"""),2846.0)</f>
        <v>2846</v>
      </c>
      <c r="G17426" s="4">
        <f>IFERROR(__xludf.DUMMYFUNCTION("""COMPUTED_VALUE"""),26.0)</f>
        <v>26</v>
      </c>
      <c r="H17426" s="4"/>
      <c r="I17426" s="4"/>
    </row>
    <row r="17427">
      <c r="A17427" s="4" t="str">
        <f>IFERROR(__xludf.DUMMYFUNCTION("""COMPUTED_VALUE"""),"cas_hmw")</f>
        <v>cas_hmw</v>
      </c>
      <c r="B17427" s="5">
        <f>IFERROR(__xludf.DUMMYFUNCTION("""COMPUTED_VALUE"""),44740.0)</f>
        <v>44740</v>
      </c>
      <c r="C17427" s="6">
        <f>IFERROR(__xludf.DUMMYFUNCTION("""COMPUTED_VALUE"""),0.3495023148134351)</f>
        <v>0.3495023148</v>
      </c>
      <c r="D17427" s="4">
        <f>IFERROR(__xludf.DUMMYFUNCTION("""COMPUTED_VALUE"""),12.864494)</f>
        <v>12.864494</v>
      </c>
      <c r="E17427" s="4">
        <f>IFERROR(__xludf.DUMMYFUNCTION("""COMPUTED_VALUE"""),80.074293)</f>
        <v>80.074293</v>
      </c>
      <c r="F17427" s="4">
        <f>IFERROR(__xludf.DUMMYFUNCTION("""COMPUTED_VALUE"""),2846.0)</f>
        <v>2846</v>
      </c>
      <c r="G17427" s="4">
        <f>IFERROR(__xludf.DUMMYFUNCTION("""COMPUTED_VALUE"""),41.0)</f>
        <v>41</v>
      </c>
      <c r="H17427" s="4"/>
      <c r="I17427" s="4"/>
    </row>
    <row r="17428">
      <c r="A17428" s="4" t="str">
        <f>IFERROR(__xludf.DUMMYFUNCTION("""COMPUTED_VALUE"""),"cas_hmw")</f>
        <v>cas_hmw</v>
      </c>
      <c r="B17428" s="5">
        <f>IFERROR(__xludf.DUMMYFUNCTION("""COMPUTED_VALUE"""),44740.0)</f>
        <v>44740</v>
      </c>
      <c r="C17428" s="6">
        <f>IFERROR(__xludf.DUMMYFUNCTION("""COMPUTED_VALUE"""),0.3497800925943011)</f>
        <v>0.3497800926</v>
      </c>
      <c r="D17428" s="4">
        <f>IFERROR(__xludf.DUMMYFUNCTION("""COMPUTED_VALUE"""),12.866124)</f>
        <v>12.866124</v>
      </c>
      <c r="E17428" s="4">
        <f>IFERROR(__xludf.DUMMYFUNCTION("""COMPUTED_VALUE"""),80.074914)</f>
        <v>80.074914</v>
      </c>
      <c r="F17428" s="4">
        <f>IFERROR(__xludf.DUMMYFUNCTION("""COMPUTED_VALUE"""),2846.0)</f>
        <v>2846</v>
      </c>
      <c r="G17428" s="4">
        <f>IFERROR(__xludf.DUMMYFUNCTION("""COMPUTED_VALUE"""),42.0)</f>
        <v>42</v>
      </c>
      <c r="H17428" s="4"/>
      <c r="I17428" s="4"/>
    </row>
    <row r="17429">
      <c r="A17429" s="4" t="str">
        <f>IFERROR(__xludf.DUMMYFUNCTION("""COMPUTED_VALUE"""),"cas_hmw")</f>
        <v>cas_hmw</v>
      </c>
      <c r="B17429" s="5">
        <f>IFERROR(__xludf.DUMMYFUNCTION("""COMPUTED_VALUE"""),44740.0)</f>
        <v>44740</v>
      </c>
      <c r="C17429" s="6">
        <f>IFERROR(__xludf.DUMMYFUNCTION("""COMPUTED_VALUE"""),0.3499305555560568)</f>
        <v>0.3499305556</v>
      </c>
      <c r="D17429" s="4">
        <f>IFERROR(__xludf.DUMMYFUNCTION("""COMPUTED_VALUE"""),12.885859)</f>
        <v>12.885859</v>
      </c>
      <c r="E17429" s="4">
        <f>IFERROR(__xludf.DUMMYFUNCTION("""COMPUTED_VALUE"""),80.082894)</f>
        <v>80.082894</v>
      </c>
      <c r="F17429" s="4">
        <f>IFERROR(__xludf.DUMMYFUNCTION("""COMPUTED_VALUE"""),805.0)</f>
        <v>805</v>
      </c>
      <c r="G17429" s="4">
        <f>IFERROR(__xludf.DUMMYFUNCTION("""COMPUTED_VALUE"""),50.0)</f>
        <v>50</v>
      </c>
      <c r="H17429" s="4"/>
      <c r="I17429" s="4"/>
    </row>
    <row r="17430">
      <c r="A17430" s="4" t="str">
        <f>IFERROR(__xludf.DUMMYFUNCTION("""COMPUTED_VALUE"""),"cas_hmw")</f>
        <v>cas_hmw</v>
      </c>
      <c r="B17430" s="5">
        <f>IFERROR(__xludf.DUMMYFUNCTION("""COMPUTED_VALUE"""),44740.0)</f>
        <v>44740</v>
      </c>
      <c r="C17430" s="6">
        <f>IFERROR(__xludf.DUMMYFUNCTION("""COMPUTED_VALUE"""),0.35002314814846613)</f>
        <v>0.3500231481</v>
      </c>
      <c r="D17430" s="4">
        <f>IFERROR(__xludf.DUMMYFUNCTION("""COMPUTED_VALUE"""),12.869113)</f>
        <v>12.869113</v>
      </c>
      <c r="E17430" s="4">
        <f>IFERROR(__xludf.DUMMYFUNCTION("""COMPUTED_VALUE"""),80.076056)</f>
        <v>80.076056</v>
      </c>
      <c r="F17430" s="4">
        <f>IFERROR(__xludf.DUMMYFUNCTION("""COMPUTED_VALUE"""),2846.0)</f>
        <v>2846</v>
      </c>
      <c r="G17430" s="4">
        <f>IFERROR(__xludf.DUMMYFUNCTION("""COMPUTED_VALUE"""),43.0)</f>
        <v>43</v>
      </c>
      <c r="H17430" s="4"/>
      <c r="I17430" s="4"/>
    </row>
    <row r="17431">
      <c r="A17431" s="4" t="str">
        <f>IFERROR(__xludf.DUMMYFUNCTION("""COMPUTED_VALUE"""),"cas_hmw")</f>
        <v>cas_hmw</v>
      </c>
      <c r="B17431" s="5">
        <f>IFERROR(__xludf.DUMMYFUNCTION("""COMPUTED_VALUE"""),44740.0)</f>
        <v>44740</v>
      </c>
      <c r="C17431" s="6">
        <f>IFERROR(__xludf.DUMMYFUNCTION("""COMPUTED_VALUE"""),0.3501504629639385)</f>
        <v>0.350150463</v>
      </c>
      <c r="D17431" s="4">
        <f>IFERROR(__xludf.DUMMYFUNCTION("""COMPUTED_VALUE"""),12.869113)</f>
        <v>12.869113</v>
      </c>
      <c r="E17431" s="4">
        <f>IFERROR(__xludf.DUMMYFUNCTION("""COMPUTED_VALUE"""),80.076056)</f>
        <v>80.076056</v>
      </c>
      <c r="F17431" s="4">
        <f>IFERROR(__xludf.DUMMYFUNCTION("""COMPUTED_VALUE"""),2846.0)</f>
        <v>2846</v>
      </c>
      <c r="G17431" s="4">
        <f>IFERROR(__xludf.DUMMYFUNCTION("""COMPUTED_VALUE"""),43.0)</f>
        <v>43</v>
      </c>
      <c r="H17431" s="4"/>
      <c r="I17431" s="4"/>
    </row>
    <row r="17432">
      <c r="A17432" s="4" t="str">
        <f>IFERROR(__xludf.DUMMYFUNCTION("""COMPUTED_VALUE"""),"cas_hmw")</f>
        <v>cas_hmw</v>
      </c>
      <c r="B17432" s="5">
        <f>IFERROR(__xludf.DUMMYFUNCTION("""COMPUTED_VALUE"""),44740.0)</f>
        <v>44740</v>
      </c>
      <c r="C17432" s="6">
        <f>IFERROR(__xludf.DUMMYFUNCTION("""COMPUTED_VALUE"""),0.3501851851870015)</f>
        <v>0.3501851852</v>
      </c>
      <c r="D17432" s="4">
        <f>IFERROR(__xludf.DUMMYFUNCTION("""COMPUTED_VALUE"""),12.869113)</f>
        <v>12.869113</v>
      </c>
      <c r="E17432" s="4">
        <f>IFERROR(__xludf.DUMMYFUNCTION("""COMPUTED_VALUE"""),80.076056)</f>
        <v>80.076056</v>
      </c>
      <c r="F17432" s="4">
        <f>IFERROR(__xludf.DUMMYFUNCTION("""COMPUTED_VALUE"""),2846.0)</f>
        <v>2846</v>
      </c>
      <c r="G17432" s="4">
        <f>IFERROR(__xludf.DUMMYFUNCTION("""COMPUTED_VALUE"""),43.0)</f>
        <v>43</v>
      </c>
      <c r="H17432" s="4"/>
      <c r="I17432" s="4"/>
    </row>
    <row r="17433">
      <c r="A17433" s="4" t="str">
        <f>IFERROR(__xludf.DUMMYFUNCTION("""COMPUTED_VALUE"""),"cas_hmw")</f>
        <v>cas_hmw</v>
      </c>
      <c r="B17433" s="5">
        <f>IFERROR(__xludf.DUMMYFUNCTION("""COMPUTED_VALUE"""),44740.0)</f>
        <v>44740</v>
      </c>
      <c r="C17433" s="6">
        <f>IFERROR(__xludf.DUMMYFUNCTION("""COMPUTED_VALUE"""),0.35031249999883585)</f>
        <v>0.3503125</v>
      </c>
      <c r="D17433" s="4">
        <f>IFERROR(__xludf.DUMMYFUNCTION("""COMPUTED_VALUE"""),12.870878)</f>
        <v>12.870878</v>
      </c>
      <c r="E17433" s="4">
        <f>IFERROR(__xludf.DUMMYFUNCTION("""COMPUTED_VALUE"""),80.076778)</f>
        <v>80.076778</v>
      </c>
      <c r="F17433" s="4">
        <f>IFERROR(__xludf.DUMMYFUNCTION("""COMPUTED_VALUE"""),2846.0)</f>
        <v>2846</v>
      </c>
      <c r="G17433" s="4">
        <f>IFERROR(__xludf.DUMMYFUNCTION("""COMPUTED_VALUE"""),51.0)</f>
        <v>51</v>
      </c>
      <c r="H17433" s="4"/>
      <c r="I17433" s="4"/>
    </row>
    <row r="17434">
      <c r="A17434" s="4" t="str">
        <f>IFERROR(__xludf.DUMMYFUNCTION("""COMPUTED_VALUE"""),"cas_hmw")</f>
        <v>cas_hmw</v>
      </c>
      <c r="B17434" s="5">
        <f>IFERROR(__xludf.DUMMYFUNCTION("""COMPUTED_VALUE"""),44740.0)</f>
        <v>44740</v>
      </c>
      <c r="C17434" s="6">
        <f>IFERROR(__xludf.DUMMYFUNCTION("""COMPUTED_VALUE"""),0.35041666666802485)</f>
        <v>0.3504166667</v>
      </c>
      <c r="D17434" s="4">
        <f>IFERROR(__xludf.DUMMYFUNCTION("""COMPUTED_VALUE"""),12.872822)</f>
        <v>12.872822</v>
      </c>
      <c r="E17434" s="4">
        <f>IFERROR(__xludf.DUMMYFUNCTION("""COMPUTED_VALUE"""),80.077507)</f>
        <v>80.077507</v>
      </c>
      <c r="F17434" s="4">
        <f>IFERROR(__xludf.DUMMYFUNCTION("""COMPUTED_VALUE"""),2846.0)</f>
        <v>2846</v>
      </c>
      <c r="G17434" s="4">
        <f>IFERROR(__xludf.DUMMYFUNCTION("""COMPUTED_VALUE"""),51.0)</f>
        <v>51</v>
      </c>
      <c r="H17434" s="4"/>
      <c r="I17434" s="4"/>
    </row>
    <row r="17435">
      <c r="A17435" s="4" t="str">
        <f>IFERROR(__xludf.DUMMYFUNCTION("""COMPUTED_VALUE"""),"cas_hmw")</f>
        <v>cas_hmw</v>
      </c>
      <c r="B17435" s="5">
        <f>IFERROR(__xludf.DUMMYFUNCTION("""COMPUTED_VALUE"""),44740.0)</f>
        <v>44740</v>
      </c>
      <c r="C17435" s="6">
        <f>IFERROR(__xludf.DUMMYFUNCTION("""COMPUTED_VALUE"""),0.35045138888744987)</f>
        <v>0.3504513889</v>
      </c>
      <c r="D17435" s="4">
        <f>IFERROR(__xludf.DUMMYFUNCTION("""COMPUTED_VALUE"""),12.872822)</f>
        <v>12.872822</v>
      </c>
      <c r="E17435" s="4">
        <f>IFERROR(__xludf.DUMMYFUNCTION("""COMPUTED_VALUE"""),80.077507)</f>
        <v>80.077507</v>
      </c>
      <c r="F17435" s="4">
        <f>IFERROR(__xludf.DUMMYFUNCTION("""COMPUTED_VALUE"""),2846.0)</f>
        <v>2846</v>
      </c>
      <c r="G17435" s="4">
        <f>IFERROR(__xludf.DUMMYFUNCTION("""COMPUTED_VALUE"""),51.0)</f>
        <v>51</v>
      </c>
      <c r="H17435" s="4"/>
      <c r="I17435" s="4"/>
    </row>
    <row r="17436">
      <c r="A17436" s="4" t="str">
        <f>IFERROR(__xludf.DUMMYFUNCTION("""COMPUTED_VALUE"""),"cas_hmw")</f>
        <v>cas_hmw</v>
      </c>
      <c r="B17436" s="5">
        <f>IFERROR(__xludf.DUMMYFUNCTION("""COMPUTED_VALUE"""),44740.0)</f>
        <v>44740</v>
      </c>
      <c r="C17436" s="6">
        <f>IFERROR(__xludf.DUMMYFUNCTION("""COMPUTED_VALUE"""),0.3505092592604342)</f>
        <v>0.3505092593</v>
      </c>
      <c r="D17436" s="4">
        <f>IFERROR(__xludf.DUMMYFUNCTION("""COMPUTED_VALUE"""),12.872822)</f>
        <v>12.872822</v>
      </c>
      <c r="E17436" s="4">
        <f>IFERROR(__xludf.DUMMYFUNCTION("""COMPUTED_VALUE"""),80.077507)</f>
        <v>80.077507</v>
      </c>
      <c r="F17436" s="4">
        <f>IFERROR(__xludf.DUMMYFUNCTION("""COMPUTED_VALUE"""),2846.0)</f>
        <v>2846</v>
      </c>
      <c r="G17436" s="4">
        <f>IFERROR(__xludf.DUMMYFUNCTION("""COMPUTED_VALUE"""),51.0)</f>
        <v>51</v>
      </c>
      <c r="H17436" s="4"/>
      <c r="I17436" s="4"/>
    </row>
    <row r="17437">
      <c r="A17437" s="4" t="str">
        <f>IFERROR(__xludf.DUMMYFUNCTION("""COMPUTED_VALUE"""),"cas_hmw")</f>
        <v>cas_hmw</v>
      </c>
      <c r="B17437" s="5">
        <f>IFERROR(__xludf.DUMMYFUNCTION("""COMPUTED_VALUE"""),44740.0)</f>
        <v>44740</v>
      </c>
      <c r="C17437" s="6">
        <f>IFERROR(__xludf.DUMMYFUNCTION("""COMPUTED_VALUE"""),0.3505787037029222)</f>
        <v>0.3505787037</v>
      </c>
      <c r="D17437" s="4">
        <f>IFERROR(__xludf.DUMMYFUNCTION("""COMPUTED_VALUE"""),12.881474)</f>
        <v>12.881474</v>
      </c>
      <c r="E17437" s="4">
        <f>IFERROR(__xludf.DUMMYFUNCTION("""COMPUTED_VALUE"""),80.081264)</f>
        <v>80.081264</v>
      </c>
      <c r="F17437" s="4">
        <f>IFERROR(__xludf.DUMMYFUNCTION("""COMPUTED_VALUE"""),805.0)</f>
        <v>805</v>
      </c>
      <c r="G17437" s="4">
        <f>IFERROR(__xludf.DUMMYFUNCTION("""COMPUTED_VALUE"""),34.0)</f>
        <v>34</v>
      </c>
      <c r="H17437" s="4"/>
      <c r="I17437" s="4"/>
    </row>
    <row r="17438">
      <c r="A17438" s="4" t="str">
        <f>IFERROR(__xludf.DUMMYFUNCTION("""COMPUTED_VALUE"""),"cas_hmw")</f>
        <v>cas_hmw</v>
      </c>
      <c r="B17438" s="5">
        <f>IFERROR(__xludf.DUMMYFUNCTION("""COMPUTED_VALUE"""),44740.0)</f>
        <v>44740</v>
      </c>
      <c r="C17438" s="6">
        <f>IFERROR(__xludf.DUMMYFUNCTION("""COMPUTED_VALUE"""),0.3505902777760639)</f>
        <v>0.3505902778</v>
      </c>
      <c r="D17438" s="4">
        <f>IFERROR(__xludf.DUMMYFUNCTION("""COMPUTED_VALUE"""),12.874393)</f>
        <v>12.874393</v>
      </c>
      <c r="E17438" s="4">
        <f>IFERROR(__xludf.DUMMYFUNCTION("""COMPUTED_VALUE"""),80.078126)</f>
        <v>80.078126</v>
      </c>
      <c r="F17438" s="4">
        <f>IFERROR(__xludf.DUMMYFUNCTION("""COMPUTED_VALUE"""),2846.0)</f>
        <v>2846</v>
      </c>
      <c r="G17438" s="4">
        <f>IFERROR(__xludf.DUMMYFUNCTION("""COMPUTED_VALUE"""),42.0)</f>
        <v>42</v>
      </c>
      <c r="H17438" s="4"/>
      <c r="I17438" s="4"/>
    </row>
    <row r="17439">
      <c r="A17439" s="4" t="str">
        <f>IFERROR(__xludf.DUMMYFUNCTION("""COMPUTED_VALUE"""),"cas_hmw")</f>
        <v>cas_hmw</v>
      </c>
      <c r="B17439" s="5">
        <f>IFERROR(__xludf.DUMMYFUNCTION("""COMPUTED_VALUE"""),44740.0)</f>
        <v>44740</v>
      </c>
      <c r="C17439" s="6">
        <f>IFERROR(__xludf.DUMMYFUNCTION("""COMPUTED_VALUE"""),0.3518865740734327)</f>
        <v>0.3518865741</v>
      </c>
      <c r="D17439" s="4">
        <f>IFERROR(__xludf.DUMMYFUNCTION("""COMPUTED_VALUE"""),12.87841)</f>
        <v>12.87841</v>
      </c>
      <c r="E17439" s="4">
        <f>IFERROR(__xludf.DUMMYFUNCTION("""COMPUTED_VALUE"""),80.082392)</f>
        <v>80.082392</v>
      </c>
      <c r="F17439" s="4">
        <f>IFERROR(__xludf.DUMMYFUNCTION("""COMPUTED_VALUE"""),805.0)</f>
        <v>805</v>
      </c>
      <c r="G17439" s="4">
        <f>IFERROR(__xludf.DUMMYFUNCTION("""COMPUTED_VALUE"""),36.0)</f>
        <v>36</v>
      </c>
      <c r="H17439" s="4"/>
      <c r="I17439" s="4"/>
    </row>
    <row r="17440">
      <c r="A17440" s="4" t="str">
        <f>IFERROR(__xludf.DUMMYFUNCTION("""COMPUTED_VALUE"""),"cas_hmw")</f>
        <v>cas_hmw</v>
      </c>
      <c r="B17440" s="5">
        <f>IFERROR(__xludf.DUMMYFUNCTION("""COMPUTED_VALUE"""),44740.0)</f>
        <v>44740</v>
      </c>
      <c r="C17440" s="6">
        <f>IFERROR(__xludf.DUMMYFUNCTION("""COMPUTED_VALUE"""),0.6727083333316841)</f>
        <v>0.6727083333</v>
      </c>
      <c r="D17440" s="4">
        <f>IFERROR(__xludf.DUMMYFUNCTION("""COMPUTED_VALUE"""),12.885239)</f>
        <v>12.885239</v>
      </c>
      <c r="E17440" s="4">
        <f>IFERROR(__xludf.DUMMYFUNCTION("""COMPUTED_VALUE"""),80.082371)</f>
        <v>80.082371</v>
      </c>
      <c r="F17440" s="4">
        <f>IFERROR(__xludf.DUMMYFUNCTION("""COMPUTED_VALUE"""),5339.0)</f>
        <v>5339</v>
      </c>
      <c r="G17440" s="4">
        <f>IFERROR(__xludf.DUMMYFUNCTION("""COMPUTED_VALUE"""),46.0)</f>
        <v>46</v>
      </c>
      <c r="H17440" s="4"/>
      <c r="I17440" s="4"/>
    </row>
    <row r="17441">
      <c r="A17441" s="4" t="str">
        <f>IFERROR(__xludf.DUMMYFUNCTION("""COMPUTED_VALUE"""),"cas_hmw")</f>
        <v>cas_hmw</v>
      </c>
      <c r="B17441" s="5">
        <f>IFERROR(__xludf.DUMMYFUNCTION("""COMPUTED_VALUE"""),44740.0)</f>
        <v>44740</v>
      </c>
      <c r="C17441" s="6">
        <f>IFERROR(__xludf.DUMMYFUNCTION("""COMPUTED_VALUE"""),0.6728819444433611)</f>
        <v>0.6728819444</v>
      </c>
      <c r="D17441" s="4">
        <f>IFERROR(__xludf.DUMMYFUNCTION("""COMPUTED_VALUE"""),12.884925)</f>
        <v>12.884925</v>
      </c>
      <c r="E17441" s="4">
        <f>IFERROR(__xludf.DUMMYFUNCTION("""COMPUTED_VALUE"""),80.082099)</f>
        <v>80.082099</v>
      </c>
      <c r="F17441" s="4">
        <f>IFERROR(__xludf.DUMMYFUNCTION("""COMPUTED_VALUE"""),805.0)</f>
        <v>805</v>
      </c>
      <c r="G17441" s="4">
        <f>IFERROR(__xludf.DUMMYFUNCTION("""COMPUTED_VALUE"""),46.0)</f>
        <v>46</v>
      </c>
      <c r="H17441" s="4"/>
      <c r="I17441" s="4"/>
    </row>
    <row r="17442">
      <c r="A17442" s="4" t="str">
        <f>IFERROR(__xludf.DUMMYFUNCTION("""COMPUTED_VALUE"""),"cas_hmw")</f>
        <v>cas_hmw</v>
      </c>
      <c r="B17442" s="5">
        <f>IFERROR(__xludf.DUMMYFUNCTION("""COMPUTED_VALUE"""),44740.0)</f>
        <v>44740</v>
      </c>
      <c r="C17442" s="6">
        <f>IFERROR(__xludf.DUMMYFUNCTION("""COMPUTED_VALUE"""),0.6734953703708015)</f>
        <v>0.6734953704</v>
      </c>
      <c r="D17442" s="4">
        <f>IFERROR(__xludf.DUMMYFUNCTION("""COMPUTED_VALUE"""),12.892287)</f>
        <v>12.892287</v>
      </c>
      <c r="E17442" s="4">
        <f>IFERROR(__xludf.DUMMYFUNCTION("""COMPUTED_VALUE"""),80.085593)</f>
        <v>80.085593</v>
      </c>
      <c r="F17442" s="4">
        <f>IFERROR(__xludf.DUMMYFUNCTION("""COMPUTED_VALUE"""),805.0)</f>
        <v>805</v>
      </c>
      <c r="G17442" s="4">
        <f>IFERROR(__xludf.DUMMYFUNCTION("""COMPUTED_VALUE"""),54.0)</f>
        <v>54</v>
      </c>
      <c r="H17442" s="4"/>
      <c r="I17442" s="4"/>
    </row>
    <row r="17443">
      <c r="A17443" s="4" t="str">
        <f>IFERROR(__xludf.DUMMYFUNCTION("""COMPUTED_VALUE"""),"cas_hmw")</f>
        <v>cas_hmw</v>
      </c>
      <c r="B17443" s="5">
        <f>IFERROR(__xludf.DUMMYFUNCTION("""COMPUTED_VALUE"""),44740.0)</f>
        <v>44740</v>
      </c>
      <c r="C17443" s="6">
        <f>IFERROR(__xludf.DUMMYFUNCTION("""COMPUTED_VALUE"""),0.6736921296287619)</f>
        <v>0.6736921296</v>
      </c>
      <c r="D17443" s="4">
        <f>IFERROR(__xludf.DUMMYFUNCTION("""COMPUTED_VALUE"""),12.893725)</f>
        <v>12.893725</v>
      </c>
      <c r="E17443" s="4">
        <f>IFERROR(__xludf.DUMMYFUNCTION("""COMPUTED_VALUE"""),80.086675)</f>
        <v>80.086675</v>
      </c>
      <c r="F17443" s="4">
        <f>IFERROR(__xludf.DUMMYFUNCTION("""COMPUTED_VALUE"""),5339.0)</f>
        <v>5339</v>
      </c>
      <c r="G17443" s="4">
        <f>IFERROR(__xludf.DUMMYFUNCTION("""COMPUTED_VALUE"""),47.0)</f>
        <v>47</v>
      </c>
      <c r="H17443" s="4"/>
      <c r="I17443" s="4"/>
    </row>
    <row r="17444">
      <c r="A17444" s="4" t="str">
        <f>IFERROR(__xludf.DUMMYFUNCTION("""COMPUTED_VALUE"""),"cas_hmw")</f>
        <v>cas_hmw</v>
      </c>
      <c r="B17444" s="5">
        <f>IFERROR(__xludf.DUMMYFUNCTION("""COMPUTED_VALUE"""),44740.0)</f>
        <v>44740</v>
      </c>
      <c r="C17444" s="6">
        <f>IFERROR(__xludf.DUMMYFUNCTION("""COMPUTED_VALUE"""),0.6739814814827696)</f>
        <v>0.6739814815</v>
      </c>
      <c r="D17444" s="4">
        <f>IFERROR(__xludf.DUMMYFUNCTION("""COMPUTED_VALUE"""),12.89571)</f>
        <v>12.89571</v>
      </c>
      <c r="E17444" s="4">
        <f>IFERROR(__xludf.DUMMYFUNCTION("""COMPUTED_VALUE"""),80.08813)</f>
        <v>80.08813</v>
      </c>
      <c r="F17444" s="4">
        <f>IFERROR(__xludf.DUMMYFUNCTION("""COMPUTED_VALUE"""),805.0)</f>
        <v>805</v>
      </c>
      <c r="G17444" s="4">
        <f>IFERROR(__xludf.DUMMYFUNCTION("""COMPUTED_VALUE"""),55.0)</f>
        <v>55</v>
      </c>
      <c r="H17444" s="4"/>
      <c r="I17444" s="4"/>
    </row>
    <row r="17445">
      <c r="A17445" s="4" t="str">
        <f>IFERROR(__xludf.DUMMYFUNCTION("""COMPUTED_VALUE"""),"cas_hmw")</f>
        <v>cas_hmw</v>
      </c>
      <c r="B17445" s="5">
        <f>IFERROR(__xludf.DUMMYFUNCTION("""COMPUTED_VALUE"""),44740.0)</f>
        <v>44740</v>
      </c>
      <c r="C17445" s="6">
        <f>IFERROR(__xludf.DUMMYFUNCTION("""COMPUTED_VALUE"""),0.6742708333331393)</f>
        <v>0.6742708333</v>
      </c>
      <c r="D17445" s="4">
        <f>IFERROR(__xludf.DUMMYFUNCTION("""COMPUTED_VALUE"""),12.899129)</f>
        <v>12.899129</v>
      </c>
      <c r="E17445" s="4">
        <f>IFERROR(__xludf.DUMMYFUNCTION("""COMPUTED_VALUE"""),80.090676)</f>
        <v>80.090676</v>
      </c>
      <c r="F17445" s="4">
        <f>IFERROR(__xludf.DUMMYFUNCTION("""COMPUTED_VALUE"""),805.0)</f>
        <v>805</v>
      </c>
      <c r="G17445" s="4">
        <f>IFERROR(__xludf.DUMMYFUNCTION("""COMPUTED_VALUE"""),55.0)</f>
        <v>55</v>
      </c>
      <c r="H17445" s="4"/>
      <c r="I17445" s="4"/>
    </row>
    <row r="17446">
      <c r="A17446" s="4" t="str">
        <f>IFERROR(__xludf.DUMMYFUNCTION("""COMPUTED_VALUE"""),"cas_hmw")</f>
        <v>cas_hmw</v>
      </c>
      <c r="B17446" s="5">
        <f>IFERROR(__xludf.DUMMYFUNCTION("""COMPUTED_VALUE"""),44740.0)</f>
        <v>44740</v>
      </c>
      <c r="C17446" s="6">
        <f>IFERROR(__xludf.DUMMYFUNCTION("""COMPUTED_VALUE"""),0.674456018517958)</f>
        <v>0.6744560185</v>
      </c>
      <c r="D17446" s="4">
        <f>IFERROR(__xludf.DUMMYFUNCTION("""COMPUTED_VALUE"""),12.900935)</f>
        <v>12.900935</v>
      </c>
      <c r="E17446" s="4">
        <f>IFERROR(__xludf.DUMMYFUNCTION("""COMPUTED_VALUE"""),80.092042)</f>
        <v>80.092042</v>
      </c>
      <c r="F17446" s="4">
        <f>IFERROR(__xludf.DUMMYFUNCTION("""COMPUTED_VALUE"""),805.0)</f>
        <v>805</v>
      </c>
      <c r="G17446" s="4">
        <f>IFERROR(__xludf.DUMMYFUNCTION("""COMPUTED_VALUE"""),59.0)</f>
        <v>59</v>
      </c>
      <c r="H17446" s="4"/>
      <c r="I17446" s="4"/>
    </row>
    <row r="17447">
      <c r="A17447" s="4" t="str">
        <f>IFERROR(__xludf.DUMMYFUNCTION("""COMPUTED_VALUE"""),"cas_hmw")</f>
        <v>cas_hmw</v>
      </c>
      <c r="B17447" s="5">
        <f>IFERROR(__xludf.DUMMYFUNCTION("""COMPUTED_VALUE"""),44740.0)</f>
        <v>44740</v>
      </c>
      <c r="C17447" s="6">
        <f>IFERROR(__xludf.DUMMYFUNCTION("""COMPUTED_VALUE"""),0.6747222222220444)</f>
        <v>0.6747222222</v>
      </c>
      <c r="D17447" s="4">
        <f>IFERROR(__xludf.DUMMYFUNCTION("""COMPUTED_VALUE"""),12.902714)</f>
        <v>12.902714</v>
      </c>
      <c r="E17447" s="4">
        <f>IFERROR(__xludf.DUMMYFUNCTION("""COMPUTED_VALUE"""),80.093419)</f>
        <v>80.093419</v>
      </c>
      <c r="F17447" s="4">
        <f>IFERROR(__xludf.DUMMYFUNCTION("""COMPUTED_VALUE"""),805.0)</f>
        <v>805</v>
      </c>
      <c r="G17447" s="4">
        <f>IFERROR(__xludf.DUMMYFUNCTION("""COMPUTED_VALUE"""),47.0)</f>
        <v>47</v>
      </c>
      <c r="H17447" s="4"/>
      <c r="I17447" s="4"/>
    </row>
    <row r="17448">
      <c r="A17448" s="4" t="str">
        <f>IFERROR(__xludf.DUMMYFUNCTION("""COMPUTED_VALUE"""),"cas_hmw")</f>
        <v>cas_hmw</v>
      </c>
      <c r="B17448" s="5">
        <f>IFERROR(__xludf.DUMMYFUNCTION("""COMPUTED_VALUE"""),44740.0)</f>
        <v>44740</v>
      </c>
      <c r="C17448" s="6">
        <f>IFERROR(__xludf.DUMMYFUNCTION("""COMPUTED_VALUE"""),0.6749421296299261)</f>
        <v>0.6749421296</v>
      </c>
      <c r="D17448" s="4">
        <f>IFERROR(__xludf.DUMMYFUNCTION("""COMPUTED_VALUE"""),12.866396)</f>
        <v>12.866396</v>
      </c>
      <c r="E17448" s="4">
        <f>IFERROR(__xludf.DUMMYFUNCTION("""COMPUTED_VALUE"""),80.075314)</f>
        <v>80.075314</v>
      </c>
      <c r="F17448" s="4">
        <f>IFERROR(__xludf.DUMMYFUNCTION("""COMPUTED_VALUE"""),2846.0)</f>
        <v>2846</v>
      </c>
      <c r="G17448" s="4">
        <f>IFERROR(__xludf.DUMMYFUNCTION("""COMPUTED_VALUE"""),22.0)</f>
        <v>22</v>
      </c>
      <c r="H17448" s="4"/>
      <c r="I17448" s="4"/>
    </row>
    <row r="17449">
      <c r="A17449" s="4" t="str">
        <f>IFERROR(__xludf.DUMMYFUNCTION("""COMPUTED_VALUE"""),"cas_hmw")</f>
        <v>cas_hmw</v>
      </c>
      <c r="B17449" s="5">
        <f>IFERROR(__xludf.DUMMYFUNCTION("""COMPUTED_VALUE"""),44740.0)</f>
        <v>44740</v>
      </c>
      <c r="C17449" s="6">
        <f>IFERROR(__xludf.DUMMYFUNCTION("""COMPUTED_VALUE"""),0.6752199074071541)</f>
        <v>0.6752199074</v>
      </c>
      <c r="D17449" s="4">
        <f>IFERROR(__xludf.DUMMYFUNCTION("""COMPUTED_VALUE"""),12.905368)</f>
        <v>12.905368</v>
      </c>
      <c r="E17449" s="4">
        <f>IFERROR(__xludf.DUMMYFUNCTION("""COMPUTED_VALUE"""),80.095548)</f>
        <v>80.095548</v>
      </c>
      <c r="F17449" s="4">
        <f>IFERROR(__xludf.DUMMYFUNCTION("""COMPUTED_VALUE"""),805.0)</f>
        <v>805</v>
      </c>
      <c r="G17449" s="4">
        <f>IFERROR(__xludf.DUMMYFUNCTION("""COMPUTED_VALUE"""),8.0)</f>
        <v>8</v>
      </c>
      <c r="H17449" s="4"/>
      <c r="I17449" s="4"/>
    </row>
    <row r="17450">
      <c r="A17450" s="4" t="str">
        <f>IFERROR(__xludf.DUMMYFUNCTION("""COMPUTED_VALUE"""),"cas_hmw")</f>
        <v>cas_hmw</v>
      </c>
      <c r="B17450" s="5">
        <f>IFERROR(__xludf.DUMMYFUNCTION("""COMPUTED_VALUE"""),44740.0)</f>
        <v>44740</v>
      </c>
      <c r="C17450" s="6">
        <f>IFERROR(__xludf.DUMMYFUNCTION("""COMPUTED_VALUE"""),0.6753124999995634)</f>
        <v>0.6753125</v>
      </c>
      <c r="D17450" s="4">
        <f>IFERROR(__xludf.DUMMYFUNCTION("""COMPUTED_VALUE"""),12.90624)</f>
        <v>12.90624</v>
      </c>
      <c r="E17450" s="4">
        <f>IFERROR(__xludf.DUMMYFUNCTION("""COMPUTED_VALUE"""),80.095978)</f>
        <v>80.095978</v>
      </c>
      <c r="F17450" s="4">
        <f>IFERROR(__xludf.DUMMYFUNCTION("""COMPUTED_VALUE"""),5339.0)</f>
        <v>5339</v>
      </c>
      <c r="G17450" s="4">
        <f>IFERROR(__xludf.DUMMYFUNCTION("""COMPUTED_VALUE"""),47.0)</f>
        <v>47</v>
      </c>
      <c r="H17450" s="4"/>
      <c r="I17450" s="4"/>
    </row>
    <row r="17451">
      <c r="A17451" s="4" t="str">
        <f>IFERROR(__xludf.DUMMYFUNCTION("""COMPUTED_VALUE"""),"cas_hmw")</f>
        <v>cas_hmw</v>
      </c>
      <c r="B17451" s="5">
        <f>IFERROR(__xludf.DUMMYFUNCTION("""COMPUTED_VALUE"""),44740.0)</f>
        <v>44740</v>
      </c>
      <c r="C17451" s="6">
        <f>IFERROR(__xludf.DUMMYFUNCTION("""COMPUTED_VALUE"""),0.6753819444456894)</f>
        <v>0.6753819444</v>
      </c>
      <c r="D17451" s="4">
        <f>IFERROR(__xludf.DUMMYFUNCTION("""COMPUTED_VALUE"""),12.862361)</f>
        <v>12.862361</v>
      </c>
      <c r="E17451" s="4">
        <f>IFERROR(__xludf.DUMMYFUNCTION("""COMPUTED_VALUE"""),80.073744)</f>
        <v>80.073744</v>
      </c>
      <c r="F17451" s="4">
        <f>IFERROR(__xludf.DUMMYFUNCTION("""COMPUTED_VALUE"""),2846.0)</f>
        <v>2846</v>
      </c>
      <c r="G17451" s="4">
        <f>IFERROR(__xludf.DUMMYFUNCTION("""COMPUTED_VALUE"""),55.0)</f>
        <v>55</v>
      </c>
      <c r="H17451" s="4"/>
      <c r="I17451" s="4"/>
    </row>
    <row r="17452">
      <c r="A17452" s="4" t="str">
        <f>IFERROR(__xludf.DUMMYFUNCTION("""COMPUTED_VALUE"""),"cas_hmw")</f>
        <v>cas_hmw</v>
      </c>
      <c r="B17452" s="5">
        <f>IFERROR(__xludf.DUMMYFUNCTION("""COMPUTED_VALUE"""),44740.0)</f>
        <v>44740</v>
      </c>
      <c r="C17452" s="6">
        <f>IFERROR(__xludf.DUMMYFUNCTION("""COMPUTED_VALUE"""),0.6755787037036498)</f>
        <v>0.6755787037</v>
      </c>
      <c r="D17452" s="4">
        <f>IFERROR(__xludf.DUMMYFUNCTION("""COMPUTED_VALUE"""),12.907803)</f>
        <v>12.907803</v>
      </c>
      <c r="E17452" s="4">
        <f>IFERROR(__xludf.DUMMYFUNCTION("""COMPUTED_VALUE"""),80.097363)</f>
        <v>80.097363</v>
      </c>
      <c r="F17452" s="4">
        <f>IFERROR(__xludf.DUMMYFUNCTION("""COMPUTED_VALUE"""),805.0)</f>
        <v>805</v>
      </c>
      <c r="G17452" s="4">
        <f>IFERROR(__xludf.DUMMYFUNCTION("""COMPUTED_VALUE"""),61.0)</f>
        <v>61</v>
      </c>
      <c r="H17452" s="4"/>
      <c r="I17452" s="4"/>
    </row>
    <row r="17453">
      <c r="A17453" s="4" t="str">
        <f>IFERROR(__xludf.DUMMYFUNCTION("""COMPUTED_VALUE"""),"cas_hmw")</f>
        <v>cas_hmw</v>
      </c>
      <c r="B17453" s="5">
        <f>IFERROR(__xludf.DUMMYFUNCTION("""COMPUTED_VALUE"""),44740.0)</f>
        <v>44740</v>
      </c>
      <c r="C17453" s="6">
        <f>IFERROR(__xludf.DUMMYFUNCTION("""COMPUTED_VALUE"""),0.6756134259267128)</f>
        <v>0.6756134259</v>
      </c>
      <c r="D17453" s="4">
        <f>IFERROR(__xludf.DUMMYFUNCTION("""COMPUTED_VALUE"""),12.908524)</f>
        <v>12.908524</v>
      </c>
      <c r="E17453" s="4">
        <f>IFERROR(__xludf.DUMMYFUNCTION("""COMPUTED_VALUE"""),80.097762)</f>
        <v>80.097762</v>
      </c>
      <c r="F17453" s="4">
        <f>IFERROR(__xludf.DUMMYFUNCTION("""COMPUTED_VALUE"""),5339.0)</f>
        <v>5339</v>
      </c>
      <c r="G17453" s="4">
        <f>IFERROR(__xludf.DUMMYFUNCTION("""COMPUTED_VALUE"""),44.0)</f>
        <v>44</v>
      </c>
      <c r="H17453" s="4"/>
      <c r="I17453" s="4"/>
    </row>
    <row r="17454">
      <c r="A17454" s="4" t="str">
        <f>IFERROR(__xludf.DUMMYFUNCTION("""COMPUTED_VALUE"""),"cas_hmw")</f>
        <v>cas_hmw</v>
      </c>
      <c r="B17454" s="5">
        <f>IFERROR(__xludf.DUMMYFUNCTION("""COMPUTED_VALUE"""),44740.0)</f>
        <v>44740</v>
      </c>
      <c r="C17454" s="6">
        <f>IFERROR(__xludf.DUMMYFUNCTION("""COMPUTED_VALUE"""),0.6756249999998545)</f>
        <v>0.675625</v>
      </c>
      <c r="D17454" s="4">
        <f>IFERROR(__xludf.DUMMYFUNCTION("""COMPUTED_VALUE"""),12.908524)</f>
        <v>12.908524</v>
      </c>
      <c r="E17454" s="4">
        <f>IFERROR(__xludf.DUMMYFUNCTION("""COMPUTED_VALUE"""),80.097762)</f>
        <v>80.097762</v>
      </c>
      <c r="F17454" s="4">
        <f>IFERROR(__xludf.DUMMYFUNCTION("""COMPUTED_VALUE"""),5339.0)</f>
        <v>5339</v>
      </c>
      <c r="G17454" s="4">
        <f>IFERROR(__xludf.DUMMYFUNCTION("""COMPUTED_VALUE"""),44.0)</f>
        <v>44</v>
      </c>
      <c r="H17454" s="4"/>
      <c r="I17454" s="4"/>
    </row>
    <row r="17455">
      <c r="A17455" s="4" t="str">
        <f>IFERROR(__xludf.DUMMYFUNCTION("""COMPUTED_VALUE"""),"cas_hmw")</f>
        <v>cas_hmw</v>
      </c>
      <c r="B17455" s="5">
        <f>IFERROR(__xludf.DUMMYFUNCTION("""COMPUTED_VALUE"""),44740.0)</f>
        <v>44740</v>
      </c>
      <c r="C17455" s="6">
        <f>IFERROR(__xludf.DUMMYFUNCTION("""COMPUTED_VALUE"""),0.6756249999998545)</f>
        <v>0.675625</v>
      </c>
      <c r="D17455" s="4">
        <f>IFERROR(__xludf.DUMMYFUNCTION("""COMPUTED_VALUE"""),12.908524)</f>
        <v>12.908524</v>
      </c>
      <c r="E17455" s="4">
        <f>IFERROR(__xludf.DUMMYFUNCTION("""COMPUTED_VALUE"""),80.097762)</f>
        <v>80.097762</v>
      </c>
      <c r="F17455" s="4">
        <f>IFERROR(__xludf.DUMMYFUNCTION("""COMPUTED_VALUE"""),5339.0)</f>
        <v>5339</v>
      </c>
      <c r="G17455" s="4">
        <f>IFERROR(__xludf.DUMMYFUNCTION("""COMPUTED_VALUE"""),44.0)</f>
        <v>44</v>
      </c>
      <c r="H17455" s="4"/>
      <c r="I17455" s="4"/>
    </row>
    <row r="17456">
      <c r="A17456" s="4" t="str">
        <f>IFERROR(__xludf.DUMMYFUNCTION("""COMPUTED_VALUE"""),"cas_hmw")</f>
        <v>cas_hmw</v>
      </c>
      <c r="B17456" s="5">
        <f>IFERROR(__xludf.DUMMYFUNCTION("""COMPUTED_VALUE"""),44740.0)</f>
        <v>44740</v>
      </c>
      <c r="C17456" s="6">
        <f>IFERROR(__xludf.DUMMYFUNCTION("""COMPUTED_VALUE"""),0.6757754629616102)</f>
        <v>0.675775463</v>
      </c>
      <c r="D17456" s="4">
        <f>IFERROR(__xludf.DUMMYFUNCTION("""COMPUTED_VALUE"""),12.909245)</f>
        <v>12.909245</v>
      </c>
      <c r="E17456" s="4">
        <f>IFERROR(__xludf.DUMMYFUNCTION("""COMPUTED_VALUE"""),80.098792)</f>
        <v>80.098792</v>
      </c>
      <c r="F17456" s="4">
        <f>IFERROR(__xludf.DUMMYFUNCTION("""COMPUTED_VALUE"""),805.0)</f>
        <v>805</v>
      </c>
      <c r="G17456" s="4">
        <f>IFERROR(__xludf.DUMMYFUNCTION("""COMPUTED_VALUE"""),41.0)</f>
        <v>41</v>
      </c>
      <c r="H17456" s="4"/>
      <c r="I17456" s="4"/>
    </row>
    <row r="17457">
      <c r="A17457" s="4" t="str">
        <f>IFERROR(__xludf.DUMMYFUNCTION("""COMPUTED_VALUE"""),"cas_hmw")</f>
        <v>cas_hmw</v>
      </c>
      <c r="B17457" s="5">
        <f>IFERROR(__xludf.DUMMYFUNCTION("""COMPUTED_VALUE"""),44740.0)</f>
        <v>44740</v>
      </c>
      <c r="C17457" s="6">
        <f>IFERROR(__xludf.DUMMYFUNCTION("""COMPUTED_VALUE"""),0.6758796296307992)</f>
        <v>0.6758796296</v>
      </c>
      <c r="D17457" s="4">
        <f>IFERROR(__xludf.DUMMYFUNCTION("""COMPUTED_VALUE"""),12.910088)</f>
        <v>12.910088</v>
      </c>
      <c r="E17457" s="4">
        <f>IFERROR(__xludf.DUMMYFUNCTION("""COMPUTED_VALUE"""),80.10009)</f>
        <v>80.10009</v>
      </c>
      <c r="F17457" s="4">
        <f>IFERROR(__xludf.DUMMYFUNCTION("""COMPUTED_VALUE"""),5339.0)</f>
        <v>5339</v>
      </c>
      <c r="G17457" s="4">
        <f>IFERROR(__xludf.DUMMYFUNCTION("""COMPUTED_VALUE"""),40.0)</f>
        <v>40</v>
      </c>
      <c r="H17457" s="4"/>
      <c r="I17457" s="4"/>
    </row>
    <row r="17458">
      <c r="A17458" s="4" t="str">
        <f>IFERROR(__xludf.DUMMYFUNCTION("""COMPUTED_VALUE"""),"cas_hmw")</f>
        <v>cas_hmw</v>
      </c>
      <c r="B17458" s="5">
        <f>IFERROR(__xludf.DUMMYFUNCTION("""COMPUTED_VALUE"""),44740.0)</f>
        <v>44740</v>
      </c>
      <c r="C17458" s="6">
        <f>IFERROR(__xludf.DUMMYFUNCTION("""COMPUTED_VALUE"""),0.6759375000001455)</f>
        <v>0.6759375</v>
      </c>
      <c r="D17458" s="4">
        <f>IFERROR(__xludf.DUMMYFUNCTION("""COMPUTED_VALUE"""),12.910088)</f>
        <v>12.910088</v>
      </c>
      <c r="E17458" s="4">
        <f>IFERROR(__xludf.DUMMYFUNCTION("""COMPUTED_VALUE"""),80.10009)</f>
        <v>80.10009</v>
      </c>
      <c r="F17458" s="4">
        <f>IFERROR(__xludf.DUMMYFUNCTION("""COMPUTED_VALUE"""),5339.0)</f>
        <v>5339</v>
      </c>
      <c r="G17458" s="4">
        <f>IFERROR(__xludf.DUMMYFUNCTION("""COMPUTED_VALUE"""),40.0)</f>
        <v>40</v>
      </c>
      <c r="H17458" s="4"/>
      <c r="I17458" s="4"/>
    </row>
    <row r="17459">
      <c r="A17459" s="4" t="str">
        <f>IFERROR(__xludf.DUMMYFUNCTION("""COMPUTED_VALUE"""),"cas_hmw")</f>
        <v>cas_hmw</v>
      </c>
      <c r="B17459" s="5">
        <f>IFERROR(__xludf.DUMMYFUNCTION("""COMPUTED_VALUE"""),44740.0)</f>
        <v>44740</v>
      </c>
      <c r="C17459" s="6">
        <f>IFERROR(__xludf.DUMMYFUNCTION("""COMPUTED_VALUE"""),0.6759606481464289)</f>
        <v>0.6759606481</v>
      </c>
      <c r="D17459" s="4">
        <f>IFERROR(__xludf.DUMMYFUNCTION("""COMPUTED_VALUE"""),12.910088)</f>
        <v>12.910088</v>
      </c>
      <c r="E17459" s="4">
        <f>IFERROR(__xludf.DUMMYFUNCTION("""COMPUTED_VALUE"""),80.10009)</f>
        <v>80.10009</v>
      </c>
      <c r="F17459" s="4">
        <f>IFERROR(__xludf.DUMMYFUNCTION("""COMPUTED_VALUE"""),5339.0)</f>
        <v>5339</v>
      </c>
      <c r="G17459" s="4">
        <f>IFERROR(__xludf.DUMMYFUNCTION("""COMPUTED_VALUE"""),40.0)</f>
        <v>40</v>
      </c>
      <c r="H17459" s="4"/>
      <c r="I17459" s="4"/>
    </row>
    <row r="17460">
      <c r="A17460" s="4" t="str">
        <f>IFERROR(__xludf.DUMMYFUNCTION("""COMPUTED_VALUE"""),"cas_hmw")</f>
        <v>cas_hmw</v>
      </c>
      <c r="B17460" s="5">
        <f>IFERROR(__xludf.DUMMYFUNCTION("""COMPUTED_VALUE"""),44740.0)</f>
        <v>44740</v>
      </c>
      <c r="C17460" s="6">
        <f>IFERROR(__xludf.DUMMYFUNCTION("""COMPUTED_VALUE"""),0.6766435185199953)</f>
        <v>0.6766435185</v>
      </c>
      <c r="D17460" s="4">
        <f>IFERROR(__xludf.DUMMYFUNCTION("""COMPUTED_VALUE"""),12.913396)</f>
        <v>12.913396</v>
      </c>
      <c r="E17460" s="4">
        <f>IFERROR(__xludf.DUMMYFUNCTION("""COMPUTED_VALUE"""),80.101523)</f>
        <v>80.101523</v>
      </c>
      <c r="F17460" s="4">
        <f>IFERROR(__xludf.DUMMYFUNCTION("""COMPUTED_VALUE"""),805.0)</f>
        <v>805</v>
      </c>
      <c r="G17460" s="4">
        <f>IFERROR(__xludf.DUMMYFUNCTION("""COMPUTED_VALUE"""),53.0)</f>
        <v>53</v>
      </c>
      <c r="H17460" s="4"/>
      <c r="I17460" s="4"/>
    </row>
    <row r="17461">
      <c r="A17461" s="4" t="str">
        <f>IFERROR(__xludf.DUMMYFUNCTION("""COMPUTED_VALUE"""),"cas_hmw")</f>
        <v>cas_hmw</v>
      </c>
      <c r="B17461" s="5">
        <f>IFERROR(__xludf.DUMMYFUNCTION("""COMPUTED_VALUE"""),44740.0)</f>
        <v>44740</v>
      </c>
      <c r="C17461" s="6">
        <f>IFERROR(__xludf.DUMMYFUNCTION("""COMPUTED_VALUE"""),0.676932870370365)</f>
        <v>0.6769328704</v>
      </c>
      <c r="D17461" s="4">
        <f>IFERROR(__xludf.DUMMYFUNCTION("""COMPUTED_VALUE"""),12.915774)</f>
        <v>12.915774</v>
      </c>
      <c r="E17461" s="4">
        <f>IFERROR(__xludf.DUMMYFUNCTION("""COMPUTED_VALUE"""),80.104371)</f>
        <v>80.104371</v>
      </c>
      <c r="F17461" s="4">
        <f>IFERROR(__xludf.DUMMYFUNCTION("""COMPUTED_VALUE"""),805.0)</f>
        <v>805</v>
      </c>
      <c r="G17461" s="4">
        <f>IFERROR(__xludf.DUMMYFUNCTION("""COMPUTED_VALUE"""),54.0)</f>
        <v>54</v>
      </c>
      <c r="H17461" s="4"/>
      <c r="I17461" s="4"/>
    </row>
    <row r="17462">
      <c r="A17462" s="4" t="str">
        <f>IFERROR(__xludf.DUMMYFUNCTION("""COMPUTED_VALUE"""),"cas_hmw")</f>
        <v>cas_hmw</v>
      </c>
      <c r="B17462" s="5">
        <f>IFERROR(__xludf.DUMMYFUNCTION("""COMPUTED_VALUE"""),44740.0)</f>
        <v>44740</v>
      </c>
      <c r="C17462" s="6">
        <f>IFERROR(__xludf.DUMMYFUNCTION("""COMPUTED_VALUE"""),0.6773726851861284)</f>
        <v>0.6773726852</v>
      </c>
      <c r="D17462" s="4">
        <f>IFERROR(__xludf.DUMMYFUNCTION("""COMPUTED_VALUE"""),12.916758)</f>
        <v>12.916758</v>
      </c>
      <c r="E17462" s="4">
        <f>IFERROR(__xludf.DUMMYFUNCTION("""COMPUTED_VALUE"""),80.106608)</f>
        <v>80.106608</v>
      </c>
      <c r="F17462" s="4">
        <f>IFERROR(__xludf.DUMMYFUNCTION("""COMPUTED_VALUE"""),805.0)</f>
        <v>805</v>
      </c>
      <c r="G17462" s="4">
        <f>IFERROR(__xludf.DUMMYFUNCTION("""COMPUTED_VALUE"""),0.0)</f>
        <v>0</v>
      </c>
      <c r="H17462" s="4"/>
      <c r="I17462" s="4"/>
    </row>
    <row r="17463">
      <c r="A17463" s="4" t="str">
        <f>IFERROR(__xludf.DUMMYFUNCTION("""COMPUTED_VALUE"""),"cas_hmw")</f>
        <v>cas_hmw</v>
      </c>
      <c r="B17463" s="5">
        <f>IFERROR(__xludf.DUMMYFUNCTION("""COMPUTED_VALUE"""),44740.0)</f>
        <v>44740</v>
      </c>
      <c r="C17463" s="6">
        <f>IFERROR(__xludf.DUMMYFUNCTION("""COMPUTED_VALUE"""),0.6775694444440887)</f>
        <v>0.6775694444</v>
      </c>
      <c r="D17463" s="4">
        <f>IFERROR(__xludf.DUMMYFUNCTION("""COMPUTED_VALUE"""),12.917137)</f>
        <v>12.917137</v>
      </c>
      <c r="E17463" s="4">
        <f>IFERROR(__xludf.DUMMYFUNCTION("""COMPUTED_VALUE"""),80.107341)</f>
        <v>80.107341</v>
      </c>
      <c r="F17463" s="4">
        <f>IFERROR(__xludf.DUMMYFUNCTION("""COMPUTED_VALUE"""),805.0)</f>
        <v>805</v>
      </c>
      <c r="G17463" s="4">
        <f>IFERROR(__xludf.DUMMYFUNCTION("""COMPUTED_VALUE"""),32.0)</f>
        <v>32</v>
      </c>
      <c r="H17463" s="4"/>
      <c r="I17463" s="4"/>
    </row>
    <row r="17464">
      <c r="A17464" s="4" t="str">
        <f>IFERROR(__xludf.DUMMYFUNCTION("""COMPUTED_VALUE"""),"cas_hmw")</f>
        <v>cas_hmw</v>
      </c>
      <c r="B17464" s="5">
        <f>IFERROR(__xludf.DUMMYFUNCTION("""COMPUTED_VALUE"""),44740.0)</f>
        <v>44740</v>
      </c>
      <c r="C17464" s="6">
        <f>IFERROR(__xludf.DUMMYFUNCTION("""COMPUTED_VALUE"""),0.6777777777788287)</f>
        <v>0.6777777778</v>
      </c>
      <c r="D17464" s="4">
        <f>IFERROR(__xludf.DUMMYFUNCTION("""COMPUTED_VALUE"""),12.917763)</f>
        <v>12.917763</v>
      </c>
      <c r="E17464" s="4">
        <f>IFERROR(__xludf.DUMMYFUNCTION("""COMPUTED_VALUE"""),80.10822)</f>
        <v>80.10822</v>
      </c>
      <c r="F17464" s="4">
        <f>IFERROR(__xludf.DUMMYFUNCTION("""COMPUTED_VALUE"""),805.0)</f>
        <v>805</v>
      </c>
      <c r="G17464" s="4">
        <f>IFERROR(__xludf.DUMMYFUNCTION("""COMPUTED_VALUE"""),31.0)</f>
        <v>31</v>
      </c>
      <c r="H17464" s="4"/>
      <c r="I17464" s="4"/>
    </row>
    <row r="17465">
      <c r="A17465" s="4" t="str">
        <f>IFERROR(__xludf.DUMMYFUNCTION("""COMPUTED_VALUE"""),"cas_hmw")</f>
        <v>cas_hmw</v>
      </c>
      <c r="B17465" s="5">
        <f>IFERROR(__xludf.DUMMYFUNCTION("""COMPUTED_VALUE"""),44740.0)</f>
        <v>44740</v>
      </c>
      <c r="C17465" s="6">
        <f>IFERROR(__xludf.DUMMYFUNCTION("""COMPUTED_VALUE"""),0.6780671296291985)</f>
        <v>0.6780671296</v>
      </c>
      <c r="D17465" s="4">
        <f>IFERROR(__xludf.DUMMYFUNCTION("""COMPUTED_VALUE"""),12.920067)</f>
        <v>12.920067</v>
      </c>
      <c r="E17465" s="4">
        <f>IFERROR(__xludf.DUMMYFUNCTION("""COMPUTED_VALUE"""),80.111057)</f>
        <v>80.111057</v>
      </c>
      <c r="F17465" s="4">
        <f>IFERROR(__xludf.DUMMYFUNCTION("""COMPUTED_VALUE"""),805.0)</f>
        <v>805</v>
      </c>
      <c r="G17465" s="4">
        <f>IFERROR(__xludf.DUMMYFUNCTION("""COMPUTED_VALUE"""),47.0)</f>
        <v>47</v>
      </c>
      <c r="H17465" s="4"/>
      <c r="I17465" s="4"/>
    </row>
    <row r="17466">
      <c r="A17466" s="4" t="str">
        <f>IFERROR(__xludf.DUMMYFUNCTION("""COMPUTED_VALUE"""),"cas_hmw")</f>
        <v>cas_hmw</v>
      </c>
      <c r="B17466" s="5">
        <f>IFERROR(__xludf.DUMMYFUNCTION("""COMPUTED_VALUE"""),44740.0)</f>
        <v>44740</v>
      </c>
      <c r="C17466" s="6">
        <f>IFERROR(__xludf.DUMMYFUNCTION("""COMPUTED_VALUE"""),0.6781134259254031)</f>
        <v>0.6781134259</v>
      </c>
      <c r="D17466" s="4">
        <f>IFERROR(__xludf.DUMMYFUNCTION("""COMPUTED_VALUE"""),12.920067)</f>
        <v>12.920067</v>
      </c>
      <c r="E17466" s="4">
        <f>IFERROR(__xludf.DUMMYFUNCTION("""COMPUTED_VALUE"""),80.111057)</f>
        <v>80.111057</v>
      </c>
      <c r="F17466" s="4">
        <f>IFERROR(__xludf.DUMMYFUNCTION("""COMPUTED_VALUE"""),805.0)</f>
        <v>805</v>
      </c>
      <c r="G17466" s="4">
        <f>IFERROR(__xludf.DUMMYFUNCTION("""COMPUTED_VALUE"""),47.0)</f>
        <v>47</v>
      </c>
      <c r="H17466" s="4"/>
      <c r="I17466" s="4"/>
    </row>
    <row r="17467">
      <c r="A17467" s="4" t="str">
        <f>IFERROR(__xludf.DUMMYFUNCTION("""COMPUTED_VALUE"""),"cas_hmw")</f>
        <v>cas_hmw</v>
      </c>
      <c r="B17467" s="5">
        <f>IFERROR(__xludf.DUMMYFUNCTION("""COMPUTED_VALUE"""),44740.0)</f>
        <v>44740</v>
      </c>
      <c r="C17467" s="6">
        <f>IFERROR(__xludf.DUMMYFUNCTION("""COMPUTED_VALUE"""),0.6784837962950405)</f>
        <v>0.6784837963</v>
      </c>
      <c r="D17467" s="4">
        <f>IFERROR(__xludf.DUMMYFUNCTION("""COMPUTED_VALUE"""),12.922708)</f>
        <v>12.922708</v>
      </c>
      <c r="E17467" s="4">
        <f>IFERROR(__xludf.DUMMYFUNCTION("""COMPUTED_VALUE"""),80.113789)</f>
        <v>80.113789</v>
      </c>
      <c r="F17467" s="4">
        <f>IFERROR(__xludf.DUMMYFUNCTION("""COMPUTED_VALUE"""),805.0)</f>
        <v>805</v>
      </c>
      <c r="G17467" s="4">
        <f>IFERROR(__xludf.DUMMYFUNCTION("""COMPUTED_VALUE"""),29.0)</f>
        <v>29</v>
      </c>
      <c r="H17467" s="4"/>
      <c r="I17467" s="4"/>
    </row>
    <row r="17468">
      <c r="A17468" s="4" t="str">
        <f>IFERROR(__xludf.DUMMYFUNCTION("""COMPUTED_VALUE"""),"cas_hmw")</f>
        <v>cas_hmw</v>
      </c>
      <c r="B17468" s="5">
        <f>IFERROR(__xludf.DUMMYFUNCTION("""COMPUTED_VALUE"""),44740.0)</f>
        <v>44740</v>
      </c>
      <c r="C17468" s="6">
        <f>IFERROR(__xludf.DUMMYFUNCTION("""COMPUTED_VALUE"""),0.6787731481490482)</f>
        <v>0.6787731481</v>
      </c>
      <c r="D17468" s="4">
        <f>IFERROR(__xludf.DUMMYFUNCTION("""COMPUTED_VALUE"""),12.92438)</f>
        <v>12.92438</v>
      </c>
      <c r="E17468" s="4">
        <f>IFERROR(__xludf.DUMMYFUNCTION("""COMPUTED_VALUE"""),80.11545)</f>
        <v>80.11545</v>
      </c>
      <c r="F17468" s="4">
        <f>IFERROR(__xludf.DUMMYFUNCTION("""COMPUTED_VALUE"""),805.0)</f>
        <v>805</v>
      </c>
      <c r="G17468" s="4">
        <f>IFERROR(__xludf.DUMMYFUNCTION("""COMPUTED_VALUE"""),44.0)</f>
        <v>44</v>
      </c>
      <c r="H17468" s="4"/>
      <c r="I17468" s="4"/>
    </row>
    <row r="17469">
      <c r="A17469" s="4" t="str">
        <f>IFERROR(__xludf.DUMMYFUNCTION("""COMPUTED_VALUE"""),"cas_hmw")</f>
        <v>cas_hmw</v>
      </c>
      <c r="B17469" s="5">
        <f>IFERROR(__xludf.DUMMYFUNCTION("""COMPUTED_VALUE"""),44740.0)</f>
        <v>44740</v>
      </c>
      <c r="C17469" s="6">
        <f>IFERROR(__xludf.DUMMYFUNCTION("""COMPUTED_VALUE"""),0.679374999999709)</f>
        <v>0.679375</v>
      </c>
      <c r="D17469" s="4">
        <f>IFERROR(__xludf.DUMMYFUNCTION("""COMPUTED_VALUE"""),12.927401)</f>
        <v>12.927401</v>
      </c>
      <c r="E17469" s="4">
        <f>IFERROR(__xludf.DUMMYFUNCTION("""COMPUTED_VALUE"""),80.118477)</f>
        <v>80.118477</v>
      </c>
      <c r="F17469" s="4">
        <f>IFERROR(__xludf.DUMMYFUNCTION("""COMPUTED_VALUE"""),805.0)</f>
        <v>805</v>
      </c>
      <c r="G17469" s="4">
        <f>IFERROR(__xludf.DUMMYFUNCTION("""COMPUTED_VALUE"""),30.0)</f>
        <v>30</v>
      </c>
      <c r="H17469" s="4"/>
      <c r="I17469" s="4"/>
    </row>
    <row r="17470">
      <c r="A17470" s="4" t="str">
        <f>IFERROR(__xludf.DUMMYFUNCTION("""COMPUTED_VALUE"""),"cas_hmw")</f>
        <v>cas_hmw</v>
      </c>
      <c r="B17470" s="5">
        <f>IFERROR(__xludf.DUMMYFUNCTION("""COMPUTED_VALUE"""),44740.0)</f>
        <v>44740</v>
      </c>
      <c r="C17470" s="6">
        <f>IFERROR(__xludf.DUMMYFUNCTION("""COMPUTED_VALUE"""),0.679652777776937)</f>
        <v>0.6796527778</v>
      </c>
      <c r="D17470" s="4">
        <f>IFERROR(__xludf.DUMMYFUNCTION("""COMPUTED_VALUE"""),12.840422)</f>
        <v>12.840422</v>
      </c>
      <c r="E17470" s="4">
        <f>IFERROR(__xludf.DUMMYFUNCTION("""COMPUTED_VALUE"""),80.056222)</f>
        <v>80.056222</v>
      </c>
      <c r="F17470" s="4">
        <f>IFERROR(__xludf.DUMMYFUNCTION("""COMPUTED_VALUE"""),2846.0)</f>
        <v>2846</v>
      </c>
      <c r="G17470" s="4">
        <f>IFERROR(__xludf.DUMMYFUNCTION("""COMPUTED_VALUE"""),27.0)</f>
        <v>27</v>
      </c>
      <c r="H17470" s="4"/>
      <c r="I17470" s="4"/>
    </row>
    <row r="17471">
      <c r="A17471" s="4" t="str">
        <f>IFERROR(__xludf.DUMMYFUNCTION("""COMPUTED_VALUE"""),"cas_hmw")</f>
        <v>cas_hmw</v>
      </c>
      <c r="B17471" s="5">
        <f>IFERROR(__xludf.DUMMYFUNCTION("""COMPUTED_VALUE"""),44740.0)</f>
        <v>44740</v>
      </c>
      <c r="C17471" s="6">
        <f>IFERROR(__xludf.DUMMYFUNCTION("""COMPUTED_VALUE"""),0.6799768518503697)</f>
        <v>0.6799768519</v>
      </c>
      <c r="D17471" s="4">
        <f>IFERROR(__xludf.DUMMYFUNCTION("""COMPUTED_VALUE"""),12.929922)</f>
        <v>12.929922</v>
      </c>
      <c r="E17471" s="4">
        <f>IFERROR(__xludf.DUMMYFUNCTION("""COMPUTED_VALUE"""),80.121008)</f>
        <v>80.121008</v>
      </c>
      <c r="F17471" s="4">
        <f>IFERROR(__xludf.DUMMYFUNCTION("""COMPUTED_VALUE"""),805.0)</f>
        <v>805</v>
      </c>
      <c r="G17471" s="4">
        <f>IFERROR(__xludf.DUMMYFUNCTION("""COMPUTED_VALUE"""),14.0)</f>
        <v>14</v>
      </c>
      <c r="H17471" s="4"/>
      <c r="I17471" s="4"/>
    </row>
    <row r="17472">
      <c r="A17472" s="4" t="str">
        <f>IFERROR(__xludf.DUMMYFUNCTION("""COMPUTED_VALUE"""),"cas_hmw")</f>
        <v>cas_hmw</v>
      </c>
      <c r="B17472" s="5">
        <f>IFERROR(__xludf.DUMMYFUNCTION("""COMPUTED_VALUE"""),44740.0)</f>
        <v>44740</v>
      </c>
      <c r="C17472" s="6">
        <f>IFERROR(__xludf.DUMMYFUNCTION("""COMPUTED_VALUE"""),0.6806250000008731)</f>
        <v>0.680625</v>
      </c>
      <c r="D17472" s="4">
        <f>IFERROR(__xludf.DUMMYFUNCTION("""COMPUTED_VALUE"""),12.833551)</f>
        <v>12.833551</v>
      </c>
      <c r="E17472" s="4">
        <f>IFERROR(__xludf.DUMMYFUNCTION("""COMPUTED_VALUE"""),80.048984)</f>
        <v>80.048984</v>
      </c>
      <c r="F17472" s="4">
        <f>IFERROR(__xludf.DUMMYFUNCTION("""COMPUTED_VALUE"""),2846.0)</f>
        <v>2846</v>
      </c>
      <c r="G17472" s="4">
        <f>IFERROR(__xludf.DUMMYFUNCTION("""COMPUTED_VALUE"""),57.0)</f>
        <v>57</v>
      </c>
      <c r="H17472" s="4"/>
      <c r="I17472" s="4"/>
    </row>
    <row r="17473">
      <c r="A17473" s="4" t="str">
        <f>IFERROR(__xludf.DUMMYFUNCTION("""COMPUTED_VALUE"""),"cas_hmw")</f>
        <v>cas_hmw</v>
      </c>
      <c r="B17473" s="5">
        <f>IFERROR(__xludf.DUMMYFUNCTION("""COMPUTED_VALUE"""),44740.0)</f>
        <v>44740</v>
      </c>
      <c r="C17473" s="6">
        <f>IFERROR(__xludf.DUMMYFUNCTION("""COMPUTED_VALUE"""),0.6807175925932825)</f>
        <v>0.6807175926</v>
      </c>
      <c r="D17473" s="4">
        <f>IFERROR(__xludf.DUMMYFUNCTION("""COMPUTED_VALUE"""),12.934241)</f>
        <v>12.934241</v>
      </c>
      <c r="E17473" s="4">
        <f>IFERROR(__xludf.DUMMYFUNCTION("""COMPUTED_VALUE"""),80.125342)</f>
        <v>80.125342</v>
      </c>
      <c r="F17473" s="4">
        <f>IFERROR(__xludf.DUMMYFUNCTION("""COMPUTED_VALUE"""),805.0)</f>
        <v>805</v>
      </c>
      <c r="G17473" s="4">
        <f>IFERROR(__xludf.DUMMYFUNCTION("""COMPUTED_VALUE"""),37.0)</f>
        <v>37</v>
      </c>
      <c r="H17473" s="4"/>
      <c r="I17473" s="4"/>
    </row>
    <row r="17474">
      <c r="A17474" s="4" t="str">
        <f>IFERROR(__xludf.DUMMYFUNCTION("""COMPUTED_VALUE"""),"cas_hmw")</f>
        <v>cas_hmw</v>
      </c>
      <c r="B17474" s="5">
        <f>IFERROR(__xludf.DUMMYFUNCTION("""COMPUTED_VALUE"""),44740.0)</f>
        <v>44740</v>
      </c>
      <c r="C17474" s="6">
        <f>IFERROR(__xludf.DUMMYFUNCTION("""COMPUTED_VALUE"""),0.6807175925932825)</f>
        <v>0.6807175926</v>
      </c>
      <c r="D17474" s="4">
        <f>IFERROR(__xludf.DUMMYFUNCTION("""COMPUTED_VALUE"""),12.934241)</f>
        <v>12.934241</v>
      </c>
      <c r="E17474" s="4">
        <f>IFERROR(__xludf.DUMMYFUNCTION("""COMPUTED_VALUE"""),80.125342)</f>
        <v>80.125342</v>
      </c>
      <c r="F17474" s="4">
        <f>IFERROR(__xludf.DUMMYFUNCTION("""COMPUTED_VALUE"""),805.0)</f>
        <v>805</v>
      </c>
      <c r="G17474" s="4">
        <f>IFERROR(__xludf.DUMMYFUNCTION("""COMPUTED_VALUE"""),37.0)</f>
        <v>37</v>
      </c>
      <c r="H17474" s="4"/>
      <c r="I17474" s="4"/>
    </row>
    <row r="17475">
      <c r="A17475" s="4" t="str">
        <f>IFERROR(__xludf.DUMMYFUNCTION("""COMPUTED_VALUE"""),"cas_hmw")</f>
        <v>cas_hmw</v>
      </c>
      <c r="B17475" s="5">
        <f>IFERROR(__xludf.DUMMYFUNCTION("""COMPUTED_VALUE"""),44740.0)</f>
        <v>44740</v>
      </c>
      <c r="C17475" s="6">
        <f>IFERROR(__xludf.DUMMYFUNCTION("""COMPUTED_VALUE"""),0.6809722222205892)</f>
        <v>0.6809722222</v>
      </c>
      <c r="D17475" s="4">
        <f>IFERROR(__xludf.DUMMYFUNCTION("""COMPUTED_VALUE"""),12.93598)</f>
        <v>12.93598</v>
      </c>
      <c r="E17475" s="4">
        <f>IFERROR(__xludf.DUMMYFUNCTION("""COMPUTED_VALUE"""),80.126876)</f>
        <v>80.126876</v>
      </c>
      <c r="F17475" s="4">
        <f>IFERROR(__xludf.DUMMYFUNCTION("""COMPUTED_VALUE"""),805.0)</f>
        <v>805</v>
      </c>
      <c r="G17475" s="4">
        <f>IFERROR(__xludf.DUMMYFUNCTION("""COMPUTED_VALUE"""),21.0)</f>
        <v>21</v>
      </c>
      <c r="H17475" s="4"/>
      <c r="I17475" s="4"/>
    </row>
    <row r="17476">
      <c r="A17476" s="4" t="str">
        <f>IFERROR(__xludf.DUMMYFUNCTION("""COMPUTED_VALUE"""),"cas_hmw")</f>
        <v>cas_hmw</v>
      </c>
      <c r="B17476" s="5">
        <f>IFERROR(__xludf.DUMMYFUNCTION("""COMPUTED_VALUE"""),44740.0)</f>
        <v>44740</v>
      </c>
      <c r="C17476" s="6">
        <f>IFERROR(__xludf.DUMMYFUNCTION("""COMPUTED_VALUE"""),0.6810763888897782)</f>
        <v>0.6810763889</v>
      </c>
      <c r="D17476" s="4">
        <f>IFERROR(__xludf.DUMMYFUNCTION("""COMPUTED_VALUE"""),12.830347)</f>
        <v>12.830347</v>
      </c>
      <c r="E17476" s="4">
        <f>IFERROR(__xludf.DUMMYFUNCTION("""COMPUTED_VALUE"""),80.045593)</f>
        <v>80.045593</v>
      </c>
      <c r="F17476" s="4">
        <f>IFERROR(__xludf.DUMMYFUNCTION("""COMPUTED_VALUE"""),2846.0)</f>
        <v>2846</v>
      </c>
      <c r="G17476" s="4">
        <f>IFERROR(__xludf.DUMMYFUNCTION("""COMPUTED_VALUE"""),50.0)</f>
        <v>50</v>
      </c>
      <c r="H17476" s="4"/>
      <c r="I17476" s="4"/>
    </row>
    <row r="17477">
      <c r="A17477" s="4" t="str">
        <f>IFERROR(__xludf.DUMMYFUNCTION("""COMPUTED_VALUE"""),"cas_hmw")</f>
        <v>cas_hmw</v>
      </c>
      <c r="B17477" s="5">
        <f>IFERROR(__xludf.DUMMYFUNCTION("""COMPUTED_VALUE"""),44740.0)</f>
        <v>44740</v>
      </c>
      <c r="C17477" s="6">
        <f>IFERROR(__xludf.DUMMYFUNCTION("""COMPUTED_VALUE"""),0.6810995370360615)</f>
        <v>0.681099537</v>
      </c>
      <c r="D17477" s="4">
        <f>IFERROR(__xludf.DUMMYFUNCTION("""COMPUTED_VALUE"""),12.93598)</f>
        <v>12.93598</v>
      </c>
      <c r="E17477" s="4">
        <f>IFERROR(__xludf.DUMMYFUNCTION("""COMPUTED_VALUE"""),80.126876)</f>
        <v>80.126876</v>
      </c>
      <c r="F17477" s="4">
        <f>IFERROR(__xludf.DUMMYFUNCTION("""COMPUTED_VALUE"""),805.0)</f>
        <v>805</v>
      </c>
      <c r="G17477" s="4">
        <f>IFERROR(__xludf.DUMMYFUNCTION("""COMPUTED_VALUE"""),21.0)</f>
        <v>21</v>
      </c>
      <c r="H17477" s="4"/>
      <c r="I17477" s="4"/>
    </row>
    <row r="17478">
      <c r="A17478" s="4" t="str">
        <f>IFERROR(__xludf.DUMMYFUNCTION("""COMPUTED_VALUE"""),"cas_hmw")</f>
        <v>cas_hmw</v>
      </c>
      <c r="B17478" s="5">
        <f>IFERROR(__xludf.DUMMYFUNCTION("""COMPUTED_VALUE"""),44740.0)</f>
        <v>44740</v>
      </c>
      <c r="C17478" s="6">
        <f>IFERROR(__xludf.DUMMYFUNCTION("""COMPUTED_VALUE"""),0.6815856481480296)</f>
        <v>0.6815856481</v>
      </c>
      <c r="D17478" s="4">
        <f>IFERROR(__xludf.DUMMYFUNCTION("""COMPUTED_VALUE"""),12.939742)</f>
        <v>12.939742</v>
      </c>
      <c r="E17478" s="4">
        <f>IFERROR(__xludf.DUMMYFUNCTION("""COMPUTED_VALUE"""),80.13019)</f>
        <v>80.13019</v>
      </c>
      <c r="F17478" s="4">
        <f>IFERROR(__xludf.DUMMYFUNCTION("""COMPUTED_VALUE"""),805.0)</f>
        <v>805</v>
      </c>
      <c r="G17478" s="4">
        <f>IFERROR(__xludf.DUMMYFUNCTION("""COMPUTED_VALUE"""),53.0)</f>
        <v>53</v>
      </c>
      <c r="H17478" s="4"/>
      <c r="I17478" s="4"/>
    </row>
    <row r="17479">
      <c r="A17479" s="4" t="str">
        <f>IFERROR(__xludf.DUMMYFUNCTION("""COMPUTED_VALUE"""),"cas_hmw")</f>
        <v>cas_hmw</v>
      </c>
      <c r="B17479" s="5">
        <f>IFERROR(__xludf.DUMMYFUNCTION("""COMPUTED_VALUE"""),44740.0)</f>
        <v>44740</v>
      </c>
      <c r="C17479" s="6">
        <f>IFERROR(__xludf.DUMMYFUNCTION("""COMPUTED_VALUE"""),0.6818634259252576)</f>
        <v>0.6818634259</v>
      </c>
      <c r="D17479" s="4">
        <f>IFERROR(__xludf.DUMMYFUNCTION("""COMPUTED_VALUE"""),12.823222)</f>
        <v>12.823222</v>
      </c>
      <c r="E17479" s="4">
        <f>IFERROR(__xludf.DUMMYFUNCTION("""COMPUTED_VALUE"""),80.039158)</f>
        <v>80.039158</v>
      </c>
      <c r="F17479" s="4">
        <f>IFERROR(__xludf.DUMMYFUNCTION("""COMPUTED_VALUE"""),2846.0)</f>
        <v>2846</v>
      </c>
      <c r="G17479" s="4">
        <f>IFERROR(__xludf.DUMMYFUNCTION("""COMPUTED_VALUE"""),56.0)</f>
        <v>56</v>
      </c>
      <c r="H17479" s="4"/>
      <c r="I17479" s="4"/>
    </row>
    <row r="17480">
      <c r="A17480" s="4" t="str">
        <f>IFERROR(__xludf.DUMMYFUNCTION("""COMPUTED_VALUE"""),"cas_hmw")</f>
        <v>cas_hmw</v>
      </c>
      <c r="B17480" s="5">
        <f>IFERROR(__xludf.DUMMYFUNCTION("""COMPUTED_VALUE"""),44740.0)</f>
        <v>44740</v>
      </c>
      <c r="C17480" s="6">
        <f>IFERROR(__xludf.DUMMYFUNCTION("""COMPUTED_VALUE"""),0.6820833333331393)</f>
        <v>0.6820833333</v>
      </c>
      <c r="D17480" s="4">
        <f>IFERROR(__xludf.DUMMYFUNCTION("""COMPUTED_VALUE"""),12.941177)</f>
        <v>12.941177</v>
      </c>
      <c r="E17480" s="4">
        <f>IFERROR(__xludf.DUMMYFUNCTION("""COMPUTED_VALUE"""),80.13169)</f>
        <v>80.13169</v>
      </c>
      <c r="F17480" s="4">
        <f>IFERROR(__xludf.DUMMYFUNCTION("""COMPUTED_VALUE"""),5339.0)</f>
        <v>5339</v>
      </c>
      <c r="G17480" s="4">
        <f>IFERROR(__xludf.DUMMYFUNCTION("""COMPUTED_VALUE"""),41.0)</f>
        <v>41</v>
      </c>
      <c r="H17480" s="4"/>
      <c r="I17480" s="4"/>
    </row>
    <row r="17481">
      <c r="A17481" s="4" t="str">
        <f>IFERROR(__xludf.DUMMYFUNCTION("""COMPUTED_VALUE"""),"cas_hmw")</f>
        <v>cas_hmw</v>
      </c>
      <c r="B17481" s="5">
        <f>IFERROR(__xludf.DUMMYFUNCTION("""COMPUTED_VALUE"""),44740.0)</f>
        <v>44740</v>
      </c>
      <c r="C17481" s="6">
        <f>IFERROR(__xludf.DUMMYFUNCTION("""COMPUTED_VALUE"""),0.6821180555562023)</f>
        <v>0.6821180556</v>
      </c>
      <c r="D17481" s="4">
        <f>IFERROR(__xludf.DUMMYFUNCTION("""COMPUTED_VALUE"""),12.942479)</f>
        <v>12.942479</v>
      </c>
      <c r="E17481" s="4">
        <f>IFERROR(__xludf.DUMMYFUNCTION("""COMPUTED_VALUE"""),80.132937)</f>
        <v>80.132937</v>
      </c>
      <c r="F17481" s="4">
        <f>IFERROR(__xludf.DUMMYFUNCTION("""COMPUTED_VALUE"""),805.0)</f>
        <v>805</v>
      </c>
      <c r="G17481" s="4">
        <f>IFERROR(__xludf.DUMMYFUNCTION("""COMPUTED_VALUE"""),24.0)</f>
        <v>24</v>
      </c>
      <c r="H17481" s="4"/>
      <c r="I17481" s="4"/>
    </row>
    <row r="17482">
      <c r="A17482" s="4" t="str">
        <f>IFERROR(__xludf.DUMMYFUNCTION("""COMPUTED_VALUE"""),"cas_hmw")</f>
        <v>cas_hmw</v>
      </c>
      <c r="B17482" s="5">
        <f>IFERROR(__xludf.DUMMYFUNCTION("""COMPUTED_VALUE"""),44740.0)</f>
        <v>44740</v>
      </c>
      <c r="C17482" s="6">
        <f>IFERROR(__xludf.DUMMYFUNCTION("""COMPUTED_VALUE"""),0.6821180555562023)</f>
        <v>0.6821180556</v>
      </c>
      <c r="D17482" s="4">
        <f>IFERROR(__xludf.DUMMYFUNCTION("""COMPUTED_VALUE"""),12.942479)</f>
        <v>12.942479</v>
      </c>
      <c r="E17482" s="4">
        <f>IFERROR(__xludf.DUMMYFUNCTION("""COMPUTED_VALUE"""),80.132937)</f>
        <v>80.132937</v>
      </c>
      <c r="F17482" s="4">
        <f>IFERROR(__xludf.DUMMYFUNCTION("""COMPUTED_VALUE"""),805.0)</f>
        <v>805</v>
      </c>
      <c r="G17482" s="4">
        <f>IFERROR(__xludf.DUMMYFUNCTION("""COMPUTED_VALUE"""),24.0)</f>
        <v>24</v>
      </c>
      <c r="H17482" s="4"/>
      <c r="I17482" s="4"/>
    </row>
    <row r="17483">
      <c r="A17483" s="4" t="str">
        <f>IFERROR(__xludf.DUMMYFUNCTION("""COMPUTED_VALUE"""),"cas_hmw")</f>
        <v>cas_hmw</v>
      </c>
      <c r="B17483" s="5">
        <f>IFERROR(__xludf.DUMMYFUNCTION("""COMPUTED_VALUE"""),44740.0)</f>
        <v>44740</v>
      </c>
      <c r="C17483" s="6">
        <f>IFERROR(__xludf.DUMMYFUNCTION("""COMPUTED_VALUE"""),0.6822106481486117)</f>
        <v>0.6822106481</v>
      </c>
      <c r="D17483" s="4">
        <f>IFERROR(__xludf.DUMMYFUNCTION("""COMPUTED_VALUE"""),12.942479)</f>
        <v>12.942479</v>
      </c>
      <c r="E17483" s="4">
        <f>IFERROR(__xludf.DUMMYFUNCTION("""COMPUTED_VALUE"""),80.132937)</f>
        <v>80.132937</v>
      </c>
      <c r="F17483" s="4">
        <f>IFERROR(__xludf.DUMMYFUNCTION("""COMPUTED_VALUE"""),805.0)</f>
        <v>805</v>
      </c>
      <c r="G17483" s="4">
        <f>IFERROR(__xludf.DUMMYFUNCTION("""COMPUTED_VALUE"""),24.0)</f>
        <v>24</v>
      </c>
      <c r="H17483" s="4"/>
      <c r="I17483" s="4"/>
    </row>
    <row r="17484">
      <c r="A17484" s="4" t="str">
        <f>IFERROR(__xludf.DUMMYFUNCTION("""COMPUTED_VALUE"""),"cas_hmw")</f>
        <v>cas_hmw</v>
      </c>
      <c r="B17484" s="5">
        <f>IFERROR(__xludf.DUMMYFUNCTION("""COMPUTED_VALUE"""),44740.0)</f>
        <v>44740</v>
      </c>
      <c r="C17484" s="6">
        <f>IFERROR(__xludf.DUMMYFUNCTION("""COMPUTED_VALUE"""),0.6822916666678793)</f>
        <v>0.6822916667</v>
      </c>
      <c r="D17484" s="4">
        <f>IFERROR(__xludf.DUMMYFUNCTION("""COMPUTED_VALUE"""),12.943065)</f>
        <v>12.943065</v>
      </c>
      <c r="E17484" s="4">
        <f>IFERROR(__xludf.DUMMYFUNCTION("""COMPUTED_VALUE"""),80.133612)</f>
        <v>80.133612</v>
      </c>
      <c r="F17484" s="4">
        <f>IFERROR(__xludf.DUMMYFUNCTION("""COMPUTED_VALUE"""),805.0)</f>
        <v>805</v>
      </c>
      <c r="G17484" s="4">
        <f>IFERROR(__xludf.DUMMYFUNCTION("""COMPUTED_VALUE"""),26.0)</f>
        <v>26</v>
      </c>
      <c r="H17484" s="4"/>
      <c r="I17484" s="4"/>
    </row>
    <row r="17485">
      <c r="A17485" s="4" t="str">
        <f>IFERROR(__xludf.DUMMYFUNCTION("""COMPUTED_VALUE"""),"cas_hmw")</f>
        <v>cas_hmw</v>
      </c>
      <c r="B17485" s="5">
        <f>IFERROR(__xludf.DUMMYFUNCTION("""COMPUTED_VALUE"""),44740.0)</f>
        <v>44740</v>
      </c>
      <c r="C17485" s="6">
        <f>IFERROR(__xludf.DUMMYFUNCTION("""COMPUTED_VALUE"""),0.6824189814797137)</f>
        <v>0.6824189815</v>
      </c>
      <c r="D17485" s="4">
        <f>IFERROR(__xludf.DUMMYFUNCTION("""COMPUTED_VALUE"""),12.943065)</f>
        <v>12.943065</v>
      </c>
      <c r="E17485" s="4">
        <f>IFERROR(__xludf.DUMMYFUNCTION("""COMPUTED_VALUE"""),80.133612)</f>
        <v>80.133612</v>
      </c>
      <c r="F17485" s="4">
        <f>IFERROR(__xludf.DUMMYFUNCTION("""COMPUTED_VALUE"""),805.0)</f>
        <v>805</v>
      </c>
      <c r="G17485" s="4">
        <f>IFERROR(__xludf.DUMMYFUNCTION("""COMPUTED_VALUE"""),26.0)</f>
        <v>26</v>
      </c>
      <c r="H17485" s="4"/>
      <c r="I17485" s="4"/>
    </row>
    <row r="17486">
      <c r="A17486" s="4" t="str">
        <f>IFERROR(__xludf.DUMMYFUNCTION("""COMPUTED_VALUE"""),"cas_hmw")</f>
        <v>cas_hmw</v>
      </c>
      <c r="B17486" s="5">
        <f>IFERROR(__xludf.DUMMYFUNCTION("""COMPUTED_VALUE"""),44740.0)</f>
        <v>44740</v>
      </c>
      <c r="C17486" s="6">
        <f>IFERROR(__xludf.DUMMYFUNCTION("""COMPUTED_VALUE"""),0.682442129629635)</f>
        <v>0.6824421296</v>
      </c>
      <c r="D17486" s="4">
        <f>IFERROR(__xludf.DUMMYFUNCTION("""COMPUTED_VALUE"""),12.943065)</f>
        <v>12.943065</v>
      </c>
      <c r="E17486" s="4">
        <f>IFERROR(__xludf.DUMMYFUNCTION("""COMPUTED_VALUE"""),80.133612)</f>
        <v>80.133612</v>
      </c>
      <c r="F17486" s="4">
        <f>IFERROR(__xludf.DUMMYFUNCTION("""COMPUTED_VALUE"""),805.0)</f>
        <v>805</v>
      </c>
      <c r="G17486" s="4">
        <f>IFERROR(__xludf.DUMMYFUNCTION("""COMPUTED_VALUE"""),26.0)</f>
        <v>26</v>
      </c>
      <c r="H17486" s="4"/>
      <c r="I17486" s="4"/>
    </row>
    <row r="17487">
      <c r="A17487" s="4" t="str">
        <f>IFERROR(__xludf.DUMMYFUNCTION("""COMPUTED_VALUE"""),"cas_hmw")</f>
        <v>cas_hmw</v>
      </c>
      <c r="B17487" s="5">
        <f>IFERROR(__xludf.DUMMYFUNCTION("""COMPUTED_VALUE"""),44740.0)</f>
        <v>44740</v>
      </c>
      <c r="C17487" s="6">
        <f>IFERROR(__xludf.DUMMYFUNCTION("""COMPUTED_VALUE"""),0.682476851852698)</f>
        <v>0.6824768519</v>
      </c>
      <c r="D17487" s="4">
        <f>IFERROR(__xludf.DUMMYFUNCTION("""COMPUTED_VALUE"""),12.943929)</f>
        <v>12.943929</v>
      </c>
      <c r="E17487" s="4">
        <f>IFERROR(__xludf.DUMMYFUNCTION("""COMPUTED_VALUE"""),80.13444)</f>
        <v>80.13444</v>
      </c>
      <c r="F17487" s="4">
        <f>IFERROR(__xludf.DUMMYFUNCTION("""COMPUTED_VALUE"""),805.0)</f>
        <v>805</v>
      </c>
      <c r="G17487" s="4">
        <f>IFERROR(__xludf.DUMMYFUNCTION("""COMPUTED_VALUE"""),35.0)</f>
        <v>35</v>
      </c>
      <c r="H17487" s="4"/>
      <c r="I17487" s="4"/>
    </row>
    <row r="17488">
      <c r="A17488" s="4" t="str">
        <f>IFERROR(__xludf.DUMMYFUNCTION("""COMPUTED_VALUE"""),"cas_hmw")</f>
        <v>cas_hmw</v>
      </c>
      <c r="B17488" s="5">
        <f>IFERROR(__xludf.DUMMYFUNCTION("""COMPUTED_VALUE"""),44740.0)</f>
        <v>44740</v>
      </c>
      <c r="C17488" s="6">
        <f>IFERROR(__xludf.DUMMYFUNCTION("""COMPUTED_VALUE"""),0.682476851852698)</f>
        <v>0.6824768519</v>
      </c>
      <c r="D17488" s="4">
        <f>IFERROR(__xludf.DUMMYFUNCTION("""COMPUTED_VALUE"""),12.943929)</f>
        <v>12.943929</v>
      </c>
      <c r="E17488" s="4">
        <f>IFERROR(__xludf.DUMMYFUNCTION("""COMPUTED_VALUE"""),80.13444)</f>
        <v>80.13444</v>
      </c>
      <c r="F17488" s="4">
        <f>IFERROR(__xludf.DUMMYFUNCTION("""COMPUTED_VALUE"""),805.0)</f>
        <v>805</v>
      </c>
      <c r="G17488" s="4">
        <f>IFERROR(__xludf.DUMMYFUNCTION("""COMPUTED_VALUE"""),35.0)</f>
        <v>35</v>
      </c>
      <c r="H17488" s="4"/>
      <c r="I17488" s="4"/>
    </row>
    <row r="17489">
      <c r="A17489" s="4" t="str">
        <f>IFERROR(__xludf.DUMMYFUNCTION("""COMPUTED_VALUE"""),"cas_hmw")</f>
        <v>cas_hmw</v>
      </c>
      <c r="B17489" s="5">
        <f>IFERROR(__xludf.DUMMYFUNCTION("""COMPUTED_VALUE"""),44740.0)</f>
        <v>44740</v>
      </c>
      <c r="C17489" s="6">
        <f>IFERROR(__xludf.DUMMYFUNCTION("""COMPUTED_VALUE"""),0.6828356481491937)</f>
        <v>0.6828356481</v>
      </c>
      <c r="D17489" s="4">
        <f>IFERROR(__xludf.DUMMYFUNCTION("""COMPUTED_VALUE"""),12.944396)</f>
        <v>12.944396</v>
      </c>
      <c r="E17489" s="4">
        <f>IFERROR(__xludf.DUMMYFUNCTION("""COMPUTED_VALUE"""),80.134828)</f>
        <v>80.134828</v>
      </c>
      <c r="F17489" s="4">
        <f>IFERROR(__xludf.DUMMYFUNCTION("""COMPUTED_VALUE"""),5339.0)</f>
        <v>5339</v>
      </c>
      <c r="G17489" s="4">
        <f>IFERROR(__xludf.DUMMYFUNCTION("""COMPUTED_VALUE"""),37.0)</f>
        <v>37</v>
      </c>
      <c r="H17489" s="4"/>
      <c r="I17489" s="4"/>
    </row>
    <row r="17490">
      <c r="A17490" s="4" t="str">
        <f>IFERROR(__xludf.DUMMYFUNCTION("""COMPUTED_VALUE"""),"cas_hmw")</f>
        <v>cas_hmw</v>
      </c>
      <c r="B17490" s="5">
        <f>IFERROR(__xludf.DUMMYFUNCTION("""COMPUTED_VALUE"""),44740.0)</f>
        <v>44740</v>
      </c>
      <c r="C17490" s="6">
        <f>IFERROR(__xludf.DUMMYFUNCTION("""COMPUTED_VALUE"""),0.6828935185185401)</f>
        <v>0.6828935185</v>
      </c>
      <c r="D17490" s="4">
        <f>IFERROR(__xludf.DUMMYFUNCTION("""COMPUTED_VALUE"""),12.945935)</f>
        <v>12.945935</v>
      </c>
      <c r="E17490" s="4">
        <f>IFERROR(__xludf.DUMMYFUNCTION("""COMPUTED_VALUE"""),80.135976)</f>
        <v>80.135976</v>
      </c>
      <c r="F17490" s="4">
        <f>IFERROR(__xludf.DUMMYFUNCTION("""COMPUTED_VALUE"""),805.0)</f>
        <v>805</v>
      </c>
      <c r="G17490" s="4">
        <f>IFERROR(__xludf.DUMMYFUNCTION("""COMPUTED_VALUE"""),43.0)</f>
        <v>43</v>
      </c>
      <c r="H17490" s="4"/>
      <c r="I17490" s="4"/>
    </row>
    <row r="17491">
      <c r="A17491" s="4" t="str">
        <f>IFERROR(__xludf.DUMMYFUNCTION("""COMPUTED_VALUE"""),"cas_hmw")</f>
        <v>cas_hmw</v>
      </c>
      <c r="B17491" s="5">
        <f>IFERROR(__xludf.DUMMYFUNCTION("""COMPUTED_VALUE"""),44740.0)</f>
        <v>44740</v>
      </c>
      <c r="C17491" s="6">
        <f>IFERROR(__xludf.DUMMYFUNCTION("""COMPUTED_VALUE"""),0.6829976851840911)</f>
        <v>0.6829976852</v>
      </c>
      <c r="D17491" s="4">
        <f>IFERROR(__xludf.DUMMYFUNCTION("""COMPUTED_VALUE"""),12.945416)</f>
        <v>12.945416</v>
      </c>
      <c r="E17491" s="4">
        <f>IFERROR(__xludf.DUMMYFUNCTION("""COMPUTED_VALUE"""),80.135599)</f>
        <v>80.135599</v>
      </c>
      <c r="F17491" s="4">
        <f>IFERROR(__xludf.DUMMYFUNCTION("""COMPUTED_VALUE"""),5339.0)</f>
        <v>5339</v>
      </c>
      <c r="G17491" s="4">
        <f>IFERROR(__xludf.DUMMYFUNCTION("""COMPUTED_VALUE"""),13.0)</f>
        <v>13</v>
      </c>
      <c r="H17491" s="4"/>
      <c r="I17491" s="4"/>
    </row>
    <row r="17492">
      <c r="A17492" s="4" t="str">
        <f>IFERROR(__xludf.DUMMYFUNCTION("""COMPUTED_VALUE"""),"cas_hmw")</f>
        <v>cas_hmw</v>
      </c>
      <c r="B17492" s="5">
        <f>IFERROR(__xludf.DUMMYFUNCTION("""COMPUTED_VALUE"""),44740.0)</f>
        <v>44740</v>
      </c>
      <c r="C17492" s="6">
        <f>IFERROR(__xludf.DUMMYFUNCTION("""COMPUTED_VALUE"""),0.6835648148153268)</f>
        <v>0.6835648148</v>
      </c>
      <c r="D17492" s="4">
        <f>IFERROR(__xludf.DUMMYFUNCTION("""COMPUTED_VALUE"""),12.948956)</f>
        <v>12.948956</v>
      </c>
      <c r="E17492" s="4">
        <f>IFERROR(__xludf.DUMMYFUNCTION("""COMPUTED_VALUE"""),80.138235)</f>
        <v>80.138235</v>
      </c>
      <c r="F17492" s="4">
        <f>IFERROR(__xludf.DUMMYFUNCTION("""COMPUTED_VALUE"""),5339.0)</f>
        <v>5339</v>
      </c>
      <c r="G17492" s="4">
        <f>IFERROR(__xludf.DUMMYFUNCTION("""COMPUTED_VALUE"""),44.0)</f>
        <v>44</v>
      </c>
      <c r="H17492" s="4"/>
      <c r="I17492" s="4"/>
    </row>
    <row r="17493">
      <c r="A17493" s="4" t="str">
        <f>IFERROR(__xludf.DUMMYFUNCTION("""COMPUTED_VALUE"""),"cas_hmw")</f>
        <v>cas_hmw</v>
      </c>
      <c r="B17493" s="5">
        <f>IFERROR(__xludf.DUMMYFUNCTION("""COMPUTED_VALUE"""),44740.0)</f>
        <v>44740</v>
      </c>
      <c r="C17493" s="6">
        <f>IFERROR(__xludf.DUMMYFUNCTION("""COMPUTED_VALUE"""),0.6835879629616102)</f>
        <v>0.683587963</v>
      </c>
      <c r="D17493" s="4">
        <f>IFERROR(__xludf.DUMMYFUNCTION("""COMPUTED_VALUE"""),12.948956)</f>
        <v>12.948956</v>
      </c>
      <c r="E17493" s="4">
        <f>IFERROR(__xludf.DUMMYFUNCTION("""COMPUTED_VALUE"""),80.138235)</f>
        <v>80.138235</v>
      </c>
      <c r="F17493" s="4">
        <f>IFERROR(__xludf.DUMMYFUNCTION("""COMPUTED_VALUE"""),5339.0)</f>
        <v>5339</v>
      </c>
      <c r="G17493" s="4">
        <f>IFERROR(__xludf.DUMMYFUNCTION("""COMPUTED_VALUE"""),44.0)</f>
        <v>44</v>
      </c>
      <c r="H17493" s="4"/>
      <c r="I17493" s="4"/>
    </row>
    <row r="17494">
      <c r="A17494" s="4" t="str">
        <f>IFERROR(__xludf.DUMMYFUNCTION("""COMPUTED_VALUE"""),"cas_hmw")</f>
        <v>cas_hmw</v>
      </c>
      <c r="B17494" s="5">
        <f>IFERROR(__xludf.DUMMYFUNCTION("""COMPUTED_VALUE"""),44740.0)</f>
        <v>44740</v>
      </c>
      <c r="C17494" s="6">
        <f>IFERROR(__xludf.DUMMYFUNCTION("""COMPUTED_VALUE"""),0.6835995370383898)</f>
        <v>0.683599537</v>
      </c>
      <c r="D17494" s="4">
        <f>IFERROR(__xludf.DUMMYFUNCTION("""COMPUTED_VALUE"""),12.948956)</f>
        <v>12.948956</v>
      </c>
      <c r="E17494" s="4">
        <f>IFERROR(__xludf.DUMMYFUNCTION("""COMPUTED_VALUE"""),80.138235)</f>
        <v>80.138235</v>
      </c>
      <c r="F17494" s="4">
        <f>IFERROR(__xludf.DUMMYFUNCTION("""COMPUTED_VALUE"""),5339.0)</f>
        <v>5339</v>
      </c>
      <c r="G17494" s="4">
        <f>IFERROR(__xludf.DUMMYFUNCTION("""COMPUTED_VALUE"""),44.0)</f>
        <v>44</v>
      </c>
      <c r="H17494" s="4"/>
      <c r="I17494" s="4"/>
    </row>
    <row r="17495">
      <c r="A17495" s="4" t="str">
        <f>IFERROR(__xludf.DUMMYFUNCTION("""COMPUTED_VALUE"""),"cas_hmw")</f>
        <v>cas_hmw</v>
      </c>
      <c r="B17495" s="5">
        <f>IFERROR(__xludf.DUMMYFUNCTION("""COMPUTED_VALUE"""),44740.0)</f>
        <v>44740</v>
      </c>
      <c r="C17495" s="6">
        <f>IFERROR(__xludf.DUMMYFUNCTION("""COMPUTED_VALUE"""),0.6835995370383898)</f>
        <v>0.683599537</v>
      </c>
      <c r="D17495" s="4">
        <f>IFERROR(__xludf.DUMMYFUNCTION("""COMPUTED_VALUE"""),12.948956)</f>
        <v>12.948956</v>
      </c>
      <c r="E17495" s="4">
        <f>IFERROR(__xludf.DUMMYFUNCTION("""COMPUTED_VALUE"""),80.138235)</f>
        <v>80.138235</v>
      </c>
      <c r="F17495" s="4">
        <f>IFERROR(__xludf.DUMMYFUNCTION("""COMPUTED_VALUE"""),5339.0)</f>
        <v>5339</v>
      </c>
      <c r="G17495" s="4">
        <f>IFERROR(__xludf.DUMMYFUNCTION("""COMPUTED_VALUE"""),44.0)</f>
        <v>44</v>
      </c>
      <c r="H17495" s="4"/>
      <c r="I17495" s="4"/>
    </row>
    <row r="17496">
      <c r="A17496" s="4" t="str">
        <f>IFERROR(__xludf.DUMMYFUNCTION("""COMPUTED_VALUE"""),"cas_hmw")</f>
        <v>cas_hmw</v>
      </c>
      <c r="B17496" s="5">
        <f>IFERROR(__xludf.DUMMYFUNCTION("""COMPUTED_VALUE"""),44740.0)</f>
        <v>44740</v>
      </c>
      <c r="C17496" s="6">
        <f>IFERROR(__xludf.DUMMYFUNCTION("""COMPUTED_VALUE"""),0.6836111111115315)</f>
        <v>0.6836111111</v>
      </c>
      <c r="D17496" s="4">
        <f>IFERROR(__xludf.DUMMYFUNCTION("""COMPUTED_VALUE"""),12.948956)</f>
        <v>12.948956</v>
      </c>
      <c r="E17496" s="4">
        <f>IFERROR(__xludf.DUMMYFUNCTION("""COMPUTED_VALUE"""),80.138235)</f>
        <v>80.138235</v>
      </c>
      <c r="F17496" s="4">
        <f>IFERROR(__xludf.DUMMYFUNCTION("""COMPUTED_VALUE"""),5339.0)</f>
        <v>5339</v>
      </c>
      <c r="G17496" s="4">
        <f>IFERROR(__xludf.DUMMYFUNCTION("""COMPUTED_VALUE"""),44.0)</f>
        <v>44</v>
      </c>
      <c r="H17496" s="4"/>
      <c r="I17496" s="4"/>
    </row>
    <row r="17497">
      <c r="A17497" s="4" t="str">
        <f>IFERROR(__xludf.DUMMYFUNCTION("""COMPUTED_VALUE"""),"cas_hmw")</f>
        <v>cas_hmw</v>
      </c>
      <c r="B17497" s="5">
        <f>IFERROR(__xludf.DUMMYFUNCTION("""COMPUTED_VALUE"""),44740.0)</f>
        <v>44740</v>
      </c>
      <c r="C17497" s="6">
        <f>IFERROR(__xludf.DUMMYFUNCTION("""COMPUTED_VALUE"""),0.6836226851846732)</f>
        <v>0.6836226852</v>
      </c>
      <c r="D17497" s="4">
        <f>IFERROR(__xludf.DUMMYFUNCTION("""COMPUTED_VALUE"""),12.948956)</f>
        <v>12.948956</v>
      </c>
      <c r="E17497" s="4">
        <f>IFERROR(__xludf.DUMMYFUNCTION("""COMPUTED_VALUE"""),80.138235)</f>
        <v>80.138235</v>
      </c>
      <c r="F17497" s="4">
        <f>IFERROR(__xludf.DUMMYFUNCTION("""COMPUTED_VALUE"""),5339.0)</f>
        <v>5339</v>
      </c>
      <c r="G17497" s="4">
        <f>IFERROR(__xludf.DUMMYFUNCTION("""COMPUTED_VALUE"""),44.0)</f>
        <v>44</v>
      </c>
      <c r="H17497" s="4"/>
      <c r="I17497" s="4"/>
    </row>
    <row r="17498">
      <c r="A17498" s="4" t="str">
        <f>IFERROR(__xludf.DUMMYFUNCTION("""COMPUTED_VALUE"""),"cas_hmw")</f>
        <v>cas_hmw</v>
      </c>
      <c r="B17498" s="5">
        <f>IFERROR(__xludf.DUMMYFUNCTION("""COMPUTED_VALUE"""),44740.0)</f>
        <v>44740</v>
      </c>
      <c r="C17498" s="6">
        <f>IFERROR(__xludf.DUMMYFUNCTION("""COMPUTED_VALUE"""),0.6836689814808778)</f>
        <v>0.6836689815</v>
      </c>
      <c r="D17498" s="4">
        <f>IFERROR(__xludf.DUMMYFUNCTION("""COMPUTED_VALUE"""),12.950444)</f>
        <v>12.950444</v>
      </c>
      <c r="E17498" s="4">
        <f>IFERROR(__xludf.DUMMYFUNCTION("""COMPUTED_VALUE"""),80.139336)</f>
        <v>80.139336</v>
      </c>
      <c r="F17498" s="4">
        <f>IFERROR(__xludf.DUMMYFUNCTION("""COMPUTED_VALUE"""),805.0)</f>
        <v>805</v>
      </c>
      <c r="G17498" s="4">
        <f>IFERROR(__xludf.DUMMYFUNCTION("""COMPUTED_VALUE"""),20.0)</f>
        <v>20</v>
      </c>
      <c r="H17498" s="4"/>
      <c r="I17498" s="4"/>
    </row>
    <row r="17499">
      <c r="A17499" s="4" t="str">
        <f>IFERROR(__xludf.DUMMYFUNCTION("""COMPUTED_VALUE"""),"cas_hmw")</f>
        <v>cas_hmw</v>
      </c>
      <c r="B17499" s="5">
        <f>IFERROR(__xludf.DUMMYFUNCTION("""COMPUTED_VALUE"""),44740.0)</f>
        <v>44740</v>
      </c>
      <c r="C17499" s="6">
        <f>IFERROR(__xludf.DUMMYFUNCTION("""COMPUTED_VALUE"""),0.6837962962963502)</f>
        <v>0.6837962963</v>
      </c>
      <c r="D17499" s="4">
        <f>IFERROR(__xludf.DUMMYFUNCTION("""COMPUTED_VALUE"""),12.951196)</f>
        <v>12.951196</v>
      </c>
      <c r="E17499" s="4">
        <f>IFERROR(__xludf.DUMMYFUNCTION("""COMPUTED_VALUE"""),80.139966)</f>
        <v>80.139966</v>
      </c>
      <c r="F17499" s="4">
        <f>IFERROR(__xludf.DUMMYFUNCTION("""COMPUTED_VALUE"""),805.0)</f>
        <v>805</v>
      </c>
      <c r="G17499" s="4">
        <f>IFERROR(__xludf.DUMMYFUNCTION("""COMPUTED_VALUE"""),28.0)</f>
        <v>28</v>
      </c>
      <c r="H17499" s="4"/>
      <c r="I17499" s="4"/>
    </row>
    <row r="17500">
      <c r="A17500" s="4" t="str">
        <f>IFERROR(__xludf.DUMMYFUNCTION("""COMPUTED_VALUE"""),"cas_hmw")</f>
        <v>cas_hmw</v>
      </c>
      <c r="B17500" s="5">
        <f>IFERROR(__xludf.DUMMYFUNCTION("""COMPUTED_VALUE"""),44740.0)</f>
        <v>44740</v>
      </c>
      <c r="C17500" s="6">
        <f>IFERROR(__xludf.DUMMYFUNCTION("""COMPUTED_VALUE"""),0.6838078703694919)</f>
        <v>0.6838078704</v>
      </c>
      <c r="D17500" s="4">
        <f>IFERROR(__xludf.DUMMYFUNCTION("""COMPUTED_VALUE"""),12.951196)</f>
        <v>12.951196</v>
      </c>
      <c r="E17500" s="4">
        <f>IFERROR(__xludf.DUMMYFUNCTION("""COMPUTED_VALUE"""),80.139966)</f>
        <v>80.139966</v>
      </c>
      <c r="F17500" s="4">
        <f>IFERROR(__xludf.DUMMYFUNCTION("""COMPUTED_VALUE"""),805.0)</f>
        <v>805</v>
      </c>
      <c r="G17500" s="4">
        <f>IFERROR(__xludf.DUMMYFUNCTION("""COMPUTED_VALUE"""),28.0)</f>
        <v>28</v>
      </c>
      <c r="H17500" s="4"/>
      <c r="I17500" s="4"/>
    </row>
    <row r="17501">
      <c r="A17501" s="4" t="str">
        <f>IFERROR(__xludf.DUMMYFUNCTION("""COMPUTED_VALUE"""),"cas_hmw")</f>
        <v>cas_hmw</v>
      </c>
      <c r="B17501" s="5">
        <f>IFERROR(__xludf.DUMMYFUNCTION("""COMPUTED_VALUE"""),44740.0)</f>
        <v>44740</v>
      </c>
      <c r="C17501" s="6">
        <f>IFERROR(__xludf.DUMMYFUNCTION("""COMPUTED_VALUE"""),0.6838310185194132)</f>
        <v>0.6838310185</v>
      </c>
      <c r="D17501" s="4">
        <f>IFERROR(__xludf.DUMMYFUNCTION("""COMPUTED_VALUE"""),12.951196)</f>
        <v>12.951196</v>
      </c>
      <c r="E17501" s="4">
        <f>IFERROR(__xludf.DUMMYFUNCTION("""COMPUTED_VALUE"""),80.139966)</f>
        <v>80.139966</v>
      </c>
      <c r="F17501" s="4">
        <f>IFERROR(__xludf.DUMMYFUNCTION("""COMPUTED_VALUE"""),805.0)</f>
        <v>805</v>
      </c>
      <c r="G17501" s="4">
        <f>IFERROR(__xludf.DUMMYFUNCTION("""COMPUTED_VALUE"""),28.0)</f>
        <v>28</v>
      </c>
      <c r="H17501" s="4"/>
      <c r="I17501" s="4"/>
    </row>
    <row r="17502">
      <c r="A17502" s="4" t="str">
        <f>IFERROR(__xludf.DUMMYFUNCTION("""COMPUTED_VALUE"""),"cas_hmw")</f>
        <v>cas_hmw</v>
      </c>
      <c r="B17502" s="5">
        <f>IFERROR(__xludf.DUMMYFUNCTION("""COMPUTED_VALUE"""),44740.0)</f>
        <v>44740</v>
      </c>
      <c r="C17502" s="6">
        <f>IFERROR(__xludf.DUMMYFUNCTION("""COMPUTED_VALUE"""),0.6840972222234996)</f>
        <v>0.6840972222</v>
      </c>
      <c r="D17502" s="4">
        <f>IFERROR(__xludf.DUMMYFUNCTION("""COMPUTED_VALUE"""),12.953204)</f>
        <v>12.953204</v>
      </c>
      <c r="E17502" s="4">
        <f>IFERROR(__xludf.DUMMYFUNCTION("""COMPUTED_VALUE"""),80.141463)</f>
        <v>80.141463</v>
      </c>
      <c r="F17502" s="4">
        <f>IFERROR(__xludf.DUMMYFUNCTION("""COMPUTED_VALUE"""),805.0)</f>
        <v>805</v>
      </c>
      <c r="G17502" s="4">
        <f>IFERROR(__xludf.DUMMYFUNCTION("""COMPUTED_VALUE"""),34.0)</f>
        <v>34</v>
      </c>
      <c r="H17502" s="4"/>
      <c r="I17502" s="4"/>
    </row>
    <row r="17503">
      <c r="A17503" s="4" t="str">
        <f>IFERROR(__xludf.DUMMYFUNCTION("""COMPUTED_VALUE"""),"cas_hmw")</f>
        <v>cas_hmw</v>
      </c>
      <c r="B17503" s="5">
        <f>IFERROR(__xludf.DUMMYFUNCTION("""COMPUTED_VALUE"""),44740.0)</f>
        <v>44740</v>
      </c>
      <c r="C17503" s="6">
        <f>IFERROR(__xludf.DUMMYFUNCTION("""COMPUTED_VALUE"""),0.684953703705105)</f>
        <v>0.6849537037</v>
      </c>
      <c r="D17503" s="4">
        <f>IFERROR(__xludf.DUMMYFUNCTION("""COMPUTED_VALUE"""),12.955808)</f>
        <v>12.955808</v>
      </c>
      <c r="E17503" s="4">
        <f>IFERROR(__xludf.DUMMYFUNCTION("""COMPUTED_VALUE"""),80.142908)</f>
        <v>80.142908</v>
      </c>
      <c r="F17503" s="4">
        <f>IFERROR(__xludf.DUMMYFUNCTION("""COMPUTED_VALUE"""),805.0)</f>
        <v>805</v>
      </c>
      <c r="G17503" s="4">
        <f>IFERROR(__xludf.DUMMYFUNCTION("""COMPUTED_VALUE"""),0.0)</f>
        <v>0</v>
      </c>
      <c r="H17503" s="4"/>
      <c r="I17503" s="4"/>
    </row>
    <row r="17504">
      <c r="A17504" s="4" t="str">
        <f>IFERROR(__xludf.DUMMYFUNCTION("""COMPUTED_VALUE"""),"cas_hmw")</f>
        <v>cas_hmw</v>
      </c>
      <c r="B17504" s="5">
        <f>IFERROR(__xludf.DUMMYFUNCTION("""COMPUTED_VALUE"""),44740.0)</f>
        <v>44740</v>
      </c>
      <c r="C17504" s="6">
        <f>IFERROR(__xludf.DUMMYFUNCTION("""COMPUTED_VALUE"""),0.6849768518513883)</f>
        <v>0.6849768519</v>
      </c>
      <c r="D17504" s="4">
        <f>IFERROR(__xludf.DUMMYFUNCTION("""COMPUTED_VALUE"""),12.955808)</f>
        <v>12.955808</v>
      </c>
      <c r="E17504" s="4">
        <f>IFERROR(__xludf.DUMMYFUNCTION("""COMPUTED_VALUE"""),80.142908)</f>
        <v>80.142908</v>
      </c>
      <c r="F17504" s="4">
        <f>IFERROR(__xludf.DUMMYFUNCTION("""COMPUTED_VALUE"""),805.0)</f>
        <v>805</v>
      </c>
      <c r="G17504" s="4">
        <f>IFERROR(__xludf.DUMMYFUNCTION("""COMPUTED_VALUE"""),0.0)</f>
        <v>0</v>
      </c>
      <c r="H17504" s="4"/>
      <c r="I17504" s="4"/>
    </row>
    <row r="17505">
      <c r="A17505" s="4" t="str">
        <f>IFERROR(__xludf.DUMMYFUNCTION("""COMPUTED_VALUE"""),"cas_hmw")</f>
        <v>cas_hmw</v>
      </c>
      <c r="B17505" s="5">
        <f>IFERROR(__xludf.DUMMYFUNCTION("""COMPUTED_VALUE"""),44740.0)</f>
        <v>44740</v>
      </c>
      <c r="C17505" s="6">
        <f>IFERROR(__xludf.DUMMYFUNCTION("""COMPUTED_VALUE"""),0.6849768518513883)</f>
        <v>0.6849768519</v>
      </c>
      <c r="D17505" s="4">
        <f>IFERROR(__xludf.DUMMYFUNCTION("""COMPUTED_VALUE"""),12.955808)</f>
        <v>12.955808</v>
      </c>
      <c r="E17505" s="4">
        <f>IFERROR(__xludf.DUMMYFUNCTION("""COMPUTED_VALUE"""),80.142908)</f>
        <v>80.142908</v>
      </c>
      <c r="F17505" s="4">
        <f>IFERROR(__xludf.DUMMYFUNCTION("""COMPUTED_VALUE"""),805.0)</f>
        <v>805</v>
      </c>
      <c r="G17505" s="4">
        <f>IFERROR(__xludf.DUMMYFUNCTION("""COMPUTED_VALUE"""),0.0)</f>
        <v>0</v>
      </c>
      <c r="H17505" s="4"/>
      <c r="I17505" s="4"/>
    </row>
    <row r="17506">
      <c r="A17506" s="4" t="str">
        <f>IFERROR(__xludf.DUMMYFUNCTION("""COMPUTED_VALUE"""),"cas_hmw")</f>
        <v>cas_hmw</v>
      </c>
      <c r="B17506" s="5">
        <f>IFERROR(__xludf.DUMMYFUNCTION("""COMPUTED_VALUE"""),44740.0)</f>
        <v>44740</v>
      </c>
      <c r="C17506" s="6">
        <f>IFERROR(__xludf.DUMMYFUNCTION("""COMPUTED_VALUE"""),0.68498842592453)</f>
        <v>0.6849884259</v>
      </c>
      <c r="D17506" s="4">
        <f>IFERROR(__xludf.DUMMYFUNCTION("""COMPUTED_VALUE"""),12.955808)</f>
        <v>12.955808</v>
      </c>
      <c r="E17506" s="4">
        <f>IFERROR(__xludf.DUMMYFUNCTION("""COMPUTED_VALUE"""),80.142908)</f>
        <v>80.142908</v>
      </c>
      <c r="F17506" s="4">
        <f>IFERROR(__xludf.DUMMYFUNCTION("""COMPUTED_VALUE"""),805.0)</f>
        <v>805</v>
      </c>
      <c r="G17506" s="4">
        <f>IFERROR(__xludf.DUMMYFUNCTION("""COMPUTED_VALUE"""),0.0)</f>
        <v>0</v>
      </c>
      <c r="H17506" s="4"/>
      <c r="I17506" s="4"/>
    </row>
    <row r="17507">
      <c r="A17507" s="4" t="str">
        <f>IFERROR(__xludf.DUMMYFUNCTION("""COMPUTED_VALUE"""),"cas_hmw")</f>
        <v>cas_hmw</v>
      </c>
      <c r="B17507" s="5">
        <f>IFERROR(__xludf.DUMMYFUNCTION("""COMPUTED_VALUE"""),44740.0)</f>
        <v>44740</v>
      </c>
      <c r="C17507" s="6">
        <f>IFERROR(__xludf.DUMMYFUNCTION("""COMPUTED_VALUE"""),0.6850115740744513)</f>
        <v>0.6850115741</v>
      </c>
      <c r="D17507" s="4">
        <f>IFERROR(__xludf.DUMMYFUNCTION("""COMPUTED_VALUE"""),12.955808)</f>
        <v>12.955808</v>
      </c>
      <c r="E17507" s="4">
        <f>IFERROR(__xludf.DUMMYFUNCTION("""COMPUTED_VALUE"""),80.142908)</f>
        <v>80.142908</v>
      </c>
      <c r="F17507" s="4">
        <f>IFERROR(__xludf.DUMMYFUNCTION("""COMPUTED_VALUE"""),805.0)</f>
        <v>805</v>
      </c>
      <c r="G17507" s="4">
        <f>IFERROR(__xludf.DUMMYFUNCTION("""COMPUTED_VALUE"""),0.0)</f>
        <v>0</v>
      </c>
      <c r="H17507" s="4"/>
      <c r="I17507" s="4"/>
    </row>
    <row r="17508">
      <c r="A17508" s="4" t="str">
        <f>IFERROR(__xludf.DUMMYFUNCTION("""COMPUTED_VALUE"""),"cas_hmw")</f>
        <v>cas_hmw</v>
      </c>
      <c r="B17508" s="5">
        <f>IFERROR(__xludf.DUMMYFUNCTION("""COMPUTED_VALUE"""),44740.0)</f>
        <v>44740</v>
      </c>
      <c r="C17508" s="6">
        <f>IFERROR(__xludf.DUMMYFUNCTION("""COMPUTED_VALUE"""),0.6863657407411665)</f>
        <v>0.6863657407</v>
      </c>
      <c r="D17508" s="4">
        <f>IFERROR(__xludf.DUMMYFUNCTION("""COMPUTED_VALUE"""),12.961002)</f>
        <v>12.961002</v>
      </c>
      <c r="E17508" s="4">
        <f>IFERROR(__xludf.DUMMYFUNCTION("""COMPUTED_VALUE"""),80.145586)</f>
        <v>80.145586</v>
      </c>
      <c r="F17508" s="4">
        <f>IFERROR(__xludf.DUMMYFUNCTION("""COMPUTED_VALUE"""),805.0)</f>
        <v>805</v>
      </c>
      <c r="G17508" s="4">
        <f>IFERROR(__xludf.DUMMYFUNCTION("""COMPUTED_VALUE"""),0.0)</f>
        <v>0</v>
      </c>
      <c r="H17508" s="4"/>
      <c r="I17508" s="4"/>
    </row>
    <row r="17509">
      <c r="A17509" s="4" t="str">
        <f>IFERROR(__xludf.DUMMYFUNCTION("""COMPUTED_VALUE"""),"cas_hmw")</f>
        <v>cas_hmw</v>
      </c>
      <c r="B17509" s="5">
        <f>IFERROR(__xludf.DUMMYFUNCTION("""COMPUTED_VALUE"""),44740.0)</f>
        <v>44740</v>
      </c>
      <c r="C17509" s="6">
        <f>IFERROR(__xludf.DUMMYFUNCTION("""COMPUTED_VALUE"""),0.6865972222221899)</f>
        <v>0.6865972222</v>
      </c>
      <c r="D17509" s="4">
        <f>IFERROR(__xludf.DUMMYFUNCTION("""COMPUTED_VALUE"""),12.961276)</f>
        <v>12.961276</v>
      </c>
      <c r="E17509" s="4">
        <f>IFERROR(__xludf.DUMMYFUNCTION("""COMPUTED_VALUE"""),80.145682)</f>
        <v>80.145682</v>
      </c>
      <c r="F17509" s="4">
        <f>IFERROR(__xludf.DUMMYFUNCTION("""COMPUTED_VALUE"""),805.0)</f>
        <v>805</v>
      </c>
      <c r="G17509" s="4">
        <f>IFERROR(__xludf.DUMMYFUNCTION("""COMPUTED_VALUE"""),22.0)</f>
        <v>22</v>
      </c>
      <c r="H17509" s="4"/>
      <c r="I17509" s="4"/>
    </row>
    <row r="17510">
      <c r="A17510" s="4" t="str">
        <f>IFERROR(__xludf.DUMMYFUNCTION("""COMPUTED_VALUE"""),"cas_hmw")</f>
        <v>cas_hmw</v>
      </c>
      <c r="B17510" s="5">
        <f>IFERROR(__xludf.DUMMYFUNCTION("""COMPUTED_VALUE"""),44740.0)</f>
        <v>44740</v>
      </c>
      <c r="C17510" s="6">
        <f>IFERROR(__xludf.DUMMYFUNCTION("""COMPUTED_VALUE"""),0.6881712962967867)</f>
        <v>0.6881712963</v>
      </c>
      <c r="D17510" s="4">
        <f>IFERROR(__xludf.DUMMYFUNCTION("""COMPUTED_VALUE"""),12.975778)</f>
        <v>12.975778</v>
      </c>
      <c r="E17510" s="4">
        <f>IFERROR(__xludf.DUMMYFUNCTION("""COMPUTED_VALUE"""),80.156685)</f>
        <v>80.156685</v>
      </c>
      <c r="F17510" s="4">
        <f>IFERROR(__xludf.DUMMYFUNCTION("""COMPUTED_VALUE"""),805.0)</f>
        <v>805</v>
      </c>
      <c r="G17510" s="4">
        <f>IFERROR(__xludf.DUMMYFUNCTION("""COMPUTED_VALUE"""),45.0)</f>
        <v>45</v>
      </c>
      <c r="H17510" s="4"/>
      <c r="I17510" s="4"/>
    </row>
    <row r="17511">
      <c r="A17511" s="4" t="str">
        <f>IFERROR(__xludf.DUMMYFUNCTION("""COMPUTED_VALUE"""),"cas_hmw")</f>
        <v>cas_hmw</v>
      </c>
      <c r="B17511" s="5">
        <f>IFERROR(__xludf.DUMMYFUNCTION("""COMPUTED_VALUE"""),44740.0)</f>
        <v>44740</v>
      </c>
      <c r="C17511" s="6">
        <f>IFERROR(__xludf.DUMMYFUNCTION("""COMPUTED_VALUE"""),0.6887152777781012)</f>
        <v>0.6887152778</v>
      </c>
      <c r="D17511" s="4">
        <f>IFERROR(__xludf.DUMMYFUNCTION("""COMPUTED_VALUE"""),12.97919)</f>
        <v>12.97919</v>
      </c>
      <c r="E17511" s="4">
        <f>IFERROR(__xludf.DUMMYFUNCTION("""COMPUTED_VALUE"""),80.161652)</f>
        <v>80.161652</v>
      </c>
      <c r="F17511" s="4">
        <f>IFERROR(__xludf.DUMMYFUNCTION("""COMPUTED_VALUE"""),805.0)</f>
        <v>805</v>
      </c>
      <c r="G17511" s="4">
        <f>IFERROR(__xludf.DUMMYFUNCTION("""COMPUTED_VALUE"""),57.0)</f>
        <v>57</v>
      </c>
      <c r="H17511" s="4"/>
      <c r="I17511" s="4"/>
    </row>
    <row r="17512">
      <c r="A17512" s="4" t="str">
        <f>IFERROR(__xludf.DUMMYFUNCTION("""COMPUTED_VALUE"""),"cas_hmw")</f>
        <v>cas_hmw</v>
      </c>
      <c r="B17512" s="5">
        <f>IFERROR(__xludf.DUMMYFUNCTION("""COMPUTED_VALUE"""),44740.0)</f>
        <v>44740</v>
      </c>
      <c r="C17512" s="6">
        <f>IFERROR(__xludf.DUMMYFUNCTION("""COMPUTED_VALUE"""),0.6895370370366436)</f>
        <v>0.689537037</v>
      </c>
      <c r="D17512" s="4">
        <f>IFERROR(__xludf.DUMMYFUNCTION("""COMPUTED_VALUE"""),12.9842)</f>
        <v>12.9842</v>
      </c>
      <c r="E17512" s="4">
        <f>IFERROR(__xludf.DUMMYFUNCTION("""COMPUTED_VALUE"""),80.171294)</f>
        <v>80.171294</v>
      </c>
      <c r="F17512" s="4">
        <f>IFERROR(__xludf.DUMMYFUNCTION("""COMPUTED_VALUE"""),805.0)</f>
        <v>805</v>
      </c>
      <c r="G17512" s="4">
        <f>IFERROR(__xludf.DUMMYFUNCTION("""COMPUTED_VALUE"""),55.0)</f>
        <v>55</v>
      </c>
      <c r="H17512" s="4"/>
      <c r="I17512" s="4"/>
    </row>
    <row r="17513">
      <c r="A17513" s="4" t="str">
        <f>IFERROR(__xludf.DUMMYFUNCTION("""COMPUTED_VALUE"""),"cas_hmw")</f>
        <v>cas_hmw</v>
      </c>
      <c r="B17513" s="5">
        <f>IFERROR(__xludf.DUMMYFUNCTION("""COMPUTED_VALUE"""),44740.0)</f>
        <v>44740</v>
      </c>
      <c r="C17513" s="6">
        <f>IFERROR(__xludf.DUMMYFUNCTION("""COMPUTED_VALUE"""),0.6895370370366436)</f>
        <v>0.689537037</v>
      </c>
      <c r="D17513" s="4">
        <f>IFERROR(__xludf.DUMMYFUNCTION("""COMPUTED_VALUE"""),12.9842)</f>
        <v>12.9842</v>
      </c>
      <c r="E17513" s="4">
        <f>IFERROR(__xludf.DUMMYFUNCTION("""COMPUTED_VALUE"""),80.171294)</f>
        <v>80.171294</v>
      </c>
      <c r="F17513" s="4">
        <f>IFERROR(__xludf.DUMMYFUNCTION("""COMPUTED_VALUE"""),805.0)</f>
        <v>805</v>
      </c>
      <c r="G17513" s="4">
        <f>IFERROR(__xludf.DUMMYFUNCTION("""COMPUTED_VALUE"""),55.0)</f>
        <v>55</v>
      </c>
      <c r="H17513" s="4"/>
      <c r="I17513" s="4"/>
    </row>
    <row r="17514">
      <c r="A17514" s="4" t="str">
        <f>IFERROR(__xludf.DUMMYFUNCTION("""COMPUTED_VALUE"""),"cas_hmw")</f>
        <v>cas_hmw</v>
      </c>
      <c r="B17514" s="5">
        <f>IFERROR(__xludf.DUMMYFUNCTION("""COMPUTED_VALUE"""),44740.0)</f>
        <v>44740</v>
      </c>
      <c r="C17514" s="6">
        <f>IFERROR(__xludf.DUMMYFUNCTION("""COMPUTED_VALUE"""),0.6895601851865649)</f>
        <v>0.6895601852</v>
      </c>
      <c r="D17514" s="4">
        <f>IFERROR(__xludf.DUMMYFUNCTION("""COMPUTED_VALUE"""),12.9842)</f>
        <v>12.9842</v>
      </c>
      <c r="E17514" s="4">
        <f>IFERROR(__xludf.DUMMYFUNCTION("""COMPUTED_VALUE"""),80.171294)</f>
        <v>80.171294</v>
      </c>
      <c r="F17514" s="4">
        <f>IFERROR(__xludf.DUMMYFUNCTION("""COMPUTED_VALUE"""),805.0)</f>
        <v>805</v>
      </c>
      <c r="G17514" s="4">
        <f>IFERROR(__xludf.DUMMYFUNCTION("""COMPUTED_VALUE"""),55.0)</f>
        <v>55</v>
      </c>
      <c r="H17514" s="4"/>
      <c r="I17514" s="4"/>
    </row>
    <row r="17515">
      <c r="A17515" s="4" t="str">
        <f>IFERROR(__xludf.DUMMYFUNCTION("""COMPUTED_VALUE"""),"cas_hmw")</f>
        <v>cas_hmw</v>
      </c>
      <c r="B17515" s="5">
        <f>IFERROR(__xludf.DUMMYFUNCTION("""COMPUTED_VALUE"""),44740.0)</f>
        <v>44740</v>
      </c>
      <c r="C17515" s="6">
        <f>IFERROR(__xludf.DUMMYFUNCTION("""COMPUTED_VALUE"""),0.6895717592597066)</f>
        <v>0.6895717593</v>
      </c>
      <c r="D17515" s="4">
        <f>IFERROR(__xludf.DUMMYFUNCTION("""COMPUTED_VALUE"""),12.9842)</f>
        <v>12.9842</v>
      </c>
      <c r="E17515" s="4">
        <f>IFERROR(__xludf.DUMMYFUNCTION("""COMPUTED_VALUE"""),80.171294)</f>
        <v>80.171294</v>
      </c>
      <c r="F17515" s="4">
        <f>IFERROR(__xludf.DUMMYFUNCTION("""COMPUTED_VALUE"""),805.0)</f>
        <v>805</v>
      </c>
      <c r="G17515" s="4">
        <f>IFERROR(__xludf.DUMMYFUNCTION("""COMPUTED_VALUE"""),55.0)</f>
        <v>55</v>
      </c>
      <c r="H17515" s="4"/>
      <c r="I17515" s="4"/>
    </row>
    <row r="17516">
      <c r="A17516" s="4" t="str">
        <f>IFERROR(__xludf.DUMMYFUNCTION("""COMPUTED_VALUE"""),"cas_hmw")</f>
        <v>cas_hmw</v>
      </c>
      <c r="B17516" s="5">
        <f>IFERROR(__xludf.DUMMYFUNCTION("""COMPUTED_VALUE"""),44740.0)</f>
        <v>44740</v>
      </c>
      <c r="C17516" s="6">
        <f>IFERROR(__xludf.DUMMYFUNCTION("""COMPUTED_VALUE"""),0.6895717592597066)</f>
        <v>0.6895717593</v>
      </c>
      <c r="D17516" s="4">
        <f>IFERROR(__xludf.DUMMYFUNCTION("""COMPUTED_VALUE"""),12.9842)</f>
        <v>12.9842</v>
      </c>
      <c r="E17516" s="4">
        <f>IFERROR(__xludf.DUMMYFUNCTION("""COMPUTED_VALUE"""),80.171294)</f>
        <v>80.171294</v>
      </c>
      <c r="F17516" s="4">
        <f>IFERROR(__xludf.DUMMYFUNCTION("""COMPUTED_VALUE"""),805.0)</f>
        <v>805</v>
      </c>
      <c r="G17516" s="4">
        <f>IFERROR(__xludf.DUMMYFUNCTION("""COMPUTED_VALUE"""),55.0)</f>
        <v>55</v>
      </c>
      <c r="H17516" s="4"/>
      <c r="I17516" s="4"/>
    </row>
    <row r="17517">
      <c r="A17517" s="4" t="str">
        <f>IFERROR(__xludf.DUMMYFUNCTION("""COMPUTED_VALUE"""),"cas_hmw")</f>
        <v>cas_hmw</v>
      </c>
      <c r="B17517" s="5">
        <f>IFERROR(__xludf.DUMMYFUNCTION("""COMPUTED_VALUE"""),44740.0)</f>
        <v>44740</v>
      </c>
      <c r="C17517" s="6">
        <f>IFERROR(__xludf.DUMMYFUNCTION("""COMPUTED_VALUE"""),0.6895717592597066)</f>
        <v>0.6895717593</v>
      </c>
      <c r="D17517" s="4">
        <f>IFERROR(__xludf.DUMMYFUNCTION("""COMPUTED_VALUE"""),12.9842)</f>
        <v>12.9842</v>
      </c>
      <c r="E17517" s="4">
        <f>IFERROR(__xludf.DUMMYFUNCTION("""COMPUTED_VALUE"""),80.171294)</f>
        <v>80.171294</v>
      </c>
      <c r="F17517" s="4">
        <f>IFERROR(__xludf.DUMMYFUNCTION("""COMPUTED_VALUE"""),805.0)</f>
        <v>805</v>
      </c>
      <c r="G17517" s="4">
        <f>IFERROR(__xludf.DUMMYFUNCTION("""COMPUTED_VALUE"""),55.0)</f>
        <v>55</v>
      </c>
      <c r="H17517" s="4"/>
      <c r="I17517" s="4"/>
    </row>
    <row r="17518">
      <c r="A17518" s="4" t="str">
        <f>IFERROR(__xludf.DUMMYFUNCTION("""COMPUTED_VALUE"""),"cas_hmw")</f>
        <v>cas_hmw</v>
      </c>
      <c r="B17518" s="5">
        <f>IFERROR(__xludf.DUMMYFUNCTION("""COMPUTED_VALUE"""),44740.0)</f>
        <v>44740</v>
      </c>
      <c r="C17518" s="6">
        <f>IFERROR(__xludf.DUMMYFUNCTION("""COMPUTED_VALUE"""),0.6897222222214623)</f>
        <v>0.6897222222</v>
      </c>
      <c r="D17518" s="4">
        <f>IFERROR(__xludf.DUMMYFUNCTION("""COMPUTED_VALUE"""),12.985229)</f>
        <v>12.985229</v>
      </c>
      <c r="E17518" s="4">
        <f>IFERROR(__xludf.DUMMYFUNCTION("""COMPUTED_VALUE"""),80.172892)</f>
        <v>80.172892</v>
      </c>
      <c r="F17518" s="4">
        <f>IFERROR(__xludf.DUMMYFUNCTION("""COMPUTED_VALUE"""),805.0)</f>
        <v>805</v>
      </c>
      <c r="G17518" s="4">
        <f>IFERROR(__xludf.DUMMYFUNCTION("""COMPUTED_VALUE"""),50.0)</f>
        <v>50</v>
      </c>
      <c r="H17518" s="4"/>
      <c r="I17518" s="4"/>
    </row>
    <row r="17519">
      <c r="A17519" s="4" t="str">
        <f>IFERROR(__xludf.DUMMYFUNCTION("""COMPUTED_VALUE"""),"cas_hmw")</f>
        <v>cas_hmw</v>
      </c>
      <c r="B17519" s="5">
        <f>IFERROR(__xludf.DUMMYFUNCTION("""COMPUTED_VALUE"""),44740.0)</f>
        <v>44740</v>
      </c>
      <c r="C17519" s="6">
        <f>IFERROR(__xludf.DUMMYFUNCTION("""COMPUTED_VALUE"""),0.6897916666675883)</f>
        <v>0.6897916667</v>
      </c>
      <c r="D17519" s="4">
        <f>IFERROR(__xludf.DUMMYFUNCTION("""COMPUTED_VALUE"""),12.985229)</f>
        <v>12.985229</v>
      </c>
      <c r="E17519" s="4">
        <f>IFERROR(__xludf.DUMMYFUNCTION("""COMPUTED_VALUE"""),80.172892)</f>
        <v>80.172892</v>
      </c>
      <c r="F17519" s="4">
        <f>IFERROR(__xludf.DUMMYFUNCTION("""COMPUTED_VALUE"""),805.0)</f>
        <v>805</v>
      </c>
      <c r="G17519" s="4">
        <f>IFERROR(__xludf.DUMMYFUNCTION("""COMPUTED_VALUE"""),50.0)</f>
        <v>50</v>
      </c>
      <c r="H17519" s="4"/>
      <c r="I17519" s="4"/>
    </row>
    <row r="17520">
      <c r="A17520" s="4" t="str">
        <f>IFERROR(__xludf.DUMMYFUNCTION("""COMPUTED_VALUE"""),"cas_hmw")</f>
        <v>cas_hmw</v>
      </c>
      <c r="B17520" s="5">
        <f>IFERROR(__xludf.DUMMYFUNCTION("""COMPUTED_VALUE"""),44740.0)</f>
        <v>44740</v>
      </c>
      <c r="C17520" s="6">
        <f>IFERROR(__xludf.DUMMYFUNCTION("""COMPUTED_VALUE"""),0.6898842592599976)</f>
        <v>0.6898842593</v>
      </c>
      <c r="D17520" s="4">
        <f>IFERROR(__xludf.DUMMYFUNCTION("""COMPUTED_VALUE"""),12.985936)</f>
        <v>12.985936</v>
      </c>
      <c r="E17520" s="4">
        <f>IFERROR(__xludf.DUMMYFUNCTION("""COMPUTED_VALUE"""),80.173953)</f>
        <v>80.173953</v>
      </c>
      <c r="F17520" s="4">
        <f>IFERROR(__xludf.DUMMYFUNCTION("""COMPUTED_VALUE"""),805.0)</f>
        <v>805</v>
      </c>
      <c r="G17520" s="4">
        <f>IFERROR(__xludf.DUMMYFUNCTION("""COMPUTED_VALUE"""),15.0)</f>
        <v>15</v>
      </c>
      <c r="H17520" s="4"/>
      <c r="I17520" s="4"/>
    </row>
    <row r="17521">
      <c r="A17521" s="4" t="str">
        <f>IFERROR(__xludf.DUMMYFUNCTION("""COMPUTED_VALUE"""),"cas_hmw")</f>
        <v>cas_hmw</v>
      </c>
      <c r="B17521" s="5">
        <f>IFERROR(__xludf.DUMMYFUNCTION("""COMPUTED_VALUE"""),44740.0)</f>
        <v>44740</v>
      </c>
      <c r="C17521" s="6">
        <f>IFERROR(__xludf.DUMMYFUNCTION("""COMPUTED_VALUE"""),0.6900694444448163)</f>
        <v>0.6900694444</v>
      </c>
      <c r="D17521" s="4">
        <f>IFERROR(__xludf.DUMMYFUNCTION("""COMPUTED_VALUE"""),12.986469)</f>
        <v>12.986469</v>
      </c>
      <c r="E17521" s="4">
        <f>IFERROR(__xludf.DUMMYFUNCTION("""COMPUTED_VALUE"""),80.174737)</f>
        <v>80.174737</v>
      </c>
      <c r="F17521" s="4">
        <f>IFERROR(__xludf.DUMMYFUNCTION("""COMPUTED_VALUE"""),805.0)</f>
        <v>805</v>
      </c>
      <c r="G17521" s="4">
        <f>IFERROR(__xludf.DUMMYFUNCTION("""COMPUTED_VALUE"""),28.0)</f>
        <v>28</v>
      </c>
      <c r="H17521" s="4"/>
      <c r="I17521" s="4"/>
    </row>
    <row r="17522">
      <c r="A17522" s="4" t="str">
        <f>IFERROR(__xludf.DUMMYFUNCTION("""COMPUTED_VALUE"""),"cas_hmw")</f>
        <v>cas_hmw</v>
      </c>
      <c r="B17522" s="5">
        <f>IFERROR(__xludf.DUMMYFUNCTION("""COMPUTED_VALUE"""),44740.0)</f>
        <v>44740</v>
      </c>
      <c r="C17522" s="6">
        <f>IFERROR(__xludf.DUMMYFUNCTION("""COMPUTED_VALUE"""),0.6906365740724141)</f>
        <v>0.6906365741</v>
      </c>
      <c r="D17522" s="4">
        <f>IFERROR(__xludf.DUMMYFUNCTION("""COMPUTED_VALUE"""),12.989008)</f>
        <v>12.989008</v>
      </c>
      <c r="E17522" s="4">
        <f>IFERROR(__xludf.DUMMYFUNCTION("""COMPUTED_VALUE"""),80.178223)</f>
        <v>80.178223</v>
      </c>
      <c r="F17522" s="4">
        <f>IFERROR(__xludf.DUMMYFUNCTION("""COMPUTED_VALUE"""),805.0)</f>
        <v>805</v>
      </c>
      <c r="G17522" s="4">
        <f>IFERROR(__xludf.DUMMYFUNCTION("""COMPUTED_VALUE"""),25.0)</f>
        <v>25</v>
      </c>
      <c r="H17522" s="4"/>
      <c r="I17522" s="4"/>
    </row>
    <row r="17523">
      <c r="A17523" s="4" t="str">
        <f>IFERROR(__xludf.DUMMYFUNCTION("""COMPUTED_VALUE"""),"cas_hmw")</f>
        <v>cas_hmw</v>
      </c>
      <c r="B17523" s="5">
        <f>IFERROR(__xludf.DUMMYFUNCTION("""COMPUTED_VALUE"""),44740.0)</f>
        <v>44740</v>
      </c>
      <c r="C17523" s="6">
        <f>IFERROR(__xludf.DUMMYFUNCTION("""COMPUTED_VALUE"""),0.6908333333340124)</f>
        <v>0.6908333333</v>
      </c>
      <c r="D17523" s="4">
        <f>IFERROR(__xludf.DUMMYFUNCTION("""COMPUTED_VALUE"""),12.743011)</f>
        <v>12.743011</v>
      </c>
      <c r="E17523" s="4">
        <f>IFERROR(__xludf.DUMMYFUNCTION("""COMPUTED_VALUE"""),79.99245)</f>
        <v>79.99245</v>
      </c>
      <c r="F17523" s="4">
        <f>IFERROR(__xludf.DUMMYFUNCTION("""COMPUTED_VALUE"""),2846.0)</f>
        <v>2846</v>
      </c>
      <c r="G17523" s="4">
        <f>IFERROR(__xludf.DUMMYFUNCTION("""COMPUTED_VALUE"""),22.0)</f>
        <v>22</v>
      </c>
      <c r="H17523" s="4"/>
      <c r="I17523" s="4"/>
    </row>
    <row r="17524">
      <c r="A17524" s="4" t="str">
        <f>IFERROR(__xludf.DUMMYFUNCTION("""COMPUTED_VALUE"""),"cas_hmw")</f>
        <v>cas_hmw</v>
      </c>
      <c r="B17524" s="5">
        <f>IFERROR(__xludf.DUMMYFUNCTION("""COMPUTED_VALUE"""),44740.0)</f>
        <v>44740</v>
      </c>
      <c r="C17524" s="6">
        <f>IFERROR(__xludf.DUMMYFUNCTION("""COMPUTED_VALUE"""),0.6908449074071541)</f>
        <v>0.6908449074</v>
      </c>
      <c r="D17524" s="4">
        <f>IFERROR(__xludf.DUMMYFUNCTION("""COMPUTED_VALUE"""),12.98587)</f>
        <v>12.98587</v>
      </c>
      <c r="E17524" s="4">
        <f>IFERROR(__xludf.DUMMYFUNCTION("""COMPUTED_VALUE"""),80.173828)</f>
        <v>80.173828</v>
      </c>
      <c r="F17524" s="4">
        <f>IFERROR(__xludf.DUMMYFUNCTION("""COMPUTED_VALUE"""),5339.0)</f>
        <v>5339</v>
      </c>
      <c r="G17524" s="4">
        <f>IFERROR(__xludf.DUMMYFUNCTION("""COMPUTED_VALUE"""),18.0)</f>
        <v>18</v>
      </c>
      <c r="H17524" s="4"/>
      <c r="I17524" s="4"/>
    </row>
    <row r="17525">
      <c r="A17525" s="4" t="str">
        <f>IFERROR(__xludf.DUMMYFUNCTION("""COMPUTED_VALUE"""),"cas_hmw")</f>
        <v>cas_hmw</v>
      </c>
      <c r="B17525" s="5">
        <f>IFERROR(__xludf.DUMMYFUNCTION("""COMPUTED_VALUE"""),44740.0)</f>
        <v>44740</v>
      </c>
      <c r="C17525" s="6">
        <f>IFERROR(__xludf.DUMMYFUNCTION("""COMPUTED_VALUE"""),0.6909606481494848)</f>
        <v>0.6909606481</v>
      </c>
      <c r="D17525" s="4">
        <f>IFERROR(__xludf.DUMMYFUNCTION("""COMPUTED_VALUE"""),12.989419)</f>
        <v>12.989419</v>
      </c>
      <c r="E17525" s="4">
        <f>IFERROR(__xludf.DUMMYFUNCTION("""COMPUTED_VALUE"""),80.178711)</f>
        <v>80.178711</v>
      </c>
      <c r="F17525" s="4">
        <f>IFERROR(__xludf.DUMMYFUNCTION("""COMPUTED_VALUE"""),805.0)</f>
        <v>805</v>
      </c>
      <c r="G17525" s="4">
        <f>IFERROR(__xludf.DUMMYFUNCTION("""COMPUTED_VALUE"""),18.0)</f>
        <v>18</v>
      </c>
      <c r="H17525" s="4"/>
      <c r="I17525" s="4"/>
    </row>
    <row r="17526">
      <c r="A17526" s="4" t="str">
        <f>IFERROR(__xludf.DUMMYFUNCTION("""COMPUTED_VALUE"""),"cas_hmw")</f>
        <v>cas_hmw</v>
      </c>
      <c r="B17526" s="5">
        <f>IFERROR(__xludf.DUMMYFUNCTION("""COMPUTED_VALUE"""),44740.0)</f>
        <v>44740</v>
      </c>
      <c r="C17526" s="6">
        <f>IFERROR(__xludf.DUMMYFUNCTION("""COMPUTED_VALUE"""),0.6909953703689098)</f>
        <v>0.6909953704</v>
      </c>
      <c r="D17526" s="4">
        <f>IFERROR(__xludf.DUMMYFUNCTION("""COMPUTED_VALUE"""),12.985939)</f>
        <v>12.985939</v>
      </c>
      <c r="E17526" s="4">
        <f>IFERROR(__xludf.DUMMYFUNCTION("""COMPUTED_VALUE"""),80.173956)</f>
        <v>80.173956</v>
      </c>
      <c r="F17526" s="4">
        <f>IFERROR(__xludf.DUMMYFUNCTION("""COMPUTED_VALUE"""),5339.0)</f>
        <v>5339</v>
      </c>
      <c r="G17526" s="4">
        <f>IFERROR(__xludf.DUMMYFUNCTION("""COMPUTED_VALUE"""),0.0)</f>
        <v>0</v>
      </c>
      <c r="H17526" s="4"/>
      <c r="I17526" s="4"/>
    </row>
    <row r="17527">
      <c r="A17527" s="4" t="str">
        <f>IFERROR(__xludf.DUMMYFUNCTION("""COMPUTED_VALUE"""),"cas_hmw")</f>
        <v>cas_hmw</v>
      </c>
      <c r="B17527" s="5">
        <f>IFERROR(__xludf.DUMMYFUNCTION("""COMPUTED_VALUE"""),44740.0)</f>
        <v>44740</v>
      </c>
      <c r="C17527" s="6">
        <f>IFERROR(__xludf.DUMMYFUNCTION("""COMPUTED_VALUE"""),0.692453703704814)</f>
        <v>0.6924537037</v>
      </c>
      <c r="D17527" s="4">
        <f>IFERROR(__xludf.DUMMYFUNCTION("""COMPUTED_VALUE"""),12.995417)</f>
        <v>12.995417</v>
      </c>
      <c r="E17527" s="4">
        <f>IFERROR(__xludf.DUMMYFUNCTION("""COMPUTED_VALUE"""),80.188247)</f>
        <v>80.188247</v>
      </c>
      <c r="F17527" s="4">
        <f>IFERROR(__xludf.DUMMYFUNCTION("""COMPUTED_VALUE"""),805.0)</f>
        <v>805</v>
      </c>
      <c r="G17527" s="4">
        <f>IFERROR(__xludf.DUMMYFUNCTION("""COMPUTED_VALUE"""),55.0)</f>
        <v>55</v>
      </c>
      <c r="H17527" s="4"/>
      <c r="I17527" s="4"/>
    </row>
    <row r="17528">
      <c r="A17528" s="4" t="str">
        <f>IFERROR(__xludf.DUMMYFUNCTION("""COMPUTED_VALUE"""),"cas_hmw")</f>
        <v>cas_hmw</v>
      </c>
      <c r="B17528" s="5">
        <f>IFERROR(__xludf.DUMMYFUNCTION("""COMPUTED_VALUE"""),44740.0)</f>
        <v>44740</v>
      </c>
      <c r="C17528" s="6">
        <f>IFERROR(__xludf.DUMMYFUNCTION("""COMPUTED_VALUE"""),0.6924768518510973)</f>
        <v>0.6924768519</v>
      </c>
      <c r="D17528" s="4">
        <f>IFERROR(__xludf.DUMMYFUNCTION("""COMPUTED_VALUE"""),12.995417)</f>
        <v>12.995417</v>
      </c>
      <c r="E17528" s="4">
        <f>IFERROR(__xludf.DUMMYFUNCTION("""COMPUTED_VALUE"""),80.188247)</f>
        <v>80.188247</v>
      </c>
      <c r="F17528" s="4">
        <f>IFERROR(__xludf.DUMMYFUNCTION("""COMPUTED_VALUE"""),805.0)</f>
        <v>805</v>
      </c>
      <c r="G17528" s="4">
        <f>IFERROR(__xludf.DUMMYFUNCTION("""COMPUTED_VALUE"""),55.0)</f>
        <v>55</v>
      </c>
      <c r="H17528" s="4"/>
      <c r="I17528" s="4"/>
    </row>
    <row r="17529">
      <c r="A17529" s="4" t="str">
        <f>IFERROR(__xludf.DUMMYFUNCTION("""COMPUTED_VALUE"""),"cas_hmw")</f>
        <v>cas_hmw</v>
      </c>
      <c r="B17529" s="5">
        <f>IFERROR(__xludf.DUMMYFUNCTION("""COMPUTED_VALUE"""),44740.0)</f>
        <v>44740</v>
      </c>
      <c r="C17529" s="6">
        <f>IFERROR(__xludf.DUMMYFUNCTION("""COMPUTED_VALUE"""),0.6926388888896327)</f>
        <v>0.6926388889</v>
      </c>
      <c r="D17529" s="4">
        <f>IFERROR(__xludf.DUMMYFUNCTION("""COMPUTED_VALUE"""),12.99594)</f>
        <v>12.99594</v>
      </c>
      <c r="E17529" s="4">
        <f>IFERROR(__xludf.DUMMYFUNCTION("""COMPUTED_VALUE"""),80.189134)</f>
        <v>80.189134</v>
      </c>
      <c r="F17529" s="4">
        <f>IFERROR(__xludf.DUMMYFUNCTION("""COMPUTED_VALUE"""),805.0)</f>
        <v>805</v>
      </c>
      <c r="G17529" s="4">
        <f>IFERROR(__xludf.DUMMYFUNCTION("""COMPUTED_VALUE"""),15.0)</f>
        <v>15</v>
      </c>
      <c r="H17529" s="4"/>
      <c r="I17529" s="4"/>
    </row>
    <row r="17530">
      <c r="A17530" s="4" t="str">
        <f>IFERROR(__xludf.DUMMYFUNCTION("""COMPUTED_VALUE"""),"cas_hmw")</f>
        <v>cas_hmw</v>
      </c>
      <c r="B17530" s="5">
        <f>IFERROR(__xludf.DUMMYFUNCTION("""COMPUTED_VALUE"""),44740.0)</f>
        <v>44740</v>
      </c>
      <c r="C17530" s="6">
        <f>IFERROR(__xludf.DUMMYFUNCTION("""COMPUTED_VALUE"""),0.6928472222207347)</f>
        <v>0.6928472222</v>
      </c>
      <c r="D17530" s="4">
        <f>IFERROR(__xludf.DUMMYFUNCTION("""COMPUTED_VALUE"""),12.996803)</f>
        <v>12.996803</v>
      </c>
      <c r="E17530" s="4">
        <f>IFERROR(__xludf.DUMMYFUNCTION("""COMPUTED_VALUE"""),80.190118)</f>
        <v>80.190118</v>
      </c>
      <c r="F17530" s="4">
        <f>IFERROR(__xludf.DUMMYFUNCTION("""COMPUTED_VALUE"""),805.0)</f>
        <v>805</v>
      </c>
      <c r="G17530" s="4">
        <f>IFERROR(__xludf.DUMMYFUNCTION("""COMPUTED_VALUE"""),45.0)</f>
        <v>45</v>
      </c>
      <c r="H17530" s="4"/>
      <c r="I17530" s="4"/>
    </row>
    <row r="17531">
      <c r="A17531" s="4" t="str">
        <f>IFERROR(__xludf.DUMMYFUNCTION("""COMPUTED_VALUE"""),"cas_hmw")</f>
        <v>cas_hmw</v>
      </c>
      <c r="B17531" s="5">
        <f>IFERROR(__xludf.DUMMYFUNCTION("""COMPUTED_VALUE"""),44740.0)</f>
        <v>44740</v>
      </c>
      <c r="C17531" s="6">
        <f>IFERROR(__xludf.DUMMYFUNCTION("""COMPUTED_VALUE"""),0.6934374999982538)</f>
        <v>0.6934375</v>
      </c>
      <c r="D17531" s="4">
        <f>IFERROR(__xludf.DUMMYFUNCTION("""COMPUTED_VALUE"""),13.000116)</f>
        <v>13.000116</v>
      </c>
      <c r="E17531" s="4">
        <f>IFERROR(__xludf.DUMMYFUNCTION("""COMPUTED_VALUE"""),80.194268)</f>
        <v>80.194268</v>
      </c>
      <c r="F17531" s="4">
        <f>IFERROR(__xludf.DUMMYFUNCTION("""COMPUTED_VALUE"""),805.0)</f>
        <v>805</v>
      </c>
      <c r="G17531" s="4">
        <f>IFERROR(__xludf.DUMMYFUNCTION("""COMPUTED_VALUE"""),42.0)</f>
        <v>42</v>
      </c>
      <c r="H17531" s="4"/>
      <c r="I17531" s="4"/>
    </row>
    <row r="17532">
      <c r="A17532" s="4" t="str">
        <f>IFERROR(__xludf.DUMMYFUNCTION("""COMPUTED_VALUE"""),"cas_hmw")</f>
        <v>cas_hmw</v>
      </c>
      <c r="B17532" s="5">
        <f>IFERROR(__xludf.DUMMYFUNCTION("""COMPUTED_VALUE"""),44740.0)</f>
        <v>44740</v>
      </c>
      <c r="C17532" s="6">
        <f>IFERROR(__xludf.DUMMYFUNCTION("""COMPUTED_VALUE"""),0.6934722222213168)</f>
        <v>0.6934722222</v>
      </c>
      <c r="D17532" s="4">
        <f>IFERROR(__xludf.DUMMYFUNCTION("""COMPUTED_VALUE"""),13.000116)</f>
        <v>13.000116</v>
      </c>
      <c r="E17532" s="4">
        <f>IFERROR(__xludf.DUMMYFUNCTION("""COMPUTED_VALUE"""),80.194268)</f>
        <v>80.194268</v>
      </c>
      <c r="F17532" s="4">
        <f>IFERROR(__xludf.DUMMYFUNCTION("""COMPUTED_VALUE"""),805.0)</f>
        <v>805</v>
      </c>
      <c r="G17532" s="4">
        <f>IFERROR(__xludf.DUMMYFUNCTION("""COMPUTED_VALUE"""),42.0)</f>
        <v>42</v>
      </c>
      <c r="H17532" s="4"/>
      <c r="I17532" s="4"/>
    </row>
    <row r="17533">
      <c r="A17533" s="4" t="str">
        <f>IFERROR(__xludf.DUMMYFUNCTION("""COMPUTED_VALUE"""),"cas_hmw")</f>
        <v>cas_hmw</v>
      </c>
      <c r="B17533" s="5">
        <f>IFERROR(__xludf.DUMMYFUNCTION("""COMPUTED_VALUE"""),44740.0)</f>
        <v>44740</v>
      </c>
      <c r="C17533" s="6">
        <f>IFERROR(__xludf.DUMMYFUNCTION("""COMPUTED_VALUE"""),0.6935416666674428)</f>
        <v>0.6935416667</v>
      </c>
      <c r="D17533" s="4">
        <f>IFERROR(__xludf.DUMMYFUNCTION("""COMPUTED_VALUE"""),13.000116)</f>
        <v>13.000116</v>
      </c>
      <c r="E17533" s="4">
        <f>IFERROR(__xludf.DUMMYFUNCTION("""COMPUTED_VALUE"""),80.194268)</f>
        <v>80.194268</v>
      </c>
      <c r="F17533" s="4">
        <f>IFERROR(__xludf.DUMMYFUNCTION("""COMPUTED_VALUE"""),805.0)</f>
        <v>805</v>
      </c>
      <c r="G17533" s="4">
        <f>IFERROR(__xludf.DUMMYFUNCTION("""COMPUTED_VALUE"""),42.0)</f>
        <v>42</v>
      </c>
      <c r="H17533" s="4"/>
      <c r="I17533" s="4"/>
    </row>
    <row r="17534">
      <c r="A17534" s="4" t="str">
        <f>IFERROR(__xludf.DUMMYFUNCTION("""COMPUTED_VALUE"""),"cas_hmw")</f>
        <v>cas_hmw</v>
      </c>
      <c r="B17534" s="5">
        <f>IFERROR(__xludf.DUMMYFUNCTION("""COMPUTED_VALUE"""),44740.0)</f>
        <v>44740</v>
      </c>
      <c r="C17534" s="6">
        <f>IFERROR(__xludf.DUMMYFUNCTION("""COMPUTED_VALUE"""),0.6939699074064265)</f>
        <v>0.6939699074</v>
      </c>
      <c r="D17534" s="4">
        <f>IFERROR(__xludf.DUMMYFUNCTION("""COMPUTED_VALUE"""),13.002069)</f>
        <v>13.002069</v>
      </c>
      <c r="E17534" s="4">
        <f>IFERROR(__xludf.DUMMYFUNCTION("""COMPUTED_VALUE"""),80.19762)</f>
        <v>80.19762</v>
      </c>
      <c r="F17534" s="4">
        <f>IFERROR(__xludf.DUMMYFUNCTION("""COMPUTED_VALUE"""),805.0)</f>
        <v>805</v>
      </c>
      <c r="G17534" s="4">
        <f>IFERROR(__xludf.DUMMYFUNCTION("""COMPUTED_VALUE"""),39.0)</f>
        <v>39</v>
      </c>
      <c r="H17534" s="4"/>
      <c r="I17534" s="4"/>
    </row>
    <row r="17535">
      <c r="A17535" s="4" t="str">
        <f>IFERROR(__xludf.DUMMYFUNCTION("""COMPUTED_VALUE"""),"cas_hmw")</f>
        <v>cas_hmw</v>
      </c>
      <c r="B17535" s="5">
        <f>IFERROR(__xludf.DUMMYFUNCTION("""COMPUTED_VALUE"""),44740.0)</f>
        <v>44740</v>
      </c>
      <c r="C17535" s="6">
        <f>IFERROR(__xludf.DUMMYFUNCTION("""COMPUTED_VALUE"""),0.6941666666680248)</f>
        <v>0.6941666667</v>
      </c>
      <c r="D17535" s="4">
        <f>IFERROR(__xludf.DUMMYFUNCTION("""COMPUTED_VALUE"""),13.001797)</f>
        <v>13.001797</v>
      </c>
      <c r="E17535" s="4">
        <f>IFERROR(__xludf.DUMMYFUNCTION("""COMPUTED_VALUE"""),80.199182)</f>
        <v>80.199182</v>
      </c>
      <c r="F17535" s="4">
        <f>IFERROR(__xludf.DUMMYFUNCTION("""COMPUTED_VALUE"""),805.0)</f>
        <v>805</v>
      </c>
      <c r="G17535" s="4">
        <f>IFERROR(__xludf.DUMMYFUNCTION("""COMPUTED_VALUE"""),37.0)</f>
        <v>37</v>
      </c>
      <c r="H17535" s="4"/>
      <c r="I17535" s="4"/>
    </row>
    <row r="17536">
      <c r="A17536" s="4" t="str">
        <f>IFERROR(__xludf.DUMMYFUNCTION("""COMPUTED_VALUE"""),"cas_hmw")</f>
        <v>cas_hmw</v>
      </c>
      <c r="B17536" s="5">
        <f>IFERROR(__xludf.DUMMYFUNCTION("""COMPUTED_VALUE"""),44740.0)</f>
        <v>44740</v>
      </c>
      <c r="C17536" s="6">
        <f>IFERROR(__xludf.DUMMYFUNCTION("""COMPUTED_VALUE"""),0.695208333334449)</f>
        <v>0.6952083333</v>
      </c>
      <c r="D17536" s="4">
        <f>IFERROR(__xludf.DUMMYFUNCTION("""COMPUTED_VALUE"""),12.712486)</f>
        <v>12.712486</v>
      </c>
      <c r="E17536" s="4">
        <f>IFERROR(__xludf.DUMMYFUNCTION("""COMPUTED_VALUE"""),79.97969)</f>
        <v>79.97969</v>
      </c>
      <c r="F17536" s="4">
        <f>IFERROR(__xludf.DUMMYFUNCTION("""COMPUTED_VALUE"""),2846.0)</f>
        <v>2846</v>
      </c>
      <c r="G17536" s="4">
        <f>IFERROR(__xludf.DUMMYFUNCTION("""COMPUTED_VALUE"""),56.0)</f>
        <v>56</v>
      </c>
      <c r="H17536" s="4"/>
      <c r="I17536" s="4"/>
    </row>
    <row r="17537">
      <c r="A17537" s="4" t="str">
        <f>IFERROR(__xludf.DUMMYFUNCTION("""COMPUTED_VALUE"""),"cas_hmw")</f>
        <v>cas_hmw</v>
      </c>
      <c r="B17537" s="5">
        <f>IFERROR(__xludf.DUMMYFUNCTION("""COMPUTED_VALUE"""),44740.0)</f>
        <v>44740</v>
      </c>
      <c r="C17537" s="6">
        <f>IFERROR(__xludf.DUMMYFUNCTION("""COMPUTED_VALUE"""),0.6952199074075907)</f>
        <v>0.6952199074</v>
      </c>
      <c r="D17537" s="4">
        <f>IFERROR(__xludf.DUMMYFUNCTION("""COMPUTED_VALUE"""),13.007413)</f>
        <v>13.007413</v>
      </c>
      <c r="E17537" s="4">
        <f>IFERROR(__xludf.DUMMYFUNCTION("""COMPUTED_VALUE"""),80.203657)</f>
        <v>80.203657</v>
      </c>
      <c r="F17537" s="4">
        <f>IFERROR(__xludf.DUMMYFUNCTION("""COMPUTED_VALUE"""),805.0)</f>
        <v>805</v>
      </c>
      <c r="G17537" s="4">
        <f>IFERROR(__xludf.DUMMYFUNCTION("""COMPUTED_VALUE"""),41.0)</f>
        <v>41</v>
      </c>
      <c r="H17537" s="4"/>
      <c r="I17537" s="4"/>
    </row>
    <row r="17538">
      <c r="A17538" s="4" t="str">
        <f>IFERROR(__xludf.DUMMYFUNCTION("""COMPUTED_VALUE"""),"cas_hmw")</f>
        <v>cas_hmw</v>
      </c>
      <c r="B17538" s="5">
        <f>IFERROR(__xludf.DUMMYFUNCTION("""COMPUTED_VALUE"""),44740.0)</f>
        <v>44740</v>
      </c>
      <c r="C17538" s="6">
        <f>IFERROR(__xludf.DUMMYFUNCTION("""COMPUTED_VALUE"""),0.6957638888889051)</f>
        <v>0.6957638889</v>
      </c>
      <c r="D17538" s="4">
        <f>IFERROR(__xludf.DUMMYFUNCTION("""COMPUTED_VALUE"""),13.007703)</f>
        <v>13.007703</v>
      </c>
      <c r="E17538" s="4">
        <f>IFERROR(__xludf.DUMMYFUNCTION("""COMPUTED_VALUE"""),80.206225)</f>
        <v>80.206225</v>
      </c>
      <c r="F17538" s="4">
        <f>IFERROR(__xludf.DUMMYFUNCTION("""COMPUTED_VALUE"""),805.0)</f>
        <v>805</v>
      </c>
      <c r="G17538" s="4">
        <f>IFERROR(__xludf.DUMMYFUNCTION("""COMPUTED_VALUE"""),53.0)</f>
        <v>53</v>
      </c>
      <c r="H17538" s="4"/>
      <c r="I17538" s="4"/>
    </row>
    <row r="17539">
      <c r="A17539" s="4" t="str">
        <f>IFERROR(__xludf.DUMMYFUNCTION("""COMPUTED_VALUE"""),"cas_hmw")</f>
        <v>cas_hmw</v>
      </c>
      <c r="B17539" s="5">
        <f>IFERROR(__xludf.DUMMYFUNCTION("""COMPUTED_VALUE"""),44740.0)</f>
        <v>44740</v>
      </c>
      <c r="C17539" s="6">
        <f>IFERROR(__xludf.DUMMYFUNCTION("""COMPUTED_VALUE"""),0.6958333333350311)</f>
        <v>0.6958333333</v>
      </c>
      <c r="D17539" s="4">
        <f>IFERROR(__xludf.DUMMYFUNCTION("""COMPUTED_VALUE"""),12.703723)</f>
        <v>12.703723</v>
      </c>
      <c r="E17539" s="4">
        <f>IFERROR(__xludf.DUMMYFUNCTION("""COMPUTED_VALUE"""),79.97681)</f>
        <v>79.97681</v>
      </c>
      <c r="F17539" s="4">
        <f>IFERROR(__xludf.DUMMYFUNCTION("""COMPUTED_VALUE"""),2846.0)</f>
        <v>2846</v>
      </c>
      <c r="G17539" s="4">
        <f>IFERROR(__xludf.DUMMYFUNCTION("""COMPUTED_VALUE"""),44.0)</f>
        <v>44</v>
      </c>
      <c r="H17539" s="4"/>
      <c r="I17539" s="4"/>
    </row>
    <row r="17540">
      <c r="A17540" s="4" t="str">
        <f>IFERROR(__xludf.DUMMYFUNCTION("""COMPUTED_VALUE"""),"cas_hmw")</f>
        <v>cas_hmw</v>
      </c>
      <c r="B17540" s="5">
        <f>IFERROR(__xludf.DUMMYFUNCTION("""COMPUTED_VALUE"""),44740.0)</f>
        <v>44740</v>
      </c>
      <c r="C17540" s="6">
        <f>IFERROR(__xludf.DUMMYFUNCTION("""COMPUTED_VALUE"""),0.6959375000005821)</f>
        <v>0.6959375</v>
      </c>
      <c r="D17540" s="4">
        <f>IFERROR(__xludf.DUMMYFUNCTION("""COMPUTED_VALUE"""),13.008052)</f>
        <v>13.008052</v>
      </c>
      <c r="E17540" s="4">
        <f>IFERROR(__xludf.DUMMYFUNCTION("""COMPUTED_VALUE"""),80.208519)</f>
        <v>80.208519</v>
      </c>
      <c r="F17540" s="4">
        <f>IFERROR(__xludf.DUMMYFUNCTION("""COMPUTED_VALUE"""),805.0)</f>
        <v>805</v>
      </c>
      <c r="G17540" s="4">
        <f>IFERROR(__xludf.DUMMYFUNCTION("""COMPUTED_VALUE"""),59.0)</f>
        <v>59</v>
      </c>
      <c r="H17540" s="4"/>
      <c r="I17540" s="4"/>
    </row>
    <row r="17541">
      <c r="A17541" s="4" t="str">
        <f>IFERROR(__xludf.DUMMYFUNCTION("""COMPUTED_VALUE"""),"cas_hmw")</f>
        <v>cas_hmw</v>
      </c>
      <c r="B17541" s="5">
        <f>IFERROR(__xludf.DUMMYFUNCTION("""COMPUTED_VALUE"""),44740.0)</f>
        <v>44740</v>
      </c>
      <c r="C17541" s="6">
        <f>IFERROR(__xludf.DUMMYFUNCTION("""COMPUTED_VALUE"""),0.6960763888891961)</f>
        <v>0.6960763889</v>
      </c>
      <c r="D17541" s="4">
        <f>IFERROR(__xludf.DUMMYFUNCTION("""COMPUTED_VALUE"""),13.001288)</f>
        <v>13.001288</v>
      </c>
      <c r="E17541" s="4">
        <f>IFERROR(__xludf.DUMMYFUNCTION("""COMPUTED_VALUE"""),80.195685)</f>
        <v>80.195685</v>
      </c>
      <c r="F17541" s="4">
        <f>IFERROR(__xludf.DUMMYFUNCTION("""COMPUTED_VALUE"""),5339.0)</f>
        <v>5339</v>
      </c>
      <c r="G17541" s="4">
        <f>IFERROR(__xludf.DUMMYFUNCTION("""COMPUTED_VALUE"""),0.0)</f>
        <v>0</v>
      </c>
      <c r="H17541" s="4"/>
      <c r="I17541" s="4"/>
    </row>
    <row r="17542">
      <c r="A17542" s="4" t="str">
        <f>IFERROR(__xludf.DUMMYFUNCTION("""COMPUTED_VALUE"""),"cas_hmw")</f>
        <v>cas_hmw</v>
      </c>
      <c r="B17542" s="5">
        <f>IFERROR(__xludf.DUMMYFUNCTION("""COMPUTED_VALUE"""),44740.0)</f>
        <v>44740</v>
      </c>
      <c r="C17542" s="6">
        <f>IFERROR(__xludf.DUMMYFUNCTION("""COMPUTED_VALUE"""),0.6960879629623378)</f>
        <v>0.696087963</v>
      </c>
      <c r="D17542" s="4">
        <f>IFERROR(__xludf.DUMMYFUNCTION("""COMPUTED_VALUE"""),13.008627)</f>
        <v>13.008627</v>
      </c>
      <c r="E17542" s="4">
        <f>IFERROR(__xludf.DUMMYFUNCTION("""COMPUTED_VALUE"""),80.21077)</f>
        <v>80.21077</v>
      </c>
      <c r="F17542" s="4">
        <f>IFERROR(__xludf.DUMMYFUNCTION("""COMPUTED_VALUE"""),805.0)</f>
        <v>805</v>
      </c>
      <c r="G17542" s="4">
        <f>IFERROR(__xludf.DUMMYFUNCTION("""COMPUTED_VALUE"""),51.0)</f>
        <v>51</v>
      </c>
      <c r="H17542" s="4"/>
      <c r="I17542" s="4"/>
    </row>
    <row r="17543">
      <c r="A17543" s="4" t="str">
        <f>IFERROR(__xludf.DUMMYFUNCTION("""COMPUTED_VALUE"""),"cas_hmw")</f>
        <v>cas_hmw</v>
      </c>
      <c r="B17543" s="5">
        <f>IFERROR(__xludf.DUMMYFUNCTION("""COMPUTED_VALUE"""),44740.0)</f>
        <v>44740</v>
      </c>
      <c r="C17543" s="6">
        <f>IFERROR(__xludf.DUMMYFUNCTION("""COMPUTED_VALUE"""),0.6962847222239361)</f>
        <v>0.6962847222</v>
      </c>
      <c r="D17543" s="4">
        <f>IFERROR(__xludf.DUMMYFUNCTION("""COMPUTED_VALUE"""),13.009353)</f>
        <v>13.009353</v>
      </c>
      <c r="E17543" s="4">
        <f>IFERROR(__xludf.DUMMYFUNCTION("""COMPUTED_VALUE"""),80.21271)</f>
        <v>80.21271</v>
      </c>
      <c r="F17543" s="4">
        <f>IFERROR(__xludf.DUMMYFUNCTION("""COMPUTED_VALUE"""),805.0)</f>
        <v>805</v>
      </c>
      <c r="G17543" s="4">
        <f>IFERROR(__xludf.DUMMYFUNCTION("""COMPUTED_VALUE"""),47.0)</f>
        <v>47</v>
      </c>
      <c r="H17543" s="4"/>
      <c r="I17543" s="4"/>
    </row>
    <row r="17544">
      <c r="A17544" s="4" t="str">
        <f>IFERROR(__xludf.DUMMYFUNCTION("""COMPUTED_VALUE"""),"cas_hmw")</f>
        <v>cas_hmw</v>
      </c>
      <c r="B17544" s="5">
        <f>IFERROR(__xludf.DUMMYFUNCTION("""COMPUTED_VALUE"""),44740.0)</f>
        <v>44740</v>
      </c>
      <c r="C17544" s="6">
        <f>IFERROR(__xludf.DUMMYFUNCTION("""COMPUTED_VALUE"""),0.6965972222205892)</f>
        <v>0.6965972222</v>
      </c>
      <c r="D17544" s="4">
        <f>IFERROR(__xludf.DUMMYFUNCTION("""COMPUTED_VALUE"""),13.009883)</f>
        <v>13.009883</v>
      </c>
      <c r="E17544" s="4">
        <f>IFERROR(__xludf.DUMMYFUNCTION("""COMPUTED_VALUE"""),80.21412)</f>
        <v>80.21412</v>
      </c>
      <c r="F17544" s="4">
        <f>IFERROR(__xludf.DUMMYFUNCTION("""COMPUTED_VALUE"""),805.0)</f>
        <v>805</v>
      </c>
      <c r="G17544" s="4">
        <f>IFERROR(__xludf.DUMMYFUNCTION("""COMPUTED_VALUE"""),38.0)</f>
        <v>38</v>
      </c>
      <c r="H17544" s="4"/>
      <c r="I17544" s="4"/>
    </row>
    <row r="17545">
      <c r="A17545" s="4" t="str">
        <f>IFERROR(__xludf.DUMMYFUNCTION("""COMPUTED_VALUE"""),"cas_hmw")</f>
        <v>cas_hmw</v>
      </c>
      <c r="B17545" s="5">
        <f>IFERROR(__xludf.DUMMYFUNCTION("""COMPUTED_VALUE"""),44740.0)</f>
        <v>44740</v>
      </c>
      <c r="C17545" s="6">
        <f>IFERROR(__xludf.DUMMYFUNCTION("""COMPUTED_VALUE"""),0.6972916666672972)</f>
        <v>0.6972916667</v>
      </c>
      <c r="D17545" s="4">
        <f>IFERROR(__xludf.DUMMYFUNCTION("""COMPUTED_VALUE"""),13.012139)</f>
        <v>13.012139</v>
      </c>
      <c r="E17545" s="4">
        <f>IFERROR(__xludf.DUMMYFUNCTION("""COMPUTED_VALUE"""),80.220627)</f>
        <v>80.220627</v>
      </c>
      <c r="F17545" s="4">
        <f>IFERROR(__xludf.DUMMYFUNCTION("""COMPUTED_VALUE"""),805.0)</f>
        <v>805</v>
      </c>
      <c r="G17545" s="4">
        <f>IFERROR(__xludf.DUMMYFUNCTION("""COMPUTED_VALUE"""),0.0)</f>
        <v>0</v>
      </c>
      <c r="H17545" s="4"/>
      <c r="I17545" s="4"/>
    </row>
    <row r="17546">
      <c r="A17546" s="4" t="str">
        <f>IFERROR(__xludf.DUMMYFUNCTION("""COMPUTED_VALUE"""),"cas_hmw")</f>
        <v>cas_hmw</v>
      </c>
      <c r="B17546" s="5">
        <f>IFERROR(__xludf.DUMMYFUNCTION("""COMPUTED_VALUE"""),44740.0)</f>
        <v>44740</v>
      </c>
      <c r="C17546" s="6">
        <f>IFERROR(__xludf.DUMMYFUNCTION("""COMPUTED_VALUE"""),0.6975231481483206)</f>
        <v>0.6975231481</v>
      </c>
      <c r="D17546" s="4">
        <f>IFERROR(__xludf.DUMMYFUNCTION("""COMPUTED_VALUE"""),13.012328)</f>
        <v>13.012328</v>
      </c>
      <c r="E17546" s="4">
        <f>IFERROR(__xludf.DUMMYFUNCTION("""COMPUTED_VALUE"""),80.221166)</f>
        <v>80.221166</v>
      </c>
      <c r="F17546" s="4">
        <f>IFERROR(__xludf.DUMMYFUNCTION("""COMPUTED_VALUE"""),805.0)</f>
        <v>805</v>
      </c>
      <c r="G17546" s="4">
        <f>IFERROR(__xludf.DUMMYFUNCTION("""COMPUTED_VALUE"""),18.0)</f>
        <v>18</v>
      </c>
      <c r="H17546" s="4"/>
      <c r="I17546" s="4"/>
    </row>
    <row r="17547">
      <c r="A17547" s="4" t="str">
        <f>IFERROR(__xludf.DUMMYFUNCTION("""COMPUTED_VALUE"""),"cas_hmw")</f>
        <v>cas_hmw</v>
      </c>
      <c r="B17547" s="5">
        <f>IFERROR(__xludf.DUMMYFUNCTION("""COMPUTED_VALUE"""),44740.0)</f>
        <v>44740</v>
      </c>
      <c r="C17547" s="6">
        <f>IFERROR(__xludf.DUMMYFUNCTION("""COMPUTED_VALUE"""),0.6983217592605797)</f>
        <v>0.6983217593</v>
      </c>
      <c r="D17547" s="4">
        <f>IFERROR(__xludf.DUMMYFUNCTION("""COMPUTED_VALUE"""),13.015183)</f>
        <v>13.015183</v>
      </c>
      <c r="E17547" s="4">
        <f>IFERROR(__xludf.DUMMYFUNCTION("""COMPUTED_VALUE"""),80.224897)</f>
        <v>80.224897</v>
      </c>
      <c r="F17547" s="4">
        <f>IFERROR(__xludf.DUMMYFUNCTION("""COMPUTED_VALUE"""),805.0)</f>
        <v>805</v>
      </c>
      <c r="G17547" s="4">
        <f>IFERROR(__xludf.DUMMYFUNCTION("""COMPUTED_VALUE"""),0.0)</f>
        <v>0</v>
      </c>
      <c r="H17547" s="4"/>
      <c r="I17547" s="4"/>
    </row>
    <row r="17548">
      <c r="A17548" s="4" t="str">
        <f>IFERROR(__xludf.DUMMYFUNCTION("""COMPUTED_VALUE"""),"cas_hmw")</f>
        <v>cas_hmw</v>
      </c>
      <c r="B17548" s="5">
        <f>IFERROR(__xludf.DUMMYFUNCTION("""COMPUTED_VALUE"""),44740.0)</f>
        <v>44740</v>
      </c>
      <c r="C17548" s="6">
        <f>IFERROR(__xludf.DUMMYFUNCTION("""COMPUTED_VALUE"""),0.6987384259264218)</f>
        <v>0.6987384259</v>
      </c>
      <c r="D17548" s="4">
        <f>IFERROR(__xludf.DUMMYFUNCTION("""COMPUTED_VALUE"""),13.015452)</f>
        <v>13.015452</v>
      </c>
      <c r="E17548" s="4">
        <f>IFERROR(__xludf.DUMMYFUNCTION("""COMPUTED_VALUE"""),80.225358)</f>
        <v>80.225358</v>
      </c>
      <c r="F17548" s="4">
        <f>IFERROR(__xludf.DUMMYFUNCTION("""COMPUTED_VALUE"""),805.0)</f>
        <v>805</v>
      </c>
      <c r="G17548" s="4">
        <f>IFERROR(__xludf.DUMMYFUNCTION("""COMPUTED_VALUE"""),18.0)</f>
        <v>18</v>
      </c>
      <c r="H17548" s="4"/>
      <c r="I17548" s="4"/>
    </row>
    <row r="17549">
      <c r="A17549" s="4" t="str">
        <f>IFERROR(__xludf.DUMMYFUNCTION("""COMPUTED_VALUE"""),"cas_hmw")</f>
        <v>cas_hmw</v>
      </c>
      <c r="B17549" s="5">
        <f>IFERROR(__xludf.DUMMYFUNCTION("""COMPUTED_VALUE"""),44740.0)</f>
        <v>44740</v>
      </c>
      <c r="C17549" s="6">
        <f>IFERROR(__xludf.DUMMYFUNCTION("""COMPUTED_VALUE"""),0.6988310185188311)</f>
        <v>0.6988310185</v>
      </c>
      <c r="D17549" s="4">
        <f>IFERROR(__xludf.DUMMYFUNCTION("""COMPUTED_VALUE"""),12.694266)</f>
        <v>12.694266</v>
      </c>
      <c r="E17549" s="4">
        <f>IFERROR(__xludf.DUMMYFUNCTION("""COMPUTED_VALUE"""),79.978666)</f>
        <v>79.978666</v>
      </c>
      <c r="F17549" s="4">
        <f>IFERROR(__xludf.DUMMYFUNCTION("""COMPUTED_VALUE"""),2846.0)</f>
        <v>2846</v>
      </c>
      <c r="G17549" s="4">
        <f>IFERROR(__xludf.DUMMYFUNCTION("""COMPUTED_VALUE"""),28.0)</f>
        <v>28</v>
      </c>
      <c r="H17549" s="4"/>
      <c r="I17549" s="4"/>
    </row>
    <row r="17550">
      <c r="A17550" s="4" t="str">
        <f>IFERROR(__xludf.DUMMYFUNCTION("""COMPUTED_VALUE"""),"cas_hmw")</f>
        <v>cas_hmw</v>
      </c>
      <c r="B17550" s="5">
        <f>IFERROR(__xludf.DUMMYFUNCTION("""COMPUTED_VALUE"""),44740.0)</f>
        <v>44740</v>
      </c>
      <c r="C17550" s="6">
        <f>IFERROR(__xludf.DUMMYFUNCTION("""COMPUTED_VALUE"""),0.6989236111112405)</f>
        <v>0.6989236111</v>
      </c>
      <c r="D17550" s="4">
        <f>IFERROR(__xludf.DUMMYFUNCTION("""COMPUTED_VALUE"""),13.014759)</f>
        <v>13.014759</v>
      </c>
      <c r="E17550" s="4">
        <f>IFERROR(__xludf.DUMMYFUNCTION("""COMPUTED_VALUE"""),80.226012)</f>
        <v>80.226012</v>
      </c>
      <c r="F17550" s="4">
        <f>IFERROR(__xludf.DUMMYFUNCTION("""COMPUTED_VALUE"""),805.0)</f>
        <v>805</v>
      </c>
      <c r="G17550" s="4">
        <f>IFERROR(__xludf.DUMMYFUNCTION("""COMPUTED_VALUE"""),32.0)</f>
        <v>32</v>
      </c>
      <c r="H17550" s="4"/>
      <c r="I17550" s="4"/>
    </row>
    <row r="17551">
      <c r="A17551" s="4" t="str">
        <f>IFERROR(__xludf.DUMMYFUNCTION("""COMPUTED_VALUE"""),"cas_hmw")</f>
        <v>cas_hmw</v>
      </c>
      <c r="B17551" s="5">
        <f>IFERROR(__xludf.DUMMYFUNCTION("""COMPUTED_VALUE"""),44740.0)</f>
        <v>44740</v>
      </c>
      <c r="C17551" s="6">
        <f>IFERROR(__xludf.DUMMYFUNCTION("""COMPUTED_VALUE"""),0.6991435185191222)</f>
        <v>0.6991435185</v>
      </c>
      <c r="D17551" s="4">
        <f>IFERROR(__xludf.DUMMYFUNCTION("""COMPUTED_VALUE"""),13.01348)</f>
        <v>13.01348</v>
      </c>
      <c r="E17551" s="4">
        <f>IFERROR(__xludf.DUMMYFUNCTION("""COMPUTED_VALUE"""),80.226505)</f>
        <v>80.226505</v>
      </c>
      <c r="F17551" s="4">
        <f>IFERROR(__xludf.DUMMYFUNCTION("""COMPUTED_VALUE"""),805.0)</f>
        <v>805</v>
      </c>
      <c r="G17551" s="4">
        <f>IFERROR(__xludf.DUMMYFUNCTION("""COMPUTED_VALUE"""),33.0)</f>
        <v>33</v>
      </c>
      <c r="H17551" s="4"/>
      <c r="I17551" s="4"/>
    </row>
    <row r="17552">
      <c r="A17552" s="4" t="str">
        <f>IFERROR(__xludf.DUMMYFUNCTION("""COMPUTED_VALUE"""),"cas_hmw")</f>
        <v>cas_hmw</v>
      </c>
      <c r="B17552" s="5">
        <f>IFERROR(__xludf.DUMMYFUNCTION("""COMPUTED_VALUE"""),44740.0)</f>
        <v>44740</v>
      </c>
      <c r="C17552" s="6">
        <f>IFERROR(__xludf.DUMMYFUNCTION("""COMPUTED_VALUE"""),0.6996064814811689)</f>
        <v>0.6996064815</v>
      </c>
      <c r="D17552" s="4">
        <f>IFERROR(__xludf.DUMMYFUNCTION("""COMPUTED_VALUE"""),13.009454)</f>
        <v>13.009454</v>
      </c>
      <c r="E17552" s="4">
        <f>IFERROR(__xludf.DUMMYFUNCTION("""COMPUTED_VALUE"""),80.228182)</f>
        <v>80.228182</v>
      </c>
      <c r="F17552" s="4">
        <f>IFERROR(__xludf.DUMMYFUNCTION("""COMPUTED_VALUE"""),805.0)</f>
        <v>805</v>
      </c>
      <c r="G17552" s="4">
        <f>IFERROR(__xludf.DUMMYFUNCTION("""COMPUTED_VALUE"""),41.0)</f>
        <v>41</v>
      </c>
      <c r="H17552" s="4"/>
      <c r="I17552" s="4"/>
    </row>
    <row r="17553">
      <c r="A17553" s="4" t="str">
        <f>IFERROR(__xludf.DUMMYFUNCTION("""COMPUTED_VALUE"""),"cas_hmw")</f>
        <v>cas_hmw</v>
      </c>
      <c r="B17553" s="5">
        <f>IFERROR(__xludf.DUMMYFUNCTION("""COMPUTED_VALUE"""),44740.0)</f>
        <v>44740</v>
      </c>
      <c r="C17553" s="6">
        <f>IFERROR(__xludf.DUMMYFUNCTION("""COMPUTED_VALUE"""),0.700162037035625)</f>
        <v>0.700162037</v>
      </c>
      <c r="D17553" s="4">
        <f>IFERROR(__xludf.DUMMYFUNCTION("""COMPUTED_VALUE"""),12.693881)</f>
        <v>12.693881</v>
      </c>
      <c r="E17553" s="4">
        <f>IFERROR(__xludf.DUMMYFUNCTION("""COMPUTED_VALUE"""),79.979155)</f>
        <v>79.979155</v>
      </c>
      <c r="F17553" s="4">
        <f>IFERROR(__xludf.DUMMYFUNCTION("""COMPUTED_VALUE"""),2846.0)</f>
        <v>2846</v>
      </c>
      <c r="G17553" s="4">
        <f>IFERROR(__xludf.DUMMYFUNCTION("""COMPUTED_VALUE"""),0.0)</f>
        <v>0</v>
      </c>
      <c r="H17553" s="4"/>
      <c r="I17553" s="4"/>
    </row>
    <row r="17554">
      <c r="A17554" s="4" t="str">
        <f>IFERROR(__xludf.DUMMYFUNCTION("""COMPUTED_VALUE"""),"cas_hmw")</f>
        <v>cas_hmw</v>
      </c>
      <c r="B17554" s="5">
        <f>IFERROR(__xludf.DUMMYFUNCTION("""COMPUTED_VALUE"""),44740.0)</f>
        <v>44740</v>
      </c>
      <c r="C17554" s="6">
        <f>IFERROR(__xludf.DUMMYFUNCTION("""COMPUTED_VALUE"""),0.7002893518510973)</f>
        <v>0.7002893519</v>
      </c>
      <c r="D17554" s="4">
        <f>IFERROR(__xludf.DUMMYFUNCTION("""COMPUTED_VALUE"""),13.007912)</f>
        <v>13.007912</v>
      </c>
      <c r="E17554" s="4">
        <f>IFERROR(__xludf.DUMMYFUNCTION("""COMPUTED_VALUE"""),80.234941)</f>
        <v>80.234941</v>
      </c>
      <c r="F17554" s="4">
        <f>IFERROR(__xludf.DUMMYFUNCTION("""COMPUTED_VALUE"""),805.0)</f>
        <v>805</v>
      </c>
      <c r="G17554" s="4">
        <f>IFERROR(__xludf.DUMMYFUNCTION("""COMPUTED_VALUE"""),17.0)</f>
        <v>17</v>
      </c>
      <c r="H17554" s="4"/>
      <c r="I17554" s="4"/>
    </row>
    <row r="17555">
      <c r="A17555" s="4" t="str">
        <f>IFERROR(__xludf.DUMMYFUNCTION("""COMPUTED_VALUE"""),"cas_hmw")</f>
        <v>cas_hmw</v>
      </c>
      <c r="B17555" s="5">
        <f>IFERROR(__xludf.DUMMYFUNCTION("""COMPUTED_VALUE"""),44740.0)</f>
        <v>44740</v>
      </c>
      <c r="C17555" s="6">
        <f>IFERROR(__xludf.DUMMYFUNCTION("""COMPUTED_VALUE"""),0.7013657407405844)</f>
        <v>0.7013657407</v>
      </c>
      <c r="D17555" s="4">
        <f>IFERROR(__xludf.DUMMYFUNCTION("""COMPUTED_VALUE"""),13.006942)</f>
        <v>13.006942</v>
      </c>
      <c r="E17555" s="4">
        <f>IFERROR(__xludf.DUMMYFUNCTION("""COMPUTED_VALUE"""),80.23981)</f>
        <v>80.23981</v>
      </c>
      <c r="F17555" s="4">
        <f>IFERROR(__xludf.DUMMYFUNCTION("""COMPUTED_VALUE"""),805.0)</f>
        <v>805</v>
      </c>
      <c r="G17555" s="4">
        <f>IFERROR(__xludf.DUMMYFUNCTION("""COMPUTED_VALUE"""),22.0)</f>
        <v>22</v>
      </c>
      <c r="H17555" s="4"/>
      <c r="I17555" s="4"/>
    </row>
    <row r="17556">
      <c r="A17556" s="4" t="str">
        <f>IFERROR(__xludf.DUMMYFUNCTION("""COMPUTED_VALUE"""),"cas_hmw")</f>
        <v>cas_hmw</v>
      </c>
      <c r="B17556" s="5">
        <f>IFERROR(__xludf.DUMMYFUNCTION("""COMPUTED_VALUE"""),44740.0)</f>
        <v>44740</v>
      </c>
      <c r="C17556" s="6">
        <f>IFERROR(__xludf.DUMMYFUNCTION("""COMPUTED_VALUE"""),0.7016782407408755)</f>
        <v>0.7016782407</v>
      </c>
      <c r="D17556" s="4">
        <f>IFERROR(__xludf.DUMMYFUNCTION("""COMPUTED_VALUE"""),12.683041)</f>
        <v>12.683041</v>
      </c>
      <c r="E17556" s="4">
        <f>IFERROR(__xludf.DUMMYFUNCTION("""COMPUTED_VALUE"""),79.982964)</f>
        <v>79.982964</v>
      </c>
      <c r="F17556" s="4">
        <f>IFERROR(__xludf.DUMMYFUNCTION("""COMPUTED_VALUE"""),2846.0)</f>
        <v>2846</v>
      </c>
      <c r="G17556" s="4">
        <f>IFERROR(__xludf.DUMMYFUNCTION("""COMPUTED_VALUE"""),10.0)</f>
        <v>10</v>
      </c>
      <c r="H17556" s="4"/>
      <c r="I17556" s="4"/>
    </row>
    <row r="17557">
      <c r="A17557" s="4" t="str">
        <f>IFERROR(__xludf.DUMMYFUNCTION("""COMPUTED_VALUE"""),"cas_hmw")</f>
        <v>cas_hmw</v>
      </c>
      <c r="B17557" s="5">
        <f>IFERROR(__xludf.DUMMYFUNCTION("""COMPUTED_VALUE"""),44740.0)</f>
        <v>44740</v>
      </c>
      <c r="C17557" s="6">
        <f>IFERROR(__xludf.DUMMYFUNCTION("""COMPUTED_VALUE"""),0.7027430555572209)</f>
        <v>0.7027430556</v>
      </c>
      <c r="D17557" s="4">
        <f>IFERROR(__xludf.DUMMYFUNCTION("""COMPUTED_VALUE"""),13.006756)</f>
        <v>13.006756</v>
      </c>
      <c r="E17557" s="4">
        <f>IFERROR(__xludf.DUMMYFUNCTION("""COMPUTED_VALUE"""),80.247877)</f>
        <v>80.247877</v>
      </c>
      <c r="F17557" s="4">
        <f>IFERROR(__xludf.DUMMYFUNCTION("""COMPUTED_VALUE"""),805.0)</f>
        <v>805</v>
      </c>
      <c r="G17557" s="4">
        <f>IFERROR(__xludf.DUMMYFUNCTION("""COMPUTED_VALUE"""),0.0)</f>
        <v>0</v>
      </c>
      <c r="H17557" s="4"/>
      <c r="I17557" s="4"/>
    </row>
    <row r="17558">
      <c r="A17558" s="4" t="str">
        <f>IFERROR(__xludf.DUMMYFUNCTION("""COMPUTED_VALUE"""),"cas_hmw")</f>
        <v>cas_hmw</v>
      </c>
      <c r="B17558" s="5">
        <f>IFERROR(__xludf.DUMMYFUNCTION("""COMPUTED_VALUE"""),44740.0)</f>
        <v>44740</v>
      </c>
      <c r="C17558" s="6">
        <f>IFERROR(__xludf.DUMMYFUNCTION("""COMPUTED_VALUE"""),0.7033449074078817)</f>
        <v>0.7033449074</v>
      </c>
      <c r="D17558" s="4">
        <f>IFERROR(__xludf.DUMMYFUNCTION("""COMPUTED_VALUE"""),13.006842)</f>
        <v>13.006842</v>
      </c>
      <c r="E17558" s="4">
        <f>IFERROR(__xludf.DUMMYFUNCTION("""COMPUTED_VALUE"""),80.250909)</f>
        <v>80.250909</v>
      </c>
      <c r="F17558" s="4">
        <f>IFERROR(__xludf.DUMMYFUNCTION("""COMPUTED_VALUE"""),805.0)</f>
        <v>805</v>
      </c>
      <c r="G17558" s="4">
        <f>IFERROR(__xludf.DUMMYFUNCTION("""COMPUTED_VALUE"""),17.0)</f>
        <v>17</v>
      </c>
      <c r="H17558" s="4"/>
      <c r="I17558" s="4"/>
    </row>
    <row r="17559">
      <c r="A17559" s="4" t="str">
        <f>IFERROR(__xludf.DUMMYFUNCTION("""COMPUTED_VALUE"""),"cas_hmw")</f>
        <v>cas_hmw</v>
      </c>
      <c r="B17559" s="5">
        <f>IFERROR(__xludf.DUMMYFUNCTION("""COMPUTED_VALUE"""),44740.0)</f>
        <v>44740</v>
      </c>
      <c r="C17559" s="6">
        <f>IFERROR(__xludf.DUMMYFUNCTION("""COMPUTED_VALUE"""),0.703368055554165)</f>
        <v>0.7033680556</v>
      </c>
      <c r="D17559" s="4">
        <f>IFERROR(__xludf.DUMMYFUNCTION("""COMPUTED_VALUE"""),13.006842)</f>
        <v>13.006842</v>
      </c>
      <c r="E17559" s="4">
        <f>IFERROR(__xludf.DUMMYFUNCTION("""COMPUTED_VALUE"""),80.250909)</f>
        <v>80.250909</v>
      </c>
      <c r="F17559" s="4">
        <f>IFERROR(__xludf.DUMMYFUNCTION("""COMPUTED_VALUE"""),805.0)</f>
        <v>805</v>
      </c>
      <c r="G17559" s="4">
        <f>IFERROR(__xludf.DUMMYFUNCTION("""COMPUTED_VALUE"""),17.0)</f>
        <v>17</v>
      </c>
      <c r="H17559" s="4"/>
      <c r="I17559" s="4"/>
    </row>
    <row r="17560">
      <c r="A17560" s="4" t="str">
        <f>IFERROR(__xludf.DUMMYFUNCTION("""COMPUTED_VALUE"""),"cas_hmw")</f>
        <v>cas_hmw</v>
      </c>
      <c r="B17560" s="5">
        <f>IFERROR(__xludf.DUMMYFUNCTION("""COMPUTED_VALUE"""),44740.0)</f>
        <v>44740</v>
      </c>
      <c r="C17560" s="6">
        <f>IFERROR(__xludf.DUMMYFUNCTION("""COMPUTED_VALUE"""),0.703368055554165)</f>
        <v>0.7033680556</v>
      </c>
      <c r="D17560" s="4">
        <f>IFERROR(__xludf.DUMMYFUNCTION("""COMPUTED_VALUE"""),13.006842)</f>
        <v>13.006842</v>
      </c>
      <c r="E17560" s="4">
        <f>IFERROR(__xludf.DUMMYFUNCTION("""COMPUTED_VALUE"""),80.250909)</f>
        <v>80.250909</v>
      </c>
      <c r="F17560" s="4">
        <f>IFERROR(__xludf.DUMMYFUNCTION("""COMPUTED_VALUE"""),805.0)</f>
        <v>805</v>
      </c>
      <c r="G17560" s="4">
        <f>IFERROR(__xludf.DUMMYFUNCTION("""COMPUTED_VALUE"""),17.0)</f>
        <v>17</v>
      </c>
      <c r="H17560" s="4"/>
      <c r="I17560" s="4"/>
    </row>
    <row r="17561">
      <c r="A17561" s="4" t="str">
        <f>IFERROR(__xludf.DUMMYFUNCTION("""COMPUTED_VALUE"""),"cas_hmw")</f>
        <v>cas_hmw</v>
      </c>
      <c r="B17561" s="5">
        <f>IFERROR(__xludf.DUMMYFUNCTION("""COMPUTED_VALUE"""),44740.0)</f>
        <v>44740</v>
      </c>
      <c r="C17561" s="6">
        <f>IFERROR(__xludf.DUMMYFUNCTION("""COMPUTED_VALUE"""),0.7033796296309447)</f>
        <v>0.7033796296</v>
      </c>
      <c r="D17561" s="4">
        <f>IFERROR(__xludf.DUMMYFUNCTION("""COMPUTED_VALUE"""),13.006842)</f>
        <v>13.006842</v>
      </c>
      <c r="E17561" s="4">
        <f>IFERROR(__xludf.DUMMYFUNCTION("""COMPUTED_VALUE"""),80.250909)</f>
        <v>80.250909</v>
      </c>
      <c r="F17561" s="4">
        <f>IFERROR(__xludf.DUMMYFUNCTION("""COMPUTED_VALUE"""),805.0)</f>
        <v>805</v>
      </c>
      <c r="G17561" s="4">
        <f>IFERROR(__xludf.DUMMYFUNCTION("""COMPUTED_VALUE"""),17.0)</f>
        <v>17</v>
      </c>
      <c r="H17561" s="4"/>
      <c r="I17561" s="4"/>
    </row>
    <row r="17562">
      <c r="A17562" s="4" t="str">
        <f>IFERROR(__xludf.DUMMYFUNCTION("""COMPUTED_VALUE"""),"cas_hmw")</f>
        <v>cas_hmw</v>
      </c>
      <c r="B17562" s="5">
        <f>IFERROR(__xludf.DUMMYFUNCTION("""COMPUTED_VALUE"""),44740.0)</f>
        <v>44740</v>
      </c>
      <c r="C17562" s="6">
        <f>IFERROR(__xludf.DUMMYFUNCTION("""COMPUTED_VALUE"""),0.7036921296312357)</f>
        <v>0.7036921296</v>
      </c>
      <c r="D17562" s="4">
        <f>IFERROR(__xludf.DUMMYFUNCTION("""COMPUTED_VALUE"""),13.006851)</f>
        <v>13.006851</v>
      </c>
      <c r="E17562" s="4">
        <f>IFERROR(__xludf.DUMMYFUNCTION("""COMPUTED_VALUE"""),80.251545)</f>
        <v>80.251545</v>
      </c>
      <c r="F17562" s="4">
        <f>IFERROR(__xludf.DUMMYFUNCTION("""COMPUTED_VALUE"""),805.0)</f>
        <v>805</v>
      </c>
      <c r="G17562" s="4">
        <f>IFERROR(__xludf.DUMMYFUNCTION("""COMPUTED_VALUE"""),26.0)</f>
        <v>26</v>
      </c>
      <c r="H17562" s="4"/>
      <c r="I17562" s="4"/>
    </row>
    <row r="17563">
      <c r="A17563" s="4" t="str">
        <f>IFERROR(__xludf.DUMMYFUNCTION("""COMPUTED_VALUE"""),"cas_hmw")</f>
        <v>cas_hmw</v>
      </c>
      <c r="B17563" s="5">
        <f>IFERROR(__xludf.DUMMYFUNCTION("""COMPUTED_VALUE"""),44740.0)</f>
        <v>44740</v>
      </c>
      <c r="C17563" s="6">
        <f>IFERROR(__xludf.DUMMYFUNCTION("""COMPUTED_VALUE"""),0.7038425925929914)</f>
        <v>0.7038425926</v>
      </c>
      <c r="D17563" s="4">
        <f>IFERROR(__xludf.DUMMYFUNCTION("""COMPUTED_VALUE"""),13.006602)</f>
        <v>13.006602</v>
      </c>
      <c r="E17563" s="4">
        <f>IFERROR(__xludf.DUMMYFUNCTION("""COMPUTED_VALUE"""),80.252794)</f>
        <v>80.252794</v>
      </c>
      <c r="F17563" s="4">
        <f>IFERROR(__xludf.DUMMYFUNCTION("""COMPUTED_VALUE"""),805.0)</f>
        <v>805</v>
      </c>
      <c r="G17563" s="4">
        <f>IFERROR(__xludf.DUMMYFUNCTION("""COMPUTED_VALUE"""),28.0)</f>
        <v>28</v>
      </c>
      <c r="H17563" s="4"/>
      <c r="I17563" s="4"/>
    </row>
    <row r="17564">
      <c r="A17564" s="4" t="str">
        <f>IFERROR(__xludf.DUMMYFUNCTION("""COMPUTED_VALUE"""),"cas_hmw")</f>
        <v>cas_hmw</v>
      </c>
      <c r="B17564" s="5">
        <f>IFERROR(__xludf.DUMMYFUNCTION("""COMPUTED_VALUE"""),44740.0)</f>
        <v>44740</v>
      </c>
      <c r="C17564" s="6">
        <f>IFERROR(__xludf.DUMMYFUNCTION("""COMPUTED_VALUE"""),0.7044097222205892)</f>
        <v>0.7044097222</v>
      </c>
      <c r="D17564" s="4">
        <f>IFERROR(__xludf.DUMMYFUNCTION("""COMPUTED_VALUE"""),13.026367)</f>
        <v>13.026367</v>
      </c>
      <c r="E17564" s="4">
        <f>IFERROR(__xludf.DUMMYFUNCTION("""COMPUTED_VALUE"""),80.232523)</f>
        <v>80.232523</v>
      </c>
      <c r="F17564" s="4">
        <f>IFERROR(__xludf.DUMMYFUNCTION("""COMPUTED_VALUE"""),5339.0)</f>
        <v>5339</v>
      </c>
      <c r="G17564" s="4">
        <f>IFERROR(__xludf.DUMMYFUNCTION("""COMPUTED_VALUE"""),33.0)</f>
        <v>33</v>
      </c>
      <c r="H17564" s="4"/>
      <c r="I17564" s="4"/>
    </row>
    <row r="17565">
      <c r="A17565" s="4" t="str">
        <f>IFERROR(__xludf.DUMMYFUNCTION("""COMPUTED_VALUE"""),"cas_hmw")</f>
        <v>cas_hmw</v>
      </c>
      <c r="B17565" s="5">
        <f>IFERROR(__xludf.DUMMYFUNCTION("""COMPUTED_VALUE"""),44740.0)</f>
        <v>44740</v>
      </c>
      <c r="C17565" s="6">
        <f>IFERROR(__xludf.DUMMYFUNCTION("""COMPUTED_VALUE"""),0.7051157407404389)</f>
        <v>0.7051157407</v>
      </c>
      <c r="D17565" s="4">
        <f>IFERROR(__xludf.DUMMYFUNCTION("""COMPUTED_VALUE"""),13.00679)</f>
        <v>13.00679</v>
      </c>
      <c r="E17565" s="4">
        <f>IFERROR(__xludf.DUMMYFUNCTION("""COMPUTED_VALUE"""),80.257327)</f>
        <v>80.257327</v>
      </c>
      <c r="F17565" s="4">
        <f>IFERROR(__xludf.DUMMYFUNCTION("""COMPUTED_VALUE"""),805.0)</f>
        <v>805</v>
      </c>
      <c r="G17565" s="4">
        <f>IFERROR(__xludf.DUMMYFUNCTION("""COMPUTED_VALUE"""),0.0)</f>
        <v>0</v>
      </c>
      <c r="H17565" s="4"/>
      <c r="I17565" s="4"/>
    </row>
    <row r="17566">
      <c r="A17566" s="4" t="str">
        <f>IFERROR(__xludf.DUMMYFUNCTION("""COMPUTED_VALUE"""),"cas_hmw")</f>
        <v>cas_hmw</v>
      </c>
      <c r="B17566" s="5">
        <f>IFERROR(__xludf.DUMMYFUNCTION("""COMPUTED_VALUE"""),44740.0)</f>
        <v>44740</v>
      </c>
      <c r="C17566" s="6">
        <f>IFERROR(__xludf.DUMMYFUNCTION("""COMPUTED_VALUE"""),0.705844907406572)</f>
        <v>0.7058449074</v>
      </c>
      <c r="D17566" s="4">
        <f>IFERROR(__xludf.DUMMYFUNCTION("""COMPUTED_VALUE"""),13.030601)</f>
        <v>13.030601</v>
      </c>
      <c r="E17566" s="4">
        <f>IFERROR(__xludf.DUMMYFUNCTION("""COMPUTED_VALUE"""),80.238815)</f>
        <v>80.238815</v>
      </c>
      <c r="F17566" s="4">
        <f>IFERROR(__xludf.DUMMYFUNCTION("""COMPUTED_VALUE"""),5339.0)</f>
        <v>5339</v>
      </c>
      <c r="G17566" s="4">
        <f>IFERROR(__xludf.DUMMYFUNCTION("""COMPUTED_VALUE"""),0.0)</f>
        <v>0</v>
      </c>
      <c r="H17566" s="4"/>
      <c r="I17566" s="4"/>
    </row>
    <row r="17567">
      <c r="A17567" s="4" t="str">
        <f>IFERROR(__xludf.DUMMYFUNCTION("""COMPUTED_VALUE"""),"cas_hmw")</f>
        <v>cas_hmw</v>
      </c>
      <c r="B17567" s="5">
        <f>IFERROR(__xludf.DUMMYFUNCTION("""COMPUTED_VALUE"""),44740.0)</f>
        <v>44740</v>
      </c>
      <c r="C17567" s="6">
        <f>IFERROR(__xludf.DUMMYFUNCTION("""COMPUTED_VALUE"""),0.705844907406572)</f>
        <v>0.7058449074</v>
      </c>
      <c r="D17567" s="4">
        <f>IFERROR(__xludf.DUMMYFUNCTION("""COMPUTED_VALUE"""),13.030601)</f>
        <v>13.030601</v>
      </c>
      <c r="E17567" s="4">
        <f>IFERROR(__xludf.DUMMYFUNCTION("""COMPUTED_VALUE"""),80.238815)</f>
        <v>80.238815</v>
      </c>
      <c r="F17567" s="4">
        <f>IFERROR(__xludf.DUMMYFUNCTION("""COMPUTED_VALUE"""),5339.0)</f>
        <v>5339</v>
      </c>
      <c r="G17567" s="4">
        <f>IFERROR(__xludf.DUMMYFUNCTION("""COMPUTED_VALUE"""),0.0)</f>
        <v>0</v>
      </c>
      <c r="H17567" s="4"/>
      <c r="I17567" s="4"/>
    </row>
    <row r="17568">
      <c r="A17568" s="4" t="str">
        <f>IFERROR(__xludf.DUMMYFUNCTION("""COMPUTED_VALUE"""),"cas_hmw")</f>
        <v>cas_hmw</v>
      </c>
      <c r="B17568" s="5">
        <f>IFERROR(__xludf.DUMMYFUNCTION("""COMPUTED_VALUE"""),44740.0)</f>
        <v>44740</v>
      </c>
      <c r="C17568" s="6">
        <f>IFERROR(__xludf.DUMMYFUNCTION("""COMPUTED_VALUE"""),0.7058680555564933)</f>
        <v>0.7058680556</v>
      </c>
      <c r="D17568" s="4">
        <f>IFERROR(__xludf.DUMMYFUNCTION("""COMPUTED_VALUE"""),13.007516)</f>
        <v>13.007516</v>
      </c>
      <c r="E17568" s="4">
        <f>IFERROR(__xludf.DUMMYFUNCTION("""COMPUTED_VALUE"""),80.258624)</f>
        <v>80.258624</v>
      </c>
      <c r="F17568" s="4">
        <f>IFERROR(__xludf.DUMMYFUNCTION("""COMPUTED_VALUE"""),805.0)</f>
        <v>805</v>
      </c>
      <c r="G17568" s="4">
        <f>IFERROR(__xludf.DUMMYFUNCTION("""COMPUTED_VALUE"""),12.0)</f>
        <v>12</v>
      </c>
      <c r="H17568" s="4"/>
      <c r="I17568" s="4"/>
    </row>
    <row r="17569">
      <c r="A17569" s="4" t="str">
        <f>IFERROR(__xludf.DUMMYFUNCTION("""COMPUTED_VALUE"""),"cas_hmw")</f>
        <v>cas_hmw</v>
      </c>
      <c r="B17569" s="5">
        <f>IFERROR(__xludf.DUMMYFUNCTION("""COMPUTED_VALUE"""),44740.0)</f>
        <v>44740</v>
      </c>
      <c r="C17569" s="6">
        <f>IFERROR(__xludf.DUMMYFUNCTION("""COMPUTED_VALUE"""),0.705983796295186)</f>
        <v>0.7059837963</v>
      </c>
      <c r="D17569" s="4">
        <f>IFERROR(__xludf.DUMMYFUNCTION("""COMPUTED_VALUE"""),13.030601)</f>
        <v>13.030601</v>
      </c>
      <c r="E17569" s="4">
        <f>IFERROR(__xludf.DUMMYFUNCTION("""COMPUTED_VALUE"""),80.238815)</f>
        <v>80.238815</v>
      </c>
      <c r="F17569" s="4">
        <f>IFERROR(__xludf.DUMMYFUNCTION("""COMPUTED_VALUE"""),5339.0)</f>
        <v>5339</v>
      </c>
      <c r="G17569" s="4">
        <f>IFERROR(__xludf.DUMMYFUNCTION("""COMPUTED_VALUE"""),0.0)</f>
        <v>0</v>
      </c>
      <c r="H17569" s="4"/>
      <c r="I17569" s="4"/>
    </row>
    <row r="17570">
      <c r="A17570" s="4" t="str">
        <f>IFERROR(__xludf.DUMMYFUNCTION("""COMPUTED_VALUE"""),"cas_hmw")</f>
        <v>cas_hmw</v>
      </c>
      <c r="B17570" s="5">
        <f>IFERROR(__xludf.DUMMYFUNCTION("""COMPUTED_VALUE"""),44740.0)</f>
        <v>44740</v>
      </c>
      <c r="C17570" s="6">
        <f>IFERROR(__xludf.DUMMYFUNCTION("""COMPUTED_VALUE"""),0.7092245370367891)</f>
        <v>0.709224537</v>
      </c>
      <c r="D17570" s="4">
        <f>IFERROR(__xludf.DUMMYFUNCTION("""COMPUTED_VALUE"""),13.023215)</f>
        <v>13.023215</v>
      </c>
      <c r="E17570" s="4">
        <f>IFERROR(__xludf.DUMMYFUNCTION("""COMPUTED_VALUE"""),80.263957)</f>
        <v>80.263957</v>
      </c>
      <c r="F17570" s="4">
        <f>IFERROR(__xludf.DUMMYFUNCTION("""COMPUTED_VALUE"""),805.0)</f>
        <v>805</v>
      </c>
      <c r="G17570" s="4">
        <f>IFERROR(__xludf.DUMMYFUNCTION("""COMPUTED_VALUE"""),25.0)</f>
        <v>25</v>
      </c>
      <c r="H17570" s="4"/>
      <c r="I17570" s="4"/>
    </row>
    <row r="17571">
      <c r="A17571" s="4" t="str">
        <f>IFERROR(__xludf.DUMMYFUNCTION("""COMPUTED_VALUE"""),"cas_hmw")</f>
        <v>cas_hmw</v>
      </c>
      <c r="B17571" s="5">
        <f>IFERROR(__xludf.DUMMYFUNCTION("""COMPUTED_VALUE"""),44740.0)</f>
        <v>44740</v>
      </c>
      <c r="C17571" s="6">
        <f>IFERROR(__xludf.DUMMYFUNCTION("""COMPUTED_VALUE"""),0.7119560185201408)</f>
        <v>0.7119560185</v>
      </c>
      <c r="D17571" s="4">
        <f>IFERROR(__xludf.DUMMYFUNCTION("""COMPUTED_VALUE"""),13.04152)</f>
        <v>13.04152</v>
      </c>
      <c r="E17571" s="4">
        <f>IFERROR(__xludf.DUMMYFUNCTION("""COMPUTED_VALUE"""),80.247299)</f>
        <v>80.247299</v>
      </c>
      <c r="F17571" s="4">
        <f>IFERROR(__xludf.DUMMYFUNCTION("""COMPUTED_VALUE"""),5339.0)</f>
        <v>5339</v>
      </c>
      <c r="G17571" s="4">
        <f>IFERROR(__xludf.DUMMYFUNCTION("""COMPUTED_VALUE"""),28.0)</f>
        <v>28</v>
      </c>
      <c r="H17571" s="4"/>
      <c r="I17571" s="4"/>
    </row>
    <row r="17572">
      <c r="A17572" s="4" t="str">
        <f>IFERROR(__xludf.DUMMYFUNCTION("""COMPUTED_VALUE"""),"cas_hmw")</f>
        <v>cas_hmw</v>
      </c>
      <c r="B17572" s="5">
        <f>IFERROR(__xludf.DUMMYFUNCTION("""COMPUTED_VALUE"""),44740.0)</f>
        <v>44740</v>
      </c>
      <c r="C17572" s="6">
        <f>IFERROR(__xludf.DUMMYFUNCTION("""COMPUTED_VALUE"""),0.7130324074059899)</f>
        <v>0.7130324074</v>
      </c>
      <c r="D17572" s="4">
        <f>IFERROR(__xludf.DUMMYFUNCTION("""COMPUTED_VALUE"""),12.614036)</f>
        <v>12.614036</v>
      </c>
      <c r="E17572" s="4">
        <f>IFERROR(__xludf.DUMMYFUNCTION("""COMPUTED_VALUE"""),79.92508)</f>
        <v>79.92508</v>
      </c>
      <c r="F17572" s="4">
        <f>IFERROR(__xludf.DUMMYFUNCTION("""COMPUTED_VALUE"""),2846.0)</f>
        <v>2846</v>
      </c>
      <c r="G17572" s="4">
        <f>IFERROR(__xludf.DUMMYFUNCTION("""COMPUTED_VALUE"""),59.0)</f>
        <v>59</v>
      </c>
      <c r="H17572" s="4"/>
      <c r="I17572" s="4"/>
    </row>
    <row r="17573">
      <c r="A17573" s="4" t="str">
        <f>IFERROR(__xludf.DUMMYFUNCTION("""COMPUTED_VALUE"""),"cas_hmw")</f>
        <v>cas_hmw</v>
      </c>
      <c r="B17573" s="5">
        <f>IFERROR(__xludf.DUMMYFUNCTION("""COMPUTED_VALUE"""),44740.0)</f>
        <v>44740</v>
      </c>
      <c r="C17573" s="6">
        <f>IFERROR(__xludf.DUMMYFUNCTION("""COMPUTED_VALUE"""),0.7140856481491937)</f>
        <v>0.7140856481</v>
      </c>
      <c r="D17573" s="4">
        <f>IFERROR(__xludf.DUMMYFUNCTION("""COMPUTED_VALUE"""),13.050193)</f>
        <v>13.050193</v>
      </c>
      <c r="E17573" s="4">
        <f>IFERROR(__xludf.DUMMYFUNCTION("""COMPUTED_VALUE"""),80.249821)</f>
        <v>80.249821</v>
      </c>
      <c r="F17573" s="4">
        <f>IFERROR(__xludf.DUMMYFUNCTION("""COMPUTED_VALUE"""),5339.0)</f>
        <v>5339</v>
      </c>
      <c r="G17573" s="4">
        <f>IFERROR(__xludf.DUMMYFUNCTION("""COMPUTED_VALUE"""),35.0)</f>
        <v>35</v>
      </c>
      <c r="H17573" s="4"/>
      <c r="I17573" s="4"/>
    </row>
    <row r="17574">
      <c r="A17574" s="4" t="str">
        <f>IFERROR(__xludf.DUMMYFUNCTION("""COMPUTED_VALUE"""),"cas_hmw")</f>
        <v>cas_hmw</v>
      </c>
      <c r="B17574" s="5">
        <f>IFERROR(__xludf.DUMMYFUNCTION("""COMPUTED_VALUE"""),44740.0)</f>
        <v>44740</v>
      </c>
      <c r="C17574" s="6">
        <f>IFERROR(__xludf.DUMMYFUNCTION("""COMPUTED_VALUE"""),0.7148032407421852)</f>
        <v>0.7148032407</v>
      </c>
      <c r="D17574" s="4">
        <f>IFERROR(__xludf.DUMMYFUNCTION("""COMPUTED_VALUE"""),13.053973)</f>
        <v>13.053973</v>
      </c>
      <c r="E17574" s="4">
        <f>IFERROR(__xludf.DUMMYFUNCTION("""COMPUTED_VALUE"""),80.253133)</f>
        <v>80.253133</v>
      </c>
      <c r="F17574" s="4">
        <f>IFERROR(__xludf.DUMMYFUNCTION("""COMPUTED_VALUE"""),5339.0)</f>
        <v>5339</v>
      </c>
      <c r="G17574" s="4">
        <f>IFERROR(__xludf.DUMMYFUNCTION("""COMPUTED_VALUE"""),0.0)</f>
        <v>0</v>
      </c>
      <c r="H17574" s="4"/>
      <c r="I17574" s="4"/>
    </row>
    <row r="17575">
      <c r="A17575" s="4" t="str">
        <f>IFERROR(__xludf.DUMMYFUNCTION("""COMPUTED_VALUE"""),"cas_hmw")</f>
        <v>cas_hmw</v>
      </c>
      <c r="B17575" s="5">
        <f>IFERROR(__xludf.DUMMYFUNCTION("""COMPUTED_VALUE"""),44740.0)</f>
        <v>44740</v>
      </c>
      <c r="C17575" s="6">
        <f>IFERROR(__xludf.DUMMYFUNCTION("""COMPUTED_VALUE"""),0.7148148148153268)</f>
        <v>0.7148148148</v>
      </c>
      <c r="D17575" s="4">
        <f>IFERROR(__xludf.DUMMYFUNCTION("""COMPUTED_VALUE"""),13.053973)</f>
        <v>13.053973</v>
      </c>
      <c r="E17575" s="4">
        <f>IFERROR(__xludf.DUMMYFUNCTION("""COMPUTED_VALUE"""),80.253133)</f>
        <v>80.253133</v>
      </c>
      <c r="F17575" s="4">
        <f>IFERROR(__xludf.DUMMYFUNCTION("""COMPUTED_VALUE"""),5339.0)</f>
        <v>5339</v>
      </c>
      <c r="G17575" s="4">
        <f>IFERROR(__xludf.DUMMYFUNCTION("""COMPUTED_VALUE"""),0.0)</f>
        <v>0</v>
      </c>
      <c r="H17575" s="4"/>
      <c r="I17575" s="4"/>
    </row>
    <row r="17576">
      <c r="A17576" s="4" t="str">
        <f>IFERROR(__xludf.DUMMYFUNCTION("""COMPUTED_VALUE"""),"cas_hmw")</f>
        <v>cas_hmw</v>
      </c>
      <c r="B17576" s="5">
        <f>IFERROR(__xludf.DUMMYFUNCTION("""COMPUTED_VALUE"""),44740.0)</f>
        <v>44740</v>
      </c>
      <c r="C17576" s="6">
        <f>IFERROR(__xludf.DUMMYFUNCTION("""COMPUTED_VALUE"""),0.7160185185202863)</f>
        <v>0.7160185185</v>
      </c>
      <c r="D17576" s="4">
        <f>IFERROR(__xludf.DUMMYFUNCTION("""COMPUTED_VALUE"""),13.057551)</f>
        <v>13.057551</v>
      </c>
      <c r="E17576" s="4">
        <f>IFERROR(__xludf.DUMMYFUNCTION("""COMPUTED_VALUE"""),80.257682)</f>
        <v>80.257682</v>
      </c>
      <c r="F17576" s="4">
        <f>IFERROR(__xludf.DUMMYFUNCTION("""COMPUTED_VALUE"""),5339.0)</f>
        <v>5339</v>
      </c>
      <c r="G17576" s="4">
        <f>IFERROR(__xludf.DUMMYFUNCTION("""COMPUTED_VALUE"""),6.0)</f>
        <v>6</v>
      </c>
      <c r="H17576" s="4"/>
      <c r="I17576" s="4"/>
    </row>
    <row r="17577">
      <c r="A17577" s="4" t="str">
        <f>IFERROR(__xludf.DUMMYFUNCTION("""COMPUTED_VALUE"""),"cas_hmw")</f>
        <v>cas_hmw</v>
      </c>
      <c r="B17577" s="5">
        <f>IFERROR(__xludf.DUMMYFUNCTION("""COMPUTED_VALUE"""),44740.0)</f>
        <v>44740</v>
      </c>
      <c r="C17577" s="6">
        <f>IFERROR(__xludf.DUMMYFUNCTION("""COMPUTED_VALUE"""),0.7160532407397113)</f>
        <v>0.7160532407</v>
      </c>
      <c r="D17577" s="4">
        <f>IFERROR(__xludf.DUMMYFUNCTION("""COMPUTED_VALUE"""),13.057029)</f>
        <v>13.057029</v>
      </c>
      <c r="E17577" s="4">
        <f>IFERROR(__xludf.DUMMYFUNCTION("""COMPUTED_VALUE"""),80.2578)</f>
        <v>80.2578</v>
      </c>
      <c r="F17577" s="4">
        <f>IFERROR(__xludf.DUMMYFUNCTION("""COMPUTED_VALUE"""),5339.0)</f>
        <v>5339</v>
      </c>
      <c r="G17577" s="4">
        <f>IFERROR(__xludf.DUMMYFUNCTION("""COMPUTED_VALUE"""),23.0)</f>
        <v>23</v>
      </c>
      <c r="H17577" s="4"/>
      <c r="I17577" s="4"/>
    </row>
    <row r="17578">
      <c r="A17578" s="4" t="str">
        <f>IFERROR(__xludf.DUMMYFUNCTION("""COMPUTED_VALUE"""),"cas_hmw")</f>
        <v>cas_hmw</v>
      </c>
      <c r="B17578" s="5">
        <f>IFERROR(__xludf.DUMMYFUNCTION("""COMPUTED_VALUE"""),44740.0)</f>
        <v>44740</v>
      </c>
      <c r="C17578" s="6">
        <f>IFERROR(__xludf.DUMMYFUNCTION("""COMPUTED_VALUE"""),0.7160763888896327)</f>
        <v>0.7160763889</v>
      </c>
      <c r="D17578" s="4">
        <f>IFERROR(__xludf.DUMMYFUNCTION("""COMPUTED_VALUE"""),13.057029)</f>
        <v>13.057029</v>
      </c>
      <c r="E17578" s="4">
        <f>IFERROR(__xludf.DUMMYFUNCTION("""COMPUTED_VALUE"""),80.2578)</f>
        <v>80.2578</v>
      </c>
      <c r="F17578" s="4">
        <f>IFERROR(__xludf.DUMMYFUNCTION("""COMPUTED_VALUE"""),5339.0)</f>
        <v>5339</v>
      </c>
      <c r="G17578" s="4">
        <f>IFERROR(__xludf.DUMMYFUNCTION("""COMPUTED_VALUE"""),23.0)</f>
        <v>23</v>
      </c>
      <c r="H17578" s="4"/>
      <c r="I17578" s="4"/>
    </row>
    <row r="17579">
      <c r="A17579" s="4" t="str">
        <f>IFERROR(__xludf.DUMMYFUNCTION("""COMPUTED_VALUE"""),"cas_hmw")</f>
        <v>cas_hmw</v>
      </c>
      <c r="B17579" s="5">
        <f>IFERROR(__xludf.DUMMYFUNCTION("""COMPUTED_VALUE"""),44740.0)</f>
        <v>44740</v>
      </c>
      <c r="C17579" s="6">
        <f>IFERROR(__xludf.DUMMYFUNCTION("""COMPUTED_VALUE"""),0.7169444444443798)</f>
        <v>0.7169444444</v>
      </c>
      <c r="D17579" s="4">
        <f>IFERROR(__xludf.DUMMYFUNCTION("""COMPUTED_VALUE"""),13.05471)</f>
        <v>13.05471</v>
      </c>
      <c r="E17579" s="4">
        <f>IFERROR(__xludf.DUMMYFUNCTION("""COMPUTED_VALUE"""),80.254722)</f>
        <v>80.254722</v>
      </c>
      <c r="F17579" s="4">
        <f>IFERROR(__xludf.DUMMYFUNCTION("""COMPUTED_VALUE"""),5339.0)</f>
        <v>5339</v>
      </c>
      <c r="G17579" s="4">
        <f>IFERROR(__xludf.DUMMYFUNCTION("""COMPUTED_VALUE"""),18.0)</f>
        <v>18</v>
      </c>
      <c r="H17579" s="4"/>
      <c r="I17579" s="4"/>
    </row>
    <row r="17580">
      <c r="A17580" s="4" t="str">
        <f>IFERROR(__xludf.DUMMYFUNCTION("""COMPUTED_VALUE"""),"cas_hmw")</f>
        <v>cas_hmw</v>
      </c>
      <c r="B17580" s="5">
        <f>IFERROR(__xludf.DUMMYFUNCTION("""COMPUTED_VALUE"""),44740.0)</f>
        <v>44740</v>
      </c>
      <c r="C17580" s="6">
        <f>IFERROR(__xludf.DUMMYFUNCTION("""COMPUTED_VALUE"""),0.718576388888323)</f>
        <v>0.7185763889</v>
      </c>
      <c r="D17580" s="4">
        <f>IFERROR(__xludf.DUMMYFUNCTION("""COMPUTED_VALUE"""),13.048301)</f>
        <v>13.048301</v>
      </c>
      <c r="E17580" s="4">
        <f>IFERROR(__xludf.DUMMYFUNCTION("""COMPUTED_VALUE"""),80.265702)</f>
        <v>80.265702</v>
      </c>
      <c r="F17580" s="4">
        <f>IFERROR(__xludf.DUMMYFUNCTION("""COMPUTED_VALUE"""),805.0)</f>
        <v>805</v>
      </c>
      <c r="G17580" s="4">
        <f>IFERROR(__xludf.DUMMYFUNCTION("""COMPUTED_VALUE"""),23.0)</f>
        <v>23</v>
      </c>
      <c r="H17580" s="4"/>
      <c r="I17580" s="4"/>
    </row>
    <row r="17581">
      <c r="A17581" s="4" t="str">
        <f>IFERROR(__xludf.DUMMYFUNCTION("""COMPUTED_VALUE"""),"cas_hmw")</f>
        <v>cas_hmw</v>
      </c>
      <c r="B17581" s="5">
        <f>IFERROR(__xludf.DUMMYFUNCTION("""COMPUTED_VALUE"""),44740.0)</f>
        <v>44740</v>
      </c>
      <c r="C17581" s="6">
        <f>IFERROR(__xludf.DUMMYFUNCTION("""COMPUTED_VALUE"""),0.7185995370382443)</f>
        <v>0.718599537</v>
      </c>
      <c r="D17581" s="4">
        <f>IFERROR(__xludf.DUMMYFUNCTION("""COMPUTED_VALUE"""),13.048301)</f>
        <v>13.048301</v>
      </c>
      <c r="E17581" s="4">
        <f>IFERROR(__xludf.DUMMYFUNCTION("""COMPUTED_VALUE"""),80.265702)</f>
        <v>80.265702</v>
      </c>
      <c r="F17581" s="4">
        <f>IFERROR(__xludf.DUMMYFUNCTION("""COMPUTED_VALUE"""),805.0)</f>
        <v>805</v>
      </c>
      <c r="G17581" s="4">
        <f>IFERROR(__xludf.DUMMYFUNCTION("""COMPUTED_VALUE"""),23.0)</f>
        <v>23</v>
      </c>
      <c r="H17581" s="4"/>
      <c r="I17581" s="4"/>
    </row>
    <row r="17582">
      <c r="A17582" s="4" t="str">
        <f>IFERROR(__xludf.DUMMYFUNCTION("""COMPUTED_VALUE"""),"cas_hmw")</f>
        <v>cas_hmw</v>
      </c>
      <c r="B17582" s="5">
        <f>IFERROR(__xludf.DUMMYFUNCTION("""COMPUTED_VALUE"""),44740.0)</f>
        <v>44740</v>
      </c>
      <c r="C17582" s="6">
        <f>IFERROR(__xludf.DUMMYFUNCTION("""COMPUTED_VALUE"""),0.7186342592576693)</f>
        <v>0.7186342593</v>
      </c>
      <c r="D17582" s="4">
        <f>IFERROR(__xludf.DUMMYFUNCTION("""COMPUTED_VALUE"""),13.048301)</f>
        <v>13.048301</v>
      </c>
      <c r="E17582" s="4">
        <f>IFERROR(__xludf.DUMMYFUNCTION("""COMPUTED_VALUE"""),80.265702)</f>
        <v>80.265702</v>
      </c>
      <c r="F17582" s="4">
        <f>IFERROR(__xludf.DUMMYFUNCTION("""COMPUTED_VALUE"""),805.0)</f>
        <v>805</v>
      </c>
      <c r="G17582" s="4">
        <f>IFERROR(__xludf.DUMMYFUNCTION("""COMPUTED_VALUE"""),23.0)</f>
        <v>23</v>
      </c>
      <c r="H17582" s="4"/>
      <c r="I17582" s="4"/>
    </row>
    <row r="17583">
      <c r="A17583" s="4" t="str">
        <f>IFERROR(__xludf.DUMMYFUNCTION("""COMPUTED_VALUE"""),"cas_hmw")</f>
        <v>cas_hmw</v>
      </c>
      <c r="B17583" s="5">
        <f>IFERROR(__xludf.DUMMYFUNCTION("""COMPUTED_VALUE"""),44740.0)</f>
        <v>44740</v>
      </c>
      <c r="C17583" s="6">
        <f>IFERROR(__xludf.DUMMYFUNCTION("""COMPUTED_VALUE"""),0.718645833334449)</f>
        <v>0.7186458333</v>
      </c>
      <c r="D17583" s="4">
        <f>IFERROR(__xludf.DUMMYFUNCTION("""COMPUTED_VALUE"""),13.048301)</f>
        <v>13.048301</v>
      </c>
      <c r="E17583" s="4">
        <f>IFERROR(__xludf.DUMMYFUNCTION("""COMPUTED_VALUE"""),80.265702)</f>
        <v>80.265702</v>
      </c>
      <c r="F17583" s="4">
        <f>IFERROR(__xludf.DUMMYFUNCTION("""COMPUTED_VALUE"""),805.0)</f>
        <v>805</v>
      </c>
      <c r="G17583" s="4">
        <f>IFERROR(__xludf.DUMMYFUNCTION("""COMPUTED_VALUE"""),23.0)</f>
        <v>23</v>
      </c>
      <c r="H17583" s="4"/>
      <c r="I17583" s="4"/>
    </row>
    <row r="17584">
      <c r="A17584" s="4" t="str">
        <f>IFERROR(__xludf.DUMMYFUNCTION("""COMPUTED_VALUE"""),"cas_hmw")</f>
        <v>cas_hmw</v>
      </c>
      <c r="B17584" s="5">
        <f>IFERROR(__xludf.DUMMYFUNCTION("""COMPUTED_VALUE"""),44740.0)</f>
        <v>44740</v>
      </c>
      <c r="C17584" s="6">
        <f>IFERROR(__xludf.DUMMYFUNCTION("""COMPUTED_VALUE"""),0.718645833334449)</f>
        <v>0.7186458333</v>
      </c>
      <c r="D17584" s="4">
        <f>IFERROR(__xludf.DUMMYFUNCTION("""COMPUTED_VALUE"""),13.048301)</f>
        <v>13.048301</v>
      </c>
      <c r="E17584" s="4">
        <f>IFERROR(__xludf.DUMMYFUNCTION("""COMPUTED_VALUE"""),80.265702)</f>
        <v>80.265702</v>
      </c>
      <c r="F17584" s="4">
        <f>IFERROR(__xludf.DUMMYFUNCTION("""COMPUTED_VALUE"""),805.0)</f>
        <v>805</v>
      </c>
      <c r="G17584" s="4">
        <f>IFERROR(__xludf.DUMMYFUNCTION("""COMPUTED_VALUE"""),23.0)</f>
        <v>23</v>
      </c>
      <c r="H17584" s="4"/>
      <c r="I17584" s="4"/>
    </row>
    <row r="17585">
      <c r="A17585" s="4" t="str">
        <f>IFERROR(__xludf.DUMMYFUNCTION("""COMPUTED_VALUE"""),"cas_hmw")</f>
        <v>cas_hmw</v>
      </c>
      <c r="B17585" s="5">
        <f>IFERROR(__xludf.DUMMYFUNCTION("""COMPUTED_VALUE"""),44740.0)</f>
        <v>44740</v>
      </c>
      <c r="C17585" s="6">
        <f>IFERROR(__xludf.DUMMYFUNCTION("""COMPUTED_VALUE"""),0.7209606481483206)</f>
        <v>0.7209606481</v>
      </c>
      <c r="D17585" s="4">
        <f>IFERROR(__xludf.DUMMYFUNCTION("""COMPUTED_VALUE"""),13.055159)</f>
        <v>13.055159</v>
      </c>
      <c r="E17585" s="4">
        <f>IFERROR(__xludf.DUMMYFUNCTION("""COMPUTED_VALUE"""),80.264319)</f>
        <v>80.264319</v>
      </c>
      <c r="F17585" s="4">
        <f>IFERROR(__xludf.DUMMYFUNCTION("""COMPUTED_VALUE"""),805.0)</f>
        <v>805</v>
      </c>
      <c r="G17585" s="4">
        <f>IFERROR(__xludf.DUMMYFUNCTION("""COMPUTED_VALUE"""),16.0)</f>
        <v>16</v>
      </c>
      <c r="H17585" s="4"/>
      <c r="I17585" s="4"/>
    </row>
    <row r="17586">
      <c r="A17586" s="4" t="str">
        <f>IFERROR(__xludf.DUMMYFUNCTION("""COMPUTED_VALUE"""),"cas_hmw")</f>
        <v>cas_hmw</v>
      </c>
      <c r="B17586" s="5">
        <f>IFERROR(__xludf.DUMMYFUNCTION("""COMPUTED_VALUE"""),44740.0)</f>
        <v>44740</v>
      </c>
      <c r="C17586" s="6">
        <f>IFERROR(__xludf.DUMMYFUNCTION("""COMPUTED_VALUE"""),0.7209953703713836)</f>
        <v>0.7209953704</v>
      </c>
      <c r="D17586" s="4">
        <f>IFERROR(__xludf.DUMMYFUNCTION("""COMPUTED_VALUE"""),13.055159)</f>
        <v>13.055159</v>
      </c>
      <c r="E17586" s="4">
        <f>IFERROR(__xludf.DUMMYFUNCTION("""COMPUTED_VALUE"""),80.264319)</f>
        <v>80.264319</v>
      </c>
      <c r="F17586" s="4">
        <f>IFERROR(__xludf.DUMMYFUNCTION("""COMPUTED_VALUE"""),805.0)</f>
        <v>805</v>
      </c>
      <c r="G17586" s="4">
        <f>IFERROR(__xludf.DUMMYFUNCTION("""COMPUTED_VALUE"""),16.0)</f>
        <v>16</v>
      </c>
      <c r="H17586" s="4"/>
      <c r="I17586" s="4"/>
    </row>
    <row r="17587">
      <c r="A17587" s="4" t="str">
        <f>IFERROR(__xludf.DUMMYFUNCTION("""COMPUTED_VALUE"""),"cas_hmw")</f>
        <v>cas_hmw</v>
      </c>
      <c r="B17587" s="5">
        <f>IFERROR(__xludf.DUMMYFUNCTION("""COMPUTED_VALUE"""),44740.0)</f>
        <v>44740</v>
      </c>
      <c r="C17587" s="6">
        <f>IFERROR(__xludf.DUMMYFUNCTION("""COMPUTED_VALUE"""),0.7209953703713836)</f>
        <v>0.7209953704</v>
      </c>
      <c r="D17587" s="4">
        <f>IFERROR(__xludf.DUMMYFUNCTION("""COMPUTED_VALUE"""),13.055159)</f>
        <v>13.055159</v>
      </c>
      <c r="E17587" s="4">
        <f>IFERROR(__xludf.DUMMYFUNCTION("""COMPUTED_VALUE"""),80.264319)</f>
        <v>80.264319</v>
      </c>
      <c r="F17587" s="4">
        <f>IFERROR(__xludf.DUMMYFUNCTION("""COMPUTED_VALUE"""),805.0)</f>
        <v>805</v>
      </c>
      <c r="G17587" s="4">
        <f>IFERROR(__xludf.DUMMYFUNCTION("""COMPUTED_VALUE"""),16.0)</f>
        <v>16</v>
      </c>
      <c r="H17587" s="4"/>
      <c r="I17587" s="4"/>
    </row>
    <row r="17588">
      <c r="A17588" s="4" t="str">
        <f>IFERROR(__xludf.DUMMYFUNCTION("""COMPUTED_VALUE"""),"cas_hmw")</f>
        <v>cas_hmw</v>
      </c>
      <c r="B17588" s="5">
        <f>IFERROR(__xludf.DUMMYFUNCTION("""COMPUTED_VALUE"""),44740.0)</f>
        <v>44740</v>
      </c>
      <c r="C17588" s="6">
        <f>IFERROR(__xludf.DUMMYFUNCTION("""COMPUTED_VALUE"""),0.721018518517667)</f>
        <v>0.7210185185</v>
      </c>
      <c r="D17588" s="4">
        <f>IFERROR(__xludf.DUMMYFUNCTION("""COMPUTED_VALUE"""),13.055159)</f>
        <v>13.055159</v>
      </c>
      <c r="E17588" s="4">
        <f>IFERROR(__xludf.DUMMYFUNCTION("""COMPUTED_VALUE"""),80.264319)</f>
        <v>80.264319</v>
      </c>
      <c r="F17588" s="4">
        <f>IFERROR(__xludf.DUMMYFUNCTION("""COMPUTED_VALUE"""),805.0)</f>
        <v>805</v>
      </c>
      <c r="G17588" s="4">
        <f>IFERROR(__xludf.DUMMYFUNCTION("""COMPUTED_VALUE"""),16.0)</f>
        <v>16</v>
      </c>
      <c r="H17588" s="4"/>
      <c r="I17588" s="4"/>
    </row>
    <row r="17589">
      <c r="A17589" s="4" t="str">
        <f>IFERROR(__xludf.DUMMYFUNCTION("""COMPUTED_VALUE"""),"cas_hmw")</f>
        <v>cas_hmw</v>
      </c>
      <c r="B17589" s="5">
        <f>IFERROR(__xludf.DUMMYFUNCTION("""COMPUTED_VALUE"""),44740.0)</f>
        <v>44740</v>
      </c>
      <c r="C17589" s="6">
        <f>IFERROR(__xludf.DUMMYFUNCTION("""COMPUTED_VALUE"""),0.721018518517667)</f>
        <v>0.7210185185</v>
      </c>
      <c r="D17589" s="4">
        <f>IFERROR(__xludf.DUMMYFUNCTION("""COMPUTED_VALUE"""),13.055159)</f>
        <v>13.055159</v>
      </c>
      <c r="E17589" s="4">
        <f>IFERROR(__xludf.DUMMYFUNCTION("""COMPUTED_VALUE"""),80.264319)</f>
        <v>80.264319</v>
      </c>
      <c r="F17589" s="4">
        <f>IFERROR(__xludf.DUMMYFUNCTION("""COMPUTED_VALUE"""),805.0)</f>
        <v>805</v>
      </c>
      <c r="G17589" s="4">
        <f>IFERROR(__xludf.DUMMYFUNCTION("""COMPUTED_VALUE"""),16.0)</f>
        <v>16</v>
      </c>
      <c r="H17589" s="4"/>
      <c r="I17589" s="4"/>
    </row>
    <row r="17590">
      <c r="A17590" s="4" t="str">
        <f>IFERROR(__xludf.DUMMYFUNCTION("""COMPUTED_VALUE"""),"cas_hmw")</f>
        <v>cas_hmw</v>
      </c>
      <c r="B17590" s="5">
        <f>IFERROR(__xludf.DUMMYFUNCTION("""COMPUTED_VALUE"""),44740.0)</f>
        <v>44740</v>
      </c>
      <c r="C17590" s="6">
        <f>IFERROR(__xludf.DUMMYFUNCTION("""COMPUTED_VALUE"""),0.7253935185181035)</f>
        <v>0.7253935185</v>
      </c>
      <c r="D17590" s="4">
        <f>IFERROR(__xludf.DUMMYFUNCTION("""COMPUTED_VALUE"""),13.066271)</f>
        <v>13.066271</v>
      </c>
      <c r="E17590" s="4">
        <f>IFERROR(__xludf.DUMMYFUNCTION("""COMPUTED_VALUE"""),80.26813)</f>
        <v>80.26813</v>
      </c>
      <c r="F17590" s="4">
        <f>IFERROR(__xludf.DUMMYFUNCTION("""COMPUTED_VALUE"""),805.0)</f>
        <v>805</v>
      </c>
      <c r="G17590" s="4">
        <f>IFERROR(__xludf.DUMMYFUNCTION("""COMPUTED_VALUE"""),9.0)</f>
        <v>9</v>
      </c>
      <c r="H17590" s="4"/>
      <c r="I17590" s="4"/>
    </row>
    <row r="17591">
      <c r="A17591" s="4" t="str">
        <f>IFERROR(__xludf.DUMMYFUNCTION("""COMPUTED_VALUE"""),"cas_hmw")</f>
        <v>cas_hmw</v>
      </c>
      <c r="B17591" s="5">
        <f>IFERROR(__xludf.DUMMYFUNCTION("""COMPUTED_VALUE"""),44740.0)</f>
        <v>44740</v>
      </c>
      <c r="C17591" s="6">
        <f>IFERROR(__xludf.DUMMYFUNCTION("""COMPUTED_VALUE"""),0.7254050925912452)</f>
        <v>0.7254050926</v>
      </c>
      <c r="D17591" s="4">
        <f>IFERROR(__xludf.DUMMYFUNCTION("""COMPUTED_VALUE"""),13.066357)</f>
        <v>13.066357</v>
      </c>
      <c r="E17591" s="4">
        <f>IFERROR(__xludf.DUMMYFUNCTION("""COMPUTED_VALUE"""),80.268217)</f>
        <v>80.268217</v>
      </c>
      <c r="F17591" s="4">
        <f>IFERROR(__xludf.DUMMYFUNCTION("""COMPUTED_VALUE"""),805.0)</f>
        <v>805</v>
      </c>
      <c r="G17591" s="4">
        <f>IFERROR(__xludf.DUMMYFUNCTION("""COMPUTED_VALUE"""),6.0)</f>
        <v>6</v>
      </c>
      <c r="H17591" s="4"/>
      <c r="I17591" s="4"/>
    </row>
    <row r="17592">
      <c r="A17592" s="4" t="str">
        <f>IFERROR(__xludf.DUMMYFUNCTION("""COMPUTED_VALUE"""),"cas_hmw")</f>
        <v>cas_hmw</v>
      </c>
      <c r="B17592" s="5">
        <f>IFERROR(__xludf.DUMMYFUNCTION("""COMPUTED_VALUE"""),44740.0)</f>
        <v>44740</v>
      </c>
      <c r="C17592" s="6">
        <f>IFERROR(__xludf.DUMMYFUNCTION("""COMPUTED_VALUE"""),0.7285416666672972)</f>
        <v>0.7285416667</v>
      </c>
      <c r="D17592" s="4">
        <f>IFERROR(__xludf.DUMMYFUNCTION("""COMPUTED_VALUE"""),13.068126)</f>
        <v>13.068126</v>
      </c>
      <c r="E17592" s="4">
        <f>IFERROR(__xludf.DUMMYFUNCTION("""COMPUTED_VALUE"""),80.271843)</f>
        <v>80.271843</v>
      </c>
      <c r="F17592" s="4">
        <f>IFERROR(__xludf.DUMMYFUNCTION("""COMPUTED_VALUE"""),5339.0)</f>
        <v>5339</v>
      </c>
      <c r="G17592" s="4">
        <f>IFERROR(__xludf.DUMMYFUNCTION("""COMPUTED_VALUE"""),2.0)</f>
        <v>2</v>
      </c>
      <c r="H17592" s="4"/>
      <c r="I17592" s="4"/>
    </row>
    <row r="17593">
      <c r="A17593" s="4" t="str">
        <f>IFERROR(__xludf.DUMMYFUNCTION("""COMPUTED_VALUE"""),"cas_hmw")</f>
        <v>cas_hmw</v>
      </c>
      <c r="B17593" s="5">
        <f>IFERROR(__xludf.DUMMYFUNCTION("""COMPUTED_VALUE"""),44740.0)</f>
        <v>44740</v>
      </c>
      <c r="C17593" s="6">
        <f>IFERROR(__xludf.DUMMYFUNCTION("""COMPUTED_VALUE"""),0.7334027777760639)</f>
        <v>0.7334027778</v>
      </c>
      <c r="D17593" s="4">
        <f>IFERROR(__xludf.DUMMYFUNCTION("""COMPUTED_VALUE"""),13.072967)</f>
        <v>13.072967</v>
      </c>
      <c r="E17593" s="4">
        <f>IFERROR(__xludf.DUMMYFUNCTION("""COMPUTED_VALUE"""),80.261541)</f>
        <v>80.261541</v>
      </c>
      <c r="F17593" s="4">
        <f>IFERROR(__xludf.DUMMYFUNCTION("""COMPUTED_VALUE"""),5339.0)</f>
        <v>5339</v>
      </c>
      <c r="G17593" s="4">
        <f>IFERROR(__xludf.DUMMYFUNCTION("""COMPUTED_VALUE"""),22.0)</f>
        <v>22</v>
      </c>
      <c r="H17593" s="4"/>
      <c r="I17593" s="4"/>
    </row>
    <row r="17594">
      <c r="A17594" s="4" t="str">
        <f>IFERROR(__xludf.DUMMYFUNCTION("""COMPUTED_VALUE"""),"cas_hmw")</f>
        <v>cas_hmw</v>
      </c>
      <c r="B17594" s="5">
        <f>IFERROR(__xludf.DUMMYFUNCTION("""COMPUTED_VALUE"""),44740.0)</f>
        <v>44740</v>
      </c>
      <c r="C17594" s="6">
        <f>IFERROR(__xludf.DUMMYFUNCTION("""COMPUTED_VALUE"""),0.7339236111110949)</f>
        <v>0.7339236111</v>
      </c>
      <c r="D17594" s="4">
        <f>IFERROR(__xludf.DUMMYFUNCTION("""COMPUTED_VALUE"""),13.072706)</f>
        <v>13.072706</v>
      </c>
      <c r="E17594" s="4">
        <f>IFERROR(__xludf.DUMMYFUNCTION("""COMPUTED_VALUE"""),80.26044)</f>
        <v>80.26044</v>
      </c>
      <c r="F17594" s="4">
        <f>IFERROR(__xludf.DUMMYFUNCTION("""COMPUTED_VALUE"""),5339.0)</f>
        <v>5339</v>
      </c>
      <c r="G17594" s="4">
        <f>IFERROR(__xludf.DUMMYFUNCTION("""COMPUTED_VALUE"""),33.0)</f>
        <v>33</v>
      </c>
      <c r="H17594" s="4"/>
      <c r="I17594" s="4"/>
    </row>
    <row r="17595">
      <c r="A17595" s="4" t="str">
        <f>IFERROR(__xludf.DUMMYFUNCTION("""COMPUTED_VALUE"""),"cas_hmw")</f>
        <v>cas_hmw</v>
      </c>
      <c r="B17595" s="5">
        <f>IFERROR(__xludf.DUMMYFUNCTION("""COMPUTED_VALUE"""),44740.0)</f>
        <v>44740</v>
      </c>
      <c r="C17595" s="6">
        <f>IFERROR(__xludf.DUMMYFUNCTION("""COMPUTED_VALUE"""),0.734027777776646)</f>
        <v>0.7340277778</v>
      </c>
      <c r="D17595" s="4">
        <f>IFERROR(__xludf.DUMMYFUNCTION("""COMPUTED_VALUE"""),13.067597)</f>
        <v>13.067597</v>
      </c>
      <c r="E17595" s="4">
        <f>IFERROR(__xludf.DUMMYFUNCTION("""COMPUTED_VALUE"""),80.24959)</f>
        <v>80.24959</v>
      </c>
      <c r="F17595" s="4">
        <f>IFERROR(__xludf.DUMMYFUNCTION("""COMPUTED_VALUE"""),805.0)</f>
        <v>805</v>
      </c>
      <c r="G17595" s="4">
        <f>IFERROR(__xludf.DUMMYFUNCTION("""COMPUTED_VALUE"""),7.0)</f>
        <v>7</v>
      </c>
      <c r="H17595" s="4"/>
      <c r="I17595" s="4"/>
    </row>
    <row r="17596">
      <c r="A17596" s="4" t="str">
        <f>IFERROR(__xludf.DUMMYFUNCTION("""COMPUTED_VALUE"""),"cas_hmw")</f>
        <v>cas_hmw</v>
      </c>
      <c r="B17596" s="5">
        <f>IFERROR(__xludf.DUMMYFUNCTION("""COMPUTED_VALUE"""),44740.0)</f>
        <v>44740</v>
      </c>
      <c r="C17596" s="6">
        <f>IFERROR(__xludf.DUMMYFUNCTION("""COMPUTED_VALUE"""),0.7357407407398568)</f>
        <v>0.7357407407</v>
      </c>
      <c r="D17596" s="4">
        <f>IFERROR(__xludf.DUMMYFUNCTION("""COMPUTED_VALUE"""),13.067655)</f>
        <v>13.067655</v>
      </c>
      <c r="E17596" s="4">
        <f>IFERROR(__xludf.DUMMYFUNCTION("""COMPUTED_VALUE"""),80.255068)</f>
        <v>80.255068</v>
      </c>
      <c r="F17596" s="4">
        <f>IFERROR(__xludf.DUMMYFUNCTION("""COMPUTED_VALUE"""),5339.0)</f>
        <v>5339</v>
      </c>
      <c r="G17596" s="4">
        <f>IFERROR(__xludf.DUMMYFUNCTION("""COMPUTED_VALUE"""),9.0)</f>
        <v>9</v>
      </c>
      <c r="H17596" s="4"/>
      <c r="I17596" s="4"/>
    </row>
    <row r="17597">
      <c r="A17597" s="4" t="str">
        <f>IFERROR(__xludf.DUMMYFUNCTION("""COMPUTED_VALUE"""),"cas_hmw")</f>
        <v>cas_hmw</v>
      </c>
      <c r="B17597" s="5">
        <f>IFERROR(__xludf.DUMMYFUNCTION("""COMPUTED_VALUE"""),44740.0)</f>
        <v>44740</v>
      </c>
      <c r="C17597" s="6">
        <f>IFERROR(__xludf.DUMMYFUNCTION("""COMPUTED_VALUE"""),0.7357407407398568)</f>
        <v>0.7357407407</v>
      </c>
      <c r="D17597" s="4">
        <f>IFERROR(__xludf.DUMMYFUNCTION("""COMPUTED_VALUE"""),13.067655)</f>
        <v>13.067655</v>
      </c>
      <c r="E17597" s="4">
        <f>IFERROR(__xludf.DUMMYFUNCTION("""COMPUTED_VALUE"""),80.255068)</f>
        <v>80.255068</v>
      </c>
      <c r="F17597" s="4">
        <f>IFERROR(__xludf.DUMMYFUNCTION("""COMPUTED_VALUE"""),5339.0)</f>
        <v>5339</v>
      </c>
      <c r="G17597" s="4">
        <f>IFERROR(__xludf.DUMMYFUNCTION("""COMPUTED_VALUE"""),9.0)</f>
        <v>9</v>
      </c>
      <c r="H17597" s="4"/>
      <c r="I17597" s="4"/>
    </row>
    <row r="17598">
      <c r="A17598" s="4" t="str">
        <f>IFERROR(__xludf.DUMMYFUNCTION("""COMPUTED_VALUE"""),"cas_hmw")</f>
        <v>cas_hmw</v>
      </c>
      <c r="B17598" s="5">
        <f>IFERROR(__xludf.DUMMYFUNCTION("""COMPUTED_VALUE"""),44740.0)</f>
        <v>44740</v>
      </c>
      <c r="C17598" s="6">
        <f>IFERROR(__xludf.DUMMYFUNCTION("""COMPUTED_VALUE"""),0.7359375000014552)</f>
        <v>0.7359375</v>
      </c>
      <c r="D17598" s="4">
        <f>IFERROR(__xludf.DUMMYFUNCTION("""COMPUTED_VALUE"""),13.067158)</f>
        <v>13.067158</v>
      </c>
      <c r="E17598" s="4">
        <f>IFERROR(__xludf.DUMMYFUNCTION("""COMPUTED_VALUE"""),80.254669)</f>
        <v>80.254669</v>
      </c>
      <c r="F17598" s="4">
        <f>IFERROR(__xludf.DUMMYFUNCTION("""COMPUTED_VALUE"""),5339.0)</f>
        <v>5339</v>
      </c>
      <c r="G17598" s="4">
        <f>IFERROR(__xludf.DUMMYFUNCTION("""COMPUTED_VALUE"""),24.0)</f>
        <v>24</v>
      </c>
      <c r="H17598" s="4"/>
      <c r="I17598" s="4"/>
    </row>
    <row r="17599">
      <c r="A17599" s="4" t="str">
        <f>IFERROR(__xludf.DUMMYFUNCTION("""COMPUTED_VALUE"""),"cas_hmw")</f>
        <v>cas_hmw</v>
      </c>
      <c r="B17599" s="5">
        <f>IFERROR(__xludf.DUMMYFUNCTION("""COMPUTED_VALUE"""),44740.0)</f>
        <v>44740</v>
      </c>
      <c r="C17599" s="6">
        <f>IFERROR(__xludf.DUMMYFUNCTION("""COMPUTED_VALUE"""),0.7359722222208802)</f>
        <v>0.7359722222</v>
      </c>
      <c r="D17599" s="4">
        <f>IFERROR(__xludf.DUMMYFUNCTION("""COMPUTED_VALUE"""),13.067158)</f>
        <v>13.067158</v>
      </c>
      <c r="E17599" s="4">
        <f>IFERROR(__xludf.DUMMYFUNCTION("""COMPUTED_VALUE"""),80.254669)</f>
        <v>80.254669</v>
      </c>
      <c r="F17599" s="4">
        <f>IFERROR(__xludf.DUMMYFUNCTION("""COMPUTED_VALUE"""),5339.0)</f>
        <v>5339</v>
      </c>
      <c r="G17599" s="4">
        <f>IFERROR(__xludf.DUMMYFUNCTION("""COMPUTED_VALUE"""),24.0)</f>
        <v>24</v>
      </c>
      <c r="H17599" s="4"/>
      <c r="I17599" s="4"/>
    </row>
    <row r="17600">
      <c r="A17600" s="4" t="str">
        <f>IFERROR(__xludf.DUMMYFUNCTION("""COMPUTED_VALUE"""),"cas_hmw")</f>
        <v>cas_hmw</v>
      </c>
      <c r="B17600" s="5">
        <f>IFERROR(__xludf.DUMMYFUNCTION("""COMPUTED_VALUE"""),44741.0)</f>
        <v>44741</v>
      </c>
      <c r="C17600" s="6">
        <f>IFERROR(__xludf.DUMMYFUNCTION("""COMPUTED_VALUE"""),0.28730324074058444)</f>
        <v>0.2873032407</v>
      </c>
      <c r="D17600" s="4">
        <f>IFERROR(__xludf.DUMMYFUNCTION("""COMPUTED_VALUE"""),12.451217)</f>
        <v>12.451217</v>
      </c>
      <c r="E17600" s="4">
        <f>IFERROR(__xludf.DUMMYFUNCTION("""COMPUTED_VALUE"""),79.840232)</f>
        <v>79.840232</v>
      </c>
      <c r="F17600" s="4">
        <f>IFERROR(__xludf.DUMMYFUNCTION("""COMPUTED_VALUE"""),2846.0)</f>
        <v>2846</v>
      </c>
      <c r="G17600" s="4">
        <f>IFERROR(__xludf.DUMMYFUNCTION("""COMPUTED_VALUE"""),58.0)</f>
        <v>58</v>
      </c>
      <c r="H17600" s="4"/>
      <c r="I17600" s="4"/>
    </row>
    <row r="17601">
      <c r="A17601" s="4" t="str">
        <f>IFERROR(__xludf.DUMMYFUNCTION("""COMPUTED_VALUE"""),"cas_hmw")</f>
        <v>cas_hmw</v>
      </c>
      <c r="B17601" s="5">
        <f>IFERROR(__xludf.DUMMYFUNCTION("""COMPUTED_VALUE"""),44741.0)</f>
        <v>44741</v>
      </c>
      <c r="C17601" s="6">
        <f>IFERROR(__xludf.DUMMYFUNCTION("""COMPUTED_VALUE"""),0.29202546296437504)</f>
        <v>0.292025463</v>
      </c>
      <c r="D17601" s="4">
        <f>IFERROR(__xludf.DUMMYFUNCTION("""COMPUTED_VALUE"""),12.496291)</f>
        <v>12.496291</v>
      </c>
      <c r="E17601" s="4">
        <f>IFERROR(__xludf.DUMMYFUNCTION("""COMPUTED_VALUE"""),79.872184)</f>
        <v>79.872184</v>
      </c>
      <c r="F17601" s="4">
        <f>IFERROR(__xludf.DUMMYFUNCTION("""COMPUTED_VALUE"""),2846.0)</f>
        <v>2846</v>
      </c>
      <c r="G17601" s="4">
        <f>IFERROR(__xludf.DUMMYFUNCTION("""COMPUTED_VALUE"""),32.0)</f>
        <v>32</v>
      </c>
      <c r="H17601" s="4"/>
      <c r="I17601" s="4"/>
    </row>
    <row r="17602">
      <c r="A17602" s="4" t="str">
        <f>IFERROR(__xludf.DUMMYFUNCTION("""COMPUTED_VALUE"""),"cas_hmw")</f>
        <v>cas_hmw</v>
      </c>
      <c r="B17602" s="5">
        <f>IFERROR(__xludf.DUMMYFUNCTION("""COMPUTED_VALUE"""),44741.0)</f>
        <v>44741</v>
      </c>
      <c r="C17602" s="6">
        <f>IFERROR(__xludf.DUMMYFUNCTION("""COMPUTED_VALUE"""),0.29768518518540077)</f>
        <v>0.2976851852</v>
      </c>
      <c r="D17602" s="4">
        <f>IFERROR(__xludf.DUMMYFUNCTION("""COMPUTED_VALUE"""),13.062756)</f>
        <v>13.062756</v>
      </c>
      <c r="E17602" s="4">
        <f>IFERROR(__xludf.DUMMYFUNCTION("""COMPUTED_VALUE"""),80.244694)</f>
        <v>80.244694</v>
      </c>
      <c r="F17602" s="4">
        <f>IFERROR(__xludf.DUMMYFUNCTION("""COMPUTED_VALUE"""),5339.0)</f>
        <v>5339</v>
      </c>
      <c r="G17602" s="4">
        <f>IFERROR(__xludf.DUMMYFUNCTION("""COMPUTED_VALUE"""),48.0)</f>
        <v>48</v>
      </c>
      <c r="H17602" s="4"/>
      <c r="I17602" s="4"/>
    </row>
    <row r="17603">
      <c r="A17603" s="4" t="str">
        <f>IFERROR(__xludf.DUMMYFUNCTION("""COMPUTED_VALUE"""),"cas_hmw")</f>
        <v>cas_hmw</v>
      </c>
      <c r="B17603" s="5">
        <f>IFERROR(__xludf.DUMMYFUNCTION("""COMPUTED_VALUE"""),44741.0)</f>
        <v>44741</v>
      </c>
      <c r="C17603" s="6">
        <f>IFERROR(__xludf.DUMMYFUNCTION("""COMPUTED_VALUE"""),0.29771990740846377)</f>
        <v>0.2977199074</v>
      </c>
      <c r="D17603" s="4">
        <f>IFERROR(__xludf.DUMMYFUNCTION("""COMPUTED_VALUE"""),13.063488)</f>
        <v>13.063488</v>
      </c>
      <c r="E17603" s="4">
        <f>IFERROR(__xludf.DUMMYFUNCTION("""COMPUTED_VALUE"""),80.243763)</f>
        <v>80.243763</v>
      </c>
      <c r="F17603" s="4">
        <f>IFERROR(__xludf.DUMMYFUNCTION("""COMPUTED_VALUE"""),5339.0)</f>
        <v>5339</v>
      </c>
      <c r="G17603" s="4">
        <f>IFERROR(__xludf.DUMMYFUNCTION("""COMPUTED_VALUE"""),32.0)</f>
        <v>32</v>
      </c>
      <c r="H17603" s="4"/>
      <c r="I17603" s="4"/>
    </row>
    <row r="17604">
      <c r="A17604" s="4" t="str">
        <f>IFERROR(__xludf.DUMMYFUNCTION("""COMPUTED_VALUE"""),"cas_hmw")</f>
        <v>cas_hmw</v>
      </c>
      <c r="B17604" s="5">
        <f>IFERROR(__xludf.DUMMYFUNCTION("""COMPUTED_VALUE"""),44741.0)</f>
        <v>44741</v>
      </c>
      <c r="C17604" s="6">
        <f>IFERROR(__xludf.DUMMYFUNCTION("""COMPUTED_VALUE"""),0.29773148148160544)</f>
        <v>0.2977314815</v>
      </c>
      <c r="D17604" s="4">
        <f>IFERROR(__xludf.DUMMYFUNCTION("""COMPUTED_VALUE"""),13.063488)</f>
        <v>13.063488</v>
      </c>
      <c r="E17604" s="4">
        <f>IFERROR(__xludf.DUMMYFUNCTION("""COMPUTED_VALUE"""),80.243763)</f>
        <v>80.243763</v>
      </c>
      <c r="F17604" s="4">
        <f>IFERROR(__xludf.DUMMYFUNCTION("""COMPUTED_VALUE"""),5339.0)</f>
        <v>5339</v>
      </c>
      <c r="G17604" s="4">
        <f>IFERROR(__xludf.DUMMYFUNCTION("""COMPUTED_VALUE"""),32.0)</f>
        <v>32</v>
      </c>
      <c r="H17604" s="4"/>
      <c r="I17604" s="4"/>
    </row>
    <row r="17605">
      <c r="A17605" s="4" t="str">
        <f>IFERROR(__xludf.DUMMYFUNCTION("""COMPUTED_VALUE"""),"cas_hmw")</f>
        <v>cas_hmw</v>
      </c>
      <c r="B17605" s="5">
        <f>IFERROR(__xludf.DUMMYFUNCTION("""COMPUTED_VALUE"""),44741.0)</f>
        <v>44741</v>
      </c>
      <c r="C17605" s="6">
        <f>IFERROR(__xludf.DUMMYFUNCTION("""COMPUTED_VALUE"""),0.29915509259080864)</f>
        <v>0.2991550926</v>
      </c>
      <c r="D17605" s="4">
        <f>IFERROR(__xludf.DUMMYFUNCTION("""COMPUTED_VALUE"""),13.067674)</f>
        <v>13.067674</v>
      </c>
      <c r="E17605" s="4">
        <f>IFERROR(__xludf.DUMMYFUNCTION("""COMPUTED_VALUE"""),80.249803)</f>
        <v>80.249803</v>
      </c>
      <c r="F17605" s="4">
        <f>IFERROR(__xludf.DUMMYFUNCTION("""COMPUTED_VALUE"""),5339.0)</f>
        <v>5339</v>
      </c>
      <c r="G17605" s="4">
        <f>IFERROR(__xludf.DUMMYFUNCTION("""COMPUTED_VALUE"""),31.0)</f>
        <v>31</v>
      </c>
      <c r="H17605" s="4"/>
      <c r="I17605" s="4"/>
    </row>
    <row r="17606">
      <c r="A17606" s="4" t="str">
        <f>IFERROR(__xludf.DUMMYFUNCTION("""COMPUTED_VALUE"""),"cas_hmw")</f>
        <v>cas_hmw</v>
      </c>
      <c r="B17606" s="5">
        <f>IFERROR(__xludf.DUMMYFUNCTION("""COMPUTED_VALUE"""),44741.0)</f>
        <v>44741</v>
      </c>
      <c r="C17606" s="6">
        <f>IFERROR(__xludf.DUMMYFUNCTION("""COMPUTED_VALUE"""),0.29921296296379296)</f>
        <v>0.299212963</v>
      </c>
      <c r="D17606" s="4">
        <f>IFERROR(__xludf.DUMMYFUNCTION("""COMPUTED_VALUE"""),13.067674)</f>
        <v>13.067674</v>
      </c>
      <c r="E17606" s="4">
        <f>IFERROR(__xludf.DUMMYFUNCTION("""COMPUTED_VALUE"""),80.249803)</f>
        <v>80.249803</v>
      </c>
      <c r="F17606" s="4">
        <f>IFERROR(__xludf.DUMMYFUNCTION("""COMPUTED_VALUE"""),5339.0)</f>
        <v>5339</v>
      </c>
      <c r="G17606" s="4">
        <f>IFERROR(__xludf.DUMMYFUNCTION("""COMPUTED_VALUE"""),31.0)</f>
        <v>31</v>
      </c>
      <c r="H17606" s="4"/>
      <c r="I17606" s="4"/>
    </row>
    <row r="17607">
      <c r="A17607" s="4" t="str">
        <f>IFERROR(__xludf.DUMMYFUNCTION("""COMPUTED_VALUE"""),"cas_hmw")</f>
        <v>cas_hmw</v>
      </c>
      <c r="B17607" s="5">
        <f>IFERROR(__xludf.DUMMYFUNCTION("""COMPUTED_VALUE"""),44741.0)</f>
        <v>44741</v>
      </c>
      <c r="C17607" s="6">
        <f>IFERROR(__xludf.DUMMYFUNCTION("""COMPUTED_VALUE"""),0.29922453703693463)</f>
        <v>0.299224537</v>
      </c>
      <c r="D17607" s="4">
        <f>IFERROR(__xludf.DUMMYFUNCTION("""COMPUTED_VALUE"""),13.067539)</f>
        <v>13.067539</v>
      </c>
      <c r="E17607" s="4">
        <f>IFERROR(__xludf.DUMMYFUNCTION("""COMPUTED_VALUE"""),80.250574)</f>
        <v>80.250574</v>
      </c>
      <c r="F17607" s="4">
        <f>IFERROR(__xludf.DUMMYFUNCTION("""COMPUTED_VALUE"""),5339.0)</f>
        <v>5339</v>
      </c>
      <c r="G17607" s="4">
        <f>IFERROR(__xludf.DUMMYFUNCTION("""COMPUTED_VALUE"""),32.0)</f>
        <v>32</v>
      </c>
      <c r="H17607" s="4"/>
      <c r="I17607" s="4"/>
    </row>
    <row r="17608">
      <c r="A17608" s="4" t="str">
        <f>IFERROR(__xludf.DUMMYFUNCTION("""COMPUTED_VALUE"""),"cas_hmw")</f>
        <v>cas_hmw</v>
      </c>
      <c r="B17608" s="5">
        <f>IFERROR(__xludf.DUMMYFUNCTION("""COMPUTED_VALUE"""),44741.0)</f>
        <v>44741</v>
      </c>
      <c r="C17608" s="6">
        <f>IFERROR(__xludf.DUMMYFUNCTION("""COMPUTED_VALUE"""),0.2992708333331393)</f>
        <v>0.2992708333</v>
      </c>
      <c r="D17608" s="4">
        <f>IFERROR(__xludf.DUMMYFUNCTION("""COMPUTED_VALUE"""),13.067539)</f>
        <v>13.067539</v>
      </c>
      <c r="E17608" s="4">
        <f>IFERROR(__xludf.DUMMYFUNCTION("""COMPUTED_VALUE"""),80.250574)</f>
        <v>80.250574</v>
      </c>
      <c r="F17608" s="4">
        <f>IFERROR(__xludf.DUMMYFUNCTION("""COMPUTED_VALUE"""),5339.0)</f>
        <v>5339</v>
      </c>
      <c r="G17608" s="4">
        <f>IFERROR(__xludf.DUMMYFUNCTION("""COMPUTED_VALUE"""),32.0)</f>
        <v>32</v>
      </c>
      <c r="H17608" s="4"/>
      <c r="I17608" s="4"/>
    </row>
    <row r="17609">
      <c r="A17609" s="4" t="str">
        <f>IFERROR(__xludf.DUMMYFUNCTION("""COMPUTED_VALUE"""),"cas_hmw")</f>
        <v>cas_hmw</v>
      </c>
      <c r="B17609" s="5">
        <f>IFERROR(__xludf.DUMMYFUNCTION("""COMPUTED_VALUE"""),44741.0)</f>
        <v>44741</v>
      </c>
      <c r="C17609" s="6">
        <f>IFERROR(__xludf.DUMMYFUNCTION("""COMPUTED_VALUE"""),0.299282407406281)</f>
        <v>0.2992824074</v>
      </c>
      <c r="D17609" s="4">
        <f>IFERROR(__xludf.DUMMYFUNCTION("""COMPUTED_VALUE"""),13.067539)</f>
        <v>13.067539</v>
      </c>
      <c r="E17609" s="4">
        <f>IFERROR(__xludf.DUMMYFUNCTION("""COMPUTED_VALUE"""),80.250574)</f>
        <v>80.250574</v>
      </c>
      <c r="F17609" s="4">
        <f>IFERROR(__xludf.DUMMYFUNCTION("""COMPUTED_VALUE"""),5339.0)</f>
        <v>5339</v>
      </c>
      <c r="G17609" s="4">
        <f>IFERROR(__xludf.DUMMYFUNCTION("""COMPUTED_VALUE"""),32.0)</f>
        <v>32</v>
      </c>
      <c r="H17609" s="4"/>
      <c r="I17609" s="4"/>
    </row>
    <row r="17610">
      <c r="A17610" s="4" t="str">
        <f>IFERROR(__xludf.DUMMYFUNCTION("""COMPUTED_VALUE"""),"cas_hmw")</f>
        <v>cas_hmw</v>
      </c>
      <c r="B17610" s="5">
        <f>IFERROR(__xludf.DUMMYFUNCTION("""COMPUTED_VALUE"""),44741.0)</f>
        <v>44741</v>
      </c>
      <c r="C17610" s="6">
        <f>IFERROR(__xludf.DUMMYFUNCTION("""COMPUTED_VALUE"""),0.2998958333337214)</f>
        <v>0.2998958333</v>
      </c>
      <c r="D17610" s="4">
        <f>IFERROR(__xludf.DUMMYFUNCTION("""COMPUTED_VALUE"""),13.068329)</f>
        <v>13.068329</v>
      </c>
      <c r="E17610" s="4">
        <f>IFERROR(__xludf.DUMMYFUNCTION("""COMPUTED_VALUE"""),80.252798)</f>
        <v>80.252798</v>
      </c>
      <c r="F17610" s="4">
        <f>IFERROR(__xludf.DUMMYFUNCTION("""COMPUTED_VALUE"""),5339.0)</f>
        <v>5339</v>
      </c>
      <c r="G17610" s="4">
        <f>IFERROR(__xludf.DUMMYFUNCTION("""COMPUTED_VALUE"""),21.0)</f>
        <v>21</v>
      </c>
      <c r="H17610" s="4"/>
      <c r="I17610" s="4"/>
    </row>
    <row r="17611">
      <c r="A17611" s="4" t="str">
        <f>IFERROR(__xludf.DUMMYFUNCTION("""COMPUTED_VALUE"""),"cas_hmw")</f>
        <v>cas_hmw</v>
      </c>
      <c r="B17611" s="5">
        <f>IFERROR(__xludf.DUMMYFUNCTION("""COMPUTED_VALUE"""),44741.0)</f>
        <v>44741</v>
      </c>
      <c r="C17611" s="6">
        <f>IFERROR(__xludf.DUMMYFUNCTION("""COMPUTED_VALUE"""),0.29990740740686306)</f>
        <v>0.2999074074</v>
      </c>
      <c r="D17611" s="4">
        <f>IFERROR(__xludf.DUMMYFUNCTION("""COMPUTED_VALUE"""),13.068329)</f>
        <v>13.068329</v>
      </c>
      <c r="E17611" s="4">
        <f>IFERROR(__xludf.DUMMYFUNCTION("""COMPUTED_VALUE"""),80.252798)</f>
        <v>80.252798</v>
      </c>
      <c r="F17611" s="4">
        <f>IFERROR(__xludf.DUMMYFUNCTION("""COMPUTED_VALUE"""),5339.0)</f>
        <v>5339</v>
      </c>
      <c r="G17611" s="4">
        <f>IFERROR(__xludf.DUMMYFUNCTION("""COMPUTED_VALUE"""),21.0)</f>
        <v>21</v>
      </c>
      <c r="H17611" s="4"/>
      <c r="I17611" s="4"/>
    </row>
    <row r="17612">
      <c r="A17612" s="4" t="str">
        <f>IFERROR(__xludf.DUMMYFUNCTION("""COMPUTED_VALUE"""),"cas_hmw")</f>
        <v>cas_hmw</v>
      </c>
      <c r="B17612" s="5">
        <f>IFERROR(__xludf.DUMMYFUNCTION("""COMPUTED_VALUE"""),44741.0)</f>
        <v>44741</v>
      </c>
      <c r="C17612" s="6">
        <f>IFERROR(__xludf.DUMMYFUNCTION("""COMPUTED_VALUE"""),0.3014236111121136)</f>
        <v>0.3014236111</v>
      </c>
      <c r="D17612" s="4">
        <f>IFERROR(__xludf.DUMMYFUNCTION("""COMPUTED_VALUE"""),13.068593)</f>
        <v>13.068593</v>
      </c>
      <c r="E17612" s="4">
        <f>IFERROR(__xludf.DUMMYFUNCTION("""COMPUTED_VALUE"""),80.25782)</f>
        <v>80.25782</v>
      </c>
      <c r="F17612" s="4">
        <f>IFERROR(__xludf.DUMMYFUNCTION("""COMPUTED_VALUE"""),805.0)</f>
        <v>805</v>
      </c>
      <c r="G17612" s="4">
        <f>IFERROR(__xludf.DUMMYFUNCTION("""COMPUTED_VALUE"""),29.0)</f>
        <v>29</v>
      </c>
      <c r="H17612" s="4"/>
      <c r="I17612" s="4"/>
    </row>
    <row r="17613">
      <c r="A17613" s="4" t="str">
        <f>IFERROR(__xludf.DUMMYFUNCTION("""COMPUTED_VALUE"""),"cas_hmw")</f>
        <v>cas_hmw</v>
      </c>
      <c r="B17613" s="5">
        <f>IFERROR(__xludf.DUMMYFUNCTION("""COMPUTED_VALUE"""),44741.0)</f>
        <v>44741</v>
      </c>
      <c r="C17613" s="6">
        <f>IFERROR(__xludf.DUMMYFUNCTION("""COMPUTED_VALUE"""),0.30143518518525525)</f>
        <v>0.3014351852</v>
      </c>
      <c r="D17613" s="4">
        <f>IFERROR(__xludf.DUMMYFUNCTION("""COMPUTED_VALUE"""),13.068593)</f>
        <v>13.068593</v>
      </c>
      <c r="E17613" s="4">
        <f>IFERROR(__xludf.DUMMYFUNCTION("""COMPUTED_VALUE"""),80.25782)</f>
        <v>80.25782</v>
      </c>
      <c r="F17613" s="4">
        <f>IFERROR(__xludf.DUMMYFUNCTION("""COMPUTED_VALUE"""),805.0)</f>
        <v>805</v>
      </c>
      <c r="G17613" s="4">
        <f>IFERROR(__xludf.DUMMYFUNCTION("""COMPUTED_VALUE"""),29.0)</f>
        <v>29</v>
      </c>
      <c r="H17613" s="4"/>
      <c r="I17613" s="4"/>
    </row>
    <row r="17614">
      <c r="A17614" s="4" t="str">
        <f>IFERROR(__xludf.DUMMYFUNCTION("""COMPUTED_VALUE"""),"cas_hmw")</f>
        <v>cas_hmw</v>
      </c>
      <c r="B17614" s="5">
        <f>IFERROR(__xludf.DUMMYFUNCTION("""COMPUTED_VALUE"""),44741.0)</f>
        <v>44741</v>
      </c>
      <c r="C17614" s="6">
        <f>IFERROR(__xludf.DUMMYFUNCTION("""COMPUTED_VALUE"""),0.3037037037029222)</f>
        <v>0.3037037037</v>
      </c>
      <c r="D17614" s="4">
        <f>IFERROR(__xludf.DUMMYFUNCTION("""COMPUTED_VALUE"""),13.066466)</f>
        <v>13.066466</v>
      </c>
      <c r="E17614" s="4">
        <f>IFERROR(__xludf.DUMMYFUNCTION("""COMPUTED_VALUE"""),80.26825)</f>
        <v>80.26825</v>
      </c>
      <c r="F17614" s="4">
        <f>IFERROR(__xludf.DUMMYFUNCTION("""COMPUTED_VALUE"""),805.0)</f>
        <v>805</v>
      </c>
      <c r="G17614" s="4">
        <f>IFERROR(__xludf.DUMMYFUNCTION("""COMPUTED_VALUE"""),26.0)</f>
        <v>26</v>
      </c>
      <c r="H17614" s="4"/>
      <c r="I17614" s="4"/>
    </row>
    <row r="17615">
      <c r="A17615" s="4" t="str">
        <f>IFERROR(__xludf.DUMMYFUNCTION("""COMPUTED_VALUE"""),"cas_hmw")</f>
        <v>cas_hmw</v>
      </c>
      <c r="B17615" s="5">
        <f>IFERROR(__xludf.DUMMYFUNCTION("""COMPUTED_VALUE"""),44741.0)</f>
        <v>44741</v>
      </c>
      <c r="C17615" s="6">
        <f>IFERROR(__xludf.DUMMYFUNCTION("""COMPUTED_VALUE"""),0.304513888888323)</f>
        <v>0.3045138889</v>
      </c>
      <c r="D17615" s="4">
        <f>IFERROR(__xludf.DUMMYFUNCTION("""COMPUTED_VALUE"""),13.067215)</f>
        <v>13.067215</v>
      </c>
      <c r="E17615" s="4">
        <f>IFERROR(__xludf.DUMMYFUNCTION("""COMPUTED_VALUE"""),80.270338)</f>
        <v>80.270338</v>
      </c>
      <c r="F17615" s="4">
        <f>IFERROR(__xludf.DUMMYFUNCTION("""COMPUTED_VALUE"""),805.0)</f>
        <v>805</v>
      </c>
      <c r="G17615" s="4">
        <f>IFERROR(__xludf.DUMMYFUNCTION("""COMPUTED_VALUE"""),33.0)</f>
        <v>33</v>
      </c>
      <c r="H17615" s="4"/>
      <c r="I17615" s="4"/>
    </row>
    <row r="17616">
      <c r="A17616" s="4" t="str">
        <f>IFERROR(__xludf.DUMMYFUNCTION("""COMPUTED_VALUE"""),"cas_hmw")</f>
        <v>cas_hmw</v>
      </c>
      <c r="B17616" s="5">
        <f>IFERROR(__xludf.DUMMYFUNCTION("""COMPUTED_VALUE"""),44741.0)</f>
        <v>44741</v>
      </c>
      <c r="C17616" s="6">
        <f>IFERROR(__xludf.DUMMYFUNCTION("""COMPUTED_VALUE"""),0.30457175925766933)</f>
        <v>0.3045717593</v>
      </c>
      <c r="D17616" s="4">
        <f>IFERROR(__xludf.DUMMYFUNCTION("""COMPUTED_VALUE"""),13.067997)</f>
        <v>13.067997</v>
      </c>
      <c r="E17616" s="4">
        <f>IFERROR(__xludf.DUMMYFUNCTION("""COMPUTED_VALUE"""),80.272293)</f>
        <v>80.272293</v>
      </c>
      <c r="F17616" s="4">
        <f>IFERROR(__xludf.DUMMYFUNCTION("""COMPUTED_VALUE"""),5339.0)</f>
        <v>5339</v>
      </c>
      <c r="G17616" s="4">
        <f>IFERROR(__xludf.DUMMYFUNCTION("""COMPUTED_VALUE"""),30.0)</f>
        <v>30</v>
      </c>
      <c r="H17616" s="4"/>
      <c r="I17616" s="4"/>
    </row>
    <row r="17617">
      <c r="A17617" s="4" t="str">
        <f>IFERROR(__xludf.DUMMYFUNCTION("""COMPUTED_VALUE"""),"cas_hmw")</f>
        <v>cas_hmw</v>
      </c>
      <c r="B17617" s="5">
        <f>IFERROR(__xludf.DUMMYFUNCTION("""COMPUTED_VALUE"""),44741.0)</f>
        <v>44741</v>
      </c>
      <c r="C17617" s="6">
        <f>IFERROR(__xludf.DUMMYFUNCTION("""COMPUTED_VALUE"""),0.3046643518500787)</f>
        <v>0.3046643519</v>
      </c>
      <c r="D17617" s="4">
        <f>IFERROR(__xludf.DUMMYFUNCTION("""COMPUTED_VALUE"""),13.067416)</f>
        <v>13.067416</v>
      </c>
      <c r="E17617" s="4">
        <f>IFERROR(__xludf.DUMMYFUNCTION("""COMPUTED_VALUE"""),80.273028)</f>
        <v>80.273028</v>
      </c>
      <c r="F17617" s="4">
        <f>IFERROR(__xludf.DUMMYFUNCTION("""COMPUTED_VALUE"""),5339.0)</f>
        <v>5339</v>
      </c>
      <c r="G17617" s="4">
        <f>IFERROR(__xludf.DUMMYFUNCTION("""COMPUTED_VALUE"""),38.0)</f>
        <v>38</v>
      </c>
      <c r="H17617" s="4"/>
      <c r="I17617" s="4"/>
    </row>
    <row r="17618">
      <c r="A17618" s="4" t="str">
        <f>IFERROR(__xludf.DUMMYFUNCTION("""COMPUTED_VALUE"""),"cas_hmw")</f>
        <v>cas_hmw</v>
      </c>
      <c r="B17618" s="5">
        <f>IFERROR(__xludf.DUMMYFUNCTION("""COMPUTED_VALUE"""),44741.0)</f>
        <v>44741</v>
      </c>
      <c r="C17618" s="6">
        <f>IFERROR(__xludf.DUMMYFUNCTION("""COMPUTED_VALUE"""),0.3115624999991269)</f>
        <v>0.3115625</v>
      </c>
      <c r="D17618" s="4">
        <f>IFERROR(__xludf.DUMMYFUNCTION("""COMPUTED_VALUE"""),13.042616)</f>
        <v>13.042616</v>
      </c>
      <c r="E17618" s="4">
        <f>IFERROR(__xludf.DUMMYFUNCTION("""COMPUTED_VALUE"""),80.268034)</f>
        <v>80.268034</v>
      </c>
      <c r="F17618" s="4">
        <f>IFERROR(__xludf.DUMMYFUNCTION("""COMPUTED_VALUE"""),805.0)</f>
        <v>805</v>
      </c>
      <c r="G17618" s="4">
        <f>IFERROR(__xludf.DUMMYFUNCTION("""COMPUTED_VALUE"""),40.0)</f>
        <v>40</v>
      </c>
      <c r="H17618" s="4"/>
      <c r="I17618" s="4"/>
    </row>
    <row r="17619">
      <c r="A17619" s="4" t="str">
        <f>IFERROR(__xludf.DUMMYFUNCTION("""COMPUTED_VALUE"""),"cas_hmw")</f>
        <v>cas_hmw</v>
      </c>
      <c r="B17619" s="5">
        <f>IFERROR(__xludf.DUMMYFUNCTION("""COMPUTED_VALUE"""),44741.0)</f>
        <v>44741</v>
      </c>
      <c r="C17619" s="6">
        <f>IFERROR(__xludf.DUMMYFUNCTION("""COMPUTED_VALUE"""),0.31259259259240935)</f>
        <v>0.3125925926</v>
      </c>
      <c r="D17619" s="4">
        <f>IFERROR(__xludf.DUMMYFUNCTION("""COMPUTED_VALUE"""),13.054625)</f>
        <v>13.054625</v>
      </c>
      <c r="E17619" s="4">
        <f>IFERROR(__xludf.DUMMYFUNCTION("""COMPUTED_VALUE"""),80.255753)</f>
        <v>80.255753</v>
      </c>
      <c r="F17619" s="4">
        <f>IFERROR(__xludf.DUMMYFUNCTION("""COMPUTED_VALUE"""),5339.0)</f>
        <v>5339</v>
      </c>
      <c r="G17619" s="4">
        <f>IFERROR(__xludf.DUMMYFUNCTION("""COMPUTED_VALUE"""),41.0)</f>
        <v>41</v>
      </c>
      <c r="H17619" s="4"/>
      <c r="I17619" s="4"/>
    </row>
    <row r="17620">
      <c r="A17620" s="4" t="str">
        <f>IFERROR(__xludf.DUMMYFUNCTION("""COMPUTED_VALUE"""),"cas_hmw")</f>
        <v>cas_hmw</v>
      </c>
      <c r="B17620" s="5">
        <f>IFERROR(__xludf.DUMMYFUNCTION("""COMPUTED_VALUE"""),44741.0)</f>
        <v>44741</v>
      </c>
      <c r="C17620" s="6">
        <f>IFERROR(__xludf.DUMMYFUNCTION("""COMPUTED_VALUE"""),0.31292824073898373)</f>
        <v>0.3129282407</v>
      </c>
      <c r="D17620" s="4">
        <f>IFERROR(__xludf.DUMMYFUNCTION("""COMPUTED_VALUE"""),13.054153)</f>
        <v>13.054153</v>
      </c>
      <c r="E17620" s="4">
        <f>IFERROR(__xludf.DUMMYFUNCTION("""COMPUTED_VALUE"""),80.253542)</f>
        <v>80.253542</v>
      </c>
      <c r="F17620" s="4">
        <f>IFERROR(__xludf.DUMMYFUNCTION("""COMPUTED_VALUE"""),5339.0)</f>
        <v>5339</v>
      </c>
      <c r="G17620" s="4">
        <f>IFERROR(__xludf.DUMMYFUNCTION("""COMPUTED_VALUE"""),39.0)</f>
        <v>39</v>
      </c>
      <c r="H17620" s="4"/>
      <c r="I17620" s="4"/>
    </row>
    <row r="17621">
      <c r="A17621" s="4" t="str">
        <f>IFERROR(__xludf.DUMMYFUNCTION("""COMPUTED_VALUE"""),"cas_hmw")</f>
        <v>cas_hmw</v>
      </c>
      <c r="B17621" s="5">
        <f>IFERROR(__xludf.DUMMYFUNCTION("""COMPUTED_VALUE"""),44741.0)</f>
        <v>44741</v>
      </c>
      <c r="C17621" s="6">
        <f>IFERROR(__xludf.DUMMYFUNCTION("""COMPUTED_VALUE"""),0.31353009259328246)</f>
        <v>0.3135300926</v>
      </c>
      <c r="D17621" s="4">
        <f>IFERROR(__xludf.DUMMYFUNCTION("""COMPUTED_VALUE"""),13.049494)</f>
        <v>13.049494</v>
      </c>
      <c r="E17621" s="4">
        <f>IFERROR(__xludf.DUMMYFUNCTION("""COMPUTED_VALUE"""),80.249805)</f>
        <v>80.249805</v>
      </c>
      <c r="F17621" s="4">
        <f>IFERROR(__xludf.DUMMYFUNCTION("""COMPUTED_VALUE"""),5339.0)</f>
        <v>5339</v>
      </c>
      <c r="G17621" s="4">
        <f>IFERROR(__xludf.DUMMYFUNCTION("""COMPUTED_VALUE"""),60.0)</f>
        <v>60</v>
      </c>
      <c r="H17621" s="4"/>
      <c r="I17621" s="4"/>
    </row>
    <row r="17622">
      <c r="A17622" s="4" t="str">
        <f>IFERROR(__xludf.DUMMYFUNCTION("""COMPUTED_VALUE"""),"cas_hmw")</f>
        <v>cas_hmw</v>
      </c>
      <c r="B17622" s="5">
        <f>IFERROR(__xludf.DUMMYFUNCTION("""COMPUTED_VALUE"""),44741.0)</f>
        <v>44741</v>
      </c>
      <c r="C17622" s="6">
        <f>IFERROR(__xludf.DUMMYFUNCTION("""COMPUTED_VALUE"""),0.3139583333322662)</f>
        <v>0.3139583333</v>
      </c>
      <c r="D17622" s="4">
        <f>IFERROR(__xludf.DUMMYFUNCTION("""COMPUTED_VALUE"""),13.045525)</f>
        <v>13.045525</v>
      </c>
      <c r="E17622" s="4">
        <f>IFERROR(__xludf.DUMMYFUNCTION("""COMPUTED_VALUE"""),80.248268)</f>
        <v>80.248268</v>
      </c>
      <c r="F17622" s="4">
        <f>IFERROR(__xludf.DUMMYFUNCTION("""COMPUTED_VALUE"""),5339.0)</f>
        <v>5339</v>
      </c>
      <c r="G17622" s="4">
        <f>IFERROR(__xludf.DUMMYFUNCTION("""COMPUTED_VALUE"""),26.0)</f>
        <v>26</v>
      </c>
      <c r="H17622" s="4"/>
      <c r="I17622" s="4"/>
    </row>
    <row r="17623">
      <c r="A17623" s="4" t="str">
        <f>IFERROR(__xludf.DUMMYFUNCTION("""COMPUTED_VALUE"""),"cas_hmw")</f>
        <v>cas_hmw</v>
      </c>
      <c r="B17623" s="5">
        <f>IFERROR(__xludf.DUMMYFUNCTION("""COMPUTED_VALUE"""),44741.0)</f>
        <v>44741</v>
      </c>
      <c r="C17623" s="6">
        <f>IFERROR(__xludf.DUMMYFUNCTION("""COMPUTED_VALUE"""),0.3151620370372257)</f>
        <v>0.315162037</v>
      </c>
      <c r="D17623" s="4">
        <f>IFERROR(__xludf.DUMMYFUNCTION("""COMPUTED_VALUE"""),13.040832)</f>
        <v>13.040832</v>
      </c>
      <c r="E17623" s="4">
        <f>IFERROR(__xludf.DUMMYFUNCTION("""COMPUTED_VALUE"""),80.24726)</f>
        <v>80.24726</v>
      </c>
      <c r="F17623" s="4">
        <f>IFERROR(__xludf.DUMMYFUNCTION("""COMPUTED_VALUE"""),5339.0)</f>
        <v>5339</v>
      </c>
      <c r="G17623" s="4">
        <f>IFERROR(__xludf.DUMMYFUNCTION("""COMPUTED_VALUE"""),43.0)</f>
        <v>43</v>
      </c>
      <c r="H17623" s="4"/>
      <c r="I17623" s="4"/>
    </row>
    <row r="17624">
      <c r="A17624" s="4" t="str">
        <f>IFERROR(__xludf.DUMMYFUNCTION("""COMPUTED_VALUE"""),"cas_hmw")</f>
        <v>cas_hmw</v>
      </c>
      <c r="B17624" s="5">
        <f>IFERROR(__xludf.DUMMYFUNCTION("""COMPUTED_VALUE"""),44741.0)</f>
        <v>44741</v>
      </c>
      <c r="C17624" s="6">
        <f>IFERROR(__xludf.DUMMYFUNCTION("""COMPUTED_VALUE"""),0.3162731481497758)</f>
        <v>0.3162731481</v>
      </c>
      <c r="D17624" s="4">
        <f>IFERROR(__xludf.DUMMYFUNCTION("""COMPUTED_VALUE"""),13.034822)</f>
        <v>13.034822</v>
      </c>
      <c r="E17624" s="4">
        <f>IFERROR(__xludf.DUMMYFUNCTION("""COMPUTED_VALUE"""),80.24583)</f>
        <v>80.24583</v>
      </c>
      <c r="F17624" s="4">
        <f>IFERROR(__xludf.DUMMYFUNCTION("""COMPUTED_VALUE"""),5339.0)</f>
        <v>5339</v>
      </c>
      <c r="G17624" s="4">
        <f>IFERROR(__xludf.DUMMYFUNCTION("""COMPUTED_VALUE"""),23.0)</f>
        <v>23</v>
      </c>
      <c r="H17624" s="4"/>
      <c r="I17624" s="4"/>
    </row>
    <row r="17625">
      <c r="A17625" s="4" t="str">
        <f>IFERROR(__xludf.DUMMYFUNCTION("""COMPUTED_VALUE"""),"cas_hmw")</f>
        <v>cas_hmw</v>
      </c>
      <c r="B17625" s="5">
        <f>IFERROR(__xludf.DUMMYFUNCTION("""COMPUTED_VALUE"""),44741.0)</f>
        <v>44741</v>
      </c>
      <c r="C17625" s="6">
        <f>IFERROR(__xludf.DUMMYFUNCTION("""COMPUTED_VALUE"""),0.3165277777770825)</f>
        <v>0.3165277778</v>
      </c>
      <c r="D17625" s="4">
        <f>IFERROR(__xludf.DUMMYFUNCTION("""COMPUTED_VALUE"""),13.033798)</f>
        <v>13.033798</v>
      </c>
      <c r="E17625" s="4">
        <f>IFERROR(__xludf.DUMMYFUNCTION("""COMPUTED_VALUE"""),80.24445)</f>
        <v>80.24445</v>
      </c>
      <c r="F17625" s="4">
        <f>IFERROR(__xludf.DUMMYFUNCTION("""COMPUTED_VALUE"""),5339.0)</f>
        <v>5339</v>
      </c>
      <c r="G17625" s="4">
        <f>IFERROR(__xludf.DUMMYFUNCTION("""COMPUTED_VALUE"""),37.0)</f>
        <v>37</v>
      </c>
      <c r="H17625" s="4"/>
      <c r="I17625" s="4"/>
    </row>
    <row r="17626">
      <c r="A17626" s="4" t="str">
        <f>IFERROR(__xludf.DUMMYFUNCTION("""COMPUTED_VALUE"""),"cas_hmw")</f>
        <v>cas_hmw</v>
      </c>
      <c r="B17626" s="5">
        <f>IFERROR(__xludf.DUMMYFUNCTION("""COMPUTED_VALUE"""),44741.0)</f>
        <v>44741</v>
      </c>
      <c r="C17626" s="6">
        <f>IFERROR(__xludf.DUMMYFUNCTION("""COMPUTED_VALUE"""),0.3182754629633564)</f>
        <v>0.318275463</v>
      </c>
      <c r="D17626" s="4">
        <f>IFERROR(__xludf.DUMMYFUNCTION("""COMPUTED_VALUE"""),13.030956)</f>
        <v>13.030956</v>
      </c>
      <c r="E17626" s="4">
        <f>IFERROR(__xludf.DUMMYFUNCTION("""COMPUTED_VALUE"""),80.239701)</f>
        <v>80.239701</v>
      </c>
      <c r="F17626" s="4">
        <f>IFERROR(__xludf.DUMMYFUNCTION("""COMPUTED_VALUE"""),5339.0)</f>
        <v>5339</v>
      </c>
      <c r="G17626" s="4">
        <f>IFERROR(__xludf.DUMMYFUNCTION("""COMPUTED_VALUE"""),28.0)</f>
        <v>28</v>
      </c>
      <c r="H17626" s="4"/>
      <c r="I17626" s="4"/>
    </row>
    <row r="17627">
      <c r="A17627" s="4" t="str">
        <f>IFERROR(__xludf.DUMMYFUNCTION("""COMPUTED_VALUE"""),"cas_hmw")</f>
        <v>cas_hmw</v>
      </c>
      <c r="B17627" s="5">
        <f>IFERROR(__xludf.DUMMYFUNCTION("""COMPUTED_VALUE"""),44741.0)</f>
        <v>44741</v>
      </c>
      <c r="C17627" s="6">
        <f>IFERROR(__xludf.DUMMYFUNCTION("""COMPUTED_VALUE"""),0.3184606481481751)</f>
        <v>0.3184606481</v>
      </c>
      <c r="D17627" s="4">
        <f>IFERROR(__xludf.DUMMYFUNCTION("""COMPUTED_VALUE"""),12.677815)</f>
        <v>12.677815</v>
      </c>
      <c r="E17627" s="4">
        <f>IFERROR(__xludf.DUMMYFUNCTION("""COMPUTED_VALUE"""),79.979427)</f>
        <v>79.979427</v>
      </c>
      <c r="F17627" s="4">
        <f>IFERROR(__xludf.DUMMYFUNCTION("""COMPUTED_VALUE"""),2846.0)</f>
        <v>2846</v>
      </c>
      <c r="G17627" s="4">
        <f>IFERROR(__xludf.DUMMYFUNCTION("""COMPUTED_VALUE"""),26.0)</f>
        <v>26</v>
      </c>
      <c r="H17627" s="4"/>
      <c r="I17627" s="4"/>
    </row>
    <row r="17628">
      <c r="A17628" s="4" t="str">
        <f>IFERROR(__xludf.DUMMYFUNCTION("""COMPUTED_VALUE"""),"cas_hmw")</f>
        <v>cas_hmw</v>
      </c>
      <c r="B17628" s="5">
        <f>IFERROR(__xludf.DUMMYFUNCTION("""COMPUTED_VALUE"""),44741.0)</f>
        <v>44741</v>
      </c>
      <c r="C17628" s="6">
        <f>IFERROR(__xludf.DUMMYFUNCTION("""COMPUTED_VALUE"""),0.31931712962978054)</f>
        <v>0.3193171296</v>
      </c>
      <c r="D17628" s="4">
        <f>IFERROR(__xludf.DUMMYFUNCTION("""COMPUTED_VALUE"""),13.026529)</f>
        <v>13.026529</v>
      </c>
      <c r="E17628" s="4">
        <f>IFERROR(__xludf.DUMMYFUNCTION("""COMPUTED_VALUE"""),80.232931)</f>
        <v>80.232931</v>
      </c>
      <c r="F17628" s="4">
        <f>IFERROR(__xludf.DUMMYFUNCTION("""COMPUTED_VALUE"""),5339.0)</f>
        <v>5339</v>
      </c>
      <c r="G17628" s="4">
        <f>IFERROR(__xludf.DUMMYFUNCTION("""COMPUTED_VALUE"""),26.0)</f>
        <v>26</v>
      </c>
      <c r="H17628" s="4"/>
      <c r="I17628" s="4"/>
    </row>
    <row r="17629">
      <c r="A17629" s="4" t="str">
        <f>IFERROR(__xludf.DUMMYFUNCTION("""COMPUTED_VALUE"""),"cas_hmw")</f>
        <v>cas_hmw</v>
      </c>
      <c r="B17629" s="5">
        <f>IFERROR(__xludf.DUMMYFUNCTION("""COMPUTED_VALUE"""),44741.0)</f>
        <v>44741</v>
      </c>
      <c r="C17629" s="6">
        <f>IFERROR(__xludf.DUMMYFUNCTION("""COMPUTED_VALUE"""),0.31971064814933925)</f>
        <v>0.3197106481</v>
      </c>
      <c r="D17629" s="4">
        <f>IFERROR(__xludf.DUMMYFUNCTION("""COMPUTED_VALUE"""),12.687113)</f>
        <v>12.687113</v>
      </c>
      <c r="E17629" s="4">
        <f>IFERROR(__xludf.DUMMYFUNCTION("""COMPUTED_VALUE"""),79.983063)</f>
        <v>79.983063</v>
      </c>
      <c r="F17629" s="4">
        <f>IFERROR(__xludf.DUMMYFUNCTION("""COMPUTED_VALUE"""),2846.0)</f>
        <v>2846</v>
      </c>
      <c r="G17629" s="4">
        <f>IFERROR(__xludf.DUMMYFUNCTION("""COMPUTED_VALUE"""),29.0)</f>
        <v>29</v>
      </c>
      <c r="H17629" s="4"/>
      <c r="I17629" s="4"/>
    </row>
    <row r="17630">
      <c r="A17630" s="4" t="str">
        <f>IFERROR(__xludf.DUMMYFUNCTION("""COMPUTED_VALUE"""),"cas_hmw")</f>
        <v>cas_hmw</v>
      </c>
      <c r="B17630" s="5">
        <f>IFERROR(__xludf.DUMMYFUNCTION("""COMPUTED_VALUE"""),44741.0)</f>
        <v>44741</v>
      </c>
      <c r="C17630" s="6">
        <f>IFERROR(__xludf.DUMMYFUNCTION("""COMPUTED_VALUE"""),0.3197222222224809)</f>
        <v>0.3197222222</v>
      </c>
      <c r="D17630" s="4">
        <f>IFERROR(__xludf.DUMMYFUNCTION("""COMPUTED_VALUE"""),12.687113)</f>
        <v>12.687113</v>
      </c>
      <c r="E17630" s="4">
        <f>IFERROR(__xludf.DUMMYFUNCTION("""COMPUTED_VALUE"""),79.983063)</f>
        <v>79.983063</v>
      </c>
      <c r="F17630" s="4">
        <f>IFERROR(__xludf.DUMMYFUNCTION("""COMPUTED_VALUE"""),2846.0)</f>
        <v>2846</v>
      </c>
      <c r="G17630" s="4">
        <f>IFERROR(__xludf.DUMMYFUNCTION("""COMPUTED_VALUE"""),29.0)</f>
        <v>29</v>
      </c>
      <c r="H17630" s="4"/>
      <c r="I17630" s="4"/>
    </row>
    <row r="17631">
      <c r="A17631" s="4" t="str">
        <f>IFERROR(__xludf.DUMMYFUNCTION("""COMPUTED_VALUE"""),"cas_hmw")</f>
        <v>cas_hmw</v>
      </c>
      <c r="B17631" s="5">
        <f>IFERROR(__xludf.DUMMYFUNCTION("""COMPUTED_VALUE"""),44741.0)</f>
        <v>44741</v>
      </c>
      <c r="C17631" s="6">
        <f>IFERROR(__xludf.DUMMYFUNCTION("""COMPUTED_VALUE"""),0.3197337962956226)</f>
        <v>0.3197337963</v>
      </c>
      <c r="D17631" s="4">
        <f>IFERROR(__xludf.DUMMYFUNCTION("""COMPUTED_VALUE"""),12.687113)</f>
        <v>12.687113</v>
      </c>
      <c r="E17631" s="4">
        <f>IFERROR(__xludf.DUMMYFUNCTION("""COMPUTED_VALUE"""),79.983063)</f>
        <v>79.983063</v>
      </c>
      <c r="F17631" s="4">
        <f>IFERROR(__xludf.DUMMYFUNCTION("""COMPUTED_VALUE"""),2846.0)</f>
        <v>2846</v>
      </c>
      <c r="G17631" s="4">
        <f>IFERROR(__xludf.DUMMYFUNCTION("""COMPUTED_VALUE"""),29.0)</f>
        <v>29</v>
      </c>
      <c r="H17631" s="4"/>
      <c r="I17631" s="4"/>
    </row>
    <row r="17632">
      <c r="A17632" s="4" t="str">
        <f>IFERROR(__xludf.DUMMYFUNCTION("""COMPUTED_VALUE"""),"cas_hmw")</f>
        <v>cas_hmw</v>
      </c>
      <c r="B17632" s="5">
        <f>IFERROR(__xludf.DUMMYFUNCTION("""COMPUTED_VALUE"""),44741.0)</f>
        <v>44741</v>
      </c>
      <c r="C17632" s="6">
        <f>IFERROR(__xludf.DUMMYFUNCTION("""COMPUTED_VALUE"""),0.31974537036876427)</f>
        <v>0.3197453704</v>
      </c>
      <c r="D17632" s="4">
        <f>IFERROR(__xludf.DUMMYFUNCTION("""COMPUTED_VALUE"""),12.687113)</f>
        <v>12.687113</v>
      </c>
      <c r="E17632" s="4">
        <f>IFERROR(__xludf.DUMMYFUNCTION("""COMPUTED_VALUE"""),79.983063)</f>
        <v>79.983063</v>
      </c>
      <c r="F17632" s="4">
        <f>IFERROR(__xludf.DUMMYFUNCTION("""COMPUTED_VALUE"""),2846.0)</f>
        <v>2846</v>
      </c>
      <c r="G17632" s="4">
        <f>IFERROR(__xludf.DUMMYFUNCTION("""COMPUTED_VALUE"""),29.0)</f>
        <v>29</v>
      </c>
      <c r="H17632" s="4"/>
      <c r="I17632" s="4"/>
    </row>
    <row r="17633">
      <c r="A17633" s="4" t="str">
        <f>IFERROR(__xludf.DUMMYFUNCTION("""COMPUTED_VALUE"""),"cas_hmw")</f>
        <v>cas_hmw</v>
      </c>
      <c r="B17633" s="5">
        <f>IFERROR(__xludf.DUMMYFUNCTION("""COMPUTED_VALUE"""),44741.0)</f>
        <v>44741</v>
      </c>
      <c r="C17633" s="6">
        <f>IFERROR(__xludf.DUMMYFUNCTION("""COMPUTED_VALUE"""),0.3206712962964957)</f>
        <v>0.3206712963</v>
      </c>
      <c r="D17633" s="4">
        <f>IFERROR(__xludf.DUMMYFUNCTION("""COMPUTED_VALUE"""),13.022817)</f>
        <v>13.022817</v>
      </c>
      <c r="E17633" s="4">
        <f>IFERROR(__xludf.DUMMYFUNCTION("""COMPUTED_VALUE"""),80.227033)</f>
        <v>80.227033</v>
      </c>
      <c r="F17633" s="4">
        <f>IFERROR(__xludf.DUMMYFUNCTION("""COMPUTED_VALUE"""),5339.0)</f>
        <v>5339</v>
      </c>
      <c r="G17633" s="4">
        <f>IFERROR(__xludf.DUMMYFUNCTION("""COMPUTED_VALUE"""),46.0)</f>
        <v>46</v>
      </c>
      <c r="H17633" s="4"/>
      <c r="I17633" s="4"/>
    </row>
    <row r="17634">
      <c r="A17634" s="4" t="str">
        <f>IFERROR(__xludf.DUMMYFUNCTION("""COMPUTED_VALUE"""),"cas_hmw")</f>
        <v>cas_hmw</v>
      </c>
      <c r="B17634" s="5">
        <f>IFERROR(__xludf.DUMMYFUNCTION("""COMPUTED_VALUE"""),44741.0)</f>
        <v>44741</v>
      </c>
      <c r="C17634" s="6">
        <f>IFERROR(__xludf.DUMMYFUNCTION("""COMPUTED_VALUE"""),0.3214004629626288)</f>
        <v>0.321400463</v>
      </c>
      <c r="D17634" s="4">
        <f>IFERROR(__xludf.DUMMYFUNCTION("""COMPUTED_VALUE"""),13.019963)</f>
        <v>13.019963</v>
      </c>
      <c r="E17634" s="4">
        <f>IFERROR(__xludf.DUMMYFUNCTION("""COMPUTED_VALUE"""),80.2248)</f>
        <v>80.2248</v>
      </c>
      <c r="F17634" s="4">
        <f>IFERROR(__xludf.DUMMYFUNCTION("""COMPUTED_VALUE"""),5339.0)</f>
        <v>5339</v>
      </c>
      <c r="G17634" s="4">
        <f>IFERROR(__xludf.DUMMYFUNCTION("""COMPUTED_VALUE"""),19.0)</f>
        <v>19</v>
      </c>
      <c r="H17634" s="4"/>
      <c r="I17634" s="4"/>
    </row>
    <row r="17635">
      <c r="A17635" s="4" t="str">
        <f>IFERROR(__xludf.DUMMYFUNCTION("""COMPUTED_VALUE"""),"cas_hmw")</f>
        <v>cas_hmw</v>
      </c>
      <c r="B17635" s="5">
        <f>IFERROR(__xludf.DUMMYFUNCTION("""COMPUTED_VALUE"""),44741.0)</f>
        <v>44741</v>
      </c>
      <c r="C17635" s="6">
        <f>IFERROR(__xludf.DUMMYFUNCTION("""COMPUTED_VALUE"""),0.32149305555503815)</f>
        <v>0.3214930556</v>
      </c>
      <c r="D17635" s="4">
        <f>IFERROR(__xludf.DUMMYFUNCTION("""COMPUTED_VALUE"""),13.019307)</f>
        <v>13.019307</v>
      </c>
      <c r="E17635" s="4">
        <f>IFERROR(__xludf.DUMMYFUNCTION("""COMPUTED_VALUE"""),80.224498)</f>
        <v>80.224498</v>
      </c>
      <c r="F17635" s="4">
        <f>IFERROR(__xludf.DUMMYFUNCTION("""COMPUTED_VALUE"""),5339.0)</f>
        <v>5339</v>
      </c>
      <c r="G17635" s="4">
        <f>IFERROR(__xludf.DUMMYFUNCTION("""COMPUTED_VALUE"""),36.0)</f>
        <v>36</v>
      </c>
      <c r="H17635" s="4"/>
      <c r="I17635" s="4"/>
    </row>
    <row r="17636">
      <c r="A17636" s="4" t="str">
        <f>IFERROR(__xludf.DUMMYFUNCTION("""COMPUTED_VALUE"""),"cas_hmw")</f>
        <v>cas_hmw</v>
      </c>
      <c r="B17636" s="5">
        <f>IFERROR(__xludf.DUMMYFUNCTION("""COMPUTED_VALUE"""),44741.0)</f>
        <v>44741</v>
      </c>
      <c r="C17636" s="6">
        <f>IFERROR(__xludf.DUMMYFUNCTION("""COMPUTED_VALUE"""),0.3219444444439432)</f>
        <v>0.3219444444</v>
      </c>
      <c r="D17636" s="4">
        <f>IFERROR(__xludf.DUMMYFUNCTION("""COMPUTED_VALUE"""),12.691487)</f>
        <v>12.691487</v>
      </c>
      <c r="E17636" s="4">
        <f>IFERROR(__xludf.DUMMYFUNCTION("""COMPUTED_VALUE"""),79.980614)</f>
        <v>79.980614</v>
      </c>
      <c r="F17636" s="4">
        <f>IFERROR(__xludf.DUMMYFUNCTION("""COMPUTED_VALUE"""),2846.0)</f>
        <v>2846</v>
      </c>
      <c r="G17636" s="4">
        <f>IFERROR(__xludf.DUMMYFUNCTION("""COMPUTED_VALUE"""),11.0)</f>
        <v>11</v>
      </c>
      <c r="H17636" s="4"/>
      <c r="I17636" s="4"/>
    </row>
    <row r="17637">
      <c r="A17637" s="4" t="str">
        <f>IFERROR(__xludf.DUMMYFUNCTION("""COMPUTED_VALUE"""),"cas_hmw")</f>
        <v>cas_hmw</v>
      </c>
      <c r="B17637" s="5">
        <f>IFERROR(__xludf.DUMMYFUNCTION("""COMPUTED_VALUE"""),44741.0)</f>
        <v>44741</v>
      </c>
      <c r="C17637" s="6">
        <f>IFERROR(__xludf.DUMMYFUNCTION("""COMPUTED_VALUE"""),0.3221759259249666)</f>
        <v>0.3221759259</v>
      </c>
      <c r="D17637" s="4">
        <f>IFERROR(__xludf.DUMMYFUNCTION("""COMPUTED_VALUE"""),13.01364)</f>
        <v>13.01364</v>
      </c>
      <c r="E17637" s="4">
        <f>IFERROR(__xludf.DUMMYFUNCTION("""COMPUTED_VALUE"""),80.226532)</f>
        <v>80.226532</v>
      </c>
      <c r="F17637" s="4">
        <f>IFERROR(__xludf.DUMMYFUNCTION("""COMPUTED_VALUE"""),5339.0)</f>
        <v>5339</v>
      </c>
      <c r="G17637" s="4">
        <f>IFERROR(__xludf.DUMMYFUNCTION("""COMPUTED_VALUE"""),45.0)</f>
        <v>45</v>
      </c>
      <c r="H17637" s="4"/>
      <c r="I17637" s="4"/>
    </row>
    <row r="17638">
      <c r="A17638" s="4" t="str">
        <f>IFERROR(__xludf.DUMMYFUNCTION("""COMPUTED_VALUE"""),"cas_hmw")</f>
        <v>cas_hmw</v>
      </c>
      <c r="B17638" s="5">
        <f>IFERROR(__xludf.DUMMYFUNCTION("""COMPUTED_VALUE"""),44741.0)</f>
        <v>44741</v>
      </c>
      <c r="C17638" s="6">
        <f>IFERROR(__xludf.DUMMYFUNCTION("""COMPUTED_VALUE"""),0.322893518517958)</f>
        <v>0.3228935185</v>
      </c>
      <c r="D17638" s="4">
        <f>IFERROR(__xludf.DUMMYFUNCTION("""COMPUTED_VALUE"""),13.006692)</f>
        <v>13.006692</v>
      </c>
      <c r="E17638" s="4">
        <f>IFERROR(__xludf.DUMMYFUNCTION("""COMPUTED_VALUE"""),80.251494)</f>
        <v>80.251494</v>
      </c>
      <c r="F17638" s="4">
        <f>IFERROR(__xludf.DUMMYFUNCTION("""COMPUTED_VALUE"""),805.0)</f>
        <v>805</v>
      </c>
      <c r="G17638" s="4">
        <f>IFERROR(__xludf.DUMMYFUNCTION("""COMPUTED_VALUE"""),22.0)</f>
        <v>22</v>
      </c>
      <c r="H17638" s="4"/>
      <c r="I17638" s="4"/>
    </row>
    <row r="17639">
      <c r="A17639" s="4" t="str">
        <f>IFERROR(__xludf.DUMMYFUNCTION("""COMPUTED_VALUE"""),"cas_hmw")</f>
        <v>cas_hmw</v>
      </c>
      <c r="B17639" s="5">
        <f>IFERROR(__xludf.DUMMYFUNCTION("""COMPUTED_VALUE"""),44741.0)</f>
        <v>44741</v>
      </c>
      <c r="C17639" s="6">
        <f>IFERROR(__xludf.DUMMYFUNCTION("""COMPUTED_VALUE"""),0.322997685183509)</f>
        <v>0.3229976852</v>
      </c>
      <c r="D17639" s="4">
        <f>IFERROR(__xludf.DUMMYFUNCTION("""COMPUTED_VALUE"""),13.010548)</f>
        <v>13.010548</v>
      </c>
      <c r="E17639" s="4">
        <f>IFERROR(__xludf.DUMMYFUNCTION("""COMPUTED_VALUE"""),80.225335)</f>
        <v>80.225335</v>
      </c>
      <c r="F17639" s="4">
        <f>IFERROR(__xludf.DUMMYFUNCTION("""COMPUTED_VALUE"""),5339.0)</f>
        <v>5339</v>
      </c>
      <c r="G17639" s="4">
        <f>IFERROR(__xludf.DUMMYFUNCTION("""COMPUTED_VALUE"""),47.0)</f>
        <v>47</v>
      </c>
      <c r="H17639" s="4"/>
      <c r="I17639" s="4"/>
    </row>
    <row r="17640">
      <c r="A17640" s="4" t="str">
        <f>IFERROR(__xludf.DUMMYFUNCTION("""COMPUTED_VALUE"""),"cas_hmw")</f>
        <v>cas_hmw</v>
      </c>
      <c r="B17640" s="5">
        <f>IFERROR(__xludf.DUMMYFUNCTION("""COMPUTED_VALUE"""),44741.0)</f>
        <v>44741</v>
      </c>
      <c r="C17640" s="6">
        <f>IFERROR(__xludf.DUMMYFUNCTION("""COMPUTED_VALUE"""),0.32341435185298906)</f>
        <v>0.3234143519</v>
      </c>
      <c r="D17640" s="4">
        <f>IFERROR(__xludf.DUMMYFUNCTION("""COMPUTED_VALUE"""),13.01155)</f>
        <v>13.01155</v>
      </c>
      <c r="E17640" s="4">
        <f>IFERROR(__xludf.DUMMYFUNCTION("""COMPUTED_VALUE"""),80.222886)</f>
        <v>80.222886</v>
      </c>
      <c r="F17640" s="4">
        <f>IFERROR(__xludf.DUMMYFUNCTION("""COMPUTED_VALUE"""),5339.0)</f>
        <v>5339</v>
      </c>
      <c r="G17640" s="4">
        <f>IFERROR(__xludf.DUMMYFUNCTION("""COMPUTED_VALUE"""),25.0)</f>
        <v>25</v>
      </c>
      <c r="H17640" s="4"/>
      <c r="I17640" s="4"/>
    </row>
    <row r="17641">
      <c r="A17641" s="4" t="str">
        <f>IFERROR(__xludf.DUMMYFUNCTION("""COMPUTED_VALUE"""),"cas_hmw")</f>
        <v>cas_hmw</v>
      </c>
      <c r="B17641" s="5">
        <f>IFERROR(__xludf.DUMMYFUNCTION("""COMPUTED_VALUE"""),44741.0)</f>
        <v>44741</v>
      </c>
      <c r="C17641" s="6">
        <f>IFERROR(__xludf.DUMMYFUNCTION("""COMPUTED_VALUE"""),0.32396990740744513)</f>
        <v>0.3239699074</v>
      </c>
      <c r="D17641" s="4">
        <f>IFERROR(__xludf.DUMMYFUNCTION("""COMPUTED_VALUE"""),13.012044)</f>
        <v>13.012044</v>
      </c>
      <c r="E17641" s="4">
        <f>IFERROR(__xludf.DUMMYFUNCTION("""COMPUTED_VALUE"""),80.220649)</f>
        <v>80.220649</v>
      </c>
      <c r="F17641" s="4">
        <f>IFERROR(__xludf.DUMMYFUNCTION("""COMPUTED_VALUE"""),5339.0)</f>
        <v>5339</v>
      </c>
      <c r="G17641" s="4">
        <f>IFERROR(__xludf.DUMMYFUNCTION("""COMPUTED_VALUE"""),27.0)</f>
        <v>27</v>
      </c>
      <c r="H17641" s="4"/>
      <c r="I17641" s="4"/>
    </row>
    <row r="17642">
      <c r="A17642" s="4" t="str">
        <f>IFERROR(__xludf.DUMMYFUNCTION("""COMPUTED_VALUE"""),"cas_hmw")</f>
        <v>cas_hmw</v>
      </c>
      <c r="B17642" s="5">
        <f>IFERROR(__xludf.DUMMYFUNCTION("""COMPUTED_VALUE"""),44741.0)</f>
        <v>44741</v>
      </c>
      <c r="C17642" s="6">
        <f>IFERROR(__xludf.DUMMYFUNCTION("""COMPUTED_VALUE"""),0.3242245370383898)</f>
        <v>0.324224537</v>
      </c>
      <c r="D17642" s="4">
        <f>IFERROR(__xludf.DUMMYFUNCTION("""COMPUTED_VALUE"""),13.011204)</f>
        <v>13.011204</v>
      </c>
      <c r="E17642" s="4">
        <f>IFERROR(__xludf.DUMMYFUNCTION("""COMPUTED_VALUE"""),80.218039)</f>
        <v>80.218039</v>
      </c>
      <c r="F17642" s="4">
        <f>IFERROR(__xludf.DUMMYFUNCTION("""COMPUTED_VALUE"""),5339.0)</f>
        <v>5339</v>
      </c>
      <c r="G17642" s="4">
        <f>IFERROR(__xludf.DUMMYFUNCTION("""COMPUTED_VALUE"""),44.0)</f>
        <v>44</v>
      </c>
      <c r="H17642" s="4"/>
      <c r="I17642" s="4"/>
    </row>
    <row r="17643">
      <c r="A17643" s="4" t="str">
        <f>IFERROR(__xludf.DUMMYFUNCTION("""COMPUTED_VALUE"""),"cas_hmw")</f>
        <v>cas_hmw</v>
      </c>
      <c r="B17643" s="5">
        <f>IFERROR(__xludf.DUMMYFUNCTION("""COMPUTED_VALUE"""),44741.0)</f>
        <v>44741</v>
      </c>
      <c r="C17643" s="6">
        <f>IFERROR(__xludf.DUMMYFUNCTION("""COMPUTED_VALUE"""),0.32541666666656965)</f>
        <v>0.3254166667</v>
      </c>
      <c r="D17643" s="4">
        <f>IFERROR(__xludf.DUMMYFUNCTION("""COMPUTED_VALUE"""),13.007865)</f>
        <v>13.007865</v>
      </c>
      <c r="E17643" s="4">
        <f>IFERROR(__xludf.DUMMYFUNCTION("""COMPUTED_VALUE"""),80.207788)</f>
        <v>80.207788</v>
      </c>
      <c r="F17643" s="4">
        <f>IFERROR(__xludf.DUMMYFUNCTION("""COMPUTED_VALUE"""),5339.0)</f>
        <v>5339</v>
      </c>
      <c r="G17643" s="4">
        <f>IFERROR(__xludf.DUMMYFUNCTION("""COMPUTED_VALUE"""),41.0)</f>
        <v>41</v>
      </c>
      <c r="H17643" s="4"/>
      <c r="I17643" s="4"/>
    </row>
    <row r="17644">
      <c r="A17644" s="4" t="str">
        <f>IFERROR(__xludf.DUMMYFUNCTION("""COMPUTED_VALUE"""),"cas_hmw")</f>
        <v>cas_hmw</v>
      </c>
      <c r="B17644" s="5">
        <f>IFERROR(__xludf.DUMMYFUNCTION("""COMPUTED_VALUE"""),44741.0)</f>
        <v>44741</v>
      </c>
      <c r="C17644" s="6">
        <f>IFERROR(__xludf.DUMMYFUNCTION("""COMPUTED_VALUE"""),0.32631944444437977)</f>
        <v>0.3263194444</v>
      </c>
      <c r="D17644" s="4">
        <f>IFERROR(__xludf.DUMMYFUNCTION("""COMPUTED_VALUE"""),13.007192)</f>
        <v>13.007192</v>
      </c>
      <c r="E17644" s="4">
        <f>IFERROR(__xludf.DUMMYFUNCTION("""COMPUTED_VALUE"""),80.238119)</f>
        <v>80.238119</v>
      </c>
      <c r="F17644" s="4">
        <f>IFERROR(__xludf.DUMMYFUNCTION("""COMPUTED_VALUE"""),805.0)</f>
        <v>805</v>
      </c>
      <c r="G17644" s="4">
        <f>IFERROR(__xludf.DUMMYFUNCTION("""COMPUTED_VALUE"""),36.0)</f>
        <v>36</v>
      </c>
      <c r="H17644" s="4"/>
      <c r="I17644" s="4"/>
    </row>
    <row r="17645">
      <c r="A17645" s="4" t="str">
        <f>IFERROR(__xludf.DUMMYFUNCTION("""COMPUTED_VALUE"""),"cas_hmw")</f>
        <v>cas_hmw</v>
      </c>
      <c r="B17645" s="5">
        <f>IFERROR(__xludf.DUMMYFUNCTION("""COMPUTED_VALUE"""),44741.0)</f>
        <v>44741</v>
      </c>
      <c r="C17645" s="6">
        <f>IFERROR(__xludf.DUMMYFUNCTION("""COMPUTED_VALUE"""),0.32662037037152913)</f>
        <v>0.3266203704</v>
      </c>
      <c r="D17645" s="4">
        <f>IFERROR(__xludf.DUMMYFUNCTION("""COMPUTED_VALUE"""),13.002487)</f>
        <v>13.002487</v>
      </c>
      <c r="E17645" s="4">
        <f>IFERROR(__xludf.DUMMYFUNCTION("""COMPUTED_VALUE"""),80.200559)</f>
        <v>80.200559</v>
      </c>
      <c r="F17645" s="4">
        <f>IFERROR(__xludf.DUMMYFUNCTION("""COMPUTED_VALUE"""),5339.0)</f>
        <v>5339</v>
      </c>
      <c r="G17645" s="4">
        <f>IFERROR(__xludf.DUMMYFUNCTION("""COMPUTED_VALUE"""),42.0)</f>
        <v>42</v>
      </c>
      <c r="H17645" s="4"/>
      <c r="I17645" s="4"/>
    </row>
    <row r="17646">
      <c r="A17646" s="4" t="str">
        <f>IFERROR(__xludf.DUMMYFUNCTION("""COMPUTED_VALUE"""),"cas_hmw")</f>
        <v>cas_hmw</v>
      </c>
      <c r="B17646" s="5">
        <f>IFERROR(__xludf.DUMMYFUNCTION("""COMPUTED_VALUE"""),44741.0)</f>
        <v>44741</v>
      </c>
      <c r="C17646" s="6">
        <f>IFERROR(__xludf.DUMMYFUNCTION("""COMPUTED_VALUE"""),0.3267824074064265)</f>
        <v>0.3267824074</v>
      </c>
      <c r="D17646" s="4">
        <f>IFERROR(__xludf.DUMMYFUNCTION("""COMPUTED_VALUE"""),12.708491)</f>
        <v>12.708491</v>
      </c>
      <c r="E17646" s="4">
        <f>IFERROR(__xludf.DUMMYFUNCTION("""COMPUTED_VALUE"""),79.976977)</f>
        <v>79.976977</v>
      </c>
      <c r="F17646" s="4">
        <f>IFERROR(__xludf.DUMMYFUNCTION("""COMPUTED_VALUE"""),2846.0)</f>
        <v>2846</v>
      </c>
      <c r="G17646" s="4">
        <f>IFERROR(__xludf.DUMMYFUNCTION("""COMPUTED_VALUE"""),49.0)</f>
        <v>49</v>
      </c>
      <c r="H17646" s="4"/>
      <c r="I17646" s="4"/>
    </row>
    <row r="17647">
      <c r="A17647" s="4" t="str">
        <f>IFERROR(__xludf.DUMMYFUNCTION("""COMPUTED_VALUE"""),"cas_hmw")</f>
        <v>cas_hmw</v>
      </c>
      <c r="B17647" s="5">
        <f>IFERROR(__xludf.DUMMYFUNCTION("""COMPUTED_VALUE"""),44741.0)</f>
        <v>44741</v>
      </c>
      <c r="C17647" s="6">
        <f>IFERROR(__xludf.DUMMYFUNCTION("""COMPUTED_VALUE"""),0.327986111111386)</f>
        <v>0.3279861111</v>
      </c>
      <c r="D17647" s="4">
        <f>IFERROR(__xludf.DUMMYFUNCTION("""COMPUTED_VALUE"""),12.721326)</f>
        <v>12.721326</v>
      </c>
      <c r="E17647" s="4">
        <f>IFERROR(__xludf.DUMMYFUNCTION("""COMPUTED_VALUE"""),79.981228)</f>
        <v>79.981228</v>
      </c>
      <c r="F17647" s="4">
        <f>IFERROR(__xludf.DUMMYFUNCTION("""COMPUTED_VALUE"""),2846.0)</f>
        <v>2846</v>
      </c>
      <c r="G17647" s="4">
        <f>IFERROR(__xludf.DUMMYFUNCTION("""COMPUTED_VALUE"""),57.0)</f>
        <v>57</v>
      </c>
      <c r="H17647" s="4"/>
      <c r="I17647" s="4"/>
    </row>
    <row r="17648">
      <c r="A17648" s="4" t="str">
        <f>IFERROR(__xludf.DUMMYFUNCTION("""COMPUTED_VALUE"""),"cas_hmw")</f>
        <v>cas_hmw</v>
      </c>
      <c r="B17648" s="5">
        <f>IFERROR(__xludf.DUMMYFUNCTION("""COMPUTED_VALUE"""),44741.0)</f>
        <v>44741</v>
      </c>
      <c r="C17648" s="6">
        <f>IFERROR(__xludf.DUMMYFUNCTION("""COMPUTED_VALUE"""),0.32832175925796037)</f>
        <v>0.3283217593</v>
      </c>
      <c r="D17648" s="4">
        <f>IFERROR(__xludf.DUMMYFUNCTION("""COMPUTED_VALUE"""),13.011814)</f>
        <v>13.011814</v>
      </c>
      <c r="E17648" s="4">
        <f>IFERROR(__xludf.DUMMYFUNCTION("""COMPUTED_VALUE"""),80.221998)</f>
        <v>80.221998</v>
      </c>
      <c r="F17648" s="4">
        <f>IFERROR(__xludf.DUMMYFUNCTION("""COMPUTED_VALUE"""),805.0)</f>
        <v>805</v>
      </c>
      <c r="G17648" s="4">
        <f>IFERROR(__xludf.DUMMYFUNCTION("""COMPUTED_VALUE"""),29.0)</f>
        <v>29</v>
      </c>
      <c r="H17648" s="4"/>
      <c r="I17648" s="4"/>
    </row>
    <row r="17649">
      <c r="A17649" s="4" t="str">
        <f>IFERROR(__xludf.DUMMYFUNCTION("""COMPUTED_VALUE"""),"cas_hmw")</f>
        <v>cas_hmw</v>
      </c>
      <c r="B17649" s="5">
        <f>IFERROR(__xludf.DUMMYFUNCTION("""COMPUTED_VALUE"""),44741.0)</f>
        <v>44741</v>
      </c>
      <c r="C17649" s="6">
        <f>IFERROR(__xludf.DUMMYFUNCTION("""COMPUTED_VALUE"""),0.32876157407372375)</f>
        <v>0.3287615741</v>
      </c>
      <c r="D17649" s="4">
        <f>IFERROR(__xludf.DUMMYFUNCTION("""COMPUTED_VALUE"""),12.995445)</f>
        <v>12.995445</v>
      </c>
      <c r="E17649" s="4">
        <f>IFERROR(__xludf.DUMMYFUNCTION("""COMPUTED_VALUE"""),80.188386)</f>
        <v>80.188386</v>
      </c>
      <c r="F17649" s="4">
        <f>IFERROR(__xludf.DUMMYFUNCTION("""COMPUTED_VALUE"""),5339.0)</f>
        <v>5339</v>
      </c>
      <c r="G17649" s="4">
        <f>IFERROR(__xludf.DUMMYFUNCTION("""COMPUTED_VALUE"""),33.0)</f>
        <v>33</v>
      </c>
      <c r="H17649" s="4"/>
      <c r="I17649" s="4"/>
    </row>
    <row r="17650">
      <c r="A17650" s="4" t="str">
        <f>IFERROR(__xludf.DUMMYFUNCTION("""COMPUTED_VALUE"""),"cas_hmw")</f>
        <v>cas_hmw</v>
      </c>
      <c r="B17650" s="5">
        <f>IFERROR(__xludf.DUMMYFUNCTION("""COMPUTED_VALUE"""),44741.0)</f>
        <v>44741</v>
      </c>
      <c r="C17650" s="6">
        <f>IFERROR(__xludf.DUMMYFUNCTION("""COMPUTED_VALUE"""),0.32937500000116415)</f>
        <v>0.329375</v>
      </c>
      <c r="D17650" s="4">
        <f>IFERROR(__xludf.DUMMYFUNCTION("""COMPUTED_VALUE"""),13.009253)</f>
        <v>13.009253</v>
      </c>
      <c r="E17650" s="4">
        <f>IFERROR(__xludf.DUMMYFUNCTION("""COMPUTED_VALUE"""),80.212523)</f>
        <v>80.212523</v>
      </c>
      <c r="F17650" s="4">
        <f>IFERROR(__xludf.DUMMYFUNCTION("""COMPUTED_VALUE"""),805.0)</f>
        <v>805</v>
      </c>
      <c r="G17650" s="4">
        <f>IFERROR(__xludf.DUMMYFUNCTION("""COMPUTED_VALUE"""),39.0)</f>
        <v>39</v>
      </c>
      <c r="H17650" s="4"/>
      <c r="I17650" s="4"/>
    </row>
    <row r="17651">
      <c r="A17651" s="4" t="str">
        <f>IFERROR(__xludf.DUMMYFUNCTION("""COMPUTED_VALUE"""),"cas_hmw")</f>
        <v>cas_hmw</v>
      </c>
      <c r="B17651" s="5">
        <f>IFERROR(__xludf.DUMMYFUNCTION("""COMPUTED_VALUE"""),44741.0)</f>
        <v>44741</v>
      </c>
      <c r="C17651" s="6">
        <f>IFERROR(__xludf.DUMMYFUNCTION("""COMPUTED_VALUE"""),0.3299884259249666)</f>
        <v>0.3299884259</v>
      </c>
      <c r="D17651" s="4">
        <f>IFERROR(__xludf.DUMMYFUNCTION("""COMPUTED_VALUE"""),12.731467)</f>
        <v>12.731467</v>
      </c>
      <c r="E17651" s="4">
        <f>IFERROR(__xludf.DUMMYFUNCTION("""COMPUTED_VALUE"""),79.982808)</f>
        <v>79.982808</v>
      </c>
      <c r="F17651" s="4">
        <f>IFERROR(__xludf.DUMMYFUNCTION("""COMPUTED_VALUE"""),2846.0)</f>
        <v>2846</v>
      </c>
      <c r="G17651" s="4">
        <f>IFERROR(__xludf.DUMMYFUNCTION("""COMPUTED_VALUE"""),57.0)</f>
        <v>57</v>
      </c>
      <c r="H17651" s="4"/>
      <c r="I17651" s="4"/>
    </row>
    <row r="17652">
      <c r="A17652" s="4" t="str">
        <f>IFERROR(__xludf.DUMMYFUNCTION("""COMPUTED_VALUE"""),"cas_hmw")</f>
        <v>cas_hmw</v>
      </c>
      <c r="B17652" s="5">
        <f>IFERROR(__xludf.DUMMYFUNCTION("""COMPUTED_VALUE"""),44741.0)</f>
        <v>44741</v>
      </c>
      <c r="C17652" s="6">
        <f>IFERROR(__xludf.DUMMYFUNCTION("""COMPUTED_VALUE"""),0.33040509259080864)</f>
        <v>0.3304050926</v>
      </c>
      <c r="D17652" s="4">
        <f>IFERROR(__xludf.DUMMYFUNCTION("""COMPUTED_VALUE"""),12.731467)</f>
        <v>12.731467</v>
      </c>
      <c r="E17652" s="4">
        <f>IFERROR(__xludf.DUMMYFUNCTION("""COMPUTED_VALUE"""),79.982808)</f>
        <v>79.982808</v>
      </c>
      <c r="F17652" s="4">
        <f>IFERROR(__xludf.DUMMYFUNCTION("""COMPUTED_VALUE"""),2846.0)</f>
        <v>2846</v>
      </c>
      <c r="G17652" s="4">
        <f>IFERROR(__xludf.DUMMYFUNCTION("""COMPUTED_VALUE"""),57.0)</f>
        <v>57</v>
      </c>
      <c r="H17652" s="4"/>
      <c r="I17652" s="4"/>
    </row>
    <row r="17653">
      <c r="A17653" s="4" t="str">
        <f>IFERROR(__xludf.DUMMYFUNCTION("""COMPUTED_VALUE"""),"cas_hmw")</f>
        <v>cas_hmw</v>
      </c>
      <c r="B17653" s="5">
        <f>IFERROR(__xludf.DUMMYFUNCTION("""COMPUTED_VALUE"""),44741.0)</f>
        <v>44741</v>
      </c>
      <c r="C17653" s="6">
        <f>IFERROR(__xludf.DUMMYFUNCTION("""COMPUTED_VALUE"""),0.33050925925999763)</f>
        <v>0.3305092593</v>
      </c>
      <c r="D17653" s="4">
        <f>IFERROR(__xludf.DUMMYFUNCTION("""COMPUTED_VALUE"""),13.00563)</f>
        <v>13.00563</v>
      </c>
      <c r="E17653" s="4">
        <f>IFERROR(__xludf.DUMMYFUNCTION("""COMPUTED_VALUE"""),80.20217)</f>
        <v>80.20217</v>
      </c>
      <c r="F17653" s="4">
        <f>IFERROR(__xludf.DUMMYFUNCTION("""COMPUTED_VALUE"""),805.0)</f>
        <v>805</v>
      </c>
      <c r="G17653" s="4">
        <f>IFERROR(__xludf.DUMMYFUNCTION("""COMPUTED_VALUE"""),35.0)</f>
        <v>35</v>
      </c>
      <c r="H17653" s="4"/>
      <c r="I17653" s="4"/>
    </row>
    <row r="17654">
      <c r="A17654" s="4" t="str">
        <f>IFERROR(__xludf.DUMMYFUNCTION("""COMPUTED_VALUE"""),"cas_hmw")</f>
        <v>cas_hmw</v>
      </c>
      <c r="B17654" s="5">
        <f>IFERROR(__xludf.DUMMYFUNCTION("""COMPUTED_VALUE"""),44741.0)</f>
        <v>44741</v>
      </c>
      <c r="C17654" s="6">
        <f>IFERROR(__xludf.DUMMYFUNCTION("""COMPUTED_VALUE"""),0.330706018517958)</f>
        <v>0.3307060185</v>
      </c>
      <c r="D17654" s="4">
        <f>IFERROR(__xludf.DUMMYFUNCTION("""COMPUTED_VALUE"""),13.003966)</f>
        <v>13.003966</v>
      </c>
      <c r="E17654" s="4">
        <f>IFERROR(__xludf.DUMMYFUNCTION("""COMPUTED_VALUE"""),80.201079)</f>
        <v>80.201079</v>
      </c>
      <c r="F17654" s="4">
        <f>IFERROR(__xludf.DUMMYFUNCTION("""COMPUTED_VALUE"""),805.0)</f>
        <v>805</v>
      </c>
      <c r="G17654" s="4">
        <f>IFERROR(__xludf.DUMMYFUNCTION("""COMPUTED_VALUE"""),46.0)</f>
        <v>46</v>
      </c>
      <c r="H17654" s="4"/>
      <c r="I17654" s="4"/>
    </row>
    <row r="17655">
      <c r="A17655" s="4" t="str">
        <f>IFERROR(__xludf.DUMMYFUNCTION("""COMPUTED_VALUE"""),"cas_hmw")</f>
        <v>cas_hmw</v>
      </c>
      <c r="B17655" s="5">
        <f>IFERROR(__xludf.DUMMYFUNCTION("""COMPUTED_VALUE"""),44741.0)</f>
        <v>44741</v>
      </c>
      <c r="C17655" s="6">
        <f>IFERROR(__xludf.DUMMYFUNCTION("""COMPUTED_VALUE"""),0.3307175925910997)</f>
        <v>0.3307175926</v>
      </c>
      <c r="D17655" s="4">
        <f>IFERROR(__xludf.DUMMYFUNCTION("""COMPUTED_VALUE"""),12.984914)</f>
        <v>12.984914</v>
      </c>
      <c r="E17655" s="4">
        <f>IFERROR(__xludf.DUMMYFUNCTION("""COMPUTED_VALUE"""),80.172534)</f>
        <v>80.172534</v>
      </c>
      <c r="F17655" s="4">
        <f>IFERROR(__xludf.DUMMYFUNCTION("""COMPUTED_VALUE"""),5339.0)</f>
        <v>5339</v>
      </c>
      <c r="G17655" s="4">
        <f>IFERROR(__xludf.DUMMYFUNCTION("""COMPUTED_VALUE"""),40.0)</f>
        <v>40</v>
      </c>
      <c r="H17655" s="4"/>
      <c r="I17655" s="4"/>
    </row>
    <row r="17656">
      <c r="A17656" s="4" t="str">
        <f>IFERROR(__xludf.DUMMYFUNCTION("""COMPUTED_VALUE"""),"cas_hmw")</f>
        <v>cas_hmw</v>
      </c>
      <c r="B17656" s="5">
        <f>IFERROR(__xludf.DUMMYFUNCTION("""COMPUTED_VALUE"""),44741.0)</f>
        <v>44741</v>
      </c>
      <c r="C17656" s="6">
        <f>IFERROR(__xludf.DUMMYFUNCTION("""COMPUTED_VALUE"""),0.3307291666678793)</f>
        <v>0.3307291667</v>
      </c>
      <c r="D17656" s="4">
        <f>IFERROR(__xludf.DUMMYFUNCTION("""COMPUTED_VALUE"""),13.003966)</f>
        <v>13.003966</v>
      </c>
      <c r="E17656" s="4">
        <f>IFERROR(__xludf.DUMMYFUNCTION("""COMPUTED_VALUE"""),80.201079)</f>
        <v>80.201079</v>
      </c>
      <c r="F17656" s="4">
        <f>IFERROR(__xludf.DUMMYFUNCTION("""COMPUTED_VALUE"""),805.0)</f>
        <v>805</v>
      </c>
      <c r="G17656" s="4">
        <f>IFERROR(__xludf.DUMMYFUNCTION("""COMPUTED_VALUE"""),46.0)</f>
        <v>46</v>
      </c>
      <c r="H17656" s="4"/>
      <c r="I17656" s="4"/>
    </row>
    <row r="17657">
      <c r="A17657" s="4" t="str">
        <f>IFERROR(__xludf.DUMMYFUNCTION("""COMPUTED_VALUE"""),"cas_hmw")</f>
        <v>cas_hmw</v>
      </c>
      <c r="B17657" s="5">
        <f>IFERROR(__xludf.DUMMYFUNCTION("""COMPUTED_VALUE"""),44741.0)</f>
        <v>44741</v>
      </c>
      <c r="C17657" s="6">
        <f>IFERROR(__xludf.DUMMYFUNCTION("""COMPUTED_VALUE"""),0.33090277777955635)</f>
        <v>0.3309027778</v>
      </c>
      <c r="D17657" s="4">
        <f>IFERROR(__xludf.DUMMYFUNCTION("""COMPUTED_VALUE"""),12.984363)</f>
        <v>12.984363</v>
      </c>
      <c r="E17657" s="4">
        <f>IFERROR(__xludf.DUMMYFUNCTION("""COMPUTED_VALUE"""),80.171667)</f>
        <v>80.171667</v>
      </c>
      <c r="F17657" s="4">
        <f>IFERROR(__xludf.DUMMYFUNCTION("""COMPUTED_VALUE"""),5339.0)</f>
        <v>5339</v>
      </c>
      <c r="G17657" s="4">
        <f>IFERROR(__xludf.DUMMYFUNCTION("""COMPUTED_VALUE"""),41.0)</f>
        <v>41</v>
      </c>
      <c r="H17657" s="4"/>
      <c r="I17657" s="4"/>
    </row>
    <row r="17658">
      <c r="A17658" s="4" t="str">
        <f>IFERROR(__xludf.DUMMYFUNCTION("""COMPUTED_VALUE"""),"cas_hmw")</f>
        <v>cas_hmw</v>
      </c>
      <c r="B17658" s="5">
        <f>IFERROR(__xludf.DUMMYFUNCTION("""COMPUTED_VALUE"""),44741.0)</f>
        <v>44741</v>
      </c>
      <c r="C17658" s="6">
        <f>IFERROR(__xludf.DUMMYFUNCTION("""COMPUTED_VALUE"""),0.3309259259258397)</f>
        <v>0.3309259259</v>
      </c>
      <c r="D17658" s="4">
        <f>IFERROR(__xludf.DUMMYFUNCTION("""COMPUTED_VALUE"""),13.002116)</f>
        <v>13.002116</v>
      </c>
      <c r="E17658" s="4">
        <f>IFERROR(__xludf.DUMMYFUNCTION("""COMPUTED_VALUE"""),80.200354)</f>
        <v>80.200354</v>
      </c>
      <c r="F17658" s="4">
        <f>IFERROR(__xludf.DUMMYFUNCTION("""COMPUTED_VALUE"""),805.0)</f>
        <v>805</v>
      </c>
      <c r="G17658" s="4">
        <f>IFERROR(__xludf.DUMMYFUNCTION("""COMPUTED_VALUE"""),35.0)</f>
        <v>35</v>
      </c>
      <c r="H17658" s="4"/>
      <c r="I17658" s="4"/>
    </row>
    <row r="17659">
      <c r="A17659" s="4" t="str">
        <f>IFERROR(__xludf.DUMMYFUNCTION("""COMPUTED_VALUE"""),"cas_hmw")</f>
        <v>cas_hmw</v>
      </c>
      <c r="B17659" s="5">
        <f>IFERROR(__xludf.DUMMYFUNCTION("""COMPUTED_VALUE"""),44741.0)</f>
        <v>44741</v>
      </c>
      <c r="C17659" s="6">
        <f>IFERROR(__xludf.DUMMYFUNCTION("""COMPUTED_VALUE"""),0.33098379629518604)</f>
        <v>0.3309837963</v>
      </c>
      <c r="D17659" s="4">
        <f>IFERROR(__xludf.DUMMYFUNCTION("""COMPUTED_VALUE"""),12.983796)</f>
        <v>12.983796</v>
      </c>
      <c r="E17659" s="4">
        <f>IFERROR(__xludf.DUMMYFUNCTION("""COMPUTED_VALUE"""),80.170746)</f>
        <v>80.170746</v>
      </c>
      <c r="F17659" s="4">
        <f>IFERROR(__xludf.DUMMYFUNCTION("""COMPUTED_VALUE"""),5339.0)</f>
        <v>5339</v>
      </c>
      <c r="G17659" s="4">
        <f>IFERROR(__xludf.DUMMYFUNCTION("""COMPUTED_VALUE"""),41.0)</f>
        <v>41</v>
      </c>
      <c r="H17659" s="4"/>
      <c r="I17659" s="4"/>
    </row>
    <row r="17660">
      <c r="A17660" s="4" t="str">
        <f>IFERROR(__xludf.DUMMYFUNCTION("""COMPUTED_VALUE"""),"cas_hmw")</f>
        <v>cas_hmw</v>
      </c>
      <c r="B17660" s="5">
        <f>IFERROR(__xludf.DUMMYFUNCTION("""COMPUTED_VALUE"""),44741.0)</f>
        <v>44741</v>
      </c>
      <c r="C17660" s="6">
        <f>IFERROR(__xludf.DUMMYFUNCTION("""COMPUTED_VALUE"""),0.3309953703719657)</f>
        <v>0.3309953704</v>
      </c>
      <c r="D17660" s="4">
        <f>IFERROR(__xludf.DUMMYFUNCTION("""COMPUTED_VALUE"""),13.002116)</f>
        <v>13.002116</v>
      </c>
      <c r="E17660" s="4">
        <f>IFERROR(__xludf.DUMMYFUNCTION("""COMPUTED_VALUE"""),80.200354)</f>
        <v>80.200354</v>
      </c>
      <c r="F17660" s="4">
        <f>IFERROR(__xludf.DUMMYFUNCTION("""COMPUTED_VALUE"""),805.0)</f>
        <v>805</v>
      </c>
      <c r="G17660" s="4">
        <f>IFERROR(__xludf.DUMMYFUNCTION("""COMPUTED_VALUE"""),35.0)</f>
        <v>35</v>
      </c>
      <c r="H17660" s="4"/>
      <c r="I17660" s="4"/>
    </row>
    <row r="17661">
      <c r="A17661" s="4" t="str">
        <f>IFERROR(__xludf.DUMMYFUNCTION("""COMPUTED_VALUE"""),"cas_hmw")</f>
        <v>cas_hmw</v>
      </c>
      <c r="B17661" s="5">
        <f>IFERROR(__xludf.DUMMYFUNCTION("""COMPUTED_VALUE"""),44741.0)</f>
        <v>44741</v>
      </c>
      <c r="C17661" s="6">
        <f>IFERROR(__xludf.DUMMYFUNCTION("""COMPUTED_VALUE"""),0.3311342592605797)</f>
        <v>0.3311342593</v>
      </c>
      <c r="D17661" s="4">
        <f>IFERROR(__xludf.DUMMYFUNCTION("""COMPUTED_VALUE"""),12.983284)</f>
        <v>12.983284</v>
      </c>
      <c r="E17661" s="4">
        <f>IFERROR(__xludf.DUMMYFUNCTION("""COMPUTED_VALUE"""),80.169871)</f>
        <v>80.169871</v>
      </c>
      <c r="F17661" s="4">
        <f>IFERROR(__xludf.DUMMYFUNCTION("""COMPUTED_VALUE"""),5339.0)</f>
        <v>5339</v>
      </c>
      <c r="G17661" s="4">
        <f>IFERROR(__xludf.DUMMYFUNCTION("""COMPUTED_VALUE"""),38.0)</f>
        <v>38</v>
      </c>
      <c r="H17661" s="4"/>
      <c r="I17661" s="4"/>
    </row>
    <row r="17662">
      <c r="A17662" s="4" t="str">
        <f>IFERROR(__xludf.DUMMYFUNCTION("""COMPUTED_VALUE"""),"cas_hmw")</f>
        <v>cas_hmw</v>
      </c>
      <c r="B17662" s="5">
        <f>IFERROR(__xludf.DUMMYFUNCTION("""COMPUTED_VALUE"""),44741.0)</f>
        <v>44741</v>
      </c>
      <c r="C17662" s="6">
        <f>IFERROR(__xludf.DUMMYFUNCTION("""COMPUTED_VALUE"""),0.33180555555736646)</f>
        <v>0.3318055556</v>
      </c>
      <c r="D17662" s="4">
        <f>IFERROR(__xludf.DUMMYFUNCTION("""COMPUTED_VALUE"""),12.980095)</f>
        <v>12.980095</v>
      </c>
      <c r="E17662" s="4">
        <f>IFERROR(__xludf.DUMMYFUNCTION("""COMPUTED_VALUE"""),80.163802)</f>
        <v>80.163802</v>
      </c>
      <c r="F17662" s="4">
        <f>IFERROR(__xludf.DUMMYFUNCTION("""COMPUTED_VALUE"""),5339.0)</f>
        <v>5339</v>
      </c>
      <c r="G17662" s="4">
        <f>IFERROR(__xludf.DUMMYFUNCTION("""COMPUTED_VALUE"""),43.0)</f>
        <v>43</v>
      </c>
      <c r="H17662" s="4"/>
      <c r="I17662" s="4"/>
    </row>
    <row r="17663">
      <c r="A17663" s="4" t="str">
        <f>IFERROR(__xludf.DUMMYFUNCTION("""COMPUTED_VALUE"""),"cas_hmw")</f>
        <v>cas_hmw</v>
      </c>
      <c r="B17663" s="5">
        <f>IFERROR(__xludf.DUMMYFUNCTION("""COMPUTED_VALUE"""),44741.0)</f>
        <v>44741</v>
      </c>
      <c r="C17663" s="6">
        <f>IFERROR(__xludf.DUMMYFUNCTION("""COMPUTED_VALUE"""),0.3319675925922638)</f>
        <v>0.3319675926</v>
      </c>
      <c r="D17663" s="4">
        <f>IFERROR(__xludf.DUMMYFUNCTION("""COMPUTED_VALUE"""),12.996505)</f>
        <v>12.996505</v>
      </c>
      <c r="E17663" s="4">
        <f>IFERROR(__xludf.DUMMYFUNCTION("""COMPUTED_VALUE"""),80.189895)</f>
        <v>80.189895</v>
      </c>
      <c r="F17663" s="4">
        <f>IFERROR(__xludf.DUMMYFUNCTION("""COMPUTED_VALUE"""),805.0)</f>
        <v>805</v>
      </c>
      <c r="G17663" s="4">
        <f>IFERROR(__xludf.DUMMYFUNCTION("""COMPUTED_VALUE"""),58.0)</f>
        <v>58</v>
      </c>
      <c r="H17663" s="4"/>
      <c r="I17663" s="4"/>
    </row>
    <row r="17664">
      <c r="A17664" s="4" t="str">
        <f>IFERROR(__xludf.DUMMYFUNCTION("""COMPUTED_VALUE"""),"cas_hmw")</f>
        <v>cas_hmw</v>
      </c>
      <c r="B17664" s="5">
        <f>IFERROR(__xludf.DUMMYFUNCTION("""COMPUTED_VALUE"""),44741.0)</f>
        <v>44741</v>
      </c>
      <c r="C17664" s="6">
        <f>IFERROR(__xludf.DUMMYFUNCTION("""COMPUTED_VALUE"""),0.3320138888884685)</f>
        <v>0.3320138889</v>
      </c>
      <c r="D17664" s="4">
        <f>IFERROR(__xludf.DUMMYFUNCTION("""COMPUTED_VALUE"""),12.996505)</f>
        <v>12.996505</v>
      </c>
      <c r="E17664" s="4">
        <f>IFERROR(__xludf.DUMMYFUNCTION("""COMPUTED_VALUE"""),80.189895)</f>
        <v>80.189895</v>
      </c>
      <c r="F17664" s="4">
        <f>IFERROR(__xludf.DUMMYFUNCTION("""COMPUTED_VALUE"""),805.0)</f>
        <v>805</v>
      </c>
      <c r="G17664" s="4">
        <f>IFERROR(__xludf.DUMMYFUNCTION("""COMPUTED_VALUE"""),58.0)</f>
        <v>58</v>
      </c>
      <c r="H17664" s="4"/>
      <c r="I17664" s="4"/>
    </row>
    <row r="17665">
      <c r="A17665" s="4" t="str">
        <f>IFERROR(__xludf.DUMMYFUNCTION("""COMPUTED_VALUE"""),"cas_hmw")</f>
        <v>cas_hmw</v>
      </c>
      <c r="B17665" s="5">
        <f>IFERROR(__xludf.DUMMYFUNCTION("""COMPUTED_VALUE"""),44741.0)</f>
        <v>44741</v>
      </c>
      <c r="C17665" s="6">
        <f>IFERROR(__xludf.DUMMYFUNCTION("""COMPUTED_VALUE"""),0.3320949074077362)</f>
        <v>0.3320949074</v>
      </c>
      <c r="D17665" s="4">
        <f>IFERROR(__xludf.DUMMYFUNCTION("""COMPUTED_VALUE"""),12.995717)</f>
        <v>12.995717</v>
      </c>
      <c r="E17665" s="4">
        <f>IFERROR(__xludf.DUMMYFUNCTION("""COMPUTED_VALUE"""),80.188967)</f>
        <v>80.188967</v>
      </c>
      <c r="F17665" s="4">
        <f>IFERROR(__xludf.DUMMYFUNCTION("""COMPUTED_VALUE"""),805.0)</f>
        <v>805</v>
      </c>
      <c r="G17665" s="4">
        <f>IFERROR(__xludf.DUMMYFUNCTION("""COMPUTED_VALUE"""),36.0)</f>
        <v>36</v>
      </c>
      <c r="H17665" s="4"/>
      <c r="I17665" s="4"/>
    </row>
    <row r="17666">
      <c r="A17666" s="4" t="str">
        <f>IFERROR(__xludf.DUMMYFUNCTION("""COMPUTED_VALUE"""),"cas_hmw")</f>
        <v>cas_hmw</v>
      </c>
      <c r="B17666" s="5">
        <f>IFERROR(__xludf.DUMMYFUNCTION("""COMPUTED_VALUE"""),44741.0)</f>
        <v>44741</v>
      </c>
      <c r="C17666" s="6">
        <f>IFERROR(__xludf.DUMMYFUNCTION("""COMPUTED_VALUE"""),0.33217592592700385)</f>
        <v>0.3321759259</v>
      </c>
      <c r="D17666" s="4">
        <f>IFERROR(__xludf.DUMMYFUNCTION("""COMPUTED_VALUE"""),12.995717)</f>
        <v>12.995717</v>
      </c>
      <c r="E17666" s="4">
        <f>IFERROR(__xludf.DUMMYFUNCTION("""COMPUTED_VALUE"""),80.188967)</f>
        <v>80.188967</v>
      </c>
      <c r="F17666" s="4">
        <f>IFERROR(__xludf.DUMMYFUNCTION("""COMPUTED_VALUE"""),805.0)</f>
        <v>805</v>
      </c>
      <c r="G17666" s="4">
        <f>IFERROR(__xludf.DUMMYFUNCTION("""COMPUTED_VALUE"""),36.0)</f>
        <v>36</v>
      </c>
      <c r="H17666" s="4"/>
      <c r="I17666" s="4"/>
    </row>
    <row r="17667">
      <c r="A17667" s="4" t="str">
        <f>IFERROR(__xludf.DUMMYFUNCTION("""COMPUTED_VALUE"""),"cas_hmw")</f>
        <v>cas_hmw</v>
      </c>
      <c r="B17667" s="5">
        <f>IFERROR(__xludf.DUMMYFUNCTION("""COMPUTED_VALUE"""),44741.0)</f>
        <v>44741</v>
      </c>
      <c r="C17667" s="6">
        <f>IFERROR(__xludf.DUMMYFUNCTION("""COMPUTED_VALUE"""),0.33234953703868086)</f>
        <v>0.332349537</v>
      </c>
      <c r="D17667" s="4">
        <f>IFERROR(__xludf.DUMMYFUNCTION("""COMPUTED_VALUE"""),12.99495)</f>
        <v>12.99495</v>
      </c>
      <c r="E17667" s="4">
        <f>IFERROR(__xludf.DUMMYFUNCTION("""COMPUTED_VALUE"""),80.18748)</f>
        <v>80.18748</v>
      </c>
      <c r="F17667" s="4">
        <f>IFERROR(__xludf.DUMMYFUNCTION("""COMPUTED_VALUE"""),805.0)</f>
        <v>805</v>
      </c>
      <c r="G17667" s="4">
        <f>IFERROR(__xludf.DUMMYFUNCTION("""COMPUTED_VALUE"""),33.0)</f>
        <v>33</v>
      </c>
      <c r="H17667" s="4"/>
      <c r="I17667" s="4"/>
    </row>
    <row r="17668">
      <c r="A17668" s="4" t="str">
        <f>IFERROR(__xludf.DUMMYFUNCTION("""COMPUTED_VALUE"""),"cas_hmw")</f>
        <v>cas_hmw</v>
      </c>
      <c r="B17668" s="5">
        <f>IFERROR(__xludf.DUMMYFUNCTION("""COMPUTED_VALUE"""),44741.0)</f>
        <v>44741</v>
      </c>
      <c r="C17668" s="6">
        <f>IFERROR(__xludf.DUMMYFUNCTION("""COMPUTED_VALUE"""),0.3323726851849642)</f>
        <v>0.3323726852</v>
      </c>
      <c r="D17668" s="4">
        <f>IFERROR(__xludf.DUMMYFUNCTION("""COMPUTED_VALUE"""),12.757666)</f>
        <v>12.757666</v>
      </c>
      <c r="E17668" s="4">
        <f>IFERROR(__xludf.DUMMYFUNCTION("""COMPUTED_VALUE"""),80.002397)</f>
        <v>80.002397</v>
      </c>
      <c r="F17668" s="4">
        <f>IFERROR(__xludf.DUMMYFUNCTION("""COMPUTED_VALUE"""),2846.0)</f>
        <v>2846</v>
      </c>
      <c r="G17668" s="4">
        <f>IFERROR(__xludf.DUMMYFUNCTION("""COMPUTED_VALUE"""),53.0)</f>
        <v>53</v>
      </c>
      <c r="H17668" s="4"/>
      <c r="I17668" s="4"/>
    </row>
    <row r="17669">
      <c r="A17669" s="4" t="str">
        <f>IFERROR(__xludf.DUMMYFUNCTION("""COMPUTED_VALUE"""),"cas_hmw")</f>
        <v>cas_hmw</v>
      </c>
      <c r="B17669" s="5">
        <f>IFERROR(__xludf.DUMMYFUNCTION("""COMPUTED_VALUE"""),44741.0)</f>
        <v>44741</v>
      </c>
      <c r="C17669" s="6">
        <f>IFERROR(__xludf.DUMMYFUNCTION("""COMPUTED_VALUE"""),0.3324421296310902)</f>
        <v>0.3324421296</v>
      </c>
      <c r="D17669" s="4">
        <f>IFERROR(__xludf.DUMMYFUNCTION("""COMPUTED_VALUE"""),12.758887)</f>
        <v>12.758887</v>
      </c>
      <c r="E17669" s="4">
        <f>IFERROR(__xludf.DUMMYFUNCTION("""COMPUTED_VALUE"""),80.002757)</f>
        <v>80.002757</v>
      </c>
      <c r="F17669" s="4">
        <f>IFERROR(__xludf.DUMMYFUNCTION("""COMPUTED_VALUE"""),2846.0)</f>
        <v>2846</v>
      </c>
      <c r="G17669" s="4">
        <f>IFERROR(__xludf.DUMMYFUNCTION("""COMPUTED_VALUE"""),44.0)</f>
        <v>44</v>
      </c>
      <c r="H17669" s="4"/>
      <c r="I17669" s="4"/>
    </row>
    <row r="17670">
      <c r="A17670" s="4" t="str">
        <f>IFERROR(__xludf.DUMMYFUNCTION("""COMPUTED_VALUE"""),"cas_hmw")</f>
        <v>cas_hmw</v>
      </c>
      <c r="B17670" s="5">
        <f>IFERROR(__xludf.DUMMYFUNCTION("""COMPUTED_VALUE"""),44741.0)</f>
        <v>44741</v>
      </c>
      <c r="C17670" s="6">
        <f>IFERROR(__xludf.DUMMYFUNCTION("""COMPUTED_VALUE"""),0.33258101851970423)</f>
        <v>0.3325810185</v>
      </c>
      <c r="D17670" s="4">
        <f>IFERROR(__xludf.DUMMYFUNCTION("""COMPUTED_VALUE"""),12.759668)</f>
        <v>12.759668</v>
      </c>
      <c r="E17670" s="4">
        <f>IFERROR(__xludf.DUMMYFUNCTION("""COMPUTED_VALUE"""),80.002989)</f>
        <v>80.002989</v>
      </c>
      <c r="F17670" s="4">
        <f>IFERROR(__xludf.DUMMYFUNCTION("""COMPUTED_VALUE"""),2846.0)</f>
        <v>2846</v>
      </c>
      <c r="G17670" s="4">
        <f>IFERROR(__xludf.DUMMYFUNCTION("""COMPUTED_VALUE"""),26.0)</f>
        <v>26</v>
      </c>
      <c r="H17670" s="4"/>
      <c r="I17670" s="4"/>
    </row>
    <row r="17671">
      <c r="A17671" s="4" t="str">
        <f>IFERROR(__xludf.DUMMYFUNCTION("""COMPUTED_VALUE"""),"cas_hmw")</f>
        <v>cas_hmw</v>
      </c>
      <c r="B17671" s="5">
        <f>IFERROR(__xludf.DUMMYFUNCTION("""COMPUTED_VALUE"""),44741.0)</f>
        <v>44741</v>
      </c>
      <c r="C17671" s="6">
        <f>IFERROR(__xludf.DUMMYFUNCTION("""COMPUTED_VALUE"""),0.3326388888890506)</f>
        <v>0.3326388889</v>
      </c>
      <c r="D17671" s="4">
        <f>IFERROR(__xludf.DUMMYFUNCTION("""COMPUTED_VALUE"""),12.994109)</f>
        <v>12.994109</v>
      </c>
      <c r="E17671" s="4">
        <f>IFERROR(__xludf.DUMMYFUNCTION("""COMPUTED_VALUE"""),80.185881)</f>
        <v>80.185881</v>
      </c>
      <c r="F17671" s="4">
        <f>IFERROR(__xludf.DUMMYFUNCTION("""COMPUTED_VALUE"""),805.0)</f>
        <v>805</v>
      </c>
      <c r="G17671" s="4">
        <f>IFERROR(__xludf.DUMMYFUNCTION("""COMPUTED_VALUE"""),23.0)</f>
        <v>23</v>
      </c>
      <c r="H17671" s="4"/>
      <c r="I17671" s="4"/>
    </row>
    <row r="17672">
      <c r="A17672" s="4" t="str">
        <f>IFERROR(__xludf.DUMMYFUNCTION("""COMPUTED_VALUE"""),"cas_hmw")</f>
        <v>cas_hmw</v>
      </c>
      <c r="B17672" s="5">
        <f>IFERROR(__xludf.DUMMYFUNCTION("""COMPUTED_VALUE"""),44741.0)</f>
        <v>44741</v>
      </c>
      <c r="C17672" s="6">
        <f>IFERROR(__xludf.DUMMYFUNCTION("""COMPUTED_VALUE"""),0.33285879629693227)</f>
        <v>0.3328587963</v>
      </c>
      <c r="D17672" s="4">
        <f>IFERROR(__xludf.DUMMYFUNCTION("""COMPUTED_VALUE"""),12.993404)</f>
        <v>12.993404</v>
      </c>
      <c r="E17672" s="4">
        <f>IFERROR(__xludf.DUMMYFUNCTION("""COMPUTED_VALUE"""),80.184542)</f>
        <v>80.184542</v>
      </c>
      <c r="F17672" s="4">
        <f>IFERROR(__xludf.DUMMYFUNCTION("""COMPUTED_VALUE"""),805.0)</f>
        <v>805</v>
      </c>
      <c r="G17672" s="4">
        <f>IFERROR(__xludf.DUMMYFUNCTION("""COMPUTED_VALUE"""),41.0)</f>
        <v>41</v>
      </c>
      <c r="H17672" s="4"/>
      <c r="I17672" s="4"/>
    </row>
    <row r="17673">
      <c r="A17673" s="4" t="str">
        <f>IFERROR(__xludf.DUMMYFUNCTION("""COMPUTED_VALUE"""),"cas_hmw")</f>
        <v>cas_hmw</v>
      </c>
      <c r="B17673" s="5">
        <f>IFERROR(__xludf.DUMMYFUNCTION("""COMPUTED_VALUE"""),44741.0)</f>
        <v>44741</v>
      </c>
      <c r="C17673" s="6">
        <f>IFERROR(__xludf.DUMMYFUNCTION("""COMPUTED_VALUE"""),0.33305555555489263)</f>
        <v>0.3330555556</v>
      </c>
      <c r="D17673" s="4">
        <f>IFERROR(__xludf.DUMMYFUNCTION("""COMPUTED_VALUE"""),12.974089)</f>
        <v>12.974089</v>
      </c>
      <c r="E17673" s="4">
        <f>IFERROR(__xludf.DUMMYFUNCTION("""COMPUTED_VALUE"""),80.154343)</f>
        <v>80.154343</v>
      </c>
      <c r="F17673" s="4">
        <f>IFERROR(__xludf.DUMMYFUNCTION("""COMPUTED_VALUE"""),5339.0)</f>
        <v>5339</v>
      </c>
      <c r="G17673" s="4">
        <f>IFERROR(__xludf.DUMMYFUNCTION("""COMPUTED_VALUE"""),23.0)</f>
        <v>23</v>
      </c>
      <c r="H17673" s="4"/>
      <c r="I17673" s="4"/>
    </row>
    <row r="17674">
      <c r="A17674" s="4" t="str">
        <f>IFERROR(__xludf.DUMMYFUNCTION("""COMPUTED_VALUE"""),"cas_hmw")</f>
        <v>cas_hmw</v>
      </c>
      <c r="B17674" s="5">
        <f>IFERROR(__xludf.DUMMYFUNCTION("""COMPUTED_VALUE"""),44741.0)</f>
        <v>44741</v>
      </c>
      <c r="C17674" s="6">
        <f>IFERROR(__xludf.DUMMYFUNCTION("""COMPUTED_VALUE"""),0.33305555555489263)</f>
        <v>0.3330555556</v>
      </c>
      <c r="D17674" s="4">
        <f>IFERROR(__xludf.DUMMYFUNCTION("""COMPUTED_VALUE"""),12.974089)</f>
        <v>12.974089</v>
      </c>
      <c r="E17674" s="4">
        <f>IFERROR(__xludf.DUMMYFUNCTION("""COMPUTED_VALUE"""),80.154343)</f>
        <v>80.154343</v>
      </c>
      <c r="F17674" s="4">
        <f>IFERROR(__xludf.DUMMYFUNCTION("""COMPUTED_VALUE"""),5339.0)</f>
        <v>5339</v>
      </c>
      <c r="G17674" s="4">
        <f>IFERROR(__xludf.DUMMYFUNCTION("""COMPUTED_VALUE"""),23.0)</f>
        <v>23</v>
      </c>
      <c r="H17674" s="4"/>
      <c r="I17674" s="4"/>
    </row>
    <row r="17675">
      <c r="A17675" s="4" t="str">
        <f>IFERROR(__xludf.DUMMYFUNCTION("""COMPUTED_VALUE"""),"cas_hmw")</f>
        <v>cas_hmw</v>
      </c>
      <c r="B17675" s="5">
        <f>IFERROR(__xludf.DUMMYFUNCTION("""COMPUTED_VALUE"""),44741.0)</f>
        <v>44741</v>
      </c>
      <c r="C17675" s="6">
        <f>IFERROR(__xludf.DUMMYFUNCTION("""COMPUTED_VALUE"""),0.33315972222044365)</f>
        <v>0.3331597222</v>
      </c>
      <c r="D17675" s="4">
        <f>IFERROR(__xludf.DUMMYFUNCTION("""COMPUTED_VALUE"""),12.76108)</f>
        <v>12.76108</v>
      </c>
      <c r="E17675" s="4">
        <f>IFERROR(__xludf.DUMMYFUNCTION("""COMPUTED_VALUE"""),80.003408)</f>
        <v>80.003408</v>
      </c>
      <c r="F17675" s="4">
        <f>IFERROR(__xludf.DUMMYFUNCTION("""COMPUTED_VALUE"""),2846.0)</f>
        <v>2846</v>
      </c>
      <c r="G17675" s="4">
        <f>IFERROR(__xludf.DUMMYFUNCTION("""COMPUTED_VALUE"""),22.0)</f>
        <v>22</v>
      </c>
      <c r="H17675" s="4"/>
      <c r="I17675" s="4"/>
    </row>
    <row r="17676">
      <c r="A17676" s="4" t="str">
        <f>IFERROR(__xludf.DUMMYFUNCTION("""COMPUTED_VALUE"""),"cas_hmw")</f>
        <v>cas_hmw</v>
      </c>
      <c r="B17676" s="5">
        <f>IFERROR(__xludf.DUMMYFUNCTION("""COMPUTED_VALUE"""),44741.0)</f>
        <v>44741</v>
      </c>
      <c r="C17676" s="6">
        <f>IFERROR(__xludf.DUMMYFUNCTION("""COMPUTED_VALUE"""),0.3332060185202863)</f>
        <v>0.3332060185</v>
      </c>
      <c r="D17676" s="4">
        <f>IFERROR(__xludf.DUMMYFUNCTION("""COMPUTED_VALUE"""),12.973695)</f>
        <v>12.973695</v>
      </c>
      <c r="E17676" s="4">
        <f>IFERROR(__xludf.DUMMYFUNCTION("""COMPUTED_VALUE"""),80.15376)</f>
        <v>80.15376</v>
      </c>
      <c r="F17676" s="4">
        <f>IFERROR(__xludf.DUMMYFUNCTION("""COMPUTED_VALUE"""),5339.0)</f>
        <v>5339</v>
      </c>
      <c r="G17676" s="4">
        <f>IFERROR(__xludf.DUMMYFUNCTION("""COMPUTED_VALUE"""),31.0)</f>
        <v>31</v>
      </c>
      <c r="H17676" s="4"/>
      <c r="I17676" s="4"/>
    </row>
    <row r="17677">
      <c r="A17677" s="4" t="str">
        <f>IFERROR(__xludf.DUMMYFUNCTION("""COMPUTED_VALUE"""),"cas_hmw")</f>
        <v>cas_hmw</v>
      </c>
      <c r="B17677" s="5">
        <f>IFERROR(__xludf.DUMMYFUNCTION("""COMPUTED_VALUE"""),44741.0)</f>
        <v>44741</v>
      </c>
      <c r="C17677" s="6">
        <f>IFERROR(__xludf.DUMMYFUNCTION("""COMPUTED_VALUE"""),0.3333333333321207)</f>
        <v>0.3333333333</v>
      </c>
      <c r="D17677" s="4">
        <f>IFERROR(__xludf.DUMMYFUNCTION("""COMPUTED_VALUE"""),12.991097)</f>
        <v>12.991097</v>
      </c>
      <c r="E17677" s="4">
        <f>IFERROR(__xludf.DUMMYFUNCTION("""COMPUTED_VALUE"""),80.181051)</f>
        <v>80.181051</v>
      </c>
      <c r="F17677" s="4">
        <f>IFERROR(__xludf.DUMMYFUNCTION("""COMPUTED_VALUE"""),805.0)</f>
        <v>805</v>
      </c>
      <c r="G17677" s="4">
        <f>IFERROR(__xludf.DUMMYFUNCTION("""COMPUTED_VALUE"""),40.0)</f>
        <v>40</v>
      </c>
      <c r="H17677" s="4"/>
      <c r="I17677" s="4"/>
    </row>
    <row r="17678">
      <c r="A17678" s="4" t="str">
        <f>IFERROR(__xludf.DUMMYFUNCTION("""COMPUTED_VALUE"""),"cas_hmw")</f>
        <v>cas_hmw</v>
      </c>
      <c r="B17678" s="5">
        <f>IFERROR(__xludf.DUMMYFUNCTION("""COMPUTED_VALUE"""),44741.0)</f>
        <v>44741</v>
      </c>
      <c r="C17678" s="6">
        <f>IFERROR(__xludf.DUMMYFUNCTION("""COMPUTED_VALUE"""),0.33355324074000237)</f>
        <v>0.3335532407</v>
      </c>
      <c r="D17678" s="4">
        <f>IFERROR(__xludf.DUMMYFUNCTION("""COMPUTED_VALUE"""),12.971922)</f>
        <v>12.971922</v>
      </c>
      <c r="E17678" s="4">
        <f>IFERROR(__xludf.DUMMYFUNCTION("""COMPUTED_VALUE"""),80.151425)</f>
        <v>80.151425</v>
      </c>
      <c r="F17678" s="4">
        <f>IFERROR(__xludf.DUMMYFUNCTION("""COMPUTED_VALUE"""),5339.0)</f>
        <v>5339</v>
      </c>
      <c r="G17678" s="4">
        <f>IFERROR(__xludf.DUMMYFUNCTION("""COMPUTED_VALUE"""),32.0)</f>
        <v>32</v>
      </c>
      <c r="H17678" s="4"/>
      <c r="I17678" s="4"/>
    </row>
    <row r="17679">
      <c r="A17679" s="4" t="str">
        <f>IFERROR(__xludf.DUMMYFUNCTION("""COMPUTED_VALUE"""),"cas_hmw")</f>
        <v>cas_hmw</v>
      </c>
      <c r="B17679" s="5">
        <f>IFERROR(__xludf.DUMMYFUNCTION("""COMPUTED_VALUE"""),44741.0)</f>
        <v>44741</v>
      </c>
      <c r="C17679" s="6">
        <f>IFERROR(__xludf.DUMMYFUNCTION("""COMPUTED_VALUE"""),0.3342592592598521)</f>
        <v>0.3342592593</v>
      </c>
      <c r="D17679" s="4">
        <f>IFERROR(__xludf.DUMMYFUNCTION("""COMPUTED_VALUE"""),12.987416)</f>
        <v>12.987416</v>
      </c>
      <c r="E17679" s="4">
        <f>IFERROR(__xludf.DUMMYFUNCTION("""COMPUTED_VALUE"""),80.176225)</f>
        <v>80.176225</v>
      </c>
      <c r="F17679" s="4">
        <f>IFERROR(__xludf.DUMMYFUNCTION("""COMPUTED_VALUE"""),805.0)</f>
        <v>805</v>
      </c>
      <c r="G17679" s="4">
        <f>IFERROR(__xludf.DUMMYFUNCTION("""COMPUTED_VALUE"""),36.0)</f>
        <v>36</v>
      </c>
      <c r="H17679" s="4"/>
      <c r="I17679" s="4"/>
    </row>
    <row r="17680">
      <c r="A17680" s="4" t="str">
        <f>IFERROR(__xludf.DUMMYFUNCTION("""COMPUTED_VALUE"""),"cas_hmw")</f>
        <v>cas_hmw</v>
      </c>
      <c r="B17680" s="5">
        <f>IFERROR(__xludf.DUMMYFUNCTION("""COMPUTED_VALUE"""),44741.0)</f>
        <v>44741</v>
      </c>
      <c r="C17680" s="6">
        <f>IFERROR(__xludf.DUMMYFUNCTION("""COMPUTED_VALUE"""),0.335833333334449)</f>
        <v>0.3358333333</v>
      </c>
      <c r="D17680" s="4">
        <f>IFERROR(__xludf.DUMMYFUNCTION("""COMPUTED_VALUE"""),12.959245)</f>
        <v>12.959245</v>
      </c>
      <c r="E17680" s="4">
        <f>IFERROR(__xludf.DUMMYFUNCTION("""COMPUTED_VALUE"""),80.144855)</f>
        <v>80.144855</v>
      </c>
      <c r="F17680" s="4">
        <f>IFERROR(__xludf.DUMMYFUNCTION("""COMPUTED_VALUE"""),5339.0)</f>
        <v>5339</v>
      </c>
      <c r="G17680" s="4">
        <f>IFERROR(__xludf.DUMMYFUNCTION("""COMPUTED_VALUE"""),35.0)</f>
        <v>35</v>
      </c>
      <c r="H17680" s="4"/>
      <c r="I17680" s="4"/>
    </row>
    <row r="17681">
      <c r="A17681" s="4" t="str">
        <f>IFERROR(__xludf.DUMMYFUNCTION("""COMPUTED_VALUE"""),"cas_hmw")</f>
        <v>cas_hmw</v>
      </c>
      <c r="B17681" s="5">
        <f>IFERROR(__xludf.DUMMYFUNCTION("""COMPUTED_VALUE"""),44741.0)</f>
        <v>44741</v>
      </c>
      <c r="C17681" s="6">
        <f>IFERROR(__xludf.DUMMYFUNCTION("""COMPUTED_VALUE"""),0.3360185185192677)</f>
        <v>0.3360185185</v>
      </c>
      <c r="D17681" s="4">
        <f>IFERROR(__xludf.DUMMYFUNCTION("""COMPUTED_VALUE"""),12.958413)</f>
        <v>12.958413</v>
      </c>
      <c r="E17681" s="4">
        <f>IFERROR(__xludf.DUMMYFUNCTION("""COMPUTED_VALUE"""),80.144395)</f>
        <v>80.144395</v>
      </c>
      <c r="F17681" s="4">
        <f>IFERROR(__xludf.DUMMYFUNCTION("""COMPUTED_VALUE"""),5339.0)</f>
        <v>5339</v>
      </c>
      <c r="G17681" s="4">
        <f>IFERROR(__xludf.DUMMYFUNCTION("""COMPUTED_VALUE"""),37.0)</f>
        <v>37</v>
      </c>
      <c r="H17681" s="4"/>
      <c r="I17681" s="4"/>
    </row>
    <row r="17682">
      <c r="A17682" s="4" t="str">
        <f>IFERROR(__xludf.DUMMYFUNCTION("""COMPUTED_VALUE"""),"cas_hmw")</f>
        <v>cas_hmw</v>
      </c>
      <c r="B17682" s="5">
        <f>IFERROR(__xludf.DUMMYFUNCTION("""COMPUTED_VALUE"""),44741.0)</f>
        <v>44741</v>
      </c>
      <c r="C17682" s="6">
        <f>IFERROR(__xludf.DUMMYFUNCTION("""COMPUTED_VALUE"""),0.3361226851848187)</f>
        <v>0.3361226852</v>
      </c>
      <c r="D17682" s="4">
        <f>IFERROR(__xludf.DUMMYFUNCTION("""COMPUTED_VALUE"""),12.979352)</f>
        <v>12.979352</v>
      </c>
      <c r="E17682" s="4">
        <f>IFERROR(__xludf.DUMMYFUNCTION("""COMPUTED_VALUE"""),80.161987)</f>
        <v>80.161987</v>
      </c>
      <c r="F17682" s="4">
        <f>IFERROR(__xludf.DUMMYFUNCTION("""COMPUTED_VALUE"""),805.0)</f>
        <v>805</v>
      </c>
      <c r="G17682" s="4">
        <f>IFERROR(__xludf.DUMMYFUNCTION("""COMPUTED_VALUE"""),41.0)</f>
        <v>41</v>
      </c>
      <c r="H17682" s="4"/>
      <c r="I17682" s="4"/>
    </row>
    <row r="17683">
      <c r="A17683" s="4" t="str">
        <f>IFERROR(__xludf.DUMMYFUNCTION("""COMPUTED_VALUE"""),"cas_hmw")</f>
        <v>cas_hmw</v>
      </c>
      <c r="B17683" s="5">
        <f>IFERROR(__xludf.DUMMYFUNCTION("""COMPUTED_VALUE"""),44741.0)</f>
        <v>44741</v>
      </c>
      <c r="C17683" s="6">
        <f>IFERROR(__xludf.DUMMYFUNCTION("""COMPUTED_VALUE"""),0.3362615740734327)</f>
        <v>0.3362615741</v>
      </c>
      <c r="D17683" s="4">
        <f>IFERROR(__xludf.DUMMYFUNCTION("""COMPUTED_VALUE"""),12.979352)</f>
        <v>12.979352</v>
      </c>
      <c r="E17683" s="4">
        <f>IFERROR(__xludf.DUMMYFUNCTION("""COMPUTED_VALUE"""),80.161987)</f>
        <v>80.161987</v>
      </c>
      <c r="F17683" s="4">
        <f>IFERROR(__xludf.DUMMYFUNCTION("""COMPUTED_VALUE"""),805.0)</f>
        <v>805</v>
      </c>
      <c r="G17683" s="4">
        <f>IFERROR(__xludf.DUMMYFUNCTION("""COMPUTED_VALUE"""),41.0)</f>
        <v>41</v>
      </c>
      <c r="H17683" s="4"/>
      <c r="I17683" s="4"/>
    </row>
    <row r="17684">
      <c r="A17684" s="4" t="str">
        <f>IFERROR(__xludf.DUMMYFUNCTION("""COMPUTED_VALUE"""),"cas_hmw")</f>
        <v>cas_hmw</v>
      </c>
      <c r="B17684" s="5">
        <f>IFERROR(__xludf.DUMMYFUNCTION("""COMPUTED_VALUE"""),44741.0)</f>
        <v>44741</v>
      </c>
      <c r="C17684" s="6">
        <f>IFERROR(__xludf.DUMMYFUNCTION("""COMPUTED_VALUE"""),0.33636574073898373)</f>
        <v>0.3363657407</v>
      </c>
      <c r="D17684" s="4">
        <f>IFERROR(__xludf.DUMMYFUNCTION("""COMPUTED_VALUE"""),12.97799)</f>
        <v>12.97799</v>
      </c>
      <c r="E17684" s="4">
        <f>IFERROR(__xludf.DUMMYFUNCTION("""COMPUTED_VALUE"""),80.16008)</f>
        <v>80.16008</v>
      </c>
      <c r="F17684" s="4">
        <f>IFERROR(__xludf.DUMMYFUNCTION("""COMPUTED_VALUE"""),805.0)</f>
        <v>805</v>
      </c>
      <c r="G17684" s="4">
        <f>IFERROR(__xludf.DUMMYFUNCTION("""COMPUTED_VALUE"""),48.0)</f>
        <v>48</v>
      </c>
      <c r="H17684" s="4"/>
      <c r="I17684" s="4"/>
    </row>
    <row r="17685">
      <c r="A17685" s="4" t="str">
        <f>IFERROR(__xludf.DUMMYFUNCTION("""COMPUTED_VALUE"""),"cas_hmw")</f>
        <v>cas_hmw</v>
      </c>
      <c r="B17685" s="5">
        <f>IFERROR(__xludf.DUMMYFUNCTION("""COMPUTED_VALUE"""),44741.0)</f>
        <v>44741</v>
      </c>
      <c r="C17685" s="6">
        <f>IFERROR(__xludf.DUMMYFUNCTION("""COMPUTED_VALUE"""),0.3364814814813144)</f>
        <v>0.3364814815</v>
      </c>
      <c r="D17685" s="4">
        <f>IFERROR(__xludf.DUMMYFUNCTION("""COMPUTED_VALUE"""),12.97731)</f>
        <v>12.97731</v>
      </c>
      <c r="E17685" s="4">
        <f>IFERROR(__xludf.DUMMYFUNCTION("""COMPUTED_VALUE"""),80.159053)</f>
        <v>80.159053</v>
      </c>
      <c r="F17685" s="4">
        <f>IFERROR(__xludf.DUMMYFUNCTION("""COMPUTED_VALUE"""),805.0)</f>
        <v>805</v>
      </c>
      <c r="G17685" s="4">
        <f>IFERROR(__xludf.DUMMYFUNCTION("""COMPUTED_VALUE"""),48.0)</f>
        <v>48</v>
      </c>
      <c r="H17685" s="4"/>
      <c r="I17685" s="4"/>
    </row>
    <row r="17686">
      <c r="A17686" s="4" t="str">
        <f>IFERROR(__xludf.DUMMYFUNCTION("""COMPUTED_VALUE"""),"cas_hmw")</f>
        <v>cas_hmw</v>
      </c>
      <c r="B17686" s="5">
        <f>IFERROR(__xludf.DUMMYFUNCTION("""COMPUTED_VALUE"""),44741.0)</f>
        <v>44741</v>
      </c>
      <c r="C17686" s="6">
        <f>IFERROR(__xludf.DUMMYFUNCTION("""COMPUTED_VALUE"""),0.33682870370466844)</f>
        <v>0.3368287037</v>
      </c>
      <c r="D17686" s="4">
        <f>IFERROR(__xludf.DUMMYFUNCTION("""COMPUTED_VALUE"""),12.975273)</f>
        <v>12.975273</v>
      </c>
      <c r="E17686" s="4">
        <f>IFERROR(__xludf.DUMMYFUNCTION("""COMPUTED_VALUE"""),80.155964)</f>
        <v>80.155964</v>
      </c>
      <c r="F17686" s="4">
        <f>IFERROR(__xludf.DUMMYFUNCTION("""COMPUTED_VALUE"""),805.0)</f>
        <v>805</v>
      </c>
      <c r="G17686" s="4">
        <f>IFERROR(__xludf.DUMMYFUNCTION("""COMPUTED_VALUE"""),50.0)</f>
        <v>50</v>
      </c>
      <c r="H17686" s="4"/>
      <c r="I17686" s="4"/>
    </row>
    <row r="17687">
      <c r="A17687" s="4" t="str">
        <f>IFERROR(__xludf.DUMMYFUNCTION("""COMPUTED_VALUE"""),"cas_hmw")</f>
        <v>cas_hmw</v>
      </c>
      <c r="B17687" s="5">
        <f>IFERROR(__xludf.DUMMYFUNCTION("""COMPUTED_VALUE"""),44741.0)</f>
        <v>44741</v>
      </c>
      <c r="C17687" s="6">
        <f>IFERROR(__xludf.DUMMYFUNCTION("""COMPUTED_VALUE"""),0.33700231481634546)</f>
        <v>0.3370023148</v>
      </c>
      <c r="D17687" s="4">
        <f>IFERROR(__xludf.DUMMYFUNCTION("""COMPUTED_VALUE"""),12.973955)</f>
        <v>12.973955</v>
      </c>
      <c r="E17687" s="4">
        <f>IFERROR(__xludf.DUMMYFUNCTION("""COMPUTED_VALUE"""),80.15411)</f>
        <v>80.15411</v>
      </c>
      <c r="F17687" s="4">
        <f>IFERROR(__xludf.DUMMYFUNCTION("""COMPUTED_VALUE"""),805.0)</f>
        <v>805</v>
      </c>
      <c r="G17687" s="4">
        <f>IFERROR(__xludf.DUMMYFUNCTION("""COMPUTED_VALUE"""),46.0)</f>
        <v>46</v>
      </c>
      <c r="H17687" s="4"/>
      <c r="I17687" s="4"/>
    </row>
    <row r="17688">
      <c r="A17688" s="4" t="str">
        <f>IFERROR(__xludf.DUMMYFUNCTION("""COMPUTED_VALUE"""),"cas_hmw")</f>
        <v>cas_hmw</v>
      </c>
      <c r="B17688" s="5">
        <f>IFERROR(__xludf.DUMMYFUNCTION("""COMPUTED_VALUE"""),44741.0)</f>
        <v>44741</v>
      </c>
      <c r="C17688" s="6">
        <f>IFERROR(__xludf.DUMMYFUNCTION("""COMPUTED_VALUE"""),0.3373263888897782)</f>
        <v>0.3373263889</v>
      </c>
      <c r="D17688" s="4">
        <f>IFERROR(__xludf.DUMMYFUNCTION("""COMPUTED_VALUE"""),12.803772)</f>
        <v>12.803772</v>
      </c>
      <c r="E17688" s="4">
        <f>IFERROR(__xludf.DUMMYFUNCTION("""COMPUTED_VALUE"""),80.025792)</f>
        <v>80.025792</v>
      </c>
      <c r="F17688" s="4">
        <f>IFERROR(__xludf.DUMMYFUNCTION("""COMPUTED_VALUE"""),2846.0)</f>
        <v>2846</v>
      </c>
      <c r="G17688" s="4">
        <f>IFERROR(__xludf.DUMMYFUNCTION("""COMPUTED_VALUE"""),57.0)</f>
        <v>57</v>
      </c>
      <c r="H17688" s="4"/>
      <c r="I17688" s="4"/>
    </row>
    <row r="17689">
      <c r="A17689" s="4" t="str">
        <f>IFERROR(__xludf.DUMMYFUNCTION("""COMPUTED_VALUE"""),"cas_hmw")</f>
        <v>cas_hmw</v>
      </c>
      <c r="B17689" s="5">
        <f>IFERROR(__xludf.DUMMYFUNCTION("""COMPUTED_VALUE"""),44741.0)</f>
        <v>44741</v>
      </c>
      <c r="C17689" s="6">
        <f>IFERROR(__xludf.DUMMYFUNCTION("""COMPUTED_VALUE"""),0.3374305555553292)</f>
        <v>0.3374305556</v>
      </c>
      <c r="D17689" s="4">
        <f>IFERROR(__xludf.DUMMYFUNCTION("""COMPUTED_VALUE"""),12.97189)</f>
        <v>12.97189</v>
      </c>
      <c r="E17689" s="4">
        <f>IFERROR(__xludf.DUMMYFUNCTION("""COMPUTED_VALUE"""),80.151325)</f>
        <v>80.151325</v>
      </c>
      <c r="F17689" s="4">
        <f>IFERROR(__xludf.DUMMYFUNCTION("""COMPUTED_VALUE"""),805.0)</f>
        <v>805</v>
      </c>
      <c r="G17689" s="4">
        <f>IFERROR(__xludf.DUMMYFUNCTION("""COMPUTED_VALUE"""),42.0)</f>
        <v>42</v>
      </c>
      <c r="H17689" s="4"/>
      <c r="I17689" s="4"/>
    </row>
    <row r="17690">
      <c r="A17690" s="4" t="str">
        <f>IFERROR(__xludf.DUMMYFUNCTION("""COMPUTED_VALUE"""),"cas_hmw")</f>
        <v>cas_hmw</v>
      </c>
      <c r="B17690" s="5">
        <f>IFERROR(__xludf.DUMMYFUNCTION("""COMPUTED_VALUE"""),44741.0)</f>
        <v>44741</v>
      </c>
      <c r="C17690" s="6">
        <f>IFERROR(__xludf.DUMMYFUNCTION("""COMPUTED_VALUE"""),0.33747685185153387)</f>
        <v>0.3374768519</v>
      </c>
      <c r="D17690" s="4">
        <f>IFERROR(__xludf.DUMMYFUNCTION("""COMPUTED_VALUE"""),12.970844)</f>
        <v>12.970844</v>
      </c>
      <c r="E17690" s="4">
        <f>IFERROR(__xludf.DUMMYFUNCTION("""COMPUTED_VALUE"""),80.150743)</f>
        <v>80.150743</v>
      </c>
      <c r="F17690" s="4">
        <f>IFERROR(__xludf.DUMMYFUNCTION("""COMPUTED_VALUE"""),805.0)</f>
        <v>805</v>
      </c>
      <c r="G17690" s="4">
        <f>IFERROR(__xludf.DUMMYFUNCTION("""COMPUTED_VALUE"""),48.0)</f>
        <v>48</v>
      </c>
      <c r="H17690" s="4"/>
      <c r="I17690" s="4"/>
    </row>
    <row r="17691">
      <c r="A17691" s="4" t="str">
        <f>IFERROR(__xludf.DUMMYFUNCTION("""COMPUTED_VALUE"""),"cas_hmw")</f>
        <v>cas_hmw</v>
      </c>
      <c r="B17691" s="5">
        <f>IFERROR(__xludf.DUMMYFUNCTION("""COMPUTED_VALUE"""),44741.0)</f>
        <v>44741</v>
      </c>
      <c r="C17691" s="6">
        <f>IFERROR(__xludf.DUMMYFUNCTION("""COMPUTED_VALUE"""),0.33901620370306773)</f>
        <v>0.3390162037</v>
      </c>
      <c r="D17691" s="4">
        <f>IFERROR(__xludf.DUMMYFUNCTION("""COMPUTED_VALUE"""),12.821086)</f>
        <v>12.821086</v>
      </c>
      <c r="E17691" s="4">
        <f>IFERROR(__xludf.DUMMYFUNCTION("""COMPUTED_VALUE"""),80.037373)</f>
        <v>80.037373</v>
      </c>
      <c r="F17691" s="4">
        <f>IFERROR(__xludf.DUMMYFUNCTION("""COMPUTED_VALUE"""),2846.0)</f>
        <v>2846</v>
      </c>
      <c r="G17691" s="4">
        <f>IFERROR(__xludf.DUMMYFUNCTION("""COMPUTED_VALUE"""),53.0)</f>
        <v>53</v>
      </c>
      <c r="H17691" s="4"/>
      <c r="I17691" s="4"/>
    </row>
    <row r="17692">
      <c r="A17692" s="4" t="str">
        <f>IFERROR(__xludf.DUMMYFUNCTION("""COMPUTED_VALUE"""),"cas_hmw")</f>
        <v>cas_hmw</v>
      </c>
      <c r="B17692" s="5">
        <f>IFERROR(__xludf.DUMMYFUNCTION("""COMPUTED_VALUE"""),44741.0)</f>
        <v>44741</v>
      </c>
      <c r="C17692" s="6">
        <f>IFERROR(__xludf.DUMMYFUNCTION("""COMPUTED_VALUE"""),0.3396412037036498)</f>
        <v>0.3396412037</v>
      </c>
      <c r="D17692" s="4">
        <f>IFERROR(__xludf.DUMMYFUNCTION("""COMPUTED_VALUE"""),12.825826)</f>
        <v>12.825826</v>
      </c>
      <c r="E17692" s="4">
        <f>IFERROR(__xludf.DUMMYFUNCTION("""COMPUTED_VALUE"""),80.040727)</f>
        <v>80.040727</v>
      </c>
      <c r="F17692" s="4">
        <f>IFERROR(__xludf.DUMMYFUNCTION("""COMPUTED_VALUE"""),2846.0)</f>
        <v>2846</v>
      </c>
      <c r="G17692" s="4">
        <f>IFERROR(__xludf.DUMMYFUNCTION("""COMPUTED_VALUE"""),55.0)</f>
        <v>55</v>
      </c>
      <c r="H17692" s="4"/>
      <c r="I17692" s="4"/>
    </row>
    <row r="17693">
      <c r="A17693" s="4" t="str">
        <f>IFERROR(__xludf.DUMMYFUNCTION("""COMPUTED_VALUE"""),"cas_hmw")</f>
        <v>cas_hmw</v>
      </c>
      <c r="B17693" s="5">
        <f>IFERROR(__xludf.DUMMYFUNCTION("""COMPUTED_VALUE"""),44741.0)</f>
        <v>44741</v>
      </c>
      <c r="C17693" s="6">
        <f>IFERROR(__xludf.DUMMYFUNCTION("""COMPUTED_VALUE"""),0.3397222222229175)</f>
        <v>0.3397222222</v>
      </c>
      <c r="D17693" s="4">
        <f>IFERROR(__xludf.DUMMYFUNCTION("""COMPUTED_VALUE"""),12.956681)</f>
        <v>12.956681</v>
      </c>
      <c r="E17693" s="4">
        <f>IFERROR(__xludf.DUMMYFUNCTION("""COMPUTED_VALUE"""),80.143366)</f>
        <v>80.143366</v>
      </c>
      <c r="F17693" s="4">
        <f>IFERROR(__xludf.DUMMYFUNCTION("""COMPUTED_VALUE"""),805.0)</f>
        <v>805</v>
      </c>
      <c r="G17693" s="4">
        <f>IFERROR(__xludf.DUMMYFUNCTION("""COMPUTED_VALUE"""),31.0)</f>
        <v>31</v>
      </c>
      <c r="H17693" s="4"/>
      <c r="I17693" s="4"/>
    </row>
    <row r="17694">
      <c r="A17694" s="4" t="str">
        <f>IFERROR(__xludf.DUMMYFUNCTION("""COMPUTED_VALUE"""),"cas_hmw")</f>
        <v>cas_hmw</v>
      </c>
      <c r="B17694" s="5">
        <f>IFERROR(__xludf.DUMMYFUNCTION("""COMPUTED_VALUE"""),44741.0)</f>
        <v>44741</v>
      </c>
      <c r="C17694" s="6">
        <f>IFERROR(__xludf.DUMMYFUNCTION("""COMPUTED_VALUE"""),0.3399305555540195)</f>
        <v>0.3399305556</v>
      </c>
      <c r="D17694" s="4">
        <f>IFERROR(__xludf.DUMMYFUNCTION("""COMPUTED_VALUE"""),12.94472)</f>
        <v>12.94472</v>
      </c>
      <c r="E17694" s="4">
        <f>IFERROR(__xludf.DUMMYFUNCTION("""COMPUTED_VALUE"""),80.135156)</f>
        <v>80.135156</v>
      </c>
      <c r="F17694" s="4">
        <f>IFERROR(__xludf.DUMMYFUNCTION("""COMPUTED_VALUE"""),5339.0)</f>
        <v>5339</v>
      </c>
      <c r="G17694" s="4">
        <f>IFERROR(__xludf.DUMMYFUNCTION("""COMPUTED_VALUE"""),50.0)</f>
        <v>50</v>
      </c>
      <c r="H17694" s="4"/>
      <c r="I17694" s="4"/>
    </row>
    <row r="17695">
      <c r="A17695" s="4" t="str">
        <f>IFERROR(__xludf.DUMMYFUNCTION("""COMPUTED_VALUE"""),"cas_hmw")</f>
        <v>cas_hmw</v>
      </c>
      <c r="B17695" s="5">
        <f>IFERROR(__xludf.DUMMYFUNCTION("""COMPUTED_VALUE"""),44741.0)</f>
        <v>44741</v>
      </c>
      <c r="C17695" s="6">
        <f>IFERROR(__xludf.DUMMYFUNCTION("""COMPUTED_VALUE"""),0.34063657407386927)</f>
        <v>0.3406365741</v>
      </c>
      <c r="D17695" s="4">
        <f>IFERROR(__xludf.DUMMYFUNCTION("""COMPUTED_VALUE"""),12.942229)</f>
        <v>12.942229</v>
      </c>
      <c r="E17695" s="4">
        <f>IFERROR(__xludf.DUMMYFUNCTION("""COMPUTED_VALUE"""),80.132876)</f>
        <v>80.132876</v>
      </c>
      <c r="F17695" s="4">
        <f>IFERROR(__xludf.DUMMYFUNCTION("""COMPUTED_VALUE"""),5339.0)</f>
        <v>5339</v>
      </c>
      <c r="G17695" s="4">
        <f>IFERROR(__xludf.DUMMYFUNCTION("""COMPUTED_VALUE"""),26.0)</f>
        <v>26</v>
      </c>
      <c r="H17695" s="4"/>
      <c r="I17695" s="4"/>
    </row>
    <row r="17696">
      <c r="A17696" s="4" t="str">
        <f>IFERROR(__xludf.DUMMYFUNCTION("""COMPUTED_VALUE"""),"cas_hmw")</f>
        <v>cas_hmw</v>
      </c>
      <c r="B17696" s="5">
        <f>IFERROR(__xludf.DUMMYFUNCTION("""COMPUTED_VALUE"""),44741.0)</f>
        <v>44741</v>
      </c>
      <c r="C17696" s="6">
        <f>IFERROR(__xludf.DUMMYFUNCTION("""COMPUTED_VALUE"""),0.341168981482042)</f>
        <v>0.3411689815</v>
      </c>
      <c r="D17696" s="4">
        <f>IFERROR(__xludf.DUMMYFUNCTION("""COMPUTED_VALUE"""),12.938435)</f>
        <v>12.938435</v>
      </c>
      <c r="E17696" s="4">
        <f>IFERROR(__xludf.DUMMYFUNCTION("""COMPUTED_VALUE"""),80.129192)</f>
        <v>80.129192</v>
      </c>
      <c r="F17696" s="4">
        <f>IFERROR(__xludf.DUMMYFUNCTION("""COMPUTED_VALUE"""),5339.0)</f>
        <v>5339</v>
      </c>
      <c r="G17696" s="4">
        <f>IFERROR(__xludf.DUMMYFUNCTION("""COMPUTED_VALUE"""),46.0)</f>
        <v>46</v>
      </c>
      <c r="H17696" s="4"/>
      <c r="I17696" s="4"/>
    </row>
    <row r="17697">
      <c r="A17697" s="4" t="str">
        <f>IFERROR(__xludf.DUMMYFUNCTION("""COMPUTED_VALUE"""),"cas_hmw")</f>
        <v>cas_hmw</v>
      </c>
      <c r="B17697" s="5">
        <f>IFERROR(__xludf.DUMMYFUNCTION("""COMPUTED_VALUE"""),44741.0)</f>
        <v>44741</v>
      </c>
      <c r="C17697" s="6">
        <f>IFERROR(__xludf.DUMMYFUNCTION("""COMPUTED_VALUE"""),0.3413888888899237)</f>
        <v>0.3413888889</v>
      </c>
      <c r="D17697" s="4">
        <f>IFERROR(__xludf.DUMMYFUNCTION("""COMPUTED_VALUE"""),12.840404)</f>
        <v>12.840404</v>
      </c>
      <c r="E17697" s="4">
        <f>IFERROR(__xludf.DUMMYFUNCTION("""COMPUTED_VALUE"""),80.055805)</f>
        <v>80.055805</v>
      </c>
      <c r="F17697" s="4">
        <f>IFERROR(__xludf.DUMMYFUNCTION("""COMPUTED_VALUE"""),2846.0)</f>
        <v>2846</v>
      </c>
      <c r="G17697" s="4">
        <f>IFERROR(__xludf.DUMMYFUNCTION("""COMPUTED_VALUE"""),48.0)</f>
        <v>48</v>
      </c>
      <c r="H17697" s="4"/>
      <c r="I17697" s="4"/>
    </row>
    <row r="17698">
      <c r="A17698" s="4" t="str">
        <f>IFERROR(__xludf.DUMMYFUNCTION("""COMPUTED_VALUE"""),"cas_hmw")</f>
        <v>cas_hmw</v>
      </c>
      <c r="B17698" s="5">
        <f>IFERROR(__xludf.DUMMYFUNCTION("""COMPUTED_VALUE"""),44741.0)</f>
        <v>44741</v>
      </c>
      <c r="C17698" s="6">
        <f>IFERROR(__xludf.DUMMYFUNCTION("""COMPUTED_VALUE"""),0.34232638888715883)</f>
        <v>0.3423263889</v>
      </c>
      <c r="D17698" s="4">
        <f>IFERROR(__xludf.DUMMYFUNCTION("""COMPUTED_VALUE"""),12.949891)</f>
        <v>12.949891</v>
      </c>
      <c r="E17698" s="4">
        <f>IFERROR(__xludf.DUMMYFUNCTION("""COMPUTED_VALUE"""),80.139093)</f>
        <v>80.139093</v>
      </c>
      <c r="F17698" s="4">
        <f>IFERROR(__xludf.DUMMYFUNCTION("""COMPUTED_VALUE"""),805.0)</f>
        <v>805</v>
      </c>
      <c r="G17698" s="4">
        <f>IFERROR(__xludf.DUMMYFUNCTION("""COMPUTED_VALUE"""),36.0)</f>
        <v>36</v>
      </c>
      <c r="H17698" s="4"/>
      <c r="I17698" s="4"/>
    </row>
    <row r="17699">
      <c r="A17699" s="4" t="str">
        <f>IFERROR(__xludf.DUMMYFUNCTION("""COMPUTED_VALUE"""),"cas_hmw")</f>
        <v>cas_hmw</v>
      </c>
      <c r="B17699" s="5">
        <f>IFERROR(__xludf.DUMMYFUNCTION("""COMPUTED_VALUE"""),44741.0)</f>
        <v>44741</v>
      </c>
      <c r="C17699" s="6">
        <f>IFERROR(__xludf.DUMMYFUNCTION("""COMPUTED_VALUE"""),0.34241898148320615)</f>
        <v>0.3424189815</v>
      </c>
      <c r="D17699" s="4">
        <f>IFERROR(__xludf.DUMMYFUNCTION("""COMPUTED_VALUE"""),12.931389)</f>
        <v>12.931389</v>
      </c>
      <c r="E17699" s="4">
        <f>IFERROR(__xludf.DUMMYFUNCTION("""COMPUTED_VALUE"""),80.12262)</f>
        <v>80.12262</v>
      </c>
      <c r="F17699" s="4">
        <f>IFERROR(__xludf.DUMMYFUNCTION("""COMPUTED_VALUE"""),5339.0)</f>
        <v>5339</v>
      </c>
      <c r="G17699" s="4">
        <f>IFERROR(__xludf.DUMMYFUNCTION("""COMPUTED_VALUE"""),30.0)</f>
        <v>30</v>
      </c>
      <c r="H17699" s="4"/>
      <c r="I17699" s="4"/>
    </row>
    <row r="17700">
      <c r="A17700" s="4" t="str">
        <f>IFERROR(__xludf.DUMMYFUNCTION("""COMPUTED_VALUE"""),"cas_hmw")</f>
        <v>cas_hmw</v>
      </c>
      <c r="B17700" s="5">
        <f>IFERROR(__xludf.DUMMYFUNCTION("""COMPUTED_VALUE"""),44741.0)</f>
        <v>44741</v>
      </c>
      <c r="C17700" s="6">
        <f>IFERROR(__xludf.DUMMYFUNCTION("""COMPUTED_VALUE"""),0.34260416666802485)</f>
        <v>0.3426041667</v>
      </c>
      <c r="D17700" s="4">
        <f>IFERROR(__xludf.DUMMYFUNCTION("""COMPUTED_VALUE"""),12.930846)</f>
        <v>12.930846</v>
      </c>
      <c r="E17700" s="4">
        <f>IFERROR(__xludf.DUMMYFUNCTION("""COMPUTED_VALUE"""),80.122054)</f>
        <v>80.122054</v>
      </c>
      <c r="F17700" s="4">
        <f>IFERROR(__xludf.DUMMYFUNCTION("""COMPUTED_VALUE"""),5339.0)</f>
        <v>5339</v>
      </c>
      <c r="G17700" s="4">
        <f>IFERROR(__xludf.DUMMYFUNCTION("""COMPUTED_VALUE"""),31.0)</f>
        <v>31</v>
      </c>
      <c r="H17700" s="4"/>
      <c r="I17700" s="4"/>
    </row>
    <row r="17701">
      <c r="A17701" s="4" t="str">
        <f>IFERROR(__xludf.DUMMYFUNCTION("""COMPUTED_VALUE"""),"cas_hmw")</f>
        <v>cas_hmw</v>
      </c>
      <c r="B17701" s="5">
        <f>IFERROR(__xludf.DUMMYFUNCTION("""COMPUTED_VALUE"""),44741.0)</f>
        <v>44741</v>
      </c>
      <c r="C17701" s="6">
        <f>IFERROR(__xludf.DUMMYFUNCTION("""COMPUTED_VALUE"""),0.3428703703721112)</f>
        <v>0.3428703704</v>
      </c>
      <c r="D17701" s="4">
        <f>IFERROR(__xludf.DUMMYFUNCTION("""COMPUTED_VALUE"""),12.92894)</f>
        <v>12.92894</v>
      </c>
      <c r="E17701" s="4">
        <f>IFERROR(__xludf.DUMMYFUNCTION("""COMPUTED_VALUE"""),80.120132)</f>
        <v>80.120132</v>
      </c>
      <c r="F17701" s="4">
        <f>IFERROR(__xludf.DUMMYFUNCTION("""COMPUTED_VALUE"""),5339.0)</f>
        <v>5339</v>
      </c>
      <c r="G17701" s="4">
        <f>IFERROR(__xludf.DUMMYFUNCTION("""COMPUTED_VALUE"""),45.0)</f>
        <v>45</v>
      </c>
      <c r="H17701" s="4"/>
      <c r="I17701" s="4"/>
    </row>
    <row r="17702">
      <c r="A17702" s="4" t="str">
        <f>IFERROR(__xludf.DUMMYFUNCTION("""COMPUTED_VALUE"""),"cas_hmw")</f>
        <v>cas_hmw</v>
      </c>
      <c r="B17702" s="5">
        <f>IFERROR(__xludf.DUMMYFUNCTION("""COMPUTED_VALUE"""),44741.0)</f>
        <v>44741</v>
      </c>
      <c r="C17702" s="6">
        <f>IFERROR(__xludf.DUMMYFUNCTION("""COMPUTED_VALUE"""),0.3430208333338669)</f>
        <v>0.3430208333</v>
      </c>
      <c r="D17702" s="4">
        <f>IFERROR(__xludf.DUMMYFUNCTION("""COMPUTED_VALUE"""),12.847477)</f>
        <v>12.847477</v>
      </c>
      <c r="E17702" s="4">
        <f>IFERROR(__xludf.DUMMYFUNCTION("""COMPUTED_VALUE"""),80.062774)</f>
        <v>80.062774</v>
      </c>
      <c r="F17702" s="4">
        <f>IFERROR(__xludf.DUMMYFUNCTION("""COMPUTED_VALUE"""),2846.0)</f>
        <v>2846</v>
      </c>
      <c r="G17702" s="4">
        <f>IFERROR(__xludf.DUMMYFUNCTION("""COMPUTED_VALUE"""),44.0)</f>
        <v>44</v>
      </c>
      <c r="H17702" s="4"/>
      <c r="I17702" s="4"/>
    </row>
    <row r="17703">
      <c r="A17703" s="4" t="str">
        <f>IFERROR(__xludf.DUMMYFUNCTION("""COMPUTED_VALUE"""),"cas_hmw")</f>
        <v>cas_hmw</v>
      </c>
      <c r="B17703" s="5">
        <f>IFERROR(__xludf.DUMMYFUNCTION("""COMPUTED_VALUE"""),44741.0)</f>
        <v>44741</v>
      </c>
      <c r="C17703" s="6">
        <f>IFERROR(__xludf.DUMMYFUNCTION("""COMPUTED_VALUE"""),0.34307870370321325)</f>
        <v>0.3430787037</v>
      </c>
      <c r="D17703" s="4">
        <f>IFERROR(__xludf.DUMMYFUNCTION("""COMPUTED_VALUE"""),12.928135)</f>
        <v>12.928135</v>
      </c>
      <c r="E17703" s="4">
        <f>IFERROR(__xludf.DUMMYFUNCTION("""COMPUTED_VALUE"""),80.119322)</f>
        <v>80.119322</v>
      </c>
      <c r="F17703" s="4">
        <f>IFERROR(__xludf.DUMMYFUNCTION("""COMPUTED_VALUE"""),5339.0)</f>
        <v>5339</v>
      </c>
      <c r="G17703" s="4">
        <f>IFERROR(__xludf.DUMMYFUNCTION("""COMPUTED_VALUE"""),42.0)</f>
        <v>42</v>
      </c>
      <c r="H17703" s="4"/>
      <c r="I17703" s="4"/>
    </row>
    <row r="17704">
      <c r="A17704" s="4" t="str">
        <f>IFERROR(__xludf.DUMMYFUNCTION("""COMPUTED_VALUE"""),"cas_hmw")</f>
        <v>cas_hmw</v>
      </c>
      <c r="B17704" s="5">
        <f>IFERROR(__xludf.DUMMYFUNCTION("""COMPUTED_VALUE"""),44741.0)</f>
        <v>44741</v>
      </c>
      <c r="C17704" s="6">
        <f>IFERROR(__xludf.DUMMYFUNCTION("""COMPUTED_VALUE"""),0.3434953703690553)</f>
        <v>0.3434953704</v>
      </c>
      <c r="D17704" s="4">
        <f>IFERROR(__xludf.DUMMYFUNCTION("""COMPUTED_VALUE"""),12.850057)</f>
        <v>12.850057</v>
      </c>
      <c r="E17704" s="4">
        <f>IFERROR(__xludf.DUMMYFUNCTION("""COMPUTED_VALUE"""),80.06466)</f>
        <v>80.06466</v>
      </c>
      <c r="F17704" s="4">
        <f>IFERROR(__xludf.DUMMYFUNCTION("""COMPUTED_VALUE"""),2846.0)</f>
        <v>2846</v>
      </c>
      <c r="G17704" s="4">
        <f>IFERROR(__xludf.DUMMYFUNCTION("""COMPUTED_VALUE"""),24.0)</f>
        <v>24</v>
      </c>
      <c r="H17704" s="4"/>
      <c r="I17704" s="4"/>
    </row>
    <row r="17705">
      <c r="A17705" s="4" t="str">
        <f>IFERROR(__xludf.DUMMYFUNCTION("""COMPUTED_VALUE"""),"cas_hmw")</f>
        <v>cas_hmw</v>
      </c>
      <c r="B17705" s="5">
        <f>IFERROR(__xludf.DUMMYFUNCTION("""COMPUTED_VALUE"""),44741.0)</f>
        <v>44741</v>
      </c>
      <c r="C17705" s="6">
        <f>IFERROR(__xludf.DUMMYFUNCTION("""COMPUTED_VALUE"""),0.34351851851897663)</f>
        <v>0.3435185185</v>
      </c>
      <c r="D17705" s="4">
        <f>IFERROR(__xludf.DUMMYFUNCTION("""COMPUTED_VALUE"""),12.924906)</f>
        <v>12.924906</v>
      </c>
      <c r="E17705" s="4">
        <f>IFERROR(__xludf.DUMMYFUNCTION("""COMPUTED_VALUE"""),80.11611)</f>
        <v>80.11611</v>
      </c>
      <c r="F17705" s="4">
        <f>IFERROR(__xludf.DUMMYFUNCTION("""COMPUTED_VALUE"""),5339.0)</f>
        <v>5339</v>
      </c>
      <c r="G17705" s="4">
        <f>IFERROR(__xludf.DUMMYFUNCTION("""COMPUTED_VALUE"""),52.0)</f>
        <v>52</v>
      </c>
      <c r="H17705" s="4"/>
      <c r="I17705" s="4"/>
    </row>
    <row r="17706">
      <c r="A17706" s="4" t="str">
        <f>IFERROR(__xludf.DUMMYFUNCTION("""COMPUTED_VALUE"""),"cas_hmw")</f>
        <v>cas_hmw</v>
      </c>
      <c r="B17706" s="5">
        <f>IFERROR(__xludf.DUMMYFUNCTION("""COMPUTED_VALUE"""),44741.0)</f>
        <v>44741</v>
      </c>
      <c r="C17706" s="6">
        <f>IFERROR(__xludf.DUMMYFUNCTION("""COMPUTED_VALUE"""),0.343645833334449)</f>
        <v>0.3436458333</v>
      </c>
      <c r="D17706" s="4">
        <f>IFERROR(__xludf.DUMMYFUNCTION("""COMPUTED_VALUE"""),12.940342)</f>
        <v>12.940342</v>
      </c>
      <c r="E17706" s="4">
        <f>IFERROR(__xludf.DUMMYFUNCTION("""COMPUTED_VALUE"""),80.130885)</f>
        <v>80.130885</v>
      </c>
      <c r="F17706" s="4">
        <f>IFERROR(__xludf.DUMMYFUNCTION("""COMPUTED_VALUE"""),805.0)</f>
        <v>805</v>
      </c>
      <c r="G17706" s="4">
        <f>IFERROR(__xludf.DUMMYFUNCTION("""COMPUTED_VALUE"""),57.0)</f>
        <v>57</v>
      </c>
      <c r="H17706" s="4"/>
      <c r="I17706" s="4"/>
    </row>
    <row r="17707">
      <c r="A17707" s="4" t="str">
        <f>IFERROR(__xludf.DUMMYFUNCTION("""COMPUTED_VALUE"""),"cas_hmw")</f>
        <v>cas_hmw</v>
      </c>
      <c r="B17707" s="5">
        <f>IFERROR(__xludf.DUMMYFUNCTION("""COMPUTED_VALUE"""),44741.0)</f>
        <v>44741</v>
      </c>
      <c r="C17707" s="6">
        <f>IFERROR(__xludf.DUMMYFUNCTION("""COMPUTED_VALUE"""),0.3436689814807323)</f>
        <v>0.3436689815</v>
      </c>
      <c r="D17707" s="4">
        <f>IFERROR(__xludf.DUMMYFUNCTION("""COMPUTED_VALUE"""),12.851553)</f>
        <v>12.851553</v>
      </c>
      <c r="E17707" s="4">
        <f>IFERROR(__xludf.DUMMYFUNCTION("""COMPUTED_VALUE"""),80.06574)</f>
        <v>80.06574</v>
      </c>
      <c r="F17707" s="4">
        <f>IFERROR(__xludf.DUMMYFUNCTION("""COMPUTED_VALUE"""),2846.0)</f>
        <v>2846</v>
      </c>
      <c r="G17707" s="4">
        <f>IFERROR(__xludf.DUMMYFUNCTION("""COMPUTED_VALUE"""),40.0)</f>
        <v>40</v>
      </c>
      <c r="H17707" s="4"/>
      <c r="I17707" s="4"/>
    </row>
    <row r="17708">
      <c r="A17708" s="4" t="str">
        <f>IFERROR(__xludf.DUMMYFUNCTION("""COMPUTED_VALUE"""),"cas_hmw")</f>
        <v>cas_hmw</v>
      </c>
      <c r="B17708" s="5">
        <f>IFERROR(__xludf.DUMMYFUNCTION("""COMPUTED_VALUE"""),44741.0)</f>
        <v>44741</v>
      </c>
      <c r="C17708" s="6">
        <f>IFERROR(__xludf.DUMMYFUNCTION("""COMPUTED_VALUE"""),0.3441203703696374)</f>
        <v>0.3441203704</v>
      </c>
      <c r="D17708" s="4">
        <f>IFERROR(__xludf.DUMMYFUNCTION("""COMPUTED_VALUE"""),12.852398)</f>
        <v>12.852398</v>
      </c>
      <c r="E17708" s="4">
        <f>IFERROR(__xludf.DUMMYFUNCTION("""COMPUTED_VALUE"""),80.066354)</f>
        <v>80.066354</v>
      </c>
      <c r="F17708" s="4">
        <f>IFERROR(__xludf.DUMMYFUNCTION("""COMPUTED_VALUE"""),2846.0)</f>
        <v>2846</v>
      </c>
      <c r="G17708" s="4">
        <f>IFERROR(__xludf.DUMMYFUNCTION("""COMPUTED_VALUE"""),37.0)</f>
        <v>37</v>
      </c>
      <c r="H17708" s="4"/>
      <c r="I17708" s="4"/>
    </row>
    <row r="17709">
      <c r="A17709" s="4" t="str">
        <f>IFERROR(__xludf.DUMMYFUNCTION("""COMPUTED_VALUE"""),"cas_hmw")</f>
        <v>cas_hmw</v>
      </c>
      <c r="B17709" s="5">
        <f>IFERROR(__xludf.DUMMYFUNCTION("""COMPUTED_VALUE"""),44741.0)</f>
        <v>44741</v>
      </c>
      <c r="C17709" s="6">
        <f>IFERROR(__xludf.DUMMYFUNCTION("""COMPUTED_VALUE"""),0.3446180555547471)</f>
        <v>0.3446180556</v>
      </c>
      <c r="D17709" s="4">
        <f>IFERROR(__xludf.DUMMYFUNCTION("""COMPUTED_VALUE"""),12.934919)</f>
        <v>12.934919</v>
      </c>
      <c r="E17709" s="4">
        <f>IFERROR(__xludf.DUMMYFUNCTION("""COMPUTED_VALUE"""),80.126076)</f>
        <v>80.126076</v>
      </c>
      <c r="F17709" s="4">
        <f>IFERROR(__xludf.DUMMYFUNCTION("""COMPUTED_VALUE"""),805.0)</f>
        <v>805</v>
      </c>
      <c r="G17709" s="4">
        <f>IFERROR(__xludf.DUMMYFUNCTION("""COMPUTED_VALUE"""),48.0)</f>
        <v>48</v>
      </c>
      <c r="H17709" s="4"/>
      <c r="I17709" s="4"/>
    </row>
    <row r="17710">
      <c r="A17710" s="4" t="str">
        <f>IFERROR(__xludf.DUMMYFUNCTION("""COMPUTED_VALUE"""),"cas_hmw")</f>
        <v>cas_hmw</v>
      </c>
      <c r="B17710" s="5">
        <f>IFERROR(__xludf.DUMMYFUNCTION("""COMPUTED_VALUE"""),44741.0)</f>
        <v>44741</v>
      </c>
      <c r="C17710" s="6">
        <f>IFERROR(__xludf.DUMMYFUNCTION("""COMPUTED_VALUE"""),0.34464120370466844)</f>
        <v>0.3446412037</v>
      </c>
      <c r="D17710" s="4">
        <f>IFERROR(__xludf.DUMMYFUNCTION("""COMPUTED_VALUE"""),12.859186)</f>
        <v>12.859186</v>
      </c>
      <c r="E17710" s="4">
        <f>IFERROR(__xludf.DUMMYFUNCTION("""COMPUTED_VALUE"""),80.071503)</f>
        <v>80.071503</v>
      </c>
      <c r="F17710" s="4">
        <f>IFERROR(__xludf.DUMMYFUNCTION("""COMPUTED_VALUE"""),2846.0)</f>
        <v>2846</v>
      </c>
      <c r="G17710" s="4">
        <f>IFERROR(__xludf.DUMMYFUNCTION("""COMPUTED_VALUE"""),57.0)</f>
        <v>57</v>
      </c>
      <c r="H17710" s="4"/>
      <c r="I17710" s="4"/>
    </row>
    <row r="17711">
      <c r="A17711" s="4" t="str">
        <f>IFERROR(__xludf.DUMMYFUNCTION("""COMPUTED_VALUE"""),"cas_hmw")</f>
        <v>cas_hmw</v>
      </c>
      <c r="B17711" s="5">
        <f>IFERROR(__xludf.DUMMYFUNCTION("""COMPUTED_VALUE"""),44741.0)</f>
        <v>44741</v>
      </c>
      <c r="C17711" s="6">
        <f>IFERROR(__xludf.DUMMYFUNCTION("""COMPUTED_VALUE"""),0.3447222222239361)</f>
        <v>0.3447222222</v>
      </c>
      <c r="D17711" s="4">
        <f>IFERROR(__xludf.DUMMYFUNCTION("""COMPUTED_VALUE"""),12.934919)</f>
        <v>12.934919</v>
      </c>
      <c r="E17711" s="4">
        <f>IFERROR(__xludf.DUMMYFUNCTION("""COMPUTED_VALUE"""),80.126076)</f>
        <v>80.126076</v>
      </c>
      <c r="F17711" s="4">
        <f>IFERROR(__xludf.DUMMYFUNCTION("""COMPUTED_VALUE"""),805.0)</f>
        <v>805</v>
      </c>
      <c r="G17711" s="4">
        <f>IFERROR(__xludf.DUMMYFUNCTION("""COMPUTED_VALUE"""),48.0)</f>
        <v>48</v>
      </c>
      <c r="H17711" s="4"/>
      <c r="I17711" s="4"/>
    </row>
    <row r="17712">
      <c r="A17712" s="4" t="str">
        <f>IFERROR(__xludf.DUMMYFUNCTION("""COMPUTED_VALUE"""),"cas_hmw")</f>
        <v>cas_hmw</v>
      </c>
      <c r="B17712" s="5">
        <f>IFERROR(__xludf.DUMMYFUNCTION("""COMPUTED_VALUE"""),44741.0)</f>
        <v>44741</v>
      </c>
      <c r="C17712" s="6">
        <f>IFERROR(__xludf.DUMMYFUNCTION("""COMPUTED_VALUE"""),0.34479166666642413)</f>
        <v>0.3447916667</v>
      </c>
      <c r="D17712" s="4">
        <f>IFERROR(__xludf.DUMMYFUNCTION("""COMPUTED_VALUE"""),12.86036)</f>
        <v>12.86036</v>
      </c>
      <c r="E17712" s="4">
        <f>IFERROR(__xludf.DUMMYFUNCTION("""COMPUTED_VALUE"""),80.072304)</f>
        <v>80.072304</v>
      </c>
      <c r="F17712" s="4">
        <f>IFERROR(__xludf.DUMMYFUNCTION("""COMPUTED_VALUE"""),2846.0)</f>
        <v>2846</v>
      </c>
      <c r="G17712" s="4">
        <f>IFERROR(__xludf.DUMMYFUNCTION("""COMPUTED_VALUE"""),55.0)</f>
        <v>55</v>
      </c>
      <c r="H17712" s="4"/>
      <c r="I17712" s="4"/>
    </row>
    <row r="17713">
      <c r="A17713" s="4" t="str">
        <f>IFERROR(__xludf.DUMMYFUNCTION("""COMPUTED_VALUE"""),"cas_hmw")</f>
        <v>cas_hmw</v>
      </c>
      <c r="B17713" s="5">
        <f>IFERROR(__xludf.DUMMYFUNCTION("""COMPUTED_VALUE"""),44741.0)</f>
        <v>44741</v>
      </c>
      <c r="C17713" s="6">
        <f>IFERROR(__xludf.DUMMYFUNCTION("""COMPUTED_VALUE"""),0.3452430555553292)</f>
        <v>0.3452430556</v>
      </c>
      <c r="D17713" s="4">
        <f>IFERROR(__xludf.DUMMYFUNCTION("""COMPUTED_VALUE"""),12.915052)</f>
        <v>12.915052</v>
      </c>
      <c r="E17713" s="4">
        <f>IFERROR(__xludf.DUMMYFUNCTION("""COMPUTED_VALUE"""),80.103602)</f>
        <v>80.103602</v>
      </c>
      <c r="F17713" s="4">
        <f>IFERROR(__xludf.DUMMYFUNCTION("""COMPUTED_VALUE"""),5339.0)</f>
        <v>5339</v>
      </c>
      <c r="G17713" s="4">
        <f>IFERROR(__xludf.DUMMYFUNCTION("""COMPUTED_VALUE"""),54.0)</f>
        <v>54</v>
      </c>
      <c r="H17713" s="4"/>
      <c r="I17713" s="4"/>
    </row>
    <row r="17714">
      <c r="A17714" s="4" t="str">
        <f>IFERROR(__xludf.DUMMYFUNCTION("""COMPUTED_VALUE"""),"cas_hmw")</f>
        <v>cas_hmw</v>
      </c>
      <c r="B17714" s="5">
        <f>IFERROR(__xludf.DUMMYFUNCTION("""COMPUTED_VALUE"""),44741.0)</f>
        <v>44741</v>
      </c>
      <c r="C17714" s="6">
        <f>IFERROR(__xludf.DUMMYFUNCTION("""COMPUTED_VALUE"""),0.3453125000014552)</f>
        <v>0.3453125</v>
      </c>
      <c r="D17714" s="4">
        <f>IFERROR(__xludf.DUMMYFUNCTION("""COMPUTED_VALUE"""),12.914329)</f>
        <v>12.914329</v>
      </c>
      <c r="E17714" s="4">
        <f>IFERROR(__xludf.DUMMYFUNCTION("""COMPUTED_VALUE"""),80.102481)</f>
        <v>80.102481</v>
      </c>
      <c r="F17714" s="4">
        <f>IFERROR(__xludf.DUMMYFUNCTION("""COMPUTED_VALUE"""),5339.0)</f>
        <v>5339</v>
      </c>
      <c r="G17714" s="4">
        <f>IFERROR(__xludf.DUMMYFUNCTION("""COMPUTED_VALUE"""),50.0)</f>
        <v>50</v>
      </c>
      <c r="H17714" s="4"/>
      <c r="I17714" s="4"/>
    </row>
    <row r="17715">
      <c r="A17715" s="4" t="str">
        <f>IFERROR(__xludf.DUMMYFUNCTION("""COMPUTED_VALUE"""),"cas_hmw")</f>
        <v>cas_hmw</v>
      </c>
      <c r="B17715" s="5">
        <f>IFERROR(__xludf.DUMMYFUNCTION("""COMPUTED_VALUE"""),44741.0)</f>
        <v>44741</v>
      </c>
      <c r="C17715" s="6">
        <f>IFERROR(__xludf.DUMMYFUNCTION("""COMPUTED_VALUE"""),0.3454629629632109)</f>
        <v>0.345462963</v>
      </c>
      <c r="D17715" s="4">
        <f>IFERROR(__xludf.DUMMYFUNCTION("""COMPUTED_VALUE"""),12.913484)</f>
        <v>12.913484</v>
      </c>
      <c r="E17715" s="4">
        <f>IFERROR(__xludf.DUMMYFUNCTION("""COMPUTED_VALUE"""),80.10167)</f>
        <v>80.10167</v>
      </c>
      <c r="F17715" s="4">
        <f>IFERROR(__xludf.DUMMYFUNCTION("""COMPUTED_VALUE"""),5339.0)</f>
        <v>5339</v>
      </c>
      <c r="G17715" s="4">
        <f>IFERROR(__xludf.DUMMYFUNCTION("""COMPUTED_VALUE"""),44.0)</f>
        <v>44</v>
      </c>
      <c r="H17715" s="4"/>
      <c r="I17715" s="4"/>
    </row>
    <row r="17716">
      <c r="A17716" s="4" t="str">
        <f>IFERROR(__xludf.DUMMYFUNCTION("""COMPUTED_VALUE"""),"cas_hmw")</f>
        <v>cas_hmw</v>
      </c>
      <c r="B17716" s="5">
        <f>IFERROR(__xludf.DUMMYFUNCTION("""COMPUTED_VALUE"""),44741.0)</f>
        <v>44741</v>
      </c>
      <c r="C17716" s="6">
        <f>IFERROR(__xludf.DUMMYFUNCTION("""COMPUTED_VALUE"""),0.3456828703710926)</f>
        <v>0.3456828704</v>
      </c>
      <c r="D17716" s="4">
        <f>IFERROR(__xludf.DUMMYFUNCTION("""COMPUTED_VALUE"""),12.930415)</f>
        <v>12.930415</v>
      </c>
      <c r="E17716" s="4">
        <f>IFERROR(__xludf.DUMMYFUNCTION("""COMPUTED_VALUE"""),80.12168)</f>
        <v>80.12168</v>
      </c>
      <c r="F17716" s="4">
        <f>IFERROR(__xludf.DUMMYFUNCTION("""COMPUTED_VALUE"""),805.0)</f>
        <v>805</v>
      </c>
      <c r="G17716" s="4">
        <f>IFERROR(__xludf.DUMMYFUNCTION("""COMPUTED_VALUE"""),35.0)</f>
        <v>35</v>
      </c>
      <c r="H17716" s="4"/>
      <c r="I17716" s="4"/>
    </row>
    <row r="17717">
      <c r="A17717" s="4" t="str">
        <f>IFERROR(__xludf.DUMMYFUNCTION("""COMPUTED_VALUE"""),"cas_hmw")</f>
        <v>cas_hmw</v>
      </c>
      <c r="B17717" s="5">
        <f>IFERROR(__xludf.DUMMYFUNCTION("""COMPUTED_VALUE"""),44741.0)</f>
        <v>44741</v>
      </c>
      <c r="C17717" s="6">
        <f>IFERROR(__xludf.DUMMYFUNCTION("""COMPUTED_VALUE"""),0.34627314814861165)</f>
        <v>0.3462731481</v>
      </c>
      <c r="D17717" s="4">
        <f>IFERROR(__xludf.DUMMYFUNCTION("""COMPUTED_VALUE"""),12.927357)</f>
        <v>12.927357</v>
      </c>
      <c r="E17717" s="4">
        <f>IFERROR(__xludf.DUMMYFUNCTION("""COMPUTED_VALUE"""),80.118502)</f>
        <v>80.118502</v>
      </c>
      <c r="F17717" s="4">
        <f>IFERROR(__xludf.DUMMYFUNCTION("""COMPUTED_VALUE"""),805.0)</f>
        <v>805</v>
      </c>
      <c r="G17717" s="4">
        <f>IFERROR(__xludf.DUMMYFUNCTION("""COMPUTED_VALUE"""),22.0)</f>
        <v>22</v>
      </c>
      <c r="H17717" s="4"/>
      <c r="I17717" s="4"/>
    </row>
    <row r="17718">
      <c r="A17718" s="4" t="str">
        <f>IFERROR(__xludf.DUMMYFUNCTION("""COMPUTED_VALUE"""),"cas_hmw")</f>
        <v>cas_hmw</v>
      </c>
      <c r="B17718" s="5">
        <f>IFERROR(__xludf.DUMMYFUNCTION("""COMPUTED_VALUE"""),44741.0)</f>
        <v>44741</v>
      </c>
      <c r="C17718" s="6">
        <f>IFERROR(__xludf.DUMMYFUNCTION("""COMPUTED_VALUE"""),0.3462847222217533)</f>
        <v>0.3462847222</v>
      </c>
      <c r="D17718" s="4">
        <f>IFERROR(__xludf.DUMMYFUNCTION("""COMPUTED_VALUE"""),12.927357)</f>
        <v>12.927357</v>
      </c>
      <c r="E17718" s="4">
        <f>IFERROR(__xludf.DUMMYFUNCTION("""COMPUTED_VALUE"""),80.118502)</f>
        <v>80.118502</v>
      </c>
      <c r="F17718" s="4">
        <f>IFERROR(__xludf.DUMMYFUNCTION("""COMPUTED_VALUE"""),805.0)</f>
        <v>805</v>
      </c>
      <c r="G17718" s="4">
        <f>IFERROR(__xludf.DUMMYFUNCTION("""COMPUTED_VALUE"""),22.0)</f>
        <v>22</v>
      </c>
      <c r="H17718" s="4"/>
      <c r="I17718" s="4"/>
    </row>
    <row r="17719">
      <c r="A17719" s="4" t="str">
        <f>IFERROR(__xludf.DUMMYFUNCTION("""COMPUTED_VALUE"""),"cas_hmw")</f>
        <v>cas_hmw</v>
      </c>
      <c r="B17719" s="5">
        <f>IFERROR(__xludf.DUMMYFUNCTION("""COMPUTED_VALUE"""),44741.0)</f>
        <v>44741</v>
      </c>
      <c r="C17719" s="6">
        <f>IFERROR(__xludf.DUMMYFUNCTION("""COMPUTED_VALUE"""),0.3469560185185401)</f>
        <v>0.3469560185</v>
      </c>
      <c r="D17719" s="4">
        <f>IFERROR(__xludf.DUMMYFUNCTION("""COMPUTED_VALUE"""),12.875364)</f>
        <v>12.875364</v>
      </c>
      <c r="E17719" s="4">
        <f>IFERROR(__xludf.DUMMYFUNCTION("""COMPUTED_VALUE"""),80.078534)</f>
        <v>80.078534</v>
      </c>
      <c r="F17719" s="4">
        <f>IFERROR(__xludf.DUMMYFUNCTION("""COMPUTED_VALUE"""),2846.0)</f>
        <v>2846</v>
      </c>
      <c r="G17719" s="4">
        <f>IFERROR(__xludf.DUMMYFUNCTION("""COMPUTED_VALUE"""),52.0)</f>
        <v>52</v>
      </c>
      <c r="H17719" s="4"/>
      <c r="I17719" s="4"/>
    </row>
    <row r="17720">
      <c r="A17720" s="4" t="str">
        <f>IFERROR(__xludf.DUMMYFUNCTION("""COMPUTED_VALUE"""),"cas_hmw")</f>
        <v>cas_hmw</v>
      </c>
      <c r="B17720" s="5">
        <f>IFERROR(__xludf.DUMMYFUNCTION("""COMPUTED_VALUE"""),44741.0)</f>
        <v>44741</v>
      </c>
      <c r="C17720" s="6">
        <f>IFERROR(__xludf.DUMMYFUNCTION("""COMPUTED_VALUE"""),0.34703703703780775)</f>
        <v>0.347037037</v>
      </c>
      <c r="D17720" s="4">
        <f>IFERROR(__xludf.DUMMYFUNCTION("""COMPUTED_VALUE"""),12.87654)</f>
        <v>12.87654</v>
      </c>
      <c r="E17720" s="4">
        <f>IFERROR(__xludf.DUMMYFUNCTION("""COMPUTED_VALUE"""),80.078934)</f>
        <v>80.078934</v>
      </c>
      <c r="F17720" s="4">
        <f>IFERROR(__xludf.DUMMYFUNCTION("""COMPUTED_VALUE"""),2846.0)</f>
        <v>2846</v>
      </c>
      <c r="G17720" s="4">
        <f>IFERROR(__xludf.DUMMYFUNCTION("""COMPUTED_VALUE"""),49.0)</f>
        <v>49</v>
      </c>
      <c r="H17720" s="4"/>
      <c r="I17720" s="4"/>
    </row>
    <row r="17721">
      <c r="A17721" s="4" t="str">
        <f>IFERROR(__xludf.DUMMYFUNCTION("""COMPUTED_VALUE"""),"cas_hmw")</f>
        <v>cas_hmw</v>
      </c>
      <c r="B17721" s="5">
        <f>IFERROR(__xludf.DUMMYFUNCTION("""COMPUTED_VALUE"""),44741.0)</f>
        <v>44741</v>
      </c>
      <c r="C17721" s="6">
        <f>IFERROR(__xludf.DUMMYFUNCTION("""COMPUTED_VALUE"""),0.34714120370335877)</f>
        <v>0.3471412037</v>
      </c>
      <c r="D17721" s="4">
        <f>IFERROR(__xludf.DUMMYFUNCTION("""COMPUTED_VALUE"""),12.877689)</f>
        <v>12.877689</v>
      </c>
      <c r="E17721" s="4">
        <f>IFERROR(__xludf.DUMMYFUNCTION("""COMPUTED_VALUE"""),80.079364)</f>
        <v>80.079364</v>
      </c>
      <c r="F17721" s="4">
        <f>IFERROR(__xludf.DUMMYFUNCTION("""COMPUTED_VALUE"""),2846.0)</f>
        <v>2846</v>
      </c>
      <c r="G17721" s="4">
        <f>IFERROR(__xludf.DUMMYFUNCTION("""COMPUTED_VALUE"""),43.0)</f>
        <v>43</v>
      </c>
      <c r="H17721" s="4"/>
      <c r="I17721" s="4"/>
    </row>
    <row r="17722">
      <c r="A17722" s="4" t="str">
        <f>IFERROR(__xludf.DUMMYFUNCTION("""COMPUTED_VALUE"""),"cas_hmw")</f>
        <v>cas_hmw</v>
      </c>
      <c r="B17722" s="5">
        <f>IFERROR(__xludf.DUMMYFUNCTION("""COMPUTED_VALUE"""),44741.0)</f>
        <v>44741</v>
      </c>
      <c r="C17722" s="6">
        <f>IFERROR(__xludf.DUMMYFUNCTION("""COMPUTED_VALUE"""),0.3473842592575238)</f>
        <v>0.3473842593</v>
      </c>
      <c r="D17722" s="4">
        <f>IFERROR(__xludf.DUMMYFUNCTION("""COMPUTED_VALUE"""),12.919602)</f>
        <v>12.919602</v>
      </c>
      <c r="E17722" s="4">
        <f>IFERROR(__xludf.DUMMYFUNCTION("""COMPUTED_VALUE"""),80.110571)</f>
        <v>80.110571</v>
      </c>
      <c r="F17722" s="4">
        <f>IFERROR(__xludf.DUMMYFUNCTION("""COMPUTED_VALUE"""),805.0)</f>
        <v>805</v>
      </c>
      <c r="G17722" s="4">
        <f>IFERROR(__xludf.DUMMYFUNCTION("""COMPUTED_VALUE"""),56.0)</f>
        <v>56</v>
      </c>
      <c r="H17722" s="4"/>
      <c r="I17722" s="4"/>
    </row>
    <row r="17723">
      <c r="A17723" s="4" t="str">
        <f>IFERROR(__xludf.DUMMYFUNCTION("""COMPUTED_VALUE"""),"cas_hmw")</f>
        <v>cas_hmw</v>
      </c>
      <c r="B17723" s="5">
        <f>IFERROR(__xludf.DUMMYFUNCTION("""COMPUTED_VALUE"""),44741.0)</f>
        <v>44741</v>
      </c>
      <c r="C17723" s="6">
        <f>IFERROR(__xludf.DUMMYFUNCTION("""COMPUTED_VALUE"""),0.34802083333488554)</f>
        <v>0.3480208333</v>
      </c>
      <c r="D17723" s="4">
        <f>IFERROR(__xludf.DUMMYFUNCTION("""COMPUTED_VALUE"""),12.917104)</f>
        <v>12.917104</v>
      </c>
      <c r="E17723" s="4">
        <f>IFERROR(__xludf.DUMMYFUNCTION("""COMPUTED_VALUE"""),80.107378)</f>
        <v>80.107378</v>
      </c>
      <c r="F17723" s="4">
        <f>IFERROR(__xludf.DUMMYFUNCTION("""COMPUTED_VALUE"""),805.0)</f>
        <v>805</v>
      </c>
      <c r="G17723" s="4">
        <f>IFERROR(__xludf.DUMMYFUNCTION("""COMPUTED_VALUE"""),16.0)</f>
        <v>16</v>
      </c>
      <c r="H17723" s="4"/>
      <c r="I17723" s="4"/>
    </row>
    <row r="17724">
      <c r="A17724" s="4" t="str">
        <f>IFERROR(__xludf.DUMMYFUNCTION("""COMPUTED_VALUE"""),"cas_hmw")</f>
        <v>cas_hmw</v>
      </c>
      <c r="B17724" s="5">
        <f>IFERROR(__xludf.DUMMYFUNCTION("""COMPUTED_VALUE"""),44741.0)</f>
        <v>44741</v>
      </c>
      <c r="C17724" s="6">
        <f>IFERROR(__xludf.DUMMYFUNCTION("""COMPUTED_VALUE"""),0.34802083333488554)</f>
        <v>0.3480208333</v>
      </c>
      <c r="D17724" s="4">
        <f>IFERROR(__xludf.DUMMYFUNCTION("""COMPUTED_VALUE"""),12.901682)</f>
        <v>12.901682</v>
      </c>
      <c r="E17724" s="4">
        <f>IFERROR(__xludf.DUMMYFUNCTION("""COMPUTED_VALUE"""),80.092831)</f>
        <v>80.092831</v>
      </c>
      <c r="F17724" s="4">
        <f>IFERROR(__xludf.DUMMYFUNCTION("""COMPUTED_VALUE"""),5339.0)</f>
        <v>5339</v>
      </c>
      <c r="G17724" s="4">
        <f>IFERROR(__xludf.DUMMYFUNCTION("""COMPUTED_VALUE"""),49.0)</f>
        <v>49</v>
      </c>
      <c r="H17724" s="4"/>
      <c r="I17724" s="4"/>
    </row>
    <row r="17725">
      <c r="A17725" s="4" t="str">
        <f>IFERROR(__xludf.DUMMYFUNCTION("""COMPUTED_VALUE"""),"cas_hmw")</f>
        <v>cas_hmw</v>
      </c>
      <c r="B17725" s="5">
        <f>IFERROR(__xludf.DUMMYFUNCTION("""COMPUTED_VALUE"""),44741.0)</f>
        <v>44741</v>
      </c>
      <c r="C17725" s="6">
        <f>IFERROR(__xludf.DUMMYFUNCTION("""COMPUTED_VALUE"""),0.3480324074080272)</f>
        <v>0.3480324074</v>
      </c>
      <c r="D17725" s="4">
        <f>IFERROR(__xludf.DUMMYFUNCTION("""COMPUTED_VALUE"""),12.917104)</f>
        <v>12.917104</v>
      </c>
      <c r="E17725" s="4">
        <f>IFERROR(__xludf.DUMMYFUNCTION("""COMPUTED_VALUE"""),80.107378)</f>
        <v>80.107378</v>
      </c>
      <c r="F17725" s="4">
        <f>IFERROR(__xludf.DUMMYFUNCTION("""COMPUTED_VALUE"""),805.0)</f>
        <v>805</v>
      </c>
      <c r="G17725" s="4">
        <f>IFERROR(__xludf.DUMMYFUNCTION("""COMPUTED_VALUE"""),16.0)</f>
        <v>16</v>
      </c>
      <c r="H17725" s="4"/>
      <c r="I17725" s="4"/>
    </row>
    <row r="17726">
      <c r="A17726" s="4" t="str">
        <f>IFERROR(__xludf.DUMMYFUNCTION("""COMPUTED_VALUE"""),"cas_hmw")</f>
        <v>cas_hmw</v>
      </c>
      <c r="B17726" s="5">
        <f>IFERROR(__xludf.DUMMYFUNCTION("""COMPUTED_VALUE"""),44741.0)</f>
        <v>44741</v>
      </c>
      <c r="C17726" s="6">
        <f>IFERROR(__xludf.DUMMYFUNCTION("""COMPUTED_VALUE"""),0.3481828703697829)</f>
        <v>0.3481828704</v>
      </c>
      <c r="D17726" s="4">
        <f>IFERROR(__xludf.DUMMYFUNCTION("""COMPUTED_VALUE"""),12.916538)</f>
        <v>12.916538</v>
      </c>
      <c r="E17726" s="4">
        <f>IFERROR(__xludf.DUMMYFUNCTION("""COMPUTED_VALUE"""),80.106303)</f>
        <v>80.106303</v>
      </c>
      <c r="F17726" s="4">
        <f>IFERROR(__xludf.DUMMYFUNCTION("""COMPUTED_VALUE"""),805.0)</f>
        <v>805</v>
      </c>
      <c r="G17726" s="4">
        <f>IFERROR(__xludf.DUMMYFUNCTION("""COMPUTED_VALUE"""),44.0)</f>
        <v>44</v>
      </c>
      <c r="H17726" s="4"/>
      <c r="I17726" s="4"/>
    </row>
    <row r="17727">
      <c r="A17727" s="4" t="str">
        <f>IFERROR(__xludf.DUMMYFUNCTION("""COMPUTED_VALUE"""),"cas_hmw")</f>
        <v>cas_hmw</v>
      </c>
      <c r="B17727" s="5">
        <f>IFERROR(__xludf.DUMMYFUNCTION("""COMPUTED_VALUE"""),44741.0)</f>
        <v>44741</v>
      </c>
      <c r="C17727" s="6">
        <f>IFERROR(__xludf.DUMMYFUNCTION("""COMPUTED_VALUE"""),0.3484027777776646)</f>
        <v>0.3484027778</v>
      </c>
      <c r="D17727" s="4">
        <f>IFERROR(__xludf.DUMMYFUNCTION("""COMPUTED_VALUE"""),12.898977)</f>
        <v>12.898977</v>
      </c>
      <c r="E17727" s="4">
        <f>IFERROR(__xludf.DUMMYFUNCTION("""COMPUTED_VALUE"""),80.090809)</f>
        <v>80.090809</v>
      </c>
      <c r="F17727" s="4">
        <f>IFERROR(__xludf.DUMMYFUNCTION("""COMPUTED_VALUE"""),5339.0)</f>
        <v>5339</v>
      </c>
      <c r="G17727" s="4">
        <f>IFERROR(__xludf.DUMMYFUNCTION("""COMPUTED_VALUE"""),59.0)</f>
        <v>59</v>
      </c>
      <c r="H17727" s="4"/>
      <c r="I17727" s="4"/>
    </row>
    <row r="17728">
      <c r="A17728" s="4" t="str">
        <f>IFERROR(__xludf.DUMMYFUNCTION("""COMPUTED_VALUE"""),"cas_hmw")</f>
        <v>cas_hmw</v>
      </c>
      <c r="B17728" s="5">
        <f>IFERROR(__xludf.DUMMYFUNCTION("""COMPUTED_VALUE"""),44741.0)</f>
        <v>44741</v>
      </c>
      <c r="C17728" s="6">
        <f>IFERROR(__xludf.DUMMYFUNCTION("""COMPUTED_VALUE"""),0.3484722222237906)</f>
        <v>0.3484722222</v>
      </c>
      <c r="D17728" s="4">
        <f>IFERROR(__xludf.DUMMYFUNCTION("""COMPUTED_VALUE"""),12.915559)</f>
        <v>12.915559</v>
      </c>
      <c r="E17728" s="4">
        <f>IFERROR(__xludf.DUMMYFUNCTION("""COMPUTED_VALUE"""),80.104525)</f>
        <v>80.104525</v>
      </c>
      <c r="F17728" s="4">
        <f>IFERROR(__xludf.DUMMYFUNCTION("""COMPUTED_VALUE"""),805.0)</f>
        <v>805</v>
      </c>
      <c r="G17728" s="4">
        <f>IFERROR(__xludf.DUMMYFUNCTION("""COMPUTED_VALUE"""),57.0)</f>
        <v>57</v>
      </c>
      <c r="H17728" s="4"/>
      <c r="I17728" s="4"/>
    </row>
    <row r="17729">
      <c r="A17729" s="4" t="str">
        <f>IFERROR(__xludf.DUMMYFUNCTION("""COMPUTED_VALUE"""),"cas_hmw")</f>
        <v>cas_hmw</v>
      </c>
      <c r="B17729" s="5">
        <f>IFERROR(__xludf.DUMMYFUNCTION("""COMPUTED_VALUE"""),44741.0)</f>
        <v>44741</v>
      </c>
      <c r="C17729" s="6">
        <f>IFERROR(__xludf.DUMMYFUNCTION("""COMPUTED_VALUE"""),0.34924768518612836)</f>
        <v>0.3492476852</v>
      </c>
      <c r="D17729" s="4">
        <f>IFERROR(__xludf.DUMMYFUNCTION("""COMPUTED_VALUE"""),12.909275)</f>
        <v>12.909275</v>
      </c>
      <c r="E17729" s="4">
        <f>IFERROR(__xludf.DUMMYFUNCTION("""COMPUTED_VALUE"""),80.099128)</f>
        <v>80.099128</v>
      </c>
      <c r="F17729" s="4">
        <f>IFERROR(__xludf.DUMMYFUNCTION("""COMPUTED_VALUE"""),805.0)</f>
        <v>805</v>
      </c>
      <c r="G17729" s="4">
        <f>IFERROR(__xludf.DUMMYFUNCTION("""COMPUTED_VALUE"""),53.0)</f>
        <v>53</v>
      </c>
      <c r="H17729" s="4"/>
      <c r="I17729" s="4"/>
    </row>
    <row r="17730">
      <c r="A17730" s="4" t="str">
        <f>IFERROR(__xludf.DUMMYFUNCTION("""COMPUTED_VALUE"""),"cas_hmw")</f>
        <v>cas_hmw</v>
      </c>
      <c r="B17730" s="5">
        <f>IFERROR(__xludf.DUMMYFUNCTION("""COMPUTED_VALUE"""),44741.0)</f>
        <v>44741</v>
      </c>
      <c r="C17730" s="6">
        <f>IFERROR(__xludf.DUMMYFUNCTION("""COMPUTED_VALUE"""),0.3493171296286164)</f>
        <v>0.3493171296</v>
      </c>
      <c r="D17730" s="4">
        <f>IFERROR(__xludf.DUMMYFUNCTION("""COMPUTED_VALUE"""),12.908061)</f>
        <v>12.908061</v>
      </c>
      <c r="E17730" s="4">
        <f>IFERROR(__xludf.DUMMYFUNCTION("""COMPUTED_VALUE"""),80.097738)</f>
        <v>80.097738</v>
      </c>
      <c r="F17730" s="4">
        <f>IFERROR(__xludf.DUMMYFUNCTION("""COMPUTED_VALUE"""),805.0)</f>
        <v>805</v>
      </c>
      <c r="G17730" s="4">
        <f>IFERROR(__xludf.DUMMYFUNCTION("""COMPUTED_VALUE"""),44.0)</f>
        <v>44</v>
      </c>
      <c r="H17730" s="4"/>
      <c r="I17730" s="4"/>
    </row>
    <row r="17731">
      <c r="A17731" s="4" t="str">
        <f>IFERROR(__xludf.DUMMYFUNCTION("""COMPUTED_VALUE"""),"cas_hmw")</f>
        <v>cas_hmw</v>
      </c>
      <c r="B17731" s="5">
        <f>IFERROR(__xludf.DUMMYFUNCTION("""COMPUTED_VALUE"""),44741.0)</f>
        <v>44741</v>
      </c>
      <c r="C17731" s="6">
        <f>IFERROR(__xludf.DUMMYFUNCTION("""COMPUTED_VALUE"""),0.3495949074058444)</f>
        <v>0.3495949074</v>
      </c>
      <c r="D17731" s="4">
        <f>IFERROR(__xludf.DUMMYFUNCTION("""COMPUTED_VALUE"""),12.907094)</f>
        <v>12.907094</v>
      </c>
      <c r="E17731" s="4">
        <f>IFERROR(__xludf.DUMMYFUNCTION("""COMPUTED_VALUE"""),80.097003)</f>
        <v>80.097003</v>
      </c>
      <c r="F17731" s="4">
        <f>IFERROR(__xludf.DUMMYFUNCTION("""COMPUTED_VALUE"""),805.0)</f>
        <v>805</v>
      </c>
      <c r="G17731" s="4">
        <f>IFERROR(__xludf.DUMMYFUNCTION("""COMPUTED_VALUE"""),14.0)</f>
        <v>14</v>
      </c>
      <c r="H17731" s="4"/>
      <c r="I17731" s="4"/>
    </row>
    <row r="17732">
      <c r="A17732" s="4" t="str">
        <f>IFERROR(__xludf.DUMMYFUNCTION("""COMPUTED_VALUE"""),"cas_hmw")</f>
        <v>cas_hmw</v>
      </c>
      <c r="B17732" s="5">
        <f>IFERROR(__xludf.DUMMYFUNCTION("""COMPUTED_VALUE"""),44741.0)</f>
        <v>44741</v>
      </c>
      <c r="C17732" s="6">
        <f>IFERROR(__xludf.DUMMYFUNCTION("""COMPUTED_VALUE"""),0.3495949074058444)</f>
        <v>0.3495949074</v>
      </c>
      <c r="D17732" s="4">
        <f>IFERROR(__xludf.DUMMYFUNCTION("""COMPUTED_VALUE"""),12.907094)</f>
        <v>12.907094</v>
      </c>
      <c r="E17732" s="4">
        <f>IFERROR(__xludf.DUMMYFUNCTION("""COMPUTED_VALUE"""),80.097003)</f>
        <v>80.097003</v>
      </c>
      <c r="F17732" s="4">
        <f>IFERROR(__xludf.DUMMYFUNCTION("""COMPUTED_VALUE"""),805.0)</f>
        <v>805</v>
      </c>
      <c r="G17732" s="4">
        <f>IFERROR(__xludf.DUMMYFUNCTION("""COMPUTED_VALUE"""),14.0)</f>
        <v>14</v>
      </c>
      <c r="H17732" s="4"/>
      <c r="I17732" s="4"/>
    </row>
    <row r="17733">
      <c r="A17733" s="4" t="str">
        <f>IFERROR(__xludf.DUMMYFUNCTION("""COMPUTED_VALUE"""),"cas_hmw")</f>
        <v>cas_hmw</v>
      </c>
      <c r="B17733" s="5">
        <f>IFERROR(__xludf.DUMMYFUNCTION("""COMPUTED_VALUE"""),44741.0)</f>
        <v>44741</v>
      </c>
      <c r="C17733" s="6">
        <f>IFERROR(__xludf.DUMMYFUNCTION("""COMPUTED_VALUE"""),0.351458333334449)</f>
        <v>0.3514583333</v>
      </c>
      <c r="D17733" s="4">
        <f>IFERROR(__xludf.DUMMYFUNCTION("""COMPUTED_VALUE"""),12.878891)</f>
        <v>12.878891</v>
      </c>
      <c r="E17733" s="4">
        <f>IFERROR(__xludf.DUMMYFUNCTION("""COMPUTED_VALUE"""),80.080997)</f>
        <v>80.080997</v>
      </c>
      <c r="F17733" s="4">
        <f>IFERROR(__xludf.DUMMYFUNCTION("""COMPUTED_VALUE"""),5339.0)</f>
        <v>5339</v>
      </c>
      <c r="G17733" s="4">
        <f>IFERROR(__xludf.DUMMYFUNCTION("""COMPUTED_VALUE"""),22.0)</f>
        <v>22</v>
      </c>
      <c r="H17733" s="4"/>
      <c r="I17733" s="4"/>
    </row>
    <row r="17734">
      <c r="A17734" s="4" t="str">
        <f>IFERROR(__xludf.DUMMYFUNCTION("""COMPUTED_VALUE"""),"cas_hmw")</f>
        <v>cas_hmw</v>
      </c>
      <c r="B17734" s="5">
        <f>IFERROR(__xludf.DUMMYFUNCTION("""COMPUTED_VALUE"""),44741.0)</f>
        <v>44741</v>
      </c>
      <c r="C17734" s="6">
        <f>IFERROR(__xludf.DUMMYFUNCTION("""COMPUTED_VALUE"""),0.35146990740759065)</f>
        <v>0.3514699074</v>
      </c>
      <c r="D17734" s="4">
        <f>IFERROR(__xludf.DUMMYFUNCTION("""COMPUTED_VALUE"""),12.878891)</f>
        <v>12.878891</v>
      </c>
      <c r="E17734" s="4">
        <f>IFERROR(__xludf.DUMMYFUNCTION("""COMPUTED_VALUE"""),80.080997)</f>
        <v>80.080997</v>
      </c>
      <c r="F17734" s="4">
        <f>IFERROR(__xludf.DUMMYFUNCTION("""COMPUTED_VALUE"""),5339.0)</f>
        <v>5339</v>
      </c>
      <c r="G17734" s="4">
        <f>IFERROR(__xludf.DUMMYFUNCTION("""COMPUTED_VALUE"""),22.0)</f>
        <v>22</v>
      </c>
      <c r="H17734" s="4"/>
      <c r="I17734" s="4"/>
    </row>
    <row r="17735">
      <c r="A17735" s="4" t="str">
        <f>IFERROR(__xludf.DUMMYFUNCTION("""COMPUTED_VALUE"""),"cas_hmw")</f>
        <v>cas_hmw</v>
      </c>
      <c r="B17735" s="5">
        <f>IFERROR(__xludf.DUMMYFUNCTION("""COMPUTED_VALUE"""),44741.0)</f>
        <v>44741</v>
      </c>
      <c r="C17735" s="6">
        <f>IFERROR(__xludf.DUMMYFUNCTION("""COMPUTED_VALUE"""),0.3526851851856918)</f>
        <v>0.3526851852</v>
      </c>
      <c r="D17735" s="4">
        <f>IFERROR(__xludf.DUMMYFUNCTION("""COMPUTED_VALUE"""),12.889896)</f>
        <v>12.889896</v>
      </c>
      <c r="E17735" s="4">
        <f>IFERROR(__xludf.DUMMYFUNCTION("""COMPUTED_VALUE"""),80.084566)</f>
        <v>80.084566</v>
      </c>
      <c r="F17735" s="4">
        <f>IFERROR(__xludf.DUMMYFUNCTION("""COMPUTED_VALUE"""),805.0)</f>
        <v>805</v>
      </c>
      <c r="G17735" s="4">
        <f>IFERROR(__xludf.DUMMYFUNCTION("""COMPUTED_VALUE"""),45.0)</f>
        <v>45</v>
      </c>
      <c r="H17735" s="4"/>
      <c r="I17735" s="4"/>
    </row>
    <row r="17736">
      <c r="A17736" s="4" t="str">
        <f>IFERROR(__xludf.DUMMYFUNCTION("""COMPUTED_VALUE"""),"cas_hmw")</f>
        <v>cas_hmw</v>
      </c>
      <c r="B17736" s="5">
        <f>IFERROR(__xludf.DUMMYFUNCTION("""COMPUTED_VALUE"""),44741.0)</f>
        <v>44741</v>
      </c>
      <c r="C17736" s="6">
        <f>IFERROR(__xludf.DUMMYFUNCTION("""COMPUTED_VALUE"""),0.3534259259249666)</f>
        <v>0.3534259259</v>
      </c>
      <c r="D17736" s="4">
        <f>IFERROR(__xludf.DUMMYFUNCTION("""COMPUTED_VALUE"""),12.881131)</f>
        <v>12.881131</v>
      </c>
      <c r="E17736" s="4">
        <f>IFERROR(__xludf.DUMMYFUNCTION("""COMPUTED_VALUE"""),80.081088)</f>
        <v>80.081088</v>
      </c>
      <c r="F17736" s="4">
        <f>IFERROR(__xludf.DUMMYFUNCTION("""COMPUTED_VALUE"""),805.0)</f>
        <v>805</v>
      </c>
      <c r="G17736" s="4">
        <f>IFERROR(__xludf.DUMMYFUNCTION("""COMPUTED_VALUE"""),38.0)</f>
        <v>38</v>
      </c>
      <c r="H17736" s="4"/>
      <c r="I17736" s="4"/>
    </row>
    <row r="17737">
      <c r="A17737" s="4" t="str">
        <f>IFERROR(__xludf.DUMMYFUNCTION("""COMPUTED_VALUE"""),"cas_hmw")</f>
        <v>cas_hmw</v>
      </c>
      <c r="B17737" s="5">
        <f>IFERROR(__xludf.DUMMYFUNCTION("""COMPUTED_VALUE"""),44741.0)</f>
        <v>44741</v>
      </c>
      <c r="C17737" s="6">
        <f>IFERROR(__xludf.DUMMYFUNCTION("""COMPUTED_VALUE"""),0.6721990740734327)</f>
        <v>0.6721990741</v>
      </c>
      <c r="D17737" s="4">
        <f>IFERROR(__xludf.DUMMYFUNCTION("""COMPUTED_VALUE"""),12.877916)</f>
        <v>12.877916</v>
      </c>
      <c r="E17737" s="4">
        <f>IFERROR(__xludf.DUMMYFUNCTION("""COMPUTED_VALUE"""),80.083497)</f>
        <v>80.083497</v>
      </c>
      <c r="F17737" s="4">
        <f>IFERROR(__xludf.DUMMYFUNCTION("""COMPUTED_VALUE"""),805.0)</f>
        <v>805</v>
      </c>
      <c r="G17737" s="4">
        <f>IFERROR(__xludf.DUMMYFUNCTION("""COMPUTED_VALUE"""),45.0)</f>
        <v>45</v>
      </c>
      <c r="H17737" s="4"/>
      <c r="I17737" s="4"/>
    </row>
    <row r="17738">
      <c r="A17738" s="4" t="str">
        <f>IFERROR(__xludf.DUMMYFUNCTION("""COMPUTED_VALUE"""),"cas_hmw")</f>
        <v>cas_hmw</v>
      </c>
      <c r="B17738" s="5">
        <f>IFERROR(__xludf.DUMMYFUNCTION("""COMPUTED_VALUE"""),44741.0)</f>
        <v>44741</v>
      </c>
      <c r="C17738" s="6">
        <f>IFERROR(__xludf.DUMMYFUNCTION("""COMPUTED_VALUE"""),0.6759490740732872)</f>
        <v>0.6759490741</v>
      </c>
      <c r="D17738" s="4">
        <f>IFERROR(__xludf.DUMMYFUNCTION("""COMPUTED_VALUE"""),12.881903)</f>
        <v>12.881903</v>
      </c>
      <c r="E17738" s="4">
        <f>IFERROR(__xludf.DUMMYFUNCTION("""COMPUTED_VALUE"""),80.080869)</f>
        <v>80.080869</v>
      </c>
      <c r="F17738" s="4">
        <f>IFERROR(__xludf.DUMMYFUNCTION("""COMPUTED_VALUE"""),805.0)</f>
        <v>805</v>
      </c>
      <c r="G17738" s="4">
        <f>IFERROR(__xludf.DUMMYFUNCTION("""COMPUTED_VALUE"""),45.0)</f>
        <v>45</v>
      </c>
      <c r="H17738" s="4"/>
      <c r="I17738" s="4"/>
    </row>
    <row r="17739">
      <c r="A17739" s="4" t="str">
        <f>IFERROR(__xludf.DUMMYFUNCTION("""COMPUTED_VALUE"""),"cas_hmw")</f>
        <v>cas_hmw</v>
      </c>
      <c r="B17739" s="5">
        <f>IFERROR(__xludf.DUMMYFUNCTION("""COMPUTED_VALUE"""),44741.0)</f>
        <v>44741</v>
      </c>
      <c r="C17739" s="6">
        <f>IFERROR(__xludf.DUMMYFUNCTION("""COMPUTED_VALUE"""),0.6759953703694919)</f>
        <v>0.6759953704</v>
      </c>
      <c r="D17739" s="4">
        <f>IFERROR(__xludf.DUMMYFUNCTION("""COMPUTED_VALUE"""),12.871679)</f>
        <v>12.871679</v>
      </c>
      <c r="E17739" s="4">
        <f>IFERROR(__xludf.DUMMYFUNCTION("""COMPUTED_VALUE"""),80.077327)</f>
        <v>80.077327</v>
      </c>
      <c r="F17739" s="4">
        <f>IFERROR(__xludf.DUMMYFUNCTION("""COMPUTED_VALUE"""),2846.0)</f>
        <v>2846</v>
      </c>
      <c r="G17739" s="4">
        <f>IFERROR(__xludf.DUMMYFUNCTION("""COMPUTED_VALUE"""),57.0)</f>
        <v>57</v>
      </c>
      <c r="H17739" s="4"/>
      <c r="I17739" s="4"/>
    </row>
    <row r="17740">
      <c r="A17740" s="4" t="str">
        <f>IFERROR(__xludf.DUMMYFUNCTION("""COMPUTED_VALUE"""),"cas_hmw")</f>
        <v>cas_hmw</v>
      </c>
      <c r="B17740" s="5">
        <f>IFERROR(__xludf.DUMMYFUNCTION("""COMPUTED_VALUE"""),44741.0)</f>
        <v>44741</v>
      </c>
      <c r="C17740" s="6">
        <f>IFERROR(__xludf.DUMMYFUNCTION("""COMPUTED_VALUE"""),0.676793981481751)</f>
        <v>0.6767939815</v>
      </c>
      <c r="D17740" s="4">
        <f>IFERROR(__xludf.DUMMYFUNCTION("""COMPUTED_VALUE"""),12.863905)</f>
        <v>12.863905</v>
      </c>
      <c r="E17740" s="4">
        <f>IFERROR(__xludf.DUMMYFUNCTION("""COMPUTED_VALUE"""),80.074336)</f>
        <v>80.074336</v>
      </c>
      <c r="F17740" s="4">
        <f>IFERROR(__xludf.DUMMYFUNCTION("""COMPUTED_VALUE"""),2846.0)</f>
        <v>2846</v>
      </c>
      <c r="G17740" s="4">
        <f>IFERROR(__xludf.DUMMYFUNCTION("""COMPUTED_VALUE"""),49.0)</f>
        <v>49</v>
      </c>
      <c r="H17740" s="4"/>
      <c r="I17740" s="4"/>
    </row>
    <row r="17741">
      <c r="A17741" s="4" t="str">
        <f>IFERROR(__xludf.DUMMYFUNCTION("""COMPUTED_VALUE"""),"cas_hmw")</f>
        <v>cas_hmw</v>
      </c>
      <c r="B17741" s="5">
        <f>IFERROR(__xludf.DUMMYFUNCTION("""COMPUTED_VALUE"""),44741.0)</f>
        <v>44741</v>
      </c>
      <c r="C17741" s="6">
        <f>IFERROR(__xludf.DUMMYFUNCTION("""COMPUTED_VALUE"""),0.6778472222213168)</f>
        <v>0.6778472222</v>
      </c>
      <c r="D17741" s="4">
        <f>IFERROR(__xludf.DUMMYFUNCTION("""COMPUTED_VALUE"""),12.860005)</f>
        <v>12.860005</v>
      </c>
      <c r="E17741" s="4">
        <f>IFERROR(__xludf.DUMMYFUNCTION("""COMPUTED_VALUE"""),80.072353)</f>
        <v>80.072353</v>
      </c>
      <c r="F17741" s="4">
        <f>IFERROR(__xludf.DUMMYFUNCTION("""COMPUTED_VALUE"""),2846.0)</f>
        <v>2846</v>
      </c>
      <c r="G17741" s="4">
        <f>IFERROR(__xludf.DUMMYFUNCTION("""COMPUTED_VALUE"""),21.0)</f>
        <v>21</v>
      </c>
      <c r="H17741" s="4"/>
      <c r="I17741" s="4"/>
    </row>
    <row r="17742">
      <c r="A17742" s="4" t="str">
        <f>IFERROR(__xludf.DUMMYFUNCTION("""COMPUTED_VALUE"""),"cas_hmw")</f>
        <v>cas_hmw</v>
      </c>
      <c r="B17742" s="5">
        <f>IFERROR(__xludf.DUMMYFUNCTION("""COMPUTED_VALUE"""),44741.0)</f>
        <v>44741</v>
      </c>
      <c r="C17742" s="6">
        <f>IFERROR(__xludf.DUMMYFUNCTION("""COMPUTED_VALUE"""),0.6781712962947495)</f>
        <v>0.6781712963</v>
      </c>
      <c r="D17742" s="4">
        <f>IFERROR(__xludf.DUMMYFUNCTION("""COMPUTED_VALUE"""),12.85797)</f>
        <v>12.85797</v>
      </c>
      <c r="E17742" s="4">
        <f>IFERROR(__xludf.DUMMYFUNCTION("""COMPUTED_VALUE"""),80.070886)</f>
        <v>80.070886</v>
      </c>
      <c r="F17742" s="4">
        <f>IFERROR(__xludf.DUMMYFUNCTION("""COMPUTED_VALUE"""),2846.0)</f>
        <v>2846</v>
      </c>
      <c r="G17742" s="4">
        <f>IFERROR(__xludf.DUMMYFUNCTION("""COMPUTED_VALUE"""),43.0)</f>
        <v>43</v>
      </c>
      <c r="H17742" s="4"/>
      <c r="I17742" s="4"/>
    </row>
    <row r="17743">
      <c r="A17743" s="4" t="str">
        <f>IFERROR(__xludf.DUMMYFUNCTION("""COMPUTED_VALUE"""),"cas_hmw")</f>
        <v>cas_hmw</v>
      </c>
      <c r="B17743" s="5">
        <f>IFERROR(__xludf.DUMMYFUNCTION("""COMPUTED_VALUE"""),44741.0)</f>
        <v>44741</v>
      </c>
      <c r="C17743" s="6">
        <f>IFERROR(__xludf.DUMMYFUNCTION("""COMPUTED_VALUE"""),0.6782175925909542)</f>
        <v>0.6782175926</v>
      </c>
      <c r="D17743" s="4">
        <f>IFERROR(__xludf.DUMMYFUNCTION("""COMPUTED_VALUE"""),12.905368)</f>
        <v>12.905368</v>
      </c>
      <c r="E17743" s="4">
        <f>IFERROR(__xludf.DUMMYFUNCTION("""COMPUTED_VALUE"""),80.095375)</f>
        <v>80.095375</v>
      </c>
      <c r="F17743" s="4">
        <f>IFERROR(__xludf.DUMMYFUNCTION("""COMPUTED_VALUE"""),805.0)</f>
        <v>805</v>
      </c>
      <c r="G17743" s="4">
        <f>IFERROR(__xludf.DUMMYFUNCTION("""COMPUTED_VALUE"""),52.0)</f>
        <v>52</v>
      </c>
      <c r="H17743" s="4"/>
      <c r="I17743" s="4"/>
    </row>
    <row r="17744">
      <c r="A17744" s="4" t="str">
        <f>IFERROR(__xludf.DUMMYFUNCTION("""COMPUTED_VALUE"""),"cas_hmw")</f>
        <v>cas_hmw</v>
      </c>
      <c r="B17744" s="5">
        <f>IFERROR(__xludf.DUMMYFUNCTION("""COMPUTED_VALUE"""),44741.0)</f>
        <v>44741</v>
      </c>
      <c r="C17744" s="6">
        <f>IFERROR(__xludf.DUMMYFUNCTION("""COMPUTED_VALUE"""),0.6783217592601432)</f>
        <v>0.6783217593</v>
      </c>
      <c r="D17744" s="4">
        <f>IFERROR(__xludf.DUMMYFUNCTION("""COMPUTED_VALUE"""),12.905368)</f>
        <v>12.905368</v>
      </c>
      <c r="E17744" s="4">
        <f>IFERROR(__xludf.DUMMYFUNCTION("""COMPUTED_VALUE"""),80.095375)</f>
        <v>80.095375</v>
      </c>
      <c r="F17744" s="4">
        <f>IFERROR(__xludf.DUMMYFUNCTION("""COMPUTED_VALUE"""),805.0)</f>
        <v>805</v>
      </c>
      <c r="G17744" s="4">
        <f>IFERROR(__xludf.DUMMYFUNCTION("""COMPUTED_VALUE"""),52.0)</f>
        <v>52</v>
      </c>
      <c r="H17744" s="4"/>
      <c r="I17744" s="4"/>
    </row>
    <row r="17745">
      <c r="A17745" s="4" t="str">
        <f>IFERROR(__xludf.DUMMYFUNCTION("""COMPUTED_VALUE"""),"cas_hmw")</f>
        <v>cas_hmw</v>
      </c>
      <c r="B17745" s="5">
        <f>IFERROR(__xludf.DUMMYFUNCTION("""COMPUTED_VALUE"""),44741.0)</f>
        <v>44741</v>
      </c>
      <c r="C17745" s="6">
        <f>IFERROR(__xludf.DUMMYFUNCTION("""COMPUTED_VALUE"""),0.6786226851836545)</f>
        <v>0.6786226852</v>
      </c>
      <c r="D17745" s="4">
        <f>IFERROR(__xludf.DUMMYFUNCTION("""COMPUTED_VALUE"""),12.85463)</f>
        <v>12.85463</v>
      </c>
      <c r="E17745" s="4">
        <f>IFERROR(__xludf.DUMMYFUNCTION("""COMPUTED_VALUE"""),80.068354)</f>
        <v>80.068354</v>
      </c>
      <c r="F17745" s="4">
        <f>IFERROR(__xludf.DUMMYFUNCTION("""COMPUTED_VALUE"""),2846.0)</f>
        <v>2846</v>
      </c>
      <c r="G17745" s="4">
        <f>IFERROR(__xludf.DUMMYFUNCTION("""COMPUTED_VALUE"""),41.0)</f>
        <v>41</v>
      </c>
      <c r="H17745" s="4"/>
      <c r="I17745" s="4"/>
    </row>
    <row r="17746">
      <c r="A17746" s="4" t="str">
        <f>IFERROR(__xludf.DUMMYFUNCTION("""COMPUTED_VALUE"""),"cas_hmw")</f>
        <v>cas_hmw</v>
      </c>
      <c r="B17746" s="5">
        <f>IFERROR(__xludf.DUMMYFUNCTION("""COMPUTED_VALUE"""),44741.0)</f>
        <v>44741</v>
      </c>
      <c r="C17746" s="6">
        <f>IFERROR(__xludf.DUMMYFUNCTION("""COMPUTED_VALUE"""),0.6787499999991269)</f>
        <v>0.67875</v>
      </c>
      <c r="D17746" s="4">
        <f>IFERROR(__xludf.DUMMYFUNCTION("""COMPUTED_VALUE"""),12.853706)</f>
        <v>12.853706</v>
      </c>
      <c r="E17746" s="4">
        <f>IFERROR(__xludf.DUMMYFUNCTION("""COMPUTED_VALUE"""),80.067674)</f>
        <v>80.067674</v>
      </c>
      <c r="F17746" s="4">
        <f>IFERROR(__xludf.DUMMYFUNCTION("""COMPUTED_VALUE"""),2846.0)</f>
        <v>2846</v>
      </c>
      <c r="G17746" s="4">
        <f>IFERROR(__xludf.DUMMYFUNCTION("""COMPUTED_VALUE"""),49.0)</f>
        <v>49</v>
      </c>
      <c r="H17746" s="4"/>
      <c r="I17746" s="4"/>
    </row>
    <row r="17747">
      <c r="A17747" s="4" t="str">
        <f>IFERROR(__xludf.DUMMYFUNCTION("""COMPUTED_VALUE"""),"cas_hmw")</f>
        <v>cas_hmw</v>
      </c>
      <c r="B17747" s="5">
        <f>IFERROR(__xludf.DUMMYFUNCTION("""COMPUTED_VALUE"""),44741.0)</f>
        <v>44741</v>
      </c>
      <c r="C17747" s="6">
        <f>IFERROR(__xludf.DUMMYFUNCTION("""COMPUTED_VALUE"""),0.6789814814801503)</f>
        <v>0.6789814815</v>
      </c>
      <c r="D17747" s="4">
        <f>IFERROR(__xludf.DUMMYFUNCTION("""COMPUTED_VALUE"""),12.907564)</f>
        <v>12.907564</v>
      </c>
      <c r="E17747" s="4">
        <f>IFERROR(__xludf.DUMMYFUNCTION("""COMPUTED_VALUE"""),80.097022)</f>
        <v>80.097022</v>
      </c>
      <c r="F17747" s="4">
        <f>IFERROR(__xludf.DUMMYFUNCTION("""COMPUTED_VALUE"""),805.0)</f>
        <v>805</v>
      </c>
      <c r="G17747" s="4">
        <f>IFERROR(__xludf.DUMMYFUNCTION("""COMPUTED_VALUE"""),55.0)</f>
        <v>55</v>
      </c>
      <c r="H17747" s="4"/>
      <c r="I17747" s="4"/>
    </row>
    <row r="17748">
      <c r="A17748" s="4" t="str">
        <f>IFERROR(__xludf.DUMMYFUNCTION("""COMPUTED_VALUE"""),"cas_hmw")</f>
        <v>cas_hmw</v>
      </c>
      <c r="B17748" s="5">
        <f>IFERROR(__xludf.DUMMYFUNCTION("""COMPUTED_VALUE"""),44741.0)</f>
        <v>44741</v>
      </c>
      <c r="C17748" s="6">
        <f>IFERROR(__xludf.DUMMYFUNCTION("""COMPUTED_VALUE"""),0.6797800925924093)</f>
        <v>0.6797800926</v>
      </c>
      <c r="D17748" s="4">
        <f>IFERROR(__xludf.DUMMYFUNCTION("""COMPUTED_VALUE"""),12.914162)</f>
        <v>12.914162</v>
      </c>
      <c r="E17748" s="4">
        <f>IFERROR(__xludf.DUMMYFUNCTION("""COMPUTED_VALUE"""),80.101635)</f>
        <v>80.101635</v>
      </c>
      <c r="F17748" s="4">
        <f>IFERROR(__xludf.DUMMYFUNCTION("""COMPUTED_VALUE"""),805.0)</f>
        <v>805</v>
      </c>
      <c r="G17748" s="4">
        <f>IFERROR(__xludf.DUMMYFUNCTION("""COMPUTED_VALUE"""),46.0)</f>
        <v>46</v>
      </c>
      <c r="H17748" s="4"/>
      <c r="I17748" s="4"/>
    </row>
    <row r="17749">
      <c r="A17749" s="4" t="str">
        <f>IFERROR(__xludf.DUMMYFUNCTION("""COMPUTED_VALUE"""),"cas_hmw")</f>
        <v>cas_hmw</v>
      </c>
      <c r="B17749" s="5">
        <f>IFERROR(__xludf.DUMMYFUNCTION("""COMPUTED_VALUE"""),44741.0)</f>
        <v>44741</v>
      </c>
      <c r="C17749" s="6">
        <f>IFERROR(__xludf.DUMMYFUNCTION("""COMPUTED_VALUE"""),0.6799884259271494)</f>
        <v>0.6799884259</v>
      </c>
      <c r="D17749" s="4">
        <f>IFERROR(__xludf.DUMMYFUNCTION("""COMPUTED_VALUE"""),12.915636)</f>
        <v>12.915636</v>
      </c>
      <c r="E17749" s="4">
        <f>IFERROR(__xludf.DUMMYFUNCTION("""COMPUTED_VALUE"""),80.103231)</f>
        <v>80.103231</v>
      </c>
      <c r="F17749" s="4">
        <f>IFERROR(__xludf.DUMMYFUNCTION("""COMPUTED_VALUE"""),805.0)</f>
        <v>805</v>
      </c>
      <c r="G17749" s="4">
        <f>IFERROR(__xludf.DUMMYFUNCTION("""COMPUTED_VALUE"""),56.0)</f>
        <v>56</v>
      </c>
      <c r="H17749" s="4"/>
      <c r="I17749" s="4"/>
    </row>
    <row r="17750">
      <c r="A17750" s="4" t="str">
        <f>IFERROR(__xludf.DUMMYFUNCTION("""COMPUTED_VALUE"""),"cas_hmw")</f>
        <v>cas_hmw</v>
      </c>
      <c r="B17750" s="5">
        <f>IFERROR(__xludf.DUMMYFUNCTION("""COMPUTED_VALUE"""),44741.0)</f>
        <v>44741</v>
      </c>
      <c r="C17750" s="6">
        <f>IFERROR(__xludf.DUMMYFUNCTION("""COMPUTED_VALUE"""),0.680034722223354)</f>
        <v>0.6800347222</v>
      </c>
      <c r="D17750" s="4">
        <f>IFERROR(__xludf.DUMMYFUNCTION("""COMPUTED_VALUE"""),12.916078)</f>
        <v>12.916078</v>
      </c>
      <c r="E17750" s="4">
        <f>IFERROR(__xludf.DUMMYFUNCTION("""COMPUTED_VALUE"""),80.105379)</f>
        <v>80.105379</v>
      </c>
      <c r="F17750" s="4">
        <f>IFERROR(__xludf.DUMMYFUNCTION("""COMPUTED_VALUE"""),805.0)</f>
        <v>805</v>
      </c>
      <c r="G17750" s="4">
        <f>IFERROR(__xludf.DUMMYFUNCTION("""COMPUTED_VALUE"""),54.0)</f>
        <v>54</v>
      </c>
      <c r="H17750" s="4"/>
      <c r="I17750" s="4"/>
    </row>
    <row r="17751">
      <c r="A17751" s="4" t="str">
        <f>IFERROR(__xludf.DUMMYFUNCTION("""COMPUTED_VALUE"""),"cas_hmw")</f>
        <v>cas_hmw</v>
      </c>
      <c r="B17751" s="5">
        <f>IFERROR(__xludf.DUMMYFUNCTION("""COMPUTED_VALUE"""),44741.0)</f>
        <v>44741</v>
      </c>
      <c r="C17751" s="6">
        <f>IFERROR(__xludf.DUMMYFUNCTION("""COMPUTED_VALUE"""),0.6804513888891961)</f>
        <v>0.6804513889</v>
      </c>
      <c r="D17751" s="4">
        <f>IFERROR(__xludf.DUMMYFUNCTION("""COMPUTED_VALUE"""),12.917292)</f>
        <v>12.917292</v>
      </c>
      <c r="E17751" s="4">
        <f>IFERROR(__xludf.DUMMYFUNCTION("""COMPUTED_VALUE"""),80.107637)</f>
        <v>80.107637</v>
      </c>
      <c r="F17751" s="4">
        <f>IFERROR(__xludf.DUMMYFUNCTION("""COMPUTED_VALUE"""),805.0)</f>
        <v>805</v>
      </c>
      <c r="G17751" s="4">
        <f>IFERROR(__xludf.DUMMYFUNCTION("""COMPUTED_VALUE"""),38.0)</f>
        <v>38</v>
      </c>
      <c r="H17751" s="4"/>
      <c r="I17751" s="4"/>
    </row>
    <row r="17752">
      <c r="A17752" s="4" t="str">
        <f>IFERROR(__xludf.DUMMYFUNCTION("""COMPUTED_VALUE"""),"cas_hmw")</f>
        <v>cas_hmw</v>
      </c>
      <c r="B17752" s="5">
        <f>IFERROR(__xludf.DUMMYFUNCTION("""COMPUTED_VALUE"""),44741.0)</f>
        <v>44741</v>
      </c>
      <c r="C17752" s="6">
        <f>IFERROR(__xludf.DUMMYFUNCTION("""COMPUTED_VALUE"""),0.6806597222239361)</f>
        <v>0.6806597222</v>
      </c>
      <c r="D17752" s="4">
        <f>IFERROR(__xludf.DUMMYFUNCTION("""COMPUTED_VALUE"""),12.841798)</f>
        <v>12.841798</v>
      </c>
      <c r="E17752" s="4">
        <f>IFERROR(__xludf.DUMMYFUNCTION("""COMPUTED_VALUE"""),80.057671)</f>
        <v>80.057671</v>
      </c>
      <c r="F17752" s="4">
        <f>IFERROR(__xludf.DUMMYFUNCTION("""COMPUTED_VALUE"""),2846.0)</f>
        <v>2846</v>
      </c>
      <c r="G17752" s="4">
        <f>IFERROR(__xludf.DUMMYFUNCTION("""COMPUTED_VALUE"""),49.0)</f>
        <v>49</v>
      </c>
      <c r="H17752" s="4"/>
      <c r="I17752" s="4"/>
    </row>
    <row r="17753">
      <c r="A17753" s="4" t="str">
        <f>IFERROR(__xludf.DUMMYFUNCTION("""COMPUTED_VALUE"""),"cas_hmw")</f>
        <v>cas_hmw</v>
      </c>
      <c r="B17753" s="5">
        <f>IFERROR(__xludf.DUMMYFUNCTION("""COMPUTED_VALUE"""),44741.0)</f>
        <v>44741</v>
      </c>
      <c r="C17753" s="6">
        <f>IFERROR(__xludf.DUMMYFUNCTION("""COMPUTED_VALUE"""),0.6806712962970778)</f>
        <v>0.6806712963</v>
      </c>
      <c r="D17753" s="4">
        <f>IFERROR(__xludf.DUMMYFUNCTION("""COMPUTED_VALUE"""),12.841798)</f>
        <v>12.841798</v>
      </c>
      <c r="E17753" s="4">
        <f>IFERROR(__xludf.DUMMYFUNCTION("""COMPUTED_VALUE"""),80.057671)</f>
        <v>80.057671</v>
      </c>
      <c r="F17753" s="4">
        <f>IFERROR(__xludf.DUMMYFUNCTION("""COMPUTED_VALUE"""),2846.0)</f>
        <v>2846</v>
      </c>
      <c r="G17753" s="4">
        <f>IFERROR(__xludf.DUMMYFUNCTION("""COMPUTED_VALUE"""),49.0)</f>
        <v>49</v>
      </c>
      <c r="H17753" s="4"/>
      <c r="I17753" s="4"/>
    </row>
    <row r="17754">
      <c r="A17754" s="4" t="str">
        <f>IFERROR(__xludf.DUMMYFUNCTION("""COMPUTED_VALUE"""),"cas_hmw")</f>
        <v>cas_hmw</v>
      </c>
      <c r="B17754" s="5">
        <f>IFERROR(__xludf.DUMMYFUNCTION("""COMPUTED_VALUE"""),44741.0)</f>
        <v>44741</v>
      </c>
      <c r="C17754" s="6">
        <f>IFERROR(__xludf.DUMMYFUNCTION("""COMPUTED_VALUE"""),0.6808564814818965)</f>
        <v>0.6808564815</v>
      </c>
      <c r="D17754" s="4">
        <f>IFERROR(__xludf.DUMMYFUNCTION("""COMPUTED_VALUE"""),12.91945)</f>
        <v>12.91945</v>
      </c>
      <c r="E17754" s="4">
        <f>IFERROR(__xludf.DUMMYFUNCTION("""COMPUTED_VALUE"""),80.110343)</f>
        <v>80.110343</v>
      </c>
      <c r="F17754" s="4">
        <f>IFERROR(__xludf.DUMMYFUNCTION("""COMPUTED_VALUE"""),805.0)</f>
        <v>805</v>
      </c>
      <c r="G17754" s="4">
        <f>IFERROR(__xludf.DUMMYFUNCTION("""COMPUTED_VALUE"""),46.0)</f>
        <v>46</v>
      </c>
      <c r="H17754" s="4"/>
      <c r="I17754" s="4"/>
    </row>
    <row r="17755">
      <c r="A17755" s="4" t="str">
        <f>IFERROR(__xludf.DUMMYFUNCTION("""COMPUTED_VALUE"""),"cas_hmw")</f>
        <v>cas_hmw</v>
      </c>
      <c r="B17755" s="5">
        <f>IFERROR(__xludf.DUMMYFUNCTION("""COMPUTED_VALUE"""),44741.0)</f>
        <v>44741</v>
      </c>
      <c r="C17755" s="6">
        <f>IFERROR(__xludf.DUMMYFUNCTION("""COMPUTED_VALUE"""),0.6810300925935735)</f>
        <v>0.6810300926</v>
      </c>
      <c r="D17755" s="4">
        <f>IFERROR(__xludf.DUMMYFUNCTION("""COMPUTED_VALUE"""),12.920714)</f>
        <v>12.920714</v>
      </c>
      <c r="E17755" s="4">
        <f>IFERROR(__xludf.DUMMYFUNCTION("""COMPUTED_VALUE"""),80.111785)</f>
        <v>80.111785</v>
      </c>
      <c r="F17755" s="4">
        <f>IFERROR(__xludf.DUMMYFUNCTION("""COMPUTED_VALUE"""),805.0)</f>
        <v>805</v>
      </c>
      <c r="G17755" s="4">
        <f>IFERROR(__xludf.DUMMYFUNCTION("""COMPUTED_VALUE"""),45.0)</f>
        <v>45</v>
      </c>
      <c r="H17755" s="4"/>
      <c r="I17755" s="4"/>
    </row>
    <row r="17756">
      <c r="A17756" s="4" t="str">
        <f>IFERROR(__xludf.DUMMYFUNCTION("""COMPUTED_VALUE"""),"cas_hmw")</f>
        <v>cas_hmw</v>
      </c>
      <c r="B17756" s="5">
        <f>IFERROR(__xludf.DUMMYFUNCTION("""COMPUTED_VALUE"""),44741.0)</f>
        <v>44741</v>
      </c>
      <c r="C17756" s="6">
        <f>IFERROR(__xludf.DUMMYFUNCTION("""COMPUTED_VALUE"""),0.6811111111128412)</f>
        <v>0.6811111111</v>
      </c>
      <c r="D17756" s="4">
        <f>IFERROR(__xludf.DUMMYFUNCTION("""COMPUTED_VALUE"""),12.909707)</f>
        <v>12.909707</v>
      </c>
      <c r="E17756" s="4">
        <f>IFERROR(__xludf.DUMMYFUNCTION("""COMPUTED_VALUE"""),80.099645)</f>
        <v>80.099645</v>
      </c>
      <c r="F17756" s="4">
        <f>IFERROR(__xludf.DUMMYFUNCTION("""COMPUTED_VALUE"""),5339.0)</f>
        <v>5339</v>
      </c>
      <c r="G17756" s="4">
        <f>IFERROR(__xludf.DUMMYFUNCTION("""COMPUTED_VALUE"""),35.0)</f>
        <v>35</v>
      </c>
      <c r="H17756" s="4"/>
      <c r="I17756" s="4"/>
    </row>
    <row r="17757">
      <c r="A17757" s="4" t="str">
        <f>IFERROR(__xludf.DUMMYFUNCTION("""COMPUTED_VALUE"""),"cas_hmw")</f>
        <v>cas_hmw</v>
      </c>
      <c r="B17757" s="5">
        <f>IFERROR(__xludf.DUMMYFUNCTION("""COMPUTED_VALUE"""),44741.0)</f>
        <v>44741</v>
      </c>
      <c r="C17757" s="6">
        <f>IFERROR(__xludf.DUMMYFUNCTION("""COMPUTED_VALUE"""),0.6812384259246755)</f>
        <v>0.6812384259</v>
      </c>
      <c r="D17757" s="4">
        <f>IFERROR(__xludf.DUMMYFUNCTION("""COMPUTED_VALUE"""),12.910242)</f>
        <v>12.910242</v>
      </c>
      <c r="E17757" s="4">
        <f>IFERROR(__xludf.DUMMYFUNCTION("""COMPUTED_VALUE"""),80.100533)</f>
        <v>80.100533</v>
      </c>
      <c r="F17757" s="4">
        <f>IFERROR(__xludf.DUMMYFUNCTION("""COMPUTED_VALUE"""),5339.0)</f>
        <v>5339</v>
      </c>
      <c r="G17757" s="4">
        <f>IFERROR(__xludf.DUMMYFUNCTION("""COMPUTED_VALUE"""),35.0)</f>
        <v>35</v>
      </c>
      <c r="H17757" s="4"/>
      <c r="I17757" s="4"/>
    </row>
    <row r="17758">
      <c r="A17758" s="4" t="str">
        <f>IFERROR(__xludf.DUMMYFUNCTION("""COMPUTED_VALUE"""),"cas_hmw")</f>
        <v>cas_hmw</v>
      </c>
      <c r="B17758" s="5">
        <f>IFERROR(__xludf.DUMMYFUNCTION("""COMPUTED_VALUE"""),44741.0)</f>
        <v>44741</v>
      </c>
      <c r="C17758" s="6">
        <f>IFERROR(__xludf.DUMMYFUNCTION("""COMPUTED_VALUE"""),0.6812962962976599)</f>
        <v>0.6812962963</v>
      </c>
      <c r="D17758" s="4">
        <f>IFERROR(__xludf.DUMMYFUNCTION("""COMPUTED_VALUE"""),12.910242)</f>
        <v>12.910242</v>
      </c>
      <c r="E17758" s="4">
        <f>IFERROR(__xludf.DUMMYFUNCTION("""COMPUTED_VALUE"""),80.100533)</f>
        <v>80.100533</v>
      </c>
      <c r="F17758" s="4">
        <f>IFERROR(__xludf.DUMMYFUNCTION("""COMPUTED_VALUE"""),5339.0)</f>
        <v>5339</v>
      </c>
      <c r="G17758" s="4">
        <f>IFERROR(__xludf.DUMMYFUNCTION("""COMPUTED_VALUE"""),35.0)</f>
        <v>35</v>
      </c>
      <c r="H17758" s="4"/>
      <c r="I17758" s="4"/>
    </row>
    <row r="17759">
      <c r="A17759" s="4" t="str">
        <f>IFERROR(__xludf.DUMMYFUNCTION("""COMPUTED_VALUE"""),"cas_hmw")</f>
        <v>cas_hmw</v>
      </c>
      <c r="B17759" s="5">
        <f>IFERROR(__xludf.DUMMYFUNCTION("""COMPUTED_VALUE"""),44741.0)</f>
        <v>44741</v>
      </c>
      <c r="C17759" s="6">
        <f>IFERROR(__xludf.DUMMYFUNCTION("""COMPUTED_VALUE"""),0.6814699074056989)</f>
        <v>0.6814699074</v>
      </c>
      <c r="D17759" s="4">
        <f>IFERROR(__xludf.DUMMYFUNCTION("""COMPUTED_VALUE"""),12.923742)</f>
        <v>12.923742</v>
      </c>
      <c r="E17759" s="4">
        <f>IFERROR(__xludf.DUMMYFUNCTION("""COMPUTED_VALUE"""),80.114841)</f>
        <v>80.114841</v>
      </c>
      <c r="F17759" s="4">
        <f>IFERROR(__xludf.DUMMYFUNCTION("""COMPUTED_VALUE"""),805.0)</f>
        <v>805</v>
      </c>
      <c r="G17759" s="4">
        <f>IFERROR(__xludf.DUMMYFUNCTION("""COMPUTED_VALUE"""),37.0)</f>
        <v>37</v>
      </c>
      <c r="H17759" s="4"/>
      <c r="I17759" s="4"/>
    </row>
    <row r="17760">
      <c r="A17760" s="4" t="str">
        <f>IFERROR(__xludf.DUMMYFUNCTION("""COMPUTED_VALUE"""),"cas_hmw")</f>
        <v>cas_hmw</v>
      </c>
      <c r="B17760" s="5">
        <f>IFERROR(__xludf.DUMMYFUNCTION("""COMPUTED_VALUE"""),44741.0)</f>
        <v>44741</v>
      </c>
      <c r="C17760" s="6">
        <f>IFERROR(__xludf.DUMMYFUNCTION("""COMPUTED_VALUE"""),0.6816087962979509)</f>
        <v>0.6816087963</v>
      </c>
      <c r="D17760" s="4">
        <f>IFERROR(__xludf.DUMMYFUNCTION("""COMPUTED_VALUE"""),12.923742)</f>
        <v>12.923742</v>
      </c>
      <c r="E17760" s="4">
        <f>IFERROR(__xludf.DUMMYFUNCTION("""COMPUTED_VALUE"""),80.114841)</f>
        <v>80.114841</v>
      </c>
      <c r="F17760" s="4">
        <f>IFERROR(__xludf.DUMMYFUNCTION("""COMPUTED_VALUE"""),805.0)</f>
        <v>805</v>
      </c>
      <c r="G17760" s="4">
        <f>IFERROR(__xludf.DUMMYFUNCTION("""COMPUTED_VALUE"""),37.0)</f>
        <v>37</v>
      </c>
      <c r="H17760" s="4"/>
      <c r="I17760" s="4"/>
    </row>
    <row r="17761">
      <c r="A17761" s="4" t="str">
        <f>IFERROR(__xludf.DUMMYFUNCTION("""COMPUTED_VALUE"""),"cas_hmw")</f>
        <v>cas_hmw</v>
      </c>
      <c r="B17761" s="5">
        <f>IFERROR(__xludf.DUMMYFUNCTION("""COMPUTED_VALUE"""),44741.0)</f>
        <v>44741</v>
      </c>
      <c r="C17761" s="6">
        <f>IFERROR(__xludf.DUMMYFUNCTION("""COMPUTED_VALUE"""),0.68199074074073)</f>
        <v>0.6819907407</v>
      </c>
      <c r="D17761" s="4">
        <f>IFERROR(__xludf.DUMMYFUNCTION("""COMPUTED_VALUE"""),12.92709)</f>
        <v>12.92709</v>
      </c>
      <c r="E17761" s="4">
        <f>IFERROR(__xludf.DUMMYFUNCTION("""COMPUTED_VALUE"""),80.118214)</f>
        <v>80.118214</v>
      </c>
      <c r="F17761" s="4">
        <f>IFERROR(__xludf.DUMMYFUNCTION("""COMPUTED_VALUE"""),805.0)</f>
        <v>805</v>
      </c>
      <c r="G17761" s="4">
        <f>IFERROR(__xludf.DUMMYFUNCTION("""COMPUTED_VALUE"""),39.0)</f>
        <v>39</v>
      </c>
      <c r="H17761" s="4"/>
      <c r="I17761" s="4"/>
    </row>
    <row r="17762">
      <c r="A17762" s="4" t="str">
        <f>IFERROR(__xludf.DUMMYFUNCTION("""COMPUTED_VALUE"""),"cas_hmw")</f>
        <v>cas_hmw</v>
      </c>
      <c r="B17762" s="5">
        <f>IFERROR(__xludf.DUMMYFUNCTION("""COMPUTED_VALUE"""),44741.0)</f>
        <v>44741</v>
      </c>
      <c r="C17762" s="6">
        <f>IFERROR(__xludf.DUMMYFUNCTION("""COMPUTED_VALUE"""),0.6825925925913907)</f>
        <v>0.6825925926</v>
      </c>
      <c r="D17762" s="4">
        <f>IFERROR(__xludf.DUMMYFUNCTION("""COMPUTED_VALUE"""),12.929798)</f>
        <v>12.929798</v>
      </c>
      <c r="E17762" s="4">
        <f>IFERROR(__xludf.DUMMYFUNCTION("""COMPUTED_VALUE"""),80.120845)</f>
        <v>80.120845</v>
      </c>
      <c r="F17762" s="4">
        <f>IFERROR(__xludf.DUMMYFUNCTION("""COMPUTED_VALUE"""),805.0)</f>
        <v>805</v>
      </c>
      <c r="G17762" s="4">
        <f>IFERROR(__xludf.DUMMYFUNCTION("""COMPUTED_VALUE"""),21.0)</f>
        <v>21</v>
      </c>
      <c r="H17762" s="4"/>
      <c r="I17762" s="4"/>
    </row>
    <row r="17763">
      <c r="A17763" s="4" t="str">
        <f>IFERROR(__xludf.DUMMYFUNCTION("""COMPUTED_VALUE"""),"cas_hmw")</f>
        <v>cas_hmw</v>
      </c>
      <c r="B17763" s="5">
        <f>IFERROR(__xludf.DUMMYFUNCTION("""COMPUTED_VALUE"""),44741.0)</f>
        <v>44741</v>
      </c>
      <c r="C17763" s="6">
        <f>IFERROR(__xludf.DUMMYFUNCTION("""COMPUTED_VALUE"""),0.6828240740724141)</f>
        <v>0.6828240741</v>
      </c>
      <c r="D17763" s="4">
        <f>IFERROR(__xludf.DUMMYFUNCTION("""COMPUTED_VALUE"""),12.824255)</f>
        <v>12.824255</v>
      </c>
      <c r="E17763" s="4">
        <f>IFERROR(__xludf.DUMMYFUNCTION("""COMPUTED_VALUE"""),80.03984)</f>
        <v>80.03984</v>
      </c>
      <c r="F17763" s="4">
        <f>IFERROR(__xludf.DUMMYFUNCTION("""COMPUTED_VALUE"""),2846.0)</f>
        <v>2846</v>
      </c>
      <c r="G17763" s="4">
        <f>IFERROR(__xludf.DUMMYFUNCTION("""COMPUTED_VALUE"""),46.0)</f>
        <v>46</v>
      </c>
      <c r="H17763" s="4"/>
      <c r="I17763" s="4"/>
    </row>
    <row r="17764">
      <c r="A17764" s="4" t="str">
        <f>IFERROR(__xludf.DUMMYFUNCTION("""COMPUTED_VALUE"""),"cas_hmw")</f>
        <v>cas_hmw</v>
      </c>
      <c r="B17764" s="5">
        <f>IFERROR(__xludf.DUMMYFUNCTION("""COMPUTED_VALUE"""),44741.0)</f>
        <v>44741</v>
      </c>
      <c r="C17764" s="6">
        <f>IFERROR(__xludf.DUMMYFUNCTION("""COMPUTED_VALUE"""),0.6828472222223354)</f>
        <v>0.6828472222</v>
      </c>
      <c r="D17764" s="4">
        <f>IFERROR(__xludf.DUMMYFUNCTION("""COMPUTED_VALUE"""),12.930585)</f>
        <v>12.930585</v>
      </c>
      <c r="E17764" s="4">
        <f>IFERROR(__xludf.DUMMYFUNCTION("""COMPUTED_VALUE"""),80.121692)</f>
        <v>80.121692</v>
      </c>
      <c r="F17764" s="4">
        <f>IFERROR(__xludf.DUMMYFUNCTION("""COMPUTED_VALUE"""),805.0)</f>
        <v>805</v>
      </c>
      <c r="G17764" s="4">
        <f>IFERROR(__xludf.DUMMYFUNCTION("""COMPUTED_VALUE"""),42.0)</f>
        <v>42</v>
      </c>
      <c r="H17764" s="4"/>
      <c r="I17764" s="4"/>
    </row>
    <row r="17765">
      <c r="A17765" s="4" t="str">
        <f>IFERROR(__xludf.DUMMYFUNCTION("""COMPUTED_VALUE"""),"cas_hmw")</f>
        <v>cas_hmw</v>
      </c>
      <c r="B17765" s="5">
        <f>IFERROR(__xludf.DUMMYFUNCTION("""COMPUTED_VALUE"""),44741.0)</f>
        <v>44741</v>
      </c>
      <c r="C17765" s="6">
        <f>IFERROR(__xludf.DUMMYFUNCTION("""COMPUTED_VALUE"""),0.6829050925916818)</f>
        <v>0.6829050926</v>
      </c>
      <c r="D17765" s="4">
        <f>IFERROR(__xludf.DUMMYFUNCTION("""COMPUTED_VALUE"""),12.931552)</f>
        <v>12.931552</v>
      </c>
      <c r="E17765" s="4">
        <f>IFERROR(__xludf.DUMMYFUNCTION("""COMPUTED_VALUE"""),80.122598)</f>
        <v>80.122598</v>
      </c>
      <c r="F17765" s="4">
        <f>IFERROR(__xludf.DUMMYFUNCTION("""COMPUTED_VALUE"""),805.0)</f>
        <v>805</v>
      </c>
      <c r="G17765" s="4">
        <f>IFERROR(__xludf.DUMMYFUNCTION("""COMPUTED_VALUE"""),23.0)</f>
        <v>23</v>
      </c>
      <c r="H17765" s="4"/>
      <c r="I17765" s="4"/>
    </row>
    <row r="17766">
      <c r="A17766" s="4" t="str">
        <f>IFERROR(__xludf.DUMMYFUNCTION("""COMPUTED_VALUE"""),"cas_hmw")</f>
        <v>cas_hmw</v>
      </c>
      <c r="B17766" s="5">
        <f>IFERROR(__xludf.DUMMYFUNCTION("""COMPUTED_VALUE"""),44741.0)</f>
        <v>44741</v>
      </c>
      <c r="C17766" s="6">
        <f>IFERROR(__xludf.DUMMYFUNCTION("""COMPUTED_VALUE"""),0.6835416666654055)</f>
        <v>0.6835416667</v>
      </c>
      <c r="D17766" s="4">
        <f>IFERROR(__xludf.DUMMYFUNCTION("""COMPUTED_VALUE"""),12.921942)</f>
        <v>12.921942</v>
      </c>
      <c r="E17766" s="4">
        <f>IFERROR(__xludf.DUMMYFUNCTION("""COMPUTED_VALUE"""),80.113072)</f>
        <v>80.113072</v>
      </c>
      <c r="F17766" s="4">
        <f>IFERROR(__xludf.DUMMYFUNCTION("""COMPUTED_VALUE"""),5339.0)</f>
        <v>5339</v>
      </c>
      <c r="G17766" s="4">
        <f>IFERROR(__xludf.DUMMYFUNCTION("""COMPUTED_VALUE"""),52.0)</f>
        <v>52</v>
      </c>
      <c r="H17766" s="4"/>
      <c r="I17766" s="4"/>
    </row>
    <row r="17767">
      <c r="A17767" s="4" t="str">
        <f>IFERROR(__xludf.DUMMYFUNCTION("""COMPUTED_VALUE"""),"cas_hmw")</f>
        <v>cas_hmw</v>
      </c>
      <c r="B17767" s="5">
        <f>IFERROR(__xludf.DUMMYFUNCTION("""COMPUTED_VALUE"""),44741.0)</f>
        <v>44741</v>
      </c>
      <c r="C17767" s="6">
        <f>IFERROR(__xludf.DUMMYFUNCTION("""COMPUTED_VALUE"""),0.6838194444426335)</f>
        <v>0.6838194444</v>
      </c>
      <c r="D17767" s="4">
        <f>IFERROR(__xludf.DUMMYFUNCTION("""COMPUTED_VALUE"""),12.924971)</f>
        <v>12.924971</v>
      </c>
      <c r="E17767" s="4">
        <f>IFERROR(__xludf.DUMMYFUNCTION("""COMPUTED_VALUE"""),80.11609)</f>
        <v>80.11609</v>
      </c>
      <c r="F17767" s="4">
        <f>IFERROR(__xludf.DUMMYFUNCTION("""COMPUTED_VALUE"""),5339.0)</f>
        <v>5339</v>
      </c>
      <c r="G17767" s="4">
        <f>IFERROR(__xludf.DUMMYFUNCTION("""COMPUTED_VALUE"""),54.0)</f>
        <v>54</v>
      </c>
      <c r="H17767" s="4"/>
      <c r="I17767" s="4"/>
    </row>
    <row r="17768">
      <c r="A17768" s="4" t="str">
        <f>IFERROR(__xludf.DUMMYFUNCTION("""COMPUTED_VALUE"""),"cas_hmw")</f>
        <v>cas_hmw</v>
      </c>
      <c r="B17768" s="5">
        <f>IFERROR(__xludf.DUMMYFUNCTION("""COMPUTED_VALUE"""),44741.0)</f>
        <v>44741</v>
      </c>
      <c r="C17768" s="6">
        <f>IFERROR(__xludf.DUMMYFUNCTION("""COMPUTED_VALUE"""),0.6838657407424762)</f>
        <v>0.6838657407</v>
      </c>
      <c r="D17768" s="4">
        <f>IFERROR(__xludf.DUMMYFUNCTION("""COMPUTED_VALUE"""),12.936165)</f>
        <v>12.936165</v>
      </c>
      <c r="E17768" s="4">
        <f>IFERROR(__xludf.DUMMYFUNCTION("""COMPUTED_VALUE"""),80.127044)</f>
        <v>80.127044</v>
      </c>
      <c r="F17768" s="4">
        <f>IFERROR(__xludf.DUMMYFUNCTION("""COMPUTED_VALUE"""),805.0)</f>
        <v>805</v>
      </c>
      <c r="G17768" s="4">
        <f>IFERROR(__xludf.DUMMYFUNCTION("""COMPUTED_VALUE"""),15.0)</f>
        <v>15</v>
      </c>
      <c r="H17768" s="4"/>
      <c r="I17768" s="4"/>
    </row>
    <row r="17769">
      <c r="A17769" s="4" t="str">
        <f>IFERROR(__xludf.DUMMYFUNCTION("""COMPUTED_VALUE"""),"cas_hmw")</f>
        <v>cas_hmw</v>
      </c>
      <c r="B17769" s="5">
        <f>IFERROR(__xludf.DUMMYFUNCTION("""COMPUTED_VALUE"""),44741.0)</f>
        <v>44741</v>
      </c>
      <c r="C17769" s="6">
        <f>IFERROR(__xludf.DUMMYFUNCTION("""COMPUTED_VALUE"""),0.6839004629619012)</f>
        <v>0.683900463</v>
      </c>
      <c r="D17769" s="4">
        <f>IFERROR(__xludf.DUMMYFUNCTION("""COMPUTED_VALUE"""),12.936165)</f>
        <v>12.936165</v>
      </c>
      <c r="E17769" s="4">
        <f>IFERROR(__xludf.DUMMYFUNCTION("""COMPUTED_VALUE"""),80.127044)</f>
        <v>80.127044</v>
      </c>
      <c r="F17769" s="4">
        <f>IFERROR(__xludf.DUMMYFUNCTION("""COMPUTED_VALUE"""),805.0)</f>
        <v>805</v>
      </c>
      <c r="G17769" s="4">
        <f>IFERROR(__xludf.DUMMYFUNCTION("""COMPUTED_VALUE"""),15.0)</f>
        <v>15</v>
      </c>
      <c r="H17769" s="4"/>
      <c r="I17769" s="4"/>
    </row>
    <row r="17770">
      <c r="A17770" s="4" t="str">
        <f>IFERROR(__xludf.DUMMYFUNCTION("""COMPUTED_VALUE"""),"cas_hmw")</f>
        <v>cas_hmw</v>
      </c>
      <c r="B17770" s="5">
        <f>IFERROR(__xludf.DUMMYFUNCTION("""COMPUTED_VALUE"""),44741.0)</f>
        <v>44741</v>
      </c>
      <c r="C17770" s="6">
        <f>IFERROR(__xludf.DUMMYFUNCTION("""COMPUTED_VALUE"""),0.6839004629619012)</f>
        <v>0.683900463</v>
      </c>
      <c r="D17770" s="4">
        <f>IFERROR(__xludf.DUMMYFUNCTION("""COMPUTED_VALUE"""),12.936165)</f>
        <v>12.936165</v>
      </c>
      <c r="E17770" s="4">
        <f>IFERROR(__xludf.DUMMYFUNCTION("""COMPUTED_VALUE"""),80.127044)</f>
        <v>80.127044</v>
      </c>
      <c r="F17770" s="4">
        <f>IFERROR(__xludf.DUMMYFUNCTION("""COMPUTED_VALUE"""),805.0)</f>
        <v>805</v>
      </c>
      <c r="G17770" s="4">
        <f>IFERROR(__xludf.DUMMYFUNCTION("""COMPUTED_VALUE"""),15.0)</f>
        <v>15</v>
      </c>
      <c r="H17770" s="4"/>
      <c r="I17770" s="4"/>
    </row>
    <row r="17771">
      <c r="A17771" s="4" t="str">
        <f>IFERROR(__xludf.DUMMYFUNCTION("""COMPUTED_VALUE"""),"cas_hmw")</f>
        <v>cas_hmw</v>
      </c>
      <c r="B17771" s="5">
        <f>IFERROR(__xludf.DUMMYFUNCTION("""COMPUTED_VALUE"""),44741.0)</f>
        <v>44741</v>
      </c>
      <c r="C17771" s="6">
        <f>IFERROR(__xludf.DUMMYFUNCTION("""COMPUTED_VALUE"""),0.6840625000004366)</f>
        <v>0.6840625</v>
      </c>
      <c r="D17771" s="4">
        <f>IFERROR(__xludf.DUMMYFUNCTION("""COMPUTED_VALUE"""),12.937018)</f>
        <v>12.937018</v>
      </c>
      <c r="E17771" s="4">
        <f>IFERROR(__xludf.DUMMYFUNCTION("""COMPUTED_VALUE"""),80.127822)</f>
        <v>80.127822</v>
      </c>
      <c r="F17771" s="4">
        <f>IFERROR(__xludf.DUMMYFUNCTION("""COMPUTED_VALUE"""),805.0)</f>
        <v>805</v>
      </c>
      <c r="G17771" s="4">
        <f>IFERROR(__xludf.DUMMYFUNCTION("""COMPUTED_VALUE"""),48.0)</f>
        <v>48</v>
      </c>
      <c r="H17771" s="4"/>
      <c r="I17771" s="4"/>
    </row>
    <row r="17772">
      <c r="A17772" s="4" t="str">
        <f>IFERROR(__xludf.DUMMYFUNCTION("""COMPUTED_VALUE"""),"cas_hmw")</f>
        <v>cas_hmw</v>
      </c>
      <c r="B17772" s="5">
        <f>IFERROR(__xludf.DUMMYFUNCTION("""COMPUTED_VALUE"""),44741.0)</f>
        <v>44741</v>
      </c>
      <c r="C17772" s="6">
        <f>IFERROR(__xludf.DUMMYFUNCTION("""COMPUTED_VALUE"""),0.6844560185199953)</f>
        <v>0.6844560185</v>
      </c>
      <c r="D17772" s="4">
        <f>IFERROR(__xludf.DUMMYFUNCTION("""COMPUTED_VALUE"""),12.819174)</f>
        <v>12.819174</v>
      </c>
      <c r="E17772" s="4">
        <f>IFERROR(__xludf.DUMMYFUNCTION("""COMPUTED_VALUE"""),80.036309)</f>
        <v>80.036309</v>
      </c>
      <c r="F17772" s="4">
        <f>IFERROR(__xludf.DUMMYFUNCTION("""COMPUTED_VALUE"""),2846.0)</f>
        <v>2846</v>
      </c>
      <c r="G17772" s="4">
        <f>IFERROR(__xludf.DUMMYFUNCTION("""COMPUTED_VALUE"""),36.0)</f>
        <v>36</v>
      </c>
      <c r="H17772" s="4"/>
      <c r="I17772" s="4"/>
    </row>
    <row r="17773">
      <c r="A17773" s="4" t="str">
        <f>IFERROR(__xludf.DUMMYFUNCTION("""COMPUTED_VALUE"""),"cas_hmw")</f>
        <v>cas_hmw</v>
      </c>
      <c r="B17773" s="5">
        <f>IFERROR(__xludf.DUMMYFUNCTION("""COMPUTED_VALUE"""),44741.0)</f>
        <v>44741</v>
      </c>
      <c r="C17773" s="6">
        <f>IFERROR(__xludf.DUMMYFUNCTION("""COMPUTED_VALUE"""),0.6845023148161999)</f>
        <v>0.6845023148</v>
      </c>
      <c r="D17773" s="4">
        <f>IFERROR(__xludf.DUMMYFUNCTION("""COMPUTED_VALUE"""),12.928405)</f>
        <v>12.928405</v>
      </c>
      <c r="E17773" s="4">
        <f>IFERROR(__xludf.DUMMYFUNCTION("""COMPUTED_VALUE"""),80.119548)</f>
        <v>80.119548</v>
      </c>
      <c r="F17773" s="4">
        <f>IFERROR(__xludf.DUMMYFUNCTION("""COMPUTED_VALUE"""),5339.0)</f>
        <v>5339</v>
      </c>
      <c r="G17773" s="4">
        <f>IFERROR(__xludf.DUMMYFUNCTION("""COMPUTED_VALUE"""),19.0)</f>
        <v>19</v>
      </c>
      <c r="H17773" s="4"/>
      <c r="I17773" s="4"/>
    </row>
    <row r="17774">
      <c r="A17774" s="4" t="str">
        <f>IFERROR(__xludf.DUMMYFUNCTION("""COMPUTED_VALUE"""),"cas_hmw")</f>
        <v>cas_hmw</v>
      </c>
      <c r="B17774" s="5">
        <f>IFERROR(__xludf.DUMMYFUNCTION("""COMPUTED_VALUE"""),44741.0)</f>
        <v>44741</v>
      </c>
      <c r="C17774" s="6">
        <f>IFERROR(__xludf.DUMMYFUNCTION("""COMPUTED_VALUE"""),0.6846527777779556)</f>
        <v>0.6846527778</v>
      </c>
      <c r="D17774" s="4">
        <f>IFERROR(__xludf.DUMMYFUNCTION("""COMPUTED_VALUE"""),12.942248)</f>
        <v>12.942248</v>
      </c>
      <c r="E17774" s="4">
        <f>IFERROR(__xludf.DUMMYFUNCTION("""COMPUTED_VALUE"""),80.132698)</f>
        <v>80.132698</v>
      </c>
      <c r="F17774" s="4">
        <f>IFERROR(__xludf.DUMMYFUNCTION("""COMPUTED_VALUE"""),805.0)</f>
        <v>805</v>
      </c>
      <c r="G17774" s="4">
        <f>IFERROR(__xludf.DUMMYFUNCTION("""COMPUTED_VALUE"""),7.0)</f>
        <v>7</v>
      </c>
      <c r="H17774" s="4"/>
      <c r="I17774" s="4"/>
    </row>
    <row r="17775">
      <c r="A17775" s="4" t="str">
        <f>IFERROR(__xludf.DUMMYFUNCTION("""COMPUTED_VALUE"""),"cas_hmw")</f>
        <v>cas_hmw</v>
      </c>
      <c r="B17775" s="5">
        <f>IFERROR(__xludf.DUMMYFUNCTION("""COMPUTED_VALUE"""),44741.0)</f>
        <v>44741</v>
      </c>
      <c r="C17775" s="6">
        <f>IFERROR(__xludf.DUMMYFUNCTION("""COMPUTED_VALUE"""),0.6847222222204437)</f>
        <v>0.6847222222</v>
      </c>
      <c r="D17775" s="4">
        <f>IFERROR(__xludf.DUMMYFUNCTION("""COMPUTED_VALUE"""),12.942248)</f>
        <v>12.942248</v>
      </c>
      <c r="E17775" s="4">
        <f>IFERROR(__xludf.DUMMYFUNCTION("""COMPUTED_VALUE"""),80.132698)</f>
        <v>80.132698</v>
      </c>
      <c r="F17775" s="4">
        <f>IFERROR(__xludf.DUMMYFUNCTION("""COMPUTED_VALUE"""),805.0)</f>
        <v>805</v>
      </c>
      <c r="G17775" s="4">
        <f>IFERROR(__xludf.DUMMYFUNCTION("""COMPUTED_VALUE"""),7.0)</f>
        <v>7</v>
      </c>
      <c r="H17775" s="4"/>
      <c r="I17775" s="4"/>
    </row>
    <row r="17776">
      <c r="A17776" s="4" t="str">
        <f>IFERROR(__xludf.DUMMYFUNCTION("""COMPUTED_VALUE"""),"cas_hmw")</f>
        <v>cas_hmw</v>
      </c>
      <c r="B17776" s="5">
        <f>IFERROR(__xludf.DUMMYFUNCTION("""COMPUTED_VALUE"""),44741.0)</f>
        <v>44741</v>
      </c>
      <c r="C17776" s="6">
        <f>IFERROR(__xludf.DUMMYFUNCTION("""COMPUTED_VALUE"""),0.684780092593428)</f>
        <v>0.6847800926</v>
      </c>
      <c r="D17776" s="4">
        <f>IFERROR(__xludf.DUMMYFUNCTION("""COMPUTED_VALUE"""),12.942248)</f>
        <v>12.942248</v>
      </c>
      <c r="E17776" s="4">
        <f>IFERROR(__xludf.DUMMYFUNCTION("""COMPUTED_VALUE"""),80.132698)</f>
        <v>80.132698</v>
      </c>
      <c r="F17776" s="4">
        <f>IFERROR(__xludf.DUMMYFUNCTION("""COMPUTED_VALUE"""),805.0)</f>
        <v>805</v>
      </c>
      <c r="G17776" s="4">
        <f>IFERROR(__xludf.DUMMYFUNCTION("""COMPUTED_VALUE"""),7.0)</f>
        <v>7</v>
      </c>
      <c r="H17776" s="4"/>
      <c r="I17776" s="4"/>
    </row>
    <row r="17777">
      <c r="A17777" s="4" t="str">
        <f>IFERROR(__xludf.DUMMYFUNCTION("""COMPUTED_VALUE"""),"cas_hmw")</f>
        <v>cas_hmw</v>
      </c>
      <c r="B17777" s="5">
        <f>IFERROR(__xludf.DUMMYFUNCTION("""COMPUTED_VALUE"""),44741.0)</f>
        <v>44741</v>
      </c>
      <c r="C17777" s="6">
        <f>IFERROR(__xludf.DUMMYFUNCTION("""COMPUTED_VALUE"""),0.684814814816491)</f>
        <v>0.6848148148</v>
      </c>
      <c r="D17777" s="4">
        <f>IFERROR(__xludf.DUMMYFUNCTION("""COMPUTED_VALUE"""),12.942248)</f>
        <v>12.942248</v>
      </c>
      <c r="E17777" s="4">
        <f>IFERROR(__xludf.DUMMYFUNCTION("""COMPUTED_VALUE"""),80.132698)</f>
        <v>80.132698</v>
      </c>
      <c r="F17777" s="4">
        <f>IFERROR(__xludf.DUMMYFUNCTION("""COMPUTED_VALUE"""),805.0)</f>
        <v>805</v>
      </c>
      <c r="G17777" s="4">
        <f>IFERROR(__xludf.DUMMYFUNCTION("""COMPUTED_VALUE"""),7.0)</f>
        <v>7</v>
      </c>
      <c r="H17777" s="4"/>
      <c r="I17777" s="4"/>
    </row>
    <row r="17778">
      <c r="A17778" s="4" t="str">
        <f>IFERROR(__xludf.DUMMYFUNCTION("""COMPUTED_VALUE"""),"cas_hmw")</f>
        <v>cas_hmw</v>
      </c>
      <c r="B17778" s="5">
        <f>IFERROR(__xludf.DUMMYFUNCTION("""COMPUTED_VALUE"""),44741.0)</f>
        <v>44741</v>
      </c>
      <c r="C17778" s="6">
        <f>IFERROR(__xludf.DUMMYFUNCTION("""COMPUTED_VALUE"""),0.6848726851858373)</f>
        <v>0.6848726852</v>
      </c>
      <c r="D17778" s="4">
        <f>IFERROR(__xludf.DUMMYFUNCTION("""COMPUTED_VALUE"""),12.929692)</f>
        <v>12.929692</v>
      </c>
      <c r="E17778" s="4">
        <f>IFERROR(__xludf.DUMMYFUNCTION("""COMPUTED_VALUE"""),80.120795)</f>
        <v>80.120795</v>
      </c>
      <c r="F17778" s="4">
        <f>IFERROR(__xludf.DUMMYFUNCTION("""COMPUTED_VALUE"""),5339.0)</f>
        <v>5339</v>
      </c>
      <c r="G17778" s="4">
        <f>IFERROR(__xludf.DUMMYFUNCTION("""COMPUTED_VALUE"""),18.0)</f>
        <v>18</v>
      </c>
      <c r="H17778" s="4"/>
      <c r="I17778" s="4"/>
    </row>
    <row r="17779">
      <c r="A17779" s="4" t="str">
        <f>IFERROR(__xludf.DUMMYFUNCTION("""COMPUTED_VALUE"""),"cas_hmw")</f>
        <v>cas_hmw</v>
      </c>
      <c r="B17779" s="5">
        <f>IFERROR(__xludf.DUMMYFUNCTION("""COMPUTED_VALUE"""),44741.0)</f>
        <v>44741</v>
      </c>
      <c r="C17779" s="6">
        <f>IFERROR(__xludf.DUMMYFUNCTION("""COMPUTED_VALUE"""),0.684884259258979)</f>
        <v>0.6848842593</v>
      </c>
      <c r="D17779" s="4">
        <f>IFERROR(__xludf.DUMMYFUNCTION("""COMPUTED_VALUE"""),12.94276)</f>
        <v>12.94276</v>
      </c>
      <c r="E17779" s="4">
        <f>IFERROR(__xludf.DUMMYFUNCTION("""COMPUTED_VALUE"""),80.13326)</f>
        <v>80.13326</v>
      </c>
      <c r="F17779" s="4">
        <f>IFERROR(__xludf.DUMMYFUNCTION("""COMPUTED_VALUE"""),805.0)</f>
        <v>805</v>
      </c>
      <c r="G17779" s="4">
        <f>IFERROR(__xludf.DUMMYFUNCTION("""COMPUTED_VALUE"""),20.0)</f>
        <v>20</v>
      </c>
      <c r="H17779" s="4"/>
      <c r="I17779" s="4"/>
    </row>
    <row r="17780">
      <c r="A17780" s="4" t="str">
        <f>IFERROR(__xludf.DUMMYFUNCTION("""COMPUTED_VALUE"""),"cas_hmw")</f>
        <v>cas_hmw</v>
      </c>
      <c r="B17780" s="5">
        <f>IFERROR(__xludf.DUMMYFUNCTION("""COMPUTED_VALUE"""),44741.0)</f>
        <v>44741</v>
      </c>
      <c r="C17780" s="6">
        <f>IFERROR(__xludf.DUMMYFUNCTION("""COMPUTED_VALUE"""),0.6853240740747424)</f>
        <v>0.6853240741</v>
      </c>
      <c r="D17780" s="4">
        <f>IFERROR(__xludf.DUMMYFUNCTION("""COMPUTED_VALUE"""),12.931368)</f>
        <v>12.931368</v>
      </c>
      <c r="E17780" s="4">
        <f>IFERROR(__xludf.DUMMYFUNCTION("""COMPUTED_VALUE"""),80.122502)</f>
        <v>80.122502</v>
      </c>
      <c r="F17780" s="4">
        <f>IFERROR(__xludf.DUMMYFUNCTION("""COMPUTED_VALUE"""),5339.0)</f>
        <v>5339</v>
      </c>
      <c r="G17780" s="4">
        <f>IFERROR(__xludf.DUMMYFUNCTION("""COMPUTED_VALUE"""),29.0)</f>
        <v>29</v>
      </c>
      <c r="H17780" s="4"/>
      <c r="I17780" s="4"/>
    </row>
    <row r="17781">
      <c r="A17781" s="4" t="str">
        <f>IFERROR(__xludf.DUMMYFUNCTION("""COMPUTED_VALUE"""),"cas_hmw")</f>
        <v>cas_hmw</v>
      </c>
      <c r="B17781" s="5">
        <f>IFERROR(__xludf.DUMMYFUNCTION("""COMPUTED_VALUE"""),44741.0)</f>
        <v>44741</v>
      </c>
      <c r="C17781" s="6">
        <f>IFERROR(__xludf.DUMMYFUNCTION("""COMPUTED_VALUE"""),0.6853356481478841)</f>
        <v>0.6853356481</v>
      </c>
      <c r="D17781" s="4">
        <f>IFERROR(__xludf.DUMMYFUNCTION("""COMPUTED_VALUE"""),12.931368)</f>
        <v>12.931368</v>
      </c>
      <c r="E17781" s="4">
        <f>IFERROR(__xludf.DUMMYFUNCTION("""COMPUTED_VALUE"""),80.122502)</f>
        <v>80.122502</v>
      </c>
      <c r="F17781" s="4">
        <f>IFERROR(__xludf.DUMMYFUNCTION("""COMPUTED_VALUE"""),5339.0)</f>
        <v>5339</v>
      </c>
      <c r="G17781" s="4">
        <f>IFERROR(__xludf.DUMMYFUNCTION("""COMPUTED_VALUE"""),29.0)</f>
        <v>29</v>
      </c>
      <c r="H17781" s="4"/>
      <c r="I17781" s="4"/>
    </row>
    <row r="17782">
      <c r="A17782" s="4" t="str">
        <f>IFERROR(__xludf.DUMMYFUNCTION("""COMPUTED_VALUE"""),"cas_hmw")</f>
        <v>cas_hmw</v>
      </c>
      <c r="B17782" s="5">
        <f>IFERROR(__xludf.DUMMYFUNCTION("""COMPUTED_VALUE"""),44741.0)</f>
        <v>44741</v>
      </c>
      <c r="C17782" s="6">
        <f>IFERROR(__xludf.DUMMYFUNCTION("""COMPUTED_VALUE"""),0.6853356481478841)</f>
        <v>0.6853356481</v>
      </c>
      <c r="D17782" s="4">
        <f>IFERROR(__xludf.DUMMYFUNCTION("""COMPUTED_VALUE"""),12.931368)</f>
        <v>12.931368</v>
      </c>
      <c r="E17782" s="4">
        <f>IFERROR(__xludf.DUMMYFUNCTION("""COMPUTED_VALUE"""),80.122502)</f>
        <v>80.122502</v>
      </c>
      <c r="F17782" s="4">
        <f>IFERROR(__xludf.DUMMYFUNCTION("""COMPUTED_VALUE"""),5339.0)</f>
        <v>5339</v>
      </c>
      <c r="G17782" s="4">
        <f>IFERROR(__xludf.DUMMYFUNCTION("""COMPUTED_VALUE"""),29.0)</f>
        <v>29</v>
      </c>
      <c r="H17782" s="4"/>
      <c r="I17782" s="4"/>
    </row>
    <row r="17783">
      <c r="A17783" s="4" t="str">
        <f>IFERROR(__xludf.DUMMYFUNCTION("""COMPUTED_VALUE"""),"cas_hmw")</f>
        <v>cas_hmw</v>
      </c>
      <c r="B17783" s="5">
        <f>IFERROR(__xludf.DUMMYFUNCTION("""COMPUTED_VALUE"""),44741.0)</f>
        <v>44741</v>
      </c>
      <c r="C17783" s="6">
        <f>IFERROR(__xludf.DUMMYFUNCTION("""COMPUTED_VALUE"""),0.6856828703712381)</f>
        <v>0.6856828704</v>
      </c>
      <c r="D17783" s="4">
        <f>IFERROR(__xludf.DUMMYFUNCTION("""COMPUTED_VALUE"""),12.932978)</f>
        <v>12.932978</v>
      </c>
      <c r="E17783" s="4">
        <f>IFERROR(__xludf.DUMMYFUNCTION("""COMPUTED_VALUE"""),80.124135)</f>
        <v>80.124135</v>
      </c>
      <c r="F17783" s="4">
        <f>IFERROR(__xludf.DUMMYFUNCTION("""COMPUTED_VALUE"""),5339.0)</f>
        <v>5339</v>
      </c>
      <c r="G17783" s="4">
        <f>IFERROR(__xludf.DUMMYFUNCTION("""COMPUTED_VALUE"""),35.0)</f>
        <v>35</v>
      </c>
      <c r="H17783" s="4"/>
      <c r="I17783" s="4"/>
    </row>
    <row r="17784">
      <c r="A17784" s="4" t="str">
        <f>IFERROR(__xludf.DUMMYFUNCTION("""COMPUTED_VALUE"""),"cas_hmw")</f>
        <v>cas_hmw</v>
      </c>
      <c r="B17784" s="5">
        <f>IFERROR(__xludf.DUMMYFUNCTION("""COMPUTED_VALUE"""),44741.0)</f>
        <v>44741</v>
      </c>
      <c r="C17784" s="6">
        <f>IFERROR(__xludf.DUMMYFUNCTION("""COMPUTED_VALUE"""),0.6857638888905058)</f>
        <v>0.6857638889</v>
      </c>
      <c r="D17784" s="4">
        <f>IFERROR(__xludf.DUMMYFUNCTION("""COMPUTED_VALUE"""),12.934082)</f>
        <v>12.934082</v>
      </c>
      <c r="E17784" s="4">
        <f>IFERROR(__xludf.DUMMYFUNCTION("""COMPUTED_VALUE"""),80.125232)</f>
        <v>80.125232</v>
      </c>
      <c r="F17784" s="4">
        <f>IFERROR(__xludf.DUMMYFUNCTION("""COMPUTED_VALUE"""),5339.0)</f>
        <v>5339</v>
      </c>
      <c r="G17784" s="4">
        <f>IFERROR(__xludf.DUMMYFUNCTION("""COMPUTED_VALUE"""),45.0)</f>
        <v>45</v>
      </c>
      <c r="H17784" s="4"/>
      <c r="I17784" s="4"/>
    </row>
    <row r="17785">
      <c r="A17785" s="4" t="str">
        <f>IFERROR(__xludf.DUMMYFUNCTION("""COMPUTED_VALUE"""),"cas_hmw")</f>
        <v>cas_hmw</v>
      </c>
      <c r="B17785" s="5">
        <f>IFERROR(__xludf.DUMMYFUNCTION("""COMPUTED_VALUE"""),44741.0)</f>
        <v>44741</v>
      </c>
      <c r="C17785" s="6">
        <f>IFERROR(__xludf.DUMMYFUNCTION("""COMPUTED_VALUE"""),0.6882986111122591)</f>
        <v>0.6882986111</v>
      </c>
      <c r="D17785" s="4">
        <f>IFERROR(__xludf.DUMMYFUNCTION("""COMPUTED_VALUE"""),12.779666)</f>
        <v>12.779666</v>
      </c>
      <c r="E17785" s="4">
        <f>IFERROR(__xludf.DUMMYFUNCTION("""COMPUTED_VALUE"""),80.011619)</f>
        <v>80.011619</v>
      </c>
      <c r="F17785" s="4">
        <f>IFERROR(__xludf.DUMMYFUNCTION("""COMPUTED_VALUE"""),2846.0)</f>
        <v>2846</v>
      </c>
      <c r="G17785" s="4">
        <f>IFERROR(__xludf.DUMMYFUNCTION("""COMPUTED_VALUE"""),57.0)</f>
        <v>57</v>
      </c>
      <c r="H17785" s="4"/>
      <c r="I17785" s="4"/>
    </row>
    <row r="17786">
      <c r="A17786" s="4" t="str">
        <f>IFERROR(__xludf.DUMMYFUNCTION("""COMPUTED_VALUE"""),"cas_hmw")</f>
        <v>cas_hmw</v>
      </c>
      <c r="B17786" s="5">
        <f>IFERROR(__xludf.DUMMYFUNCTION("""COMPUTED_VALUE"""),44741.0)</f>
        <v>44741</v>
      </c>
      <c r="C17786" s="6">
        <f>IFERROR(__xludf.DUMMYFUNCTION("""COMPUTED_VALUE"""),0.6883912037046684)</f>
        <v>0.6883912037</v>
      </c>
      <c r="D17786" s="4">
        <f>IFERROR(__xludf.DUMMYFUNCTION("""COMPUTED_VALUE"""),12.960464)</f>
        <v>12.960464</v>
      </c>
      <c r="E17786" s="4">
        <f>IFERROR(__xludf.DUMMYFUNCTION("""COMPUTED_VALUE"""),80.145179)</f>
        <v>80.145179</v>
      </c>
      <c r="F17786" s="4">
        <f>IFERROR(__xludf.DUMMYFUNCTION("""COMPUTED_VALUE"""),805.0)</f>
        <v>805</v>
      </c>
      <c r="G17786" s="4">
        <f>IFERROR(__xludf.DUMMYFUNCTION("""COMPUTED_VALUE"""),21.0)</f>
        <v>21</v>
      </c>
      <c r="H17786" s="4"/>
      <c r="I17786" s="4"/>
    </row>
    <row r="17787">
      <c r="A17787" s="4" t="str">
        <f>IFERROR(__xludf.DUMMYFUNCTION("""COMPUTED_VALUE"""),"cas_hmw")</f>
        <v>cas_hmw</v>
      </c>
      <c r="B17787" s="5">
        <f>IFERROR(__xludf.DUMMYFUNCTION("""COMPUTED_VALUE"""),44741.0)</f>
        <v>44741</v>
      </c>
      <c r="C17787" s="6">
        <f>IFERROR(__xludf.DUMMYFUNCTION("""COMPUTED_VALUE"""),0.6884490740740148)</f>
        <v>0.6884490741</v>
      </c>
      <c r="D17787" s="4">
        <f>IFERROR(__xludf.DUMMYFUNCTION("""COMPUTED_VALUE"""),12.948966)</f>
        <v>12.948966</v>
      </c>
      <c r="E17787" s="4">
        <f>IFERROR(__xludf.DUMMYFUNCTION("""COMPUTED_VALUE"""),80.138254)</f>
        <v>80.138254</v>
      </c>
      <c r="F17787" s="4">
        <f>IFERROR(__xludf.DUMMYFUNCTION("""COMPUTED_VALUE"""),5339.0)</f>
        <v>5339</v>
      </c>
      <c r="G17787" s="4">
        <f>IFERROR(__xludf.DUMMYFUNCTION("""COMPUTED_VALUE"""),46.0)</f>
        <v>46</v>
      </c>
      <c r="H17787" s="4"/>
      <c r="I17787" s="4"/>
    </row>
    <row r="17788">
      <c r="A17788" s="4" t="str">
        <f>IFERROR(__xludf.DUMMYFUNCTION("""COMPUTED_VALUE"""),"cas_hmw")</f>
        <v>cas_hmw</v>
      </c>
      <c r="B17788" s="5">
        <f>IFERROR(__xludf.DUMMYFUNCTION("""COMPUTED_VALUE"""),44741.0)</f>
        <v>44741</v>
      </c>
      <c r="C17788" s="6">
        <f>IFERROR(__xludf.DUMMYFUNCTION("""COMPUTED_VALUE"""),0.6887500000011642)</f>
        <v>0.68875</v>
      </c>
      <c r="D17788" s="4">
        <f>IFERROR(__xludf.DUMMYFUNCTION("""COMPUTED_VALUE"""),12.95033)</f>
        <v>12.95033</v>
      </c>
      <c r="E17788" s="4">
        <f>IFERROR(__xludf.DUMMYFUNCTION("""COMPUTED_VALUE"""),80.139386)</f>
        <v>80.139386</v>
      </c>
      <c r="F17788" s="4">
        <f>IFERROR(__xludf.DUMMYFUNCTION("""COMPUTED_VALUE"""),5339.0)</f>
        <v>5339</v>
      </c>
      <c r="G17788" s="4">
        <f>IFERROR(__xludf.DUMMYFUNCTION("""COMPUTED_VALUE"""),46.0)</f>
        <v>46</v>
      </c>
      <c r="H17788" s="4"/>
      <c r="I17788" s="4"/>
    </row>
    <row r="17789">
      <c r="A17789" s="4" t="str">
        <f>IFERROR(__xludf.DUMMYFUNCTION("""COMPUTED_VALUE"""),"cas_hmw")</f>
        <v>cas_hmw</v>
      </c>
      <c r="B17789" s="5">
        <f>IFERROR(__xludf.DUMMYFUNCTION("""COMPUTED_VALUE"""),44741.0)</f>
        <v>44741</v>
      </c>
      <c r="C17789" s="6">
        <f>IFERROR(__xludf.DUMMYFUNCTION("""COMPUTED_VALUE"""),0.6889583333322662)</f>
        <v>0.6889583333</v>
      </c>
      <c r="D17789" s="4">
        <f>IFERROR(__xludf.DUMMYFUNCTION("""COMPUTED_VALUE"""),12.951435)</f>
        <v>12.951435</v>
      </c>
      <c r="E17789" s="4">
        <f>IFERROR(__xludf.DUMMYFUNCTION("""COMPUTED_VALUE"""),80.14023)</f>
        <v>80.14023</v>
      </c>
      <c r="F17789" s="4">
        <f>IFERROR(__xludf.DUMMYFUNCTION("""COMPUTED_VALUE"""),5339.0)</f>
        <v>5339</v>
      </c>
      <c r="G17789" s="4">
        <f>IFERROR(__xludf.DUMMYFUNCTION("""COMPUTED_VALUE"""),27.0)</f>
        <v>27</v>
      </c>
      <c r="H17789" s="4"/>
      <c r="I17789" s="4"/>
    </row>
    <row r="17790">
      <c r="A17790" s="4" t="str">
        <f>IFERROR(__xludf.DUMMYFUNCTION("""COMPUTED_VALUE"""),"cas_hmw")</f>
        <v>cas_hmw</v>
      </c>
      <c r="B17790" s="5">
        <f>IFERROR(__xludf.DUMMYFUNCTION("""COMPUTED_VALUE"""),44741.0)</f>
        <v>44741</v>
      </c>
      <c r="C17790" s="6">
        <f>IFERROR(__xludf.DUMMYFUNCTION("""COMPUTED_VALUE"""),0.6894444444442343)</f>
        <v>0.6894444444</v>
      </c>
      <c r="D17790" s="4">
        <f>IFERROR(__xludf.DUMMYFUNCTION("""COMPUTED_VALUE"""),12.769234)</f>
        <v>12.769234</v>
      </c>
      <c r="E17790" s="4">
        <f>IFERROR(__xludf.DUMMYFUNCTION("""COMPUTED_VALUE"""),80.006953)</f>
        <v>80.006953</v>
      </c>
      <c r="F17790" s="4">
        <f>IFERROR(__xludf.DUMMYFUNCTION("""COMPUTED_VALUE"""),2846.0)</f>
        <v>2846</v>
      </c>
      <c r="G17790" s="4">
        <f>IFERROR(__xludf.DUMMYFUNCTION("""COMPUTED_VALUE"""),41.0)</f>
        <v>41</v>
      </c>
      <c r="H17790" s="4"/>
      <c r="I17790" s="4"/>
    </row>
    <row r="17791">
      <c r="A17791" s="4" t="str">
        <f>IFERROR(__xludf.DUMMYFUNCTION("""COMPUTED_VALUE"""),"cas_hmw")</f>
        <v>cas_hmw</v>
      </c>
      <c r="B17791" s="5">
        <f>IFERROR(__xludf.DUMMYFUNCTION("""COMPUTED_VALUE"""),44741.0)</f>
        <v>44741</v>
      </c>
      <c r="C17791" s="6">
        <f>IFERROR(__xludf.DUMMYFUNCTION("""COMPUTED_VALUE"""),0.6895138888903602)</f>
        <v>0.6895138889</v>
      </c>
      <c r="D17791" s="4">
        <f>IFERROR(__xludf.DUMMYFUNCTION("""COMPUTED_VALUE"""),12.971646)</f>
        <v>12.971646</v>
      </c>
      <c r="E17791" s="4">
        <f>IFERROR(__xludf.DUMMYFUNCTION("""COMPUTED_VALUE"""),80.151137)</f>
        <v>80.151137</v>
      </c>
      <c r="F17791" s="4">
        <f>IFERROR(__xludf.DUMMYFUNCTION("""COMPUTED_VALUE"""),805.0)</f>
        <v>805</v>
      </c>
      <c r="G17791" s="4">
        <f>IFERROR(__xludf.DUMMYFUNCTION("""COMPUTED_VALUE"""),57.0)</f>
        <v>57</v>
      </c>
      <c r="H17791" s="4"/>
      <c r="I17791" s="4"/>
    </row>
    <row r="17792">
      <c r="A17792" s="4" t="str">
        <f>IFERROR(__xludf.DUMMYFUNCTION("""COMPUTED_VALUE"""),"cas_hmw")</f>
        <v>cas_hmw</v>
      </c>
      <c r="B17792" s="5">
        <f>IFERROR(__xludf.DUMMYFUNCTION("""COMPUTED_VALUE"""),44741.0)</f>
        <v>44741</v>
      </c>
      <c r="C17792" s="6">
        <f>IFERROR(__xludf.DUMMYFUNCTION("""COMPUTED_VALUE"""),0.6911689814805868)</f>
        <v>0.6911689815</v>
      </c>
      <c r="D17792" s="4">
        <f>IFERROR(__xludf.DUMMYFUNCTION("""COMPUTED_VALUE"""),12.982359)</f>
        <v>12.982359</v>
      </c>
      <c r="E17792" s="4">
        <f>IFERROR(__xludf.DUMMYFUNCTION("""COMPUTED_VALUE"""),80.168167)</f>
        <v>80.168167</v>
      </c>
      <c r="F17792" s="4">
        <f>IFERROR(__xludf.DUMMYFUNCTION("""COMPUTED_VALUE"""),805.0)</f>
        <v>805</v>
      </c>
      <c r="G17792" s="4">
        <f>IFERROR(__xludf.DUMMYFUNCTION("""COMPUTED_VALUE"""),58.0)</f>
        <v>58</v>
      </c>
      <c r="H17792" s="4"/>
      <c r="I17792" s="4"/>
    </row>
    <row r="17793">
      <c r="A17793" s="4" t="str">
        <f>IFERROR(__xludf.DUMMYFUNCTION("""COMPUTED_VALUE"""),"cas_hmw")</f>
        <v>cas_hmw</v>
      </c>
      <c r="B17793" s="5">
        <f>IFERROR(__xludf.DUMMYFUNCTION("""COMPUTED_VALUE"""),44741.0)</f>
        <v>44741</v>
      </c>
      <c r="C17793" s="6">
        <f>IFERROR(__xludf.DUMMYFUNCTION("""COMPUTED_VALUE"""),0.6912037037036498)</f>
        <v>0.6912037037</v>
      </c>
      <c r="D17793" s="4">
        <f>IFERROR(__xludf.DUMMYFUNCTION("""COMPUTED_VALUE"""),12.982359)</f>
        <v>12.982359</v>
      </c>
      <c r="E17793" s="4">
        <f>IFERROR(__xludf.DUMMYFUNCTION("""COMPUTED_VALUE"""),80.168167)</f>
        <v>80.168167</v>
      </c>
      <c r="F17793" s="4">
        <f>IFERROR(__xludf.DUMMYFUNCTION("""COMPUTED_VALUE"""),805.0)</f>
        <v>805</v>
      </c>
      <c r="G17793" s="4">
        <f>IFERROR(__xludf.DUMMYFUNCTION("""COMPUTED_VALUE"""),58.0)</f>
        <v>58</v>
      </c>
      <c r="H17793" s="4"/>
      <c r="I17793" s="4"/>
    </row>
    <row r="17794">
      <c r="A17794" s="4" t="str">
        <f>IFERROR(__xludf.DUMMYFUNCTION("""COMPUTED_VALUE"""),"cas_hmw")</f>
        <v>cas_hmw</v>
      </c>
      <c r="B17794" s="5">
        <f>IFERROR(__xludf.DUMMYFUNCTION("""COMPUTED_VALUE"""),44741.0)</f>
        <v>44741</v>
      </c>
      <c r="C17794" s="6">
        <f>IFERROR(__xludf.DUMMYFUNCTION("""COMPUTED_VALUE"""),0.6925694444435067)</f>
        <v>0.6925694444</v>
      </c>
      <c r="D17794" s="4">
        <f>IFERROR(__xludf.DUMMYFUNCTION("""COMPUTED_VALUE"""),12.988382)</f>
        <v>12.988382</v>
      </c>
      <c r="E17794" s="4">
        <f>IFERROR(__xludf.DUMMYFUNCTION("""COMPUTED_VALUE"""),80.177427)</f>
        <v>80.177427</v>
      </c>
      <c r="F17794" s="4">
        <f>IFERROR(__xludf.DUMMYFUNCTION("""COMPUTED_VALUE"""),805.0)</f>
        <v>805</v>
      </c>
      <c r="G17794" s="4">
        <f>IFERROR(__xludf.DUMMYFUNCTION("""COMPUTED_VALUE"""),45.0)</f>
        <v>45</v>
      </c>
      <c r="H17794" s="4"/>
      <c r="I17794" s="4"/>
    </row>
    <row r="17795">
      <c r="A17795" s="4" t="str">
        <f>IFERROR(__xludf.DUMMYFUNCTION("""COMPUTED_VALUE"""),"cas_hmw")</f>
        <v>cas_hmw</v>
      </c>
      <c r="B17795" s="5">
        <f>IFERROR(__xludf.DUMMYFUNCTION("""COMPUTED_VALUE"""),44741.0)</f>
        <v>44741</v>
      </c>
      <c r="C17795" s="6">
        <f>IFERROR(__xludf.DUMMYFUNCTION("""COMPUTED_VALUE"""),0.69300925925927)</f>
        <v>0.6930092593</v>
      </c>
      <c r="D17795" s="4">
        <f>IFERROR(__xludf.DUMMYFUNCTION("""COMPUTED_VALUE"""),12.989043)</f>
        <v>12.989043</v>
      </c>
      <c r="E17795" s="4">
        <f>IFERROR(__xludf.DUMMYFUNCTION("""COMPUTED_VALUE"""),80.178242)</f>
        <v>80.178242</v>
      </c>
      <c r="F17795" s="4">
        <f>IFERROR(__xludf.DUMMYFUNCTION("""COMPUTED_VALUE"""),805.0)</f>
        <v>805</v>
      </c>
      <c r="G17795" s="4">
        <f>IFERROR(__xludf.DUMMYFUNCTION("""COMPUTED_VALUE"""),10.0)</f>
        <v>10</v>
      </c>
      <c r="H17795" s="4"/>
      <c r="I17795" s="4"/>
    </row>
    <row r="17796">
      <c r="A17796" s="4" t="str">
        <f>IFERROR(__xludf.DUMMYFUNCTION("""COMPUTED_VALUE"""),"cas_hmw")</f>
        <v>cas_hmw</v>
      </c>
      <c r="B17796" s="5">
        <f>IFERROR(__xludf.DUMMYFUNCTION("""COMPUTED_VALUE"""),44741.0)</f>
        <v>44741</v>
      </c>
      <c r="C17796" s="6">
        <f>IFERROR(__xludf.DUMMYFUNCTION("""COMPUTED_VALUE"""),0.6942939814798592)</f>
        <v>0.6942939815</v>
      </c>
      <c r="D17796" s="4">
        <f>IFERROR(__xludf.DUMMYFUNCTION("""COMPUTED_VALUE"""),12.733876)</f>
        <v>12.733876</v>
      </c>
      <c r="E17796" s="4">
        <f>IFERROR(__xludf.DUMMYFUNCTION("""COMPUTED_VALUE"""),79.984613)</f>
        <v>79.984613</v>
      </c>
      <c r="F17796" s="4">
        <f>IFERROR(__xludf.DUMMYFUNCTION("""COMPUTED_VALUE"""),2846.0)</f>
        <v>2846</v>
      </c>
      <c r="G17796" s="4">
        <f>IFERROR(__xludf.DUMMYFUNCTION("""COMPUTED_VALUE"""),51.0)</f>
        <v>51</v>
      </c>
      <c r="H17796" s="4"/>
      <c r="I17796" s="4"/>
    </row>
    <row r="17797">
      <c r="A17797" s="4" t="str">
        <f>IFERROR(__xludf.DUMMYFUNCTION("""COMPUTED_VALUE"""),"cas_hmw")</f>
        <v>cas_hmw</v>
      </c>
      <c r="B17797" s="5">
        <f>IFERROR(__xludf.DUMMYFUNCTION("""COMPUTED_VALUE"""),44741.0)</f>
        <v>44741</v>
      </c>
      <c r="C17797" s="6">
        <f>IFERROR(__xludf.DUMMYFUNCTION("""COMPUTED_VALUE"""),0.6944560185183946)</f>
        <v>0.6944560185</v>
      </c>
      <c r="D17797" s="4">
        <f>IFERROR(__xludf.DUMMYFUNCTION("""COMPUTED_VALUE"""),12.733876)</f>
        <v>12.733876</v>
      </c>
      <c r="E17797" s="4">
        <f>IFERROR(__xludf.DUMMYFUNCTION("""COMPUTED_VALUE"""),79.984613)</f>
        <v>79.984613</v>
      </c>
      <c r="F17797" s="4">
        <f>IFERROR(__xludf.DUMMYFUNCTION("""COMPUTED_VALUE"""),2846.0)</f>
        <v>2846</v>
      </c>
      <c r="G17797" s="4">
        <f>IFERROR(__xludf.DUMMYFUNCTION("""COMPUTED_VALUE"""),51.0)</f>
        <v>51</v>
      </c>
      <c r="H17797" s="4"/>
      <c r="I17797" s="4"/>
    </row>
    <row r="17798">
      <c r="A17798" s="4" t="str">
        <f>IFERROR(__xludf.DUMMYFUNCTION("""COMPUTED_VALUE"""),"cas_hmw")</f>
        <v>cas_hmw</v>
      </c>
      <c r="B17798" s="5">
        <f>IFERROR(__xludf.DUMMYFUNCTION("""COMPUTED_VALUE"""),44741.0)</f>
        <v>44741</v>
      </c>
      <c r="C17798" s="6">
        <f>IFERROR(__xludf.DUMMYFUNCTION("""COMPUTED_VALUE"""),0.6946296296300716)</f>
        <v>0.6946296296</v>
      </c>
      <c r="D17798" s="4">
        <f>IFERROR(__xludf.DUMMYFUNCTION("""COMPUTED_VALUE"""),12.995806)</f>
        <v>12.995806</v>
      </c>
      <c r="E17798" s="4">
        <f>IFERROR(__xludf.DUMMYFUNCTION("""COMPUTED_VALUE"""),80.188903)</f>
        <v>80.188903</v>
      </c>
      <c r="F17798" s="4">
        <f>IFERROR(__xludf.DUMMYFUNCTION("""COMPUTED_VALUE"""),805.0)</f>
        <v>805</v>
      </c>
      <c r="G17798" s="4">
        <f>IFERROR(__xludf.DUMMYFUNCTION("""COMPUTED_VALUE"""),0.0)</f>
        <v>0</v>
      </c>
      <c r="H17798" s="4"/>
      <c r="I17798" s="4"/>
    </row>
    <row r="17799">
      <c r="A17799" s="4" t="str">
        <f>IFERROR(__xludf.DUMMYFUNCTION("""COMPUTED_VALUE"""),"cas_hmw")</f>
        <v>cas_hmw</v>
      </c>
      <c r="B17799" s="5">
        <f>IFERROR(__xludf.DUMMYFUNCTION("""COMPUTED_VALUE"""),44741.0)</f>
        <v>44741</v>
      </c>
      <c r="C17799" s="6">
        <f>IFERROR(__xludf.DUMMYFUNCTION("""COMPUTED_VALUE"""),0.6947453703687643)</f>
        <v>0.6947453704</v>
      </c>
      <c r="D17799" s="4">
        <f>IFERROR(__xludf.DUMMYFUNCTION("""COMPUTED_VALUE"""),12.995806)</f>
        <v>12.995806</v>
      </c>
      <c r="E17799" s="4">
        <f>IFERROR(__xludf.DUMMYFUNCTION("""COMPUTED_VALUE"""),80.188903)</f>
        <v>80.188903</v>
      </c>
      <c r="F17799" s="4">
        <f>IFERROR(__xludf.DUMMYFUNCTION("""COMPUTED_VALUE"""),805.0)</f>
        <v>805</v>
      </c>
      <c r="G17799" s="4">
        <f>IFERROR(__xludf.DUMMYFUNCTION("""COMPUTED_VALUE"""),0.0)</f>
        <v>0</v>
      </c>
      <c r="H17799" s="4"/>
      <c r="I17799" s="4"/>
    </row>
    <row r="17800">
      <c r="A17800" s="4" t="str">
        <f>IFERROR(__xludf.DUMMYFUNCTION("""COMPUTED_VALUE"""),"cas_hmw")</f>
        <v>cas_hmw</v>
      </c>
      <c r="B17800" s="5">
        <f>IFERROR(__xludf.DUMMYFUNCTION("""COMPUTED_VALUE"""),44741.0)</f>
        <v>44741</v>
      </c>
      <c r="C17800" s="6">
        <f>IFERROR(__xludf.DUMMYFUNCTION("""COMPUTED_VALUE"""),0.6948611111110949)</f>
        <v>0.6948611111</v>
      </c>
      <c r="D17800" s="4">
        <f>IFERROR(__xludf.DUMMYFUNCTION("""COMPUTED_VALUE"""),12.995806)</f>
        <v>12.995806</v>
      </c>
      <c r="E17800" s="4">
        <f>IFERROR(__xludf.DUMMYFUNCTION("""COMPUTED_VALUE"""),80.188903)</f>
        <v>80.188903</v>
      </c>
      <c r="F17800" s="4">
        <f>IFERROR(__xludf.DUMMYFUNCTION("""COMPUTED_VALUE"""),805.0)</f>
        <v>805</v>
      </c>
      <c r="G17800" s="4">
        <f>IFERROR(__xludf.DUMMYFUNCTION("""COMPUTED_VALUE"""),0.0)</f>
        <v>0</v>
      </c>
      <c r="H17800" s="4"/>
      <c r="I17800" s="4"/>
    </row>
    <row r="17801">
      <c r="A17801" s="4" t="str">
        <f>IFERROR(__xludf.DUMMYFUNCTION("""COMPUTED_VALUE"""),"cas_hmw")</f>
        <v>cas_hmw</v>
      </c>
      <c r="B17801" s="5">
        <f>IFERROR(__xludf.DUMMYFUNCTION("""COMPUTED_VALUE"""),44741.0)</f>
        <v>44741</v>
      </c>
      <c r="C17801" s="6">
        <f>IFERROR(__xludf.DUMMYFUNCTION("""COMPUTED_VALUE"""),0.6951851851845277)</f>
        <v>0.6951851852</v>
      </c>
      <c r="D17801" s="4">
        <f>IFERROR(__xludf.DUMMYFUNCTION("""COMPUTED_VALUE"""),12.997297)</f>
        <v>12.997297</v>
      </c>
      <c r="E17801" s="4">
        <f>IFERROR(__xludf.DUMMYFUNCTION("""COMPUTED_VALUE"""),80.190681)</f>
        <v>80.190681</v>
      </c>
      <c r="F17801" s="4">
        <f>IFERROR(__xludf.DUMMYFUNCTION("""COMPUTED_VALUE"""),805.0)</f>
        <v>805</v>
      </c>
      <c r="G17801" s="4">
        <f>IFERROR(__xludf.DUMMYFUNCTION("""COMPUTED_VALUE"""),41.0)</f>
        <v>41</v>
      </c>
      <c r="H17801" s="4"/>
      <c r="I17801" s="4"/>
    </row>
    <row r="17802">
      <c r="A17802" s="4" t="str">
        <f>IFERROR(__xludf.DUMMYFUNCTION("""COMPUTED_VALUE"""),"cas_hmw")</f>
        <v>cas_hmw</v>
      </c>
      <c r="B17802" s="5">
        <f>IFERROR(__xludf.DUMMYFUNCTION("""COMPUTED_VALUE"""),44741.0)</f>
        <v>44741</v>
      </c>
      <c r="C17802" s="6">
        <f>IFERROR(__xludf.DUMMYFUNCTION("""COMPUTED_VALUE"""),0.695381944446126)</f>
        <v>0.6953819444</v>
      </c>
      <c r="D17802" s="4">
        <f>IFERROR(__xludf.DUMMYFUNCTION("""COMPUTED_VALUE"""),12.72417)</f>
        <v>12.72417</v>
      </c>
      <c r="E17802" s="4">
        <f>IFERROR(__xludf.DUMMYFUNCTION("""COMPUTED_VALUE"""),79.982128)</f>
        <v>79.982128</v>
      </c>
      <c r="F17802" s="4">
        <f>IFERROR(__xludf.DUMMYFUNCTION("""COMPUTED_VALUE"""),2846.0)</f>
        <v>2846</v>
      </c>
      <c r="G17802" s="4">
        <f>IFERROR(__xludf.DUMMYFUNCTION("""COMPUTED_VALUE"""),0.0)</f>
        <v>0</v>
      </c>
      <c r="H17802" s="4"/>
      <c r="I17802" s="4"/>
    </row>
    <row r="17803">
      <c r="A17803" s="4" t="str">
        <f>IFERROR(__xludf.DUMMYFUNCTION("""COMPUTED_VALUE"""),"cas_hmw")</f>
        <v>cas_hmw</v>
      </c>
      <c r="B17803" s="5">
        <f>IFERROR(__xludf.DUMMYFUNCTION("""COMPUTED_VALUE"""),44741.0)</f>
        <v>44741</v>
      </c>
      <c r="C17803" s="6">
        <f>IFERROR(__xludf.DUMMYFUNCTION("""COMPUTED_VALUE"""),0.695451388888614)</f>
        <v>0.6954513889</v>
      </c>
      <c r="D17803" s="4">
        <f>IFERROR(__xludf.DUMMYFUNCTION("""COMPUTED_VALUE"""),12.999293)</f>
        <v>12.999293</v>
      </c>
      <c r="E17803" s="4">
        <f>IFERROR(__xludf.DUMMYFUNCTION("""COMPUTED_VALUE"""),80.193225)</f>
        <v>80.193225</v>
      </c>
      <c r="F17803" s="4">
        <f>IFERROR(__xludf.DUMMYFUNCTION("""COMPUTED_VALUE"""),805.0)</f>
        <v>805</v>
      </c>
      <c r="G17803" s="4">
        <f>IFERROR(__xludf.DUMMYFUNCTION("""COMPUTED_VALUE"""),37.0)</f>
        <v>37</v>
      </c>
      <c r="H17803" s="4"/>
      <c r="I17803" s="4"/>
    </row>
    <row r="17804">
      <c r="A17804" s="4" t="str">
        <f>IFERROR(__xludf.DUMMYFUNCTION("""COMPUTED_VALUE"""),"cas_hmw")</f>
        <v>cas_hmw</v>
      </c>
      <c r="B17804" s="5">
        <f>IFERROR(__xludf.DUMMYFUNCTION("""COMPUTED_VALUE"""),44741.0)</f>
        <v>44741</v>
      </c>
      <c r="C17804" s="6">
        <f>IFERROR(__xludf.DUMMYFUNCTION("""COMPUTED_VALUE"""),0.6955324074078817)</f>
        <v>0.6955324074</v>
      </c>
      <c r="D17804" s="4">
        <f>IFERROR(__xludf.DUMMYFUNCTION("""COMPUTED_VALUE"""),12.999293)</f>
        <v>12.999293</v>
      </c>
      <c r="E17804" s="4">
        <f>IFERROR(__xludf.DUMMYFUNCTION("""COMPUTED_VALUE"""),80.193225)</f>
        <v>80.193225</v>
      </c>
      <c r="F17804" s="4">
        <f>IFERROR(__xludf.DUMMYFUNCTION("""COMPUTED_VALUE"""),805.0)</f>
        <v>805</v>
      </c>
      <c r="G17804" s="4">
        <f>IFERROR(__xludf.DUMMYFUNCTION("""COMPUTED_VALUE"""),37.0)</f>
        <v>37</v>
      </c>
      <c r="H17804" s="4"/>
      <c r="I17804" s="4"/>
    </row>
    <row r="17805">
      <c r="A17805" s="4" t="str">
        <f>IFERROR(__xludf.DUMMYFUNCTION("""COMPUTED_VALUE"""),"cas_hmw")</f>
        <v>cas_hmw</v>
      </c>
      <c r="B17805" s="5">
        <f>IFERROR(__xludf.DUMMYFUNCTION("""COMPUTED_VALUE"""),44741.0)</f>
        <v>44741</v>
      </c>
      <c r="C17805" s="6">
        <f>IFERROR(__xludf.DUMMYFUNCTION("""COMPUTED_VALUE"""),0.695625000000291)</f>
        <v>0.695625</v>
      </c>
      <c r="D17805" s="4">
        <f>IFERROR(__xludf.DUMMYFUNCTION("""COMPUTED_VALUE"""),12.999293)</f>
        <v>12.999293</v>
      </c>
      <c r="E17805" s="4">
        <f>IFERROR(__xludf.DUMMYFUNCTION("""COMPUTED_VALUE"""),80.193225)</f>
        <v>80.193225</v>
      </c>
      <c r="F17805" s="4">
        <f>IFERROR(__xludf.DUMMYFUNCTION("""COMPUTED_VALUE"""),805.0)</f>
        <v>805</v>
      </c>
      <c r="G17805" s="4">
        <f>IFERROR(__xludf.DUMMYFUNCTION("""COMPUTED_VALUE"""),37.0)</f>
        <v>37</v>
      </c>
      <c r="H17805" s="4"/>
      <c r="I17805" s="4"/>
    </row>
    <row r="17806">
      <c r="A17806" s="4" t="str">
        <f>IFERROR(__xludf.DUMMYFUNCTION("""COMPUTED_VALUE"""),"cas_hmw")</f>
        <v>cas_hmw</v>
      </c>
      <c r="B17806" s="5">
        <f>IFERROR(__xludf.DUMMYFUNCTION("""COMPUTED_VALUE"""),44741.0)</f>
        <v>44741</v>
      </c>
      <c r="C17806" s="6">
        <f>IFERROR(__xludf.DUMMYFUNCTION("""COMPUTED_VALUE"""),0.6958796296312357)</f>
        <v>0.6958796296</v>
      </c>
      <c r="D17806" s="4">
        <f>IFERROR(__xludf.DUMMYFUNCTION("""COMPUTED_VALUE"""),13.001448)</f>
        <v>13.001448</v>
      </c>
      <c r="E17806" s="4">
        <f>IFERROR(__xludf.DUMMYFUNCTION("""COMPUTED_VALUE"""),80.195917)</f>
        <v>80.195917</v>
      </c>
      <c r="F17806" s="4">
        <f>IFERROR(__xludf.DUMMYFUNCTION("""COMPUTED_VALUE"""),805.0)</f>
        <v>805</v>
      </c>
      <c r="G17806" s="4">
        <f>IFERROR(__xludf.DUMMYFUNCTION("""COMPUTED_VALUE"""),41.0)</f>
        <v>41</v>
      </c>
      <c r="H17806" s="4"/>
      <c r="I17806" s="4"/>
    </row>
    <row r="17807">
      <c r="A17807" s="4" t="str">
        <f>IFERROR(__xludf.DUMMYFUNCTION("""COMPUTED_VALUE"""),"cas_hmw")</f>
        <v>cas_hmw</v>
      </c>
      <c r="B17807" s="5">
        <f>IFERROR(__xludf.DUMMYFUNCTION("""COMPUTED_VALUE"""),44741.0)</f>
        <v>44741</v>
      </c>
      <c r="C17807" s="6">
        <f>IFERROR(__xludf.DUMMYFUNCTION("""COMPUTED_VALUE"""),0.6959375000005821)</f>
        <v>0.6959375</v>
      </c>
      <c r="D17807" s="4">
        <f>IFERROR(__xludf.DUMMYFUNCTION("""COMPUTED_VALUE"""),13.001448)</f>
        <v>13.001448</v>
      </c>
      <c r="E17807" s="4">
        <f>IFERROR(__xludf.DUMMYFUNCTION("""COMPUTED_VALUE"""),80.195917)</f>
        <v>80.195917</v>
      </c>
      <c r="F17807" s="4">
        <f>IFERROR(__xludf.DUMMYFUNCTION("""COMPUTED_VALUE"""),805.0)</f>
        <v>805</v>
      </c>
      <c r="G17807" s="4">
        <f>IFERROR(__xludf.DUMMYFUNCTION("""COMPUTED_VALUE"""),41.0)</f>
        <v>41</v>
      </c>
      <c r="H17807" s="4"/>
      <c r="I17807" s="4"/>
    </row>
    <row r="17808">
      <c r="A17808" s="4" t="str">
        <f>IFERROR(__xludf.DUMMYFUNCTION("""COMPUTED_VALUE"""),"cas_hmw")</f>
        <v>cas_hmw</v>
      </c>
      <c r="B17808" s="5">
        <f>IFERROR(__xludf.DUMMYFUNCTION("""COMPUTED_VALUE"""),44741.0)</f>
        <v>44741</v>
      </c>
      <c r="C17808" s="6">
        <f>IFERROR(__xludf.DUMMYFUNCTION("""COMPUTED_VALUE"""),0.6959375000005821)</f>
        <v>0.6959375</v>
      </c>
      <c r="D17808" s="4">
        <f>IFERROR(__xludf.DUMMYFUNCTION("""COMPUTED_VALUE"""),13.001448)</f>
        <v>13.001448</v>
      </c>
      <c r="E17808" s="4">
        <f>IFERROR(__xludf.DUMMYFUNCTION("""COMPUTED_VALUE"""),80.195917)</f>
        <v>80.195917</v>
      </c>
      <c r="F17808" s="4">
        <f>IFERROR(__xludf.DUMMYFUNCTION("""COMPUTED_VALUE"""),805.0)</f>
        <v>805</v>
      </c>
      <c r="G17808" s="4">
        <f>IFERROR(__xludf.DUMMYFUNCTION("""COMPUTED_VALUE"""),41.0)</f>
        <v>41</v>
      </c>
      <c r="H17808" s="4"/>
      <c r="I17808" s="4"/>
    </row>
    <row r="17809">
      <c r="A17809" s="4" t="str">
        <f>IFERROR(__xludf.DUMMYFUNCTION("""COMPUTED_VALUE"""),"cas_hmw")</f>
        <v>cas_hmw</v>
      </c>
      <c r="B17809" s="5">
        <f>IFERROR(__xludf.DUMMYFUNCTION("""COMPUTED_VALUE"""),44741.0)</f>
        <v>44741</v>
      </c>
      <c r="C17809" s="6">
        <f>IFERROR(__xludf.DUMMYFUNCTION("""COMPUTED_VALUE"""),0.6959722222236451)</f>
        <v>0.6959722222</v>
      </c>
      <c r="D17809" s="4">
        <f>IFERROR(__xludf.DUMMYFUNCTION("""COMPUTED_VALUE"""),13.001448)</f>
        <v>13.001448</v>
      </c>
      <c r="E17809" s="4">
        <f>IFERROR(__xludf.DUMMYFUNCTION("""COMPUTED_VALUE"""),80.195917)</f>
        <v>80.195917</v>
      </c>
      <c r="F17809" s="4">
        <f>IFERROR(__xludf.DUMMYFUNCTION("""COMPUTED_VALUE"""),805.0)</f>
        <v>805</v>
      </c>
      <c r="G17809" s="4">
        <f>IFERROR(__xludf.DUMMYFUNCTION("""COMPUTED_VALUE"""),41.0)</f>
        <v>41</v>
      </c>
      <c r="H17809" s="4"/>
      <c r="I17809" s="4"/>
    </row>
    <row r="17810">
      <c r="A17810" s="4" t="str">
        <f>IFERROR(__xludf.DUMMYFUNCTION("""COMPUTED_VALUE"""),"cas_hmw")</f>
        <v>cas_hmw</v>
      </c>
      <c r="B17810" s="5">
        <f>IFERROR(__xludf.DUMMYFUNCTION("""COMPUTED_VALUE"""),44741.0)</f>
        <v>44741</v>
      </c>
      <c r="C17810" s="6">
        <f>IFERROR(__xludf.DUMMYFUNCTION("""COMPUTED_VALUE"""),0.6962731481471565)</f>
        <v>0.6962731481</v>
      </c>
      <c r="D17810" s="4">
        <f>IFERROR(__xludf.DUMMYFUNCTION("""COMPUTED_VALUE"""),13.001904)</f>
        <v>13.001904</v>
      </c>
      <c r="E17810" s="4">
        <f>IFERROR(__xludf.DUMMYFUNCTION("""COMPUTED_VALUE"""),80.19982)</f>
        <v>80.19982</v>
      </c>
      <c r="F17810" s="4">
        <f>IFERROR(__xludf.DUMMYFUNCTION("""COMPUTED_VALUE"""),805.0)</f>
        <v>805</v>
      </c>
      <c r="G17810" s="4">
        <f>IFERROR(__xludf.DUMMYFUNCTION("""COMPUTED_VALUE"""),58.0)</f>
        <v>58</v>
      </c>
      <c r="H17810" s="4"/>
      <c r="I17810" s="4"/>
    </row>
    <row r="17811">
      <c r="A17811" s="4" t="str">
        <f>IFERROR(__xludf.DUMMYFUNCTION("""COMPUTED_VALUE"""),"cas_hmw")</f>
        <v>cas_hmw</v>
      </c>
      <c r="B17811" s="5">
        <f>IFERROR(__xludf.DUMMYFUNCTION("""COMPUTED_VALUE"""),44741.0)</f>
        <v>44741</v>
      </c>
      <c r="C17811" s="6">
        <f>IFERROR(__xludf.DUMMYFUNCTION("""COMPUTED_VALUE"""),0.6968171296284709)</f>
        <v>0.6968171296</v>
      </c>
      <c r="D17811" s="4">
        <f>IFERROR(__xludf.DUMMYFUNCTION("""COMPUTED_VALUE"""),12.988151)</f>
        <v>12.988151</v>
      </c>
      <c r="E17811" s="4">
        <f>IFERROR(__xludf.DUMMYFUNCTION("""COMPUTED_VALUE"""),80.177082)</f>
        <v>80.177082</v>
      </c>
      <c r="F17811" s="4">
        <f>IFERROR(__xludf.DUMMYFUNCTION("""COMPUTED_VALUE"""),5339.0)</f>
        <v>5339</v>
      </c>
      <c r="G17811" s="4">
        <f>IFERROR(__xludf.DUMMYFUNCTION("""COMPUTED_VALUE"""),41.0)</f>
        <v>41</v>
      </c>
      <c r="H17811" s="4"/>
      <c r="I17811" s="4"/>
    </row>
    <row r="17812">
      <c r="A17812" s="4" t="str">
        <f>IFERROR(__xludf.DUMMYFUNCTION("""COMPUTED_VALUE"""),"cas_hmw")</f>
        <v>cas_hmw</v>
      </c>
      <c r="B17812" s="5">
        <f>IFERROR(__xludf.DUMMYFUNCTION("""COMPUTED_VALUE"""),44741.0)</f>
        <v>44741</v>
      </c>
      <c r="C17812" s="6">
        <f>IFERROR(__xludf.DUMMYFUNCTION("""COMPUTED_VALUE"""),0.6968402777783922)</f>
        <v>0.6968402778</v>
      </c>
      <c r="D17812" s="4">
        <f>IFERROR(__xludf.DUMMYFUNCTION("""COMPUTED_VALUE"""),13.005667)</f>
        <v>13.005667</v>
      </c>
      <c r="E17812" s="4">
        <f>IFERROR(__xludf.DUMMYFUNCTION("""COMPUTED_VALUE"""),80.201937)</f>
        <v>80.201937</v>
      </c>
      <c r="F17812" s="4">
        <f>IFERROR(__xludf.DUMMYFUNCTION("""COMPUTED_VALUE"""),805.0)</f>
        <v>805</v>
      </c>
      <c r="G17812" s="4">
        <f>IFERROR(__xludf.DUMMYFUNCTION("""COMPUTED_VALUE"""),43.0)</f>
        <v>43</v>
      </c>
      <c r="H17812" s="4"/>
      <c r="I17812" s="4"/>
    </row>
    <row r="17813">
      <c r="A17813" s="4" t="str">
        <f>IFERROR(__xludf.DUMMYFUNCTION("""COMPUTED_VALUE"""),"cas_hmw")</f>
        <v>cas_hmw</v>
      </c>
      <c r="B17813" s="5">
        <f>IFERROR(__xludf.DUMMYFUNCTION("""COMPUTED_VALUE"""),44741.0)</f>
        <v>44741</v>
      </c>
      <c r="C17813" s="6">
        <f>IFERROR(__xludf.DUMMYFUNCTION("""COMPUTED_VALUE"""),0.6974074074059899)</f>
        <v>0.6974074074</v>
      </c>
      <c r="D17813" s="4">
        <f>IFERROR(__xludf.DUMMYFUNCTION("""COMPUTED_VALUE"""),13.008133)</f>
        <v>13.008133</v>
      </c>
      <c r="E17813" s="4">
        <f>IFERROR(__xludf.DUMMYFUNCTION("""COMPUTED_VALUE"""),80.202797)</f>
        <v>80.202797</v>
      </c>
      <c r="F17813" s="4">
        <f>IFERROR(__xludf.DUMMYFUNCTION("""COMPUTED_VALUE"""),805.0)</f>
        <v>805</v>
      </c>
      <c r="G17813" s="4">
        <f>IFERROR(__xludf.DUMMYFUNCTION("""COMPUTED_VALUE"""),35.0)</f>
        <v>35</v>
      </c>
      <c r="H17813" s="4"/>
      <c r="I17813" s="4"/>
    </row>
    <row r="17814">
      <c r="A17814" s="4" t="str">
        <f>IFERROR(__xludf.DUMMYFUNCTION("""COMPUTED_VALUE"""),"cas_hmw")</f>
        <v>cas_hmw</v>
      </c>
      <c r="B17814" s="5">
        <f>IFERROR(__xludf.DUMMYFUNCTION("""COMPUTED_VALUE"""),44741.0)</f>
        <v>44741</v>
      </c>
      <c r="C17814" s="6">
        <f>IFERROR(__xludf.DUMMYFUNCTION("""COMPUTED_VALUE"""),0.6977083333331393)</f>
        <v>0.6977083333</v>
      </c>
      <c r="D17814" s="4">
        <f>IFERROR(__xludf.DUMMYFUNCTION("""COMPUTED_VALUE"""),13.007608)</f>
        <v>13.007608</v>
      </c>
      <c r="E17814" s="4">
        <f>IFERROR(__xludf.DUMMYFUNCTION("""COMPUTED_VALUE"""),80.204168)</f>
        <v>80.204168</v>
      </c>
      <c r="F17814" s="4">
        <f>IFERROR(__xludf.DUMMYFUNCTION("""COMPUTED_VALUE"""),805.0)</f>
        <v>805</v>
      </c>
      <c r="G17814" s="4">
        <f>IFERROR(__xludf.DUMMYFUNCTION("""COMPUTED_VALUE"""),57.0)</f>
        <v>57</v>
      </c>
      <c r="H17814" s="4"/>
      <c r="I17814" s="4"/>
    </row>
    <row r="17815">
      <c r="A17815" s="4" t="str">
        <f>IFERROR(__xludf.DUMMYFUNCTION("""COMPUTED_VALUE"""),"cas_hmw")</f>
        <v>cas_hmw</v>
      </c>
      <c r="B17815" s="5">
        <f>IFERROR(__xludf.DUMMYFUNCTION("""COMPUTED_VALUE"""),44741.0)</f>
        <v>44741</v>
      </c>
      <c r="C17815" s="6">
        <f>IFERROR(__xludf.DUMMYFUNCTION("""COMPUTED_VALUE"""),0.6978356481486117)</f>
        <v>0.6978356481</v>
      </c>
      <c r="D17815" s="4">
        <f>IFERROR(__xludf.DUMMYFUNCTION("""COMPUTED_VALUE"""),12.702926)</f>
        <v>12.702926</v>
      </c>
      <c r="E17815" s="4">
        <f>IFERROR(__xludf.DUMMYFUNCTION("""COMPUTED_VALUE"""),79.976619)</f>
        <v>79.976619</v>
      </c>
      <c r="F17815" s="4">
        <f>IFERROR(__xludf.DUMMYFUNCTION("""COMPUTED_VALUE"""),2846.0)</f>
        <v>2846</v>
      </c>
      <c r="G17815" s="4">
        <f>IFERROR(__xludf.DUMMYFUNCTION("""COMPUTED_VALUE"""),44.0)</f>
        <v>44</v>
      </c>
      <c r="H17815" s="4"/>
      <c r="I17815" s="4"/>
    </row>
    <row r="17816">
      <c r="A17816" s="4" t="str">
        <f>IFERROR(__xludf.DUMMYFUNCTION("""COMPUTED_VALUE"""),"cas_hmw")</f>
        <v>cas_hmw</v>
      </c>
      <c r="B17816" s="5">
        <f>IFERROR(__xludf.DUMMYFUNCTION("""COMPUTED_VALUE"""),44741.0)</f>
        <v>44741</v>
      </c>
      <c r="C17816" s="6">
        <f>IFERROR(__xludf.DUMMYFUNCTION("""COMPUTED_VALUE"""),0.6980902777795563)</f>
        <v>0.6980902778</v>
      </c>
      <c r="D17816" s="4">
        <f>IFERROR(__xludf.DUMMYFUNCTION("""COMPUTED_VALUE"""),13.008568)</f>
        <v>13.008568</v>
      </c>
      <c r="E17816" s="4">
        <f>IFERROR(__xludf.DUMMYFUNCTION("""COMPUTED_VALUE"""),80.210506)</f>
        <v>80.210506</v>
      </c>
      <c r="F17816" s="4">
        <f>IFERROR(__xludf.DUMMYFUNCTION("""COMPUTED_VALUE"""),805.0)</f>
        <v>805</v>
      </c>
      <c r="G17816" s="4">
        <f>IFERROR(__xludf.DUMMYFUNCTION("""COMPUTED_VALUE"""),49.0)</f>
        <v>49</v>
      </c>
      <c r="H17816" s="4"/>
      <c r="I17816" s="4"/>
    </row>
    <row r="17817">
      <c r="A17817" s="4" t="str">
        <f>IFERROR(__xludf.DUMMYFUNCTION("""COMPUTED_VALUE"""),"cas_hmw")</f>
        <v>cas_hmw</v>
      </c>
      <c r="B17817" s="5">
        <f>IFERROR(__xludf.DUMMYFUNCTION("""COMPUTED_VALUE"""),44741.0)</f>
        <v>44741</v>
      </c>
      <c r="C17817" s="6">
        <f>IFERROR(__xludf.DUMMYFUNCTION("""COMPUTED_VALUE"""),0.6983217592605797)</f>
        <v>0.6983217593</v>
      </c>
      <c r="D17817" s="4">
        <f>IFERROR(__xludf.DUMMYFUNCTION("""COMPUTED_VALUE"""),13.009233)</f>
        <v>13.009233</v>
      </c>
      <c r="E17817" s="4">
        <f>IFERROR(__xludf.DUMMYFUNCTION("""COMPUTED_VALUE"""),80.212391)</f>
        <v>80.212391</v>
      </c>
      <c r="F17817" s="4">
        <f>IFERROR(__xludf.DUMMYFUNCTION("""COMPUTED_VALUE"""),805.0)</f>
        <v>805</v>
      </c>
      <c r="G17817" s="4">
        <f>IFERROR(__xludf.DUMMYFUNCTION("""COMPUTED_VALUE"""),48.0)</f>
        <v>48</v>
      </c>
      <c r="H17817" s="4"/>
      <c r="I17817" s="4"/>
    </row>
    <row r="17818">
      <c r="A17818" s="4" t="str">
        <f>IFERROR(__xludf.DUMMYFUNCTION("""COMPUTED_VALUE"""),"cas_hmw")</f>
        <v>cas_hmw</v>
      </c>
      <c r="B17818" s="5">
        <f>IFERROR(__xludf.DUMMYFUNCTION("""COMPUTED_VALUE"""),44741.0)</f>
        <v>44741</v>
      </c>
      <c r="C17818" s="6">
        <f>IFERROR(__xludf.DUMMYFUNCTION("""COMPUTED_VALUE"""),0.6984953703686188)</f>
        <v>0.6984953704</v>
      </c>
      <c r="D17818" s="4">
        <f>IFERROR(__xludf.DUMMYFUNCTION("""COMPUTED_VALUE"""),13.010091)</f>
        <v>13.010091</v>
      </c>
      <c r="E17818" s="4">
        <f>IFERROR(__xludf.DUMMYFUNCTION("""COMPUTED_VALUE"""),80.214525)</f>
        <v>80.214525</v>
      </c>
      <c r="F17818" s="4">
        <f>IFERROR(__xludf.DUMMYFUNCTION("""COMPUTED_VALUE"""),805.0)</f>
        <v>805</v>
      </c>
      <c r="G17818" s="4">
        <f>IFERROR(__xludf.DUMMYFUNCTION("""COMPUTED_VALUE"""),47.0)</f>
        <v>47</v>
      </c>
      <c r="H17818" s="4"/>
      <c r="I17818" s="4"/>
    </row>
    <row r="17819">
      <c r="A17819" s="4" t="str">
        <f>IFERROR(__xludf.DUMMYFUNCTION("""COMPUTED_VALUE"""),"cas_hmw")</f>
        <v>cas_hmw</v>
      </c>
      <c r="B17819" s="5">
        <f>IFERROR(__xludf.DUMMYFUNCTION("""COMPUTED_VALUE"""),44741.0)</f>
        <v>44741</v>
      </c>
      <c r="C17819" s="6">
        <f>IFERROR(__xludf.DUMMYFUNCTION("""COMPUTED_VALUE"""),0.6987962962957681)</f>
        <v>0.6987962963</v>
      </c>
      <c r="D17819" s="4">
        <f>IFERROR(__xludf.DUMMYFUNCTION("""COMPUTED_VALUE"""),13.010996)</f>
        <v>13.010996</v>
      </c>
      <c r="E17819" s="4">
        <f>IFERROR(__xludf.DUMMYFUNCTION("""COMPUTED_VALUE"""),80.217244)</f>
        <v>80.217244</v>
      </c>
      <c r="F17819" s="4">
        <f>IFERROR(__xludf.DUMMYFUNCTION("""COMPUTED_VALUE"""),805.0)</f>
        <v>805</v>
      </c>
      <c r="G17819" s="4">
        <f>IFERROR(__xludf.DUMMYFUNCTION("""COMPUTED_VALUE"""),32.0)</f>
        <v>32</v>
      </c>
      <c r="H17819" s="4"/>
      <c r="I17819" s="4"/>
    </row>
    <row r="17820">
      <c r="A17820" s="4" t="str">
        <f>IFERROR(__xludf.DUMMYFUNCTION("""COMPUTED_VALUE"""),"cas_hmw")</f>
        <v>cas_hmw</v>
      </c>
      <c r="B17820" s="5">
        <f>IFERROR(__xludf.DUMMYFUNCTION("""COMPUTED_VALUE"""),44741.0)</f>
        <v>44741</v>
      </c>
      <c r="C17820" s="6">
        <f>IFERROR(__xludf.DUMMYFUNCTION("""COMPUTED_VALUE"""),0.6992592592578148)</f>
        <v>0.6992592593</v>
      </c>
      <c r="D17820" s="4">
        <f>IFERROR(__xludf.DUMMYFUNCTION("""COMPUTED_VALUE"""),12.697293)</f>
        <v>12.697293</v>
      </c>
      <c r="E17820" s="4">
        <f>IFERROR(__xludf.DUMMYFUNCTION("""COMPUTED_VALUE"""),79.976546)</f>
        <v>79.976546</v>
      </c>
      <c r="F17820" s="4">
        <f>IFERROR(__xludf.DUMMYFUNCTION("""COMPUTED_VALUE"""),2846.0)</f>
        <v>2846</v>
      </c>
      <c r="G17820" s="4">
        <f>IFERROR(__xludf.DUMMYFUNCTION("""COMPUTED_VALUE"""),10.0)</f>
        <v>10</v>
      </c>
      <c r="H17820" s="4"/>
      <c r="I17820" s="4"/>
    </row>
    <row r="17821">
      <c r="A17821" s="4" t="str">
        <f>IFERROR(__xludf.DUMMYFUNCTION("""COMPUTED_VALUE"""),"cas_hmw")</f>
        <v>cas_hmw</v>
      </c>
      <c r="B17821" s="5">
        <f>IFERROR(__xludf.DUMMYFUNCTION("""COMPUTED_VALUE"""),44741.0)</f>
        <v>44741</v>
      </c>
      <c r="C17821" s="6">
        <f>IFERROR(__xludf.DUMMYFUNCTION("""COMPUTED_VALUE"""),0.7011111111096398)</f>
        <v>0.7011111111</v>
      </c>
      <c r="D17821" s="4">
        <f>IFERROR(__xludf.DUMMYFUNCTION("""COMPUTED_VALUE"""),13.001883)</f>
        <v>13.001883</v>
      </c>
      <c r="E17821" s="4">
        <f>IFERROR(__xludf.DUMMYFUNCTION("""COMPUTED_VALUE"""),80.198616)</f>
        <v>80.198616</v>
      </c>
      <c r="F17821" s="4">
        <f>IFERROR(__xludf.DUMMYFUNCTION("""COMPUTED_VALUE"""),5339.0)</f>
        <v>5339</v>
      </c>
      <c r="G17821" s="4">
        <f>IFERROR(__xludf.DUMMYFUNCTION("""COMPUTED_VALUE"""),50.0)</f>
        <v>50</v>
      </c>
      <c r="H17821" s="4"/>
      <c r="I17821" s="4"/>
    </row>
    <row r="17822">
      <c r="A17822" s="4" t="str">
        <f>IFERROR(__xludf.DUMMYFUNCTION("""COMPUTED_VALUE"""),"cas_hmw")</f>
        <v>cas_hmw</v>
      </c>
      <c r="B17822" s="5">
        <f>IFERROR(__xludf.DUMMYFUNCTION("""COMPUTED_VALUE"""),44741.0)</f>
        <v>44741</v>
      </c>
      <c r="C17822" s="6">
        <f>IFERROR(__xludf.DUMMYFUNCTION("""COMPUTED_VALUE"""),0.7016782407408755)</f>
        <v>0.7016782407</v>
      </c>
      <c r="D17822" s="4">
        <f>IFERROR(__xludf.DUMMYFUNCTION("""COMPUTED_VALUE"""),13.015347)</f>
        <v>13.015347</v>
      </c>
      <c r="E17822" s="4">
        <f>IFERROR(__xludf.DUMMYFUNCTION("""COMPUTED_VALUE"""),80.225671)</f>
        <v>80.225671</v>
      </c>
      <c r="F17822" s="4">
        <f>IFERROR(__xludf.DUMMYFUNCTION("""COMPUTED_VALUE"""),805.0)</f>
        <v>805</v>
      </c>
      <c r="G17822" s="4">
        <f>IFERROR(__xludf.DUMMYFUNCTION("""COMPUTED_VALUE"""),13.0)</f>
        <v>13</v>
      </c>
      <c r="H17822" s="4"/>
      <c r="I17822" s="4"/>
    </row>
    <row r="17823">
      <c r="A17823" s="4" t="str">
        <f>IFERROR(__xludf.DUMMYFUNCTION("""COMPUTED_VALUE"""),"cas_hmw")</f>
        <v>cas_hmw</v>
      </c>
      <c r="B17823" s="5">
        <f>IFERROR(__xludf.DUMMYFUNCTION("""COMPUTED_VALUE"""),44741.0)</f>
        <v>44741</v>
      </c>
      <c r="C17823" s="6">
        <f>IFERROR(__xludf.DUMMYFUNCTION("""COMPUTED_VALUE"""),0.7018402777794108)</f>
        <v>0.7018402778</v>
      </c>
      <c r="D17823" s="4">
        <f>IFERROR(__xludf.DUMMYFUNCTION("""COMPUTED_VALUE"""),13.015016)</f>
        <v>13.015016</v>
      </c>
      <c r="E17823" s="4">
        <f>IFERROR(__xludf.DUMMYFUNCTION("""COMPUTED_VALUE"""),80.225891)</f>
        <v>80.225891</v>
      </c>
      <c r="F17823" s="4">
        <f>IFERROR(__xludf.DUMMYFUNCTION("""COMPUTED_VALUE"""),805.0)</f>
        <v>805</v>
      </c>
      <c r="G17823" s="4">
        <f>IFERROR(__xludf.DUMMYFUNCTION("""COMPUTED_VALUE"""),0.0)</f>
        <v>0</v>
      </c>
      <c r="H17823" s="4"/>
      <c r="I17823" s="4"/>
    </row>
    <row r="17824">
      <c r="A17824" s="4" t="str">
        <f>IFERROR(__xludf.DUMMYFUNCTION("""COMPUTED_VALUE"""),"cas_hmw")</f>
        <v>cas_hmw</v>
      </c>
      <c r="B17824" s="5">
        <f>IFERROR(__xludf.DUMMYFUNCTION("""COMPUTED_VALUE"""),44741.0)</f>
        <v>44741</v>
      </c>
      <c r="C17824" s="6">
        <f>IFERROR(__xludf.DUMMYFUNCTION("""COMPUTED_VALUE"""),0.7021064814798592)</f>
        <v>0.7021064815</v>
      </c>
      <c r="D17824" s="4">
        <f>IFERROR(__xludf.DUMMYFUNCTION("""COMPUTED_VALUE"""),13.015016)</f>
        <v>13.015016</v>
      </c>
      <c r="E17824" s="4">
        <f>IFERROR(__xludf.DUMMYFUNCTION("""COMPUTED_VALUE"""),80.225891)</f>
        <v>80.225891</v>
      </c>
      <c r="F17824" s="4">
        <f>IFERROR(__xludf.DUMMYFUNCTION("""COMPUTED_VALUE"""),805.0)</f>
        <v>805</v>
      </c>
      <c r="G17824" s="4">
        <f>IFERROR(__xludf.DUMMYFUNCTION("""COMPUTED_VALUE"""),0.0)</f>
        <v>0</v>
      </c>
      <c r="H17824" s="4"/>
      <c r="I17824" s="4"/>
    </row>
    <row r="17825">
      <c r="A17825" s="4" t="str">
        <f>IFERROR(__xludf.DUMMYFUNCTION("""COMPUTED_VALUE"""),"cas_hmw")</f>
        <v>cas_hmw</v>
      </c>
      <c r="B17825" s="5">
        <f>IFERROR(__xludf.DUMMYFUNCTION("""COMPUTED_VALUE"""),44741.0)</f>
        <v>44741</v>
      </c>
      <c r="C17825" s="6">
        <f>IFERROR(__xludf.DUMMYFUNCTION("""COMPUTED_VALUE"""),0.7024768518531346)</f>
        <v>0.7024768519</v>
      </c>
      <c r="D17825" s="4">
        <f>IFERROR(__xludf.DUMMYFUNCTION("""COMPUTED_VALUE"""),13.012774)</f>
        <v>13.012774</v>
      </c>
      <c r="E17825" s="4">
        <f>IFERROR(__xludf.DUMMYFUNCTION("""COMPUTED_VALUE"""),80.226818)</f>
        <v>80.226818</v>
      </c>
      <c r="F17825" s="4">
        <f>IFERROR(__xludf.DUMMYFUNCTION("""COMPUTED_VALUE"""),805.0)</f>
        <v>805</v>
      </c>
      <c r="G17825" s="4">
        <f>IFERROR(__xludf.DUMMYFUNCTION("""COMPUTED_VALUE"""),46.0)</f>
        <v>46</v>
      </c>
      <c r="H17825" s="4"/>
      <c r="I17825" s="4"/>
    </row>
    <row r="17826">
      <c r="A17826" s="4" t="str">
        <f>IFERROR(__xludf.DUMMYFUNCTION("""COMPUTED_VALUE"""),"cas_hmw")</f>
        <v>cas_hmw</v>
      </c>
      <c r="B17826" s="5">
        <f>IFERROR(__xludf.DUMMYFUNCTION("""COMPUTED_VALUE"""),44741.0)</f>
        <v>44741</v>
      </c>
      <c r="C17826" s="6">
        <f>IFERROR(__xludf.DUMMYFUNCTION("""COMPUTED_VALUE"""),0.7024999999994179)</f>
        <v>0.7025</v>
      </c>
      <c r="D17826" s="4">
        <f>IFERROR(__xludf.DUMMYFUNCTION("""COMPUTED_VALUE"""),13.007624)</f>
        <v>13.007624</v>
      </c>
      <c r="E17826" s="4">
        <f>IFERROR(__xludf.DUMMYFUNCTION("""COMPUTED_VALUE"""),80.204434)</f>
        <v>80.204434</v>
      </c>
      <c r="F17826" s="4">
        <f>IFERROR(__xludf.DUMMYFUNCTION("""COMPUTED_VALUE"""),5339.0)</f>
        <v>5339</v>
      </c>
      <c r="G17826" s="4">
        <f>IFERROR(__xludf.DUMMYFUNCTION("""COMPUTED_VALUE"""),41.0)</f>
        <v>41</v>
      </c>
      <c r="H17826" s="4"/>
      <c r="I17826" s="4"/>
    </row>
    <row r="17827">
      <c r="A17827" s="4" t="str">
        <f>IFERROR(__xludf.DUMMYFUNCTION("""COMPUTED_VALUE"""),"cas_hmw")</f>
        <v>cas_hmw</v>
      </c>
      <c r="B17827" s="5">
        <f>IFERROR(__xludf.DUMMYFUNCTION("""COMPUTED_VALUE"""),44741.0)</f>
        <v>44741</v>
      </c>
      <c r="C17827" s="6">
        <f>IFERROR(__xludf.DUMMYFUNCTION("""COMPUTED_VALUE"""),0.7024999999994179)</f>
        <v>0.7025</v>
      </c>
      <c r="D17827" s="4">
        <f>IFERROR(__xludf.DUMMYFUNCTION("""COMPUTED_VALUE"""),12.683099)</f>
        <v>12.683099</v>
      </c>
      <c r="E17827" s="4">
        <f>IFERROR(__xludf.DUMMYFUNCTION("""COMPUTED_VALUE"""),79.982936)</f>
        <v>79.982936</v>
      </c>
      <c r="F17827" s="4">
        <f>IFERROR(__xludf.DUMMYFUNCTION("""COMPUTED_VALUE"""),2846.0)</f>
        <v>2846</v>
      </c>
      <c r="G17827" s="4">
        <f>IFERROR(__xludf.DUMMYFUNCTION("""COMPUTED_VALUE"""),22.0)</f>
        <v>22</v>
      </c>
      <c r="H17827" s="4"/>
      <c r="I17827" s="4"/>
    </row>
    <row r="17828">
      <c r="A17828" s="4" t="str">
        <f>IFERROR(__xludf.DUMMYFUNCTION("""COMPUTED_VALUE"""),"cas_hmw")</f>
        <v>cas_hmw</v>
      </c>
      <c r="B17828" s="5">
        <f>IFERROR(__xludf.DUMMYFUNCTION("""COMPUTED_VALUE"""),44741.0)</f>
        <v>44741</v>
      </c>
      <c r="C17828" s="6">
        <f>IFERROR(__xludf.DUMMYFUNCTION("""COMPUTED_VALUE"""),0.7035300925927004)</f>
        <v>0.7035300926</v>
      </c>
      <c r="D17828" s="4">
        <f>IFERROR(__xludf.DUMMYFUNCTION("""COMPUTED_VALUE"""),13.009714)</f>
        <v>13.009714</v>
      </c>
      <c r="E17828" s="4">
        <f>IFERROR(__xludf.DUMMYFUNCTION("""COMPUTED_VALUE"""),80.21366)</f>
        <v>80.21366</v>
      </c>
      <c r="F17828" s="4">
        <f>IFERROR(__xludf.DUMMYFUNCTION("""COMPUTED_VALUE"""),5339.0)</f>
        <v>5339</v>
      </c>
      <c r="G17828" s="4">
        <f>IFERROR(__xludf.DUMMYFUNCTION("""COMPUTED_VALUE"""),35.0)</f>
        <v>35</v>
      </c>
      <c r="H17828" s="4"/>
      <c r="I17828" s="4"/>
    </row>
    <row r="17829">
      <c r="A17829" s="4" t="str">
        <f>IFERROR(__xludf.DUMMYFUNCTION("""COMPUTED_VALUE"""),"cas_hmw")</f>
        <v>cas_hmw</v>
      </c>
      <c r="B17829" s="5">
        <f>IFERROR(__xludf.DUMMYFUNCTION("""COMPUTED_VALUE"""),44741.0)</f>
        <v>44741</v>
      </c>
      <c r="C17829" s="6">
        <f>IFERROR(__xludf.DUMMYFUNCTION("""COMPUTED_VALUE"""),0.7042708333319752)</f>
        <v>0.7042708333</v>
      </c>
      <c r="D17829" s="4">
        <f>IFERROR(__xludf.DUMMYFUNCTION("""COMPUTED_VALUE"""),13.007081)</f>
        <v>13.007081</v>
      </c>
      <c r="E17829" s="4">
        <f>IFERROR(__xludf.DUMMYFUNCTION("""COMPUTED_VALUE"""),80.23923)</f>
        <v>80.23923</v>
      </c>
      <c r="F17829" s="4">
        <f>IFERROR(__xludf.DUMMYFUNCTION("""COMPUTED_VALUE"""),805.0)</f>
        <v>805</v>
      </c>
      <c r="G17829" s="4">
        <f>IFERROR(__xludf.DUMMYFUNCTION("""COMPUTED_VALUE"""),30.0)</f>
        <v>30</v>
      </c>
      <c r="H17829" s="4"/>
      <c r="I17829" s="4"/>
    </row>
    <row r="17830">
      <c r="A17830" s="4" t="str">
        <f>IFERROR(__xludf.DUMMYFUNCTION("""COMPUTED_VALUE"""),"cas_hmw")</f>
        <v>cas_hmw</v>
      </c>
      <c r="B17830" s="5">
        <f>IFERROR(__xludf.DUMMYFUNCTION("""COMPUTED_VALUE"""),44741.0)</f>
        <v>44741</v>
      </c>
      <c r="C17830" s="6">
        <f>IFERROR(__xludf.DUMMYFUNCTION("""COMPUTED_VALUE"""),0.7044444444436522)</f>
        <v>0.7044444444</v>
      </c>
      <c r="D17830" s="4">
        <f>IFERROR(__xludf.DUMMYFUNCTION("""COMPUTED_VALUE"""),13.010646)</f>
        <v>13.010646</v>
      </c>
      <c r="E17830" s="4">
        <f>IFERROR(__xludf.DUMMYFUNCTION("""COMPUTED_VALUE"""),80.216572)</f>
        <v>80.216572</v>
      </c>
      <c r="F17830" s="4">
        <f>IFERROR(__xludf.DUMMYFUNCTION("""COMPUTED_VALUE"""),5339.0)</f>
        <v>5339</v>
      </c>
      <c r="G17830" s="4">
        <f>IFERROR(__xludf.DUMMYFUNCTION("""COMPUTED_VALUE"""),37.0)</f>
        <v>37</v>
      </c>
      <c r="H17830" s="4"/>
      <c r="I17830" s="4"/>
    </row>
    <row r="17831">
      <c r="A17831" s="4" t="str">
        <f>IFERROR(__xludf.DUMMYFUNCTION("""COMPUTED_VALUE"""),"cas_hmw")</f>
        <v>cas_hmw</v>
      </c>
      <c r="B17831" s="5">
        <f>IFERROR(__xludf.DUMMYFUNCTION("""COMPUTED_VALUE"""),44741.0)</f>
        <v>44741</v>
      </c>
      <c r="C17831" s="6">
        <f>IFERROR(__xludf.DUMMYFUNCTION("""COMPUTED_VALUE"""),0.7045023148129985)</f>
        <v>0.7045023148</v>
      </c>
      <c r="D17831" s="4">
        <f>IFERROR(__xludf.DUMMYFUNCTION("""COMPUTED_VALUE"""),13.012337)</f>
        <v>13.012337</v>
      </c>
      <c r="E17831" s="4">
        <f>IFERROR(__xludf.DUMMYFUNCTION("""COMPUTED_VALUE"""),80.220962)</f>
        <v>80.220962</v>
      </c>
      <c r="F17831" s="4">
        <f>IFERROR(__xludf.DUMMYFUNCTION("""COMPUTED_VALUE"""),5339.0)</f>
        <v>5339</v>
      </c>
      <c r="G17831" s="4">
        <f>IFERROR(__xludf.DUMMYFUNCTION("""COMPUTED_VALUE"""),23.0)</f>
        <v>23</v>
      </c>
      <c r="H17831" s="4"/>
      <c r="I17831" s="4"/>
    </row>
    <row r="17832">
      <c r="A17832" s="4" t="str">
        <f>IFERROR(__xludf.DUMMYFUNCTION("""COMPUTED_VALUE"""),"cas_hmw")</f>
        <v>cas_hmw</v>
      </c>
      <c r="B17832" s="5">
        <f>IFERROR(__xludf.DUMMYFUNCTION("""COMPUTED_VALUE"""),44741.0)</f>
        <v>44741</v>
      </c>
      <c r="C17832" s="6">
        <f>IFERROR(__xludf.DUMMYFUNCTION("""COMPUTED_VALUE"""),0.7056597222217533)</f>
        <v>0.7056597222</v>
      </c>
      <c r="D17832" s="4">
        <f>IFERROR(__xludf.DUMMYFUNCTION("""COMPUTED_VALUE"""),12.667957)</f>
        <v>12.667957</v>
      </c>
      <c r="E17832" s="4">
        <f>IFERROR(__xludf.DUMMYFUNCTION("""COMPUTED_VALUE"""),79.972725)</f>
        <v>79.972725</v>
      </c>
      <c r="F17832" s="4">
        <f>IFERROR(__xludf.DUMMYFUNCTION("""COMPUTED_VALUE"""),2846.0)</f>
        <v>2846</v>
      </c>
      <c r="G17832" s="4">
        <f>IFERROR(__xludf.DUMMYFUNCTION("""COMPUTED_VALUE"""),54.0)</f>
        <v>54</v>
      </c>
      <c r="H17832" s="4"/>
      <c r="I17832" s="4"/>
    </row>
    <row r="17833">
      <c r="A17833" s="4" t="str">
        <f>IFERROR(__xludf.DUMMYFUNCTION("""COMPUTED_VALUE"""),"cas_hmw")</f>
        <v>cas_hmw</v>
      </c>
      <c r="B17833" s="5">
        <f>IFERROR(__xludf.DUMMYFUNCTION("""COMPUTED_VALUE"""),44741.0)</f>
        <v>44741</v>
      </c>
      <c r="C17833" s="6">
        <f>IFERROR(__xludf.DUMMYFUNCTION("""COMPUTED_VALUE"""),0.7068171296305081)</f>
        <v>0.7068171296</v>
      </c>
      <c r="D17833" s="4">
        <f>IFERROR(__xludf.DUMMYFUNCTION("""COMPUTED_VALUE"""),13.00677)</f>
        <v>13.00677</v>
      </c>
      <c r="E17833" s="4">
        <f>IFERROR(__xludf.DUMMYFUNCTION("""COMPUTED_VALUE"""),80.247851)</f>
        <v>80.247851</v>
      </c>
      <c r="F17833" s="4">
        <f>IFERROR(__xludf.DUMMYFUNCTION("""COMPUTED_VALUE"""),805.0)</f>
        <v>805</v>
      </c>
      <c r="G17833" s="4">
        <f>IFERROR(__xludf.DUMMYFUNCTION("""COMPUTED_VALUE"""),0.0)</f>
        <v>0</v>
      </c>
      <c r="H17833" s="4"/>
      <c r="I17833" s="4"/>
    </row>
    <row r="17834">
      <c r="A17834" s="4" t="str">
        <f>IFERROR(__xludf.DUMMYFUNCTION("""COMPUTED_VALUE"""),"cas_hmw")</f>
        <v>cas_hmw</v>
      </c>
      <c r="B17834" s="5">
        <f>IFERROR(__xludf.DUMMYFUNCTION("""COMPUTED_VALUE"""),44741.0)</f>
        <v>44741</v>
      </c>
      <c r="C17834" s="6">
        <f>IFERROR(__xludf.DUMMYFUNCTION("""COMPUTED_VALUE"""),0.7084375000013097)</f>
        <v>0.7084375</v>
      </c>
      <c r="D17834" s="4">
        <f>IFERROR(__xludf.DUMMYFUNCTION("""COMPUTED_VALUE"""),12.656299)</f>
        <v>12.656299</v>
      </c>
      <c r="E17834" s="4">
        <f>IFERROR(__xludf.DUMMYFUNCTION("""COMPUTED_VALUE"""),79.950334)</f>
        <v>79.950334</v>
      </c>
      <c r="F17834" s="4">
        <f>IFERROR(__xludf.DUMMYFUNCTION("""COMPUTED_VALUE"""),2846.0)</f>
        <v>2846</v>
      </c>
      <c r="G17834" s="4">
        <f>IFERROR(__xludf.DUMMYFUNCTION("""COMPUTED_VALUE"""),40.0)</f>
        <v>40</v>
      </c>
      <c r="H17834" s="4"/>
      <c r="I17834" s="4"/>
    </row>
    <row r="17835">
      <c r="A17835" s="4" t="str">
        <f>IFERROR(__xludf.DUMMYFUNCTION("""COMPUTED_VALUE"""),"cas_hmw")</f>
        <v>cas_hmw</v>
      </c>
      <c r="B17835" s="5">
        <f>IFERROR(__xludf.DUMMYFUNCTION("""COMPUTED_VALUE"""),44741.0)</f>
        <v>44741</v>
      </c>
      <c r="C17835" s="6">
        <f>IFERROR(__xludf.DUMMYFUNCTION("""COMPUTED_VALUE"""),0.7091203703712381)</f>
        <v>0.7091203704</v>
      </c>
      <c r="D17835" s="4">
        <f>IFERROR(__xludf.DUMMYFUNCTION("""COMPUTED_VALUE"""),13.006703)</f>
        <v>13.006703</v>
      </c>
      <c r="E17835" s="4">
        <f>IFERROR(__xludf.DUMMYFUNCTION("""COMPUTED_VALUE"""),80.256965)</f>
        <v>80.256965</v>
      </c>
      <c r="F17835" s="4">
        <f>IFERROR(__xludf.DUMMYFUNCTION("""COMPUTED_VALUE"""),805.0)</f>
        <v>805</v>
      </c>
      <c r="G17835" s="4">
        <f>IFERROR(__xludf.DUMMYFUNCTION("""COMPUTED_VALUE"""),0.0)</f>
        <v>0</v>
      </c>
      <c r="H17835" s="4"/>
      <c r="I17835" s="4"/>
    </row>
    <row r="17836">
      <c r="A17836" s="4" t="str">
        <f>IFERROR(__xludf.DUMMYFUNCTION("""COMPUTED_VALUE"""),"cas_hmw")</f>
        <v>cas_hmw</v>
      </c>
      <c r="B17836" s="5">
        <f>IFERROR(__xludf.DUMMYFUNCTION("""COMPUTED_VALUE"""),44741.0)</f>
        <v>44741</v>
      </c>
      <c r="C17836" s="6">
        <f>IFERROR(__xludf.DUMMYFUNCTION("""COMPUTED_VALUE"""),0.7098726851836545)</f>
        <v>0.7098726852</v>
      </c>
      <c r="D17836" s="4">
        <f>IFERROR(__xludf.DUMMYFUNCTION("""COMPUTED_VALUE"""),13.026091)</f>
        <v>13.026091</v>
      </c>
      <c r="E17836" s="4">
        <f>IFERROR(__xludf.DUMMYFUNCTION("""COMPUTED_VALUE"""),80.231568)</f>
        <v>80.231568</v>
      </c>
      <c r="F17836" s="4">
        <f>IFERROR(__xludf.DUMMYFUNCTION("""COMPUTED_VALUE"""),5339.0)</f>
        <v>5339</v>
      </c>
      <c r="G17836" s="4">
        <f>IFERROR(__xludf.DUMMYFUNCTION("""COMPUTED_VALUE"""),19.0)</f>
        <v>19</v>
      </c>
      <c r="H17836" s="4"/>
      <c r="I17836" s="4"/>
    </row>
    <row r="17837">
      <c r="A17837" s="4" t="str">
        <f>IFERROR(__xludf.DUMMYFUNCTION("""COMPUTED_VALUE"""),"cas_hmw")</f>
        <v>cas_hmw</v>
      </c>
      <c r="B17837" s="5">
        <f>IFERROR(__xludf.DUMMYFUNCTION("""COMPUTED_VALUE"""),44741.0)</f>
        <v>44741</v>
      </c>
      <c r="C17837" s="6">
        <f>IFERROR(__xludf.DUMMYFUNCTION("""COMPUTED_VALUE"""),0.7103703703687643)</f>
        <v>0.7103703704</v>
      </c>
      <c r="D17837" s="4">
        <f>IFERROR(__xludf.DUMMYFUNCTION("""COMPUTED_VALUE"""),12.653199)</f>
        <v>12.653199</v>
      </c>
      <c r="E17837" s="4">
        <f>IFERROR(__xludf.DUMMYFUNCTION("""COMPUTED_VALUE"""),79.942339)</f>
        <v>79.942339</v>
      </c>
      <c r="F17837" s="4">
        <f>IFERROR(__xludf.DUMMYFUNCTION("""COMPUTED_VALUE"""),2846.0)</f>
        <v>2846</v>
      </c>
      <c r="G17837" s="4">
        <f>IFERROR(__xludf.DUMMYFUNCTION("""COMPUTED_VALUE"""),50.0)</f>
        <v>50</v>
      </c>
      <c r="H17837" s="4"/>
      <c r="I17837" s="4"/>
    </row>
    <row r="17838">
      <c r="A17838" s="4" t="str">
        <f>IFERROR(__xludf.DUMMYFUNCTION("""COMPUTED_VALUE"""),"cas_hmw")</f>
        <v>cas_hmw</v>
      </c>
      <c r="B17838" s="5">
        <f>IFERROR(__xludf.DUMMYFUNCTION("""COMPUTED_VALUE"""),44741.0)</f>
        <v>44741</v>
      </c>
      <c r="C17838" s="6">
        <f>IFERROR(__xludf.DUMMYFUNCTION("""COMPUTED_VALUE"""),0.7103703703687643)</f>
        <v>0.7103703704</v>
      </c>
      <c r="D17838" s="4">
        <f>IFERROR(__xludf.DUMMYFUNCTION("""COMPUTED_VALUE"""),13.027327)</f>
        <v>13.027327</v>
      </c>
      <c r="E17838" s="4">
        <f>IFERROR(__xludf.DUMMYFUNCTION("""COMPUTED_VALUE"""),80.234213)</f>
        <v>80.234213</v>
      </c>
      <c r="F17838" s="4">
        <f>IFERROR(__xludf.DUMMYFUNCTION("""COMPUTED_VALUE"""),5339.0)</f>
        <v>5339</v>
      </c>
      <c r="G17838" s="4">
        <f>IFERROR(__xludf.DUMMYFUNCTION("""COMPUTED_VALUE"""),33.0)</f>
        <v>33</v>
      </c>
      <c r="H17838" s="4"/>
      <c r="I17838" s="4"/>
    </row>
    <row r="17839">
      <c r="A17839" s="4" t="str">
        <f>IFERROR(__xludf.DUMMYFUNCTION("""COMPUTED_VALUE"""),"cas_hmw")</f>
        <v>cas_hmw</v>
      </c>
      <c r="B17839" s="5">
        <f>IFERROR(__xludf.DUMMYFUNCTION("""COMPUTED_VALUE"""),44741.0)</f>
        <v>44741</v>
      </c>
      <c r="C17839" s="6">
        <f>IFERROR(__xludf.DUMMYFUNCTION("""COMPUTED_VALUE"""),0.710694444445835)</f>
        <v>0.7106944444</v>
      </c>
      <c r="D17839" s="4">
        <f>IFERROR(__xludf.DUMMYFUNCTION("""COMPUTED_VALUE"""),12.643432)</f>
        <v>12.643432</v>
      </c>
      <c r="E17839" s="4">
        <f>IFERROR(__xludf.DUMMYFUNCTION("""COMPUTED_VALUE"""),79.938473)</f>
        <v>79.938473</v>
      </c>
      <c r="F17839" s="4">
        <f>IFERROR(__xludf.DUMMYFUNCTION("""COMPUTED_VALUE"""),2846.0)</f>
        <v>2846</v>
      </c>
      <c r="G17839" s="4">
        <f>IFERROR(__xludf.DUMMYFUNCTION("""COMPUTED_VALUE"""),58.0)</f>
        <v>58</v>
      </c>
      <c r="H17839" s="4"/>
      <c r="I17839" s="4"/>
    </row>
    <row r="17840">
      <c r="A17840" s="4" t="str">
        <f>IFERROR(__xludf.DUMMYFUNCTION("""COMPUTED_VALUE"""),"cas_hmw")</f>
        <v>cas_hmw</v>
      </c>
      <c r="B17840" s="5">
        <f>IFERROR(__xludf.DUMMYFUNCTION("""COMPUTED_VALUE"""),44741.0)</f>
        <v>44741</v>
      </c>
      <c r="C17840" s="6">
        <f>IFERROR(__xludf.DUMMYFUNCTION("""COMPUTED_VALUE"""),0.71072916666526)</f>
        <v>0.7107291667</v>
      </c>
      <c r="D17840" s="4">
        <f>IFERROR(__xludf.DUMMYFUNCTION("""COMPUTED_VALUE"""),13.007576)</f>
        <v>13.007576</v>
      </c>
      <c r="E17840" s="4">
        <f>IFERROR(__xludf.DUMMYFUNCTION("""COMPUTED_VALUE"""),80.258672)</f>
        <v>80.258672</v>
      </c>
      <c r="F17840" s="4">
        <f>IFERROR(__xludf.DUMMYFUNCTION("""COMPUTED_VALUE"""),805.0)</f>
        <v>805</v>
      </c>
      <c r="G17840" s="4">
        <f>IFERROR(__xludf.DUMMYFUNCTION("""COMPUTED_VALUE"""),0.0)</f>
        <v>0</v>
      </c>
      <c r="H17840" s="4"/>
      <c r="I17840" s="4"/>
    </row>
    <row r="17841">
      <c r="A17841" s="4" t="str">
        <f>IFERROR(__xludf.DUMMYFUNCTION("""COMPUTED_VALUE"""),"cas_hmw")</f>
        <v>cas_hmw</v>
      </c>
      <c r="B17841" s="5">
        <f>IFERROR(__xludf.DUMMYFUNCTION("""COMPUTED_VALUE"""),44741.0)</f>
        <v>44741</v>
      </c>
      <c r="C17841" s="6">
        <f>IFERROR(__xludf.DUMMYFUNCTION("""COMPUTED_VALUE"""),0.7121527777781012)</f>
        <v>0.7121527778</v>
      </c>
      <c r="D17841" s="4">
        <f>IFERROR(__xludf.DUMMYFUNCTION("""COMPUTED_VALUE"""),13.032113)</f>
        <v>13.032113</v>
      </c>
      <c r="E17841" s="4">
        <f>IFERROR(__xludf.DUMMYFUNCTION("""COMPUTED_VALUE"""),80.241847)</f>
        <v>80.241847</v>
      </c>
      <c r="F17841" s="4">
        <f>IFERROR(__xludf.DUMMYFUNCTION("""COMPUTED_VALUE"""),5339.0)</f>
        <v>5339</v>
      </c>
      <c r="G17841" s="4">
        <f>IFERROR(__xludf.DUMMYFUNCTION("""COMPUTED_VALUE"""),40.0)</f>
        <v>40</v>
      </c>
      <c r="H17841" s="4"/>
      <c r="I17841" s="4"/>
    </row>
    <row r="17842">
      <c r="A17842" s="4" t="str">
        <f>IFERROR(__xludf.DUMMYFUNCTION("""COMPUTED_VALUE"""),"cas_hmw")</f>
        <v>cas_hmw</v>
      </c>
      <c r="B17842" s="5">
        <f>IFERROR(__xludf.DUMMYFUNCTION("""COMPUTED_VALUE"""),44741.0)</f>
        <v>44741</v>
      </c>
      <c r="C17842" s="6">
        <f>IFERROR(__xludf.DUMMYFUNCTION("""COMPUTED_VALUE"""),0.7121527777781012)</f>
        <v>0.7121527778</v>
      </c>
      <c r="D17842" s="4">
        <f>IFERROR(__xludf.DUMMYFUNCTION("""COMPUTED_VALUE"""),13.020326)</f>
        <v>13.020326</v>
      </c>
      <c r="E17842" s="4">
        <f>IFERROR(__xludf.DUMMYFUNCTION("""COMPUTED_VALUE"""),80.26264)</f>
        <v>80.26264</v>
      </c>
      <c r="F17842" s="4">
        <f>IFERROR(__xludf.DUMMYFUNCTION("""COMPUTED_VALUE"""),805.0)</f>
        <v>805</v>
      </c>
      <c r="G17842" s="4">
        <f>IFERROR(__xludf.DUMMYFUNCTION("""COMPUTED_VALUE"""),6.0)</f>
        <v>6</v>
      </c>
      <c r="H17842" s="4"/>
      <c r="I17842" s="4"/>
    </row>
    <row r="17843">
      <c r="A17843" s="4" t="str">
        <f>IFERROR(__xludf.DUMMYFUNCTION("""COMPUTED_VALUE"""),"cas_hmw")</f>
        <v>cas_hmw</v>
      </c>
      <c r="B17843" s="5">
        <f>IFERROR(__xludf.DUMMYFUNCTION("""COMPUTED_VALUE"""),44741.0)</f>
        <v>44741</v>
      </c>
      <c r="C17843" s="6">
        <f>IFERROR(__xludf.DUMMYFUNCTION("""COMPUTED_VALUE"""),0.7153009259272949)</f>
        <v>0.7153009259</v>
      </c>
      <c r="D17843" s="4">
        <f>IFERROR(__xludf.DUMMYFUNCTION("""COMPUTED_VALUE"""),13.042161)</f>
        <v>13.042161</v>
      </c>
      <c r="E17843" s="4">
        <f>IFERROR(__xludf.DUMMYFUNCTION("""COMPUTED_VALUE"""),80.247461)</f>
        <v>80.247461</v>
      </c>
      <c r="F17843" s="4">
        <f>IFERROR(__xludf.DUMMYFUNCTION("""COMPUTED_VALUE"""),5339.0)</f>
        <v>5339</v>
      </c>
      <c r="G17843" s="4">
        <f>IFERROR(__xludf.DUMMYFUNCTION("""COMPUTED_VALUE"""),16.0)</f>
        <v>16</v>
      </c>
      <c r="H17843" s="4"/>
      <c r="I17843" s="4"/>
    </row>
    <row r="17844">
      <c r="A17844" s="4" t="str">
        <f>IFERROR(__xludf.DUMMYFUNCTION("""COMPUTED_VALUE"""),"cas_hmw")</f>
        <v>cas_hmw</v>
      </c>
      <c r="B17844" s="5">
        <f>IFERROR(__xludf.DUMMYFUNCTION("""COMPUTED_VALUE"""),44741.0)</f>
        <v>44741</v>
      </c>
      <c r="C17844" s="6">
        <f>IFERROR(__xludf.DUMMYFUNCTION("""COMPUTED_VALUE"""),0.7154976851852552)</f>
        <v>0.7154976852</v>
      </c>
      <c r="D17844" s="4">
        <f>IFERROR(__xludf.DUMMYFUNCTION("""COMPUTED_VALUE"""),13.043065)</f>
        <v>13.043065</v>
      </c>
      <c r="E17844" s="4">
        <f>IFERROR(__xludf.DUMMYFUNCTION("""COMPUTED_VALUE"""),80.247639)</f>
        <v>80.247639</v>
      </c>
      <c r="F17844" s="4">
        <f>IFERROR(__xludf.DUMMYFUNCTION("""COMPUTED_VALUE"""),5339.0)</f>
        <v>5339</v>
      </c>
      <c r="G17844" s="4">
        <f>IFERROR(__xludf.DUMMYFUNCTION("""COMPUTED_VALUE"""),27.0)</f>
        <v>27</v>
      </c>
      <c r="H17844" s="4"/>
      <c r="I17844" s="4"/>
    </row>
    <row r="17845">
      <c r="A17845" s="4" t="str">
        <f>IFERROR(__xludf.DUMMYFUNCTION("""COMPUTED_VALUE"""),"cas_hmw")</f>
        <v>cas_hmw</v>
      </c>
      <c r="B17845" s="5">
        <f>IFERROR(__xludf.DUMMYFUNCTION("""COMPUTED_VALUE"""),44741.0)</f>
        <v>44741</v>
      </c>
      <c r="C17845" s="6">
        <f>IFERROR(__xludf.DUMMYFUNCTION("""COMPUTED_VALUE"""),0.7162847222207347)</f>
        <v>0.7162847222</v>
      </c>
      <c r="D17845" s="4">
        <f>IFERROR(__xludf.DUMMYFUNCTION("""COMPUTED_VALUE"""),13.048036)</f>
        <v>13.048036</v>
      </c>
      <c r="E17845" s="4">
        <f>IFERROR(__xludf.DUMMYFUNCTION("""COMPUTED_VALUE"""),80.249242)</f>
        <v>80.249242</v>
      </c>
      <c r="F17845" s="4">
        <f>IFERROR(__xludf.DUMMYFUNCTION("""COMPUTED_VALUE"""),5339.0)</f>
        <v>5339</v>
      </c>
      <c r="G17845" s="4">
        <f>IFERROR(__xludf.DUMMYFUNCTION("""COMPUTED_VALUE"""),36.0)</f>
        <v>36</v>
      </c>
      <c r="H17845" s="4"/>
      <c r="I17845" s="4"/>
    </row>
    <row r="17846">
      <c r="A17846" s="4" t="str">
        <f>IFERROR(__xludf.DUMMYFUNCTION("""COMPUTED_VALUE"""),"cas_hmw")</f>
        <v>cas_hmw</v>
      </c>
      <c r="B17846" s="5">
        <f>IFERROR(__xludf.DUMMYFUNCTION("""COMPUTED_VALUE"""),44741.0)</f>
        <v>44741</v>
      </c>
      <c r="C17846" s="6">
        <f>IFERROR(__xludf.DUMMYFUNCTION("""COMPUTED_VALUE"""),0.7164351851861284)</f>
        <v>0.7164351852</v>
      </c>
      <c r="D17846" s="4">
        <f>IFERROR(__xludf.DUMMYFUNCTION("""COMPUTED_VALUE"""),13.049375)</f>
        <v>13.049375</v>
      </c>
      <c r="E17846" s="4">
        <f>IFERROR(__xludf.DUMMYFUNCTION("""COMPUTED_VALUE"""),80.249729)</f>
        <v>80.249729</v>
      </c>
      <c r="F17846" s="4">
        <f>IFERROR(__xludf.DUMMYFUNCTION("""COMPUTED_VALUE"""),5339.0)</f>
        <v>5339</v>
      </c>
      <c r="G17846" s="4">
        <f>IFERROR(__xludf.DUMMYFUNCTION("""COMPUTED_VALUE"""),36.0)</f>
        <v>36</v>
      </c>
      <c r="H17846" s="4"/>
      <c r="I17846" s="4"/>
    </row>
    <row r="17847">
      <c r="A17847" s="4" t="str">
        <f>IFERROR(__xludf.DUMMYFUNCTION("""COMPUTED_VALUE"""),"cas_hmw")</f>
        <v>cas_hmw</v>
      </c>
      <c r="B17847" s="5">
        <f>IFERROR(__xludf.DUMMYFUNCTION("""COMPUTED_VALUE"""),44741.0)</f>
        <v>44741</v>
      </c>
      <c r="C17847" s="6">
        <f>IFERROR(__xludf.DUMMYFUNCTION("""COMPUTED_VALUE"""),0.7210995370369346)</f>
        <v>0.721099537</v>
      </c>
      <c r="D17847" s="4">
        <f>IFERROR(__xludf.DUMMYFUNCTION("""COMPUTED_VALUE"""),13.040786)</f>
        <v>13.040786</v>
      </c>
      <c r="E17847" s="4">
        <f>IFERROR(__xludf.DUMMYFUNCTION("""COMPUTED_VALUE"""),80.268094)</f>
        <v>80.268094</v>
      </c>
      <c r="F17847" s="4">
        <f>IFERROR(__xludf.DUMMYFUNCTION("""COMPUTED_VALUE"""),805.0)</f>
        <v>805</v>
      </c>
      <c r="G17847" s="4">
        <f>IFERROR(__xludf.DUMMYFUNCTION("""COMPUTED_VALUE"""),22.0)</f>
        <v>22</v>
      </c>
      <c r="H17847" s="4"/>
      <c r="I17847" s="4"/>
    </row>
    <row r="17848">
      <c r="A17848" s="4" t="str">
        <f>IFERROR(__xludf.DUMMYFUNCTION("""COMPUTED_VALUE"""),"cas_hmw")</f>
        <v>cas_hmw</v>
      </c>
      <c r="B17848" s="5">
        <f>IFERROR(__xludf.DUMMYFUNCTION("""COMPUTED_VALUE"""),44741.0)</f>
        <v>44741</v>
      </c>
      <c r="C17848" s="6">
        <f>IFERROR(__xludf.DUMMYFUNCTION("""COMPUTED_VALUE"""),0.7210995370369346)</f>
        <v>0.721099537</v>
      </c>
      <c r="D17848" s="4">
        <f>IFERROR(__xludf.DUMMYFUNCTION("""COMPUTED_VALUE"""),13.040786)</f>
        <v>13.040786</v>
      </c>
      <c r="E17848" s="4">
        <f>IFERROR(__xludf.DUMMYFUNCTION("""COMPUTED_VALUE"""),80.268094)</f>
        <v>80.268094</v>
      </c>
      <c r="F17848" s="4">
        <f>IFERROR(__xludf.DUMMYFUNCTION("""COMPUTED_VALUE"""),805.0)</f>
        <v>805</v>
      </c>
      <c r="G17848" s="4">
        <f>IFERROR(__xludf.DUMMYFUNCTION("""COMPUTED_VALUE"""),22.0)</f>
        <v>22</v>
      </c>
      <c r="H17848" s="4"/>
      <c r="I17848" s="4"/>
    </row>
    <row r="17849">
      <c r="A17849" s="4" t="str">
        <f>IFERROR(__xludf.DUMMYFUNCTION("""COMPUTED_VALUE"""),"cas_hmw")</f>
        <v>cas_hmw</v>
      </c>
      <c r="B17849" s="5">
        <f>IFERROR(__xludf.DUMMYFUNCTION("""COMPUTED_VALUE"""),44741.0)</f>
        <v>44741</v>
      </c>
      <c r="C17849" s="6">
        <f>IFERROR(__xludf.DUMMYFUNCTION("""COMPUTED_VALUE"""),0.7286574074059899)</f>
        <v>0.7286574074</v>
      </c>
      <c r="D17849" s="4">
        <f>IFERROR(__xludf.DUMMYFUNCTION("""COMPUTED_VALUE"""),13.065543)</f>
        <v>13.065543</v>
      </c>
      <c r="E17849" s="4">
        <f>IFERROR(__xludf.DUMMYFUNCTION("""COMPUTED_VALUE"""),80.267395)</f>
        <v>80.267395</v>
      </c>
      <c r="F17849" s="4">
        <f>IFERROR(__xludf.DUMMYFUNCTION("""COMPUTED_VALUE"""),805.0)</f>
        <v>805</v>
      </c>
      <c r="G17849" s="4">
        <f>IFERROR(__xludf.DUMMYFUNCTION("""COMPUTED_VALUE"""),13.0)</f>
        <v>13</v>
      </c>
      <c r="H17849" s="4"/>
      <c r="I17849" s="4"/>
    </row>
    <row r="17850">
      <c r="A17850" s="4" t="str">
        <f>IFERROR(__xludf.DUMMYFUNCTION("""COMPUTED_VALUE"""),"cas_hmw")</f>
        <v>cas_hmw</v>
      </c>
      <c r="B17850" s="5">
        <f>IFERROR(__xludf.DUMMYFUNCTION("""COMPUTED_VALUE"""),44741.0)</f>
        <v>44741</v>
      </c>
      <c r="C17850" s="6">
        <f>IFERROR(__xludf.DUMMYFUNCTION("""COMPUTED_VALUE"""),0.7297685185185401)</f>
        <v>0.7297685185</v>
      </c>
      <c r="D17850" s="4">
        <f>IFERROR(__xludf.DUMMYFUNCTION("""COMPUTED_VALUE"""),13.068127)</f>
        <v>13.068127</v>
      </c>
      <c r="E17850" s="4">
        <f>IFERROR(__xludf.DUMMYFUNCTION("""COMPUTED_VALUE"""),80.271856)</f>
        <v>80.271856</v>
      </c>
      <c r="F17850" s="4">
        <f>IFERROR(__xludf.DUMMYFUNCTION("""COMPUTED_VALUE"""),5339.0)</f>
        <v>5339</v>
      </c>
      <c r="G17850" s="4">
        <f>IFERROR(__xludf.DUMMYFUNCTION("""COMPUTED_VALUE"""),11.0)</f>
        <v>11</v>
      </c>
      <c r="H17850" s="4"/>
      <c r="I17850" s="4"/>
    </row>
    <row r="17851">
      <c r="A17851" s="4" t="str">
        <f>IFERROR(__xludf.DUMMYFUNCTION("""COMPUTED_VALUE"""),"cas_hmw")</f>
        <v>cas_hmw</v>
      </c>
      <c r="B17851" s="5">
        <f>IFERROR(__xludf.DUMMYFUNCTION("""COMPUTED_VALUE"""),44741.0)</f>
        <v>44741</v>
      </c>
      <c r="C17851" s="6">
        <f>IFERROR(__xludf.DUMMYFUNCTION("""COMPUTED_VALUE"""),0.7340393518534256)</f>
        <v>0.7340393519</v>
      </c>
      <c r="D17851" s="4">
        <f>IFERROR(__xludf.DUMMYFUNCTION("""COMPUTED_VALUE"""),13.070916)</f>
        <v>13.070916</v>
      </c>
      <c r="E17851" s="4">
        <f>IFERROR(__xludf.DUMMYFUNCTION("""COMPUTED_VALUE"""),80.258405)</f>
        <v>80.258405</v>
      </c>
      <c r="F17851" s="4">
        <f>IFERROR(__xludf.DUMMYFUNCTION("""COMPUTED_VALUE"""),5339.0)</f>
        <v>5339</v>
      </c>
      <c r="G17851" s="4">
        <f>IFERROR(__xludf.DUMMYFUNCTION("""COMPUTED_VALUE"""),27.0)</f>
        <v>27</v>
      </c>
      <c r="H17851" s="4"/>
      <c r="I17851" s="4"/>
    </row>
    <row r="17852">
      <c r="A17852" s="4" t="str">
        <f>IFERROR(__xludf.DUMMYFUNCTION("""COMPUTED_VALUE"""),"cas_hmw")</f>
        <v>cas_hmw</v>
      </c>
      <c r="B17852" s="5">
        <f>IFERROR(__xludf.DUMMYFUNCTION("""COMPUTED_VALUE"""),44741.0)</f>
        <v>44741</v>
      </c>
      <c r="C17852" s="6">
        <f>IFERROR(__xludf.DUMMYFUNCTION("""COMPUTED_VALUE"""),0.7340393518534256)</f>
        <v>0.7340393519</v>
      </c>
      <c r="D17852" s="4">
        <f>IFERROR(__xludf.DUMMYFUNCTION("""COMPUTED_VALUE"""),13.070916)</f>
        <v>13.070916</v>
      </c>
      <c r="E17852" s="4">
        <f>IFERROR(__xludf.DUMMYFUNCTION("""COMPUTED_VALUE"""),80.258405)</f>
        <v>80.258405</v>
      </c>
      <c r="F17852" s="4">
        <f>IFERROR(__xludf.DUMMYFUNCTION("""COMPUTED_VALUE"""),5339.0)</f>
        <v>5339</v>
      </c>
      <c r="G17852" s="4">
        <f>IFERROR(__xludf.DUMMYFUNCTION("""COMPUTED_VALUE"""),27.0)</f>
        <v>27</v>
      </c>
      <c r="H17852" s="4"/>
      <c r="I17852" s="4"/>
    </row>
    <row r="17853">
      <c r="A17853" s="4" t="str">
        <f>IFERROR(__xludf.DUMMYFUNCTION("""COMPUTED_VALUE"""),"cas_hmw")</f>
        <v>cas_hmw</v>
      </c>
      <c r="B17853" s="5">
        <f>IFERROR(__xludf.DUMMYFUNCTION("""COMPUTED_VALUE"""),44741.0)</f>
        <v>44741</v>
      </c>
      <c r="C17853" s="6">
        <f>IFERROR(__xludf.DUMMYFUNCTION("""COMPUTED_VALUE"""),0.7340509259265673)</f>
        <v>0.7340509259</v>
      </c>
      <c r="D17853" s="4">
        <f>IFERROR(__xludf.DUMMYFUNCTION("""COMPUTED_VALUE"""),13.070916)</f>
        <v>13.070916</v>
      </c>
      <c r="E17853" s="4">
        <f>IFERROR(__xludf.DUMMYFUNCTION("""COMPUTED_VALUE"""),80.258405)</f>
        <v>80.258405</v>
      </c>
      <c r="F17853" s="4">
        <f>IFERROR(__xludf.DUMMYFUNCTION("""COMPUTED_VALUE"""),5339.0)</f>
        <v>5339</v>
      </c>
      <c r="G17853" s="4">
        <f>IFERROR(__xludf.DUMMYFUNCTION("""COMPUTED_VALUE"""),27.0)</f>
        <v>27</v>
      </c>
      <c r="H17853" s="4"/>
      <c r="I17853" s="4"/>
    </row>
    <row r="17854">
      <c r="A17854" s="4" t="str">
        <f>IFERROR(__xludf.DUMMYFUNCTION("""COMPUTED_VALUE"""),"cas_hmw")</f>
        <v>cas_hmw</v>
      </c>
      <c r="B17854" s="5">
        <f>IFERROR(__xludf.DUMMYFUNCTION("""COMPUTED_VALUE"""),44741.0)</f>
        <v>44741</v>
      </c>
      <c r="C17854" s="6">
        <f>IFERROR(__xludf.DUMMYFUNCTION("""COMPUTED_VALUE"""),0.7340509259265673)</f>
        <v>0.7340509259</v>
      </c>
      <c r="D17854" s="4">
        <f>IFERROR(__xludf.DUMMYFUNCTION("""COMPUTED_VALUE"""),13.070916)</f>
        <v>13.070916</v>
      </c>
      <c r="E17854" s="4">
        <f>IFERROR(__xludf.DUMMYFUNCTION("""COMPUTED_VALUE"""),80.258405)</f>
        <v>80.258405</v>
      </c>
      <c r="F17854" s="4">
        <f>IFERROR(__xludf.DUMMYFUNCTION("""COMPUTED_VALUE"""),5339.0)</f>
        <v>5339</v>
      </c>
      <c r="G17854" s="4">
        <f>IFERROR(__xludf.DUMMYFUNCTION("""COMPUTED_VALUE"""),27.0)</f>
        <v>27</v>
      </c>
      <c r="H17854" s="4"/>
      <c r="I17854" s="4"/>
    </row>
    <row r="17855">
      <c r="A17855" s="4" t="str">
        <f>IFERROR(__xludf.DUMMYFUNCTION("""COMPUTED_VALUE"""),"cas_hmw")</f>
        <v>cas_hmw</v>
      </c>
      <c r="B17855" s="5">
        <f>IFERROR(__xludf.DUMMYFUNCTION("""COMPUTED_VALUE"""),44741.0)</f>
        <v>44741</v>
      </c>
      <c r="C17855" s="6">
        <f>IFERROR(__xludf.DUMMYFUNCTION("""COMPUTED_VALUE"""),0.734548611111677)</f>
        <v>0.7345486111</v>
      </c>
      <c r="D17855" s="4">
        <f>IFERROR(__xludf.DUMMYFUNCTION("""COMPUTED_VALUE"""),13.069516)</f>
        <v>13.069516</v>
      </c>
      <c r="E17855" s="4">
        <f>IFERROR(__xludf.DUMMYFUNCTION("""COMPUTED_VALUE"""),80.256958)</f>
        <v>80.256958</v>
      </c>
      <c r="F17855" s="4">
        <f>IFERROR(__xludf.DUMMYFUNCTION("""COMPUTED_VALUE"""),5339.0)</f>
        <v>5339</v>
      </c>
      <c r="G17855" s="4">
        <f>IFERROR(__xludf.DUMMYFUNCTION("""COMPUTED_VALUE"""),17.0)</f>
        <v>17</v>
      </c>
      <c r="H17855" s="4"/>
      <c r="I17855" s="4"/>
    </row>
    <row r="17856">
      <c r="A17856" s="4" t="str">
        <f>IFERROR(__xludf.DUMMYFUNCTION("""COMPUTED_VALUE"""),"cas_hmw")</f>
        <v>cas_hmw</v>
      </c>
      <c r="B17856" s="5">
        <f>IFERROR(__xludf.DUMMYFUNCTION("""COMPUTED_VALUE"""),44742.0)</f>
        <v>44742</v>
      </c>
      <c r="C17856" s="6">
        <f>IFERROR(__xludf.DUMMYFUNCTION("""COMPUTED_VALUE"""),0.2932754629619012)</f>
        <v>0.293275463</v>
      </c>
      <c r="D17856" s="4">
        <f>IFERROR(__xludf.DUMMYFUNCTION("""COMPUTED_VALUE"""),12.510959)</f>
        <v>12.510959</v>
      </c>
      <c r="E17856" s="4">
        <f>IFERROR(__xludf.DUMMYFUNCTION("""COMPUTED_VALUE"""),79.882988)</f>
        <v>79.882988</v>
      </c>
      <c r="F17856" s="4">
        <f>IFERROR(__xludf.DUMMYFUNCTION("""COMPUTED_VALUE"""),2846.0)</f>
        <v>2846</v>
      </c>
      <c r="G17856" s="4">
        <f>IFERROR(__xludf.DUMMYFUNCTION("""COMPUTED_VALUE"""),35.0)</f>
        <v>35</v>
      </c>
      <c r="H17856" s="4"/>
      <c r="I17856" s="4"/>
    </row>
    <row r="17857">
      <c r="A17857" s="4" t="str">
        <f>IFERROR(__xludf.DUMMYFUNCTION("""COMPUTED_VALUE"""),"cas_hmw")</f>
        <v>cas_hmw</v>
      </c>
      <c r="B17857" s="5">
        <f>IFERROR(__xludf.DUMMYFUNCTION("""COMPUTED_VALUE"""),44742.0)</f>
        <v>44742</v>
      </c>
      <c r="C17857" s="6">
        <f>IFERROR(__xludf.DUMMYFUNCTION("""COMPUTED_VALUE"""),0.2974652777775191)</f>
        <v>0.2974652778</v>
      </c>
      <c r="D17857" s="4">
        <f>IFERROR(__xludf.DUMMYFUNCTION("""COMPUTED_VALUE"""),12.511171)</f>
        <v>12.511171</v>
      </c>
      <c r="E17857" s="4">
        <f>IFERROR(__xludf.DUMMYFUNCTION("""COMPUTED_VALUE"""),79.885212)</f>
        <v>79.885212</v>
      </c>
      <c r="F17857" s="4">
        <f>IFERROR(__xludf.DUMMYFUNCTION("""COMPUTED_VALUE"""),2846.0)</f>
        <v>2846</v>
      </c>
      <c r="G17857" s="4">
        <f>IFERROR(__xludf.DUMMYFUNCTION("""COMPUTED_VALUE"""),27.0)</f>
        <v>27</v>
      </c>
      <c r="H17857" s="4"/>
      <c r="I17857" s="4"/>
    </row>
    <row r="17858">
      <c r="A17858" s="4" t="str">
        <f>IFERROR(__xludf.DUMMYFUNCTION("""COMPUTED_VALUE"""),"cas_hmw")</f>
        <v>cas_hmw</v>
      </c>
      <c r="B17858" s="5">
        <f>IFERROR(__xludf.DUMMYFUNCTION("""COMPUTED_VALUE"""),44742.0)</f>
        <v>44742</v>
      </c>
      <c r="C17858" s="6">
        <f>IFERROR(__xludf.DUMMYFUNCTION("""COMPUTED_VALUE"""),0.31015046296306537)</f>
        <v>0.310150463</v>
      </c>
      <c r="D17858" s="4">
        <f>IFERROR(__xludf.DUMMYFUNCTION("""COMPUTED_VALUE"""),13.054621)</f>
        <v>13.054621</v>
      </c>
      <c r="E17858" s="4">
        <f>IFERROR(__xludf.DUMMYFUNCTION("""COMPUTED_VALUE"""),80.255468)</f>
        <v>80.255468</v>
      </c>
      <c r="F17858" s="4">
        <f>IFERROR(__xludf.DUMMYFUNCTION("""COMPUTED_VALUE"""),5339.0)</f>
        <v>5339</v>
      </c>
      <c r="G17858" s="4">
        <f>IFERROR(__xludf.DUMMYFUNCTION("""COMPUTED_VALUE"""),52.0)</f>
        <v>52</v>
      </c>
      <c r="H17858" s="4"/>
      <c r="I17858" s="4"/>
    </row>
    <row r="17859">
      <c r="A17859" s="4" t="str">
        <f>IFERROR(__xludf.DUMMYFUNCTION("""COMPUTED_VALUE"""),"cas_hmw")</f>
        <v>cas_hmw</v>
      </c>
      <c r="B17859" s="5">
        <f>IFERROR(__xludf.DUMMYFUNCTION("""COMPUTED_VALUE"""),44742.0)</f>
        <v>44742</v>
      </c>
      <c r="C17859" s="6">
        <f>IFERROR(__xludf.DUMMYFUNCTION("""COMPUTED_VALUE"""),0.3108680555560568)</f>
        <v>0.3108680556</v>
      </c>
      <c r="D17859" s="4">
        <f>IFERROR(__xludf.DUMMYFUNCTION("""COMPUTED_VALUE"""),13.052081)</f>
        <v>13.052081</v>
      </c>
      <c r="E17859" s="4">
        <f>IFERROR(__xludf.DUMMYFUNCTION("""COMPUTED_VALUE"""),80.250754)</f>
        <v>80.250754</v>
      </c>
      <c r="F17859" s="4">
        <f>IFERROR(__xludf.DUMMYFUNCTION("""COMPUTED_VALUE"""),5339.0)</f>
        <v>5339</v>
      </c>
      <c r="G17859" s="4">
        <f>IFERROR(__xludf.DUMMYFUNCTION("""COMPUTED_VALUE"""),33.0)</f>
        <v>33</v>
      </c>
      <c r="H17859" s="4"/>
      <c r="I17859" s="4"/>
    </row>
    <row r="17860">
      <c r="A17860" s="4" t="str">
        <f>IFERROR(__xludf.DUMMYFUNCTION("""COMPUTED_VALUE"""),"cas_hmw")</f>
        <v>cas_hmw</v>
      </c>
      <c r="B17860" s="5">
        <f>IFERROR(__xludf.DUMMYFUNCTION("""COMPUTED_VALUE"""),44742.0)</f>
        <v>44742</v>
      </c>
      <c r="C17860" s="6">
        <f>IFERROR(__xludf.DUMMYFUNCTION("""COMPUTED_VALUE"""),0.3112037037026312)</f>
        <v>0.3112037037</v>
      </c>
      <c r="D17860" s="4">
        <f>IFERROR(__xludf.DUMMYFUNCTION("""COMPUTED_VALUE"""),13.050096)</f>
        <v>13.050096</v>
      </c>
      <c r="E17860" s="4">
        <f>IFERROR(__xludf.DUMMYFUNCTION("""COMPUTED_VALUE"""),80.264106)</f>
        <v>80.264106</v>
      </c>
      <c r="F17860" s="4">
        <f>IFERROR(__xludf.DUMMYFUNCTION("""COMPUTED_VALUE"""),805.0)</f>
        <v>805</v>
      </c>
      <c r="G17860" s="4">
        <f>IFERROR(__xludf.DUMMYFUNCTION("""COMPUTED_VALUE"""),40.0)</f>
        <v>40</v>
      </c>
      <c r="H17860" s="4"/>
      <c r="I17860" s="4"/>
    </row>
    <row r="17861">
      <c r="A17861" s="4" t="str">
        <f>IFERROR(__xludf.DUMMYFUNCTION("""COMPUTED_VALUE"""),"cas_hmw")</f>
        <v>cas_hmw</v>
      </c>
      <c r="B17861" s="5">
        <f>IFERROR(__xludf.DUMMYFUNCTION("""COMPUTED_VALUE"""),44742.0)</f>
        <v>44742</v>
      </c>
      <c r="C17861" s="6">
        <f>IFERROR(__xludf.DUMMYFUNCTION("""COMPUTED_VALUE"""),0.312569444446126)</f>
        <v>0.3125694444</v>
      </c>
      <c r="D17861" s="4">
        <f>IFERROR(__xludf.DUMMYFUNCTION("""COMPUTED_VALUE"""),13.044824)</f>
        <v>13.044824</v>
      </c>
      <c r="E17861" s="4">
        <f>IFERROR(__xludf.DUMMYFUNCTION("""COMPUTED_VALUE"""),80.266777)</f>
        <v>80.266777</v>
      </c>
      <c r="F17861" s="4">
        <f>IFERROR(__xludf.DUMMYFUNCTION("""COMPUTED_VALUE"""),805.0)</f>
        <v>805</v>
      </c>
      <c r="G17861" s="4">
        <f>IFERROR(__xludf.DUMMYFUNCTION("""COMPUTED_VALUE"""),22.0)</f>
        <v>22</v>
      </c>
      <c r="H17861" s="4"/>
      <c r="I17861" s="4"/>
    </row>
    <row r="17862">
      <c r="A17862" s="4" t="str">
        <f>IFERROR(__xludf.DUMMYFUNCTION("""COMPUTED_VALUE"""),"cas_hmw")</f>
        <v>cas_hmw</v>
      </c>
      <c r="B17862" s="5">
        <f>IFERROR(__xludf.DUMMYFUNCTION("""COMPUTED_VALUE"""),44742.0)</f>
        <v>44742</v>
      </c>
      <c r="C17862" s="6">
        <f>IFERROR(__xludf.DUMMYFUNCTION("""COMPUTED_VALUE"""),0.31276620370408637)</f>
        <v>0.3127662037</v>
      </c>
      <c r="D17862" s="4">
        <f>IFERROR(__xludf.DUMMYFUNCTION("""COMPUTED_VALUE"""),12.656797)</f>
        <v>12.656797</v>
      </c>
      <c r="E17862" s="4">
        <f>IFERROR(__xludf.DUMMYFUNCTION("""COMPUTED_VALUE"""),79.949513)</f>
        <v>79.949513</v>
      </c>
      <c r="F17862" s="4">
        <f>IFERROR(__xludf.DUMMYFUNCTION("""COMPUTED_VALUE"""),2846.0)</f>
        <v>2846</v>
      </c>
      <c r="G17862" s="4">
        <f>IFERROR(__xludf.DUMMYFUNCTION("""COMPUTED_VALUE"""),46.0)</f>
        <v>46</v>
      </c>
      <c r="H17862" s="4"/>
      <c r="I17862" s="4"/>
    </row>
    <row r="17863">
      <c r="A17863" s="4" t="str">
        <f>IFERROR(__xludf.DUMMYFUNCTION("""COMPUTED_VALUE"""),"cas_hmw")</f>
        <v>cas_hmw</v>
      </c>
      <c r="B17863" s="5">
        <f>IFERROR(__xludf.DUMMYFUNCTION("""COMPUTED_VALUE"""),44742.0)</f>
        <v>44742</v>
      </c>
      <c r="C17863" s="6">
        <f>IFERROR(__xludf.DUMMYFUNCTION("""COMPUTED_VALUE"""),0.31317129629678675)</f>
        <v>0.3131712963</v>
      </c>
      <c r="D17863" s="4">
        <f>IFERROR(__xludf.DUMMYFUNCTION("""COMPUTED_VALUE"""),13.044757)</f>
        <v>13.044757</v>
      </c>
      <c r="E17863" s="4">
        <f>IFERROR(__xludf.DUMMYFUNCTION("""COMPUTED_VALUE"""),80.248091)</f>
        <v>80.248091</v>
      </c>
      <c r="F17863" s="4">
        <f>IFERROR(__xludf.DUMMYFUNCTION("""COMPUTED_VALUE"""),5339.0)</f>
        <v>5339</v>
      </c>
      <c r="G17863" s="4">
        <f>IFERROR(__xludf.DUMMYFUNCTION("""COMPUTED_VALUE"""),31.0)</f>
        <v>31</v>
      </c>
      <c r="H17863" s="4"/>
      <c r="I17863" s="4"/>
    </row>
    <row r="17864">
      <c r="A17864" s="4" t="str">
        <f>IFERROR(__xludf.DUMMYFUNCTION("""COMPUTED_VALUE"""),"cas_hmw")</f>
        <v>cas_hmw</v>
      </c>
      <c r="B17864" s="5">
        <f>IFERROR(__xludf.DUMMYFUNCTION("""COMPUTED_VALUE"""),44742.0)</f>
        <v>44742</v>
      </c>
      <c r="C17864" s="6">
        <f>IFERROR(__xludf.DUMMYFUNCTION("""COMPUTED_VALUE"""),0.31502314814861165)</f>
        <v>0.3150231481</v>
      </c>
      <c r="D17864" s="4">
        <f>IFERROR(__xludf.DUMMYFUNCTION("""COMPUTED_VALUE"""),13.033633)</f>
        <v>13.033633</v>
      </c>
      <c r="E17864" s="4">
        <f>IFERROR(__xludf.DUMMYFUNCTION("""COMPUTED_VALUE"""),80.24418)</f>
        <v>80.24418</v>
      </c>
      <c r="F17864" s="4">
        <f>IFERROR(__xludf.DUMMYFUNCTION("""COMPUTED_VALUE"""),5339.0)</f>
        <v>5339</v>
      </c>
      <c r="G17864" s="4">
        <f>IFERROR(__xludf.DUMMYFUNCTION("""COMPUTED_VALUE"""),42.0)</f>
        <v>42</v>
      </c>
      <c r="H17864" s="4"/>
      <c r="I17864" s="4"/>
    </row>
    <row r="17865">
      <c r="A17865" s="4" t="str">
        <f>IFERROR(__xludf.DUMMYFUNCTION("""COMPUTED_VALUE"""),"cas_hmw")</f>
        <v>cas_hmw</v>
      </c>
      <c r="B17865" s="5">
        <f>IFERROR(__xludf.DUMMYFUNCTION("""COMPUTED_VALUE"""),44742.0)</f>
        <v>44742</v>
      </c>
      <c r="C17865" s="6">
        <f>IFERROR(__xludf.DUMMYFUNCTION("""COMPUTED_VALUE"""),0.3160185185188311)</f>
        <v>0.3160185185</v>
      </c>
      <c r="D17865" s="4">
        <f>IFERROR(__xludf.DUMMYFUNCTION("""COMPUTED_VALUE"""),13.030969)</f>
        <v>13.030969</v>
      </c>
      <c r="E17865" s="4">
        <f>IFERROR(__xludf.DUMMYFUNCTION("""COMPUTED_VALUE"""),80.239641)</f>
        <v>80.239641</v>
      </c>
      <c r="F17865" s="4">
        <f>IFERROR(__xludf.DUMMYFUNCTION("""COMPUTED_VALUE"""),5339.0)</f>
        <v>5339</v>
      </c>
      <c r="G17865" s="4">
        <f>IFERROR(__xludf.DUMMYFUNCTION("""COMPUTED_VALUE"""),30.0)</f>
        <v>30</v>
      </c>
      <c r="H17865" s="4"/>
      <c r="I17865" s="4"/>
    </row>
    <row r="17866">
      <c r="A17866" s="4" t="str">
        <f>IFERROR(__xludf.DUMMYFUNCTION("""COMPUTED_VALUE"""),"cas_hmw")</f>
        <v>cas_hmw</v>
      </c>
      <c r="B17866" s="5">
        <f>IFERROR(__xludf.DUMMYFUNCTION("""COMPUTED_VALUE"""),44742.0)</f>
        <v>44742</v>
      </c>
      <c r="C17866" s="6">
        <f>IFERROR(__xludf.DUMMYFUNCTION("""COMPUTED_VALUE"""),0.3167592592581059)</f>
        <v>0.3167592593</v>
      </c>
      <c r="D17866" s="4">
        <f>IFERROR(__xludf.DUMMYFUNCTION("""COMPUTED_VALUE"""),13.026565)</f>
        <v>13.026565</v>
      </c>
      <c r="E17866" s="4">
        <f>IFERROR(__xludf.DUMMYFUNCTION("""COMPUTED_VALUE"""),80.233084)</f>
        <v>80.233084</v>
      </c>
      <c r="F17866" s="4">
        <f>IFERROR(__xludf.DUMMYFUNCTION("""COMPUTED_VALUE"""),5339.0)</f>
        <v>5339</v>
      </c>
      <c r="G17866" s="4">
        <f>IFERROR(__xludf.DUMMYFUNCTION("""COMPUTED_VALUE"""),41.0)</f>
        <v>41</v>
      </c>
      <c r="H17866" s="4"/>
      <c r="I17866" s="4"/>
    </row>
    <row r="17867">
      <c r="A17867" s="4" t="str">
        <f>IFERROR(__xludf.DUMMYFUNCTION("""COMPUTED_VALUE"""),"cas_hmw")</f>
        <v>cas_hmw</v>
      </c>
      <c r="B17867" s="5">
        <f>IFERROR(__xludf.DUMMYFUNCTION("""COMPUTED_VALUE"""),44742.0)</f>
        <v>44742</v>
      </c>
      <c r="C17867" s="6">
        <f>IFERROR(__xludf.DUMMYFUNCTION("""COMPUTED_VALUE"""),0.3168287037042319)</f>
        <v>0.3168287037</v>
      </c>
      <c r="D17867" s="4">
        <f>IFERROR(__xludf.DUMMYFUNCTION("""COMPUTED_VALUE"""),13.026565)</f>
        <v>13.026565</v>
      </c>
      <c r="E17867" s="4">
        <f>IFERROR(__xludf.DUMMYFUNCTION("""COMPUTED_VALUE"""),80.233084)</f>
        <v>80.233084</v>
      </c>
      <c r="F17867" s="4">
        <f>IFERROR(__xludf.DUMMYFUNCTION("""COMPUTED_VALUE"""),5339.0)</f>
        <v>5339</v>
      </c>
      <c r="G17867" s="4">
        <f>IFERROR(__xludf.DUMMYFUNCTION("""COMPUTED_VALUE"""),41.0)</f>
        <v>41</v>
      </c>
      <c r="H17867" s="4"/>
      <c r="I17867" s="4"/>
    </row>
    <row r="17868">
      <c r="A17868" s="4" t="str">
        <f>IFERROR(__xludf.DUMMYFUNCTION("""COMPUTED_VALUE"""),"cas_hmw")</f>
        <v>cas_hmw</v>
      </c>
      <c r="B17868" s="5">
        <f>IFERROR(__xludf.DUMMYFUNCTION("""COMPUTED_VALUE"""),44742.0)</f>
        <v>44742</v>
      </c>
      <c r="C17868" s="6">
        <f>IFERROR(__xludf.DUMMYFUNCTION("""COMPUTED_VALUE"""),0.31684027777737356)</f>
        <v>0.3168402778</v>
      </c>
      <c r="D17868" s="4">
        <f>IFERROR(__xludf.DUMMYFUNCTION("""COMPUTED_VALUE"""),13.026181)</f>
        <v>13.026181</v>
      </c>
      <c r="E17868" s="4">
        <f>IFERROR(__xludf.DUMMYFUNCTION("""COMPUTED_VALUE"""),80.232156)</f>
        <v>80.232156</v>
      </c>
      <c r="F17868" s="4">
        <f>IFERROR(__xludf.DUMMYFUNCTION("""COMPUTED_VALUE"""),5339.0)</f>
        <v>5339</v>
      </c>
      <c r="G17868" s="4">
        <f>IFERROR(__xludf.DUMMYFUNCTION("""COMPUTED_VALUE"""),36.0)</f>
        <v>36</v>
      </c>
      <c r="H17868" s="4"/>
      <c r="I17868" s="4"/>
    </row>
    <row r="17869">
      <c r="A17869" s="4" t="str">
        <f>IFERROR(__xludf.DUMMYFUNCTION("""COMPUTED_VALUE"""),"cas_hmw")</f>
        <v>cas_hmw</v>
      </c>
      <c r="B17869" s="5">
        <f>IFERROR(__xludf.DUMMYFUNCTION("""COMPUTED_VALUE"""),44742.0)</f>
        <v>44742</v>
      </c>
      <c r="C17869" s="6">
        <f>IFERROR(__xludf.DUMMYFUNCTION("""COMPUTED_VALUE"""),0.31687500000043656)</f>
        <v>0.316875</v>
      </c>
      <c r="D17869" s="4">
        <f>IFERROR(__xludf.DUMMYFUNCTION("""COMPUTED_VALUE"""),13.026181)</f>
        <v>13.026181</v>
      </c>
      <c r="E17869" s="4">
        <f>IFERROR(__xludf.DUMMYFUNCTION("""COMPUTED_VALUE"""),80.232156)</f>
        <v>80.232156</v>
      </c>
      <c r="F17869" s="4">
        <f>IFERROR(__xludf.DUMMYFUNCTION("""COMPUTED_VALUE"""),5339.0)</f>
        <v>5339</v>
      </c>
      <c r="G17869" s="4">
        <f>IFERROR(__xludf.DUMMYFUNCTION("""COMPUTED_VALUE"""),36.0)</f>
        <v>36</v>
      </c>
      <c r="H17869" s="4"/>
      <c r="I17869" s="4"/>
    </row>
    <row r="17870">
      <c r="A17870" s="4" t="str">
        <f>IFERROR(__xludf.DUMMYFUNCTION("""COMPUTED_VALUE"""),"cas_hmw")</f>
        <v>cas_hmw</v>
      </c>
      <c r="B17870" s="5">
        <f>IFERROR(__xludf.DUMMYFUNCTION("""COMPUTED_VALUE"""),44742.0)</f>
        <v>44742</v>
      </c>
      <c r="C17870" s="6">
        <f>IFERROR(__xludf.DUMMYFUNCTION("""COMPUTED_VALUE"""),0.3169328703697829)</f>
        <v>0.3169328704</v>
      </c>
      <c r="D17870" s="4">
        <f>IFERROR(__xludf.DUMMYFUNCTION("""COMPUTED_VALUE"""),13.026181)</f>
        <v>13.026181</v>
      </c>
      <c r="E17870" s="4">
        <f>IFERROR(__xludf.DUMMYFUNCTION("""COMPUTED_VALUE"""),80.232156)</f>
        <v>80.232156</v>
      </c>
      <c r="F17870" s="4">
        <f>IFERROR(__xludf.DUMMYFUNCTION("""COMPUTED_VALUE"""),5339.0)</f>
        <v>5339</v>
      </c>
      <c r="G17870" s="4">
        <f>IFERROR(__xludf.DUMMYFUNCTION("""COMPUTED_VALUE"""),36.0)</f>
        <v>36</v>
      </c>
      <c r="H17870" s="4"/>
      <c r="I17870" s="4"/>
    </row>
    <row r="17871">
      <c r="A17871" s="4" t="str">
        <f>IFERROR(__xludf.DUMMYFUNCTION("""COMPUTED_VALUE"""),"cas_hmw")</f>
        <v>cas_hmw</v>
      </c>
      <c r="B17871" s="5">
        <f>IFERROR(__xludf.DUMMYFUNCTION("""COMPUTED_VALUE"""),44742.0)</f>
        <v>44742</v>
      </c>
      <c r="C17871" s="6">
        <f>IFERROR(__xludf.DUMMYFUNCTION("""COMPUTED_VALUE"""),0.3181250000016007)</f>
        <v>0.318125</v>
      </c>
      <c r="D17871" s="4">
        <f>IFERROR(__xludf.DUMMYFUNCTION("""COMPUTED_VALUE"""),13.017576)</f>
        <v>13.017576</v>
      </c>
      <c r="E17871" s="4">
        <f>IFERROR(__xludf.DUMMYFUNCTION("""COMPUTED_VALUE"""),80.225015)</f>
        <v>80.225015</v>
      </c>
      <c r="F17871" s="4">
        <f>IFERROR(__xludf.DUMMYFUNCTION("""COMPUTED_VALUE"""),5339.0)</f>
        <v>5339</v>
      </c>
      <c r="G17871" s="4">
        <f>IFERROR(__xludf.DUMMYFUNCTION("""COMPUTED_VALUE"""),53.0)</f>
        <v>53</v>
      </c>
      <c r="H17871" s="4"/>
      <c r="I17871" s="4"/>
    </row>
    <row r="17872">
      <c r="A17872" s="4" t="str">
        <f>IFERROR(__xludf.DUMMYFUNCTION("""COMPUTED_VALUE"""),"cas_hmw")</f>
        <v>cas_hmw</v>
      </c>
      <c r="B17872" s="5">
        <f>IFERROR(__xludf.DUMMYFUNCTION("""COMPUTED_VALUE"""),44742.0)</f>
        <v>44742</v>
      </c>
      <c r="C17872" s="6">
        <f>IFERROR(__xludf.DUMMYFUNCTION("""COMPUTED_VALUE"""),0.3182870370364981)</f>
        <v>0.318287037</v>
      </c>
      <c r="D17872" s="4">
        <f>IFERROR(__xludf.DUMMYFUNCTION("""COMPUTED_VALUE"""),13.016402)</f>
        <v>13.016402</v>
      </c>
      <c r="E17872" s="4">
        <f>IFERROR(__xludf.DUMMYFUNCTION("""COMPUTED_VALUE"""),80.225498)</f>
        <v>80.225498</v>
      </c>
      <c r="F17872" s="4">
        <f>IFERROR(__xludf.DUMMYFUNCTION("""COMPUTED_VALUE"""),5339.0)</f>
        <v>5339</v>
      </c>
      <c r="G17872" s="4">
        <f>IFERROR(__xludf.DUMMYFUNCTION("""COMPUTED_VALUE"""),46.0)</f>
        <v>46</v>
      </c>
      <c r="H17872" s="4"/>
      <c r="I17872" s="4"/>
    </row>
    <row r="17873">
      <c r="A17873" s="4" t="str">
        <f>IFERROR(__xludf.DUMMYFUNCTION("""COMPUTED_VALUE"""),"cas_hmw")</f>
        <v>cas_hmw</v>
      </c>
      <c r="B17873" s="5">
        <f>IFERROR(__xludf.DUMMYFUNCTION("""COMPUTED_VALUE"""),44742.0)</f>
        <v>44742</v>
      </c>
      <c r="C17873" s="6">
        <f>IFERROR(__xludf.DUMMYFUNCTION("""COMPUTED_VALUE"""),0.3188541666677338)</f>
        <v>0.3188541667</v>
      </c>
      <c r="D17873" s="4">
        <f>IFERROR(__xludf.DUMMYFUNCTION("""COMPUTED_VALUE"""),13.011309)</f>
        <v>13.011309</v>
      </c>
      <c r="E17873" s="4">
        <f>IFERROR(__xludf.DUMMYFUNCTION("""COMPUTED_VALUE"""),80.227415)</f>
        <v>80.227415</v>
      </c>
      <c r="F17873" s="4">
        <f>IFERROR(__xludf.DUMMYFUNCTION("""COMPUTED_VALUE"""),5339.0)</f>
        <v>5339</v>
      </c>
      <c r="G17873" s="4">
        <f>IFERROR(__xludf.DUMMYFUNCTION("""COMPUTED_VALUE"""),50.0)</f>
        <v>50</v>
      </c>
      <c r="H17873" s="4"/>
      <c r="I17873" s="4"/>
    </row>
    <row r="17874">
      <c r="A17874" s="4" t="str">
        <f>IFERROR(__xludf.DUMMYFUNCTION("""COMPUTED_VALUE"""),"cas_hmw")</f>
        <v>cas_hmw</v>
      </c>
      <c r="B17874" s="5">
        <f>IFERROR(__xludf.DUMMYFUNCTION("""COMPUTED_VALUE"""),44742.0)</f>
        <v>44742</v>
      </c>
      <c r="C17874" s="6">
        <f>IFERROR(__xludf.DUMMYFUNCTION("""COMPUTED_VALUE"""),0.3193981481490482)</f>
        <v>0.3193981481</v>
      </c>
      <c r="D17874" s="4">
        <f>IFERROR(__xludf.DUMMYFUNCTION("""COMPUTED_VALUE"""),13.010466)</f>
        <v>13.010466</v>
      </c>
      <c r="E17874" s="4">
        <f>IFERROR(__xludf.DUMMYFUNCTION("""COMPUTED_VALUE"""),80.225474)</f>
        <v>80.225474</v>
      </c>
      <c r="F17874" s="4">
        <f>IFERROR(__xludf.DUMMYFUNCTION("""COMPUTED_VALUE"""),5339.0)</f>
        <v>5339</v>
      </c>
      <c r="G17874" s="4">
        <f>IFERROR(__xludf.DUMMYFUNCTION("""COMPUTED_VALUE"""),49.0)</f>
        <v>49</v>
      </c>
      <c r="H17874" s="4"/>
      <c r="I17874" s="4"/>
    </row>
    <row r="17875">
      <c r="A17875" s="4" t="str">
        <f>IFERROR(__xludf.DUMMYFUNCTION("""COMPUTED_VALUE"""),"cas_hmw")</f>
        <v>cas_hmw</v>
      </c>
      <c r="B17875" s="5">
        <f>IFERROR(__xludf.DUMMYFUNCTION("""COMPUTED_VALUE"""),44742.0)</f>
        <v>44742</v>
      </c>
      <c r="C17875" s="6">
        <f>IFERROR(__xludf.DUMMYFUNCTION("""COMPUTED_VALUE"""),0.32040509259240935)</f>
        <v>0.3204050926</v>
      </c>
      <c r="D17875" s="4">
        <f>IFERROR(__xludf.DUMMYFUNCTION("""COMPUTED_VALUE"""),13.012062)</f>
        <v>13.012062</v>
      </c>
      <c r="E17875" s="4">
        <f>IFERROR(__xludf.DUMMYFUNCTION("""COMPUTED_VALUE"""),80.220917)</f>
        <v>80.220917</v>
      </c>
      <c r="F17875" s="4">
        <f>IFERROR(__xludf.DUMMYFUNCTION("""COMPUTED_VALUE"""),5339.0)</f>
        <v>5339</v>
      </c>
      <c r="G17875" s="4">
        <f>IFERROR(__xludf.DUMMYFUNCTION("""COMPUTED_VALUE"""),27.0)</f>
        <v>27</v>
      </c>
      <c r="H17875" s="4"/>
      <c r="I17875" s="4"/>
    </row>
    <row r="17876">
      <c r="A17876" s="4" t="str">
        <f>IFERROR(__xludf.DUMMYFUNCTION("""COMPUTED_VALUE"""),"cas_hmw")</f>
        <v>cas_hmw</v>
      </c>
      <c r="B17876" s="5">
        <f>IFERROR(__xludf.DUMMYFUNCTION("""COMPUTED_VALUE"""),44742.0)</f>
        <v>44742</v>
      </c>
      <c r="C17876" s="6">
        <f>IFERROR(__xludf.DUMMYFUNCTION("""COMPUTED_VALUE"""),0.320451388888614)</f>
        <v>0.3204513889</v>
      </c>
      <c r="D17876" s="4">
        <f>IFERROR(__xludf.DUMMYFUNCTION("""COMPUTED_VALUE"""),13.011796)</f>
        <v>13.011796</v>
      </c>
      <c r="E17876" s="4">
        <f>IFERROR(__xludf.DUMMYFUNCTION("""COMPUTED_VALUE"""),80.219974)</f>
        <v>80.219974</v>
      </c>
      <c r="F17876" s="4">
        <f>IFERROR(__xludf.DUMMYFUNCTION("""COMPUTED_VALUE"""),5339.0)</f>
        <v>5339</v>
      </c>
      <c r="G17876" s="4">
        <f>IFERROR(__xludf.DUMMYFUNCTION("""COMPUTED_VALUE"""),39.0)</f>
        <v>39</v>
      </c>
      <c r="H17876" s="4"/>
      <c r="I17876" s="4"/>
    </row>
    <row r="17877">
      <c r="A17877" s="4" t="str">
        <f>IFERROR(__xludf.DUMMYFUNCTION("""COMPUTED_VALUE"""),"cas_hmw")</f>
        <v>cas_hmw</v>
      </c>
      <c r="B17877" s="5">
        <f>IFERROR(__xludf.DUMMYFUNCTION("""COMPUTED_VALUE"""),44742.0)</f>
        <v>44742</v>
      </c>
      <c r="C17877" s="6">
        <f>IFERROR(__xludf.DUMMYFUNCTION("""COMPUTED_VALUE"""),0.32101851851984975)</f>
        <v>0.3210185185</v>
      </c>
      <c r="D17877" s="4">
        <f>IFERROR(__xludf.DUMMYFUNCTION("""COMPUTED_VALUE"""),13.009736)</f>
        <v>13.009736</v>
      </c>
      <c r="E17877" s="4">
        <f>IFERROR(__xludf.DUMMYFUNCTION("""COMPUTED_VALUE"""),80.213832)</f>
        <v>80.213832</v>
      </c>
      <c r="F17877" s="4">
        <f>IFERROR(__xludf.DUMMYFUNCTION("""COMPUTED_VALUE"""),5339.0)</f>
        <v>5339</v>
      </c>
      <c r="G17877" s="4">
        <f>IFERROR(__xludf.DUMMYFUNCTION("""COMPUTED_VALUE"""),60.0)</f>
        <v>60</v>
      </c>
      <c r="H17877" s="4"/>
      <c r="I17877" s="4"/>
    </row>
    <row r="17878">
      <c r="A17878" s="4" t="str">
        <f>IFERROR(__xludf.DUMMYFUNCTION("""COMPUTED_VALUE"""),"cas_hmw")</f>
        <v>cas_hmw</v>
      </c>
      <c r="B17878" s="5">
        <f>IFERROR(__xludf.DUMMYFUNCTION("""COMPUTED_VALUE"""),44742.0)</f>
        <v>44742</v>
      </c>
      <c r="C17878" s="6">
        <f>IFERROR(__xludf.DUMMYFUNCTION("""COMPUTED_VALUE"""),0.32152777777810115)</f>
        <v>0.3215277778</v>
      </c>
      <c r="D17878" s="4">
        <f>IFERROR(__xludf.DUMMYFUNCTION("""COMPUTED_VALUE"""),13.008072)</f>
        <v>13.008072</v>
      </c>
      <c r="E17878" s="4">
        <f>IFERROR(__xludf.DUMMYFUNCTION("""COMPUTED_VALUE"""),80.209103)</f>
        <v>80.209103</v>
      </c>
      <c r="F17878" s="4">
        <f>IFERROR(__xludf.DUMMYFUNCTION("""COMPUTED_VALUE"""),5339.0)</f>
        <v>5339</v>
      </c>
      <c r="G17878" s="4">
        <f>IFERROR(__xludf.DUMMYFUNCTION("""COMPUTED_VALUE"""),42.0)</f>
        <v>42</v>
      </c>
      <c r="H17878" s="4"/>
      <c r="I17878" s="4"/>
    </row>
    <row r="17879">
      <c r="A17879" s="4" t="str">
        <f>IFERROR(__xludf.DUMMYFUNCTION("""COMPUTED_VALUE"""),"cas_hmw")</f>
        <v>cas_hmw</v>
      </c>
      <c r="B17879" s="5">
        <f>IFERROR(__xludf.DUMMYFUNCTION("""COMPUTED_VALUE"""),44742.0)</f>
        <v>44742</v>
      </c>
      <c r="C17879" s="6">
        <f>IFERROR(__xludf.DUMMYFUNCTION("""COMPUTED_VALUE"""),0.3215856481474475)</f>
        <v>0.3215856481</v>
      </c>
      <c r="D17879" s="4">
        <f>IFERROR(__xludf.DUMMYFUNCTION("""COMPUTED_VALUE"""),13.008072)</f>
        <v>13.008072</v>
      </c>
      <c r="E17879" s="4">
        <f>IFERROR(__xludf.DUMMYFUNCTION("""COMPUTED_VALUE"""),80.209103)</f>
        <v>80.209103</v>
      </c>
      <c r="F17879" s="4">
        <f>IFERROR(__xludf.DUMMYFUNCTION("""COMPUTED_VALUE"""),5339.0)</f>
        <v>5339</v>
      </c>
      <c r="G17879" s="4">
        <f>IFERROR(__xludf.DUMMYFUNCTION("""COMPUTED_VALUE"""),42.0)</f>
        <v>42</v>
      </c>
      <c r="H17879" s="4"/>
      <c r="I17879" s="4"/>
    </row>
    <row r="17880">
      <c r="A17880" s="4" t="str">
        <f>IFERROR(__xludf.DUMMYFUNCTION("""COMPUTED_VALUE"""),"cas_hmw")</f>
        <v>cas_hmw</v>
      </c>
      <c r="B17880" s="5">
        <f>IFERROR(__xludf.DUMMYFUNCTION("""COMPUTED_VALUE"""),44742.0)</f>
        <v>44742</v>
      </c>
      <c r="C17880" s="6">
        <f>IFERROR(__xludf.DUMMYFUNCTION("""COMPUTED_VALUE"""),0.3217592592591245)</f>
        <v>0.3217592593</v>
      </c>
      <c r="D17880" s="4">
        <f>IFERROR(__xludf.DUMMYFUNCTION("""COMPUTED_VALUE"""),13.007702)</f>
        <v>13.007702</v>
      </c>
      <c r="E17880" s="4">
        <f>IFERROR(__xludf.DUMMYFUNCTION("""COMPUTED_VALUE"""),80.206964)</f>
        <v>80.206964</v>
      </c>
      <c r="F17880" s="4">
        <f>IFERROR(__xludf.DUMMYFUNCTION("""COMPUTED_VALUE"""),5339.0)</f>
        <v>5339</v>
      </c>
      <c r="G17880" s="4">
        <f>IFERROR(__xludf.DUMMYFUNCTION("""COMPUTED_VALUE"""),43.0)</f>
        <v>43</v>
      </c>
      <c r="H17880" s="4"/>
      <c r="I17880" s="4"/>
    </row>
    <row r="17881">
      <c r="A17881" s="4" t="str">
        <f>IFERROR(__xludf.DUMMYFUNCTION("""COMPUTED_VALUE"""),"cas_hmw")</f>
        <v>cas_hmw</v>
      </c>
      <c r="B17881" s="5">
        <f>IFERROR(__xludf.DUMMYFUNCTION("""COMPUTED_VALUE"""),44742.0)</f>
        <v>44742</v>
      </c>
      <c r="C17881" s="6">
        <f>IFERROR(__xludf.DUMMYFUNCTION("""COMPUTED_VALUE"""),0.32211805555562023)</f>
        <v>0.3221180556</v>
      </c>
      <c r="D17881" s="4">
        <f>IFERROR(__xludf.DUMMYFUNCTION("""COMPUTED_VALUE"""),13.006669)</f>
        <v>13.006669</v>
      </c>
      <c r="E17881" s="4">
        <f>IFERROR(__xludf.DUMMYFUNCTION("""COMPUTED_VALUE"""),80.203892)</f>
        <v>80.203892</v>
      </c>
      <c r="F17881" s="4">
        <f>IFERROR(__xludf.DUMMYFUNCTION("""COMPUTED_VALUE"""),5339.0)</f>
        <v>5339</v>
      </c>
      <c r="G17881" s="4">
        <f>IFERROR(__xludf.DUMMYFUNCTION("""COMPUTED_VALUE"""),48.0)</f>
        <v>48</v>
      </c>
      <c r="H17881" s="4"/>
      <c r="I17881" s="4"/>
    </row>
    <row r="17882">
      <c r="A17882" s="4" t="str">
        <f>IFERROR(__xludf.DUMMYFUNCTION("""COMPUTED_VALUE"""),"cas_hmw")</f>
        <v>cas_hmw</v>
      </c>
      <c r="B17882" s="5">
        <f>IFERROR(__xludf.DUMMYFUNCTION("""COMPUTED_VALUE"""),44742.0)</f>
        <v>44742</v>
      </c>
      <c r="C17882" s="6">
        <f>IFERROR(__xludf.DUMMYFUNCTION("""COMPUTED_VALUE"""),0.32246527777897427)</f>
        <v>0.3224652778</v>
      </c>
      <c r="D17882" s="4">
        <f>IFERROR(__xludf.DUMMYFUNCTION("""COMPUTED_VALUE"""),13.005413)</f>
        <v>13.005413</v>
      </c>
      <c r="E17882" s="4">
        <f>IFERROR(__xludf.DUMMYFUNCTION("""COMPUTED_VALUE"""),80.201881)</f>
        <v>80.201881</v>
      </c>
      <c r="F17882" s="4">
        <f>IFERROR(__xludf.DUMMYFUNCTION("""COMPUTED_VALUE"""),5339.0)</f>
        <v>5339</v>
      </c>
      <c r="G17882" s="4">
        <f>IFERROR(__xludf.DUMMYFUNCTION("""COMPUTED_VALUE"""),37.0)</f>
        <v>37</v>
      </c>
      <c r="H17882" s="4"/>
      <c r="I17882" s="4"/>
    </row>
    <row r="17883">
      <c r="A17883" s="4" t="str">
        <f>IFERROR(__xludf.DUMMYFUNCTION("""COMPUTED_VALUE"""),"cas_hmw")</f>
        <v>cas_hmw</v>
      </c>
      <c r="B17883" s="5">
        <f>IFERROR(__xludf.DUMMYFUNCTION("""COMPUTED_VALUE"""),44742.0)</f>
        <v>44742</v>
      </c>
      <c r="C17883" s="6">
        <f>IFERROR(__xludf.DUMMYFUNCTION("""COMPUTED_VALUE"""),0.3227083333331393)</f>
        <v>0.3227083333</v>
      </c>
      <c r="D17883" s="4">
        <f>IFERROR(__xludf.DUMMYFUNCTION("""COMPUTED_VALUE"""),13.003466)</f>
        <v>13.003466</v>
      </c>
      <c r="E17883" s="4">
        <f>IFERROR(__xludf.DUMMYFUNCTION("""COMPUTED_VALUE"""),80.200894)</f>
        <v>80.200894</v>
      </c>
      <c r="F17883" s="4">
        <f>IFERROR(__xludf.DUMMYFUNCTION("""COMPUTED_VALUE"""),5339.0)</f>
        <v>5339</v>
      </c>
      <c r="G17883" s="4">
        <f>IFERROR(__xludf.DUMMYFUNCTION("""COMPUTED_VALUE"""),45.0)</f>
        <v>45</v>
      </c>
      <c r="H17883" s="4"/>
      <c r="I17883" s="4"/>
    </row>
    <row r="17884">
      <c r="A17884" s="4" t="str">
        <f>IFERROR(__xludf.DUMMYFUNCTION("""COMPUTED_VALUE"""),"cas_hmw")</f>
        <v>cas_hmw</v>
      </c>
      <c r="B17884" s="5">
        <f>IFERROR(__xludf.DUMMYFUNCTION("""COMPUTED_VALUE"""),44742.0)</f>
        <v>44742</v>
      </c>
      <c r="C17884" s="6">
        <f>IFERROR(__xludf.DUMMYFUNCTION("""COMPUTED_VALUE"""),0.3232175925913907)</f>
        <v>0.3232175926</v>
      </c>
      <c r="D17884" s="4">
        <f>IFERROR(__xludf.DUMMYFUNCTION("""COMPUTED_VALUE"""),13.001871)</f>
        <v>13.001871</v>
      </c>
      <c r="E17884" s="4">
        <f>IFERROR(__xludf.DUMMYFUNCTION("""COMPUTED_VALUE"""),80.196668)</f>
        <v>80.196668</v>
      </c>
      <c r="F17884" s="4">
        <f>IFERROR(__xludf.DUMMYFUNCTION("""COMPUTED_VALUE"""),5339.0)</f>
        <v>5339</v>
      </c>
      <c r="G17884" s="4">
        <f>IFERROR(__xludf.DUMMYFUNCTION("""COMPUTED_VALUE"""),42.0)</f>
        <v>42</v>
      </c>
      <c r="H17884" s="4"/>
      <c r="I17884" s="4"/>
    </row>
    <row r="17885">
      <c r="A17885" s="4" t="str">
        <f>IFERROR(__xludf.DUMMYFUNCTION("""COMPUTED_VALUE"""),"cas_hmw")</f>
        <v>cas_hmw</v>
      </c>
      <c r="B17885" s="5">
        <f>IFERROR(__xludf.DUMMYFUNCTION("""COMPUTED_VALUE"""),44742.0)</f>
        <v>44742</v>
      </c>
      <c r="C17885" s="6">
        <f>IFERROR(__xludf.DUMMYFUNCTION("""COMPUTED_VALUE"""),0.3232986111106584)</f>
        <v>0.3232986111</v>
      </c>
      <c r="D17885" s="4">
        <f>IFERROR(__xludf.DUMMYFUNCTION("""COMPUTED_VALUE"""),13.006445)</f>
        <v>13.006445</v>
      </c>
      <c r="E17885" s="4">
        <f>IFERROR(__xludf.DUMMYFUNCTION("""COMPUTED_VALUE"""),80.256666)</f>
        <v>80.256666</v>
      </c>
      <c r="F17885" s="4">
        <f>IFERROR(__xludf.DUMMYFUNCTION("""COMPUTED_VALUE"""),805.0)</f>
        <v>805</v>
      </c>
      <c r="G17885" s="4">
        <f>IFERROR(__xludf.DUMMYFUNCTION("""COMPUTED_VALUE"""),30.0)</f>
        <v>30</v>
      </c>
      <c r="H17885" s="4"/>
      <c r="I17885" s="4"/>
    </row>
    <row r="17886">
      <c r="A17886" s="4" t="str">
        <f>IFERROR(__xludf.DUMMYFUNCTION("""COMPUTED_VALUE"""),"cas_hmw")</f>
        <v>cas_hmw</v>
      </c>
      <c r="B17886" s="5">
        <f>IFERROR(__xludf.DUMMYFUNCTION("""COMPUTED_VALUE"""),44742.0)</f>
        <v>44742</v>
      </c>
      <c r="C17886" s="6">
        <f>IFERROR(__xludf.DUMMYFUNCTION("""COMPUTED_VALUE"""),0.32341435185298906)</f>
        <v>0.3234143519</v>
      </c>
      <c r="D17886" s="4">
        <f>IFERROR(__xludf.DUMMYFUNCTION("""COMPUTED_VALUE"""),13.001243)</f>
        <v>13.001243</v>
      </c>
      <c r="E17886" s="4">
        <f>IFERROR(__xludf.DUMMYFUNCTION("""COMPUTED_VALUE"""),80.195788)</f>
        <v>80.195788</v>
      </c>
      <c r="F17886" s="4">
        <f>IFERROR(__xludf.DUMMYFUNCTION("""COMPUTED_VALUE"""),5339.0)</f>
        <v>5339</v>
      </c>
      <c r="G17886" s="4">
        <f>IFERROR(__xludf.DUMMYFUNCTION("""COMPUTED_VALUE"""),44.0)</f>
        <v>44</v>
      </c>
      <c r="H17886" s="4"/>
      <c r="I17886" s="4"/>
    </row>
    <row r="17887">
      <c r="A17887" s="4" t="str">
        <f>IFERROR(__xludf.DUMMYFUNCTION("""COMPUTED_VALUE"""),"cas_hmw")</f>
        <v>cas_hmw</v>
      </c>
      <c r="B17887" s="5">
        <f>IFERROR(__xludf.DUMMYFUNCTION("""COMPUTED_VALUE"""),44742.0)</f>
        <v>44742</v>
      </c>
      <c r="C17887" s="6">
        <f>IFERROR(__xludf.DUMMYFUNCTION("""COMPUTED_VALUE"""),0.32349537036861875)</f>
        <v>0.3234953704</v>
      </c>
      <c r="D17887" s="4">
        <f>IFERROR(__xludf.DUMMYFUNCTION("""COMPUTED_VALUE"""),13.000481)</f>
        <v>13.000481</v>
      </c>
      <c r="E17887" s="4">
        <f>IFERROR(__xludf.DUMMYFUNCTION("""COMPUTED_VALUE"""),80.194822)</f>
        <v>80.194822</v>
      </c>
      <c r="F17887" s="4">
        <f>IFERROR(__xludf.DUMMYFUNCTION("""COMPUTED_VALUE"""),5339.0)</f>
        <v>5339</v>
      </c>
      <c r="G17887" s="4">
        <f>IFERROR(__xludf.DUMMYFUNCTION("""COMPUTED_VALUE"""),50.0)</f>
        <v>50</v>
      </c>
      <c r="H17887" s="4"/>
      <c r="I17887" s="4"/>
    </row>
    <row r="17888">
      <c r="A17888" s="4" t="str">
        <f>IFERROR(__xludf.DUMMYFUNCTION("""COMPUTED_VALUE"""),"cas_hmw")</f>
        <v>cas_hmw</v>
      </c>
      <c r="B17888" s="5">
        <f>IFERROR(__xludf.DUMMYFUNCTION("""COMPUTED_VALUE"""),44742.0)</f>
        <v>44742</v>
      </c>
      <c r="C17888" s="6">
        <f>IFERROR(__xludf.DUMMYFUNCTION("""COMPUTED_VALUE"""),0.3236111111109494)</f>
        <v>0.3236111111</v>
      </c>
      <c r="D17888" s="4">
        <f>IFERROR(__xludf.DUMMYFUNCTION("""COMPUTED_VALUE"""),13.006503)</f>
        <v>13.006503</v>
      </c>
      <c r="E17888" s="4">
        <f>IFERROR(__xludf.DUMMYFUNCTION("""COMPUTED_VALUE"""),80.253779)</f>
        <v>80.253779</v>
      </c>
      <c r="F17888" s="4">
        <f>IFERROR(__xludf.DUMMYFUNCTION("""COMPUTED_VALUE"""),805.0)</f>
        <v>805</v>
      </c>
      <c r="G17888" s="4">
        <f>IFERROR(__xludf.DUMMYFUNCTION("""COMPUTED_VALUE"""),43.0)</f>
        <v>43</v>
      </c>
      <c r="H17888" s="4"/>
      <c r="I17888" s="4"/>
    </row>
    <row r="17889">
      <c r="A17889" s="4" t="str">
        <f>IFERROR(__xludf.DUMMYFUNCTION("""COMPUTED_VALUE"""),"cas_hmw")</f>
        <v>cas_hmw</v>
      </c>
      <c r="B17889" s="5">
        <f>IFERROR(__xludf.DUMMYFUNCTION("""COMPUTED_VALUE"""),44742.0)</f>
        <v>44742</v>
      </c>
      <c r="C17889" s="6">
        <f>IFERROR(__xludf.DUMMYFUNCTION("""COMPUTED_VALUE"""),0.3240624999998545)</f>
        <v>0.3240625</v>
      </c>
      <c r="D17889" s="4">
        <f>IFERROR(__xludf.DUMMYFUNCTION("""COMPUTED_VALUE"""),13.006689)</f>
        <v>13.006689</v>
      </c>
      <c r="E17889" s="4">
        <f>IFERROR(__xludf.DUMMYFUNCTION("""COMPUTED_VALUE"""),80.251524)</f>
        <v>80.251524</v>
      </c>
      <c r="F17889" s="4">
        <f>IFERROR(__xludf.DUMMYFUNCTION("""COMPUTED_VALUE"""),805.0)</f>
        <v>805</v>
      </c>
      <c r="G17889" s="4">
        <f>IFERROR(__xludf.DUMMYFUNCTION("""COMPUTED_VALUE"""),30.0)</f>
        <v>30</v>
      </c>
      <c r="H17889" s="4"/>
      <c r="I17889" s="4"/>
    </row>
    <row r="17890">
      <c r="A17890" s="4" t="str">
        <f>IFERROR(__xludf.DUMMYFUNCTION("""COMPUTED_VALUE"""),"cas_hmw")</f>
        <v>cas_hmw</v>
      </c>
      <c r="B17890" s="5">
        <f>IFERROR(__xludf.DUMMYFUNCTION("""COMPUTED_VALUE"""),44742.0)</f>
        <v>44742</v>
      </c>
      <c r="C17890" s="6">
        <f>IFERROR(__xludf.DUMMYFUNCTION("""COMPUTED_VALUE"""),0.32548611111269565)</f>
        <v>0.3254861111</v>
      </c>
      <c r="D17890" s="4">
        <f>IFERROR(__xludf.DUMMYFUNCTION("""COMPUTED_VALUE"""),12.994419)</f>
        <v>12.994419</v>
      </c>
      <c r="E17890" s="4">
        <f>IFERROR(__xludf.DUMMYFUNCTION("""COMPUTED_VALUE"""),80.186373)</f>
        <v>80.186373</v>
      </c>
      <c r="F17890" s="4">
        <f>IFERROR(__xludf.DUMMYFUNCTION("""COMPUTED_VALUE"""),5339.0)</f>
        <v>5339</v>
      </c>
      <c r="G17890" s="4">
        <f>IFERROR(__xludf.DUMMYFUNCTION("""COMPUTED_VALUE"""),22.0)</f>
        <v>22</v>
      </c>
      <c r="H17890" s="4"/>
      <c r="I17890" s="4"/>
    </row>
    <row r="17891">
      <c r="A17891" s="4" t="str">
        <f>IFERROR(__xludf.DUMMYFUNCTION("""COMPUTED_VALUE"""),"cas_hmw")</f>
        <v>cas_hmw</v>
      </c>
      <c r="B17891" s="5">
        <f>IFERROR(__xludf.DUMMYFUNCTION("""COMPUTED_VALUE"""),44742.0)</f>
        <v>44742</v>
      </c>
      <c r="C17891" s="6">
        <f>IFERROR(__xludf.DUMMYFUNCTION("""COMPUTED_VALUE"""),0.32556712962832535)</f>
        <v>0.3255671296</v>
      </c>
      <c r="D17891" s="4">
        <f>IFERROR(__xludf.DUMMYFUNCTION("""COMPUTED_VALUE"""),12.994419)</f>
        <v>12.994419</v>
      </c>
      <c r="E17891" s="4">
        <f>IFERROR(__xludf.DUMMYFUNCTION("""COMPUTED_VALUE"""),80.186373)</f>
        <v>80.186373</v>
      </c>
      <c r="F17891" s="4">
        <f>IFERROR(__xludf.DUMMYFUNCTION("""COMPUTED_VALUE"""),5339.0)</f>
        <v>5339</v>
      </c>
      <c r="G17891" s="4">
        <f>IFERROR(__xludf.DUMMYFUNCTION("""COMPUTED_VALUE"""),22.0)</f>
        <v>22</v>
      </c>
      <c r="H17891" s="4"/>
      <c r="I17891" s="4"/>
    </row>
    <row r="17892">
      <c r="A17892" s="4" t="str">
        <f>IFERROR(__xludf.DUMMYFUNCTION("""COMPUTED_VALUE"""),"cas_hmw")</f>
        <v>cas_hmw</v>
      </c>
      <c r="B17892" s="5">
        <f>IFERROR(__xludf.DUMMYFUNCTION("""COMPUTED_VALUE"""),44742.0)</f>
        <v>44742</v>
      </c>
      <c r="C17892" s="6">
        <f>IFERROR(__xludf.DUMMYFUNCTION("""COMPUTED_VALUE"""),0.3256944444437977)</f>
        <v>0.3256944444</v>
      </c>
      <c r="D17892" s="4">
        <f>IFERROR(__xludf.DUMMYFUNCTION("""COMPUTED_VALUE"""),12.993775)</f>
        <v>12.993775</v>
      </c>
      <c r="E17892" s="4">
        <f>IFERROR(__xludf.DUMMYFUNCTION("""COMPUTED_VALUE"""),80.185126)</f>
        <v>80.185126</v>
      </c>
      <c r="F17892" s="4">
        <f>IFERROR(__xludf.DUMMYFUNCTION("""COMPUTED_VALUE"""),5339.0)</f>
        <v>5339</v>
      </c>
      <c r="G17892" s="4">
        <f>IFERROR(__xludf.DUMMYFUNCTION("""COMPUTED_VALUE"""),32.0)</f>
        <v>32</v>
      </c>
      <c r="H17892" s="4"/>
      <c r="I17892" s="4"/>
    </row>
    <row r="17893">
      <c r="A17893" s="4" t="str">
        <f>IFERROR(__xludf.DUMMYFUNCTION("""COMPUTED_VALUE"""),"cas_hmw")</f>
        <v>cas_hmw</v>
      </c>
      <c r="B17893" s="5">
        <f>IFERROR(__xludf.DUMMYFUNCTION("""COMPUTED_VALUE"""),44742.0)</f>
        <v>44742</v>
      </c>
      <c r="C17893" s="6">
        <f>IFERROR(__xludf.DUMMYFUNCTION("""COMPUTED_VALUE"""),0.3262268518519704)</f>
        <v>0.3262268519</v>
      </c>
      <c r="D17893" s="4">
        <f>IFERROR(__xludf.DUMMYFUNCTION("""COMPUTED_VALUE"""),12.710714)</f>
        <v>12.710714</v>
      </c>
      <c r="E17893" s="4">
        <f>IFERROR(__xludf.DUMMYFUNCTION("""COMPUTED_VALUE"""),79.978262)</f>
        <v>79.978262</v>
      </c>
      <c r="F17893" s="4">
        <f>IFERROR(__xludf.DUMMYFUNCTION("""COMPUTED_VALUE"""),2846.0)</f>
        <v>2846</v>
      </c>
      <c r="G17893" s="4">
        <f>IFERROR(__xludf.DUMMYFUNCTION("""COMPUTED_VALUE"""),44.0)</f>
        <v>44</v>
      </c>
      <c r="H17893" s="4"/>
      <c r="I17893" s="4"/>
    </row>
    <row r="17894">
      <c r="A17894" s="4" t="str">
        <f>IFERROR(__xludf.DUMMYFUNCTION("""COMPUTED_VALUE"""),"cas_hmw")</f>
        <v>cas_hmw</v>
      </c>
      <c r="B17894" s="5">
        <f>IFERROR(__xludf.DUMMYFUNCTION("""COMPUTED_VALUE"""),44742.0)</f>
        <v>44742</v>
      </c>
      <c r="C17894" s="6">
        <f>IFERROR(__xludf.DUMMYFUNCTION("""COMPUTED_VALUE"""),0.3269212962950405)</f>
        <v>0.3269212963</v>
      </c>
      <c r="D17894" s="4">
        <f>IFERROR(__xludf.DUMMYFUNCTION("""COMPUTED_VALUE"""),12.989611)</f>
        <v>12.989611</v>
      </c>
      <c r="E17894" s="4">
        <f>IFERROR(__xludf.DUMMYFUNCTION("""COMPUTED_VALUE"""),80.179157)</f>
        <v>80.179157</v>
      </c>
      <c r="F17894" s="4">
        <f>IFERROR(__xludf.DUMMYFUNCTION("""COMPUTED_VALUE"""),5339.0)</f>
        <v>5339</v>
      </c>
      <c r="G17894" s="4">
        <f>IFERROR(__xludf.DUMMYFUNCTION("""COMPUTED_VALUE"""),23.0)</f>
        <v>23</v>
      </c>
      <c r="H17894" s="4"/>
      <c r="I17894" s="4"/>
    </row>
    <row r="17895">
      <c r="A17895" s="4" t="str">
        <f>IFERROR(__xludf.DUMMYFUNCTION("""COMPUTED_VALUE"""),"cas_hmw")</f>
        <v>cas_hmw</v>
      </c>
      <c r="B17895" s="5">
        <f>IFERROR(__xludf.DUMMYFUNCTION("""COMPUTED_VALUE"""),44742.0)</f>
        <v>44742</v>
      </c>
      <c r="C17895" s="6">
        <f>IFERROR(__xludf.DUMMYFUNCTION("""COMPUTED_VALUE"""),0.3272916666683159)</f>
        <v>0.3272916667</v>
      </c>
      <c r="D17895" s="4">
        <f>IFERROR(__xludf.DUMMYFUNCTION("""COMPUTED_VALUE"""),12.987972)</f>
        <v>12.987972</v>
      </c>
      <c r="E17895" s="4">
        <f>IFERROR(__xludf.DUMMYFUNCTION("""COMPUTED_VALUE"""),80.176954)</f>
        <v>80.176954</v>
      </c>
      <c r="F17895" s="4">
        <f>IFERROR(__xludf.DUMMYFUNCTION("""COMPUTED_VALUE"""),5339.0)</f>
        <v>5339</v>
      </c>
      <c r="G17895" s="4">
        <f>IFERROR(__xludf.DUMMYFUNCTION("""COMPUTED_VALUE"""),36.0)</f>
        <v>36</v>
      </c>
      <c r="H17895" s="4"/>
      <c r="I17895" s="4"/>
    </row>
    <row r="17896">
      <c r="A17896" s="4" t="str">
        <f>IFERROR(__xludf.DUMMYFUNCTION("""COMPUTED_VALUE"""),"cas_hmw")</f>
        <v>cas_hmw</v>
      </c>
      <c r="B17896" s="5">
        <f>IFERROR(__xludf.DUMMYFUNCTION("""COMPUTED_VALUE"""),44742.0)</f>
        <v>44742</v>
      </c>
      <c r="C17896" s="6">
        <f>IFERROR(__xludf.DUMMYFUNCTION("""COMPUTED_VALUE"""),0.3275115740725596)</f>
        <v>0.3275115741</v>
      </c>
      <c r="D17896" s="4">
        <f>IFERROR(__xludf.DUMMYFUNCTION("""COMPUTED_VALUE"""),12.986823)</f>
        <v>12.986823</v>
      </c>
      <c r="E17896" s="4">
        <f>IFERROR(__xludf.DUMMYFUNCTION("""COMPUTED_VALUE"""),80.175347)</f>
        <v>80.175347</v>
      </c>
      <c r="F17896" s="4">
        <f>IFERROR(__xludf.DUMMYFUNCTION("""COMPUTED_VALUE"""),5339.0)</f>
        <v>5339</v>
      </c>
      <c r="G17896" s="4">
        <f>IFERROR(__xludf.DUMMYFUNCTION("""COMPUTED_VALUE"""),43.0)</f>
        <v>43</v>
      </c>
      <c r="H17896" s="4"/>
      <c r="I17896" s="4"/>
    </row>
    <row r="17897">
      <c r="A17897" s="4" t="str">
        <f>IFERROR(__xludf.DUMMYFUNCTION("""COMPUTED_VALUE"""),"cas_hmw")</f>
        <v>cas_hmw</v>
      </c>
      <c r="B17897" s="5">
        <f>IFERROR(__xludf.DUMMYFUNCTION("""COMPUTED_VALUE"""),44742.0)</f>
        <v>44742</v>
      </c>
      <c r="C17897" s="6">
        <f>IFERROR(__xludf.DUMMYFUNCTION("""COMPUTED_VALUE"""),0.32791666666526)</f>
        <v>0.3279166667</v>
      </c>
      <c r="D17897" s="4">
        <f>IFERROR(__xludf.DUMMYFUNCTION("""COMPUTED_VALUE"""),12.725696)</f>
        <v>12.725696</v>
      </c>
      <c r="E17897" s="4">
        <f>IFERROR(__xludf.DUMMYFUNCTION("""COMPUTED_VALUE"""),79.98218)</f>
        <v>79.98218</v>
      </c>
      <c r="F17897" s="4">
        <f>IFERROR(__xludf.DUMMYFUNCTION("""COMPUTED_VALUE"""),2846.0)</f>
        <v>2846</v>
      </c>
      <c r="G17897" s="4">
        <f>IFERROR(__xludf.DUMMYFUNCTION("""COMPUTED_VALUE"""),42.0)</f>
        <v>42</v>
      </c>
      <c r="H17897" s="4"/>
      <c r="I17897" s="4"/>
    </row>
    <row r="17898">
      <c r="A17898" s="4" t="str">
        <f>IFERROR(__xludf.DUMMYFUNCTION("""COMPUTED_VALUE"""),"cas_hmw")</f>
        <v>cas_hmw</v>
      </c>
      <c r="B17898" s="5">
        <f>IFERROR(__xludf.DUMMYFUNCTION("""COMPUTED_VALUE"""),44742.0)</f>
        <v>44742</v>
      </c>
      <c r="C17898" s="6">
        <f>IFERROR(__xludf.DUMMYFUNCTION("""COMPUTED_VALUE"""),0.32835648148102337)</f>
        <v>0.3283564815</v>
      </c>
      <c r="D17898" s="4">
        <f>IFERROR(__xludf.DUMMYFUNCTION("""COMPUTED_VALUE"""),12.982238)</f>
        <v>12.982238</v>
      </c>
      <c r="E17898" s="4">
        <f>IFERROR(__xludf.DUMMYFUNCTION("""COMPUTED_VALUE"""),80.168073)</f>
        <v>80.168073</v>
      </c>
      <c r="F17898" s="4">
        <f>IFERROR(__xludf.DUMMYFUNCTION("""COMPUTED_VALUE"""),5339.0)</f>
        <v>5339</v>
      </c>
      <c r="G17898" s="4">
        <f>IFERROR(__xludf.DUMMYFUNCTION("""COMPUTED_VALUE"""),45.0)</f>
        <v>45</v>
      </c>
      <c r="H17898" s="4"/>
      <c r="I17898" s="4"/>
    </row>
    <row r="17899">
      <c r="A17899" s="4" t="str">
        <f>IFERROR(__xludf.DUMMYFUNCTION("""COMPUTED_VALUE"""),"cas_hmw")</f>
        <v>cas_hmw</v>
      </c>
      <c r="B17899" s="5">
        <f>IFERROR(__xludf.DUMMYFUNCTION("""COMPUTED_VALUE"""),44742.0)</f>
        <v>44742</v>
      </c>
      <c r="C17899" s="6">
        <f>IFERROR(__xludf.DUMMYFUNCTION("""COMPUTED_VALUE"""),0.3288078703699284)</f>
        <v>0.3288078704</v>
      </c>
      <c r="D17899" s="4">
        <f>IFERROR(__xludf.DUMMYFUNCTION("""COMPUTED_VALUE"""),12.732037)</f>
        <v>12.732037</v>
      </c>
      <c r="E17899" s="4">
        <f>IFERROR(__xludf.DUMMYFUNCTION("""COMPUTED_VALUE"""),79.982883)</f>
        <v>79.982883</v>
      </c>
      <c r="F17899" s="4">
        <f>IFERROR(__xludf.DUMMYFUNCTION("""COMPUTED_VALUE"""),2846.0)</f>
        <v>2846</v>
      </c>
      <c r="G17899" s="4">
        <f>IFERROR(__xludf.DUMMYFUNCTION("""COMPUTED_VALUE"""),52.0)</f>
        <v>52</v>
      </c>
      <c r="H17899" s="4"/>
      <c r="I17899" s="4"/>
    </row>
    <row r="17900">
      <c r="A17900" s="4" t="str">
        <f>IFERROR(__xludf.DUMMYFUNCTION("""COMPUTED_VALUE"""),"cas_hmw")</f>
        <v>cas_hmw</v>
      </c>
      <c r="B17900" s="5">
        <f>IFERROR(__xludf.DUMMYFUNCTION("""COMPUTED_VALUE"""),44742.0)</f>
        <v>44742</v>
      </c>
      <c r="C17900" s="6">
        <f>IFERROR(__xludf.DUMMYFUNCTION("""COMPUTED_VALUE"""),0.32905092592773144)</f>
        <v>0.3290509259</v>
      </c>
      <c r="D17900" s="4">
        <f>IFERROR(__xludf.DUMMYFUNCTION("""COMPUTED_VALUE"""),13.010862)</f>
        <v>13.010862</v>
      </c>
      <c r="E17900" s="4">
        <f>IFERROR(__xludf.DUMMYFUNCTION("""COMPUTED_VALUE"""),80.224598)</f>
        <v>80.224598</v>
      </c>
      <c r="F17900" s="4">
        <f>IFERROR(__xludf.DUMMYFUNCTION("""COMPUTED_VALUE"""),805.0)</f>
        <v>805</v>
      </c>
      <c r="G17900" s="4">
        <f>IFERROR(__xludf.DUMMYFUNCTION("""COMPUTED_VALUE"""),51.0)</f>
        <v>51</v>
      </c>
      <c r="H17900" s="4"/>
      <c r="I17900" s="4"/>
    </row>
    <row r="17901">
      <c r="A17901" s="4" t="str">
        <f>IFERROR(__xludf.DUMMYFUNCTION("""COMPUTED_VALUE"""),"cas_hmw")</f>
        <v>cas_hmw</v>
      </c>
      <c r="B17901" s="5">
        <f>IFERROR(__xludf.DUMMYFUNCTION("""COMPUTED_VALUE"""),44742.0)</f>
        <v>44742</v>
      </c>
      <c r="C17901" s="6">
        <f>IFERROR(__xludf.DUMMYFUNCTION("""COMPUTED_VALUE"""),0.3291782407395658)</f>
        <v>0.3291782407</v>
      </c>
      <c r="D17901" s="4">
        <f>IFERROR(__xludf.DUMMYFUNCTION("""COMPUTED_VALUE"""),13.011287)</f>
        <v>13.011287</v>
      </c>
      <c r="E17901" s="4">
        <f>IFERROR(__xludf.DUMMYFUNCTION("""COMPUTED_VALUE"""),80.223497)</f>
        <v>80.223497</v>
      </c>
      <c r="F17901" s="4">
        <f>IFERROR(__xludf.DUMMYFUNCTION("""COMPUTED_VALUE"""),805.0)</f>
        <v>805</v>
      </c>
      <c r="G17901" s="4">
        <f>IFERROR(__xludf.DUMMYFUNCTION("""COMPUTED_VALUE"""),42.0)</f>
        <v>42</v>
      </c>
      <c r="H17901" s="4"/>
      <c r="I17901" s="4"/>
    </row>
    <row r="17902">
      <c r="A17902" s="4" t="str">
        <f>IFERROR(__xludf.DUMMYFUNCTION("""COMPUTED_VALUE"""),"cas_hmw")</f>
        <v>cas_hmw</v>
      </c>
      <c r="B17902" s="5">
        <f>IFERROR(__xludf.DUMMYFUNCTION("""COMPUTED_VALUE"""),44742.0)</f>
        <v>44742</v>
      </c>
      <c r="C17902" s="6">
        <f>IFERROR(__xludf.DUMMYFUNCTION("""COMPUTED_VALUE"""),0.3292824074087548)</f>
        <v>0.3292824074</v>
      </c>
      <c r="D17902" s="4">
        <f>IFERROR(__xludf.DUMMYFUNCTION("""COMPUTED_VALUE"""),13.011704)</f>
        <v>13.011704</v>
      </c>
      <c r="E17902" s="4">
        <f>IFERROR(__xludf.DUMMYFUNCTION("""COMPUTED_VALUE"""),80.222395)</f>
        <v>80.222395</v>
      </c>
      <c r="F17902" s="4">
        <f>IFERROR(__xludf.DUMMYFUNCTION("""COMPUTED_VALUE"""),805.0)</f>
        <v>805</v>
      </c>
      <c r="G17902" s="4">
        <f>IFERROR(__xludf.DUMMYFUNCTION("""COMPUTED_VALUE"""),40.0)</f>
        <v>40</v>
      </c>
      <c r="H17902" s="4"/>
      <c r="I17902" s="4"/>
    </row>
    <row r="17903">
      <c r="A17903" s="4" t="str">
        <f>IFERROR(__xludf.DUMMYFUNCTION("""COMPUTED_VALUE"""),"cas_hmw")</f>
        <v>cas_hmw</v>
      </c>
      <c r="B17903" s="5">
        <f>IFERROR(__xludf.DUMMYFUNCTION("""COMPUTED_VALUE"""),44742.0)</f>
        <v>44742</v>
      </c>
      <c r="C17903" s="6">
        <f>IFERROR(__xludf.DUMMYFUNCTION("""COMPUTED_VALUE"""),0.33000000000174623)</f>
        <v>0.33</v>
      </c>
      <c r="D17903" s="4">
        <f>IFERROR(__xludf.DUMMYFUNCTION("""COMPUTED_VALUE"""),13.011286)</f>
        <v>13.011286</v>
      </c>
      <c r="E17903" s="4">
        <f>IFERROR(__xludf.DUMMYFUNCTION("""COMPUTED_VALUE"""),80.218252)</f>
        <v>80.218252</v>
      </c>
      <c r="F17903" s="4">
        <f>IFERROR(__xludf.DUMMYFUNCTION("""COMPUTED_VALUE"""),805.0)</f>
        <v>805</v>
      </c>
      <c r="G17903" s="4">
        <f>IFERROR(__xludf.DUMMYFUNCTION("""COMPUTED_VALUE"""),40.0)</f>
        <v>40</v>
      </c>
      <c r="H17903" s="4"/>
      <c r="I17903" s="4"/>
    </row>
    <row r="17904">
      <c r="A17904" s="4" t="str">
        <f>IFERROR(__xludf.DUMMYFUNCTION("""COMPUTED_VALUE"""),"cas_hmw")</f>
        <v>cas_hmw</v>
      </c>
      <c r="B17904" s="5">
        <f>IFERROR(__xludf.DUMMYFUNCTION("""COMPUTED_VALUE"""),44742.0)</f>
        <v>44742</v>
      </c>
      <c r="C17904" s="6">
        <f>IFERROR(__xludf.DUMMYFUNCTION("""COMPUTED_VALUE"""),0.33003472222117125)</f>
        <v>0.3300347222</v>
      </c>
      <c r="D17904" s="4">
        <f>IFERROR(__xludf.DUMMYFUNCTION("""COMPUTED_VALUE"""),12.97397)</f>
        <v>12.97397</v>
      </c>
      <c r="E17904" s="4">
        <f>IFERROR(__xludf.DUMMYFUNCTION("""COMPUTED_VALUE"""),80.154184)</f>
        <v>80.154184</v>
      </c>
      <c r="F17904" s="4">
        <f>IFERROR(__xludf.DUMMYFUNCTION("""COMPUTED_VALUE"""),5339.0)</f>
        <v>5339</v>
      </c>
      <c r="G17904" s="4">
        <f>IFERROR(__xludf.DUMMYFUNCTION("""COMPUTED_VALUE"""),34.0)</f>
        <v>34</v>
      </c>
      <c r="H17904" s="4"/>
      <c r="I17904" s="4"/>
    </row>
    <row r="17905">
      <c r="A17905" s="4" t="str">
        <f>IFERROR(__xludf.DUMMYFUNCTION("""COMPUTED_VALUE"""),"cas_hmw")</f>
        <v>cas_hmw</v>
      </c>
      <c r="B17905" s="5">
        <f>IFERROR(__xludf.DUMMYFUNCTION("""COMPUTED_VALUE"""),44742.0)</f>
        <v>44742</v>
      </c>
      <c r="C17905" s="6">
        <f>IFERROR(__xludf.DUMMYFUNCTION("""COMPUTED_VALUE"""),0.3302314814827696)</f>
        <v>0.3302314815</v>
      </c>
      <c r="D17905" s="4">
        <f>IFERROR(__xludf.DUMMYFUNCTION("""COMPUTED_VALUE"""),12.973398)</f>
        <v>12.973398</v>
      </c>
      <c r="E17905" s="4">
        <f>IFERROR(__xludf.DUMMYFUNCTION("""COMPUTED_VALUE"""),80.153323)</f>
        <v>80.153323</v>
      </c>
      <c r="F17905" s="4">
        <f>IFERROR(__xludf.DUMMYFUNCTION("""COMPUTED_VALUE"""),5339.0)</f>
        <v>5339</v>
      </c>
      <c r="G17905" s="4">
        <f>IFERROR(__xludf.DUMMYFUNCTION("""COMPUTED_VALUE"""),45.0)</f>
        <v>45</v>
      </c>
      <c r="H17905" s="4"/>
      <c r="I17905" s="4"/>
    </row>
    <row r="17906">
      <c r="A17906" s="4" t="str">
        <f>IFERROR(__xludf.DUMMYFUNCTION("""COMPUTED_VALUE"""),"cas_hmw")</f>
        <v>cas_hmw</v>
      </c>
      <c r="B17906" s="5">
        <f>IFERROR(__xludf.DUMMYFUNCTION("""COMPUTED_VALUE"""),44742.0)</f>
        <v>44742</v>
      </c>
      <c r="C17906" s="6">
        <f>IFERROR(__xludf.DUMMYFUNCTION("""COMPUTED_VALUE"""),0.3303356481483206)</f>
        <v>0.3303356481</v>
      </c>
      <c r="D17906" s="4">
        <f>IFERROR(__xludf.DUMMYFUNCTION("""COMPUTED_VALUE"""),12.972737)</f>
        <v>12.972737</v>
      </c>
      <c r="E17906" s="4">
        <f>IFERROR(__xludf.DUMMYFUNCTION("""COMPUTED_VALUE"""),80.15232)</f>
        <v>80.15232</v>
      </c>
      <c r="F17906" s="4">
        <f>IFERROR(__xludf.DUMMYFUNCTION("""COMPUTED_VALUE"""),5339.0)</f>
        <v>5339</v>
      </c>
      <c r="G17906" s="4">
        <f>IFERROR(__xludf.DUMMYFUNCTION("""COMPUTED_VALUE"""),49.0)</f>
        <v>49</v>
      </c>
      <c r="H17906" s="4"/>
      <c r="I17906" s="4"/>
    </row>
    <row r="17907">
      <c r="A17907" s="4" t="str">
        <f>IFERROR(__xludf.DUMMYFUNCTION("""COMPUTED_VALUE"""),"cas_hmw")</f>
        <v>cas_hmw</v>
      </c>
      <c r="B17907" s="5">
        <f>IFERROR(__xludf.DUMMYFUNCTION("""COMPUTED_VALUE"""),44742.0)</f>
        <v>44742</v>
      </c>
      <c r="C17907" s="6">
        <f>IFERROR(__xludf.DUMMYFUNCTION("""COMPUTED_VALUE"""),0.33047453703693463)</f>
        <v>0.330474537</v>
      </c>
      <c r="D17907" s="4">
        <f>IFERROR(__xludf.DUMMYFUNCTION("""COMPUTED_VALUE"""),13.009407)</f>
        <v>13.009407</v>
      </c>
      <c r="E17907" s="4">
        <f>IFERROR(__xludf.DUMMYFUNCTION("""COMPUTED_VALUE"""),80.212986)</f>
        <v>80.212986</v>
      </c>
      <c r="F17907" s="4">
        <f>IFERROR(__xludf.DUMMYFUNCTION("""COMPUTED_VALUE"""),805.0)</f>
        <v>805</v>
      </c>
      <c r="G17907" s="4">
        <f>IFERROR(__xludf.DUMMYFUNCTION("""COMPUTED_VALUE"""),41.0)</f>
        <v>41</v>
      </c>
      <c r="H17907" s="4"/>
      <c r="I17907" s="4"/>
    </row>
    <row r="17908">
      <c r="A17908" s="4" t="str">
        <f>IFERROR(__xludf.DUMMYFUNCTION("""COMPUTED_VALUE"""),"cas_hmw")</f>
        <v>cas_hmw</v>
      </c>
      <c r="B17908" s="5">
        <f>IFERROR(__xludf.DUMMYFUNCTION("""COMPUTED_VALUE"""),44742.0)</f>
        <v>44742</v>
      </c>
      <c r="C17908" s="6">
        <f>IFERROR(__xludf.DUMMYFUNCTION("""COMPUTED_VALUE"""),0.330532407406281)</f>
        <v>0.3305324074</v>
      </c>
      <c r="D17908" s="4">
        <f>IFERROR(__xludf.DUMMYFUNCTION("""COMPUTED_VALUE"""),12.97147)</f>
        <v>12.97147</v>
      </c>
      <c r="E17908" s="4">
        <f>IFERROR(__xludf.DUMMYFUNCTION("""COMPUTED_VALUE"""),80.151132)</f>
        <v>80.151132</v>
      </c>
      <c r="F17908" s="4">
        <f>IFERROR(__xludf.DUMMYFUNCTION("""COMPUTED_VALUE"""),5339.0)</f>
        <v>5339</v>
      </c>
      <c r="G17908" s="4">
        <f>IFERROR(__xludf.DUMMYFUNCTION("""COMPUTED_VALUE"""),32.0)</f>
        <v>32</v>
      </c>
      <c r="H17908" s="4"/>
      <c r="I17908" s="4"/>
    </row>
    <row r="17909">
      <c r="A17909" s="4" t="str">
        <f>IFERROR(__xludf.DUMMYFUNCTION("""COMPUTED_VALUE"""),"cas_hmw")</f>
        <v>cas_hmw</v>
      </c>
      <c r="B17909" s="5">
        <f>IFERROR(__xludf.DUMMYFUNCTION("""COMPUTED_VALUE"""),44742.0)</f>
        <v>44742</v>
      </c>
      <c r="C17909" s="6">
        <f>IFERROR(__xludf.DUMMYFUNCTION("""COMPUTED_VALUE"""),0.330949074075761)</f>
        <v>0.3309490741</v>
      </c>
      <c r="D17909" s="4">
        <f>IFERROR(__xludf.DUMMYFUNCTION("""COMPUTED_VALUE"""),13.008001)</f>
        <v>13.008001</v>
      </c>
      <c r="E17909" s="4">
        <f>IFERROR(__xludf.DUMMYFUNCTION("""COMPUTED_VALUE"""),80.20861)</f>
        <v>80.20861</v>
      </c>
      <c r="F17909" s="4">
        <f>IFERROR(__xludf.DUMMYFUNCTION("""COMPUTED_VALUE"""),805.0)</f>
        <v>805</v>
      </c>
      <c r="G17909" s="4">
        <f>IFERROR(__xludf.DUMMYFUNCTION("""COMPUTED_VALUE"""),51.0)</f>
        <v>51</v>
      </c>
      <c r="H17909" s="4"/>
      <c r="I17909" s="4"/>
    </row>
    <row r="17910">
      <c r="A17910" s="4" t="str">
        <f>IFERROR(__xludf.DUMMYFUNCTION("""COMPUTED_VALUE"""),"cas_hmw")</f>
        <v>cas_hmw</v>
      </c>
      <c r="B17910" s="5">
        <f>IFERROR(__xludf.DUMMYFUNCTION("""COMPUTED_VALUE"""),44742.0)</f>
        <v>44742</v>
      </c>
      <c r="C17910" s="6">
        <f>IFERROR(__xludf.DUMMYFUNCTION("""COMPUTED_VALUE"""),0.3310763888875954)</f>
        <v>0.3310763889</v>
      </c>
      <c r="D17910" s="4">
        <f>IFERROR(__xludf.DUMMYFUNCTION("""COMPUTED_VALUE"""),12.968238)</f>
        <v>12.968238</v>
      </c>
      <c r="E17910" s="4">
        <f>IFERROR(__xludf.DUMMYFUNCTION("""COMPUTED_VALUE"""),80.149578)</f>
        <v>80.149578</v>
      </c>
      <c r="F17910" s="4">
        <f>IFERROR(__xludf.DUMMYFUNCTION("""COMPUTED_VALUE"""),5339.0)</f>
        <v>5339</v>
      </c>
      <c r="G17910" s="4">
        <f>IFERROR(__xludf.DUMMYFUNCTION("""COMPUTED_VALUE"""),37.0)</f>
        <v>37</v>
      </c>
      <c r="H17910" s="4"/>
      <c r="I17910" s="4"/>
    </row>
    <row r="17911">
      <c r="A17911" s="4" t="str">
        <f>IFERROR(__xludf.DUMMYFUNCTION("""COMPUTED_VALUE"""),"cas_hmw")</f>
        <v>cas_hmw</v>
      </c>
      <c r="B17911" s="5">
        <f>IFERROR(__xludf.DUMMYFUNCTION("""COMPUTED_VALUE"""),44742.0)</f>
        <v>44742</v>
      </c>
      <c r="C17911" s="6">
        <f>IFERROR(__xludf.DUMMYFUNCTION("""COMPUTED_VALUE"""),0.3311458333337214)</f>
        <v>0.3311458333</v>
      </c>
      <c r="D17911" s="4">
        <f>IFERROR(__xludf.DUMMYFUNCTION("""COMPUTED_VALUE"""),12.968238)</f>
        <v>12.968238</v>
      </c>
      <c r="E17911" s="4">
        <f>IFERROR(__xludf.DUMMYFUNCTION("""COMPUTED_VALUE"""),80.149578)</f>
        <v>80.149578</v>
      </c>
      <c r="F17911" s="4">
        <f>IFERROR(__xludf.DUMMYFUNCTION("""COMPUTED_VALUE"""),5339.0)</f>
        <v>5339</v>
      </c>
      <c r="G17911" s="4">
        <f>IFERROR(__xludf.DUMMYFUNCTION("""COMPUTED_VALUE"""),37.0)</f>
        <v>37</v>
      </c>
      <c r="H17911" s="4"/>
      <c r="I17911" s="4"/>
    </row>
    <row r="17912">
      <c r="A17912" s="4" t="str">
        <f>IFERROR(__xludf.DUMMYFUNCTION("""COMPUTED_VALUE"""),"cas_hmw")</f>
        <v>cas_hmw</v>
      </c>
      <c r="B17912" s="5">
        <f>IFERROR(__xludf.DUMMYFUNCTION("""COMPUTED_VALUE"""),44742.0)</f>
        <v>44742</v>
      </c>
      <c r="C17912" s="6">
        <f>IFERROR(__xludf.DUMMYFUNCTION("""COMPUTED_VALUE"""),0.33151620370335877)</f>
        <v>0.3315162037</v>
      </c>
      <c r="D17912" s="4">
        <f>IFERROR(__xludf.DUMMYFUNCTION("""COMPUTED_VALUE"""),12.966499)</f>
        <v>12.966499</v>
      </c>
      <c r="E17912" s="4">
        <f>IFERROR(__xludf.DUMMYFUNCTION("""COMPUTED_VALUE"""),80.148774)</f>
        <v>80.148774</v>
      </c>
      <c r="F17912" s="4">
        <f>IFERROR(__xludf.DUMMYFUNCTION("""COMPUTED_VALUE"""),5339.0)</f>
        <v>5339</v>
      </c>
      <c r="G17912" s="4">
        <f>IFERROR(__xludf.DUMMYFUNCTION("""COMPUTED_VALUE"""),19.0)</f>
        <v>19</v>
      </c>
      <c r="H17912" s="4"/>
      <c r="I17912" s="4"/>
    </row>
    <row r="17913">
      <c r="A17913" s="4" t="str">
        <f>IFERROR(__xludf.DUMMYFUNCTION("""COMPUTED_VALUE"""),"cas_hmw")</f>
        <v>cas_hmw</v>
      </c>
      <c r="B17913" s="5">
        <f>IFERROR(__xludf.DUMMYFUNCTION("""COMPUTED_VALUE"""),44742.0)</f>
        <v>44742</v>
      </c>
      <c r="C17913" s="6">
        <f>IFERROR(__xludf.DUMMYFUNCTION("""COMPUTED_VALUE"""),0.33214120370394085)</f>
        <v>0.3321412037</v>
      </c>
      <c r="D17913" s="4">
        <f>IFERROR(__xludf.DUMMYFUNCTION("""COMPUTED_VALUE"""),12.760896)</f>
        <v>12.760896</v>
      </c>
      <c r="E17913" s="4">
        <f>IFERROR(__xludf.DUMMYFUNCTION("""COMPUTED_VALUE"""),80.00337)</f>
        <v>80.00337</v>
      </c>
      <c r="F17913" s="4">
        <f>IFERROR(__xludf.DUMMYFUNCTION("""COMPUTED_VALUE"""),2846.0)</f>
        <v>2846</v>
      </c>
      <c r="G17913" s="4">
        <f>IFERROR(__xludf.DUMMYFUNCTION("""COMPUTED_VALUE"""),22.0)</f>
        <v>22</v>
      </c>
      <c r="H17913" s="4"/>
      <c r="I17913" s="4"/>
    </row>
    <row r="17914">
      <c r="A17914" s="4" t="str">
        <f>IFERROR(__xludf.DUMMYFUNCTION("""COMPUTED_VALUE"""),"cas_hmw")</f>
        <v>cas_hmw</v>
      </c>
      <c r="B17914" s="5">
        <f>IFERROR(__xludf.DUMMYFUNCTION("""COMPUTED_VALUE"""),44742.0)</f>
        <v>44742</v>
      </c>
      <c r="C17914" s="6">
        <f>IFERROR(__xludf.DUMMYFUNCTION("""COMPUTED_VALUE"""),0.33232638888875954)</f>
        <v>0.3323263889</v>
      </c>
      <c r="D17914" s="4">
        <f>IFERROR(__xludf.DUMMYFUNCTION("""COMPUTED_VALUE"""),13.001887)</f>
        <v>13.001887</v>
      </c>
      <c r="E17914" s="4">
        <f>IFERROR(__xludf.DUMMYFUNCTION("""COMPUTED_VALUE"""),80.200077)</f>
        <v>80.200077</v>
      </c>
      <c r="F17914" s="4">
        <f>IFERROR(__xludf.DUMMYFUNCTION("""COMPUTED_VALUE"""),805.0)</f>
        <v>805</v>
      </c>
      <c r="G17914" s="4">
        <f>IFERROR(__xludf.DUMMYFUNCTION("""COMPUTED_VALUE"""),49.0)</f>
        <v>49</v>
      </c>
      <c r="H17914" s="4"/>
      <c r="I17914" s="4"/>
    </row>
    <row r="17915">
      <c r="A17915" s="4" t="str">
        <f>IFERROR(__xludf.DUMMYFUNCTION("""COMPUTED_VALUE"""),"cas_hmw")</f>
        <v>cas_hmw</v>
      </c>
      <c r="B17915" s="5">
        <f>IFERROR(__xludf.DUMMYFUNCTION("""COMPUTED_VALUE"""),44742.0)</f>
        <v>44742</v>
      </c>
      <c r="C17915" s="6">
        <f>IFERROR(__xludf.DUMMYFUNCTION("""COMPUTED_VALUE"""),0.33232638888875954)</f>
        <v>0.3323263889</v>
      </c>
      <c r="D17915" s="4">
        <f>IFERROR(__xludf.DUMMYFUNCTION("""COMPUTED_VALUE"""),12.96004)</f>
        <v>12.96004</v>
      </c>
      <c r="E17915" s="4">
        <f>IFERROR(__xludf.DUMMYFUNCTION("""COMPUTED_VALUE"""),80.145248)</f>
        <v>80.145248</v>
      </c>
      <c r="F17915" s="4">
        <f>IFERROR(__xludf.DUMMYFUNCTION("""COMPUTED_VALUE"""),5339.0)</f>
        <v>5339</v>
      </c>
      <c r="G17915" s="4">
        <f>IFERROR(__xludf.DUMMYFUNCTION("""COMPUTED_VALUE"""),47.0)</f>
        <v>47</v>
      </c>
      <c r="H17915" s="4"/>
      <c r="I17915" s="4"/>
    </row>
    <row r="17916">
      <c r="A17916" s="4" t="str">
        <f>IFERROR(__xludf.DUMMYFUNCTION("""COMPUTED_VALUE"""),"cas_hmw")</f>
        <v>cas_hmw</v>
      </c>
      <c r="B17916" s="5">
        <f>IFERROR(__xludf.DUMMYFUNCTION("""COMPUTED_VALUE"""),44742.0)</f>
        <v>44742</v>
      </c>
      <c r="C17916" s="6">
        <f>IFERROR(__xludf.DUMMYFUNCTION("""COMPUTED_VALUE"""),0.3324421296310902)</f>
        <v>0.3324421296</v>
      </c>
      <c r="D17916" s="4">
        <f>IFERROR(__xludf.DUMMYFUNCTION("""COMPUTED_VALUE"""),12.959061)</f>
        <v>12.959061</v>
      </c>
      <c r="E17916" s="4">
        <f>IFERROR(__xludf.DUMMYFUNCTION("""COMPUTED_VALUE"""),80.144703)</f>
        <v>80.144703</v>
      </c>
      <c r="F17916" s="4">
        <f>IFERROR(__xludf.DUMMYFUNCTION("""COMPUTED_VALUE"""),5339.0)</f>
        <v>5339</v>
      </c>
      <c r="G17916" s="4">
        <f>IFERROR(__xludf.DUMMYFUNCTION("""COMPUTED_VALUE"""),41.0)</f>
        <v>41</v>
      </c>
      <c r="H17916" s="4"/>
      <c r="I17916" s="4"/>
    </row>
    <row r="17917">
      <c r="A17917" s="4" t="str">
        <f>IFERROR(__xludf.DUMMYFUNCTION("""COMPUTED_VALUE"""),"cas_hmw")</f>
        <v>cas_hmw</v>
      </c>
      <c r="B17917" s="5">
        <f>IFERROR(__xludf.DUMMYFUNCTION("""COMPUTED_VALUE"""),44742.0)</f>
        <v>44742</v>
      </c>
      <c r="C17917" s="6">
        <f>IFERROR(__xludf.DUMMYFUNCTION("""COMPUTED_VALUE"""),0.3326620370353339)</f>
        <v>0.332662037</v>
      </c>
      <c r="D17917" s="4">
        <f>IFERROR(__xludf.DUMMYFUNCTION("""COMPUTED_VALUE"""),12.957036)</f>
        <v>12.957036</v>
      </c>
      <c r="E17917" s="4">
        <f>IFERROR(__xludf.DUMMYFUNCTION("""COMPUTED_VALUE"""),80.14368)</f>
        <v>80.14368</v>
      </c>
      <c r="F17917" s="4">
        <f>IFERROR(__xludf.DUMMYFUNCTION("""COMPUTED_VALUE"""),5339.0)</f>
        <v>5339</v>
      </c>
      <c r="G17917" s="4">
        <f>IFERROR(__xludf.DUMMYFUNCTION("""COMPUTED_VALUE"""),42.0)</f>
        <v>42</v>
      </c>
      <c r="H17917" s="4"/>
      <c r="I17917" s="4"/>
    </row>
    <row r="17918">
      <c r="A17918" s="4" t="str">
        <f>IFERROR(__xludf.DUMMYFUNCTION("""COMPUTED_VALUE"""),"cas_hmw")</f>
        <v>cas_hmw</v>
      </c>
      <c r="B17918" s="5">
        <f>IFERROR(__xludf.DUMMYFUNCTION("""COMPUTED_VALUE"""),44742.0)</f>
        <v>44742</v>
      </c>
      <c r="C17918" s="6">
        <f>IFERROR(__xludf.DUMMYFUNCTION("""COMPUTED_VALUE"""),0.33278935185080627)</f>
        <v>0.3327893519</v>
      </c>
      <c r="D17918" s="4">
        <f>IFERROR(__xludf.DUMMYFUNCTION("""COMPUTED_VALUE"""),12.956229)</f>
        <v>12.956229</v>
      </c>
      <c r="E17918" s="4">
        <f>IFERROR(__xludf.DUMMYFUNCTION("""COMPUTED_VALUE"""),80.143262)</f>
        <v>80.143262</v>
      </c>
      <c r="F17918" s="4">
        <f>IFERROR(__xludf.DUMMYFUNCTION("""COMPUTED_VALUE"""),5339.0)</f>
        <v>5339</v>
      </c>
      <c r="G17918" s="4">
        <f>IFERROR(__xludf.DUMMYFUNCTION("""COMPUTED_VALUE"""),29.0)</f>
        <v>29</v>
      </c>
      <c r="H17918" s="4"/>
      <c r="I17918" s="4"/>
    </row>
    <row r="17919">
      <c r="A17919" s="4" t="str">
        <f>IFERROR(__xludf.DUMMYFUNCTION("""COMPUTED_VALUE"""),"cas_hmw")</f>
        <v>cas_hmw</v>
      </c>
      <c r="B17919" s="5">
        <f>IFERROR(__xludf.DUMMYFUNCTION("""COMPUTED_VALUE"""),44742.0)</f>
        <v>44742</v>
      </c>
      <c r="C17919" s="6">
        <f>IFERROR(__xludf.DUMMYFUNCTION("""COMPUTED_VALUE"""),0.33283564814701094)</f>
        <v>0.3328356481</v>
      </c>
      <c r="D17919" s="4">
        <f>IFERROR(__xludf.DUMMYFUNCTION("""COMPUTED_VALUE"""),12.955547)</f>
        <v>12.955547</v>
      </c>
      <c r="E17919" s="4">
        <f>IFERROR(__xludf.DUMMYFUNCTION("""COMPUTED_VALUE"""),80.142908)</f>
        <v>80.142908</v>
      </c>
      <c r="F17919" s="4">
        <f>IFERROR(__xludf.DUMMYFUNCTION("""COMPUTED_VALUE"""),5339.0)</f>
        <v>5339</v>
      </c>
      <c r="G17919" s="4">
        <f>IFERROR(__xludf.DUMMYFUNCTION("""COMPUTED_VALUE"""),30.0)</f>
        <v>30</v>
      </c>
      <c r="H17919" s="4"/>
      <c r="I17919" s="4"/>
    </row>
    <row r="17920">
      <c r="A17920" s="4" t="str">
        <f>IFERROR(__xludf.DUMMYFUNCTION("""COMPUTED_VALUE"""),"cas_hmw")</f>
        <v>cas_hmw</v>
      </c>
      <c r="B17920" s="5">
        <f>IFERROR(__xludf.DUMMYFUNCTION("""COMPUTED_VALUE"""),44742.0)</f>
        <v>44742</v>
      </c>
      <c r="C17920" s="6">
        <f>IFERROR(__xludf.DUMMYFUNCTION("""COMPUTED_VALUE"""),0.33297453703562496)</f>
        <v>0.332974537</v>
      </c>
      <c r="D17920" s="4">
        <f>IFERROR(__xludf.DUMMYFUNCTION("""COMPUTED_VALUE"""),12.954803)</f>
        <v>12.954803</v>
      </c>
      <c r="E17920" s="4">
        <f>IFERROR(__xludf.DUMMYFUNCTION("""COMPUTED_VALUE"""),80.142522)</f>
        <v>80.142522</v>
      </c>
      <c r="F17920" s="4">
        <f>IFERROR(__xludf.DUMMYFUNCTION("""COMPUTED_VALUE"""),5339.0)</f>
        <v>5339</v>
      </c>
      <c r="G17920" s="4">
        <f>IFERROR(__xludf.DUMMYFUNCTION("""COMPUTED_VALUE"""),33.0)</f>
        <v>33</v>
      </c>
      <c r="H17920" s="4"/>
      <c r="I17920" s="4"/>
    </row>
    <row r="17921">
      <c r="A17921" s="4" t="str">
        <f>IFERROR(__xludf.DUMMYFUNCTION("""COMPUTED_VALUE"""),"cas_hmw")</f>
        <v>cas_hmw</v>
      </c>
      <c r="B17921" s="5">
        <f>IFERROR(__xludf.DUMMYFUNCTION("""COMPUTED_VALUE"""),44742.0)</f>
        <v>44742</v>
      </c>
      <c r="C17921" s="6">
        <f>IFERROR(__xludf.DUMMYFUNCTION("""COMPUTED_VALUE"""),0.3330324074086093)</f>
        <v>0.3330324074</v>
      </c>
      <c r="D17921" s="4">
        <f>IFERROR(__xludf.DUMMYFUNCTION("""COMPUTED_VALUE"""),12.954803)</f>
        <v>12.954803</v>
      </c>
      <c r="E17921" s="4">
        <f>IFERROR(__xludf.DUMMYFUNCTION("""COMPUTED_VALUE"""),80.142522)</f>
        <v>80.142522</v>
      </c>
      <c r="F17921" s="4">
        <f>IFERROR(__xludf.DUMMYFUNCTION("""COMPUTED_VALUE"""),5339.0)</f>
        <v>5339</v>
      </c>
      <c r="G17921" s="4">
        <f>IFERROR(__xludf.DUMMYFUNCTION("""COMPUTED_VALUE"""),33.0)</f>
        <v>33</v>
      </c>
      <c r="H17921" s="4"/>
      <c r="I17921" s="4"/>
    </row>
    <row r="17922">
      <c r="A17922" s="4" t="str">
        <f>IFERROR(__xludf.DUMMYFUNCTION("""COMPUTED_VALUE"""),"cas_hmw")</f>
        <v>cas_hmw</v>
      </c>
      <c r="B17922" s="5">
        <f>IFERROR(__xludf.DUMMYFUNCTION("""COMPUTED_VALUE"""),44742.0)</f>
        <v>44742</v>
      </c>
      <c r="C17922" s="6">
        <f>IFERROR(__xludf.DUMMYFUNCTION("""COMPUTED_VALUE"""),0.3340162037020491)</f>
        <v>0.3340162037</v>
      </c>
      <c r="D17922" s="4">
        <f>IFERROR(__xludf.DUMMYFUNCTION("""COMPUTED_VALUE"""),12.951001)</f>
        <v>12.951001</v>
      </c>
      <c r="E17922" s="4">
        <f>IFERROR(__xludf.DUMMYFUNCTION("""COMPUTED_VALUE"""),80.14005)</f>
        <v>80.14005</v>
      </c>
      <c r="F17922" s="4">
        <f>IFERROR(__xludf.DUMMYFUNCTION("""COMPUTED_VALUE"""),5339.0)</f>
        <v>5339</v>
      </c>
      <c r="G17922" s="4">
        <f>IFERROR(__xludf.DUMMYFUNCTION("""COMPUTED_VALUE"""),24.0)</f>
        <v>24</v>
      </c>
      <c r="H17922" s="4"/>
      <c r="I17922" s="4"/>
    </row>
    <row r="17923">
      <c r="A17923" s="4" t="str">
        <f>IFERROR(__xludf.DUMMYFUNCTION("""COMPUTED_VALUE"""),"cas_hmw")</f>
        <v>cas_hmw</v>
      </c>
      <c r="B17923" s="5">
        <f>IFERROR(__xludf.DUMMYFUNCTION("""COMPUTED_VALUE"""),44742.0)</f>
        <v>44742</v>
      </c>
      <c r="C17923" s="6">
        <f>IFERROR(__xludf.DUMMYFUNCTION("""COMPUTED_VALUE"""),0.3341203703712381)</f>
        <v>0.3341203704</v>
      </c>
      <c r="D17923" s="4">
        <f>IFERROR(__xludf.DUMMYFUNCTION("""COMPUTED_VALUE"""),12.950461)</f>
        <v>12.950461</v>
      </c>
      <c r="E17923" s="4">
        <f>IFERROR(__xludf.DUMMYFUNCTION("""COMPUTED_VALUE"""),80.139634)</f>
        <v>80.139634</v>
      </c>
      <c r="F17923" s="4">
        <f>IFERROR(__xludf.DUMMYFUNCTION("""COMPUTED_VALUE"""),5339.0)</f>
        <v>5339</v>
      </c>
      <c r="G17923" s="4">
        <f>IFERROR(__xludf.DUMMYFUNCTION("""COMPUTED_VALUE"""),31.0)</f>
        <v>31</v>
      </c>
      <c r="H17923" s="4"/>
      <c r="I17923" s="4"/>
    </row>
    <row r="17924">
      <c r="A17924" s="4" t="str">
        <f>IFERROR(__xludf.DUMMYFUNCTION("""COMPUTED_VALUE"""),"cas_hmw")</f>
        <v>cas_hmw</v>
      </c>
      <c r="B17924" s="5">
        <f>IFERROR(__xludf.DUMMYFUNCTION("""COMPUTED_VALUE"""),44742.0)</f>
        <v>44742</v>
      </c>
      <c r="C17924" s="6">
        <f>IFERROR(__xludf.DUMMYFUNCTION("""COMPUTED_VALUE"""),0.3345254629639385)</f>
        <v>0.334525463</v>
      </c>
      <c r="D17924" s="4">
        <f>IFERROR(__xludf.DUMMYFUNCTION("""COMPUTED_VALUE"""),12.993905)</f>
        <v>12.993905</v>
      </c>
      <c r="E17924" s="4">
        <f>IFERROR(__xludf.DUMMYFUNCTION("""COMPUTED_VALUE"""),80.18548)</f>
        <v>80.18548</v>
      </c>
      <c r="F17924" s="4">
        <f>IFERROR(__xludf.DUMMYFUNCTION("""COMPUTED_VALUE"""),805.0)</f>
        <v>805</v>
      </c>
      <c r="G17924" s="4">
        <f>IFERROR(__xludf.DUMMYFUNCTION("""COMPUTED_VALUE"""),41.0)</f>
        <v>41</v>
      </c>
      <c r="H17924" s="4"/>
      <c r="I17924" s="4"/>
    </row>
    <row r="17925">
      <c r="A17925" s="4" t="str">
        <f>IFERROR(__xludf.DUMMYFUNCTION("""COMPUTED_VALUE"""),"cas_hmw")</f>
        <v>cas_hmw</v>
      </c>
      <c r="B17925" s="5">
        <f>IFERROR(__xludf.DUMMYFUNCTION("""COMPUTED_VALUE"""),44742.0)</f>
        <v>44742</v>
      </c>
      <c r="C17925" s="6">
        <f>IFERROR(__xludf.DUMMYFUNCTION("""COMPUTED_VALUE"""),0.3345486111102218)</f>
        <v>0.3345486111</v>
      </c>
      <c r="D17925" s="4">
        <f>IFERROR(__xludf.DUMMYFUNCTION("""COMPUTED_VALUE"""),12.947676)</f>
        <v>12.947676</v>
      </c>
      <c r="E17925" s="4">
        <f>IFERROR(__xludf.DUMMYFUNCTION("""COMPUTED_VALUE"""),80.137406)</f>
        <v>80.137406</v>
      </c>
      <c r="F17925" s="4">
        <f>IFERROR(__xludf.DUMMYFUNCTION("""COMPUTED_VALUE"""),5339.0)</f>
        <v>5339</v>
      </c>
      <c r="G17925" s="4">
        <f>IFERROR(__xludf.DUMMYFUNCTION("""COMPUTED_VALUE"""),29.0)</f>
        <v>29</v>
      </c>
      <c r="H17925" s="4"/>
      <c r="I17925" s="4"/>
    </row>
    <row r="17926">
      <c r="A17926" s="4" t="str">
        <f>IFERROR(__xludf.DUMMYFUNCTION("""COMPUTED_VALUE"""),"cas_hmw")</f>
        <v>cas_hmw</v>
      </c>
      <c r="B17926" s="5">
        <f>IFERROR(__xludf.DUMMYFUNCTION("""COMPUTED_VALUE"""),44742.0)</f>
        <v>44742</v>
      </c>
      <c r="C17926" s="6">
        <f>IFERROR(__xludf.DUMMYFUNCTION("""COMPUTED_VALUE"""),0.3345601851870015)</f>
        <v>0.3345601852</v>
      </c>
      <c r="D17926" s="4">
        <f>IFERROR(__xludf.DUMMYFUNCTION("""COMPUTED_VALUE"""),12.948385)</f>
        <v>12.948385</v>
      </c>
      <c r="E17926" s="4">
        <f>IFERROR(__xludf.DUMMYFUNCTION("""COMPUTED_VALUE"""),80.137904)</f>
        <v>80.137904</v>
      </c>
      <c r="F17926" s="4">
        <f>IFERROR(__xludf.DUMMYFUNCTION("""COMPUTED_VALUE"""),5339.0)</f>
        <v>5339</v>
      </c>
      <c r="G17926" s="4">
        <f>IFERROR(__xludf.DUMMYFUNCTION("""COMPUTED_VALUE"""),39.0)</f>
        <v>39</v>
      </c>
      <c r="H17926" s="4"/>
      <c r="I17926" s="4"/>
    </row>
    <row r="17927">
      <c r="A17927" s="4" t="str">
        <f>IFERROR(__xludf.DUMMYFUNCTION("""COMPUTED_VALUE"""),"cas_hmw")</f>
        <v>cas_hmw</v>
      </c>
      <c r="B17927" s="5">
        <f>IFERROR(__xludf.DUMMYFUNCTION("""COMPUTED_VALUE"""),44742.0)</f>
        <v>44742</v>
      </c>
      <c r="C17927" s="6">
        <f>IFERROR(__xludf.DUMMYFUNCTION("""COMPUTED_VALUE"""),0.3348842592604342)</f>
        <v>0.3348842593</v>
      </c>
      <c r="D17927" s="4">
        <f>IFERROR(__xludf.DUMMYFUNCTION("""COMPUTED_VALUE"""),12.990406)</f>
        <v>12.990406</v>
      </c>
      <c r="E17927" s="4">
        <f>IFERROR(__xludf.DUMMYFUNCTION("""COMPUTED_VALUE"""),80.180235)</f>
        <v>80.180235</v>
      </c>
      <c r="F17927" s="4">
        <f>IFERROR(__xludf.DUMMYFUNCTION("""COMPUTED_VALUE"""),805.0)</f>
        <v>805</v>
      </c>
      <c r="G17927" s="4">
        <f>IFERROR(__xludf.DUMMYFUNCTION("""COMPUTED_VALUE"""),43.0)</f>
        <v>43</v>
      </c>
      <c r="H17927" s="4"/>
      <c r="I17927" s="4"/>
    </row>
    <row r="17928">
      <c r="A17928" s="4" t="str">
        <f>IFERROR(__xludf.DUMMYFUNCTION("""COMPUTED_VALUE"""),"cas_hmw")</f>
        <v>cas_hmw</v>
      </c>
      <c r="B17928" s="5">
        <f>IFERROR(__xludf.DUMMYFUNCTION("""COMPUTED_VALUE"""),44742.0)</f>
        <v>44742</v>
      </c>
      <c r="C17928" s="6">
        <f>IFERROR(__xludf.DUMMYFUNCTION("""COMPUTED_VALUE"""),0.3349537037029222)</f>
        <v>0.3349537037</v>
      </c>
      <c r="D17928" s="4">
        <f>IFERROR(__xludf.DUMMYFUNCTION("""COMPUTED_VALUE"""),12.947676)</f>
        <v>12.947676</v>
      </c>
      <c r="E17928" s="4">
        <f>IFERROR(__xludf.DUMMYFUNCTION("""COMPUTED_VALUE"""),80.137406)</f>
        <v>80.137406</v>
      </c>
      <c r="F17928" s="4">
        <f>IFERROR(__xludf.DUMMYFUNCTION("""COMPUTED_VALUE"""),5339.0)</f>
        <v>5339</v>
      </c>
      <c r="G17928" s="4">
        <f>IFERROR(__xludf.DUMMYFUNCTION("""COMPUTED_VALUE"""),29.0)</f>
        <v>29</v>
      </c>
      <c r="H17928" s="4"/>
      <c r="I17928" s="4"/>
    </row>
    <row r="17929">
      <c r="A17929" s="4" t="str">
        <f>IFERROR(__xludf.DUMMYFUNCTION("""COMPUTED_VALUE"""),"cas_hmw")</f>
        <v>cas_hmw</v>
      </c>
      <c r="B17929" s="5">
        <f>IFERROR(__xludf.DUMMYFUNCTION("""COMPUTED_VALUE"""),44742.0)</f>
        <v>44742</v>
      </c>
      <c r="C17929" s="6">
        <f>IFERROR(__xludf.DUMMYFUNCTION("""COMPUTED_VALUE"""),0.33504629629533156)</f>
        <v>0.3350462963</v>
      </c>
      <c r="D17929" s="4">
        <f>IFERROR(__xludf.DUMMYFUNCTION("""COMPUTED_VALUE"""),12.989089)</f>
        <v>12.989089</v>
      </c>
      <c r="E17929" s="4">
        <f>IFERROR(__xludf.DUMMYFUNCTION("""COMPUTED_VALUE"""),80.178572)</f>
        <v>80.178572</v>
      </c>
      <c r="F17929" s="4">
        <f>IFERROR(__xludf.DUMMYFUNCTION("""COMPUTED_VALUE"""),805.0)</f>
        <v>805</v>
      </c>
      <c r="G17929" s="4">
        <f>IFERROR(__xludf.DUMMYFUNCTION("""COMPUTED_VALUE"""),40.0)</f>
        <v>40</v>
      </c>
      <c r="H17929" s="4"/>
      <c r="I17929" s="4"/>
    </row>
    <row r="17930">
      <c r="A17930" s="4" t="str">
        <f>IFERROR(__xludf.DUMMYFUNCTION("""COMPUTED_VALUE"""),"cas_hmw")</f>
        <v>cas_hmw</v>
      </c>
      <c r="B17930" s="5">
        <f>IFERROR(__xludf.DUMMYFUNCTION("""COMPUTED_VALUE"""),44742.0)</f>
        <v>44742</v>
      </c>
      <c r="C17930" s="6">
        <f>IFERROR(__xludf.DUMMYFUNCTION("""COMPUTED_VALUE"""),0.3350578703721112)</f>
        <v>0.3350578704</v>
      </c>
      <c r="D17930" s="4">
        <f>IFERROR(__xludf.DUMMYFUNCTION("""COMPUTED_VALUE"""),12.989089)</f>
        <v>12.989089</v>
      </c>
      <c r="E17930" s="4">
        <f>IFERROR(__xludf.DUMMYFUNCTION("""COMPUTED_VALUE"""),80.178572)</f>
        <v>80.178572</v>
      </c>
      <c r="F17930" s="4">
        <f>IFERROR(__xludf.DUMMYFUNCTION("""COMPUTED_VALUE"""),805.0)</f>
        <v>805</v>
      </c>
      <c r="G17930" s="4">
        <f>IFERROR(__xludf.DUMMYFUNCTION("""COMPUTED_VALUE"""),40.0)</f>
        <v>40</v>
      </c>
      <c r="H17930" s="4"/>
      <c r="I17930" s="4"/>
    </row>
    <row r="17931">
      <c r="A17931" s="4" t="str">
        <f>IFERROR(__xludf.DUMMYFUNCTION("""COMPUTED_VALUE"""),"cas_hmw")</f>
        <v>cas_hmw</v>
      </c>
      <c r="B17931" s="5">
        <f>IFERROR(__xludf.DUMMYFUNCTION("""COMPUTED_VALUE"""),44742.0)</f>
        <v>44742</v>
      </c>
      <c r="C17931" s="6">
        <f>IFERROR(__xludf.DUMMYFUNCTION("""COMPUTED_VALUE"""),0.33545138888803194)</f>
        <v>0.3354513889</v>
      </c>
      <c r="D17931" s="4">
        <f>IFERROR(__xludf.DUMMYFUNCTION("""COMPUTED_VALUE"""),12.94243)</f>
        <v>12.94243</v>
      </c>
      <c r="E17931" s="4">
        <f>IFERROR(__xludf.DUMMYFUNCTION("""COMPUTED_VALUE"""),80.133153)</f>
        <v>80.133153</v>
      </c>
      <c r="F17931" s="4">
        <f>IFERROR(__xludf.DUMMYFUNCTION("""COMPUTED_VALUE"""),5339.0)</f>
        <v>5339</v>
      </c>
      <c r="G17931" s="4">
        <f>IFERROR(__xludf.DUMMYFUNCTION("""COMPUTED_VALUE"""),52.0)</f>
        <v>52</v>
      </c>
      <c r="H17931" s="4"/>
      <c r="I17931" s="4"/>
    </row>
    <row r="17932">
      <c r="A17932" s="4" t="str">
        <f>IFERROR(__xludf.DUMMYFUNCTION("""COMPUTED_VALUE"""),"cas_hmw")</f>
        <v>cas_hmw</v>
      </c>
      <c r="B17932" s="5">
        <f>IFERROR(__xludf.DUMMYFUNCTION("""COMPUTED_VALUE"""),44742.0)</f>
        <v>44742</v>
      </c>
      <c r="C17932" s="6">
        <f>IFERROR(__xludf.DUMMYFUNCTION("""COMPUTED_VALUE"""),0.33562499999970896)</f>
        <v>0.335625</v>
      </c>
      <c r="D17932" s="4">
        <f>IFERROR(__xludf.DUMMYFUNCTION("""COMPUTED_VALUE"""),12.940559)</f>
        <v>12.940559</v>
      </c>
      <c r="E17932" s="4">
        <f>IFERROR(__xludf.DUMMYFUNCTION("""COMPUTED_VALUE"""),80.131201)</f>
        <v>80.131201</v>
      </c>
      <c r="F17932" s="4">
        <f>IFERROR(__xludf.DUMMYFUNCTION("""COMPUTED_VALUE"""),5339.0)</f>
        <v>5339</v>
      </c>
      <c r="G17932" s="4">
        <f>IFERROR(__xludf.DUMMYFUNCTION("""COMPUTED_VALUE"""),49.0)</f>
        <v>49</v>
      </c>
      <c r="H17932" s="4"/>
      <c r="I17932" s="4"/>
    </row>
    <row r="17933">
      <c r="A17933" s="4" t="str">
        <f>IFERROR(__xludf.DUMMYFUNCTION("""COMPUTED_VALUE"""),"cas_hmw")</f>
        <v>cas_hmw</v>
      </c>
      <c r="B17933" s="5">
        <f>IFERROR(__xludf.DUMMYFUNCTION("""COMPUTED_VALUE"""),44742.0)</f>
        <v>44742</v>
      </c>
      <c r="C17933" s="6">
        <f>IFERROR(__xludf.DUMMYFUNCTION("""COMPUTED_VALUE"""),0.33616898148102337)</f>
        <v>0.3361689815</v>
      </c>
      <c r="D17933" s="4">
        <f>IFERROR(__xludf.DUMMYFUNCTION("""COMPUTED_VALUE"""),12.936846)</f>
        <v>12.936846</v>
      </c>
      <c r="E17933" s="4">
        <f>IFERROR(__xludf.DUMMYFUNCTION("""COMPUTED_VALUE"""),80.127846)</f>
        <v>80.127846</v>
      </c>
      <c r="F17933" s="4">
        <f>IFERROR(__xludf.DUMMYFUNCTION("""COMPUTED_VALUE"""),5339.0)</f>
        <v>5339</v>
      </c>
      <c r="G17933" s="4">
        <f>IFERROR(__xludf.DUMMYFUNCTION("""COMPUTED_VALUE"""),32.0)</f>
        <v>32</v>
      </c>
      <c r="H17933" s="4"/>
      <c r="I17933" s="4"/>
    </row>
    <row r="17934">
      <c r="A17934" s="4" t="str">
        <f>IFERROR(__xludf.DUMMYFUNCTION("""COMPUTED_VALUE"""),"cas_hmw")</f>
        <v>cas_hmw</v>
      </c>
      <c r="B17934" s="5">
        <f>IFERROR(__xludf.DUMMYFUNCTION("""COMPUTED_VALUE"""),44742.0)</f>
        <v>44742</v>
      </c>
      <c r="C17934" s="6">
        <f>IFERROR(__xludf.DUMMYFUNCTION("""COMPUTED_VALUE"""),0.3369097222239361)</f>
        <v>0.3369097222</v>
      </c>
      <c r="D17934" s="4">
        <f>IFERROR(__xludf.DUMMYFUNCTION("""COMPUTED_VALUE"""),12.935743)</f>
        <v>12.935743</v>
      </c>
      <c r="E17934" s="4">
        <f>IFERROR(__xludf.DUMMYFUNCTION("""COMPUTED_VALUE"""),80.12686)</f>
        <v>80.12686</v>
      </c>
      <c r="F17934" s="4">
        <f>IFERROR(__xludf.DUMMYFUNCTION("""COMPUTED_VALUE"""),5339.0)</f>
        <v>5339</v>
      </c>
      <c r="G17934" s="4">
        <f>IFERROR(__xludf.DUMMYFUNCTION("""COMPUTED_VALUE"""),33.0)</f>
        <v>33</v>
      </c>
      <c r="H17934" s="4"/>
      <c r="I17934" s="4"/>
    </row>
    <row r="17935">
      <c r="A17935" s="4" t="str">
        <f>IFERROR(__xludf.DUMMYFUNCTION("""COMPUTED_VALUE"""),"cas_hmw")</f>
        <v>cas_hmw</v>
      </c>
      <c r="B17935" s="5">
        <f>IFERROR(__xludf.DUMMYFUNCTION("""COMPUTED_VALUE"""),44742.0)</f>
        <v>44742</v>
      </c>
      <c r="C17935" s="6">
        <f>IFERROR(__xludf.DUMMYFUNCTION("""COMPUTED_VALUE"""),0.33711805555503815)</f>
        <v>0.3371180556</v>
      </c>
      <c r="D17935" s="4">
        <f>IFERROR(__xludf.DUMMYFUNCTION("""COMPUTED_VALUE"""),12.933182)</f>
        <v>12.933182</v>
      </c>
      <c r="E17935" s="4">
        <f>IFERROR(__xludf.DUMMYFUNCTION("""COMPUTED_VALUE"""),80.124418)</f>
        <v>80.124418</v>
      </c>
      <c r="F17935" s="4">
        <f>IFERROR(__xludf.DUMMYFUNCTION("""COMPUTED_VALUE"""),5339.0)</f>
        <v>5339</v>
      </c>
      <c r="G17935" s="4">
        <f>IFERROR(__xludf.DUMMYFUNCTION("""COMPUTED_VALUE"""),54.0)</f>
        <v>54</v>
      </c>
      <c r="H17935" s="4"/>
      <c r="I17935" s="4"/>
    </row>
    <row r="17936">
      <c r="A17936" s="4" t="str">
        <f>IFERROR(__xludf.DUMMYFUNCTION("""COMPUTED_VALUE"""),"cas_hmw")</f>
        <v>cas_hmw</v>
      </c>
      <c r="B17936" s="5">
        <f>IFERROR(__xludf.DUMMYFUNCTION("""COMPUTED_VALUE"""),44742.0)</f>
        <v>44742</v>
      </c>
      <c r="C17936" s="6">
        <f>IFERROR(__xludf.DUMMYFUNCTION("""COMPUTED_VALUE"""),0.33730324073985685)</f>
        <v>0.3373032407</v>
      </c>
      <c r="D17936" s="4">
        <f>IFERROR(__xludf.DUMMYFUNCTION("""COMPUTED_VALUE"""),12.980553)</f>
        <v>12.980553</v>
      </c>
      <c r="E17936" s="4">
        <f>IFERROR(__xludf.DUMMYFUNCTION("""COMPUTED_VALUE"""),80.16495)</f>
        <v>80.16495</v>
      </c>
      <c r="F17936" s="4">
        <f>IFERROR(__xludf.DUMMYFUNCTION("""COMPUTED_VALUE"""),805.0)</f>
        <v>805</v>
      </c>
      <c r="G17936" s="4">
        <f>IFERROR(__xludf.DUMMYFUNCTION("""COMPUTED_VALUE"""),58.0)</f>
        <v>58</v>
      </c>
      <c r="H17936" s="4"/>
      <c r="I17936" s="4"/>
    </row>
    <row r="17937">
      <c r="A17937" s="4" t="str">
        <f>IFERROR(__xludf.DUMMYFUNCTION("""COMPUTED_VALUE"""),"cas_hmw")</f>
        <v>cas_hmw</v>
      </c>
      <c r="B17937" s="5">
        <f>IFERROR(__xludf.DUMMYFUNCTION("""COMPUTED_VALUE"""),44742.0)</f>
        <v>44742</v>
      </c>
      <c r="C17937" s="6">
        <f>IFERROR(__xludf.DUMMYFUNCTION("""COMPUTED_VALUE"""),0.33769675925941556)</f>
        <v>0.3376967593</v>
      </c>
      <c r="D17937" s="4">
        <f>IFERROR(__xludf.DUMMYFUNCTION("""COMPUTED_VALUE"""),12.930037)</f>
        <v>12.930037</v>
      </c>
      <c r="E17937" s="4">
        <f>IFERROR(__xludf.DUMMYFUNCTION("""COMPUTED_VALUE"""),80.121344)</f>
        <v>80.121344</v>
      </c>
      <c r="F17937" s="4">
        <f>IFERROR(__xludf.DUMMYFUNCTION("""COMPUTED_VALUE"""),5339.0)</f>
        <v>5339</v>
      </c>
      <c r="G17937" s="4">
        <f>IFERROR(__xludf.DUMMYFUNCTION("""COMPUTED_VALUE"""),42.0)</f>
        <v>42</v>
      </c>
      <c r="H17937" s="4"/>
      <c r="I17937" s="4"/>
    </row>
    <row r="17938">
      <c r="A17938" s="4" t="str">
        <f>IFERROR(__xludf.DUMMYFUNCTION("""COMPUTED_VALUE"""),"cas_hmw")</f>
        <v>cas_hmw</v>
      </c>
      <c r="B17938" s="5">
        <f>IFERROR(__xludf.DUMMYFUNCTION("""COMPUTED_VALUE"""),44742.0)</f>
        <v>44742</v>
      </c>
      <c r="C17938" s="6">
        <f>IFERROR(__xludf.DUMMYFUNCTION("""COMPUTED_VALUE"""),0.33998842592700385)</f>
        <v>0.3399884259</v>
      </c>
      <c r="D17938" s="4">
        <f>IFERROR(__xludf.DUMMYFUNCTION("""COMPUTED_VALUE"""),12.965512)</f>
        <v>12.965512</v>
      </c>
      <c r="E17938" s="4">
        <f>IFERROR(__xludf.DUMMYFUNCTION("""COMPUTED_VALUE"""),80.148291)</f>
        <v>80.148291</v>
      </c>
      <c r="F17938" s="4">
        <f>IFERROR(__xludf.DUMMYFUNCTION("""COMPUTED_VALUE"""),805.0)</f>
        <v>805</v>
      </c>
      <c r="G17938" s="4">
        <f>IFERROR(__xludf.DUMMYFUNCTION("""COMPUTED_VALUE"""),22.0)</f>
        <v>22</v>
      </c>
      <c r="H17938" s="4"/>
      <c r="I17938" s="4"/>
    </row>
    <row r="17939">
      <c r="A17939" s="4" t="str">
        <f>IFERROR(__xludf.DUMMYFUNCTION("""COMPUTED_VALUE"""),"cas_hmw")</f>
        <v>cas_hmw</v>
      </c>
      <c r="B17939" s="5">
        <f>IFERROR(__xludf.DUMMYFUNCTION("""COMPUTED_VALUE"""),44742.0)</f>
        <v>44742</v>
      </c>
      <c r="C17939" s="6">
        <f>IFERROR(__xludf.DUMMYFUNCTION("""COMPUTED_VALUE"""),0.3402314814811689)</f>
        <v>0.3402314815</v>
      </c>
      <c r="D17939" s="4">
        <f>IFERROR(__xludf.DUMMYFUNCTION("""COMPUTED_VALUE"""),12.964124)</f>
        <v>12.964124</v>
      </c>
      <c r="E17939" s="4">
        <f>IFERROR(__xludf.DUMMYFUNCTION("""COMPUTED_VALUE"""),80.147498)</f>
        <v>80.147498</v>
      </c>
      <c r="F17939" s="4">
        <f>IFERROR(__xludf.DUMMYFUNCTION("""COMPUTED_VALUE"""),805.0)</f>
        <v>805</v>
      </c>
      <c r="G17939" s="4">
        <f>IFERROR(__xludf.DUMMYFUNCTION("""COMPUTED_VALUE"""),33.0)</f>
        <v>33</v>
      </c>
      <c r="H17939" s="4"/>
      <c r="I17939" s="4"/>
    </row>
    <row r="17940">
      <c r="A17940" s="4" t="str">
        <f>IFERROR(__xludf.DUMMYFUNCTION("""COMPUTED_VALUE"""),"cas_hmw")</f>
        <v>cas_hmw</v>
      </c>
      <c r="B17940" s="5">
        <f>IFERROR(__xludf.DUMMYFUNCTION("""COMPUTED_VALUE"""),44742.0)</f>
        <v>44742</v>
      </c>
      <c r="C17940" s="6">
        <f>IFERROR(__xludf.DUMMYFUNCTION("""COMPUTED_VALUE"""),0.34027777777737356)</f>
        <v>0.3402777778</v>
      </c>
      <c r="D17940" s="4">
        <f>IFERROR(__xludf.DUMMYFUNCTION("""COMPUTED_VALUE"""),12.914999)</f>
        <v>12.914999</v>
      </c>
      <c r="E17940" s="4">
        <f>IFERROR(__xludf.DUMMYFUNCTION("""COMPUTED_VALUE"""),80.10352)</f>
        <v>80.10352</v>
      </c>
      <c r="F17940" s="4">
        <f>IFERROR(__xludf.DUMMYFUNCTION("""COMPUTED_VALUE"""),5339.0)</f>
        <v>5339</v>
      </c>
      <c r="G17940" s="4">
        <f>IFERROR(__xludf.DUMMYFUNCTION("""COMPUTED_VALUE"""),53.0)</f>
        <v>53</v>
      </c>
      <c r="H17940" s="4"/>
      <c r="I17940" s="4"/>
    </row>
    <row r="17941">
      <c r="A17941" s="4" t="str">
        <f>IFERROR(__xludf.DUMMYFUNCTION("""COMPUTED_VALUE"""),"cas_hmw")</f>
        <v>cas_hmw</v>
      </c>
      <c r="B17941" s="5">
        <f>IFERROR(__xludf.DUMMYFUNCTION("""COMPUTED_VALUE"""),44742.0)</f>
        <v>44742</v>
      </c>
      <c r="C17941" s="6">
        <f>IFERROR(__xludf.DUMMYFUNCTION("""COMPUTED_VALUE"""),0.34032407407357823)</f>
        <v>0.3403240741</v>
      </c>
      <c r="D17941" s="4">
        <f>IFERROR(__xludf.DUMMYFUNCTION("""COMPUTED_VALUE"""),12.963166)</f>
        <v>12.963166</v>
      </c>
      <c r="E17941" s="4">
        <f>IFERROR(__xludf.DUMMYFUNCTION("""COMPUTED_VALUE"""),80.146956)</f>
        <v>80.146956</v>
      </c>
      <c r="F17941" s="4">
        <f>IFERROR(__xludf.DUMMYFUNCTION("""COMPUTED_VALUE"""),805.0)</f>
        <v>805</v>
      </c>
      <c r="G17941" s="4">
        <f>IFERROR(__xludf.DUMMYFUNCTION("""COMPUTED_VALUE"""),50.0)</f>
        <v>50</v>
      </c>
      <c r="H17941" s="4"/>
      <c r="I17941" s="4"/>
    </row>
    <row r="17942">
      <c r="A17942" s="4" t="str">
        <f>IFERROR(__xludf.DUMMYFUNCTION("""COMPUTED_VALUE"""),"cas_hmw")</f>
        <v>cas_hmw</v>
      </c>
      <c r="B17942" s="5">
        <f>IFERROR(__xludf.DUMMYFUNCTION("""COMPUTED_VALUE"""),44742.0)</f>
        <v>44742</v>
      </c>
      <c r="C17942" s="6">
        <f>IFERROR(__xludf.DUMMYFUNCTION("""COMPUTED_VALUE"""),0.34042824073912925)</f>
        <v>0.3404282407</v>
      </c>
      <c r="D17942" s="4">
        <f>IFERROR(__xludf.DUMMYFUNCTION("""COMPUTED_VALUE"""),12.91431)</f>
        <v>12.91431</v>
      </c>
      <c r="E17942" s="4">
        <f>IFERROR(__xludf.DUMMYFUNCTION("""COMPUTED_VALUE"""),80.102476)</f>
        <v>80.102476</v>
      </c>
      <c r="F17942" s="4">
        <f>IFERROR(__xludf.DUMMYFUNCTION("""COMPUTED_VALUE"""),5339.0)</f>
        <v>5339</v>
      </c>
      <c r="G17942" s="4">
        <f>IFERROR(__xludf.DUMMYFUNCTION("""COMPUTED_VALUE"""),43.0)</f>
        <v>43</v>
      </c>
      <c r="H17942" s="4"/>
      <c r="I17942" s="4"/>
    </row>
    <row r="17943">
      <c r="A17943" s="4" t="str">
        <f>IFERROR(__xludf.DUMMYFUNCTION("""COMPUTED_VALUE"""),"cas_hmw")</f>
        <v>cas_hmw</v>
      </c>
      <c r="B17943" s="5">
        <f>IFERROR(__xludf.DUMMYFUNCTION("""COMPUTED_VALUE"""),44742.0)</f>
        <v>44742</v>
      </c>
      <c r="C17943" s="6">
        <f>IFERROR(__xludf.DUMMYFUNCTION("""COMPUTED_VALUE"""),0.34064814814701094)</f>
        <v>0.3406481481</v>
      </c>
      <c r="D17943" s="4">
        <f>IFERROR(__xludf.DUMMYFUNCTION("""COMPUTED_VALUE"""),12.912512)</f>
        <v>12.912512</v>
      </c>
      <c r="E17943" s="4">
        <f>IFERROR(__xludf.DUMMYFUNCTION("""COMPUTED_VALUE"""),80.101508)</f>
        <v>80.101508</v>
      </c>
      <c r="F17943" s="4">
        <f>IFERROR(__xludf.DUMMYFUNCTION("""COMPUTED_VALUE"""),5339.0)</f>
        <v>5339</v>
      </c>
      <c r="G17943" s="4">
        <f>IFERROR(__xludf.DUMMYFUNCTION("""COMPUTED_VALUE"""),44.0)</f>
        <v>44</v>
      </c>
      <c r="H17943" s="4"/>
      <c r="I17943" s="4"/>
    </row>
    <row r="17944">
      <c r="A17944" s="4" t="str">
        <f>IFERROR(__xludf.DUMMYFUNCTION("""COMPUTED_VALUE"""),"cas_hmw")</f>
        <v>cas_hmw</v>
      </c>
      <c r="B17944" s="5">
        <f>IFERROR(__xludf.DUMMYFUNCTION("""COMPUTED_VALUE"""),44742.0)</f>
        <v>44742</v>
      </c>
      <c r="C17944" s="6">
        <f>IFERROR(__xludf.DUMMYFUNCTION("""COMPUTED_VALUE"""),0.34067129629693227)</f>
        <v>0.3406712963</v>
      </c>
      <c r="D17944" s="4">
        <f>IFERROR(__xludf.DUMMYFUNCTION("""COMPUTED_VALUE"""),12.842756)</f>
        <v>12.842756</v>
      </c>
      <c r="E17944" s="4">
        <f>IFERROR(__xludf.DUMMYFUNCTION("""COMPUTED_VALUE"""),80.058276)</f>
        <v>80.058276</v>
      </c>
      <c r="F17944" s="4">
        <f>IFERROR(__xludf.DUMMYFUNCTION("""COMPUTED_VALUE"""),2846.0)</f>
        <v>2846</v>
      </c>
      <c r="G17944" s="4">
        <f>IFERROR(__xludf.DUMMYFUNCTION("""COMPUTED_VALUE"""),48.0)</f>
        <v>48</v>
      </c>
      <c r="H17944" s="4"/>
      <c r="I17944" s="4"/>
    </row>
    <row r="17945">
      <c r="A17945" s="4" t="str">
        <f>IFERROR(__xludf.DUMMYFUNCTION("""COMPUTED_VALUE"""),"cas_hmw")</f>
        <v>cas_hmw</v>
      </c>
      <c r="B17945" s="5">
        <f>IFERROR(__xludf.DUMMYFUNCTION("""COMPUTED_VALUE"""),44742.0)</f>
        <v>44742</v>
      </c>
      <c r="C17945" s="6">
        <f>IFERROR(__xludf.DUMMYFUNCTION("""COMPUTED_VALUE"""),0.34177083333270275)</f>
        <v>0.3417708333</v>
      </c>
      <c r="D17945" s="4">
        <f>IFERROR(__xludf.DUMMYFUNCTION("""COMPUTED_VALUE"""),12.957057)</f>
        <v>12.957057</v>
      </c>
      <c r="E17945" s="4">
        <f>IFERROR(__xludf.DUMMYFUNCTION("""COMPUTED_VALUE"""),80.143798)</f>
        <v>80.143798</v>
      </c>
      <c r="F17945" s="4">
        <f>IFERROR(__xludf.DUMMYFUNCTION("""COMPUTED_VALUE"""),805.0)</f>
        <v>805</v>
      </c>
      <c r="G17945" s="4">
        <f>IFERROR(__xludf.DUMMYFUNCTION("""COMPUTED_VALUE"""),15.0)</f>
        <v>15</v>
      </c>
      <c r="H17945" s="4"/>
      <c r="I17945" s="4"/>
    </row>
    <row r="17946">
      <c r="A17946" s="4" t="str">
        <f>IFERROR(__xludf.DUMMYFUNCTION("""COMPUTED_VALUE"""),"cas_hmw")</f>
        <v>cas_hmw</v>
      </c>
      <c r="B17946" s="5">
        <f>IFERROR(__xludf.DUMMYFUNCTION("""COMPUTED_VALUE"""),44742.0)</f>
        <v>44742</v>
      </c>
      <c r="C17946" s="6">
        <f>IFERROR(__xludf.DUMMYFUNCTION("""COMPUTED_VALUE"""),0.3417824074058444)</f>
        <v>0.3417824074</v>
      </c>
      <c r="D17946" s="4">
        <f>IFERROR(__xludf.DUMMYFUNCTION("""COMPUTED_VALUE"""),12.956647)</f>
        <v>12.956647</v>
      </c>
      <c r="E17946" s="4">
        <f>IFERROR(__xludf.DUMMYFUNCTION("""COMPUTED_VALUE"""),80.143609)</f>
        <v>80.143609</v>
      </c>
      <c r="F17946" s="4">
        <f>IFERROR(__xludf.DUMMYFUNCTION("""COMPUTED_VALUE"""),805.0)</f>
        <v>805</v>
      </c>
      <c r="G17946" s="4">
        <f>IFERROR(__xludf.DUMMYFUNCTION("""COMPUTED_VALUE"""),21.0)</f>
        <v>21</v>
      </c>
      <c r="H17946" s="4"/>
      <c r="I17946" s="4"/>
    </row>
    <row r="17947">
      <c r="A17947" s="4" t="str">
        <f>IFERROR(__xludf.DUMMYFUNCTION("""COMPUTED_VALUE"""),"cas_hmw")</f>
        <v>cas_hmw</v>
      </c>
      <c r="B17947" s="5">
        <f>IFERROR(__xludf.DUMMYFUNCTION("""COMPUTED_VALUE"""),44742.0)</f>
        <v>44742</v>
      </c>
      <c r="C17947" s="6">
        <f>IFERROR(__xludf.DUMMYFUNCTION("""COMPUTED_VALUE"""),0.3418518518519704)</f>
        <v>0.3418518519</v>
      </c>
      <c r="D17947" s="4">
        <f>IFERROR(__xludf.DUMMYFUNCTION("""COMPUTED_VALUE"""),12.908073)</f>
        <v>12.908073</v>
      </c>
      <c r="E17947" s="4">
        <f>IFERROR(__xludf.DUMMYFUNCTION("""COMPUTED_VALUE"""),80.097799)</f>
        <v>80.097799</v>
      </c>
      <c r="F17947" s="4">
        <f>IFERROR(__xludf.DUMMYFUNCTION("""COMPUTED_VALUE"""),5339.0)</f>
        <v>5339</v>
      </c>
      <c r="G17947" s="4">
        <f>IFERROR(__xludf.DUMMYFUNCTION("""COMPUTED_VALUE"""),41.0)</f>
        <v>41</v>
      </c>
      <c r="H17947" s="4"/>
      <c r="I17947" s="4"/>
    </row>
    <row r="17948">
      <c r="A17948" s="4" t="str">
        <f>IFERROR(__xludf.DUMMYFUNCTION("""COMPUTED_VALUE"""),"cas_hmw")</f>
        <v>cas_hmw</v>
      </c>
      <c r="B17948" s="5">
        <f>IFERROR(__xludf.DUMMYFUNCTION("""COMPUTED_VALUE"""),44742.0)</f>
        <v>44742</v>
      </c>
      <c r="C17948" s="6">
        <f>IFERROR(__xludf.DUMMYFUNCTION("""COMPUTED_VALUE"""),0.3421180555560568)</f>
        <v>0.3421180556</v>
      </c>
      <c r="D17948" s="4">
        <f>IFERROR(__xludf.DUMMYFUNCTION("""COMPUTED_VALUE"""),12.846565)</f>
        <v>12.846565</v>
      </c>
      <c r="E17948" s="4">
        <f>IFERROR(__xludf.DUMMYFUNCTION("""COMPUTED_VALUE"""),80.062121)</f>
        <v>80.062121</v>
      </c>
      <c r="F17948" s="4">
        <f>IFERROR(__xludf.DUMMYFUNCTION("""COMPUTED_VALUE"""),2846.0)</f>
        <v>2846</v>
      </c>
      <c r="G17948" s="4">
        <f>IFERROR(__xludf.DUMMYFUNCTION("""COMPUTED_VALUE"""),35.0)</f>
        <v>35</v>
      </c>
      <c r="H17948" s="4"/>
      <c r="I17948" s="4"/>
    </row>
    <row r="17949">
      <c r="A17949" s="4" t="str">
        <f>IFERROR(__xludf.DUMMYFUNCTION("""COMPUTED_VALUE"""),"cas_hmw")</f>
        <v>cas_hmw</v>
      </c>
      <c r="B17949" s="5">
        <f>IFERROR(__xludf.DUMMYFUNCTION("""COMPUTED_VALUE"""),44742.0)</f>
        <v>44742</v>
      </c>
      <c r="C17949" s="6">
        <f>IFERROR(__xludf.DUMMYFUNCTION("""COMPUTED_VALUE"""),0.3423726851870015)</f>
        <v>0.3423726852</v>
      </c>
      <c r="D17949" s="4">
        <f>IFERROR(__xludf.DUMMYFUNCTION("""COMPUTED_VALUE"""),12.85185)</f>
        <v>12.85185</v>
      </c>
      <c r="E17949" s="4">
        <f>IFERROR(__xludf.DUMMYFUNCTION("""COMPUTED_VALUE"""),80.06599)</f>
        <v>80.06599</v>
      </c>
      <c r="F17949" s="4">
        <f>IFERROR(__xludf.DUMMYFUNCTION("""COMPUTED_VALUE"""),2846.0)</f>
        <v>2846</v>
      </c>
      <c r="G17949" s="4">
        <f>IFERROR(__xludf.DUMMYFUNCTION("""COMPUTED_VALUE"""),45.0)</f>
        <v>45</v>
      </c>
      <c r="H17949" s="4"/>
      <c r="I17949" s="4"/>
    </row>
    <row r="17950">
      <c r="A17950" s="4" t="str">
        <f>IFERROR(__xludf.DUMMYFUNCTION("""COMPUTED_VALUE"""),"cas_hmw")</f>
        <v>cas_hmw</v>
      </c>
      <c r="B17950" s="5">
        <f>IFERROR(__xludf.DUMMYFUNCTION("""COMPUTED_VALUE"""),44742.0)</f>
        <v>44742</v>
      </c>
      <c r="C17950" s="6">
        <f>IFERROR(__xludf.DUMMYFUNCTION("""COMPUTED_VALUE"""),0.3423726851870015)</f>
        <v>0.3423726852</v>
      </c>
      <c r="D17950" s="4">
        <f>IFERROR(__xludf.DUMMYFUNCTION("""COMPUTED_VALUE"""),12.903856)</f>
        <v>12.903856</v>
      </c>
      <c r="E17950" s="4">
        <f>IFERROR(__xludf.DUMMYFUNCTION("""COMPUTED_VALUE"""),80.094589)</f>
        <v>80.094589</v>
      </c>
      <c r="F17950" s="4">
        <f>IFERROR(__xludf.DUMMYFUNCTION("""COMPUTED_VALUE"""),5339.0)</f>
        <v>5339</v>
      </c>
      <c r="G17950" s="4">
        <f>IFERROR(__xludf.DUMMYFUNCTION("""COMPUTED_VALUE"""),45.0)</f>
        <v>45</v>
      </c>
      <c r="H17950" s="4"/>
      <c r="I17950" s="4"/>
    </row>
    <row r="17951">
      <c r="A17951" s="4" t="str">
        <f>IFERROR(__xludf.DUMMYFUNCTION("""COMPUTED_VALUE"""),"cas_hmw")</f>
        <v>cas_hmw</v>
      </c>
      <c r="B17951" s="5">
        <f>IFERROR(__xludf.DUMMYFUNCTION("""COMPUTED_VALUE"""),44742.0)</f>
        <v>44742</v>
      </c>
      <c r="C17951" s="6">
        <f>IFERROR(__xludf.DUMMYFUNCTION("""COMPUTED_VALUE"""),0.3424305555563478)</f>
        <v>0.3424305556</v>
      </c>
      <c r="D17951" s="4">
        <f>IFERROR(__xludf.DUMMYFUNCTION("""COMPUTED_VALUE"""),12.85185)</f>
        <v>12.85185</v>
      </c>
      <c r="E17951" s="4">
        <f>IFERROR(__xludf.DUMMYFUNCTION("""COMPUTED_VALUE"""),80.06599)</f>
        <v>80.06599</v>
      </c>
      <c r="F17951" s="4">
        <f>IFERROR(__xludf.DUMMYFUNCTION("""COMPUTED_VALUE"""),2846.0)</f>
        <v>2846</v>
      </c>
      <c r="G17951" s="4">
        <f>IFERROR(__xludf.DUMMYFUNCTION("""COMPUTED_VALUE"""),45.0)</f>
        <v>45</v>
      </c>
      <c r="H17951" s="4"/>
      <c r="I17951" s="4"/>
    </row>
    <row r="17952">
      <c r="A17952" s="4" t="str">
        <f>IFERROR(__xludf.DUMMYFUNCTION("""COMPUTED_VALUE"""),"cas_hmw")</f>
        <v>cas_hmw</v>
      </c>
      <c r="B17952" s="5">
        <f>IFERROR(__xludf.DUMMYFUNCTION("""COMPUTED_VALUE"""),44742.0)</f>
        <v>44742</v>
      </c>
      <c r="C17952" s="6">
        <f>IFERROR(__xludf.DUMMYFUNCTION("""COMPUTED_VALUE"""),0.3426620370373712)</f>
        <v>0.342662037</v>
      </c>
      <c r="D17952" s="4">
        <f>IFERROR(__xludf.DUMMYFUNCTION("""COMPUTED_VALUE"""),12.955244)</f>
        <v>12.955244</v>
      </c>
      <c r="E17952" s="4">
        <f>IFERROR(__xludf.DUMMYFUNCTION("""COMPUTED_VALUE"""),80.14282)</f>
        <v>80.14282</v>
      </c>
      <c r="F17952" s="4">
        <f>IFERROR(__xludf.DUMMYFUNCTION("""COMPUTED_VALUE"""),805.0)</f>
        <v>805</v>
      </c>
      <c r="G17952" s="4">
        <f>IFERROR(__xludf.DUMMYFUNCTION("""COMPUTED_VALUE"""),17.0)</f>
        <v>17</v>
      </c>
      <c r="H17952" s="4"/>
      <c r="I17952" s="4"/>
    </row>
    <row r="17953">
      <c r="A17953" s="4" t="str">
        <f>IFERROR(__xludf.DUMMYFUNCTION("""COMPUTED_VALUE"""),"cas_hmw")</f>
        <v>cas_hmw</v>
      </c>
      <c r="B17953" s="5">
        <f>IFERROR(__xludf.DUMMYFUNCTION("""COMPUTED_VALUE"""),44742.0)</f>
        <v>44742</v>
      </c>
      <c r="C17953" s="6">
        <f>IFERROR(__xludf.DUMMYFUNCTION("""COMPUTED_VALUE"""),0.34274305555663886)</f>
        <v>0.3427430556</v>
      </c>
      <c r="D17953" s="4">
        <f>IFERROR(__xludf.DUMMYFUNCTION("""COMPUTED_VALUE"""),12.954639)</f>
        <v>12.954639</v>
      </c>
      <c r="E17953" s="4">
        <f>IFERROR(__xludf.DUMMYFUNCTION("""COMPUTED_VALUE"""),80.142463)</f>
        <v>80.142463</v>
      </c>
      <c r="F17953" s="4">
        <f>IFERROR(__xludf.DUMMYFUNCTION("""COMPUTED_VALUE"""),805.0)</f>
        <v>805</v>
      </c>
      <c r="G17953" s="4">
        <f>IFERROR(__xludf.DUMMYFUNCTION("""COMPUTED_VALUE"""),36.0)</f>
        <v>36</v>
      </c>
      <c r="H17953" s="4"/>
      <c r="I17953" s="4"/>
    </row>
    <row r="17954">
      <c r="A17954" s="4" t="str">
        <f>IFERROR(__xludf.DUMMYFUNCTION("""COMPUTED_VALUE"""),"cas_hmw")</f>
        <v>cas_hmw</v>
      </c>
      <c r="B17954" s="5">
        <f>IFERROR(__xludf.DUMMYFUNCTION("""COMPUTED_VALUE"""),44742.0)</f>
        <v>44742</v>
      </c>
      <c r="C17954" s="6">
        <f>IFERROR(__xludf.DUMMYFUNCTION("""COMPUTED_VALUE"""),0.3428819444452529)</f>
        <v>0.3428819444</v>
      </c>
      <c r="D17954" s="4">
        <f>IFERROR(__xludf.DUMMYFUNCTION("""COMPUTED_VALUE"""),12.855764)</f>
        <v>12.855764</v>
      </c>
      <c r="E17954" s="4">
        <f>IFERROR(__xludf.DUMMYFUNCTION("""COMPUTED_VALUE"""),80.068866)</f>
        <v>80.068866</v>
      </c>
      <c r="F17954" s="4">
        <f>IFERROR(__xludf.DUMMYFUNCTION("""COMPUTED_VALUE"""),2846.0)</f>
        <v>2846</v>
      </c>
      <c r="G17954" s="4">
        <f>IFERROR(__xludf.DUMMYFUNCTION("""COMPUTED_VALUE"""),49.0)</f>
        <v>49</v>
      </c>
      <c r="H17954" s="4"/>
      <c r="I17954" s="4"/>
    </row>
    <row r="17955">
      <c r="A17955" s="4" t="str">
        <f>IFERROR(__xludf.DUMMYFUNCTION("""COMPUTED_VALUE"""),"cas_hmw")</f>
        <v>cas_hmw</v>
      </c>
      <c r="B17955" s="5">
        <f>IFERROR(__xludf.DUMMYFUNCTION("""COMPUTED_VALUE"""),44742.0)</f>
        <v>44742</v>
      </c>
      <c r="C17955" s="6">
        <f>IFERROR(__xludf.DUMMYFUNCTION("""COMPUTED_VALUE"""),0.34333333333415794)</f>
        <v>0.3433333333</v>
      </c>
      <c r="D17955" s="4">
        <f>IFERROR(__xludf.DUMMYFUNCTION("""COMPUTED_VALUE"""),12.86029)</f>
        <v>12.86029</v>
      </c>
      <c r="E17955" s="4">
        <f>IFERROR(__xludf.DUMMYFUNCTION("""COMPUTED_VALUE"""),80.07227)</f>
        <v>80.07227</v>
      </c>
      <c r="F17955" s="4">
        <f>IFERROR(__xludf.DUMMYFUNCTION("""COMPUTED_VALUE"""),2846.0)</f>
        <v>2846</v>
      </c>
      <c r="G17955" s="4">
        <f>IFERROR(__xludf.DUMMYFUNCTION("""COMPUTED_VALUE"""),52.0)</f>
        <v>52</v>
      </c>
      <c r="H17955" s="4"/>
      <c r="I17955" s="4"/>
    </row>
    <row r="17956">
      <c r="A17956" s="4" t="str">
        <f>IFERROR(__xludf.DUMMYFUNCTION("""COMPUTED_VALUE"""),"cas_hmw")</f>
        <v>cas_hmw</v>
      </c>
      <c r="B17956" s="5">
        <f>IFERROR(__xludf.DUMMYFUNCTION("""COMPUTED_VALUE"""),44742.0)</f>
        <v>44742</v>
      </c>
      <c r="C17956" s="6">
        <f>IFERROR(__xludf.DUMMYFUNCTION("""COMPUTED_VALUE"""),0.343784722223063)</f>
        <v>0.3437847222</v>
      </c>
      <c r="D17956" s="4">
        <f>IFERROR(__xludf.DUMMYFUNCTION("""COMPUTED_VALUE"""),12.950469)</f>
        <v>12.950469</v>
      </c>
      <c r="E17956" s="4">
        <f>IFERROR(__xludf.DUMMYFUNCTION("""COMPUTED_VALUE"""),80.139655)</f>
        <v>80.139655</v>
      </c>
      <c r="F17956" s="4">
        <f>IFERROR(__xludf.DUMMYFUNCTION("""COMPUTED_VALUE"""),805.0)</f>
        <v>805</v>
      </c>
      <c r="G17956" s="4">
        <f>IFERROR(__xludf.DUMMYFUNCTION("""COMPUTED_VALUE"""),34.0)</f>
        <v>34</v>
      </c>
      <c r="H17956" s="4"/>
      <c r="I17956" s="4"/>
    </row>
    <row r="17957">
      <c r="A17957" s="4" t="str">
        <f>IFERROR(__xludf.DUMMYFUNCTION("""COMPUTED_VALUE"""),"cas_hmw")</f>
        <v>cas_hmw</v>
      </c>
      <c r="B17957" s="5">
        <f>IFERROR(__xludf.DUMMYFUNCTION("""COMPUTED_VALUE"""),44742.0)</f>
        <v>44742</v>
      </c>
      <c r="C17957" s="6">
        <f>IFERROR(__xludf.DUMMYFUNCTION("""COMPUTED_VALUE"""),0.343923611111677)</f>
        <v>0.3439236111</v>
      </c>
      <c r="D17957" s="4">
        <f>IFERROR(__xludf.DUMMYFUNCTION("""COMPUTED_VALUE"""),12.896802)</f>
        <v>12.896802</v>
      </c>
      <c r="E17957" s="4">
        <f>IFERROR(__xludf.DUMMYFUNCTION("""COMPUTED_VALUE"""),80.089104)</f>
        <v>80.089104</v>
      </c>
      <c r="F17957" s="4">
        <f>IFERROR(__xludf.DUMMYFUNCTION("""COMPUTED_VALUE"""),5339.0)</f>
        <v>5339</v>
      </c>
      <c r="G17957" s="4">
        <f>IFERROR(__xludf.DUMMYFUNCTION("""COMPUTED_VALUE"""),23.0)</f>
        <v>23</v>
      </c>
      <c r="H17957" s="4"/>
      <c r="I17957" s="4"/>
    </row>
    <row r="17958">
      <c r="A17958" s="4" t="str">
        <f>IFERROR(__xludf.DUMMYFUNCTION("""COMPUTED_VALUE"""),"cas_hmw")</f>
        <v>cas_hmw</v>
      </c>
      <c r="B17958" s="5">
        <f>IFERROR(__xludf.DUMMYFUNCTION("""COMPUTED_VALUE"""),44742.0)</f>
        <v>44742</v>
      </c>
      <c r="C17958" s="6">
        <f>IFERROR(__xludf.DUMMYFUNCTION("""COMPUTED_VALUE"""),0.3439699074078817)</f>
        <v>0.3439699074</v>
      </c>
      <c r="D17958" s="4">
        <f>IFERROR(__xludf.DUMMYFUNCTION("""COMPUTED_VALUE"""),12.949693)</f>
        <v>12.949693</v>
      </c>
      <c r="E17958" s="4">
        <f>IFERROR(__xludf.DUMMYFUNCTION("""COMPUTED_VALUE"""),80.13899)</f>
        <v>80.13899</v>
      </c>
      <c r="F17958" s="4">
        <f>IFERROR(__xludf.DUMMYFUNCTION("""COMPUTED_VALUE"""),805.0)</f>
        <v>805</v>
      </c>
      <c r="G17958" s="4">
        <f>IFERROR(__xludf.DUMMYFUNCTION("""COMPUTED_VALUE"""),43.0)</f>
        <v>43</v>
      </c>
      <c r="H17958" s="4"/>
      <c r="I17958" s="4"/>
    </row>
    <row r="17959">
      <c r="A17959" s="4" t="str">
        <f>IFERROR(__xludf.DUMMYFUNCTION("""COMPUTED_VALUE"""),"cas_hmw")</f>
        <v>cas_hmw</v>
      </c>
      <c r="B17959" s="5">
        <f>IFERROR(__xludf.DUMMYFUNCTION("""COMPUTED_VALUE"""),44742.0)</f>
        <v>44742</v>
      </c>
      <c r="C17959" s="6">
        <f>IFERROR(__xludf.DUMMYFUNCTION("""COMPUTED_VALUE"""),0.3441203703696374)</f>
        <v>0.3441203704</v>
      </c>
      <c r="D17959" s="4">
        <f>IFERROR(__xludf.DUMMYFUNCTION("""COMPUTED_VALUE"""),12.895421)</f>
        <v>12.895421</v>
      </c>
      <c r="E17959" s="4">
        <f>IFERROR(__xludf.DUMMYFUNCTION("""COMPUTED_VALUE"""),80.088077)</f>
        <v>80.088077</v>
      </c>
      <c r="F17959" s="4">
        <f>IFERROR(__xludf.DUMMYFUNCTION("""COMPUTED_VALUE"""),5339.0)</f>
        <v>5339</v>
      </c>
      <c r="G17959" s="4">
        <f>IFERROR(__xludf.DUMMYFUNCTION("""COMPUTED_VALUE"""),43.0)</f>
        <v>43</v>
      </c>
      <c r="H17959" s="4"/>
      <c r="I17959" s="4"/>
    </row>
    <row r="17960">
      <c r="A17960" s="4" t="str">
        <f>IFERROR(__xludf.DUMMYFUNCTION("""COMPUTED_VALUE"""),"cas_hmw")</f>
        <v>cas_hmw</v>
      </c>
      <c r="B17960" s="5">
        <f>IFERROR(__xludf.DUMMYFUNCTION("""COMPUTED_VALUE"""),44742.0)</f>
        <v>44742</v>
      </c>
      <c r="C17960" s="6">
        <f>IFERROR(__xludf.DUMMYFUNCTION("""COMPUTED_VALUE"""),0.3441435185195587)</f>
        <v>0.3441435185</v>
      </c>
      <c r="D17960" s="4">
        <f>IFERROR(__xludf.DUMMYFUNCTION("""COMPUTED_VALUE"""),12.895421)</f>
        <v>12.895421</v>
      </c>
      <c r="E17960" s="4">
        <f>IFERROR(__xludf.DUMMYFUNCTION("""COMPUTED_VALUE"""),80.088077)</f>
        <v>80.088077</v>
      </c>
      <c r="F17960" s="4">
        <f>IFERROR(__xludf.DUMMYFUNCTION("""COMPUTED_VALUE"""),5339.0)</f>
        <v>5339</v>
      </c>
      <c r="G17960" s="4">
        <f>IFERROR(__xludf.DUMMYFUNCTION("""COMPUTED_VALUE"""),43.0)</f>
        <v>43</v>
      </c>
      <c r="H17960" s="4"/>
      <c r="I17960" s="4"/>
    </row>
    <row r="17961">
      <c r="A17961" s="4" t="str">
        <f>IFERROR(__xludf.DUMMYFUNCTION("""COMPUTED_VALUE"""),"cas_hmw")</f>
        <v>cas_hmw</v>
      </c>
      <c r="B17961" s="5">
        <f>IFERROR(__xludf.DUMMYFUNCTION("""COMPUTED_VALUE"""),44742.0)</f>
        <v>44742</v>
      </c>
      <c r="C17961" s="6">
        <f>IFERROR(__xludf.DUMMYFUNCTION("""COMPUTED_VALUE"""),0.34431712963123573)</f>
        <v>0.3443171296</v>
      </c>
      <c r="D17961" s="4">
        <f>IFERROR(__xludf.DUMMYFUNCTION("""COMPUTED_VALUE"""),12.946932)</f>
        <v>12.946932</v>
      </c>
      <c r="E17961" s="4">
        <f>IFERROR(__xludf.DUMMYFUNCTION("""COMPUTED_VALUE"""),80.136887)</f>
        <v>80.136887</v>
      </c>
      <c r="F17961" s="4">
        <f>IFERROR(__xludf.DUMMYFUNCTION("""COMPUTED_VALUE"""),805.0)</f>
        <v>805</v>
      </c>
      <c r="G17961" s="4">
        <f>IFERROR(__xludf.DUMMYFUNCTION("""COMPUTED_VALUE"""),43.0)</f>
        <v>43</v>
      </c>
      <c r="H17961" s="4"/>
      <c r="I17961" s="4"/>
    </row>
    <row r="17962">
      <c r="A17962" s="4" t="str">
        <f>IFERROR(__xludf.DUMMYFUNCTION("""COMPUTED_VALUE"""),"cas_hmw")</f>
        <v>cas_hmw</v>
      </c>
      <c r="B17962" s="5">
        <f>IFERROR(__xludf.DUMMYFUNCTION("""COMPUTED_VALUE"""),44742.0)</f>
        <v>44742</v>
      </c>
      <c r="C17962" s="6">
        <f>IFERROR(__xludf.DUMMYFUNCTION("""COMPUTED_VALUE"""),0.34431712963123573)</f>
        <v>0.3443171296</v>
      </c>
      <c r="D17962" s="4">
        <f>IFERROR(__xludf.DUMMYFUNCTION("""COMPUTED_VALUE"""),12.893782)</f>
        <v>12.893782</v>
      </c>
      <c r="E17962" s="4">
        <f>IFERROR(__xludf.DUMMYFUNCTION("""COMPUTED_VALUE"""),80.086853)</f>
        <v>80.086853</v>
      </c>
      <c r="F17962" s="4">
        <f>IFERROR(__xludf.DUMMYFUNCTION("""COMPUTED_VALUE"""),5339.0)</f>
        <v>5339</v>
      </c>
      <c r="G17962" s="4">
        <f>IFERROR(__xludf.DUMMYFUNCTION("""COMPUTED_VALUE"""),40.0)</f>
        <v>40</v>
      </c>
      <c r="H17962" s="4"/>
      <c r="I17962" s="4"/>
    </row>
    <row r="17963">
      <c r="A17963" s="4" t="str">
        <f>IFERROR(__xludf.DUMMYFUNCTION("""COMPUTED_VALUE"""),"cas_hmw")</f>
        <v>cas_hmw</v>
      </c>
      <c r="B17963" s="5">
        <f>IFERROR(__xludf.DUMMYFUNCTION("""COMPUTED_VALUE"""),44742.0)</f>
        <v>44742</v>
      </c>
      <c r="C17963" s="6">
        <f>IFERROR(__xludf.DUMMYFUNCTION("""COMPUTED_VALUE"""),0.34438657407372375)</f>
        <v>0.3443865741</v>
      </c>
      <c r="D17963" s="4">
        <f>IFERROR(__xludf.DUMMYFUNCTION("""COMPUTED_VALUE"""),12.892975)</f>
        <v>12.892975</v>
      </c>
      <c r="E17963" s="4">
        <f>IFERROR(__xludf.DUMMYFUNCTION("""COMPUTED_VALUE"""),80.086229)</f>
        <v>80.086229</v>
      </c>
      <c r="F17963" s="4">
        <f>IFERROR(__xludf.DUMMYFUNCTION("""COMPUTED_VALUE"""),5339.0)</f>
        <v>5339</v>
      </c>
      <c r="G17963" s="4">
        <f>IFERROR(__xludf.DUMMYFUNCTION("""COMPUTED_VALUE"""),40.0)</f>
        <v>40</v>
      </c>
      <c r="H17963" s="4"/>
      <c r="I17963" s="4"/>
    </row>
    <row r="17964">
      <c r="A17964" s="4" t="str">
        <f>IFERROR(__xludf.DUMMYFUNCTION("""COMPUTED_VALUE"""),"cas_hmw")</f>
        <v>cas_hmw</v>
      </c>
      <c r="B17964" s="5">
        <f>IFERROR(__xludf.DUMMYFUNCTION("""COMPUTED_VALUE"""),44742.0)</f>
        <v>44742</v>
      </c>
      <c r="C17964" s="6">
        <f>IFERROR(__xludf.DUMMYFUNCTION("""COMPUTED_VALUE"""),0.34445601851984975)</f>
        <v>0.3444560185</v>
      </c>
      <c r="D17964" s="4">
        <f>IFERROR(__xludf.DUMMYFUNCTION("""COMPUTED_VALUE"""),12.945155)</f>
        <v>12.945155</v>
      </c>
      <c r="E17964" s="4">
        <f>IFERROR(__xludf.DUMMYFUNCTION("""COMPUTED_VALUE"""),80.135528)</f>
        <v>80.135528</v>
      </c>
      <c r="F17964" s="4">
        <f>IFERROR(__xludf.DUMMYFUNCTION("""COMPUTED_VALUE"""),805.0)</f>
        <v>805</v>
      </c>
      <c r="G17964" s="4">
        <f>IFERROR(__xludf.DUMMYFUNCTION("""COMPUTED_VALUE"""),36.0)</f>
        <v>36</v>
      </c>
      <c r="H17964" s="4"/>
      <c r="I17964" s="4"/>
    </row>
    <row r="17965">
      <c r="A17965" s="4" t="str">
        <f>IFERROR(__xludf.DUMMYFUNCTION("""COMPUTED_VALUE"""),"cas_hmw")</f>
        <v>cas_hmw</v>
      </c>
      <c r="B17965" s="5">
        <f>IFERROR(__xludf.DUMMYFUNCTION("""COMPUTED_VALUE"""),44742.0)</f>
        <v>44742</v>
      </c>
      <c r="C17965" s="6">
        <f>IFERROR(__xludf.DUMMYFUNCTION("""COMPUTED_VALUE"""),0.3444675925929914)</f>
        <v>0.3444675926</v>
      </c>
      <c r="D17965" s="4">
        <f>IFERROR(__xludf.DUMMYFUNCTION("""COMPUTED_VALUE"""),12.868492)</f>
        <v>12.868492</v>
      </c>
      <c r="E17965" s="4">
        <f>IFERROR(__xludf.DUMMYFUNCTION("""COMPUTED_VALUE"""),80.075868)</f>
        <v>80.075868</v>
      </c>
      <c r="F17965" s="4">
        <f>IFERROR(__xludf.DUMMYFUNCTION("""COMPUTED_VALUE"""),2846.0)</f>
        <v>2846</v>
      </c>
      <c r="G17965" s="4">
        <f>IFERROR(__xludf.DUMMYFUNCTION("""COMPUTED_VALUE"""),44.0)</f>
        <v>44</v>
      </c>
      <c r="H17965" s="4"/>
      <c r="I17965" s="4"/>
    </row>
    <row r="17966">
      <c r="A17966" s="4" t="str">
        <f>IFERROR(__xludf.DUMMYFUNCTION("""COMPUTED_VALUE"""),"cas_hmw")</f>
        <v>cas_hmw</v>
      </c>
      <c r="B17966" s="5">
        <f>IFERROR(__xludf.DUMMYFUNCTION("""COMPUTED_VALUE"""),44742.0)</f>
        <v>44742</v>
      </c>
      <c r="C17966" s="6">
        <f>IFERROR(__xludf.DUMMYFUNCTION("""COMPUTED_VALUE"""),0.34456018518540077)</f>
        <v>0.3445601852</v>
      </c>
      <c r="D17966" s="4">
        <f>IFERROR(__xludf.DUMMYFUNCTION("""COMPUTED_VALUE"""),12.86948)</f>
        <v>12.86948</v>
      </c>
      <c r="E17966" s="4">
        <f>IFERROR(__xludf.DUMMYFUNCTION("""COMPUTED_VALUE"""),80.076264)</f>
        <v>80.076264</v>
      </c>
      <c r="F17966" s="4">
        <f>IFERROR(__xludf.DUMMYFUNCTION("""COMPUTED_VALUE"""),2846.0)</f>
        <v>2846</v>
      </c>
      <c r="G17966" s="4">
        <f>IFERROR(__xludf.DUMMYFUNCTION("""COMPUTED_VALUE"""),42.0)</f>
        <v>42</v>
      </c>
      <c r="H17966" s="4"/>
      <c r="I17966" s="4"/>
    </row>
    <row r="17967">
      <c r="A17967" s="4" t="str">
        <f>IFERROR(__xludf.DUMMYFUNCTION("""COMPUTED_VALUE"""),"cas_hmw")</f>
        <v>cas_hmw</v>
      </c>
      <c r="B17967" s="5">
        <f>IFERROR(__xludf.DUMMYFUNCTION("""COMPUTED_VALUE"""),44742.0)</f>
        <v>44742</v>
      </c>
      <c r="C17967" s="6">
        <f>IFERROR(__xludf.DUMMYFUNCTION("""COMPUTED_VALUE"""),0.34493055555503815)</f>
        <v>0.3449305556</v>
      </c>
      <c r="D17967" s="4">
        <f>IFERROR(__xludf.DUMMYFUNCTION("""COMPUTED_VALUE"""),12.943222)</f>
        <v>12.943222</v>
      </c>
      <c r="E17967" s="4">
        <f>IFERROR(__xludf.DUMMYFUNCTION("""COMPUTED_VALUE"""),80.134009)</f>
        <v>80.134009</v>
      </c>
      <c r="F17967" s="4">
        <f>IFERROR(__xludf.DUMMYFUNCTION("""COMPUTED_VALUE"""),805.0)</f>
        <v>805</v>
      </c>
      <c r="G17967" s="4">
        <f>IFERROR(__xludf.DUMMYFUNCTION("""COMPUTED_VALUE"""),32.0)</f>
        <v>32</v>
      </c>
      <c r="H17967" s="4"/>
      <c r="I17967" s="4"/>
    </row>
    <row r="17968">
      <c r="A17968" s="4" t="str">
        <f>IFERROR(__xludf.DUMMYFUNCTION("""COMPUTED_VALUE"""),"cas_hmw")</f>
        <v>cas_hmw</v>
      </c>
      <c r="B17968" s="5">
        <f>IFERROR(__xludf.DUMMYFUNCTION("""COMPUTED_VALUE"""),44742.0)</f>
        <v>44742</v>
      </c>
      <c r="C17968" s="6">
        <f>IFERROR(__xludf.DUMMYFUNCTION("""COMPUTED_VALUE"""),0.3449537037049595)</f>
        <v>0.3449537037</v>
      </c>
      <c r="D17968" s="4">
        <f>IFERROR(__xludf.DUMMYFUNCTION("""COMPUTED_VALUE"""),12.943222)</f>
        <v>12.943222</v>
      </c>
      <c r="E17968" s="4">
        <f>IFERROR(__xludf.DUMMYFUNCTION("""COMPUTED_VALUE"""),80.134009)</f>
        <v>80.134009</v>
      </c>
      <c r="F17968" s="4">
        <f>IFERROR(__xludf.DUMMYFUNCTION("""COMPUTED_VALUE"""),805.0)</f>
        <v>805</v>
      </c>
      <c r="G17968" s="4">
        <f>IFERROR(__xludf.DUMMYFUNCTION("""COMPUTED_VALUE"""),32.0)</f>
        <v>32</v>
      </c>
      <c r="H17968" s="4"/>
      <c r="I17968" s="4"/>
    </row>
    <row r="17969">
      <c r="A17969" s="4" t="str">
        <f>IFERROR(__xludf.DUMMYFUNCTION("""COMPUTED_VALUE"""),"cas_hmw")</f>
        <v>cas_hmw</v>
      </c>
      <c r="B17969" s="5">
        <f>IFERROR(__xludf.DUMMYFUNCTION("""COMPUTED_VALUE"""),44742.0)</f>
        <v>44742</v>
      </c>
      <c r="C17969" s="6">
        <f>IFERROR(__xludf.DUMMYFUNCTION("""COMPUTED_VALUE"""),0.34496527777810115)</f>
        <v>0.3449652778</v>
      </c>
      <c r="D17969" s="4">
        <f>IFERROR(__xludf.DUMMYFUNCTION("""COMPUTED_VALUE"""),12.943222)</f>
        <v>12.943222</v>
      </c>
      <c r="E17969" s="4">
        <f>IFERROR(__xludf.DUMMYFUNCTION("""COMPUTED_VALUE"""),80.134009)</f>
        <v>80.134009</v>
      </c>
      <c r="F17969" s="4">
        <f>IFERROR(__xludf.DUMMYFUNCTION("""COMPUTED_VALUE"""),805.0)</f>
        <v>805</v>
      </c>
      <c r="G17969" s="4">
        <f>IFERROR(__xludf.DUMMYFUNCTION("""COMPUTED_VALUE"""),32.0)</f>
        <v>32</v>
      </c>
      <c r="H17969" s="4"/>
      <c r="I17969" s="4"/>
    </row>
    <row r="17970">
      <c r="A17970" s="4" t="str">
        <f>IFERROR(__xludf.DUMMYFUNCTION("""COMPUTED_VALUE"""),"cas_hmw")</f>
        <v>cas_hmw</v>
      </c>
      <c r="B17970" s="5">
        <f>IFERROR(__xludf.DUMMYFUNCTION("""COMPUTED_VALUE"""),44742.0)</f>
        <v>44742</v>
      </c>
      <c r="C17970" s="6">
        <f>IFERROR(__xludf.DUMMYFUNCTION("""COMPUTED_VALUE"""),0.3449884259243845)</f>
        <v>0.3449884259</v>
      </c>
      <c r="D17970" s="4">
        <f>IFERROR(__xludf.DUMMYFUNCTION("""COMPUTED_VALUE"""),12.873237)</f>
        <v>12.873237</v>
      </c>
      <c r="E17970" s="4">
        <f>IFERROR(__xludf.DUMMYFUNCTION("""COMPUTED_VALUE"""),80.077713)</f>
        <v>80.077713</v>
      </c>
      <c r="F17970" s="4">
        <f>IFERROR(__xludf.DUMMYFUNCTION("""COMPUTED_VALUE"""),2846.0)</f>
        <v>2846</v>
      </c>
      <c r="G17970" s="4">
        <f>IFERROR(__xludf.DUMMYFUNCTION("""COMPUTED_VALUE"""),57.0)</f>
        <v>57</v>
      </c>
      <c r="H17970" s="4"/>
      <c r="I17970" s="4"/>
    </row>
    <row r="17971">
      <c r="A17971" s="4" t="str">
        <f>IFERROR(__xludf.DUMMYFUNCTION("""COMPUTED_VALUE"""),"cas_hmw")</f>
        <v>cas_hmw</v>
      </c>
      <c r="B17971" s="5">
        <f>IFERROR(__xludf.DUMMYFUNCTION("""COMPUTED_VALUE"""),44742.0)</f>
        <v>44742</v>
      </c>
      <c r="C17971" s="6">
        <f>IFERROR(__xludf.DUMMYFUNCTION("""COMPUTED_VALUE"""),0.3452314814821875)</f>
        <v>0.3452314815</v>
      </c>
      <c r="D17971" s="4">
        <f>IFERROR(__xludf.DUMMYFUNCTION("""COMPUTED_VALUE"""),12.87555)</f>
        <v>12.87555</v>
      </c>
      <c r="E17971" s="4">
        <f>IFERROR(__xludf.DUMMYFUNCTION("""COMPUTED_VALUE"""),80.078558)</f>
        <v>80.078558</v>
      </c>
      <c r="F17971" s="4">
        <f>IFERROR(__xludf.DUMMYFUNCTION("""COMPUTED_VALUE"""),2846.0)</f>
        <v>2846</v>
      </c>
      <c r="G17971" s="4">
        <f>IFERROR(__xludf.DUMMYFUNCTION("""COMPUTED_VALUE"""),44.0)</f>
        <v>44</v>
      </c>
      <c r="H17971" s="4"/>
      <c r="I17971" s="4"/>
    </row>
    <row r="17972">
      <c r="A17972" s="4" t="str">
        <f>IFERROR(__xludf.DUMMYFUNCTION("""COMPUTED_VALUE"""),"cas_hmw")</f>
        <v>cas_hmw</v>
      </c>
      <c r="B17972" s="5">
        <f>IFERROR(__xludf.DUMMYFUNCTION("""COMPUTED_VALUE"""),44742.0)</f>
        <v>44742</v>
      </c>
      <c r="C17972" s="6">
        <f>IFERROR(__xludf.DUMMYFUNCTION("""COMPUTED_VALUE"""),0.34533564814773854)</f>
        <v>0.3453356481</v>
      </c>
      <c r="D17972" s="4">
        <f>IFERROR(__xludf.DUMMYFUNCTION("""COMPUTED_VALUE"""),12.941507)</f>
        <v>12.941507</v>
      </c>
      <c r="E17972" s="4">
        <f>IFERROR(__xludf.DUMMYFUNCTION("""COMPUTED_VALUE"""),80.13219)</f>
        <v>80.13219</v>
      </c>
      <c r="F17972" s="4">
        <f>IFERROR(__xludf.DUMMYFUNCTION("""COMPUTED_VALUE"""),805.0)</f>
        <v>805</v>
      </c>
      <c r="G17972" s="4">
        <f>IFERROR(__xludf.DUMMYFUNCTION("""COMPUTED_VALUE"""),35.0)</f>
        <v>35</v>
      </c>
      <c r="H17972" s="4"/>
      <c r="I17972" s="4"/>
    </row>
    <row r="17973">
      <c r="A17973" s="4" t="str">
        <f>IFERROR(__xludf.DUMMYFUNCTION("""COMPUTED_VALUE"""),"cas_hmw")</f>
        <v>cas_hmw</v>
      </c>
      <c r="B17973" s="5">
        <f>IFERROR(__xludf.DUMMYFUNCTION("""COMPUTED_VALUE"""),44742.0)</f>
        <v>44742</v>
      </c>
      <c r="C17973" s="6">
        <f>IFERROR(__xludf.DUMMYFUNCTION("""COMPUTED_VALUE"""),0.34550925925941556)</f>
        <v>0.3455092593</v>
      </c>
      <c r="D17973" s="4">
        <f>IFERROR(__xludf.DUMMYFUNCTION("""COMPUTED_VALUE"""),12.883245)</f>
        <v>12.883245</v>
      </c>
      <c r="E17973" s="4">
        <f>IFERROR(__xludf.DUMMYFUNCTION("""COMPUTED_VALUE"""),80.082005)</f>
        <v>80.082005</v>
      </c>
      <c r="F17973" s="4">
        <f>IFERROR(__xludf.DUMMYFUNCTION("""COMPUTED_VALUE"""),5339.0)</f>
        <v>5339</v>
      </c>
      <c r="G17973" s="4">
        <f>IFERROR(__xludf.DUMMYFUNCTION("""COMPUTED_VALUE"""),50.0)</f>
        <v>50</v>
      </c>
      <c r="H17973" s="4"/>
      <c r="I17973" s="4"/>
    </row>
    <row r="17974">
      <c r="A17974" s="4" t="str">
        <f>IFERROR(__xludf.DUMMYFUNCTION("""COMPUTED_VALUE"""),"cas_hmw")</f>
        <v>cas_hmw</v>
      </c>
      <c r="B17974" s="5">
        <f>IFERROR(__xludf.DUMMYFUNCTION("""COMPUTED_VALUE"""),44742.0)</f>
        <v>44742</v>
      </c>
      <c r="C17974" s="6">
        <f>IFERROR(__xludf.DUMMYFUNCTION("""COMPUTED_VALUE"""),0.3455787037019036)</f>
        <v>0.3455787037</v>
      </c>
      <c r="D17974" s="4">
        <f>IFERROR(__xludf.DUMMYFUNCTION("""COMPUTED_VALUE"""),12.940303)</f>
        <v>12.940303</v>
      </c>
      <c r="E17974" s="4">
        <f>IFERROR(__xludf.DUMMYFUNCTION("""COMPUTED_VALUE"""),80.130942)</f>
        <v>80.130942</v>
      </c>
      <c r="F17974" s="4">
        <f>IFERROR(__xludf.DUMMYFUNCTION("""COMPUTED_VALUE"""),805.0)</f>
        <v>805</v>
      </c>
      <c r="G17974" s="4">
        <f>IFERROR(__xludf.DUMMYFUNCTION("""COMPUTED_VALUE"""),36.0)</f>
        <v>36</v>
      </c>
      <c r="H17974" s="4"/>
      <c r="I17974" s="4"/>
    </row>
    <row r="17975">
      <c r="A17975" s="4" t="str">
        <f>IFERROR(__xludf.DUMMYFUNCTION("""COMPUTED_VALUE"""),"cas_hmw")</f>
        <v>cas_hmw</v>
      </c>
      <c r="B17975" s="5">
        <f>IFERROR(__xludf.DUMMYFUNCTION("""COMPUTED_VALUE"""),44742.0)</f>
        <v>44742</v>
      </c>
      <c r="C17975" s="6">
        <f>IFERROR(__xludf.DUMMYFUNCTION("""COMPUTED_VALUE"""),0.34649305555649335)</f>
        <v>0.3464930556</v>
      </c>
      <c r="D17975" s="4">
        <f>IFERROR(__xludf.DUMMYFUNCTION("""COMPUTED_VALUE"""),12.935425)</f>
        <v>12.935425</v>
      </c>
      <c r="E17975" s="4">
        <f>IFERROR(__xludf.DUMMYFUNCTION("""COMPUTED_VALUE"""),80.126565)</f>
        <v>80.126565</v>
      </c>
      <c r="F17975" s="4">
        <f>IFERROR(__xludf.DUMMYFUNCTION("""COMPUTED_VALUE"""),805.0)</f>
        <v>805</v>
      </c>
      <c r="G17975" s="4">
        <f>IFERROR(__xludf.DUMMYFUNCTION("""COMPUTED_VALUE"""),52.0)</f>
        <v>52</v>
      </c>
      <c r="H17975" s="4"/>
      <c r="I17975" s="4"/>
    </row>
    <row r="17976">
      <c r="A17976" s="4" t="str">
        <f>IFERROR(__xludf.DUMMYFUNCTION("""COMPUTED_VALUE"""),"cas_hmw")</f>
        <v>cas_hmw</v>
      </c>
      <c r="B17976" s="5">
        <f>IFERROR(__xludf.DUMMYFUNCTION("""COMPUTED_VALUE"""),44742.0)</f>
        <v>44742</v>
      </c>
      <c r="C17976" s="6">
        <f>IFERROR(__xludf.DUMMYFUNCTION("""COMPUTED_VALUE"""),0.3475578703692008)</f>
        <v>0.3475578704</v>
      </c>
      <c r="D17976" s="4">
        <f>IFERROR(__xludf.DUMMYFUNCTION("""COMPUTED_VALUE"""),12.930511)</f>
        <v>12.930511</v>
      </c>
      <c r="E17976" s="4">
        <f>IFERROR(__xludf.DUMMYFUNCTION("""COMPUTED_VALUE"""),80.121792)</f>
        <v>80.121792</v>
      </c>
      <c r="F17976" s="4">
        <f>IFERROR(__xludf.DUMMYFUNCTION("""COMPUTED_VALUE"""),805.0)</f>
        <v>805</v>
      </c>
      <c r="G17976" s="4">
        <f>IFERROR(__xludf.DUMMYFUNCTION("""COMPUTED_VALUE"""),31.0)</f>
        <v>31</v>
      </c>
      <c r="H17976" s="4"/>
      <c r="I17976" s="4"/>
    </row>
    <row r="17977">
      <c r="A17977" s="4" t="str">
        <f>IFERROR(__xludf.DUMMYFUNCTION("""COMPUTED_VALUE"""),"cas_hmw")</f>
        <v>cas_hmw</v>
      </c>
      <c r="B17977" s="5">
        <f>IFERROR(__xludf.DUMMYFUNCTION("""COMPUTED_VALUE"""),44742.0)</f>
        <v>44742</v>
      </c>
      <c r="C17977" s="6">
        <f>IFERROR(__xludf.DUMMYFUNCTION("""COMPUTED_VALUE"""),0.3479282407424762)</f>
        <v>0.3479282407</v>
      </c>
      <c r="D17977" s="4">
        <f>IFERROR(__xludf.DUMMYFUNCTION("""COMPUTED_VALUE"""),12.927581)</f>
        <v>12.927581</v>
      </c>
      <c r="E17977" s="4">
        <f>IFERROR(__xludf.DUMMYFUNCTION("""COMPUTED_VALUE"""),80.118776)</f>
        <v>80.118776</v>
      </c>
      <c r="F17977" s="4">
        <f>IFERROR(__xludf.DUMMYFUNCTION("""COMPUTED_VALUE"""),805.0)</f>
        <v>805</v>
      </c>
      <c r="G17977" s="4">
        <f>IFERROR(__xludf.DUMMYFUNCTION("""COMPUTED_VALUE"""),35.0)</f>
        <v>35</v>
      </c>
      <c r="H17977" s="4"/>
      <c r="I17977" s="4"/>
    </row>
    <row r="17978">
      <c r="A17978" s="4" t="str">
        <f>IFERROR(__xludf.DUMMYFUNCTION("""COMPUTED_VALUE"""),"cas_hmw")</f>
        <v>cas_hmw</v>
      </c>
      <c r="B17978" s="5">
        <f>IFERROR(__xludf.DUMMYFUNCTION("""COMPUTED_VALUE"""),44742.0)</f>
        <v>44742</v>
      </c>
      <c r="C17978" s="6">
        <f>IFERROR(__xludf.DUMMYFUNCTION("""COMPUTED_VALUE"""),0.3480439814811689)</f>
        <v>0.3480439815</v>
      </c>
      <c r="D17978" s="4">
        <f>IFERROR(__xludf.DUMMYFUNCTION("""COMPUTED_VALUE"""),12.926927)</f>
        <v>12.926927</v>
      </c>
      <c r="E17978" s="4">
        <f>IFERROR(__xludf.DUMMYFUNCTION("""COMPUTED_VALUE"""),80.118128)</f>
        <v>80.118128</v>
      </c>
      <c r="F17978" s="4">
        <f>IFERROR(__xludf.DUMMYFUNCTION("""COMPUTED_VALUE"""),805.0)</f>
        <v>805</v>
      </c>
      <c r="G17978" s="4">
        <f>IFERROR(__xludf.DUMMYFUNCTION("""COMPUTED_VALUE"""),34.0)</f>
        <v>34</v>
      </c>
      <c r="H17978" s="4"/>
      <c r="I17978" s="4"/>
    </row>
    <row r="17979">
      <c r="A17979" s="4" t="str">
        <f>IFERROR(__xludf.DUMMYFUNCTION("""COMPUTED_VALUE"""),"cas_hmw")</f>
        <v>cas_hmw</v>
      </c>
      <c r="B17979" s="5">
        <f>IFERROR(__xludf.DUMMYFUNCTION("""COMPUTED_VALUE"""),44742.0)</f>
        <v>44742</v>
      </c>
      <c r="C17979" s="6">
        <f>IFERROR(__xludf.DUMMYFUNCTION("""COMPUTED_VALUE"""),0.3480671296310902)</f>
        <v>0.3480671296</v>
      </c>
      <c r="D17979" s="4">
        <f>IFERROR(__xludf.DUMMYFUNCTION("""COMPUTED_VALUE"""),12.926927)</f>
        <v>12.926927</v>
      </c>
      <c r="E17979" s="4">
        <f>IFERROR(__xludf.DUMMYFUNCTION("""COMPUTED_VALUE"""),80.118128)</f>
        <v>80.118128</v>
      </c>
      <c r="F17979" s="4">
        <f>IFERROR(__xludf.DUMMYFUNCTION("""COMPUTED_VALUE"""),805.0)</f>
        <v>805</v>
      </c>
      <c r="G17979" s="4">
        <f>IFERROR(__xludf.DUMMYFUNCTION("""COMPUTED_VALUE"""),34.0)</f>
        <v>34</v>
      </c>
      <c r="H17979" s="4"/>
      <c r="I17979" s="4"/>
    </row>
    <row r="17980">
      <c r="A17980" s="4" t="str">
        <f>IFERROR(__xludf.DUMMYFUNCTION("""COMPUTED_VALUE"""),"cas_hmw")</f>
        <v>cas_hmw</v>
      </c>
      <c r="B17980" s="5">
        <f>IFERROR(__xludf.DUMMYFUNCTION("""COMPUTED_VALUE"""),44742.0)</f>
        <v>44742</v>
      </c>
      <c r="C17980" s="6">
        <f>IFERROR(__xludf.DUMMYFUNCTION("""COMPUTED_VALUE"""),0.34813657407357823)</f>
        <v>0.3481365741</v>
      </c>
      <c r="D17980" s="4">
        <f>IFERROR(__xludf.DUMMYFUNCTION("""COMPUTED_VALUE"""),12.926927)</f>
        <v>12.926927</v>
      </c>
      <c r="E17980" s="4">
        <f>IFERROR(__xludf.DUMMYFUNCTION("""COMPUTED_VALUE"""),80.118128)</f>
        <v>80.118128</v>
      </c>
      <c r="F17980" s="4">
        <f>IFERROR(__xludf.DUMMYFUNCTION("""COMPUTED_VALUE"""),805.0)</f>
        <v>805</v>
      </c>
      <c r="G17980" s="4">
        <f>IFERROR(__xludf.DUMMYFUNCTION("""COMPUTED_VALUE"""),34.0)</f>
        <v>34</v>
      </c>
      <c r="H17980" s="4"/>
      <c r="I17980" s="4"/>
    </row>
    <row r="17981">
      <c r="A17981" s="4" t="str">
        <f>IFERROR(__xludf.DUMMYFUNCTION("""COMPUTED_VALUE"""),"cas_hmw")</f>
        <v>cas_hmw</v>
      </c>
      <c r="B17981" s="5">
        <f>IFERROR(__xludf.DUMMYFUNCTION("""COMPUTED_VALUE"""),44742.0)</f>
        <v>44742</v>
      </c>
      <c r="C17981" s="6">
        <f>IFERROR(__xludf.DUMMYFUNCTION("""COMPUTED_VALUE"""),0.3481944444429246)</f>
        <v>0.3481944444</v>
      </c>
      <c r="D17981" s="4">
        <f>IFERROR(__xludf.DUMMYFUNCTION("""COMPUTED_VALUE"""),12.926339)</f>
        <v>12.926339</v>
      </c>
      <c r="E17981" s="4">
        <f>IFERROR(__xludf.DUMMYFUNCTION("""COMPUTED_VALUE"""),80.117543)</f>
        <v>80.117543</v>
      </c>
      <c r="F17981" s="4">
        <f>IFERROR(__xludf.DUMMYFUNCTION("""COMPUTED_VALUE"""),805.0)</f>
        <v>805</v>
      </c>
      <c r="G17981" s="4">
        <f>IFERROR(__xludf.DUMMYFUNCTION("""COMPUTED_VALUE"""),0.0)</f>
        <v>0</v>
      </c>
      <c r="H17981" s="4"/>
      <c r="I17981" s="4"/>
    </row>
    <row r="17982">
      <c r="A17982" s="4" t="str">
        <f>IFERROR(__xludf.DUMMYFUNCTION("""COMPUTED_VALUE"""),"cas_hmw")</f>
        <v>cas_hmw</v>
      </c>
      <c r="B17982" s="5">
        <f>IFERROR(__xludf.DUMMYFUNCTION("""COMPUTED_VALUE"""),44742.0)</f>
        <v>44742</v>
      </c>
      <c r="C17982" s="6">
        <f>IFERROR(__xludf.DUMMYFUNCTION("""COMPUTED_VALUE"""),0.34853009259313694)</f>
        <v>0.3485300926</v>
      </c>
      <c r="D17982" s="4">
        <f>IFERROR(__xludf.DUMMYFUNCTION("""COMPUTED_VALUE"""),12.92452)</f>
        <v>12.92452</v>
      </c>
      <c r="E17982" s="4">
        <f>IFERROR(__xludf.DUMMYFUNCTION("""COMPUTED_VALUE"""),80.115709)</f>
        <v>80.115709</v>
      </c>
      <c r="F17982" s="4">
        <f>IFERROR(__xludf.DUMMYFUNCTION("""COMPUTED_VALUE"""),805.0)</f>
        <v>805</v>
      </c>
      <c r="G17982" s="4">
        <f>IFERROR(__xludf.DUMMYFUNCTION("""COMPUTED_VALUE"""),45.0)</f>
        <v>45</v>
      </c>
      <c r="H17982" s="4"/>
      <c r="I17982" s="4"/>
    </row>
    <row r="17983">
      <c r="A17983" s="4" t="str">
        <f>IFERROR(__xludf.DUMMYFUNCTION("""COMPUTED_VALUE"""),"cas_hmw")</f>
        <v>cas_hmw</v>
      </c>
      <c r="B17983" s="5">
        <f>IFERROR(__xludf.DUMMYFUNCTION("""COMPUTED_VALUE"""),44742.0)</f>
        <v>44742</v>
      </c>
      <c r="C17983" s="6">
        <f>IFERROR(__xludf.DUMMYFUNCTION("""COMPUTED_VALUE"""),0.3496643518519704)</f>
        <v>0.3496643519</v>
      </c>
      <c r="D17983" s="4">
        <f>IFERROR(__xludf.DUMMYFUNCTION("""COMPUTED_VALUE"""),12.918598)</f>
        <v>12.918598</v>
      </c>
      <c r="E17983" s="4">
        <f>IFERROR(__xludf.DUMMYFUNCTION("""COMPUTED_VALUE"""),80.109345)</f>
        <v>80.109345</v>
      </c>
      <c r="F17983" s="4">
        <f>IFERROR(__xludf.DUMMYFUNCTION("""COMPUTED_VALUE"""),805.0)</f>
        <v>805</v>
      </c>
      <c r="G17983" s="4">
        <f>IFERROR(__xludf.DUMMYFUNCTION("""COMPUTED_VALUE"""),53.0)</f>
        <v>53</v>
      </c>
      <c r="H17983" s="4"/>
      <c r="I17983" s="4"/>
    </row>
    <row r="17984">
      <c r="A17984" s="4" t="str">
        <f>IFERROR(__xludf.DUMMYFUNCTION("""COMPUTED_VALUE"""),"cas_hmw")</f>
        <v>cas_hmw</v>
      </c>
      <c r="B17984" s="5">
        <f>IFERROR(__xludf.DUMMYFUNCTION("""COMPUTED_VALUE"""),44742.0)</f>
        <v>44742</v>
      </c>
      <c r="C17984" s="6">
        <f>IFERROR(__xludf.DUMMYFUNCTION("""COMPUTED_VALUE"""),0.3497337962980964)</f>
        <v>0.3497337963</v>
      </c>
      <c r="D17984" s="4">
        <f>IFERROR(__xludf.DUMMYFUNCTION("""COMPUTED_VALUE"""),12.918598)</f>
        <v>12.918598</v>
      </c>
      <c r="E17984" s="4">
        <f>IFERROR(__xludf.DUMMYFUNCTION("""COMPUTED_VALUE"""),80.109345)</f>
        <v>80.109345</v>
      </c>
      <c r="F17984" s="4">
        <f>IFERROR(__xludf.DUMMYFUNCTION("""COMPUTED_VALUE"""),805.0)</f>
        <v>805</v>
      </c>
      <c r="G17984" s="4">
        <f>IFERROR(__xludf.DUMMYFUNCTION("""COMPUTED_VALUE"""),53.0)</f>
        <v>53</v>
      </c>
      <c r="H17984" s="4"/>
      <c r="I17984" s="4"/>
    </row>
    <row r="17985">
      <c r="A17985" s="4" t="str">
        <f>IFERROR(__xludf.DUMMYFUNCTION("""COMPUTED_VALUE"""),"cas_hmw")</f>
        <v>cas_hmw</v>
      </c>
      <c r="B17985" s="5">
        <f>IFERROR(__xludf.DUMMYFUNCTION("""COMPUTED_VALUE"""),44742.0)</f>
        <v>44742</v>
      </c>
      <c r="C17985" s="6">
        <f>IFERROR(__xludf.DUMMYFUNCTION("""COMPUTED_VALUE"""),0.35013888888715883)</f>
        <v>0.3501388889</v>
      </c>
      <c r="D17985" s="4">
        <f>IFERROR(__xludf.DUMMYFUNCTION("""COMPUTED_VALUE"""),12.916489)</f>
        <v>12.916489</v>
      </c>
      <c r="E17985" s="4">
        <f>IFERROR(__xludf.DUMMYFUNCTION("""COMPUTED_VALUE"""),80.106293)</f>
        <v>80.106293</v>
      </c>
      <c r="F17985" s="4">
        <f>IFERROR(__xludf.DUMMYFUNCTION("""COMPUTED_VALUE"""),805.0)</f>
        <v>805</v>
      </c>
      <c r="G17985" s="4">
        <f>IFERROR(__xludf.DUMMYFUNCTION("""COMPUTED_VALUE"""),47.0)</f>
        <v>47</v>
      </c>
      <c r="H17985" s="4"/>
      <c r="I17985" s="4"/>
    </row>
    <row r="17986">
      <c r="A17986" s="4" t="str">
        <f>IFERROR(__xludf.DUMMYFUNCTION("""COMPUTED_VALUE"""),"cas_hmw")</f>
        <v>cas_hmw</v>
      </c>
      <c r="B17986" s="5">
        <f>IFERROR(__xludf.DUMMYFUNCTION("""COMPUTED_VALUE"""),44742.0)</f>
        <v>44742</v>
      </c>
      <c r="C17986" s="6">
        <f>IFERROR(__xludf.DUMMYFUNCTION("""COMPUTED_VALUE"""),0.35103009259182727)</f>
        <v>0.3510300926</v>
      </c>
      <c r="D17986" s="4">
        <f>IFERROR(__xludf.DUMMYFUNCTION("""COMPUTED_VALUE"""),12.911319)</f>
        <v>12.911319</v>
      </c>
      <c r="E17986" s="4">
        <f>IFERROR(__xludf.DUMMYFUNCTION("""COMPUTED_VALUE"""),80.101354)</f>
        <v>80.101354</v>
      </c>
      <c r="F17986" s="4">
        <f>IFERROR(__xludf.DUMMYFUNCTION("""COMPUTED_VALUE"""),805.0)</f>
        <v>805</v>
      </c>
      <c r="G17986" s="4">
        <f>IFERROR(__xludf.DUMMYFUNCTION("""COMPUTED_VALUE"""),38.0)</f>
        <v>38</v>
      </c>
      <c r="H17986" s="4"/>
      <c r="I17986" s="4"/>
    </row>
    <row r="17987">
      <c r="A17987" s="4" t="str">
        <f>IFERROR(__xludf.DUMMYFUNCTION("""COMPUTED_VALUE"""),"cas_hmw")</f>
        <v>cas_hmw</v>
      </c>
      <c r="B17987" s="5">
        <f>IFERROR(__xludf.DUMMYFUNCTION("""COMPUTED_VALUE"""),44742.0)</f>
        <v>44742</v>
      </c>
      <c r="C17987" s="6">
        <f>IFERROR(__xludf.DUMMYFUNCTION("""COMPUTED_VALUE"""),0.3511921296303626)</f>
        <v>0.3511921296</v>
      </c>
      <c r="D17987" s="4">
        <f>IFERROR(__xludf.DUMMYFUNCTION("""COMPUTED_VALUE"""),12.909568)</f>
        <v>12.909568</v>
      </c>
      <c r="E17987" s="4">
        <f>IFERROR(__xludf.DUMMYFUNCTION("""COMPUTED_VALUE"""),80.099709)</f>
        <v>80.099709</v>
      </c>
      <c r="F17987" s="4">
        <f>IFERROR(__xludf.DUMMYFUNCTION("""COMPUTED_VALUE"""),805.0)</f>
        <v>805</v>
      </c>
      <c r="G17987" s="4">
        <f>IFERROR(__xludf.DUMMYFUNCTION("""COMPUTED_VALUE"""),55.0)</f>
        <v>55</v>
      </c>
      <c r="H17987" s="4"/>
      <c r="I17987" s="4"/>
    </row>
    <row r="17988">
      <c r="A17988" s="4" t="str">
        <f>IFERROR(__xludf.DUMMYFUNCTION("""COMPUTED_VALUE"""),"cas_hmw")</f>
        <v>cas_hmw</v>
      </c>
      <c r="B17988" s="5">
        <f>IFERROR(__xludf.DUMMYFUNCTION("""COMPUTED_VALUE"""),44742.0)</f>
        <v>44742</v>
      </c>
      <c r="C17988" s="6">
        <f>IFERROR(__xludf.DUMMYFUNCTION("""COMPUTED_VALUE"""),0.3513078703690553)</f>
        <v>0.3513078704</v>
      </c>
      <c r="D17988" s="4">
        <f>IFERROR(__xludf.DUMMYFUNCTION("""COMPUTED_VALUE"""),12.909063)</f>
        <v>12.909063</v>
      </c>
      <c r="E17988" s="4">
        <f>IFERROR(__xludf.DUMMYFUNCTION("""COMPUTED_VALUE"""),80.098775)</f>
        <v>80.098775</v>
      </c>
      <c r="F17988" s="4">
        <f>IFERROR(__xludf.DUMMYFUNCTION("""COMPUTED_VALUE"""),805.0)</f>
        <v>805</v>
      </c>
      <c r="G17988" s="4">
        <f>IFERROR(__xludf.DUMMYFUNCTION("""COMPUTED_VALUE"""),32.0)</f>
        <v>32</v>
      </c>
      <c r="H17988" s="4"/>
      <c r="I17988" s="4"/>
    </row>
    <row r="17989">
      <c r="A17989" s="4" t="str">
        <f>IFERROR(__xludf.DUMMYFUNCTION("""COMPUTED_VALUE"""),"cas_hmw")</f>
        <v>cas_hmw</v>
      </c>
      <c r="B17989" s="5">
        <f>IFERROR(__xludf.DUMMYFUNCTION("""COMPUTED_VALUE"""),44742.0)</f>
        <v>44742</v>
      </c>
      <c r="C17989" s="6">
        <f>IFERROR(__xludf.DUMMYFUNCTION("""COMPUTED_VALUE"""),0.3513078703690553)</f>
        <v>0.3513078704</v>
      </c>
      <c r="D17989" s="4">
        <f>IFERROR(__xludf.DUMMYFUNCTION("""COMPUTED_VALUE"""),12.909063)</f>
        <v>12.909063</v>
      </c>
      <c r="E17989" s="4">
        <f>IFERROR(__xludf.DUMMYFUNCTION("""COMPUTED_VALUE"""),80.098775)</f>
        <v>80.098775</v>
      </c>
      <c r="F17989" s="4">
        <f>IFERROR(__xludf.DUMMYFUNCTION("""COMPUTED_VALUE"""),805.0)</f>
        <v>805</v>
      </c>
      <c r="G17989" s="4">
        <f>IFERROR(__xludf.DUMMYFUNCTION("""COMPUTED_VALUE"""),32.0)</f>
        <v>32</v>
      </c>
      <c r="H17989" s="4"/>
      <c r="I17989" s="4"/>
    </row>
    <row r="17990">
      <c r="A17990" s="4" t="str">
        <f>IFERROR(__xludf.DUMMYFUNCTION("""COMPUTED_VALUE"""),"cas_hmw")</f>
        <v>cas_hmw</v>
      </c>
      <c r="B17990" s="5">
        <f>IFERROR(__xludf.DUMMYFUNCTION("""COMPUTED_VALUE"""),44742.0)</f>
        <v>44742</v>
      </c>
      <c r="C17990" s="6">
        <f>IFERROR(__xludf.DUMMYFUNCTION("""COMPUTED_VALUE"""),0.3549421296302171)</f>
        <v>0.3549421296</v>
      </c>
      <c r="D17990" s="4">
        <f>IFERROR(__xludf.DUMMYFUNCTION("""COMPUTED_VALUE"""),12.884829)</f>
        <v>12.884829</v>
      </c>
      <c r="E17990" s="4">
        <f>IFERROR(__xludf.DUMMYFUNCTION("""COMPUTED_VALUE"""),80.082473)</f>
        <v>80.082473</v>
      </c>
      <c r="F17990" s="4">
        <f>IFERROR(__xludf.DUMMYFUNCTION("""COMPUTED_VALUE"""),805.0)</f>
        <v>805</v>
      </c>
      <c r="G17990" s="4">
        <f>IFERROR(__xludf.DUMMYFUNCTION("""COMPUTED_VALUE"""),52.0)</f>
        <v>52</v>
      </c>
      <c r="H17990" s="4"/>
      <c r="I17990" s="4"/>
    </row>
    <row r="17991">
      <c r="A17991" s="4" t="str">
        <f>IFERROR(__xludf.DUMMYFUNCTION("""COMPUTED_VALUE"""),"cas_hmw")</f>
        <v>cas_hmw</v>
      </c>
      <c r="B17991" s="5">
        <f>IFERROR(__xludf.DUMMYFUNCTION("""COMPUTED_VALUE"""),44742.0)</f>
        <v>44742</v>
      </c>
      <c r="C17991" s="6">
        <f>IFERROR(__xludf.DUMMYFUNCTION("""COMPUTED_VALUE"""),0.6719560185192677)</f>
        <v>0.6719560185</v>
      </c>
      <c r="D17991" s="4">
        <f>IFERROR(__xludf.DUMMYFUNCTION("""COMPUTED_VALUE"""),12.878154)</f>
        <v>12.878154</v>
      </c>
      <c r="E17991" s="4">
        <f>IFERROR(__xludf.DUMMYFUNCTION("""COMPUTED_VALUE"""),80.082779)</f>
        <v>80.082779</v>
      </c>
      <c r="F17991" s="4">
        <f>IFERROR(__xludf.DUMMYFUNCTION("""COMPUTED_VALUE"""),805.0)</f>
        <v>805</v>
      </c>
      <c r="G17991" s="4">
        <f>IFERROR(__xludf.DUMMYFUNCTION("""COMPUTED_VALUE"""),56.0)</f>
        <v>56</v>
      </c>
      <c r="H17991" s="4"/>
      <c r="I17991" s="4"/>
    </row>
    <row r="17992">
      <c r="A17992" s="4" t="str">
        <f>IFERROR(__xludf.DUMMYFUNCTION("""COMPUTED_VALUE"""),"cas_hmw")</f>
        <v>cas_hmw</v>
      </c>
      <c r="B17992" s="5">
        <f>IFERROR(__xludf.DUMMYFUNCTION("""COMPUTED_VALUE"""),44742.0)</f>
        <v>44742</v>
      </c>
      <c r="C17992" s="6">
        <f>IFERROR(__xludf.DUMMYFUNCTION("""COMPUTED_VALUE"""),0.67438657407547)</f>
        <v>0.6743865741</v>
      </c>
      <c r="D17992" s="4">
        <f>IFERROR(__xludf.DUMMYFUNCTION("""COMPUTED_VALUE"""),12.895958)</f>
        <v>12.895958</v>
      </c>
      <c r="E17992" s="4">
        <f>IFERROR(__xludf.DUMMYFUNCTION("""COMPUTED_VALUE"""),80.088362)</f>
        <v>80.088362</v>
      </c>
      <c r="F17992" s="4">
        <f>IFERROR(__xludf.DUMMYFUNCTION("""COMPUTED_VALUE"""),5339.0)</f>
        <v>5339</v>
      </c>
      <c r="G17992" s="4">
        <f>IFERROR(__xludf.DUMMYFUNCTION("""COMPUTED_VALUE"""),48.0)</f>
        <v>48</v>
      </c>
      <c r="H17992" s="4"/>
      <c r="I17992" s="4"/>
    </row>
    <row r="17993">
      <c r="A17993" s="4" t="str">
        <f>IFERROR(__xludf.DUMMYFUNCTION("""COMPUTED_VALUE"""),"cas_hmw")</f>
        <v>cas_hmw</v>
      </c>
      <c r="B17993" s="5">
        <f>IFERROR(__xludf.DUMMYFUNCTION("""COMPUTED_VALUE"""),44742.0)</f>
        <v>44742</v>
      </c>
      <c r="C17993" s="6">
        <f>IFERROR(__xludf.DUMMYFUNCTION("""COMPUTED_VALUE"""),0.674560185183509)</f>
        <v>0.6745601852</v>
      </c>
      <c r="D17993" s="4">
        <f>IFERROR(__xludf.DUMMYFUNCTION("""COMPUTED_VALUE"""),12.897056)</f>
        <v>12.897056</v>
      </c>
      <c r="E17993" s="4">
        <f>IFERROR(__xludf.DUMMYFUNCTION("""COMPUTED_VALUE"""),80.089125)</f>
        <v>80.089125</v>
      </c>
      <c r="F17993" s="4">
        <f>IFERROR(__xludf.DUMMYFUNCTION("""COMPUTED_VALUE"""),805.0)</f>
        <v>805</v>
      </c>
      <c r="G17993" s="4">
        <f>IFERROR(__xludf.DUMMYFUNCTION("""COMPUTED_VALUE"""),46.0)</f>
        <v>46</v>
      </c>
      <c r="H17993" s="4"/>
      <c r="I17993" s="4"/>
    </row>
    <row r="17994">
      <c r="A17994" s="4" t="str">
        <f>IFERROR(__xludf.DUMMYFUNCTION("""COMPUTED_VALUE"""),"cas_hmw")</f>
        <v>cas_hmw</v>
      </c>
      <c r="B17994" s="5">
        <f>IFERROR(__xludf.DUMMYFUNCTION("""COMPUTED_VALUE"""),44742.0)</f>
        <v>44742</v>
      </c>
      <c r="C17994" s="6">
        <f>IFERROR(__xludf.DUMMYFUNCTION("""COMPUTED_VALUE"""),0.6749074074068631)</f>
        <v>0.6749074074</v>
      </c>
      <c r="D17994" s="4">
        <f>IFERROR(__xludf.DUMMYFUNCTION("""COMPUTED_VALUE"""),12.90008)</f>
        <v>12.90008</v>
      </c>
      <c r="E17994" s="4">
        <f>IFERROR(__xludf.DUMMYFUNCTION("""COMPUTED_VALUE"""),80.09138)</f>
        <v>80.09138</v>
      </c>
      <c r="F17994" s="4">
        <f>IFERROR(__xludf.DUMMYFUNCTION("""COMPUTED_VALUE"""),805.0)</f>
        <v>805</v>
      </c>
      <c r="G17994" s="4">
        <f>IFERROR(__xludf.DUMMYFUNCTION("""COMPUTED_VALUE"""),52.0)</f>
        <v>52</v>
      </c>
      <c r="H17994" s="4"/>
      <c r="I17994" s="4"/>
    </row>
    <row r="17995">
      <c r="A17995" s="4" t="str">
        <f>IFERROR(__xludf.DUMMYFUNCTION("""COMPUTED_VALUE"""),"cas_hmw")</f>
        <v>cas_hmw</v>
      </c>
      <c r="B17995" s="5">
        <f>IFERROR(__xludf.DUMMYFUNCTION("""COMPUTED_VALUE"""),44742.0)</f>
        <v>44742</v>
      </c>
      <c r="C17995" s="6">
        <f>IFERROR(__xludf.DUMMYFUNCTION("""COMPUTED_VALUE"""),0.6749537037030677)</f>
        <v>0.6749537037</v>
      </c>
      <c r="D17995" s="4">
        <f>IFERROR(__xludf.DUMMYFUNCTION("""COMPUTED_VALUE"""),12.901131)</f>
        <v>12.901131</v>
      </c>
      <c r="E17995" s="4">
        <f>IFERROR(__xludf.DUMMYFUNCTION("""COMPUTED_VALUE"""),80.092191)</f>
        <v>80.092191</v>
      </c>
      <c r="F17995" s="4">
        <f>IFERROR(__xludf.DUMMYFUNCTION("""COMPUTED_VALUE"""),805.0)</f>
        <v>805</v>
      </c>
      <c r="G17995" s="4">
        <f>IFERROR(__xludf.DUMMYFUNCTION("""COMPUTED_VALUE"""),47.0)</f>
        <v>47</v>
      </c>
      <c r="H17995" s="4"/>
      <c r="I17995" s="4"/>
    </row>
    <row r="17996">
      <c r="A17996" s="4" t="str">
        <f>IFERROR(__xludf.DUMMYFUNCTION("""COMPUTED_VALUE"""),"cas_hmw")</f>
        <v>cas_hmw</v>
      </c>
      <c r="B17996" s="5">
        <f>IFERROR(__xludf.DUMMYFUNCTION("""COMPUTED_VALUE"""),44742.0)</f>
        <v>44742</v>
      </c>
      <c r="C17996" s="6">
        <f>IFERROR(__xludf.DUMMYFUNCTION("""COMPUTED_VALUE"""),0.6749768518529891)</f>
        <v>0.6749768519</v>
      </c>
      <c r="D17996" s="4">
        <f>IFERROR(__xludf.DUMMYFUNCTION("""COMPUTED_VALUE"""),12.901131)</f>
        <v>12.901131</v>
      </c>
      <c r="E17996" s="4">
        <f>IFERROR(__xludf.DUMMYFUNCTION("""COMPUTED_VALUE"""),80.092191)</f>
        <v>80.092191</v>
      </c>
      <c r="F17996" s="4">
        <f>IFERROR(__xludf.DUMMYFUNCTION("""COMPUTED_VALUE"""),805.0)</f>
        <v>805</v>
      </c>
      <c r="G17996" s="4">
        <f>IFERROR(__xludf.DUMMYFUNCTION("""COMPUTED_VALUE"""),47.0)</f>
        <v>47</v>
      </c>
      <c r="H17996" s="4"/>
      <c r="I17996" s="4"/>
    </row>
    <row r="17997">
      <c r="A17997" s="4" t="str">
        <f>IFERROR(__xludf.DUMMYFUNCTION("""COMPUTED_VALUE"""),"cas_hmw")</f>
        <v>cas_hmw</v>
      </c>
      <c r="B17997" s="5">
        <f>IFERROR(__xludf.DUMMYFUNCTION("""COMPUTED_VALUE"""),44742.0)</f>
        <v>44742</v>
      </c>
      <c r="C17997" s="6">
        <f>IFERROR(__xludf.DUMMYFUNCTION("""COMPUTED_VALUE"""),0.6749999999992724)</f>
        <v>0.675</v>
      </c>
      <c r="D17997" s="4">
        <f>IFERROR(__xludf.DUMMYFUNCTION("""COMPUTED_VALUE"""),12.900928)</f>
        <v>12.900928</v>
      </c>
      <c r="E17997" s="4">
        <f>IFERROR(__xludf.DUMMYFUNCTION("""COMPUTED_VALUE"""),80.092086)</f>
        <v>80.092086</v>
      </c>
      <c r="F17997" s="4">
        <f>IFERROR(__xludf.DUMMYFUNCTION("""COMPUTED_VALUE"""),5339.0)</f>
        <v>5339</v>
      </c>
      <c r="G17997" s="4">
        <f>IFERROR(__xludf.DUMMYFUNCTION("""COMPUTED_VALUE"""),51.0)</f>
        <v>51</v>
      </c>
      <c r="H17997" s="4"/>
      <c r="I17997" s="4"/>
    </row>
    <row r="17998">
      <c r="A17998" s="4" t="str">
        <f>IFERROR(__xludf.DUMMYFUNCTION("""COMPUTED_VALUE"""),"cas_hmw")</f>
        <v>cas_hmw</v>
      </c>
      <c r="B17998" s="5">
        <f>IFERROR(__xludf.DUMMYFUNCTION("""COMPUTED_VALUE"""),44742.0)</f>
        <v>44742</v>
      </c>
      <c r="C17998" s="6">
        <f>IFERROR(__xludf.DUMMYFUNCTION("""COMPUTED_VALUE"""),0.6750694444453984)</f>
        <v>0.6750694444</v>
      </c>
      <c r="D17998" s="4">
        <f>IFERROR(__xludf.DUMMYFUNCTION("""COMPUTED_VALUE"""),12.901764)</f>
        <v>12.901764</v>
      </c>
      <c r="E17998" s="4">
        <f>IFERROR(__xludf.DUMMYFUNCTION("""COMPUTED_VALUE"""),80.092707)</f>
        <v>80.092707</v>
      </c>
      <c r="F17998" s="4">
        <f>IFERROR(__xludf.DUMMYFUNCTION("""COMPUTED_VALUE"""),5339.0)</f>
        <v>5339</v>
      </c>
      <c r="G17998" s="4">
        <f>IFERROR(__xludf.DUMMYFUNCTION("""COMPUTED_VALUE"""),40.0)</f>
        <v>40</v>
      </c>
      <c r="H17998" s="4"/>
      <c r="I17998" s="4"/>
    </row>
    <row r="17999">
      <c r="A17999" s="4" t="str">
        <f>IFERROR(__xludf.DUMMYFUNCTION("""COMPUTED_VALUE"""),"cas_hmw")</f>
        <v>cas_hmw</v>
      </c>
      <c r="B17999" s="5">
        <f>IFERROR(__xludf.DUMMYFUNCTION("""COMPUTED_VALUE"""),44742.0)</f>
        <v>44742</v>
      </c>
      <c r="C17999" s="6">
        <f>IFERROR(__xludf.DUMMYFUNCTION("""COMPUTED_VALUE"""),0.6752314814802958)</f>
        <v>0.6752314815</v>
      </c>
      <c r="D17999" s="4">
        <f>IFERROR(__xludf.DUMMYFUNCTION("""COMPUTED_VALUE"""),12.902715)</f>
        <v>12.902715</v>
      </c>
      <c r="E17999" s="4">
        <f>IFERROR(__xludf.DUMMYFUNCTION("""COMPUTED_VALUE"""),80.093349)</f>
        <v>80.093349</v>
      </c>
      <c r="F17999" s="4">
        <f>IFERROR(__xludf.DUMMYFUNCTION("""COMPUTED_VALUE"""),805.0)</f>
        <v>805</v>
      </c>
      <c r="G17999" s="4">
        <f>IFERROR(__xludf.DUMMYFUNCTION("""COMPUTED_VALUE"""),44.0)</f>
        <v>44</v>
      </c>
      <c r="H17999" s="4"/>
      <c r="I17999" s="4"/>
    </row>
    <row r="18000">
      <c r="A18000" s="4" t="str">
        <f>IFERROR(__xludf.DUMMYFUNCTION("""COMPUTED_VALUE"""),"cas_hmw")</f>
        <v>cas_hmw</v>
      </c>
      <c r="B18000" s="5">
        <f>IFERROR(__xludf.DUMMYFUNCTION("""COMPUTED_VALUE"""),44742.0)</f>
        <v>44742</v>
      </c>
      <c r="C18000" s="6">
        <f>IFERROR(__xludf.DUMMYFUNCTION("""COMPUTED_VALUE"""),0.6758680555540195)</f>
        <v>0.6758680556</v>
      </c>
      <c r="D18000" s="4">
        <f>IFERROR(__xludf.DUMMYFUNCTION("""COMPUTED_VALUE"""),12.90737)</f>
        <v>12.90737</v>
      </c>
      <c r="E18000" s="4">
        <f>IFERROR(__xludf.DUMMYFUNCTION("""COMPUTED_VALUE"""),80.096901)</f>
        <v>80.096901</v>
      </c>
      <c r="F18000" s="4">
        <f>IFERROR(__xludf.DUMMYFUNCTION("""COMPUTED_VALUE"""),5339.0)</f>
        <v>5339</v>
      </c>
      <c r="G18000" s="4">
        <f>IFERROR(__xludf.DUMMYFUNCTION("""COMPUTED_VALUE"""),60.0)</f>
        <v>60</v>
      </c>
      <c r="H18000" s="4"/>
      <c r="I18000" s="4"/>
    </row>
    <row r="18001">
      <c r="A18001" s="4" t="str">
        <f>IFERROR(__xludf.DUMMYFUNCTION("""COMPUTED_VALUE"""),"cas_hmw")</f>
        <v>cas_hmw</v>
      </c>
      <c r="B18001" s="5">
        <f>IFERROR(__xludf.DUMMYFUNCTION("""COMPUTED_VALUE"""),44742.0)</f>
        <v>44742</v>
      </c>
      <c r="C18001" s="6">
        <f>IFERROR(__xludf.DUMMYFUNCTION("""COMPUTED_VALUE"""),0.6762384259272949)</f>
        <v>0.6762384259</v>
      </c>
      <c r="D18001" s="4">
        <f>IFERROR(__xludf.DUMMYFUNCTION("""COMPUTED_VALUE"""),12.9101)</f>
        <v>12.9101</v>
      </c>
      <c r="E18001" s="4">
        <f>IFERROR(__xludf.DUMMYFUNCTION("""COMPUTED_VALUE"""),80.100137)</f>
        <v>80.100137</v>
      </c>
      <c r="F18001" s="4">
        <f>IFERROR(__xludf.DUMMYFUNCTION("""COMPUTED_VALUE"""),5339.0)</f>
        <v>5339</v>
      </c>
      <c r="G18001" s="4">
        <f>IFERROR(__xludf.DUMMYFUNCTION("""COMPUTED_VALUE"""),45.0)</f>
        <v>45</v>
      </c>
      <c r="H18001" s="4"/>
      <c r="I18001" s="4"/>
    </row>
    <row r="18002">
      <c r="A18002" s="4" t="str">
        <f>IFERROR(__xludf.DUMMYFUNCTION("""COMPUTED_VALUE"""),"cas_hmw")</f>
        <v>cas_hmw</v>
      </c>
      <c r="B18002" s="5">
        <f>IFERROR(__xludf.DUMMYFUNCTION("""COMPUTED_VALUE"""),44742.0)</f>
        <v>44742</v>
      </c>
      <c r="C18002" s="6">
        <f>IFERROR(__xludf.DUMMYFUNCTION("""COMPUTED_VALUE"""),0.6768865740741603)</f>
        <v>0.6768865741</v>
      </c>
      <c r="D18002" s="4">
        <f>IFERROR(__xludf.DUMMYFUNCTION("""COMPUTED_VALUE"""),12.91447)</f>
        <v>12.91447</v>
      </c>
      <c r="E18002" s="4">
        <f>IFERROR(__xludf.DUMMYFUNCTION("""COMPUTED_VALUE"""),80.101721)</f>
        <v>80.101721</v>
      </c>
      <c r="F18002" s="4">
        <f>IFERROR(__xludf.DUMMYFUNCTION("""COMPUTED_VALUE"""),5339.0)</f>
        <v>5339</v>
      </c>
      <c r="G18002" s="4">
        <f>IFERROR(__xludf.DUMMYFUNCTION("""COMPUTED_VALUE"""),43.0)</f>
        <v>43</v>
      </c>
      <c r="H18002" s="4"/>
      <c r="I18002" s="4"/>
    </row>
    <row r="18003">
      <c r="A18003" s="4" t="str">
        <f>IFERROR(__xludf.DUMMYFUNCTION("""COMPUTED_VALUE"""),"cas_hmw")</f>
        <v>cas_hmw</v>
      </c>
      <c r="B18003" s="5">
        <f>IFERROR(__xludf.DUMMYFUNCTION("""COMPUTED_VALUE"""),44742.0)</f>
        <v>44742</v>
      </c>
      <c r="C18003" s="6">
        <f>IFERROR(__xludf.DUMMYFUNCTION("""COMPUTED_VALUE"""),0.6769097222204437)</f>
        <v>0.6769097222</v>
      </c>
      <c r="D18003" s="4">
        <f>IFERROR(__xludf.DUMMYFUNCTION("""COMPUTED_VALUE"""),12.915107)</f>
        <v>12.915107</v>
      </c>
      <c r="E18003" s="4">
        <f>IFERROR(__xludf.DUMMYFUNCTION("""COMPUTED_VALUE"""),80.102122)</f>
        <v>80.102122</v>
      </c>
      <c r="F18003" s="4">
        <f>IFERROR(__xludf.DUMMYFUNCTION("""COMPUTED_VALUE"""),805.0)</f>
        <v>805</v>
      </c>
      <c r="G18003" s="4">
        <f>IFERROR(__xludf.DUMMYFUNCTION("""COMPUTED_VALUE"""),56.0)</f>
        <v>56</v>
      </c>
      <c r="H18003" s="4"/>
      <c r="I18003" s="4"/>
    </row>
    <row r="18004">
      <c r="A18004" s="4" t="str">
        <f>IFERROR(__xludf.DUMMYFUNCTION("""COMPUTED_VALUE"""),"cas_hmw")</f>
        <v>cas_hmw</v>
      </c>
      <c r="B18004" s="5">
        <f>IFERROR(__xludf.DUMMYFUNCTION("""COMPUTED_VALUE"""),44742.0)</f>
        <v>44742</v>
      </c>
      <c r="C18004" s="6">
        <f>IFERROR(__xludf.DUMMYFUNCTION("""COMPUTED_VALUE"""),0.6769907407397113)</f>
        <v>0.6769907407</v>
      </c>
      <c r="D18004" s="4">
        <f>IFERROR(__xludf.DUMMYFUNCTION("""COMPUTED_VALUE"""),12.915107)</f>
        <v>12.915107</v>
      </c>
      <c r="E18004" s="4">
        <f>IFERROR(__xludf.DUMMYFUNCTION("""COMPUTED_VALUE"""),80.102122)</f>
        <v>80.102122</v>
      </c>
      <c r="F18004" s="4">
        <f>IFERROR(__xludf.DUMMYFUNCTION("""COMPUTED_VALUE"""),805.0)</f>
        <v>805</v>
      </c>
      <c r="G18004" s="4">
        <f>IFERROR(__xludf.DUMMYFUNCTION("""COMPUTED_VALUE"""),56.0)</f>
        <v>56</v>
      </c>
      <c r="H18004" s="4"/>
      <c r="I18004" s="4"/>
    </row>
    <row r="18005">
      <c r="A18005" s="4" t="str">
        <f>IFERROR(__xludf.DUMMYFUNCTION("""COMPUTED_VALUE"""),"cas_hmw")</f>
        <v>cas_hmw</v>
      </c>
      <c r="B18005" s="5">
        <f>IFERROR(__xludf.DUMMYFUNCTION("""COMPUTED_VALUE"""),44742.0)</f>
        <v>44742</v>
      </c>
      <c r="C18005" s="6">
        <f>IFERROR(__xludf.DUMMYFUNCTION("""COMPUTED_VALUE"""),0.677453703705396)</f>
        <v>0.6774537037</v>
      </c>
      <c r="D18005" s="4">
        <f>IFERROR(__xludf.DUMMYFUNCTION("""COMPUTED_VALUE"""),12.91734)</f>
        <v>12.91734</v>
      </c>
      <c r="E18005" s="4">
        <f>IFERROR(__xludf.DUMMYFUNCTION("""COMPUTED_VALUE"""),80.107726)</f>
        <v>80.107726</v>
      </c>
      <c r="F18005" s="4">
        <f>IFERROR(__xludf.DUMMYFUNCTION("""COMPUTED_VALUE"""),5339.0)</f>
        <v>5339</v>
      </c>
      <c r="G18005" s="4">
        <f>IFERROR(__xludf.DUMMYFUNCTION("""COMPUTED_VALUE"""),50.0)</f>
        <v>50</v>
      </c>
      <c r="H18005" s="4"/>
      <c r="I18005" s="4"/>
    </row>
    <row r="18006">
      <c r="A18006" s="4" t="str">
        <f>IFERROR(__xludf.DUMMYFUNCTION("""COMPUTED_VALUE"""),"cas_hmw")</f>
        <v>cas_hmw</v>
      </c>
      <c r="B18006" s="5">
        <f>IFERROR(__xludf.DUMMYFUNCTION("""COMPUTED_VALUE"""),44742.0)</f>
        <v>44742</v>
      </c>
      <c r="C18006" s="6">
        <f>IFERROR(__xludf.DUMMYFUNCTION("""COMPUTED_VALUE"""),0.6774884259248211)</f>
        <v>0.6774884259</v>
      </c>
      <c r="D18006" s="4">
        <f>IFERROR(__xludf.DUMMYFUNCTION("""COMPUTED_VALUE"""),12.917714)</f>
        <v>12.917714</v>
      </c>
      <c r="E18006" s="4">
        <f>IFERROR(__xludf.DUMMYFUNCTION("""COMPUTED_VALUE"""),80.108142)</f>
        <v>80.108142</v>
      </c>
      <c r="F18006" s="4">
        <f>IFERROR(__xludf.DUMMYFUNCTION("""COMPUTED_VALUE"""),805.0)</f>
        <v>805</v>
      </c>
      <c r="G18006" s="4">
        <f>IFERROR(__xludf.DUMMYFUNCTION("""COMPUTED_VALUE"""),38.0)</f>
        <v>38</v>
      </c>
      <c r="H18006" s="4"/>
      <c r="I18006" s="4"/>
    </row>
    <row r="18007">
      <c r="A18007" s="4" t="str">
        <f>IFERROR(__xludf.DUMMYFUNCTION("""COMPUTED_VALUE"""),"cas_hmw")</f>
        <v>cas_hmw</v>
      </c>
      <c r="B18007" s="5">
        <f>IFERROR(__xludf.DUMMYFUNCTION("""COMPUTED_VALUE"""),44742.0)</f>
        <v>44742</v>
      </c>
      <c r="C18007" s="6">
        <f>IFERROR(__xludf.DUMMYFUNCTION("""COMPUTED_VALUE"""),0.6776504629633564)</f>
        <v>0.677650463</v>
      </c>
      <c r="D18007" s="4">
        <f>IFERROR(__xludf.DUMMYFUNCTION("""COMPUTED_VALUE"""),12.918404)</f>
        <v>12.918404</v>
      </c>
      <c r="E18007" s="4">
        <f>IFERROR(__xludf.DUMMYFUNCTION("""COMPUTED_VALUE"""),80.108961)</f>
        <v>80.108961</v>
      </c>
      <c r="F18007" s="4">
        <f>IFERROR(__xludf.DUMMYFUNCTION("""COMPUTED_VALUE"""),805.0)</f>
        <v>805</v>
      </c>
      <c r="G18007" s="4">
        <f>IFERROR(__xludf.DUMMYFUNCTION("""COMPUTED_VALUE"""),41.0)</f>
        <v>41</v>
      </c>
      <c r="H18007" s="4"/>
      <c r="I18007" s="4"/>
    </row>
    <row r="18008">
      <c r="A18008" s="4" t="str">
        <f>IFERROR(__xludf.DUMMYFUNCTION("""COMPUTED_VALUE"""),"cas_hmw")</f>
        <v>cas_hmw</v>
      </c>
      <c r="B18008" s="5">
        <f>IFERROR(__xludf.DUMMYFUNCTION("""COMPUTED_VALUE"""),44742.0)</f>
        <v>44742</v>
      </c>
      <c r="C18008" s="6">
        <f>IFERROR(__xludf.DUMMYFUNCTION("""COMPUTED_VALUE"""),0.6778472222213168)</f>
        <v>0.6778472222</v>
      </c>
      <c r="D18008" s="4">
        <f>IFERROR(__xludf.DUMMYFUNCTION("""COMPUTED_VALUE"""),12.919481)</f>
        <v>12.919481</v>
      </c>
      <c r="E18008" s="4">
        <f>IFERROR(__xludf.DUMMYFUNCTION("""COMPUTED_VALUE"""),80.110387)</f>
        <v>80.110387</v>
      </c>
      <c r="F18008" s="4">
        <f>IFERROR(__xludf.DUMMYFUNCTION("""COMPUTED_VALUE"""),5339.0)</f>
        <v>5339</v>
      </c>
      <c r="G18008" s="4">
        <f>IFERROR(__xludf.DUMMYFUNCTION("""COMPUTED_VALUE"""),49.0)</f>
        <v>49</v>
      </c>
      <c r="H18008" s="4"/>
      <c r="I18008" s="4"/>
    </row>
    <row r="18009">
      <c r="A18009" s="4" t="str">
        <f>IFERROR(__xludf.DUMMYFUNCTION("""COMPUTED_VALUE"""),"cas_hmw")</f>
        <v>cas_hmw</v>
      </c>
      <c r="B18009" s="5">
        <f>IFERROR(__xludf.DUMMYFUNCTION("""COMPUTED_VALUE"""),44742.0)</f>
        <v>44742</v>
      </c>
      <c r="C18009" s="6">
        <f>IFERROR(__xludf.DUMMYFUNCTION("""COMPUTED_VALUE"""),0.6778472222213168)</f>
        <v>0.6778472222</v>
      </c>
      <c r="D18009" s="4">
        <f>IFERROR(__xludf.DUMMYFUNCTION("""COMPUTED_VALUE"""),12.919968)</f>
        <v>12.919968</v>
      </c>
      <c r="E18009" s="4">
        <f>IFERROR(__xludf.DUMMYFUNCTION("""COMPUTED_VALUE"""),80.110944)</f>
        <v>80.110944</v>
      </c>
      <c r="F18009" s="4">
        <f>IFERROR(__xludf.DUMMYFUNCTION("""COMPUTED_VALUE"""),805.0)</f>
        <v>805</v>
      </c>
      <c r="G18009" s="4">
        <f>IFERROR(__xludf.DUMMYFUNCTION("""COMPUTED_VALUE"""),51.0)</f>
        <v>51</v>
      </c>
      <c r="H18009" s="4"/>
      <c r="I18009" s="4"/>
    </row>
    <row r="18010">
      <c r="A18010" s="4" t="str">
        <f>IFERROR(__xludf.DUMMYFUNCTION("""COMPUTED_VALUE"""),"cas_hmw")</f>
        <v>cas_hmw</v>
      </c>
      <c r="B18010" s="5">
        <f>IFERROR(__xludf.DUMMYFUNCTION("""COMPUTED_VALUE"""),44742.0)</f>
        <v>44742</v>
      </c>
      <c r="C18010" s="6">
        <f>IFERROR(__xludf.DUMMYFUNCTION("""COMPUTED_VALUE"""),0.6783796296294895)</f>
        <v>0.6783796296</v>
      </c>
      <c r="D18010" s="4">
        <f>IFERROR(__xludf.DUMMYFUNCTION("""COMPUTED_VALUE"""),12.924108)</f>
        <v>12.924108</v>
      </c>
      <c r="E18010" s="4">
        <f>IFERROR(__xludf.DUMMYFUNCTION("""COMPUTED_VALUE"""),80.115197)</f>
        <v>80.115197</v>
      </c>
      <c r="F18010" s="4">
        <f>IFERROR(__xludf.DUMMYFUNCTION("""COMPUTED_VALUE"""),5339.0)</f>
        <v>5339</v>
      </c>
      <c r="G18010" s="4">
        <f>IFERROR(__xludf.DUMMYFUNCTION("""COMPUTED_VALUE"""),52.0)</f>
        <v>52</v>
      </c>
      <c r="H18010" s="4"/>
      <c r="I18010" s="4"/>
    </row>
    <row r="18011">
      <c r="A18011" s="4" t="str">
        <f>IFERROR(__xludf.DUMMYFUNCTION("""COMPUTED_VALUE"""),"cas_hmw")</f>
        <v>cas_hmw</v>
      </c>
      <c r="B18011" s="5">
        <f>IFERROR(__xludf.DUMMYFUNCTION("""COMPUTED_VALUE"""),44742.0)</f>
        <v>44742</v>
      </c>
      <c r="C18011" s="6">
        <f>IFERROR(__xludf.DUMMYFUNCTION("""COMPUTED_VALUE"""),0.6785763888874499)</f>
        <v>0.6785763889</v>
      </c>
      <c r="D18011" s="4">
        <f>IFERROR(__xludf.DUMMYFUNCTION("""COMPUTED_VALUE"""),12.847754)</f>
        <v>12.847754</v>
      </c>
      <c r="E18011" s="4">
        <f>IFERROR(__xludf.DUMMYFUNCTION("""COMPUTED_VALUE"""),80.063266)</f>
        <v>80.063266</v>
      </c>
      <c r="F18011" s="4">
        <f>IFERROR(__xludf.DUMMYFUNCTION("""COMPUTED_VALUE"""),2846.0)</f>
        <v>2846</v>
      </c>
      <c r="G18011" s="4">
        <f>IFERROR(__xludf.DUMMYFUNCTION("""COMPUTED_VALUE"""),48.0)</f>
        <v>48</v>
      </c>
      <c r="H18011" s="4"/>
      <c r="I18011" s="4"/>
    </row>
    <row r="18012">
      <c r="A18012" s="4" t="str">
        <f>IFERROR(__xludf.DUMMYFUNCTION("""COMPUTED_VALUE"""),"cas_hmw")</f>
        <v>cas_hmw</v>
      </c>
      <c r="B18012" s="5">
        <f>IFERROR(__xludf.DUMMYFUNCTION("""COMPUTED_VALUE"""),44742.0)</f>
        <v>44742</v>
      </c>
      <c r="C18012" s="6">
        <f>IFERROR(__xludf.DUMMYFUNCTION("""COMPUTED_VALUE"""),0.6785879629642295)</f>
        <v>0.678587963</v>
      </c>
      <c r="D18012" s="4">
        <f>IFERROR(__xludf.DUMMYFUNCTION("""COMPUTED_VALUE"""),12.925408)</f>
        <v>12.925408</v>
      </c>
      <c r="E18012" s="4">
        <f>IFERROR(__xludf.DUMMYFUNCTION("""COMPUTED_VALUE"""),80.116502)</f>
        <v>80.116502</v>
      </c>
      <c r="F18012" s="4">
        <f>IFERROR(__xludf.DUMMYFUNCTION("""COMPUTED_VALUE"""),805.0)</f>
        <v>805</v>
      </c>
      <c r="G18012" s="4">
        <f>IFERROR(__xludf.DUMMYFUNCTION("""COMPUTED_VALUE"""),52.0)</f>
        <v>52</v>
      </c>
      <c r="H18012" s="4"/>
      <c r="I18012" s="4"/>
    </row>
    <row r="18013">
      <c r="A18013" s="4" t="str">
        <f>IFERROR(__xludf.DUMMYFUNCTION("""COMPUTED_VALUE"""),"cas_hmw")</f>
        <v>cas_hmw</v>
      </c>
      <c r="B18013" s="5">
        <f>IFERROR(__xludf.DUMMYFUNCTION("""COMPUTED_VALUE"""),44742.0)</f>
        <v>44742</v>
      </c>
      <c r="C18013" s="6">
        <f>IFERROR(__xludf.DUMMYFUNCTION("""COMPUTED_VALUE"""),0.6785879629642295)</f>
        <v>0.678587963</v>
      </c>
      <c r="D18013" s="4">
        <f>IFERROR(__xludf.DUMMYFUNCTION("""COMPUTED_VALUE"""),12.924982)</f>
        <v>12.924982</v>
      </c>
      <c r="E18013" s="4">
        <f>IFERROR(__xludf.DUMMYFUNCTION("""COMPUTED_VALUE"""),80.116068)</f>
        <v>80.116068</v>
      </c>
      <c r="F18013" s="4">
        <f>IFERROR(__xludf.DUMMYFUNCTION("""COMPUTED_VALUE"""),5339.0)</f>
        <v>5339</v>
      </c>
      <c r="G18013" s="4">
        <f>IFERROR(__xludf.DUMMYFUNCTION("""COMPUTED_VALUE"""),48.0)</f>
        <v>48</v>
      </c>
      <c r="H18013" s="4"/>
      <c r="I18013" s="4"/>
    </row>
    <row r="18014">
      <c r="A18014" s="4" t="str">
        <f>IFERROR(__xludf.DUMMYFUNCTION("""COMPUTED_VALUE"""),"cas_hmw")</f>
        <v>cas_hmw</v>
      </c>
      <c r="B18014" s="5">
        <f>IFERROR(__xludf.DUMMYFUNCTION("""COMPUTED_VALUE"""),44742.0)</f>
        <v>44742</v>
      </c>
      <c r="C18014" s="6">
        <f>IFERROR(__xludf.DUMMYFUNCTION("""COMPUTED_VALUE"""),0.6791203703687643)</f>
        <v>0.6791203704</v>
      </c>
      <c r="D18014" s="4">
        <f>IFERROR(__xludf.DUMMYFUNCTION("""COMPUTED_VALUE"""),12.838737)</f>
        <v>12.838737</v>
      </c>
      <c r="E18014" s="4">
        <f>IFERROR(__xludf.DUMMYFUNCTION("""COMPUTED_VALUE"""),80.054387)</f>
        <v>80.054387</v>
      </c>
      <c r="F18014" s="4">
        <f>IFERROR(__xludf.DUMMYFUNCTION("""COMPUTED_VALUE"""),2846.0)</f>
        <v>2846</v>
      </c>
      <c r="G18014" s="4">
        <f>IFERROR(__xludf.DUMMYFUNCTION("""COMPUTED_VALUE"""),43.0)</f>
        <v>43</v>
      </c>
      <c r="H18014" s="4"/>
      <c r="I18014" s="4"/>
    </row>
    <row r="18015">
      <c r="A18015" s="4" t="str">
        <f>IFERROR(__xludf.DUMMYFUNCTION("""COMPUTED_VALUE"""),"cas_hmw")</f>
        <v>cas_hmw</v>
      </c>
      <c r="B18015" s="5">
        <f>IFERROR(__xludf.DUMMYFUNCTION("""COMPUTED_VALUE"""),44742.0)</f>
        <v>44742</v>
      </c>
      <c r="C18015" s="6">
        <f>IFERROR(__xludf.DUMMYFUNCTION("""COMPUTED_VALUE"""),0.6793171296303626)</f>
        <v>0.6793171296</v>
      </c>
      <c r="D18015" s="4">
        <f>IFERROR(__xludf.DUMMYFUNCTION("""COMPUTED_VALUE"""),12.926109)</f>
        <v>12.926109</v>
      </c>
      <c r="E18015" s="4">
        <f>IFERROR(__xludf.DUMMYFUNCTION("""COMPUTED_VALUE"""),80.117224)</f>
        <v>80.117224</v>
      </c>
      <c r="F18015" s="4">
        <f>IFERROR(__xludf.DUMMYFUNCTION("""COMPUTED_VALUE"""),805.0)</f>
        <v>805</v>
      </c>
      <c r="G18015" s="4">
        <f>IFERROR(__xludf.DUMMYFUNCTION("""COMPUTED_VALUE"""),21.0)</f>
        <v>21</v>
      </c>
      <c r="H18015" s="4"/>
      <c r="I18015" s="4"/>
    </row>
    <row r="18016">
      <c r="A18016" s="4" t="str">
        <f>IFERROR(__xludf.DUMMYFUNCTION("""COMPUTED_VALUE"""),"cas_hmw")</f>
        <v>cas_hmw</v>
      </c>
      <c r="B18016" s="5">
        <f>IFERROR(__xludf.DUMMYFUNCTION("""COMPUTED_VALUE"""),44742.0)</f>
        <v>44742</v>
      </c>
      <c r="C18016" s="6">
        <f>IFERROR(__xludf.DUMMYFUNCTION("""COMPUTED_VALUE"""),0.679374999999709)</f>
        <v>0.679375</v>
      </c>
      <c r="D18016" s="4">
        <f>IFERROR(__xludf.DUMMYFUNCTION("""COMPUTED_VALUE"""),12.927037)</f>
        <v>12.927037</v>
      </c>
      <c r="E18016" s="4">
        <f>IFERROR(__xludf.DUMMYFUNCTION("""COMPUTED_VALUE"""),80.11815)</f>
        <v>80.11815</v>
      </c>
      <c r="F18016" s="4">
        <f>IFERROR(__xludf.DUMMYFUNCTION("""COMPUTED_VALUE"""),5339.0)</f>
        <v>5339</v>
      </c>
      <c r="G18016" s="4">
        <f>IFERROR(__xludf.DUMMYFUNCTION("""COMPUTED_VALUE"""),18.0)</f>
        <v>18</v>
      </c>
      <c r="H18016" s="4"/>
      <c r="I18016" s="4"/>
    </row>
    <row r="18017">
      <c r="A18017" s="4" t="str">
        <f>IFERROR(__xludf.DUMMYFUNCTION("""COMPUTED_VALUE"""),"cas_hmw")</f>
        <v>cas_hmw</v>
      </c>
      <c r="B18017" s="5">
        <f>IFERROR(__xludf.DUMMYFUNCTION("""COMPUTED_VALUE"""),44742.0)</f>
        <v>44742</v>
      </c>
      <c r="C18017" s="6">
        <f>IFERROR(__xludf.DUMMYFUNCTION("""COMPUTED_VALUE"""),0.6794560185189766)</f>
        <v>0.6794560185</v>
      </c>
      <c r="D18017" s="4">
        <f>IFERROR(__xludf.DUMMYFUNCTION("""COMPUTED_VALUE"""),12.927465)</f>
        <v>12.927465</v>
      </c>
      <c r="E18017" s="4">
        <f>IFERROR(__xludf.DUMMYFUNCTION("""COMPUTED_VALUE"""),80.118592)</f>
        <v>80.118592</v>
      </c>
      <c r="F18017" s="4">
        <f>IFERROR(__xludf.DUMMYFUNCTION("""COMPUTED_VALUE"""),5339.0)</f>
        <v>5339</v>
      </c>
      <c r="G18017" s="4">
        <f>IFERROR(__xludf.DUMMYFUNCTION("""COMPUTED_VALUE"""),31.0)</f>
        <v>31</v>
      </c>
      <c r="H18017" s="4"/>
      <c r="I18017" s="4"/>
    </row>
    <row r="18018">
      <c r="A18018" s="4" t="str">
        <f>IFERROR(__xludf.DUMMYFUNCTION("""COMPUTED_VALUE"""),"cas_hmw")</f>
        <v>cas_hmw</v>
      </c>
      <c r="B18018" s="5">
        <f>IFERROR(__xludf.DUMMYFUNCTION("""COMPUTED_VALUE"""),44742.0)</f>
        <v>44742</v>
      </c>
      <c r="C18018" s="6">
        <f>IFERROR(__xludf.DUMMYFUNCTION("""COMPUTED_VALUE"""),0.67947916666526)</f>
        <v>0.6794791667</v>
      </c>
      <c r="D18018" s="4">
        <f>IFERROR(__xludf.DUMMYFUNCTION("""COMPUTED_VALUE"""),12.927465)</f>
        <v>12.927465</v>
      </c>
      <c r="E18018" s="4">
        <f>IFERROR(__xludf.DUMMYFUNCTION("""COMPUTED_VALUE"""),80.118592)</f>
        <v>80.118592</v>
      </c>
      <c r="F18018" s="4">
        <f>IFERROR(__xludf.DUMMYFUNCTION("""COMPUTED_VALUE"""),5339.0)</f>
        <v>5339</v>
      </c>
      <c r="G18018" s="4">
        <f>IFERROR(__xludf.DUMMYFUNCTION("""COMPUTED_VALUE"""),31.0)</f>
        <v>31</v>
      </c>
      <c r="H18018" s="4"/>
      <c r="I18018" s="4"/>
    </row>
    <row r="18019">
      <c r="A18019" s="4" t="str">
        <f>IFERROR(__xludf.DUMMYFUNCTION("""COMPUTED_VALUE"""),"cas_hmw")</f>
        <v>cas_hmw</v>
      </c>
      <c r="B18019" s="5">
        <f>IFERROR(__xludf.DUMMYFUNCTION("""COMPUTED_VALUE"""),44742.0)</f>
        <v>44742</v>
      </c>
      <c r="C18019" s="6">
        <f>IFERROR(__xludf.DUMMYFUNCTION("""COMPUTED_VALUE"""),0.6795254629614647)</f>
        <v>0.679525463</v>
      </c>
      <c r="D18019" s="4">
        <f>IFERROR(__xludf.DUMMYFUNCTION("""COMPUTED_VALUE"""),12.926109)</f>
        <v>12.926109</v>
      </c>
      <c r="E18019" s="4">
        <f>IFERROR(__xludf.DUMMYFUNCTION("""COMPUTED_VALUE"""),80.117224)</f>
        <v>80.117224</v>
      </c>
      <c r="F18019" s="4">
        <f>IFERROR(__xludf.DUMMYFUNCTION("""COMPUTED_VALUE"""),805.0)</f>
        <v>805</v>
      </c>
      <c r="G18019" s="4">
        <f>IFERROR(__xludf.DUMMYFUNCTION("""COMPUTED_VALUE"""),21.0)</f>
        <v>21</v>
      </c>
      <c r="H18019" s="4"/>
      <c r="I18019" s="4"/>
    </row>
    <row r="18020">
      <c r="A18020" s="4" t="str">
        <f>IFERROR(__xludf.DUMMYFUNCTION("""COMPUTED_VALUE"""),"cas_hmw")</f>
        <v>cas_hmw</v>
      </c>
      <c r="B18020" s="5">
        <f>IFERROR(__xludf.DUMMYFUNCTION("""COMPUTED_VALUE"""),44742.0)</f>
        <v>44742</v>
      </c>
      <c r="C18020" s="6">
        <f>IFERROR(__xludf.DUMMYFUNCTION("""COMPUTED_VALUE"""),0.679652777776937)</f>
        <v>0.6796527778</v>
      </c>
      <c r="D18020" s="4">
        <f>IFERROR(__xludf.DUMMYFUNCTION("""COMPUTED_VALUE"""),12.928944)</f>
        <v>12.928944</v>
      </c>
      <c r="E18020" s="4">
        <f>IFERROR(__xludf.DUMMYFUNCTION("""COMPUTED_VALUE"""),80.120048)</f>
        <v>80.120048</v>
      </c>
      <c r="F18020" s="4">
        <f>IFERROR(__xludf.DUMMYFUNCTION("""COMPUTED_VALUE"""),805.0)</f>
        <v>805</v>
      </c>
      <c r="G18020" s="4">
        <f>IFERROR(__xludf.DUMMYFUNCTION("""COMPUTED_VALUE"""),36.0)</f>
        <v>36</v>
      </c>
      <c r="H18020" s="4"/>
      <c r="I18020" s="4"/>
    </row>
    <row r="18021">
      <c r="A18021" s="4" t="str">
        <f>IFERROR(__xludf.DUMMYFUNCTION("""COMPUTED_VALUE"""),"cas_hmw")</f>
        <v>cas_hmw</v>
      </c>
      <c r="B18021" s="5">
        <f>IFERROR(__xludf.DUMMYFUNCTION("""COMPUTED_VALUE"""),44742.0)</f>
        <v>44742</v>
      </c>
      <c r="C18021" s="6">
        <f>IFERROR(__xludf.DUMMYFUNCTION("""COMPUTED_VALUE"""),0.679930555554165)</f>
        <v>0.6799305556</v>
      </c>
      <c r="D18021" s="4">
        <f>IFERROR(__xludf.DUMMYFUNCTION("""COMPUTED_VALUE"""),12.831912)</f>
        <v>12.831912</v>
      </c>
      <c r="E18021" s="4">
        <f>IFERROR(__xludf.DUMMYFUNCTION("""COMPUTED_VALUE"""),80.04718)</f>
        <v>80.04718</v>
      </c>
      <c r="F18021" s="4">
        <f>IFERROR(__xludf.DUMMYFUNCTION("""COMPUTED_VALUE"""),2846.0)</f>
        <v>2846</v>
      </c>
      <c r="G18021" s="4">
        <f>IFERROR(__xludf.DUMMYFUNCTION("""COMPUTED_VALUE"""),55.0)</f>
        <v>55</v>
      </c>
      <c r="H18021" s="4"/>
      <c r="I18021" s="4"/>
    </row>
    <row r="18022">
      <c r="A18022" s="4" t="str">
        <f>IFERROR(__xludf.DUMMYFUNCTION("""COMPUTED_VALUE"""),"cas_hmw")</f>
        <v>cas_hmw</v>
      </c>
      <c r="B18022" s="5">
        <f>IFERROR(__xludf.DUMMYFUNCTION("""COMPUTED_VALUE"""),44742.0)</f>
        <v>44742</v>
      </c>
      <c r="C18022" s="6">
        <f>IFERROR(__xludf.DUMMYFUNCTION("""COMPUTED_VALUE"""),0.6804050925929914)</f>
        <v>0.6804050926</v>
      </c>
      <c r="D18022" s="4">
        <f>IFERROR(__xludf.DUMMYFUNCTION("""COMPUTED_VALUE"""),12.828791)</f>
        <v>12.828791</v>
      </c>
      <c r="E18022" s="4">
        <f>IFERROR(__xludf.DUMMYFUNCTION("""COMPUTED_VALUE"""),80.04389)</f>
        <v>80.04389</v>
      </c>
      <c r="F18022" s="4">
        <f>IFERROR(__xludf.DUMMYFUNCTION("""COMPUTED_VALUE"""),2846.0)</f>
        <v>2846</v>
      </c>
      <c r="G18022" s="4">
        <f>IFERROR(__xludf.DUMMYFUNCTION("""COMPUTED_VALUE"""),49.0)</f>
        <v>49</v>
      </c>
      <c r="H18022" s="4"/>
      <c r="I18022" s="4"/>
    </row>
    <row r="18023">
      <c r="A18023" s="4" t="str">
        <f>IFERROR(__xludf.DUMMYFUNCTION("""COMPUTED_VALUE"""),"cas_hmw")</f>
        <v>cas_hmw</v>
      </c>
      <c r="B18023" s="5">
        <f>IFERROR(__xludf.DUMMYFUNCTION("""COMPUTED_VALUE"""),44742.0)</f>
        <v>44742</v>
      </c>
      <c r="C18023" s="6">
        <f>IFERROR(__xludf.DUMMYFUNCTION("""COMPUTED_VALUE"""),0.6804976851854008)</f>
        <v>0.6804976852</v>
      </c>
      <c r="D18023" s="4">
        <f>IFERROR(__xludf.DUMMYFUNCTION("""COMPUTED_VALUE"""),12.930917)</f>
        <v>12.930917</v>
      </c>
      <c r="E18023" s="4">
        <f>IFERROR(__xludf.DUMMYFUNCTION("""COMPUTED_VALUE"""),80.122021)</f>
        <v>80.122021</v>
      </c>
      <c r="F18023" s="4">
        <f>IFERROR(__xludf.DUMMYFUNCTION("""COMPUTED_VALUE"""),805.0)</f>
        <v>805</v>
      </c>
      <c r="G18023" s="4">
        <f>IFERROR(__xludf.DUMMYFUNCTION("""COMPUTED_VALUE"""),42.0)</f>
        <v>42</v>
      </c>
      <c r="H18023" s="4"/>
      <c r="I18023" s="4"/>
    </row>
    <row r="18024">
      <c r="A18024" s="4" t="str">
        <f>IFERROR(__xludf.DUMMYFUNCTION("""COMPUTED_VALUE"""),"cas_hmw")</f>
        <v>cas_hmw</v>
      </c>
      <c r="B18024" s="5">
        <f>IFERROR(__xludf.DUMMYFUNCTION("""COMPUTED_VALUE"""),44742.0)</f>
        <v>44742</v>
      </c>
      <c r="C18024" s="6">
        <f>IFERROR(__xludf.DUMMYFUNCTION("""COMPUTED_VALUE"""),0.6805787037046684)</f>
        <v>0.6805787037</v>
      </c>
      <c r="D18024" s="4">
        <f>IFERROR(__xludf.DUMMYFUNCTION("""COMPUTED_VALUE"""),12.931846)</f>
        <v>12.931846</v>
      </c>
      <c r="E18024" s="4">
        <f>IFERROR(__xludf.DUMMYFUNCTION("""COMPUTED_VALUE"""),80.122973)</f>
        <v>80.122973</v>
      </c>
      <c r="F18024" s="4">
        <f>IFERROR(__xludf.DUMMYFUNCTION("""COMPUTED_VALUE"""),5339.0)</f>
        <v>5339</v>
      </c>
      <c r="G18024" s="4">
        <f>IFERROR(__xludf.DUMMYFUNCTION("""COMPUTED_VALUE"""),35.0)</f>
        <v>35</v>
      </c>
      <c r="H18024" s="4"/>
      <c r="I18024" s="4"/>
    </row>
    <row r="18025">
      <c r="A18025" s="4" t="str">
        <f>IFERROR(__xludf.DUMMYFUNCTION("""COMPUTED_VALUE"""),"cas_hmw")</f>
        <v>cas_hmw</v>
      </c>
      <c r="B18025" s="5">
        <f>IFERROR(__xludf.DUMMYFUNCTION("""COMPUTED_VALUE"""),44742.0)</f>
        <v>44742</v>
      </c>
      <c r="C18025" s="6">
        <f>IFERROR(__xludf.DUMMYFUNCTION("""COMPUTED_VALUE"""),0.6816435185173759)</f>
        <v>0.6816435185</v>
      </c>
      <c r="D18025" s="4">
        <f>IFERROR(__xludf.DUMMYFUNCTION("""COMPUTED_VALUE"""),12.821544)</f>
        <v>12.821544</v>
      </c>
      <c r="E18025" s="4">
        <f>IFERROR(__xludf.DUMMYFUNCTION("""COMPUTED_VALUE"""),80.037975)</f>
        <v>80.037975</v>
      </c>
      <c r="F18025" s="4">
        <f>IFERROR(__xludf.DUMMYFUNCTION("""COMPUTED_VALUE"""),2846.0)</f>
        <v>2846</v>
      </c>
      <c r="G18025" s="4">
        <f>IFERROR(__xludf.DUMMYFUNCTION("""COMPUTED_VALUE"""),16.0)</f>
        <v>16</v>
      </c>
      <c r="H18025" s="4"/>
      <c r="I18025" s="4"/>
    </row>
    <row r="18026">
      <c r="A18026" s="4" t="str">
        <f>IFERROR(__xludf.DUMMYFUNCTION("""COMPUTED_VALUE"""),"cas_hmw")</f>
        <v>cas_hmw</v>
      </c>
      <c r="B18026" s="5">
        <f>IFERROR(__xludf.DUMMYFUNCTION("""COMPUTED_VALUE"""),44742.0)</f>
        <v>44742</v>
      </c>
      <c r="C18026" s="6">
        <f>IFERROR(__xludf.DUMMYFUNCTION("""COMPUTED_VALUE"""),0.6816782407404389)</f>
        <v>0.6816782407</v>
      </c>
      <c r="D18026" s="4">
        <f>IFERROR(__xludf.DUMMYFUNCTION("""COMPUTED_VALUE"""),12.821544)</f>
        <v>12.821544</v>
      </c>
      <c r="E18026" s="4">
        <f>IFERROR(__xludf.DUMMYFUNCTION("""COMPUTED_VALUE"""),80.037975)</f>
        <v>80.037975</v>
      </c>
      <c r="F18026" s="4">
        <f>IFERROR(__xludf.DUMMYFUNCTION("""COMPUTED_VALUE"""),2846.0)</f>
        <v>2846</v>
      </c>
      <c r="G18026" s="4">
        <f>IFERROR(__xludf.DUMMYFUNCTION("""COMPUTED_VALUE"""),16.0)</f>
        <v>16</v>
      </c>
      <c r="H18026" s="4"/>
      <c r="I18026" s="4"/>
    </row>
    <row r="18027">
      <c r="A18027" s="4" t="str">
        <f>IFERROR(__xludf.DUMMYFUNCTION("""COMPUTED_VALUE"""),"cas_hmw")</f>
        <v>cas_hmw</v>
      </c>
      <c r="B18027" s="5">
        <f>IFERROR(__xludf.DUMMYFUNCTION("""COMPUTED_VALUE"""),44742.0)</f>
        <v>44742</v>
      </c>
      <c r="C18027" s="6">
        <f>IFERROR(__xludf.DUMMYFUNCTION("""COMPUTED_VALUE"""),0.6818402777789743)</f>
        <v>0.6818402778</v>
      </c>
      <c r="D18027" s="4">
        <f>IFERROR(__xludf.DUMMYFUNCTION("""COMPUTED_VALUE"""),12.936191)</f>
        <v>12.936191</v>
      </c>
      <c r="E18027" s="4">
        <f>IFERROR(__xludf.DUMMYFUNCTION("""COMPUTED_VALUE"""),80.127114)</f>
        <v>80.127114</v>
      </c>
      <c r="F18027" s="4">
        <f>IFERROR(__xludf.DUMMYFUNCTION("""COMPUTED_VALUE"""),5339.0)</f>
        <v>5339</v>
      </c>
      <c r="G18027" s="4">
        <f>IFERROR(__xludf.DUMMYFUNCTION("""COMPUTED_VALUE"""),33.0)</f>
        <v>33</v>
      </c>
      <c r="H18027" s="4"/>
      <c r="I18027" s="4"/>
    </row>
    <row r="18028">
      <c r="A18028" s="4" t="str">
        <f>IFERROR(__xludf.DUMMYFUNCTION("""COMPUTED_VALUE"""),"cas_hmw")</f>
        <v>cas_hmw</v>
      </c>
      <c r="B18028" s="5">
        <f>IFERROR(__xludf.DUMMYFUNCTION("""COMPUTED_VALUE"""),44742.0)</f>
        <v>44742</v>
      </c>
      <c r="C18028" s="6">
        <f>IFERROR(__xludf.DUMMYFUNCTION("""COMPUTED_VALUE"""),0.6819791666675883)</f>
        <v>0.6819791667</v>
      </c>
      <c r="D18028" s="4">
        <f>IFERROR(__xludf.DUMMYFUNCTION("""COMPUTED_VALUE"""),12.936622)</f>
        <v>12.936622</v>
      </c>
      <c r="E18028" s="4">
        <f>IFERROR(__xludf.DUMMYFUNCTION("""COMPUTED_VALUE"""),80.127512)</f>
        <v>80.127512</v>
      </c>
      <c r="F18028" s="4">
        <f>IFERROR(__xludf.DUMMYFUNCTION("""COMPUTED_VALUE"""),805.0)</f>
        <v>805</v>
      </c>
      <c r="G18028" s="4">
        <f>IFERROR(__xludf.DUMMYFUNCTION("""COMPUTED_VALUE"""),39.0)</f>
        <v>39</v>
      </c>
      <c r="H18028" s="4"/>
      <c r="I18028" s="4"/>
    </row>
    <row r="18029">
      <c r="A18029" s="4" t="str">
        <f>IFERROR(__xludf.DUMMYFUNCTION("""COMPUTED_VALUE"""),"cas_hmw")</f>
        <v>cas_hmw</v>
      </c>
      <c r="B18029" s="5">
        <f>IFERROR(__xludf.DUMMYFUNCTION("""COMPUTED_VALUE"""),44742.0)</f>
        <v>44742</v>
      </c>
      <c r="C18029" s="6">
        <f>IFERROR(__xludf.DUMMYFUNCTION("""COMPUTED_VALUE"""),0.68199074074073)</f>
        <v>0.6819907407</v>
      </c>
      <c r="D18029" s="4">
        <f>IFERROR(__xludf.DUMMYFUNCTION("""COMPUTED_VALUE"""),12.936191)</f>
        <v>12.936191</v>
      </c>
      <c r="E18029" s="4">
        <f>IFERROR(__xludf.DUMMYFUNCTION("""COMPUTED_VALUE"""),80.127114)</f>
        <v>80.127114</v>
      </c>
      <c r="F18029" s="4">
        <f>IFERROR(__xludf.DUMMYFUNCTION("""COMPUTED_VALUE"""),5339.0)</f>
        <v>5339</v>
      </c>
      <c r="G18029" s="4">
        <f>IFERROR(__xludf.DUMMYFUNCTION("""COMPUTED_VALUE"""),33.0)</f>
        <v>33</v>
      </c>
      <c r="H18029" s="4"/>
      <c r="I18029" s="4"/>
    </row>
    <row r="18030">
      <c r="A18030" s="4" t="str">
        <f>IFERROR(__xludf.DUMMYFUNCTION("""COMPUTED_VALUE"""),"cas_hmw")</f>
        <v>cas_hmw</v>
      </c>
      <c r="B18030" s="5">
        <f>IFERROR(__xludf.DUMMYFUNCTION("""COMPUTED_VALUE"""),44742.0)</f>
        <v>44742</v>
      </c>
      <c r="C18030" s="6">
        <f>IFERROR(__xludf.DUMMYFUNCTION("""COMPUTED_VALUE"""),0.6820486111100763)</f>
        <v>0.6820486111</v>
      </c>
      <c r="D18030" s="4">
        <f>IFERROR(__xludf.DUMMYFUNCTION("""COMPUTED_VALUE"""),12.936622)</f>
        <v>12.936622</v>
      </c>
      <c r="E18030" s="4">
        <f>IFERROR(__xludf.DUMMYFUNCTION("""COMPUTED_VALUE"""),80.127512)</f>
        <v>80.127512</v>
      </c>
      <c r="F18030" s="4">
        <f>IFERROR(__xludf.DUMMYFUNCTION("""COMPUTED_VALUE"""),805.0)</f>
        <v>805</v>
      </c>
      <c r="G18030" s="4">
        <f>IFERROR(__xludf.DUMMYFUNCTION("""COMPUTED_VALUE"""),39.0)</f>
        <v>39</v>
      </c>
      <c r="H18030" s="4"/>
      <c r="I18030" s="4"/>
    </row>
    <row r="18031">
      <c r="A18031" s="4" t="str">
        <f>IFERROR(__xludf.DUMMYFUNCTION("""COMPUTED_VALUE"""),"cas_hmw")</f>
        <v>cas_hmw</v>
      </c>
      <c r="B18031" s="5">
        <f>IFERROR(__xludf.DUMMYFUNCTION("""COMPUTED_VALUE"""),44742.0)</f>
        <v>44742</v>
      </c>
      <c r="C18031" s="6">
        <f>IFERROR(__xludf.DUMMYFUNCTION("""COMPUTED_VALUE"""),0.6821527777792653)</f>
        <v>0.6821527778</v>
      </c>
      <c r="D18031" s="4">
        <f>IFERROR(__xludf.DUMMYFUNCTION("""COMPUTED_VALUE"""),12.819184)</f>
        <v>12.819184</v>
      </c>
      <c r="E18031" s="4">
        <f>IFERROR(__xludf.DUMMYFUNCTION("""COMPUTED_VALUE"""),80.036291)</f>
        <v>80.036291</v>
      </c>
      <c r="F18031" s="4">
        <f>IFERROR(__xludf.DUMMYFUNCTION("""COMPUTED_VALUE"""),2846.0)</f>
        <v>2846</v>
      </c>
      <c r="G18031" s="4">
        <f>IFERROR(__xludf.DUMMYFUNCTION("""COMPUTED_VALUE"""),17.0)</f>
        <v>17</v>
      </c>
      <c r="H18031" s="4"/>
      <c r="I18031" s="4"/>
    </row>
    <row r="18032">
      <c r="A18032" s="4" t="str">
        <f>IFERROR(__xludf.DUMMYFUNCTION("""COMPUTED_VALUE"""),"cas_hmw")</f>
        <v>cas_hmw</v>
      </c>
      <c r="B18032" s="5">
        <f>IFERROR(__xludf.DUMMYFUNCTION("""COMPUTED_VALUE"""),44742.0)</f>
        <v>44742</v>
      </c>
      <c r="C18032" s="6">
        <f>IFERROR(__xludf.DUMMYFUNCTION("""COMPUTED_VALUE"""),0.6827777777762094)</f>
        <v>0.6827777778</v>
      </c>
      <c r="D18032" s="4">
        <f>IFERROR(__xludf.DUMMYFUNCTION("""COMPUTED_VALUE"""),12.94377)</f>
        <v>12.94377</v>
      </c>
      <c r="E18032" s="4">
        <f>IFERROR(__xludf.DUMMYFUNCTION("""COMPUTED_VALUE"""),80.134342)</f>
        <v>80.134342</v>
      </c>
      <c r="F18032" s="4">
        <f>IFERROR(__xludf.DUMMYFUNCTION("""COMPUTED_VALUE"""),805.0)</f>
        <v>805</v>
      </c>
      <c r="G18032" s="4">
        <f>IFERROR(__xludf.DUMMYFUNCTION("""COMPUTED_VALUE"""),58.0)</f>
        <v>58</v>
      </c>
      <c r="H18032" s="4"/>
      <c r="I18032" s="4"/>
    </row>
    <row r="18033">
      <c r="A18033" s="4" t="str">
        <f>IFERROR(__xludf.DUMMYFUNCTION("""COMPUTED_VALUE"""),"cas_hmw")</f>
        <v>cas_hmw</v>
      </c>
      <c r="B18033" s="5">
        <f>IFERROR(__xludf.DUMMYFUNCTION("""COMPUTED_VALUE"""),44742.0)</f>
        <v>44742</v>
      </c>
      <c r="C18033" s="6">
        <f>IFERROR(__xludf.DUMMYFUNCTION("""COMPUTED_VALUE"""),0.6831365740727051)</f>
        <v>0.6831365741</v>
      </c>
      <c r="D18033" s="4">
        <f>IFERROR(__xludf.DUMMYFUNCTION("""COMPUTED_VALUE"""),12.947109)</f>
        <v>12.947109</v>
      </c>
      <c r="E18033" s="4">
        <f>IFERROR(__xludf.DUMMYFUNCTION("""COMPUTED_VALUE"""),80.136927)</f>
        <v>80.136927</v>
      </c>
      <c r="F18033" s="4">
        <f>IFERROR(__xludf.DUMMYFUNCTION("""COMPUTED_VALUE"""),805.0)</f>
        <v>805</v>
      </c>
      <c r="G18033" s="4">
        <f>IFERROR(__xludf.DUMMYFUNCTION("""COMPUTED_VALUE"""),51.0)</f>
        <v>51</v>
      </c>
      <c r="H18033" s="4"/>
      <c r="I18033" s="4"/>
    </row>
    <row r="18034">
      <c r="A18034" s="4" t="str">
        <f>IFERROR(__xludf.DUMMYFUNCTION("""COMPUTED_VALUE"""),"cas_hmw")</f>
        <v>cas_hmw</v>
      </c>
      <c r="B18034" s="5">
        <f>IFERROR(__xludf.DUMMYFUNCTION("""COMPUTED_VALUE"""),44742.0)</f>
        <v>44742</v>
      </c>
      <c r="C18034" s="6">
        <f>IFERROR(__xludf.DUMMYFUNCTION("""COMPUTED_VALUE"""),0.6834953703692008)</f>
        <v>0.6834953704</v>
      </c>
      <c r="D18034" s="4">
        <f>IFERROR(__xludf.DUMMYFUNCTION("""COMPUTED_VALUE"""),12.80846)</f>
        <v>12.80846</v>
      </c>
      <c r="E18034" s="4">
        <f>IFERROR(__xludf.DUMMYFUNCTION("""COMPUTED_VALUE"""),80.029003)</f>
        <v>80.029003</v>
      </c>
      <c r="F18034" s="4">
        <f>IFERROR(__xludf.DUMMYFUNCTION("""COMPUTED_VALUE"""),2846.0)</f>
        <v>2846</v>
      </c>
      <c r="G18034" s="4">
        <f>IFERROR(__xludf.DUMMYFUNCTION("""COMPUTED_VALUE"""),57.0)</f>
        <v>57</v>
      </c>
      <c r="H18034" s="4"/>
      <c r="I18034" s="4"/>
    </row>
    <row r="18035">
      <c r="A18035" s="4" t="str">
        <f>IFERROR(__xludf.DUMMYFUNCTION("""COMPUTED_VALUE"""),"cas_hmw")</f>
        <v>cas_hmw</v>
      </c>
      <c r="B18035" s="5">
        <f>IFERROR(__xludf.DUMMYFUNCTION("""COMPUTED_VALUE"""),44742.0)</f>
        <v>44742</v>
      </c>
      <c r="C18035" s="6">
        <f>IFERROR(__xludf.DUMMYFUNCTION("""COMPUTED_VALUE"""),0.6839467592581059)</f>
        <v>0.6839467593</v>
      </c>
      <c r="D18035" s="4">
        <f>IFERROR(__xludf.DUMMYFUNCTION("""COMPUTED_VALUE"""),12.951204)</f>
        <v>12.951204</v>
      </c>
      <c r="E18035" s="4">
        <f>IFERROR(__xludf.DUMMYFUNCTION("""COMPUTED_VALUE"""),80.140018)</f>
        <v>80.140018</v>
      </c>
      <c r="F18035" s="4">
        <f>IFERROR(__xludf.DUMMYFUNCTION("""COMPUTED_VALUE"""),805.0)</f>
        <v>805</v>
      </c>
      <c r="G18035" s="4">
        <f>IFERROR(__xludf.DUMMYFUNCTION("""COMPUTED_VALUE"""),37.0)</f>
        <v>37</v>
      </c>
      <c r="H18035" s="4"/>
      <c r="I18035" s="4"/>
    </row>
    <row r="18036">
      <c r="A18036" s="4" t="str">
        <f>IFERROR(__xludf.DUMMYFUNCTION("""COMPUTED_VALUE"""),"cas_hmw")</f>
        <v>cas_hmw</v>
      </c>
      <c r="B18036" s="5">
        <f>IFERROR(__xludf.DUMMYFUNCTION("""COMPUTED_VALUE"""),44742.0)</f>
        <v>44742</v>
      </c>
      <c r="C18036" s="6">
        <f>IFERROR(__xludf.DUMMYFUNCTION("""COMPUTED_VALUE"""),0.6839699074080272)</f>
        <v>0.6839699074</v>
      </c>
      <c r="D18036" s="4">
        <f>IFERROR(__xludf.DUMMYFUNCTION("""COMPUTED_VALUE"""),12.951046)</f>
        <v>12.951046</v>
      </c>
      <c r="E18036" s="4">
        <f>IFERROR(__xludf.DUMMYFUNCTION("""COMPUTED_VALUE"""),80.139911)</f>
        <v>80.139911</v>
      </c>
      <c r="F18036" s="4">
        <f>IFERROR(__xludf.DUMMYFUNCTION("""COMPUTED_VALUE"""),5339.0)</f>
        <v>5339</v>
      </c>
      <c r="G18036" s="4">
        <f>IFERROR(__xludf.DUMMYFUNCTION("""COMPUTED_VALUE"""),37.0)</f>
        <v>37</v>
      </c>
      <c r="H18036" s="4"/>
      <c r="I18036" s="4"/>
    </row>
    <row r="18037">
      <c r="A18037" s="4" t="str">
        <f>IFERROR(__xludf.DUMMYFUNCTION("""COMPUTED_VALUE"""),"cas_hmw")</f>
        <v>cas_hmw</v>
      </c>
      <c r="B18037" s="5">
        <f>IFERROR(__xludf.DUMMYFUNCTION("""COMPUTED_VALUE"""),44742.0)</f>
        <v>44742</v>
      </c>
      <c r="C18037" s="6">
        <f>IFERROR(__xludf.DUMMYFUNCTION("""COMPUTED_VALUE"""),0.6839930555543106)</f>
        <v>0.6839930556</v>
      </c>
      <c r="D18037" s="4">
        <f>IFERROR(__xludf.DUMMYFUNCTION("""COMPUTED_VALUE"""),12.951204)</f>
        <v>12.951204</v>
      </c>
      <c r="E18037" s="4">
        <f>IFERROR(__xludf.DUMMYFUNCTION("""COMPUTED_VALUE"""),80.140018)</f>
        <v>80.140018</v>
      </c>
      <c r="F18037" s="4">
        <f>IFERROR(__xludf.DUMMYFUNCTION("""COMPUTED_VALUE"""),805.0)</f>
        <v>805</v>
      </c>
      <c r="G18037" s="4">
        <f>IFERROR(__xludf.DUMMYFUNCTION("""COMPUTED_VALUE"""),37.0)</f>
        <v>37</v>
      </c>
      <c r="H18037" s="4"/>
      <c r="I18037" s="4"/>
    </row>
    <row r="18038">
      <c r="A18038" s="4" t="str">
        <f>IFERROR(__xludf.DUMMYFUNCTION("""COMPUTED_VALUE"""),"cas_hmw")</f>
        <v>cas_hmw</v>
      </c>
      <c r="B18038" s="5">
        <f>IFERROR(__xludf.DUMMYFUNCTION("""COMPUTED_VALUE"""),44742.0)</f>
        <v>44742</v>
      </c>
      <c r="C18038" s="6">
        <f>IFERROR(__xludf.DUMMYFUNCTION("""COMPUTED_VALUE"""),0.6840393518505152)</f>
        <v>0.6840393519</v>
      </c>
      <c r="D18038" s="4">
        <f>IFERROR(__xludf.DUMMYFUNCTION("""COMPUTED_VALUE"""),12.951204)</f>
        <v>12.951204</v>
      </c>
      <c r="E18038" s="4">
        <f>IFERROR(__xludf.DUMMYFUNCTION("""COMPUTED_VALUE"""),80.140018)</f>
        <v>80.140018</v>
      </c>
      <c r="F18038" s="4">
        <f>IFERROR(__xludf.DUMMYFUNCTION("""COMPUTED_VALUE"""),805.0)</f>
        <v>805</v>
      </c>
      <c r="G18038" s="4">
        <f>IFERROR(__xludf.DUMMYFUNCTION("""COMPUTED_VALUE"""),37.0)</f>
        <v>37</v>
      </c>
      <c r="H18038" s="4"/>
      <c r="I18038" s="4"/>
    </row>
    <row r="18039">
      <c r="A18039" s="4" t="str">
        <f>IFERROR(__xludf.DUMMYFUNCTION("""COMPUTED_VALUE"""),"cas_hmw")</f>
        <v>cas_hmw</v>
      </c>
      <c r="B18039" s="5">
        <f>IFERROR(__xludf.DUMMYFUNCTION("""COMPUTED_VALUE"""),44742.0)</f>
        <v>44742</v>
      </c>
      <c r="C18039" s="6">
        <f>IFERROR(__xludf.DUMMYFUNCTION("""COMPUTED_VALUE"""),0.6842013888890506)</f>
        <v>0.6842013889</v>
      </c>
      <c r="D18039" s="4">
        <f>IFERROR(__xludf.DUMMYFUNCTION("""COMPUTED_VALUE"""),12.952602)</f>
        <v>12.952602</v>
      </c>
      <c r="E18039" s="4">
        <f>IFERROR(__xludf.DUMMYFUNCTION("""COMPUTED_VALUE"""),80.141061)</f>
        <v>80.141061</v>
      </c>
      <c r="F18039" s="4">
        <f>IFERROR(__xludf.DUMMYFUNCTION("""COMPUTED_VALUE"""),805.0)</f>
        <v>805</v>
      </c>
      <c r="G18039" s="4">
        <f>IFERROR(__xludf.DUMMYFUNCTION("""COMPUTED_VALUE"""),45.0)</f>
        <v>45</v>
      </c>
      <c r="H18039" s="4"/>
      <c r="I18039" s="4"/>
    </row>
    <row r="18040">
      <c r="A18040" s="4" t="str">
        <f>IFERROR(__xludf.DUMMYFUNCTION("""COMPUTED_VALUE"""),"cas_hmw")</f>
        <v>cas_hmw</v>
      </c>
      <c r="B18040" s="5">
        <f>IFERROR(__xludf.DUMMYFUNCTION("""COMPUTED_VALUE"""),44742.0)</f>
        <v>44742</v>
      </c>
      <c r="C18040" s="6">
        <f>IFERROR(__xludf.DUMMYFUNCTION("""COMPUTED_VALUE"""),0.6842476851852552)</f>
        <v>0.6842476852</v>
      </c>
      <c r="D18040" s="4">
        <f>IFERROR(__xludf.DUMMYFUNCTION("""COMPUTED_VALUE"""),12.953924)</f>
        <v>12.953924</v>
      </c>
      <c r="E18040" s="4">
        <f>IFERROR(__xludf.DUMMYFUNCTION("""COMPUTED_VALUE"""),80.141897)</f>
        <v>80.141897</v>
      </c>
      <c r="F18040" s="4">
        <f>IFERROR(__xludf.DUMMYFUNCTION("""COMPUTED_VALUE"""),5339.0)</f>
        <v>5339</v>
      </c>
      <c r="G18040" s="4">
        <f>IFERROR(__xludf.DUMMYFUNCTION("""COMPUTED_VALUE"""),49.0)</f>
        <v>49</v>
      </c>
      <c r="H18040" s="4"/>
      <c r="I18040" s="4"/>
    </row>
    <row r="18041">
      <c r="A18041" s="4" t="str">
        <f>IFERROR(__xludf.DUMMYFUNCTION("""COMPUTED_VALUE"""),"cas_hmw")</f>
        <v>cas_hmw</v>
      </c>
      <c r="B18041" s="5">
        <f>IFERROR(__xludf.DUMMYFUNCTION("""COMPUTED_VALUE"""),44742.0)</f>
        <v>44742</v>
      </c>
      <c r="C18041" s="6">
        <f>IFERROR(__xludf.DUMMYFUNCTION("""COMPUTED_VALUE"""),0.6848032407397113)</f>
        <v>0.6848032407</v>
      </c>
      <c r="D18041" s="4">
        <f>IFERROR(__xludf.DUMMYFUNCTION("""COMPUTED_VALUE"""),12.956)</f>
        <v>12.956</v>
      </c>
      <c r="E18041" s="4">
        <f>IFERROR(__xludf.DUMMYFUNCTION("""COMPUTED_VALUE"""),80.142819)</f>
        <v>80.142819</v>
      </c>
      <c r="F18041" s="4">
        <f>IFERROR(__xludf.DUMMYFUNCTION("""COMPUTED_VALUE"""),805.0)</f>
        <v>805</v>
      </c>
      <c r="G18041" s="4">
        <f>IFERROR(__xludf.DUMMYFUNCTION("""COMPUTED_VALUE"""),12.0)</f>
        <v>12</v>
      </c>
      <c r="H18041" s="4"/>
      <c r="I18041" s="4"/>
    </row>
    <row r="18042">
      <c r="A18042" s="4" t="str">
        <f>IFERROR(__xludf.DUMMYFUNCTION("""COMPUTED_VALUE"""),"cas_hmw")</f>
        <v>cas_hmw</v>
      </c>
      <c r="B18042" s="5">
        <f>IFERROR(__xludf.DUMMYFUNCTION("""COMPUTED_VALUE"""),44742.0)</f>
        <v>44742</v>
      </c>
      <c r="C18042" s="6">
        <f>IFERROR(__xludf.DUMMYFUNCTION("""COMPUTED_VALUE"""),0.684884259258979)</f>
        <v>0.6848842593</v>
      </c>
      <c r="D18042" s="4">
        <f>IFERROR(__xludf.DUMMYFUNCTION("""COMPUTED_VALUE"""),12.956483)</f>
        <v>12.956483</v>
      </c>
      <c r="E18042" s="4">
        <f>IFERROR(__xludf.DUMMYFUNCTION("""COMPUTED_VALUE"""),80.143125)</f>
        <v>80.143125</v>
      </c>
      <c r="F18042" s="4">
        <f>IFERROR(__xludf.DUMMYFUNCTION("""COMPUTED_VALUE"""),805.0)</f>
        <v>805</v>
      </c>
      <c r="G18042" s="4">
        <f>IFERROR(__xludf.DUMMYFUNCTION("""COMPUTED_VALUE"""),32.0)</f>
        <v>32</v>
      </c>
      <c r="H18042" s="4"/>
      <c r="I18042" s="4"/>
    </row>
    <row r="18043">
      <c r="A18043" s="4" t="str">
        <f>IFERROR(__xludf.DUMMYFUNCTION("""COMPUTED_VALUE"""),"cas_hmw")</f>
        <v>cas_hmw</v>
      </c>
      <c r="B18043" s="5">
        <f>IFERROR(__xludf.DUMMYFUNCTION("""COMPUTED_VALUE"""),44742.0)</f>
        <v>44742</v>
      </c>
      <c r="C18043" s="6">
        <f>IFERROR(__xludf.DUMMYFUNCTION("""COMPUTED_VALUE"""),0.6849074074089003)</f>
        <v>0.6849074074</v>
      </c>
      <c r="D18043" s="4">
        <f>IFERROR(__xludf.DUMMYFUNCTION("""COMPUTED_VALUE"""),12.956483)</f>
        <v>12.956483</v>
      </c>
      <c r="E18043" s="4">
        <f>IFERROR(__xludf.DUMMYFUNCTION("""COMPUTED_VALUE"""),80.143125)</f>
        <v>80.143125</v>
      </c>
      <c r="F18043" s="4">
        <f>IFERROR(__xludf.DUMMYFUNCTION("""COMPUTED_VALUE"""),805.0)</f>
        <v>805</v>
      </c>
      <c r="G18043" s="4">
        <f>IFERROR(__xludf.DUMMYFUNCTION("""COMPUTED_VALUE"""),32.0)</f>
        <v>32</v>
      </c>
      <c r="H18043" s="4"/>
      <c r="I18043" s="4"/>
    </row>
    <row r="18044">
      <c r="A18044" s="4" t="str">
        <f>IFERROR(__xludf.DUMMYFUNCTION("""COMPUTED_VALUE"""),"cas_hmw")</f>
        <v>cas_hmw</v>
      </c>
      <c r="B18044" s="5">
        <f>IFERROR(__xludf.DUMMYFUNCTION("""COMPUTED_VALUE"""),44742.0)</f>
        <v>44742</v>
      </c>
      <c r="C18044" s="6">
        <f>IFERROR(__xludf.DUMMYFUNCTION("""COMPUTED_VALUE"""),0.68498842592453)</f>
        <v>0.6849884259</v>
      </c>
      <c r="D18044" s="4">
        <f>IFERROR(__xludf.DUMMYFUNCTION("""COMPUTED_VALUE"""),12.957286)</f>
        <v>12.957286</v>
      </c>
      <c r="E18044" s="4">
        <f>IFERROR(__xludf.DUMMYFUNCTION("""COMPUTED_VALUE"""),80.143587)</f>
        <v>80.143587</v>
      </c>
      <c r="F18044" s="4">
        <f>IFERROR(__xludf.DUMMYFUNCTION("""COMPUTED_VALUE"""),805.0)</f>
        <v>805</v>
      </c>
      <c r="G18044" s="4">
        <f>IFERROR(__xludf.DUMMYFUNCTION("""COMPUTED_VALUE"""),39.0)</f>
        <v>39</v>
      </c>
      <c r="H18044" s="4"/>
      <c r="I18044" s="4"/>
    </row>
    <row r="18045">
      <c r="A18045" s="4" t="str">
        <f>IFERROR(__xludf.DUMMYFUNCTION("""COMPUTED_VALUE"""),"cas_hmw")</f>
        <v>cas_hmw</v>
      </c>
      <c r="B18045" s="5">
        <f>IFERROR(__xludf.DUMMYFUNCTION("""COMPUTED_VALUE"""),44742.0)</f>
        <v>44742</v>
      </c>
      <c r="C18045" s="6">
        <f>IFERROR(__xludf.DUMMYFUNCTION("""COMPUTED_VALUE"""),0.685023148147593)</f>
        <v>0.6850231481</v>
      </c>
      <c r="D18045" s="4">
        <f>IFERROR(__xludf.DUMMYFUNCTION("""COMPUTED_VALUE"""),12.957286)</f>
        <v>12.957286</v>
      </c>
      <c r="E18045" s="4">
        <f>IFERROR(__xludf.DUMMYFUNCTION("""COMPUTED_VALUE"""),80.143587)</f>
        <v>80.143587</v>
      </c>
      <c r="F18045" s="4">
        <f>IFERROR(__xludf.DUMMYFUNCTION("""COMPUTED_VALUE"""),805.0)</f>
        <v>805</v>
      </c>
      <c r="G18045" s="4">
        <f>IFERROR(__xludf.DUMMYFUNCTION("""COMPUTED_VALUE"""),39.0)</f>
        <v>39</v>
      </c>
      <c r="H18045" s="4"/>
      <c r="I18045" s="4"/>
    </row>
    <row r="18046">
      <c r="A18046" s="4" t="str">
        <f>IFERROR(__xludf.DUMMYFUNCTION("""COMPUTED_VALUE"""),"cas_hmw")</f>
        <v>cas_hmw</v>
      </c>
      <c r="B18046" s="5">
        <f>IFERROR(__xludf.DUMMYFUNCTION("""COMPUTED_VALUE"""),44742.0)</f>
        <v>44742</v>
      </c>
      <c r="C18046" s="6">
        <f>IFERROR(__xludf.DUMMYFUNCTION("""COMPUTED_VALUE"""),0.6852546296286164)</f>
        <v>0.6852546296</v>
      </c>
      <c r="D18046" s="4">
        <f>IFERROR(__xludf.DUMMYFUNCTION("""COMPUTED_VALUE"""),12.958731)</f>
        <v>12.958731</v>
      </c>
      <c r="E18046" s="4">
        <f>IFERROR(__xludf.DUMMYFUNCTION("""COMPUTED_VALUE"""),80.14429)</f>
        <v>80.14429</v>
      </c>
      <c r="F18046" s="4">
        <f>IFERROR(__xludf.DUMMYFUNCTION("""COMPUTED_VALUE"""),805.0)</f>
        <v>805</v>
      </c>
      <c r="G18046" s="4">
        <f>IFERROR(__xludf.DUMMYFUNCTION("""COMPUTED_VALUE"""),35.0)</f>
        <v>35</v>
      </c>
      <c r="H18046" s="4"/>
      <c r="I18046" s="4"/>
    </row>
    <row r="18047">
      <c r="A18047" s="4" t="str">
        <f>IFERROR(__xludf.DUMMYFUNCTION("""COMPUTED_VALUE"""),"cas_hmw")</f>
        <v>cas_hmw</v>
      </c>
      <c r="B18047" s="5">
        <f>IFERROR(__xludf.DUMMYFUNCTION("""COMPUTED_VALUE"""),44742.0)</f>
        <v>44742</v>
      </c>
      <c r="C18047" s="6">
        <f>IFERROR(__xludf.DUMMYFUNCTION("""COMPUTED_VALUE"""),0.6857060185175214)</f>
        <v>0.6857060185</v>
      </c>
      <c r="D18047" s="4">
        <f>IFERROR(__xludf.DUMMYFUNCTION("""COMPUTED_VALUE"""),12.78603)</f>
        <v>12.78603</v>
      </c>
      <c r="E18047" s="4">
        <f>IFERROR(__xludf.DUMMYFUNCTION("""COMPUTED_VALUE"""),80.014679)</f>
        <v>80.014679</v>
      </c>
      <c r="F18047" s="4">
        <f>IFERROR(__xludf.DUMMYFUNCTION("""COMPUTED_VALUE"""),2846.0)</f>
        <v>2846</v>
      </c>
      <c r="G18047" s="4">
        <f>IFERROR(__xludf.DUMMYFUNCTION("""COMPUTED_VALUE"""),57.0)</f>
        <v>57</v>
      </c>
      <c r="H18047" s="4"/>
      <c r="I18047" s="4"/>
    </row>
    <row r="18048">
      <c r="A18048" s="4" t="str">
        <f>IFERROR(__xludf.DUMMYFUNCTION("""COMPUTED_VALUE"""),"cas_hmw")</f>
        <v>cas_hmw</v>
      </c>
      <c r="B18048" s="5">
        <f>IFERROR(__xludf.DUMMYFUNCTION("""COMPUTED_VALUE"""),44742.0)</f>
        <v>44742</v>
      </c>
      <c r="C18048" s="6">
        <f>IFERROR(__xludf.DUMMYFUNCTION("""COMPUTED_VALUE"""),0.6857870370367891)</f>
        <v>0.685787037</v>
      </c>
      <c r="D18048" s="4">
        <f>IFERROR(__xludf.DUMMYFUNCTION("""COMPUTED_VALUE"""),12.960978)</f>
        <v>12.960978</v>
      </c>
      <c r="E18048" s="4">
        <f>IFERROR(__xludf.DUMMYFUNCTION("""COMPUTED_VALUE"""),80.145539)</f>
        <v>80.145539</v>
      </c>
      <c r="F18048" s="4">
        <f>IFERROR(__xludf.DUMMYFUNCTION("""COMPUTED_VALUE"""),5339.0)</f>
        <v>5339</v>
      </c>
      <c r="G18048" s="4">
        <f>IFERROR(__xludf.DUMMYFUNCTION("""COMPUTED_VALUE"""),36.0)</f>
        <v>36</v>
      </c>
      <c r="H18048" s="4"/>
      <c r="I18048" s="4"/>
    </row>
    <row r="18049">
      <c r="A18049" s="4" t="str">
        <f>IFERROR(__xludf.DUMMYFUNCTION("""COMPUTED_VALUE"""),"cas_hmw")</f>
        <v>cas_hmw</v>
      </c>
      <c r="B18049" s="5">
        <f>IFERROR(__xludf.DUMMYFUNCTION("""COMPUTED_VALUE"""),44742.0)</f>
        <v>44742</v>
      </c>
      <c r="C18049" s="6">
        <f>IFERROR(__xludf.DUMMYFUNCTION("""COMPUTED_VALUE"""),0.6858101851867104)</f>
        <v>0.6858101852</v>
      </c>
      <c r="D18049" s="4">
        <f>IFERROR(__xludf.DUMMYFUNCTION("""COMPUTED_VALUE"""),12.962969)</f>
        <v>12.962969</v>
      </c>
      <c r="E18049" s="4">
        <f>IFERROR(__xludf.DUMMYFUNCTION("""COMPUTED_VALUE"""),80.146536)</f>
        <v>80.146536</v>
      </c>
      <c r="F18049" s="4">
        <f>IFERROR(__xludf.DUMMYFUNCTION("""COMPUTED_VALUE"""),805.0)</f>
        <v>805</v>
      </c>
      <c r="G18049" s="4">
        <f>IFERROR(__xludf.DUMMYFUNCTION("""COMPUTED_VALUE"""),55.0)</f>
        <v>55</v>
      </c>
      <c r="H18049" s="4"/>
      <c r="I18049" s="4"/>
    </row>
    <row r="18050">
      <c r="A18050" s="4" t="str">
        <f>IFERROR(__xludf.DUMMYFUNCTION("""COMPUTED_VALUE"""),"cas_hmw")</f>
        <v>cas_hmw</v>
      </c>
      <c r="B18050" s="5">
        <f>IFERROR(__xludf.DUMMYFUNCTION("""COMPUTED_VALUE"""),44742.0)</f>
        <v>44742</v>
      </c>
      <c r="C18050" s="6">
        <f>IFERROR(__xludf.DUMMYFUNCTION("""COMPUTED_VALUE"""),0.6864004629642295)</f>
        <v>0.686400463</v>
      </c>
      <c r="D18050" s="4">
        <f>IFERROR(__xludf.DUMMYFUNCTION("""COMPUTED_VALUE"""),12.779792)</f>
        <v>12.779792</v>
      </c>
      <c r="E18050" s="4">
        <f>IFERROR(__xludf.DUMMYFUNCTION("""COMPUTED_VALUE"""),80.011677)</f>
        <v>80.011677</v>
      </c>
      <c r="F18050" s="4">
        <f>IFERROR(__xludf.DUMMYFUNCTION("""COMPUTED_VALUE"""),2846.0)</f>
        <v>2846</v>
      </c>
      <c r="G18050" s="4">
        <f>IFERROR(__xludf.DUMMYFUNCTION("""COMPUTED_VALUE"""),57.0)</f>
        <v>57</v>
      </c>
      <c r="H18050" s="4"/>
      <c r="I18050" s="4"/>
    </row>
    <row r="18051">
      <c r="A18051" s="4" t="str">
        <f>IFERROR(__xludf.DUMMYFUNCTION("""COMPUTED_VALUE"""),"cas_hmw")</f>
        <v>cas_hmw</v>
      </c>
      <c r="B18051" s="5">
        <f>IFERROR(__xludf.DUMMYFUNCTION("""COMPUTED_VALUE"""),44742.0)</f>
        <v>44742</v>
      </c>
      <c r="C18051" s="6">
        <f>IFERROR(__xludf.DUMMYFUNCTION("""COMPUTED_VALUE"""),0.6866435185183946)</f>
        <v>0.6866435185</v>
      </c>
      <c r="D18051" s="4">
        <f>IFERROR(__xludf.DUMMYFUNCTION("""COMPUTED_VALUE"""),12.775522)</f>
        <v>12.775522</v>
      </c>
      <c r="E18051" s="4">
        <f>IFERROR(__xludf.DUMMYFUNCTION("""COMPUTED_VALUE"""),80.009851)</f>
        <v>80.009851</v>
      </c>
      <c r="F18051" s="4">
        <f>IFERROR(__xludf.DUMMYFUNCTION("""COMPUTED_VALUE"""),2846.0)</f>
        <v>2846</v>
      </c>
      <c r="G18051" s="4">
        <f>IFERROR(__xludf.DUMMYFUNCTION("""COMPUTED_VALUE"""),58.0)</f>
        <v>58</v>
      </c>
      <c r="H18051" s="4"/>
      <c r="I18051" s="4"/>
    </row>
    <row r="18052">
      <c r="A18052" s="4" t="str">
        <f>IFERROR(__xludf.DUMMYFUNCTION("""COMPUTED_VALUE"""),"cas_hmw")</f>
        <v>cas_hmw</v>
      </c>
      <c r="B18052" s="5">
        <f>IFERROR(__xludf.DUMMYFUNCTION("""COMPUTED_VALUE"""),44742.0)</f>
        <v>44742</v>
      </c>
      <c r="C18052" s="6">
        <f>IFERROR(__xludf.DUMMYFUNCTION("""COMPUTED_VALUE"""),0.6867939814801503)</f>
        <v>0.6867939815</v>
      </c>
      <c r="D18052" s="4">
        <f>IFERROR(__xludf.DUMMYFUNCTION("""COMPUTED_VALUE"""),12.775522)</f>
        <v>12.775522</v>
      </c>
      <c r="E18052" s="4">
        <f>IFERROR(__xludf.DUMMYFUNCTION("""COMPUTED_VALUE"""),80.009851)</f>
        <v>80.009851</v>
      </c>
      <c r="F18052" s="4">
        <f>IFERROR(__xludf.DUMMYFUNCTION("""COMPUTED_VALUE"""),2846.0)</f>
        <v>2846</v>
      </c>
      <c r="G18052" s="4">
        <f>IFERROR(__xludf.DUMMYFUNCTION("""COMPUTED_VALUE"""),58.0)</f>
        <v>58</v>
      </c>
      <c r="H18052" s="4"/>
      <c r="I18052" s="4"/>
    </row>
    <row r="18053">
      <c r="A18053" s="4" t="str">
        <f>IFERROR(__xludf.DUMMYFUNCTION("""COMPUTED_VALUE"""),"cas_hmw")</f>
        <v>cas_hmw</v>
      </c>
      <c r="B18053" s="5">
        <f>IFERROR(__xludf.DUMMYFUNCTION("""COMPUTED_VALUE"""),44742.0)</f>
        <v>44742</v>
      </c>
      <c r="C18053" s="6">
        <f>IFERROR(__xludf.DUMMYFUNCTION("""COMPUTED_VALUE"""),0.687222222222772)</f>
        <v>0.6872222222</v>
      </c>
      <c r="D18053" s="4">
        <f>IFERROR(__xludf.DUMMYFUNCTION("""COMPUTED_VALUE"""),12.973698)</f>
        <v>12.973698</v>
      </c>
      <c r="E18053" s="4">
        <f>IFERROR(__xludf.DUMMYFUNCTION("""COMPUTED_VALUE"""),80.15369)</f>
        <v>80.15369</v>
      </c>
      <c r="F18053" s="4">
        <f>IFERROR(__xludf.DUMMYFUNCTION("""COMPUTED_VALUE"""),5339.0)</f>
        <v>5339</v>
      </c>
      <c r="G18053" s="4">
        <f>IFERROR(__xludf.DUMMYFUNCTION("""COMPUTED_VALUE"""),58.0)</f>
        <v>58</v>
      </c>
      <c r="H18053" s="4"/>
      <c r="I18053" s="4"/>
    </row>
    <row r="18054">
      <c r="A18054" s="4" t="str">
        <f>IFERROR(__xludf.DUMMYFUNCTION("""COMPUTED_VALUE"""),"cas_hmw")</f>
        <v>cas_hmw</v>
      </c>
      <c r="B18054" s="5">
        <f>IFERROR(__xludf.DUMMYFUNCTION("""COMPUTED_VALUE"""),44742.0)</f>
        <v>44742</v>
      </c>
      <c r="C18054" s="6">
        <f>IFERROR(__xludf.DUMMYFUNCTION("""COMPUTED_VALUE"""),0.687361111111386)</f>
        <v>0.6873611111</v>
      </c>
      <c r="D18054" s="4">
        <f>IFERROR(__xludf.DUMMYFUNCTION("""COMPUTED_VALUE"""),12.768699)</f>
        <v>12.768699</v>
      </c>
      <c r="E18054" s="4">
        <f>IFERROR(__xludf.DUMMYFUNCTION("""COMPUTED_VALUE"""),80.006645)</f>
        <v>80.006645</v>
      </c>
      <c r="F18054" s="4">
        <f>IFERROR(__xludf.DUMMYFUNCTION("""COMPUTED_VALUE"""),2846.0)</f>
        <v>2846</v>
      </c>
      <c r="G18054" s="4">
        <f>IFERROR(__xludf.DUMMYFUNCTION("""COMPUTED_VALUE"""),51.0)</f>
        <v>51</v>
      </c>
      <c r="H18054" s="4"/>
      <c r="I18054" s="4"/>
    </row>
    <row r="18055">
      <c r="A18055" s="4" t="str">
        <f>IFERROR(__xludf.DUMMYFUNCTION("""COMPUTED_VALUE"""),"cas_hmw")</f>
        <v>cas_hmw</v>
      </c>
      <c r="B18055" s="5">
        <f>IFERROR(__xludf.DUMMYFUNCTION("""COMPUTED_VALUE"""),44742.0)</f>
        <v>44742</v>
      </c>
      <c r="C18055" s="6">
        <f>IFERROR(__xludf.DUMMYFUNCTION("""COMPUTED_VALUE"""),0.687777777777228)</f>
        <v>0.6877777778</v>
      </c>
      <c r="D18055" s="4">
        <f>IFERROR(__xludf.DUMMYFUNCTION("""COMPUTED_VALUE"""),12.764837)</f>
        <v>12.764837</v>
      </c>
      <c r="E18055" s="4">
        <f>IFERROR(__xludf.DUMMYFUNCTION("""COMPUTED_VALUE"""),80.004934)</f>
        <v>80.004934</v>
      </c>
      <c r="F18055" s="4">
        <f>IFERROR(__xludf.DUMMYFUNCTION("""COMPUTED_VALUE"""),2846.0)</f>
        <v>2846</v>
      </c>
      <c r="G18055" s="4">
        <f>IFERROR(__xludf.DUMMYFUNCTION("""COMPUTED_VALUE"""),53.0)</f>
        <v>53</v>
      </c>
      <c r="H18055" s="4"/>
      <c r="I18055" s="4"/>
    </row>
    <row r="18056">
      <c r="A18056" s="4" t="str">
        <f>IFERROR(__xludf.DUMMYFUNCTION("""COMPUTED_VALUE"""),"cas_hmw")</f>
        <v>cas_hmw</v>
      </c>
      <c r="B18056" s="5">
        <f>IFERROR(__xludf.DUMMYFUNCTION("""COMPUTED_VALUE"""),44742.0)</f>
        <v>44742</v>
      </c>
      <c r="C18056" s="6">
        <f>IFERROR(__xludf.DUMMYFUNCTION("""COMPUTED_VALUE"""),0.6884490740740148)</f>
        <v>0.6884490741</v>
      </c>
      <c r="D18056" s="4">
        <f>IFERROR(__xludf.DUMMYFUNCTION("""COMPUTED_VALUE"""),12.983116)</f>
        <v>12.983116</v>
      </c>
      <c r="E18056" s="4">
        <f>IFERROR(__xludf.DUMMYFUNCTION("""COMPUTED_VALUE"""),80.169372)</f>
        <v>80.169372</v>
      </c>
      <c r="F18056" s="4">
        <f>IFERROR(__xludf.DUMMYFUNCTION("""COMPUTED_VALUE"""),805.0)</f>
        <v>805</v>
      </c>
      <c r="G18056" s="4">
        <f>IFERROR(__xludf.DUMMYFUNCTION("""COMPUTED_VALUE"""),58.0)</f>
        <v>58</v>
      </c>
      <c r="H18056" s="4"/>
      <c r="I18056" s="4"/>
    </row>
    <row r="18057">
      <c r="A18057" s="4" t="str">
        <f>IFERROR(__xludf.DUMMYFUNCTION("""COMPUTED_VALUE"""),"cas_hmw")</f>
        <v>cas_hmw</v>
      </c>
      <c r="B18057" s="5">
        <f>IFERROR(__xludf.DUMMYFUNCTION("""COMPUTED_VALUE"""),44742.0)</f>
        <v>44742</v>
      </c>
      <c r="C18057" s="6">
        <f>IFERROR(__xludf.DUMMYFUNCTION("""COMPUTED_VALUE"""),0.6885763888894871)</f>
        <v>0.6885763889</v>
      </c>
      <c r="D18057" s="4">
        <f>IFERROR(__xludf.DUMMYFUNCTION("""COMPUTED_VALUE"""),12.982804)</f>
        <v>12.982804</v>
      </c>
      <c r="E18057" s="4">
        <f>IFERROR(__xludf.DUMMYFUNCTION("""COMPUTED_VALUE"""),80.168901)</f>
        <v>80.168901</v>
      </c>
      <c r="F18057" s="4">
        <f>IFERROR(__xludf.DUMMYFUNCTION("""COMPUTED_VALUE"""),5339.0)</f>
        <v>5339</v>
      </c>
      <c r="G18057" s="4">
        <f>IFERROR(__xludf.DUMMYFUNCTION("""COMPUTED_VALUE"""),58.0)</f>
        <v>58</v>
      </c>
      <c r="H18057" s="4"/>
      <c r="I18057" s="4"/>
    </row>
    <row r="18058">
      <c r="A18058" s="4" t="str">
        <f>IFERROR(__xludf.DUMMYFUNCTION("""COMPUTED_VALUE"""),"cas_hmw")</f>
        <v>cas_hmw</v>
      </c>
      <c r="B18058" s="5">
        <f>IFERROR(__xludf.DUMMYFUNCTION("""COMPUTED_VALUE"""),44742.0)</f>
        <v>44742</v>
      </c>
      <c r="C18058" s="6">
        <f>IFERROR(__xludf.DUMMYFUNCTION("""COMPUTED_VALUE"""),0.6886342592588335)</f>
        <v>0.6886342593</v>
      </c>
      <c r="D18058" s="4">
        <f>IFERROR(__xludf.DUMMYFUNCTION("""COMPUTED_VALUE"""),12.984192)</f>
        <v>12.984192</v>
      </c>
      <c r="E18058" s="4">
        <f>IFERROR(__xludf.DUMMYFUNCTION("""COMPUTED_VALUE"""),80.171233)</f>
        <v>80.171233</v>
      </c>
      <c r="F18058" s="4">
        <f>IFERROR(__xludf.DUMMYFUNCTION("""COMPUTED_VALUE"""),805.0)</f>
        <v>805</v>
      </c>
      <c r="G18058" s="4">
        <f>IFERROR(__xludf.DUMMYFUNCTION("""COMPUTED_VALUE"""),50.0)</f>
        <v>50</v>
      </c>
      <c r="H18058" s="4"/>
      <c r="I18058" s="4"/>
    </row>
    <row r="18059">
      <c r="A18059" s="4" t="str">
        <f>IFERROR(__xludf.DUMMYFUNCTION("""COMPUTED_VALUE"""),"cas_hmw")</f>
        <v>cas_hmw</v>
      </c>
      <c r="B18059" s="5">
        <f>IFERROR(__xludf.DUMMYFUNCTION("""COMPUTED_VALUE"""),44742.0)</f>
        <v>44742</v>
      </c>
      <c r="C18059" s="6">
        <f>IFERROR(__xludf.DUMMYFUNCTION("""COMPUTED_VALUE"""),0.6888078703705105)</f>
        <v>0.6888078704</v>
      </c>
      <c r="D18059" s="4">
        <f>IFERROR(__xludf.DUMMYFUNCTION("""COMPUTED_VALUE"""),12.983994)</f>
        <v>12.983994</v>
      </c>
      <c r="E18059" s="4">
        <f>IFERROR(__xludf.DUMMYFUNCTION("""COMPUTED_VALUE"""),80.170916)</f>
        <v>80.170916</v>
      </c>
      <c r="F18059" s="4">
        <f>IFERROR(__xludf.DUMMYFUNCTION("""COMPUTED_VALUE"""),5339.0)</f>
        <v>5339</v>
      </c>
      <c r="G18059" s="4">
        <f>IFERROR(__xludf.DUMMYFUNCTION("""COMPUTED_VALUE"""),62.0)</f>
        <v>62</v>
      </c>
      <c r="H18059" s="4"/>
      <c r="I18059" s="4"/>
    </row>
    <row r="18060">
      <c r="A18060" s="4" t="str">
        <f>IFERROR(__xludf.DUMMYFUNCTION("""COMPUTED_VALUE"""),"cas_hmw")</f>
        <v>cas_hmw</v>
      </c>
      <c r="B18060" s="5">
        <f>IFERROR(__xludf.DUMMYFUNCTION("""COMPUTED_VALUE"""),44742.0)</f>
        <v>44742</v>
      </c>
      <c r="C18060" s="6">
        <f>IFERROR(__xludf.DUMMYFUNCTION("""COMPUTED_VALUE"""),0.6888657407398568)</f>
        <v>0.6888657407</v>
      </c>
      <c r="D18060" s="4">
        <f>IFERROR(__xludf.DUMMYFUNCTION("""COMPUTED_VALUE"""),12.98514)</f>
        <v>12.98514</v>
      </c>
      <c r="E18060" s="4">
        <f>IFERROR(__xludf.DUMMYFUNCTION("""COMPUTED_VALUE"""),80.172722)</f>
        <v>80.172722</v>
      </c>
      <c r="F18060" s="4">
        <f>IFERROR(__xludf.DUMMYFUNCTION("""COMPUTED_VALUE"""),5339.0)</f>
        <v>5339</v>
      </c>
      <c r="G18060" s="4">
        <f>IFERROR(__xludf.DUMMYFUNCTION("""COMPUTED_VALUE"""),45.0)</f>
        <v>45</v>
      </c>
      <c r="H18060" s="4"/>
      <c r="I18060" s="4"/>
    </row>
    <row r="18061">
      <c r="A18061" s="4" t="str">
        <f>IFERROR(__xludf.DUMMYFUNCTION("""COMPUTED_VALUE"""),"cas_hmw")</f>
        <v>cas_hmw</v>
      </c>
      <c r="B18061" s="5">
        <f>IFERROR(__xludf.DUMMYFUNCTION("""COMPUTED_VALUE"""),44742.0)</f>
        <v>44742</v>
      </c>
      <c r="C18061" s="6">
        <f>IFERROR(__xludf.DUMMYFUNCTION("""COMPUTED_VALUE"""),0.6888888888897782)</f>
        <v>0.6888888889</v>
      </c>
      <c r="D18061" s="4">
        <f>IFERROR(__xludf.DUMMYFUNCTION("""COMPUTED_VALUE"""),12.98514)</f>
        <v>12.98514</v>
      </c>
      <c r="E18061" s="4">
        <f>IFERROR(__xludf.DUMMYFUNCTION("""COMPUTED_VALUE"""),80.172722)</f>
        <v>80.172722</v>
      </c>
      <c r="F18061" s="4">
        <f>IFERROR(__xludf.DUMMYFUNCTION("""COMPUTED_VALUE"""),5339.0)</f>
        <v>5339</v>
      </c>
      <c r="G18061" s="4">
        <f>IFERROR(__xludf.DUMMYFUNCTION("""COMPUTED_VALUE"""),45.0)</f>
        <v>45</v>
      </c>
      <c r="H18061" s="4"/>
      <c r="I18061" s="4"/>
    </row>
    <row r="18062">
      <c r="A18062" s="4" t="str">
        <f>IFERROR(__xludf.DUMMYFUNCTION("""COMPUTED_VALUE"""),"cas_hmw")</f>
        <v>cas_hmw</v>
      </c>
      <c r="B18062" s="5">
        <f>IFERROR(__xludf.DUMMYFUNCTION("""COMPUTED_VALUE"""),44742.0)</f>
        <v>44742</v>
      </c>
      <c r="C18062" s="6">
        <f>IFERROR(__xludf.DUMMYFUNCTION("""COMPUTED_VALUE"""),0.6891782407401479)</f>
        <v>0.6891782407</v>
      </c>
      <c r="D18062" s="4">
        <f>IFERROR(__xludf.DUMMYFUNCTION("""COMPUTED_VALUE"""),12.98721)</f>
        <v>12.98721</v>
      </c>
      <c r="E18062" s="4">
        <f>IFERROR(__xludf.DUMMYFUNCTION("""COMPUTED_VALUE"""),80.175746)</f>
        <v>80.175746</v>
      </c>
      <c r="F18062" s="4">
        <f>IFERROR(__xludf.DUMMYFUNCTION("""COMPUTED_VALUE"""),805.0)</f>
        <v>805</v>
      </c>
      <c r="G18062" s="4">
        <f>IFERROR(__xludf.DUMMYFUNCTION("""COMPUTED_VALUE"""),41.0)</f>
        <v>41</v>
      </c>
      <c r="H18062" s="4"/>
      <c r="I18062" s="4"/>
    </row>
    <row r="18063">
      <c r="A18063" s="4" t="str">
        <f>IFERROR(__xludf.DUMMYFUNCTION("""COMPUTED_VALUE"""),"cas_hmw")</f>
        <v>cas_hmw</v>
      </c>
      <c r="B18063" s="5">
        <f>IFERROR(__xludf.DUMMYFUNCTION("""COMPUTED_VALUE"""),44742.0)</f>
        <v>44742</v>
      </c>
      <c r="C18063" s="6">
        <f>IFERROR(__xludf.DUMMYFUNCTION("""COMPUTED_VALUE"""),0.6892939814824786)</f>
        <v>0.6892939815</v>
      </c>
      <c r="D18063" s="4">
        <f>IFERROR(__xludf.DUMMYFUNCTION("""COMPUTED_VALUE"""),12.986746)</f>
        <v>12.986746</v>
      </c>
      <c r="E18063" s="4">
        <f>IFERROR(__xludf.DUMMYFUNCTION("""COMPUTED_VALUE"""),80.175081)</f>
        <v>80.175081</v>
      </c>
      <c r="F18063" s="4">
        <f>IFERROR(__xludf.DUMMYFUNCTION("""COMPUTED_VALUE"""),5339.0)</f>
        <v>5339</v>
      </c>
      <c r="G18063" s="4">
        <f>IFERROR(__xludf.DUMMYFUNCTION("""COMPUTED_VALUE"""),25.0)</f>
        <v>25</v>
      </c>
      <c r="H18063" s="4"/>
      <c r="I18063" s="4"/>
    </row>
    <row r="18064">
      <c r="A18064" s="4" t="str">
        <f>IFERROR(__xludf.DUMMYFUNCTION("""COMPUTED_VALUE"""),"cas_hmw")</f>
        <v>cas_hmw</v>
      </c>
      <c r="B18064" s="5">
        <f>IFERROR(__xludf.DUMMYFUNCTION("""COMPUTED_VALUE"""),44742.0)</f>
        <v>44742</v>
      </c>
      <c r="C18064" s="6">
        <f>IFERROR(__xludf.DUMMYFUNCTION("""COMPUTED_VALUE"""),0.6894097222211713)</f>
        <v>0.6894097222</v>
      </c>
      <c r="D18064" s="4">
        <f>IFERROR(__xludf.DUMMYFUNCTION("""COMPUTED_VALUE"""),12.987293)</f>
        <v>12.987293</v>
      </c>
      <c r="E18064" s="4">
        <f>IFERROR(__xludf.DUMMYFUNCTION("""COMPUTED_VALUE"""),80.175848)</f>
        <v>80.175848</v>
      </c>
      <c r="F18064" s="4">
        <f>IFERROR(__xludf.DUMMYFUNCTION("""COMPUTED_VALUE"""),5339.0)</f>
        <v>5339</v>
      </c>
      <c r="G18064" s="4">
        <f>IFERROR(__xludf.DUMMYFUNCTION("""COMPUTED_VALUE"""),22.0)</f>
        <v>22</v>
      </c>
      <c r="H18064" s="4"/>
      <c r="I18064" s="4"/>
    </row>
    <row r="18065">
      <c r="A18065" s="4" t="str">
        <f>IFERROR(__xludf.DUMMYFUNCTION("""COMPUTED_VALUE"""),"cas_hmw")</f>
        <v>cas_hmw</v>
      </c>
      <c r="B18065" s="5">
        <f>IFERROR(__xludf.DUMMYFUNCTION("""COMPUTED_VALUE"""),44742.0)</f>
        <v>44742</v>
      </c>
      <c r="C18065" s="6">
        <f>IFERROR(__xludf.DUMMYFUNCTION("""COMPUTED_VALUE"""),0.6896296296290529)</f>
        <v>0.6896296296</v>
      </c>
      <c r="D18065" s="4">
        <f>IFERROR(__xludf.DUMMYFUNCTION("""COMPUTED_VALUE"""),12.98807)</f>
        <v>12.98807</v>
      </c>
      <c r="E18065" s="4">
        <f>IFERROR(__xludf.DUMMYFUNCTION("""COMPUTED_VALUE"""),80.176956)</f>
        <v>80.176956</v>
      </c>
      <c r="F18065" s="4">
        <f>IFERROR(__xludf.DUMMYFUNCTION("""COMPUTED_VALUE"""),5339.0)</f>
        <v>5339</v>
      </c>
      <c r="G18065" s="4">
        <f>IFERROR(__xludf.DUMMYFUNCTION("""COMPUTED_VALUE"""),33.0)</f>
        <v>33</v>
      </c>
      <c r="H18065" s="4"/>
      <c r="I18065" s="4"/>
    </row>
    <row r="18066">
      <c r="A18066" s="4" t="str">
        <f>IFERROR(__xludf.DUMMYFUNCTION("""COMPUTED_VALUE"""),"cas_hmw")</f>
        <v>cas_hmw</v>
      </c>
      <c r="B18066" s="5">
        <f>IFERROR(__xludf.DUMMYFUNCTION("""COMPUTED_VALUE"""),44742.0)</f>
        <v>44742</v>
      </c>
      <c r="C18066" s="6">
        <f>IFERROR(__xludf.DUMMYFUNCTION("""COMPUTED_VALUE"""),0.6896643518521159)</f>
        <v>0.6896643519</v>
      </c>
      <c r="D18066" s="4">
        <f>IFERROR(__xludf.DUMMYFUNCTION("""COMPUTED_VALUE"""),12.98971)</f>
        <v>12.98971</v>
      </c>
      <c r="E18066" s="4">
        <f>IFERROR(__xludf.DUMMYFUNCTION("""COMPUTED_VALUE"""),80.179165)</f>
        <v>80.179165</v>
      </c>
      <c r="F18066" s="4">
        <f>IFERROR(__xludf.DUMMYFUNCTION("""COMPUTED_VALUE"""),805.0)</f>
        <v>805</v>
      </c>
      <c r="G18066" s="4">
        <f>IFERROR(__xludf.DUMMYFUNCTION("""COMPUTED_VALUE"""),35.0)</f>
        <v>35</v>
      </c>
      <c r="H18066" s="4"/>
      <c r="I18066" s="4"/>
    </row>
    <row r="18067">
      <c r="A18067" s="4" t="str">
        <f>IFERROR(__xludf.DUMMYFUNCTION("""COMPUTED_VALUE"""),"cas_hmw")</f>
        <v>cas_hmw</v>
      </c>
      <c r="B18067" s="5">
        <f>IFERROR(__xludf.DUMMYFUNCTION("""COMPUTED_VALUE"""),44742.0)</f>
        <v>44742</v>
      </c>
      <c r="C18067" s="6">
        <f>IFERROR(__xludf.DUMMYFUNCTION("""COMPUTED_VALUE"""),0.689768518517667)</f>
        <v>0.6897685185</v>
      </c>
      <c r="D18067" s="4">
        <f>IFERROR(__xludf.DUMMYFUNCTION("""COMPUTED_VALUE"""),12.990524)</f>
        <v>12.990524</v>
      </c>
      <c r="E18067" s="4">
        <f>IFERROR(__xludf.DUMMYFUNCTION("""COMPUTED_VALUE"""),80.18019)</f>
        <v>80.18019</v>
      </c>
      <c r="F18067" s="4">
        <f>IFERROR(__xludf.DUMMYFUNCTION("""COMPUTED_VALUE"""),805.0)</f>
        <v>805</v>
      </c>
      <c r="G18067" s="4">
        <f>IFERROR(__xludf.DUMMYFUNCTION("""COMPUTED_VALUE"""),45.0)</f>
        <v>45</v>
      </c>
      <c r="H18067" s="4"/>
      <c r="I18067" s="4"/>
    </row>
    <row r="18068">
      <c r="A18068" s="4" t="str">
        <f>IFERROR(__xludf.DUMMYFUNCTION("""COMPUTED_VALUE"""),"cas_hmw")</f>
        <v>cas_hmw</v>
      </c>
      <c r="B18068" s="5">
        <f>IFERROR(__xludf.DUMMYFUNCTION("""COMPUTED_VALUE"""),44742.0)</f>
        <v>44742</v>
      </c>
      <c r="C18068" s="6">
        <f>IFERROR(__xludf.DUMMYFUNCTION("""COMPUTED_VALUE"""),0.6898611111100763)</f>
        <v>0.6898611111</v>
      </c>
      <c r="D18068" s="4">
        <f>IFERROR(__xludf.DUMMYFUNCTION("""COMPUTED_VALUE"""),12.989081)</f>
        <v>12.989081</v>
      </c>
      <c r="E18068" s="4">
        <f>IFERROR(__xludf.DUMMYFUNCTION("""COMPUTED_VALUE"""),80.178301)</f>
        <v>80.178301</v>
      </c>
      <c r="F18068" s="4">
        <f>IFERROR(__xludf.DUMMYFUNCTION("""COMPUTED_VALUE"""),5339.0)</f>
        <v>5339</v>
      </c>
      <c r="G18068" s="4">
        <f>IFERROR(__xludf.DUMMYFUNCTION("""COMPUTED_VALUE"""),39.0)</f>
        <v>39</v>
      </c>
      <c r="H18068" s="4"/>
      <c r="I18068" s="4"/>
    </row>
    <row r="18069">
      <c r="A18069" s="4" t="str">
        <f>IFERROR(__xludf.DUMMYFUNCTION("""COMPUTED_VALUE"""),"cas_hmw")</f>
        <v>cas_hmw</v>
      </c>
      <c r="B18069" s="5">
        <f>IFERROR(__xludf.DUMMYFUNCTION("""COMPUTED_VALUE"""),44742.0)</f>
        <v>44742</v>
      </c>
      <c r="C18069" s="6">
        <f>IFERROR(__xludf.DUMMYFUNCTION("""COMPUTED_VALUE"""),0.6913773148153268)</f>
        <v>0.6913773148</v>
      </c>
      <c r="D18069" s="4">
        <f>IFERROR(__xludf.DUMMYFUNCTION("""COMPUTED_VALUE"""),12.99565)</f>
        <v>12.99565</v>
      </c>
      <c r="E18069" s="4">
        <f>IFERROR(__xludf.DUMMYFUNCTION("""COMPUTED_VALUE"""),80.188478)</f>
        <v>80.188478</v>
      </c>
      <c r="F18069" s="4">
        <f>IFERROR(__xludf.DUMMYFUNCTION("""COMPUTED_VALUE"""),5339.0)</f>
        <v>5339</v>
      </c>
      <c r="G18069" s="4">
        <f>IFERROR(__xludf.DUMMYFUNCTION("""COMPUTED_VALUE"""),0.0)</f>
        <v>0</v>
      </c>
      <c r="H18069" s="4"/>
      <c r="I18069" s="4"/>
    </row>
    <row r="18070">
      <c r="A18070" s="4" t="str">
        <f>IFERROR(__xludf.DUMMYFUNCTION("""COMPUTED_VALUE"""),"cas_hmw")</f>
        <v>cas_hmw</v>
      </c>
      <c r="B18070" s="5">
        <f>IFERROR(__xludf.DUMMYFUNCTION("""COMPUTED_VALUE"""),44742.0)</f>
        <v>44742</v>
      </c>
      <c r="C18070" s="6">
        <f>IFERROR(__xludf.DUMMYFUNCTION("""COMPUTED_VALUE"""),0.6914930555540195)</f>
        <v>0.6914930556</v>
      </c>
      <c r="D18070" s="4">
        <f>IFERROR(__xludf.DUMMYFUNCTION("""COMPUTED_VALUE"""),12.995814)</f>
        <v>12.995814</v>
      </c>
      <c r="E18070" s="4">
        <f>IFERROR(__xludf.DUMMYFUNCTION("""COMPUTED_VALUE"""),80.188761)</f>
        <v>80.188761</v>
      </c>
      <c r="F18070" s="4">
        <f>IFERROR(__xludf.DUMMYFUNCTION("""COMPUTED_VALUE"""),5339.0)</f>
        <v>5339</v>
      </c>
      <c r="G18070" s="4">
        <f>IFERROR(__xludf.DUMMYFUNCTION("""COMPUTED_VALUE"""),12.0)</f>
        <v>12</v>
      </c>
      <c r="H18070" s="4"/>
      <c r="I18070" s="4"/>
    </row>
    <row r="18071">
      <c r="A18071" s="4" t="str">
        <f>IFERROR(__xludf.DUMMYFUNCTION("""COMPUTED_VALUE"""),"cas_hmw")</f>
        <v>cas_hmw</v>
      </c>
      <c r="B18071" s="5">
        <f>IFERROR(__xludf.DUMMYFUNCTION("""COMPUTED_VALUE"""),44742.0)</f>
        <v>44742</v>
      </c>
      <c r="C18071" s="6">
        <f>IFERROR(__xludf.DUMMYFUNCTION("""COMPUTED_VALUE"""),0.6914930555540195)</f>
        <v>0.6914930556</v>
      </c>
      <c r="D18071" s="4">
        <f>IFERROR(__xludf.DUMMYFUNCTION("""COMPUTED_VALUE"""),12.995841)</f>
        <v>12.995841</v>
      </c>
      <c r="E18071" s="4">
        <f>IFERROR(__xludf.DUMMYFUNCTION("""COMPUTED_VALUE"""),80.188971)</f>
        <v>80.188971</v>
      </c>
      <c r="F18071" s="4">
        <f>IFERROR(__xludf.DUMMYFUNCTION("""COMPUTED_VALUE"""),805.0)</f>
        <v>805</v>
      </c>
      <c r="G18071" s="4">
        <f>IFERROR(__xludf.DUMMYFUNCTION("""COMPUTED_VALUE"""),11.0)</f>
        <v>11</v>
      </c>
      <c r="H18071" s="4"/>
      <c r="I18071" s="4"/>
    </row>
    <row r="18072">
      <c r="A18072" s="4" t="str">
        <f>IFERROR(__xludf.DUMMYFUNCTION("""COMPUTED_VALUE"""),"cas_hmw")</f>
        <v>cas_hmw</v>
      </c>
      <c r="B18072" s="5">
        <f>IFERROR(__xludf.DUMMYFUNCTION("""COMPUTED_VALUE"""),44742.0)</f>
        <v>44742</v>
      </c>
      <c r="C18072" s="6">
        <f>IFERROR(__xludf.DUMMYFUNCTION("""COMPUTED_VALUE"""),0.6915046296307992)</f>
        <v>0.6915046296</v>
      </c>
      <c r="D18072" s="4">
        <f>IFERROR(__xludf.DUMMYFUNCTION("""COMPUTED_VALUE"""),12.995841)</f>
        <v>12.995841</v>
      </c>
      <c r="E18072" s="4">
        <f>IFERROR(__xludf.DUMMYFUNCTION("""COMPUTED_VALUE"""),80.188971)</f>
        <v>80.188971</v>
      </c>
      <c r="F18072" s="4">
        <f>IFERROR(__xludf.DUMMYFUNCTION("""COMPUTED_VALUE"""),805.0)</f>
        <v>805</v>
      </c>
      <c r="G18072" s="4">
        <f>IFERROR(__xludf.DUMMYFUNCTION("""COMPUTED_VALUE"""),11.0)</f>
        <v>11</v>
      </c>
      <c r="H18072" s="4"/>
      <c r="I18072" s="4"/>
    </row>
    <row r="18073">
      <c r="A18073" s="4" t="str">
        <f>IFERROR(__xludf.DUMMYFUNCTION("""COMPUTED_VALUE"""),"cas_hmw")</f>
        <v>cas_hmw</v>
      </c>
      <c r="B18073" s="5">
        <f>IFERROR(__xludf.DUMMYFUNCTION("""COMPUTED_VALUE"""),44742.0)</f>
        <v>44742</v>
      </c>
      <c r="C18073" s="6">
        <f>IFERROR(__xludf.DUMMYFUNCTION("""COMPUTED_VALUE"""),0.6915046296307992)</f>
        <v>0.6915046296</v>
      </c>
      <c r="D18073" s="4">
        <f>IFERROR(__xludf.DUMMYFUNCTION("""COMPUTED_VALUE"""),12.995841)</f>
        <v>12.995841</v>
      </c>
      <c r="E18073" s="4">
        <f>IFERROR(__xludf.DUMMYFUNCTION("""COMPUTED_VALUE"""),80.188971)</f>
        <v>80.188971</v>
      </c>
      <c r="F18073" s="4">
        <f>IFERROR(__xludf.DUMMYFUNCTION("""COMPUTED_VALUE"""),805.0)</f>
        <v>805</v>
      </c>
      <c r="G18073" s="4">
        <f>IFERROR(__xludf.DUMMYFUNCTION("""COMPUTED_VALUE"""),11.0)</f>
        <v>11</v>
      </c>
      <c r="H18073" s="4"/>
      <c r="I18073" s="4"/>
    </row>
    <row r="18074">
      <c r="A18074" s="4" t="str">
        <f>IFERROR(__xludf.DUMMYFUNCTION("""COMPUTED_VALUE"""),"cas_hmw")</f>
        <v>cas_hmw</v>
      </c>
      <c r="B18074" s="5">
        <f>IFERROR(__xludf.DUMMYFUNCTION("""COMPUTED_VALUE"""),44742.0)</f>
        <v>44742</v>
      </c>
      <c r="C18074" s="6">
        <f>IFERROR(__xludf.DUMMYFUNCTION("""COMPUTED_VALUE"""),0.6915046296307992)</f>
        <v>0.6915046296</v>
      </c>
      <c r="D18074" s="4">
        <f>IFERROR(__xludf.DUMMYFUNCTION("""COMPUTED_VALUE"""),12.995841)</f>
        <v>12.995841</v>
      </c>
      <c r="E18074" s="4">
        <f>IFERROR(__xludf.DUMMYFUNCTION("""COMPUTED_VALUE"""),80.188971)</f>
        <v>80.188971</v>
      </c>
      <c r="F18074" s="4">
        <f>IFERROR(__xludf.DUMMYFUNCTION("""COMPUTED_VALUE"""),805.0)</f>
        <v>805</v>
      </c>
      <c r="G18074" s="4">
        <f>IFERROR(__xludf.DUMMYFUNCTION("""COMPUTED_VALUE"""),11.0)</f>
        <v>11</v>
      </c>
      <c r="H18074" s="4"/>
      <c r="I18074" s="4"/>
    </row>
    <row r="18075">
      <c r="A18075" s="4" t="str">
        <f>IFERROR(__xludf.DUMMYFUNCTION("""COMPUTED_VALUE"""),"cas_hmw")</f>
        <v>cas_hmw</v>
      </c>
      <c r="B18075" s="5">
        <f>IFERROR(__xludf.DUMMYFUNCTION("""COMPUTED_VALUE"""),44742.0)</f>
        <v>44742</v>
      </c>
      <c r="C18075" s="6">
        <f>IFERROR(__xludf.DUMMYFUNCTION("""COMPUTED_VALUE"""),0.6916782407424762)</f>
        <v>0.6916782407</v>
      </c>
      <c r="D18075" s="4">
        <f>IFERROR(__xludf.DUMMYFUNCTION("""COMPUTED_VALUE"""),12.9964)</f>
        <v>12.9964</v>
      </c>
      <c r="E18075" s="4">
        <f>IFERROR(__xludf.DUMMYFUNCTION("""COMPUTED_VALUE"""),80.189559)</f>
        <v>80.189559</v>
      </c>
      <c r="F18075" s="4">
        <f>IFERROR(__xludf.DUMMYFUNCTION("""COMPUTED_VALUE"""),5339.0)</f>
        <v>5339</v>
      </c>
      <c r="G18075" s="4">
        <f>IFERROR(__xludf.DUMMYFUNCTION("""COMPUTED_VALUE"""),33.0)</f>
        <v>33</v>
      </c>
      <c r="H18075" s="4"/>
      <c r="I18075" s="4"/>
    </row>
    <row r="18076">
      <c r="A18076" s="4" t="str">
        <f>IFERROR(__xludf.DUMMYFUNCTION("""COMPUTED_VALUE"""),"cas_hmw")</f>
        <v>cas_hmw</v>
      </c>
      <c r="B18076" s="5">
        <f>IFERROR(__xludf.DUMMYFUNCTION("""COMPUTED_VALUE"""),44742.0)</f>
        <v>44742</v>
      </c>
      <c r="C18076" s="6">
        <f>IFERROR(__xludf.DUMMYFUNCTION("""COMPUTED_VALUE"""),0.6916898148156179)</f>
        <v>0.6916898148</v>
      </c>
      <c r="D18076" s="4">
        <f>IFERROR(__xludf.DUMMYFUNCTION("""COMPUTED_VALUE"""),12.996446)</f>
        <v>12.996446</v>
      </c>
      <c r="E18076" s="4">
        <f>IFERROR(__xludf.DUMMYFUNCTION("""COMPUTED_VALUE"""),80.189718)</f>
        <v>80.189718</v>
      </c>
      <c r="F18076" s="4">
        <f>IFERROR(__xludf.DUMMYFUNCTION("""COMPUTED_VALUE"""),805.0)</f>
        <v>805</v>
      </c>
      <c r="G18076" s="4">
        <f>IFERROR(__xludf.DUMMYFUNCTION("""COMPUTED_VALUE"""),31.0)</f>
        <v>31</v>
      </c>
      <c r="H18076" s="4"/>
      <c r="I18076" s="4"/>
    </row>
    <row r="18077">
      <c r="A18077" s="4" t="str">
        <f>IFERROR(__xludf.DUMMYFUNCTION("""COMPUTED_VALUE"""),"cas_hmw")</f>
        <v>cas_hmw</v>
      </c>
      <c r="B18077" s="5">
        <f>IFERROR(__xludf.DUMMYFUNCTION("""COMPUTED_VALUE"""),44742.0)</f>
        <v>44742</v>
      </c>
      <c r="C18077" s="6">
        <f>IFERROR(__xludf.DUMMYFUNCTION("""COMPUTED_VALUE"""),0.6917824074080272)</f>
        <v>0.6917824074</v>
      </c>
      <c r="D18077" s="4">
        <f>IFERROR(__xludf.DUMMYFUNCTION("""COMPUTED_VALUE"""),12.9964)</f>
        <v>12.9964</v>
      </c>
      <c r="E18077" s="4">
        <f>IFERROR(__xludf.DUMMYFUNCTION("""COMPUTED_VALUE"""),80.189559)</f>
        <v>80.189559</v>
      </c>
      <c r="F18077" s="4">
        <f>IFERROR(__xludf.DUMMYFUNCTION("""COMPUTED_VALUE"""),5339.0)</f>
        <v>5339</v>
      </c>
      <c r="G18077" s="4">
        <f>IFERROR(__xludf.DUMMYFUNCTION("""COMPUTED_VALUE"""),33.0)</f>
        <v>33</v>
      </c>
      <c r="H18077" s="4"/>
      <c r="I18077" s="4"/>
    </row>
    <row r="18078">
      <c r="A18078" s="4" t="str">
        <f>IFERROR(__xludf.DUMMYFUNCTION("""COMPUTED_VALUE"""),"cas_hmw")</f>
        <v>cas_hmw</v>
      </c>
      <c r="B18078" s="5">
        <f>IFERROR(__xludf.DUMMYFUNCTION("""COMPUTED_VALUE"""),44742.0)</f>
        <v>44742</v>
      </c>
      <c r="C18078" s="6">
        <f>IFERROR(__xludf.DUMMYFUNCTION("""COMPUTED_VALUE"""),0.6918402777773736)</f>
        <v>0.6918402778</v>
      </c>
      <c r="D18078" s="4">
        <f>IFERROR(__xludf.DUMMYFUNCTION("""COMPUTED_VALUE"""),12.997352)</f>
        <v>12.997352</v>
      </c>
      <c r="E18078" s="4">
        <f>IFERROR(__xludf.DUMMYFUNCTION("""COMPUTED_VALUE"""),80.190695)</f>
        <v>80.190695</v>
      </c>
      <c r="F18078" s="4">
        <f>IFERROR(__xludf.DUMMYFUNCTION("""COMPUTED_VALUE"""),5339.0)</f>
        <v>5339</v>
      </c>
      <c r="G18078" s="4">
        <f>IFERROR(__xludf.DUMMYFUNCTION("""COMPUTED_VALUE"""),41.0)</f>
        <v>41</v>
      </c>
      <c r="H18078" s="4"/>
      <c r="I18078" s="4"/>
    </row>
    <row r="18079">
      <c r="A18079" s="4" t="str">
        <f>IFERROR(__xludf.DUMMYFUNCTION("""COMPUTED_VALUE"""),"cas_hmw")</f>
        <v>cas_hmw</v>
      </c>
      <c r="B18079" s="5">
        <f>IFERROR(__xludf.DUMMYFUNCTION("""COMPUTED_VALUE"""),44742.0)</f>
        <v>44742</v>
      </c>
      <c r="C18079" s="6">
        <f>IFERROR(__xludf.DUMMYFUNCTION("""COMPUTED_VALUE"""),0.6918634259272949)</f>
        <v>0.6918634259</v>
      </c>
      <c r="D18079" s="4">
        <f>IFERROR(__xludf.DUMMYFUNCTION("""COMPUTED_VALUE"""),12.99756)</f>
        <v>12.99756</v>
      </c>
      <c r="E18079" s="4">
        <f>IFERROR(__xludf.DUMMYFUNCTION("""COMPUTED_VALUE"""),80.190996)</f>
        <v>80.190996</v>
      </c>
      <c r="F18079" s="4">
        <f>IFERROR(__xludf.DUMMYFUNCTION("""COMPUTED_VALUE"""),805.0)</f>
        <v>805</v>
      </c>
      <c r="G18079" s="4">
        <f>IFERROR(__xludf.DUMMYFUNCTION("""COMPUTED_VALUE"""),37.0)</f>
        <v>37</v>
      </c>
      <c r="H18079" s="4"/>
      <c r="I18079" s="4"/>
    </row>
    <row r="18080">
      <c r="A18080" s="4" t="str">
        <f>IFERROR(__xludf.DUMMYFUNCTION("""COMPUTED_VALUE"""),"cas_hmw")</f>
        <v>cas_hmw</v>
      </c>
      <c r="B18080" s="5">
        <f>IFERROR(__xludf.DUMMYFUNCTION("""COMPUTED_VALUE"""),44742.0)</f>
        <v>44742</v>
      </c>
      <c r="C18080" s="6">
        <f>IFERROR(__xludf.DUMMYFUNCTION("""COMPUTED_VALUE"""),0.6921875000007276)</f>
        <v>0.6921875</v>
      </c>
      <c r="D18080" s="4">
        <f>IFERROR(__xludf.DUMMYFUNCTION("""COMPUTED_VALUE"""),12.998343)</f>
        <v>12.998343</v>
      </c>
      <c r="E18080" s="4">
        <f>IFERROR(__xludf.DUMMYFUNCTION("""COMPUTED_VALUE"""),80.191961)</f>
        <v>80.191961</v>
      </c>
      <c r="F18080" s="4">
        <f>IFERROR(__xludf.DUMMYFUNCTION("""COMPUTED_VALUE"""),5339.0)</f>
        <v>5339</v>
      </c>
      <c r="G18080" s="4">
        <f>IFERROR(__xludf.DUMMYFUNCTION("""COMPUTED_VALUE"""),38.0)</f>
        <v>38</v>
      </c>
      <c r="H18080" s="4"/>
      <c r="I18080" s="4"/>
    </row>
    <row r="18081">
      <c r="A18081" s="4" t="str">
        <f>IFERROR(__xludf.DUMMYFUNCTION("""COMPUTED_VALUE"""),"cas_hmw")</f>
        <v>cas_hmw</v>
      </c>
      <c r="B18081" s="5">
        <f>IFERROR(__xludf.DUMMYFUNCTION("""COMPUTED_VALUE"""),44742.0)</f>
        <v>44742</v>
      </c>
      <c r="C18081" s="6">
        <f>IFERROR(__xludf.DUMMYFUNCTION("""COMPUTED_VALUE"""),0.6922222222237906)</f>
        <v>0.6922222222</v>
      </c>
      <c r="D18081" s="4">
        <f>IFERROR(__xludf.DUMMYFUNCTION("""COMPUTED_VALUE"""),12.732891)</f>
        <v>12.732891</v>
      </c>
      <c r="E18081" s="4">
        <f>IFERROR(__xludf.DUMMYFUNCTION("""COMPUTED_VALUE"""),79.983545)</f>
        <v>79.983545</v>
      </c>
      <c r="F18081" s="4">
        <f>IFERROR(__xludf.DUMMYFUNCTION("""COMPUTED_VALUE"""),2846.0)</f>
        <v>2846</v>
      </c>
      <c r="G18081" s="4">
        <f>IFERROR(__xludf.DUMMYFUNCTION("""COMPUTED_VALUE"""),57.0)</f>
        <v>57</v>
      </c>
      <c r="H18081" s="4"/>
      <c r="I18081" s="4"/>
    </row>
    <row r="18082">
      <c r="A18082" s="4" t="str">
        <f>IFERROR(__xludf.DUMMYFUNCTION("""COMPUTED_VALUE"""),"cas_hmw")</f>
        <v>cas_hmw</v>
      </c>
      <c r="B18082" s="5">
        <f>IFERROR(__xludf.DUMMYFUNCTION("""COMPUTED_VALUE"""),44742.0)</f>
        <v>44742</v>
      </c>
      <c r="C18082" s="6">
        <f>IFERROR(__xludf.DUMMYFUNCTION("""COMPUTED_VALUE"""),0.6923263888893416)</f>
        <v>0.6923263889</v>
      </c>
      <c r="D18082" s="4">
        <f>IFERROR(__xludf.DUMMYFUNCTION("""COMPUTED_VALUE"""),12.99965)</f>
        <v>12.99965</v>
      </c>
      <c r="E18082" s="4">
        <f>IFERROR(__xludf.DUMMYFUNCTION("""COMPUTED_VALUE"""),80.193626)</f>
        <v>80.193626</v>
      </c>
      <c r="F18082" s="4">
        <f>IFERROR(__xludf.DUMMYFUNCTION("""COMPUTED_VALUE"""),805.0)</f>
        <v>805</v>
      </c>
      <c r="G18082" s="4">
        <f>IFERROR(__xludf.DUMMYFUNCTION("""COMPUTED_VALUE"""),43.0)</f>
        <v>43</v>
      </c>
      <c r="H18082" s="4"/>
      <c r="I18082" s="4"/>
    </row>
    <row r="18083">
      <c r="A18083" s="4" t="str">
        <f>IFERROR(__xludf.DUMMYFUNCTION("""COMPUTED_VALUE"""),"cas_hmw")</f>
        <v>cas_hmw</v>
      </c>
      <c r="B18083" s="5">
        <f>IFERROR(__xludf.DUMMYFUNCTION("""COMPUTED_VALUE"""),44742.0)</f>
        <v>44742</v>
      </c>
      <c r="C18083" s="6">
        <f>IFERROR(__xludf.DUMMYFUNCTION("""COMPUTED_VALUE"""),0.692349537035625)</f>
        <v>0.692349537</v>
      </c>
      <c r="D18083" s="4">
        <f>IFERROR(__xludf.DUMMYFUNCTION("""COMPUTED_VALUE"""),12.999402)</f>
        <v>12.999402</v>
      </c>
      <c r="E18083" s="4">
        <f>IFERROR(__xludf.DUMMYFUNCTION("""COMPUTED_VALUE"""),80.193356)</f>
        <v>80.193356</v>
      </c>
      <c r="F18083" s="4">
        <f>IFERROR(__xludf.DUMMYFUNCTION("""COMPUTED_VALUE"""),5339.0)</f>
        <v>5339</v>
      </c>
      <c r="G18083" s="4">
        <f>IFERROR(__xludf.DUMMYFUNCTION("""COMPUTED_VALUE"""),39.0)</f>
        <v>39</v>
      </c>
      <c r="H18083" s="4"/>
      <c r="I18083" s="4"/>
    </row>
    <row r="18084">
      <c r="A18084" s="4" t="str">
        <f>IFERROR(__xludf.DUMMYFUNCTION("""COMPUTED_VALUE"""),"cas_hmw")</f>
        <v>cas_hmw</v>
      </c>
      <c r="B18084" s="5">
        <f>IFERROR(__xludf.DUMMYFUNCTION("""COMPUTED_VALUE"""),44742.0)</f>
        <v>44742</v>
      </c>
      <c r="C18084" s="6">
        <f>IFERROR(__xludf.DUMMYFUNCTION("""COMPUTED_VALUE"""),0.6924768518510973)</f>
        <v>0.6924768519</v>
      </c>
      <c r="D18084" s="4">
        <f>IFERROR(__xludf.DUMMYFUNCTION("""COMPUTED_VALUE"""),13.000648)</f>
        <v>13.000648</v>
      </c>
      <c r="E18084" s="4">
        <f>IFERROR(__xludf.DUMMYFUNCTION("""COMPUTED_VALUE"""),80.194872)</f>
        <v>80.194872</v>
      </c>
      <c r="F18084" s="4">
        <f>IFERROR(__xludf.DUMMYFUNCTION("""COMPUTED_VALUE"""),805.0)</f>
        <v>805</v>
      </c>
      <c r="G18084" s="4">
        <f>IFERROR(__xludf.DUMMYFUNCTION("""COMPUTED_VALUE"""),35.0)</f>
        <v>35</v>
      </c>
      <c r="H18084" s="4"/>
      <c r="I18084" s="4"/>
    </row>
    <row r="18085">
      <c r="A18085" s="4" t="str">
        <f>IFERROR(__xludf.DUMMYFUNCTION("""COMPUTED_VALUE"""),"cas_hmw")</f>
        <v>cas_hmw</v>
      </c>
      <c r="B18085" s="5">
        <f>IFERROR(__xludf.DUMMYFUNCTION("""COMPUTED_VALUE"""),44742.0)</f>
        <v>44742</v>
      </c>
      <c r="C18085" s="6">
        <f>IFERROR(__xludf.DUMMYFUNCTION("""COMPUTED_VALUE"""),0.6926504629627743)</f>
        <v>0.692650463</v>
      </c>
      <c r="D18085" s="4">
        <f>IFERROR(__xludf.DUMMYFUNCTION("""COMPUTED_VALUE"""),13.001963)</f>
        <v>13.001963</v>
      </c>
      <c r="E18085" s="4">
        <f>IFERROR(__xludf.DUMMYFUNCTION("""COMPUTED_VALUE"""),80.196651)</f>
        <v>80.196651</v>
      </c>
      <c r="F18085" s="4">
        <f>IFERROR(__xludf.DUMMYFUNCTION("""COMPUTED_VALUE"""),805.0)</f>
        <v>805</v>
      </c>
      <c r="G18085" s="4">
        <f>IFERROR(__xludf.DUMMYFUNCTION("""COMPUTED_VALUE"""),39.0)</f>
        <v>39</v>
      </c>
      <c r="H18085" s="4"/>
      <c r="I18085" s="4"/>
    </row>
    <row r="18086">
      <c r="A18086" s="4" t="str">
        <f>IFERROR(__xludf.DUMMYFUNCTION("""COMPUTED_VALUE"""),"cas_hmw")</f>
        <v>cas_hmw</v>
      </c>
      <c r="B18086" s="5">
        <f>IFERROR(__xludf.DUMMYFUNCTION("""COMPUTED_VALUE"""),44742.0)</f>
        <v>44742</v>
      </c>
      <c r="C18086" s="6">
        <f>IFERROR(__xludf.DUMMYFUNCTION("""COMPUTED_VALUE"""),0.6928472222207347)</f>
        <v>0.6928472222</v>
      </c>
      <c r="D18086" s="4">
        <f>IFERROR(__xludf.DUMMYFUNCTION("""COMPUTED_VALUE"""),13.002093)</f>
        <v>13.002093</v>
      </c>
      <c r="E18086" s="4">
        <f>IFERROR(__xludf.DUMMYFUNCTION("""COMPUTED_VALUE"""),80.197277)</f>
        <v>80.197277</v>
      </c>
      <c r="F18086" s="4">
        <f>IFERROR(__xludf.DUMMYFUNCTION("""COMPUTED_VALUE"""),5339.0)</f>
        <v>5339</v>
      </c>
      <c r="G18086" s="4">
        <f>IFERROR(__xludf.DUMMYFUNCTION("""COMPUTED_VALUE"""),45.0)</f>
        <v>45</v>
      </c>
      <c r="H18086" s="4"/>
      <c r="I18086" s="4"/>
    </row>
    <row r="18087">
      <c r="A18087" s="4" t="str">
        <f>IFERROR(__xludf.DUMMYFUNCTION("""COMPUTED_VALUE"""),"cas_hmw")</f>
        <v>cas_hmw</v>
      </c>
      <c r="B18087" s="5">
        <f>IFERROR(__xludf.DUMMYFUNCTION("""COMPUTED_VALUE"""),44742.0)</f>
        <v>44742</v>
      </c>
      <c r="C18087" s="6">
        <f>IFERROR(__xludf.DUMMYFUNCTION("""COMPUTED_VALUE"""),0.692905092593719)</f>
        <v>0.6929050926</v>
      </c>
      <c r="D18087" s="4">
        <f>IFERROR(__xludf.DUMMYFUNCTION("""COMPUTED_VALUE"""),12.724601)</f>
        <v>12.724601</v>
      </c>
      <c r="E18087" s="4">
        <f>IFERROR(__xludf.DUMMYFUNCTION("""COMPUTED_VALUE"""),79.982092)</f>
        <v>79.982092</v>
      </c>
      <c r="F18087" s="4">
        <f>IFERROR(__xludf.DUMMYFUNCTION("""COMPUTED_VALUE"""),2846.0)</f>
        <v>2846</v>
      </c>
      <c r="G18087" s="4">
        <f>IFERROR(__xludf.DUMMYFUNCTION("""COMPUTED_VALUE"""),32.0)</f>
        <v>32</v>
      </c>
      <c r="H18087" s="4"/>
      <c r="I18087" s="4"/>
    </row>
    <row r="18088">
      <c r="A18088" s="4" t="str">
        <f>IFERROR(__xludf.DUMMYFUNCTION("""COMPUTED_VALUE"""),"cas_hmw")</f>
        <v>cas_hmw</v>
      </c>
      <c r="B18088" s="5">
        <f>IFERROR(__xludf.DUMMYFUNCTION("""COMPUTED_VALUE"""),44742.0)</f>
        <v>44742</v>
      </c>
      <c r="C18088" s="6">
        <f>IFERROR(__xludf.DUMMYFUNCTION("""COMPUTED_VALUE"""),0.692905092593719)</f>
        <v>0.6929050926</v>
      </c>
      <c r="D18088" s="4">
        <f>IFERROR(__xludf.DUMMYFUNCTION("""COMPUTED_VALUE"""),13.002093)</f>
        <v>13.002093</v>
      </c>
      <c r="E18088" s="4">
        <f>IFERROR(__xludf.DUMMYFUNCTION("""COMPUTED_VALUE"""),80.197277)</f>
        <v>80.197277</v>
      </c>
      <c r="F18088" s="4">
        <f>IFERROR(__xludf.DUMMYFUNCTION("""COMPUTED_VALUE"""),5339.0)</f>
        <v>5339</v>
      </c>
      <c r="G18088" s="4">
        <f>IFERROR(__xludf.DUMMYFUNCTION("""COMPUTED_VALUE"""),45.0)</f>
        <v>45</v>
      </c>
      <c r="H18088" s="4"/>
      <c r="I18088" s="4"/>
    </row>
    <row r="18089">
      <c r="A18089" s="4" t="str">
        <f>IFERROR(__xludf.DUMMYFUNCTION("""COMPUTED_VALUE"""),"cas_hmw")</f>
        <v>cas_hmw</v>
      </c>
      <c r="B18089" s="5">
        <f>IFERROR(__xludf.DUMMYFUNCTION("""COMPUTED_VALUE"""),44742.0)</f>
        <v>44742</v>
      </c>
      <c r="C18089" s="6">
        <f>IFERROR(__xludf.DUMMYFUNCTION("""COMPUTED_VALUE"""),0.693078703705396)</f>
        <v>0.6930787037</v>
      </c>
      <c r="D18089" s="4">
        <f>IFERROR(__xludf.DUMMYFUNCTION("""COMPUTED_VALUE"""),13.002344)</f>
        <v>13.002344</v>
      </c>
      <c r="E18089" s="4">
        <f>IFERROR(__xludf.DUMMYFUNCTION("""COMPUTED_VALUE"""),80.20043)</f>
        <v>80.20043</v>
      </c>
      <c r="F18089" s="4">
        <f>IFERROR(__xludf.DUMMYFUNCTION("""COMPUTED_VALUE"""),805.0)</f>
        <v>805</v>
      </c>
      <c r="G18089" s="4">
        <f>IFERROR(__xludf.DUMMYFUNCTION("""COMPUTED_VALUE"""),52.0)</f>
        <v>52</v>
      </c>
      <c r="H18089" s="4"/>
      <c r="I18089" s="4"/>
    </row>
    <row r="18090">
      <c r="A18090" s="4" t="str">
        <f>IFERROR(__xludf.DUMMYFUNCTION("""COMPUTED_VALUE"""),"cas_hmw")</f>
        <v>cas_hmw</v>
      </c>
      <c r="B18090" s="5">
        <f>IFERROR(__xludf.DUMMYFUNCTION("""COMPUTED_VALUE"""),44742.0)</f>
        <v>44742</v>
      </c>
      <c r="C18090" s="6">
        <f>IFERROR(__xludf.DUMMYFUNCTION("""COMPUTED_VALUE"""),0.6933217592595611)</f>
        <v>0.6933217593</v>
      </c>
      <c r="D18090" s="4">
        <f>IFERROR(__xludf.DUMMYFUNCTION("""COMPUTED_VALUE"""),13.004248)</f>
        <v>13.004248</v>
      </c>
      <c r="E18090" s="4">
        <f>IFERROR(__xludf.DUMMYFUNCTION("""COMPUTED_VALUE"""),80.201009)</f>
        <v>80.201009</v>
      </c>
      <c r="F18090" s="4">
        <f>IFERROR(__xludf.DUMMYFUNCTION("""COMPUTED_VALUE"""),805.0)</f>
        <v>805</v>
      </c>
      <c r="G18090" s="4">
        <f>IFERROR(__xludf.DUMMYFUNCTION("""COMPUTED_VALUE"""),16.0)</f>
        <v>16</v>
      </c>
      <c r="H18090" s="4"/>
      <c r="I18090" s="4"/>
    </row>
    <row r="18091">
      <c r="A18091" s="4" t="str">
        <f>IFERROR(__xludf.DUMMYFUNCTION("""COMPUTED_VALUE"""),"cas_hmw")</f>
        <v>cas_hmw</v>
      </c>
      <c r="B18091" s="5">
        <f>IFERROR(__xludf.DUMMYFUNCTION("""COMPUTED_VALUE"""),44742.0)</f>
        <v>44742</v>
      </c>
      <c r="C18091" s="6">
        <f>IFERROR(__xludf.DUMMYFUNCTION("""COMPUTED_VALUE"""),0.6935995370367891)</f>
        <v>0.693599537</v>
      </c>
      <c r="D18091" s="4">
        <f>IFERROR(__xludf.DUMMYFUNCTION("""COMPUTED_VALUE"""),13.006144)</f>
        <v>13.006144</v>
      </c>
      <c r="E18091" s="4">
        <f>IFERROR(__xludf.DUMMYFUNCTION("""COMPUTED_VALUE"""),80.20281)</f>
        <v>80.20281</v>
      </c>
      <c r="F18091" s="4">
        <f>IFERROR(__xludf.DUMMYFUNCTION("""COMPUTED_VALUE"""),805.0)</f>
        <v>805</v>
      </c>
      <c r="G18091" s="4">
        <f>IFERROR(__xludf.DUMMYFUNCTION("""COMPUTED_VALUE"""),49.0)</f>
        <v>49</v>
      </c>
      <c r="H18091" s="4"/>
      <c r="I18091" s="4"/>
    </row>
    <row r="18092">
      <c r="A18092" s="4" t="str">
        <f>IFERROR(__xludf.DUMMYFUNCTION("""COMPUTED_VALUE"""),"cas_hmw")</f>
        <v>cas_hmw</v>
      </c>
      <c r="B18092" s="5">
        <f>IFERROR(__xludf.DUMMYFUNCTION("""COMPUTED_VALUE"""),44742.0)</f>
        <v>44742</v>
      </c>
      <c r="C18092" s="6">
        <f>IFERROR(__xludf.DUMMYFUNCTION("""COMPUTED_VALUE"""),0.6937847222216078)</f>
        <v>0.6937847222</v>
      </c>
      <c r="D18092" s="4">
        <f>IFERROR(__xludf.DUMMYFUNCTION("""COMPUTED_VALUE"""),13.005907)</f>
        <v>13.005907</v>
      </c>
      <c r="E18092" s="4">
        <f>IFERROR(__xludf.DUMMYFUNCTION("""COMPUTED_VALUE"""),80.202406)</f>
        <v>80.202406</v>
      </c>
      <c r="F18092" s="4">
        <f>IFERROR(__xludf.DUMMYFUNCTION("""COMPUTED_VALUE"""),5339.0)</f>
        <v>5339</v>
      </c>
      <c r="G18092" s="4">
        <f>IFERROR(__xludf.DUMMYFUNCTION("""COMPUTED_VALUE"""),48.0)</f>
        <v>48</v>
      </c>
      <c r="H18092" s="4"/>
      <c r="I18092" s="4"/>
    </row>
    <row r="18093">
      <c r="A18093" s="4" t="str">
        <f>IFERROR(__xludf.DUMMYFUNCTION("""COMPUTED_VALUE"""),"cas_hmw")</f>
        <v>cas_hmw</v>
      </c>
      <c r="B18093" s="5">
        <f>IFERROR(__xludf.DUMMYFUNCTION("""COMPUTED_VALUE"""),44742.0)</f>
        <v>44742</v>
      </c>
      <c r="C18093" s="6">
        <f>IFERROR(__xludf.DUMMYFUNCTION("""COMPUTED_VALUE"""),0.6944097222221899)</f>
        <v>0.6944097222</v>
      </c>
      <c r="D18093" s="4">
        <f>IFERROR(__xludf.DUMMYFUNCTION("""COMPUTED_VALUE"""),13.007686)</f>
        <v>13.007686</v>
      </c>
      <c r="E18093" s="4">
        <f>IFERROR(__xludf.DUMMYFUNCTION("""COMPUTED_VALUE"""),80.205928)</f>
        <v>80.205928</v>
      </c>
      <c r="F18093" s="4">
        <f>IFERROR(__xludf.DUMMYFUNCTION("""COMPUTED_VALUE"""),805.0)</f>
        <v>805</v>
      </c>
      <c r="G18093" s="4">
        <f>IFERROR(__xludf.DUMMYFUNCTION("""COMPUTED_VALUE"""),61.0)</f>
        <v>61</v>
      </c>
      <c r="H18093" s="4"/>
      <c r="I18093" s="4"/>
    </row>
    <row r="18094">
      <c r="A18094" s="4" t="str">
        <f>IFERROR(__xludf.DUMMYFUNCTION("""COMPUTED_VALUE"""),"cas_hmw")</f>
        <v>cas_hmw</v>
      </c>
      <c r="B18094" s="5">
        <f>IFERROR(__xludf.DUMMYFUNCTION("""COMPUTED_VALUE"""),44742.0)</f>
        <v>44742</v>
      </c>
      <c r="C18094" s="6">
        <f>IFERROR(__xludf.DUMMYFUNCTION("""COMPUTED_VALUE"""),0.6946759259262762)</f>
        <v>0.6946759259</v>
      </c>
      <c r="D18094" s="4">
        <f>IFERROR(__xludf.DUMMYFUNCTION("""COMPUTED_VALUE"""),13.008319)</f>
        <v>13.008319</v>
      </c>
      <c r="E18094" s="4">
        <f>IFERROR(__xludf.DUMMYFUNCTION("""COMPUTED_VALUE"""),80.209792)</f>
        <v>80.209792</v>
      </c>
      <c r="F18094" s="4">
        <f>IFERROR(__xludf.DUMMYFUNCTION("""COMPUTED_VALUE"""),805.0)</f>
        <v>805</v>
      </c>
      <c r="G18094" s="4">
        <f>IFERROR(__xludf.DUMMYFUNCTION("""COMPUTED_VALUE"""),45.0)</f>
        <v>45</v>
      </c>
      <c r="H18094" s="4"/>
      <c r="I18094" s="4"/>
    </row>
    <row r="18095">
      <c r="A18095" s="4" t="str">
        <f>IFERROR(__xludf.DUMMYFUNCTION("""COMPUTED_VALUE"""),"cas_hmw")</f>
        <v>cas_hmw</v>
      </c>
      <c r="B18095" s="5">
        <f>IFERROR(__xludf.DUMMYFUNCTION("""COMPUTED_VALUE"""),44742.0)</f>
        <v>44742</v>
      </c>
      <c r="C18095" s="6">
        <f>IFERROR(__xludf.DUMMYFUNCTION("""COMPUTED_VALUE"""),0.6948726851842366)</f>
        <v>0.6948726852</v>
      </c>
      <c r="D18095" s="4">
        <f>IFERROR(__xludf.DUMMYFUNCTION("""COMPUTED_VALUE"""),13.008606)</f>
        <v>13.008606</v>
      </c>
      <c r="E18095" s="4">
        <f>IFERROR(__xludf.DUMMYFUNCTION("""COMPUTED_VALUE"""),80.210664)</f>
        <v>80.210664</v>
      </c>
      <c r="F18095" s="4">
        <f>IFERROR(__xludf.DUMMYFUNCTION("""COMPUTED_VALUE"""),5339.0)</f>
        <v>5339</v>
      </c>
      <c r="G18095" s="4">
        <f>IFERROR(__xludf.DUMMYFUNCTION("""COMPUTED_VALUE"""),46.0)</f>
        <v>46</v>
      </c>
      <c r="H18095" s="4"/>
      <c r="I18095" s="4"/>
    </row>
    <row r="18096">
      <c r="A18096" s="4" t="str">
        <f>IFERROR(__xludf.DUMMYFUNCTION("""COMPUTED_VALUE"""),"cas_hmw")</f>
        <v>cas_hmw</v>
      </c>
      <c r="B18096" s="5">
        <f>IFERROR(__xludf.DUMMYFUNCTION("""COMPUTED_VALUE"""),44742.0)</f>
        <v>44742</v>
      </c>
      <c r="C18096" s="6">
        <f>IFERROR(__xludf.DUMMYFUNCTION("""COMPUTED_VALUE"""),0.6948958333341579)</f>
        <v>0.6948958333</v>
      </c>
      <c r="D18096" s="4">
        <f>IFERROR(__xludf.DUMMYFUNCTION("""COMPUTED_VALUE"""),13.008877)</f>
        <v>13.008877</v>
      </c>
      <c r="E18096" s="4">
        <f>IFERROR(__xludf.DUMMYFUNCTION("""COMPUTED_VALUE"""),80.211429)</f>
        <v>80.211429</v>
      </c>
      <c r="F18096" s="4">
        <f>IFERROR(__xludf.DUMMYFUNCTION("""COMPUTED_VALUE"""),805.0)</f>
        <v>805</v>
      </c>
      <c r="G18096" s="4">
        <f>IFERROR(__xludf.DUMMYFUNCTION("""COMPUTED_VALUE"""),35.0)</f>
        <v>35</v>
      </c>
      <c r="H18096" s="4"/>
      <c r="I18096" s="4"/>
    </row>
    <row r="18097">
      <c r="A18097" s="4" t="str">
        <f>IFERROR(__xludf.DUMMYFUNCTION("""COMPUTED_VALUE"""),"cas_hmw")</f>
        <v>cas_hmw</v>
      </c>
      <c r="B18097" s="5">
        <f>IFERROR(__xludf.DUMMYFUNCTION("""COMPUTED_VALUE"""),44742.0)</f>
        <v>44742</v>
      </c>
      <c r="C18097" s="6">
        <f>IFERROR(__xludf.DUMMYFUNCTION("""COMPUTED_VALUE"""),0.6950810185189766)</f>
        <v>0.6950810185</v>
      </c>
      <c r="D18097" s="4">
        <f>IFERROR(__xludf.DUMMYFUNCTION("""COMPUTED_VALUE"""),13.009204)</f>
        <v>13.009204</v>
      </c>
      <c r="E18097" s="4">
        <f>IFERROR(__xludf.DUMMYFUNCTION("""COMPUTED_VALUE"""),80.21233)</f>
        <v>80.21233</v>
      </c>
      <c r="F18097" s="4">
        <f>IFERROR(__xludf.DUMMYFUNCTION("""COMPUTED_VALUE"""),5339.0)</f>
        <v>5339</v>
      </c>
      <c r="G18097" s="4">
        <f>IFERROR(__xludf.DUMMYFUNCTION("""COMPUTED_VALUE"""),39.0)</f>
        <v>39</v>
      </c>
      <c r="H18097" s="4"/>
      <c r="I18097" s="4"/>
    </row>
    <row r="18098">
      <c r="A18098" s="4" t="str">
        <f>IFERROR(__xludf.DUMMYFUNCTION("""COMPUTED_VALUE"""),"cas_hmw")</f>
        <v>cas_hmw</v>
      </c>
      <c r="B18098" s="5">
        <f>IFERROR(__xludf.DUMMYFUNCTION("""COMPUTED_VALUE"""),44742.0)</f>
        <v>44742</v>
      </c>
      <c r="C18098" s="6">
        <f>IFERROR(__xludf.DUMMYFUNCTION("""COMPUTED_VALUE"""),0.695451388888614)</f>
        <v>0.6954513889</v>
      </c>
      <c r="D18098" s="4">
        <f>IFERROR(__xludf.DUMMYFUNCTION("""COMPUTED_VALUE"""),13.010161)</f>
        <v>13.010161</v>
      </c>
      <c r="E18098" s="4">
        <f>IFERROR(__xludf.DUMMYFUNCTION("""COMPUTED_VALUE"""),80.21507)</f>
        <v>80.21507</v>
      </c>
      <c r="F18098" s="4">
        <f>IFERROR(__xludf.DUMMYFUNCTION("""COMPUTED_VALUE"""),5339.0)</f>
        <v>5339</v>
      </c>
      <c r="G18098" s="4">
        <f>IFERROR(__xludf.DUMMYFUNCTION("""COMPUTED_VALUE"""),39.0)</f>
        <v>39</v>
      </c>
      <c r="H18098" s="4"/>
      <c r="I18098" s="4"/>
    </row>
    <row r="18099">
      <c r="A18099" s="4" t="str">
        <f>IFERROR(__xludf.DUMMYFUNCTION("""COMPUTED_VALUE"""),"cas_hmw")</f>
        <v>cas_hmw</v>
      </c>
      <c r="B18099" s="5">
        <f>IFERROR(__xludf.DUMMYFUNCTION("""COMPUTED_VALUE"""),44742.0)</f>
        <v>44742</v>
      </c>
      <c r="C18099" s="6">
        <f>IFERROR(__xludf.DUMMYFUNCTION("""COMPUTED_VALUE"""),0.6956481481465744)</f>
        <v>0.6956481481</v>
      </c>
      <c r="D18099" s="4">
        <f>IFERROR(__xludf.DUMMYFUNCTION("""COMPUTED_VALUE"""),13.01077)</f>
        <v>13.01077</v>
      </c>
      <c r="E18099" s="4">
        <f>IFERROR(__xludf.DUMMYFUNCTION("""COMPUTED_VALUE"""),80.216829)</f>
        <v>80.216829</v>
      </c>
      <c r="F18099" s="4">
        <f>IFERROR(__xludf.DUMMYFUNCTION("""COMPUTED_VALUE"""),5339.0)</f>
        <v>5339</v>
      </c>
      <c r="G18099" s="4">
        <f>IFERROR(__xludf.DUMMYFUNCTION("""COMPUTED_VALUE"""),55.0)</f>
        <v>55</v>
      </c>
      <c r="H18099" s="4"/>
      <c r="I18099" s="4"/>
    </row>
    <row r="18100">
      <c r="A18100" s="4" t="str">
        <f>IFERROR(__xludf.DUMMYFUNCTION("""COMPUTED_VALUE"""),"cas_hmw")</f>
        <v>cas_hmw</v>
      </c>
      <c r="B18100" s="5">
        <f>IFERROR(__xludf.DUMMYFUNCTION("""COMPUTED_VALUE"""),44742.0)</f>
        <v>44742</v>
      </c>
      <c r="C18100" s="6">
        <f>IFERROR(__xludf.DUMMYFUNCTION("""COMPUTED_VALUE"""),0.6958333333350311)</f>
        <v>0.6958333333</v>
      </c>
      <c r="D18100" s="4">
        <f>IFERROR(__xludf.DUMMYFUNCTION("""COMPUTED_VALUE"""),13.01077)</f>
        <v>13.01077</v>
      </c>
      <c r="E18100" s="4">
        <f>IFERROR(__xludf.DUMMYFUNCTION("""COMPUTED_VALUE"""),80.216829)</f>
        <v>80.216829</v>
      </c>
      <c r="F18100" s="4">
        <f>IFERROR(__xludf.DUMMYFUNCTION("""COMPUTED_VALUE"""),5339.0)</f>
        <v>5339</v>
      </c>
      <c r="G18100" s="4">
        <f>IFERROR(__xludf.DUMMYFUNCTION("""COMPUTED_VALUE"""),55.0)</f>
        <v>55</v>
      </c>
      <c r="H18100" s="4"/>
      <c r="I18100" s="4"/>
    </row>
    <row r="18101">
      <c r="A18101" s="4" t="str">
        <f>IFERROR(__xludf.DUMMYFUNCTION("""COMPUTED_VALUE"""),"cas_hmw")</f>
        <v>cas_hmw</v>
      </c>
      <c r="B18101" s="5">
        <f>IFERROR(__xludf.DUMMYFUNCTION("""COMPUTED_VALUE"""),44742.0)</f>
        <v>44742</v>
      </c>
      <c r="C18101" s="6">
        <f>IFERROR(__xludf.DUMMYFUNCTION("""COMPUTED_VALUE"""),0.6960763888891961)</f>
        <v>0.6960763889</v>
      </c>
      <c r="D18101" s="4">
        <f>IFERROR(__xludf.DUMMYFUNCTION("""COMPUTED_VALUE"""),13.012204)</f>
        <v>13.012204</v>
      </c>
      <c r="E18101" s="4">
        <f>IFERROR(__xludf.DUMMYFUNCTION("""COMPUTED_VALUE"""),80.220699)</f>
        <v>80.220699</v>
      </c>
      <c r="F18101" s="4">
        <f>IFERROR(__xludf.DUMMYFUNCTION("""COMPUTED_VALUE"""),5339.0)</f>
        <v>5339</v>
      </c>
      <c r="G18101" s="4">
        <f>IFERROR(__xludf.DUMMYFUNCTION("""COMPUTED_VALUE"""),28.0)</f>
        <v>28</v>
      </c>
      <c r="H18101" s="4"/>
      <c r="I18101" s="4"/>
    </row>
    <row r="18102">
      <c r="A18102" s="4" t="str">
        <f>IFERROR(__xludf.DUMMYFUNCTION("""COMPUTED_VALUE"""),"cas_hmw")</f>
        <v>cas_hmw</v>
      </c>
      <c r="B18102" s="5">
        <f>IFERROR(__xludf.DUMMYFUNCTION("""COMPUTED_VALUE"""),44742.0)</f>
        <v>44742</v>
      </c>
      <c r="C18102" s="6">
        <f>IFERROR(__xludf.DUMMYFUNCTION("""COMPUTED_VALUE"""),0.6960879629623378)</f>
        <v>0.696087963</v>
      </c>
      <c r="D18102" s="4">
        <f>IFERROR(__xludf.DUMMYFUNCTION("""COMPUTED_VALUE"""),13.010318)</f>
        <v>13.010318</v>
      </c>
      <c r="E18102" s="4">
        <f>IFERROR(__xludf.DUMMYFUNCTION("""COMPUTED_VALUE"""),80.215851)</f>
        <v>80.215851</v>
      </c>
      <c r="F18102" s="4">
        <f>IFERROR(__xludf.DUMMYFUNCTION("""COMPUTED_VALUE"""),805.0)</f>
        <v>805</v>
      </c>
      <c r="G18102" s="4">
        <f>IFERROR(__xludf.DUMMYFUNCTION("""COMPUTED_VALUE"""),43.0)</f>
        <v>43</v>
      </c>
      <c r="H18102" s="4"/>
      <c r="I18102" s="4"/>
    </row>
    <row r="18103">
      <c r="A18103" s="4" t="str">
        <f>IFERROR(__xludf.DUMMYFUNCTION("""COMPUTED_VALUE"""),"cas_hmw")</f>
        <v>cas_hmw</v>
      </c>
      <c r="B18103" s="5">
        <f>IFERROR(__xludf.DUMMYFUNCTION("""COMPUTED_VALUE"""),44742.0)</f>
        <v>44742</v>
      </c>
      <c r="C18103" s="6">
        <f>IFERROR(__xludf.DUMMYFUNCTION("""COMPUTED_VALUE"""),0.6970717592594156)</f>
        <v>0.6970717593</v>
      </c>
      <c r="D18103" s="4">
        <f>IFERROR(__xludf.DUMMYFUNCTION("""COMPUTED_VALUE"""),13.016477)</f>
        <v>13.016477</v>
      </c>
      <c r="E18103" s="4">
        <f>IFERROR(__xludf.DUMMYFUNCTION("""COMPUTED_VALUE"""),80.225323)</f>
        <v>80.225323</v>
      </c>
      <c r="F18103" s="4">
        <f>IFERROR(__xludf.DUMMYFUNCTION("""COMPUTED_VALUE"""),5339.0)</f>
        <v>5339</v>
      </c>
      <c r="G18103" s="4">
        <f>IFERROR(__xludf.DUMMYFUNCTION("""COMPUTED_VALUE"""),44.0)</f>
        <v>44</v>
      </c>
      <c r="H18103" s="4"/>
      <c r="I18103" s="4"/>
    </row>
    <row r="18104">
      <c r="A18104" s="4" t="str">
        <f>IFERROR(__xludf.DUMMYFUNCTION("""COMPUTED_VALUE"""),"cas_hmw")</f>
        <v>cas_hmw</v>
      </c>
      <c r="B18104" s="5">
        <f>IFERROR(__xludf.DUMMYFUNCTION("""COMPUTED_VALUE"""),44742.0)</f>
        <v>44742</v>
      </c>
      <c r="C18104" s="6">
        <f>IFERROR(__xludf.DUMMYFUNCTION("""COMPUTED_VALUE"""),0.6971527777786832)</f>
        <v>0.6971527778</v>
      </c>
      <c r="D18104" s="4">
        <f>IFERROR(__xludf.DUMMYFUNCTION("""COMPUTED_VALUE"""),13.0184)</f>
        <v>13.0184</v>
      </c>
      <c r="E18104" s="4">
        <f>IFERROR(__xludf.DUMMYFUNCTION("""COMPUTED_VALUE"""),80.224574)</f>
        <v>80.224574</v>
      </c>
      <c r="F18104" s="4">
        <f>IFERROR(__xludf.DUMMYFUNCTION("""COMPUTED_VALUE"""),5339.0)</f>
        <v>5339</v>
      </c>
      <c r="G18104" s="4">
        <f>IFERROR(__xludf.DUMMYFUNCTION("""COMPUTED_VALUE"""),44.0)</f>
        <v>44</v>
      </c>
      <c r="H18104" s="4"/>
      <c r="I18104" s="4"/>
    </row>
    <row r="18105">
      <c r="A18105" s="4" t="str">
        <f>IFERROR(__xludf.DUMMYFUNCTION("""COMPUTED_VALUE"""),"cas_hmw")</f>
        <v>cas_hmw</v>
      </c>
      <c r="B18105" s="5">
        <f>IFERROR(__xludf.DUMMYFUNCTION("""COMPUTED_VALUE"""),44742.0)</f>
        <v>44742</v>
      </c>
      <c r="C18105" s="6">
        <f>IFERROR(__xludf.DUMMYFUNCTION("""COMPUTED_VALUE"""),0.6972453703710926)</f>
        <v>0.6972453704</v>
      </c>
      <c r="D18105" s="4">
        <f>IFERROR(__xludf.DUMMYFUNCTION("""COMPUTED_VALUE"""),13.0184)</f>
        <v>13.0184</v>
      </c>
      <c r="E18105" s="4">
        <f>IFERROR(__xludf.DUMMYFUNCTION("""COMPUTED_VALUE"""),80.224574)</f>
        <v>80.224574</v>
      </c>
      <c r="F18105" s="4">
        <f>IFERROR(__xludf.DUMMYFUNCTION("""COMPUTED_VALUE"""),5339.0)</f>
        <v>5339</v>
      </c>
      <c r="G18105" s="4">
        <f>IFERROR(__xludf.DUMMYFUNCTION("""COMPUTED_VALUE"""),44.0)</f>
        <v>44</v>
      </c>
      <c r="H18105" s="4"/>
      <c r="I18105" s="4"/>
    </row>
    <row r="18106">
      <c r="A18106" s="4" t="str">
        <f>IFERROR(__xludf.DUMMYFUNCTION("""COMPUTED_VALUE"""),"cas_hmw")</f>
        <v>cas_hmw</v>
      </c>
      <c r="B18106" s="5">
        <f>IFERROR(__xludf.DUMMYFUNCTION("""COMPUTED_VALUE"""),44742.0)</f>
        <v>44742</v>
      </c>
      <c r="C18106" s="6">
        <f>IFERROR(__xludf.DUMMYFUNCTION("""COMPUTED_VALUE"""),0.6974768518521159)</f>
        <v>0.6974768519</v>
      </c>
      <c r="D18106" s="4">
        <f>IFERROR(__xludf.DUMMYFUNCTION("""COMPUTED_VALUE"""),13.019941)</f>
        <v>13.019941</v>
      </c>
      <c r="E18106" s="4">
        <f>IFERROR(__xludf.DUMMYFUNCTION("""COMPUTED_VALUE"""),80.22469)</f>
        <v>80.22469</v>
      </c>
      <c r="F18106" s="4">
        <f>IFERROR(__xludf.DUMMYFUNCTION("""COMPUTED_VALUE"""),5339.0)</f>
        <v>5339</v>
      </c>
      <c r="G18106" s="4">
        <f>IFERROR(__xludf.DUMMYFUNCTION("""COMPUTED_VALUE"""),36.0)</f>
        <v>36</v>
      </c>
      <c r="H18106" s="4"/>
      <c r="I18106" s="4"/>
    </row>
    <row r="18107">
      <c r="A18107" s="4" t="str">
        <f>IFERROR(__xludf.DUMMYFUNCTION("""COMPUTED_VALUE"""),"cas_hmw")</f>
        <v>cas_hmw</v>
      </c>
      <c r="B18107" s="5">
        <f>IFERROR(__xludf.DUMMYFUNCTION("""COMPUTED_VALUE"""),44742.0)</f>
        <v>44742</v>
      </c>
      <c r="C18107" s="6">
        <f>IFERROR(__xludf.DUMMYFUNCTION("""COMPUTED_VALUE"""),0.6975347222214623)</f>
        <v>0.6975347222</v>
      </c>
      <c r="D18107" s="4">
        <f>IFERROR(__xludf.DUMMYFUNCTION("""COMPUTED_VALUE"""),13.014918)</f>
        <v>13.014918</v>
      </c>
      <c r="E18107" s="4">
        <f>IFERROR(__xludf.DUMMYFUNCTION("""COMPUTED_VALUE"""),80.225962)</f>
        <v>80.225962</v>
      </c>
      <c r="F18107" s="4">
        <f>IFERROR(__xludf.DUMMYFUNCTION("""COMPUTED_VALUE"""),805.0)</f>
        <v>805</v>
      </c>
      <c r="G18107" s="4">
        <f>IFERROR(__xludf.DUMMYFUNCTION("""COMPUTED_VALUE"""),0.0)</f>
        <v>0</v>
      </c>
      <c r="H18107" s="4"/>
      <c r="I18107" s="4"/>
    </row>
    <row r="18108">
      <c r="A18108" s="4" t="str">
        <f>IFERROR(__xludf.DUMMYFUNCTION("""COMPUTED_VALUE"""),"cas_hmw")</f>
        <v>cas_hmw</v>
      </c>
      <c r="B18108" s="5">
        <f>IFERROR(__xludf.DUMMYFUNCTION("""COMPUTED_VALUE"""),44742.0)</f>
        <v>44742</v>
      </c>
      <c r="C18108" s="6">
        <f>IFERROR(__xludf.DUMMYFUNCTION("""COMPUTED_VALUE"""),0.6976041666675883)</f>
        <v>0.6976041667</v>
      </c>
      <c r="D18108" s="4">
        <f>IFERROR(__xludf.DUMMYFUNCTION("""COMPUTED_VALUE"""),13.014918)</f>
        <v>13.014918</v>
      </c>
      <c r="E18108" s="4">
        <f>IFERROR(__xludf.DUMMYFUNCTION("""COMPUTED_VALUE"""),80.225962)</f>
        <v>80.225962</v>
      </c>
      <c r="F18108" s="4">
        <f>IFERROR(__xludf.DUMMYFUNCTION("""COMPUTED_VALUE"""),805.0)</f>
        <v>805</v>
      </c>
      <c r="G18108" s="4">
        <f>IFERROR(__xludf.DUMMYFUNCTION("""COMPUTED_VALUE"""),0.0)</f>
        <v>0</v>
      </c>
      <c r="H18108" s="4"/>
      <c r="I18108" s="4"/>
    </row>
    <row r="18109">
      <c r="A18109" s="4" t="str">
        <f>IFERROR(__xludf.DUMMYFUNCTION("""COMPUTED_VALUE"""),"cas_hmw")</f>
        <v>cas_hmw</v>
      </c>
      <c r="B18109" s="5">
        <f>IFERROR(__xludf.DUMMYFUNCTION("""COMPUTED_VALUE"""),44742.0)</f>
        <v>44742</v>
      </c>
      <c r="C18109" s="6">
        <f>IFERROR(__xludf.DUMMYFUNCTION("""COMPUTED_VALUE"""),0.6976736111100763)</f>
        <v>0.6976736111</v>
      </c>
      <c r="D18109" s="4">
        <f>IFERROR(__xludf.DUMMYFUNCTION("""COMPUTED_VALUE"""),13.014105)</f>
        <v>13.014105</v>
      </c>
      <c r="E18109" s="4">
        <f>IFERROR(__xludf.DUMMYFUNCTION("""COMPUTED_VALUE"""),80.22627)</f>
        <v>80.22627</v>
      </c>
      <c r="F18109" s="4">
        <f>IFERROR(__xludf.DUMMYFUNCTION("""COMPUTED_VALUE"""),805.0)</f>
        <v>805</v>
      </c>
      <c r="G18109" s="4">
        <f>IFERROR(__xludf.DUMMYFUNCTION("""COMPUTED_VALUE"""),38.0)</f>
        <v>38</v>
      </c>
      <c r="H18109" s="4"/>
      <c r="I18109" s="4"/>
    </row>
    <row r="18110">
      <c r="A18110" s="4" t="str">
        <f>IFERROR(__xludf.DUMMYFUNCTION("""COMPUTED_VALUE"""),"cas_hmw")</f>
        <v>cas_hmw</v>
      </c>
      <c r="B18110" s="5">
        <f>IFERROR(__xludf.DUMMYFUNCTION("""COMPUTED_VALUE"""),44742.0)</f>
        <v>44742</v>
      </c>
      <c r="C18110" s="6">
        <f>IFERROR(__xludf.DUMMYFUNCTION("""COMPUTED_VALUE"""),0.6978472222217533)</f>
        <v>0.6978472222</v>
      </c>
      <c r="D18110" s="4">
        <f>IFERROR(__xludf.DUMMYFUNCTION("""COMPUTED_VALUE"""),13.012192)</f>
        <v>13.012192</v>
      </c>
      <c r="E18110" s="4">
        <f>IFERROR(__xludf.DUMMYFUNCTION("""COMPUTED_VALUE"""),80.227056)</f>
        <v>80.227056</v>
      </c>
      <c r="F18110" s="4">
        <f>IFERROR(__xludf.DUMMYFUNCTION("""COMPUTED_VALUE"""),805.0)</f>
        <v>805</v>
      </c>
      <c r="G18110" s="4">
        <f>IFERROR(__xludf.DUMMYFUNCTION("""COMPUTED_VALUE"""),54.0)</f>
        <v>54</v>
      </c>
      <c r="H18110" s="4"/>
      <c r="I18110" s="4"/>
    </row>
    <row r="18111">
      <c r="A18111" s="4" t="str">
        <f>IFERROR(__xludf.DUMMYFUNCTION("""COMPUTED_VALUE"""),"cas_hmw")</f>
        <v>cas_hmw</v>
      </c>
      <c r="B18111" s="5">
        <f>IFERROR(__xludf.DUMMYFUNCTION("""COMPUTED_VALUE"""),44742.0)</f>
        <v>44742</v>
      </c>
      <c r="C18111" s="6">
        <f>IFERROR(__xludf.DUMMYFUNCTION("""COMPUTED_VALUE"""),0.697858796294895)</f>
        <v>0.6978587963</v>
      </c>
      <c r="D18111" s="4">
        <f>IFERROR(__xludf.DUMMYFUNCTION("""COMPUTED_VALUE"""),13.022532)</f>
        <v>13.022532</v>
      </c>
      <c r="E18111" s="4">
        <f>IFERROR(__xludf.DUMMYFUNCTION("""COMPUTED_VALUE"""),80.226676)</f>
        <v>80.226676</v>
      </c>
      <c r="F18111" s="4">
        <f>IFERROR(__xludf.DUMMYFUNCTION("""COMPUTED_VALUE"""),5339.0)</f>
        <v>5339</v>
      </c>
      <c r="G18111" s="4">
        <f>IFERROR(__xludf.DUMMYFUNCTION("""COMPUTED_VALUE"""),43.0)</f>
        <v>43</v>
      </c>
      <c r="H18111" s="4"/>
      <c r="I18111" s="4"/>
    </row>
    <row r="18112">
      <c r="A18112" s="4" t="str">
        <f>IFERROR(__xludf.DUMMYFUNCTION("""COMPUTED_VALUE"""),"cas_hmw")</f>
        <v>cas_hmw</v>
      </c>
      <c r="B18112" s="5">
        <f>IFERROR(__xludf.DUMMYFUNCTION("""COMPUTED_VALUE"""),44742.0)</f>
        <v>44742</v>
      </c>
      <c r="C18112" s="6">
        <f>IFERROR(__xludf.DUMMYFUNCTION("""COMPUTED_VALUE"""),0.6979745370372257)</f>
        <v>0.697974537</v>
      </c>
      <c r="D18112" s="4">
        <f>IFERROR(__xludf.DUMMYFUNCTION("""COMPUTED_VALUE"""),13.023966)</f>
        <v>13.023966</v>
      </c>
      <c r="E18112" s="4">
        <f>IFERROR(__xludf.DUMMYFUNCTION("""COMPUTED_VALUE"""),80.228022)</f>
        <v>80.228022</v>
      </c>
      <c r="F18112" s="4">
        <f>IFERROR(__xludf.DUMMYFUNCTION("""COMPUTED_VALUE"""),5339.0)</f>
        <v>5339</v>
      </c>
      <c r="G18112" s="4">
        <f>IFERROR(__xludf.DUMMYFUNCTION("""COMPUTED_VALUE"""),42.0)</f>
        <v>42</v>
      </c>
      <c r="H18112" s="4"/>
      <c r="I18112" s="4"/>
    </row>
    <row r="18113">
      <c r="A18113" s="4" t="str">
        <f>IFERROR(__xludf.DUMMYFUNCTION("""COMPUTED_VALUE"""),"cas_hmw")</f>
        <v>cas_hmw</v>
      </c>
      <c r="B18113" s="5">
        <f>IFERROR(__xludf.DUMMYFUNCTION("""COMPUTED_VALUE"""),44742.0)</f>
        <v>44742</v>
      </c>
      <c r="C18113" s="6">
        <f>IFERROR(__xludf.DUMMYFUNCTION("""COMPUTED_VALUE"""),0.6979745370372257)</f>
        <v>0.697974537</v>
      </c>
      <c r="D18113" s="4">
        <f>IFERROR(__xludf.DUMMYFUNCTION("""COMPUTED_VALUE"""),13.023966)</f>
        <v>13.023966</v>
      </c>
      <c r="E18113" s="4">
        <f>IFERROR(__xludf.DUMMYFUNCTION("""COMPUTED_VALUE"""),80.228022)</f>
        <v>80.228022</v>
      </c>
      <c r="F18113" s="4">
        <f>IFERROR(__xludf.DUMMYFUNCTION("""COMPUTED_VALUE"""),5339.0)</f>
        <v>5339</v>
      </c>
      <c r="G18113" s="4">
        <f>IFERROR(__xludf.DUMMYFUNCTION("""COMPUTED_VALUE"""),42.0)</f>
        <v>42</v>
      </c>
      <c r="H18113" s="4"/>
      <c r="I18113" s="4"/>
    </row>
    <row r="18114">
      <c r="A18114" s="4" t="str">
        <f>IFERROR(__xludf.DUMMYFUNCTION("""COMPUTED_VALUE"""),"cas_hmw")</f>
        <v>cas_hmw</v>
      </c>
      <c r="B18114" s="5">
        <f>IFERROR(__xludf.DUMMYFUNCTION("""COMPUTED_VALUE"""),44742.0)</f>
        <v>44742</v>
      </c>
      <c r="C18114" s="6">
        <f>IFERROR(__xludf.DUMMYFUNCTION("""COMPUTED_VALUE"""),0.6981249999989814)</f>
        <v>0.698125</v>
      </c>
      <c r="D18114" s="4">
        <f>IFERROR(__xludf.DUMMYFUNCTION("""COMPUTED_VALUE"""),12.693432)</f>
        <v>12.693432</v>
      </c>
      <c r="E18114" s="4">
        <f>IFERROR(__xludf.DUMMYFUNCTION("""COMPUTED_VALUE"""),79.979417)</f>
        <v>79.979417</v>
      </c>
      <c r="F18114" s="4">
        <f>IFERROR(__xludf.DUMMYFUNCTION("""COMPUTED_VALUE"""),2846.0)</f>
        <v>2846</v>
      </c>
      <c r="G18114" s="4">
        <f>IFERROR(__xludf.DUMMYFUNCTION("""COMPUTED_VALUE"""),30.0)</f>
        <v>30</v>
      </c>
      <c r="H18114" s="4"/>
      <c r="I18114" s="4"/>
    </row>
    <row r="18115">
      <c r="A18115" s="4" t="str">
        <f>IFERROR(__xludf.DUMMYFUNCTION("""COMPUTED_VALUE"""),"cas_hmw")</f>
        <v>cas_hmw</v>
      </c>
      <c r="B18115" s="5">
        <f>IFERROR(__xludf.DUMMYFUNCTION("""COMPUTED_VALUE"""),44742.0)</f>
        <v>44742</v>
      </c>
      <c r="C18115" s="6">
        <f>IFERROR(__xludf.DUMMYFUNCTION("""COMPUTED_VALUE"""),0.6988078703689098)</f>
        <v>0.6988078704</v>
      </c>
      <c r="D18115" s="4">
        <f>IFERROR(__xludf.DUMMYFUNCTION("""COMPUTED_VALUE"""),13.008064)</f>
        <v>13.008064</v>
      </c>
      <c r="E18115" s="4">
        <f>IFERROR(__xludf.DUMMYFUNCTION("""COMPUTED_VALUE"""),80.234098)</f>
        <v>80.234098</v>
      </c>
      <c r="F18115" s="4">
        <f>IFERROR(__xludf.DUMMYFUNCTION("""COMPUTED_VALUE"""),805.0)</f>
        <v>805</v>
      </c>
      <c r="G18115" s="4">
        <f>IFERROR(__xludf.DUMMYFUNCTION("""COMPUTED_VALUE"""),0.0)</f>
        <v>0</v>
      </c>
      <c r="H18115" s="4"/>
      <c r="I18115" s="4"/>
    </row>
    <row r="18116">
      <c r="A18116" s="4" t="str">
        <f>IFERROR(__xludf.DUMMYFUNCTION("""COMPUTED_VALUE"""),"cas_hmw")</f>
        <v>cas_hmw</v>
      </c>
      <c r="B18116" s="5">
        <f>IFERROR(__xludf.DUMMYFUNCTION("""COMPUTED_VALUE"""),44742.0)</f>
        <v>44742</v>
      </c>
      <c r="C18116" s="6">
        <f>IFERROR(__xludf.DUMMYFUNCTION("""COMPUTED_VALUE"""),0.6988194444456894)</f>
        <v>0.6988194444</v>
      </c>
      <c r="D18116" s="4">
        <f>IFERROR(__xludf.DUMMYFUNCTION("""COMPUTED_VALUE"""),13.008064)</f>
        <v>13.008064</v>
      </c>
      <c r="E18116" s="4">
        <f>IFERROR(__xludf.DUMMYFUNCTION("""COMPUTED_VALUE"""),80.234098)</f>
        <v>80.234098</v>
      </c>
      <c r="F18116" s="4">
        <f>IFERROR(__xludf.DUMMYFUNCTION("""COMPUTED_VALUE"""),805.0)</f>
        <v>805</v>
      </c>
      <c r="G18116" s="4">
        <f>IFERROR(__xludf.DUMMYFUNCTION("""COMPUTED_VALUE"""),0.0)</f>
        <v>0</v>
      </c>
      <c r="H18116" s="4"/>
      <c r="I18116" s="4"/>
    </row>
    <row r="18117">
      <c r="A18117" s="4" t="str">
        <f>IFERROR(__xludf.DUMMYFUNCTION("""COMPUTED_VALUE"""),"cas_hmw")</f>
        <v>cas_hmw</v>
      </c>
      <c r="B18117" s="5">
        <f>IFERROR(__xludf.DUMMYFUNCTION("""COMPUTED_VALUE"""),44742.0)</f>
        <v>44742</v>
      </c>
      <c r="C18117" s="6">
        <f>IFERROR(__xludf.DUMMYFUNCTION("""COMPUTED_VALUE"""),0.6989351851843821)</f>
        <v>0.6989351852</v>
      </c>
      <c r="D18117" s="4">
        <f>IFERROR(__xludf.DUMMYFUNCTION("""COMPUTED_VALUE"""),12.689316)</f>
        <v>12.689316</v>
      </c>
      <c r="E18117" s="4">
        <f>IFERROR(__xludf.DUMMYFUNCTION("""COMPUTED_VALUE"""),79.982411)</f>
        <v>79.982411</v>
      </c>
      <c r="F18117" s="4">
        <f>IFERROR(__xludf.DUMMYFUNCTION("""COMPUTED_VALUE"""),2846.0)</f>
        <v>2846</v>
      </c>
      <c r="G18117" s="4">
        <f>IFERROR(__xludf.DUMMYFUNCTION("""COMPUTED_VALUE"""),34.0)</f>
        <v>34</v>
      </c>
      <c r="H18117" s="4"/>
      <c r="I18117" s="4"/>
    </row>
    <row r="18118">
      <c r="A18118" s="4" t="str">
        <f>IFERROR(__xludf.DUMMYFUNCTION("""COMPUTED_VALUE"""),"cas_hmw")</f>
        <v>cas_hmw</v>
      </c>
      <c r="B18118" s="5">
        <f>IFERROR(__xludf.DUMMYFUNCTION("""COMPUTED_VALUE"""),44742.0)</f>
        <v>44742</v>
      </c>
      <c r="C18118" s="6">
        <f>IFERROR(__xludf.DUMMYFUNCTION("""COMPUTED_VALUE"""),0.6989467592575238)</f>
        <v>0.6989467593</v>
      </c>
      <c r="D18118" s="4">
        <f>IFERROR(__xludf.DUMMYFUNCTION("""COMPUTED_VALUE"""),13.007949)</f>
        <v>13.007949</v>
      </c>
      <c r="E18118" s="4">
        <f>IFERROR(__xludf.DUMMYFUNCTION("""COMPUTED_VALUE"""),80.234647)</f>
        <v>80.234647</v>
      </c>
      <c r="F18118" s="4">
        <f>IFERROR(__xludf.DUMMYFUNCTION("""COMPUTED_VALUE"""),805.0)</f>
        <v>805</v>
      </c>
      <c r="G18118" s="4">
        <f>IFERROR(__xludf.DUMMYFUNCTION("""COMPUTED_VALUE"""),28.0)</f>
        <v>28</v>
      </c>
      <c r="H18118" s="4"/>
      <c r="I18118" s="4"/>
    </row>
    <row r="18119">
      <c r="A18119" s="4" t="str">
        <f>IFERROR(__xludf.DUMMYFUNCTION("""COMPUTED_VALUE"""),"cas_hmw")</f>
        <v>cas_hmw</v>
      </c>
      <c r="B18119" s="5">
        <f>IFERROR(__xludf.DUMMYFUNCTION("""COMPUTED_VALUE"""),44742.0)</f>
        <v>44742</v>
      </c>
      <c r="C18119" s="6">
        <f>IFERROR(__xludf.DUMMYFUNCTION("""COMPUTED_VALUE"""),0.6991087962960592)</f>
        <v>0.6991087963</v>
      </c>
      <c r="D18119" s="4">
        <f>IFERROR(__xludf.DUMMYFUNCTION("""COMPUTED_VALUE"""),13.025963)</f>
        <v>13.025963</v>
      </c>
      <c r="E18119" s="4">
        <f>IFERROR(__xludf.DUMMYFUNCTION("""COMPUTED_VALUE"""),80.231132)</f>
        <v>80.231132</v>
      </c>
      <c r="F18119" s="4">
        <f>IFERROR(__xludf.DUMMYFUNCTION("""COMPUTED_VALUE"""),5339.0)</f>
        <v>5339</v>
      </c>
      <c r="G18119" s="4">
        <f>IFERROR(__xludf.DUMMYFUNCTION("""COMPUTED_VALUE"""),21.0)</f>
        <v>21</v>
      </c>
      <c r="H18119" s="4"/>
      <c r="I18119" s="4"/>
    </row>
    <row r="18120">
      <c r="A18120" s="4" t="str">
        <f>IFERROR(__xludf.DUMMYFUNCTION("""COMPUTED_VALUE"""),"cas_hmw")</f>
        <v>cas_hmw</v>
      </c>
      <c r="B18120" s="5">
        <f>IFERROR(__xludf.DUMMYFUNCTION("""COMPUTED_VALUE"""),44742.0)</f>
        <v>44742</v>
      </c>
      <c r="C18120" s="6">
        <f>IFERROR(__xludf.DUMMYFUNCTION("""COMPUTED_VALUE"""),0.6991319444459805)</f>
        <v>0.6991319444</v>
      </c>
      <c r="D18120" s="4">
        <f>IFERROR(__xludf.DUMMYFUNCTION("""COMPUTED_VALUE"""),13.025963)</f>
        <v>13.025963</v>
      </c>
      <c r="E18120" s="4">
        <f>IFERROR(__xludf.DUMMYFUNCTION("""COMPUTED_VALUE"""),80.231132)</f>
        <v>80.231132</v>
      </c>
      <c r="F18120" s="4">
        <f>IFERROR(__xludf.DUMMYFUNCTION("""COMPUTED_VALUE"""),5339.0)</f>
        <v>5339</v>
      </c>
      <c r="G18120" s="4">
        <f>IFERROR(__xludf.DUMMYFUNCTION("""COMPUTED_VALUE"""),21.0)</f>
        <v>21</v>
      </c>
      <c r="H18120" s="4"/>
      <c r="I18120" s="4"/>
    </row>
    <row r="18121">
      <c r="A18121" s="4" t="str">
        <f>IFERROR(__xludf.DUMMYFUNCTION("""COMPUTED_VALUE"""),"cas_hmw")</f>
        <v>cas_hmw</v>
      </c>
      <c r="B18121" s="5">
        <f>IFERROR(__xludf.DUMMYFUNCTION("""COMPUTED_VALUE"""),44742.0)</f>
        <v>44742</v>
      </c>
      <c r="C18121" s="6">
        <f>IFERROR(__xludf.DUMMYFUNCTION("""COMPUTED_VALUE"""),0.6997916666659876)</f>
        <v>0.6997916667</v>
      </c>
      <c r="D18121" s="4">
        <f>IFERROR(__xludf.DUMMYFUNCTION("""COMPUTED_VALUE"""),13.02654)</f>
        <v>13.02654</v>
      </c>
      <c r="E18121" s="4">
        <f>IFERROR(__xludf.DUMMYFUNCTION("""COMPUTED_VALUE"""),80.232716)</f>
        <v>80.232716</v>
      </c>
      <c r="F18121" s="4">
        <f>IFERROR(__xludf.DUMMYFUNCTION("""COMPUTED_VALUE"""),5339.0)</f>
        <v>5339</v>
      </c>
      <c r="G18121" s="4">
        <f>IFERROR(__xludf.DUMMYFUNCTION("""COMPUTED_VALUE"""),0.0)</f>
        <v>0</v>
      </c>
      <c r="H18121" s="4"/>
      <c r="I18121" s="4"/>
    </row>
    <row r="18122">
      <c r="A18122" s="4" t="str">
        <f>IFERROR(__xludf.DUMMYFUNCTION("""COMPUTED_VALUE"""),"cas_hmw")</f>
        <v>cas_hmw</v>
      </c>
      <c r="B18122" s="5">
        <f>IFERROR(__xludf.DUMMYFUNCTION("""COMPUTED_VALUE"""),44742.0)</f>
        <v>44742</v>
      </c>
      <c r="C18122" s="6">
        <f>IFERROR(__xludf.DUMMYFUNCTION("""COMPUTED_VALUE"""),0.7000578703700739)</f>
        <v>0.7000578704</v>
      </c>
      <c r="D18122" s="4">
        <f>IFERROR(__xludf.DUMMYFUNCTION("""COMPUTED_VALUE"""),13.026774)</f>
        <v>13.026774</v>
      </c>
      <c r="E18122" s="4">
        <f>IFERROR(__xludf.DUMMYFUNCTION("""COMPUTED_VALUE"""),80.233219)</f>
        <v>80.233219</v>
      </c>
      <c r="F18122" s="4">
        <f>IFERROR(__xludf.DUMMYFUNCTION("""COMPUTED_VALUE"""),5339.0)</f>
        <v>5339</v>
      </c>
      <c r="G18122" s="4">
        <f>IFERROR(__xludf.DUMMYFUNCTION("""COMPUTED_VALUE"""),29.0)</f>
        <v>29</v>
      </c>
      <c r="H18122" s="4"/>
      <c r="I18122" s="4"/>
    </row>
    <row r="18123">
      <c r="A18123" s="4" t="str">
        <f>IFERROR(__xludf.DUMMYFUNCTION("""COMPUTED_VALUE"""),"cas_hmw")</f>
        <v>cas_hmw</v>
      </c>
      <c r="B18123" s="5">
        <f>IFERROR(__xludf.DUMMYFUNCTION("""COMPUTED_VALUE"""),44742.0)</f>
        <v>44742</v>
      </c>
      <c r="C18123" s="6">
        <f>IFERROR(__xludf.DUMMYFUNCTION("""COMPUTED_VALUE"""),0.7014467592598521)</f>
        <v>0.7014467593</v>
      </c>
      <c r="D18123" s="4">
        <f>IFERROR(__xludf.DUMMYFUNCTION("""COMPUTED_VALUE"""),13.006774)</f>
        <v>13.006774</v>
      </c>
      <c r="E18123" s="4">
        <f>IFERROR(__xludf.DUMMYFUNCTION("""COMPUTED_VALUE"""),80.247805)</f>
        <v>80.247805</v>
      </c>
      <c r="F18123" s="4">
        <f>IFERROR(__xludf.DUMMYFUNCTION("""COMPUTED_VALUE"""),805.0)</f>
        <v>805</v>
      </c>
      <c r="G18123" s="4">
        <f>IFERROR(__xludf.DUMMYFUNCTION("""COMPUTED_VALUE"""),0.0)</f>
        <v>0</v>
      </c>
      <c r="H18123" s="4"/>
      <c r="I18123" s="4"/>
    </row>
    <row r="18124">
      <c r="A18124" s="4" t="str">
        <f>IFERROR(__xludf.DUMMYFUNCTION("""COMPUTED_VALUE"""),"cas_hmw")</f>
        <v>cas_hmw</v>
      </c>
      <c r="B18124" s="5">
        <f>IFERROR(__xludf.DUMMYFUNCTION("""COMPUTED_VALUE"""),44742.0)</f>
        <v>44742</v>
      </c>
      <c r="C18124" s="6">
        <f>IFERROR(__xludf.DUMMYFUNCTION("""COMPUTED_VALUE"""),0.7026736111110949)</f>
        <v>0.7026736111</v>
      </c>
      <c r="D18124" s="4">
        <f>IFERROR(__xludf.DUMMYFUNCTION("""COMPUTED_VALUE"""),12.677489)</f>
        <v>12.677489</v>
      </c>
      <c r="E18124" s="4">
        <f>IFERROR(__xludf.DUMMYFUNCTION("""COMPUTED_VALUE"""),79.979322)</f>
        <v>79.979322</v>
      </c>
      <c r="F18124" s="4">
        <f>IFERROR(__xludf.DUMMYFUNCTION("""COMPUTED_VALUE"""),2846.0)</f>
        <v>2846</v>
      </c>
      <c r="G18124" s="4">
        <f>IFERROR(__xludf.DUMMYFUNCTION("""COMPUTED_VALUE"""),33.0)</f>
        <v>33</v>
      </c>
      <c r="H18124" s="4"/>
      <c r="I18124" s="4"/>
    </row>
    <row r="18125">
      <c r="A18125" s="4" t="str">
        <f>IFERROR(__xludf.DUMMYFUNCTION("""COMPUTED_VALUE"""),"cas_hmw")</f>
        <v>cas_hmw</v>
      </c>
      <c r="B18125" s="5">
        <f>IFERROR(__xludf.DUMMYFUNCTION("""COMPUTED_VALUE"""),44742.0)</f>
        <v>44742</v>
      </c>
      <c r="C18125" s="6">
        <f>IFERROR(__xludf.DUMMYFUNCTION("""COMPUTED_VALUE"""),0.703263888888614)</f>
        <v>0.7032638889</v>
      </c>
      <c r="D18125" s="4">
        <f>IFERROR(__xludf.DUMMYFUNCTION("""COMPUTED_VALUE"""),13.033025)</f>
        <v>13.033025</v>
      </c>
      <c r="E18125" s="4">
        <f>IFERROR(__xludf.DUMMYFUNCTION("""COMPUTED_VALUE"""),80.243243)</f>
        <v>80.243243</v>
      </c>
      <c r="F18125" s="4">
        <f>IFERROR(__xludf.DUMMYFUNCTION("""COMPUTED_VALUE"""),5339.0)</f>
        <v>5339</v>
      </c>
      <c r="G18125" s="4">
        <f>IFERROR(__xludf.DUMMYFUNCTION("""COMPUTED_VALUE"""),34.0)</f>
        <v>34</v>
      </c>
      <c r="H18125" s="4"/>
      <c r="I18125" s="4"/>
    </row>
    <row r="18126">
      <c r="A18126" s="4" t="str">
        <f>IFERROR(__xludf.DUMMYFUNCTION("""COMPUTED_VALUE"""),"cas_hmw")</f>
        <v>cas_hmw</v>
      </c>
      <c r="B18126" s="5">
        <f>IFERROR(__xludf.DUMMYFUNCTION("""COMPUTED_VALUE"""),44742.0)</f>
        <v>44742</v>
      </c>
      <c r="C18126" s="6">
        <f>IFERROR(__xludf.DUMMYFUNCTION("""COMPUTED_VALUE"""),0.703437500000291)</f>
        <v>0.7034375</v>
      </c>
      <c r="D18126" s="4">
        <f>IFERROR(__xludf.DUMMYFUNCTION("""COMPUTED_VALUE"""),13.033684)</f>
        <v>13.033684</v>
      </c>
      <c r="E18126" s="4">
        <f>IFERROR(__xludf.DUMMYFUNCTION("""COMPUTED_VALUE"""),80.244092)</f>
        <v>80.244092</v>
      </c>
      <c r="F18126" s="4">
        <f>IFERROR(__xludf.DUMMYFUNCTION("""COMPUTED_VALUE"""),5339.0)</f>
        <v>5339</v>
      </c>
      <c r="G18126" s="4">
        <f>IFERROR(__xludf.DUMMYFUNCTION("""COMPUTED_VALUE"""),38.0)</f>
        <v>38</v>
      </c>
      <c r="H18126" s="4"/>
      <c r="I18126" s="4"/>
    </row>
    <row r="18127">
      <c r="A18127" s="4" t="str">
        <f>IFERROR(__xludf.DUMMYFUNCTION("""COMPUTED_VALUE"""),"cas_hmw")</f>
        <v>cas_hmw</v>
      </c>
      <c r="B18127" s="5">
        <f>IFERROR(__xludf.DUMMYFUNCTION("""COMPUTED_VALUE"""),44742.0)</f>
        <v>44742</v>
      </c>
      <c r="C18127" s="6">
        <f>IFERROR(__xludf.DUMMYFUNCTION("""COMPUTED_VALUE"""),0.7039467592585424)</f>
        <v>0.7039467593</v>
      </c>
      <c r="D18127" s="4">
        <f>IFERROR(__xludf.DUMMYFUNCTION("""COMPUTED_VALUE"""),13.006617)</f>
        <v>13.006617</v>
      </c>
      <c r="E18127" s="4">
        <f>IFERROR(__xludf.DUMMYFUNCTION("""COMPUTED_VALUE"""),80.255654)</f>
        <v>80.255654</v>
      </c>
      <c r="F18127" s="4">
        <f>IFERROR(__xludf.DUMMYFUNCTION("""COMPUTED_VALUE"""),805.0)</f>
        <v>805</v>
      </c>
      <c r="G18127" s="4">
        <f>IFERROR(__xludf.DUMMYFUNCTION("""COMPUTED_VALUE"""),60.0)</f>
        <v>60</v>
      </c>
      <c r="H18127" s="4"/>
      <c r="I18127" s="4"/>
    </row>
    <row r="18128">
      <c r="A18128" s="4" t="str">
        <f>IFERROR(__xludf.DUMMYFUNCTION("""COMPUTED_VALUE"""),"cas_hmw")</f>
        <v>cas_hmw</v>
      </c>
      <c r="B18128" s="5">
        <f>IFERROR(__xludf.DUMMYFUNCTION("""COMPUTED_VALUE"""),44742.0)</f>
        <v>44742</v>
      </c>
      <c r="C18128" s="6">
        <f>IFERROR(__xludf.DUMMYFUNCTION("""COMPUTED_VALUE"""),0.7044675925935735)</f>
        <v>0.7044675926</v>
      </c>
      <c r="D18128" s="4">
        <f>IFERROR(__xludf.DUMMYFUNCTION("""COMPUTED_VALUE"""),13.038633)</f>
        <v>13.038633</v>
      </c>
      <c r="E18128" s="4">
        <f>IFERROR(__xludf.DUMMYFUNCTION("""COMPUTED_VALUE"""),80.246744)</f>
        <v>80.246744</v>
      </c>
      <c r="F18128" s="4">
        <f>IFERROR(__xludf.DUMMYFUNCTION("""COMPUTED_VALUE"""),5339.0)</f>
        <v>5339</v>
      </c>
      <c r="G18128" s="4">
        <f>IFERROR(__xludf.DUMMYFUNCTION("""COMPUTED_VALUE"""),0.0)</f>
        <v>0</v>
      </c>
      <c r="H18128" s="4"/>
      <c r="I18128" s="4"/>
    </row>
    <row r="18129">
      <c r="A18129" s="4" t="str">
        <f>IFERROR(__xludf.DUMMYFUNCTION("""COMPUTED_VALUE"""),"cas_hmw")</f>
        <v>cas_hmw</v>
      </c>
      <c r="B18129" s="5">
        <f>IFERROR(__xludf.DUMMYFUNCTION("""COMPUTED_VALUE"""),44742.0)</f>
        <v>44742</v>
      </c>
      <c r="C18129" s="6">
        <f>IFERROR(__xludf.DUMMYFUNCTION("""COMPUTED_VALUE"""),0.7053124999983993)</f>
        <v>0.7053125</v>
      </c>
      <c r="D18129" s="4">
        <f>IFERROR(__xludf.DUMMYFUNCTION("""COMPUTED_VALUE"""),13.010692)</f>
        <v>13.010692</v>
      </c>
      <c r="E18129" s="4">
        <f>IFERROR(__xludf.DUMMYFUNCTION("""COMPUTED_VALUE"""),80.259089)</f>
        <v>80.259089</v>
      </c>
      <c r="F18129" s="4">
        <f>IFERROR(__xludf.DUMMYFUNCTION("""COMPUTED_VALUE"""),805.0)</f>
        <v>805</v>
      </c>
      <c r="G18129" s="4">
        <f>IFERROR(__xludf.DUMMYFUNCTION("""COMPUTED_VALUE"""),14.0)</f>
        <v>14</v>
      </c>
      <c r="H18129" s="4"/>
      <c r="I18129" s="4"/>
    </row>
    <row r="18130">
      <c r="A18130" s="4" t="str">
        <f>IFERROR(__xludf.DUMMYFUNCTION("""COMPUTED_VALUE"""),"cas_hmw")</f>
        <v>cas_hmw</v>
      </c>
      <c r="B18130" s="5">
        <f>IFERROR(__xludf.DUMMYFUNCTION("""COMPUTED_VALUE"""),44742.0)</f>
        <v>44742</v>
      </c>
      <c r="C18130" s="6">
        <f>IFERROR(__xludf.DUMMYFUNCTION("""COMPUTED_VALUE"""),0.7060300925913907)</f>
        <v>0.7060300926</v>
      </c>
      <c r="D18130" s="4">
        <f>IFERROR(__xludf.DUMMYFUNCTION("""COMPUTED_VALUE"""),13.0448)</f>
        <v>13.0448</v>
      </c>
      <c r="E18130" s="4">
        <f>IFERROR(__xludf.DUMMYFUNCTION("""COMPUTED_VALUE"""),80.247885)</f>
        <v>80.247885</v>
      </c>
      <c r="F18130" s="4">
        <f>IFERROR(__xludf.DUMMYFUNCTION("""COMPUTED_VALUE"""),5339.0)</f>
        <v>5339</v>
      </c>
      <c r="G18130" s="4">
        <f>IFERROR(__xludf.DUMMYFUNCTION("""COMPUTED_VALUE"""),0.0)</f>
        <v>0</v>
      </c>
      <c r="H18130" s="4"/>
      <c r="I18130" s="4"/>
    </row>
    <row r="18131">
      <c r="A18131" s="4" t="str">
        <f>IFERROR(__xludf.DUMMYFUNCTION("""COMPUTED_VALUE"""),"cas_hmw")</f>
        <v>cas_hmw</v>
      </c>
      <c r="B18131" s="5">
        <f>IFERROR(__xludf.DUMMYFUNCTION("""COMPUTED_VALUE"""),44742.0)</f>
        <v>44742</v>
      </c>
      <c r="C18131" s="6">
        <f>IFERROR(__xludf.DUMMYFUNCTION("""COMPUTED_VALUE"""),0.7065046296302171)</f>
        <v>0.7065046296</v>
      </c>
      <c r="D18131" s="4">
        <f>IFERROR(__xludf.DUMMYFUNCTION("""COMPUTED_VALUE"""),13.046227)</f>
        <v>13.046227</v>
      </c>
      <c r="E18131" s="4">
        <f>IFERROR(__xludf.DUMMYFUNCTION("""COMPUTED_VALUE"""),80.248127)</f>
        <v>80.248127</v>
      </c>
      <c r="F18131" s="4">
        <f>IFERROR(__xludf.DUMMYFUNCTION("""COMPUTED_VALUE"""),5339.0)</f>
        <v>5339</v>
      </c>
      <c r="G18131" s="4">
        <f>IFERROR(__xludf.DUMMYFUNCTION("""COMPUTED_VALUE"""),19.0)</f>
        <v>19</v>
      </c>
      <c r="H18131" s="4"/>
      <c r="I18131" s="4"/>
    </row>
    <row r="18132">
      <c r="A18132" s="4" t="str">
        <f>IFERROR(__xludf.DUMMYFUNCTION("""COMPUTED_VALUE"""),"cas_hmw")</f>
        <v>cas_hmw</v>
      </c>
      <c r="B18132" s="5">
        <f>IFERROR(__xludf.DUMMYFUNCTION("""COMPUTED_VALUE"""),44742.0)</f>
        <v>44742</v>
      </c>
      <c r="C18132" s="6">
        <f>IFERROR(__xludf.DUMMYFUNCTION("""COMPUTED_VALUE"""),0.7069560185191222)</f>
        <v>0.7069560185</v>
      </c>
      <c r="D18132" s="4">
        <f>IFERROR(__xludf.DUMMYFUNCTION("""COMPUTED_VALUE"""),12.659762)</f>
        <v>12.659762</v>
      </c>
      <c r="E18132" s="4">
        <f>IFERROR(__xludf.DUMMYFUNCTION("""COMPUTED_VALUE"""),79.964133)</f>
        <v>79.964133</v>
      </c>
      <c r="F18132" s="4">
        <f>IFERROR(__xludf.DUMMYFUNCTION("""COMPUTED_VALUE"""),2846.0)</f>
        <v>2846</v>
      </c>
      <c r="G18132" s="4">
        <f>IFERROR(__xludf.DUMMYFUNCTION("""COMPUTED_VALUE"""),16.0)</f>
        <v>16</v>
      </c>
      <c r="H18132" s="4"/>
      <c r="I18132" s="4"/>
    </row>
    <row r="18133">
      <c r="A18133" s="4" t="str">
        <f>IFERROR(__xludf.DUMMYFUNCTION("""COMPUTED_VALUE"""),"cas_hmw")</f>
        <v>cas_hmw</v>
      </c>
      <c r="B18133" s="5">
        <f>IFERROR(__xludf.DUMMYFUNCTION("""COMPUTED_VALUE"""),44742.0)</f>
        <v>44742</v>
      </c>
      <c r="C18133" s="6">
        <f>IFERROR(__xludf.DUMMYFUNCTION("""COMPUTED_VALUE"""),0.7076504629621923)</f>
        <v>0.707650463</v>
      </c>
      <c r="D18133" s="4">
        <f>IFERROR(__xludf.DUMMYFUNCTION("""COMPUTED_VALUE"""),12.656307)</f>
        <v>12.656307</v>
      </c>
      <c r="E18133" s="4">
        <f>IFERROR(__xludf.DUMMYFUNCTION("""COMPUTED_VALUE"""),79.950119)</f>
        <v>79.950119</v>
      </c>
      <c r="F18133" s="4">
        <f>IFERROR(__xludf.DUMMYFUNCTION("""COMPUTED_VALUE"""),2846.0)</f>
        <v>2846</v>
      </c>
      <c r="G18133" s="4">
        <f>IFERROR(__xludf.DUMMYFUNCTION("""COMPUTED_VALUE"""),35.0)</f>
        <v>35</v>
      </c>
      <c r="H18133" s="4"/>
      <c r="I18133" s="4"/>
    </row>
    <row r="18134">
      <c r="A18134" s="4" t="str">
        <f>IFERROR(__xludf.DUMMYFUNCTION("""COMPUTED_VALUE"""),"cas_hmw")</f>
        <v>cas_hmw</v>
      </c>
      <c r="B18134" s="5">
        <f>IFERROR(__xludf.DUMMYFUNCTION("""COMPUTED_VALUE"""),44742.0)</f>
        <v>44742</v>
      </c>
      <c r="C18134" s="6">
        <f>IFERROR(__xludf.DUMMYFUNCTION("""COMPUTED_VALUE"""),0.7081365740741603)</f>
        <v>0.7081365741</v>
      </c>
      <c r="D18134" s="4">
        <f>IFERROR(__xludf.DUMMYFUNCTION("""COMPUTED_VALUE"""),13.055172)</f>
        <v>13.055172</v>
      </c>
      <c r="E18134" s="4">
        <f>IFERROR(__xludf.DUMMYFUNCTION("""COMPUTED_VALUE"""),80.254738)</f>
        <v>80.254738</v>
      </c>
      <c r="F18134" s="4">
        <f>IFERROR(__xludf.DUMMYFUNCTION("""COMPUTED_VALUE"""),5339.0)</f>
        <v>5339</v>
      </c>
      <c r="G18134" s="4">
        <f>IFERROR(__xludf.DUMMYFUNCTION("""COMPUTED_VALUE"""),10.0)</f>
        <v>10</v>
      </c>
      <c r="H18134" s="4"/>
      <c r="I18134" s="4"/>
    </row>
    <row r="18135">
      <c r="A18135" s="4" t="str">
        <f>IFERROR(__xludf.DUMMYFUNCTION("""COMPUTED_VALUE"""),"cas_hmw")</f>
        <v>cas_hmw</v>
      </c>
      <c r="B18135" s="5">
        <f>IFERROR(__xludf.DUMMYFUNCTION("""COMPUTED_VALUE"""),44742.0)</f>
        <v>44742</v>
      </c>
      <c r="C18135" s="6">
        <f>IFERROR(__xludf.DUMMYFUNCTION("""COMPUTED_VALUE"""),0.7083333333321207)</f>
        <v>0.7083333333</v>
      </c>
      <c r="D18135" s="4">
        <f>IFERROR(__xludf.DUMMYFUNCTION("""COMPUTED_VALUE"""),13.055609)</f>
        <v>13.055609</v>
      </c>
      <c r="E18135" s="4">
        <f>IFERROR(__xludf.DUMMYFUNCTION("""COMPUTED_VALUE"""),80.255331)</f>
        <v>80.255331</v>
      </c>
      <c r="F18135" s="4">
        <f>IFERROR(__xludf.DUMMYFUNCTION("""COMPUTED_VALUE"""),5339.0)</f>
        <v>5339</v>
      </c>
      <c r="G18135" s="4">
        <f>IFERROR(__xludf.DUMMYFUNCTION("""COMPUTED_VALUE"""),20.0)</f>
        <v>20</v>
      </c>
      <c r="H18135" s="4"/>
      <c r="I18135" s="4"/>
    </row>
    <row r="18136">
      <c r="A18136" s="4" t="str">
        <f>IFERROR(__xludf.DUMMYFUNCTION("""COMPUTED_VALUE"""),"cas_hmw")</f>
        <v>cas_hmw</v>
      </c>
      <c r="B18136" s="5">
        <f>IFERROR(__xludf.DUMMYFUNCTION("""COMPUTED_VALUE"""),44742.0)</f>
        <v>44742</v>
      </c>
      <c r="C18136" s="6">
        <f>IFERROR(__xludf.DUMMYFUNCTION("""COMPUTED_VALUE"""),0.708356481482042)</f>
        <v>0.7083564815</v>
      </c>
      <c r="D18136" s="4">
        <f>IFERROR(__xludf.DUMMYFUNCTION("""COMPUTED_VALUE"""),13.055609)</f>
        <v>13.055609</v>
      </c>
      <c r="E18136" s="4">
        <f>IFERROR(__xludf.DUMMYFUNCTION("""COMPUTED_VALUE"""),80.255331)</f>
        <v>80.255331</v>
      </c>
      <c r="F18136" s="4">
        <f>IFERROR(__xludf.DUMMYFUNCTION("""COMPUTED_VALUE"""),5339.0)</f>
        <v>5339</v>
      </c>
      <c r="G18136" s="4">
        <f>IFERROR(__xludf.DUMMYFUNCTION("""COMPUTED_VALUE"""),20.0)</f>
        <v>20</v>
      </c>
      <c r="H18136" s="4"/>
      <c r="I18136" s="4"/>
    </row>
    <row r="18137">
      <c r="A18137" s="4" t="str">
        <f>IFERROR(__xludf.DUMMYFUNCTION("""COMPUTED_VALUE"""),"cas_hmw")</f>
        <v>cas_hmw</v>
      </c>
      <c r="B18137" s="5">
        <f>IFERROR(__xludf.DUMMYFUNCTION("""COMPUTED_VALUE"""),44742.0)</f>
        <v>44742</v>
      </c>
      <c r="C18137" s="6">
        <f>IFERROR(__xludf.DUMMYFUNCTION("""COMPUTED_VALUE"""),0.7089351851864194)</f>
        <v>0.7089351852</v>
      </c>
      <c r="D18137" s="4">
        <f>IFERROR(__xludf.DUMMYFUNCTION("""COMPUTED_VALUE"""),12.654924)</f>
        <v>12.654924</v>
      </c>
      <c r="E18137" s="4">
        <f>IFERROR(__xludf.DUMMYFUNCTION("""COMPUTED_VALUE"""),79.941985)</f>
        <v>79.941985</v>
      </c>
      <c r="F18137" s="4">
        <f>IFERROR(__xludf.DUMMYFUNCTION("""COMPUTED_VALUE"""),2846.0)</f>
        <v>2846</v>
      </c>
      <c r="G18137" s="4">
        <f>IFERROR(__xludf.DUMMYFUNCTION("""COMPUTED_VALUE"""),57.0)</f>
        <v>57</v>
      </c>
      <c r="H18137" s="4"/>
      <c r="I18137" s="4"/>
    </row>
    <row r="18138">
      <c r="A18138" s="4" t="str">
        <f>IFERROR(__xludf.DUMMYFUNCTION("""COMPUTED_VALUE"""),"cas_hmw")</f>
        <v>cas_hmw</v>
      </c>
      <c r="B18138" s="5">
        <f>IFERROR(__xludf.DUMMYFUNCTION("""COMPUTED_VALUE"""),44742.0)</f>
        <v>44742</v>
      </c>
      <c r="C18138" s="6">
        <f>IFERROR(__xludf.DUMMYFUNCTION("""COMPUTED_VALUE"""),0.7101041666683159)</f>
        <v>0.7101041667</v>
      </c>
      <c r="D18138" s="4">
        <f>IFERROR(__xludf.DUMMYFUNCTION("""COMPUTED_VALUE"""),13.054329)</f>
        <v>13.054329</v>
      </c>
      <c r="E18138" s="4">
        <f>IFERROR(__xludf.DUMMYFUNCTION("""COMPUTED_VALUE"""),80.259907)</f>
        <v>80.259907</v>
      </c>
      <c r="F18138" s="4">
        <f>IFERROR(__xludf.DUMMYFUNCTION("""COMPUTED_VALUE"""),5339.0)</f>
        <v>5339</v>
      </c>
      <c r="G18138" s="4">
        <f>IFERROR(__xludf.DUMMYFUNCTION("""COMPUTED_VALUE"""),8.0)</f>
        <v>8</v>
      </c>
      <c r="H18138" s="4"/>
      <c r="I18138" s="4"/>
    </row>
    <row r="18139">
      <c r="A18139" s="4" t="str">
        <f>IFERROR(__xludf.DUMMYFUNCTION("""COMPUTED_VALUE"""),"cas_hmw")</f>
        <v>cas_hmw</v>
      </c>
      <c r="B18139" s="5">
        <f>IFERROR(__xludf.DUMMYFUNCTION("""COMPUTED_VALUE"""),44742.0)</f>
        <v>44742</v>
      </c>
      <c r="C18139" s="6">
        <f>IFERROR(__xludf.DUMMYFUNCTION("""COMPUTED_VALUE"""),0.7102314814801503)</f>
        <v>0.7102314815</v>
      </c>
      <c r="D18139" s="4">
        <f>IFERROR(__xludf.DUMMYFUNCTION("""COMPUTED_VALUE"""),13.054271)</f>
        <v>13.054271</v>
      </c>
      <c r="E18139" s="4">
        <f>IFERROR(__xludf.DUMMYFUNCTION("""COMPUTED_VALUE"""),80.260392)</f>
        <v>80.260392</v>
      </c>
      <c r="F18139" s="4">
        <f>IFERROR(__xludf.DUMMYFUNCTION("""COMPUTED_VALUE"""),5339.0)</f>
        <v>5339</v>
      </c>
      <c r="G18139" s="4">
        <f>IFERROR(__xludf.DUMMYFUNCTION("""COMPUTED_VALUE"""),19.0)</f>
        <v>19</v>
      </c>
      <c r="H18139" s="4"/>
      <c r="I18139" s="4"/>
    </row>
    <row r="18140">
      <c r="A18140" s="4" t="str">
        <f>IFERROR(__xludf.DUMMYFUNCTION("""COMPUTED_VALUE"""),"cas_hmw")</f>
        <v>cas_hmw</v>
      </c>
      <c r="B18140" s="5">
        <f>IFERROR(__xludf.DUMMYFUNCTION("""COMPUTED_VALUE"""),44742.0)</f>
        <v>44742</v>
      </c>
      <c r="C18140" s="6">
        <f>IFERROR(__xludf.DUMMYFUNCTION("""COMPUTED_VALUE"""),0.7103472222224809)</f>
        <v>0.7103472222</v>
      </c>
      <c r="D18140" s="4">
        <f>IFERROR(__xludf.DUMMYFUNCTION("""COMPUTED_VALUE"""),13.054271)</f>
        <v>13.054271</v>
      </c>
      <c r="E18140" s="4">
        <f>IFERROR(__xludf.DUMMYFUNCTION("""COMPUTED_VALUE"""),80.260392)</f>
        <v>80.260392</v>
      </c>
      <c r="F18140" s="4">
        <f>IFERROR(__xludf.DUMMYFUNCTION("""COMPUTED_VALUE"""),5339.0)</f>
        <v>5339</v>
      </c>
      <c r="G18140" s="4">
        <f>IFERROR(__xludf.DUMMYFUNCTION("""COMPUTED_VALUE"""),19.0)</f>
        <v>19</v>
      </c>
      <c r="H18140" s="4"/>
      <c r="I18140" s="4"/>
    </row>
    <row r="18141">
      <c r="A18141" s="4" t="str">
        <f>IFERROR(__xludf.DUMMYFUNCTION("""COMPUTED_VALUE"""),"cas_hmw")</f>
        <v>cas_hmw</v>
      </c>
      <c r="B18141" s="5">
        <f>IFERROR(__xludf.DUMMYFUNCTION("""COMPUTED_VALUE"""),44742.0)</f>
        <v>44742</v>
      </c>
      <c r="C18141" s="6">
        <f>IFERROR(__xludf.DUMMYFUNCTION("""COMPUTED_VALUE"""),0.7106828703690553)</f>
        <v>0.7106828704</v>
      </c>
      <c r="D18141" s="4">
        <f>IFERROR(__xludf.DUMMYFUNCTION("""COMPUTED_VALUE"""),13.054013)</f>
        <v>13.054013</v>
      </c>
      <c r="E18141" s="4">
        <f>IFERROR(__xludf.DUMMYFUNCTION("""COMPUTED_VALUE"""),80.262672)</f>
        <v>80.262672</v>
      </c>
      <c r="F18141" s="4">
        <f>IFERROR(__xludf.DUMMYFUNCTION("""COMPUTED_VALUE"""),5339.0)</f>
        <v>5339</v>
      </c>
      <c r="G18141" s="4">
        <f>IFERROR(__xludf.DUMMYFUNCTION("""COMPUTED_VALUE"""),32.0)</f>
        <v>32</v>
      </c>
      <c r="H18141" s="4"/>
      <c r="I18141" s="4"/>
    </row>
    <row r="18142">
      <c r="A18142" s="4" t="str">
        <f>IFERROR(__xludf.DUMMYFUNCTION("""COMPUTED_VALUE"""),"cas_hmw")</f>
        <v>cas_hmw</v>
      </c>
      <c r="B18142" s="5">
        <f>IFERROR(__xludf.DUMMYFUNCTION("""COMPUTED_VALUE"""),44742.0)</f>
        <v>44742</v>
      </c>
      <c r="C18142" s="6">
        <f>IFERROR(__xludf.DUMMYFUNCTION("""COMPUTED_VALUE"""),0.7118055555547471)</f>
        <v>0.7118055556</v>
      </c>
      <c r="D18142" s="4">
        <f>IFERROR(__xludf.DUMMYFUNCTION("""COMPUTED_VALUE"""),13.021823)</f>
        <v>13.021823</v>
      </c>
      <c r="E18142" s="4">
        <f>IFERROR(__xludf.DUMMYFUNCTION("""COMPUTED_VALUE"""),80.263194)</f>
        <v>80.263194</v>
      </c>
      <c r="F18142" s="4">
        <f>IFERROR(__xludf.DUMMYFUNCTION("""COMPUTED_VALUE"""),805.0)</f>
        <v>805</v>
      </c>
      <c r="G18142" s="4">
        <f>IFERROR(__xludf.DUMMYFUNCTION("""COMPUTED_VALUE"""),33.0)</f>
        <v>33</v>
      </c>
      <c r="H18142" s="4"/>
      <c r="I18142" s="4"/>
    </row>
    <row r="18143">
      <c r="A18143" s="4" t="str">
        <f>IFERROR(__xludf.DUMMYFUNCTION("""COMPUTED_VALUE"""),"cas_hmw")</f>
        <v>cas_hmw</v>
      </c>
      <c r="B18143" s="5">
        <f>IFERROR(__xludf.DUMMYFUNCTION("""COMPUTED_VALUE"""),44742.0)</f>
        <v>44742</v>
      </c>
      <c r="C18143" s="6">
        <f>IFERROR(__xludf.DUMMYFUNCTION("""COMPUTED_VALUE"""),0.7118055555547471)</f>
        <v>0.7118055556</v>
      </c>
      <c r="D18143" s="4">
        <f>IFERROR(__xludf.DUMMYFUNCTION("""COMPUTED_VALUE"""),13.021823)</f>
        <v>13.021823</v>
      </c>
      <c r="E18143" s="4">
        <f>IFERROR(__xludf.DUMMYFUNCTION("""COMPUTED_VALUE"""),80.263194)</f>
        <v>80.263194</v>
      </c>
      <c r="F18143" s="4">
        <f>IFERROR(__xludf.DUMMYFUNCTION("""COMPUTED_VALUE"""),805.0)</f>
        <v>805</v>
      </c>
      <c r="G18143" s="4">
        <f>IFERROR(__xludf.DUMMYFUNCTION("""COMPUTED_VALUE"""),33.0)</f>
        <v>33</v>
      </c>
      <c r="H18143" s="4"/>
      <c r="I18143" s="4"/>
    </row>
    <row r="18144">
      <c r="A18144" s="4" t="str">
        <f>IFERROR(__xludf.DUMMYFUNCTION("""COMPUTED_VALUE"""),"cas_hmw")</f>
        <v>cas_hmw</v>
      </c>
      <c r="B18144" s="5">
        <f>IFERROR(__xludf.DUMMYFUNCTION("""COMPUTED_VALUE"""),44742.0)</f>
        <v>44742</v>
      </c>
      <c r="C18144" s="6">
        <f>IFERROR(__xludf.DUMMYFUNCTION("""COMPUTED_VALUE"""),0.7118171296278888)</f>
        <v>0.7118171296</v>
      </c>
      <c r="D18144" s="4">
        <f>IFERROR(__xludf.DUMMYFUNCTION("""COMPUTED_VALUE"""),13.021823)</f>
        <v>13.021823</v>
      </c>
      <c r="E18144" s="4">
        <f>IFERROR(__xludf.DUMMYFUNCTION("""COMPUTED_VALUE"""),80.263194)</f>
        <v>80.263194</v>
      </c>
      <c r="F18144" s="4">
        <f>IFERROR(__xludf.DUMMYFUNCTION("""COMPUTED_VALUE"""),805.0)</f>
        <v>805</v>
      </c>
      <c r="G18144" s="4">
        <f>IFERROR(__xludf.DUMMYFUNCTION("""COMPUTED_VALUE"""),33.0)</f>
        <v>33</v>
      </c>
      <c r="H18144" s="4"/>
      <c r="I18144" s="4"/>
    </row>
    <row r="18145">
      <c r="A18145" s="4" t="str">
        <f>IFERROR(__xludf.DUMMYFUNCTION("""COMPUTED_VALUE"""),"cas_hmw")</f>
        <v>cas_hmw</v>
      </c>
      <c r="B18145" s="5">
        <f>IFERROR(__xludf.DUMMYFUNCTION("""COMPUTED_VALUE"""),44742.0)</f>
        <v>44742</v>
      </c>
      <c r="C18145" s="6">
        <f>IFERROR(__xludf.DUMMYFUNCTION("""COMPUTED_VALUE"""),0.7118518518509518)</f>
        <v>0.7118518519</v>
      </c>
      <c r="D18145" s="4">
        <f>IFERROR(__xludf.DUMMYFUNCTION("""COMPUTED_VALUE"""),13.021823)</f>
        <v>13.021823</v>
      </c>
      <c r="E18145" s="4">
        <f>IFERROR(__xludf.DUMMYFUNCTION("""COMPUTED_VALUE"""),80.263194)</f>
        <v>80.263194</v>
      </c>
      <c r="F18145" s="4">
        <f>IFERROR(__xludf.DUMMYFUNCTION("""COMPUTED_VALUE"""),805.0)</f>
        <v>805</v>
      </c>
      <c r="G18145" s="4">
        <f>IFERROR(__xludf.DUMMYFUNCTION("""COMPUTED_VALUE"""),33.0)</f>
        <v>33</v>
      </c>
      <c r="H18145" s="4"/>
      <c r="I18145" s="4"/>
    </row>
    <row r="18146">
      <c r="A18146" s="4" t="str">
        <f>IFERROR(__xludf.DUMMYFUNCTION("""COMPUTED_VALUE"""),"cas_hmw")</f>
        <v>cas_hmw</v>
      </c>
      <c r="B18146" s="5">
        <f>IFERROR(__xludf.DUMMYFUNCTION("""COMPUTED_VALUE"""),44742.0)</f>
        <v>44742</v>
      </c>
      <c r="C18146" s="6">
        <f>IFERROR(__xludf.DUMMYFUNCTION("""COMPUTED_VALUE"""),0.7119675925932825)</f>
        <v>0.7119675926</v>
      </c>
      <c r="D18146" s="4">
        <f>IFERROR(__xludf.DUMMYFUNCTION("""COMPUTED_VALUE"""),12.644461)</f>
        <v>12.644461</v>
      </c>
      <c r="E18146" s="4">
        <f>IFERROR(__xludf.DUMMYFUNCTION("""COMPUTED_VALUE"""),79.93912)</f>
        <v>79.93912</v>
      </c>
      <c r="F18146" s="4">
        <f>IFERROR(__xludf.DUMMYFUNCTION("""COMPUTED_VALUE"""),2846.0)</f>
        <v>2846</v>
      </c>
      <c r="G18146" s="4">
        <f>IFERROR(__xludf.DUMMYFUNCTION("""COMPUTED_VALUE"""),58.0)</f>
        <v>58</v>
      </c>
      <c r="H18146" s="4"/>
      <c r="I18146" s="4"/>
    </row>
    <row r="18147">
      <c r="A18147" s="4" t="str">
        <f>IFERROR(__xludf.DUMMYFUNCTION("""COMPUTED_VALUE"""),"cas_hmw")</f>
        <v>cas_hmw</v>
      </c>
      <c r="B18147" s="5">
        <f>IFERROR(__xludf.DUMMYFUNCTION("""COMPUTED_VALUE"""),44742.0)</f>
        <v>44742</v>
      </c>
      <c r="C18147" s="6">
        <f>IFERROR(__xludf.DUMMYFUNCTION("""COMPUTED_VALUE"""),0.7153587962966412)</f>
        <v>0.7153587963</v>
      </c>
      <c r="D18147" s="4">
        <f>IFERROR(__xludf.DUMMYFUNCTION("""COMPUTED_VALUE"""),12.584302)</f>
        <v>12.584302</v>
      </c>
      <c r="E18147" s="4">
        <f>IFERROR(__xludf.DUMMYFUNCTION("""COMPUTED_VALUE"""),79.919358)</f>
        <v>79.919358</v>
      </c>
      <c r="F18147" s="4">
        <f>IFERROR(__xludf.DUMMYFUNCTION("""COMPUTED_VALUE"""),2846.0)</f>
        <v>2846</v>
      </c>
      <c r="G18147" s="4">
        <f>IFERROR(__xludf.DUMMYFUNCTION("""COMPUTED_VALUE"""),52.0)</f>
        <v>52</v>
      </c>
      <c r="H18147" s="4"/>
      <c r="I18147" s="4"/>
    </row>
    <row r="18148">
      <c r="A18148" s="4" t="str">
        <f>IFERROR(__xludf.DUMMYFUNCTION("""COMPUTED_VALUE"""),"cas_hmw")</f>
        <v>cas_hmw</v>
      </c>
      <c r="B18148" s="5">
        <f>IFERROR(__xludf.DUMMYFUNCTION("""COMPUTED_VALUE"""),44742.0)</f>
        <v>44742</v>
      </c>
      <c r="C18148" s="6">
        <f>IFERROR(__xludf.DUMMYFUNCTION("""COMPUTED_VALUE"""),0.7198726851856918)</f>
        <v>0.7198726852</v>
      </c>
      <c r="D18148" s="4">
        <f>IFERROR(__xludf.DUMMYFUNCTION("""COMPUTED_VALUE"""),13.039442)</f>
        <v>13.039442</v>
      </c>
      <c r="E18148" s="4">
        <f>IFERROR(__xludf.DUMMYFUNCTION("""COMPUTED_VALUE"""),80.267742)</f>
        <v>80.267742</v>
      </c>
      <c r="F18148" s="4">
        <f>IFERROR(__xludf.DUMMYFUNCTION("""COMPUTED_VALUE"""),805.0)</f>
        <v>805</v>
      </c>
      <c r="G18148" s="4">
        <f>IFERROR(__xludf.DUMMYFUNCTION("""COMPUTED_VALUE"""),21.0)</f>
        <v>21</v>
      </c>
      <c r="H18148" s="4"/>
      <c r="I18148" s="4"/>
    </row>
    <row r="18149">
      <c r="A18149" s="4" t="str">
        <f>IFERROR(__xludf.DUMMYFUNCTION("""COMPUTED_VALUE"""),"cas_hmw")</f>
        <v>cas_hmw</v>
      </c>
      <c r="B18149" s="5">
        <f>IFERROR(__xludf.DUMMYFUNCTION("""COMPUTED_VALUE"""),44742.0)</f>
        <v>44742</v>
      </c>
      <c r="C18149" s="6">
        <f>IFERROR(__xludf.DUMMYFUNCTION("""COMPUTED_VALUE"""),0.7198726851856918)</f>
        <v>0.7198726852</v>
      </c>
      <c r="D18149" s="4">
        <f>IFERROR(__xludf.DUMMYFUNCTION("""COMPUTED_VALUE"""),13.039442)</f>
        <v>13.039442</v>
      </c>
      <c r="E18149" s="4">
        <f>IFERROR(__xludf.DUMMYFUNCTION("""COMPUTED_VALUE"""),80.267742)</f>
        <v>80.267742</v>
      </c>
      <c r="F18149" s="4">
        <f>IFERROR(__xludf.DUMMYFUNCTION("""COMPUTED_VALUE"""),805.0)</f>
        <v>805</v>
      </c>
      <c r="G18149" s="4">
        <f>IFERROR(__xludf.DUMMYFUNCTION("""COMPUTED_VALUE"""),21.0)</f>
        <v>21</v>
      </c>
      <c r="H18149" s="4"/>
      <c r="I18149" s="4"/>
    </row>
    <row r="18150">
      <c r="A18150" s="4" t="str">
        <f>IFERROR(__xludf.DUMMYFUNCTION("""COMPUTED_VALUE"""),"cas_hmw")</f>
        <v>cas_hmw</v>
      </c>
      <c r="B18150" s="5">
        <f>IFERROR(__xludf.DUMMYFUNCTION("""COMPUTED_VALUE"""),44742.0)</f>
        <v>44742</v>
      </c>
      <c r="C18150" s="6">
        <f>IFERROR(__xludf.DUMMYFUNCTION("""COMPUTED_VALUE"""),0.7199768518512428)</f>
        <v>0.7199768519</v>
      </c>
      <c r="D18150" s="4">
        <f>IFERROR(__xludf.DUMMYFUNCTION("""COMPUTED_VALUE"""),13.040018)</f>
        <v>13.040018</v>
      </c>
      <c r="E18150" s="4">
        <f>IFERROR(__xludf.DUMMYFUNCTION("""COMPUTED_VALUE"""),80.267878)</f>
        <v>80.267878</v>
      </c>
      <c r="F18150" s="4">
        <f>IFERROR(__xludf.DUMMYFUNCTION("""COMPUTED_VALUE"""),805.0)</f>
        <v>805</v>
      </c>
      <c r="G18150" s="4">
        <f>IFERROR(__xludf.DUMMYFUNCTION("""COMPUTED_VALUE"""),12.0)</f>
        <v>12</v>
      </c>
      <c r="H18150" s="4"/>
      <c r="I18150" s="4"/>
    </row>
    <row r="18151">
      <c r="A18151" s="4" t="str">
        <f>IFERROR(__xludf.DUMMYFUNCTION("""COMPUTED_VALUE"""),"cas_hmw")</f>
        <v>cas_hmw</v>
      </c>
      <c r="B18151" s="5">
        <f>IFERROR(__xludf.DUMMYFUNCTION("""COMPUTED_VALUE"""),44742.0)</f>
        <v>44742</v>
      </c>
      <c r="C18151" s="6">
        <f>IFERROR(__xludf.DUMMYFUNCTION("""COMPUTED_VALUE"""),0.7201157407398568)</f>
        <v>0.7201157407</v>
      </c>
      <c r="D18151" s="4">
        <f>IFERROR(__xludf.DUMMYFUNCTION("""COMPUTED_VALUE"""),13.040018)</f>
        <v>13.040018</v>
      </c>
      <c r="E18151" s="4">
        <f>IFERROR(__xludf.DUMMYFUNCTION("""COMPUTED_VALUE"""),80.267878)</f>
        <v>80.267878</v>
      </c>
      <c r="F18151" s="4">
        <f>IFERROR(__xludf.DUMMYFUNCTION("""COMPUTED_VALUE"""),805.0)</f>
        <v>805</v>
      </c>
      <c r="G18151" s="4">
        <f>IFERROR(__xludf.DUMMYFUNCTION("""COMPUTED_VALUE"""),12.0)</f>
        <v>12</v>
      </c>
      <c r="H18151" s="4"/>
      <c r="I18151" s="4"/>
    </row>
    <row r="18152">
      <c r="A18152" s="4" t="str">
        <f>IFERROR(__xludf.DUMMYFUNCTION("""COMPUTED_VALUE"""),"cas_hmw")</f>
        <v>cas_hmw</v>
      </c>
      <c r="B18152" s="5">
        <f>IFERROR(__xludf.DUMMYFUNCTION("""COMPUTED_VALUE"""),44742.0)</f>
        <v>44742</v>
      </c>
      <c r="C18152" s="6">
        <f>IFERROR(__xludf.DUMMYFUNCTION("""COMPUTED_VALUE"""),0.7201157407398568)</f>
        <v>0.7201157407</v>
      </c>
      <c r="D18152" s="4">
        <f>IFERROR(__xludf.DUMMYFUNCTION("""COMPUTED_VALUE"""),13.040018)</f>
        <v>13.040018</v>
      </c>
      <c r="E18152" s="4">
        <f>IFERROR(__xludf.DUMMYFUNCTION("""COMPUTED_VALUE"""),80.267878)</f>
        <v>80.267878</v>
      </c>
      <c r="F18152" s="4">
        <f>IFERROR(__xludf.DUMMYFUNCTION("""COMPUTED_VALUE"""),805.0)</f>
        <v>805</v>
      </c>
      <c r="G18152" s="4">
        <f>IFERROR(__xludf.DUMMYFUNCTION("""COMPUTED_VALUE"""),12.0)</f>
        <v>12</v>
      </c>
      <c r="H18152" s="4"/>
      <c r="I18152" s="4"/>
    </row>
    <row r="18153">
      <c r="A18153" s="4" t="str">
        <f>IFERROR(__xludf.DUMMYFUNCTION("""COMPUTED_VALUE"""),"cas_hmw")</f>
        <v>cas_hmw</v>
      </c>
      <c r="B18153" s="5">
        <f>IFERROR(__xludf.DUMMYFUNCTION("""COMPUTED_VALUE"""),44742.0)</f>
        <v>44742</v>
      </c>
      <c r="C18153" s="6">
        <f>IFERROR(__xludf.DUMMYFUNCTION("""COMPUTED_VALUE"""),0.7276041666664241)</f>
        <v>0.7276041667</v>
      </c>
      <c r="D18153" s="4">
        <f>IFERROR(__xludf.DUMMYFUNCTION("""COMPUTED_VALUE"""),13.06757)</f>
        <v>13.06757</v>
      </c>
      <c r="E18153" s="4">
        <f>IFERROR(__xludf.DUMMYFUNCTION("""COMPUTED_VALUE"""),80.270721)</f>
        <v>80.270721</v>
      </c>
      <c r="F18153" s="4">
        <f>IFERROR(__xludf.DUMMYFUNCTION("""COMPUTED_VALUE"""),5339.0)</f>
        <v>5339</v>
      </c>
      <c r="G18153" s="4">
        <f>IFERROR(__xludf.DUMMYFUNCTION("""COMPUTED_VALUE"""),29.0)</f>
        <v>29</v>
      </c>
      <c r="H18153" s="4"/>
      <c r="I18153" s="4"/>
    </row>
    <row r="18154">
      <c r="A18154" s="4" t="str">
        <f>IFERROR(__xludf.DUMMYFUNCTION("""COMPUTED_VALUE"""),"cas_hmw")</f>
        <v>cas_hmw</v>
      </c>
      <c r="B18154" s="5">
        <f>IFERROR(__xludf.DUMMYFUNCTION("""COMPUTED_VALUE"""),44742.0)</f>
        <v>44742</v>
      </c>
      <c r="C18154" s="6">
        <f>IFERROR(__xludf.DUMMYFUNCTION("""COMPUTED_VALUE"""),0.7282060185170849)</f>
        <v>0.7282060185</v>
      </c>
      <c r="D18154" s="4">
        <f>IFERROR(__xludf.DUMMYFUNCTION("""COMPUTED_VALUE"""),13.067086)</f>
        <v>13.067086</v>
      </c>
      <c r="E18154" s="4">
        <f>IFERROR(__xludf.DUMMYFUNCTION("""COMPUTED_VALUE"""),80.268664)</f>
        <v>80.268664</v>
      </c>
      <c r="F18154" s="4">
        <f>IFERROR(__xludf.DUMMYFUNCTION("""COMPUTED_VALUE"""),5339.0)</f>
        <v>5339</v>
      </c>
      <c r="G18154" s="4">
        <f>IFERROR(__xludf.DUMMYFUNCTION("""COMPUTED_VALUE"""),28.0)</f>
        <v>28</v>
      </c>
      <c r="H18154" s="4"/>
      <c r="I18154" s="4"/>
    </row>
    <row r="18155">
      <c r="A18155" s="4" t="str">
        <f>IFERROR(__xludf.DUMMYFUNCTION("""COMPUTED_VALUE"""),"cas_hmw")</f>
        <v>cas_hmw</v>
      </c>
      <c r="B18155" s="5">
        <f>IFERROR(__xludf.DUMMYFUNCTION("""COMPUTED_VALUE"""),44742.0)</f>
        <v>44742</v>
      </c>
      <c r="C18155" s="6">
        <f>IFERROR(__xludf.DUMMYFUNCTION("""COMPUTED_VALUE"""),0.729247685183509)</f>
        <v>0.7292476852</v>
      </c>
      <c r="D18155" s="4">
        <f>IFERROR(__xludf.DUMMYFUNCTION("""COMPUTED_VALUE"""),13.069055)</f>
        <v>13.069055</v>
      </c>
      <c r="E18155" s="4">
        <f>IFERROR(__xludf.DUMMYFUNCTION("""COMPUTED_VALUE"""),80.267115)</f>
        <v>80.267115</v>
      </c>
      <c r="F18155" s="4">
        <f>IFERROR(__xludf.DUMMYFUNCTION("""COMPUTED_VALUE"""),5339.0)</f>
        <v>5339</v>
      </c>
      <c r="G18155" s="4">
        <f>IFERROR(__xludf.DUMMYFUNCTION("""COMPUTED_VALUE"""),28.0)</f>
        <v>28</v>
      </c>
      <c r="H18155" s="4"/>
      <c r="I18155" s="4"/>
    </row>
    <row r="18156">
      <c r="A18156" s="4" t="str">
        <f>IFERROR(__xludf.DUMMYFUNCTION("""COMPUTED_VALUE"""),"cas_hmw")</f>
        <v>cas_hmw</v>
      </c>
      <c r="B18156" s="5">
        <f>IFERROR(__xludf.DUMMYFUNCTION("""COMPUTED_VALUE"""),44742.0)</f>
        <v>44742</v>
      </c>
      <c r="C18156" s="6">
        <f>IFERROR(__xludf.DUMMYFUNCTION("""COMPUTED_VALUE"""),0.731620370370365)</f>
        <v>0.7316203704</v>
      </c>
      <c r="D18156" s="4">
        <f>IFERROR(__xludf.DUMMYFUNCTION("""COMPUTED_VALUE"""),13.073002)</f>
        <v>13.073002</v>
      </c>
      <c r="E18156" s="4">
        <f>IFERROR(__xludf.DUMMYFUNCTION("""COMPUTED_VALUE"""),80.260804)</f>
        <v>80.260804</v>
      </c>
      <c r="F18156" s="4">
        <f>IFERROR(__xludf.DUMMYFUNCTION("""COMPUTED_VALUE"""),5339.0)</f>
        <v>5339</v>
      </c>
      <c r="G18156" s="4">
        <f>IFERROR(__xludf.DUMMYFUNCTION("""COMPUTED_VALUE"""),19.0)</f>
        <v>19</v>
      </c>
      <c r="H18156" s="4"/>
      <c r="I18156" s="4"/>
    </row>
    <row r="18157">
      <c r="A18157" s="4" t="str">
        <f>IFERROR(__xludf.DUMMYFUNCTION("""COMPUTED_VALUE"""),"cas_hmw")</f>
        <v>cas_hmw</v>
      </c>
      <c r="B18157" s="5">
        <f>IFERROR(__xludf.DUMMYFUNCTION("""COMPUTED_VALUE"""),44742.0)</f>
        <v>44742</v>
      </c>
      <c r="C18157" s="6">
        <f>IFERROR(__xludf.DUMMYFUNCTION("""COMPUTED_VALUE"""),0.732037037036207)</f>
        <v>0.732037037</v>
      </c>
      <c r="D18157" s="4">
        <f>IFERROR(__xludf.DUMMYFUNCTION("""COMPUTED_VALUE"""),13.071184)</f>
        <v>13.071184</v>
      </c>
      <c r="E18157" s="4">
        <f>IFERROR(__xludf.DUMMYFUNCTION("""COMPUTED_VALUE"""),80.258735)</f>
        <v>80.258735</v>
      </c>
      <c r="F18157" s="4">
        <f>IFERROR(__xludf.DUMMYFUNCTION("""COMPUTED_VALUE"""),5339.0)</f>
        <v>5339</v>
      </c>
      <c r="G18157" s="4">
        <f>IFERROR(__xludf.DUMMYFUNCTION("""COMPUTED_VALUE"""),34.0)</f>
        <v>34</v>
      </c>
      <c r="H18157" s="4"/>
      <c r="I18157" s="4"/>
    </row>
    <row r="18158">
      <c r="A18158" s="4" t="str">
        <f>IFERROR(__xludf.DUMMYFUNCTION("""COMPUTED_VALUE"""),"cas_hmw")</f>
        <v>cas_hmw</v>
      </c>
      <c r="B18158" s="5">
        <f>IFERROR(__xludf.DUMMYFUNCTION("""COMPUTED_VALUE"""),44742.0)</f>
        <v>44742</v>
      </c>
      <c r="C18158" s="6">
        <f>IFERROR(__xludf.DUMMYFUNCTION("""COMPUTED_VALUE"""),0.7322685185172304)</f>
        <v>0.7322685185</v>
      </c>
      <c r="D18158" s="4">
        <f>IFERROR(__xludf.DUMMYFUNCTION("""COMPUTED_VALUE"""),13.070101)</f>
        <v>13.070101</v>
      </c>
      <c r="E18158" s="4">
        <f>IFERROR(__xludf.DUMMYFUNCTION("""COMPUTED_VALUE"""),80.257572)</f>
        <v>80.257572</v>
      </c>
      <c r="F18158" s="4">
        <f>IFERROR(__xludf.DUMMYFUNCTION("""COMPUTED_VALUE"""),5339.0)</f>
        <v>5339</v>
      </c>
      <c r="G18158" s="4">
        <f>IFERROR(__xludf.DUMMYFUNCTION("""COMPUTED_VALUE"""),30.0)</f>
        <v>30</v>
      </c>
      <c r="H18158" s="4"/>
      <c r="I18158" s="4"/>
    </row>
    <row r="18159">
      <c r="A18159" s="4" t="str">
        <f>IFERROR(__xludf.DUMMYFUNCTION("""COMPUTED_VALUE"""),"cas_hmw")</f>
        <v>cas_hmw</v>
      </c>
      <c r="B18159" s="5">
        <f>IFERROR(__xludf.DUMMYFUNCTION("""COMPUTED_VALUE"""),44742.0)</f>
        <v>44742</v>
      </c>
      <c r="C18159" s="6">
        <f>IFERROR(__xludf.DUMMYFUNCTION("""COMPUTED_VALUE"""),0.7342824074075907)</f>
        <v>0.7342824074</v>
      </c>
      <c r="D18159" s="4">
        <f>IFERROR(__xludf.DUMMYFUNCTION("""COMPUTED_VALUE"""),13.06697)</f>
        <v>13.06697</v>
      </c>
      <c r="E18159" s="4">
        <f>IFERROR(__xludf.DUMMYFUNCTION("""COMPUTED_VALUE"""),80.253886)</f>
        <v>80.253886</v>
      </c>
      <c r="F18159" s="4">
        <f>IFERROR(__xludf.DUMMYFUNCTION("""COMPUTED_VALUE"""),5339.0)</f>
        <v>5339</v>
      </c>
      <c r="G18159" s="4">
        <f>IFERROR(__xludf.DUMMYFUNCTION("""COMPUTED_VALUE"""),20.0)</f>
        <v>20</v>
      </c>
      <c r="H18159" s="4"/>
      <c r="I18159" s="4"/>
    </row>
    <row r="18160">
      <c r="A18160" s="4" t="str">
        <f>IFERROR(__xludf.DUMMYFUNCTION("""COMPUTED_VALUE"""),"cas_hmw")</f>
        <v>cas_hmw</v>
      </c>
      <c r="B18160" s="5">
        <f>IFERROR(__xludf.DUMMYFUNCTION("""COMPUTED_VALUE"""),44742.0)</f>
        <v>44742</v>
      </c>
      <c r="C18160" s="6">
        <f>IFERROR(__xludf.DUMMYFUNCTION("""COMPUTED_VALUE"""),0.7344328703693463)</f>
        <v>0.7344328704</v>
      </c>
      <c r="D18160" s="4">
        <f>IFERROR(__xludf.DUMMYFUNCTION("""COMPUTED_VALUE"""),13.068276)</f>
        <v>13.068276</v>
      </c>
      <c r="E18160" s="4">
        <f>IFERROR(__xludf.DUMMYFUNCTION("""COMPUTED_VALUE"""),80.25278)</f>
        <v>80.25278</v>
      </c>
      <c r="F18160" s="4">
        <f>IFERROR(__xludf.DUMMYFUNCTION("""COMPUTED_VALUE"""),5339.0)</f>
        <v>5339</v>
      </c>
      <c r="G18160" s="4">
        <f>IFERROR(__xludf.DUMMYFUNCTION("""COMPUTED_VALUE"""),32.0)</f>
        <v>32</v>
      </c>
      <c r="H18160" s="4"/>
      <c r="I18160" s="4"/>
    </row>
    <row r="18161">
      <c r="A18161" s="4" t="str">
        <f>IFERROR(__xludf.DUMMYFUNCTION("""COMPUTED_VALUE"""),"cas_hmw")</f>
        <v>cas_hmw</v>
      </c>
      <c r="B18161" s="5">
        <f>IFERROR(__xludf.DUMMYFUNCTION("""COMPUTED_VALUE"""),44742.0)</f>
        <v>44742</v>
      </c>
      <c r="C18161" s="6">
        <f>IFERROR(__xludf.DUMMYFUNCTION("""COMPUTED_VALUE"""),0.7366666666675883)</f>
        <v>0.7366666667</v>
      </c>
      <c r="D18161" s="4">
        <f>IFERROR(__xludf.DUMMYFUNCTION("""COMPUTED_VALUE"""),13.066758)</f>
        <v>13.066758</v>
      </c>
      <c r="E18161" s="4">
        <f>IFERROR(__xludf.DUMMYFUNCTION("""COMPUTED_VALUE"""),80.254233)</f>
        <v>80.254233</v>
      </c>
      <c r="F18161" s="4">
        <f>IFERROR(__xludf.DUMMYFUNCTION("""COMPUTED_VALUE"""),805.0)</f>
        <v>805</v>
      </c>
      <c r="G18161" s="4">
        <f>IFERROR(__xludf.DUMMYFUNCTION("""COMPUTED_VALUE"""),19.0)</f>
        <v>19</v>
      </c>
      <c r="H18161" s="4"/>
      <c r="I18161" s="4"/>
    </row>
    <row r="18162">
      <c r="A18162" s="4" t="str">
        <f>IFERROR(__xludf.DUMMYFUNCTION("""COMPUTED_VALUE"""),"cas_hmw")</f>
        <v>cas_hmw</v>
      </c>
      <c r="B18162" s="5">
        <f>IFERROR(__xludf.DUMMYFUNCTION("""COMPUTED_VALUE"""),44742.0)</f>
        <v>44742</v>
      </c>
      <c r="C18162" s="6">
        <f>IFERROR(__xludf.DUMMYFUNCTION("""COMPUTED_VALUE"""),0.7366898148138716)</f>
        <v>0.7366898148</v>
      </c>
      <c r="D18162" s="4">
        <f>IFERROR(__xludf.DUMMYFUNCTION("""COMPUTED_VALUE"""),13.066758)</f>
        <v>13.066758</v>
      </c>
      <c r="E18162" s="4">
        <f>IFERROR(__xludf.DUMMYFUNCTION("""COMPUTED_VALUE"""),80.254233)</f>
        <v>80.254233</v>
      </c>
      <c r="F18162" s="4">
        <f>IFERROR(__xludf.DUMMYFUNCTION("""COMPUTED_VALUE"""),805.0)</f>
        <v>805</v>
      </c>
      <c r="G18162" s="4">
        <f>IFERROR(__xludf.DUMMYFUNCTION("""COMPUTED_VALUE"""),19.0)</f>
        <v>19</v>
      </c>
      <c r="H18162" s="4"/>
      <c r="I18162" s="4"/>
    </row>
    <row r="18163">
      <c r="A18163" s="4" t="str">
        <f>IFERROR(__xludf.DUMMYFUNCTION("""COMPUTED_VALUE"""),"cas_hmw")</f>
        <v>cas_hmw</v>
      </c>
      <c r="B18163" s="5">
        <f>IFERROR(__xludf.DUMMYFUNCTION("""COMPUTED_VALUE"""),44742.0)</f>
        <v>44742</v>
      </c>
      <c r="C18163" s="6">
        <f>IFERROR(__xludf.DUMMYFUNCTION("""COMPUTED_VALUE"""),0.7366898148138716)</f>
        <v>0.7366898148</v>
      </c>
      <c r="D18163" s="4">
        <f>IFERROR(__xludf.DUMMYFUNCTION("""COMPUTED_VALUE"""),13.066758)</f>
        <v>13.066758</v>
      </c>
      <c r="E18163" s="4">
        <f>IFERROR(__xludf.DUMMYFUNCTION("""COMPUTED_VALUE"""),80.254233)</f>
        <v>80.254233</v>
      </c>
      <c r="F18163" s="4">
        <f>IFERROR(__xludf.DUMMYFUNCTION("""COMPUTED_VALUE"""),805.0)</f>
        <v>805</v>
      </c>
      <c r="G18163" s="4">
        <f>IFERROR(__xludf.DUMMYFUNCTION("""COMPUTED_VALUE"""),19.0)</f>
        <v>19</v>
      </c>
      <c r="H18163" s="4"/>
      <c r="I18163" s="4"/>
    </row>
    <row r="18164">
      <c r="A18164" s="4" t="str">
        <f>IFERROR(__xludf.DUMMYFUNCTION("""COMPUTED_VALUE"""),"cas_hmw")</f>
        <v>cas_hmw</v>
      </c>
      <c r="B18164" s="5">
        <f>IFERROR(__xludf.DUMMYFUNCTION("""COMPUTED_VALUE"""),44742.0)</f>
        <v>44742</v>
      </c>
      <c r="C18164" s="6">
        <f>IFERROR(__xludf.DUMMYFUNCTION("""COMPUTED_VALUE"""),0.7367245370369346)</f>
        <v>0.736724537</v>
      </c>
      <c r="D18164" s="4">
        <f>IFERROR(__xludf.DUMMYFUNCTION("""COMPUTED_VALUE"""),13.067113)</f>
        <v>13.067113</v>
      </c>
      <c r="E18164" s="4">
        <f>IFERROR(__xludf.DUMMYFUNCTION("""COMPUTED_VALUE"""),80.253764)</f>
        <v>80.253764</v>
      </c>
      <c r="F18164" s="4">
        <f>IFERROR(__xludf.DUMMYFUNCTION("""COMPUTED_VALUE"""),805.0)</f>
        <v>805</v>
      </c>
      <c r="G18164" s="4">
        <f>IFERROR(__xludf.DUMMYFUNCTION("""COMPUTED_VALUE"""),30.0)</f>
        <v>30</v>
      </c>
      <c r="H18164" s="4"/>
      <c r="I18164" s="4"/>
    </row>
    <row r="18165">
      <c r="A18165" s="4" t="str">
        <f>IFERROR(__xludf.DUMMYFUNCTION("""COMPUTED_VALUE"""),"cas_hmw")</f>
        <v>cas_hmw</v>
      </c>
      <c r="B18165" s="5">
        <f>IFERROR(__xludf.DUMMYFUNCTION("""COMPUTED_VALUE"""),44742.0)</f>
        <v>44742</v>
      </c>
      <c r="C18165" s="6">
        <f>IFERROR(__xludf.DUMMYFUNCTION("""COMPUTED_VALUE"""),0.737025462964084)</f>
        <v>0.737025463</v>
      </c>
      <c r="D18165" s="4">
        <f>IFERROR(__xludf.DUMMYFUNCTION("""COMPUTED_VALUE"""),13.068208)</f>
        <v>13.068208</v>
      </c>
      <c r="E18165" s="4">
        <f>IFERROR(__xludf.DUMMYFUNCTION("""COMPUTED_VALUE"""),80.252806)</f>
        <v>80.252806</v>
      </c>
      <c r="F18165" s="4">
        <f>IFERROR(__xludf.DUMMYFUNCTION("""COMPUTED_VALUE"""),805.0)</f>
        <v>805</v>
      </c>
      <c r="G18165" s="4">
        <f>IFERROR(__xludf.DUMMYFUNCTION("""COMPUTED_VALUE"""),24.0)</f>
        <v>24</v>
      </c>
      <c r="H18165" s="4"/>
      <c r="I18165" s="4"/>
    </row>
    <row r="18166">
      <c r="A18166" s="4" t="str">
        <f>IFERROR(__xludf.DUMMYFUNCTION("""COMPUTED_VALUE"""),"cas_hmw")</f>
        <v>cas_hmw</v>
      </c>
      <c r="B18166" s="5">
        <f>IFERROR(__xludf.DUMMYFUNCTION("""COMPUTED_VALUE"""),44742.0)</f>
        <v>44742</v>
      </c>
      <c r="C18166" s="6">
        <f>IFERROR(__xludf.DUMMYFUNCTION("""COMPUTED_VALUE"""),0.7374999999992724)</f>
        <v>0.7375</v>
      </c>
      <c r="D18166" s="4">
        <f>IFERROR(__xludf.DUMMYFUNCTION("""COMPUTED_VALUE"""),13.066118)</f>
        <v>13.066118</v>
      </c>
      <c r="E18166" s="4">
        <f>IFERROR(__xludf.DUMMYFUNCTION("""COMPUTED_VALUE"""),80.247882)</f>
        <v>80.247882</v>
      </c>
      <c r="F18166" s="4">
        <f>IFERROR(__xludf.DUMMYFUNCTION("""COMPUTED_VALUE"""),5339.0)</f>
        <v>5339</v>
      </c>
      <c r="G18166" s="4">
        <f>IFERROR(__xludf.DUMMYFUNCTION("""COMPUTED_VALUE"""),27.0)</f>
        <v>27</v>
      </c>
      <c r="H18166" s="4"/>
      <c r="I18166" s="4"/>
    </row>
    <row r="18167">
      <c r="A18167" s="4" t="str">
        <f>IFERROR(__xludf.DUMMYFUNCTION("""COMPUTED_VALUE"""),"cas_hmw")</f>
        <v>cas_hmw</v>
      </c>
      <c r="B18167" s="5">
        <f>IFERROR(__xludf.DUMMYFUNCTION("""COMPUTED_VALUE"""),44742.0)</f>
        <v>44742</v>
      </c>
      <c r="C18167" s="6">
        <f>IFERROR(__xludf.DUMMYFUNCTION("""COMPUTED_VALUE"""),0.7375231481491937)</f>
        <v>0.7375231481</v>
      </c>
      <c r="D18167" s="4">
        <f>IFERROR(__xludf.DUMMYFUNCTION("""COMPUTED_VALUE"""),13.066118)</f>
        <v>13.066118</v>
      </c>
      <c r="E18167" s="4">
        <f>IFERROR(__xludf.DUMMYFUNCTION("""COMPUTED_VALUE"""),80.247882)</f>
        <v>80.247882</v>
      </c>
      <c r="F18167" s="4">
        <f>IFERROR(__xludf.DUMMYFUNCTION("""COMPUTED_VALUE"""),5339.0)</f>
        <v>5339</v>
      </c>
      <c r="G18167" s="4">
        <f>IFERROR(__xludf.DUMMYFUNCTION("""COMPUTED_VALUE"""),27.0)</f>
        <v>27</v>
      </c>
      <c r="H18167" s="4"/>
      <c r="I18167" s="4"/>
    </row>
    <row r="18168">
      <c r="A18168" s="4" t="str">
        <f>IFERROR(__xludf.DUMMYFUNCTION("""COMPUTED_VALUE"""),"cas_hmw")</f>
        <v>cas_hmw</v>
      </c>
      <c r="B18168" s="5">
        <f>IFERROR(__xludf.DUMMYFUNCTION("""COMPUTED_VALUE"""),44742.0)</f>
        <v>44742</v>
      </c>
      <c r="C18168" s="6">
        <f>IFERROR(__xludf.DUMMYFUNCTION("""COMPUTED_VALUE"""),0.7375462962954771)</f>
        <v>0.7375462963</v>
      </c>
      <c r="D18168" s="4">
        <f>IFERROR(__xludf.DUMMYFUNCTION("""COMPUTED_VALUE"""),13.066118)</f>
        <v>13.066118</v>
      </c>
      <c r="E18168" s="4">
        <f>IFERROR(__xludf.DUMMYFUNCTION("""COMPUTED_VALUE"""),80.247882)</f>
        <v>80.247882</v>
      </c>
      <c r="F18168" s="4">
        <f>IFERROR(__xludf.DUMMYFUNCTION("""COMPUTED_VALUE"""),5339.0)</f>
        <v>5339</v>
      </c>
      <c r="G18168" s="4">
        <f>IFERROR(__xludf.DUMMYFUNCTION("""COMPUTED_VALUE"""),27.0)</f>
        <v>27</v>
      </c>
      <c r="H18168" s="4"/>
      <c r="I18168" s="4"/>
    </row>
    <row r="18169">
      <c r="A18169" s="4" t="str">
        <f>IFERROR(__xludf.DUMMYFUNCTION("""COMPUTED_VALUE"""),"cas_hmw")</f>
        <v>cas_hmw</v>
      </c>
      <c r="B18169" s="5">
        <f>IFERROR(__xludf.DUMMYFUNCTION("""COMPUTED_VALUE"""),44743.0)</f>
        <v>44743</v>
      </c>
      <c r="C18169" s="6">
        <f>IFERROR(__xludf.DUMMYFUNCTION("""COMPUTED_VALUE"""),0.28988425925854244)</f>
        <v>0.2898842593</v>
      </c>
      <c r="D18169" s="4">
        <f>IFERROR(__xludf.DUMMYFUNCTION("""COMPUTED_VALUE"""),12.448613)</f>
        <v>12.448613</v>
      </c>
      <c r="E18169" s="4">
        <f>IFERROR(__xludf.DUMMYFUNCTION("""COMPUTED_VALUE"""),79.839083)</f>
        <v>79.839083</v>
      </c>
      <c r="F18169" s="4">
        <f>IFERROR(__xludf.DUMMYFUNCTION("""COMPUTED_VALUE"""),2846.0)</f>
        <v>2846</v>
      </c>
      <c r="G18169" s="4">
        <f>IFERROR(__xludf.DUMMYFUNCTION("""COMPUTED_VALUE"""),57.0)</f>
        <v>57</v>
      </c>
      <c r="H18169" s="4"/>
      <c r="I18169" s="4"/>
    </row>
    <row r="18170">
      <c r="A18170" s="4" t="str">
        <f>IFERROR(__xludf.DUMMYFUNCTION("""COMPUTED_VALUE"""),"cas_hmw")</f>
        <v>cas_hmw</v>
      </c>
      <c r="B18170" s="5">
        <f>IFERROR(__xludf.DUMMYFUNCTION("""COMPUTED_VALUE"""),44743.0)</f>
        <v>44743</v>
      </c>
      <c r="C18170" s="6">
        <f>IFERROR(__xludf.DUMMYFUNCTION("""COMPUTED_VALUE"""),0.29031250000116415)</f>
        <v>0.2903125</v>
      </c>
      <c r="D18170" s="4">
        <f>IFERROR(__xludf.DUMMYFUNCTION("""COMPUTED_VALUE"""),12.4538)</f>
        <v>12.4538</v>
      </c>
      <c r="E18170" s="4">
        <f>IFERROR(__xludf.DUMMYFUNCTION("""COMPUTED_VALUE"""),79.841718)</f>
        <v>79.841718</v>
      </c>
      <c r="F18170" s="4">
        <f>IFERROR(__xludf.DUMMYFUNCTION("""COMPUTED_VALUE"""),2846.0)</f>
        <v>2846</v>
      </c>
      <c r="G18170" s="4">
        <f>IFERROR(__xludf.DUMMYFUNCTION("""COMPUTED_VALUE"""),57.0)</f>
        <v>57</v>
      </c>
      <c r="H18170" s="4"/>
      <c r="I18170" s="4"/>
    </row>
    <row r="18171">
      <c r="A18171" s="4" t="str">
        <f>IFERROR(__xludf.DUMMYFUNCTION("""COMPUTED_VALUE"""),"cas_hmw")</f>
        <v>cas_hmw</v>
      </c>
      <c r="B18171" s="5">
        <f>IFERROR(__xludf.DUMMYFUNCTION("""COMPUTED_VALUE"""),44743.0)</f>
        <v>44743</v>
      </c>
      <c r="C18171" s="6">
        <f>IFERROR(__xludf.DUMMYFUNCTION("""COMPUTED_VALUE"""),0.29921296296379296)</f>
        <v>0.299212963</v>
      </c>
      <c r="D18171" s="4">
        <f>IFERROR(__xludf.DUMMYFUNCTION("""COMPUTED_VALUE"""),13.070175)</f>
        <v>13.070175</v>
      </c>
      <c r="E18171" s="4">
        <f>IFERROR(__xludf.DUMMYFUNCTION("""COMPUTED_VALUE"""),80.257559)</f>
        <v>80.257559</v>
      </c>
      <c r="F18171" s="4">
        <f>IFERROR(__xludf.DUMMYFUNCTION("""COMPUTED_VALUE"""),5339.0)</f>
        <v>5339</v>
      </c>
      <c r="G18171" s="4">
        <f>IFERROR(__xludf.DUMMYFUNCTION("""COMPUTED_VALUE"""),41.0)</f>
        <v>41</v>
      </c>
      <c r="H18171" s="4"/>
      <c r="I18171" s="4"/>
    </row>
    <row r="18172">
      <c r="A18172" s="4" t="str">
        <f>IFERROR(__xludf.DUMMYFUNCTION("""COMPUTED_VALUE"""),"cas_hmw")</f>
        <v>cas_hmw</v>
      </c>
      <c r="B18172" s="5">
        <f>IFERROR(__xludf.DUMMYFUNCTION("""COMPUTED_VALUE"""),44743.0)</f>
        <v>44743</v>
      </c>
      <c r="C18172" s="6">
        <f>IFERROR(__xludf.DUMMYFUNCTION("""COMPUTED_VALUE"""),0.29924768518685596)</f>
        <v>0.2992476852</v>
      </c>
      <c r="D18172" s="4">
        <f>IFERROR(__xludf.DUMMYFUNCTION("""COMPUTED_VALUE"""),13.070175)</f>
        <v>13.070175</v>
      </c>
      <c r="E18172" s="4">
        <f>IFERROR(__xludf.DUMMYFUNCTION("""COMPUTED_VALUE"""),80.257559)</f>
        <v>80.257559</v>
      </c>
      <c r="F18172" s="4">
        <f>IFERROR(__xludf.DUMMYFUNCTION("""COMPUTED_VALUE"""),5339.0)</f>
        <v>5339</v>
      </c>
      <c r="G18172" s="4">
        <f>IFERROR(__xludf.DUMMYFUNCTION("""COMPUTED_VALUE"""),41.0)</f>
        <v>41</v>
      </c>
      <c r="H18172" s="4"/>
      <c r="I18172" s="4"/>
    </row>
    <row r="18173">
      <c r="A18173" s="4" t="str">
        <f>IFERROR(__xludf.DUMMYFUNCTION("""COMPUTED_VALUE"""),"cas_hmw")</f>
        <v>cas_hmw</v>
      </c>
      <c r="B18173" s="5">
        <f>IFERROR(__xludf.DUMMYFUNCTION("""COMPUTED_VALUE"""),44743.0)</f>
        <v>44743</v>
      </c>
      <c r="C18173" s="6">
        <f>IFERROR(__xludf.DUMMYFUNCTION("""COMPUTED_VALUE"""),0.30175925925868796)</f>
        <v>0.3017592593</v>
      </c>
      <c r="D18173" s="4">
        <f>IFERROR(__xludf.DUMMYFUNCTION("""COMPUTED_VALUE"""),13.068475)</f>
        <v>13.068475</v>
      </c>
      <c r="E18173" s="4">
        <f>IFERROR(__xludf.DUMMYFUNCTION("""COMPUTED_VALUE"""),80.268829)</f>
        <v>80.268829</v>
      </c>
      <c r="F18173" s="4">
        <f>IFERROR(__xludf.DUMMYFUNCTION("""COMPUTED_VALUE"""),5339.0)</f>
        <v>5339</v>
      </c>
      <c r="G18173" s="4">
        <f>IFERROR(__xludf.DUMMYFUNCTION("""COMPUTED_VALUE"""),32.0)</f>
        <v>32</v>
      </c>
      <c r="H18173" s="4"/>
      <c r="I18173" s="4"/>
    </row>
    <row r="18174">
      <c r="A18174" s="4" t="str">
        <f>IFERROR(__xludf.DUMMYFUNCTION("""COMPUTED_VALUE"""),"cas_hmw")</f>
        <v>cas_hmw</v>
      </c>
      <c r="B18174" s="5">
        <f>IFERROR(__xludf.DUMMYFUNCTION("""COMPUTED_VALUE"""),44743.0)</f>
        <v>44743</v>
      </c>
      <c r="C18174" s="6">
        <f>IFERROR(__xludf.DUMMYFUNCTION("""COMPUTED_VALUE"""),0.3034490740756155)</f>
        <v>0.3034490741</v>
      </c>
      <c r="D18174" s="4">
        <f>IFERROR(__xludf.DUMMYFUNCTION("""COMPUTED_VALUE"""),12.53673)</f>
        <v>12.53673</v>
      </c>
      <c r="E18174" s="4">
        <f>IFERROR(__xludf.DUMMYFUNCTION("""COMPUTED_VALUE"""),79.902802)</f>
        <v>79.902802</v>
      </c>
      <c r="F18174" s="4">
        <f>IFERROR(__xludf.DUMMYFUNCTION("""COMPUTED_VALUE"""),2846.0)</f>
        <v>2846</v>
      </c>
      <c r="G18174" s="4">
        <f>IFERROR(__xludf.DUMMYFUNCTION("""COMPUTED_VALUE"""),58.0)</f>
        <v>58</v>
      </c>
      <c r="H18174" s="4"/>
      <c r="I18174" s="4"/>
    </row>
    <row r="18175">
      <c r="A18175" s="4" t="str">
        <f>IFERROR(__xludf.DUMMYFUNCTION("""COMPUTED_VALUE"""),"cas_hmw")</f>
        <v>cas_hmw</v>
      </c>
      <c r="B18175" s="5">
        <f>IFERROR(__xludf.DUMMYFUNCTION("""COMPUTED_VALUE"""),44743.0)</f>
        <v>44743</v>
      </c>
      <c r="C18175" s="6">
        <f>IFERROR(__xludf.DUMMYFUNCTION("""COMPUTED_VALUE"""),0.31113425926014315)</f>
        <v>0.3111342593</v>
      </c>
      <c r="D18175" s="4">
        <f>IFERROR(__xludf.DUMMYFUNCTION("""COMPUTED_VALUE"""),13.05153)</f>
        <v>13.05153</v>
      </c>
      <c r="E18175" s="4">
        <f>IFERROR(__xludf.DUMMYFUNCTION("""COMPUTED_VALUE"""),80.250305)</f>
        <v>80.250305</v>
      </c>
      <c r="F18175" s="4">
        <f>IFERROR(__xludf.DUMMYFUNCTION("""COMPUTED_VALUE"""),5339.0)</f>
        <v>5339</v>
      </c>
      <c r="G18175" s="4">
        <f>IFERROR(__xludf.DUMMYFUNCTION("""COMPUTED_VALUE"""),51.0)</f>
        <v>51</v>
      </c>
      <c r="H18175" s="4"/>
      <c r="I18175" s="4"/>
    </row>
    <row r="18176">
      <c r="A18176" s="4" t="str">
        <f>IFERROR(__xludf.DUMMYFUNCTION("""COMPUTED_VALUE"""),"cas_hmw")</f>
        <v>cas_hmw</v>
      </c>
      <c r="B18176" s="5">
        <f>IFERROR(__xludf.DUMMYFUNCTION("""COMPUTED_VALUE"""),44743.0)</f>
        <v>44743</v>
      </c>
      <c r="C18176" s="6">
        <f>IFERROR(__xludf.DUMMYFUNCTION("""COMPUTED_VALUE"""),0.3112268518525525)</f>
        <v>0.3112268519</v>
      </c>
      <c r="D18176" s="4">
        <f>IFERROR(__xludf.DUMMYFUNCTION("""COMPUTED_VALUE"""),13.05153)</f>
        <v>13.05153</v>
      </c>
      <c r="E18176" s="4">
        <f>IFERROR(__xludf.DUMMYFUNCTION("""COMPUTED_VALUE"""),80.250305)</f>
        <v>80.250305</v>
      </c>
      <c r="F18176" s="4">
        <f>IFERROR(__xludf.DUMMYFUNCTION("""COMPUTED_VALUE"""),5339.0)</f>
        <v>5339</v>
      </c>
      <c r="G18176" s="4">
        <f>IFERROR(__xludf.DUMMYFUNCTION("""COMPUTED_VALUE"""),51.0)</f>
        <v>51</v>
      </c>
      <c r="H18176" s="4"/>
      <c r="I18176" s="4"/>
    </row>
    <row r="18177">
      <c r="A18177" s="4" t="str">
        <f>IFERROR(__xludf.DUMMYFUNCTION("""COMPUTED_VALUE"""),"cas_hmw")</f>
        <v>cas_hmw</v>
      </c>
      <c r="B18177" s="5">
        <f>IFERROR(__xludf.DUMMYFUNCTION("""COMPUTED_VALUE"""),44743.0)</f>
        <v>44743</v>
      </c>
      <c r="C18177" s="6">
        <f>IFERROR(__xludf.DUMMYFUNCTION("""COMPUTED_VALUE"""),0.3143518518518249)</f>
        <v>0.3143518519</v>
      </c>
      <c r="D18177" s="4">
        <f>IFERROR(__xludf.DUMMYFUNCTION("""COMPUTED_VALUE"""),12.657922)</f>
        <v>12.657922</v>
      </c>
      <c r="E18177" s="4">
        <f>IFERROR(__xludf.DUMMYFUNCTION("""COMPUTED_VALUE"""),79.945616)</f>
        <v>79.945616</v>
      </c>
      <c r="F18177" s="4">
        <f>IFERROR(__xludf.DUMMYFUNCTION("""COMPUTED_VALUE"""),2846.0)</f>
        <v>2846</v>
      </c>
      <c r="G18177" s="4">
        <f>IFERROR(__xludf.DUMMYFUNCTION("""COMPUTED_VALUE"""),57.0)</f>
        <v>57</v>
      </c>
      <c r="H18177" s="4"/>
      <c r="I18177" s="4"/>
    </row>
    <row r="18178">
      <c r="A18178" s="4" t="str">
        <f>IFERROR(__xludf.DUMMYFUNCTION("""COMPUTED_VALUE"""),"cas_hmw")</f>
        <v>cas_hmw</v>
      </c>
      <c r="B18178" s="5">
        <f>IFERROR(__xludf.DUMMYFUNCTION("""COMPUTED_VALUE"""),44743.0)</f>
        <v>44743</v>
      </c>
      <c r="C18178" s="6">
        <f>IFERROR(__xludf.DUMMYFUNCTION("""COMPUTED_VALUE"""),0.3158333333340124)</f>
        <v>0.3158333333</v>
      </c>
      <c r="D18178" s="4">
        <f>IFERROR(__xludf.DUMMYFUNCTION("""COMPUTED_VALUE"""),13.033562)</f>
        <v>13.033562</v>
      </c>
      <c r="E18178" s="4">
        <f>IFERROR(__xludf.DUMMYFUNCTION("""COMPUTED_VALUE"""),80.244198)</f>
        <v>80.244198</v>
      </c>
      <c r="F18178" s="4">
        <f>IFERROR(__xludf.DUMMYFUNCTION("""COMPUTED_VALUE"""),5339.0)</f>
        <v>5339</v>
      </c>
      <c r="G18178" s="4">
        <f>IFERROR(__xludf.DUMMYFUNCTION("""COMPUTED_VALUE"""),53.0)</f>
        <v>53</v>
      </c>
      <c r="H18178" s="4"/>
      <c r="I18178" s="4"/>
    </row>
    <row r="18179">
      <c r="A18179" s="4" t="str">
        <f>IFERROR(__xludf.DUMMYFUNCTION("""COMPUTED_VALUE"""),"cas_hmw")</f>
        <v>cas_hmw</v>
      </c>
      <c r="B18179" s="5">
        <f>IFERROR(__xludf.DUMMYFUNCTION("""COMPUTED_VALUE"""),44743.0)</f>
        <v>44743</v>
      </c>
      <c r="C18179" s="6">
        <f>IFERROR(__xludf.DUMMYFUNCTION("""COMPUTED_VALUE"""),0.3163425925922638)</f>
        <v>0.3163425926</v>
      </c>
      <c r="D18179" s="4">
        <f>IFERROR(__xludf.DUMMYFUNCTION("""COMPUTED_VALUE"""),13.028005)</f>
        <v>13.028005</v>
      </c>
      <c r="E18179" s="4">
        <f>IFERROR(__xludf.DUMMYFUNCTION("""COMPUTED_VALUE"""),80.235513)</f>
        <v>80.235513</v>
      </c>
      <c r="F18179" s="4">
        <f>IFERROR(__xludf.DUMMYFUNCTION("""COMPUTED_VALUE"""),5339.0)</f>
        <v>5339</v>
      </c>
      <c r="G18179" s="4">
        <f>IFERROR(__xludf.DUMMYFUNCTION("""COMPUTED_VALUE"""),55.0)</f>
        <v>55</v>
      </c>
      <c r="H18179" s="4"/>
      <c r="I18179" s="4"/>
    </row>
    <row r="18180">
      <c r="A18180" s="4" t="str">
        <f>IFERROR(__xludf.DUMMYFUNCTION("""COMPUTED_VALUE"""),"cas_hmw")</f>
        <v>cas_hmw</v>
      </c>
      <c r="B18180" s="5">
        <f>IFERROR(__xludf.DUMMYFUNCTION("""COMPUTED_VALUE"""),44743.0)</f>
        <v>44743</v>
      </c>
      <c r="C18180" s="6">
        <f>IFERROR(__xludf.DUMMYFUNCTION("""COMPUTED_VALUE"""),0.3163888888884685)</f>
        <v>0.3163888889</v>
      </c>
      <c r="D18180" s="4">
        <f>IFERROR(__xludf.DUMMYFUNCTION("""COMPUTED_VALUE"""),13.028005)</f>
        <v>13.028005</v>
      </c>
      <c r="E18180" s="4">
        <f>IFERROR(__xludf.DUMMYFUNCTION("""COMPUTED_VALUE"""),80.235513)</f>
        <v>80.235513</v>
      </c>
      <c r="F18180" s="4">
        <f>IFERROR(__xludf.DUMMYFUNCTION("""COMPUTED_VALUE"""),5339.0)</f>
        <v>5339</v>
      </c>
      <c r="G18180" s="4">
        <f>IFERROR(__xludf.DUMMYFUNCTION("""COMPUTED_VALUE"""),55.0)</f>
        <v>55</v>
      </c>
      <c r="H18180" s="4"/>
      <c r="I18180" s="4"/>
    </row>
    <row r="18181">
      <c r="A18181" s="4" t="str">
        <f>IFERROR(__xludf.DUMMYFUNCTION("""COMPUTED_VALUE"""),"cas_hmw")</f>
        <v>cas_hmw</v>
      </c>
      <c r="B18181" s="5">
        <f>IFERROR(__xludf.DUMMYFUNCTION("""COMPUTED_VALUE"""),44743.0)</f>
        <v>44743</v>
      </c>
      <c r="C18181" s="6">
        <f>IFERROR(__xludf.DUMMYFUNCTION("""COMPUTED_VALUE"""),0.31702546296219225)</f>
        <v>0.317025463</v>
      </c>
      <c r="D18181" s="4">
        <f>IFERROR(__xludf.DUMMYFUNCTION("""COMPUTED_VALUE"""),13.026168)</f>
        <v>13.026168</v>
      </c>
      <c r="E18181" s="4">
        <f>IFERROR(__xludf.DUMMYFUNCTION("""COMPUTED_VALUE"""),80.232169)</f>
        <v>80.232169</v>
      </c>
      <c r="F18181" s="4">
        <f>IFERROR(__xludf.DUMMYFUNCTION("""COMPUTED_VALUE"""),5339.0)</f>
        <v>5339</v>
      </c>
      <c r="G18181" s="4">
        <f>IFERROR(__xludf.DUMMYFUNCTION("""COMPUTED_VALUE"""),40.0)</f>
        <v>40</v>
      </c>
      <c r="H18181" s="4"/>
      <c r="I18181" s="4"/>
    </row>
    <row r="18182">
      <c r="A18182" s="4" t="str">
        <f>IFERROR(__xludf.DUMMYFUNCTION("""COMPUTED_VALUE"""),"cas_hmw")</f>
        <v>cas_hmw</v>
      </c>
      <c r="B18182" s="5">
        <f>IFERROR(__xludf.DUMMYFUNCTION("""COMPUTED_VALUE"""),44743.0)</f>
        <v>44743</v>
      </c>
      <c r="C18182" s="6">
        <f>IFERROR(__xludf.DUMMYFUNCTION("""COMPUTED_VALUE"""),0.31821759259401006)</f>
        <v>0.3182175926</v>
      </c>
      <c r="D18182" s="4">
        <f>IFERROR(__xludf.DUMMYFUNCTION("""COMPUTED_VALUE"""),13.022931)</f>
        <v>13.022931</v>
      </c>
      <c r="E18182" s="4">
        <f>IFERROR(__xludf.DUMMYFUNCTION("""COMPUTED_VALUE"""),80.227109)</f>
        <v>80.227109</v>
      </c>
      <c r="F18182" s="4">
        <f>IFERROR(__xludf.DUMMYFUNCTION("""COMPUTED_VALUE"""),5339.0)</f>
        <v>5339</v>
      </c>
      <c r="G18182" s="4">
        <f>IFERROR(__xludf.DUMMYFUNCTION("""COMPUTED_VALUE"""),45.0)</f>
        <v>45</v>
      </c>
      <c r="H18182" s="4"/>
      <c r="I18182" s="4"/>
    </row>
    <row r="18183">
      <c r="A18183" s="4" t="str">
        <f>IFERROR(__xludf.DUMMYFUNCTION("""COMPUTED_VALUE"""),"cas_hmw")</f>
        <v>cas_hmw</v>
      </c>
      <c r="B18183" s="5">
        <f>IFERROR(__xludf.DUMMYFUNCTION("""COMPUTED_VALUE"""),44743.0)</f>
        <v>44743</v>
      </c>
      <c r="C18183" s="6">
        <f>IFERROR(__xludf.DUMMYFUNCTION("""COMPUTED_VALUE"""),0.3187152777791198)</f>
        <v>0.3187152778</v>
      </c>
      <c r="D18183" s="4">
        <f>IFERROR(__xludf.DUMMYFUNCTION("""COMPUTED_VALUE"""),13.019396)</f>
        <v>13.019396</v>
      </c>
      <c r="E18183" s="4">
        <f>IFERROR(__xludf.DUMMYFUNCTION("""COMPUTED_VALUE"""),80.224495)</f>
        <v>80.224495</v>
      </c>
      <c r="F18183" s="4">
        <f>IFERROR(__xludf.DUMMYFUNCTION("""COMPUTED_VALUE"""),5339.0)</f>
        <v>5339</v>
      </c>
      <c r="G18183" s="4">
        <f>IFERROR(__xludf.DUMMYFUNCTION("""COMPUTED_VALUE"""),47.0)</f>
        <v>47</v>
      </c>
      <c r="H18183" s="4"/>
      <c r="I18183" s="4"/>
    </row>
    <row r="18184">
      <c r="A18184" s="4" t="str">
        <f>IFERROR(__xludf.DUMMYFUNCTION("""COMPUTED_VALUE"""),"cas_hmw")</f>
        <v>cas_hmw</v>
      </c>
      <c r="B18184" s="5">
        <f>IFERROR(__xludf.DUMMYFUNCTION("""COMPUTED_VALUE"""),44743.0)</f>
        <v>44743</v>
      </c>
      <c r="C18184" s="6">
        <f>IFERROR(__xludf.DUMMYFUNCTION("""COMPUTED_VALUE"""),0.31887731481401715)</f>
        <v>0.3188773148</v>
      </c>
      <c r="D18184" s="4">
        <f>IFERROR(__xludf.DUMMYFUNCTION("""COMPUTED_VALUE"""),13.017263)</f>
        <v>13.017263</v>
      </c>
      <c r="E18184" s="4">
        <f>IFERROR(__xludf.DUMMYFUNCTION("""COMPUTED_VALUE"""),80.225154)</f>
        <v>80.225154</v>
      </c>
      <c r="F18184" s="4">
        <f>IFERROR(__xludf.DUMMYFUNCTION("""COMPUTED_VALUE"""),5339.0)</f>
        <v>5339</v>
      </c>
      <c r="G18184" s="4">
        <f>IFERROR(__xludf.DUMMYFUNCTION("""COMPUTED_VALUE"""),42.0)</f>
        <v>42</v>
      </c>
      <c r="H18184" s="4"/>
      <c r="I18184" s="4"/>
    </row>
    <row r="18185">
      <c r="A18185" s="4" t="str">
        <f>IFERROR(__xludf.DUMMYFUNCTION("""COMPUTED_VALUE"""),"cas_hmw")</f>
        <v>cas_hmw</v>
      </c>
      <c r="B18185" s="5">
        <f>IFERROR(__xludf.DUMMYFUNCTION("""COMPUTED_VALUE"""),44743.0)</f>
        <v>44743</v>
      </c>
      <c r="C18185" s="6">
        <f>IFERROR(__xludf.DUMMYFUNCTION("""COMPUTED_VALUE"""),0.31935185185284354)</f>
        <v>0.3193518519</v>
      </c>
      <c r="D18185" s="4">
        <f>IFERROR(__xludf.DUMMYFUNCTION("""COMPUTED_VALUE"""),13.014651)</f>
        <v>13.014651</v>
      </c>
      <c r="E18185" s="4">
        <f>IFERROR(__xludf.DUMMYFUNCTION("""COMPUTED_VALUE"""),80.226112)</f>
        <v>80.226112</v>
      </c>
      <c r="F18185" s="4">
        <f>IFERROR(__xludf.DUMMYFUNCTION("""COMPUTED_VALUE"""),5339.0)</f>
        <v>5339</v>
      </c>
      <c r="G18185" s="4">
        <f>IFERROR(__xludf.DUMMYFUNCTION("""COMPUTED_VALUE"""),27.0)</f>
        <v>27</v>
      </c>
      <c r="H18185" s="4"/>
      <c r="I18185" s="4"/>
    </row>
    <row r="18186">
      <c r="A18186" s="4" t="str">
        <f>IFERROR(__xludf.DUMMYFUNCTION("""COMPUTED_VALUE"""),"cas_hmw")</f>
        <v>cas_hmw</v>
      </c>
      <c r="B18186" s="5">
        <f>IFERROR(__xludf.DUMMYFUNCTION("""COMPUTED_VALUE"""),44743.0)</f>
        <v>44743</v>
      </c>
      <c r="C18186" s="6">
        <f>IFERROR(__xludf.DUMMYFUNCTION("""COMPUTED_VALUE"""),0.3193634259259852)</f>
        <v>0.3193634259</v>
      </c>
      <c r="D18186" s="4">
        <f>IFERROR(__xludf.DUMMYFUNCTION("""COMPUTED_VALUE"""),13.014651)</f>
        <v>13.014651</v>
      </c>
      <c r="E18186" s="4">
        <f>IFERROR(__xludf.DUMMYFUNCTION("""COMPUTED_VALUE"""),80.226112)</f>
        <v>80.226112</v>
      </c>
      <c r="F18186" s="4">
        <f>IFERROR(__xludf.DUMMYFUNCTION("""COMPUTED_VALUE"""),5339.0)</f>
        <v>5339</v>
      </c>
      <c r="G18186" s="4">
        <f>IFERROR(__xludf.DUMMYFUNCTION("""COMPUTED_VALUE"""),27.0)</f>
        <v>27</v>
      </c>
      <c r="H18186" s="4"/>
      <c r="I18186" s="4"/>
    </row>
    <row r="18187">
      <c r="A18187" s="4" t="str">
        <f>IFERROR(__xludf.DUMMYFUNCTION("""COMPUTED_VALUE"""),"cas_hmw")</f>
        <v>cas_hmw</v>
      </c>
      <c r="B18187" s="5">
        <f>IFERROR(__xludf.DUMMYFUNCTION("""COMPUTED_VALUE"""),44743.0)</f>
        <v>44743</v>
      </c>
      <c r="C18187" s="6">
        <f>IFERROR(__xludf.DUMMYFUNCTION("""COMPUTED_VALUE"""),0.31952546296452056)</f>
        <v>0.319525463</v>
      </c>
      <c r="D18187" s="4">
        <f>IFERROR(__xludf.DUMMYFUNCTION("""COMPUTED_VALUE"""),13.013928)</f>
        <v>13.013928</v>
      </c>
      <c r="E18187" s="4">
        <f>IFERROR(__xludf.DUMMYFUNCTION("""COMPUTED_VALUE"""),80.226393)</f>
        <v>80.226393</v>
      </c>
      <c r="F18187" s="4">
        <f>IFERROR(__xludf.DUMMYFUNCTION("""COMPUTED_VALUE"""),5339.0)</f>
        <v>5339</v>
      </c>
      <c r="G18187" s="4">
        <f>IFERROR(__xludf.DUMMYFUNCTION("""COMPUTED_VALUE"""),35.0)</f>
        <v>35</v>
      </c>
      <c r="H18187" s="4"/>
      <c r="I18187" s="4"/>
    </row>
    <row r="18188">
      <c r="A18188" s="4" t="str">
        <f>IFERROR(__xludf.DUMMYFUNCTION("""COMPUTED_VALUE"""),"cas_hmw")</f>
        <v>cas_hmw</v>
      </c>
      <c r="B18188" s="5">
        <f>IFERROR(__xludf.DUMMYFUNCTION("""COMPUTED_VALUE"""),44743.0)</f>
        <v>44743</v>
      </c>
      <c r="C18188" s="6">
        <f>IFERROR(__xludf.DUMMYFUNCTION("""COMPUTED_VALUE"""),0.31964120370321325)</f>
        <v>0.3196412037</v>
      </c>
      <c r="D18188" s="4">
        <f>IFERROR(__xludf.DUMMYFUNCTION("""COMPUTED_VALUE"""),12.680722)</f>
        <v>12.680722</v>
      </c>
      <c r="E18188" s="4">
        <f>IFERROR(__xludf.DUMMYFUNCTION("""COMPUTED_VALUE"""),79.981294)</f>
        <v>79.981294</v>
      </c>
      <c r="F18188" s="4">
        <f>IFERROR(__xludf.DUMMYFUNCTION("""COMPUTED_VALUE"""),2846.0)</f>
        <v>2846</v>
      </c>
      <c r="G18188" s="4">
        <f>IFERROR(__xludf.DUMMYFUNCTION("""COMPUTED_VALUE"""),40.0)</f>
        <v>40</v>
      </c>
      <c r="H18188" s="4"/>
      <c r="I18188" s="4"/>
    </row>
    <row r="18189">
      <c r="A18189" s="4" t="str">
        <f>IFERROR(__xludf.DUMMYFUNCTION("""COMPUTED_VALUE"""),"cas_hmw")</f>
        <v>cas_hmw</v>
      </c>
      <c r="B18189" s="5">
        <f>IFERROR(__xludf.DUMMYFUNCTION("""COMPUTED_VALUE"""),44743.0)</f>
        <v>44743</v>
      </c>
      <c r="C18189" s="6">
        <f>IFERROR(__xludf.DUMMYFUNCTION("""COMPUTED_VALUE"""),0.32084490740817273)</f>
        <v>0.3208449074</v>
      </c>
      <c r="D18189" s="4">
        <f>IFERROR(__xludf.DUMMYFUNCTION("""COMPUTED_VALUE"""),13.011451)</f>
        <v>13.011451</v>
      </c>
      <c r="E18189" s="4">
        <f>IFERROR(__xludf.DUMMYFUNCTION("""COMPUTED_VALUE"""),80.22313)</f>
        <v>80.22313</v>
      </c>
      <c r="F18189" s="4">
        <f>IFERROR(__xludf.DUMMYFUNCTION("""COMPUTED_VALUE"""),5339.0)</f>
        <v>5339</v>
      </c>
      <c r="G18189" s="4">
        <f>IFERROR(__xludf.DUMMYFUNCTION("""COMPUTED_VALUE"""),33.0)</f>
        <v>33</v>
      </c>
      <c r="H18189" s="4"/>
      <c r="I18189" s="4"/>
    </row>
    <row r="18190">
      <c r="A18190" s="4" t="str">
        <f>IFERROR(__xludf.DUMMYFUNCTION("""COMPUTED_VALUE"""),"cas_hmw")</f>
        <v>cas_hmw</v>
      </c>
      <c r="B18190" s="5">
        <f>IFERROR(__xludf.DUMMYFUNCTION("""COMPUTED_VALUE"""),44743.0)</f>
        <v>44743</v>
      </c>
      <c r="C18190" s="6">
        <f>IFERROR(__xludf.DUMMYFUNCTION("""COMPUTED_VALUE"""),0.3211111111122591)</f>
        <v>0.3211111111</v>
      </c>
      <c r="D18190" s="4">
        <f>IFERROR(__xludf.DUMMYFUNCTION("""COMPUTED_VALUE"""),13.011806)</f>
        <v>13.011806</v>
      </c>
      <c r="E18190" s="4">
        <f>IFERROR(__xludf.DUMMYFUNCTION("""COMPUTED_VALUE"""),80.222227)</f>
        <v>80.222227</v>
      </c>
      <c r="F18190" s="4">
        <f>IFERROR(__xludf.DUMMYFUNCTION("""COMPUTED_VALUE"""),5339.0)</f>
        <v>5339</v>
      </c>
      <c r="G18190" s="4">
        <f>IFERROR(__xludf.DUMMYFUNCTION("""COMPUTED_VALUE"""),34.0)</f>
        <v>34</v>
      </c>
      <c r="H18190" s="4"/>
      <c r="I18190" s="4"/>
    </row>
    <row r="18191">
      <c r="A18191" s="4" t="str">
        <f>IFERROR(__xludf.DUMMYFUNCTION("""COMPUTED_VALUE"""),"cas_hmw")</f>
        <v>cas_hmw</v>
      </c>
      <c r="B18191" s="5">
        <f>IFERROR(__xludf.DUMMYFUNCTION("""COMPUTED_VALUE"""),44743.0)</f>
        <v>44743</v>
      </c>
      <c r="C18191" s="6">
        <f>IFERROR(__xludf.DUMMYFUNCTION("""COMPUTED_VALUE"""),0.3212152777778101)</f>
        <v>0.3212152778</v>
      </c>
      <c r="D18191" s="4">
        <f>IFERROR(__xludf.DUMMYFUNCTION("""COMPUTED_VALUE"""),13.011987)</f>
        <v>13.011987</v>
      </c>
      <c r="E18191" s="4">
        <f>IFERROR(__xludf.DUMMYFUNCTION("""COMPUTED_VALUE"""),80.220644)</f>
        <v>80.220644</v>
      </c>
      <c r="F18191" s="4">
        <f>IFERROR(__xludf.DUMMYFUNCTION("""COMPUTED_VALUE"""),5339.0)</f>
        <v>5339</v>
      </c>
      <c r="G18191" s="4">
        <f>IFERROR(__xludf.DUMMYFUNCTION("""COMPUTED_VALUE"""),36.0)</f>
        <v>36</v>
      </c>
      <c r="H18191" s="4"/>
      <c r="I18191" s="4"/>
    </row>
    <row r="18192">
      <c r="A18192" s="4" t="str">
        <f>IFERROR(__xludf.DUMMYFUNCTION("""COMPUTED_VALUE"""),"cas_hmw")</f>
        <v>cas_hmw</v>
      </c>
      <c r="B18192" s="5">
        <f>IFERROR(__xludf.DUMMYFUNCTION("""COMPUTED_VALUE"""),44743.0)</f>
        <v>44743</v>
      </c>
      <c r="C18192" s="6">
        <f>IFERROR(__xludf.DUMMYFUNCTION("""COMPUTED_VALUE"""),0.3213310185201408)</f>
        <v>0.3213310185</v>
      </c>
      <c r="D18192" s="4">
        <f>IFERROR(__xludf.DUMMYFUNCTION("""COMPUTED_VALUE"""),13.011712)</f>
        <v>13.011712</v>
      </c>
      <c r="E18192" s="4">
        <f>IFERROR(__xludf.DUMMYFUNCTION("""COMPUTED_VALUE"""),80.219693)</f>
        <v>80.219693</v>
      </c>
      <c r="F18192" s="4">
        <f>IFERROR(__xludf.DUMMYFUNCTION("""COMPUTED_VALUE"""),5339.0)</f>
        <v>5339</v>
      </c>
      <c r="G18192" s="4">
        <f>IFERROR(__xludf.DUMMYFUNCTION("""COMPUTED_VALUE"""),39.0)</f>
        <v>39</v>
      </c>
      <c r="H18192" s="4"/>
      <c r="I18192" s="4"/>
    </row>
    <row r="18193">
      <c r="A18193" s="4" t="str">
        <f>IFERROR(__xludf.DUMMYFUNCTION("""COMPUTED_VALUE"""),"cas_hmw")</f>
        <v>cas_hmw</v>
      </c>
      <c r="B18193" s="5">
        <f>IFERROR(__xludf.DUMMYFUNCTION("""COMPUTED_VALUE"""),44743.0)</f>
        <v>44743</v>
      </c>
      <c r="C18193" s="6">
        <f>IFERROR(__xludf.DUMMYFUNCTION("""COMPUTED_VALUE"""),0.3218750000014552)</f>
        <v>0.321875</v>
      </c>
      <c r="D18193" s="4">
        <f>IFERROR(__xludf.DUMMYFUNCTION("""COMPUTED_VALUE"""),13.010165)</f>
        <v>13.010165</v>
      </c>
      <c r="E18193" s="4">
        <f>IFERROR(__xludf.DUMMYFUNCTION("""COMPUTED_VALUE"""),80.215432)</f>
        <v>80.215432</v>
      </c>
      <c r="F18193" s="4">
        <f>IFERROR(__xludf.DUMMYFUNCTION("""COMPUTED_VALUE"""),5339.0)</f>
        <v>5339</v>
      </c>
      <c r="G18193" s="4">
        <f>IFERROR(__xludf.DUMMYFUNCTION("""COMPUTED_VALUE"""),47.0)</f>
        <v>47</v>
      </c>
      <c r="H18193" s="4"/>
      <c r="I18193" s="4"/>
    </row>
    <row r="18194">
      <c r="A18194" s="4" t="str">
        <f>IFERROR(__xludf.DUMMYFUNCTION("""COMPUTED_VALUE"""),"cas_hmw")</f>
        <v>cas_hmw</v>
      </c>
      <c r="B18194" s="5">
        <f>IFERROR(__xludf.DUMMYFUNCTION("""COMPUTED_VALUE"""),44743.0)</f>
        <v>44743</v>
      </c>
      <c r="C18194" s="6">
        <f>IFERROR(__xludf.DUMMYFUNCTION("""COMPUTED_VALUE"""),0.32196759259386454)</f>
        <v>0.3219675926</v>
      </c>
      <c r="D18194" s="4">
        <f>IFERROR(__xludf.DUMMYFUNCTION("""COMPUTED_VALUE"""),13.009916)</f>
        <v>13.009916</v>
      </c>
      <c r="E18194" s="4">
        <f>IFERROR(__xludf.DUMMYFUNCTION("""COMPUTED_VALUE"""),80.214235)</f>
        <v>80.214235</v>
      </c>
      <c r="F18194" s="4">
        <f>IFERROR(__xludf.DUMMYFUNCTION("""COMPUTED_VALUE"""),5339.0)</f>
        <v>5339</v>
      </c>
      <c r="G18194" s="4">
        <f>IFERROR(__xludf.DUMMYFUNCTION("""COMPUTED_VALUE"""),48.0)</f>
        <v>48</v>
      </c>
      <c r="H18194" s="4"/>
      <c r="I18194" s="4"/>
    </row>
    <row r="18195">
      <c r="A18195" s="4" t="str">
        <f>IFERROR(__xludf.DUMMYFUNCTION("""COMPUTED_VALUE"""),"cas_hmw")</f>
        <v>cas_hmw</v>
      </c>
      <c r="B18195" s="5">
        <f>IFERROR(__xludf.DUMMYFUNCTION("""COMPUTED_VALUE"""),44743.0)</f>
        <v>44743</v>
      </c>
      <c r="C18195" s="6">
        <f>IFERROR(__xludf.DUMMYFUNCTION("""COMPUTED_VALUE"""),0.32215277777868323)</f>
        <v>0.3221527778</v>
      </c>
      <c r="D18195" s="4">
        <f>IFERROR(__xludf.DUMMYFUNCTION("""COMPUTED_VALUE"""),13.009017)</f>
        <v>13.009017</v>
      </c>
      <c r="E18195" s="4">
        <f>IFERROR(__xludf.DUMMYFUNCTION("""COMPUTED_VALUE"""),80.211966)</f>
        <v>80.211966</v>
      </c>
      <c r="F18195" s="4">
        <f>IFERROR(__xludf.DUMMYFUNCTION("""COMPUTED_VALUE"""),5339.0)</f>
        <v>5339</v>
      </c>
      <c r="G18195" s="4">
        <f>IFERROR(__xludf.DUMMYFUNCTION("""COMPUTED_VALUE"""),43.0)</f>
        <v>43</v>
      </c>
      <c r="H18195" s="4"/>
      <c r="I18195" s="4"/>
    </row>
    <row r="18196">
      <c r="A18196" s="4" t="str">
        <f>IFERROR(__xludf.DUMMYFUNCTION("""COMPUTED_VALUE"""),"cas_hmw")</f>
        <v>cas_hmw</v>
      </c>
      <c r="B18196" s="5">
        <f>IFERROR(__xludf.DUMMYFUNCTION("""COMPUTED_VALUE"""),44743.0)</f>
        <v>44743</v>
      </c>
      <c r="C18196" s="6">
        <f>IFERROR(__xludf.DUMMYFUNCTION("""COMPUTED_VALUE"""),0.3225578703713836)</f>
        <v>0.3225578704</v>
      </c>
      <c r="D18196" s="4">
        <f>IFERROR(__xludf.DUMMYFUNCTION("""COMPUTED_VALUE"""),13.007983)</f>
        <v>13.007983</v>
      </c>
      <c r="E18196" s="4">
        <f>IFERROR(__xludf.DUMMYFUNCTION("""COMPUTED_VALUE"""),80.208514)</f>
        <v>80.208514</v>
      </c>
      <c r="F18196" s="4">
        <f>IFERROR(__xludf.DUMMYFUNCTION("""COMPUTED_VALUE"""),5339.0)</f>
        <v>5339</v>
      </c>
      <c r="G18196" s="4">
        <f>IFERROR(__xludf.DUMMYFUNCTION("""COMPUTED_VALUE"""),55.0)</f>
        <v>55</v>
      </c>
      <c r="H18196" s="4"/>
      <c r="I18196" s="4"/>
    </row>
    <row r="18197">
      <c r="A18197" s="4" t="str">
        <f>IFERROR(__xludf.DUMMYFUNCTION("""COMPUTED_VALUE"""),"cas_hmw")</f>
        <v>cas_hmw</v>
      </c>
      <c r="B18197" s="5">
        <f>IFERROR(__xludf.DUMMYFUNCTION("""COMPUTED_VALUE"""),44743.0)</f>
        <v>44743</v>
      </c>
      <c r="C18197" s="6">
        <f>IFERROR(__xludf.DUMMYFUNCTION("""COMPUTED_VALUE"""),0.3238773148150358)</f>
        <v>0.3238773148</v>
      </c>
      <c r="D18197" s="4">
        <f>IFERROR(__xludf.DUMMYFUNCTION("""COMPUTED_VALUE"""),12.69765)</f>
        <v>12.69765</v>
      </c>
      <c r="E18197" s="4">
        <f>IFERROR(__xludf.DUMMYFUNCTION("""COMPUTED_VALUE"""),79.976323)</f>
        <v>79.976323</v>
      </c>
      <c r="F18197" s="4">
        <f>IFERROR(__xludf.DUMMYFUNCTION("""COMPUTED_VALUE"""),2846.0)</f>
        <v>2846</v>
      </c>
      <c r="G18197" s="4">
        <f>IFERROR(__xludf.DUMMYFUNCTION("""COMPUTED_VALUE"""),20.0)</f>
        <v>20</v>
      </c>
      <c r="H18197" s="4"/>
      <c r="I18197" s="4"/>
    </row>
    <row r="18198">
      <c r="A18198" s="4" t="str">
        <f>IFERROR(__xludf.DUMMYFUNCTION("""COMPUTED_VALUE"""),"cas_hmw")</f>
        <v>cas_hmw</v>
      </c>
      <c r="B18198" s="5">
        <f>IFERROR(__xludf.DUMMYFUNCTION("""COMPUTED_VALUE"""),44743.0)</f>
        <v>44743</v>
      </c>
      <c r="C18198" s="6">
        <f>IFERROR(__xludf.DUMMYFUNCTION("""COMPUTED_VALUE"""),0.3242361111115315)</f>
        <v>0.3242361111</v>
      </c>
      <c r="D18198" s="4">
        <f>IFERROR(__xludf.DUMMYFUNCTION("""COMPUTED_VALUE"""),13.000674)</f>
        <v>13.000674</v>
      </c>
      <c r="E18198" s="4">
        <f>IFERROR(__xludf.DUMMYFUNCTION("""COMPUTED_VALUE"""),80.195147)</f>
        <v>80.195147</v>
      </c>
      <c r="F18198" s="4">
        <f>IFERROR(__xludf.DUMMYFUNCTION("""COMPUTED_VALUE"""),5339.0)</f>
        <v>5339</v>
      </c>
      <c r="G18198" s="4">
        <f>IFERROR(__xludf.DUMMYFUNCTION("""COMPUTED_VALUE"""),40.0)</f>
        <v>40</v>
      </c>
      <c r="H18198" s="4"/>
      <c r="I18198" s="4"/>
    </row>
    <row r="18199">
      <c r="A18199" s="4" t="str">
        <f>IFERROR(__xludf.DUMMYFUNCTION("""COMPUTED_VALUE"""),"cas_hmw")</f>
        <v>cas_hmw</v>
      </c>
      <c r="B18199" s="5">
        <f>IFERROR(__xludf.DUMMYFUNCTION("""COMPUTED_VALUE"""),44743.0)</f>
        <v>44743</v>
      </c>
      <c r="C18199" s="6">
        <f>IFERROR(__xludf.DUMMYFUNCTION("""COMPUTED_VALUE"""),0.32451388888875954)</f>
        <v>0.3245138889</v>
      </c>
      <c r="D18199" s="4">
        <f>IFERROR(__xludf.DUMMYFUNCTION("""COMPUTED_VALUE"""),12.999304)</f>
        <v>12.999304</v>
      </c>
      <c r="E18199" s="4">
        <f>IFERROR(__xludf.DUMMYFUNCTION("""COMPUTED_VALUE"""),80.193412)</f>
        <v>80.193412</v>
      </c>
      <c r="F18199" s="4">
        <f>IFERROR(__xludf.DUMMYFUNCTION("""COMPUTED_VALUE"""),5339.0)</f>
        <v>5339</v>
      </c>
      <c r="G18199" s="4">
        <f>IFERROR(__xludf.DUMMYFUNCTION("""COMPUTED_VALUE"""),44.0)</f>
        <v>44</v>
      </c>
      <c r="H18199" s="4"/>
      <c r="I18199" s="4"/>
    </row>
    <row r="18200">
      <c r="A18200" s="4" t="str">
        <f>IFERROR(__xludf.DUMMYFUNCTION("""COMPUTED_VALUE"""),"cas_hmw")</f>
        <v>cas_hmw</v>
      </c>
      <c r="B18200" s="5">
        <f>IFERROR(__xludf.DUMMYFUNCTION("""COMPUTED_VALUE"""),44743.0)</f>
        <v>44743</v>
      </c>
      <c r="C18200" s="6">
        <f>IFERROR(__xludf.DUMMYFUNCTION("""COMPUTED_VALUE"""),0.325300925924239)</f>
        <v>0.3253009259</v>
      </c>
      <c r="D18200" s="4">
        <f>IFERROR(__xludf.DUMMYFUNCTION("""COMPUTED_VALUE"""),13.00651)</f>
        <v>13.00651</v>
      </c>
      <c r="E18200" s="4">
        <f>IFERROR(__xludf.DUMMYFUNCTION("""COMPUTED_VALUE"""),80.25438)</f>
        <v>80.25438</v>
      </c>
      <c r="F18200" s="4">
        <f>IFERROR(__xludf.DUMMYFUNCTION("""COMPUTED_VALUE"""),805.0)</f>
        <v>805</v>
      </c>
      <c r="G18200" s="4">
        <f>IFERROR(__xludf.DUMMYFUNCTION("""COMPUTED_VALUE"""),48.0)</f>
        <v>48</v>
      </c>
      <c r="H18200" s="4"/>
      <c r="I18200" s="4"/>
    </row>
    <row r="18201">
      <c r="A18201" s="4" t="str">
        <f>IFERROR(__xludf.DUMMYFUNCTION("""COMPUTED_VALUE"""),"cas_hmw")</f>
        <v>cas_hmw</v>
      </c>
      <c r="B18201" s="5">
        <f>IFERROR(__xludf.DUMMYFUNCTION("""COMPUTED_VALUE"""),44743.0)</f>
        <v>44743</v>
      </c>
      <c r="C18201" s="6">
        <f>IFERROR(__xludf.DUMMYFUNCTION("""COMPUTED_VALUE"""),0.32545138888963265)</f>
        <v>0.3254513889</v>
      </c>
      <c r="D18201" s="4">
        <f>IFERROR(__xludf.DUMMYFUNCTION("""COMPUTED_VALUE"""),12.698294)</f>
        <v>12.698294</v>
      </c>
      <c r="E18201" s="4">
        <f>IFERROR(__xludf.DUMMYFUNCTION("""COMPUTED_VALUE"""),79.970462)</f>
        <v>79.970462</v>
      </c>
      <c r="F18201" s="4">
        <f>IFERROR(__xludf.DUMMYFUNCTION("""COMPUTED_VALUE"""),2846.0)</f>
        <v>2846</v>
      </c>
      <c r="G18201" s="4">
        <f>IFERROR(__xludf.DUMMYFUNCTION("""COMPUTED_VALUE"""),40.0)</f>
        <v>40</v>
      </c>
      <c r="H18201" s="4"/>
      <c r="I18201" s="4"/>
    </row>
    <row r="18202">
      <c r="A18202" s="4" t="str">
        <f>IFERROR(__xludf.DUMMYFUNCTION("""COMPUTED_VALUE"""),"cas_hmw")</f>
        <v>cas_hmw</v>
      </c>
      <c r="B18202" s="5">
        <f>IFERROR(__xludf.DUMMYFUNCTION("""COMPUTED_VALUE"""),44743.0)</f>
        <v>44743</v>
      </c>
      <c r="C18202" s="6">
        <f>IFERROR(__xludf.DUMMYFUNCTION("""COMPUTED_VALUE"""),0.32584490740919136)</f>
        <v>0.3258449074</v>
      </c>
      <c r="D18202" s="4">
        <f>IFERROR(__xludf.DUMMYFUNCTION("""COMPUTED_VALUE"""),13.006569)</f>
        <v>13.006569</v>
      </c>
      <c r="E18202" s="4">
        <f>IFERROR(__xludf.DUMMYFUNCTION("""COMPUTED_VALUE"""),80.251704)</f>
        <v>80.251704</v>
      </c>
      <c r="F18202" s="4">
        <f>IFERROR(__xludf.DUMMYFUNCTION("""COMPUTED_VALUE"""),805.0)</f>
        <v>805</v>
      </c>
      <c r="G18202" s="4">
        <f>IFERROR(__xludf.DUMMYFUNCTION("""COMPUTED_VALUE"""),19.0)</f>
        <v>19</v>
      </c>
      <c r="H18202" s="4"/>
      <c r="I18202" s="4"/>
    </row>
    <row r="18203">
      <c r="A18203" s="4" t="str">
        <f>IFERROR(__xludf.DUMMYFUNCTION("""COMPUTED_VALUE"""),"cas_hmw")</f>
        <v>cas_hmw</v>
      </c>
      <c r="B18203" s="5">
        <f>IFERROR(__xludf.DUMMYFUNCTION("""COMPUTED_VALUE"""),44743.0)</f>
        <v>44743</v>
      </c>
      <c r="C18203" s="6">
        <f>IFERROR(__xludf.DUMMYFUNCTION("""COMPUTED_VALUE"""),0.3266319444446708)</f>
        <v>0.3266319444</v>
      </c>
      <c r="D18203" s="4">
        <f>IFERROR(__xludf.DUMMYFUNCTION("""COMPUTED_VALUE"""),12.993453)</f>
        <v>12.993453</v>
      </c>
      <c r="E18203" s="4">
        <f>IFERROR(__xludf.DUMMYFUNCTION("""COMPUTED_VALUE"""),80.184609)</f>
        <v>80.184609</v>
      </c>
      <c r="F18203" s="4">
        <f>IFERROR(__xludf.DUMMYFUNCTION("""COMPUTED_VALUE"""),5339.0)</f>
        <v>5339</v>
      </c>
      <c r="G18203" s="4">
        <f>IFERROR(__xludf.DUMMYFUNCTION("""COMPUTED_VALUE"""),41.0)</f>
        <v>41</v>
      </c>
      <c r="H18203" s="4"/>
      <c r="I18203" s="4"/>
    </row>
    <row r="18204">
      <c r="A18204" s="4" t="str">
        <f>IFERROR(__xludf.DUMMYFUNCTION("""COMPUTED_VALUE"""),"cas_hmw")</f>
        <v>cas_hmw</v>
      </c>
      <c r="B18204" s="5">
        <f>IFERROR(__xludf.DUMMYFUNCTION("""COMPUTED_VALUE"""),44743.0)</f>
        <v>44743</v>
      </c>
      <c r="C18204" s="6">
        <f>IFERROR(__xludf.DUMMYFUNCTION("""COMPUTED_VALUE"""),0.32774305555722094)</f>
        <v>0.3277430556</v>
      </c>
      <c r="D18204" s="4">
        <f>IFERROR(__xludf.DUMMYFUNCTION("""COMPUTED_VALUE"""),12.985041)</f>
        <v>12.985041</v>
      </c>
      <c r="E18204" s="4">
        <f>IFERROR(__xludf.DUMMYFUNCTION("""COMPUTED_VALUE"""),80.17274)</f>
        <v>80.17274</v>
      </c>
      <c r="F18204" s="4">
        <f>IFERROR(__xludf.DUMMYFUNCTION("""COMPUTED_VALUE"""),5339.0)</f>
        <v>5339</v>
      </c>
      <c r="G18204" s="4">
        <f>IFERROR(__xludf.DUMMYFUNCTION("""COMPUTED_VALUE"""),57.0)</f>
        <v>57</v>
      </c>
      <c r="H18204" s="4"/>
      <c r="I18204" s="4"/>
    </row>
    <row r="18205">
      <c r="A18205" s="4" t="str">
        <f>IFERROR(__xludf.DUMMYFUNCTION("""COMPUTED_VALUE"""),"cas_hmw")</f>
        <v>cas_hmw</v>
      </c>
      <c r="B18205" s="5">
        <f>IFERROR(__xludf.DUMMYFUNCTION("""COMPUTED_VALUE"""),44743.0)</f>
        <v>44743</v>
      </c>
      <c r="C18205" s="6">
        <f>IFERROR(__xludf.DUMMYFUNCTION("""COMPUTED_VALUE"""),0.32806712963065365)</f>
        <v>0.3280671296</v>
      </c>
      <c r="D18205" s="4">
        <f>IFERROR(__xludf.DUMMYFUNCTION("""COMPUTED_VALUE"""),13.006663)</f>
        <v>13.006663</v>
      </c>
      <c r="E18205" s="4">
        <f>IFERROR(__xludf.DUMMYFUNCTION("""COMPUTED_VALUE"""),80.245656)</f>
        <v>80.245656</v>
      </c>
      <c r="F18205" s="4">
        <f>IFERROR(__xludf.DUMMYFUNCTION("""COMPUTED_VALUE"""),805.0)</f>
        <v>805</v>
      </c>
      <c r="G18205" s="4">
        <f>IFERROR(__xludf.DUMMYFUNCTION("""COMPUTED_VALUE"""),27.0)</f>
        <v>27</v>
      </c>
      <c r="H18205" s="4"/>
      <c r="I18205" s="4"/>
    </row>
    <row r="18206">
      <c r="A18206" s="4" t="str">
        <f>IFERROR(__xludf.DUMMYFUNCTION("""COMPUTED_VALUE"""),"cas_hmw")</f>
        <v>cas_hmw</v>
      </c>
      <c r="B18206" s="5">
        <f>IFERROR(__xludf.DUMMYFUNCTION("""COMPUTED_VALUE"""),44743.0)</f>
        <v>44743</v>
      </c>
      <c r="C18206" s="6">
        <f>IFERROR(__xludf.DUMMYFUNCTION("""COMPUTED_VALUE"""),0.328090277776937)</f>
        <v>0.3280902778</v>
      </c>
      <c r="D18206" s="4">
        <f>IFERROR(__xludf.DUMMYFUNCTION("""COMPUTED_VALUE"""),13.006641)</f>
        <v>13.006641</v>
      </c>
      <c r="E18206" s="4">
        <f>IFERROR(__xludf.DUMMYFUNCTION("""COMPUTED_VALUE"""),80.244578)</f>
        <v>80.244578</v>
      </c>
      <c r="F18206" s="4">
        <f>IFERROR(__xludf.DUMMYFUNCTION("""COMPUTED_VALUE"""),805.0)</f>
        <v>805</v>
      </c>
      <c r="G18206" s="4">
        <f>IFERROR(__xludf.DUMMYFUNCTION("""COMPUTED_VALUE"""),24.0)</f>
        <v>24</v>
      </c>
      <c r="H18206" s="4"/>
      <c r="I18206" s="4"/>
    </row>
    <row r="18207">
      <c r="A18207" s="4" t="str">
        <f>IFERROR(__xludf.DUMMYFUNCTION("""COMPUTED_VALUE"""),"cas_hmw")</f>
        <v>cas_hmw</v>
      </c>
      <c r="B18207" s="5">
        <f>IFERROR(__xludf.DUMMYFUNCTION("""COMPUTED_VALUE"""),44743.0)</f>
        <v>44743</v>
      </c>
      <c r="C18207" s="6">
        <f>IFERROR(__xludf.DUMMYFUNCTION("""COMPUTED_VALUE"""),0.32855324073898373)</f>
        <v>0.3285532407</v>
      </c>
      <c r="D18207" s="4">
        <f>IFERROR(__xludf.DUMMYFUNCTION("""COMPUTED_VALUE"""),12.980228)</f>
        <v>12.980228</v>
      </c>
      <c r="E18207" s="4">
        <f>IFERROR(__xludf.DUMMYFUNCTION("""COMPUTED_VALUE"""),80.164183)</f>
        <v>80.164183</v>
      </c>
      <c r="F18207" s="4">
        <f>IFERROR(__xludf.DUMMYFUNCTION("""COMPUTED_VALUE"""),5339.0)</f>
        <v>5339</v>
      </c>
      <c r="G18207" s="4">
        <f>IFERROR(__xludf.DUMMYFUNCTION("""COMPUTED_VALUE"""),52.0)</f>
        <v>52</v>
      </c>
      <c r="H18207" s="4"/>
      <c r="I18207" s="4"/>
    </row>
    <row r="18208">
      <c r="A18208" s="4" t="str">
        <f>IFERROR(__xludf.DUMMYFUNCTION("""COMPUTED_VALUE"""),"cas_hmw")</f>
        <v>cas_hmw</v>
      </c>
      <c r="B18208" s="5">
        <f>IFERROR(__xludf.DUMMYFUNCTION("""COMPUTED_VALUE"""),44743.0)</f>
        <v>44743</v>
      </c>
      <c r="C18208" s="6">
        <f>IFERROR(__xludf.DUMMYFUNCTION("""COMPUTED_VALUE"""),0.32861111111196806)</f>
        <v>0.3286111111</v>
      </c>
      <c r="D18208" s="4">
        <f>IFERROR(__xludf.DUMMYFUNCTION("""COMPUTED_VALUE"""),12.979903)</f>
        <v>12.979903</v>
      </c>
      <c r="E18208" s="4">
        <f>IFERROR(__xludf.DUMMYFUNCTION("""COMPUTED_VALUE"""),80.163072)</f>
        <v>80.163072</v>
      </c>
      <c r="F18208" s="4">
        <f>IFERROR(__xludf.DUMMYFUNCTION("""COMPUTED_VALUE"""),5339.0)</f>
        <v>5339</v>
      </c>
      <c r="G18208" s="4">
        <f>IFERROR(__xludf.DUMMYFUNCTION("""COMPUTED_VALUE"""),36.0)</f>
        <v>36</v>
      </c>
      <c r="H18208" s="4"/>
      <c r="I18208" s="4"/>
    </row>
    <row r="18209">
      <c r="A18209" s="4" t="str">
        <f>IFERROR(__xludf.DUMMYFUNCTION("""COMPUTED_VALUE"""),"cas_hmw")</f>
        <v>cas_hmw</v>
      </c>
      <c r="B18209" s="5">
        <f>IFERROR(__xludf.DUMMYFUNCTION("""COMPUTED_VALUE"""),44743.0)</f>
        <v>44743</v>
      </c>
      <c r="C18209" s="6">
        <f>IFERROR(__xludf.DUMMYFUNCTION("""COMPUTED_VALUE"""),0.3292245370357705)</f>
        <v>0.329224537</v>
      </c>
      <c r="D18209" s="4">
        <f>IFERROR(__xludf.DUMMYFUNCTION("""COMPUTED_VALUE"""),12.724509)</f>
        <v>12.724509</v>
      </c>
      <c r="E18209" s="4">
        <f>IFERROR(__xludf.DUMMYFUNCTION("""COMPUTED_VALUE"""),79.981826)</f>
        <v>79.981826</v>
      </c>
      <c r="F18209" s="4">
        <f>IFERROR(__xludf.DUMMYFUNCTION("""COMPUTED_VALUE"""),2846.0)</f>
        <v>2846</v>
      </c>
      <c r="G18209" s="4">
        <f>IFERROR(__xludf.DUMMYFUNCTION("""COMPUTED_VALUE"""),27.0)</f>
        <v>27</v>
      </c>
      <c r="H18209" s="4"/>
      <c r="I18209" s="4"/>
    </row>
    <row r="18210">
      <c r="A18210" s="4" t="str">
        <f>IFERROR(__xludf.DUMMYFUNCTION("""COMPUTED_VALUE"""),"cas_hmw")</f>
        <v>cas_hmw</v>
      </c>
      <c r="B18210" s="5">
        <f>IFERROR(__xludf.DUMMYFUNCTION("""COMPUTED_VALUE"""),44743.0)</f>
        <v>44743</v>
      </c>
      <c r="C18210" s="6">
        <f>IFERROR(__xludf.DUMMYFUNCTION("""COMPUTED_VALUE"""),0.32923611111255013)</f>
        <v>0.3292361111</v>
      </c>
      <c r="D18210" s="4">
        <f>IFERROR(__xludf.DUMMYFUNCTION("""COMPUTED_VALUE"""),12.976341)</f>
        <v>12.976341</v>
      </c>
      <c r="E18210" s="4">
        <f>IFERROR(__xludf.DUMMYFUNCTION("""COMPUTED_VALUE"""),80.157653)</f>
        <v>80.157653</v>
      </c>
      <c r="F18210" s="4">
        <f>IFERROR(__xludf.DUMMYFUNCTION("""COMPUTED_VALUE"""),5339.0)</f>
        <v>5339</v>
      </c>
      <c r="G18210" s="4">
        <f>IFERROR(__xludf.DUMMYFUNCTION("""COMPUTED_VALUE"""),55.0)</f>
        <v>55</v>
      </c>
      <c r="H18210" s="4"/>
      <c r="I18210" s="4"/>
    </row>
    <row r="18211">
      <c r="A18211" s="4" t="str">
        <f>IFERROR(__xludf.DUMMYFUNCTION("""COMPUTED_VALUE"""),"cas_hmw")</f>
        <v>cas_hmw</v>
      </c>
      <c r="B18211" s="5">
        <f>IFERROR(__xludf.DUMMYFUNCTION("""COMPUTED_VALUE"""),44743.0)</f>
        <v>44743</v>
      </c>
      <c r="C18211" s="6">
        <f>IFERROR(__xludf.DUMMYFUNCTION("""COMPUTED_VALUE"""),0.3292824074087548)</f>
        <v>0.3292824074</v>
      </c>
      <c r="D18211" s="4">
        <f>IFERROR(__xludf.DUMMYFUNCTION("""COMPUTED_VALUE"""),13.006854)</f>
        <v>13.006854</v>
      </c>
      <c r="E18211" s="4">
        <f>IFERROR(__xludf.DUMMYFUNCTION("""COMPUTED_VALUE"""),80.23984)</f>
        <v>80.23984</v>
      </c>
      <c r="F18211" s="4">
        <f>IFERROR(__xludf.DUMMYFUNCTION("""COMPUTED_VALUE"""),805.0)</f>
        <v>805</v>
      </c>
      <c r="G18211" s="4">
        <f>IFERROR(__xludf.DUMMYFUNCTION("""COMPUTED_VALUE"""),26.0)</f>
        <v>26</v>
      </c>
      <c r="H18211" s="4"/>
      <c r="I18211" s="4"/>
    </row>
    <row r="18212">
      <c r="A18212" s="4" t="str">
        <f>IFERROR(__xludf.DUMMYFUNCTION("""COMPUTED_VALUE"""),"cas_hmw")</f>
        <v>cas_hmw</v>
      </c>
      <c r="B18212" s="5">
        <f>IFERROR(__xludf.DUMMYFUNCTION("""COMPUTED_VALUE"""),44743.0)</f>
        <v>44743</v>
      </c>
      <c r="C18212" s="6">
        <f>IFERROR(__xludf.DUMMYFUNCTION("""COMPUTED_VALUE"""),0.3292824074087548)</f>
        <v>0.3292824074</v>
      </c>
      <c r="D18212" s="4">
        <f>IFERROR(__xludf.DUMMYFUNCTION("""COMPUTED_VALUE"""),12.976341)</f>
        <v>12.976341</v>
      </c>
      <c r="E18212" s="4">
        <f>IFERROR(__xludf.DUMMYFUNCTION("""COMPUTED_VALUE"""),80.157653)</f>
        <v>80.157653</v>
      </c>
      <c r="F18212" s="4">
        <f>IFERROR(__xludf.DUMMYFUNCTION("""COMPUTED_VALUE"""),5339.0)</f>
        <v>5339</v>
      </c>
      <c r="G18212" s="4">
        <f>IFERROR(__xludf.DUMMYFUNCTION("""COMPUTED_VALUE"""),55.0)</f>
        <v>55</v>
      </c>
      <c r="H18212" s="4"/>
      <c r="I18212" s="4"/>
    </row>
    <row r="18213">
      <c r="A18213" s="4" t="str">
        <f>IFERROR(__xludf.DUMMYFUNCTION("""COMPUTED_VALUE"""),"cas_hmw")</f>
        <v>cas_hmw</v>
      </c>
      <c r="B18213" s="5">
        <f>IFERROR(__xludf.DUMMYFUNCTION("""COMPUTED_VALUE"""),44743.0)</f>
        <v>44743</v>
      </c>
      <c r="C18213" s="6">
        <f>IFERROR(__xludf.DUMMYFUNCTION("""COMPUTED_VALUE"""),0.32930555555503815)</f>
        <v>0.3293055556</v>
      </c>
      <c r="D18213" s="4">
        <f>IFERROR(__xludf.DUMMYFUNCTION("""COMPUTED_VALUE"""),12.97561)</f>
        <v>12.97561</v>
      </c>
      <c r="E18213" s="4">
        <f>IFERROR(__xludf.DUMMYFUNCTION("""COMPUTED_VALUE"""),80.156559)</f>
        <v>80.156559</v>
      </c>
      <c r="F18213" s="4">
        <f>IFERROR(__xludf.DUMMYFUNCTION("""COMPUTED_VALUE"""),5339.0)</f>
        <v>5339</v>
      </c>
      <c r="G18213" s="4">
        <f>IFERROR(__xludf.DUMMYFUNCTION("""COMPUTED_VALUE"""),46.0)</f>
        <v>46</v>
      </c>
      <c r="H18213" s="4"/>
      <c r="I18213" s="4"/>
    </row>
    <row r="18214">
      <c r="A18214" s="4" t="str">
        <f>IFERROR(__xludf.DUMMYFUNCTION("""COMPUTED_VALUE"""),"cas_hmw")</f>
        <v>cas_hmw</v>
      </c>
      <c r="B18214" s="5">
        <f>IFERROR(__xludf.DUMMYFUNCTION("""COMPUTED_VALUE"""),44743.0)</f>
        <v>44743</v>
      </c>
      <c r="C18214" s="6">
        <f>IFERROR(__xludf.DUMMYFUNCTION("""COMPUTED_VALUE"""),0.32945601851679385)</f>
        <v>0.3294560185</v>
      </c>
      <c r="D18214" s="4">
        <f>IFERROR(__xludf.DUMMYFUNCTION("""COMPUTED_VALUE"""),12.975004)</f>
        <v>12.975004</v>
      </c>
      <c r="E18214" s="4">
        <f>IFERROR(__xludf.DUMMYFUNCTION("""COMPUTED_VALUE"""),80.155698)</f>
        <v>80.155698</v>
      </c>
      <c r="F18214" s="4">
        <f>IFERROR(__xludf.DUMMYFUNCTION("""COMPUTED_VALUE"""),5339.0)</f>
        <v>5339</v>
      </c>
      <c r="G18214" s="4">
        <f>IFERROR(__xludf.DUMMYFUNCTION("""COMPUTED_VALUE"""),37.0)</f>
        <v>37</v>
      </c>
      <c r="H18214" s="4"/>
      <c r="I18214" s="4"/>
    </row>
    <row r="18215">
      <c r="A18215" s="4" t="str">
        <f>IFERROR(__xludf.DUMMYFUNCTION("""COMPUTED_VALUE"""),"cas_hmw")</f>
        <v>cas_hmw</v>
      </c>
      <c r="B18215" s="5">
        <f>IFERROR(__xludf.DUMMYFUNCTION("""COMPUTED_VALUE"""),44743.0)</f>
        <v>44743</v>
      </c>
      <c r="C18215" s="6">
        <f>IFERROR(__xludf.DUMMYFUNCTION("""COMPUTED_VALUE"""),0.32966435185153387)</f>
        <v>0.3296643519</v>
      </c>
      <c r="D18215" s="4">
        <f>IFERROR(__xludf.DUMMYFUNCTION("""COMPUTED_VALUE"""),13.007456)</f>
        <v>13.007456</v>
      </c>
      <c r="E18215" s="4">
        <f>IFERROR(__xludf.DUMMYFUNCTION("""COMPUTED_VALUE"""),80.237029)</f>
        <v>80.237029</v>
      </c>
      <c r="F18215" s="4">
        <f>IFERROR(__xludf.DUMMYFUNCTION("""COMPUTED_VALUE"""),805.0)</f>
        <v>805</v>
      </c>
      <c r="G18215" s="4">
        <f>IFERROR(__xludf.DUMMYFUNCTION("""COMPUTED_VALUE"""),40.0)</f>
        <v>40</v>
      </c>
      <c r="H18215" s="4"/>
      <c r="I18215" s="4"/>
    </row>
    <row r="18216">
      <c r="A18216" s="4" t="str">
        <f>IFERROR(__xludf.DUMMYFUNCTION("""COMPUTED_VALUE"""),"cas_hmw")</f>
        <v>cas_hmw</v>
      </c>
      <c r="B18216" s="5">
        <f>IFERROR(__xludf.DUMMYFUNCTION("""COMPUTED_VALUE"""),44743.0)</f>
        <v>44743</v>
      </c>
      <c r="C18216" s="6">
        <f>IFERROR(__xludf.DUMMYFUNCTION("""COMPUTED_VALUE"""),0.3296875000014552)</f>
        <v>0.3296875</v>
      </c>
      <c r="D18216" s="4">
        <f>IFERROR(__xludf.DUMMYFUNCTION("""COMPUTED_VALUE"""),12.974077)</f>
        <v>12.974077</v>
      </c>
      <c r="E18216" s="4">
        <f>IFERROR(__xludf.DUMMYFUNCTION("""COMPUTED_VALUE"""),80.154355)</f>
        <v>80.154355</v>
      </c>
      <c r="F18216" s="4">
        <f>IFERROR(__xludf.DUMMYFUNCTION("""COMPUTED_VALUE"""),5339.0)</f>
        <v>5339</v>
      </c>
      <c r="G18216" s="4">
        <f>IFERROR(__xludf.DUMMYFUNCTION("""COMPUTED_VALUE"""),30.0)</f>
        <v>30</v>
      </c>
      <c r="H18216" s="4"/>
      <c r="I18216" s="4"/>
    </row>
    <row r="18217">
      <c r="A18217" s="4" t="str">
        <f>IFERROR(__xludf.DUMMYFUNCTION("""COMPUTED_VALUE"""),"cas_hmw")</f>
        <v>cas_hmw</v>
      </c>
      <c r="B18217" s="5">
        <f>IFERROR(__xludf.DUMMYFUNCTION("""COMPUTED_VALUE"""),44743.0)</f>
        <v>44743</v>
      </c>
      <c r="C18217" s="6">
        <f>IFERROR(__xludf.DUMMYFUNCTION("""COMPUTED_VALUE"""),0.32969907407459687)</f>
        <v>0.3296990741</v>
      </c>
      <c r="D18217" s="4">
        <f>IFERROR(__xludf.DUMMYFUNCTION("""COMPUTED_VALUE"""),13.007456)</f>
        <v>13.007456</v>
      </c>
      <c r="E18217" s="4">
        <f>IFERROR(__xludf.DUMMYFUNCTION("""COMPUTED_VALUE"""),80.237029)</f>
        <v>80.237029</v>
      </c>
      <c r="F18217" s="4">
        <f>IFERROR(__xludf.DUMMYFUNCTION("""COMPUTED_VALUE"""),805.0)</f>
        <v>805</v>
      </c>
      <c r="G18217" s="4">
        <f>IFERROR(__xludf.DUMMYFUNCTION("""COMPUTED_VALUE"""),40.0)</f>
        <v>40</v>
      </c>
      <c r="H18217" s="4"/>
      <c r="I18217" s="4"/>
    </row>
    <row r="18218">
      <c r="A18218" s="4" t="str">
        <f>IFERROR(__xludf.DUMMYFUNCTION("""COMPUTED_VALUE"""),"cas_hmw")</f>
        <v>cas_hmw</v>
      </c>
      <c r="B18218" s="5">
        <f>IFERROR(__xludf.DUMMYFUNCTION("""COMPUTED_VALUE"""),44743.0)</f>
        <v>44743</v>
      </c>
      <c r="C18218" s="6">
        <f>IFERROR(__xludf.DUMMYFUNCTION("""COMPUTED_VALUE"""),0.3298726851862739)</f>
        <v>0.3298726852</v>
      </c>
      <c r="D18218" s="4">
        <f>IFERROR(__xludf.DUMMYFUNCTION("""COMPUTED_VALUE"""),13.007828)</f>
        <v>13.007828</v>
      </c>
      <c r="E18218" s="4">
        <f>IFERROR(__xludf.DUMMYFUNCTION("""COMPUTED_VALUE"""),80.235144)</f>
        <v>80.235144</v>
      </c>
      <c r="F18218" s="4">
        <f>IFERROR(__xludf.DUMMYFUNCTION("""COMPUTED_VALUE"""),805.0)</f>
        <v>805</v>
      </c>
      <c r="G18218" s="4">
        <f>IFERROR(__xludf.DUMMYFUNCTION("""COMPUTED_VALUE"""),34.0)</f>
        <v>34</v>
      </c>
      <c r="H18218" s="4"/>
      <c r="I18218" s="4"/>
    </row>
    <row r="18219">
      <c r="A18219" s="4" t="str">
        <f>IFERROR(__xludf.DUMMYFUNCTION("""COMPUTED_VALUE"""),"cas_hmw")</f>
        <v>cas_hmw</v>
      </c>
      <c r="B18219" s="5">
        <f>IFERROR(__xludf.DUMMYFUNCTION("""COMPUTED_VALUE"""),44743.0)</f>
        <v>44743</v>
      </c>
      <c r="C18219" s="6">
        <f>IFERROR(__xludf.DUMMYFUNCTION("""COMPUTED_VALUE"""),0.32991898148247856)</f>
        <v>0.3299189815</v>
      </c>
      <c r="D18219" s="4">
        <f>IFERROR(__xludf.DUMMYFUNCTION("""COMPUTED_VALUE"""),12.7317)</f>
        <v>12.7317</v>
      </c>
      <c r="E18219" s="4">
        <f>IFERROR(__xludf.DUMMYFUNCTION("""COMPUTED_VALUE"""),79.982856)</f>
        <v>79.982856</v>
      </c>
      <c r="F18219" s="4">
        <f>IFERROR(__xludf.DUMMYFUNCTION("""COMPUTED_VALUE"""),2846.0)</f>
        <v>2846</v>
      </c>
      <c r="G18219" s="4">
        <f>IFERROR(__xludf.DUMMYFUNCTION("""COMPUTED_VALUE"""),58.0)</f>
        <v>58</v>
      </c>
      <c r="H18219" s="4"/>
      <c r="I18219" s="4"/>
    </row>
    <row r="18220">
      <c r="A18220" s="4" t="str">
        <f>IFERROR(__xludf.DUMMYFUNCTION("""COMPUTED_VALUE"""),"cas_hmw")</f>
        <v>cas_hmw</v>
      </c>
      <c r="B18220" s="5">
        <f>IFERROR(__xludf.DUMMYFUNCTION("""COMPUTED_VALUE"""),44743.0)</f>
        <v>44743</v>
      </c>
      <c r="C18220" s="6">
        <f>IFERROR(__xludf.DUMMYFUNCTION("""COMPUTED_VALUE"""),0.3299884259249666)</f>
        <v>0.3299884259</v>
      </c>
      <c r="D18220" s="4">
        <f>IFERROR(__xludf.DUMMYFUNCTION("""COMPUTED_VALUE"""),13.008144)</f>
        <v>13.008144</v>
      </c>
      <c r="E18220" s="4">
        <f>IFERROR(__xludf.DUMMYFUNCTION("""COMPUTED_VALUE"""),80.233573)</f>
        <v>80.233573</v>
      </c>
      <c r="F18220" s="4">
        <f>IFERROR(__xludf.DUMMYFUNCTION("""COMPUTED_VALUE"""),805.0)</f>
        <v>805</v>
      </c>
      <c r="G18220" s="4">
        <f>IFERROR(__xludf.DUMMYFUNCTION("""COMPUTED_VALUE"""),45.0)</f>
        <v>45</v>
      </c>
      <c r="H18220" s="4"/>
      <c r="I18220" s="4"/>
    </row>
    <row r="18221">
      <c r="A18221" s="4" t="str">
        <f>IFERROR(__xludf.DUMMYFUNCTION("""COMPUTED_VALUE"""),"cas_hmw")</f>
        <v>cas_hmw</v>
      </c>
      <c r="B18221" s="5">
        <f>IFERROR(__xludf.DUMMYFUNCTION("""COMPUTED_VALUE"""),44743.0)</f>
        <v>44743</v>
      </c>
      <c r="C18221" s="6">
        <f>IFERROR(__xludf.DUMMYFUNCTION("""COMPUTED_VALUE"""),0.3300810185173759)</f>
        <v>0.3300810185</v>
      </c>
      <c r="D18221" s="4">
        <f>IFERROR(__xludf.DUMMYFUNCTION("""COMPUTED_VALUE"""),13.008467)</f>
        <v>13.008467</v>
      </c>
      <c r="E18221" s="4">
        <f>IFERROR(__xludf.DUMMYFUNCTION("""COMPUTED_VALUE"""),80.231813)</f>
        <v>80.231813</v>
      </c>
      <c r="F18221" s="4">
        <f>IFERROR(__xludf.DUMMYFUNCTION("""COMPUTED_VALUE"""),805.0)</f>
        <v>805</v>
      </c>
      <c r="G18221" s="4">
        <f>IFERROR(__xludf.DUMMYFUNCTION("""COMPUTED_VALUE"""),48.0)</f>
        <v>48</v>
      </c>
      <c r="H18221" s="4"/>
      <c r="I18221" s="4"/>
    </row>
    <row r="18222">
      <c r="A18222" s="4" t="str">
        <f>IFERROR(__xludf.DUMMYFUNCTION("""COMPUTED_VALUE"""),"cas_hmw")</f>
        <v>cas_hmw</v>
      </c>
      <c r="B18222" s="5">
        <f>IFERROR(__xludf.DUMMYFUNCTION("""COMPUTED_VALUE"""),44743.0)</f>
        <v>44743</v>
      </c>
      <c r="C18222" s="6">
        <f>IFERROR(__xludf.DUMMYFUNCTION("""COMPUTED_VALUE"""),0.33013888889036025)</f>
        <v>0.3301388889</v>
      </c>
      <c r="D18222" s="4">
        <f>IFERROR(__xludf.DUMMYFUNCTION("""COMPUTED_VALUE"""),13.008467)</f>
        <v>13.008467</v>
      </c>
      <c r="E18222" s="4">
        <f>IFERROR(__xludf.DUMMYFUNCTION("""COMPUTED_VALUE"""),80.231813)</f>
        <v>80.231813</v>
      </c>
      <c r="F18222" s="4">
        <f>IFERROR(__xludf.DUMMYFUNCTION("""COMPUTED_VALUE"""),805.0)</f>
        <v>805</v>
      </c>
      <c r="G18222" s="4">
        <f>IFERROR(__xludf.DUMMYFUNCTION("""COMPUTED_VALUE"""),48.0)</f>
        <v>48</v>
      </c>
      <c r="H18222" s="4"/>
      <c r="I18222" s="4"/>
    </row>
    <row r="18223">
      <c r="A18223" s="4" t="str">
        <f>IFERROR(__xludf.DUMMYFUNCTION("""COMPUTED_VALUE"""),"cas_hmw")</f>
        <v>cas_hmw</v>
      </c>
      <c r="B18223" s="5">
        <f>IFERROR(__xludf.DUMMYFUNCTION("""COMPUTED_VALUE"""),44743.0)</f>
        <v>44743</v>
      </c>
      <c r="C18223" s="6">
        <f>IFERROR(__xludf.DUMMYFUNCTION("""COMPUTED_VALUE"""),0.33024305555591127)</f>
        <v>0.3302430556</v>
      </c>
      <c r="D18223" s="4">
        <f>IFERROR(__xludf.DUMMYFUNCTION("""COMPUTED_VALUE"""),13.008837)</f>
        <v>13.008837</v>
      </c>
      <c r="E18223" s="4">
        <f>IFERROR(__xludf.DUMMYFUNCTION("""COMPUTED_VALUE"""),80.22993)</f>
        <v>80.22993</v>
      </c>
      <c r="F18223" s="4">
        <f>IFERROR(__xludf.DUMMYFUNCTION("""COMPUTED_VALUE"""),805.0)</f>
        <v>805</v>
      </c>
      <c r="G18223" s="4">
        <f>IFERROR(__xludf.DUMMYFUNCTION("""COMPUTED_VALUE"""),41.0)</f>
        <v>41</v>
      </c>
      <c r="H18223" s="4"/>
      <c r="I18223" s="4"/>
    </row>
    <row r="18224">
      <c r="A18224" s="4" t="str">
        <f>IFERROR(__xludf.DUMMYFUNCTION("""COMPUTED_VALUE"""),"cas_hmw")</f>
        <v>cas_hmw</v>
      </c>
      <c r="B18224" s="5">
        <f>IFERROR(__xludf.DUMMYFUNCTION("""COMPUTED_VALUE"""),44743.0)</f>
        <v>44743</v>
      </c>
      <c r="C18224" s="6">
        <f>IFERROR(__xludf.DUMMYFUNCTION("""COMPUTED_VALUE"""),0.3303703703713836)</f>
        <v>0.3303703704</v>
      </c>
      <c r="D18224" s="4">
        <f>IFERROR(__xludf.DUMMYFUNCTION("""COMPUTED_VALUE"""),13.008837)</f>
        <v>13.008837</v>
      </c>
      <c r="E18224" s="4">
        <f>IFERROR(__xludf.DUMMYFUNCTION("""COMPUTED_VALUE"""),80.22993)</f>
        <v>80.22993</v>
      </c>
      <c r="F18224" s="4">
        <f>IFERROR(__xludf.DUMMYFUNCTION("""COMPUTED_VALUE"""),805.0)</f>
        <v>805</v>
      </c>
      <c r="G18224" s="4">
        <f>IFERROR(__xludf.DUMMYFUNCTION("""COMPUTED_VALUE"""),41.0)</f>
        <v>41</v>
      </c>
      <c r="H18224" s="4"/>
      <c r="I18224" s="4"/>
    </row>
    <row r="18225">
      <c r="A18225" s="4" t="str">
        <f>IFERROR(__xludf.DUMMYFUNCTION("""COMPUTED_VALUE"""),"cas_hmw")</f>
        <v>cas_hmw</v>
      </c>
      <c r="B18225" s="5">
        <f>IFERROR(__xludf.DUMMYFUNCTION("""COMPUTED_VALUE"""),44743.0)</f>
        <v>44743</v>
      </c>
      <c r="C18225" s="6">
        <f>IFERROR(__xludf.DUMMYFUNCTION("""COMPUTED_VALUE"""),0.330601851852407)</f>
        <v>0.3306018519</v>
      </c>
      <c r="D18225" s="4">
        <f>IFERROR(__xludf.DUMMYFUNCTION("""COMPUTED_VALUE"""),12.968709)</f>
        <v>12.968709</v>
      </c>
      <c r="E18225" s="4">
        <f>IFERROR(__xludf.DUMMYFUNCTION("""COMPUTED_VALUE"""),80.149744)</f>
        <v>80.149744</v>
      </c>
      <c r="F18225" s="4">
        <f>IFERROR(__xludf.DUMMYFUNCTION("""COMPUTED_VALUE"""),5339.0)</f>
        <v>5339</v>
      </c>
      <c r="G18225" s="4">
        <f>IFERROR(__xludf.DUMMYFUNCTION("""COMPUTED_VALUE"""),42.0)</f>
        <v>42</v>
      </c>
      <c r="H18225" s="4"/>
      <c r="I18225" s="4"/>
    </row>
    <row r="18226">
      <c r="A18226" s="4" t="str">
        <f>IFERROR(__xludf.DUMMYFUNCTION("""COMPUTED_VALUE"""),"cas_hmw")</f>
        <v>cas_hmw</v>
      </c>
      <c r="B18226" s="5">
        <f>IFERROR(__xludf.DUMMYFUNCTION("""COMPUTED_VALUE"""),44743.0)</f>
        <v>44743</v>
      </c>
      <c r="C18226" s="6">
        <f>IFERROR(__xludf.DUMMYFUNCTION("""COMPUTED_VALUE"""),0.33068287037167465)</f>
        <v>0.3306828704</v>
      </c>
      <c r="D18226" s="4">
        <f>IFERROR(__xludf.DUMMYFUNCTION("""COMPUTED_VALUE"""),12.968)</f>
        <v>12.968</v>
      </c>
      <c r="E18226" s="4">
        <f>IFERROR(__xludf.DUMMYFUNCTION("""COMPUTED_VALUE"""),80.149432)</f>
        <v>80.149432</v>
      </c>
      <c r="F18226" s="4">
        <f>IFERROR(__xludf.DUMMYFUNCTION("""COMPUTED_VALUE"""),5339.0)</f>
        <v>5339</v>
      </c>
      <c r="G18226" s="4">
        <f>IFERROR(__xludf.DUMMYFUNCTION("""COMPUTED_VALUE"""),27.0)</f>
        <v>27</v>
      </c>
      <c r="H18226" s="4"/>
      <c r="I18226" s="4"/>
    </row>
    <row r="18227">
      <c r="A18227" s="4" t="str">
        <f>IFERROR(__xludf.DUMMYFUNCTION("""COMPUTED_VALUE"""),"cas_hmw")</f>
        <v>cas_hmw</v>
      </c>
      <c r="B18227" s="5">
        <f>IFERROR(__xludf.DUMMYFUNCTION("""COMPUTED_VALUE"""),44743.0)</f>
        <v>44743</v>
      </c>
      <c r="C18227" s="6">
        <f>IFERROR(__xludf.DUMMYFUNCTION("""COMPUTED_VALUE"""),0.330740740741021)</f>
        <v>0.3307407407</v>
      </c>
      <c r="D18227" s="4">
        <f>IFERROR(__xludf.DUMMYFUNCTION("""COMPUTED_VALUE"""),13.009747)</f>
        <v>13.009747</v>
      </c>
      <c r="E18227" s="4">
        <f>IFERROR(__xludf.DUMMYFUNCTION("""COMPUTED_VALUE"""),80.226946)</f>
        <v>80.226946</v>
      </c>
      <c r="F18227" s="4">
        <f>IFERROR(__xludf.DUMMYFUNCTION("""COMPUTED_VALUE"""),805.0)</f>
        <v>805</v>
      </c>
      <c r="G18227" s="4">
        <f>IFERROR(__xludf.DUMMYFUNCTION("""COMPUTED_VALUE"""),42.0)</f>
        <v>42</v>
      </c>
      <c r="H18227" s="4"/>
      <c r="I18227" s="4"/>
    </row>
    <row r="18228">
      <c r="A18228" s="4" t="str">
        <f>IFERROR(__xludf.DUMMYFUNCTION("""COMPUTED_VALUE"""),"cas_hmw")</f>
        <v>cas_hmw</v>
      </c>
      <c r="B18228" s="5">
        <f>IFERROR(__xludf.DUMMYFUNCTION("""COMPUTED_VALUE"""),44743.0)</f>
        <v>44743</v>
      </c>
      <c r="C18228" s="6">
        <f>IFERROR(__xludf.DUMMYFUNCTION("""COMPUTED_VALUE"""),0.33104166666817036)</f>
        <v>0.3310416667</v>
      </c>
      <c r="D18228" s="4">
        <f>IFERROR(__xludf.DUMMYFUNCTION("""COMPUTED_VALUE"""),13.011127)</f>
        <v>13.011127</v>
      </c>
      <c r="E18228" s="4">
        <f>IFERROR(__xludf.DUMMYFUNCTION("""COMPUTED_VALUE"""),80.223868)</f>
        <v>80.223868</v>
      </c>
      <c r="F18228" s="4">
        <f>IFERROR(__xludf.DUMMYFUNCTION("""COMPUTED_VALUE"""),805.0)</f>
        <v>805</v>
      </c>
      <c r="G18228" s="4">
        <f>IFERROR(__xludf.DUMMYFUNCTION("""COMPUTED_VALUE"""),17.0)</f>
        <v>17</v>
      </c>
      <c r="H18228" s="4"/>
      <c r="I18228" s="4"/>
    </row>
    <row r="18229">
      <c r="A18229" s="4" t="str">
        <f>IFERROR(__xludf.DUMMYFUNCTION("""COMPUTED_VALUE"""),"cas_hmw")</f>
        <v>cas_hmw</v>
      </c>
      <c r="B18229" s="5">
        <f>IFERROR(__xludf.DUMMYFUNCTION("""COMPUTED_VALUE"""),44743.0)</f>
        <v>44743</v>
      </c>
      <c r="C18229" s="6">
        <f>IFERROR(__xludf.DUMMYFUNCTION("""COMPUTED_VALUE"""),0.3310648148144537)</f>
        <v>0.3310648148</v>
      </c>
      <c r="D18229" s="4">
        <f>IFERROR(__xludf.DUMMYFUNCTION("""COMPUTED_VALUE"""),13.011127)</f>
        <v>13.011127</v>
      </c>
      <c r="E18229" s="4">
        <f>IFERROR(__xludf.DUMMYFUNCTION("""COMPUTED_VALUE"""),80.223868)</f>
        <v>80.223868</v>
      </c>
      <c r="F18229" s="4">
        <f>IFERROR(__xludf.DUMMYFUNCTION("""COMPUTED_VALUE"""),805.0)</f>
        <v>805</v>
      </c>
      <c r="G18229" s="4">
        <f>IFERROR(__xludf.DUMMYFUNCTION("""COMPUTED_VALUE"""),17.0)</f>
        <v>17</v>
      </c>
      <c r="H18229" s="4"/>
      <c r="I18229" s="4"/>
    </row>
    <row r="18230">
      <c r="A18230" s="4" t="str">
        <f>IFERROR(__xludf.DUMMYFUNCTION("""COMPUTED_VALUE"""),"cas_hmw")</f>
        <v>cas_hmw</v>
      </c>
      <c r="B18230" s="5">
        <f>IFERROR(__xludf.DUMMYFUNCTION("""COMPUTED_VALUE"""),44743.0)</f>
        <v>44743</v>
      </c>
      <c r="C18230" s="6">
        <f>IFERROR(__xludf.DUMMYFUNCTION("""COMPUTED_VALUE"""),0.3310648148144537)</f>
        <v>0.3310648148</v>
      </c>
      <c r="D18230" s="4">
        <f>IFERROR(__xludf.DUMMYFUNCTION("""COMPUTED_VALUE"""),13.011127)</f>
        <v>13.011127</v>
      </c>
      <c r="E18230" s="4">
        <f>IFERROR(__xludf.DUMMYFUNCTION("""COMPUTED_VALUE"""),80.223868)</f>
        <v>80.223868</v>
      </c>
      <c r="F18230" s="4">
        <f>IFERROR(__xludf.DUMMYFUNCTION("""COMPUTED_VALUE"""),805.0)</f>
        <v>805</v>
      </c>
      <c r="G18230" s="4">
        <f>IFERROR(__xludf.DUMMYFUNCTION("""COMPUTED_VALUE"""),17.0)</f>
        <v>17</v>
      </c>
      <c r="H18230" s="4"/>
      <c r="I18230" s="4"/>
    </row>
    <row r="18231">
      <c r="A18231" s="4" t="str">
        <f>IFERROR(__xludf.DUMMYFUNCTION("""COMPUTED_VALUE"""),"cas_hmw")</f>
        <v>cas_hmw</v>
      </c>
      <c r="B18231" s="5">
        <f>IFERROR(__xludf.DUMMYFUNCTION("""COMPUTED_VALUE"""),44743.0)</f>
        <v>44743</v>
      </c>
      <c r="C18231" s="6">
        <f>IFERROR(__xludf.DUMMYFUNCTION("""COMPUTED_VALUE"""),0.3310763888875954)</f>
        <v>0.3310763889</v>
      </c>
      <c r="D18231" s="4">
        <f>IFERROR(__xludf.DUMMYFUNCTION("""COMPUTED_VALUE"""),13.011127)</f>
        <v>13.011127</v>
      </c>
      <c r="E18231" s="4">
        <f>IFERROR(__xludf.DUMMYFUNCTION("""COMPUTED_VALUE"""),80.223868)</f>
        <v>80.223868</v>
      </c>
      <c r="F18231" s="4">
        <f>IFERROR(__xludf.DUMMYFUNCTION("""COMPUTED_VALUE"""),805.0)</f>
        <v>805</v>
      </c>
      <c r="G18231" s="4">
        <f>IFERROR(__xludf.DUMMYFUNCTION("""COMPUTED_VALUE"""),17.0)</f>
        <v>17</v>
      </c>
      <c r="H18231" s="4"/>
      <c r="I18231" s="4"/>
    </row>
    <row r="18232">
      <c r="A18232" s="4" t="str">
        <f>IFERROR(__xludf.DUMMYFUNCTION("""COMPUTED_VALUE"""),"cas_hmw")</f>
        <v>cas_hmw</v>
      </c>
      <c r="B18232" s="5">
        <f>IFERROR(__xludf.DUMMYFUNCTION("""COMPUTED_VALUE"""),44743.0)</f>
        <v>44743</v>
      </c>
      <c r="C18232" s="6">
        <f>IFERROR(__xludf.DUMMYFUNCTION("""COMPUTED_VALUE"""),0.33123842592613073)</f>
        <v>0.3312384259</v>
      </c>
      <c r="D18232" s="4">
        <f>IFERROR(__xludf.DUMMYFUNCTION("""COMPUTED_VALUE"""),12.966563)</f>
        <v>12.966563</v>
      </c>
      <c r="E18232" s="4">
        <f>IFERROR(__xludf.DUMMYFUNCTION("""COMPUTED_VALUE"""),80.148777)</f>
        <v>80.148777</v>
      </c>
      <c r="F18232" s="4">
        <f>IFERROR(__xludf.DUMMYFUNCTION("""COMPUTED_VALUE"""),5339.0)</f>
        <v>5339</v>
      </c>
      <c r="G18232" s="4">
        <f>IFERROR(__xludf.DUMMYFUNCTION("""COMPUTED_VALUE"""),36.0)</f>
        <v>36</v>
      </c>
      <c r="H18232" s="4"/>
      <c r="I18232" s="4"/>
    </row>
    <row r="18233">
      <c r="A18233" s="4" t="str">
        <f>IFERROR(__xludf.DUMMYFUNCTION("""COMPUTED_VALUE"""),"cas_hmw")</f>
        <v>cas_hmw</v>
      </c>
      <c r="B18233" s="5">
        <f>IFERROR(__xludf.DUMMYFUNCTION("""COMPUTED_VALUE"""),44743.0)</f>
        <v>44743</v>
      </c>
      <c r="C18233" s="6">
        <f>IFERROR(__xludf.DUMMYFUNCTION("""COMPUTED_VALUE"""),0.33134259259168175)</f>
        <v>0.3313425926</v>
      </c>
      <c r="D18233" s="4">
        <f>IFERROR(__xludf.DUMMYFUNCTION("""COMPUTED_VALUE"""),13.011765)</f>
        <v>13.011765</v>
      </c>
      <c r="E18233" s="4">
        <f>IFERROR(__xludf.DUMMYFUNCTION("""COMPUTED_VALUE"""),80.222231)</f>
        <v>80.222231</v>
      </c>
      <c r="F18233" s="4">
        <f>IFERROR(__xludf.DUMMYFUNCTION("""COMPUTED_VALUE"""),805.0)</f>
        <v>805</v>
      </c>
      <c r="G18233" s="4">
        <f>IFERROR(__xludf.DUMMYFUNCTION("""COMPUTED_VALUE"""),25.0)</f>
        <v>25</v>
      </c>
      <c r="H18233" s="4"/>
      <c r="I18233" s="4"/>
    </row>
    <row r="18234">
      <c r="A18234" s="4" t="str">
        <f>IFERROR(__xludf.DUMMYFUNCTION("""COMPUTED_VALUE"""),"cas_hmw")</f>
        <v>cas_hmw</v>
      </c>
      <c r="B18234" s="5">
        <f>IFERROR(__xludf.DUMMYFUNCTION("""COMPUTED_VALUE"""),44743.0)</f>
        <v>44743</v>
      </c>
      <c r="C18234" s="6">
        <f>IFERROR(__xludf.DUMMYFUNCTION("""COMPUTED_VALUE"""),0.33141203703780775)</f>
        <v>0.331412037</v>
      </c>
      <c r="D18234" s="4">
        <f>IFERROR(__xludf.DUMMYFUNCTION("""COMPUTED_VALUE"""),12.965121)</f>
        <v>12.965121</v>
      </c>
      <c r="E18234" s="4">
        <f>IFERROR(__xludf.DUMMYFUNCTION("""COMPUTED_VALUE"""),80.148062)</f>
        <v>80.148062</v>
      </c>
      <c r="F18234" s="4">
        <f>IFERROR(__xludf.DUMMYFUNCTION("""COMPUTED_VALUE"""),5339.0)</f>
        <v>5339</v>
      </c>
      <c r="G18234" s="4">
        <f>IFERROR(__xludf.DUMMYFUNCTION("""COMPUTED_VALUE"""),26.0)</f>
        <v>26</v>
      </c>
      <c r="H18234" s="4"/>
      <c r="I18234" s="4"/>
    </row>
    <row r="18235">
      <c r="A18235" s="4" t="str">
        <f>IFERROR(__xludf.DUMMYFUNCTION("""COMPUTED_VALUE"""),"cas_hmw")</f>
        <v>cas_hmw</v>
      </c>
      <c r="B18235" s="5">
        <f>IFERROR(__xludf.DUMMYFUNCTION("""COMPUTED_VALUE"""),44743.0)</f>
        <v>44743</v>
      </c>
      <c r="C18235" s="6">
        <f>IFERROR(__xludf.DUMMYFUNCTION("""COMPUTED_VALUE"""),0.33217592592700385)</f>
        <v>0.3321759259</v>
      </c>
      <c r="D18235" s="4">
        <f>IFERROR(__xludf.DUMMYFUNCTION("""COMPUTED_VALUE"""),13.011112)</f>
        <v>13.011112</v>
      </c>
      <c r="E18235" s="4">
        <f>IFERROR(__xludf.DUMMYFUNCTION("""COMPUTED_VALUE"""),80.217835)</f>
        <v>80.217835</v>
      </c>
      <c r="F18235" s="4">
        <f>IFERROR(__xludf.DUMMYFUNCTION("""COMPUTED_VALUE"""),805.0)</f>
        <v>805</v>
      </c>
      <c r="G18235" s="4">
        <f>IFERROR(__xludf.DUMMYFUNCTION("""COMPUTED_VALUE"""),43.0)</f>
        <v>43</v>
      </c>
      <c r="H18235" s="4"/>
      <c r="I18235" s="4"/>
    </row>
    <row r="18236">
      <c r="A18236" s="4" t="str">
        <f>IFERROR(__xludf.DUMMYFUNCTION("""COMPUTED_VALUE"""),"cas_hmw")</f>
        <v>cas_hmw</v>
      </c>
      <c r="B18236" s="5">
        <f>IFERROR(__xludf.DUMMYFUNCTION("""COMPUTED_VALUE"""),44743.0)</f>
        <v>44743</v>
      </c>
      <c r="C18236" s="6">
        <f>IFERROR(__xludf.DUMMYFUNCTION("""COMPUTED_VALUE"""),0.3324421296310902)</f>
        <v>0.3324421296</v>
      </c>
      <c r="D18236" s="4">
        <f>IFERROR(__xludf.DUMMYFUNCTION("""COMPUTED_VALUE"""),13.009826)</f>
        <v>13.009826</v>
      </c>
      <c r="E18236" s="4">
        <f>IFERROR(__xludf.DUMMYFUNCTION("""COMPUTED_VALUE"""),80.214027)</f>
        <v>80.214027</v>
      </c>
      <c r="F18236" s="4">
        <f>IFERROR(__xludf.DUMMYFUNCTION("""COMPUTED_VALUE"""),805.0)</f>
        <v>805</v>
      </c>
      <c r="G18236" s="4">
        <f>IFERROR(__xludf.DUMMYFUNCTION("""COMPUTED_VALUE"""),55.0)</f>
        <v>55</v>
      </c>
      <c r="H18236" s="4"/>
      <c r="I18236" s="4"/>
    </row>
    <row r="18237">
      <c r="A18237" s="4" t="str">
        <f>IFERROR(__xludf.DUMMYFUNCTION("""COMPUTED_VALUE"""),"cas_hmw")</f>
        <v>cas_hmw</v>
      </c>
      <c r="B18237" s="5">
        <f>IFERROR(__xludf.DUMMYFUNCTION("""COMPUTED_VALUE"""),44743.0)</f>
        <v>44743</v>
      </c>
      <c r="C18237" s="6">
        <f>IFERROR(__xludf.DUMMYFUNCTION("""COMPUTED_VALUE"""),0.33246527777737356)</f>
        <v>0.3324652778</v>
      </c>
      <c r="D18237" s="4">
        <f>IFERROR(__xludf.DUMMYFUNCTION("""COMPUTED_VALUE"""),13.009826)</f>
        <v>13.009826</v>
      </c>
      <c r="E18237" s="4">
        <f>IFERROR(__xludf.DUMMYFUNCTION("""COMPUTED_VALUE"""),80.214027)</f>
        <v>80.214027</v>
      </c>
      <c r="F18237" s="4">
        <f>IFERROR(__xludf.DUMMYFUNCTION("""COMPUTED_VALUE"""),805.0)</f>
        <v>805</v>
      </c>
      <c r="G18237" s="4">
        <f>IFERROR(__xludf.DUMMYFUNCTION("""COMPUTED_VALUE"""),55.0)</f>
        <v>55</v>
      </c>
      <c r="H18237" s="4"/>
      <c r="I18237" s="4"/>
    </row>
    <row r="18238">
      <c r="A18238" s="4" t="str">
        <f>IFERROR(__xludf.DUMMYFUNCTION("""COMPUTED_VALUE"""),"cas_hmw")</f>
        <v>cas_hmw</v>
      </c>
      <c r="B18238" s="5">
        <f>IFERROR(__xludf.DUMMYFUNCTION("""COMPUTED_VALUE"""),44743.0)</f>
        <v>44743</v>
      </c>
      <c r="C18238" s="6">
        <f>IFERROR(__xludf.DUMMYFUNCTION("""COMPUTED_VALUE"""),0.3324884259272949)</f>
        <v>0.3324884259</v>
      </c>
      <c r="D18238" s="4">
        <f>IFERROR(__xludf.DUMMYFUNCTION("""COMPUTED_VALUE"""),13.008995)</f>
        <v>13.008995</v>
      </c>
      <c r="E18238" s="4">
        <f>IFERROR(__xludf.DUMMYFUNCTION("""COMPUTED_VALUE"""),80.211912)</f>
        <v>80.211912</v>
      </c>
      <c r="F18238" s="4">
        <f>IFERROR(__xludf.DUMMYFUNCTION("""COMPUTED_VALUE"""),805.0)</f>
        <v>805</v>
      </c>
      <c r="G18238" s="4">
        <f>IFERROR(__xludf.DUMMYFUNCTION("""COMPUTED_VALUE"""),58.0)</f>
        <v>58</v>
      </c>
      <c r="H18238" s="4"/>
      <c r="I18238" s="4"/>
    </row>
    <row r="18239">
      <c r="A18239" s="4" t="str">
        <f>IFERROR(__xludf.DUMMYFUNCTION("""COMPUTED_VALUE"""),"cas_hmw")</f>
        <v>cas_hmw</v>
      </c>
      <c r="B18239" s="5">
        <f>IFERROR(__xludf.DUMMYFUNCTION("""COMPUTED_VALUE"""),44743.0)</f>
        <v>44743</v>
      </c>
      <c r="C18239" s="6">
        <f>IFERROR(__xludf.DUMMYFUNCTION("""COMPUTED_VALUE"""),0.33251157407357823)</f>
        <v>0.3325115741</v>
      </c>
      <c r="D18239" s="4">
        <f>IFERROR(__xludf.DUMMYFUNCTION("""COMPUTED_VALUE"""),12.957326)</f>
        <v>12.957326</v>
      </c>
      <c r="E18239" s="4">
        <f>IFERROR(__xludf.DUMMYFUNCTION("""COMPUTED_VALUE"""),80.143794)</f>
        <v>80.143794</v>
      </c>
      <c r="F18239" s="4">
        <f>IFERROR(__xludf.DUMMYFUNCTION("""COMPUTED_VALUE"""),5339.0)</f>
        <v>5339</v>
      </c>
      <c r="G18239" s="4">
        <f>IFERROR(__xludf.DUMMYFUNCTION("""COMPUTED_VALUE"""),41.0)</f>
        <v>41</v>
      </c>
      <c r="H18239" s="4"/>
      <c r="I18239" s="4"/>
    </row>
    <row r="18240">
      <c r="A18240" s="4" t="str">
        <f>IFERROR(__xludf.DUMMYFUNCTION("""COMPUTED_VALUE"""),"cas_hmw")</f>
        <v>cas_hmw</v>
      </c>
      <c r="B18240" s="5">
        <f>IFERROR(__xludf.DUMMYFUNCTION("""COMPUTED_VALUE"""),44743.0)</f>
        <v>44743</v>
      </c>
      <c r="C18240" s="6">
        <f>IFERROR(__xludf.DUMMYFUNCTION("""COMPUTED_VALUE"""),0.33285879629693227)</f>
        <v>0.3328587963</v>
      </c>
      <c r="D18240" s="4">
        <f>IFERROR(__xludf.DUMMYFUNCTION("""COMPUTED_VALUE"""),13.007846)</f>
        <v>13.007846</v>
      </c>
      <c r="E18240" s="4">
        <f>IFERROR(__xludf.DUMMYFUNCTION("""COMPUTED_VALUE"""),80.207624)</f>
        <v>80.207624</v>
      </c>
      <c r="F18240" s="4">
        <f>IFERROR(__xludf.DUMMYFUNCTION("""COMPUTED_VALUE"""),805.0)</f>
        <v>805</v>
      </c>
      <c r="G18240" s="4">
        <f>IFERROR(__xludf.DUMMYFUNCTION("""COMPUTED_VALUE"""),56.0)</f>
        <v>56</v>
      </c>
      <c r="H18240" s="4"/>
      <c r="I18240" s="4"/>
    </row>
    <row r="18241">
      <c r="A18241" s="4" t="str">
        <f>IFERROR(__xludf.DUMMYFUNCTION("""COMPUTED_VALUE"""),"cas_hmw")</f>
        <v>cas_hmw</v>
      </c>
      <c r="B18241" s="5">
        <f>IFERROR(__xludf.DUMMYFUNCTION("""COMPUTED_VALUE"""),44743.0)</f>
        <v>44743</v>
      </c>
      <c r="C18241" s="6">
        <f>IFERROR(__xludf.DUMMYFUNCTION("""COMPUTED_VALUE"""),0.3331365740741603)</f>
        <v>0.3331365741</v>
      </c>
      <c r="D18241" s="4">
        <f>IFERROR(__xludf.DUMMYFUNCTION("""COMPUTED_VALUE"""),13.007462)</f>
        <v>13.007462</v>
      </c>
      <c r="E18241" s="4">
        <f>IFERROR(__xludf.DUMMYFUNCTION("""COMPUTED_VALUE"""),80.205674)</f>
        <v>80.205674</v>
      </c>
      <c r="F18241" s="4">
        <f>IFERROR(__xludf.DUMMYFUNCTION("""COMPUTED_VALUE"""),805.0)</f>
        <v>805</v>
      </c>
      <c r="G18241" s="4">
        <f>IFERROR(__xludf.DUMMYFUNCTION("""COMPUTED_VALUE"""),34.0)</f>
        <v>34</v>
      </c>
      <c r="H18241" s="4"/>
      <c r="I18241" s="4"/>
    </row>
    <row r="18242">
      <c r="A18242" s="4" t="str">
        <f>IFERROR(__xludf.DUMMYFUNCTION("""COMPUTED_VALUE"""),"cas_hmw")</f>
        <v>cas_hmw</v>
      </c>
      <c r="B18242" s="5">
        <f>IFERROR(__xludf.DUMMYFUNCTION("""COMPUTED_VALUE"""),44743.0)</f>
        <v>44743</v>
      </c>
      <c r="C18242" s="6">
        <f>IFERROR(__xludf.DUMMYFUNCTION("""COMPUTED_VALUE"""),0.3336805555554747)</f>
        <v>0.3336805556</v>
      </c>
      <c r="D18242" s="4">
        <f>IFERROR(__xludf.DUMMYFUNCTION("""COMPUTED_VALUE"""),12.76442)</f>
        <v>12.76442</v>
      </c>
      <c r="E18242" s="4">
        <f>IFERROR(__xludf.DUMMYFUNCTION("""COMPUTED_VALUE"""),80.004491)</f>
        <v>80.004491</v>
      </c>
      <c r="F18242" s="4">
        <f>IFERROR(__xludf.DUMMYFUNCTION("""COMPUTED_VALUE"""),2846.0)</f>
        <v>2846</v>
      </c>
      <c r="G18242" s="4">
        <f>IFERROR(__xludf.DUMMYFUNCTION("""COMPUTED_VALUE"""),44.0)</f>
        <v>44</v>
      </c>
      <c r="H18242" s="4"/>
      <c r="I18242" s="4"/>
    </row>
    <row r="18243">
      <c r="A18243" s="4" t="str">
        <f>IFERROR(__xludf.DUMMYFUNCTION("""COMPUTED_VALUE"""),"cas_hmw")</f>
        <v>cas_hmw</v>
      </c>
      <c r="B18243" s="5">
        <f>IFERROR(__xludf.DUMMYFUNCTION("""COMPUTED_VALUE"""),44743.0)</f>
        <v>44743</v>
      </c>
      <c r="C18243" s="6">
        <f>IFERROR(__xludf.DUMMYFUNCTION("""COMPUTED_VALUE"""),0.3336805555554747)</f>
        <v>0.3336805556</v>
      </c>
      <c r="D18243" s="4">
        <f>IFERROR(__xludf.DUMMYFUNCTION("""COMPUTED_VALUE"""),12.952513)</f>
        <v>12.952513</v>
      </c>
      <c r="E18243" s="4">
        <f>IFERROR(__xludf.DUMMYFUNCTION("""COMPUTED_VALUE"""),80.141126)</f>
        <v>80.141126</v>
      </c>
      <c r="F18243" s="4">
        <f>IFERROR(__xludf.DUMMYFUNCTION("""COMPUTED_VALUE"""),5339.0)</f>
        <v>5339</v>
      </c>
      <c r="G18243" s="4">
        <f>IFERROR(__xludf.DUMMYFUNCTION("""COMPUTED_VALUE"""),16.0)</f>
        <v>16</v>
      </c>
      <c r="H18243" s="4"/>
      <c r="I18243" s="4"/>
    </row>
    <row r="18244">
      <c r="A18244" s="4" t="str">
        <f>IFERROR(__xludf.DUMMYFUNCTION("""COMPUTED_VALUE"""),"cas_hmw")</f>
        <v>cas_hmw</v>
      </c>
      <c r="B18244" s="5">
        <f>IFERROR(__xludf.DUMMYFUNCTION("""COMPUTED_VALUE"""),44743.0)</f>
        <v>44743</v>
      </c>
      <c r="C18244" s="6">
        <f>IFERROR(__xludf.DUMMYFUNCTION("""COMPUTED_VALUE"""),0.3337152777785377)</f>
        <v>0.3337152778</v>
      </c>
      <c r="D18244" s="4">
        <f>IFERROR(__xludf.DUMMYFUNCTION("""COMPUTED_VALUE"""),12.952044)</f>
        <v>12.952044</v>
      </c>
      <c r="E18244" s="4">
        <f>IFERROR(__xludf.DUMMYFUNCTION("""COMPUTED_VALUE"""),80.140783)</f>
        <v>80.140783</v>
      </c>
      <c r="F18244" s="4">
        <f>IFERROR(__xludf.DUMMYFUNCTION("""COMPUTED_VALUE"""),5339.0)</f>
        <v>5339</v>
      </c>
      <c r="G18244" s="4">
        <f>IFERROR(__xludf.DUMMYFUNCTION("""COMPUTED_VALUE"""),28.0)</f>
        <v>28</v>
      </c>
      <c r="H18244" s="4"/>
      <c r="I18244" s="4"/>
    </row>
    <row r="18245">
      <c r="A18245" s="4" t="str">
        <f>IFERROR(__xludf.DUMMYFUNCTION("""COMPUTED_VALUE"""),"cas_hmw")</f>
        <v>cas_hmw</v>
      </c>
      <c r="B18245" s="5">
        <f>IFERROR(__xludf.DUMMYFUNCTION("""COMPUTED_VALUE"""),44743.0)</f>
        <v>44743</v>
      </c>
      <c r="C18245" s="6">
        <f>IFERROR(__xludf.DUMMYFUNCTION("""COMPUTED_VALUE"""),0.33381944444408873)</f>
        <v>0.3338194444</v>
      </c>
      <c r="D18245" s="4">
        <f>IFERROR(__xludf.DUMMYFUNCTION("""COMPUTED_VALUE"""),13.003478)</f>
        <v>13.003478</v>
      </c>
      <c r="E18245" s="4">
        <f>IFERROR(__xludf.DUMMYFUNCTION("""COMPUTED_VALUE"""),80.200887)</f>
        <v>80.200887</v>
      </c>
      <c r="F18245" s="4">
        <f>IFERROR(__xludf.DUMMYFUNCTION("""COMPUTED_VALUE"""),805.0)</f>
        <v>805</v>
      </c>
      <c r="G18245" s="4">
        <f>IFERROR(__xludf.DUMMYFUNCTION("""COMPUTED_VALUE"""),45.0)</f>
        <v>45</v>
      </c>
      <c r="H18245" s="4"/>
      <c r="I18245" s="4"/>
    </row>
    <row r="18246">
      <c r="A18246" s="4" t="str">
        <f>IFERROR(__xludf.DUMMYFUNCTION("""COMPUTED_VALUE"""),"cas_hmw")</f>
        <v>cas_hmw</v>
      </c>
      <c r="B18246" s="5">
        <f>IFERROR(__xludf.DUMMYFUNCTION("""COMPUTED_VALUE"""),44743.0)</f>
        <v>44743</v>
      </c>
      <c r="C18246" s="6">
        <f>IFERROR(__xludf.DUMMYFUNCTION("""COMPUTED_VALUE"""),0.33421296296364744)</f>
        <v>0.334212963</v>
      </c>
      <c r="D18246" s="4">
        <f>IFERROR(__xludf.DUMMYFUNCTION("""COMPUTED_VALUE"""),13.001769)</f>
        <v>13.001769</v>
      </c>
      <c r="E18246" s="4">
        <f>IFERROR(__xludf.DUMMYFUNCTION("""COMPUTED_VALUE"""),80.198707)</f>
        <v>80.198707</v>
      </c>
      <c r="F18246" s="4">
        <f>IFERROR(__xludf.DUMMYFUNCTION("""COMPUTED_VALUE"""),805.0)</f>
        <v>805</v>
      </c>
      <c r="G18246" s="4">
        <f>IFERROR(__xludf.DUMMYFUNCTION("""COMPUTED_VALUE"""),32.0)</f>
        <v>32</v>
      </c>
      <c r="H18246" s="4"/>
      <c r="I18246" s="4"/>
    </row>
    <row r="18247">
      <c r="A18247" s="4" t="str">
        <f>IFERROR(__xludf.DUMMYFUNCTION("""COMPUTED_VALUE"""),"cas_hmw")</f>
        <v>cas_hmw</v>
      </c>
      <c r="B18247" s="5">
        <f>IFERROR(__xludf.DUMMYFUNCTION("""COMPUTED_VALUE"""),44743.0)</f>
        <v>44743</v>
      </c>
      <c r="C18247" s="6">
        <f>IFERROR(__xludf.DUMMYFUNCTION("""COMPUTED_VALUE"""),0.3342361111099308)</f>
        <v>0.3342361111</v>
      </c>
      <c r="D18247" s="4">
        <f>IFERROR(__xludf.DUMMYFUNCTION("""COMPUTED_VALUE"""),12.950759)</f>
        <v>12.950759</v>
      </c>
      <c r="E18247" s="4">
        <f>IFERROR(__xludf.DUMMYFUNCTION("""COMPUTED_VALUE"""),80.13981)</f>
        <v>80.13981</v>
      </c>
      <c r="F18247" s="4">
        <f>IFERROR(__xludf.DUMMYFUNCTION("""COMPUTED_VALUE"""),5339.0)</f>
        <v>5339</v>
      </c>
      <c r="G18247" s="4">
        <f>IFERROR(__xludf.DUMMYFUNCTION("""COMPUTED_VALUE"""),18.0)</f>
        <v>18</v>
      </c>
      <c r="H18247" s="4"/>
      <c r="I18247" s="4"/>
    </row>
    <row r="18248">
      <c r="A18248" s="4" t="str">
        <f>IFERROR(__xludf.DUMMYFUNCTION("""COMPUTED_VALUE"""),"cas_hmw")</f>
        <v>cas_hmw</v>
      </c>
      <c r="B18248" s="5">
        <f>IFERROR(__xludf.DUMMYFUNCTION("""COMPUTED_VALUE"""),44743.0)</f>
        <v>44743</v>
      </c>
      <c r="C18248" s="6">
        <f>IFERROR(__xludf.DUMMYFUNCTION("""COMPUTED_VALUE"""),0.33436342592540313)</f>
        <v>0.3343634259</v>
      </c>
      <c r="D18248" s="4">
        <f>IFERROR(__xludf.DUMMYFUNCTION("""COMPUTED_VALUE"""),13.001769)</f>
        <v>13.001769</v>
      </c>
      <c r="E18248" s="4">
        <f>IFERROR(__xludf.DUMMYFUNCTION("""COMPUTED_VALUE"""),80.198707)</f>
        <v>80.198707</v>
      </c>
      <c r="F18248" s="4">
        <f>IFERROR(__xludf.DUMMYFUNCTION("""COMPUTED_VALUE"""),805.0)</f>
        <v>805</v>
      </c>
      <c r="G18248" s="4">
        <f>IFERROR(__xludf.DUMMYFUNCTION("""COMPUTED_VALUE"""),32.0)</f>
        <v>32</v>
      </c>
      <c r="H18248" s="4"/>
      <c r="I18248" s="4"/>
    </row>
    <row r="18249">
      <c r="A18249" s="4" t="str">
        <f>IFERROR(__xludf.DUMMYFUNCTION("""COMPUTED_VALUE"""),"cas_hmw")</f>
        <v>cas_hmw</v>
      </c>
      <c r="B18249" s="5">
        <f>IFERROR(__xludf.DUMMYFUNCTION("""COMPUTED_VALUE"""),44743.0)</f>
        <v>44743</v>
      </c>
      <c r="C18249" s="6">
        <f>IFERROR(__xludf.DUMMYFUNCTION("""COMPUTED_VALUE"""),0.33468749999883585)</f>
        <v>0.3346875</v>
      </c>
      <c r="D18249" s="4">
        <f>IFERROR(__xludf.DUMMYFUNCTION("""COMPUTED_VALUE"""),13.001024)</f>
        <v>13.001024</v>
      </c>
      <c r="E18249" s="4">
        <f>IFERROR(__xludf.DUMMYFUNCTION("""COMPUTED_VALUE"""),80.19561)</f>
        <v>80.19561</v>
      </c>
      <c r="F18249" s="4">
        <f>IFERROR(__xludf.DUMMYFUNCTION("""COMPUTED_VALUE"""),805.0)</f>
        <v>805</v>
      </c>
      <c r="G18249" s="4">
        <f>IFERROR(__xludf.DUMMYFUNCTION("""COMPUTED_VALUE"""),43.0)</f>
        <v>43</v>
      </c>
      <c r="H18249" s="4"/>
      <c r="I18249" s="4"/>
    </row>
    <row r="18250">
      <c r="A18250" s="4" t="str">
        <f>IFERROR(__xludf.DUMMYFUNCTION("""COMPUTED_VALUE"""),"cas_hmw")</f>
        <v>cas_hmw</v>
      </c>
      <c r="B18250" s="5">
        <f>IFERROR(__xludf.DUMMYFUNCTION("""COMPUTED_VALUE"""),44743.0)</f>
        <v>44743</v>
      </c>
      <c r="C18250" s="6">
        <f>IFERROR(__xludf.DUMMYFUNCTION("""COMPUTED_VALUE"""),0.3347337962950405)</f>
        <v>0.3347337963</v>
      </c>
      <c r="D18250" s="4">
        <f>IFERROR(__xludf.DUMMYFUNCTION("""COMPUTED_VALUE"""),12.947076)</f>
        <v>12.947076</v>
      </c>
      <c r="E18250" s="4">
        <f>IFERROR(__xludf.DUMMYFUNCTION("""COMPUTED_VALUE"""),80.136981)</f>
        <v>80.136981</v>
      </c>
      <c r="F18250" s="4">
        <f>IFERROR(__xludf.DUMMYFUNCTION("""COMPUTED_VALUE"""),5339.0)</f>
        <v>5339</v>
      </c>
      <c r="G18250" s="4">
        <f>IFERROR(__xludf.DUMMYFUNCTION("""COMPUTED_VALUE"""),43.0)</f>
        <v>43</v>
      </c>
      <c r="H18250" s="4"/>
      <c r="I18250" s="4"/>
    </row>
    <row r="18251">
      <c r="A18251" s="4" t="str">
        <f>IFERROR(__xludf.DUMMYFUNCTION("""COMPUTED_VALUE"""),"cas_hmw")</f>
        <v>cas_hmw</v>
      </c>
      <c r="B18251" s="5">
        <f>IFERROR(__xludf.DUMMYFUNCTION("""COMPUTED_VALUE"""),44743.0)</f>
        <v>44743</v>
      </c>
      <c r="C18251" s="6">
        <f>IFERROR(__xludf.DUMMYFUNCTION("""COMPUTED_VALUE"""),0.3357523148151813)</f>
        <v>0.3357523148</v>
      </c>
      <c r="D18251" s="4">
        <f>IFERROR(__xludf.DUMMYFUNCTION("""COMPUTED_VALUE"""),12.941196)</f>
        <v>12.941196</v>
      </c>
      <c r="E18251" s="4">
        <f>IFERROR(__xludf.DUMMYFUNCTION("""COMPUTED_VALUE"""),80.131819)</f>
        <v>80.131819</v>
      </c>
      <c r="F18251" s="4">
        <f>IFERROR(__xludf.DUMMYFUNCTION("""COMPUTED_VALUE"""),5339.0)</f>
        <v>5339</v>
      </c>
      <c r="G18251" s="4">
        <f>IFERROR(__xludf.DUMMYFUNCTION("""COMPUTED_VALUE"""),35.0)</f>
        <v>35</v>
      </c>
      <c r="H18251" s="4"/>
      <c r="I18251" s="4"/>
    </row>
    <row r="18252">
      <c r="A18252" s="4" t="str">
        <f>IFERROR(__xludf.DUMMYFUNCTION("""COMPUTED_VALUE"""),"cas_hmw")</f>
        <v>cas_hmw</v>
      </c>
      <c r="B18252" s="5">
        <f>IFERROR(__xludf.DUMMYFUNCTION("""COMPUTED_VALUE"""),44743.0)</f>
        <v>44743</v>
      </c>
      <c r="C18252" s="6">
        <f>IFERROR(__xludf.DUMMYFUNCTION("""COMPUTED_VALUE"""),0.335833333334449)</f>
        <v>0.3358333333</v>
      </c>
      <c r="D18252" s="4">
        <f>IFERROR(__xludf.DUMMYFUNCTION("""COMPUTED_VALUE"""),12.940499)</f>
        <v>12.940499</v>
      </c>
      <c r="E18252" s="4">
        <f>IFERROR(__xludf.DUMMYFUNCTION("""COMPUTED_VALUE"""),80.131117)</f>
        <v>80.131117</v>
      </c>
      <c r="F18252" s="4">
        <f>IFERROR(__xludf.DUMMYFUNCTION("""COMPUTED_VALUE"""),5339.0)</f>
        <v>5339</v>
      </c>
      <c r="G18252" s="4">
        <f>IFERROR(__xludf.DUMMYFUNCTION("""COMPUTED_VALUE"""),40.0)</f>
        <v>40</v>
      </c>
      <c r="H18252" s="4"/>
      <c r="I18252" s="4"/>
    </row>
    <row r="18253">
      <c r="A18253" s="4" t="str">
        <f>IFERROR(__xludf.DUMMYFUNCTION("""COMPUTED_VALUE"""),"cas_hmw")</f>
        <v>cas_hmw</v>
      </c>
      <c r="B18253" s="5">
        <f>IFERROR(__xludf.DUMMYFUNCTION("""COMPUTED_VALUE"""),44743.0)</f>
        <v>44743</v>
      </c>
      <c r="C18253" s="6">
        <f>IFERROR(__xludf.DUMMYFUNCTION("""COMPUTED_VALUE"""),0.3359606481499213)</f>
        <v>0.3359606481</v>
      </c>
      <c r="D18253" s="4">
        <f>IFERROR(__xludf.DUMMYFUNCTION("""COMPUTED_VALUE"""),12.93983)</f>
        <v>12.93983</v>
      </c>
      <c r="E18253" s="4">
        <f>IFERROR(__xludf.DUMMYFUNCTION("""COMPUTED_VALUE"""),80.130467)</f>
        <v>80.130467</v>
      </c>
      <c r="F18253" s="4">
        <f>IFERROR(__xludf.DUMMYFUNCTION("""COMPUTED_VALUE"""),5339.0)</f>
        <v>5339</v>
      </c>
      <c r="G18253" s="4">
        <f>IFERROR(__xludf.DUMMYFUNCTION("""COMPUTED_VALUE"""),36.0)</f>
        <v>36</v>
      </c>
      <c r="H18253" s="4"/>
      <c r="I18253" s="4"/>
    </row>
    <row r="18254">
      <c r="A18254" s="4" t="str">
        <f>IFERROR(__xludf.DUMMYFUNCTION("""COMPUTED_VALUE"""),"cas_hmw")</f>
        <v>cas_hmw</v>
      </c>
      <c r="B18254" s="5">
        <f>IFERROR(__xludf.DUMMYFUNCTION("""COMPUTED_VALUE"""),44743.0)</f>
        <v>44743</v>
      </c>
      <c r="C18254" s="6">
        <f>IFERROR(__xludf.DUMMYFUNCTION("""COMPUTED_VALUE"""),0.33609953703853535)</f>
        <v>0.336099537</v>
      </c>
      <c r="D18254" s="4">
        <f>IFERROR(__xludf.DUMMYFUNCTION("""COMPUTED_VALUE"""),12.939094)</f>
        <v>12.939094</v>
      </c>
      <c r="E18254" s="4">
        <f>IFERROR(__xludf.DUMMYFUNCTION("""COMPUTED_VALUE"""),80.129825)</f>
        <v>80.129825</v>
      </c>
      <c r="F18254" s="4">
        <f>IFERROR(__xludf.DUMMYFUNCTION("""COMPUTED_VALUE"""),5339.0)</f>
        <v>5339</v>
      </c>
      <c r="G18254" s="4">
        <f>IFERROR(__xludf.DUMMYFUNCTION("""COMPUTED_VALUE"""),42.0)</f>
        <v>42</v>
      </c>
      <c r="H18254" s="4"/>
      <c r="I18254" s="4"/>
    </row>
    <row r="18255">
      <c r="A18255" s="4" t="str">
        <f>IFERROR(__xludf.DUMMYFUNCTION("""COMPUTED_VALUE"""),"cas_hmw")</f>
        <v>cas_hmw</v>
      </c>
      <c r="B18255" s="5">
        <f>IFERROR(__xludf.DUMMYFUNCTION("""COMPUTED_VALUE"""),44743.0)</f>
        <v>44743</v>
      </c>
      <c r="C18255" s="6">
        <f>IFERROR(__xludf.DUMMYFUNCTION("""COMPUTED_VALUE"""),0.3362268518503697)</f>
        <v>0.3362268519</v>
      </c>
      <c r="D18255" s="4">
        <f>IFERROR(__xludf.DUMMYFUNCTION("""COMPUTED_VALUE"""),12.938311)</f>
        <v>12.938311</v>
      </c>
      <c r="E18255" s="4">
        <f>IFERROR(__xludf.DUMMYFUNCTION("""COMPUTED_VALUE"""),80.129101)</f>
        <v>80.129101</v>
      </c>
      <c r="F18255" s="4">
        <f>IFERROR(__xludf.DUMMYFUNCTION("""COMPUTED_VALUE"""),5339.0)</f>
        <v>5339</v>
      </c>
      <c r="G18255" s="4">
        <f>IFERROR(__xludf.DUMMYFUNCTION("""COMPUTED_VALUE"""),33.0)</f>
        <v>33</v>
      </c>
      <c r="H18255" s="4"/>
      <c r="I18255" s="4"/>
    </row>
    <row r="18256">
      <c r="A18256" s="4" t="str">
        <f>IFERROR(__xludf.DUMMYFUNCTION("""COMPUTED_VALUE"""),"cas_hmw")</f>
        <v>cas_hmw</v>
      </c>
      <c r="B18256" s="5">
        <f>IFERROR(__xludf.DUMMYFUNCTION("""COMPUTED_VALUE"""),44743.0)</f>
        <v>44743</v>
      </c>
      <c r="C18256" s="6">
        <f>IFERROR(__xludf.DUMMYFUNCTION("""COMPUTED_VALUE"""),0.33625000000029104)</f>
        <v>0.33625</v>
      </c>
      <c r="D18256" s="4">
        <f>IFERROR(__xludf.DUMMYFUNCTION("""COMPUTED_VALUE"""),12.994088)</f>
        <v>12.994088</v>
      </c>
      <c r="E18256" s="4">
        <f>IFERROR(__xludf.DUMMYFUNCTION("""COMPUTED_VALUE"""),80.185802)</f>
        <v>80.185802</v>
      </c>
      <c r="F18256" s="4">
        <f>IFERROR(__xludf.DUMMYFUNCTION("""COMPUTED_VALUE"""),805.0)</f>
        <v>805</v>
      </c>
      <c r="G18256" s="4">
        <f>IFERROR(__xludf.DUMMYFUNCTION("""COMPUTED_VALUE"""),16.0)</f>
        <v>16</v>
      </c>
      <c r="H18256" s="4"/>
      <c r="I18256" s="4"/>
    </row>
    <row r="18257">
      <c r="A18257" s="4" t="str">
        <f>IFERROR(__xludf.DUMMYFUNCTION("""COMPUTED_VALUE"""),"cas_hmw")</f>
        <v>cas_hmw</v>
      </c>
      <c r="B18257" s="5">
        <f>IFERROR(__xludf.DUMMYFUNCTION("""COMPUTED_VALUE"""),44743.0)</f>
        <v>44743</v>
      </c>
      <c r="C18257" s="6">
        <f>IFERROR(__xludf.DUMMYFUNCTION("""COMPUTED_VALUE"""),0.3364814814813144)</f>
        <v>0.3364814815</v>
      </c>
      <c r="D18257" s="4">
        <f>IFERROR(__xludf.DUMMYFUNCTION("""COMPUTED_VALUE"""),12.993584)</f>
        <v>12.993584</v>
      </c>
      <c r="E18257" s="4">
        <f>IFERROR(__xludf.DUMMYFUNCTION("""COMPUTED_VALUE"""),80.184848)</f>
        <v>80.184848</v>
      </c>
      <c r="F18257" s="4">
        <f>IFERROR(__xludf.DUMMYFUNCTION("""COMPUTED_VALUE"""),805.0)</f>
        <v>805</v>
      </c>
      <c r="G18257" s="4">
        <f>IFERROR(__xludf.DUMMYFUNCTION("""COMPUTED_VALUE"""),31.0)</f>
        <v>31</v>
      </c>
      <c r="H18257" s="4"/>
      <c r="I18257" s="4"/>
    </row>
    <row r="18258">
      <c r="A18258" s="4" t="str">
        <f>IFERROR(__xludf.DUMMYFUNCTION("""COMPUTED_VALUE"""),"cas_hmw")</f>
        <v>cas_hmw</v>
      </c>
      <c r="B18258" s="5">
        <f>IFERROR(__xludf.DUMMYFUNCTION("""COMPUTED_VALUE"""),44743.0)</f>
        <v>44743</v>
      </c>
      <c r="C18258" s="6">
        <f>IFERROR(__xludf.DUMMYFUNCTION("""COMPUTED_VALUE"""),0.33701388888948713)</f>
        <v>0.3370138889</v>
      </c>
      <c r="D18258" s="4">
        <f>IFERROR(__xludf.DUMMYFUNCTION("""COMPUTED_VALUE"""),12.933782)</f>
        <v>12.933782</v>
      </c>
      <c r="E18258" s="4">
        <f>IFERROR(__xludf.DUMMYFUNCTION("""COMPUTED_VALUE"""),80.125014)</f>
        <v>80.125014</v>
      </c>
      <c r="F18258" s="4">
        <f>IFERROR(__xludf.DUMMYFUNCTION("""COMPUTED_VALUE"""),5339.0)</f>
        <v>5339</v>
      </c>
      <c r="G18258" s="4">
        <f>IFERROR(__xludf.DUMMYFUNCTION("""COMPUTED_VALUE"""),48.0)</f>
        <v>48</v>
      </c>
      <c r="H18258" s="4"/>
      <c r="I18258" s="4"/>
    </row>
    <row r="18259">
      <c r="A18259" s="4" t="str">
        <f>IFERROR(__xludf.DUMMYFUNCTION("""COMPUTED_VALUE"""),"cas_hmw")</f>
        <v>cas_hmw</v>
      </c>
      <c r="B18259" s="5">
        <f>IFERROR(__xludf.DUMMYFUNCTION("""COMPUTED_VALUE"""),44743.0)</f>
        <v>44743</v>
      </c>
      <c r="C18259" s="6">
        <f>IFERROR(__xludf.DUMMYFUNCTION("""COMPUTED_VALUE"""),0.3375694444439432)</f>
        <v>0.3375694444</v>
      </c>
      <c r="D18259" s="4">
        <f>IFERROR(__xludf.DUMMYFUNCTION("""COMPUTED_VALUE"""),12.931252)</f>
        <v>12.931252</v>
      </c>
      <c r="E18259" s="4">
        <f>IFERROR(__xludf.DUMMYFUNCTION("""COMPUTED_VALUE"""),80.122579)</f>
        <v>80.122579</v>
      </c>
      <c r="F18259" s="4">
        <f>IFERROR(__xludf.DUMMYFUNCTION("""COMPUTED_VALUE"""),5339.0)</f>
        <v>5339</v>
      </c>
      <c r="G18259" s="4">
        <f>IFERROR(__xludf.DUMMYFUNCTION("""COMPUTED_VALUE"""),24.0)</f>
        <v>24</v>
      </c>
      <c r="H18259" s="4"/>
      <c r="I18259" s="4"/>
    </row>
    <row r="18260">
      <c r="A18260" s="4" t="str">
        <f>IFERROR(__xludf.DUMMYFUNCTION("""COMPUTED_VALUE"""),"cas_hmw")</f>
        <v>cas_hmw</v>
      </c>
      <c r="B18260" s="5">
        <f>IFERROR(__xludf.DUMMYFUNCTION("""COMPUTED_VALUE"""),44743.0)</f>
        <v>44743</v>
      </c>
      <c r="C18260" s="6">
        <f>IFERROR(__xludf.DUMMYFUNCTION("""COMPUTED_VALUE"""),0.33766203703635256)</f>
        <v>0.337662037</v>
      </c>
      <c r="D18260" s="4">
        <f>IFERROR(__xludf.DUMMYFUNCTION("""COMPUTED_VALUE"""),12.930753)</f>
        <v>12.930753</v>
      </c>
      <c r="E18260" s="4">
        <f>IFERROR(__xludf.DUMMYFUNCTION("""COMPUTED_VALUE"""),80.122036)</f>
        <v>80.122036</v>
      </c>
      <c r="F18260" s="4">
        <f>IFERROR(__xludf.DUMMYFUNCTION("""COMPUTED_VALUE"""),5339.0)</f>
        <v>5339</v>
      </c>
      <c r="G18260" s="4">
        <f>IFERROR(__xludf.DUMMYFUNCTION("""COMPUTED_VALUE"""),32.0)</f>
        <v>32</v>
      </c>
      <c r="H18260" s="4"/>
      <c r="I18260" s="4"/>
    </row>
    <row r="18261">
      <c r="A18261" s="4" t="str">
        <f>IFERROR(__xludf.DUMMYFUNCTION("""COMPUTED_VALUE"""),"cas_hmw")</f>
        <v>cas_hmw</v>
      </c>
      <c r="B18261" s="5">
        <f>IFERROR(__xludf.DUMMYFUNCTION("""COMPUTED_VALUE"""),44743.0)</f>
        <v>44743</v>
      </c>
      <c r="C18261" s="6">
        <f>IFERROR(__xludf.DUMMYFUNCTION("""COMPUTED_VALUE"""),0.33774305555562023)</f>
        <v>0.3377430556</v>
      </c>
      <c r="D18261" s="4">
        <f>IFERROR(__xludf.DUMMYFUNCTION("""COMPUTED_VALUE"""),12.930062)</f>
        <v>12.930062</v>
      </c>
      <c r="E18261" s="4">
        <f>IFERROR(__xludf.DUMMYFUNCTION("""COMPUTED_VALUE"""),80.121363)</f>
        <v>80.121363</v>
      </c>
      <c r="F18261" s="4">
        <f>IFERROR(__xludf.DUMMYFUNCTION("""COMPUTED_VALUE"""),5339.0)</f>
        <v>5339</v>
      </c>
      <c r="G18261" s="4">
        <f>IFERROR(__xludf.DUMMYFUNCTION("""COMPUTED_VALUE"""),43.0)</f>
        <v>43</v>
      </c>
      <c r="H18261" s="4"/>
      <c r="I18261" s="4"/>
    </row>
    <row r="18262">
      <c r="A18262" s="4" t="str">
        <f>IFERROR(__xludf.DUMMYFUNCTION("""COMPUTED_VALUE"""),"cas_hmw")</f>
        <v>cas_hmw</v>
      </c>
      <c r="B18262" s="5">
        <f>IFERROR(__xludf.DUMMYFUNCTION("""COMPUTED_VALUE"""),44743.0)</f>
        <v>44743</v>
      </c>
      <c r="C18262" s="6">
        <f>IFERROR(__xludf.DUMMYFUNCTION("""COMPUTED_VALUE"""),0.3377546296287619)</f>
        <v>0.3377546296</v>
      </c>
      <c r="D18262" s="4">
        <f>IFERROR(__xludf.DUMMYFUNCTION("""COMPUTED_VALUE"""),12.989289)</f>
        <v>12.989289</v>
      </c>
      <c r="E18262" s="4">
        <f>IFERROR(__xludf.DUMMYFUNCTION("""COMPUTED_VALUE"""),80.178742)</f>
        <v>80.178742</v>
      </c>
      <c r="F18262" s="4">
        <f>IFERROR(__xludf.DUMMYFUNCTION("""COMPUTED_VALUE"""),805.0)</f>
        <v>805</v>
      </c>
      <c r="G18262" s="4">
        <f>IFERROR(__xludf.DUMMYFUNCTION("""COMPUTED_VALUE"""),28.0)</f>
        <v>28</v>
      </c>
      <c r="H18262" s="4"/>
      <c r="I18262" s="4"/>
    </row>
    <row r="18263">
      <c r="A18263" s="4" t="str">
        <f>IFERROR(__xludf.DUMMYFUNCTION("""COMPUTED_VALUE"""),"cas_hmw")</f>
        <v>cas_hmw</v>
      </c>
      <c r="B18263" s="5">
        <f>IFERROR(__xludf.DUMMYFUNCTION("""COMPUTED_VALUE"""),44743.0)</f>
        <v>44743</v>
      </c>
      <c r="C18263" s="6">
        <f>IFERROR(__xludf.DUMMYFUNCTION("""COMPUTED_VALUE"""),0.33777777777868323)</f>
        <v>0.3377777778</v>
      </c>
      <c r="D18263" s="4">
        <f>IFERROR(__xludf.DUMMYFUNCTION("""COMPUTED_VALUE"""),12.989289)</f>
        <v>12.989289</v>
      </c>
      <c r="E18263" s="4">
        <f>IFERROR(__xludf.DUMMYFUNCTION("""COMPUTED_VALUE"""),80.178742)</f>
        <v>80.178742</v>
      </c>
      <c r="F18263" s="4">
        <f>IFERROR(__xludf.DUMMYFUNCTION("""COMPUTED_VALUE"""),805.0)</f>
        <v>805</v>
      </c>
      <c r="G18263" s="4">
        <f>IFERROR(__xludf.DUMMYFUNCTION("""COMPUTED_VALUE"""),28.0)</f>
        <v>28</v>
      </c>
      <c r="H18263" s="4"/>
      <c r="I18263" s="4"/>
    </row>
    <row r="18264">
      <c r="A18264" s="4" t="str">
        <f>IFERROR(__xludf.DUMMYFUNCTION("""COMPUTED_VALUE"""),"cas_hmw")</f>
        <v>cas_hmw</v>
      </c>
      <c r="B18264" s="5">
        <f>IFERROR(__xludf.DUMMYFUNCTION("""COMPUTED_VALUE"""),44743.0)</f>
        <v>44743</v>
      </c>
      <c r="C18264" s="6">
        <f>IFERROR(__xludf.DUMMYFUNCTION("""COMPUTED_VALUE"""),0.3378240740748879)</f>
        <v>0.3378240741</v>
      </c>
      <c r="D18264" s="4">
        <f>IFERROR(__xludf.DUMMYFUNCTION("""COMPUTED_VALUE"""),12.98831)</f>
        <v>12.98831</v>
      </c>
      <c r="E18264" s="4">
        <f>IFERROR(__xludf.DUMMYFUNCTION("""COMPUTED_VALUE"""),80.177451)</f>
        <v>80.177451</v>
      </c>
      <c r="F18264" s="4">
        <f>IFERROR(__xludf.DUMMYFUNCTION("""COMPUTED_VALUE"""),805.0)</f>
        <v>805</v>
      </c>
      <c r="G18264" s="4">
        <f>IFERROR(__xludf.DUMMYFUNCTION("""COMPUTED_VALUE"""),51.0)</f>
        <v>51</v>
      </c>
      <c r="H18264" s="4"/>
      <c r="I18264" s="4"/>
    </row>
    <row r="18265">
      <c r="A18265" s="4" t="str">
        <f>IFERROR(__xludf.DUMMYFUNCTION("""COMPUTED_VALUE"""),"cas_hmw")</f>
        <v>cas_hmw</v>
      </c>
      <c r="B18265" s="5">
        <f>IFERROR(__xludf.DUMMYFUNCTION("""COMPUTED_VALUE"""),44743.0)</f>
        <v>44743</v>
      </c>
      <c r="C18265" s="6">
        <f>IFERROR(__xludf.DUMMYFUNCTION("""COMPUTED_VALUE"""),0.3384722222217533)</f>
        <v>0.3384722222</v>
      </c>
      <c r="D18265" s="4">
        <f>IFERROR(__xludf.DUMMYFUNCTION("""COMPUTED_VALUE"""),12.986525)</f>
        <v>12.986525</v>
      </c>
      <c r="E18265" s="4">
        <f>IFERROR(__xludf.DUMMYFUNCTION("""COMPUTED_VALUE"""),80.174982)</f>
        <v>80.174982</v>
      </c>
      <c r="F18265" s="4">
        <f>IFERROR(__xludf.DUMMYFUNCTION("""COMPUTED_VALUE"""),805.0)</f>
        <v>805</v>
      </c>
      <c r="G18265" s="4">
        <f>IFERROR(__xludf.DUMMYFUNCTION("""COMPUTED_VALUE"""),7.0)</f>
        <v>7</v>
      </c>
      <c r="H18265" s="4"/>
      <c r="I18265" s="4"/>
    </row>
    <row r="18266">
      <c r="A18266" s="4" t="str">
        <f>IFERROR(__xludf.DUMMYFUNCTION("""COMPUTED_VALUE"""),"cas_hmw")</f>
        <v>cas_hmw</v>
      </c>
      <c r="B18266" s="5">
        <f>IFERROR(__xludf.DUMMYFUNCTION("""COMPUTED_VALUE"""),44743.0)</f>
        <v>44743</v>
      </c>
      <c r="C18266" s="6">
        <f>IFERROR(__xludf.DUMMYFUNCTION("""COMPUTED_VALUE"""),0.33890046296437504)</f>
        <v>0.338900463</v>
      </c>
      <c r="D18266" s="4">
        <f>IFERROR(__xludf.DUMMYFUNCTION("""COMPUTED_VALUE"""),12.983586)</f>
        <v>12.983586</v>
      </c>
      <c r="E18266" s="4">
        <f>IFERROR(__xludf.DUMMYFUNCTION("""COMPUTED_VALUE"""),80.170407)</f>
        <v>80.170407</v>
      </c>
      <c r="F18266" s="4">
        <f>IFERROR(__xludf.DUMMYFUNCTION("""COMPUTED_VALUE"""),805.0)</f>
        <v>805</v>
      </c>
      <c r="G18266" s="4">
        <f>IFERROR(__xludf.DUMMYFUNCTION("""COMPUTED_VALUE"""),55.0)</f>
        <v>55</v>
      </c>
      <c r="H18266" s="4"/>
      <c r="I18266" s="4"/>
    </row>
    <row r="18267">
      <c r="A18267" s="4" t="str">
        <f>IFERROR(__xludf.DUMMYFUNCTION("""COMPUTED_VALUE"""),"cas_hmw")</f>
        <v>cas_hmw</v>
      </c>
      <c r="B18267" s="5">
        <f>IFERROR(__xludf.DUMMYFUNCTION("""COMPUTED_VALUE"""),44743.0)</f>
        <v>44743</v>
      </c>
      <c r="C18267" s="6">
        <f>IFERROR(__xludf.DUMMYFUNCTION("""COMPUTED_VALUE"""),0.3389583333337214)</f>
        <v>0.3389583333</v>
      </c>
      <c r="D18267" s="4">
        <f>IFERROR(__xludf.DUMMYFUNCTION("""COMPUTED_VALUE"""),12.923229)</f>
        <v>12.923229</v>
      </c>
      <c r="E18267" s="4">
        <f>IFERROR(__xludf.DUMMYFUNCTION("""COMPUTED_VALUE"""),80.11439)</f>
        <v>80.11439</v>
      </c>
      <c r="F18267" s="4">
        <f>IFERROR(__xludf.DUMMYFUNCTION("""COMPUTED_VALUE"""),5339.0)</f>
        <v>5339</v>
      </c>
      <c r="G18267" s="4">
        <f>IFERROR(__xludf.DUMMYFUNCTION("""COMPUTED_VALUE"""),13.0)</f>
        <v>13</v>
      </c>
      <c r="H18267" s="4"/>
      <c r="I18267" s="4"/>
    </row>
    <row r="18268">
      <c r="A18268" s="4" t="str">
        <f>IFERROR(__xludf.DUMMYFUNCTION("""COMPUTED_VALUE"""),"cas_hmw")</f>
        <v>cas_hmw</v>
      </c>
      <c r="B18268" s="5">
        <f>IFERROR(__xludf.DUMMYFUNCTION("""COMPUTED_VALUE"""),44743.0)</f>
        <v>44743</v>
      </c>
      <c r="C18268" s="6">
        <f>IFERROR(__xludf.DUMMYFUNCTION("""COMPUTED_VALUE"""),0.33896990740686306)</f>
        <v>0.3389699074</v>
      </c>
      <c r="D18268" s="4">
        <f>IFERROR(__xludf.DUMMYFUNCTION("""COMPUTED_VALUE"""),12.923229)</f>
        <v>12.923229</v>
      </c>
      <c r="E18268" s="4">
        <f>IFERROR(__xludf.DUMMYFUNCTION("""COMPUTED_VALUE"""),80.11439)</f>
        <v>80.11439</v>
      </c>
      <c r="F18268" s="4">
        <f>IFERROR(__xludf.DUMMYFUNCTION("""COMPUTED_VALUE"""),5339.0)</f>
        <v>5339</v>
      </c>
      <c r="G18268" s="4">
        <f>IFERROR(__xludf.DUMMYFUNCTION("""COMPUTED_VALUE"""),13.0)</f>
        <v>13</v>
      </c>
      <c r="H18268" s="4"/>
      <c r="I18268" s="4"/>
    </row>
    <row r="18269">
      <c r="A18269" s="4" t="str">
        <f>IFERROR(__xludf.DUMMYFUNCTION("""COMPUTED_VALUE"""),"cas_hmw")</f>
        <v>cas_hmw</v>
      </c>
      <c r="B18269" s="5">
        <f>IFERROR(__xludf.DUMMYFUNCTION("""COMPUTED_VALUE"""),44743.0)</f>
        <v>44743</v>
      </c>
      <c r="C18269" s="6">
        <f>IFERROR(__xludf.DUMMYFUNCTION("""COMPUTED_VALUE"""),0.33898148148000473)</f>
        <v>0.3389814815</v>
      </c>
      <c r="D18269" s="4">
        <f>IFERROR(__xludf.DUMMYFUNCTION("""COMPUTED_VALUE"""),12.923229)</f>
        <v>12.923229</v>
      </c>
      <c r="E18269" s="4">
        <f>IFERROR(__xludf.DUMMYFUNCTION("""COMPUTED_VALUE"""),80.11439)</f>
        <v>80.11439</v>
      </c>
      <c r="F18269" s="4">
        <f>IFERROR(__xludf.DUMMYFUNCTION("""COMPUTED_VALUE"""),5339.0)</f>
        <v>5339</v>
      </c>
      <c r="G18269" s="4">
        <f>IFERROR(__xludf.DUMMYFUNCTION("""COMPUTED_VALUE"""),13.0)</f>
        <v>13</v>
      </c>
      <c r="H18269" s="4"/>
      <c r="I18269" s="4"/>
    </row>
    <row r="18270">
      <c r="A18270" s="4" t="str">
        <f>IFERROR(__xludf.DUMMYFUNCTION("""COMPUTED_VALUE"""),"cas_hmw")</f>
        <v>cas_hmw</v>
      </c>
      <c r="B18270" s="5">
        <f>IFERROR(__xludf.DUMMYFUNCTION("""COMPUTED_VALUE"""),44743.0)</f>
        <v>44743</v>
      </c>
      <c r="C18270" s="6">
        <f>IFERROR(__xludf.DUMMYFUNCTION("""COMPUTED_VALUE"""),0.33925925926087075)</f>
        <v>0.3392592593</v>
      </c>
      <c r="D18270" s="4">
        <f>IFERROR(__xludf.DUMMYFUNCTION("""COMPUTED_VALUE"""),12.921263)</f>
        <v>12.921263</v>
      </c>
      <c r="E18270" s="4">
        <f>IFERROR(__xludf.DUMMYFUNCTION("""COMPUTED_VALUE"""),80.112408)</f>
        <v>80.112408</v>
      </c>
      <c r="F18270" s="4">
        <f>IFERROR(__xludf.DUMMYFUNCTION("""COMPUTED_VALUE"""),5339.0)</f>
        <v>5339</v>
      </c>
      <c r="G18270" s="4">
        <f>IFERROR(__xludf.DUMMYFUNCTION("""COMPUTED_VALUE"""),49.0)</f>
        <v>49</v>
      </c>
      <c r="H18270" s="4"/>
      <c r="I18270" s="4"/>
    </row>
    <row r="18271">
      <c r="A18271" s="4" t="str">
        <f>IFERROR(__xludf.DUMMYFUNCTION("""COMPUTED_VALUE"""),"cas_hmw")</f>
        <v>cas_hmw</v>
      </c>
      <c r="B18271" s="5">
        <f>IFERROR(__xludf.DUMMYFUNCTION("""COMPUTED_VALUE"""),44743.0)</f>
        <v>44743</v>
      </c>
      <c r="C18271" s="6">
        <f>IFERROR(__xludf.DUMMYFUNCTION("""COMPUTED_VALUE"""),0.34064814814701094)</f>
        <v>0.3406481481</v>
      </c>
      <c r="D18271" s="4">
        <f>IFERROR(__xludf.DUMMYFUNCTION("""COMPUTED_VALUE"""),12.913381)</f>
        <v>12.913381</v>
      </c>
      <c r="E18271" s="4">
        <f>IFERROR(__xludf.DUMMYFUNCTION("""COMPUTED_VALUE"""),80.101639)</f>
        <v>80.101639</v>
      </c>
      <c r="F18271" s="4">
        <f>IFERROR(__xludf.DUMMYFUNCTION("""COMPUTED_VALUE"""),5339.0)</f>
        <v>5339</v>
      </c>
      <c r="G18271" s="4">
        <f>IFERROR(__xludf.DUMMYFUNCTION("""COMPUTED_VALUE"""),43.0)</f>
        <v>43</v>
      </c>
      <c r="H18271" s="4"/>
      <c r="I18271" s="4"/>
    </row>
    <row r="18272">
      <c r="A18272" s="4" t="str">
        <f>IFERROR(__xludf.DUMMYFUNCTION("""COMPUTED_VALUE"""),"cas_hmw")</f>
        <v>cas_hmw</v>
      </c>
      <c r="B18272" s="5">
        <f>IFERROR(__xludf.DUMMYFUNCTION("""COMPUTED_VALUE"""),44743.0)</f>
        <v>44743</v>
      </c>
      <c r="C18272" s="6">
        <f>IFERROR(__xludf.DUMMYFUNCTION("""COMPUTED_VALUE"""),0.34071759259313694)</f>
        <v>0.3407175926</v>
      </c>
      <c r="D18272" s="4">
        <f>IFERROR(__xludf.DUMMYFUNCTION("""COMPUTED_VALUE"""),12.913381)</f>
        <v>12.913381</v>
      </c>
      <c r="E18272" s="4">
        <f>IFERROR(__xludf.DUMMYFUNCTION("""COMPUTED_VALUE"""),80.101639)</f>
        <v>80.101639</v>
      </c>
      <c r="F18272" s="4">
        <f>IFERROR(__xludf.DUMMYFUNCTION("""COMPUTED_VALUE"""),5339.0)</f>
        <v>5339</v>
      </c>
      <c r="G18272" s="4">
        <f>IFERROR(__xludf.DUMMYFUNCTION("""COMPUTED_VALUE"""),43.0)</f>
        <v>43</v>
      </c>
      <c r="H18272" s="4"/>
      <c r="I18272" s="4"/>
    </row>
    <row r="18273">
      <c r="A18273" s="4" t="str">
        <f>IFERROR(__xludf.DUMMYFUNCTION("""COMPUTED_VALUE"""),"cas_hmw")</f>
        <v>cas_hmw</v>
      </c>
      <c r="B18273" s="5">
        <f>IFERROR(__xludf.DUMMYFUNCTION("""COMPUTED_VALUE"""),44743.0)</f>
        <v>44743</v>
      </c>
      <c r="C18273" s="6">
        <f>IFERROR(__xludf.DUMMYFUNCTION("""COMPUTED_VALUE"""),0.3407407407394203)</f>
        <v>0.3407407407</v>
      </c>
      <c r="D18273" s="4">
        <f>IFERROR(__xludf.DUMMYFUNCTION("""COMPUTED_VALUE"""),12.913381)</f>
        <v>12.913381</v>
      </c>
      <c r="E18273" s="4">
        <f>IFERROR(__xludf.DUMMYFUNCTION("""COMPUTED_VALUE"""),80.101639)</f>
        <v>80.101639</v>
      </c>
      <c r="F18273" s="4">
        <f>IFERROR(__xludf.DUMMYFUNCTION("""COMPUTED_VALUE"""),5339.0)</f>
        <v>5339</v>
      </c>
      <c r="G18273" s="4">
        <f>IFERROR(__xludf.DUMMYFUNCTION("""COMPUTED_VALUE"""),43.0)</f>
        <v>43</v>
      </c>
      <c r="H18273" s="4"/>
      <c r="I18273" s="4"/>
    </row>
    <row r="18274">
      <c r="A18274" s="4" t="str">
        <f>IFERROR(__xludf.DUMMYFUNCTION("""COMPUTED_VALUE"""),"cas_hmw")</f>
        <v>cas_hmw</v>
      </c>
      <c r="B18274" s="5">
        <f>IFERROR(__xludf.DUMMYFUNCTION("""COMPUTED_VALUE"""),44743.0)</f>
        <v>44743</v>
      </c>
      <c r="C18274" s="6">
        <f>IFERROR(__xludf.DUMMYFUNCTION("""COMPUTED_VALUE"""),0.34078703703562496)</f>
        <v>0.340787037</v>
      </c>
      <c r="D18274" s="4">
        <f>IFERROR(__xludf.DUMMYFUNCTION("""COMPUTED_VALUE"""),12.912301)</f>
        <v>12.912301</v>
      </c>
      <c r="E18274" s="4">
        <f>IFERROR(__xludf.DUMMYFUNCTION("""COMPUTED_VALUE"""),80.10152)</f>
        <v>80.10152</v>
      </c>
      <c r="F18274" s="4">
        <f>IFERROR(__xludf.DUMMYFUNCTION("""COMPUTED_VALUE"""),5339.0)</f>
        <v>5339</v>
      </c>
      <c r="G18274" s="4">
        <f>IFERROR(__xludf.DUMMYFUNCTION("""COMPUTED_VALUE"""),40.0)</f>
        <v>40</v>
      </c>
      <c r="H18274" s="4"/>
      <c r="I18274" s="4"/>
    </row>
    <row r="18275">
      <c r="A18275" s="4" t="str">
        <f>IFERROR(__xludf.DUMMYFUNCTION("""COMPUTED_VALUE"""),"cas_hmw")</f>
        <v>cas_hmw</v>
      </c>
      <c r="B18275" s="5">
        <f>IFERROR(__xludf.DUMMYFUNCTION("""COMPUTED_VALUE"""),44743.0)</f>
        <v>44743</v>
      </c>
      <c r="C18275" s="6">
        <f>IFERROR(__xludf.DUMMYFUNCTION("""COMPUTED_VALUE"""),0.3407986111124046)</f>
        <v>0.3407986111</v>
      </c>
      <c r="D18275" s="4">
        <f>IFERROR(__xludf.DUMMYFUNCTION("""COMPUTED_VALUE"""),12.976342)</f>
        <v>12.976342</v>
      </c>
      <c r="E18275" s="4">
        <f>IFERROR(__xludf.DUMMYFUNCTION("""COMPUTED_VALUE"""),80.157632)</f>
        <v>80.157632</v>
      </c>
      <c r="F18275" s="4">
        <f>IFERROR(__xludf.DUMMYFUNCTION("""COMPUTED_VALUE"""),805.0)</f>
        <v>805</v>
      </c>
      <c r="G18275" s="4">
        <f>IFERROR(__xludf.DUMMYFUNCTION("""COMPUTED_VALUE"""),58.0)</f>
        <v>58</v>
      </c>
      <c r="H18275" s="4"/>
      <c r="I18275" s="4"/>
    </row>
    <row r="18276">
      <c r="A18276" s="4" t="str">
        <f>IFERROR(__xludf.DUMMYFUNCTION("""COMPUTED_VALUE"""),"cas_hmw")</f>
        <v>cas_hmw</v>
      </c>
      <c r="B18276" s="5">
        <f>IFERROR(__xludf.DUMMYFUNCTION("""COMPUTED_VALUE"""),44743.0)</f>
        <v>44743</v>
      </c>
      <c r="C18276" s="6">
        <f>IFERROR(__xludf.DUMMYFUNCTION("""COMPUTED_VALUE"""),0.3407986111124046)</f>
        <v>0.3407986111</v>
      </c>
      <c r="D18276" s="4">
        <f>IFERROR(__xludf.DUMMYFUNCTION("""COMPUTED_VALUE"""),12.912301)</f>
        <v>12.912301</v>
      </c>
      <c r="E18276" s="4">
        <f>IFERROR(__xludf.DUMMYFUNCTION("""COMPUTED_VALUE"""),80.10152)</f>
        <v>80.10152</v>
      </c>
      <c r="F18276" s="4">
        <f>IFERROR(__xludf.DUMMYFUNCTION("""COMPUTED_VALUE"""),5339.0)</f>
        <v>5339</v>
      </c>
      <c r="G18276" s="4">
        <f>IFERROR(__xludf.DUMMYFUNCTION("""COMPUTED_VALUE"""),40.0)</f>
        <v>40</v>
      </c>
      <c r="H18276" s="4"/>
      <c r="I18276" s="4"/>
    </row>
    <row r="18277">
      <c r="A18277" s="4" t="str">
        <f>IFERROR(__xludf.DUMMYFUNCTION("""COMPUTED_VALUE"""),"cas_hmw")</f>
        <v>cas_hmw</v>
      </c>
      <c r="B18277" s="5">
        <f>IFERROR(__xludf.DUMMYFUNCTION("""COMPUTED_VALUE"""),44743.0)</f>
        <v>44743</v>
      </c>
      <c r="C18277" s="6">
        <f>IFERROR(__xludf.DUMMYFUNCTION("""COMPUTED_VALUE"""),0.34143518518612836)</f>
        <v>0.3414351852</v>
      </c>
      <c r="D18277" s="4">
        <f>IFERROR(__xludf.DUMMYFUNCTION("""COMPUTED_VALUE"""),12.840171)</f>
        <v>12.840171</v>
      </c>
      <c r="E18277" s="4">
        <f>IFERROR(__xludf.DUMMYFUNCTION("""COMPUTED_VALUE"""),80.055563)</f>
        <v>80.055563</v>
      </c>
      <c r="F18277" s="4">
        <f>IFERROR(__xludf.DUMMYFUNCTION("""COMPUTED_VALUE"""),2846.0)</f>
        <v>2846</v>
      </c>
      <c r="G18277" s="4">
        <f>IFERROR(__xludf.DUMMYFUNCTION("""COMPUTED_VALUE"""),48.0)</f>
        <v>48</v>
      </c>
      <c r="H18277" s="4"/>
      <c r="I18277" s="4"/>
    </row>
    <row r="18278">
      <c r="A18278" s="4" t="str">
        <f>IFERROR(__xludf.DUMMYFUNCTION("""COMPUTED_VALUE"""),"cas_hmw")</f>
        <v>cas_hmw</v>
      </c>
      <c r="B18278" s="5">
        <f>IFERROR(__xludf.DUMMYFUNCTION("""COMPUTED_VALUE"""),44743.0)</f>
        <v>44743</v>
      </c>
      <c r="C18278" s="6">
        <f>IFERROR(__xludf.DUMMYFUNCTION("""COMPUTED_VALUE"""),0.3414583333324117)</f>
        <v>0.3414583333</v>
      </c>
      <c r="D18278" s="4">
        <f>IFERROR(__xludf.DUMMYFUNCTION("""COMPUTED_VALUE"""),12.971804)</f>
        <v>12.971804</v>
      </c>
      <c r="E18278" s="4">
        <f>IFERROR(__xludf.DUMMYFUNCTION("""COMPUTED_VALUE"""),80.151332)</f>
        <v>80.151332</v>
      </c>
      <c r="F18278" s="4">
        <f>IFERROR(__xludf.DUMMYFUNCTION("""COMPUTED_VALUE"""),805.0)</f>
        <v>805</v>
      </c>
      <c r="G18278" s="4">
        <f>IFERROR(__xludf.DUMMYFUNCTION("""COMPUTED_VALUE"""),23.0)</f>
        <v>23</v>
      </c>
      <c r="H18278" s="4"/>
      <c r="I18278" s="4"/>
    </row>
    <row r="18279">
      <c r="A18279" s="4" t="str">
        <f>IFERROR(__xludf.DUMMYFUNCTION("""COMPUTED_VALUE"""),"cas_hmw")</f>
        <v>cas_hmw</v>
      </c>
      <c r="B18279" s="5">
        <f>IFERROR(__xludf.DUMMYFUNCTION("""COMPUTED_VALUE"""),44743.0)</f>
        <v>44743</v>
      </c>
      <c r="C18279" s="6">
        <f>IFERROR(__xludf.DUMMYFUNCTION("""COMPUTED_VALUE"""),0.34146990740919136)</f>
        <v>0.3414699074</v>
      </c>
      <c r="D18279" s="4">
        <f>IFERROR(__xludf.DUMMYFUNCTION("""COMPUTED_VALUE"""),12.907478)</f>
        <v>12.907478</v>
      </c>
      <c r="E18279" s="4">
        <f>IFERROR(__xludf.DUMMYFUNCTION("""COMPUTED_VALUE"""),80.097319)</f>
        <v>80.097319</v>
      </c>
      <c r="F18279" s="4">
        <f>IFERROR(__xludf.DUMMYFUNCTION("""COMPUTED_VALUE"""),5339.0)</f>
        <v>5339</v>
      </c>
      <c r="G18279" s="4">
        <f>IFERROR(__xludf.DUMMYFUNCTION("""COMPUTED_VALUE"""),34.0)</f>
        <v>34</v>
      </c>
      <c r="H18279" s="4"/>
      <c r="I18279" s="4"/>
    </row>
    <row r="18280">
      <c r="A18280" s="4" t="str">
        <f>IFERROR(__xludf.DUMMYFUNCTION("""COMPUTED_VALUE"""),"cas_hmw")</f>
        <v>cas_hmw</v>
      </c>
      <c r="B18280" s="5">
        <f>IFERROR(__xludf.DUMMYFUNCTION("""COMPUTED_VALUE"""),44743.0)</f>
        <v>44743</v>
      </c>
      <c r="C18280" s="6">
        <f>IFERROR(__xludf.DUMMYFUNCTION("""COMPUTED_VALUE"""),0.34148148148233304)</f>
        <v>0.3414814815</v>
      </c>
      <c r="D18280" s="4">
        <f>IFERROR(__xludf.DUMMYFUNCTION("""COMPUTED_VALUE"""),12.907478)</f>
        <v>12.907478</v>
      </c>
      <c r="E18280" s="4">
        <f>IFERROR(__xludf.DUMMYFUNCTION("""COMPUTED_VALUE"""),80.097319)</f>
        <v>80.097319</v>
      </c>
      <c r="F18280" s="4">
        <f>IFERROR(__xludf.DUMMYFUNCTION("""COMPUTED_VALUE"""),5339.0)</f>
        <v>5339</v>
      </c>
      <c r="G18280" s="4">
        <f>IFERROR(__xludf.DUMMYFUNCTION("""COMPUTED_VALUE"""),34.0)</f>
        <v>34</v>
      </c>
      <c r="H18280" s="4"/>
      <c r="I18280" s="4"/>
    </row>
    <row r="18281">
      <c r="A18281" s="4" t="str">
        <f>IFERROR(__xludf.DUMMYFUNCTION("""COMPUTED_VALUE"""),"cas_hmw")</f>
        <v>cas_hmw</v>
      </c>
      <c r="B18281" s="5">
        <f>IFERROR(__xludf.DUMMYFUNCTION("""COMPUTED_VALUE"""),44743.0)</f>
        <v>44743</v>
      </c>
      <c r="C18281" s="6">
        <f>IFERROR(__xludf.DUMMYFUNCTION("""COMPUTED_VALUE"""),0.34151620370539604)</f>
        <v>0.3415162037</v>
      </c>
      <c r="D18281" s="4">
        <f>IFERROR(__xludf.DUMMYFUNCTION("""COMPUTED_VALUE"""),12.840984)</f>
        <v>12.840984</v>
      </c>
      <c r="E18281" s="4">
        <f>IFERROR(__xludf.DUMMYFUNCTION("""COMPUTED_VALUE"""),80.056411)</f>
        <v>80.056411</v>
      </c>
      <c r="F18281" s="4">
        <f>IFERROR(__xludf.DUMMYFUNCTION("""COMPUTED_VALUE"""),2846.0)</f>
        <v>2846</v>
      </c>
      <c r="G18281" s="4">
        <f>IFERROR(__xludf.DUMMYFUNCTION("""COMPUTED_VALUE"""),47.0)</f>
        <v>47</v>
      </c>
      <c r="H18281" s="4"/>
      <c r="I18281" s="4"/>
    </row>
    <row r="18282">
      <c r="A18282" s="4" t="str">
        <f>IFERROR(__xludf.DUMMYFUNCTION("""COMPUTED_VALUE"""),"cas_hmw")</f>
        <v>cas_hmw</v>
      </c>
      <c r="B18282" s="5">
        <f>IFERROR(__xludf.DUMMYFUNCTION("""COMPUTED_VALUE"""),44743.0)</f>
        <v>44743</v>
      </c>
      <c r="C18282" s="6">
        <f>IFERROR(__xludf.DUMMYFUNCTION("""COMPUTED_VALUE"""),0.34380787036934635)</f>
        <v>0.3438078704</v>
      </c>
      <c r="D18282" s="4">
        <f>IFERROR(__xludf.DUMMYFUNCTION("""COMPUTED_VALUE"""),12.855281)</f>
        <v>12.855281</v>
      </c>
      <c r="E18282" s="4">
        <f>IFERROR(__xludf.DUMMYFUNCTION("""COMPUTED_VALUE"""),80.068522)</f>
        <v>80.068522</v>
      </c>
      <c r="F18282" s="4">
        <f>IFERROR(__xludf.DUMMYFUNCTION("""COMPUTED_VALUE"""),2846.0)</f>
        <v>2846</v>
      </c>
      <c r="G18282" s="4">
        <f>IFERROR(__xludf.DUMMYFUNCTION("""COMPUTED_VALUE"""),53.0)</f>
        <v>53</v>
      </c>
      <c r="H18282" s="4"/>
      <c r="I18282" s="4"/>
    </row>
    <row r="18283">
      <c r="A18283" s="4" t="str">
        <f>IFERROR(__xludf.DUMMYFUNCTION("""COMPUTED_VALUE"""),"cas_hmw")</f>
        <v>cas_hmw</v>
      </c>
      <c r="B18283" s="5">
        <f>IFERROR(__xludf.DUMMYFUNCTION("""COMPUTED_VALUE"""),44743.0)</f>
        <v>44743</v>
      </c>
      <c r="C18283" s="6">
        <f>IFERROR(__xludf.DUMMYFUNCTION("""COMPUTED_VALUE"""),0.3441435185195587)</f>
        <v>0.3441435185</v>
      </c>
      <c r="D18283" s="4">
        <f>IFERROR(__xludf.DUMMYFUNCTION("""COMPUTED_VALUE"""),12.961874)</f>
        <v>12.961874</v>
      </c>
      <c r="E18283" s="4">
        <f>IFERROR(__xludf.DUMMYFUNCTION("""COMPUTED_VALUE"""),80.146294)</f>
        <v>80.146294</v>
      </c>
      <c r="F18283" s="4">
        <f>IFERROR(__xludf.DUMMYFUNCTION("""COMPUTED_VALUE"""),805.0)</f>
        <v>805</v>
      </c>
      <c r="G18283" s="4">
        <f>IFERROR(__xludf.DUMMYFUNCTION("""COMPUTED_VALUE"""),17.0)</f>
        <v>17</v>
      </c>
      <c r="H18283" s="4"/>
      <c r="I18283" s="4"/>
    </row>
    <row r="18284">
      <c r="A18284" s="4" t="str">
        <f>IFERROR(__xludf.DUMMYFUNCTION("""COMPUTED_VALUE"""),"cas_hmw")</f>
        <v>cas_hmw</v>
      </c>
      <c r="B18284" s="5">
        <f>IFERROR(__xludf.DUMMYFUNCTION("""COMPUTED_VALUE"""),44743.0)</f>
        <v>44743</v>
      </c>
      <c r="C18284" s="6">
        <f>IFERROR(__xludf.DUMMYFUNCTION("""COMPUTED_VALUE"""),0.34428240740817273)</f>
        <v>0.3442824074</v>
      </c>
      <c r="D18284" s="4">
        <f>IFERROR(__xludf.DUMMYFUNCTION("""COMPUTED_VALUE"""),12.961874)</f>
        <v>12.961874</v>
      </c>
      <c r="E18284" s="4">
        <f>IFERROR(__xludf.DUMMYFUNCTION("""COMPUTED_VALUE"""),80.146294)</f>
        <v>80.146294</v>
      </c>
      <c r="F18284" s="4">
        <f>IFERROR(__xludf.DUMMYFUNCTION("""COMPUTED_VALUE"""),805.0)</f>
        <v>805</v>
      </c>
      <c r="G18284" s="4">
        <f>IFERROR(__xludf.DUMMYFUNCTION("""COMPUTED_VALUE"""),17.0)</f>
        <v>17</v>
      </c>
      <c r="H18284" s="4"/>
      <c r="I18284" s="4"/>
    </row>
    <row r="18285">
      <c r="A18285" s="4" t="str">
        <f>IFERROR(__xludf.DUMMYFUNCTION("""COMPUTED_VALUE"""),"cas_hmw")</f>
        <v>cas_hmw</v>
      </c>
      <c r="B18285" s="5">
        <f>IFERROR(__xludf.DUMMYFUNCTION("""COMPUTED_VALUE"""),44743.0)</f>
        <v>44743</v>
      </c>
      <c r="C18285" s="6">
        <f>IFERROR(__xludf.DUMMYFUNCTION("""COMPUTED_VALUE"""),0.34438657407372375)</f>
        <v>0.3443865741</v>
      </c>
      <c r="D18285" s="4">
        <f>IFERROR(__xludf.DUMMYFUNCTION("""COMPUTED_VALUE"""),12.961102)</f>
        <v>12.961102</v>
      </c>
      <c r="E18285" s="4">
        <f>IFERROR(__xludf.DUMMYFUNCTION("""COMPUTED_VALUE"""),80.145844)</f>
        <v>80.145844</v>
      </c>
      <c r="F18285" s="4">
        <f>IFERROR(__xludf.DUMMYFUNCTION("""COMPUTED_VALUE"""),805.0)</f>
        <v>805</v>
      </c>
      <c r="G18285" s="4">
        <f>IFERROR(__xludf.DUMMYFUNCTION("""COMPUTED_VALUE"""),28.0)</f>
        <v>28</v>
      </c>
      <c r="H18285" s="4"/>
      <c r="I18285" s="4"/>
    </row>
    <row r="18286">
      <c r="A18286" s="4" t="str">
        <f>IFERROR(__xludf.DUMMYFUNCTION("""COMPUTED_VALUE"""),"cas_hmw")</f>
        <v>cas_hmw</v>
      </c>
      <c r="B18286" s="5">
        <f>IFERROR(__xludf.DUMMYFUNCTION("""COMPUTED_VALUE"""),44743.0)</f>
        <v>44743</v>
      </c>
      <c r="C18286" s="6">
        <f>IFERROR(__xludf.DUMMYFUNCTION("""COMPUTED_VALUE"""),0.3450578703705105)</f>
        <v>0.3450578704</v>
      </c>
      <c r="D18286" s="4">
        <f>IFERROR(__xludf.DUMMYFUNCTION("""COMPUTED_VALUE"""),12.884378)</f>
        <v>12.884378</v>
      </c>
      <c r="E18286" s="4">
        <f>IFERROR(__xludf.DUMMYFUNCTION("""COMPUTED_VALUE"""),80.082325)</f>
        <v>80.082325</v>
      </c>
      <c r="F18286" s="4">
        <f>IFERROR(__xludf.DUMMYFUNCTION("""COMPUTED_VALUE"""),5339.0)</f>
        <v>5339</v>
      </c>
      <c r="G18286" s="4">
        <f>IFERROR(__xludf.DUMMYFUNCTION("""COMPUTED_VALUE"""),38.0)</f>
        <v>38</v>
      </c>
      <c r="H18286" s="4"/>
      <c r="I18286" s="4"/>
    </row>
    <row r="18287">
      <c r="A18287" s="4" t="str">
        <f>IFERROR(__xludf.DUMMYFUNCTION("""COMPUTED_VALUE"""),"cas_hmw")</f>
        <v>cas_hmw</v>
      </c>
      <c r="B18287" s="5">
        <f>IFERROR(__xludf.DUMMYFUNCTION("""COMPUTED_VALUE"""),44743.0)</f>
        <v>44743</v>
      </c>
      <c r="C18287" s="6">
        <f>IFERROR(__xludf.DUMMYFUNCTION("""COMPUTED_VALUE"""),0.34543981481328956)</f>
        <v>0.3454398148</v>
      </c>
      <c r="D18287" s="4">
        <f>IFERROR(__xludf.DUMMYFUNCTION("""COMPUTED_VALUE"""),12.86694)</f>
        <v>12.86694</v>
      </c>
      <c r="E18287" s="4">
        <f>IFERROR(__xludf.DUMMYFUNCTION("""COMPUTED_VALUE"""),80.075167)</f>
        <v>80.075167</v>
      </c>
      <c r="F18287" s="4">
        <f>IFERROR(__xludf.DUMMYFUNCTION("""COMPUTED_VALUE"""),2846.0)</f>
        <v>2846</v>
      </c>
      <c r="G18287" s="4">
        <f>IFERROR(__xludf.DUMMYFUNCTION("""COMPUTED_VALUE"""),16.0)</f>
        <v>16</v>
      </c>
      <c r="H18287" s="4"/>
      <c r="I18287" s="4"/>
    </row>
    <row r="18288">
      <c r="A18288" s="4" t="str">
        <f>IFERROR(__xludf.DUMMYFUNCTION("""COMPUTED_VALUE"""),"cas_hmw")</f>
        <v>cas_hmw</v>
      </c>
      <c r="B18288" s="5">
        <f>IFERROR(__xludf.DUMMYFUNCTION("""COMPUTED_VALUE"""),44743.0)</f>
        <v>44743</v>
      </c>
      <c r="C18288" s="6">
        <f>IFERROR(__xludf.DUMMYFUNCTION("""COMPUTED_VALUE"""),0.3454629629632109)</f>
        <v>0.345462963</v>
      </c>
      <c r="D18288" s="4">
        <f>IFERROR(__xludf.DUMMYFUNCTION("""COMPUTED_VALUE"""),12.952658)</f>
        <v>12.952658</v>
      </c>
      <c r="E18288" s="4">
        <f>IFERROR(__xludf.DUMMYFUNCTION("""COMPUTED_VALUE"""),80.141301)</f>
        <v>80.141301</v>
      </c>
      <c r="F18288" s="4">
        <f>IFERROR(__xludf.DUMMYFUNCTION("""COMPUTED_VALUE"""),805.0)</f>
        <v>805</v>
      </c>
      <c r="G18288" s="4">
        <f>IFERROR(__xludf.DUMMYFUNCTION("""COMPUTED_VALUE"""),27.0)</f>
        <v>27</v>
      </c>
      <c r="H18288" s="4"/>
      <c r="I18288" s="4"/>
    </row>
    <row r="18289">
      <c r="A18289" s="4" t="str">
        <f>IFERROR(__xludf.DUMMYFUNCTION("""COMPUTED_VALUE"""),"cas_hmw")</f>
        <v>cas_hmw</v>
      </c>
      <c r="B18289" s="5">
        <f>IFERROR(__xludf.DUMMYFUNCTION("""COMPUTED_VALUE"""),44743.0)</f>
        <v>44743</v>
      </c>
      <c r="C18289" s="6">
        <f>IFERROR(__xludf.DUMMYFUNCTION("""COMPUTED_VALUE"""),0.34552083333255723)</f>
        <v>0.3455208333</v>
      </c>
      <c r="D18289" s="4">
        <f>IFERROR(__xludf.DUMMYFUNCTION("""COMPUTED_VALUE"""),12.86694)</f>
        <v>12.86694</v>
      </c>
      <c r="E18289" s="4">
        <f>IFERROR(__xludf.DUMMYFUNCTION("""COMPUTED_VALUE"""),80.075167)</f>
        <v>80.075167</v>
      </c>
      <c r="F18289" s="4">
        <f>IFERROR(__xludf.DUMMYFUNCTION("""COMPUTED_VALUE"""),2846.0)</f>
        <v>2846</v>
      </c>
      <c r="G18289" s="4">
        <f>IFERROR(__xludf.DUMMYFUNCTION("""COMPUTED_VALUE"""),16.0)</f>
        <v>16</v>
      </c>
      <c r="H18289" s="4"/>
      <c r="I18289" s="4"/>
    </row>
    <row r="18290">
      <c r="A18290" s="4" t="str">
        <f>IFERROR(__xludf.DUMMYFUNCTION("""COMPUTED_VALUE"""),"cas_hmw")</f>
        <v>cas_hmw</v>
      </c>
      <c r="B18290" s="5">
        <f>IFERROR(__xludf.DUMMYFUNCTION("""COMPUTED_VALUE"""),44743.0)</f>
        <v>44743</v>
      </c>
      <c r="C18290" s="6">
        <f>IFERROR(__xludf.DUMMYFUNCTION("""COMPUTED_VALUE"""),0.34606481481387164)</f>
        <v>0.3460648148</v>
      </c>
      <c r="D18290" s="4">
        <f>IFERROR(__xludf.DUMMYFUNCTION("""COMPUTED_VALUE"""),12.872287)</f>
        <v>12.872287</v>
      </c>
      <c r="E18290" s="4">
        <f>IFERROR(__xludf.DUMMYFUNCTION("""COMPUTED_VALUE"""),80.077312)</f>
        <v>80.077312</v>
      </c>
      <c r="F18290" s="4">
        <f>IFERROR(__xludf.DUMMYFUNCTION("""COMPUTED_VALUE"""),2846.0)</f>
        <v>2846</v>
      </c>
      <c r="G18290" s="4">
        <f>IFERROR(__xludf.DUMMYFUNCTION("""COMPUTED_VALUE"""),56.0)</f>
        <v>56</v>
      </c>
      <c r="H18290" s="4"/>
      <c r="I18290" s="4"/>
    </row>
    <row r="18291">
      <c r="A18291" s="4" t="str">
        <f>IFERROR(__xludf.DUMMYFUNCTION("""COMPUTED_VALUE"""),"cas_hmw")</f>
        <v>cas_hmw</v>
      </c>
      <c r="B18291" s="5">
        <f>IFERROR(__xludf.DUMMYFUNCTION("""COMPUTED_VALUE"""),44743.0)</f>
        <v>44743</v>
      </c>
      <c r="C18291" s="6">
        <f>IFERROR(__xludf.DUMMYFUNCTION("""COMPUTED_VALUE"""),0.34609953703693463)</f>
        <v>0.346099537</v>
      </c>
      <c r="D18291" s="4">
        <f>IFERROR(__xludf.DUMMYFUNCTION("""COMPUTED_VALUE"""),12.949886)</f>
        <v>12.949886</v>
      </c>
      <c r="E18291" s="4">
        <f>IFERROR(__xludf.DUMMYFUNCTION("""COMPUTED_VALUE"""),80.139142)</f>
        <v>80.139142</v>
      </c>
      <c r="F18291" s="4">
        <f>IFERROR(__xludf.DUMMYFUNCTION("""COMPUTED_VALUE"""),805.0)</f>
        <v>805</v>
      </c>
      <c r="G18291" s="4">
        <f>IFERROR(__xludf.DUMMYFUNCTION("""COMPUTED_VALUE"""),43.0)</f>
        <v>43</v>
      </c>
      <c r="H18291" s="4"/>
      <c r="I18291" s="4"/>
    </row>
    <row r="18292">
      <c r="A18292" s="4" t="str">
        <f>IFERROR(__xludf.DUMMYFUNCTION("""COMPUTED_VALUE"""),"cas_hmw")</f>
        <v>cas_hmw</v>
      </c>
      <c r="B18292" s="5">
        <f>IFERROR(__xludf.DUMMYFUNCTION("""COMPUTED_VALUE"""),44743.0)</f>
        <v>44743</v>
      </c>
      <c r="C18292" s="6">
        <f>IFERROR(__xludf.DUMMYFUNCTION("""COMPUTED_VALUE"""),0.346331018517958)</f>
        <v>0.3463310185</v>
      </c>
      <c r="D18292" s="4">
        <f>IFERROR(__xludf.DUMMYFUNCTION("""COMPUTED_VALUE"""),12.946546)</f>
        <v>12.946546</v>
      </c>
      <c r="E18292" s="4">
        <f>IFERROR(__xludf.DUMMYFUNCTION("""COMPUTED_VALUE"""),80.13663)</f>
        <v>80.13663</v>
      </c>
      <c r="F18292" s="4">
        <f>IFERROR(__xludf.DUMMYFUNCTION("""COMPUTED_VALUE"""),805.0)</f>
        <v>805</v>
      </c>
      <c r="G18292" s="4">
        <f>IFERROR(__xludf.DUMMYFUNCTION("""COMPUTED_VALUE"""),53.0)</f>
        <v>53</v>
      </c>
      <c r="H18292" s="4"/>
      <c r="I18292" s="4"/>
    </row>
    <row r="18293">
      <c r="A18293" s="4" t="str">
        <f>IFERROR(__xludf.DUMMYFUNCTION("""COMPUTED_VALUE"""),"cas_hmw")</f>
        <v>cas_hmw</v>
      </c>
      <c r="B18293" s="5">
        <f>IFERROR(__xludf.DUMMYFUNCTION("""COMPUTED_VALUE"""),44743.0)</f>
        <v>44743</v>
      </c>
      <c r="C18293" s="6">
        <f>IFERROR(__xludf.DUMMYFUNCTION("""COMPUTED_VALUE"""),0.346400462964084)</f>
        <v>0.346400463</v>
      </c>
      <c r="D18293" s="4">
        <f>IFERROR(__xludf.DUMMYFUNCTION("""COMPUTED_VALUE"""),12.874665)</f>
        <v>12.874665</v>
      </c>
      <c r="E18293" s="4">
        <f>IFERROR(__xludf.DUMMYFUNCTION("""COMPUTED_VALUE"""),80.07822)</f>
        <v>80.07822</v>
      </c>
      <c r="F18293" s="4">
        <f>IFERROR(__xludf.DUMMYFUNCTION("""COMPUTED_VALUE"""),2846.0)</f>
        <v>2846</v>
      </c>
      <c r="G18293" s="4">
        <f>IFERROR(__xludf.DUMMYFUNCTION("""COMPUTED_VALUE"""),42.0)</f>
        <v>42</v>
      </c>
      <c r="H18293" s="4"/>
      <c r="I18293" s="4"/>
    </row>
    <row r="18294">
      <c r="A18294" s="4" t="str">
        <f>IFERROR(__xludf.DUMMYFUNCTION("""COMPUTED_VALUE"""),"cas_hmw")</f>
        <v>cas_hmw</v>
      </c>
      <c r="B18294" s="5">
        <f>IFERROR(__xludf.DUMMYFUNCTION("""COMPUTED_VALUE"""),44743.0)</f>
        <v>44743</v>
      </c>
      <c r="C18294" s="6">
        <f>IFERROR(__xludf.DUMMYFUNCTION("""COMPUTED_VALUE"""),0.34696759259168175)</f>
        <v>0.3469675926</v>
      </c>
      <c r="D18294" s="4">
        <f>IFERROR(__xludf.DUMMYFUNCTION("""COMPUTED_VALUE"""),12.942879)</f>
        <v>12.942879</v>
      </c>
      <c r="E18294" s="4">
        <f>IFERROR(__xludf.DUMMYFUNCTION("""COMPUTED_VALUE"""),80.133671)</f>
        <v>80.133671</v>
      </c>
      <c r="F18294" s="4">
        <f>IFERROR(__xludf.DUMMYFUNCTION("""COMPUTED_VALUE"""),805.0)</f>
        <v>805</v>
      </c>
      <c r="G18294" s="4">
        <f>IFERROR(__xludf.DUMMYFUNCTION("""COMPUTED_VALUE"""),23.0)</f>
        <v>23</v>
      </c>
      <c r="H18294" s="4"/>
      <c r="I18294" s="4"/>
    </row>
    <row r="18295">
      <c r="A18295" s="4" t="str">
        <f>IFERROR(__xludf.DUMMYFUNCTION("""COMPUTED_VALUE"""),"cas_hmw")</f>
        <v>cas_hmw</v>
      </c>
      <c r="B18295" s="5">
        <f>IFERROR(__xludf.DUMMYFUNCTION("""COMPUTED_VALUE"""),44743.0)</f>
        <v>44743</v>
      </c>
      <c r="C18295" s="6">
        <f>IFERROR(__xludf.DUMMYFUNCTION("""COMPUTED_VALUE"""),0.3469791666684614)</f>
        <v>0.3469791667</v>
      </c>
      <c r="D18295" s="4">
        <f>IFERROR(__xludf.DUMMYFUNCTION("""COMPUTED_VALUE"""),12.942879)</f>
        <v>12.942879</v>
      </c>
      <c r="E18295" s="4">
        <f>IFERROR(__xludf.DUMMYFUNCTION("""COMPUTED_VALUE"""),80.133671)</f>
        <v>80.133671</v>
      </c>
      <c r="F18295" s="4">
        <f>IFERROR(__xludf.DUMMYFUNCTION("""COMPUTED_VALUE"""),805.0)</f>
        <v>805</v>
      </c>
      <c r="G18295" s="4">
        <f>IFERROR(__xludf.DUMMYFUNCTION("""COMPUTED_VALUE"""),23.0)</f>
        <v>23</v>
      </c>
      <c r="H18295" s="4"/>
      <c r="I18295" s="4"/>
    </row>
    <row r="18296">
      <c r="A18296" s="4" t="str">
        <f>IFERROR(__xludf.DUMMYFUNCTION("""COMPUTED_VALUE"""),"cas_hmw")</f>
        <v>cas_hmw</v>
      </c>
      <c r="B18296" s="5">
        <f>IFERROR(__xludf.DUMMYFUNCTION("""COMPUTED_VALUE"""),44743.0)</f>
        <v>44743</v>
      </c>
      <c r="C18296" s="6">
        <f>IFERROR(__xludf.DUMMYFUNCTION("""COMPUTED_VALUE"""),0.3474189814805868)</f>
        <v>0.3474189815</v>
      </c>
      <c r="D18296" s="4">
        <f>IFERROR(__xludf.DUMMYFUNCTION("""COMPUTED_VALUE"""),12.942236)</f>
        <v>12.942236</v>
      </c>
      <c r="E18296" s="4">
        <f>IFERROR(__xludf.DUMMYFUNCTION("""COMPUTED_VALUE"""),80.132924)</f>
        <v>80.132924</v>
      </c>
      <c r="F18296" s="4">
        <f>IFERROR(__xludf.DUMMYFUNCTION("""COMPUTED_VALUE"""),805.0)</f>
        <v>805</v>
      </c>
      <c r="G18296" s="4">
        <f>IFERROR(__xludf.DUMMYFUNCTION("""COMPUTED_VALUE"""),31.0)</f>
        <v>31</v>
      </c>
      <c r="H18296" s="4"/>
      <c r="I18296" s="4"/>
    </row>
    <row r="18297">
      <c r="A18297" s="4" t="str">
        <f>IFERROR(__xludf.DUMMYFUNCTION("""COMPUTED_VALUE"""),"cas_hmw")</f>
        <v>cas_hmw</v>
      </c>
      <c r="B18297" s="5">
        <f>IFERROR(__xludf.DUMMYFUNCTION("""COMPUTED_VALUE"""),44743.0)</f>
        <v>44743</v>
      </c>
      <c r="C18297" s="6">
        <f>IFERROR(__xludf.DUMMYFUNCTION("""COMPUTED_VALUE"""),0.3474999999998545)</f>
        <v>0.3475</v>
      </c>
      <c r="D18297" s="4">
        <f>IFERROR(__xludf.DUMMYFUNCTION("""COMPUTED_VALUE"""),12.942236)</f>
        <v>12.942236</v>
      </c>
      <c r="E18297" s="4">
        <f>IFERROR(__xludf.DUMMYFUNCTION("""COMPUTED_VALUE"""),80.132924)</f>
        <v>80.132924</v>
      </c>
      <c r="F18297" s="4">
        <f>IFERROR(__xludf.DUMMYFUNCTION("""COMPUTED_VALUE"""),805.0)</f>
        <v>805</v>
      </c>
      <c r="G18297" s="4">
        <f>IFERROR(__xludf.DUMMYFUNCTION("""COMPUTED_VALUE"""),31.0)</f>
        <v>31</v>
      </c>
      <c r="H18297" s="4"/>
      <c r="I18297" s="4"/>
    </row>
    <row r="18298">
      <c r="A18298" s="4" t="str">
        <f>IFERROR(__xludf.DUMMYFUNCTION("""COMPUTED_VALUE"""),"cas_hmw")</f>
        <v>cas_hmw</v>
      </c>
      <c r="B18298" s="5">
        <f>IFERROR(__xludf.DUMMYFUNCTION("""COMPUTED_VALUE"""),44743.0)</f>
        <v>44743</v>
      </c>
      <c r="C18298" s="6">
        <f>IFERROR(__xludf.DUMMYFUNCTION("""COMPUTED_VALUE"""),0.3475231481497758)</f>
        <v>0.3475231481</v>
      </c>
      <c r="D18298" s="4">
        <f>IFERROR(__xludf.DUMMYFUNCTION("""COMPUTED_VALUE"""),12.942236)</f>
        <v>12.942236</v>
      </c>
      <c r="E18298" s="4">
        <f>IFERROR(__xludf.DUMMYFUNCTION("""COMPUTED_VALUE"""),80.132924)</f>
        <v>80.132924</v>
      </c>
      <c r="F18298" s="4">
        <f>IFERROR(__xludf.DUMMYFUNCTION("""COMPUTED_VALUE"""),805.0)</f>
        <v>805</v>
      </c>
      <c r="G18298" s="4">
        <f>IFERROR(__xludf.DUMMYFUNCTION("""COMPUTED_VALUE"""),31.0)</f>
        <v>31</v>
      </c>
      <c r="H18298" s="4"/>
      <c r="I18298" s="4"/>
    </row>
    <row r="18299">
      <c r="A18299" s="4" t="str">
        <f>IFERROR(__xludf.DUMMYFUNCTION("""COMPUTED_VALUE"""),"cas_hmw")</f>
        <v>cas_hmw</v>
      </c>
      <c r="B18299" s="5">
        <f>IFERROR(__xludf.DUMMYFUNCTION("""COMPUTED_VALUE"""),44743.0)</f>
        <v>44743</v>
      </c>
      <c r="C18299" s="6">
        <f>IFERROR(__xludf.DUMMYFUNCTION("""COMPUTED_VALUE"""),0.3475925925922638)</f>
        <v>0.3475925926</v>
      </c>
      <c r="D18299" s="4">
        <f>IFERROR(__xludf.DUMMYFUNCTION("""COMPUTED_VALUE"""),12.941382)</f>
        <v>12.941382</v>
      </c>
      <c r="E18299" s="4">
        <f>IFERROR(__xludf.DUMMYFUNCTION("""COMPUTED_VALUE"""),80.132061)</f>
        <v>80.132061</v>
      </c>
      <c r="F18299" s="4">
        <f>IFERROR(__xludf.DUMMYFUNCTION("""COMPUTED_VALUE"""),805.0)</f>
        <v>805</v>
      </c>
      <c r="G18299" s="4">
        <f>IFERROR(__xludf.DUMMYFUNCTION("""COMPUTED_VALUE"""),30.0)</f>
        <v>30</v>
      </c>
      <c r="H18299" s="4"/>
      <c r="I18299" s="4"/>
    </row>
    <row r="18300">
      <c r="A18300" s="4" t="str">
        <f>IFERROR(__xludf.DUMMYFUNCTION("""COMPUTED_VALUE"""),"cas_hmw")</f>
        <v>cas_hmw</v>
      </c>
      <c r="B18300" s="5">
        <f>IFERROR(__xludf.DUMMYFUNCTION("""COMPUTED_VALUE"""),44743.0)</f>
        <v>44743</v>
      </c>
      <c r="C18300" s="6">
        <f>IFERROR(__xludf.DUMMYFUNCTION("""COMPUTED_VALUE"""),0.34812500000043656)</f>
        <v>0.348125</v>
      </c>
      <c r="D18300" s="4">
        <f>IFERROR(__xludf.DUMMYFUNCTION("""COMPUTED_VALUE"""),12.937871)</f>
        <v>12.937871</v>
      </c>
      <c r="E18300" s="4">
        <f>IFERROR(__xludf.DUMMYFUNCTION("""COMPUTED_VALUE"""),80.128708)</f>
        <v>80.128708</v>
      </c>
      <c r="F18300" s="4">
        <f>IFERROR(__xludf.DUMMYFUNCTION("""COMPUTED_VALUE"""),805.0)</f>
        <v>805</v>
      </c>
      <c r="G18300" s="4">
        <f>IFERROR(__xludf.DUMMYFUNCTION("""COMPUTED_VALUE"""),41.0)</f>
        <v>41</v>
      </c>
      <c r="H18300" s="4"/>
      <c r="I18300" s="4"/>
    </row>
    <row r="18301">
      <c r="A18301" s="4" t="str">
        <f>IFERROR(__xludf.DUMMYFUNCTION("""COMPUTED_VALUE"""),"cas_hmw")</f>
        <v>cas_hmw</v>
      </c>
      <c r="B18301" s="5">
        <f>IFERROR(__xludf.DUMMYFUNCTION("""COMPUTED_VALUE"""),44743.0)</f>
        <v>44743</v>
      </c>
      <c r="C18301" s="6">
        <f>IFERROR(__xludf.DUMMYFUNCTION("""COMPUTED_VALUE"""),0.3483680555546016)</f>
        <v>0.3483680556</v>
      </c>
      <c r="D18301" s="4">
        <f>IFERROR(__xludf.DUMMYFUNCTION("""COMPUTED_VALUE"""),12.936709)</f>
        <v>12.936709</v>
      </c>
      <c r="E18301" s="4">
        <f>IFERROR(__xludf.DUMMYFUNCTION("""COMPUTED_VALUE"""),80.127709)</f>
        <v>80.127709</v>
      </c>
      <c r="F18301" s="4">
        <f>IFERROR(__xludf.DUMMYFUNCTION("""COMPUTED_VALUE"""),805.0)</f>
        <v>805</v>
      </c>
      <c r="G18301" s="4">
        <f>IFERROR(__xludf.DUMMYFUNCTION("""COMPUTED_VALUE"""),34.0)</f>
        <v>34</v>
      </c>
      <c r="H18301" s="4"/>
      <c r="I18301" s="4"/>
    </row>
    <row r="18302">
      <c r="A18302" s="4" t="str">
        <f>IFERROR(__xludf.DUMMYFUNCTION("""COMPUTED_VALUE"""),"cas_hmw")</f>
        <v>cas_hmw</v>
      </c>
      <c r="B18302" s="5">
        <f>IFERROR(__xludf.DUMMYFUNCTION("""COMPUTED_VALUE"""),44743.0)</f>
        <v>44743</v>
      </c>
      <c r="C18302" s="6">
        <f>IFERROR(__xludf.DUMMYFUNCTION("""COMPUTED_VALUE"""),0.3484722222237906)</f>
        <v>0.3484722222</v>
      </c>
      <c r="D18302" s="4">
        <f>IFERROR(__xludf.DUMMYFUNCTION("""COMPUTED_VALUE"""),12.935493)</f>
        <v>12.935493</v>
      </c>
      <c r="E18302" s="4">
        <f>IFERROR(__xludf.DUMMYFUNCTION("""COMPUTED_VALUE"""),80.12665)</f>
        <v>80.12665</v>
      </c>
      <c r="F18302" s="4">
        <f>IFERROR(__xludf.DUMMYFUNCTION("""COMPUTED_VALUE"""),805.0)</f>
        <v>805</v>
      </c>
      <c r="G18302" s="4">
        <f>IFERROR(__xludf.DUMMYFUNCTION("""COMPUTED_VALUE"""),45.0)</f>
        <v>45</v>
      </c>
      <c r="H18302" s="4"/>
      <c r="I18302" s="4"/>
    </row>
    <row r="18303">
      <c r="A18303" s="4" t="str">
        <f>IFERROR(__xludf.DUMMYFUNCTION("""COMPUTED_VALUE"""),"cas_hmw")</f>
        <v>cas_hmw</v>
      </c>
      <c r="B18303" s="5">
        <f>IFERROR(__xludf.DUMMYFUNCTION("""COMPUTED_VALUE"""),44743.0)</f>
        <v>44743</v>
      </c>
      <c r="C18303" s="6">
        <f>IFERROR(__xludf.DUMMYFUNCTION("""COMPUTED_VALUE"""),0.3485069444432156)</f>
        <v>0.3485069444</v>
      </c>
      <c r="D18303" s="4">
        <f>IFERROR(__xludf.DUMMYFUNCTION("""COMPUTED_VALUE"""),12.935493)</f>
        <v>12.935493</v>
      </c>
      <c r="E18303" s="4">
        <f>IFERROR(__xludf.DUMMYFUNCTION("""COMPUTED_VALUE"""),80.12665)</f>
        <v>80.12665</v>
      </c>
      <c r="F18303" s="4">
        <f>IFERROR(__xludf.DUMMYFUNCTION("""COMPUTED_VALUE"""),805.0)</f>
        <v>805</v>
      </c>
      <c r="G18303" s="4">
        <f>IFERROR(__xludf.DUMMYFUNCTION("""COMPUTED_VALUE"""),45.0)</f>
        <v>45</v>
      </c>
      <c r="H18303" s="4"/>
      <c r="I18303" s="4"/>
    </row>
    <row r="18304">
      <c r="A18304" s="4" t="str">
        <f>IFERROR(__xludf.DUMMYFUNCTION("""COMPUTED_VALUE"""),"cas_hmw")</f>
        <v>cas_hmw</v>
      </c>
      <c r="B18304" s="5">
        <f>IFERROR(__xludf.DUMMYFUNCTION("""COMPUTED_VALUE"""),44743.0)</f>
        <v>44743</v>
      </c>
      <c r="C18304" s="6">
        <f>IFERROR(__xludf.DUMMYFUNCTION("""COMPUTED_VALUE"""),0.34907407407445135)</f>
        <v>0.3490740741</v>
      </c>
      <c r="D18304" s="4">
        <f>IFERROR(__xludf.DUMMYFUNCTION("""COMPUTED_VALUE"""),12.931952)</f>
        <v>12.931952</v>
      </c>
      <c r="E18304" s="4">
        <f>IFERROR(__xludf.DUMMYFUNCTION("""COMPUTED_VALUE"""),80.123293)</f>
        <v>80.123293</v>
      </c>
      <c r="F18304" s="4">
        <f>IFERROR(__xludf.DUMMYFUNCTION("""COMPUTED_VALUE"""),805.0)</f>
        <v>805</v>
      </c>
      <c r="G18304" s="4">
        <f>IFERROR(__xludf.DUMMYFUNCTION("""COMPUTED_VALUE"""),17.0)</f>
        <v>17</v>
      </c>
      <c r="H18304" s="4"/>
      <c r="I18304" s="4"/>
    </row>
    <row r="18305">
      <c r="A18305" s="4" t="str">
        <f>IFERROR(__xludf.DUMMYFUNCTION("""COMPUTED_VALUE"""),"cas_hmw")</f>
        <v>cas_hmw</v>
      </c>
      <c r="B18305" s="5">
        <f>IFERROR(__xludf.DUMMYFUNCTION("""COMPUTED_VALUE"""),44743.0)</f>
        <v>44743</v>
      </c>
      <c r="C18305" s="6">
        <f>IFERROR(__xludf.DUMMYFUNCTION("""COMPUTED_VALUE"""),0.34940972222102573)</f>
        <v>0.3494097222</v>
      </c>
      <c r="D18305" s="4">
        <f>IFERROR(__xludf.DUMMYFUNCTION("""COMPUTED_VALUE"""),12.931205)</f>
        <v>12.931205</v>
      </c>
      <c r="E18305" s="4">
        <f>IFERROR(__xludf.DUMMYFUNCTION("""COMPUTED_VALUE"""),80.122502)</f>
        <v>80.122502</v>
      </c>
      <c r="F18305" s="4">
        <f>IFERROR(__xludf.DUMMYFUNCTION("""COMPUTED_VALUE"""),805.0)</f>
        <v>805</v>
      </c>
      <c r="G18305" s="4">
        <f>IFERROR(__xludf.DUMMYFUNCTION("""COMPUTED_VALUE"""),32.0)</f>
        <v>32</v>
      </c>
      <c r="H18305" s="4"/>
      <c r="I18305" s="4"/>
    </row>
    <row r="18306">
      <c r="A18306" s="4" t="str">
        <f>IFERROR(__xludf.DUMMYFUNCTION("""COMPUTED_VALUE"""),"cas_hmw")</f>
        <v>cas_hmw</v>
      </c>
      <c r="B18306" s="5">
        <f>IFERROR(__xludf.DUMMYFUNCTION("""COMPUTED_VALUE"""),44743.0)</f>
        <v>44743</v>
      </c>
      <c r="C18306" s="6">
        <f>IFERROR(__xludf.DUMMYFUNCTION("""COMPUTED_VALUE"""),0.34951388889021473)</f>
        <v>0.3495138889</v>
      </c>
      <c r="D18306" s="4">
        <f>IFERROR(__xludf.DUMMYFUNCTION("""COMPUTED_VALUE"""),12.931205)</f>
        <v>12.931205</v>
      </c>
      <c r="E18306" s="4">
        <f>IFERROR(__xludf.DUMMYFUNCTION("""COMPUTED_VALUE"""),80.122502)</f>
        <v>80.122502</v>
      </c>
      <c r="F18306" s="4">
        <f>IFERROR(__xludf.DUMMYFUNCTION("""COMPUTED_VALUE"""),805.0)</f>
        <v>805</v>
      </c>
      <c r="G18306" s="4">
        <f>IFERROR(__xludf.DUMMYFUNCTION("""COMPUTED_VALUE"""),32.0)</f>
        <v>32</v>
      </c>
      <c r="H18306" s="4"/>
      <c r="I18306" s="4"/>
    </row>
    <row r="18307">
      <c r="A18307" s="4" t="str">
        <f>IFERROR(__xludf.DUMMYFUNCTION("""COMPUTED_VALUE"""),"cas_hmw")</f>
        <v>cas_hmw</v>
      </c>
      <c r="B18307" s="5">
        <f>IFERROR(__xludf.DUMMYFUNCTION("""COMPUTED_VALUE"""),44743.0)</f>
        <v>44743</v>
      </c>
      <c r="C18307" s="6">
        <f>IFERROR(__xludf.DUMMYFUNCTION("""COMPUTED_VALUE"""),0.3496064814826241)</f>
        <v>0.3496064815</v>
      </c>
      <c r="D18307" s="4">
        <f>IFERROR(__xludf.DUMMYFUNCTION("""COMPUTED_VALUE"""),12.930037)</f>
        <v>12.930037</v>
      </c>
      <c r="E18307" s="4">
        <f>IFERROR(__xludf.DUMMYFUNCTION("""COMPUTED_VALUE"""),80.121303)</f>
        <v>80.121303</v>
      </c>
      <c r="F18307" s="4">
        <f>IFERROR(__xludf.DUMMYFUNCTION("""COMPUTED_VALUE"""),805.0)</f>
        <v>805</v>
      </c>
      <c r="G18307" s="4">
        <f>IFERROR(__xludf.DUMMYFUNCTION("""COMPUTED_VALUE"""),44.0)</f>
        <v>44</v>
      </c>
      <c r="H18307" s="4"/>
      <c r="I18307" s="4"/>
    </row>
    <row r="18308">
      <c r="A18308" s="4" t="str">
        <f>IFERROR(__xludf.DUMMYFUNCTION("""COMPUTED_VALUE"""),"cas_hmw")</f>
        <v>cas_hmw</v>
      </c>
      <c r="B18308" s="5">
        <f>IFERROR(__xludf.DUMMYFUNCTION("""COMPUTED_VALUE"""),44743.0)</f>
        <v>44743</v>
      </c>
      <c r="C18308" s="6">
        <f>IFERROR(__xludf.DUMMYFUNCTION("""COMPUTED_VALUE"""),0.3497800925943011)</f>
        <v>0.3497800926</v>
      </c>
      <c r="D18308" s="4">
        <f>IFERROR(__xludf.DUMMYFUNCTION("""COMPUTED_VALUE"""),12.928616)</f>
        <v>12.928616</v>
      </c>
      <c r="E18308" s="4">
        <f>IFERROR(__xludf.DUMMYFUNCTION("""COMPUTED_VALUE"""),80.119789)</f>
        <v>80.119789</v>
      </c>
      <c r="F18308" s="4">
        <f>IFERROR(__xludf.DUMMYFUNCTION("""COMPUTED_VALUE"""),805.0)</f>
        <v>805</v>
      </c>
      <c r="G18308" s="4">
        <f>IFERROR(__xludf.DUMMYFUNCTION("""COMPUTED_VALUE"""),58.0)</f>
        <v>58</v>
      </c>
      <c r="H18308" s="4"/>
      <c r="I18308" s="4"/>
    </row>
    <row r="18309">
      <c r="A18309" s="4" t="str">
        <f>IFERROR(__xludf.DUMMYFUNCTION("""COMPUTED_VALUE"""),"cas_hmw")</f>
        <v>cas_hmw</v>
      </c>
      <c r="B18309" s="5">
        <f>IFERROR(__xludf.DUMMYFUNCTION("""COMPUTED_VALUE"""),44743.0)</f>
        <v>44743</v>
      </c>
      <c r="C18309" s="6">
        <f>IFERROR(__xludf.DUMMYFUNCTION("""COMPUTED_VALUE"""),0.3503587962950405)</f>
        <v>0.3503587963</v>
      </c>
      <c r="D18309" s="4">
        <f>IFERROR(__xludf.DUMMYFUNCTION("""COMPUTED_VALUE"""),12.924602)</f>
        <v>12.924602</v>
      </c>
      <c r="E18309" s="4">
        <f>IFERROR(__xludf.DUMMYFUNCTION("""COMPUTED_VALUE"""),80.115777)</f>
        <v>80.115777</v>
      </c>
      <c r="F18309" s="4">
        <f>IFERROR(__xludf.DUMMYFUNCTION("""COMPUTED_VALUE"""),805.0)</f>
        <v>805</v>
      </c>
      <c r="G18309" s="4">
        <f>IFERROR(__xludf.DUMMYFUNCTION("""COMPUTED_VALUE"""),62.0)</f>
        <v>62</v>
      </c>
      <c r="H18309" s="4"/>
      <c r="I18309" s="4"/>
    </row>
    <row r="18310">
      <c r="A18310" s="4" t="str">
        <f>IFERROR(__xludf.DUMMYFUNCTION("""COMPUTED_VALUE"""),"cas_hmw")</f>
        <v>cas_hmw</v>
      </c>
      <c r="B18310" s="5">
        <f>IFERROR(__xludf.DUMMYFUNCTION("""COMPUTED_VALUE"""),44743.0)</f>
        <v>44743</v>
      </c>
      <c r="C18310" s="6">
        <f>IFERROR(__xludf.DUMMYFUNCTION("""COMPUTED_VALUE"""),0.35055555555663886)</f>
        <v>0.3505555556</v>
      </c>
      <c r="D18310" s="4">
        <f>IFERROR(__xludf.DUMMYFUNCTION("""COMPUTED_VALUE"""),12.923254)</f>
        <v>12.923254</v>
      </c>
      <c r="E18310" s="4">
        <f>IFERROR(__xludf.DUMMYFUNCTION("""COMPUTED_VALUE"""),80.114477)</f>
        <v>80.114477</v>
      </c>
      <c r="F18310" s="4">
        <f>IFERROR(__xludf.DUMMYFUNCTION("""COMPUTED_VALUE"""),805.0)</f>
        <v>805</v>
      </c>
      <c r="G18310" s="4">
        <f>IFERROR(__xludf.DUMMYFUNCTION("""COMPUTED_VALUE"""),14.0)</f>
        <v>14</v>
      </c>
      <c r="H18310" s="4"/>
      <c r="I18310" s="4"/>
    </row>
    <row r="18311">
      <c r="A18311" s="4" t="str">
        <f>IFERROR(__xludf.DUMMYFUNCTION("""COMPUTED_VALUE"""),"cas_hmw")</f>
        <v>cas_hmw</v>
      </c>
      <c r="B18311" s="5">
        <f>IFERROR(__xludf.DUMMYFUNCTION("""COMPUTED_VALUE"""),44743.0)</f>
        <v>44743</v>
      </c>
      <c r="C18311" s="6">
        <f>IFERROR(__xludf.DUMMYFUNCTION("""COMPUTED_VALUE"""),0.3506249999991269)</f>
        <v>0.350625</v>
      </c>
      <c r="D18311" s="4">
        <f>IFERROR(__xludf.DUMMYFUNCTION("""COMPUTED_VALUE"""),12.923254)</f>
        <v>12.923254</v>
      </c>
      <c r="E18311" s="4">
        <f>IFERROR(__xludf.DUMMYFUNCTION("""COMPUTED_VALUE"""),80.114477)</f>
        <v>80.114477</v>
      </c>
      <c r="F18311" s="4">
        <f>IFERROR(__xludf.DUMMYFUNCTION("""COMPUTED_VALUE"""),805.0)</f>
        <v>805</v>
      </c>
      <c r="G18311" s="4">
        <f>IFERROR(__xludf.DUMMYFUNCTION("""COMPUTED_VALUE"""),14.0)</f>
        <v>14</v>
      </c>
      <c r="H18311" s="4"/>
      <c r="I18311" s="4"/>
    </row>
    <row r="18312">
      <c r="A18312" s="4" t="str">
        <f>IFERROR(__xludf.DUMMYFUNCTION("""COMPUTED_VALUE"""),"cas_hmw")</f>
        <v>cas_hmw</v>
      </c>
      <c r="B18312" s="5">
        <f>IFERROR(__xludf.DUMMYFUNCTION("""COMPUTED_VALUE"""),44743.0)</f>
        <v>44743</v>
      </c>
      <c r="C18312" s="6">
        <f>IFERROR(__xludf.DUMMYFUNCTION("""COMPUTED_VALUE"""),0.3515509259268583)</f>
        <v>0.3515509259</v>
      </c>
      <c r="D18312" s="4">
        <f>IFERROR(__xludf.DUMMYFUNCTION("""COMPUTED_VALUE"""),12.918621)</f>
        <v>12.918621</v>
      </c>
      <c r="E18312" s="4">
        <f>IFERROR(__xludf.DUMMYFUNCTION("""COMPUTED_VALUE"""),80.109386)</f>
        <v>80.109386</v>
      </c>
      <c r="F18312" s="4">
        <f>IFERROR(__xludf.DUMMYFUNCTION("""COMPUTED_VALUE"""),805.0)</f>
        <v>805</v>
      </c>
      <c r="G18312" s="4">
        <f>IFERROR(__xludf.DUMMYFUNCTION("""COMPUTED_VALUE"""),57.0)</f>
        <v>57</v>
      </c>
      <c r="H18312" s="4"/>
      <c r="I18312" s="4"/>
    </row>
    <row r="18313">
      <c r="A18313" s="4" t="str">
        <f>IFERROR(__xludf.DUMMYFUNCTION("""COMPUTED_VALUE"""),"cas_hmw")</f>
        <v>cas_hmw</v>
      </c>
      <c r="B18313" s="5">
        <f>IFERROR(__xludf.DUMMYFUNCTION("""COMPUTED_VALUE"""),44743.0)</f>
        <v>44743</v>
      </c>
      <c r="C18313" s="6">
        <f>IFERROR(__xludf.DUMMYFUNCTION("""COMPUTED_VALUE"""),0.3519675925927004)</f>
        <v>0.3519675926</v>
      </c>
      <c r="D18313" s="4">
        <f>IFERROR(__xludf.DUMMYFUNCTION("""COMPUTED_VALUE"""),12.91705)</f>
        <v>12.91705</v>
      </c>
      <c r="E18313" s="4">
        <f>IFERROR(__xludf.DUMMYFUNCTION("""COMPUTED_VALUE"""),80.107304)</f>
        <v>80.107304</v>
      </c>
      <c r="F18313" s="4">
        <f>IFERROR(__xludf.DUMMYFUNCTION("""COMPUTED_VALUE"""),805.0)</f>
        <v>805</v>
      </c>
      <c r="G18313" s="4">
        <f>IFERROR(__xludf.DUMMYFUNCTION("""COMPUTED_VALUE"""),5.0)</f>
        <v>5</v>
      </c>
      <c r="H18313" s="4"/>
      <c r="I18313" s="4"/>
    </row>
    <row r="18314">
      <c r="A18314" s="4" t="str">
        <f>IFERROR(__xludf.DUMMYFUNCTION("""COMPUTED_VALUE"""),"cas_hmw")</f>
        <v>cas_hmw</v>
      </c>
      <c r="B18314" s="5">
        <f>IFERROR(__xludf.DUMMYFUNCTION("""COMPUTED_VALUE"""),44743.0)</f>
        <v>44743</v>
      </c>
      <c r="C18314" s="6">
        <f>IFERROR(__xludf.DUMMYFUNCTION("""COMPUTED_VALUE"""),0.3520370370388264)</f>
        <v>0.352037037</v>
      </c>
      <c r="D18314" s="4">
        <f>IFERROR(__xludf.DUMMYFUNCTION("""COMPUTED_VALUE"""),12.91705)</f>
        <v>12.91705</v>
      </c>
      <c r="E18314" s="4">
        <f>IFERROR(__xludf.DUMMYFUNCTION("""COMPUTED_VALUE"""),80.107304)</f>
        <v>80.107304</v>
      </c>
      <c r="F18314" s="4">
        <f>IFERROR(__xludf.DUMMYFUNCTION("""COMPUTED_VALUE"""),805.0)</f>
        <v>805</v>
      </c>
      <c r="G18314" s="4">
        <f>IFERROR(__xludf.DUMMYFUNCTION("""COMPUTED_VALUE"""),5.0)</f>
        <v>5</v>
      </c>
      <c r="H18314" s="4"/>
      <c r="I18314" s="4"/>
    </row>
    <row r="18315">
      <c r="A18315" s="4" t="str">
        <f>IFERROR(__xludf.DUMMYFUNCTION("""COMPUTED_VALUE"""),"cas_hmw")</f>
        <v>cas_hmw</v>
      </c>
      <c r="B18315" s="5">
        <f>IFERROR(__xludf.DUMMYFUNCTION("""COMPUTED_VALUE"""),44743.0)</f>
        <v>44743</v>
      </c>
      <c r="C18315" s="6">
        <f>IFERROR(__xludf.DUMMYFUNCTION("""COMPUTED_VALUE"""),0.35313657407459687)</f>
        <v>0.3531365741</v>
      </c>
      <c r="D18315" s="4">
        <f>IFERROR(__xludf.DUMMYFUNCTION("""COMPUTED_VALUE"""),12.909711)</f>
        <v>12.909711</v>
      </c>
      <c r="E18315" s="4">
        <f>IFERROR(__xludf.DUMMYFUNCTION("""COMPUTED_VALUE"""),80.100045)</f>
        <v>80.100045</v>
      </c>
      <c r="F18315" s="4">
        <f>IFERROR(__xludf.DUMMYFUNCTION("""COMPUTED_VALUE"""),805.0)</f>
        <v>805</v>
      </c>
      <c r="G18315" s="4">
        <f>IFERROR(__xludf.DUMMYFUNCTION("""COMPUTED_VALUE"""),36.0)</f>
        <v>36</v>
      </c>
      <c r="H18315" s="4"/>
      <c r="I18315" s="4"/>
    </row>
    <row r="18316">
      <c r="A18316" s="4" t="str">
        <f>IFERROR(__xludf.DUMMYFUNCTION("""COMPUTED_VALUE"""),"cas_hmw")</f>
        <v>cas_hmw</v>
      </c>
      <c r="B18316" s="5">
        <f>IFERROR(__xludf.DUMMYFUNCTION("""COMPUTED_VALUE"""),44743.0)</f>
        <v>44743</v>
      </c>
      <c r="C18316" s="6">
        <f>IFERROR(__xludf.DUMMYFUNCTION("""COMPUTED_VALUE"""),0.35434027777955635)</f>
        <v>0.3543402778</v>
      </c>
      <c r="D18316" s="4">
        <f>IFERROR(__xludf.DUMMYFUNCTION("""COMPUTED_VALUE"""),12.906366)</f>
        <v>12.906366</v>
      </c>
      <c r="E18316" s="4">
        <f>IFERROR(__xludf.DUMMYFUNCTION("""COMPUTED_VALUE"""),80.096482)</f>
        <v>80.096482</v>
      </c>
      <c r="F18316" s="4">
        <f>IFERROR(__xludf.DUMMYFUNCTION("""COMPUTED_VALUE"""),805.0)</f>
        <v>805</v>
      </c>
      <c r="G18316" s="4">
        <f>IFERROR(__xludf.DUMMYFUNCTION("""COMPUTED_VALUE"""),16.0)</f>
        <v>16</v>
      </c>
      <c r="H18316" s="4"/>
      <c r="I18316" s="4"/>
    </row>
    <row r="18317">
      <c r="A18317" s="4" t="str">
        <f>IFERROR(__xludf.DUMMYFUNCTION("""COMPUTED_VALUE"""),"cas_hmw")</f>
        <v>cas_hmw</v>
      </c>
      <c r="B18317" s="5">
        <f>IFERROR(__xludf.DUMMYFUNCTION("""COMPUTED_VALUE"""),44743.0)</f>
        <v>44743</v>
      </c>
      <c r="C18317" s="6">
        <f>IFERROR(__xludf.DUMMYFUNCTION("""COMPUTED_VALUE"""),0.35445601851824904)</f>
        <v>0.3544560185</v>
      </c>
      <c r="D18317" s="4">
        <f>IFERROR(__xludf.DUMMYFUNCTION("""COMPUTED_VALUE"""),12.905765)</f>
        <v>12.905765</v>
      </c>
      <c r="E18317" s="4">
        <f>IFERROR(__xludf.DUMMYFUNCTION("""COMPUTED_VALUE"""),80.095987)</f>
        <v>80.095987</v>
      </c>
      <c r="F18317" s="4">
        <f>IFERROR(__xludf.DUMMYFUNCTION("""COMPUTED_VALUE"""),805.0)</f>
        <v>805</v>
      </c>
      <c r="G18317" s="4">
        <f>IFERROR(__xludf.DUMMYFUNCTION("""COMPUTED_VALUE"""),20.0)</f>
        <v>20</v>
      </c>
      <c r="H18317" s="4"/>
      <c r="I18317" s="4"/>
    </row>
    <row r="18318">
      <c r="A18318" s="4" t="str">
        <f>IFERROR(__xludf.DUMMYFUNCTION("""COMPUTED_VALUE"""),"cas_hmw")</f>
        <v>cas_hmw</v>
      </c>
      <c r="B18318" s="5">
        <f>IFERROR(__xludf.DUMMYFUNCTION("""COMPUTED_VALUE"""),44743.0)</f>
        <v>44743</v>
      </c>
      <c r="C18318" s="6">
        <f>IFERROR(__xludf.DUMMYFUNCTION("""COMPUTED_VALUE"""),0.3565393518510973)</f>
        <v>0.3565393519</v>
      </c>
      <c r="D18318" s="4">
        <f>IFERROR(__xludf.DUMMYFUNCTION("""COMPUTED_VALUE"""),12.89313)</f>
        <v>12.89313</v>
      </c>
      <c r="E18318" s="4">
        <f>IFERROR(__xludf.DUMMYFUNCTION("""COMPUTED_VALUE"""),80.086339)</f>
        <v>80.086339</v>
      </c>
      <c r="F18318" s="4">
        <f>IFERROR(__xludf.DUMMYFUNCTION("""COMPUTED_VALUE"""),805.0)</f>
        <v>805</v>
      </c>
      <c r="G18318" s="4">
        <f>IFERROR(__xludf.DUMMYFUNCTION("""COMPUTED_VALUE"""),13.0)</f>
        <v>13</v>
      </c>
      <c r="H18318" s="4"/>
      <c r="I18318" s="4"/>
    </row>
    <row r="18319">
      <c r="A18319" s="4" t="str">
        <f>IFERROR(__xludf.DUMMYFUNCTION("""COMPUTED_VALUE"""),"cas_hmw")</f>
        <v>cas_hmw</v>
      </c>
      <c r="B18319" s="5">
        <f>IFERROR(__xludf.DUMMYFUNCTION("""COMPUTED_VALUE"""),44743.0)</f>
        <v>44743</v>
      </c>
      <c r="C18319" s="6">
        <f>IFERROR(__xludf.DUMMYFUNCTION("""COMPUTED_VALUE"""),0.3569444444437977)</f>
        <v>0.3569444444</v>
      </c>
      <c r="D18319" s="4">
        <f>IFERROR(__xludf.DUMMYFUNCTION("""COMPUTED_VALUE"""),12.892304)</f>
        <v>12.892304</v>
      </c>
      <c r="E18319" s="4">
        <f>IFERROR(__xludf.DUMMYFUNCTION("""COMPUTED_VALUE"""),80.08572)</f>
        <v>80.08572</v>
      </c>
      <c r="F18319" s="4">
        <f>IFERROR(__xludf.DUMMYFUNCTION("""COMPUTED_VALUE"""),805.0)</f>
        <v>805</v>
      </c>
      <c r="G18319" s="4">
        <f>IFERROR(__xludf.DUMMYFUNCTION("""COMPUTED_VALUE"""),22.0)</f>
        <v>22</v>
      </c>
      <c r="H18319" s="4"/>
      <c r="I18319" s="4"/>
    </row>
    <row r="18320">
      <c r="A18320" s="4" t="str">
        <f>IFERROR(__xludf.DUMMYFUNCTION("""COMPUTED_VALUE"""),"cas_hmw")</f>
        <v>cas_hmw</v>
      </c>
      <c r="B18320" s="5">
        <f>IFERROR(__xludf.DUMMYFUNCTION("""COMPUTED_VALUE"""),44743.0)</f>
        <v>44743</v>
      </c>
      <c r="C18320" s="6">
        <f>IFERROR(__xludf.DUMMYFUNCTION("""COMPUTED_VALUE"""),0.3572337962978054)</f>
        <v>0.3572337963</v>
      </c>
      <c r="D18320" s="4">
        <f>IFERROR(__xludf.DUMMYFUNCTION("""COMPUTED_VALUE"""),12.889051)</f>
        <v>12.889051</v>
      </c>
      <c r="E18320" s="4">
        <f>IFERROR(__xludf.DUMMYFUNCTION("""COMPUTED_VALUE"""),80.084201)</f>
        <v>80.084201</v>
      </c>
      <c r="F18320" s="4">
        <f>IFERROR(__xludf.DUMMYFUNCTION("""COMPUTED_VALUE"""),805.0)</f>
        <v>805</v>
      </c>
      <c r="G18320" s="4">
        <f>IFERROR(__xludf.DUMMYFUNCTION("""COMPUTED_VALUE"""),53.0)</f>
        <v>53</v>
      </c>
      <c r="H18320" s="4"/>
      <c r="I18320" s="4"/>
    </row>
    <row r="18321">
      <c r="A18321" s="4" t="str">
        <f>IFERROR(__xludf.DUMMYFUNCTION("""COMPUTED_VALUE"""),"cas_hmw")</f>
        <v>cas_hmw</v>
      </c>
      <c r="B18321" s="5">
        <f>IFERROR(__xludf.DUMMYFUNCTION("""COMPUTED_VALUE"""),44743.0)</f>
        <v>44743</v>
      </c>
      <c r="C18321" s="6">
        <f>IFERROR(__xludf.DUMMYFUNCTION("""COMPUTED_VALUE"""),0.3573148148134351)</f>
        <v>0.3573148148</v>
      </c>
      <c r="D18321" s="4">
        <f>IFERROR(__xludf.DUMMYFUNCTION("""COMPUTED_VALUE"""),12.889051)</f>
        <v>12.889051</v>
      </c>
      <c r="E18321" s="4">
        <f>IFERROR(__xludf.DUMMYFUNCTION("""COMPUTED_VALUE"""),80.084201)</f>
        <v>80.084201</v>
      </c>
      <c r="F18321" s="4">
        <f>IFERROR(__xludf.DUMMYFUNCTION("""COMPUTED_VALUE"""),805.0)</f>
        <v>805</v>
      </c>
      <c r="G18321" s="4">
        <f>IFERROR(__xludf.DUMMYFUNCTION("""COMPUTED_VALUE"""),53.0)</f>
        <v>53</v>
      </c>
      <c r="H18321" s="4"/>
      <c r="I18321" s="4"/>
    </row>
    <row r="18322">
      <c r="A18322" s="4" t="str">
        <f>IFERROR(__xludf.DUMMYFUNCTION("""COMPUTED_VALUE"""),"cas_hmw")</f>
        <v>cas_hmw</v>
      </c>
      <c r="B18322" s="5">
        <f>IFERROR(__xludf.DUMMYFUNCTION("""COMPUTED_VALUE"""),44743.0)</f>
        <v>44743</v>
      </c>
      <c r="C18322" s="6">
        <f>IFERROR(__xludf.DUMMYFUNCTION("""COMPUTED_VALUE"""),0.3573842592595611)</f>
        <v>0.3573842593</v>
      </c>
      <c r="D18322" s="4">
        <f>IFERROR(__xludf.DUMMYFUNCTION("""COMPUTED_VALUE"""),12.887049)</f>
        <v>12.887049</v>
      </c>
      <c r="E18322" s="4">
        <f>IFERROR(__xludf.DUMMYFUNCTION("""COMPUTED_VALUE"""),80.083382)</f>
        <v>80.083382</v>
      </c>
      <c r="F18322" s="4">
        <f>IFERROR(__xludf.DUMMYFUNCTION("""COMPUTED_VALUE"""),805.0)</f>
        <v>805</v>
      </c>
      <c r="G18322" s="4">
        <f>IFERROR(__xludf.DUMMYFUNCTION("""COMPUTED_VALUE"""),53.0)</f>
        <v>53</v>
      </c>
      <c r="H18322" s="4"/>
      <c r="I18322" s="4"/>
    </row>
    <row r="18323">
      <c r="A18323" s="4" t="str">
        <f>IFERROR(__xludf.DUMMYFUNCTION("""COMPUTED_VALUE"""),"cas_hmw")</f>
        <v>cas_hmw</v>
      </c>
      <c r="B18323" s="5">
        <f>IFERROR(__xludf.DUMMYFUNCTION("""COMPUTED_VALUE"""),44743.0)</f>
        <v>44743</v>
      </c>
      <c r="C18323" s="6">
        <f>IFERROR(__xludf.DUMMYFUNCTION("""COMPUTED_VALUE"""),0.3576273148137261)</f>
        <v>0.3576273148</v>
      </c>
      <c r="D18323" s="4">
        <f>IFERROR(__xludf.DUMMYFUNCTION("""COMPUTED_VALUE"""),12.885281)</f>
        <v>12.885281</v>
      </c>
      <c r="E18323" s="4">
        <f>IFERROR(__xludf.DUMMYFUNCTION("""COMPUTED_VALUE"""),80.082671)</f>
        <v>80.082671</v>
      </c>
      <c r="F18323" s="4">
        <f>IFERROR(__xludf.DUMMYFUNCTION("""COMPUTED_VALUE"""),805.0)</f>
        <v>805</v>
      </c>
      <c r="G18323" s="4">
        <f>IFERROR(__xludf.DUMMYFUNCTION("""COMPUTED_VALUE"""),42.0)</f>
        <v>42</v>
      </c>
      <c r="H18323" s="4"/>
      <c r="I18323" s="4"/>
    </row>
    <row r="18324">
      <c r="A18324" s="4" t="str">
        <f>IFERROR(__xludf.DUMMYFUNCTION("""COMPUTED_VALUE"""),"cas_hmw")</f>
        <v>cas_hmw</v>
      </c>
      <c r="B18324" s="5">
        <f>IFERROR(__xludf.DUMMYFUNCTION("""COMPUTED_VALUE"""),44743.0)</f>
        <v>44743</v>
      </c>
      <c r="C18324" s="6">
        <f>IFERROR(__xludf.DUMMYFUNCTION("""COMPUTED_VALUE"""),0.3576620370367891)</f>
        <v>0.357662037</v>
      </c>
      <c r="D18324" s="4">
        <f>IFERROR(__xludf.DUMMYFUNCTION("""COMPUTED_VALUE"""),12.885281)</f>
        <v>12.885281</v>
      </c>
      <c r="E18324" s="4">
        <f>IFERROR(__xludf.DUMMYFUNCTION("""COMPUTED_VALUE"""),80.082671)</f>
        <v>80.082671</v>
      </c>
      <c r="F18324" s="4">
        <f>IFERROR(__xludf.DUMMYFUNCTION("""COMPUTED_VALUE"""),805.0)</f>
        <v>805</v>
      </c>
      <c r="G18324" s="4">
        <f>IFERROR(__xludf.DUMMYFUNCTION("""COMPUTED_VALUE"""),42.0)</f>
        <v>42</v>
      </c>
      <c r="H18324" s="4"/>
      <c r="I18324" s="4"/>
    </row>
    <row r="18325">
      <c r="A18325" s="4" t="str">
        <f>IFERROR(__xludf.DUMMYFUNCTION("""COMPUTED_VALUE"""),"cas_hmw")</f>
        <v>cas_hmw</v>
      </c>
      <c r="B18325" s="5">
        <f>IFERROR(__xludf.DUMMYFUNCTION("""COMPUTED_VALUE"""),44743.0)</f>
        <v>44743</v>
      </c>
      <c r="C18325" s="6">
        <f>IFERROR(__xludf.DUMMYFUNCTION("""COMPUTED_VALUE"""),0.3576736111099308)</f>
        <v>0.3576736111</v>
      </c>
      <c r="D18325" s="4">
        <f>IFERROR(__xludf.DUMMYFUNCTION("""COMPUTED_VALUE"""),12.885281)</f>
        <v>12.885281</v>
      </c>
      <c r="E18325" s="4">
        <f>IFERROR(__xludf.DUMMYFUNCTION("""COMPUTED_VALUE"""),80.082671)</f>
        <v>80.082671</v>
      </c>
      <c r="F18325" s="4">
        <f>IFERROR(__xludf.DUMMYFUNCTION("""COMPUTED_VALUE"""),805.0)</f>
        <v>805</v>
      </c>
      <c r="G18325" s="4">
        <f>IFERROR(__xludf.DUMMYFUNCTION("""COMPUTED_VALUE"""),42.0)</f>
        <v>42</v>
      </c>
      <c r="H18325" s="4"/>
      <c r="I18325" s="4"/>
    </row>
    <row r="18326">
      <c r="A18326" s="4" t="str">
        <f>IFERROR(__xludf.DUMMYFUNCTION("""COMPUTED_VALUE"""),"cas_hmw")</f>
        <v>cas_hmw</v>
      </c>
      <c r="B18326" s="5">
        <f>IFERROR(__xludf.DUMMYFUNCTION("""COMPUTED_VALUE"""),44743.0)</f>
        <v>44743</v>
      </c>
      <c r="C18326" s="6">
        <f>IFERROR(__xludf.DUMMYFUNCTION("""COMPUTED_VALUE"""),0.3576967592598521)</f>
        <v>0.3576967593</v>
      </c>
      <c r="D18326" s="4">
        <f>IFERROR(__xludf.DUMMYFUNCTION("""COMPUTED_VALUE"""),12.885281)</f>
        <v>12.885281</v>
      </c>
      <c r="E18326" s="4">
        <f>IFERROR(__xludf.DUMMYFUNCTION("""COMPUTED_VALUE"""),80.082671)</f>
        <v>80.082671</v>
      </c>
      <c r="F18326" s="4">
        <f>IFERROR(__xludf.DUMMYFUNCTION("""COMPUTED_VALUE"""),805.0)</f>
        <v>805</v>
      </c>
      <c r="G18326" s="4">
        <f>IFERROR(__xludf.DUMMYFUNCTION("""COMPUTED_VALUE"""),42.0)</f>
        <v>42</v>
      </c>
      <c r="H18326" s="4"/>
      <c r="I18326" s="4"/>
    </row>
    <row r="18327">
      <c r="A18327" s="4" t="str">
        <f>IFERROR(__xludf.DUMMYFUNCTION("""COMPUTED_VALUE"""),"cas_hmw")</f>
        <v>cas_hmw</v>
      </c>
      <c r="B18327" s="5">
        <f>IFERROR(__xludf.DUMMYFUNCTION("""COMPUTED_VALUE"""),44743.0)</f>
        <v>44743</v>
      </c>
      <c r="C18327" s="6">
        <f>IFERROR(__xludf.DUMMYFUNCTION("""COMPUTED_VALUE"""),0.3576967592598521)</f>
        <v>0.3576967593</v>
      </c>
      <c r="D18327" s="4">
        <f>IFERROR(__xludf.DUMMYFUNCTION("""COMPUTED_VALUE"""),12.885281)</f>
        <v>12.885281</v>
      </c>
      <c r="E18327" s="4">
        <f>IFERROR(__xludf.DUMMYFUNCTION("""COMPUTED_VALUE"""),80.082671)</f>
        <v>80.082671</v>
      </c>
      <c r="F18327" s="4">
        <f>IFERROR(__xludf.DUMMYFUNCTION("""COMPUTED_VALUE"""),805.0)</f>
        <v>805</v>
      </c>
      <c r="G18327" s="4">
        <f>IFERROR(__xludf.DUMMYFUNCTION("""COMPUTED_VALUE"""),42.0)</f>
        <v>42</v>
      </c>
      <c r="H18327" s="4"/>
      <c r="I18327" s="4"/>
    </row>
    <row r="18328">
      <c r="A18328" s="4" t="str">
        <f>IFERROR(__xludf.DUMMYFUNCTION("""COMPUTED_VALUE"""),"cas_hmw")</f>
        <v>cas_hmw</v>
      </c>
      <c r="B18328" s="5">
        <f>IFERROR(__xludf.DUMMYFUNCTION("""COMPUTED_VALUE"""),44743.0)</f>
        <v>44743</v>
      </c>
      <c r="C18328" s="6">
        <f>IFERROR(__xludf.DUMMYFUNCTION("""COMPUTED_VALUE"""),0.6729745370357705)</f>
        <v>0.672974537</v>
      </c>
      <c r="D18328" s="4">
        <f>IFERROR(__xludf.DUMMYFUNCTION("""COMPUTED_VALUE"""),12.875854)</f>
        <v>12.875854</v>
      </c>
      <c r="E18328" s="4">
        <f>IFERROR(__xludf.DUMMYFUNCTION("""COMPUTED_VALUE"""),80.083766)</f>
        <v>80.083766</v>
      </c>
      <c r="F18328" s="4">
        <f>IFERROR(__xludf.DUMMYFUNCTION("""COMPUTED_VALUE"""),805.0)</f>
        <v>805</v>
      </c>
      <c r="G18328" s="4">
        <f>IFERROR(__xludf.DUMMYFUNCTION("""COMPUTED_VALUE"""),0.0)</f>
        <v>0</v>
      </c>
      <c r="H18328" s="4"/>
      <c r="I18328" s="4"/>
    </row>
    <row r="18329">
      <c r="A18329" s="4" t="str">
        <f>IFERROR(__xludf.DUMMYFUNCTION("""COMPUTED_VALUE"""),"cas_hmw")</f>
        <v>cas_hmw</v>
      </c>
      <c r="B18329" s="5">
        <f>IFERROR(__xludf.DUMMYFUNCTION("""COMPUTED_VALUE"""),44743.0)</f>
        <v>44743</v>
      </c>
      <c r="C18329" s="6">
        <f>IFERROR(__xludf.DUMMYFUNCTION("""COMPUTED_VALUE"""),0.6729745370357705)</f>
        <v>0.672974537</v>
      </c>
      <c r="D18329" s="4">
        <f>IFERROR(__xludf.DUMMYFUNCTION("""COMPUTED_VALUE"""),12.875854)</f>
        <v>12.875854</v>
      </c>
      <c r="E18329" s="4">
        <f>IFERROR(__xludf.DUMMYFUNCTION("""COMPUTED_VALUE"""),80.083766)</f>
        <v>80.083766</v>
      </c>
      <c r="F18329" s="4">
        <f>IFERROR(__xludf.DUMMYFUNCTION("""COMPUTED_VALUE"""),805.0)</f>
        <v>805</v>
      </c>
      <c r="G18329" s="4">
        <f>IFERROR(__xludf.DUMMYFUNCTION("""COMPUTED_VALUE"""),0.0)</f>
        <v>0</v>
      </c>
      <c r="H18329" s="4"/>
      <c r="I18329" s="4"/>
    </row>
    <row r="18330">
      <c r="A18330" s="4" t="str">
        <f>IFERROR(__xludf.DUMMYFUNCTION("""COMPUTED_VALUE"""),"cas_hmw")</f>
        <v>cas_hmw</v>
      </c>
      <c r="B18330" s="5">
        <f>IFERROR(__xludf.DUMMYFUNCTION("""COMPUTED_VALUE"""),44743.0)</f>
        <v>44743</v>
      </c>
      <c r="C18330" s="6">
        <f>IFERROR(__xludf.DUMMYFUNCTION("""COMPUTED_VALUE"""),0.6729976851856918)</f>
        <v>0.6729976852</v>
      </c>
      <c r="D18330" s="4">
        <f>IFERROR(__xludf.DUMMYFUNCTION("""COMPUTED_VALUE"""),12.875854)</f>
        <v>12.875854</v>
      </c>
      <c r="E18330" s="4">
        <f>IFERROR(__xludf.DUMMYFUNCTION("""COMPUTED_VALUE"""),80.083766)</f>
        <v>80.083766</v>
      </c>
      <c r="F18330" s="4">
        <f>IFERROR(__xludf.DUMMYFUNCTION("""COMPUTED_VALUE"""),805.0)</f>
        <v>805</v>
      </c>
      <c r="G18330" s="4">
        <f>IFERROR(__xludf.DUMMYFUNCTION("""COMPUTED_VALUE"""),0.0)</f>
        <v>0</v>
      </c>
      <c r="H18330" s="4"/>
      <c r="I18330" s="4"/>
    </row>
    <row r="18331">
      <c r="A18331" s="4" t="str">
        <f>IFERROR(__xludf.DUMMYFUNCTION("""COMPUTED_VALUE"""),"cas_hmw")</f>
        <v>cas_hmw</v>
      </c>
      <c r="B18331" s="5">
        <f>IFERROR(__xludf.DUMMYFUNCTION("""COMPUTED_VALUE"""),44743.0)</f>
        <v>44743</v>
      </c>
      <c r="C18331" s="6">
        <f>IFERROR(__xludf.DUMMYFUNCTION("""COMPUTED_VALUE"""),0.6730092592588335)</f>
        <v>0.6730092593</v>
      </c>
      <c r="D18331" s="4">
        <f>IFERROR(__xludf.DUMMYFUNCTION("""COMPUTED_VALUE"""),12.875854)</f>
        <v>12.875854</v>
      </c>
      <c r="E18331" s="4">
        <f>IFERROR(__xludf.DUMMYFUNCTION("""COMPUTED_VALUE"""),80.083766)</f>
        <v>80.083766</v>
      </c>
      <c r="F18331" s="4">
        <f>IFERROR(__xludf.DUMMYFUNCTION("""COMPUTED_VALUE"""),805.0)</f>
        <v>805</v>
      </c>
      <c r="G18331" s="4">
        <f>IFERROR(__xludf.DUMMYFUNCTION("""COMPUTED_VALUE"""),0.0)</f>
        <v>0</v>
      </c>
      <c r="H18331" s="4"/>
      <c r="I18331" s="4"/>
    </row>
    <row r="18332">
      <c r="A18332" s="4" t="str">
        <f>IFERROR(__xludf.DUMMYFUNCTION("""COMPUTED_VALUE"""),"cas_hmw")</f>
        <v>cas_hmw</v>
      </c>
      <c r="B18332" s="5">
        <f>IFERROR(__xludf.DUMMYFUNCTION("""COMPUTED_VALUE"""),44743.0)</f>
        <v>44743</v>
      </c>
      <c r="C18332" s="6">
        <f>IFERROR(__xludf.DUMMYFUNCTION("""COMPUTED_VALUE"""),0.6730208333319752)</f>
        <v>0.6730208333</v>
      </c>
      <c r="D18332" s="4">
        <f>IFERROR(__xludf.DUMMYFUNCTION("""COMPUTED_VALUE"""),12.875854)</f>
        <v>12.875854</v>
      </c>
      <c r="E18332" s="4">
        <f>IFERROR(__xludf.DUMMYFUNCTION("""COMPUTED_VALUE"""),80.083766)</f>
        <v>80.083766</v>
      </c>
      <c r="F18332" s="4">
        <f>IFERROR(__xludf.DUMMYFUNCTION("""COMPUTED_VALUE"""),805.0)</f>
        <v>805</v>
      </c>
      <c r="G18332" s="4">
        <f>IFERROR(__xludf.DUMMYFUNCTION("""COMPUTED_VALUE"""),0.0)</f>
        <v>0</v>
      </c>
      <c r="H18332" s="4"/>
      <c r="I18332" s="4"/>
    </row>
    <row r="18333">
      <c r="A18333" s="4" t="str">
        <f>IFERROR(__xludf.DUMMYFUNCTION("""COMPUTED_VALUE"""),"cas_hmw")</f>
        <v>cas_hmw</v>
      </c>
      <c r="B18333" s="5">
        <f>IFERROR(__xludf.DUMMYFUNCTION("""COMPUTED_VALUE"""),44743.0)</f>
        <v>44743</v>
      </c>
      <c r="C18333" s="6">
        <f>IFERROR(__xludf.DUMMYFUNCTION("""COMPUTED_VALUE"""),0.6730671296281798)</f>
        <v>0.6730671296</v>
      </c>
      <c r="D18333" s="4">
        <f>IFERROR(__xludf.DUMMYFUNCTION("""COMPUTED_VALUE"""),12.878378)</f>
        <v>12.878378</v>
      </c>
      <c r="E18333" s="4">
        <f>IFERROR(__xludf.DUMMYFUNCTION("""COMPUTED_VALUE"""),80.082114)</f>
        <v>80.082114</v>
      </c>
      <c r="F18333" s="4">
        <f>IFERROR(__xludf.DUMMYFUNCTION("""COMPUTED_VALUE"""),2846.0)</f>
        <v>2846</v>
      </c>
      <c r="G18333" s="4">
        <f>IFERROR(__xludf.DUMMYFUNCTION("""COMPUTED_VALUE"""),57.0)</f>
        <v>57</v>
      </c>
      <c r="H18333" s="4"/>
      <c r="I18333" s="4"/>
    </row>
    <row r="18334">
      <c r="A18334" s="4" t="str">
        <f>IFERROR(__xludf.DUMMYFUNCTION("""COMPUTED_VALUE"""),"cas_hmw")</f>
        <v>cas_hmw</v>
      </c>
      <c r="B18334" s="5">
        <f>IFERROR(__xludf.DUMMYFUNCTION("""COMPUTED_VALUE"""),44743.0)</f>
        <v>44743</v>
      </c>
      <c r="C18334" s="6">
        <f>IFERROR(__xludf.DUMMYFUNCTION("""COMPUTED_VALUE"""),0.6740740740751789)</f>
        <v>0.6740740741</v>
      </c>
      <c r="D18334" s="4">
        <f>IFERROR(__xludf.DUMMYFUNCTION("""COMPUTED_VALUE"""),12.881826)</f>
        <v>12.881826</v>
      </c>
      <c r="E18334" s="4">
        <f>IFERROR(__xludf.DUMMYFUNCTION("""COMPUTED_VALUE"""),80.080841)</f>
        <v>80.080841</v>
      </c>
      <c r="F18334" s="4">
        <f>IFERROR(__xludf.DUMMYFUNCTION("""COMPUTED_VALUE"""),805.0)</f>
        <v>805</v>
      </c>
      <c r="G18334" s="4">
        <f>IFERROR(__xludf.DUMMYFUNCTION("""COMPUTED_VALUE"""),30.0)</f>
        <v>30</v>
      </c>
      <c r="H18334" s="4"/>
      <c r="I18334" s="4"/>
    </row>
    <row r="18335">
      <c r="A18335" s="4" t="str">
        <f>IFERROR(__xludf.DUMMYFUNCTION("""COMPUTED_VALUE"""),"cas_hmw")</f>
        <v>cas_hmw</v>
      </c>
      <c r="B18335" s="5">
        <f>IFERROR(__xludf.DUMMYFUNCTION("""COMPUTED_VALUE"""),44743.0)</f>
        <v>44743</v>
      </c>
      <c r="C18335" s="6">
        <f>IFERROR(__xludf.DUMMYFUNCTION("""COMPUTED_VALUE"""),0.6744791666678793)</f>
        <v>0.6744791667</v>
      </c>
      <c r="D18335" s="4">
        <f>IFERROR(__xludf.DUMMYFUNCTION("""COMPUTED_VALUE"""),12.869766)</f>
        <v>12.869766</v>
      </c>
      <c r="E18335" s="4">
        <f>IFERROR(__xludf.DUMMYFUNCTION("""COMPUTED_VALUE"""),80.076567)</f>
        <v>80.076567</v>
      </c>
      <c r="F18335" s="4">
        <f>IFERROR(__xludf.DUMMYFUNCTION("""COMPUTED_VALUE"""),2846.0)</f>
        <v>2846</v>
      </c>
      <c r="G18335" s="4">
        <f>IFERROR(__xludf.DUMMYFUNCTION("""COMPUTED_VALUE"""),57.0)</f>
        <v>57</v>
      </c>
      <c r="H18335" s="4"/>
      <c r="I18335" s="4"/>
    </row>
    <row r="18336">
      <c r="A18336" s="4" t="str">
        <f>IFERROR(__xludf.DUMMYFUNCTION("""COMPUTED_VALUE"""),"cas_hmw")</f>
        <v>cas_hmw</v>
      </c>
      <c r="B18336" s="5">
        <f>IFERROR(__xludf.DUMMYFUNCTION("""COMPUTED_VALUE"""),44743.0)</f>
        <v>44743</v>
      </c>
      <c r="C18336" s="6">
        <f>IFERROR(__xludf.DUMMYFUNCTION("""COMPUTED_VALUE"""),0.6745717592602887)</f>
        <v>0.6745717593</v>
      </c>
      <c r="D18336" s="4">
        <f>IFERROR(__xludf.DUMMYFUNCTION("""COMPUTED_VALUE"""),12.881826)</f>
        <v>12.881826</v>
      </c>
      <c r="E18336" s="4">
        <f>IFERROR(__xludf.DUMMYFUNCTION("""COMPUTED_VALUE"""),80.080841)</f>
        <v>80.080841</v>
      </c>
      <c r="F18336" s="4">
        <f>IFERROR(__xludf.DUMMYFUNCTION("""COMPUTED_VALUE"""),805.0)</f>
        <v>805</v>
      </c>
      <c r="G18336" s="4">
        <f>IFERROR(__xludf.DUMMYFUNCTION("""COMPUTED_VALUE"""),30.0)</f>
        <v>30</v>
      </c>
      <c r="H18336" s="4"/>
      <c r="I18336" s="4"/>
    </row>
    <row r="18337">
      <c r="A18337" s="4" t="str">
        <f>IFERROR(__xludf.DUMMYFUNCTION("""COMPUTED_VALUE"""),"cas_hmw")</f>
        <v>cas_hmw</v>
      </c>
      <c r="B18337" s="5">
        <f>IFERROR(__xludf.DUMMYFUNCTION("""COMPUTED_VALUE"""),44743.0)</f>
        <v>44743</v>
      </c>
      <c r="C18337" s="6">
        <f>IFERROR(__xludf.DUMMYFUNCTION("""COMPUTED_VALUE"""),0.6746412037027767)</f>
        <v>0.6746412037</v>
      </c>
      <c r="D18337" s="4">
        <f>IFERROR(__xludf.DUMMYFUNCTION("""COMPUTED_VALUE"""),12.866534)</f>
        <v>12.866534</v>
      </c>
      <c r="E18337" s="4">
        <f>IFERROR(__xludf.DUMMYFUNCTION("""COMPUTED_VALUE"""),80.07526)</f>
        <v>80.07526</v>
      </c>
      <c r="F18337" s="4">
        <f>IFERROR(__xludf.DUMMYFUNCTION("""COMPUTED_VALUE"""),2846.0)</f>
        <v>2846</v>
      </c>
      <c r="G18337" s="4">
        <f>IFERROR(__xludf.DUMMYFUNCTION("""COMPUTED_VALUE"""),29.0)</f>
        <v>29</v>
      </c>
      <c r="H18337" s="4"/>
      <c r="I18337" s="4"/>
    </row>
    <row r="18338">
      <c r="A18338" s="4" t="str">
        <f>IFERROR(__xludf.DUMMYFUNCTION("""COMPUTED_VALUE"""),"cas_hmw")</f>
        <v>cas_hmw</v>
      </c>
      <c r="B18338" s="5">
        <f>IFERROR(__xludf.DUMMYFUNCTION("""COMPUTED_VALUE"""),44743.0)</f>
        <v>44743</v>
      </c>
      <c r="C18338" s="6">
        <f>IFERROR(__xludf.DUMMYFUNCTION("""COMPUTED_VALUE"""),0.6750115740724141)</f>
        <v>0.6750115741</v>
      </c>
      <c r="D18338" s="4">
        <f>IFERROR(__xludf.DUMMYFUNCTION("""COMPUTED_VALUE"""),12.895756)</f>
        <v>12.895756</v>
      </c>
      <c r="E18338" s="4">
        <f>IFERROR(__xludf.DUMMYFUNCTION("""COMPUTED_VALUE"""),80.08812)</f>
        <v>80.08812</v>
      </c>
      <c r="F18338" s="4">
        <f>IFERROR(__xludf.DUMMYFUNCTION("""COMPUTED_VALUE"""),805.0)</f>
        <v>805</v>
      </c>
      <c r="G18338" s="4">
        <f>IFERROR(__xludf.DUMMYFUNCTION("""COMPUTED_VALUE"""),49.0)</f>
        <v>49</v>
      </c>
      <c r="H18338" s="4"/>
      <c r="I18338" s="4"/>
    </row>
    <row r="18339">
      <c r="A18339" s="4" t="str">
        <f>IFERROR(__xludf.DUMMYFUNCTION("""COMPUTED_VALUE"""),"cas_hmw")</f>
        <v>cas_hmw</v>
      </c>
      <c r="B18339" s="5">
        <f>IFERROR(__xludf.DUMMYFUNCTION("""COMPUTED_VALUE"""),44743.0)</f>
        <v>44743</v>
      </c>
      <c r="C18339" s="6">
        <f>IFERROR(__xludf.DUMMYFUNCTION("""COMPUTED_VALUE"""),0.6751157407416031)</f>
        <v>0.6751157407</v>
      </c>
      <c r="D18339" s="4">
        <f>IFERROR(__xludf.DUMMYFUNCTION("""COMPUTED_VALUE"""),12.896855)</f>
        <v>12.896855</v>
      </c>
      <c r="E18339" s="4">
        <f>IFERROR(__xludf.DUMMYFUNCTION("""COMPUTED_VALUE"""),80.08894)</f>
        <v>80.08894</v>
      </c>
      <c r="F18339" s="4">
        <f>IFERROR(__xludf.DUMMYFUNCTION("""COMPUTED_VALUE"""),805.0)</f>
        <v>805</v>
      </c>
      <c r="G18339" s="4">
        <f>IFERROR(__xludf.DUMMYFUNCTION("""COMPUTED_VALUE"""),50.0)</f>
        <v>50</v>
      </c>
      <c r="H18339" s="4"/>
      <c r="I18339" s="4"/>
    </row>
    <row r="18340">
      <c r="A18340" s="4" t="str">
        <f>IFERROR(__xludf.DUMMYFUNCTION("""COMPUTED_VALUE"""),"cas_hmw")</f>
        <v>cas_hmw</v>
      </c>
      <c r="B18340" s="5">
        <f>IFERROR(__xludf.DUMMYFUNCTION("""COMPUTED_VALUE"""),44743.0)</f>
        <v>44743</v>
      </c>
      <c r="C18340" s="6">
        <f>IFERROR(__xludf.DUMMYFUNCTION("""COMPUTED_VALUE"""),0.6751504629646661)</f>
        <v>0.675150463</v>
      </c>
      <c r="D18340" s="4">
        <f>IFERROR(__xludf.DUMMYFUNCTION("""COMPUTED_VALUE"""),12.896855)</f>
        <v>12.896855</v>
      </c>
      <c r="E18340" s="4">
        <f>IFERROR(__xludf.DUMMYFUNCTION("""COMPUTED_VALUE"""),80.08894)</f>
        <v>80.08894</v>
      </c>
      <c r="F18340" s="4">
        <f>IFERROR(__xludf.DUMMYFUNCTION("""COMPUTED_VALUE"""),805.0)</f>
        <v>805</v>
      </c>
      <c r="G18340" s="4">
        <f>IFERROR(__xludf.DUMMYFUNCTION("""COMPUTED_VALUE"""),50.0)</f>
        <v>50</v>
      </c>
      <c r="H18340" s="4"/>
      <c r="I18340" s="4"/>
    </row>
    <row r="18341">
      <c r="A18341" s="4" t="str">
        <f>IFERROR(__xludf.DUMMYFUNCTION("""COMPUTED_VALUE"""),"cas_hmw")</f>
        <v>cas_hmw</v>
      </c>
      <c r="B18341" s="5">
        <f>IFERROR(__xludf.DUMMYFUNCTION("""COMPUTED_VALUE"""),44743.0)</f>
        <v>44743</v>
      </c>
      <c r="C18341" s="6">
        <f>IFERROR(__xludf.DUMMYFUNCTION("""COMPUTED_VALUE"""),0.6755555555573665)</f>
        <v>0.6755555556</v>
      </c>
      <c r="D18341" s="4">
        <f>IFERROR(__xludf.DUMMYFUNCTION("""COMPUTED_VALUE"""),12.90122)</f>
        <v>12.90122</v>
      </c>
      <c r="E18341" s="4">
        <f>IFERROR(__xludf.DUMMYFUNCTION("""COMPUTED_VALUE"""),80.092215)</f>
        <v>80.092215</v>
      </c>
      <c r="F18341" s="4">
        <f>IFERROR(__xludf.DUMMYFUNCTION("""COMPUTED_VALUE"""),805.0)</f>
        <v>805</v>
      </c>
      <c r="G18341" s="4">
        <f>IFERROR(__xludf.DUMMYFUNCTION("""COMPUTED_VALUE"""),56.0)</f>
        <v>56</v>
      </c>
      <c r="H18341" s="4"/>
      <c r="I18341" s="4"/>
    </row>
    <row r="18342">
      <c r="A18342" s="4" t="str">
        <f>IFERROR(__xludf.DUMMYFUNCTION("""COMPUTED_VALUE"""),"cas_hmw")</f>
        <v>cas_hmw</v>
      </c>
      <c r="B18342" s="5">
        <f>IFERROR(__xludf.DUMMYFUNCTION("""COMPUTED_VALUE"""),44743.0)</f>
        <v>44743</v>
      </c>
      <c r="C18342" s="6">
        <f>IFERROR(__xludf.DUMMYFUNCTION("""COMPUTED_VALUE"""),0.6756481481497758)</f>
        <v>0.6756481481</v>
      </c>
      <c r="D18342" s="4">
        <f>IFERROR(__xludf.DUMMYFUNCTION("""COMPUTED_VALUE"""),12.859816)</f>
        <v>12.859816</v>
      </c>
      <c r="E18342" s="4">
        <f>IFERROR(__xludf.DUMMYFUNCTION("""COMPUTED_VALUE"""),80.07218)</f>
        <v>80.07218</v>
      </c>
      <c r="F18342" s="4">
        <f>IFERROR(__xludf.DUMMYFUNCTION("""COMPUTED_VALUE"""),2846.0)</f>
        <v>2846</v>
      </c>
      <c r="G18342" s="4">
        <f>IFERROR(__xludf.DUMMYFUNCTION("""COMPUTED_VALUE"""),51.0)</f>
        <v>51</v>
      </c>
      <c r="H18342" s="4"/>
      <c r="I18342" s="4"/>
    </row>
    <row r="18343">
      <c r="A18343" s="4" t="str">
        <f>IFERROR(__xludf.DUMMYFUNCTION("""COMPUTED_VALUE"""),"cas_hmw")</f>
        <v>cas_hmw</v>
      </c>
      <c r="B18343" s="5">
        <f>IFERROR(__xludf.DUMMYFUNCTION("""COMPUTED_VALUE"""),44743.0)</f>
        <v>44743</v>
      </c>
      <c r="C18343" s="6">
        <f>IFERROR(__xludf.DUMMYFUNCTION("""COMPUTED_VALUE"""),0.6756712962960592)</f>
        <v>0.6756712963</v>
      </c>
      <c r="D18343" s="4">
        <f>IFERROR(__xludf.DUMMYFUNCTION("""COMPUTED_VALUE"""),12.902278)</f>
        <v>12.902278</v>
      </c>
      <c r="E18343" s="4">
        <f>IFERROR(__xludf.DUMMYFUNCTION("""COMPUTED_VALUE"""),80.092998)</f>
        <v>80.092998</v>
      </c>
      <c r="F18343" s="4">
        <f>IFERROR(__xludf.DUMMYFUNCTION("""COMPUTED_VALUE"""),805.0)</f>
        <v>805</v>
      </c>
      <c r="G18343" s="4">
        <f>IFERROR(__xludf.DUMMYFUNCTION("""COMPUTED_VALUE"""),37.0)</f>
        <v>37</v>
      </c>
      <c r="H18343" s="4"/>
      <c r="I18343" s="4"/>
    </row>
    <row r="18344">
      <c r="A18344" s="4" t="str">
        <f>IFERROR(__xludf.DUMMYFUNCTION("""COMPUTED_VALUE"""),"cas_hmw")</f>
        <v>cas_hmw</v>
      </c>
      <c r="B18344" s="5">
        <f>IFERROR(__xludf.DUMMYFUNCTION("""COMPUTED_VALUE"""),44743.0)</f>
        <v>44743</v>
      </c>
      <c r="C18344" s="6">
        <f>IFERROR(__xludf.DUMMYFUNCTION("""COMPUTED_VALUE"""),0.6757638888884685)</f>
        <v>0.6757638889</v>
      </c>
      <c r="D18344" s="4">
        <f>IFERROR(__xludf.DUMMYFUNCTION("""COMPUTED_VALUE"""),12.85533)</f>
        <v>12.85533</v>
      </c>
      <c r="E18344" s="4">
        <f>IFERROR(__xludf.DUMMYFUNCTION("""COMPUTED_VALUE"""),80.068731)</f>
        <v>80.068731</v>
      </c>
      <c r="F18344" s="4">
        <f>IFERROR(__xludf.DUMMYFUNCTION("""COMPUTED_VALUE"""),2846.0)</f>
        <v>2846</v>
      </c>
      <c r="G18344" s="4">
        <f>IFERROR(__xludf.DUMMYFUNCTION("""COMPUTED_VALUE"""),58.0)</f>
        <v>58</v>
      </c>
      <c r="H18344" s="4"/>
      <c r="I18344" s="4"/>
    </row>
    <row r="18345">
      <c r="A18345" s="4" t="str">
        <f>IFERROR(__xludf.DUMMYFUNCTION("""COMPUTED_VALUE"""),"cas_hmw")</f>
        <v>cas_hmw</v>
      </c>
      <c r="B18345" s="5">
        <f>IFERROR(__xludf.DUMMYFUNCTION("""COMPUTED_VALUE"""),44743.0)</f>
        <v>44743</v>
      </c>
      <c r="C18345" s="6">
        <f>IFERROR(__xludf.DUMMYFUNCTION("""COMPUTED_VALUE"""),0.6757986111115315)</f>
        <v>0.6757986111</v>
      </c>
      <c r="D18345" s="4">
        <f>IFERROR(__xludf.DUMMYFUNCTION("""COMPUTED_VALUE"""),12.902972)</f>
        <v>12.902972</v>
      </c>
      <c r="E18345" s="4">
        <f>IFERROR(__xludf.DUMMYFUNCTION("""COMPUTED_VALUE"""),80.093512)</f>
        <v>80.093512</v>
      </c>
      <c r="F18345" s="4">
        <f>IFERROR(__xludf.DUMMYFUNCTION("""COMPUTED_VALUE"""),805.0)</f>
        <v>805</v>
      </c>
      <c r="G18345" s="4">
        <f>IFERROR(__xludf.DUMMYFUNCTION("""COMPUTED_VALUE"""),39.0)</f>
        <v>39</v>
      </c>
      <c r="H18345" s="4"/>
      <c r="I18345" s="4"/>
    </row>
    <row r="18346">
      <c r="A18346" s="4" t="str">
        <f>IFERROR(__xludf.DUMMYFUNCTION("""COMPUTED_VALUE"""),"cas_hmw")</f>
        <v>cas_hmw</v>
      </c>
      <c r="B18346" s="5">
        <f>IFERROR(__xludf.DUMMYFUNCTION("""COMPUTED_VALUE"""),44743.0)</f>
        <v>44743</v>
      </c>
      <c r="C18346" s="6">
        <f>IFERROR(__xludf.DUMMYFUNCTION("""COMPUTED_VALUE"""),0.6759143518502242)</f>
        <v>0.6759143519</v>
      </c>
      <c r="D18346" s="4">
        <f>IFERROR(__xludf.DUMMYFUNCTION("""COMPUTED_VALUE"""),12.85533)</f>
        <v>12.85533</v>
      </c>
      <c r="E18346" s="4">
        <f>IFERROR(__xludf.DUMMYFUNCTION("""COMPUTED_VALUE"""),80.068731)</f>
        <v>80.068731</v>
      </c>
      <c r="F18346" s="4">
        <f>IFERROR(__xludf.DUMMYFUNCTION("""COMPUTED_VALUE"""),2846.0)</f>
        <v>2846</v>
      </c>
      <c r="G18346" s="4">
        <f>IFERROR(__xludf.DUMMYFUNCTION("""COMPUTED_VALUE"""),58.0)</f>
        <v>58</v>
      </c>
      <c r="H18346" s="4"/>
      <c r="I18346" s="4"/>
    </row>
    <row r="18347">
      <c r="A18347" s="4" t="str">
        <f>IFERROR(__xludf.DUMMYFUNCTION("""COMPUTED_VALUE"""),"cas_hmw")</f>
        <v>cas_hmw</v>
      </c>
      <c r="B18347" s="5">
        <f>IFERROR(__xludf.DUMMYFUNCTION("""COMPUTED_VALUE"""),44743.0)</f>
        <v>44743</v>
      </c>
      <c r="C18347" s="6">
        <f>IFERROR(__xludf.DUMMYFUNCTION("""COMPUTED_VALUE"""),0.6764583333315386)</f>
        <v>0.6764583333</v>
      </c>
      <c r="D18347" s="4">
        <f>IFERROR(__xludf.DUMMYFUNCTION("""COMPUTED_VALUE"""),12.848823)</f>
        <v>12.848823</v>
      </c>
      <c r="E18347" s="4">
        <f>IFERROR(__xludf.DUMMYFUNCTION("""COMPUTED_VALUE"""),80.064005)</f>
        <v>80.064005</v>
      </c>
      <c r="F18347" s="4">
        <f>IFERROR(__xludf.DUMMYFUNCTION("""COMPUTED_VALUE"""),2846.0)</f>
        <v>2846</v>
      </c>
      <c r="G18347" s="4">
        <f>IFERROR(__xludf.DUMMYFUNCTION("""COMPUTED_VALUE"""),52.0)</f>
        <v>52</v>
      </c>
      <c r="H18347" s="4"/>
      <c r="I18347" s="4"/>
    </row>
    <row r="18348">
      <c r="A18348" s="4" t="str">
        <f>IFERROR(__xludf.DUMMYFUNCTION("""COMPUTED_VALUE"""),"cas_hmw")</f>
        <v>cas_hmw</v>
      </c>
      <c r="B18348" s="5">
        <f>IFERROR(__xludf.DUMMYFUNCTION("""COMPUTED_VALUE"""),44743.0)</f>
        <v>44743</v>
      </c>
      <c r="C18348" s="6">
        <f>IFERROR(__xludf.DUMMYFUNCTION("""COMPUTED_VALUE"""),0.6772222222207347)</f>
        <v>0.6772222222</v>
      </c>
      <c r="D18348" s="4">
        <f>IFERROR(__xludf.DUMMYFUNCTION("""COMPUTED_VALUE"""),12.912761)</f>
        <v>12.912761</v>
      </c>
      <c r="E18348" s="4">
        <f>IFERROR(__xludf.DUMMYFUNCTION("""COMPUTED_VALUE"""),80.101431)</f>
        <v>80.101431</v>
      </c>
      <c r="F18348" s="4">
        <f>IFERROR(__xludf.DUMMYFUNCTION("""COMPUTED_VALUE"""),805.0)</f>
        <v>805</v>
      </c>
      <c r="G18348" s="4">
        <f>IFERROR(__xludf.DUMMYFUNCTION("""COMPUTED_VALUE"""),44.0)</f>
        <v>44</v>
      </c>
      <c r="H18348" s="4"/>
      <c r="I18348" s="4"/>
    </row>
    <row r="18349">
      <c r="A18349" s="4" t="str">
        <f>IFERROR(__xludf.DUMMYFUNCTION("""COMPUTED_VALUE"""),"cas_hmw")</f>
        <v>cas_hmw</v>
      </c>
      <c r="B18349" s="5">
        <f>IFERROR(__xludf.DUMMYFUNCTION("""COMPUTED_VALUE"""),44743.0)</f>
        <v>44743</v>
      </c>
      <c r="C18349" s="6">
        <f>IFERROR(__xludf.DUMMYFUNCTION("""COMPUTED_VALUE"""),0.6774768518516794)</f>
        <v>0.6774768519</v>
      </c>
      <c r="D18349" s="4">
        <f>IFERROR(__xludf.DUMMYFUNCTION("""COMPUTED_VALUE"""),12.915092)</f>
        <v>12.915092</v>
      </c>
      <c r="E18349" s="4">
        <f>IFERROR(__xludf.DUMMYFUNCTION("""COMPUTED_VALUE"""),80.102125)</f>
        <v>80.102125</v>
      </c>
      <c r="F18349" s="4">
        <f>IFERROR(__xludf.DUMMYFUNCTION("""COMPUTED_VALUE"""),805.0)</f>
        <v>805</v>
      </c>
      <c r="G18349" s="4">
        <f>IFERROR(__xludf.DUMMYFUNCTION("""COMPUTED_VALUE"""),58.0)</f>
        <v>58</v>
      </c>
      <c r="H18349" s="4"/>
      <c r="I18349" s="4"/>
    </row>
    <row r="18350">
      <c r="A18350" s="4" t="str">
        <f>IFERROR(__xludf.DUMMYFUNCTION("""COMPUTED_VALUE"""),"cas_hmw")</f>
        <v>cas_hmw</v>
      </c>
      <c r="B18350" s="5">
        <f>IFERROR(__xludf.DUMMYFUNCTION("""COMPUTED_VALUE"""),44743.0)</f>
        <v>44743</v>
      </c>
      <c r="C18350" s="6">
        <f>IFERROR(__xludf.DUMMYFUNCTION("""COMPUTED_VALUE"""),0.6778240740750334)</f>
        <v>0.6778240741</v>
      </c>
      <c r="D18350" s="4">
        <f>IFERROR(__xludf.DUMMYFUNCTION("""COMPUTED_VALUE"""),12.916522)</f>
        <v>12.916522</v>
      </c>
      <c r="E18350" s="4">
        <f>IFERROR(__xludf.DUMMYFUNCTION("""COMPUTED_VALUE"""),80.106137)</f>
        <v>80.106137</v>
      </c>
      <c r="F18350" s="4">
        <f>IFERROR(__xludf.DUMMYFUNCTION("""COMPUTED_VALUE"""),805.0)</f>
        <v>805</v>
      </c>
      <c r="G18350" s="4">
        <f>IFERROR(__xludf.DUMMYFUNCTION("""COMPUTED_VALUE"""),52.0)</f>
        <v>52</v>
      </c>
      <c r="H18350" s="4"/>
      <c r="I18350" s="4"/>
    </row>
    <row r="18351">
      <c r="A18351" s="4" t="str">
        <f>IFERROR(__xludf.DUMMYFUNCTION("""COMPUTED_VALUE"""),"cas_hmw")</f>
        <v>cas_hmw</v>
      </c>
      <c r="B18351" s="5">
        <f>IFERROR(__xludf.DUMMYFUNCTION("""COMPUTED_VALUE"""),44743.0)</f>
        <v>44743</v>
      </c>
      <c r="C18351" s="6">
        <f>IFERROR(__xludf.DUMMYFUNCTION("""COMPUTED_VALUE"""),0.6781712962947495)</f>
        <v>0.6781712963</v>
      </c>
      <c r="D18351" s="4">
        <f>IFERROR(__xludf.DUMMYFUNCTION("""COMPUTED_VALUE"""),12.919007)</f>
        <v>12.919007</v>
      </c>
      <c r="E18351" s="4">
        <f>IFERROR(__xludf.DUMMYFUNCTION("""COMPUTED_VALUE"""),80.109702)</f>
        <v>80.109702</v>
      </c>
      <c r="F18351" s="4">
        <f>IFERROR(__xludf.DUMMYFUNCTION("""COMPUTED_VALUE"""),805.0)</f>
        <v>805</v>
      </c>
      <c r="G18351" s="4">
        <f>IFERROR(__xludf.DUMMYFUNCTION("""COMPUTED_VALUE"""),57.0)</f>
        <v>57</v>
      </c>
      <c r="H18351" s="4"/>
      <c r="I18351" s="4"/>
    </row>
    <row r="18352">
      <c r="A18352" s="4" t="str">
        <f>IFERROR(__xludf.DUMMYFUNCTION("""COMPUTED_VALUE"""),"cas_hmw")</f>
        <v>cas_hmw</v>
      </c>
      <c r="B18352" s="5">
        <f>IFERROR(__xludf.DUMMYFUNCTION("""COMPUTED_VALUE"""),44743.0)</f>
        <v>44743</v>
      </c>
      <c r="C18352" s="6">
        <f>IFERROR(__xludf.DUMMYFUNCTION("""COMPUTED_VALUE"""),0.6784722222218988)</f>
        <v>0.6784722222</v>
      </c>
      <c r="D18352" s="4">
        <f>IFERROR(__xludf.DUMMYFUNCTION("""COMPUTED_VALUE"""),12.921801)</f>
        <v>12.921801</v>
      </c>
      <c r="E18352" s="4">
        <f>IFERROR(__xludf.DUMMYFUNCTION("""COMPUTED_VALUE"""),80.112853)</f>
        <v>80.112853</v>
      </c>
      <c r="F18352" s="4">
        <f>IFERROR(__xludf.DUMMYFUNCTION("""COMPUTED_VALUE"""),805.0)</f>
        <v>805</v>
      </c>
      <c r="G18352" s="4">
        <f>IFERROR(__xludf.DUMMYFUNCTION("""COMPUTED_VALUE"""),51.0)</f>
        <v>51</v>
      </c>
      <c r="H18352" s="4"/>
      <c r="I18352" s="4"/>
    </row>
    <row r="18353">
      <c r="A18353" s="4" t="str">
        <f>IFERROR(__xludf.DUMMYFUNCTION("""COMPUTED_VALUE"""),"cas_hmw")</f>
        <v>cas_hmw</v>
      </c>
      <c r="B18353" s="5">
        <f>IFERROR(__xludf.DUMMYFUNCTION("""COMPUTED_VALUE"""),44743.0)</f>
        <v>44743</v>
      </c>
      <c r="C18353" s="6">
        <f>IFERROR(__xludf.DUMMYFUNCTION("""COMPUTED_VALUE"""),0.6785648148143082)</f>
        <v>0.6785648148</v>
      </c>
      <c r="D18353" s="4">
        <f>IFERROR(__xludf.DUMMYFUNCTION("""COMPUTED_VALUE"""),12.840066)</f>
        <v>12.840066</v>
      </c>
      <c r="E18353" s="4">
        <f>IFERROR(__xludf.DUMMYFUNCTION("""COMPUTED_VALUE"""),80.055767)</f>
        <v>80.055767</v>
      </c>
      <c r="F18353" s="4">
        <f>IFERROR(__xludf.DUMMYFUNCTION("""COMPUTED_VALUE"""),2846.0)</f>
        <v>2846</v>
      </c>
      <c r="G18353" s="4">
        <f>IFERROR(__xludf.DUMMYFUNCTION("""COMPUTED_VALUE"""),56.0)</f>
        <v>56</v>
      </c>
      <c r="H18353" s="4"/>
      <c r="I18353" s="4"/>
    </row>
    <row r="18354">
      <c r="A18354" s="4" t="str">
        <f>IFERROR(__xludf.DUMMYFUNCTION("""COMPUTED_VALUE"""),"cas_hmw")</f>
        <v>cas_hmw</v>
      </c>
      <c r="B18354" s="5">
        <f>IFERROR(__xludf.DUMMYFUNCTION("""COMPUTED_VALUE"""),44743.0)</f>
        <v>44743</v>
      </c>
      <c r="C18354" s="6">
        <f>IFERROR(__xludf.DUMMYFUNCTION("""COMPUTED_VALUE"""),0.6787615740722686)</f>
        <v>0.6787615741</v>
      </c>
      <c r="D18354" s="4">
        <f>IFERROR(__xludf.DUMMYFUNCTION("""COMPUTED_VALUE"""),12.923794)</f>
        <v>12.923794</v>
      </c>
      <c r="E18354" s="4">
        <f>IFERROR(__xludf.DUMMYFUNCTION("""COMPUTED_VALUE"""),80.114849)</f>
        <v>80.114849</v>
      </c>
      <c r="F18354" s="4">
        <f>IFERROR(__xludf.DUMMYFUNCTION("""COMPUTED_VALUE"""),805.0)</f>
        <v>805</v>
      </c>
      <c r="G18354" s="4">
        <f>IFERROR(__xludf.DUMMYFUNCTION("""COMPUTED_VALUE"""),57.0)</f>
        <v>57</v>
      </c>
      <c r="H18354" s="4"/>
      <c r="I18354" s="4"/>
    </row>
    <row r="18355">
      <c r="A18355" s="4" t="str">
        <f>IFERROR(__xludf.DUMMYFUNCTION("""COMPUTED_VALUE"""),"cas_hmw")</f>
        <v>cas_hmw</v>
      </c>
      <c r="B18355" s="5">
        <f>IFERROR(__xludf.DUMMYFUNCTION("""COMPUTED_VALUE"""),44743.0)</f>
        <v>44743</v>
      </c>
      <c r="C18355" s="6">
        <f>IFERROR(__xludf.DUMMYFUNCTION("""COMPUTED_VALUE"""),0.6789004629645206)</f>
        <v>0.678900463</v>
      </c>
      <c r="D18355" s="4">
        <f>IFERROR(__xludf.DUMMYFUNCTION("""COMPUTED_VALUE"""),12.924788)</f>
        <v>12.924788</v>
      </c>
      <c r="E18355" s="4">
        <f>IFERROR(__xludf.DUMMYFUNCTION("""COMPUTED_VALUE"""),80.115864)</f>
        <v>80.115864</v>
      </c>
      <c r="F18355" s="4">
        <f>IFERROR(__xludf.DUMMYFUNCTION("""COMPUTED_VALUE"""),805.0)</f>
        <v>805</v>
      </c>
      <c r="G18355" s="4">
        <f>IFERROR(__xludf.DUMMYFUNCTION("""COMPUTED_VALUE"""),53.0)</f>
        <v>53</v>
      </c>
      <c r="H18355" s="4"/>
      <c r="I18355" s="4"/>
    </row>
    <row r="18356">
      <c r="A18356" s="4" t="str">
        <f>IFERROR(__xludf.DUMMYFUNCTION("""COMPUTED_VALUE"""),"cas_hmw")</f>
        <v>cas_hmw</v>
      </c>
      <c r="B18356" s="5">
        <f>IFERROR(__xludf.DUMMYFUNCTION("""COMPUTED_VALUE"""),44743.0)</f>
        <v>44743</v>
      </c>
      <c r="C18356" s="6">
        <f>IFERROR(__xludf.DUMMYFUNCTION("""COMPUTED_VALUE"""),0.6791087962956226)</f>
        <v>0.6791087963</v>
      </c>
      <c r="D18356" s="4">
        <f>IFERROR(__xludf.DUMMYFUNCTION("""COMPUTED_VALUE"""),12.835608)</f>
        <v>12.835608</v>
      </c>
      <c r="E18356" s="4">
        <f>IFERROR(__xludf.DUMMYFUNCTION("""COMPUTED_VALUE"""),80.051084)</f>
        <v>80.051084</v>
      </c>
      <c r="F18356" s="4">
        <f>IFERROR(__xludf.DUMMYFUNCTION("""COMPUTED_VALUE"""),2846.0)</f>
        <v>2846</v>
      </c>
      <c r="G18356" s="4">
        <f>IFERROR(__xludf.DUMMYFUNCTION("""COMPUTED_VALUE"""),52.0)</f>
        <v>52</v>
      </c>
      <c r="H18356" s="4"/>
      <c r="I18356" s="4"/>
    </row>
    <row r="18357">
      <c r="A18357" s="4" t="str">
        <f>IFERROR(__xludf.DUMMYFUNCTION("""COMPUTED_VALUE"""),"cas_hmw")</f>
        <v>cas_hmw</v>
      </c>
      <c r="B18357" s="5">
        <f>IFERROR(__xludf.DUMMYFUNCTION("""COMPUTED_VALUE"""),44743.0)</f>
        <v>44743</v>
      </c>
      <c r="C18357" s="6">
        <f>IFERROR(__xludf.DUMMYFUNCTION("""COMPUTED_VALUE"""),0.6793981481496303)</f>
        <v>0.6793981481</v>
      </c>
      <c r="D18357" s="4">
        <f>IFERROR(__xludf.DUMMYFUNCTION("""COMPUTED_VALUE"""),12.831591)</f>
        <v>12.831591</v>
      </c>
      <c r="E18357" s="4">
        <f>IFERROR(__xludf.DUMMYFUNCTION("""COMPUTED_VALUE"""),80.046861)</f>
        <v>80.046861</v>
      </c>
      <c r="F18357" s="4">
        <f>IFERROR(__xludf.DUMMYFUNCTION("""COMPUTED_VALUE"""),2846.0)</f>
        <v>2846</v>
      </c>
      <c r="G18357" s="4">
        <f>IFERROR(__xludf.DUMMYFUNCTION("""COMPUTED_VALUE"""),56.0)</f>
        <v>56</v>
      </c>
      <c r="H18357" s="4"/>
      <c r="I18357" s="4"/>
    </row>
    <row r="18358">
      <c r="A18358" s="4" t="str">
        <f>IFERROR(__xludf.DUMMYFUNCTION("""COMPUTED_VALUE"""),"cas_hmw")</f>
        <v>cas_hmw</v>
      </c>
      <c r="B18358" s="5">
        <f>IFERROR(__xludf.DUMMYFUNCTION("""COMPUTED_VALUE"""),44743.0)</f>
        <v>44743</v>
      </c>
      <c r="C18358" s="6">
        <f>IFERROR(__xludf.DUMMYFUNCTION("""COMPUTED_VALUE"""),0.679583333334449)</f>
        <v>0.6795833333</v>
      </c>
      <c r="D18358" s="4">
        <f>IFERROR(__xludf.DUMMYFUNCTION("""COMPUTED_VALUE"""),12.92723)</f>
        <v>12.92723</v>
      </c>
      <c r="E18358" s="4">
        <f>IFERROR(__xludf.DUMMYFUNCTION("""COMPUTED_VALUE"""),80.118325)</f>
        <v>80.118325</v>
      </c>
      <c r="F18358" s="4">
        <f>IFERROR(__xludf.DUMMYFUNCTION("""COMPUTED_VALUE"""),805.0)</f>
        <v>805</v>
      </c>
      <c r="G18358" s="4">
        <f>IFERROR(__xludf.DUMMYFUNCTION("""COMPUTED_VALUE"""),19.0)</f>
        <v>19</v>
      </c>
      <c r="H18358" s="4"/>
      <c r="I18358" s="4"/>
    </row>
    <row r="18359">
      <c r="A18359" s="4" t="str">
        <f>IFERROR(__xludf.DUMMYFUNCTION("""COMPUTED_VALUE"""),"cas_hmw")</f>
        <v>cas_hmw</v>
      </c>
      <c r="B18359" s="5">
        <f>IFERROR(__xludf.DUMMYFUNCTION("""COMPUTED_VALUE"""),44743.0)</f>
        <v>44743</v>
      </c>
      <c r="C18359" s="6">
        <f>IFERROR(__xludf.DUMMYFUNCTION("""COMPUTED_VALUE"""),0.6801157407389837)</f>
        <v>0.6801157407</v>
      </c>
      <c r="D18359" s="4">
        <f>IFERROR(__xludf.DUMMYFUNCTION("""COMPUTED_VALUE"""),12.930262)</f>
        <v>12.930262</v>
      </c>
      <c r="E18359" s="4">
        <f>IFERROR(__xludf.DUMMYFUNCTION("""COMPUTED_VALUE"""),80.121278)</f>
        <v>80.121278</v>
      </c>
      <c r="F18359" s="4">
        <f>IFERROR(__xludf.DUMMYFUNCTION("""COMPUTED_VALUE"""),805.0)</f>
        <v>805</v>
      </c>
      <c r="G18359" s="4">
        <f>IFERROR(__xludf.DUMMYFUNCTION("""COMPUTED_VALUE"""),31.0)</f>
        <v>31</v>
      </c>
      <c r="H18359" s="4"/>
      <c r="I18359" s="4"/>
    </row>
    <row r="18360">
      <c r="A18360" s="4" t="str">
        <f>IFERROR(__xludf.DUMMYFUNCTION("""COMPUTED_VALUE"""),"cas_hmw")</f>
        <v>cas_hmw</v>
      </c>
      <c r="B18360" s="5">
        <f>IFERROR(__xludf.DUMMYFUNCTION("""COMPUTED_VALUE"""),44743.0)</f>
        <v>44743</v>
      </c>
      <c r="C18360" s="6">
        <f>IFERROR(__xludf.DUMMYFUNCTION("""COMPUTED_VALUE"""),0.6801157407389837)</f>
        <v>0.6801157407</v>
      </c>
      <c r="D18360" s="4">
        <f>IFERROR(__xludf.DUMMYFUNCTION("""COMPUTED_VALUE"""),12.930262)</f>
        <v>12.930262</v>
      </c>
      <c r="E18360" s="4">
        <f>IFERROR(__xludf.DUMMYFUNCTION("""COMPUTED_VALUE"""),80.121278)</f>
        <v>80.121278</v>
      </c>
      <c r="F18360" s="4">
        <f>IFERROR(__xludf.DUMMYFUNCTION("""COMPUTED_VALUE"""),805.0)</f>
        <v>805</v>
      </c>
      <c r="G18360" s="4">
        <f>IFERROR(__xludf.DUMMYFUNCTION("""COMPUTED_VALUE"""),31.0)</f>
        <v>31</v>
      </c>
      <c r="H18360" s="4"/>
      <c r="I18360" s="4"/>
    </row>
    <row r="18361">
      <c r="A18361" s="4" t="str">
        <f>IFERROR(__xludf.DUMMYFUNCTION("""COMPUTED_VALUE"""),"cas_hmw")</f>
        <v>cas_hmw</v>
      </c>
      <c r="B18361" s="5">
        <f>IFERROR(__xludf.DUMMYFUNCTION("""COMPUTED_VALUE"""),44743.0)</f>
        <v>44743</v>
      </c>
      <c r="C18361" s="6">
        <f>IFERROR(__xludf.DUMMYFUNCTION("""COMPUTED_VALUE"""),0.6801967592582514)</f>
        <v>0.6801967593</v>
      </c>
      <c r="D18361" s="4">
        <f>IFERROR(__xludf.DUMMYFUNCTION("""COMPUTED_VALUE"""),12.930757)</f>
        <v>12.930757</v>
      </c>
      <c r="E18361" s="4">
        <f>IFERROR(__xludf.DUMMYFUNCTION("""COMPUTED_VALUE"""),80.12185)</f>
        <v>80.12185</v>
      </c>
      <c r="F18361" s="4">
        <f>IFERROR(__xludf.DUMMYFUNCTION("""COMPUTED_VALUE"""),805.0)</f>
        <v>805</v>
      </c>
      <c r="G18361" s="4">
        <f>IFERROR(__xludf.DUMMYFUNCTION("""COMPUTED_VALUE"""),23.0)</f>
        <v>23</v>
      </c>
      <c r="H18361" s="4"/>
      <c r="I18361" s="4"/>
    </row>
    <row r="18362">
      <c r="A18362" s="4" t="str">
        <f>IFERROR(__xludf.DUMMYFUNCTION("""COMPUTED_VALUE"""),"cas_hmw")</f>
        <v>cas_hmw</v>
      </c>
      <c r="B18362" s="5">
        <f>IFERROR(__xludf.DUMMYFUNCTION("""COMPUTED_VALUE"""),44743.0)</f>
        <v>44743</v>
      </c>
      <c r="C18362" s="6">
        <f>IFERROR(__xludf.DUMMYFUNCTION("""COMPUTED_VALUE"""),0.6805902777778101)</f>
        <v>0.6805902778</v>
      </c>
      <c r="D18362" s="4">
        <f>IFERROR(__xludf.DUMMYFUNCTION("""COMPUTED_VALUE"""),12.8291)</f>
        <v>12.8291</v>
      </c>
      <c r="E18362" s="4">
        <f>IFERROR(__xludf.DUMMYFUNCTION("""COMPUTED_VALUE"""),80.044236)</f>
        <v>80.044236</v>
      </c>
      <c r="F18362" s="4">
        <f>IFERROR(__xludf.DUMMYFUNCTION("""COMPUTED_VALUE"""),2846.0)</f>
        <v>2846</v>
      </c>
      <c r="G18362" s="4">
        <f>IFERROR(__xludf.DUMMYFUNCTION("""COMPUTED_VALUE"""),44.0)</f>
        <v>44</v>
      </c>
      <c r="H18362" s="4"/>
      <c r="I18362" s="4"/>
    </row>
    <row r="18363">
      <c r="A18363" s="4" t="str">
        <f>IFERROR(__xludf.DUMMYFUNCTION("""COMPUTED_VALUE"""),"cas_hmw")</f>
        <v>cas_hmw</v>
      </c>
      <c r="B18363" s="5">
        <f>IFERROR(__xludf.DUMMYFUNCTION("""COMPUTED_VALUE"""),44743.0)</f>
        <v>44743</v>
      </c>
      <c r="C18363" s="6">
        <f>IFERROR(__xludf.DUMMYFUNCTION("""COMPUTED_VALUE"""),0.6807986111125501)</f>
        <v>0.6807986111</v>
      </c>
      <c r="D18363" s="4">
        <f>IFERROR(__xludf.DUMMYFUNCTION("""COMPUTED_VALUE"""),12.934055)</f>
        <v>12.934055</v>
      </c>
      <c r="E18363" s="4">
        <f>IFERROR(__xludf.DUMMYFUNCTION("""COMPUTED_VALUE"""),80.125169)</f>
        <v>80.125169</v>
      </c>
      <c r="F18363" s="4">
        <f>IFERROR(__xludf.DUMMYFUNCTION("""COMPUTED_VALUE"""),805.0)</f>
        <v>805</v>
      </c>
      <c r="G18363" s="4">
        <f>IFERROR(__xludf.DUMMYFUNCTION("""COMPUTED_VALUE"""),41.0)</f>
        <v>41</v>
      </c>
      <c r="H18363" s="4"/>
      <c r="I18363" s="4"/>
    </row>
    <row r="18364">
      <c r="A18364" s="4" t="str">
        <f>IFERROR(__xludf.DUMMYFUNCTION("""COMPUTED_VALUE"""),"cas_hmw")</f>
        <v>cas_hmw</v>
      </c>
      <c r="B18364" s="5">
        <f>IFERROR(__xludf.DUMMYFUNCTION("""COMPUTED_VALUE"""),44743.0)</f>
        <v>44743</v>
      </c>
      <c r="C18364" s="6">
        <f>IFERROR(__xludf.DUMMYFUNCTION("""COMPUTED_VALUE"""),0.6808680555550382)</f>
        <v>0.6808680556</v>
      </c>
      <c r="D18364" s="4">
        <f>IFERROR(__xludf.DUMMYFUNCTION("""COMPUTED_VALUE"""),12.934055)</f>
        <v>12.934055</v>
      </c>
      <c r="E18364" s="4">
        <f>IFERROR(__xludf.DUMMYFUNCTION("""COMPUTED_VALUE"""),80.125169)</f>
        <v>80.125169</v>
      </c>
      <c r="F18364" s="4">
        <f>IFERROR(__xludf.DUMMYFUNCTION("""COMPUTED_VALUE"""),805.0)</f>
        <v>805</v>
      </c>
      <c r="G18364" s="4">
        <f>IFERROR(__xludf.DUMMYFUNCTION("""COMPUTED_VALUE"""),41.0)</f>
        <v>41</v>
      </c>
      <c r="H18364" s="4"/>
      <c r="I18364" s="4"/>
    </row>
    <row r="18365">
      <c r="A18365" s="4" t="str">
        <f>IFERROR(__xludf.DUMMYFUNCTION("""COMPUTED_VALUE"""),"cas_hmw")</f>
        <v>cas_hmw</v>
      </c>
      <c r="B18365" s="5">
        <f>IFERROR(__xludf.DUMMYFUNCTION("""COMPUTED_VALUE"""),44743.0)</f>
        <v>44743</v>
      </c>
      <c r="C18365" s="6">
        <f>IFERROR(__xludf.DUMMYFUNCTION("""COMPUTED_VALUE"""),0.6816203703710926)</f>
        <v>0.6816203704</v>
      </c>
      <c r="D18365" s="4">
        <f>IFERROR(__xludf.DUMMYFUNCTION("""COMPUTED_VALUE"""),12.935765)</f>
        <v>12.935765</v>
      </c>
      <c r="E18365" s="4">
        <f>IFERROR(__xludf.DUMMYFUNCTION("""COMPUTED_VALUE"""),80.126726)</f>
        <v>80.126726</v>
      </c>
      <c r="F18365" s="4">
        <f>IFERROR(__xludf.DUMMYFUNCTION("""COMPUTED_VALUE"""),805.0)</f>
        <v>805</v>
      </c>
      <c r="G18365" s="4">
        <f>IFERROR(__xludf.DUMMYFUNCTION("""COMPUTED_VALUE"""),6.0)</f>
        <v>6</v>
      </c>
      <c r="H18365" s="4"/>
      <c r="I18365" s="4"/>
    </row>
    <row r="18366">
      <c r="A18366" s="4" t="str">
        <f>IFERROR(__xludf.DUMMYFUNCTION("""COMPUTED_VALUE"""),"cas_hmw")</f>
        <v>cas_hmw</v>
      </c>
      <c r="B18366" s="5">
        <f>IFERROR(__xludf.DUMMYFUNCTION("""COMPUTED_VALUE"""),44743.0)</f>
        <v>44743</v>
      </c>
      <c r="C18366" s="6">
        <f>IFERROR(__xludf.DUMMYFUNCTION("""COMPUTED_VALUE"""),0.6817476851865649)</f>
        <v>0.6817476852</v>
      </c>
      <c r="D18366" s="4">
        <f>IFERROR(__xludf.DUMMYFUNCTION("""COMPUTED_VALUE"""),12.936523)</f>
        <v>12.936523</v>
      </c>
      <c r="E18366" s="4">
        <f>IFERROR(__xludf.DUMMYFUNCTION("""COMPUTED_VALUE"""),80.127404)</f>
        <v>80.127404</v>
      </c>
      <c r="F18366" s="4">
        <f>IFERROR(__xludf.DUMMYFUNCTION("""COMPUTED_VALUE"""),805.0)</f>
        <v>805</v>
      </c>
      <c r="G18366" s="4">
        <f>IFERROR(__xludf.DUMMYFUNCTION("""COMPUTED_VALUE"""),35.0)</f>
        <v>35</v>
      </c>
      <c r="H18366" s="4"/>
      <c r="I18366" s="4"/>
    </row>
    <row r="18367">
      <c r="A18367" s="4" t="str">
        <f>IFERROR(__xludf.DUMMYFUNCTION("""COMPUTED_VALUE"""),"cas_hmw")</f>
        <v>cas_hmw</v>
      </c>
      <c r="B18367" s="5">
        <f>IFERROR(__xludf.DUMMYFUNCTION("""COMPUTED_VALUE"""),44743.0)</f>
        <v>44743</v>
      </c>
      <c r="C18367" s="6">
        <f>IFERROR(__xludf.DUMMYFUNCTION("""COMPUTED_VALUE"""),0.6818634259252576)</f>
        <v>0.6818634259</v>
      </c>
      <c r="D18367" s="4">
        <f>IFERROR(__xludf.DUMMYFUNCTION("""COMPUTED_VALUE"""),12.936523)</f>
        <v>12.936523</v>
      </c>
      <c r="E18367" s="4">
        <f>IFERROR(__xludf.DUMMYFUNCTION("""COMPUTED_VALUE"""),80.127404)</f>
        <v>80.127404</v>
      </c>
      <c r="F18367" s="4">
        <f>IFERROR(__xludf.DUMMYFUNCTION("""COMPUTED_VALUE"""),805.0)</f>
        <v>805</v>
      </c>
      <c r="G18367" s="4">
        <f>IFERROR(__xludf.DUMMYFUNCTION("""COMPUTED_VALUE"""),35.0)</f>
        <v>35</v>
      </c>
      <c r="H18367" s="4"/>
      <c r="I18367" s="4"/>
    </row>
    <row r="18368">
      <c r="A18368" s="4" t="str">
        <f>IFERROR(__xludf.DUMMYFUNCTION("""COMPUTED_VALUE"""),"cas_hmw")</f>
        <v>cas_hmw</v>
      </c>
      <c r="B18368" s="5">
        <f>IFERROR(__xludf.DUMMYFUNCTION("""COMPUTED_VALUE"""),44743.0)</f>
        <v>44743</v>
      </c>
      <c r="C18368" s="6">
        <f>IFERROR(__xludf.DUMMYFUNCTION("""COMPUTED_VALUE"""),0.6819328703713836)</f>
        <v>0.6819328704</v>
      </c>
      <c r="D18368" s="4">
        <f>IFERROR(__xludf.DUMMYFUNCTION("""COMPUTED_VALUE"""),12.93781)</f>
        <v>12.93781</v>
      </c>
      <c r="E18368" s="4">
        <f>IFERROR(__xludf.DUMMYFUNCTION("""COMPUTED_VALUE"""),80.128517)</f>
        <v>80.128517</v>
      </c>
      <c r="F18368" s="4">
        <f>IFERROR(__xludf.DUMMYFUNCTION("""COMPUTED_VALUE"""),805.0)</f>
        <v>805</v>
      </c>
      <c r="G18368" s="4">
        <f>IFERROR(__xludf.DUMMYFUNCTION("""COMPUTED_VALUE"""),44.0)</f>
        <v>44</v>
      </c>
      <c r="H18368" s="4"/>
      <c r="I18368" s="4"/>
    </row>
    <row r="18369">
      <c r="A18369" s="4" t="str">
        <f>IFERROR(__xludf.DUMMYFUNCTION("""COMPUTED_VALUE"""),"cas_hmw")</f>
        <v>cas_hmw</v>
      </c>
      <c r="B18369" s="5">
        <f>IFERROR(__xludf.DUMMYFUNCTION("""COMPUTED_VALUE"""),44743.0)</f>
        <v>44743</v>
      </c>
      <c r="C18369" s="6">
        <f>IFERROR(__xludf.DUMMYFUNCTION("""COMPUTED_VALUE"""),0.682615740741312)</f>
        <v>0.6826157407</v>
      </c>
      <c r="D18369" s="4">
        <f>IFERROR(__xludf.DUMMYFUNCTION("""COMPUTED_VALUE"""),12.821701)</f>
        <v>12.821701</v>
      </c>
      <c r="E18369" s="4">
        <f>IFERROR(__xludf.DUMMYFUNCTION("""COMPUTED_VALUE"""),80.038037)</f>
        <v>80.038037</v>
      </c>
      <c r="F18369" s="4">
        <f>IFERROR(__xludf.DUMMYFUNCTION("""COMPUTED_VALUE"""),2846.0)</f>
        <v>2846</v>
      </c>
      <c r="G18369" s="4">
        <f>IFERROR(__xludf.DUMMYFUNCTION("""COMPUTED_VALUE"""),37.0)</f>
        <v>37</v>
      </c>
      <c r="H18369" s="4"/>
      <c r="I18369" s="4"/>
    </row>
    <row r="18370">
      <c r="A18370" s="4" t="str">
        <f>IFERROR(__xludf.DUMMYFUNCTION("""COMPUTED_VALUE"""),"cas_hmw")</f>
        <v>cas_hmw</v>
      </c>
      <c r="B18370" s="5">
        <f>IFERROR(__xludf.DUMMYFUNCTION("""COMPUTED_VALUE"""),44743.0)</f>
        <v>44743</v>
      </c>
      <c r="C18370" s="6">
        <f>IFERROR(__xludf.DUMMYFUNCTION("""COMPUTED_VALUE"""),0.6829282407416031)</f>
        <v>0.6829282407</v>
      </c>
      <c r="D18370" s="4">
        <f>IFERROR(__xludf.DUMMYFUNCTION("""COMPUTED_VALUE"""),12.942398)</f>
        <v>12.942398</v>
      </c>
      <c r="E18370" s="4">
        <f>IFERROR(__xludf.DUMMYFUNCTION("""COMPUTED_VALUE"""),80.13291)</f>
        <v>80.13291</v>
      </c>
      <c r="F18370" s="4">
        <f>IFERROR(__xludf.DUMMYFUNCTION("""COMPUTED_VALUE"""),805.0)</f>
        <v>805</v>
      </c>
      <c r="G18370" s="4">
        <f>IFERROR(__xludf.DUMMYFUNCTION("""COMPUTED_VALUE"""),15.0)</f>
        <v>15</v>
      </c>
      <c r="H18370" s="4"/>
      <c r="I18370" s="4"/>
    </row>
    <row r="18371">
      <c r="A18371" s="4" t="str">
        <f>IFERROR(__xludf.DUMMYFUNCTION("""COMPUTED_VALUE"""),"cas_hmw")</f>
        <v>cas_hmw</v>
      </c>
      <c r="B18371" s="5">
        <f>IFERROR(__xludf.DUMMYFUNCTION("""COMPUTED_VALUE"""),44743.0)</f>
        <v>44743</v>
      </c>
      <c r="C18371" s="6">
        <f>IFERROR(__xludf.DUMMYFUNCTION("""COMPUTED_VALUE"""),0.6829745370378077)</f>
        <v>0.682974537</v>
      </c>
      <c r="D18371" s="4">
        <f>IFERROR(__xludf.DUMMYFUNCTION("""COMPUTED_VALUE"""),12.806064)</f>
        <v>12.806064</v>
      </c>
      <c r="E18371" s="4">
        <f>IFERROR(__xludf.DUMMYFUNCTION("""COMPUTED_VALUE"""),80.027432)</f>
        <v>80.027432</v>
      </c>
      <c r="F18371" s="4">
        <f>IFERROR(__xludf.DUMMYFUNCTION("""COMPUTED_VALUE"""),2846.0)</f>
        <v>2846</v>
      </c>
      <c r="G18371" s="4">
        <f>IFERROR(__xludf.DUMMYFUNCTION("""COMPUTED_VALUE"""),56.0)</f>
        <v>56</v>
      </c>
      <c r="H18371" s="4"/>
      <c r="I18371" s="4"/>
    </row>
    <row r="18372">
      <c r="A18372" s="4" t="str">
        <f>IFERROR(__xludf.DUMMYFUNCTION("""COMPUTED_VALUE"""),"cas_hmw")</f>
        <v>cas_hmw</v>
      </c>
      <c r="B18372" s="5">
        <f>IFERROR(__xludf.DUMMYFUNCTION("""COMPUTED_VALUE"""),44743.0)</f>
        <v>44743</v>
      </c>
      <c r="C18372" s="6">
        <f>IFERROR(__xludf.DUMMYFUNCTION("""COMPUTED_VALUE"""),0.6834143518535711)</f>
        <v>0.6834143519</v>
      </c>
      <c r="D18372" s="4">
        <f>IFERROR(__xludf.DUMMYFUNCTION("""COMPUTED_VALUE"""),12.946308)</f>
        <v>12.946308</v>
      </c>
      <c r="E18372" s="4">
        <f>IFERROR(__xludf.DUMMYFUNCTION("""COMPUTED_VALUE"""),80.136297)</f>
        <v>80.136297</v>
      </c>
      <c r="F18372" s="4">
        <f>IFERROR(__xludf.DUMMYFUNCTION("""COMPUTED_VALUE"""),805.0)</f>
        <v>805</v>
      </c>
      <c r="G18372" s="4">
        <f>IFERROR(__xludf.DUMMYFUNCTION("""COMPUTED_VALUE"""),56.0)</f>
        <v>56</v>
      </c>
      <c r="H18372" s="4"/>
      <c r="I18372" s="4"/>
    </row>
    <row r="18373">
      <c r="A18373" s="4" t="str">
        <f>IFERROR(__xludf.DUMMYFUNCTION("""COMPUTED_VALUE"""),"cas_hmw")</f>
        <v>cas_hmw</v>
      </c>
      <c r="B18373" s="5">
        <f>IFERROR(__xludf.DUMMYFUNCTION("""COMPUTED_VALUE"""),44743.0)</f>
        <v>44743</v>
      </c>
      <c r="C18373" s="6">
        <f>IFERROR(__xludf.DUMMYFUNCTION("""COMPUTED_VALUE"""),0.6842939814814599)</f>
        <v>0.6842939815</v>
      </c>
      <c r="D18373" s="4">
        <f>IFERROR(__xludf.DUMMYFUNCTION("""COMPUTED_VALUE"""),12.950236)</f>
        <v>12.950236</v>
      </c>
      <c r="E18373" s="4">
        <f>IFERROR(__xludf.DUMMYFUNCTION("""COMPUTED_VALUE"""),80.139258)</f>
        <v>80.139258</v>
      </c>
      <c r="F18373" s="4">
        <f>IFERROR(__xludf.DUMMYFUNCTION("""COMPUTED_VALUE"""),805.0)</f>
        <v>805</v>
      </c>
      <c r="G18373" s="4">
        <f>IFERROR(__xludf.DUMMYFUNCTION("""COMPUTED_VALUE"""),8.0)</f>
        <v>8</v>
      </c>
      <c r="H18373" s="4"/>
      <c r="I18373" s="4"/>
    </row>
    <row r="18374">
      <c r="A18374" s="4" t="str">
        <f>IFERROR(__xludf.DUMMYFUNCTION("""COMPUTED_VALUE"""),"cas_hmw")</f>
        <v>cas_hmw</v>
      </c>
      <c r="B18374" s="5">
        <f>IFERROR(__xludf.DUMMYFUNCTION("""COMPUTED_VALUE"""),44743.0)</f>
        <v>44743</v>
      </c>
      <c r="C18374" s="6">
        <f>IFERROR(__xludf.DUMMYFUNCTION("""COMPUTED_VALUE"""),0.6842939814814599)</f>
        <v>0.6842939815</v>
      </c>
      <c r="D18374" s="4">
        <f>IFERROR(__xludf.DUMMYFUNCTION("""COMPUTED_VALUE"""),12.950236)</f>
        <v>12.950236</v>
      </c>
      <c r="E18374" s="4">
        <f>IFERROR(__xludf.DUMMYFUNCTION("""COMPUTED_VALUE"""),80.139258)</f>
        <v>80.139258</v>
      </c>
      <c r="F18374" s="4">
        <f>IFERROR(__xludf.DUMMYFUNCTION("""COMPUTED_VALUE"""),805.0)</f>
        <v>805</v>
      </c>
      <c r="G18374" s="4">
        <f>IFERROR(__xludf.DUMMYFUNCTION("""COMPUTED_VALUE"""),8.0)</f>
        <v>8</v>
      </c>
      <c r="H18374" s="4"/>
      <c r="I18374" s="4"/>
    </row>
    <row r="18375">
      <c r="A18375" s="4" t="str">
        <f>IFERROR(__xludf.DUMMYFUNCTION("""COMPUTED_VALUE"""),"cas_hmw")</f>
        <v>cas_hmw</v>
      </c>
      <c r="B18375" s="5">
        <f>IFERROR(__xludf.DUMMYFUNCTION("""COMPUTED_VALUE"""),44743.0)</f>
        <v>44743</v>
      </c>
      <c r="C18375" s="6">
        <f>IFERROR(__xludf.DUMMYFUNCTION("""COMPUTED_VALUE"""),0.6854629629633564)</f>
        <v>0.685462963</v>
      </c>
      <c r="D18375" s="4">
        <f>IFERROR(__xludf.DUMMYFUNCTION("""COMPUTED_VALUE"""),12.955826)</f>
        <v>12.955826</v>
      </c>
      <c r="E18375" s="4">
        <f>IFERROR(__xludf.DUMMYFUNCTION("""COMPUTED_VALUE"""),80.142861)</f>
        <v>80.142861</v>
      </c>
      <c r="F18375" s="4">
        <f>IFERROR(__xludf.DUMMYFUNCTION("""COMPUTED_VALUE"""),805.0)</f>
        <v>805</v>
      </c>
      <c r="G18375" s="4">
        <f>IFERROR(__xludf.DUMMYFUNCTION("""COMPUTED_VALUE"""),0.0)</f>
        <v>0</v>
      </c>
      <c r="H18375" s="4"/>
      <c r="I18375" s="4"/>
    </row>
    <row r="18376">
      <c r="A18376" s="4" t="str">
        <f>IFERROR(__xludf.DUMMYFUNCTION("""COMPUTED_VALUE"""),"cas_hmw")</f>
        <v>cas_hmw</v>
      </c>
      <c r="B18376" s="5">
        <f>IFERROR(__xludf.DUMMYFUNCTION("""COMPUTED_VALUE"""),44743.0)</f>
        <v>44743</v>
      </c>
      <c r="C18376" s="6">
        <f>IFERROR(__xludf.DUMMYFUNCTION("""COMPUTED_VALUE"""),0.6856712962980964)</f>
        <v>0.6856712963</v>
      </c>
      <c r="D18376" s="4">
        <f>IFERROR(__xludf.DUMMYFUNCTION("""COMPUTED_VALUE"""),12.956384)</f>
        <v>12.956384</v>
      </c>
      <c r="E18376" s="4">
        <f>IFERROR(__xludf.DUMMYFUNCTION("""COMPUTED_VALUE"""),80.143173)</f>
        <v>80.143173</v>
      </c>
      <c r="F18376" s="4">
        <f>IFERROR(__xludf.DUMMYFUNCTION("""COMPUTED_VALUE"""),805.0)</f>
        <v>805</v>
      </c>
      <c r="G18376" s="4">
        <f>IFERROR(__xludf.DUMMYFUNCTION("""COMPUTED_VALUE"""),25.0)</f>
        <v>25</v>
      </c>
      <c r="H18376" s="4"/>
      <c r="I18376" s="4"/>
    </row>
    <row r="18377">
      <c r="A18377" s="4" t="str">
        <f>IFERROR(__xludf.DUMMYFUNCTION("""COMPUTED_VALUE"""),"cas_hmw")</f>
        <v>cas_hmw</v>
      </c>
      <c r="B18377" s="5">
        <f>IFERROR(__xludf.DUMMYFUNCTION("""COMPUTED_VALUE"""),44743.0)</f>
        <v>44743</v>
      </c>
      <c r="C18377" s="6">
        <f>IFERROR(__xludf.DUMMYFUNCTION("""COMPUTED_VALUE"""),0.6862037037026312)</f>
        <v>0.6862037037</v>
      </c>
      <c r="D18377" s="4">
        <f>IFERROR(__xludf.DUMMYFUNCTION("""COMPUTED_VALUE"""),12.960047)</f>
        <v>12.960047</v>
      </c>
      <c r="E18377" s="4">
        <f>IFERROR(__xludf.DUMMYFUNCTION("""COMPUTED_VALUE"""),80.144972)</f>
        <v>80.144972</v>
      </c>
      <c r="F18377" s="4">
        <f>IFERROR(__xludf.DUMMYFUNCTION("""COMPUTED_VALUE"""),805.0)</f>
        <v>805</v>
      </c>
      <c r="G18377" s="4">
        <f>IFERROR(__xludf.DUMMYFUNCTION("""COMPUTED_VALUE"""),28.0)</f>
        <v>28</v>
      </c>
      <c r="H18377" s="4"/>
      <c r="I18377" s="4"/>
    </row>
    <row r="18378">
      <c r="A18378" s="4" t="str">
        <f>IFERROR(__xludf.DUMMYFUNCTION("""COMPUTED_VALUE"""),"cas_hmw")</f>
        <v>cas_hmw</v>
      </c>
      <c r="B18378" s="5">
        <f>IFERROR(__xludf.DUMMYFUNCTION("""COMPUTED_VALUE"""),44743.0)</f>
        <v>44743</v>
      </c>
      <c r="C18378" s="6">
        <f>IFERROR(__xludf.DUMMYFUNCTION("""COMPUTED_VALUE"""),0.6866782407414576)</f>
        <v>0.6866782407</v>
      </c>
      <c r="D18378" s="4">
        <f>IFERROR(__xludf.DUMMYFUNCTION("""COMPUTED_VALUE"""),12.769672)</f>
        <v>12.769672</v>
      </c>
      <c r="E18378" s="4">
        <f>IFERROR(__xludf.DUMMYFUNCTION("""COMPUTED_VALUE"""),80.007122)</f>
        <v>80.007122</v>
      </c>
      <c r="F18378" s="4">
        <f>IFERROR(__xludf.DUMMYFUNCTION("""COMPUTED_VALUE"""),2846.0)</f>
        <v>2846</v>
      </c>
      <c r="G18378" s="4">
        <f>IFERROR(__xludf.DUMMYFUNCTION("""COMPUTED_VALUE"""),58.0)</f>
        <v>58</v>
      </c>
      <c r="H18378" s="4"/>
      <c r="I18378" s="4"/>
    </row>
    <row r="18379">
      <c r="A18379" s="4" t="str">
        <f>IFERROR(__xludf.DUMMYFUNCTION("""COMPUTED_VALUE"""),"cas_hmw")</f>
        <v>cas_hmw</v>
      </c>
      <c r="B18379" s="5">
        <f>IFERROR(__xludf.DUMMYFUNCTION("""COMPUTED_VALUE"""),44743.0)</f>
        <v>44743</v>
      </c>
      <c r="C18379" s="6">
        <f>IFERROR(__xludf.DUMMYFUNCTION("""COMPUTED_VALUE"""),0.6867013888877409)</f>
        <v>0.6867013889</v>
      </c>
      <c r="D18379" s="4">
        <f>IFERROR(__xludf.DUMMYFUNCTION("""COMPUTED_VALUE"""),12.964188)</f>
        <v>12.964188</v>
      </c>
      <c r="E18379" s="4">
        <f>IFERROR(__xludf.DUMMYFUNCTION("""COMPUTED_VALUE"""),80.14741)</f>
        <v>80.14741</v>
      </c>
      <c r="F18379" s="4">
        <f>IFERROR(__xludf.DUMMYFUNCTION("""COMPUTED_VALUE"""),805.0)</f>
        <v>805</v>
      </c>
      <c r="G18379" s="4">
        <f>IFERROR(__xludf.DUMMYFUNCTION("""COMPUTED_VALUE"""),53.0)</f>
        <v>53</v>
      </c>
      <c r="H18379" s="4"/>
      <c r="I18379" s="4"/>
    </row>
    <row r="18380">
      <c r="A18380" s="4" t="str">
        <f>IFERROR(__xludf.DUMMYFUNCTION("""COMPUTED_VALUE"""),"cas_hmw")</f>
        <v>cas_hmw</v>
      </c>
      <c r="B18380" s="5">
        <f>IFERROR(__xludf.DUMMYFUNCTION("""COMPUTED_VALUE"""),44743.0)</f>
        <v>44743</v>
      </c>
      <c r="C18380" s="6">
        <f>IFERROR(__xludf.DUMMYFUNCTION("""COMPUTED_VALUE"""),0.6868865740725596)</f>
        <v>0.6868865741</v>
      </c>
      <c r="D18380" s="4">
        <f>IFERROR(__xludf.DUMMYFUNCTION("""COMPUTED_VALUE"""),12.765944)</f>
        <v>12.765944</v>
      </c>
      <c r="E18380" s="4">
        <f>IFERROR(__xludf.DUMMYFUNCTION("""COMPUTED_VALUE"""),80.00537)</f>
        <v>80.00537</v>
      </c>
      <c r="F18380" s="4">
        <f>IFERROR(__xludf.DUMMYFUNCTION("""COMPUTED_VALUE"""),2846.0)</f>
        <v>2846</v>
      </c>
      <c r="G18380" s="4">
        <f>IFERROR(__xludf.DUMMYFUNCTION("""COMPUTED_VALUE"""),51.0)</f>
        <v>51</v>
      </c>
      <c r="H18380" s="4"/>
      <c r="I18380" s="4"/>
    </row>
    <row r="18381">
      <c r="A18381" s="4" t="str">
        <f>IFERROR(__xludf.DUMMYFUNCTION("""COMPUTED_VALUE"""),"cas_hmw")</f>
        <v>cas_hmw</v>
      </c>
      <c r="B18381" s="5">
        <f>IFERROR(__xludf.DUMMYFUNCTION("""COMPUTED_VALUE"""),44743.0)</f>
        <v>44743</v>
      </c>
      <c r="C18381" s="6">
        <f>IFERROR(__xludf.DUMMYFUNCTION("""COMPUTED_VALUE"""),0.6873495370382443)</f>
        <v>0.687349537</v>
      </c>
      <c r="D18381" s="4">
        <f>IFERROR(__xludf.DUMMYFUNCTION("""COMPUTED_VALUE"""),12.763135)</f>
        <v>12.763135</v>
      </c>
      <c r="E18381" s="4">
        <f>IFERROR(__xludf.DUMMYFUNCTION("""COMPUTED_VALUE"""),80.004176)</f>
        <v>80.004176</v>
      </c>
      <c r="F18381" s="4">
        <f>IFERROR(__xludf.DUMMYFUNCTION("""COMPUTED_VALUE"""),2846.0)</f>
        <v>2846</v>
      </c>
      <c r="G18381" s="4">
        <f>IFERROR(__xludf.DUMMYFUNCTION("""COMPUTED_VALUE"""),35.0)</f>
        <v>35</v>
      </c>
      <c r="H18381" s="4"/>
      <c r="I18381" s="4"/>
    </row>
    <row r="18382">
      <c r="A18382" s="4" t="str">
        <f>IFERROR(__xludf.DUMMYFUNCTION("""COMPUTED_VALUE"""),"cas_hmw")</f>
        <v>cas_hmw</v>
      </c>
      <c r="B18382" s="5">
        <f>IFERROR(__xludf.DUMMYFUNCTION("""COMPUTED_VALUE"""),44743.0)</f>
        <v>44743</v>
      </c>
      <c r="C18382" s="6">
        <f>IFERROR(__xludf.DUMMYFUNCTION("""COMPUTED_VALUE"""),0.687569444446126)</f>
        <v>0.6875694444</v>
      </c>
      <c r="D18382" s="4">
        <f>IFERROR(__xludf.DUMMYFUNCTION("""COMPUTED_VALUE"""),12.97346)</f>
        <v>12.97346</v>
      </c>
      <c r="E18382" s="4">
        <f>IFERROR(__xludf.DUMMYFUNCTION("""COMPUTED_VALUE"""),80.153301)</f>
        <v>80.153301</v>
      </c>
      <c r="F18382" s="4">
        <f>IFERROR(__xludf.DUMMYFUNCTION("""COMPUTED_VALUE"""),805.0)</f>
        <v>805</v>
      </c>
      <c r="G18382" s="4">
        <f>IFERROR(__xludf.DUMMYFUNCTION("""COMPUTED_VALUE"""),58.0)</f>
        <v>58</v>
      </c>
      <c r="H18382" s="4"/>
      <c r="I18382" s="4"/>
    </row>
    <row r="18383">
      <c r="A18383" s="4" t="str">
        <f>IFERROR(__xludf.DUMMYFUNCTION("""COMPUTED_VALUE"""),"cas_hmw")</f>
        <v>cas_hmw</v>
      </c>
      <c r="B18383" s="5">
        <f>IFERROR(__xludf.DUMMYFUNCTION("""COMPUTED_VALUE"""),44743.0)</f>
        <v>44743</v>
      </c>
      <c r="C18383" s="6">
        <f>IFERROR(__xludf.DUMMYFUNCTION("""COMPUTED_VALUE"""),0.6885532407395658)</f>
        <v>0.6885532407</v>
      </c>
      <c r="D18383" s="4">
        <f>IFERROR(__xludf.DUMMYFUNCTION("""COMPUTED_VALUE"""),12.980195)</f>
        <v>12.980195</v>
      </c>
      <c r="E18383" s="4">
        <f>IFERROR(__xludf.DUMMYFUNCTION("""COMPUTED_VALUE"""),80.163788)</f>
        <v>80.163788</v>
      </c>
      <c r="F18383" s="4">
        <f>IFERROR(__xludf.DUMMYFUNCTION("""COMPUTED_VALUE"""),805.0)</f>
        <v>805</v>
      </c>
      <c r="G18383" s="4">
        <f>IFERROR(__xludf.DUMMYFUNCTION("""COMPUTED_VALUE"""),60.0)</f>
        <v>60</v>
      </c>
      <c r="H18383" s="4"/>
      <c r="I18383" s="4"/>
    </row>
    <row r="18384">
      <c r="A18384" s="4" t="str">
        <f>IFERROR(__xludf.DUMMYFUNCTION("""COMPUTED_VALUE"""),"cas_hmw")</f>
        <v>cas_hmw</v>
      </c>
      <c r="B18384" s="5">
        <f>IFERROR(__xludf.DUMMYFUNCTION("""COMPUTED_VALUE"""),44743.0)</f>
        <v>44743</v>
      </c>
      <c r="C18384" s="6">
        <f>IFERROR(__xludf.DUMMYFUNCTION("""COMPUTED_VALUE"""),0.6885648148163455)</f>
        <v>0.6885648148</v>
      </c>
      <c r="D18384" s="4">
        <f>IFERROR(__xludf.DUMMYFUNCTION("""COMPUTED_VALUE"""),12.978242)</f>
        <v>12.978242</v>
      </c>
      <c r="E18384" s="4">
        <f>IFERROR(__xludf.DUMMYFUNCTION("""COMPUTED_VALUE"""),80.160309)</f>
        <v>80.160309</v>
      </c>
      <c r="F18384" s="4">
        <f>IFERROR(__xludf.DUMMYFUNCTION("""COMPUTED_VALUE"""),805.0)</f>
        <v>805</v>
      </c>
      <c r="G18384" s="4">
        <f>IFERROR(__xludf.DUMMYFUNCTION("""COMPUTED_VALUE"""),55.0)</f>
        <v>55</v>
      </c>
      <c r="H18384" s="4"/>
      <c r="I18384" s="4"/>
    </row>
    <row r="18385">
      <c r="A18385" s="4" t="str">
        <f>IFERROR(__xludf.DUMMYFUNCTION("""COMPUTED_VALUE"""),"cas_hmw")</f>
        <v>cas_hmw</v>
      </c>
      <c r="B18385" s="5">
        <f>IFERROR(__xludf.DUMMYFUNCTION("""COMPUTED_VALUE"""),44743.0)</f>
        <v>44743</v>
      </c>
      <c r="C18385" s="6">
        <f>IFERROR(__xludf.DUMMYFUNCTION("""COMPUTED_VALUE"""),0.6889930555553292)</f>
        <v>0.6889930556</v>
      </c>
      <c r="D18385" s="4">
        <f>IFERROR(__xludf.DUMMYFUNCTION("""COMPUTED_VALUE"""),12.982152)</f>
        <v>12.982152</v>
      </c>
      <c r="E18385" s="4">
        <f>IFERROR(__xludf.DUMMYFUNCTION("""COMPUTED_VALUE"""),80.167761)</f>
        <v>80.167761</v>
      </c>
      <c r="F18385" s="4">
        <f>IFERROR(__xludf.DUMMYFUNCTION("""COMPUTED_VALUE"""),805.0)</f>
        <v>805</v>
      </c>
      <c r="G18385" s="4">
        <f>IFERROR(__xludf.DUMMYFUNCTION("""COMPUTED_VALUE"""),58.0)</f>
        <v>58</v>
      </c>
      <c r="H18385" s="4"/>
      <c r="I18385" s="4"/>
    </row>
    <row r="18386">
      <c r="A18386" s="4" t="str">
        <f>IFERROR(__xludf.DUMMYFUNCTION("""COMPUTED_VALUE"""),"cas_hmw")</f>
        <v>cas_hmw</v>
      </c>
      <c r="B18386" s="5">
        <f>IFERROR(__xludf.DUMMYFUNCTION("""COMPUTED_VALUE"""),44743.0)</f>
        <v>44743</v>
      </c>
      <c r="C18386" s="6">
        <f>IFERROR(__xludf.DUMMYFUNCTION("""COMPUTED_VALUE"""),0.6896064814827696)</f>
        <v>0.6896064815</v>
      </c>
      <c r="D18386" s="4">
        <f>IFERROR(__xludf.DUMMYFUNCTION("""COMPUTED_VALUE"""),12.986114)</f>
        <v>12.986114</v>
      </c>
      <c r="E18386" s="4">
        <f>IFERROR(__xludf.DUMMYFUNCTION("""COMPUTED_VALUE"""),80.174177)</f>
        <v>80.174177</v>
      </c>
      <c r="F18386" s="4">
        <f>IFERROR(__xludf.DUMMYFUNCTION("""COMPUTED_VALUE"""),805.0)</f>
        <v>805</v>
      </c>
      <c r="G18386" s="4">
        <f>IFERROR(__xludf.DUMMYFUNCTION("""COMPUTED_VALUE"""),8.0)</f>
        <v>8</v>
      </c>
      <c r="H18386" s="4"/>
      <c r="I18386" s="4"/>
    </row>
    <row r="18387">
      <c r="A18387" s="4" t="str">
        <f>IFERROR(__xludf.DUMMYFUNCTION("""COMPUTED_VALUE"""),"cas_hmw")</f>
        <v>cas_hmw</v>
      </c>
      <c r="B18387" s="5">
        <f>IFERROR(__xludf.DUMMYFUNCTION("""COMPUTED_VALUE"""),44743.0)</f>
        <v>44743</v>
      </c>
      <c r="C18387" s="6">
        <f>IFERROR(__xludf.DUMMYFUNCTION("""COMPUTED_VALUE"""),0.6906018518529891)</f>
        <v>0.6906018519</v>
      </c>
      <c r="D18387" s="4">
        <f>IFERROR(__xludf.DUMMYFUNCTION("""COMPUTED_VALUE"""),12.988779)</f>
        <v>12.988779</v>
      </c>
      <c r="E18387" s="4">
        <f>IFERROR(__xludf.DUMMYFUNCTION("""COMPUTED_VALUE"""),80.177934)</f>
        <v>80.177934</v>
      </c>
      <c r="F18387" s="4">
        <f>IFERROR(__xludf.DUMMYFUNCTION("""COMPUTED_VALUE"""),805.0)</f>
        <v>805</v>
      </c>
      <c r="G18387" s="4">
        <f>IFERROR(__xludf.DUMMYFUNCTION("""COMPUTED_VALUE"""),16.0)</f>
        <v>16</v>
      </c>
      <c r="H18387" s="4"/>
      <c r="I18387" s="4"/>
    </row>
    <row r="18388">
      <c r="A18388" s="4" t="str">
        <f>IFERROR(__xludf.DUMMYFUNCTION("""COMPUTED_VALUE"""),"cas_hmw")</f>
        <v>cas_hmw</v>
      </c>
      <c r="B18388" s="5">
        <f>IFERROR(__xludf.DUMMYFUNCTION("""COMPUTED_VALUE"""),44743.0)</f>
        <v>44743</v>
      </c>
      <c r="C18388" s="6">
        <f>IFERROR(__xludf.DUMMYFUNCTION("""COMPUTED_VALUE"""),0.6907754629646661)</f>
        <v>0.690775463</v>
      </c>
      <c r="D18388" s="4">
        <f>IFERROR(__xludf.DUMMYFUNCTION("""COMPUTED_VALUE"""),12.988779)</f>
        <v>12.988779</v>
      </c>
      <c r="E18388" s="4">
        <f>IFERROR(__xludf.DUMMYFUNCTION("""COMPUTED_VALUE"""),80.177934)</f>
        <v>80.177934</v>
      </c>
      <c r="F18388" s="4">
        <f>IFERROR(__xludf.DUMMYFUNCTION("""COMPUTED_VALUE"""),805.0)</f>
        <v>805</v>
      </c>
      <c r="G18388" s="4">
        <f>IFERROR(__xludf.DUMMYFUNCTION("""COMPUTED_VALUE"""),16.0)</f>
        <v>16</v>
      </c>
      <c r="H18388" s="4"/>
      <c r="I18388" s="4"/>
    </row>
    <row r="18389">
      <c r="A18389" s="4" t="str">
        <f>IFERROR(__xludf.DUMMYFUNCTION("""COMPUTED_VALUE"""),"cas_hmw")</f>
        <v>cas_hmw</v>
      </c>
      <c r="B18389" s="5">
        <f>IFERROR(__xludf.DUMMYFUNCTION("""COMPUTED_VALUE"""),44743.0)</f>
        <v>44743</v>
      </c>
      <c r="C18389" s="6">
        <f>IFERROR(__xludf.DUMMYFUNCTION("""COMPUTED_VALUE"""),0.6910763888881775)</f>
        <v>0.6910763889</v>
      </c>
      <c r="D18389" s="4">
        <f>IFERROR(__xludf.DUMMYFUNCTION("""COMPUTED_VALUE"""),12.98957)</f>
        <v>12.98957</v>
      </c>
      <c r="E18389" s="4">
        <f>IFERROR(__xludf.DUMMYFUNCTION("""COMPUTED_VALUE"""),80.178844)</f>
        <v>80.178844</v>
      </c>
      <c r="F18389" s="4">
        <f>IFERROR(__xludf.DUMMYFUNCTION("""COMPUTED_VALUE"""),805.0)</f>
        <v>805</v>
      </c>
      <c r="G18389" s="4">
        <f>IFERROR(__xludf.DUMMYFUNCTION("""COMPUTED_VALUE"""),30.0)</f>
        <v>30</v>
      </c>
      <c r="H18389" s="4"/>
      <c r="I18389" s="4"/>
    </row>
    <row r="18390">
      <c r="A18390" s="4" t="str">
        <f>IFERROR(__xludf.DUMMYFUNCTION("""COMPUTED_VALUE"""),"cas_hmw")</f>
        <v>cas_hmw</v>
      </c>
      <c r="B18390" s="5">
        <f>IFERROR(__xludf.DUMMYFUNCTION("""COMPUTED_VALUE"""),44743.0)</f>
        <v>44743</v>
      </c>
      <c r="C18390" s="6">
        <f>IFERROR(__xludf.DUMMYFUNCTION("""COMPUTED_VALUE"""),0.6913194444459805)</f>
        <v>0.6913194444</v>
      </c>
      <c r="D18390" s="4">
        <f>IFERROR(__xludf.DUMMYFUNCTION("""COMPUTED_VALUE"""),12.732029)</f>
        <v>12.732029</v>
      </c>
      <c r="E18390" s="4">
        <f>IFERROR(__xludf.DUMMYFUNCTION("""COMPUTED_VALUE"""),79.98318)</f>
        <v>79.98318</v>
      </c>
      <c r="F18390" s="4">
        <f>IFERROR(__xludf.DUMMYFUNCTION("""COMPUTED_VALUE"""),2846.0)</f>
        <v>2846</v>
      </c>
      <c r="G18390" s="4">
        <f>IFERROR(__xludf.DUMMYFUNCTION("""COMPUTED_VALUE"""),57.0)</f>
        <v>57</v>
      </c>
      <c r="H18390" s="4"/>
      <c r="I18390" s="4"/>
    </row>
    <row r="18391">
      <c r="A18391" s="4" t="str">
        <f>IFERROR(__xludf.DUMMYFUNCTION("""COMPUTED_VALUE"""),"cas_hmw")</f>
        <v>cas_hmw</v>
      </c>
      <c r="B18391" s="5">
        <f>IFERROR(__xludf.DUMMYFUNCTION("""COMPUTED_VALUE"""),44743.0)</f>
        <v>44743</v>
      </c>
      <c r="C18391" s="6">
        <f>IFERROR(__xludf.DUMMYFUNCTION("""COMPUTED_VALUE"""),0.6943402777760639)</f>
        <v>0.6943402778</v>
      </c>
      <c r="D18391" s="4">
        <f>IFERROR(__xludf.DUMMYFUNCTION("""COMPUTED_VALUE"""),13.001926)</f>
        <v>13.001926</v>
      </c>
      <c r="E18391" s="4">
        <f>IFERROR(__xludf.DUMMYFUNCTION("""COMPUTED_VALUE"""),80.196542)</f>
        <v>80.196542</v>
      </c>
      <c r="F18391" s="4">
        <f>IFERROR(__xludf.DUMMYFUNCTION("""COMPUTED_VALUE"""),805.0)</f>
        <v>805</v>
      </c>
      <c r="G18391" s="4">
        <f>IFERROR(__xludf.DUMMYFUNCTION("""COMPUTED_VALUE"""),33.0)</f>
        <v>33</v>
      </c>
      <c r="H18391" s="4"/>
      <c r="I18391" s="4"/>
    </row>
    <row r="18392">
      <c r="A18392" s="4" t="str">
        <f>IFERROR(__xludf.DUMMYFUNCTION("""COMPUTED_VALUE"""),"cas_hmw")</f>
        <v>cas_hmw</v>
      </c>
      <c r="B18392" s="5">
        <f>IFERROR(__xludf.DUMMYFUNCTION("""COMPUTED_VALUE"""),44743.0)</f>
        <v>44743</v>
      </c>
      <c r="C18392" s="6">
        <f>IFERROR(__xludf.DUMMYFUNCTION("""COMPUTED_VALUE"""),0.6944444444452529)</f>
        <v>0.6944444444</v>
      </c>
      <c r="D18392" s="4">
        <f>IFERROR(__xludf.DUMMYFUNCTION("""COMPUTED_VALUE"""),13.001926)</f>
        <v>13.001926</v>
      </c>
      <c r="E18392" s="4">
        <f>IFERROR(__xludf.DUMMYFUNCTION("""COMPUTED_VALUE"""),80.196542)</f>
        <v>80.196542</v>
      </c>
      <c r="F18392" s="4">
        <f>IFERROR(__xludf.DUMMYFUNCTION("""COMPUTED_VALUE"""),805.0)</f>
        <v>805</v>
      </c>
      <c r="G18392" s="4">
        <f>IFERROR(__xludf.DUMMYFUNCTION("""COMPUTED_VALUE"""),33.0)</f>
        <v>33</v>
      </c>
      <c r="H18392" s="4"/>
      <c r="I18392" s="4"/>
    </row>
    <row r="18393">
      <c r="A18393" s="4" t="str">
        <f>IFERROR(__xludf.DUMMYFUNCTION("""COMPUTED_VALUE"""),"cas_hmw")</f>
        <v>cas_hmw</v>
      </c>
      <c r="B18393" s="5">
        <f>IFERROR(__xludf.DUMMYFUNCTION("""COMPUTED_VALUE"""),44743.0)</f>
        <v>44743</v>
      </c>
      <c r="C18393" s="6">
        <f>IFERROR(__xludf.DUMMYFUNCTION("""COMPUTED_VALUE"""),0.6944907407414576)</f>
        <v>0.6944907407</v>
      </c>
      <c r="D18393" s="4">
        <f>IFERROR(__xludf.DUMMYFUNCTION("""COMPUTED_VALUE"""),13.001926)</f>
        <v>13.001926</v>
      </c>
      <c r="E18393" s="4">
        <f>IFERROR(__xludf.DUMMYFUNCTION("""COMPUTED_VALUE"""),80.196542)</f>
        <v>80.196542</v>
      </c>
      <c r="F18393" s="4">
        <f>IFERROR(__xludf.DUMMYFUNCTION("""COMPUTED_VALUE"""),805.0)</f>
        <v>805</v>
      </c>
      <c r="G18393" s="4">
        <f>IFERROR(__xludf.DUMMYFUNCTION("""COMPUTED_VALUE"""),33.0)</f>
        <v>33</v>
      </c>
      <c r="H18393" s="4"/>
      <c r="I18393" s="4"/>
    </row>
    <row r="18394">
      <c r="A18394" s="4" t="str">
        <f>IFERROR(__xludf.DUMMYFUNCTION("""COMPUTED_VALUE"""),"cas_hmw")</f>
        <v>cas_hmw</v>
      </c>
      <c r="B18394" s="5">
        <f>IFERROR(__xludf.DUMMYFUNCTION("""COMPUTED_VALUE"""),44743.0)</f>
        <v>44743</v>
      </c>
      <c r="C18394" s="6">
        <f>IFERROR(__xludf.DUMMYFUNCTION("""COMPUTED_VALUE"""),0.6949305555572209)</f>
        <v>0.6949305556</v>
      </c>
      <c r="D18394" s="4">
        <f>IFERROR(__xludf.DUMMYFUNCTION("""COMPUTED_VALUE"""),13.003741)</f>
        <v>13.003741</v>
      </c>
      <c r="E18394" s="4">
        <f>IFERROR(__xludf.DUMMYFUNCTION("""COMPUTED_VALUE"""),80.200896)</f>
        <v>80.200896</v>
      </c>
      <c r="F18394" s="4">
        <f>IFERROR(__xludf.DUMMYFUNCTION("""COMPUTED_VALUE"""),805.0)</f>
        <v>805</v>
      </c>
      <c r="G18394" s="4">
        <f>IFERROR(__xludf.DUMMYFUNCTION("""COMPUTED_VALUE"""),33.0)</f>
        <v>33</v>
      </c>
      <c r="H18394" s="4"/>
      <c r="I18394" s="4"/>
    </row>
    <row r="18395">
      <c r="A18395" s="4" t="str">
        <f>IFERROR(__xludf.DUMMYFUNCTION("""COMPUTED_VALUE"""),"cas_hmw")</f>
        <v>cas_hmw</v>
      </c>
      <c r="B18395" s="5">
        <f>IFERROR(__xludf.DUMMYFUNCTION("""COMPUTED_VALUE"""),44743.0)</f>
        <v>44743</v>
      </c>
      <c r="C18395" s="6">
        <f>IFERROR(__xludf.DUMMYFUNCTION("""COMPUTED_VALUE"""),0.694965277776646)</f>
        <v>0.6949652778</v>
      </c>
      <c r="D18395" s="4">
        <f>IFERROR(__xludf.DUMMYFUNCTION("""COMPUTED_VALUE"""),13.003741)</f>
        <v>13.003741</v>
      </c>
      <c r="E18395" s="4">
        <f>IFERROR(__xludf.DUMMYFUNCTION("""COMPUTED_VALUE"""),80.200896)</f>
        <v>80.200896</v>
      </c>
      <c r="F18395" s="4">
        <f>IFERROR(__xludf.DUMMYFUNCTION("""COMPUTED_VALUE"""),805.0)</f>
        <v>805</v>
      </c>
      <c r="G18395" s="4">
        <f>IFERROR(__xludf.DUMMYFUNCTION("""COMPUTED_VALUE"""),33.0)</f>
        <v>33</v>
      </c>
      <c r="H18395" s="4"/>
      <c r="I18395" s="4"/>
    </row>
    <row r="18396">
      <c r="A18396" s="4" t="str">
        <f>IFERROR(__xludf.DUMMYFUNCTION("""COMPUTED_VALUE"""),"cas_hmw")</f>
        <v>cas_hmw</v>
      </c>
      <c r="B18396" s="5">
        <f>IFERROR(__xludf.DUMMYFUNCTION("""COMPUTED_VALUE"""),44743.0)</f>
        <v>44743</v>
      </c>
      <c r="C18396" s="6">
        <f>IFERROR(__xludf.DUMMYFUNCTION("""COMPUTED_VALUE"""),0.6950578703690553)</f>
        <v>0.6950578704</v>
      </c>
      <c r="D18396" s="4">
        <f>IFERROR(__xludf.DUMMYFUNCTION("""COMPUTED_VALUE"""),13.003741)</f>
        <v>13.003741</v>
      </c>
      <c r="E18396" s="4">
        <f>IFERROR(__xludf.DUMMYFUNCTION("""COMPUTED_VALUE"""),80.200896)</f>
        <v>80.200896</v>
      </c>
      <c r="F18396" s="4">
        <f>IFERROR(__xludf.DUMMYFUNCTION("""COMPUTED_VALUE"""),805.0)</f>
        <v>805</v>
      </c>
      <c r="G18396" s="4">
        <f>IFERROR(__xludf.DUMMYFUNCTION("""COMPUTED_VALUE"""),33.0)</f>
        <v>33</v>
      </c>
      <c r="H18396" s="4"/>
      <c r="I18396" s="4"/>
    </row>
    <row r="18397">
      <c r="A18397" s="4" t="str">
        <f>IFERROR(__xludf.DUMMYFUNCTION("""COMPUTED_VALUE"""),"cas_hmw")</f>
        <v>cas_hmw</v>
      </c>
      <c r="B18397" s="5">
        <f>IFERROR(__xludf.DUMMYFUNCTION("""COMPUTED_VALUE"""),44743.0)</f>
        <v>44743</v>
      </c>
      <c r="C18397" s="6">
        <f>IFERROR(__xludf.DUMMYFUNCTION("""COMPUTED_VALUE"""),0.6957291666658421)</f>
        <v>0.6957291667</v>
      </c>
      <c r="D18397" s="4">
        <f>IFERROR(__xludf.DUMMYFUNCTION("""COMPUTED_VALUE"""),13.008418)</f>
        <v>13.008418</v>
      </c>
      <c r="E18397" s="4">
        <f>IFERROR(__xludf.DUMMYFUNCTION("""COMPUTED_VALUE"""),80.203337)</f>
        <v>80.203337</v>
      </c>
      <c r="F18397" s="4">
        <f>IFERROR(__xludf.DUMMYFUNCTION("""COMPUTED_VALUE"""),805.0)</f>
        <v>805</v>
      </c>
      <c r="G18397" s="4">
        <f>IFERROR(__xludf.DUMMYFUNCTION("""COMPUTED_VALUE"""),37.0)</f>
        <v>37</v>
      </c>
      <c r="H18397" s="4"/>
      <c r="I18397" s="4"/>
    </row>
    <row r="18398">
      <c r="A18398" s="4" t="str">
        <f>IFERROR(__xludf.DUMMYFUNCTION("""COMPUTED_VALUE"""),"cas_hmw")</f>
        <v>cas_hmw</v>
      </c>
      <c r="B18398" s="5">
        <f>IFERROR(__xludf.DUMMYFUNCTION("""COMPUTED_VALUE"""),44743.0)</f>
        <v>44743</v>
      </c>
      <c r="C18398" s="6">
        <f>IFERROR(__xludf.DUMMYFUNCTION("""COMPUTED_VALUE"""),0.6960069444430701)</f>
        <v>0.6960069444</v>
      </c>
      <c r="D18398" s="4">
        <f>IFERROR(__xludf.DUMMYFUNCTION("""COMPUTED_VALUE"""),13.007681)</f>
        <v>13.007681</v>
      </c>
      <c r="E18398" s="4">
        <f>IFERROR(__xludf.DUMMYFUNCTION("""COMPUTED_VALUE"""),80.205888)</f>
        <v>80.205888</v>
      </c>
      <c r="F18398" s="4">
        <f>IFERROR(__xludf.DUMMYFUNCTION("""COMPUTED_VALUE"""),805.0)</f>
        <v>805</v>
      </c>
      <c r="G18398" s="4">
        <f>IFERROR(__xludf.DUMMYFUNCTION("""COMPUTED_VALUE"""),63.0)</f>
        <v>63</v>
      </c>
      <c r="H18398" s="4"/>
      <c r="I18398" s="4"/>
    </row>
    <row r="18399">
      <c r="A18399" s="4" t="str">
        <f>IFERROR(__xludf.DUMMYFUNCTION("""COMPUTED_VALUE"""),"cas_hmw")</f>
        <v>cas_hmw</v>
      </c>
      <c r="B18399" s="5">
        <f>IFERROR(__xludf.DUMMYFUNCTION("""COMPUTED_VALUE"""),44743.0)</f>
        <v>44743</v>
      </c>
      <c r="C18399" s="6">
        <f>IFERROR(__xludf.DUMMYFUNCTION("""COMPUTED_VALUE"""),0.6964930555550382)</f>
        <v>0.6964930556</v>
      </c>
      <c r="D18399" s="4">
        <f>IFERROR(__xludf.DUMMYFUNCTION("""COMPUTED_VALUE"""),13.008362)</f>
        <v>13.008362</v>
      </c>
      <c r="E18399" s="4">
        <f>IFERROR(__xludf.DUMMYFUNCTION("""COMPUTED_VALUE"""),80.209954)</f>
        <v>80.209954</v>
      </c>
      <c r="F18399" s="4">
        <f>IFERROR(__xludf.DUMMYFUNCTION("""COMPUTED_VALUE"""),805.0)</f>
        <v>805</v>
      </c>
      <c r="G18399" s="4">
        <f>IFERROR(__xludf.DUMMYFUNCTION("""COMPUTED_VALUE"""),48.0)</f>
        <v>48</v>
      </c>
      <c r="H18399" s="4"/>
      <c r="I18399" s="4"/>
    </row>
    <row r="18400">
      <c r="A18400" s="4" t="str">
        <f>IFERROR(__xludf.DUMMYFUNCTION("""COMPUTED_VALUE"""),"cas_hmw")</f>
        <v>cas_hmw</v>
      </c>
      <c r="B18400" s="5">
        <f>IFERROR(__xludf.DUMMYFUNCTION("""COMPUTED_VALUE"""),44743.0)</f>
        <v>44743</v>
      </c>
      <c r="C18400" s="6">
        <f>IFERROR(__xludf.DUMMYFUNCTION("""COMPUTED_VALUE"""),0.6967708333322662)</f>
        <v>0.6967708333</v>
      </c>
      <c r="D18400" s="4">
        <f>IFERROR(__xludf.DUMMYFUNCTION("""COMPUTED_VALUE"""),13.009589)</f>
        <v>13.009589</v>
      </c>
      <c r="E18400" s="4">
        <f>IFERROR(__xludf.DUMMYFUNCTION("""COMPUTED_VALUE"""),80.21334)</f>
        <v>80.21334</v>
      </c>
      <c r="F18400" s="4">
        <f>IFERROR(__xludf.DUMMYFUNCTION("""COMPUTED_VALUE"""),805.0)</f>
        <v>805</v>
      </c>
      <c r="G18400" s="4">
        <f>IFERROR(__xludf.DUMMYFUNCTION("""COMPUTED_VALUE"""),38.0)</f>
        <v>38</v>
      </c>
      <c r="H18400" s="4"/>
      <c r="I18400" s="4"/>
    </row>
    <row r="18401">
      <c r="A18401" s="4" t="str">
        <f>IFERROR(__xludf.DUMMYFUNCTION("""COMPUTED_VALUE"""),"cas_hmw")</f>
        <v>cas_hmw</v>
      </c>
      <c r="B18401" s="5">
        <f>IFERROR(__xludf.DUMMYFUNCTION("""COMPUTED_VALUE"""),44743.0)</f>
        <v>44743</v>
      </c>
      <c r="C18401" s="6">
        <f>IFERROR(__xludf.DUMMYFUNCTION("""COMPUTED_VALUE"""),0.6970949074056989)</f>
        <v>0.6970949074</v>
      </c>
      <c r="D18401" s="4">
        <f>IFERROR(__xludf.DUMMYFUNCTION("""COMPUTED_VALUE"""),13.009589)</f>
        <v>13.009589</v>
      </c>
      <c r="E18401" s="4">
        <f>IFERROR(__xludf.DUMMYFUNCTION("""COMPUTED_VALUE"""),80.21334)</f>
        <v>80.21334</v>
      </c>
      <c r="F18401" s="4">
        <f>IFERROR(__xludf.DUMMYFUNCTION("""COMPUTED_VALUE"""),805.0)</f>
        <v>805</v>
      </c>
      <c r="G18401" s="4">
        <f>IFERROR(__xludf.DUMMYFUNCTION("""COMPUTED_VALUE"""),38.0)</f>
        <v>38</v>
      </c>
      <c r="H18401" s="4"/>
      <c r="I18401" s="4"/>
    </row>
    <row r="18402">
      <c r="A18402" s="4" t="str">
        <f>IFERROR(__xludf.DUMMYFUNCTION("""COMPUTED_VALUE"""),"cas_hmw")</f>
        <v>cas_hmw</v>
      </c>
      <c r="B18402" s="5">
        <f>IFERROR(__xludf.DUMMYFUNCTION("""COMPUTED_VALUE"""),44743.0)</f>
        <v>44743</v>
      </c>
      <c r="C18402" s="6">
        <f>IFERROR(__xludf.DUMMYFUNCTION("""COMPUTED_VALUE"""),0.6972337962979509)</f>
        <v>0.6972337963</v>
      </c>
      <c r="D18402" s="4">
        <f>IFERROR(__xludf.DUMMYFUNCTION("""COMPUTED_VALUE"""),13.010507)</f>
        <v>13.010507</v>
      </c>
      <c r="E18402" s="4">
        <f>IFERROR(__xludf.DUMMYFUNCTION("""COMPUTED_VALUE"""),80.216275)</f>
        <v>80.216275</v>
      </c>
      <c r="F18402" s="4">
        <f>IFERROR(__xludf.DUMMYFUNCTION("""COMPUTED_VALUE"""),805.0)</f>
        <v>805</v>
      </c>
      <c r="G18402" s="4">
        <f>IFERROR(__xludf.DUMMYFUNCTION("""COMPUTED_VALUE"""),42.0)</f>
        <v>42</v>
      </c>
      <c r="H18402" s="4"/>
      <c r="I18402" s="4"/>
    </row>
    <row r="18403">
      <c r="A18403" s="4" t="str">
        <f>IFERROR(__xludf.DUMMYFUNCTION("""COMPUTED_VALUE"""),"cas_hmw")</f>
        <v>cas_hmw</v>
      </c>
      <c r="B18403" s="5">
        <f>IFERROR(__xludf.DUMMYFUNCTION("""COMPUTED_VALUE"""),44743.0)</f>
        <v>44743</v>
      </c>
      <c r="C18403" s="6">
        <f>IFERROR(__xludf.DUMMYFUNCTION("""COMPUTED_VALUE"""),0.6974999999983993)</f>
        <v>0.6975</v>
      </c>
      <c r="D18403" s="4">
        <f>IFERROR(__xludf.DUMMYFUNCTION("""COMPUTED_VALUE"""),13.011984)</f>
        <v>13.011984</v>
      </c>
      <c r="E18403" s="4">
        <f>IFERROR(__xludf.DUMMYFUNCTION("""COMPUTED_VALUE"""),80.220107)</f>
        <v>80.220107</v>
      </c>
      <c r="F18403" s="4">
        <f>IFERROR(__xludf.DUMMYFUNCTION("""COMPUTED_VALUE"""),805.0)</f>
        <v>805</v>
      </c>
      <c r="G18403" s="4">
        <f>IFERROR(__xludf.DUMMYFUNCTION("""COMPUTED_VALUE"""),43.0)</f>
        <v>43</v>
      </c>
      <c r="H18403" s="4"/>
      <c r="I18403" s="4"/>
    </row>
    <row r="18404">
      <c r="A18404" s="4" t="str">
        <f>IFERROR(__xludf.DUMMYFUNCTION("""COMPUTED_VALUE"""),"cas_hmw")</f>
        <v>cas_hmw</v>
      </c>
      <c r="B18404" s="5">
        <f>IFERROR(__xludf.DUMMYFUNCTION("""COMPUTED_VALUE"""),44743.0)</f>
        <v>44743</v>
      </c>
      <c r="C18404" s="6">
        <f>IFERROR(__xludf.DUMMYFUNCTION("""COMPUTED_VALUE"""),0.6977662037024857)</f>
        <v>0.6977662037</v>
      </c>
      <c r="D18404" s="4">
        <f>IFERROR(__xludf.DUMMYFUNCTION("""COMPUTED_VALUE"""),12.691383)</f>
        <v>12.691383</v>
      </c>
      <c r="E18404" s="4">
        <f>IFERROR(__xludf.DUMMYFUNCTION("""COMPUTED_VALUE"""),79.980702)</f>
        <v>79.980702</v>
      </c>
      <c r="F18404" s="4">
        <f>IFERROR(__xludf.DUMMYFUNCTION("""COMPUTED_VALUE"""),2846.0)</f>
        <v>2846</v>
      </c>
      <c r="G18404" s="4">
        <f>IFERROR(__xludf.DUMMYFUNCTION("""COMPUTED_VALUE"""),24.0)</f>
        <v>24</v>
      </c>
      <c r="H18404" s="4"/>
      <c r="I18404" s="4"/>
    </row>
    <row r="18405">
      <c r="A18405" s="4" t="str">
        <f>IFERROR(__xludf.DUMMYFUNCTION("""COMPUTED_VALUE"""),"cas_hmw")</f>
        <v>cas_hmw</v>
      </c>
      <c r="B18405" s="5">
        <f>IFERROR(__xludf.DUMMYFUNCTION("""COMPUTED_VALUE"""),44743.0)</f>
        <v>44743</v>
      </c>
      <c r="C18405" s="6">
        <f>IFERROR(__xludf.DUMMYFUNCTION("""COMPUTED_VALUE"""),0.6984953703686188)</f>
        <v>0.6984953704</v>
      </c>
      <c r="D18405" s="4">
        <f>IFERROR(__xludf.DUMMYFUNCTION("""COMPUTED_VALUE"""),12.687717)</f>
        <v>12.687717</v>
      </c>
      <c r="E18405" s="4">
        <f>IFERROR(__xludf.DUMMYFUNCTION("""COMPUTED_VALUE"""),79.982942)</f>
        <v>79.982942</v>
      </c>
      <c r="F18405" s="4">
        <f>IFERROR(__xludf.DUMMYFUNCTION("""COMPUTED_VALUE"""),2846.0)</f>
        <v>2846</v>
      </c>
      <c r="G18405" s="4">
        <f>IFERROR(__xludf.DUMMYFUNCTION("""COMPUTED_VALUE"""),33.0)</f>
        <v>33</v>
      </c>
      <c r="H18405" s="4"/>
      <c r="I18405" s="4"/>
    </row>
    <row r="18406">
      <c r="A18406" s="4" t="str">
        <f>IFERROR(__xludf.DUMMYFUNCTION("""COMPUTED_VALUE"""),"cas_hmw")</f>
        <v>cas_hmw</v>
      </c>
      <c r="B18406" s="5">
        <f>IFERROR(__xludf.DUMMYFUNCTION("""COMPUTED_VALUE"""),44743.0)</f>
        <v>44743</v>
      </c>
      <c r="C18406" s="6">
        <f>IFERROR(__xludf.DUMMYFUNCTION("""COMPUTED_VALUE"""),0.6986111111109494)</f>
        <v>0.6986111111</v>
      </c>
      <c r="D18406" s="4">
        <f>IFERROR(__xludf.DUMMYFUNCTION("""COMPUTED_VALUE"""),13.015489)</f>
        <v>13.015489</v>
      </c>
      <c r="E18406" s="4">
        <f>IFERROR(__xludf.DUMMYFUNCTION("""COMPUTED_VALUE"""),80.22538)</f>
        <v>80.22538</v>
      </c>
      <c r="F18406" s="4">
        <f>IFERROR(__xludf.DUMMYFUNCTION("""COMPUTED_VALUE"""),805.0)</f>
        <v>805</v>
      </c>
      <c r="G18406" s="4">
        <f>IFERROR(__xludf.DUMMYFUNCTION("""COMPUTED_VALUE"""),14.0)</f>
        <v>14</v>
      </c>
      <c r="H18406" s="4"/>
      <c r="I18406" s="4"/>
    </row>
    <row r="18407">
      <c r="A18407" s="4" t="str">
        <f>IFERROR(__xludf.DUMMYFUNCTION("""COMPUTED_VALUE"""),"cas_hmw")</f>
        <v>cas_hmw</v>
      </c>
      <c r="B18407" s="5">
        <f>IFERROR(__xludf.DUMMYFUNCTION("""COMPUTED_VALUE"""),44743.0)</f>
        <v>44743</v>
      </c>
      <c r="C18407" s="6">
        <f>IFERROR(__xludf.DUMMYFUNCTION("""COMPUTED_VALUE"""),0.6988310185188311)</f>
        <v>0.6988310185</v>
      </c>
      <c r="D18407" s="4">
        <f>IFERROR(__xludf.DUMMYFUNCTION("""COMPUTED_VALUE"""),13.015064)</f>
        <v>13.015064</v>
      </c>
      <c r="E18407" s="4">
        <f>IFERROR(__xludf.DUMMYFUNCTION("""COMPUTED_VALUE"""),80.225942)</f>
        <v>80.225942</v>
      </c>
      <c r="F18407" s="4">
        <f>IFERROR(__xludf.DUMMYFUNCTION("""COMPUTED_VALUE"""),805.0)</f>
        <v>805</v>
      </c>
      <c r="G18407" s="4">
        <f>IFERROR(__xludf.DUMMYFUNCTION("""COMPUTED_VALUE"""),0.0)</f>
        <v>0</v>
      </c>
      <c r="H18407" s="4"/>
      <c r="I18407" s="4"/>
    </row>
    <row r="18408">
      <c r="A18408" s="4" t="str">
        <f>IFERROR(__xludf.DUMMYFUNCTION("""COMPUTED_VALUE"""),"cas_hmw")</f>
        <v>cas_hmw</v>
      </c>
      <c r="B18408" s="5">
        <f>IFERROR(__xludf.DUMMYFUNCTION("""COMPUTED_VALUE"""),44743.0)</f>
        <v>44743</v>
      </c>
      <c r="C18408" s="6">
        <f>IFERROR(__xludf.DUMMYFUNCTION("""COMPUTED_VALUE"""),0.6989236111112405)</f>
        <v>0.6989236111</v>
      </c>
      <c r="D18408" s="4">
        <f>IFERROR(__xludf.DUMMYFUNCTION("""COMPUTED_VALUE"""),13.015064)</f>
        <v>13.015064</v>
      </c>
      <c r="E18408" s="4">
        <f>IFERROR(__xludf.DUMMYFUNCTION("""COMPUTED_VALUE"""),80.225942)</f>
        <v>80.225942</v>
      </c>
      <c r="F18408" s="4">
        <f>IFERROR(__xludf.DUMMYFUNCTION("""COMPUTED_VALUE"""),805.0)</f>
        <v>805</v>
      </c>
      <c r="G18408" s="4">
        <f>IFERROR(__xludf.DUMMYFUNCTION("""COMPUTED_VALUE"""),0.0)</f>
        <v>0</v>
      </c>
      <c r="H18408" s="4"/>
      <c r="I18408" s="4"/>
    </row>
    <row r="18409">
      <c r="A18409" s="4" t="str">
        <f>IFERROR(__xludf.DUMMYFUNCTION("""COMPUTED_VALUE"""),"cas_hmw")</f>
        <v>cas_hmw</v>
      </c>
      <c r="B18409" s="5">
        <f>IFERROR(__xludf.DUMMYFUNCTION("""COMPUTED_VALUE"""),44743.0)</f>
        <v>44743</v>
      </c>
      <c r="C18409" s="6">
        <f>IFERROR(__xludf.DUMMYFUNCTION("""COMPUTED_VALUE"""),0.6989930555573665)</f>
        <v>0.6989930556</v>
      </c>
      <c r="D18409" s="4">
        <f>IFERROR(__xludf.DUMMYFUNCTION("""COMPUTED_VALUE"""),13.014421)</f>
        <v>13.014421</v>
      </c>
      <c r="E18409" s="4">
        <f>IFERROR(__xludf.DUMMYFUNCTION("""COMPUTED_VALUE"""),80.226201)</f>
        <v>80.226201</v>
      </c>
      <c r="F18409" s="4">
        <f>IFERROR(__xludf.DUMMYFUNCTION("""COMPUTED_VALUE"""),805.0)</f>
        <v>805</v>
      </c>
      <c r="G18409" s="4">
        <f>IFERROR(__xludf.DUMMYFUNCTION("""COMPUTED_VALUE"""),24.0)</f>
        <v>24</v>
      </c>
      <c r="H18409" s="4"/>
      <c r="I18409" s="4"/>
    </row>
    <row r="18410">
      <c r="A18410" s="4" t="str">
        <f>IFERROR(__xludf.DUMMYFUNCTION("""COMPUTED_VALUE"""),"cas_hmw")</f>
        <v>cas_hmw</v>
      </c>
      <c r="B18410" s="5">
        <f>IFERROR(__xludf.DUMMYFUNCTION("""COMPUTED_VALUE"""),44743.0)</f>
        <v>44743</v>
      </c>
      <c r="C18410" s="6">
        <f>IFERROR(__xludf.DUMMYFUNCTION("""COMPUTED_VALUE"""),0.6994675925925549)</f>
        <v>0.6994675926</v>
      </c>
      <c r="D18410" s="4">
        <f>IFERROR(__xludf.DUMMYFUNCTION("""COMPUTED_VALUE"""),13.012034)</f>
        <v>13.012034</v>
      </c>
      <c r="E18410" s="4">
        <f>IFERROR(__xludf.DUMMYFUNCTION("""COMPUTED_VALUE"""),80.227125)</f>
        <v>80.227125</v>
      </c>
      <c r="F18410" s="4">
        <f>IFERROR(__xludf.DUMMYFUNCTION("""COMPUTED_VALUE"""),805.0)</f>
        <v>805</v>
      </c>
      <c r="G18410" s="4">
        <f>IFERROR(__xludf.DUMMYFUNCTION("""COMPUTED_VALUE"""),34.0)</f>
        <v>34</v>
      </c>
      <c r="H18410" s="4"/>
      <c r="I18410" s="4"/>
    </row>
    <row r="18411">
      <c r="A18411" s="4" t="str">
        <f>IFERROR(__xludf.DUMMYFUNCTION("""COMPUTED_VALUE"""),"cas_hmw")</f>
        <v>cas_hmw</v>
      </c>
      <c r="B18411" s="5">
        <f>IFERROR(__xludf.DUMMYFUNCTION("""COMPUTED_VALUE"""),44743.0)</f>
        <v>44743</v>
      </c>
      <c r="C18411" s="6">
        <f>IFERROR(__xludf.DUMMYFUNCTION("""COMPUTED_VALUE"""),0.6996412037042319)</f>
        <v>0.6996412037</v>
      </c>
      <c r="D18411" s="4">
        <f>IFERROR(__xludf.DUMMYFUNCTION("""COMPUTED_VALUE"""),13.010751)</f>
        <v>13.010751</v>
      </c>
      <c r="E18411" s="4">
        <f>IFERROR(__xludf.DUMMYFUNCTION("""COMPUTED_VALUE"""),80.227684)</f>
        <v>80.227684</v>
      </c>
      <c r="F18411" s="4">
        <f>IFERROR(__xludf.DUMMYFUNCTION("""COMPUTED_VALUE"""),805.0)</f>
        <v>805</v>
      </c>
      <c r="G18411" s="4">
        <f>IFERROR(__xludf.DUMMYFUNCTION("""COMPUTED_VALUE"""),27.0)</f>
        <v>27</v>
      </c>
      <c r="H18411" s="4"/>
      <c r="I18411" s="4"/>
    </row>
    <row r="18412">
      <c r="A18412" s="4" t="str">
        <f>IFERROR(__xludf.DUMMYFUNCTION("""COMPUTED_VALUE"""),"cas_hmw")</f>
        <v>cas_hmw</v>
      </c>
      <c r="B18412" s="5">
        <f>IFERROR(__xludf.DUMMYFUNCTION("""COMPUTED_VALUE"""),44743.0)</f>
        <v>44743</v>
      </c>
      <c r="C18412" s="6">
        <f>IFERROR(__xludf.DUMMYFUNCTION("""COMPUTED_VALUE"""),0.6996759259272949)</f>
        <v>0.6996759259</v>
      </c>
      <c r="D18412" s="4">
        <f>IFERROR(__xludf.DUMMYFUNCTION("""COMPUTED_VALUE"""),13.010751)</f>
        <v>13.010751</v>
      </c>
      <c r="E18412" s="4">
        <f>IFERROR(__xludf.DUMMYFUNCTION("""COMPUTED_VALUE"""),80.227684)</f>
        <v>80.227684</v>
      </c>
      <c r="F18412" s="4">
        <f>IFERROR(__xludf.DUMMYFUNCTION("""COMPUTED_VALUE"""),805.0)</f>
        <v>805</v>
      </c>
      <c r="G18412" s="4">
        <f>IFERROR(__xludf.DUMMYFUNCTION("""COMPUTED_VALUE"""),27.0)</f>
        <v>27</v>
      </c>
      <c r="H18412" s="4"/>
      <c r="I18412" s="4"/>
    </row>
    <row r="18413">
      <c r="A18413" s="4" t="str">
        <f>IFERROR(__xludf.DUMMYFUNCTION("""COMPUTED_VALUE"""),"cas_hmw")</f>
        <v>cas_hmw</v>
      </c>
      <c r="B18413" s="5">
        <f>IFERROR(__xludf.DUMMYFUNCTION("""COMPUTED_VALUE"""),44743.0)</f>
        <v>44743</v>
      </c>
      <c r="C18413" s="6">
        <f>IFERROR(__xludf.DUMMYFUNCTION("""COMPUTED_VALUE"""),0.6997337962966412)</f>
        <v>0.6997337963</v>
      </c>
      <c r="D18413" s="4">
        <f>IFERROR(__xludf.DUMMYFUNCTION("""COMPUTED_VALUE"""),13.009415)</f>
        <v>13.009415</v>
      </c>
      <c r="E18413" s="4">
        <f>IFERROR(__xludf.DUMMYFUNCTION("""COMPUTED_VALUE"""),80.228213)</f>
        <v>80.228213</v>
      </c>
      <c r="F18413" s="4">
        <f>IFERROR(__xludf.DUMMYFUNCTION("""COMPUTED_VALUE"""),805.0)</f>
        <v>805</v>
      </c>
      <c r="G18413" s="4">
        <f>IFERROR(__xludf.DUMMYFUNCTION("""COMPUTED_VALUE"""),37.0)</f>
        <v>37</v>
      </c>
      <c r="H18413" s="4"/>
      <c r="I18413" s="4"/>
    </row>
    <row r="18414">
      <c r="A18414" s="4" t="str">
        <f>IFERROR(__xludf.DUMMYFUNCTION("""COMPUTED_VALUE"""),"cas_hmw")</f>
        <v>cas_hmw</v>
      </c>
      <c r="B18414" s="5">
        <f>IFERROR(__xludf.DUMMYFUNCTION("""COMPUTED_VALUE"""),44743.0)</f>
        <v>44743</v>
      </c>
      <c r="C18414" s="6">
        <f>IFERROR(__xludf.DUMMYFUNCTION("""COMPUTED_VALUE"""),0.7002430555548926)</f>
        <v>0.7002430556</v>
      </c>
      <c r="D18414" s="4">
        <f>IFERROR(__xludf.DUMMYFUNCTION("""COMPUTED_VALUE"""),13.008522)</f>
        <v>13.008522</v>
      </c>
      <c r="E18414" s="4">
        <f>IFERROR(__xludf.DUMMYFUNCTION("""COMPUTED_VALUE"""),80.231907)</f>
        <v>80.231907</v>
      </c>
      <c r="F18414" s="4">
        <f>IFERROR(__xludf.DUMMYFUNCTION("""COMPUTED_VALUE"""),805.0)</f>
        <v>805</v>
      </c>
      <c r="G18414" s="4">
        <f>IFERROR(__xludf.DUMMYFUNCTION("""COMPUTED_VALUE"""),49.0)</f>
        <v>49</v>
      </c>
      <c r="H18414" s="4"/>
      <c r="I18414" s="4"/>
    </row>
    <row r="18415">
      <c r="A18415" s="4" t="str">
        <f>IFERROR(__xludf.DUMMYFUNCTION("""COMPUTED_VALUE"""),"cas_hmw")</f>
        <v>cas_hmw</v>
      </c>
      <c r="B18415" s="5">
        <f>IFERROR(__xludf.DUMMYFUNCTION("""COMPUTED_VALUE"""),44743.0)</f>
        <v>44743</v>
      </c>
      <c r="C18415" s="6">
        <f>IFERROR(__xludf.DUMMYFUNCTION("""COMPUTED_VALUE"""),0.7018634259256942)</f>
        <v>0.7018634259</v>
      </c>
      <c r="D18415" s="4">
        <f>IFERROR(__xludf.DUMMYFUNCTION("""COMPUTED_VALUE"""),13.007167)</f>
        <v>13.007167</v>
      </c>
      <c r="E18415" s="4">
        <f>IFERROR(__xludf.DUMMYFUNCTION("""COMPUTED_VALUE"""),80.23865)</f>
        <v>80.23865</v>
      </c>
      <c r="F18415" s="4">
        <f>IFERROR(__xludf.DUMMYFUNCTION("""COMPUTED_VALUE"""),805.0)</f>
        <v>805</v>
      </c>
      <c r="G18415" s="4">
        <f>IFERROR(__xludf.DUMMYFUNCTION("""COMPUTED_VALUE"""),19.0)</f>
        <v>19</v>
      </c>
      <c r="H18415" s="4"/>
      <c r="I18415" s="4"/>
    </row>
    <row r="18416">
      <c r="A18416" s="4" t="str">
        <f>IFERROR(__xludf.DUMMYFUNCTION("""COMPUTED_VALUE"""),"cas_hmw")</f>
        <v>cas_hmw</v>
      </c>
      <c r="B18416" s="5">
        <f>IFERROR(__xludf.DUMMYFUNCTION("""COMPUTED_VALUE"""),44743.0)</f>
        <v>44743</v>
      </c>
      <c r="C18416" s="6">
        <f>IFERROR(__xludf.DUMMYFUNCTION("""COMPUTED_VALUE"""),0.7020833333335759)</f>
        <v>0.7020833333</v>
      </c>
      <c r="D18416" s="4">
        <f>IFERROR(__xludf.DUMMYFUNCTION("""COMPUTED_VALUE"""),13.007022)</f>
        <v>13.007022</v>
      </c>
      <c r="E18416" s="4">
        <f>IFERROR(__xludf.DUMMYFUNCTION("""COMPUTED_VALUE"""),80.239417)</f>
        <v>80.239417</v>
      </c>
      <c r="F18416" s="4">
        <f>IFERROR(__xludf.DUMMYFUNCTION("""COMPUTED_VALUE"""),805.0)</f>
        <v>805</v>
      </c>
      <c r="G18416" s="4">
        <f>IFERROR(__xludf.DUMMYFUNCTION("""COMPUTED_VALUE"""),27.0)</f>
        <v>27</v>
      </c>
      <c r="H18416" s="4"/>
      <c r="I18416" s="4"/>
    </row>
    <row r="18417">
      <c r="A18417" s="4" t="str">
        <f>IFERROR(__xludf.DUMMYFUNCTION("""COMPUTED_VALUE"""),"cas_hmw")</f>
        <v>cas_hmw</v>
      </c>
      <c r="B18417" s="5">
        <f>IFERROR(__xludf.DUMMYFUNCTION("""COMPUTED_VALUE"""),44743.0)</f>
        <v>44743</v>
      </c>
      <c r="C18417" s="6">
        <f>IFERROR(__xludf.DUMMYFUNCTION("""COMPUTED_VALUE"""),0.7037615740737238)</f>
        <v>0.7037615741</v>
      </c>
      <c r="D18417" s="4">
        <f>IFERROR(__xludf.DUMMYFUNCTION("""COMPUTED_VALUE"""),12.662781)</f>
        <v>12.662781</v>
      </c>
      <c r="E18417" s="4">
        <f>IFERROR(__xludf.DUMMYFUNCTION("""COMPUTED_VALUE"""),79.967752)</f>
        <v>79.967752</v>
      </c>
      <c r="F18417" s="4">
        <f>IFERROR(__xludf.DUMMYFUNCTION("""COMPUTED_VALUE"""),2846.0)</f>
        <v>2846</v>
      </c>
      <c r="G18417" s="4">
        <f>IFERROR(__xludf.DUMMYFUNCTION("""COMPUTED_VALUE"""),52.0)</f>
        <v>52</v>
      </c>
      <c r="H18417" s="4"/>
      <c r="I18417" s="4"/>
    </row>
    <row r="18418">
      <c r="A18418" s="4" t="str">
        <f>IFERROR(__xludf.DUMMYFUNCTION("""COMPUTED_VALUE"""),"cas_hmw")</f>
        <v>cas_hmw</v>
      </c>
      <c r="B18418" s="5">
        <f>IFERROR(__xludf.DUMMYFUNCTION("""COMPUTED_VALUE"""),44743.0)</f>
        <v>44743</v>
      </c>
      <c r="C18418" s="6">
        <f>IFERROR(__xludf.DUMMYFUNCTION("""COMPUTED_VALUE"""),0.7049189814824786)</f>
        <v>0.7049189815</v>
      </c>
      <c r="D18418" s="4">
        <f>IFERROR(__xludf.DUMMYFUNCTION("""COMPUTED_VALUE"""),13.006906)</f>
        <v>13.006906</v>
      </c>
      <c r="E18418" s="4">
        <f>IFERROR(__xludf.DUMMYFUNCTION("""COMPUTED_VALUE"""),80.251098)</f>
        <v>80.251098</v>
      </c>
      <c r="F18418" s="4">
        <f>IFERROR(__xludf.DUMMYFUNCTION("""COMPUTED_VALUE"""),805.0)</f>
        <v>805</v>
      </c>
      <c r="G18418" s="4">
        <f>IFERROR(__xludf.DUMMYFUNCTION("""COMPUTED_VALUE"""),10.0)</f>
        <v>10</v>
      </c>
      <c r="H18418" s="4"/>
      <c r="I18418" s="4"/>
    </row>
    <row r="18419">
      <c r="A18419" s="4" t="str">
        <f>IFERROR(__xludf.DUMMYFUNCTION("""COMPUTED_VALUE"""),"cas_hmw")</f>
        <v>cas_hmw</v>
      </c>
      <c r="B18419" s="5">
        <f>IFERROR(__xludf.DUMMYFUNCTION("""COMPUTED_VALUE"""),44743.0)</f>
        <v>44743</v>
      </c>
      <c r="C18419" s="6">
        <f>IFERROR(__xludf.DUMMYFUNCTION("""COMPUTED_VALUE"""),0.7049652777786832)</f>
        <v>0.7049652778</v>
      </c>
      <c r="D18419" s="4">
        <f>IFERROR(__xludf.DUMMYFUNCTION("""COMPUTED_VALUE"""),12.657406)</f>
        <v>12.657406</v>
      </c>
      <c r="E18419" s="4">
        <f>IFERROR(__xludf.DUMMYFUNCTION("""COMPUTED_VALUE"""),79.957989)</f>
        <v>79.957989</v>
      </c>
      <c r="F18419" s="4">
        <f>IFERROR(__xludf.DUMMYFUNCTION("""COMPUTED_VALUE"""),2846.0)</f>
        <v>2846</v>
      </c>
      <c r="G18419" s="4">
        <f>IFERROR(__xludf.DUMMYFUNCTION("""COMPUTED_VALUE"""),24.0)</f>
        <v>24</v>
      </c>
      <c r="H18419" s="4"/>
      <c r="I18419" s="4"/>
    </row>
    <row r="18420">
      <c r="A18420" s="4" t="str">
        <f>IFERROR(__xludf.DUMMYFUNCTION("""COMPUTED_VALUE"""),"cas_hmw")</f>
        <v>cas_hmw</v>
      </c>
      <c r="B18420" s="5">
        <f>IFERROR(__xludf.DUMMYFUNCTION("""COMPUTED_VALUE"""),44743.0)</f>
        <v>44743</v>
      </c>
      <c r="C18420" s="6">
        <f>IFERROR(__xludf.DUMMYFUNCTION("""COMPUTED_VALUE"""),0.7050000000017462)</f>
        <v>0.705</v>
      </c>
      <c r="D18420" s="4">
        <f>IFERROR(__xludf.DUMMYFUNCTION("""COMPUTED_VALUE"""),12.655836)</f>
        <v>12.655836</v>
      </c>
      <c r="E18420" s="4">
        <f>IFERROR(__xludf.DUMMYFUNCTION("""COMPUTED_VALUE"""),79.95346)</f>
        <v>79.95346</v>
      </c>
      <c r="F18420" s="4">
        <f>IFERROR(__xludf.DUMMYFUNCTION("""COMPUTED_VALUE"""),2846.0)</f>
        <v>2846</v>
      </c>
      <c r="G18420" s="4">
        <f>IFERROR(__xludf.DUMMYFUNCTION("""COMPUTED_VALUE"""),55.0)</f>
        <v>55</v>
      </c>
      <c r="H18420" s="4"/>
      <c r="I18420" s="4"/>
    </row>
    <row r="18421">
      <c r="A18421" s="4" t="str">
        <f>IFERROR(__xludf.DUMMYFUNCTION("""COMPUTED_VALUE"""),"cas_hmw")</f>
        <v>cas_hmw</v>
      </c>
      <c r="B18421" s="5">
        <f>IFERROR(__xludf.DUMMYFUNCTION("""COMPUTED_VALUE"""),44743.0)</f>
        <v>44743</v>
      </c>
      <c r="C18421" s="6">
        <f>IFERROR(__xludf.DUMMYFUNCTION("""COMPUTED_VALUE"""),0.7050115740748879)</f>
        <v>0.7050115741</v>
      </c>
      <c r="D18421" s="4">
        <f>IFERROR(__xludf.DUMMYFUNCTION("""COMPUTED_VALUE"""),13.006767)</f>
        <v>13.006767</v>
      </c>
      <c r="E18421" s="4">
        <f>IFERROR(__xludf.DUMMYFUNCTION("""COMPUTED_VALUE"""),80.251802)</f>
        <v>80.251802</v>
      </c>
      <c r="F18421" s="4">
        <f>IFERROR(__xludf.DUMMYFUNCTION("""COMPUTED_VALUE"""),805.0)</f>
        <v>805</v>
      </c>
      <c r="G18421" s="4">
        <f>IFERROR(__xludf.DUMMYFUNCTION("""COMPUTED_VALUE"""),15.0)</f>
        <v>15</v>
      </c>
      <c r="H18421" s="4"/>
      <c r="I18421" s="4"/>
    </row>
    <row r="18422">
      <c r="A18422" s="4" t="str">
        <f>IFERROR(__xludf.DUMMYFUNCTION("""COMPUTED_VALUE"""),"cas_hmw")</f>
        <v>cas_hmw</v>
      </c>
      <c r="B18422" s="5">
        <f>IFERROR(__xludf.DUMMYFUNCTION("""COMPUTED_VALUE"""),44743.0)</f>
        <v>44743</v>
      </c>
      <c r="C18422" s="6">
        <f>IFERROR(__xludf.DUMMYFUNCTION("""COMPUTED_VALUE"""),0.7050115740748879)</f>
        <v>0.7050115741</v>
      </c>
      <c r="D18422" s="4">
        <f>IFERROR(__xludf.DUMMYFUNCTION("""COMPUTED_VALUE"""),12.655836)</f>
        <v>12.655836</v>
      </c>
      <c r="E18422" s="4">
        <f>IFERROR(__xludf.DUMMYFUNCTION("""COMPUTED_VALUE"""),79.95346)</f>
        <v>79.95346</v>
      </c>
      <c r="F18422" s="4">
        <f>IFERROR(__xludf.DUMMYFUNCTION("""COMPUTED_VALUE"""),2846.0)</f>
        <v>2846</v>
      </c>
      <c r="G18422" s="4">
        <f>IFERROR(__xludf.DUMMYFUNCTION("""COMPUTED_VALUE"""),55.0)</f>
        <v>55</v>
      </c>
      <c r="H18422" s="4"/>
      <c r="I18422" s="4"/>
    </row>
    <row r="18423">
      <c r="A18423" s="4" t="str">
        <f>IFERROR(__xludf.DUMMYFUNCTION("""COMPUTED_VALUE"""),"cas_hmw")</f>
        <v>cas_hmw</v>
      </c>
      <c r="B18423" s="5">
        <f>IFERROR(__xludf.DUMMYFUNCTION("""COMPUTED_VALUE"""),44743.0)</f>
        <v>44743</v>
      </c>
      <c r="C18423" s="6">
        <f>IFERROR(__xludf.DUMMYFUNCTION("""COMPUTED_VALUE"""),0.7050347222211713)</f>
        <v>0.7050347222</v>
      </c>
      <c r="D18423" s="4">
        <f>IFERROR(__xludf.DUMMYFUNCTION("""COMPUTED_VALUE"""),12.655836)</f>
        <v>12.655836</v>
      </c>
      <c r="E18423" s="4">
        <f>IFERROR(__xludf.DUMMYFUNCTION("""COMPUTED_VALUE"""),79.95346)</f>
        <v>79.95346</v>
      </c>
      <c r="F18423" s="4">
        <f>IFERROR(__xludf.DUMMYFUNCTION("""COMPUTED_VALUE"""),2846.0)</f>
        <v>2846</v>
      </c>
      <c r="G18423" s="4">
        <f>IFERROR(__xludf.DUMMYFUNCTION("""COMPUTED_VALUE"""),55.0)</f>
        <v>55</v>
      </c>
      <c r="H18423" s="4"/>
      <c r="I18423" s="4"/>
    </row>
    <row r="18424">
      <c r="A18424" s="4" t="str">
        <f>IFERROR(__xludf.DUMMYFUNCTION("""COMPUTED_VALUE"""),"cas_hmw")</f>
        <v>cas_hmw</v>
      </c>
      <c r="B18424" s="5">
        <f>IFERROR(__xludf.DUMMYFUNCTION("""COMPUTED_VALUE"""),44743.0)</f>
        <v>44743</v>
      </c>
      <c r="C18424" s="6">
        <f>IFERROR(__xludf.DUMMYFUNCTION("""COMPUTED_VALUE"""),0.7052546296290529)</f>
        <v>0.7052546296</v>
      </c>
      <c r="D18424" s="4">
        <f>IFERROR(__xludf.DUMMYFUNCTION("""COMPUTED_VALUE"""),13.006647)</f>
        <v>13.006647</v>
      </c>
      <c r="E18424" s="4">
        <f>IFERROR(__xludf.DUMMYFUNCTION("""COMPUTED_VALUE"""),80.252135)</f>
        <v>80.252135</v>
      </c>
      <c r="F18424" s="4">
        <f>IFERROR(__xludf.DUMMYFUNCTION("""COMPUTED_VALUE"""),805.0)</f>
        <v>805</v>
      </c>
      <c r="G18424" s="4">
        <f>IFERROR(__xludf.DUMMYFUNCTION("""COMPUTED_VALUE"""),8.0)</f>
        <v>8</v>
      </c>
      <c r="H18424" s="4"/>
      <c r="I18424" s="4"/>
    </row>
    <row r="18425">
      <c r="A18425" s="4" t="str">
        <f>IFERROR(__xludf.DUMMYFUNCTION("""COMPUTED_VALUE"""),"cas_hmw")</f>
        <v>cas_hmw</v>
      </c>
      <c r="B18425" s="5">
        <f>IFERROR(__xludf.DUMMYFUNCTION("""COMPUTED_VALUE"""),44743.0)</f>
        <v>44743</v>
      </c>
      <c r="C18425" s="6">
        <f>IFERROR(__xludf.DUMMYFUNCTION("""COMPUTED_VALUE"""),0.7052777777789743)</f>
        <v>0.7052777778</v>
      </c>
      <c r="D18425" s="4">
        <f>IFERROR(__xludf.DUMMYFUNCTION("""COMPUTED_VALUE"""),13.006647)</f>
        <v>13.006647</v>
      </c>
      <c r="E18425" s="4">
        <f>IFERROR(__xludf.DUMMYFUNCTION("""COMPUTED_VALUE"""),80.252135)</f>
        <v>80.252135</v>
      </c>
      <c r="F18425" s="4">
        <f>IFERROR(__xludf.DUMMYFUNCTION("""COMPUTED_VALUE"""),805.0)</f>
        <v>805</v>
      </c>
      <c r="G18425" s="4">
        <f>IFERROR(__xludf.DUMMYFUNCTION("""COMPUTED_VALUE"""),8.0)</f>
        <v>8</v>
      </c>
      <c r="H18425" s="4"/>
      <c r="I18425" s="4"/>
    </row>
    <row r="18426">
      <c r="A18426" s="4" t="str">
        <f>IFERROR(__xludf.DUMMYFUNCTION("""COMPUTED_VALUE"""),"cas_hmw")</f>
        <v>cas_hmw</v>
      </c>
      <c r="B18426" s="5">
        <f>IFERROR(__xludf.DUMMYFUNCTION("""COMPUTED_VALUE"""),44743.0)</f>
        <v>44743</v>
      </c>
      <c r="C18426" s="6">
        <f>IFERROR(__xludf.DUMMYFUNCTION("""COMPUTED_VALUE"""),0.70542824074073)</f>
        <v>0.7054282407</v>
      </c>
      <c r="D18426" s="4">
        <f>IFERROR(__xludf.DUMMYFUNCTION("""COMPUTED_VALUE"""),12.656428)</f>
        <v>12.656428</v>
      </c>
      <c r="E18426" s="4">
        <f>IFERROR(__xludf.DUMMYFUNCTION("""COMPUTED_VALUE"""),79.949791)</f>
        <v>79.949791</v>
      </c>
      <c r="F18426" s="4">
        <f>IFERROR(__xludf.DUMMYFUNCTION("""COMPUTED_VALUE"""),2846.0)</f>
        <v>2846</v>
      </c>
      <c r="G18426" s="4">
        <f>IFERROR(__xludf.DUMMYFUNCTION("""COMPUTED_VALUE"""),36.0)</f>
        <v>36</v>
      </c>
      <c r="H18426" s="4"/>
      <c r="I18426" s="4"/>
    </row>
    <row r="18427">
      <c r="A18427" s="4" t="str">
        <f>IFERROR(__xludf.DUMMYFUNCTION("""COMPUTED_VALUE"""),"cas_hmw")</f>
        <v>cas_hmw</v>
      </c>
      <c r="B18427" s="5">
        <f>IFERROR(__xludf.DUMMYFUNCTION("""COMPUTED_VALUE"""),44743.0)</f>
        <v>44743</v>
      </c>
      <c r="C18427" s="6">
        <f>IFERROR(__xludf.DUMMYFUNCTION("""COMPUTED_VALUE"""),0.7055092592599976)</f>
        <v>0.7055092593</v>
      </c>
      <c r="D18427" s="4">
        <f>IFERROR(__xludf.DUMMYFUNCTION("""COMPUTED_VALUE"""),12.656428)</f>
        <v>12.656428</v>
      </c>
      <c r="E18427" s="4">
        <f>IFERROR(__xludf.DUMMYFUNCTION("""COMPUTED_VALUE"""),79.949791)</f>
        <v>79.949791</v>
      </c>
      <c r="F18427" s="4">
        <f>IFERROR(__xludf.DUMMYFUNCTION("""COMPUTED_VALUE"""),2846.0)</f>
        <v>2846</v>
      </c>
      <c r="G18427" s="4">
        <f>IFERROR(__xludf.DUMMYFUNCTION("""COMPUTED_VALUE"""),36.0)</f>
        <v>36</v>
      </c>
      <c r="H18427" s="4"/>
      <c r="I18427" s="4"/>
    </row>
    <row r="18428">
      <c r="A18428" s="4" t="str">
        <f>IFERROR(__xludf.DUMMYFUNCTION("""COMPUTED_VALUE"""),"cas_hmw")</f>
        <v>cas_hmw</v>
      </c>
      <c r="B18428" s="5">
        <f>IFERROR(__xludf.DUMMYFUNCTION("""COMPUTED_VALUE"""),44743.0)</f>
        <v>44743</v>
      </c>
      <c r="C18428" s="6">
        <f>IFERROR(__xludf.DUMMYFUNCTION("""COMPUTED_VALUE"""),0.7066550925919728)</f>
        <v>0.7066550926</v>
      </c>
      <c r="D18428" s="4">
        <f>IFERROR(__xludf.DUMMYFUNCTION("""COMPUTED_VALUE"""),13.006792)</f>
        <v>13.006792</v>
      </c>
      <c r="E18428" s="4">
        <f>IFERROR(__xludf.DUMMYFUNCTION("""COMPUTED_VALUE"""),80.257327)</f>
        <v>80.257327</v>
      </c>
      <c r="F18428" s="4">
        <f>IFERROR(__xludf.DUMMYFUNCTION("""COMPUTED_VALUE"""),805.0)</f>
        <v>805</v>
      </c>
      <c r="G18428" s="4">
        <f>IFERROR(__xludf.DUMMYFUNCTION("""COMPUTED_VALUE"""),0.0)</f>
        <v>0</v>
      </c>
      <c r="H18428" s="4"/>
      <c r="I18428" s="4"/>
    </row>
    <row r="18429">
      <c r="A18429" s="4" t="str">
        <f>IFERROR(__xludf.DUMMYFUNCTION("""COMPUTED_VALUE"""),"cas_hmw")</f>
        <v>cas_hmw</v>
      </c>
      <c r="B18429" s="5">
        <f>IFERROR(__xludf.DUMMYFUNCTION("""COMPUTED_VALUE"""),44743.0)</f>
        <v>44743</v>
      </c>
      <c r="C18429" s="6">
        <f>IFERROR(__xludf.DUMMYFUNCTION("""COMPUTED_VALUE"""),0.7078472222237906)</f>
        <v>0.7078472222</v>
      </c>
      <c r="D18429" s="4">
        <f>IFERROR(__xludf.DUMMYFUNCTION("""COMPUTED_VALUE"""),13.00881)</f>
        <v>13.00881</v>
      </c>
      <c r="E18429" s="4">
        <f>IFERROR(__xludf.DUMMYFUNCTION("""COMPUTED_VALUE"""),80.259012)</f>
        <v>80.259012</v>
      </c>
      <c r="F18429" s="4">
        <f>IFERROR(__xludf.DUMMYFUNCTION("""COMPUTED_VALUE"""),805.0)</f>
        <v>805</v>
      </c>
      <c r="G18429" s="4">
        <f>IFERROR(__xludf.DUMMYFUNCTION("""COMPUTED_VALUE"""),18.0)</f>
        <v>18</v>
      </c>
      <c r="H18429" s="4"/>
      <c r="I18429" s="4"/>
    </row>
    <row r="18430">
      <c r="A18430" s="4" t="str">
        <f>IFERROR(__xludf.DUMMYFUNCTION("""COMPUTED_VALUE"""),"cas_hmw")</f>
        <v>cas_hmw</v>
      </c>
      <c r="B18430" s="5">
        <f>IFERROR(__xludf.DUMMYFUNCTION("""COMPUTED_VALUE"""),44743.0)</f>
        <v>44743</v>
      </c>
      <c r="C18430" s="6">
        <f>IFERROR(__xludf.DUMMYFUNCTION("""COMPUTED_VALUE"""),0.708217592593428)</f>
        <v>0.7082175926</v>
      </c>
      <c r="D18430" s="4">
        <f>IFERROR(__xludf.DUMMYFUNCTION("""COMPUTED_VALUE"""),13.012024)</f>
        <v>13.012024</v>
      </c>
      <c r="E18430" s="4">
        <f>IFERROR(__xludf.DUMMYFUNCTION("""COMPUTED_VALUE"""),80.259111)</f>
        <v>80.259111</v>
      </c>
      <c r="F18430" s="4">
        <f>IFERROR(__xludf.DUMMYFUNCTION("""COMPUTED_VALUE"""),805.0)</f>
        <v>805</v>
      </c>
      <c r="G18430" s="4">
        <f>IFERROR(__xludf.DUMMYFUNCTION("""COMPUTED_VALUE"""),59.0)</f>
        <v>59</v>
      </c>
      <c r="H18430" s="4"/>
      <c r="I18430" s="4"/>
    </row>
    <row r="18431">
      <c r="A18431" s="4" t="str">
        <f>IFERROR(__xludf.DUMMYFUNCTION("""COMPUTED_VALUE"""),"cas_hmw")</f>
        <v>cas_hmw</v>
      </c>
      <c r="B18431" s="5">
        <f>IFERROR(__xludf.DUMMYFUNCTION("""COMPUTED_VALUE"""),44743.0)</f>
        <v>44743</v>
      </c>
      <c r="C18431" s="6">
        <f>IFERROR(__xludf.DUMMYFUNCTION("""COMPUTED_VALUE"""),0.708287037035916)</f>
        <v>0.708287037</v>
      </c>
      <c r="D18431" s="4">
        <f>IFERROR(__xludf.DUMMYFUNCTION("""COMPUTED_VALUE"""),13.014367)</f>
        <v>13.014367</v>
      </c>
      <c r="E18431" s="4">
        <f>IFERROR(__xludf.DUMMYFUNCTION("""COMPUTED_VALUE"""),80.25921)</f>
        <v>80.25921</v>
      </c>
      <c r="F18431" s="4">
        <f>IFERROR(__xludf.DUMMYFUNCTION("""COMPUTED_VALUE"""),805.0)</f>
        <v>805</v>
      </c>
      <c r="G18431" s="4">
        <f>IFERROR(__xludf.DUMMYFUNCTION("""COMPUTED_VALUE"""),58.0)</f>
        <v>58</v>
      </c>
      <c r="H18431" s="4"/>
      <c r="I18431" s="4"/>
    </row>
    <row r="18432">
      <c r="A18432" s="4" t="str">
        <f>IFERROR(__xludf.DUMMYFUNCTION("""COMPUTED_VALUE"""),"cas_hmw")</f>
        <v>cas_hmw</v>
      </c>
      <c r="B18432" s="5">
        <f>IFERROR(__xludf.DUMMYFUNCTION("""COMPUTED_VALUE"""),44743.0)</f>
        <v>44743</v>
      </c>
      <c r="C18432" s="6">
        <f>IFERROR(__xludf.DUMMYFUNCTION("""COMPUTED_VALUE"""),0.7090624999982538)</f>
        <v>0.7090625</v>
      </c>
      <c r="D18432" s="4">
        <f>IFERROR(__xludf.DUMMYFUNCTION("""COMPUTED_VALUE"""),12.629708)</f>
        <v>12.629708</v>
      </c>
      <c r="E18432" s="4">
        <f>IFERROR(__xludf.DUMMYFUNCTION("""COMPUTED_VALUE"""),79.931121)</f>
        <v>79.931121</v>
      </c>
      <c r="F18432" s="4">
        <f>IFERROR(__xludf.DUMMYFUNCTION("""COMPUTED_VALUE"""),2846.0)</f>
        <v>2846</v>
      </c>
      <c r="G18432" s="4">
        <f>IFERROR(__xludf.DUMMYFUNCTION("""COMPUTED_VALUE"""),7.0)</f>
        <v>7</v>
      </c>
      <c r="H18432" s="4"/>
      <c r="I18432" s="4"/>
    </row>
    <row r="18433">
      <c r="A18433" s="4" t="str">
        <f>IFERROR(__xludf.DUMMYFUNCTION("""COMPUTED_VALUE"""),"cas_hmw")</f>
        <v>cas_hmw</v>
      </c>
      <c r="B18433" s="5">
        <f>IFERROR(__xludf.DUMMYFUNCTION("""COMPUTED_VALUE"""),44743.0)</f>
        <v>44743</v>
      </c>
      <c r="C18433" s="6">
        <f>IFERROR(__xludf.DUMMYFUNCTION("""COMPUTED_VALUE"""),0.7103240740725596)</f>
        <v>0.7103240741</v>
      </c>
      <c r="D18433" s="4">
        <f>IFERROR(__xludf.DUMMYFUNCTION("""COMPUTED_VALUE"""),13.021164)</f>
        <v>13.021164</v>
      </c>
      <c r="E18433" s="4">
        <f>IFERROR(__xludf.DUMMYFUNCTION("""COMPUTED_VALUE"""),80.26294)</f>
        <v>80.26294</v>
      </c>
      <c r="F18433" s="4">
        <f>IFERROR(__xludf.DUMMYFUNCTION("""COMPUTED_VALUE"""),805.0)</f>
        <v>805</v>
      </c>
      <c r="G18433" s="4">
        <f>IFERROR(__xludf.DUMMYFUNCTION("""COMPUTED_VALUE"""),10.0)</f>
        <v>10</v>
      </c>
      <c r="H18433" s="4"/>
      <c r="I18433" s="4"/>
    </row>
    <row r="18434">
      <c r="A18434" s="4" t="str">
        <f>IFERROR(__xludf.DUMMYFUNCTION("""COMPUTED_VALUE"""),"cas_hmw")</f>
        <v>cas_hmw</v>
      </c>
      <c r="B18434" s="5">
        <f>IFERROR(__xludf.DUMMYFUNCTION("""COMPUTED_VALUE"""),44743.0)</f>
        <v>44743</v>
      </c>
      <c r="C18434" s="6">
        <f>IFERROR(__xludf.DUMMYFUNCTION("""COMPUTED_VALUE"""),0.7121990740743058)</f>
        <v>0.7121990741</v>
      </c>
      <c r="D18434" s="4">
        <f>IFERROR(__xludf.DUMMYFUNCTION("""COMPUTED_VALUE"""),12.602873)</f>
        <v>12.602873</v>
      </c>
      <c r="E18434" s="4">
        <f>IFERROR(__xludf.DUMMYFUNCTION("""COMPUTED_VALUE"""),79.920261)</f>
        <v>79.920261</v>
      </c>
      <c r="F18434" s="4">
        <f>IFERROR(__xludf.DUMMYFUNCTION("""COMPUTED_VALUE"""),2846.0)</f>
        <v>2846</v>
      </c>
      <c r="G18434" s="4">
        <f>IFERROR(__xludf.DUMMYFUNCTION("""COMPUTED_VALUE"""),51.0)</f>
        <v>51</v>
      </c>
      <c r="H18434" s="4"/>
      <c r="I18434" s="4"/>
    </row>
    <row r="18435">
      <c r="A18435" s="4" t="str">
        <f>IFERROR(__xludf.DUMMYFUNCTION("""COMPUTED_VALUE"""),"cas_hmw")</f>
        <v>cas_hmw</v>
      </c>
      <c r="B18435" s="5">
        <f>IFERROR(__xludf.DUMMYFUNCTION("""COMPUTED_VALUE"""),44743.0)</f>
        <v>44743</v>
      </c>
      <c r="C18435" s="6">
        <f>IFERROR(__xludf.DUMMYFUNCTION("""COMPUTED_VALUE"""),0.7141319444453984)</f>
        <v>0.7141319444</v>
      </c>
      <c r="D18435" s="4">
        <f>IFERROR(__xludf.DUMMYFUNCTION("""COMPUTED_VALUE"""),13.02925)</f>
        <v>13.02925</v>
      </c>
      <c r="E18435" s="4">
        <f>IFERROR(__xludf.DUMMYFUNCTION("""COMPUTED_VALUE"""),80.266478)</f>
        <v>80.266478</v>
      </c>
      <c r="F18435" s="4">
        <f>IFERROR(__xludf.DUMMYFUNCTION("""COMPUTED_VALUE"""),805.0)</f>
        <v>805</v>
      </c>
      <c r="G18435" s="4">
        <f>IFERROR(__xludf.DUMMYFUNCTION("""COMPUTED_VALUE"""),1.0)</f>
        <v>1</v>
      </c>
      <c r="H18435" s="4"/>
      <c r="I18435" s="4"/>
    </row>
    <row r="18436">
      <c r="A18436" s="4" t="str">
        <f>IFERROR(__xludf.DUMMYFUNCTION("""COMPUTED_VALUE"""),"cas_hmw")</f>
        <v>cas_hmw</v>
      </c>
      <c r="B18436" s="5">
        <f>IFERROR(__xludf.DUMMYFUNCTION("""COMPUTED_VALUE"""),44743.0)</f>
        <v>44743</v>
      </c>
      <c r="C18436" s="6">
        <f>IFERROR(__xludf.DUMMYFUNCTION("""COMPUTED_VALUE"""),0.7141319444453984)</f>
        <v>0.7141319444</v>
      </c>
      <c r="D18436" s="4">
        <f>IFERROR(__xludf.DUMMYFUNCTION("""COMPUTED_VALUE"""),12.575338)</f>
        <v>12.575338</v>
      </c>
      <c r="E18436" s="4">
        <f>IFERROR(__xludf.DUMMYFUNCTION("""COMPUTED_VALUE"""),79.916943)</f>
        <v>79.916943</v>
      </c>
      <c r="F18436" s="4">
        <f>IFERROR(__xludf.DUMMYFUNCTION("""COMPUTED_VALUE"""),2846.0)</f>
        <v>2846</v>
      </c>
      <c r="G18436" s="4">
        <f>IFERROR(__xludf.DUMMYFUNCTION("""COMPUTED_VALUE"""),56.0)</f>
        <v>56</v>
      </c>
      <c r="H18436" s="4"/>
      <c r="I18436" s="4"/>
    </row>
    <row r="18437">
      <c r="A18437" s="4" t="str">
        <f>IFERROR(__xludf.DUMMYFUNCTION("""COMPUTED_VALUE"""),"cas_hmw")</f>
        <v>cas_hmw</v>
      </c>
      <c r="B18437" s="5">
        <f>IFERROR(__xludf.DUMMYFUNCTION("""COMPUTED_VALUE"""),44743.0)</f>
        <v>44743</v>
      </c>
      <c r="C18437" s="6">
        <f>IFERROR(__xludf.DUMMYFUNCTION("""COMPUTED_VALUE"""),0.7141435185185401)</f>
        <v>0.7141435185</v>
      </c>
      <c r="D18437" s="4">
        <f>IFERROR(__xludf.DUMMYFUNCTION("""COMPUTED_VALUE"""),13.02925)</f>
        <v>13.02925</v>
      </c>
      <c r="E18437" s="4">
        <f>IFERROR(__xludf.DUMMYFUNCTION("""COMPUTED_VALUE"""),80.266478)</f>
        <v>80.266478</v>
      </c>
      <c r="F18437" s="4">
        <f>IFERROR(__xludf.DUMMYFUNCTION("""COMPUTED_VALUE"""),805.0)</f>
        <v>805</v>
      </c>
      <c r="G18437" s="4">
        <f>IFERROR(__xludf.DUMMYFUNCTION("""COMPUTED_VALUE"""),1.0)</f>
        <v>1</v>
      </c>
      <c r="H18437" s="4"/>
      <c r="I18437" s="4"/>
    </row>
    <row r="18438">
      <c r="A18438" s="4" t="str">
        <f>IFERROR(__xludf.DUMMYFUNCTION("""COMPUTED_VALUE"""),"cas_hmw")</f>
        <v>cas_hmw</v>
      </c>
      <c r="B18438" s="5">
        <f>IFERROR(__xludf.DUMMYFUNCTION("""COMPUTED_VALUE"""),44743.0)</f>
        <v>44743</v>
      </c>
      <c r="C18438" s="6">
        <f>IFERROR(__xludf.DUMMYFUNCTION("""COMPUTED_VALUE"""),0.7142013888878864)</f>
        <v>0.7142013889</v>
      </c>
      <c r="D18438" s="4">
        <f>IFERROR(__xludf.DUMMYFUNCTION("""COMPUTED_VALUE"""),13.02925)</f>
        <v>13.02925</v>
      </c>
      <c r="E18438" s="4">
        <f>IFERROR(__xludf.DUMMYFUNCTION("""COMPUTED_VALUE"""),80.266478)</f>
        <v>80.266478</v>
      </c>
      <c r="F18438" s="4">
        <f>IFERROR(__xludf.DUMMYFUNCTION("""COMPUTED_VALUE"""),805.0)</f>
        <v>805</v>
      </c>
      <c r="G18438" s="4">
        <f>IFERROR(__xludf.DUMMYFUNCTION("""COMPUTED_VALUE"""),1.0)</f>
        <v>1</v>
      </c>
      <c r="H18438" s="4"/>
      <c r="I18438" s="4"/>
    </row>
    <row r="18439">
      <c r="A18439" s="4" t="str">
        <f>IFERROR(__xludf.DUMMYFUNCTION("""COMPUTED_VALUE"""),"cas_hmw")</f>
        <v>cas_hmw</v>
      </c>
      <c r="B18439" s="5">
        <f>IFERROR(__xludf.DUMMYFUNCTION("""COMPUTED_VALUE"""),44743.0)</f>
        <v>44743</v>
      </c>
      <c r="C18439" s="6">
        <f>IFERROR(__xludf.DUMMYFUNCTION("""COMPUTED_VALUE"""),0.7142013888878864)</f>
        <v>0.7142013889</v>
      </c>
      <c r="D18439" s="4">
        <f>IFERROR(__xludf.DUMMYFUNCTION("""COMPUTED_VALUE"""),13.02925)</f>
        <v>13.02925</v>
      </c>
      <c r="E18439" s="4">
        <f>IFERROR(__xludf.DUMMYFUNCTION("""COMPUTED_VALUE"""),80.266478)</f>
        <v>80.266478</v>
      </c>
      <c r="F18439" s="4">
        <f>IFERROR(__xludf.DUMMYFUNCTION("""COMPUTED_VALUE"""),805.0)</f>
        <v>805</v>
      </c>
      <c r="G18439" s="4">
        <f>IFERROR(__xludf.DUMMYFUNCTION("""COMPUTED_VALUE"""),1.0)</f>
        <v>1</v>
      </c>
      <c r="H18439" s="4"/>
      <c r="I18439" s="4"/>
    </row>
    <row r="18440">
      <c r="A18440" s="4" t="str">
        <f>IFERROR(__xludf.DUMMYFUNCTION("""COMPUTED_VALUE"""),"cas_hmw")</f>
        <v>cas_hmw</v>
      </c>
      <c r="B18440" s="5">
        <f>IFERROR(__xludf.DUMMYFUNCTION("""COMPUTED_VALUE"""),44743.0)</f>
        <v>44743</v>
      </c>
      <c r="C18440" s="6">
        <f>IFERROR(__xludf.DUMMYFUNCTION("""COMPUTED_VALUE"""),0.7142245370378077)</f>
        <v>0.714224537</v>
      </c>
      <c r="D18440" s="4">
        <f>IFERROR(__xludf.DUMMYFUNCTION("""COMPUTED_VALUE"""),13.02925)</f>
        <v>13.02925</v>
      </c>
      <c r="E18440" s="4">
        <f>IFERROR(__xludf.DUMMYFUNCTION("""COMPUTED_VALUE"""),80.266478)</f>
        <v>80.266478</v>
      </c>
      <c r="F18440" s="4">
        <f>IFERROR(__xludf.DUMMYFUNCTION("""COMPUTED_VALUE"""),805.0)</f>
        <v>805</v>
      </c>
      <c r="G18440" s="4">
        <f>IFERROR(__xludf.DUMMYFUNCTION("""COMPUTED_VALUE"""),1.0)</f>
        <v>1</v>
      </c>
      <c r="H18440" s="4"/>
      <c r="I18440" s="4"/>
    </row>
    <row r="18441">
      <c r="A18441" s="4" t="str">
        <f>IFERROR(__xludf.DUMMYFUNCTION("""COMPUTED_VALUE"""),"cas_hmw")</f>
        <v>cas_hmw</v>
      </c>
      <c r="B18441" s="5">
        <f>IFERROR(__xludf.DUMMYFUNCTION("""COMPUTED_VALUE"""),44743.0)</f>
        <v>44743</v>
      </c>
      <c r="C18441" s="6">
        <f>IFERROR(__xludf.DUMMYFUNCTION("""COMPUTED_VALUE"""),0.7142361111109494)</f>
        <v>0.7142361111</v>
      </c>
      <c r="D18441" s="4">
        <f>IFERROR(__xludf.DUMMYFUNCTION("""COMPUTED_VALUE"""),13.02925)</f>
        <v>13.02925</v>
      </c>
      <c r="E18441" s="4">
        <f>IFERROR(__xludf.DUMMYFUNCTION("""COMPUTED_VALUE"""),80.266478)</f>
        <v>80.266478</v>
      </c>
      <c r="F18441" s="4">
        <f>IFERROR(__xludf.DUMMYFUNCTION("""COMPUTED_VALUE"""),805.0)</f>
        <v>805</v>
      </c>
      <c r="G18441" s="4">
        <f>IFERROR(__xludf.DUMMYFUNCTION("""COMPUTED_VALUE"""),1.0)</f>
        <v>1</v>
      </c>
      <c r="H18441" s="4"/>
      <c r="I18441" s="4"/>
    </row>
    <row r="18442">
      <c r="A18442" s="4" t="str">
        <f>IFERROR(__xludf.DUMMYFUNCTION("""COMPUTED_VALUE"""),"cas_hmw")</f>
        <v>cas_hmw</v>
      </c>
      <c r="B18442" s="5">
        <f>IFERROR(__xludf.DUMMYFUNCTION("""COMPUTED_VALUE"""),44743.0)</f>
        <v>44743</v>
      </c>
      <c r="C18442" s="6">
        <f>IFERROR(__xludf.DUMMYFUNCTION("""COMPUTED_VALUE"""),0.7170486111099308)</f>
        <v>0.7170486111</v>
      </c>
      <c r="D18442" s="4">
        <f>IFERROR(__xludf.DUMMYFUNCTION("""COMPUTED_VALUE"""),12.54092)</f>
        <v>12.54092</v>
      </c>
      <c r="E18442" s="4">
        <f>IFERROR(__xludf.DUMMYFUNCTION("""COMPUTED_VALUE"""),79.904469)</f>
        <v>79.904469</v>
      </c>
      <c r="F18442" s="4">
        <f>IFERROR(__xludf.DUMMYFUNCTION("""COMPUTED_VALUE"""),2846.0)</f>
        <v>2846</v>
      </c>
      <c r="G18442" s="4">
        <f>IFERROR(__xludf.DUMMYFUNCTION("""COMPUTED_VALUE"""),51.0)</f>
        <v>51</v>
      </c>
      <c r="H18442" s="4"/>
      <c r="I18442" s="4"/>
    </row>
    <row r="18443">
      <c r="A18443" s="4" t="str">
        <f>IFERROR(__xludf.DUMMYFUNCTION("""COMPUTED_VALUE"""),"cas_hmw")</f>
        <v>cas_hmw</v>
      </c>
      <c r="B18443" s="5">
        <f>IFERROR(__xludf.DUMMYFUNCTION("""COMPUTED_VALUE"""),44743.0)</f>
        <v>44743</v>
      </c>
      <c r="C18443" s="6">
        <f>IFERROR(__xludf.DUMMYFUNCTION("""COMPUTED_VALUE"""),0.7177314814798592)</f>
        <v>0.7177314815</v>
      </c>
      <c r="D18443" s="4">
        <f>IFERROR(__xludf.DUMMYFUNCTION("""COMPUTED_VALUE"""),13.036378)</f>
        <v>13.036378</v>
      </c>
      <c r="E18443" s="4">
        <f>IFERROR(__xludf.DUMMYFUNCTION("""COMPUTED_VALUE"""),80.267669)</f>
        <v>80.267669</v>
      </c>
      <c r="F18443" s="4">
        <f>IFERROR(__xludf.DUMMYFUNCTION("""COMPUTED_VALUE"""),805.0)</f>
        <v>805</v>
      </c>
      <c r="G18443" s="4">
        <f>IFERROR(__xludf.DUMMYFUNCTION("""COMPUTED_VALUE"""),0.0)</f>
        <v>0</v>
      </c>
      <c r="H18443" s="4"/>
      <c r="I18443" s="4"/>
    </row>
    <row r="18444">
      <c r="A18444" s="4" t="str">
        <f>IFERROR(__xludf.DUMMYFUNCTION("""COMPUTED_VALUE"""),"cas_hmw")</f>
        <v>cas_hmw</v>
      </c>
      <c r="B18444" s="5">
        <f>IFERROR(__xludf.DUMMYFUNCTION("""COMPUTED_VALUE"""),44743.0)</f>
        <v>44743</v>
      </c>
      <c r="C18444" s="6">
        <f>IFERROR(__xludf.DUMMYFUNCTION("""COMPUTED_VALUE"""),0.7177430555566389)</f>
        <v>0.7177430556</v>
      </c>
      <c r="D18444" s="4">
        <f>IFERROR(__xludf.DUMMYFUNCTION("""COMPUTED_VALUE"""),13.036378)</f>
        <v>13.036378</v>
      </c>
      <c r="E18444" s="4">
        <f>IFERROR(__xludf.DUMMYFUNCTION("""COMPUTED_VALUE"""),80.267669)</f>
        <v>80.267669</v>
      </c>
      <c r="F18444" s="4">
        <f>IFERROR(__xludf.DUMMYFUNCTION("""COMPUTED_VALUE"""),805.0)</f>
        <v>805</v>
      </c>
      <c r="G18444" s="4">
        <f>IFERROR(__xludf.DUMMYFUNCTION("""COMPUTED_VALUE"""),0.0)</f>
        <v>0</v>
      </c>
      <c r="H18444" s="4"/>
      <c r="I18444" s="4"/>
    </row>
    <row r="18445">
      <c r="A18445" s="4" t="str">
        <f>IFERROR(__xludf.DUMMYFUNCTION("""COMPUTED_VALUE"""),"cas_hmw")</f>
        <v>cas_hmw</v>
      </c>
      <c r="B18445" s="5">
        <f>IFERROR(__xludf.DUMMYFUNCTION("""COMPUTED_VALUE"""),44743.0)</f>
        <v>44743</v>
      </c>
      <c r="C18445" s="6">
        <f>IFERROR(__xludf.DUMMYFUNCTION("""COMPUTED_VALUE"""),0.7185995370382443)</f>
        <v>0.718599537</v>
      </c>
      <c r="D18445" s="4">
        <f>IFERROR(__xludf.DUMMYFUNCTION("""COMPUTED_VALUE"""),13.039862)</f>
        <v>13.039862</v>
      </c>
      <c r="E18445" s="4">
        <f>IFERROR(__xludf.DUMMYFUNCTION("""COMPUTED_VALUE"""),80.267819)</f>
        <v>80.267819</v>
      </c>
      <c r="F18445" s="4">
        <f>IFERROR(__xludf.DUMMYFUNCTION("""COMPUTED_VALUE"""),805.0)</f>
        <v>805</v>
      </c>
      <c r="G18445" s="4">
        <f>IFERROR(__xludf.DUMMYFUNCTION("""COMPUTED_VALUE"""),16.0)</f>
        <v>16</v>
      </c>
      <c r="H18445" s="4"/>
      <c r="I18445" s="4"/>
    </row>
    <row r="18446">
      <c r="A18446" s="4" t="str">
        <f>IFERROR(__xludf.DUMMYFUNCTION("""COMPUTED_VALUE"""),"cas_hmw")</f>
        <v>cas_hmw</v>
      </c>
      <c r="B18446" s="5">
        <f>IFERROR(__xludf.DUMMYFUNCTION("""COMPUTED_VALUE"""),44743.0)</f>
        <v>44743</v>
      </c>
      <c r="C18446" s="6">
        <f>IFERROR(__xludf.DUMMYFUNCTION("""COMPUTED_VALUE"""),0.718611111111386)</f>
        <v>0.7186111111</v>
      </c>
      <c r="D18446" s="4">
        <f>IFERROR(__xludf.DUMMYFUNCTION("""COMPUTED_VALUE"""),13.039862)</f>
        <v>13.039862</v>
      </c>
      <c r="E18446" s="4">
        <f>IFERROR(__xludf.DUMMYFUNCTION("""COMPUTED_VALUE"""),80.267819)</f>
        <v>80.267819</v>
      </c>
      <c r="F18446" s="4">
        <f>IFERROR(__xludf.DUMMYFUNCTION("""COMPUTED_VALUE"""),805.0)</f>
        <v>805</v>
      </c>
      <c r="G18446" s="4">
        <f>IFERROR(__xludf.DUMMYFUNCTION("""COMPUTED_VALUE"""),16.0)</f>
        <v>16</v>
      </c>
      <c r="H18446" s="4"/>
      <c r="I18446" s="4"/>
    </row>
    <row r="18447">
      <c r="A18447" s="4" t="str">
        <f>IFERROR(__xludf.DUMMYFUNCTION("""COMPUTED_VALUE"""),"cas_hmw")</f>
        <v>cas_hmw</v>
      </c>
      <c r="B18447" s="5">
        <f>IFERROR(__xludf.DUMMYFUNCTION("""COMPUTED_VALUE"""),44743.0)</f>
        <v>44743</v>
      </c>
      <c r="C18447" s="6">
        <f>IFERROR(__xludf.DUMMYFUNCTION("""COMPUTED_VALUE"""),0.718819444446126)</f>
        <v>0.7188194444</v>
      </c>
      <c r="D18447" s="4">
        <f>IFERROR(__xludf.DUMMYFUNCTION("""COMPUTED_VALUE"""),13.040571)</f>
        <v>13.040571</v>
      </c>
      <c r="E18447" s="4">
        <f>IFERROR(__xludf.DUMMYFUNCTION("""COMPUTED_VALUE"""),80.268051)</f>
        <v>80.268051</v>
      </c>
      <c r="F18447" s="4">
        <f>IFERROR(__xludf.DUMMYFUNCTION("""COMPUTED_VALUE"""),805.0)</f>
        <v>805</v>
      </c>
      <c r="G18447" s="4">
        <f>IFERROR(__xludf.DUMMYFUNCTION("""COMPUTED_VALUE"""),18.0)</f>
        <v>18</v>
      </c>
      <c r="H18447" s="4"/>
      <c r="I18447" s="4"/>
    </row>
    <row r="18448">
      <c r="A18448" s="4" t="str">
        <f>IFERROR(__xludf.DUMMYFUNCTION("""COMPUTED_VALUE"""),"cas_hmw")</f>
        <v>cas_hmw</v>
      </c>
      <c r="B18448" s="5">
        <f>IFERROR(__xludf.DUMMYFUNCTION("""COMPUTED_VALUE"""),44743.0)</f>
        <v>44743</v>
      </c>
      <c r="C18448" s="6">
        <f>IFERROR(__xludf.DUMMYFUNCTION("""COMPUTED_VALUE"""),0.7315625000010186)</f>
        <v>0.7315625</v>
      </c>
      <c r="D18448" s="4">
        <f>IFERROR(__xludf.DUMMYFUNCTION("""COMPUTED_VALUE"""),13.071481)</f>
        <v>13.071481</v>
      </c>
      <c r="E18448" s="4">
        <f>IFERROR(__xludf.DUMMYFUNCTION("""COMPUTED_VALUE"""),80.259112)</f>
        <v>80.259112</v>
      </c>
      <c r="F18448" s="4">
        <f>IFERROR(__xludf.DUMMYFUNCTION("""COMPUTED_VALUE"""),805.0)</f>
        <v>805</v>
      </c>
      <c r="G18448" s="4">
        <f>IFERROR(__xludf.DUMMYFUNCTION("""COMPUTED_VALUE"""),17.0)</f>
        <v>17</v>
      </c>
      <c r="H18448" s="4"/>
      <c r="I18448" s="4"/>
    </row>
    <row r="18449">
      <c r="A18449" s="4" t="str">
        <f>IFERROR(__xludf.DUMMYFUNCTION("""COMPUTED_VALUE"""),"cas_hmw")</f>
        <v>cas_hmw</v>
      </c>
      <c r="B18449" s="5">
        <f>IFERROR(__xludf.DUMMYFUNCTION("""COMPUTED_VALUE"""),44743.0)</f>
        <v>44743</v>
      </c>
      <c r="C18449" s="6">
        <f>IFERROR(__xludf.DUMMYFUNCTION("""COMPUTED_VALUE"""),0.731585648147302)</f>
        <v>0.7315856481</v>
      </c>
      <c r="D18449" s="4">
        <f>IFERROR(__xludf.DUMMYFUNCTION("""COMPUTED_VALUE"""),13.070796)</f>
        <v>13.070796</v>
      </c>
      <c r="E18449" s="4">
        <f>IFERROR(__xludf.DUMMYFUNCTION("""COMPUTED_VALUE"""),80.258354)</f>
        <v>80.258354</v>
      </c>
      <c r="F18449" s="4">
        <f>IFERROR(__xludf.DUMMYFUNCTION("""COMPUTED_VALUE"""),805.0)</f>
        <v>805</v>
      </c>
      <c r="G18449" s="4">
        <f>IFERROR(__xludf.DUMMYFUNCTION("""COMPUTED_VALUE"""),30.0)</f>
        <v>30</v>
      </c>
      <c r="H18449" s="4"/>
      <c r="I18449" s="4"/>
    </row>
    <row r="18450">
      <c r="A18450" s="4" t="str">
        <f>IFERROR(__xludf.DUMMYFUNCTION("""COMPUTED_VALUE"""),"cas_hmw")</f>
        <v>cas_hmw</v>
      </c>
      <c r="B18450" s="5">
        <f>IFERROR(__xludf.DUMMYFUNCTION("""COMPUTED_VALUE"""),44743.0)</f>
        <v>44743</v>
      </c>
      <c r="C18450" s="6">
        <f>IFERROR(__xludf.DUMMYFUNCTION("""COMPUTED_VALUE"""),0.7315972222204437)</f>
        <v>0.7315972222</v>
      </c>
      <c r="D18450" s="4">
        <f>IFERROR(__xludf.DUMMYFUNCTION("""COMPUTED_VALUE"""),13.070796)</f>
        <v>13.070796</v>
      </c>
      <c r="E18450" s="4">
        <f>IFERROR(__xludf.DUMMYFUNCTION("""COMPUTED_VALUE"""),80.258354)</f>
        <v>80.258354</v>
      </c>
      <c r="F18450" s="4">
        <f>IFERROR(__xludf.DUMMYFUNCTION("""COMPUTED_VALUE"""),805.0)</f>
        <v>805</v>
      </c>
      <c r="G18450" s="4">
        <f>IFERROR(__xludf.DUMMYFUNCTION("""COMPUTED_VALUE"""),30.0)</f>
        <v>30</v>
      </c>
      <c r="H18450" s="4"/>
      <c r="I18450" s="4"/>
    </row>
    <row r="18451">
      <c r="A18451" s="4" t="str">
        <f>IFERROR(__xludf.DUMMYFUNCTION("""COMPUTED_VALUE"""),"cas_hmw")</f>
        <v>cas_hmw</v>
      </c>
      <c r="B18451" s="5">
        <f>IFERROR(__xludf.DUMMYFUNCTION("""COMPUTED_VALUE"""),44743.0)</f>
        <v>44743</v>
      </c>
      <c r="C18451" s="6">
        <f>IFERROR(__xludf.DUMMYFUNCTION("""COMPUTED_VALUE"""),0.7349652777775191)</f>
        <v>0.7349652778</v>
      </c>
      <c r="D18451" s="4">
        <f>IFERROR(__xludf.DUMMYFUNCTION("""COMPUTED_VALUE"""),13.067475)</f>
        <v>13.067475</v>
      </c>
      <c r="E18451" s="4">
        <f>IFERROR(__xludf.DUMMYFUNCTION("""COMPUTED_VALUE"""),80.250295)</f>
        <v>80.250295</v>
      </c>
      <c r="F18451" s="4">
        <f>IFERROR(__xludf.DUMMYFUNCTION("""COMPUTED_VALUE"""),805.0)</f>
        <v>805</v>
      </c>
      <c r="G18451" s="4">
        <f>IFERROR(__xludf.DUMMYFUNCTION("""COMPUTED_VALUE"""),0.0)</f>
        <v>0</v>
      </c>
      <c r="H18451" s="4"/>
      <c r="I18451" s="4"/>
    </row>
    <row r="18452">
      <c r="A18452" s="4" t="str">
        <f>IFERROR(__xludf.DUMMYFUNCTION("""COMPUTED_VALUE"""),"cas_hmw")</f>
        <v>cas_hmw</v>
      </c>
      <c r="B18452" s="5">
        <f>IFERROR(__xludf.DUMMYFUNCTION("""COMPUTED_VALUE"""),44743.0)</f>
        <v>44743</v>
      </c>
      <c r="C18452" s="6">
        <f>IFERROR(__xludf.DUMMYFUNCTION("""COMPUTED_VALUE"""),0.7349884259274404)</f>
        <v>0.7349884259</v>
      </c>
      <c r="D18452" s="4">
        <f>IFERROR(__xludf.DUMMYFUNCTION("""COMPUTED_VALUE"""),13.067585)</f>
        <v>13.067585</v>
      </c>
      <c r="E18452" s="4">
        <f>IFERROR(__xludf.DUMMYFUNCTION("""COMPUTED_VALUE"""),80.249678)</f>
        <v>80.249678</v>
      </c>
      <c r="F18452" s="4">
        <f>IFERROR(__xludf.DUMMYFUNCTION("""COMPUTED_VALUE"""),805.0)</f>
        <v>805</v>
      </c>
      <c r="G18452" s="4">
        <f>IFERROR(__xludf.DUMMYFUNCTION("""COMPUTED_VALUE"""),11.0)</f>
        <v>11</v>
      </c>
      <c r="H18452" s="4"/>
      <c r="I18452" s="4"/>
    </row>
    <row r="18453">
      <c r="A18453" s="4" t="str">
        <f>IFERROR(__xludf.DUMMYFUNCTION("""COMPUTED_VALUE"""),"cas_hmw")</f>
        <v>cas_hmw</v>
      </c>
      <c r="B18453" s="5">
        <f>IFERROR(__xludf.DUMMYFUNCTION("""COMPUTED_VALUE"""),44743.0)</f>
        <v>44743</v>
      </c>
      <c r="C18453" s="6">
        <f>IFERROR(__xludf.DUMMYFUNCTION("""COMPUTED_VALUE"""),0.7350462962967867)</f>
        <v>0.7350462963</v>
      </c>
      <c r="D18453" s="4">
        <f>IFERROR(__xludf.DUMMYFUNCTION("""COMPUTED_VALUE"""),13.067585)</f>
        <v>13.067585</v>
      </c>
      <c r="E18453" s="4">
        <f>IFERROR(__xludf.DUMMYFUNCTION("""COMPUTED_VALUE"""),80.249678)</f>
        <v>80.249678</v>
      </c>
      <c r="F18453" s="4">
        <f>IFERROR(__xludf.DUMMYFUNCTION("""COMPUTED_VALUE"""),805.0)</f>
        <v>805</v>
      </c>
      <c r="G18453" s="4">
        <f>IFERROR(__xludf.DUMMYFUNCTION("""COMPUTED_VALUE"""),11.0)</f>
        <v>11</v>
      </c>
      <c r="H18453" s="4"/>
      <c r="I18453" s="4"/>
    </row>
    <row r="18454">
      <c r="A18454" s="4" t="str">
        <f>IFERROR(__xludf.DUMMYFUNCTION("""COMPUTED_VALUE"""),"cas_hmw")</f>
        <v>cas_hmw</v>
      </c>
      <c r="B18454" s="5">
        <f>IFERROR(__xludf.DUMMYFUNCTION("""COMPUTED_VALUE"""),44743.0)</f>
        <v>44743</v>
      </c>
      <c r="C18454" s="6">
        <f>IFERROR(__xludf.DUMMYFUNCTION("""COMPUTED_VALUE"""),0.7350462962967867)</f>
        <v>0.7350462963</v>
      </c>
      <c r="D18454" s="4">
        <f>IFERROR(__xludf.DUMMYFUNCTION("""COMPUTED_VALUE"""),13.067585)</f>
        <v>13.067585</v>
      </c>
      <c r="E18454" s="4">
        <f>IFERROR(__xludf.DUMMYFUNCTION("""COMPUTED_VALUE"""),80.249678)</f>
        <v>80.249678</v>
      </c>
      <c r="F18454" s="4">
        <f>IFERROR(__xludf.DUMMYFUNCTION("""COMPUTED_VALUE"""),805.0)</f>
        <v>805</v>
      </c>
      <c r="G18454" s="4">
        <f>IFERROR(__xludf.DUMMYFUNCTION("""COMPUTED_VALUE"""),11.0)</f>
        <v>11</v>
      </c>
      <c r="H18454" s="4"/>
      <c r="I18454" s="4"/>
    </row>
    <row r="18455">
      <c r="A18455" s="4" t="str">
        <f>IFERROR(__xludf.DUMMYFUNCTION("""COMPUTED_VALUE"""),"cas_hmw")</f>
        <v>cas_hmw</v>
      </c>
      <c r="B18455" s="5">
        <f>IFERROR(__xludf.DUMMYFUNCTION("""COMPUTED_VALUE"""),44743.0)</f>
        <v>44743</v>
      </c>
      <c r="C18455" s="6">
        <f>IFERROR(__xludf.DUMMYFUNCTION("""COMPUTED_VALUE"""),0.7362500000017462)</f>
        <v>0.73625</v>
      </c>
      <c r="D18455" s="4">
        <f>IFERROR(__xludf.DUMMYFUNCTION("""COMPUTED_VALUE"""),13.062971)</f>
        <v>13.062971</v>
      </c>
      <c r="E18455" s="4">
        <f>IFERROR(__xludf.DUMMYFUNCTION("""COMPUTED_VALUE"""),80.26395)</f>
        <v>80.26395</v>
      </c>
      <c r="F18455" s="4">
        <f>IFERROR(__xludf.DUMMYFUNCTION("""COMPUTED_VALUE"""),5339.0)</f>
        <v>5339</v>
      </c>
      <c r="G18455" s="4">
        <f>IFERROR(__xludf.DUMMYFUNCTION("""COMPUTED_VALUE"""),34.0)</f>
        <v>34</v>
      </c>
      <c r="H18455" s="4"/>
      <c r="I18455" s="4"/>
    </row>
    <row r="18456">
      <c r="A18456" s="4" t="str">
        <f>IFERROR(__xludf.DUMMYFUNCTION("""COMPUTED_VALUE"""),"cas_hmw")</f>
        <v>cas_hmw</v>
      </c>
      <c r="B18456" s="5">
        <f>IFERROR(__xludf.DUMMYFUNCTION("""COMPUTED_VALUE"""),44743.0)</f>
        <v>44743</v>
      </c>
      <c r="C18456" s="6">
        <f>IFERROR(__xludf.DUMMYFUNCTION("""COMPUTED_VALUE"""),0.7394097222204437)</f>
        <v>0.7394097222</v>
      </c>
      <c r="D18456" s="4">
        <f>IFERROR(__xludf.DUMMYFUNCTION("""COMPUTED_VALUE"""),13.068955)</f>
        <v>13.068955</v>
      </c>
      <c r="E18456" s="4">
        <f>IFERROR(__xludf.DUMMYFUNCTION("""COMPUTED_VALUE"""),80.271979)</f>
        <v>80.271979</v>
      </c>
      <c r="F18456" s="4">
        <f>IFERROR(__xludf.DUMMYFUNCTION("""COMPUTED_VALUE"""),5339.0)</f>
        <v>5339</v>
      </c>
      <c r="G18456" s="4">
        <f>IFERROR(__xludf.DUMMYFUNCTION("""COMPUTED_VALUE"""),32.0)</f>
        <v>32</v>
      </c>
      <c r="H18456" s="4"/>
      <c r="I18456" s="4"/>
    </row>
    <row r="18457">
      <c r="A18457" s="4" t="str">
        <f>IFERROR(__xludf.DUMMYFUNCTION("""COMPUTED_VALUE"""),"cas_hmw")</f>
        <v>cas_hmw</v>
      </c>
      <c r="B18457" s="5">
        <f>IFERROR(__xludf.DUMMYFUNCTION("""COMPUTED_VALUE"""),44743.0)</f>
        <v>44743</v>
      </c>
      <c r="C18457" s="6">
        <f>IFERROR(__xludf.DUMMYFUNCTION("""COMPUTED_VALUE"""),0.7403819444443798)</f>
        <v>0.7403819444</v>
      </c>
      <c r="D18457" s="4">
        <f>IFERROR(__xludf.DUMMYFUNCTION("""COMPUTED_VALUE"""),13.073284)</f>
        <v>13.073284</v>
      </c>
      <c r="E18457" s="4">
        <f>IFERROR(__xludf.DUMMYFUNCTION("""COMPUTED_VALUE"""),80.276)</f>
        <v>80.276</v>
      </c>
      <c r="F18457" s="4">
        <f>IFERROR(__xludf.DUMMYFUNCTION("""COMPUTED_VALUE"""),5339.0)</f>
        <v>5339</v>
      </c>
      <c r="G18457" s="4">
        <f>IFERROR(__xludf.DUMMYFUNCTION("""COMPUTED_VALUE"""),40.0)</f>
        <v>40</v>
      </c>
      <c r="H18457" s="4"/>
      <c r="I18457" s="4"/>
    </row>
    <row r="18458">
      <c r="A18458" s="4" t="str">
        <f>IFERROR(__xludf.DUMMYFUNCTION("""COMPUTED_VALUE"""),"cas_hmw")</f>
        <v>cas_hmw</v>
      </c>
      <c r="B18458" s="5">
        <f>IFERROR(__xludf.DUMMYFUNCTION("""COMPUTED_VALUE"""),44743.0)</f>
        <v>44743</v>
      </c>
      <c r="C18458" s="6">
        <f>IFERROR(__xludf.DUMMYFUNCTION("""COMPUTED_VALUE"""),0.7405092592598521)</f>
        <v>0.7405092593</v>
      </c>
      <c r="D18458" s="4">
        <f>IFERROR(__xludf.DUMMYFUNCTION("""COMPUTED_VALUE"""),13.07398)</f>
        <v>13.07398</v>
      </c>
      <c r="E18458" s="4">
        <f>IFERROR(__xludf.DUMMYFUNCTION("""COMPUTED_VALUE"""),80.276724)</f>
        <v>80.276724</v>
      </c>
      <c r="F18458" s="4">
        <f>IFERROR(__xludf.DUMMYFUNCTION("""COMPUTED_VALUE"""),5339.0)</f>
        <v>5339</v>
      </c>
      <c r="G18458" s="4">
        <f>IFERROR(__xludf.DUMMYFUNCTION("""COMPUTED_VALUE"""),36.0)</f>
        <v>36</v>
      </c>
      <c r="H18458" s="4"/>
      <c r="I18458" s="4"/>
    </row>
    <row r="18459">
      <c r="A18459" s="4" t="str">
        <f>IFERROR(__xludf.DUMMYFUNCTION("""COMPUTED_VALUE"""),"cas_hmw")</f>
        <v>cas_hmw</v>
      </c>
      <c r="B18459" s="5">
        <f>IFERROR(__xludf.DUMMYFUNCTION("""COMPUTED_VALUE"""),44743.0)</f>
        <v>44743</v>
      </c>
      <c r="C18459" s="6">
        <f>IFERROR(__xludf.DUMMYFUNCTION("""COMPUTED_VALUE"""),0.7406712962947495)</f>
        <v>0.7406712963</v>
      </c>
      <c r="D18459" s="4">
        <f>IFERROR(__xludf.DUMMYFUNCTION("""COMPUTED_VALUE"""),13.075188)</f>
        <v>13.075188</v>
      </c>
      <c r="E18459" s="4">
        <f>IFERROR(__xludf.DUMMYFUNCTION("""COMPUTED_VALUE"""),80.27799)</f>
        <v>80.27799</v>
      </c>
      <c r="F18459" s="4">
        <f>IFERROR(__xludf.DUMMYFUNCTION("""COMPUTED_VALUE"""),5339.0)</f>
        <v>5339</v>
      </c>
      <c r="G18459" s="4">
        <f>IFERROR(__xludf.DUMMYFUNCTION("""COMPUTED_VALUE"""),36.0)</f>
        <v>36</v>
      </c>
      <c r="H18459" s="4"/>
      <c r="I18459" s="4"/>
    </row>
    <row r="18460">
      <c r="A18460" s="4" t="str">
        <f>IFERROR(__xludf.DUMMYFUNCTION("""COMPUTED_VALUE"""),"cas_hmw")</f>
        <v>cas_hmw</v>
      </c>
      <c r="B18460" s="5">
        <f>IFERROR(__xludf.DUMMYFUNCTION("""COMPUTED_VALUE"""),44743.0)</f>
        <v>44743</v>
      </c>
      <c r="C18460" s="6">
        <f>IFERROR(__xludf.DUMMYFUNCTION("""COMPUTED_VALUE"""),0.7407407407408755)</f>
        <v>0.7407407407</v>
      </c>
      <c r="D18460" s="4">
        <f>IFERROR(__xludf.DUMMYFUNCTION("""COMPUTED_VALUE"""),13.075188)</f>
        <v>13.075188</v>
      </c>
      <c r="E18460" s="4">
        <f>IFERROR(__xludf.DUMMYFUNCTION("""COMPUTED_VALUE"""),80.27799)</f>
        <v>80.27799</v>
      </c>
      <c r="F18460" s="4">
        <f>IFERROR(__xludf.DUMMYFUNCTION("""COMPUTED_VALUE"""),5339.0)</f>
        <v>5339</v>
      </c>
      <c r="G18460" s="4">
        <f>IFERROR(__xludf.DUMMYFUNCTION("""COMPUTED_VALUE"""),36.0)</f>
        <v>36</v>
      </c>
      <c r="H18460" s="4"/>
      <c r="I18460" s="4"/>
    </row>
    <row r="18461">
      <c r="A18461" s="4" t="str">
        <f>IFERROR(__xludf.DUMMYFUNCTION("""COMPUTED_VALUE"""),"cas_hmw")</f>
        <v>cas_hmw</v>
      </c>
      <c r="B18461" s="5">
        <f>IFERROR(__xludf.DUMMYFUNCTION("""COMPUTED_VALUE"""),44743.0)</f>
        <v>44743</v>
      </c>
      <c r="C18461" s="6">
        <f>IFERROR(__xludf.DUMMYFUNCTION("""COMPUTED_VALUE"""),0.7408101851870015)</f>
        <v>0.7408101852</v>
      </c>
      <c r="D18461" s="4">
        <f>IFERROR(__xludf.DUMMYFUNCTION("""COMPUTED_VALUE"""),13.075876)</f>
        <v>13.075876</v>
      </c>
      <c r="E18461" s="4">
        <f>IFERROR(__xludf.DUMMYFUNCTION("""COMPUTED_VALUE"""),80.278608)</f>
        <v>80.278608</v>
      </c>
      <c r="F18461" s="4">
        <f>IFERROR(__xludf.DUMMYFUNCTION("""COMPUTED_VALUE"""),5339.0)</f>
        <v>5339</v>
      </c>
      <c r="G18461" s="4">
        <f>IFERROR(__xludf.DUMMYFUNCTION("""COMPUTED_VALUE"""),35.0)</f>
        <v>35</v>
      </c>
      <c r="H18461" s="4"/>
      <c r="I18461" s="4"/>
    </row>
    <row r="18462">
      <c r="A18462" s="4" t="str">
        <f>IFERROR(__xludf.DUMMYFUNCTION("""COMPUTED_VALUE"""),"cas_hmw")</f>
        <v>cas_hmw</v>
      </c>
      <c r="B18462" s="5">
        <f>IFERROR(__xludf.DUMMYFUNCTION("""COMPUTED_VALUE"""),44743.0)</f>
        <v>44743</v>
      </c>
      <c r="C18462" s="6">
        <f>IFERROR(__xludf.DUMMYFUNCTION("""COMPUTED_VALUE"""),0.7412037037029222)</f>
        <v>0.7412037037</v>
      </c>
      <c r="D18462" s="4">
        <f>IFERROR(__xludf.DUMMYFUNCTION("""COMPUTED_VALUE"""),13.077959)</f>
        <v>13.077959</v>
      </c>
      <c r="E18462" s="4">
        <f>IFERROR(__xludf.DUMMYFUNCTION("""COMPUTED_VALUE"""),80.280924)</f>
        <v>80.280924</v>
      </c>
      <c r="F18462" s="4">
        <f>IFERROR(__xludf.DUMMYFUNCTION("""COMPUTED_VALUE"""),5339.0)</f>
        <v>5339</v>
      </c>
      <c r="G18462" s="4">
        <f>IFERROR(__xludf.DUMMYFUNCTION("""COMPUTED_VALUE"""),40.0)</f>
        <v>40</v>
      </c>
      <c r="H18462" s="4"/>
      <c r="I18462" s="4"/>
    </row>
    <row r="18463">
      <c r="A18463" s="4" t="str">
        <f>IFERROR(__xludf.DUMMYFUNCTION("""COMPUTED_VALUE"""),"cas_hmw")</f>
        <v>cas_hmw</v>
      </c>
      <c r="B18463" s="5">
        <f>IFERROR(__xludf.DUMMYFUNCTION("""COMPUTED_VALUE"""),44743.0)</f>
        <v>44743</v>
      </c>
      <c r="C18463" s="6">
        <f>IFERROR(__xludf.DUMMYFUNCTION("""COMPUTED_VALUE"""),0.7415740740725596)</f>
        <v>0.7415740741</v>
      </c>
      <c r="D18463" s="4">
        <f>IFERROR(__xludf.DUMMYFUNCTION("""COMPUTED_VALUE"""),13.080255)</f>
        <v>13.080255</v>
      </c>
      <c r="E18463" s="4">
        <f>IFERROR(__xludf.DUMMYFUNCTION("""COMPUTED_VALUE"""),80.280848)</f>
        <v>80.280848</v>
      </c>
      <c r="F18463" s="4">
        <f>IFERROR(__xludf.DUMMYFUNCTION("""COMPUTED_VALUE"""),5339.0)</f>
        <v>5339</v>
      </c>
      <c r="G18463" s="4">
        <f>IFERROR(__xludf.DUMMYFUNCTION("""COMPUTED_VALUE"""),30.0)</f>
        <v>30</v>
      </c>
      <c r="H18463" s="4"/>
      <c r="I18463" s="4"/>
    </row>
    <row r="18464">
      <c r="A18464" s="4" t="str">
        <f>IFERROR(__xludf.DUMMYFUNCTION("""COMPUTED_VALUE"""),"cas_hmw")</f>
        <v>cas_hmw</v>
      </c>
      <c r="B18464" s="5">
        <f>IFERROR(__xludf.DUMMYFUNCTION("""COMPUTED_VALUE"""),44743.0)</f>
        <v>44743</v>
      </c>
      <c r="C18464" s="6">
        <f>IFERROR(__xludf.DUMMYFUNCTION("""COMPUTED_VALUE"""),0.7423726851848187)</f>
        <v>0.7423726852</v>
      </c>
      <c r="D18464" s="4">
        <f>IFERROR(__xludf.DUMMYFUNCTION("""COMPUTED_VALUE"""),13.079624)</f>
        <v>13.079624</v>
      </c>
      <c r="E18464" s="4">
        <f>IFERROR(__xludf.DUMMYFUNCTION("""COMPUTED_VALUE"""),80.281437)</f>
        <v>80.281437</v>
      </c>
      <c r="F18464" s="4">
        <f>IFERROR(__xludf.DUMMYFUNCTION("""COMPUTED_VALUE"""),5339.0)</f>
        <v>5339</v>
      </c>
      <c r="G18464" s="4">
        <f>IFERROR(__xludf.DUMMYFUNCTION("""COMPUTED_VALUE"""),33.0)</f>
        <v>33</v>
      </c>
      <c r="H18464" s="4"/>
      <c r="I18464" s="4"/>
    </row>
    <row r="18465">
      <c r="A18465" s="4" t="str">
        <f>IFERROR(__xludf.DUMMYFUNCTION("""COMPUTED_VALUE"""),"cas_hmw")</f>
        <v>cas_hmw</v>
      </c>
      <c r="B18465" s="5">
        <f>IFERROR(__xludf.DUMMYFUNCTION("""COMPUTED_VALUE"""),44743.0)</f>
        <v>44743</v>
      </c>
      <c r="C18465" s="6">
        <f>IFERROR(__xludf.DUMMYFUNCTION("""COMPUTED_VALUE"""),0.7424189814810234)</f>
        <v>0.7424189815</v>
      </c>
      <c r="D18465" s="4">
        <f>IFERROR(__xludf.DUMMYFUNCTION("""COMPUTED_VALUE"""),13.081967)</f>
        <v>13.081967</v>
      </c>
      <c r="E18465" s="4">
        <f>IFERROR(__xludf.DUMMYFUNCTION("""COMPUTED_VALUE"""),80.281396)</f>
        <v>80.281396</v>
      </c>
      <c r="F18465" s="4">
        <f>IFERROR(__xludf.DUMMYFUNCTION("""COMPUTED_VALUE"""),5339.0)</f>
        <v>5339</v>
      </c>
      <c r="G18465" s="4">
        <f>IFERROR(__xludf.DUMMYFUNCTION("""COMPUTED_VALUE"""),14.0)</f>
        <v>14</v>
      </c>
      <c r="H18465" s="4"/>
      <c r="I18465" s="4"/>
    </row>
    <row r="18466">
      <c r="A18466" s="4" t="str">
        <f>IFERROR(__xludf.DUMMYFUNCTION("""COMPUTED_VALUE"""),"cas_hmw")</f>
        <v>cas_hmw</v>
      </c>
      <c r="B18466" s="5">
        <f>IFERROR(__xludf.DUMMYFUNCTION("""COMPUTED_VALUE"""),44743.0)</f>
        <v>44743</v>
      </c>
      <c r="C18466" s="6">
        <f>IFERROR(__xludf.DUMMYFUNCTION("""COMPUTED_VALUE"""),0.7437615740745969)</f>
        <v>0.7437615741</v>
      </c>
      <c r="D18466" s="4">
        <f>IFERROR(__xludf.DUMMYFUNCTION("""COMPUTED_VALUE"""),13.085483)</f>
        <v>13.085483</v>
      </c>
      <c r="E18466" s="4">
        <f>IFERROR(__xludf.DUMMYFUNCTION("""COMPUTED_VALUE"""),80.284532)</f>
        <v>80.284532</v>
      </c>
      <c r="F18466" s="4">
        <f>IFERROR(__xludf.DUMMYFUNCTION("""COMPUTED_VALUE"""),5339.0)</f>
        <v>5339</v>
      </c>
      <c r="G18466" s="4">
        <f>IFERROR(__xludf.DUMMYFUNCTION("""COMPUTED_VALUE"""),0.0)</f>
        <v>0</v>
      </c>
      <c r="H18466" s="4"/>
      <c r="I18466" s="4"/>
    </row>
    <row r="18467">
      <c r="A18467" s="4" t="str">
        <f>IFERROR(__xludf.DUMMYFUNCTION("""COMPUTED_VALUE"""),"cas_hmw")</f>
        <v>cas_hmw</v>
      </c>
      <c r="B18467" s="5">
        <f>IFERROR(__xludf.DUMMYFUNCTION("""COMPUTED_VALUE"""),44743.0)</f>
        <v>44743</v>
      </c>
      <c r="C18467" s="6">
        <f>IFERROR(__xludf.DUMMYFUNCTION("""COMPUTED_VALUE"""),0.7437615740745969)</f>
        <v>0.7437615741</v>
      </c>
      <c r="D18467" s="4">
        <f>IFERROR(__xludf.DUMMYFUNCTION("""COMPUTED_VALUE"""),13.085483)</f>
        <v>13.085483</v>
      </c>
      <c r="E18467" s="4">
        <f>IFERROR(__xludf.DUMMYFUNCTION("""COMPUTED_VALUE"""),80.284532)</f>
        <v>80.284532</v>
      </c>
      <c r="F18467" s="4">
        <f>IFERROR(__xludf.DUMMYFUNCTION("""COMPUTED_VALUE"""),5339.0)</f>
        <v>5339</v>
      </c>
      <c r="G18467" s="4">
        <f>IFERROR(__xludf.DUMMYFUNCTION("""COMPUTED_VALUE"""),0.0)</f>
        <v>0</v>
      </c>
      <c r="H18467" s="4"/>
      <c r="I18467" s="4"/>
    </row>
    <row r="18468">
      <c r="A18468" s="4" t="str">
        <f>IFERROR(__xludf.DUMMYFUNCTION("""COMPUTED_VALUE"""),"cas_hmw")</f>
        <v>cas_hmw</v>
      </c>
      <c r="B18468" s="5">
        <f>IFERROR(__xludf.DUMMYFUNCTION("""COMPUTED_VALUE"""),44743.0)</f>
        <v>44743</v>
      </c>
      <c r="C18468" s="6">
        <f>IFERROR(__xludf.DUMMYFUNCTION("""COMPUTED_VALUE"""),0.7438310185170849)</f>
        <v>0.7438310185</v>
      </c>
      <c r="D18468" s="4">
        <f>IFERROR(__xludf.DUMMYFUNCTION("""COMPUTED_VALUE"""),13.0854)</f>
        <v>13.0854</v>
      </c>
      <c r="E18468" s="4">
        <f>IFERROR(__xludf.DUMMYFUNCTION("""COMPUTED_VALUE"""),80.285317)</f>
        <v>80.285317</v>
      </c>
      <c r="F18468" s="4">
        <f>IFERROR(__xludf.DUMMYFUNCTION("""COMPUTED_VALUE"""),5339.0)</f>
        <v>5339</v>
      </c>
      <c r="G18468" s="4">
        <f>IFERROR(__xludf.DUMMYFUNCTION("""COMPUTED_VALUE"""),30.0)</f>
        <v>30</v>
      </c>
      <c r="H18468" s="4"/>
      <c r="I18468" s="4"/>
    </row>
    <row r="18469">
      <c r="A18469" s="4" t="str">
        <f>IFERROR(__xludf.DUMMYFUNCTION("""COMPUTED_VALUE"""),"cas_hmw")</f>
        <v>cas_hmw</v>
      </c>
      <c r="B18469" s="5">
        <f>IFERROR(__xludf.DUMMYFUNCTION("""COMPUTED_VALUE"""),44743.0)</f>
        <v>44743</v>
      </c>
      <c r="C18469" s="6">
        <f>IFERROR(__xludf.DUMMYFUNCTION("""COMPUTED_VALUE"""),0.744560185186856)</f>
        <v>0.7445601852</v>
      </c>
      <c r="D18469" s="4">
        <f>IFERROR(__xludf.DUMMYFUNCTION("""COMPUTED_VALUE"""),13.085596)</f>
        <v>13.085596</v>
      </c>
      <c r="E18469" s="4">
        <f>IFERROR(__xludf.DUMMYFUNCTION("""COMPUTED_VALUE"""),80.288941)</f>
        <v>80.288941</v>
      </c>
      <c r="F18469" s="4">
        <f>IFERROR(__xludf.DUMMYFUNCTION("""COMPUTED_VALUE"""),5339.0)</f>
        <v>5339</v>
      </c>
      <c r="G18469" s="4">
        <f>IFERROR(__xludf.DUMMYFUNCTION("""COMPUTED_VALUE"""),35.0)</f>
        <v>35</v>
      </c>
      <c r="H18469" s="4"/>
      <c r="I18469" s="4"/>
    </row>
    <row r="18470">
      <c r="A18470" s="4" t="str">
        <f>IFERROR(__xludf.DUMMYFUNCTION("""COMPUTED_VALUE"""),"cas_hmw")</f>
        <v>cas_hmw</v>
      </c>
      <c r="B18470" s="5">
        <f>IFERROR(__xludf.DUMMYFUNCTION("""COMPUTED_VALUE"""),44743.0)</f>
        <v>44743</v>
      </c>
      <c r="C18470" s="6">
        <f>IFERROR(__xludf.DUMMYFUNCTION("""COMPUTED_VALUE"""),0.744803240741021)</f>
        <v>0.7448032407</v>
      </c>
      <c r="D18470" s="4">
        <f>IFERROR(__xludf.DUMMYFUNCTION("""COMPUTED_VALUE"""),13.087471)</f>
        <v>13.087471</v>
      </c>
      <c r="E18470" s="4">
        <f>IFERROR(__xludf.DUMMYFUNCTION("""COMPUTED_VALUE"""),80.289642)</f>
        <v>80.289642</v>
      </c>
      <c r="F18470" s="4">
        <f>IFERROR(__xludf.DUMMYFUNCTION("""COMPUTED_VALUE"""),5339.0)</f>
        <v>5339</v>
      </c>
      <c r="G18470" s="4">
        <f>IFERROR(__xludf.DUMMYFUNCTION("""COMPUTED_VALUE"""),23.0)</f>
        <v>23</v>
      </c>
      <c r="H18470" s="4"/>
      <c r="I18470" s="4"/>
    </row>
    <row r="18471">
      <c r="A18471" s="4" t="str">
        <f>IFERROR(__xludf.DUMMYFUNCTION("""COMPUTED_VALUE"""),"cas_hmw")</f>
        <v>cas_hmw</v>
      </c>
      <c r="B18471" s="5">
        <f>IFERROR(__xludf.DUMMYFUNCTION("""COMPUTED_VALUE"""),44743.0)</f>
        <v>44743</v>
      </c>
      <c r="C18471" s="6">
        <f>IFERROR(__xludf.DUMMYFUNCTION("""COMPUTED_VALUE"""),0.7542013888887595)</f>
        <v>0.7542013889</v>
      </c>
      <c r="D18471" s="4">
        <f>IFERROR(__xludf.DUMMYFUNCTION("""COMPUTED_VALUE"""),13.105117)</f>
        <v>13.105117</v>
      </c>
      <c r="E18471" s="4">
        <f>IFERROR(__xludf.DUMMYFUNCTION("""COMPUTED_VALUE"""),80.283397)</f>
        <v>80.283397</v>
      </c>
      <c r="F18471" s="4">
        <f>IFERROR(__xludf.DUMMYFUNCTION("""COMPUTED_VALUE"""),5339.0)</f>
        <v>5339</v>
      </c>
      <c r="G18471" s="4">
        <f>IFERROR(__xludf.DUMMYFUNCTION("""COMPUTED_VALUE"""),21.0)</f>
        <v>21</v>
      </c>
      <c r="H18471" s="4"/>
      <c r="I18471" s="4"/>
    </row>
    <row r="18472">
      <c r="A18472" s="4" t="str">
        <f>IFERROR(__xludf.DUMMYFUNCTION("""COMPUTED_VALUE"""),"cas_hmw")</f>
        <v>cas_hmw</v>
      </c>
      <c r="B18472" s="5">
        <f>IFERROR(__xludf.DUMMYFUNCTION("""COMPUTED_VALUE"""),44743.0)</f>
        <v>44743</v>
      </c>
      <c r="C18472" s="6">
        <f>IFERROR(__xludf.DUMMYFUNCTION("""COMPUTED_VALUE"""),0.7547685185199953)</f>
        <v>0.7547685185</v>
      </c>
      <c r="D18472" s="4">
        <f>IFERROR(__xludf.DUMMYFUNCTION("""COMPUTED_VALUE"""),13.105108)</f>
        <v>13.105108</v>
      </c>
      <c r="E18472" s="4">
        <f>IFERROR(__xludf.DUMMYFUNCTION("""COMPUTED_VALUE"""),80.277926)</f>
        <v>80.277926</v>
      </c>
      <c r="F18472" s="4">
        <f>IFERROR(__xludf.DUMMYFUNCTION("""COMPUTED_VALUE"""),5339.0)</f>
        <v>5339</v>
      </c>
      <c r="G18472" s="4">
        <f>IFERROR(__xludf.DUMMYFUNCTION("""COMPUTED_VALUE"""),49.0)</f>
        <v>49</v>
      </c>
      <c r="H18472" s="4"/>
      <c r="I18472" s="4"/>
    </row>
    <row r="18473">
      <c r="A18473" s="4" t="str">
        <f>IFERROR(__xludf.DUMMYFUNCTION("""COMPUTED_VALUE"""),"cas_hmw")</f>
        <v>cas_hmw</v>
      </c>
      <c r="B18473" s="5">
        <f>IFERROR(__xludf.DUMMYFUNCTION("""COMPUTED_VALUE"""),44743.0)</f>
        <v>44743</v>
      </c>
      <c r="C18473" s="6">
        <f>IFERROR(__xludf.DUMMYFUNCTION("""COMPUTED_VALUE"""),0.7590740740743058)</f>
        <v>0.7590740741</v>
      </c>
      <c r="D18473" s="4">
        <f>IFERROR(__xludf.DUMMYFUNCTION("""COMPUTED_VALUE"""),13.107768)</f>
        <v>13.107768</v>
      </c>
      <c r="E18473" s="4">
        <f>IFERROR(__xludf.DUMMYFUNCTION("""COMPUTED_VALUE"""),80.268551)</f>
        <v>80.268551</v>
      </c>
      <c r="F18473" s="4">
        <f>IFERROR(__xludf.DUMMYFUNCTION("""COMPUTED_VALUE"""),5339.0)</f>
        <v>5339</v>
      </c>
      <c r="G18473" s="4">
        <f>IFERROR(__xludf.DUMMYFUNCTION("""COMPUTED_VALUE"""),52.0)</f>
        <v>52</v>
      </c>
      <c r="H18473" s="4"/>
      <c r="I18473" s="4"/>
    </row>
    <row r="18474">
      <c r="A18474" s="4" t="str">
        <f>IFERROR(__xludf.DUMMYFUNCTION("""COMPUTED_VALUE"""),"cas_hmw")</f>
        <v>cas_hmw</v>
      </c>
      <c r="B18474" s="5">
        <f>IFERROR(__xludf.DUMMYFUNCTION("""COMPUTED_VALUE"""),44743.0)</f>
        <v>44743</v>
      </c>
      <c r="C18474" s="6">
        <f>IFERROR(__xludf.DUMMYFUNCTION("""COMPUTED_VALUE"""),0.7646643518528435)</f>
        <v>0.7646643519</v>
      </c>
      <c r="D18474" s="4">
        <f>IFERROR(__xludf.DUMMYFUNCTION("""COMPUTED_VALUE"""),13.126975)</f>
        <v>13.126975</v>
      </c>
      <c r="E18474" s="4">
        <f>IFERROR(__xludf.DUMMYFUNCTION("""COMPUTED_VALUE"""),80.259038)</f>
        <v>80.259038</v>
      </c>
      <c r="F18474" s="4">
        <f>IFERROR(__xludf.DUMMYFUNCTION("""COMPUTED_VALUE"""),5339.0)</f>
        <v>5339</v>
      </c>
      <c r="G18474" s="4">
        <f>IFERROR(__xludf.DUMMYFUNCTION("""COMPUTED_VALUE"""),26.0)</f>
        <v>26</v>
      </c>
      <c r="H18474" s="4"/>
      <c r="I18474" s="4"/>
    </row>
    <row r="18475">
      <c r="A18475" s="4" t="str">
        <f>IFERROR(__xludf.DUMMYFUNCTION("""COMPUTED_VALUE"""),"cas_hmw")</f>
        <v>cas_hmw</v>
      </c>
      <c r="B18475" s="5">
        <f>IFERROR(__xludf.DUMMYFUNCTION("""COMPUTED_VALUE"""),44743.0)</f>
        <v>44743</v>
      </c>
      <c r="C18475" s="6">
        <f>IFERROR(__xludf.DUMMYFUNCTION("""COMPUTED_VALUE"""),0.7646759259259852)</f>
        <v>0.7646759259</v>
      </c>
      <c r="D18475" s="4">
        <f>IFERROR(__xludf.DUMMYFUNCTION("""COMPUTED_VALUE"""),13.126975)</f>
        <v>13.126975</v>
      </c>
      <c r="E18475" s="4">
        <f>IFERROR(__xludf.DUMMYFUNCTION("""COMPUTED_VALUE"""),80.259038)</f>
        <v>80.259038</v>
      </c>
      <c r="F18475" s="4">
        <f>IFERROR(__xludf.DUMMYFUNCTION("""COMPUTED_VALUE"""),5339.0)</f>
        <v>5339</v>
      </c>
      <c r="G18475" s="4">
        <f>IFERROR(__xludf.DUMMYFUNCTION("""COMPUTED_VALUE"""),26.0)</f>
        <v>26</v>
      </c>
      <c r="H18475" s="4"/>
      <c r="I18475" s="4"/>
    </row>
    <row r="18476">
      <c r="A18476" s="4" t="str">
        <f>IFERROR(__xludf.DUMMYFUNCTION("""COMPUTED_VALUE"""),"cas_hmw")</f>
        <v>cas_hmw</v>
      </c>
      <c r="B18476" s="5">
        <f>IFERROR(__xludf.DUMMYFUNCTION("""COMPUTED_VALUE"""),44743.0)</f>
        <v>44743</v>
      </c>
      <c r="C18476" s="6">
        <f>IFERROR(__xludf.DUMMYFUNCTION("""COMPUTED_VALUE"""),0.8326273148159089)</f>
        <v>0.8326273148</v>
      </c>
      <c r="D18476" s="4">
        <f>IFERROR(__xludf.DUMMYFUNCTION("""COMPUTED_VALUE"""),13.107324)</f>
        <v>13.107324</v>
      </c>
      <c r="E18476" s="4">
        <f>IFERROR(__xludf.DUMMYFUNCTION("""COMPUTED_VALUE"""),80.269068)</f>
        <v>80.269068</v>
      </c>
      <c r="F18476" s="4">
        <f>IFERROR(__xludf.DUMMYFUNCTION("""COMPUTED_VALUE"""),5339.0)</f>
        <v>5339</v>
      </c>
      <c r="G18476" s="4">
        <f>IFERROR(__xludf.DUMMYFUNCTION("""COMPUTED_VALUE"""),44.0)</f>
        <v>44</v>
      </c>
      <c r="H18476" s="4"/>
      <c r="I18476" s="4"/>
    </row>
    <row r="18477">
      <c r="A18477" s="4" t="str">
        <f>IFERROR(__xludf.DUMMYFUNCTION("""COMPUTED_VALUE"""),"cas_hmw")</f>
        <v>cas_hmw</v>
      </c>
      <c r="B18477" s="5">
        <f>IFERROR(__xludf.DUMMYFUNCTION("""COMPUTED_VALUE"""),44743.0)</f>
        <v>44743</v>
      </c>
      <c r="C18477" s="6">
        <f>IFERROR(__xludf.DUMMYFUNCTION("""COMPUTED_VALUE"""),0.8345370370370802)</f>
        <v>0.834537037</v>
      </c>
      <c r="D18477" s="4">
        <f>IFERROR(__xludf.DUMMYFUNCTION("""COMPUTED_VALUE"""),13.10556)</f>
        <v>13.10556</v>
      </c>
      <c r="E18477" s="4">
        <f>IFERROR(__xludf.DUMMYFUNCTION("""COMPUTED_VALUE"""),80.279634)</f>
        <v>80.279634</v>
      </c>
      <c r="F18477" s="4">
        <f>IFERROR(__xludf.DUMMYFUNCTION("""COMPUTED_VALUE"""),5339.0)</f>
        <v>5339</v>
      </c>
      <c r="G18477" s="4">
        <f>IFERROR(__xludf.DUMMYFUNCTION("""COMPUTED_VALUE"""),31.0)</f>
        <v>31</v>
      </c>
      <c r="H18477" s="4"/>
      <c r="I18477" s="4"/>
    </row>
    <row r="18478">
      <c r="A18478" s="4" t="str">
        <f>IFERROR(__xludf.DUMMYFUNCTION("""COMPUTED_VALUE"""),"cas_hmw")</f>
        <v>cas_hmw</v>
      </c>
      <c r="B18478" s="5">
        <f>IFERROR(__xludf.DUMMYFUNCTION("""COMPUTED_VALUE"""),44743.0)</f>
        <v>44743</v>
      </c>
      <c r="C18478" s="6">
        <f>IFERROR(__xludf.DUMMYFUNCTION("""COMPUTED_VALUE"""),0.8347222222218988)</f>
        <v>0.8347222222</v>
      </c>
      <c r="D18478" s="4">
        <f>IFERROR(__xludf.DUMMYFUNCTION("""COMPUTED_VALUE"""),13.10554)</f>
        <v>13.10554</v>
      </c>
      <c r="E18478" s="4">
        <f>IFERROR(__xludf.DUMMYFUNCTION("""COMPUTED_VALUE"""),80.280917)</f>
        <v>80.280917</v>
      </c>
      <c r="F18478" s="4">
        <f>IFERROR(__xludf.DUMMYFUNCTION("""COMPUTED_VALUE"""),5339.0)</f>
        <v>5339</v>
      </c>
      <c r="G18478" s="4">
        <f>IFERROR(__xludf.DUMMYFUNCTION("""COMPUTED_VALUE"""),31.0)</f>
        <v>31</v>
      </c>
      <c r="H18478" s="4"/>
      <c r="I18478" s="4"/>
    </row>
    <row r="18479">
      <c r="A18479" s="4" t="str">
        <f>IFERROR(__xludf.DUMMYFUNCTION("""COMPUTED_VALUE"""),"cas_hmw")</f>
        <v>cas_hmw</v>
      </c>
      <c r="B18479" s="5">
        <f>IFERROR(__xludf.DUMMYFUNCTION("""COMPUTED_VALUE"""),44743.0)</f>
        <v>44743</v>
      </c>
      <c r="C18479" s="6">
        <f>IFERROR(__xludf.DUMMYFUNCTION("""COMPUTED_VALUE"""),0.8347453703718202)</f>
        <v>0.8347453704</v>
      </c>
      <c r="D18479" s="4">
        <f>IFERROR(__xludf.DUMMYFUNCTION("""COMPUTED_VALUE"""),13.10554)</f>
        <v>13.10554</v>
      </c>
      <c r="E18479" s="4">
        <f>IFERROR(__xludf.DUMMYFUNCTION("""COMPUTED_VALUE"""),80.280917)</f>
        <v>80.280917</v>
      </c>
      <c r="F18479" s="4">
        <f>IFERROR(__xludf.DUMMYFUNCTION("""COMPUTED_VALUE"""),5339.0)</f>
        <v>5339</v>
      </c>
      <c r="G18479" s="4">
        <f>IFERROR(__xludf.DUMMYFUNCTION("""COMPUTED_VALUE"""),31.0)</f>
        <v>31</v>
      </c>
      <c r="H18479" s="4"/>
      <c r="I18479" s="4"/>
    </row>
    <row r="18480">
      <c r="A18480" s="4" t="str">
        <f>IFERROR(__xludf.DUMMYFUNCTION("""COMPUTED_VALUE"""),"cas_hmw")</f>
        <v>cas_hmw</v>
      </c>
      <c r="B18480" s="5">
        <f>IFERROR(__xludf.DUMMYFUNCTION("""COMPUTED_VALUE"""),44743.0)</f>
        <v>44743</v>
      </c>
      <c r="C18480" s="6">
        <f>IFERROR(__xludf.DUMMYFUNCTION("""COMPUTED_VALUE"""),0.8349537037029222)</f>
        <v>0.8349537037</v>
      </c>
      <c r="D18480" s="4">
        <f>IFERROR(__xludf.DUMMYFUNCTION("""COMPUTED_VALUE"""),13.105418)</f>
        <v>13.105418</v>
      </c>
      <c r="E18480" s="4">
        <f>IFERROR(__xludf.DUMMYFUNCTION("""COMPUTED_VALUE"""),80.2821)</f>
        <v>80.2821</v>
      </c>
      <c r="F18480" s="4">
        <f>IFERROR(__xludf.DUMMYFUNCTION("""COMPUTED_VALUE"""),5339.0)</f>
        <v>5339</v>
      </c>
      <c r="G18480" s="4">
        <f>IFERROR(__xludf.DUMMYFUNCTION("""COMPUTED_VALUE"""),28.0)</f>
        <v>28</v>
      </c>
      <c r="H18480" s="4"/>
      <c r="I18480" s="4"/>
    </row>
    <row r="18481">
      <c r="A18481" s="4" t="str">
        <f>IFERROR(__xludf.DUMMYFUNCTION("""COMPUTED_VALUE"""),"cas_hmw")</f>
        <v>cas_hmw</v>
      </c>
      <c r="B18481" s="5">
        <f>IFERROR(__xludf.DUMMYFUNCTION("""COMPUTED_VALUE"""),44743.0)</f>
        <v>44743</v>
      </c>
      <c r="C18481" s="6">
        <f>IFERROR(__xludf.DUMMYFUNCTION("""COMPUTED_VALUE"""),0.8349884259259852)</f>
        <v>0.8349884259</v>
      </c>
      <c r="D18481" s="4">
        <f>IFERROR(__xludf.DUMMYFUNCTION("""COMPUTED_VALUE"""),13.105418)</f>
        <v>13.105418</v>
      </c>
      <c r="E18481" s="4">
        <f>IFERROR(__xludf.DUMMYFUNCTION("""COMPUTED_VALUE"""),80.2821)</f>
        <v>80.2821</v>
      </c>
      <c r="F18481" s="4">
        <f>IFERROR(__xludf.DUMMYFUNCTION("""COMPUTED_VALUE"""),5339.0)</f>
        <v>5339</v>
      </c>
      <c r="G18481" s="4">
        <f>IFERROR(__xludf.DUMMYFUNCTION("""COMPUTED_VALUE"""),28.0)</f>
        <v>28</v>
      </c>
      <c r="H18481" s="4"/>
      <c r="I18481" s="4"/>
    </row>
    <row r="18482">
      <c r="A18482" s="4" t="str">
        <f>IFERROR(__xludf.DUMMYFUNCTION("""COMPUTED_VALUE"""),"cas_hmw")</f>
        <v>cas_hmw</v>
      </c>
      <c r="B18482" s="5">
        <f>IFERROR(__xludf.DUMMYFUNCTION("""COMPUTED_VALUE"""),44743.0)</f>
        <v>44743</v>
      </c>
      <c r="C18482" s="6">
        <f>IFERROR(__xludf.DUMMYFUNCTION("""COMPUTED_VALUE"""),0.838726851852698)</f>
        <v>0.8387268519</v>
      </c>
      <c r="D18482" s="4">
        <f>IFERROR(__xludf.DUMMYFUNCTION("""COMPUTED_VALUE"""),13.105803)</f>
        <v>13.105803</v>
      </c>
      <c r="E18482" s="4">
        <f>IFERROR(__xludf.DUMMYFUNCTION("""COMPUTED_VALUE"""),80.293722)</f>
        <v>80.293722</v>
      </c>
      <c r="F18482" s="4">
        <f>IFERROR(__xludf.DUMMYFUNCTION("""COMPUTED_VALUE"""),5339.0)</f>
        <v>5339</v>
      </c>
      <c r="G18482" s="4">
        <f>IFERROR(__xludf.DUMMYFUNCTION("""COMPUTED_VALUE"""),30.0)</f>
        <v>30</v>
      </c>
      <c r="H18482" s="4"/>
      <c r="I18482" s="4"/>
    </row>
    <row r="18483">
      <c r="A18483" s="4" t="str">
        <f>IFERROR(__xludf.DUMMYFUNCTION("""COMPUTED_VALUE"""),"cas_hmw")</f>
        <v>cas_hmw</v>
      </c>
      <c r="B18483" s="5">
        <f>IFERROR(__xludf.DUMMYFUNCTION("""COMPUTED_VALUE"""),44743.0)</f>
        <v>44743</v>
      </c>
      <c r="C18483" s="6">
        <f>IFERROR(__xludf.DUMMYFUNCTION("""COMPUTED_VALUE"""),0.8395601851843821)</f>
        <v>0.8395601852</v>
      </c>
      <c r="D18483" s="4">
        <f>IFERROR(__xludf.DUMMYFUNCTION("""COMPUTED_VALUE"""),13.100271)</f>
        <v>13.100271</v>
      </c>
      <c r="E18483" s="4">
        <f>IFERROR(__xludf.DUMMYFUNCTION("""COMPUTED_VALUE"""),80.294208)</f>
        <v>80.294208</v>
      </c>
      <c r="F18483" s="4">
        <f>IFERROR(__xludf.DUMMYFUNCTION("""COMPUTED_VALUE"""),5339.0)</f>
        <v>5339</v>
      </c>
      <c r="G18483" s="4">
        <f>IFERROR(__xludf.DUMMYFUNCTION("""COMPUTED_VALUE"""),28.0)</f>
        <v>28</v>
      </c>
      <c r="H18483" s="4"/>
      <c r="I18483" s="4"/>
    </row>
    <row r="18484">
      <c r="A18484" s="4" t="str">
        <f>IFERROR(__xludf.DUMMYFUNCTION("""COMPUTED_VALUE"""),"cas_hmw")</f>
        <v>cas_hmw</v>
      </c>
      <c r="B18484" s="5">
        <f>IFERROR(__xludf.DUMMYFUNCTION("""COMPUTED_VALUE"""),44743.0)</f>
        <v>44743</v>
      </c>
      <c r="C18484" s="6">
        <f>IFERROR(__xludf.DUMMYFUNCTION("""COMPUTED_VALUE"""),0.8395833333343035)</f>
        <v>0.8395833333</v>
      </c>
      <c r="D18484" s="4">
        <f>IFERROR(__xludf.DUMMYFUNCTION("""COMPUTED_VALUE"""),13.100271)</f>
        <v>13.100271</v>
      </c>
      <c r="E18484" s="4">
        <f>IFERROR(__xludf.DUMMYFUNCTION("""COMPUTED_VALUE"""),80.294208)</f>
        <v>80.294208</v>
      </c>
      <c r="F18484" s="4">
        <f>IFERROR(__xludf.DUMMYFUNCTION("""COMPUTED_VALUE"""),5339.0)</f>
        <v>5339</v>
      </c>
      <c r="G18484" s="4">
        <f>IFERROR(__xludf.DUMMYFUNCTION("""COMPUTED_VALUE"""),28.0)</f>
        <v>28</v>
      </c>
      <c r="H18484" s="4"/>
      <c r="I18484" s="4"/>
    </row>
    <row r="18485">
      <c r="A18485" s="4" t="str">
        <f>IFERROR(__xludf.DUMMYFUNCTION("""COMPUTED_VALUE"""),"cas_hmw")</f>
        <v>cas_hmw</v>
      </c>
      <c r="B18485" s="5">
        <f>IFERROR(__xludf.DUMMYFUNCTION("""COMPUTED_VALUE"""),44743.0)</f>
        <v>44743</v>
      </c>
      <c r="C18485" s="6">
        <f>IFERROR(__xludf.DUMMYFUNCTION("""COMPUTED_VALUE"""),0.8396064814805868)</f>
        <v>0.8396064815</v>
      </c>
      <c r="D18485" s="4">
        <f>IFERROR(__xludf.DUMMYFUNCTION("""COMPUTED_VALUE"""),13.099301)</f>
        <v>13.099301</v>
      </c>
      <c r="E18485" s="4">
        <f>IFERROR(__xludf.DUMMYFUNCTION("""COMPUTED_VALUE"""),80.293927)</f>
        <v>80.293927</v>
      </c>
      <c r="F18485" s="4">
        <f>IFERROR(__xludf.DUMMYFUNCTION("""COMPUTED_VALUE"""),5339.0)</f>
        <v>5339</v>
      </c>
      <c r="G18485" s="4">
        <f>IFERROR(__xludf.DUMMYFUNCTION("""COMPUTED_VALUE"""),27.0)</f>
        <v>27</v>
      </c>
      <c r="H18485" s="4"/>
      <c r="I18485" s="4"/>
    </row>
    <row r="18486">
      <c r="A18486" s="4" t="str">
        <f>IFERROR(__xludf.DUMMYFUNCTION("""COMPUTED_VALUE"""),"cas_hmw")</f>
        <v>cas_hmw</v>
      </c>
      <c r="B18486" s="5">
        <f>IFERROR(__xludf.DUMMYFUNCTION("""COMPUTED_VALUE"""),44743.0)</f>
        <v>44743</v>
      </c>
      <c r="C18486" s="6">
        <f>IFERROR(__xludf.DUMMYFUNCTION("""COMPUTED_VALUE"""),0.8396643518535711)</f>
        <v>0.8396643519</v>
      </c>
      <c r="D18486" s="4">
        <f>IFERROR(__xludf.DUMMYFUNCTION("""COMPUTED_VALUE"""),13.099301)</f>
        <v>13.099301</v>
      </c>
      <c r="E18486" s="4">
        <f>IFERROR(__xludf.DUMMYFUNCTION("""COMPUTED_VALUE"""),80.293927)</f>
        <v>80.293927</v>
      </c>
      <c r="F18486" s="4">
        <f>IFERROR(__xludf.DUMMYFUNCTION("""COMPUTED_VALUE"""),5339.0)</f>
        <v>5339</v>
      </c>
      <c r="G18486" s="4">
        <f>IFERROR(__xludf.DUMMYFUNCTION("""COMPUTED_VALUE"""),27.0)</f>
        <v>27</v>
      </c>
      <c r="H18486" s="4"/>
      <c r="I18486" s="4"/>
    </row>
    <row r="18487">
      <c r="A18487" s="4" t="str">
        <f>IFERROR(__xludf.DUMMYFUNCTION("""COMPUTED_VALUE"""),"cas_hmw")</f>
        <v>cas_hmw</v>
      </c>
      <c r="B18487" s="5">
        <f>IFERROR(__xludf.DUMMYFUNCTION("""COMPUTED_VALUE"""),44743.0)</f>
        <v>44743</v>
      </c>
      <c r="C18487" s="6">
        <f>IFERROR(__xludf.DUMMYFUNCTION("""COMPUTED_VALUE"""),0.8396990740729962)</f>
        <v>0.8396990741</v>
      </c>
      <c r="D18487" s="4">
        <f>IFERROR(__xludf.DUMMYFUNCTION("""COMPUTED_VALUE"""),13.099301)</f>
        <v>13.099301</v>
      </c>
      <c r="E18487" s="4">
        <f>IFERROR(__xludf.DUMMYFUNCTION("""COMPUTED_VALUE"""),80.293927)</f>
        <v>80.293927</v>
      </c>
      <c r="F18487" s="4">
        <f>IFERROR(__xludf.DUMMYFUNCTION("""COMPUTED_VALUE"""),5339.0)</f>
        <v>5339</v>
      </c>
      <c r="G18487" s="4">
        <f>IFERROR(__xludf.DUMMYFUNCTION("""COMPUTED_VALUE"""),27.0)</f>
        <v>27</v>
      </c>
      <c r="H18487" s="4"/>
      <c r="I18487" s="4"/>
    </row>
    <row r="18488">
      <c r="A18488" s="4" t="str">
        <f>IFERROR(__xludf.DUMMYFUNCTION("""COMPUTED_VALUE"""),"cas_hmw")</f>
        <v>cas_hmw</v>
      </c>
      <c r="B18488" s="5">
        <f>IFERROR(__xludf.DUMMYFUNCTION("""COMPUTED_VALUE"""),44743.0)</f>
        <v>44743</v>
      </c>
      <c r="C18488" s="6">
        <f>IFERROR(__xludf.DUMMYFUNCTION("""COMPUTED_VALUE"""),0.843715277776937)</f>
        <v>0.8437152778</v>
      </c>
      <c r="D18488" s="4">
        <f>IFERROR(__xludf.DUMMYFUNCTION("""COMPUTED_VALUE"""),13.085287)</f>
        <v>13.085287</v>
      </c>
      <c r="E18488" s="4">
        <f>IFERROR(__xludf.DUMMYFUNCTION("""COMPUTED_VALUE"""),80.284974)</f>
        <v>80.284974</v>
      </c>
      <c r="F18488" s="4">
        <f>IFERROR(__xludf.DUMMYFUNCTION("""COMPUTED_VALUE"""),5339.0)</f>
        <v>5339</v>
      </c>
      <c r="G18488" s="4">
        <f>IFERROR(__xludf.DUMMYFUNCTION("""COMPUTED_VALUE"""),20.0)</f>
        <v>20</v>
      </c>
      <c r="H18488" s="4"/>
      <c r="I18488" s="4"/>
    </row>
    <row r="18489">
      <c r="A18489" s="4" t="str">
        <f>IFERROR(__xludf.DUMMYFUNCTION("""COMPUTED_VALUE"""),"cas_hmw")</f>
        <v>cas_hmw</v>
      </c>
      <c r="B18489" s="5">
        <f>IFERROR(__xludf.DUMMYFUNCTION("""COMPUTED_VALUE"""),44743.0)</f>
        <v>44743</v>
      </c>
      <c r="C18489" s="6">
        <f>IFERROR(__xludf.DUMMYFUNCTION("""COMPUTED_VALUE"""),0.8437268518500787)</f>
        <v>0.8437268519</v>
      </c>
      <c r="D18489" s="4">
        <f>IFERROR(__xludf.DUMMYFUNCTION("""COMPUTED_VALUE"""),13.085287)</f>
        <v>13.085287</v>
      </c>
      <c r="E18489" s="4">
        <f>IFERROR(__xludf.DUMMYFUNCTION("""COMPUTED_VALUE"""),80.284974)</f>
        <v>80.284974</v>
      </c>
      <c r="F18489" s="4">
        <f>IFERROR(__xludf.DUMMYFUNCTION("""COMPUTED_VALUE"""),5339.0)</f>
        <v>5339</v>
      </c>
      <c r="G18489" s="4">
        <f>IFERROR(__xludf.DUMMYFUNCTION("""COMPUTED_VALUE"""),20.0)</f>
        <v>20</v>
      </c>
      <c r="H18489" s="4"/>
      <c r="I18489" s="4"/>
    </row>
    <row r="18490">
      <c r="A18490" s="4" t="str">
        <f>IFERROR(__xludf.DUMMYFUNCTION("""COMPUTED_VALUE"""),"cas_hmw")</f>
        <v>cas_hmw</v>
      </c>
      <c r="B18490" s="5">
        <f>IFERROR(__xludf.DUMMYFUNCTION("""COMPUTED_VALUE"""),44743.0)</f>
        <v>44743</v>
      </c>
      <c r="C18490" s="6">
        <f>IFERROR(__xludf.DUMMYFUNCTION("""COMPUTED_VALUE"""),0.8451851851859828)</f>
        <v>0.8451851852</v>
      </c>
      <c r="D18490" s="4">
        <f>IFERROR(__xludf.DUMMYFUNCTION("""COMPUTED_VALUE"""),13.079494)</f>
        <v>13.079494</v>
      </c>
      <c r="E18490" s="4">
        <f>IFERROR(__xludf.DUMMYFUNCTION("""COMPUTED_VALUE"""),80.281607)</f>
        <v>80.281607</v>
      </c>
      <c r="F18490" s="4">
        <f>IFERROR(__xludf.DUMMYFUNCTION("""COMPUTED_VALUE"""),5339.0)</f>
        <v>5339</v>
      </c>
      <c r="G18490" s="4">
        <f>IFERROR(__xludf.DUMMYFUNCTION("""COMPUTED_VALUE"""),25.0)</f>
        <v>25</v>
      </c>
      <c r="H18490" s="4"/>
      <c r="I18490" s="4"/>
    </row>
    <row r="18491">
      <c r="A18491" s="4" t="str">
        <f>IFERROR(__xludf.DUMMYFUNCTION("""COMPUTED_VALUE"""),"cas_hmw")</f>
        <v>cas_hmw</v>
      </c>
      <c r="B18491" s="5">
        <f>IFERROR(__xludf.DUMMYFUNCTION("""COMPUTED_VALUE"""),44743.0)</f>
        <v>44743</v>
      </c>
      <c r="C18491" s="6">
        <f>IFERROR(__xludf.DUMMYFUNCTION("""COMPUTED_VALUE"""),0.8451851851859828)</f>
        <v>0.8451851852</v>
      </c>
      <c r="D18491" s="4">
        <f>IFERROR(__xludf.DUMMYFUNCTION("""COMPUTED_VALUE"""),13.079494)</f>
        <v>13.079494</v>
      </c>
      <c r="E18491" s="4">
        <f>IFERROR(__xludf.DUMMYFUNCTION("""COMPUTED_VALUE"""),80.281607)</f>
        <v>80.281607</v>
      </c>
      <c r="F18491" s="4">
        <f>IFERROR(__xludf.DUMMYFUNCTION("""COMPUTED_VALUE"""),5339.0)</f>
        <v>5339</v>
      </c>
      <c r="G18491" s="4">
        <f>IFERROR(__xludf.DUMMYFUNCTION("""COMPUTED_VALUE"""),25.0)</f>
        <v>25</v>
      </c>
      <c r="H18491" s="4"/>
      <c r="I18491" s="4"/>
    </row>
    <row r="18492">
      <c r="A18492" s="4" t="str">
        <f>IFERROR(__xludf.DUMMYFUNCTION("""COMPUTED_VALUE"""),"cas_hmw")</f>
        <v>cas_hmw</v>
      </c>
      <c r="B18492" s="5">
        <f>IFERROR(__xludf.DUMMYFUNCTION("""COMPUTED_VALUE"""),44743.0)</f>
        <v>44743</v>
      </c>
      <c r="C18492" s="6">
        <f>IFERROR(__xludf.DUMMYFUNCTION("""COMPUTED_VALUE"""),0.8452199074090458)</f>
        <v>0.8452199074</v>
      </c>
      <c r="D18492" s="4">
        <f>IFERROR(__xludf.DUMMYFUNCTION("""COMPUTED_VALUE"""),13.079494)</f>
        <v>13.079494</v>
      </c>
      <c r="E18492" s="4">
        <f>IFERROR(__xludf.DUMMYFUNCTION("""COMPUTED_VALUE"""),80.281607)</f>
        <v>80.281607</v>
      </c>
      <c r="F18492" s="4">
        <f>IFERROR(__xludf.DUMMYFUNCTION("""COMPUTED_VALUE"""),5339.0)</f>
        <v>5339</v>
      </c>
      <c r="G18492" s="4">
        <f>IFERROR(__xludf.DUMMYFUNCTION("""COMPUTED_VALUE"""),25.0)</f>
        <v>25</v>
      </c>
      <c r="H18492" s="4"/>
      <c r="I18492" s="4"/>
    </row>
    <row r="18493">
      <c r="A18493" s="4" t="str">
        <f>IFERROR(__xludf.DUMMYFUNCTION("""COMPUTED_VALUE"""),"cas_hmw")</f>
        <v>cas_hmw</v>
      </c>
      <c r="B18493" s="5">
        <f>IFERROR(__xludf.DUMMYFUNCTION("""COMPUTED_VALUE"""),44743.0)</f>
        <v>44743</v>
      </c>
      <c r="C18493" s="6">
        <f>IFERROR(__xludf.DUMMYFUNCTION("""COMPUTED_VALUE"""),0.8452893518515339)</f>
        <v>0.8452893519</v>
      </c>
      <c r="D18493" s="4">
        <f>IFERROR(__xludf.DUMMYFUNCTION("""COMPUTED_VALUE"""),13.079494)</f>
        <v>13.079494</v>
      </c>
      <c r="E18493" s="4">
        <f>IFERROR(__xludf.DUMMYFUNCTION("""COMPUTED_VALUE"""),80.281607)</f>
        <v>80.281607</v>
      </c>
      <c r="F18493" s="4">
        <f>IFERROR(__xludf.DUMMYFUNCTION("""COMPUTED_VALUE"""),5339.0)</f>
        <v>5339</v>
      </c>
      <c r="G18493" s="4">
        <f>IFERROR(__xludf.DUMMYFUNCTION("""COMPUTED_VALUE"""),25.0)</f>
        <v>25</v>
      </c>
      <c r="H18493" s="4"/>
      <c r="I18493" s="4"/>
    </row>
    <row r="18494">
      <c r="A18494" s="4" t="str">
        <f>IFERROR(__xludf.DUMMYFUNCTION("""COMPUTED_VALUE"""),"cas_hmw")</f>
        <v>cas_hmw</v>
      </c>
      <c r="B18494" s="5">
        <f>IFERROR(__xludf.DUMMYFUNCTION("""COMPUTED_VALUE"""),44743.0)</f>
        <v>44743</v>
      </c>
      <c r="C18494" s="6">
        <f>IFERROR(__xludf.DUMMYFUNCTION("""COMPUTED_VALUE"""),0.8453240740745969)</f>
        <v>0.8453240741</v>
      </c>
      <c r="D18494" s="4">
        <f>IFERROR(__xludf.DUMMYFUNCTION("""COMPUTED_VALUE"""),13.079494)</f>
        <v>13.079494</v>
      </c>
      <c r="E18494" s="4">
        <f>IFERROR(__xludf.DUMMYFUNCTION("""COMPUTED_VALUE"""),80.281607)</f>
        <v>80.281607</v>
      </c>
      <c r="F18494" s="4">
        <f>IFERROR(__xludf.DUMMYFUNCTION("""COMPUTED_VALUE"""),5339.0)</f>
        <v>5339</v>
      </c>
      <c r="G18494" s="4">
        <f>IFERROR(__xludf.DUMMYFUNCTION("""COMPUTED_VALUE"""),25.0)</f>
        <v>25</v>
      </c>
      <c r="H18494" s="4"/>
      <c r="I18494" s="4"/>
    </row>
    <row r="18495">
      <c r="A18495" s="4" t="str">
        <f>IFERROR(__xludf.DUMMYFUNCTION("""COMPUTED_VALUE"""),"cas_hmw")</f>
        <v>cas_hmw</v>
      </c>
      <c r="B18495" s="5">
        <f>IFERROR(__xludf.DUMMYFUNCTION("""COMPUTED_VALUE"""),44743.0)</f>
        <v>44743</v>
      </c>
      <c r="C18495" s="6">
        <f>IFERROR(__xludf.DUMMYFUNCTION("""COMPUTED_VALUE"""),0.8470601851840911)</f>
        <v>0.8470601852</v>
      </c>
      <c r="D18495" s="4">
        <f>IFERROR(__xludf.DUMMYFUNCTION("""COMPUTED_VALUE"""),13.071809)</f>
        <v>13.071809</v>
      </c>
      <c r="E18495" s="4">
        <f>IFERROR(__xludf.DUMMYFUNCTION("""COMPUTED_VALUE"""),80.2746)</f>
        <v>80.2746</v>
      </c>
      <c r="F18495" s="4">
        <f>IFERROR(__xludf.DUMMYFUNCTION("""COMPUTED_VALUE"""),5339.0)</f>
        <v>5339</v>
      </c>
      <c r="G18495" s="4">
        <f>IFERROR(__xludf.DUMMYFUNCTION("""COMPUTED_VALUE"""),0.0)</f>
        <v>0</v>
      </c>
      <c r="H18495" s="4"/>
      <c r="I18495" s="4"/>
    </row>
    <row r="18496">
      <c r="A18496" s="4" t="str">
        <f>IFERROR(__xludf.DUMMYFUNCTION("""COMPUTED_VALUE"""),"cas_hmw")</f>
        <v>cas_hmw</v>
      </c>
      <c r="B18496" s="5">
        <f>IFERROR(__xludf.DUMMYFUNCTION("""COMPUTED_VALUE"""),44743.0)</f>
        <v>44743</v>
      </c>
      <c r="C18496" s="6">
        <f>IFERROR(__xludf.DUMMYFUNCTION("""COMPUTED_VALUE"""),0.8484375000007276)</f>
        <v>0.8484375</v>
      </c>
      <c r="D18496" s="4">
        <f>IFERROR(__xludf.DUMMYFUNCTION("""COMPUTED_VALUE"""),13.068337)</f>
        <v>13.068337</v>
      </c>
      <c r="E18496" s="4">
        <f>IFERROR(__xludf.DUMMYFUNCTION("""COMPUTED_VALUE"""),80.271764)</f>
        <v>80.271764</v>
      </c>
      <c r="F18496" s="4">
        <f>IFERROR(__xludf.DUMMYFUNCTION("""COMPUTED_VALUE"""),5339.0)</f>
        <v>5339</v>
      </c>
      <c r="G18496" s="4">
        <f>IFERROR(__xludf.DUMMYFUNCTION("""COMPUTED_VALUE"""),12.0)</f>
        <v>12</v>
      </c>
      <c r="H18496" s="4"/>
      <c r="I18496" s="4"/>
    </row>
    <row r="18497">
      <c r="A18497" s="4" t="str">
        <f>IFERROR(__xludf.DUMMYFUNCTION("""COMPUTED_VALUE"""),"cas_hmw")</f>
        <v>cas_hmw</v>
      </c>
      <c r="B18497" s="5">
        <f>IFERROR(__xludf.DUMMYFUNCTION("""COMPUTED_VALUE"""),44743.0)</f>
        <v>44743</v>
      </c>
      <c r="C18497" s="6">
        <f>IFERROR(__xludf.DUMMYFUNCTION("""COMPUTED_VALUE"""),0.8486574074086093)</f>
        <v>0.8486574074</v>
      </c>
      <c r="D18497" s="4">
        <f>IFERROR(__xludf.DUMMYFUNCTION("""COMPUTED_VALUE"""),13.068176)</f>
        <v>13.068176</v>
      </c>
      <c r="E18497" s="4">
        <f>IFERROR(__xludf.DUMMYFUNCTION("""COMPUTED_VALUE"""),80.271503)</f>
        <v>80.271503</v>
      </c>
      <c r="F18497" s="4">
        <f>IFERROR(__xludf.DUMMYFUNCTION("""COMPUTED_VALUE"""),5339.0)</f>
        <v>5339</v>
      </c>
      <c r="G18497" s="4">
        <f>IFERROR(__xludf.DUMMYFUNCTION("""COMPUTED_VALUE"""),0.0)</f>
        <v>0</v>
      </c>
      <c r="H18497" s="4"/>
      <c r="I18497" s="4"/>
    </row>
    <row r="18498">
      <c r="A18498" s="4" t="str">
        <f>IFERROR(__xludf.DUMMYFUNCTION("""COMPUTED_VALUE"""),"cas_hmw")</f>
        <v>cas_hmw</v>
      </c>
      <c r="B18498" s="5">
        <f>IFERROR(__xludf.DUMMYFUNCTION("""COMPUTED_VALUE"""),44743.0)</f>
        <v>44743</v>
      </c>
      <c r="C18498" s="6">
        <f>IFERROR(__xludf.DUMMYFUNCTION("""COMPUTED_VALUE"""),0.8487152777779556)</f>
        <v>0.8487152778</v>
      </c>
      <c r="D18498" s="4">
        <f>IFERROR(__xludf.DUMMYFUNCTION("""COMPUTED_VALUE"""),13.067975)</f>
        <v>13.067975</v>
      </c>
      <c r="E18498" s="4">
        <f>IFERROR(__xludf.DUMMYFUNCTION("""COMPUTED_VALUE"""),80.271202)</f>
        <v>80.271202</v>
      </c>
      <c r="F18498" s="4">
        <f>IFERROR(__xludf.DUMMYFUNCTION("""COMPUTED_VALUE"""),5339.0)</f>
        <v>5339</v>
      </c>
      <c r="G18498" s="4">
        <f>IFERROR(__xludf.DUMMYFUNCTION("""COMPUTED_VALUE"""),12.0)</f>
        <v>12</v>
      </c>
      <c r="H18498" s="4"/>
      <c r="I18498" s="4"/>
    </row>
    <row r="18499">
      <c r="A18499" s="4" t="str">
        <f>IFERROR(__xludf.DUMMYFUNCTION("""COMPUTED_VALUE"""),"cas_hmw")</f>
        <v>cas_hmw</v>
      </c>
      <c r="B18499" s="5">
        <f>IFERROR(__xludf.DUMMYFUNCTION("""COMPUTED_VALUE"""),44743.0)</f>
        <v>44743</v>
      </c>
      <c r="C18499" s="6">
        <f>IFERROR(__xludf.DUMMYFUNCTION("""COMPUTED_VALUE"""),0.8504629629642295)</f>
        <v>0.850462963</v>
      </c>
      <c r="D18499" s="4">
        <f>IFERROR(__xludf.DUMMYFUNCTION("""COMPUTED_VALUE"""),13.062369)</f>
        <v>13.062369</v>
      </c>
      <c r="E18499" s="4">
        <f>IFERROR(__xludf.DUMMYFUNCTION("""COMPUTED_VALUE"""),80.263464)</f>
        <v>80.263464</v>
      </c>
      <c r="F18499" s="4">
        <f>IFERROR(__xludf.DUMMYFUNCTION("""COMPUTED_VALUE"""),5339.0)</f>
        <v>5339</v>
      </c>
      <c r="G18499" s="4">
        <f>IFERROR(__xludf.DUMMYFUNCTION("""COMPUTED_VALUE"""),10.0)</f>
        <v>10</v>
      </c>
      <c r="H18499" s="4"/>
      <c r="I18499" s="4"/>
    </row>
    <row r="18500">
      <c r="A18500" s="4" t="str">
        <f>IFERROR(__xludf.DUMMYFUNCTION("""COMPUTED_VALUE"""),"cas_hmw")</f>
        <v>cas_hmw</v>
      </c>
      <c r="B18500" s="5">
        <f>IFERROR(__xludf.DUMMYFUNCTION("""COMPUTED_VALUE"""),44743.0)</f>
        <v>44743</v>
      </c>
      <c r="C18500" s="6">
        <f>IFERROR(__xludf.DUMMYFUNCTION("""COMPUTED_VALUE"""),0.8519444444427791)</f>
        <v>0.8519444444</v>
      </c>
      <c r="D18500" s="4">
        <f>IFERROR(__xludf.DUMMYFUNCTION("""COMPUTED_VALUE"""),13.064348)</f>
        <v>13.064348</v>
      </c>
      <c r="E18500" s="4">
        <f>IFERROR(__xludf.DUMMYFUNCTION("""COMPUTED_VALUE"""),80.259004)</f>
        <v>80.259004</v>
      </c>
      <c r="F18500" s="4">
        <f>IFERROR(__xludf.DUMMYFUNCTION("""COMPUTED_VALUE"""),5339.0)</f>
        <v>5339</v>
      </c>
      <c r="G18500" s="4">
        <f>IFERROR(__xludf.DUMMYFUNCTION("""COMPUTED_VALUE"""),21.0)</f>
        <v>21</v>
      </c>
      <c r="H18500" s="4"/>
      <c r="I18500" s="4"/>
    </row>
    <row r="18501">
      <c r="A18501" s="4" t="str">
        <f>IFERROR(__xludf.DUMMYFUNCTION("""COMPUTED_VALUE"""),"cas_hmw")</f>
        <v>cas_hmw</v>
      </c>
      <c r="B18501" s="5">
        <f>IFERROR(__xludf.DUMMYFUNCTION("""COMPUTED_VALUE"""),44743.0)</f>
        <v>44743</v>
      </c>
      <c r="C18501" s="6">
        <f>IFERROR(__xludf.DUMMYFUNCTION("""COMPUTED_VALUE"""),0.8520486111119681)</f>
        <v>0.8520486111</v>
      </c>
      <c r="D18501" s="4">
        <f>IFERROR(__xludf.DUMMYFUNCTION("""COMPUTED_VALUE"""),13.064348)</f>
        <v>13.064348</v>
      </c>
      <c r="E18501" s="4">
        <f>IFERROR(__xludf.DUMMYFUNCTION("""COMPUTED_VALUE"""),80.259004)</f>
        <v>80.259004</v>
      </c>
      <c r="F18501" s="4">
        <f>IFERROR(__xludf.DUMMYFUNCTION("""COMPUTED_VALUE"""),5339.0)</f>
        <v>5339</v>
      </c>
      <c r="G18501" s="4">
        <f>IFERROR(__xludf.DUMMYFUNCTION("""COMPUTED_VALUE"""),21.0)</f>
        <v>21</v>
      </c>
      <c r="H18501" s="4"/>
      <c r="I18501" s="4"/>
    </row>
    <row r="18502">
      <c r="A18502" s="4" t="str">
        <f>IFERROR(__xludf.DUMMYFUNCTION("""COMPUTED_VALUE"""),"cas_hmw")</f>
        <v>cas_hmw</v>
      </c>
      <c r="B18502" s="5">
        <f>IFERROR(__xludf.DUMMYFUNCTION("""COMPUTED_VALUE"""),44743.0)</f>
        <v>44743</v>
      </c>
      <c r="C18502" s="6">
        <f>IFERROR(__xludf.DUMMYFUNCTION("""COMPUTED_VALUE"""),0.8521875000005821)</f>
        <v>0.8521875</v>
      </c>
      <c r="D18502" s="4">
        <f>IFERROR(__xludf.DUMMYFUNCTION("""COMPUTED_VALUE"""),13.064892)</f>
        <v>13.064892</v>
      </c>
      <c r="E18502" s="4">
        <f>IFERROR(__xludf.DUMMYFUNCTION("""COMPUTED_VALUE"""),80.258177)</f>
        <v>80.258177</v>
      </c>
      <c r="F18502" s="4">
        <f>IFERROR(__xludf.DUMMYFUNCTION("""COMPUTED_VALUE"""),5339.0)</f>
        <v>5339</v>
      </c>
      <c r="G18502" s="4">
        <f>IFERROR(__xludf.DUMMYFUNCTION("""COMPUTED_VALUE"""),26.0)</f>
        <v>26</v>
      </c>
      <c r="H18502" s="4"/>
      <c r="I18502" s="4"/>
    </row>
    <row r="18503">
      <c r="A18503" s="4" t="str">
        <f>IFERROR(__xludf.DUMMYFUNCTION("""COMPUTED_VALUE"""),"cas_hmw")</f>
        <v>cas_hmw</v>
      </c>
      <c r="B18503" s="5">
        <f>IFERROR(__xludf.DUMMYFUNCTION("""COMPUTED_VALUE"""),44743.0)</f>
        <v>44743</v>
      </c>
      <c r="C18503" s="6">
        <f>IFERROR(__xludf.DUMMYFUNCTION("""COMPUTED_VALUE"""),0.8535300925941556)</f>
        <v>0.8535300926</v>
      </c>
      <c r="D18503" s="4">
        <f>IFERROR(__xludf.DUMMYFUNCTION("""COMPUTED_VALUE"""),13.066866)</f>
        <v>13.066866</v>
      </c>
      <c r="E18503" s="4">
        <f>IFERROR(__xludf.DUMMYFUNCTION("""COMPUTED_VALUE"""),80.254351)</f>
        <v>80.254351</v>
      </c>
      <c r="F18503" s="4">
        <f>IFERROR(__xludf.DUMMYFUNCTION("""COMPUTED_VALUE"""),5339.0)</f>
        <v>5339</v>
      </c>
      <c r="G18503" s="4">
        <f>IFERROR(__xludf.DUMMYFUNCTION("""COMPUTED_VALUE"""),8.0)</f>
        <v>8</v>
      </c>
      <c r="H18503" s="4"/>
      <c r="I18503" s="4"/>
    </row>
    <row r="18504">
      <c r="A18504" s="4" t="str">
        <f>IFERROR(__xludf.DUMMYFUNCTION("""COMPUTED_VALUE"""),"cas_hmw")</f>
        <v>cas_hmw</v>
      </c>
      <c r="B18504" s="5">
        <f>IFERROR(__xludf.DUMMYFUNCTION("""COMPUTED_VALUE"""),44743.0)</f>
        <v>44743</v>
      </c>
      <c r="C18504" s="6">
        <f>IFERROR(__xludf.DUMMYFUNCTION("""COMPUTED_VALUE"""),0.8545486111106584)</f>
        <v>0.8545486111</v>
      </c>
      <c r="D18504" s="4">
        <f>IFERROR(__xludf.DUMMYFUNCTION("""COMPUTED_VALUE"""),13.067575)</f>
        <v>13.067575</v>
      </c>
      <c r="E18504" s="4">
        <f>IFERROR(__xludf.DUMMYFUNCTION("""COMPUTED_VALUE"""),80.249719)</f>
        <v>80.249719</v>
      </c>
      <c r="F18504" s="4">
        <f>IFERROR(__xludf.DUMMYFUNCTION("""COMPUTED_VALUE"""),5339.0)</f>
        <v>5339</v>
      </c>
      <c r="G18504" s="4">
        <f>IFERROR(__xludf.DUMMYFUNCTION("""COMPUTED_VALUE"""),27.0)</f>
        <v>27</v>
      </c>
      <c r="H18504" s="4"/>
      <c r="I18504" s="4"/>
    </row>
    <row r="18505">
      <c r="A18505" s="4" t="str">
        <f>IFERROR(__xludf.DUMMYFUNCTION("""COMPUTED_VALUE"""),"cas_hmw")</f>
        <v>cas_hmw</v>
      </c>
      <c r="B18505" s="5">
        <f>IFERROR(__xludf.DUMMYFUNCTION("""COMPUTED_VALUE"""),44743.0)</f>
        <v>44743</v>
      </c>
      <c r="C18505" s="6">
        <f>IFERROR(__xludf.DUMMYFUNCTION("""COMPUTED_VALUE"""),0.8545717592605797)</f>
        <v>0.8545717593</v>
      </c>
      <c r="D18505" s="4">
        <f>IFERROR(__xludf.DUMMYFUNCTION("""COMPUTED_VALUE"""),13.067575)</f>
        <v>13.067575</v>
      </c>
      <c r="E18505" s="4">
        <f>IFERROR(__xludf.DUMMYFUNCTION("""COMPUTED_VALUE"""),80.249719)</f>
        <v>80.249719</v>
      </c>
      <c r="F18505" s="4">
        <f>IFERROR(__xludf.DUMMYFUNCTION("""COMPUTED_VALUE"""),5339.0)</f>
        <v>5339</v>
      </c>
      <c r="G18505" s="4">
        <f>IFERROR(__xludf.DUMMYFUNCTION("""COMPUTED_VALUE"""),27.0)</f>
        <v>27</v>
      </c>
      <c r="H18505" s="4"/>
      <c r="I18505" s="4"/>
    </row>
    <row r="18506">
      <c r="A18506" s="4" t="str">
        <f>IFERROR(__xludf.DUMMYFUNCTION("""COMPUTED_VALUE"""),"cas_hmw")</f>
        <v>cas_hmw</v>
      </c>
      <c r="B18506" s="5">
        <f>IFERROR(__xludf.DUMMYFUNCTION("""COMPUTED_VALUE"""),44743.0)</f>
        <v>44743</v>
      </c>
      <c r="C18506" s="6">
        <f>IFERROR(__xludf.DUMMYFUNCTION("""COMPUTED_VALUE"""),0.8545833333337214)</f>
        <v>0.8545833333</v>
      </c>
      <c r="D18506" s="4">
        <f>IFERROR(__xludf.DUMMYFUNCTION("""COMPUTED_VALUE"""),13.067575)</f>
        <v>13.067575</v>
      </c>
      <c r="E18506" s="4">
        <f>IFERROR(__xludf.DUMMYFUNCTION("""COMPUTED_VALUE"""),80.249719)</f>
        <v>80.249719</v>
      </c>
      <c r="F18506" s="4">
        <f>IFERROR(__xludf.DUMMYFUNCTION("""COMPUTED_VALUE"""),5339.0)</f>
        <v>5339</v>
      </c>
      <c r="G18506" s="4">
        <f>IFERROR(__xludf.DUMMYFUNCTION("""COMPUTED_VALUE"""),27.0)</f>
        <v>27</v>
      </c>
      <c r="H18506" s="4"/>
      <c r="I18506" s="4"/>
    </row>
    <row r="18507">
      <c r="A18507" s="4" t="str">
        <f>IFERROR(__xludf.DUMMYFUNCTION("""COMPUTED_VALUE"""),"cas_hmw")</f>
        <v>cas_hmw</v>
      </c>
      <c r="B18507" s="5">
        <f>IFERROR(__xludf.DUMMYFUNCTION("""COMPUTED_VALUE"""),44743.0)</f>
        <v>44743</v>
      </c>
      <c r="C18507" s="6">
        <f>IFERROR(__xludf.DUMMYFUNCTION("""COMPUTED_VALUE"""),0.8547685185185401)</f>
        <v>0.8547685185</v>
      </c>
      <c r="D18507" s="4">
        <f>IFERROR(__xludf.DUMMYFUNCTION("""COMPUTED_VALUE"""),13.067724)</f>
        <v>13.067724</v>
      </c>
      <c r="E18507" s="4">
        <f>IFERROR(__xludf.DUMMYFUNCTION("""COMPUTED_VALUE"""),80.248822)</f>
        <v>80.248822</v>
      </c>
      <c r="F18507" s="4">
        <f>IFERROR(__xludf.DUMMYFUNCTION("""COMPUTED_VALUE"""),5339.0)</f>
        <v>5339</v>
      </c>
      <c r="G18507" s="4">
        <f>IFERROR(__xludf.DUMMYFUNCTION("""COMPUTED_VALUE"""),30.0)</f>
        <v>30</v>
      </c>
      <c r="H18507" s="4"/>
      <c r="I18507" s="4"/>
    </row>
    <row r="18508">
      <c r="A18508" s="4" t="str">
        <f>IFERROR(__xludf.DUMMYFUNCTION("""COMPUTED_VALUE"""),"cas_hmw")</f>
        <v>cas_hmw</v>
      </c>
      <c r="B18508" s="5">
        <f>IFERROR(__xludf.DUMMYFUNCTION("""COMPUTED_VALUE"""),44775.0)</f>
        <v>44775</v>
      </c>
      <c r="C18508" s="6">
        <f>IFERROR(__xludf.DUMMYFUNCTION("""COMPUTED_VALUE"""),0.29471064814788406)</f>
        <v>0.2947106481</v>
      </c>
      <c r="D18508" s="4">
        <f>IFERROR(__xludf.DUMMYFUNCTION("""COMPUTED_VALUE"""),12.515944)</f>
        <v>12.515944</v>
      </c>
      <c r="E18508" s="4">
        <f>IFERROR(__xludf.DUMMYFUNCTION("""COMPUTED_VALUE"""),79.88855)</f>
        <v>79.88855</v>
      </c>
      <c r="F18508" s="4">
        <f>IFERROR(__xludf.DUMMYFUNCTION("""COMPUTED_VALUE"""),2846.0)</f>
        <v>2846</v>
      </c>
      <c r="G18508" s="4">
        <f>IFERROR(__xludf.DUMMYFUNCTION("""COMPUTED_VALUE"""),45.0)</f>
        <v>45</v>
      </c>
      <c r="H18508" s="4"/>
      <c r="I18508" s="4"/>
    </row>
    <row r="18509">
      <c r="A18509" s="4" t="str">
        <f>IFERROR(__xludf.DUMMYFUNCTION("""COMPUTED_VALUE"""),"cas_hmw")</f>
        <v>cas_hmw</v>
      </c>
      <c r="B18509" s="5">
        <f>IFERROR(__xludf.DUMMYFUNCTION("""COMPUTED_VALUE"""),44775.0)</f>
        <v>44775</v>
      </c>
      <c r="C18509" s="6">
        <f>IFERROR(__xludf.DUMMYFUNCTION("""COMPUTED_VALUE"""),0.29533564814846613)</f>
        <v>0.2953356481</v>
      </c>
      <c r="D18509" s="4">
        <f>IFERROR(__xludf.DUMMYFUNCTION("""COMPUTED_VALUE"""),12.510598)</f>
        <v>12.510598</v>
      </c>
      <c r="E18509" s="4">
        <f>IFERROR(__xludf.DUMMYFUNCTION("""COMPUTED_VALUE"""),79.885078)</f>
        <v>79.885078</v>
      </c>
      <c r="F18509" s="4">
        <f>IFERROR(__xludf.DUMMYFUNCTION("""COMPUTED_VALUE"""),2846.0)</f>
        <v>2846</v>
      </c>
      <c r="G18509" s="4">
        <f>IFERROR(__xludf.DUMMYFUNCTION("""COMPUTED_VALUE"""),18.0)</f>
        <v>18</v>
      </c>
      <c r="H18509" s="4"/>
      <c r="I18509" s="4"/>
    </row>
    <row r="18510">
      <c r="A18510" s="4" t="str">
        <f>IFERROR(__xludf.DUMMYFUNCTION("""COMPUTED_VALUE"""),"cas_hmw")</f>
        <v>cas_hmw</v>
      </c>
      <c r="B18510" s="5">
        <f>IFERROR(__xludf.DUMMYFUNCTION("""COMPUTED_VALUE"""),44775.0)</f>
        <v>44775</v>
      </c>
      <c r="C18510" s="6">
        <f>IFERROR(__xludf.DUMMYFUNCTION("""COMPUTED_VALUE"""),0.29703703703853535)</f>
        <v>0.297037037</v>
      </c>
      <c r="D18510" s="4">
        <f>IFERROR(__xludf.DUMMYFUNCTION("""COMPUTED_VALUE"""),13.063793)</f>
        <v>13.063793</v>
      </c>
      <c r="E18510" s="4">
        <f>IFERROR(__xludf.DUMMYFUNCTION("""COMPUTED_VALUE"""),80.250789)</f>
        <v>80.250789</v>
      </c>
      <c r="F18510" s="4">
        <f>IFERROR(__xludf.DUMMYFUNCTION("""COMPUTED_VALUE"""),5339.0)</f>
        <v>5339</v>
      </c>
      <c r="G18510" s="4">
        <f>IFERROR(__xludf.DUMMYFUNCTION("""COMPUTED_VALUE"""),10.0)</f>
        <v>10</v>
      </c>
      <c r="H18510" s="4"/>
      <c r="I18510" s="4"/>
    </row>
    <row r="18511">
      <c r="A18511" s="4" t="str">
        <f>IFERROR(__xludf.DUMMYFUNCTION("""COMPUTED_VALUE"""),"cas_hmw")</f>
        <v>cas_hmw</v>
      </c>
      <c r="B18511" s="5">
        <f>IFERROR(__xludf.DUMMYFUNCTION("""COMPUTED_VALUE"""),44775.0)</f>
        <v>44775</v>
      </c>
      <c r="C18511" s="6">
        <f>IFERROR(__xludf.DUMMYFUNCTION("""COMPUTED_VALUE"""),0.2995023148141627)</f>
        <v>0.2995023148</v>
      </c>
      <c r="D18511" s="4">
        <f>IFERROR(__xludf.DUMMYFUNCTION("""COMPUTED_VALUE"""),13.067685)</f>
        <v>13.067685</v>
      </c>
      <c r="E18511" s="4">
        <f>IFERROR(__xludf.DUMMYFUNCTION("""COMPUTED_VALUE"""),80.249649)</f>
        <v>80.249649</v>
      </c>
      <c r="F18511" s="4">
        <f>IFERROR(__xludf.DUMMYFUNCTION("""COMPUTED_VALUE"""),3143.0)</f>
        <v>3143</v>
      </c>
      <c r="G18511" s="4">
        <f>IFERROR(__xludf.DUMMYFUNCTION("""COMPUTED_VALUE"""),27.0)</f>
        <v>27</v>
      </c>
      <c r="H18511" s="4"/>
      <c r="I18511" s="4"/>
    </row>
    <row r="18512">
      <c r="A18512" s="4" t="str">
        <f>IFERROR(__xludf.DUMMYFUNCTION("""COMPUTED_VALUE"""),"cas_hmw")</f>
        <v>cas_hmw</v>
      </c>
      <c r="B18512" s="5">
        <f>IFERROR(__xludf.DUMMYFUNCTION("""COMPUTED_VALUE"""),44775.0)</f>
        <v>44775</v>
      </c>
      <c r="C18512" s="6">
        <f>IFERROR(__xludf.DUMMYFUNCTION("""COMPUTED_VALUE"""),0.3004050925919728)</f>
        <v>0.3004050926</v>
      </c>
      <c r="D18512" s="4">
        <f>IFERROR(__xludf.DUMMYFUNCTION("""COMPUTED_VALUE"""),13.063793)</f>
        <v>13.063793</v>
      </c>
      <c r="E18512" s="4">
        <f>IFERROR(__xludf.DUMMYFUNCTION("""COMPUTED_VALUE"""),80.250789)</f>
        <v>80.250789</v>
      </c>
      <c r="F18512" s="4">
        <f>IFERROR(__xludf.DUMMYFUNCTION("""COMPUTED_VALUE"""),5339.0)</f>
        <v>5339</v>
      </c>
      <c r="G18512" s="4">
        <f>IFERROR(__xludf.DUMMYFUNCTION("""COMPUTED_VALUE"""),10.0)</f>
        <v>10</v>
      </c>
      <c r="H18512" s="4"/>
      <c r="I18512" s="4"/>
    </row>
    <row r="18513">
      <c r="A18513" s="4" t="str">
        <f>IFERROR(__xludf.DUMMYFUNCTION("""COMPUTED_VALUE"""),"cas_hmw")</f>
        <v>cas_hmw</v>
      </c>
      <c r="B18513" s="5">
        <f>IFERROR(__xludf.DUMMYFUNCTION("""COMPUTED_VALUE"""),44775.0)</f>
        <v>44775</v>
      </c>
      <c r="C18513" s="6">
        <f>IFERROR(__xludf.DUMMYFUNCTION("""COMPUTED_VALUE"""),0.30052083333430346)</f>
        <v>0.3005208333</v>
      </c>
      <c r="D18513" s="4">
        <f>IFERROR(__xludf.DUMMYFUNCTION("""COMPUTED_VALUE"""),13.063793)</f>
        <v>13.063793</v>
      </c>
      <c r="E18513" s="4">
        <f>IFERROR(__xludf.DUMMYFUNCTION("""COMPUTED_VALUE"""),80.250789)</f>
        <v>80.250789</v>
      </c>
      <c r="F18513" s="4">
        <f>IFERROR(__xludf.DUMMYFUNCTION("""COMPUTED_VALUE"""),5339.0)</f>
        <v>5339</v>
      </c>
      <c r="G18513" s="4">
        <f>IFERROR(__xludf.DUMMYFUNCTION("""COMPUTED_VALUE"""),10.0)</f>
        <v>10</v>
      </c>
      <c r="H18513" s="4"/>
      <c r="I18513" s="4"/>
    </row>
    <row r="18514">
      <c r="A18514" s="4" t="str">
        <f>IFERROR(__xludf.DUMMYFUNCTION("""COMPUTED_VALUE"""),"cas_hmw")</f>
        <v>cas_hmw</v>
      </c>
      <c r="B18514" s="5">
        <f>IFERROR(__xludf.DUMMYFUNCTION("""COMPUTED_VALUE"""),44775.0)</f>
        <v>44775</v>
      </c>
      <c r="C18514" s="6">
        <f>IFERROR(__xludf.DUMMYFUNCTION("""COMPUTED_VALUE"""),0.3005439814805868)</f>
        <v>0.3005439815</v>
      </c>
      <c r="D18514" s="4">
        <f>IFERROR(__xludf.DUMMYFUNCTION("""COMPUTED_VALUE"""),13.063793)</f>
        <v>13.063793</v>
      </c>
      <c r="E18514" s="4">
        <f>IFERROR(__xludf.DUMMYFUNCTION("""COMPUTED_VALUE"""),80.250789)</f>
        <v>80.250789</v>
      </c>
      <c r="F18514" s="4">
        <f>IFERROR(__xludf.DUMMYFUNCTION("""COMPUTED_VALUE"""),5339.0)</f>
        <v>5339</v>
      </c>
      <c r="G18514" s="4">
        <f>IFERROR(__xludf.DUMMYFUNCTION("""COMPUTED_VALUE"""),10.0)</f>
        <v>10</v>
      </c>
      <c r="H18514" s="4"/>
      <c r="I18514" s="4"/>
    </row>
    <row r="18515">
      <c r="A18515" s="4" t="str">
        <f>IFERROR(__xludf.DUMMYFUNCTION("""COMPUTED_VALUE"""),"cas_hmw")</f>
        <v>cas_hmw</v>
      </c>
      <c r="B18515" s="5">
        <f>IFERROR(__xludf.DUMMYFUNCTION("""COMPUTED_VALUE"""),44775.0)</f>
        <v>44775</v>
      </c>
      <c r="C18515" s="6">
        <f>IFERROR(__xludf.DUMMYFUNCTION("""COMPUTED_VALUE"""),0.3037847222221899)</f>
        <v>0.3037847222</v>
      </c>
      <c r="D18515" s="4">
        <f>IFERROR(__xludf.DUMMYFUNCTION("""COMPUTED_VALUE"""),13.066762)</f>
        <v>13.066762</v>
      </c>
      <c r="E18515" s="4">
        <f>IFERROR(__xludf.DUMMYFUNCTION("""COMPUTED_VALUE"""),80.268456)</f>
        <v>80.268456</v>
      </c>
      <c r="F18515" s="4">
        <f>IFERROR(__xludf.DUMMYFUNCTION("""COMPUTED_VALUE"""),3143.0)</f>
        <v>3143</v>
      </c>
      <c r="G18515" s="4">
        <f>IFERROR(__xludf.DUMMYFUNCTION("""COMPUTED_VALUE"""),30.0)</f>
        <v>30</v>
      </c>
      <c r="H18515" s="4"/>
      <c r="I18515" s="4"/>
    </row>
    <row r="18516">
      <c r="A18516" s="4" t="str">
        <f>IFERROR(__xludf.DUMMYFUNCTION("""COMPUTED_VALUE"""),"cas_hmw")</f>
        <v>cas_hmw</v>
      </c>
      <c r="B18516" s="5">
        <f>IFERROR(__xludf.DUMMYFUNCTION("""COMPUTED_VALUE"""),44775.0)</f>
        <v>44775</v>
      </c>
      <c r="C18516" s="6">
        <f>IFERROR(__xludf.DUMMYFUNCTION("""COMPUTED_VALUE"""),0.30383101851839456)</f>
        <v>0.3038310185</v>
      </c>
      <c r="D18516" s="4">
        <f>IFERROR(__xludf.DUMMYFUNCTION("""COMPUTED_VALUE"""),13.067491)</f>
        <v>13.067491</v>
      </c>
      <c r="E18516" s="4">
        <f>IFERROR(__xludf.DUMMYFUNCTION("""COMPUTED_VALUE"""),80.268927)</f>
        <v>80.268927</v>
      </c>
      <c r="F18516" s="4">
        <f>IFERROR(__xludf.DUMMYFUNCTION("""COMPUTED_VALUE"""),3143.0)</f>
        <v>3143</v>
      </c>
      <c r="G18516" s="4">
        <f>IFERROR(__xludf.DUMMYFUNCTION("""COMPUTED_VALUE"""),31.0)</f>
        <v>31</v>
      </c>
      <c r="H18516" s="4"/>
      <c r="I18516" s="4"/>
    </row>
    <row r="18517">
      <c r="A18517" s="4" t="str">
        <f>IFERROR(__xludf.DUMMYFUNCTION("""COMPUTED_VALUE"""),"cas_hmw")</f>
        <v>cas_hmw</v>
      </c>
      <c r="B18517" s="5">
        <f>IFERROR(__xludf.DUMMYFUNCTION("""COMPUTED_VALUE"""),44775.0)</f>
        <v>44775</v>
      </c>
      <c r="C18517" s="6">
        <f>IFERROR(__xludf.DUMMYFUNCTION("""COMPUTED_VALUE"""),0.3041087962956226)</f>
        <v>0.3041087963</v>
      </c>
      <c r="D18517" s="4">
        <f>IFERROR(__xludf.DUMMYFUNCTION("""COMPUTED_VALUE"""),13.067962)</f>
        <v>13.067962</v>
      </c>
      <c r="E18517" s="4">
        <f>IFERROR(__xludf.DUMMYFUNCTION("""COMPUTED_VALUE"""),80.272368)</f>
        <v>80.272368</v>
      </c>
      <c r="F18517" s="4">
        <f>IFERROR(__xludf.DUMMYFUNCTION("""COMPUTED_VALUE"""),5339.0)</f>
        <v>5339</v>
      </c>
      <c r="G18517" s="4">
        <f>IFERROR(__xludf.DUMMYFUNCTION("""COMPUTED_VALUE"""),29.0)</f>
        <v>29</v>
      </c>
      <c r="H18517" s="4"/>
      <c r="I18517" s="4"/>
    </row>
    <row r="18518">
      <c r="A18518" s="4" t="str">
        <f>IFERROR(__xludf.DUMMYFUNCTION("""COMPUTED_VALUE"""),"cas_hmw")</f>
        <v>cas_hmw</v>
      </c>
      <c r="B18518" s="5">
        <f>IFERROR(__xludf.DUMMYFUNCTION("""COMPUTED_VALUE"""),44775.0)</f>
        <v>44775</v>
      </c>
      <c r="C18518" s="6">
        <f>IFERROR(__xludf.DUMMYFUNCTION("""COMPUTED_VALUE"""),0.31072916666744277)</f>
        <v>0.3107291667</v>
      </c>
      <c r="D18518" s="4">
        <f>IFERROR(__xludf.DUMMYFUNCTION("""COMPUTED_VALUE"""),13.049591)</f>
        <v>13.049591</v>
      </c>
      <c r="E18518" s="4">
        <f>IFERROR(__xludf.DUMMYFUNCTION("""COMPUTED_VALUE"""),80.264066)</f>
        <v>80.264066</v>
      </c>
      <c r="F18518" s="4">
        <f>IFERROR(__xludf.DUMMYFUNCTION("""COMPUTED_VALUE"""),3143.0)</f>
        <v>3143</v>
      </c>
      <c r="G18518" s="4">
        <f>IFERROR(__xludf.DUMMYFUNCTION("""COMPUTED_VALUE"""),34.0)</f>
        <v>34</v>
      </c>
      <c r="H18518" s="4"/>
      <c r="I18518" s="4"/>
    </row>
    <row r="18519">
      <c r="A18519" s="4" t="str">
        <f>IFERROR(__xludf.DUMMYFUNCTION("""COMPUTED_VALUE"""),"cas_hmw")</f>
        <v>cas_hmw</v>
      </c>
      <c r="B18519" s="5">
        <f>IFERROR(__xludf.DUMMYFUNCTION("""COMPUTED_VALUE"""),44775.0)</f>
        <v>44775</v>
      </c>
      <c r="C18519" s="6">
        <f>IFERROR(__xludf.DUMMYFUNCTION("""COMPUTED_VALUE"""),0.31072916666744277)</f>
        <v>0.3107291667</v>
      </c>
      <c r="D18519" s="4">
        <f>IFERROR(__xludf.DUMMYFUNCTION("""COMPUTED_VALUE"""),13.049591)</f>
        <v>13.049591</v>
      </c>
      <c r="E18519" s="4">
        <f>IFERROR(__xludf.DUMMYFUNCTION("""COMPUTED_VALUE"""),80.264066)</f>
        <v>80.264066</v>
      </c>
      <c r="F18519" s="4">
        <f>IFERROR(__xludf.DUMMYFUNCTION("""COMPUTED_VALUE"""),3143.0)</f>
        <v>3143</v>
      </c>
      <c r="G18519" s="4">
        <f>IFERROR(__xludf.DUMMYFUNCTION("""COMPUTED_VALUE"""),34.0)</f>
        <v>34</v>
      </c>
      <c r="H18519" s="4"/>
      <c r="I18519" s="4"/>
    </row>
    <row r="18520">
      <c r="A18520" s="4" t="str">
        <f>IFERROR(__xludf.DUMMYFUNCTION("""COMPUTED_VALUE"""),"cas_hmw")</f>
        <v>cas_hmw</v>
      </c>
      <c r="B18520" s="5">
        <f>IFERROR(__xludf.DUMMYFUNCTION("""COMPUTED_VALUE"""),44775.0)</f>
        <v>44775</v>
      </c>
      <c r="C18520" s="6">
        <f>IFERROR(__xludf.DUMMYFUNCTION("""COMPUTED_VALUE"""),0.31237268518452765)</f>
        <v>0.3123726852</v>
      </c>
      <c r="D18520" s="4">
        <f>IFERROR(__xludf.DUMMYFUNCTION("""COMPUTED_VALUE"""),13.042917)</f>
        <v>13.042917</v>
      </c>
      <c r="E18520" s="4">
        <f>IFERROR(__xludf.DUMMYFUNCTION("""COMPUTED_VALUE"""),80.267853)</f>
        <v>80.267853</v>
      </c>
      <c r="F18520" s="4">
        <f>IFERROR(__xludf.DUMMYFUNCTION("""COMPUTED_VALUE"""),3143.0)</f>
        <v>3143</v>
      </c>
      <c r="G18520" s="4">
        <f>IFERROR(__xludf.DUMMYFUNCTION("""COMPUTED_VALUE"""),30.0)</f>
        <v>30</v>
      </c>
      <c r="H18520" s="4"/>
      <c r="I18520" s="4"/>
    </row>
    <row r="18521">
      <c r="A18521" s="4" t="str">
        <f>IFERROR(__xludf.DUMMYFUNCTION("""COMPUTED_VALUE"""),"cas_hmw")</f>
        <v>cas_hmw</v>
      </c>
      <c r="B18521" s="5">
        <f>IFERROR(__xludf.DUMMYFUNCTION("""COMPUTED_VALUE"""),44775.0)</f>
        <v>44775</v>
      </c>
      <c r="C18521" s="6">
        <f>IFERROR(__xludf.DUMMYFUNCTION("""COMPUTED_VALUE"""),0.31320601851984975)</f>
        <v>0.3132060185</v>
      </c>
      <c r="D18521" s="4">
        <f>IFERROR(__xludf.DUMMYFUNCTION("""COMPUTED_VALUE"""),13.052991)</f>
        <v>13.052991</v>
      </c>
      <c r="E18521" s="4">
        <f>IFERROR(__xludf.DUMMYFUNCTION("""COMPUTED_VALUE"""),80.251918)</f>
        <v>80.251918</v>
      </c>
      <c r="F18521" s="4">
        <f>IFERROR(__xludf.DUMMYFUNCTION("""COMPUTED_VALUE"""),5339.0)</f>
        <v>5339</v>
      </c>
      <c r="G18521" s="4">
        <f>IFERROR(__xludf.DUMMYFUNCTION("""COMPUTED_VALUE"""),47.0)</f>
        <v>47</v>
      </c>
      <c r="H18521" s="4"/>
      <c r="I18521" s="4"/>
    </row>
    <row r="18522">
      <c r="A18522" s="4" t="str">
        <f>IFERROR(__xludf.DUMMYFUNCTION("""COMPUTED_VALUE"""),"cas_hmw")</f>
        <v>cas_hmw</v>
      </c>
      <c r="B18522" s="5">
        <f>IFERROR(__xludf.DUMMYFUNCTION("""COMPUTED_VALUE"""),44775.0)</f>
        <v>44775</v>
      </c>
      <c r="C18522" s="6">
        <f>IFERROR(__xludf.DUMMYFUNCTION("""COMPUTED_VALUE"""),0.31327546296233777)</f>
        <v>0.313275463</v>
      </c>
      <c r="D18522" s="4">
        <f>IFERROR(__xludf.DUMMYFUNCTION("""COMPUTED_VALUE"""),13.052991)</f>
        <v>13.052991</v>
      </c>
      <c r="E18522" s="4">
        <f>IFERROR(__xludf.DUMMYFUNCTION("""COMPUTED_VALUE"""),80.251918)</f>
        <v>80.251918</v>
      </c>
      <c r="F18522" s="4">
        <f>IFERROR(__xludf.DUMMYFUNCTION("""COMPUTED_VALUE"""),5339.0)</f>
        <v>5339</v>
      </c>
      <c r="G18522" s="4">
        <f>IFERROR(__xludf.DUMMYFUNCTION("""COMPUTED_VALUE"""),47.0)</f>
        <v>47</v>
      </c>
      <c r="H18522" s="4"/>
      <c r="I18522" s="4"/>
    </row>
    <row r="18523">
      <c r="A18523" s="4" t="str">
        <f>IFERROR(__xludf.DUMMYFUNCTION("""COMPUTED_VALUE"""),"cas_hmw")</f>
        <v>cas_hmw</v>
      </c>
      <c r="B18523" s="5">
        <f>IFERROR(__xludf.DUMMYFUNCTION("""COMPUTED_VALUE"""),44775.0)</f>
        <v>44775</v>
      </c>
      <c r="C18523" s="6">
        <f>IFERROR(__xludf.DUMMYFUNCTION("""COMPUTED_VALUE"""),0.31368055555503815)</f>
        <v>0.3136805556</v>
      </c>
      <c r="D18523" s="4">
        <f>IFERROR(__xludf.DUMMYFUNCTION("""COMPUTED_VALUE"""),12.656623)</f>
        <v>12.656623</v>
      </c>
      <c r="E18523" s="4">
        <f>IFERROR(__xludf.DUMMYFUNCTION("""COMPUTED_VALUE"""),79.950131)</f>
        <v>79.950131</v>
      </c>
      <c r="F18523" s="4">
        <f>IFERROR(__xludf.DUMMYFUNCTION("""COMPUTED_VALUE"""),2846.0)</f>
        <v>2846</v>
      </c>
      <c r="G18523" s="4">
        <f>IFERROR(__xludf.DUMMYFUNCTION("""COMPUTED_VALUE"""),55.0)</f>
        <v>55</v>
      </c>
      <c r="H18523" s="4"/>
      <c r="I18523" s="4"/>
    </row>
    <row r="18524">
      <c r="A18524" s="4" t="str">
        <f>IFERROR(__xludf.DUMMYFUNCTION("""COMPUTED_VALUE"""),"cas_hmw")</f>
        <v>cas_hmw</v>
      </c>
      <c r="B18524" s="5">
        <f>IFERROR(__xludf.DUMMYFUNCTION("""COMPUTED_VALUE"""),44775.0)</f>
        <v>44775</v>
      </c>
      <c r="C18524" s="6">
        <f>IFERROR(__xludf.DUMMYFUNCTION("""COMPUTED_VALUE"""),0.31513888888730435)</f>
        <v>0.3151388889</v>
      </c>
      <c r="D18524" s="4">
        <f>IFERROR(__xludf.DUMMYFUNCTION("""COMPUTED_VALUE"""),13.0397)</f>
        <v>13.0397</v>
      </c>
      <c r="E18524" s="4">
        <f>IFERROR(__xludf.DUMMYFUNCTION("""COMPUTED_VALUE"""),80.247064)</f>
        <v>80.247064</v>
      </c>
      <c r="F18524" s="4">
        <f>IFERROR(__xludf.DUMMYFUNCTION("""COMPUTED_VALUE"""),5339.0)</f>
        <v>5339</v>
      </c>
      <c r="G18524" s="4">
        <f>IFERROR(__xludf.DUMMYFUNCTION("""COMPUTED_VALUE"""),38.0)</f>
        <v>38</v>
      </c>
      <c r="H18524" s="4"/>
      <c r="I18524" s="4"/>
    </row>
    <row r="18525">
      <c r="A18525" s="4" t="str">
        <f>IFERROR(__xludf.DUMMYFUNCTION("""COMPUTED_VALUE"""),"cas_hmw")</f>
        <v>cas_hmw</v>
      </c>
      <c r="B18525" s="5">
        <f>IFERROR(__xludf.DUMMYFUNCTION("""COMPUTED_VALUE"""),44775.0)</f>
        <v>44775</v>
      </c>
      <c r="C18525" s="6">
        <f>IFERROR(__xludf.DUMMYFUNCTION("""COMPUTED_VALUE"""),0.315254629629635)</f>
        <v>0.3152546296</v>
      </c>
      <c r="D18525" s="4">
        <f>IFERROR(__xludf.DUMMYFUNCTION("""COMPUTED_VALUE"""),13.038964)</f>
        <v>13.038964</v>
      </c>
      <c r="E18525" s="4">
        <f>IFERROR(__xludf.DUMMYFUNCTION("""COMPUTED_VALUE"""),80.246909)</f>
        <v>80.246909</v>
      </c>
      <c r="F18525" s="4">
        <f>IFERROR(__xludf.DUMMYFUNCTION("""COMPUTED_VALUE"""),5339.0)</f>
        <v>5339</v>
      </c>
      <c r="G18525" s="4">
        <f>IFERROR(__xludf.DUMMYFUNCTION("""COMPUTED_VALUE"""),25.0)</f>
        <v>25</v>
      </c>
      <c r="H18525" s="4"/>
      <c r="I18525" s="4"/>
    </row>
    <row r="18526">
      <c r="A18526" s="4" t="str">
        <f>IFERROR(__xludf.DUMMYFUNCTION("""COMPUTED_VALUE"""),"cas_hmw")</f>
        <v>cas_hmw</v>
      </c>
      <c r="B18526" s="5">
        <f>IFERROR(__xludf.DUMMYFUNCTION("""COMPUTED_VALUE"""),44775.0)</f>
        <v>44775</v>
      </c>
      <c r="C18526" s="6">
        <f>IFERROR(__xludf.DUMMYFUNCTION("""COMPUTED_VALUE"""),0.3152662037027767)</f>
        <v>0.3152662037</v>
      </c>
      <c r="D18526" s="4">
        <f>IFERROR(__xludf.DUMMYFUNCTION("""COMPUTED_VALUE"""),13.038964)</f>
        <v>13.038964</v>
      </c>
      <c r="E18526" s="4">
        <f>IFERROR(__xludf.DUMMYFUNCTION("""COMPUTED_VALUE"""),80.246909)</f>
        <v>80.246909</v>
      </c>
      <c r="F18526" s="4">
        <f>IFERROR(__xludf.DUMMYFUNCTION("""COMPUTED_VALUE"""),5339.0)</f>
        <v>5339</v>
      </c>
      <c r="G18526" s="4">
        <f>IFERROR(__xludf.DUMMYFUNCTION("""COMPUTED_VALUE"""),25.0)</f>
        <v>25</v>
      </c>
      <c r="H18526" s="4"/>
      <c r="I18526" s="4"/>
    </row>
    <row r="18527">
      <c r="A18527" s="4" t="str">
        <f>IFERROR(__xludf.DUMMYFUNCTION("""COMPUTED_VALUE"""),"cas_hmw")</f>
        <v>cas_hmw</v>
      </c>
      <c r="B18527" s="5">
        <f>IFERROR(__xludf.DUMMYFUNCTION("""COMPUTED_VALUE"""),44775.0)</f>
        <v>44775</v>
      </c>
      <c r="C18527" s="6">
        <f>IFERROR(__xludf.DUMMYFUNCTION("""COMPUTED_VALUE"""),0.31527777777955635)</f>
        <v>0.3152777778</v>
      </c>
      <c r="D18527" s="4">
        <f>IFERROR(__xludf.DUMMYFUNCTION("""COMPUTED_VALUE"""),13.038964)</f>
        <v>13.038964</v>
      </c>
      <c r="E18527" s="4">
        <f>IFERROR(__xludf.DUMMYFUNCTION("""COMPUTED_VALUE"""),80.246909)</f>
        <v>80.246909</v>
      </c>
      <c r="F18527" s="4">
        <f>IFERROR(__xludf.DUMMYFUNCTION("""COMPUTED_VALUE"""),5339.0)</f>
        <v>5339</v>
      </c>
      <c r="G18527" s="4">
        <f>IFERROR(__xludf.DUMMYFUNCTION("""COMPUTED_VALUE"""),25.0)</f>
        <v>25</v>
      </c>
      <c r="H18527" s="4"/>
      <c r="I18527" s="4"/>
    </row>
    <row r="18528">
      <c r="A18528" s="4" t="str">
        <f>IFERROR(__xludf.DUMMYFUNCTION("""COMPUTED_VALUE"""),"cas_hmw")</f>
        <v>cas_hmw</v>
      </c>
      <c r="B18528" s="5">
        <f>IFERROR(__xludf.DUMMYFUNCTION("""COMPUTED_VALUE"""),44775.0)</f>
        <v>44775</v>
      </c>
      <c r="C18528" s="6">
        <f>IFERROR(__xludf.DUMMYFUNCTION("""COMPUTED_VALUE"""),0.3163078703692008)</f>
        <v>0.3163078704</v>
      </c>
      <c r="D18528" s="4">
        <f>IFERROR(__xludf.DUMMYFUNCTION("""COMPUTED_VALUE"""),13.03454)</f>
        <v>13.03454</v>
      </c>
      <c r="E18528" s="4">
        <f>IFERROR(__xludf.DUMMYFUNCTION("""COMPUTED_VALUE"""),80.245394)</f>
        <v>80.245394</v>
      </c>
      <c r="F18528" s="4">
        <f>IFERROR(__xludf.DUMMYFUNCTION("""COMPUTED_VALUE"""),5339.0)</f>
        <v>5339</v>
      </c>
      <c r="G18528" s="4">
        <f>IFERROR(__xludf.DUMMYFUNCTION("""COMPUTED_VALUE"""),32.0)</f>
        <v>32</v>
      </c>
      <c r="H18528" s="4"/>
      <c r="I18528" s="4"/>
    </row>
    <row r="18529">
      <c r="A18529" s="4" t="str">
        <f>IFERROR(__xludf.DUMMYFUNCTION("""COMPUTED_VALUE"""),"cas_hmw")</f>
        <v>cas_hmw</v>
      </c>
      <c r="B18529" s="5">
        <f>IFERROR(__xludf.DUMMYFUNCTION("""COMPUTED_VALUE"""),44775.0)</f>
        <v>44775</v>
      </c>
      <c r="C18529" s="6">
        <f>IFERROR(__xludf.DUMMYFUNCTION("""COMPUTED_VALUE"""),0.3163541666654055)</f>
        <v>0.3163541667</v>
      </c>
      <c r="D18529" s="4">
        <f>IFERROR(__xludf.DUMMYFUNCTION("""COMPUTED_VALUE"""),13.03454)</f>
        <v>13.03454</v>
      </c>
      <c r="E18529" s="4">
        <f>IFERROR(__xludf.DUMMYFUNCTION("""COMPUTED_VALUE"""),80.245394)</f>
        <v>80.245394</v>
      </c>
      <c r="F18529" s="4">
        <f>IFERROR(__xludf.DUMMYFUNCTION("""COMPUTED_VALUE"""),5339.0)</f>
        <v>5339</v>
      </c>
      <c r="G18529" s="4">
        <f>IFERROR(__xludf.DUMMYFUNCTION("""COMPUTED_VALUE"""),32.0)</f>
        <v>32</v>
      </c>
      <c r="H18529" s="4"/>
      <c r="I18529" s="4"/>
    </row>
    <row r="18530">
      <c r="A18530" s="4" t="str">
        <f>IFERROR(__xludf.DUMMYFUNCTION("""COMPUTED_VALUE"""),"cas_hmw")</f>
        <v>cas_hmw</v>
      </c>
      <c r="B18530" s="5">
        <f>IFERROR(__xludf.DUMMYFUNCTION("""COMPUTED_VALUE"""),44775.0)</f>
        <v>44775</v>
      </c>
      <c r="C18530" s="6">
        <f>IFERROR(__xludf.DUMMYFUNCTION("""COMPUTED_VALUE"""),0.3182754629633564)</f>
        <v>0.318275463</v>
      </c>
      <c r="D18530" s="4">
        <f>IFERROR(__xludf.DUMMYFUNCTION("""COMPUTED_VALUE"""),13.020318)</f>
        <v>13.020318</v>
      </c>
      <c r="E18530" s="4">
        <f>IFERROR(__xludf.DUMMYFUNCTION("""COMPUTED_VALUE"""),80.263016)</f>
        <v>80.263016</v>
      </c>
      <c r="F18530" s="4">
        <f>IFERROR(__xludf.DUMMYFUNCTION("""COMPUTED_VALUE"""),3143.0)</f>
        <v>3143</v>
      </c>
      <c r="G18530" s="4">
        <f>IFERROR(__xludf.DUMMYFUNCTION("""COMPUTED_VALUE"""),9.0)</f>
        <v>9</v>
      </c>
      <c r="H18530" s="4"/>
      <c r="I18530" s="4"/>
    </row>
    <row r="18531">
      <c r="A18531" s="4" t="str">
        <f>IFERROR(__xludf.DUMMYFUNCTION("""COMPUTED_VALUE"""),"cas_hmw")</f>
        <v>cas_hmw</v>
      </c>
      <c r="B18531" s="5">
        <f>IFERROR(__xludf.DUMMYFUNCTION("""COMPUTED_VALUE"""),44775.0)</f>
        <v>44775</v>
      </c>
      <c r="C18531" s="6">
        <f>IFERROR(__xludf.DUMMYFUNCTION("""COMPUTED_VALUE"""),0.3189583333332848)</f>
        <v>0.3189583333</v>
      </c>
      <c r="D18531" s="4">
        <f>IFERROR(__xludf.DUMMYFUNCTION("""COMPUTED_VALUE"""),13.027455)</f>
        <v>13.027455</v>
      </c>
      <c r="E18531" s="4">
        <f>IFERROR(__xludf.DUMMYFUNCTION("""COMPUTED_VALUE"""),80.234564)</f>
        <v>80.234564</v>
      </c>
      <c r="F18531" s="4">
        <f>IFERROR(__xludf.DUMMYFUNCTION("""COMPUTED_VALUE"""),5339.0)</f>
        <v>5339</v>
      </c>
      <c r="G18531" s="4">
        <f>IFERROR(__xludf.DUMMYFUNCTION("""COMPUTED_VALUE"""),43.0)</f>
        <v>43</v>
      </c>
      <c r="H18531" s="4"/>
      <c r="I18531" s="4"/>
    </row>
    <row r="18532">
      <c r="A18532" s="4" t="str">
        <f>IFERROR(__xludf.DUMMYFUNCTION("""COMPUTED_VALUE"""),"cas_hmw")</f>
        <v>cas_hmw</v>
      </c>
      <c r="B18532" s="5">
        <f>IFERROR(__xludf.DUMMYFUNCTION("""COMPUTED_VALUE"""),44775.0)</f>
        <v>44775</v>
      </c>
      <c r="C18532" s="6">
        <f>IFERROR(__xludf.DUMMYFUNCTION("""COMPUTED_VALUE"""),0.31935185185284354)</f>
        <v>0.3193518519</v>
      </c>
      <c r="D18532" s="4">
        <f>IFERROR(__xludf.DUMMYFUNCTION("""COMPUTED_VALUE"""),13.026052)</f>
        <v>13.026052</v>
      </c>
      <c r="E18532" s="4">
        <f>IFERROR(__xludf.DUMMYFUNCTION("""COMPUTED_VALUE"""),80.231696)</f>
        <v>80.231696</v>
      </c>
      <c r="F18532" s="4">
        <f>IFERROR(__xludf.DUMMYFUNCTION("""COMPUTED_VALUE"""),5339.0)</f>
        <v>5339</v>
      </c>
      <c r="G18532" s="4">
        <f>IFERROR(__xludf.DUMMYFUNCTION("""COMPUTED_VALUE"""),37.0)</f>
        <v>37</v>
      </c>
      <c r="H18532" s="4"/>
      <c r="I18532" s="4"/>
    </row>
    <row r="18533">
      <c r="A18533" s="4" t="str">
        <f>IFERROR(__xludf.DUMMYFUNCTION("""COMPUTED_VALUE"""),"cas_hmw")</f>
        <v>cas_hmw</v>
      </c>
      <c r="B18533" s="5">
        <f>IFERROR(__xludf.DUMMYFUNCTION("""COMPUTED_VALUE"""),44775.0)</f>
        <v>44775</v>
      </c>
      <c r="C18533" s="6">
        <f>IFERROR(__xludf.DUMMYFUNCTION("""COMPUTED_VALUE"""),0.31986111111109494)</f>
        <v>0.3198611111</v>
      </c>
      <c r="D18533" s="4">
        <f>IFERROR(__xludf.DUMMYFUNCTION("""COMPUTED_VALUE"""),12.686224)</f>
        <v>12.686224</v>
      </c>
      <c r="E18533" s="4">
        <f>IFERROR(__xludf.DUMMYFUNCTION("""COMPUTED_VALUE"""),79.983451)</f>
        <v>79.983451</v>
      </c>
      <c r="F18533" s="4">
        <f>IFERROR(__xludf.DUMMYFUNCTION("""COMPUTED_VALUE"""),2846.0)</f>
        <v>2846</v>
      </c>
      <c r="G18533" s="4">
        <f>IFERROR(__xludf.DUMMYFUNCTION("""COMPUTED_VALUE"""),33.0)</f>
        <v>33</v>
      </c>
      <c r="H18533" s="4"/>
      <c r="I18533" s="4"/>
    </row>
    <row r="18534">
      <c r="A18534" s="4" t="str">
        <f>IFERROR(__xludf.DUMMYFUNCTION("""COMPUTED_VALUE"""),"cas_hmw")</f>
        <v>cas_hmw</v>
      </c>
      <c r="B18534" s="5">
        <f>IFERROR(__xludf.DUMMYFUNCTION("""COMPUTED_VALUE"""),44775.0)</f>
        <v>44775</v>
      </c>
      <c r="C18534" s="6">
        <f>IFERROR(__xludf.DUMMYFUNCTION("""COMPUTED_VALUE"""),0.3203125)</f>
        <v>0.3203125</v>
      </c>
      <c r="D18534" s="4">
        <f>IFERROR(__xludf.DUMMYFUNCTION("""COMPUTED_VALUE"""),12.689636)</f>
        <v>12.689636</v>
      </c>
      <c r="E18534" s="4">
        <f>IFERROR(__xludf.DUMMYFUNCTION("""COMPUTED_VALUE"""),79.982305)</f>
        <v>79.982305</v>
      </c>
      <c r="F18534" s="4">
        <f>IFERROR(__xludf.DUMMYFUNCTION("""COMPUTED_VALUE"""),2846.0)</f>
        <v>2846</v>
      </c>
      <c r="G18534" s="4">
        <f>IFERROR(__xludf.DUMMYFUNCTION("""COMPUTED_VALUE"""),40.0)</f>
        <v>40</v>
      </c>
      <c r="H18534" s="4"/>
      <c r="I18534" s="4"/>
    </row>
    <row r="18535">
      <c r="A18535" s="4" t="str">
        <f>IFERROR(__xludf.DUMMYFUNCTION("""COMPUTED_VALUE"""),"cas_hmw")</f>
        <v>cas_hmw</v>
      </c>
      <c r="B18535" s="5">
        <f>IFERROR(__xludf.DUMMYFUNCTION("""COMPUTED_VALUE"""),44775.0)</f>
        <v>44775</v>
      </c>
      <c r="C18535" s="6">
        <f>IFERROR(__xludf.DUMMYFUNCTION("""COMPUTED_VALUE"""),0.3203587962962047)</f>
        <v>0.3203587963</v>
      </c>
      <c r="D18535" s="4">
        <f>IFERROR(__xludf.DUMMYFUNCTION("""COMPUTED_VALUE"""),13.02359)</f>
        <v>13.02359</v>
      </c>
      <c r="E18535" s="4">
        <f>IFERROR(__xludf.DUMMYFUNCTION("""COMPUTED_VALUE"""),80.227804)</f>
        <v>80.227804</v>
      </c>
      <c r="F18535" s="4">
        <f>IFERROR(__xludf.DUMMYFUNCTION("""COMPUTED_VALUE"""),5339.0)</f>
        <v>5339</v>
      </c>
      <c r="G18535" s="4">
        <f>IFERROR(__xludf.DUMMYFUNCTION("""COMPUTED_VALUE"""),35.0)</f>
        <v>35</v>
      </c>
      <c r="H18535" s="4"/>
      <c r="I18535" s="4"/>
    </row>
    <row r="18536">
      <c r="A18536" s="4" t="str">
        <f>IFERROR(__xludf.DUMMYFUNCTION("""COMPUTED_VALUE"""),"cas_hmw")</f>
        <v>cas_hmw</v>
      </c>
      <c r="B18536" s="5">
        <f>IFERROR(__xludf.DUMMYFUNCTION("""COMPUTED_VALUE"""),44775.0)</f>
        <v>44775</v>
      </c>
      <c r="C18536" s="6">
        <f>IFERROR(__xludf.DUMMYFUNCTION("""COMPUTED_VALUE"""),0.3213657407395658)</f>
        <v>0.3213657407</v>
      </c>
      <c r="D18536" s="4">
        <f>IFERROR(__xludf.DUMMYFUNCTION("""COMPUTED_VALUE"""),13.016182)</f>
        <v>13.016182</v>
      </c>
      <c r="E18536" s="4">
        <f>IFERROR(__xludf.DUMMYFUNCTION("""COMPUTED_VALUE"""),80.225581)</f>
        <v>80.225581</v>
      </c>
      <c r="F18536" s="4">
        <f>IFERROR(__xludf.DUMMYFUNCTION("""COMPUTED_VALUE"""),5339.0)</f>
        <v>5339</v>
      </c>
      <c r="G18536" s="4">
        <f>IFERROR(__xludf.DUMMYFUNCTION("""COMPUTED_VALUE"""),36.0)</f>
        <v>36</v>
      </c>
      <c r="H18536" s="4"/>
      <c r="I18536" s="4"/>
    </row>
    <row r="18537">
      <c r="A18537" s="4" t="str">
        <f>IFERROR(__xludf.DUMMYFUNCTION("""COMPUTED_VALUE"""),"cas_hmw")</f>
        <v>cas_hmw</v>
      </c>
      <c r="B18537" s="5">
        <f>IFERROR(__xludf.DUMMYFUNCTION("""COMPUTED_VALUE"""),44775.0)</f>
        <v>44775</v>
      </c>
      <c r="C18537" s="6">
        <f>IFERROR(__xludf.DUMMYFUNCTION("""COMPUTED_VALUE"""),0.3224189814827696)</f>
        <v>0.3224189815</v>
      </c>
      <c r="D18537" s="4">
        <f>IFERROR(__xludf.DUMMYFUNCTION("""COMPUTED_VALUE"""),12.692005)</f>
        <v>12.692005</v>
      </c>
      <c r="E18537" s="4">
        <f>IFERROR(__xludf.DUMMYFUNCTION("""COMPUTED_VALUE"""),79.980144)</f>
        <v>79.980144</v>
      </c>
      <c r="F18537" s="4">
        <f>IFERROR(__xludf.DUMMYFUNCTION("""COMPUTED_VALUE"""),2846.0)</f>
        <v>2846</v>
      </c>
      <c r="G18537" s="4">
        <f>IFERROR(__xludf.DUMMYFUNCTION("""COMPUTED_VALUE"""),24.0)</f>
        <v>24</v>
      </c>
      <c r="H18537" s="4"/>
      <c r="I18537" s="4"/>
    </row>
    <row r="18538">
      <c r="A18538" s="4" t="str">
        <f>IFERROR(__xludf.DUMMYFUNCTION("""COMPUTED_VALUE"""),"cas_hmw")</f>
        <v>cas_hmw</v>
      </c>
      <c r="B18538" s="5">
        <f>IFERROR(__xludf.DUMMYFUNCTION("""COMPUTED_VALUE"""),44775.0)</f>
        <v>44775</v>
      </c>
      <c r="C18538" s="6">
        <f>IFERROR(__xludf.DUMMYFUNCTION("""COMPUTED_VALUE"""),0.32243055555591127)</f>
        <v>0.3224305556</v>
      </c>
      <c r="D18538" s="4">
        <f>IFERROR(__xludf.DUMMYFUNCTION("""COMPUTED_VALUE"""),12.692005)</f>
        <v>12.692005</v>
      </c>
      <c r="E18538" s="4">
        <f>IFERROR(__xludf.DUMMYFUNCTION("""COMPUTED_VALUE"""),79.980144)</f>
        <v>79.980144</v>
      </c>
      <c r="F18538" s="4">
        <f>IFERROR(__xludf.DUMMYFUNCTION("""COMPUTED_VALUE"""),2846.0)</f>
        <v>2846</v>
      </c>
      <c r="G18538" s="4">
        <f>IFERROR(__xludf.DUMMYFUNCTION("""COMPUTED_VALUE"""),24.0)</f>
        <v>24</v>
      </c>
      <c r="H18538" s="4"/>
      <c r="I18538" s="4"/>
    </row>
    <row r="18539">
      <c r="A18539" s="4" t="str">
        <f>IFERROR(__xludf.DUMMYFUNCTION("""COMPUTED_VALUE"""),"cas_hmw")</f>
        <v>cas_hmw</v>
      </c>
      <c r="B18539" s="5">
        <f>IFERROR(__xludf.DUMMYFUNCTION("""COMPUTED_VALUE"""),44775.0)</f>
        <v>44775</v>
      </c>
      <c r="C18539" s="6">
        <f>IFERROR(__xludf.DUMMYFUNCTION("""COMPUTED_VALUE"""),0.32261574074072996)</f>
        <v>0.3226157407</v>
      </c>
      <c r="D18539" s="4">
        <f>IFERROR(__xludf.DUMMYFUNCTION("""COMPUTED_VALUE"""),12.693327)</f>
        <v>12.693327</v>
      </c>
      <c r="E18539" s="4">
        <f>IFERROR(__xludf.DUMMYFUNCTION("""COMPUTED_VALUE"""),79.979445)</f>
        <v>79.979445</v>
      </c>
      <c r="F18539" s="4">
        <f>IFERROR(__xludf.DUMMYFUNCTION("""COMPUTED_VALUE"""),2846.0)</f>
        <v>2846</v>
      </c>
      <c r="G18539" s="4">
        <f>IFERROR(__xludf.DUMMYFUNCTION("""COMPUTED_VALUE"""),33.0)</f>
        <v>33</v>
      </c>
      <c r="H18539" s="4"/>
      <c r="I18539" s="4"/>
    </row>
    <row r="18540">
      <c r="A18540" s="4" t="str">
        <f>IFERROR(__xludf.DUMMYFUNCTION("""COMPUTED_VALUE"""),"cas_hmw")</f>
        <v>cas_hmw</v>
      </c>
      <c r="B18540" s="5">
        <f>IFERROR(__xludf.DUMMYFUNCTION("""COMPUTED_VALUE"""),44775.0)</f>
        <v>44775</v>
      </c>
      <c r="C18540" s="6">
        <f>IFERROR(__xludf.DUMMYFUNCTION("""COMPUTED_VALUE"""),0.32317129629518604)</f>
        <v>0.3231712963</v>
      </c>
      <c r="D18540" s="4">
        <f>IFERROR(__xludf.DUMMYFUNCTION("""COMPUTED_VALUE"""),13.006418)</f>
        <v>13.006418</v>
      </c>
      <c r="E18540" s="4">
        <f>IFERROR(__xludf.DUMMYFUNCTION("""COMPUTED_VALUE"""),80.256906)</f>
        <v>80.256906</v>
      </c>
      <c r="F18540" s="4">
        <f>IFERROR(__xludf.DUMMYFUNCTION("""COMPUTED_VALUE"""),3143.0)</f>
        <v>3143</v>
      </c>
      <c r="G18540" s="4">
        <f>IFERROR(__xludf.DUMMYFUNCTION("""COMPUTED_VALUE"""),23.0)</f>
        <v>23</v>
      </c>
      <c r="H18540" s="4"/>
      <c r="I18540" s="4"/>
    </row>
    <row r="18541">
      <c r="A18541" s="4" t="str">
        <f>IFERROR(__xludf.DUMMYFUNCTION("""COMPUTED_VALUE"""),"cas_hmw")</f>
        <v>cas_hmw</v>
      </c>
      <c r="B18541" s="5">
        <f>IFERROR(__xludf.DUMMYFUNCTION("""COMPUTED_VALUE"""),44775.0)</f>
        <v>44775</v>
      </c>
      <c r="C18541" s="6">
        <f>IFERROR(__xludf.DUMMYFUNCTION("""COMPUTED_VALUE"""),0.32331018518380006)</f>
        <v>0.3233101852</v>
      </c>
      <c r="D18541" s="4">
        <f>IFERROR(__xludf.DUMMYFUNCTION("""COMPUTED_VALUE"""),13.011677)</f>
        <v>13.011677</v>
      </c>
      <c r="E18541" s="4">
        <f>IFERROR(__xludf.DUMMYFUNCTION("""COMPUTED_VALUE"""),80.219359)</f>
        <v>80.219359</v>
      </c>
      <c r="F18541" s="4">
        <f>IFERROR(__xludf.DUMMYFUNCTION("""COMPUTED_VALUE"""),5339.0)</f>
        <v>5339</v>
      </c>
      <c r="G18541" s="4">
        <f>IFERROR(__xludf.DUMMYFUNCTION("""COMPUTED_VALUE"""),44.0)</f>
        <v>44</v>
      </c>
      <c r="H18541" s="4"/>
      <c r="I18541" s="4"/>
    </row>
    <row r="18542">
      <c r="A18542" s="4" t="str">
        <f>IFERROR(__xludf.DUMMYFUNCTION("""COMPUTED_VALUE"""),"cas_hmw")</f>
        <v>cas_hmw</v>
      </c>
      <c r="B18542" s="5">
        <f>IFERROR(__xludf.DUMMYFUNCTION("""COMPUTED_VALUE"""),44775.0)</f>
        <v>44775</v>
      </c>
      <c r="C18542" s="6">
        <f>IFERROR(__xludf.DUMMYFUNCTION("""COMPUTED_VALUE"""),0.3236458333340124)</f>
        <v>0.3236458333</v>
      </c>
      <c r="D18542" s="4">
        <f>IFERROR(__xludf.DUMMYFUNCTION("""COMPUTED_VALUE"""),13.006516)</f>
        <v>13.006516</v>
      </c>
      <c r="E18542" s="4">
        <f>IFERROR(__xludf.DUMMYFUNCTION("""COMPUTED_VALUE"""),80.252578)</f>
        <v>80.252578</v>
      </c>
      <c r="F18542" s="4">
        <f>IFERROR(__xludf.DUMMYFUNCTION("""COMPUTED_VALUE"""),3143.0)</f>
        <v>3143</v>
      </c>
      <c r="G18542" s="4">
        <f>IFERROR(__xludf.DUMMYFUNCTION("""COMPUTED_VALUE"""),50.0)</f>
        <v>50</v>
      </c>
      <c r="H18542" s="4"/>
      <c r="I18542" s="4"/>
    </row>
    <row r="18543">
      <c r="A18543" s="4" t="str">
        <f>IFERROR(__xludf.DUMMYFUNCTION("""COMPUTED_VALUE"""),"cas_hmw")</f>
        <v>cas_hmw</v>
      </c>
      <c r="B18543" s="5">
        <f>IFERROR(__xludf.DUMMYFUNCTION("""COMPUTED_VALUE"""),44775.0)</f>
        <v>44775</v>
      </c>
      <c r="C18543" s="6">
        <f>IFERROR(__xludf.DUMMYFUNCTION("""COMPUTED_VALUE"""),0.3241550925922638)</f>
        <v>0.3241550926</v>
      </c>
      <c r="D18543" s="4">
        <f>IFERROR(__xludf.DUMMYFUNCTION("""COMPUTED_VALUE"""),12.697483)</f>
        <v>12.697483</v>
      </c>
      <c r="E18543" s="4">
        <f>IFERROR(__xludf.DUMMYFUNCTION("""COMPUTED_VALUE"""),79.974535)</f>
        <v>79.974535</v>
      </c>
      <c r="F18543" s="4">
        <f>IFERROR(__xludf.DUMMYFUNCTION("""COMPUTED_VALUE"""),2846.0)</f>
        <v>2846</v>
      </c>
      <c r="G18543" s="4">
        <f>IFERROR(__xludf.DUMMYFUNCTION("""COMPUTED_VALUE"""),34.0)</f>
        <v>34</v>
      </c>
      <c r="H18543" s="4"/>
      <c r="I18543" s="4"/>
    </row>
    <row r="18544">
      <c r="A18544" s="4" t="str">
        <f>IFERROR(__xludf.DUMMYFUNCTION("""COMPUTED_VALUE"""),"cas_hmw")</f>
        <v>cas_hmw</v>
      </c>
      <c r="B18544" s="5">
        <f>IFERROR(__xludf.DUMMYFUNCTION("""COMPUTED_VALUE"""),44775.0)</f>
        <v>44775</v>
      </c>
      <c r="C18544" s="6">
        <f>IFERROR(__xludf.DUMMYFUNCTION("""COMPUTED_VALUE"""),0.3242013888884685)</f>
        <v>0.3242013889</v>
      </c>
      <c r="D18544" s="4">
        <f>IFERROR(__xludf.DUMMYFUNCTION("""COMPUTED_VALUE"""),12.697483)</f>
        <v>12.697483</v>
      </c>
      <c r="E18544" s="4">
        <f>IFERROR(__xludf.DUMMYFUNCTION("""COMPUTED_VALUE"""),79.974535)</f>
        <v>79.974535</v>
      </c>
      <c r="F18544" s="4">
        <f>IFERROR(__xludf.DUMMYFUNCTION("""COMPUTED_VALUE"""),2846.0)</f>
        <v>2846</v>
      </c>
      <c r="G18544" s="4">
        <f>IFERROR(__xludf.DUMMYFUNCTION("""COMPUTED_VALUE"""),34.0)</f>
        <v>34</v>
      </c>
      <c r="H18544" s="4"/>
      <c r="I18544" s="4"/>
    </row>
    <row r="18545">
      <c r="A18545" s="4" t="str">
        <f>IFERROR(__xludf.DUMMYFUNCTION("""COMPUTED_VALUE"""),"cas_hmw")</f>
        <v>cas_hmw</v>
      </c>
      <c r="B18545" s="5">
        <f>IFERROR(__xludf.DUMMYFUNCTION("""COMPUTED_VALUE"""),44775.0)</f>
        <v>44775</v>
      </c>
      <c r="C18545" s="6">
        <f>IFERROR(__xludf.DUMMYFUNCTION("""COMPUTED_VALUE"""),0.3242129629616102)</f>
        <v>0.324212963</v>
      </c>
      <c r="D18545" s="4">
        <f>IFERROR(__xludf.DUMMYFUNCTION("""COMPUTED_VALUE"""),12.697483)</f>
        <v>12.697483</v>
      </c>
      <c r="E18545" s="4">
        <f>IFERROR(__xludf.DUMMYFUNCTION("""COMPUTED_VALUE"""),79.974535)</f>
        <v>79.974535</v>
      </c>
      <c r="F18545" s="4">
        <f>IFERROR(__xludf.DUMMYFUNCTION("""COMPUTED_VALUE"""),2846.0)</f>
        <v>2846</v>
      </c>
      <c r="G18545" s="4">
        <f>IFERROR(__xludf.DUMMYFUNCTION("""COMPUTED_VALUE"""),34.0)</f>
        <v>34</v>
      </c>
      <c r="H18545" s="4"/>
      <c r="I18545" s="4"/>
    </row>
    <row r="18546">
      <c r="A18546" s="4" t="str">
        <f>IFERROR(__xludf.DUMMYFUNCTION("""COMPUTED_VALUE"""),"cas_hmw")</f>
        <v>cas_hmw</v>
      </c>
      <c r="B18546" s="5">
        <f>IFERROR(__xludf.DUMMYFUNCTION("""COMPUTED_VALUE"""),44775.0)</f>
        <v>44775</v>
      </c>
      <c r="C18546" s="6">
        <f>IFERROR(__xludf.DUMMYFUNCTION("""COMPUTED_VALUE"""),0.3242245370383898)</f>
        <v>0.324224537</v>
      </c>
      <c r="D18546" s="4">
        <f>IFERROR(__xludf.DUMMYFUNCTION("""COMPUTED_VALUE"""),12.697483)</f>
        <v>12.697483</v>
      </c>
      <c r="E18546" s="4">
        <f>IFERROR(__xludf.DUMMYFUNCTION("""COMPUTED_VALUE"""),79.974535)</f>
        <v>79.974535</v>
      </c>
      <c r="F18546" s="4">
        <f>IFERROR(__xludf.DUMMYFUNCTION("""COMPUTED_VALUE"""),2846.0)</f>
        <v>2846</v>
      </c>
      <c r="G18546" s="4">
        <f>IFERROR(__xludf.DUMMYFUNCTION("""COMPUTED_VALUE"""),34.0)</f>
        <v>34</v>
      </c>
      <c r="H18546" s="4"/>
      <c r="I18546" s="4"/>
    </row>
    <row r="18547">
      <c r="A18547" s="4" t="str">
        <f>IFERROR(__xludf.DUMMYFUNCTION("""COMPUTED_VALUE"""),"cas_hmw")</f>
        <v>cas_hmw</v>
      </c>
      <c r="B18547" s="5">
        <f>IFERROR(__xludf.DUMMYFUNCTION("""COMPUTED_VALUE"""),44775.0)</f>
        <v>44775</v>
      </c>
      <c r="C18547" s="6">
        <f>IFERROR(__xludf.DUMMYFUNCTION("""COMPUTED_VALUE"""),0.3242245370383898)</f>
        <v>0.324224537</v>
      </c>
      <c r="D18547" s="4">
        <f>IFERROR(__xludf.DUMMYFUNCTION("""COMPUTED_VALUE"""),12.697483)</f>
        <v>12.697483</v>
      </c>
      <c r="E18547" s="4">
        <f>IFERROR(__xludf.DUMMYFUNCTION("""COMPUTED_VALUE"""),79.974535)</f>
        <v>79.974535</v>
      </c>
      <c r="F18547" s="4">
        <f>IFERROR(__xludf.DUMMYFUNCTION("""COMPUTED_VALUE"""),2846.0)</f>
        <v>2846</v>
      </c>
      <c r="G18547" s="4">
        <f>IFERROR(__xludf.DUMMYFUNCTION("""COMPUTED_VALUE"""),34.0)</f>
        <v>34</v>
      </c>
      <c r="H18547" s="4"/>
      <c r="I18547" s="4"/>
    </row>
    <row r="18548">
      <c r="A18548" s="4" t="str">
        <f>IFERROR(__xludf.DUMMYFUNCTION("""COMPUTED_VALUE"""),"cas_hmw")</f>
        <v>cas_hmw</v>
      </c>
      <c r="B18548" s="5">
        <f>IFERROR(__xludf.DUMMYFUNCTION("""COMPUTED_VALUE"""),44775.0)</f>
        <v>44775</v>
      </c>
      <c r="C18548" s="6">
        <f>IFERROR(__xludf.DUMMYFUNCTION("""COMPUTED_VALUE"""),0.3242476851846732)</f>
        <v>0.3242476852</v>
      </c>
      <c r="D18548" s="4">
        <f>IFERROR(__xludf.DUMMYFUNCTION("""COMPUTED_VALUE"""),12.697321)</f>
        <v>12.697321</v>
      </c>
      <c r="E18548" s="4">
        <f>IFERROR(__xludf.DUMMYFUNCTION("""COMPUTED_VALUE"""),79.97369)</f>
        <v>79.97369</v>
      </c>
      <c r="F18548" s="4">
        <f>IFERROR(__xludf.DUMMYFUNCTION("""COMPUTED_VALUE"""),2846.0)</f>
        <v>2846</v>
      </c>
      <c r="G18548" s="4">
        <f>IFERROR(__xludf.DUMMYFUNCTION("""COMPUTED_VALUE"""),27.0)</f>
        <v>27</v>
      </c>
      <c r="H18548" s="4"/>
      <c r="I18548" s="4"/>
    </row>
    <row r="18549">
      <c r="A18549" s="4" t="str">
        <f>IFERROR(__xludf.DUMMYFUNCTION("""COMPUTED_VALUE"""),"cas_hmw")</f>
        <v>cas_hmw</v>
      </c>
      <c r="B18549" s="5">
        <f>IFERROR(__xludf.DUMMYFUNCTION("""COMPUTED_VALUE"""),44775.0)</f>
        <v>44775</v>
      </c>
      <c r="C18549" s="6">
        <f>IFERROR(__xludf.DUMMYFUNCTION("""COMPUTED_VALUE"""),0.32461805555431056)</f>
        <v>0.3246180556</v>
      </c>
      <c r="D18549" s="4">
        <f>IFERROR(__xludf.DUMMYFUNCTION("""COMPUTED_VALUE"""),13.006698)</f>
        <v>13.006698</v>
      </c>
      <c r="E18549" s="4">
        <f>IFERROR(__xludf.DUMMYFUNCTION("""COMPUTED_VALUE"""),80.246141)</f>
        <v>80.246141</v>
      </c>
      <c r="F18549" s="4">
        <f>IFERROR(__xludf.DUMMYFUNCTION("""COMPUTED_VALUE"""),3143.0)</f>
        <v>3143</v>
      </c>
      <c r="G18549" s="4">
        <f>IFERROR(__xludf.DUMMYFUNCTION("""COMPUTED_VALUE"""),37.0)</f>
        <v>37</v>
      </c>
      <c r="H18549" s="4"/>
      <c r="I18549" s="4"/>
    </row>
    <row r="18550">
      <c r="A18550" s="4" t="str">
        <f>IFERROR(__xludf.DUMMYFUNCTION("""COMPUTED_VALUE"""),"cas_hmw")</f>
        <v>cas_hmw</v>
      </c>
      <c r="B18550" s="5">
        <f>IFERROR(__xludf.DUMMYFUNCTION("""COMPUTED_VALUE"""),44775.0)</f>
        <v>44775</v>
      </c>
      <c r="C18550" s="6">
        <f>IFERROR(__xludf.DUMMYFUNCTION("""COMPUTED_VALUE"""),0.32466435185051523)</f>
        <v>0.3246643519</v>
      </c>
      <c r="D18550" s="4">
        <f>IFERROR(__xludf.DUMMYFUNCTION("""COMPUTED_VALUE"""),12.697224)</f>
        <v>12.697224</v>
      </c>
      <c r="E18550" s="4">
        <f>IFERROR(__xludf.DUMMYFUNCTION("""COMPUTED_VALUE"""),79.972482)</f>
        <v>79.972482</v>
      </c>
      <c r="F18550" s="4">
        <f>IFERROR(__xludf.DUMMYFUNCTION("""COMPUTED_VALUE"""),2846.0)</f>
        <v>2846</v>
      </c>
      <c r="G18550" s="4">
        <f>IFERROR(__xludf.DUMMYFUNCTION("""COMPUTED_VALUE"""),13.0)</f>
        <v>13</v>
      </c>
      <c r="H18550" s="4"/>
      <c r="I18550" s="4"/>
    </row>
    <row r="18551">
      <c r="A18551" s="4" t="str">
        <f>IFERROR(__xludf.DUMMYFUNCTION("""COMPUTED_VALUE"""),"cas_hmw")</f>
        <v>cas_hmw</v>
      </c>
      <c r="B18551" s="5">
        <f>IFERROR(__xludf.DUMMYFUNCTION("""COMPUTED_VALUE"""),44775.0)</f>
        <v>44775</v>
      </c>
      <c r="C18551" s="6">
        <f>IFERROR(__xludf.DUMMYFUNCTION("""COMPUTED_VALUE"""),0.3270254629642295)</f>
        <v>0.327025463</v>
      </c>
      <c r="D18551" s="4">
        <f>IFERROR(__xludf.DUMMYFUNCTION("""COMPUTED_VALUE"""),13.010285)</f>
        <v>13.010285</v>
      </c>
      <c r="E18551" s="4">
        <f>IFERROR(__xludf.DUMMYFUNCTION("""COMPUTED_VALUE"""),80.22583)</f>
        <v>80.22583</v>
      </c>
      <c r="F18551" s="4">
        <f>IFERROR(__xludf.DUMMYFUNCTION("""COMPUTED_VALUE"""),3143.0)</f>
        <v>3143</v>
      </c>
      <c r="G18551" s="4">
        <f>IFERROR(__xludf.DUMMYFUNCTION("""COMPUTED_VALUE"""),46.0)</f>
        <v>46</v>
      </c>
      <c r="H18551" s="4"/>
      <c r="I18551" s="4"/>
    </row>
    <row r="18552">
      <c r="A18552" s="4" t="str">
        <f>IFERROR(__xludf.DUMMYFUNCTION("""COMPUTED_VALUE"""),"cas_hmw")</f>
        <v>cas_hmw</v>
      </c>
      <c r="B18552" s="5">
        <f>IFERROR(__xludf.DUMMYFUNCTION("""COMPUTED_VALUE"""),44775.0)</f>
        <v>44775</v>
      </c>
      <c r="C18552" s="6">
        <f>IFERROR(__xludf.DUMMYFUNCTION("""COMPUTED_VALUE"""),0.32728009259153623)</f>
        <v>0.3272800926</v>
      </c>
      <c r="D18552" s="4">
        <f>IFERROR(__xludf.DUMMYFUNCTION("""COMPUTED_VALUE"""),13.000318)</f>
        <v>13.000318</v>
      </c>
      <c r="E18552" s="4">
        <f>IFERROR(__xludf.DUMMYFUNCTION("""COMPUTED_VALUE"""),80.194632)</f>
        <v>80.194632</v>
      </c>
      <c r="F18552" s="4">
        <f>IFERROR(__xludf.DUMMYFUNCTION("""COMPUTED_VALUE"""),5339.0)</f>
        <v>5339</v>
      </c>
      <c r="G18552" s="4">
        <f>IFERROR(__xludf.DUMMYFUNCTION("""COMPUTED_VALUE"""),46.0)</f>
        <v>46</v>
      </c>
      <c r="H18552" s="4"/>
      <c r="I18552" s="4"/>
    </row>
    <row r="18553">
      <c r="A18553" s="4" t="str">
        <f>IFERROR(__xludf.DUMMYFUNCTION("""COMPUTED_VALUE"""),"cas_hmw")</f>
        <v>cas_hmw</v>
      </c>
      <c r="B18553" s="5">
        <f>IFERROR(__xludf.DUMMYFUNCTION("""COMPUTED_VALUE"""),44775.0)</f>
        <v>44775</v>
      </c>
      <c r="C18553" s="6">
        <f>IFERROR(__xludf.DUMMYFUNCTION("""COMPUTED_VALUE"""),0.3274999999994179)</f>
        <v>0.3275</v>
      </c>
      <c r="D18553" s="4">
        <f>IFERROR(__xludf.DUMMYFUNCTION("""COMPUTED_VALUE"""),12.999042)</f>
        <v>12.999042</v>
      </c>
      <c r="E18553" s="4">
        <f>IFERROR(__xludf.DUMMYFUNCTION("""COMPUTED_VALUE"""),80.192983)</f>
        <v>80.192983</v>
      </c>
      <c r="F18553" s="4">
        <f>IFERROR(__xludf.DUMMYFUNCTION("""COMPUTED_VALUE"""),5339.0)</f>
        <v>5339</v>
      </c>
      <c r="G18553" s="4">
        <f>IFERROR(__xludf.DUMMYFUNCTION("""COMPUTED_VALUE"""),34.0)</f>
        <v>34</v>
      </c>
      <c r="H18553" s="4"/>
      <c r="I18553" s="4"/>
    </row>
    <row r="18554">
      <c r="A18554" s="4" t="str">
        <f>IFERROR(__xludf.DUMMYFUNCTION("""COMPUTED_VALUE"""),"cas_hmw")</f>
        <v>cas_hmw</v>
      </c>
      <c r="B18554" s="5">
        <f>IFERROR(__xludf.DUMMYFUNCTION("""COMPUTED_VALUE"""),44775.0)</f>
        <v>44775</v>
      </c>
      <c r="C18554" s="6">
        <f>IFERROR(__xludf.DUMMYFUNCTION("""COMPUTED_VALUE"""),0.3276851851842366)</f>
        <v>0.3276851852</v>
      </c>
      <c r="D18554" s="4">
        <f>IFERROR(__xludf.DUMMYFUNCTION("""COMPUTED_VALUE"""),13.012177)</f>
        <v>13.012177</v>
      </c>
      <c r="E18554" s="4">
        <f>IFERROR(__xludf.DUMMYFUNCTION("""COMPUTED_VALUE"""),80.221065)</f>
        <v>80.221065</v>
      </c>
      <c r="F18554" s="4">
        <f>IFERROR(__xludf.DUMMYFUNCTION("""COMPUTED_VALUE"""),3143.0)</f>
        <v>3143</v>
      </c>
      <c r="G18554" s="4">
        <f>IFERROR(__xludf.DUMMYFUNCTION("""COMPUTED_VALUE"""),22.0)</f>
        <v>22</v>
      </c>
      <c r="H18554" s="4"/>
      <c r="I18554" s="4"/>
    </row>
    <row r="18555">
      <c r="A18555" s="4" t="str">
        <f>IFERROR(__xludf.DUMMYFUNCTION("""COMPUTED_VALUE"""),"cas_hmw")</f>
        <v>cas_hmw</v>
      </c>
      <c r="B18555" s="5">
        <f>IFERROR(__xludf.DUMMYFUNCTION("""COMPUTED_VALUE"""),44775.0)</f>
        <v>44775</v>
      </c>
      <c r="C18555" s="6">
        <f>IFERROR(__xludf.DUMMYFUNCTION("""COMPUTED_VALUE"""),0.3278356481496303)</f>
        <v>0.3278356481</v>
      </c>
      <c r="D18555" s="4">
        <f>IFERROR(__xludf.DUMMYFUNCTION("""COMPUTED_VALUE"""),13.011976)</f>
        <v>13.011976</v>
      </c>
      <c r="E18555" s="4">
        <f>IFERROR(__xludf.DUMMYFUNCTION("""COMPUTED_VALUE"""),80.220331)</f>
        <v>80.220331</v>
      </c>
      <c r="F18555" s="4">
        <f>IFERROR(__xludf.DUMMYFUNCTION("""COMPUTED_VALUE"""),3143.0)</f>
        <v>3143</v>
      </c>
      <c r="G18555" s="4">
        <f>IFERROR(__xludf.DUMMYFUNCTION("""COMPUTED_VALUE"""),33.0)</f>
        <v>33</v>
      </c>
      <c r="H18555" s="4"/>
      <c r="I18555" s="4"/>
    </row>
    <row r="18556">
      <c r="A18556" s="4" t="str">
        <f>IFERROR(__xludf.DUMMYFUNCTION("""COMPUTED_VALUE"""),"cas_hmw")</f>
        <v>cas_hmw</v>
      </c>
      <c r="B18556" s="5">
        <f>IFERROR(__xludf.DUMMYFUNCTION("""COMPUTED_VALUE"""),44775.0)</f>
        <v>44775</v>
      </c>
      <c r="C18556" s="6">
        <f>IFERROR(__xludf.DUMMYFUNCTION("""COMPUTED_VALUE"""),0.32791666666526)</f>
        <v>0.3279166667</v>
      </c>
      <c r="D18556" s="4">
        <f>IFERROR(__xludf.DUMMYFUNCTION("""COMPUTED_VALUE"""),13.011637)</f>
        <v>13.011637</v>
      </c>
      <c r="E18556" s="4">
        <f>IFERROR(__xludf.DUMMYFUNCTION("""COMPUTED_VALUE"""),80.219286)</f>
        <v>80.219286</v>
      </c>
      <c r="F18556" s="4">
        <f>IFERROR(__xludf.DUMMYFUNCTION("""COMPUTED_VALUE"""),3143.0)</f>
        <v>3143</v>
      </c>
      <c r="G18556" s="4">
        <f>IFERROR(__xludf.DUMMYFUNCTION("""COMPUTED_VALUE"""),43.0)</f>
        <v>43</v>
      </c>
      <c r="H18556" s="4"/>
      <c r="I18556" s="4"/>
    </row>
    <row r="18557">
      <c r="A18557" s="4" t="str">
        <f>IFERROR(__xludf.DUMMYFUNCTION("""COMPUTED_VALUE"""),"cas_hmw")</f>
        <v>cas_hmw</v>
      </c>
      <c r="B18557" s="5">
        <f>IFERROR(__xludf.DUMMYFUNCTION("""COMPUTED_VALUE"""),44775.0)</f>
        <v>44775</v>
      </c>
      <c r="C18557" s="6">
        <f>IFERROR(__xludf.DUMMYFUNCTION("""COMPUTED_VALUE"""),0.32800925925766933)</f>
        <v>0.3280092593</v>
      </c>
      <c r="D18557" s="4">
        <f>IFERROR(__xludf.DUMMYFUNCTION("""COMPUTED_VALUE"""),12.996501)</f>
        <v>12.996501</v>
      </c>
      <c r="E18557" s="4">
        <f>IFERROR(__xludf.DUMMYFUNCTION("""COMPUTED_VALUE"""),80.189832)</f>
        <v>80.189832</v>
      </c>
      <c r="F18557" s="4">
        <f>IFERROR(__xludf.DUMMYFUNCTION("""COMPUTED_VALUE"""),5339.0)</f>
        <v>5339</v>
      </c>
      <c r="G18557" s="4">
        <f>IFERROR(__xludf.DUMMYFUNCTION("""COMPUTED_VALUE"""),47.0)</f>
        <v>47</v>
      </c>
      <c r="H18557" s="4"/>
      <c r="I18557" s="4"/>
    </row>
    <row r="18558">
      <c r="A18558" s="4" t="str">
        <f>IFERROR(__xludf.DUMMYFUNCTION("""COMPUTED_VALUE"""),"cas_hmw")</f>
        <v>cas_hmw</v>
      </c>
      <c r="B18558" s="5">
        <f>IFERROR(__xludf.DUMMYFUNCTION("""COMPUTED_VALUE"""),44775.0)</f>
        <v>44775</v>
      </c>
      <c r="C18558" s="6">
        <f>IFERROR(__xludf.DUMMYFUNCTION("""COMPUTED_VALUE"""),0.328090277776937)</f>
        <v>0.3280902778</v>
      </c>
      <c r="D18558" s="4">
        <f>IFERROR(__xludf.DUMMYFUNCTION("""COMPUTED_VALUE"""),12.995737)</f>
        <v>12.995737</v>
      </c>
      <c r="E18558" s="4">
        <f>IFERROR(__xludf.DUMMYFUNCTION("""COMPUTED_VALUE"""),80.188892)</f>
        <v>80.188892</v>
      </c>
      <c r="F18558" s="4">
        <f>IFERROR(__xludf.DUMMYFUNCTION("""COMPUTED_VALUE"""),5339.0)</f>
        <v>5339</v>
      </c>
      <c r="G18558" s="4">
        <f>IFERROR(__xludf.DUMMYFUNCTION("""COMPUTED_VALUE"""),49.0)</f>
        <v>49</v>
      </c>
      <c r="H18558" s="4"/>
      <c r="I18558" s="4"/>
    </row>
    <row r="18559">
      <c r="A18559" s="4" t="str">
        <f>IFERROR(__xludf.DUMMYFUNCTION("""COMPUTED_VALUE"""),"cas_hmw")</f>
        <v>cas_hmw</v>
      </c>
      <c r="B18559" s="5">
        <f>IFERROR(__xludf.DUMMYFUNCTION("""COMPUTED_VALUE"""),44775.0)</f>
        <v>44775</v>
      </c>
      <c r="C18559" s="6">
        <f>IFERROR(__xludf.DUMMYFUNCTION("""COMPUTED_VALUE"""),0.3282754629617557)</f>
        <v>0.328275463</v>
      </c>
      <c r="D18559" s="4">
        <f>IFERROR(__xludf.DUMMYFUNCTION("""COMPUTED_VALUE"""),13.010274)</f>
        <v>13.010274</v>
      </c>
      <c r="E18559" s="4">
        <f>IFERROR(__xludf.DUMMYFUNCTION("""COMPUTED_VALUE"""),80.215869)</f>
        <v>80.215869</v>
      </c>
      <c r="F18559" s="4">
        <f>IFERROR(__xludf.DUMMYFUNCTION("""COMPUTED_VALUE"""),3143.0)</f>
        <v>3143</v>
      </c>
      <c r="G18559" s="4">
        <f>IFERROR(__xludf.DUMMYFUNCTION("""COMPUTED_VALUE"""),49.0)</f>
        <v>49</v>
      </c>
      <c r="H18559" s="4"/>
      <c r="I18559" s="4"/>
    </row>
    <row r="18560">
      <c r="A18560" s="4" t="str">
        <f>IFERROR(__xludf.DUMMYFUNCTION("""COMPUTED_VALUE"""),"cas_hmw")</f>
        <v>cas_hmw</v>
      </c>
      <c r="B18560" s="5">
        <f>IFERROR(__xludf.DUMMYFUNCTION("""COMPUTED_VALUE"""),44775.0)</f>
        <v>44775</v>
      </c>
      <c r="C18560" s="6">
        <f>IFERROR(__xludf.DUMMYFUNCTION("""COMPUTED_VALUE"""),0.32832175925796037)</f>
        <v>0.3283217593</v>
      </c>
      <c r="D18560" s="4">
        <f>IFERROR(__xludf.DUMMYFUNCTION("""COMPUTED_VALUE"""),13.010274)</f>
        <v>13.010274</v>
      </c>
      <c r="E18560" s="4">
        <f>IFERROR(__xludf.DUMMYFUNCTION("""COMPUTED_VALUE"""),80.215869)</f>
        <v>80.215869</v>
      </c>
      <c r="F18560" s="4">
        <f>IFERROR(__xludf.DUMMYFUNCTION("""COMPUTED_VALUE"""),3143.0)</f>
        <v>3143</v>
      </c>
      <c r="G18560" s="4">
        <f>IFERROR(__xludf.DUMMYFUNCTION("""COMPUTED_VALUE"""),49.0)</f>
        <v>49</v>
      </c>
      <c r="H18560" s="4"/>
      <c r="I18560" s="4"/>
    </row>
    <row r="18561">
      <c r="A18561" s="4" t="str">
        <f>IFERROR(__xludf.DUMMYFUNCTION("""COMPUTED_VALUE"""),"cas_hmw")</f>
        <v>cas_hmw</v>
      </c>
      <c r="B18561" s="5">
        <f>IFERROR(__xludf.DUMMYFUNCTION("""COMPUTED_VALUE"""),44775.0)</f>
        <v>44775</v>
      </c>
      <c r="C18561" s="6">
        <f>IFERROR(__xludf.DUMMYFUNCTION("""COMPUTED_VALUE"""),0.32864583333503106)</f>
        <v>0.3286458333</v>
      </c>
      <c r="D18561" s="4">
        <f>IFERROR(__xludf.DUMMYFUNCTION("""COMPUTED_VALUE"""),13.00923)</f>
        <v>13.00923</v>
      </c>
      <c r="E18561" s="4">
        <f>IFERROR(__xludf.DUMMYFUNCTION("""COMPUTED_VALUE"""),80.212392)</f>
        <v>80.212392</v>
      </c>
      <c r="F18561" s="4">
        <f>IFERROR(__xludf.DUMMYFUNCTION("""COMPUTED_VALUE"""),3143.0)</f>
        <v>3143</v>
      </c>
      <c r="G18561" s="4">
        <f>IFERROR(__xludf.DUMMYFUNCTION("""COMPUTED_VALUE"""),43.0)</f>
        <v>43</v>
      </c>
      <c r="H18561" s="4"/>
      <c r="I18561" s="4"/>
    </row>
    <row r="18562">
      <c r="A18562" s="4" t="str">
        <f>IFERROR(__xludf.DUMMYFUNCTION("""COMPUTED_VALUE"""),"cas_hmw")</f>
        <v>cas_hmw</v>
      </c>
      <c r="B18562" s="5">
        <f>IFERROR(__xludf.DUMMYFUNCTION("""COMPUTED_VALUE"""),44775.0)</f>
        <v>44775</v>
      </c>
      <c r="C18562" s="6">
        <f>IFERROR(__xludf.DUMMYFUNCTION("""COMPUTED_VALUE"""),0.32865740740817273)</f>
        <v>0.3286574074</v>
      </c>
      <c r="D18562" s="4">
        <f>IFERROR(__xludf.DUMMYFUNCTION("""COMPUTED_VALUE"""),13.00923)</f>
        <v>13.00923</v>
      </c>
      <c r="E18562" s="4">
        <f>IFERROR(__xludf.DUMMYFUNCTION("""COMPUTED_VALUE"""),80.212392)</f>
        <v>80.212392</v>
      </c>
      <c r="F18562" s="4">
        <f>IFERROR(__xludf.DUMMYFUNCTION("""COMPUTED_VALUE"""),3143.0)</f>
        <v>3143</v>
      </c>
      <c r="G18562" s="4">
        <f>IFERROR(__xludf.DUMMYFUNCTION("""COMPUTED_VALUE"""),43.0)</f>
        <v>43</v>
      </c>
      <c r="H18562" s="4"/>
      <c r="I18562" s="4"/>
    </row>
    <row r="18563">
      <c r="A18563" s="4" t="str">
        <f>IFERROR(__xludf.DUMMYFUNCTION("""COMPUTED_VALUE"""),"cas_hmw")</f>
        <v>cas_hmw</v>
      </c>
      <c r="B18563" s="5">
        <f>IFERROR(__xludf.DUMMYFUNCTION("""COMPUTED_VALUE"""),44775.0)</f>
        <v>44775</v>
      </c>
      <c r="C18563" s="6">
        <f>IFERROR(__xludf.DUMMYFUNCTION("""COMPUTED_VALUE"""),0.32898148148160544)</f>
        <v>0.3289814815</v>
      </c>
      <c r="D18563" s="4">
        <f>IFERROR(__xludf.DUMMYFUNCTION("""COMPUTED_VALUE"""),12.994038)</f>
        <v>12.994038</v>
      </c>
      <c r="E18563" s="4">
        <f>IFERROR(__xludf.DUMMYFUNCTION("""COMPUTED_VALUE"""),80.185654)</f>
        <v>80.185654</v>
      </c>
      <c r="F18563" s="4">
        <f>IFERROR(__xludf.DUMMYFUNCTION("""COMPUTED_VALUE"""),5339.0)</f>
        <v>5339</v>
      </c>
      <c r="G18563" s="4">
        <f>IFERROR(__xludf.DUMMYFUNCTION("""COMPUTED_VALUE"""),22.0)</f>
        <v>22</v>
      </c>
      <c r="H18563" s="4"/>
      <c r="I18563" s="4"/>
    </row>
    <row r="18564">
      <c r="A18564" s="4" t="str">
        <f>IFERROR(__xludf.DUMMYFUNCTION("""COMPUTED_VALUE"""),"cas_hmw")</f>
        <v>cas_hmw</v>
      </c>
      <c r="B18564" s="5">
        <f>IFERROR(__xludf.DUMMYFUNCTION("""COMPUTED_VALUE"""),44775.0)</f>
        <v>44775</v>
      </c>
      <c r="C18564" s="6">
        <f>IFERROR(__xludf.DUMMYFUNCTION("""COMPUTED_VALUE"""),0.3289930555547471)</f>
        <v>0.3289930556</v>
      </c>
      <c r="D18564" s="4">
        <f>IFERROR(__xludf.DUMMYFUNCTION("""COMPUTED_VALUE"""),12.994038)</f>
        <v>12.994038</v>
      </c>
      <c r="E18564" s="4">
        <f>IFERROR(__xludf.DUMMYFUNCTION("""COMPUTED_VALUE"""),80.185654)</f>
        <v>80.185654</v>
      </c>
      <c r="F18564" s="4">
        <f>IFERROR(__xludf.DUMMYFUNCTION("""COMPUTED_VALUE"""),5339.0)</f>
        <v>5339</v>
      </c>
      <c r="G18564" s="4">
        <f>IFERROR(__xludf.DUMMYFUNCTION("""COMPUTED_VALUE"""),22.0)</f>
        <v>22</v>
      </c>
      <c r="H18564" s="4"/>
      <c r="I18564" s="4"/>
    </row>
    <row r="18565">
      <c r="A18565" s="4" t="str">
        <f>IFERROR(__xludf.DUMMYFUNCTION("""COMPUTED_VALUE"""),"cas_hmw")</f>
        <v>cas_hmw</v>
      </c>
      <c r="B18565" s="5">
        <f>IFERROR(__xludf.DUMMYFUNCTION("""COMPUTED_VALUE"""),44775.0)</f>
        <v>44775</v>
      </c>
      <c r="C18565" s="6">
        <f>IFERROR(__xludf.DUMMYFUNCTION("""COMPUTED_VALUE"""),0.3290277777778101)</f>
        <v>0.3290277778</v>
      </c>
      <c r="D18565" s="4">
        <f>IFERROR(__xludf.DUMMYFUNCTION("""COMPUTED_VALUE"""),13.008091)</f>
        <v>13.008091</v>
      </c>
      <c r="E18565" s="4">
        <f>IFERROR(__xludf.DUMMYFUNCTION("""COMPUTED_VALUE"""),80.209247)</f>
        <v>80.209247</v>
      </c>
      <c r="F18565" s="4">
        <f>IFERROR(__xludf.DUMMYFUNCTION("""COMPUTED_VALUE"""),3143.0)</f>
        <v>3143</v>
      </c>
      <c r="G18565" s="4">
        <f>IFERROR(__xludf.DUMMYFUNCTION("""COMPUTED_VALUE"""),50.0)</f>
        <v>50</v>
      </c>
      <c r="H18565" s="4"/>
      <c r="I18565" s="4"/>
    </row>
    <row r="18566">
      <c r="A18566" s="4" t="str">
        <f>IFERROR(__xludf.DUMMYFUNCTION("""COMPUTED_VALUE"""),"cas_hmw")</f>
        <v>cas_hmw</v>
      </c>
      <c r="B18566" s="5">
        <f>IFERROR(__xludf.DUMMYFUNCTION("""COMPUTED_VALUE"""),44775.0)</f>
        <v>44775</v>
      </c>
      <c r="C18566" s="6">
        <f>IFERROR(__xludf.DUMMYFUNCTION("""COMPUTED_VALUE"""),0.32913194444336114)</f>
        <v>0.3291319444</v>
      </c>
      <c r="D18566" s="4">
        <f>IFERROR(__xludf.DUMMYFUNCTION("""COMPUTED_VALUE"""),13.007871)</f>
        <v>13.007871</v>
      </c>
      <c r="E18566" s="4">
        <f>IFERROR(__xludf.DUMMYFUNCTION("""COMPUTED_VALUE"""),80.207923)</f>
        <v>80.207923</v>
      </c>
      <c r="F18566" s="4">
        <f>IFERROR(__xludf.DUMMYFUNCTION("""COMPUTED_VALUE"""),3143.0)</f>
        <v>3143</v>
      </c>
      <c r="G18566" s="4">
        <f>IFERROR(__xludf.DUMMYFUNCTION("""COMPUTED_VALUE"""),46.0)</f>
        <v>46</v>
      </c>
      <c r="H18566" s="4"/>
      <c r="I18566" s="4"/>
    </row>
    <row r="18567">
      <c r="A18567" s="4" t="str">
        <f>IFERROR(__xludf.DUMMYFUNCTION("""COMPUTED_VALUE"""),"cas_hmw")</f>
        <v>cas_hmw</v>
      </c>
      <c r="B18567" s="5">
        <f>IFERROR(__xludf.DUMMYFUNCTION("""COMPUTED_VALUE"""),44775.0)</f>
        <v>44775</v>
      </c>
      <c r="C18567" s="6">
        <f>IFERROR(__xludf.DUMMYFUNCTION("""COMPUTED_VALUE"""),0.32949074073985685)</f>
        <v>0.3294907407</v>
      </c>
      <c r="D18567" s="4">
        <f>IFERROR(__xludf.DUMMYFUNCTION("""COMPUTED_VALUE"""),13.007304)</f>
        <v>13.007304</v>
      </c>
      <c r="E18567" s="4">
        <f>IFERROR(__xludf.DUMMYFUNCTION("""COMPUTED_VALUE"""),80.20519)</f>
        <v>80.20519</v>
      </c>
      <c r="F18567" s="4">
        <f>IFERROR(__xludf.DUMMYFUNCTION("""COMPUTED_VALUE"""),3143.0)</f>
        <v>3143</v>
      </c>
      <c r="G18567" s="4">
        <f>IFERROR(__xludf.DUMMYFUNCTION("""COMPUTED_VALUE"""),48.0)</f>
        <v>48</v>
      </c>
      <c r="H18567" s="4"/>
      <c r="I18567" s="4"/>
    </row>
    <row r="18568">
      <c r="A18568" s="4" t="str">
        <f>IFERROR(__xludf.DUMMYFUNCTION("""COMPUTED_VALUE"""),"cas_hmw")</f>
        <v>cas_hmw</v>
      </c>
      <c r="B18568" s="5">
        <f>IFERROR(__xludf.DUMMYFUNCTION("""COMPUTED_VALUE"""),44775.0)</f>
        <v>44775</v>
      </c>
      <c r="C18568" s="6">
        <f>IFERROR(__xludf.DUMMYFUNCTION("""COMPUTED_VALUE"""),0.32967592592467554)</f>
        <v>0.3296759259</v>
      </c>
      <c r="D18568" s="4">
        <f>IFERROR(__xludf.DUMMYFUNCTION("""COMPUTED_VALUE"""),12.990346)</f>
        <v>12.990346</v>
      </c>
      <c r="E18568" s="4">
        <f>IFERROR(__xludf.DUMMYFUNCTION("""COMPUTED_VALUE"""),80.180055)</f>
        <v>80.180055</v>
      </c>
      <c r="F18568" s="4">
        <f>IFERROR(__xludf.DUMMYFUNCTION("""COMPUTED_VALUE"""),5339.0)</f>
        <v>5339</v>
      </c>
      <c r="G18568" s="4">
        <f>IFERROR(__xludf.DUMMYFUNCTION("""COMPUTED_VALUE"""),48.0)</f>
        <v>48</v>
      </c>
      <c r="H18568" s="4"/>
      <c r="I18568" s="4"/>
    </row>
    <row r="18569">
      <c r="A18569" s="4" t="str">
        <f>IFERROR(__xludf.DUMMYFUNCTION("""COMPUTED_VALUE"""),"cas_hmw")</f>
        <v>cas_hmw</v>
      </c>
      <c r="B18569" s="5">
        <f>IFERROR(__xludf.DUMMYFUNCTION("""COMPUTED_VALUE"""),44775.0)</f>
        <v>44775</v>
      </c>
      <c r="C18569" s="6">
        <f>IFERROR(__xludf.DUMMYFUNCTION("""COMPUTED_VALUE"""),0.32981481481328956)</f>
        <v>0.3298148148</v>
      </c>
      <c r="D18569" s="4">
        <f>IFERROR(__xludf.DUMMYFUNCTION("""COMPUTED_VALUE"""),13.005716)</f>
        <v>13.005716</v>
      </c>
      <c r="E18569" s="4">
        <f>IFERROR(__xludf.DUMMYFUNCTION("""COMPUTED_VALUE"""),80.202408)</f>
        <v>80.202408</v>
      </c>
      <c r="F18569" s="4">
        <f>IFERROR(__xludf.DUMMYFUNCTION("""COMPUTED_VALUE"""),3143.0)</f>
        <v>3143</v>
      </c>
      <c r="G18569" s="4">
        <f>IFERROR(__xludf.DUMMYFUNCTION("""COMPUTED_VALUE"""),36.0)</f>
        <v>36</v>
      </c>
      <c r="H18569" s="4"/>
      <c r="I18569" s="4"/>
    </row>
    <row r="18570">
      <c r="A18570" s="4" t="str">
        <f>IFERROR(__xludf.DUMMYFUNCTION("""COMPUTED_VALUE"""),"cas_hmw")</f>
        <v>cas_hmw</v>
      </c>
      <c r="B18570" s="5">
        <f>IFERROR(__xludf.DUMMYFUNCTION("""COMPUTED_VALUE"""),44775.0)</f>
        <v>44775</v>
      </c>
      <c r="C18570" s="6">
        <f>IFERROR(__xludf.DUMMYFUNCTION("""COMPUTED_VALUE"""),0.3299421296287619)</f>
        <v>0.3299421296</v>
      </c>
      <c r="D18570" s="4">
        <f>IFERROR(__xludf.DUMMYFUNCTION("""COMPUTED_VALUE"""),13.005006)</f>
        <v>13.005006</v>
      </c>
      <c r="E18570" s="4">
        <f>IFERROR(__xludf.DUMMYFUNCTION("""COMPUTED_VALUE"""),80.201531)</f>
        <v>80.201531</v>
      </c>
      <c r="F18570" s="4">
        <f>IFERROR(__xludf.DUMMYFUNCTION("""COMPUTED_VALUE"""),3143.0)</f>
        <v>3143</v>
      </c>
      <c r="G18570" s="4">
        <f>IFERROR(__xludf.DUMMYFUNCTION("""COMPUTED_VALUE"""),45.0)</f>
        <v>45</v>
      </c>
      <c r="H18570" s="4"/>
      <c r="I18570" s="4"/>
    </row>
    <row r="18571">
      <c r="A18571" s="4" t="str">
        <f>IFERROR(__xludf.DUMMYFUNCTION("""COMPUTED_VALUE"""),"cas_hmw")</f>
        <v>cas_hmw</v>
      </c>
      <c r="B18571" s="5">
        <f>IFERROR(__xludf.DUMMYFUNCTION("""COMPUTED_VALUE"""),44775.0)</f>
        <v>44775</v>
      </c>
      <c r="C18571" s="6">
        <f>IFERROR(__xludf.DUMMYFUNCTION("""COMPUTED_VALUE"""),0.3301273148135806)</f>
        <v>0.3301273148</v>
      </c>
      <c r="D18571" s="4">
        <f>IFERROR(__xludf.DUMMYFUNCTION("""COMPUTED_VALUE"""),13.002539)</f>
        <v>13.002539</v>
      </c>
      <c r="E18571" s="4">
        <f>IFERROR(__xludf.DUMMYFUNCTION("""COMPUTED_VALUE"""),80.200689)</f>
        <v>80.200689</v>
      </c>
      <c r="F18571" s="4">
        <f>IFERROR(__xludf.DUMMYFUNCTION("""COMPUTED_VALUE"""),3143.0)</f>
        <v>3143</v>
      </c>
      <c r="G18571" s="4">
        <f>IFERROR(__xludf.DUMMYFUNCTION("""COMPUTED_VALUE"""),42.0)</f>
        <v>42</v>
      </c>
      <c r="H18571" s="4"/>
      <c r="I18571" s="4"/>
    </row>
    <row r="18572">
      <c r="A18572" s="4" t="str">
        <f>IFERROR(__xludf.DUMMYFUNCTION("""COMPUTED_VALUE"""),"cas_hmw")</f>
        <v>cas_hmw</v>
      </c>
      <c r="B18572" s="5">
        <f>IFERROR(__xludf.DUMMYFUNCTION("""COMPUTED_VALUE"""),44775.0)</f>
        <v>44775</v>
      </c>
      <c r="C18572" s="6">
        <f>IFERROR(__xludf.DUMMYFUNCTION("""COMPUTED_VALUE"""),0.3301273148135806)</f>
        <v>0.3301273148</v>
      </c>
      <c r="D18572" s="4">
        <f>IFERROR(__xludf.DUMMYFUNCTION("""COMPUTED_VALUE"""),12.708316)</f>
        <v>12.708316</v>
      </c>
      <c r="E18572" s="4">
        <f>IFERROR(__xludf.DUMMYFUNCTION("""COMPUTED_VALUE"""),79.97683)</f>
        <v>79.97683</v>
      </c>
      <c r="F18572" s="4">
        <f>IFERROR(__xludf.DUMMYFUNCTION("""COMPUTED_VALUE"""),2846.0)</f>
        <v>2846</v>
      </c>
      <c r="G18572" s="4">
        <f>IFERROR(__xludf.DUMMYFUNCTION("""COMPUTED_VALUE"""),14.0)</f>
        <v>14</v>
      </c>
      <c r="H18572" s="4"/>
      <c r="I18572" s="4"/>
    </row>
    <row r="18573">
      <c r="A18573" s="4" t="str">
        <f>IFERROR(__xludf.DUMMYFUNCTION("""COMPUTED_VALUE"""),"cas_hmw")</f>
        <v>cas_hmw</v>
      </c>
      <c r="B18573" s="5">
        <f>IFERROR(__xludf.DUMMYFUNCTION("""COMPUTED_VALUE"""),44775.0)</f>
        <v>44775</v>
      </c>
      <c r="C18573" s="6">
        <f>IFERROR(__xludf.DUMMYFUNCTION("""COMPUTED_VALUE"""),0.3301620370366436)</f>
        <v>0.330162037</v>
      </c>
      <c r="D18573" s="4">
        <f>IFERROR(__xludf.DUMMYFUNCTION("""COMPUTED_VALUE"""),12.987786)</f>
        <v>12.987786</v>
      </c>
      <c r="E18573" s="4">
        <f>IFERROR(__xludf.DUMMYFUNCTION("""COMPUTED_VALUE"""),80.176666)</f>
        <v>80.176666</v>
      </c>
      <c r="F18573" s="4">
        <f>IFERROR(__xludf.DUMMYFUNCTION("""COMPUTED_VALUE"""),5339.0)</f>
        <v>5339</v>
      </c>
      <c r="G18573" s="4">
        <f>IFERROR(__xludf.DUMMYFUNCTION("""COMPUTED_VALUE"""),37.0)</f>
        <v>37</v>
      </c>
      <c r="H18573" s="4"/>
      <c r="I18573" s="4"/>
    </row>
    <row r="18574">
      <c r="A18574" s="4" t="str">
        <f>IFERROR(__xludf.DUMMYFUNCTION("""COMPUTED_VALUE"""),"cas_hmw")</f>
        <v>cas_hmw</v>
      </c>
      <c r="B18574" s="5">
        <f>IFERROR(__xludf.DUMMYFUNCTION("""COMPUTED_VALUE"""),44775.0)</f>
        <v>44775</v>
      </c>
      <c r="C18574" s="6">
        <f>IFERROR(__xludf.DUMMYFUNCTION("""COMPUTED_VALUE"""),0.3302662037021946)</f>
        <v>0.3302662037</v>
      </c>
      <c r="D18574" s="4">
        <f>IFERROR(__xludf.DUMMYFUNCTION("""COMPUTED_VALUE"""),13.001824)</f>
        <v>13.001824</v>
      </c>
      <c r="E18574" s="4">
        <f>IFERROR(__xludf.DUMMYFUNCTION("""COMPUTED_VALUE"""),80.199969)</f>
        <v>80.199969</v>
      </c>
      <c r="F18574" s="4">
        <f>IFERROR(__xludf.DUMMYFUNCTION("""COMPUTED_VALUE"""),3143.0)</f>
        <v>3143</v>
      </c>
      <c r="G18574" s="4">
        <f>IFERROR(__xludf.DUMMYFUNCTION("""COMPUTED_VALUE"""),41.0)</f>
        <v>41</v>
      </c>
      <c r="H18574" s="4"/>
      <c r="I18574" s="4"/>
    </row>
    <row r="18575">
      <c r="A18575" s="4" t="str">
        <f>IFERROR(__xludf.DUMMYFUNCTION("""COMPUTED_VALUE"""),"cas_hmw")</f>
        <v>cas_hmw</v>
      </c>
      <c r="B18575" s="5">
        <f>IFERROR(__xludf.DUMMYFUNCTION("""COMPUTED_VALUE"""),44775.0)</f>
        <v>44775</v>
      </c>
      <c r="C18575" s="6">
        <f>IFERROR(__xludf.DUMMYFUNCTION("""COMPUTED_VALUE"""),0.33032407407517894)</f>
        <v>0.3303240741</v>
      </c>
      <c r="D18575" s="4">
        <f>IFERROR(__xludf.DUMMYFUNCTION("""COMPUTED_VALUE"""),12.987268)</f>
        <v>12.987268</v>
      </c>
      <c r="E18575" s="4">
        <f>IFERROR(__xludf.DUMMYFUNCTION("""COMPUTED_VALUE"""),80.175867)</f>
        <v>80.175867</v>
      </c>
      <c r="F18575" s="4">
        <f>IFERROR(__xludf.DUMMYFUNCTION("""COMPUTED_VALUE"""),5339.0)</f>
        <v>5339</v>
      </c>
      <c r="G18575" s="4">
        <f>IFERROR(__xludf.DUMMYFUNCTION("""COMPUTED_VALUE"""),38.0)</f>
        <v>38</v>
      </c>
      <c r="H18575" s="4"/>
      <c r="I18575" s="4"/>
    </row>
    <row r="18576">
      <c r="A18576" s="4" t="str">
        <f>IFERROR(__xludf.DUMMYFUNCTION("""COMPUTED_VALUE"""),"cas_hmw")</f>
        <v>cas_hmw</v>
      </c>
      <c r="B18576" s="5">
        <f>IFERROR(__xludf.DUMMYFUNCTION("""COMPUTED_VALUE"""),44775.0)</f>
        <v>44775</v>
      </c>
      <c r="C18576" s="6">
        <f>IFERROR(__xludf.DUMMYFUNCTION("""COMPUTED_VALUE"""),0.33035879629460396)</f>
        <v>0.3303587963</v>
      </c>
      <c r="D18576" s="4">
        <f>IFERROR(__xludf.DUMMYFUNCTION("""COMPUTED_VALUE"""),12.710376)</f>
        <v>12.710376</v>
      </c>
      <c r="E18576" s="4">
        <f>IFERROR(__xludf.DUMMYFUNCTION("""COMPUTED_VALUE"""),79.978062)</f>
        <v>79.978062</v>
      </c>
      <c r="F18576" s="4">
        <f>IFERROR(__xludf.DUMMYFUNCTION("""COMPUTED_VALUE"""),2846.0)</f>
        <v>2846</v>
      </c>
      <c r="G18576" s="4">
        <f>IFERROR(__xludf.DUMMYFUNCTION("""COMPUTED_VALUE"""),35.0)</f>
        <v>35</v>
      </c>
      <c r="H18576" s="4"/>
      <c r="I18576" s="4"/>
    </row>
    <row r="18577">
      <c r="A18577" s="4" t="str">
        <f>IFERROR(__xludf.DUMMYFUNCTION("""COMPUTED_VALUE"""),"cas_hmw")</f>
        <v>cas_hmw</v>
      </c>
      <c r="B18577" s="5">
        <f>IFERROR(__xludf.DUMMYFUNCTION("""COMPUTED_VALUE"""),44775.0)</f>
        <v>44775</v>
      </c>
      <c r="C18577" s="6">
        <f>IFERROR(__xludf.DUMMYFUNCTION("""COMPUTED_VALUE"""),0.3306944444448163)</f>
        <v>0.3306944444</v>
      </c>
      <c r="D18577" s="4">
        <f>IFERROR(__xludf.DUMMYFUNCTION("""COMPUTED_VALUE"""),13.001446)</f>
        <v>13.001446</v>
      </c>
      <c r="E18577" s="4">
        <f>IFERROR(__xludf.DUMMYFUNCTION("""COMPUTED_VALUE"""),80.196075)</f>
        <v>80.196075</v>
      </c>
      <c r="F18577" s="4">
        <f>IFERROR(__xludf.DUMMYFUNCTION("""COMPUTED_VALUE"""),3143.0)</f>
        <v>3143</v>
      </c>
      <c r="G18577" s="4">
        <f>IFERROR(__xludf.DUMMYFUNCTION("""COMPUTED_VALUE"""),25.0)</f>
        <v>25</v>
      </c>
      <c r="H18577" s="4"/>
      <c r="I18577" s="4"/>
    </row>
    <row r="18578">
      <c r="A18578" s="4" t="str">
        <f>IFERROR(__xludf.DUMMYFUNCTION("""COMPUTED_VALUE"""),"cas_hmw")</f>
        <v>cas_hmw</v>
      </c>
      <c r="B18578" s="5">
        <f>IFERROR(__xludf.DUMMYFUNCTION("""COMPUTED_VALUE"""),44775.0)</f>
        <v>44775</v>
      </c>
      <c r="C18578" s="6">
        <f>IFERROR(__xludf.DUMMYFUNCTION("""COMPUTED_VALUE"""),0.33093749999898137)</f>
        <v>0.3309375</v>
      </c>
      <c r="D18578" s="4">
        <f>IFERROR(__xludf.DUMMYFUNCTION("""COMPUTED_VALUE"""),13.00043)</f>
        <v>13.00043</v>
      </c>
      <c r="E18578" s="4">
        <f>IFERROR(__xludf.DUMMYFUNCTION("""COMPUTED_VALUE"""),80.194771)</f>
        <v>80.194771</v>
      </c>
      <c r="F18578" s="4">
        <f>IFERROR(__xludf.DUMMYFUNCTION("""COMPUTED_VALUE"""),3143.0)</f>
        <v>3143</v>
      </c>
      <c r="G18578" s="4">
        <f>IFERROR(__xludf.DUMMYFUNCTION("""COMPUTED_VALUE"""),42.0)</f>
        <v>42</v>
      </c>
      <c r="H18578" s="4"/>
      <c r="I18578" s="4"/>
    </row>
    <row r="18579">
      <c r="A18579" s="4" t="str">
        <f>IFERROR(__xludf.DUMMYFUNCTION("""COMPUTED_VALUE"""),"cas_hmw")</f>
        <v>cas_hmw</v>
      </c>
      <c r="B18579" s="5">
        <f>IFERROR(__xludf.DUMMYFUNCTION("""COMPUTED_VALUE"""),44775.0)</f>
        <v>44775</v>
      </c>
      <c r="C18579" s="6">
        <f>IFERROR(__xludf.DUMMYFUNCTION("""COMPUTED_VALUE"""),0.3312499999992724)</f>
        <v>0.33125</v>
      </c>
      <c r="D18579" s="4">
        <f>IFERROR(__xludf.DUMMYFUNCTION("""COMPUTED_VALUE"""),12.716897)</f>
        <v>12.716897</v>
      </c>
      <c r="E18579" s="4">
        <f>IFERROR(__xludf.DUMMYFUNCTION("""COMPUTED_VALUE"""),79.980741)</f>
        <v>79.980741</v>
      </c>
      <c r="F18579" s="4">
        <f>IFERROR(__xludf.DUMMYFUNCTION("""COMPUTED_VALUE"""),2846.0)</f>
        <v>2846</v>
      </c>
      <c r="G18579" s="4">
        <f>IFERROR(__xludf.DUMMYFUNCTION("""COMPUTED_VALUE"""),40.0)</f>
        <v>40</v>
      </c>
      <c r="H18579" s="4"/>
      <c r="I18579" s="4"/>
    </row>
    <row r="18580">
      <c r="A18580" s="4" t="str">
        <f>IFERROR(__xludf.DUMMYFUNCTION("""COMPUTED_VALUE"""),"cas_hmw")</f>
        <v>cas_hmw</v>
      </c>
      <c r="B18580" s="5">
        <f>IFERROR(__xludf.DUMMYFUNCTION("""COMPUTED_VALUE"""),44775.0)</f>
        <v>44775</v>
      </c>
      <c r="C18580" s="6">
        <f>IFERROR(__xludf.DUMMYFUNCTION("""COMPUTED_VALUE"""),0.33134259259168175)</f>
        <v>0.3313425926</v>
      </c>
      <c r="D18580" s="4">
        <f>IFERROR(__xludf.DUMMYFUNCTION("""COMPUTED_VALUE"""),12.998475)</f>
        <v>12.998475</v>
      </c>
      <c r="E18580" s="4">
        <f>IFERROR(__xludf.DUMMYFUNCTION("""COMPUTED_VALUE"""),80.192294)</f>
        <v>80.192294</v>
      </c>
      <c r="F18580" s="4">
        <f>IFERROR(__xludf.DUMMYFUNCTION("""COMPUTED_VALUE"""),3143.0)</f>
        <v>3143</v>
      </c>
      <c r="G18580" s="4">
        <f>IFERROR(__xludf.DUMMYFUNCTION("""COMPUTED_VALUE"""),43.0)</f>
        <v>43</v>
      </c>
      <c r="H18580" s="4"/>
      <c r="I18580" s="4"/>
    </row>
    <row r="18581">
      <c r="A18581" s="4" t="str">
        <f>IFERROR(__xludf.DUMMYFUNCTION("""COMPUTED_VALUE"""),"cas_hmw")</f>
        <v>cas_hmw</v>
      </c>
      <c r="B18581" s="5">
        <f>IFERROR(__xludf.DUMMYFUNCTION("""COMPUTED_VALUE"""),44775.0)</f>
        <v>44775</v>
      </c>
      <c r="C18581" s="6">
        <f>IFERROR(__xludf.DUMMYFUNCTION("""COMPUTED_VALUE"""),0.3316435185188311)</f>
        <v>0.3316435185</v>
      </c>
      <c r="D18581" s="4">
        <f>IFERROR(__xludf.DUMMYFUNCTION("""COMPUTED_VALUE"""),12.99591)</f>
        <v>12.99591</v>
      </c>
      <c r="E18581" s="4">
        <f>IFERROR(__xludf.DUMMYFUNCTION("""COMPUTED_VALUE"""),80.18918)</f>
        <v>80.18918</v>
      </c>
      <c r="F18581" s="4">
        <f>IFERROR(__xludf.DUMMYFUNCTION("""COMPUTED_VALUE"""),3143.0)</f>
        <v>3143</v>
      </c>
      <c r="G18581" s="4">
        <f>IFERROR(__xludf.DUMMYFUNCTION("""COMPUTED_VALUE"""),57.0)</f>
        <v>57</v>
      </c>
      <c r="H18581" s="4"/>
      <c r="I18581" s="4"/>
    </row>
    <row r="18582">
      <c r="A18582" s="4" t="str">
        <f>IFERROR(__xludf.DUMMYFUNCTION("""COMPUTED_VALUE"""),"cas_hmw")</f>
        <v>cas_hmw</v>
      </c>
      <c r="B18582" s="5">
        <f>IFERROR(__xludf.DUMMYFUNCTION("""COMPUTED_VALUE"""),44775.0)</f>
        <v>44775</v>
      </c>
      <c r="C18582" s="6">
        <f>IFERROR(__xludf.DUMMYFUNCTION("""COMPUTED_VALUE"""),0.33170138888817746)</f>
        <v>0.3317013889</v>
      </c>
      <c r="D18582" s="4">
        <f>IFERROR(__xludf.DUMMYFUNCTION("""COMPUTED_VALUE"""),12.99591)</f>
        <v>12.99591</v>
      </c>
      <c r="E18582" s="4">
        <f>IFERROR(__xludf.DUMMYFUNCTION("""COMPUTED_VALUE"""),80.18918)</f>
        <v>80.18918</v>
      </c>
      <c r="F18582" s="4">
        <f>IFERROR(__xludf.DUMMYFUNCTION("""COMPUTED_VALUE"""),3143.0)</f>
        <v>3143</v>
      </c>
      <c r="G18582" s="4">
        <f>IFERROR(__xludf.DUMMYFUNCTION("""COMPUTED_VALUE"""),57.0)</f>
        <v>57</v>
      </c>
      <c r="H18582" s="4"/>
      <c r="I18582" s="4"/>
    </row>
    <row r="18583">
      <c r="A18583" s="4" t="str">
        <f>IFERROR(__xludf.DUMMYFUNCTION("""COMPUTED_VALUE"""),"cas_hmw")</f>
        <v>cas_hmw</v>
      </c>
      <c r="B18583" s="5">
        <f>IFERROR(__xludf.DUMMYFUNCTION("""COMPUTED_VALUE"""),44775.0)</f>
        <v>44775</v>
      </c>
      <c r="C18583" s="6">
        <f>IFERROR(__xludf.DUMMYFUNCTION("""COMPUTED_VALUE"""),0.33180555555736646)</f>
        <v>0.3318055556</v>
      </c>
      <c r="D18583" s="4">
        <f>IFERROR(__xludf.DUMMYFUNCTION("""COMPUTED_VALUE"""),12.979844)</f>
        <v>12.979844</v>
      </c>
      <c r="E18583" s="4">
        <f>IFERROR(__xludf.DUMMYFUNCTION("""COMPUTED_VALUE"""),80.163016)</f>
        <v>80.163016</v>
      </c>
      <c r="F18583" s="4">
        <f>IFERROR(__xludf.DUMMYFUNCTION("""COMPUTED_VALUE"""),5339.0)</f>
        <v>5339</v>
      </c>
      <c r="G18583" s="4">
        <f>IFERROR(__xludf.DUMMYFUNCTION("""COMPUTED_VALUE"""),24.0)</f>
        <v>24</v>
      </c>
      <c r="H18583" s="4"/>
      <c r="I18583" s="4"/>
    </row>
    <row r="18584">
      <c r="A18584" s="4" t="str">
        <f>IFERROR(__xludf.DUMMYFUNCTION("""COMPUTED_VALUE"""),"cas_hmw")</f>
        <v>cas_hmw</v>
      </c>
      <c r="B18584" s="5">
        <f>IFERROR(__xludf.DUMMYFUNCTION("""COMPUTED_VALUE"""),44775.0)</f>
        <v>44775</v>
      </c>
      <c r="C18584" s="6">
        <f>IFERROR(__xludf.DUMMYFUNCTION("""COMPUTED_VALUE"""),0.3320023148153268)</f>
        <v>0.3320023148</v>
      </c>
      <c r="D18584" s="4">
        <f>IFERROR(__xludf.DUMMYFUNCTION("""COMPUTED_VALUE"""),12.978949)</f>
        <v>12.978949</v>
      </c>
      <c r="E18584" s="4">
        <f>IFERROR(__xludf.DUMMYFUNCTION("""COMPUTED_VALUE"""),80.161449)</f>
        <v>80.161449</v>
      </c>
      <c r="F18584" s="4">
        <f>IFERROR(__xludf.DUMMYFUNCTION("""COMPUTED_VALUE"""),5339.0)</f>
        <v>5339</v>
      </c>
      <c r="G18584" s="4">
        <f>IFERROR(__xludf.DUMMYFUNCTION("""COMPUTED_VALUE"""),43.0)</f>
        <v>43</v>
      </c>
      <c r="H18584" s="4"/>
      <c r="I18584" s="4"/>
    </row>
    <row r="18585">
      <c r="A18585" s="4" t="str">
        <f>IFERROR(__xludf.DUMMYFUNCTION("""COMPUTED_VALUE"""),"cas_hmw")</f>
        <v>cas_hmw</v>
      </c>
      <c r="B18585" s="5">
        <f>IFERROR(__xludf.DUMMYFUNCTION("""COMPUTED_VALUE"""),44775.0)</f>
        <v>44775</v>
      </c>
      <c r="C18585" s="6">
        <f>IFERROR(__xludf.DUMMYFUNCTION("""COMPUTED_VALUE"""),0.33210648148087785)</f>
        <v>0.3321064815</v>
      </c>
      <c r="D18585" s="4">
        <f>IFERROR(__xludf.DUMMYFUNCTION("""COMPUTED_VALUE"""),12.978949)</f>
        <v>12.978949</v>
      </c>
      <c r="E18585" s="4">
        <f>IFERROR(__xludf.DUMMYFUNCTION("""COMPUTED_VALUE"""),80.161449)</f>
        <v>80.161449</v>
      </c>
      <c r="F18585" s="4">
        <f>IFERROR(__xludf.DUMMYFUNCTION("""COMPUTED_VALUE"""),5339.0)</f>
        <v>5339</v>
      </c>
      <c r="G18585" s="4">
        <f>IFERROR(__xludf.DUMMYFUNCTION("""COMPUTED_VALUE"""),43.0)</f>
        <v>43</v>
      </c>
      <c r="H18585" s="4"/>
      <c r="I18585" s="4"/>
    </row>
    <row r="18586">
      <c r="A18586" s="4" t="str">
        <f>IFERROR(__xludf.DUMMYFUNCTION("""COMPUTED_VALUE"""),"cas_hmw")</f>
        <v>cas_hmw</v>
      </c>
      <c r="B18586" s="5">
        <f>IFERROR(__xludf.DUMMYFUNCTION("""COMPUTED_VALUE"""),44775.0)</f>
        <v>44775</v>
      </c>
      <c r="C18586" s="6">
        <f>IFERROR(__xludf.DUMMYFUNCTION("""COMPUTED_VALUE"""),0.3327777777776646)</f>
        <v>0.3327777778</v>
      </c>
      <c r="D18586" s="4">
        <f>IFERROR(__xludf.DUMMYFUNCTION("""COMPUTED_VALUE"""),12.989514)</f>
        <v>12.989514</v>
      </c>
      <c r="E18586" s="4">
        <f>IFERROR(__xludf.DUMMYFUNCTION("""COMPUTED_VALUE"""),80.179107)</f>
        <v>80.179107</v>
      </c>
      <c r="F18586" s="4">
        <f>IFERROR(__xludf.DUMMYFUNCTION("""COMPUTED_VALUE"""),3143.0)</f>
        <v>3143</v>
      </c>
      <c r="G18586" s="4">
        <f>IFERROR(__xludf.DUMMYFUNCTION("""COMPUTED_VALUE"""),31.0)</f>
        <v>31</v>
      </c>
      <c r="H18586" s="4"/>
      <c r="I18586" s="4"/>
    </row>
    <row r="18587">
      <c r="A18587" s="4" t="str">
        <f>IFERROR(__xludf.DUMMYFUNCTION("""COMPUTED_VALUE"""),"cas_hmw")</f>
        <v>cas_hmw</v>
      </c>
      <c r="B18587" s="5">
        <f>IFERROR(__xludf.DUMMYFUNCTION("""COMPUTED_VALUE"""),44775.0)</f>
        <v>44775</v>
      </c>
      <c r="C18587" s="6">
        <f>IFERROR(__xludf.DUMMYFUNCTION("""COMPUTED_VALUE"""),0.3329513888893416)</f>
        <v>0.3329513889</v>
      </c>
      <c r="D18587" s="4">
        <f>IFERROR(__xludf.DUMMYFUNCTION("""COMPUTED_VALUE"""),12.988936)</f>
        <v>12.988936</v>
      </c>
      <c r="E18587" s="4">
        <f>IFERROR(__xludf.DUMMYFUNCTION("""COMPUTED_VALUE"""),80.178402)</f>
        <v>80.178402</v>
      </c>
      <c r="F18587" s="4">
        <f>IFERROR(__xludf.DUMMYFUNCTION("""COMPUTED_VALUE"""),3143.0)</f>
        <v>3143</v>
      </c>
      <c r="G18587" s="4">
        <f>IFERROR(__xludf.DUMMYFUNCTION("""COMPUTED_VALUE"""),38.0)</f>
        <v>38</v>
      </c>
      <c r="H18587" s="4"/>
      <c r="I18587" s="4"/>
    </row>
    <row r="18588">
      <c r="A18588" s="4" t="str">
        <f>IFERROR(__xludf.DUMMYFUNCTION("""COMPUTED_VALUE"""),"cas_hmw")</f>
        <v>cas_hmw</v>
      </c>
      <c r="B18588" s="5">
        <f>IFERROR(__xludf.DUMMYFUNCTION("""COMPUTED_VALUE"""),44775.0)</f>
        <v>44775</v>
      </c>
      <c r="C18588" s="6">
        <f>IFERROR(__xludf.DUMMYFUNCTION("""COMPUTED_VALUE"""),0.3336111111093487)</f>
        <v>0.3336111111</v>
      </c>
      <c r="D18588" s="4">
        <f>IFERROR(__xludf.DUMMYFUNCTION("""COMPUTED_VALUE"""),12.97085)</f>
        <v>12.97085</v>
      </c>
      <c r="E18588" s="4">
        <f>IFERROR(__xludf.DUMMYFUNCTION("""COMPUTED_VALUE"""),80.150787)</f>
        <v>80.150787</v>
      </c>
      <c r="F18588" s="4">
        <f>IFERROR(__xludf.DUMMYFUNCTION("""COMPUTED_VALUE"""),5339.0)</f>
        <v>5339</v>
      </c>
      <c r="G18588" s="4">
        <f>IFERROR(__xludf.DUMMYFUNCTION("""COMPUTED_VALUE"""),37.0)</f>
        <v>37</v>
      </c>
      <c r="H18588" s="4"/>
      <c r="I18588" s="4"/>
    </row>
    <row r="18589">
      <c r="A18589" s="4" t="str">
        <f>IFERROR(__xludf.DUMMYFUNCTION("""COMPUTED_VALUE"""),"cas_hmw")</f>
        <v>cas_hmw</v>
      </c>
      <c r="B18589" s="5">
        <f>IFERROR(__xludf.DUMMYFUNCTION("""COMPUTED_VALUE"""),44775.0)</f>
        <v>44775</v>
      </c>
      <c r="C18589" s="6">
        <f>IFERROR(__xludf.DUMMYFUNCTION("""COMPUTED_VALUE"""),0.3337615740747424)</f>
        <v>0.3337615741</v>
      </c>
      <c r="D18589" s="4">
        <f>IFERROR(__xludf.DUMMYFUNCTION("""COMPUTED_VALUE"""),12.969999)</f>
        <v>12.969999</v>
      </c>
      <c r="E18589" s="4">
        <f>IFERROR(__xludf.DUMMYFUNCTION("""COMPUTED_VALUE"""),80.150378)</f>
        <v>80.150378</v>
      </c>
      <c r="F18589" s="4">
        <f>IFERROR(__xludf.DUMMYFUNCTION("""COMPUTED_VALUE"""),5339.0)</f>
        <v>5339</v>
      </c>
      <c r="G18589" s="4">
        <f>IFERROR(__xludf.DUMMYFUNCTION("""COMPUTED_VALUE"""),34.0)</f>
        <v>34</v>
      </c>
      <c r="H18589" s="4"/>
      <c r="I18589" s="4"/>
    </row>
    <row r="18590">
      <c r="A18590" s="4" t="str">
        <f>IFERROR(__xludf.DUMMYFUNCTION("""COMPUTED_VALUE"""),"cas_hmw")</f>
        <v>cas_hmw</v>
      </c>
      <c r="B18590" s="5">
        <f>IFERROR(__xludf.DUMMYFUNCTION("""COMPUTED_VALUE"""),44775.0)</f>
        <v>44775</v>
      </c>
      <c r="C18590" s="6">
        <f>IFERROR(__xludf.DUMMYFUNCTION("""COMPUTED_VALUE"""),0.33380787037094706)</f>
        <v>0.3338078704</v>
      </c>
      <c r="D18590" s="4">
        <f>IFERROR(__xludf.DUMMYFUNCTION("""COMPUTED_VALUE"""),12.969999)</f>
        <v>12.969999</v>
      </c>
      <c r="E18590" s="4">
        <f>IFERROR(__xludf.DUMMYFUNCTION("""COMPUTED_VALUE"""),80.150378)</f>
        <v>80.150378</v>
      </c>
      <c r="F18590" s="4">
        <f>IFERROR(__xludf.DUMMYFUNCTION("""COMPUTED_VALUE"""),5339.0)</f>
        <v>5339</v>
      </c>
      <c r="G18590" s="4">
        <f>IFERROR(__xludf.DUMMYFUNCTION("""COMPUTED_VALUE"""),34.0)</f>
        <v>34</v>
      </c>
      <c r="H18590" s="4"/>
      <c r="I18590" s="4"/>
    </row>
    <row r="18591">
      <c r="A18591" s="4" t="str">
        <f>IFERROR(__xludf.DUMMYFUNCTION("""COMPUTED_VALUE"""),"cas_hmw")</f>
        <v>cas_hmw</v>
      </c>
      <c r="B18591" s="5">
        <f>IFERROR(__xludf.DUMMYFUNCTION("""COMPUTED_VALUE"""),44775.0)</f>
        <v>44775</v>
      </c>
      <c r="C18591" s="6">
        <f>IFERROR(__xludf.DUMMYFUNCTION("""COMPUTED_VALUE"""),0.3338657407402934)</f>
        <v>0.3338657407</v>
      </c>
      <c r="D18591" s="4">
        <f>IFERROR(__xludf.DUMMYFUNCTION("""COMPUTED_VALUE"""),12.985994)</f>
        <v>12.985994</v>
      </c>
      <c r="E18591" s="4">
        <f>IFERROR(__xludf.DUMMYFUNCTION("""COMPUTED_VALUE"""),80.174165)</f>
        <v>80.174165</v>
      </c>
      <c r="F18591" s="4">
        <f>IFERROR(__xludf.DUMMYFUNCTION("""COMPUTED_VALUE"""),3143.0)</f>
        <v>3143</v>
      </c>
      <c r="G18591" s="4">
        <f>IFERROR(__xludf.DUMMYFUNCTION("""COMPUTED_VALUE"""),39.0)</f>
        <v>39</v>
      </c>
      <c r="H18591" s="4"/>
      <c r="I18591" s="4"/>
    </row>
    <row r="18592">
      <c r="A18592" s="4" t="str">
        <f>IFERROR(__xludf.DUMMYFUNCTION("""COMPUTED_VALUE"""),"cas_hmw")</f>
        <v>cas_hmw</v>
      </c>
      <c r="B18592" s="5">
        <f>IFERROR(__xludf.DUMMYFUNCTION("""COMPUTED_VALUE"""),44775.0)</f>
        <v>44775</v>
      </c>
      <c r="C18592" s="6">
        <f>IFERROR(__xludf.DUMMYFUNCTION("""COMPUTED_VALUE"""),0.3340509259251121)</f>
        <v>0.3340509259</v>
      </c>
      <c r="D18592" s="4">
        <f>IFERROR(__xludf.DUMMYFUNCTION("""COMPUTED_VALUE"""),12.984872)</f>
        <v>12.984872</v>
      </c>
      <c r="E18592" s="4">
        <f>IFERROR(__xludf.DUMMYFUNCTION("""COMPUTED_VALUE"""),80.172502)</f>
        <v>80.172502</v>
      </c>
      <c r="F18592" s="4">
        <f>IFERROR(__xludf.DUMMYFUNCTION("""COMPUTED_VALUE"""),3143.0)</f>
        <v>3143</v>
      </c>
      <c r="G18592" s="4">
        <f>IFERROR(__xludf.DUMMYFUNCTION("""COMPUTED_VALUE"""),43.0)</f>
        <v>43</v>
      </c>
      <c r="H18592" s="4"/>
      <c r="I18592" s="4"/>
    </row>
    <row r="18593">
      <c r="A18593" s="4" t="str">
        <f>IFERROR(__xludf.DUMMYFUNCTION("""COMPUTED_VALUE"""),"cas_hmw")</f>
        <v>cas_hmw</v>
      </c>
      <c r="B18593" s="5">
        <f>IFERROR(__xludf.DUMMYFUNCTION("""COMPUTED_VALUE"""),44775.0)</f>
        <v>44775</v>
      </c>
      <c r="C18593" s="6">
        <f>IFERROR(__xludf.DUMMYFUNCTION("""COMPUTED_VALUE"""),0.33421296296364744)</f>
        <v>0.334212963</v>
      </c>
      <c r="D18593" s="4">
        <f>IFERROR(__xludf.DUMMYFUNCTION("""COMPUTED_VALUE"""),12.984329)</f>
        <v>12.984329</v>
      </c>
      <c r="E18593" s="4">
        <f>IFERROR(__xludf.DUMMYFUNCTION("""COMPUTED_VALUE"""),80.171608)</f>
        <v>80.171608</v>
      </c>
      <c r="F18593" s="4">
        <f>IFERROR(__xludf.DUMMYFUNCTION("""COMPUTED_VALUE"""),3143.0)</f>
        <v>3143</v>
      </c>
      <c r="G18593" s="4">
        <f>IFERROR(__xludf.DUMMYFUNCTION("""COMPUTED_VALUE"""),40.0)</f>
        <v>40</v>
      </c>
      <c r="H18593" s="4"/>
      <c r="I18593" s="4"/>
    </row>
    <row r="18594">
      <c r="A18594" s="4" t="str">
        <f>IFERROR(__xludf.DUMMYFUNCTION("""COMPUTED_VALUE"""),"cas_hmw")</f>
        <v>cas_hmw</v>
      </c>
      <c r="B18594" s="5">
        <f>IFERROR(__xludf.DUMMYFUNCTION("""COMPUTED_VALUE"""),44775.0)</f>
        <v>44775</v>
      </c>
      <c r="C18594" s="6">
        <f>IFERROR(__xludf.DUMMYFUNCTION("""COMPUTED_VALUE"""),0.3345254629639385)</f>
        <v>0.334525463</v>
      </c>
      <c r="D18594" s="4">
        <f>IFERROR(__xludf.DUMMYFUNCTION("""COMPUTED_VALUE"""),12.982388)</f>
        <v>12.982388</v>
      </c>
      <c r="E18594" s="4">
        <f>IFERROR(__xludf.DUMMYFUNCTION("""COMPUTED_VALUE"""),80.168349)</f>
        <v>80.168349</v>
      </c>
      <c r="F18594" s="4">
        <f>IFERROR(__xludf.DUMMYFUNCTION("""COMPUTED_VALUE"""),3143.0)</f>
        <v>3143</v>
      </c>
      <c r="G18594" s="4">
        <f>IFERROR(__xludf.DUMMYFUNCTION("""COMPUTED_VALUE"""),57.0)</f>
        <v>57</v>
      </c>
      <c r="H18594" s="4"/>
      <c r="I18594" s="4"/>
    </row>
    <row r="18595">
      <c r="A18595" s="4" t="str">
        <f>IFERROR(__xludf.DUMMYFUNCTION("""COMPUTED_VALUE"""),"cas_hmw")</f>
        <v>cas_hmw</v>
      </c>
      <c r="B18595" s="5">
        <f>IFERROR(__xludf.DUMMYFUNCTION("""COMPUTED_VALUE"""),44775.0)</f>
        <v>44775</v>
      </c>
      <c r="C18595" s="6">
        <f>IFERROR(__xludf.DUMMYFUNCTION("""COMPUTED_VALUE"""),0.3348032407411665)</f>
        <v>0.3348032407</v>
      </c>
      <c r="D18595" s="4">
        <f>IFERROR(__xludf.DUMMYFUNCTION("""COMPUTED_VALUE"""),12.981069)</f>
        <v>12.981069</v>
      </c>
      <c r="E18595" s="4">
        <f>IFERROR(__xludf.DUMMYFUNCTION("""COMPUTED_VALUE"""),80.166135)</f>
        <v>80.166135</v>
      </c>
      <c r="F18595" s="4">
        <f>IFERROR(__xludf.DUMMYFUNCTION("""COMPUTED_VALUE"""),3143.0)</f>
        <v>3143</v>
      </c>
      <c r="G18595" s="4">
        <f>IFERROR(__xludf.DUMMYFUNCTION("""COMPUTED_VALUE"""),45.0)</f>
        <v>45</v>
      </c>
      <c r="H18595" s="4"/>
      <c r="I18595" s="4"/>
    </row>
    <row r="18596">
      <c r="A18596" s="4" t="str">
        <f>IFERROR(__xludf.DUMMYFUNCTION("""COMPUTED_VALUE"""),"cas_hmw")</f>
        <v>cas_hmw</v>
      </c>
      <c r="B18596" s="5">
        <f>IFERROR(__xludf.DUMMYFUNCTION("""COMPUTED_VALUE"""),44775.0)</f>
        <v>44775</v>
      </c>
      <c r="C18596" s="6">
        <f>IFERROR(__xludf.DUMMYFUNCTION("""COMPUTED_VALUE"""),0.3351851851839456)</f>
        <v>0.3351851852</v>
      </c>
      <c r="D18596" s="4">
        <f>IFERROR(__xludf.DUMMYFUNCTION("""COMPUTED_VALUE"""),12.979723)</f>
        <v>12.979723</v>
      </c>
      <c r="E18596" s="4">
        <f>IFERROR(__xludf.DUMMYFUNCTION("""COMPUTED_VALUE"""),80.162642)</f>
        <v>80.162642</v>
      </c>
      <c r="F18596" s="4">
        <f>IFERROR(__xludf.DUMMYFUNCTION("""COMPUTED_VALUE"""),3143.0)</f>
        <v>3143</v>
      </c>
      <c r="G18596" s="4">
        <f>IFERROR(__xludf.DUMMYFUNCTION("""COMPUTED_VALUE"""),36.0)</f>
        <v>36</v>
      </c>
      <c r="H18596" s="4"/>
      <c r="I18596" s="4"/>
    </row>
    <row r="18597">
      <c r="A18597" s="4" t="str">
        <f>IFERROR(__xludf.DUMMYFUNCTION("""COMPUTED_VALUE"""),"cas_hmw")</f>
        <v>cas_hmw</v>
      </c>
      <c r="B18597" s="5">
        <f>IFERROR(__xludf.DUMMYFUNCTION("""COMPUTED_VALUE"""),44775.0)</f>
        <v>44775</v>
      </c>
      <c r="C18597" s="6">
        <f>IFERROR(__xludf.DUMMYFUNCTION("""COMPUTED_VALUE"""),0.3352199074070086)</f>
        <v>0.3352199074</v>
      </c>
      <c r="D18597" s="4">
        <f>IFERROR(__xludf.DUMMYFUNCTION("""COMPUTED_VALUE"""),12.965469)</f>
        <v>12.965469</v>
      </c>
      <c r="E18597" s="4">
        <f>IFERROR(__xludf.DUMMYFUNCTION("""COMPUTED_VALUE"""),80.148297)</f>
        <v>80.148297</v>
      </c>
      <c r="F18597" s="4">
        <f>IFERROR(__xludf.DUMMYFUNCTION("""COMPUTED_VALUE"""),5339.0)</f>
        <v>5339</v>
      </c>
      <c r="G18597" s="4">
        <f>IFERROR(__xludf.DUMMYFUNCTION("""COMPUTED_VALUE"""),20.0)</f>
        <v>20</v>
      </c>
      <c r="H18597" s="4"/>
      <c r="I18597" s="4"/>
    </row>
    <row r="18598">
      <c r="A18598" s="4" t="str">
        <f>IFERROR(__xludf.DUMMYFUNCTION("""COMPUTED_VALUE"""),"cas_hmw")</f>
        <v>cas_hmw</v>
      </c>
      <c r="B18598" s="5">
        <f>IFERROR(__xludf.DUMMYFUNCTION("""COMPUTED_VALUE"""),44775.0)</f>
        <v>44775</v>
      </c>
      <c r="C18598" s="6">
        <f>IFERROR(__xludf.DUMMYFUNCTION("""COMPUTED_VALUE"""),0.3354282407417486)</f>
        <v>0.3354282407</v>
      </c>
      <c r="D18598" s="4">
        <f>IFERROR(__xludf.DUMMYFUNCTION("""COMPUTED_VALUE"""),12.964096)</f>
        <v>12.964096</v>
      </c>
      <c r="E18598" s="4">
        <f>IFERROR(__xludf.DUMMYFUNCTION("""COMPUTED_VALUE"""),80.147504)</f>
        <v>80.147504</v>
      </c>
      <c r="F18598" s="4">
        <f>IFERROR(__xludf.DUMMYFUNCTION("""COMPUTED_VALUE"""),5339.0)</f>
        <v>5339</v>
      </c>
      <c r="G18598" s="4">
        <f>IFERROR(__xludf.DUMMYFUNCTION("""COMPUTED_VALUE"""),39.0)</f>
        <v>39</v>
      </c>
      <c r="H18598" s="4"/>
      <c r="I18598" s="4"/>
    </row>
    <row r="18599">
      <c r="A18599" s="4" t="str">
        <f>IFERROR(__xludf.DUMMYFUNCTION("""COMPUTED_VALUE"""),"cas_hmw")</f>
        <v>cas_hmw</v>
      </c>
      <c r="B18599" s="5">
        <f>IFERROR(__xludf.DUMMYFUNCTION("""COMPUTED_VALUE"""),44775.0)</f>
        <v>44775</v>
      </c>
      <c r="C18599" s="6">
        <f>IFERROR(__xludf.DUMMYFUNCTION("""COMPUTED_VALUE"""),0.33555555555722094)</f>
        <v>0.3355555556</v>
      </c>
      <c r="D18599" s="4">
        <f>IFERROR(__xludf.DUMMYFUNCTION("""COMPUTED_VALUE"""),12.963152)</f>
        <v>12.963152</v>
      </c>
      <c r="E18599" s="4">
        <f>IFERROR(__xludf.DUMMYFUNCTION("""COMPUTED_VALUE"""),80.146964)</f>
        <v>80.146964</v>
      </c>
      <c r="F18599" s="4">
        <f>IFERROR(__xludf.DUMMYFUNCTION("""COMPUTED_VALUE"""),5339.0)</f>
        <v>5339</v>
      </c>
      <c r="G18599" s="4">
        <f>IFERROR(__xludf.DUMMYFUNCTION("""COMPUTED_VALUE"""),44.0)</f>
        <v>44</v>
      </c>
      <c r="H18599" s="4"/>
      <c r="I18599" s="4"/>
    </row>
    <row r="18600">
      <c r="A18600" s="4" t="str">
        <f>IFERROR(__xludf.DUMMYFUNCTION("""COMPUTED_VALUE"""),"cas_hmw")</f>
        <v>cas_hmw</v>
      </c>
      <c r="B18600" s="5">
        <f>IFERROR(__xludf.DUMMYFUNCTION("""COMPUTED_VALUE"""),44775.0)</f>
        <v>44775</v>
      </c>
      <c r="C18600" s="6">
        <f>IFERROR(__xludf.DUMMYFUNCTION("""COMPUTED_VALUE"""),0.33563657407285064)</f>
        <v>0.3356365741</v>
      </c>
      <c r="D18600" s="4">
        <f>IFERROR(__xludf.DUMMYFUNCTION("""COMPUTED_VALUE"""),12.977349)</f>
        <v>12.977349</v>
      </c>
      <c r="E18600" s="4">
        <f>IFERROR(__xludf.DUMMYFUNCTION("""COMPUTED_VALUE"""),80.159166)</f>
        <v>80.159166</v>
      </c>
      <c r="F18600" s="4">
        <f>IFERROR(__xludf.DUMMYFUNCTION("""COMPUTED_VALUE"""),3143.0)</f>
        <v>3143</v>
      </c>
      <c r="G18600" s="4">
        <f>IFERROR(__xludf.DUMMYFUNCTION("""COMPUTED_VALUE"""),46.0)</f>
        <v>46</v>
      </c>
      <c r="H18600" s="4"/>
      <c r="I18600" s="4"/>
    </row>
    <row r="18601">
      <c r="A18601" s="4" t="str">
        <f>IFERROR(__xludf.DUMMYFUNCTION("""COMPUTED_VALUE"""),"cas_hmw")</f>
        <v>cas_hmw</v>
      </c>
      <c r="B18601" s="5">
        <f>IFERROR(__xludf.DUMMYFUNCTION("""COMPUTED_VALUE"""),44775.0)</f>
        <v>44775</v>
      </c>
      <c r="C18601" s="6">
        <f>IFERROR(__xludf.DUMMYFUNCTION("""COMPUTED_VALUE"""),0.33570601851897663)</f>
        <v>0.3357060185</v>
      </c>
      <c r="D18601" s="4">
        <f>IFERROR(__xludf.DUMMYFUNCTION("""COMPUTED_VALUE"""),12.724495)</f>
        <v>12.724495</v>
      </c>
      <c r="E18601" s="4">
        <f>IFERROR(__xludf.DUMMYFUNCTION("""COMPUTED_VALUE"""),79.981725)</f>
        <v>79.981725</v>
      </c>
      <c r="F18601" s="4">
        <f>IFERROR(__xludf.DUMMYFUNCTION("""COMPUTED_VALUE"""),2846.0)</f>
        <v>2846</v>
      </c>
      <c r="G18601" s="4">
        <f>IFERROR(__xludf.DUMMYFUNCTION("""COMPUTED_VALUE"""),12.0)</f>
        <v>12</v>
      </c>
      <c r="H18601" s="4"/>
      <c r="I18601" s="4"/>
    </row>
    <row r="18602">
      <c r="A18602" s="4" t="str">
        <f>IFERROR(__xludf.DUMMYFUNCTION("""COMPUTED_VALUE"""),"cas_hmw")</f>
        <v>cas_hmw</v>
      </c>
      <c r="B18602" s="5">
        <f>IFERROR(__xludf.DUMMYFUNCTION("""COMPUTED_VALUE"""),44775.0)</f>
        <v>44775</v>
      </c>
      <c r="C18602" s="6">
        <f>IFERROR(__xludf.DUMMYFUNCTION("""COMPUTED_VALUE"""),0.33581018518452765)</f>
        <v>0.3358101852</v>
      </c>
      <c r="D18602" s="4">
        <f>IFERROR(__xludf.DUMMYFUNCTION("""COMPUTED_VALUE"""),12.724495)</f>
        <v>12.724495</v>
      </c>
      <c r="E18602" s="4">
        <f>IFERROR(__xludf.DUMMYFUNCTION("""COMPUTED_VALUE"""),79.981725)</f>
        <v>79.981725</v>
      </c>
      <c r="F18602" s="4">
        <f>IFERROR(__xludf.DUMMYFUNCTION("""COMPUTED_VALUE"""),2846.0)</f>
        <v>2846</v>
      </c>
      <c r="G18602" s="4">
        <f>IFERROR(__xludf.DUMMYFUNCTION("""COMPUTED_VALUE"""),12.0)</f>
        <v>12</v>
      </c>
      <c r="H18602" s="4"/>
      <c r="I18602" s="4"/>
    </row>
    <row r="18603">
      <c r="A18603" s="4" t="str">
        <f>IFERROR(__xludf.DUMMYFUNCTION("""COMPUTED_VALUE"""),"cas_hmw")</f>
        <v>cas_hmw</v>
      </c>
      <c r="B18603" s="5">
        <f>IFERROR(__xludf.DUMMYFUNCTION("""COMPUTED_VALUE"""),44775.0)</f>
        <v>44775</v>
      </c>
      <c r="C18603" s="6">
        <f>IFERROR(__xludf.DUMMYFUNCTION("""COMPUTED_VALUE"""),0.33606481481547235)</f>
        <v>0.3360648148</v>
      </c>
      <c r="D18603" s="4">
        <f>IFERROR(__xludf.DUMMYFUNCTION("""COMPUTED_VALUE"""),12.724495)</f>
        <v>12.724495</v>
      </c>
      <c r="E18603" s="4">
        <f>IFERROR(__xludf.DUMMYFUNCTION("""COMPUTED_VALUE"""),79.981725)</f>
        <v>79.981725</v>
      </c>
      <c r="F18603" s="4">
        <f>IFERROR(__xludf.DUMMYFUNCTION("""COMPUTED_VALUE"""),2846.0)</f>
        <v>2846</v>
      </c>
      <c r="G18603" s="4">
        <f>IFERROR(__xludf.DUMMYFUNCTION("""COMPUTED_VALUE"""),12.0)</f>
        <v>12</v>
      </c>
      <c r="H18603" s="4"/>
      <c r="I18603" s="4"/>
    </row>
    <row r="18604">
      <c r="A18604" s="4" t="str">
        <f>IFERROR(__xludf.DUMMYFUNCTION("""COMPUTED_VALUE"""),"cas_hmw")</f>
        <v>cas_hmw</v>
      </c>
      <c r="B18604" s="5">
        <f>IFERROR(__xludf.DUMMYFUNCTION("""COMPUTED_VALUE"""),44775.0)</f>
        <v>44775</v>
      </c>
      <c r="C18604" s="6">
        <f>IFERROR(__xludf.DUMMYFUNCTION("""COMPUTED_VALUE"""),0.33616898148102337)</f>
        <v>0.3361689815</v>
      </c>
      <c r="D18604" s="4">
        <f>IFERROR(__xludf.DUMMYFUNCTION("""COMPUTED_VALUE"""),12.726566)</f>
        <v>12.726566</v>
      </c>
      <c r="E18604" s="4">
        <f>IFERROR(__xludf.DUMMYFUNCTION("""COMPUTED_VALUE"""),79.982346)</f>
        <v>79.982346</v>
      </c>
      <c r="F18604" s="4">
        <f>IFERROR(__xludf.DUMMYFUNCTION("""COMPUTED_VALUE"""),2846.0)</f>
        <v>2846</v>
      </c>
      <c r="G18604" s="4">
        <f>IFERROR(__xludf.DUMMYFUNCTION("""COMPUTED_VALUE"""),29.0)</f>
        <v>29</v>
      </c>
      <c r="H18604" s="4"/>
      <c r="I18604" s="4"/>
    </row>
    <row r="18605">
      <c r="A18605" s="4" t="str">
        <f>IFERROR(__xludf.DUMMYFUNCTION("""COMPUTED_VALUE"""),"cas_hmw")</f>
        <v>cas_hmw</v>
      </c>
      <c r="B18605" s="5">
        <f>IFERROR(__xludf.DUMMYFUNCTION("""COMPUTED_VALUE"""),44775.0)</f>
        <v>44775</v>
      </c>
      <c r="C18605" s="6">
        <f>IFERROR(__xludf.DUMMYFUNCTION("""COMPUTED_VALUE"""),0.3365162037043774)</f>
        <v>0.3365162037</v>
      </c>
      <c r="D18605" s="4">
        <f>IFERROR(__xludf.DUMMYFUNCTION("""COMPUTED_VALUE"""),12.730052)</f>
        <v>12.730052</v>
      </c>
      <c r="E18605" s="4">
        <f>IFERROR(__xludf.DUMMYFUNCTION("""COMPUTED_VALUE"""),79.982707)</f>
        <v>79.982707</v>
      </c>
      <c r="F18605" s="4">
        <f>IFERROR(__xludf.DUMMYFUNCTION("""COMPUTED_VALUE"""),2846.0)</f>
        <v>2846</v>
      </c>
      <c r="G18605" s="4">
        <f>IFERROR(__xludf.DUMMYFUNCTION("""COMPUTED_VALUE"""),37.0)</f>
        <v>37</v>
      </c>
      <c r="H18605" s="4"/>
      <c r="I18605" s="4"/>
    </row>
    <row r="18606">
      <c r="A18606" s="4" t="str">
        <f>IFERROR(__xludf.DUMMYFUNCTION("""COMPUTED_VALUE"""),"cas_hmw")</f>
        <v>cas_hmw</v>
      </c>
      <c r="B18606" s="5">
        <f>IFERROR(__xludf.DUMMYFUNCTION("""COMPUTED_VALUE"""),44775.0)</f>
        <v>44775</v>
      </c>
      <c r="C18606" s="6">
        <f>IFERROR(__xludf.DUMMYFUNCTION("""COMPUTED_VALUE"""),0.33694444444336114)</f>
        <v>0.3369444444</v>
      </c>
      <c r="D18606" s="4">
        <f>IFERROR(__xludf.DUMMYFUNCTION("""COMPUTED_VALUE"""),12.958395)</f>
        <v>12.958395</v>
      </c>
      <c r="E18606" s="4">
        <f>IFERROR(__xludf.DUMMYFUNCTION("""COMPUTED_VALUE"""),80.144365)</f>
        <v>80.144365</v>
      </c>
      <c r="F18606" s="4">
        <f>IFERROR(__xludf.DUMMYFUNCTION("""COMPUTED_VALUE"""),5339.0)</f>
        <v>5339</v>
      </c>
      <c r="G18606" s="4">
        <f>IFERROR(__xludf.DUMMYFUNCTION("""COMPUTED_VALUE"""),52.0)</f>
        <v>52</v>
      </c>
      <c r="H18606" s="4"/>
      <c r="I18606" s="4"/>
    </row>
    <row r="18607">
      <c r="A18607" s="4" t="str">
        <f>IFERROR(__xludf.DUMMYFUNCTION("""COMPUTED_VALUE"""),"cas_hmw")</f>
        <v>cas_hmw</v>
      </c>
      <c r="B18607" s="5">
        <f>IFERROR(__xludf.DUMMYFUNCTION("""COMPUTED_VALUE"""),44775.0)</f>
        <v>44775</v>
      </c>
      <c r="C18607" s="6">
        <f>IFERROR(__xludf.DUMMYFUNCTION("""COMPUTED_VALUE"""),0.3371296296281798)</f>
        <v>0.3371296296</v>
      </c>
      <c r="D18607" s="4">
        <f>IFERROR(__xludf.DUMMYFUNCTION("""COMPUTED_VALUE"""),12.956237)</f>
        <v>12.956237</v>
      </c>
      <c r="E18607" s="4">
        <f>IFERROR(__xludf.DUMMYFUNCTION("""COMPUTED_VALUE"""),80.143248)</f>
        <v>80.143248</v>
      </c>
      <c r="F18607" s="4">
        <f>IFERROR(__xludf.DUMMYFUNCTION("""COMPUTED_VALUE"""),5339.0)</f>
        <v>5339</v>
      </c>
      <c r="G18607" s="4">
        <f>IFERROR(__xludf.DUMMYFUNCTION("""COMPUTED_VALUE"""),40.0)</f>
        <v>40</v>
      </c>
      <c r="H18607" s="4"/>
      <c r="I18607" s="4"/>
    </row>
    <row r="18608">
      <c r="A18608" s="4" t="str">
        <f>IFERROR(__xludf.DUMMYFUNCTION("""COMPUTED_VALUE"""),"cas_hmw")</f>
        <v>cas_hmw</v>
      </c>
      <c r="B18608" s="5">
        <f>IFERROR(__xludf.DUMMYFUNCTION("""COMPUTED_VALUE"""),44775.0)</f>
        <v>44775</v>
      </c>
      <c r="C18608" s="6">
        <f>IFERROR(__xludf.DUMMYFUNCTION("""COMPUTED_VALUE"""),0.3382986111100763)</f>
        <v>0.3382986111</v>
      </c>
      <c r="D18608" s="4">
        <f>IFERROR(__xludf.DUMMYFUNCTION("""COMPUTED_VALUE"""),12.952286)</f>
        <v>12.952286</v>
      </c>
      <c r="E18608" s="4">
        <f>IFERROR(__xludf.DUMMYFUNCTION("""COMPUTED_VALUE"""),80.140948)</f>
        <v>80.140948</v>
      </c>
      <c r="F18608" s="4">
        <f>IFERROR(__xludf.DUMMYFUNCTION("""COMPUTED_VALUE"""),5339.0)</f>
        <v>5339</v>
      </c>
      <c r="G18608" s="4">
        <f>IFERROR(__xludf.DUMMYFUNCTION("""COMPUTED_VALUE"""),19.0)</f>
        <v>19</v>
      </c>
      <c r="H18608" s="4"/>
      <c r="I18608" s="4"/>
    </row>
    <row r="18609">
      <c r="A18609" s="4" t="str">
        <f>IFERROR(__xludf.DUMMYFUNCTION("""COMPUTED_VALUE"""),"cas_hmw")</f>
        <v>cas_hmw</v>
      </c>
      <c r="B18609" s="5">
        <f>IFERROR(__xludf.DUMMYFUNCTION("""COMPUTED_VALUE"""),44775.0)</f>
        <v>44775</v>
      </c>
      <c r="C18609" s="6">
        <f>IFERROR(__xludf.DUMMYFUNCTION("""COMPUTED_VALUE"""),0.338518518517958)</f>
        <v>0.3385185185</v>
      </c>
      <c r="D18609" s="4">
        <f>IFERROR(__xludf.DUMMYFUNCTION("""COMPUTED_VALUE"""),12.961342)</f>
        <v>12.961342</v>
      </c>
      <c r="E18609" s="4">
        <f>IFERROR(__xludf.DUMMYFUNCTION("""COMPUTED_VALUE"""),80.146018)</f>
        <v>80.146018</v>
      </c>
      <c r="F18609" s="4">
        <f>IFERROR(__xludf.DUMMYFUNCTION("""COMPUTED_VALUE"""),3143.0)</f>
        <v>3143</v>
      </c>
      <c r="G18609" s="4">
        <f>IFERROR(__xludf.DUMMYFUNCTION("""COMPUTED_VALUE"""),30.0)</f>
        <v>30</v>
      </c>
      <c r="H18609" s="4"/>
      <c r="I18609" s="4"/>
    </row>
    <row r="18610">
      <c r="A18610" s="4" t="str">
        <f>IFERROR(__xludf.DUMMYFUNCTION("""COMPUTED_VALUE"""),"cas_hmw")</f>
        <v>cas_hmw</v>
      </c>
      <c r="B18610" s="5">
        <f>IFERROR(__xludf.DUMMYFUNCTION("""COMPUTED_VALUE"""),44775.0)</f>
        <v>44775</v>
      </c>
      <c r="C18610" s="6">
        <f>IFERROR(__xludf.DUMMYFUNCTION("""COMPUTED_VALUE"""),0.3394212962957681)</f>
        <v>0.3394212963</v>
      </c>
      <c r="D18610" s="4">
        <f>IFERROR(__xludf.DUMMYFUNCTION("""COMPUTED_VALUE"""),12.956332)</f>
        <v>12.956332</v>
      </c>
      <c r="E18610" s="4">
        <f>IFERROR(__xludf.DUMMYFUNCTION("""COMPUTED_VALUE"""),80.143386)</f>
        <v>80.143386</v>
      </c>
      <c r="F18610" s="4">
        <f>IFERROR(__xludf.DUMMYFUNCTION("""COMPUTED_VALUE"""),3143.0)</f>
        <v>3143</v>
      </c>
      <c r="G18610" s="4">
        <f>IFERROR(__xludf.DUMMYFUNCTION("""COMPUTED_VALUE"""),15.0)</f>
        <v>15</v>
      </c>
      <c r="H18610" s="4"/>
      <c r="I18610" s="4"/>
    </row>
    <row r="18611">
      <c r="A18611" s="4" t="str">
        <f>IFERROR(__xludf.DUMMYFUNCTION("""COMPUTED_VALUE"""),"cas_hmw")</f>
        <v>cas_hmw</v>
      </c>
      <c r="B18611" s="5">
        <f>IFERROR(__xludf.DUMMYFUNCTION("""COMPUTED_VALUE"""),44775.0)</f>
        <v>44775</v>
      </c>
      <c r="C18611" s="6">
        <f>IFERROR(__xludf.DUMMYFUNCTION("""COMPUTED_VALUE"""),0.3394907407418941)</f>
        <v>0.3394907407</v>
      </c>
      <c r="D18611" s="4">
        <f>IFERROR(__xludf.DUMMYFUNCTION("""COMPUTED_VALUE"""),12.955779)</f>
        <v>12.955779</v>
      </c>
      <c r="E18611" s="4">
        <f>IFERROR(__xludf.DUMMYFUNCTION("""COMPUTED_VALUE"""),80.143054)</f>
        <v>80.143054</v>
      </c>
      <c r="F18611" s="4">
        <f>IFERROR(__xludf.DUMMYFUNCTION("""COMPUTED_VALUE"""),3143.0)</f>
        <v>3143</v>
      </c>
      <c r="G18611" s="4">
        <f>IFERROR(__xludf.DUMMYFUNCTION("""COMPUTED_VALUE"""),33.0)</f>
        <v>33</v>
      </c>
      <c r="H18611" s="4"/>
      <c r="I18611" s="4"/>
    </row>
    <row r="18612">
      <c r="A18612" s="4" t="str">
        <f>IFERROR(__xludf.DUMMYFUNCTION("""COMPUTED_VALUE"""),"cas_hmw")</f>
        <v>cas_hmw</v>
      </c>
      <c r="B18612" s="5">
        <f>IFERROR(__xludf.DUMMYFUNCTION("""COMPUTED_VALUE"""),44775.0)</f>
        <v>44775</v>
      </c>
      <c r="C18612" s="6">
        <f>IFERROR(__xludf.DUMMYFUNCTION("""COMPUTED_VALUE"""),0.33959490740744513)</f>
        <v>0.3395949074</v>
      </c>
      <c r="D18612" s="4">
        <f>IFERROR(__xludf.DUMMYFUNCTION("""COMPUTED_VALUE"""),12.954953)</f>
        <v>12.954953</v>
      </c>
      <c r="E18612" s="4">
        <f>IFERROR(__xludf.DUMMYFUNCTION("""COMPUTED_VALUE"""),80.142602)</f>
        <v>80.142602</v>
      </c>
      <c r="F18612" s="4">
        <f>IFERROR(__xludf.DUMMYFUNCTION("""COMPUTED_VALUE"""),3143.0)</f>
        <v>3143</v>
      </c>
      <c r="G18612" s="4">
        <f>IFERROR(__xludf.DUMMYFUNCTION("""COMPUTED_VALUE"""),38.0)</f>
        <v>38</v>
      </c>
      <c r="H18612" s="4"/>
      <c r="I18612" s="4"/>
    </row>
    <row r="18613">
      <c r="A18613" s="4" t="str">
        <f>IFERROR(__xludf.DUMMYFUNCTION("""COMPUTED_VALUE"""),"cas_hmw")</f>
        <v>cas_hmw</v>
      </c>
      <c r="B18613" s="5">
        <f>IFERROR(__xludf.DUMMYFUNCTION("""COMPUTED_VALUE"""),44775.0)</f>
        <v>44775</v>
      </c>
      <c r="C18613" s="6">
        <f>IFERROR(__xludf.DUMMYFUNCTION("""COMPUTED_VALUE"""),0.3399305555540195)</f>
        <v>0.3399305556</v>
      </c>
      <c r="D18613" s="4">
        <f>IFERROR(__xludf.DUMMYFUNCTION("""COMPUTED_VALUE"""),12.746347)</f>
        <v>12.746347</v>
      </c>
      <c r="E18613" s="4">
        <f>IFERROR(__xludf.DUMMYFUNCTION("""COMPUTED_VALUE"""),79.994792)</f>
        <v>79.994792</v>
      </c>
      <c r="F18613" s="4">
        <f>IFERROR(__xludf.DUMMYFUNCTION("""COMPUTED_VALUE"""),2846.0)</f>
        <v>2846</v>
      </c>
      <c r="G18613" s="4">
        <f>IFERROR(__xludf.DUMMYFUNCTION("""COMPUTED_VALUE"""),57.0)</f>
        <v>57</v>
      </c>
      <c r="H18613" s="4"/>
      <c r="I18613" s="4"/>
    </row>
    <row r="18614">
      <c r="A18614" s="4" t="str">
        <f>IFERROR(__xludf.DUMMYFUNCTION("""COMPUTED_VALUE"""),"cas_hmw")</f>
        <v>cas_hmw</v>
      </c>
      <c r="B18614" s="5">
        <f>IFERROR(__xludf.DUMMYFUNCTION("""COMPUTED_VALUE"""),44775.0)</f>
        <v>44775</v>
      </c>
      <c r="C18614" s="6">
        <f>IFERROR(__xludf.DUMMYFUNCTION("""COMPUTED_VALUE"""),0.34046296296219225)</f>
        <v>0.340462963</v>
      </c>
      <c r="D18614" s="4">
        <f>IFERROR(__xludf.DUMMYFUNCTION("""COMPUTED_VALUE"""),12.76108)</f>
        <v>12.76108</v>
      </c>
      <c r="E18614" s="4">
        <f>IFERROR(__xludf.DUMMYFUNCTION("""COMPUTED_VALUE"""),80.003438)</f>
        <v>80.003438</v>
      </c>
      <c r="F18614" s="4">
        <f>IFERROR(__xludf.DUMMYFUNCTION("""COMPUTED_VALUE"""),2846.0)</f>
        <v>2846</v>
      </c>
      <c r="G18614" s="4">
        <f>IFERROR(__xludf.DUMMYFUNCTION("""COMPUTED_VALUE"""),31.0)</f>
        <v>31</v>
      </c>
      <c r="H18614" s="4"/>
      <c r="I18614" s="4"/>
    </row>
    <row r="18615">
      <c r="A18615" s="4" t="str">
        <f>IFERROR(__xludf.DUMMYFUNCTION("""COMPUTED_VALUE"""),"cas_hmw")</f>
        <v>cas_hmw</v>
      </c>
      <c r="B18615" s="5">
        <f>IFERROR(__xludf.DUMMYFUNCTION("""COMPUTED_VALUE"""),44775.0)</f>
        <v>44775</v>
      </c>
      <c r="C18615" s="6">
        <f>IFERROR(__xludf.DUMMYFUNCTION("""COMPUTED_VALUE"""),0.3411805555551837)</f>
        <v>0.3411805556</v>
      </c>
      <c r="D18615" s="4">
        <f>IFERROR(__xludf.DUMMYFUNCTION("""COMPUTED_VALUE"""),12.95055)</f>
        <v>12.95055</v>
      </c>
      <c r="E18615" s="4">
        <f>IFERROR(__xludf.DUMMYFUNCTION("""COMPUTED_VALUE"""),80.139767)</f>
        <v>80.139767</v>
      </c>
      <c r="F18615" s="4">
        <f>IFERROR(__xludf.DUMMYFUNCTION("""COMPUTED_VALUE"""),3143.0)</f>
        <v>3143</v>
      </c>
      <c r="G18615" s="4">
        <f>IFERROR(__xludf.DUMMYFUNCTION("""COMPUTED_VALUE"""),0.0)</f>
        <v>0</v>
      </c>
      <c r="H18615" s="4"/>
      <c r="I18615" s="4"/>
    </row>
    <row r="18616">
      <c r="A18616" s="4" t="str">
        <f>IFERROR(__xludf.DUMMYFUNCTION("""COMPUTED_VALUE"""),"cas_hmw")</f>
        <v>cas_hmw</v>
      </c>
      <c r="B18616" s="5">
        <f>IFERROR(__xludf.DUMMYFUNCTION("""COMPUTED_VALUE"""),44775.0)</f>
        <v>44775</v>
      </c>
      <c r="C18616" s="6">
        <f>IFERROR(__xludf.DUMMYFUNCTION("""COMPUTED_VALUE"""),0.34136574074000237)</f>
        <v>0.3413657407</v>
      </c>
      <c r="D18616" s="4">
        <f>IFERROR(__xludf.DUMMYFUNCTION("""COMPUTED_VALUE"""),12.949474)</f>
        <v>12.949474</v>
      </c>
      <c r="E18616" s="4">
        <f>IFERROR(__xludf.DUMMYFUNCTION("""COMPUTED_VALUE"""),80.138851)</f>
        <v>80.138851</v>
      </c>
      <c r="F18616" s="4">
        <f>IFERROR(__xludf.DUMMYFUNCTION("""COMPUTED_VALUE"""),3143.0)</f>
        <v>3143</v>
      </c>
      <c r="G18616" s="4">
        <f>IFERROR(__xludf.DUMMYFUNCTION("""COMPUTED_VALUE"""),42.0)</f>
        <v>42</v>
      </c>
      <c r="H18616" s="4"/>
      <c r="I18616" s="4"/>
    </row>
    <row r="18617">
      <c r="A18617" s="4" t="str">
        <f>IFERROR(__xludf.DUMMYFUNCTION("""COMPUTED_VALUE"""),"cas_hmw")</f>
        <v>cas_hmw</v>
      </c>
      <c r="B18617" s="5">
        <f>IFERROR(__xludf.DUMMYFUNCTION("""COMPUTED_VALUE"""),44775.0)</f>
        <v>44775</v>
      </c>
      <c r="C18617" s="6">
        <f>IFERROR(__xludf.DUMMYFUNCTION("""COMPUTED_VALUE"""),0.34144675925927004)</f>
        <v>0.3414467593</v>
      </c>
      <c r="D18617" s="4">
        <f>IFERROR(__xludf.DUMMYFUNCTION("""COMPUTED_VALUE"""),12.948588)</f>
        <v>12.948588</v>
      </c>
      <c r="E18617" s="4">
        <f>IFERROR(__xludf.DUMMYFUNCTION("""COMPUTED_VALUE"""),80.1381)</f>
        <v>80.1381</v>
      </c>
      <c r="F18617" s="4">
        <f>IFERROR(__xludf.DUMMYFUNCTION("""COMPUTED_VALUE"""),3143.0)</f>
        <v>3143</v>
      </c>
      <c r="G18617" s="4">
        <f>IFERROR(__xludf.DUMMYFUNCTION("""COMPUTED_VALUE"""),49.0)</f>
        <v>49</v>
      </c>
      <c r="H18617" s="4"/>
      <c r="I18617" s="4"/>
    </row>
    <row r="18618">
      <c r="A18618" s="4" t="str">
        <f>IFERROR(__xludf.DUMMYFUNCTION("""COMPUTED_VALUE"""),"cas_hmw")</f>
        <v>cas_hmw</v>
      </c>
      <c r="B18618" s="5">
        <f>IFERROR(__xludf.DUMMYFUNCTION("""COMPUTED_VALUE"""),44775.0)</f>
        <v>44775</v>
      </c>
      <c r="C18618" s="6">
        <f>IFERROR(__xludf.DUMMYFUNCTION("""COMPUTED_VALUE"""),0.34216435185226146)</f>
        <v>0.3421643519</v>
      </c>
      <c r="D18618" s="4">
        <f>IFERROR(__xludf.DUMMYFUNCTION("""COMPUTED_VALUE"""),12.92992)</f>
        <v>12.92992</v>
      </c>
      <c r="E18618" s="4">
        <f>IFERROR(__xludf.DUMMYFUNCTION("""COMPUTED_VALUE"""),80.121207)</f>
        <v>80.121207</v>
      </c>
      <c r="F18618" s="4">
        <f>IFERROR(__xludf.DUMMYFUNCTION("""COMPUTED_VALUE"""),5339.0)</f>
        <v>5339</v>
      </c>
      <c r="G18618" s="4">
        <f>IFERROR(__xludf.DUMMYFUNCTION("""COMPUTED_VALUE"""),32.0)</f>
        <v>32</v>
      </c>
      <c r="H18618" s="4"/>
      <c r="I18618" s="4"/>
    </row>
    <row r="18619">
      <c r="A18619" s="4" t="str">
        <f>IFERROR(__xludf.DUMMYFUNCTION("""COMPUTED_VALUE"""),"cas_hmw")</f>
        <v>cas_hmw</v>
      </c>
      <c r="B18619" s="5">
        <f>IFERROR(__xludf.DUMMYFUNCTION("""COMPUTED_VALUE"""),44775.0)</f>
        <v>44775</v>
      </c>
      <c r="C18619" s="6">
        <f>IFERROR(__xludf.DUMMYFUNCTION("""COMPUTED_VALUE"""),0.3428124999991269)</f>
        <v>0.3428125</v>
      </c>
      <c r="D18619" s="4">
        <f>IFERROR(__xludf.DUMMYFUNCTION("""COMPUTED_VALUE"""),12.940004)</f>
        <v>12.940004</v>
      </c>
      <c r="E18619" s="4">
        <f>IFERROR(__xludf.DUMMYFUNCTION("""COMPUTED_VALUE"""),80.130622)</f>
        <v>80.130622</v>
      </c>
      <c r="F18619" s="4">
        <f>IFERROR(__xludf.DUMMYFUNCTION("""COMPUTED_VALUE"""),3143.0)</f>
        <v>3143</v>
      </c>
      <c r="G18619" s="4">
        <f>IFERROR(__xludf.DUMMYFUNCTION("""COMPUTED_VALUE"""),57.0)</f>
        <v>57</v>
      </c>
      <c r="H18619" s="4"/>
      <c r="I18619" s="4"/>
    </row>
    <row r="18620">
      <c r="A18620" s="4" t="str">
        <f>IFERROR(__xludf.DUMMYFUNCTION("""COMPUTED_VALUE"""),"cas_hmw")</f>
        <v>cas_hmw</v>
      </c>
      <c r="B18620" s="5">
        <f>IFERROR(__xludf.DUMMYFUNCTION("""COMPUTED_VALUE"""),44775.0)</f>
        <v>44775</v>
      </c>
      <c r="C18620" s="6">
        <f>IFERROR(__xludf.DUMMYFUNCTION("""COMPUTED_VALUE"""),0.3445833333316841)</f>
        <v>0.3445833333</v>
      </c>
      <c r="D18620" s="4">
        <f>IFERROR(__xludf.DUMMYFUNCTION("""COMPUTED_VALUE"""),12.91697)</f>
        <v>12.91697</v>
      </c>
      <c r="E18620" s="4">
        <f>IFERROR(__xludf.DUMMYFUNCTION("""COMPUTED_VALUE"""),80.107171)</f>
        <v>80.107171</v>
      </c>
      <c r="F18620" s="4">
        <f>IFERROR(__xludf.DUMMYFUNCTION("""COMPUTED_VALUE"""),5339.0)</f>
        <v>5339</v>
      </c>
      <c r="G18620" s="4">
        <f>IFERROR(__xludf.DUMMYFUNCTION("""COMPUTED_VALUE"""),22.0)</f>
        <v>22</v>
      </c>
      <c r="H18620" s="4"/>
      <c r="I18620" s="4"/>
    </row>
    <row r="18621">
      <c r="A18621" s="4" t="str">
        <f>IFERROR(__xludf.DUMMYFUNCTION("""COMPUTED_VALUE"""),"cas_hmw")</f>
        <v>cas_hmw</v>
      </c>
      <c r="B18621" s="5">
        <f>IFERROR(__xludf.DUMMYFUNCTION("""COMPUTED_VALUE"""),44775.0)</f>
        <v>44775</v>
      </c>
      <c r="C18621" s="6">
        <f>IFERROR(__xludf.DUMMYFUNCTION("""COMPUTED_VALUE"""),0.34479166666642413)</f>
        <v>0.3447916667</v>
      </c>
      <c r="D18621" s="4">
        <f>IFERROR(__xludf.DUMMYFUNCTION("""COMPUTED_VALUE"""),12.927451)</f>
        <v>12.927451</v>
      </c>
      <c r="E18621" s="4">
        <f>IFERROR(__xludf.DUMMYFUNCTION("""COMPUTED_VALUE"""),80.118667)</f>
        <v>80.118667</v>
      </c>
      <c r="F18621" s="4">
        <f>IFERROR(__xludf.DUMMYFUNCTION("""COMPUTED_VALUE"""),3143.0)</f>
        <v>3143</v>
      </c>
      <c r="G18621" s="4">
        <f>IFERROR(__xludf.DUMMYFUNCTION("""COMPUTED_VALUE"""),46.0)</f>
        <v>46</v>
      </c>
      <c r="H18621" s="4"/>
      <c r="I18621" s="4"/>
    </row>
    <row r="18622">
      <c r="A18622" s="4" t="str">
        <f>IFERROR(__xludf.DUMMYFUNCTION("""COMPUTED_VALUE"""),"cas_hmw")</f>
        <v>cas_hmw</v>
      </c>
      <c r="B18622" s="5">
        <f>IFERROR(__xludf.DUMMYFUNCTION("""COMPUTED_VALUE"""),44775.0)</f>
        <v>44775</v>
      </c>
      <c r="C18622" s="6">
        <f>IFERROR(__xludf.DUMMYFUNCTION("""COMPUTED_VALUE"""),0.34532407407459687)</f>
        <v>0.3453240741</v>
      </c>
      <c r="D18622" s="4">
        <f>IFERROR(__xludf.DUMMYFUNCTION("""COMPUTED_VALUE"""),12.91252)</f>
        <v>12.91252</v>
      </c>
      <c r="E18622" s="4">
        <f>IFERROR(__xludf.DUMMYFUNCTION("""COMPUTED_VALUE"""),80.101563)</f>
        <v>80.101563</v>
      </c>
      <c r="F18622" s="4">
        <f>IFERROR(__xludf.DUMMYFUNCTION("""COMPUTED_VALUE"""),5339.0)</f>
        <v>5339</v>
      </c>
      <c r="G18622" s="4">
        <f>IFERROR(__xludf.DUMMYFUNCTION("""COMPUTED_VALUE"""),38.0)</f>
        <v>38</v>
      </c>
      <c r="H18622" s="4"/>
      <c r="I18622" s="4"/>
    </row>
    <row r="18623">
      <c r="A18623" s="4" t="str">
        <f>IFERROR(__xludf.DUMMYFUNCTION("""COMPUTED_VALUE"""),"cas_hmw")</f>
        <v>cas_hmw</v>
      </c>
      <c r="B18623" s="5">
        <f>IFERROR(__xludf.DUMMYFUNCTION("""COMPUTED_VALUE"""),44775.0)</f>
        <v>44775</v>
      </c>
      <c r="C18623" s="6">
        <f>IFERROR(__xludf.DUMMYFUNCTION("""COMPUTED_VALUE"""),0.34583333333284827)</f>
        <v>0.3458333333</v>
      </c>
      <c r="D18623" s="4">
        <f>IFERROR(__xludf.DUMMYFUNCTION("""COMPUTED_VALUE"""),12.922887)</f>
        <v>12.922887</v>
      </c>
      <c r="E18623" s="4">
        <f>IFERROR(__xludf.DUMMYFUNCTION("""COMPUTED_VALUE"""),80.114138)</f>
        <v>80.114138</v>
      </c>
      <c r="F18623" s="4">
        <f>IFERROR(__xludf.DUMMYFUNCTION("""COMPUTED_VALUE"""),3143.0)</f>
        <v>3143</v>
      </c>
      <c r="G18623" s="4">
        <f>IFERROR(__xludf.DUMMYFUNCTION("""COMPUTED_VALUE"""),31.0)</f>
        <v>31</v>
      </c>
      <c r="H18623" s="4"/>
      <c r="I18623" s="4"/>
    </row>
    <row r="18624">
      <c r="A18624" s="4" t="str">
        <f>IFERROR(__xludf.DUMMYFUNCTION("""COMPUTED_VALUE"""),"cas_hmw")</f>
        <v>cas_hmw</v>
      </c>
      <c r="B18624" s="5">
        <f>IFERROR(__xludf.DUMMYFUNCTION("""COMPUTED_VALUE"""),44775.0)</f>
        <v>44775</v>
      </c>
      <c r="C18624" s="6">
        <f>IFERROR(__xludf.DUMMYFUNCTION("""COMPUTED_VALUE"""),0.34601851851766696)</f>
        <v>0.3460185185</v>
      </c>
      <c r="D18624" s="4">
        <f>IFERROR(__xludf.DUMMYFUNCTION("""COMPUTED_VALUE"""),12.921244)</f>
        <v>12.921244</v>
      </c>
      <c r="E18624" s="4">
        <f>IFERROR(__xludf.DUMMYFUNCTION("""COMPUTED_VALUE"""),80.112467)</f>
        <v>80.112467</v>
      </c>
      <c r="F18624" s="4">
        <f>IFERROR(__xludf.DUMMYFUNCTION("""COMPUTED_VALUE"""),3143.0)</f>
        <v>3143</v>
      </c>
      <c r="G18624" s="4">
        <f>IFERROR(__xludf.DUMMYFUNCTION("""COMPUTED_VALUE"""),53.0)</f>
        <v>53</v>
      </c>
      <c r="H18624" s="4"/>
      <c r="I18624" s="4"/>
    </row>
    <row r="18625">
      <c r="A18625" s="4" t="str">
        <f>IFERROR(__xludf.DUMMYFUNCTION("""COMPUTED_VALUE"""),"cas_hmw")</f>
        <v>cas_hmw</v>
      </c>
      <c r="B18625" s="5">
        <f>IFERROR(__xludf.DUMMYFUNCTION("""COMPUTED_VALUE"""),44775.0)</f>
        <v>44775</v>
      </c>
      <c r="C18625" s="6">
        <f>IFERROR(__xludf.DUMMYFUNCTION("""COMPUTED_VALUE"""),0.3471643518532801)</f>
        <v>0.3471643519</v>
      </c>
      <c r="D18625" s="4">
        <f>IFERROR(__xludf.DUMMYFUNCTION("""COMPUTED_VALUE"""),12.914128)</f>
        <v>12.914128</v>
      </c>
      <c r="E18625" s="4">
        <f>IFERROR(__xludf.DUMMYFUNCTION("""COMPUTED_VALUE"""),80.102202)</f>
        <v>80.102202</v>
      </c>
      <c r="F18625" s="4">
        <f>IFERROR(__xludf.DUMMYFUNCTION("""COMPUTED_VALUE"""),3143.0)</f>
        <v>3143</v>
      </c>
      <c r="G18625" s="4">
        <f>IFERROR(__xludf.DUMMYFUNCTION("""COMPUTED_VALUE"""),58.0)</f>
        <v>58</v>
      </c>
      <c r="H18625" s="4"/>
      <c r="I18625" s="4"/>
    </row>
    <row r="18626">
      <c r="A18626" s="4" t="str">
        <f>IFERROR(__xludf.DUMMYFUNCTION("""COMPUTED_VALUE"""),"cas_hmw")</f>
        <v>cas_hmw</v>
      </c>
      <c r="B18626" s="5">
        <f>IFERROR(__xludf.DUMMYFUNCTION("""COMPUTED_VALUE"""),44775.0)</f>
        <v>44775</v>
      </c>
      <c r="C18626" s="6">
        <f>IFERROR(__xludf.DUMMYFUNCTION("""COMPUTED_VALUE"""),0.34979166666744277)</f>
        <v>0.3497916667</v>
      </c>
      <c r="D18626" s="4">
        <f>IFERROR(__xludf.DUMMYFUNCTION("""COMPUTED_VALUE"""),12.900048)</f>
        <v>12.900048</v>
      </c>
      <c r="E18626" s="4">
        <f>IFERROR(__xludf.DUMMYFUNCTION("""COMPUTED_VALUE"""),80.091652)</f>
        <v>80.091652</v>
      </c>
      <c r="F18626" s="4">
        <f>IFERROR(__xludf.DUMMYFUNCTION("""COMPUTED_VALUE"""),5339.0)</f>
        <v>5339</v>
      </c>
      <c r="G18626" s="4">
        <f>IFERROR(__xludf.DUMMYFUNCTION("""COMPUTED_VALUE"""),41.0)</f>
        <v>41</v>
      </c>
      <c r="H18626" s="4"/>
      <c r="I18626" s="4"/>
    </row>
    <row r="18627">
      <c r="A18627" s="4" t="str">
        <f>IFERROR(__xludf.DUMMYFUNCTION("""COMPUTED_VALUE"""),"cas_hmw")</f>
        <v>cas_hmw</v>
      </c>
      <c r="B18627" s="5">
        <f>IFERROR(__xludf.DUMMYFUNCTION("""COMPUTED_VALUE"""),44775.0)</f>
        <v>44775</v>
      </c>
      <c r="C18627" s="6">
        <f>IFERROR(__xludf.DUMMYFUNCTION("""COMPUTED_VALUE"""),0.3500694444446708)</f>
        <v>0.3500694444</v>
      </c>
      <c r="D18627" s="4">
        <f>IFERROR(__xludf.DUMMYFUNCTION("""COMPUTED_VALUE"""),12.897356)</f>
        <v>12.897356</v>
      </c>
      <c r="E18627" s="4">
        <f>IFERROR(__xludf.DUMMYFUNCTION("""COMPUTED_VALUE"""),80.08954)</f>
        <v>80.08954</v>
      </c>
      <c r="F18627" s="4">
        <f>IFERROR(__xludf.DUMMYFUNCTION("""COMPUTED_VALUE"""),5339.0)</f>
        <v>5339</v>
      </c>
      <c r="G18627" s="4">
        <f>IFERROR(__xludf.DUMMYFUNCTION("""COMPUTED_VALUE"""),33.0)</f>
        <v>33</v>
      </c>
      <c r="H18627" s="4"/>
      <c r="I18627" s="4"/>
    </row>
    <row r="18628">
      <c r="A18628" s="4" t="str">
        <f>IFERROR(__xludf.DUMMYFUNCTION("""COMPUTED_VALUE"""),"cas_hmw")</f>
        <v>cas_hmw</v>
      </c>
      <c r="B18628" s="5">
        <f>IFERROR(__xludf.DUMMYFUNCTION("""COMPUTED_VALUE"""),44775.0)</f>
        <v>44775</v>
      </c>
      <c r="C18628" s="6">
        <f>IFERROR(__xludf.DUMMYFUNCTION("""COMPUTED_VALUE"""),0.35023148148320615)</f>
        <v>0.3502314815</v>
      </c>
      <c r="D18628" s="4">
        <f>IFERROR(__xludf.DUMMYFUNCTION("""COMPUTED_VALUE"""),12.8967)</f>
        <v>12.8967</v>
      </c>
      <c r="E18628" s="4">
        <f>IFERROR(__xludf.DUMMYFUNCTION("""COMPUTED_VALUE"""),80.089071)</f>
        <v>80.089071</v>
      </c>
      <c r="F18628" s="4">
        <f>IFERROR(__xludf.DUMMYFUNCTION("""COMPUTED_VALUE"""),5339.0)</f>
        <v>5339</v>
      </c>
      <c r="G18628" s="4">
        <f>IFERROR(__xludf.DUMMYFUNCTION("""COMPUTED_VALUE"""),27.0)</f>
        <v>27</v>
      </c>
      <c r="H18628" s="4"/>
      <c r="I18628" s="4"/>
    </row>
    <row r="18629">
      <c r="A18629" s="4" t="str">
        <f>IFERROR(__xludf.DUMMYFUNCTION("""COMPUTED_VALUE"""),"cas_hmw")</f>
        <v>cas_hmw</v>
      </c>
      <c r="B18629" s="5">
        <f>IFERROR(__xludf.DUMMYFUNCTION("""COMPUTED_VALUE"""),44775.0)</f>
        <v>44775</v>
      </c>
      <c r="C18629" s="6">
        <f>IFERROR(__xludf.DUMMYFUNCTION("""COMPUTED_VALUE"""),0.3509143518531346)</f>
        <v>0.3509143519</v>
      </c>
      <c r="D18629" s="4">
        <f>IFERROR(__xludf.DUMMYFUNCTION("""COMPUTED_VALUE"""),12.905254)</f>
        <v>12.905254</v>
      </c>
      <c r="E18629" s="4">
        <f>IFERROR(__xludf.DUMMYFUNCTION("""COMPUTED_VALUE"""),80.095636)</f>
        <v>80.095636</v>
      </c>
      <c r="F18629" s="4">
        <f>IFERROR(__xludf.DUMMYFUNCTION("""COMPUTED_VALUE"""),3143.0)</f>
        <v>3143</v>
      </c>
      <c r="G18629" s="4">
        <f>IFERROR(__xludf.DUMMYFUNCTION("""COMPUTED_VALUE"""),18.0)</f>
        <v>18</v>
      </c>
      <c r="H18629" s="4"/>
      <c r="I18629" s="4"/>
    </row>
    <row r="18630">
      <c r="A18630" s="4" t="str">
        <f>IFERROR(__xludf.DUMMYFUNCTION("""COMPUTED_VALUE"""),"cas_hmw")</f>
        <v>cas_hmw</v>
      </c>
      <c r="B18630" s="5">
        <f>IFERROR(__xludf.DUMMYFUNCTION("""COMPUTED_VALUE"""),44775.0)</f>
        <v>44775</v>
      </c>
      <c r="C18630" s="6">
        <f>IFERROR(__xludf.DUMMYFUNCTION("""COMPUTED_VALUE"""),0.351701388888614)</f>
        <v>0.3517013889</v>
      </c>
      <c r="D18630" s="4">
        <f>IFERROR(__xludf.DUMMYFUNCTION("""COMPUTED_VALUE"""),12.900217)</f>
        <v>12.900217</v>
      </c>
      <c r="E18630" s="4">
        <f>IFERROR(__xludf.DUMMYFUNCTION("""COMPUTED_VALUE"""),80.091751)</f>
        <v>80.091751</v>
      </c>
      <c r="F18630" s="4">
        <f>IFERROR(__xludf.DUMMYFUNCTION("""COMPUTED_VALUE"""),3143.0)</f>
        <v>3143</v>
      </c>
      <c r="G18630" s="4">
        <f>IFERROR(__xludf.DUMMYFUNCTION("""COMPUTED_VALUE"""),51.0)</f>
        <v>51</v>
      </c>
      <c r="H18630" s="4"/>
      <c r="I18630" s="4"/>
    </row>
    <row r="18631">
      <c r="A18631" s="4" t="str">
        <f>IFERROR(__xludf.DUMMYFUNCTION("""COMPUTED_VALUE"""),"cas_hmw")</f>
        <v>cas_hmw</v>
      </c>
      <c r="B18631" s="5">
        <f>IFERROR(__xludf.DUMMYFUNCTION("""COMPUTED_VALUE"""),44775.0)</f>
        <v>44775</v>
      </c>
      <c r="C18631" s="6">
        <f>IFERROR(__xludf.DUMMYFUNCTION("""COMPUTED_VALUE"""),0.3525000000008731)</f>
        <v>0.3525</v>
      </c>
      <c r="D18631" s="4">
        <f>IFERROR(__xludf.DUMMYFUNCTION("""COMPUTED_VALUE"""),12.894202)</f>
        <v>12.894202</v>
      </c>
      <c r="E18631" s="4">
        <f>IFERROR(__xludf.DUMMYFUNCTION("""COMPUTED_VALUE"""),80.087204)</f>
        <v>80.087204</v>
      </c>
      <c r="F18631" s="4">
        <f>IFERROR(__xludf.DUMMYFUNCTION("""COMPUTED_VALUE"""),3143.0)</f>
        <v>3143</v>
      </c>
      <c r="G18631" s="4">
        <f>IFERROR(__xludf.DUMMYFUNCTION("""COMPUTED_VALUE"""),52.0)</f>
        <v>52</v>
      </c>
      <c r="H18631" s="4"/>
      <c r="I18631" s="4"/>
    </row>
    <row r="18632">
      <c r="A18632" s="4" t="str">
        <f>IFERROR(__xludf.DUMMYFUNCTION("""COMPUTED_VALUE"""),"cas_hmw")</f>
        <v>cas_hmw</v>
      </c>
      <c r="B18632" s="5">
        <f>IFERROR(__xludf.DUMMYFUNCTION("""COMPUTED_VALUE"""),44775.0)</f>
        <v>44775</v>
      </c>
      <c r="C18632" s="6">
        <f>IFERROR(__xludf.DUMMYFUNCTION("""COMPUTED_VALUE"""),0.35354166666729725)</f>
        <v>0.3535416667</v>
      </c>
      <c r="D18632" s="4">
        <f>IFERROR(__xludf.DUMMYFUNCTION("""COMPUTED_VALUE"""),12.883489)</f>
        <v>12.883489</v>
      </c>
      <c r="E18632" s="4">
        <f>IFERROR(__xludf.DUMMYFUNCTION("""COMPUTED_VALUE"""),80.08209)</f>
        <v>80.08209</v>
      </c>
      <c r="F18632" s="4">
        <f>IFERROR(__xludf.DUMMYFUNCTION("""COMPUTED_VALUE"""),3143.0)</f>
        <v>3143</v>
      </c>
      <c r="G18632" s="4">
        <f>IFERROR(__xludf.DUMMYFUNCTION("""COMPUTED_VALUE"""),55.0)</f>
        <v>55</v>
      </c>
      <c r="H18632" s="4"/>
      <c r="I18632" s="4"/>
    </row>
    <row r="18633">
      <c r="A18633" s="4" t="str">
        <f>IFERROR(__xludf.DUMMYFUNCTION("""COMPUTED_VALUE"""),"cas_hmw")</f>
        <v>cas_hmw</v>
      </c>
      <c r="B18633" s="5">
        <f>IFERROR(__xludf.DUMMYFUNCTION("""COMPUTED_VALUE"""),44775.0)</f>
        <v>44775</v>
      </c>
      <c r="C18633" s="6">
        <f>IFERROR(__xludf.DUMMYFUNCTION("""COMPUTED_VALUE"""),0.3536342592597066)</f>
        <v>0.3536342593</v>
      </c>
      <c r="D18633" s="4">
        <f>IFERROR(__xludf.DUMMYFUNCTION("""COMPUTED_VALUE"""),12.878424)</f>
        <v>12.878424</v>
      </c>
      <c r="E18633" s="4">
        <f>IFERROR(__xludf.DUMMYFUNCTION("""COMPUTED_VALUE"""),80.082346)</f>
        <v>80.082346</v>
      </c>
      <c r="F18633" s="4">
        <f>IFERROR(__xludf.DUMMYFUNCTION("""COMPUTED_VALUE"""),5339.0)</f>
        <v>5339</v>
      </c>
      <c r="G18633" s="4">
        <f>IFERROR(__xludf.DUMMYFUNCTION("""COMPUTED_VALUE"""),31.0)</f>
        <v>31</v>
      </c>
      <c r="H18633" s="4"/>
      <c r="I18633" s="4"/>
    </row>
    <row r="18634">
      <c r="A18634" s="4" t="str">
        <f>IFERROR(__xludf.DUMMYFUNCTION("""COMPUTED_VALUE"""),"cas_hmw")</f>
        <v>cas_hmw</v>
      </c>
      <c r="B18634" s="5">
        <f>IFERROR(__xludf.DUMMYFUNCTION("""COMPUTED_VALUE"""),44775.0)</f>
        <v>44775</v>
      </c>
      <c r="C18634" s="6">
        <f>IFERROR(__xludf.DUMMYFUNCTION("""COMPUTED_VALUE"""),0.35521990740744513)</f>
        <v>0.3552199074</v>
      </c>
      <c r="D18634" s="4">
        <f>IFERROR(__xludf.DUMMYFUNCTION("""COMPUTED_VALUE"""),12.877834)</f>
        <v>12.877834</v>
      </c>
      <c r="E18634" s="4">
        <f>IFERROR(__xludf.DUMMYFUNCTION("""COMPUTED_VALUE"""),80.083948)</f>
        <v>80.083948</v>
      </c>
      <c r="F18634" s="4">
        <f>IFERROR(__xludf.DUMMYFUNCTION("""COMPUTED_VALUE"""),3143.0)</f>
        <v>3143</v>
      </c>
      <c r="G18634" s="4">
        <f>IFERROR(__xludf.DUMMYFUNCTION("""COMPUTED_VALUE"""),45.0)</f>
        <v>45</v>
      </c>
      <c r="H18634" s="4"/>
      <c r="I18634" s="4"/>
    </row>
    <row r="18635">
      <c r="A18635" s="4" t="str">
        <f>IFERROR(__xludf.DUMMYFUNCTION("""COMPUTED_VALUE"""),"cas_hmw")</f>
        <v>cas_hmw</v>
      </c>
      <c r="B18635" s="5">
        <f>IFERROR(__xludf.DUMMYFUNCTION("""COMPUTED_VALUE"""),44775.0)</f>
        <v>44775</v>
      </c>
      <c r="C18635" s="6">
        <f>IFERROR(__xludf.DUMMYFUNCTION("""COMPUTED_VALUE"""),0.4938194444439432)</f>
        <v>0.4938194444</v>
      </c>
      <c r="D18635" s="4">
        <f>IFERROR(__xludf.DUMMYFUNCTION("""COMPUTED_VALUE"""),13.049622)</f>
        <v>13.049622</v>
      </c>
      <c r="E18635" s="4">
        <f>IFERROR(__xludf.DUMMYFUNCTION("""COMPUTED_VALUE"""),80.088471)</f>
        <v>80.088471</v>
      </c>
      <c r="F18635" s="4">
        <f>IFERROR(__xludf.DUMMYFUNCTION("""COMPUTED_VALUE"""),805.0)</f>
        <v>805</v>
      </c>
      <c r="G18635" s="4">
        <f>IFERROR(__xludf.DUMMYFUNCTION("""COMPUTED_VALUE"""),37.0)</f>
        <v>37</v>
      </c>
      <c r="H18635" s="4"/>
      <c r="I18635" s="4"/>
    </row>
    <row r="18636">
      <c r="A18636" s="4" t="str">
        <f>IFERROR(__xludf.DUMMYFUNCTION("""COMPUTED_VALUE"""),"cas_hmw")</f>
        <v>cas_hmw</v>
      </c>
      <c r="B18636" s="5">
        <f>IFERROR(__xludf.DUMMYFUNCTION("""COMPUTED_VALUE"""),44775.0)</f>
        <v>44775</v>
      </c>
      <c r="C18636" s="6">
        <f>IFERROR(__xludf.DUMMYFUNCTION("""COMPUTED_VALUE"""),0.4938541666670062)</f>
        <v>0.4938541667</v>
      </c>
      <c r="D18636" s="4">
        <f>IFERROR(__xludf.DUMMYFUNCTION("""COMPUTED_VALUE"""),13.049622)</f>
        <v>13.049622</v>
      </c>
      <c r="E18636" s="4">
        <f>IFERROR(__xludf.DUMMYFUNCTION("""COMPUTED_VALUE"""),80.088471)</f>
        <v>80.088471</v>
      </c>
      <c r="F18636" s="4">
        <f>IFERROR(__xludf.DUMMYFUNCTION("""COMPUTED_VALUE"""),805.0)</f>
        <v>805</v>
      </c>
      <c r="G18636" s="4">
        <f>IFERROR(__xludf.DUMMYFUNCTION("""COMPUTED_VALUE"""),37.0)</f>
        <v>37</v>
      </c>
      <c r="H18636" s="4"/>
      <c r="I18636" s="4"/>
    </row>
    <row r="18637">
      <c r="A18637" s="4" t="str">
        <f>IFERROR(__xludf.DUMMYFUNCTION("""COMPUTED_VALUE"""),"cas_hmw")</f>
        <v>cas_hmw</v>
      </c>
      <c r="B18637" s="5">
        <f>IFERROR(__xludf.DUMMYFUNCTION("""COMPUTED_VALUE"""),44775.0)</f>
        <v>44775</v>
      </c>
      <c r="C18637" s="6">
        <f>IFERROR(__xludf.DUMMYFUNCTION("""COMPUTED_VALUE"""),0.4942245370366436)</f>
        <v>0.494224537</v>
      </c>
      <c r="D18637" s="4">
        <f>IFERROR(__xludf.DUMMYFUNCTION("""COMPUTED_VALUE"""),13.048648)</f>
        <v>13.048648</v>
      </c>
      <c r="E18637" s="4">
        <f>IFERROR(__xludf.DUMMYFUNCTION("""COMPUTED_VALUE"""),80.086395)</f>
        <v>80.086395</v>
      </c>
      <c r="F18637" s="4">
        <f>IFERROR(__xludf.DUMMYFUNCTION("""COMPUTED_VALUE"""),805.0)</f>
        <v>805</v>
      </c>
      <c r="G18637" s="4">
        <f>IFERROR(__xludf.DUMMYFUNCTION("""COMPUTED_VALUE"""),23.0)</f>
        <v>23</v>
      </c>
      <c r="H18637" s="4"/>
      <c r="I18637" s="4"/>
    </row>
    <row r="18638">
      <c r="A18638" s="4" t="str">
        <f>IFERROR(__xludf.DUMMYFUNCTION("""COMPUTED_VALUE"""),"cas_hmw")</f>
        <v>cas_hmw</v>
      </c>
      <c r="B18638" s="5">
        <f>IFERROR(__xludf.DUMMYFUNCTION("""COMPUTED_VALUE"""),44775.0)</f>
        <v>44775</v>
      </c>
      <c r="C18638" s="6">
        <f>IFERROR(__xludf.DUMMYFUNCTION("""COMPUTED_VALUE"""),0.4942939814827696)</f>
        <v>0.4942939815</v>
      </c>
      <c r="D18638" s="4">
        <f>IFERROR(__xludf.DUMMYFUNCTION("""COMPUTED_VALUE"""),13.048648)</f>
        <v>13.048648</v>
      </c>
      <c r="E18638" s="4">
        <f>IFERROR(__xludf.DUMMYFUNCTION("""COMPUTED_VALUE"""),80.086395)</f>
        <v>80.086395</v>
      </c>
      <c r="F18638" s="4">
        <f>IFERROR(__xludf.DUMMYFUNCTION("""COMPUTED_VALUE"""),805.0)</f>
        <v>805</v>
      </c>
      <c r="G18638" s="4">
        <f>IFERROR(__xludf.DUMMYFUNCTION("""COMPUTED_VALUE"""),23.0)</f>
        <v>23</v>
      </c>
      <c r="H18638" s="4"/>
      <c r="I18638" s="4"/>
    </row>
    <row r="18639">
      <c r="A18639" s="4" t="str">
        <f>IFERROR(__xludf.DUMMYFUNCTION("""COMPUTED_VALUE"""),"cas_hmw")</f>
        <v>cas_hmw</v>
      </c>
      <c r="B18639" s="5">
        <f>IFERROR(__xludf.DUMMYFUNCTION("""COMPUTED_VALUE"""),44775.0)</f>
        <v>44775</v>
      </c>
      <c r="C18639" s="6">
        <f>IFERROR(__xludf.DUMMYFUNCTION("""COMPUTED_VALUE"""),0.49453703703693463)</f>
        <v>0.494537037</v>
      </c>
      <c r="D18639" s="4">
        <f>IFERROR(__xludf.DUMMYFUNCTION("""COMPUTED_VALUE"""),13.046622)</f>
        <v>13.046622</v>
      </c>
      <c r="E18639" s="4">
        <f>IFERROR(__xludf.DUMMYFUNCTION("""COMPUTED_VALUE"""),80.085198)</f>
        <v>80.085198</v>
      </c>
      <c r="F18639" s="4">
        <f>IFERROR(__xludf.DUMMYFUNCTION("""COMPUTED_VALUE"""),805.0)</f>
        <v>805</v>
      </c>
      <c r="G18639" s="4">
        <f>IFERROR(__xludf.DUMMYFUNCTION("""COMPUTED_VALUE"""),28.0)</f>
        <v>28</v>
      </c>
      <c r="H18639" s="4"/>
      <c r="I18639" s="4"/>
    </row>
    <row r="18640">
      <c r="A18640" s="4" t="str">
        <f>IFERROR(__xludf.DUMMYFUNCTION("""COMPUTED_VALUE"""),"cas_hmw")</f>
        <v>cas_hmw</v>
      </c>
      <c r="B18640" s="5">
        <f>IFERROR(__xludf.DUMMYFUNCTION("""COMPUTED_VALUE"""),44775.0)</f>
        <v>44775</v>
      </c>
      <c r="C18640" s="6">
        <f>IFERROR(__xludf.DUMMYFUNCTION("""COMPUTED_VALUE"""),0.49635416666569654)</f>
        <v>0.4963541667</v>
      </c>
      <c r="D18640" s="4">
        <f>IFERROR(__xludf.DUMMYFUNCTION("""COMPUTED_VALUE"""),13.033537)</f>
        <v>13.033537</v>
      </c>
      <c r="E18640" s="4">
        <f>IFERROR(__xludf.DUMMYFUNCTION("""COMPUTED_VALUE"""),80.089222)</f>
        <v>80.089222</v>
      </c>
      <c r="F18640" s="4">
        <f>IFERROR(__xludf.DUMMYFUNCTION("""COMPUTED_VALUE"""),805.0)</f>
        <v>805</v>
      </c>
      <c r="G18640" s="4">
        <f>IFERROR(__xludf.DUMMYFUNCTION("""COMPUTED_VALUE"""),55.0)</f>
        <v>55</v>
      </c>
      <c r="H18640" s="4"/>
      <c r="I18640" s="4"/>
    </row>
    <row r="18641">
      <c r="A18641" s="4" t="str">
        <f>IFERROR(__xludf.DUMMYFUNCTION("""COMPUTED_VALUE"""),"cas_hmw")</f>
        <v>cas_hmw</v>
      </c>
      <c r="B18641" s="5">
        <f>IFERROR(__xludf.DUMMYFUNCTION("""COMPUTED_VALUE"""),44775.0)</f>
        <v>44775</v>
      </c>
      <c r="C18641" s="6">
        <f>IFERROR(__xludf.DUMMYFUNCTION("""COMPUTED_VALUE"""),0.6601388888884685)</f>
        <v>0.6601388889</v>
      </c>
      <c r="D18641" s="4">
        <f>IFERROR(__xludf.DUMMYFUNCTION("""COMPUTED_VALUE"""),12.955299)</f>
        <v>12.955299</v>
      </c>
      <c r="E18641" s="4">
        <f>IFERROR(__xludf.DUMMYFUNCTION("""COMPUTED_VALUE"""),80.089766)</f>
        <v>80.089766</v>
      </c>
      <c r="F18641" s="4">
        <f>IFERROR(__xludf.DUMMYFUNCTION("""COMPUTED_VALUE"""),805.0)</f>
        <v>805</v>
      </c>
      <c r="G18641" s="4">
        <f>IFERROR(__xludf.DUMMYFUNCTION("""COMPUTED_VALUE"""),11.0)</f>
        <v>11</v>
      </c>
      <c r="H18641" s="4"/>
      <c r="I18641" s="4"/>
    </row>
    <row r="18642">
      <c r="A18642" s="4" t="str">
        <f>IFERROR(__xludf.DUMMYFUNCTION("""COMPUTED_VALUE"""),"cas_hmw")</f>
        <v>cas_hmw</v>
      </c>
      <c r="B18642" s="5">
        <f>IFERROR(__xludf.DUMMYFUNCTION("""COMPUTED_VALUE"""),44775.0)</f>
        <v>44775</v>
      </c>
      <c r="C18642" s="6">
        <f>IFERROR(__xludf.DUMMYFUNCTION("""COMPUTED_VALUE"""),0.6920370370353339)</f>
        <v>0.692037037</v>
      </c>
      <c r="D18642" s="4">
        <f>IFERROR(__xludf.DUMMYFUNCTION("""COMPUTED_VALUE"""),12.877779)</f>
        <v>12.877779</v>
      </c>
      <c r="E18642" s="4">
        <f>IFERROR(__xludf.DUMMYFUNCTION("""COMPUTED_VALUE"""),80.083849)</f>
        <v>80.083849</v>
      </c>
      <c r="F18642" s="4">
        <f>IFERROR(__xludf.DUMMYFUNCTION("""COMPUTED_VALUE"""),2846.0)</f>
        <v>2846</v>
      </c>
      <c r="G18642" s="4">
        <f>IFERROR(__xludf.DUMMYFUNCTION("""COMPUTED_VALUE"""),39.0)</f>
        <v>39</v>
      </c>
      <c r="H18642" s="4"/>
      <c r="I18642" s="4"/>
    </row>
    <row r="18643">
      <c r="A18643" s="4" t="str">
        <f>IFERROR(__xludf.DUMMYFUNCTION("""COMPUTED_VALUE"""),"cas_hmw")</f>
        <v>cas_hmw</v>
      </c>
      <c r="B18643" s="5">
        <f>IFERROR(__xludf.DUMMYFUNCTION("""COMPUTED_VALUE"""),44775.0)</f>
        <v>44775</v>
      </c>
      <c r="C18643" s="6">
        <f>IFERROR(__xludf.DUMMYFUNCTION("""COMPUTED_VALUE"""),0.6939583333332848)</f>
        <v>0.6939583333</v>
      </c>
      <c r="D18643" s="4">
        <f>IFERROR(__xludf.DUMMYFUNCTION("""COMPUTED_VALUE"""),12.874284)</f>
        <v>12.874284</v>
      </c>
      <c r="E18643" s="4">
        <f>IFERROR(__xludf.DUMMYFUNCTION("""COMPUTED_VALUE"""),80.07834)</f>
        <v>80.07834</v>
      </c>
      <c r="F18643" s="4">
        <f>IFERROR(__xludf.DUMMYFUNCTION("""COMPUTED_VALUE"""),2846.0)</f>
        <v>2846</v>
      </c>
      <c r="G18643" s="4">
        <f>IFERROR(__xludf.DUMMYFUNCTION("""COMPUTED_VALUE"""),0.0)</f>
        <v>0</v>
      </c>
      <c r="H18643" s="4"/>
      <c r="I18643" s="4"/>
    </row>
    <row r="18644">
      <c r="A18644" s="4" t="str">
        <f>IFERROR(__xludf.DUMMYFUNCTION("""COMPUTED_VALUE"""),"cas_hmw")</f>
        <v>cas_hmw</v>
      </c>
      <c r="B18644" s="5">
        <f>IFERROR(__xludf.DUMMYFUNCTION("""COMPUTED_VALUE"""),44775.0)</f>
        <v>44775</v>
      </c>
      <c r="C18644" s="6">
        <f>IFERROR(__xludf.DUMMYFUNCTION("""COMPUTED_VALUE"""),0.6948148148148903)</f>
        <v>0.6948148148</v>
      </c>
      <c r="D18644" s="4">
        <f>IFERROR(__xludf.DUMMYFUNCTION("""COMPUTED_VALUE"""),12.884403)</f>
        <v>12.884403</v>
      </c>
      <c r="E18644" s="4">
        <f>IFERROR(__xludf.DUMMYFUNCTION("""COMPUTED_VALUE"""),80.081887)</f>
        <v>80.081887</v>
      </c>
      <c r="F18644" s="4">
        <f>IFERROR(__xludf.DUMMYFUNCTION("""COMPUTED_VALUE"""),5339.0)</f>
        <v>5339</v>
      </c>
      <c r="G18644" s="4">
        <f>IFERROR(__xludf.DUMMYFUNCTION("""COMPUTED_VALUE"""),41.0)</f>
        <v>41</v>
      </c>
      <c r="H18644" s="4"/>
      <c r="I18644" s="4"/>
    </row>
    <row r="18645">
      <c r="A18645" s="4" t="str">
        <f>IFERROR(__xludf.DUMMYFUNCTION("""COMPUTED_VALUE"""),"cas_hmw")</f>
        <v>cas_hmw</v>
      </c>
      <c r="B18645" s="5">
        <f>IFERROR(__xludf.DUMMYFUNCTION("""COMPUTED_VALUE"""),44775.0)</f>
        <v>44775</v>
      </c>
      <c r="C18645" s="6">
        <f>IFERROR(__xludf.DUMMYFUNCTION("""COMPUTED_VALUE"""),0.6953009259268583)</f>
        <v>0.6953009259</v>
      </c>
      <c r="D18645" s="4">
        <f>IFERROR(__xludf.DUMMYFUNCTION("""COMPUTED_VALUE"""),12.889303)</f>
        <v>12.889303</v>
      </c>
      <c r="E18645" s="4">
        <f>IFERROR(__xludf.DUMMYFUNCTION("""COMPUTED_VALUE"""),80.084182)</f>
        <v>80.084182</v>
      </c>
      <c r="F18645" s="4">
        <f>IFERROR(__xludf.DUMMYFUNCTION("""COMPUTED_VALUE"""),5339.0)</f>
        <v>5339</v>
      </c>
      <c r="G18645" s="4">
        <f>IFERROR(__xludf.DUMMYFUNCTION("""COMPUTED_VALUE"""),48.0)</f>
        <v>48</v>
      </c>
      <c r="H18645" s="4"/>
      <c r="I18645" s="4"/>
    </row>
    <row r="18646">
      <c r="A18646" s="4" t="str">
        <f>IFERROR(__xludf.DUMMYFUNCTION("""COMPUTED_VALUE"""),"cas_hmw")</f>
        <v>cas_hmw</v>
      </c>
      <c r="B18646" s="5">
        <f>IFERROR(__xludf.DUMMYFUNCTION("""COMPUTED_VALUE"""),44775.0)</f>
        <v>44775</v>
      </c>
      <c r="C18646" s="6">
        <f>IFERROR(__xludf.DUMMYFUNCTION("""COMPUTED_VALUE"""),0.6953587962962047)</f>
        <v>0.6953587963</v>
      </c>
      <c r="D18646" s="4">
        <f>IFERROR(__xludf.DUMMYFUNCTION("""COMPUTED_VALUE"""),12.889303)</f>
        <v>12.889303</v>
      </c>
      <c r="E18646" s="4">
        <f>IFERROR(__xludf.DUMMYFUNCTION("""COMPUTED_VALUE"""),80.084182)</f>
        <v>80.084182</v>
      </c>
      <c r="F18646" s="4">
        <f>IFERROR(__xludf.DUMMYFUNCTION("""COMPUTED_VALUE"""),5339.0)</f>
        <v>5339</v>
      </c>
      <c r="G18646" s="4">
        <f>IFERROR(__xludf.DUMMYFUNCTION("""COMPUTED_VALUE"""),48.0)</f>
        <v>48</v>
      </c>
      <c r="H18646" s="4"/>
      <c r="I18646" s="4"/>
    </row>
    <row r="18647">
      <c r="A18647" s="4" t="str">
        <f>IFERROR(__xludf.DUMMYFUNCTION("""COMPUTED_VALUE"""),"cas_hmw")</f>
        <v>cas_hmw</v>
      </c>
      <c r="B18647" s="5">
        <f>IFERROR(__xludf.DUMMYFUNCTION("""COMPUTED_VALUE"""),44775.0)</f>
        <v>44775</v>
      </c>
      <c r="C18647" s="6">
        <f>IFERROR(__xludf.DUMMYFUNCTION("""COMPUTED_VALUE"""),0.6956365740734327)</f>
        <v>0.6956365741</v>
      </c>
      <c r="D18647" s="4">
        <f>IFERROR(__xludf.DUMMYFUNCTION("""COMPUTED_VALUE"""),12.856468)</f>
        <v>12.856468</v>
      </c>
      <c r="E18647" s="4">
        <f>IFERROR(__xludf.DUMMYFUNCTION("""COMPUTED_VALUE"""),80.069717)</f>
        <v>80.069717</v>
      </c>
      <c r="F18647" s="4">
        <f>IFERROR(__xludf.DUMMYFUNCTION("""COMPUTED_VALUE"""),2846.0)</f>
        <v>2846</v>
      </c>
      <c r="G18647" s="4">
        <f>IFERROR(__xludf.DUMMYFUNCTION("""COMPUTED_VALUE"""),42.0)</f>
        <v>42</v>
      </c>
      <c r="H18647" s="4"/>
      <c r="I18647" s="4"/>
    </row>
    <row r="18648">
      <c r="A18648" s="4" t="str">
        <f>IFERROR(__xludf.DUMMYFUNCTION("""COMPUTED_VALUE"""),"cas_hmw")</f>
        <v>cas_hmw</v>
      </c>
      <c r="B18648" s="5">
        <f>IFERROR(__xludf.DUMMYFUNCTION("""COMPUTED_VALUE"""),44775.0)</f>
        <v>44775</v>
      </c>
      <c r="C18648" s="6">
        <f>IFERROR(__xludf.DUMMYFUNCTION("""COMPUTED_VALUE"""),0.6961574074084638)</f>
        <v>0.6961574074</v>
      </c>
      <c r="D18648" s="4">
        <f>IFERROR(__xludf.DUMMYFUNCTION("""COMPUTED_VALUE"""),12.894821)</f>
        <v>12.894821</v>
      </c>
      <c r="E18648" s="4">
        <f>IFERROR(__xludf.DUMMYFUNCTION("""COMPUTED_VALUE"""),80.087478)</f>
        <v>80.087478</v>
      </c>
      <c r="F18648" s="4">
        <f>IFERROR(__xludf.DUMMYFUNCTION("""COMPUTED_VALUE"""),5339.0)</f>
        <v>5339</v>
      </c>
      <c r="G18648" s="4">
        <f>IFERROR(__xludf.DUMMYFUNCTION("""COMPUTED_VALUE"""),30.0)</f>
        <v>30</v>
      </c>
      <c r="H18648" s="4"/>
      <c r="I18648" s="4"/>
    </row>
    <row r="18649">
      <c r="A18649" s="4" t="str">
        <f>IFERROR(__xludf.DUMMYFUNCTION("""COMPUTED_VALUE"""),"cas_hmw")</f>
        <v>cas_hmw</v>
      </c>
      <c r="B18649" s="5">
        <f>IFERROR(__xludf.DUMMYFUNCTION("""COMPUTED_VALUE"""),44775.0)</f>
        <v>44775</v>
      </c>
      <c r="C18649" s="6">
        <f>IFERROR(__xludf.DUMMYFUNCTION("""COMPUTED_VALUE"""),0.6961921296278888)</f>
        <v>0.6961921296</v>
      </c>
      <c r="D18649" s="4">
        <f>IFERROR(__xludf.DUMMYFUNCTION("""COMPUTED_VALUE"""),12.894821)</f>
        <v>12.894821</v>
      </c>
      <c r="E18649" s="4">
        <f>IFERROR(__xludf.DUMMYFUNCTION("""COMPUTED_VALUE"""),80.087478)</f>
        <v>80.087478</v>
      </c>
      <c r="F18649" s="4">
        <f>IFERROR(__xludf.DUMMYFUNCTION("""COMPUTED_VALUE"""),5339.0)</f>
        <v>5339</v>
      </c>
      <c r="G18649" s="4">
        <f>IFERROR(__xludf.DUMMYFUNCTION("""COMPUTED_VALUE"""),30.0)</f>
        <v>30</v>
      </c>
      <c r="H18649" s="4"/>
      <c r="I18649" s="4"/>
    </row>
    <row r="18650">
      <c r="A18650" s="4" t="str">
        <f>IFERROR(__xludf.DUMMYFUNCTION("""COMPUTED_VALUE"""),"cas_hmw")</f>
        <v>cas_hmw</v>
      </c>
      <c r="B18650" s="5">
        <f>IFERROR(__xludf.DUMMYFUNCTION("""COMPUTED_VALUE"""),44775.0)</f>
        <v>44775</v>
      </c>
      <c r="C18650" s="6">
        <f>IFERROR(__xludf.DUMMYFUNCTION("""COMPUTED_VALUE"""),0.6966782407398568)</f>
        <v>0.6966782407</v>
      </c>
      <c r="D18650" s="4">
        <f>IFERROR(__xludf.DUMMYFUNCTION("""COMPUTED_VALUE"""),12.89943)</f>
        <v>12.89943</v>
      </c>
      <c r="E18650" s="4">
        <f>IFERROR(__xludf.DUMMYFUNCTION("""COMPUTED_VALUE"""),80.090962)</f>
        <v>80.090962</v>
      </c>
      <c r="F18650" s="4">
        <f>IFERROR(__xludf.DUMMYFUNCTION("""COMPUTED_VALUE"""),5339.0)</f>
        <v>5339</v>
      </c>
      <c r="G18650" s="4">
        <f>IFERROR(__xludf.DUMMYFUNCTION("""COMPUTED_VALUE"""),51.0)</f>
        <v>51</v>
      </c>
      <c r="H18650" s="4"/>
      <c r="I18650" s="4"/>
    </row>
    <row r="18651">
      <c r="A18651" s="4" t="str">
        <f>IFERROR(__xludf.DUMMYFUNCTION("""COMPUTED_VALUE"""),"cas_hmw")</f>
        <v>cas_hmw</v>
      </c>
      <c r="B18651" s="5">
        <f>IFERROR(__xludf.DUMMYFUNCTION("""COMPUTED_VALUE"""),44775.0)</f>
        <v>44775</v>
      </c>
      <c r="C18651" s="6">
        <f>IFERROR(__xludf.DUMMYFUNCTION("""COMPUTED_VALUE"""),0.6969907407401479)</f>
        <v>0.6969907407</v>
      </c>
      <c r="D18651" s="4">
        <f>IFERROR(__xludf.DUMMYFUNCTION("""COMPUTED_VALUE"""),12.901486)</f>
        <v>12.901486</v>
      </c>
      <c r="E18651" s="4">
        <f>IFERROR(__xludf.DUMMYFUNCTION("""COMPUTED_VALUE"""),80.092442)</f>
        <v>80.092442</v>
      </c>
      <c r="F18651" s="4">
        <f>IFERROR(__xludf.DUMMYFUNCTION("""COMPUTED_VALUE"""),5339.0)</f>
        <v>5339</v>
      </c>
      <c r="G18651" s="4">
        <f>IFERROR(__xludf.DUMMYFUNCTION("""COMPUTED_VALUE"""),51.0)</f>
        <v>51</v>
      </c>
      <c r="H18651" s="4"/>
      <c r="I18651" s="4"/>
    </row>
    <row r="18652">
      <c r="A18652" s="4" t="str">
        <f>IFERROR(__xludf.DUMMYFUNCTION("""COMPUTED_VALUE"""),"cas_hmw")</f>
        <v>cas_hmw</v>
      </c>
      <c r="B18652" s="5">
        <f>IFERROR(__xludf.DUMMYFUNCTION("""COMPUTED_VALUE"""),44775.0)</f>
        <v>44775</v>
      </c>
      <c r="C18652" s="6">
        <f>IFERROR(__xludf.DUMMYFUNCTION("""COMPUTED_VALUE"""),0.6970833333325572)</f>
        <v>0.6970833333</v>
      </c>
      <c r="D18652" s="4">
        <f>IFERROR(__xludf.DUMMYFUNCTION("""COMPUTED_VALUE"""),12.902472)</f>
        <v>12.902472</v>
      </c>
      <c r="E18652" s="4">
        <f>IFERROR(__xludf.DUMMYFUNCTION("""COMPUTED_VALUE"""),80.093207)</f>
        <v>80.093207</v>
      </c>
      <c r="F18652" s="4">
        <f>IFERROR(__xludf.DUMMYFUNCTION("""COMPUTED_VALUE"""),5339.0)</f>
        <v>5339</v>
      </c>
      <c r="G18652" s="4">
        <f>IFERROR(__xludf.DUMMYFUNCTION("""COMPUTED_VALUE"""),43.0)</f>
        <v>43</v>
      </c>
      <c r="H18652" s="4"/>
      <c r="I18652" s="4"/>
    </row>
    <row r="18653">
      <c r="A18653" s="4" t="str">
        <f>IFERROR(__xludf.DUMMYFUNCTION("""COMPUTED_VALUE"""),"cas_hmw")</f>
        <v>cas_hmw</v>
      </c>
      <c r="B18653" s="5">
        <f>IFERROR(__xludf.DUMMYFUNCTION("""COMPUTED_VALUE"""),44775.0)</f>
        <v>44775</v>
      </c>
      <c r="C18653" s="6">
        <f>IFERROR(__xludf.DUMMYFUNCTION("""COMPUTED_VALUE"""),0.6974537037021946)</f>
        <v>0.6974537037</v>
      </c>
      <c r="D18653" s="4">
        <f>IFERROR(__xludf.DUMMYFUNCTION("""COMPUTED_VALUE"""),12.845127)</f>
        <v>12.845127</v>
      </c>
      <c r="E18653" s="4">
        <f>IFERROR(__xludf.DUMMYFUNCTION("""COMPUTED_VALUE"""),80.061208)</f>
        <v>80.061208</v>
      </c>
      <c r="F18653" s="4">
        <f>IFERROR(__xludf.DUMMYFUNCTION("""COMPUTED_VALUE"""),2846.0)</f>
        <v>2846</v>
      </c>
      <c r="G18653" s="4">
        <f>IFERROR(__xludf.DUMMYFUNCTION("""COMPUTED_VALUE"""),39.0)</f>
        <v>39</v>
      </c>
      <c r="H18653" s="4"/>
      <c r="I18653" s="4"/>
    </row>
    <row r="18654">
      <c r="A18654" s="4" t="str">
        <f>IFERROR(__xludf.DUMMYFUNCTION("""COMPUTED_VALUE"""),"cas_hmw")</f>
        <v>cas_hmw</v>
      </c>
      <c r="B18654" s="5">
        <f>IFERROR(__xludf.DUMMYFUNCTION("""COMPUTED_VALUE"""),44775.0)</f>
        <v>44775</v>
      </c>
      <c r="C18654" s="6">
        <f>IFERROR(__xludf.DUMMYFUNCTION("""COMPUTED_VALUE"""),0.6977083333331393)</f>
        <v>0.6977083333</v>
      </c>
      <c r="D18654" s="4">
        <f>IFERROR(__xludf.DUMMYFUNCTION("""COMPUTED_VALUE"""),12.916512)</f>
        <v>12.916512</v>
      </c>
      <c r="E18654" s="4">
        <f>IFERROR(__xludf.DUMMYFUNCTION("""COMPUTED_VALUE"""),80.079451)</f>
        <v>80.079451</v>
      </c>
      <c r="F18654" s="4">
        <f>IFERROR(__xludf.DUMMYFUNCTION("""COMPUTED_VALUE"""),3143.0)</f>
        <v>3143</v>
      </c>
      <c r="G18654" s="4">
        <f>IFERROR(__xludf.DUMMYFUNCTION("""COMPUTED_VALUE"""),41.0)</f>
        <v>41</v>
      </c>
      <c r="H18654" s="4"/>
      <c r="I18654" s="4"/>
    </row>
    <row r="18655">
      <c r="A18655" s="4" t="str">
        <f>IFERROR(__xludf.DUMMYFUNCTION("""COMPUTED_VALUE"""),"cas_hmw")</f>
        <v>cas_hmw</v>
      </c>
      <c r="B18655" s="5">
        <f>IFERROR(__xludf.DUMMYFUNCTION("""COMPUTED_VALUE"""),44775.0)</f>
        <v>44775</v>
      </c>
      <c r="C18655" s="6">
        <f>IFERROR(__xludf.DUMMYFUNCTION("""COMPUTED_VALUE"""),0.6983333333337214)</f>
        <v>0.6983333333</v>
      </c>
      <c r="D18655" s="4">
        <f>IFERROR(__xludf.DUMMYFUNCTION("""COMPUTED_VALUE"""),12.880812)</f>
        <v>12.880812</v>
      </c>
      <c r="E18655" s="4">
        <f>IFERROR(__xludf.DUMMYFUNCTION("""COMPUTED_VALUE"""),80.080584)</f>
        <v>80.080584</v>
      </c>
      <c r="F18655" s="4">
        <f>IFERROR(__xludf.DUMMYFUNCTION("""COMPUTED_VALUE"""),805.0)</f>
        <v>805</v>
      </c>
      <c r="G18655" s="4">
        <f>IFERROR(__xludf.DUMMYFUNCTION("""COMPUTED_VALUE"""),17.0)</f>
        <v>17</v>
      </c>
      <c r="H18655" s="4"/>
      <c r="I18655" s="4"/>
    </row>
    <row r="18656">
      <c r="A18656" s="4" t="str">
        <f>IFERROR(__xludf.DUMMYFUNCTION("""COMPUTED_VALUE"""),"cas_hmw")</f>
        <v>cas_hmw</v>
      </c>
      <c r="B18656" s="5">
        <f>IFERROR(__xludf.DUMMYFUNCTION("""COMPUTED_VALUE"""),44775.0)</f>
        <v>44775</v>
      </c>
      <c r="C18656" s="6">
        <f>IFERROR(__xludf.DUMMYFUNCTION("""COMPUTED_VALUE"""),0.6984490740724141)</f>
        <v>0.6984490741</v>
      </c>
      <c r="D18656" s="4">
        <f>IFERROR(__xludf.DUMMYFUNCTION("""COMPUTED_VALUE"""),12.881101)</f>
        <v>12.881101</v>
      </c>
      <c r="E18656" s="4">
        <f>IFERROR(__xludf.DUMMYFUNCTION("""COMPUTED_VALUE"""),80.080585)</f>
        <v>80.080585</v>
      </c>
      <c r="F18656" s="4">
        <f>IFERROR(__xludf.DUMMYFUNCTION("""COMPUTED_VALUE"""),805.0)</f>
        <v>805</v>
      </c>
      <c r="G18656" s="4">
        <f>IFERROR(__xludf.DUMMYFUNCTION("""COMPUTED_VALUE"""),10.0)</f>
        <v>10</v>
      </c>
      <c r="H18656" s="4"/>
      <c r="I18656" s="4"/>
    </row>
    <row r="18657">
      <c r="A18657" s="4" t="str">
        <f>IFERROR(__xludf.DUMMYFUNCTION("""COMPUTED_VALUE"""),"cas_hmw")</f>
        <v>cas_hmw</v>
      </c>
      <c r="B18657" s="5">
        <f>IFERROR(__xludf.DUMMYFUNCTION("""COMPUTED_VALUE"""),44775.0)</f>
        <v>44775</v>
      </c>
      <c r="C18657" s="6">
        <f>IFERROR(__xludf.DUMMYFUNCTION("""COMPUTED_VALUE"""),0.6985300925916818)</f>
        <v>0.6985300926</v>
      </c>
      <c r="D18657" s="4">
        <f>IFERROR(__xludf.DUMMYFUNCTION("""COMPUTED_VALUE"""),12.881101)</f>
        <v>12.881101</v>
      </c>
      <c r="E18657" s="4">
        <f>IFERROR(__xludf.DUMMYFUNCTION("""COMPUTED_VALUE"""),80.080585)</f>
        <v>80.080585</v>
      </c>
      <c r="F18657" s="4">
        <f>IFERROR(__xludf.DUMMYFUNCTION("""COMPUTED_VALUE"""),805.0)</f>
        <v>805</v>
      </c>
      <c r="G18657" s="4">
        <f>IFERROR(__xludf.DUMMYFUNCTION("""COMPUTED_VALUE"""),10.0)</f>
        <v>10</v>
      </c>
      <c r="H18657" s="4"/>
      <c r="I18657" s="4"/>
    </row>
    <row r="18658">
      <c r="A18658" s="4" t="str">
        <f>IFERROR(__xludf.DUMMYFUNCTION("""COMPUTED_VALUE"""),"cas_hmw")</f>
        <v>cas_hmw</v>
      </c>
      <c r="B18658" s="5">
        <f>IFERROR(__xludf.DUMMYFUNCTION("""COMPUTED_VALUE"""),44775.0)</f>
        <v>44775</v>
      </c>
      <c r="C18658" s="6">
        <f>IFERROR(__xludf.DUMMYFUNCTION("""COMPUTED_VALUE"""),0.6985879629646661)</f>
        <v>0.698587963</v>
      </c>
      <c r="D18658" s="4">
        <f>IFERROR(__xludf.DUMMYFUNCTION("""COMPUTED_VALUE"""),12.881101)</f>
        <v>12.881101</v>
      </c>
      <c r="E18658" s="4">
        <f>IFERROR(__xludf.DUMMYFUNCTION("""COMPUTED_VALUE"""),80.080585)</f>
        <v>80.080585</v>
      </c>
      <c r="F18658" s="4">
        <f>IFERROR(__xludf.DUMMYFUNCTION("""COMPUTED_VALUE"""),805.0)</f>
        <v>805</v>
      </c>
      <c r="G18658" s="4">
        <f>IFERROR(__xludf.DUMMYFUNCTION("""COMPUTED_VALUE"""),10.0)</f>
        <v>10</v>
      </c>
      <c r="H18658" s="4"/>
      <c r="I18658" s="4"/>
    </row>
    <row r="18659">
      <c r="A18659" s="4" t="str">
        <f>IFERROR(__xludf.DUMMYFUNCTION("""COMPUTED_VALUE"""),"cas_hmw")</f>
        <v>cas_hmw</v>
      </c>
      <c r="B18659" s="5">
        <f>IFERROR(__xludf.DUMMYFUNCTION("""COMPUTED_VALUE"""),44775.0)</f>
        <v>44775</v>
      </c>
      <c r="C18659" s="6">
        <f>IFERROR(__xludf.DUMMYFUNCTION("""COMPUTED_VALUE"""),0.6988310185188311)</f>
        <v>0.6988310185</v>
      </c>
      <c r="D18659" s="4">
        <f>IFERROR(__xludf.DUMMYFUNCTION("""COMPUTED_VALUE"""),12.919664)</f>
        <v>12.919664</v>
      </c>
      <c r="E18659" s="4">
        <f>IFERROR(__xludf.DUMMYFUNCTION("""COMPUTED_VALUE"""),80.086076)</f>
        <v>80.086076</v>
      </c>
      <c r="F18659" s="4">
        <f>IFERROR(__xludf.DUMMYFUNCTION("""COMPUTED_VALUE"""),3143.0)</f>
        <v>3143</v>
      </c>
      <c r="G18659" s="4">
        <f>IFERROR(__xludf.DUMMYFUNCTION("""COMPUTED_VALUE"""),32.0)</f>
        <v>32</v>
      </c>
      <c r="H18659" s="4"/>
      <c r="I18659" s="4"/>
    </row>
    <row r="18660">
      <c r="A18660" s="4" t="str">
        <f>IFERROR(__xludf.DUMMYFUNCTION("""COMPUTED_VALUE"""),"cas_hmw")</f>
        <v>cas_hmw</v>
      </c>
      <c r="B18660" s="5">
        <f>IFERROR(__xludf.DUMMYFUNCTION("""COMPUTED_VALUE"""),44775.0)</f>
        <v>44775</v>
      </c>
      <c r="C18660" s="6">
        <f>IFERROR(__xludf.DUMMYFUNCTION("""COMPUTED_VALUE"""),0.6989467592575238)</f>
        <v>0.6989467593</v>
      </c>
      <c r="D18660" s="4">
        <f>IFERROR(__xludf.DUMMYFUNCTION("""COMPUTED_VALUE"""),12.91539)</f>
        <v>12.91539</v>
      </c>
      <c r="E18660" s="4">
        <f>IFERROR(__xludf.DUMMYFUNCTION("""COMPUTED_VALUE"""),80.102553)</f>
        <v>80.102553</v>
      </c>
      <c r="F18660" s="4">
        <f>IFERROR(__xludf.DUMMYFUNCTION("""COMPUTED_VALUE"""),5339.0)</f>
        <v>5339</v>
      </c>
      <c r="G18660" s="4">
        <f>IFERROR(__xludf.DUMMYFUNCTION("""COMPUTED_VALUE"""),51.0)</f>
        <v>51</v>
      </c>
      <c r="H18660" s="4"/>
      <c r="I18660" s="4"/>
    </row>
    <row r="18661">
      <c r="A18661" s="4" t="str">
        <f>IFERROR(__xludf.DUMMYFUNCTION("""COMPUTED_VALUE"""),"cas_hmw")</f>
        <v>cas_hmw</v>
      </c>
      <c r="B18661" s="5">
        <f>IFERROR(__xludf.DUMMYFUNCTION("""COMPUTED_VALUE"""),44775.0)</f>
        <v>44775</v>
      </c>
      <c r="C18661" s="6">
        <f>IFERROR(__xludf.DUMMYFUNCTION("""COMPUTED_VALUE"""),0.6989699074074451)</f>
        <v>0.6989699074</v>
      </c>
      <c r="D18661" s="4">
        <f>IFERROR(__xludf.DUMMYFUNCTION("""COMPUTED_VALUE"""),12.840838)</f>
        <v>12.840838</v>
      </c>
      <c r="E18661" s="4">
        <f>IFERROR(__xludf.DUMMYFUNCTION("""COMPUTED_VALUE"""),80.056681)</f>
        <v>80.056681</v>
      </c>
      <c r="F18661" s="4">
        <f>IFERROR(__xludf.DUMMYFUNCTION("""COMPUTED_VALUE"""),2846.0)</f>
        <v>2846</v>
      </c>
      <c r="G18661" s="4">
        <f>IFERROR(__xludf.DUMMYFUNCTION("""COMPUTED_VALUE"""),16.0)</f>
        <v>16</v>
      </c>
      <c r="H18661" s="4"/>
      <c r="I18661" s="4"/>
    </row>
    <row r="18662">
      <c r="A18662" s="4" t="str">
        <f>IFERROR(__xludf.DUMMYFUNCTION("""COMPUTED_VALUE"""),"cas_hmw")</f>
        <v>cas_hmw</v>
      </c>
      <c r="B18662" s="5">
        <f>IFERROR(__xludf.DUMMYFUNCTION("""COMPUTED_VALUE"""),44775.0)</f>
        <v>44775</v>
      </c>
      <c r="C18662" s="6">
        <f>IFERROR(__xludf.DUMMYFUNCTION("""COMPUTED_VALUE"""),0.6990046296305081)</f>
        <v>0.6990046296</v>
      </c>
      <c r="D18662" s="4">
        <f>IFERROR(__xludf.DUMMYFUNCTION("""COMPUTED_VALUE"""),12.883393)</f>
        <v>12.883393</v>
      </c>
      <c r="E18662" s="4">
        <f>IFERROR(__xludf.DUMMYFUNCTION("""COMPUTED_VALUE"""),80.081392)</f>
        <v>80.081392</v>
      </c>
      <c r="F18662" s="4">
        <f>IFERROR(__xludf.DUMMYFUNCTION("""COMPUTED_VALUE"""),805.0)</f>
        <v>805</v>
      </c>
      <c r="G18662" s="4">
        <f>IFERROR(__xludf.DUMMYFUNCTION("""COMPUTED_VALUE"""),47.0)</f>
        <v>47</v>
      </c>
      <c r="H18662" s="4"/>
      <c r="I18662" s="4"/>
    </row>
    <row r="18663">
      <c r="A18663" s="4" t="str">
        <f>IFERROR(__xludf.DUMMYFUNCTION("""COMPUTED_VALUE"""),"cas_hmw")</f>
        <v>cas_hmw</v>
      </c>
      <c r="B18663" s="5">
        <f>IFERROR(__xludf.DUMMYFUNCTION("""COMPUTED_VALUE"""),44775.0)</f>
        <v>44775</v>
      </c>
      <c r="C18663" s="6">
        <f>IFERROR(__xludf.DUMMYFUNCTION("""COMPUTED_VALUE"""),0.6992245370383898)</f>
        <v>0.699224537</v>
      </c>
      <c r="D18663" s="4">
        <f>IFERROR(__xludf.DUMMYFUNCTION("""COMPUTED_VALUE"""),12.920186)</f>
        <v>12.920186</v>
      </c>
      <c r="E18663" s="4">
        <f>IFERROR(__xludf.DUMMYFUNCTION("""COMPUTED_VALUE"""),80.088095)</f>
        <v>80.088095</v>
      </c>
      <c r="F18663" s="4">
        <f>IFERROR(__xludf.DUMMYFUNCTION("""COMPUTED_VALUE"""),3143.0)</f>
        <v>3143</v>
      </c>
      <c r="G18663" s="4">
        <f>IFERROR(__xludf.DUMMYFUNCTION("""COMPUTED_VALUE"""),38.0)</f>
        <v>38</v>
      </c>
      <c r="H18663" s="4"/>
      <c r="I18663" s="4"/>
    </row>
    <row r="18664">
      <c r="A18664" s="4" t="str">
        <f>IFERROR(__xludf.DUMMYFUNCTION("""COMPUTED_VALUE"""),"cas_hmw")</f>
        <v>cas_hmw</v>
      </c>
      <c r="B18664" s="5">
        <f>IFERROR(__xludf.DUMMYFUNCTION("""COMPUTED_VALUE"""),44775.0)</f>
        <v>44775</v>
      </c>
      <c r="C18664" s="6">
        <f>IFERROR(__xludf.DUMMYFUNCTION("""COMPUTED_VALUE"""),0.6992476851846732)</f>
        <v>0.6992476852</v>
      </c>
      <c r="D18664" s="4">
        <f>IFERROR(__xludf.DUMMYFUNCTION("""COMPUTED_VALUE"""),12.885774)</f>
        <v>12.885774</v>
      </c>
      <c r="E18664" s="4">
        <f>IFERROR(__xludf.DUMMYFUNCTION("""COMPUTED_VALUE"""),80.082711)</f>
        <v>80.082711</v>
      </c>
      <c r="F18664" s="4">
        <f>IFERROR(__xludf.DUMMYFUNCTION("""COMPUTED_VALUE"""),805.0)</f>
        <v>805</v>
      </c>
      <c r="G18664" s="4">
        <f>IFERROR(__xludf.DUMMYFUNCTION("""COMPUTED_VALUE"""),31.0)</f>
        <v>31</v>
      </c>
      <c r="H18664" s="4"/>
      <c r="I18664" s="4"/>
    </row>
    <row r="18665">
      <c r="A18665" s="4" t="str">
        <f>IFERROR(__xludf.DUMMYFUNCTION("""COMPUTED_VALUE"""),"cas_hmw")</f>
        <v>cas_hmw</v>
      </c>
      <c r="B18665" s="5">
        <f>IFERROR(__xludf.DUMMYFUNCTION("""COMPUTED_VALUE"""),44775.0)</f>
        <v>44775</v>
      </c>
      <c r="C18665" s="6">
        <f>IFERROR(__xludf.DUMMYFUNCTION("""COMPUTED_VALUE"""),0.6994675925925549)</f>
        <v>0.6994675926</v>
      </c>
      <c r="D18665" s="4">
        <f>IFERROR(__xludf.DUMMYFUNCTION("""COMPUTED_VALUE"""),12.887542)</f>
        <v>12.887542</v>
      </c>
      <c r="E18665" s="4">
        <f>IFERROR(__xludf.DUMMYFUNCTION("""COMPUTED_VALUE"""),80.083447)</f>
        <v>80.083447</v>
      </c>
      <c r="F18665" s="4">
        <f>IFERROR(__xludf.DUMMYFUNCTION("""COMPUTED_VALUE"""),805.0)</f>
        <v>805</v>
      </c>
      <c r="G18665" s="4">
        <f>IFERROR(__xludf.DUMMYFUNCTION("""COMPUTED_VALUE"""),54.0)</f>
        <v>54</v>
      </c>
      <c r="H18665" s="4"/>
      <c r="I18665" s="4"/>
    </row>
    <row r="18666">
      <c r="A18666" s="4" t="str">
        <f>IFERROR(__xludf.DUMMYFUNCTION("""COMPUTED_VALUE"""),"cas_hmw")</f>
        <v>cas_hmw</v>
      </c>
      <c r="B18666" s="5">
        <f>IFERROR(__xludf.DUMMYFUNCTION("""COMPUTED_VALUE"""),44775.0)</f>
        <v>44775</v>
      </c>
      <c r="C18666" s="6">
        <f>IFERROR(__xludf.DUMMYFUNCTION("""COMPUTED_VALUE"""),0.6999189814814599)</f>
        <v>0.6999189815</v>
      </c>
      <c r="D18666" s="4">
        <f>IFERROR(__xludf.DUMMYFUNCTION("""COMPUTED_VALUE"""),12.8912)</f>
        <v>12.8912</v>
      </c>
      <c r="E18666" s="4">
        <f>IFERROR(__xludf.DUMMYFUNCTION("""COMPUTED_VALUE"""),80.084984)</f>
        <v>80.084984</v>
      </c>
      <c r="F18666" s="4">
        <f>IFERROR(__xludf.DUMMYFUNCTION("""COMPUTED_VALUE"""),805.0)</f>
        <v>805</v>
      </c>
      <c r="G18666" s="4">
        <f>IFERROR(__xludf.DUMMYFUNCTION("""COMPUTED_VALUE"""),52.0)</f>
        <v>52</v>
      </c>
      <c r="H18666" s="4"/>
      <c r="I18666" s="4"/>
    </row>
    <row r="18667">
      <c r="A18667" s="4" t="str">
        <f>IFERROR(__xludf.DUMMYFUNCTION("""COMPUTED_VALUE"""),"cas_hmw")</f>
        <v>cas_hmw</v>
      </c>
      <c r="B18667" s="5">
        <f>IFERROR(__xludf.DUMMYFUNCTION("""COMPUTED_VALUE"""),44775.0)</f>
        <v>44775</v>
      </c>
      <c r="C18667" s="6">
        <f>IFERROR(__xludf.DUMMYFUNCTION("""COMPUTED_VALUE"""),0.7000115740738693)</f>
        <v>0.7000115741</v>
      </c>
      <c r="D18667" s="4">
        <f>IFERROR(__xludf.DUMMYFUNCTION("""COMPUTED_VALUE"""),12.919053)</f>
        <v>12.919053</v>
      </c>
      <c r="E18667" s="4">
        <f>IFERROR(__xludf.DUMMYFUNCTION("""COMPUTED_VALUE"""),80.109816)</f>
        <v>80.109816</v>
      </c>
      <c r="F18667" s="4">
        <f>IFERROR(__xludf.DUMMYFUNCTION("""COMPUTED_VALUE"""),5339.0)</f>
        <v>5339</v>
      </c>
      <c r="G18667" s="4">
        <f>IFERROR(__xludf.DUMMYFUNCTION("""COMPUTED_VALUE"""),51.0)</f>
        <v>51</v>
      </c>
      <c r="H18667" s="4"/>
      <c r="I18667" s="4"/>
    </row>
    <row r="18668">
      <c r="A18668" s="4" t="str">
        <f>IFERROR(__xludf.DUMMYFUNCTION("""COMPUTED_VALUE"""),"cas_hmw")</f>
        <v>cas_hmw</v>
      </c>
      <c r="B18668" s="5">
        <f>IFERROR(__xludf.DUMMYFUNCTION("""COMPUTED_VALUE"""),44775.0)</f>
        <v>44775</v>
      </c>
      <c r="C18668" s="6">
        <f>IFERROR(__xludf.DUMMYFUNCTION("""COMPUTED_VALUE"""),0.7000462962969323)</f>
        <v>0.7000462963</v>
      </c>
      <c r="D18668" s="4">
        <f>IFERROR(__xludf.DUMMYFUNCTION("""COMPUTED_VALUE"""),12.893067)</f>
        <v>12.893067</v>
      </c>
      <c r="E18668" s="4">
        <f>IFERROR(__xludf.DUMMYFUNCTION("""COMPUTED_VALUE"""),80.086119)</f>
        <v>80.086119</v>
      </c>
      <c r="F18668" s="4">
        <f>IFERROR(__xludf.DUMMYFUNCTION("""COMPUTED_VALUE"""),805.0)</f>
        <v>805</v>
      </c>
      <c r="G18668" s="4">
        <f>IFERROR(__xludf.DUMMYFUNCTION("""COMPUTED_VALUE"""),56.0)</f>
        <v>56</v>
      </c>
      <c r="H18668" s="4"/>
      <c r="I18668" s="4"/>
    </row>
    <row r="18669">
      <c r="A18669" s="4" t="str">
        <f>IFERROR(__xludf.DUMMYFUNCTION("""COMPUTED_VALUE"""),"cas_hmw")</f>
        <v>cas_hmw</v>
      </c>
      <c r="B18669" s="5">
        <f>IFERROR(__xludf.DUMMYFUNCTION("""COMPUTED_VALUE"""),44775.0)</f>
        <v>44775</v>
      </c>
      <c r="C18669" s="6">
        <f>IFERROR(__xludf.DUMMYFUNCTION("""COMPUTED_VALUE"""),0.7001388888893416)</f>
        <v>0.7001388889</v>
      </c>
      <c r="D18669" s="4">
        <f>IFERROR(__xludf.DUMMYFUNCTION("""COMPUTED_VALUE"""),12.894886)</f>
        <v>12.894886</v>
      </c>
      <c r="E18669" s="4">
        <f>IFERROR(__xludf.DUMMYFUNCTION("""COMPUTED_VALUE"""),80.087456)</f>
        <v>80.087456</v>
      </c>
      <c r="F18669" s="4">
        <f>IFERROR(__xludf.DUMMYFUNCTION("""COMPUTED_VALUE"""),805.0)</f>
        <v>805</v>
      </c>
      <c r="G18669" s="4">
        <f>IFERROR(__xludf.DUMMYFUNCTION("""COMPUTED_VALUE"""),59.0)</f>
        <v>59</v>
      </c>
      <c r="H18669" s="4"/>
      <c r="I18669" s="4"/>
    </row>
    <row r="18670">
      <c r="A18670" s="4" t="str">
        <f>IFERROR(__xludf.DUMMYFUNCTION("""COMPUTED_VALUE"""),"cas_hmw")</f>
        <v>cas_hmw</v>
      </c>
      <c r="B18670" s="5">
        <f>IFERROR(__xludf.DUMMYFUNCTION("""COMPUTED_VALUE"""),44775.0)</f>
        <v>44775</v>
      </c>
      <c r="C18670" s="6">
        <f>IFERROR(__xludf.DUMMYFUNCTION("""COMPUTED_VALUE"""),0.7001851851855463)</f>
        <v>0.7001851852</v>
      </c>
      <c r="D18670" s="4">
        <f>IFERROR(__xludf.DUMMYFUNCTION("""COMPUTED_VALUE"""),12.92185)</f>
        <v>12.92185</v>
      </c>
      <c r="E18670" s="4">
        <f>IFERROR(__xludf.DUMMYFUNCTION("""COMPUTED_VALUE"""),80.093537)</f>
        <v>80.093537</v>
      </c>
      <c r="F18670" s="4">
        <f>IFERROR(__xludf.DUMMYFUNCTION("""COMPUTED_VALUE"""),3143.0)</f>
        <v>3143</v>
      </c>
      <c r="G18670" s="4">
        <f>IFERROR(__xludf.DUMMYFUNCTION("""COMPUTED_VALUE"""),22.0)</f>
        <v>22</v>
      </c>
      <c r="H18670" s="4"/>
      <c r="I18670" s="4"/>
    </row>
    <row r="18671">
      <c r="A18671" s="4" t="str">
        <f>IFERROR(__xludf.DUMMYFUNCTION("""COMPUTED_VALUE"""),"cas_hmw")</f>
        <v>cas_hmw</v>
      </c>
      <c r="B18671" s="5">
        <f>IFERROR(__xludf.DUMMYFUNCTION("""COMPUTED_VALUE"""),44775.0)</f>
        <v>44775</v>
      </c>
      <c r="C18671" s="6">
        <f>IFERROR(__xludf.DUMMYFUNCTION("""COMPUTED_VALUE"""),0.7002199074086093)</f>
        <v>0.7002199074</v>
      </c>
      <c r="D18671" s="4">
        <f>IFERROR(__xludf.DUMMYFUNCTION("""COMPUTED_VALUE"""),12.920778)</f>
        <v>12.920778</v>
      </c>
      <c r="E18671" s="4">
        <f>IFERROR(__xludf.DUMMYFUNCTION("""COMPUTED_VALUE"""),80.111828)</f>
        <v>80.111828</v>
      </c>
      <c r="F18671" s="4">
        <f>IFERROR(__xludf.DUMMYFUNCTION("""COMPUTED_VALUE"""),5339.0)</f>
        <v>5339</v>
      </c>
      <c r="G18671" s="4">
        <f>IFERROR(__xludf.DUMMYFUNCTION("""COMPUTED_VALUE"""),49.0)</f>
        <v>49</v>
      </c>
      <c r="H18671" s="4"/>
      <c r="I18671" s="4"/>
    </row>
    <row r="18672">
      <c r="A18672" s="4" t="str">
        <f>IFERROR(__xludf.DUMMYFUNCTION("""COMPUTED_VALUE"""),"cas_hmw")</f>
        <v>cas_hmw</v>
      </c>
      <c r="B18672" s="5">
        <f>IFERROR(__xludf.DUMMYFUNCTION("""COMPUTED_VALUE"""),44775.0)</f>
        <v>44775</v>
      </c>
      <c r="C18672" s="6">
        <f>IFERROR(__xludf.DUMMYFUNCTION("""COMPUTED_VALUE"""),0.7004629629627743)</f>
        <v>0.700462963</v>
      </c>
      <c r="D18672" s="4">
        <f>IFERROR(__xludf.DUMMYFUNCTION("""COMPUTED_VALUE"""),12.896752)</f>
        <v>12.896752</v>
      </c>
      <c r="E18672" s="4">
        <f>IFERROR(__xludf.DUMMYFUNCTION("""COMPUTED_VALUE"""),80.088874)</f>
        <v>80.088874</v>
      </c>
      <c r="F18672" s="4">
        <f>IFERROR(__xludf.DUMMYFUNCTION("""COMPUTED_VALUE"""),805.0)</f>
        <v>805</v>
      </c>
      <c r="G18672" s="4">
        <f>IFERROR(__xludf.DUMMYFUNCTION("""COMPUTED_VALUE"""),57.0)</f>
        <v>57</v>
      </c>
      <c r="H18672" s="4"/>
      <c r="I18672" s="4"/>
    </row>
    <row r="18673">
      <c r="A18673" s="4" t="str">
        <f>IFERROR(__xludf.DUMMYFUNCTION("""COMPUTED_VALUE"""),"cas_hmw")</f>
        <v>cas_hmw</v>
      </c>
      <c r="B18673" s="5">
        <f>IFERROR(__xludf.DUMMYFUNCTION("""COMPUTED_VALUE"""),44775.0)</f>
        <v>44775</v>
      </c>
      <c r="C18673" s="6">
        <f>IFERROR(__xludf.DUMMYFUNCTION("""COMPUTED_VALUE"""),0.7005208333321207)</f>
        <v>0.7005208333</v>
      </c>
      <c r="D18673" s="4">
        <f>IFERROR(__xludf.DUMMYFUNCTION("""COMPUTED_VALUE"""),12.898565)</f>
        <v>12.898565</v>
      </c>
      <c r="E18673" s="4">
        <f>IFERROR(__xludf.DUMMYFUNCTION("""COMPUTED_VALUE"""),80.090208)</f>
        <v>80.090208</v>
      </c>
      <c r="F18673" s="4">
        <f>IFERROR(__xludf.DUMMYFUNCTION("""COMPUTED_VALUE"""),805.0)</f>
        <v>805</v>
      </c>
      <c r="G18673" s="4">
        <f>IFERROR(__xludf.DUMMYFUNCTION("""COMPUTED_VALUE"""),56.0)</f>
        <v>56</v>
      </c>
      <c r="H18673" s="4"/>
      <c r="I18673" s="4"/>
    </row>
    <row r="18674">
      <c r="A18674" s="4" t="str">
        <f>IFERROR(__xludf.DUMMYFUNCTION("""COMPUTED_VALUE"""),"cas_hmw")</f>
        <v>cas_hmw</v>
      </c>
      <c r="B18674" s="5">
        <f>IFERROR(__xludf.DUMMYFUNCTION("""COMPUTED_VALUE"""),44775.0)</f>
        <v>44775</v>
      </c>
      <c r="C18674" s="6">
        <f>IFERROR(__xludf.DUMMYFUNCTION("""COMPUTED_VALUE"""),0.7006712962975143)</f>
        <v>0.7006712963</v>
      </c>
      <c r="D18674" s="4">
        <f>IFERROR(__xludf.DUMMYFUNCTION("""COMPUTED_VALUE"""),12.827584)</f>
        <v>12.827584</v>
      </c>
      <c r="E18674" s="4">
        <f>IFERROR(__xludf.DUMMYFUNCTION("""COMPUTED_VALUE"""),80.042689)</f>
        <v>80.042689</v>
      </c>
      <c r="F18674" s="4">
        <f>IFERROR(__xludf.DUMMYFUNCTION("""COMPUTED_VALUE"""),2846.0)</f>
        <v>2846</v>
      </c>
      <c r="G18674" s="4">
        <f>IFERROR(__xludf.DUMMYFUNCTION("""COMPUTED_VALUE"""),57.0)</f>
        <v>57</v>
      </c>
      <c r="H18674" s="4"/>
      <c r="I18674" s="4"/>
    </row>
    <row r="18675">
      <c r="A18675" s="4" t="str">
        <f>IFERROR(__xludf.DUMMYFUNCTION("""COMPUTED_VALUE"""),"cas_hmw")</f>
        <v>cas_hmw</v>
      </c>
      <c r="B18675" s="5">
        <f>IFERROR(__xludf.DUMMYFUNCTION("""COMPUTED_VALUE"""),44775.0)</f>
        <v>44775</v>
      </c>
      <c r="C18675" s="6">
        <f>IFERROR(__xludf.DUMMYFUNCTION("""COMPUTED_VALUE"""),0.7008333333324117)</f>
        <v>0.7008333333</v>
      </c>
      <c r="D18675" s="4">
        <f>IFERROR(__xludf.DUMMYFUNCTION("""COMPUTED_VALUE"""),12.823001)</f>
        <v>12.823001</v>
      </c>
      <c r="E18675" s="4">
        <f>IFERROR(__xludf.DUMMYFUNCTION("""COMPUTED_VALUE"""),80.039043)</f>
        <v>80.039043</v>
      </c>
      <c r="F18675" s="4">
        <f>IFERROR(__xludf.DUMMYFUNCTION("""COMPUTED_VALUE"""),2846.0)</f>
        <v>2846</v>
      </c>
      <c r="G18675" s="4">
        <f>IFERROR(__xludf.DUMMYFUNCTION("""COMPUTED_VALUE"""),58.0)</f>
        <v>58</v>
      </c>
      <c r="H18675" s="4"/>
      <c r="I18675" s="4"/>
    </row>
    <row r="18676">
      <c r="A18676" s="4" t="str">
        <f>IFERROR(__xludf.DUMMYFUNCTION("""COMPUTED_VALUE"""),"cas_hmw")</f>
        <v>cas_hmw</v>
      </c>
      <c r="B18676" s="5">
        <f>IFERROR(__xludf.DUMMYFUNCTION("""COMPUTED_VALUE"""),44775.0)</f>
        <v>44775</v>
      </c>
      <c r="C18676" s="6">
        <f>IFERROR(__xludf.DUMMYFUNCTION("""COMPUTED_VALUE"""),0.7009027777785377)</f>
        <v>0.7009027778</v>
      </c>
      <c r="D18676" s="4">
        <f>IFERROR(__xludf.DUMMYFUNCTION("""COMPUTED_VALUE"""),12.902201)</f>
        <v>12.902201</v>
      </c>
      <c r="E18676" s="4">
        <f>IFERROR(__xludf.DUMMYFUNCTION("""COMPUTED_VALUE"""),80.092985)</f>
        <v>80.092985</v>
      </c>
      <c r="F18676" s="4">
        <f>IFERROR(__xludf.DUMMYFUNCTION("""COMPUTED_VALUE"""),805.0)</f>
        <v>805</v>
      </c>
      <c r="G18676" s="4">
        <f>IFERROR(__xludf.DUMMYFUNCTION("""COMPUTED_VALUE"""),44.0)</f>
        <v>44</v>
      </c>
      <c r="H18676" s="4"/>
      <c r="I18676" s="4"/>
    </row>
    <row r="18677">
      <c r="A18677" s="4" t="str">
        <f>IFERROR(__xludf.DUMMYFUNCTION("""COMPUTED_VALUE"""),"cas_hmw")</f>
        <v>cas_hmw</v>
      </c>
      <c r="B18677" s="5">
        <f>IFERROR(__xludf.DUMMYFUNCTION("""COMPUTED_VALUE"""),44775.0)</f>
        <v>44775</v>
      </c>
      <c r="C18677" s="6">
        <f>IFERROR(__xludf.DUMMYFUNCTION("""COMPUTED_VALUE"""),0.7010069444440887)</f>
        <v>0.7010069444</v>
      </c>
      <c r="D18677" s="4">
        <f>IFERROR(__xludf.DUMMYFUNCTION("""COMPUTED_VALUE"""),12.902201)</f>
        <v>12.902201</v>
      </c>
      <c r="E18677" s="4">
        <f>IFERROR(__xludf.DUMMYFUNCTION("""COMPUTED_VALUE"""),80.092985)</f>
        <v>80.092985</v>
      </c>
      <c r="F18677" s="4">
        <f>IFERROR(__xludf.DUMMYFUNCTION("""COMPUTED_VALUE"""),805.0)</f>
        <v>805</v>
      </c>
      <c r="G18677" s="4">
        <f>IFERROR(__xludf.DUMMYFUNCTION("""COMPUTED_VALUE"""),44.0)</f>
        <v>44</v>
      </c>
      <c r="H18677" s="4"/>
      <c r="I18677" s="4"/>
    </row>
    <row r="18678">
      <c r="A18678" s="4" t="str">
        <f>IFERROR(__xludf.DUMMYFUNCTION("""COMPUTED_VALUE"""),"cas_hmw")</f>
        <v>cas_hmw</v>
      </c>
      <c r="B18678" s="5">
        <f>IFERROR(__xludf.DUMMYFUNCTION("""COMPUTED_VALUE"""),44775.0)</f>
        <v>44775</v>
      </c>
      <c r="C18678" s="6">
        <f>IFERROR(__xludf.DUMMYFUNCTION("""COMPUTED_VALUE"""),0.7014583333329938)</f>
        <v>0.7014583333</v>
      </c>
      <c r="D18678" s="4">
        <f>IFERROR(__xludf.DUMMYFUNCTION("""COMPUTED_VALUE"""),12.906862)</f>
        <v>12.906862</v>
      </c>
      <c r="E18678" s="4">
        <f>IFERROR(__xludf.DUMMYFUNCTION("""COMPUTED_VALUE"""),80.096439)</f>
        <v>80.096439</v>
      </c>
      <c r="F18678" s="4">
        <f>IFERROR(__xludf.DUMMYFUNCTION("""COMPUTED_VALUE"""),805.0)</f>
        <v>805</v>
      </c>
      <c r="G18678" s="4">
        <f>IFERROR(__xludf.DUMMYFUNCTION("""COMPUTED_VALUE"""),47.0)</f>
        <v>47</v>
      </c>
      <c r="H18678" s="4"/>
      <c r="I18678" s="4"/>
    </row>
    <row r="18679">
      <c r="A18679" s="4" t="str">
        <f>IFERROR(__xludf.DUMMYFUNCTION("""COMPUTED_VALUE"""),"cas_hmw")</f>
        <v>cas_hmw</v>
      </c>
      <c r="B18679" s="5">
        <f>IFERROR(__xludf.DUMMYFUNCTION("""COMPUTED_VALUE"""),44775.0)</f>
        <v>44775</v>
      </c>
      <c r="C18679" s="6">
        <f>IFERROR(__xludf.DUMMYFUNCTION("""COMPUTED_VALUE"""),0.7019328703718202)</f>
        <v>0.7019328704</v>
      </c>
      <c r="D18679" s="4">
        <f>IFERROR(__xludf.DUMMYFUNCTION("""COMPUTED_VALUE"""),12.909476)</f>
        <v>12.909476</v>
      </c>
      <c r="E18679" s="4">
        <f>IFERROR(__xludf.DUMMYFUNCTION("""COMPUTED_VALUE"""),80.099024)</f>
        <v>80.099024</v>
      </c>
      <c r="F18679" s="4">
        <f>IFERROR(__xludf.DUMMYFUNCTION("""COMPUTED_VALUE"""),805.0)</f>
        <v>805</v>
      </c>
      <c r="G18679" s="4">
        <f>IFERROR(__xludf.DUMMYFUNCTION("""COMPUTED_VALUE"""),39.0)</f>
        <v>39</v>
      </c>
      <c r="H18679" s="4"/>
      <c r="I18679" s="4"/>
    </row>
    <row r="18680">
      <c r="A18680" s="4" t="str">
        <f>IFERROR(__xludf.DUMMYFUNCTION("""COMPUTED_VALUE"""),"cas_hmw")</f>
        <v>cas_hmw</v>
      </c>
      <c r="B18680" s="5">
        <f>IFERROR(__xludf.DUMMYFUNCTION("""COMPUTED_VALUE"""),44775.0)</f>
        <v>44775</v>
      </c>
      <c r="C18680" s="6">
        <f>IFERROR(__xludf.DUMMYFUNCTION("""COMPUTED_VALUE"""),0.7026620370379533)</f>
        <v>0.702662037</v>
      </c>
      <c r="D18680" s="4">
        <f>IFERROR(__xludf.DUMMYFUNCTION("""COMPUTED_VALUE"""),12.913726)</f>
        <v>12.913726</v>
      </c>
      <c r="E18680" s="4">
        <f>IFERROR(__xludf.DUMMYFUNCTION("""COMPUTED_VALUE"""),80.101547)</f>
        <v>80.101547</v>
      </c>
      <c r="F18680" s="4">
        <f>IFERROR(__xludf.DUMMYFUNCTION("""COMPUTED_VALUE"""),805.0)</f>
        <v>805</v>
      </c>
      <c r="G18680" s="4">
        <f>IFERROR(__xludf.DUMMYFUNCTION("""COMPUTED_VALUE"""),48.0)</f>
        <v>48</v>
      </c>
      <c r="H18680" s="4"/>
      <c r="I18680" s="4"/>
    </row>
    <row r="18681">
      <c r="A18681" s="4" t="str">
        <f>IFERROR(__xludf.DUMMYFUNCTION("""COMPUTED_VALUE"""),"cas_hmw")</f>
        <v>cas_hmw</v>
      </c>
      <c r="B18681" s="5">
        <f>IFERROR(__xludf.DUMMYFUNCTION("""COMPUTED_VALUE"""),44775.0)</f>
        <v>44775</v>
      </c>
      <c r="C18681" s="6">
        <f>IFERROR(__xludf.DUMMYFUNCTION("""COMPUTED_VALUE"""),0.7027430555572209)</f>
        <v>0.7027430556</v>
      </c>
      <c r="D18681" s="4">
        <f>IFERROR(__xludf.DUMMYFUNCTION("""COMPUTED_VALUE"""),12.915572)</f>
        <v>12.915572</v>
      </c>
      <c r="E18681" s="4">
        <f>IFERROR(__xludf.DUMMYFUNCTION("""COMPUTED_VALUE"""),80.102923)</f>
        <v>80.102923</v>
      </c>
      <c r="F18681" s="4">
        <f>IFERROR(__xludf.DUMMYFUNCTION("""COMPUTED_VALUE"""),805.0)</f>
        <v>805</v>
      </c>
      <c r="G18681" s="4">
        <f>IFERROR(__xludf.DUMMYFUNCTION("""COMPUTED_VALUE"""),61.0)</f>
        <v>61</v>
      </c>
      <c r="H18681" s="4"/>
      <c r="I18681" s="4"/>
    </row>
    <row r="18682">
      <c r="A18682" s="4" t="str">
        <f>IFERROR(__xludf.DUMMYFUNCTION("""COMPUTED_VALUE"""),"cas_hmw")</f>
        <v>cas_hmw</v>
      </c>
      <c r="B18682" s="5">
        <f>IFERROR(__xludf.DUMMYFUNCTION("""COMPUTED_VALUE"""),44775.0)</f>
        <v>44775</v>
      </c>
      <c r="C18682" s="6">
        <f>IFERROR(__xludf.DUMMYFUNCTION("""COMPUTED_VALUE"""),0.7028356481496303)</f>
        <v>0.7028356481</v>
      </c>
      <c r="D18682" s="4">
        <f>IFERROR(__xludf.DUMMYFUNCTION("""COMPUTED_VALUE"""),12.915572)</f>
        <v>12.915572</v>
      </c>
      <c r="E18682" s="4">
        <f>IFERROR(__xludf.DUMMYFUNCTION("""COMPUTED_VALUE"""),80.102923)</f>
        <v>80.102923</v>
      </c>
      <c r="F18682" s="4">
        <f>IFERROR(__xludf.DUMMYFUNCTION("""COMPUTED_VALUE"""),805.0)</f>
        <v>805</v>
      </c>
      <c r="G18682" s="4">
        <f>IFERROR(__xludf.DUMMYFUNCTION("""COMPUTED_VALUE"""),61.0)</f>
        <v>61</v>
      </c>
      <c r="H18682" s="4"/>
      <c r="I18682" s="4"/>
    </row>
    <row r="18683">
      <c r="A18683" s="4" t="str">
        <f>IFERROR(__xludf.DUMMYFUNCTION("""COMPUTED_VALUE"""),"cas_hmw")</f>
        <v>cas_hmw</v>
      </c>
      <c r="B18683" s="5">
        <f>IFERROR(__xludf.DUMMYFUNCTION("""COMPUTED_VALUE"""),44775.0)</f>
        <v>44775</v>
      </c>
      <c r="C18683" s="6">
        <f>IFERROR(__xludf.DUMMYFUNCTION("""COMPUTED_VALUE"""),0.702986111111386)</f>
        <v>0.7029861111</v>
      </c>
      <c r="D18683" s="4">
        <f>IFERROR(__xludf.DUMMYFUNCTION("""COMPUTED_VALUE"""),12.916028)</f>
        <v>12.916028</v>
      </c>
      <c r="E18683" s="4">
        <f>IFERROR(__xludf.DUMMYFUNCTION("""COMPUTED_VALUE"""),80.105252)</f>
        <v>80.105252</v>
      </c>
      <c r="F18683" s="4">
        <f>IFERROR(__xludf.DUMMYFUNCTION("""COMPUTED_VALUE"""),805.0)</f>
        <v>805</v>
      </c>
      <c r="G18683" s="4">
        <f>IFERROR(__xludf.DUMMYFUNCTION("""COMPUTED_VALUE"""),57.0)</f>
        <v>57</v>
      </c>
      <c r="H18683" s="4"/>
      <c r="I18683" s="4"/>
    </row>
    <row r="18684">
      <c r="A18684" s="4" t="str">
        <f>IFERROR(__xludf.DUMMYFUNCTION("""COMPUTED_VALUE"""),"cas_hmw")</f>
        <v>cas_hmw</v>
      </c>
      <c r="B18684" s="5">
        <f>IFERROR(__xludf.DUMMYFUNCTION("""COMPUTED_VALUE"""),44775.0)</f>
        <v>44775</v>
      </c>
      <c r="C18684" s="6">
        <f>IFERROR(__xludf.DUMMYFUNCTION("""COMPUTED_VALUE"""),0.7031481481499213)</f>
        <v>0.7031481481</v>
      </c>
      <c r="D18684" s="4">
        <f>IFERROR(__xludf.DUMMYFUNCTION("""COMPUTED_VALUE"""),12.925568)</f>
        <v>12.925568</v>
      </c>
      <c r="E18684" s="4">
        <f>IFERROR(__xludf.DUMMYFUNCTION("""COMPUTED_VALUE"""),80.10445)</f>
        <v>80.10445</v>
      </c>
      <c r="F18684" s="4">
        <f>IFERROR(__xludf.DUMMYFUNCTION("""COMPUTED_VALUE"""),3143.0)</f>
        <v>3143</v>
      </c>
      <c r="G18684" s="4">
        <f>IFERROR(__xludf.DUMMYFUNCTION("""COMPUTED_VALUE"""),10.0)</f>
        <v>10</v>
      </c>
      <c r="H18684" s="4"/>
      <c r="I18684" s="4"/>
    </row>
    <row r="18685">
      <c r="A18685" s="4" t="str">
        <f>IFERROR(__xludf.DUMMYFUNCTION("""COMPUTED_VALUE"""),"cas_hmw")</f>
        <v>cas_hmw</v>
      </c>
      <c r="B18685" s="5">
        <f>IFERROR(__xludf.DUMMYFUNCTION("""COMPUTED_VALUE"""),44775.0)</f>
        <v>44775</v>
      </c>
      <c r="C18685" s="6">
        <f>IFERROR(__xludf.DUMMYFUNCTION("""COMPUTED_VALUE"""),0.703368055554165)</f>
        <v>0.7033680556</v>
      </c>
      <c r="D18685" s="4">
        <f>IFERROR(__xludf.DUMMYFUNCTION("""COMPUTED_VALUE"""),12.933526)</f>
        <v>12.933526</v>
      </c>
      <c r="E18685" s="4">
        <f>IFERROR(__xludf.DUMMYFUNCTION("""COMPUTED_VALUE"""),80.124668)</f>
        <v>80.124668</v>
      </c>
      <c r="F18685" s="4">
        <f>IFERROR(__xludf.DUMMYFUNCTION("""COMPUTED_VALUE"""),5339.0)</f>
        <v>5339</v>
      </c>
      <c r="G18685" s="4">
        <f>IFERROR(__xludf.DUMMYFUNCTION("""COMPUTED_VALUE"""),43.0)</f>
        <v>43</v>
      </c>
      <c r="H18685" s="4"/>
      <c r="I18685" s="4"/>
    </row>
    <row r="18686">
      <c r="A18686" s="4" t="str">
        <f>IFERROR(__xludf.DUMMYFUNCTION("""COMPUTED_VALUE"""),"cas_hmw")</f>
        <v>cas_hmw</v>
      </c>
      <c r="B18686" s="5">
        <f>IFERROR(__xludf.DUMMYFUNCTION("""COMPUTED_VALUE"""),44775.0)</f>
        <v>44775</v>
      </c>
      <c r="C18686" s="6">
        <f>IFERROR(__xludf.DUMMYFUNCTION("""COMPUTED_VALUE"""),0.7033796296309447)</f>
        <v>0.7033796296</v>
      </c>
      <c r="D18686" s="4">
        <f>IFERROR(__xludf.DUMMYFUNCTION("""COMPUTED_VALUE"""),12.91784)</f>
        <v>12.91784</v>
      </c>
      <c r="E18686" s="4">
        <f>IFERROR(__xludf.DUMMYFUNCTION("""COMPUTED_VALUE"""),80.108308)</f>
        <v>80.108308</v>
      </c>
      <c r="F18686" s="4">
        <f>IFERROR(__xludf.DUMMYFUNCTION("""COMPUTED_VALUE"""),805.0)</f>
        <v>805</v>
      </c>
      <c r="G18686" s="4">
        <f>IFERROR(__xludf.DUMMYFUNCTION("""COMPUTED_VALUE"""),36.0)</f>
        <v>36</v>
      </c>
      <c r="H18686" s="4"/>
      <c r="I18686" s="4"/>
    </row>
    <row r="18687">
      <c r="A18687" s="4" t="str">
        <f>IFERROR(__xludf.DUMMYFUNCTION("""COMPUTED_VALUE"""),"cas_hmw")</f>
        <v>cas_hmw</v>
      </c>
      <c r="B18687" s="5">
        <f>IFERROR(__xludf.DUMMYFUNCTION("""COMPUTED_VALUE"""),44775.0)</f>
        <v>44775</v>
      </c>
      <c r="C18687" s="6">
        <f>IFERROR(__xludf.DUMMYFUNCTION("""COMPUTED_VALUE"""),0.7037384259274404)</f>
        <v>0.7037384259</v>
      </c>
      <c r="D18687" s="4">
        <f>IFERROR(__xludf.DUMMYFUNCTION("""COMPUTED_VALUE"""),12.91997)</f>
        <v>12.91997</v>
      </c>
      <c r="E18687" s="4">
        <f>IFERROR(__xludf.DUMMYFUNCTION("""COMPUTED_VALUE"""),80.110951)</f>
        <v>80.110951</v>
      </c>
      <c r="F18687" s="4">
        <f>IFERROR(__xludf.DUMMYFUNCTION("""COMPUTED_VALUE"""),805.0)</f>
        <v>805</v>
      </c>
      <c r="G18687" s="4">
        <f>IFERROR(__xludf.DUMMYFUNCTION("""COMPUTED_VALUE"""),46.0)</f>
        <v>46</v>
      </c>
      <c r="H18687" s="4"/>
      <c r="I18687" s="4"/>
    </row>
    <row r="18688">
      <c r="A18688" s="4" t="str">
        <f>IFERROR(__xludf.DUMMYFUNCTION("""COMPUTED_VALUE"""),"cas_hmw")</f>
        <v>cas_hmw</v>
      </c>
      <c r="B18688" s="5">
        <f>IFERROR(__xludf.DUMMYFUNCTION("""COMPUTED_VALUE"""),44775.0)</f>
        <v>44775</v>
      </c>
      <c r="C18688" s="6">
        <f>IFERROR(__xludf.DUMMYFUNCTION("""COMPUTED_VALUE"""),0.7037962962967867)</f>
        <v>0.7037962963</v>
      </c>
      <c r="D18688" s="4">
        <f>IFERROR(__xludf.DUMMYFUNCTION("""COMPUTED_VALUE"""),12.91997)</f>
        <v>12.91997</v>
      </c>
      <c r="E18688" s="4">
        <f>IFERROR(__xludf.DUMMYFUNCTION("""COMPUTED_VALUE"""),80.110951)</f>
        <v>80.110951</v>
      </c>
      <c r="F18688" s="4">
        <f>IFERROR(__xludf.DUMMYFUNCTION("""COMPUTED_VALUE"""),805.0)</f>
        <v>805</v>
      </c>
      <c r="G18688" s="4">
        <f>IFERROR(__xludf.DUMMYFUNCTION("""COMPUTED_VALUE"""),46.0)</f>
        <v>46</v>
      </c>
      <c r="H18688" s="4"/>
      <c r="I18688" s="4"/>
    </row>
    <row r="18689">
      <c r="A18689" s="4" t="str">
        <f>IFERROR(__xludf.DUMMYFUNCTION("""COMPUTED_VALUE"""),"cas_hmw")</f>
        <v>cas_hmw</v>
      </c>
      <c r="B18689" s="5">
        <f>IFERROR(__xludf.DUMMYFUNCTION("""COMPUTED_VALUE"""),44775.0)</f>
        <v>44775</v>
      </c>
      <c r="C18689" s="6">
        <f>IFERROR(__xludf.DUMMYFUNCTION("""COMPUTED_VALUE"""),0.7047106481477385)</f>
        <v>0.7047106481</v>
      </c>
      <c r="D18689" s="4">
        <f>IFERROR(__xludf.DUMMYFUNCTION("""COMPUTED_VALUE"""),12.926421)</f>
        <v>12.926421</v>
      </c>
      <c r="E18689" s="4">
        <f>IFERROR(__xludf.DUMMYFUNCTION("""COMPUTED_VALUE"""),80.117504)</f>
        <v>80.117504</v>
      </c>
      <c r="F18689" s="4">
        <f>IFERROR(__xludf.DUMMYFUNCTION("""COMPUTED_VALUE"""),805.0)</f>
        <v>805</v>
      </c>
      <c r="G18689" s="4">
        <f>IFERROR(__xludf.DUMMYFUNCTION("""COMPUTED_VALUE"""),22.0)</f>
        <v>22</v>
      </c>
      <c r="H18689" s="4"/>
      <c r="I18689" s="4"/>
    </row>
    <row r="18690">
      <c r="A18690" s="4" t="str">
        <f>IFERROR(__xludf.DUMMYFUNCTION("""COMPUTED_VALUE"""),"cas_hmw")</f>
        <v>cas_hmw</v>
      </c>
      <c r="B18690" s="5">
        <f>IFERROR(__xludf.DUMMYFUNCTION("""COMPUTED_VALUE"""),44775.0)</f>
        <v>44775</v>
      </c>
      <c r="C18690" s="6">
        <f>IFERROR(__xludf.DUMMYFUNCTION("""COMPUTED_VALUE"""),0.7053240740751789)</f>
        <v>0.7053240741</v>
      </c>
      <c r="D18690" s="4">
        <f>IFERROR(__xludf.DUMMYFUNCTION("""COMPUTED_VALUE"""),12.781106)</f>
        <v>12.781106</v>
      </c>
      <c r="E18690" s="4">
        <f>IFERROR(__xludf.DUMMYFUNCTION("""COMPUTED_VALUE"""),80.012291)</f>
        <v>80.012291</v>
      </c>
      <c r="F18690" s="4">
        <f>IFERROR(__xludf.DUMMYFUNCTION("""COMPUTED_VALUE"""),2846.0)</f>
        <v>2846</v>
      </c>
      <c r="G18690" s="4">
        <f>IFERROR(__xludf.DUMMYFUNCTION("""COMPUTED_VALUE"""),58.0)</f>
        <v>58</v>
      </c>
      <c r="H18690" s="4"/>
      <c r="I18690" s="4"/>
    </row>
    <row r="18691">
      <c r="A18691" s="4" t="str">
        <f>IFERROR(__xludf.DUMMYFUNCTION("""COMPUTED_VALUE"""),"cas_hmw")</f>
        <v>cas_hmw</v>
      </c>
      <c r="B18691" s="5">
        <f>IFERROR(__xludf.DUMMYFUNCTION("""COMPUTED_VALUE"""),44775.0)</f>
        <v>44775</v>
      </c>
      <c r="C18691" s="6">
        <f>IFERROR(__xludf.DUMMYFUNCTION("""COMPUTED_VALUE"""),0.7059259259258397)</f>
        <v>0.7059259259</v>
      </c>
      <c r="D18691" s="4">
        <f>IFERROR(__xludf.DUMMYFUNCTION("""COMPUTED_VALUE"""),12.946317)</f>
        <v>12.946317</v>
      </c>
      <c r="E18691" s="4">
        <f>IFERROR(__xludf.DUMMYFUNCTION("""COMPUTED_VALUE"""),80.13633)</f>
        <v>80.13633</v>
      </c>
      <c r="F18691" s="4">
        <f>IFERROR(__xludf.DUMMYFUNCTION("""COMPUTED_VALUE"""),5339.0)</f>
        <v>5339</v>
      </c>
      <c r="G18691" s="4">
        <f>IFERROR(__xludf.DUMMYFUNCTION("""COMPUTED_VALUE"""),39.0)</f>
        <v>39</v>
      </c>
      <c r="H18691" s="4"/>
      <c r="I18691" s="4"/>
    </row>
    <row r="18692">
      <c r="A18692" s="4" t="str">
        <f>IFERROR(__xludf.DUMMYFUNCTION("""COMPUTED_VALUE"""),"cas_hmw")</f>
        <v>cas_hmw</v>
      </c>
      <c r="B18692" s="5">
        <f>IFERROR(__xludf.DUMMYFUNCTION("""COMPUTED_VALUE"""),44775.0)</f>
        <v>44775</v>
      </c>
      <c r="C18692" s="6">
        <f>IFERROR(__xludf.DUMMYFUNCTION("""COMPUTED_VALUE"""),0.7060995370375167)</f>
        <v>0.706099537</v>
      </c>
      <c r="D18692" s="4">
        <f>IFERROR(__xludf.DUMMYFUNCTION("""COMPUTED_VALUE"""),12.931245)</f>
        <v>12.931245</v>
      </c>
      <c r="E18692" s="4">
        <f>IFERROR(__xludf.DUMMYFUNCTION("""COMPUTED_VALUE"""),80.122316)</f>
        <v>80.122316</v>
      </c>
      <c r="F18692" s="4">
        <f>IFERROR(__xludf.DUMMYFUNCTION("""COMPUTED_VALUE"""),805.0)</f>
        <v>805</v>
      </c>
      <c r="G18692" s="4">
        <f>IFERROR(__xludf.DUMMYFUNCTION("""COMPUTED_VALUE"""),4.0)</f>
        <v>4</v>
      </c>
      <c r="H18692" s="4"/>
      <c r="I18692" s="4"/>
    </row>
    <row r="18693">
      <c r="A18693" s="4" t="str">
        <f>IFERROR(__xludf.DUMMYFUNCTION("""COMPUTED_VALUE"""),"cas_hmw")</f>
        <v>cas_hmw</v>
      </c>
      <c r="B18693" s="5">
        <f>IFERROR(__xludf.DUMMYFUNCTION("""COMPUTED_VALUE"""),44775.0)</f>
        <v>44775</v>
      </c>
      <c r="C18693" s="6">
        <f>IFERROR(__xludf.DUMMYFUNCTION("""COMPUTED_VALUE"""),0.7062037037030677)</f>
        <v>0.7062037037</v>
      </c>
      <c r="D18693" s="4">
        <f>IFERROR(__xludf.DUMMYFUNCTION("""COMPUTED_VALUE"""),12.931245)</f>
        <v>12.931245</v>
      </c>
      <c r="E18693" s="4">
        <f>IFERROR(__xludf.DUMMYFUNCTION("""COMPUTED_VALUE"""),80.122316)</f>
        <v>80.122316</v>
      </c>
      <c r="F18693" s="4">
        <f>IFERROR(__xludf.DUMMYFUNCTION("""COMPUTED_VALUE"""),805.0)</f>
        <v>805</v>
      </c>
      <c r="G18693" s="4">
        <f>IFERROR(__xludf.DUMMYFUNCTION("""COMPUTED_VALUE"""),4.0)</f>
        <v>4</v>
      </c>
      <c r="H18693" s="4"/>
      <c r="I18693" s="4"/>
    </row>
    <row r="18694">
      <c r="A18694" s="4" t="str">
        <f>IFERROR(__xludf.DUMMYFUNCTION("""COMPUTED_VALUE"""),"cas_hmw")</f>
        <v>cas_hmw</v>
      </c>
      <c r="B18694" s="5">
        <f>IFERROR(__xludf.DUMMYFUNCTION("""COMPUTED_VALUE"""),44775.0)</f>
        <v>44775</v>
      </c>
      <c r="C18694" s="6">
        <f>IFERROR(__xludf.DUMMYFUNCTION("""COMPUTED_VALUE"""),0.7063194444453984)</f>
        <v>0.7063194444</v>
      </c>
      <c r="D18694" s="4">
        <f>IFERROR(__xludf.DUMMYFUNCTION("""COMPUTED_VALUE"""),12.93138)</f>
        <v>12.93138</v>
      </c>
      <c r="E18694" s="4">
        <f>IFERROR(__xludf.DUMMYFUNCTION("""COMPUTED_VALUE"""),80.122436)</f>
        <v>80.122436</v>
      </c>
      <c r="F18694" s="4">
        <f>IFERROR(__xludf.DUMMYFUNCTION("""COMPUTED_VALUE"""),805.0)</f>
        <v>805</v>
      </c>
      <c r="G18694" s="4">
        <f>IFERROR(__xludf.DUMMYFUNCTION("""COMPUTED_VALUE"""),19.0)</f>
        <v>19</v>
      </c>
      <c r="H18694" s="4"/>
      <c r="I18694" s="4"/>
    </row>
    <row r="18695">
      <c r="A18695" s="4" t="str">
        <f>IFERROR(__xludf.DUMMYFUNCTION("""COMPUTED_VALUE"""),"cas_hmw")</f>
        <v>cas_hmw</v>
      </c>
      <c r="B18695" s="5">
        <f>IFERROR(__xludf.DUMMYFUNCTION("""COMPUTED_VALUE"""),44775.0)</f>
        <v>44775</v>
      </c>
      <c r="C18695" s="6">
        <f>IFERROR(__xludf.DUMMYFUNCTION("""COMPUTED_VALUE"""),0.7065856481494848)</f>
        <v>0.7065856481</v>
      </c>
      <c r="D18695" s="4">
        <f>IFERROR(__xludf.DUMMYFUNCTION("""COMPUTED_VALUE"""),12.950953)</f>
        <v>12.950953</v>
      </c>
      <c r="E18695" s="4">
        <f>IFERROR(__xludf.DUMMYFUNCTION("""COMPUTED_VALUE"""),80.139865)</f>
        <v>80.139865</v>
      </c>
      <c r="F18695" s="4">
        <f>IFERROR(__xludf.DUMMYFUNCTION("""COMPUTED_VALUE"""),5339.0)</f>
        <v>5339</v>
      </c>
      <c r="G18695" s="4">
        <f>IFERROR(__xludf.DUMMYFUNCTION("""COMPUTED_VALUE"""),41.0)</f>
        <v>41</v>
      </c>
      <c r="H18695" s="4"/>
      <c r="I18695" s="4"/>
    </row>
    <row r="18696">
      <c r="A18696" s="4" t="str">
        <f>IFERROR(__xludf.DUMMYFUNCTION("""COMPUTED_VALUE"""),"cas_hmw")</f>
        <v>cas_hmw</v>
      </c>
      <c r="B18696" s="5">
        <f>IFERROR(__xludf.DUMMYFUNCTION("""COMPUTED_VALUE"""),44775.0)</f>
        <v>44775</v>
      </c>
      <c r="C18696" s="6">
        <f>IFERROR(__xludf.DUMMYFUNCTION("""COMPUTED_VALUE"""),0.7066319444456894)</f>
        <v>0.7066319444</v>
      </c>
      <c r="D18696" s="4">
        <f>IFERROR(__xludf.DUMMYFUNCTION("""COMPUTED_VALUE"""),12.931962)</f>
        <v>12.931962</v>
      </c>
      <c r="E18696" s="4">
        <f>IFERROR(__xludf.DUMMYFUNCTION("""COMPUTED_VALUE"""),80.123062)</f>
        <v>80.123062</v>
      </c>
      <c r="F18696" s="4">
        <f>IFERROR(__xludf.DUMMYFUNCTION("""COMPUTED_VALUE"""),805.0)</f>
        <v>805</v>
      </c>
      <c r="G18696" s="4">
        <f>IFERROR(__xludf.DUMMYFUNCTION("""COMPUTED_VALUE"""),32.0)</f>
        <v>32</v>
      </c>
      <c r="H18696" s="4"/>
      <c r="I18696" s="4"/>
    </row>
    <row r="18697">
      <c r="A18697" s="4" t="str">
        <f>IFERROR(__xludf.DUMMYFUNCTION("""COMPUTED_VALUE"""),"cas_hmw")</f>
        <v>cas_hmw</v>
      </c>
      <c r="B18697" s="5">
        <f>IFERROR(__xludf.DUMMYFUNCTION("""COMPUTED_VALUE"""),44775.0)</f>
        <v>44775</v>
      </c>
      <c r="C18697" s="6">
        <f>IFERROR(__xludf.DUMMYFUNCTION("""COMPUTED_VALUE"""),0.7067129629613191)</f>
        <v>0.706712963</v>
      </c>
      <c r="D18697" s="4">
        <f>IFERROR(__xludf.DUMMYFUNCTION("""COMPUTED_VALUE"""),12.930441)</f>
        <v>12.930441</v>
      </c>
      <c r="E18697" s="4">
        <f>IFERROR(__xludf.DUMMYFUNCTION("""COMPUTED_VALUE"""),80.118132)</f>
        <v>80.118132</v>
      </c>
      <c r="F18697" s="4">
        <f>IFERROR(__xludf.DUMMYFUNCTION("""COMPUTED_VALUE"""),3143.0)</f>
        <v>3143</v>
      </c>
      <c r="G18697" s="4">
        <f>IFERROR(__xludf.DUMMYFUNCTION("""COMPUTED_VALUE"""),35.0)</f>
        <v>35</v>
      </c>
      <c r="H18697" s="4"/>
      <c r="I18697" s="4"/>
    </row>
    <row r="18698">
      <c r="A18698" s="4" t="str">
        <f>IFERROR(__xludf.DUMMYFUNCTION("""COMPUTED_VALUE"""),"cas_hmw")</f>
        <v>cas_hmw</v>
      </c>
      <c r="B18698" s="5">
        <f>IFERROR(__xludf.DUMMYFUNCTION("""COMPUTED_VALUE"""),44775.0)</f>
        <v>44775</v>
      </c>
      <c r="C18698" s="6">
        <f>IFERROR(__xludf.DUMMYFUNCTION("""COMPUTED_VALUE"""),0.7068402777767915)</f>
        <v>0.7068402778</v>
      </c>
      <c r="D18698" s="4">
        <f>IFERROR(__xludf.DUMMYFUNCTION("""COMPUTED_VALUE"""),12.952512)</f>
        <v>12.952512</v>
      </c>
      <c r="E18698" s="4">
        <f>IFERROR(__xludf.DUMMYFUNCTION("""COMPUTED_VALUE"""),80.14106)</f>
        <v>80.14106</v>
      </c>
      <c r="F18698" s="4">
        <f>IFERROR(__xludf.DUMMYFUNCTION("""COMPUTED_VALUE"""),5339.0)</f>
        <v>5339</v>
      </c>
      <c r="G18698" s="4">
        <f>IFERROR(__xludf.DUMMYFUNCTION("""COMPUTED_VALUE"""),38.0)</f>
        <v>38</v>
      </c>
      <c r="H18698" s="4"/>
      <c r="I18698" s="4"/>
    </row>
    <row r="18699">
      <c r="A18699" s="4" t="str">
        <f>IFERROR(__xludf.DUMMYFUNCTION("""COMPUTED_VALUE"""),"cas_hmw")</f>
        <v>cas_hmw</v>
      </c>
      <c r="B18699" s="5">
        <f>IFERROR(__xludf.DUMMYFUNCTION("""COMPUTED_VALUE"""),44775.0)</f>
        <v>44775</v>
      </c>
      <c r="C18699" s="6">
        <f>IFERROR(__xludf.DUMMYFUNCTION("""COMPUTED_VALUE"""),0.7068865740729962)</f>
        <v>0.7068865741</v>
      </c>
      <c r="D18699" s="4">
        <f>IFERROR(__xludf.DUMMYFUNCTION("""COMPUTED_VALUE"""),12.934337)</f>
        <v>12.934337</v>
      </c>
      <c r="E18699" s="4">
        <f>IFERROR(__xludf.DUMMYFUNCTION("""COMPUTED_VALUE"""),80.125368)</f>
        <v>80.125368</v>
      </c>
      <c r="F18699" s="4">
        <f>IFERROR(__xludf.DUMMYFUNCTION("""COMPUTED_VALUE"""),805.0)</f>
        <v>805</v>
      </c>
      <c r="G18699" s="4">
        <f>IFERROR(__xludf.DUMMYFUNCTION("""COMPUTED_VALUE"""),37.0)</f>
        <v>37</v>
      </c>
      <c r="H18699" s="4"/>
      <c r="I18699" s="4"/>
    </row>
    <row r="18700">
      <c r="A18700" s="4" t="str">
        <f>IFERROR(__xludf.DUMMYFUNCTION("""COMPUTED_VALUE"""),"cas_hmw")</f>
        <v>cas_hmw</v>
      </c>
      <c r="B18700" s="5">
        <f>IFERROR(__xludf.DUMMYFUNCTION("""COMPUTED_VALUE"""),44775.0)</f>
        <v>44775</v>
      </c>
      <c r="C18700" s="6">
        <f>IFERROR(__xludf.DUMMYFUNCTION("""COMPUTED_VALUE"""),0.7069791666654055)</f>
        <v>0.7069791667</v>
      </c>
      <c r="D18700" s="4">
        <f>IFERROR(__xludf.DUMMYFUNCTION("""COMPUTED_VALUE"""),12.934337)</f>
        <v>12.934337</v>
      </c>
      <c r="E18700" s="4">
        <f>IFERROR(__xludf.DUMMYFUNCTION("""COMPUTED_VALUE"""),80.125368)</f>
        <v>80.125368</v>
      </c>
      <c r="F18700" s="4">
        <f>IFERROR(__xludf.DUMMYFUNCTION("""COMPUTED_VALUE"""),805.0)</f>
        <v>805</v>
      </c>
      <c r="G18700" s="4">
        <f>IFERROR(__xludf.DUMMYFUNCTION("""COMPUTED_VALUE"""),37.0)</f>
        <v>37</v>
      </c>
      <c r="H18700" s="4"/>
      <c r="I18700" s="4"/>
    </row>
    <row r="18701">
      <c r="A18701" s="4" t="str">
        <f>IFERROR(__xludf.DUMMYFUNCTION("""COMPUTED_VALUE"""),"cas_hmw")</f>
        <v>cas_hmw</v>
      </c>
      <c r="B18701" s="5">
        <f>IFERROR(__xludf.DUMMYFUNCTION("""COMPUTED_VALUE"""),44775.0)</f>
        <v>44775</v>
      </c>
      <c r="C18701" s="6">
        <f>IFERROR(__xludf.DUMMYFUNCTION("""COMPUTED_VALUE"""),0.7072685185194132)</f>
        <v>0.7072685185</v>
      </c>
      <c r="D18701" s="4">
        <f>IFERROR(__xludf.DUMMYFUNCTION("""COMPUTED_VALUE"""),12.936426)</f>
        <v>12.936426</v>
      </c>
      <c r="E18701" s="4">
        <f>IFERROR(__xludf.DUMMYFUNCTION("""COMPUTED_VALUE"""),80.12719)</f>
        <v>80.12719</v>
      </c>
      <c r="F18701" s="4">
        <f>IFERROR(__xludf.DUMMYFUNCTION("""COMPUTED_VALUE"""),805.0)</f>
        <v>805</v>
      </c>
      <c r="G18701" s="4">
        <f>IFERROR(__xludf.DUMMYFUNCTION("""COMPUTED_VALUE"""),30.0)</f>
        <v>30</v>
      </c>
      <c r="H18701" s="4"/>
      <c r="I18701" s="4"/>
    </row>
    <row r="18702">
      <c r="A18702" s="4" t="str">
        <f>IFERROR(__xludf.DUMMYFUNCTION("""COMPUTED_VALUE"""),"cas_hmw")</f>
        <v>cas_hmw</v>
      </c>
      <c r="B18702" s="5">
        <f>IFERROR(__xludf.DUMMYFUNCTION("""COMPUTED_VALUE"""),44775.0)</f>
        <v>44775</v>
      </c>
      <c r="C18702" s="6">
        <f>IFERROR(__xludf.DUMMYFUNCTION("""COMPUTED_VALUE"""),0.7074884259272949)</f>
        <v>0.7074884259</v>
      </c>
      <c r="D18702" s="4">
        <f>IFERROR(__xludf.DUMMYFUNCTION("""COMPUTED_VALUE"""),12.93748)</f>
        <v>12.93748</v>
      </c>
      <c r="E18702" s="4">
        <f>IFERROR(__xludf.DUMMYFUNCTION("""COMPUTED_VALUE"""),80.128136)</f>
        <v>80.128136</v>
      </c>
      <c r="F18702" s="4">
        <f>IFERROR(__xludf.DUMMYFUNCTION("""COMPUTED_VALUE"""),805.0)</f>
        <v>805</v>
      </c>
      <c r="G18702" s="4">
        <f>IFERROR(__xludf.DUMMYFUNCTION("""COMPUTED_VALUE"""),36.0)</f>
        <v>36</v>
      </c>
      <c r="H18702" s="4"/>
      <c r="I18702" s="4"/>
    </row>
    <row r="18703">
      <c r="A18703" s="4" t="str">
        <f>IFERROR(__xludf.DUMMYFUNCTION("""COMPUTED_VALUE"""),"cas_hmw")</f>
        <v>cas_hmw</v>
      </c>
      <c r="B18703" s="5">
        <f>IFERROR(__xludf.DUMMYFUNCTION("""COMPUTED_VALUE"""),44775.0)</f>
        <v>44775</v>
      </c>
      <c r="C18703" s="6">
        <f>IFERROR(__xludf.DUMMYFUNCTION("""COMPUTED_VALUE"""),0.7077662037045229)</f>
        <v>0.7077662037</v>
      </c>
      <c r="D18703" s="4">
        <f>IFERROR(__xludf.DUMMYFUNCTION("""COMPUTED_VALUE"""),12.931245)</f>
        <v>12.931245</v>
      </c>
      <c r="E18703" s="4">
        <f>IFERROR(__xludf.DUMMYFUNCTION("""COMPUTED_VALUE"""),80.122303)</f>
        <v>80.122303</v>
      </c>
      <c r="F18703" s="4">
        <f>IFERROR(__xludf.DUMMYFUNCTION("""COMPUTED_VALUE"""),3143.0)</f>
        <v>3143</v>
      </c>
      <c r="G18703" s="4">
        <f>IFERROR(__xludf.DUMMYFUNCTION("""COMPUTED_VALUE"""),10.0)</f>
        <v>10</v>
      </c>
      <c r="H18703" s="4"/>
      <c r="I18703" s="4"/>
    </row>
    <row r="18704">
      <c r="A18704" s="4" t="str">
        <f>IFERROR(__xludf.DUMMYFUNCTION("""COMPUTED_VALUE"""),"cas_hmw")</f>
        <v>cas_hmw</v>
      </c>
      <c r="B18704" s="5">
        <f>IFERROR(__xludf.DUMMYFUNCTION("""COMPUTED_VALUE"""),44775.0)</f>
        <v>44775</v>
      </c>
      <c r="C18704" s="6">
        <f>IFERROR(__xludf.DUMMYFUNCTION("""COMPUTED_VALUE"""),0.7080324074086093)</f>
        <v>0.7080324074</v>
      </c>
      <c r="D18704" s="4">
        <f>IFERROR(__xludf.DUMMYFUNCTION("""COMPUTED_VALUE"""),12.932796)</f>
        <v>12.932796</v>
      </c>
      <c r="E18704" s="4">
        <f>IFERROR(__xludf.DUMMYFUNCTION("""COMPUTED_VALUE"""),80.123924)</f>
        <v>80.123924</v>
      </c>
      <c r="F18704" s="4">
        <f>IFERROR(__xludf.DUMMYFUNCTION("""COMPUTED_VALUE"""),3143.0)</f>
        <v>3143</v>
      </c>
      <c r="G18704" s="4">
        <f>IFERROR(__xludf.DUMMYFUNCTION("""COMPUTED_VALUE"""),47.0)</f>
        <v>47</v>
      </c>
      <c r="H18704" s="4"/>
      <c r="I18704" s="4"/>
    </row>
    <row r="18705">
      <c r="A18705" s="4" t="str">
        <f>IFERROR(__xludf.DUMMYFUNCTION("""COMPUTED_VALUE"""),"cas_hmw")</f>
        <v>cas_hmw</v>
      </c>
      <c r="B18705" s="5">
        <f>IFERROR(__xludf.DUMMYFUNCTION("""COMPUTED_VALUE"""),44775.0)</f>
        <v>44775</v>
      </c>
      <c r="C18705" s="6">
        <f>IFERROR(__xludf.DUMMYFUNCTION("""COMPUTED_VALUE"""),0.708078703704814)</f>
        <v>0.7080787037</v>
      </c>
      <c r="D18705" s="4">
        <f>IFERROR(__xludf.DUMMYFUNCTION("""COMPUTED_VALUE"""),12.94157)</f>
        <v>12.94157</v>
      </c>
      <c r="E18705" s="4">
        <f>IFERROR(__xludf.DUMMYFUNCTION("""COMPUTED_VALUE"""),80.132008)</f>
        <v>80.132008</v>
      </c>
      <c r="F18705" s="4">
        <f>IFERROR(__xludf.DUMMYFUNCTION("""COMPUTED_VALUE"""),805.0)</f>
        <v>805</v>
      </c>
      <c r="G18705" s="4">
        <f>IFERROR(__xludf.DUMMYFUNCTION("""COMPUTED_VALUE"""),44.0)</f>
        <v>44</v>
      </c>
      <c r="H18705" s="4"/>
      <c r="I18705" s="4"/>
    </row>
    <row r="18706">
      <c r="A18706" s="4" t="str">
        <f>IFERROR(__xludf.DUMMYFUNCTION("""COMPUTED_VALUE"""),"cas_hmw")</f>
        <v>cas_hmw</v>
      </c>
      <c r="B18706" s="5">
        <f>IFERROR(__xludf.DUMMYFUNCTION("""COMPUTED_VALUE"""),44775.0)</f>
        <v>44775</v>
      </c>
      <c r="C18706" s="6">
        <f>IFERROR(__xludf.DUMMYFUNCTION("""COMPUTED_VALUE"""),0.7085763888899237)</f>
        <v>0.7085763889</v>
      </c>
      <c r="D18706" s="4">
        <f>IFERROR(__xludf.DUMMYFUNCTION("""COMPUTED_VALUE"""),12.955934)</f>
        <v>12.955934</v>
      </c>
      <c r="E18706" s="4">
        <f>IFERROR(__xludf.DUMMYFUNCTION("""COMPUTED_VALUE"""),80.143038)</f>
        <v>80.143038</v>
      </c>
      <c r="F18706" s="4">
        <f>IFERROR(__xludf.DUMMYFUNCTION("""COMPUTED_VALUE"""),5339.0)</f>
        <v>5339</v>
      </c>
      <c r="G18706" s="4">
        <f>IFERROR(__xludf.DUMMYFUNCTION("""COMPUTED_VALUE"""),11.0)</f>
        <v>11</v>
      </c>
      <c r="H18706" s="4"/>
      <c r="I18706" s="4"/>
    </row>
    <row r="18707">
      <c r="A18707" s="4" t="str">
        <f>IFERROR(__xludf.DUMMYFUNCTION("""COMPUTED_VALUE"""),"cas_hmw")</f>
        <v>cas_hmw</v>
      </c>
      <c r="B18707" s="5">
        <f>IFERROR(__xludf.DUMMYFUNCTION("""COMPUTED_VALUE"""),44775.0)</f>
        <v>44775</v>
      </c>
      <c r="C18707" s="6">
        <f>IFERROR(__xludf.DUMMYFUNCTION("""COMPUTED_VALUE"""),0.7087962962978054)</f>
        <v>0.7087962963</v>
      </c>
      <c r="D18707" s="4">
        <f>IFERROR(__xludf.DUMMYFUNCTION("""COMPUTED_VALUE"""),12.93662)</f>
        <v>12.93662</v>
      </c>
      <c r="E18707" s="4">
        <f>IFERROR(__xludf.DUMMYFUNCTION("""COMPUTED_VALUE"""),80.127437)</f>
        <v>80.127437</v>
      </c>
      <c r="F18707" s="4">
        <f>IFERROR(__xludf.DUMMYFUNCTION("""COMPUTED_VALUE"""),3143.0)</f>
        <v>3143</v>
      </c>
      <c r="G18707" s="4">
        <f>IFERROR(__xludf.DUMMYFUNCTION("""COMPUTED_VALUE"""),20.0)</f>
        <v>20</v>
      </c>
      <c r="H18707" s="4"/>
      <c r="I18707" s="4"/>
    </row>
    <row r="18708">
      <c r="A18708" s="4" t="str">
        <f>IFERROR(__xludf.DUMMYFUNCTION("""COMPUTED_VALUE"""),"cas_hmw")</f>
        <v>cas_hmw</v>
      </c>
      <c r="B18708" s="5">
        <f>IFERROR(__xludf.DUMMYFUNCTION("""COMPUTED_VALUE"""),44775.0)</f>
        <v>44775</v>
      </c>
      <c r="C18708" s="6">
        <f>IFERROR(__xludf.DUMMYFUNCTION("""COMPUTED_VALUE"""),0.7088310185172304)</f>
        <v>0.7088310185</v>
      </c>
      <c r="D18708" s="4">
        <f>IFERROR(__xludf.DUMMYFUNCTION("""COMPUTED_VALUE"""),12.93662)</f>
        <v>12.93662</v>
      </c>
      <c r="E18708" s="4">
        <f>IFERROR(__xludf.DUMMYFUNCTION("""COMPUTED_VALUE"""),80.127437)</f>
        <v>80.127437</v>
      </c>
      <c r="F18708" s="4">
        <f>IFERROR(__xludf.DUMMYFUNCTION("""COMPUTED_VALUE"""),3143.0)</f>
        <v>3143</v>
      </c>
      <c r="G18708" s="4">
        <f>IFERROR(__xludf.DUMMYFUNCTION("""COMPUTED_VALUE"""),20.0)</f>
        <v>20</v>
      </c>
      <c r="H18708" s="4"/>
      <c r="I18708" s="4"/>
    </row>
    <row r="18709">
      <c r="A18709" s="4" t="str">
        <f>IFERROR(__xludf.DUMMYFUNCTION("""COMPUTED_VALUE"""),"cas_hmw")</f>
        <v>cas_hmw</v>
      </c>
      <c r="B18709" s="5">
        <f>IFERROR(__xludf.DUMMYFUNCTION("""COMPUTED_VALUE"""),44775.0)</f>
        <v>44775</v>
      </c>
      <c r="C18709" s="6">
        <f>IFERROR(__xludf.DUMMYFUNCTION("""COMPUTED_VALUE"""),0.7088310185172304)</f>
        <v>0.7088310185</v>
      </c>
      <c r="D18709" s="4">
        <f>IFERROR(__xludf.DUMMYFUNCTION("""COMPUTED_VALUE"""),12.93662)</f>
        <v>12.93662</v>
      </c>
      <c r="E18709" s="4">
        <f>IFERROR(__xludf.DUMMYFUNCTION("""COMPUTED_VALUE"""),80.127437)</f>
        <v>80.127437</v>
      </c>
      <c r="F18709" s="4">
        <f>IFERROR(__xludf.DUMMYFUNCTION("""COMPUTED_VALUE"""),3143.0)</f>
        <v>3143</v>
      </c>
      <c r="G18709" s="4">
        <f>IFERROR(__xludf.DUMMYFUNCTION("""COMPUTED_VALUE"""),20.0)</f>
        <v>20</v>
      </c>
      <c r="H18709" s="4"/>
      <c r="I18709" s="4"/>
    </row>
    <row r="18710">
      <c r="A18710" s="4" t="str">
        <f>IFERROR(__xludf.DUMMYFUNCTION("""COMPUTED_VALUE"""),"cas_hmw")</f>
        <v>cas_hmw</v>
      </c>
      <c r="B18710" s="5">
        <f>IFERROR(__xludf.DUMMYFUNCTION("""COMPUTED_VALUE"""),44775.0)</f>
        <v>44775</v>
      </c>
      <c r="C18710" s="6">
        <f>IFERROR(__xludf.DUMMYFUNCTION("""COMPUTED_VALUE"""),0.7091782407405844)</f>
        <v>0.7091782407</v>
      </c>
      <c r="D18710" s="4">
        <f>IFERROR(__xludf.DUMMYFUNCTION("""COMPUTED_VALUE"""),12.948076)</f>
        <v>12.948076</v>
      </c>
      <c r="E18710" s="4">
        <f>IFERROR(__xludf.DUMMYFUNCTION("""COMPUTED_VALUE"""),80.13753)</f>
        <v>80.13753</v>
      </c>
      <c r="F18710" s="4">
        <f>IFERROR(__xludf.DUMMYFUNCTION("""COMPUTED_VALUE"""),805.0)</f>
        <v>805</v>
      </c>
      <c r="G18710" s="4">
        <f>IFERROR(__xludf.DUMMYFUNCTION("""COMPUTED_VALUE"""),57.0)</f>
        <v>57</v>
      </c>
      <c r="H18710" s="4"/>
      <c r="I18710" s="4"/>
    </row>
    <row r="18711">
      <c r="A18711" s="4" t="str">
        <f>IFERROR(__xludf.DUMMYFUNCTION("""COMPUTED_VALUE"""),"cas_hmw")</f>
        <v>cas_hmw</v>
      </c>
      <c r="B18711" s="5">
        <f>IFERROR(__xludf.DUMMYFUNCTION("""COMPUTED_VALUE"""),44775.0)</f>
        <v>44775</v>
      </c>
      <c r="C18711" s="6">
        <f>IFERROR(__xludf.DUMMYFUNCTION("""COMPUTED_VALUE"""),0.7092476851867104)</f>
        <v>0.7092476852</v>
      </c>
      <c r="D18711" s="4">
        <f>IFERROR(__xludf.DUMMYFUNCTION("""COMPUTED_VALUE"""),12.938799)</f>
        <v>12.938799</v>
      </c>
      <c r="E18711" s="4">
        <f>IFERROR(__xludf.DUMMYFUNCTION("""COMPUTED_VALUE"""),80.129314)</f>
        <v>80.129314</v>
      </c>
      <c r="F18711" s="4">
        <f>IFERROR(__xludf.DUMMYFUNCTION("""COMPUTED_VALUE"""),3143.0)</f>
        <v>3143</v>
      </c>
      <c r="G18711" s="4">
        <f>IFERROR(__xludf.DUMMYFUNCTION("""COMPUTED_VALUE"""),49.0)</f>
        <v>49</v>
      </c>
      <c r="H18711" s="4"/>
      <c r="I18711" s="4"/>
    </row>
    <row r="18712">
      <c r="A18712" s="4" t="str">
        <f>IFERROR(__xludf.DUMMYFUNCTION("""COMPUTED_VALUE"""),"cas_hmw")</f>
        <v>cas_hmw</v>
      </c>
      <c r="B18712" s="5">
        <f>IFERROR(__xludf.DUMMYFUNCTION("""COMPUTED_VALUE"""),44775.0)</f>
        <v>44775</v>
      </c>
      <c r="C18712" s="6">
        <f>IFERROR(__xludf.DUMMYFUNCTION("""COMPUTED_VALUE"""),0.7092939814829151)</f>
        <v>0.7092939815</v>
      </c>
      <c r="D18712" s="4">
        <f>IFERROR(__xludf.DUMMYFUNCTION("""COMPUTED_VALUE"""),12.949923)</f>
        <v>12.949923</v>
      </c>
      <c r="E18712" s="4">
        <f>IFERROR(__xludf.DUMMYFUNCTION("""COMPUTED_VALUE"""),80.138992)</f>
        <v>80.138992</v>
      </c>
      <c r="F18712" s="4">
        <f>IFERROR(__xludf.DUMMYFUNCTION("""COMPUTED_VALUE"""),805.0)</f>
        <v>805</v>
      </c>
      <c r="G18712" s="4">
        <f>IFERROR(__xludf.DUMMYFUNCTION("""COMPUTED_VALUE"""),57.0)</f>
        <v>57</v>
      </c>
      <c r="H18712" s="4"/>
      <c r="I18712" s="4"/>
    </row>
    <row r="18713">
      <c r="A18713" s="4" t="str">
        <f>IFERROR(__xludf.DUMMYFUNCTION("""COMPUTED_VALUE"""),"cas_hmw")</f>
        <v>cas_hmw</v>
      </c>
      <c r="B18713" s="5">
        <f>IFERROR(__xludf.DUMMYFUNCTION("""COMPUTED_VALUE"""),44775.0)</f>
        <v>44775</v>
      </c>
      <c r="C18713" s="6">
        <f>IFERROR(__xludf.DUMMYFUNCTION("""COMPUTED_VALUE"""),0.7092939814829151)</f>
        <v>0.7092939815</v>
      </c>
      <c r="D18713" s="4">
        <f>IFERROR(__xludf.DUMMYFUNCTION("""COMPUTED_VALUE"""),12.949923)</f>
        <v>12.949923</v>
      </c>
      <c r="E18713" s="4">
        <f>IFERROR(__xludf.DUMMYFUNCTION("""COMPUTED_VALUE"""),80.138992)</f>
        <v>80.138992</v>
      </c>
      <c r="F18713" s="4">
        <f>IFERROR(__xludf.DUMMYFUNCTION("""COMPUTED_VALUE"""),805.0)</f>
        <v>805</v>
      </c>
      <c r="G18713" s="4">
        <f>IFERROR(__xludf.DUMMYFUNCTION("""COMPUTED_VALUE"""),57.0)</f>
        <v>57</v>
      </c>
      <c r="H18713" s="4"/>
      <c r="I18713" s="4"/>
    </row>
    <row r="18714">
      <c r="A18714" s="4" t="str">
        <f>IFERROR(__xludf.DUMMYFUNCTION("""COMPUTED_VALUE"""),"cas_hmw")</f>
        <v>cas_hmw</v>
      </c>
      <c r="B18714" s="5">
        <f>IFERROR(__xludf.DUMMYFUNCTION("""COMPUTED_VALUE"""),44775.0)</f>
        <v>44775</v>
      </c>
      <c r="C18714" s="6">
        <f>IFERROR(__xludf.DUMMYFUNCTION("""COMPUTED_VALUE"""),0.7099305555566389)</f>
        <v>0.7099305556</v>
      </c>
      <c r="D18714" s="4">
        <f>IFERROR(__xludf.DUMMYFUNCTION("""COMPUTED_VALUE"""),12.963058)</f>
        <v>12.963058</v>
      </c>
      <c r="E18714" s="4">
        <f>IFERROR(__xludf.DUMMYFUNCTION("""COMPUTED_VALUE"""),80.146819)</f>
        <v>80.146819</v>
      </c>
      <c r="F18714" s="4">
        <f>IFERROR(__xludf.DUMMYFUNCTION("""COMPUTED_VALUE"""),5339.0)</f>
        <v>5339</v>
      </c>
      <c r="G18714" s="4">
        <f>IFERROR(__xludf.DUMMYFUNCTION("""COMPUTED_VALUE"""),32.0)</f>
        <v>32</v>
      </c>
      <c r="H18714" s="4"/>
      <c r="I18714" s="4"/>
    </row>
    <row r="18715">
      <c r="A18715" s="4" t="str">
        <f>IFERROR(__xludf.DUMMYFUNCTION("""COMPUTED_VALUE"""),"cas_hmw")</f>
        <v>cas_hmw</v>
      </c>
      <c r="B18715" s="5">
        <f>IFERROR(__xludf.DUMMYFUNCTION("""COMPUTED_VALUE"""),44775.0)</f>
        <v>44775</v>
      </c>
      <c r="C18715" s="6">
        <f>IFERROR(__xludf.DUMMYFUNCTION("""COMPUTED_VALUE"""),0.7100578703721112)</f>
        <v>0.7100578704</v>
      </c>
      <c r="D18715" s="4">
        <f>IFERROR(__xludf.DUMMYFUNCTION("""COMPUTED_VALUE"""),12.943455)</f>
        <v>12.943455</v>
      </c>
      <c r="E18715" s="4">
        <f>IFERROR(__xludf.DUMMYFUNCTION("""COMPUTED_VALUE"""),80.13397)</f>
        <v>80.13397</v>
      </c>
      <c r="F18715" s="4">
        <f>IFERROR(__xludf.DUMMYFUNCTION("""COMPUTED_VALUE"""),3143.0)</f>
        <v>3143</v>
      </c>
      <c r="G18715" s="4">
        <f>IFERROR(__xludf.DUMMYFUNCTION("""COMPUTED_VALUE"""),36.0)</f>
        <v>36</v>
      </c>
      <c r="H18715" s="4"/>
      <c r="I18715" s="4"/>
    </row>
    <row r="18716">
      <c r="A18716" s="4" t="str">
        <f>IFERROR(__xludf.DUMMYFUNCTION("""COMPUTED_VALUE"""),"cas_hmw")</f>
        <v>cas_hmw</v>
      </c>
      <c r="B18716" s="5">
        <f>IFERROR(__xludf.DUMMYFUNCTION("""COMPUTED_VALUE"""),44775.0)</f>
        <v>44775</v>
      </c>
      <c r="C18716" s="6">
        <f>IFERROR(__xludf.DUMMYFUNCTION("""COMPUTED_VALUE"""),0.7101273148145992)</f>
        <v>0.7101273148</v>
      </c>
      <c r="D18716" s="4">
        <f>IFERROR(__xludf.DUMMYFUNCTION("""COMPUTED_VALUE"""),12.742587)</f>
        <v>12.742587</v>
      </c>
      <c r="E18716" s="4">
        <f>IFERROR(__xludf.DUMMYFUNCTION("""COMPUTED_VALUE"""),79.992112)</f>
        <v>79.992112</v>
      </c>
      <c r="F18716" s="4">
        <f>IFERROR(__xludf.DUMMYFUNCTION("""COMPUTED_VALUE"""),2846.0)</f>
        <v>2846</v>
      </c>
      <c r="G18716" s="4">
        <f>IFERROR(__xludf.DUMMYFUNCTION("""COMPUTED_VALUE"""),21.0)</f>
        <v>21</v>
      </c>
      <c r="H18716" s="4"/>
      <c r="I18716" s="4"/>
    </row>
    <row r="18717">
      <c r="A18717" s="4" t="str">
        <f>IFERROR(__xludf.DUMMYFUNCTION("""COMPUTED_VALUE"""),"cas_hmw")</f>
        <v>cas_hmw</v>
      </c>
      <c r="B18717" s="5">
        <f>IFERROR(__xludf.DUMMYFUNCTION("""COMPUTED_VALUE"""),44775.0)</f>
        <v>44775</v>
      </c>
      <c r="C18717" s="6">
        <f>IFERROR(__xludf.DUMMYFUNCTION("""COMPUTED_VALUE"""),0.7101620370376622)</f>
        <v>0.710162037</v>
      </c>
      <c r="D18717" s="4">
        <f>IFERROR(__xludf.DUMMYFUNCTION("""COMPUTED_VALUE"""),12.954999)</f>
        <v>12.954999</v>
      </c>
      <c r="E18717" s="4">
        <f>IFERROR(__xludf.DUMMYFUNCTION("""COMPUTED_VALUE"""),80.14243)</f>
        <v>80.14243</v>
      </c>
      <c r="F18717" s="4">
        <f>IFERROR(__xludf.DUMMYFUNCTION("""COMPUTED_VALUE"""),805.0)</f>
        <v>805</v>
      </c>
      <c r="G18717" s="4">
        <f>IFERROR(__xludf.DUMMYFUNCTION("""COMPUTED_VALUE"""),27.0)</f>
        <v>27</v>
      </c>
      <c r="H18717" s="4"/>
      <c r="I18717" s="4"/>
    </row>
    <row r="18718">
      <c r="A18718" s="4" t="str">
        <f>IFERROR(__xludf.DUMMYFUNCTION("""COMPUTED_VALUE"""),"cas_hmw")</f>
        <v>cas_hmw</v>
      </c>
      <c r="B18718" s="5">
        <f>IFERROR(__xludf.DUMMYFUNCTION("""COMPUTED_VALUE"""),44775.0)</f>
        <v>44775</v>
      </c>
      <c r="C18718" s="6">
        <f>IFERROR(__xludf.DUMMYFUNCTION("""COMPUTED_VALUE"""),0.7101851851839456)</f>
        <v>0.7101851852</v>
      </c>
      <c r="D18718" s="4">
        <f>IFERROR(__xludf.DUMMYFUNCTION("""COMPUTED_VALUE"""),12.944417)</f>
        <v>12.944417</v>
      </c>
      <c r="E18718" s="4">
        <f>IFERROR(__xludf.DUMMYFUNCTION("""COMPUTED_VALUE"""),80.134837)</f>
        <v>80.134837</v>
      </c>
      <c r="F18718" s="4">
        <f>IFERROR(__xludf.DUMMYFUNCTION("""COMPUTED_VALUE"""),3143.0)</f>
        <v>3143</v>
      </c>
      <c r="G18718" s="4">
        <f>IFERROR(__xludf.DUMMYFUNCTION("""COMPUTED_VALUE"""),40.0)</f>
        <v>40</v>
      </c>
      <c r="H18718" s="4"/>
      <c r="I18718" s="4"/>
    </row>
    <row r="18719">
      <c r="A18719" s="4" t="str">
        <f>IFERROR(__xludf.DUMMYFUNCTION("""COMPUTED_VALUE"""),"cas_hmw")</f>
        <v>cas_hmw</v>
      </c>
      <c r="B18719" s="5">
        <f>IFERROR(__xludf.DUMMYFUNCTION("""COMPUTED_VALUE"""),44775.0)</f>
        <v>44775</v>
      </c>
      <c r="C18719" s="6">
        <f>IFERROR(__xludf.DUMMYFUNCTION("""COMPUTED_VALUE"""),0.7104398148148903)</f>
        <v>0.7104398148</v>
      </c>
      <c r="D18719" s="4">
        <f>IFERROR(__xludf.DUMMYFUNCTION("""COMPUTED_VALUE"""),12.956071)</f>
        <v>12.956071</v>
      </c>
      <c r="E18719" s="4">
        <f>IFERROR(__xludf.DUMMYFUNCTION("""COMPUTED_VALUE"""),80.143019)</f>
        <v>80.143019</v>
      </c>
      <c r="F18719" s="4">
        <f>IFERROR(__xludf.DUMMYFUNCTION("""COMPUTED_VALUE"""),805.0)</f>
        <v>805</v>
      </c>
      <c r="G18719" s="4">
        <f>IFERROR(__xludf.DUMMYFUNCTION("""COMPUTED_VALUE"""),12.0)</f>
        <v>12</v>
      </c>
      <c r="H18719" s="4"/>
      <c r="I18719" s="4"/>
    </row>
    <row r="18720">
      <c r="A18720" s="4" t="str">
        <f>IFERROR(__xludf.DUMMYFUNCTION("""COMPUTED_VALUE"""),"cas_hmw")</f>
        <v>cas_hmw</v>
      </c>
      <c r="B18720" s="5">
        <f>IFERROR(__xludf.DUMMYFUNCTION("""COMPUTED_VALUE"""),44775.0)</f>
        <v>44775</v>
      </c>
      <c r="C18720" s="6">
        <f>IFERROR(__xludf.DUMMYFUNCTION("""COMPUTED_VALUE"""),0.710833333334449)</f>
        <v>0.7108333333</v>
      </c>
      <c r="D18720" s="4">
        <f>IFERROR(__xludf.DUMMYFUNCTION("""COMPUTED_VALUE"""),12.736069)</f>
        <v>12.736069</v>
      </c>
      <c r="E18720" s="4">
        <f>IFERROR(__xludf.DUMMYFUNCTION("""COMPUTED_VALUE"""),79.987064)</f>
        <v>79.987064</v>
      </c>
      <c r="F18720" s="4">
        <f>IFERROR(__xludf.DUMMYFUNCTION("""COMPUTED_VALUE"""),2846.0)</f>
        <v>2846</v>
      </c>
      <c r="G18720" s="4">
        <f>IFERROR(__xludf.DUMMYFUNCTION("""COMPUTED_VALUE"""),57.0)</f>
        <v>57</v>
      </c>
      <c r="H18720" s="4"/>
      <c r="I18720" s="4"/>
    </row>
    <row r="18721">
      <c r="A18721" s="4" t="str">
        <f>IFERROR(__xludf.DUMMYFUNCTION("""COMPUTED_VALUE"""),"cas_hmw")</f>
        <v>cas_hmw</v>
      </c>
      <c r="B18721" s="5">
        <f>IFERROR(__xludf.DUMMYFUNCTION("""COMPUTED_VALUE"""),44775.0)</f>
        <v>44775</v>
      </c>
      <c r="C18721" s="6">
        <f>IFERROR(__xludf.DUMMYFUNCTION("""COMPUTED_VALUE"""),0.7121296296281798)</f>
        <v>0.7121296296</v>
      </c>
      <c r="D18721" s="4">
        <f>IFERROR(__xludf.DUMMYFUNCTION("""COMPUTED_VALUE"""),12.974357)</f>
        <v>12.974357</v>
      </c>
      <c r="E18721" s="4">
        <f>IFERROR(__xludf.DUMMYFUNCTION("""COMPUTED_VALUE"""),80.154674)</f>
        <v>80.154674</v>
      </c>
      <c r="F18721" s="4">
        <f>IFERROR(__xludf.DUMMYFUNCTION("""COMPUTED_VALUE"""),5339.0)</f>
        <v>5339</v>
      </c>
      <c r="G18721" s="4">
        <f>IFERROR(__xludf.DUMMYFUNCTION("""COMPUTED_VALUE"""),49.0)</f>
        <v>49</v>
      </c>
      <c r="H18721" s="4"/>
      <c r="I18721" s="4"/>
    </row>
    <row r="18722">
      <c r="A18722" s="4" t="str">
        <f>IFERROR(__xludf.DUMMYFUNCTION("""COMPUTED_VALUE"""),"cas_hmw")</f>
        <v>cas_hmw</v>
      </c>
      <c r="B18722" s="5">
        <f>IFERROR(__xludf.DUMMYFUNCTION("""COMPUTED_VALUE"""),44775.0)</f>
        <v>44775</v>
      </c>
      <c r="C18722" s="6">
        <f>IFERROR(__xludf.DUMMYFUNCTION("""COMPUTED_VALUE"""),0.7121990740743058)</f>
        <v>0.7121990741</v>
      </c>
      <c r="D18722" s="4">
        <f>IFERROR(__xludf.DUMMYFUNCTION("""COMPUTED_VALUE"""),12.953708)</f>
        <v>12.953708</v>
      </c>
      <c r="E18722" s="4">
        <f>IFERROR(__xludf.DUMMYFUNCTION("""COMPUTED_VALUE"""),80.141801)</f>
        <v>80.141801</v>
      </c>
      <c r="F18722" s="4">
        <f>IFERROR(__xludf.DUMMYFUNCTION("""COMPUTED_VALUE"""),3143.0)</f>
        <v>3143</v>
      </c>
      <c r="G18722" s="4">
        <f>IFERROR(__xludf.DUMMYFUNCTION("""COMPUTED_VALUE"""),37.0)</f>
        <v>37</v>
      </c>
      <c r="H18722" s="4"/>
      <c r="I18722" s="4"/>
    </row>
    <row r="18723">
      <c r="A18723" s="4" t="str">
        <f>IFERROR(__xludf.DUMMYFUNCTION("""COMPUTED_VALUE"""),"cas_hmw")</f>
        <v>cas_hmw</v>
      </c>
      <c r="B18723" s="5">
        <f>IFERROR(__xludf.DUMMYFUNCTION("""COMPUTED_VALUE"""),44775.0)</f>
        <v>44775</v>
      </c>
      <c r="C18723" s="6">
        <f>IFERROR(__xludf.DUMMYFUNCTION("""COMPUTED_VALUE"""),0.7126967592594156)</f>
        <v>0.7126967593</v>
      </c>
      <c r="D18723" s="4">
        <f>IFERROR(__xludf.DUMMYFUNCTION("""COMPUTED_VALUE"""),12.962058)</f>
        <v>12.962058</v>
      </c>
      <c r="E18723" s="4">
        <f>IFERROR(__xludf.DUMMYFUNCTION("""COMPUTED_VALUE"""),80.14619)</f>
        <v>80.14619</v>
      </c>
      <c r="F18723" s="4">
        <f>IFERROR(__xludf.DUMMYFUNCTION("""COMPUTED_VALUE"""),805.0)</f>
        <v>805</v>
      </c>
      <c r="G18723" s="4">
        <f>IFERROR(__xludf.DUMMYFUNCTION("""COMPUTED_VALUE"""),31.0)</f>
        <v>31</v>
      </c>
      <c r="H18723" s="4"/>
      <c r="I18723" s="4"/>
    </row>
    <row r="18724">
      <c r="A18724" s="4" t="str">
        <f>IFERROR(__xludf.DUMMYFUNCTION("""COMPUTED_VALUE"""),"cas_hmw")</f>
        <v>cas_hmw</v>
      </c>
      <c r="B18724" s="5">
        <f>IFERROR(__xludf.DUMMYFUNCTION("""COMPUTED_VALUE"""),44775.0)</f>
        <v>44775</v>
      </c>
      <c r="C18724" s="6">
        <f>IFERROR(__xludf.DUMMYFUNCTION("""COMPUTED_VALUE"""),0.7129861111097853)</f>
        <v>0.7129861111</v>
      </c>
      <c r="D18724" s="4">
        <f>IFERROR(__xludf.DUMMYFUNCTION("""COMPUTED_VALUE"""),12.965141)</f>
        <v>12.965141</v>
      </c>
      <c r="E18724" s="4">
        <f>IFERROR(__xludf.DUMMYFUNCTION("""COMPUTED_VALUE"""),80.14795)</f>
        <v>80.14795</v>
      </c>
      <c r="F18724" s="4">
        <f>IFERROR(__xludf.DUMMYFUNCTION("""COMPUTED_VALUE"""),805.0)</f>
        <v>805</v>
      </c>
      <c r="G18724" s="4">
        <f>IFERROR(__xludf.DUMMYFUNCTION("""COMPUTED_VALUE"""),44.0)</f>
        <v>44</v>
      </c>
      <c r="H18724" s="4"/>
      <c r="I18724" s="4"/>
    </row>
    <row r="18725">
      <c r="A18725" s="4" t="str">
        <f>IFERROR(__xludf.DUMMYFUNCTION("""COMPUTED_VALUE"""),"cas_hmw")</f>
        <v>cas_hmw</v>
      </c>
      <c r="B18725" s="5">
        <f>IFERROR(__xludf.DUMMYFUNCTION("""COMPUTED_VALUE"""),44775.0)</f>
        <v>44775</v>
      </c>
      <c r="C18725" s="6">
        <f>IFERROR(__xludf.DUMMYFUNCTION("""COMPUTED_VALUE"""),0.71324074074073)</f>
        <v>0.7132407407</v>
      </c>
      <c r="D18725" s="4">
        <f>IFERROR(__xludf.DUMMYFUNCTION("""COMPUTED_VALUE"""),12.980383)</f>
        <v>12.980383</v>
      </c>
      <c r="E18725" s="4">
        <f>IFERROR(__xludf.DUMMYFUNCTION("""COMPUTED_VALUE"""),80.164476)</f>
        <v>80.164476</v>
      </c>
      <c r="F18725" s="4">
        <f>IFERROR(__xludf.DUMMYFUNCTION("""COMPUTED_VALUE"""),5339.0)</f>
        <v>5339</v>
      </c>
      <c r="G18725" s="4">
        <f>IFERROR(__xludf.DUMMYFUNCTION("""COMPUTED_VALUE"""),38.0)</f>
        <v>38</v>
      </c>
      <c r="H18725" s="4"/>
      <c r="I18725" s="4"/>
    </row>
    <row r="18726">
      <c r="A18726" s="4" t="str">
        <f>IFERROR(__xludf.DUMMYFUNCTION("""COMPUTED_VALUE"""),"cas_hmw")</f>
        <v>cas_hmw</v>
      </c>
      <c r="B18726" s="5">
        <f>IFERROR(__xludf.DUMMYFUNCTION("""COMPUTED_VALUE"""),44775.0)</f>
        <v>44775</v>
      </c>
      <c r="C18726" s="6">
        <f>IFERROR(__xludf.DUMMYFUNCTION("""COMPUTED_VALUE"""),0.7135995370372257)</f>
        <v>0.713599537</v>
      </c>
      <c r="D18726" s="4">
        <f>IFERROR(__xludf.DUMMYFUNCTION("""COMPUTED_VALUE"""),12.983763)</f>
        <v>12.983763</v>
      </c>
      <c r="E18726" s="4">
        <f>IFERROR(__xludf.DUMMYFUNCTION("""COMPUTED_VALUE"""),80.170556)</f>
        <v>80.170556</v>
      </c>
      <c r="F18726" s="4">
        <f>IFERROR(__xludf.DUMMYFUNCTION("""COMPUTED_VALUE"""),5339.0)</f>
        <v>5339</v>
      </c>
      <c r="G18726" s="4">
        <f>IFERROR(__xludf.DUMMYFUNCTION("""COMPUTED_VALUE"""),43.0)</f>
        <v>43</v>
      </c>
      <c r="H18726" s="4"/>
      <c r="I18726" s="4"/>
    </row>
    <row r="18727">
      <c r="A18727" s="4" t="str">
        <f>IFERROR(__xludf.DUMMYFUNCTION("""COMPUTED_VALUE"""),"cas_hmw")</f>
        <v>cas_hmw</v>
      </c>
      <c r="B18727" s="5">
        <f>IFERROR(__xludf.DUMMYFUNCTION("""COMPUTED_VALUE"""),44775.0)</f>
        <v>44775</v>
      </c>
      <c r="C18727" s="6">
        <f>IFERROR(__xludf.DUMMYFUNCTION("""COMPUTED_VALUE"""),0.7136689814797137)</f>
        <v>0.7136689815</v>
      </c>
      <c r="D18727" s="4">
        <f>IFERROR(__xludf.DUMMYFUNCTION("""COMPUTED_VALUE"""),12.97042)</f>
        <v>12.97042</v>
      </c>
      <c r="E18727" s="4">
        <f>IFERROR(__xludf.DUMMYFUNCTION("""COMPUTED_VALUE"""),80.150505)</f>
        <v>80.150505</v>
      </c>
      <c r="F18727" s="4">
        <f>IFERROR(__xludf.DUMMYFUNCTION("""COMPUTED_VALUE"""),805.0)</f>
        <v>805</v>
      </c>
      <c r="G18727" s="4">
        <f>IFERROR(__xludf.DUMMYFUNCTION("""COMPUTED_VALUE"""),57.0)</f>
        <v>57</v>
      </c>
      <c r="H18727" s="4"/>
      <c r="I18727" s="4"/>
    </row>
    <row r="18728">
      <c r="A18728" s="4" t="str">
        <f>IFERROR(__xludf.DUMMYFUNCTION("""COMPUTED_VALUE"""),"cas_hmw")</f>
        <v>cas_hmw</v>
      </c>
      <c r="B18728" s="5">
        <f>IFERROR(__xludf.DUMMYFUNCTION("""COMPUTED_VALUE"""),44775.0)</f>
        <v>44775</v>
      </c>
      <c r="C18728" s="6">
        <f>IFERROR(__xludf.DUMMYFUNCTION("""COMPUTED_VALUE"""),0.7137152777795563)</f>
        <v>0.7137152778</v>
      </c>
      <c r="D18728" s="4">
        <f>IFERROR(__xludf.DUMMYFUNCTION("""COMPUTED_VALUE"""),12.972407)</f>
        <v>12.972407</v>
      </c>
      <c r="E18728" s="4">
        <f>IFERROR(__xludf.DUMMYFUNCTION("""COMPUTED_VALUE"""),80.151742)</f>
        <v>80.151742</v>
      </c>
      <c r="F18728" s="4">
        <f>IFERROR(__xludf.DUMMYFUNCTION("""COMPUTED_VALUE"""),805.0)</f>
        <v>805</v>
      </c>
      <c r="G18728" s="4">
        <f>IFERROR(__xludf.DUMMYFUNCTION("""COMPUTED_VALUE"""),58.0)</f>
        <v>58</v>
      </c>
      <c r="H18728" s="4"/>
      <c r="I18728" s="4"/>
    </row>
    <row r="18729">
      <c r="A18729" s="4" t="str">
        <f>IFERROR(__xludf.DUMMYFUNCTION("""COMPUTED_VALUE"""),"cas_hmw")</f>
        <v>cas_hmw</v>
      </c>
      <c r="B18729" s="5">
        <f>IFERROR(__xludf.DUMMYFUNCTION("""COMPUTED_VALUE"""),44775.0)</f>
        <v>44775</v>
      </c>
      <c r="C18729" s="6">
        <f>IFERROR(__xludf.DUMMYFUNCTION("""COMPUTED_VALUE"""),0.7150000000001455)</f>
        <v>0.715</v>
      </c>
      <c r="D18729" s="4">
        <f>IFERROR(__xludf.DUMMYFUNCTION("""COMPUTED_VALUE"""),12.699645)</f>
        <v>12.699645</v>
      </c>
      <c r="E18729" s="4">
        <f>IFERROR(__xludf.DUMMYFUNCTION("""COMPUTED_VALUE"""),79.968847)</f>
        <v>79.968847</v>
      </c>
      <c r="F18729" s="4">
        <f>IFERROR(__xludf.DUMMYFUNCTION("""COMPUTED_VALUE"""),2846.0)</f>
        <v>2846</v>
      </c>
      <c r="G18729" s="4">
        <f>IFERROR(__xludf.DUMMYFUNCTION("""COMPUTED_VALUE"""),11.0)</f>
        <v>11</v>
      </c>
      <c r="H18729" s="4"/>
      <c r="I18729" s="4"/>
    </row>
    <row r="18730">
      <c r="A18730" s="4" t="str">
        <f>IFERROR(__xludf.DUMMYFUNCTION("""COMPUTED_VALUE"""),"cas_hmw")</f>
        <v>cas_hmw</v>
      </c>
      <c r="B18730" s="5">
        <f>IFERROR(__xludf.DUMMYFUNCTION("""COMPUTED_VALUE"""),44775.0)</f>
        <v>44775</v>
      </c>
      <c r="C18730" s="6">
        <f>IFERROR(__xludf.DUMMYFUNCTION("""COMPUTED_VALUE"""),0.7150810185194132)</f>
        <v>0.7150810185</v>
      </c>
      <c r="D18730" s="4">
        <f>IFERROR(__xludf.DUMMYFUNCTION("""COMPUTED_VALUE"""),12.960919)</f>
        <v>12.960919</v>
      </c>
      <c r="E18730" s="4">
        <f>IFERROR(__xludf.DUMMYFUNCTION("""COMPUTED_VALUE"""),80.145644)</f>
        <v>80.145644</v>
      </c>
      <c r="F18730" s="4">
        <f>IFERROR(__xludf.DUMMYFUNCTION("""COMPUTED_VALUE"""),3143.0)</f>
        <v>3143</v>
      </c>
      <c r="G18730" s="4">
        <f>IFERROR(__xludf.DUMMYFUNCTION("""COMPUTED_VALUE"""),0.0)</f>
        <v>0</v>
      </c>
      <c r="H18730" s="4"/>
      <c r="I18730" s="4"/>
    </row>
    <row r="18731">
      <c r="A18731" s="4" t="str">
        <f>IFERROR(__xludf.DUMMYFUNCTION("""COMPUTED_VALUE"""),"cas_hmw")</f>
        <v>cas_hmw</v>
      </c>
      <c r="B18731" s="5">
        <f>IFERROR(__xludf.DUMMYFUNCTION("""COMPUTED_VALUE"""),44775.0)</f>
        <v>44775</v>
      </c>
      <c r="C18731" s="6">
        <f>IFERROR(__xludf.DUMMYFUNCTION("""COMPUTED_VALUE"""),0.7152893518505152)</f>
        <v>0.7152893519</v>
      </c>
      <c r="D18731" s="4">
        <f>IFERROR(__xludf.DUMMYFUNCTION("""COMPUTED_VALUE"""),12.961734)</f>
        <v>12.961734</v>
      </c>
      <c r="E18731" s="4">
        <f>IFERROR(__xludf.DUMMYFUNCTION("""COMPUTED_VALUE"""),80.146067)</f>
        <v>80.146067</v>
      </c>
      <c r="F18731" s="4">
        <f>IFERROR(__xludf.DUMMYFUNCTION("""COMPUTED_VALUE"""),3143.0)</f>
        <v>3143</v>
      </c>
      <c r="G18731" s="4">
        <f>IFERROR(__xludf.DUMMYFUNCTION("""COMPUTED_VALUE"""),37.0)</f>
        <v>37</v>
      </c>
      <c r="H18731" s="4"/>
      <c r="I18731" s="4"/>
    </row>
    <row r="18732">
      <c r="A18732" s="4" t="str">
        <f>IFERROR(__xludf.DUMMYFUNCTION("""COMPUTED_VALUE"""),"cas_hmw")</f>
        <v>cas_hmw</v>
      </c>
      <c r="B18732" s="5">
        <f>IFERROR(__xludf.DUMMYFUNCTION("""COMPUTED_VALUE"""),44775.0)</f>
        <v>44775</v>
      </c>
      <c r="C18732" s="6">
        <f>IFERROR(__xludf.DUMMYFUNCTION("""COMPUTED_VALUE"""),0.7157407407394203)</f>
        <v>0.7157407407</v>
      </c>
      <c r="D18732" s="4">
        <f>IFERROR(__xludf.DUMMYFUNCTION("""COMPUTED_VALUE"""),12.98443)</f>
        <v>12.98443</v>
      </c>
      <c r="E18732" s="4">
        <f>IFERROR(__xludf.DUMMYFUNCTION("""COMPUTED_VALUE"""),80.171658)</f>
        <v>80.171658</v>
      </c>
      <c r="F18732" s="4">
        <f>IFERROR(__xludf.DUMMYFUNCTION("""COMPUTED_VALUE"""),805.0)</f>
        <v>805</v>
      </c>
      <c r="G18732" s="4">
        <f>IFERROR(__xludf.DUMMYFUNCTION("""COMPUTED_VALUE"""),57.0)</f>
        <v>57</v>
      </c>
      <c r="H18732" s="4"/>
      <c r="I18732" s="4"/>
    </row>
    <row r="18733">
      <c r="A18733" s="4" t="str">
        <f>IFERROR(__xludf.DUMMYFUNCTION("""COMPUTED_VALUE"""),"cas_hmw")</f>
        <v>cas_hmw</v>
      </c>
      <c r="B18733" s="5">
        <f>IFERROR(__xludf.DUMMYFUNCTION("""COMPUTED_VALUE"""),44775.0)</f>
        <v>44775</v>
      </c>
      <c r="C18733" s="6">
        <f>IFERROR(__xludf.DUMMYFUNCTION("""COMPUTED_VALUE"""),0.7157407407394203)</f>
        <v>0.7157407407</v>
      </c>
      <c r="D18733" s="4">
        <f>IFERROR(__xludf.DUMMYFUNCTION("""COMPUTED_VALUE"""),12.98443)</f>
        <v>12.98443</v>
      </c>
      <c r="E18733" s="4">
        <f>IFERROR(__xludf.DUMMYFUNCTION("""COMPUTED_VALUE"""),80.171658)</f>
        <v>80.171658</v>
      </c>
      <c r="F18733" s="4">
        <f>IFERROR(__xludf.DUMMYFUNCTION("""COMPUTED_VALUE"""),805.0)</f>
        <v>805</v>
      </c>
      <c r="G18733" s="4">
        <f>IFERROR(__xludf.DUMMYFUNCTION("""COMPUTED_VALUE"""),57.0)</f>
        <v>57</v>
      </c>
      <c r="H18733" s="4"/>
      <c r="I18733" s="4"/>
    </row>
    <row r="18734">
      <c r="A18734" s="4" t="str">
        <f>IFERROR(__xludf.DUMMYFUNCTION("""COMPUTED_VALUE"""),"cas_hmw")</f>
        <v>cas_hmw</v>
      </c>
      <c r="B18734" s="5">
        <f>IFERROR(__xludf.DUMMYFUNCTION("""COMPUTED_VALUE"""),44775.0)</f>
        <v>44775</v>
      </c>
      <c r="C18734" s="6">
        <f>IFERROR(__xludf.DUMMYFUNCTION("""COMPUTED_VALUE"""),0.7157523148161999)</f>
        <v>0.7157523148</v>
      </c>
      <c r="D18734" s="4">
        <f>IFERROR(__xludf.DUMMYFUNCTION("""COMPUTED_VALUE"""),12.98443)</f>
        <v>12.98443</v>
      </c>
      <c r="E18734" s="4">
        <f>IFERROR(__xludf.DUMMYFUNCTION("""COMPUTED_VALUE"""),80.171658)</f>
        <v>80.171658</v>
      </c>
      <c r="F18734" s="4">
        <f>IFERROR(__xludf.DUMMYFUNCTION("""COMPUTED_VALUE"""),805.0)</f>
        <v>805</v>
      </c>
      <c r="G18734" s="4">
        <f>IFERROR(__xludf.DUMMYFUNCTION("""COMPUTED_VALUE"""),57.0)</f>
        <v>57</v>
      </c>
      <c r="H18734" s="4"/>
      <c r="I18734" s="4"/>
    </row>
    <row r="18735">
      <c r="A18735" s="4" t="str">
        <f>IFERROR(__xludf.DUMMYFUNCTION("""COMPUTED_VALUE"""),"cas_hmw")</f>
        <v>cas_hmw</v>
      </c>
      <c r="B18735" s="5">
        <f>IFERROR(__xludf.DUMMYFUNCTION("""COMPUTED_VALUE"""),44775.0)</f>
        <v>44775</v>
      </c>
      <c r="C18735" s="6">
        <f>IFERROR(__xludf.DUMMYFUNCTION("""COMPUTED_VALUE"""),0.7158101851855463)</f>
        <v>0.7158101852</v>
      </c>
      <c r="D18735" s="4">
        <f>IFERROR(__xludf.DUMMYFUNCTION("""COMPUTED_VALUE"""),12.991419)</f>
        <v>12.991419</v>
      </c>
      <c r="E18735" s="4">
        <f>IFERROR(__xludf.DUMMYFUNCTION("""COMPUTED_VALUE"""),80.181335)</f>
        <v>80.181335</v>
      </c>
      <c r="F18735" s="4">
        <f>IFERROR(__xludf.DUMMYFUNCTION("""COMPUTED_VALUE"""),5339.0)</f>
        <v>5339</v>
      </c>
      <c r="G18735" s="4">
        <f>IFERROR(__xludf.DUMMYFUNCTION("""COMPUTED_VALUE"""),49.0)</f>
        <v>49</v>
      </c>
      <c r="H18735" s="4"/>
      <c r="I18735" s="4"/>
    </row>
    <row r="18736">
      <c r="A18736" s="4" t="str">
        <f>IFERROR(__xludf.DUMMYFUNCTION("""COMPUTED_VALUE"""),"cas_hmw")</f>
        <v>cas_hmw</v>
      </c>
      <c r="B18736" s="5">
        <f>IFERROR(__xludf.DUMMYFUNCTION("""COMPUTED_VALUE"""),44775.0)</f>
        <v>44775</v>
      </c>
      <c r="C18736" s="6">
        <f>IFERROR(__xludf.DUMMYFUNCTION("""COMPUTED_VALUE"""),0.7158333333318296)</f>
        <v>0.7158333333</v>
      </c>
      <c r="D18736" s="4">
        <f>IFERROR(__xludf.DUMMYFUNCTION("""COMPUTED_VALUE"""),12.985687)</f>
        <v>12.985687</v>
      </c>
      <c r="E18736" s="4">
        <f>IFERROR(__xludf.DUMMYFUNCTION("""COMPUTED_VALUE"""),80.173554)</f>
        <v>80.173554</v>
      </c>
      <c r="F18736" s="4">
        <f>IFERROR(__xludf.DUMMYFUNCTION("""COMPUTED_VALUE"""),805.0)</f>
        <v>805</v>
      </c>
      <c r="G18736" s="4">
        <f>IFERROR(__xludf.DUMMYFUNCTION("""COMPUTED_VALUE"""),43.0)</f>
        <v>43</v>
      </c>
      <c r="H18736" s="4"/>
      <c r="I18736" s="4"/>
    </row>
    <row r="18737">
      <c r="A18737" s="4" t="str">
        <f>IFERROR(__xludf.DUMMYFUNCTION("""COMPUTED_VALUE"""),"cas_hmw")</f>
        <v>cas_hmw</v>
      </c>
      <c r="B18737" s="5">
        <f>IFERROR(__xludf.DUMMYFUNCTION("""COMPUTED_VALUE"""),44775.0)</f>
        <v>44775</v>
      </c>
      <c r="C18737" s="6">
        <f>IFERROR(__xludf.DUMMYFUNCTION("""COMPUTED_VALUE"""),0.7160069444435067)</f>
        <v>0.7160069444</v>
      </c>
      <c r="D18737" s="4">
        <f>IFERROR(__xludf.DUMMYFUNCTION("""COMPUTED_VALUE"""),12.986376)</f>
        <v>12.986376</v>
      </c>
      <c r="E18737" s="4">
        <f>IFERROR(__xludf.DUMMYFUNCTION("""COMPUTED_VALUE"""),80.174565)</f>
        <v>80.174565</v>
      </c>
      <c r="F18737" s="4">
        <f>IFERROR(__xludf.DUMMYFUNCTION("""COMPUTED_VALUE"""),805.0)</f>
        <v>805</v>
      </c>
      <c r="G18737" s="4">
        <f>IFERROR(__xludf.DUMMYFUNCTION("""COMPUTED_VALUE"""),18.0)</f>
        <v>18</v>
      </c>
      <c r="H18737" s="4"/>
      <c r="I18737" s="4"/>
    </row>
    <row r="18738">
      <c r="A18738" s="4" t="str">
        <f>IFERROR(__xludf.DUMMYFUNCTION("""COMPUTED_VALUE"""),"cas_hmw")</f>
        <v>cas_hmw</v>
      </c>
      <c r="B18738" s="5">
        <f>IFERROR(__xludf.DUMMYFUNCTION("""COMPUTED_VALUE"""),44775.0)</f>
        <v>44775</v>
      </c>
      <c r="C18738" s="6">
        <f>IFERROR(__xludf.DUMMYFUNCTION("""COMPUTED_VALUE"""),0.7165509259248211)</f>
        <v>0.7165509259</v>
      </c>
      <c r="D18738" s="4">
        <f>IFERROR(__xludf.DUMMYFUNCTION("""COMPUTED_VALUE"""),12.988604)</f>
        <v>12.988604</v>
      </c>
      <c r="E18738" s="4">
        <f>IFERROR(__xludf.DUMMYFUNCTION("""COMPUTED_VALUE"""),80.177651)</f>
        <v>80.177651</v>
      </c>
      <c r="F18738" s="4">
        <f>IFERROR(__xludf.DUMMYFUNCTION("""COMPUTED_VALUE"""),805.0)</f>
        <v>805</v>
      </c>
      <c r="G18738" s="4">
        <f>IFERROR(__xludf.DUMMYFUNCTION("""COMPUTED_VALUE"""),38.0)</f>
        <v>38</v>
      </c>
      <c r="H18738" s="4"/>
      <c r="I18738" s="4"/>
    </row>
    <row r="18739">
      <c r="A18739" s="4" t="str">
        <f>IFERROR(__xludf.DUMMYFUNCTION("""COMPUTED_VALUE"""),"cas_hmw")</f>
        <v>cas_hmw</v>
      </c>
      <c r="B18739" s="5">
        <f>IFERROR(__xludf.DUMMYFUNCTION("""COMPUTED_VALUE"""),44775.0)</f>
        <v>44775</v>
      </c>
      <c r="C18739" s="6">
        <f>IFERROR(__xludf.DUMMYFUNCTION("""COMPUTED_VALUE"""),0.7167476851864194)</f>
        <v>0.7167476852</v>
      </c>
      <c r="D18739" s="4">
        <f>IFERROR(__xludf.DUMMYFUNCTION("""COMPUTED_VALUE"""),12.989179)</f>
        <v>12.989179</v>
      </c>
      <c r="E18739" s="4">
        <f>IFERROR(__xludf.DUMMYFUNCTION("""COMPUTED_VALUE"""),80.178362)</f>
        <v>80.178362</v>
      </c>
      <c r="F18739" s="4">
        <f>IFERROR(__xludf.DUMMYFUNCTION("""COMPUTED_VALUE"""),805.0)</f>
        <v>805</v>
      </c>
      <c r="G18739" s="4">
        <f>IFERROR(__xludf.DUMMYFUNCTION("""COMPUTED_VALUE"""),5.0)</f>
        <v>5</v>
      </c>
      <c r="H18739" s="4"/>
      <c r="I18739" s="4"/>
    </row>
    <row r="18740">
      <c r="A18740" s="4" t="str">
        <f>IFERROR(__xludf.DUMMYFUNCTION("""COMPUTED_VALUE"""),"cas_hmw")</f>
        <v>cas_hmw</v>
      </c>
      <c r="B18740" s="5">
        <f>IFERROR(__xludf.DUMMYFUNCTION("""COMPUTED_VALUE"""),44775.0)</f>
        <v>44775</v>
      </c>
      <c r="C18740" s="6">
        <f>IFERROR(__xludf.DUMMYFUNCTION("""COMPUTED_VALUE"""),0.7179861111108039)</f>
        <v>0.7179861111</v>
      </c>
      <c r="D18740" s="4">
        <f>IFERROR(__xludf.DUMMYFUNCTION("""COMPUTED_VALUE"""),12.993653)</f>
        <v>12.993653</v>
      </c>
      <c r="E18740" s="4">
        <f>IFERROR(__xludf.DUMMYFUNCTION("""COMPUTED_VALUE"""),80.18484)</f>
        <v>80.18484</v>
      </c>
      <c r="F18740" s="4">
        <f>IFERROR(__xludf.DUMMYFUNCTION("""COMPUTED_VALUE"""),805.0)</f>
        <v>805</v>
      </c>
      <c r="G18740" s="4">
        <f>IFERROR(__xludf.DUMMYFUNCTION("""COMPUTED_VALUE"""),0.0)</f>
        <v>0</v>
      </c>
      <c r="H18740" s="4"/>
      <c r="I18740" s="4"/>
    </row>
    <row r="18741">
      <c r="A18741" s="4" t="str">
        <f>IFERROR(__xludf.DUMMYFUNCTION("""COMPUTED_VALUE"""),"cas_hmw")</f>
        <v>cas_hmw</v>
      </c>
      <c r="B18741" s="5">
        <f>IFERROR(__xludf.DUMMYFUNCTION("""COMPUTED_VALUE"""),44775.0)</f>
        <v>44775</v>
      </c>
      <c r="C18741" s="6">
        <f>IFERROR(__xludf.DUMMYFUNCTION("""COMPUTED_VALUE"""),0.718680555553874)</f>
        <v>0.7186805556</v>
      </c>
      <c r="D18741" s="4">
        <f>IFERROR(__xludf.DUMMYFUNCTION("""COMPUTED_VALUE"""),12.995836)</f>
        <v>12.995836</v>
      </c>
      <c r="E18741" s="4">
        <f>IFERROR(__xludf.DUMMYFUNCTION("""COMPUTED_VALUE"""),80.188995)</f>
        <v>80.188995</v>
      </c>
      <c r="F18741" s="4">
        <f>IFERROR(__xludf.DUMMYFUNCTION("""COMPUTED_VALUE"""),805.0)</f>
        <v>805</v>
      </c>
      <c r="G18741" s="4">
        <f>IFERROR(__xludf.DUMMYFUNCTION("""COMPUTED_VALUE"""),0.0)</f>
        <v>0</v>
      </c>
      <c r="H18741" s="4"/>
      <c r="I18741" s="4"/>
    </row>
    <row r="18742">
      <c r="A18742" s="4" t="str">
        <f>IFERROR(__xludf.DUMMYFUNCTION("""COMPUTED_VALUE"""),"cas_hmw")</f>
        <v>cas_hmw</v>
      </c>
      <c r="B18742" s="5">
        <f>IFERROR(__xludf.DUMMYFUNCTION("""COMPUTED_VALUE"""),44775.0)</f>
        <v>44775</v>
      </c>
      <c r="C18742" s="6">
        <f>IFERROR(__xludf.DUMMYFUNCTION("""COMPUTED_VALUE"""),0.7187615740731417)</f>
        <v>0.7187615741</v>
      </c>
      <c r="D18742" s="4">
        <f>IFERROR(__xludf.DUMMYFUNCTION("""COMPUTED_VALUE"""),12.995836)</f>
        <v>12.995836</v>
      </c>
      <c r="E18742" s="4">
        <f>IFERROR(__xludf.DUMMYFUNCTION("""COMPUTED_VALUE"""),80.188995)</f>
        <v>80.188995</v>
      </c>
      <c r="F18742" s="4">
        <f>IFERROR(__xludf.DUMMYFUNCTION("""COMPUTED_VALUE"""),805.0)</f>
        <v>805</v>
      </c>
      <c r="G18742" s="4">
        <f>IFERROR(__xludf.DUMMYFUNCTION("""COMPUTED_VALUE"""),0.0)</f>
        <v>0</v>
      </c>
      <c r="H18742" s="4"/>
      <c r="I18742" s="4"/>
    </row>
    <row r="18743">
      <c r="A18743" s="4" t="str">
        <f>IFERROR(__xludf.DUMMYFUNCTION("""COMPUTED_VALUE"""),"cas_hmw")</f>
        <v>cas_hmw</v>
      </c>
      <c r="B18743" s="5">
        <f>IFERROR(__xludf.DUMMYFUNCTION("""COMPUTED_VALUE"""),44775.0)</f>
        <v>44775</v>
      </c>
      <c r="C18743" s="6">
        <f>IFERROR(__xludf.DUMMYFUNCTION("""COMPUTED_VALUE"""),0.7188078703693463)</f>
        <v>0.7188078704</v>
      </c>
      <c r="D18743" s="4">
        <f>IFERROR(__xludf.DUMMYFUNCTION("""COMPUTED_VALUE"""),12.995836)</f>
        <v>12.995836</v>
      </c>
      <c r="E18743" s="4">
        <f>IFERROR(__xludf.DUMMYFUNCTION("""COMPUTED_VALUE"""),80.188995)</f>
        <v>80.188995</v>
      </c>
      <c r="F18743" s="4">
        <f>IFERROR(__xludf.DUMMYFUNCTION("""COMPUTED_VALUE"""),805.0)</f>
        <v>805</v>
      </c>
      <c r="G18743" s="4">
        <f>IFERROR(__xludf.DUMMYFUNCTION("""COMPUTED_VALUE"""),0.0)</f>
        <v>0</v>
      </c>
      <c r="H18743" s="4"/>
      <c r="I18743" s="4"/>
    </row>
    <row r="18744">
      <c r="A18744" s="4" t="str">
        <f>IFERROR(__xludf.DUMMYFUNCTION("""COMPUTED_VALUE"""),"cas_hmw")</f>
        <v>cas_hmw</v>
      </c>
      <c r="B18744" s="5">
        <f>IFERROR(__xludf.DUMMYFUNCTION("""COMPUTED_VALUE"""),44775.0)</f>
        <v>44775</v>
      </c>
      <c r="C18744" s="6">
        <f>IFERROR(__xludf.DUMMYFUNCTION("""COMPUTED_VALUE"""),0.718854166665551)</f>
        <v>0.7188541667</v>
      </c>
      <c r="D18744" s="4">
        <f>IFERROR(__xludf.DUMMYFUNCTION("""COMPUTED_VALUE"""),12.995836)</f>
        <v>12.995836</v>
      </c>
      <c r="E18744" s="4">
        <f>IFERROR(__xludf.DUMMYFUNCTION("""COMPUTED_VALUE"""),80.188995)</f>
        <v>80.188995</v>
      </c>
      <c r="F18744" s="4">
        <f>IFERROR(__xludf.DUMMYFUNCTION("""COMPUTED_VALUE"""),805.0)</f>
        <v>805</v>
      </c>
      <c r="G18744" s="4">
        <f>IFERROR(__xludf.DUMMYFUNCTION("""COMPUTED_VALUE"""),0.0)</f>
        <v>0</v>
      </c>
      <c r="H18744" s="4"/>
      <c r="I18744" s="4"/>
    </row>
    <row r="18745">
      <c r="A18745" s="4" t="str">
        <f>IFERROR(__xludf.DUMMYFUNCTION("""COMPUTED_VALUE"""),"cas_hmw")</f>
        <v>cas_hmw</v>
      </c>
      <c r="B18745" s="5">
        <f>IFERROR(__xludf.DUMMYFUNCTION("""COMPUTED_VALUE"""),44775.0)</f>
        <v>44775</v>
      </c>
      <c r="C18745" s="6">
        <f>IFERROR(__xludf.DUMMYFUNCTION("""COMPUTED_VALUE"""),0.718923611111677)</f>
        <v>0.7189236111</v>
      </c>
      <c r="D18745" s="4">
        <f>IFERROR(__xludf.DUMMYFUNCTION("""COMPUTED_VALUE"""),12.996431)</f>
        <v>12.996431</v>
      </c>
      <c r="E18745" s="4">
        <f>IFERROR(__xludf.DUMMYFUNCTION("""COMPUTED_VALUE"""),80.189715)</f>
        <v>80.189715</v>
      </c>
      <c r="F18745" s="4">
        <f>IFERROR(__xludf.DUMMYFUNCTION("""COMPUTED_VALUE"""),805.0)</f>
        <v>805</v>
      </c>
      <c r="G18745" s="4">
        <f>IFERROR(__xludf.DUMMYFUNCTION("""COMPUTED_VALUE"""),38.0)</f>
        <v>38</v>
      </c>
      <c r="H18745" s="4"/>
      <c r="I18745" s="4"/>
    </row>
    <row r="18746">
      <c r="A18746" s="4" t="str">
        <f>IFERROR(__xludf.DUMMYFUNCTION("""COMPUTED_VALUE"""),"cas_hmw")</f>
        <v>cas_hmw</v>
      </c>
      <c r="B18746" s="5">
        <f>IFERROR(__xludf.DUMMYFUNCTION("""COMPUTED_VALUE"""),44775.0)</f>
        <v>44775</v>
      </c>
      <c r="C18746" s="6">
        <f>IFERROR(__xludf.DUMMYFUNCTION("""COMPUTED_VALUE"""),0.7190393518503697)</f>
        <v>0.7190393519</v>
      </c>
      <c r="D18746" s="4">
        <f>IFERROR(__xludf.DUMMYFUNCTION("""COMPUTED_VALUE"""),12.996431)</f>
        <v>12.996431</v>
      </c>
      <c r="E18746" s="4">
        <f>IFERROR(__xludf.DUMMYFUNCTION("""COMPUTED_VALUE"""),80.189715)</f>
        <v>80.189715</v>
      </c>
      <c r="F18746" s="4">
        <f>IFERROR(__xludf.DUMMYFUNCTION("""COMPUTED_VALUE"""),805.0)</f>
        <v>805</v>
      </c>
      <c r="G18746" s="4">
        <f>IFERROR(__xludf.DUMMYFUNCTION("""COMPUTED_VALUE"""),38.0)</f>
        <v>38</v>
      </c>
      <c r="H18746" s="4"/>
      <c r="I18746" s="4"/>
    </row>
    <row r="18747">
      <c r="A18747" s="4" t="str">
        <f>IFERROR(__xludf.DUMMYFUNCTION("""COMPUTED_VALUE"""),"cas_hmw")</f>
        <v>cas_hmw</v>
      </c>
      <c r="B18747" s="5">
        <f>IFERROR(__xludf.DUMMYFUNCTION("""COMPUTED_VALUE"""),44775.0)</f>
        <v>44775</v>
      </c>
      <c r="C18747" s="6">
        <f>IFERROR(__xludf.DUMMYFUNCTION("""COMPUTED_VALUE"""),0.7198958333319752)</f>
        <v>0.7198958333</v>
      </c>
      <c r="D18747" s="4">
        <f>IFERROR(__xludf.DUMMYFUNCTION("""COMPUTED_VALUE"""),13.001172)</f>
        <v>13.001172</v>
      </c>
      <c r="E18747" s="4">
        <f>IFERROR(__xludf.DUMMYFUNCTION("""COMPUTED_VALUE"""),80.195501)</f>
        <v>80.195501</v>
      </c>
      <c r="F18747" s="4">
        <f>IFERROR(__xludf.DUMMYFUNCTION("""COMPUTED_VALUE"""),805.0)</f>
        <v>805</v>
      </c>
      <c r="G18747" s="4">
        <f>IFERROR(__xludf.DUMMYFUNCTION("""COMPUTED_VALUE"""),0.0)</f>
        <v>0</v>
      </c>
      <c r="H18747" s="4"/>
      <c r="I18747" s="4"/>
    </row>
    <row r="18748">
      <c r="A18748" s="4" t="str">
        <f>IFERROR(__xludf.DUMMYFUNCTION("""COMPUTED_VALUE"""),"cas_hmw")</f>
        <v>cas_hmw</v>
      </c>
      <c r="B18748" s="5">
        <f>IFERROR(__xludf.DUMMYFUNCTION("""COMPUTED_VALUE"""),44775.0)</f>
        <v>44775</v>
      </c>
      <c r="C18748" s="6">
        <f>IFERROR(__xludf.DUMMYFUNCTION("""COMPUTED_VALUE"""),0.7200694444436522)</f>
        <v>0.7200694444</v>
      </c>
      <c r="D18748" s="4">
        <f>IFERROR(__xludf.DUMMYFUNCTION("""COMPUTED_VALUE"""),13.001213)</f>
        <v>13.001213</v>
      </c>
      <c r="E18748" s="4">
        <f>IFERROR(__xludf.DUMMYFUNCTION("""COMPUTED_VALUE"""),80.195572)</f>
        <v>80.195572</v>
      </c>
      <c r="F18748" s="4">
        <f>IFERROR(__xludf.DUMMYFUNCTION("""COMPUTED_VALUE"""),805.0)</f>
        <v>805</v>
      </c>
      <c r="G18748" s="4">
        <f>IFERROR(__xludf.DUMMYFUNCTION("""COMPUTED_VALUE"""),6.0)</f>
        <v>6</v>
      </c>
      <c r="H18748" s="4"/>
      <c r="I18748" s="4"/>
    </row>
    <row r="18749">
      <c r="A18749" s="4" t="str">
        <f>IFERROR(__xludf.DUMMYFUNCTION("""COMPUTED_VALUE"""),"cas_hmw")</f>
        <v>cas_hmw</v>
      </c>
      <c r="B18749" s="5">
        <f>IFERROR(__xludf.DUMMYFUNCTION("""COMPUTED_VALUE"""),44775.0)</f>
        <v>44775</v>
      </c>
      <c r="C18749" s="6">
        <f>IFERROR(__xludf.DUMMYFUNCTION("""COMPUTED_VALUE"""),0.7204050925938645)</f>
        <v>0.7204050926</v>
      </c>
      <c r="D18749" s="4">
        <f>IFERROR(__xludf.DUMMYFUNCTION("""COMPUTED_VALUE"""),13.001735)</f>
        <v>13.001735</v>
      </c>
      <c r="E18749" s="4">
        <f>IFERROR(__xludf.DUMMYFUNCTION("""COMPUTED_VALUE"""),80.196233)</f>
        <v>80.196233</v>
      </c>
      <c r="F18749" s="4">
        <f>IFERROR(__xludf.DUMMYFUNCTION("""COMPUTED_VALUE"""),805.0)</f>
        <v>805</v>
      </c>
      <c r="G18749" s="4">
        <f>IFERROR(__xludf.DUMMYFUNCTION("""COMPUTED_VALUE"""),24.0)</f>
        <v>24</v>
      </c>
      <c r="H18749" s="4"/>
      <c r="I18749" s="4"/>
    </row>
    <row r="18750">
      <c r="A18750" s="4" t="str">
        <f>IFERROR(__xludf.DUMMYFUNCTION("""COMPUTED_VALUE"""),"cas_hmw")</f>
        <v>cas_hmw</v>
      </c>
      <c r="B18750" s="5">
        <f>IFERROR(__xludf.DUMMYFUNCTION("""COMPUTED_VALUE"""),44775.0)</f>
        <v>44775</v>
      </c>
      <c r="C18750" s="6">
        <f>IFERROR(__xludf.DUMMYFUNCTION("""COMPUTED_VALUE"""),0.7206481481480296)</f>
        <v>0.7206481481</v>
      </c>
      <c r="D18750" s="4">
        <f>IFERROR(__xludf.DUMMYFUNCTION("""COMPUTED_VALUE"""),13.001838)</f>
        <v>13.001838</v>
      </c>
      <c r="E18750" s="4">
        <f>IFERROR(__xludf.DUMMYFUNCTION("""COMPUTED_VALUE"""),80.199573)</f>
        <v>80.199573</v>
      </c>
      <c r="F18750" s="4">
        <f>IFERROR(__xludf.DUMMYFUNCTION("""COMPUTED_VALUE"""),805.0)</f>
        <v>805</v>
      </c>
      <c r="G18750" s="4">
        <f>IFERROR(__xludf.DUMMYFUNCTION("""COMPUTED_VALUE"""),48.0)</f>
        <v>48</v>
      </c>
      <c r="H18750" s="4"/>
      <c r="I18750" s="4"/>
    </row>
    <row r="18751">
      <c r="A18751" s="4" t="str">
        <f>IFERROR(__xludf.DUMMYFUNCTION("""COMPUTED_VALUE"""),"cas_hmw")</f>
        <v>cas_hmw</v>
      </c>
      <c r="B18751" s="5">
        <f>IFERROR(__xludf.DUMMYFUNCTION("""COMPUTED_VALUE"""),44775.0)</f>
        <v>44775</v>
      </c>
      <c r="C18751" s="6">
        <f>IFERROR(__xludf.DUMMYFUNCTION("""COMPUTED_VALUE"""),0.7206828703710926)</f>
        <v>0.7206828704</v>
      </c>
      <c r="D18751" s="4">
        <f>IFERROR(__xludf.DUMMYFUNCTION("""COMPUTED_VALUE"""),13.007707)</f>
        <v>13.007707</v>
      </c>
      <c r="E18751" s="4">
        <f>IFERROR(__xludf.DUMMYFUNCTION("""COMPUTED_VALUE"""),80.20614)</f>
        <v>80.20614</v>
      </c>
      <c r="F18751" s="4">
        <f>IFERROR(__xludf.DUMMYFUNCTION("""COMPUTED_VALUE"""),5339.0)</f>
        <v>5339</v>
      </c>
      <c r="G18751" s="4">
        <f>IFERROR(__xludf.DUMMYFUNCTION("""COMPUTED_VALUE"""),49.0)</f>
        <v>49</v>
      </c>
      <c r="H18751" s="4"/>
      <c r="I18751" s="4"/>
    </row>
    <row r="18752">
      <c r="A18752" s="4" t="str">
        <f>IFERROR(__xludf.DUMMYFUNCTION("""COMPUTED_VALUE"""),"cas_hmw")</f>
        <v>cas_hmw</v>
      </c>
      <c r="B18752" s="5">
        <f>IFERROR(__xludf.DUMMYFUNCTION("""COMPUTED_VALUE"""),44775.0)</f>
        <v>44775</v>
      </c>
      <c r="C18752" s="6">
        <f>IFERROR(__xludf.DUMMYFUNCTION("""COMPUTED_VALUE"""),0.7207407407404389)</f>
        <v>0.7207407407</v>
      </c>
      <c r="D18752" s="4">
        <f>IFERROR(__xludf.DUMMYFUNCTION("""COMPUTED_VALUE"""),13.001838)</f>
        <v>13.001838</v>
      </c>
      <c r="E18752" s="4">
        <f>IFERROR(__xludf.DUMMYFUNCTION("""COMPUTED_VALUE"""),80.199573)</f>
        <v>80.199573</v>
      </c>
      <c r="F18752" s="4">
        <f>IFERROR(__xludf.DUMMYFUNCTION("""COMPUTED_VALUE"""),805.0)</f>
        <v>805</v>
      </c>
      <c r="G18752" s="4">
        <f>IFERROR(__xludf.DUMMYFUNCTION("""COMPUTED_VALUE"""),48.0)</f>
        <v>48</v>
      </c>
      <c r="H18752" s="4"/>
      <c r="I18752" s="4"/>
    </row>
    <row r="18753">
      <c r="A18753" s="4" t="str">
        <f>IFERROR(__xludf.DUMMYFUNCTION("""COMPUTED_VALUE"""),"cas_hmw")</f>
        <v>cas_hmw</v>
      </c>
      <c r="B18753" s="5">
        <f>IFERROR(__xludf.DUMMYFUNCTION("""COMPUTED_VALUE"""),44775.0)</f>
        <v>44775</v>
      </c>
      <c r="C18753" s="6">
        <f>IFERROR(__xludf.DUMMYFUNCTION("""COMPUTED_VALUE"""),0.7208449074059899)</f>
        <v>0.7208449074</v>
      </c>
      <c r="D18753" s="4">
        <f>IFERROR(__xludf.DUMMYFUNCTION("""COMPUTED_VALUE"""),13.003525)</f>
        <v>13.003525</v>
      </c>
      <c r="E18753" s="4">
        <f>IFERROR(__xludf.DUMMYFUNCTION("""COMPUTED_VALUE"""),80.200853)</f>
        <v>80.200853</v>
      </c>
      <c r="F18753" s="4">
        <f>IFERROR(__xludf.DUMMYFUNCTION("""COMPUTED_VALUE"""),805.0)</f>
        <v>805</v>
      </c>
      <c r="G18753" s="4">
        <f>IFERROR(__xludf.DUMMYFUNCTION("""COMPUTED_VALUE"""),59.0)</f>
        <v>59</v>
      </c>
      <c r="H18753" s="4"/>
      <c r="I18753" s="4"/>
    </row>
    <row r="18754">
      <c r="A18754" s="4" t="str">
        <f>IFERROR(__xludf.DUMMYFUNCTION("""COMPUTED_VALUE"""),"cas_hmw")</f>
        <v>cas_hmw</v>
      </c>
      <c r="B18754" s="5">
        <f>IFERROR(__xludf.DUMMYFUNCTION("""COMPUTED_VALUE"""),44775.0)</f>
        <v>44775</v>
      </c>
      <c r="C18754" s="6">
        <f>IFERROR(__xludf.DUMMYFUNCTION("""COMPUTED_VALUE"""),0.7213773148141627)</f>
        <v>0.7213773148</v>
      </c>
      <c r="D18754" s="4">
        <f>IFERROR(__xludf.DUMMYFUNCTION("""COMPUTED_VALUE"""),13.009313)</f>
        <v>13.009313</v>
      </c>
      <c r="E18754" s="4">
        <f>IFERROR(__xludf.DUMMYFUNCTION("""COMPUTED_VALUE"""),80.212601)</f>
        <v>80.212601</v>
      </c>
      <c r="F18754" s="4">
        <f>IFERROR(__xludf.DUMMYFUNCTION("""COMPUTED_VALUE"""),5339.0)</f>
        <v>5339</v>
      </c>
      <c r="G18754" s="4">
        <f>IFERROR(__xludf.DUMMYFUNCTION("""COMPUTED_VALUE"""),35.0)</f>
        <v>35</v>
      </c>
      <c r="H18754" s="4"/>
      <c r="I18754" s="4"/>
    </row>
    <row r="18755">
      <c r="A18755" s="4" t="str">
        <f>IFERROR(__xludf.DUMMYFUNCTION("""COMPUTED_VALUE"""),"cas_hmw")</f>
        <v>cas_hmw</v>
      </c>
      <c r="B18755" s="5">
        <f>IFERROR(__xludf.DUMMYFUNCTION("""COMPUTED_VALUE"""),44775.0)</f>
        <v>44775</v>
      </c>
      <c r="C18755" s="6">
        <f>IFERROR(__xludf.DUMMYFUNCTION("""COMPUTED_VALUE"""),0.7218287037030677)</f>
        <v>0.7218287037</v>
      </c>
      <c r="D18755" s="4">
        <f>IFERROR(__xludf.DUMMYFUNCTION("""COMPUTED_VALUE"""),13.010144)</f>
        <v>13.010144</v>
      </c>
      <c r="E18755" s="4">
        <f>IFERROR(__xludf.DUMMYFUNCTION("""COMPUTED_VALUE"""),80.214798)</f>
        <v>80.214798</v>
      </c>
      <c r="F18755" s="4">
        <f>IFERROR(__xludf.DUMMYFUNCTION("""COMPUTED_VALUE"""),5339.0)</f>
        <v>5339</v>
      </c>
      <c r="G18755" s="4">
        <f>IFERROR(__xludf.DUMMYFUNCTION("""COMPUTED_VALUE"""),27.0)</f>
        <v>27</v>
      </c>
      <c r="H18755" s="4"/>
      <c r="I18755" s="4"/>
    </row>
    <row r="18756">
      <c r="A18756" s="4" t="str">
        <f>IFERROR(__xludf.DUMMYFUNCTION("""COMPUTED_VALUE"""),"cas_hmw")</f>
        <v>cas_hmw</v>
      </c>
      <c r="B18756" s="5">
        <f>IFERROR(__xludf.DUMMYFUNCTION("""COMPUTED_VALUE"""),44775.0)</f>
        <v>44775</v>
      </c>
      <c r="C18756" s="6">
        <f>IFERROR(__xludf.DUMMYFUNCTION("""COMPUTED_VALUE"""),0.7218634259261307)</f>
        <v>0.7218634259</v>
      </c>
      <c r="D18756" s="4">
        <f>IFERROR(__xludf.DUMMYFUNCTION("""COMPUTED_VALUE"""),13.007674)</f>
        <v>13.007674</v>
      </c>
      <c r="E18756" s="4">
        <f>IFERROR(__xludf.DUMMYFUNCTION("""COMPUTED_VALUE"""),80.205511)</f>
        <v>80.205511</v>
      </c>
      <c r="F18756" s="4">
        <f>IFERROR(__xludf.DUMMYFUNCTION("""COMPUTED_VALUE"""),805.0)</f>
        <v>805</v>
      </c>
      <c r="G18756" s="4">
        <f>IFERROR(__xludf.DUMMYFUNCTION("""COMPUTED_VALUE"""),61.0)</f>
        <v>61</v>
      </c>
      <c r="H18756" s="4"/>
      <c r="I18756" s="4"/>
    </row>
    <row r="18757">
      <c r="A18757" s="4" t="str">
        <f>IFERROR(__xludf.DUMMYFUNCTION("""COMPUTED_VALUE"""),"cas_hmw")</f>
        <v>cas_hmw</v>
      </c>
      <c r="B18757" s="5">
        <f>IFERROR(__xludf.DUMMYFUNCTION("""COMPUTED_VALUE"""),44775.0)</f>
        <v>44775</v>
      </c>
      <c r="C18757" s="6">
        <f>IFERROR(__xludf.DUMMYFUNCTION("""COMPUTED_VALUE"""),0.7220601851840911)</f>
        <v>0.7220601852</v>
      </c>
      <c r="D18757" s="4">
        <f>IFERROR(__xludf.DUMMYFUNCTION("""COMPUTED_VALUE"""),13.007976)</f>
        <v>13.007976</v>
      </c>
      <c r="E18757" s="4">
        <f>IFERROR(__xludf.DUMMYFUNCTION("""COMPUTED_VALUE"""),80.207952)</f>
        <v>80.207952</v>
      </c>
      <c r="F18757" s="4">
        <f>IFERROR(__xludf.DUMMYFUNCTION("""COMPUTED_VALUE"""),805.0)</f>
        <v>805</v>
      </c>
      <c r="G18757" s="4">
        <f>IFERROR(__xludf.DUMMYFUNCTION("""COMPUTED_VALUE"""),59.0)</f>
        <v>59</v>
      </c>
      <c r="H18757" s="4"/>
      <c r="I18757" s="4"/>
    </row>
    <row r="18758">
      <c r="A18758" s="4" t="str">
        <f>IFERROR(__xludf.DUMMYFUNCTION("""COMPUTED_VALUE"""),"cas_hmw")</f>
        <v>cas_hmw</v>
      </c>
      <c r="B18758" s="5">
        <f>IFERROR(__xludf.DUMMYFUNCTION("""COMPUTED_VALUE"""),44775.0)</f>
        <v>44775</v>
      </c>
      <c r="C18758" s="6">
        <f>IFERROR(__xludf.DUMMYFUNCTION("""COMPUTED_VALUE"""),0.7222337962957681)</f>
        <v>0.7222337963</v>
      </c>
      <c r="D18758" s="4">
        <f>IFERROR(__xludf.DUMMYFUNCTION("""COMPUTED_VALUE"""),13.008353)</f>
        <v>13.008353</v>
      </c>
      <c r="E18758" s="4">
        <f>IFERROR(__xludf.DUMMYFUNCTION("""COMPUTED_VALUE"""),80.209945)</f>
        <v>80.209945</v>
      </c>
      <c r="F18758" s="4">
        <f>IFERROR(__xludf.DUMMYFUNCTION("""COMPUTED_VALUE"""),805.0)</f>
        <v>805</v>
      </c>
      <c r="G18758" s="4">
        <f>IFERROR(__xludf.DUMMYFUNCTION("""COMPUTED_VALUE"""),45.0)</f>
        <v>45</v>
      </c>
      <c r="H18758" s="4"/>
      <c r="I18758" s="4"/>
    </row>
    <row r="18759">
      <c r="A18759" s="4" t="str">
        <f>IFERROR(__xludf.DUMMYFUNCTION("""COMPUTED_VALUE"""),"cas_hmw")</f>
        <v>cas_hmw</v>
      </c>
      <c r="B18759" s="5">
        <f>IFERROR(__xludf.DUMMYFUNCTION("""COMPUTED_VALUE"""),44775.0)</f>
        <v>44775</v>
      </c>
      <c r="C18759" s="6">
        <f>IFERROR(__xludf.DUMMYFUNCTION("""COMPUTED_VALUE"""),0.7223958333343035)</f>
        <v>0.7223958333</v>
      </c>
      <c r="D18759" s="4">
        <f>IFERROR(__xludf.DUMMYFUNCTION("""COMPUTED_VALUE"""),13.0091)</f>
        <v>13.0091</v>
      </c>
      <c r="E18759" s="4">
        <f>IFERROR(__xludf.DUMMYFUNCTION("""COMPUTED_VALUE"""),80.212014)</f>
        <v>80.212014</v>
      </c>
      <c r="F18759" s="4">
        <f>IFERROR(__xludf.DUMMYFUNCTION("""COMPUTED_VALUE"""),805.0)</f>
        <v>805</v>
      </c>
      <c r="G18759" s="4">
        <f>IFERROR(__xludf.DUMMYFUNCTION("""COMPUTED_VALUE"""),59.0)</f>
        <v>59</v>
      </c>
      <c r="H18759" s="4"/>
      <c r="I18759" s="4"/>
    </row>
    <row r="18760">
      <c r="A18760" s="4" t="str">
        <f>IFERROR(__xludf.DUMMYFUNCTION("""COMPUTED_VALUE"""),"cas_hmw")</f>
        <v>cas_hmw</v>
      </c>
      <c r="B18760" s="5">
        <f>IFERROR(__xludf.DUMMYFUNCTION("""COMPUTED_VALUE"""),44775.0)</f>
        <v>44775</v>
      </c>
      <c r="C18760" s="6">
        <f>IFERROR(__xludf.DUMMYFUNCTION("""COMPUTED_VALUE"""),0.7224999999998545)</f>
        <v>0.7225</v>
      </c>
      <c r="D18760" s="4">
        <f>IFERROR(__xludf.DUMMYFUNCTION("""COMPUTED_VALUE"""),13.009881)</f>
        <v>13.009881</v>
      </c>
      <c r="E18760" s="4">
        <f>IFERROR(__xludf.DUMMYFUNCTION("""COMPUTED_VALUE"""),80.214001)</f>
        <v>80.214001</v>
      </c>
      <c r="F18760" s="4">
        <f>IFERROR(__xludf.DUMMYFUNCTION("""COMPUTED_VALUE"""),805.0)</f>
        <v>805</v>
      </c>
      <c r="G18760" s="4">
        <f>IFERROR(__xludf.DUMMYFUNCTION("""COMPUTED_VALUE"""),49.0)</f>
        <v>49</v>
      </c>
      <c r="H18760" s="4"/>
      <c r="I18760" s="4"/>
    </row>
    <row r="18761">
      <c r="A18761" s="4" t="str">
        <f>IFERROR(__xludf.DUMMYFUNCTION("""COMPUTED_VALUE"""),"cas_hmw")</f>
        <v>cas_hmw</v>
      </c>
      <c r="B18761" s="5">
        <f>IFERROR(__xludf.DUMMYFUNCTION("""COMPUTED_VALUE"""),44775.0)</f>
        <v>44775</v>
      </c>
      <c r="C18761" s="6">
        <f>IFERROR(__xludf.DUMMYFUNCTION("""COMPUTED_VALUE"""),0.7228125000001455)</f>
        <v>0.7228125</v>
      </c>
      <c r="D18761" s="4">
        <f>IFERROR(__xludf.DUMMYFUNCTION("""COMPUTED_VALUE"""),13.010254)</f>
        <v>13.010254</v>
      </c>
      <c r="E18761" s="4">
        <f>IFERROR(__xludf.DUMMYFUNCTION("""COMPUTED_VALUE"""),80.215494)</f>
        <v>80.215494</v>
      </c>
      <c r="F18761" s="4">
        <f>IFERROR(__xludf.DUMMYFUNCTION("""COMPUTED_VALUE"""),805.0)</f>
        <v>805</v>
      </c>
      <c r="G18761" s="4">
        <f>IFERROR(__xludf.DUMMYFUNCTION("""COMPUTED_VALUE"""),35.0)</f>
        <v>35</v>
      </c>
      <c r="H18761" s="4"/>
      <c r="I18761" s="4"/>
    </row>
    <row r="18762">
      <c r="A18762" s="4" t="str">
        <f>IFERROR(__xludf.DUMMYFUNCTION("""COMPUTED_VALUE"""),"cas_hmw")</f>
        <v>cas_hmw</v>
      </c>
      <c r="B18762" s="5">
        <f>IFERROR(__xludf.DUMMYFUNCTION("""COMPUTED_VALUE"""),44775.0)</f>
        <v>44775</v>
      </c>
      <c r="C18762" s="6">
        <f>IFERROR(__xludf.DUMMYFUNCTION("""COMPUTED_VALUE"""),0.7232870370353339)</f>
        <v>0.723287037</v>
      </c>
      <c r="D18762" s="4">
        <f>IFERROR(__xludf.DUMMYFUNCTION("""COMPUTED_VALUE"""),13.01177)</f>
        <v>13.01177</v>
      </c>
      <c r="E18762" s="4">
        <f>IFERROR(__xludf.DUMMYFUNCTION("""COMPUTED_VALUE"""),80.219473)</f>
        <v>80.219473</v>
      </c>
      <c r="F18762" s="4">
        <f>IFERROR(__xludf.DUMMYFUNCTION("""COMPUTED_VALUE"""),805.0)</f>
        <v>805</v>
      </c>
      <c r="G18762" s="4">
        <f>IFERROR(__xludf.DUMMYFUNCTION("""COMPUTED_VALUE"""),41.0)</f>
        <v>41</v>
      </c>
      <c r="H18762" s="4"/>
      <c r="I18762" s="4"/>
    </row>
    <row r="18763">
      <c r="A18763" s="4" t="str">
        <f>IFERROR(__xludf.DUMMYFUNCTION("""COMPUTED_VALUE"""),"cas_hmw")</f>
        <v>cas_hmw</v>
      </c>
      <c r="B18763" s="5">
        <f>IFERROR(__xludf.DUMMYFUNCTION("""COMPUTED_VALUE"""),44775.0)</f>
        <v>44775</v>
      </c>
      <c r="C18763" s="6">
        <f>IFERROR(__xludf.DUMMYFUNCTION("""COMPUTED_VALUE"""),0.7232870370353339)</f>
        <v>0.723287037</v>
      </c>
      <c r="D18763" s="4">
        <f>IFERROR(__xludf.DUMMYFUNCTION("""COMPUTED_VALUE"""),13.01177)</f>
        <v>13.01177</v>
      </c>
      <c r="E18763" s="4">
        <f>IFERROR(__xludf.DUMMYFUNCTION("""COMPUTED_VALUE"""),80.219473)</f>
        <v>80.219473</v>
      </c>
      <c r="F18763" s="4">
        <f>IFERROR(__xludf.DUMMYFUNCTION("""COMPUTED_VALUE"""),805.0)</f>
        <v>805</v>
      </c>
      <c r="G18763" s="4">
        <f>IFERROR(__xludf.DUMMYFUNCTION("""COMPUTED_VALUE"""),41.0)</f>
        <v>41</v>
      </c>
      <c r="H18763" s="4"/>
      <c r="I18763" s="4"/>
    </row>
    <row r="18764">
      <c r="A18764" s="4" t="str">
        <f>IFERROR(__xludf.DUMMYFUNCTION("""COMPUTED_VALUE"""),"cas_hmw")</f>
        <v>cas_hmw</v>
      </c>
      <c r="B18764" s="5">
        <f>IFERROR(__xludf.DUMMYFUNCTION("""COMPUTED_VALUE"""),44775.0)</f>
        <v>44775</v>
      </c>
      <c r="C18764" s="6">
        <f>IFERROR(__xludf.DUMMYFUNCTION("""COMPUTED_VALUE"""),0.7233101851852552)</f>
        <v>0.7233101852</v>
      </c>
      <c r="D18764" s="4">
        <f>IFERROR(__xludf.DUMMYFUNCTION("""COMPUTED_VALUE"""),13.01177)</f>
        <v>13.01177</v>
      </c>
      <c r="E18764" s="4">
        <f>IFERROR(__xludf.DUMMYFUNCTION("""COMPUTED_VALUE"""),80.219473)</f>
        <v>80.219473</v>
      </c>
      <c r="F18764" s="4">
        <f>IFERROR(__xludf.DUMMYFUNCTION("""COMPUTED_VALUE"""),805.0)</f>
        <v>805</v>
      </c>
      <c r="G18764" s="4">
        <f>IFERROR(__xludf.DUMMYFUNCTION("""COMPUTED_VALUE"""),41.0)</f>
        <v>41</v>
      </c>
      <c r="H18764" s="4"/>
      <c r="I18764" s="4"/>
    </row>
    <row r="18765">
      <c r="A18765" s="4" t="str">
        <f>IFERROR(__xludf.DUMMYFUNCTION("""COMPUTED_VALUE"""),"cas_hmw")</f>
        <v>cas_hmw</v>
      </c>
      <c r="B18765" s="5">
        <f>IFERROR(__xludf.DUMMYFUNCTION("""COMPUTED_VALUE"""),44775.0)</f>
        <v>44775</v>
      </c>
      <c r="C18765" s="6">
        <f>IFERROR(__xludf.DUMMYFUNCTION("""COMPUTED_VALUE"""),0.7233912037045229)</f>
        <v>0.7233912037</v>
      </c>
      <c r="D18765" s="4">
        <f>IFERROR(__xludf.DUMMYFUNCTION("""COMPUTED_VALUE"""),13.012261)</f>
        <v>13.012261</v>
      </c>
      <c r="E18765" s="4">
        <f>IFERROR(__xludf.DUMMYFUNCTION("""COMPUTED_VALUE"""),80.22092)</f>
        <v>80.22092</v>
      </c>
      <c r="F18765" s="4">
        <f>IFERROR(__xludf.DUMMYFUNCTION("""COMPUTED_VALUE"""),805.0)</f>
        <v>805</v>
      </c>
      <c r="G18765" s="4">
        <f>IFERROR(__xludf.DUMMYFUNCTION("""COMPUTED_VALUE"""),22.0)</f>
        <v>22</v>
      </c>
      <c r="H18765" s="4"/>
      <c r="I18765" s="4"/>
    </row>
    <row r="18766">
      <c r="A18766" s="4" t="str">
        <f>IFERROR(__xludf.DUMMYFUNCTION("""COMPUTED_VALUE"""),"cas_hmw")</f>
        <v>cas_hmw</v>
      </c>
      <c r="B18766" s="5">
        <f>IFERROR(__xludf.DUMMYFUNCTION("""COMPUTED_VALUE"""),44775.0)</f>
        <v>44775</v>
      </c>
      <c r="C18766" s="6">
        <f>IFERROR(__xludf.DUMMYFUNCTION("""COMPUTED_VALUE"""),0.7234837962969323)</f>
        <v>0.7234837963</v>
      </c>
      <c r="D18766" s="4">
        <f>IFERROR(__xludf.DUMMYFUNCTION("""COMPUTED_VALUE"""),13.012261)</f>
        <v>13.012261</v>
      </c>
      <c r="E18766" s="4">
        <f>IFERROR(__xludf.DUMMYFUNCTION("""COMPUTED_VALUE"""),80.22092)</f>
        <v>80.22092</v>
      </c>
      <c r="F18766" s="4">
        <f>IFERROR(__xludf.DUMMYFUNCTION("""COMPUTED_VALUE"""),805.0)</f>
        <v>805</v>
      </c>
      <c r="G18766" s="4">
        <f>IFERROR(__xludf.DUMMYFUNCTION("""COMPUTED_VALUE"""),22.0)</f>
        <v>22</v>
      </c>
      <c r="H18766" s="4"/>
      <c r="I18766" s="4"/>
    </row>
    <row r="18767">
      <c r="A18767" s="4" t="str">
        <f>IFERROR(__xludf.DUMMYFUNCTION("""COMPUTED_VALUE"""),"cas_hmw")</f>
        <v>cas_hmw</v>
      </c>
      <c r="B18767" s="5">
        <f>IFERROR(__xludf.DUMMYFUNCTION("""COMPUTED_VALUE"""),44775.0)</f>
        <v>44775</v>
      </c>
      <c r="C18767" s="6">
        <f>IFERROR(__xludf.DUMMYFUNCTION("""COMPUTED_VALUE"""),0.7235532407394203)</f>
        <v>0.7235532407</v>
      </c>
      <c r="D18767" s="4">
        <f>IFERROR(__xludf.DUMMYFUNCTION("""COMPUTED_VALUE"""),13.012261)</f>
        <v>13.012261</v>
      </c>
      <c r="E18767" s="4">
        <f>IFERROR(__xludf.DUMMYFUNCTION("""COMPUTED_VALUE"""),80.22092)</f>
        <v>80.22092</v>
      </c>
      <c r="F18767" s="4">
        <f>IFERROR(__xludf.DUMMYFUNCTION("""COMPUTED_VALUE"""),805.0)</f>
        <v>805</v>
      </c>
      <c r="G18767" s="4">
        <f>IFERROR(__xludf.DUMMYFUNCTION("""COMPUTED_VALUE"""),22.0)</f>
        <v>22</v>
      </c>
      <c r="H18767" s="4"/>
      <c r="I18767" s="4"/>
    </row>
    <row r="18768">
      <c r="A18768" s="4" t="str">
        <f>IFERROR(__xludf.DUMMYFUNCTION("""COMPUTED_VALUE"""),"cas_hmw")</f>
        <v>cas_hmw</v>
      </c>
      <c r="B18768" s="5">
        <f>IFERROR(__xludf.DUMMYFUNCTION("""COMPUTED_VALUE"""),44775.0)</f>
        <v>44775</v>
      </c>
      <c r="C18768" s="6">
        <f>IFERROR(__xludf.DUMMYFUNCTION("""COMPUTED_VALUE"""),0.7241319444437977)</f>
        <v>0.7241319444</v>
      </c>
      <c r="D18768" s="4">
        <f>IFERROR(__xludf.DUMMYFUNCTION("""COMPUTED_VALUE"""),13.013601)</f>
        <v>13.013601</v>
      </c>
      <c r="E18768" s="4">
        <f>IFERROR(__xludf.DUMMYFUNCTION("""COMPUTED_VALUE"""),80.222988)</f>
        <v>80.222988</v>
      </c>
      <c r="F18768" s="4">
        <f>IFERROR(__xludf.DUMMYFUNCTION("""COMPUTED_VALUE"""),805.0)</f>
        <v>805</v>
      </c>
      <c r="G18768" s="4">
        <f>IFERROR(__xludf.DUMMYFUNCTION("""COMPUTED_VALUE"""),42.0)</f>
        <v>42</v>
      </c>
      <c r="H18768" s="4"/>
      <c r="I18768" s="4"/>
    </row>
    <row r="18769">
      <c r="A18769" s="4" t="str">
        <f>IFERROR(__xludf.DUMMYFUNCTION("""COMPUTED_VALUE"""),"cas_hmw")</f>
        <v>cas_hmw</v>
      </c>
      <c r="B18769" s="5">
        <f>IFERROR(__xludf.DUMMYFUNCTION("""COMPUTED_VALUE"""),44775.0)</f>
        <v>44775</v>
      </c>
      <c r="C18769" s="6">
        <f>IFERROR(__xludf.DUMMYFUNCTION("""COMPUTED_VALUE"""),0.7242361111093487)</f>
        <v>0.7242361111</v>
      </c>
      <c r="D18769" s="4">
        <f>IFERROR(__xludf.DUMMYFUNCTION("""COMPUTED_VALUE"""),13.014902)</f>
        <v>13.014902</v>
      </c>
      <c r="E18769" s="4">
        <f>IFERROR(__xludf.DUMMYFUNCTION("""COMPUTED_VALUE"""),80.224534)</f>
        <v>80.224534</v>
      </c>
      <c r="F18769" s="4">
        <f>IFERROR(__xludf.DUMMYFUNCTION("""COMPUTED_VALUE"""),805.0)</f>
        <v>805</v>
      </c>
      <c r="G18769" s="4">
        <f>IFERROR(__xludf.DUMMYFUNCTION("""COMPUTED_VALUE"""),42.0)</f>
        <v>42</v>
      </c>
      <c r="H18769" s="4"/>
      <c r="I18769" s="4"/>
    </row>
    <row r="18770">
      <c r="A18770" s="4" t="str">
        <f>IFERROR(__xludf.DUMMYFUNCTION("""COMPUTED_VALUE"""),"cas_hmw")</f>
        <v>cas_hmw</v>
      </c>
      <c r="B18770" s="5">
        <f>IFERROR(__xludf.DUMMYFUNCTION("""COMPUTED_VALUE"""),44775.0)</f>
        <v>44775</v>
      </c>
      <c r="C18770" s="6">
        <f>IFERROR(__xludf.DUMMYFUNCTION("""COMPUTED_VALUE"""),0.724328703705396)</f>
        <v>0.7243287037</v>
      </c>
      <c r="D18770" s="4">
        <f>IFERROR(__xludf.DUMMYFUNCTION("""COMPUTED_VALUE"""),13.01562)</f>
        <v>13.01562</v>
      </c>
      <c r="E18770" s="4">
        <f>IFERROR(__xludf.DUMMYFUNCTION("""COMPUTED_VALUE"""),80.22514)</f>
        <v>80.22514</v>
      </c>
      <c r="F18770" s="4">
        <f>IFERROR(__xludf.DUMMYFUNCTION("""COMPUTED_VALUE"""),5339.0)</f>
        <v>5339</v>
      </c>
      <c r="G18770" s="4">
        <f>IFERROR(__xludf.DUMMYFUNCTION("""COMPUTED_VALUE"""),26.0)</f>
        <v>26</v>
      </c>
      <c r="H18770" s="4"/>
      <c r="I18770" s="4"/>
    </row>
    <row r="18771">
      <c r="A18771" s="4" t="str">
        <f>IFERROR(__xludf.DUMMYFUNCTION("""COMPUTED_VALUE"""),"cas_hmw")</f>
        <v>cas_hmw</v>
      </c>
      <c r="B18771" s="5">
        <f>IFERROR(__xludf.DUMMYFUNCTION("""COMPUTED_VALUE"""),44775.0)</f>
        <v>44775</v>
      </c>
      <c r="C18771" s="6">
        <f>IFERROR(__xludf.DUMMYFUNCTION("""COMPUTED_VALUE"""),0.7243518518516794)</f>
        <v>0.7243518519</v>
      </c>
      <c r="D18771" s="4">
        <f>IFERROR(__xludf.DUMMYFUNCTION("""COMPUTED_VALUE"""),13.015408)</f>
        <v>13.015408</v>
      </c>
      <c r="E18771" s="4">
        <f>IFERROR(__xludf.DUMMYFUNCTION("""COMPUTED_VALUE"""),80.225136)</f>
        <v>80.225136</v>
      </c>
      <c r="F18771" s="4">
        <f>IFERROR(__xludf.DUMMYFUNCTION("""COMPUTED_VALUE"""),805.0)</f>
        <v>805</v>
      </c>
      <c r="G18771" s="4">
        <f>IFERROR(__xludf.DUMMYFUNCTION("""COMPUTED_VALUE"""),14.0)</f>
        <v>14</v>
      </c>
      <c r="H18771" s="4"/>
      <c r="I18771" s="4"/>
    </row>
    <row r="18772">
      <c r="A18772" s="4" t="str">
        <f>IFERROR(__xludf.DUMMYFUNCTION("""COMPUTED_VALUE"""),"cas_hmw")</f>
        <v>cas_hmw</v>
      </c>
      <c r="B18772" s="5">
        <f>IFERROR(__xludf.DUMMYFUNCTION("""COMPUTED_VALUE"""),44775.0)</f>
        <v>44775</v>
      </c>
      <c r="C18772" s="6">
        <f>IFERROR(__xludf.DUMMYFUNCTION("""COMPUTED_VALUE"""),0.7247800925943011)</f>
        <v>0.7247800926</v>
      </c>
      <c r="D18772" s="4">
        <f>IFERROR(__xludf.DUMMYFUNCTION("""COMPUTED_VALUE"""),13.013874)</f>
        <v>13.013874</v>
      </c>
      <c r="E18772" s="4">
        <f>IFERROR(__xludf.DUMMYFUNCTION("""COMPUTED_VALUE"""),80.226352)</f>
        <v>80.226352</v>
      </c>
      <c r="F18772" s="4">
        <f>IFERROR(__xludf.DUMMYFUNCTION("""COMPUTED_VALUE"""),805.0)</f>
        <v>805</v>
      </c>
      <c r="G18772" s="4">
        <f>IFERROR(__xludf.DUMMYFUNCTION("""COMPUTED_VALUE"""),38.0)</f>
        <v>38</v>
      </c>
      <c r="H18772" s="4"/>
      <c r="I18772" s="4"/>
    </row>
    <row r="18773">
      <c r="A18773" s="4" t="str">
        <f>IFERROR(__xludf.DUMMYFUNCTION("""COMPUTED_VALUE"""),"cas_hmw")</f>
        <v>cas_hmw</v>
      </c>
      <c r="B18773" s="5">
        <f>IFERROR(__xludf.DUMMYFUNCTION("""COMPUTED_VALUE"""),44775.0)</f>
        <v>44775</v>
      </c>
      <c r="C18773" s="6">
        <f>IFERROR(__xludf.DUMMYFUNCTION("""COMPUTED_VALUE"""),0.7249768518522615)</f>
        <v>0.7249768519</v>
      </c>
      <c r="D18773" s="4">
        <f>IFERROR(__xludf.DUMMYFUNCTION("""COMPUTED_VALUE"""),13.019849)</f>
        <v>13.019849</v>
      </c>
      <c r="E18773" s="4">
        <f>IFERROR(__xludf.DUMMYFUNCTION("""COMPUTED_VALUE"""),80.224605)</f>
        <v>80.224605</v>
      </c>
      <c r="F18773" s="4">
        <f>IFERROR(__xludf.DUMMYFUNCTION("""COMPUTED_VALUE"""),5339.0)</f>
        <v>5339</v>
      </c>
      <c r="G18773" s="4">
        <f>IFERROR(__xludf.DUMMYFUNCTION("""COMPUTED_VALUE"""),21.0)</f>
        <v>21</v>
      </c>
      <c r="H18773" s="4"/>
      <c r="I18773" s="4"/>
    </row>
    <row r="18774">
      <c r="A18774" s="4" t="str">
        <f>IFERROR(__xludf.DUMMYFUNCTION("""COMPUTED_VALUE"""),"cas_hmw")</f>
        <v>cas_hmw</v>
      </c>
      <c r="B18774" s="5">
        <f>IFERROR(__xludf.DUMMYFUNCTION("""COMPUTED_VALUE"""),44775.0)</f>
        <v>44775</v>
      </c>
      <c r="C18774" s="6">
        <f>IFERROR(__xludf.DUMMYFUNCTION("""COMPUTED_VALUE"""),0.7249884259254031)</f>
        <v>0.7249884259</v>
      </c>
      <c r="D18774" s="4">
        <f>IFERROR(__xludf.DUMMYFUNCTION("""COMPUTED_VALUE"""),13.019849)</f>
        <v>13.019849</v>
      </c>
      <c r="E18774" s="4">
        <f>IFERROR(__xludf.DUMMYFUNCTION("""COMPUTED_VALUE"""),80.224605)</f>
        <v>80.224605</v>
      </c>
      <c r="F18774" s="4">
        <f>IFERROR(__xludf.DUMMYFUNCTION("""COMPUTED_VALUE"""),5339.0)</f>
        <v>5339</v>
      </c>
      <c r="G18774" s="4">
        <f>IFERROR(__xludf.DUMMYFUNCTION("""COMPUTED_VALUE"""),21.0)</f>
        <v>21</v>
      </c>
      <c r="H18774" s="4"/>
      <c r="I18774" s="4"/>
    </row>
    <row r="18775">
      <c r="A18775" s="4" t="str">
        <f>IFERROR(__xludf.DUMMYFUNCTION("""COMPUTED_VALUE"""),"cas_hmw")</f>
        <v>cas_hmw</v>
      </c>
      <c r="B18775" s="5">
        <f>IFERROR(__xludf.DUMMYFUNCTION("""COMPUTED_VALUE"""),44775.0)</f>
        <v>44775</v>
      </c>
      <c r="C18775" s="6">
        <f>IFERROR(__xludf.DUMMYFUNCTION("""COMPUTED_VALUE"""),0.7255902777760639)</f>
        <v>0.7255902778</v>
      </c>
      <c r="D18775" s="4">
        <f>IFERROR(__xludf.DUMMYFUNCTION("""COMPUTED_VALUE"""),13.023347)</f>
        <v>13.023347</v>
      </c>
      <c r="E18775" s="4">
        <f>IFERROR(__xludf.DUMMYFUNCTION("""COMPUTED_VALUE"""),80.227367)</f>
        <v>80.227367</v>
      </c>
      <c r="F18775" s="4">
        <f>IFERROR(__xludf.DUMMYFUNCTION("""COMPUTED_VALUE"""),5339.0)</f>
        <v>5339</v>
      </c>
      <c r="G18775" s="4">
        <f>IFERROR(__xludf.DUMMYFUNCTION("""COMPUTED_VALUE"""),38.0)</f>
        <v>38</v>
      </c>
      <c r="H18775" s="4"/>
      <c r="I18775" s="4"/>
    </row>
    <row r="18776">
      <c r="A18776" s="4" t="str">
        <f>IFERROR(__xludf.DUMMYFUNCTION("""COMPUTED_VALUE"""),"cas_hmw")</f>
        <v>cas_hmw</v>
      </c>
      <c r="B18776" s="5">
        <f>IFERROR(__xludf.DUMMYFUNCTION("""COMPUTED_VALUE"""),44775.0)</f>
        <v>44775</v>
      </c>
      <c r="C18776" s="6">
        <f>IFERROR(__xludf.DUMMYFUNCTION("""COMPUTED_VALUE"""),0.7264004629614647)</f>
        <v>0.726400463</v>
      </c>
      <c r="D18776" s="4">
        <f>IFERROR(__xludf.DUMMYFUNCTION("""COMPUTED_VALUE"""),13.024742)</f>
        <v>13.024742</v>
      </c>
      <c r="E18776" s="4">
        <f>IFERROR(__xludf.DUMMYFUNCTION("""COMPUTED_VALUE"""),80.22903)</f>
        <v>80.22903</v>
      </c>
      <c r="F18776" s="4">
        <f>IFERROR(__xludf.DUMMYFUNCTION("""COMPUTED_VALUE"""),5339.0)</f>
        <v>5339</v>
      </c>
      <c r="G18776" s="4">
        <f>IFERROR(__xludf.DUMMYFUNCTION("""COMPUTED_VALUE"""),28.0)</f>
        <v>28</v>
      </c>
      <c r="H18776" s="4"/>
      <c r="I18776" s="4"/>
    </row>
    <row r="18777">
      <c r="A18777" s="4" t="str">
        <f>IFERROR(__xludf.DUMMYFUNCTION("""COMPUTED_VALUE"""),"cas_hmw")</f>
        <v>cas_hmw</v>
      </c>
      <c r="B18777" s="5">
        <f>IFERROR(__xludf.DUMMYFUNCTION("""COMPUTED_VALUE"""),44775.0)</f>
        <v>44775</v>
      </c>
      <c r="C18777" s="6">
        <f>IFERROR(__xludf.DUMMYFUNCTION("""COMPUTED_VALUE"""),0.7275000000008731)</f>
        <v>0.7275</v>
      </c>
      <c r="D18777" s="4">
        <f>IFERROR(__xludf.DUMMYFUNCTION("""COMPUTED_VALUE"""),13.007013)</f>
        <v>13.007013</v>
      </c>
      <c r="E18777" s="4">
        <f>IFERROR(__xludf.DUMMYFUNCTION("""COMPUTED_VALUE"""),80.239402)</f>
        <v>80.239402</v>
      </c>
      <c r="F18777" s="4">
        <f>IFERROR(__xludf.DUMMYFUNCTION("""COMPUTED_VALUE"""),805.0)</f>
        <v>805</v>
      </c>
      <c r="G18777" s="4">
        <f>IFERROR(__xludf.DUMMYFUNCTION("""COMPUTED_VALUE"""),21.0)</f>
        <v>21</v>
      </c>
      <c r="H18777" s="4"/>
      <c r="I18777" s="4"/>
    </row>
    <row r="18778">
      <c r="A18778" s="4" t="str">
        <f>IFERROR(__xludf.DUMMYFUNCTION("""COMPUTED_VALUE"""),"cas_hmw")</f>
        <v>cas_hmw</v>
      </c>
      <c r="B18778" s="5">
        <f>IFERROR(__xludf.DUMMYFUNCTION("""COMPUTED_VALUE"""),44775.0)</f>
        <v>44775</v>
      </c>
      <c r="C18778" s="6">
        <f>IFERROR(__xludf.DUMMYFUNCTION("""COMPUTED_VALUE"""),0.7279282407398568)</f>
        <v>0.7279282407</v>
      </c>
      <c r="D18778" s="4">
        <f>IFERROR(__xludf.DUMMYFUNCTION("""COMPUTED_VALUE"""),13.006702)</f>
        <v>13.006702</v>
      </c>
      <c r="E18778" s="4">
        <f>IFERROR(__xludf.DUMMYFUNCTION("""COMPUTED_VALUE"""),80.241125)</f>
        <v>80.241125</v>
      </c>
      <c r="F18778" s="4">
        <f>IFERROR(__xludf.DUMMYFUNCTION("""COMPUTED_VALUE"""),805.0)</f>
        <v>805</v>
      </c>
      <c r="G18778" s="4">
        <f>IFERROR(__xludf.DUMMYFUNCTION("""COMPUTED_VALUE"""),24.0)</f>
        <v>24</v>
      </c>
      <c r="H18778" s="4"/>
      <c r="I18778" s="4"/>
    </row>
    <row r="18779">
      <c r="A18779" s="4" t="str">
        <f>IFERROR(__xludf.DUMMYFUNCTION("""COMPUTED_VALUE"""),"cas_hmw")</f>
        <v>cas_hmw</v>
      </c>
      <c r="B18779" s="5">
        <f>IFERROR(__xludf.DUMMYFUNCTION("""COMPUTED_VALUE"""),44775.0)</f>
        <v>44775</v>
      </c>
      <c r="C18779" s="6">
        <f>IFERROR(__xludf.DUMMYFUNCTION("""COMPUTED_VALUE"""),0.7280439814821875)</f>
        <v>0.7280439815</v>
      </c>
      <c r="D18779" s="4">
        <f>IFERROR(__xludf.DUMMYFUNCTION("""COMPUTED_VALUE"""),13.027578)</f>
        <v>13.027578</v>
      </c>
      <c r="E18779" s="4">
        <f>IFERROR(__xludf.DUMMYFUNCTION("""COMPUTED_VALUE"""),80.234602)</f>
        <v>80.234602</v>
      </c>
      <c r="F18779" s="4">
        <f>IFERROR(__xludf.DUMMYFUNCTION("""COMPUTED_VALUE"""),5339.0)</f>
        <v>5339</v>
      </c>
      <c r="G18779" s="4">
        <f>IFERROR(__xludf.DUMMYFUNCTION("""COMPUTED_VALUE"""),34.0)</f>
        <v>34</v>
      </c>
      <c r="H18779" s="4"/>
      <c r="I18779" s="4"/>
    </row>
    <row r="18780">
      <c r="A18780" s="4" t="str">
        <f>IFERROR(__xludf.DUMMYFUNCTION("""COMPUTED_VALUE"""),"cas_hmw")</f>
        <v>cas_hmw</v>
      </c>
      <c r="B18780" s="5">
        <f>IFERROR(__xludf.DUMMYFUNCTION("""COMPUTED_VALUE"""),44775.0)</f>
        <v>44775</v>
      </c>
      <c r="C18780" s="6">
        <f>IFERROR(__xludf.DUMMYFUNCTION("""COMPUTED_VALUE"""),0.7281134259246755)</f>
        <v>0.7281134259</v>
      </c>
      <c r="D18780" s="4">
        <f>IFERROR(__xludf.DUMMYFUNCTION("""COMPUTED_VALUE"""),13.027578)</f>
        <v>13.027578</v>
      </c>
      <c r="E18780" s="4">
        <f>IFERROR(__xludf.DUMMYFUNCTION("""COMPUTED_VALUE"""),80.234602)</f>
        <v>80.234602</v>
      </c>
      <c r="F18780" s="4">
        <f>IFERROR(__xludf.DUMMYFUNCTION("""COMPUTED_VALUE"""),5339.0)</f>
        <v>5339</v>
      </c>
      <c r="G18780" s="4">
        <f>IFERROR(__xludf.DUMMYFUNCTION("""COMPUTED_VALUE"""),34.0)</f>
        <v>34</v>
      </c>
      <c r="H18780" s="4"/>
      <c r="I18780" s="4"/>
    </row>
    <row r="18781">
      <c r="A18781" s="4" t="str">
        <f>IFERROR(__xludf.DUMMYFUNCTION("""COMPUTED_VALUE"""),"cas_hmw")</f>
        <v>cas_hmw</v>
      </c>
      <c r="B18781" s="5">
        <f>IFERROR(__xludf.DUMMYFUNCTION("""COMPUTED_VALUE"""),44775.0)</f>
        <v>44775</v>
      </c>
      <c r="C18781" s="6">
        <f>IFERROR(__xludf.DUMMYFUNCTION("""COMPUTED_VALUE"""),0.7282754629632109)</f>
        <v>0.728275463</v>
      </c>
      <c r="D18781" s="4">
        <f>IFERROR(__xludf.DUMMYFUNCTION("""COMPUTED_VALUE"""),13.028664)</f>
        <v>13.028664</v>
      </c>
      <c r="E18781" s="4">
        <f>IFERROR(__xludf.DUMMYFUNCTION("""COMPUTED_VALUE"""),80.23617)</f>
        <v>80.23617</v>
      </c>
      <c r="F18781" s="4">
        <f>IFERROR(__xludf.DUMMYFUNCTION("""COMPUTED_VALUE"""),5339.0)</f>
        <v>5339</v>
      </c>
      <c r="G18781" s="4">
        <f>IFERROR(__xludf.DUMMYFUNCTION("""COMPUTED_VALUE"""),46.0)</f>
        <v>46</v>
      </c>
      <c r="H18781" s="4"/>
      <c r="I18781" s="4"/>
    </row>
    <row r="18782">
      <c r="A18782" s="4" t="str">
        <f>IFERROR(__xludf.DUMMYFUNCTION("""COMPUTED_VALUE"""),"cas_hmw")</f>
        <v>cas_hmw</v>
      </c>
      <c r="B18782" s="5">
        <f>IFERROR(__xludf.DUMMYFUNCTION("""COMPUTED_VALUE"""),44775.0)</f>
        <v>44775</v>
      </c>
      <c r="C18782" s="6">
        <f>IFERROR(__xludf.DUMMYFUNCTION("""COMPUTED_VALUE"""),0.72886574074073)</f>
        <v>0.7288657407</v>
      </c>
      <c r="D18782" s="4">
        <f>IFERROR(__xludf.DUMMYFUNCTION("""COMPUTED_VALUE"""),13.030785)</f>
        <v>13.030785</v>
      </c>
      <c r="E18782" s="4">
        <f>IFERROR(__xludf.DUMMYFUNCTION("""COMPUTED_VALUE"""),80.239096)</f>
        <v>80.239096</v>
      </c>
      <c r="F18782" s="4">
        <f>IFERROR(__xludf.DUMMYFUNCTION("""COMPUTED_VALUE"""),5339.0)</f>
        <v>5339</v>
      </c>
      <c r="G18782" s="4">
        <f>IFERROR(__xludf.DUMMYFUNCTION("""COMPUTED_VALUE"""),34.0)</f>
        <v>34</v>
      </c>
      <c r="H18782" s="4"/>
      <c r="I18782" s="4"/>
    </row>
    <row r="18783">
      <c r="A18783" s="4" t="str">
        <f>IFERROR(__xludf.DUMMYFUNCTION("""COMPUTED_VALUE"""),"cas_hmw")</f>
        <v>cas_hmw</v>
      </c>
      <c r="B18783" s="5">
        <f>IFERROR(__xludf.DUMMYFUNCTION("""COMPUTED_VALUE"""),44775.0)</f>
        <v>44775</v>
      </c>
      <c r="C18783" s="6">
        <f>IFERROR(__xludf.DUMMYFUNCTION("""COMPUTED_VALUE"""),0.7298958333340124)</f>
        <v>0.7298958333</v>
      </c>
      <c r="D18783" s="4">
        <f>IFERROR(__xludf.DUMMYFUNCTION("""COMPUTED_VALUE"""),12.62367)</f>
        <v>12.62367</v>
      </c>
      <c r="E18783" s="4">
        <f>IFERROR(__xludf.DUMMYFUNCTION("""COMPUTED_VALUE"""),79.928463)</f>
        <v>79.928463</v>
      </c>
      <c r="F18783" s="4">
        <f>IFERROR(__xludf.DUMMYFUNCTION("""COMPUTED_VALUE"""),2846.0)</f>
        <v>2846</v>
      </c>
      <c r="G18783" s="4">
        <f>IFERROR(__xludf.DUMMYFUNCTION("""COMPUTED_VALUE"""),58.0)</f>
        <v>58</v>
      </c>
      <c r="H18783" s="4"/>
      <c r="I18783" s="4"/>
    </row>
    <row r="18784">
      <c r="A18784" s="4" t="str">
        <f>IFERROR(__xludf.DUMMYFUNCTION("""COMPUTED_VALUE"""),"cas_hmw")</f>
        <v>cas_hmw</v>
      </c>
      <c r="B18784" s="5">
        <f>IFERROR(__xludf.DUMMYFUNCTION("""COMPUTED_VALUE"""),44775.0)</f>
        <v>44775</v>
      </c>
      <c r="C18784" s="6">
        <f>IFERROR(__xludf.DUMMYFUNCTION("""COMPUTED_VALUE"""),0.7303703703692008)</f>
        <v>0.7303703704</v>
      </c>
      <c r="D18784" s="4">
        <f>IFERROR(__xludf.DUMMYFUNCTION("""COMPUTED_VALUE"""),13.006816)</f>
        <v>13.006816</v>
      </c>
      <c r="E18784" s="4">
        <f>IFERROR(__xludf.DUMMYFUNCTION("""COMPUTED_VALUE"""),80.251628)</f>
        <v>80.251628</v>
      </c>
      <c r="F18784" s="4">
        <f>IFERROR(__xludf.DUMMYFUNCTION("""COMPUTED_VALUE"""),805.0)</f>
        <v>805</v>
      </c>
      <c r="G18784" s="4">
        <f>IFERROR(__xludf.DUMMYFUNCTION("""COMPUTED_VALUE"""),17.0)</f>
        <v>17</v>
      </c>
      <c r="H18784" s="4"/>
      <c r="I18784" s="4"/>
    </row>
    <row r="18785">
      <c r="A18785" s="4" t="str">
        <f>IFERROR(__xludf.DUMMYFUNCTION("""COMPUTED_VALUE"""),"cas_hmw")</f>
        <v>cas_hmw</v>
      </c>
      <c r="B18785" s="5">
        <f>IFERROR(__xludf.DUMMYFUNCTION("""COMPUTED_VALUE"""),44775.0)</f>
        <v>44775</v>
      </c>
      <c r="C18785" s="6">
        <f>IFERROR(__xludf.DUMMYFUNCTION("""COMPUTED_VALUE"""),0.731932870370656)</f>
        <v>0.7319328704</v>
      </c>
      <c r="D18785" s="4">
        <f>IFERROR(__xludf.DUMMYFUNCTION("""COMPUTED_VALUE"""),13.007581)</f>
        <v>13.007581</v>
      </c>
      <c r="E18785" s="4">
        <f>IFERROR(__xludf.DUMMYFUNCTION("""COMPUTED_VALUE"""),80.258696)</f>
        <v>80.258696</v>
      </c>
      <c r="F18785" s="4">
        <f>IFERROR(__xludf.DUMMYFUNCTION("""COMPUTED_VALUE"""),805.0)</f>
        <v>805</v>
      </c>
      <c r="G18785" s="4">
        <f>IFERROR(__xludf.DUMMYFUNCTION("""COMPUTED_VALUE"""),0.0)</f>
        <v>0</v>
      </c>
      <c r="H18785" s="4"/>
      <c r="I18785" s="4"/>
    </row>
    <row r="18786">
      <c r="A18786" s="4" t="str">
        <f>IFERROR(__xludf.DUMMYFUNCTION("""COMPUTED_VALUE"""),"cas_hmw")</f>
        <v>cas_hmw</v>
      </c>
      <c r="B18786" s="5">
        <f>IFERROR(__xludf.DUMMYFUNCTION("""COMPUTED_VALUE"""),44775.0)</f>
        <v>44775</v>
      </c>
      <c r="C18786" s="6">
        <f>IFERROR(__xludf.DUMMYFUNCTION("""COMPUTED_VALUE"""),0.732037037036207)</f>
        <v>0.732037037</v>
      </c>
      <c r="D18786" s="4">
        <f>IFERROR(__xludf.DUMMYFUNCTION("""COMPUTED_VALUE"""),13.007732)</f>
        <v>13.007732</v>
      </c>
      <c r="E18786" s="4">
        <f>IFERROR(__xludf.DUMMYFUNCTION("""COMPUTED_VALUE"""),80.258789)</f>
        <v>80.258789</v>
      </c>
      <c r="F18786" s="4">
        <f>IFERROR(__xludf.DUMMYFUNCTION("""COMPUTED_VALUE"""),805.0)</f>
        <v>805</v>
      </c>
      <c r="G18786" s="4">
        <f>IFERROR(__xludf.DUMMYFUNCTION("""COMPUTED_VALUE"""),17.0)</f>
        <v>17</v>
      </c>
      <c r="H18786" s="4"/>
      <c r="I18786" s="4"/>
    </row>
    <row r="18787">
      <c r="A18787" s="4" t="str">
        <f>IFERROR(__xludf.DUMMYFUNCTION("""COMPUTED_VALUE"""),"cas_hmw")</f>
        <v>cas_hmw</v>
      </c>
      <c r="B18787" s="5">
        <f>IFERROR(__xludf.DUMMYFUNCTION("""COMPUTED_VALUE"""),44775.0)</f>
        <v>44775</v>
      </c>
      <c r="C18787" s="6">
        <f>IFERROR(__xludf.DUMMYFUNCTION("""COMPUTED_VALUE"""),0.7323263888902147)</f>
        <v>0.7323263889</v>
      </c>
      <c r="D18787" s="4">
        <f>IFERROR(__xludf.DUMMYFUNCTION("""COMPUTED_VALUE"""),13.009576)</f>
        <v>13.009576</v>
      </c>
      <c r="E18787" s="4">
        <f>IFERROR(__xludf.DUMMYFUNCTION("""COMPUTED_VALUE"""),80.259088)</f>
        <v>80.259088</v>
      </c>
      <c r="F18787" s="4">
        <f>IFERROR(__xludf.DUMMYFUNCTION("""COMPUTED_VALUE"""),805.0)</f>
        <v>805</v>
      </c>
      <c r="G18787" s="4">
        <f>IFERROR(__xludf.DUMMYFUNCTION("""COMPUTED_VALUE"""),38.0)</f>
        <v>38</v>
      </c>
      <c r="H18787" s="4"/>
      <c r="I18787" s="4"/>
    </row>
    <row r="18788">
      <c r="A18788" s="4" t="str">
        <f>IFERROR(__xludf.DUMMYFUNCTION("""COMPUTED_VALUE"""),"cas_hmw")</f>
        <v>cas_hmw</v>
      </c>
      <c r="B18788" s="5">
        <f>IFERROR(__xludf.DUMMYFUNCTION("""COMPUTED_VALUE"""),44775.0)</f>
        <v>44775</v>
      </c>
      <c r="C18788" s="6">
        <f>IFERROR(__xludf.DUMMYFUNCTION("""COMPUTED_VALUE"""),0.7328240740753245)</f>
        <v>0.7328240741</v>
      </c>
      <c r="D18788" s="4">
        <f>IFERROR(__xludf.DUMMYFUNCTION("""COMPUTED_VALUE"""),13.01402)</f>
        <v>13.01402</v>
      </c>
      <c r="E18788" s="4">
        <f>IFERROR(__xludf.DUMMYFUNCTION("""COMPUTED_VALUE"""),80.259194)</f>
        <v>80.259194</v>
      </c>
      <c r="F18788" s="4">
        <f>IFERROR(__xludf.DUMMYFUNCTION("""COMPUTED_VALUE"""),805.0)</f>
        <v>805</v>
      </c>
      <c r="G18788" s="4">
        <f>IFERROR(__xludf.DUMMYFUNCTION("""COMPUTED_VALUE"""),58.0)</f>
        <v>58</v>
      </c>
      <c r="H18788" s="4"/>
      <c r="I18788" s="4"/>
    </row>
    <row r="18789">
      <c r="A18789" s="4" t="str">
        <f>IFERROR(__xludf.DUMMYFUNCTION("""COMPUTED_VALUE"""),"cas_hmw")</f>
        <v>cas_hmw</v>
      </c>
      <c r="B18789" s="5">
        <f>IFERROR(__xludf.DUMMYFUNCTION("""COMPUTED_VALUE"""),44775.0)</f>
        <v>44775</v>
      </c>
      <c r="C18789" s="6">
        <f>IFERROR(__xludf.DUMMYFUNCTION("""COMPUTED_VALUE"""),0.7340509259265673)</f>
        <v>0.7340509259</v>
      </c>
      <c r="D18789" s="4">
        <f>IFERROR(__xludf.DUMMYFUNCTION("""COMPUTED_VALUE"""),12.5758)</f>
        <v>12.5758</v>
      </c>
      <c r="E18789" s="4">
        <f>IFERROR(__xludf.DUMMYFUNCTION("""COMPUTED_VALUE"""),79.917114)</f>
        <v>79.917114</v>
      </c>
      <c r="F18789" s="4">
        <f>IFERROR(__xludf.DUMMYFUNCTION("""COMPUTED_VALUE"""),2846.0)</f>
        <v>2846</v>
      </c>
      <c r="G18789" s="4">
        <f>IFERROR(__xludf.DUMMYFUNCTION("""COMPUTED_VALUE"""),58.0)</f>
        <v>58</v>
      </c>
      <c r="H18789" s="4"/>
      <c r="I18789" s="4"/>
    </row>
    <row r="18790">
      <c r="A18790" s="4" t="str">
        <f>IFERROR(__xludf.DUMMYFUNCTION("""COMPUTED_VALUE"""),"cas_hmw")</f>
        <v>cas_hmw</v>
      </c>
      <c r="B18790" s="5">
        <f>IFERROR(__xludf.DUMMYFUNCTION("""COMPUTED_VALUE"""),44775.0)</f>
        <v>44775</v>
      </c>
      <c r="C18790" s="6">
        <f>IFERROR(__xludf.DUMMYFUNCTION("""COMPUTED_VALUE"""),0.734548611111677)</f>
        <v>0.7345486111</v>
      </c>
      <c r="D18790" s="4">
        <f>IFERROR(__xludf.DUMMYFUNCTION("""COMPUTED_VALUE"""),12.568733)</f>
        <v>12.568733</v>
      </c>
      <c r="E18790" s="4">
        <f>IFERROR(__xludf.DUMMYFUNCTION("""COMPUTED_VALUE"""),79.915445)</f>
        <v>79.915445</v>
      </c>
      <c r="F18790" s="4">
        <f>IFERROR(__xludf.DUMMYFUNCTION("""COMPUTED_VALUE"""),2846.0)</f>
        <v>2846</v>
      </c>
      <c r="G18790" s="4">
        <f>IFERROR(__xludf.DUMMYFUNCTION("""COMPUTED_VALUE"""),57.0)</f>
        <v>57</v>
      </c>
      <c r="H18790" s="4"/>
      <c r="I18790" s="4"/>
    </row>
    <row r="18791">
      <c r="A18791" s="4" t="str">
        <f>IFERROR(__xludf.DUMMYFUNCTION("""COMPUTED_VALUE"""),"cas_hmw")</f>
        <v>cas_hmw</v>
      </c>
      <c r="B18791" s="5">
        <f>IFERROR(__xludf.DUMMYFUNCTION("""COMPUTED_VALUE"""),44775.0)</f>
        <v>44775</v>
      </c>
      <c r="C18791" s="6">
        <f>IFERROR(__xludf.DUMMYFUNCTION("""COMPUTED_VALUE"""),0.7377083333340124)</f>
        <v>0.7377083333</v>
      </c>
      <c r="D18791" s="4">
        <f>IFERROR(__xludf.DUMMYFUNCTION("""COMPUTED_VALUE"""),13.054792)</f>
        <v>13.054792</v>
      </c>
      <c r="E18791" s="4">
        <f>IFERROR(__xludf.DUMMYFUNCTION("""COMPUTED_VALUE"""),80.254307)</f>
        <v>80.254307</v>
      </c>
      <c r="F18791" s="4">
        <f>IFERROR(__xludf.DUMMYFUNCTION("""COMPUTED_VALUE"""),5339.0)</f>
        <v>5339</v>
      </c>
      <c r="G18791" s="4">
        <f>IFERROR(__xludf.DUMMYFUNCTION("""COMPUTED_VALUE"""),34.0)</f>
        <v>34</v>
      </c>
      <c r="H18791" s="4"/>
      <c r="I18791" s="4"/>
    </row>
    <row r="18792">
      <c r="A18792" s="4" t="str">
        <f>IFERROR(__xludf.DUMMYFUNCTION("""COMPUTED_VALUE"""),"cas_hmw")</f>
        <v>cas_hmw</v>
      </c>
      <c r="B18792" s="5">
        <f>IFERROR(__xludf.DUMMYFUNCTION("""COMPUTED_VALUE"""),44775.0)</f>
        <v>44775</v>
      </c>
      <c r="C18792" s="6">
        <f>IFERROR(__xludf.DUMMYFUNCTION("""COMPUTED_VALUE"""),0.7379398148150358)</f>
        <v>0.7379398148</v>
      </c>
      <c r="D18792" s="4">
        <f>IFERROR(__xludf.DUMMYFUNCTION("""COMPUTED_VALUE"""),13.056312)</f>
        <v>13.056312</v>
      </c>
      <c r="E18792" s="4">
        <f>IFERROR(__xludf.DUMMYFUNCTION("""COMPUTED_VALUE"""),80.256341)</f>
        <v>80.256341</v>
      </c>
      <c r="F18792" s="4">
        <f>IFERROR(__xludf.DUMMYFUNCTION("""COMPUTED_VALUE"""),5339.0)</f>
        <v>5339</v>
      </c>
      <c r="G18792" s="4">
        <f>IFERROR(__xludf.DUMMYFUNCTION("""COMPUTED_VALUE"""),30.0)</f>
        <v>30</v>
      </c>
      <c r="H18792" s="4"/>
      <c r="I18792" s="4"/>
    </row>
    <row r="18793">
      <c r="A18793" s="4" t="str">
        <f>IFERROR(__xludf.DUMMYFUNCTION("""COMPUTED_VALUE"""),"cas_hmw")</f>
        <v>cas_hmw</v>
      </c>
      <c r="B18793" s="5">
        <f>IFERROR(__xludf.DUMMYFUNCTION("""COMPUTED_VALUE"""),44775.0)</f>
        <v>44775</v>
      </c>
      <c r="C18793" s="6">
        <f>IFERROR(__xludf.DUMMYFUNCTION("""COMPUTED_VALUE"""),0.7379513888881775)</f>
        <v>0.7379513889</v>
      </c>
      <c r="D18793" s="4">
        <f>IFERROR(__xludf.DUMMYFUNCTION("""COMPUTED_VALUE"""),13.056312)</f>
        <v>13.056312</v>
      </c>
      <c r="E18793" s="4">
        <f>IFERROR(__xludf.DUMMYFUNCTION("""COMPUTED_VALUE"""),80.256341)</f>
        <v>80.256341</v>
      </c>
      <c r="F18793" s="4">
        <f>IFERROR(__xludf.DUMMYFUNCTION("""COMPUTED_VALUE"""),5339.0)</f>
        <v>5339</v>
      </c>
      <c r="G18793" s="4">
        <f>IFERROR(__xludf.DUMMYFUNCTION("""COMPUTED_VALUE"""),30.0)</f>
        <v>30</v>
      </c>
      <c r="H18793" s="4"/>
      <c r="I18793" s="4"/>
    </row>
    <row r="18794">
      <c r="A18794" s="4" t="str">
        <f>IFERROR(__xludf.DUMMYFUNCTION("""COMPUTED_VALUE"""),"cas_hmw")</f>
        <v>cas_hmw</v>
      </c>
      <c r="B18794" s="5">
        <f>IFERROR(__xludf.DUMMYFUNCTION("""COMPUTED_VALUE"""),44775.0)</f>
        <v>44775</v>
      </c>
      <c r="C18794" s="6">
        <f>IFERROR(__xludf.DUMMYFUNCTION("""COMPUTED_VALUE"""),0.7385069444426335)</f>
        <v>0.7385069444</v>
      </c>
      <c r="D18794" s="4">
        <f>IFERROR(__xludf.DUMMYFUNCTION("""COMPUTED_VALUE"""),13.029533)</f>
        <v>13.029533</v>
      </c>
      <c r="E18794" s="4">
        <f>IFERROR(__xludf.DUMMYFUNCTION("""COMPUTED_VALUE"""),80.266559)</f>
        <v>80.266559</v>
      </c>
      <c r="F18794" s="4">
        <f>IFERROR(__xludf.DUMMYFUNCTION("""COMPUTED_VALUE"""),805.0)</f>
        <v>805</v>
      </c>
      <c r="G18794" s="4">
        <f>IFERROR(__xludf.DUMMYFUNCTION("""COMPUTED_VALUE"""),20.0)</f>
        <v>20</v>
      </c>
      <c r="H18794" s="4"/>
      <c r="I18794" s="4"/>
    </row>
    <row r="18795">
      <c r="A18795" s="4" t="str">
        <f>IFERROR(__xludf.DUMMYFUNCTION("""COMPUTED_VALUE"""),"cas_hmw")</f>
        <v>cas_hmw</v>
      </c>
      <c r="B18795" s="5">
        <f>IFERROR(__xludf.DUMMYFUNCTION("""COMPUTED_VALUE"""),44775.0)</f>
        <v>44775</v>
      </c>
      <c r="C18795" s="6">
        <f>IFERROR(__xludf.DUMMYFUNCTION("""COMPUTED_VALUE"""),0.7385416666656965)</f>
        <v>0.7385416667</v>
      </c>
      <c r="D18795" s="4">
        <f>IFERROR(__xludf.DUMMYFUNCTION("""COMPUTED_VALUE"""),12.98872)</f>
        <v>12.98872</v>
      </c>
      <c r="E18795" s="4">
        <f>IFERROR(__xludf.DUMMYFUNCTION("""COMPUTED_VALUE"""),80.117623)</f>
        <v>80.117623</v>
      </c>
      <c r="F18795" s="4">
        <f>IFERROR(__xludf.DUMMYFUNCTION("""COMPUTED_VALUE"""),3143.0)</f>
        <v>3143</v>
      </c>
      <c r="G18795" s="4">
        <f>IFERROR(__xludf.DUMMYFUNCTION("""COMPUTED_VALUE"""),25.0)</f>
        <v>25</v>
      </c>
      <c r="H18795" s="4"/>
      <c r="I18795" s="4"/>
    </row>
    <row r="18796">
      <c r="A18796" s="4" t="str">
        <f>IFERROR(__xludf.DUMMYFUNCTION("""COMPUTED_VALUE"""),"cas_hmw")</f>
        <v>cas_hmw</v>
      </c>
      <c r="B18796" s="5">
        <f>IFERROR(__xludf.DUMMYFUNCTION("""COMPUTED_VALUE"""),44775.0)</f>
        <v>44775</v>
      </c>
      <c r="C18796" s="6">
        <f>IFERROR(__xludf.DUMMYFUNCTION("""COMPUTED_VALUE"""),0.7393402777779556)</f>
        <v>0.7393402778</v>
      </c>
      <c r="D18796" s="4">
        <f>IFERROR(__xludf.DUMMYFUNCTION("""COMPUTED_VALUE"""),12.52031)</f>
        <v>12.52031</v>
      </c>
      <c r="E18796" s="4">
        <f>IFERROR(__xludf.DUMMYFUNCTION("""COMPUTED_VALUE"""),79.893919)</f>
        <v>79.893919</v>
      </c>
      <c r="F18796" s="4">
        <f>IFERROR(__xludf.DUMMYFUNCTION("""COMPUTED_VALUE"""),2846.0)</f>
        <v>2846</v>
      </c>
      <c r="G18796" s="4">
        <f>IFERROR(__xludf.DUMMYFUNCTION("""COMPUTED_VALUE"""),57.0)</f>
        <v>57</v>
      </c>
      <c r="H18796" s="4"/>
      <c r="I18796" s="4"/>
    </row>
    <row r="18797">
      <c r="A18797" s="4" t="str">
        <f>IFERROR(__xludf.DUMMYFUNCTION("""COMPUTED_VALUE"""),"cas_hmw")</f>
        <v>cas_hmw</v>
      </c>
      <c r="B18797" s="5">
        <f>IFERROR(__xludf.DUMMYFUNCTION("""COMPUTED_VALUE"""),44775.0)</f>
        <v>44775</v>
      </c>
      <c r="C18797" s="6">
        <f>IFERROR(__xludf.DUMMYFUNCTION("""COMPUTED_VALUE"""),0.7399768518516794)</f>
        <v>0.7399768519</v>
      </c>
      <c r="D18797" s="4">
        <f>IFERROR(__xludf.DUMMYFUNCTION("""COMPUTED_VALUE"""),12.995747)</f>
        <v>12.995747</v>
      </c>
      <c r="E18797" s="4">
        <f>IFERROR(__xludf.DUMMYFUNCTION("""COMPUTED_VALUE"""),80.110453)</f>
        <v>80.110453</v>
      </c>
      <c r="F18797" s="4">
        <f>IFERROR(__xludf.DUMMYFUNCTION("""COMPUTED_VALUE"""),3143.0)</f>
        <v>3143</v>
      </c>
      <c r="G18797" s="4">
        <f>IFERROR(__xludf.DUMMYFUNCTION("""COMPUTED_VALUE"""),43.0)</f>
        <v>43</v>
      </c>
      <c r="H18797" s="4"/>
      <c r="I18797" s="4"/>
    </row>
    <row r="18798">
      <c r="A18798" s="4" t="str">
        <f>IFERROR(__xludf.DUMMYFUNCTION("""COMPUTED_VALUE"""),"cas_hmw")</f>
        <v>cas_hmw</v>
      </c>
      <c r="B18798" s="5">
        <f>IFERROR(__xludf.DUMMYFUNCTION("""COMPUTED_VALUE"""),44775.0)</f>
        <v>44775</v>
      </c>
      <c r="C18798" s="6">
        <f>IFERROR(__xludf.DUMMYFUNCTION("""COMPUTED_VALUE"""),0.7420601851845277)</f>
        <v>0.7420601852</v>
      </c>
      <c r="D18798" s="4">
        <f>IFERROR(__xludf.DUMMYFUNCTION("""COMPUTED_VALUE"""),13.036681)</f>
        <v>13.036681</v>
      </c>
      <c r="E18798" s="4">
        <f>IFERROR(__xludf.DUMMYFUNCTION("""COMPUTED_VALUE"""),80.267572)</f>
        <v>80.267572</v>
      </c>
      <c r="F18798" s="4">
        <f>IFERROR(__xludf.DUMMYFUNCTION("""COMPUTED_VALUE"""),805.0)</f>
        <v>805</v>
      </c>
      <c r="G18798" s="4">
        <f>IFERROR(__xludf.DUMMYFUNCTION("""COMPUTED_VALUE"""),9.0)</f>
        <v>9</v>
      </c>
      <c r="H18798" s="4"/>
      <c r="I18798" s="4"/>
    </row>
    <row r="18799">
      <c r="A18799" s="4" t="str">
        <f>IFERROR(__xludf.DUMMYFUNCTION("""COMPUTED_VALUE"""),"cas_hmw")</f>
        <v>cas_hmw</v>
      </c>
      <c r="B18799" s="5">
        <f>IFERROR(__xludf.DUMMYFUNCTION("""COMPUTED_VALUE"""),44775.0)</f>
        <v>44775</v>
      </c>
      <c r="C18799" s="6">
        <f>IFERROR(__xludf.DUMMYFUNCTION("""COMPUTED_VALUE"""),0.7420717592576693)</f>
        <v>0.7420717593</v>
      </c>
      <c r="D18799" s="4">
        <f>IFERROR(__xludf.DUMMYFUNCTION("""COMPUTED_VALUE"""),13.036681)</f>
        <v>13.036681</v>
      </c>
      <c r="E18799" s="4">
        <f>IFERROR(__xludf.DUMMYFUNCTION("""COMPUTED_VALUE"""),80.267572)</f>
        <v>80.267572</v>
      </c>
      <c r="F18799" s="4">
        <f>IFERROR(__xludf.DUMMYFUNCTION("""COMPUTED_VALUE"""),805.0)</f>
        <v>805</v>
      </c>
      <c r="G18799" s="4">
        <f>IFERROR(__xludf.DUMMYFUNCTION("""COMPUTED_VALUE"""),9.0)</f>
        <v>9</v>
      </c>
      <c r="H18799" s="4"/>
      <c r="I18799" s="4"/>
    </row>
    <row r="18800">
      <c r="A18800" s="4" t="str">
        <f>IFERROR(__xludf.DUMMYFUNCTION("""COMPUTED_VALUE"""),"cas_hmw")</f>
        <v>cas_hmw</v>
      </c>
      <c r="B18800" s="5">
        <f>IFERROR(__xludf.DUMMYFUNCTION("""COMPUTED_VALUE"""),44775.0)</f>
        <v>44775</v>
      </c>
      <c r="C18800" s="6">
        <f>IFERROR(__xludf.DUMMYFUNCTION("""COMPUTED_VALUE"""),0.7420717592576693)</f>
        <v>0.7420717593</v>
      </c>
      <c r="D18800" s="4">
        <f>IFERROR(__xludf.DUMMYFUNCTION("""COMPUTED_VALUE"""),13.036681)</f>
        <v>13.036681</v>
      </c>
      <c r="E18800" s="4">
        <f>IFERROR(__xludf.DUMMYFUNCTION("""COMPUTED_VALUE"""),80.267572)</f>
        <v>80.267572</v>
      </c>
      <c r="F18800" s="4">
        <f>IFERROR(__xludf.DUMMYFUNCTION("""COMPUTED_VALUE"""),805.0)</f>
        <v>805</v>
      </c>
      <c r="G18800" s="4">
        <f>IFERROR(__xludf.DUMMYFUNCTION("""COMPUTED_VALUE"""),9.0)</f>
        <v>9</v>
      </c>
      <c r="H18800" s="4"/>
      <c r="I18800" s="4"/>
    </row>
    <row r="18801">
      <c r="A18801" s="4" t="str">
        <f>IFERROR(__xludf.DUMMYFUNCTION("""COMPUTED_VALUE"""),"cas_hmw")</f>
        <v>cas_hmw</v>
      </c>
      <c r="B18801" s="5">
        <f>IFERROR(__xludf.DUMMYFUNCTION("""COMPUTED_VALUE"""),44775.0)</f>
        <v>44775</v>
      </c>
      <c r="C18801" s="6">
        <f>IFERROR(__xludf.DUMMYFUNCTION("""COMPUTED_VALUE"""),0.7452546296299261)</f>
        <v>0.7452546296</v>
      </c>
      <c r="D18801" s="4">
        <f>IFERROR(__xludf.DUMMYFUNCTION("""COMPUTED_VALUE"""),13.006802)</f>
        <v>13.006802</v>
      </c>
      <c r="E18801" s="4">
        <f>IFERROR(__xludf.DUMMYFUNCTION("""COMPUTED_VALUE"""),80.100461)</f>
        <v>80.100461</v>
      </c>
      <c r="F18801" s="4">
        <f>IFERROR(__xludf.DUMMYFUNCTION("""COMPUTED_VALUE"""),3143.0)</f>
        <v>3143</v>
      </c>
      <c r="G18801" s="4">
        <f>IFERROR(__xludf.DUMMYFUNCTION("""COMPUTED_VALUE"""),12.0)</f>
        <v>12</v>
      </c>
      <c r="H18801" s="4"/>
      <c r="I18801" s="4"/>
    </row>
    <row r="18802">
      <c r="A18802" s="4" t="str">
        <f>IFERROR(__xludf.DUMMYFUNCTION("""COMPUTED_VALUE"""),"cas_hmw")</f>
        <v>cas_hmw</v>
      </c>
      <c r="B18802" s="5">
        <f>IFERROR(__xludf.DUMMYFUNCTION("""COMPUTED_VALUE"""),44775.0)</f>
        <v>44775</v>
      </c>
      <c r="C18802" s="6">
        <f>IFERROR(__xludf.DUMMYFUNCTION("""COMPUTED_VALUE"""),0.7481481481481751)</f>
        <v>0.7481481481</v>
      </c>
      <c r="D18802" s="4">
        <f>IFERROR(__xludf.DUMMYFUNCTION("""COMPUTED_VALUE"""),13.022402)</f>
        <v>13.022402</v>
      </c>
      <c r="E18802" s="4">
        <f>IFERROR(__xludf.DUMMYFUNCTION("""COMPUTED_VALUE"""),80.106718)</f>
        <v>80.106718</v>
      </c>
      <c r="F18802" s="4">
        <f>IFERROR(__xludf.DUMMYFUNCTION("""COMPUTED_VALUE"""),3143.0)</f>
        <v>3143</v>
      </c>
      <c r="G18802" s="4">
        <f>IFERROR(__xludf.DUMMYFUNCTION("""COMPUTED_VALUE"""),15.0)</f>
        <v>15</v>
      </c>
      <c r="H18802" s="4"/>
      <c r="I18802" s="4"/>
    </row>
    <row r="18803">
      <c r="A18803" s="4" t="str">
        <f>IFERROR(__xludf.DUMMYFUNCTION("""COMPUTED_VALUE"""),"cas_hmw")</f>
        <v>cas_hmw</v>
      </c>
      <c r="B18803" s="5">
        <f>IFERROR(__xludf.DUMMYFUNCTION("""COMPUTED_VALUE"""),44775.0)</f>
        <v>44775</v>
      </c>
      <c r="C18803" s="6">
        <f>IFERROR(__xludf.DUMMYFUNCTION("""COMPUTED_VALUE"""),0.7487731481487572)</f>
        <v>0.7487731481</v>
      </c>
      <c r="D18803" s="4">
        <f>IFERROR(__xludf.DUMMYFUNCTION("""COMPUTED_VALUE"""),13.067303)</f>
        <v>13.067303</v>
      </c>
      <c r="E18803" s="4">
        <f>IFERROR(__xludf.DUMMYFUNCTION("""COMPUTED_VALUE"""),80.272982)</f>
        <v>80.272982</v>
      </c>
      <c r="F18803" s="4">
        <f>IFERROR(__xludf.DUMMYFUNCTION("""COMPUTED_VALUE"""),5339.0)</f>
        <v>5339</v>
      </c>
      <c r="G18803" s="4">
        <f>IFERROR(__xludf.DUMMYFUNCTION("""COMPUTED_VALUE"""),31.0)</f>
        <v>31</v>
      </c>
      <c r="H18803" s="4"/>
      <c r="I18803" s="4"/>
    </row>
    <row r="18804">
      <c r="A18804" s="4" t="str">
        <f>IFERROR(__xludf.DUMMYFUNCTION("""COMPUTED_VALUE"""),"cas_hmw")</f>
        <v>cas_hmw</v>
      </c>
      <c r="B18804" s="5">
        <f>IFERROR(__xludf.DUMMYFUNCTION("""COMPUTED_VALUE"""),44775.0)</f>
        <v>44775</v>
      </c>
      <c r="C18804" s="6">
        <f>IFERROR(__xludf.DUMMYFUNCTION("""COMPUTED_VALUE"""),0.7495949074072996)</f>
        <v>0.7495949074</v>
      </c>
      <c r="D18804" s="4">
        <f>IFERROR(__xludf.DUMMYFUNCTION("""COMPUTED_VALUE"""),13.067686)</f>
        <v>13.067686</v>
      </c>
      <c r="E18804" s="4">
        <f>IFERROR(__xludf.DUMMYFUNCTION("""COMPUTED_VALUE"""),80.270845)</f>
        <v>80.270845</v>
      </c>
      <c r="F18804" s="4">
        <f>IFERROR(__xludf.DUMMYFUNCTION("""COMPUTED_VALUE"""),5339.0)</f>
        <v>5339</v>
      </c>
      <c r="G18804" s="4">
        <f>IFERROR(__xludf.DUMMYFUNCTION("""COMPUTED_VALUE"""),29.0)</f>
        <v>29</v>
      </c>
      <c r="H18804" s="4"/>
      <c r="I18804" s="4"/>
    </row>
    <row r="18805">
      <c r="A18805" s="4" t="str">
        <f>IFERROR(__xludf.DUMMYFUNCTION("""COMPUTED_VALUE"""),"cas_hmw")</f>
        <v>cas_hmw</v>
      </c>
      <c r="B18805" s="5">
        <f>IFERROR(__xludf.DUMMYFUNCTION("""COMPUTED_VALUE"""),44775.0)</f>
        <v>44775</v>
      </c>
      <c r="C18805" s="6">
        <f>IFERROR(__xludf.DUMMYFUNCTION("""COMPUTED_VALUE"""),0.7496296296303626)</f>
        <v>0.7496296296</v>
      </c>
      <c r="D18805" s="4">
        <f>IFERROR(__xludf.DUMMYFUNCTION("""COMPUTED_VALUE"""),13.059791)</f>
        <v>13.059791</v>
      </c>
      <c r="E18805" s="4">
        <f>IFERROR(__xludf.DUMMYFUNCTION("""COMPUTED_VALUE"""),80.265487)</f>
        <v>80.265487</v>
      </c>
      <c r="F18805" s="4">
        <f>IFERROR(__xludf.DUMMYFUNCTION("""COMPUTED_VALUE"""),805.0)</f>
        <v>805</v>
      </c>
      <c r="G18805" s="4">
        <f>IFERROR(__xludf.DUMMYFUNCTION("""COMPUTED_VALUE"""),16.0)</f>
        <v>16</v>
      </c>
      <c r="H18805" s="4"/>
      <c r="I18805" s="4"/>
    </row>
    <row r="18806">
      <c r="A18806" s="4" t="str">
        <f>IFERROR(__xludf.DUMMYFUNCTION("""COMPUTED_VALUE"""),"cas_hmw")</f>
        <v>cas_hmw</v>
      </c>
      <c r="B18806" s="5">
        <f>IFERROR(__xludf.DUMMYFUNCTION("""COMPUTED_VALUE"""),44775.0)</f>
        <v>44775</v>
      </c>
      <c r="C18806" s="6">
        <f>IFERROR(__xludf.DUMMYFUNCTION("""COMPUTED_VALUE"""),0.7496296296303626)</f>
        <v>0.7496296296</v>
      </c>
      <c r="D18806" s="4">
        <f>IFERROR(__xludf.DUMMYFUNCTION("""COMPUTED_VALUE"""),13.059791)</f>
        <v>13.059791</v>
      </c>
      <c r="E18806" s="4">
        <f>IFERROR(__xludf.DUMMYFUNCTION("""COMPUTED_VALUE"""),80.265487)</f>
        <v>80.265487</v>
      </c>
      <c r="F18806" s="4">
        <f>IFERROR(__xludf.DUMMYFUNCTION("""COMPUTED_VALUE"""),805.0)</f>
        <v>805</v>
      </c>
      <c r="G18806" s="4">
        <f>IFERROR(__xludf.DUMMYFUNCTION("""COMPUTED_VALUE"""),16.0)</f>
        <v>16</v>
      </c>
      <c r="H18806" s="4"/>
      <c r="I18806" s="4"/>
    </row>
    <row r="18807">
      <c r="A18807" s="4" t="str">
        <f>IFERROR(__xludf.DUMMYFUNCTION("""COMPUTED_VALUE"""),"cas_hmw")</f>
        <v>cas_hmw</v>
      </c>
      <c r="B18807" s="5">
        <f>IFERROR(__xludf.DUMMYFUNCTION("""COMPUTED_VALUE"""),44775.0)</f>
        <v>44775</v>
      </c>
      <c r="C18807" s="6">
        <f>IFERROR(__xludf.DUMMYFUNCTION("""COMPUTED_VALUE"""),0.754918981481751)</f>
        <v>0.7549189815</v>
      </c>
      <c r="D18807" s="4">
        <f>IFERROR(__xludf.DUMMYFUNCTION("""COMPUTED_VALUE"""),13.046692)</f>
        <v>13.046692</v>
      </c>
      <c r="E18807" s="4">
        <f>IFERROR(__xludf.DUMMYFUNCTION("""COMPUTED_VALUE"""),80.11938)</f>
        <v>80.11938</v>
      </c>
      <c r="F18807" s="4">
        <f>IFERROR(__xludf.DUMMYFUNCTION("""COMPUTED_VALUE"""),3143.0)</f>
        <v>3143</v>
      </c>
      <c r="G18807" s="4">
        <f>IFERROR(__xludf.DUMMYFUNCTION("""COMPUTED_VALUE"""),44.0)</f>
        <v>44</v>
      </c>
      <c r="H18807" s="4"/>
      <c r="I18807" s="4"/>
    </row>
    <row r="18808">
      <c r="A18808" s="4" t="str">
        <f>IFERROR(__xludf.DUMMYFUNCTION("""COMPUTED_VALUE"""),"cas_hmw")</f>
        <v>cas_hmw</v>
      </c>
      <c r="B18808" s="5">
        <f>IFERROR(__xludf.DUMMYFUNCTION("""COMPUTED_VALUE"""),44775.0)</f>
        <v>44775</v>
      </c>
      <c r="C18808" s="6">
        <f>IFERROR(__xludf.DUMMYFUNCTION("""COMPUTED_VALUE"""),0.7549768518510973)</f>
        <v>0.7549768519</v>
      </c>
      <c r="D18808" s="4">
        <f>IFERROR(__xludf.DUMMYFUNCTION("""COMPUTED_VALUE"""),13.046692)</f>
        <v>13.046692</v>
      </c>
      <c r="E18808" s="4">
        <f>IFERROR(__xludf.DUMMYFUNCTION("""COMPUTED_VALUE"""),80.11938)</f>
        <v>80.11938</v>
      </c>
      <c r="F18808" s="4">
        <f>IFERROR(__xludf.DUMMYFUNCTION("""COMPUTED_VALUE"""),3143.0)</f>
        <v>3143</v>
      </c>
      <c r="G18808" s="4">
        <f>IFERROR(__xludf.DUMMYFUNCTION("""COMPUTED_VALUE"""),44.0)</f>
        <v>44</v>
      </c>
      <c r="H18808" s="4"/>
      <c r="I18808" s="4"/>
    </row>
    <row r="18809">
      <c r="A18809" s="4" t="str">
        <f>IFERROR(__xludf.DUMMYFUNCTION("""COMPUTED_VALUE"""),"cas_hmw")</f>
        <v>cas_hmw</v>
      </c>
      <c r="B18809" s="5">
        <f>IFERROR(__xludf.DUMMYFUNCTION("""COMPUTED_VALUE"""),44775.0)</f>
        <v>44775</v>
      </c>
      <c r="C18809" s="6">
        <f>IFERROR(__xludf.DUMMYFUNCTION("""COMPUTED_VALUE"""),0.7552546296283253)</f>
        <v>0.7552546296</v>
      </c>
      <c r="D18809" s="4">
        <f>IFERROR(__xludf.DUMMYFUNCTION("""COMPUTED_VALUE"""),13.048435)</f>
        <v>13.048435</v>
      </c>
      <c r="E18809" s="4">
        <f>IFERROR(__xludf.DUMMYFUNCTION("""COMPUTED_VALUE"""),80.120556)</f>
        <v>80.120556</v>
      </c>
      <c r="F18809" s="4">
        <f>IFERROR(__xludf.DUMMYFUNCTION("""COMPUTED_VALUE"""),3143.0)</f>
        <v>3143</v>
      </c>
      <c r="G18809" s="4">
        <f>IFERROR(__xludf.DUMMYFUNCTION("""COMPUTED_VALUE"""),28.0)</f>
        <v>28</v>
      </c>
      <c r="H18809" s="4"/>
      <c r="I18809" s="4"/>
    </row>
    <row r="18810">
      <c r="A18810" s="4" t="str">
        <f>IFERROR(__xludf.DUMMYFUNCTION("""COMPUTED_VALUE"""),"cas_hmw")</f>
        <v>cas_hmw</v>
      </c>
      <c r="B18810" s="5">
        <f>IFERROR(__xludf.DUMMYFUNCTION("""COMPUTED_VALUE"""),44775.0)</f>
        <v>44775</v>
      </c>
      <c r="C18810" s="6">
        <f>IFERROR(__xludf.DUMMYFUNCTION("""COMPUTED_VALUE"""),0.7613194444456894)</f>
        <v>0.7613194444</v>
      </c>
      <c r="D18810" s="4">
        <f>IFERROR(__xludf.DUMMYFUNCTION("""COMPUTED_VALUE"""),13.072812)</f>
        <v>13.072812</v>
      </c>
      <c r="E18810" s="4">
        <f>IFERROR(__xludf.DUMMYFUNCTION("""COMPUTED_VALUE"""),80.260586)</f>
        <v>80.260586</v>
      </c>
      <c r="F18810" s="4">
        <f>IFERROR(__xludf.DUMMYFUNCTION("""COMPUTED_VALUE"""),5339.0)</f>
        <v>5339</v>
      </c>
      <c r="G18810" s="4">
        <f>IFERROR(__xludf.DUMMYFUNCTION("""COMPUTED_VALUE"""),22.0)</f>
        <v>22</v>
      </c>
      <c r="H18810" s="4"/>
      <c r="I18810" s="4"/>
    </row>
    <row r="18811">
      <c r="A18811" s="4" t="str">
        <f>IFERROR(__xludf.DUMMYFUNCTION("""COMPUTED_VALUE"""),"cas_hmw")</f>
        <v>cas_hmw</v>
      </c>
      <c r="B18811" s="5">
        <f>IFERROR(__xludf.DUMMYFUNCTION("""COMPUTED_VALUE"""),44775.0)</f>
        <v>44775</v>
      </c>
      <c r="C18811" s="6">
        <f>IFERROR(__xludf.DUMMYFUNCTION("""COMPUTED_VALUE"""),0.7614004629613191)</f>
        <v>0.761400463</v>
      </c>
      <c r="D18811" s="4">
        <f>IFERROR(__xludf.DUMMYFUNCTION("""COMPUTED_VALUE"""),13.072326)</f>
        <v>13.072326</v>
      </c>
      <c r="E18811" s="4">
        <f>IFERROR(__xludf.DUMMYFUNCTION("""COMPUTED_VALUE"""),80.260002)</f>
        <v>80.260002</v>
      </c>
      <c r="F18811" s="4">
        <f>IFERROR(__xludf.DUMMYFUNCTION("""COMPUTED_VALUE"""),5339.0)</f>
        <v>5339</v>
      </c>
      <c r="G18811" s="4">
        <f>IFERROR(__xludf.DUMMYFUNCTION("""COMPUTED_VALUE"""),34.0)</f>
        <v>34</v>
      </c>
      <c r="H18811" s="4"/>
      <c r="I18811" s="4"/>
    </row>
    <row r="18812">
      <c r="A18812" s="4" t="str">
        <f>IFERROR(__xludf.DUMMYFUNCTION("""COMPUTED_VALUE"""),"cas_hmw")</f>
        <v>cas_hmw</v>
      </c>
      <c r="B18812" s="5">
        <f>IFERROR(__xludf.DUMMYFUNCTION("""COMPUTED_VALUE"""),44775.0)</f>
        <v>44775</v>
      </c>
      <c r="C18812" s="6">
        <f>IFERROR(__xludf.DUMMYFUNCTION("""COMPUTED_VALUE"""),0.7620138888887595)</f>
        <v>0.7620138889</v>
      </c>
      <c r="D18812" s="4">
        <f>IFERROR(__xludf.DUMMYFUNCTION("""COMPUTED_VALUE"""),13.069884)</f>
        <v>13.069884</v>
      </c>
      <c r="E18812" s="4">
        <f>IFERROR(__xludf.DUMMYFUNCTION("""COMPUTED_VALUE"""),80.257361)</f>
        <v>80.257361</v>
      </c>
      <c r="F18812" s="4">
        <f>IFERROR(__xludf.DUMMYFUNCTION("""COMPUTED_VALUE"""),5339.0)</f>
        <v>5339</v>
      </c>
      <c r="G18812" s="4">
        <f>IFERROR(__xludf.DUMMYFUNCTION("""COMPUTED_VALUE"""),34.0)</f>
        <v>34</v>
      </c>
      <c r="H18812" s="4"/>
      <c r="I18812" s="4"/>
    </row>
    <row r="18813">
      <c r="A18813" s="4" t="str">
        <f>IFERROR(__xludf.DUMMYFUNCTION("""COMPUTED_VALUE"""),"cas_hmw")</f>
        <v>cas_hmw</v>
      </c>
      <c r="B18813" s="5">
        <f>IFERROR(__xludf.DUMMYFUNCTION("""COMPUTED_VALUE"""),44775.0)</f>
        <v>44775</v>
      </c>
      <c r="C18813" s="6">
        <f>IFERROR(__xludf.DUMMYFUNCTION("""COMPUTED_VALUE"""),0.7620833333348855)</f>
        <v>0.7620833333</v>
      </c>
      <c r="D18813" s="4">
        <f>IFERROR(__xludf.DUMMYFUNCTION("""COMPUTED_VALUE"""),13.06927)</f>
        <v>13.06927</v>
      </c>
      <c r="E18813" s="4">
        <f>IFERROR(__xludf.DUMMYFUNCTION("""COMPUTED_VALUE"""),80.25673)</f>
        <v>80.25673</v>
      </c>
      <c r="F18813" s="4">
        <f>IFERROR(__xludf.DUMMYFUNCTION("""COMPUTED_VALUE"""),5339.0)</f>
        <v>5339</v>
      </c>
      <c r="G18813" s="4">
        <f>IFERROR(__xludf.DUMMYFUNCTION("""COMPUTED_VALUE"""),31.0)</f>
        <v>31</v>
      </c>
      <c r="H18813" s="4"/>
      <c r="I18813" s="4"/>
    </row>
    <row r="18814">
      <c r="A18814" s="4" t="str">
        <f>IFERROR(__xludf.DUMMYFUNCTION("""COMPUTED_VALUE"""),"cas_hmw")</f>
        <v>cas_hmw</v>
      </c>
      <c r="B18814" s="5">
        <f>IFERROR(__xludf.DUMMYFUNCTION("""COMPUTED_VALUE"""),44775.0)</f>
        <v>44775</v>
      </c>
      <c r="C18814" s="6">
        <f>IFERROR(__xludf.DUMMYFUNCTION("""COMPUTED_VALUE"""),0.7635763888902147)</f>
        <v>0.7635763889</v>
      </c>
      <c r="D18814" s="4">
        <f>IFERROR(__xludf.DUMMYFUNCTION("""COMPUTED_VALUE"""),13.067299)</f>
        <v>13.067299</v>
      </c>
      <c r="E18814" s="4">
        <f>IFERROR(__xludf.DUMMYFUNCTION("""COMPUTED_VALUE"""),80.251493)</f>
        <v>80.251493</v>
      </c>
      <c r="F18814" s="4">
        <f>IFERROR(__xludf.DUMMYFUNCTION("""COMPUTED_VALUE"""),5339.0)</f>
        <v>5339</v>
      </c>
      <c r="G18814" s="4">
        <f>IFERROR(__xludf.DUMMYFUNCTION("""COMPUTED_VALUE"""),27.0)</f>
        <v>27</v>
      </c>
      <c r="H18814" s="4"/>
      <c r="I18814" s="4"/>
    </row>
    <row r="18815">
      <c r="A18815" s="4" t="str">
        <f>IFERROR(__xludf.DUMMYFUNCTION("""COMPUTED_VALUE"""),"cas_hmw")</f>
        <v>cas_hmw</v>
      </c>
      <c r="B18815" s="5">
        <f>IFERROR(__xludf.DUMMYFUNCTION("""COMPUTED_VALUE"""),44775.0)</f>
        <v>44775</v>
      </c>
      <c r="C18815" s="6">
        <f>IFERROR(__xludf.DUMMYFUNCTION("""COMPUTED_VALUE"""),0.7635879629633564)</f>
        <v>0.763587963</v>
      </c>
      <c r="D18815" s="4">
        <f>IFERROR(__xludf.DUMMYFUNCTION("""COMPUTED_VALUE"""),13.067299)</f>
        <v>13.067299</v>
      </c>
      <c r="E18815" s="4">
        <f>IFERROR(__xludf.DUMMYFUNCTION("""COMPUTED_VALUE"""),80.251493)</f>
        <v>80.251493</v>
      </c>
      <c r="F18815" s="4">
        <f>IFERROR(__xludf.DUMMYFUNCTION("""COMPUTED_VALUE"""),5339.0)</f>
        <v>5339</v>
      </c>
      <c r="G18815" s="4">
        <f>IFERROR(__xludf.DUMMYFUNCTION("""COMPUTED_VALUE"""),27.0)</f>
        <v>27</v>
      </c>
      <c r="H18815" s="4"/>
      <c r="I18815" s="4"/>
    </row>
    <row r="18816">
      <c r="A18816" s="4" t="str">
        <f>IFERROR(__xludf.DUMMYFUNCTION("""COMPUTED_VALUE"""),"cas_hmw")</f>
        <v>cas_hmw</v>
      </c>
      <c r="B18816" s="5">
        <f>IFERROR(__xludf.DUMMYFUNCTION("""COMPUTED_VALUE"""),44775.0)</f>
        <v>44775</v>
      </c>
      <c r="C18816" s="6">
        <f>IFERROR(__xludf.DUMMYFUNCTION("""COMPUTED_VALUE"""),0.7635879629633564)</f>
        <v>0.763587963</v>
      </c>
      <c r="D18816" s="4">
        <f>IFERROR(__xludf.DUMMYFUNCTION("""COMPUTED_VALUE"""),13.067299)</f>
        <v>13.067299</v>
      </c>
      <c r="E18816" s="4">
        <f>IFERROR(__xludf.DUMMYFUNCTION("""COMPUTED_VALUE"""),80.251493)</f>
        <v>80.251493</v>
      </c>
      <c r="F18816" s="4">
        <f>IFERROR(__xludf.DUMMYFUNCTION("""COMPUTED_VALUE"""),5339.0)</f>
        <v>5339</v>
      </c>
      <c r="G18816" s="4">
        <f>IFERROR(__xludf.DUMMYFUNCTION("""COMPUTED_VALUE"""),27.0)</f>
        <v>27</v>
      </c>
      <c r="H18816" s="4"/>
      <c r="I18816" s="4"/>
    </row>
    <row r="18817">
      <c r="A18817" s="4" t="str">
        <f>IFERROR(__xludf.DUMMYFUNCTION("""COMPUTED_VALUE"""),"cas_hmw")</f>
        <v>cas_hmw</v>
      </c>
      <c r="B18817" s="5">
        <f>IFERROR(__xludf.DUMMYFUNCTION("""COMPUTED_VALUE"""),44775.0)</f>
        <v>44775</v>
      </c>
      <c r="C18817" s="6">
        <f>IFERROR(__xludf.DUMMYFUNCTION("""COMPUTED_VALUE"""),0.7642361111102218)</f>
        <v>0.7642361111</v>
      </c>
      <c r="D18817" s="4">
        <f>IFERROR(__xludf.DUMMYFUNCTION("""COMPUTED_VALUE"""),13.067168)</f>
        <v>13.067168</v>
      </c>
      <c r="E18817" s="4">
        <f>IFERROR(__xludf.DUMMYFUNCTION("""COMPUTED_VALUE"""),80.247874)</f>
        <v>80.247874</v>
      </c>
      <c r="F18817" s="4">
        <f>IFERROR(__xludf.DUMMYFUNCTION("""COMPUTED_VALUE"""),5339.0)</f>
        <v>5339</v>
      </c>
      <c r="G18817" s="4">
        <f>IFERROR(__xludf.DUMMYFUNCTION("""COMPUTED_VALUE"""),34.0)</f>
        <v>34</v>
      </c>
      <c r="H18817" s="4"/>
      <c r="I18817" s="4"/>
    </row>
    <row r="18818">
      <c r="A18818" s="4" t="str">
        <f>IFERROR(__xludf.DUMMYFUNCTION("""COMPUTED_VALUE"""),"cas_hmw")</f>
        <v>cas_hmw</v>
      </c>
      <c r="B18818" s="5">
        <f>IFERROR(__xludf.DUMMYFUNCTION("""COMPUTED_VALUE"""),44775.0)</f>
        <v>44775</v>
      </c>
      <c r="C18818" s="6">
        <f>IFERROR(__xludf.DUMMYFUNCTION("""COMPUTED_VALUE"""),0.76541666666526)</f>
        <v>0.7654166667</v>
      </c>
      <c r="D18818" s="4">
        <f>IFERROR(__xludf.DUMMYFUNCTION("""COMPUTED_VALUE"""),13.066792)</f>
        <v>13.066792</v>
      </c>
      <c r="E18818" s="4">
        <f>IFERROR(__xludf.DUMMYFUNCTION("""COMPUTED_VALUE"""),80.254196)</f>
        <v>80.254196</v>
      </c>
      <c r="F18818" s="4">
        <f>IFERROR(__xludf.DUMMYFUNCTION("""COMPUTED_VALUE"""),805.0)</f>
        <v>805</v>
      </c>
      <c r="G18818" s="4">
        <f>IFERROR(__xludf.DUMMYFUNCTION("""COMPUTED_VALUE"""),0.0)</f>
        <v>0</v>
      </c>
      <c r="H18818" s="4"/>
      <c r="I18818" s="4"/>
    </row>
    <row r="18819">
      <c r="A18819" s="4" t="str">
        <f>IFERROR(__xludf.DUMMYFUNCTION("""COMPUTED_VALUE"""),"cas_hmw")</f>
        <v>cas_hmw</v>
      </c>
      <c r="B18819" s="5">
        <f>IFERROR(__xludf.DUMMYFUNCTION("""COMPUTED_VALUE"""),44775.0)</f>
        <v>44775</v>
      </c>
      <c r="C18819" s="6">
        <f>IFERROR(__xludf.DUMMYFUNCTION("""COMPUTED_VALUE"""),0.7654282407420396)</f>
        <v>0.7654282407</v>
      </c>
      <c r="D18819" s="4">
        <f>IFERROR(__xludf.DUMMYFUNCTION("""COMPUTED_VALUE"""),13.066792)</f>
        <v>13.066792</v>
      </c>
      <c r="E18819" s="4">
        <f>IFERROR(__xludf.DUMMYFUNCTION("""COMPUTED_VALUE"""),80.254196)</f>
        <v>80.254196</v>
      </c>
      <c r="F18819" s="4">
        <f>IFERROR(__xludf.DUMMYFUNCTION("""COMPUTED_VALUE"""),805.0)</f>
        <v>805</v>
      </c>
      <c r="G18819" s="4">
        <f>IFERROR(__xludf.DUMMYFUNCTION("""COMPUTED_VALUE"""),0.0)</f>
        <v>0</v>
      </c>
      <c r="H18819" s="4"/>
      <c r="I18819" s="4"/>
    </row>
    <row r="18820">
      <c r="A18820" s="4" t="str">
        <f>IFERROR(__xludf.DUMMYFUNCTION("""COMPUTED_VALUE"""),"cas_hmw")</f>
        <v>cas_hmw</v>
      </c>
      <c r="B18820" s="5">
        <f>IFERROR(__xludf.DUMMYFUNCTION("""COMPUTED_VALUE"""),44775.0)</f>
        <v>44775</v>
      </c>
      <c r="C18820" s="6">
        <f>IFERROR(__xludf.DUMMYFUNCTION("""COMPUTED_VALUE"""),0.7654282407420396)</f>
        <v>0.7654282407</v>
      </c>
      <c r="D18820" s="4">
        <f>IFERROR(__xludf.DUMMYFUNCTION("""COMPUTED_VALUE"""),13.066792)</f>
        <v>13.066792</v>
      </c>
      <c r="E18820" s="4">
        <f>IFERROR(__xludf.DUMMYFUNCTION("""COMPUTED_VALUE"""),80.254196)</f>
        <v>80.254196</v>
      </c>
      <c r="F18820" s="4">
        <f>IFERROR(__xludf.DUMMYFUNCTION("""COMPUTED_VALUE"""),805.0)</f>
        <v>805</v>
      </c>
      <c r="G18820" s="4">
        <f>IFERROR(__xludf.DUMMYFUNCTION("""COMPUTED_VALUE"""),0.0)</f>
        <v>0</v>
      </c>
      <c r="H18820" s="4"/>
      <c r="I18820" s="4"/>
    </row>
    <row r="18821">
      <c r="A18821" s="4" t="str">
        <f>IFERROR(__xludf.DUMMYFUNCTION("""COMPUTED_VALUE"""),"cas_hmw")</f>
        <v>cas_hmw</v>
      </c>
      <c r="B18821" s="5">
        <f>IFERROR(__xludf.DUMMYFUNCTION("""COMPUTED_VALUE"""),44775.0)</f>
        <v>44775</v>
      </c>
      <c r="C18821" s="6">
        <f>IFERROR(__xludf.DUMMYFUNCTION("""COMPUTED_VALUE"""),0.7671064814821875)</f>
        <v>0.7671064815</v>
      </c>
      <c r="D18821" s="4">
        <f>IFERROR(__xludf.DUMMYFUNCTION("""COMPUTED_VALUE"""),13.065573)</f>
        <v>13.065573</v>
      </c>
      <c r="E18821" s="4">
        <f>IFERROR(__xludf.DUMMYFUNCTION("""COMPUTED_VALUE"""),80.247882)</f>
        <v>80.247882</v>
      </c>
      <c r="F18821" s="4">
        <f>IFERROR(__xludf.DUMMYFUNCTION("""COMPUTED_VALUE"""),805.0)</f>
        <v>805</v>
      </c>
      <c r="G18821" s="4">
        <f>IFERROR(__xludf.DUMMYFUNCTION("""COMPUTED_VALUE"""),24.0)</f>
        <v>24</v>
      </c>
      <c r="H18821" s="4"/>
      <c r="I18821" s="4"/>
    </row>
    <row r="18822">
      <c r="A18822" s="4" t="str">
        <f>IFERROR(__xludf.DUMMYFUNCTION("""COMPUTED_VALUE"""),"cas_hmw")</f>
        <v>cas_hmw</v>
      </c>
      <c r="B18822" s="5">
        <f>IFERROR(__xludf.DUMMYFUNCTION("""COMPUTED_VALUE"""),44775.0)</f>
        <v>44775</v>
      </c>
      <c r="C18822" s="6">
        <f>IFERROR(__xludf.DUMMYFUNCTION("""COMPUTED_VALUE"""),0.7671064814821875)</f>
        <v>0.7671064815</v>
      </c>
      <c r="D18822" s="4">
        <f>IFERROR(__xludf.DUMMYFUNCTION("""COMPUTED_VALUE"""),13.065573)</f>
        <v>13.065573</v>
      </c>
      <c r="E18822" s="4">
        <f>IFERROR(__xludf.DUMMYFUNCTION("""COMPUTED_VALUE"""),80.247882)</f>
        <v>80.247882</v>
      </c>
      <c r="F18822" s="4">
        <f>IFERROR(__xludf.DUMMYFUNCTION("""COMPUTED_VALUE"""),805.0)</f>
        <v>805</v>
      </c>
      <c r="G18822" s="4">
        <f>IFERROR(__xludf.DUMMYFUNCTION("""COMPUTED_VALUE"""),24.0)</f>
        <v>24</v>
      </c>
      <c r="H18822" s="4"/>
      <c r="I18822" s="4"/>
    </row>
    <row r="18823">
      <c r="A18823" s="4" t="str">
        <f>IFERROR(__xludf.DUMMYFUNCTION("""COMPUTED_VALUE"""),"cas_hmw")</f>
        <v>cas_hmw</v>
      </c>
      <c r="B18823" s="5">
        <f>IFERROR(__xludf.DUMMYFUNCTION("""COMPUTED_VALUE"""),44776.0)</f>
        <v>44776</v>
      </c>
      <c r="C18823" s="6">
        <f>IFERROR(__xludf.DUMMYFUNCTION("""COMPUTED_VALUE"""),0.2834722222214623)</f>
        <v>0.2834722222</v>
      </c>
      <c r="D18823" s="4">
        <f>IFERROR(__xludf.DUMMYFUNCTION("""COMPUTED_VALUE"""),13.056582)</f>
        <v>13.056582</v>
      </c>
      <c r="E18823" s="4">
        <f>IFERROR(__xludf.DUMMYFUNCTION("""COMPUTED_VALUE"""),80.097428)</f>
        <v>80.097428</v>
      </c>
      <c r="F18823" s="4">
        <f>IFERROR(__xludf.DUMMYFUNCTION("""COMPUTED_VALUE"""),3143.0)</f>
        <v>3143</v>
      </c>
      <c r="G18823" s="4">
        <f>IFERROR(__xludf.DUMMYFUNCTION("""COMPUTED_VALUE"""),10.0)</f>
        <v>10</v>
      </c>
      <c r="H18823" s="4"/>
      <c r="I18823" s="4"/>
    </row>
    <row r="18824">
      <c r="A18824" s="4" t="str">
        <f>IFERROR(__xludf.DUMMYFUNCTION("""COMPUTED_VALUE"""),"cas_hmw")</f>
        <v>cas_hmw</v>
      </c>
      <c r="B18824" s="5">
        <f>IFERROR(__xludf.DUMMYFUNCTION("""COMPUTED_VALUE"""),44776.0)</f>
        <v>44776</v>
      </c>
      <c r="C18824" s="6">
        <f>IFERROR(__xludf.DUMMYFUNCTION("""COMPUTED_VALUE"""),0.2835416666675883)</f>
        <v>0.2835416667</v>
      </c>
      <c r="D18824" s="4">
        <f>IFERROR(__xludf.DUMMYFUNCTION("""COMPUTED_VALUE"""),13.056582)</f>
        <v>13.056582</v>
      </c>
      <c r="E18824" s="4">
        <f>IFERROR(__xludf.DUMMYFUNCTION("""COMPUTED_VALUE"""),80.097428)</f>
        <v>80.097428</v>
      </c>
      <c r="F18824" s="4">
        <f>IFERROR(__xludf.DUMMYFUNCTION("""COMPUTED_VALUE"""),3143.0)</f>
        <v>3143</v>
      </c>
      <c r="G18824" s="4">
        <f>IFERROR(__xludf.DUMMYFUNCTION("""COMPUTED_VALUE"""),10.0)</f>
        <v>10</v>
      </c>
      <c r="H18824" s="4"/>
      <c r="I18824" s="4"/>
    </row>
    <row r="18825">
      <c r="A18825" s="4" t="str">
        <f>IFERROR(__xludf.DUMMYFUNCTION("""COMPUTED_VALUE"""),"cas_hmw")</f>
        <v>cas_hmw</v>
      </c>
      <c r="B18825" s="5">
        <f>IFERROR(__xludf.DUMMYFUNCTION("""COMPUTED_VALUE"""),44776.0)</f>
        <v>44776</v>
      </c>
      <c r="C18825" s="6">
        <f>IFERROR(__xludf.DUMMYFUNCTION("""COMPUTED_VALUE"""),0.2944791666668607)</f>
        <v>0.2944791667</v>
      </c>
      <c r="D18825" s="4">
        <f>IFERROR(__xludf.DUMMYFUNCTION("""COMPUTED_VALUE"""),12.515016)</f>
        <v>12.515016</v>
      </c>
      <c r="E18825" s="4">
        <f>IFERROR(__xludf.DUMMYFUNCTION("""COMPUTED_VALUE"""),79.888589)</f>
        <v>79.888589</v>
      </c>
      <c r="F18825" s="4">
        <f>IFERROR(__xludf.DUMMYFUNCTION("""COMPUTED_VALUE"""),2846.0)</f>
        <v>2846</v>
      </c>
      <c r="G18825" s="4">
        <f>IFERROR(__xludf.DUMMYFUNCTION("""COMPUTED_VALUE"""),49.0)</f>
        <v>49</v>
      </c>
      <c r="H18825" s="4"/>
      <c r="I18825" s="4"/>
    </row>
    <row r="18826">
      <c r="A18826" s="4" t="str">
        <f>IFERROR(__xludf.DUMMYFUNCTION("""COMPUTED_VALUE"""),"cas_hmw")</f>
        <v>cas_hmw</v>
      </c>
      <c r="B18826" s="5">
        <f>IFERROR(__xludf.DUMMYFUNCTION("""COMPUTED_VALUE"""),44776.0)</f>
        <v>44776</v>
      </c>
      <c r="C18826" s="6">
        <f>IFERROR(__xludf.DUMMYFUNCTION("""COMPUTED_VALUE"""),0.29482638889021473)</f>
        <v>0.2948263889</v>
      </c>
      <c r="D18826" s="4">
        <f>IFERROR(__xludf.DUMMYFUNCTION("""COMPUTED_VALUE"""),12.510209)</f>
        <v>12.510209</v>
      </c>
      <c r="E18826" s="4">
        <f>IFERROR(__xludf.DUMMYFUNCTION("""COMPUTED_VALUE"""),79.885114)</f>
        <v>79.885114</v>
      </c>
      <c r="F18826" s="4">
        <f>IFERROR(__xludf.DUMMYFUNCTION("""COMPUTED_VALUE"""),2846.0)</f>
        <v>2846</v>
      </c>
      <c r="G18826" s="4">
        <f>IFERROR(__xludf.DUMMYFUNCTION("""COMPUTED_VALUE"""),14.0)</f>
        <v>14</v>
      </c>
      <c r="H18826" s="4"/>
      <c r="I18826" s="4"/>
    </row>
    <row r="18827">
      <c r="A18827" s="4" t="str">
        <f>IFERROR(__xludf.DUMMYFUNCTION("""COMPUTED_VALUE"""),"cas_hmw")</f>
        <v>cas_hmw</v>
      </c>
      <c r="B18827" s="5">
        <f>IFERROR(__xludf.DUMMYFUNCTION("""COMPUTED_VALUE"""),44776.0)</f>
        <v>44776</v>
      </c>
      <c r="C18827" s="6">
        <f>IFERROR(__xludf.DUMMYFUNCTION("""COMPUTED_VALUE"""),0.2949768518519704)</f>
        <v>0.2949768519</v>
      </c>
      <c r="D18827" s="4">
        <f>IFERROR(__xludf.DUMMYFUNCTION("""COMPUTED_VALUE"""),12.510209)</f>
        <v>12.510209</v>
      </c>
      <c r="E18827" s="4">
        <f>IFERROR(__xludf.DUMMYFUNCTION("""COMPUTED_VALUE"""),79.885114)</f>
        <v>79.885114</v>
      </c>
      <c r="F18827" s="4">
        <f>IFERROR(__xludf.DUMMYFUNCTION("""COMPUTED_VALUE"""),2846.0)</f>
        <v>2846</v>
      </c>
      <c r="G18827" s="4">
        <f>IFERROR(__xludf.DUMMYFUNCTION("""COMPUTED_VALUE"""),14.0)</f>
        <v>14</v>
      </c>
      <c r="H18827" s="4"/>
      <c r="I18827" s="4"/>
    </row>
    <row r="18828">
      <c r="A18828" s="4" t="str">
        <f>IFERROR(__xludf.DUMMYFUNCTION("""COMPUTED_VALUE"""),"cas_hmw")</f>
        <v>cas_hmw</v>
      </c>
      <c r="B18828" s="5">
        <f>IFERROR(__xludf.DUMMYFUNCTION("""COMPUTED_VALUE"""),44776.0)</f>
        <v>44776</v>
      </c>
      <c r="C18828" s="6">
        <f>IFERROR(__xludf.DUMMYFUNCTION("""COMPUTED_VALUE"""),0.29739583333503106)</f>
        <v>0.2973958333</v>
      </c>
      <c r="D18828" s="4">
        <f>IFERROR(__xludf.DUMMYFUNCTION("""COMPUTED_VALUE"""),13.061526)</f>
        <v>13.061526</v>
      </c>
      <c r="E18828" s="4">
        <f>IFERROR(__xludf.DUMMYFUNCTION("""COMPUTED_VALUE"""),80.246826)</f>
        <v>80.246826</v>
      </c>
      <c r="F18828" s="4">
        <f>IFERROR(__xludf.DUMMYFUNCTION("""COMPUTED_VALUE"""),5339.0)</f>
        <v>5339</v>
      </c>
      <c r="G18828" s="4">
        <f>IFERROR(__xludf.DUMMYFUNCTION("""COMPUTED_VALUE"""),22.0)</f>
        <v>22</v>
      </c>
      <c r="H18828" s="4"/>
      <c r="I18828" s="4"/>
    </row>
    <row r="18829">
      <c r="A18829" s="4" t="str">
        <f>IFERROR(__xludf.DUMMYFUNCTION("""COMPUTED_VALUE"""),"cas_hmw")</f>
        <v>cas_hmw</v>
      </c>
      <c r="B18829" s="5">
        <f>IFERROR(__xludf.DUMMYFUNCTION("""COMPUTED_VALUE"""),44776.0)</f>
        <v>44776</v>
      </c>
      <c r="C18829" s="6">
        <f>IFERROR(__xludf.DUMMYFUNCTION("""COMPUTED_VALUE"""),0.29740740740817273)</f>
        <v>0.2974074074</v>
      </c>
      <c r="D18829" s="4">
        <f>IFERROR(__xludf.DUMMYFUNCTION("""COMPUTED_VALUE"""),13.061526)</f>
        <v>13.061526</v>
      </c>
      <c r="E18829" s="4">
        <f>IFERROR(__xludf.DUMMYFUNCTION("""COMPUTED_VALUE"""),80.246826)</f>
        <v>80.246826</v>
      </c>
      <c r="F18829" s="4">
        <f>IFERROR(__xludf.DUMMYFUNCTION("""COMPUTED_VALUE"""),5339.0)</f>
        <v>5339</v>
      </c>
      <c r="G18829" s="4">
        <f>IFERROR(__xludf.DUMMYFUNCTION("""COMPUTED_VALUE"""),22.0)</f>
        <v>22</v>
      </c>
      <c r="H18829" s="4"/>
      <c r="I18829" s="4"/>
    </row>
    <row r="18830">
      <c r="A18830" s="4" t="str">
        <f>IFERROR(__xludf.DUMMYFUNCTION("""COMPUTED_VALUE"""),"cas_hmw")</f>
        <v>cas_hmw</v>
      </c>
      <c r="B18830" s="5">
        <f>IFERROR(__xludf.DUMMYFUNCTION("""COMPUTED_VALUE"""),44776.0)</f>
        <v>44776</v>
      </c>
      <c r="C18830" s="6">
        <f>IFERROR(__xludf.DUMMYFUNCTION("""COMPUTED_VALUE"""),0.29892361110978527)</f>
        <v>0.2989236111</v>
      </c>
      <c r="D18830" s="4">
        <f>IFERROR(__xludf.DUMMYFUNCTION("""COMPUTED_VALUE"""),13.06703)</f>
        <v>13.06703</v>
      </c>
      <c r="E18830" s="4">
        <f>IFERROR(__xludf.DUMMYFUNCTION("""COMPUTED_VALUE"""),80.246164)</f>
        <v>80.246164</v>
      </c>
      <c r="F18830" s="4">
        <f>IFERROR(__xludf.DUMMYFUNCTION("""COMPUTED_VALUE"""),5339.0)</f>
        <v>5339</v>
      </c>
      <c r="G18830" s="4">
        <f>IFERROR(__xludf.DUMMYFUNCTION("""COMPUTED_VALUE"""),36.0)</f>
        <v>36</v>
      </c>
      <c r="H18830" s="4"/>
      <c r="I18830" s="4"/>
    </row>
    <row r="18831">
      <c r="A18831" s="4" t="str">
        <f>IFERROR(__xludf.DUMMYFUNCTION("""COMPUTED_VALUE"""),"cas_hmw")</f>
        <v>cas_hmw</v>
      </c>
      <c r="B18831" s="5">
        <f>IFERROR(__xludf.DUMMYFUNCTION("""COMPUTED_VALUE"""),44776.0)</f>
        <v>44776</v>
      </c>
      <c r="C18831" s="6">
        <f>IFERROR(__xludf.DUMMYFUNCTION("""COMPUTED_VALUE"""),0.29899305555591127)</f>
        <v>0.2989930556</v>
      </c>
      <c r="D18831" s="4">
        <f>IFERROR(__xludf.DUMMYFUNCTION("""COMPUTED_VALUE"""),13.067824)</f>
        <v>13.067824</v>
      </c>
      <c r="E18831" s="4">
        <f>IFERROR(__xludf.DUMMYFUNCTION("""COMPUTED_VALUE"""),80.246541)</f>
        <v>80.246541</v>
      </c>
      <c r="F18831" s="4">
        <f>IFERROR(__xludf.DUMMYFUNCTION("""COMPUTED_VALUE"""),5339.0)</f>
        <v>5339</v>
      </c>
      <c r="G18831" s="4">
        <f>IFERROR(__xludf.DUMMYFUNCTION("""COMPUTED_VALUE"""),29.0)</f>
        <v>29</v>
      </c>
      <c r="H18831" s="4"/>
      <c r="I18831" s="4"/>
    </row>
    <row r="18832">
      <c r="A18832" s="4" t="str">
        <f>IFERROR(__xludf.DUMMYFUNCTION("""COMPUTED_VALUE"""),"cas_hmw")</f>
        <v>cas_hmw</v>
      </c>
      <c r="B18832" s="5">
        <f>IFERROR(__xludf.DUMMYFUNCTION("""COMPUTED_VALUE"""),44776.0)</f>
        <v>44776</v>
      </c>
      <c r="C18832" s="6">
        <f>IFERROR(__xludf.DUMMYFUNCTION("""COMPUTED_VALUE"""),0.3013541666659876)</f>
        <v>0.3013541667</v>
      </c>
      <c r="D18832" s="4">
        <f>IFERROR(__xludf.DUMMYFUNCTION("""COMPUTED_VALUE"""),13.070219)</f>
        <v>13.070219</v>
      </c>
      <c r="E18832" s="4">
        <f>IFERROR(__xludf.DUMMYFUNCTION("""COMPUTED_VALUE"""),80.25759)</f>
        <v>80.25759</v>
      </c>
      <c r="F18832" s="4">
        <f>IFERROR(__xludf.DUMMYFUNCTION("""COMPUTED_VALUE"""),5339.0)</f>
        <v>5339</v>
      </c>
      <c r="G18832" s="4">
        <f>IFERROR(__xludf.DUMMYFUNCTION("""COMPUTED_VALUE"""),34.0)</f>
        <v>34</v>
      </c>
      <c r="H18832" s="4"/>
      <c r="I18832" s="4"/>
    </row>
    <row r="18833">
      <c r="A18833" s="4" t="str">
        <f>IFERROR(__xludf.DUMMYFUNCTION("""COMPUTED_VALUE"""),"cas_hmw")</f>
        <v>cas_hmw</v>
      </c>
      <c r="B18833" s="5">
        <f>IFERROR(__xludf.DUMMYFUNCTION("""COMPUTED_VALUE"""),44776.0)</f>
        <v>44776</v>
      </c>
      <c r="C18833" s="6">
        <f>IFERROR(__xludf.DUMMYFUNCTION("""COMPUTED_VALUE"""),0.30136574073912925)</f>
        <v>0.3013657407</v>
      </c>
      <c r="D18833" s="4">
        <f>IFERROR(__xludf.DUMMYFUNCTION("""COMPUTED_VALUE"""),13.070219)</f>
        <v>13.070219</v>
      </c>
      <c r="E18833" s="4">
        <f>IFERROR(__xludf.DUMMYFUNCTION("""COMPUTED_VALUE"""),80.25759)</f>
        <v>80.25759</v>
      </c>
      <c r="F18833" s="4">
        <f>IFERROR(__xludf.DUMMYFUNCTION("""COMPUTED_VALUE"""),5339.0)</f>
        <v>5339</v>
      </c>
      <c r="G18833" s="4">
        <f>IFERROR(__xludf.DUMMYFUNCTION("""COMPUTED_VALUE"""),34.0)</f>
        <v>34</v>
      </c>
      <c r="H18833" s="4"/>
      <c r="I18833" s="4"/>
    </row>
    <row r="18834">
      <c r="A18834" s="4" t="str">
        <f>IFERROR(__xludf.DUMMYFUNCTION("""COMPUTED_VALUE"""),"cas_hmw")</f>
        <v>cas_hmw</v>
      </c>
      <c r="B18834" s="5">
        <f>IFERROR(__xludf.DUMMYFUNCTION("""COMPUTED_VALUE"""),44776.0)</f>
        <v>44776</v>
      </c>
      <c r="C18834" s="6">
        <f>IFERROR(__xludf.DUMMYFUNCTION("""COMPUTED_VALUE"""),0.3028009259251121)</f>
        <v>0.3028009259</v>
      </c>
      <c r="D18834" s="4">
        <f>IFERROR(__xludf.DUMMYFUNCTION("""COMPUTED_VALUE"""),13.072462)</f>
        <v>13.072462</v>
      </c>
      <c r="E18834" s="4">
        <f>IFERROR(__xludf.DUMMYFUNCTION("""COMPUTED_VALUE"""),80.263459)</f>
        <v>80.263459</v>
      </c>
      <c r="F18834" s="4">
        <f>IFERROR(__xludf.DUMMYFUNCTION("""COMPUTED_VALUE"""),5339.0)</f>
        <v>5339</v>
      </c>
      <c r="G18834" s="4">
        <f>IFERROR(__xludf.DUMMYFUNCTION("""COMPUTED_VALUE"""),22.0)</f>
        <v>22</v>
      </c>
      <c r="H18834" s="4"/>
      <c r="I18834" s="4"/>
    </row>
    <row r="18835">
      <c r="A18835" s="4" t="str">
        <f>IFERROR(__xludf.DUMMYFUNCTION("""COMPUTED_VALUE"""),"cas_hmw")</f>
        <v>cas_hmw</v>
      </c>
      <c r="B18835" s="5">
        <f>IFERROR(__xludf.DUMMYFUNCTION("""COMPUTED_VALUE"""),44776.0)</f>
        <v>44776</v>
      </c>
      <c r="C18835" s="6">
        <f>IFERROR(__xludf.DUMMYFUNCTION("""COMPUTED_VALUE"""),0.3031249999985448)</f>
        <v>0.303125</v>
      </c>
      <c r="D18835" s="4">
        <f>IFERROR(__xludf.DUMMYFUNCTION("""COMPUTED_VALUE"""),13.067098)</f>
        <v>13.067098</v>
      </c>
      <c r="E18835" s="4">
        <f>IFERROR(__xludf.DUMMYFUNCTION("""COMPUTED_VALUE"""),80.268643)</f>
        <v>80.268643</v>
      </c>
      <c r="F18835" s="4">
        <f>IFERROR(__xludf.DUMMYFUNCTION("""COMPUTED_VALUE"""),805.0)</f>
        <v>805</v>
      </c>
      <c r="G18835" s="4">
        <f>IFERROR(__xludf.DUMMYFUNCTION("""COMPUTED_VALUE"""),36.0)</f>
        <v>36</v>
      </c>
      <c r="H18835" s="4"/>
      <c r="I18835" s="4"/>
    </row>
    <row r="18836">
      <c r="A18836" s="4" t="str">
        <f>IFERROR(__xludf.DUMMYFUNCTION("""COMPUTED_VALUE"""),"cas_hmw")</f>
        <v>cas_hmw</v>
      </c>
      <c r="B18836" s="5">
        <f>IFERROR(__xludf.DUMMYFUNCTION("""COMPUTED_VALUE"""),44776.0)</f>
        <v>44776</v>
      </c>
      <c r="C18836" s="6">
        <f>IFERROR(__xludf.DUMMYFUNCTION("""COMPUTED_VALUE"""),0.3044328703690553)</f>
        <v>0.3044328704</v>
      </c>
      <c r="D18836" s="4">
        <f>IFERROR(__xludf.DUMMYFUNCTION("""COMPUTED_VALUE"""),13.068174)</f>
        <v>13.068174</v>
      </c>
      <c r="E18836" s="4">
        <f>IFERROR(__xludf.DUMMYFUNCTION("""COMPUTED_VALUE"""),80.271321)</f>
        <v>80.271321</v>
      </c>
      <c r="F18836" s="4">
        <f>IFERROR(__xludf.DUMMYFUNCTION("""COMPUTED_VALUE"""),5339.0)</f>
        <v>5339</v>
      </c>
      <c r="G18836" s="4">
        <f>IFERROR(__xludf.DUMMYFUNCTION("""COMPUTED_VALUE"""),26.0)</f>
        <v>26</v>
      </c>
      <c r="H18836" s="4"/>
      <c r="I18836" s="4"/>
    </row>
    <row r="18837">
      <c r="A18837" s="4" t="str">
        <f>IFERROR(__xludf.DUMMYFUNCTION("""COMPUTED_VALUE"""),"cas_hmw")</f>
        <v>cas_hmw</v>
      </c>
      <c r="B18837" s="5">
        <f>IFERROR(__xludf.DUMMYFUNCTION("""COMPUTED_VALUE"""),44776.0)</f>
        <v>44776</v>
      </c>
      <c r="C18837" s="6">
        <f>IFERROR(__xludf.DUMMYFUNCTION("""COMPUTED_VALUE"""),0.3079513888878864)</f>
        <v>0.3079513889</v>
      </c>
      <c r="D18837" s="4">
        <f>IFERROR(__xludf.DUMMYFUNCTION("""COMPUTED_VALUE"""),13.012796)</f>
        <v>13.012796</v>
      </c>
      <c r="E18837" s="4">
        <f>IFERROR(__xludf.DUMMYFUNCTION("""COMPUTED_VALUE"""),80.102539)</f>
        <v>80.102539</v>
      </c>
      <c r="F18837" s="4">
        <f>IFERROR(__xludf.DUMMYFUNCTION("""COMPUTED_VALUE"""),3143.0)</f>
        <v>3143</v>
      </c>
      <c r="G18837" s="4">
        <f>IFERROR(__xludf.DUMMYFUNCTION("""COMPUTED_VALUE"""),13.0)</f>
        <v>13</v>
      </c>
      <c r="H18837" s="4"/>
      <c r="I18837" s="4"/>
    </row>
    <row r="18838">
      <c r="A18838" s="4" t="str">
        <f>IFERROR(__xludf.DUMMYFUNCTION("""COMPUTED_VALUE"""),"cas_hmw")</f>
        <v>cas_hmw</v>
      </c>
      <c r="B18838" s="5">
        <f>IFERROR(__xludf.DUMMYFUNCTION("""COMPUTED_VALUE"""),44776.0)</f>
        <v>44776</v>
      </c>
      <c r="C18838" s="6">
        <f>IFERROR(__xludf.DUMMYFUNCTION("""COMPUTED_VALUE"""),0.30811342592642177)</f>
        <v>0.3081134259</v>
      </c>
      <c r="D18838" s="4">
        <f>IFERROR(__xludf.DUMMYFUNCTION("""COMPUTED_VALUE"""),13.012432)</f>
        <v>13.012432</v>
      </c>
      <c r="E18838" s="4">
        <f>IFERROR(__xludf.DUMMYFUNCTION("""COMPUTED_VALUE"""),80.102436)</f>
        <v>80.102436</v>
      </c>
      <c r="F18838" s="4">
        <f>IFERROR(__xludf.DUMMYFUNCTION("""COMPUTED_VALUE"""),3143.0)</f>
        <v>3143</v>
      </c>
      <c r="G18838" s="4">
        <f>IFERROR(__xludf.DUMMYFUNCTION("""COMPUTED_VALUE"""),15.0)</f>
        <v>15</v>
      </c>
      <c r="H18838" s="4"/>
      <c r="I18838" s="4"/>
    </row>
    <row r="18839">
      <c r="A18839" s="4" t="str">
        <f>IFERROR(__xludf.DUMMYFUNCTION("""COMPUTED_VALUE"""),"cas_hmw")</f>
        <v>cas_hmw</v>
      </c>
      <c r="B18839" s="5">
        <f>IFERROR(__xludf.DUMMYFUNCTION("""COMPUTED_VALUE"""),44776.0)</f>
        <v>44776</v>
      </c>
      <c r="C18839" s="6">
        <f>IFERROR(__xludf.DUMMYFUNCTION("""COMPUTED_VALUE"""),0.31225694444583496)</f>
        <v>0.3122569444</v>
      </c>
      <c r="D18839" s="4">
        <f>IFERROR(__xludf.DUMMYFUNCTION("""COMPUTED_VALUE"""),13.054342)</f>
        <v>13.054342</v>
      </c>
      <c r="E18839" s="4">
        <f>IFERROR(__xludf.DUMMYFUNCTION("""COMPUTED_VALUE"""),80.258774)</f>
        <v>80.258774</v>
      </c>
      <c r="F18839" s="4">
        <f>IFERROR(__xludf.DUMMYFUNCTION("""COMPUTED_VALUE"""),5339.0)</f>
        <v>5339</v>
      </c>
      <c r="G18839" s="4">
        <f>IFERROR(__xludf.DUMMYFUNCTION("""COMPUTED_VALUE"""),43.0)</f>
        <v>43</v>
      </c>
      <c r="H18839" s="4"/>
      <c r="I18839" s="4"/>
    </row>
    <row r="18840">
      <c r="A18840" s="4" t="str">
        <f>IFERROR(__xludf.DUMMYFUNCTION("""COMPUTED_VALUE"""),"cas_hmw")</f>
        <v>cas_hmw</v>
      </c>
      <c r="B18840" s="5">
        <f>IFERROR(__xludf.DUMMYFUNCTION("""COMPUTED_VALUE"""),44776.0)</f>
        <v>44776</v>
      </c>
      <c r="C18840" s="6">
        <f>IFERROR(__xludf.DUMMYFUNCTION("""COMPUTED_VALUE"""),0.31262731481547235)</f>
        <v>0.3126273148</v>
      </c>
      <c r="D18840" s="4">
        <f>IFERROR(__xludf.DUMMYFUNCTION("""COMPUTED_VALUE"""),12.657916)</f>
        <v>12.657916</v>
      </c>
      <c r="E18840" s="4">
        <f>IFERROR(__xludf.DUMMYFUNCTION("""COMPUTED_VALUE"""),79.945656)</f>
        <v>79.945656</v>
      </c>
      <c r="F18840" s="4">
        <f>IFERROR(__xludf.DUMMYFUNCTION("""COMPUTED_VALUE"""),2846.0)</f>
        <v>2846</v>
      </c>
      <c r="G18840" s="4">
        <f>IFERROR(__xludf.DUMMYFUNCTION("""COMPUTED_VALUE"""),51.0)</f>
        <v>51</v>
      </c>
      <c r="H18840" s="4"/>
      <c r="I18840" s="4"/>
    </row>
    <row r="18841">
      <c r="A18841" s="4" t="str">
        <f>IFERROR(__xludf.DUMMYFUNCTION("""COMPUTED_VALUE"""),"cas_hmw")</f>
        <v>cas_hmw</v>
      </c>
      <c r="B18841" s="5">
        <f>IFERROR(__xludf.DUMMYFUNCTION("""COMPUTED_VALUE"""),44776.0)</f>
        <v>44776</v>
      </c>
      <c r="C18841" s="6">
        <f>IFERROR(__xludf.DUMMYFUNCTION("""COMPUTED_VALUE"""),0.312673611111677)</f>
        <v>0.3126736111</v>
      </c>
      <c r="D18841" s="4">
        <f>IFERROR(__xludf.DUMMYFUNCTION("""COMPUTED_VALUE"""),12.657916)</f>
        <v>12.657916</v>
      </c>
      <c r="E18841" s="4">
        <f>IFERROR(__xludf.DUMMYFUNCTION("""COMPUTED_VALUE"""),79.945656)</f>
        <v>79.945656</v>
      </c>
      <c r="F18841" s="4">
        <f>IFERROR(__xludf.DUMMYFUNCTION("""COMPUTED_VALUE"""),2846.0)</f>
        <v>2846</v>
      </c>
      <c r="G18841" s="4">
        <f>IFERROR(__xludf.DUMMYFUNCTION("""COMPUTED_VALUE"""),51.0)</f>
        <v>51</v>
      </c>
      <c r="H18841" s="4"/>
      <c r="I18841" s="4"/>
    </row>
    <row r="18842">
      <c r="A18842" s="4" t="str">
        <f>IFERROR(__xludf.DUMMYFUNCTION("""COMPUTED_VALUE"""),"cas_hmw")</f>
        <v>cas_hmw</v>
      </c>
      <c r="B18842" s="5">
        <f>IFERROR(__xludf.DUMMYFUNCTION("""COMPUTED_VALUE"""),44776.0)</f>
        <v>44776</v>
      </c>
      <c r="C18842" s="6">
        <f>IFERROR(__xludf.DUMMYFUNCTION("""COMPUTED_VALUE"""),0.31410879629765986)</f>
        <v>0.3141087963</v>
      </c>
      <c r="D18842" s="4">
        <f>IFERROR(__xludf.DUMMYFUNCTION("""COMPUTED_VALUE"""),12.658643)</f>
        <v>12.658643</v>
      </c>
      <c r="E18842" s="4">
        <f>IFERROR(__xludf.DUMMYFUNCTION("""COMPUTED_VALUE"""),79.959485)</f>
        <v>79.959485</v>
      </c>
      <c r="F18842" s="4">
        <f>IFERROR(__xludf.DUMMYFUNCTION("""COMPUTED_VALUE"""),2846.0)</f>
        <v>2846</v>
      </c>
      <c r="G18842" s="4">
        <f>IFERROR(__xludf.DUMMYFUNCTION("""COMPUTED_VALUE"""),22.0)</f>
        <v>22</v>
      </c>
      <c r="H18842" s="4"/>
      <c r="I18842" s="4"/>
    </row>
    <row r="18843">
      <c r="A18843" s="4" t="str">
        <f>IFERROR(__xludf.DUMMYFUNCTION("""COMPUTED_VALUE"""),"cas_hmw")</f>
        <v>cas_hmw</v>
      </c>
      <c r="B18843" s="5">
        <f>IFERROR(__xludf.DUMMYFUNCTION("""COMPUTED_VALUE"""),44776.0)</f>
        <v>44776</v>
      </c>
      <c r="C18843" s="6">
        <f>IFERROR(__xludf.DUMMYFUNCTION("""COMPUTED_VALUE"""),0.3141782407401479)</f>
        <v>0.3141782407</v>
      </c>
      <c r="D18843" s="4">
        <f>IFERROR(__xludf.DUMMYFUNCTION("""COMPUTED_VALUE"""),12.658649)</f>
        <v>12.658649</v>
      </c>
      <c r="E18843" s="4">
        <f>IFERROR(__xludf.DUMMYFUNCTION("""COMPUTED_VALUE"""),79.960053)</f>
        <v>79.960053</v>
      </c>
      <c r="F18843" s="4">
        <f>IFERROR(__xludf.DUMMYFUNCTION("""COMPUTED_VALUE"""),2846.0)</f>
        <v>2846</v>
      </c>
      <c r="G18843" s="4">
        <f>IFERROR(__xludf.DUMMYFUNCTION("""COMPUTED_VALUE"""),21.0)</f>
        <v>21</v>
      </c>
      <c r="H18843" s="4"/>
      <c r="I18843" s="4"/>
    </row>
    <row r="18844">
      <c r="A18844" s="4" t="str">
        <f>IFERROR(__xludf.DUMMYFUNCTION("""COMPUTED_VALUE"""),"cas_hmw")</f>
        <v>cas_hmw</v>
      </c>
      <c r="B18844" s="5">
        <f>IFERROR(__xludf.DUMMYFUNCTION("""COMPUTED_VALUE"""),44776.0)</f>
        <v>44776</v>
      </c>
      <c r="C18844" s="6">
        <f>IFERROR(__xludf.DUMMYFUNCTION("""COMPUTED_VALUE"""),0.31423611110949423)</f>
        <v>0.3142361111</v>
      </c>
      <c r="D18844" s="4">
        <f>IFERROR(__xludf.DUMMYFUNCTION("""COMPUTED_VALUE"""),12.658609)</f>
        <v>12.658609</v>
      </c>
      <c r="E18844" s="4">
        <f>IFERROR(__xludf.DUMMYFUNCTION("""COMPUTED_VALUE"""),79.960806)</f>
        <v>79.960806</v>
      </c>
      <c r="F18844" s="4">
        <f>IFERROR(__xludf.DUMMYFUNCTION("""COMPUTED_VALUE"""),2846.0)</f>
        <v>2846</v>
      </c>
      <c r="G18844" s="4">
        <f>IFERROR(__xludf.DUMMYFUNCTION("""COMPUTED_VALUE"""),36.0)</f>
        <v>36</v>
      </c>
      <c r="H18844" s="4"/>
      <c r="I18844" s="4"/>
    </row>
    <row r="18845">
      <c r="A18845" s="4" t="str">
        <f>IFERROR(__xludf.DUMMYFUNCTION("""COMPUTED_VALUE"""),"cas_hmw")</f>
        <v>cas_hmw</v>
      </c>
      <c r="B18845" s="5">
        <f>IFERROR(__xludf.DUMMYFUNCTION("""COMPUTED_VALUE"""),44776.0)</f>
        <v>44776</v>
      </c>
      <c r="C18845" s="6">
        <f>IFERROR(__xludf.DUMMYFUNCTION("""COMPUTED_VALUE"""),0.31437500000174623)</f>
        <v>0.314375</v>
      </c>
      <c r="D18845" s="4">
        <f>IFERROR(__xludf.DUMMYFUNCTION("""COMPUTED_VALUE"""),12.9963)</f>
        <v>12.9963</v>
      </c>
      <c r="E18845" s="4">
        <f>IFERROR(__xludf.DUMMYFUNCTION("""COMPUTED_VALUE"""),80.108912)</f>
        <v>80.108912</v>
      </c>
      <c r="F18845" s="4">
        <f>IFERROR(__xludf.DUMMYFUNCTION("""COMPUTED_VALUE"""),3143.0)</f>
        <v>3143</v>
      </c>
      <c r="G18845" s="4">
        <f>IFERROR(__xludf.DUMMYFUNCTION("""COMPUTED_VALUE"""),23.0)</f>
        <v>23</v>
      </c>
      <c r="H18845" s="4"/>
      <c r="I18845" s="4"/>
    </row>
    <row r="18846">
      <c r="A18846" s="4" t="str">
        <f>IFERROR(__xludf.DUMMYFUNCTION("""COMPUTED_VALUE"""),"cas_hmw")</f>
        <v>cas_hmw</v>
      </c>
      <c r="B18846" s="5">
        <f>IFERROR(__xludf.DUMMYFUNCTION("""COMPUTED_VALUE"""),44776.0)</f>
        <v>44776</v>
      </c>
      <c r="C18846" s="6">
        <f>IFERROR(__xludf.DUMMYFUNCTION("""COMPUTED_VALUE"""),0.31461805555591127)</f>
        <v>0.3146180556</v>
      </c>
      <c r="D18846" s="4">
        <f>IFERROR(__xludf.DUMMYFUNCTION("""COMPUTED_VALUE"""),13.043964)</f>
        <v>13.043964</v>
      </c>
      <c r="E18846" s="4">
        <f>IFERROR(__xludf.DUMMYFUNCTION("""COMPUTED_VALUE"""),80.247907)</f>
        <v>80.247907</v>
      </c>
      <c r="F18846" s="4">
        <f>IFERROR(__xludf.DUMMYFUNCTION("""COMPUTED_VALUE"""),5339.0)</f>
        <v>5339</v>
      </c>
      <c r="G18846" s="4">
        <f>IFERROR(__xludf.DUMMYFUNCTION("""COMPUTED_VALUE"""),41.0)</f>
        <v>41</v>
      </c>
      <c r="H18846" s="4"/>
      <c r="I18846" s="4"/>
    </row>
    <row r="18847">
      <c r="A18847" s="4" t="str">
        <f>IFERROR(__xludf.DUMMYFUNCTION("""COMPUTED_VALUE"""),"cas_hmw")</f>
        <v>cas_hmw</v>
      </c>
      <c r="B18847" s="5">
        <f>IFERROR(__xludf.DUMMYFUNCTION("""COMPUTED_VALUE"""),44776.0)</f>
        <v>44776</v>
      </c>
      <c r="C18847" s="6">
        <f>IFERROR(__xludf.DUMMYFUNCTION("""COMPUTED_VALUE"""),0.3147222222214623)</f>
        <v>0.3147222222</v>
      </c>
      <c r="D18847" s="4">
        <f>IFERROR(__xludf.DUMMYFUNCTION("""COMPUTED_VALUE"""),12.993455)</f>
        <v>12.993455</v>
      </c>
      <c r="E18847" s="4">
        <f>IFERROR(__xludf.DUMMYFUNCTION("""COMPUTED_VALUE"""),80.11333)</f>
        <v>80.11333</v>
      </c>
      <c r="F18847" s="4">
        <f>IFERROR(__xludf.DUMMYFUNCTION("""COMPUTED_VALUE"""),3143.0)</f>
        <v>3143</v>
      </c>
      <c r="G18847" s="4">
        <f>IFERROR(__xludf.DUMMYFUNCTION("""COMPUTED_VALUE"""),38.0)</f>
        <v>38</v>
      </c>
      <c r="H18847" s="4"/>
      <c r="I18847" s="4"/>
    </row>
    <row r="18848">
      <c r="A18848" s="4" t="str">
        <f>IFERROR(__xludf.DUMMYFUNCTION("""COMPUTED_VALUE"""),"cas_hmw")</f>
        <v>cas_hmw</v>
      </c>
      <c r="B18848" s="5">
        <f>IFERROR(__xludf.DUMMYFUNCTION("""COMPUTED_VALUE"""),44776.0)</f>
        <v>44776</v>
      </c>
      <c r="C18848" s="6">
        <f>IFERROR(__xludf.DUMMYFUNCTION("""COMPUTED_VALUE"""),0.315185185183509)</f>
        <v>0.3151851852</v>
      </c>
      <c r="D18848" s="4">
        <f>IFERROR(__xludf.DUMMYFUNCTION("""COMPUTED_VALUE"""),12.991605)</f>
        <v>12.991605</v>
      </c>
      <c r="E18848" s="4">
        <f>IFERROR(__xludf.DUMMYFUNCTION("""COMPUTED_VALUE"""),80.115355)</f>
        <v>80.115355</v>
      </c>
      <c r="F18848" s="4">
        <f>IFERROR(__xludf.DUMMYFUNCTION("""COMPUTED_VALUE"""),3143.0)</f>
        <v>3143</v>
      </c>
      <c r="G18848" s="4">
        <f>IFERROR(__xludf.DUMMYFUNCTION("""COMPUTED_VALUE"""),41.0)</f>
        <v>41</v>
      </c>
      <c r="H18848" s="4"/>
      <c r="I18848" s="4"/>
    </row>
    <row r="18849">
      <c r="A18849" s="4" t="str">
        <f>IFERROR(__xludf.DUMMYFUNCTION("""COMPUTED_VALUE"""),"cas_hmw")</f>
        <v>cas_hmw</v>
      </c>
      <c r="B18849" s="5">
        <f>IFERROR(__xludf.DUMMYFUNCTION("""COMPUTED_VALUE"""),44776.0)</f>
        <v>44776</v>
      </c>
      <c r="C18849" s="6">
        <f>IFERROR(__xludf.DUMMYFUNCTION("""COMPUTED_VALUE"""),0.3152314814797137)</f>
        <v>0.3152314815</v>
      </c>
      <c r="D18849" s="4">
        <f>IFERROR(__xludf.DUMMYFUNCTION("""COMPUTED_VALUE"""),13.042422)</f>
        <v>13.042422</v>
      </c>
      <c r="E18849" s="4">
        <f>IFERROR(__xludf.DUMMYFUNCTION("""COMPUTED_VALUE"""),80.247645)</f>
        <v>80.247645</v>
      </c>
      <c r="F18849" s="4">
        <f>IFERROR(__xludf.DUMMYFUNCTION("""COMPUTED_VALUE"""),5339.0)</f>
        <v>5339</v>
      </c>
      <c r="G18849" s="4">
        <f>IFERROR(__xludf.DUMMYFUNCTION("""COMPUTED_VALUE"""),25.0)</f>
        <v>25</v>
      </c>
      <c r="H18849" s="4"/>
      <c r="I18849" s="4"/>
    </row>
    <row r="18850">
      <c r="A18850" s="4" t="str">
        <f>IFERROR(__xludf.DUMMYFUNCTION("""COMPUTED_VALUE"""),"cas_hmw")</f>
        <v>cas_hmw</v>
      </c>
      <c r="B18850" s="5">
        <f>IFERROR(__xludf.DUMMYFUNCTION("""COMPUTED_VALUE"""),44776.0)</f>
        <v>44776</v>
      </c>
      <c r="C18850" s="6">
        <f>IFERROR(__xludf.DUMMYFUNCTION("""COMPUTED_VALUE"""),0.3156712962954771)</f>
        <v>0.3156712963</v>
      </c>
      <c r="D18850" s="4">
        <f>IFERROR(__xludf.DUMMYFUNCTION("""COMPUTED_VALUE"""),12.666599)</f>
        <v>12.666599</v>
      </c>
      <c r="E18850" s="4">
        <f>IFERROR(__xludf.DUMMYFUNCTION("""COMPUTED_VALUE"""),79.970864)</f>
        <v>79.970864</v>
      </c>
      <c r="F18850" s="4">
        <f>IFERROR(__xludf.DUMMYFUNCTION("""COMPUTED_VALUE"""),2846.0)</f>
        <v>2846</v>
      </c>
      <c r="G18850" s="4">
        <f>IFERROR(__xludf.DUMMYFUNCTION("""COMPUTED_VALUE"""),51.0)</f>
        <v>51</v>
      </c>
      <c r="H18850" s="4"/>
      <c r="I18850" s="4"/>
    </row>
    <row r="18851">
      <c r="A18851" s="4" t="str">
        <f>IFERROR(__xludf.DUMMYFUNCTION("""COMPUTED_VALUE"""),"cas_hmw")</f>
        <v>cas_hmw</v>
      </c>
      <c r="B18851" s="5">
        <f>IFERROR(__xludf.DUMMYFUNCTION("""COMPUTED_VALUE"""),44776.0)</f>
        <v>44776</v>
      </c>
      <c r="C18851" s="6">
        <f>IFERROR(__xludf.DUMMYFUNCTION("""COMPUTED_VALUE"""),0.31644675925781485)</f>
        <v>0.3164467593</v>
      </c>
      <c r="D18851" s="4">
        <f>IFERROR(__xludf.DUMMYFUNCTION("""COMPUTED_VALUE"""),13.039769)</f>
        <v>13.039769</v>
      </c>
      <c r="E18851" s="4">
        <f>IFERROR(__xludf.DUMMYFUNCTION("""COMPUTED_VALUE"""),80.247151)</f>
        <v>80.247151</v>
      </c>
      <c r="F18851" s="4">
        <f>IFERROR(__xludf.DUMMYFUNCTION("""COMPUTED_VALUE"""),5339.0)</f>
        <v>5339</v>
      </c>
      <c r="G18851" s="4">
        <f>IFERROR(__xludf.DUMMYFUNCTION("""COMPUTED_VALUE"""),10.0)</f>
        <v>10</v>
      </c>
      <c r="H18851" s="4"/>
      <c r="I18851" s="4"/>
    </row>
    <row r="18852">
      <c r="A18852" s="4" t="str">
        <f>IFERROR(__xludf.DUMMYFUNCTION("""COMPUTED_VALUE"""),"cas_hmw")</f>
        <v>cas_hmw</v>
      </c>
      <c r="B18852" s="5">
        <f>IFERROR(__xludf.DUMMYFUNCTION("""COMPUTED_VALUE"""),44776.0)</f>
        <v>44776</v>
      </c>
      <c r="C18852" s="6">
        <f>IFERROR(__xludf.DUMMYFUNCTION("""COMPUTED_VALUE"""),0.3167476851849642)</f>
        <v>0.3167476852</v>
      </c>
      <c r="D18852" s="4">
        <f>IFERROR(__xludf.DUMMYFUNCTION("""COMPUTED_VALUE"""),12.984765)</f>
        <v>12.984765</v>
      </c>
      <c r="E18852" s="4">
        <f>IFERROR(__xludf.DUMMYFUNCTION("""COMPUTED_VALUE"""),80.122052)</f>
        <v>80.122052</v>
      </c>
      <c r="F18852" s="4">
        <f>IFERROR(__xludf.DUMMYFUNCTION("""COMPUTED_VALUE"""),3143.0)</f>
        <v>3143</v>
      </c>
      <c r="G18852" s="4">
        <f>IFERROR(__xludf.DUMMYFUNCTION("""COMPUTED_VALUE"""),25.0)</f>
        <v>25</v>
      </c>
      <c r="H18852" s="4"/>
      <c r="I18852" s="4"/>
    </row>
    <row r="18853">
      <c r="A18853" s="4" t="str">
        <f>IFERROR(__xludf.DUMMYFUNCTION("""COMPUTED_VALUE"""),"cas_hmw")</f>
        <v>cas_hmw</v>
      </c>
      <c r="B18853" s="5">
        <f>IFERROR(__xludf.DUMMYFUNCTION("""COMPUTED_VALUE"""),44776.0)</f>
        <v>44776</v>
      </c>
      <c r="C18853" s="6">
        <f>IFERROR(__xludf.DUMMYFUNCTION("""COMPUTED_VALUE"""),0.3173032407394203)</f>
        <v>0.3173032407</v>
      </c>
      <c r="D18853" s="4">
        <f>IFERROR(__xludf.DUMMYFUNCTION("""COMPUTED_VALUE"""),13.034412)</f>
        <v>13.034412</v>
      </c>
      <c r="E18853" s="4">
        <f>IFERROR(__xludf.DUMMYFUNCTION("""COMPUTED_VALUE"""),80.245196)</f>
        <v>80.245196</v>
      </c>
      <c r="F18853" s="4">
        <f>IFERROR(__xludf.DUMMYFUNCTION("""COMPUTED_VALUE"""),5339.0)</f>
        <v>5339</v>
      </c>
      <c r="G18853" s="4">
        <f>IFERROR(__xludf.DUMMYFUNCTION("""COMPUTED_VALUE"""),43.0)</f>
        <v>43</v>
      </c>
      <c r="H18853" s="4"/>
      <c r="I18853" s="4"/>
    </row>
    <row r="18854">
      <c r="A18854" s="4" t="str">
        <f>IFERROR(__xludf.DUMMYFUNCTION("""COMPUTED_VALUE"""),"cas_hmw")</f>
        <v>cas_hmw</v>
      </c>
      <c r="B18854" s="5">
        <f>IFERROR(__xludf.DUMMYFUNCTION("""COMPUTED_VALUE"""),44776.0)</f>
        <v>44776</v>
      </c>
      <c r="C18854" s="6">
        <f>IFERROR(__xludf.DUMMYFUNCTION("""COMPUTED_VALUE"""),0.31739583333182964)</f>
        <v>0.3173958333</v>
      </c>
      <c r="D18854" s="4">
        <f>IFERROR(__xludf.DUMMYFUNCTION("""COMPUTED_VALUE"""),13.034412)</f>
        <v>13.034412</v>
      </c>
      <c r="E18854" s="4">
        <f>IFERROR(__xludf.DUMMYFUNCTION("""COMPUTED_VALUE"""),80.245196)</f>
        <v>80.245196</v>
      </c>
      <c r="F18854" s="4">
        <f>IFERROR(__xludf.DUMMYFUNCTION("""COMPUTED_VALUE"""),5339.0)</f>
        <v>5339</v>
      </c>
      <c r="G18854" s="4">
        <f>IFERROR(__xludf.DUMMYFUNCTION("""COMPUTED_VALUE"""),43.0)</f>
        <v>43</v>
      </c>
      <c r="H18854" s="4"/>
      <c r="I18854" s="4"/>
    </row>
    <row r="18855">
      <c r="A18855" s="4" t="str">
        <f>IFERROR(__xludf.DUMMYFUNCTION("""COMPUTED_VALUE"""),"cas_hmw")</f>
        <v>cas_hmw</v>
      </c>
      <c r="B18855" s="5">
        <f>IFERROR(__xludf.DUMMYFUNCTION("""COMPUTED_VALUE"""),44776.0)</f>
        <v>44776</v>
      </c>
      <c r="C18855" s="6">
        <f>IFERROR(__xludf.DUMMYFUNCTION("""COMPUTED_VALUE"""),0.317523148147302)</f>
        <v>0.3175231481</v>
      </c>
      <c r="D18855" s="4">
        <f>IFERROR(__xludf.DUMMYFUNCTION("""COMPUTED_VALUE"""),13.033458)</f>
        <v>13.033458</v>
      </c>
      <c r="E18855" s="4">
        <f>IFERROR(__xludf.DUMMYFUNCTION("""COMPUTED_VALUE"""),80.243929)</f>
        <v>80.243929</v>
      </c>
      <c r="F18855" s="4">
        <f>IFERROR(__xludf.DUMMYFUNCTION("""COMPUTED_VALUE"""),5339.0)</f>
        <v>5339</v>
      </c>
      <c r="G18855" s="4">
        <f>IFERROR(__xludf.DUMMYFUNCTION("""COMPUTED_VALUE"""),36.0)</f>
        <v>36</v>
      </c>
      <c r="H18855" s="4"/>
      <c r="I18855" s="4"/>
    </row>
    <row r="18856">
      <c r="A18856" s="4" t="str">
        <f>IFERROR(__xludf.DUMMYFUNCTION("""COMPUTED_VALUE"""),"cas_hmw")</f>
        <v>cas_hmw</v>
      </c>
      <c r="B18856" s="5">
        <f>IFERROR(__xludf.DUMMYFUNCTION("""COMPUTED_VALUE"""),44776.0)</f>
        <v>44776</v>
      </c>
      <c r="C18856" s="6">
        <f>IFERROR(__xludf.DUMMYFUNCTION("""COMPUTED_VALUE"""),0.3184490740750334)</f>
        <v>0.3184490741</v>
      </c>
      <c r="D18856" s="4">
        <f>IFERROR(__xludf.DUMMYFUNCTION("""COMPUTED_VALUE"""),13.030887)</f>
        <v>13.030887</v>
      </c>
      <c r="E18856" s="4">
        <f>IFERROR(__xludf.DUMMYFUNCTION("""COMPUTED_VALUE"""),80.23962)</f>
        <v>80.23962</v>
      </c>
      <c r="F18856" s="4">
        <f>IFERROR(__xludf.DUMMYFUNCTION("""COMPUTED_VALUE"""),5339.0)</f>
        <v>5339</v>
      </c>
      <c r="G18856" s="4">
        <f>IFERROR(__xludf.DUMMYFUNCTION("""COMPUTED_VALUE"""),24.0)</f>
        <v>24</v>
      </c>
      <c r="H18856" s="4"/>
      <c r="I18856" s="4"/>
    </row>
    <row r="18857">
      <c r="A18857" s="4" t="str">
        <f>IFERROR(__xludf.DUMMYFUNCTION("""COMPUTED_VALUE"""),"cas_hmw")</f>
        <v>cas_hmw</v>
      </c>
      <c r="B18857" s="5">
        <f>IFERROR(__xludf.DUMMYFUNCTION("""COMPUTED_VALUE"""),44776.0)</f>
        <v>44776</v>
      </c>
      <c r="C18857" s="6">
        <f>IFERROR(__xludf.DUMMYFUNCTION("""COMPUTED_VALUE"""),0.3184606481481751)</f>
        <v>0.3184606481</v>
      </c>
      <c r="D18857" s="4">
        <f>IFERROR(__xludf.DUMMYFUNCTION("""COMPUTED_VALUE"""),13.030887)</f>
        <v>13.030887</v>
      </c>
      <c r="E18857" s="4">
        <f>IFERROR(__xludf.DUMMYFUNCTION("""COMPUTED_VALUE"""),80.23962)</f>
        <v>80.23962</v>
      </c>
      <c r="F18857" s="4">
        <f>IFERROR(__xludf.DUMMYFUNCTION("""COMPUTED_VALUE"""),5339.0)</f>
        <v>5339</v>
      </c>
      <c r="G18857" s="4">
        <f>IFERROR(__xludf.DUMMYFUNCTION("""COMPUTED_VALUE"""),24.0)</f>
        <v>24</v>
      </c>
      <c r="H18857" s="4"/>
      <c r="I18857" s="4"/>
    </row>
    <row r="18858">
      <c r="A18858" s="4" t="str">
        <f>IFERROR(__xludf.DUMMYFUNCTION("""COMPUTED_VALUE"""),"cas_hmw")</f>
        <v>cas_hmw</v>
      </c>
      <c r="B18858" s="5">
        <f>IFERROR(__xludf.DUMMYFUNCTION("""COMPUTED_VALUE"""),44776.0)</f>
        <v>44776</v>
      </c>
      <c r="C18858" s="6">
        <f>IFERROR(__xludf.DUMMYFUNCTION("""COMPUTED_VALUE"""),0.31873842592540313)</f>
        <v>0.3187384259</v>
      </c>
      <c r="D18858" s="4">
        <f>IFERROR(__xludf.DUMMYFUNCTION("""COMPUTED_VALUE"""),13.029957)</f>
        <v>13.029957</v>
      </c>
      <c r="E18858" s="4">
        <f>IFERROR(__xludf.DUMMYFUNCTION("""COMPUTED_VALUE"""),80.23786)</f>
        <v>80.23786</v>
      </c>
      <c r="F18858" s="4">
        <f>IFERROR(__xludf.DUMMYFUNCTION("""COMPUTED_VALUE"""),5339.0)</f>
        <v>5339</v>
      </c>
      <c r="G18858" s="4">
        <f>IFERROR(__xludf.DUMMYFUNCTION("""COMPUTED_VALUE"""),38.0)</f>
        <v>38</v>
      </c>
      <c r="H18858" s="4"/>
      <c r="I18858" s="4"/>
    </row>
    <row r="18859">
      <c r="A18859" s="4" t="str">
        <f>IFERROR(__xludf.DUMMYFUNCTION("""COMPUTED_VALUE"""),"cas_hmw")</f>
        <v>cas_hmw</v>
      </c>
      <c r="B18859" s="5">
        <f>IFERROR(__xludf.DUMMYFUNCTION("""COMPUTED_VALUE"""),44776.0)</f>
        <v>44776</v>
      </c>
      <c r="C18859" s="6">
        <f>IFERROR(__xludf.DUMMYFUNCTION("""COMPUTED_VALUE"""),0.31906249999883585)</f>
        <v>0.3190625</v>
      </c>
      <c r="D18859" s="4">
        <f>IFERROR(__xludf.DUMMYFUNCTION("""COMPUTED_VALUE"""),13.028227)</f>
        <v>13.028227</v>
      </c>
      <c r="E18859" s="4">
        <f>IFERROR(__xludf.DUMMYFUNCTION("""COMPUTED_VALUE"""),80.235774)</f>
        <v>80.235774</v>
      </c>
      <c r="F18859" s="4">
        <f>IFERROR(__xludf.DUMMYFUNCTION("""COMPUTED_VALUE"""),5339.0)</f>
        <v>5339</v>
      </c>
      <c r="G18859" s="4">
        <f>IFERROR(__xludf.DUMMYFUNCTION("""COMPUTED_VALUE"""),39.0)</f>
        <v>39</v>
      </c>
      <c r="H18859" s="4"/>
      <c r="I18859" s="4"/>
    </row>
    <row r="18860">
      <c r="A18860" s="4" t="str">
        <f>IFERROR(__xludf.DUMMYFUNCTION("""COMPUTED_VALUE"""),"cas_hmw")</f>
        <v>cas_hmw</v>
      </c>
      <c r="B18860" s="5">
        <f>IFERROR(__xludf.DUMMYFUNCTION("""COMPUTED_VALUE"""),44776.0)</f>
        <v>44776</v>
      </c>
      <c r="C18860" s="6">
        <f>IFERROR(__xludf.DUMMYFUNCTION("""COMPUTED_VALUE"""),0.31916666666802485)</f>
        <v>0.3191666667</v>
      </c>
      <c r="D18860" s="4">
        <f>IFERROR(__xludf.DUMMYFUNCTION("""COMPUTED_VALUE"""),13.028227)</f>
        <v>13.028227</v>
      </c>
      <c r="E18860" s="4">
        <f>IFERROR(__xludf.DUMMYFUNCTION("""COMPUTED_VALUE"""),80.235774)</f>
        <v>80.235774</v>
      </c>
      <c r="F18860" s="4">
        <f>IFERROR(__xludf.DUMMYFUNCTION("""COMPUTED_VALUE"""),5339.0)</f>
        <v>5339</v>
      </c>
      <c r="G18860" s="4">
        <f>IFERROR(__xludf.DUMMYFUNCTION("""COMPUTED_VALUE"""),39.0)</f>
        <v>39</v>
      </c>
      <c r="H18860" s="4"/>
      <c r="I18860" s="4"/>
    </row>
    <row r="18861">
      <c r="A18861" s="4" t="str">
        <f>IFERROR(__xludf.DUMMYFUNCTION("""COMPUTED_VALUE"""),"cas_hmw")</f>
        <v>cas_hmw</v>
      </c>
      <c r="B18861" s="5">
        <f>IFERROR(__xludf.DUMMYFUNCTION("""COMPUTED_VALUE"""),44776.0)</f>
        <v>44776</v>
      </c>
      <c r="C18861" s="6">
        <f>IFERROR(__xludf.DUMMYFUNCTION("""COMPUTED_VALUE"""),0.3200925925921183)</f>
        <v>0.3200925926</v>
      </c>
      <c r="D18861" s="4">
        <f>IFERROR(__xludf.DUMMYFUNCTION("""COMPUTED_VALUE"""),13.026554)</f>
        <v>13.026554</v>
      </c>
      <c r="E18861" s="4">
        <f>IFERROR(__xludf.DUMMYFUNCTION("""COMPUTED_VALUE"""),80.233068)</f>
        <v>80.233068</v>
      </c>
      <c r="F18861" s="4">
        <f>IFERROR(__xludf.DUMMYFUNCTION("""COMPUTED_VALUE"""),5339.0)</f>
        <v>5339</v>
      </c>
      <c r="G18861" s="4">
        <f>IFERROR(__xludf.DUMMYFUNCTION("""COMPUTED_VALUE"""),21.0)</f>
        <v>21</v>
      </c>
      <c r="H18861" s="4"/>
      <c r="I18861" s="4"/>
    </row>
    <row r="18862">
      <c r="A18862" s="4" t="str">
        <f>IFERROR(__xludf.DUMMYFUNCTION("""COMPUTED_VALUE"""),"cas_hmw")</f>
        <v>cas_hmw</v>
      </c>
      <c r="B18862" s="5">
        <f>IFERROR(__xludf.DUMMYFUNCTION("""COMPUTED_VALUE"""),44776.0)</f>
        <v>44776</v>
      </c>
      <c r="C18862" s="6">
        <f>IFERROR(__xludf.DUMMYFUNCTION("""COMPUTED_VALUE"""),0.3201273148151813)</f>
        <v>0.3201273148</v>
      </c>
      <c r="D18862" s="4">
        <f>IFERROR(__xludf.DUMMYFUNCTION("""COMPUTED_VALUE"""),12.685695)</f>
        <v>12.685695</v>
      </c>
      <c r="E18862" s="4">
        <f>IFERROR(__xludf.DUMMYFUNCTION("""COMPUTED_VALUE"""),79.983441)</f>
        <v>79.983441</v>
      </c>
      <c r="F18862" s="4">
        <f>IFERROR(__xludf.DUMMYFUNCTION("""COMPUTED_VALUE"""),2846.0)</f>
        <v>2846</v>
      </c>
      <c r="G18862" s="4">
        <f>IFERROR(__xludf.DUMMYFUNCTION("""COMPUTED_VALUE"""),37.0)</f>
        <v>37</v>
      </c>
      <c r="H18862" s="4"/>
      <c r="I18862" s="4"/>
    </row>
    <row r="18863">
      <c r="A18863" s="4" t="str">
        <f>IFERROR(__xludf.DUMMYFUNCTION("""COMPUTED_VALUE"""),"cas_hmw")</f>
        <v>cas_hmw</v>
      </c>
      <c r="B18863" s="5">
        <f>IFERROR(__xludf.DUMMYFUNCTION("""COMPUTED_VALUE"""),44776.0)</f>
        <v>44776</v>
      </c>
      <c r="C18863" s="6">
        <f>IFERROR(__xludf.DUMMYFUNCTION("""COMPUTED_VALUE"""),0.320138888888323)</f>
        <v>0.3201388889</v>
      </c>
      <c r="D18863" s="4">
        <f>IFERROR(__xludf.DUMMYFUNCTION("""COMPUTED_VALUE"""),13.026554)</f>
        <v>13.026554</v>
      </c>
      <c r="E18863" s="4">
        <f>IFERROR(__xludf.DUMMYFUNCTION("""COMPUTED_VALUE"""),80.233068)</f>
        <v>80.233068</v>
      </c>
      <c r="F18863" s="4">
        <f>IFERROR(__xludf.DUMMYFUNCTION("""COMPUTED_VALUE"""),5339.0)</f>
        <v>5339</v>
      </c>
      <c r="G18863" s="4">
        <f>IFERROR(__xludf.DUMMYFUNCTION("""COMPUTED_VALUE"""),21.0)</f>
        <v>21</v>
      </c>
      <c r="H18863" s="4"/>
      <c r="I18863" s="4"/>
    </row>
    <row r="18864">
      <c r="A18864" s="4" t="str">
        <f>IFERROR(__xludf.DUMMYFUNCTION("""COMPUTED_VALUE"""),"cas_hmw")</f>
        <v>cas_hmw</v>
      </c>
      <c r="B18864" s="5">
        <f>IFERROR(__xludf.DUMMYFUNCTION("""COMPUTED_VALUE"""),44776.0)</f>
        <v>44776</v>
      </c>
      <c r="C18864" s="6">
        <f>IFERROR(__xludf.DUMMYFUNCTION("""COMPUTED_VALUE"""),0.3202893518500787)</f>
        <v>0.3202893519</v>
      </c>
      <c r="D18864" s="4">
        <f>IFERROR(__xludf.DUMMYFUNCTION("""COMPUTED_VALUE"""),12.686509)</f>
        <v>12.686509</v>
      </c>
      <c r="E18864" s="4">
        <f>IFERROR(__xludf.DUMMYFUNCTION("""COMPUTED_VALUE"""),79.983246)</f>
        <v>79.983246</v>
      </c>
      <c r="F18864" s="4">
        <f>IFERROR(__xludf.DUMMYFUNCTION("""COMPUTED_VALUE"""),2846.0)</f>
        <v>2846</v>
      </c>
      <c r="G18864" s="4">
        <f>IFERROR(__xludf.DUMMYFUNCTION("""COMPUTED_VALUE"""),30.0)</f>
        <v>30</v>
      </c>
      <c r="H18864" s="4"/>
      <c r="I18864" s="4"/>
    </row>
    <row r="18865">
      <c r="A18865" s="4" t="str">
        <f>IFERROR(__xludf.DUMMYFUNCTION("""COMPUTED_VALUE"""),"cas_hmw")</f>
        <v>cas_hmw</v>
      </c>
      <c r="B18865" s="5">
        <f>IFERROR(__xludf.DUMMYFUNCTION("""COMPUTED_VALUE"""),44776.0)</f>
        <v>44776</v>
      </c>
      <c r="C18865" s="6">
        <f>IFERROR(__xludf.DUMMYFUNCTION("""COMPUTED_VALUE"""),0.32037037036934635)</f>
        <v>0.3203703704</v>
      </c>
      <c r="D18865" s="4">
        <f>IFERROR(__xludf.DUMMYFUNCTION("""COMPUTED_VALUE"""),12.686509)</f>
        <v>12.686509</v>
      </c>
      <c r="E18865" s="4">
        <f>IFERROR(__xludf.DUMMYFUNCTION("""COMPUTED_VALUE"""),79.983246)</f>
        <v>79.983246</v>
      </c>
      <c r="F18865" s="4">
        <f>IFERROR(__xludf.DUMMYFUNCTION("""COMPUTED_VALUE"""),2846.0)</f>
        <v>2846</v>
      </c>
      <c r="G18865" s="4">
        <f>IFERROR(__xludf.DUMMYFUNCTION("""COMPUTED_VALUE"""),30.0)</f>
        <v>30</v>
      </c>
      <c r="H18865" s="4"/>
      <c r="I18865" s="4"/>
    </row>
    <row r="18866">
      <c r="A18866" s="4" t="str">
        <f>IFERROR(__xludf.DUMMYFUNCTION("""COMPUTED_VALUE"""),"cas_hmw")</f>
        <v>cas_hmw</v>
      </c>
      <c r="B18866" s="5">
        <f>IFERROR(__xludf.DUMMYFUNCTION("""COMPUTED_VALUE"""),44776.0)</f>
        <v>44776</v>
      </c>
      <c r="C18866" s="6">
        <f>IFERROR(__xludf.DUMMYFUNCTION("""COMPUTED_VALUE"""),0.3203935185192677)</f>
        <v>0.3203935185</v>
      </c>
      <c r="D18866" s="4">
        <f>IFERROR(__xludf.DUMMYFUNCTION("""COMPUTED_VALUE"""),13.025774)</f>
        <v>13.025774</v>
      </c>
      <c r="E18866" s="4">
        <f>IFERROR(__xludf.DUMMYFUNCTION("""COMPUTED_VALUE"""),80.230636)</f>
        <v>80.230636</v>
      </c>
      <c r="F18866" s="4">
        <f>IFERROR(__xludf.DUMMYFUNCTION("""COMPUTED_VALUE"""),5339.0)</f>
        <v>5339</v>
      </c>
      <c r="G18866" s="4">
        <f>IFERROR(__xludf.DUMMYFUNCTION("""COMPUTED_VALUE"""),40.0)</f>
        <v>40</v>
      </c>
      <c r="H18866" s="4"/>
      <c r="I18866" s="4"/>
    </row>
    <row r="18867">
      <c r="A18867" s="4" t="str">
        <f>IFERROR(__xludf.DUMMYFUNCTION("""COMPUTED_VALUE"""),"cas_hmw")</f>
        <v>cas_hmw</v>
      </c>
      <c r="B18867" s="5">
        <f>IFERROR(__xludf.DUMMYFUNCTION("""COMPUTED_VALUE"""),44776.0)</f>
        <v>44776</v>
      </c>
      <c r="C18867" s="6">
        <f>IFERROR(__xludf.DUMMYFUNCTION("""COMPUTED_VALUE"""),0.32065972222335404)</f>
        <v>0.3206597222</v>
      </c>
      <c r="D18867" s="4">
        <f>IFERROR(__xludf.DUMMYFUNCTION("""COMPUTED_VALUE"""),12.687867)</f>
        <v>12.687867</v>
      </c>
      <c r="E18867" s="4">
        <f>IFERROR(__xludf.DUMMYFUNCTION("""COMPUTED_VALUE"""),79.982918)</f>
        <v>79.982918</v>
      </c>
      <c r="F18867" s="4">
        <f>IFERROR(__xludf.DUMMYFUNCTION("""COMPUTED_VALUE"""),2846.0)</f>
        <v>2846</v>
      </c>
      <c r="G18867" s="4">
        <f>IFERROR(__xludf.DUMMYFUNCTION("""COMPUTED_VALUE"""),31.0)</f>
        <v>31</v>
      </c>
      <c r="H18867" s="4"/>
      <c r="I18867" s="4"/>
    </row>
    <row r="18868">
      <c r="A18868" s="4" t="str">
        <f>IFERROR(__xludf.DUMMYFUNCTION("""COMPUTED_VALUE"""),"cas_hmw")</f>
        <v>cas_hmw</v>
      </c>
      <c r="B18868" s="5">
        <f>IFERROR(__xludf.DUMMYFUNCTION("""COMPUTED_VALUE"""),44776.0)</f>
        <v>44776</v>
      </c>
      <c r="C18868" s="6">
        <f>IFERROR(__xludf.DUMMYFUNCTION("""COMPUTED_VALUE"""),0.32077546296204673)</f>
        <v>0.320775463</v>
      </c>
      <c r="D18868" s="4">
        <f>IFERROR(__xludf.DUMMYFUNCTION("""COMPUTED_VALUE"""),12.688511)</f>
        <v>12.688511</v>
      </c>
      <c r="E18868" s="4">
        <f>IFERROR(__xludf.DUMMYFUNCTION("""COMPUTED_VALUE"""),79.982714)</f>
        <v>79.982714</v>
      </c>
      <c r="F18868" s="4">
        <f>IFERROR(__xludf.DUMMYFUNCTION("""COMPUTED_VALUE"""),2846.0)</f>
        <v>2846</v>
      </c>
      <c r="G18868" s="4">
        <f>IFERROR(__xludf.DUMMYFUNCTION("""COMPUTED_VALUE"""),26.0)</f>
        <v>26</v>
      </c>
      <c r="H18868" s="4"/>
      <c r="I18868" s="4"/>
    </row>
    <row r="18869">
      <c r="A18869" s="4" t="str">
        <f>IFERROR(__xludf.DUMMYFUNCTION("""COMPUTED_VALUE"""),"cas_hmw")</f>
        <v>cas_hmw</v>
      </c>
      <c r="B18869" s="5">
        <f>IFERROR(__xludf.DUMMYFUNCTION("""COMPUTED_VALUE"""),44776.0)</f>
        <v>44776</v>
      </c>
      <c r="C18869" s="6">
        <f>IFERROR(__xludf.DUMMYFUNCTION("""COMPUTED_VALUE"""),0.3215509259243845)</f>
        <v>0.3215509259</v>
      </c>
      <c r="D18869" s="4">
        <f>IFERROR(__xludf.DUMMYFUNCTION("""COMPUTED_VALUE"""),13.006453)</f>
        <v>13.006453</v>
      </c>
      <c r="E18869" s="4">
        <f>IFERROR(__xludf.DUMMYFUNCTION("""COMPUTED_VALUE"""),80.256312)</f>
        <v>80.256312</v>
      </c>
      <c r="F18869" s="4">
        <f>IFERROR(__xludf.DUMMYFUNCTION("""COMPUTED_VALUE"""),805.0)</f>
        <v>805</v>
      </c>
      <c r="G18869" s="4">
        <f>IFERROR(__xludf.DUMMYFUNCTION("""COMPUTED_VALUE"""),34.0)</f>
        <v>34</v>
      </c>
      <c r="H18869" s="4"/>
      <c r="I18869" s="4"/>
    </row>
    <row r="18870">
      <c r="A18870" s="4" t="str">
        <f>IFERROR(__xludf.DUMMYFUNCTION("""COMPUTED_VALUE"""),"cas_hmw")</f>
        <v>cas_hmw</v>
      </c>
      <c r="B18870" s="5">
        <f>IFERROR(__xludf.DUMMYFUNCTION("""COMPUTED_VALUE"""),44776.0)</f>
        <v>44776</v>
      </c>
      <c r="C18870" s="6">
        <f>IFERROR(__xludf.DUMMYFUNCTION("""COMPUTED_VALUE"""),0.3222453703710926)</f>
        <v>0.3222453704</v>
      </c>
      <c r="D18870" s="4">
        <f>IFERROR(__xludf.DUMMYFUNCTION("""COMPUTED_VALUE"""),13.01534)</f>
        <v>13.01534</v>
      </c>
      <c r="E18870" s="4">
        <f>IFERROR(__xludf.DUMMYFUNCTION("""COMPUTED_VALUE"""),80.225855)</f>
        <v>80.225855</v>
      </c>
      <c r="F18870" s="4">
        <f>IFERROR(__xludf.DUMMYFUNCTION("""COMPUTED_VALUE"""),5339.0)</f>
        <v>5339</v>
      </c>
      <c r="G18870" s="4">
        <f>IFERROR(__xludf.DUMMYFUNCTION("""COMPUTED_VALUE"""),12.0)</f>
        <v>12</v>
      </c>
      <c r="H18870" s="4"/>
      <c r="I18870" s="4"/>
    </row>
    <row r="18871">
      <c r="A18871" s="4" t="str">
        <f>IFERROR(__xludf.DUMMYFUNCTION("""COMPUTED_VALUE"""),"cas_hmw")</f>
        <v>cas_hmw</v>
      </c>
      <c r="B18871" s="5">
        <f>IFERROR(__xludf.DUMMYFUNCTION("""COMPUTED_VALUE"""),44776.0)</f>
        <v>44776</v>
      </c>
      <c r="C18871" s="6">
        <f>IFERROR(__xludf.DUMMYFUNCTION("""COMPUTED_VALUE"""),0.32225694444423425)</f>
        <v>0.3222569444</v>
      </c>
      <c r="D18871" s="4">
        <f>IFERROR(__xludf.DUMMYFUNCTION("""COMPUTED_VALUE"""),13.01534)</f>
        <v>13.01534</v>
      </c>
      <c r="E18871" s="4">
        <f>IFERROR(__xludf.DUMMYFUNCTION("""COMPUTED_VALUE"""),80.225855)</f>
        <v>80.225855</v>
      </c>
      <c r="F18871" s="4">
        <f>IFERROR(__xludf.DUMMYFUNCTION("""COMPUTED_VALUE"""),5339.0)</f>
        <v>5339</v>
      </c>
      <c r="G18871" s="4">
        <f>IFERROR(__xludf.DUMMYFUNCTION("""COMPUTED_VALUE"""),12.0)</f>
        <v>12</v>
      </c>
      <c r="H18871" s="4"/>
      <c r="I18871" s="4"/>
    </row>
    <row r="18872">
      <c r="A18872" s="4" t="str">
        <f>IFERROR(__xludf.DUMMYFUNCTION("""COMPUTED_VALUE"""),"cas_hmw")</f>
        <v>cas_hmw</v>
      </c>
      <c r="B18872" s="5">
        <f>IFERROR(__xludf.DUMMYFUNCTION("""COMPUTED_VALUE"""),44776.0)</f>
        <v>44776</v>
      </c>
      <c r="C18872" s="6">
        <f>IFERROR(__xludf.DUMMYFUNCTION("""COMPUTED_VALUE"""),0.32239583333284827)</f>
        <v>0.3223958333</v>
      </c>
      <c r="D18872" s="4">
        <f>IFERROR(__xludf.DUMMYFUNCTION("""COMPUTED_VALUE"""),13.014488)</f>
        <v>13.014488</v>
      </c>
      <c r="E18872" s="4">
        <f>IFERROR(__xludf.DUMMYFUNCTION("""COMPUTED_VALUE"""),80.226196)</f>
        <v>80.226196</v>
      </c>
      <c r="F18872" s="4">
        <f>IFERROR(__xludf.DUMMYFUNCTION("""COMPUTED_VALUE"""),5339.0)</f>
        <v>5339</v>
      </c>
      <c r="G18872" s="4">
        <f>IFERROR(__xludf.DUMMYFUNCTION("""COMPUTED_VALUE"""),32.0)</f>
        <v>32</v>
      </c>
      <c r="H18872" s="4"/>
      <c r="I18872" s="4"/>
    </row>
    <row r="18873">
      <c r="A18873" s="4" t="str">
        <f>IFERROR(__xludf.DUMMYFUNCTION("""COMPUTED_VALUE"""),"cas_hmw")</f>
        <v>cas_hmw</v>
      </c>
      <c r="B18873" s="5">
        <f>IFERROR(__xludf.DUMMYFUNCTION("""COMPUTED_VALUE"""),44776.0)</f>
        <v>44776</v>
      </c>
      <c r="C18873" s="6">
        <f>IFERROR(__xludf.DUMMYFUNCTION("""COMPUTED_VALUE"""),0.3227777777792653)</f>
        <v>0.3227777778</v>
      </c>
      <c r="D18873" s="4">
        <f>IFERROR(__xludf.DUMMYFUNCTION("""COMPUTED_VALUE"""),13.0116)</f>
        <v>13.0116</v>
      </c>
      <c r="E18873" s="4">
        <f>IFERROR(__xludf.DUMMYFUNCTION("""COMPUTED_VALUE"""),80.227314)</f>
        <v>80.227314</v>
      </c>
      <c r="F18873" s="4">
        <f>IFERROR(__xludf.DUMMYFUNCTION("""COMPUTED_VALUE"""),5339.0)</f>
        <v>5339</v>
      </c>
      <c r="G18873" s="4">
        <f>IFERROR(__xludf.DUMMYFUNCTION("""COMPUTED_VALUE"""),44.0)</f>
        <v>44</v>
      </c>
      <c r="H18873" s="4"/>
      <c r="I18873" s="4"/>
    </row>
    <row r="18874">
      <c r="A18874" s="4" t="str">
        <f>IFERROR(__xludf.DUMMYFUNCTION("""COMPUTED_VALUE"""),"cas_hmw")</f>
        <v>cas_hmw</v>
      </c>
      <c r="B18874" s="5">
        <f>IFERROR(__xludf.DUMMYFUNCTION("""COMPUTED_VALUE"""),44776.0)</f>
        <v>44776</v>
      </c>
      <c r="C18874" s="6">
        <f>IFERROR(__xludf.DUMMYFUNCTION("""COMPUTED_VALUE"""),0.32287037037167465)</f>
        <v>0.3228703704</v>
      </c>
      <c r="D18874" s="4">
        <f>IFERROR(__xludf.DUMMYFUNCTION("""COMPUTED_VALUE"""),13.0116)</f>
        <v>13.0116</v>
      </c>
      <c r="E18874" s="4">
        <f>IFERROR(__xludf.DUMMYFUNCTION("""COMPUTED_VALUE"""),80.227314)</f>
        <v>80.227314</v>
      </c>
      <c r="F18874" s="4">
        <f>IFERROR(__xludf.DUMMYFUNCTION("""COMPUTED_VALUE"""),5339.0)</f>
        <v>5339</v>
      </c>
      <c r="G18874" s="4">
        <f>IFERROR(__xludf.DUMMYFUNCTION("""COMPUTED_VALUE"""),44.0)</f>
        <v>44</v>
      </c>
      <c r="H18874" s="4"/>
      <c r="I18874" s="4"/>
    </row>
    <row r="18875">
      <c r="A18875" s="4" t="str">
        <f>IFERROR(__xludf.DUMMYFUNCTION("""COMPUTED_VALUE"""),"cas_hmw")</f>
        <v>cas_hmw</v>
      </c>
      <c r="B18875" s="5">
        <f>IFERROR(__xludf.DUMMYFUNCTION("""COMPUTED_VALUE"""),44776.0)</f>
        <v>44776</v>
      </c>
      <c r="C18875" s="6">
        <f>IFERROR(__xludf.DUMMYFUNCTION("""COMPUTED_VALUE"""),0.3232523148144537)</f>
        <v>0.3232523148</v>
      </c>
      <c r="D18875" s="4">
        <f>IFERROR(__xludf.DUMMYFUNCTION("""COMPUTED_VALUE"""),13.00675)</f>
        <v>13.00675</v>
      </c>
      <c r="E18875" s="4">
        <f>IFERROR(__xludf.DUMMYFUNCTION("""COMPUTED_VALUE"""),80.251045)</f>
        <v>80.251045</v>
      </c>
      <c r="F18875" s="4">
        <f>IFERROR(__xludf.DUMMYFUNCTION("""COMPUTED_VALUE"""),805.0)</f>
        <v>805</v>
      </c>
      <c r="G18875" s="4">
        <f>IFERROR(__xludf.DUMMYFUNCTION("""COMPUTED_VALUE"""),30.0)</f>
        <v>30</v>
      </c>
      <c r="H18875" s="4"/>
      <c r="I18875" s="4"/>
    </row>
    <row r="18876">
      <c r="A18876" s="4" t="str">
        <f>IFERROR(__xludf.DUMMYFUNCTION("""COMPUTED_VALUE"""),"cas_hmw")</f>
        <v>cas_hmw</v>
      </c>
      <c r="B18876" s="5">
        <f>IFERROR(__xludf.DUMMYFUNCTION("""COMPUTED_VALUE"""),44776.0)</f>
        <v>44776</v>
      </c>
      <c r="C18876" s="6">
        <f>IFERROR(__xludf.DUMMYFUNCTION("""COMPUTED_VALUE"""),0.32335648148000473)</f>
        <v>0.3233564815</v>
      </c>
      <c r="D18876" s="4">
        <f>IFERROR(__xludf.DUMMYFUNCTION("""COMPUTED_VALUE"""),13.00677)</f>
        <v>13.00677</v>
      </c>
      <c r="E18876" s="4">
        <f>IFERROR(__xludf.DUMMYFUNCTION("""COMPUTED_VALUE"""),80.250131)</f>
        <v>80.250131</v>
      </c>
      <c r="F18876" s="4">
        <f>IFERROR(__xludf.DUMMYFUNCTION("""COMPUTED_VALUE"""),805.0)</f>
        <v>805</v>
      </c>
      <c r="G18876" s="4">
        <f>IFERROR(__xludf.DUMMYFUNCTION("""COMPUTED_VALUE"""),37.0)</f>
        <v>37</v>
      </c>
      <c r="H18876" s="4"/>
      <c r="I18876" s="4"/>
    </row>
    <row r="18877">
      <c r="A18877" s="4" t="str">
        <f>IFERROR(__xludf.DUMMYFUNCTION("""COMPUTED_VALUE"""),"cas_hmw")</f>
        <v>cas_hmw</v>
      </c>
      <c r="B18877" s="5">
        <f>IFERROR(__xludf.DUMMYFUNCTION("""COMPUTED_VALUE"""),44776.0)</f>
        <v>44776</v>
      </c>
      <c r="C18877" s="6">
        <f>IFERROR(__xludf.DUMMYFUNCTION("""COMPUTED_VALUE"""),0.3238425925919728)</f>
        <v>0.3238425926</v>
      </c>
      <c r="D18877" s="4">
        <f>IFERROR(__xludf.DUMMYFUNCTION("""COMPUTED_VALUE"""),13.011269)</f>
        <v>13.011269</v>
      </c>
      <c r="E18877" s="4">
        <f>IFERROR(__xludf.DUMMYFUNCTION("""COMPUTED_VALUE"""),80.223665)</f>
        <v>80.223665</v>
      </c>
      <c r="F18877" s="4">
        <f>IFERROR(__xludf.DUMMYFUNCTION("""COMPUTED_VALUE"""),5339.0)</f>
        <v>5339</v>
      </c>
      <c r="G18877" s="4">
        <f>IFERROR(__xludf.DUMMYFUNCTION("""COMPUTED_VALUE"""),39.0)</f>
        <v>39</v>
      </c>
      <c r="H18877" s="4"/>
      <c r="I18877" s="4"/>
    </row>
    <row r="18878">
      <c r="A18878" s="4" t="str">
        <f>IFERROR(__xludf.DUMMYFUNCTION("""COMPUTED_VALUE"""),"cas_hmw")</f>
        <v>cas_hmw</v>
      </c>
      <c r="B18878" s="5">
        <f>IFERROR(__xludf.DUMMYFUNCTION("""COMPUTED_VALUE"""),44776.0)</f>
        <v>44776</v>
      </c>
      <c r="C18878" s="6">
        <f>IFERROR(__xludf.DUMMYFUNCTION("""COMPUTED_VALUE"""),0.32447916666569654)</f>
        <v>0.3244791667</v>
      </c>
      <c r="D18878" s="4">
        <f>IFERROR(__xludf.DUMMYFUNCTION("""COMPUTED_VALUE"""),13.010962)</f>
        <v>13.010962</v>
      </c>
      <c r="E18878" s="4">
        <f>IFERROR(__xludf.DUMMYFUNCTION("""COMPUTED_VALUE"""),80.217344)</f>
        <v>80.217344</v>
      </c>
      <c r="F18878" s="4">
        <f>IFERROR(__xludf.DUMMYFUNCTION("""COMPUTED_VALUE"""),5339.0)</f>
        <v>5339</v>
      </c>
      <c r="G18878" s="4">
        <f>IFERROR(__xludf.DUMMYFUNCTION("""COMPUTED_VALUE"""),38.0)</f>
        <v>38</v>
      </c>
      <c r="H18878" s="4"/>
      <c r="I18878" s="4"/>
    </row>
    <row r="18879">
      <c r="A18879" s="4" t="str">
        <f>IFERROR(__xludf.DUMMYFUNCTION("""COMPUTED_VALUE"""),"cas_hmw")</f>
        <v>cas_hmw</v>
      </c>
      <c r="B18879" s="5">
        <f>IFERROR(__xludf.DUMMYFUNCTION("""COMPUTED_VALUE"""),44776.0)</f>
        <v>44776</v>
      </c>
      <c r="C18879" s="6">
        <f>IFERROR(__xludf.DUMMYFUNCTION("""COMPUTED_VALUE"""),0.3252546296280343)</f>
        <v>0.3252546296</v>
      </c>
      <c r="D18879" s="4">
        <f>IFERROR(__xludf.DUMMYFUNCTION("""COMPUTED_VALUE"""),13.006671)</f>
        <v>13.006671</v>
      </c>
      <c r="E18879" s="4">
        <f>IFERROR(__xludf.DUMMYFUNCTION("""COMPUTED_VALUE"""),80.244934)</f>
        <v>80.244934</v>
      </c>
      <c r="F18879" s="4">
        <f>IFERROR(__xludf.DUMMYFUNCTION("""COMPUTED_VALUE"""),805.0)</f>
        <v>805</v>
      </c>
      <c r="G18879" s="4">
        <f>IFERROR(__xludf.DUMMYFUNCTION("""COMPUTED_VALUE"""),39.0)</f>
        <v>39</v>
      </c>
      <c r="H18879" s="4"/>
      <c r="I18879" s="4"/>
    </row>
    <row r="18880">
      <c r="A18880" s="4" t="str">
        <f>IFERROR(__xludf.DUMMYFUNCTION("""COMPUTED_VALUE"""),"cas_hmw")</f>
        <v>cas_hmw</v>
      </c>
      <c r="B18880" s="5">
        <f>IFERROR(__xludf.DUMMYFUNCTION("""COMPUTED_VALUE"""),44776.0)</f>
        <v>44776</v>
      </c>
      <c r="C18880" s="6">
        <f>IFERROR(__xludf.DUMMYFUNCTION("""COMPUTED_VALUE"""),0.3252893518510973)</f>
        <v>0.3252893519</v>
      </c>
      <c r="D18880" s="4">
        <f>IFERROR(__xludf.DUMMYFUNCTION("""COMPUTED_VALUE"""),13.006671)</f>
        <v>13.006671</v>
      </c>
      <c r="E18880" s="4">
        <f>IFERROR(__xludf.DUMMYFUNCTION("""COMPUTED_VALUE"""),80.244934)</f>
        <v>80.244934</v>
      </c>
      <c r="F18880" s="4">
        <f>IFERROR(__xludf.DUMMYFUNCTION("""COMPUTED_VALUE"""),805.0)</f>
        <v>805</v>
      </c>
      <c r="G18880" s="4">
        <f>IFERROR(__xludf.DUMMYFUNCTION("""COMPUTED_VALUE"""),39.0)</f>
        <v>39</v>
      </c>
      <c r="H18880" s="4"/>
      <c r="I18880" s="4"/>
    </row>
    <row r="18881">
      <c r="A18881" s="4" t="str">
        <f>IFERROR(__xludf.DUMMYFUNCTION("""COMPUTED_VALUE"""),"cas_hmw")</f>
        <v>cas_hmw</v>
      </c>
      <c r="B18881" s="5">
        <f>IFERROR(__xludf.DUMMYFUNCTION("""COMPUTED_VALUE"""),44776.0)</f>
        <v>44776</v>
      </c>
      <c r="C18881" s="6">
        <f>IFERROR(__xludf.DUMMYFUNCTION("""COMPUTED_VALUE"""),0.325300925924239)</f>
        <v>0.3253009259</v>
      </c>
      <c r="D18881" s="4">
        <f>IFERROR(__xludf.DUMMYFUNCTION("""COMPUTED_VALUE"""),13.006671)</f>
        <v>13.006671</v>
      </c>
      <c r="E18881" s="4">
        <f>IFERROR(__xludf.DUMMYFUNCTION("""COMPUTED_VALUE"""),80.244934)</f>
        <v>80.244934</v>
      </c>
      <c r="F18881" s="4">
        <f>IFERROR(__xludf.DUMMYFUNCTION("""COMPUTED_VALUE"""),805.0)</f>
        <v>805</v>
      </c>
      <c r="G18881" s="4">
        <f>IFERROR(__xludf.DUMMYFUNCTION("""COMPUTED_VALUE"""),39.0)</f>
        <v>39</v>
      </c>
      <c r="H18881" s="4"/>
      <c r="I18881" s="4"/>
    </row>
    <row r="18882">
      <c r="A18882" s="4" t="str">
        <f>IFERROR(__xludf.DUMMYFUNCTION("""COMPUTED_VALUE"""),"cas_hmw")</f>
        <v>cas_hmw</v>
      </c>
      <c r="B18882" s="5">
        <f>IFERROR(__xludf.DUMMYFUNCTION("""COMPUTED_VALUE"""),44776.0)</f>
        <v>44776</v>
      </c>
      <c r="C18882" s="6">
        <f>IFERROR(__xludf.DUMMYFUNCTION("""COMPUTED_VALUE"""),0.325335648147302)</f>
        <v>0.3253356481</v>
      </c>
      <c r="D18882" s="4">
        <f>IFERROR(__xludf.DUMMYFUNCTION("""COMPUTED_VALUE"""),13.006648)</f>
        <v>13.006648</v>
      </c>
      <c r="E18882" s="4">
        <f>IFERROR(__xludf.DUMMYFUNCTION("""COMPUTED_VALUE"""),80.244084)</f>
        <v>80.244084</v>
      </c>
      <c r="F18882" s="4">
        <f>IFERROR(__xludf.DUMMYFUNCTION("""COMPUTED_VALUE"""),805.0)</f>
        <v>805</v>
      </c>
      <c r="G18882" s="4">
        <f>IFERROR(__xludf.DUMMYFUNCTION("""COMPUTED_VALUE"""),27.0)</f>
        <v>27</v>
      </c>
      <c r="H18882" s="4"/>
      <c r="I18882" s="4"/>
    </row>
    <row r="18883">
      <c r="A18883" s="4" t="str">
        <f>IFERROR(__xludf.DUMMYFUNCTION("""COMPUTED_VALUE"""),"cas_hmw")</f>
        <v>cas_hmw</v>
      </c>
      <c r="B18883" s="5">
        <f>IFERROR(__xludf.DUMMYFUNCTION("""COMPUTED_VALUE"""),44776.0)</f>
        <v>44776</v>
      </c>
      <c r="C18883" s="6">
        <f>IFERROR(__xludf.DUMMYFUNCTION("""COMPUTED_VALUE"""),0.32792824074203963)</f>
        <v>0.3279282407</v>
      </c>
      <c r="D18883" s="4">
        <f>IFERROR(__xludf.DUMMYFUNCTION("""COMPUTED_VALUE"""),13.000474)</f>
        <v>13.000474</v>
      </c>
      <c r="E18883" s="4">
        <f>IFERROR(__xludf.DUMMYFUNCTION("""COMPUTED_VALUE"""),80.194807)</f>
        <v>80.194807</v>
      </c>
      <c r="F18883" s="4">
        <f>IFERROR(__xludf.DUMMYFUNCTION("""COMPUTED_VALUE"""),5339.0)</f>
        <v>5339</v>
      </c>
      <c r="G18883" s="4">
        <f>IFERROR(__xludf.DUMMYFUNCTION("""COMPUTED_VALUE"""),40.0)</f>
        <v>40</v>
      </c>
      <c r="H18883" s="4"/>
      <c r="I18883" s="4"/>
    </row>
    <row r="18884">
      <c r="A18884" s="4" t="str">
        <f>IFERROR(__xludf.DUMMYFUNCTION("""COMPUTED_VALUE"""),"cas_hmw")</f>
        <v>cas_hmw</v>
      </c>
      <c r="B18884" s="5">
        <f>IFERROR(__xludf.DUMMYFUNCTION("""COMPUTED_VALUE"""),44776.0)</f>
        <v>44776</v>
      </c>
      <c r="C18884" s="6">
        <f>IFERROR(__xludf.DUMMYFUNCTION("""COMPUTED_VALUE"""),0.327951388888323)</f>
        <v>0.3279513889</v>
      </c>
      <c r="D18884" s="4">
        <f>IFERROR(__xludf.DUMMYFUNCTION("""COMPUTED_VALUE"""),13.000474)</f>
        <v>13.000474</v>
      </c>
      <c r="E18884" s="4">
        <f>IFERROR(__xludf.DUMMYFUNCTION("""COMPUTED_VALUE"""),80.194807)</f>
        <v>80.194807</v>
      </c>
      <c r="F18884" s="4">
        <f>IFERROR(__xludf.DUMMYFUNCTION("""COMPUTED_VALUE"""),5339.0)</f>
        <v>5339</v>
      </c>
      <c r="G18884" s="4">
        <f>IFERROR(__xludf.DUMMYFUNCTION("""COMPUTED_VALUE"""),40.0)</f>
        <v>40</v>
      </c>
      <c r="H18884" s="4"/>
      <c r="I18884" s="4"/>
    </row>
    <row r="18885">
      <c r="A18885" s="4" t="str">
        <f>IFERROR(__xludf.DUMMYFUNCTION("""COMPUTED_VALUE"""),"cas_hmw")</f>
        <v>cas_hmw</v>
      </c>
      <c r="B18885" s="5">
        <f>IFERROR(__xludf.DUMMYFUNCTION("""COMPUTED_VALUE"""),44776.0)</f>
        <v>44776</v>
      </c>
      <c r="C18885" s="6">
        <f>IFERROR(__xludf.DUMMYFUNCTION("""COMPUTED_VALUE"""),0.32839120370408637)</f>
        <v>0.3283912037</v>
      </c>
      <c r="D18885" s="4">
        <f>IFERROR(__xludf.DUMMYFUNCTION("""COMPUTED_VALUE"""),13.012056)</f>
        <v>13.012056</v>
      </c>
      <c r="E18885" s="4">
        <f>IFERROR(__xludf.DUMMYFUNCTION("""COMPUTED_VALUE"""),80.221465)</f>
        <v>80.221465</v>
      </c>
      <c r="F18885" s="4">
        <f>IFERROR(__xludf.DUMMYFUNCTION("""COMPUTED_VALUE"""),805.0)</f>
        <v>805</v>
      </c>
      <c r="G18885" s="4">
        <f>IFERROR(__xludf.DUMMYFUNCTION("""COMPUTED_VALUE"""),25.0)</f>
        <v>25</v>
      </c>
      <c r="H18885" s="4"/>
      <c r="I18885" s="4"/>
    </row>
    <row r="18886">
      <c r="A18886" s="4" t="str">
        <f>IFERROR(__xludf.DUMMYFUNCTION("""COMPUTED_VALUE"""),"cas_hmw")</f>
        <v>cas_hmw</v>
      </c>
      <c r="B18886" s="5">
        <f>IFERROR(__xludf.DUMMYFUNCTION("""COMPUTED_VALUE"""),44776.0)</f>
        <v>44776</v>
      </c>
      <c r="C18886" s="6">
        <f>IFERROR(__xludf.DUMMYFUNCTION("""COMPUTED_VALUE"""),0.3291087962970778)</f>
        <v>0.3291087963</v>
      </c>
      <c r="D18886" s="4">
        <f>IFERROR(__xludf.DUMMYFUNCTION("""COMPUTED_VALUE"""),12.995634)</f>
        <v>12.995634</v>
      </c>
      <c r="E18886" s="4">
        <f>IFERROR(__xludf.DUMMYFUNCTION("""COMPUTED_VALUE"""),80.188729)</f>
        <v>80.188729</v>
      </c>
      <c r="F18886" s="4">
        <f>IFERROR(__xludf.DUMMYFUNCTION("""COMPUTED_VALUE"""),5339.0)</f>
        <v>5339</v>
      </c>
      <c r="G18886" s="4">
        <f>IFERROR(__xludf.DUMMYFUNCTION("""COMPUTED_VALUE"""),28.0)</f>
        <v>28</v>
      </c>
      <c r="H18886" s="4"/>
      <c r="I18886" s="4"/>
    </row>
    <row r="18887">
      <c r="A18887" s="4" t="str">
        <f>IFERROR(__xludf.DUMMYFUNCTION("""COMPUTED_VALUE"""),"cas_hmw")</f>
        <v>cas_hmw</v>
      </c>
      <c r="B18887" s="5">
        <f>IFERROR(__xludf.DUMMYFUNCTION("""COMPUTED_VALUE"""),44776.0)</f>
        <v>44776</v>
      </c>
      <c r="C18887" s="6">
        <f>IFERROR(__xludf.DUMMYFUNCTION("""COMPUTED_VALUE"""),0.3294675925935735)</f>
        <v>0.3294675926</v>
      </c>
      <c r="D18887" s="4">
        <f>IFERROR(__xludf.DUMMYFUNCTION("""COMPUTED_VALUE"""),13.009282)</f>
        <v>13.009282</v>
      </c>
      <c r="E18887" s="4">
        <f>IFERROR(__xludf.DUMMYFUNCTION("""COMPUTED_VALUE"""),80.212663)</f>
        <v>80.212663</v>
      </c>
      <c r="F18887" s="4">
        <f>IFERROR(__xludf.DUMMYFUNCTION("""COMPUTED_VALUE"""),805.0)</f>
        <v>805</v>
      </c>
      <c r="G18887" s="4">
        <f>IFERROR(__xludf.DUMMYFUNCTION("""COMPUTED_VALUE"""),43.0)</f>
        <v>43</v>
      </c>
      <c r="H18887" s="4"/>
      <c r="I18887" s="4"/>
    </row>
    <row r="18888">
      <c r="A18888" s="4" t="str">
        <f>IFERROR(__xludf.DUMMYFUNCTION("""COMPUTED_VALUE"""),"cas_hmw")</f>
        <v>cas_hmw</v>
      </c>
      <c r="B18888" s="5">
        <f>IFERROR(__xludf.DUMMYFUNCTION("""COMPUTED_VALUE"""),44776.0)</f>
        <v>44776</v>
      </c>
      <c r="C18888" s="6">
        <f>IFERROR(__xludf.DUMMYFUNCTION("""COMPUTED_VALUE"""),0.3298263888900692)</f>
        <v>0.3298263889</v>
      </c>
      <c r="D18888" s="4">
        <f>IFERROR(__xludf.DUMMYFUNCTION("""COMPUTED_VALUE"""),13.008152)</f>
        <v>13.008152</v>
      </c>
      <c r="E18888" s="4">
        <f>IFERROR(__xludf.DUMMYFUNCTION("""COMPUTED_VALUE"""),80.209522)</f>
        <v>80.209522</v>
      </c>
      <c r="F18888" s="4">
        <f>IFERROR(__xludf.DUMMYFUNCTION("""COMPUTED_VALUE"""),805.0)</f>
        <v>805</v>
      </c>
      <c r="G18888" s="4">
        <f>IFERROR(__xludf.DUMMYFUNCTION("""COMPUTED_VALUE"""),40.0)</f>
        <v>40</v>
      </c>
      <c r="H18888" s="4"/>
      <c r="I18888" s="4"/>
    </row>
    <row r="18889">
      <c r="A18889" s="4" t="str">
        <f>IFERROR(__xludf.DUMMYFUNCTION("""COMPUTED_VALUE"""),"cas_hmw")</f>
        <v>cas_hmw</v>
      </c>
      <c r="B18889" s="5">
        <f>IFERROR(__xludf.DUMMYFUNCTION("""COMPUTED_VALUE"""),44776.0)</f>
        <v>44776</v>
      </c>
      <c r="C18889" s="6">
        <f>IFERROR(__xludf.DUMMYFUNCTION("""COMPUTED_VALUE"""),0.32989583333255723)</f>
        <v>0.3298958333</v>
      </c>
      <c r="D18889" s="4">
        <f>IFERROR(__xludf.DUMMYFUNCTION("""COMPUTED_VALUE"""),13.008152)</f>
        <v>13.008152</v>
      </c>
      <c r="E18889" s="4">
        <f>IFERROR(__xludf.DUMMYFUNCTION("""COMPUTED_VALUE"""),80.209522)</f>
        <v>80.209522</v>
      </c>
      <c r="F18889" s="4">
        <f>IFERROR(__xludf.DUMMYFUNCTION("""COMPUTED_VALUE"""),805.0)</f>
        <v>805</v>
      </c>
      <c r="G18889" s="4">
        <f>IFERROR(__xludf.DUMMYFUNCTION("""COMPUTED_VALUE"""),40.0)</f>
        <v>40</v>
      </c>
      <c r="H18889" s="4"/>
      <c r="I18889" s="4"/>
    </row>
    <row r="18890">
      <c r="A18890" s="4" t="str">
        <f>IFERROR(__xludf.DUMMYFUNCTION("""COMPUTED_VALUE"""),"cas_hmw")</f>
        <v>cas_hmw</v>
      </c>
      <c r="B18890" s="5">
        <f>IFERROR(__xludf.DUMMYFUNCTION("""COMPUTED_VALUE"""),44776.0)</f>
        <v>44776</v>
      </c>
      <c r="C18890" s="6">
        <f>IFERROR(__xludf.DUMMYFUNCTION("""COMPUTED_VALUE"""),0.3303356481483206)</f>
        <v>0.3303356481</v>
      </c>
      <c r="D18890" s="4">
        <f>IFERROR(__xludf.DUMMYFUNCTION("""COMPUTED_VALUE"""),12.991452)</f>
        <v>12.991452</v>
      </c>
      <c r="E18890" s="4">
        <f>IFERROR(__xludf.DUMMYFUNCTION("""COMPUTED_VALUE"""),80.181447)</f>
        <v>80.181447</v>
      </c>
      <c r="F18890" s="4">
        <f>IFERROR(__xludf.DUMMYFUNCTION("""COMPUTED_VALUE"""),5339.0)</f>
        <v>5339</v>
      </c>
      <c r="G18890" s="4">
        <f>IFERROR(__xludf.DUMMYFUNCTION("""COMPUTED_VALUE"""),43.0)</f>
        <v>43</v>
      </c>
      <c r="H18890" s="4"/>
      <c r="I18890" s="4"/>
    </row>
    <row r="18891">
      <c r="A18891" s="4" t="str">
        <f>IFERROR(__xludf.DUMMYFUNCTION("""COMPUTED_VALUE"""),"cas_hmw")</f>
        <v>cas_hmw</v>
      </c>
      <c r="B18891" s="5">
        <f>IFERROR(__xludf.DUMMYFUNCTION("""COMPUTED_VALUE"""),44776.0)</f>
        <v>44776</v>
      </c>
      <c r="C18891" s="6">
        <f>IFERROR(__xludf.DUMMYFUNCTION("""COMPUTED_VALUE"""),0.3303703703713836)</f>
        <v>0.3303703704</v>
      </c>
      <c r="D18891" s="4">
        <f>IFERROR(__xludf.DUMMYFUNCTION("""COMPUTED_VALUE"""),13.007156)</f>
        <v>13.007156</v>
      </c>
      <c r="E18891" s="4">
        <f>IFERROR(__xludf.DUMMYFUNCTION("""COMPUTED_VALUE"""),80.2048)</f>
        <v>80.2048</v>
      </c>
      <c r="F18891" s="4">
        <f>IFERROR(__xludf.DUMMYFUNCTION("""COMPUTED_VALUE"""),805.0)</f>
        <v>805</v>
      </c>
      <c r="G18891" s="4">
        <f>IFERROR(__xludf.DUMMYFUNCTION("""COMPUTED_VALUE"""),45.0)</f>
        <v>45</v>
      </c>
      <c r="H18891" s="4"/>
      <c r="I18891" s="4"/>
    </row>
    <row r="18892">
      <c r="A18892" s="4" t="str">
        <f>IFERROR(__xludf.DUMMYFUNCTION("""COMPUTED_VALUE"""),"cas_hmw")</f>
        <v>cas_hmw</v>
      </c>
      <c r="B18892" s="5">
        <f>IFERROR(__xludf.DUMMYFUNCTION("""COMPUTED_VALUE"""),44776.0)</f>
        <v>44776</v>
      </c>
      <c r="C18892" s="6">
        <f>IFERROR(__xludf.DUMMYFUNCTION("""COMPUTED_VALUE"""),0.330601851852407)</f>
        <v>0.3306018519</v>
      </c>
      <c r="D18892" s="4">
        <f>IFERROR(__xludf.DUMMYFUNCTION("""COMPUTED_VALUE"""),12.990122)</f>
        <v>12.990122</v>
      </c>
      <c r="E18892" s="4">
        <f>IFERROR(__xludf.DUMMYFUNCTION("""COMPUTED_VALUE"""),80.179814)</f>
        <v>80.179814</v>
      </c>
      <c r="F18892" s="4">
        <f>IFERROR(__xludf.DUMMYFUNCTION("""COMPUTED_VALUE"""),5339.0)</f>
        <v>5339</v>
      </c>
      <c r="G18892" s="4">
        <f>IFERROR(__xludf.DUMMYFUNCTION("""COMPUTED_VALUE"""),34.0)</f>
        <v>34</v>
      </c>
      <c r="H18892" s="4"/>
      <c r="I18892" s="4"/>
    </row>
    <row r="18893">
      <c r="A18893" s="4" t="str">
        <f>IFERROR(__xludf.DUMMYFUNCTION("""COMPUTED_VALUE"""),"cas_hmw")</f>
        <v>cas_hmw</v>
      </c>
      <c r="B18893" s="5">
        <f>IFERROR(__xludf.DUMMYFUNCTION("""COMPUTED_VALUE"""),44776.0)</f>
        <v>44776</v>
      </c>
      <c r="C18893" s="6">
        <f>IFERROR(__xludf.DUMMYFUNCTION("""COMPUTED_VALUE"""),0.3307175925910997)</f>
        <v>0.3307175926</v>
      </c>
      <c r="D18893" s="4">
        <f>IFERROR(__xludf.DUMMYFUNCTION("""COMPUTED_VALUE"""),12.98956)</f>
        <v>12.98956</v>
      </c>
      <c r="E18893" s="4">
        <f>IFERROR(__xludf.DUMMYFUNCTION("""COMPUTED_VALUE"""),80.179098)</f>
        <v>80.179098</v>
      </c>
      <c r="F18893" s="4">
        <f>IFERROR(__xludf.DUMMYFUNCTION("""COMPUTED_VALUE"""),5339.0)</f>
        <v>5339</v>
      </c>
      <c r="G18893" s="4">
        <f>IFERROR(__xludf.DUMMYFUNCTION("""COMPUTED_VALUE"""),32.0)</f>
        <v>32</v>
      </c>
      <c r="H18893" s="4"/>
      <c r="I18893" s="4"/>
    </row>
    <row r="18894">
      <c r="A18894" s="4" t="str">
        <f>IFERROR(__xludf.DUMMYFUNCTION("""COMPUTED_VALUE"""),"cas_hmw")</f>
        <v>cas_hmw</v>
      </c>
      <c r="B18894" s="5">
        <f>IFERROR(__xludf.DUMMYFUNCTION("""COMPUTED_VALUE"""),44776.0)</f>
        <v>44776</v>
      </c>
      <c r="C18894" s="6">
        <f>IFERROR(__xludf.DUMMYFUNCTION("""COMPUTED_VALUE"""),0.33093749999898137)</f>
        <v>0.3309375</v>
      </c>
      <c r="D18894" s="4">
        <f>IFERROR(__xludf.DUMMYFUNCTION("""COMPUTED_VALUE"""),13.001966)</f>
        <v>13.001966</v>
      </c>
      <c r="E18894" s="4">
        <f>IFERROR(__xludf.DUMMYFUNCTION("""COMPUTED_VALUE"""),80.200205)</f>
        <v>80.200205</v>
      </c>
      <c r="F18894" s="4">
        <f>IFERROR(__xludf.DUMMYFUNCTION("""COMPUTED_VALUE"""),805.0)</f>
        <v>805</v>
      </c>
      <c r="G18894" s="4">
        <f>IFERROR(__xludf.DUMMYFUNCTION("""COMPUTED_VALUE"""),46.0)</f>
        <v>46</v>
      </c>
      <c r="H18894" s="4"/>
      <c r="I18894" s="4"/>
    </row>
    <row r="18895">
      <c r="A18895" s="4" t="str">
        <f>IFERROR(__xludf.DUMMYFUNCTION("""COMPUTED_VALUE"""),"cas_hmw")</f>
        <v>cas_hmw</v>
      </c>
      <c r="B18895" s="5">
        <f>IFERROR(__xludf.DUMMYFUNCTION("""COMPUTED_VALUE"""),44776.0)</f>
        <v>44776</v>
      </c>
      <c r="C18895" s="6">
        <f>IFERROR(__xludf.DUMMYFUNCTION("""COMPUTED_VALUE"""),0.33173611111124046)</f>
        <v>0.3317361111</v>
      </c>
      <c r="D18895" s="4">
        <f>IFERROR(__xludf.DUMMYFUNCTION("""COMPUTED_VALUE"""),12.985951)</f>
        <v>12.985951</v>
      </c>
      <c r="E18895" s="4">
        <f>IFERROR(__xludf.DUMMYFUNCTION("""COMPUTED_VALUE"""),80.174018)</f>
        <v>80.174018</v>
      </c>
      <c r="F18895" s="4">
        <f>IFERROR(__xludf.DUMMYFUNCTION("""COMPUTED_VALUE"""),5339.0)</f>
        <v>5339</v>
      </c>
      <c r="G18895" s="4">
        <f>IFERROR(__xludf.DUMMYFUNCTION("""COMPUTED_VALUE"""),32.0)</f>
        <v>32</v>
      </c>
      <c r="H18895" s="4"/>
      <c r="I18895" s="4"/>
    </row>
    <row r="18896">
      <c r="A18896" s="4" t="str">
        <f>IFERROR(__xludf.DUMMYFUNCTION("""COMPUTED_VALUE"""),"cas_hmw")</f>
        <v>cas_hmw</v>
      </c>
      <c r="B18896" s="5">
        <f>IFERROR(__xludf.DUMMYFUNCTION("""COMPUTED_VALUE"""),44776.0)</f>
        <v>44776</v>
      </c>
      <c r="C18896" s="6">
        <f>IFERROR(__xludf.DUMMYFUNCTION("""COMPUTED_VALUE"""),0.33246527777737356)</f>
        <v>0.3324652778</v>
      </c>
      <c r="D18896" s="4">
        <f>IFERROR(__xludf.DUMMYFUNCTION("""COMPUTED_VALUE"""),12.997741)</f>
        <v>12.997741</v>
      </c>
      <c r="E18896" s="4">
        <f>IFERROR(__xludf.DUMMYFUNCTION("""COMPUTED_VALUE"""),80.191396)</f>
        <v>80.191396</v>
      </c>
      <c r="F18896" s="4">
        <f>IFERROR(__xludf.DUMMYFUNCTION("""COMPUTED_VALUE"""),805.0)</f>
        <v>805</v>
      </c>
      <c r="G18896" s="4">
        <f>IFERROR(__xludf.DUMMYFUNCTION("""COMPUTED_VALUE"""),46.0)</f>
        <v>46</v>
      </c>
      <c r="H18896" s="4"/>
      <c r="I18896" s="4"/>
    </row>
    <row r="18897">
      <c r="A18897" s="4" t="str">
        <f>IFERROR(__xludf.DUMMYFUNCTION("""COMPUTED_VALUE"""),"cas_hmw")</f>
        <v>cas_hmw</v>
      </c>
      <c r="B18897" s="5">
        <f>IFERROR(__xludf.DUMMYFUNCTION("""COMPUTED_VALUE"""),44776.0)</f>
        <v>44776</v>
      </c>
      <c r="C18897" s="6">
        <f>IFERROR(__xludf.DUMMYFUNCTION("""COMPUTED_VALUE"""),0.3327314814814599)</f>
        <v>0.3327314815</v>
      </c>
      <c r="D18897" s="4">
        <f>IFERROR(__xludf.DUMMYFUNCTION("""COMPUTED_VALUE"""),12.996993)</f>
        <v>12.996993</v>
      </c>
      <c r="E18897" s="4">
        <f>IFERROR(__xludf.DUMMYFUNCTION("""COMPUTED_VALUE"""),80.190473)</f>
        <v>80.190473</v>
      </c>
      <c r="F18897" s="4">
        <f>IFERROR(__xludf.DUMMYFUNCTION("""COMPUTED_VALUE"""),805.0)</f>
        <v>805</v>
      </c>
      <c r="G18897" s="4">
        <f>IFERROR(__xludf.DUMMYFUNCTION("""COMPUTED_VALUE"""),50.0)</f>
        <v>50</v>
      </c>
      <c r="H18897" s="4"/>
      <c r="I18897" s="4"/>
    </row>
    <row r="18898">
      <c r="A18898" s="4" t="str">
        <f>IFERROR(__xludf.DUMMYFUNCTION("""COMPUTED_VALUE"""),"cas_hmw")</f>
        <v>cas_hmw</v>
      </c>
      <c r="B18898" s="5">
        <f>IFERROR(__xludf.DUMMYFUNCTION("""COMPUTED_VALUE"""),44776.0)</f>
        <v>44776</v>
      </c>
      <c r="C18898" s="6">
        <f>IFERROR(__xludf.DUMMYFUNCTION("""COMPUTED_VALUE"""),0.33366898148233304)</f>
        <v>0.3336689815</v>
      </c>
      <c r="D18898" s="4">
        <f>IFERROR(__xludf.DUMMYFUNCTION("""COMPUTED_VALUE"""),12.992479)</f>
        <v>12.992479</v>
      </c>
      <c r="E18898" s="4">
        <f>IFERROR(__xludf.DUMMYFUNCTION("""COMPUTED_VALUE"""),80.182887)</f>
        <v>80.182887</v>
      </c>
      <c r="F18898" s="4">
        <f>IFERROR(__xludf.DUMMYFUNCTION("""COMPUTED_VALUE"""),805.0)</f>
        <v>805</v>
      </c>
      <c r="G18898" s="4">
        <f>IFERROR(__xludf.DUMMYFUNCTION("""COMPUTED_VALUE"""),56.0)</f>
        <v>56</v>
      </c>
      <c r="H18898" s="4"/>
      <c r="I18898" s="4"/>
    </row>
    <row r="18899">
      <c r="A18899" s="4" t="str">
        <f>IFERROR(__xludf.DUMMYFUNCTION("""COMPUTED_VALUE"""),"cas_hmw")</f>
        <v>cas_hmw</v>
      </c>
      <c r="B18899" s="5">
        <f>IFERROR(__xludf.DUMMYFUNCTION("""COMPUTED_VALUE"""),44776.0)</f>
        <v>44776</v>
      </c>
      <c r="C18899" s="6">
        <f>IFERROR(__xludf.DUMMYFUNCTION("""COMPUTED_VALUE"""),0.3338773148134351)</f>
        <v>0.3338773148</v>
      </c>
      <c r="D18899" s="4">
        <f>IFERROR(__xludf.DUMMYFUNCTION("""COMPUTED_VALUE"""),12.979691)</f>
        <v>12.979691</v>
      </c>
      <c r="E18899" s="4">
        <f>IFERROR(__xludf.DUMMYFUNCTION("""COMPUTED_VALUE"""),80.162594)</f>
        <v>80.162594</v>
      </c>
      <c r="F18899" s="4">
        <f>IFERROR(__xludf.DUMMYFUNCTION("""COMPUTED_VALUE"""),5339.0)</f>
        <v>5339</v>
      </c>
      <c r="G18899" s="4">
        <f>IFERROR(__xludf.DUMMYFUNCTION("""COMPUTED_VALUE"""),21.0)</f>
        <v>21</v>
      </c>
      <c r="H18899" s="4"/>
      <c r="I18899" s="4"/>
    </row>
    <row r="18900">
      <c r="A18900" s="4" t="str">
        <f>IFERROR(__xludf.DUMMYFUNCTION("""COMPUTED_VALUE"""),"cas_hmw")</f>
        <v>cas_hmw</v>
      </c>
      <c r="B18900" s="5">
        <f>IFERROR(__xludf.DUMMYFUNCTION("""COMPUTED_VALUE"""),44776.0)</f>
        <v>44776</v>
      </c>
      <c r="C18900" s="6">
        <f>IFERROR(__xludf.DUMMYFUNCTION("""COMPUTED_VALUE"""),0.33395833333270275)</f>
        <v>0.3339583333</v>
      </c>
      <c r="D18900" s="4">
        <f>IFERROR(__xludf.DUMMYFUNCTION("""COMPUTED_VALUE"""),12.991306)</f>
        <v>12.991306</v>
      </c>
      <c r="E18900" s="4">
        <f>IFERROR(__xludf.DUMMYFUNCTION("""COMPUTED_VALUE"""),80.181298)</f>
        <v>80.181298</v>
      </c>
      <c r="F18900" s="4">
        <f>IFERROR(__xludf.DUMMYFUNCTION("""COMPUTED_VALUE"""),805.0)</f>
        <v>805</v>
      </c>
      <c r="G18900" s="4">
        <f>IFERROR(__xludf.DUMMYFUNCTION("""COMPUTED_VALUE"""),47.0)</f>
        <v>47</v>
      </c>
      <c r="H18900" s="4"/>
      <c r="I18900" s="4"/>
    </row>
    <row r="18901">
      <c r="A18901" s="4" t="str">
        <f>IFERROR(__xludf.DUMMYFUNCTION("""COMPUTED_VALUE"""),"cas_hmw")</f>
        <v>cas_hmw</v>
      </c>
      <c r="B18901" s="5">
        <f>IFERROR(__xludf.DUMMYFUNCTION("""COMPUTED_VALUE"""),44776.0)</f>
        <v>44776</v>
      </c>
      <c r="C18901" s="6">
        <f>IFERROR(__xludf.DUMMYFUNCTION("""COMPUTED_VALUE"""),0.3339699074058444)</f>
        <v>0.3339699074</v>
      </c>
      <c r="D18901" s="4">
        <f>IFERROR(__xludf.DUMMYFUNCTION("""COMPUTED_VALUE"""),12.979332)</f>
        <v>12.979332</v>
      </c>
      <c r="E18901" s="4">
        <f>IFERROR(__xludf.DUMMYFUNCTION("""COMPUTED_VALUE"""),80.161953)</f>
        <v>80.161953</v>
      </c>
      <c r="F18901" s="4">
        <f>IFERROR(__xludf.DUMMYFUNCTION("""COMPUTED_VALUE"""),5339.0)</f>
        <v>5339</v>
      </c>
      <c r="G18901" s="4">
        <f>IFERROR(__xludf.DUMMYFUNCTION("""COMPUTED_VALUE"""),31.0)</f>
        <v>31</v>
      </c>
      <c r="H18901" s="4"/>
      <c r="I18901" s="4"/>
    </row>
    <row r="18902">
      <c r="A18902" s="4" t="str">
        <f>IFERROR(__xludf.DUMMYFUNCTION("""COMPUTED_VALUE"""),"cas_hmw")</f>
        <v>cas_hmw</v>
      </c>
      <c r="B18902" s="5">
        <f>IFERROR(__xludf.DUMMYFUNCTION("""COMPUTED_VALUE"""),44776.0)</f>
        <v>44776</v>
      </c>
      <c r="C18902" s="6">
        <f>IFERROR(__xludf.DUMMYFUNCTION("""COMPUTED_VALUE"""),0.3347106481487572)</f>
        <v>0.3347106481</v>
      </c>
      <c r="D18902" s="4">
        <f>IFERROR(__xludf.DUMMYFUNCTION("""COMPUTED_VALUE"""),12.975463)</f>
        <v>12.975463</v>
      </c>
      <c r="E18902" s="4">
        <f>IFERROR(__xludf.DUMMYFUNCTION("""COMPUTED_VALUE"""),80.156268)</f>
        <v>80.156268</v>
      </c>
      <c r="F18902" s="4">
        <f>IFERROR(__xludf.DUMMYFUNCTION("""COMPUTED_VALUE"""),5339.0)</f>
        <v>5339</v>
      </c>
      <c r="G18902" s="4">
        <f>IFERROR(__xludf.DUMMYFUNCTION("""COMPUTED_VALUE"""),42.0)</f>
        <v>42</v>
      </c>
      <c r="H18902" s="4"/>
      <c r="I18902" s="4"/>
    </row>
    <row r="18903">
      <c r="A18903" s="4" t="str">
        <f>IFERROR(__xludf.DUMMYFUNCTION("""COMPUTED_VALUE"""),"cas_hmw")</f>
        <v>cas_hmw</v>
      </c>
      <c r="B18903" s="5">
        <f>IFERROR(__xludf.DUMMYFUNCTION("""COMPUTED_VALUE"""),44776.0)</f>
        <v>44776</v>
      </c>
      <c r="C18903" s="6">
        <f>IFERROR(__xludf.DUMMYFUNCTION("""COMPUTED_VALUE"""),0.3349189814798592)</f>
        <v>0.3349189815</v>
      </c>
      <c r="D18903" s="4">
        <f>IFERROR(__xludf.DUMMYFUNCTION("""COMPUTED_VALUE"""),12.975463)</f>
        <v>12.975463</v>
      </c>
      <c r="E18903" s="4">
        <f>IFERROR(__xludf.DUMMYFUNCTION("""COMPUTED_VALUE"""),80.156268)</f>
        <v>80.156268</v>
      </c>
      <c r="F18903" s="4">
        <f>IFERROR(__xludf.DUMMYFUNCTION("""COMPUTED_VALUE"""),5339.0)</f>
        <v>5339</v>
      </c>
      <c r="G18903" s="4">
        <f>IFERROR(__xludf.DUMMYFUNCTION("""COMPUTED_VALUE"""),42.0)</f>
        <v>42</v>
      </c>
      <c r="H18903" s="4"/>
      <c r="I18903" s="4"/>
    </row>
    <row r="18904">
      <c r="A18904" s="4" t="str">
        <f>IFERROR(__xludf.DUMMYFUNCTION("""COMPUTED_VALUE"""),"cas_hmw")</f>
        <v>cas_hmw</v>
      </c>
      <c r="B18904" s="5">
        <f>IFERROR(__xludf.DUMMYFUNCTION("""COMPUTED_VALUE"""),44776.0)</f>
        <v>44776</v>
      </c>
      <c r="C18904" s="6">
        <f>IFERROR(__xludf.DUMMYFUNCTION("""COMPUTED_VALUE"""),0.33493055555663886)</f>
        <v>0.3349305556</v>
      </c>
      <c r="D18904" s="4">
        <f>IFERROR(__xludf.DUMMYFUNCTION("""COMPUTED_VALUE"""),12.970932)</f>
        <v>12.970932</v>
      </c>
      <c r="E18904" s="4">
        <f>IFERROR(__xludf.DUMMYFUNCTION("""COMPUTED_VALUE"""),80.150801)</f>
        <v>80.150801</v>
      </c>
      <c r="F18904" s="4">
        <f>IFERROR(__xludf.DUMMYFUNCTION("""COMPUTED_VALUE"""),3143.0)</f>
        <v>3143</v>
      </c>
      <c r="G18904" s="4">
        <f>IFERROR(__xludf.DUMMYFUNCTION("""COMPUTED_VALUE"""),40.0)</f>
        <v>40</v>
      </c>
      <c r="H18904" s="4"/>
      <c r="I18904" s="4"/>
    </row>
    <row r="18905">
      <c r="A18905" s="4" t="str">
        <f>IFERROR(__xludf.DUMMYFUNCTION("""COMPUTED_VALUE"""),"cas_hmw")</f>
        <v>cas_hmw</v>
      </c>
      <c r="B18905" s="5">
        <f>IFERROR(__xludf.DUMMYFUNCTION("""COMPUTED_VALUE"""),44776.0)</f>
        <v>44776</v>
      </c>
      <c r="C18905" s="6">
        <f>IFERROR(__xludf.DUMMYFUNCTION("""COMPUTED_VALUE"""),0.33493055555663886)</f>
        <v>0.3349305556</v>
      </c>
      <c r="D18905" s="4">
        <f>IFERROR(__xludf.DUMMYFUNCTION("""COMPUTED_VALUE"""),12.989422)</f>
        <v>12.989422</v>
      </c>
      <c r="E18905" s="4">
        <f>IFERROR(__xludf.DUMMYFUNCTION("""COMPUTED_VALUE"""),80.178997)</f>
        <v>80.178997</v>
      </c>
      <c r="F18905" s="4">
        <f>IFERROR(__xludf.DUMMYFUNCTION("""COMPUTED_VALUE"""),805.0)</f>
        <v>805</v>
      </c>
      <c r="G18905" s="4">
        <f>IFERROR(__xludf.DUMMYFUNCTION("""COMPUTED_VALUE"""),29.0)</f>
        <v>29</v>
      </c>
      <c r="H18905" s="4"/>
      <c r="I18905" s="4"/>
    </row>
    <row r="18906">
      <c r="A18906" s="4" t="str">
        <f>IFERROR(__xludf.DUMMYFUNCTION("""COMPUTED_VALUE"""),"cas_hmw")</f>
        <v>cas_hmw</v>
      </c>
      <c r="B18906" s="5">
        <f>IFERROR(__xludf.DUMMYFUNCTION("""COMPUTED_VALUE"""),44776.0)</f>
        <v>44776</v>
      </c>
      <c r="C18906" s="6">
        <f>IFERROR(__xludf.DUMMYFUNCTION("""COMPUTED_VALUE"""),0.3350694444452529)</f>
        <v>0.3350694444</v>
      </c>
      <c r="D18906" s="4">
        <f>IFERROR(__xludf.DUMMYFUNCTION("""COMPUTED_VALUE"""),12.969394)</f>
        <v>12.969394</v>
      </c>
      <c r="E18906" s="4">
        <f>IFERROR(__xludf.DUMMYFUNCTION("""COMPUTED_VALUE"""),80.150073)</f>
        <v>80.150073</v>
      </c>
      <c r="F18906" s="4">
        <f>IFERROR(__xludf.DUMMYFUNCTION("""COMPUTED_VALUE"""),3143.0)</f>
        <v>3143</v>
      </c>
      <c r="G18906" s="4">
        <f>IFERROR(__xludf.DUMMYFUNCTION("""COMPUTED_VALUE"""),44.0)</f>
        <v>44</v>
      </c>
      <c r="H18906" s="4"/>
      <c r="I18906" s="4"/>
    </row>
    <row r="18907">
      <c r="A18907" s="4" t="str">
        <f>IFERROR(__xludf.DUMMYFUNCTION("""COMPUTED_VALUE"""),"cas_hmw")</f>
        <v>cas_hmw</v>
      </c>
      <c r="B18907" s="5">
        <f>IFERROR(__xludf.DUMMYFUNCTION("""COMPUTED_VALUE"""),44776.0)</f>
        <v>44776</v>
      </c>
      <c r="C18907" s="6">
        <f>IFERROR(__xludf.DUMMYFUNCTION("""COMPUTED_VALUE"""),0.33508101851839456)</f>
        <v>0.3350810185</v>
      </c>
      <c r="D18907" s="4">
        <f>IFERROR(__xludf.DUMMYFUNCTION("""COMPUTED_VALUE"""),12.988498)</f>
        <v>12.988498</v>
      </c>
      <c r="E18907" s="4">
        <f>IFERROR(__xludf.DUMMYFUNCTION("""COMPUTED_VALUE"""),80.177713)</f>
        <v>80.177713</v>
      </c>
      <c r="F18907" s="4">
        <f>IFERROR(__xludf.DUMMYFUNCTION("""COMPUTED_VALUE"""),805.0)</f>
        <v>805</v>
      </c>
      <c r="G18907" s="4">
        <f>IFERROR(__xludf.DUMMYFUNCTION("""COMPUTED_VALUE"""),48.0)</f>
        <v>48</v>
      </c>
      <c r="H18907" s="4"/>
      <c r="I18907" s="4"/>
    </row>
    <row r="18908">
      <c r="A18908" s="4" t="str">
        <f>IFERROR(__xludf.DUMMYFUNCTION("""COMPUTED_VALUE"""),"cas_hmw")</f>
        <v>cas_hmw</v>
      </c>
      <c r="B18908" s="5">
        <f>IFERROR(__xludf.DUMMYFUNCTION("""COMPUTED_VALUE"""),44776.0)</f>
        <v>44776</v>
      </c>
      <c r="C18908" s="6">
        <f>IFERROR(__xludf.DUMMYFUNCTION("""COMPUTED_VALUE"""),0.3351388888877409)</f>
        <v>0.3351388889</v>
      </c>
      <c r="D18908" s="4">
        <f>IFERROR(__xludf.DUMMYFUNCTION("""COMPUTED_VALUE"""),12.967698)</f>
        <v>12.967698</v>
      </c>
      <c r="E18908" s="4">
        <f>IFERROR(__xludf.DUMMYFUNCTION("""COMPUTED_VALUE"""),80.149262)</f>
        <v>80.149262</v>
      </c>
      <c r="F18908" s="4">
        <f>IFERROR(__xludf.DUMMYFUNCTION("""COMPUTED_VALUE"""),3143.0)</f>
        <v>3143</v>
      </c>
      <c r="G18908" s="4">
        <f>IFERROR(__xludf.DUMMYFUNCTION("""COMPUTED_VALUE"""),45.0)</f>
        <v>45</v>
      </c>
      <c r="H18908" s="4"/>
      <c r="I18908" s="4"/>
    </row>
    <row r="18909">
      <c r="A18909" s="4" t="str">
        <f>IFERROR(__xludf.DUMMYFUNCTION("""COMPUTED_VALUE"""),"cas_hmw")</f>
        <v>cas_hmw</v>
      </c>
      <c r="B18909" s="5">
        <f>IFERROR(__xludf.DUMMYFUNCTION("""COMPUTED_VALUE"""),44776.0)</f>
        <v>44776</v>
      </c>
      <c r="C18909" s="6">
        <f>IFERROR(__xludf.DUMMYFUNCTION("""COMPUTED_VALUE"""),0.3353587962956226)</f>
        <v>0.3353587963</v>
      </c>
      <c r="D18909" s="4">
        <f>IFERROR(__xludf.DUMMYFUNCTION("""COMPUTED_VALUE"""),12.986514)</f>
        <v>12.986514</v>
      </c>
      <c r="E18909" s="4">
        <f>IFERROR(__xludf.DUMMYFUNCTION("""COMPUTED_VALUE"""),80.174917)</f>
        <v>80.174917</v>
      </c>
      <c r="F18909" s="4">
        <f>IFERROR(__xludf.DUMMYFUNCTION("""COMPUTED_VALUE"""),805.0)</f>
        <v>805</v>
      </c>
      <c r="G18909" s="4">
        <f>IFERROR(__xludf.DUMMYFUNCTION("""COMPUTED_VALUE"""),43.0)</f>
        <v>43</v>
      </c>
      <c r="H18909" s="4"/>
      <c r="I18909" s="4"/>
    </row>
    <row r="18910">
      <c r="A18910" s="4" t="str">
        <f>IFERROR(__xludf.DUMMYFUNCTION("""COMPUTED_VALUE"""),"cas_hmw")</f>
        <v>cas_hmw</v>
      </c>
      <c r="B18910" s="5">
        <f>IFERROR(__xludf.DUMMYFUNCTION("""COMPUTED_VALUE"""),44776.0)</f>
        <v>44776</v>
      </c>
      <c r="C18910" s="6">
        <f>IFERROR(__xludf.DUMMYFUNCTION("""COMPUTED_VALUE"""),0.3357175925921183)</f>
        <v>0.3357175926</v>
      </c>
      <c r="D18910" s="4">
        <f>IFERROR(__xludf.DUMMYFUNCTION("""COMPUTED_VALUE"""),12.984719)</f>
        <v>12.984719</v>
      </c>
      <c r="E18910" s="4">
        <f>IFERROR(__xludf.DUMMYFUNCTION("""COMPUTED_VALUE"""),80.172246)</f>
        <v>80.172246</v>
      </c>
      <c r="F18910" s="4">
        <f>IFERROR(__xludf.DUMMYFUNCTION("""COMPUTED_VALUE"""),805.0)</f>
        <v>805</v>
      </c>
      <c r="G18910" s="4">
        <f>IFERROR(__xludf.DUMMYFUNCTION("""COMPUTED_VALUE"""),36.0)</f>
        <v>36</v>
      </c>
      <c r="H18910" s="4"/>
      <c r="I18910" s="4"/>
    </row>
    <row r="18911">
      <c r="A18911" s="4" t="str">
        <f>IFERROR(__xludf.DUMMYFUNCTION("""COMPUTED_VALUE"""),"cas_hmw")</f>
        <v>cas_hmw</v>
      </c>
      <c r="B18911" s="5">
        <f>IFERROR(__xludf.DUMMYFUNCTION("""COMPUTED_VALUE"""),44776.0)</f>
        <v>44776</v>
      </c>
      <c r="C18911" s="6">
        <f>IFERROR(__xludf.DUMMYFUNCTION("""COMPUTED_VALUE"""),0.33574074074203963)</f>
        <v>0.3357407407</v>
      </c>
      <c r="D18911" s="4">
        <f>IFERROR(__xludf.DUMMYFUNCTION("""COMPUTED_VALUE"""),12.962214)</f>
        <v>12.962214</v>
      </c>
      <c r="E18911" s="4">
        <f>IFERROR(__xludf.DUMMYFUNCTION("""COMPUTED_VALUE"""),80.14643)</f>
        <v>80.14643</v>
      </c>
      <c r="F18911" s="4">
        <f>IFERROR(__xludf.DUMMYFUNCTION("""COMPUTED_VALUE"""),3143.0)</f>
        <v>3143</v>
      </c>
      <c r="G18911" s="4">
        <f>IFERROR(__xludf.DUMMYFUNCTION("""COMPUTED_VALUE"""),60.0)</f>
        <v>60</v>
      </c>
      <c r="H18911" s="4"/>
      <c r="I18911" s="4"/>
    </row>
    <row r="18912">
      <c r="A18912" s="4" t="str">
        <f>IFERROR(__xludf.DUMMYFUNCTION("""COMPUTED_VALUE"""),"cas_hmw")</f>
        <v>cas_hmw</v>
      </c>
      <c r="B18912" s="5">
        <f>IFERROR(__xludf.DUMMYFUNCTION("""COMPUTED_VALUE"""),44776.0)</f>
        <v>44776</v>
      </c>
      <c r="C18912" s="6">
        <f>IFERROR(__xludf.DUMMYFUNCTION("""COMPUTED_VALUE"""),0.3360879629617557)</f>
        <v>0.336087963</v>
      </c>
      <c r="D18912" s="4">
        <f>IFERROR(__xludf.DUMMYFUNCTION("""COMPUTED_VALUE"""),12.984016)</f>
        <v>12.984016</v>
      </c>
      <c r="E18912" s="4">
        <f>IFERROR(__xludf.DUMMYFUNCTION("""COMPUTED_VALUE"""),80.171044)</f>
        <v>80.171044</v>
      </c>
      <c r="F18912" s="4">
        <f>IFERROR(__xludf.DUMMYFUNCTION("""COMPUTED_VALUE"""),805.0)</f>
        <v>805</v>
      </c>
      <c r="G18912" s="4">
        <f>IFERROR(__xludf.DUMMYFUNCTION("""COMPUTED_VALUE"""),36.0)</f>
        <v>36</v>
      </c>
      <c r="H18912" s="4"/>
      <c r="I18912" s="4"/>
    </row>
    <row r="18913">
      <c r="A18913" s="4" t="str">
        <f>IFERROR(__xludf.DUMMYFUNCTION("""COMPUTED_VALUE"""),"cas_hmw")</f>
        <v>cas_hmw</v>
      </c>
      <c r="B18913" s="5">
        <f>IFERROR(__xludf.DUMMYFUNCTION("""COMPUTED_VALUE"""),44776.0)</f>
        <v>44776</v>
      </c>
      <c r="C18913" s="6">
        <f>IFERROR(__xludf.DUMMYFUNCTION("""COMPUTED_VALUE"""),0.33620370370408637)</f>
        <v>0.3362037037</v>
      </c>
      <c r="D18913" s="4">
        <f>IFERROR(__xludf.DUMMYFUNCTION("""COMPUTED_VALUE"""),12.9584)</f>
        <v>12.9584</v>
      </c>
      <c r="E18913" s="4">
        <f>IFERROR(__xludf.DUMMYFUNCTION("""COMPUTED_VALUE"""),80.144363)</f>
        <v>80.144363</v>
      </c>
      <c r="F18913" s="4">
        <f>IFERROR(__xludf.DUMMYFUNCTION("""COMPUTED_VALUE"""),3143.0)</f>
        <v>3143</v>
      </c>
      <c r="G18913" s="4">
        <f>IFERROR(__xludf.DUMMYFUNCTION("""COMPUTED_VALUE"""),44.0)</f>
        <v>44</v>
      </c>
      <c r="H18913" s="4"/>
      <c r="I18913" s="4"/>
    </row>
    <row r="18914">
      <c r="A18914" s="4" t="str">
        <f>IFERROR(__xludf.DUMMYFUNCTION("""COMPUTED_VALUE"""),"cas_hmw")</f>
        <v>cas_hmw</v>
      </c>
      <c r="B18914" s="5">
        <f>IFERROR(__xludf.DUMMYFUNCTION("""COMPUTED_VALUE"""),44776.0)</f>
        <v>44776</v>
      </c>
      <c r="C18914" s="6">
        <f>IFERROR(__xludf.DUMMYFUNCTION("""COMPUTED_VALUE"""),0.3362615740734327)</f>
        <v>0.3362615741</v>
      </c>
      <c r="D18914" s="4">
        <f>IFERROR(__xludf.DUMMYFUNCTION("""COMPUTED_VALUE"""),12.9584)</f>
        <v>12.9584</v>
      </c>
      <c r="E18914" s="4">
        <f>IFERROR(__xludf.DUMMYFUNCTION("""COMPUTED_VALUE"""),80.144363)</f>
        <v>80.144363</v>
      </c>
      <c r="F18914" s="4">
        <f>IFERROR(__xludf.DUMMYFUNCTION("""COMPUTED_VALUE"""),3143.0)</f>
        <v>3143</v>
      </c>
      <c r="G18914" s="4">
        <f>IFERROR(__xludf.DUMMYFUNCTION("""COMPUTED_VALUE"""),44.0)</f>
        <v>44</v>
      </c>
      <c r="H18914" s="4"/>
      <c r="I18914" s="4"/>
    </row>
    <row r="18915">
      <c r="A18915" s="4" t="str">
        <f>IFERROR(__xludf.DUMMYFUNCTION("""COMPUTED_VALUE"""),"cas_hmw")</f>
        <v>cas_hmw</v>
      </c>
      <c r="B18915" s="5">
        <f>IFERROR(__xludf.DUMMYFUNCTION("""COMPUTED_VALUE"""),44776.0)</f>
        <v>44776</v>
      </c>
      <c r="C18915" s="6">
        <f>IFERROR(__xludf.DUMMYFUNCTION("""COMPUTED_VALUE"""),0.3362962962964957)</f>
        <v>0.3362962963</v>
      </c>
      <c r="D18915" s="4">
        <f>IFERROR(__xludf.DUMMYFUNCTION("""COMPUTED_VALUE"""),12.981954)</f>
        <v>12.981954</v>
      </c>
      <c r="E18915" s="4">
        <f>IFERROR(__xludf.DUMMYFUNCTION("""COMPUTED_VALUE"""),80.167589)</f>
        <v>80.167589</v>
      </c>
      <c r="F18915" s="4">
        <f>IFERROR(__xludf.DUMMYFUNCTION("""COMPUTED_VALUE"""),805.0)</f>
        <v>805</v>
      </c>
      <c r="G18915" s="4">
        <f>IFERROR(__xludf.DUMMYFUNCTION("""COMPUTED_VALUE"""),45.0)</f>
        <v>45</v>
      </c>
      <c r="H18915" s="4"/>
      <c r="I18915" s="4"/>
    </row>
    <row r="18916">
      <c r="A18916" s="4" t="str">
        <f>IFERROR(__xludf.DUMMYFUNCTION("""COMPUTED_VALUE"""),"cas_hmw")</f>
        <v>cas_hmw</v>
      </c>
      <c r="B18916" s="5">
        <f>IFERROR(__xludf.DUMMYFUNCTION("""COMPUTED_VALUE"""),44776.0)</f>
        <v>44776</v>
      </c>
      <c r="C18916" s="6">
        <f>IFERROR(__xludf.DUMMYFUNCTION("""COMPUTED_VALUE"""),0.33635416666584206)</f>
        <v>0.3363541667</v>
      </c>
      <c r="D18916" s="4">
        <f>IFERROR(__xludf.DUMMYFUNCTION("""COMPUTED_VALUE"""),12.981954)</f>
        <v>12.981954</v>
      </c>
      <c r="E18916" s="4">
        <f>IFERROR(__xludf.DUMMYFUNCTION("""COMPUTED_VALUE"""),80.167589)</f>
        <v>80.167589</v>
      </c>
      <c r="F18916" s="4">
        <f>IFERROR(__xludf.DUMMYFUNCTION("""COMPUTED_VALUE"""),805.0)</f>
        <v>805</v>
      </c>
      <c r="G18916" s="4">
        <f>IFERROR(__xludf.DUMMYFUNCTION("""COMPUTED_VALUE"""),45.0)</f>
        <v>45</v>
      </c>
      <c r="H18916" s="4"/>
      <c r="I18916" s="4"/>
    </row>
    <row r="18917">
      <c r="A18917" s="4" t="str">
        <f>IFERROR(__xludf.DUMMYFUNCTION("""COMPUTED_VALUE"""),"cas_hmw")</f>
        <v>cas_hmw</v>
      </c>
      <c r="B18917" s="5">
        <f>IFERROR(__xludf.DUMMYFUNCTION("""COMPUTED_VALUE"""),44776.0)</f>
        <v>44776</v>
      </c>
      <c r="C18917" s="6">
        <f>IFERROR(__xludf.DUMMYFUNCTION("""COMPUTED_VALUE"""),0.3363773148157634)</f>
        <v>0.3363773148</v>
      </c>
      <c r="D18917" s="4">
        <f>IFERROR(__xludf.DUMMYFUNCTION("""COMPUTED_VALUE"""),12.981954)</f>
        <v>12.981954</v>
      </c>
      <c r="E18917" s="4">
        <f>IFERROR(__xludf.DUMMYFUNCTION("""COMPUTED_VALUE"""),80.167589)</f>
        <v>80.167589</v>
      </c>
      <c r="F18917" s="4">
        <f>IFERROR(__xludf.DUMMYFUNCTION("""COMPUTED_VALUE"""),805.0)</f>
        <v>805</v>
      </c>
      <c r="G18917" s="4">
        <f>IFERROR(__xludf.DUMMYFUNCTION("""COMPUTED_VALUE"""),45.0)</f>
        <v>45</v>
      </c>
      <c r="H18917" s="4"/>
      <c r="I18917" s="4"/>
    </row>
    <row r="18918">
      <c r="A18918" s="4" t="str">
        <f>IFERROR(__xludf.DUMMYFUNCTION("""COMPUTED_VALUE"""),"cas_hmw")</f>
        <v>cas_hmw</v>
      </c>
      <c r="B18918" s="5">
        <f>IFERROR(__xludf.DUMMYFUNCTION("""COMPUTED_VALUE"""),44776.0)</f>
        <v>44776</v>
      </c>
      <c r="C18918" s="6">
        <f>IFERROR(__xludf.DUMMYFUNCTION("""COMPUTED_VALUE"""),0.33646990740817273)</f>
        <v>0.3364699074</v>
      </c>
      <c r="D18918" s="4">
        <f>IFERROR(__xludf.DUMMYFUNCTION("""COMPUTED_VALUE"""),12.98124)</f>
        <v>12.98124</v>
      </c>
      <c r="E18918" s="4">
        <f>IFERROR(__xludf.DUMMYFUNCTION("""COMPUTED_VALUE"""),80.166422)</f>
        <v>80.166422</v>
      </c>
      <c r="F18918" s="4">
        <f>IFERROR(__xludf.DUMMYFUNCTION("""COMPUTED_VALUE"""),805.0)</f>
        <v>805</v>
      </c>
      <c r="G18918" s="4">
        <f>IFERROR(__xludf.DUMMYFUNCTION("""COMPUTED_VALUE"""),33.0)</f>
        <v>33</v>
      </c>
      <c r="H18918" s="4"/>
      <c r="I18918" s="4"/>
    </row>
    <row r="18919">
      <c r="A18919" s="4" t="str">
        <f>IFERROR(__xludf.DUMMYFUNCTION("""COMPUTED_VALUE"""),"cas_hmw")</f>
        <v>cas_hmw</v>
      </c>
      <c r="B18919" s="5">
        <f>IFERROR(__xludf.DUMMYFUNCTION("""COMPUTED_VALUE"""),44776.0)</f>
        <v>44776</v>
      </c>
      <c r="C18919" s="6">
        <f>IFERROR(__xludf.DUMMYFUNCTION("""COMPUTED_VALUE"""),0.3368055555547471)</f>
        <v>0.3368055556</v>
      </c>
      <c r="D18919" s="4">
        <f>IFERROR(__xludf.DUMMYFUNCTION("""COMPUTED_VALUE"""),12.76339)</f>
        <v>12.76339</v>
      </c>
      <c r="E18919" s="4">
        <f>IFERROR(__xludf.DUMMYFUNCTION("""COMPUTED_VALUE"""),80.004101)</f>
        <v>80.004101</v>
      </c>
      <c r="F18919" s="4">
        <f>IFERROR(__xludf.DUMMYFUNCTION("""COMPUTED_VALUE"""),2846.0)</f>
        <v>2846</v>
      </c>
      <c r="G18919" s="4">
        <f>IFERROR(__xludf.DUMMYFUNCTION("""COMPUTED_VALUE"""),28.0)</f>
        <v>28</v>
      </c>
      <c r="H18919" s="4"/>
      <c r="I18919" s="4"/>
    </row>
    <row r="18920">
      <c r="A18920" s="4" t="str">
        <f>IFERROR(__xludf.DUMMYFUNCTION("""COMPUTED_VALUE"""),"cas_hmw")</f>
        <v>cas_hmw</v>
      </c>
      <c r="B18920" s="5">
        <f>IFERROR(__xludf.DUMMYFUNCTION("""COMPUTED_VALUE"""),44776.0)</f>
        <v>44776</v>
      </c>
      <c r="C18920" s="6">
        <f>IFERROR(__xludf.DUMMYFUNCTION("""COMPUTED_VALUE"""),0.3370717592588335)</f>
        <v>0.3370717593</v>
      </c>
      <c r="D18920" s="4">
        <f>IFERROR(__xludf.DUMMYFUNCTION("""COMPUTED_VALUE"""),12.979543)</f>
        <v>12.979543</v>
      </c>
      <c r="E18920" s="4">
        <f>IFERROR(__xludf.DUMMYFUNCTION("""COMPUTED_VALUE"""),80.162211)</f>
        <v>80.162211</v>
      </c>
      <c r="F18920" s="4">
        <f>IFERROR(__xludf.DUMMYFUNCTION("""COMPUTED_VALUE"""),805.0)</f>
        <v>805</v>
      </c>
      <c r="G18920" s="4">
        <f>IFERROR(__xludf.DUMMYFUNCTION("""COMPUTED_VALUE"""),39.0)</f>
        <v>39</v>
      </c>
      <c r="H18920" s="4"/>
      <c r="I18920" s="4"/>
    </row>
    <row r="18921">
      <c r="A18921" s="4" t="str">
        <f>IFERROR(__xludf.DUMMYFUNCTION("""COMPUTED_VALUE"""),"cas_hmw")</f>
        <v>cas_hmw</v>
      </c>
      <c r="B18921" s="5">
        <f>IFERROR(__xludf.DUMMYFUNCTION("""COMPUTED_VALUE"""),44776.0)</f>
        <v>44776</v>
      </c>
      <c r="C18921" s="6">
        <f>IFERROR(__xludf.DUMMYFUNCTION("""COMPUTED_VALUE"""),0.3371064814818965)</f>
        <v>0.3371064815</v>
      </c>
      <c r="D18921" s="4">
        <f>IFERROR(__xludf.DUMMYFUNCTION("""COMPUTED_VALUE"""),12.952991)</f>
        <v>12.952991</v>
      </c>
      <c r="E18921" s="4">
        <f>IFERROR(__xludf.DUMMYFUNCTION("""COMPUTED_VALUE"""),80.141445)</f>
        <v>80.141445</v>
      </c>
      <c r="F18921" s="4">
        <f>IFERROR(__xludf.DUMMYFUNCTION("""COMPUTED_VALUE"""),3143.0)</f>
        <v>3143</v>
      </c>
      <c r="G18921" s="4">
        <f>IFERROR(__xludf.DUMMYFUNCTION("""COMPUTED_VALUE"""),11.0)</f>
        <v>11</v>
      </c>
      <c r="H18921" s="4"/>
      <c r="I18921" s="4"/>
    </row>
    <row r="18922">
      <c r="A18922" s="4" t="str">
        <f>IFERROR(__xludf.DUMMYFUNCTION("""COMPUTED_VALUE"""),"cas_hmw")</f>
        <v>cas_hmw</v>
      </c>
      <c r="B18922" s="5">
        <f>IFERROR(__xludf.DUMMYFUNCTION("""COMPUTED_VALUE"""),44776.0)</f>
        <v>44776</v>
      </c>
      <c r="C18922" s="6">
        <f>IFERROR(__xludf.DUMMYFUNCTION("""COMPUTED_VALUE"""),0.33726851851679385)</f>
        <v>0.3372685185</v>
      </c>
      <c r="D18922" s="4">
        <f>IFERROR(__xludf.DUMMYFUNCTION("""COMPUTED_VALUE"""),12.978576)</f>
        <v>12.978576</v>
      </c>
      <c r="E18922" s="4">
        <f>IFERROR(__xludf.DUMMYFUNCTION("""COMPUTED_VALUE"""),80.160856)</f>
        <v>80.160856</v>
      </c>
      <c r="F18922" s="4">
        <f>IFERROR(__xludf.DUMMYFUNCTION("""COMPUTED_VALUE"""),805.0)</f>
        <v>805</v>
      </c>
      <c r="G18922" s="4">
        <f>IFERROR(__xludf.DUMMYFUNCTION("""COMPUTED_VALUE"""),49.0)</f>
        <v>49</v>
      </c>
      <c r="H18922" s="4"/>
      <c r="I18922" s="4"/>
    </row>
    <row r="18923">
      <c r="A18923" s="4" t="str">
        <f>IFERROR(__xludf.DUMMYFUNCTION("""COMPUTED_VALUE"""),"cas_hmw")</f>
        <v>cas_hmw</v>
      </c>
      <c r="B18923" s="5">
        <f>IFERROR(__xludf.DUMMYFUNCTION("""COMPUTED_VALUE"""),44776.0)</f>
        <v>44776</v>
      </c>
      <c r="C18923" s="6">
        <f>IFERROR(__xludf.DUMMYFUNCTION("""COMPUTED_VALUE"""),0.33751157407459687)</f>
        <v>0.3375115741</v>
      </c>
      <c r="D18923" s="4">
        <f>IFERROR(__xludf.DUMMYFUNCTION("""COMPUTED_VALUE"""),12.977574)</f>
        <v>12.977574</v>
      </c>
      <c r="E18923" s="4">
        <f>IFERROR(__xludf.DUMMYFUNCTION("""COMPUTED_VALUE"""),80.159441)</f>
        <v>80.159441</v>
      </c>
      <c r="F18923" s="4">
        <f>IFERROR(__xludf.DUMMYFUNCTION("""COMPUTED_VALUE"""),805.0)</f>
        <v>805</v>
      </c>
      <c r="G18923" s="4">
        <f>IFERROR(__xludf.DUMMYFUNCTION("""COMPUTED_VALUE"""),54.0)</f>
        <v>54</v>
      </c>
      <c r="H18923" s="4"/>
      <c r="I18923" s="4"/>
    </row>
    <row r="18924">
      <c r="A18924" s="4" t="str">
        <f>IFERROR(__xludf.DUMMYFUNCTION("""COMPUTED_VALUE"""),"cas_hmw")</f>
        <v>cas_hmw</v>
      </c>
      <c r="B18924" s="5">
        <f>IFERROR(__xludf.DUMMYFUNCTION("""COMPUTED_VALUE"""),44776.0)</f>
        <v>44776</v>
      </c>
      <c r="C18924" s="6">
        <f>IFERROR(__xludf.DUMMYFUNCTION("""COMPUTED_VALUE"""),0.3377546296287619)</f>
        <v>0.3377546296</v>
      </c>
      <c r="D18924" s="4">
        <f>IFERROR(__xludf.DUMMYFUNCTION("""COMPUTED_VALUE"""),12.976364)</f>
        <v>12.976364</v>
      </c>
      <c r="E18924" s="4">
        <f>IFERROR(__xludf.DUMMYFUNCTION("""COMPUTED_VALUE"""),80.157587)</f>
        <v>80.157587</v>
      </c>
      <c r="F18924" s="4">
        <f>IFERROR(__xludf.DUMMYFUNCTION("""COMPUTED_VALUE"""),805.0)</f>
        <v>805</v>
      </c>
      <c r="G18924" s="4">
        <f>IFERROR(__xludf.DUMMYFUNCTION("""COMPUTED_VALUE"""),53.0)</f>
        <v>53</v>
      </c>
      <c r="H18924" s="4"/>
      <c r="I18924" s="4"/>
    </row>
    <row r="18925">
      <c r="A18925" s="4" t="str">
        <f>IFERROR(__xludf.DUMMYFUNCTION("""COMPUTED_VALUE"""),"cas_hmw")</f>
        <v>cas_hmw</v>
      </c>
      <c r="B18925" s="5">
        <f>IFERROR(__xludf.DUMMYFUNCTION("""COMPUTED_VALUE"""),44776.0)</f>
        <v>44776</v>
      </c>
      <c r="C18925" s="6">
        <f>IFERROR(__xludf.DUMMYFUNCTION("""COMPUTED_VALUE"""),0.3378703703710926)</f>
        <v>0.3378703704</v>
      </c>
      <c r="D18925" s="4">
        <f>IFERROR(__xludf.DUMMYFUNCTION("""COMPUTED_VALUE"""),12.950602)</f>
        <v>12.950602</v>
      </c>
      <c r="E18925" s="4">
        <f>IFERROR(__xludf.DUMMYFUNCTION("""COMPUTED_VALUE"""),80.139737)</f>
        <v>80.139737</v>
      </c>
      <c r="F18925" s="4">
        <f>IFERROR(__xludf.DUMMYFUNCTION("""COMPUTED_VALUE"""),3143.0)</f>
        <v>3143</v>
      </c>
      <c r="G18925" s="4">
        <f>IFERROR(__xludf.DUMMYFUNCTION("""COMPUTED_VALUE"""),0.0)</f>
        <v>0</v>
      </c>
      <c r="H18925" s="4"/>
      <c r="I18925" s="4"/>
    </row>
    <row r="18926">
      <c r="A18926" s="4" t="str">
        <f>IFERROR(__xludf.DUMMYFUNCTION("""COMPUTED_VALUE"""),"cas_hmw")</f>
        <v>cas_hmw</v>
      </c>
      <c r="B18926" s="5">
        <f>IFERROR(__xludf.DUMMYFUNCTION("""COMPUTED_VALUE"""),44776.0)</f>
        <v>44776</v>
      </c>
      <c r="C18926" s="6">
        <f>IFERROR(__xludf.DUMMYFUNCTION("""COMPUTED_VALUE"""),0.33795138889036025)</f>
        <v>0.3379513889</v>
      </c>
      <c r="D18926" s="4">
        <f>IFERROR(__xludf.DUMMYFUNCTION("""COMPUTED_VALUE"""),12.974412)</f>
        <v>12.974412</v>
      </c>
      <c r="E18926" s="4">
        <f>IFERROR(__xludf.DUMMYFUNCTION("""COMPUTED_VALUE"""),80.154809)</f>
        <v>80.154809</v>
      </c>
      <c r="F18926" s="4">
        <f>IFERROR(__xludf.DUMMYFUNCTION("""COMPUTED_VALUE"""),805.0)</f>
        <v>805</v>
      </c>
      <c r="G18926" s="4">
        <f>IFERROR(__xludf.DUMMYFUNCTION("""COMPUTED_VALUE"""),28.0)</f>
        <v>28</v>
      </c>
      <c r="H18926" s="4"/>
      <c r="I18926" s="4"/>
    </row>
    <row r="18927">
      <c r="A18927" s="4" t="str">
        <f>IFERROR(__xludf.DUMMYFUNCTION("""COMPUTED_VALUE"""),"cas_hmw")</f>
        <v>cas_hmw</v>
      </c>
      <c r="B18927" s="5">
        <f>IFERROR(__xludf.DUMMYFUNCTION("""COMPUTED_VALUE"""),44776.0)</f>
        <v>44776</v>
      </c>
      <c r="C18927" s="6">
        <f>IFERROR(__xludf.DUMMYFUNCTION("""COMPUTED_VALUE"""),0.33798611110978527)</f>
        <v>0.3379861111</v>
      </c>
      <c r="D18927" s="4">
        <f>IFERROR(__xludf.DUMMYFUNCTION("""COMPUTED_VALUE"""),12.974412)</f>
        <v>12.974412</v>
      </c>
      <c r="E18927" s="4">
        <f>IFERROR(__xludf.DUMMYFUNCTION("""COMPUTED_VALUE"""),80.154809)</f>
        <v>80.154809</v>
      </c>
      <c r="F18927" s="4">
        <f>IFERROR(__xludf.DUMMYFUNCTION("""COMPUTED_VALUE"""),805.0)</f>
        <v>805</v>
      </c>
      <c r="G18927" s="4">
        <f>IFERROR(__xludf.DUMMYFUNCTION("""COMPUTED_VALUE"""),28.0)</f>
        <v>28</v>
      </c>
      <c r="H18927" s="4"/>
      <c r="I18927" s="4"/>
    </row>
    <row r="18928">
      <c r="A18928" s="4" t="str">
        <f>IFERROR(__xludf.DUMMYFUNCTION("""COMPUTED_VALUE"""),"cas_hmw")</f>
        <v>cas_hmw</v>
      </c>
      <c r="B18928" s="5">
        <f>IFERROR(__xludf.DUMMYFUNCTION("""COMPUTED_VALUE"""),44776.0)</f>
        <v>44776</v>
      </c>
      <c r="C18928" s="6">
        <f>IFERROR(__xludf.DUMMYFUNCTION("""COMPUTED_VALUE"""),0.33827546296379296)</f>
        <v>0.338275463</v>
      </c>
      <c r="D18928" s="4">
        <f>IFERROR(__xludf.DUMMYFUNCTION("""COMPUTED_VALUE"""),12.972913)</f>
        <v>12.972913</v>
      </c>
      <c r="E18928" s="4">
        <f>IFERROR(__xludf.DUMMYFUNCTION("""COMPUTED_VALUE"""),80.152526)</f>
        <v>80.152526</v>
      </c>
      <c r="F18928" s="4">
        <f>IFERROR(__xludf.DUMMYFUNCTION("""COMPUTED_VALUE"""),805.0)</f>
        <v>805</v>
      </c>
      <c r="G18928" s="4">
        <f>IFERROR(__xludf.DUMMYFUNCTION("""COMPUTED_VALUE"""),38.0)</f>
        <v>38</v>
      </c>
      <c r="H18928" s="4"/>
      <c r="I18928" s="4"/>
    </row>
    <row r="18929">
      <c r="A18929" s="4" t="str">
        <f>IFERROR(__xludf.DUMMYFUNCTION("""COMPUTED_VALUE"""),"cas_hmw")</f>
        <v>cas_hmw</v>
      </c>
      <c r="B18929" s="5">
        <f>IFERROR(__xludf.DUMMYFUNCTION("""COMPUTED_VALUE"""),44776.0)</f>
        <v>44776</v>
      </c>
      <c r="C18929" s="6">
        <f>IFERROR(__xludf.DUMMYFUNCTION("""COMPUTED_VALUE"""),0.3389583333337214)</f>
        <v>0.3389583333</v>
      </c>
      <c r="D18929" s="4">
        <f>IFERROR(__xludf.DUMMYFUNCTION("""COMPUTED_VALUE"""),12.970135)</f>
        <v>12.970135</v>
      </c>
      <c r="E18929" s="4">
        <f>IFERROR(__xludf.DUMMYFUNCTION("""COMPUTED_VALUE"""),80.150447)</f>
        <v>80.150447</v>
      </c>
      <c r="F18929" s="4">
        <f>IFERROR(__xludf.DUMMYFUNCTION("""COMPUTED_VALUE"""),805.0)</f>
        <v>805</v>
      </c>
      <c r="G18929" s="4">
        <f>IFERROR(__xludf.DUMMYFUNCTION("""COMPUTED_VALUE"""),21.0)</f>
        <v>21</v>
      </c>
      <c r="H18929" s="4"/>
      <c r="I18929" s="4"/>
    </row>
    <row r="18930">
      <c r="A18930" s="4" t="str">
        <f>IFERROR(__xludf.DUMMYFUNCTION("""COMPUTED_VALUE"""),"cas_hmw")</f>
        <v>cas_hmw</v>
      </c>
      <c r="B18930" s="5">
        <f>IFERROR(__xludf.DUMMYFUNCTION("""COMPUTED_VALUE"""),44776.0)</f>
        <v>44776</v>
      </c>
      <c r="C18930" s="6">
        <f>IFERROR(__xludf.DUMMYFUNCTION("""COMPUTED_VALUE"""),0.33896990740686306)</f>
        <v>0.3389699074</v>
      </c>
      <c r="D18930" s="4">
        <f>IFERROR(__xludf.DUMMYFUNCTION("""COMPUTED_VALUE"""),12.970135)</f>
        <v>12.970135</v>
      </c>
      <c r="E18930" s="4">
        <f>IFERROR(__xludf.DUMMYFUNCTION("""COMPUTED_VALUE"""),80.150447)</f>
        <v>80.150447</v>
      </c>
      <c r="F18930" s="4">
        <f>IFERROR(__xludf.DUMMYFUNCTION("""COMPUTED_VALUE"""),805.0)</f>
        <v>805</v>
      </c>
      <c r="G18930" s="4">
        <f>IFERROR(__xludf.DUMMYFUNCTION("""COMPUTED_VALUE"""),21.0)</f>
        <v>21</v>
      </c>
      <c r="H18930" s="4"/>
      <c r="I18930" s="4"/>
    </row>
    <row r="18931">
      <c r="A18931" s="4" t="str">
        <f>IFERROR(__xludf.DUMMYFUNCTION("""COMPUTED_VALUE"""),"cas_hmw")</f>
        <v>cas_hmw</v>
      </c>
      <c r="B18931" s="5">
        <f>IFERROR(__xludf.DUMMYFUNCTION("""COMPUTED_VALUE"""),44776.0)</f>
        <v>44776</v>
      </c>
      <c r="C18931" s="6">
        <f>IFERROR(__xludf.DUMMYFUNCTION("""COMPUTED_VALUE"""),0.33951388888817746)</f>
        <v>0.3395138889</v>
      </c>
      <c r="D18931" s="4">
        <f>IFERROR(__xludf.DUMMYFUNCTION("""COMPUTED_VALUE"""),12.954504)</f>
        <v>12.954504</v>
      </c>
      <c r="E18931" s="4">
        <f>IFERROR(__xludf.DUMMYFUNCTION("""COMPUTED_VALUE"""),80.142302)</f>
        <v>80.142302</v>
      </c>
      <c r="F18931" s="4">
        <f>IFERROR(__xludf.DUMMYFUNCTION("""COMPUTED_VALUE"""),5339.0)</f>
        <v>5339</v>
      </c>
      <c r="G18931" s="4">
        <f>IFERROR(__xludf.DUMMYFUNCTION("""COMPUTED_VALUE"""),47.0)</f>
        <v>47</v>
      </c>
      <c r="H18931" s="4"/>
      <c r="I18931" s="4"/>
    </row>
    <row r="18932">
      <c r="A18932" s="4" t="str">
        <f>IFERROR(__xludf.DUMMYFUNCTION("""COMPUTED_VALUE"""),"cas_hmw")</f>
        <v>cas_hmw</v>
      </c>
      <c r="B18932" s="5">
        <f>IFERROR(__xludf.DUMMYFUNCTION("""COMPUTED_VALUE"""),44776.0)</f>
        <v>44776</v>
      </c>
      <c r="C18932" s="6">
        <f>IFERROR(__xludf.DUMMYFUNCTION("""COMPUTED_VALUE"""),0.3398958333345945)</f>
        <v>0.3398958333</v>
      </c>
      <c r="D18932" s="4">
        <f>IFERROR(__xludf.DUMMYFUNCTION("""COMPUTED_VALUE"""),12.950729)</f>
        <v>12.950729</v>
      </c>
      <c r="E18932" s="4">
        <f>IFERROR(__xludf.DUMMYFUNCTION("""COMPUTED_VALUE"""),80.139792)</f>
        <v>80.139792</v>
      </c>
      <c r="F18932" s="4">
        <f>IFERROR(__xludf.DUMMYFUNCTION("""COMPUTED_VALUE"""),5339.0)</f>
        <v>5339</v>
      </c>
      <c r="G18932" s="4">
        <f>IFERROR(__xludf.DUMMYFUNCTION("""COMPUTED_VALUE"""),24.0)</f>
        <v>24</v>
      </c>
      <c r="H18932" s="4"/>
      <c r="I18932" s="4"/>
    </row>
    <row r="18933">
      <c r="A18933" s="4" t="str">
        <f>IFERROR(__xludf.DUMMYFUNCTION("""COMPUTED_VALUE"""),"cas_hmw")</f>
        <v>cas_hmw</v>
      </c>
      <c r="B18933" s="5">
        <f>IFERROR(__xludf.DUMMYFUNCTION("""COMPUTED_VALUE"""),44776.0)</f>
        <v>44776</v>
      </c>
      <c r="C18933" s="6">
        <f>IFERROR(__xludf.DUMMYFUNCTION("""COMPUTED_VALUE"""),0.3399074074077362)</f>
        <v>0.3399074074</v>
      </c>
      <c r="D18933" s="4">
        <f>IFERROR(__xludf.DUMMYFUNCTION("""COMPUTED_VALUE"""),12.950729)</f>
        <v>12.950729</v>
      </c>
      <c r="E18933" s="4">
        <f>IFERROR(__xludf.DUMMYFUNCTION("""COMPUTED_VALUE"""),80.139792)</f>
        <v>80.139792</v>
      </c>
      <c r="F18933" s="4">
        <f>IFERROR(__xludf.DUMMYFUNCTION("""COMPUTED_VALUE"""),5339.0)</f>
        <v>5339</v>
      </c>
      <c r="G18933" s="4">
        <f>IFERROR(__xludf.DUMMYFUNCTION("""COMPUTED_VALUE"""),24.0)</f>
        <v>24</v>
      </c>
      <c r="H18933" s="4"/>
      <c r="I18933" s="4"/>
    </row>
    <row r="18934">
      <c r="A18934" s="4" t="str">
        <f>IFERROR(__xludf.DUMMYFUNCTION("""COMPUTED_VALUE"""),"cas_hmw")</f>
        <v>cas_hmw</v>
      </c>
      <c r="B18934" s="5">
        <f>IFERROR(__xludf.DUMMYFUNCTION("""COMPUTED_VALUE"""),44776.0)</f>
        <v>44776</v>
      </c>
      <c r="C18934" s="6">
        <f>IFERROR(__xludf.DUMMYFUNCTION("""COMPUTED_VALUE"""),0.3400000000001455)</f>
        <v>0.34</v>
      </c>
      <c r="D18934" s="4">
        <f>IFERROR(__xludf.DUMMYFUNCTION("""COMPUTED_VALUE"""),12.950729)</f>
        <v>12.950729</v>
      </c>
      <c r="E18934" s="4">
        <f>IFERROR(__xludf.DUMMYFUNCTION("""COMPUTED_VALUE"""),80.139792)</f>
        <v>80.139792</v>
      </c>
      <c r="F18934" s="4">
        <f>IFERROR(__xludf.DUMMYFUNCTION("""COMPUTED_VALUE"""),5339.0)</f>
        <v>5339</v>
      </c>
      <c r="G18934" s="4">
        <f>IFERROR(__xludf.DUMMYFUNCTION("""COMPUTED_VALUE"""),24.0)</f>
        <v>24</v>
      </c>
      <c r="H18934" s="4"/>
      <c r="I18934" s="4"/>
    </row>
    <row r="18935">
      <c r="A18935" s="4" t="str">
        <f>IFERROR(__xludf.DUMMYFUNCTION("""COMPUTED_VALUE"""),"cas_hmw")</f>
        <v>cas_hmw</v>
      </c>
      <c r="B18935" s="5">
        <f>IFERROR(__xludf.DUMMYFUNCTION("""COMPUTED_VALUE"""),44776.0)</f>
        <v>44776</v>
      </c>
      <c r="C18935" s="6">
        <f>IFERROR(__xludf.DUMMYFUNCTION("""COMPUTED_VALUE"""),0.3402199074080272)</f>
        <v>0.3402199074</v>
      </c>
      <c r="D18935" s="4">
        <f>IFERROR(__xludf.DUMMYFUNCTION("""COMPUTED_VALUE"""),12.804988)</f>
        <v>12.804988</v>
      </c>
      <c r="E18935" s="4">
        <f>IFERROR(__xludf.DUMMYFUNCTION("""COMPUTED_VALUE"""),80.026575)</f>
        <v>80.026575</v>
      </c>
      <c r="F18935" s="4">
        <f>IFERROR(__xludf.DUMMYFUNCTION("""COMPUTED_VALUE"""),2846.0)</f>
        <v>2846</v>
      </c>
      <c r="G18935" s="4">
        <f>IFERROR(__xludf.DUMMYFUNCTION("""COMPUTED_VALUE"""),57.0)</f>
        <v>57</v>
      </c>
      <c r="H18935" s="4"/>
      <c r="I18935" s="4"/>
    </row>
    <row r="18936">
      <c r="A18936" s="4" t="str">
        <f>IFERROR(__xludf.DUMMYFUNCTION("""COMPUTED_VALUE"""),"cas_hmw")</f>
        <v>cas_hmw</v>
      </c>
      <c r="B18936" s="5">
        <f>IFERROR(__xludf.DUMMYFUNCTION("""COMPUTED_VALUE"""),44776.0)</f>
        <v>44776</v>
      </c>
      <c r="C18936" s="6">
        <f>IFERROR(__xludf.DUMMYFUNCTION("""COMPUTED_VALUE"""),0.3411226851858373)</f>
        <v>0.3411226852</v>
      </c>
      <c r="D18936" s="4">
        <f>IFERROR(__xludf.DUMMYFUNCTION("""COMPUTED_VALUE"""),12.958405)</f>
        <v>12.958405</v>
      </c>
      <c r="E18936" s="4">
        <f>IFERROR(__xludf.DUMMYFUNCTION("""COMPUTED_VALUE"""),80.144369)</f>
        <v>80.144369</v>
      </c>
      <c r="F18936" s="4">
        <f>IFERROR(__xludf.DUMMYFUNCTION("""COMPUTED_VALUE"""),805.0)</f>
        <v>805</v>
      </c>
      <c r="G18936" s="4">
        <f>IFERROR(__xludf.DUMMYFUNCTION("""COMPUTED_VALUE"""),53.0)</f>
        <v>53</v>
      </c>
      <c r="H18936" s="4"/>
      <c r="I18936" s="4"/>
    </row>
    <row r="18937">
      <c r="A18937" s="4" t="str">
        <f>IFERROR(__xludf.DUMMYFUNCTION("""COMPUTED_VALUE"""),"cas_hmw")</f>
        <v>cas_hmw</v>
      </c>
      <c r="B18937" s="5">
        <f>IFERROR(__xludf.DUMMYFUNCTION("""COMPUTED_VALUE"""),44776.0)</f>
        <v>44776</v>
      </c>
      <c r="C18937" s="6">
        <f>IFERROR(__xludf.DUMMYFUNCTION("""COMPUTED_VALUE"""),0.3437037037037953)</f>
        <v>0.3437037037</v>
      </c>
      <c r="D18937" s="4">
        <f>IFERROR(__xludf.DUMMYFUNCTION("""COMPUTED_VALUE"""),12.945086)</f>
        <v>12.945086</v>
      </c>
      <c r="E18937" s="4">
        <f>IFERROR(__xludf.DUMMYFUNCTION("""COMPUTED_VALUE"""),80.135457)</f>
        <v>80.135457</v>
      </c>
      <c r="F18937" s="4">
        <f>IFERROR(__xludf.DUMMYFUNCTION("""COMPUTED_VALUE"""),805.0)</f>
        <v>805</v>
      </c>
      <c r="G18937" s="4">
        <f>IFERROR(__xludf.DUMMYFUNCTION("""COMPUTED_VALUE"""),58.0)</f>
        <v>58</v>
      </c>
      <c r="H18937" s="4"/>
      <c r="I18937" s="4"/>
    </row>
    <row r="18938">
      <c r="A18938" s="4" t="str">
        <f>IFERROR(__xludf.DUMMYFUNCTION("""COMPUTED_VALUE"""),"cas_hmw")</f>
        <v>cas_hmw</v>
      </c>
      <c r="B18938" s="5">
        <f>IFERROR(__xludf.DUMMYFUNCTION("""COMPUTED_VALUE"""),44776.0)</f>
        <v>44776</v>
      </c>
      <c r="C18938" s="6">
        <f>IFERROR(__xludf.DUMMYFUNCTION("""COMPUTED_VALUE"""),0.34445601851984975)</f>
        <v>0.3444560185</v>
      </c>
      <c r="D18938" s="4">
        <f>IFERROR(__xludf.DUMMYFUNCTION("""COMPUTED_VALUE"""),12.938379)</f>
        <v>12.938379</v>
      </c>
      <c r="E18938" s="4">
        <f>IFERROR(__xludf.DUMMYFUNCTION("""COMPUTED_VALUE"""),80.129137)</f>
        <v>80.129137</v>
      </c>
      <c r="F18938" s="4">
        <f>IFERROR(__xludf.DUMMYFUNCTION("""COMPUTED_VALUE"""),805.0)</f>
        <v>805</v>
      </c>
      <c r="G18938" s="4">
        <f>IFERROR(__xludf.DUMMYFUNCTION("""COMPUTED_VALUE"""),46.0)</f>
        <v>46</v>
      </c>
      <c r="H18938" s="4"/>
      <c r="I18938" s="4"/>
    </row>
    <row r="18939">
      <c r="A18939" s="4" t="str">
        <f>IFERROR(__xludf.DUMMYFUNCTION("""COMPUTED_VALUE"""),"cas_hmw")</f>
        <v>cas_hmw</v>
      </c>
      <c r="B18939" s="5">
        <f>IFERROR(__xludf.DUMMYFUNCTION("""COMPUTED_VALUE"""),44776.0)</f>
        <v>44776</v>
      </c>
      <c r="C18939" s="6">
        <f>IFERROR(__xludf.DUMMYFUNCTION("""COMPUTED_VALUE"""),0.3446527777778101)</f>
        <v>0.3446527778</v>
      </c>
      <c r="D18939" s="4">
        <f>IFERROR(__xludf.DUMMYFUNCTION("""COMPUTED_VALUE"""),12.937266)</f>
        <v>12.937266</v>
      </c>
      <c r="E18939" s="4">
        <f>IFERROR(__xludf.DUMMYFUNCTION("""COMPUTED_VALUE"""),80.128179)</f>
        <v>80.128179</v>
      </c>
      <c r="F18939" s="4">
        <f>IFERROR(__xludf.DUMMYFUNCTION("""COMPUTED_VALUE"""),805.0)</f>
        <v>805</v>
      </c>
      <c r="G18939" s="4">
        <f>IFERROR(__xludf.DUMMYFUNCTION("""COMPUTED_VALUE"""),36.0)</f>
        <v>36</v>
      </c>
      <c r="H18939" s="4"/>
      <c r="I18939" s="4"/>
    </row>
    <row r="18940">
      <c r="A18940" s="4" t="str">
        <f>IFERROR(__xludf.DUMMYFUNCTION("""COMPUTED_VALUE"""),"cas_hmw")</f>
        <v>cas_hmw</v>
      </c>
      <c r="B18940" s="5">
        <f>IFERROR(__xludf.DUMMYFUNCTION("""COMPUTED_VALUE"""),44776.0)</f>
        <v>44776</v>
      </c>
      <c r="C18940" s="6">
        <f>IFERROR(__xludf.DUMMYFUNCTION("""COMPUTED_VALUE"""),0.34535879629765986)</f>
        <v>0.3453587963</v>
      </c>
      <c r="D18940" s="4">
        <f>IFERROR(__xludf.DUMMYFUNCTION("""COMPUTED_VALUE"""),12.921009)</f>
        <v>12.921009</v>
      </c>
      <c r="E18940" s="4">
        <f>IFERROR(__xludf.DUMMYFUNCTION("""COMPUTED_VALUE"""),80.112186)</f>
        <v>80.112186</v>
      </c>
      <c r="F18940" s="4">
        <f>IFERROR(__xludf.DUMMYFUNCTION("""COMPUTED_VALUE"""),5339.0)</f>
        <v>5339</v>
      </c>
      <c r="G18940" s="4">
        <f>IFERROR(__xludf.DUMMYFUNCTION("""COMPUTED_VALUE"""),42.0)</f>
        <v>42</v>
      </c>
      <c r="H18940" s="4"/>
      <c r="I18940" s="4"/>
    </row>
    <row r="18941">
      <c r="A18941" s="4" t="str">
        <f>IFERROR(__xludf.DUMMYFUNCTION("""COMPUTED_VALUE"""),"cas_hmw")</f>
        <v>cas_hmw</v>
      </c>
      <c r="B18941" s="5">
        <f>IFERROR(__xludf.DUMMYFUNCTION("""COMPUTED_VALUE"""),44776.0)</f>
        <v>44776</v>
      </c>
      <c r="C18941" s="6">
        <f>IFERROR(__xludf.DUMMYFUNCTION("""COMPUTED_VALUE"""),0.34550925925941556)</f>
        <v>0.3455092593</v>
      </c>
      <c r="D18941" s="4">
        <f>IFERROR(__xludf.DUMMYFUNCTION("""COMPUTED_VALUE"""),12.934719)</f>
        <v>12.934719</v>
      </c>
      <c r="E18941" s="4">
        <f>IFERROR(__xludf.DUMMYFUNCTION("""COMPUTED_VALUE"""),80.12591)</f>
        <v>80.12591</v>
      </c>
      <c r="F18941" s="4">
        <f>IFERROR(__xludf.DUMMYFUNCTION("""COMPUTED_VALUE"""),805.0)</f>
        <v>805</v>
      </c>
      <c r="G18941" s="4">
        <f>IFERROR(__xludf.DUMMYFUNCTION("""COMPUTED_VALUE"""),55.0)</f>
        <v>55</v>
      </c>
      <c r="H18941" s="4"/>
      <c r="I18941" s="4"/>
    </row>
    <row r="18942">
      <c r="A18942" s="4" t="str">
        <f>IFERROR(__xludf.DUMMYFUNCTION("""COMPUTED_VALUE"""),"cas_hmw")</f>
        <v>cas_hmw</v>
      </c>
      <c r="B18942" s="5">
        <f>IFERROR(__xludf.DUMMYFUNCTION("""COMPUTED_VALUE"""),44776.0)</f>
        <v>44776</v>
      </c>
      <c r="C18942" s="6">
        <f>IFERROR(__xludf.DUMMYFUNCTION("""COMPUTED_VALUE"""),0.3456018518518249)</f>
        <v>0.3456018519</v>
      </c>
      <c r="D18942" s="4">
        <f>IFERROR(__xludf.DUMMYFUNCTION("""COMPUTED_VALUE"""),12.934719)</f>
        <v>12.934719</v>
      </c>
      <c r="E18942" s="4">
        <f>IFERROR(__xludf.DUMMYFUNCTION("""COMPUTED_VALUE"""),80.12591)</f>
        <v>80.12591</v>
      </c>
      <c r="F18942" s="4">
        <f>IFERROR(__xludf.DUMMYFUNCTION("""COMPUTED_VALUE"""),805.0)</f>
        <v>805</v>
      </c>
      <c r="G18942" s="4">
        <f>IFERROR(__xludf.DUMMYFUNCTION("""COMPUTED_VALUE"""),55.0)</f>
        <v>55</v>
      </c>
      <c r="H18942" s="4"/>
      <c r="I18942" s="4"/>
    </row>
    <row r="18943">
      <c r="A18943" s="4" t="str">
        <f>IFERROR(__xludf.DUMMYFUNCTION("""COMPUTED_VALUE"""),"cas_hmw")</f>
        <v>cas_hmw</v>
      </c>
      <c r="B18943" s="5">
        <f>IFERROR(__xludf.DUMMYFUNCTION("""COMPUTED_VALUE"""),44776.0)</f>
        <v>44776</v>
      </c>
      <c r="C18943" s="6">
        <f>IFERROR(__xludf.DUMMYFUNCTION("""COMPUTED_VALUE"""),0.34579861110978527)</f>
        <v>0.3457986111</v>
      </c>
      <c r="D18943" s="4">
        <f>IFERROR(__xludf.DUMMYFUNCTION("""COMPUTED_VALUE"""),12.93303)</f>
        <v>12.93303</v>
      </c>
      <c r="E18943" s="4">
        <f>IFERROR(__xludf.DUMMYFUNCTION("""COMPUTED_VALUE"""),80.124273)</f>
        <v>80.124273</v>
      </c>
      <c r="F18943" s="4">
        <f>IFERROR(__xludf.DUMMYFUNCTION("""COMPUTED_VALUE"""),805.0)</f>
        <v>805</v>
      </c>
      <c r="G18943" s="4">
        <f>IFERROR(__xludf.DUMMYFUNCTION("""COMPUTED_VALUE"""),58.0)</f>
        <v>58</v>
      </c>
      <c r="H18943" s="4"/>
      <c r="I18943" s="4"/>
    </row>
    <row r="18944">
      <c r="A18944" s="4" t="str">
        <f>IFERROR(__xludf.DUMMYFUNCTION("""COMPUTED_VALUE"""),"cas_hmw")</f>
        <v>cas_hmw</v>
      </c>
      <c r="B18944" s="5">
        <f>IFERROR(__xludf.DUMMYFUNCTION("""COMPUTED_VALUE"""),44776.0)</f>
        <v>44776</v>
      </c>
      <c r="C18944" s="6">
        <f>IFERROR(__xludf.DUMMYFUNCTION("""COMPUTED_VALUE"""),0.34579861110978527)</f>
        <v>0.3457986111</v>
      </c>
      <c r="D18944" s="4">
        <f>IFERROR(__xludf.DUMMYFUNCTION("""COMPUTED_VALUE"""),12.93303)</f>
        <v>12.93303</v>
      </c>
      <c r="E18944" s="4">
        <f>IFERROR(__xludf.DUMMYFUNCTION("""COMPUTED_VALUE"""),80.124273)</f>
        <v>80.124273</v>
      </c>
      <c r="F18944" s="4">
        <f>IFERROR(__xludf.DUMMYFUNCTION("""COMPUTED_VALUE"""),805.0)</f>
        <v>805</v>
      </c>
      <c r="G18944" s="4">
        <f>IFERROR(__xludf.DUMMYFUNCTION("""COMPUTED_VALUE"""),58.0)</f>
        <v>58</v>
      </c>
      <c r="H18944" s="4"/>
      <c r="I18944" s="4"/>
    </row>
    <row r="18945">
      <c r="A18945" s="4" t="str">
        <f>IFERROR(__xludf.DUMMYFUNCTION("""COMPUTED_VALUE"""),"cas_hmw")</f>
        <v>cas_hmw</v>
      </c>
      <c r="B18945" s="5">
        <f>IFERROR(__xludf.DUMMYFUNCTION("""COMPUTED_VALUE"""),44776.0)</f>
        <v>44776</v>
      </c>
      <c r="C18945" s="6">
        <f>IFERROR(__xludf.DUMMYFUNCTION("""COMPUTED_VALUE"""),0.34583333333284827)</f>
        <v>0.3458333333</v>
      </c>
      <c r="D18945" s="4">
        <f>IFERROR(__xludf.DUMMYFUNCTION("""COMPUTED_VALUE"""),12.845969)</f>
        <v>12.845969</v>
      </c>
      <c r="E18945" s="4">
        <f>IFERROR(__xludf.DUMMYFUNCTION("""COMPUTED_VALUE"""),80.061589)</f>
        <v>80.061589</v>
      </c>
      <c r="F18945" s="4">
        <f>IFERROR(__xludf.DUMMYFUNCTION("""COMPUTED_VALUE"""),2846.0)</f>
        <v>2846</v>
      </c>
      <c r="G18945" s="4">
        <f>IFERROR(__xludf.DUMMYFUNCTION("""COMPUTED_VALUE"""),14.0)</f>
        <v>14</v>
      </c>
      <c r="H18945" s="4"/>
      <c r="I18945" s="4"/>
    </row>
    <row r="18946">
      <c r="A18946" s="4" t="str">
        <f>IFERROR(__xludf.DUMMYFUNCTION("""COMPUTED_VALUE"""),"cas_hmw")</f>
        <v>cas_hmw</v>
      </c>
      <c r="B18946" s="5">
        <f>IFERROR(__xludf.DUMMYFUNCTION("""COMPUTED_VALUE"""),44776.0)</f>
        <v>44776</v>
      </c>
      <c r="C18946" s="6">
        <f>IFERROR(__xludf.DUMMYFUNCTION("""COMPUTED_VALUE"""),0.3459953703713836)</f>
        <v>0.3459953704</v>
      </c>
      <c r="D18946" s="4">
        <f>IFERROR(__xludf.DUMMYFUNCTION("""COMPUTED_VALUE"""),12.931629)</f>
        <v>12.931629</v>
      </c>
      <c r="E18946" s="4">
        <f>IFERROR(__xludf.DUMMYFUNCTION("""COMPUTED_VALUE"""),80.122869)</f>
        <v>80.122869</v>
      </c>
      <c r="F18946" s="4">
        <f>IFERROR(__xludf.DUMMYFUNCTION("""COMPUTED_VALUE"""),805.0)</f>
        <v>805</v>
      </c>
      <c r="G18946" s="4">
        <f>IFERROR(__xludf.DUMMYFUNCTION("""COMPUTED_VALUE"""),40.0)</f>
        <v>40</v>
      </c>
      <c r="H18946" s="4"/>
      <c r="I18946" s="4"/>
    </row>
    <row r="18947">
      <c r="A18947" s="4" t="str">
        <f>IFERROR(__xludf.DUMMYFUNCTION("""COMPUTED_VALUE"""),"cas_hmw")</f>
        <v>cas_hmw</v>
      </c>
      <c r="B18947" s="5">
        <f>IFERROR(__xludf.DUMMYFUNCTION("""COMPUTED_VALUE"""),44776.0)</f>
        <v>44776</v>
      </c>
      <c r="C18947" s="6">
        <f>IFERROR(__xludf.DUMMYFUNCTION("""COMPUTED_VALUE"""),0.34630787037167465)</f>
        <v>0.3463078704</v>
      </c>
      <c r="D18947" s="4">
        <f>IFERROR(__xludf.DUMMYFUNCTION("""COMPUTED_VALUE"""),12.925546)</f>
        <v>12.925546</v>
      </c>
      <c r="E18947" s="4">
        <f>IFERROR(__xludf.DUMMYFUNCTION("""COMPUTED_VALUE"""),80.104398)</f>
        <v>80.104398</v>
      </c>
      <c r="F18947" s="4">
        <f>IFERROR(__xludf.DUMMYFUNCTION("""COMPUTED_VALUE"""),3143.0)</f>
        <v>3143</v>
      </c>
      <c r="G18947" s="4">
        <f>IFERROR(__xludf.DUMMYFUNCTION("""COMPUTED_VALUE"""),9.0)</f>
        <v>9</v>
      </c>
      <c r="H18947" s="4"/>
      <c r="I18947" s="4"/>
    </row>
    <row r="18948">
      <c r="A18948" s="4" t="str">
        <f>IFERROR(__xludf.DUMMYFUNCTION("""COMPUTED_VALUE"""),"cas_hmw")</f>
        <v>cas_hmw</v>
      </c>
      <c r="B18948" s="5">
        <f>IFERROR(__xludf.DUMMYFUNCTION("""COMPUTED_VALUE"""),44776.0)</f>
        <v>44776</v>
      </c>
      <c r="C18948" s="6">
        <f>IFERROR(__xludf.DUMMYFUNCTION("""COMPUTED_VALUE"""),0.34630787037167465)</f>
        <v>0.3463078704</v>
      </c>
      <c r="D18948" s="4">
        <f>IFERROR(__xludf.DUMMYFUNCTION("""COMPUTED_VALUE"""),12.925546)</f>
        <v>12.925546</v>
      </c>
      <c r="E18948" s="4">
        <f>IFERROR(__xludf.DUMMYFUNCTION("""COMPUTED_VALUE"""),80.104398)</f>
        <v>80.104398</v>
      </c>
      <c r="F18948" s="4">
        <f>IFERROR(__xludf.DUMMYFUNCTION("""COMPUTED_VALUE"""),3143.0)</f>
        <v>3143</v>
      </c>
      <c r="G18948" s="4">
        <f>IFERROR(__xludf.DUMMYFUNCTION("""COMPUTED_VALUE"""),9.0)</f>
        <v>9</v>
      </c>
      <c r="H18948" s="4"/>
      <c r="I18948" s="4"/>
    </row>
    <row r="18949">
      <c r="A18949" s="4" t="str">
        <f>IFERROR(__xludf.DUMMYFUNCTION("""COMPUTED_VALUE"""),"cas_hmw")</f>
        <v>cas_hmw</v>
      </c>
      <c r="B18949" s="5">
        <f>IFERROR(__xludf.DUMMYFUNCTION("""COMPUTED_VALUE"""),44776.0)</f>
        <v>44776</v>
      </c>
      <c r="C18949" s="6">
        <f>IFERROR(__xludf.DUMMYFUNCTION("""COMPUTED_VALUE"""),0.3465162037027767)</f>
        <v>0.3465162037</v>
      </c>
      <c r="D18949" s="4">
        <f>IFERROR(__xludf.DUMMYFUNCTION("""COMPUTED_VALUE"""),12.928058)</f>
        <v>12.928058</v>
      </c>
      <c r="E18949" s="4">
        <f>IFERROR(__xludf.DUMMYFUNCTION("""COMPUTED_VALUE"""),80.119279)</f>
        <v>80.119279</v>
      </c>
      <c r="F18949" s="4">
        <f>IFERROR(__xludf.DUMMYFUNCTION("""COMPUTED_VALUE"""),805.0)</f>
        <v>805</v>
      </c>
      <c r="G18949" s="4">
        <f>IFERROR(__xludf.DUMMYFUNCTION("""COMPUTED_VALUE"""),51.0)</f>
        <v>51</v>
      </c>
      <c r="H18949" s="4"/>
      <c r="I18949" s="4"/>
    </row>
    <row r="18950">
      <c r="A18950" s="4" t="str">
        <f>IFERROR(__xludf.DUMMYFUNCTION("""COMPUTED_VALUE"""),"cas_hmw")</f>
        <v>cas_hmw</v>
      </c>
      <c r="B18950" s="5">
        <f>IFERROR(__xludf.DUMMYFUNCTION("""COMPUTED_VALUE"""),44776.0)</f>
        <v>44776</v>
      </c>
      <c r="C18950" s="6">
        <f>IFERROR(__xludf.DUMMYFUNCTION("""COMPUTED_VALUE"""),0.3469212962954771)</f>
        <v>0.3469212963</v>
      </c>
      <c r="D18950" s="4">
        <f>IFERROR(__xludf.DUMMYFUNCTION("""COMPUTED_VALUE"""),12.913285)</f>
        <v>12.913285</v>
      </c>
      <c r="E18950" s="4">
        <f>IFERROR(__xludf.DUMMYFUNCTION("""COMPUTED_VALUE"""),80.101629)</f>
        <v>80.101629</v>
      </c>
      <c r="F18950" s="4">
        <f>IFERROR(__xludf.DUMMYFUNCTION("""COMPUTED_VALUE"""),5339.0)</f>
        <v>5339</v>
      </c>
      <c r="G18950" s="4">
        <f>IFERROR(__xludf.DUMMYFUNCTION("""COMPUTED_VALUE"""),35.0)</f>
        <v>35</v>
      </c>
      <c r="H18950" s="4"/>
      <c r="I18950" s="4"/>
    </row>
    <row r="18951">
      <c r="A18951" s="4" t="str">
        <f>IFERROR(__xludf.DUMMYFUNCTION("""COMPUTED_VALUE"""),"cas_hmw")</f>
        <v>cas_hmw</v>
      </c>
      <c r="B18951" s="5">
        <f>IFERROR(__xludf.DUMMYFUNCTION("""COMPUTED_VALUE"""),44776.0)</f>
        <v>44776</v>
      </c>
      <c r="C18951" s="6">
        <f>IFERROR(__xludf.DUMMYFUNCTION("""COMPUTED_VALUE"""),0.3469444444453984)</f>
        <v>0.3469444444</v>
      </c>
      <c r="D18951" s="4">
        <f>IFERROR(__xludf.DUMMYFUNCTION("""COMPUTED_VALUE"""),12.926555)</f>
        <v>12.926555</v>
      </c>
      <c r="E18951" s="4">
        <f>IFERROR(__xludf.DUMMYFUNCTION("""COMPUTED_VALUE"""),80.117748)</f>
        <v>80.117748</v>
      </c>
      <c r="F18951" s="4">
        <f>IFERROR(__xludf.DUMMYFUNCTION("""COMPUTED_VALUE"""),805.0)</f>
        <v>805</v>
      </c>
      <c r="G18951" s="4">
        <f>IFERROR(__xludf.DUMMYFUNCTION("""COMPUTED_VALUE"""),11.0)</f>
        <v>11</v>
      </c>
      <c r="H18951" s="4"/>
      <c r="I18951" s="4"/>
    </row>
    <row r="18952">
      <c r="A18952" s="4" t="str">
        <f>IFERROR(__xludf.DUMMYFUNCTION("""COMPUTED_VALUE"""),"cas_hmw")</f>
        <v>cas_hmw</v>
      </c>
      <c r="B18952" s="5">
        <f>IFERROR(__xludf.DUMMYFUNCTION("""COMPUTED_VALUE"""),44776.0)</f>
        <v>44776</v>
      </c>
      <c r="C18952" s="6">
        <f>IFERROR(__xludf.DUMMYFUNCTION("""COMPUTED_VALUE"""),0.3472685185188311)</f>
        <v>0.3472685185</v>
      </c>
      <c r="D18952" s="4">
        <f>IFERROR(__xludf.DUMMYFUNCTION("""COMPUTED_VALUE"""),12.924731)</f>
        <v>12.924731</v>
      </c>
      <c r="E18952" s="4">
        <f>IFERROR(__xludf.DUMMYFUNCTION("""COMPUTED_VALUE"""),80.099706)</f>
        <v>80.099706</v>
      </c>
      <c r="F18952" s="4">
        <f>IFERROR(__xludf.DUMMYFUNCTION("""COMPUTED_VALUE"""),3143.0)</f>
        <v>3143</v>
      </c>
      <c r="G18952" s="4">
        <f>IFERROR(__xludf.DUMMYFUNCTION("""COMPUTED_VALUE"""),0.0)</f>
        <v>0</v>
      </c>
      <c r="H18952" s="4"/>
      <c r="I18952" s="4"/>
    </row>
    <row r="18953">
      <c r="A18953" s="4" t="str">
        <f>IFERROR(__xludf.DUMMYFUNCTION("""COMPUTED_VALUE"""),"cas_hmw")</f>
        <v>cas_hmw</v>
      </c>
      <c r="B18953" s="5">
        <f>IFERROR(__xludf.DUMMYFUNCTION("""COMPUTED_VALUE"""),44776.0)</f>
        <v>44776</v>
      </c>
      <c r="C18953" s="6">
        <f>IFERROR(__xludf.DUMMYFUNCTION("""COMPUTED_VALUE"""),0.3483912037045229)</f>
        <v>0.3483912037</v>
      </c>
      <c r="D18953" s="4">
        <f>IFERROR(__xludf.DUMMYFUNCTION("""COMPUTED_VALUE"""),12.917057)</f>
        <v>12.917057</v>
      </c>
      <c r="E18953" s="4">
        <f>IFERROR(__xludf.DUMMYFUNCTION("""COMPUTED_VALUE"""),80.107354)</f>
        <v>80.107354</v>
      </c>
      <c r="F18953" s="4">
        <f>IFERROR(__xludf.DUMMYFUNCTION("""COMPUTED_VALUE"""),805.0)</f>
        <v>805</v>
      </c>
      <c r="G18953" s="4">
        <f>IFERROR(__xludf.DUMMYFUNCTION("""COMPUTED_VALUE"""),21.0)</f>
        <v>21</v>
      </c>
      <c r="H18953" s="4"/>
      <c r="I18953" s="4"/>
    </row>
    <row r="18954">
      <c r="A18954" s="4" t="str">
        <f>IFERROR(__xludf.DUMMYFUNCTION("""COMPUTED_VALUE"""),"cas_hmw")</f>
        <v>cas_hmw</v>
      </c>
      <c r="B18954" s="5">
        <f>IFERROR(__xludf.DUMMYFUNCTION("""COMPUTED_VALUE"""),44776.0)</f>
        <v>44776</v>
      </c>
      <c r="C18954" s="6">
        <f>IFERROR(__xludf.DUMMYFUNCTION("""COMPUTED_VALUE"""),0.3484375000007276)</f>
        <v>0.3484375</v>
      </c>
      <c r="D18954" s="4">
        <f>IFERROR(__xludf.DUMMYFUNCTION("""COMPUTED_VALUE"""),12.869859)</f>
        <v>12.869859</v>
      </c>
      <c r="E18954" s="4">
        <f>IFERROR(__xludf.DUMMYFUNCTION("""COMPUTED_VALUE"""),80.076404)</f>
        <v>80.076404</v>
      </c>
      <c r="F18954" s="4">
        <f>IFERROR(__xludf.DUMMYFUNCTION("""COMPUTED_VALUE"""),2846.0)</f>
        <v>2846</v>
      </c>
      <c r="G18954" s="4">
        <f>IFERROR(__xludf.DUMMYFUNCTION("""COMPUTED_VALUE"""),57.0)</f>
        <v>57</v>
      </c>
      <c r="H18954" s="4"/>
      <c r="I18954" s="4"/>
    </row>
    <row r="18955">
      <c r="A18955" s="4" t="str">
        <f>IFERROR(__xludf.DUMMYFUNCTION("""COMPUTED_VALUE"""),"cas_hmw")</f>
        <v>cas_hmw</v>
      </c>
      <c r="B18955" s="5">
        <f>IFERROR(__xludf.DUMMYFUNCTION("""COMPUTED_VALUE"""),44776.0)</f>
        <v>44776</v>
      </c>
      <c r="C18955" s="6">
        <f>IFERROR(__xludf.DUMMYFUNCTION("""COMPUTED_VALUE"""),0.34866898148175096)</f>
        <v>0.3486689815</v>
      </c>
      <c r="D18955" s="4">
        <f>IFERROR(__xludf.DUMMYFUNCTION("""COMPUTED_VALUE"""),12.872428)</f>
        <v>12.872428</v>
      </c>
      <c r="E18955" s="4">
        <f>IFERROR(__xludf.DUMMYFUNCTION("""COMPUTED_VALUE"""),80.077417)</f>
        <v>80.077417</v>
      </c>
      <c r="F18955" s="4">
        <f>IFERROR(__xludf.DUMMYFUNCTION("""COMPUTED_VALUE"""),2846.0)</f>
        <v>2846</v>
      </c>
      <c r="G18955" s="4">
        <f>IFERROR(__xludf.DUMMYFUNCTION("""COMPUTED_VALUE"""),57.0)</f>
        <v>57</v>
      </c>
      <c r="H18955" s="4"/>
      <c r="I18955" s="4"/>
    </row>
    <row r="18956">
      <c r="A18956" s="4" t="str">
        <f>IFERROR(__xludf.DUMMYFUNCTION("""COMPUTED_VALUE"""),"cas_hmw")</f>
        <v>cas_hmw</v>
      </c>
      <c r="B18956" s="5">
        <f>IFERROR(__xludf.DUMMYFUNCTION("""COMPUTED_VALUE"""),44776.0)</f>
        <v>44776</v>
      </c>
      <c r="C18956" s="6">
        <f>IFERROR(__xludf.DUMMYFUNCTION("""COMPUTED_VALUE"""),0.348807870370365)</f>
        <v>0.3488078704</v>
      </c>
      <c r="D18956" s="4">
        <f>IFERROR(__xludf.DUMMYFUNCTION("""COMPUTED_VALUE"""),12.874793)</f>
        <v>12.874793</v>
      </c>
      <c r="E18956" s="4">
        <f>IFERROR(__xludf.DUMMYFUNCTION("""COMPUTED_VALUE"""),80.078293)</f>
        <v>80.078293</v>
      </c>
      <c r="F18956" s="4">
        <f>IFERROR(__xludf.DUMMYFUNCTION("""COMPUTED_VALUE"""),2846.0)</f>
        <v>2846</v>
      </c>
      <c r="G18956" s="4">
        <f>IFERROR(__xludf.DUMMYFUNCTION("""COMPUTED_VALUE"""),48.0)</f>
        <v>48</v>
      </c>
      <c r="H18956" s="4"/>
      <c r="I18956" s="4"/>
    </row>
    <row r="18957">
      <c r="A18957" s="4" t="str">
        <f>IFERROR(__xludf.DUMMYFUNCTION("""COMPUTED_VALUE"""),"cas_hmw")</f>
        <v>cas_hmw</v>
      </c>
      <c r="B18957" s="5">
        <f>IFERROR(__xludf.DUMMYFUNCTION("""COMPUTED_VALUE"""),44776.0)</f>
        <v>44776</v>
      </c>
      <c r="C18957" s="6">
        <f>IFERROR(__xludf.DUMMYFUNCTION("""COMPUTED_VALUE"""),0.34987268518671044)</f>
        <v>0.3498726852</v>
      </c>
      <c r="D18957" s="4">
        <f>IFERROR(__xludf.DUMMYFUNCTION("""COMPUTED_VALUE"""),12.909113)</f>
        <v>12.909113</v>
      </c>
      <c r="E18957" s="4">
        <f>IFERROR(__xludf.DUMMYFUNCTION("""COMPUTED_VALUE"""),80.098942)</f>
        <v>80.098942</v>
      </c>
      <c r="F18957" s="4">
        <f>IFERROR(__xludf.DUMMYFUNCTION("""COMPUTED_VALUE"""),805.0)</f>
        <v>805</v>
      </c>
      <c r="G18957" s="4">
        <f>IFERROR(__xludf.DUMMYFUNCTION("""COMPUTED_VALUE"""),0.0)</f>
        <v>0</v>
      </c>
      <c r="H18957" s="4"/>
      <c r="I18957" s="4"/>
    </row>
    <row r="18958">
      <c r="A18958" s="4" t="str">
        <f>IFERROR(__xludf.DUMMYFUNCTION("""COMPUTED_VALUE"""),"cas_hmw")</f>
        <v>cas_hmw</v>
      </c>
      <c r="B18958" s="5">
        <f>IFERROR(__xludf.DUMMYFUNCTION("""COMPUTED_VALUE"""),44776.0)</f>
        <v>44776</v>
      </c>
      <c r="C18958" s="6">
        <f>IFERROR(__xludf.DUMMYFUNCTION("""COMPUTED_VALUE"""),0.3504745370373712)</f>
        <v>0.350474537</v>
      </c>
      <c r="D18958" s="4">
        <f>IFERROR(__xludf.DUMMYFUNCTION("""COMPUTED_VALUE"""),12.91836)</f>
        <v>12.91836</v>
      </c>
      <c r="E18958" s="4">
        <f>IFERROR(__xludf.DUMMYFUNCTION("""COMPUTED_VALUE"""),80.0818)</f>
        <v>80.0818</v>
      </c>
      <c r="F18958" s="4">
        <f>IFERROR(__xludf.DUMMYFUNCTION("""COMPUTED_VALUE"""),3143.0)</f>
        <v>3143</v>
      </c>
      <c r="G18958" s="4">
        <f>IFERROR(__xludf.DUMMYFUNCTION("""COMPUTED_VALUE"""),0.0)</f>
        <v>0</v>
      </c>
      <c r="H18958" s="4"/>
      <c r="I18958" s="4"/>
    </row>
    <row r="18959">
      <c r="A18959" s="4" t="str">
        <f>IFERROR(__xludf.DUMMYFUNCTION("""COMPUTED_VALUE"""),"cas_hmw")</f>
        <v>cas_hmw</v>
      </c>
      <c r="B18959" s="5">
        <f>IFERROR(__xludf.DUMMYFUNCTION("""COMPUTED_VALUE"""),44776.0)</f>
        <v>44776</v>
      </c>
      <c r="C18959" s="6">
        <f>IFERROR(__xludf.DUMMYFUNCTION("""COMPUTED_VALUE"""),0.35071759259153623)</f>
        <v>0.3507175926</v>
      </c>
      <c r="D18959" s="4">
        <f>IFERROR(__xludf.DUMMYFUNCTION("""COMPUTED_VALUE"""),12.902359)</f>
        <v>12.902359</v>
      </c>
      <c r="E18959" s="4">
        <f>IFERROR(__xludf.DUMMYFUNCTION("""COMPUTED_VALUE"""),80.093245)</f>
        <v>80.093245</v>
      </c>
      <c r="F18959" s="4">
        <f>IFERROR(__xludf.DUMMYFUNCTION("""COMPUTED_VALUE"""),5339.0)</f>
        <v>5339</v>
      </c>
      <c r="G18959" s="4">
        <f>IFERROR(__xludf.DUMMYFUNCTION("""COMPUTED_VALUE"""),30.0)</f>
        <v>30</v>
      </c>
      <c r="H18959" s="4"/>
      <c r="I18959" s="4"/>
    </row>
    <row r="18960">
      <c r="A18960" s="4" t="str">
        <f>IFERROR(__xludf.DUMMYFUNCTION("""COMPUTED_VALUE"""),"cas_hmw")</f>
        <v>cas_hmw</v>
      </c>
      <c r="B18960" s="5">
        <f>IFERROR(__xludf.DUMMYFUNCTION("""COMPUTED_VALUE"""),44776.0)</f>
        <v>44776</v>
      </c>
      <c r="C18960" s="6">
        <f>IFERROR(__xludf.DUMMYFUNCTION("""COMPUTED_VALUE"""),0.3515162037037953)</f>
        <v>0.3515162037</v>
      </c>
      <c r="D18960" s="4">
        <f>IFERROR(__xludf.DUMMYFUNCTION("""COMPUTED_VALUE"""),12.904322)</f>
        <v>12.904322</v>
      </c>
      <c r="E18960" s="4">
        <f>IFERROR(__xludf.DUMMYFUNCTION("""COMPUTED_VALUE"""),80.094972)</f>
        <v>80.094972</v>
      </c>
      <c r="F18960" s="4">
        <f>IFERROR(__xludf.DUMMYFUNCTION("""COMPUTED_VALUE"""),805.0)</f>
        <v>805</v>
      </c>
      <c r="G18960" s="4">
        <f>IFERROR(__xludf.DUMMYFUNCTION("""COMPUTED_VALUE"""),41.0)</f>
        <v>41</v>
      </c>
      <c r="H18960" s="4"/>
      <c r="I18960" s="4"/>
    </row>
    <row r="18961">
      <c r="A18961" s="4" t="str">
        <f>IFERROR(__xludf.DUMMYFUNCTION("""COMPUTED_VALUE"""),"cas_hmw")</f>
        <v>cas_hmw</v>
      </c>
      <c r="B18961" s="5">
        <f>IFERROR(__xludf.DUMMYFUNCTION("""COMPUTED_VALUE"""),44776.0)</f>
        <v>44776</v>
      </c>
      <c r="C18961" s="6">
        <f>IFERROR(__xludf.DUMMYFUNCTION("""COMPUTED_VALUE"""),0.3531250000014552)</f>
        <v>0.353125</v>
      </c>
      <c r="D18961" s="4">
        <f>IFERROR(__xludf.DUMMYFUNCTION("""COMPUTED_VALUE"""),12.886116)</f>
        <v>12.886116</v>
      </c>
      <c r="E18961" s="4">
        <f>IFERROR(__xludf.DUMMYFUNCTION("""COMPUTED_VALUE"""),80.083013)</f>
        <v>80.083013</v>
      </c>
      <c r="F18961" s="4">
        <f>IFERROR(__xludf.DUMMYFUNCTION("""COMPUTED_VALUE"""),5339.0)</f>
        <v>5339</v>
      </c>
      <c r="G18961" s="4">
        <f>IFERROR(__xludf.DUMMYFUNCTION("""COMPUTED_VALUE"""),47.0)</f>
        <v>47</v>
      </c>
      <c r="H18961" s="4"/>
      <c r="I18961" s="4"/>
    </row>
    <row r="18962">
      <c r="A18962" s="4" t="str">
        <f>IFERROR(__xludf.DUMMYFUNCTION("""COMPUTED_VALUE"""),"cas_hmw")</f>
        <v>cas_hmw</v>
      </c>
      <c r="B18962" s="5">
        <f>IFERROR(__xludf.DUMMYFUNCTION("""COMPUTED_VALUE"""),44776.0)</f>
        <v>44776</v>
      </c>
      <c r="C18962" s="6">
        <f>IFERROR(__xludf.DUMMYFUNCTION("""COMPUTED_VALUE"""),0.3538888888906513)</f>
        <v>0.3538888889</v>
      </c>
      <c r="D18962" s="4">
        <f>IFERROR(__xludf.DUMMYFUNCTION("""COMPUTED_VALUE"""),12.885604)</f>
        <v>12.885604</v>
      </c>
      <c r="E18962" s="4">
        <f>IFERROR(__xludf.DUMMYFUNCTION("""COMPUTED_VALUE"""),80.082832)</f>
        <v>80.082832</v>
      </c>
      <c r="F18962" s="4">
        <f>IFERROR(__xludf.DUMMYFUNCTION("""COMPUTED_VALUE"""),805.0)</f>
        <v>805</v>
      </c>
      <c r="G18962" s="4">
        <f>IFERROR(__xludf.DUMMYFUNCTION("""COMPUTED_VALUE"""),58.0)</f>
        <v>58</v>
      </c>
      <c r="H18962" s="4"/>
      <c r="I18962" s="4"/>
    </row>
    <row r="18963">
      <c r="A18963" s="4" t="str">
        <f>IFERROR(__xludf.DUMMYFUNCTION("""COMPUTED_VALUE"""),"cas_hmw")</f>
        <v>cas_hmw</v>
      </c>
      <c r="B18963" s="5">
        <f>IFERROR(__xludf.DUMMYFUNCTION("""COMPUTED_VALUE"""),44776.0)</f>
        <v>44776</v>
      </c>
      <c r="C18963" s="6">
        <f>IFERROR(__xludf.DUMMYFUNCTION("""COMPUTED_VALUE"""),0.3546874999992724)</f>
        <v>0.3546875</v>
      </c>
      <c r="D18963" s="4">
        <f>IFERROR(__xludf.DUMMYFUNCTION("""COMPUTED_VALUE"""),12.887177)</f>
        <v>12.887177</v>
      </c>
      <c r="E18963" s="4">
        <f>IFERROR(__xludf.DUMMYFUNCTION("""COMPUTED_VALUE"""),80.076016)</f>
        <v>80.076016</v>
      </c>
      <c r="F18963" s="4">
        <f>IFERROR(__xludf.DUMMYFUNCTION("""COMPUTED_VALUE"""),3143.0)</f>
        <v>3143</v>
      </c>
      <c r="G18963" s="4">
        <f>IFERROR(__xludf.DUMMYFUNCTION("""COMPUTED_VALUE"""),58.0)</f>
        <v>58</v>
      </c>
      <c r="H18963" s="4"/>
      <c r="I18963" s="4"/>
    </row>
    <row r="18964">
      <c r="A18964" s="4" t="str">
        <f>IFERROR(__xludf.DUMMYFUNCTION("""COMPUTED_VALUE"""),"cas_hmw")</f>
        <v>cas_hmw</v>
      </c>
      <c r="B18964" s="5">
        <f>IFERROR(__xludf.DUMMYFUNCTION("""COMPUTED_VALUE"""),44776.0)</f>
        <v>44776</v>
      </c>
      <c r="C18964" s="6">
        <f>IFERROR(__xludf.DUMMYFUNCTION("""COMPUTED_VALUE"""),0.35521990740744513)</f>
        <v>0.3552199074</v>
      </c>
      <c r="D18964" s="4">
        <f>IFERROR(__xludf.DUMMYFUNCTION("""COMPUTED_VALUE"""),12.878925)</f>
        <v>12.878925</v>
      </c>
      <c r="E18964" s="4">
        <f>IFERROR(__xludf.DUMMYFUNCTION("""COMPUTED_VALUE"""),80.08085)</f>
        <v>80.08085</v>
      </c>
      <c r="F18964" s="4">
        <f>IFERROR(__xludf.DUMMYFUNCTION("""COMPUTED_VALUE"""),805.0)</f>
        <v>805</v>
      </c>
      <c r="G18964" s="4">
        <f>IFERROR(__xludf.DUMMYFUNCTION("""COMPUTED_VALUE"""),13.0)</f>
        <v>13</v>
      </c>
      <c r="H18964" s="4"/>
      <c r="I18964" s="4"/>
    </row>
    <row r="18965">
      <c r="A18965" s="4" t="str">
        <f>IFERROR(__xludf.DUMMYFUNCTION("""COMPUTED_VALUE"""),"cas_hmw")</f>
        <v>cas_hmw</v>
      </c>
      <c r="B18965" s="5">
        <f>IFERROR(__xludf.DUMMYFUNCTION("""COMPUTED_VALUE"""),44776.0)</f>
        <v>44776</v>
      </c>
      <c r="C18965" s="6">
        <f>IFERROR(__xludf.DUMMYFUNCTION("""COMPUTED_VALUE"""),0.35521990740744513)</f>
        <v>0.3552199074</v>
      </c>
      <c r="D18965" s="4">
        <f>IFERROR(__xludf.DUMMYFUNCTION("""COMPUTED_VALUE"""),12.878925)</f>
        <v>12.878925</v>
      </c>
      <c r="E18965" s="4">
        <f>IFERROR(__xludf.DUMMYFUNCTION("""COMPUTED_VALUE"""),80.08085)</f>
        <v>80.08085</v>
      </c>
      <c r="F18965" s="4">
        <f>IFERROR(__xludf.DUMMYFUNCTION("""COMPUTED_VALUE"""),805.0)</f>
        <v>805</v>
      </c>
      <c r="G18965" s="4">
        <f>IFERROR(__xludf.DUMMYFUNCTION("""COMPUTED_VALUE"""),13.0)</f>
        <v>13</v>
      </c>
      <c r="H18965" s="4"/>
      <c r="I18965" s="4"/>
    </row>
    <row r="18966">
      <c r="A18966" s="4" t="str">
        <f>IFERROR(__xludf.DUMMYFUNCTION("""COMPUTED_VALUE"""),"cas_hmw")</f>
        <v>cas_hmw</v>
      </c>
      <c r="B18966" s="5">
        <f>IFERROR(__xludf.DUMMYFUNCTION("""COMPUTED_VALUE"""),44776.0)</f>
        <v>44776</v>
      </c>
      <c r="C18966" s="6">
        <f>IFERROR(__xludf.DUMMYFUNCTION("""COMPUTED_VALUE"""),0.35521990740744513)</f>
        <v>0.3552199074</v>
      </c>
      <c r="D18966" s="4">
        <f>IFERROR(__xludf.DUMMYFUNCTION("""COMPUTED_VALUE"""),12.878925)</f>
        <v>12.878925</v>
      </c>
      <c r="E18966" s="4">
        <f>IFERROR(__xludf.DUMMYFUNCTION("""COMPUTED_VALUE"""),80.08085)</f>
        <v>80.08085</v>
      </c>
      <c r="F18966" s="4">
        <f>IFERROR(__xludf.DUMMYFUNCTION("""COMPUTED_VALUE"""),805.0)</f>
        <v>805</v>
      </c>
      <c r="G18966" s="4">
        <f>IFERROR(__xludf.DUMMYFUNCTION("""COMPUTED_VALUE"""),13.0)</f>
        <v>13</v>
      </c>
      <c r="H18966" s="4"/>
      <c r="I18966" s="4"/>
    </row>
    <row r="18967">
      <c r="A18967" s="4" t="str">
        <f>IFERROR(__xludf.DUMMYFUNCTION("""COMPUTED_VALUE"""),"cas_hmw")</f>
        <v>cas_hmw</v>
      </c>
      <c r="B18967" s="5">
        <f>IFERROR(__xludf.DUMMYFUNCTION("""COMPUTED_VALUE"""),44776.0)</f>
        <v>44776</v>
      </c>
      <c r="C18967" s="6">
        <f>IFERROR(__xludf.DUMMYFUNCTION("""COMPUTED_VALUE"""),0.35524305555736646)</f>
        <v>0.3552430556</v>
      </c>
      <c r="D18967" s="4">
        <f>IFERROR(__xludf.DUMMYFUNCTION("""COMPUTED_VALUE"""),12.878925)</f>
        <v>12.878925</v>
      </c>
      <c r="E18967" s="4">
        <f>IFERROR(__xludf.DUMMYFUNCTION("""COMPUTED_VALUE"""),80.08085)</f>
        <v>80.08085</v>
      </c>
      <c r="F18967" s="4">
        <f>IFERROR(__xludf.DUMMYFUNCTION("""COMPUTED_VALUE"""),805.0)</f>
        <v>805</v>
      </c>
      <c r="G18967" s="4">
        <f>IFERROR(__xludf.DUMMYFUNCTION("""COMPUTED_VALUE"""),13.0)</f>
        <v>13</v>
      </c>
      <c r="H18967" s="4"/>
      <c r="I18967" s="4"/>
    </row>
    <row r="18968">
      <c r="A18968" s="4" t="str">
        <f>IFERROR(__xludf.DUMMYFUNCTION("""COMPUTED_VALUE"""),"cas_hmw")</f>
        <v>cas_hmw</v>
      </c>
      <c r="B18968" s="5">
        <f>IFERROR(__xludf.DUMMYFUNCTION("""COMPUTED_VALUE"""),44776.0)</f>
        <v>44776</v>
      </c>
      <c r="C18968" s="6">
        <f>IFERROR(__xludf.DUMMYFUNCTION("""COMPUTED_VALUE"""),0.35524305555736646)</f>
        <v>0.3552430556</v>
      </c>
      <c r="D18968" s="4">
        <f>IFERROR(__xludf.DUMMYFUNCTION("""COMPUTED_VALUE"""),12.878925)</f>
        <v>12.878925</v>
      </c>
      <c r="E18968" s="4">
        <f>IFERROR(__xludf.DUMMYFUNCTION("""COMPUTED_VALUE"""),80.08085)</f>
        <v>80.08085</v>
      </c>
      <c r="F18968" s="4">
        <f>IFERROR(__xludf.DUMMYFUNCTION("""COMPUTED_VALUE"""),805.0)</f>
        <v>805</v>
      </c>
      <c r="G18968" s="4">
        <f>IFERROR(__xludf.DUMMYFUNCTION("""COMPUTED_VALUE"""),13.0)</f>
        <v>13</v>
      </c>
      <c r="H18968" s="4"/>
      <c r="I18968" s="4"/>
    </row>
    <row r="18969">
      <c r="A18969" s="4" t="str">
        <f>IFERROR(__xludf.DUMMYFUNCTION("""COMPUTED_VALUE"""),"cas_hmw")</f>
        <v>cas_hmw</v>
      </c>
      <c r="B18969" s="5">
        <f>IFERROR(__xludf.DUMMYFUNCTION("""COMPUTED_VALUE"""),44776.0)</f>
        <v>44776</v>
      </c>
      <c r="C18969" s="6">
        <f>IFERROR(__xludf.DUMMYFUNCTION("""COMPUTED_VALUE"""),0.6922800925931369)</f>
        <v>0.6922800926</v>
      </c>
      <c r="D18969" s="4">
        <f>IFERROR(__xludf.DUMMYFUNCTION("""COMPUTED_VALUE"""),12.885039)</f>
        <v>12.885039</v>
      </c>
      <c r="E18969" s="4">
        <f>IFERROR(__xludf.DUMMYFUNCTION("""COMPUTED_VALUE"""),80.082189)</f>
        <v>80.082189</v>
      </c>
      <c r="F18969" s="4">
        <f>IFERROR(__xludf.DUMMYFUNCTION("""COMPUTED_VALUE"""),805.0)</f>
        <v>805</v>
      </c>
      <c r="G18969" s="4">
        <f>IFERROR(__xludf.DUMMYFUNCTION("""COMPUTED_VALUE"""),47.0)</f>
        <v>47</v>
      </c>
      <c r="H18969" s="4"/>
      <c r="I18969" s="4"/>
    </row>
    <row r="18970">
      <c r="A18970" s="4" t="str">
        <f>IFERROR(__xludf.DUMMYFUNCTION("""COMPUTED_VALUE"""),"cas_hmw")</f>
        <v>cas_hmw</v>
      </c>
      <c r="B18970" s="5">
        <f>IFERROR(__xludf.DUMMYFUNCTION("""COMPUTED_VALUE"""),44776.0)</f>
        <v>44776</v>
      </c>
      <c r="C18970" s="6">
        <f>IFERROR(__xludf.DUMMYFUNCTION("""COMPUTED_VALUE"""),0.6923263888893416)</f>
        <v>0.6923263889</v>
      </c>
      <c r="D18970" s="4">
        <f>IFERROR(__xludf.DUMMYFUNCTION("""COMPUTED_VALUE"""),12.885039)</f>
        <v>12.885039</v>
      </c>
      <c r="E18970" s="4">
        <f>IFERROR(__xludf.DUMMYFUNCTION("""COMPUTED_VALUE"""),80.082189)</f>
        <v>80.082189</v>
      </c>
      <c r="F18970" s="4">
        <f>IFERROR(__xludf.DUMMYFUNCTION("""COMPUTED_VALUE"""),805.0)</f>
        <v>805</v>
      </c>
      <c r="G18970" s="4">
        <f>IFERROR(__xludf.DUMMYFUNCTION("""COMPUTED_VALUE"""),47.0)</f>
        <v>47</v>
      </c>
      <c r="H18970" s="4"/>
      <c r="I18970" s="4"/>
    </row>
    <row r="18971">
      <c r="A18971" s="4" t="str">
        <f>IFERROR(__xludf.DUMMYFUNCTION("""COMPUTED_VALUE"""),"cas_hmw")</f>
        <v>cas_hmw</v>
      </c>
      <c r="B18971" s="5">
        <f>IFERROR(__xludf.DUMMYFUNCTION("""COMPUTED_VALUE"""),44776.0)</f>
        <v>44776</v>
      </c>
      <c r="C18971" s="6">
        <f>IFERROR(__xludf.DUMMYFUNCTION("""COMPUTED_VALUE"""),0.692696759258979)</f>
        <v>0.6926967593</v>
      </c>
      <c r="D18971" s="4">
        <f>IFERROR(__xludf.DUMMYFUNCTION("""COMPUTED_VALUE"""),12.888468)</f>
        <v>12.888468</v>
      </c>
      <c r="E18971" s="4">
        <f>IFERROR(__xludf.DUMMYFUNCTION("""COMPUTED_VALUE"""),80.083868)</f>
        <v>80.083868</v>
      </c>
      <c r="F18971" s="4">
        <f>IFERROR(__xludf.DUMMYFUNCTION("""COMPUTED_VALUE"""),805.0)</f>
        <v>805</v>
      </c>
      <c r="G18971" s="4">
        <f>IFERROR(__xludf.DUMMYFUNCTION("""COMPUTED_VALUE"""),59.0)</f>
        <v>59</v>
      </c>
      <c r="H18971" s="4"/>
      <c r="I18971" s="4"/>
    </row>
    <row r="18972">
      <c r="A18972" s="4" t="str">
        <f>IFERROR(__xludf.DUMMYFUNCTION("""COMPUTED_VALUE"""),"cas_hmw")</f>
        <v>cas_hmw</v>
      </c>
      <c r="B18972" s="5">
        <f>IFERROR(__xludf.DUMMYFUNCTION("""COMPUTED_VALUE"""),44776.0)</f>
        <v>44776</v>
      </c>
      <c r="C18972" s="6">
        <f>IFERROR(__xludf.DUMMYFUNCTION("""COMPUTED_VALUE"""),0.692835648147593)</f>
        <v>0.6928356481</v>
      </c>
      <c r="D18972" s="4">
        <f>IFERROR(__xludf.DUMMYFUNCTION("""COMPUTED_VALUE"""),12.889742)</f>
        <v>12.889742</v>
      </c>
      <c r="E18972" s="4">
        <f>IFERROR(__xludf.DUMMYFUNCTION("""COMPUTED_VALUE"""),80.084367)</f>
        <v>80.084367</v>
      </c>
      <c r="F18972" s="4">
        <f>IFERROR(__xludf.DUMMYFUNCTION("""COMPUTED_VALUE"""),805.0)</f>
        <v>805</v>
      </c>
      <c r="G18972" s="4">
        <f>IFERROR(__xludf.DUMMYFUNCTION("""COMPUTED_VALUE"""),50.0)</f>
        <v>50</v>
      </c>
      <c r="H18972" s="4"/>
      <c r="I18972" s="4"/>
    </row>
    <row r="18973">
      <c r="A18973" s="4" t="str">
        <f>IFERROR(__xludf.DUMMYFUNCTION("""COMPUTED_VALUE"""),"cas_hmw")</f>
        <v>cas_hmw</v>
      </c>
      <c r="B18973" s="5">
        <f>IFERROR(__xludf.DUMMYFUNCTION("""COMPUTED_VALUE"""),44776.0)</f>
        <v>44776</v>
      </c>
      <c r="C18973" s="6">
        <f>IFERROR(__xludf.DUMMYFUNCTION("""COMPUTED_VALUE"""),0.693043981482333)</f>
        <v>0.6930439815</v>
      </c>
      <c r="D18973" s="4">
        <f>IFERROR(__xludf.DUMMYFUNCTION("""COMPUTED_VALUE"""),12.89124)</f>
        <v>12.89124</v>
      </c>
      <c r="E18973" s="4">
        <f>IFERROR(__xludf.DUMMYFUNCTION("""COMPUTED_VALUE"""),80.084989)</f>
        <v>80.084989</v>
      </c>
      <c r="F18973" s="4">
        <f>IFERROR(__xludf.DUMMYFUNCTION("""COMPUTED_VALUE"""),5339.0)</f>
        <v>5339</v>
      </c>
      <c r="G18973" s="4">
        <f>IFERROR(__xludf.DUMMYFUNCTION("""COMPUTED_VALUE"""),43.0)</f>
        <v>43</v>
      </c>
      <c r="H18973" s="4"/>
      <c r="I18973" s="4"/>
    </row>
    <row r="18974">
      <c r="A18974" s="4" t="str">
        <f>IFERROR(__xludf.DUMMYFUNCTION("""COMPUTED_VALUE"""),"cas_hmw")</f>
        <v>cas_hmw</v>
      </c>
      <c r="B18974" s="5">
        <f>IFERROR(__xludf.DUMMYFUNCTION("""COMPUTED_VALUE"""),44776.0)</f>
        <v>44776</v>
      </c>
      <c r="C18974" s="6">
        <f>IFERROR(__xludf.DUMMYFUNCTION("""COMPUTED_VALUE"""),0.693078703705396)</f>
        <v>0.6930787037</v>
      </c>
      <c r="D18974" s="4">
        <f>IFERROR(__xludf.DUMMYFUNCTION("""COMPUTED_VALUE"""),12.866759)</f>
        <v>12.866759</v>
      </c>
      <c r="E18974" s="4">
        <f>IFERROR(__xludf.DUMMYFUNCTION("""COMPUTED_VALUE"""),80.075458)</f>
        <v>80.075458</v>
      </c>
      <c r="F18974" s="4">
        <f>IFERROR(__xludf.DUMMYFUNCTION("""COMPUTED_VALUE"""),2846.0)</f>
        <v>2846</v>
      </c>
      <c r="G18974" s="4">
        <f>IFERROR(__xludf.DUMMYFUNCTION("""COMPUTED_VALUE"""),15.0)</f>
        <v>15</v>
      </c>
      <c r="H18974" s="4"/>
      <c r="I18974" s="4"/>
    </row>
    <row r="18975">
      <c r="A18975" s="4" t="str">
        <f>IFERROR(__xludf.DUMMYFUNCTION("""COMPUTED_VALUE"""),"cas_hmw")</f>
        <v>cas_hmw</v>
      </c>
      <c r="B18975" s="5">
        <f>IFERROR(__xludf.DUMMYFUNCTION("""COMPUTED_VALUE"""),44776.0)</f>
        <v>44776</v>
      </c>
      <c r="C18975" s="6">
        <f>IFERROR(__xludf.DUMMYFUNCTION("""COMPUTED_VALUE"""),0.6934953703712381)</f>
        <v>0.6934953704</v>
      </c>
      <c r="D18975" s="4">
        <f>IFERROR(__xludf.DUMMYFUNCTION("""COMPUTED_VALUE"""),12.896582)</f>
        <v>12.896582</v>
      </c>
      <c r="E18975" s="4">
        <f>IFERROR(__xludf.DUMMYFUNCTION("""COMPUTED_VALUE"""),80.088808)</f>
        <v>80.088808</v>
      </c>
      <c r="F18975" s="4">
        <f>IFERROR(__xludf.DUMMYFUNCTION("""COMPUTED_VALUE"""),805.0)</f>
        <v>805</v>
      </c>
      <c r="G18975" s="4">
        <f>IFERROR(__xludf.DUMMYFUNCTION("""COMPUTED_VALUE"""),57.0)</f>
        <v>57</v>
      </c>
      <c r="H18975" s="4"/>
      <c r="I18975" s="4"/>
    </row>
    <row r="18976">
      <c r="A18976" s="4" t="str">
        <f>IFERROR(__xludf.DUMMYFUNCTION("""COMPUTED_VALUE"""),"cas_hmw")</f>
        <v>cas_hmw</v>
      </c>
      <c r="B18976" s="5">
        <f>IFERROR(__xludf.DUMMYFUNCTION("""COMPUTED_VALUE"""),44776.0)</f>
        <v>44776</v>
      </c>
      <c r="C18976" s="6">
        <f>IFERROR(__xludf.DUMMYFUNCTION("""COMPUTED_VALUE"""),0.6935763888905058)</f>
        <v>0.6935763889</v>
      </c>
      <c r="D18976" s="4">
        <f>IFERROR(__xludf.DUMMYFUNCTION("""COMPUTED_VALUE"""),12.897728)</f>
        <v>12.897728</v>
      </c>
      <c r="E18976" s="4">
        <f>IFERROR(__xludf.DUMMYFUNCTION("""COMPUTED_VALUE"""),80.089631)</f>
        <v>80.089631</v>
      </c>
      <c r="F18976" s="4">
        <f>IFERROR(__xludf.DUMMYFUNCTION("""COMPUTED_VALUE"""),805.0)</f>
        <v>805</v>
      </c>
      <c r="G18976" s="4">
        <f>IFERROR(__xludf.DUMMYFUNCTION("""COMPUTED_VALUE"""),55.0)</f>
        <v>55</v>
      </c>
      <c r="H18976" s="4"/>
      <c r="I18976" s="4"/>
    </row>
    <row r="18977">
      <c r="A18977" s="4" t="str">
        <f>IFERROR(__xludf.DUMMYFUNCTION("""COMPUTED_VALUE"""),"cas_hmw")</f>
        <v>cas_hmw</v>
      </c>
      <c r="B18977" s="5">
        <f>IFERROR(__xludf.DUMMYFUNCTION("""COMPUTED_VALUE"""),44776.0)</f>
        <v>44776</v>
      </c>
      <c r="C18977" s="6">
        <f>IFERROR(__xludf.DUMMYFUNCTION("""COMPUTED_VALUE"""),0.6935879629636474)</f>
        <v>0.693587963</v>
      </c>
      <c r="D18977" s="4">
        <f>IFERROR(__xludf.DUMMYFUNCTION("""COMPUTED_VALUE"""),12.897728)</f>
        <v>12.897728</v>
      </c>
      <c r="E18977" s="4">
        <f>IFERROR(__xludf.DUMMYFUNCTION("""COMPUTED_VALUE"""),80.089631)</f>
        <v>80.089631</v>
      </c>
      <c r="F18977" s="4">
        <f>IFERROR(__xludf.DUMMYFUNCTION("""COMPUTED_VALUE"""),805.0)</f>
        <v>805</v>
      </c>
      <c r="G18977" s="4">
        <f>IFERROR(__xludf.DUMMYFUNCTION("""COMPUTED_VALUE"""),55.0)</f>
        <v>55</v>
      </c>
      <c r="H18977" s="4"/>
      <c r="I18977" s="4"/>
    </row>
    <row r="18978">
      <c r="A18978" s="4" t="str">
        <f>IFERROR(__xludf.DUMMYFUNCTION("""COMPUTED_VALUE"""),"cas_hmw")</f>
        <v>cas_hmw</v>
      </c>
      <c r="B18978" s="5">
        <f>IFERROR(__xludf.DUMMYFUNCTION("""COMPUTED_VALUE"""),44776.0)</f>
        <v>44776</v>
      </c>
      <c r="C18978" s="6">
        <f>IFERROR(__xludf.DUMMYFUNCTION("""COMPUTED_VALUE"""),0.6935995370367891)</f>
        <v>0.693599537</v>
      </c>
      <c r="D18978" s="4">
        <f>IFERROR(__xludf.DUMMYFUNCTION("""COMPUTED_VALUE"""),12.894877)</f>
        <v>12.894877</v>
      </c>
      <c r="E18978" s="4">
        <f>IFERROR(__xludf.DUMMYFUNCTION("""COMPUTED_VALUE"""),80.087509)</f>
        <v>80.087509</v>
      </c>
      <c r="F18978" s="4">
        <f>IFERROR(__xludf.DUMMYFUNCTION("""COMPUTED_VALUE"""),5339.0)</f>
        <v>5339</v>
      </c>
      <c r="G18978" s="4">
        <f>IFERROR(__xludf.DUMMYFUNCTION("""COMPUTED_VALUE"""),42.0)</f>
        <v>42</v>
      </c>
      <c r="H18978" s="4"/>
      <c r="I18978" s="4"/>
    </row>
    <row r="18979">
      <c r="A18979" s="4" t="str">
        <f>IFERROR(__xludf.DUMMYFUNCTION("""COMPUTED_VALUE"""),"cas_hmw")</f>
        <v>cas_hmw</v>
      </c>
      <c r="B18979" s="5">
        <f>IFERROR(__xludf.DUMMYFUNCTION("""COMPUTED_VALUE"""),44776.0)</f>
        <v>44776</v>
      </c>
      <c r="C18979" s="6">
        <f>IFERROR(__xludf.DUMMYFUNCTION("""COMPUTED_VALUE"""),0.6937268518522615)</f>
        <v>0.6937268519</v>
      </c>
      <c r="D18979" s="4">
        <f>IFERROR(__xludf.DUMMYFUNCTION("""COMPUTED_VALUE"""),12.898895)</f>
        <v>12.898895</v>
      </c>
      <c r="E18979" s="4">
        <f>IFERROR(__xludf.DUMMYFUNCTION("""COMPUTED_VALUE"""),80.090506)</f>
        <v>80.090506</v>
      </c>
      <c r="F18979" s="4">
        <f>IFERROR(__xludf.DUMMYFUNCTION("""COMPUTED_VALUE"""),805.0)</f>
        <v>805</v>
      </c>
      <c r="G18979" s="4">
        <f>IFERROR(__xludf.DUMMYFUNCTION("""COMPUTED_VALUE"""),57.0)</f>
        <v>57</v>
      </c>
      <c r="H18979" s="4"/>
      <c r="I18979" s="4"/>
    </row>
    <row r="18980">
      <c r="A18980" s="4" t="str">
        <f>IFERROR(__xludf.DUMMYFUNCTION("""COMPUTED_VALUE"""),"cas_hmw")</f>
        <v>cas_hmw</v>
      </c>
      <c r="B18980" s="5">
        <f>IFERROR(__xludf.DUMMYFUNCTION("""COMPUTED_VALUE"""),44776.0)</f>
        <v>44776</v>
      </c>
      <c r="C18980" s="6">
        <f>IFERROR(__xludf.DUMMYFUNCTION("""COMPUTED_VALUE"""),0.6943634259259852)</f>
        <v>0.6943634259</v>
      </c>
      <c r="D18980" s="4">
        <f>IFERROR(__xludf.DUMMYFUNCTION("""COMPUTED_VALUE"""),12.901988)</f>
        <v>12.901988</v>
      </c>
      <c r="E18980" s="4">
        <f>IFERROR(__xludf.DUMMYFUNCTION("""COMPUTED_VALUE"""),80.092882)</f>
        <v>80.092882</v>
      </c>
      <c r="F18980" s="4">
        <f>IFERROR(__xludf.DUMMYFUNCTION("""COMPUTED_VALUE"""),5339.0)</f>
        <v>5339</v>
      </c>
      <c r="G18980" s="4">
        <f>IFERROR(__xludf.DUMMYFUNCTION("""COMPUTED_VALUE"""),50.0)</f>
        <v>50</v>
      </c>
      <c r="H18980" s="4"/>
      <c r="I18980" s="4"/>
    </row>
    <row r="18981">
      <c r="A18981" s="4" t="str">
        <f>IFERROR(__xludf.DUMMYFUNCTION("""COMPUTED_VALUE"""),"cas_hmw")</f>
        <v>cas_hmw</v>
      </c>
      <c r="B18981" s="5">
        <f>IFERROR(__xludf.DUMMYFUNCTION("""COMPUTED_VALUE"""),44776.0)</f>
        <v>44776</v>
      </c>
      <c r="C18981" s="6">
        <f>IFERROR(__xludf.DUMMYFUNCTION("""COMPUTED_VALUE"""),0.6956018518503697)</f>
        <v>0.6956018519</v>
      </c>
      <c r="D18981" s="4">
        <f>IFERROR(__xludf.DUMMYFUNCTION("""COMPUTED_VALUE"""),12.85164)</f>
        <v>12.85164</v>
      </c>
      <c r="E18981" s="4">
        <f>IFERROR(__xludf.DUMMYFUNCTION("""COMPUTED_VALUE"""),80.066077)</f>
        <v>80.066077</v>
      </c>
      <c r="F18981" s="4">
        <f>IFERROR(__xludf.DUMMYFUNCTION("""COMPUTED_VALUE"""),2846.0)</f>
        <v>2846</v>
      </c>
      <c r="G18981" s="4">
        <f>IFERROR(__xludf.DUMMYFUNCTION("""COMPUTED_VALUE"""),58.0)</f>
        <v>58</v>
      </c>
      <c r="H18981" s="4"/>
      <c r="I18981" s="4"/>
    </row>
    <row r="18982">
      <c r="A18982" s="4" t="str">
        <f>IFERROR(__xludf.DUMMYFUNCTION("""COMPUTED_VALUE"""),"cas_hmw")</f>
        <v>cas_hmw</v>
      </c>
      <c r="B18982" s="5">
        <f>IFERROR(__xludf.DUMMYFUNCTION("""COMPUTED_VALUE"""),44776.0)</f>
        <v>44776</v>
      </c>
      <c r="C18982" s="6">
        <f>IFERROR(__xludf.DUMMYFUNCTION("""COMPUTED_VALUE"""),0.6960416666661331)</f>
        <v>0.6960416667</v>
      </c>
      <c r="D18982" s="4">
        <f>IFERROR(__xludf.DUMMYFUNCTION("""COMPUTED_VALUE"""),12.912432)</f>
        <v>12.912432</v>
      </c>
      <c r="E18982" s="4">
        <f>IFERROR(__xludf.DUMMYFUNCTION("""COMPUTED_VALUE"""),80.101373)</f>
        <v>80.101373</v>
      </c>
      <c r="F18982" s="4">
        <f>IFERROR(__xludf.DUMMYFUNCTION("""COMPUTED_VALUE"""),5339.0)</f>
        <v>5339</v>
      </c>
      <c r="G18982" s="4">
        <f>IFERROR(__xludf.DUMMYFUNCTION("""COMPUTED_VALUE"""),32.0)</f>
        <v>32</v>
      </c>
      <c r="H18982" s="4"/>
      <c r="I18982" s="4"/>
    </row>
    <row r="18983">
      <c r="A18983" s="4" t="str">
        <f>IFERROR(__xludf.DUMMYFUNCTION("""COMPUTED_VALUE"""),"cas_hmw")</f>
        <v>cas_hmw</v>
      </c>
      <c r="B18983" s="5">
        <f>IFERROR(__xludf.DUMMYFUNCTION("""COMPUTED_VALUE"""),44776.0)</f>
        <v>44776</v>
      </c>
      <c r="C18983" s="6">
        <f>IFERROR(__xludf.DUMMYFUNCTION("""COMPUTED_VALUE"""),0.6961689814816054)</f>
        <v>0.6961689815</v>
      </c>
      <c r="D18983" s="4">
        <f>IFERROR(__xludf.DUMMYFUNCTION("""COMPUTED_VALUE"""),12.913454)</f>
        <v>12.913454</v>
      </c>
      <c r="E18983" s="4">
        <f>IFERROR(__xludf.DUMMYFUNCTION("""COMPUTED_VALUE"""),80.101549)</f>
        <v>80.101549</v>
      </c>
      <c r="F18983" s="4">
        <f>IFERROR(__xludf.DUMMYFUNCTION("""COMPUTED_VALUE"""),805.0)</f>
        <v>805</v>
      </c>
      <c r="G18983" s="4">
        <f>IFERROR(__xludf.DUMMYFUNCTION("""COMPUTED_VALUE"""),48.0)</f>
        <v>48</v>
      </c>
      <c r="H18983" s="4"/>
      <c r="I18983" s="4"/>
    </row>
    <row r="18984">
      <c r="A18984" s="4" t="str">
        <f>IFERROR(__xludf.DUMMYFUNCTION("""COMPUTED_VALUE"""),"cas_hmw")</f>
        <v>cas_hmw</v>
      </c>
      <c r="B18984" s="5">
        <f>IFERROR(__xludf.DUMMYFUNCTION("""COMPUTED_VALUE"""),44776.0)</f>
        <v>44776</v>
      </c>
      <c r="C18984" s="6">
        <f>IFERROR(__xludf.DUMMYFUNCTION("""COMPUTED_VALUE"""),0.6975115740751789)</f>
        <v>0.6975115741</v>
      </c>
      <c r="D18984" s="4">
        <f>IFERROR(__xludf.DUMMYFUNCTION("""COMPUTED_VALUE"""),12.919772)</f>
        <v>12.919772</v>
      </c>
      <c r="E18984" s="4">
        <f>IFERROR(__xludf.DUMMYFUNCTION("""COMPUTED_VALUE"""),80.110716)</f>
        <v>80.110716</v>
      </c>
      <c r="F18984" s="4">
        <f>IFERROR(__xludf.DUMMYFUNCTION("""COMPUTED_VALUE"""),805.0)</f>
        <v>805</v>
      </c>
      <c r="G18984" s="4">
        <f>IFERROR(__xludf.DUMMYFUNCTION("""COMPUTED_VALUE"""),58.0)</f>
        <v>58</v>
      </c>
      <c r="H18984" s="4"/>
      <c r="I18984" s="4"/>
    </row>
    <row r="18985">
      <c r="A18985" s="4" t="str">
        <f>IFERROR(__xludf.DUMMYFUNCTION("""COMPUTED_VALUE"""),"cas_hmw")</f>
        <v>cas_hmw</v>
      </c>
      <c r="B18985" s="5">
        <f>IFERROR(__xludf.DUMMYFUNCTION("""COMPUTED_VALUE"""),44776.0)</f>
        <v>44776</v>
      </c>
      <c r="C18985" s="6">
        <f>IFERROR(__xludf.DUMMYFUNCTION("""COMPUTED_VALUE"""),0.6976041666675883)</f>
        <v>0.6976041667</v>
      </c>
      <c r="D18985" s="4">
        <f>IFERROR(__xludf.DUMMYFUNCTION("""COMPUTED_VALUE"""),12.920779)</f>
        <v>12.920779</v>
      </c>
      <c r="E18985" s="4">
        <f>IFERROR(__xludf.DUMMYFUNCTION("""COMPUTED_VALUE"""),80.111794)</f>
        <v>80.111794</v>
      </c>
      <c r="F18985" s="4">
        <f>IFERROR(__xludf.DUMMYFUNCTION("""COMPUTED_VALUE"""),805.0)</f>
        <v>805</v>
      </c>
      <c r="G18985" s="4">
        <f>IFERROR(__xludf.DUMMYFUNCTION("""COMPUTED_VALUE"""),56.0)</f>
        <v>56</v>
      </c>
      <c r="H18985" s="4"/>
      <c r="I18985" s="4"/>
    </row>
    <row r="18986">
      <c r="A18986" s="4" t="str">
        <f>IFERROR(__xludf.DUMMYFUNCTION("""COMPUTED_VALUE"""),"cas_hmw")</f>
        <v>cas_hmw</v>
      </c>
      <c r="B18986" s="5">
        <f>IFERROR(__xludf.DUMMYFUNCTION("""COMPUTED_VALUE"""),44776.0)</f>
        <v>44776</v>
      </c>
      <c r="C18986" s="6">
        <f>IFERROR(__xludf.DUMMYFUNCTION("""COMPUTED_VALUE"""),0.6978124999986903)</f>
        <v>0.6978125</v>
      </c>
      <c r="D18986" s="4">
        <f>IFERROR(__xludf.DUMMYFUNCTION("""COMPUTED_VALUE"""),12.841537)</f>
        <v>12.841537</v>
      </c>
      <c r="E18986" s="4">
        <f>IFERROR(__xludf.DUMMYFUNCTION("""COMPUTED_VALUE"""),80.05734)</f>
        <v>80.05734</v>
      </c>
      <c r="F18986" s="4">
        <f>IFERROR(__xludf.DUMMYFUNCTION("""COMPUTED_VALUE"""),2846.0)</f>
        <v>2846</v>
      </c>
      <c r="G18986" s="4">
        <f>IFERROR(__xludf.DUMMYFUNCTION("""COMPUTED_VALUE"""),51.0)</f>
        <v>51</v>
      </c>
      <c r="H18986" s="4"/>
      <c r="I18986" s="4"/>
    </row>
    <row r="18987">
      <c r="A18987" s="4" t="str">
        <f>IFERROR(__xludf.DUMMYFUNCTION("""COMPUTED_VALUE"""),"cas_hmw")</f>
        <v>cas_hmw</v>
      </c>
      <c r="B18987" s="5">
        <f>IFERROR(__xludf.DUMMYFUNCTION("""COMPUTED_VALUE"""),44776.0)</f>
        <v>44776</v>
      </c>
      <c r="C18987" s="6">
        <f>IFERROR(__xludf.DUMMYFUNCTION("""COMPUTED_VALUE"""),0.6980439814797137)</f>
        <v>0.6980439815</v>
      </c>
      <c r="D18987" s="4">
        <f>IFERROR(__xludf.DUMMYFUNCTION("""COMPUTED_VALUE"""),12.923408)</f>
        <v>12.923408</v>
      </c>
      <c r="E18987" s="4">
        <f>IFERROR(__xludf.DUMMYFUNCTION("""COMPUTED_VALUE"""),80.114466)</f>
        <v>80.114466</v>
      </c>
      <c r="F18987" s="4">
        <f>IFERROR(__xludf.DUMMYFUNCTION("""COMPUTED_VALUE"""),805.0)</f>
        <v>805</v>
      </c>
      <c r="G18987" s="4">
        <f>IFERROR(__xludf.DUMMYFUNCTION("""COMPUTED_VALUE"""),34.0)</f>
        <v>34</v>
      </c>
      <c r="H18987" s="4"/>
      <c r="I18987" s="4"/>
    </row>
    <row r="18988">
      <c r="A18988" s="4" t="str">
        <f>IFERROR(__xludf.DUMMYFUNCTION("""COMPUTED_VALUE"""),"cas_hmw")</f>
        <v>cas_hmw</v>
      </c>
      <c r="B18988" s="5">
        <f>IFERROR(__xludf.DUMMYFUNCTION("""COMPUTED_VALUE"""),44776.0)</f>
        <v>44776</v>
      </c>
      <c r="C18988" s="6">
        <f>IFERROR(__xludf.DUMMYFUNCTION("""COMPUTED_VALUE"""),0.6981481481489027)</f>
        <v>0.6981481481</v>
      </c>
      <c r="D18988" s="4">
        <f>IFERROR(__xludf.DUMMYFUNCTION("""COMPUTED_VALUE"""),12.838904)</f>
        <v>12.838904</v>
      </c>
      <c r="E18988" s="4">
        <f>IFERROR(__xludf.DUMMYFUNCTION("""COMPUTED_VALUE"""),80.054501)</f>
        <v>80.054501</v>
      </c>
      <c r="F18988" s="4">
        <f>IFERROR(__xludf.DUMMYFUNCTION("""COMPUTED_VALUE"""),2846.0)</f>
        <v>2846</v>
      </c>
      <c r="G18988" s="4">
        <f>IFERROR(__xludf.DUMMYFUNCTION("""COMPUTED_VALUE"""),56.0)</f>
        <v>56</v>
      </c>
      <c r="H18988" s="4"/>
      <c r="I18988" s="4"/>
    </row>
    <row r="18989">
      <c r="A18989" s="4" t="str">
        <f>IFERROR(__xludf.DUMMYFUNCTION("""COMPUTED_VALUE"""),"cas_hmw")</f>
        <v>cas_hmw</v>
      </c>
      <c r="B18989" s="5">
        <f>IFERROR(__xludf.DUMMYFUNCTION("""COMPUTED_VALUE"""),44776.0)</f>
        <v>44776</v>
      </c>
      <c r="C18989" s="6">
        <f>IFERROR(__xludf.DUMMYFUNCTION("""COMPUTED_VALUE"""),0.698275462964375)</f>
        <v>0.698275463</v>
      </c>
      <c r="D18989" s="4">
        <f>IFERROR(__xludf.DUMMYFUNCTION("""COMPUTED_VALUE"""),12.92494)</f>
        <v>12.92494</v>
      </c>
      <c r="E18989" s="4">
        <f>IFERROR(__xludf.DUMMYFUNCTION("""COMPUTED_VALUE"""),80.116003)</f>
        <v>80.116003</v>
      </c>
      <c r="F18989" s="4">
        <f>IFERROR(__xludf.DUMMYFUNCTION("""COMPUTED_VALUE"""),805.0)</f>
        <v>805</v>
      </c>
      <c r="G18989" s="4">
        <f>IFERROR(__xludf.DUMMYFUNCTION("""COMPUTED_VALUE"""),41.0)</f>
        <v>41</v>
      </c>
      <c r="H18989" s="4"/>
      <c r="I18989" s="4"/>
    </row>
    <row r="18990">
      <c r="A18990" s="4" t="str">
        <f>IFERROR(__xludf.DUMMYFUNCTION("""COMPUTED_VALUE"""),"cas_hmw")</f>
        <v>cas_hmw</v>
      </c>
      <c r="B18990" s="5">
        <f>IFERROR(__xludf.DUMMYFUNCTION("""COMPUTED_VALUE"""),44776.0)</f>
        <v>44776</v>
      </c>
      <c r="C18990" s="6">
        <f>IFERROR(__xludf.DUMMYFUNCTION("""COMPUTED_VALUE"""),0.6982870370375167)</f>
        <v>0.698287037</v>
      </c>
      <c r="D18990" s="4">
        <f>IFERROR(__xludf.DUMMYFUNCTION("""COMPUTED_VALUE"""),12.838904)</f>
        <v>12.838904</v>
      </c>
      <c r="E18990" s="4">
        <f>IFERROR(__xludf.DUMMYFUNCTION("""COMPUTED_VALUE"""),80.054501)</f>
        <v>80.054501</v>
      </c>
      <c r="F18990" s="4">
        <f>IFERROR(__xludf.DUMMYFUNCTION("""COMPUTED_VALUE"""),2846.0)</f>
        <v>2846</v>
      </c>
      <c r="G18990" s="4">
        <f>IFERROR(__xludf.DUMMYFUNCTION("""COMPUTED_VALUE"""),56.0)</f>
        <v>56</v>
      </c>
      <c r="H18990" s="4"/>
      <c r="I18990" s="4"/>
    </row>
    <row r="18991">
      <c r="A18991" s="4" t="str">
        <f>IFERROR(__xludf.DUMMYFUNCTION("""COMPUTED_VALUE"""),"cas_hmw")</f>
        <v>cas_hmw</v>
      </c>
      <c r="B18991" s="5">
        <f>IFERROR(__xludf.DUMMYFUNCTION("""COMPUTED_VALUE"""),44776.0)</f>
        <v>44776</v>
      </c>
      <c r="C18991" s="6">
        <f>IFERROR(__xludf.DUMMYFUNCTION("""COMPUTED_VALUE"""),0.6985995370378077)</f>
        <v>0.698599537</v>
      </c>
      <c r="D18991" s="4">
        <f>IFERROR(__xludf.DUMMYFUNCTION("""COMPUTED_VALUE"""),12.835825)</f>
        <v>12.835825</v>
      </c>
      <c r="E18991" s="4">
        <f>IFERROR(__xludf.DUMMYFUNCTION("""COMPUTED_VALUE"""),80.05131)</f>
        <v>80.05131</v>
      </c>
      <c r="F18991" s="4">
        <f>IFERROR(__xludf.DUMMYFUNCTION("""COMPUTED_VALUE"""),2846.0)</f>
        <v>2846</v>
      </c>
      <c r="G18991" s="4">
        <f>IFERROR(__xludf.DUMMYFUNCTION("""COMPUTED_VALUE"""),56.0)</f>
        <v>56</v>
      </c>
      <c r="H18991" s="4"/>
      <c r="I18991" s="4"/>
    </row>
    <row r="18992">
      <c r="A18992" s="4" t="str">
        <f>IFERROR(__xludf.DUMMYFUNCTION("""COMPUTED_VALUE"""),"cas_hmw")</f>
        <v>cas_hmw</v>
      </c>
      <c r="B18992" s="5">
        <f>IFERROR(__xludf.DUMMYFUNCTION("""COMPUTED_VALUE"""),44776.0)</f>
        <v>44776</v>
      </c>
      <c r="C18992" s="6">
        <f>IFERROR(__xludf.DUMMYFUNCTION("""COMPUTED_VALUE"""),0.6987847222226264)</f>
        <v>0.6987847222</v>
      </c>
      <c r="D18992" s="4">
        <f>IFERROR(__xludf.DUMMYFUNCTION("""COMPUTED_VALUE"""),12.834127)</f>
        <v>12.834127</v>
      </c>
      <c r="E18992" s="4">
        <f>IFERROR(__xludf.DUMMYFUNCTION("""COMPUTED_VALUE"""),80.049587)</f>
        <v>80.049587</v>
      </c>
      <c r="F18992" s="4">
        <f>IFERROR(__xludf.DUMMYFUNCTION("""COMPUTED_VALUE"""),2846.0)</f>
        <v>2846</v>
      </c>
      <c r="G18992" s="4">
        <f>IFERROR(__xludf.DUMMYFUNCTION("""COMPUTED_VALUE"""),56.0)</f>
        <v>56</v>
      </c>
      <c r="H18992" s="4"/>
      <c r="I18992" s="4"/>
    </row>
    <row r="18993">
      <c r="A18993" s="4" t="str">
        <f>IFERROR(__xludf.DUMMYFUNCTION("""COMPUTED_VALUE"""),"cas_hmw")</f>
        <v>cas_hmw</v>
      </c>
      <c r="B18993" s="5">
        <f>IFERROR(__xludf.DUMMYFUNCTION("""COMPUTED_VALUE"""),44776.0)</f>
        <v>44776</v>
      </c>
      <c r="C18993" s="6">
        <f>IFERROR(__xludf.DUMMYFUNCTION("""COMPUTED_VALUE"""),0.6994328703694919)</f>
        <v>0.6994328704</v>
      </c>
      <c r="D18993" s="4">
        <f>IFERROR(__xludf.DUMMYFUNCTION("""COMPUTED_VALUE"""),12.921985)</f>
        <v>12.921985</v>
      </c>
      <c r="E18993" s="4">
        <f>IFERROR(__xludf.DUMMYFUNCTION("""COMPUTED_VALUE"""),80.094133)</f>
        <v>80.094133</v>
      </c>
      <c r="F18993" s="4">
        <f>IFERROR(__xludf.DUMMYFUNCTION("""COMPUTED_VALUE"""),3143.0)</f>
        <v>3143</v>
      </c>
      <c r="G18993" s="4">
        <f>IFERROR(__xludf.DUMMYFUNCTION("""COMPUTED_VALUE"""),34.0)</f>
        <v>34</v>
      </c>
      <c r="H18993" s="4"/>
      <c r="I18993" s="4"/>
    </row>
    <row r="18994">
      <c r="A18994" s="4" t="str">
        <f>IFERROR(__xludf.DUMMYFUNCTION("""COMPUTED_VALUE"""),"cas_hmw")</f>
        <v>cas_hmw</v>
      </c>
      <c r="B18994" s="5">
        <f>IFERROR(__xludf.DUMMYFUNCTION("""COMPUTED_VALUE"""),44776.0)</f>
        <v>44776</v>
      </c>
      <c r="C18994" s="6">
        <f>IFERROR(__xludf.DUMMYFUNCTION("""COMPUTED_VALUE"""),0.6997916666659876)</f>
        <v>0.6997916667</v>
      </c>
      <c r="D18994" s="4">
        <f>IFERROR(__xludf.DUMMYFUNCTION("""COMPUTED_VALUE"""),12.826178)</f>
        <v>12.826178</v>
      </c>
      <c r="E18994" s="4">
        <f>IFERROR(__xludf.DUMMYFUNCTION("""COMPUTED_VALUE"""),80.041254)</f>
        <v>80.041254</v>
      </c>
      <c r="F18994" s="4">
        <f>IFERROR(__xludf.DUMMYFUNCTION("""COMPUTED_VALUE"""),2846.0)</f>
        <v>2846</v>
      </c>
      <c r="G18994" s="4">
        <f>IFERROR(__xludf.DUMMYFUNCTION("""COMPUTED_VALUE"""),57.0)</f>
        <v>57</v>
      </c>
      <c r="H18994" s="4"/>
      <c r="I18994" s="4"/>
    </row>
    <row r="18995">
      <c r="A18995" s="4" t="str">
        <f>IFERROR(__xludf.DUMMYFUNCTION("""COMPUTED_VALUE"""),"cas_hmw")</f>
        <v>cas_hmw</v>
      </c>
      <c r="B18995" s="5">
        <f>IFERROR(__xludf.DUMMYFUNCTION("""COMPUTED_VALUE"""),44776.0)</f>
        <v>44776</v>
      </c>
      <c r="C18995" s="6">
        <f>IFERROR(__xludf.DUMMYFUNCTION("""COMPUTED_VALUE"""),0.6998032407391293)</f>
        <v>0.6998032407</v>
      </c>
      <c r="D18995" s="4">
        <f>IFERROR(__xludf.DUMMYFUNCTION("""COMPUTED_VALUE"""),12.930528)</f>
        <v>12.930528</v>
      </c>
      <c r="E18995" s="4">
        <f>IFERROR(__xludf.DUMMYFUNCTION("""COMPUTED_VALUE"""),80.121652)</f>
        <v>80.121652</v>
      </c>
      <c r="F18995" s="4">
        <f>IFERROR(__xludf.DUMMYFUNCTION("""COMPUTED_VALUE"""),805.0)</f>
        <v>805</v>
      </c>
      <c r="G18995" s="4">
        <f>IFERROR(__xludf.DUMMYFUNCTION("""COMPUTED_VALUE"""),33.0)</f>
        <v>33</v>
      </c>
      <c r="H18995" s="4"/>
      <c r="I18995" s="4"/>
    </row>
    <row r="18996">
      <c r="A18996" s="4" t="str">
        <f>IFERROR(__xludf.DUMMYFUNCTION("""COMPUTED_VALUE"""),"cas_hmw")</f>
        <v>cas_hmw</v>
      </c>
      <c r="B18996" s="5">
        <f>IFERROR(__xludf.DUMMYFUNCTION("""COMPUTED_VALUE"""),44776.0)</f>
        <v>44776</v>
      </c>
      <c r="C18996" s="6">
        <f>IFERROR(__xludf.DUMMYFUNCTION("""COMPUTED_VALUE"""),0.700335648147302)</f>
        <v>0.7003356481</v>
      </c>
      <c r="D18996" s="4">
        <f>IFERROR(__xludf.DUMMYFUNCTION("""COMPUTED_VALUE"""),12.923552)</f>
        <v>12.923552</v>
      </c>
      <c r="E18996" s="4">
        <f>IFERROR(__xludf.DUMMYFUNCTION("""COMPUTED_VALUE"""),80.097479)</f>
        <v>80.097479</v>
      </c>
      <c r="F18996" s="4">
        <f>IFERROR(__xludf.DUMMYFUNCTION("""COMPUTED_VALUE"""),3143.0)</f>
        <v>3143</v>
      </c>
      <c r="G18996" s="4">
        <f>IFERROR(__xludf.DUMMYFUNCTION("""COMPUTED_VALUE"""),15.0)</f>
        <v>15</v>
      </c>
      <c r="H18996" s="4"/>
      <c r="I18996" s="4"/>
    </row>
    <row r="18997">
      <c r="A18997" s="4" t="str">
        <f>IFERROR(__xludf.DUMMYFUNCTION("""COMPUTED_VALUE"""),"cas_hmw")</f>
        <v>cas_hmw</v>
      </c>
      <c r="B18997" s="5">
        <f>IFERROR(__xludf.DUMMYFUNCTION("""COMPUTED_VALUE"""),44776.0)</f>
        <v>44776</v>
      </c>
      <c r="C18997" s="6">
        <f>IFERROR(__xludf.DUMMYFUNCTION("""COMPUTED_VALUE"""),0.7010995370364981)</f>
        <v>0.701099537</v>
      </c>
      <c r="D18997" s="4">
        <f>IFERROR(__xludf.DUMMYFUNCTION("""COMPUTED_VALUE"""),12.935773)</f>
        <v>12.935773</v>
      </c>
      <c r="E18997" s="4">
        <f>IFERROR(__xludf.DUMMYFUNCTION("""COMPUTED_VALUE"""),80.12662)</f>
        <v>80.12662</v>
      </c>
      <c r="F18997" s="4">
        <f>IFERROR(__xludf.DUMMYFUNCTION("""COMPUTED_VALUE"""),805.0)</f>
        <v>805</v>
      </c>
      <c r="G18997" s="4">
        <f>IFERROR(__xludf.DUMMYFUNCTION("""COMPUTED_VALUE"""),36.0)</f>
        <v>36</v>
      </c>
      <c r="H18997" s="4"/>
      <c r="I18997" s="4"/>
    </row>
    <row r="18998">
      <c r="A18998" s="4" t="str">
        <f>IFERROR(__xludf.DUMMYFUNCTION("""COMPUTED_VALUE"""),"cas_hmw")</f>
        <v>cas_hmw</v>
      </c>
      <c r="B18998" s="5">
        <f>IFERROR(__xludf.DUMMYFUNCTION("""COMPUTED_VALUE"""),44776.0)</f>
        <v>44776</v>
      </c>
      <c r="C18998" s="6">
        <f>IFERROR(__xludf.DUMMYFUNCTION("""COMPUTED_VALUE"""),0.7014120370367891)</f>
        <v>0.701412037</v>
      </c>
      <c r="D18998" s="4">
        <f>IFERROR(__xludf.DUMMYFUNCTION("""COMPUTED_VALUE"""),12.937142)</f>
        <v>12.937142</v>
      </c>
      <c r="E18998" s="4">
        <f>IFERROR(__xludf.DUMMYFUNCTION("""COMPUTED_VALUE"""),80.127871)</f>
        <v>80.127871</v>
      </c>
      <c r="F18998" s="4">
        <f>IFERROR(__xludf.DUMMYFUNCTION("""COMPUTED_VALUE"""),805.0)</f>
        <v>805</v>
      </c>
      <c r="G18998" s="4">
        <f>IFERROR(__xludf.DUMMYFUNCTION("""COMPUTED_VALUE"""),45.0)</f>
        <v>45</v>
      </c>
      <c r="H18998" s="4"/>
      <c r="I18998" s="4"/>
    </row>
    <row r="18999">
      <c r="A18999" s="4" t="str">
        <f>IFERROR(__xludf.DUMMYFUNCTION("""COMPUTED_VALUE"""),"cas_hmw")</f>
        <v>cas_hmw</v>
      </c>
      <c r="B18999" s="5">
        <f>IFERROR(__xludf.DUMMYFUNCTION("""COMPUTED_VALUE"""),44776.0)</f>
        <v>44776</v>
      </c>
      <c r="C18999" s="6">
        <f>IFERROR(__xludf.DUMMYFUNCTION("""COMPUTED_VALUE"""),0.7016782407408755)</f>
        <v>0.7016782407</v>
      </c>
      <c r="D18999" s="4">
        <f>IFERROR(__xludf.DUMMYFUNCTION("""COMPUTED_VALUE"""),12.925632)</f>
        <v>12.925632</v>
      </c>
      <c r="E18999" s="4">
        <f>IFERROR(__xludf.DUMMYFUNCTION("""COMPUTED_VALUE"""),80.102995)</f>
        <v>80.102995</v>
      </c>
      <c r="F18999" s="4">
        <f>IFERROR(__xludf.DUMMYFUNCTION("""COMPUTED_VALUE"""),3143.0)</f>
        <v>3143</v>
      </c>
      <c r="G18999" s="4">
        <f>IFERROR(__xludf.DUMMYFUNCTION("""COMPUTED_VALUE"""),26.0)</f>
        <v>26</v>
      </c>
      <c r="H18999" s="4"/>
      <c r="I18999" s="4"/>
    </row>
    <row r="19000">
      <c r="A19000" s="4" t="str">
        <f>IFERROR(__xludf.DUMMYFUNCTION("""COMPUTED_VALUE"""),"cas_hmw")</f>
        <v>cas_hmw</v>
      </c>
      <c r="B19000" s="5">
        <f>IFERROR(__xludf.DUMMYFUNCTION("""COMPUTED_VALUE"""),44776.0)</f>
        <v>44776</v>
      </c>
      <c r="C19000" s="6">
        <f>IFERROR(__xludf.DUMMYFUNCTION("""COMPUTED_VALUE"""),0.7026041666649689)</f>
        <v>0.7026041667</v>
      </c>
      <c r="D19000" s="4">
        <f>IFERROR(__xludf.DUMMYFUNCTION("""COMPUTED_VALUE"""),12.942807)</f>
        <v>12.942807</v>
      </c>
      <c r="E19000" s="4">
        <f>IFERROR(__xludf.DUMMYFUNCTION("""COMPUTED_VALUE"""),80.13337)</f>
        <v>80.13337</v>
      </c>
      <c r="F19000" s="4">
        <f>IFERROR(__xludf.DUMMYFUNCTION("""COMPUTED_VALUE"""),805.0)</f>
        <v>805</v>
      </c>
      <c r="G19000" s="4">
        <f>IFERROR(__xludf.DUMMYFUNCTION("""COMPUTED_VALUE"""),24.0)</f>
        <v>24</v>
      </c>
      <c r="H19000" s="4"/>
      <c r="I19000" s="4"/>
    </row>
    <row r="19001">
      <c r="A19001" s="4" t="str">
        <f>IFERROR(__xludf.DUMMYFUNCTION("""COMPUTED_VALUE"""),"cas_hmw")</f>
        <v>cas_hmw</v>
      </c>
      <c r="B19001" s="5">
        <f>IFERROR(__xludf.DUMMYFUNCTION("""COMPUTED_VALUE"""),44776.0)</f>
        <v>44776</v>
      </c>
      <c r="C19001" s="6">
        <f>IFERROR(__xludf.DUMMYFUNCTION("""COMPUTED_VALUE"""),0.702881944445835)</f>
        <v>0.7028819444</v>
      </c>
      <c r="D19001" s="4">
        <f>IFERROR(__xludf.DUMMYFUNCTION("""COMPUTED_VALUE"""),12.944822)</f>
        <v>12.944822</v>
      </c>
      <c r="E19001" s="4">
        <f>IFERROR(__xludf.DUMMYFUNCTION("""COMPUTED_VALUE"""),80.135112)</f>
        <v>80.135112</v>
      </c>
      <c r="F19001" s="4">
        <f>IFERROR(__xludf.DUMMYFUNCTION("""COMPUTED_VALUE"""),805.0)</f>
        <v>805</v>
      </c>
      <c r="G19001" s="4">
        <f>IFERROR(__xludf.DUMMYFUNCTION("""COMPUTED_VALUE"""),42.0)</f>
        <v>42</v>
      </c>
      <c r="H19001" s="4"/>
      <c r="I19001" s="4"/>
    </row>
    <row r="19002">
      <c r="A19002" s="4" t="str">
        <f>IFERROR(__xludf.DUMMYFUNCTION("""COMPUTED_VALUE"""),"cas_hmw")</f>
        <v>cas_hmw</v>
      </c>
      <c r="B19002" s="5">
        <f>IFERROR(__xludf.DUMMYFUNCTION("""COMPUTED_VALUE"""),44776.0)</f>
        <v>44776</v>
      </c>
      <c r="C19002" s="6">
        <f>IFERROR(__xludf.DUMMYFUNCTION("""COMPUTED_VALUE"""),0.7030324074075907)</f>
        <v>0.7030324074</v>
      </c>
      <c r="D19002" s="4">
        <f>IFERROR(__xludf.DUMMYFUNCTION("""COMPUTED_VALUE"""),12.945712)</f>
        <v>12.945712</v>
      </c>
      <c r="E19002" s="4">
        <f>IFERROR(__xludf.DUMMYFUNCTION("""COMPUTED_VALUE"""),80.135869)</f>
        <v>80.135869</v>
      </c>
      <c r="F19002" s="4">
        <f>IFERROR(__xludf.DUMMYFUNCTION("""COMPUTED_VALUE"""),805.0)</f>
        <v>805</v>
      </c>
      <c r="G19002" s="4">
        <f>IFERROR(__xludf.DUMMYFUNCTION("""COMPUTED_VALUE"""),52.0)</f>
        <v>52</v>
      </c>
      <c r="H19002" s="4"/>
      <c r="I19002" s="4"/>
    </row>
    <row r="19003">
      <c r="A19003" s="4" t="str">
        <f>IFERROR(__xludf.DUMMYFUNCTION("""COMPUTED_VALUE"""),"cas_hmw")</f>
        <v>cas_hmw</v>
      </c>
      <c r="B19003" s="5">
        <f>IFERROR(__xludf.DUMMYFUNCTION("""COMPUTED_VALUE"""),44776.0)</f>
        <v>44776</v>
      </c>
      <c r="C19003" s="6">
        <f>IFERROR(__xludf.DUMMYFUNCTION("""COMPUTED_VALUE"""),0.7032175925924093)</f>
        <v>0.7032175926</v>
      </c>
      <c r="D19003" s="4">
        <f>IFERROR(__xludf.DUMMYFUNCTION("""COMPUTED_VALUE"""),12.947851)</f>
        <v>12.947851</v>
      </c>
      <c r="E19003" s="4">
        <f>IFERROR(__xludf.DUMMYFUNCTION("""COMPUTED_VALUE"""),80.137432)</f>
        <v>80.137432</v>
      </c>
      <c r="F19003" s="4">
        <f>IFERROR(__xludf.DUMMYFUNCTION("""COMPUTED_VALUE"""),805.0)</f>
        <v>805</v>
      </c>
      <c r="G19003" s="4">
        <f>IFERROR(__xludf.DUMMYFUNCTION("""COMPUTED_VALUE"""),57.0)</f>
        <v>57</v>
      </c>
      <c r="H19003" s="4"/>
      <c r="I19003" s="4"/>
    </row>
    <row r="19004">
      <c r="A19004" s="4" t="str">
        <f>IFERROR(__xludf.DUMMYFUNCTION("""COMPUTED_VALUE"""),"cas_hmw")</f>
        <v>cas_hmw</v>
      </c>
      <c r="B19004" s="5">
        <f>IFERROR(__xludf.DUMMYFUNCTION("""COMPUTED_VALUE"""),44776.0)</f>
        <v>44776</v>
      </c>
      <c r="C19004" s="6">
        <f>IFERROR(__xludf.DUMMYFUNCTION("""COMPUTED_VALUE"""),0.7034490740734327)</f>
        <v>0.7034490741</v>
      </c>
      <c r="D19004" s="4">
        <f>IFERROR(__xludf.DUMMYFUNCTION("""COMPUTED_VALUE"""),12.949969)</f>
        <v>12.949969</v>
      </c>
      <c r="E19004" s="4">
        <f>IFERROR(__xludf.DUMMYFUNCTION("""COMPUTED_VALUE"""),80.139058)</f>
        <v>80.139058</v>
      </c>
      <c r="F19004" s="4">
        <f>IFERROR(__xludf.DUMMYFUNCTION("""COMPUTED_VALUE"""),805.0)</f>
        <v>805</v>
      </c>
      <c r="G19004" s="4">
        <f>IFERROR(__xludf.DUMMYFUNCTION("""COMPUTED_VALUE"""),50.0)</f>
        <v>50</v>
      </c>
      <c r="H19004" s="4"/>
      <c r="I19004" s="4"/>
    </row>
    <row r="19005">
      <c r="A19005" s="4" t="str">
        <f>IFERROR(__xludf.DUMMYFUNCTION("""COMPUTED_VALUE"""),"cas_hmw")</f>
        <v>cas_hmw</v>
      </c>
      <c r="B19005" s="5">
        <f>IFERROR(__xludf.DUMMYFUNCTION("""COMPUTED_VALUE"""),44776.0)</f>
        <v>44776</v>
      </c>
      <c r="C19005" s="6">
        <f>IFERROR(__xludf.DUMMYFUNCTION("""COMPUTED_VALUE"""),0.703472222223354)</f>
        <v>0.7034722222</v>
      </c>
      <c r="D19005" s="4">
        <f>IFERROR(__xludf.DUMMYFUNCTION("""COMPUTED_VALUE"""),12.949969)</f>
        <v>12.949969</v>
      </c>
      <c r="E19005" s="4">
        <f>IFERROR(__xludf.DUMMYFUNCTION("""COMPUTED_VALUE"""),80.139058)</f>
        <v>80.139058</v>
      </c>
      <c r="F19005" s="4">
        <f>IFERROR(__xludf.DUMMYFUNCTION("""COMPUTED_VALUE"""),805.0)</f>
        <v>805</v>
      </c>
      <c r="G19005" s="4">
        <f>IFERROR(__xludf.DUMMYFUNCTION("""COMPUTED_VALUE"""),50.0)</f>
        <v>50</v>
      </c>
      <c r="H19005" s="4"/>
      <c r="I19005" s="4"/>
    </row>
    <row r="19006">
      <c r="A19006" s="4" t="str">
        <f>IFERROR(__xludf.DUMMYFUNCTION("""COMPUTED_VALUE"""),"cas_hmw")</f>
        <v>cas_hmw</v>
      </c>
      <c r="B19006" s="5">
        <f>IFERROR(__xludf.DUMMYFUNCTION("""COMPUTED_VALUE"""),44776.0)</f>
        <v>44776</v>
      </c>
      <c r="C19006" s="6">
        <f>IFERROR(__xludf.DUMMYFUNCTION("""COMPUTED_VALUE"""),0.7034837962964957)</f>
        <v>0.7034837963</v>
      </c>
      <c r="D19006" s="4">
        <f>IFERROR(__xludf.DUMMYFUNCTION("""COMPUTED_VALUE"""),12.949969)</f>
        <v>12.949969</v>
      </c>
      <c r="E19006" s="4">
        <f>IFERROR(__xludf.DUMMYFUNCTION("""COMPUTED_VALUE"""),80.139058)</f>
        <v>80.139058</v>
      </c>
      <c r="F19006" s="4">
        <f>IFERROR(__xludf.DUMMYFUNCTION("""COMPUTED_VALUE"""),805.0)</f>
        <v>805</v>
      </c>
      <c r="G19006" s="4">
        <f>IFERROR(__xludf.DUMMYFUNCTION("""COMPUTED_VALUE"""),50.0)</f>
        <v>50</v>
      </c>
      <c r="H19006" s="4"/>
      <c r="I19006" s="4"/>
    </row>
    <row r="19007">
      <c r="A19007" s="4" t="str">
        <f>IFERROR(__xludf.DUMMYFUNCTION("""COMPUTED_VALUE"""),"cas_hmw")</f>
        <v>cas_hmw</v>
      </c>
      <c r="B19007" s="5">
        <f>IFERROR(__xludf.DUMMYFUNCTION("""COMPUTED_VALUE"""),44776.0)</f>
        <v>44776</v>
      </c>
      <c r="C19007" s="6">
        <f>IFERROR(__xludf.DUMMYFUNCTION("""COMPUTED_VALUE"""),0.7037268518506608)</f>
        <v>0.7037268519</v>
      </c>
      <c r="D19007" s="4">
        <f>IFERROR(__xludf.DUMMYFUNCTION("""COMPUTED_VALUE"""),12.943553)</f>
        <v>12.943553</v>
      </c>
      <c r="E19007" s="4">
        <f>IFERROR(__xludf.DUMMYFUNCTION("""COMPUTED_VALUE"""),80.134129)</f>
        <v>80.134129</v>
      </c>
      <c r="F19007" s="4">
        <f>IFERROR(__xludf.DUMMYFUNCTION("""COMPUTED_VALUE"""),5339.0)</f>
        <v>5339</v>
      </c>
      <c r="G19007" s="4">
        <f>IFERROR(__xludf.DUMMYFUNCTION("""COMPUTED_VALUE"""),37.0)</f>
        <v>37</v>
      </c>
      <c r="H19007" s="4"/>
      <c r="I19007" s="4"/>
    </row>
    <row r="19008">
      <c r="A19008" s="4" t="str">
        <f>IFERROR(__xludf.DUMMYFUNCTION("""COMPUTED_VALUE"""),"cas_hmw")</f>
        <v>cas_hmw</v>
      </c>
      <c r="B19008" s="5">
        <f>IFERROR(__xludf.DUMMYFUNCTION("""COMPUTED_VALUE"""),44776.0)</f>
        <v>44776</v>
      </c>
      <c r="C19008" s="6">
        <f>IFERROR(__xludf.DUMMYFUNCTION("""COMPUTED_VALUE"""),0.70563657407547)</f>
        <v>0.7056365741</v>
      </c>
      <c r="D19008" s="4">
        <f>IFERROR(__xludf.DUMMYFUNCTION("""COMPUTED_VALUE"""),12.95407)</f>
        <v>12.95407</v>
      </c>
      <c r="E19008" s="4">
        <f>IFERROR(__xludf.DUMMYFUNCTION("""COMPUTED_VALUE"""),80.142016)</f>
        <v>80.142016</v>
      </c>
      <c r="F19008" s="4">
        <f>IFERROR(__xludf.DUMMYFUNCTION("""COMPUTED_VALUE"""),5339.0)</f>
        <v>5339</v>
      </c>
      <c r="G19008" s="4">
        <f>IFERROR(__xludf.DUMMYFUNCTION("""COMPUTED_VALUE"""),31.0)</f>
        <v>31</v>
      </c>
      <c r="H19008" s="4"/>
      <c r="I19008" s="4"/>
    </row>
    <row r="19009">
      <c r="A19009" s="4" t="str">
        <f>IFERROR(__xludf.DUMMYFUNCTION("""COMPUTED_VALUE"""),"cas_hmw")</f>
        <v>cas_hmw</v>
      </c>
      <c r="B19009" s="5">
        <f>IFERROR(__xludf.DUMMYFUNCTION("""COMPUTED_VALUE"""),44776.0)</f>
        <v>44776</v>
      </c>
      <c r="C19009" s="6">
        <f>IFERROR(__xludf.DUMMYFUNCTION("""COMPUTED_VALUE"""),0.7062152777762094)</f>
        <v>0.7062152778</v>
      </c>
      <c r="D19009" s="4">
        <f>IFERROR(__xludf.DUMMYFUNCTION("""COMPUTED_VALUE"""),12.95985)</f>
        <v>12.95985</v>
      </c>
      <c r="E19009" s="4">
        <f>IFERROR(__xludf.DUMMYFUNCTION("""COMPUTED_VALUE"""),80.14499)</f>
        <v>80.14499</v>
      </c>
      <c r="F19009" s="4">
        <f>IFERROR(__xludf.DUMMYFUNCTION("""COMPUTED_VALUE"""),805.0)</f>
        <v>805</v>
      </c>
      <c r="G19009" s="4">
        <f>IFERROR(__xludf.DUMMYFUNCTION("""COMPUTED_VALUE"""),46.0)</f>
        <v>46</v>
      </c>
      <c r="H19009" s="4"/>
      <c r="I19009" s="4"/>
    </row>
    <row r="19010">
      <c r="A19010" s="4" t="str">
        <f>IFERROR(__xludf.DUMMYFUNCTION("""COMPUTED_VALUE"""),"cas_hmw")</f>
        <v>cas_hmw</v>
      </c>
      <c r="B19010" s="5">
        <f>IFERROR(__xludf.DUMMYFUNCTION("""COMPUTED_VALUE"""),44776.0)</f>
        <v>44776</v>
      </c>
      <c r="C19010" s="6">
        <f>IFERROR(__xludf.DUMMYFUNCTION("""COMPUTED_VALUE"""),0.7064467592608707)</f>
        <v>0.7064467593</v>
      </c>
      <c r="D19010" s="4">
        <f>IFERROR(__xludf.DUMMYFUNCTION("""COMPUTED_VALUE"""),12.769618)</f>
        <v>12.769618</v>
      </c>
      <c r="E19010" s="4">
        <f>IFERROR(__xludf.DUMMYFUNCTION("""COMPUTED_VALUE"""),80.007078)</f>
        <v>80.007078</v>
      </c>
      <c r="F19010" s="4">
        <f>IFERROR(__xludf.DUMMYFUNCTION("""COMPUTED_VALUE"""),2846.0)</f>
        <v>2846</v>
      </c>
      <c r="G19010" s="4">
        <f>IFERROR(__xludf.DUMMYFUNCTION("""COMPUTED_VALUE"""),43.0)</f>
        <v>43</v>
      </c>
      <c r="H19010" s="4"/>
      <c r="I19010" s="4"/>
    </row>
    <row r="19011">
      <c r="A19011" s="4" t="str">
        <f>IFERROR(__xludf.DUMMYFUNCTION("""COMPUTED_VALUE"""),"cas_hmw")</f>
        <v>cas_hmw</v>
      </c>
      <c r="B19011" s="5">
        <f>IFERROR(__xludf.DUMMYFUNCTION("""COMPUTED_VALUE"""),44776.0)</f>
        <v>44776</v>
      </c>
      <c r="C19011" s="6">
        <f>IFERROR(__xludf.DUMMYFUNCTION("""COMPUTED_VALUE"""),0.7067824074074451)</f>
        <v>0.7067824074</v>
      </c>
      <c r="D19011" s="4">
        <f>IFERROR(__xludf.DUMMYFUNCTION("""COMPUTED_VALUE"""),12.763166)</f>
        <v>12.763166</v>
      </c>
      <c r="E19011" s="4">
        <f>IFERROR(__xludf.DUMMYFUNCTION("""COMPUTED_VALUE"""),80.004264)</f>
        <v>80.004264</v>
      </c>
      <c r="F19011" s="4">
        <f>IFERROR(__xludf.DUMMYFUNCTION("""COMPUTED_VALUE"""),2846.0)</f>
        <v>2846</v>
      </c>
      <c r="G19011" s="4">
        <f>IFERROR(__xludf.DUMMYFUNCTION("""COMPUTED_VALUE"""),7.0)</f>
        <v>7</v>
      </c>
      <c r="H19011" s="4"/>
      <c r="I19011" s="4"/>
    </row>
    <row r="19012">
      <c r="A19012" s="4" t="str">
        <f>IFERROR(__xludf.DUMMYFUNCTION("""COMPUTED_VALUE"""),"cas_hmw")</f>
        <v>cas_hmw</v>
      </c>
      <c r="B19012" s="5">
        <f>IFERROR(__xludf.DUMMYFUNCTION("""COMPUTED_VALUE"""),44776.0)</f>
        <v>44776</v>
      </c>
      <c r="C19012" s="6">
        <f>IFERROR(__xludf.DUMMYFUNCTION("""COMPUTED_VALUE"""),0.7067824074074451)</f>
        <v>0.7067824074</v>
      </c>
      <c r="D19012" s="4">
        <f>IFERROR(__xludf.DUMMYFUNCTION("""COMPUTED_VALUE"""),12.763166)</f>
        <v>12.763166</v>
      </c>
      <c r="E19012" s="4">
        <f>IFERROR(__xludf.DUMMYFUNCTION("""COMPUTED_VALUE"""),80.004264)</f>
        <v>80.004264</v>
      </c>
      <c r="F19012" s="4">
        <f>IFERROR(__xludf.DUMMYFUNCTION("""COMPUTED_VALUE"""),2846.0)</f>
        <v>2846</v>
      </c>
      <c r="G19012" s="4">
        <f>IFERROR(__xludf.DUMMYFUNCTION("""COMPUTED_VALUE"""),7.0)</f>
        <v>7</v>
      </c>
      <c r="H19012" s="4"/>
      <c r="I19012" s="4"/>
    </row>
    <row r="19013">
      <c r="A19013" s="4" t="str">
        <f>IFERROR(__xludf.DUMMYFUNCTION("""COMPUTED_VALUE"""),"cas_hmw")</f>
        <v>cas_hmw</v>
      </c>
      <c r="B19013" s="5">
        <f>IFERROR(__xludf.DUMMYFUNCTION("""COMPUTED_VALUE"""),44776.0)</f>
        <v>44776</v>
      </c>
      <c r="C19013" s="6">
        <f>IFERROR(__xludf.DUMMYFUNCTION("""COMPUTED_VALUE"""),0.7070601851846732)</f>
        <v>0.7070601852</v>
      </c>
      <c r="D19013" s="4">
        <f>IFERROR(__xludf.DUMMYFUNCTION("""COMPUTED_VALUE"""),12.930281)</f>
        <v>12.930281</v>
      </c>
      <c r="E19013" s="4">
        <f>IFERROR(__xludf.DUMMYFUNCTION("""COMPUTED_VALUE"""),80.121261)</f>
        <v>80.121261</v>
      </c>
      <c r="F19013" s="4">
        <f>IFERROR(__xludf.DUMMYFUNCTION("""COMPUTED_VALUE"""),3143.0)</f>
        <v>3143</v>
      </c>
      <c r="G19013" s="4">
        <f>IFERROR(__xludf.DUMMYFUNCTION("""COMPUTED_VALUE"""),18.0)</f>
        <v>18</v>
      </c>
      <c r="H19013" s="4"/>
      <c r="I19013" s="4"/>
    </row>
    <row r="19014">
      <c r="A19014" s="4" t="str">
        <f>IFERROR(__xludf.DUMMYFUNCTION("""COMPUTED_VALUE"""),"cas_hmw")</f>
        <v>cas_hmw</v>
      </c>
      <c r="B19014" s="5">
        <f>IFERROR(__xludf.DUMMYFUNCTION("""COMPUTED_VALUE"""),44776.0)</f>
        <v>44776</v>
      </c>
      <c r="C19014" s="6">
        <f>IFERROR(__xludf.DUMMYFUNCTION("""COMPUTED_VALUE"""),0.7079050925931369)</f>
        <v>0.7079050926</v>
      </c>
      <c r="D19014" s="4">
        <f>IFERROR(__xludf.DUMMYFUNCTION("""COMPUTED_VALUE"""),12.759356)</f>
        <v>12.759356</v>
      </c>
      <c r="E19014" s="4">
        <f>IFERROR(__xludf.DUMMYFUNCTION("""COMPUTED_VALUE"""),80.003187)</f>
        <v>80.003187</v>
      </c>
      <c r="F19014" s="4">
        <f>IFERROR(__xludf.DUMMYFUNCTION("""COMPUTED_VALUE"""),2846.0)</f>
        <v>2846</v>
      </c>
      <c r="G19014" s="4">
        <f>IFERROR(__xludf.DUMMYFUNCTION("""COMPUTED_VALUE"""),38.0)</f>
        <v>38</v>
      </c>
      <c r="H19014" s="4"/>
      <c r="I19014" s="4"/>
    </row>
    <row r="19015">
      <c r="A19015" s="4" t="str">
        <f>IFERROR(__xludf.DUMMYFUNCTION("""COMPUTED_VALUE"""),"cas_hmw")</f>
        <v>cas_hmw</v>
      </c>
      <c r="B19015" s="5">
        <f>IFERROR(__xludf.DUMMYFUNCTION("""COMPUTED_VALUE"""),44776.0)</f>
        <v>44776</v>
      </c>
      <c r="C19015" s="6">
        <f>IFERROR(__xludf.DUMMYFUNCTION("""COMPUTED_VALUE"""),0.7080208333318296)</f>
        <v>0.7080208333</v>
      </c>
      <c r="D19015" s="4">
        <f>IFERROR(__xludf.DUMMYFUNCTION("""COMPUTED_VALUE"""),12.757553)</f>
        <v>12.757553</v>
      </c>
      <c r="E19015" s="4">
        <f>IFERROR(__xludf.DUMMYFUNCTION("""COMPUTED_VALUE"""),80.002631)</f>
        <v>80.002631</v>
      </c>
      <c r="F19015" s="4">
        <f>IFERROR(__xludf.DUMMYFUNCTION("""COMPUTED_VALUE"""),2846.0)</f>
        <v>2846</v>
      </c>
      <c r="G19015" s="4">
        <f>IFERROR(__xludf.DUMMYFUNCTION("""COMPUTED_VALUE"""),51.0)</f>
        <v>51</v>
      </c>
      <c r="H19015" s="4"/>
      <c r="I19015" s="4"/>
    </row>
    <row r="19016">
      <c r="A19016" s="4" t="str">
        <f>IFERROR(__xludf.DUMMYFUNCTION("""COMPUTED_VALUE"""),"cas_hmw")</f>
        <v>cas_hmw</v>
      </c>
      <c r="B19016" s="5">
        <f>IFERROR(__xludf.DUMMYFUNCTION("""COMPUTED_VALUE"""),44776.0)</f>
        <v>44776</v>
      </c>
      <c r="C19016" s="6">
        <f>IFERROR(__xludf.DUMMYFUNCTION("""COMPUTED_VALUE"""),0.7082638888896327)</f>
        <v>0.7082638889</v>
      </c>
      <c r="D19016" s="4">
        <f>IFERROR(__xludf.DUMMYFUNCTION("""COMPUTED_VALUE"""),12.962127)</f>
        <v>12.962127</v>
      </c>
      <c r="E19016" s="4">
        <f>IFERROR(__xludf.DUMMYFUNCTION("""COMPUTED_VALUE"""),80.14626)</f>
        <v>80.14626</v>
      </c>
      <c r="F19016" s="4">
        <f>IFERROR(__xludf.DUMMYFUNCTION("""COMPUTED_VALUE"""),805.0)</f>
        <v>805</v>
      </c>
      <c r="G19016" s="4">
        <f>IFERROR(__xludf.DUMMYFUNCTION("""COMPUTED_VALUE"""),47.0)</f>
        <v>47</v>
      </c>
      <c r="H19016" s="4"/>
      <c r="I19016" s="4"/>
    </row>
    <row r="19017">
      <c r="A19017" s="4" t="str">
        <f>IFERROR(__xludf.DUMMYFUNCTION("""COMPUTED_VALUE"""),"cas_hmw")</f>
        <v>cas_hmw</v>
      </c>
      <c r="B19017" s="5">
        <f>IFERROR(__xludf.DUMMYFUNCTION("""COMPUTED_VALUE"""),44776.0)</f>
        <v>44776</v>
      </c>
      <c r="C19017" s="6">
        <f>IFERROR(__xludf.DUMMYFUNCTION("""COMPUTED_VALUE"""),0.7084027777782467)</f>
        <v>0.7084027778</v>
      </c>
      <c r="D19017" s="4">
        <f>IFERROR(__xludf.DUMMYFUNCTION("""COMPUTED_VALUE"""),12.96333)</f>
        <v>12.96333</v>
      </c>
      <c r="E19017" s="4">
        <f>IFERROR(__xludf.DUMMYFUNCTION("""COMPUTED_VALUE"""),80.146943)</f>
        <v>80.146943</v>
      </c>
      <c r="F19017" s="4">
        <f>IFERROR(__xludf.DUMMYFUNCTION("""COMPUTED_VALUE"""),805.0)</f>
        <v>805</v>
      </c>
      <c r="G19017" s="4">
        <f>IFERROR(__xludf.DUMMYFUNCTION("""COMPUTED_VALUE"""),61.0)</f>
        <v>61</v>
      </c>
      <c r="H19017" s="4"/>
      <c r="I19017" s="4"/>
    </row>
    <row r="19018">
      <c r="A19018" s="4" t="str">
        <f>IFERROR(__xludf.DUMMYFUNCTION("""COMPUTED_VALUE"""),"cas_hmw")</f>
        <v>cas_hmw</v>
      </c>
      <c r="B19018" s="5">
        <f>IFERROR(__xludf.DUMMYFUNCTION("""COMPUTED_VALUE"""),44776.0)</f>
        <v>44776</v>
      </c>
      <c r="C19018" s="6">
        <f>IFERROR(__xludf.DUMMYFUNCTION("""COMPUTED_VALUE"""),0.7084143518513883)</f>
        <v>0.7084143519</v>
      </c>
      <c r="D19018" s="4">
        <f>IFERROR(__xludf.DUMMYFUNCTION("""COMPUTED_VALUE"""),12.964576)</f>
        <v>12.964576</v>
      </c>
      <c r="E19018" s="4">
        <f>IFERROR(__xludf.DUMMYFUNCTION("""COMPUTED_VALUE"""),80.147656)</f>
        <v>80.147656</v>
      </c>
      <c r="F19018" s="4">
        <f>IFERROR(__xludf.DUMMYFUNCTION("""COMPUTED_VALUE"""),805.0)</f>
        <v>805</v>
      </c>
      <c r="G19018" s="4">
        <f>IFERROR(__xludf.DUMMYFUNCTION("""COMPUTED_VALUE"""),52.0)</f>
        <v>52</v>
      </c>
      <c r="H19018" s="4"/>
      <c r="I19018" s="4"/>
    </row>
    <row r="19019">
      <c r="A19019" s="4" t="str">
        <f>IFERROR(__xludf.DUMMYFUNCTION("""COMPUTED_VALUE"""),"cas_hmw")</f>
        <v>cas_hmw</v>
      </c>
      <c r="B19019" s="5">
        <f>IFERROR(__xludf.DUMMYFUNCTION("""COMPUTED_VALUE"""),44776.0)</f>
        <v>44776</v>
      </c>
      <c r="C19019" s="6">
        <f>IFERROR(__xludf.DUMMYFUNCTION("""COMPUTED_VALUE"""),0.7085879629630654)</f>
        <v>0.708587963</v>
      </c>
      <c r="D19019" s="4">
        <f>IFERROR(__xludf.DUMMYFUNCTION("""COMPUTED_VALUE"""),12.96097)</f>
        <v>12.96097</v>
      </c>
      <c r="E19019" s="4">
        <f>IFERROR(__xludf.DUMMYFUNCTION("""COMPUTED_VALUE"""),80.14567)</f>
        <v>80.14567</v>
      </c>
      <c r="F19019" s="4">
        <f>IFERROR(__xludf.DUMMYFUNCTION("""COMPUTED_VALUE"""),5339.0)</f>
        <v>5339</v>
      </c>
      <c r="G19019" s="4">
        <f>IFERROR(__xludf.DUMMYFUNCTION("""COMPUTED_VALUE"""),20.0)</f>
        <v>20</v>
      </c>
      <c r="H19019" s="4"/>
      <c r="I19019" s="4"/>
    </row>
    <row r="19020">
      <c r="A19020" s="4" t="str">
        <f>IFERROR(__xludf.DUMMYFUNCTION("""COMPUTED_VALUE"""),"cas_hmw")</f>
        <v>cas_hmw</v>
      </c>
      <c r="B19020" s="5">
        <f>IFERROR(__xludf.DUMMYFUNCTION("""COMPUTED_VALUE"""),44776.0)</f>
        <v>44776</v>
      </c>
      <c r="C19020" s="6">
        <f>IFERROR(__xludf.DUMMYFUNCTION("""COMPUTED_VALUE"""),0.708668981482333)</f>
        <v>0.7086689815</v>
      </c>
      <c r="D19020" s="4">
        <f>IFERROR(__xludf.DUMMYFUNCTION("""COMPUTED_VALUE"""),12.9362)</f>
        <v>12.9362</v>
      </c>
      <c r="E19020" s="4">
        <f>IFERROR(__xludf.DUMMYFUNCTION("""COMPUTED_VALUE"""),80.12708)</f>
        <v>80.12708</v>
      </c>
      <c r="F19020" s="4">
        <f>IFERROR(__xludf.DUMMYFUNCTION("""COMPUTED_VALUE"""),3143.0)</f>
        <v>3143</v>
      </c>
      <c r="G19020" s="4">
        <f>IFERROR(__xludf.DUMMYFUNCTION("""COMPUTED_VALUE"""),22.0)</f>
        <v>22</v>
      </c>
      <c r="H19020" s="4"/>
      <c r="I19020" s="4"/>
    </row>
    <row r="19021">
      <c r="A19021" s="4" t="str">
        <f>IFERROR(__xludf.DUMMYFUNCTION("""COMPUTED_VALUE"""),"cas_hmw")</f>
        <v>cas_hmw</v>
      </c>
      <c r="B19021" s="5">
        <f>IFERROR(__xludf.DUMMYFUNCTION("""COMPUTED_VALUE"""),44776.0)</f>
        <v>44776</v>
      </c>
      <c r="C19021" s="6">
        <f>IFERROR(__xludf.DUMMYFUNCTION("""COMPUTED_VALUE"""),0.7092245370367891)</f>
        <v>0.709224537</v>
      </c>
      <c r="D19021" s="4">
        <f>IFERROR(__xludf.DUMMYFUNCTION("""COMPUTED_VALUE"""),12.973171)</f>
        <v>12.973171</v>
      </c>
      <c r="E19021" s="4">
        <f>IFERROR(__xludf.DUMMYFUNCTION("""COMPUTED_VALUE"""),80.152868)</f>
        <v>80.152868</v>
      </c>
      <c r="F19021" s="4">
        <f>IFERROR(__xludf.DUMMYFUNCTION("""COMPUTED_VALUE"""),805.0)</f>
        <v>805</v>
      </c>
      <c r="G19021" s="4">
        <f>IFERROR(__xludf.DUMMYFUNCTION("""COMPUTED_VALUE"""),58.0)</f>
        <v>58</v>
      </c>
      <c r="H19021" s="4"/>
      <c r="I19021" s="4"/>
    </row>
    <row r="19022">
      <c r="A19022" s="4" t="str">
        <f>IFERROR(__xludf.DUMMYFUNCTION("""COMPUTED_VALUE"""),"cas_hmw")</f>
        <v>cas_hmw</v>
      </c>
      <c r="B19022" s="5">
        <f>IFERROR(__xludf.DUMMYFUNCTION("""COMPUTED_VALUE"""),44776.0)</f>
        <v>44776</v>
      </c>
      <c r="C19022" s="6">
        <f>IFERROR(__xludf.DUMMYFUNCTION("""COMPUTED_VALUE"""),0.7099305555566389)</f>
        <v>0.7099305556</v>
      </c>
      <c r="D19022" s="4">
        <f>IFERROR(__xludf.DUMMYFUNCTION("""COMPUTED_VALUE"""),12.942639)</f>
        <v>12.942639</v>
      </c>
      <c r="E19022" s="4">
        <f>IFERROR(__xludf.DUMMYFUNCTION("""COMPUTED_VALUE"""),80.133199)</f>
        <v>80.133199</v>
      </c>
      <c r="F19022" s="4">
        <f>IFERROR(__xludf.DUMMYFUNCTION("""COMPUTED_VALUE"""),3143.0)</f>
        <v>3143</v>
      </c>
      <c r="G19022" s="4">
        <f>IFERROR(__xludf.DUMMYFUNCTION("""COMPUTED_VALUE"""),23.0)</f>
        <v>23</v>
      </c>
      <c r="H19022" s="4"/>
      <c r="I19022" s="4"/>
    </row>
    <row r="19023">
      <c r="A19023" s="4" t="str">
        <f>IFERROR(__xludf.DUMMYFUNCTION("""COMPUTED_VALUE"""),"cas_hmw")</f>
        <v>cas_hmw</v>
      </c>
      <c r="B19023" s="5">
        <f>IFERROR(__xludf.DUMMYFUNCTION("""COMPUTED_VALUE"""),44776.0)</f>
        <v>44776</v>
      </c>
      <c r="C19023" s="6">
        <f>IFERROR(__xludf.DUMMYFUNCTION("""COMPUTED_VALUE"""),0.7101967592607252)</f>
        <v>0.7101967593</v>
      </c>
      <c r="D19023" s="4">
        <f>IFERROR(__xludf.DUMMYFUNCTION("""COMPUTED_VALUE"""),12.943922)</f>
        <v>12.943922</v>
      </c>
      <c r="E19023" s="4">
        <f>IFERROR(__xludf.DUMMYFUNCTION("""COMPUTED_VALUE"""),80.134484)</f>
        <v>80.134484</v>
      </c>
      <c r="F19023" s="4">
        <f>IFERROR(__xludf.DUMMYFUNCTION("""COMPUTED_VALUE"""),3143.0)</f>
        <v>3143</v>
      </c>
      <c r="G19023" s="4">
        <f>IFERROR(__xludf.DUMMYFUNCTION("""COMPUTED_VALUE"""),44.0)</f>
        <v>44</v>
      </c>
      <c r="H19023" s="4"/>
      <c r="I19023" s="4"/>
    </row>
    <row r="19024">
      <c r="A19024" s="4" t="str">
        <f>IFERROR(__xludf.DUMMYFUNCTION("""COMPUTED_VALUE"""),"cas_hmw")</f>
        <v>cas_hmw</v>
      </c>
      <c r="B19024" s="5">
        <f>IFERROR(__xludf.DUMMYFUNCTION("""COMPUTED_VALUE"""),44776.0)</f>
        <v>44776</v>
      </c>
      <c r="C19024" s="6">
        <f>IFERROR(__xludf.DUMMYFUNCTION("""COMPUTED_VALUE"""),0.7102199074070086)</f>
        <v>0.7102199074</v>
      </c>
      <c r="D19024" s="4">
        <f>IFERROR(__xludf.DUMMYFUNCTION("""COMPUTED_VALUE"""),12.944823)</f>
        <v>12.944823</v>
      </c>
      <c r="E19024" s="4">
        <f>IFERROR(__xludf.DUMMYFUNCTION("""COMPUTED_VALUE"""),80.135144)</f>
        <v>80.135144</v>
      </c>
      <c r="F19024" s="4">
        <f>IFERROR(__xludf.DUMMYFUNCTION("""COMPUTED_VALUE"""),3143.0)</f>
        <v>3143</v>
      </c>
      <c r="G19024" s="4">
        <f>IFERROR(__xludf.DUMMYFUNCTION("""COMPUTED_VALUE"""),41.0)</f>
        <v>41</v>
      </c>
      <c r="H19024" s="4"/>
      <c r="I19024" s="4"/>
    </row>
    <row r="19025">
      <c r="A19025" s="4" t="str">
        <f>IFERROR(__xludf.DUMMYFUNCTION("""COMPUTED_VALUE"""),"cas_hmw")</f>
        <v>cas_hmw</v>
      </c>
      <c r="B19025" s="5">
        <f>IFERROR(__xludf.DUMMYFUNCTION("""COMPUTED_VALUE"""),44776.0)</f>
        <v>44776</v>
      </c>
      <c r="C19025" s="6">
        <f>IFERROR(__xludf.DUMMYFUNCTION("""COMPUTED_VALUE"""),0.7102546296300716)</f>
        <v>0.7102546296</v>
      </c>
      <c r="D19025" s="4">
        <f>IFERROR(__xludf.DUMMYFUNCTION("""COMPUTED_VALUE"""),12.738492)</f>
        <v>12.738492</v>
      </c>
      <c r="E19025" s="4">
        <f>IFERROR(__xludf.DUMMYFUNCTION("""COMPUTED_VALUE"""),79.988735)</f>
        <v>79.988735</v>
      </c>
      <c r="F19025" s="4">
        <f>IFERROR(__xludf.DUMMYFUNCTION("""COMPUTED_VALUE"""),2846.0)</f>
        <v>2846</v>
      </c>
      <c r="G19025" s="4">
        <f>IFERROR(__xludf.DUMMYFUNCTION("""COMPUTED_VALUE"""),57.0)</f>
        <v>57</v>
      </c>
      <c r="H19025" s="4"/>
      <c r="I19025" s="4"/>
    </row>
    <row r="19026">
      <c r="A19026" s="4" t="str">
        <f>IFERROR(__xludf.DUMMYFUNCTION("""COMPUTED_VALUE"""),"cas_hmw")</f>
        <v>cas_hmw</v>
      </c>
      <c r="B19026" s="5">
        <f>IFERROR(__xludf.DUMMYFUNCTION("""COMPUTED_VALUE"""),44776.0)</f>
        <v>44776</v>
      </c>
      <c r="C19026" s="6">
        <f>IFERROR(__xludf.DUMMYFUNCTION("""COMPUTED_VALUE"""),0.7103587962956226)</f>
        <v>0.7103587963</v>
      </c>
      <c r="D19026" s="4">
        <f>IFERROR(__xludf.DUMMYFUNCTION("""COMPUTED_VALUE"""),12.945686)</f>
        <v>12.945686</v>
      </c>
      <c r="E19026" s="4">
        <f>IFERROR(__xludf.DUMMYFUNCTION("""COMPUTED_VALUE"""),80.135809)</f>
        <v>80.135809</v>
      </c>
      <c r="F19026" s="4">
        <f>IFERROR(__xludf.DUMMYFUNCTION("""COMPUTED_VALUE"""),3143.0)</f>
        <v>3143</v>
      </c>
      <c r="G19026" s="4">
        <f>IFERROR(__xludf.DUMMYFUNCTION("""COMPUTED_VALUE"""),42.0)</f>
        <v>42</v>
      </c>
      <c r="H19026" s="4"/>
      <c r="I19026" s="4"/>
    </row>
    <row r="19027">
      <c r="A19027" s="4" t="str">
        <f>IFERROR(__xludf.DUMMYFUNCTION("""COMPUTED_VALUE"""),"cas_hmw")</f>
        <v>cas_hmw</v>
      </c>
      <c r="B19027" s="5">
        <f>IFERROR(__xludf.DUMMYFUNCTION("""COMPUTED_VALUE"""),44776.0)</f>
        <v>44776</v>
      </c>
      <c r="C19027" s="6">
        <f>IFERROR(__xludf.DUMMYFUNCTION("""COMPUTED_VALUE"""),0.7104282407417486)</f>
        <v>0.7104282407</v>
      </c>
      <c r="D19027" s="4">
        <f>IFERROR(__xludf.DUMMYFUNCTION("""COMPUTED_VALUE"""),12.945686)</f>
        <v>12.945686</v>
      </c>
      <c r="E19027" s="4">
        <f>IFERROR(__xludf.DUMMYFUNCTION("""COMPUTED_VALUE"""),80.135809)</f>
        <v>80.135809</v>
      </c>
      <c r="F19027" s="4">
        <f>IFERROR(__xludf.DUMMYFUNCTION("""COMPUTED_VALUE"""),3143.0)</f>
        <v>3143</v>
      </c>
      <c r="G19027" s="4">
        <f>IFERROR(__xludf.DUMMYFUNCTION("""COMPUTED_VALUE"""),42.0)</f>
        <v>42</v>
      </c>
      <c r="H19027" s="4"/>
      <c r="I19027" s="4"/>
    </row>
    <row r="19028">
      <c r="A19028" s="4" t="str">
        <f>IFERROR(__xludf.DUMMYFUNCTION("""COMPUTED_VALUE"""),"cas_hmw")</f>
        <v>cas_hmw</v>
      </c>
      <c r="B19028" s="5">
        <f>IFERROR(__xludf.DUMMYFUNCTION("""COMPUTED_VALUE"""),44776.0)</f>
        <v>44776</v>
      </c>
      <c r="C19028" s="6">
        <f>IFERROR(__xludf.DUMMYFUNCTION("""COMPUTED_VALUE"""),0.7117708333316841)</f>
        <v>0.7117708333</v>
      </c>
      <c r="D19028" s="4">
        <f>IFERROR(__xludf.DUMMYFUNCTION("""COMPUTED_VALUE"""),12.98142)</f>
        <v>12.98142</v>
      </c>
      <c r="E19028" s="4">
        <f>IFERROR(__xludf.DUMMYFUNCTION("""COMPUTED_VALUE"""),80.166618)</f>
        <v>80.166618</v>
      </c>
      <c r="F19028" s="4">
        <f>IFERROR(__xludf.DUMMYFUNCTION("""COMPUTED_VALUE"""),805.0)</f>
        <v>805</v>
      </c>
      <c r="G19028" s="4">
        <f>IFERROR(__xludf.DUMMYFUNCTION("""COMPUTED_VALUE"""),0.0)</f>
        <v>0</v>
      </c>
      <c r="H19028" s="4"/>
      <c r="I19028" s="4"/>
    </row>
    <row r="19029">
      <c r="A19029" s="4" t="str">
        <f>IFERROR(__xludf.DUMMYFUNCTION("""COMPUTED_VALUE"""),"cas_hmw")</f>
        <v>cas_hmw</v>
      </c>
      <c r="B19029" s="5">
        <f>IFERROR(__xludf.DUMMYFUNCTION("""COMPUTED_VALUE"""),44776.0)</f>
        <v>44776</v>
      </c>
      <c r="C19029" s="6">
        <f>IFERROR(__xludf.DUMMYFUNCTION("""COMPUTED_VALUE"""),0.7118518518509518)</f>
        <v>0.7118518519</v>
      </c>
      <c r="D19029" s="4">
        <f>IFERROR(__xludf.DUMMYFUNCTION("""COMPUTED_VALUE"""),12.953278)</f>
        <v>12.953278</v>
      </c>
      <c r="E19029" s="4">
        <f>IFERROR(__xludf.DUMMYFUNCTION("""COMPUTED_VALUE"""),80.141571)</f>
        <v>80.141571</v>
      </c>
      <c r="F19029" s="4">
        <f>IFERROR(__xludf.DUMMYFUNCTION("""COMPUTED_VALUE"""),3143.0)</f>
        <v>3143</v>
      </c>
      <c r="G19029" s="4">
        <f>IFERROR(__xludf.DUMMYFUNCTION("""COMPUTED_VALUE"""),42.0)</f>
        <v>42</v>
      </c>
      <c r="H19029" s="4"/>
      <c r="I19029" s="4"/>
    </row>
    <row r="19030">
      <c r="A19030" s="4" t="str">
        <f>IFERROR(__xludf.DUMMYFUNCTION("""COMPUTED_VALUE"""),"cas_hmw")</f>
        <v>cas_hmw</v>
      </c>
      <c r="B19030" s="5">
        <f>IFERROR(__xludf.DUMMYFUNCTION("""COMPUTED_VALUE"""),44776.0)</f>
        <v>44776</v>
      </c>
      <c r="C19030" s="6">
        <f>IFERROR(__xludf.DUMMYFUNCTION("""COMPUTED_VALUE"""),0.7119560185201408)</f>
        <v>0.7119560185</v>
      </c>
      <c r="D19030" s="4">
        <f>IFERROR(__xludf.DUMMYFUNCTION("""COMPUTED_VALUE"""),12.954267)</f>
        <v>12.954267</v>
      </c>
      <c r="E19030" s="4">
        <f>IFERROR(__xludf.DUMMYFUNCTION("""COMPUTED_VALUE"""),80.142091)</f>
        <v>80.142091</v>
      </c>
      <c r="F19030" s="4">
        <f>IFERROR(__xludf.DUMMYFUNCTION("""COMPUTED_VALUE"""),3143.0)</f>
        <v>3143</v>
      </c>
      <c r="G19030" s="4">
        <f>IFERROR(__xludf.DUMMYFUNCTION("""COMPUTED_VALUE"""),40.0)</f>
        <v>40</v>
      </c>
      <c r="H19030" s="4"/>
      <c r="I19030" s="4"/>
    </row>
    <row r="19031">
      <c r="A19031" s="4" t="str">
        <f>IFERROR(__xludf.DUMMYFUNCTION("""COMPUTED_VALUE"""),"cas_hmw")</f>
        <v>cas_hmw</v>
      </c>
      <c r="B19031" s="5">
        <f>IFERROR(__xludf.DUMMYFUNCTION("""COMPUTED_VALUE"""),44776.0)</f>
        <v>44776</v>
      </c>
      <c r="C19031" s="6">
        <f>IFERROR(__xludf.DUMMYFUNCTION("""COMPUTED_VALUE"""),0.7124305555553292)</f>
        <v>0.7124305556</v>
      </c>
      <c r="D19031" s="4">
        <f>IFERROR(__xludf.DUMMYFUNCTION("""COMPUTED_VALUE"""),12.72412)</f>
        <v>12.72412</v>
      </c>
      <c r="E19031" s="4">
        <f>IFERROR(__xludf.DUMMYFUNCTION("""COMPUTED_VALUE"""),79.982157)</f>
        <v>79.982157</v>
      </c>
      <c r="F19031" s="4">
        <f>IFERROR(__xludf.DUMMYFUNCTION("""COMPUTED_VALUE"""),2846.0)</f>
        <v>2846</v>
      </c>
      <c r="G19031" s="4">
        <f>IFERROR(__xludf.DUMMYFUNCTION("""COMPUTED_VALUE"""),5.0)</f>
        <v>5</v>
      </c>
      <c r="H19031" s="4"/>
      <c r="I19031" s="4"/>
    </row>
    <row r="19032">
      <c r="A19032" s="4" t="str">
        <f>IFERROR(__xludf.DUMMYFUNCTION("""COMPUTED_VALUE"""),"cas_hmw")</f>
        <v>cas_hmw</v>
      </c>
      <c r="B19032" s="5">
        <f>IFERROR(__xludf.DUMMYFUNCTION("""COMPUTED_VALUE"""),44776.0)</f>
        <v>44776</v>
      </c>
      <c r="C19032" s="6">
        <f>IFERROR(__xludf.DUMMYFUNCTION("""COMPUTED_VALUE"""),0.7127893518518249)</f>
        <v>0.7127893519</v>
      </c>
      <c r="D19032" s="4">
        <f>IFERROR(__xludf.DUMMYFUNCTION("""COMPUTED_VALUE"""),12.72412)</f>
        <v>12.72412</v>
      </c>
      <c r="E19032" s="4">
        <f>IFERROR(__xludf.DUMMYFUNCTION("""COMPUTED_VALUE"""),79.982157)</f>
        <v>79.982157</v>
      </c>
      <c r="F19032" s="4">
        <f>IFERROR(__xludf.DUMMYFUNCTION("""COMPUTED_VALUE"""),2846.0)</f>
        <v>2846</v>
      </c>
      <c r="G19032" s="4">
        <f>IFERROR(__xludf.DUMMYFUNCTION("""COMPUTED_VALUE"""),5.0)</f>
        <v>5</v>
      </c>
      <c r="H19032" s="4"/>
      <c r="I19032" s="4"/>
    </row>
    <row r="19033">
      <c r="A19033" s="4" t="str">
        <f>IFERROR(__xludf.DUMMYFUNCTION("""COMPUTED_VALUE"""),"cas_hmw")</f>
        <v>cas_hmw</v>
      </c>
      <c r="B19033" s="5">
        <f>IFERROR(__xludf.DUMMYFUNCTION("""COMPUTED_VALUE"""),44776.0)</f>
        <v>44776</v>
      </c>
      <c r="C19033" s="6">
        <f>IFERROR(__xludf.DUMMYFUNCTION("""COMPUTED_VALUE"""),0.7131944444445253)</f>
        <v>0.7131944444</v>
      </c>
      <c r="D19033" s="4">
        <f>IFERROR(__xludf.DUMMYFUNCTION("""COMPUTED_VALUE"""),12.99081)</f>
        <v>12.99081</v>
      </c>
      <c r="E19033" s="4">
        <f>IFERROR(__xludf.DUMMYFUNCTION("""COMPUTED_VALUE"""),80.180581)</f>
        <v>80.180581</v>
      </c>
      <c r="F19033" s="4">
        <f>IFERROR(__xludf.DUMMYFUNCTION("""COMPUTED_VALUE"""),805.0)</f>
        <v>805</v>
      </c>
      <c r="G19033" s="4">
        <f>IFERROR(__xludf.DUMMYFUNCTION("""COMPUTED_VALUE"""),57.0)</f>
        <v>57</v>
      </c>
      <c r="H19033" s="4"/>
      <c r="I19033" s="4"/>
    </row>
    <row r="19034">
      <c r="A19034" s="4" t="str">
        <f>IFERROR(__xludf.DUMMYFUNCTION("""COMPUTED_VALUE"""),"cas_hmw")</f>
        <v>cas_hmw</v>
      </c>
      <c r="B19034" s="5">
        <f>IFERROR(__xludf.DUMMYFUNCTION("""COMPUTED_VALUE"""),44776.0)</f>
        <v>44776</v>
      </c>
      <c r="C19034" s="6">
        <f>IFERROR(__xludf.DUMMYFUNCTION("""COMPUTED_VALUE"""),0.7132638888906513)</f>
        <v>0.7132638889</v>
      </c>
      <c r="D19034" s="4">
        <f>IFERROR(__xludf.DUMMYFUNCTION("""COMPUTED_VALUE"""),12.958192)</f>
        <v>12.958192</v>
      </c>
      <c r="E19034" s="4">
        <f>IFERROR(__xludf.DUMMYFUNCTION("""COMPUTED_VALUE"""),80.144196)</f>
        <v>80.144196</v>
      </c>
      <c r="F19034" s="4">
        <f>IFERROR(__xludf.DUMMYFUNCTION("""COMPUTED_VALUE"""),3143.0)</f>
        <v>3143</v>
      </c>
      <c r="G19034" s="4">
        <f>IFERROR(__xludf.DUMMYFUNCTION("""COMPUTED_VALUE"""),36.0)</f>
        <v>36</v>
      </c>
      <c r="H19034" s="4"/>
      <c r="I19034" s="4"/>
    </row>
    <row r="19035">
      <c r="A19035" s="4" t="str">
        <f>IFERROR(__xludf.DUMMYFUNCTION("""COMPUTED_VALUE"""),"cas_hmw")</f>
        <v>cas_hmw</v>
      </c>
      <c r="B19035" s="5">
        <f>IFERROR(__xludf.DUMMYFUNCTION("""COMPUTED_VALUE"""),44776.0)</f>
        <v>44776</v>
      </c>
      <c r="C19035" s="6">
        <f>IFERROR(__xludf.DUMMYFUNCTION("""COMPUTED_VALUE"""),0.7135416666678793)</f>
        <v>0.7135416667</v>
      </c>
      <c r="D19035" s="4">
        <f>IFERROR(__xludf.DUMMYFUNCTION("""COMPUTED_VALUE"""),12.986857)</f>
        <v>12.986857</v>
      </c>
      <c r="E19035" s="4">
        <f>IFERROR(__xludf.DUMMYFUNCTION("""COMPUTED_VALUE"""),80.175235)</f>
        <v>80.175235</v>
      </c>
      <c r="F19035" s="4">
        <f>IFERROR(__xludf.DUMMYFUNCTION("""COMPUTED_VALUE"""),5339.0)</f>
        <v>5339</v>
      </c>
      <c r="G19035" s="4">
        <f>IFERROR(__xludf.DUMMYFUNCTION("""COMPUTED_VALUE"""),38.0)</f>
        <v>38</v>
      </c>
      <c r="H19035" s="4"/>
      <c r="I19035" s="4"/>
    </row>
    <row r="19036">
      <c r="A19036" s="4" t="str">
        <f>IFERROR(__xludf.DUMMYFUNCTION("""COMPUTED_VALUE"""),"cas_hmw")</f>
        <v>cas_hmw</v>
      </c>
      <c r="B19036" s="5">
        <f>IFERROR(__xludf.DUMMYFUNCTION("""COMPUTED_VALUE"""),44776.0)</f>
        <v>44776</v>
      </c>
      <c r="C19036" s="6">
        <f>IFERROR(__xludf.DUMMYFUNCTION("""COMPUTED_VALUE"""),0.7140277777762094)</f>
        <v>0.7140277778</v>
      </c>
      <c r="D19036" s="4">
        <f>IFERROR(__xludf.DUMMYFUNCTION("""COMPUTED_VALUE"""),12.708847)</f>
        <v>12.708847</v>
      </c>
      <c r="E19036" s="4">
        <f>IFERROR(__xludf.DUMMYFUNCTION("""COMPUTED_VALUE"""),79.977364)</f>
        <v>79.977364</v>
      </c>
      <c r="F19036" s="4">
        <f>IFERROR(__xludf.DUMMYFUNCTION("""COMPUTED_VALUE"""),2846.0)</f>
        <v>2846</v>
      </c>
      <c r="G19036" s="4">
        <f>IFERROR(__xludf.DUMMYFUNCTION("""COMPUTED_VALUE"""),54.0)</f>
        <v>54</v>
      </c>
      <c r="H19036" s="4"/>
      <c r="I19036" s="4"/>
    </row>
    <row r="19037">
      <c r="A19037" s="4" t="str">
        <f>IFERROR(__xludf.DUMMYFUNCTION("""COMPUTED_VALUE"""),"cas_hmw")</f>
        <v>cas_hmw</v>
      </c>
      <c r="B19037" s="5">
        <f>IFERROR(__xludf.DUMMYFUNCTION("""COMPUTED_VALUE"""),44776.0)</f>
        <v>44776</v>
      </c>
      <c r="C19037" s="6">
        <f>IFERROR(__xludf.DUMMYFUNCTION("""COMPUTED_VALUE"""),0.7140740740724141)</f>
        <v>0.7140740741</v>
      </c>
      <c r="D19037" s="4">
        <f>IFERROR(__xludf.DUMMYFUNCTION("""COMPUTED_VALUE"""),12.99258)</f>
        <v>12.99258</v>
      </c>
      <c r="E19037" s="4">
        <f>IFERROR(__xludf.DUMMYFUNCTION("""COMPUTED_VALUE"""),80.182909)</f>
        <v>80.182909</v>
      </c>
      <c r="F19037" s="4">
        <f>IFERROR(__xludf.DUMMYFUNCTION("""COMPUTED_VALUE"""),805.0)</f>
        <v>805</v>
      </c>
      <c r="G19037" s="4">
        <f>IFERROR(__xludf.DUMMYFUNCTION("""COMPUTED_VALUE"""),56.0)</f>
        <v>56</v>
      </c>
      <c r="H19037" s="4"/>
      <c r="I19037" s="4"/>
    </row>
    <row r="19038">
      <c r="A19038" s="4" t="str">
        <f>IFERROR(__xludf.DUMMYFUNCTION("""COMPUTED_VALUE"""),"cas_hmw")</f>
        <v>cas_hmw</v>
      </c>
      <c r="B19038" s="5">
        <f>IFERROR(__xludf.DUMMYFUNCTION("""COMPUTED_VALUE"""),44776.0)</f>
        <v>44776</v>
      </c>
      <c r="C19038" s="6">
        <f>IFERROR(__xludf.DUMMYFUNCTION("""COMPUTED_VALUE"""),0.7143749999995634)</f>
        <v>0.714375</v>
      </c>
      <c r="D19038" s="4">
        <f>IFERROR(__xludf.DUMMYFUNCTION("""COMPUTED_VALUE"""),12.961192)</f>
        <v>12.961192</v>
      </c>
      <c r="E19038" s="4">
        <f>IFERROR(__xludf.DUMMYFUNCTION("""COMPUTED_VALUE"""),80.145768)</f>
        <v>80.145768</v>
      </c>
      <c r="F19038" s="4">
        <f>IFERROR(__xludf.DUMMYFUNCTION("""COMPUTED_VALUE"""),3143.0)</f>
        <v>3143</v>
      </c>
      <c r="G19038" s="4">
        <f>IFERROR(__xludf.DUMMYFUNCTION("""COMPUTED_VALUE"""),25.0)</f>
        <v>25</v>
      </c>
      <c r="H19038" s="4"/>
      <c r="I19038" s="4"/>
    </row>
    <row r="19039">
      <c r="A19039" s="4" t="str">
        <f>IFERROR(__xludf.DUMMYFUNCTION("""COMPUTED_VALUE"""),"cas_hmw")</f>
        <v>cas_hmw</v>
      </c>
      <c r="B19039" s="5">
        <f>IFERROR(__xludf.DUMMYFUNCTION("""COMPUTED_VALUE"""),44776.0)</f>
        <v>44776</v>
      </c>
      <c r="C19039" s="6">
        <f>IFERROR(__xludf.DUMMYFUNCTION("""COMPUTED_VALUE"""),0.7145138888881775)</f>
        <v>0.7145138889</v>
      </c>
      <c r="D19039" s="4">
        <f>IFERROR(__xludf.DUMMYFUNCTION("""COMPUTED_VALUE"""),12.962511)</f>
        <v>12.962511</v>
      </c>
      <c r="E19039" s="4">
        <f>IFERROR(__xludf.DUMMYFUNCTION("""COMPUTED_VALUE"""),80.146478)</f>
        <v>80.146478</v>
      </c>
      <c r="F19039" s="4">
        <f>IFERROR(__xludf.DUMMYFUNCTION("""COMPUTED_VALUE"""),3143.0)</f>
        <v>3143</v>
      </c>
      <c r="G19039" s="4">
        <f>IFERROR(__xludf.DUMMYFUNCTION("""COMPUTED_VALUE"""),34.0)</f>
        <v>34</v>
      </c>
      <c r="H19039" s="4"/>
      <c r="I19039" s="4"/>
    </row>
    <row r="19040">
      <c r="A19040" s="4" t="str">
        <f>IFERROR(__xludf.DUMMYFUNCTION("""COMPUTED_VALUE"""),"cas_hmw")</f>
        <v>cas_hmw</v>
      </c>
      <c r="B19040" s="5">
        <f>IFERROR(__xludf.DUMMYFUNCTION("""COMPUTED_VALUE"""),44776.0)</f>
        <v>44776</v>
      </c>
      <c r="C19040" s="6">
        <f>IFERROR(__xludf.DUMMYFUNCTION("""COMPUTED_VALUE"""),0.7149884259270038)</f>
        <v>0.7149884259</v>
      </c>
      <c r="D19040" s="4">
        <f>IFERROR(__xludf.DUMMYFUNCTION("""COMPUTED_VALUE"""),12.98999)</f>
        <v>12.98999</v>
      </c>
      <c r="E19040" s="4">
        <f>IFERROR(__xludf.DUMMYFUNCTION("""COMPUTED_VALUE"""),80.179468)</f>
        <v>80.179468</v>
      </c>
      <c r="F19040" s="4">
        <f>IFERROR(__xludf.DUMMYFUNCTION("""COMPUTED_VALUE"""),5339.0)</f>
        <v>5339</v>
      </c>
      <c r="G19040" s="4">
        <f>IFERROR(__xludf.DUMMYFUNCTION("""COMPUTED_VALUE"""),34.0)</f>
        <v>34</v>
      </c>
      <c r="H19040" s="4"/>
      <c r="I19040" s="4"/>
    </row>
    <row r="19041">
      <c r="A19041" s="4" t="str">
        <f>IFERROR(__xludf.DUMMYFUNCTION("""COMPUTED_VALUE"""),"cas_hmw")</f>
        <v>cas_hmw</v>
      </c>
      <c r="B19041" s="5">
        <f>IFERROR(__xludf.DUMMYFUNCTION("""COMPUTED_VALUE"""),44776.0)</f>
        <v>44776</v>
      </c>
      <c r="C19041" s="6">
        <f>IFERROR(__xludf.DUMMYFUNCTION("""COMPUTED_VALUE"""),0.7150000000001455)</f>
        <v>0.715</v>
      </c>
      <c r="D19041" s="4">
        <f>IFERROR(__xludf.DUMMYFUNCTION("""COMPUTED_VALUE"""),12.98999)</f>
        <v>12.98999</v>
      </c>
      <c r="E19041" s="4">
        <f>IFERROR(__xludf.DUMMYFUNCTION("""COMPUTED_VALUE"""),80.179468)</f>
        <v>80.179468</v>
      </c>
      <c r="F19041" s="4">
        <f>IFERROR(__xludf.DUMMYFUNCTION("""COMPUTED_VALUE"""),5339.0)</f>
        <v>5339</v>
      </c>
      <c r="G19041" s="4">
        <f>IFERROR(__xludf.DUMMYFUNCTION("""COMPUTED_VALUE"""),34.0)</f>
        <v>34</v>
      </c>
      <c r="H19041" s="4"/>
      <c r="I19041" s="4"/>
    </row>
    <row r="19042">
      <c r="A19042" s="4" t="str">
        <f>IFERROR(__xludf.DUMMYFUNCTION("""COMPUTED_VALUE"""),"cas_hmw")</f>
        <v>cas_hmw</v>
      </c>
      <c r="B19042" s="5">
        <f>IFERROR(__xludf.DUMMYFUNCTION("""COMPUTED_VALUE"""),44776.0)</f>
        <v>44776</v>
      </c>
      <c r="C19042" s="6">
        <f>IFERROR(__xludf.DUMMYFUNCTION("""COMPUTED_VALUE"""),0.7151620370386809)</f>
        <v>0.715162037</v>
      </c>
      <c r="D19042" s="4">
        <f>IFERROR(__xludf.DUMMYFUNCTION("""COMPUTED_VALUE"""),12.991235)</f>
        <v>12.991235</v>
      </c>
      <c r="E19042" s="4">
        <f>IFERROR(__xludf.DUMMYFUNCTION("""COMPUTED_VALUE"""),80.181015)</f>
        <v>80.181015</v>
      </c>
      <c r="F19042" s="4">
        <f>IFERROR(__xludf.DUMMYFUNCTION("""COMPUTED_VALUE"""),5339.0)</f>
        <v>5339</v>
      </c>
      <c r="G19042" s="4">
        <f>IFERROR(__xludf.DUMMYFUNCTION("""COMPUTED_VALUE"""),42.0)</f>
        <v>42</v>
      </c>
      <c r="H19042" s="4"/>
      <c r="I19042" s="4"/>
    </row>
    <row r="19043">
      <c r="A19043" s="4" t="str">
        <f>IFERROR(__xludf.DUMMYFUNCTION("""COMPUTED_VALUE"""),"cas_hmw")</f>
        <v>cas_hmw</v>
      </c>
      <c r="B19043" s="5">
        <f>IFERROR(__xludf.DUMMYFUNCTION("""COMPUTED_VALUE"""),44776.0)</f>
        <v>44776</v>
      </c>
      <c r="C19043" s="6">
        <f>IFERROR(__xludf.DUMMYFUNCTION("""COMPUTED_VALUE"""),0.7153125000004366)</f>
        <v>0.7153125</v>
      </c>
      <c r="D19043" s="4">
        <f>IFERROR(__xludf.DUMMYFUNCTION("""COMPUTED_VALUE"""),12.991935)</f>
        <v>12.991935</v>
      </c>
      <c r="E19043" s="4">
        <f>IFERROR(__xludf.DUMMYFUNCTION("""COMPUTED_VALUE"""),80.181918)</f>
        <v>80.181918</v>
      </c>
      <c r="F19043" s="4">
        <f>IFERROR(__xludf.DUMMYFUNCTION("""COMPUTED_VALUE"""),5339.0)</f>
        <v>5339</v>
      </c>
      <c r="G19043" s="4">
        <f>IFERROR(__xludf.DUMMYFUNCTION("""COMPUTED_VALUE"""),46.0)</f>
        <v>46</v>
      </c>
      <c r="H19043" s="4"/>
      <c r="I19043" s="4"/>
    </row>
    <row r="19044">
      <c r="A19044" s="4" t="str">
        <f>IFERROR(__xludf.DUMMYFUNCTION("""COMPUTED_VALUE"""),"cas_hmw")</f>
        <v>cas_hmw</v>
      </c>
      <c r="B19044" s="5">
        <f>IFERROR(__xludf.DUMMYFUNCTION("""COMPUTED_VALUE"""),44776.0)</f>
        <v>44776</v>
      </c>
      <c r="C19044" s="6">
        <f>IFERROR(__xludf.DUMMYFUNCTION("""COMPUTED_VALUE"""),0.715891203704814)</f>
        <v>0.7158912037</v>
      </c>
      <c r="D19044" s="4">
        <f>IFERROR(__xludf.DUMMYFUNCTION("""COMPUTED_VALUE"""),12.994035)</f>
        <v>12.994035</v>
      </c>
      <c r="E19044" s="4">
        <f>IFERROR(__xludf.DUMMYFUNCTION("""COMPUTED_VALUE"""),80.185422)</f>
        <v>80.185422</v>
      </c>
      <c r="F19044" s="4">
        <f>IFERROR(__xludf.DUMMYFUNCTION("""COMPUTED_VALUE"""),5339.0)</f>
        <v>5339</v>
      </c>
      <c r="G19044" s="4">
        <f>IFERROR(__xludf.DUMMYFUNCTION("""COMPUTED_VALUE"""),25.0)</f>
        <v>25</v>
      </c>
      <c r="H19044" s="4"/>
      <c r="I19044" s="4"/>
    </row>
    <row r="19045">
      <c r="A19045" s="4" t="str">
        <f>IFERROR(__xludf.DUMMYFUNCTION("""COMPUTED_VALUE"""),"cas_hmw")</f>
        <v>cas_hmw</v>
      </c>
      <c r="B19045" s="5">
        <f>IFERROR(__xludf.DUMMYFUNCTION("""COMPUTED_VALUE"""),44776.0)</f>
        <v>44776</v>
      </c>
      <c r="C19045" s="6">
        <f>IFERROR(__xludf.DUMMYFUNCTION("""COMPUTED_VALUE"""),0.716099537035916)</f>
        <v>0.716099537</v>
      </c>
      <c r="D19045" s="4">
        <f>IFERROR(__xludf.DUMMYFUNCTION("""COMPUTED_VALUE"""),12.994629)</f>
        <v>12.994629</v>
      </c>
      <c r="E19045" s="4">
        <f>IFERROR(__xludf.DUMMYFUNCTION("""COMPUTED_VALUE"""),80.18659)</f>
        <v>80.18659</v>
      </c>
      <c r="F19045" s="4">
        <f>IFERROR(__xludf.DUMMYFUNCTION("""COMPUTED_VALUE"""),5339.0)</f>
        <v>5339</v>
      </c>
      <c r="G19045" s="4">
        <f>IFERROR(__xludf.DUMMYFUNCTION("""COMPUTED_VALUE"""),36.0)</f>
        <v>36</v>
      </c>
      <c r="H19045" s="4"/>
      <c r="I19045" s="4"/>
    </row>
    <row r="19046">
      <c r="A19046" s="4" t="str">
        <f>IFERROR(__xludf.DUMMYFUNCTION("""COMPUTED_VALUE"""),"cas_hmw")</f>
        <v>cas_hmw</v>
      </c>
      <c r="B19046" s="5">
        <f>IFERROR(__xludf.DUMMYFUNCTION("""COMPUTED_VALUE"""),44776.0)</f>
        <v>44776</v>
      </c>
      <c r="C19046" s="6">
        <f>IFERROR(__xludf.DUMMYFUNCTION("""COMPUTED_VALUE"""),0.7167129629633564)</f>
        <v>0.716712963</v>
      </c>
      <c r="D19046" s="4">
        <f>IFERROR(__xludf.DUMMYFUNCTION("""COMPUTED_VALUE"""),12.699975)</f>
        <v>12.699975</v>
      </c>
      <c r="E19046" s="4">
        <f>IFERROR(__xludf.DUMMYFUNCTION("""COMPUTED_VALUE"""),79.968773)</f>
        <v>79.968773</v>
      </c>
      <c r="F19046" s="4">
        <f>IFERROR(__xludf.DUMMYFUNCTION("""COMPUTED_VALUE"""),2846.0)</f>
        <v>2846</v>
      </c>
      <c r="G19046" s="4">
        <f>IFERROR(__xludf.DUMMYFUNCTION("""COMPUTED_VALUE"""),0.0)</f>
        <v>0</v>
      </c>
      <c r="H19046" s="4"/>
      <c r="I19046" s="4"/>
    </row>
    <row r="19047">
      <c r="A19047" s="4" t="str">
        <f>IFERROR(__xludf.DUMMYFUNCTION("""COMPUTED_VALUE"""),"cas_hmw")</f>
        <v>cas_hmw</v>
      </c>
      <c r="B19047" s="5">
        <f>IFERROR(__xludf.DUMMYFUNCTION("""COMPUTED_VALUE"""),44776.0)</f>
        <v>44776</v>
      </c>
      <c r="C19047" s="6">
        <f>IFERROR(__xludf.DUMMYFUNCTION("""COMPUTED_VALUE"""),0.7168634259251121)</f>
        <v>0.7168634259</v>
      </c>
      <c r="D19047" s="4">
        <f>IFERROR(__xludf.DUMMYFUNCTION("""COMPUTED_VALUE"""),13.002057)</f>
        <v>13.002057</v>
      </c>
      <c r="E19047" s="4">
        <f>IFERROR(__xludf.DUMMYFUNCTION("""COMPUTED_VALUE"""),80.197091)</f>
        <v>80.197091</v>
      </c>
      <c r="F19047" s="4">
        <f>IFERROR(__xludf.DUMMYFUNCTION("""COMPUTED_VALUE"""),805.0)</f>
        <v>805</v>
      </c>
      <c r="G19047" s="4">
        <f>IFERROR(__xludf.DUMMYFUNCTION("""COMPUTED_VALUE"""),43.0)</f>
        <v>43</v>
      </c>
      <c r="H19047" s="4"/>
      <c r="I19047" s="4"/>
    </row>
    <row r="19048">
      <c r="A19048" s="4" t="str">
        <f>IFERROR(__xludf.DUMMYFUNCTION("""COMPUTED_VALUE"""),"cas_hmw")</f>
        <v>cas_hmw</v>
      </c>
      <c r="B19048" s="5">
        <f>IFERROR(__xludf.DUMMYFUNCTION("""COMPUTED_VALUE"""),44776.0)</f>
        <v>44776</v>
      </c>
      <c r="C19048" s="6">
        <f>IFERROR(__xludf.DUMMYFUNCTION("""COMPUTED_VALUE"""),0.7172453703715291)</f>
        <v>0.7172453704</v>
      </c>
      <c r="D19048" s="4">
        <f>IFERROR(__xludf.DUMMYFUNCTION("""COMPUTED_VALUE"""),13.002456)</f>
        <v>13.002456</v>
      </c>
      <c r="E19048" s="4">
        <f>IFERROR(__xludf.DUMMYFUNCTION("""COMPUTED_VALUE"""),80.200548)</f>
        <v>80.200548</v>
      </c>
      <c r="F19048" s="4">
        <f>IFERROR(__xludf.DUMMYFUNCTION("""COMPUTED_VALUE"""),805.0)</f>
        <v>805</v>
      </c>
      <c r="G19048" s="4">
        <f>IFERROR(__xludf.DUMMYFUNCTION("""COMPUTED_VALUE"""),45.0)</f>
        <v>45</v>
      </c>
      <c r="H19048" s="4"/>
      <c r="I19048" s="4"/>
    </row>
    <row r="19049">
      <c r="A19049" s="4" t="str">
        <f>IFERROR(__xludf.DUMMYFUNCTION("""COMPUTED_VALUE"""),"cas_hmw")</f>
        <v>cas_hmw</v>
      </c>
      <c r="B19049" s="5">
        <f>IFERROR(__xludf.DUMMYFUNCTION("""COMPUTED_VALUE"""),44776.0)</f>
        <v>44776</v>
      </c>
      <c r="C19049" s="6">
        <f>IFERROR(__xludf.DUMMYFUNCTION("""COMPUTED_VALUE"""),0.7174884259256942)</f>
        <v>0.7174884259</v>
      </c>
      <c r="D19049" s="4">
        <f>IFERROR(__xludf.DUMMYFUNCTION("""COMPUTED_VALUE"""),13.00461)</f>
        <v>13.00461</v>
      </c>
      <c r="E19049" s="4">
        <f>IFERROR(__xludf.DUMMYFUNCTION("""COMPUTED_VALUE"""),80.201166)</f>
        <v>80.201166</v>
      </c>
      <c r="F19049" s="4">
        <f>IFERROR(__xludf.DUMMYFUNCTION("""COMPUTED_VALUE"""),805.0)</f>
        <v>805</v>
      </c>
      <c r="G19049" s="4">
        <f>IFERROR(__xludf.DUMMYFUNCTION("""COMPUTED_VALUE"""),38.0)</f>
        <v>38</v>
      </c>
      <c r="H19049" s="4"/>
      <c r="I19049" s="4"/>
    </row>
    <row r="19050">
      <c r="A19050" s="4" t="str">
        <f>IFERROR(__xludf.DUMMYFUNCTION("""COMPUTED_VALUE"""),"cas_hmw")</f>
        <v>cas_hmw</v>
      </c>
      <c r="B19050" s="5">
        <f>IFERROR(__xludf.DUMMYFUNCTION("""COMPUTED_VALUE"""),44776.0)</f>
        <v>44776</v>
      </c>
      <c r="C19050" s="6">
        <f>IFERROR(__xludf.DUMMYFUNCTION("""COMPUTED_VALUE"""),0.7175810185181035)</f>
        <v>0.7175810185</v>
      </c>
      <c r="D19050" s="4">
        <f>IFERROR(__xludf.DUMMYFUNCTION("""COMPUTED_VALUE"""),12.699975)</f>
        <v>12.699975</v>
      </c>
      <c r="E19050" s="4">
        <f>IFERROR(__xludf.DUMMYFUNCTION("""COMPUTED_VALUE"""),79.968773)</f>
        <v>79.968773</v>
      </c>
      <c r="F19050" s="4">
        <f>IFERROR(__xludf.DUMMYFUNCTION("""COMPUTED_VALUE"""),2846.0)</f>
        <v>2846</v>
      </c>
      <c r="G19050" s="4">
        <f>IFERROR(__xludf.DUMMYFUNCTION("""COMPUTED_VALUE"""),0.0)</f>
        <v>0</v>
      </c>
      <c r="H19050" s="4"/>
      <c r="I19050" s="4"/>
    </row>
    <row r="19051">
      <c r="A19051" s="4" t="str">
        <f>IFERROR(__xludf.DUMMYFUNCTION("""COMPUTED_VALUE"""),"cas_hmw")</f>
        <v>cas_hmw</v>
      </c>
      <c r="B19051" s="5">
        <f>IFERROR(__xludf.DUMMYFUNCTION("""COMPUTED_VALUE"""),44776.0)</f>
        <v>44776</v>
      </c>
      <c r="C19051" s="6">
        <f>IFERROR(__xludf.DUMMYFUNCTION("""COMPUTED_VALUE"""),0.7177546296297805)</f>
        <v>0.7177546296</v>
      </c>
      <c r="D19051" s="4">
        <f>IFERROR(__xludf.DUMMYFUNCTION("""COMPUTED_VALUE"""),13.006717)</f>
        <v>13.006717</v>
      </c>
      <c r="E19051" s="4">
        <f>IFERROR(__xludf.DUMMYFUNCTION("""COMPUTED_VALUE"""),80.203352)</f>
        <v>80.203352</v>
      </c>
      <c r="F19051" s="4">
        <f>IFERROR(__xludf.DUMMYFUNCTION("""COMPUTED_VALUE"""),805.0)</f>
        <v>805</v>
      </c>
      <c r="G19051" s="4">
        <f>IFERROR(__xludf.DUMMYFUNCTION("""COMPUTED_VALUE"""),30.0)</f>
        <v>30</v>
      </c>
      <c r="H19051" s="4"/>
      <c r="I19051" s="4"/>
    </row>
    <row r="19052">
      <c r="A19052" s="4" t="str">
        <f>IFERROR(__xludf.DUMMYFUNCTION("""COMPUTED_VALUE"""),"cas_hmw")</f>
        <v>cas_hmw</v>
      </c>
      <c r="B19052" s="5">
        <f>IFERROR(__xludf.DUMMYFUNCTION("""COMPUTED_VALUE"""),44776.0)</f>
        <v>44776</v>
      </c>
      <c r="C19052" s="6">
        <f>IFERROR(__xludf.DUMMYFUNCTION("""COMPUTED_VALUE"""),0.7178587962953316)</f>
        <v>0.7178587963</v>
      </c>
      <c r="D19052" s="4">
        <f>IFERROR(__xludf.DUMMYFUNCTION("""COMPUTED_VALUE"""),13.006717)</f>
        <v>13.006717</v>
      </c>
      <c r="E19052" s="4">
        <f>IFERROR(__xludf.DUMMYFUNCTION("""COMPUTED_VALUE"""),80.203352)</f>
        <v>80.203352</v>
      </c>
      <c r="F19052" s="4">
        <f>IFERROR(__xludf.DUMMYFUNCTION("""COMPUTED_VALUE"""),805.0)</f>
        <v>805</v>
      </c>
      <c r="G19052" s="4">
        <f>IFERROR(__xludf.DUMMYFUNCTION("""COMPUTED_VALUE"""),30.0)</f>
        <v>30</v>
      </c>
      <c r="H19052" s="4"/>
      <c r="I19052" s="4"/>
    </row>
    <row r="19053">
      <c r="A19053" s="4" t="str">
        <f>IFERROR(__xludf.DUMMYFUNCTION("""COMPUTED_VALUE"""),"cas_hmw")</f>
        <v>cas_hmw</v>
      </c>
      <c r="B19053" s="5">
        <f>IFERROR(__xludf.DUMMYFUNCTION("""COMPUTED_VALUE"""),44776.0)</f>
        <v>44776</v>
      </c>
      <c r="C19053" s="6">
        <f>IFERROR(__xludf.DUMMYFUNCTION("""COMPUTED_VALUE"""),0.7185995370382443)</f>
        <v>0.718599537</v>
      </c>
      <c r="D19053" s="4">
        <f>IFERROR(__xludf.DUMMYFUNCTION("""COMPUTED_VALUE"""),12.696664)</f>
        <v>12.696664</v>
      </c>
      <c r="E19053" s="4">
        <f>IFERROR(__xludf.DUMMYFUNCTION("""COMPUTED_VALUE"""),79.97708)</f>
        <v>79.97708</v>
      </c>
      <c r="F19053" s="4">
        <f>IFERROR(__xludf.DUMMYFUNCTION("""COMPUTED_VALUE"""),2846.0)</f>
        <v>2846</v>
      </c>
      <c r="G19053" s="4">
        <f>IFERROR(__xludf.DUMMYFUNCTION("""COMPUTED_VALUE"""),9.0)</f>
        <v>9</v>
      </c>
      <c r="H19053" s="4"/>
      <c r="I19053" s="4"/>
    </row>
    <row r="19054">
      <c r="A19054" s="4" t="str">
        <f>IFERROR(__xludf.DUMMYFUNCTION("""COMPUTED_VALUE"""),"cas_hmw")</f>
        <v>cas_hmw</v>
      </c>
      <c r="B19054" s="5">
        <f>IFERROR(__xludf.DUMMYFUNCTION("""COMPUTED_VALUE"""),44776.0)</f>
        <v>44776</v>
      </c>
      <c r="C19054" s="6">
        <f>IFERROR(__xludf.DUMMYFUNCTION("""COMPUTED_VALUE"""),0.7192476851851097)</f>
        <v>0.7192476852</v>
      </c>
      <c r="D19054" s="4">
        <f>IFERROR(__xludf.DUMMYFUNCTION("""COMPUTED_VALUE"""),13.009333)</f>
        <v>13.009333</v>
      </c>
      <c r="E19054" s="4">
        <f>IFERROR(__xludf.DUMMYFUNCTION("""COMPUTED_VALUE"""),80.212716)</f>
        <v>80.212716</v>
      </c>
      <c r="F19054" s="4">
        <f>IFERROR(__xludf.DUMMYFUNCTION("""COMPUTED_VALUE"""),805.0)</f>
        <v>805</v>
      </c>
      <c r="G19054" s="4">
        <f>IFERROR(__xludf.DUMMYFUNCTION("""COMPUTED_VALUE"""),35.0)</f>
        <v>35</v>
      </c>
      <c r="H19054" s="4"/>
      <c r="I19054" s="4"/>
    </row>
    <row r="19055">
      <c r="A19055" s="4" t="str">
        <f>IFERROR(__xludf.DUMMYFUNCTION("""COMPUTED_VALUE"""),"cas_hmw")</f>
        <v>cas_hmw</v>
      </c>
      <c r="B19055" s="5">
        <f>IFERROR(__xludf.DUMMYFUNCTION("""COMPUTED_VALUE"""),44776.0)</f>
        <v>44776</v>
      </c>
      <c r="C19055" s="6">
        <f>IFERROR(__xludf.DUMMYFUNCTION("""COMPUTED_VALUE"""),0.7193287037043774)</f>
        <v>0.7193287037</v>
      </c>
      <c r="D19055" s="4">
        <f>IFERROR(__xludf.DUMMYFUNCTION("""COMPUTED_VALUE"""),13.002603)</f>
        <v>13.002603</v>
      </c>
      <c r="E19055" s="4">
        <f>IFERROR(__xludf.DUMMYFUNCTION("""COMPUTED_VALUE"""),80.200587)</f>
        <v>80.200587</v>
      </c>
      <c r="F19055" s="4">
        <f>IFERROR(__xludf.DUMMYFUNCTION("""COMPUTED_VALUE"""),5339.0)</f>
        <v>5339</v>
      </c>
      <c r="G19055" s="4">
        <f>IFERROR(__xludf.DUMMYFUNCTION("""COMPUTED_VALUE"""),40.0)</f>
        <v>40</v>
      </c>
      <c r="H19055" s="4"/>
      <c r="I19055" s="4"/>
    </row>
    <row r="19056">
      <c r="A19056" s="4" t="str">
        <f>IFERROR(__xludf.DUMMYFUNCTION("""COMPUTED_VALUE"""),"cas_hmw")</f>
        <v>cas_hmw</v>
      </c>
      <c r="B19056" s="5">
        <f>IFERROR(__xludf.DUMMYFUNCTION("""COMPUTED_VALUE"""),44776.0)</f>
        <v>44776</v>
      </c>
      <c r="C19056" s="6">
        <f>IFERROR(__xludf.DUMMYFUNCTION("""COMPUTED_VALUE"""),0.7197337962970778)</f>
        <v>0.7197337963</v>
      </c>
      <c r="D19056" s="4">
        <f>IFERROR(__xludf.DUMMYFUNCTION("""COMPUTED_VALUE"""),13.010766)</f>
        <v>13.010766</v>
      </c>
      <c r="E19056" s="4">
        <f>IFERROR(__xludf.DUMMYFUNCTION("""COMPUTED_VALUE"""),80.216848)</f>
        <v>80.216848</v>
      </c>
      <c r="F19056" s="4">
        <f>IFERROR(__xludf.DUMMYFUNCTION("""COMPUTED_VALUE"""),805.0)</f>
        <v>805</v>
      </c>
      <c r="G19056" s="4">
        <f>IFERROR(__xludf.DUMMYFUNCTION("""COMPUTED_VALUE"""),25.0)</f>
        <v>25</v>
      </c>
      <c r="H19056" s="4"/>
      <c r="I19056" s="4"/>
    </row>
    <row r="19057">
      <c r="A19057" s="4" t="str">
        <f>IFERROR(__xludf.DUMMYFUNCTION("""COMPUTED_VALUE"""),"cas_hmw")</f>
        <v>cas_hmw</v>
      </c>
      <c r="B19057" s="5">
        <f>IFERROR(__xludf.DUMMYFUNCTION("""COMPUTED_VALUE"""),44776.0)</f>
        <v>44776</v>
      </c>
      <c r="C19057" s="6">
        <f>IFERROR(__xludf.DUMMYFUNCTION("""COMPUTED_VALUE"""),0.7199884259243845)</f>
        <v>0.7199884259</v>
      </c>
      <c r="D19057" s="4">
        <f>IFERROR(__xludf.DUMMYFUNCTION("""COMPUTED_VALUE"""),13.011471)</f>
        <v>13.011471</v>
      </c>
      <c r="E19057" s="4">
        <f>IFERROR(__xludf.DUMMYFUNCTION("""COMPUTED_VALUE"""),80.218502)</f>
        <v>80.218502</v>
      </c>
      <c r="F19057" s="4">
        <f>IFERROR(__xludf.DUMMYFUNCTION("""COMPUTED_VALUE"""),805.0)</f>
        <v>805</v>
      </c>
      <c r="G19057" s="4">
        <f>IFERROR(__xludf.DUMMYFUNCTION("""COMPUTED_VALUE"""),39.0)</f>
        <v>39</v>
      </c>
      <c r="H19057" s="4"/>
      <c r="I19057" s="4"/>
    </row>
    <row r="19058">
      <c r="A19058" s="4" t="str">
        <f>IFERROR(__xludf.DUMMYFUNCTION("""COMPUTED_VALUE"""),"cas_hmw")</f>
        <v>cas_hmw</v>
      </c>
      <c r="B19058" s="5">
        <f>IFERROR(__xludf.DUMMYFUNCTION("""COMPUTED_VALUE"""),44776.0)</f>
        <v>44776</v>
      </c>
      <c r="C19058" s="6">
        <f>IFERROR(__xludf.DUMMYFUNCTION("""COMPUTED_VALUE"""),0.7221874999995634)</f>
        <v>0.7221875</v>
      </c>
      <c r="D19058" s="4">
        <f>IFERROR(__xludf.DUMMYFUNCTION("""COMPUTED_VALUE"""),13.010738)</f>
        <v>13.010738</v>
      </c>
      <c r="E19058" s="4">
        <f>IFERROR(__xludf.DUMMYFUNCTION("""COMPUTED_VALUE"""),80.227663)</f>
        <v>80.227663</v>
      </c>
      <c r="F19058" s="4">
        <f>IFERROR(__xludf.DUMMYFUNCTION("""COMPUTED_VALUE"""),805.0)</f>
        <v>805</v>
      </c>
      <c r="G19058" s="4">
        <f>IFERROR(__xludf.DUMMYFUNCTION("""COMPUTED_VALUE"""),49.0)</f>
        <v>49</v>
      </c>
      <c r="H19058" s="4"/>
      <c r="I19058" s="4"/>
    </row>
    <row r="19059">
      <c r="A19059" s="4" t="str">
        <f>IFERROR(__xludf.DUMMYFUNCTION("""COMPUTED_VALUE"""),"cas_hmw")</f>
        <v>cas_hmw</v>
      </c>
      <c r="B19059" s="5">
        <f>IFERROR(__xludf.DUMMYFUNCTION("""COMPUTED_VALUE"""),44776.0)</f>
        <v>44776</v>
      </c>
      <c r="C19059" s="6">
        <f>IFERROR(__xludf.DUMMYFUNCTION("""COMPUTED_VALUE"""),0.7223263888881775)</f>
        <v>0.7223263889</v>
      </c>
      <c r="D19059" s="4">
        <f>IFERROR(__xludf.DUMMYFUNCTION("""COMPUTED_VALUE"""),13.010198)</f>
        <v>13.010198</v>
      </c>
      <c r="E19059" s="4">
        <f>IFERROR(__xludf.DUMMYFUNCTION("""COMPUTED_VALUE"""),80.215304)</f>
        <v>80.215304</v>
      </c>
      <c r="F19059" s="4">
        <f>IFERROR(__xludf.DUMMYFUNCTION("""COMPUTED_VALUE"""),5339.0)</f>
        <v>5339</v>
      </c>
      <c r="G19059" s="4">
        <f>IFERROR(__xludf.DUMMYFUNCTION("""COMPUTED_VALUE"""),27.0)</f>
        <v>27</v>
      </c>
      <c r="H19059" s="4"/>
      <c r="I19059" s="4"/>
    </row>
    <row r="19060">
      <c r="A19060" s="4" t="str">
        <f>IFERROR(__xludf.DUMMYFUNCTION("""COMPUTED_VALUE"""),"cas_hmw")</f>
        <v>cas_hmw</v>
      </c>
      <c r="B19060" s="5">
        <f>IFERROR(__xludf.DUMMYFUNCTION("""COMPUTED_VALUE"""),44776.0)</f>
        <v>44776</v>
      </c>
      <c r="C19060" s="6">
        <f>IFERROR(__xludf.DUMMYFUNCTION("""COMPUTED_VALUE"""),0.7223958333343035)</f>
        <v>0.7223958333</v>
      </c>
      <c r="D19060" s="4">
        <f>IFERROR(__xludf.DUMMYFUNCTION("""COMPUTED_VALUE"""),13.009052)</f>
        <v>13.009052</v>
      </c>
      <c r="E19060" s="4">
        <f>IFERROR(__xludf.DUMMYFUNCTION("""COMPUTED_VALUE"""),80.22889)</f>
        <v>80.22889</v>
      </c>
      <c r="F19060" s="4">
        <f>IFERROR(__xludf.DUMMYFUNCTION("""COMPUTED_VALUE"""),805.0)</f>
        <v>805</v>
      </c>
      <c r="G19060" s="4">
        <f>IFERROR(__xludf.DUMMYFUNCTION("""COMPUTED_VALUE"""),44.0)</f>
        <v>44</v>
      </c>
      <c r="H19060" s="4"/>
      <c r="I19060" s="4"/>
    </row>
    <row r="19061">
      <c r="A19061" s="4" t="str">
        <f>IFERROR(__xludf.DUMMYFUNCTION("""COMPUTED_VALUE"""),"cas_hmw")</f>
        <v>cas_hmw</v>
      </c>
      <c r="B19061" s="5">
        <f>IFERROR(__xludf.DUMMYFUNCTION("""COMPUTED_VALUE"""),44776.0)</f>
        <v>44776</v>
      </c>
      <c r="C19061" s="6">
        <f>IFERROR(__xludf.DUMMYFUNCTION("""COMPUTED_VALUE"""),0.7244791666671517)</f>
        <v>0.7244791667</v>
      </c>
      <c r="D19061" s="4">
        <f>IFERROR(__xludf.DUMMYFUNCTION("""COMPUTED_VALUE"""),13.006662)</f>
        <v>13.006662</v>
      </c>
      <c r="E19061" s="4">
        <f>IFERROR(__xludf.DUMMYFUNCTION("""COMPUTED_VALUE"""),80.242317)</f>
        <v>80.242317</v>
      </c>
      <c r="F19061" s="4">
        <f>IFERROR(__xludf.DUMMYFUNCTION("""COMPUTED_VALUE"""),805.0)</f>
        <v>805</v>
      </c>
      <c r="G19061" s="4">
        <f>IFERROR(__xludf.DUMMYFUNCTION("""COMPUTED_VALUE"""),30.0)</f>
        <v>30</v>
      </c>
      <c r="H19061" s="4"/>
      <c r="I19061" s="4"/>
    </row>
    <row r="19062">
      <c r="A19062" s="4" t="str">
        <f>IFERROR(__xludf.DUMMYFUNCTION("""COMPUTED_VALUE"""),"cas_hmw")</f>
        <v>cas_hmw</v>
      </c>
      <c r="B19062" s="5">
        <f>IFERROR(__xludf.DUMMYFUNCTION("""COMPUTED_VALUE"""),44776.0)</f>
        <v>44776</v>
      </c>
      <c r="C19062" s="6">
        <f>IFERROR(__xludf.DUMMYFUNCTION("""COMPUTED_VALUE"""),0.7247106481481751)</f>
        <v>0.7247106481</v>
      </c>
      <c r="D19062" s="4">
        <f>IFERROR(__xludf.DUMMYFUNCTION("""COMPUTED_VALUE"""),13.016129)</f>
        <v>13.016129</v>
      </c>
      <c r="E19062" s="4">
        <f>IFERROR(__xludf.DUMMYFUNCTION("""COMPUTED_VALUE"""),80.225384)</f>
        <v>80.225384</v>
      </c>
      <c r="F19062" s="4">
        <f>IFERROR(__xludf.DUMMYFUNCTION("""COMPUTED_VALUE"""),5339.0)</f>
        <v>5339</v>
      </c>
      <c r="G19062" s="4">
        <f>IFERROR(__xludf.DUMMYFUNCTION("""COMPUTED_VALUE"""),0.0)</f>
        <v>0</v>
      </c>
      <c r="H19062" s="4"/>
      <c r="I19062" s="4"/>
    </row>
    <row r="19063">
      <c r="A19063" s="4" t="str">
        <f>IFERROR(__xludf.DUMMYFUNCTION("""COMPUTED_VALUE"""),"cas_hmw")</f>
        <v>cas_hmw</v>
      </c>
      <c r="B19063" s="5">
        <f>IFERROR(__xludf.DUMMYFUNCTION("""COMPUTED_VALUE"""),44776.0)</f>
        <v>44776</v>
      </c>
      <c r="C19063" s="6">
        <f>IFERROR(__xludf.DUMMYFUNCTION("""COMPUTED_VALUE"""),0.7257870370376622)</f>
        <v>0.725787037</v>
      </c>
      <c r="D19063" s="4">
        <f>IFERROR(__xludf.DUMMYFUNCTION("""COMPUTED_VALUE"""),12.986638)</f>
        <v>12.986638</v>
      </c>
      <c r="E19063" s="4">
        <f>IFERROR(__xludf.DUMMYFUNCTION("""COMPUTED_VALUE"""),80.142079)</f>
        <v>80.142079</v>
      </c>
      <c r="F19063" s="4">
        <f>IFERROR(__xludf.DUMMYFUNCTION("""COMPUTED_VALUE"""),3143.0)</f>
        <v>3143</v>
      </c>
      <c r="G19063" s="4">
        <f>IFERROR(__xludf.DUMMYFUNCTION("""COMPUTED_VALUE"""),16.0)</f>
        <v>16</v>
      </c>
      <c r="H19063" s="4"/>
      <c r="I19063" s="4"/>
    </row>
    <row r="19064">
      <c r="A19064" s="4" t="str">
        <f>IFERROR(__xludf.DUMMYFUNCTION("""COMPUTED_VALUE"""),"cas_hmw")</f>
        <v>cas_hmw</v>
      </c>
      <c r="B19064" s="5">
        <f>IFERROR(__xludf.DUMMYFUNCTION("""COMPUTED_VALUE"""),44776.0)</f>
        <v>44776</v>
      </c>
      <c r="C19064" s="6">
        <f>IFERROR(__xludf.DUMMYFUNCTION("""COMPUTED_VALUE"""),0.7262384259265673)</f>
        <v>0.7262384259</v>
      </c>
      <c r="D19064" s="4">
        <f>IFERROR(__xludf.DUMMYFUNCTION("""COMPUTED_VALUE"""),13.00675)</f>
        <v>13.00675</v>
      </c>
      <c r="E19064" s="4">
        <f>IFERROR(__xludf.DUMMYFUNCTION("""COMPUTED_VALUE"""),80.248266)</f>
        <v>80.248266</v>
      </c>
      <c r="F19064" s="4">
        <f>IFERROR(__xludf.DUMMYFUNCTION("""COMPUTED_VALUE"""),805.0)</f>
        <v>805</v>
      </c>
      <c r="G19064" s="4">
        <f>IFERROR(__xludf.DUMMYFUNCTION("""COMPUTED_VALUE"""),26.0)</f>
        <v>26</v>
      </c>
      <c r="H19064" s="4"/>
      <c r="I19064" s="4"/>
    </row>
    <row r="19065">
      <c r="A19065" s="4" t="str">
        <f>IFERROR(__xludf.DUMMYFUNCTION("""COMPUTED_VALUE"""),"cas_hmw")</f>
        <v>cas_hmw</v>
      </c>
      <c r="B19065" s="5">
        <f>IFERROR(__xludf.DUMMYFUNCTION("""COMPUTED_VALUE"""),44776.0)</f>
        <v>44776</v>
      </c>
      <c r="C19065" s="6">
        <f>IFERROR(__xludf.DUMMYFUNCTION("""COMPUTED_VALUE"""),0.7275925925932825)</f>
        <v>0.7275925926</v>
      </c>
      <c r="D19065" s="4">
        <f>IFERROR(__xludf.DUMMYFUNCTION("""COMPUTED_VALUE"""),13.006572)</f>
        <v>13.006572</v>
      </c>
      <c r="E19065" s="4">
        <f>IFERROR(__xludf.DUMMYFUNCTION("""COMPUTED_VALUE"""),80.254456)</f>
        <v>80.254456</v>
      </c>
      <c r="F19065" s="4">
        <f>IFERROR(__xludf.DUMMYFUNCTION("""COMPUTED_VALUE"""),805.0)</f>
        <v>805</v>
      </c>
      <c r="G19065" s="4">
        <f>IFERROR(__xludf.DUMMYFUNCTION("""COMPUTED_VALUE"""),41.0)</f>
        <v>41</v>
      </c>
      <c r="H19065" s="4"/>
      <c r="I19065" s="4"/>
    </row>
    <row r="19066">
      <c r="A19066" s="4" t="str">
        <f>IFERROR(__xludf.DUMMYFUNCTION("""COMPUTED_VALUE"""),"cas_hmw")</f>
        <v>cas_hmw</v>
      </c>
      <c r="B19066" s="5">
        <f>IFERROR(__xludf.DUMMYFUNCTION("""COMPUTED_VALUE"""),44776.0)</f>
        <v>44776</v>
      </c>
      <c r="C19066" s="6">
        <f>IFERROR(__xludf.DUMMYFUNCTION("""COMPUTED_VALUE"""),0.7277777777781012)</f>
        <v>0.7277777778</v>
      </c>
      <c r="D19066" s="4">
        <f>IFERROR(__xludf.DUMMYFUNCTION("""COMPUTED_VALUE"""),13.006617)</f>
        <v>13.006617</v>
      </c>
      <c r="E19066" s="4">
        <f>IFERROR(__xludf.DUMMYFUNCTION("""COMPUTED_VALUE"""),80.255506)</f>
        <v>80.255506</v>
      </c>
      <c r="F19066" s="4">
        <f>IFERROR(__xludf.DUMMYFUNCTION("""COMPUTED_VALUE"""),805.0)</f>
        <v>805</v>
      </c>
      <c r="G19066" s="4">
        <f>IFERROR(__xludf.DUMMYFUNCTION("""COMPUTED_VALUE"""),40.0)</f>
        <v>40</v>
      </c>
      <c r="H19066" s="4"/>
      <c r="I19066" s="4"/>
    </row>
    <row r="19067">
      <c r="A19067" s="4" t="str">
        <f>IFERROR(__xludf.DUMMYFUNCTION("""COMPUTED_VALUE"""),"cas_hmw")</f>
        <v>cas_hmw</v>
      </c>
      <c r="B19067" s="5">
        <f>IFERROR(__xludf.DUMMYFUNCTION("""COMPUTED_VALUE"""),44776.0)</f>
        <v>44776</v>
      </c>
      <c r="C19067" s="6">
        <f>IFERROR(__xludf.DUMMYFUNCTION("""COMPUTED_VALUE"""),0.7280902777783922)</f>
        <v>0.7280902778</v>
      </c>
      <c r="D19067" s="4">
        <f>IFERROR(__xludf.DUMMYFUNCTION("""COMPUTED_VALUE"""),13.026606)</f>
        <v>13.026606</v>
      </c>
      <c r="E19067" s="4">
        <f>IFERROR(__xludf.DUMMYFUNCTION("""COMPUTED_VALUE"""),80.232993)</f>
        <v>80.232993</v>
      </c>
      <c r="F19067" s="4">
        <f>IFERROR(__xludf.DUMMYFUNCTION("""COMPUTED_VALUE"""),5339.0)</f>
        <v>5339</v>
      </c>
      <c r="G19067" s="4">
        <f>IFERROR(__xludf.DUMMYFUNCTION("""COMPUTED_VALUE"""),26.0)</f>
        <v>26</v>
      </c>
      <c r="H19067" s="4"/>
      <c r="I19067" s="4"/>
    </row>
    <row r="19068">
      <c r="A19068" s="4" t="str">
        <f>IFERROR(__xludf.DUMMYFUNCTION("""COMPUTED_VALUE"""),"cas_hmw")</f>
        <v>cas_hmw</v>
      </c>
      <c r="B19068" s="5">
        <f>IFERROR(__xludf.DUMMYFUNCTION("""COMPUTED_VALUE"""),44776.0)</f>
        <v>44776</v>
      </c>
      <c r="C19068" s="6">
        <f>IFERROR(__xludf.DUMMYFUNCTION("""COMPUTED_VALUE"""),0.7281018518515339)</f>
        <v>0.7281018519</v>
      </c>
      <c r="D19068" s="4">
        <f>IFERROR(__xludf.DUMMYFUNCTION("""COMPUTED_VALUE"""),13.026606)</f>
        <v>13.026606</v>
      </c>
      <c r="E19068" s="4">
        <f>IFERROR(__xludf.DUMMYFUNCTION("""COMPUTED_VALUE"""),80.232993)</f>
        <v>80.232993</v>
      </c>
      <c r="F19068" s="4">
        <f>IFERROR(__xludf.DUMMYFUNCTION("""COMPUTED_VALUE"""),5339.0)</f>
        <v>5339</v>
      </c>
      <c r="G19068" s="4">
        <f>IFERROR(__xludf.DUMMYFUNCTION("""COMPUTED_VALUE"""),26.0)</f>
        <v>26</v>
      </c>
      <c r="H19068" s="4"/>
      <c r="I19068" s="4"/>
    </row>
    <row r="19069">
      <c r="A19069" s="4" t="str">
        <f>IFERROR(__xludf.DUMMYFUNCTION("""COMPUTED_VALUE"""),"cas_hmw")</f>
        <v>cas_hmw</v>
      </c>
      <c r="B19069" s="5">
        <f>IFERROR(__xludf.DUMMYFUNCTION("""COMPUTED_VALUE"""),44776.0)</f>
        <v>44776</v>
      </c>
      <c r="C19069" s="6">
        <f>IFERROR(__xludf.DUMMYFUNCTION("""COMPUTED_VALUE"""),0.7294328703719657)</f>
        <v>0.7294328704</v>
      </c>
      <c r="D19069" s="4">
        <f>IFERROR(__xludf.DUMMYFUNCTION("""COMPUTED_VALUE"""),13.006774)</f>
        <v>13.006774</v>
      </c>
      <c r="E19069" s="4">
        <f>IFERROR(__xludf.DUMMYFUNCTION("""COMPUTED_VALUE"""),80.257461)</f>
        <v>80.257461</v>
      </c>
      <c r="F19069" s="4">
        <f>IFERROR(__xludf.DUMMYFUNCTION("""COMPUTED_VALUE"""),805.0)</f>
        <v>805</v>
      </c>
      <c r="G19069" s="4">
        <f>IFERROR(__xludf.DUMMYFUNCTION("""COMPUTED_VALUE"""),14.0)</f>
        <v>14</v>
      </c>
      <c r="H19069" s="4"/>
      <c r="I19069" s="4"/>
    </row>
    <row r="19070">
      <c r="A19070" s="4" t="str">
        <f>IFERROR(__xludf.DUMMYFUNCTION("""COMPUTED_VALUE"""),"cas_hmw")</f>
        <v>cas_hmw</v>
      </c>
      <c r="B19070" s="5">
        <f>IFERROR(__xludf.DUMMYFUNCTION("""COMPUTED_VALUE"""),44776.0)</f>
        <v>44776</v>
      </c>
      <c r="C19070" s="6">
        <f>IFERROR(__xludf.DUMMYFUNCTION("""COMPUTED_VALUE"""),0.7294444444451074)</f>
        <v>0.7294444444</v>
      </c>
      <c r="D19070" s="4">
        <f>IFERROR(__xludf.DUMMYFUNCTION("""COMPUTED_VALUE"""),13.00694)</f>
        <v>13.00694</v>
      </c>
      <c r="E19070" s="4">
        <f>IFERROR(__xludf.DUMMYFUNCTION("""COMPUTED_VALUE"""),80.257943)</f>
        <v>80.257943</v>
      </c>
      <c r="F19070" s="4">
        <f>IFERROR(__xludf.DUMMYFUNCTION("""COMPUTED_VALUE"""),805.0)</f>
        <v>805</v>
      </c>
      <c r="G19070" s="4">
        <f>IFERROR(__xludf.DUMMYFUNCTION("""COMPUTED_VALUE"""),25.0)</f>
        <v>25</v>
      </c>
      <c r="H19070" s="4"/>
      <c r="I19070" s="4"/>
    </row>
    <row r="19071">
      <c r="A19071" s="4" t="str">
        <f>IFERROR(__xludf.DUMMYFUNCTION("""COMPUTED_VALUE"""),"cas_hmw")</f>
        <v>cas_hmw</v>
      </c>
      <c r="B19071" s="5">
        <f>IFERROR(__xludf.DUMMYFUNCTION("""COMPUTED_VALUE"""),44776.0)</f>
        <v>44776</v>
      </c>
      <c r="C19071" s="6">
        <f>IFERROR(__xludf.DUMMYFUNCTION("""COMPUTED_VALUE"""),0.729490740741312)</f>
        <v>0.7294907407</v>
      </c>
      <c r="D19071" s="4">
        <f>IFERROR(__xludf.DUMMYFUNCTION("""COMPUTED_VALUE"""),13.00694)</f>
        <v>13.00694</v>
      </c>
      <c r="E19071" s="4">
        <f>IFERROR(__xludf.DUMMYFUNCTION("""COMPUTED_VALUE"""),80.257943)</f>
        <v>80.257943</v>
      </c>
      <c r="F19071" s="4">
        <f>IFERROR(__xludf.DUMMYFUNCTION("""COMPUTED_VALUE"""),805.0)</f>
        <v>805</v>
      </c>
      <c r="G19071" s="4">
        <f>IFERROR(__xludf.DUMMYFUNCTION("""COMPUTED_VALUE"""),25.0)</f>
        <v>25</v>
      </c>
      <c r="H19071" s="4"/>
      <c r="I19071" s="4"/>
    </row>
    <row r="19072">
      <c r="A19072" s="4" t="str">
        <f>IFERROR(__xludf.DUMMYFUNCTION("""COMPUTED_VALUE"""),"cas_hmw")</f>
        <v>cas_hmw</v>
      </c>
      <c r="B19072" s="5">
        <f>IFERROR(__xludf.DUMMYFUNCTION("""COMPUTED_VALUE"""),44776.0)</f>
        <v>44776</v>
      </c>
      <c r="C19072" s="6">
        <f>IFERROR(__xludf.DUMMYFUNCTION("""COMPUTED_VALUE"""),0.729490740741312)</f>
        <v>0.7294907407</v>
      </c>
      <c r="D19072" s="4">
        <f>IFERROR(__xludf.DUMMYFUNCTION("""COMPUTED_VALUE"""),13.00694)</f>
        <v>13.00694</v>
      </c>
      <c r="E19072" s="4">
        <f>IFERROR(__xludf.DUMMYFUNCTION("""COMPUTED_VALUE"""),80.257943)</f>
        <v>80.257943</v>
      </c>
      <c r="F19072" s="4">
        <f>IFERROR(__xludf.DUMMYFUNCTION("""COMPUTED_VALUE"""),805.0)</f>
        <v>805</v>
      </c>
      <c r="G19072" s="4">
        <f>IFERROR(__xludf.DUMMYFUNCTION("""COMPUTED_VALUE"""),25.0)</f>
        <v>25</v>
      </c>
      <c r="H19072" s="4"/>
      <c r="I19072" s="4"/>
    </row>
    <row r="19073">
      <c r="A19073" s="4" t="str">
        <f>IFERROR(__xludf.DUMMYFUNCTION("""COMPUTED_VALUE"""),"cas_hmw")</f>
        <v>cas_hmw</v>
      </c>
      <c r="B19073" s="5">
        <f>IFERROR(__xludf.DUMMYFUNCTION("""COMPUTED_VALUE"""),44776.0)</f>
        <v>44776</v>
      </c>
      <c r="C19073" s="6">
        <f>IFERROR(__xludf.DUMMYFUNCTION("""COMPUTED_VALUE"""),0.7309259259272949)</f>
        <v>0.7309259259</v>
      </c>
      <c r="D19073" s="4">
        <f>IFERROR(__xludf.DUMMYFUNCTION("""COMPUTED_VALUE"""),13.032205)</f>
        <v>13.032205</v>
      </c>
      <c r="E19073" s="4">
        <f>IFERROR(__xludf.DUMMYFUNCTION("""COMPUTED_VALUE"""),80.241997)</f>
        <v>80.241997</v>
      </c>
      <c r="F19073" s="4">
        <f>IFERROR(__xludf.DUMMYFUNCTION("""COMPUTED_VALUE"""),5339.0)</f>
        <v>5339</v>
      </c>
      <c r="G19073" s="4">
        <f>IFERROR(__xludf.DUMMYFUNCTION("""COMPUTED_VALUE"""),23.0)</f>
        <v>23</v>
      </c>
      <c r="H19073" s="4"/>
      <c r="I19073" s="4"/>
    </row>
    <row r="19074">
      <c r="A19074" s="4" t="str">
        <f>IFERROR(__xludf.DUMMYFUNCTION("""COMPUTED_VALUE"""),"cas_hmw")</f>
        <v>cas_hmw</v>
      </c>
      <c r="B19074" s="5">
        <f>IFERROR(__xludf.DUMMYFUNCTION("""COMPUTED_VALUE"""),44776.0)</f>
        <v>44776</v>
      </c>
      <c r="C19074" s="6">
        <f>IFERROR(__xludf.DUMMYFUNCTION("""COMPUTED_VALUE"""),0.7311111111121136)</f>
        <v>0.7311111111</v>
      </c>
      <c r="D19074" s="4">
        <f>IFERROR(__xludf.DUMMYFUNCTION("""COMPUTED_VALUE"""),13.032776)</f>
        <v>13.032776</v>
      </c>
      <c r="E19074" s="4">
        <f>IFERROR(__xludf.DUMMYFUNCTION("""COMPUTED_VALUE"""),80.242928)</f>
        <v>80.242928</v>
      </c>
      <c r="F19074" s="4">
        <f>IFERROR(__xludf.DUMMYFUNCTION("""COMPUTED_VALUE"""),5339.0)</f>
        <v>5339</v>
      </c>
      <c r="G19074" s="4">
        <f>IFERROR(__xludf.DUMMYFUNCTION("""COMPUTED_VALUE"""),33.0)</f>
        <v>33</v>
      </c>
      <c r="H19074" s="4"/>
      <c r="I19074" s="4"/>
    </row>
    <row r="19075">
      <c r="A19075" s="4" t="str">
        <f>IFERROR(__xludf.DUMMYFUNCTION("""COMPUTED_VALUE"""),"cas_hmw")</f>
        <v>cas_hmw</v>
      </c>
      <c r="B19075" s="5">
        <f>IFERROR(__xludf.DUMMYFUNCTION("""COMPUTED_VALUE"""),44776.0)</f>
        <v>44776</v>
      </c>
      <c r="C19075" s="6">
        <f>IFERROR(__xludf.DUMMYFUNCTION("""COMPUTED_VALUE"""),0.7326041666674428)</f>
        <v>0.7326041667</v>
      </c>
      <c r="D19075" s="4">
        <f>IFERROR(__xludf.DUMMYFUNCTION("""COMPUTED_VALUE"""),12.977131)</f>
        <v>12.977131</v>
      </c>
      <c r="E19075" s="4">
        <f>IFERROR(__xludf.DUMMYFUNCTION("""COMPUTED_VALUE"""),80.131628)</f>
        <v>80.131628</v>
      </c>
      <c r="F19075" s="4">
        <f>IFERROR(__xludf.DUMMYFUNCTION("""COMPUTED_VALUE"""),3143.0)</f>
        <v>3143</v>
      </c>
      <c r="G19075" s="4">
        <f>IFERROR(__xludf.DUMMYFUNCTION("""COMPUTED_VALUE"""),25.0)</f>
        <v>25</v>
      </c>
      <c r="H19075" s="4"/>
      <c r="I19075" s="4"/>
    </row>
    <row r="19076">
      <c r="A19076" s="4" t="str">
        <f>IFERROR(__xludf.DUMMYFUNCTION("""COMPUTED_VALUE"""),"cas_hmw")</f>
        <v>cas_hmw</v>
      </c>
      <c r="B19076" s="5">
        <f>IFERROR(__xludf.DUMMYFUNCTION("""COMPUTED_VALUE"""),44776.0)</f>
        <v>44776</v>
      </c>
      <c r="C19076" s="6">
        <f>IFERROR(__xludf.DUMMYFUNCTION("""COMPUTED_VALUE"""),0.7335416666683159)</f>
        <v>0.7335416667</v>
      </c>
      <c r="D19076" s="4">
        <f>IFERROR(__xludf.DUMMYFUNCTION("""COMPUTED_VALUE"""),12.644744)</f>
        <v>12.644744</v>
      </c>
      <c r="E19076" s="4">
        <f>IFERROR(__xludf.DUMMYFUNCTION("""COMPUTED_VALUE"""),79.939305)</f>
        <v>79.939305</v>
      </c>
      <c r="F19076" s="4">
        <f>IFERROR(__xludf.DUMMYFUNCTION("""COMPUTED_VALUE"""),2846.0)</f>
        <v>2846</v>
      </c>
      <c r="G19076" s="4">
        <f>IFERROR(__xludf.DUMMYFUNCTION("""COMPUTED_VALUE"""),58.0)</f>
        <v>58</v>
      </c>
      <c r="H19076" s="4"/>
      <c r="I19076" s="4"/>
    </row>
    <row r="19077">
      <c r="A19077" s="4" t="str">
        <f>IFERROR(__xludf.DUMMYFUNCTION("""COMPUTED_VALUE"""),"cas_hmw")</f>
        <v>cas_hmw</v>
      </c>
      <c r="B19077" s="5">
        <f>IFERROR(__xludf.DUMMYFUNCTION("""COMPUTED_VALUE"""),44776.0)</f>
        <v>44776</v>
      </c>
      <c r="C19077" s="6">
        <f>IFERROR(__xludf.DUMMYFUNCTION("""COMPUTED_VALUE"""),0.7346990740734327)</f>
        <v>0.7346990741</v>
      </c>
      <c r="D19077" s="4">
        <f>IFERROR(__xludf.DUMMYFUNCTION("""COMPUTED_VALUE"""),13.042526)</f>
        <v>13.042526</v>
      </c>
      <c r="E19077" s="4">
        <f>IFERROR(__xludf.DUMMYFUNCTION("""COMPUTED_VALUE"""),80.247535)</f>
        <v>80.247535</v>
      </c>
      <c r="F19077" s="4">
        <f>IFERROR(__xludf.DUMMYFUNCTION("""COMPUTED_VALUE"""),5339.0)</f>
        <v>5339</v>
      </c>
      <c r="G19077" s="4">
        <f>IFERROR(__xludf.DUMMYFUNCTION("""COMPUTED_VALUE"""),20.0)</f>
        <v>20</v>
      </c>
      <c r="H19077" s="4"/>
      <c r="I19077" s="4"/>
    </row>
    <row r="19078">
      <c r="A19078" s="4" t="str">
        <f>IFERROR(__xludf.DUMMYFUNCTION("""COMPUTED_VALUE"""),"cas_hmw")</f>
        <v>cas_hmw</v>
      </c>
      <c r="B19078" s="5">
        <f>IFERROR(__xludf.DUMMYFUNCTION("""COMPUTED_VALUE"""),44776.0)</f>
        <v>44776</v>
      </c>
      <c r="C19078" s="6">
        <f>IFERROR(__xludf.DUMMYFUNCTION("""COMPUTED_VALUE"""),0.7357754629629198)</f>
        <v>0.735775463</v>
      </c>
      <c r="D19078" s="4">
        <f>IFERROR(__xludf.DUMMYFUNCTION("""COMPUTED_VALUE"""),13.047834)</f>
        <v>13.047834</v>
      </c>
      <c r="E19078" s="4">
        <f>IFERROR(__xludf.DUMMYFUNCTION("""COMPUTED_VALUE"""),80.249044)</f>
        <v>80.249044</v>
      </c>
      <c r="F19078" s="4">
        <f>IFERROR(__xludf.DUMMYFUNCTION("""COMPUTED_VALUE"""),5339.0)</f>
        <v>5339</v>
      </c>
      <c r="G19078" s="4">
        <f>IFERROR(__xludf.DUMMYFUNCTION("""COMPUTED_VALUE"""),37.0)</f>
        <v>37</v>
      </c>
      <c r="H19078" s="4"/>
      <c r="I19078" s="4"/>
    </row>
    <row r="19079">
      <c r="A19079" s="4" t="str">
        <f>IFERROR(__xludf.DUMMYFUNCTION("""COMPUTED_VALUE"""),"cas_hmw")</f>
        <v>cas_hmw</v>
      </c>
      <c r="B19079" s="5">
        <f>IFERROR(__xludf.DUMMYFUNCTION("""COMPUTED_VALUE"""),44776.0)</f>
        <v>44776</v>
      </c>
      <c r="C19079" s="6">
        <f>IFERROR(__xludf.DUMMYFUNCTION("""COMPUTED_VALUE"""),0.7360763888900692)</f>
        <v>0.7360763889</v>
      </c>
      <c r="D19079" s="4">
        <f>IFERROR(__xludf.DUMMYFUNCTION("""COMPUTED_VALUE"""),13.051869)</f>
        <v>13.051869</v>
      </c>
      <c r="E19079" s="4">
        <f>IFERROR(__xludf.DUMMYFUNCTION("""COMPUTED_VALUE"""),80.250491)</f>
        <v>80.250491</v>
      </c>
      <c r="F19079" s="4">
        <f>IFERROR(__xludf.DUMMYFUNCTION("""COMPUTED_VALUE"""),5339.0)</f>
        <v>5339</v>
      </c>
      <c r="G19079" s="4">
        <f>IFERROR(__xludf.DUMMYFUNCTION("""COMPUTED_VALUE"""),35.0)</f>
        <v>35</v>
      </c>
      <c r="H19079" s="4"/>
      <c r="I19079" s="4"/>
    </row>
    <row r="19080">
      <c r="A19080" s="4" t="str">
        <f>IFERROR(__xludf.DUMMYFUNCTION("""COMPUTED_VALUE"""),"cas_hmw")</f>
        <v>cas_hmw</v>
      </c>
      <c r="B19080" s="5">
        <f>IFERROR(__xludf.DUMMYFUNCTION("""COMPUTED_VALUE"""),44776.0)</f>
        <v>44776</v>
      </c>
      <c r="C19080" s="6">
        <f>IFERROR(__xludf.DUMMYFUNCTION("""COMPUTED_VALUE"""),0.7362500000017462)</f>
        <v>0.73625</v>
      </c>
      <c r="D19080" s="4">
        <f>IFERROR(__xludf.DUMMYFUNCTION("""COMPUTED_VALUE"""),13.052439)</f>
        <v>13.052439</v>
      </c>
      <c r="E19080" s="4">
        <f>IFERROR(__xludf.DUMMYFUNCTION("""COMPUTED_VALUE"""),80.25113)</f>
        <v>80.25113</v>
      </c>
      <c r="F19080" s="4">
        <f>IFERROR(__xludf.DUMMYFUNCTION("""COMPUTED_VALUE"""),5339.0)</f>
        <v>5339</v>
      </c>
      <c r="G19080" s="4">
        <f>IFERROR(__xludf.DUMMYFUNCTION("""COMPUTED_VALUE"""),33.0)</f>
        <v>33</v>
      </c>
      <c r="H19080" s="4"/>
      <c r="I19080" s="4"/>
    </row>
    <row r="19081">
      <c r="A19081" s="4" t="str">
        <f>IFERROR(__xludf.DUMMYFUNCTION("""COMPUTED_VALUE"""),"cas_hmw")</f>
        <v>cas_hmw</v>
      </c>
      <c r="B19081" s="5">
        <f>IFERROR(__xludf.DUMMYFUNCTION("""COMPUTED_VALUE"""),44776.0)</f>
        <v>44776</v>
      </c>
      <c r="C19081" s="6">
        <f>IFERROR(__xludf.DUMMYFUNCTION("""COMPUTED_VALUE"""),0.7362962962979509)</f>
        <v>0.7362962963</v>
      </c>
      <c r="D19081" s="4">
        <f>IFERROR(__xludf.DUMMYFUNCTION("""COMPUTED_VALUE"""),13.053077)</f>
        <v>13.053077</v>
      </c>
      <c r="E19081" s="4">
        <f>IFERROR(__xludf.DUMMYFUNCTION("""COMPUTED_VALUE"""),80.25198)</f>
        <v>80.25198</v>
      </c>
      <c r="F19081" s="4">
        <f>IFERROR(__xludf.DUMMYFUNCTION("""COMPUTED_VALUE"""),5339.0)</f>
        <v>5339</v>
      </c>
      <c r="G19081" s="4">
        <f>IFERROR(__xludf.DUMMYFUNCTION("""COMPUTED_VALUE"""),41.0)</f>
        <v>41</v>
      </c>
      <c r="H19081" s="4"/>
      <c r="I19081" s="4"/>
    </row>
    <row r="19082">
      <c r="A19082" s="4" t="str">
        <f>IFERROR(__xludf.DUMMYFUNCTION("""COMPUTED_VALUE"""),"cas_hmw")</f>
        <v>cas_hmw</v>
      </c>
      <c r="B19082" s="5">
        <f>IFERROR(__xludf.DUMMYFUNCTION("""COMPUTED_VALUE"""),44776.0)</f>
        <v>44776</v>
      </c>
      <c r="C19082" s="6">
        <f>IFERROR(__xludf.DUMMYFUNCTION("""COMPUTED_VALUE"""),0.7364699074059899)</f>
        <v>0.7364699074</v>
      </c>
      <c r="D19082" s="4">
        <f>IFERROR(__xludf.DUMMYFUNCTION("""COMPUTED_VALUE"""),12.60258)</f>
        <v>12.60258</v>
      </c>
      <c r="E19082" s="4">
        <f>IFERROR(__xludf.DUMMYFUNCTION("""COMPUTED_VALUE"""),79.920273)</f>
        <v>79.920273</v>
      </c>
      <c r="F19082" s="4">
        <f>IFERROR(__xludf.DUMMYFUNCTION("""COMPUTED_VALUE"""),2846.0)</f>
        <v>2846</v>
      </c>
      <c r="G19082" s="4">
        <f>IFERROR(__xludf.DUMMYFUNCTION("""COMPUTED_VALUE"""),58.0)</f>
        <v>58</v>
      </c>
      <c r="H19082" s="4"/>
      <c r="I19082" s="4"/>
    </row>
    <row r="19083">
      <c r="A19083" s="4" t="str">
        <f>IFERROR(__xludf.DUMMYFUNCTION("""COMPUTED_VALUE"""),"cas_hmw")</f>
        <v>cas_hmw</v>
      </c>
      <c r="B19083" s="5">
        <f>IFERROR(__xludf.DUMMYFUNCTION("""COMPUTED_VALUE"""),44776.0)</f>
        <v>44776</v>
      </c>
      <c r="C19083" s="6">
        <f>IFERROR(__xludf.DUMMYFUNCTION("""COMPUTED_VALUE"""),0.7365509259252576)</f>
        <v>0.7365509259</v>
      </c>
      <c r="D19083" s="4">
        <f>IFERROR(__xludf.DUMMYFUNCTION("""COMPUTED_VALUE"""),12.98526)</f>
        <v>12.98526</v>
      </c>
      <c r="E19083" s="4">
        <f>IFERROR(__xludf.DUMMYFUNCTION("""COMPUTED_VALUE"""),80.120964)</f>
        <v>80.120964</v>
      </c>
      <c r="F19083" s="4">
        <f>IFERROR(__xludf.DUMMYFUNCTION("""COMPUTED_VALUE"""),3143.0)</f>
        <v>3143</v>
      </c>
      <c r="G19083" s="4">
        <f>IFERROR(__xludf.DUMMYFUNCTION("""COMPUTED_VALUE"""),23.0)</f>
        <v>23</v>
      </c>
      <c r="H19083" s="4"/>
      <c r="I19083" s="4"/>
    </row>
    <row r="19084">
      <c r="A19084" s="4" t="str">
        <f>IFERROR(__xludf.DUMMYFUNCTION("""COMPUTED_VALUE"""),"cas_hmw")</f>
        <v>cas_hmw</v>
      </c>
      <c r="B19084" s="5">
        <f>IFERROR(__xludf.DUMMYFUNCTION("""COMPUTED_VALUE"""),44776.0)</f>
        <v>44776</v>
      </c>
      <c r="C19084" s="6">
        <f>IFERROR(__xludf.DUMMYFUNCTION("""COMPUTED_VALUE"""),0.7376967592608707)</f>
        <v>0.7376967593</v>
      </c>
      <c r="D19084" s="4">
        <f>IFERROR(__xludf.DUMMYFUNCTION("""COMPUTED_VALUE"""),13.033938)</f>
        <v>13.033938</v>
      </c>
      <c r="E19084" s="4">
        <f>IFERROR(__xludf.DUMMYFUNCTION("""COMPUTED_VALUE"""),80.267864)</f>
        <v>80.267864</v>
      </c>
      <c r="F19084" s="4">
        <f>IFERROR(__xludf.DUMMYFUNCTION("""COMPUTED_VALUE"""),805.0)</f>
        <v>805</v>
      </c>
      <c r="G19084" s="4">
        <f>IFERROR(__xludf.DUMMYFUNCTION("""COMPUTED_VALUE"""),19.0)</f>
        <v>19</v>
      </c>
      <c r="H19084" s="4"/>
      <c r="I19084" s="4"/>
    </row>
    <row r="19085">
      <c r="A19085" s="4" t="str">
        <f>IFERROR(__xludf.DUMMYFUNCTION("""COMPUTED_VALUE"""),"cas_hmw")</f>
        <v>cas_hmw</v>
      </c>
      <c r="B19085" s="5">
        <f>IFERROR(__xludf.DUMMYFUNCTION("""COMPUTED_VALUE"""),44776.0)</f>
        <v>44776</v>
      </c>
      <c r="C19085" s="6">
        <f>IFERROR(__xludf.DUMMYFUNCTION("""COMPUTED_VALUE"""),0.7377546296302171)</f>
        <v>0.7377546296</v>
      </c>
      <c r="D19085" s="4">
        <f>IFERROR(__xludf.DUMMYFUNCTION("""COMPUTED_VALUE"""),12.990083)</f>
        <v>12.990083</v>
      </c>
      <c r="E19085" s="4">
        <f>IFERROR(__xludf.DUMMYFUNCTION("""COMPUTED_VALUE"""),80.116651)</f>
        <v>80.116651</v>
      </c>
      <c r="F19085" s="4">
        <f>IFERROR(__xludf.DUMMYFUNCTION("""COMPUTED_VALUE"""),3143.0)</f>
        <v>3143</v>
      </c>
      <c r="G19085" s="4">
        <f>IFERROR(__xludf.DUMMYFUNCTION("""COMPUTED_VALUE"""),26.0)</f>
        <v>26</v>
      </c>
      <c r="H19085" s="4"/>
      <c r="I19085" s="4"/>
    </row>
    <row r="19086">
      <c r="A19086" s="4" t="str">
        <f>IFERROR(__xludf.DUMMYFUNCTION("""COMPUTED_VALUE"""),"cas_hmw")</f>
        <v>cas_hmw</v>
      </c>
      <c r="B19086" s="5">
        <f>IFERROR(__xludf.DUMMYFUNCTION("""COMPUTED_VALUE"""),44776.0)</f>
        <v>44776</v>
      </c>
      <c r="C19086" s="6">
        <f>IFERROR(__xludf.DUMMYFUNCTION("""COMPUTED_VALUE"""),0.7377777777765004)</f>
        <v>0.7377777778</v>
      </c>
      <c r="D19086" s="4">
        <f>IFERROR(__xludf.DUMMYFUNCTION("""COMPUTED_VALUE"""),12.990587)</f>
        <v>12.990587</v>
      </c>
      <c r="E19086" s="4">
        <f>IFERROR(__xludf.DUMMYFUNCTION("""COMPUTED_VALUE"""),80.116257)</f>
        <v>80.116257</v>
      </c>
      <c r="F19086" s="4">
        <f>IFERROR(__xludf.DUMMYFUNCTION("""COMPUTED_VALUE"""),3143.0)</f>
        <v>3143</v>
      </c>
      <c r="G19086" s="4">
        <f>IFERROR(__xludf.DUMMYFUNCTION("""COMPUTED_VALUE"""),27.0)</f>
        <v>27</v>
      </c>
      <c r="H19086" s="4"/>
      <c r="I19086" s="4"/>
    </row>
    <row r="19087">
      <c r="A19087" s="4" t="str">
        <f>IFERROR(__xludf.DUMMYFUNCTION("""COMPUTED_VALUE"""),"cas_hmw")</f>
        <v>cas_hmw</v>
      </c>
      <c r="B19087" s="5">
        <f>IFERROR(__xludf.DUMMYFUNCTION("""COMPUTED_VALUE"""),44776.0)</f>
        <v>44776</v>
      </c>
      <c r="C19087" s="6">
        <f>IFERROR(__xludf.DUMMYFUNCTION("""COMPUTED_VALUE"""),0.7379166666651145)</f>
        <v>0.7379166667</v>
      </c>
      <c r="D19087" s="4">
        <f>IFERROR(__xludf.DUMMYFUNCTION("""COMPUTED_VALUE"""),12.991123)</f>
        <v>12.991123</v>
      </c>
      <c r="E19087" s="4">
        <f>IFERROR(__xludf.DUMMYFUNCTION("""COMPUTED_VALUE"""),80.115733)</f>
        <v>80.115733</v>
      </c>
      <c r="F19087" s="4">
        <f>IFERROR(__xludf.DUMMYFUNCTION("""COMPUTED_VALUE"""),3143.0)</f>
        <v>3143</v>
      </c>
      <c r="G19087" s="4">
        <f>IFERROR(__xludf.DUMMYFUNCTION("""COMPUTED_VALUE"""),30.0)</f>
        <v>30</v>
      </c>
      <c r="H19087" s="4"/>
      <c r="I19087" s="4"/>
    </row>
    <row r="19088">
      <c r="A19088" s="4" t="str">
        <f>IFERROR(__xludf.DUMMYFUNCTION("""COMPUTED_VALUE"""),"cas_hmw")</f>
        <v>cas_hmw</v>
      </c>
      <c r="B19088" s="5">
        <f>IFERROR(__xludf.DUMMYFUNCTION("""COMPUTED_VALUE"""),44776.0)</f>
        <v>44776</v>
      </c>
      <c r="C19088" s="6">
        <f>IFERROR(__xludf.DUMMYFUNCTION("""COMPUTED_VALUE"""),0.7400115740747424)</f>
        <v>0.7400115741</v>
      </c>
      <c r="D19088" s="4">
        <f>IFERROR(__xludf.DUMMYFUNCTION("""COMPUTED_VALUE"""),12.997559)</f>
        <v>12.997559</v>
      </c>
      <c r="E19088" s="4">
        <f>IFERROR(__xludf.DUMMYFUNCTION("""COMPUTED_VALUE"""),80.105382)</f>
        <v>80.105382</v>
      </c>
      <c r="F19088" s="4">
        <f>IFERROR(__xludf.DUMMYFUNCTION("""COMPUTED_VALUE"""),3143.0)</f>
        <v>3143</v>
      </c>
      <c r="G19088" s="4">
        <f>IFERROR(__xludf.DUMMYFUNCTION("""COMPUTED_VALUE"""),41.0)</f>
        <v>41</v>
      </c>
      <c r="H19088" s="4"/>
      <c r="I19088" s="4"/>
    </row>
    <row r="19089">
      <c r="A19089" s="4" t="str">
        <f>IFERROR(__xludf.DUMMYFUNCTION("""COMPUTED_VALUE"""),"cas_hmw")</f>
        <v>cas_hmw</v>
      </c>
      <c r="B19089" s="5">
        <f>IFERROR(__xludf.DUMMYFUNCTION("""COMPUTED_VALUE"""),44776.0)</f>
        <v>44776</v>
      </c>
      <c r="C19089" s="6">
        <f>IFERROR(__xludf.DUMMYFUNCTION("""COMPUTED_VALUE"""),0.7408912037026312)</f>
        <v>0.7408912037</v>
      </c>
      <c r="D19089" s="4">
        <f>IFERROR(__xludf.DUMMYFUNCTION("""COMPUTED_VALUE"""),13.040738)</f>
        <v>13.040738</v>
      </c>
      <c r="E19089" s="4">
        <f>IFERROR(__xludf.DUMMYFUNCTION("""COMPUTED_VALUE"""),80.268119)</f>
        <v>80.268119</v>
      </c>
      <c r="F19089" s="4">
        <f>IFERROR(__xludf.DUMMYFUNCTION("""COMPUTED_VALUE"""),805.0)</f>
        <v>805</v>
      </c>
      <c r="G19089" s="4">
        <f>IFERROR(__xludf.DUMMYFUNCTION("""COMPUTED_VALUE"""),25.0)</f>
        <v>25</v>
      </c>
      <c r="H19089" s="4"/>
      <c r="I19089" s="4"/>
    </row>
    <row r="19090">
      <c r="A19090" s="4" t="str">
        <f>IFERROR(__xludf.DUMMYFUNCTION("""COMPUTED_VALUE"""),"cas_hmw")</f>
        <v>cas_hmw</v>
      </c>
      <c r="B19090" s="5">
        <f>IFERROR(__xludf.DUMMYFUNCTION("""COMPUTED_VALUE"""),44776.0)</f>
        <v>44776</v>
      </c>
      <c r="C19090" s="6">
        <f>IFERROR(__xludf.DUMMYFUNCTION("""COMPUTED_VALUE"""),0.7409143518525525)</f>
        <v>0.7409143519</v>
      </c>
      <c r="D19090" s="4">
        <f>IFERROR(__xludf.DUMMYFUNCTION("""COMPUTED_VALUE"""),13.041533)</f>
        <v>13.041533</v>
      </c>
      <c r="E19090" s="4">
        <f>IFERROR(__xludf.DUMMYFUNCTION("""COMPUTED_VALUE"""),80.268204)</f>
        <v>80.268204</v>
      </c>
      <c r="F19090" s="4">
        <f>IFERROR(__xludf.DUMMYFUNCTION("""COMPUTED_VALUE"""),805.0)</f>
        <v>805</v>
      </c>
      <c r="G19090" s="4">
        <f>IFERROR(__xludf.DUMMYFUNCTION("""COMPUTED_VALUE"""),37.0)</f>
        <v>37</v>
      </c>
      <c r="H19090" s="4"/>
      <c r="I19090" s="4"/>
    </row>
    <row r="19091">
      <c r="A19091" s="4" t="str">
        <f>IFERROR(__xludf.DUMMYFUNCTION("""COMPUTED_VALUE"""),"cas_hmw")</f>
        <v>cas_hmw</v>
      </c>
      <c r="B19091" s="5">
        <f>IFERROR(__xludf.DUMMYFUNCTION("""COMPUTED_VALUE"""),44776.0)</f>
        <v>44776</v>
      </c>
      <c r="C19091" s="6">
        <f>IFERROR(__xludf.DUMMYFUNCTION("""COMPUTED_VALUE"""),0.7409837962950405)</f>
        <v>0.7409837963</v>
      </c>
      <c r="D19091" s="4">
        <f>IFERROR(__xludf.DUMMYFUNCTION("""COMPUTED_VALUE"""),13.041533)</f>
        <v>13.041533</v>
      </c>
      <c r="E19091" s="4">
        <f>IFERROR(__xludf.DUMMYFUNCTION("""COMPUTED_VALUE"""),80.268204)</f>
        <v>80.268204</v>
      </c>
      <c r="F19091" s="4">
        <f>IFERROR(__xludf.DUMMYFUNCTION("""COMPUTED_VALUE"""),805.0)</f>
        <v>805</v>
      </c>
      <c r="G19091" s="4">
        <f>IFERROR(__xludf.DUMMYFUNCTION("""COMPUTED_VALUE"""),37.0)</f>
        <v>37</v>
      </c>
      <c r="H19091" s="4"/>
      <c r="I19091" s="4"/>
    </row>
    <row r="19092">
      <c r="A19092" s="4" t="str">
        <f>IFERROR(__xludf.DUMMYFUNCTION("""COMPUTED_VALUE"""),"cas_hmw")</f>
        <v>cas_hmw</v>
      </c>
      <c r="B19092" s="5">
        <f>IFERROR(__xludf.DUMMYFUNCTION("""COMPUTED_VALUE"""),44776.0)</f>
        <v>44776</v>
      </c>
      <c r="C19092" s="6">
        <f>IFERROR(__xludf.DUMMYFUNCTION("""COMPUTED_VALUE"""),0.7414004629645206)</f>
        <v>0.741400463</v>
      </c>
      <c r="D19092" s="4">
        <f>IFERROR(__xludf.DUMMYFUNCTION("""COMPUTED_VALUE"""),13.044354)</f>
        <v>13.044354</v>
      </c>
      <c r="E19092" s="4">
        <f>IFERROR(__xludf.DUMMYFUNCTION("""COMPUTED_VALUE"""),80.266934)</f>
        <v>80.266934</v>
      </c>
      <c r="F19092" s="4">
        <f>IFERROR(__xludf.DUMMYFUNCTION("""COMPUTED_VALUE"""),805.0)</f>
        <v>805</v>
      </c>
      <c r="G19092" s="4">
        <f>IFERROR(__xludf.DUMMYFUNCTION("""COMPUTED_VALUE"""),29.0)</f>
        <v>29</v>
      </c>
      <c r="H19092" s="4"/>
      <c r="I19092" s="4"/>
    </row>
    <row r="19093">
      <c r="A19093" s="4" t="str">
        <f>IFERROR(__xludf.DUMMYFUNCTION("""COMPUTED_VALUE"""),"cas_hmw")</f>
        <v>cas_hmw</v>
      </c>
      <c r="B19093" s="5">
        <f>IFERROR(__xludf.DUMMYFUNCTION("""COMPUTED_VALUE"""),44776.0)</f>
        <v>44776</v>
      </c>
      <c r="C19093" s="6">
        <f>IFERROR(__xludf.DUMMYFUNCTION("""COMPUTED_VALUE"""),0.7448958333334303)</f>
        <v>0.7448958333</v>
      </c>
      <c r="D19093" s="4">
        <f>IFERROR(__xludf.DUMMYFUNCTION("""COMPUTED_VALUE"""),13.05667)</f>
        <v>13.05667</v>
      </c>
      <c r="E19093" s="4">
        <f>IFERROR(__xludf.DUMMYFUNCTION("""COMPUTED_VALUE"""),80.26458)</f>
        <v>80.26458</v>
      </c>
      <c r="F19093" s="4">
        <f>IFERROR(__xludf.DUMMYFUNCTION("""COMPUTED_VALUE"""),805.0)</f>
        <v>805</v>
      </c>
      <c r="G19093" s="4">
        <f>IFERROR(__xludf.DUMMYFUNCTION("""COMPUTED_VALUE"""),21.0)</f>
        <v>21</v>
      </c>
      <c r="H19093" s="4"/>
      <c r="I19093" s="4"/>
    </row>
    <row r="19094">
      <c r="A19094" s="4" t="str">
        <f>IFERROR(__xludf.DUMMYFUNCTION("""COMPUTED_VALUE"""),"cas_hmw")</f>
        <v>cas_hmw</v>
      </c>
      <c r="B19094" s="5">
        <f>IFERROR(__xludf.DUMMYFUNCTION("""COMPUTED_VALUE"""),44776.0)</f>
        <v>44776</v>
      </c>
      <c r="C19094" s="6">
        <f>IFERROR(__xludf.DUMMYFUNCTION("""COMPUTED_VALUE"""),0.7533101851840911)</f>
        <v>0.7533101852</v>
      </c>
      <c r="D19094" s="4">
        <f>IFERROR(__xludf.DUMMYFUNCTION("""COMPUTED_VALUE"""),13.069402)</f>
        <v>13.069402</v>
      </c>
      <c r="E19094" s="4">
        <f>IFERROR(__xludf.DUMMYFUNCTION("""COMPUTED_VALUE"""),80.256849)</f>
        <v>80.256849</v>
      </c>
      <c r="F19094" s="4">
        <f>IFERROR(__xludf.DUMMYFUNCTION("""COMPUTED_VALUE"""),5339.0)</f>
        <v>5339</v>
      </c>
      <c r="G19094" s="4">
        <f>IFERROR(__xludf.DUMMYFUNCTION("""COMPUTED_VALUE"""),25.0)</f>
        <v>25</v>
      </c>
      <c r="H19094" s="4"/>
      <c r="I19094" s="4"/>
    </row>
    <row r="19095">
      <c r="A19095" s="4" t="str">
        <f>IFERROR(__xludf.DUMMYFUNCTION("""COMPUTED_VALUE"""),"cas_hmw")</f>
        <v>cas_hmw</v>
      </c>
      <c r="B19095" s="5">
        <f>IFERROR(__xludf.DUMMYFUNCTION("""COMPUTED_VALUE"""),44776.0)</f>
        <v>44776</v>
      </c>
      <c r="C19095" s="6">
        <f>IFERROR(__xludf.DUMMYFUNCTION("""COMPUTED_VALUE"""),0.7533217592608707)</f>
        <v>0.7533217593</v>
      </c>
      <c r="D19095" s="4">
        <f>IFERROR(__xludf.DUMMYFUNCTION("""COMPUTED_VALUE"""),13.070032)</f>
        <v>13.070032</v>
      </c>
      <c r="E19095" s="4">
        <f>IFERROR(__xludf.DUMMYFUNCTION("""COMPUTED_VALUE"""),80.257502)</f>
        <v>80.257502</v>
      </c>
      <c r="F19095" s="4">
        <f>IFERROR(__xludf.DUMMYFUNCTION("""COMPUTED_VALUE"""),5339.0)</f>
        <v>5339</v>
      </c>
      <c r="G19095" s="4">
        <f>IFERROR(__xludf.DUMMYFUNCTION("""COMPUTED_VALUE"""),43.0)</f>
        <v>43</v>
      </c>
      <c r="H19095" s="4"/>
      <c r="I19095" s="4"/>
    </row>
    <row r="19096">
      <c r="A19096" s="4" t="str">
        <f>IFERROR(__xludf.DUMMYFUNCTION("""COMPUTED_VALUE"""),"cas_hmw")</f>
        <v>cas_hmw</v>
      </c>
      <c r="B19096" s="5">
        <f>IFERROR(__xludf.DUMMYFUNCTION("""COMPUTED_VALUE"""),44776.0)</f>
        <v>44776</v>
      </c>
      <c r="C19096" s="6">
        <f>IFERROR(__xludf.DUMMYFUNCTION("""COMPUTED_VALUE"""),0.7544097222234996)</f>
        <v>0.7544097222</v>
      </c>
      <c r="D19096" s="4">
        <f>IFERROR(__xludf.DUMMYFUNCTION("""COMPUTED_VALUE"""),13.068199)</f>
        <v>13.068199</v>
      </c>
      <c r="E19096" s="4">
        <f>IFERROR(__xludf.DUMMYFUNCTION("""COMPUTED_VALUE"""),80.252852)</f>
        <v>80.252852</v>
      </c>
      <c r="F19096" s="4">
        <f>IFERROR(__xludf.DUMMYFUNCTION("""COMPUTED_VALUE"""),805.0)</f>
        <v>805</v>
      </c>
      <c r="G19096" s="4">
        <f>IFERROR(__xludf.DUMMYFUNCTION("""COMPUTED_VALUE"""),30.0)</f>
        <v>30</v>
      </c>
      <c r="H19096" s="4"/>
      <c r="I19096" s="4"/>
    </row>
    <row r="19097">
      <c r="A19097" s="4" t="str">
        <f>IFERROR(__xludf.DUMMYFUNCTION("""COMPUTED_VALUE"""),"cas_hmw")</f>
        <v>cas_hmw</v>
      </c>
      <c r="B19097" s="5">
        <f>IFERROR(__xludf.DUMMYFUNCTION("""COMPUTED_VALUE"""),44776.0)</f>
        <v>44776</v>
      </c>
      <c r="C19097" s="6">
        <f>IFERROR(__xludf.DUMMYFUNCTION("""COMPUTED_VALUE"""),0.7544444444429246)</f>
        <v>0.7544444444</v>
      </c>
      <c r="D19097" s="4">
        <f>IFERROR(__xludf.DUMMYFUNCTION("""COMPUTED_VALUE"""),13.068199)</f>
        <v>13.068199</v>
      </c>
      <c r="E19097" s="4">
        <f>IFERROR(__xludf.DUMMYFUNCTION("""COMPUTED_VALUE"""),80.252852)</f>
        <v>80.252852</v>
      </c>
      <c r="F19097" s="4">
        <f>IFERROR(__xludf.DUMMYFUNCTION("""COMPUTED_VALUE"""),805.0)</f>
        <v>805</v>
      </c>
      <c r="G19097" s="4">
        <f>IFERROR(__xludf.DUMMYFUNCTION("""COMPUTED_VALUE"""),30.0)</f>
        <v>30</v>
      </c>
      <c r="H19097" s="4"/>
      <c r="I19097" s="4"/>
    </row>
    <row r="19098">
      <c r="A19098" s="4" t="str">
        <f>IFERROR(__xludf.DUMMYFUNCTION("""COMPUTED_VALUE"""),"cas_hmw")</f>
        <v>cas_hmw</v>
      </c>
      <c r="B19098" s="5">
        <f>IFERROR(__xludf.DUMMYFUNCTION("""COMPUTED_VALUE"""),44776.0)</f>
        <v>44776</v>
      </c>
      <c r="C19098" s="6">
        <f>IFERROR(__xludf.DUMMYFUNCTION("""COMPUTED_VALUE"""),0.7546875000007276)</f>
        <v>0.7546875</v>
      </c>
      <c r="D19098" s="4">
        <f>IFERROR(__xludf.DUMMYFUNCTION("""COMPUTED_VALUE"""),13.067392)</f>
        <v>13.067392</v>
      </c>
      <c r="E19098" s="4">
        <f>IFERROR(__xludf.DUMMYFUNCTION("""COMPUTED_VALUE"""),80.252064)</f>
        <v>80.252064</v>
      </c>
      <c r="F19098" s="4">
        <f>IFERROR(__xludf.DUMMYFUNCTION("""COMPUTED_VALUE"""),805.0)</f>
        <v>805</v>
      </c>
      <c r="G19098" s="4">
        <f>IFERROR(__xludf.DUMMYFUNCTION("""COMPUTED_VALUE"""),25.0)</f>
        <v>25</v>
      </c>
      <c r="H19098" s="4"/>
      <c r="I19098" s="4"/>
    </row>
    <row r="19099">
      <c r="A19099" s="4" t="str">
        <f>IFERROR(__xludf.DUMMYFUNCTION("""COMPUTED_VALUE"""),"cas_hmw")</f>
        <v>cas_hmw</v>
      </c>
      <c r="B19099" s="5">
        <f>IFERROR(__xludf.DUMMYFUNCTION("""COMPUTED_VALUE"""),44776.0)</f>
        <v>44776</v>
      </c>
      <c r="C19099" s="6">
        <f>IFERROR(__xludf.DUMMYFUNCTION("""COMPUTED_VALUE"""),0.7548032407394203)</f>
        <v>0.7548032407</v>
      </c>
      <c r="D19099" s="4">
        <f>IFERROR(__xludf.DUMMYFUNCTION("""COMPUTED_VALUE"""),13.067779)</f>
        <v>13.067779</v>
      </c>
      <c r="E19099" s="4">
        <f>IFERROR(__xludf.DUMMYFUNCTION("""COMPUTED_VALUE"""),80.253303)</f>
        <v>80.253303</v>
      </c>
      <c r="F19099" s="4">
        <f>IFERROR(__xludf.DUMMYFUNCTION("""COMPUTED_VALUE"""),5339.0)</f>
        <v>5339</v>
      </c>
      <c r="G19099" s="4">
        <f>IFERROR(__xludf.DUMMYFUNCTION("""COMPUTED_VALUE"""),38.0)</f>
        <v>38</v>
      </c>
      <c r="H19099" s="4"/>
      <c r="I19099" s="4"/>
    </row>
    <row r="19100">
      <c r="A19100" s="4" t="str">
        <f>IFERROR(__xludf.DUMMYFUNCTION("""COMPUTED_VALUE"""),"cas_hmw")</f>
        <v>cas_hmw</v>
      </c>
      <c r="B19100" s="5">
        <f>IFERROR(__xludf.DUMMYFUNCTION("""COMPUTED_VALUE"""),44776.0)</f>
        <v>44776</v>
      </c>
      <c r="C19100" s="6">
        <f>IFERROR(__xludf.DUMMYFUNCTION("""COMPUTED_VALUE"""),0.755092592593428)</f>
        <v>0.7550925926</v>
      </c>
      <c r="D19100" s="4">
        <f>IFERROR(__xludf.DUMMYFUNCTION("""COMPUTED_VALUE"""),13.0479)</f>
        <v>13.0479</v>
      </c>
      <c r="E19100" s="4">
        <f>IFERROR(__xludf.DUMMYFUNCTION("""COMPUTED_VALUE"""),80.120304)</f>
        <v>80.120304</v>
      </c>
      <c r="F19100" s="4">
        <f>IFERROR(__xludf.DUMMYFUNCTION("""COMPUTED_VALUE"""),3143.0)</f>
        <v>3143</v>
      </c>
      <c r="G19100" s="4">
        <f>IFERROR(__xludf.DUMMYFUNCTION("""COMPUTED_VALUE"""),47.0)</f>
        <v>47</v>
      </c>
      <c r="H19100" s="4"/>
      <c r="I19100" s="4"/>
    </row>
    <row r="19101">
      <c r="A19101" s="4" t="str">
        <f>IFERROR(__xludf.DUMMYFUNCTION("""COMPUTED_VALUE"""),"cas_hmw")</f>
        <v>cas_hmw</v>
      </c>
      <c r="B19101" s="5">
        <f>IFERROR(__xludf.DUMMYFUNCTION("""COMPUTED_VALUE"""),44776.0)</f>
        <v>44776</v>
      </c>
      <c r="C19101" s="6">
        <f>IFERROR(__xludf.DUMMYFUNCTION("""COMPUTED_VALUE"""),0.7552777777782467)</f>
        <v>0.7552777778</v>
      </c>
      <c r="D19101" s="4">
        <f>IFERROR(__xludf.DUMMYFUNCTION("""COMPUTED_VALUE"""),13.06763)</f>
        <v>13.06763</v>
      </c>
      <c r="E19101" s="4">
        <f>IFERROR(__xludf.DUMMYFUNCTION("""COMPUTED_VALUE"""),80.249232)</f>
        <v>80.249232</v>
      </c>
      <c r="F19101" s="4">
        <f>IFERROR(__xludf.DUMMYFUNCTION("""COMPUTED_VALUE"""),805.0)</f>
        <v>805</v>
      </c>
      <c r="G19101" s="4">
        <f>IFERROR(__xludf.DUMMYFUNCTION("""COMPUTED_VALUE"""),20.0)</f>
        <v>20</v>
      </c>
      <c r="H19101" s="4"/>
      <c r="I19101" s="4"/>
    </row>
    <row r="19102">
      <c r="A19102" s="4" t="str">
        <f>IFERROR(__xludf.DUMMYFUNCTION("""COMPUTED_VALUE"""),"cas_hmw")</f>
        <v>cas_hmw</v>
      </c>
      <c r="B19102" s="5">
        <f>IFERROR(__xludf.DUMMYFUNCTION("""COMPUTED_VALUE"""),44776.0)</f>
        <v>44776</v>
      </c>
      <c r="C19102" s="6">
        <f>IFERROR(__xludf.DUMMYFUNCTION("""COMPUTED_VALUE"""),0.7553125000013097)</f>
        <v>0.7553125</v>
      </c>
      <c r="D19102" s="4">
        <f>IFERROR(__xludf.DUMMYFUNCTION("""COMPUTED_VALUE"""),13.050077)</f>
        <v>13.050077</v>
      </c>
      <c r="E19102" s="4">
        <f>IFERROR(__xludf.DUMMYFUNCTION("""COMPUTED_VALUE"""),80.12162)</f>
        <v>80.12162</v>
      </c>
      <c r="F19102" s="4">
        <f>IFERROR(__xludf.DUMMYFUNCTION("""COMPUTED_VALUE"""),3143.0)</f>
        <v>3143</v>
      </c>
      <c r="G19102" s="4">
        <f>IFERROR(__xludf.DUMMYFUNCTION("""COMPUTED_VALUE"""),45.0)</f>
        <v>45</v>
      </c>
      <c r="H19102" s="4"/>
      <c r="I19102" s="4"/>
    </row>
    <row r="19103">
      <c r="A19103" s="4" t="str">
        <f>IFERROR(__xludf.DUMMYFUNCTION("""COMPUTED_VALUE"""),"cas_hmw")</f>
        <v>cas_hmw</v>
      </c>
      <c r="B19103" s="5">
        <f>IFERROR(__xludf.DUMMYFUNCTION("""COMPUTED_VALUE"""),44776.0)</f>
        <v>44776</v>
      </c>
      <c r="C19103" s="6">
        <f>IFERROR(__xludf.DUMMYFUNCTION("""COMPUTED_VALUE"""),0.7614814814805868)</f>
        <v>0.7614814815</v>
      </c>
      <c r="D19103" s="4">
        <f>IFERROR(__xludf.DUMMYFUNCTION("""COMPUTED_VALUE"""),13.037968)</f>
        <v>13.037968</v>
      </c>
      <c r="E19103" s="4">
        <f>IFERROR(__xludf.DUMMYFUNCTION("""COMPUTED_VALUE"""),80.087676)</f>
        <v>80.087676</v>
      </c>
      <c r="F19103" s="4">
        <f>IFERROR(__xludf.DUMMYFUNCTION("""COMPUTED_VALUE"""),3143.0)</f>
        <v>3143</v>
      </c>
      <c r="G19103" s="4">
        <f>IFERROR(__xludf.DUMMYFUNCTION("""COMPUTED_VALUE"""),43.0)</f>
        <v>43</v>
      </c>
      <c r="H19103" s="4"/>
      <c r="I19103" s="4"/>
    </row>
    <row r="19104">
      <c r="A19104" s="4" t="str">
        <f>IFERROR(__xludf.DUMMYFUNCTION("""COMPUTED_VALUE"""),"cas_hmw")</f>
        <v>cas_hmw</v>
      </c>
      <c r="B19104" s="5">
        <f>IFERROR(__xludf.DUMMYFUNCTION("""COMPUTED_VALUE"""),44776.0)</f>
        <v>44776</v>
      </c>
      <c r="C19104" s="6">
        <f>IFERROR(__xludf.DUMMYFUNCTION("""COMPUTED_VALUE"""),0.7688541666684614)</f>
        <v>0.7688541667</v>
      </c>
      <c r="D19104" s="4">
        <f>IFERROR(__xludf.DUMMYFUNCTION("""COMPUTED_VALUE"""),12.99523)</f>
        <v>12.99523</v>
      </c>
      <c r="E19104" s="4">
        <f>IFERROR(__xludf.DUMMYFUNCTION("""COMPUTED_VALUE"""),80.087685)</f>
        <v>80.087685</v>
      </c>
      <c r="F19104" s="4">
        <f>IFERROR(__xludf.DUMMYFUNCTION("""COMPUTED_VALUE"""),3143.0)</f>
        <v>3143</v>
      </c>
      <c r="G19104" s="4">
        <f>IFERROR(__xludf.DUMMYFUNCTION("""COMPUTED_VALUE"""),54.0)</f>
        <v>54</v>
      </c>
      <c r="H19104" s="4"/>
      <c r="I19104" s="4"/>
    </row>
    <row r="19105">
      <c r="A19105" s="4" t="str">
        <f>IFERROR(__xludf.DUMMYFUNCTION("""COMPUTED_VALUE"""),"cas_hmw")</f>
        <v>cas_hmw</v>
      </c>
      <c r="B19105" s="5">
        <f>IFERROR(__xludf.DUMMYFUNCTION("""COMPUTED_VALUE"""),44776.0)</f>
        <v>44776</v>
      </c>
      <c r="C19105" s="6">
        <f>IFERROR(__xludf.DUMMYFUNCTION("""COMPUTED_VALUE"""),0.7747222222205892)</f>
        <v>0.7747222222</v>
      </c>
      <c r="D19105" s="4">
        <f>IFERROR(__xludf.DUMMYFUNCTION("""COMPUTED_VALUE"""),12.930224)</f>
        <v>12.930224</v>
      </c>
      <c r="E19105" s="4">
        <f>IFERROR(__xludf.DUMMYFUNCTION("""COMPUTED_VALUE"""),80.080118)</f>
        <v>80.080118</v>
      </c>
      <c r="F19105" s="4">
        <f>IFERROR(__xludf.DUMMYFUNCTION("""COMPUTED_VALUE"""),3143.0)</f>
        <v>3143</v>
      </c>
      <c r="G19105" s="4">
        <f>IFERROR(__xludf.DUMMYFUNCTION("""COMPUTED_VALUE"""),0.0)</f>
        <v>0</v>
      </c>
      <c r="H19105" s="4"/>
      <c r="I19105" s="4"/>
    </row>
    <row r="19106">
      <c r="A19106" s="4" t="str">
        <f>IFERROR(__xludf.DUMMYFUNCTION("""COMPUTED_VALUE"""),"cas_hmw")</f>
        <v>cas_hmw</v>
      </c>
      <c r="B19106" s="5">
        <f>IFERROR(__xludf.DUMMYFUNCTION("""COMPUTED_VALUE"""),44776.0)</f>
        <v>44776</v>
      </c>
      <c r="C19106" s="6">
        <f>IFERROR(__xludf.DUMMYFUNCTION("""COMPUTED_VALUE"""),0.7749884259246755)</f>
        <v>0.7749884259</v>
      </c>
      <c r="D19106" s="4">
        <f>IFERROR(__xludf.DUMMYFUNCTION("""COMPUTED_VALUE"""),12.929308)</f>
        <v>12.929308</v>
      </c>
      <c r="E19106" s="4">
        <f>IFERROR(__xludf.DUMMYFUNCTION("""COMPUTED_VALUE"""),80.07987)</f>
        <v>80.07987</v>
      </c>
      <c r="F19106" s="4">
        <f>IFERROR(__xludf.DUMMYFUNCTION("""COMPUTED_VALUE"""),3143.0)</f>
        <v>3143</v>
      </c>
      <c r="G19106" s="4">
        <f>IFERROR(__xludf.DUMMYFUNCTION("""COMPUTED_VALUE"""),33.0)</f>
        <v>33</v>
      </c>
      <c r="H19106" s="4"/>
      <c r="I19106" s="4"/>
    </row>
    <row r="19107">
      <c r="A19107" s="4" t="str">
        <f>IFERROR(__xludf.DUMMYFUNCTION("""COMPUTED_VALUE"""),"cas_hmw")</f>
        <v>cas_hmw</v>
      </c>
      <c r="B19107" s="5">
        <f>IFERROR(__xludf.DUMMYFUNCTION("""COMPUTED_VALUE"""),44776.0)</f>
        <v>44776</v>
      </c>
      <c r="C19107" s="6">
        <f>IFERROR(__xludf.DUMMYFUNCTION("""COMPUTED_VALUE"""),0.7802662037029222)</f>
        <v>0.7802662037</v>
      </c>
      <c r="D19107" s="4">
        <f>IFERROR(__xludf.DUMMYFUNCTION("""COMPUTED_VALUE"""),12.879966)</f>
        <v>12.879966</v>
      </c>
      <c r="E19107" s="4">
        <f>IFERROR(__xludf.DUMMYFUNCTION("""COMPUTED_VALUE"""),80.08063)</f>
        <v>80.08063</v>
      </c>
      <c r="F19107" s="4">
        <f>IFERROR(__xludf.DUMMYFUNCTION("""COMPUTED_VALUE"""),3143.0)</f>
        <v>3143</v>
      </c>
      <c r="G19107" s="4">
        <f>IFERROR(__xludf.DUMMYFUNCTION("""COMPUTED_VALUE"""),22.0)</f>
        <v>22</v>
      </c>
      <c r="H19107" s="4"/>
      <c r="I19107" s="4"/>
    </row>
    <row r="19108">
      <c r="A19108" s="4" t="str">
        <f>IFERROR(__xludf.DUMMYFUNCTION("""COMPUTED_VALUE"""),"cas_hmw")</f>
        <v>cas_hmw</v>
      </c>
      <c r="B19108" s="5">
        <f>IFERROR(__xludf.DUMMYFUNCTION("""COMPUTED_VALUE"""),44777.0)</f>
        <v>44777</v>
      </c>
      <c r="C19108" s="6">
        <f>IFERROR(__xludf.DUMMYFUNCTION("""COMPUTED_VALUE"""),0.2793865740750334)</f>
        <v>0.2793865741</v>
      </c>
      <c r="D19108" s="4">
        <f>IFERROR(__xludf.DUMMYFUNCTION("""COMPUTED_VALUE"""),13.056546)</f>
        <v>13.056546</v>
      </c>
      <c r="E19108" s="4">
        <f>IFERROR(__xludf.DUMMYFUNCTION("""COMPUTED_VALUE"""),80.097259)</f>
        <v>80.097259</v>
      </c>
      <c r="F19108" s="4">
        <f>IFERROR(__xludf.DUMMYFUNCTION("""COMPUTED_VALUE"""),3143.0)</f>
        <v>3143</v>
      </c>
      <c r="G19108" s="4">
        <f>IFERROR(__xludf.DUMMYFUNCTION("""COMPUTED_VALUE"""),13.0)</f>
        <v>13</v>
      </c>
      <c r="H19108" s="4"/>
      <c r="I19108" s="4"/>
    </row>
    <row r="19109">
      <c r="A19109" s="4" t="str">
        <f>IFERROR(__xludf.DUMMYFUNCTION("""COMPUTED_VALUE"""),"cas_hmw")</f>
        <v>cas_hmw</v>
      </c>
      <c r="B19109" s="5">
        <f>IFERROR(__xludf.DUMMYFUNCTION("""COMPUTED_VALUE"""),44777.0)</f>
        <v>44777</v>
      </c>
      <c r="C19109" s="6">
        <f>IFERROR(__xludf.DUMMYFUNCTION("""COMPUTED_VALUE"""),0.2793865740750334)</f>
        <v>0.2793865741</v>
      </c>
      <c r="D19109" s="4">
        <f>IFERROR(__xludf.DUMMYFUNCTION("""COMPUTED_VALUE"""),13.056546)</f>
        <v>13.056546</v>
      </c>
      <c r="E19109" s="4">
        <f>IFERROR(__xludf.DUMMYFUNCTION("""COMPUTED_VALUE"""),80.097259)</f>
        <v>80.097259</v>
      </c>
      <c r="F19109" s="4">
        <f>IFERROR(__xludf.DUMMYFUNCTION("""COMPUTED_VALUE"""),3143.0)</f>
        <v>3143</v>
      </c>
      <c r="G19109" s="4">
        <f>IFERROR(__xludf.DUMMYFUNCTION("""COMPUTED_VALUE"""),13.0)</f>
        <v>13</v>
      </c>
      <c r="H19109" s="4"/>
      <c r="I19109" s="4"/>
    </row>
    <row r="19110">
      <c r="A19110" s="4" t="str">
        <f>IFERROR(__xludf.DUMMYFUNCTION("""COMPUTED_VALUE"""),"cas_hmw")</f>
        <v>cas_hmw</v>
      </c>
      <c r="B19110" s="5">
        <f>IFERROR(__xludf.DUMMYFUNCTION("""COMPUTED_VALUE"""),44777.0)</f>
        <v>44777</v>
      </c>
      <c r="C19110" s="6">
        <f>IFERROR(__xludf.DUMMYFUNCTION("""COMPUTED_VALUE"""),0.2793981481481751)</f>
        <v>0.2793981481</v>
      </c>
      <c r="D19110" s="4">
        <f>IFERROR(__xludf.DUMMYFUNCTION("""COMPUTED_VALUE"""),13.056546)</f>
        <v>13.056546</v>
      </c>
      <c r="E19110" s="4">
        <f>IFERROR(__xludf.DUMMYFUNCTION("""COMPUTED_VALUE"""),80.097259)</f>
        <v>80.097259</v>
      </c>
      <c r="F19110" s="4">
        <f>IFERROR(__xludf.DUMMYFUNCTION("""COMPUTED_VALUE"""),3143.0)</f>
        <v>3143</v>
      </c>
      <c r="G19110" s="4">
        <f>IFERROR(__xludf.DUMMYFUNCTION("""COMPUTED_VALUE"""),13.0)</f>
        <v>13</v>
      </c>
      <c r="H19110" s="4"/>
      <c r="I19110" s="4"/>
    </row>
    <row r="19111">
      <c r="A19111" s="4" t="str">
        <f>IFERROR(__xludf.DUMMYFUNCTION("""COMPUTED_VALUE"""),"cas_hmw")</f>
        <v>cas_hmw</v>
      </c>
      <c r="B19111" s="5">
        <f>IFERROR(__xludf.DUMMYFUNCTION("""COMPUTED_VALUE"""),44777.0)</f>
        <v>44777</v>
      </c>
      <c r="C19111" s="6">
        <f>IFERROR(__xludf.DUMMYFUNCTION("""COMPUTED_VALUE"""),0.27966435185226146)</f>
        <v>0.2796643519</v>
      </c>
      <c r="D19111" s="4">
        <f>IFERROR(__xludf.DUMMYFUNCTION("""COMPUTED_VALUE"""),13.057145)</f>
        <v>13.057145</v>
      </c>
      <c r="E19111" s="4">
        <f>IFERROR(__xludf.DUMMYFUNCTION("""COMPUTED_VALUE"""),80.099983)</f>
        <v>80.099983</v>
      </c>
      <c r="F19111" s="4">
        <f>IFERROR(__xludf.DUMMYFUNCTION("""COMPUTED_VALUE"""),3143.0)</f>
        <v>3143</v>
      </c>
      <c r="G19111" s="4">
        <f>IFERROR(__xludf.DUMMYFUNCTION("""COMPUTED_VALUE"""),51.0)</f>
        <v>51</v>
      </c>
      <c r="H19111" s="4"/>
      <c r="I19111" s="4"/>
    </row>
    <row r="19112">
      <c r="A19112" s="4" t="str">
        <f>IFERROR(__xludf.DUMMYFUNCTION("""COMPUTED_VALUE"""),"cas_hmw")</f>
        <v>cas_hmw</v>
      </c>
      <c r="B19112" s="5">
        <f>IFERROR(__xludf.DUMMYFUNCTION("""COMPUTED_VALUE"""),44777.0)</f>
        <v>44777</v>
      </c>
      <c r="C19112" s="6">
        <f>IFERROR(__xludf.DUMMYFUNCTION("""COMPUTED_VALUE"""),0.2883101851839456)</f>
        <v>0.2883101852</v>
      </c>
      <c r="D19112" s="4">
        <f>IFERROR(__xludf.DUMMYFUNCTION("""COMPUTED_VALUE"""),12.461451)</f>
        <v>12.461451</v>
      </c>
      <c r="E19112" s="4">
        <f>IFERROR(__xludf.DUMMYFUNCTION("""COMPUTED_VALUE"""),79.846884)</f>
        <v>79.846884</v>
      </c>
      <c r="F19112" s="4">
        <f>IFERROR(__xludf.DUMMYFUNCTION("""COMPUTED_VALUE"""),2846.0)</f>
        <v>2846</v>
      </c>
      <c r="G19112" s="4">
        <f>IFERROR(__xludf.DUMMYFUNCTION("""COMPUTED_VALUE"""),58.0)</f>
        <v>58</v>
      </c>
      <c r="H19112" s="4"/>
      <c r="I19112" s="4"/>
    </row>
    <row r="19113">
      <c r="A19113" s="4" t="str">
        <f>IFERROR(__xludf.DUMMYFUNCTION("""COMPUTED_VALUE"""),"cas_hmw")</f>
        <v>cas_hmw</v>
      </c>
      <c r="B19113" s="5">
        <f>IFERROR(__xludf.DUMMYFUNCTION("""COMPUTED_VALUE"""),44777.0)</f>
        <v>44777</v>
      </c>
      <c r="C19113" s="6">
        <f>IFERROR(__xludf.DUMMYFUNCTION("""COMPUTED_VALUE"""),0.2903356481474475)</f>
        <v>0.2903356481</v>
      </c>
      <c r="D19113" s="4">
        <f>IFERROR(__xludf.DUMMYFUNCTION("""COMPUTED_VALUE"""),12.472627)</f>
        <v>12.472627</v>
      </c>
      <c r="E19113" s="4">
        <f>IFERROR(__xludf.DUMMYFUNCTION("""COMPUTED_VALUE"""),79.855262)</f>
        <v>79.855262</v>
      </c>
      <c r="F19113" s="4">
        <f>IFERROR(__xludf.DUMMYFUNCTION("""COMPUTED_VALUE"""),2846.0)</f>
        <v>2846</v>
      </c>
      <c r="G19113" s="4">
        <f>IFERROR(__xludf.DUMMYFUNCTION("""COMPUTED_VALUE"""),51.0)</f>
        <v>51</v>
      </c>
      <c r="H19113" s="4"/>
      <c r="I19113" s="4"/>
    </row>
    <row r="19114">
      <c r="A19114" s="4" t="str">
        <f>IFERROR(__xludf.DUMMYFUNCTION("""COMPUTED_VALUE"""),"cas_hmw")</f>
        <v>cas_hmw</v>
      </c>
      <c r="B19114" s="5">
        <f>IFERROR(__xludf.DUMMYFUNCTION("""COMPUTED_VALUE"""),44777.0)</f>
        <v>44777</v>
      </c>
      <c r="C19114" s="6">
        <f>IFERROR(__xludf.DUMMYFUNCTION("""COMPUTED_VALUE"""),0.2907291666670062)</f>
        <v>0.2907291667</v>
      </c>
      <c r="D19114" s="4">
        <f>IFERROR(__xludf.DUMMYFUNCTION("""COMPUTED_VALUE"""),12.484454)</f>
        <v>12.484454</v>
      </c>
      <c r="E19114" s="4">
        <f>IFERROR(__xludf.DUMMYFUNCTION("""COMPUTED_VALUE"""),79.862988)</f>
        <v>79.862988</v>
      </c>
      <c r="F19114" s="4">
        <f>IFERROR(__xludf.DUMMYFUNCTION("""COMPUTED_VALUE"""),2846.0)</f>
        <v>2846</v>
      </c>
      <c r="G19114" s="4">
        <f>IFERROR(__xludf.DUMMYFUNCTION("""COMPUTED_VALUE"""),58.0)</f>
        <v>58</v>
      </c>
      <c r="H19114" s="4"/>
      <c r="I19114" s="4"/>
    </row>
    <row r="19115">
      <c r="A19115" s="4" t="str">
        <f>IFERROR(__xludf.DUMMYFUNCTION("""COMPUTED_VALUE"""),"cas_hmw")</f>
        <v>cas_hmw</v>
      </c>
      <c r="B19115" s="5">
        <f>IFERROR(__xludf.DUMMYFUNCTION("""COMPUTED_VALUE"""),44777.0)</f>
        <v>44777</v>
      </c>
      <c r="C19115" s="6">
        <f>IFERROR(__xludf.DUMMYFUNCTION("""COMPUTED_VALUE"""),0.29078703703635256)</f>
        <v>0.290787037</v>
      </c>
      <c r="D19115" s="4">
        <f>IFERROR(__xludf.DUMMYFUNCTION("""COMPUTED_VALUE"""),12.485621)</f>
        <v>12.485621</v>
      </c>
      <c r="E19115" s="4">
        <f>IFERROR(__xludf.DUMMYFUNCTION("""COMPUTED_VALUE"""),79.863857)</f>
        <v>79.863857</v>
      </c>
      <c r="F19115" s="4">
        <f>IFERROR(__xludf.DUMMYFUNCTION("""COMPUTED_VALUE"""),2846.0)</f>
        <v>2846</v>
      </c>
      <c r="G19115" s="4">
        <f>IFERROR(__xludf.DUMMYFUNCTION("""COMPUTED_VALUE"""),56.0)</f>
        <v>56</v>
      </c>
      <c r="H19115" s="4"/>
      <c r="I19115" s="4"/>
    </row>
    <row r="19116">
      <c r="A19116" s="4" t="str">
        <f>IFERROR(__xludf.DUMMYFUNCTION("""COMPUTED_VALUE"""),"cas_hmw")</f>
        <v>cas_hmw</v>
      </c>
      <c r="B19116" s="5">
        <f>IFERROR(__xludf.DUMMYFUNCTION("""COMPUTED_VALUE"""),44777.0)</f>
        <v>44777</v>
      </c>
      <c r="C19116" s="6">
        <f>IFERROR(__xludf.DUMMYFUNCTION("""COMPUTED_VALUE"""),0.29667824074203963)</f>
        <v>0.2966782407</v>
      </c>
      <c r="D19116" s="4">
        <f>IFERROR(__xludf.DUMMYFUNCTION("""COMPUTED_VALUE"""),13.061694)</f>
        <v>13.061694</v>
      </c>
      <c r="E19116" s="4">
        <f>IFERROR(__xludf.DUMMYFUNCTION("""COMPUTED_VALUE"""),80.247544)</f>
        <v>80.247544</v>
      </c>
      <c r="F19116" s="4">
        <f>IFERROR(__xludf.DUMMYFUNCTION("""COMPUTED_VALUE"""),805.0)</f>
        <v>805</v>
      </c>
      <c r="G19116" s="4">
        <f>IFERROR(__xludf.DUMMYFUNCTION("""COMPUTED_VALUE"""),35.0)</f>
        <v>35</v>
      </c>
      <c r="H19116" s="4"/>
      <c r="I19116" s="4"/>
    </row>
    <row r="19117">
      <c r="A19117" s="4" t="str">
        <f>IFERROR(__xludf.DUMMYFUNCTION("""COMPUTED_VALUE"""),"cas_hmw")</f>
        <v>cas_hmw</v>
      </c>
      <c r="B19117" s="5">
        <f>IFERROR(__xludf.DUMMYFUNCTION("""COMPUTED_VALUE"""),44777.0)</f>
        <v>44777</v>
      </c>
      <c r="C19117" s="6">
        <f>IFERROR(__xludf.DUMMYFUNCTION("""COMPUTED_VALUE"""),0.29802083333197515)</f>
        <v>0.2980208333</v>
      </c>
      <c r="D19117" s="4">
        <f>IFERROR(__xludf.DUMMYFUNCTION("""COMPUTED_VALUE"""),13.066331)</f>
        <v>13.066331</v>
      </c>
      <c r="E19117" s="4">
        <f>IFERROR(__xludf.DUMMYFUNCTION("""COMPUTED_VALUE"""),80.244932)</f>
        <v>80.244932</v>
      </c>
      <c r="F19117" s="4">
        <f>IFERROR(__xludf.DUMMYFUNCTION("""COMPUTED_VALUE"""),5339.0)</f>
        <v>5339</v>
      </c>
      <c r="G19117" s="4">
        <f>IFERROR(__xludf.DUMMYFUNCTION("""COMPUTED_VALUE"""),36.0)</f>
        <v>36</v>
      </c>
      <c r="H19117" s="4"/>
      <c r="I19117" s="4"/>
    </row>
    <row r="19118">
      <c r="A19118" s="4" t="str">
        <f>IFERROR(__xludf.DUMMYFUNCTION("""COMPUTED_VALUE"""),"cas_hmw")</f>
        <v>cas_hmw</v>
      </c>
      <c r="B19118" s="5">
        <f>IFERROR(__xludf.DUMMYFUNCTION("""COMPUTED_VALUE"""),44777.0)</f>
        <v>44777</v>
      </c>
      <c r="C19118" s="6">
        <f>IFERROR(__xludf.DUMMYFUNCTION("""COMPUTED_VALUE"""),0.2981481481474475)</f>
        <v>0.2981481481</v>
      </c>
      <c r="D19118" s="4">
        <f>IFERROR(__xludf.DUMMYFUNCTION("""COMPUTED_VALUE"""),13.066909)</f>
        <v>13.066909</v>
      </c>
      <c r="E19118" s="4">
        <f>IFERROR(__xludf.DUMMYFUNCTION("""COMPUTED_VALUE"""),80.246104)</f>
        <v>80.246104</v>
      </c>
      <c r="F19118" s="4">
        <f>IFERROR(__xludf.DUMMYFUNCTION("""COMPUTED_VALUE"""),805.0)</f>
        <v>805</v>
      </c>
      <c r="G19118" s="4">
        <f>IFERROR(__xludf.DUMMYFUNCTION("""COMPUTED_VALUE"""),35.0)</f>
        <v>35</v>
      </c>
      <c r="H19118" s="4"/>
      <c r="I19118" s="4"/>
    </row>
    <row r="19119">
      <c r="A19119" s="4" t="str">
        <f>IFERROR(__xludf.DUMMYFUNCTION("""COMPUTED_VALUE"""),"cas_hmw")</f>
        <v>cas_hmw</v>
      </c>
      <c r="B19119" s="5">
        <f>IFERROR(__xludf.DUMMYFUNCTION("""COMPUTED_VALUE"""),44777.0)</f>
        <v>44777</v>
      </c>
      <c r="C19119" s="6">
        <f>IFERROR(__xludf.DUMMYFUNCTION("""COMPUTED_VALUE"""),0.3011921296310902)</f>
        <v>0.3011921296</v>
      </c>
      <c r="D19119" s="4">
        <f>IFERROR(__xludf.DUMMYFUNCTION("""COMPUTED_VALUE"""),13.073142)</f>
        <v>13.073142</v>
      </c>
      <c r="E19119" s="4">
        <f>IFERROR(__xludf.DUMMYFUNCTION("""COMPUTED_VALUE"""),80.261586)</f>
        <v>80.261586</v>
      </c>
      <c r="F19119" s="4">
        <f>IFERROR(__xludf.DUMMYFUNCTION("""COMPUTED_VALUE"""),5339.0)</f>
        <v>5339</v>
      </c>
      <c r="G19119" s="4">
        <f>IFERROR(__xludf.DUMMYFUNCTION("""COMPUTED_VALUE"""),25.0)</f>
        <v>25</v>
      </c>
      <c r="H19119" s="4"/>
      <c r="I19119" s="4"/>
    </row>
    <row r="19120">
      <c r="A19120" s="4" t="str">
        <f>IFERROR(__xludf.DUMMYFUNCTION("""COMPUTED_VALUE"""),"cas_hmw")</f>
        <v>cas_hmw</v>
      </c>
      <c r="B19120" s="5">
        <f>IFERROR(__xludf.DUMMYFUNCTION("""COMPUTED_VALUE"""),44777.0)</f>
        <v>44777</v>
      </c>
      <c r="C19120" s="6">
        <f>IFERROR(__xludf.DUMMYFUNCTION("""COMPUTED_VALUE"""),0.3013078703697829)</f>
        <v>0.3013078704</v>
      </c>
      <c r="D19120" s="4">
        <f>IFERROR(__xludf.DUMMYFUNCTION("""COMPUTED_VALUE"""),13.072912)</f>
        <v>13.072912</v>
      </c>
      <c r="E19120" s="4">
        <f>IFERROR(__xludf.DUMMYFUNCTION("""COMPUTED_VALUE"""),80.262257)</f>
        <v>80.262257</v>
      </c>
      <c r="F19120" s="4">
        <f>IFERROR(__xludf.DUMMYFUNCTION("""COMPUTED_VALUE"""),5339.0)</f>
        <v>5339</v>
      </c>
      <c r="G19120" s="4">
        <f>IFERROR(__xludf.DUMMYFUNCTION("""COMPUTED_VALUE"""),27.0)</f>
        <v>27</v>
      </c>
      <c r="H19120" s="4"/>
      <c r="I19120" s="4"/>
    </row>
    <row r="19121">
      <c r="A19121" s="4" t="str">
        <f>IFERROR(__xludf.DUMMYFUNCTION("""COMPUTED_VALUE"""),"cas_hmw")</f>
        <v>cas_hmw</v>
      </c>
      <c r="B19121" s="5">
        <f>IFERROR(__xludf.DUMMYFUNCTION("""COMPUTED_VALUE"""),44777.0)</f>
        <v>44777</v>
      </c>
      <c r="C19121" s="6">
        <f>IFERROR(__xludf.DUMMYFUNCTION("""COMPUTED_VALUE"""),0.3013194444429246)</f>
        <v>0.3013194444</v>
      </c>
      <c r="D19121" s="4">
        <f>IFERROR(__xludf.DUMMYFUNCTION("""COMPUTED_VALUE"""),13.072912)</f>
        <v>13.072912</v>
      </c>
      <c r="E19121" s="4">
        <f>IFERROR(__xludf.DUMMYFUNCTION("""COMPUTED_VALUE"""),80.262257)</f>
        <v>80.262257</v>
      </c>
      <c r="F19121" s="4">
        <f>IFERROR(__xludf.DUMMYFUNCTION("""COMPUTED_VALUE"""),5339.0)</f>
        <v>5339</v>
      </c>
      <c r="G19121" s="4">
        <f>IFERROR(__xludf.DUMMYFUNCTION("""COMPUTED_VALUE"""),27.0)</f>
        <v>27</v>
      </c>
      <c r="H19121" s="4"/>
      <c r="I19121" s="4"/>
    </row>
    <row r="19122">
      <c r="A19122" s="4" t="str">
        <f>IFERROR(__xludf.DUMMYFUNCTION("""COMPUTED_VALUE"""),"cas_hmw")</f>
        <v>cas_hmw</v>
      </c>
      <c r="B19122" s="5">
        <f>IFERROR(__xludf.DUMMYFUNCTION("""COMPUTED_VALUE"""),44777.0)</f>
        <v>44777</v>
      </c>
      <c r="C19122" s="6">
        <f>IFERROR(__xludf.DUMMYFUNCTION("""COMPUTED_VALUE"""),0.3013194444429246)</f>
        <v>0.3013194444</v>
      </c>
      <c r="D19122" s="4">
        <f>IFERROR(__xludf.DUMMYFUNCTION("""COMPUTED_VALUE"""),13.072912)</f>
        <v>13.072912</v>
      </c>
      <c r="E19122" s="4">
        <f>IFERROR(__xludf.DUMMYFUNCTION("""COMPUTED_VALUE"""),80.262257)</f>
        <v>80.262257</v>
      </c>
      <c r="F19122" s="4">
        <f>IFERROR(__xludf.DUMMYFUNCTION("""COMPUTED_VALUE"""),5339.0)</f>
        <v>5339</v>
      </c>
      <c r="G19122" s="4">
        <f>IFERROR(__xludf.DUMMYFUNCTION("""COMPUTED_VALUE"""),27.0)</f>
        <v>27</v>
      </c>
      <c r="H19122" s="4"/>
      <c r="I19122" s="4"/>
    </row>
    <row r="19123">
      <c r="A19123" s="4" t="str">
        <f>IFERROR(__xludf.DUMMYFUNCTION("""COMPUTED_VALUE"""),"cas_hmw")</f>
        <v>cas_hmw</v>
      </c>
      <c r="B19123" s="5">
        <f>IFERROR(__xludf.DUMMYFUNCTION("""COMPUTED_VALUE"""),44777.0)</f>
        <v>44777</v>
      </c>
      <c r="C19123" s="6">
        <f>IFERROR(__xludf.DUMMYFUNCTION("""COMPUTED_VALUE"""),0.3013541666659876)</f>
        <v>0.3013541667</v>
      </c>
      <c r="D19123" s="4">
        <f>IFERROR(__xludf.DUMMYFUNCTION("""COMPUTED_VALUE"""),13.072912)</f>
        <v>13.072912</v>
      </c>
      <c r="E19123" s="4">
        <f>IFERROR(__xludf.DUMMYFUNCTION("""COMPUTED_VALUE"""),80.262257)</f>
        <v>80.262257</v>
      </c>
      <c r="F19123" s="4">
        <f>IFERROR(__xludf.DUMMYFUNCTION("""COMPUTED_VALUE"""),5339.0)</f>
        <v>5339</v>
      </c>
      <c r="G19123" s="4">
        <f>IFERROR(__xludf.DUMMYFUNCTION("""COMPUTED_VALUE"""),27.0)</f>
        <v>27</v>
      </c>
      <c r="H19123" s="4"/>
      <c r="I19123" s="4"/>
    </row>
    <row r="19124">
      <c r="A19124" s="4" t="str">
        <f>IFERROR(__xludf.DUMMYFUNCTION("""COMPUTED_VALUE"""),"cas_hmw")</f>
        <v>cas_hmw</v>
      </c>
      <c r="B19124" s="5">
        <f>IFERROR(__xludf.DUMMYFUNCTION("""COMPUTED_VALUE"""),44777.0)</f>
        <v>44777</v>
      </c>
      <c r="C19124" s="6">
        <f>IFERROR(__xludf.DUMMYFUNCTION("""COMPUTED_VALUE"""),0.3020833333321207)</f>
        <v>0.3020833333</v>
      </c>
      <c r="D19124" s="4">
        <f>IFERROR(__xludf.DUMMYFUNCTION("""COMPUTED_VALUE"""),13.064968)</f>
        <v>13.064968</v>
      </c>
      <c r="E19124" s="4">
        <f>IFERROR(__xludf.DUMMYFUNCTION("""COMPUTED_VALUE"""),80.26644)</f>
        <v>80.26644</v>
      </c>
      <c r="F19124" s="4">
        <f>IFERROR(__xludf.DUMMYFUNCTION("""COMPUTED_VALUE"""),805.0)</f>
        <v>805</v>
      </c>
      <c r="G19124" s="4">
        <f>IFERROR(__xludf.DUMMYFUNCTION("""COMPUTED_VALUE"""),45.0)</f>
        <v>45</v>
      </c>
      <c r="H19124" s="4"/>
      <c r="I19124" s="4"/>
    </row>
    <row r="19125">
      <c r="A19125" s="4" t="str">
        <f>IFERROR(__xludf.DUMMYFUNCTION("""COMPUTED_VALUE"""),"cas_hmw")</f>
        <v>cas_hmw</v>
      </c>
      <c r="B19125" s="5">
        <f>IFERROR(__xludf.DUMMYFUNCTION("""COMPUTED_VALUE"""),44777.0)</f>
        <v>44777</v>
      </c>
      <c r="C19125" s="6">
        <f>IFERROR(__xludf.DUMMYFUNCTION("""COMPUTED_VALUE"""),0.30462962963065365)</f>
        <v>0.3046296296</v>
      </c>
      <c r="D19125" s="4">
        <f>IFERROR(__xludf.DUMMYFUNCTION("""COMPUTED_VALUE"""),13.064984)</f>
        <v>13.064984</v>
      </c>
      <c r="E19125" s="4">
        <f>IFERROR(__xludf.DUMMYFUNCTION("""COMPUTED_VALUE"""),80.267638)</f>
        <v>80.267638</v>
      </c>
      <c r="F19125" s="4">
        <f>IFERROR(__xludf.DUMMYFUNCTION("""COMPUTED_VALUE"""),805.0)</f>
        <v>805</v>
      </c>
      <c r="G19125" s="4">
        <f>IFERROR(__xludf.DUMMYFUNCTION("""COMPUTED_VALUE"""),31.0)</f>
        <v>31</v>
      </c>
      <c r="H19125" s="4"/>
      <c r="I19125" s="4"/>
    </row>
    <row r="19126">
      <c r="A19126" s="4" t="str">
        <f>IFERROR(__xludf.DUMMYFUNCTION("""COMPUTED_VALUE"""),"cas_hmw")</f>
        <v>cas_hmw</v>
      </c>
      <c r="B19126" s="5">
        <f>IFERROR(__xludf.DUMMYFUNCTION("""COMPUTED_VALUE"""),44777.0)</f>
        <v>44777</v>
      </c>
      <c r="C19126" s="6">
        <f>IFERROR(__xludf.DUMMYFUNCTION("""COMPUTED_VALUE"""),0.3086574074077362)</f>
        <v>0.3086574074</v>
      </c>
      <c r="D19126" s="4">
        <f>IFERROR(__xludf.DUMMYFUNCTION("""COMPUTED_VALUE"""),13.002352)</f>
        <v>13.002352</v>
      </c>
      <c r="E19126" s="4">
        <f>IFERROR(__xludf.DUMMYFUNCTION("""COMPUTED_VALUE"""),80.098569)</f>
        <v>80.098569</v>
      </c>
      <c r="F19126" s="4">
        <f>IFERROR(__xludf.DUMMYFUNCTION("""COMPUTED_VALUE"""),3143.0)</f>
        <v>3143</v>
      </c>
      <c r="G19126" s="4">
        <f>IFERROR(__xludf.DUMMYFUNCTION("""COMPUTED_VALUE"""),41.0)</f>
        <v>41</v>
      </c>
      <c r="H19126" s="4"/>
      <c r="I19126" s="4"/>
    </row>
    <row r="19127">
      <c r="A19127" s="4" t="str">
        <f>IFERROR(__xludf.DUMMYFUNCTION("""COMPUTED_VALUE"""),"cas_hmw")</f>
        <v>cas_hmw</v>
      </c>
      <c r="B19127" s="5">
        <f>IFERROR(__xludf.DUMMYFUNCTION("""COMPUTED_VALUE"""),44777.0)</f>
        <v>44777</v>
      </c>
      <c r="C19127" s="6">
        <f>IFERROR(__xludf.DUMMYFUNCTION("""COMPUTED_VALUE"""),0.31189814814933925)</f>
        <v>0.3118981481</v>
      </c>
      <c r="D19127" s="4">
        <f>IFERROR(__xludf.DUMMYFUNCTION("""COMPUTED_VALUE"""),12.995928)</f>
        <v>12.995928</v>
      </c>
      <c r="E19127" s="4">
        <f>IFERROR(__xludf.DUMMYFUNCTION("""COMPUTED_VALUE"""),80.110223)</f>
        <v>80.110223</v>
      </c>
      <c r="F19127" s="4">
        <f>IFERROR(__xludf.DUMMYFUNCTION("""COMPUTED_VALUE"""),3143.0)</f>
        <v>3143</v>
      </c>
      <c r="G19127" s="4">
        <f>IFERROR(__xludf.DUMMYFUNCTION("""COMPUTED_VALUE"""),27.0)</f>
        <v>27</v>
      </c>
      <c r="H19127" s="4"/>
      <c r="I19127" s="4"/>
    </row>
    <row r="19128">
      <c r="A19128" s="4" t="str">
        <f>IFERROR(__xludf.DUMMYFUNCTION("""COMPUTED_VALUE"""),"cas_hmw")</f>
        <v>cas_hmw</v>
      </c>
      <c r="B19128" s="5">
        <f>IFERROR(__xludf.DUMMYFUNCTION("""COMPUTED_VALUE"""),44777.0)</f>
        <v>44777</v>
      </c>
      <c r="C19128" s="6">
        <f>IFERROR(__xludf.DUMMYFUNCTION("""COMPUTED_VALUE"""),0.31240740740759065)</f>
        <v>0.3124074074</v>
      </c>
      <c r="D19128" s="4">
        <f>IFERROR(__xludf.DUMMYFUNCTION("""COMPUTED_VALUE"""),13.053873)</f>
        <v>13.053873</v>
      </c>
      <c r="E19128" s="4">
        <f>IFERROR(__xludf.DUMMYFUNCTION("""COMPUTED_VALUE"""),80.253156)</f>
        <v>80.253156</v>
      </c>
      <c r="F19128" s="4">
        <f>IFERROR(__xludf.DUMMYFUNCTION("""COMPUTED_VALUE"""),5339.0)</f>
        <v>5339</v>
      </c>
      <c r="G19128" s="4">
        <f>IFERROR(__xludf.DUMMYFUNCTION("""COMPUTED_VALUE"""),38.0)</f>
        <v>38</v>
      </c>
      <c r="H19128" s="4"/>
      <c r="I19128" s="4"/>
    </row>
    <row r="19129">
      <c r="A19129" s="4" t="str">
        <f>IFERROR(__xludf.DUMMYFUNCTION("""COMPUTED_VALUE"""),"cas_hmw")</f>
        <v>cas_hmw</v>
      </c>
      <c r="B19129" s="5">
        <f>IFERROR(__xludf.DUMMYFUNCTION("""COMPUTED_VALUE"""),44777.0)</f>
        <v>44777</v>
      </c>
      <c r="C19129" s="6">
        <f>IFERROR(__xludf.DUMMYFUNCTION("""COMPUTED_VALUE"""),0.31244212963065365)</f>
        <v>0.3124421296</v>
      </c>
      <c r="D19129" s="4">
        <f>IFERROR(__xludf.DUMMYFUNCTION("""COMPUTED_VALUE"""),12.993095)</f>
        <v>12.993095</v>
      </c>
      <c r="E19129" s="4">
        <f>IFERROR(__xludf.DUMMYFUNCTION("""COMPUTED_VALUE"""),80.113859)</f>
        <v>80.113859</v>
      </c>
      <c r="F19129" s="4">
        <f>IFERROR(__xludf.DUMMYFUNCTION("""COMPUTED_VALUE"""),3143.0)</f>
        <v>3143</v>
      </c>
      <c r="G19129" s="4">
        <f>IFERROR(__xludf.DUMMYFUNCTION("""COMPUTED_VALUE"""),38.0)</f>
        <v>38</v>
      </c>
      <c r="H19129" s="4"/>
      <c r="I19129" s="4"/>
    </row>
    <row r="19130">
      <c r="A19130" s="4" t="str">
        <f>IFERROR(__xludf.DUMMYFUNCTION("""COMPUTED_VALUE"""),"cas_hmw")</f>
        <v>cas_hmw</v>
      </c>
      <c r="B19130" s="5">
        <f>IFERROR(__xludf.DUMMYFUNCTION("""COMPUTED_VALUE"""),44777.0)</f>
        <v>44777</v>
      </c>
      <c r="C19130" s="6">
        <f>IFERROR(__xludf.DUMMYFUNCTION("""COMPUTED_VALUE"""),0.3131597222236451)</f>
        <v>0.3131597222</v>
      </c>
      <c r="D19130" s="4">
        <f>IFERROR(__xludf.DUMMYFUNCTION("""COMPUTED_VALUE"""),12.65779)</f>
        <v>12.65779</v>
      </c>
      <c r="E19130" s="4">
        <f>IFERROR(__xludf.DUMMYFUNCTION("""COMPUTED_VALUE"""),79.94607)</f>
        <v>79.94607</v>
      </c>
      <c r="F19130" s="4">
        <f>IFERROR(__xludf.DUMMYFUNCTION("""COMPUTED_VALUE"""),2846.0)</f>
        <v>2846</v>
      </c>
      <c r="G19130" s="4">
        <f>IFERROR(__xludf.DUMMYFUNCTION("""COMPUTED_VALUE"""),45.0)</f>
        <v>45</v>
      </c>
      <c r="H19130" s="4"/>
      <c r="I19130" s="4"/>
    </row>
    <row r="19131">
      <c r="A19131" s="4" t="str">
        <f>IFERROR(__xludf.DUMMYFUNCTION("""COMPUTED_VALUE"""),"cas_hmw")</f>
        <v>cas_hmw</v>
      </c>
      <c r="B19131" s="5">
        <f>IFERROR(__xludf.DUMMYFUNCTION("""COMPUTED_VALUE"""),44777.0)</f>
        <v>44777</v>
      </c>
      <c r="C19131" s="6">
        <f>IFERROR(__xludf.DUMMYFUNCTION("""COMPUTED_VALUE"""),0.3149999999986903)</f>
        <v>0.315</v>
      </c>
      <c r="D19131" s="4">
        <f>IFERROR(__xludf.DUMMYFUNCTION("""COMPUTED_VALUE"""),13.034742)</f>
        <v>13.034742</v>
      </c>
      <c r="E19131" s="4">
        <f>IFERROR(__xludf.DUMMYFUNCTION("""COMPUTED_VALUE"""),80.245715)</f>
        <v>80.245715</v>
      </c>
      <c r="F19131" s="4">
        <f>IFERROR(__xludf.DUMMYFUNCTION("""COMPUTED_VALUE"""),5339.0)</f>
        <v>5339</v>
      </c>
      <c r="G19131" s="4">
        <f>IFERROR(__xludf.DUMMYFUNCTION("""COMPUTED_VALUE"""),32.0)</f>
        <v>32</v>
      </c>
      <c r="H19131" s="4"/>
      <c r="I19131" s="4"/>
    </row>
    <row r="19132">
      <c r="A19132" s="4" t="str">
        <f>IFERROR(__xludf.DUMMYFUNCTION("""COMPUTED_VALUE"""),"cas_hmw")</f>
        <v>cas_hmw</v>
      </c>
      <c r="B19132" s="5">
        <f>IFERROR(__xludf.DUMMYFUNCTION("""COMPUTED_VALUE"""),44777.0)</f>
        <v>44777</v>
      </c>
      <c r="C19132" s="6">
        <f>IFERROR(__xludf.DUMMYFUNCTION("""COMPUTED_VALUE"""),0.315046296294895)</f>
        <v>0.3150462963</v>
      </c>
      <c r="D19132" s="4">
        <f>IFERROR(__xludf.DUMMYFUNCTION("""COMPUTED_VALUE"""),13.034742)</f>
        <v>13.034742</v>
      </c>
      <c r="E19132" s="4">
        <f>IFERROR(__xludf.DUMMYFUNCTION("""COMPUTED_VALUE"""),80.245715)</f>
        <v>80.245715</v>
      </c>
      <c r="F19132" s="4">
        <f>IFERROR(__xludf.DUMMYFUNCTION("""COMPUTED_VALUE"""),5339.0)</f>
        <v>5339</v>
      </c>
      <c r="G19132" s="4">
        <f>IFERROR(__xludf.DUMMYFUNCTION("""COMPUTED_VALUE"""),32.0)</f>
        <v>32</v>
      </c>
      <c r="H19132" s="4"/>
      <c r="I19132" s="4"/>
    </row>
    <row r="19133">
      <c r="A19133" s="4" t="str">
        <f>IFERROR(__xludf.DUMMYFUNCTION("""COMPUTED_VALUE"""),"cas_hmw")</f>
        <v>cas_hmw</v>
      </c>
      <c r="B19133" s="5">
        <f>IFERROR(__xludf.DUMMYFUNCTION("""COMPUTED_VALUE"""),44777.0)</f>
        <v>44777</v>
      </c>
      <c r="C19133" s="6">
        <f>IFERROR(__xludf.DUMMYFUNCTION("""COMPUTED_VALUE"""),0.3150694444448163)</f>
        <v>0.3150694444</v>
      </c>
      <c r="D19133" s="4">
        <f>IFERROR(__xludf.DUMMYFUNCTION("""COMPUTED_VALUE"""),13.034276)</f>
        <v>13.034276</v>
      </c>
      <c r="E19133" s="4">
        <f>IFERROR(__xludf.DUMMYFUNCTION("""COMPUTED_VALUE"""),80.245074)</f>
        <v>80.245074</v>
      </c>
      <c r="F19133" s="4">
        <f>IFERROR(__xludf.DUMMYFUNCTION("""COMPUTED_VALUE"""),5339.0)</f>
        <v>5339</v>
      </c>
      <c r="G19133" s="4">
        <f>IFERROR(__xludf.DUMMYFUNCTION("""COMPUTED_VALUE"""),26.0)</f>
        <v>26</v>
      </c>
      <c r="H19133" s="4"/>
      <c r="I19133" s="4"/>
    </row>
    <row r="19134">
      <c r="A19134" s="4" t="str">
        <f>IFERROR(__xludf.DUMMYFUNCTION("""COMPUTED_VALUE"""),"cas_hmw")</f>
        <v>cas_hmw</v>
      </c>
      <c r="B19134" s="5">
        <f>IFERROR(__xludf.DUMMYFUNCTION("""COMPUTED_VALUE"""),44777.0)</f>
        <v>44777</v>
      </c>
      <c r="C19134" s="6">
        <f>IFERROR(__xludf.DUMMYFUNCTION("""COMPUTED_VALUE"""),0.3160532407418941)</f>
        <v>0.3160532407</v>
      </c>
      <c r="D19134" s="4">
        <f>IFERROR(__xludf.DUMMYFUNCTION("""COMPUTED_VALUE"""),13.03099)</f>
        <v>13.03099</v>
      </c>
      <c r="E19134" s="4">
        <f>IFERROR(__xludf.DUMMYFUNCTION("""COMPUTED_VALUE"""),80.239794)</f>
        <v>80.239794</v>
      </c>
      <c r="F19134" s="4">
        <f>IFERROR(__xludf.DUMMYFUNCTION("""COMPUTED_VALUE"""),5339.0)</f>
        <v>5339</v>
      </c>
      <c r="G19134" s="4">
        <f>IFERROR(__xludf.DUMMYFUNCTION("""COMPUTED_VALUE"""),27.0)</f>
        <v>27</v>
      </c>
      <c r="H19134" s="4"/>
      <c r="I19134" s="4"/>
    </row>
    <row r="19135">
      <c r="A19135" s="4" t="str">
        <f>IFERROR(__xludf.DUMMYFUNCTION("""COMPUTED_VALUE"""),"cas_hmw")</f>
        <v>cas_hmw</v>
      </c>
      <c r="B19135" s="5">
        <f>IFERROR(__xludf.DUMMYFUNCTION("""COMPUTED_VALUE"""),44777.0)</f>
        <v>44777</v>
      </c>
      <c r="C19135" s="6">
        <f>IFERROR(__xludf.DUMMYFUNCTION("""COMPUTED_VALUE"""),0.31756944444350665)</f>
        <v>0.3175694444</v>
      </c>
      <c r="D19135" s="4">
        <f>IFERROR(__xludf.DUMMYFUNCTION("""COMPUTED_VALUE"""),13.026188)</f>
        <v>13.026188</v>
      </c>
      <c r="E19135" s="4">
        <f>IFERROR(__xludf.DUMMYFUNCTION("""COMPUTED_VALUE"""),80.232129)</f>
        <v>80.232129</v>
      </c>
      <c r="F19135" s="4">
        <f>IFERROR(__xludf.DUMMYFUNCTION("""COMPUTED_VALUE"""),5339.0)</f>
        <v>5339</v>
      </c>
      <c r="G19135" s="4">
        <f>IFERROR(__xludf.DUMMYFUNCTION("""COMPUTED_VALUE"""),34.0)</f>
        <v>34</v>
      </c>
      <c r="H19135" s="4"/>
      <c r="I19135" s="4"/>
    </row>
    <row r="19136">
      <c r="A19136" s="4" t="str">
        <f>IFERROR(__xludf.DUMMYFUNCTION("""COMPUTED_VALUE"""),"cas_hmw")</f>
        <v>cas_hmw</v>
      </c>
      <c r="B19136" s="5">
        <f>IFERROR(__xludf.DUMMYFUNCTION("""COMPUTED_VALUE"""),44777.0)</f>
        <v>44777</v>
      </c>
      <c r="C19136" s="6">
        <f>IFERROR(__xludf.DUMMYFUNCTION("""COMPUTED_VALUE"""),0.31763888888963265)</f>
        <v>0.3176388889</v>
      </c>
      <c r="D19136" s="4">
        <f>IFERROR(__xludf.DUMMYFUNCTION("""COMPUTED_VALUE"""),12.667278)</f>
        <v>12.667278</v>
      </c>
      <c r="E19136" s="4">
        <f>IFERROR(__xludf.DUMMYFUNCTION("""COMPUTED_VALUE"""),79.971748)</f>
        <v>79.971748</v>
      </c>
      <c r="F19136" s="4">
        <f>IFERROR(__xludf.DUMMYFUNCTION("""COMPUTED_VALUE"""),2846.0)</f>
        <v>2846</v>
      </c>
      <c r="G19136" s="4">
        <f>IFERROR(__xludf.DUMMYFUNCTION("""COMPUTED_VALUE"""),57.0)</f>
        <v>57</v>
      </c>
      <c r="H19136" s="4"/>
      <c r="I19136" s="4"/>
    </row>
    <row r="19137">
      <c r="A19137" s="4" t="str">
        <f>IFERROR(__xludf.DUMMYFUNCTION("""COMPUTED_VALUE"""),"cas_hmw")</f>
        <v>cas_hmw</v>
      </c>
      <c r="B19137" s="5">
        <f>IFERROR(__xludf.DUMMYFUNCTION("""COMPUTED_VALUE"""),44777.0)</f>
        <v>44777</v>
      </c>
      <c r="C19137" s="6">
        <f>IFERROR(__xludf.DUMMYFUNCTION("""COMPUTED_VALUE"""),0.31894675926014315)</f>
        <v>0.3189467593</v>
      </c>
      <c r="D19137" s="4">
        <f>IFERROR(__xludf.DUMMYFUNCTION("""COMPUTED_VALUE"""),13.016975)</f>
        <v>13.016975</v>
      </c>
      <c r="E19137" s="4">
        <f>IFERROR(__xludf.DUMMYFUNCTION("""COMPUTED_VALUE"""),80.225251)</f>
        <v>80.225251</v>
      </c>
      <c r="F19137" s="4">
        <f>IFERROR(__xludf.DUMMYFUNCTION("""COMPUTED_VALUE"""),5339.0)</f>
        <v>5339</v>
      </c>
      <c r="G19137" s="4">
        <f>IFERROR(__xludf.DUMMYFUNCTION("""COMPUTED_VALUE"""),42.0)</f>
        <v>42</v>
      </c>
      <c r="H19137" s="4"/>
      <c r="I19137" s="4"/>
    </row>
    <row r="19138">
      <c r="A19138" s="4" t="str">
        <f>IFERROR(__xludf.DUMMYFUNCTION("""COMPUTED_VALUE"""),"cas_hmw")</f>
        <v>cas_hmw</v>
      </c>
      <c r="B19138" s="5">
        <f>IFERROR(__xludf.DUMMYFUNCTION("""COMPUTED_VALUE"""),44777.0)</f>
        <v>44777</v>
      </c>
      <c r="C19138" s="6">
        <f>IFERROR(__xludf.DUMMYFUNCTION("""COMPUTED_VALUE"""),0.3192245370373712)</f>
        <v>0.319224537</v>
      </c>
      <c r="D19138" s="4">
        <f>IFERROR(__xludf.DUMMYFUNCTION("""COMPUTED_VALUE"""),13.015164)</f>
        <v>13.015164</v>
      </c>
      <c r="E19138" s="4">
        <f>IFERROR(__xludf.DUMMYFUNCTION("""COMPUTED_VALUE"""),80.225942)</f>
        <v>80.225942</v>
      </c>
      <c r="F19138" s="4">
        <f>IFERROR(__xludf.DUMMYFUNCTION("""COMPUTED_VALUE"""),5339.0)</f>
        <v>5339</v>
      </c>
      <c r="G19138" s="4">
        <f>IFERROR(__xludf.DUMMYFUNCTION("""COMPUTED_VALUE"""),39.0)</f>
        <v>39</v>
      </c>
      <c r="H19138" s="4"/>
      <c r="I19138" s="4"/>
    </row>
    <row r="19139">
      <c r="A19139" s="4" t="str">
        <f>IFERROR(__xludf.DUMMYFUNCTION("""COMPUTED_VALUE"""),"cas_hmw")</f>
        <v>cas_hmw</v>
      </c>
      <c r="B19139" s="5">
        <f>IFERROR(__xludf.DUMMYFUNCTION("""COMPUTED_VALUE"""),44777.0)</f>
        <v>44777</v>
      </c>
      <c r="C19139" s="6">
        <f>IFERROR(__xludf.DUMMYFUNCTION("""COMPUTED_VALUE"""),0.31928240740671754)</f>
        <v>0.3192824074</v>
      </c>
      <c r="D19139" s="4">
        <f>IFERROR(__xludf.DUMMYFUNCTION("""COMPUTED_VALUE"""),13.014177)</f>
        <v>13.014177</v>
      </c>
      <c r="E19139" s="4">
        <f>IFERROR(__xludf.DUMMYFUNCTION("""COMPUTED_VALUE"""),80.226304)</f>
        <v>80.226304</v>
      </c>
      <c r="F19139" s="4">
        <f>IFERROR(__xludf.DUMMYFUNCTION("""COMPUTED_VALUE"""),5339.0)</f>
        <v>5339</v>
      </c>
      <c r="G19139" s="4">
        <f>IFERROR(__xludf.DUMMYFUNCTION("""COMPUTED_VALUE"""),44.0)</f>
        <v>44</v>
      </c>
      <c r="H19139" s="4"/>
      <c r="I19139" s="4"/>
    </row>
    <row r="19140">
      <c r="A19140" s="4" t="str">
        <f>IFERROR(__xludf.DUMMYFUNCTION("""COMPUTED_VALUE"""),"cas_hmw")</f>
        <v>cas_hmw</v>
      </c>
      <c r="B19140" s="5">
        <f>IFERROR(__xludf.DUMMYFUNCTION("""COMPUTED_VALUE"""),44777.0)</f>
        <v>44777</v>
      </c>
      <c r="C19140" s="6">
        <f>IFERROR(__xludf.DUMMYFUNCTION("""COMPUTED_VALUE"""),0.32008101851897663)</f>
        <v>0.3200810185</v>
      </c>
      <c r="D19140" s="4">
        <f>IFERROR(__xludf.DUMMYFUNCTION("""COMPUTED_VALUE"""),13.010026)</f>
        <v>13.010026</v>
      </c>
      <c r="E19140" s="4">
        <f>IFERROR(__xludf.DUMMYFUNCTION("""COMPUTED_VALUE"""),80.226553)</f>
        <v>80.226553</v>
      </c>
      <c r="F19140" s="4">
        <f>IFERROR(__xludf.DUMMYFUNCTION("""COMPUTED_VALUE"""),5339.0)</f>
        <v>5339</v>
      </c>
      <c r="G19140" s="4">
        <f>IFERROR(__xludf.DUMMYFUNCTION("""COMPUTED_VALUE"""),35.0)</f>
        <v>35</v>
      </c>
      <c r="H19140" s="4"/>
      <c r="I19140" s="4"/>
    </row>
    <row r="19141">
      <c r="A19141" s="4" t="str">
        <f>IFERROR(__xludf.DUMMYFUNCTION("""COMPUTED_VALUE"""),"cas_hmw")</f>
        <v>cas_hmw</v>
      </c>
      <c r="B19141" s="5">
        <f>IFERROR(__xludf.DUMMYFUNCTION("""COMPUTED_VALUE"""),44777.0)</f>
        <v>44777</v>
      </c>
      <c r="C19141" s="6">
        <f>IFERROR(__xludf.DUMMYFUNCTION("""COMPUTED_VALUE"""),0.3210300925929914)</f>
        <v>0.3210300926</v>
      </c>
      <c r="D19141" s="4">
        <f>IFERROR(__xludf.DUMMYFUNCTION("""COMPUTED_VALUE"""),13.01201)</f>
        <v>13.01201</v>
      </c>
      <c r="E19141" s="4">
        <f>IFERROR(__xludf.DUMMYFUNCTION("""COMPUTED_VALUE"""),80.220566)</f>
        <v>80.220566</v>
      </c>
      <c r="F19141" s="4">
        <f>IFERROR(__xludf.DUMMYFUNCTION("""COMPUTED_VALUE"""),5339.0)</f>
        <v>5339</v>
      </c>
      <c r="G19141" s="4">
        <f>IFERROR(__xludf.DUMMYFUNCTION("""COMPUTED_VALUE"""),31.0)</f>
        <v>31</v>
      </c>
      <c r="H19141" s="4"/>
      <c r="I19141" s="4"/>
    </row>
    <row r="19142">
      <c r="A19142" s="4" t="str">
        <f>IFERROR(__xludf.DUMMYFUNCTION("""COMPUTED_VALUE"""),"cas_hmw")</f>
        <v>cas_hmw</v>
      </c>
      <c r="B19142" s="5">
        <f>IFERROR(__xludf.DUMMYFUNCTION("""COMPUTED_VALUE"""),44777.0)</f>
        <v>44777</v>
      </c>
      <c r="C19142" s="6">
        <f>IFERROR(__xludf.DUMMYFUNCTION("""COMPUTED_VALUE"""),0.3215509259243845)</f>
        <v>0.3215509259</v>
      </c>
      <c r="D19142" s="4">
        <f>IFERROR(__xludf.DUMMYFUNCTION("""COMPUTED_VALUE"""),13.010212)</f>
        <v>13.010212</v>
      </c>
      <c r="E19142" s="4">
        <f>IFERROR(__xludf.DUMMYFUNCTION("""COMPUTED_VALUE"""),80.215646)</f>
        <v>80.215646</v>
      </c>
      <c r="F19142" s="4">
        <f>IFERROR(__xludf.DUMMYFUNCTION("""COMPUTED_VALUE"""),5339.0)</f>
        <v>5339</v>
      </c>
      <c r="G19142" s="4">
        <f>IFERROR(__xludf.DUMMYFUNCTION("""COMPUTED_VALUE"""),42.0)</f>
        <v>42</v>
      </c>
      <c r="H19142" s="4"/>
      <c r="I19142" s="4"/>
    </row>
    <row r="19143">
      <c r="A19143" s="4" t="str">
        <f>IFERROR(__xludf.DUMMYFUNCTION("""COMPUTED_VALUE"""),"cas_hmw")</f>
        <v>cas_hmw</v>
      </c>
      <c r="B19143" s="5">
        <f>IFERROR(__xludf.DUMMYFUNCTION("""COMPUTED_VALUE"""),44777.0)</f>
        <v>44777</v>
      </c>
      <c r="C19143" s="6">
        <f>IFERROR(__xludf.DUMMYFUNCTION("""COMPUTED_VALUE"""),0.32188657407459687)</f>
        <v>0.3218865741</v>
      </c>
      <c r="D19143" s="4">
        <f>IFERROR(__xludf.DUMMYFUNCTION("""COMPUTED_VALUE"""),12.692385)</f>
        <v>12.692385</v>
      </c>
      <c r="E19143" s="4">
        <f>IFERROR(__xludf.DUMMYFUNCTION("""COMPUTED_VALUE"""),79.979843)</f>
        <v>79.979843</v>
      </c>
      <c r="F19143" s="4">
        <f>IFERROR(__xludf.DUMMYFUNCTION("""COMPUTED_VALUE"""),2846.0)</f>
        <v>2846</v>
      </c>
      <c r="G19143" s="4">
        <f>IFERROR(__xludf.DUMMYFUNCTION("""COMPUTED_VALUE"""),33.0)</f>
        <v>33</v>
      </c>
      <c r="H19143" s="4"/>
      <c r="I19143" s="4"/>
    </row>
    <row r="19144">
      <c r="A19144" s="4" t="str">
        <f>IFERROR(__xludf.DUMMYFUNCTION("""COMPUTED_VALUE"""),"cas_hmw")</f>
        <v>cas_hmw</v>
      </c>
      <c r="B19144" s="5">
        <f>IFERROR(__xludf.DUMMYFUNCTION("""COMPUTED_VALUE"""),44777.0)</f>
        <v>44777</v>
      </c>
      <c r="C19144" s="6">
        <f>IFERROR(__xludf.DUMMYFUNCTION("""COMPUTED_VALUE"""),0.3219560185170849)</f>
        <v>0.3219560185</v>
      </c>
      <c r="D19144" s="4">
        <f>IFERROR(__xludf.DUMMYFUNCTION("""COMPUTED_VALUE"""),13.009173)</f>
        <v>13.009173</v>
      </c>
      <c r="E19144" s="4">
        <f>IFERROR(__xludf.DUMMYFUNCTION("""COMPUTED_VALUE"""),80.212294)</f>
        <v>80.212294</v>
      </c>
      <c r="F19144" s="4">
        <f>IFERROR(__xludf.DUMMYFUNCTION("""COMPUTED_VALUE"""),5339.0)</f>
        <v>5339</v>
      </c>
      <c r="G19144" s="4">
        <f>IFERROR(__xludf.DUMMYFUNCTION("""COMPUTED_VALUE"""),48.0)</f>
        <v>48</v>
      </c>
      <c r="H19144" s="4"/>
      <c r="I19144" s="4"/>
    </row>
    <row r="19145">
      <c r="A19145" s="4" t="str">
        <f>IFERROR(__xludf.DUMMYFUNCTION("""COMPUTED_VALUE"""),"cas_hmw")</f>
        <v>cas_hmw</v>
      </c>
      <c r="B19145" s="5">
        <f>IFERROR(__xludf.DUMMYFUNCTION("""COMPUTED_VALUE"""),44777.0)</f>
        <v>44777</v>
      </c>
      <c r="C19145" s="6">
        <f>IFERROR(__xludf.DUMMYFUNCTION("""COMPUTED_VALUE"""),0.32244212962905294)</f>
        <v>0.3224421296</v>
      </c>
      <c r="D19145" s="4">
        <f>IFERROR(__xludf.DUMMYFUNCTION("""COMPUTED_VALUE"""),13.007891)</f>
        <v>13.007891</v>
      </c>
      <c r="E19145" s="4">
        <f>IFERROR(__xludf.DUMMYFUNCTION("""COMPUTED_VALUE"""),80.20795)</f>
        <v>80.20795</v>
      </c>
      <c r="F19145" s="4">
        <f>IFERROR(__xludf.DUMMYFUNCTION("""COMPUTED_VALUE"""),5339.0)</f>
        <v>5339</v>
      </c>
      <c r="G19145" s="4">
        <f>IFERROR(__xludf.DUMMYFUNCTION("""COMPUTED_VALUE"""),53.0)</f>
        <v>53</v>
      </c>
      <c r="H19145" s="4"/>
      <c r="I19145" s="4"/>
    </row>
    <row r="19146">
      <c r="A19146" s="4" t="str">
        <f>IFERROR(__xludf.DUMMYFUNCTION("""COMPUTED_VALUE"""),"cas_hmw")</f>
        <v>cas_hmw</v>
      </c>
      <c r="B19146" s="5">
        <f>IFERROR(__xludf.DUMMYFUNCTION("""COMPUTED_VALUE"""),44777.0)</f>
        <v>44777</v>
      </c>
      <c r="C19146" s="6">
        <f>IFERROR(__xludf.DUMMYFUNCTION("""COMPUTED_VALUE"""),0.3229745370372257)</f>
        <v>0.322974537</v>
      </c>
      <c r="D19146" s="4">
        <f>IFERROR(__xludf.DUMMYFUNCTION("""COMPUTED_VALUE"""),13.006005)</f>
        <v>13.006005</v>
      </c>
      <c r="E19146" s="4">
        <f>IFERROR(__xludf.DUMMYFUNCTION("""COMPUTED_VALUE"""),80.202929)</f>
        <v>80.202929</v>
      </c>
      <c r="F19146" s="4">
        <f>IFERROR(__xludf.DUMMYFUNCTION("""COMPUTED_VALUE"""),5339.0)</f>
        <v>5339</v>
      </c>
      <c r="G19146" s="4">
        <f>IFERROR(__xludf.DUMMYFUNCTION("""COMPUTED_VALUE"""),36.0)</f>
        <v>36</v>
      </c>
      <c r="H19146" s="4"/>
      <c r="I19146" s="4"/>
    </row>
    <row r="19147">
      <c r="A19147" s="4" t="str">
        <f>IFERROR(__xludf.DUMMYFUNCTION("""COMPUTED_VALUE"""),"cas_hmw")</f>
        <v>cas_hmw</v>
      </c>
      <c r="B19147" s="5">
        <f>IFERROR(__xludf.DUMMYFUNCTION("""COMPUTED_VALUE"""),44777.0)</f>
        <v>44777</v>
      </c>
      <c r="C19147" s="6">
        <f>IFERROR(__xludf.DUMMYFUNCTION("""COMPUTED_VALUE"""),0.3232986111106584)</f>
        <v>0.3232986111</v>
      </c>
      <c r="D19147" s="4">
        <f>IFERROR(__xludf.DUMMYFUNCTION("""COMPUTED_VALUE"""),13.00432)</f>
        <v>13.00432</v>
      </c>
      <c r="E19147" s="4">
        <f>IFERROR(__xludf.DUMMYFUNCTION("""COMPUTED_VALUE"""),80.201168)</f>
        <v>80.201168</v>
      </c>
      <c r="F19147" s="4">
        <f>IFERROR(__xludf.DUMMYFUNCTION("""COMPUTED_VALUE"""),5339.0)</f>
        <v>5339</v>
      </c>
      <c r="G19147" s="4">
        <f>IFERROR(__xludf.DUMMYFUNCTION("""COMPUTED_VALUE"""),28.0)</f>
        <v>28</v>
      </c>
      <c r="H19147" s="4"/>
      <c r="I19147" s="4"/>
    </row>
    <row r="19148">
      <c r="A19148" s="4" t="str">
        <f>IFERROR(__xludf.DUMMYFUNCTION("""COMPUTED_VALUE"""),"cas_hmw")</f>
        <v>cas_hmw</v>
      </c>
      <c r="B19148" s="5">
        <f>IFERROR(__xludf.DUMMYFUNCTION("""COMPUTED_VALUE"""),44777.0)</f>
        <v>44777</v>
      </c>
      <c r="C19148" s="6">
        <f>IFERROR(__xludf.DUMMYFUNCTION("""COMPUTED_VALUE"""),0.3234837962954771)</f>
        <v>0.3234837963</v>
      </c>
      <c r="D19148" s="4">
        <f>IFERROR(__xludf.DUMMYFUNCTION("""COMPUTED_VALUE"""),13.003605)</f>
        <v>13.003605</v>
      </c>
      <c r="E19148" s="4">
        <f>IFERROR(__xludf.DUMMYFUNCTION("""COMPUTED_VALUE"""),80.200953)</f>
        <v>80.200953</v>
      </c>
      <c r="F19148" s="4">
        <f>IFERROR(__xludf.DUMMYFUNCTION("""COMPUTED_VALUE"""),5339.0)</f>
        <v>5339</v>
      </c>
      <c r="G19148" s="4">
        <f>IFERROR(__xludf.DUMMYFUNCTION("""COMPUTED_VALUE"""),27.0)</f>
        <v>27</v>
      </c>
      <c r="H19148" s="4"/>
      <c r="I19148" s="4"/>
    </row>
    <row r="19149">
      <c r="A19149" s="4" t="str">
        <f>IFERROR(__xludf.DUMMYFUNCTION("""COMPUTED_VALUE"""),"cas_hmw")</f>
        <v>cas_hmw</v>
      </c>
      <c r="B19149" s="5">
        <f>IFERROR(__xludf.DUMMYFUNCTION("""COMPUTED_VALUE"""),44777.0)</f>
        <v>44777</v>
      </c>
      <c r="C19149" s="6">
        <f>IFERROR(__xludf.DUMMYFUNCTION("""COMPUTED_VALUE"""),0.3240277777767915)</f>
        <v>0.3240277778</v>
      </c>
      <c r="D19149" s="4">
        <f>IFERROR(__xludf.DUMMYFUNCTION("""COMPUTED_VALUE"""),13.002005)</f>
        <v>13.002005</v>
      </c>
      <c r="E19149" s="4">
        <f>IFERROR(__xludf.DUMMYFUNCTION("""COMPUTED_VALUE"""),80.197717)</f>
        <v>80.197717</v>
      </c>
      <c r="F19149" s="4">
        <f>IFERROR(__xludf.DUMMYFUNCTION("""COMPUTED_VALUE"""),5339.0)</f>
        <v>5339</v>
      </c>
      <c r="G19149" s="4">
        <f>IFERROR(__xludf.DUMMYFUNCTION("""COMPUTED_VALUE"""),43.0)</f>
        <v>43</v>
      </c>
      <c r="H19149" s="4"/>
      <c r="I19149" s="4"/>
    </row>
    <row r="19150">
      <c r="A19150" s="4" t="str">
        <f>IFERROR(__xludf.DUMMYFUNCTION("""COMPUTED_VALUE"""),"cas_hmw")</f>
        <v>cas_hmw</v>
      </c>
      <c r="B19150" s="5">
        <f>IFERROR(__xludf.DUMMYFUNCTION("""COMPUTED_VALUE"""),44777.0)</f>
        <v>44777</v>
      </c>
      <c r="C19150" s="6">
        <f>IFERROR(__xludf.DUMMYFUNCTION("""COMPUTED_VALUE"""),0.3248495370353339)</f>
        <v>0.324849537</v>
      </c>
      <c r="D19150" s="4">
        <f>IFERROR(__xludf.DUMMYFUNCTION("""COMPUTED_VALUE"""),12.999084)</f>
        <v>12.999084</v>
      </c>
      <c r="E19150" s="4">
        <f>IFERROR(__xludf.DUMMYFUNCTION("""COMPUTED_VALUE"""),80.19304)</f>
        <v>80.19304</v>
      </c>
      <c r="F19150" s="4">
        <f>IFERROR(__xludf.DUMMYFUNCTION("""COMPUTED_VALUE"""),5339.0)</f>
        <v>5339</v>
      </c>
      <c r="G19150" s="4">
        <f>IFERROR(__xludf.DUMMYFUNCTION("""COMPUTED_VALUE"""),49.0)</f>
        <v>49</v>
      </c>
      <c r="H19150" s="4"/>
      <c r="I19150" s="4"/>
    </row>
    <row r="19151">
      <c r="A19151" s="4" t="str">
        <f>IFERROR(__xludf.DUMMYFUNCTION("""COMPUTED_VALUE"""),"cas_hmw")</f>
        <v>cas_hmw</v>
      </c>
      <c r="B19151" s="5">
        <f>IFERROR(__xludf.DUMMYFUNCTION("""COMPUTED_VALUE"""),44777.0)</f>
        <v>44777</v>
      </c>
      <c r="C19151" s="6">
        <f>IFERROR(__xludf.DUMMYFUNCTION("""COMPUTED_VALUE"""),0.3249884259275859)</f>
        <v>0.3249884259</v>
      </c>
      <c r="D19151" s="4">
        <f>IFERROR(__xludf.DUMMYFUNCTION("""COMPUTED_VALUE"""),12.998377)</f>
        <v>12.998377</v>
      </c>
      <c r="E19151" s="4">
        <f>IFERROR(__xludf.DUMMYFUNCTION("""COMPUTED_VALUE"""),80.192144)</f>
        <v>80.192144</v>
      </c>
      <c r="F19151" s="4">
        <f>IFERROR(__xludf.DUMMYFUNCTION("""COMPUTED_VALUE"""),5339.0)</f>
        <v>5339</v>
      </c>
      <c r="G19151" s="4">
        <f>IFERROR(__xludf.DUMMYFUNCTION("""COMPUTED_VALUE"""),40.0)</f>
        <v>40</v>
      </c>
      <c r="H19151" s="4"/>
      <c r="I19151" s="4"/>
    </row>
    <row r="19152">
      <c r="A19152" s="4" t="str">
        <f>IFERROR(__xludf.DUMMYFUNCTION("""COMPUTED_VALUE"""),"cas_hmw")</f>
        <v>cas_hmw</v>
      </c>
      <c r="B19152" s="5">
        <f>IFERROR(__xludf.DUMMYFUNCTION("""COMPUTED_VALUE"""),44777.0)</f>
        <v>44777</v>
      </c>
      <c r="C19152" s="6">
        <f>IFERROR(__xludf.DUMMYFUNCTION("""COMPUTED_VALUE"""),0.32548611111269565)</f>
        <v>0.3254861111</v>
      </c>
      <c r="D19152" s="4">
        <f>IFERROR(__xludf.DUMMYFUNCTION("""COMPUTED_VALUE"""),13.006656)</f>
        <v>13.006656</v>
      </c>
      <c r="E19152" s="4">
        <f>IFERROR(__xludf.DUMMYFUNCTION("""COMPUTED_VALUE"""),80.243974)</f>
        <v>80.243974</v>
      </c>
      <c r="F19152" s="4">
        <f>IFERROR(__xludf.DUMMYFUNCTION("""COMPUTED_VALUE"""),805.0)</f>
        <v>805</v>
      </c>
      <c r="G19152" s="4">
        <f>IFERROR(__xludf.DUMMYFUNCTION("""COMPUTED_VALUE"""),35.0)</f>
        <v>35</v>
      </c>
      <c r="H19152" s="4"/>
      <c r="I19152" s="4"/>
    </row>
    <row r="19153">
      <c r="A19153" s="4" t="str">
        <f>IFERROR(__xludf.DUMMYFUNCTION("""COMPUTED_VALUE"""),"cas_hmw")</f>
        <v>cas_hmw</v>
      </c>
      <c r="B19153" s="5">
        <f>IFERROR(__xludf.DUMMYFUNCTION("""COMPUTED_VALUE"""),44777.0)</f>
        <v>44777</v>
      </c>
      <c r="C19153" s="6">
        <f>IFERROR(__xludf.DUMMYFUNCTION("""COMPUTED_VALUE"""),0.3258680555554747)</f>
        <v>0.3258680556</v>
      </c>
      <c r="D19153" s="4">
        <f>IFERROR(__xludf.DUMMYFUNCTION("""COMPUTED_VALUE"""),12.702567)</f>
        <v>12.702567</v>
      </c>
      <c r="E19153" s="4">
        <f>IFERROR(__xludf.DUMMYFUNCTION("""COMPUTED_VALUE"""),79.970473)</f>
        <v>79.970473</v>
      </c>
      <c r="F19153" s="4">
        <f>IFERROR(__xludf.DUMMYFUNCTION("""COMPUTED_VALUE"""),2846.0)</f>
        <v>2846</v>
      </c>
      <c r="G19153" s="4">
        <f>IFERROR(__xludf.DUMMYFUNCTION("""COMPUTED_VALUE"""),49.0)</f>
        <v>49</v>
      </c>
      <c r="H19153" s="4"/>
      <c r="I19153" s="4"/>
    </row>
    <row r="19154">
      <c r="A19154" s="4" t="str">
        <f>IFERROR(__xludf.DUMMYFUNCTION("""COMPUTED_VALUE"""),"cas_hmw")</f>
        <v>cas_hmw</v>
      </c>
      <c r="B19154" s="5">
        <f>IFERROR(__xludf.DUMMYFUNCTION("""COMPUTED_VALUE"""),44777.0)</f>
        <v>44777</v>
      </c>
      <c r="C19154" s="6">
        <f>IFERROR(__xludf.DUMMYFUNCTION("""COMPUTED_VALUE"""),0.32618055555576575)</f>
        <v>0.3261805556</v>
      </c>
      <c r="D19154" s="4">
        <f>IFERROR(__xludf.DUMMYFUNCTION("""COMPUTED_VALUE"""),12.994157)</f>
        <v>12.994157</v>
      </c>
      <c r="E19154" s="4">
        <f>IFERROR(__xludf.DUMMYFUNCTION("""COMPUTED_VALUE"""),80.185831)</f>
        <v>80.185831</v>
      </c>
      <c r="F19154" s="4">
        <f>IFERROR(__xludf.DUMMYFUNCTION("""COMPUTED_VALUE"""),5339.0)</f>
        <v>5339</v>
      </c>
      <c r="G19154" s="4">
        <f>IFERROR(__xludf.DUMMYFUNCTION("""COMPUTED_VALUE"""),30.0)</f>
        <v>30</v>
      </c>
      <c r="H19154" s="4"/>
      <c r="I19154" s="4"/>
    </row>
    <row r="19155">
      <c r="A19155" s="4" t="str">
        <f>IFERROR(__xludf.DUMMYFUNCTION("""COMPUTED_VALUE"""),"cas_hmw")</f>
        <v>cas_hmw</v>
      </c>
      <c r="B19155" s="5">
        <f>IFERROR(__xludf.DUMMYFUNCTION("""COMPUTED_VALUE"""),44777.0)</f>
        <v>44777</v>
      </c>
      <c r="C19155" s="6">
        <f>IFERROR(__xludf.DUMMYFUNCTION("""COMPUTED_VALUE"""),0.32621527777882875)</f>
        <v>0.3262152778</v>
      </c>
      <c r="D19155" s="4">
        <f>IFERROR(__xludf.DUMMYFUNCTION("""COMPUTED_VALUE"""),12.994157)</f>
        <v>12.994157</v>
      </c>
      <c r="E19155" s="4">
        <f>IFERROR(__xludf.DUMMYFUNCTION("""COMPUTED_VALUE"""),80.185831)</f>
        <v>80.185831</v>
      </c>
      <c r="F19155" s="4">
        <f>IFERROR(__xludf.DUMMYFUNCTION("""COMPUTED_VALUE"""),5339.0)</f>
        <v>5339</v>
      </c>
      <c r="G19155" s="4">
        <f>IFERROR(__xludf.DUMMYFUNCTION("""COMPUTED_VALUE"""),30.0)</f>
        <v>30</v>
      </c>
      <c r="H19155" s="4"/>
      <c r="I19155" s="4"/>
    </row>
    <row r="19156">
      <c r="A19156" s="4" t="str">
        <f>IFERROR(__xludf.DUMMYFUNCTION("""COMPUTED_VALUE"""),"cas_hmw")</f>
        <v>cas_hmw</v>
      </c>
      <c r="B19156" s="5">
        <f>IFERROR(__xludf.DUMMYFUNCTION("""COMPUTED_VALUE"""),44777.0)</f>
        <v>44777</v>
      </c>
      <c r="C19156" s="6">
        <f>IFERROR(__xludf.DUMMYFUNCTION("""COMPUTED_VALUE"""),0.32621527777882875)</f>
        <v>0.3262152778</v>
      </c>
      <c r="D19156" s="4">
        <f>IFERROR(__xludf.DUMMYFUNCTION("""COMPUTED_VALUE"""),12.994157)</f>
        <v>12.994157</v>
      </c>
      <c r="E19156" s="4">
        <f>IFERROR(__xludf.DUMMYFUNCTION("""COMPUTED_VALUE"""),80.185831)</f>
        <v>80.185831</v>
      </c>
      <c r="F19156" s="4">
        <f>IFERROR(__xludf.DUMMYFUNCTION("""COMPUTED_VALUE"""),5339.0)</f>
        <v>5339</v>
      </c>
      <c r="G19156" s="4">
        <f>IFERROR(__xludf.DUMMYFUNCTION("""COMPUTED_VALUE"""),30.0)</f>
        <v>30</v>
      </c>
      <c r="H19156" s="4"/>
      <c r="I19156" s="4"/>
    </row>
    <row r="19157">
      <c r="A19157" s="4" t="str">
        <f>IFERROR(__xludf.DUMMYFUNCTION("""COMPUTED_VALUE"""),"cas_hmw")</f>
        <v>cas_hmw</v>
      </c>
      <c r="B19157" s="5">
        <f>IFERROR(__xludf.DUMMYFUNCTION("""COMPUTED_VALUE"""),44777.0)</f>
        <v>44777</v>
      </c>
      <c r="C19157" s="6">
        <f>IFERROR(__xludf.DUMMYFUNCTION("""COMPUTED_VALUE"""),0.32621527777882875)</f>
        <v>0.3262152778</v>
      </c>
      <c r="D19157" s="4">
        <f>IFERROR(__xludf.DUMMYFUNCTION("""COMPUTED_VALUE"""),12.994157)</f>
        <v>12.994157</v>
      </c>
      <c r="E19157" s="4">
        <f>IFERROR(__xludf.DUMMYFUNCTION("""COMPUTED_VALUE"""),80.185831)</f>
        <v>80.185831</v>
      </c>
      <c r="F19157" s="4">
        <f>IFERROR(__xludf.DUMMYFUNCTION("""COMPUTED_VALUE"""),5339.0)</f>
        <v>5339</v>
      </c>
      <c r="G19157" s="4">
        <f>IFERROR(__xludf.DUMMYFUNCTION("""COMPUTED_VALUE"""),30.0)</f>
        <v>30</v>
      </c>
      <c r="H19157" s="4"/>
      <c r="I19157" s="4"/>
    </row>
    <row r="19158">
      <c r="A19158" s="4" t="str">
        <f>IFERROR(__xludf.DUMMYFUNCTION("""COMPUTED_VALUE"""),"cas_hmw")</f>
        <v>cas_hmw</v>
      </c>
      <c r="B19158" s="5">
        <f>IFERROR(__xludf.DUMMYFUNCTION("""COMPUTED_VALUE"""),44777.0)</f>
        <v>44777</v>
      </c>
      <c r="C19158" s="6">
        <f>IFERROR(__xludf.DUMMYFUNCTION("""COMPUTED_VALUE"""),0.3262731481481751)</f>
        <v>0.3262731481</v>
      </c>
      <c r="D19158" s="4">
        <f>IFERROR(__xludf.DUMMYFUNCTION("""COMPUTED_VALUE"""),12.707013)</f>
        <v>12.707013</v>
      </c>
      <c r="E19158" s="4">
        <f>IFERROR(__xludf.DUMMYFUNCTION("""COMPUTED_VALUE"""),79.976034)</f>
        <v>79.976034</v>
      </c>
      <c r="F19158" s="4">
        <f>IFERROR(__xludf.DUMMYFUNCTION("""COMPUTED_VALUE"""),2846.0)</f>
        <v>2846</v>
      </c>
      <c r="G19158" s="4">
        <f>IFERROR(__xludf.DUMMYFUNCTION("""COMPUTED_VALUE"""),63.0)</f>
        <v>63</v>
      </c>
      <c r="H19158" s="4"/>
      <c r="I19158" s="4"/>
    </row>
    <row r="19159">
      <c r="A19159" s="4" t="str">
        <f>IFERROR(__xludf.DUMMYFUNCTION("""COMPUTED_VALUE"""),"cas_hmw")</f>
        <v>cas_hmw</v>
      </c>
      <c r="B19159" s="5">
        <f>IFERROR(__xludf.DUMMYFUNCTION("""COMPUTED_VALUE"""),44777.0)</f>
        <v>44777</v>
      </c>
      <c r="C19159" s="6">
        <f>IFERROR(__xludf.DUMMYFUNCTION("""COMPUTED_VALUE"""),0.32646990740613546)</f>
        <v>0.3264699074</v>
      </c>
      <c r="D19159" s="4">
        <f>IFERROR(__xludf.DUMMYFUNCTION("""COMPUTED_VALUE"""),12.993319)</f>
        <v>12.993319</v>
      </c>
      <c r="E19159" s="4">
        <f>IFERROR(__xludf.DUMMYFUNCTION("""COMPUTED_VALUE"""),80.184299)</f>
        <v>80.184299</v>
      </c>
      <c r="F19159" s="4">
        <f>IFERROR(__xludf.DUMMYFUNCTION("""COMPUTED_VALUE"""),5339.0)</f>
        <v>5339</v>
      </c>
      <c r="G19159" s="4">
        <f>IFERROR(__xludf.DUMMYFUNCTION("""COMPUTED_VALUE"""),42.0)</f>
        <v>42</v>
      </c>
      <c r="H19159" s="4"/>
      <c r="I19159" s="4"/>
    </row>
    <row r="19160">
      <c r="A19160" s="4" t="str">
        <f>IFERROR(__xludf.DUMMYFUNCTION("""COMPUTED_VALUE"""),"cas_hmw")</f>
        <v>cas_hmw</v>
      </c>
      <c r="B19160" s="5">
        <f>IFERROR(__xludf.DUMMYFUNCTION("""COMPUTED_VALUE"""),44777.0)</f>
        <v>44777</v>
      </c>
      <c r="C19160" s="6">
        <f>IFERROR(__xludf.DUMMYFUNCTION("""COMPUTED_VALUE"""),0.3266319444446708)</f>
        <v>0.3266319444</v>
      </c>
      <c r="D19160" s="4">
        <f>IFERROR(__xludf.DUMMYFUNCTION("""COMPUTED_VALUE"""),12.992758)</f>
        <v>12.992758</v>
      </c>
      <c r="E19160" s="4">
        <f>IFERROR(__xludf.DUMMYFUNCTION("""COMPUTED_VALUE"""),80.183357)</f>
        <v>80.183357</v>
      </c>
      <c r="F19160" s="4">
        <f>IFERROR(__xludf.DUMMYFUNCTION("""COMPUTED_VALUE"""),5339.0)</f>
        <v>5339</v>
      </c>
      <c r="G19160" s="4">
        <f>IFERROR(__xludf.DUMMYFUNCTION("""COMPUTED_VALUE"""),36.0)</f>
        <v>36</v>
      </c>
      <c r="H19160" s="4"/>
      <c r="I19160" s="4"/>
    </row>
    <row r="19161">
      <c r="A19161" s="4" t="str">
        <f>IFERROR(__xludf.DUMMYFUNCTION("""COMPUTED_VALUE"""),"cas_hmw")</f>
        <v>cas_hmw</v>
      </c>
      <c r="B19161" s="5">
        <f>IFERROR(__xludf.DUMMYFUNCTION("""COMPUTED_VALUE"""),44777.0)</f>
        <v>44777</v>
      </c>
      <c r="C19161" s="6">
        <f>IFERROR(__xludf.DUMMYFUNCTION("""COMPUTED_VALUE"""),0.3266666666677338)</f>
        <v>0.3266666667</v>
      </c>
      <c r="D19161" s="4">
        <f>IFERROR(__xludf.DUMMYFUNCTION("""COMPUTED_VALUE"""),13.00777)</f>
        <v>13.00777</v>
      </c>
      <c r="E19161" s="4">
        <f>IFERROR(__xludf.DUMMYFUNCTION("""COMPUTED_VALUE"""),80.235608)</f>
        <v>80.235608</v>
      </c>
      <c r="F19161" s="4">
        <f>IFERROR(__xludf.DUMMYFUNCTION("""COMPUTED_VALUE"""),805.0)</f>
        <v>805</v>
      </c>
      <c r="G19161" s="4">
        <f>IFERROR(__xludf.DUMMYFUNCTION("""COMPUTED_VALUE"""),34.0)</f>
        <v>34</v>
      </c>
      <c r="H19161" s="4"/>
      <c r="I19161" s="4"/>
    </row>
    <row r="19162">
      <c r="A19162" s="4" t="str">
        <f>IFERROR(__xludf.DUMMYFUNCTION("""COMPUTED_VALUE"""),"cas_hmw")</f>
        <v>cas_hmw</v>
      </c>
      <c r="B19162" s="5">
        <f>IFERROR(__xludf.DUMMYFUNCTION("""COMPUTED_VALUE"""),44777.0)</f>
        <v>44777</v>
      </c>
      <c r="C19162" s="6">
        <f>IFERROR(__xludf.DUMMYFUNCTION("""COMPUTED_VALUE"""),0.3266782407408755)</f>
        <v>0.3266782407</v>
      </c>
      <c r="D19162" s="4">
        <f>IFERROR(__xludf.DUMMYFUNCTION("""COMPUTED_VALUE"""),13.00777)</f>
        <v>13.00777</v>
      </c>
      <c r="E19162" s="4">
        <f>IFERROR(__xludf.DUMMYFUNCTION("""COMPUTED_VALUE"""),80.235608)</f>
        <v>80.235608</v>
      </c>
      <c r="F19162" s="4">
        <f>IFERROR(__xludf.DUMMYFUNCTION("""COMPUTED_VALUE"""),805.0)</f>
        <v>805</v>
      </c>
      <c r="G19162" s="4">
        <f>IFERROR(__xludf.DUMMYFUNCTION("""COMPUTED_VALUE"""),34.0)</f>
        <v>34</v>
      </c>
      <c r="H19162" s="4"/>
      <c r="I19162" s="4"/>
    </row>
    <row r="19163">
      <c r="A19163" s="4" t="str">
        <f>IFERROR(__xludf.DUMMYFUNCTION("""COMPUTED_VALUE"""),"cas_hmw")</f>
        <v>cas_hmw</v>
      </c>
      <c r="B19163" s="5">
        <f>IFERROR(__xludf.DUMMYFUNCTION("""COMPUTED_VALUE"""),44777.0)</f>
        <v>44777</v>
      </c>
      <c r="C19163" s="6">
        <f>IFERROR(__xludf.DUMMYFUNCTION("""COMPUTED_VALUE"""),0.3269560185181035)</f>
        <v>0.3269560185</v>
      </c>
      <c r="D19163" s="4">
        <f>IFERROR(__xludf.DUMMYFUNCTION("""COMPUTED_VALUE"""),13.008134)</f>
        <v>13.008134</v>
      </c>
      <c r="E19163" s="4">
        <f>IFERROR(__xludf.DUMMYFUNCTION("""COMPUTED_VALUE"""),80.233738)</f>
        <v>80.233738</v>
      </c>
      <c r="F19163" s="4">
        <f>IFERROR(__xludf.DUMMYFUNCTION("""COMPUTED_VALUE"""),805.0)</f>
        <v>805</v>
      </c>
      <c r="G19163" s="4">
        <f>IFERROR(__xludf.DUMMYFUNCTION("""COMPUTED_VALUE"""),51.0)</f>
        <v>51</v>
      </c>
      <c r="H19163" s="4"/>
      <c r="I19163" s="4"/>
    </row>
    <row r="19164">
      <c r="A19164" s="4" t="str">
        <f>IFERROR(__xludf.DUMMYFUNCTION("""COMPUTED_VALUE"""),"cas_hmw")</f>
        <v>cas_hmw</v>
      </c>
      <c r="B19164" s="5">
        <f>IFERROR(__xludf.DUMMYFUNCTION("""COMPUTED_VALUE"""),44777.0)</f>
        <v>44777</v>
      </c>
      <c r="C19164" s="6">
        <f>IFERROR(__xludf.DUMMYFUNCTION("""COMPUTED_VALUE"""),0.3271527777760639)</f>
        <v>0.3271527778</v>
      </c>
      <c r="D19164" s="4">
        <f>IFERROR(__xludf.DUMMYFUNCTION("""COMPUTED_VALUE"""),12.989041)</f>
        <v>12.989041</v>
      </c>
      <c r="E19164" s="4">
        <f>IFERROR(__xludf.DUMMYFUNCTION("""COMPUTED_VALUE"""),80.178452)</f>
        <v>80.178452</v>
      </c>
      <c r="F19164" s="4">
        <f>IFERROR(__xludf.DUMMYFUNCTION("""COMPUTED_VALUE"""),5339.0)</f>
        <v>5339</v>
      </c>
      <c r="G19164" s="4">
        <f>IFERROR(__xludf.DUMMYFUNCTION("""COMPUTED_VALUE"""),55.0)</f>
        <v>55</v>
      </c>
      <c r="H19164" s="4"/>
      <c r="I19164" s="4"/>
    </row>
    <row r="19165">
      <c r="A19165" s="4" t="str">
        <f>IFERROR(__xludf.DUMMYFUNCTION("""COMPUTED_VALUE"""),"cas_hmw")</f>
        <v>cas_hmw</v>
      </c>
      <c r="B19165" s="5">
        <f>IFERROR(__xludf.DUMMYFUNCTION("""COMPUTED_VALUE"""),44777.0)</f>
        <v>44777</v>
      </c>
      <c r="C19165" s="6">
        <f>IFERROR(__xludf.DUMMYFUNCTION("""COMPUTED_VALUE"""),0.32730324074145756)</f>
        <v>0.3273032407</v>
      </c>
      <c r="D19165" s="4">
        <f>IFERROR(__xludf.DUMMYFUNCTION("""COMPUTED_VALUE"""),13.008876)</f>
        <v>13.008876</v>
      </c>
      <c r="E19165" s="4">
        <f>IFERROR(__xludf.DUMMYFUNCTION("""COMPUTED_VALUE"""),80.229916)</f>
        <v>80.229916</v>
      </c>
      <c r="F19165" s="4">
        <f>IFERROR(__xludf.DUMMYFUNCTION("""COMPUTED_VALUE"""),805.0)</f>
        <v>805</v>
      </c>
      <c r="G19165" s="4">
        <f>IFERROR(__xludf.DUMMYFUNCTION("""COMPUTED_VALUE"""),45.0)</f>
        <v>45</v>
      </c>
      <c r="H19165" s="4"/>
      <c r="I19165" s="4"/>
    </row>
    <row r="19166">
      <c r="A19166" s="4" t="str">
        <f>IFERROR(__xludf.DUMMYFUNCTION("""COMPUTED_VALUE"""),"cas_hmw")</f>
        <v>cas_hmw</v>
      </c>
      <c r="B19166" s="5">
        <f>IFERROR(__xludf.DUMMYFUNCTION("""COMPUTED_VALUE"""),44777.0)</f>
        <v>44777</v>
      </c>
      <c r="C19166" s="6">
        <f>IFERROR(__xludf.DUMMYFUNCTION("""COMPUTED_VALUE"""),0.3275462962956226)</f>
        <v>0.3275462963</v>
      </c>
      <c r="D19166" s="4">
        <f>IFERROR(__xludf.DUMMYFUNCTION("""COMPUTED_VALUE"""),12.986733)</f>
        <v>12.986733</v>
      </c>
      <c r="E19166" s="4">
        <f>IFERROR(__xludf.DUMMYFUNCTION("""COMPUTED_VALUE"""),80.17515)</f>
        <v>80.17515</v>
      </c>
      <c r="F19166" s="4">
        <f>IFERROR(__xludf.DUMMYFUNCTION("""COMPUTED_VALUE"""),5339.0)</f>
        <v>5339</v>
      </c>
      <c r="G19166" s="4">
        <f>IFERROR(__xludf.DUMMYFUNCTION("""COMPUTED_VALUE"""),46.0)</f>
        <v>46</v>
      </c>
      <c r="H19166" s="4"/>
      <c r="I19166" s="4"/>
    </row>
    <row r="19167">
      <c r="A19167" s="4" t="str">
        <f>IFERROR(__xludf.DUMMYFUNCTION("""COMPUTED_VALUE"""),"cas_hmw")</f>
        <v>cas_hmw</v>
      </c>
      <c r="B19167" s="5">
        <f>IFERROR(__xludf.DUMMYFUNCTION("""COMPUTED_VALUE"""),44777.0)</f>
        <v>44777</v>
      </c>
      <c r="C19167" s="6">
        <f>IFERROR(__xludf.DUMMYFUNCTION("""COMPUTED_VALUE"""),0.32781249999970896)</f>
        <v>0.3278125</v>
      </c>
      <c r="D19167" s="4">
        <f>IFERROR(__xludf.DUMMYFUNCTION("""COMPUTED_VALUE"""),12.985137)</f>
        <v>12.985137</v>
      </c>
      <c r="E19167" s="4">
        <f>IFERROR(__xludf.DUMMYFUNCTION("""COMPUTED_VALUE"""),80.172839)</f>
        <v>80.172839</v>
      </c>
      <c r="F19167" s="4">
        <f>IFERROR(__xludf.DUMMYFUNCTION("""COMPUTED_VALUE"""),5339.0)</f>
        <v>5339</v>
      </c>
      <c r="G19167" s="4">
        <f>IFERROR(__xludf.DUMMYFUNCTION("""COMPUTED_VALUE"""),43.0)</f>
        <v>43</v>
      </c>
      <c r="H19167" s="4"/>
      <c r="I19167" s="4"/>
    </row>
    <row r="19168">
      <c r="A19168" s="4" t="str">
        <f>IFERROR(__xludf.DUMMYFUNCTION("""COMPUTED_VALUE"""),"cas_hmw")</f>
        <v>cas_hmw</v>
      </c>
      <c r="B19168" s="5">
        <f>IFERROR(__xludf.DUMMYFUNCTION("""COMPUTED_VALUE"""),44777.0)</f>
        <v>44777</v>
      </c>
      <c r="C19168" s="6">
        <f>IFERROR(__xludf.DUMMYFUNCTION("""COMPUTED_VALUE"""),0.32825231481547235)</f>
        <v>0.3282523148</v>
      </c>
      <c r="D19168" s="4">
        <f>IFERROR(__xludf.DUMMYFUNCTION("""COMPUTED_VALUE"""),12.983588)</f>
        <v>12.983588</v>
      </c>
      <c r="E19168" s="4">
        <f>IFERROR(__xludf.DUMMYFUNCTION("""COMPUTED_VALUE"""),80.170327)</f>
        <v>80.170327</v>
      </c>
      <c r="F19168" s="4">
        <f>IFERROR(__xludf.DUMMYFUNCTION("""COMPUTED_VALUE"""),5339.0)</f>
        <v>5339</v>
      </c>
      <c r="G19168" s="4">
        <f>IFERROR(__xludf.DUMMYFUNCTION("""COMPUTED_VALUE"""),36.0)</f>
        <v>36</v>
      </c>
      <c r="H19168" s="4"/>
      <c r="I19168" s="4"/>
    </row>
    <row r="19169">
      <c r="A19169" s="4" t="str">
        <f>IFERROR(__xludf.DUMMYFUNCTION("""COMPUTED_VALUE"""),"cas_hmw")</f>
        <v>cas_hmw</v>
      </c>
      <c r="B19169" s="5">
        <f>IFERROR(__xludf.DUMMYFUNCTION("""COMPUTED_VALUE"""),44777.0)</f>
        <v>44777</v>
      </c>
      <c r="C19169" s="6">
        <f>IFERROR(__xludf.DUMMYFUNCTION("""COMPUTED_VALUE"""),0.3284143518503697)</f>
        <v>0.3284143519</v>
      </c>
      <c r="D19169" s="4">
        <f>IFERROR(__xludf.DUMMYFUNCTION("""COMPUTED_VALUE"""),12.98256)</f>
        <v>12.98256</v>
      </c>
      <c r="E19169" s="4">
        <f>IFERROR(__xludf.DUMMYFUNCTION("""COMPUTED_VALUE"""),80.16857)</f>
        <v>80.16857</v>
      </c>
      <c r="F19169" s="4">
        <f>IFERROR(__xludf.DUMMYFUNCTION("""COMPUTED_VALUE"""),5339.0)</f>
        <v>5339</v>
      </c>
      <c r="G19169" s="4">
        <f>IFERROR(__xludf.DUMMYFUNCTION("""COMPUTED_VALUE"""),40.0)</f>
        <v>40</v>
      </c>
      <c r="H19169" s="4"/>
      <c r="I19169" s="4"/>
    </row>
    <row r="19170">
      <c r="A19170" s="4" t="str">
        <f>IFERROR(__xludf.DUMMYFUNCTION("""COMPUTED_VALUE"""),"cas_hmw")</f>
        <v>cas_hmw</v>
      </c>
      <c r="B19170" s="5">
        <f>IFERROR(__xludf.DUMMYFUNCTION("""COMPUTED_VALUE"""),44777.0)</f>
        <v>44777</v>
      </c>
      <c r="C19170" s="6">
        <f>IFERROR(__xludf.DUMMYFUNCTION("""COMPUTED_VALUE"""),0.3287384259274404)</f>
        <v>0.3287384259</v>
      </c>
      <c r="D19170" s="4">
        <f>IFERROR(__xludf.DUMMYFUNCTION("""COMPUTED_VALUE"""),13.011801)</f>
        <v>13.011801</v>
      </c>
      <c r="E19170" s="4">
        <f>IFERROR(__xludf.DUMMYFUNCTION("""COMPUTED_VALUE"""),80.219714)</f>
        <v>80.219714</v>
      </c>
      <c r="F19170" s="4">
        <f>IFERROR(__xludf.DUMMYFUNCTION("""COMPUTED_VALUE"""),805.0)</f>
        <v>805</v>
      </c>
      <c r="G19170" s="4">
        <f>IFERROR(__xludf.DUMMYFUNCTION("""COMPUTED_VALUE"""),59.0)</f>
        <v>59</v>
      </c>
      <c r="H19170" s="4"/>
      <c r="I19170" s="4"/>
    </row>
    <row r="19171">
      <c r="A19171" s="4" t="str">
        <f>IFERROR(__xludf.DUMMYFUNCTION("""COMPUTED_VALUE"""),"cas_hmw")</f>
        <v>cas_hmw</v>
      </c>
      <c r="B19171" s="5">
        <f>IFERROR(__xludf.DUMMYFUNCTION("""COMPUTED_VALUE"""),44777.0)</f>
        <v>44777</v>
      </c>
      <c r="C19171" s="6">
        <f>IFERROR(__xludf.DUMMYFUNCTION("""COMPUTED_VALUE"""),0.3287731481468654)</f>
        <v>0.3287731481</v>
      </c>
      <c r="D19171" s="4">
        <f>IFERROR(__xludf.DUMMYFUNCTION("""COMPUTED_VALUE"""),13.011801)</f>
        <v>13.011801</v>
      </c>
      <c r="E19171" s="4">
        <f>IFERROR(__xludf.DUMMYFUNCTION("""COMPUTED_VALUE"""),80.219714)</f>
        <v>80.219714</v>
      </c>
      <c r="F19171" s="4">
        <f>IFERROR(__xludf.DUMMYFUNCTION("""COMPUTED_VALUE"""),805.0)</f>
        <v>805</v>
      </c>
      <c r="G19171" s="4">
        <f>IFERROR(__xludf.DUMMYFUNCTION("""COMPUTED_VALUE"""),59.0)</f>
        <v>59</v>
      </c>
      <c r="H19171" s="4"/>
      <c r="I19171" s="4"/>
    </row>
    <row r="19172">
      <c r="A19172" s="4" t="str">
        <f>IFERROR(__xludf.DUMMYFUNCTION("""COMPUTED_VALUE"""),"cas_hmw")</f>
        <v>cas_hmw</v>
      </c>
      <c r="B19172" s="5">
        <f>IFERROR(__xludf.DUMMYFUNCTION("""COMPUTED_VALUE"""),44777.0)</f>
        <v>44777</v>
      </c>
      <c r="C19172" s="6">
        <f>IFERROR(__xludf.DUMMYFUNCTION("""COMPUTED_VALUE"""),0.32954861111284117)</f>
        <v>0.3295486111</v>
      </c>
      <c r="D19172" s="4">
        <f>IFERROR(__xludf.DUMMYFUNCTION("""COMPUTED_VALUE"""),12.976572)</f>
        <v>12.976572</v>
      </c>
      <c r="E19172" s="4">
        <f>IFERROR(__xludf.DUMMYFUNCTION("""COMPUTED_VALUE"""),80.157908)</f>
        <v>80.157908</v>
      </c>
      <c r="F19172" s="4">
        <f>IFERROR(__xludf.DUMMYFUNCTION("""COMPUTED_VALUE"""),5339.0)</f>
        <v>5339</v>
      </c>
      <c r="G19172" s="4">
        <f>IFERROR(__xludf.DUMMYFUNCTION("""COMPUTED_VALUE"""),45.0)</f>
        <v>45</v>
      </c>
      <c r="H19172" s="4"/>
      <c r="I19172" s="4"/>
    </row>
    <row r="19173">
      <c r="A19173" s="4" t="str">
        <f>IFERROR(__xludf.DUMMYFUNCTION("""COMPUTED_VALUE"""),"cas_hmw")</f>
        <v>cas_hmw</v>
      </c>
      <c r="B19173" s="5">
        <f>IFERROR(__xludf.DUMMYFUNCTION("""COMPUTED_VALUE"""),44777.0)</f>
        <v>44777</v>
      </c>
      <c r="C19173" s="6">
        <f>IFERROR(__xludf.DUMMYFUNCTION("""COMPUTED_VALUE"""),0.3296064814821875)</f>
        <v>0.3296064815</v>
      </c>
      <c r="D19173" s="4">
        <f>IFERROR(__xludf.DUMMYFUNCTION("""COMPUTED_VALUE"""),13.008895)</f>
        <v>13.008895</v>
      </c>
      <c r="E19173" s="4">
        <f>IFERROR(__xludf.DUMMYFUNCTION("""COMPUTED_VALUE"""),80.211627)</f>
        <v>80.211627</v>
      </c>
      <c r="F19173" s="4">
        <f>IFERROR(__xludf.DUMMYFUNCTION("""COMPUTED_VALUE"""),805.0)</f>
        <v>805</v>
      </c>
      <c r="G19173" s="4">
        <f>IFERROR(__xludf.DUMMYFUNCTION("""COMPUTED_VALUE"""),34.0)</f>
        <v>34</v>
      </c>
      <c r="H19173" s="4"/>
      <c r="I19173" s="4"/>
    </row>
    <row r="19174">
      <c r="A19174" s="4" t="str">
        <f>IFERROR(__xludf.DUMMYFUNCTION("""COMPUTED_VALUE"""),"cas_hmw")</f>
        <v>cas_hmw</v>
      </c>
      <c r="B19174" s="5">
        <f>IFERROR(__xludf.DUMMYFUNCTION("""COMPUTED_VALUE"""),44777.0)</f>
        <v>44777</v>
      </c>
      <c r="C19174" s="6">
        <f>IFERROR(__xludf.DUMMYFUNCTION("""COMPUTED_VALUE"""),0.32974537037080154)</f>
        <v>0.3297453704</v>
      </c>
      <c r="D19174" s="4">
        <f>IFERROR(__xludf.DUMMYFUNCTION("""COMPUTED_VALUE"""),13.008256)</f>
        <v>13.008256</v>
      </c>
      <c r="E19174" s="4">
        <f>IFERROR(__xludf.DUMMYFUNCTION("""COMPUTED_VALUE"""),80.209851)</f>
        <v>80.209851</v>
      </c>
      <c r="F19174" s="4">
        <f>IFERROR(__xludf.DUMMYFUNCTION("""COMPUTED_VALUE"""),805.0)</f>
        <v>805</v>
      </c>
      <c r="G19174" s="4">
        <f>IFERROR(__xludf.DUMMYFUNCTION("""COMPUTED_VALUE"""),38.0)</f>
        <v>38</v>
      </c>
      <c r="H19174" s="4"/>
      <c r="I19174" s="4"/>
    </row>
    <row r="19175">
      <c r="A19175" s="4" t="str">
        <f>IFERROR(__xludf.DUMMYFUNCTION("""COMPUTED_VALUE"""),"cas_hmw")</f>
        <v>cas_hmw</v>
      </c>
      <c r="B19175" s="5">
        <f>IFERROR(__xludf.DUMMYFUNCTION("""COMPUTED_VALUE"""),44777.0)</f>
        <v>44777</v>
      </c>
      <c r="C19175" s="6">
        <f>IFERROR(__xludf.DUMMYFUNCTION("""COMPUTED_VALUE"""),0.3297916666670062)</f>
        <v>0.3297916667</v>
      </c>
      <c r="D19175" s="4">
        <f>IFERROR(__xludf.DUMMYFUNCTION("""COMPUTED_VALUE"""),13.008256)</f>
        <v>13.008256</v>
      </c>
      <c r="E19175" s="4">
        <f>IFERROR(__xludf.DUMMYFUNCTION("""COMPUTED_VALUE"""),80.209851)</f>
        <v>80.209851</v>
      </c>
      <c r="F19175" s="4">
        <f>IFERROR(__xludf.DUMMYFUNCTION("""COMPUTED_VALUE"""),805.0)</f>
        <v>805</v>
      </c>
      <c r="G19175" s="4">
        <f>IFERROR(__xludf.DUMMYFUNCTION("""COMPUTED_VALUE"""),38.0)</f>
        <v>38</v>
      </c>
      <c r="H19175" s="4"/>
      <c r="I19175" s="4"/>
    </row>
    <row r="19176">
      <c r="A19176" s="4" t="str">
        <f>IFERROR(__xludf.DUMMYFUNCTION("""COMPUTED_VALUE"""),"cas_hmw")</f>
        <v>cas_hmw</v>
      </c>
      <c r="B19176" s="5">
        <f>IFERROR(__xludf.DUMMYFUNCTION("""COMPUTED_VALUE"""),44777.0)</f>
        <v>44777</v>
      </c>
      <c r="C19176" s="6">
        <f>IFERROR(__xludf.DUMMYFUNCTION("""COMPUTED_VALUE"""),0.32988425925941556)</f>
        <v>0.3298842593</v>
      </c>
      <c r="D19176" s="4">
        <f>IFERROR(__xludf.DUMMYFUNCTION("""COMPUTED_VALUE"""),12.733068)</f>
        <v>12.733068</v>
      </c>
      <c r="E19176" s="4">
        <f>IFERROR(__xludf.DUMMYFUNCTION("""COMPUTED_VALUE"""),79.983287)</f>
        <v>79.983287</v>
      </c>
      <c r="F19176" s="4">
        <f>IFERROR(__xludf.DUMMYFUNCTION("""COMPUTED_VALUE"""),2846.0)</f>
        <v>2846</v>
      </c>
      <c r="G19176" s="4">
        <f>IFERROR(__xludf.DUMMYFUNCTION("""COMPUTED_VALUE"""),50.0)</f>
        <v>50</v>
      </c>
      <c r="H19176" s="4"/>
      <c r="I19176" s="4"/>
    </row>
    <row r="19177">
      <c r="A19177" s="4" t="str">
        <f>IFERROR(__xludf.DUMMYFUNCTION("""COMPUTED_VALUE"""),"cas_hmw")</f>
        <v>cas_hmw</v>
      </c>
      <c r="B19177" s="5">
        <f>IFERROR(__xludf.DUMMYFUNCTION("""COMPUTED_VALUE"""),44777.0)</f>
        <v>44777</v>
      </c>
      <c r="C19177" s="6">
        <f>IFERROR(__xludf.DUMMYFUNCTION("""COMPUTED_VALUE"""),0.3300231481480296)</f>
        <v>0.3300231481</v>
      </c>
      <c r="D19177" s="4">
        <f>IFERROR(__xludf.DUMMYFUNCTION("""COMPUTED_VALUE"""),13.007852)</f>
        <v>13.007852</v>
      </c>
      <c r="E19177" s="4">
        <f>IFERROR(__xludf.DUMMYFUNCTION("""COMPUTED_VALUE"""),80.207716)</f>
        <v>80.207716</v>
      </c>
      <c r="F19177" s="4">
        <f>IFERROR(__xludf.DUMMYFUNCTION("""COMPUTED_VALUE"""),805.0)</f>
        <v>805</v>
      </c>
      <c r="G19177" s="4">
        <f>IFERROR(__xludf.DUMMYFUNCTION("""COMPUTED_VALUE"""),41.0)</f>
        <v>41</v>
      </c>
      <c r="H19177" s="4"/>
      <c r="I19177" s="4"/>
    </row>
    <row r="19178">
      <c r="A19178" s="4" t="str">
        <f>IFERROR(__xludf.DUMMYFUNCTION("""COMPUTED_VALUE"""),"cas_hmw")</f>
        <v>cas_hmw</v>
      </c>
      <c r="B19178" s="5">
        <f>IFERROR(__xludf.DUMMYFUNCTION("""COMPUTED_VALUE"""),44777.0)</f>
        <v>44777</v>
      </c>
      <c r="C19178" s="6">
        <f>IFERROR(__xludf.DUMMYFUNCTION("""COMPUTED_VALUE"""),0.33010416666729725)</f>
        <v>0.3301041667</v>
      </c>
      <c r="D19178" s="4">
        <f>IFERROR(__xludf.DUMMYFUNCTION("""COMPUTED_VALUE"""),13.007679)</f>
        <v>13.007679</v>
      </c>
      <c r="E19178" s="4">
        <f>IFERROR(__xludf.DUMMYFUNCTION("""COMPUTED_VALUE"""),80.206605)</f>
        <v>80.206605</v>
      </c>
      <c r="F19178" s="4">
        <f>IFERROR(__xludf.DUMMYFUNCTION("""COMPUTED_VALUE"""),805.0)</f>
        <v>805</v>
      </c>
      <c r="G19178" s="4">
        <f>IFERROR(__xludf.DUMMYFUNCTION("""COMPUTED_VALUE"""),41.0)</f>
        <v>41</v>
      </c>
      <c r="H19178" s="4"/>
      <c r="I19178" s="4"/>
    </row>
    <row r="19179">
      <c r="A19179" s="4" t="str">
        <f>IFERROR(__xludf.DUMMYFUNCTION("""COMPUTED_VALUE"""),"cas_hmw")</f>
        <v>cas_hmw</v>
      </c>
      <c r="B19179" s="5">
        <f>IFERROR(__xludf.DUMMYFUNCTION("""COMPUTED_VALUE"""),44777.0)</f>
        <v>44777</v>
      </c>
      <c r="C19179" s="6">
        <f>IFERROR(__xludf.DUMMYFUNCTION("""COMPUTED_VALUE"""),0.33025462962905294)</f>
        <v>0.3302546296</v>
      </c>
      <c r="D19179" s="4">
        <f>IFERROR(__xludf.DUMMYFUNCTION("""COMPUTED_VALUE"""),12.736739)</f>
        <v>12.736739</v>
      </c>
      <c r="E19179" s="4">
        <f>IFERROR(__xludf.DUMMYFUNCTION("""COMPUTED_VALUE"""),79.987293)</f>
        <v>79.987293</v>
      </c>
      <c r="F19179" s="4">
        <f>IFERROR(__xludf.DUMMYFUNCTION("""COMPUTED_VALUE"""),2846.0)</f>
        <v>2846</v>
      </c>
      <c r="G19179" s="4">
        <f>IFERROR(__xludf.DUMMYFUNCTION("""COMPUTED_VALUE"""),60.0)</f>
        <v>60</v>
      </c>
      <c r="H19179" s="4"/>
      <c r="I19179" s="4"/>
    </row>
    <row r="19180">
      <c r="A19180" s="4" t="str">
        <f>IFERROR(__xludf.DUMMYFUNCTION("""COMPUTED_VALUE"""),"cas_hmw")</f>
        <v>cas_hmw</v>
      </c>
      <c r="B19180" s="5">
        <f>IFERROR(__xludf.DUMMYFUNCTION("""COMPUTED_VALUE"""),44777.0)</f>
        <v>44777</v>
      </c>
      <c r="C19180" s="6">
        <f>IFERROR(__xludf.DUMMYFUNCTION("""COMPUTED_VALUE"""),0.330879629629635)</f>
        <v>0.3308796296</v>
      </c>
      <c r="D19180" s="4">
        <f>IFERROR(__xludf.DUMMYFUNCTION("""COMPUTED_VALUE"""),13.003707)</f>
        <v>13.003707</v>
      </c>
      <c r="E19180" s="4">
        <f>IFERROR(__xludf.DUMMYFUNCTION("""COMPUTED_VALUE"""),80.20102)</f>
        <v>80.20102</v>
      </c>
      <c r="F19180" s="4">
        <f>IFERROR(__xludf.DUMMYFUNCTION("""COMPUTED_VALUE"""),805.0)</f>
        <v>805</v>
      </c>
      <c r="G19180" s="4">
        <f>IFERROR(__xludf.DUMMYFUNCTION("""COMPUTED_VALUE"""),46.0)</f>
        <v>46</v>
      </c>
      <c r="H19180" s="4"/>
      <c r="I19180" s="4"/>
    </row>
    <row r="19181">
      <c r="A19181" s="4" t="str">
        <f>IFERROR(__xludf.DUMMYFUNCTION("""COMPUTED_VALUE"""),"cas_hmw")</f>
        <v>cas_hmw</v>
      </c>
      <c r="B19181" s="5">
        <f>IFERROR(__xludf.DUMMYFUNCTION("""COMPUTED_VALUE"""),44777.0)</f>
        <v>44777</v>
      </c>
      <c r="C19181" s="6">
        <f>IFERROR(__xludf.DUMMYFUNCTION("""COMPUTED_VALUE"""),0.330914351852698)</f>
        <v>0.3309143519</v>
      </c>
      <c r="D19181" s="4">
        <f>IFERROR(__xludf.DUMMYFUNCTION("""COMPUTED_VALUE"""),12.742678)</f>
        <v>12.742678</v>
      </c>
      <c r="E19181" s="4">
        <f>IFERROR(__xludf.DUMMYFUNCTION("""COMPUTED_VALUE"""),79.99175)</f>
        <v>79.99175</v>
      </c>
      <c r="F19181" s="4">
        <f>IFERROR(__xludf.DUMMYFUNCTION("""COMPUTED_VALUE"""),2846.0)</f>
        <v>2846</v>
      </c>
      <c r="G19181" s="4">
        <f>IFERROR(__xludf.DUMMYFUNCTION("""COMPUTED_VALUE"""),36.0)</f>
        <v>36</v>
      </c>
      <c r="H19181" s="4"/>
      <c r="I19181" s="4"/>
    </row>
    <row r="19182">
      <c r="A19182" s="4" t="str">
        <f>IFERROR(__xludf.DUMMYFUNCTION("""COMPUTED_VALUE"""),"cas_hmw")</f>
        <v>cas_hmw</v>
      </c>
      <c r="B19182" s="5">
        <f>IFERROR(__xludf.DUMMYFUNCTION("""COMPUTED_VALUE"""),44777.0)</f>
        <v>44777</v>
      </c>
      <c r="C19182" s="6">
        <f>IFERROR(__xludf.DUMMYFUNCTION("""COMPUTED_VALUE"""),0.3318287037036498)</f>
        <v>0.3318287037</v>
      </c>
      <c r="D19182" s="4">
        <f>IFERROR(__xludf.DUMMYFUNCTION("""COMPUTED_VALUE"""),12.999838)</f>
        <v>12.999838</v>
      </c>
      <c r="E19182" s="4">
        <f>IFERROR(__xludf.DUMMYFUNCTION("""COMPUTED_VALUE"""),80.193964)</f>
        <v>80.193964</v>
      </c>
      <c r="F19182" s="4">
        <f>IFERROR(__xludf.DUMMYFUNCTION("""COMPUTED_VALUE"""),805.0)</f>
        <v>805</v>
      </c>
      <c r="G19182" s="4">
        <f>IFERROR(__xludf.DUMMYFUNCTION("""COMPUTED_VALUE"""),48.0)</f>
        <v>48</v>
      </c>
      <c r="H19182" s="4"/>
      <c r="I19182" s="4"/>
    </row>
    <row r="19183">
      <c r="A19183" s="4" t="str">
        <f>IFERROR(__xludf.DUMMYFUNCTION("""COMPUTED_VALUE"""),"cas_hmw")</f>
        <v>cas_hmw</v>
      </c>
      <c r="B19183" s="5">
        <f>IFERROR(__xludf.DUMMYFUNCTION("""COMPUTED_VALUE"""),44777.0)</f>
        <v>44777</v>
      </c>
      <c r="C19183" s="6">
        <f>IFERROR(__xludf.DUMMYFUNCTION("""COMPUTED_VALUE"""),0.3321527777770825)</f>
        <v>0.3321527778</v>
      </c>
      <c r="D19183" s="4">
        <f>IFERROR(__xludf.DUMMYFUNCTION("""COMPUTED_VALUE"""),12.998438)</f>
        <v>12.998438</v>
      </c>
      <c r="E19183" s="4">
        <f>IFERROR(__xludf.DUMMYFUNCTION("""COMPUTED_VALUE"""),80.19222)</f>
        <v>80.19222</v>
      </c>
      <c r="F19183" s="4">
        <f>IFERROR(__xludf.DUMMYFUNCTION("""COMPUTED_VALUE"""),805.0)</f>
        <v>805</v>
      </c>
      <c r="G19183" s="4">
        <f>IFERROR(__xludf.DUMMYFUNCTION("""COMPUTED_VALUE"""),47.0)</f>
        <v>47</v>
      </c>
      <c r="H19183" s="4"/>
      <c r="I19183" s="4"/>
    </row>
    <row r="19184">
      <c r="A19184" s="4" t="str">
        <f>IFERROR(__xludf.DUMMYFUNCTION("""COMPUTED_VALUE"""),"cas_hmw")</f>
        <v>cas_hmw</v>
      </c>
      <c r="B19184" s="5">
        <f>IFERROR(__xludf.DUMMYFUNCTION("""COMPUTED_VALUE"""),44777.0)</f>
        <v>44777</v>
      </c>
      <c r="C19184" s="6">
        <f>IFERROR(__xludf.DUMMYFUNCTION("""COMPUTED_VALUE"""),0.3327430555546016)</f>
        <v>0.3327430556</v>
      </c>
      <c r="D19184" s="4">
        <f>IFERROR(__xludf.DUMMYFUNCTION("""COMPUTED_VALUE"""),12.757332)</f>
        <v>12.757332</v>
      </c>
      <c r="E19184" s="4">
        <f>IFERROR(__xludf.DUMMYFUNCTION("""COMPUTED_VALUE"""),80.002306)</f>
        <v>80.002306</v>
      </c>
      <c r="F19184" s="4">
        <f>IFERROR(__xludf.DUMMYFUNCTION("""COMPUTED_VALUE"""),2846.0)</f>
        <v>2846</v>
      </c>
      <c r="G19184" s="4">
        <f>IFERROR(__xludf.DUMMYFUNCTION("""COMPUTED_VALUE"""),57.0)</f>
        <v>57</v>
      </c>
      <c r="H19184" s="4"/>
      <c r="I19184" s="4"/>
    </row>
    <row r="19185">
      <c r="A19185" s="4" t="str">
        <f>IFERROR(__xludf.DUMMYFUNCTION("""COMPUTED_VALUE"""),"cas_hmw")</f>
        <v>cas_hmw</v>
      </c>
      <c r="B19185" s="5">
        <f>IFERROR(__xludf.DUMMYFUNCTION("""COMPUTED_VALUE"""),44777.0)</f>
        <v>44777</v>
      </c>
      <c r="C19185" s="6">
        <f>IFERROR(__xludf.DUMMYFUNCTION("""COMPUTED_VALUE"""),0.33283564814701094)</f>
        <v>0.3328356481</v>
      </c>
      <c r="D19185" s="4">
        <f>IFERROR(__xludf.DUMMYFUNCTION("""COMPUTED_VALUE"""),12.757332)</f>
        <v>12.757332</v>
      </c>
      <c r="E19185" s="4">
        <f>IFERROR(__xludf.DUMMYFUNCTION("""COMPUTED_VALUE"""),80.002306)</f>
        <v>80.002306</v>
      </c>
      <c r="F19185" s="4">
        <f>IFERROR(__xludf.DUMMYFUNCTION("""COMPUTED_VALUE"""),2846.0)</f>
        <v>2846</v>
      </c>
      <c r="G19185" s="4">
        <f>IFERROR(__xludf.DUMMYFUNCTION("""COMPUTED_VALUE"""),57.0)</f>
        <v>57</v>
      </c>
      <c r="H19185" s="4"/>
      <c r="I19185" s="4"/>
    </row>
    <row r="19186">
      <c r="A19186" s="4" t="str">
        <f>IFERROR(__xludf.DUMMYFUNCTION("""COMPUTED_VALUE"""),"cas_hmw")</f>
        <v>cas_hmw</v>
      </c>
      <c r="B19186" s="5">
        <f>IFERROR(__xludf.DUMMYFUNCTION("""COMPUTED_VALUE"""),44777.0)</f>
        <v>44777</v>
      </c>
      <c r="C19186" s="6">
        <f>IFERROR(__xludf.DUMMYFUNCTION("""COMPUTED_VALUE"""),0.3328472222237906)</f>
        <v>0.3328472222</v>
      </c>
      <c r="D19186" s="4">
        <f>IFERROR(__xludf.DUMMYFUNCTION("""COMPUTED_VALUE"""),12.969621)</f>
        <v>12.969621</v>
      </c>
      <c r="E19186" s="4">
        <f>IFERROR(__xludf.DUMMYFUNCTION("""COMPUTED_VALUE"""),80.150193)</f>
        <v>80.150193</v>
      </c>
      <c r="F19186" s="4">
        <f>IFERROR(__xludf.DUMMYFUNCTION("""COMPUTED_VALUE"""),3143.0)</f>
        <v>3143</v>
      </c>
      <c r="G19186" s="4">
        <f>IFERROR(__xludf.DUMMYFUNCTION("""COMPUTED_VALUE"""),26.0)</f>
        <v>26</v>
      </c>
      <c r="H19186" s="4"/>
      <c r="I19186" s="4"/>
    </row>
    <row r="19187">
      <c r="A19187" s="4" t="str">
        <f>IFERROR(__xludf.DUMMYFUNCTION("""COMPUTED_VALUE"""),"cas_hmw")</f>
        <v>cas_hmw</v>
      </c>
      <c r="B19187" s="5">
        <f>IFERROR(__xludf.DUMMYFUNCTION("""COMPUTED_VALUE"""),44777.0)</f>
        <v>44777</v>
      </c>
      <c r="C19187" s="6">
        <f>IFERROR(__xludf.DUMMYFUNCTION("""COMPUTED_VALUE"""),0.33307870370481396)</f>
        <v>0.3330787037</v>
      </c>
      <c r="D19187" s="4">
        <f>IFERROR(__xludf.DUMMYFUNCTION("""COMPUTED_VALUE"""),12.968215)</f>
        <v>12.968215</v>
      </c>
      <c r="E19187" s="4">
        <f>IFERROR(__xludf.DUMMYFUNCTION("""COMPUTED_VALUE"""),80.149489)</f>
        <v>80.149489</v>
      </c>
      <c r="F19187" s="4">
        <f>IFERROR(__xludf.DUMMYFUNCTION("""COMPUTED_VALUE"""),3143.0)</f>
        <v>3143</v>
      </c>
      <c r="G19187" s="4">
        <f>IFERROR(__xludf.DUMMYFUNCTION("""COMPUTED_VALUE"""),42.0)</f>
        <v>42</v>
      </c>
      <c r="H19187" s="4"/>
      <c r="I19187" s="4"/>
    </row>
    <row r="19188">
      <c r="A19188" s="4" t="str">
        <f>IFERROR(__xludf.DUMMYFUNCTION("""COMPUTED_VALUE"""),"cas_hmw")</f>
        <v>cas_hmw</v>
      </c>
      <c r="B19188" s="5">
        <f>IFERROR(__xludf.DUMMYFUNCTION("""COMPUTED_VALUE"""),44777.0)</f>
        <v>44777</v>
      </c>
      <c r="C19188" s="6">
        <f>IFERROR(__xludf.DUMMYFUNCTION("""COMPUTED_VALUE"""),0.333287037035916)</f>
        <v>0.333287037</v>
      </c>
      <c r="D19188" s="4">
        <f>IFERROR(__xludf.DUMMYFUNCTION("""COMPUTED_VALUE"""),12.994147)</f>
        <v>12.994147</v>
      </c>
      <c r="E19188" s="4">
        <f>IFERROR(__xludf.DUMMYFUNCTION("""COMPUTED_VALUE"""),80.185956)</f>
        <v>80.185956</v>
      </c>
      <c r="F19188" s="4">
        <f>IFERROR(__xludf.DUMMYFUNCTION("""COMPUTED_VALUE"""),805.0)</f>
        <v>805</v>
      </c>
      <c r="G19188" s="4">
        <f>IFERROR(__xludf.DUMMYFUNCTION("""COMPUTED_VALUE"""),26.0)</f>
        <v>26</v>
      </c>
      <c r="H19188" s="4"/>
      <c r="I19188" s="4"/>
    </row>
    <row r="19189">
      <c r="A19189" s="4" t="str">
        <f>IFERROR(__xludf.DUMMYFUNCTION("""COMPUTED_VALUE"""),"cas_hmw")</f>
        <v>cas_hmw</v>
      </c>
      <c r="B19189" s="5">
        <f>IFERROR(__xludf.DUMMYFUNCTION("""COMPUTED_VALUE"""),44777.0)</f>
        <v>44777</v>
      </c>
      <c r="C19189" s="6">
        <f>IFERROR(__xludf.DUMMYFUNCTION("""COMPUTED_VALUE"""),0.333287037035916)</f>
        <v>0.333287037</v>
      </c>
      <c r="D19189" s="4">
        <f>IFERROR(__xludf.DUMMYFUNCTION("""COMPUTED_VALUE"""),12.994147)</f>
        <v>12.994147</v>
      </c>
      <c r="E19189" s="4">
        <f>IFERROR(__xludf.DUMMYFUNCTION("""COMPUTED_VALUE"""),80.185956)</f>
        <v>80.185956</v>
      </c>
      <c r="F19189" s="4">
        <f>IFERROR(__xludf.DUMMYFUNCTION("""COMPUTED_VALUE"""),805.0)</f>
        <v>805</v>
      </c>
      <c r="G19189" s="4">
        <f>IFERROR(__xludf.DUMMYFUNCTION("""COMPUTED_VALUE"""),26.0)</f>
        <v>26</v>
      </c>
      <c r="H19189" s="4"/>
      <c r="I19189" s="4"/>
    </row>
    <row r="19190">
      <c r="A19190" s="4" t="str">
        <f>IFERROR(__xludf.DUMMYFUNCTION("""COMPUTED_VALUE"""),"cas_hmw")</f>
        <v>cas_hmw</v>
      </c>
      <c r="B19190" s="5">
        <f>IFERROR(__xludf.DUMMYFUNCTION("""COMPUTED_VALUE"""),44777.0)</f>
        <v>44777</v>
      </c>
      <c r="C19190" s="6">
        <f>IFERROR(__xludf.DUMMYFUNCTION("""COMPUTED_VALUE"""),0.33337962962832535)</f>
        <v>0.3333796296</v>
      </c>
      <c r="D19190" s="4">
        <f>IFERROR(__xludf.DUMMYFUNCTION("""COMPUTED_VALUE"""),12.99385)</f>
        <v>12.99385</v>
      </c>
      <c r="E19190" s="4">
        <f>IFERROR(__xludf.DUMMYFUNCTION("""COMPUTED_VALUE"""),80.185354)</f>
        <v>80.185354</v>
      </c>
      <c r="F19190" s="4">
        <f>IFERROR(__xludf.DUMMYFUNCTION("""COMPUTED_VALUE"""),805.0)</f>
        <v>805</v>
      </c>
      <c r="G19190" s="4">
        <f>IFERROR(__xludf.DUMMYFUNCTION("""COMPUTED_VALUE"""),30.0)</f>
        <v>30</v>
      </c>
      <c r="H19190" s="4"/>
      <c r="I19190" s="4"/>
    </row>
    <row r="19191">
      <c r="A19191" s="4" t="str">
        <f>IFERROR(__xludf.DUMMYFUNCTION("""COMPUTED_VALUE"""),"cas_hmw")</f>
        <v>cas_hmw</v>
      </c>
      <c r="B19191" s="5">
        <f>IFERROR(__xludf.DUMMYFUNCTION("""COMPUTED_VALUE"""),44777.0)</f>
        <v>44777</v>
      </c>
      <c r="C19191" s="6">
        <f>IFERROR(__xludf.DUMMYFUNCTION("""COMPUTED_VALUE"""),0.33385416666715173)</f>
        <v>0.3338541667</v>
      </c>
      <c r="D19191" s="4">
        <f>IFERROR(__xludf.DUMMYFUNCTION("""COMPUTED_VALUE"""),12.991344)</f>
        <v>12.991344</v>
      </c>
      <c r="E19191" s="4">
        <f>IFERROR(__xludf.DUMMYFUNCTION("""COMPUTED_VALUE"""),80.181308)</f>
        <v>80.181308</v>
      </c>
      <c r="F19191" s="4">
        <f>IFERROR(__xludf.DUMMYFUNCTION("""COMPUTED_VALUE"""),805.0)</f>
        <v>805</v>
      </c>
      <c r="G19191" s="4">
        <f>IFERROR(__xludf.DUMMYFUNCTION("""COMPUTED_VALUE"""),50.0)</f>
        <v>50</v>
      </c>
      <c r="H19191" s="4"/>
      <c r="I19191" s="4"/>
    </row>
    <row r="19192">
      <c r="A19192" s="4" t="str">
        <f>IFERROR(__xludf.DUMMYFUNCTION("""COMPUTED_VALUE"""),"cas_hmw")</f>
        <v>cas_hmw</v>
      </c>
      <c r="B19192" s="5">
        <f>IFERROR(__xludf.DUMMYFUNCTION("""COMPUTED_VALUE"""),44777.0)</f>
        <v>44777</v>
      </c>
      <c r="C19192" s="6">
        <f>IFERROR(__xludf.DUMMYFUNCTION("""COMPUTED_VALUE"""),0.3342361111099308)</f>
        <v>0.3342361111</v>
      </c>
      <c r="D19192" s="4">
        <f>IFERROR(__xludf.DUMMYFUNCTION("""COMPUTED_VALUE"""),12.962138)</f>
        <v>12.962138</v>
      </c>
      <c r="E19192" s="4">
        <f>IFERROR(__xludf.DUMMYFUNCTION("""COMPUTED_VALUE"""),80.146382)</f>
        <v>80.146382</v>
      </c>
      <c r="F19192" s="4">
        <f>IFERROR(__xludf.DUMMYFUNCTION("""COMPUTED_VALUE"""),3143.0)</f>
        <v>3143</v>
      </c>
      <c r="G19192" s="4">
        <f>IFERROR(__xludf.DUMMYFUNCTION("""COMPUTED_VALUE"""),24.0)</f>
        <v>24</v>
      </c>
      <c r="H19192" s="4"/>
      <c r="I19192" s="4"/>
    </row>
    <row r="19193">
      <c r="A19193" s="4" t="str">
        <f>IFERROR(__xludf.DUMMYFUNCTION("""COMPUTED_VALUE"""),"cas_hmw")</f>
        <v>cas_hmw</v>
      </c>
      <c r="B19193" s="5">
        <f>IFERROR(__xludf.DUMMYFUNCTION("""COMPUTED_VALUE"""),44777.0)</f>
        <v>44777</v>
      </c>
      <c r="C19193" s="6">
        <f>IFERROR(__xludf.DUMMYFUNCTION("""COMPUTED_VALUE"""),0.3346180555563478)</f>
        <v>0.3346180556</v>
      </c>
      <c r="D19193" s="4">
        <f>IFERROR(__xludf.DUMMYFUNCTION("""COMPUTED_VALUE"""),12.988111)</f>
        <v>12.988111</v>
      </c>
      <c r="E19193" s="4">
        <f>IFERROR(__xludf.DUMMYFUNCTION("""COMPUTED_VALUE"""),80.177137)</f>
        <v>80.177137</v>
      </c>
      <c r="F19193" s="4">
        <f>IFERROR(__xludf.DUMMYFUNCTION("""COMPUTED_VALUE"""),805.0)</f>
        <v>805</v>
      </c>
      <c r="G19193" s="4">
        <f>IFERROR(__xludf.DUMMYFUNCTION("""COMPUTED_VALUE"""),38.0)</f>
        <v>38</v>
      </c>
      <c r="H19193" s="4"/>
      <c r="I19193" s="4"/>
    </row>
    <row r="19194">
      <c r="A19194" s="4" t="str">
        <f>IFERROR(__xludf.DUMMYFUNCTION("""COMPUTED_VALUE"""),"cas_hmw")</f>
        <v>cas_hmw</v>
      </c>
      <c r="B19194" s="5">
        <f>IFERROR(__xludf.DUMMYFUNCTION("""COMPUTED_VALUE"""),44777.0)</f>
        <v>44777</v>
      </c>
      <c r="C19194" s="6">
        <f>IFERROR(__xludf.DUMMYFUNCTION("""COMPUTED_VALUE"""),0.3346296296294895)</f>
        <v>0.3346296296</v>
      </c>
      <c r="D19194" s="4">
        <f>IFERROR(__xludf.DUMMYFUNCTION("""COMPUTED_VALUE"""),12.956125)</f>
        <v>12.956125</v>
      </c>
      <c r="E19194" s="4">
        <f>IFERROR(__xludf.DUMMYFUNCTION("""COMPUTED_VALUE"""),80.143193)</f>
        <v>80.143193</v>
      </c>
      <c r="F19194" s="4">
        <f>IFERROR(__xludf.DUMMYFUNCTION("""COMPUTED_VALUE"""),5339.0)</f>
        <v>5339</v>
      </c>
      <c r="G19194" s="4">
        <f>IFERROR(__xludf.DUMMYFUNCTION("""COMPUTED_VALUE"""),26.0)</f>
        <v>26</v>
      </c>
      <c r="H19194" s="4"/>
      <c r="I19194" s="4"/>
    </row>
    <row r="19195">
      <c r="A19195" s="4" t="str">
        <f>IFERROR(__xludf.DUMMYFUNCTION("""COMPUTED_VALUE"""),"cas_hmw")</f>
        <v>cas_hmw</v>
      </c>
      <c r="B19195" s="5">
        <f>IFERROR(__xludf.DUMMYFUNCTION("""COMPUTED_VALUE"""),44777.0)</f>
        <v>44777</v>
      </c>
      <c r="C19195" s="6">
        <f>IFERROR(__xludf.DUMMYFUNCTION("""COMPUTED_VALUE"""),0.3348032407411665)</f>
        <v>0.3348032407</v>
      </c>
      <c r="D19195" s="4">
        <f>IFERROR(__xludf.DUMMYFUNCTION("""COMPUTED_VALUE"""),12.958086)</f>
        <v>12.958086</v>
      </c>
      <c r="E19195" s="4">
        <f>IFERROR(__xludf.DUMMYFUNCTION("""COMPUTED_VALUE"""),80.144205)</f>
        <v>80.144205</v>
      </c>
      <c r="F19195" s="4">
        <f>IFERROR(__xludf.DUMMYFUNCTION("""COMPUTED_VALUE"""),3143.0)</f>
        <v>3143</v>
      </c>
      <c r="G19195" s="4">
        <f>IFERROR(__xludf.DUMMYFUNCTION("""COMPUTED_VALUE"""),32.0)</f>
        <v>32</v>
      </c>
      <c r="H19195" s="4"/>
      <c r="I19195" s="4"/>
    </row>
    <row r="19196">
      <c r="A19196" s="4" t="str">
        <f>IFERROR(__xludf.DUMMYFUNCTION("""COMPUTED_VALUE"""),"cas_hmw")</f>
        <v>cas_hmw</v>
      </c>
      <c r="B19196" s="5">
        <f>IFERROR(__xludf.DUMMYFUNCTION("""COMPUTED_VALUE"""),44777.0)</f>
        <v>44777</v>
      </c>
      <c r="C19196" s="6">
        <f>IFERROR(__xludf.DUMMYFUNCTION("""COMPUTED_VALUE"""),0.33511574074145756)</f>
        <v>0.3351157407</v>
      </c>
      <c r="D19196" s="4">
        <f>IFERROR(__xludf.DUMMYFUNCTION("""COMPUTED_VALUE"""),12.955901)</f>
        <v>12.955901</v>
      </c>
      <c r="E19196" s="4">
        <f>IFERROR(__xludf.DUMMYFUNCTION("""COMPUTED_VALUE"""),80.143078)</f>
        <v>80.143078</v>
      </c>
      <c r="F19196" s="4">
        <f>IFERROR(__xludf.DUMMYFUNCTION("""COMPUTED_VALUE"""),3143.0)</f>
        <v>3143</v>
      </c>
      <c r="G19196" s="4">
        <f>IFERROR(__xludf.DUMMYFUNCTION("""COMPUTED_VALUE"""),36.0)</f>
        <v>36</v>
      </c>
      <c r="H19196" s="4"/>
      <c r="I19196" s="4"/>
    </row>
    <row r="19197">
      <c r="A19197" s="4" t="str">
        <f>IFERROR(__xludf.DUMMYFUNCTION("""COMPUTED_VALUE"""),"cas_hmw")</f>
        <v>cas_hmw</v>
      </c>
      <c r="B19197" s="5">
        <f>IFERROR(__xludf.DUMMYFUNCTION("""COMPUTED_VALUE"""),44777.0)</f>
        <v>44777</v>
      </c>
      <c r="C19197" s="6">
        <f>IFERROR(__xludf.DUMMYFUNCTION("""COMPUTED_VALUE"""),0.33530092592627625)</f>
        <v>0.3353009259</v>
      </c>
      <c r="D19197" s="4">
        <f>IFERROR(__xludf.DUMMYFUNCTION("""COMPUTED_VALUE"""),12.954908)</f>
        <v>12.954908</v>
      </c>
      <c r="E19197" s="4">
        <f>IFERROR(__xludf.DUMMYFUNCTION("""COMPUTED_VALUE"""),80.142561)</f>
        <v>80.142561</v>
      </c>
      <c r="F19197" s="4">
        <f>IFERROR(__xludf.DUMMYFUNCTION("""COMPUTED_VALUE"""),3143.0)</f>
        <v>3143</v>
      </c>
      <c r="G19197" s="4">
        <f>IFERROR(__xludf.DUMMYFUNCTION("""COMPUTED_VALUE"""),52.0)</f>
        <v>52</v>
      </c>
      <c r="H19197" s="4"/>
      <c r="I19197" s="4"/>
    </row>
    <row r="19198">
      <c r="A19198" s="4" t="str">
        <f>IFERROR(__xludf.DUMMYFUNCTION("""COMPUTED_VALUE"""),"cas_hmw")</f>
        <v>cas_hmw</v>
      </c>
      <c r="B19198" s="5">
        <f>IFERROR(__xludf.DUMMYFUNCTION("""COMPUTED_VALUE"""),44777.0)</f>
        <v>44777</v>
      </c>
      <c r="C19198" s="6">
        <f>IFERROR(__xludf.DUMMYFUNCTION("""COMPUTED_VALUE"""),0.33565972222277196)</f>
        <v>0.3356597222</v>
      </c>
      <c r="D19198" s="4">
        <f>IFERROR(__xludf.DUMMYFUNCTION("""COMPUTED_VALUE"""),12.983895)</f>
        <v>12.983895</v>
      </c>
      <c r="E19198" s="4">
        <f>IFERROR(__xludf.DUMMYFUNCTION("""COMPUTED_VALUE"""),80.170894)</f>
        <v>80.170894</v>
      </c>
      <c r="F19198" s="4">
        <f>IFERROR(__xludf.DUMMYFUNCTION("""COMPUTED_VALUE"""),805.0)</f>
        <v>805</v>
      </c>
      <c r="G19198" s="4">
        <f>IFERROR(__xludf.DUMMYFUNCTION("""COMPUTED_VALUE"""),40.0)</f>
        <v>40</v>
      </c>
      <c r="H19198" s="4"/>
      <c r="I19198" s="4"/>
    </row>
    <row r="19199">
      <c r="A19199" s="4" t="str">
        <f>IFERROR(__xludf.DUMMYFUNCTION("""COMPUTED_VALUE"""),"cas_hmw")</f>
        <v>cas_hmw</v>
      </c>
      <c r="B19199" s="5">
        <f>IFERROR(__xludf.DUMMYFUNCTION("""COMPUTED_VALUE"""),44777.0)</f>
        <v>44777</v>
      </c>
      <c r="C19199" s="6">
        <f>IFERROR(__xludf.DUMMYFUNCTION("""COMPUTED_VALUE"""),0.3356828703690553)</f>
        <v>0.3356828704</v>
      </c>
      <c r="D19199" s="4">
        <f>IFERROR(__xludf.DUMMYFUNCTION("""COMPUTED_VALUE"""),12.983895)</f>
        <v>12.983895</v>
      </c>
      <c r="E19199" s="4">
        <f>IFERROR(__xludf.DUMMYFUNCTION("""COMPUTED_VALUE"""),80.170894)</f>
        <v>80.170894</v>
      </c>
      <c r="F19199" s="4">
        <f>IFERROR(__xludf.DUMMYFUNCTION("""COMPUTED_VALUE"""),805.0)</f>
        <v>805</v>
      </c>
      <c r="G19199" s="4">
        <f>IFERROR(__xludf.DUMMYFUNCTION("""COMPUTED_VALUE"""),40.0)</f>
        <v>40</v>
      </c>
      <c r="H19199" s="4"/>
      <c r="I19199" s="4"/>
    </row>
    <row r="19200">
      <c r="A19200" s="4" t="str">
        <f>IFERROR(__xludf.DUMMYFUNCTION("""COMPUTED_VALUE"""),"cas_hmw")</f>
        <v>cas_hmw</v>
      </c>
      <c r="B19200" s="5">
        <f>IFERROR(__xludf.DUMMYFUNCTION("""COMPUTED_VALUE"""),44777.0)</f>
        <v>44777</v>
      </c>
      <c r="C19200" s="6">
        <f>IFERROR(__xludf.DUMMYFUNCTION("""COMPUTED_VALUE"""),0.336111111111677)</f>
        <v>0.3361111111</v>
      </c>
      <c r="D19200" s="4">
        <f>IFERROR(__xludf.DUMMYFUNCTION("""COMPUTED_VALUE"""),12.981768)</f>
        <v>12.981768</v>
      </c>
      <c r="E19200" s="4">
        <f>IFERROR(__xludf.DUMMYFUNCTION("""COMPUTED_VALUE"""),80.16736)</f>
        <v>80.16736</v>
      </c>
      <c r="F19200" s="4">
        <f>IFERROR(__xludf.DUMMYFUNCTION("""COMPUTED_VALUE"""),805.0)</f>
        <v>805</v>
      </c>
      <c r="G19200" s="4">
        <f>IFERROR(__xludf.DUMMYFUNCTION("""COMPUTED_VALUE"""),40.0)</f>
        <v>40</v>
      </c>
      <c r="H19200" s="4"/>
      <c r="I19200" s="4"/>
    </row>
    <row r="19201">
      <c r="A19201" s="4" t="str">
        <f>IFERROR(__xludf.DUMMYFUNCTION("""COMPUTED_VALUE"""),"cas_hmw")</f>
        <v>cas_hmw</v>
      </c>
      <c r="B19201" s="5">
        <f>IFERROR(__xludf.DUMMYFUNCTION("""COMPUTED_VALUE"""),44777.0)</f>
        <v>44777</v>
      </c>
      <c r="C19201" s="6">
        <f>IFERROR(__xludf.DUMMYFUNCTION("""COMPUTED_VALUE"""),0.3365625000005821)</f>
        <v>0.3365625</v>
      </c>
      <c r="D19201" s="4">
        <f>IFERROR(__xludf.DUMMYFUNCTION("""COMPUTED_VALUE"""),12.980153)</f>
        <v>12.980153</v>
      </c>
      <c r="E19201" s="4">
        <f>IFERROR(__xludf.DUMMYFUNCTION("""COMPUTED_VALUE"""),80.163828)</f>
        <v>80.163828</v>
      </c>
      <c r="F19201" s="4">
        <f>IFERROR(__xludf.DUMMYFUNCTION("""COMPUTED_VALUE"""),805.0)</f>
        <v>805</v>
      </c>
      <c r="G19201" s="4">
        <f>IFERROR(__xludf.DUMMYFUNCTION("""COMPUTED_VALUE"""),49.0)</f>
        <v>49</v>
      </c>
      <c r="H19201" s="4"/>
      <c r="I19201" s="4"/>
    </row>
    <row r="19202">
      <c r="A19202" s="4" t="str">
        <f>IFERROR(__xludf.DUMMYFUNCTION("""COMPUTED_VALUE"""),"cas_hmw")</f>
        <v>cas_hmw</v>
      </c>
      <c r="B19202" s="5">
        <f>IFERROR(__xludf.DUMMYFUNCTION("""COMPUTED_VALUE"""),44777.0)</f>
        <v>44777</v>
      </c>
      <c r="C19202" s="6">
        <f>IFERROR(__xludf.DUMMYFUNCTION("""COMPUTED_VALUE"""),0.33682870370466844)</f>
        <v>0.3368287037</v>
      </c>
      <c r="D19202" s="4">
        <f>IFERROR(__xludf.DUMMYFUNCTION("""COMPUTED_VALUE"""),12.951084)</f>
        <v>12.951084</v>
      </c>
      <c r="E19202" s="4">
        <f>IFERROR(__xludf.DUMMYFUNCTION("""COMPUTED_VALUE"""),80.14003)</f>
        <v>80.14003</v>
      </c>
      <c r="F19202" s="4">
        <f>IFERROR(__xludf.DUMMYFUNCTION("""COMPUTED_VALUE"""),3143.0)</f>
        <v>3143</v>
      </c>
      <c r="G19202" s="4">
        <f>IFERROR(__xludf.DUMMYFUNCTION("""COMPUTED_VALUE"""),4.0)</f>
        <v>4</v>
      </c>
      <c r="H19202" s="4"/>
      <c r="I19202" s="4"/>
    </row>
    <row r="19203">
      <c r="A19203" s="4" t="str">
        <f>IFERROR(__xludf.DUMMYFUNCTION("""COMPUTED_VALUE"""),"cas_hmw")</f>
        <v>cas_hmw</v>
      </c>
      <c r="B19203" s="5">
        <f>IFERROR(__xludf.DUMMYFUNCTION("""COMPUTED_VALUE"""),44777.0)</f>
        <v>44777</v>
      </c>
      <c r="C19203" s="6">
        <f>IFERROR(__xludf.DUMMYFUNCTION("""COMPUTED_VALUE"""),0.3369907407395658)</f>
        <v>0.3369907407</v>
      </c>
      <c r="D19203" s="4">
        <f>IFERROR(__xludf.DUMMYFUNCTION("""COMPUTED_VALUE"""),12.947826)</f>
        <v>12.947826</v>
      </c>
      <c r="E19203" s="4">
        <f>IFERROR(__xludf.DUMMYFUNCTION("""COMPUTED_VALUE"""),80.137543)</f>
        <v>80.137543</v>
      </c>
      <c r="F19203" s="4">
        <f>IFERROR(__xludf.DUMMYFUNCTION("""COMPUTED_VALUE"""),5339.0)</f>
        <v>5339</v>
      </c>
      <c r="G19203" s="4">
        <f>IFERROR(__xludf.DUMMYFUNCTION("""COMPUTED_VALUE"""),48.0)</f>
        <v>48</v>
      </c>
      <c r="H19203" s="4"/>
      <c r="I19203" s="4"/>
    </row>
    <row r="19204">
      <c r="A19204" s="4" t="str">
        <f>IFERROR(__xludf.DUMMYFUNCTION("""COMPUTED_VALUE"""),"cas_hmw")</f>
        <v>cas_hmw</v>
      </c>
      <c r="B19204" s="5">
        <f>IFERROR(__xludf.DUMMYFUNCTION("""COMPUTED_VALUE"""),44777.0)</f>
        <v>44777</v>
      </c>
      <c r="C19204" s="6">
        <f>IFERROR(__xludf.DUMMYFUNCTION("""COMPUTED_VALUE"""),0.3370254629626288)</f>
        <v>0.337025463</v>
      </c>
      <c r="D19204" s="4">
        <f>IFERROR(__xludf.DUMMYFUNCTION("""COMPUTED_VALUE"""),12.978118)</f>
        <v>12.978118</v>
      </c>
      <c r="E19204" s="4">
        <f>IFERROR(__xludf.DUMMYFUNCTION("""COMPUTED_VALUE"""),80.16029)</f>
        <v>80.16029</v>
      </c>
      <c r="F19204" s="4">
        <f>IFERROR(__xludf.DUMMYFUNCTION("""COMPUTED_VALUE"""),805.0)</f>
        <v>805</v>
      </c>
      <c r="G19204" s="4">
        <f>IFERROR(__xludf.DUMMYFUNCTION("""COMPUTED_VALUE"""),48.0)</f>
        <v>48</v>
      </c>
      <c r="H19204" s="4"/>
      <c r="I19204" s="4"/>
    </row>
    <row r="19205">
      <c r="A19205" s="4" t="str">
        <f>IFERROR(__xludf.DUMMYFUNCTION("""COMPUTED_VALUE"""),"cas_hmw")</f>
        <v>cas_hmw</v>
      </c>
      <c r="B19205" s="5">
        <f>IFERROR(__xludf.DUMMYFUNCTION("""COMPUTED_VALUE"""),44777.0)</f>
        <v>44777</v>
      </c>
      <c r="C19205" s="6">
        <f>IFERROR(__xludf.DUMMYFUNCTION("""COMPUTED_VALUE"""),0.3372106481474475)</f>
        <v>0.3372106481</v>
      </c>
      <c r="D19205" s="4">
        <f>IFERROR(__xludf.DUMMYFUNCTION("""COMPUTED_VALUE"""),12.949107)</f>
        <v>12.949107</v>
      </c>
      <c r="E19205" s="4">
        <f>IFERROR(__xludf.DUMMYFUNCTION("""COMPUTED_VALUE"""),80.138597)</f>
        <v>80.138597</v>
      </c>
      <c r="F19205" s="4">
        <f>IFERROR(__xludf.DUMMYFUNCTION("""COMPUTED_VALUE"""),3143.0)</f>
        <v>3143</v>
      </c>
      <c r="G19205" s="4">
        <f>IFERROR(__xludf.DUMMYFUNCTION("""COMPUTED_VALUE"""),34.0)</f>
        <v>34</v>
      </c>
      <c r="H19205" s="4"/>
      <c r="I19205" s="4"/>
    </row>
    <row r="19206">
      <c r="A19206" s="4" t="str">
        <f>IFERROR(__xludf.DUMMYFUNCTION("""COMPUTED_VALUE"""),"cas_hmw")</f>
        <v>cas_hmw</v>
      </c>
      <c r="B19206" s="5">
        <f>IFERROR(__xludf.DUMMYFUNCTION("""COMPUTED_VALUE"""),44777.0)</f>
        <v>44777</v>
      </c>
      <c r="C19206" s="6">
        <f>IFERROR(__xludf.DUMMYFUNCTION("""COMPUTED_VALUE"""),0.33726851851679385)</f>
        <v>0.3372685185</v>
      </c>
      <c r="D19206" s="4">
        <f>IFERROR(__xludf.DUMMYFUNCTION("""COMPUTED_VALUE"""),12.976766)</f>
        <v>12.976766</v>
      </c>
      <c r="E19206" s="4">
        <f>IFERROR(__xludf.DUMMYFUNCTION("""COMPUTED_VALUE"""),80.158245)</f>
        <v>80.158245</v>
      </c>
      <c r="F19206" s="4">
        <f>IFERROR(__xludf.DUMMYFUNCTION("""COMPUTED_VALUE"""),805.0)</f>
        <v>805</v>
      </c>
      <c r="G19206" s="4">
        <f>IFERROR(__xludf.DUMMYFUNCTION("""COMPUTED_VALUE"""),49.0)</f>
        <v>49</v>
      </c>
      <c r="H19206" s="4"/>
      <c r="I19206" s="4"/>
    </row>
    <row r="19207">
      <c r="A19207" s="4" t="str">
        <f>IFERROR(__xludf.DUMMYFUNCTION("""COMPUTED_VALUE"""),"cas_hmw")</f>
        <v>cas_hmw</v>
      </c>
      <c r="B19207" s="5">
        <f>IFERROR(__xludf.DUMMYFUNCTION("""COMPUTED_VALUE"""),44777.0)</f>
        <v>44777</v>
      </c>
      <c r="C19207" s="6">
        <f>IFERROR(__xludf.DUMMYFUNCTION("""COMPUTED_VALUE"""),0.3373263888897782)</f>
        <v>0.3373263889</v>
      </c>
      <c r="D19207" s="4">
        <f>IFERROR(__xludf.DUMMYFUNCTION("""COMPUTED_VALUE"""),12.944854)</f>
        <v>12.944854</v>
      </c>
      <c r="E19207" s="4">
        <f>IFERROR(__xludf.DUMMYFUNCTION("""COMPUTED_VALUE"""),80.13525)</f>
        <v>80.13525</v>
      </c>
      <c r="F19207" s="4">
        <f>IFERROR(__xludf.DUMMYFUNCTION("""COMPUTED_VALUE"""),5339.0)</f>
        <v>5339</v>
      </c>
      <c r="G19207" s="4">
        <f>IFERROR(__xludf.DUMMYFUNCTION("""COMPUTED_VALUE"""),54.0)</f>
        <v>54</v>
      </c>
      <c r="H19207" s="4"/>
      <c r="I19207" s="4"/>
    </row>
    <row r="19208">
      <c r="A19208" s="4" t="str">
        <f>IFERROR(__xludf.DUMMYFUNCTION("""COMPUTED_VALUE"""),"cas_hmw")</f>
        <v>cas_hmw</v>
      </c>
      <c r="B19208" s="5">
        <f>IFERROR(__xludf.DUMMYFUNCTION("""COMPUTED_VALUE"""),44777.0)</f>
        <v>44777</v>
      </c>
      <c r="C19208" s="6">
        <f>IFERROR(__xludf.DUMMYFUNCTION("""COMPUTED_VALUE"""),0.33740740740904585)</f>
        <v>0.3374074074</v>
      </c>
      <c r="D19208" s="4">
        <f>IFERROR(__xludf.DUMMYFUNCTION("""COMPUTED_VALUE"""),12.795443)</f>
        <v>12.795443</v>
      </c>
      <c r="E19208" s="4">
        <f>IFERROR(__xludf.DUMMYFUNCTION("""COMPUTED_VALUE"""),80.020277)</f>
        <v>80.020277</v>
      </c>
      <c r="F19208" s="4">
        <f>IFERROR(__xludf.DUMMYFUNCTION("""COMPUTED_VALUE"""),2846.0)</f>
        <v>2846</v>
      </c>
      <c r="G19208" s="4">
        <f>IFERROR(__xludf.DUMMYFUNCTION("""COMPUTED_VALUE"""),38.0)</f>
        <v>38</v>
      </c>
      <c r="H19208" s="4"/>
      <c r="I19208" s="4"/>
    </row>
    <row r="19209">
      <c r="A19209" s="4" t="str">
        <f>IFERROR(__xludf.DUMMYFUNCTION("""COMPUTED_VALUE"""),"cas_hmw")</f>
        <v>cas_hmw</v>
      </c>
      <c r="B19209" s="5">
        <f>IFERROR(__xludf.DUMMYFUNCTION("""COMPUTED_VALUE"""),44777.0)</f>
        <v>44777</v>
      </c>
      <c r="C19209" s="6">
        <f>IFERROR(__xludf.DUMMYFUNCTION("""COMPUTED_VALUE"""),0.33803240740598994)</f>
        <v>0.3380324074</v>
      </c>
      <c r="D19209" s="4">
        <f>IFERROR(__xludf.DUMMYFUNCTION("""COMPUTED_VALUE"""),12.973124)</f>
        <v>12.973124</v>
      </c>
      <c r="E19209" s="4">
        <f>IFERROR(__xludf.DUMMYFUNCTION("""COMPUTED_VALUE"""),80.152921)</f>
        <v>80.152921</v>
      </c>
      <c r="F19209" s="4">
        <f>IFERROR(__xludf.DUMMYFUNCTION("""COMPUTED_VALUE"""),805.0)</f>
        <v>805</v>
      </c>
      <c r="G19209" s="4">
        <f>IFERROR(__xludf.DUMMYFUNCTION("""COMPUTED_VALUE"""),0.0)</f>
        <v>0</v>
      </c>
      <c r="H19209" s="4"/>
      <c r="I19209" s="4"/>
    </row>
    <row r="19210">
      <c r="A19210" s="4" t="str">
        <f>IFERROR(__xludf.DUMMYFUNCTION("""COMPUTED_VALUE"""),"cas_hmw")</f>
        <v>cas_hmw</v>
      </c>
      <c r="B19210" s="5">
        <f>IFERROR(__xludf.DUMMYFUNCTION("""COMPUTED_VALUE"""),44777.0)</f>
        <v>44777</v>
      </c>
      <c r="C19210" s="6">
        <f>IFERROR(__xludf.DUMMYFUNCTION("""COMPUTED_VALUE"""),0.3380787037021946)</f>
        <v>0.3380787037</v>
      </c>
      <c r="D19210" s="4">
        <f>IFERROR(__xludf.DUMMYFUNCTION("""COMPUTED_VALUE"""),12.973124)</f>
        <v>12.973124</v>
      </c>
      <c r="E19210" s="4">
        <f>IFERROR(__xludf.DUMMYFUNCTION("""COMPUTED_VALUE"""),80.152921)</f>
        <v>80.152921</v>
      </c>
      <c r="F19210" s="4">
        <f>IFERROR(__xludf.DUMMYFUNCTION("""COMPUTED_VALUE"""),805.0)</f>
        <v>805</v>
      </c>
      <c r="G19210" s="4">
        <f>IFERROR(__xludf.DUMMYFUNCTION("""COMPUTED_VALUE"""),0.0)</f>
        <v>0</v>
      </c>
      <c r="H19210" s="4"/>
      <c r="I19210" s="4"/>
    </row>
    <row r="19211">
      <c r="A19211" s="4" t="str">
        <f>IFERROR(__xludf.DUMMYFUNCTION("""COMPUTED_VALUE"""),"cas_hmw")</f>
        <v>cas_hmw</v>
      </c>
      <c r="B19211" s="5">
        <f>IFERROR(__xludf.DUMMYFUNCTION("""COMPUTED_VALUE"""),44777.0)</f>
        <v>44777</v>
      </c>
      <c r="C19211" s="6">
        <f>IFERROR(__xludf.DUMMYFUNCTION("""COMPUTED_VALUE"""),0.338344907406281)</f>
        <v>0.3383449074</v>
      </c>
      <c r="D19211" s="4">
        <f>IFERROR(__xludf.DUMMYFUNCTION("""COMPUTED_VALUE"""),12.971911)</f>
        <v>12.971911</v>
      </c>
      <c r="E19211" s="4">
        <f>IFERROR(__xludf.DUMMYFUNCTION("""COMPUTED_VALUE"""),80.151412)</f>
        <v>80.151412</v>
      </c>
      <c r="F19211" s="4">
        <f>IFERROR(__xludf.DUMMYFUNCTION("""COMPUTED_VALUE"""),805.0)</f>
        <v>805</v>
      </c>
      <c r="G19211" s="4">
        <f>IFERROR(__xludf.DUMMYFUNCTION("""COMPUTED_VALUE"""),21.0)</f>
        <v>21</v>
      </c>
      <c r="H19211" s="4"/>
      <c r="I19211" s="4"/>
    </row>
    <row r="19212">
      <c r="A19212" s="4" t="str">
        <f>IFERROR(__xludf.DUMMYFUNCTION("""COMPUTED_VALUE"""),"cas_hmw")</f>
        <v>cas_hmw</v>
      </c>
      <c r="B19212" s="5">
        <f>IFERROR(__xludf.DUMMYFUNCTION("""COMPUTED_VALUE"""),44777.0)</f>
        <v>44777</v>
      </c>
      <c r="C19212" s="6">
        <f>IFERROR(__xludf.DUMMYFUNCTION("""COMPUTED_VALUE"""),0.33839120370248565)</f>
        <v>0.3383912037</v>
      </c>
      <c r="D19212" s="4">
        <f>IFERROR(__xludf.DUMMYFUNCTION("""COMPUTED_VALUE"""),12.942566)</f>
        <v>12.942566</v>
      </c>
      <c r="E19212" s="4">
        <f>IFERROR(__xludf.DUMMYFUNCTION("""COMPUTED_VALUE"""),80.133322)</f>
        <v>80.133322</v>
      </c>
      <c r="F19212" s="4">
        <f>IFERROR(__xludf.DUMMYFUNCTION("""COMPUTED_VALUE"""),3143.0)</f>
        <v>3143</v>
      </c>
      <c r="G19212" s="4">
        <f>IFERROR(__xludf.DUMMYFUNCTION("""COMPUTED_VALUE"""),22.0)</f>
        <v>22</v>
      </c>
      <c r="H19212" s="4"/>
      <c r="I19212" s="4"/>
    </row>
    <row r="19213">
      <c r="A19213" s="4" t="str">
        <f>IFERROR(__xludf.DUMMYFUNCTION("""COMPUTED_VALUE"""),"cas_hmw")</f>
        <v>cas_hmw</v>
      </c>
      <c r="B19213" s="5">
        <f>IFERROR(__xludf.DUMMYFUNCTION("""COMPUTED_VALUE"""),44777.0)</f>
        <v>44777</v>
      </c>
      <c r="C19213" s="6">
        <f>IFERROR(__xludf.DUMMYFUNCTION("""COMPUTED_VALUE"""),0.33842592592554865)</f>
        <v>0.3384259259</v>
      </c>
      <c r="D19213" s="4">
        <f>IFERROR(__xludf.DUMMYFUNCTION("""COMPUTED_VALUE"""),12.97124)</f>
        <v>12.97124</v>
      </c>
      <c r="E19213" s="4">
        <f>IFERROR(__xludf.DUMMYFUNCTION("""COMPUTED_VALUE"""),80.151004)</f>
        <v>80.151004</v>
      </c>
      <c r="F19213" s="4">
        <f>IFERROR(__xludf.DUMMYFUNCTION("""COMPUTED_VALUE"""),805.0)</f>
        <v>805</v>
      </c>
      <c r="G19213" s="4">
        <f>IFERROR(__xludf.DUMMYFUNCTION("""COMPUTED_VALUE"""),26.0)</f>
        <v>26</v>
      </c>
      <c r="H19213" s="4"/>
      <c r="I19213" s="4"/>
    </row>
    <row r="19214">
      <c r="A19214" s="4" t="str">
        <f>IFERROR(__xludf.DUMMYFUNCTION("""COMPUTED_VALUE"""),"cas_hmw")</f>
        <v>cas_hmw</v>
      </c>
      <c r="B19214" s="5">
        <f>IFERROR(__xludf.DUMMYFUNCTION("""COMPUTED_VALUE"""),44777.0)</f>
        <v>44777</v>
      </c>
      <c r="C19214" s="6">
        <f>IFERROR(__xludf.DUMMYFUNCTION("""COMPUTED_VALUE"""),0.3385069444448163)</f>
        <v>0.3385069444</v>
      </c>
      <c r="D19214" s="4">
        <f>IFERROR(__xludf.DUMMYFUNCTION("""COMPUTED_VALUE"""),12.942016)</f>
        <v>12.942016</v>
      </c>
      <c r="E19214" s="4">
        <f>IFERROR(__xludf.DUMMYFUNCTION("""COMPUTED_VALUE"""),80.13273)</f>
        <v>80.13273</v>
      </c>
      <c r="F19214" s="4">
        <f>IFERROR(__xludf.DUMMYFUNCTION("""COMPUTED_VALUE"""),3143.0)</f>
        <v>3143</v>
      </c>
      <c r="G19214" s="4">
        <f>IFERROR(__xludf.DUMMYFUNCTION("""COMPUTED_VALUE"""),37.0)</f>
        <v>37</v>
      </c>
      <c r="H19214" s="4"/>
      <c r="I19214" s="4"/>
    </row>
    <row r="19215">
      <c r="A19215" s="4" t="str">
        <f>IFERROR(__xludf.DUMMYFUNCTION("""COMPUTED_VALUE"""),"cas_hmw")</f>
        <v>cas_hmw</v>
      </c>
      <c r="B19215" s="5">
        <f>IFERROR(__xludf.DUMMYFUNCTION("""COMPUTED_VALUE"""),44777.0)</f>
        <v>44777</v>
      </c>
      <c r="C19215" s="6">
        <f>IFERROR(__xludf.DUMMYFUNCTION("""COMPUTED_VALUE"""),0.33893518518380006)</f>
        <v>0.3389351852</v>
      </c>
      <c r="D19215" s="4">
        <f>IFERROR(__xludf.DUMMYFUNCTION("""COMPUTED_VALUE"""),12.93937)</f>
        <v>12.93937</v>
      </c>
      <c r="E19215" s="4">
        <f>IFERROR(__xludf.DUMMYFUNCTION("""COMPUTED_VALUE"""),80.130075)</f>
        <v>80.130075</v>
      </c>
      <c r="F19215" s="4">
        <f>IFERROR(__xludf.DUMMYFUNCTION("""COMPUTED_VALUE"""),3143.0)</f>
        <v>3143</v>
      </c>
      <c r="G19215" s="4">
        <f>IFERROR(__xludf.DUMMYFUNCTION("""COMPUTED_VALUE"""),36.0)</f>
        <v>36</v>
      </c>
      <c r="H19215" s="4"/>
      <c r="I19215" s="4"/>
    </row>
    <row r="19216">
      <c r="A19216" s="4" t="str">
        <f>IFERROR(__xludf.DUMMYFUNCTION("""COMPUTED_VALUE"""),"cas_hmw")</f>
        <v>cas_hmw</v>
      </c>
      <c r="B19216" s="5">
        <f>IFERROR(__xludf.DUMMYFUNCTION("""COMPUTED_VALUE"""),44777.0)</f>
        <v>44777</v>
      </c>
      <c r="C19216" s="6">
        <f>IFERROR(__xludf.DUMMYFUNCTION("""COMPUTED_VALUE"""),0.33915509259168175)</f>
        <v>0.3391550926</v>
      </c>
      <c r="D19216" s="4">
        <f>IFERROR(__xludf.DUMMYFUNCTION("""COMPUTED_VALUE"""),12.937859)</f>
        <v>12.937859</v>
      </c>
      <c r="E19216" s="4">
        <f>IFERROR(__xludf.DUMMYFUNCTION("""COMPUTED_VALUE"""),80.128726)</f>
        <v>80.128726</v>
      </c>
      <c r="F19216" s="4">
        <f>IFERROR(__xludf.DUMMYFUNCTION("""COMPUTED_VALUE"""),3143.0)</f>
        <v>3143</v>
      </c>
      <c r="G19216" s="4">
        <f>IFERROR(__xludf.DUMMYFUNCTION("""COMPUTED_VALUE"""),39.0)</f>
        <v>39</v>
      </c>
      <c r="H19216" s="4"/>
      <c r="I19216" s="4"/>
    </row>
    <row r="19217">
      <c r="A19217" s="4" t="str">
        <f>IFERROR(__xludf.DUMMYFUNCTION("""COMPUTED_VALUE"""),"cas_hmw")</f>
        <v>cas_hmw</v>
      </c>
      <c r="B19217" s="5">
        <f>IFERROR(__xludf.DUMMYFUNCTION("""COMPUTED_VALUE"""),44777.0)</f>
        <v>44777</v>
      </c>
      <c r="C19217" s="6">
        <f>IFERROR(__xludf.DUMMYFUNCTION("""COMPUTED_VALUE"""),0.3392708333340124)</f>
        <v>0.3392708333</v>
      </c>
      <c r="D19217" s="4">
        <f>IFERROR(__xludf.DUMMYFUNCTION("""COMPUTED_VALUE"""),12.82016)</f>
        <v>12.82016</v>
      </c>
      <c r="E19217" s="4">
        <f>IFERROR(__xludf.DUMMYFUNCTION("""COMPUTED_VALUE"""),80.036718)</f>
        <v>80.036718</v>
      </c>
      <c r="F19217" s="4">
        <f>IFERROR(__xludf.DUMMYFUNCTION("""COMPUTED_VALUE"""),2846.0)</f>
        <v>2846</v>
      </c>
      <c r="G19217" s="4">
        <f>IFERROR(__xludf.DUMMYFUNCTION("""COMPUTED_VALUE"""),54.0)</f>
        <v>54</v>
      </c>
      <c r="H19217" s="4"/>
      <c r="I19217" s="4"/>
    </row>
    <row r="19218">
      <c r="A19218" s="4" t="str">
        <f>IFERROR(__xludf.DUMMYFUNCTION("""COMPUTED_VALUE"""),"cas_hmw")</f>
        <v>cas_hmw</v>
      </c>
      <c r="B19218" s="5">
        <f>IFERROR(__xludf.DUMMYFUNCTION("""COMPUTED_VALUE"""),44777.0)</f>
        <v>44777</v>
      </c>
      <c r="C19218" s="6">
        <f>IFERROR(__xludf.DUMMYFUNCTION("""COMPUTED_VALUE"""),0.33939814814948477)</f>
        <v>0.3393981481</v>
      </c>
      <c r="D19218" s="4">
        <f>IFERROR(__xludf.DUMMYFUNCTION("""COMPUTED_VALUE"""),12.966049)</f>
        <v>12.966049</v>
      </c>
      <c r="E19218" s="4">
        <f>IFERROR(__xludf.DUMMYFUNCTION("""COMPUTED_VALUE"""),80.148535)</f>
        <v>80.148535</v>
      </c>
      <c r="F19218" s="4">
        <f>IFERROR(__xludf.DUMMYFUNCTION("""COMPUTED_VALUE"""),805.0)</f>
        <v>805</v>
      </c>
      <c r="G19218" s="4">
        <f>IFERROR(__xludf.DUMMYFUNCTION("""COMPUTED_VALUE"""),35.0)</f>
        <v>35</v>
      </c>
      <c r="H19218" s="4"/>
      <c r="I19218" s="4"/>
    </row>
    <row r="19219">
      <c r="A19219" s="4" t="str">
        <f>IFERROR(__xludf.DUMMYFUNCTION("""COMPUTED_VALUE"""),"cas_hmw")</f>
        <v>cas_hmw</v>
      </c>
      <c r="B19219" s="5">
        <f>IFERROR(__xludf.DUMMYFUNCTION("""COMPUTED_VALUE"""),44777.0)</f>
        <v>44777</v>
      </c>
      <c r="C19219" s="6">
        <f>IFERROR(__xludf.DUMMYFUNCTION("""COMPUTED_VALUE"""),0.33939814814948477)</f>
        <v>0.3393981481</v>
      </c>
      <c r="D19219" s="4">
        <f>IFERROR(__xludf.DUMMYFUNCTION("""COMPUTED_VALUE"""),12.966049)</f>
        <v>12.966049</v>
      </c>
      <c r="E19219" s="4">
        <f>IFERROR(__xludf.DUMMYFUNCTION("""COMPUTED_VALUE"""),80.148535)</f>
        <v>80.148535</v>
      </c>
      <c r="F19219" s="4">
        <f>IFERROR(__xludf.DUMMYFUNCTION("""COMPUTED_VALUE"""),805.0)</f>
        <v>805</v>
      </c>
      <c r="G19219" s="4">
        <f>IFERROR(__xludf.DUMMYFUNCTION("""COMPUTED_VALUE"""),35.0)</f>
        <v>35</v>
      </c>
      <c r="H19219" s="4"/>
      <c r="I19219" s="4"/>
    </row>
    <row r="19220">
      <c r="A19220" s="4" t="str">
        <f>IFERROR(__xludf.DUMMYFUNCTION("""COMPUTED_VALUE"""),"cas_hmw")</f>
        <v>cas_hmw</v>
      </c>
      <c r="B19220" s="5">
        <f>IFERROR(__xludf.DUMMYFUNCTION("""COMPUTED_VALUE"""),44777.0)</f>
        <v>44777</v>
      </c>
      <c r="C19220" s="6">
        <f>IFERROR(__xludf.DUMMYFUNCTION("""COMPUTED_VALUE"""),0.33973379629605915)</f>
        <v>0.3397337963</v>
      </c>
      <c r="D19220" s="4">
        <f>IFERROR(__xludf.DUMMYFUNCTION("""COMPUTED_VALUE"""),12.936025)</f>
        <v>12.936025</v>
      </c>
      <c r="E19220" s="4">
        <f>IFERROR(__xludf.DUMMYFUNCTION("""COMPUTED_VALUE"""),80.127116)</f>
        <v>80.127116</v>
      </c>
      <c r="F19220" s="4">
        <f>IFERROR(__xludf.DUMMYFUNCTION("""COMPUTED_VALUE"""),3143.0)</f>
        <v>3143</v>
      </c>
      <c r="G19220" s="4">
        <f>IFERROR(__xludf.DUMMYFUNCTION("""COMPUTED_VALUE"""),25.0)</f>
        <v>25</v>
      </c>
      <c r="H19220" s="4"/>
      <c r="I19220" s="4"/>
    </row>
    <row r="19221">
      <c r="A19221" s="4" t="str">
        <f>IFERROR(__xludf.DUMMYFUNCTION("""COMPUTED_VALUE"""),"cas_hmw")</f>
        <v>cas_hmw</v>
      </c>
      <c r="B19221" s="5">
        <f>IFERROR(__xludf.DUMMYFUNCTION("""COMPUTED_VALUE"""),44777.0)</f>
        <v>44777</v>
      </c>
      <c r="C19221" s="6">
        <f>IFERROR(__xludf.DUMMYFUNCTION("""COMPUTED_VALUE"""),0.3398495370383898)</f>
        <v>0.339849537</v>
      </c>
      <c r="D19221" s="4">
        <f>IFERROR(__xludf.DUMMYFUNCTION("""COMPUTED_VALUE"""),12.962037)</f>
        <v>12.962037</v>
      </c>
      <c r="E19221" s="4">
        <f>IFERROR(__xludf.DUMMYFUNCTION("""COMPUTED_VALUE"""),80.146326)</f>
        <v>80.146326</v>
      </c>
      <c r="F19221" s="4">
        <f>IFERROR(__xludf.DUMMYFUNCTION("""COMPUTED_VALUE"""),805.0)</f>
        <v>805</v>
      </c>
      <c r="G19221" s="4">
        <f>IFERROR(__xludf.DUMMYFUNCTION("""COMPUTED_VALUE"""),52.0)</f>
        <v>52</v>
      </c>
      <c r="H19221" s="4"/>
      <c r="I19221" s="4"/>
    </row>
    <row r="19222">
      <c r="A19222" s="4" t="str">
        <f>IFERROR(__xludf.DUMMYFUNCTION("""COMPUTED_VALUE"""),"cas_hmw")</f>
        <v>cas_hmw</v>
      </c>
      <c r="B19222" s="5">
        <f>IFERROR(__xludf.DUMMYFUNCTION("""COMPUTED_VALUE"""),44777.0)</f>
        <v>44777</v>
      </c>
      <c r="C19222" s="6">
        <f>IFERROR(__xludf.DUMMYFUNCTION("""COMPUTED_VALUE"""),0.3400347222232085)</f>
        <v>0.3400347222</v>
      </c>
      <c r="D19222" s="4">
        <f>IFERROR(__xludf.DUMMYFUNCTION("""COMPUTED_VALUE"""),12.961167)</f>
        <v>12.961167</v>
      </c>
      <c r="E19222" s="4">
        <f>IFERROR(__xludf.DUMMYFUNCTION("""COMPUTED_VALUE"""),80.145886)</f>
        <v>80.145886</v>
      </c>
      <c r="F19222" s="4">
        <f>IFERROR(__xludf.DUMMYFUNCTION("""COMPUTED_VALUE"""),805.0)</f>
        <v>805</v>
      </c>
      <c r="G19222" s="4">
        <f>IFERROR(__xludf.DUMMYFUNCTION("""COMPUTED_VALUE"""),39.0)</f>
        <v>39</v>
      </c>
      <c r="H19222" s="4"/>
      <c r="I19222" s="4"/>
    </row>
    <row r="19223">
      <c r="A19223" s="4" t="str">
        <f>IFERROR(__xludf.DUMMYFUNCTION("""COMPUTED_VALUE"""),"cas_hmw")</f>
        <v>cas_hmw</v>
      </c>
      <c r="B19223" s="5">
        <f>IFERROR(__xludf.DUMMYFUNCTION("""COMPUTED_VALUE"""),44777.0)</f>
        <v>44777</v>
      </c>
      <c r="C19223" s="6">
        <f>IFERROR(__xludf.DUMMYFUNCTION("""COMPUTED_VALUE"""),0.3400462962963502)</f>
        <v>0.3400462963</v>
      </c>
      <c r="D19223" s="4">
        <f>IFERROR(__xludf.DUMMYFUNCTION("""COMPUTED_VALUE"""),12.961167)</f>
        <v>12.961167</v>
      </c>
      <c r="E19223" s="4">
        <f>IFERROR(__xludf.DUMMYFUNCTION("""COMPUTED_VALUE"""),80.145886)</f>
        <v>80.145886</v>
      </c>
      <c r="F19223" s="4">
        <f>IFERROR(__xludf.DUMMYFUNCTION("""COMPUTED_VALUE"""),805.0)</f>
        <v>805</v>
      </c>
      <c r="G19223" s="4">
        <f>IFERROR(__xludf.DUMMYFUNCTION("""COMPUTED_VALUE"""),39.0)</f>
        <v>39</v>
      </c>
      <c r="H19223" s="4"/>
      <c r="I19223" s="4"/>
    </row>
    <row r="19224">
      <c r="A19224" s="4" t="str">
        <f>IFERROR(__xludf.DUMMYFUNCTION("""COMPUTED_VALUE"""),"cas_hmw")</f>
        <v>cas_hmw</v>
      </c>
      <c r="B19224" s="5">
        <f>IFERROR(__xludf.DUMMYFUNCTION("""COMPUTED_VALUE"""),44777.0)</f>
        <v>44777</v>
      </c>
      <c r="C19224" s="6">
        <f>IFERROR(__xludf.DUMMYFUNCTION("""COMPUTED_VALUE"""),0.34005787036949187)</f>
        <v>0.3400578704</v>
      </c>
      <c r="D19224" s="4">
        <f>IFERROR(__xludf.DUMMYFUNCTION("""COMPUTED_VALUE"""),12.933978)</f>
        <v>12.933978</v>
      </c>
      <c r="E19224" s="4">
        <f>IFERROR(__xludf.DUMMYFUNCTION("""COMPUTED_VALUE"""),80.12522)</f>
        <v>80.12522</v>
      </c>
      <c r="F19224" s="4">
        <f>IFERROR(__xludf.DUMMYFUNCTION("""COMPUTED_VALUE"""),3143.0)</f>
        <v>3143</v>
      </c>
      <c r="G19224" s="4">
        <f>IFERROR(__xludf.DUMMYFUNCTION("""COMPUTED_VALUE"""),47.0)</f>
        <v>47</v>
      </c>
      <c r="H19224" s="4"/>
      <c r="I19224" s="4"/>
    </row>
    <row r="19225">
      <c r="A19225" s="4" t="str">
        <f>IFERROR(__xludf.DUMMYFUNCTION("""COMPUTED_VALUE"""),"cas_hmw")</f>
        <v>cas_hmw</v>
      </c>
      <c r="B19225" s="5">
        <f>IFERROR(__xludf.DUMMYFUNCTION("""COMPUTED_VALUE"""),44777.0)</f>
        <v>44777</v>
      </c>
      <c r="C19225" s="6">
        <f>IFERROR(__xludf.DUMMYFUNCTION("""COMPUTED_VALUE"""),0.3400810185194132)</f>
        <v>0.3400810185</v>
      </c>
      <c r="D19225" s="4">
        <f>IFERROR(__xludf.DUMMYFUNCTION("""COMPUTED_VALUE"""),12.960185)</f>
        <v>12.960185</v>
      </c>
      <c r="E19225" s="4">
        <f>IFERROR(__xludf.DUMMYFUNCTION("""COMPUTED_VALUE"""),80.145344)</f>
        <v>80.145344</v>
      </c>
      <c r="F19225" s="4">
        <f>IFERROR(__xludf.DUMMYFUNCTION("""COMPUTED_VALUE"""),805.0)</f>
        <v>805</v>
      </c>
      <c r="G19225" s="4">
        <f>IFERROR(__xludf.DUMMYFUNCTION("""COMPUTED_VALUE"""),45.0)</f>
        <v>45</v>
      </c>
      <c r="H19225" s="4"/>
      <c r="I19225" s="4"/>
    </row>
    <row r="19226">
      <c r="A19226" s="4" t="str">
        <f>IFERROR(__xludf.DUMMYFUNCTION("""COMPUTED_VALUE"""),"cas_hmw")</f>
        <v>cas_hmw</v>
      </c>
      <c r="B19226" s="5">
        <f>IFERROR(__xludf.DUMMYFUNCTION("""COMPUTED_VALUE"""),44777.0)</f>
        <v>44777</v>
      </c>
      <c r="C19226" s="6">
        <f>IFERROR(__xludf.DUMMYFUNCTION("""COMPUTED_VALUE"""),0.34013888888875954)</f>
        <v>0.3401388889</v>
      </c>
      <c r="D19226" s="4">
        <f>IFERROR(__xludf.DUMMYFUNCTION("""COMPUTED_VALUE"""),12.931504)</f>
        <v>12.931504</v>
      </c>
      <c r="E19226" s="4">
        <f>IFERROR(__xludf.DUMMYFUNCTION("""COMPUTED_VALUE"""),80.122772)</f>
        <v>80.122772</v>
      </c>
      <c r="F19226" s="4">
        <f>IFERROR(__xludf.DUMMYFUNCTION("""COMPUTED_VALUE"""),5339.0)</f>
        <v>5339</v>
      </c>
      <c r="G19226" s="4">
        <f>IFERROR(__xludf.DUMMYFUNCTION("""COMPUTED_VALUE"""),44.0)</f>
        <v>44</v>
      </c>
      <c r="H19226" s="4"/>
      <c r="I19226" s="4"/>
    </row>
    <row r="19227">
      <c r="A19227" s="4" t="str">
        <f>IFERROR(__xludf.DUMMYFUNCTION("""COMPUTED_VALUE"""),"cas_hmw")</f>
        <v>cas_hmw</v>
      </c>
      <c r="B19227" s="5">
        <f>IFERROR(__xludf.DUMMYFUNCTION("""COMPUTED_VALUE"""),44777.0)</f>
        <v>44777</v>
      </c>
      <c r="C19227" s="6">
        <f>IFERROR(__xludf.DUMMYFUNCTION("""COMPUTED_VALUE"""),0.3402314814811689)</f>
        <v>0.3402314815</v>
      </c>
      <c r="D19227" s="4">
        <f>IFERROR(__xludf.DUMMYFUNCTION("""COMPUTED_VALUE"""),12.930805)</f>
        <v>12.930805</v>
      </c>
      <c r="E19227" s="4">
        <f>IFERROR(__xludf.DUMMYFUNCTION("""COMPUTED_VALUE"""),80.122052)</f>
        <v>80.122052</v>
      </c>
      <c r="F19227" s="4">
        <f>IFERROR(__xludf.DUMMYFUNCTION("""COMPUTED_VALUE"""),5339.0)</f>
        <v>5339</v>
      </c>
      <c r="G19227" s="4">
        <f>IFERROR(__xludf.DUMMYFUNCTION("""COMPUTED_VALUE"""),36.0)</f>
        <v>36</v>
      </c>
      <c r="H19227" s="4"/>
      <c r="I19227" s="4"/>
    </row>
    <row r="19228">
      <c r="A19228" s="4" t="str">
        <f>IFERROR(__xludf.DUMMYFUNCTION("""COMPUTED_VALUE"""),"cas_hmw")</f>
        <v>cas_hmw</v>
      </c>
      <c r="B19228" s="5">
        <f>IFERROR(__xludf.DUMMYFUNCTION("""COMPUTED_VALUE"""),44777.0)</f>
        <v>44777</v>
      </c>
      <c r="C19228" s="6">
        <f>IFERROR(__xludf.DUMMYFUNCTION("""COMPUTED_VALUE"""),0.3409143518510973)</f>
        <v>0.3409143519</v>
      </c>
      <c r="D19228" s="4">
        <f>IFERROR(__xludf.DUMMYFUNCTION("""COMPUTED_VALUE"""),12.931769)</f>
        <v>12.931769</v>
      </c>
      <c r="E19228" s="4">
        <f>IFERROR(__xludf.DUMMYFUNCTION("""COMPUTED_VALUE"""),80.123)</f>
        <v>80.123</v>
      </c>
      <c r="F19228" s="4">
        <f>IFERROR(__xludf.DUMMYFUNCTION("""COMPUTED_VALUE"""),3143.0)</f>
        <v>3143</v>
      </c>
      <c r="G19228" s="4">
        <f>IFERROR(__xludf.DUMMYFUNCTION("""COMPUTED_VALUE"""),17.0)</f>
        <v>17</v>
      </c>
      <c r="H19228" s="4"/>
      <c r="I19228" s="4"/>
    </row>
    <row r="19229">
      <c r="A19229" s="4" t="str">
        <f>IFERROR(__xludf.DUMMYFUNCTION("""COMPUTED_VALUE"""),"cas_hmw")</f>
        <v>cas_hmw</v>
      </c>
      <c r="B19229" s="5">
        <f>IFERROR(__xludf.DUMMYFUNCTION("""COMPUTED_VALUE"""),44777.0)</f>
        <v>44777</v>
      </c>
      <c r="C19229" s="6">
        <f>IFERROR(__xludf.DUMMYFUNCTION("""COMPUTED_VALUE"""),0.340925925924239)</f>
        <v>0.3409259259</v>
      </c>
      <c r="D19229" s="4">
        <f>IFERROR(__xludf.DUMMYFUNCTION("""COMPUTED_VALUE"""),12.931769)</f>
        <v>12.931769</v>
      </c>
      <c r="E19229" s="4">
        <f>IFERROR(__xludf.DUMMYFUNCTION("""COMPUTED_VALUE"""),80.123)</f>
        <v>80.123</v>
      </c>
      <c r="F19229" s="4">
        <f>IFERROR(__xludf.DUMMYFUNCTION("""COMPUTED_VALUE"""),3143.0)</f>
        <v>3143</v>
      </c>
      <c r="G19229" s="4">
        <f>IFERROR(__xludf.DUMMYFUNCTION("""COMPUTED_VALUE"""),17.0)</f>
        <v>17</v>
      </c>
      <c r="H19229" s="4"/>
      <c r="I19229" s="4"/>
    </row>
    <row r="19230">
      <c r="A19230" s="4" t="str">
        <f>IFERROR(__xludf.DUMMYFUNCTION("""COMPUTED_VALUE"""),"cas_hmw")</f>
        <v>cas_hmw</v>
      </c>
      <c r="B19230" s="5">
        <f>IFERROR(__xludf.DUMMYFUNCTION("""COMPUTED_VALUE"""),44777.0)</f>
        <v>44777</v>
      </c>
      <c r="C19230" s="6">
        <f>IFERROR(__xludf.DUMMYFUNCTION("""COMPUTED_VALUE"""),0.34093750000101863)</f>
        <v>0.3409375</v>
      </c>
      <c r="D19230" s="4">
        <f>IFERROR(__xludf.DUMMYFUNCTION("""COMPUTED_VALUE"""),12.931769)</f>
        <v>12.931769</v>
      </c>
      <c r="E19230" s="4">
        <f>IFERROR(__xludf.DUMMYFUNCTION("""COMPUTED_VALUE"""),80.123)</f>
        <v>80.123</v>
      </c>
      <c r="F19230" s="4">
        <f>IFERROR(__xludf.DUMMYFUNCTION("""COMPUTED_VALUE"""),3143.0)</f>
        <v>3143</v>
      </c>
      <c r="G19230" s="4">
        <f>IFERROR(__xludf.DUMMYFUNCTION("""COMPUTED_VALUE"""),17.0)</f>
        <v>17</v>
      </c>
      <c r="H19230" s="4"/>
      <c r="I19230" s="4"/>
    </row>
    <row r="19231">
      <c r="A19231" s="4" t="str">
        <f>IFERROR(__xludf.DUMMYFUNCTION("""COMPUTED_VALUE"""),"cas_hmw")</f>
        <v>cas_hmw</v>
      </c>
      <c r="B19231" s="5">
        <f>IFERROR(__xludf.DUMMYFUNCTION("""COMPUTED_VALUE"""),44777.0)</f>
        <v>44777</v>
      </c>
      <c r="C19231" s="6">
        <f>IFERROR(__xludf.DUMMYFUNCTION("""COMPUTED_VALUE"""),0.34093750000101863)</f>
        <v>0.3409375</v>
      </c>
      <c r="D19231" s="4">
        <f>IFERROR(__xludf.DUMMYFUNCTION("""COMPUTED_VALUE"""),12.931769)</f>
        <v>12.931769</v>
      </c>
      <c r="E19231" s="4">
        <f>IFERROR(__xludf.DUMMYFUNCTION("""COMPUTED_VALUE"""),80.123)</f>
        <v>80.123</v>
      </c>
      <c r="F19231" s="4">
        <f>IFERROR(__xludf.DUMMYFUNCTION("""COMPUTED_VALUE"""),3143.0)</f>
        <v>3143</v>
      </c>
      <c r="G19231" s="4">
        <f>IFERROR(__xludf.DUMMYFUNCTION("""COMPUTED_VALUE"""),17.0)</f>
        <v>17</v>
      </c>
      <c r="H19231" s="4"/>
      <c r="I19231" s="4"/>
    </row>
    <row r="19232">
      <c r="A19232" s="4" t="str">
        <f>IFERROR(__xludf.DUMMYFUNCTION("""COMPUTED_VALUE"""),"cas_hmw")</f>
        <v>cas_hmw</v>
      </c>
      <c r="B19232" s="5">
        <f>IFERROR(__xludf.DUMMYFUNCTION("""COMPUTED_VALUE"""),44777.0)</f>
        <v>44777</v>
      </c>
      <c r="C19232" s="6">
        <f>IFERROR(__xludf.DUMMYFUNCTION("""COMPUTED_VALUE"""),0.3409490740741603)</f>
        <v>0.3409490741</v>
      </c>
      <c r="D19232" s="4">
        <f>IFERROR(__xludf.DUMMYFUNCTION("""COMPUTED_VALUE"""),12.931769)</f>
        <v>12.931769</v>
      </c>
      <c r="E19232" s="4">
        <f>IFERROR(__xludf.DUMMYFUNCTION("""COMPUTED_VALUE"""),80.123)</f>
        <v>80.123</v>
      </c>
      <c r="F19232" s="4">
        <f>IFERROR(__xludf.DUMMYFUNCTION("""COMPUTED_VALUE"""),3143.0)</f>
        <v>3143</v>
      </c>
      <c r="G19232" s="4">
        <f>IFERROR(__xludf.DUMMYFUNCTION("""COMPUTED_VALUE"""),17.0)</f>
        <v>17</v>
      </c>
      <c r="H19232" s="4"/>
      <c r="I19232" s="4"/>
    </row>
    <row r="19233">
      <c r="A19233" s="4" t="str">
        <f>IFERROR(__xludf.DUMMYFUNCTION("""COMPUTED_VALUE"""),"cas_hmw")</f>
        <v>cas_hmw</v>
      </c>
      <c r="B19233" s="5">
        <f>IFERROR(__xludf.DUMMYFUNCTION("""COMPUTED_VALUE"""),44777.0)</f>
        <v>44777</v>
      </c>
      <c r="C19233" s="6">
        <f>IFERROR(__xludf.DUMMYFUNCTION("""COMPUTED_VALUE"""),0.34100694444350665)</f>
        <v>0.3410069444</v>
      </c>
      <c r="D19233" s="4">
        <f>IFERROR(__xludf.DUMMYFUNCTION("""COMPUTED_VALUE"""),12.92707)</f>
        <v>12.92707</v>
      </c>
      <c r="E19233" s="4">
        <f>IFERROR(__xludf.DUMMYFUNCTION("""COMPUTED_VALUE"""),80.118271)</f>
        <v>80.118271</v>
      </c>
      <c r="F19233" s="4">
        <f>IFERROR(__xludf.DUMMYFUNCTION("""COMPUTED_VALUE"""),5339.0)</f>
        <v>5339</v>
      </c>
      <c r="G19233" s="4">
        <f>IFERROR(__xludf.DUMMYFUNCTION("""COMPUTED_VALUE"""),46.0)</f>
        <v>46</v>
      </c>
      <c r="H19233" s="4"/>
      <c r="I19233" s="4"/>
    </row>
    <row r="19234">
      <c r="A19234" s="4" t="str">
        <f>IFERROR(__xludf.DUMMYFUNCTION("""COMPUTED_VALUE"""),"cas_hmw")</f>
        <v>cas_hmw</v>
      </c>
      <c r="B19234" s="5">
        <f>IFERROR(__xludf.DUMMYFUNCTION("""COMPUTED_VALUE"""),44777.0)</f>
        <v>44777</v>
      </c>
      <c r="C19234" s="6">
        <f>IFERROR(__xludf.DUMMYFUNCTION("""COMPUTED_VALUE"""),0.3410185185202863)</f>
        <v>0.3410185185</v>
      </c>
      <c r="D19234" s="4">
        <f>IFERROR(__xludf.DUMMYFUNCTION("""COMPUTED_VALUE"""),12.931394)</f>
        <v>12.931394</v>
      </c>
      <c r="E19234" s="4">
        <f>IFERROR(__xludf.DUMMYFUNCTION("""COMPUTED_VALUE"""),80.122604)</f>
        <v>80.122604</v>
      </c>
      <c r="F19234" s="4">
        <f>IFERROR(__xludf.DUMMYFUNCTION("""COMPUTED_VALUE"""),3143.0)</f>
        <v>3143</v>
      </c>
      <c r="G19234" s="4">
        <f>IFERROR(__xludf.DUMMYFUNCTION("""COMPUTED_VALUE"""),28.0)</f>
        <v>28</v>
      </c>
      <c r="H19234" s="4"/>
      <c r="I19234" s="4"/>
    </row>
    <row r="19235">
      <c r="A19235" s="4" t="str">
        <f>IFERROR(__xludf.DUMMYFUNCTION("""COMPUTED_VALUE"""),"cas_hmw")</f>
        <v>cas_hmw</v>
      </c>
      <c r="B19235" s="5">
        <f>IFERROR(__xludf.DUMMYFUNCTION("""COMPUTED_VALUE"""),44777.0)</f>
        <v>44777</v>
      </c>
      <c r="C19235" s="6">
        <f>IFERROR(__xludf.DUMMYFUNCTION("""COMPUTED_VALUE"""),0.34107638888963265)</f>
        <v>0.3410763889</v>
      </c>
      <c r="D19235" s="4">
        <f>IFERROR(__xludf.DUMMYFUNCTION("""COMPUTED_VALUE"""),12.930918)</f>
        <v>12.930918</v>
      </c>
      <c r="E19235" s="4">
        <f>IFERROR(__xludf.DUMMYFUNCTION("""COMPUTED_VALUE"""),80.122141)</f>
        <v>80.122141</v>
      </c>
      <c r="F19235" s="4">
        <f>IFERROR(__xludf.DUMMYFUNCTION("""COMPUTED_VALUE"""),3143.0)</f>
        <v>3143</v>
      </c>
      <c r="G19235" s="4">
        <f>IFERROR(__xludf.DUMMYFUNCTION("""COMPUTED_VALUE"""),0.0)</f>
        <v>0</v>
      </c>
      <c r="H19235" s="4"/>
      <c r="I19235" s="4"/>
    </row>
    <row r="19236">
      <c r="A19236" s="4" t="str">
        <f>IFERROR(__xludf.DUMMYFUNCTION("""COMPUTED_VALUE"""),"cas_hmw")</f>
        <v>cas_hmw</v>
      </c>
      <c r="B19236" s="5">
        <f>IFERROR(__xludf.DUMMYFUNCTION("""COMPUTED_VALUE"""),44777.0)</f>
        <v>44777</v>
      </c>
      <c r="C19236" s="6">
        <f>IFERROR(__xludf.DUMMYFUNCTION("""COMPUTED_VALUE"""),0.34133101851693937)</f>
        <v>0.3413310185</v>
      </c>
      <c r="D19236" s="4">
        <f>IFERROR(__xludf.DUMMYFUNCTION("""COMPUTED_VALUE"""),12.839959)</f>
        <v>12.839959</v>
      </c>
      <c r="E19236" s="4">
        <f>IFERROR(__xludf.DUMMYFUNCTION("""COMPUTED_VALUE"""),80.055369)</f>
        <v>80.055369</v>
      </c>
      <c r="F19236" s="4">
        <f>IFERROR(__xludf.DUMMYFUNCTION("""COMPUTED_VALUE"""),2846.0)</f>
        <v>2846</v>
      </c>
      <c r="G19236" s="4">
        <f>IFERROR(__xludf.DUMMYFUNCTION("""COMPUTED_VALUE"""),52.0)</f>
        <v>52</v>
      </c>
      <c r="H19236" s="4"/>
      <c r="I19236" s="4"/>
    </row>
    <row r="19237">
      <c r="A19237" s="4" t="str">
        <f>IFERROR(__xludf.DUMMYFUNCTION("""COMPUTED_VALUE"""),"cas_hmw")</f>
        <v>cas_hmw</v>
      </c>
      <c r="B19237" s="5">
        <f>IFERROR(__xludf.DUMMYFUNCTION("""COMPUTED_VALUE"""),44777.0)</f>
        <v>44777</v>
      </c>
      <c r="C19237" s="6">
        <f>IFERROR(__xludf.DUMMYFUNCTION("""COMPUTED_VALUE"""),0.3423958333332848)</f>
        <v>0.3423958333</v>
      </c>
      <c r="D19237" s="4">
        <f>IFERROR(__xludf.DUMMYFUNCTION("""COMPUTED_VALUE"""),12.930293)</f>
        <v>12.930293</v>
      </c>
      <c r="E19237" s="4">
        <f>IFERROR(__xludf.DUMMYFUNCTION("""COMPUTED_VALUE"""),80.119032)</f>
        <v>80.119032</v>
      </c>
      <c r="F19237" s="4">
        <f>IFERROR(__xludf.DUMMYFUNCTION("""COMPUTED_VALUE"""),3143.0)</f>
        <v>3143</v>
      </c>
      <c r="G19237" s="4">
        <f>IFERROR(__xludf.DUMMYFUNCTION("""COMPUTED_VALUE"""),48.0)</f>
        <v>48</v>
      </c>
      <c r="H19237" s="4"/>
      <c r="I19237" s="4"/>
    </row>
    <row r="19238">
      <c r="A19238" s="4" t="str">
        <f>IFERROR(__xludf.DUMMYFUNCTION("""COMPUTED_VALUE"""),"cas_hmw")</f>
        <v>cas_hmw</v>
      </c>
      <c r="B19238" s="5">
        <f>IFERROR(__xludf.DUMMYFUNCTION("""COMPUTED_VALUE"""),44777.0)</f>
        <v>44777</v>
      </c>
      <c r="C19238" s="6">
        <f>IFERROR(__xludf.DUMMYFUNCTION("""COMPUTED_VALUE"""),0.34355324074203963)</f>
        <v>0.3435532407</v>
      </c>
      <c r="D19238" s="4">
        <f>IFERROR(__xludf.DUMMYFUNCTION("""COMPUTED_VALUE"""),12.846814)</f>
        <v>12.846814</v>
      </c>
      <c r="E19238" s="4">
        <f>IFERROR(__xludf.DUMMYFUNCTION("""COMPUTED_VALUE"""),80.062289)</f>
        <v>80.062289</v>
      </c>
      <c r="F19238" s="4">
        <f>IFERROR(__xludf.DUMMYFUNCTION("""COMPUTED_VALUE"""),2846.0)</f>
        <v>2846</v>
      </c>
      <c r="G19238" s="4">
        <f>IFERROR(__xludf.DUMMYFUNCTION("""COMPUTED_VALUE"""),44.0)</f>
        <v>44</v>
      </c>
      <c r="H19238" s="4"/>
      <c r="I19238" s="4"/>
    </row>
    <row r="19239">
      <c r="A19239" s="4" t="str">
        <f>IFERROR(__xludf.DUMMYFUNCTION("""COMPUTED_VALUE"""),"cas_hmw")</f>
        <v>cas_hmw</v>
      </c>
      <c r="B19239" s="5">
        <f>IFERROR(__xludf.DUMMYFUNCTION("""COMPUTED_VALUE"""),44777.0)</f>
        <v>44777</v>
      </c>
      <c r="C19239" s="6">
        <f>IFERROR(__xludf.DUMMYFUNCTION("""COMPUTED_VALUE"""),0.3435995370382443)</f>
        <v>0.343599537</v>
      </c>
      <c r="D19239" s="4">
        <f>IFERROR(__xludf.DUMMYFUNCTION("""COMPUTED_VALUE"""),12.949956)</f>
        <v>12.949956</v>
      </c>
      <c r="E19239" s="4">
        <f>IFERROR(__xludf.DUMMYFUNCTION("""COMPUTED_VALUE"""),80.13919)</f>
        <v>80.13919</v>
      </c>
      <c r="F19239" s="4">
        <f>IFERROR(__xludf.DUMMYFUNCTION("""COMPUTED_VALUE"""),805.0)</f>
        <v>805</v>
      </c>
      <c r="G19239" s="4">
        <f>IFERROR(__xludf.DUMMYFUNCTION("""COMPUTED_VALUE"""),38.0)</f>
        <v>38</v>
      </c>
      <c r="H19239" s="4"/>
      <c r="I19239" s="4"/>
    </row>
    <row r="19240">
      <c r="A19240" s="4" t="str">
        <f>IFERROR(__xludf.DUMMYFUNCTION("""COMPUTED_VALUE"""),"cas_hmw")</f>
        <v>cas_hmw</v>
      </c>
      <c r="B19240" s="5">
        <f>IFERROR(__xludf.DUMMYFUNCTION("""COMPUTED_VALUE"""),44777.0)</f>
        <v>44777</v>
      </c>
      <c r="C19240" s="6">
        <f>IFERROR(__xludf.DUMMYFUNCTION("""COMPUTED_VALUE"""),0.34363425925766933)</f>
        <v>0.3436342593</v>
      </c>
      <c r="D19240" s="4">
        <f>IFERROR(__xludf.DUMMYFUNCTION("""COMPUTED_VALUE"""),12.915006)</f>
        <v>12.915006</v>
      </c>
      <c r="E19240" s="4">
        <f>IFERROR(__xludf.DUMMYFUNCTION("""COMPUTED_VALUE"""),80.103497)</f>
        <v>80.103497</v>
      </c>
      <c r="F19240" s="4">
        <f>IFERROR(__xludf.DUMMYFUNCTION("""COMPUTED_VALUE"""),5339.0)</f>
        <v>5339</v>
      </c>
      <c r="G19240" s="4">
        <f>IFERROR(__xludf.DUMMYFUNCTION("""COMPUTED_VALUE"""),50.0)</f>
        <v>50</v>
      </c>
      <c r="H19240" s="4"/>
      <c r="I19240" s="4"/>
    </row>
    <row r="19241">
      <c r="A19241" s="4" t="str">
        <f>IFERROR(__xludf.DUMMYFUNCTION("""COMPUTED_VALUE"""),"cas_hmw")</f>
        <v>cas_hmw</v>
      </c>
      <c r="B19241" s="5">
        <f>IFERROR(__xludf.DUMMYFUNCTION("""COMPUTED_VALUE"""),44777.0)</f>
        <v>44777</v>
      </c>
      <c r="C19241" s="6">
        <f>IFERROR(__xludf.DUMMYFUNCTION("""COMPUTED_VALUE"""),0.34375)</f>
        <v>0.34375</v>
      </c>
      <c r="D19241" s="4">
        <f>IFERROR(__xludf.DUMMYFUNCTION("""COMPUTED_VALUE"""),12.914351)</f>
        <v>12.914351</v>
      </c>
      <c r="E19241" s="4">
        <f>IFERROR(__xludf.DUMMYFUNCTION("""COMPUTED_VALUE"""),80.102496)</f>
        <v>80.102496</v>
      </c>
      <c r="F19241" s="4">
        <f>IFERROR(__xludf.DUMMYFUNCTION("""COMPUTED_VALUE"""),5339.0)</f>
        <v>5339</v>
      </c>
      <c r="G19241" s="4">
        <f>IFERROR(__xludf.DUMMYFUNCTION("""COMPUTED_VALUE"""),45.0)</f>
        <v>45</v>
      </c>
      <c r="H19241" s="4"/>
      <c r="I19241" s="4"/>
    </row>
    <row r="19242">
      <c r="A19242" s="4" t="str">
        <f>IFERROR(__xludf.DUMMYFUNCTION("""COMPUTED_VALUE"""),"cas_hmw")</f>
        <v>cas_hmw</v>
      </c>
      <c r="B19242" s="5">
        <f>IFERROR(__xludf.DUMMYFUNCTION("""COMPUTED_VALUE"""),44777.0)</f>
        <v>44777</v>
      </c>
      <c r="C19242" s="6">
        <f>IFERROR(__xludf.DUMMYFUNCTION("""COMPUTED_VALUE"""),0.34387731481547235)</f>
        <v>0.3438773148</v>
      </c>
      <c r="D19242" s="4">
        <f>IFERROR(__xludf.DUMMYFUNCTION("""COMPUTED_VALUE"""),12.9377)</f>
        <v>12.9377</v>
      </c>
      <c r="E19242" s="4">
        <f>IFERROR(__xludf.DUMMYFUNCTION("""COMPUTED_VALUE"""),80.12854)</f>
        <v>80.12854</v>
      </c>
      <c r="F19242" s="4">
        <f>IFERROR(__xludf.DUMMYFUNCTION("""COMPUTED_VALUE"""),805.0)</f>
        <v>805</v>
      </c>
      <c r="G19242" s="4">
        <f>IFERROR(__xludf.DUMMYFUNCTION("""COMPUTED_VALUE"""),41.0)</f>
        <v>41</v>
      </c>
      <c r="H19242" s="4"/>
      <c r="I19242" s="4"/>
    </row>
    <row r="19243">
      <c r="A19243" s="4" t="str">
        <f>IFERROR(__xludf.DUMMYFUNCTION("""COMPUTED_VALUE"""),"cas_hmw")</f>
        <v>cas_hmw</v>
      </c>
      <c r="B19243" s="5">
        <f>IFERROR(__xludf.DUMMYFUNCTION("""COMPUTED_VALUE"""),44777.0)</f>
        <v>44777</v>
      </c>
      <c r="C19243" s="6">
        <f>IFERROR(__xludf.DUMMYFUNCTION("""COMPUTED_VALUE"""),0.3447685185201408)</f>
        <v>0.3447685185</v>
      </c>
      <c r="D19243" s="4">
        <f>IFERROR(__xludf.DUMMYFUNCTION("""COMPUTED_VALUE"""),12.934)</f>
        <v>12.934</v>
      </c>
      <c r="E19243" s="4">
        <f>IFERROR(__xludf.DUMMYFUNCTION("""COMPUTED_VALUE"""),80.12524)</f>
        <v>80.12524</v>
      </c>
      <c r="F19243" s="4">
        <f>IFERROR(__xludf.DUMMYFUNCTION("""COMPUTED_VALUE"""),805.0)</f>
        <v>805</v>
      </c>
      <c r="G19243" s="4">
        <f>IFERROR(__xludf.DUMMYFUNCTION("""COMPUTED_VALUE"""),61.0)</f>
        <v>61</v>
      </c>
      <c r="H19243" s="4"/>
      <c r="I19243" s="4"/>
    </row>
    <row r="19244">
      <c r="A19244" s="4" t="str">
        <f>IFERROR(__xludf.DUMMYFUNCTION("""COMPUTED_VALUE"""),"cas_hmw")</f>
        <v>cas_hmw</v>
      </c>
      <c r="B19244" s="5">
        <f>IFERROR(__xludf.DUMMYFUNCTION("""COMPUTED_VALUE"""),44777.0)</f>
        <v>44777</v>
      </c>
      <c r="C19244" s="6">
        <f>IFERROR(__xludf.DUMMYFUNCTION("""COMPUTED_VALUE"""),0.34528935185153387)</f>
        <v>0.3452893519</v>
      </c>
      <c r="D19244" s="4">
        <f>IFERROR(__xludf.DUMMYFUNCTION("""COMPUTED_VALUE"""),12.862242)</f>
        <v>12.862242</v>
      </c>
      <c r="E19244" s="4">
        <f>IFERROR(__xludf.DUMMYFUNCTION("""COMPUTED_VALUE"""),80.07341)</f>
        <v>80.07341</v>
      </c>
      <c r="F19244" s="4">
        <f>IFERROR(__xludf.DUMMYFUNCTION("""COMPUTED_VALUE"""),2846.0)</f>
        <v>2846</v>
      </c>
      <c r="G19244" s="4">
        <f>IFERROR(__xludf.DUMMYFUNCTION("""COMPUTED_VALUE"""),45.0)</f>
        <v>45</v>
      </c>
      <c r="H19244" s="4"/>
      <c r="I19244" s="4"/>
    </row>
    <row r="19245">
      <c r="A19245" s="4" t="str">
        <f>IFERROR(__xludf.DUMMYFUNCTION("""COMPUTED_VALUE"""),"cas_hmw")</f>
        <v>cas_hmw</v>
      </c>
      <c r="B19245" s="5">
        <f>IFERROR(__xludf.DUMMYFUNCTION("""COMPUTED_VALUE"""),44777.0)</f>
        <v>44777</v>
      </c>
      <c r="C19245" s="6">
        <f>IFERROR(__xludf.DUMMYFUNCTION("""COMPUTED_VALUE"""),0.34535879629765986)</f>
        <v>0.3453587963</v>
      </c>
      <c r="D19245" s="4">
        <f>IFERROR(__xludf.DUMMYFUNCTION("""COMPUTED_VALUE"""),12.905344)</f>
        <v>12.905344</v>
      </c>
      <c r="E19245" s="4">
        <f>IFERROR(__xludf.DUMMYFUNCTION("""COMPUTED_VALUE"""),80.095717)</f>
        <v>80.095717</v>
      </c>
      <c r="F19245" s="4">
        <f>IFERROR(__xludf.DUMMYFUNCTION("""COMPUTED_VALUE"""),5339.0)</f>
        <v>5339</v>
      </c>
      <c r="G19245" s="4">
        <f>IFERROR(__xludf.DUMMYFUNCTION("""COMPUTED_VALUE"""),22.0)</f>
        <v>22</v>
      </c>
      <c r="H19245" s="4"/>
      <c r="I19245" s="4"/>
    </row>
    <row r="19246">
      <c r="A19246" s="4" t="str">
        <f>IFERROR(__xludf.DUMMYFUNCTION("""COMPUTED_VALUE"""),"cas_hmw")</f>
        <v>cas_hmw</v>
      </c>
      <c r="B19246" s="5">
        <f>IFERROR(__xludf.DUMMYFUNCTION("""COMPUTED_VALUE"""),44777.0)</f>
        <v>44777</v>
      </c>
      <c r="C19246" s="6">
        <f>IFERROR(__xludf.DUMMYFUNCTION("""COMPUTED_VALUE"""),0.34537037037080154)</f>
        <v>0.3453703704</v>
      </c>
      <c r="D19246" s="4">
        <f>IFERROR(__xludf.DUMMYFUNCTION("""COMPUTED_VALUE"""),12.905344)</f>
        <v>12.905344</v>
      </c>
      <c r="E19246" s="4">
        <f>IFERROR(__xludf.DUMMYFUNCTION("""COMPUTED_VALUE"""),80.095717)</f>
        <v>80.095717</v>
      </c>
      <c r="F19246" s="4">
        <f>IFERROR(__xludf.DUMMYFUNCTION("""COMPUTED_VALUE"""),5339.0)</f>
        <v>5339</v>
      </c>
      <c r="G19246" s="4">
        <f>IFERROR(__xludf.DUMMYFUNCTION("""COMPUTED_VALUE"""),22.0)</f>
        <v>22</v>
      </c>
      <c r="H19246" s="4"/>
      <c r="I19246" s="4"/>
    </row>
    <row r="19247">
      <c r="A19247" s="4" t="str">
        <f>IFERROR(__xludf.DUMMYFUNCTION("""COMPUTED_VALUE"""),"cas_hmw")</f>
        <v>cas_hmw</v>
      </c>
      <c r="B19247" s="5">
        <f>IFERROR(__xludf.DUMMYFUNCTION("""COMPUTED_VALUE"""),44777.0)</f>
        <v>44777</v>
      </c>
      <c r="C19247" s="6">
        <f>IFERROR(__xludf.DUMMYFUNCTION("""COMPUTED_VALUE"""),0.34548611110949423)</f>
        <v>0.3454861111</v>
      </c>
      <c r="D19247" s="4">
        <f>IFERROR(__xludf.DUMMYFUNCTION("""COMPUTED_VALUE"""),12.866371)</f>
        <v>12.866371</v>
      </c>
      <c r="E19247" s="4">
        <f>IFERROR(__xludf.DUMMYFUNCTION("""COMPUTED_VALUE"""),80.075052)</f>
        <v>80.075052</v>
      </c>
      <c r="F19247" s="4">
        <f>IFERROR(__xludf.DUMMYFUNCTION("""COMPUTED_VALUE"""),2846.0)</f>
        <v>2846</v>
      </c>
      <c r="G19247" s="4">
        <f>IFERROR(__xludf.DUMMYFUNCTION("""COMPUTED_VALUE"""),45.0)</f>
        <v>45</v>
      </c>
      <c r="H19247" s="4"/>
      <c r="I19247" s="4"/>
    </row>
    <row r="19248">
      <c r="A19248" s="4" t="str">
        <f>IFERROR(__xludf.DUMMYFUNCTION("""COMPUTED_VALUE"""),"cas_hmw")</f>
        <v>cas_hmw</v>
      </c>
      <c r="B19248" s="5">
        <f>IFERROR(__xludf.DUMMYFUNCTION("""COMPUTED_VALUE"""),44777.0)</f>
        <v>44777</v>
      </c>
      <c r="C19248" s="6">
        <f>IFERROR(__xludf.DUMMYFUNCTION("""COMPUTED_VALUE"""),0.3456134259249666)</f>
        <v>0.3456134259</v>
      </c>
      <c r="D19248" s="4">
        <f>IFERROR(__xludf.DUMMYFUNCTION("""COMPUTED_VALUE"""),12.866371)</f>
        <v>12.866371</v>
      </c>
      <c r="E19248" s="4">
        <f>IFERROR(__xludf.DUMMYFUNCTION("""COMPUTED_VALUE"""),80.075052)</f>
        <v>80.075052</v>
      </c>
      <c r="F19248" s="4">
        <f>IFERROR(__xludf.DUMMYFUNCTION("""COMPUTED_VALUE"""),2846.0)</f>
        <v>2846</v>
      </c>
      <c r="G19248" s="4">
        <f>IFERROR(__xludf.DUMMYFUNCTION("""COMPUTED_VALUE"""),45.0)</f>
        <v>45</v>
      </c>
      <c r="H19248" s="4"/>
      <c r="I19248" s="4"/>
    </row>
    <row r="19249">
      <c r="A19249" s="4" t="str">
        <f>IFERROR(__xludf.DUMMYFUNCTION("""COMPUTED_VALUE"""),"cas_hmw")</f>
        <v>cas_hmw</v>
      </c>
      <c r="B19249" s="5">
        <f>IFERROR(__xludf.DUMMYFUNCTION("""COMPUTED_VALUE"""),44777.0)</f>
        <v>44777</v>
      </c>
      <c r="C19249" s="6">
        <f>IFERROR(__xludf.DUMMYFUNCTION("""COMPUTED_VALUE"""),0.34583333333284827)</f>
        <v>0.3458333333</v>
      </c>
      <c r="D19249" s="4">
        <f>IFERROR(__xludf.DUMMYFUNCTION("""COMPUTED_VALUE"""),12.866371)</f>
        <v>12.866371</v>
      </c>
      <c r="E19249" s="4">
        <f>IFERROR(__xludf.DUMMYFUNCTION("""COMPUTED_VALUE"""),80.075052)</f>
        <v>80.075052</v>
      </c>
      <c r="F19249" s="4">
        <f>IFERROR(__xludf.DUMMYFUNCTION("""COMPUTED_VALUE"""),2846.0)</f>
        <v>2846</v>
      </c>
      <c r="G19249" s="4">
        <f>IFERROR(__xludf.DUMMYFUNCTION("""COMPUTED_VALUE"""),45.0)</f>
        <v>45</v>
      </c>
      <c r="H19249" s="4"/>
      <c r="I19249" s="4"/>
    </row>
    <row r="19250">
      <c r="A19250" s="4" t="str">
        <f>IFERROR(__xludf.DUMMYFUNCTION("""COMPUTED_VALUE"""),"cas_hmw")</f>
        <v>cas_hmw</v>
      </c>
      <c r="B19250" s="5">
        <f>IFERROR(__xludf.DUMMYFUNCTION("""COMPUTED_VALUE"""),44777.0)</f>
        <v>44777</v>
      </c>
      <c r="C19250" s="6">
        <f>IFERROR(__xludf.DUMMYFUNCTION("""COMPUTED_VALUE"""),0.3460069444445253)</f>
        <v>0.3460069444</v>
      </c>
      <c r="D19250" s="4">
        <f>IFERROR(__xludf.DUMMYFUNCTION("""COMPUTED_VALUE"""),12.870784)</f>
        <v>12.870784</v>
      </c>
      <c r="E19250" s="4">
        <f>IFERROR(__xludf.DUMMYFUNCTION("""COMPUTED_VALUE"""),80.076754)</f>
        <v>80.076754</v>
      </c>
      <c r="F19250" s="4">
        <f>IFERROR(__xludf.DUMMYFUNCTION("""COMPUTED_VALUE"""),2846.0)</f>
        <v>2846</v>
      </c>
      <c r="G19250" s="4">
        <f>IFERROR(__xludf.DUMMYFUNCTION("""COMPUTED_VALUE"""),51.0)</f>
        <v>51</v>
      </c>
      <c r="H19250" s="4"/>
      <c r="I19250" s="4"/>
    </row>
    <row r="19251">
      <c r="A19251" s="4" t="str">
        <f>IFERROR(__xludf.DUMMYFUNCTION("""COMPUTED_VALUE"""),"cas_hmw")</f>
        <v>cas_hmw</v>
      </c>
      <c r="B19251" s="5">
        <f>IFERROR(__xludf.DUMMYFUNCTION("""COMPUTED_VALUE"""),44777.0)</f>
        <v>44777</v>
      </c>
      <c r="C19251" s="6">
        <f>IFERROR(__xludf.DUMMYFUNCTION("""COMPUTED_VALUE"""),0.34649305555649335)</f>
        <v>0.3464930556</v>
      </c>
      <c r="D19251" s="4">
        <f>IFERROR(__xludf.DUMMYFUNCTION("""COMPUTED_VALUE"""),12.897238)</f>
        <v>12.897238</v>
      </c>
      <c r="E19251" s="4">
        <f>IFERROR(__xludf.DUMMYFUNCTION("""COMPUTED_VALUE"""),80.089428)</f>
        <v>80.089428</v>
      </c>
      <c r="F19251" s="4">
        <f>IFERROR(__xludf.DUMMYFUNCTION("""COMPUTED_VALUE"""),5339.0)</f>
        <v>5339</v>
      </c>
      <c r="G19251" s="4">
        <f>IFERROR(__xludf.DUMMYFUNCTION("""COMPUTED_VALUE"""),27.0)</f>
        <v>27</v>
      </c>
      <c r="H19251" s="4"/>
      <c r="I19251" s="4"/>
    </row>
    <row r="19252">
      <c r="A19252" s="4" t="str">
        <f>IFERROR(__xludf.DUMMYFUNCTION("""COMPUTED_VALUE"""),"cas_hmw")</f>
        <v>cas_hmw</v>
      </c>
      <c r="B19252" s="5">
        <f>IFERROR(__xludf.DUMMYFUNCTION("""COMPUTED_VALUE"""),44777.0)</f>
        <v>44777</v>
      </c>
      <c r="C19252" s="6">
        <f>IFERROR(__xludf.DUMMYFUNCTION("""COMPUTED_VALUE"""),0.346504629629635)</f>
        <v>0.3465046296</v>
      </c>
      <c r="D19252" s="4">
        <f>IFERROR(__xludf.DUMMYFUNCTION("""COMPUTED_VALUE"""),12.872053)</f>
        <v>12.872053</v>
      </c>
      <c r="E19252" s="4">
        <f>IFERROR(__xludf.DUMMYFUNCTION("""COMPUTED_VALUE"""),80.077226)</f>
        <v>80.077226</v>
      </c>
      <c r="F19252" s="4">
        <f>IFERROR(__xludf.DUMMYFUNCTION("""COMPUTED_VALUE"""),2846.0)</f>
        <v>2846</v>
      </c>
      <c r="G19252" s="4">
        <f>IFERROR(__xludf.DUMMYFUNCTION("""COMPUTED_VALUE"""),55.0)</f>
        <v>55</v>
      </c>
      <c r="H19252" s="4"/>
      <c r="I19252" s="4"/>
    </row>
    <row r="19253">
      <c r="A19253" s="4" t="str">
        <f>IFERROR(__xludf.DUMMYFUNCTION("""COMPUTED_VALUE"""),"cas_hmw")</f>
        <v>cas_hmw</v>
      </c>
      <c r="B19253" s="5">
        <f>IFERROR(__xludf.DUMMYFUNCTION("""COMPUTED_VALUE"""),44777.0)</f>
        <v>44777</v>
      </c>
      <c r="C19253" s="6">
        <f>IFERROR(__xludf.DUMMYFUNCTION("""COMPUTED_VALUE"""),0.3468402777762094)</f>
        <v>0.3468402778</v>
      </c>
      <c r="D19253" s="4">
        <f>IFERROR(__xludf.DUMMYFUNCTION("""COMPUTED_VALUE"""),12.925623)</f>
        <v>12.925623</v>
      </c>
      <c r="E19253" s="4">
        <f>IFERROR(__xludf.DUMMYFUNCTION("""COMPUTED_VALUE"""),80.116793)</f>
        <v>80.116793</v>
      </c>
      <c r="F19253" s="4">
        <f>IFERROR(__xludf.DUMMYFUNCTION("""COMPUTED_VALUE"""),805.0)</f>
        <v>805</v>
      </c>
      <c r="G19253" s="4">
        <f>IFERROR(__xludf.DUMMYFUNCTION("""COMPUTED_VALUE"""),36.0)</f>
        <v>36</v>
      </c>
      <c r="H19253" s="4"/>
      <c r="I19253" s="4"/>
    </row>
    <row r="19254">
      <c r="A19254" s="4" t="str">
        <f>IFERROR(__xludf.DUMMYFUNCTION("""COMPUTED_VALUE"""),"cas_hmw")</f>
        <v>cas_hmw</v>
      </c>
      <c r="B19254" s="5">
        <f>IFERROR(__xludf.DUMMYFUNCTION("""COMPUTED_VALUE"""),44777.0)</f>
        <v>44777</v>
      </c>
      <c r="C19254" s="6">
        <f>IFERROR(__xludf.DUMMYFUNCTION("""COMPUTED_VALUE"""),0.3471180555570754)</f>
        <v>0.3471180556</v>
      </c>
      <c r="D19254" s="4">
        <f>IFERROR(__xludf.DUMMYFUNCTION("""COMPUTED_VALUE"""),12.923474)</f>
        <v>12.923474</v>
      </c>
      <c r="E19254" s="4">
        <f>IFERROR(__xludf.DUMMYFUNCTION("""COMPUTED_VALUE"""),80.114673)</f>
        <v>80.114673</v>
      </c>
      <c r="F19254" s="4">
        <f>IFERROR(__xludf.DUMMYFUNCTION("""COMPUTED_VALUE"""),805.0)</f>
        <v>805</v>
      </c>
      <c r="G19254" s="4">
        <f>IFERROR(__xludf.DUMMYFUNCTION("""COMPUTED_VALUE"""),55.0)</f>
        <v>55</v>
      </c>
      <c r="H19254" s="4"/>
      <c r="I19254" s="4"/>
    </row>
    <row r="19255">
      <c r="A19255" s="4" t="str">
        <f>IFERROR(__xludf.DUMMYFUNCTION("""COMPUTED_VALUE"""),"cas_hmw")</f>
        <v>cas_hmw</v>
      </c>
      <c r="B19255" s="5">
        <f>IFERROR(__xludf.DUMMYFUNCTION("""COMPUTED_VALUE"""),44777.0)</f>
        <v>44777</v>
      </c>
      <c r="C19255" s="6">
        <f>IFERROR(__xludf.DUMMYFUNCTION("""COMPUTED_VALUE"""),0.3475231481497758)</f>
        <v>0.3475231481</v>
      </c>
      <c r="D19255" s="4">
        <f>IFERROR(__xludf.DUMMYFUNCTION("""COMPUTED_VALUE"""),12.888986)</f>
        <v>12.888986</v>
      </c>
      <c r="E19255" s="4">
        <f>IFERROR(__xludf.DUMMYFUNCTION("""COMPUTED_VALUE"""),80.084226)</f>
        <v>80.084226</v>
      </c>
      <c r="F19255" s="4">
        <f>IFERROR(__xludf.DUMMYFUNCTION("""COMPUTED_VALUE"""),5339.0)</f>
        <v>5339</v>
      </c>
      <c r="G19255" s="4">
        <f>IFERROR(__xludf.DUMMYFUNCTION("""COMPUTED_VALUE"""),56.0)</f>
        <v>56</v>
      </c>
      <c r="H19255" s="4"/>
      <c r="I19255" s="4"/>
    </row>
    <row r="19256">
      <c r="A19256" s="4" t="str">
        <f>IFERROR(__xludf.DUMMYFUNCTION("""COMPUTED_VALUE"""),"cas_hmw")</f>
        <v>cas_hmw</v>
      </c>
      <c r="B19256" s="5">
        <f>IFERROR(__xludf.DUMMYFUNCTION("""COMPUTED_VALUE"""),44777.0)</f>
        <v>44777</v>
      </c>
      <c r="C19256" s="6">
        <f>IFERROR(__xludf.DUMMYFUNCTION("""COMPUTED_VALUE"""),0.3477083333345945)</f>
        <v>0.3477083333</v>
      </c>
      <c r="D19256" s="4">
        <f>IFERROR(__xludf.DUMMYFUNCTION("""COMPUTED_VALUE"""),12.918599)</f>
        <v>12.918599</v>
      </c>
      <c r="E19256" s="4">
        <f>IFERROR(__xludf.DUMMYFUNCTION("""COMPUTED_VALUE"""),80.109384)</f>
        <v>80.109384</v>
      </c>
      <c r="F19256" s="4">
        <f>IFERROR(__xludf.DUMMYFUNCTION("""COMPUTED_VALUE"""),805.0)</f>
        <v>805</v>
      </c>
      <c r="G19256" s="4">
        <f>IFERROR(__xludf.DUMMYFUNCTION("""COMPUTED_VALUE"""),49.0)</f>
        <v>49</v>
      </c>
      <c r="H19256" s="4"/>
      <c r="I19256" s="4"/>
    </row>
    <row r="19257">
      <c r="A19257" s="4" t="str">
        <f>IFERROR(__xludf.DUMMYFUNCTION("""COMPUTED_VALUE"""),"cas_hmw")</f>
        <v>cas_hmw</v>
      </c>
      <c r="B19257" s="5">
        <f>IFERROR(__xludf.DUMMYFUNCTION("""COMPUTED_VALUE"""),44777.0)</f>
        <v>44777</v>
      </c>
      <c r="C19257" s="6">
        <f>IFERROR(__xludf.DUMMYFUNCTION("""COMPUTED_VALUE"""),0.3479282407424762)</f>
        <v>0.3479282407</v>
      </c>
      <c r="D19257" s="4">
        <f>IFERROR(__xludf.DUMMYFUNCTION("""COMPUTED_VALUE"""),12.917098)</f>
        <v>12.917098</v>
      </c>
      <c r="E19257" s="4">
        <f>IFERROR(__xludf.DUMMYFUNCTION("""COMPUTED_VALUE"""),80.107453)</f>
        <v>80.107453</v>
      </c>
      <c r="F19257" s="4">
        <f>IFERROR(__xludf.DUMMYFUNCTION("""COMPUTED_VALUE"""),805.0)</f>
        <v>805</v>
      </c>
      <c r="G19257" s="4">
        <f>IFERROR(__xludf.DUMMYFUNCTION("""COMPUTED_VALUE"""),48.0)</f>
        <v>48</v>
      </c>
      <c r="H19257" s="4"/>
      <c r="I19257" s="4"/>
    </row>
    <row r="19258">
      <c r="A19258" s="4" t="str">
        <f>IFERROR(__xludf.DUMMYFUNCTION("""COMPUTED_VALUE"""),"cas_hmw")</f>
        <v>cas_hmw</v>
      </c>
      <c r="B19258" s="5">
        <f>IFERROR(__xludf.DUMMYFUNCTION("""COMPUTED_VALUE"""),44777.0)</f>
        <v>44777</v>
      </c>
      <c r="C19258" s="6">
        <f>IFERROR(__xludf.DUMMYFUNCTION("""COMPUTED_VALUE"""),0.3485416666662786)</f>
        <v>0.3485416667</v>
      </c>
      <c r="D19258" s="4">
        <f>IFERROR(__xludf.DUMMYFUNCTION("""COMPUTED_VALUE"""),12.924396)</f>
        <v>12.924396</v>
      </c>
      <c r="E19258" s="4">
        <f>IFERROR(__xludf.DUMMYFUNCTION("""COMPUTED_VALUE"""),80.098888)</f>
        <v>80.098888</v>
      </c>
      <c r="F19258" s="4">
        <f>IFERROR(__xludf.DUMMYFUNCTION("""COMPUTED_VALUE"""),3143.0)</f>
        <v>3143</v>
      </c>
      <c r="G19258" s="4">
        <f>IFERROR(__xludf.DUMMYFUNCTION("""COMPUTED_VALUE"""),31.0)</f>
        <v>31</v>
      </c>
      <c r="H19258" s="4"/>
      <c r="I19258" s="4"/>
    </row>
    <row r="19259">
      <c r="A19259" s="4" t="str">
        <f>IFERROR(__xludf.DUMMYFUNCTION("""COMPUTED_VALUE"""),"cas_hmw")</f>
        <v>cas_hmw</v>
      </c>
      <c r="B19259" s="5">
        <f>IFERROR(__xludf.DUMMYFUNCTION("""COMPUTED_VALUE"""),44777.0)</f>
        <v>44777</v>
      </c>
      <c r="C19259" s="6">
        <f>IFERROR(__xludf.DUMMYFUNCTION("""COMPUTED_VALUE"""),0.3487615740741603)</f>
        <v>0.3487615741</v>
      </c>
      <c r="D19259" s="4">
        <f>IFERROR(__xludf.DUMMYFUNCTION("""COMPUTED_VALUE"""),12.911093)</f>
        <v>12.911093</v>
      </c>
      <c r="E19259" s="4">
        <f>IFERROR(__xludf.DUMMYFUNCTION("""COMPUTED_VALUE"""),80.101297)</f>
        <v>80.101297</v>
      </c>
      <c r="F19259" s="4">
        <f>IFERROR(__xludf.DUMMYFUNCTION("""COMPUTED_VALUE"""),805.0)</f>
        <v>805</v>
      </c>
      <c r="G19259" s="4">
        <f>IFERROR(__xludf.DUMMYFUNCTION("""COMPUTED_VALUE"""),38.0)</f>
        <v>38</v>
      </c>
      <c r="H19259" s="4"/>
      <c r="I19259" s="4"/>
    </row>
    <row r="19260">
      <c r="A19260" s="4" t="str">
        <f>IFERROR(__xludf.DUMMYFUNCTION("""COMPUTED_VALUE"""),"cas_hmw")</f>
        <v>cas_hmw</v>
      </c>
      <c r="B19260" s="5">
        <f>IFERROR(__xludf.DUMMYFUNCTION("""COMPUTED_VALUE"""),44777.0)</f>
        <v>44777</v>
      </c>
      <c r="C19260" s="6">
        <f>IFERROR(__xludf.DUMMYFUNCTION("""COMPUTED_VALUE"""),0.348773148147302)</f>
        <v>0.3487731481</v>
      </c>
      <c r="D19260" s="4">
        <f>IFERROR(__xludf.DUMMYFUNCTION("""COMPUTED_VALUE"""),12.923394)</f>
        <v>12.923394</v>
      </c>
      <c r="E19260" s="4">
        <f>IFERROR(__xludf.DUMMYFUNCTION("""COMPUTED_VALUE"""),80.097323)</f>
        <v>80.097323</v>
      </c>
      <c r="F19260" s="4">
        <f>IFERROR(__xludf.DUMMYFUNCTION("""COMPUTED_VALUE"""),3143.0)</f>
        <v>3143</v>
      </c>
      <c r="G19260" s="4">
        <f>IFERROR(__xludf.DUMMYFUNCTION("""COMPUTED_VALUE"""),33.0)</f>
        <v>33</v>
      </c>
      <c r="H19260" s="4"/>
      <c r="I19260" s="4"/>
    </row>
    <row r="19261">
      <c r="A19261" s="4" t="str">
        <f>IFERROR(__xludf.DUMMYFUNCTION("""COMPUTED_VALUE"""),"cas_hmw")</f>
        <v>cas_hmw</v>
      </c>
      <c r="B19261" s="5">
        <f>IFERROR(__xludf.DUMMYFUNCTION("""COMPUTED_VALUE"""),44777.0)</f>
        <v>44777</v>
      </c>
      <c r="C19261" s="6">
        <f>IFERROR(__xludf.DUMMYFUNCTION("""COMPUTED_VALUE"""),0.3489699074089003)</f>
        <v>0.3489699074</v>
      </c>
      <c r="D19261" s="4">
        <f>IFERROR(__xludf.DUMMYFUNCTION("""COMPUTED_VALUE"""),12.909548)</f>
        <v>12.909548</v>
      </c>
      <c r="E19261" s="4">
        <f>IFERROR(__xludf.DUMMYFUNCTION("""COMPUTED_VALUE"""),80.099728)</f>
        <v>80.099728</v>
      </c>
      <c r="F19261" s="4">
        <f>IFERROR(__xludf.DUMMYFUNCTION("""COMPUTED_VALUE"""),805.0)</f>
        <v>805</v>
      </c>
      <c r="G19261" s="4">
        <f>IFERROR(__xludf.DUMMYFUNCTION("""COMPUTED_VALUE"""),40.0)</f>
        <v>40</v>
      </c>
      <c r="H19261" s="4"/>
      <c r="I19261" s="4"/>
    </row>
    <row r="19262">
      <c r="A19262" s="4" t="str">
        <f>IFERROR(__xludf.DUMMYFUNCTION("""COMPUTED_VALUE"""),"cas_hmw")</f>
        <v>cas_hmw</v>
      </c>
      <c r="B19262" s="5">
        <f>IFERROR(__xludf.DUMMYFUNCTION("""COMPUTED_VALUE"""),44777.0)</f>
        <v>44777</v>
      </c>
      <c r="C19262" s="6">
        <f>IFERROR(__xludf.DUMMYFUNCTION("""COMPUTED_VALUE"""),0.3490972222207347)</f>
        <v>0.3490972222</v>
      </c>
      <c r="D19262" s="4">
        <f>IFERROR(__xludf.DUMMYFUNCTION("""COMPUTED_VALUE"""),12.909021)</f>
        <v>12.909021</v>
      </c>
      <c r="E19262" s="4">
        <f>IFERROR(__xludf.DUMMYFUNCTION("""COMPUTED_VALUE"""),80.09879)</f>
        <v>80.09879</v>
      </c>
      <c r="F19262" s="4">
        <f>IFERROR(__xludf.DUMMYFUNCTION("""COMPUTED_VALUE"""),805.0)</f>
        <v>805</v>
      </c>
      <c r="G19262" s="4">
        <f>IFERROR(__xludf.DUMMYFUNCTION("""COMPUTED_VALUE"""),43.0)</f>
        <v>43</v>
      </c>
      <c r="H19262" s="4"/>
      <c r="I19262" s="4"/>
    </row>
    <row r="19263">
      <c r="A19263" s="4" t="str">
        <f>IFERROR(__xludf.DUMMYFUNCTION("""COMPUTED_VALUE"""),"cas_hmw")</f>
        <v>cas_hmw</v>
      </c>
      <c r="B19263" s="5">
        <f>IFERROR(__xludf.DUMMYFUNCTION("""COMPUTED_VALUE"""),44777.0)</f>
        <v>44777</v>
      </c>
      <c r="C19263" s="6">
        <f>IFERROR(__xludf.DUMMYFUNCTION("""COMPUTED_VALUE"""),0.34917824074000237)</f>
        <v>0.3491782407</v>
      </c>
      <c r="D19263" s="4">
        <f>IFERROR(__xludf.DUMMYFUNCTION("""COMPUTED_VALUE"""),12.90829)</f>
        <v>12.90829</v>
      </c>
      <c r="E19263" s="4">
        <f>IFERROR(__xludf.DUMMYFUNCTION("""COMPUTED_VALUE"""),80.09799)</f>
        <v>80.09799</v>
      </c>
      <c r="F19263" s="4">
        <f>IFERROR(__xludf.DUMMYFUNCTION("""COMPUTED_VALUE"""),805.0)</f>
        <v>805</v>
      </c>
      <c r="G19263" s="4">
        <f>IFERROR(__xludf.DUMMYFUNCTION("""COMPUTED_VALUE"""),36.0)</f>
        <v>36</v>
      </c>
      <c r="H19263" s="4"/>
      <c r="I19263" s="4"/>
    </row>
    <row r="19264">
      <c r="A19264" s="4" t="str">
        <f>IFERROR(__xludf.DUMMYFUNCTION("""COMPUTED_VALUE"""),"cas_hmw")</f>
        <v>cas_hmw</v>
      </c>
      <c r="B19264" s="5">
        <f>IFERROR(__xludf.DUMMYFUNCTION("""COMPUTED_VALUE"""),44777.0)</f>
        <v>44777</v>
      </c>
      <c r="C19264" s="6">
        <f>IFERROR(__xludf.DUMMYFUNCTION("""COMPUTED_VALUE"""),0.3502083333332848)</f>
        <v>0.3502083333</v>
      </c>
      <c r="D19264" s="4">
        <f>IFERROR(__xludf.DUMMYFUNCTION("""COMPUTED_VALUE"""),12.904153)</f>
        <v>12.904153</v>
      </c>
      <c r="E19264" s="4">
        <f>IFERROR(__xludf.DUMMYFUNCTION("""COMPUTED_VALUE"""),80.094812)</f>
        <v>80.094812</v>
      </c>
      <c r="F19264" s="4">
        <f>IFERROR(__xludf.DUMMYFUNCTION("""COMPUTED_VALUE"""),805.0)</f>
        <v>805</v>
      </c>
      <c r="G19264" s="4">
        <f>IFERROR(__xludf.DUMMYFUNCTION("""COMPUTED_VALUE"""),29.0)</f>
        <v>29</v>
      </c>
      <c r="H19264" s="4"/>
      <c r="I19264" s="4"/>
    </row>
    <row r="19265">
      <c r="A19265" s="4" t="str">
        <f>IFERROR(__xludf.DUMMYFUNCTION("""COMPUTED_VALUE"""),"cas_hmw")</f>
        <v>cas_hmw</v>
      </c>
      <c r="B19265" s="5">
        <f>IFERROR(__xludf.DUMMYFUNCTION("""COMPUTED_VALUE"""),44777.0)</f>
        <v>44777</v>
      </c>
      <c r="C19265" s="6">
        <f>IFERROR(__xludf.DUMMYFUNCTION("""COMPUTED_VALUE"""),0.3503240740756155)</f>
        <v>0.3503240741</v>
      </c>
      <c r="D19265" s="4">
        <f>IFERROR(__xludf.DUMMYFUNCTION("""COMPUTED_VALUE"""),12.903403)</f>
        <v>12.903403</v>
      </c>
      <c r="E19265" s="4">
        <f>IFERROR(__xludf.DUMMYFUNCTION("""COMPUTED_VALUE"""),80.094184)</f>
        <v>80.094184</v>
      </c>
      <c r="F19265" s="4">
        <f>IFERROR(__xludf.DUMMYFUNCTION("""COMPUTED_VALUE"""),805.0)</f>
        <v>805</v>
      </c>
      <c r="G19265" s="4">
        <f>IFERROR(__xludf.DUMMYFUNCTION("""COMPUTED_VALUE"""),44.0)</f>
        <v>44</v>
      </c>
      <c r="H19265" s="4"/>
      <c r="I19265" s="4"/>
    </row>
    <row r="19266">
      <c r="A19266" s="4" t="str">
        <f>IFERROR(__xludf.DUMMYFUNCTION("""COMPUTED_VALUE"""),"cas_hmw")</f>
        <v>cas_hmw</v>
      </c>
      <c r="B19266" s="5">
        <f>IFERROR(__xludf.DUMMYFUNCTION("""COMPUTED_VALUE"""),44777.0)</f>
        <v>44777</v>
      </c>
      <c r="C19266" s="6">
        <f>IFERROR(__xludf.DUMMYFUNCTION("""COMPUTED_VALUE"""),0.3504745370373712)</f>
        <v>0.350474537</v>
      </c>
      <c r="D19266" s="4">
        <f>IFERROR(__xludf.DUMMYFUNCTION("""COMPUTED_VALUE"""),12.920827)</f>
        <v>12.920827</v>
      </c>
      <c r="E19266" s="4">
        <f>IFERROR(__xludf.DUMMYFUNCTION("""COMPUTED_VALUE"""),80.089594)</f>
        <v>80.089594</v>
      </c>
      <c r="F19266" s="4">
        <f>IFERROR(__xludf.DUMMYFUNCTION("""COMPUTED_VALUE"""),3143.0)</f>
        <v>3143</v>
      </c>
      <c r="G19266" s="4">
        <f>IFERROR(__xludf.DUMMYFUNCTION("""COMPUTED_VALUE"""),19.0)</f>
        <v>19</v>
      </c>
      <c r="H19266" s="4"/>
      <c r="I19266" s="4"/>
    </row>
    <row r="19267">
      <c r="A19267" s="4" t="str">
        <f>IFERROR(__xludf.DUMMYFUNCTION("""COMPUTED_VALUE"""),"cas_hmw")</f>
        <v>cas_hmw</v>
      </c>
      <c r="B19267" s="5">
        <f>IFERROR(__xludf.DUMMYFUNCTION("""COMPUTED_VALUE"""),44777.0)</f>
        <v>44777</v>
      </c>
      <c r="C19267" s="6">
        <f>IFERROR(__xludf.DUMMYFUNCTION("""COMPUTED_VALUE"""),0.3506134259259852)</f>
        <v>0.3506134259</v>
      </c>
      <c r="D19267" s="4">
        <f>IFERROR(__xludf.DUMMYFUNCTION("""COMPUTED_VALUE"""),12.920603)</f>
        <v>12.920603</v>
      </c>
      <c r="E19267" s="4">
        <f>IFERROR(__xludf.DUMMYFUNCTION("""COMPUTED_VALUE"""),80.088929)</f>
        <v>80.088929</v>
      </c>
      <c r="F19267" s="4">
        <f>IFERROR(__xludf.DUMMYFUNCTION("""COMPUTED_VALUE"""),3143.0)</f>
        <v>3143</v>
      </c>
      <c r="G19267" s="4">
        <f>IFERROR(__xludf.DUMMYFUNCTION("""COMPUTED_VALUE"""),36.0)</f>
        <v>36</v>
      </c>
      <c r="H19267" s="4"/>
      <c r="I19267" s="4"/>
    </row>
    <row r="19268">
      <c r="A19268" s="4" t="str">
        <f>IFERROR(__xludf.DUMMYFUNCTION("""COMPUTED_VALUE"""),"cas_hmw")</f>
        <v>cas_hmw</v>
      </c>
      <c r="B19268" s="5">
        <f>IFERROR(__xludf.DUMMYFUNCTION("""COMPUTED_VALUE"""),44777.0)</f>
        <v>44777</v>
      </c>
      <c r="C19268" s="6">
        <f>IFERROR(__xludf.DUMMYFUNCTION("""COMPUTED_VALUE"""),0.3509490740725596)</f>
        <v>0.3509490741</v>
      </c>
      <c r="D19268" s="4">
        <f>IFERROR(__xludf.DUMMYFUNCTION("""COMPUTED_VALUE"""),12.91969)</f>
        <v>12.91969</v>
      </c>
      <c r="E19268" s="4">
        <f>IFERROR(__xludf.DUMMYFUNCTION("""COMPUTED_VALUE"""),80.086902)</f>
        <v>80.086902</v>
      </c>
      <c r="F19268" s="4">
        <f>IFERROR(__xludf.DUMMYFUNCTION("""COMPUTED_VALUE"""),3143.0)</f>
        <v>3143</v>
      </c>
      <c r="G19268" s="4">
        <f>IFERROR(__xludf.DUMMYFUNCTION("""COMPUTED_VALUE"""),31.0)</f>
        <v>31</v>
      </c>
      <c r="H19268" s="4"/>
      <c r="I19268" s="4"/>
    </row>
    <row r="19269">
      <c r="A19269" s="4" t="str">
        <f>IFERROR(__xludf.DUMMYFUNCTION("""COMPUTED_VALUE"""),"cas_hmw")</f>
        <v>cas_hmw</v>
      </c>
      <c r="B19269" s="5">
        <f>IFERROR(__xludf.DUMMYFUNCTION("""COMPUTED_VALUE"""),44777.0)</f>
        <v>44777</v>
      </c>
      <c r="C19269" s="6">
        <f>IFERROR(__xludf.DUMMYFUNCTION("""COMPUTED_VALUE"""),0.3510532407417486)</f>
        <v>0.3510532407</v>
      </c>
      <c r="D19269" s="4">
        <f>IFERROR(__xludf.DUMMYFUNCTION("""COMPUTED_VALUE"""),12.919588)</f>
        <v>12.919588</v>
      </c>
      <c r="E19269" s="4">
        <f>IFERROR(__xludf.DUMMYFUNCTION("""COMPUTED_VALUE"""),80.08586)</f>
        <v>80.08586</v>
      </c>
      <c r="F19269" s="4">
        <f>IFERROR(__xludf.DUMMYFUNCTION("""COMPUTED_VALUE"""),3143.0)</f>
        <v>3143</v>
      </c>
      <c r="G19269" s="4">
        <f>IFERROR(__xludf.DUMMYFUNCTION("""COMPUTED_VALUE"""),48.0)</f>
        <v>48</v>
      </c>
      <c r="H19269" s="4"/>
      <c r="I19269" s="4"/>
    </row>
    <row r="19270">
      <c r="A19270" s="4" t="str">
        <f>IFERROR(__xludf.DUMMYFUNCTION("""COMPUTED_VALUE"""),"cas_hmw")</f>
        <v>cas_hmw</v>
      </c>
      <c r="B19270" s="5">
        <f>IFERROR(__xludf.DUMMYFUNCTION("""COMPUTED_VALUE"""),44777.0)</f>
        <v>44777</v>
      </c>
      <c r="C19270" s="6">
        <f>IFERROR(__xludf.DUMMYFUNCTION("""COMPUTED_VALUE"""),0.3516087962962047)</f>
        <v>0.3516087963</v>
      </c>
      <c r="D19270" s="4">
        <f>IFERROR(__xludf.DUMMYFUNCTION("""COMPUTED_VALUE"""),12.89601)</f>
        <v>12.89601</v>
      </c>
      <c r="E19270" s="4">
        <f>IFERROR(__xludf.DUMMYFUNCTION("""COMPUTED_VALUE"""),80.088511)</f>
        <v>80.088511</v>
      </c>
      <c r="F19270" s="4">
        <f>IFERROR(__xludf.DUMMYFUNCTION("""COMPUTED_VALUE"""),805.0)</f>
        <v>805</v>
      </c>
      <c r="G19270" s="4">
        <f>IFERROR(__xludf.DUMMYFUNCTION("""COMPUTED_VALUE"""),42.0)</f>
        <v>42</v>
      </c>
      <c r="H19270" s="4"/>
      <c r="I19270" s="4"/>
    </row>
    <row r="19271">
      <c r="A19271" s="4" t="str">
        <f>IFERROR(__xludf.DUMMYFUNCTION("""COMPUTED_VALUE"""),"cas_hmw")</f>
        <v>cas_hmw</v>
      </c>
      <c r="B19271" s="5">
        <f>IFERROR(__xludf.DUMMYFUNCTION("""COMPUTED_VALUE"""),44777.0)</f>
        <v>44777</v>
      </c>
      <c r="C19271" s="6">
        <f>IFERROR(__xludf.DUMMYFUNCTION("""COMPUTED_VALUE"""),0.35199074073898373)</f>
        <v>0.3519907407</v>
      </c>
      <c r="D19271" s="4">
        <f>IFERROR(__xludf.DUMMYFUNCTION("""COMPUTED_VALUE"""),12.918076)</f>
        <v>12.918076</v>
      </c>
      <c r="E19271" s="4">
        <f>IFERROR(__xludf.DUMMYFUNCTION("""COMPUTED_VALUE"""),80.081093)</f>
        <v>80.081093</v>
      </c>
      <c r="F19271" s="4">
        <f>IFERROR(__xludf.DUMMYFUNCTION("""COMPUTED_VALUE"""),3143.0)</f>
        <v>3143</v>
      </c>
      <c r="G19271" s="4">
        <f>IFERROR(__xludf.DUMMYFUNCTION("""COMPUTED_VALUE"""),21.0)</f>
        <v>21</v>
      </c>
      <c r="H19271" s="4"/>
      <c r="I19271" s="4"/>
    </row>
    <row r="19272">
      <c r="A19272" s="4" t="str">
        <f>IFERROR(__xludf.DUMMYFUNCTION("""COMPUTED_VALUE"""),"cas_hmw")</f>
        <v>cas_hmw</v>
      </c>
      <c r="B19272" s="5">
        <f>IFERROR(__xludf.DUMMYFUNCTION("""COMPUTED_VALUE"""),44777.0)</f>
        <v>44777</v>
      </c>
      <c r="C19272" s="6">
        <f>IFERROR(__xludf.DUMMYFUNCTION("""COMPUTED_VALUE"""),0.35199074073898373)</f>
        <v>0.3519907407</v>
      </c>
      <c r="D19272" s="4">
        <f>IFERROR(__xludf.DUMMYFUNCTION("""COMPUTED_VALUE"""),12.918076)</f>
        <v>12.918076</v>
      </c>
      <c r="E19272" s="4">
        <f>IFERROR(__xludf.DUMMYFUNCTION("""COMPUTED_VALUE"""),80.081093)</f>
        <v>80.081093</v>
      </c>
      <c r="F19272" s="4">
        <f>IFERROR(__xludf.DUMMYFUNCTION("""COMPUTED_VALUE"""),3143.0)</f>
        <v>3143</v>
      </c>
      <c r="G19272" s="4">
        <f>IFERROR(__xludf.DUMMYFUNCTION("""COMPUTED_VALUE"""),21.0)</f>
        <v>21</v>
      </c>
      <c r="H19272" s="4"/>
      <c r="I19272" s="4"/>
    </row>
    <row r="19273">
      <c r="A19273" s="4" t="str">
        <f>IFERROR(__xludf.DUMMYFUNCTION("""COMPUTED_VALUE"""),"cas_hmw")</f>
        <v>cas_hmw</v>
      </c>
      <c r="B19273" s="5">
        <f>IFERROR(__xludf.DUMMYFUNCTION("""COMPUTED_VALUE"""),44777.0)</f>
        <v>44777</v>
      </c>
      <c r="C19273" s="6">
        <f>IFERROR(__xludf.DUMMYFUNCTION("""COMPUTED_VALUE"""),0.3547569444453984)</f>
        <v>0.3547569444</v>
      </c>
      <c r="D19273" s="4">
        <f>IFERROR(__xludf.DUMMYFUNCTION("""COMPUTED_VALUE"""),12.878882)</f>
        <v>12.878882</v>
      </c>
      <c r="E19273" s="4">
        <f>IFERROR(__xludf.DUMMYFUNCTION("""COMPUTED_VALUE"""),80.081049)</f>
        <v>80.081049</v>
      </c>
      <c r="F19273" s="4">
        <f>IFERROR(__xludf.DUMMYFUNCTION("""COMPUTED_VALUE"""),805.0)</f>
        <v>805</v>
      </c>
      <c r="G19273" s="4">
        <f>IFERROR(__xludf.DUMMYFUNCTION("""COMPUTED_VALUE"""),22.0)</f>
        <v>22</v>
      </c>
      <c r="H19273" s="4"/>
      <c r="I19273" s="4"/>
    </row>
    <row r="19274">
      <c r="A19274" s="4" t="str">
        <f>IFERROR(__xludf.DUMMYFUNCTION("""COMPUTED_VALUE"""),"cas_hmw")</f>
        <v>cas_hmw</v>
      </c>
      <c r="B19274" s="5">
        <f>IFERROR(__xludf.DUMMYFUNCTION("""COMPUTED_VALUE"""),44777.0)</f>
        <v>44777</v>
      </c>
      <c r="C19274" s="6">
        <f>IFERROR(__xludf.DUMMYFUNCTION("""COMPUTED_VALUE"""),0.3547685185185401)</f>
        <v>0.3547685185</v>
      </c>
      <c r="D19274" s="4">
        <f>IFERROR(__xludf.DUMMYFUNCTION("""COMPUTED_VALUE"""),12.878882)</f>
        <v>12.878882</v>
      </c>
      <c r="E19274" s="4">
        <f>IFERROR(__xludf.DUMMYFUNCTION("""COMPUTED_VALUE"""),80.081049)</f>
        <v>80.081049</v>
      </c>
      <c r="F19274" s="4">
        <f>IFERROR(__xludf.DUMMYFUNCTION("""COMPUTED_VALUE"""),805.0)</f>
        <v>805</v>
      </c>
      <c r="G19274" s="4">
        <f>IFERROR(__xludf.DUMMYFUNCTION("""COMPUTED_VALUE"""),22.0)</f>
        <v>22</v>
      </c>
      <c r="H19274" s="4"/>
      <c r="I19274" s="4"/>
    </row>
    <row r="19275">
      <c r="A19275" s="4" t="str">
        <f>IFERROR(__xludf.DUMMYFUNCTION("""COMPUTED_VALUE"""),"cas_hmw")</f>
        <v>cas_hmw</v>
      </c>
      <c r="B19275" s="5">
        <f>IFERROR(__xludf.DUMMYFUNCTION("""COMPUTED_VALUE"""),44777.0)</f>
        <v>44777</v>
      </c>
      <c r="C19275" s="6">
        <f>IFERROR(__xludf.DUMMYFUNCTION("""COMPUTED_VALUE"""),0.35478009259168175)</f>
        <v>0.3547800926</v>
      </c>
      <c r="D19275" s="4">
        <f>IFERROR(__xludf.DUMMYFUNCTION("""COMPUTED_VALUE"""),12.878882)</f>
        <v>12.878882</v>
      </c>
      <c r="E19275" s="4">
        <f>IFERROR(__xludf.DUMMYFUNCTION("""COMPUTED_VALUE"""),80.081049)</f>
        <v>80.081049</v>
      </c>
      <c r="F19275" s="4">
        <f>IFERROR(__xludf.DUMMYFUNCTION("""COMPUTED_VALUE"""),805.0)</f>
        <v>805</v>
      </c>
      <c r="G19275" s="4">
        <f>IFERROR(__xludf.DUMMYFUNCTION("""COMPUTED_VALUE"""),22.0)</f>
        <v>22</v>
      </c>
      <c r="H19275" s="4"/>
      <c r="I19275" s="4"/>
    </row>
    <row r="19276">
      <c r="A19276" s="4" t="str">
        <f>IFERROR(__xludf.DUMMYFUNCTION("""COMPUTED_VALUE"""),"cas_hmw")</f>
        <v>cas_hmw</v>
      </c>
      <c r="B19276" s="5">
        <f>IFERROR(__xludf.DUMMYFUNCTION("""COMPUTED_VALUE"""),44777.0)</f>
        <v>44777</v>
      </c>
      <c r="C19276" s="6">
        <f>IFERROR(__xludf.DUMMYFUNCTION("""COMPUTED_VALUE"""),0.3547916666684614)</f>
        <v>0.3547916667</v>
      </c>
      <c r="D19276" s="4">
        <f>IFERROR(__xludf.DUMMYFUNCTION("""COMPUTED_VALUE"""),12.878882)</f>
        <v>12.878882</v>
      </c>
      <c r="E19276" s="4">
        <f>IFERROR(__xludf.DUMMYFUNCTION("""COMPUTED_VALUE"""),80.081049)</f>
        <v>80.081049</v>
      </c>
      <c r="F19276" s="4">
        <f>IFERROR(__xludf.DUMMYFUNCTION("""COMPUTED_VALUE"""),805.0)</f>
        <v>805</v>
      </c>
      <c r="G19276" s="4">
        <f>IFERROR(__xludf.DUMMYFUNCTION("""COMPUTED_VALUE"""),22.0)</f>
        <v>22</v>
      </c>
      <c r="H19276" s="4"/>
      <c r="I19276" s="4"/>
    </row>
    <row r="19277">
      <c r="A19277" s="4" t="str">
        <f>IFERROR(__xludf.DUMMYFUNCTION("""COMPUTED_VALUE"""),"cas_hmw")</f>
        <v>cas_hmw</v>
      </c>
      <c r="B19277" s="5">
        <f>IFERROR(__xludf.DUMMYFUNCTION("""COMPUTED_VALUE"""),44777.0)</f>
        <v>44777</v>
      </c>
      <c r="C19277" s="6">
        <f>IFERROR(__xludf.DUMMYFUNCTION("""COMPUTED_VALUE"""),0.3547916666684614)</f>
        <v>0.3547916667</v>
      </c>
      <c r="D19277" s="4">
        <f>IFERROR(__xludf.DUMMYFUNCTION("""COMPUTED_VALUE"""),12.878882)</f>
        <v>12.878882</v>
      </c>
      <c r="E19277" s="4">
        <f>IFERROR(__xludf.DUMMYFUNCTION("""COMPUTED_VALUE"""),80.081049)</f>
        <v>80.081049</v>
      </c>
      <c r="F19277" s="4">
        <f>IFERROR(__xludf.DUMMYFUNCTION("""COMPUTED_VALUE"""),805.0)</f>
        <v>805</v>
      </c>
      <c r="G19277" s="4">
        <f>IFERROR(__xludf.DUMMYFUNCTION("""COMPUTED_VALUE"""),22.0)</f>
        <v>22</v>
      </c>
      <c r="H19277" s="4"/>
      <c r="I19277" s="4"/>
    </row>
    <row r="19278">
      <c r="A19278" s="4" t="str">
        <f>IFERROR(__xludf.DUMMYFUNCTION("""COMPUTED_VALUE"""),"cas_hmw")</f>
        <v>cas_hmw</v>
      </c>
      <c r="B19278" s="5">
        <f>IFERROR(__xludf.DUMMYFUNCTION("""COMPUTED_VALUE"""),44777.0)</f>
        <v>44777</v>
      </c>
      <c r="C19278" s="6">
        <f>IFERROR(__xludf.DUMMYFUNCTION("""COMPUTED_VALUE"""),0.6918287037042319)</f>
        <v>0.6918287037</v>
      </c>
      <c r="D19278" s="4">
        <f>IFERROR(__xludf.DUMMYFUNCTION("""COMPUTED_VALUE"""),12.877718)</f>
        <v>12.877718</v>
      </c>
      <c r="E19278" s="4">
        <f>IFERROR(__xludf.DUMMYFUNCTION("""COMPUTED_VALUE"""),80.084051)</f>
        <v>80.084051</v>
      </c>
      <c r="F19278" s="4">
        <f>IFERROR(__xludf.DUMMYFUNCTION("""COMPUTED_VALUE"""),805.0)</f>
        <v>805</v>
      </c>
      <c r="G19278" s="4">
        <f>IFERROR(__xludf.DUMMYFUNCTION("""COMPUTED_VALUE"""),34.0)</f>
        <v>34</v>
      </c>
      <c r="H19278" s="4"/>
      <c r="I19278" s="4"/>
    </row>
    <row r="19279">
      <c r="A19279" s="4" t="str">
        <f>IFERROR(__xludf.DUMMYFUNCTION("""COMPUTED_VALUE"""),"cas_hmw")</f>
        <v>cas_hmw</v>
      </c>
      <c r="B19279" s="5">
        <f>IFERROR(__xludf.DUMMYFUNCTION("""COMPUTED_VALUE"""),44777.0)</f>
        <v>44777</v>
      </c>
      <c r="C19279" s="6">
        <f>IFERROR(__xludf.DUMMYFUNCTION("""COMPUTED_VALUE"""),0.6931018518516794)</f>
        <v>0.6931018519</v>
      </c>
      <c r="D19279" s="4">
        <f>IFERROR(__xludf.DUMMYFUNCTION("""COMPUTED_VALUE"""),12.870241)</f>
        <v>12.870241</v>
      </c>
      <c r="E19279" s="4">
        <f>IFERROR(__xludf.DUMMYFUNCTION("""COMPUTED_VALUE"""),80.076744)</f>
        <v>80.076744</v>
      </c>
      <c r="F19279" s="4">
        <f>IFERROR(__xludf.DUMMYFUNCTION("""COMPUTED_VALUE"""),2846.0)</f>
        <v>2846</v>
      </c>
      <c r="G19279" s="4">
        <f>IFERROR(__xludf.DUMMYFUNCTION("""COMPUTED_VALUE"""),58.0)</f>
        <v>58</v>
      </c>
      <c r="H19279" s="4"/>
      <c r="I19279" s="4"/>
    </row>
    <row r="19280">
      <c r="A19280" s="4" t="str">
        <f>IFERROR(__xludf.DUMMYFUNCTION("""COMPUTED_VALUE"""),"cas_hmw")</f>
        <v>cas_hmw</v>
      </c>
      <c r="B19280" s="5">
        <f>IFERROR(__xludf.DUMMYFUNCTION("""COMPUTED_VALUE"""),44777.0)</f>
        <v>44777</v>
      </c>
      <c r="C19280" s="6">
        <f>IFERROR(__xludf.DUMMYFUNCTION("""COMPUTED_VALUE"""),0.6933333333327028)</f>
        <v>0.6933333333</v>
      </c>
      <c r="D19280" s="4">
        <f>IFERROR(__xludf.DUMMYFUNCTION("""COMPUTED_VALUE"""),12.892861)</f>
        <v>12.892861</v>
      </c>
      <c r="E19280" s="4">
        <f>IFERROR(__xludf.DUMMYFUNCTION("""COMPUTED_VALUE"""),80.086)</f>
        <v>80.086</v>
      </c>
      <c r="F19280" s="4">
        <f>IFERROR(__xludf.DUMMYFUNCTION("""COMPUTED_VALUE"""),5339.0)</f>
        <v>5339</v>
      </c>
      <c r="G19280" s="4">
        <f>IFERROR(__xludf.DUMMYFUNCTION("""COMPUTED_VALUE"""),45.0)</f>
        <v>45</v>
      </c>
      <c r="H19280" s="4"/>
      <c r="I19280" s="4"/>
    </row>
    <row r="19281">
      <c r="A19281" s="4" t="str">
        <f>IFERROR(__xludf.DUMMYFUNCTION("""COMPUTED_VALUE"""),"cas_hmw")</f>
        <v>cas_hmw</v>
      </c>
      <c r="B19281" s="5">
        <f>IFERROR(__xludf.DUMMYFUNCTION("""COMPUTED_VALUE"""),44777.0)</f>
        <v>44777</v>
      </c>
      <c r="C19281" s="6">
        <f>IFERROR(__xludf.DUMMYFUNCTION("""COMPUTED_VALUE"""),0.6937384259254031)</f>
        <v>0.6937384259</v>
      </c>
      <c r="D19281" s="4">
        <f>IFERROR(__xludf.DUMMYFUNCTION("""COMPUTED_VALUE"""),12.896633)</f>
        <v>12.896633</v>
      </c>
      <c r="E19281" s="4">
        <f>IFERROR(__xludf.DUMMYFUNCTION("""COMPUTED_VALUE"""),80.088856)</f>
        <v>80.088856</v>
      </c>
      <c r="F19281" s="4">
        <f>IFERROR(__xludf.DUMMYFUNCTION("""COMPUTED_VALUE"""),5339.0)</f>
        <v>5339</v>
      </c>
      <c r="G19281" s="4">
        <f>IFERROR(__xludf.DUMMYFUNCTION("""COMPUTED_VALUE"""),51.0)</f>
        <v>51</v>
      </c>
      <c r="H19281" s="4"/>
      <c r="I19281" s="4"/>
    </row>
    <row r="19282">
      <c r="A19282" s="4" t="str">
        <f>IFERROR(__xludf.DUMMYFUNCTION("""COMPUTED_VALUE"""),"cas_hmw")</f>
        <v>cas_hmw</v>
      </c>
      <c r="B19282" s="5">
        <f>IFERROR(__xludf.DUMMYFUNCTION("""COMPUTED_VALUE"""),44777.0)</f>
        <v>44777</v>
      </c>
      <c r="C19282" s="6">
        <f>IFERROR(__xludf.DUMMYFUNCTION("""COMPUTED_VALUE"""),0.6937962962947495)</f>
        <v>0.6937962963</v>
      </c>
      <c r="D19282" s="4">
        <f>IFERROR(__xludf.DUMMYFUNCTION("""COMPUTED_VALUE"""),12.864855)</f>
        <v>12.864855</v>
      </c>
      <c r="E19282" s="4">
        <f>IFERROR(__xludf.DUMMYFUNCTION("""COMPUTED_VALUE"""),80.074668)</f>
        <v>80.074668</v>
      </c>
      <c r="F19282" s="4">
        <f>IFERROR(__xludf.DUMMYFUNCTION("""COMPUTED_VALUE"""),2846.0)</f>
        <v>2846</v>
      </c>
      <c r="G19282" s="4">
        <f>IFERROR(__xludf.DUMMYFUNCTION("""COMPUTED_VALUE"""),45.0)</f>
        <v>45</v>
      </c>
      <c r="H19282" s="4"/>
      <c r="I19282" s="4"/>
    </row>
    <row r="19283">
      <c r="A19283" s="4" t="str">
        <f>IFERROR(__xludf.DUMMYFUNCTION("""COMPUTED_VALUE"""),"cas_hmw")</f>
        <v>cas_hmw</v>
      </c>
      <c r="B19283" s="5">
        <f>IFERROR(__xludf.DUMMYFUNCTION("""COMPUTED_VALUE"""),44777.0)</f>
        <v>44777</v>
      </c>
      <c r="C19283" s="6">
        <f>IFERROR(__xludf.DUMMYFUNCTION("""COMPUTED_VALUE"""),0.6943055555566389)</f>
        <v>0.6943055556</v>
      </c>
      <c r="D19283" s="4">
        <f>IFERROR(__xludf.DUMMYFUNCTION("""COMPUTED_VALUE"""),12.901397)</f>
        <v>12.901397</v>
      </c>
      <c r="E19283" s="4">
        <f>IFERROR(__xludf.DUMMYFUNCTION("""COMPUTED_VALUE"""),80.092377)</f>
        <v>80.092377</v>
      </c>
      <c r="F19283" s="4">
        <f>IFERROR(__xludf.DUMMYFUNCTION("""COMPUTED_VALUE"""),5339.0)</f>
        <v>5339</v>
      </c>
      <c r="G19283" s="4">
        <f>IFERROR(__xludf.DUMMYFUNCTION("""COMPUTED_VALUE"""),54.0)</f>
        <v>54</v>
      </c>
      <c r="H19283" s="4"/>
      <c r="I19283" s="4"/>
    </row>
    <row r="19284">
      <c r="A19284" s="4" t="str">
        <f>IFERROR(__xludf.DUMMYFUNCTION("""COMPUTED_VALUE"""),"cas_hmw")</f>
        <v>cas_hmw</v>
      </c>
      <c r="B19284" s="5">
        <f>IFERROR(__xludf.DUMMYFUNCTION("""COMPUTED_VALUE"""),44777.0)</f>
        <v>44777</v>
      </c>
      <c r="C19284" s="6">
        <f>IFERROR(__xludf.DUMMYFUNCTION("""COMPUTED_VALUE"""),0.6945023148145992)</f>
        <v>0.6945023148</v>
      </c>
      <c r="D19284" s="4">
        <f>IFERROR(__xludf.DUMMYFUNCTION("""COMPUTED_VALUE"""),12.902373)</f>
        <v>12.902373</v>
      </c>
      <c r="E19284" s="4">
        <f>IFERROR(__xludf.DUMMYFUNCTION("""COMPUTED_VALUE"""),80.093127)</f>
        <v>80.093127</v>
      </c>
      <c r="F19284" s="4">
        <f>IFERROR(__xludf.DUMMYFUNCTION("""COMPUTED_VALUE"""),5339.0)</f>
        <v>5339</v>
      </c>
      <c r="G19284" s="4">
        <f>IFERROR(__xludf.DUMMYFUNCTION("""COMPUTED_VALUE"""),47.0)</f>
        <v>47</v>
      </c>
      <c r="H19284" s="4"/>
      <c r="I19284" s="4"/>
    </row>
    <row r="19285">
      <c r="A19285" s="4" t="str">
        <f>IFERROR(__xludf.DUMMYFUNCTION("""COMPUTED_VALUE"""),"cas_hmw")</f>
        <v>cas_hmw</v>
      </c>
      <c r="B19285" s="5">
        <f>IFERROR(__xludf.DUMMYFUNCTION("""COMPUTED_VALUE"""),44777.0)</f>
        <v>44777</v>
      </c>
      <c r="C19285" s="6">
        <f>IFERROR(__xludf.DUMMYFUNCTION("""COMPUTED_VALUE"""),0.6962152777778101)</f>
        <v>0.6962152778</v>
      </c>
      <c r="D19285" s="4">
        <f>IFERROR(__xludf.DUMMYFUNCTION("""COMPUTED_VALUE"""),12.848906)</f>
        <v>12.848906</v>
      </c>
      <c r="E19285" s="4">
        <f>IFERROR(__xludf.DUMMYFUNCTION("""COMPUTED_VALUE"""),80.064111)</f>
        <v>80.064111</v>
      </c>
      <c r="F19285" s="4">
        <f>IFERROR(__xludf.DUMMYFUNCTION("""COMPUTED_VALUE"""),2846.0)</f>
        <v>2846</v>
      </c>
      <c r="G19285" s="4">
        <f>IFERROR(__xludf.DUMMYFUNCTION("""COMPUTED_VALUE"""),50.0)</f>
        <v>50</v>
      </c>
      <c r="H19285" s="4"/>
      <c r="I19285" s="4"/>
    </row>
    <row r="19286">
      <c r="A19286" s="4" t="str">
        <f>IFERROR(__xludf.DUMMYFUNCTION("""COMPUTED_VALUE"""),"cas_hmw")</f>
        <v>cas_hmw</v>
      </c>
      <c r="B19286" s="5">
        <f>IFERROR(__xludf.DUMMYFUNCTION("""COMPUTED_VALUE"""),44777.0)</f>
        <v>44777</v>
      </c>
      <c r="C19286" s="6">
        <f>IFERROR(__xludf.DUMMYFUNCTION("""COMPUTED_VALUE"""),0.6964467592588335)</f>
        <v>0.6964467593</v>
      </c>
      <c r="D19286" s="4">
        <f>IFERROR(__xludf.DUMMYFUNCTION("""COMPUTED_VALUE"""),12.880735)</f>
        <v>12.880735</v>
      </c>
      <c r="E19286" s="4">
        <f>IFERROR(__xludf.DUMMYFUNCTION("""COMPUTED_VALUE"""),80.080571)</f>
        <v>80.080571</v>
      </c>
      <c r="F19286" s="4">
        <f>IFERROR(__xludf.DUMMYFUNCTION("""COMPUTED_VALUE"""),805.0)</f>
        <v>805</v>
      </c>
      <c r="G19286" s="4">
        <f>IFERROR(__xludf.DUMMYFUNCTION("""COMPUTED_VALUE"""),37.0)</f>
        <v>37</v>
      </c>
      <c r="H19286" s="4"/>
      <c r="I19286" s="4"/>
    </row>
    <row r="19287">
      <c r="A19287" s="4" t="str">
        <f>IFERROR(__xludf.DUMMYFUNCTION("""COMPUTED_VALUE"""),"cas_hmw")</f>
        <v>cas_hmw</v>
      </c>
      <c r="B19287" s="5">
        <f>IFERROR(__xludf.DUMMYFUNCTION("""COMPUTED_VALUE"""),44777.0)</f>
        <v>44777</v>
      </c>
      <c r="C19287" s="6">
        <f>IFERROR(__xludf.DUMMYFUNCTION("""COMPUTED_VALUE"""),0.6967708333322662)</f>
        <v>0.6967708333</v>
      </c>
      <c r="D19287" s="4">
        <f>IFERROR(__xludf.DUMMYFUNCTION("""COMPUTED_VALUE"""),12.883328)</f>
        <v>12.883328</v>
      </c>
      <c r="E19287" s="4">
        <f>IFERROR(__xludf.DUMMYFUNCTION("""COMPUTED_VALUE"""),80.081406)</f>
        <v>80.081406</v>
      </c>
      <c r="F19287" s="4">
        <f>IFERROR(__xludf.DUMMYFUNCTION("""COMPUTED_VALUE"""),805.0)</f>
        <v>805</v>
      </c>
      <c r="G19287" s="4">
        <f>IFERROR(__xludf.DUMMYFUNCTION("""COMPUTED_VALUE"""),40.0)</f>
        <v>40</v>
      </c>
      <c r="H19287" s="4"/>
      <c r="I19287" s="4"/>
    </row>
    <row r="19288">
      <c r="A19288" s="4" t="str">
        <f>IFERROR(__xludf.DUMMYFUNCTION("""COMPUTED_VALUE"""),"cas_hmw")</f>
        <v>cas_hmw</v>
      </c>
      <c r="B19288" s="5">
        <f>IFERROR(__xludf.DUMMYFUNCTION("""COMPUTED_VALUE"""),44777.0)</f>
        <v>44777</v>
      </c>
      <c r="C19288" s="6">
        <f>IFERROR(__xludf.DUMMYFUNCTION("""COMPUTED_VALUE"""),0.6969328703708015)</f>
        <v>0.6969328704</v>
      </c>
      <c r="D19288" s="4">
        <f>IFERROR(__xludf.DUMMYFUNCTION("""COMPUTED_VALUE"""),12.88428)</f>
        <v>12.88428</v>
      </c>
      <c r="E19288" s="4">
        <f>IFERROR(__xludf.DUMMYFUNCTION("""COMPUTED_VALUE"""),80.081792)</f>
        <v>80.081792</v>
      </c>
      <c r="F19288" s="4">
        <f>IFERROR(__xludf.DUMMYFUNCTION("""COMPUTED_VALUE"""),805.0)</f>
        <v>805</v>
      </c>
      <c r="G19288" s="4">
        <f>IFERROR(__xludf.DUMMYFUNCTION("""COMPUTED_VALUE"""),41.0)</f>
        <v>41</v>
      </c>
      <c r="H19288" s="4"/>
      <c r="I19288" s="4"/>
    </row>
    <row r="19289">
      <c r="A19289" s="4" t="str">
        <f>IFERROR(__xludf.DUMMYFUNCTION("""COMPUTED_VALUE"""),"cas_hmw")</f>
        <v>cas_hmw</v>
      </c>
      <c r="B19289" s="5">
        <f>IFERROR(__xludf.DUMMYFUNCTION("""COMPUTED_VALUE"""),44777.0)</f>
        <v>44777</v>
      </c>
      <c r="C19289" s="6">
        <f>IFERROR(__xludf.DUMMYFUNCTION("""COMPUTED_VALUE"""),0.6970254629632109)</f>
        <v>0.697025463</v>
      </c>
      <c r="D19289" s="4">
        <f>IFERROR(__xludf.DUMMYFUNCTION("""COMPUTED_VALUE"""),12.845507)</f>
        <v>12.845507</v>
      </c>
      <c r="E19289" s="4">
        <f>IFERROR(__xludf.DUMMYFUNCTION("""COMPUTED_VALUE"""),80.061438)</f>
        <v>80.061438</v>
      </c>
      <c r="F19289" s="4">
        <f>IFERROR(__xludf.DUMMYFUNCTION("""COMPUTED_VALUE"""),2846.0)</f>
        <v>2846</v>
      </c>
      <c r="G19289" s="4">
        <f>IFERROR(__xludf.DUMMYFUNCTION("""COMPUTED_VALUE"""),40.0)</f>
        <v>40</v>
      </c>
      <c r="H19289" s="4"/>
      <c r="I19289" s="4"/>
    </row>
    <row r="19290">
      <c r="A19290" s="4" t="str">
        <f>IFERROR(__xludf.DUMMYFUNCTION("""COMPUTED_VALUE"""),"cas_hmw")</f>
        <v>cas_hmw</v>
      </c>
      <c r="B19290" s="5">
        <f>IFERROR(__xludf.DUMMYFUNCTION("""COMPUTED_VALUE"""),44777.0)</f>
        <v>44777</v>
      </c>
      <c r="C19290" s="6">
        <f>IFERROR(__xludf.DUMMYFUNCTION("""COMPUTED_VALUE"""),0.6979513888873043)</f>
        <v>0.6979513889</v>
      </c>
      <c r="D19290" s="4">
        <f>IFERROR(__xludf.DUMMYFUNCTION("""COMPUTED_VALUE"""),12.895107)</f>
        <v>12.895107</v>
      </c>
      <c r="E19290" s="4">
        <f>IFERROR(__xludf.DUMMYFUNCTION("""COMPUTED_VALUE"""),80.087664)</f>
        <v>80.087664</v>
      </c>
      <c r="F19290" s="4">
        <f>IFERROR(__xludf.DUMMYFUNCTION("""COMPUTED_VALUE"""),805.0)</f>
        <v>805</v>
      </c>
      <c r="G19290" s="4">
        <f>IFERROR(__xludf.DUMMYFUNCTION("""COMPUTED_VALUE"""),58.0)</f>
        <v>58</v>
      </c>
      <c r="H19290" s="4"/>
      <c r="I19290" s="4"/>
    </row>
    <row r="19291">
      <c r="A19291" s="4" t="str">
        <f>IFERROR(__xludf.DUMMYFUNCTION("""COMPUTED_VALUE"""),"cas_hmw")</f>
        <v>cas_hmw</v>
      </c>
      <c r="B19291" s="5">
        <f>IFERROR(__xludf.DUMMYFUNCTION("""COMPUTED_VALUE"""),44777.0)</f>
        <v>44777</v>
      </c>
      <c r="C19291" s="6">
        <f>IFERROR(__xludf.DUMMYFUNCTION("""COMPUTED_VALUE"""),0.698032407406572)</f>
        <v>0.6980324074</v>
      </c>
      <c r="D19291" s="4">
        <f>IFERROR(__xludf.DUMMYFUNCTION("""COMPUTED_VALUE"""),12.89626)</f>
        <v>12.89626</v>
      </c>
      <c r="E19291" s="4">
        <f>IFERROR(__xludf.DUMMYFUNCTION("""COMPUTED_VALUE"""),80.088559)</f>
        <v>80.088559</v>
      </c>
      <c r="F19291" s="4">
        <f>IFERROR(__xludf.DUMMYFUNCTION("""COMPUTED_VALUE"""),805.0)</f>
        <v>805</v>
      </c>
      <c r="G19291" s="4">
        <f>IFERROR(__xludf.DUMMYFUNCTION("""COMPUTED_VALUE"""),54.0)</f>
        <v>54</v>
      </c>
      <c r="H19291" s="4"/>
      <c r="I19291" s="4"/>
    </row>
    <row r="19292">
      <c r="A19292" s="4" t="str">
        <f>IFERROR(__xludf.DUMMYFUNCTION("""COMPUTED_VALUE"""),"cas_hmw")</f>
        <v>cas_hmw</v>
      </c>
      <c r="B19292" s="5">
        <f>IFERROR(__xludf.DUMMYFUNCTION("""COMPUTED_VALUE"""),44777.0)</f>
        <v>44777</v>
      </c>
      <c r="C19292" s="6">
        <f>IFERROR(__xludf.DUMMYFUNCTION("""COMPUTED_VALUE"""),0.6982870370375167)</f>
        <v>0.698287037</v>
      </c>
      <c r="D19292" s="4">
        <f>IFERROR(__xludf.DUMMYFUNCTION("""COMPUTED_VALUE"""),12.89858)</f>
        <v>12.89858</v>
      </c>
      <c r="E19292" s="4">
        <f>IFERROR(__xludf.DUMMYFUNCTION("""COMPUTED_VALUE"""),80.090248)</f>
        <v>80.090248</v>
      </c>
      <c r="F19292" s="4">
        <f>IFERROR(__xludf.DUMMYFUNCTION("""COMPUTED_VALUE"""),805.0)</f>
        <v>805</v>
      </c>
      <c r="G19292" s="4">
        <f>IFERROR(__xludf.DUMMYFUNCTION("""COMPUTED_VALUE"""),57.0)</f>
        <v>57</v>
      </c>
      <c r="H19292" s="4"/>
      <c r="I19292" s="4"/>
    </row>
    <row r="19293">
      <c r="A19293" s="4" t="str">
        <f>IFERROR(__xludf.DUMMYFUNCTION("""COMPUTED_VALUE"""),"cas_hmw")</f>
        <v>cas_hmw</v>
      </c>
      <c r="B19293" s="5">
        <f>IFERROR(__xludf.DUMMYFUNCTION("""COMPUTED_VALUE"""),44777.0)</f>
        <v>44777</v>
      </c>
      <c r="C19293" s="6">
        <f>IFERROR(__xludf.DUMMYFUNCTION("""COMPUTED_VALUE"""),0.6984374999992724)</f>
        <v>0.6984375</v>
      </c>
      <c r="D19293" s="4">
        <f>IFERROR(__xludf.DUMMYFUNCTION("""COMPUTED_VALUE"""),12.923369)</f>
        <v>12.923369</v>
      </c>
      <c r="E19293" s="4">
        <f>IFERROR(__xludf.DUMMYFUNCTION("""COMPUTED_VALUE"""),80.114443)</f>
        <v>80.114443</v>
      </c>
      <c r="F19293" s="4">
        <f>IFERROR(__xludf.DUMMYFUNCTION("""COMPUTED_VALUE"""),5339.0)</f>
        <v>5339</v>
      </c>
      <c r="G19293" s="4">
        <f>IFERROR(__xludf.DUMMYFUNCTION("""COMPUTED_VALUE"""),50.0)</f>
        <v>50</v>
      </c>
      <c r="H19293" s="4"/>
      <c r="I19293" s="4"/>
    </row>
    <row r="19294">
      <c r="A19294" s="4" t="str">
        <f>IFERROR(__xludf.DUMMYFUNCTION("""COMPUTED_VALUE"""),"cas_hmw")</f>
        <v>cas_hmw</v>
      </c>
      <c r="B19294" s="5">
        <f>IFERROR(__xludf.DUMMYFUNCTION("""COMPUTED_VALUE"""),44777.0)</f>
        <v>44777</v>
      </c>
      <c r="C19294" s="6">
        <f>IFERROR(__xludf.DUMMYFUNCTION("""COMPUTED_VALUE"""),0.6987962962957681)</f>
        <v>0.6987962963</v>
      </c>
      <c r="D19294" s="4">
        <f>IFERROR(__xludf.DUMMYFUNCTION("""COMPUTED_VALUE"""),12.901808)</f>
        <v>12.901808</v>
      </c>
      <c r="E19294" s="4">
        <f>IFERROR(__xludf.DUMMYFUNCTION("""COMPUTED_VALUE"""),80.092709)</f>
        <v>80.092709</v>
      </c>
      <c r="F19294" s="4">
        <f>IFERROR(__xludf.DUMMYFUNCTION("""COMPUTED_VALUE"""),805.0)</f>
        <v>805</v>
      </c>
      <c r="G19294" s="4">
        <f>IFERROR(__xludf.DUMMYFUNCTION("""COMPUTED_VALUE"""),61.0)</f>
        <v>61</v>
      </c>
      <c r="H19294" s="4"/>
      <c r="I19294" s="4"/>
    </row>
    <row r="19295">
      <c r="A19295" s="4" t="str">
        <f>IFERROR(__xludf.DUMMYFUNCTION("""COMPUTED_VALUE"""),"cas_hmw")</f>
        <v>cas_hmw</v>
      </c>
      <c r="B19295" s="5">
        <f>IFERROR(__xludf.DUMMYFUNCTION("""COMPUTED_VALUE"""),44777.0)</f>
        <v>44777</v>
      </c>
      <c r="C19295" s="6">
        <f>IFERROR(__xludf.DUMMYFUNCTION("""COMPUTED_VALUE"""),0.6988888888881775)</f>
        <v>0.6988888889</v>
      </c>
      <c r="D19295" s="4">
        <f>IFERROR(__xludf.DUMMYFUNCTION("""COMPUTED_VALUE"""),12.902974)</f>
        <v>12.902974</v>
      </c>
      <c r="E19295" s="4">
        <f>IFERROR(__xludf.DUMMYFUNCTION("""COMPUTED_VALUE"""),80.093566)</f>
        <v>80.093566</v>
      </c>
      <c r="F19295" s="4">
        <f>IFERROR(__xludf.DUMMYFUNCTION("""COMPUTED_VALUE"""),805.0)</f>
        <v>805</v>
      </c>
      <c r="G19295" s="4">
        <f>IFERROR(__xludf.DUMMYFUNCTION("""COMPUTED_VALUE"""),52.0)</f>
        <v>52</v>
      </c>
      <c r="H19295" s="4"/>
      <c r="I19295" s="4"/>
    </row>
    <row r="19296">
      <c r="A19296" s="4" t="str">
        <f>IFERROR(__xludf.DUMMYFUNCTION("""COMPUTED_VALUE"""),"cas_hmw")</f>
        <v>cas_hmw</v>
      </c>
      <c r="B19296" s="5">
        <f>IFERROR(__xludf.DUMMYFUNCTION("""COMPUTED_VALUE"""),44777.0)</f>
        <v>44777</v>
      </c>
      <c r="C19296" s="6">
        <f>IFERROR(__xludf.DUMMYFUNCTION("""COMPUTED_VALUE"""),0.6991898148153268)</f>
        <v>0.6991898148</v>
      </c>
      <c r="D19296" s="4">
        <f>IFERROR(__xludf.DUMMYFUNCTION("""COMPUTED_VALUE"""),12.906161)</f>
        <v>12.906161</v>
      </c>
      <c r="E19296" s="4">
        <f>IFERROR(__xludf.DUMMYFUNCTION("""COMPUTED_VALUE"""),80.095956)</f>
        <v>80.095956</v>
      </c>
      <c r="F19296" s="4">
        <f>IFERROR(__xludf.DUMMYFUNCTION("""COMPUTED_VALUE"""),805.0)</f>
        <v>805</v>
      </c>
      <c r="G19296" s="4">
        <f>IFERROR(__xludf.DUMMYFUNCTION("""COMPUTED_VALUE"""),54.0)</f>
        <v>54</v>
      </c>
      <c r="H19296" s="4"/>
      <c r="I19296" s="4"/>
    </row>
    <row r="19297">
      <c r="A19297" s="4" t="str">
        <f>IFERROR(__xludf.DUMMYFUNCTION("""COMPUTED_VALUE"""),"cas_hmw")</f>
        <v>cas_hmw</v>
      </c>
      <c r="B19297" s="5">
        <f>IFERROR(__xludf.DUMMYFUNCTION("""COMPUTED_VALUE"""),44777.0)</f>
        <v>44777</v>
      </c>
      <c r="C19297" s="6">
        <f>IFERROR(__xludf.DUMMYFUNCTION("""COMPUTED_VALUE"""),0.6992939814808778)</f>
        <v>0.6992939815</v>
      </c>
      <c r="D19297" s="4">
        <f>IFERROR(__xludf.DUMMYFUNCTION("""COMPUTED_VALUE"""),12.906161)</f>
        <v>12.906161</v>
      </c>
      <c r="E19297" s="4">
        <f>IFERROR(__xludf.DUMMYFUNCTION("""COMPUTED_VALUE"""),80.095956)</f>
        <v>80.095956</v>
      </c>
      <c r="F19297" s="4">
        <f>IFERROR(__xludf.DUMMYFUNCTION("""COMPUTED_VALUE"""),805.0)</f>
        <v>805</v>
      </c>
      <c r="G19297" s="4">
        <f>IFERROR(__xludf.DUMMYFUNCTION("""COMPUTED_VALUE"""),54.0)</f>
        <v>54</v>
      </c>
      <c r="H19297" s="4"/>
      <c r="I19297" s="4"/>
    </row>
    <row r="19298">
      <c r="A19298" s="4" t="str">
        <f>IFERROR(__xludf.DUMMYFUNCTION("""COMPUTED_VALUE"""),"cas_hmw")</f>
        <v>cas_hmw</v>
      </c>
      <c r="B19298" s="5">
        <f>IFERROR(__xludf.DUMMYFUNCTION("""COMPUTED_VALUE"""),44777.0)</f>
        <v>44777</v>
      </c>
      <c r="C19298" s="6">
        <f>IFERROR(__xludf.DUMMYFUNCTION("""COMPUTED_VALUE"""),0.6998148148159089)</f>
        <v>0.6998148148</v>
      </c>
      <c r="D19298" s="4">
        <f>IFERROR(__xludf.DUMMYFUNCTION("""COMPUTED_VALUE"""),12.909463)</f>
        <v>12.909463</v>
      </c>
      <c r="E19298" s="4">
        <f>IFERROR(__xludf.DUMMYFUNCTION("""COMPUTED_VALUE"""),80.099044)</f>
        <v>80.099044</v>
      </c>
      <c r="F19298" s="4">
        <f>IFERROR(__xludf.DUMMYFUNCTION("""COMPUTED_VALUE"""),805.0)</f>
        <v>805</v>
      </c>
      <c r="G19298" s="4">
        <f>IFERROR(__xludf.DUMMYFUNCTION("""COMPUTED_VALUE"""),33.0)</f>
        <v>33</v>
      </c>
      <c r="H19298" s="4"/>
      <c r="I19298" s="4"/>
    </row>
    <row r="19299">
      <c r="A19299" s="4" t="str">
        <f>IFERROR(__xludf.DUMMYFUNCTION("""COMPUTED_VALUE"""),"cas_hmw")</f>
        <v>cas_hmw</v>
      </c>
      <c r="B19299" s="5">
        <f>IFERROR(__xludf.DUMMYFUNCTION("""COMPUTED_VALUE"""),44777.0)</f>
        <v>44777</v>
      </c>
      <c r="C19299" s="6">
        <f>IFERROR(__xludf.DUMMYFUNCTION("""COMPUTED_VALUE"""),0.6998726851852552)</f>
        <v>0.6998726852</v>
      </c>
      <c r="D19299" s="4">
        <f>IFERROR(__xludf.DUMMYFUNCTION("""COMPUTED_VALUE"""),12.909463)</f>
        <v>12.909463</v>
      </c>
      <c r="E19299" s="4">
        <f>IFERROR(__xludf.DUMMYFUNCTION("""COMPUTED_VALUE"""),80.099044)</f>
        <v>80.099044</v>
      </c>
      <c r="F19299" s="4">
        <f>IFERROR(__xludf.DUMMYFUNCTION("""COMPUTED_VALUE"""),805.0)</f>
        <v>805</v>
      </c>
      <c r="G19299" s="4">
        <f>IFERROR(__xludf.DUMMYFUNCTION("""COMPUTED_VALUE"""),33.0)</f>
        <v>33</v>
      </c>
      <c r="H19299" s="4"/>
      <c r="I19299" s="4"/>
    </row>
    <row r="19300">
      <c r="A19300" s="4" t="str">
        <f>IFERROR(__xludf.DUMMYFUNCTION("""COMPUTED_VALUE"""),"cas_hmw")</f>
        <v>cas_hmw</v>
      </c>
      <c r="B19300" s="5">
        <f>IFERROR(__xludf.DUMMYFUNCTION("""COMPUTED_VALUE"""),44777.0)</f>
        <v>44777</v>
      </c>
      <c r="C19300" s="6">
        <f>IFERROR(__xludf.DUMMYFUNCTION("""COMPUTED_VALUE"""),0.7002777777779556)</f>
        <v>0.7002777778</v>
      </c>
      <c r="D19300" s="4">
        <f>IFERROR(__xludf.DUMMYFUNCTION("""COMPUTED_VALUE"""),12.92696)</f>
        <v>12.92696</v>
      </c>
      <c r="E19300" s="4">
        <f>IFERROR(__xludf.DUMMYFUNCTION("""COMPUTED_VALUE"""),80.118104)</f>
        <v>80.118104</v>
      </c>
      <c r="F19300" s="4">
        <f>IFERROR(__xludf.DUMMYFUNCTION("""COMPUTED_VALUE"""),5339.0)</f>
        <v>5339</v>
      </c>
      <c r="G19300" s="4">
        <f>IFERROR(__xludf.DUMMYFUNCTION("""COMPUTED_VALUE"""),7.0)</f>
        <v>7</v>
      </c>
      <c r="H19300" s="4"/>
      <c r="I19300" s="4"/>
    </row>
    <row r="19301">
      <c r="A19301" s="4" t="str">
        <f>IFERROR(__xludf.DUMMYFUNCTION("""COMPUTED_VALUE"""),"cas_hmw")</f>
        <v>cas_hmw</v>
      </c>
      <c r="B19301" s="5">
        <f>IFERROR(__xludf.DUMMYFUNCTION("""COMPUTED_VALUE"""),44777.0)</f>
        <v>44777</v>
      </c>
      <c r="C19301" s="6">
        <f>IFERROR(__xludf.DUMMYFUNCTION("""COMPUTED_VALUE"""),0.700370370370365)</f>
        <v>0.7003703704</v>
      </c>
      <c r="D19301" s="4">
        <f>IFERROR(__xludf.DUMMYFUNCTION("""COMPUTED_VALUE"""),12.928423)</f>
        <v>12.928423</v>
      </c>
      <c r="E19301" s="4">
        <f>IFERROR(__xludf.DUMMYFUNCTION("""COMPUTED_VALUE"""),80.119547)</f>
        <v>80.119547</v>
      </c>
      <c r="F19301" s="4">
        <f>IFERROR(__xludf.DUMMYFUNCTION("""COMPUTED_VALUE"""),5339.0)</f>
        <v>5339</v>
      </c>
      <c r="G19301" s="4">
        <f>IFERROR(__xludf.DUMMYFUNCTION("""COMPUTED_VALUE"""),43.0)</f>
        <v>43</v>
      </c>
      <c r="H19301" s="4"/>
      <c r="I19301" s="4"/>
    </row>
    <row r="19302">
      <c r="A19302" s="4" t="str">
        <f>IFERROR(__xludf.DUMMYFUNCTION("""COMPUTED_VALUE"""),"cas_hmw")</f>
        <v>cas_hmw</v>
      </c>
      <c r="B19302" s="5">
        <f>IFERROR(__xludf.DUMMYFUNCTION("""COMPUTED_VALUE"""),44777.0)</f>
        <v>44777</v>
      </c>
      <c r="C19302" s="6">
        <f>IFERROR(__xludf.DUMMYFUNCTION("""COMPUTED_VALUE"""),0.7009375000016007)</f>
        <v>0.7009375</v>
      </c>
      <c r="D19302" s="4">
        <f>IFERROR(__xludf.DUMMYFUNCTION("""COMPUTED_VALUE"""),12.913036)</f>
        <v>12.913036</v>
      </c>
      <c r="E19302" s="4">
        <f>IFERROR(__xludf.DUMMYFUNCTION("""COMPUTED_VALUE"""),80.101485)</f>
        <v>80.101485</v>
      </c>
      <c r="F19302" s="4">
        <f>IFERROR(__xludf.DUMMYFUNCTION("""COMPUTED_VALUE"""),805.0)</f>
        <v>805</v>
      </c>
      <c r="G19302" s="4">
        <f>IFERROR(__xludf.DUMMYFUNCTION("""COMPUTED_VALUE"""),46.0)</f>
        <v>46</v>
      </c>
      <c r="H19302" s="4"/>
      <c r="I19302" s="4"/>
    </row>
    <row r="19303">
      <c r="A19303" s="4" t="str">
        <f>IFERROR(__xludf.DUMMYFUNCTION("""COMPUTED_VALUE"""),"cas_hmw")</f>
        <v>cas_hmw</v>
      </c>
      <c r="B19303" s="5">
        <f>IFERROR(__xludf.DUMMYFUNCTION("""COMPUTED_VALUE"""),44777.0)</f>
        <v>44777</v>
      </c>
      <c r="C19303" s="6">
        <f>IFERROR(__xludf.DUMMYFUNCTION("""COMPUTED_VALUE"""),0.7010185185172304)</f>
        <v>0.7010185185</v>
      </c>
      <c r="D19303" s="4">
        <f>IFERROR(__xludf.DUMMYFUNCTION("""COMPUTED_VALUE"""),12.923994)</f>
        <v>12.923994</v>
      </c>
      <c r="E19303" s="4">
        <f>IFERROR(__xludf.DUMMYFUNCTION("""COMPUTED_VALUE"""),80.09813)</f>
        <v>80.09813</v>
      </c>
      <c r="F19303" s="4">
        <f>IFERROR(__xludf.DUMMYFUNCTION("""COMPUTED_VALUE"""),3143.0)</f>
        <v>3143</v>
      </c>
      <c r="G19303" s="4">
        <f>IFERROR(__xludf.DUMMYFUNCTION("""COMPUTED_VALUE"""),22.0)</f>
        <v>22</v>
      </c>
      <c r="H19303" s="4"/>
      <c r="I19303" s="4"/>
    </row>
    <row r="19304">
      <c r="A19304" s="4" t="str">
        <f>IFERROR(__xludf.DUMMYFUNCTION("""COMPUTED_VALUE"""),"cas_hmw")</f>
        <v>cas_hmw</v>
      </c>
      <c r="B19304" s="5">
        <f>IFERROR(__xludf.DUMMYFUNCTION("""COMPUTED_VALUE"""),44777.0)</f>
        <v>44777</v>
      </c>
      <c r="C19304" s="6">
        <f>IFERROR(__xludf.DUMMYFUNCTION("""COMPUTED_VALUE"""),0.7011921296289074)</f>
        <v>0.7011921296</v>
      </c>
      <c r="D19304" s="4">
        <f>IFERROR(__xludf.DUMMYFUNCTION("""COMPUTED_VALUE"""),12.915396)</f>
        <v>12.915396</v>
      </c>
      <c r="E19304" s="4">
        <f>IFERROR(__xludf.DUMMYFUNCTION("""COMPUTED_VALUE"""),80.102541)</f>
        <v>80.102541</v>
      </c>
      <c r="F19304" s="4">
        <f>IFERROR(__xludf.DUMMYFUNCTION("""COMPUTED_VALUE"""),805.0)</f>
        <v>805</v>
      </c>
      <c r="G19304" s="4">
        <f>IFERROR(__xludf.DUMMYFUNCTION("""COMPUTED_VALUE"""),53.0)</f>
        <v>53</v>
      </c>
      <c r="H19304" s="4"/>
      <c r="I19304" s="4"/>
    </row>
    <row r="19305">
      <c r="A19305" s="4" t="str">
        <f>IFERROR(__xludf.DUMMYFUNCTION("""COMPUTED_VALUE"""),"cas_hmw")</f>
        <v>cas_hmw</v>
      </c>
      <c r="B19305" s="5">
        <f>IFERROR(__xludf.DUMMYFUNCTION("""COMPUTED_VALUE"""),44777.0)</f>
        <v>44777</v>
      </c>
      <c r="C19305" s="6">
        <f>IFERROR(__xludf.DUMMYFUNCTION("""COMPUTED_VALUE"""),0.7016435185178125)</f>
        <v>0.7016435185</v>
      </c>
      <c r="D19305" s="4">
        <f>IFERROR(__xludf.DUMMYFUNCTION("""COMPUTED_VALUE"""),12.932685)</f>
        <v>12.932685</v>
      </c>
      <c r="E19305" s="4">
        <f>IFERROR(__xludf.DUMMYFUNCTION("""COMPUTED_VALUE"""),80.123825)</f>
        <v>80.123825</v>
      </c>
      <c r="F19305" s="4">
        <f>IFERROR(__xludf.DUMMYFUNCTION("""COMPUTED_VALUE"""),5339.0)</f>
        <v>5339</v>
      </c>
      <c r="G19305" s="4">
        <f>IFERROR(__xludf.DUMMYFUNCTION("""COMPUTED_VALUE"""),40.0)</f>
        <v>40</v>
      </c>
      <c r="H19305" s="4"/>
      <c r="I19305" s="4"/>
    </row>
    <row r="19306">
      <c r="A19306" s="4" t="str">
        <f>IFERROR(__xludf.DUMMYFUNCTION("""COMPUTED_VALUE"""),"cas_hmw")</f>
        <v>cas_hmw</v>
      </c>
      <c r="B19306" s="5">
        <f>IFERROR(__xludf.DUMMYFUNCTION("""COMPUTED_VALUE"""),44777.0)</f>
        <v>44777</v>
      </c>
      <c r="C19306" s="6">
        <f>IFERROR(__xludf.DUMMYFUNCTION("""COMPUTED_VALUE"""),0.7018402777794108)</f>
        <v>0.7018402778</v>
      </c>
      <c r="D19306" s="4">
        <f>IFERROR(__xludf.DUMMYFUNCTION("""COMPUTED_VALUE"""),12.918294)</f>
        <v>12.918294</v>
      </c>
      <c r="E19306" s="4">
        <f>IFERROR(__xludf.DUMMYFUNCTION("""COMPUTED_VALUE"""),80.108849)</f>
        <v>80.108849</v>
      </c>
      <c r="F19306" s="4">
        <f>IFERROR(__xludf.DUMMYFUNCTION("""COMPUTED_VALUE"""),805.0)</f>
        <v>805</v>
      </c>
      <c r="G19306" s="4">
        <f>IFERROR(__xludf.DUMMYFUNCTION("""COMPUTED_VALUE"""),54.0)</f>
        <v>54</v>
      </c>
      <c r="H19306" s="4"/>
      <c r="I19306" s="4"/>
    </row>
    <row r="19307">
      <c r="A19307" s="4" t="str">
        <f>IFERROR(__xludf.DUMMYFUNCTION("""COMPUTED_VALUE"""),"cas_hmw")</f>
        <v>cas_hmw</v>
      </c>
      <c r="B19307" s="5">
        <f>IFERROR(__xludf.DUMMYFUNCTION("""COMPUTED_VALUE"""),44777.0)</f>
        <v>44777</v>
      </c>
      <c r="C19307" s="6">
        <f>IFERROR(__xludf.DUMMYFUNCTION("""COMPUTED_VALUE"""),0.7021180555566389)</f>
        <v>0.7021180556</v>
      </c>
      <c r="D19307" s="4">
        <f>IFERROR(__xludf.DUMMYFUNCTION("""COMPUTED_VALUE"""),12.920902)</f>
        <v>12.920902</v>
      </c>
      <c r="E19307" s="4">
        <f>IFERROR(__xludf.DUMMYFUNCTION("""COMPUTED_VALUE"""),80.111894)</f>
        <v>80.111894</v>
      </c>
      <c r="F19307" s="4">
        <f>IFERROR(__xludf.DUMMYFUNCTION("""COMPUTED_VALUE"""),805.0)</f>
        <v>805</v>
      </c>
      <c r="G19307" s="4">
        <f>IFERROR(__xludf.DUMMYFUNCTION("""COMPUTED_VALUE"""),58.0)</f>
        <v>58</v>
      </c>
      <c r="H19307" s="4"/>
      <c r="I19307" s="4"/>
    </row>
    <row r="19308">
      <c r="A19308" s="4" t="str">
        <f>IFERROR(__xludf.DUMMYFUNCTION("""COMPUTED_VALUE"""),"cas_hmw")</f>
        <v>cas_hmw</v>
      </c>
      <c r="B19308" s="5">
        <f>IFERROR(__xludf.DUMMYFUNCTION("""COMPUTED_VALUE"""),44777.0)</f>
        <v>44777</v>
      </c>
      <c r="C19308" s="6">
        <f>IFERROR(__xludf.DUMMYFUNCTION("""COMPUTED_VALUE"""),0.7023842592607252)</f>
        <v>0.7023842593</v>
      </c>
      <c r="D19308" s="4">
        <f>IFERROR(__xludf.DUMMYFUNCTION("""COMPUTED_VALUE"""),12.92284)</f>
        <v>12.92284</v>
      </c>
      <c r="E19308" s="4">
        <f>IFERROR(__xludf.DUMMYFUNCTION("""COMPUTED_VALUE"""),80.11392)</f>
        <v>80.11392</v>
      </c>
      <c r="F19308" s="4">
        <f>IFERROR(__xludf.DUMMYFUNCTION("""COMPUTED_VALUE"""),805.0)</f>
        <v>805</v>
      </c>
      <c r="G19308" s="4">
        <f>IFERROR(__xludf.DUMMYFUNCTION("""COMPUTED_VALUE"""),57.0)</f>
        <v>57</v>
      </c>
      <c r="H19308" s="4"/>
      <c r="I19308" s="4"/>
    </row>
    <row r="19309">
      <c r="A19309" s="4" t="str">
        <f>IFERROR(__xludf.DUMMYFUNCTION("""COMPUTED_VALUE"""),"cas_hmw")</f>
        <v>cas_hmw</v>
      </c>
      <c r="B19309" s="5">
        <f>IFERROR(__xludf.DUMMYFUNCTION("""COMPUTED_VALUE"""),44777.0)</f>
        <v>44777</v>
      </c>
      <c r="C19309" s="6">
        <f>IFERROR(__xludf.DUMMYFUNCTION("""COMPUTED_VALUE"""),0.7035416666658421)</f>
        <v>0.7035416667</v>
      </c>
      <c r="D19309" s="4">
        <f>IFERROR(__xludf.DUMMYFUNCTION("""COMPUTED_VALUE"""),12.802243)</f>
        <v>12.802243</v>
      </c>
      <c r="E19309" s="4">
        <f>IFERROR(__xludf.DUMMYFUNCTION("""COMPUTED_VALUE"""),80.025039)</f>
        <v>80.025039</v>
      </c>
      <c r="F19309" s="4">
        <f>IFERROR(__xludf.DUMMYFUNCTION("""COMPUTED_VALUE"""),2846.0)</f>
        <v>2846</v>
      </c>
      <c r="G19309" s="4">
        <f>IFERROR(__xludf.DUMMYFUNCTION("""COMPUTED_VALUE"""),43.0)</f>
        <v>43</v>
      </c>
      <c r="H19309" s="4"/>
      <c r="I19309" s="4"/>
    </row>
    <row r="19310">
      <c r="A19310" s="4" t="str">
        <f>IFERROR(__xludf.DUMMYFUNCTION("""COMPUTED_VALUE"""),"cas_hmw")</f>
        <v>cas_hmw</v>
      </c>
      <c r="B19310" s="5">
        <f>IFERROR(__xludf.DUMMYFUNCTION("""COMPUTED_VALUE"""),44777.0)</f>
        <v>44777</v>
      </c>
      <c r="C19310" s="6">
        <f>IFERROR(__xludf.DUMMYFUNCTION("""COMPUTED_VALUE"""),0.7049305555556202)</f>
        <v>0.7049305556</v>
      </c>
      <c r="D19310" s="4">
        <f>IFERROR(__xludf.DUMMYFUNCTION("""COMPUTED_VALUE"""),12.782974)</f>
        <v>12.782974</v>
      </c>
      <c r="E19310" s="4">
        <f>IFERROR(__xludf.DUMMYFUNCTION("""COMPUTED_VALUE"""),80.013138)</f>
        <v>80.013138</v>
      </c>
      <c r="F19310" s="4">
        <f>IFERROR(__xludf.DUMMYFUNCTION("""COMPUTED_VALUE"""),2846.0)</f>
        <v>2846</v>
      </c>
      <c r="G19310" s="4">
        <f>IFERROR(__xludf.DUMMYFUNCTION("""COMPUTED_VALUE"""),58.0)</f>
        <v>58</v>
      </c>
      <c r="H19310" s="4"/>
      <c r="I19310" s="4"/>
    </row>
    <row r="19311">
      <c r="A19311" s="4" t="str">
        <f>IFERROR(__xludf.DUMMYFUNCTION("""COMPUTED_VALUE"""),"cas_hmw")</f>
        <v>cas_hmw</v>
      </c>
      <c r="B19311" s="5">
        <f>IFERROR(__xludf.DUMMYFUNCTION("""COMPUTED_VALUE"""),44777.0)</f>
        <v>44777</v>
      </c>
      <c r="C19311" s="6">
        <f>IFERROR(__xludf.DUMMYFUNCTION("""COMPUTED_VALUE"""),0.7055439814830606)</f>
        <v>0.7055439815</v>
      </c>
      <c r="D19311" s="4">
        <f>IFERROR(__xludf.DUMMYFUNCTION("""COMPUTED_VALUE"""),12.776278)</f>
        <v>12.776278</v>
      </c>
      <c r="E19311" s="4">
        <f>IFERROR(__xludf.DUMMYFUNCTION("""COMPUTED_VALUE"""),80.010195)</f>
        <v>80.010195</v>
      </c>
      <c r="F19311" s="4">
        <f>IFERROR(__xludf.DUMMYFUNCTION("""COMPUTED_VALUE"""),2846.0)</f>
        <v>2846</v>
      </c>
      <c r="G19311" s="4">
        <f>IFERROR(__xludf.DUMMYFUNCTION("""COMPUTED_VALUE"""),58.0)</f>
        <v>58</v>
      </c>
      <c r="H19311" s="4"/>
      <c r="I19311" s="4"/>
    </row>
    <row r="19312">
      <c r="A19312" s="4" t="str">
        <f>IFERROR(__xludf.DUMMYFUNCTION("""COMPUTED_VALUE"""),"cas_hmw")</f>
        <v>cas_hmw</v>
      </c>
      <c r="B19312" s="5">
        <f>IFERROR(__xludf.DUMMYFUNCTION("""COMPUTED_VALUE"""),44777.0)</f>
        <v>44777</v>
      </c>
      <c r="C19312" s="6">
        <f>IFERROR(__xludf.DUMMYFUNCTION("""COMPUTED_VALUE"""),0.7060416666681704)</f>
        <v>0.7060416667</v>
      </c>
      <c r="D19312" s="4">
        <f>IFERROR(__xludf.DUMMYFUNCTION("""COMPUTED_VALUE"""),12.76981)</f>
        <v>12.76981</v>
      </c>
      <c r="E19312" s="4">
        <f>IFERROR(__xludf.DUMMYFUNCTION("""COMPUTED_VALUE"""),80.007249)</f>
        <v>80.007249</v>
      </c>
      <c r="F19312" s="4">
        <f>IFERROR(__xludf.DUMMYFUNCTION("""COMPUTED_VALUE"""),2846.0)</f>
        <v>2846</v>
      </c>
      <c r="G19312" s="4">
        <f>IFERROR(__xludf.DUMMYFUNCTION("""COMPUTED_VALUE"""),51.0)</f>
        <v>51</v>
      </c>
      <c r="H19312" s="4"/>
      <c r="I19312" s="4"/>
    </row>
    <row r="19313">
      <c r="A19313" s="4" t="str">
        <f>IFERROR(__xludf.DUMMYFUNCTION("""COMPUTED_VALUE"""),"cas_hmw")</f>
        <v>cas_hmw</v>
      </c>
      <c r="B19313" s="5">
        <f>IFERROR(__xludf.DUMMYFUNCTION("""COMPUTED_VALUE"""),44777.0)</f>
        <v>44777</v>
      </c>
      <c r="C19313" s="6">
        <f>IFERROR(__xludf.DUMMYFUNCTION("""COMPUTED_VALUE"""),0.7061921296299261)</f>
        <v>0.7061921296</v>
      </c>
      <c r="D19313" s="4">
        <f>IFERROR(__xludf.DUMMYFUNCTION("""COMPUTED_VALUE"""),12.931271)</f>
        <v>12.931271</v>
      </c>
      <c r="E19313" s="4">
        <f>IFERROR(__xludf.DUMMYFUNCTION("""COMPUTED_VALUE"""),80.122354)</f>
        <v>80.122354</v>
      </c>
      <c r="F19313" s="4">
        <f>IFERROR(__xludf.DUMMYFUNCTION("""COMPUTED_VALUE"""),805.0)</f>
        <v>805</v>
      </c>
      <c r="G19313" s="4">
        <f>IFERROR(__xludf.DUMMYFUNCTION("""COMPUTED_VALUE"""),22.0)</f>
        <v>22</v>
      </c>
      <c r="H19313" s="4"/>
      <c r="I19313" s="4"/>
    </row>
    <row r="19314">
      <c r="A19314" s="4" t="str">
        <f>IFERROR(__xludf.DUMMYFUNCTION("""COMPUTED_VALUE"""),"cas_hmw")</f>
        <v>cas_hmw</v>
      </c>
      <c r="B19314" s="5">
        <f>IFERROR(__xludf.DUMMYFUNCTION("""COMPUTED_VALUE"""),44777.0)</f>
        <v>44777</v>
      </c>
      <c r="C19314" s="6">
        <f>IFERROR(__xludf.DUMMYFUNCTION("""COMPUTED_VALUE"""),0.7062037037030677)</f>
        <v>0.7062037037</v>
      </c>
      <c r="D19314" s="4">
        <f>IFERROR(__xludf.DUMMYFUNCTION("""COMPUTED_VALUE"""),12.93069)</f>
        <v>12.93069</v>
      </c>
      <c r="E19314" s="4">
        <f>IFERROR(__xludf.DUMMYFUNCTION("""COMPUTED_VALUE"""),80.116758)</f>
        <v>80.116758</v>
      </c>
      <c r="F19314" s="4">
        <f>IFERROR(__xludf.DUMMYFUNCTION("""COMPUTED_VALUE"""),3143.0)</f>
        <v>3143</v>
      </c>
      <c r="G19314" s="4">
        <f>IFERROR(__xludf.DUMMYFUNCTION("""COMPUTED_VALUE"""),32.0)</f>
        <v>32</v>
      </c>
      <c r="H19314" s="4"/>
      <c r="I19314" s="4"/>
    </row>
    <row r="19315">
      <c r="A19315" s="4" t="str">
        <f>IFERROR(__xludf.DUMMYFUNCTION("""COMPUTED_VALUE"""),"cas_hmw")</f>
        <v>cas_hmw</v>
      </c>
      <c r="B19315" s="5">
        <f>IFERROR(__xludf.DUMMYFUNCTION("""COMPUTED_VALUE"""),44777.0)</f>
        <v>44777</v>
      </c>
      <c r="C19315" s="6">
        <f>IFERROR(__xludf.DUMMYFUNCTION("""COMPUTED_VALUE"""),0.7062499999992724)</f>
        <v>0.70625</v>
      </c>
      <c r="D19315" s="4">
        <f>IFERROR(__xludf.DUMMYFUNCTION("""COMPUTED_VALUE"""),12.956299)</f>
        <v>12.956299</v>
      </c>
      <c r="E19315" s="4">
        <f>IFERROR(__xludf.DUMMYFUNCTION("""COMPUTED_VALUE"""),80.143179)</f>
        <v>80.143179</v>
      </c>
      <c r="F19315" s="4">
        <f>IFERROR(__xludf.DUMMYFUNCTION("""COMPUTED_VALUE"""),5339.0)</f>
        <v>5339</v>
      </c>
      <c r="G19315" s="4">
        <f>IFERROR(__xludf.DUMMYFUNCTION("""COMPUTED_VALUE"""),22.0)</f>
        <v>22</v>
      </c>
      <c r="H19315" s="4"/>
      <c r="I19315" s="4"/>
    </row>
    <row r="19316">
      <c r="A19316" s="4" t="str">
        <f>IFERROR(__xludf.DUMMYFUNCTION("""COMPUTED_VALUE"""),"cas_hmw")</f>
        <v>cas_hmw</v>
      </c>
      <c r="B19316" s="5">
        <f>IFERROR(__xludf.DUMMYFUNCTION("""COMPUTED_VALUE"""),44777.0)</f>
        <v>44777</v>
      </c>
      <c r="C19316" s="6">
        <f>IFERROR(__xludf.DUMMYFUNCTION("""COMPUTED_VALUE"""),0.7062731481491937)</f>
        <v>0.7062731481</v>
      </c>
      <c r="D19316" s="4">
        <f>IFERROR(__xludf.DUMMYFUNCTION("""COMPUTED_VALUE"""),12.956299)</f>
        <v>12.956299</v>
      </c>
      <c r="E19316" s="4">
        <f>IFERROR(__xludf.DUMMYFUNCTION("""COMPUTED_VALUE"""),80.143179)</f>
        <v>80.143179</v>
      </c>
      <c r="F19316" s="4">
        <f>IFERROR(__xludf.DUMMYFUNCTION("""COMPUTED_VALUE"""),5339.0)</f>
        <v>5339</v>
      </c>
      <c r="G19316" s="4">
        <f>IFERROR(__xludf.DUMMYFUNCTION("""COMPUTED_VALUE"""),22.0)</f>
        <v>22</v>
      </c>
      <c r="H19316" s="4"/>
      <c r="I19316" s="4"/>
    </row>
    <row r="19317">
      <c r="A19317" s="4" t="str">
        <f>IFERROR(__xludf.DUMMYFUNCTION("""COMPUTED_VALUE"""),"cas_hmw")</f>
        <v>cas_hmw</v>
      </c>
      <c r="B19317" s="5">
        <f>IFERROR(__xludf.DUMMYFUNCTION("""COMPUTED_VALUE"""),44777.0)</f>
        <v>44777</v>
      </c>
      <c r="C19317" s="6">
        <f>IFERROR(__xludf.DUMMYFUNCTION("""COMPUTED_VALUE"""),0.7062847222223354)</f>
        <v>0.7062847222</v>
      </c>
      <c r="D19317" s="4">
        <f>IFERROR(__xludf.DUMMYFUNCTION("""COMPUTED_VALUE"""),12.932027)</f>
        <v>12.932027</v>
      </c>
      <c r="E19317" s="4">
        <f>IFERROR(__xludf.DUMMYFUNCTION("""COMPUTED_VALUE"""),80.12313)</f>
        <v>80.12313</v>
      </c>
      <c r="F19317" s="4">
        <f>IFERROR(__xludf.DUMMYFUNCTION("""COMPUTED_VALUE"""),805.0)</f>
        <v>805</v>
      </c>
      <c r="G19317" s="4">
        <f>IFERROR(__xludf.DUMMYFUNCTION("""COMPUTED_VALUE"""),31.0)</f>
        <v>31</v>
      </c>
      <c r="H19317" s="4"/>
      <c r="I19317" s="4"/>
    </row>
    <row r="19318">
      <c r="A19318" s="4" t="str">
        <f>IFERROR(__xludf.DUMMYFUNCTION("""COMPUTED_VALUE"""),"cas_hmw")</f>
        <v>cas_hmw</v>
      </c>
      <c r="B19318" s="5">
        <f>IFERROR(__xludf.DUMMYFUNCTION("""COMPUTED_VALUE"""),44777.0)</f>
        <v>44777</v>
      </c>
      <c r="C19318" s="6">
        <f>IFERROR(__xludf.DUMMYFUNCTION("""COMPUTED_VALUE"""),0.7063310185185401)</f>
        <v>0.7063310185</v>
      </c>
      <c r="D19318" s="4">
        <f>IFERROR(__xludf.DUMMYFUNCTION("""COMPUTED_VALUE"""),12.932027)</f>
        <v>12.932027</v>
      </c>
      <c r="E19318" s="4">
        <f>IFERROR(__xludf.DUMMYFUNCTION("""COMPUTED_VALUE"""),80.12313)</f>
        <v>80.12313</v>
      </c>
      <c r="F19318" s="4">
        <f>IFERROR(__xludf.DUMMYFUNCTION("""COMPUTED_VALUE"""),805.0)</f>
        <v>805</v>
      </c>
      <c r="G19318" s="4">
        <f>IFERROR(__xludf.DUMMYFUNCTION("""COMPUTED_VALUE"""),31.0)</f>
        <v>31</v>
      </c>
      <c r="H19318" s="4"/>
      <c r="I19318" s="4"/>
    </row>
    <row r="19319">
      <c r="A19319" s="4" t="str">
        <f>IFERROR(__xludf.DUMMYFUNCTION("""COMPUTED_VALUE"""),"cas_hmw")</f>
        <v>cas_hmw</v>
      </c>
      <c r="B19319" s="5">
        <f>IFERROR(__xludf.DUMMYFUNCTION("""COMPUTED_VALUE"""),44777.0)</f>
        <v>44777</v>
      </c>
      <c r="C19319" s="6">
        <f>IFERROR(__xludf.DUMMYFUNCTION("""COMPUTED_VALUE"""),0.7063541666684614)</f>
        <v>0.7063541667</v>
      </c>
      <c r="D19319" s="4">
        <f>IFERROR(__xludf.DUMMYFUNCTION("""COMPUTED_VALUE"""),12.95692)</f>
        <v>12.95692</v>
      </c>
      <c r="E19319" s="4">
        <f>IFERROR(__xludf.DUMMYFUNCTION("""COMPUTED_VALUE"""),80.143521)</f>
        <v>80.143521</v>
      </c>
      <c r="F19319" s="4">
        <f>IFERROR(__xludf.DUMMYFUNCTION("""COMPUTED_VALUE"""),5339.0)</f>
        <v>5339</v>
      </c>
      <c r="G19319" s="4">
        <f>IFERROR(__xludf.DUMMYFUNCTION("""COMPUTED_VALUE"""),28.0)</f>
        <v>28</v>
      </c>
      <c r="H19319" s="4"/>
      <c r="I19319" s="4"/>
    </row>
    <row r="19320">
      <c r="A19320" s="4" t="str">
        <f>IFERROR(__xludf.DUMMYFUNCTION("""COMPUTED_VALUE"""),"cas_hmw")</f>
        <v>cas_hmw</v>
      </c>
      <c r="B19320" s="5">
        <f>IFERROR(__xludf.DUMMYFUNCTION("""COMPUTED_VALUE"""),44777.0)</f>
        <v>44777</v>
      </c>
      <c r="C19320" s="6">
        <f>IFERROR(__xludf.DUMMYFUNCTION("""COMPUTED_VALUE"""),0.7063657407416031)</f>
        <v>0.7063657407</v>
      </c>
      <c r="D19320" s="4">
        <f>IFERROR(__xludf.DUMMYFUNCTION("""COMPUTED_VALUE"""),12.95692)</f>
        <v>12.95692</v>
      </c>
      <c r="E19320" s="4">
        <f>IFERROR(__xludf.DUMMYFUNCTION("""COMPUTED_VALUE"""),80.143521)</f>
        <v>80.143521</v>
      </c>
      <c r="F19320" s="4">
        <f>IFERROR(__xludf.DUMMYFUNCTION("""COMPUTED_VALUE"""),5339.0)</f>
        <v>5339</v>
      </c>
      <c r="G19320" s="4">
        <f>IFERROR(__xludf.DUMMYFUNCTION("""COMPUTED_VALUE"""),28.0)</f>
        <v>28</v>
      </c>
      <c r="H19320" s="4"/>
      <c r="I19320" s="4"/>
    </row>
    <row r="19321">
      <c r="A19321" s="4" t="str">
        <f>IFERROR(__xludf.DUMMYFUNCTION("""COMPUTED_VALUE"""),"cas_hmw")</f>
        <v>cas_hmw</v>
      </c>
      <c r="B19321" s="5">
        <f>IFERROR(__xludf.DUMMYFUNCTION("""COMPUTED_VALUE"""),44777.0)</f>
        <v>44777</v>
      </c>
      <c r="C19321" s="6">
        <f>IFERROR(__xludf.DUMMYFUNCTION("""COMPUTED_VALUE"""),0.7072222222232085)</f>
        <v>0.7072222222</v>
      </c>
      <c r="D19321" s="4">
        <f>IFERROR(__xludf.DUMMYFUNCTION("""COMPUTED_VALUE"""),12.759979)</f>
        <v>12.759979</v>
      </c>
      <c r="E19321" s="4">
        <f>IFERROR(__xludf.DUMMYFUNCTION("""COMPUTED_VALUE"""),80.003385)</f>
        <v>80.003385</v>
      </c>
      <c r="F19321" s="4">
        <f>IFERROR(__xludf.DUMMYFUNCTION("""COMPUTED_VALUE"""),2846.0)</f>
        <v>2846</v>
      </c>
      <c r="G19321" s="4">
        <f>IFERROR(__xludf.DUMMYFUNCTION("""COMPUTED_VALUE"""),17.0)</f>
        <v>17</v>
      </c>
      <c r="H19321" s="4"/>
      <c r="I19321" s="4"/>
    </row>
    <row r="19322">
      <c r="A19322" s="4" t="str">
        <f>IFERROR(__xludf.DUMMYFUNCTION("""COMPUTED_VALUE"""),"cas_hmw")</f>
        <v>cas_hmw</v>
      </c>
      <c r="B19322" s="5">
        <f>IFERROR(__xludf.DUMMYFUNCTION("""COMPUTED_VALUE"""),44777.0)</f>
        <v>44777</v>
      </c>
      <c r="C19322" s="6">
        <f>IFERROR(__xludf.DUMMYFUNCTION("""COMPUTED_VALUE"""),0.7072569444426335)</f>
        <v>0.7072569444</v>
      </c>
      <c r="D19322" s="4">
        <f>IFERROR(__xludf.DUMMYFUNCTION("""COMPUTED_VALUE"""),12.759277)</f>
        <v>12.759277</v>
      </c>
      <c r="E19322" s="4">
        <f>IFERROR(__xludf.DUMMYFUNCTION("""COMPUTED_VALUE"""),80.003159)</f>
        <v>80.003159</v>
      </c>
      <c r="F19322" s="4">
        <f>IFERROR(__xludf.DUMMYFUNCTION("""COMPUTED_VALUE"""),2846.0)</f>
        <v>2846</v>
      </c>
      <c r="G19322" s="4">
        <f>IFERROR(__xludf.DUMMYFUNCTION("""COMPUTED_VALUE"""),36.0)</f>
        <v>36</v>
      </c>
      <c r="H19322" s="4"/>
      <c r="I19322" s="4"/>
    </row>
    <row r="19323">
      <c r="A19323" s="4" t="str">
        <f>IFERROR(__xludf.DUMMYFUNCTION("""COMPUTED_VALUE"""),"cas_hmw")</f>
        <v>cas_hmw</v>
      </c>
      <c r="B19323" s="5">
        <f>IFERROR(__xludf.DUMMYFUNCTION("""COMPUTED_VALUE"""),44777.0)</f>
        <v>44777</v>
      </c>
      <c r="C19323" s="6">
        <f>IFERROR(__xludf.DUMMYFUNCTION("""COMPUTED_VALUE"""),0.7073379629619012)</f>
        <v>0.707337963</v>
      </c>
      <c r="D19323" s="4">
        <f>IFERROR(__xludf.DUMMYFUNCTION("""COMPUTED_VALUE"""),12.759277)</f>
        <v>12.759277</v>
      </c>
      <c r="E19323" s="4">
        <f>IFERROR(__xludf.DUMMYFUNCTION("""COMPUTED_VALUE"""),80.003159)</f>
        <v>80.003159</v>
      </c>
      <c r="F19323" s="4">
        <f>IFERROR(__xludf.DUMMYFUNCTION("""COMPUTED_VALUE"""),2846.0)</f>
        <v>2846</v>
      </c>
      <c r="G19323" s="4">
        <f>IFERROR(__xludf.DUMMYFUNCTION("""COMPUTED_VALUE"""),36.0)</f>
        <v>36</v>
      </c>
      <c r="H19323" s="4"/>
      <c r="I19323" s="4"/>
    </row>
    <row r="19324">
      <c r="A19324" s="4" t="str">
        <f>IFERROR(__xludf.DUMMYFUNCTION("""COMPUTED_VALUE"""),"cas_hmw")</f>
        <v>cas_hmw</v>
      </c>
      <c r="B19324" s="5">
        <f>IFERROR(__xludf.DUMMYFUNCTION("""COMPUTED_VALUE"""),44777.0)</f>
        <v>44777</v>
      </c>
      <c r="C19324" s="6">
        <f>IFERROR(__xludf.DUMMYFUNCTION("""COMPUTED_VALUE"""),0.7076504629621923)</f>
        <v>0.707650463</v>
      </c>
      <c r="D19324" s="4">
        <f>IFERROR(__xludf.DUMMYFUNCTION("""COMPUTED_VALUE"""),12.756142)</f>
        <v>12.756142</v>
      </c>
      <c r="E19324" s="4">
        <f>IFERROR(__xludf.DUMMYFUNCTION("""COMPUTED_VALUE"""),80.002076)</f>
        <v>80.002076</v>
      </c>
      <c r="F19324" s="4">
        <f>IFERROR(__xludf.DUMMYFUNCTION("""COMPUTED_VALUE"""),2846.0)</f>
        <v>2846</v>
      </c>
      <c r="G19324" s="4">
        <f>IFERROR(__xludf.DUMMYFUNCTION("""COMPUTED_VALUE"""),45.0)</f>
        <v>45</v>
      </c>
      <c r="H19324" s="4"/>
      <c r="I19324" s="4"/>
    </row>
    <row r="19325">
      <c r="A19325" s="4" t="str">
        <f>IFERROR(__xludf.DUMMYFUNCTION("""COMPUTED_VALUE"""),"cas_hmw")</f>
        <v>cas_hmw</v>
      </c>
      <c r="B19325" s="5">
        <f>IFERROR(__xludf.DUMMYFUNCTION("""COMPUTED_VALUE"""),44777.0)</f>
        <v>44777</v>
      </c>
      <c r="C19325" s="6">
        <f>IFERROR(__xludf.DUMMYFUNCTION("""COMPUTED_VALUE"""),0.7076851851852552)</f>
        <v>0.7076851852</v>
      </c>
      <c r="D19325" s="4">
        <f>IFERROR(__xludf.DUMMYFUNCTION("""COMPUTED_VALUE"""),12.962444)</f>
        <v>12.962444</v>
      </c>
      <c r="E19325" s="4">
        <f>IFERROR(__xludf.DUMMYFUNCTION("""COMPUTED_VALUE"""),80.146322)</f>
        <v>80.146322</v>
      </c>
      <c r="F19325" s="4">
        <f>IFERROR(__xludf.DUMMYFUNCTION("""COMPUTED_VALUE"""),5339.0)</f>
        <v>5339</v>
      </c>
      <c r="G19325" s="4">
        <f>IFERROR(__xludf.DUMMYFUNCTION("""COMPUTED_VALUE"""),41.0)</f>
        <v>41</v>
      </c>
      <c r="H19325" s="4"/>
      <c r="I19325" s="4"/>
    </row>
    <row r="19326">
      <c r="A19326" s="4" t="str">
        <f>IFERROR(__xludf.DUMMYFUNCTION("""COMPUTED_VALUE"""),"cas_hmw")</f>
        <v>cas_hmw</v>
      </c>
      <c r="B19326" s="5">
        <f>IFERROR(__xludf.DUMMYFUNCTION("""COMPUTED_VALUE"""),44777.0)</f>
        <v>44777</v>
      </c>
      <c r="C19326" s="6">
        <f>IFERROR(__xludf.DUMMYFUNCTION("""COMPUTED_VALUE"""),0.7077430555546016)</f>
        <v>0.7077430556</v>
      </c>
      <c r="D19326" s="4">
        <f>IFERROR(__xludf.DUMMYFUNCTION("""COMPUTED_VALUE"""),12.935881)</f>
        <v>12.935881</v>
      </c>
      <c r="E19326" s="4">
        <f>IFERROR(__xludf.DUMMYFUNCTION("""COMPUTED_VALUE"""),80.126754)</f>
        <v>80.126754</v>
      </c>
      <c r="F19326" s="4">
        <f>IFERROR(__xludf.DUMMYFUNCTION("""COMPUTED_VALUE"""),805.0)</f>
        <v>805</v>
      </c>
      <c r="G19326" s="4">
        <f>IFERROR(__xludf.DUMMYFUNCTION("""COMPUTED_VALUE"""),8.0)</f>
        <v>8</v>
      </c>
      <c r="H19326" s="4"/>
      <c r="I19326" s="4"/>
    </row>
    <row r="19327">
      <c r="A19327" s="4" t="str">
        <f>IFERROR(__xludf.DUMMYFUNCTION("""COMPUTED_VALUE"""),"cas_hmw")</f>
        <v>cas_hmw</v>
      </c>
      <c r="B19327" s="5">
        <f>IFERROR(__xludf.DUMMYFUNCTION("""COMPUTED_VALUE"""),44777.0)</f>
        <v>44777</v>
      </c>
      <c r="C19327" s="6">
        <f>IFERROR(__xludf.DUMMYFUNCTION("""COMPUTED_VALUE"""),0.7077546296313812)</f>
        <v>0.7077546296</v>
      </c>
      <c r="D19327" s="4">
        <f>IFERROR(__xludf.DUMMYFUNCTION("""COMPUTED_VALUE"""),12.755356)</f>
        <v>12.755356</v>
      </c>
      <c r="E19327" s="4">
        <f>IFERROR(__xludf.DUMMYFUNCTION("""COMPUTED_VALUE"""),80.001641)</f>
        <v>80.001641</v>
      </c>
      <c r="F19327" s="4">
        <f>IFERROR(__xludf.DUMMYFUNCTION("""COMPUTED_VALUE"""),2846.0)</f>
        <v>2846</v>
      </c>
      <c r="G19327" s="4">
        <f>IFERROR(__xludf.DUMMYFUNCTION("""COMPUTED_VALUE"""),38.0)</f>
        <v>38</v>
      </c>
      <c r="H19327" s="4"/>
      <c r="I19327" s="4"/>
    </row>
    <row r="19328">
      <c r="A19328" s="4" t="str">
        <f>IFERROR(__xludf.DUMMYFUNCTION("""COMPUTED_VALUE"""),"cas_hmw")</f>
        <v>cas_hmw</v>
      </c>
      <c r="B19328" s="5">
        <f>IFERROR(__xludf.DUMMYFUNCTION("""COMPUTED_VALUE"""),44777.0)</f>
        <v>44777</v>
      </c>
      <c r="C19328" s="6">
        <f>IFERROR(__xludf.DUMMYFUNCTION("""COMPUTED_VALUE"""),0.7077662037045229)</f>
        <v>0.7077662037</v>
      </c>
      <c r="D19328" s="4">
        <f>IFERROR(__xludf.DUMMYFUNCTION("""COMPUTED_VALUE"""),12.93632)</f>
        <v>12.93632</v>
      </c>
      <c r="E19328" s="4">
        <f>IFERROR(__xludf.DUMMYFUNCTION("""COMPUTED_VALUE"""),80.127194)</f>
        <v>80.127194</v>
      </c>
      <c r="F19328" s="4">
        <f>IFERROR(__xludf.DUMMYFUNCTION("""COMPUTED_VALUE"""),805.0)</f>
        <v>805</v>
      </c>
      <c r="G19328" s="4">
        <f>IFERROR(__xludf.DUMMYFUNCTION("""COMPUTED_VALUE"""),0.0)</f>
        <v>0</v>
      </c>
      <c r="H19328" s="4"/>
      <c r="I19328" s="4"/>
    </row>
    <row r="19329">
      <c r="A19329" s="4" t="str">
        <f>IFERROR(__xludf.DUMMYFUNCTION("""COMPUTED_VALUE"""),"cas_hmw")</f>
        <v>cas_hmw</v>
      </c>
      <c r="B19329" s="5">
        <f>IFERROR(__xludf.DUMMYFUNCTION("""COMPUTED_VALUE"""),44777.0)</f>
        <v>44777</v>
      </c>
      <c r="C19329" s="6">
        <f>IFERROR(__xludf.DUMMYFUNCTION("""COMPUTED_VALUE"""),0.7079050925931369)</f>
        <v>0.7079050926</v>
      </c>
      <c r="D19329" s="4">
        <f>IFERROR(__xludf.DUMMYFUNCTION("""COMPUTED_VALUE"""),12.93632)</f>
        <v>12.93632</v>
      </c>
      <c r="E19329" s="4">
        <f>IFERROR(__xludf.DUMMYFUNCTION("""COMPUTED_VALUE"""),80.127194)</f>
        <v>80.127194</v>
      </c>
      <c r="F19329" s="4">
        <f>IFERROR(__xludf.DUMMYFUNCTION("""COMPUTED_VALUE"""),805.0)</f>
        <v>805</v>
      </c>
      <c r="G19329" s="4">
        <f>IFERROR(__xludf.DUMMYFUNCTION("""COMPUTED_VALUE"""),0.0)</f>
        <v>0</v>
      </c>
      <c r="H19329" s="4"/>
      <c r="I19329" s="4"/>
    </row>
    <row r="19330">
      <c r="A19330" s="4" t="str">
        <f>IFERROR(__xludf.DUMMYFUNCTION("""COMPUTED_VALUE"""),"cas_hmw")</f>
        <v>cas_hmw</v>
      </c>
      <c r="B19330" s="5">
        <f>IFERROR(__xludf.DUMMYFUNCTION("""COMPUTED_VALUE"""),44777.0)</f>
        <v>44777</v>
      </c>
      <c r="C19330" s="6">
        <f>IFERROR(__xludf.DUMMYFUNCTION("""COMPUTED_VALUE"""),0.7084490740744513)</f>
        <v>0.7084490741</v>
      </c>
      <c r="D19330" s="4">
        <f>IFERROR(__xludf.DUMMYFUNCTION("""COMPUTED_VALUE"""),12.941658)</f>
        <v>12.941658</v>
      </c>
      <c r="E19330" s="4">
        <f>IFERROR(__xludf.DUMMYFUNCTION("""COMPUTED_VALUE"""),80.13212)</f>
        <v>80.13212</v>
      </c>
      <c r="F19330" s="4">
        <f>IFERROR(__xludf.DUMMYFUNCTION("""COMPUTED_VALUE"""),805.0)</f>
        <v>805</v>
      </c>
      <c r="G19330" s="4">
        <f>IFERROR(__xludf.DUMMYFUNCTION("""COMPUTED_VALUE"""),56.0)</f>
        <v>56</v>
      </c>
      <c r="H19330" s="4"/>
      <c r="I19330" s="4"/>
    </row>
    <row r="19331">
      <c r="A19331" s="4" t="str">
        <f>IFERROR(__xludf.DUMMYFUNCTION("""COMPUTED_VALUE"""),"cas_hmw")</f>
        <v>cas_hmw</v>
      </c>
      <c r="B19331" s="5">
        <f>IFERROR(__xludf.DUMMYFUNCTION("""COMPUTED_VALUE"""),44777.0)</f>
        <v>44777</v>
      </c>
      <c r="C19331" s="6">
        <f>IFERROR(__xludf.DUMMYFUNCTION("""COMPUTED_VALUE"""),0.7087152777785377)</f>
        <v>0.7087152778</v>
      </c>
      <c r="D19331" s="4">
        <f>IFERROR(__xludf.DUMMYFUNCTION("""COMPUTED_VALUE"""),12.932673)</f>
        <v>12.932673</v>
      </c>
      <c r="E19331" s="4">
        <f>IFERROR(__xludf.DUMMYFUNCTION("""COMPUTED_VALUE"""),80.123793)</f>
        <v>80.123793</v>
      </c>
      <c r="F19331" s="4">
        <f>IFERROR(__xludf.DUMMYFUNCTION("""COMPUTED_VALUE"""),3143.0)</f>
        <v>3143</v>
      </c>
      <c r="G19331" s="4">
        <f>IFERROR(__xludf.DUMMYFUNCTION("""COMPUTED_VALUE"""),37.0)</f>
        <v>37</v>
      </c>
      <c r="H19331" s="4"/>
      <c r="I19331" s="4"/>
    </row>
    <row r="19332">
      <c r="A19332" s="4" t="str">
        <f>IFERROR(__xludf.DUMMYFUNCTION("""COMPUTED_VALUE"""),"cas_hmw")</f>
        <v>cas_hmw</v>
      </c>
      <c r="B19332" s="5">
        <f>IFERROR(__xludf.DUMMYFUNCTION("""COMPUTED_VALUE"""),44777.0)</f>
        <v>44777</v>
      </c>
      <c r="C19332" s="6">
        <f>IFERROR(__xludf.DUMMYFUNCTION("""COMPUTED_VALUE"""),0.7087384259248211)</f>
        <v>0.7087384259</v>
      </c>
      <c r="D19332" s="4">
        <f>IFERROR(__xludf.DUMMYFUNCTION("""COMPUTED_VALUE"""),12.943814)</f>
        <v>12.943814</v>
      </c>
      <c r="E19332" s="4">
        <f>IFERROR(__xludf.DUMMYFUNCTION("""COMPUTED_VALUE"""),80.134344)</f>
        <v>80.134344</v>
      </c>
      <c r="F19332" s="4">
        <f>IFERROR(__xludf.DUMMYFUNCTION("""COMPUTED_VALUE"""),805.0)</f>
        <v>805</v>
      </c>
      <c r="G19332" s="4">
        <f>IFERROR(__xludf.DUMMYFUNCTION("""COMPUTED_VALUE"""),51.0)</f>
        <v>51</v>
      </c>
      <c r="H19332" s="4"/>
      <c r="I19332" s="4"/>
    </row>
    <row r="19333">
      <c r="A19333" s="4" t="str">
        <f>IFERROR(__xludf.DUMMYFUNCTION("""COMPUTED_VALUE"""),"cas_hmw")</f>
        <v>cas_hmw</v>
      </c>
      <c r="B19333" s="5">
        <f>IFERROR(__xludf.DUMMYFUNCTION("""COMPUTED_VALUE"""),44777.0)</f>
        <v>44777</v>
      </c>
      <c r="C19333" s="6">
        <f>IFERROR(__xludf.DUMMYFUNCTION("""COMPUTED_VALUE"""),0.7089351851864194)</f>
        <v>0.7089351852</v>
      </c>
      <c r="D19333" s="4">
        <f>IFERROR(__xludf.DUMMYFUNCTION("""COMPUTED_VALUE"""),12.974478)</f>
        <v>12.974478</v>
      </c>
      <c r="E19333" s="4">
        <f>IFERROR(__xludf.DUMMYFUNCTION("""COMPUTED_VALUE"""),80.154822)</f>
        <v>80.154822</v>
      </c>
      <c r="F19333" s="4">
        <f>IFERROR(__xludf.DUMMYFUNCTION("""COMPUTED_VALUE"""),5339.0)</f>
        <v>5339</v>
      </c>
      <c r="G19333" s="4">
        <f>IFERROR(__xludf.DUMMYFUNCTION("""COMPUTED_VALUE"""),63.0)</f>
        <v>63</v>
      </c>
      <c r="H19333" s="4"/>
      <c r="I19333" s="4"/>
    </row>
    <row r="19334">
      <c r="A19334" s="4" t="str">
        <f>IFERROR(__xludf.DUMMYFUNCTION("""COMPUTED_VALUE"""),"cas_hmw")</f>
        <v>cas_hmw</v>
      </c>
      <c r="B19334" s="5">
        <f>IFERROR(__xludf.DUMMYFUNCTION("""COMPUTED_VALUE"""),44777.0)</f>
        <v>44777</v>
      </c>
      <c r="C19334" s="6">
        <f>IFERROR(__xludf.DUMMYFUNCTION("""COMPUTED_VALUE"""),0.7089930555557657)</f>
        <v>0.7089930556</v>
      </c>
      <c r="D19334" s="4">
        <f>IFERROR(__xludf.DUMMYFUNCTION("""COMPUTED_VALUE"""),12.944973)</f>
        <v>12.944973</v>
      </c>
      <c r="E19334" s="4">
        <f>IFERROR(__xludf.DUMMYFUNCTION("""COMPUTED_VALUE"""),80.135237)</f>
        <v>80.135237</v>
      </c>
      <c r="F19334" s="4">
        <f>IFERROR(__xludf.DUMMYFUNCTION("""COMPUTED_VALUE"""),805.0)</f>
        <v>805</v>
      </c>
      <c r="G19334" s="4">
        <f>IFERROR(__xludf.DUMMYFUNCTION("""COMPUTED_VALUE"""),57.0)</f>
        <v>57</v>
      </c>
      <c r="H19334" s="4"/>
      <c r="I19334" s="4"/>
    </row>
    <row r="19335">
      <c r="A19335" s="4" t="str">
        <f>IFERROR(__xludf.DUMMYFUNCTION("""COMPUTED_VALUE"""),"cas_hmw")</f>
        <v>cas_hmw</v>
      </c>
      <c r="B19335" s="5">
        <f>IFERROR(__xludf.DUMMYFUNCTION("""COMPUTED_VALUE"""),44777.0)</f>
        <v>44777</v>
      </c>
      <c r="C19335" s="6">
        <f>IFERROR(__xludf.DUMMYFUNCTION("""COMPUTED_VALUE"""),0.7090624999982538)</f>
        <v>0.7090625</v>
      </c>
      <c r="D19335" s="4">
        <f>IFERROR(__xludf.DUMMYFUNCTION("""COMPUTED_VALUE"""),12.946425)</f>
        <v>12.946425</v>
      </c>
      <c r="E19335" s="4">
        <f>IFERROR(__xludf.DUMMYFUNCTION("""COMPUTED_VALUE"""),80.136352)</f>
        <v>80.136352</v>
      </c>
      <c r="F19335" s="4">
        <f>IFERROR(__xludf.DUMMYFUNCTION("""COMPUTED_VALUE"""),805.0)</f>
        <v>805</v>
      </c>
      <c r="G19335" s="4">
        <f>IFERROR(__xludf.DUMMYFUNCTION("""COMPUTED_VALUE"""),42.0)</f>
        <v>42</v>
      </c>
      <c r="H19335" s="4"/>
      <c r="I19335" s="4"/>
    </row>
    <row r="19336">
      <c r="A19336" s="4" t="str">
        <f>IFERROR(__xludf.DUMMYFUNCTION("""COMPUTED_VALUE"""),"cas_hmw")</f>
        <v>cas_hmw</v>
      </c>
      <c r="B19336" s="5">
        <f>IFERROR(__xludf.DUMMYFUNCTION("""COMPUTED_VALUE"""),44777.0)</f>
        <v>44777</v>
      </c>
      <c r="C19336" s="6">
        <f>IFERROR(__xludf.DUMMYFUNCTION("""COMPUTED_VALUE"""),0.7091087962980964)</f>
        <v>0.7091087963</v>
      </c>
      <c r="D19336" s="4">
        <f>IFERROR(__xludf.DUMMYFUNCTION("""COMPUTED_VALUE"""),12.946425)</f>
        <v>12.946425</v>
      </c>
      <c r="E19336" s="4">
        <f>IFERROR(__xludf.DUMMYFUNCTION("""COMPUTED_VALUE"""),80.136352)</f>
        <v>80.136352</v>
      </c>
      <c r="F19336" s="4">
        <f>IFERROR(__xludf.DUMMYFUNCTION("""COMPUTED_VALUE"""),805.0)</f>
        <v>805</v>
      </c>
      <c r="G19336" s="4">
        <f>IFERROR(__xludf.DUMMYFUNCTION("""COMPUTED_VALUE"""),42.0)</f>
        <v>42</v>
      </c>
      <c r="H19336" s="4"/>
      <c r="I19336" s="4"/>
    </row>
    <row r="19337">
      <c r="A19337" s="4" t="str">
        <f>IFERROR(__xludf.DUMMYFUNCTION("""COMPUTED_VALUE"""),"cas_hmw")</f>
        <v>cas_hmw</v>
      </c>
      <c r="B19337" s="5">
        <f>IFERROR(__xludf.DUMMYFUNCTION("""COMPUTED_VALUE"""),44777.0)</f>
        <v>44777</v>
      </c>
      <c r="C19337" s="6">
        <f>IFERROR(__xludf.DUMMYFUNCTION("""COMPUTED_VALUE"""),0.7091435185175214)</f>
        <v>0.7091435185</v>
      </c>
      <c r="D19337" s="4">
        <f>IFERROR(__xludf.DUMMYFUNCTION("""COMPUTED_VALUE"""),12.975823)</f>
        <v>12.975823</v>
      </c>
      <c r="E19337" s="4">
        <f>IFERROR(__xludf.DUMMYFUNCTION("""COMPUTED_VALUE"""),80.156725)</f>
        <v>80.156725</v>
      </c>
      <c r="F19337" s="4">
        <f>IFERROR(__xludf.DUMMYFUNCTION("""COMPUTED_VALUE"""),5339.0)</f>
        <v>5339</v>
      </c>
      <c r="G19337" s="4">
        <f>IFERROR(__xludf.DUMMYFUNCTION("""COMPUTED_VALUE"""),44.0)</f>
        <v>44</v>
      </c>
      <c r="H19337" s="4"/>
      <c r="I19337" s="4"/>
    </row>
    <row r="19338">
      <c r="A19338" s="4" t="str">
        <f>IFERROR(__xludf.DUMMYFUNCTION("""COMPUTED_VALUE"""),"cas_hmw")</f>
        <v>cas_hmw</v>
      </c>
      <c r="B19338" s="5">
        <f>IFERROR(__xludf.DUMMYFUNCTION("""COMPUTED_VALUE"""),44777.0)</f>
        <v>44777</v>
      </c>
      <c r="C19338" s="6">
        <f>IFERROR(__xludf.DUMMYFUNCTION("""COMPUTED_VALUE"""),0.7092708333329938)</f>
        <v>0.7092708333</v>
      </c>
      <c r="D19338" s="4">
        <f>IFERROR(__xludf.DUMMYFUNCTION("""COMPUTED_VALUE"""),12.976451)</f>
        <v>12.976451</v>
      </c>
      <c r="E19338" s="4">
        <f>IFERROR(__xludf.DUMMYFUNCTION("""COMPUTED_VALUE"""),80.157656)</f>
        <v>80.157656</v>
      </c>
      <c r="F19338" s="4">
        <f>IFERROR(__xludf.DUMMYFUNCTION("""COMPUTED_VALUE"""),5339.0)</f>
        <v>5339</v>
      </c>
      <c r="G19338" s="4">
        <f>IFERROR(__xludf.DUMMYFUNCTION("""COMPUTED_VALUE"""),40.0)</f>
        <v>40</v>
      </c>
      <c r="H19338" s="4"/>
      <c r="I19338" s="4"/>
    </row>
    <row r="19339">
      <c r="A19339" s="4" t="str">
        <f>IFERROR(__xludf.DUMMYFUNCTION("""COMPUTED_VALUE"""),"cas_hmw")</f>
        <v>cas_hmw</v>
      </c>
      <c r="B19339" s="5">
        <f>IFERROR(__xludf.DUMMYFUNCTION("""COMPUTED_VALUE"""),44777.0)</f>
        <v>44777</v>
      </c>
      <c r="C19339" s="6">
        <f>IFERROR(__xludf.DUMMYFUNCTION("""COMPUTED_VALUE"""),0.7096412037026312)</f>
        <v>0.7096412037</v>
      </c>
      <c r="D19339" s="4">
        <f>IFERROR(__xludf.DUMMYFUNCTION("""COMPUTED_VALUE"""),12.978557)</f>
        <v>12.978557</v>
      </c>
      <c r="E19339" s="4">
        <f>IFERROR(__xludf.DUMMYFUNCTION("""COMPUTED_VALUE"""),80.160786)</f>
        <v>80.160786</v>
      </c>
      <c r="F19339" s="4">
        <f>IFERROR(__xludf.DUMMYFUNCTION("""COMPUTED_VALUE"""),5339.0)</f>
        <v>5339</v>
      </c>
      <c r="G19339" s="4">
        <f>IFERROR(__xludf.DUMMYFUNCTION("""COMPUTED_VALUE"""),53.0)</f>
        <v>53</v>
      </c>
      <c r="H19339" s="4"/>
      <c r="I19339" s="4"/>
    </row>
    <row r="19340">
      <c r="A19340" s="4" t="str">
        <f>IFERROR(__xludf.DUMMYFUNCTION("""COMPUTED_VALUE"""),"cas_hmw")</f>
        <v>cas_hmw</v>
      </c>
      <c r="B19340" s="5">
        <f>IFERROR(__xludf.DUMMYFUNCTION("""COMPUTED_VALUE"""),44777.0)</f>
        <v>44777</v>
      </c>
      <c r="C19340" s="6">
        <f>IFERROR(__xludf.DUMMYFUNCTION("""COMPUTED_VALUE"""),0.7098032407411665)</f>
        <v>0.7098032407</v>
      </c>
      <c r="D19340" s="4">
        <f>IFERROR(__xludf.DUMMYFUNCTION("""COMPUTED_VALUE"""),12.940066)</f>
        <v>12.940066</v>
      </c>
      <c r="E19340" s="4">
        <f>IFERROR(__xludf.DUMMYFUNCTION("""COMPUTED_VALUE"""),80.130553)</f>
        <v>80.130553</v>
      </c>
      <c r="F19340" s="4">
        <f>IFERROR(__xludf.DUMMYFUNCTION("""COMPUTED_VALUE"""),3143.0)</f>
        <v>3143</v>
      </c>
      <c r="G19340" s="4">
        <f>IFERROR(__xludf.DUMMYFUNCTION("""COMPUTED_VALUE"""),57.0)</f>
        <v>57</v>
      </c>
      <c r="H19340" s="4"/>
      <c r="I19340" s="4"/>
    </row>
    <row r="19341">
      <c r="A19341" s="4" t="str">
        <f>IFERROR(__xludf.DUMMYFUNCTION("""COMPUTED_VALUE"""),"cas_hmw")</f>
        <v>cas_hmw</v>
      </c>
      <c r="B19341" s="5">
        <f>IFERROR(__xludf.DUMMYFUNCTION("""COMPUTED_VALUE"""),44777.0)</f>
        <v>44777</v>
      </c>
      <c r="C19341" s="6">
        <f>IFERROR(__xludf.DUMMYFUNCTION("""COMPUTED_VALUE"""),0.7101157407414576)</f>
        <v>0.7101157407</v>
      </c>
      <c r="D19341" s="4">
        <f>IFERROR(__xludf.DUMMYFUNCTION("""COMPUTED_VALUE"""),12.943007)</f>
        <v>12.943007</v>
      </c>
      <c r="E19341" s="4">
        <f>IFERROR(__xludf.DUMMYFUNCTION("""COMPUTED_VALUE"""),80.133563)</f>
        <v>80.133563</v>
      </c>
      <c r="F19341" s="4">
        <f>IFERROR(__xludf.DUMMYFUNCTION("""COMPUTED_VALUE"""),3143.0)</f>
        <v>3143</v>
      </c>
      <c r="G19341" s="4">
        <f>IFERROR(__xludf.DUMMYFUNCTION("""COMPUTED_VALUE"""),51.0)</f>
        <v>51</v>
      </c>
      <c r="H19341" s="4"/>
      <c r="I19341" s="4"/>
    </row>
    <row r="19342">
      <c r="A19342" s="4" t="str">
        <f>IFERROR(__xludf.DUMMYFUNCTION("""COMPUTED_VALUE"""),"cas_hmw")</f>
        <v>cas_hmw</v>
      </c>
      <c r="B19342" s="5">
        <f>IFERROR(__xludf.DUMMYFUNCTION("""COMPUTED_VALUE"""),44777.0)</f>
        <v>44777</v>
      </c>
      <c r="C19342" s="6">
        <f>IFERROR(__xludf.DUMMYFUNCTION("""COMPUTED_VALUE"""),0.7103703703687643)</f>
        <v>0.7103703704</v>
      </c>
      <c r="D19342" s="4">
        <f>IFERROR(__xludf.DUMMYFUNCTION("""COMPUTED_VALUE"""),12.944529)</f>
        <v>12.944529</v>
      </c>
      <c r="E19342" s="4">
        <f>IFERROR(__xludf.DUMMYFUNCTION("""COMPUTED_VALUE"""),80.134916)</f>
        <v>80.134916</v>
      </c>
      <c r="F19342" s="4">
        <f>IFERROR(__xludf.DUMMYFUNCTION("""COMPUTED_VALUE"""),3143.0)</f>
        <v>3143</v>
      </c>
      <c r="G19342" s="4">
        <f>IFERROR(__xludf.DUMMYFUNCTION("""COMPUTED_VALUE"""),47.0)</f>
        <v>47</v>
      </c>
      <c r="H19342" s="4"/>
      <c r="I19342" s="4"/>
    </row>
    <row r="19343">
      <c r="A19343" s="4" t="str">
        <f>IFERROR(__xludf.DUMMYFUNCTION("""COMPUTED_VALUE"""),"cas_hmw")</f>
        <v>cas_hmw</v>
      </c>
      <c r="B19343" s="5">
        <f>IFERROR(__xludf.DUMMYFUNCTION("""COMPUTED_VALUE"""),44777.0)</f>
        <v>44777</v>
      </c>
      <c r="C19343" s="6">
        <f>IFERROR(__xludf.DUMMYFUNCTION("""COMPUTED_VALUE"""),0.7103935185186856)</f>
        <v>0.7103935185</v>
      </c>
      <c r="D19343" s="4">
        <f>IFERROR(__xludf.DUMMYFUNCTION("""COMPUTED_VALUE"""),12.952137)</f>
        <v>12.952137</v>
      </c>
      <c r="E19343" s="4">
        <f>IFERROR(__xludf.DUMMYFUNCTION("""COMPUTED_VALUE"""),80.140747)</f>
        <v>80.140747</v>
      </c>
      <c r="F19343" s="4">
        <f>IFERROR(__xludf.DUMMYFUNCTION("""COMPUTED_VALUE"""),805.0)</f>
        <v>805</v>
      </c>
      <c r="G19343" s="4">
        <f>IFERROR(__xludf.DUMMYFUNCTION("""COMPUTED_VALUE"""),23.0)</f>
        <v>23</v>
      </c>
      <c r="H19343" s="4"/>
      <c r="I19343" s="4"/>
    </row>
    <row r="19344">
      <c r="A19344" s="4" t="str">
        <f>IFERROR(__xludf.DUMMYFUNCTION("""COMPUTED_VALUE"""),"cas_hmw")</f>
        <v>cas_hmw</v>
      </c>
      <c r="B19344" s="5">
        <f>IFERROR(__xludf.DUMMYFUNCTION("""COMPUTED_VALUE"""),44777.0)</f>
        <v>44777</v>
      </c>
      <c r="C19344" s="6">
        <f>IFERROR(__xludf.DUMMYFUNCTION("""COMPUTED_VALUE"""),0.7106365740728506)</f>
        <v>0.7106365741</v>
      </c>
      <c r="D19344" s="4">
        <f>IFERROR(__xludf.DUMMYFUNCTION("""COMPUTED_VALUE"""),12.95456)</f>
        <v>12.95456</v>
      </c>
      <c r="E19344" s="4">
        <f>IFERROR(__xludf.DUMMYFUNCTION("""COMPUTED_VALUE"""),80.142224)</f>
        <v>80.142224</v>
      </c>
      <c r="F19344" s="4">
        <f>IFERROR(__xludf.DUMMYFUNCTION("""COMPUTED_VALUE"""),805.0)</f>
        <v>805</v>
      </c>
      <c r="G19344" s="4">
        <f>IFERROR(__xludf.DUMMYFUNCTION("""COMPUTED_VALUE"""),38.0)</f>
        <v>38</v>
      </c>
      <c r="H19344" s="4"/>
      <c r="I19344" s="4"/>
    </row>
    <row r="19345">
      <c r="A19345" s="4" t="str">
        <f>IFERROR(__xludf.DUMMYFUNCTION("""COMPUTED_VALUE"""),"cas_hmw")</f>
        <v>cas_hmw</v>
      </c>
      <c r="B19345" s="5">
        <f>IFERROR(__xludf.DUMMYFUNCTION("""COMPUTED_VALUE"""),44777.0)</f>
        <v>44777</v>
      </c>
      <c r="C19345" s="6">
        <f>IFERROR(__xludf.DUMMYFUNCTION("""COMPUTED_VALUE"""),0.710694444445835)</f>
        <v>0.7106944444</v>
      </c>
      <c r="D19345" s="4">
        <f>IFERROR(__xludf.DUMMYFUNCTION("""COMPUTED_VALUE"""),12.95456)</f>
        <v>12.95456</v>
      </c>
      <c r="E19345" s="4">
        <f>IFERROR(__xludf.DUMMYFUNCTION("""COMPUTED_VALUE"""),80.142224)</f>
        <v>80.142224</v>
      </c>
      <c r="F19345" s="4">
        <f>IFERROR(__xludf.DUMMYFUNCTION("""COMPUTED_VALUE"""),805.0)</f>
        <v>805</v>
      </c>
      <c r="G19345" s="4">
        <f>IFERROR(__xludf.DUMMYFUNCTION("""COMPUTED_VALUE"""),38.0)</f>
        <v>38</v>
      </c>
      <c r="H19345" s="4"/>
      <c r="I19345" s="4"/>
    </row>
    <row r="19346">
      <c r="A19346" s="4" t="str">
        <f>IFERROR(__xludf.DUMMYFUNCTION("""COMPUTED_VALUE"""),"cas_hmw")</f>
        <v>cas_hmw</v>
      </c>
      <c r="B19346" s="5">
        <f>IFERROR(__xludf.DUMMYFUNCTION("""COMPUTED_VALUE"""),44777.0)</f>
        <v>44777</v>
      </c>
      <c r="C19346" s="6">
        <f>IFERROR(__xludf.DUMMYFUNCTION("""COMPUTED_VALUE"""),0.7107060185189766)</f>
        <v>0.7107060185</v>
      </c>
      <c r="D19346" s="4">
        <f>IFERROR(__xludf.DUMMYFUNCTION("""COMPUTED_VALUE"""),12.95456)</f>
        <v>12.95456</v>
      </c>
      <c r="E19346" s="4">
        <f>IFERROR(__xludf.DUMMYFUNCTION("""COMPUTED_VALUE"""),80.142224)</f>
        <v>80.142224</v>
      </c>
      <c r="F19346" s="4">
        <f>IFERROR(__xludf.DUMMYFUNCTION("""COMPUTED_VALUE"""),805.0)</f>
        <v>805</v>
      </c>
      <c r="G19346" s="4">
        <f>IFERROR(__xludf.DUMMYFUNCTION("""COMPUTED_VALUE"""),38.0)</f>
        <v>38</v>
      </c>
      <c r="H19346" s="4"/>
      <c r="I19346" s="4"/>
    </row>
    <row r="19347">
      <c r="A19347" s="4" t="str">
        <f>IFERROR(__xludf.DUMMYFUNCTION("""COMPUTED_VALUE"""),"cas_hmw")</f>
        <v>cas_hmw</v>
      </c>
      <c r="B19347" s="5">
        <f>IFERROR(__xludf.DUMMYFUNCTION("""COMPUTED_VALUE"""),44777.0)</f>
        <v>44777</v>
      </c>
      <c r="C19347" s="6">
        <f>IFERROR(__xludf.DUMMYFUNCTION("""COMPUTED_VALUE"""),0.7107407407420396)</f>
        <v>0.7107407407</v>
      </c>
      <c r="D19347" s="4">
        <f>IFERROR(__xludf.DUMMYFUNCTION("""COMPUTED_VALUE"""),12.985039)</f>
        <v>12.985039</v>
      </c>
      <c r="E19347" s="4">
        <f>IFERROR(__xludf.DUMMYFUNCTION("""COMPUTED_VALUE"""),80.172595)</f>
        <v>80.172595</v>
      </c>
      <c r="F19347" s="4">
        <f>IFERROR(__xludf.DUMMYFUNCTION("""COMPUTED_VALUE"""),5339.0)</f>
        <v>5339</v>
      </c>
      <c r="G19347" s="4">
        <f>IFERROR(__xludf.DUMMYFUNCTION("""COMPUTED_VALUE"""),35.0)</f>
        <v>35</v>
      </c>
      <c r="H19347" s="4"/>
      <c r="I19347" s="4"/>
    </row>
    <row r="19348">
      <c r="A19348" s="4" t="str">
        <f>IFERROR(__xludf.DUMMYFUNCTION("""COMPUTED_VALUE"""),"cas_hmw")</f>
        <v>cas_hmw</v>
      </c>
      <c r="B19348" s="5">
        <f>IFERROR(__xludf.DUMMYFUNCTION("""COMPUTED_VALUE"""),44777.0)</f>
        <v>44777</v>
      </c>
      <c r="C19348" s="6">
        <f>IFERROR(__xludf.DUMMYFUNCTION("""COMPUTED_VALUE"""),0.7115509259274404)</f>
        <v>0.7115509259</v>
      </c>
      <c r="D19348" s="4">
        <f>IFERROR(__xludf.DUMMYFUNCTION("""COMPUTED_VALUE"""),12.986782)</f>
        <v>12.986782</v>
      </c>
      <c r="E19348" s="4">
        <f>IFERROR(__xludf.DUMMYFUNCTION("""COMPUTED_VALUE"""),80.17514)</f>
        <v>80.17514</v>
      </c>
      <c r="F19348" s="4">
        <f>IFERROR(__xludf.DUMMYFUNCTION("""COMPUTED_VALUE"""),5339.0)</f>
        <v>5339</v>
      </c>
      <c r="G19348" s="4">
        <f>IFERROR(__xludf.DUMMYFUNCTION("""COMPUTED_VALUE"""),32.0)</f>
        <v>32</v>
      </c>
      <c r="H19348" s="4"/>
      <c r="I19348" s="4"/>
    </row>
    <row r="19349">
      <c r="A19349" s="4" t="str">
        <f>IFERROR(__xludf.DUMMYFUNCTION("""COMPUTED_VALUE"""),"cas_hmw")</f>
        <v>cas_hmw</v>
      </c>
      <c r="B19349" s="5">
        <f>IFERROR(__xludf.DUMMYFUNCTION("""COMPUTED_VALUE"""),44777.0)</f>
        <v>44777</v>
      </c>
      <c r="C19349" s="6">
        <f>IFERROR(__xludf.DUMMYFUNCTION("""COMPUTED_VALUE"""),0.7116666666661331)</f>
        <v>0.7116666667</v>
      </c>
      <c r="D19349" s="4">
        <f>IFERROR(__xludf.DUMMYFUNCTION("""COMPUTED_VALUE"""),12.987393)</f>
        <v>12.987393</v>
      </c>
      <c r="E19349" s="4">
        <f>IFERROR(__xludf.DUMMYFUNCTION("""COMPUTED_VALUE"""),80.175971)</f>
        <v>80.175971</v>
      </c>
      <c r="F19349" s="4">
        <f>IFERROR(__xludf.DUMMYFUNCTION("""COMPUTED_VALUE"""),5339.0)</f>
        <v>5339</v>
      </c>
      <c r="G19349" s="4">
        <f>IFERROR(__xludf.DUMMYFUNCTION("""COMPUTED_VALUE"""),41.0)</f>
        <v>41</v>
      </c>
      <c r="H19349" s="4"/>
      <c r="I19349" s="4"/>
    </row>
    <row r="19350">
      <c r="A19350" s="4" t="str">
        <f>IFERROR(__xludf.DUMMYFUNCTION("""COMPUTED_VALUE"""),"cas_hmw")</f>
        <v>cas_hmw</v>
      </c>
      <c r="B19350" s="5">
        <f>IFERROR(__xludf.DUMMYFUNCTION("""COMPUTED_VALUE"""),44777.0)</f>
        <v>44777</v>
      </c>
      <c r="C19350" s="6">
        <f>IFERROR(__xludf.DUMMYFUNCTION("""COMPUTED_VALUE"""),0.7117361111122591)</f>
        <v>0.7117361111</v>
      </c>
      <c r="D19350" s="4">
        <f>IFERROR(__xludf.DUMMYFUNCTION("""COMPUTED_VALUE"""),12.956539)</f>
        <v>12.956539</v>
      </c>
      <c r="E19350" s="4">
        <f>IFERROR(__xludf.DUMMYFUNCTION("""COMPUTED_VALUE"""),80.143245)</f>
        <v>80.143245</v>
      </c>
      <c r="F19350" s="4">
        <f>IFERROR(__xludf.DUMMYFUNCTION("""COMPUTED_VALUE"""),805.0)</f>
        <v>805</v>
      </c>
      <c r="G19350" s="4">
        <f>IFERROR(__xludf.DUMMYFUNCTION("""COMPUTED_VALUE"""),30.0)</f>
        <v>30</v>
      </c>
      <c r="H19350" s="4"/>
      <c r="I19350" s="4"/>
    </row>
    <row r="19351">
      <c r="A19351" s="4" t="str">
        <f>IFERROR(__xludf.DUMMYFUNCTION("""COMPUTED_VALUE"""),"cas_hmw")</f>
        <v>cas_hmw</v>
      </c>
      <c r="B19351" s="5">
        <f>IFERROR(__xludf.DUMMYFUNCTION("""COMPUTED_VALUE"""),44777.0)</f>
        <v>44777</v>
      </c>
      <c r="C19351" s="6">
        <f>IFERROR(__xludf.DUMMYFUNCTION("""COMPUTED_VALUE"""),0.7118634259277314)</f>
        <v>0.7118634259</v>
      </c>
      <c r="D19351" s="4">
        <f>IFERROR(__xludf.DUMMYFUNCTION("""COMPUTED_VALUE"""),12.956539)</f>
        <v>12.956539</v>
      </c>
      <c r="E19351" s="4">
        <f>IFERROR(__xludf.DUMMYFUNCTION("""COMPUTED_VALUE"""),80.143245)</f>
        <v>80.143245</v>
      </c>
      <c r="F19351" s="4">
        <f>IFERROR(__xludf.DUMMYFUNCTION("""COMPUTED_VALUE"""),805.0)</f>
        <v>805</v>
      </c>
      <c r="G19351" s="4">
        <f>IFERROR(__xludf.DUMMYFUNCTION("""COMPUTED_VALUE"""),30.0)</f>
        <v>30</v>
      </c>
      <c r="H19351" s="4"/>
      <c r="I19351" s="4"/>
    </row>
    <row r="19352">
      <c r="A19352" s="4" t="str">
        <f>IFERROR(__xludf.DUMMYFUNCTION("""COMPUTED_VALUE"""),"cas_hmw")</f>
        <v>cas_hmw</v>
      </c>
      <c r="B19352" s="5">
        <f>IFERROR(__xludf.DUMMYFUNCTION("""COMPUTED_VALUE"""),44777.0)</f>
        <v>44777</v>
      </c>
      <c r="C19352" s="6">
        <f>IFERROR(__xludf.DUMMYFUNCTION("""COMPUTED_VALUE"""),0.7119791666664241)</f>
        <v>0.7119791667</v>
      </c>
      <c r="D19352" s="4">
        <f>IFERROR(__xludf.DUMMYFUNCTION("""COMPUTED_VALUE"""),12.953441)</f>
        <v>12.953441</v>
      </c>
      <c r="E19352" s="4">
        <f>IFERROR(__xludf.DUMMYFUNCTION("""COMPUTED_VALUE"""),80.141649)</f>
        <v>80.141649</v>
      </c>
      <c r="F19352" s="4">
        <f>IFERROR(__xludf.DUMMYFUNCTION("""COMPUTED_VALUE"""),3143.0)</f>
        <v>3143</v>
      </c>
      <c r="G19352" s="4">
        <f>IFERROR(__xludf.DUMMYFUNCTION("""COMPUTED_VALUE"""),29.0)</f>
        <v>29</v>
      </c>
      <c r="H19352" s="4"/>
      <c r="I19352" s="4"/>
    </row>
    <row r="19353">
      <c r="A19353" s="4" t="str">
        <f>IFERROR(__xludf.DUMMYFUNCTION("""COMPUTED_VALUE"""),"cas_hmw")</f>
        <v>cas_hmw</v>
      </c>
      <c r="B19353" s="5">
        <f>IFERROR(__xludf.DUMMYFUNCTION("""COMPUTED_VALUE"""),44777.0)</f>
        <v>44777</v>
      </c>
      <c r="C19353" s="6">
        <f>IFERROR(__xludf.DUMMYFUNCTION("""COMPUTED_VALUE"""),0.7123379629629198)</f>
        <v>0.712337963</v>
      </c>
      <c r="D19353" s="4">
        <f>IFERROR(__xludf.DUMMYFUNCTION("""COMPUTED_VALUE"""),12.960626)</f>
        <v>12.960626</v>
      </c>
      <c r="E19353" s="4">
        <f>IFERROR(__xludf.DUMMYFUNCTION("""COMPUTED_VALUE"""),80.14528)</f>
        <v>80.14528</v>
      </c>
      <c r="F19353" s="4">
        <f>IFERROR(__xludf.DUMMYFUNCTION("""COMPUTED_VALUE"""),805.0)</f>
        <v>805</v>
      </c>
      <c r="G19353" s="4">
        <f>IFERROR(__xludf.DUMMYFUNCTION("""COMPUTED_VALUE"""),29.0)</f>
        <v>29</v>
      </c>
      <c r="H19353" s="4"/>
      <c r="I19353" s="4"/>
    </row>
    <row r="19354">
      <c r="A19354" s="4" t="str">
        <f>IFERROR(__xludf.DUMMYFUNCTION("""COMPUTED_VALUE"""),"cas_hmw")</f>
        <v>cas_hmw</v>
      </c>
      <c r="B19354" s="5">
        <f>IFERROR(__xludf.DUMMYFUNCTION("""COMPUTED_VALUE"""),44777.0)</f>
        <v>44777</v>
      </c>
      <c r="C19354" s="6">
        <f>IFERROR(__xludf.DUMMYFUNCTION("""COMPUTED_VALUE"""),0.7123958333322662)</f>
        <v>0.7123958333</v>
      </c>
      <c r="D19354" s="4">
        <f>IFERROR(__xludf.DUMMYFUNCTION("""COMPUTED_VALUE"""),12.960626)</f>
        <v>12.960626</v>
      </c>
      <c r="E19354" s="4">
        <f>IFERROR(__xludf.DUMMYFUNCTION("""COMPUTED_VALUE"""),80.14528)</f>
        <v>80.14528</v>
      </c>
      <c r="F19354" s="4">
        <f>IFERROR(__xludf.DUMMYFUNCTION("""COMPUTED_VALUE"""),805.0)</f>
        <v>805</v>
      </c>
      <c r="G19354" s="4">
        <f>IFERROR(__xludf.DUMMYFUNCTION("""COMPUTED_VALUE"""),29.0)</f>
        <v>29</v>
      </c>
      <c r="H19354" s="4"/>
      <c r="I19354" s="4"/>
    </row>
    <row r="19355">
      <c r="A19355" s="4" t="str">
        <f>IFERROR(__xludf.DUMMYFUNCTION("""COMPUTED_VALUE"""),"cas_hmw")</f>
        <v>cas_hmw</v>
      </c>
      <c r="B19355" s="5">
        <f>IFERROR(__xludf.DUMMYFUNCTION("""COMPUTED_VALUE"""),44777.0)</f>
        <v>44777</v>
      </c>
      <c r="C19355" s="6">
        <f>IFERROR(__xludf.DUMMYFUNCTION("""COMPUTED_VALUE"""),0.7124421296284709)</f>
        <v>0.7124421296</v>
      </c>
      <c r="D19355" s="4">
        <f>IFERROR(__xludf.DUMMYFUNCTION("""COMPUTED_VALUE"""),12.962166)</f>
        <v>12.962166</v>
      </c>
      <c r="E19355" s="4">
        <f>IFERROR(__xludf.DUMMYFUNCTION("""COMPUTED_VALUE"""),80.146155)</f>
        <v>80.146155</v>
      </c>
      <c r="F19355" s="4">
        <f>IFERROR(__xludf.DUMMYFUNCTION("""COMPUTED_VALUE"""),805.0)</f>
        <v>805</v>
      </c>
      <c r="G19355" s="4">
        <f>IFERROR(__xludf.DUMMYFUNCTION("""COMPUTED_VALUE"""),46.0)</f>
        <v>46</v>
      </c>
      <c r="H19355" s="4"/>
      <c r="I19355" s="4"/>
    </row>
    <row r="19356">
      <c r="A19356" s="4" t="str">
        <f>IFERROR(__xludf.DUMMYFUNCTION("""COMPUTED_VALUE"""),"cas_hmw")</f>
        <v>cas_hmw</v>
      </c>
      <c r="B19356" s="5">
        <f>IFERROR(__xludf.DUMMYFUNCTION("""COMPUTED_VALUE"""),44777.0)</f>
        <v>44777</v>
      </c>
      <c r="C19356" s="6">
        <f>IFERROR(__xludf.DUMMYFUNCTION("""COMPUTED_VALUE"""),0.7125000000014552)</f>
        <v>0.7125</v>
      </c>
      <c r="D19356" s="4">
        <f>IFERROR(__xludf.DUMMYFUNCTION("""COMPUTED_VALUE"""),12.962166)</f>
        <v>12.962166</v>
      </c>
      <c r="E19356" s="4">
        <f>IFERROR(__xludf.DUMMYFUNCTION("""COMPUTED_VALUE"""),80.146155)</f>
        <v>80.146155</v>
      </c>
      <c r="F19356" s="4">
        <f>IFERROR(__xludf.DUMMYFUNCTION("""COMPUTED_VALUE"""),805.0)</f>
        <v>805</v>
      </c>
      <c r="G19356" s="4">
        <f>IFERROR(__xludf.DUMMYFUNCTION("""COMPUTED_VALUE"""),46.0)</f>
        <v>46</v>
      </c>
      <c r="H19356" s="4"/>
      <c r="I19356" s="4"/>
    </row>
    <row r="19357">
      <c r="A19357" s="4" t="str">
        <f>IFERROR(__xludf.DUMMYFUNCTION("""COMPUTED_VALUE"""),"cas_hmw")</f>
        <v>cas_hmw</v>
      </c>
      <c r="B19357" s="5">
        <f>IFERROR(__xludf.DUMMYFUNCTION("""COMPUTED_VALUE"""),44777.0)</f>
        <v>44777</v>
      </c>
      <c r="C19357" s="6">
        <f>IFERROR(__xludf.DUMMYFUNCTION("""COMPUTED_VALUE"""),0.7125000000014552)</f>
        <v>0.7125</v>
      </c>
      <c r="D19357" s="4">
        <f>IFERROR(__xludf.DUMMYFUNCTION("""COMPUTED_VALUE"""),12.962166)</f>
        <v>12.962166</v>
      </c>
      <c r="E19357" s="4">
        <f>IFERROR(__xludf.DUMMYFUNCTION("""COMPUTED_VALUE"""),80.146155)</f>
        <v>80.146155</v>
      </c>
      <c r="F19357" s="4">
        <f>IFERROR(__xludf.DUMMYFUNCTION("""COMPUTED_VALUE"""),805.0)</f>
        <v>805</v>
      </c>
      <c r="G19357" s="4">
        <f>IFERROR(__xludf.DUMMYFUNCTION("""COMPUTED_VALUE"""),46.0)</f>
        <v>46</v>
      </c>
      <c r="H19357" s="4"/>
      <c r="I19357" s="4"/>
    </row>
    <row r="19358">
      <c r="A19358" s="4" t="str">
        <f>IFERROR(__xludf.DUMMYFUNCTION("""COMPUTED_VALUE"""),"cas_hmw")</f>
        <v>cas_hmw</v>
      </c>
      <c r="B19358" s="5">
        <f>IFERROR(__xludf.DUMMYFUNCTION("""COMPUTED_VALUE"""),44777.0)</f>
        <v>44777</v>
      </c>
      <c r="C19358" s="6">
        <f>IFERROR(__xludf.DUMMYFUNCTION("""COMPUTED_VALUE"""),0.7125115740745969)</f>
        <v>0.7125115741</v>
      </c>
      <c r="D19358" s="4">
        <f>IFERROR(__xludf.DUMMYFUNCTION("""COMPUTED_VALUE"""),12.962166)</f>
        <v>12.962166</v>
      </c>
      <c r="E19358" s="4">
        <f>IFERROR(__xludf.DUMMYFUNCTION("""COMPUTED_VALUE"""),80.146155)</f>
        <v>80.146155</v>
      </c>
      <c r="F19358" s="4">
        <f>IFERROR(__xludf.DUMMYFUNCTION("""COMPUTED_VALUE"""),805.0)</f>
        <v>805</v>
      </c>
      <c r="G19358" s="4">
        <f>IFERROR(__xludf.DUMMYFUNCTION("""COMPUTED_VALUE"""),46.0)</f>
        <v>46</v>
      </c>
      <c r="H19358" s="4"/>
      <c r="I19358" s="4"/>
    </row>
    <row r="19359">
      <c r="A19359" s="4" t="str">
        <f>IFERROR(__xludf.DUMMYFUNCTION("""COMPUTED_VALUE"""),"cas_hmw")</f>
        <v>cas_hmw</v>
      </c>
      <c r="B19359" s="5">
        <f>IFERROR(__xludf.DUMMYFUNCTION("""COMPUTED_VALUE"""),44777.0)</f>
        <v>44777</v>
      </c>
      <c r="C19359" s="6">
        <f>IFERROR(__xludf.DUMMYFUNCTION("""COMPUTED_VALUE"""),0.7125231481477385)</f>
        <v>0.7125231481</v>
      </c>
      <c r="D19359" s="4">
        <f>IFERROR(__xludf.DUMMYFUNCTION("""COMPUTED_VALUE"""),12.962166)</f>
        <v>12.962166</v>
      </c>
      <c r="E19359" s="4">
        <f>IFERROR(__xludf.DUMMYFUNCTION("""COMPUTED_VALUE"""),80.146155)</f>
        <v>80.146155</v>
      </c>
      <c r="F19359" s="4">
        <f>IFERROR(__xludf.DUMMYFUNCTION("""COMPUTED_VALUE"""),805.0)</f>
        <v>805</v>
      </c>
      <c r="G19359" s="4">
        <f>IFERROR(__xludf.DUMMYFUNCTION("""COMPUTED_VALUE"""),46.0)</f>
        <v>46</v>
      </c>
      <c r="H19359" s="4"/>
      <c r="I19359" s="4"/>
    </row>
    <row r="19360">
      <c r="A19360" s="4" t="str">
        <f>IFERROR(__xludf.DUMMYFUNCTION("""COMPUTED_VALUE"""),"cas_hmw")</f>
        <v>cas_hmw</v>
      </c>
      <c r="B19360" s="5">
        <f>IFERROR(__xludf.DUMMYFUNCTION("""COMPUTED_VALUE"""),44777.0)</f>
        <v>44777</v>
      </c>
      <c r="C19360" s="6">
        <f>IFERROR(__xludf.DUMMYFUNCTION("""COMPUTED_VALUE"""),0.7125578703708015)</f>
        <v>0.7125578704</v>
      </c>
      <c r="D19360" s="4">
        <f>IFERROR(__xludf.DUMMYFUNCTION("""COMPUTED_VALUE"""),12.989525)</f>
        <v>12.989525</v>
      </c>
      <c r="E19360" s="4">
        <f>IFERROR(__xludf.DUMMYFUNCTION("""COMPUTED_VALUE"""),80.178679)</f>
        <v>80.178679</v>
      </c>
      <c r="F19360" s="4">
        <f>IFERROR(__xludf.DUMMYFUNCTION("""COMPUTED_VALUE"""),5339.0)</f>
        <v>5339</v>
      </c>
      <c r="G19360" s="4">
        <f>IFERROR(__xludf.DUMMYFUNCTION("""COMPUTED_VALUE"""),14.0)</f>
        <v>14</v>
      </c>
      <c r="H19360" s="4"/>
      <c r="I19360" s="4"/>
    </row>
    <row r="19361">
      <c r="A19361" s="4" t="str">
        <f>IFERROR(__xludf.DUMMYFUNCTION("""COMPUTED_VALUE"""),"cas_hmw")</f>
        <v>cas_hmw</v>
      </c>
      <c r="B19361" s="5">
        <f>IFERROR(__xludf.DUMMYFUNCTION("""COMPUTED_VALUE"""),44777.0)</f>
        <v>44777</v>
      </c>
      <c r="C19361" s="6">
        <f>IFERROR(__xludf.DUMMYFUNCTION("""COMPUTED_VALUE"""),0.7126157407401479)</f>
        <v>0.7126157407</v>
      </c>
      <c r="D19361" s="4">
        <f>IFERROR(__xludf.DUMMYFUNCTION("""COMPUTED_VALUE"""),12.989909)</f>
        <v>12.989909</v>
      </c>
      <c r="E19361" s="4">
        <f>IFERROR(__xludf.DUMMYFUNCTION("""COMPUTED_VALUE"""),80.179292)</f>
        <v>80.179292</v>
      </c>
      <c r="F19361" s="4">
        <f>IFERROR(__xludf.DUMMYFUNCTION("""COMPUTED_VALUE"""),5339.0)</f>
        <v>5339</v>
      </c>
      <c r="G19361" s="4">
        <f>IFERROR(__xludf.DUMMYFUNCTION("""COMPUTED_VALUE"""),38.0)</f>
        <v>38</v>
      </c>
      <c r="H19361" s="4"/>
      <c r="I19361" s="4"/>
    </row>
    <row r="19362">
      <c r="A19362" s="4" t="str">
        <f>IFERROR(__xludf.DUMMYFUNCTION("""COMPUTED_VALUE"""),"cas_hmw")</f>
        <v>cas_hmw</v>
      </c>
      <c r="B19362" s="5">
        <f>IFERROR(__xludf.DUMMYFUNCTION("""COMPUTED_VALUE"""),44777.0)</f>
        <v>44777</v>
      </c>
      <c r="C19362" s="6">
        <f>IFERROR(__xludf.DUMMYFUNCTION("""COMPUTED_VALUE"""),0.7127893518518249)</f>
        <v>0.7127893519</v>
      </c>
      <c r="D19362" s="4">
        <f>IFERROR(__xludf.DUMMYFUNCTION("""COMPUTED_VALUE"""),12.990621)</f>
        <v>12.990621</v>
      </c>
      <c r="E19362" s="4">
        <f>IFERROR(__xludf.DUMMYFUNCTION("""COMPUTED_VALUE"""),80.180224)</f>
        <v>80.180224</v>
      </c>
      <c r="F19362" s="4">
        <f>IFERROR(__xludf.DUMMYFUNCTION("""COMPUTED_VALUE"""),5339.0)</f>
        <v>5339</v>
      </c>
      <c r="G19362" s="4">
        <f>IFERROR(__xludf.DUMMYFUNCTION("""COMPUTED_VALUE"""),45.0)</f>
        <v>45</v>
      </c>
      <c r="H19362" s="4"/>
      <c r="I19362" s="4"/>
    </row>
    <row r="19363">
      <c r="A19363" s="4" t="str">
        <f>IFERROR(__xludf.DUMMYFUNCTION("""COMPUTED_VALUE"""),"cas_hmw")</f>
        <v>cas_hmw</v>
      </c>
      <c r="B19363" s="5">
        <f>IFERROR(__xludf.DUMMYFUNCTION("""COMPUTED_VALUE"""),44777.0)</f>
        <v>44777</v>
      </c>
      <c r="C19363" s="6">
        <f>IFERROR(__xludf.DUMMYFUNCTION("""COMPUTED_VALUE"""),0.7128935185173759)</f>
        <v>0.7128935185</v>
      </c>
      <c r="D19363" s="4">
        <f>IFERROR(__xludf.DUMMYFUNCTION("""COMPUTED_VALUE"""),12.964711)</f>
        <v>12.964711</v>
      </c>
      <c r="E19363" s="4">
        <f>IFERROR(__xludf.DUMMYFUNCTION("""COMPUTED_VALUE"""),80.147716)</f>
        <v>80.147716</v>
      </c>
      <c r="F19363" s="4">
        <f>IFERROR(__xludf.DUMMYFUNCTION("""COMPUTED_VALUE"""),805.0)</f>
        <v>805</v>
      </c>
      <c r="G19363" s="4">
        <f>IFERROR(__xludf.DUMMYFUNCTION("""COMPUTED_VALUE"""),52.0)</f>
        <v>52</v>
      </c>
      <c r="H19363" s="4"/>
      <c r="I19363" s="4"/>
    </row>
    <row r="19364">
      <c r="A19364" s="4" t="str">
        <f>IFERROR(__xludf.DUMMYFUNCTION("""COMPUTED_VALUE"""),"cas_hmw")</f>
        <v>cas_hmw</v>
      </c>
      <c r="B19364" s="5">
        <f>IFERROR(__xludf.DUMMYFUNCTION("""COMPUTED_VALUE"""),44777.0)</f>
        <v>44777</v>
      </c>
      <c r="C19364" s="6">
        <f>IFERROR(__xludf.DUMMYFUNCTION("""COMPUTED_VALUE"""),0.713206018517667)</f>
        <v>0.7132060185</v>
      </c>
      <c r="D19364" s="4">
        <f>IFERROR(__xludf.DUMMYFUNCTION("""COMPUTED_VALUE"""),12.955969)</f>
        <v>12.955969</v>
      </c>
      <c r="E19364" s="4">
        <f>IFERROR(__xludf.DUMMYFUNCTION("""COMPUTED_VALUE"""),80.142984)</f>
        <v>80.142984</v>
      </c>
      <c r="F19364" s="4">
        <f>IFERROR(__xludf.DUMMYFUNCTION("""COMPUTED_VALUE"""),3143.0)</f>
        <v>3143</v>
      </c>
      <c r="G19364" s="4">
        <f>IFERROR(__xludf.DUMMYFUNCTION("""COMPUTED_VALUE"""),5.0)</f>
        <v>5</v>
      </c>
      <c r="H19364" s="4"/>
      <c r="I19364" s="4"/>
    </row>
    <row r="19365">
      <c r="A19365" s="4" t="str">
        <f>IFERROR(__xludf.DUMMYFUNCTION("""COMPUTED_VALUE"""),"cas_hmw")</f>
        <v>cas_hmw</v>
      </c>
      <c r="B19365" s="5">
        <f>IFERROR(__xludf.DUMMYFUNCTION("""COMPUTED_VALUE"""),44777.0)</f>
        <v>44777</v>
      </c>
      <c r="C19365" s="6">
        <f>IFERROR(__xludf.DUMMYFUNCTION("""COMPUTED_VALUE"""),0.7132175925908086)</f>
        <v>0.7132175926</v>
      </c>
      <c r="D19365" s="4">
        <f>IFERROR(__xludf.DUMMYFUNCTION("""COMPUTED_VALUE"""),12.955969)</f>
        <v>12.955969</v>
      </c>
      <c r="E19365" s="4">
        <f>IFERROR(__xludf.DUMMYFUNCTION("""COMPUTED_VALUE"""),80.142984)</f>
        <v>80.142984</v>
      </c>
      <c r="F19365" s="4">
        <f>IFERROR(__xludf.DUMMYFUNCTION("""COMPUTED_VALUE"""),3143.0)</f>
        <v>3143</v>
      </c>
      <c r="G19365" s="4">
        <f>IFERROR(__xludf.DUMMYFUNCTION("""COMPUTED_VALUE"""),5.0)</f>
        <v>5</v>
      </c>
      <c r="H19365" s="4"/>
      <c r="I19365" s="4"/>
    </row>
    <row r="19366">
      <c r="A19366" s="4" t="str">
        <f>IFERROR(__xludf.DUMMYFUNCTION("""COMPUTED_VALUE"""),"cas_hmw")</f>
        <v>cas_hmw</v>
      </c>
      <c r="B19366" s="5">
        <f>IFERROR(__xludf.DUMMYFUNCTION("""COMPUTED_VALUE"""),44777.0)</f>
        <v>44777</v>
      </c>
      <c r="C19366" s="6">
        <f>IFERROR(__xludf.DUMMYFUNCTION("""COMPUTED_VALUE"""),0.7136342592602887)</f>
        <v>0.7136342593</v>
      </c>
      <c r="D19366" s="4">
        <f>IFERROR(__xludf.DUMMYFUNCTION("""COMPUTED_VALUE"""),12.993881)</f>
        <v>12.993881</v>
      </c>
      <c r="E19366" s="4">
        <f>IFERROR(__xludf.DUMMYFUNCTION("""COMPUTED_VALUE"""),80.185168)</f>
        <v>80.185168</v>
      </c>
      <c r="F19366" s="4">
        <f>IFERROR(__xludf.DUMMYFUNCTION("""COMPUTED_VALUE"""),5339.0)</f>
        <v>5339</v>
      </c>
      <c r="G19366" s="4">
        <f>IFERROR(__xludf.DUMMYFUNCTION("""COMPUTED_VALUE"""),14.0)</f>
        <v>14</v>
      </c>
      <c r="H19366" s="4"/>
      <c r="I19366" s="4"/>
    </row>
    <row r="19367">
      <c r="A19367" s="4" t="str">
        <f>IFERROR(__xludf.DUMMYFUNCTION("""COMPUTED_VALUE"""),"cas_hmw")</f>
        <v>cas_hmw</v>
      </c>
      <c r="B19367" s="5">
        <f>IFERROR(__xludf.DUMMYFUNCTION("""COMPUTED_VALUE"""),44777.0)</f>
        <v>44777</v>
      </c>
      <c r="C19367" s="6">
        <f>IFERROR(__xludf.DUMMYFUNCTION("""COMPUTED_VALUE"""),0.7136458333334303)</f>
        <v>0.7136458333</v>
      </c>
      <c r="D19367" s="4">
        <f>IFERROR(__xludf.DUMMYFUNCTION("""COMPUTED_VALUE"""),12.993881)</f>
        <v>12.993881</v>
      </c>
      <c r="E19367" s="4">
        <f>IFERROR(__xludf.DUMMYFUNCTION("""COMPUTED_VALUE"""),80.185168)</f>
        <v>80.185168</v>
      </c>
      <c r="F19367" s="4">
        <f>IFERROR(__xludf.DUMMYFUNCTION("""COMPUTED_VALUE"""),5339.0)</f>
        <v>5339</v>
      </c>
      <c r="G19367" s="4">
        <f>IFERROR(__xludf.DUMMYFUNCTION("""COMPUTED_VALUE"""),14.0)</f>
        <v>14</v>
      </c>
      <c r="H19367" s="4"/>
      <c r="I19367" s="4"/>
    </row>
    <row r="19368">
      <c r="A19368" s="4" t="str">
        <f>IFERROR(__xludf.DUMMYFUNCTION("""COMPUTED_VALUE"""),"cas_hmw")</f>
        <v>cas_hmw</v>
      </c>
      <c r="B19368" s="5">
        <f>IFERROR(__xludf.DUMMYFUNCTION("""COMPUTED_VALUE"""),44777.0)</f>
        <v>44777</v>
      </c>
      <c r="C19368" s="6">
        <f>IFERROR(__xludf.DUMMYFUNCTION("""COMPUTED_VALUE"""),0.7138078703719657)</f>
        <v>0.7138078704</v>
      </c>
      <c r="D19368" s="4">
        <f>IFERROR(__xludf.DUMMYFUNCTION("""COMPUTED_VALUE"""),12.973482)</f>
        <v>12.973482</v>
      </c>
      <c r="E19368" s="4">
        <f>IFERROR(__xludf.DUMMYFUNCTION("""COMPUTED_VALUE"""),80.153314)</f>
        <v>80.153314</v>
      </c>
      <c r="F19368" s="4">
        <f>IFERROR(__xludf.DUMMYFUNCTION("""COMPUTED_VALUE"""),805.0)</f>
        <v>805</v>
      </c>
      <c r="G19368" s="4">
        <f>IFERROR(__xludf.DUMMYFUNCTION("""COMPUTED_VALUE"""),58.0)</f>
        <v>58</v>
      </c>
      <c r="H19368" s="4"/>
      <c r="I19368" s="4"/>
    </row>
    <row r="19369">
      <c r="A19369" s="4" t="str">
        <f>IFERROR(__xludf.DUMMYFUNCTION("""COMPUTED_VALUE"""),"cas_hmw")</f>
        <v>cas_hmw</v>
      </c>
      <c r="B19369" s="5">
        <f>IFERROR(__xludf.DUMMYFUNCTION("""COMPUTED_VALUE"""),44777.0)</f>
        <v>44777</v>
      </c>
      <c r="C19369" s="6">
        <f>IFERROR(__xludf.DUMMYFUNCTION("""COMPUTED_VALUE"""),0.7138888888875954)</f>
        <v>0.7138888889</v>
      </c>
      <c r="D19369" s="4">
        <f>IFERROR(__xludf.DUMMYFUNCTION("""COMPUTED_VALUE"""),12.974749)</f>
        <v>12.974749</v>
      </c>
      <c r="E19369" s="4">
        <f>IFERROR(__xludf.DUMMYFUNCTION("""COMPUTED_VALUE"""),80.155198)</f>
        <v>80.155198</v>
      </c>
      <c r="F19369" s="4">
        <f>IFERROR(__xludf.DUMMYFUNCTION("""COMPUTED_VALUE"""),805.0)</f>
        <v>805</v>
      </c>
      <c r="G19369" s="4">
        <f>IFERROR(__xludf.DUMMYFUNCTION("""COMPUTED_VALUE"""),58.0)</f>
        <v>58</v>
      </c>
      <c r="H19369" s="4"/>
      <c r="I19369" s="4"/>
    </row>
    <row r="19370">
      <c r="A19370" s="4" t="str">
        <f>IFERROR(__xludf.DUMMYFUNCTION("""COMPUTED_VALUE"""),"cas_hmw")</f>
        <v>cas_hmw</v>
      </c>
      <c r="B19370" s="5">
        <f>IFERROR(__xludf.DUMMYFUNCTION("""COMPUTED_VALUE"""),44777.0)</f>
        <v>44777</v>
      </c>
      <c r="C19370" s="6">
        <f>IFERROR(__xludf.DUMMYFUNCTION("""COMPUTED_VALUE"""),0.7139583333337214)</f>
        <v>0.7139583333</v>
      </c>
      <c r="D19370" s="4">
        <f>IFERROR(__xludf.DUMMYFUNCTION("""COMPUTED_VALUE"""),12.974749)</f>
        <v>12.974749</v>
      </c>
      <c r="E19370" s="4">
        <f>IFERROR(__xludf.DUMMYFUNCTION("""COMPUTED_VALUE"""),80.155198)</f>
        <v>80.155198</v>
      </c>
      <c r="F19370" s="4">
        <f>IFERROR(__xludf.DUMMYFUNCTION("""COMPUTED_VALUE"""),805.0)</f>
        <v>805</v>
      </c>
      <c r="G19370" s="4">
        <f>IFERROR(__xludf.DUMMYFUNCTION("""COMPUTED_VALUE"""),58.0)</f>
        <v>58</v>
      </c>
      <c r="H19370" s="4"/>
      <c r="I19370" s="4"/>
    </row>
    <row r="19371">
      <c r="A19371" s="4" t="str">
        <f>IFERROR(__xludf.DUMMYFUNCTION("""COMPUTED_VALUE"""),"cas_hmw")</f>
        <v>cas_hmw</v>
      </c>
      <c r="B19371" s="5">
        <f>IFERROR(__xludf.DUMMYFUNCTION("""COMPUTED_VALUE"""),44777.0)</f>
        <v>44777</v>
      </c>
      <c r="C19371" s="6">
        <f>IFERROR(__xludf.DUMMYFUNCTION("""COMPUTED_VALUE"""),0.7139930555567844)</f>
        <v>0.7139930556</v>
      </c>
      <c r="D19371" s="4">
        <f>IFERROR(__xludf.DUMMYFUNCTION("""COMPUTED_VALUE"""),12.974749)</f>
        <v>12.974749</v>
      </c>
      <c r="E19371" s="4">
        <f>IFERROR(__xludf.DUMMYFUNCTION("""COMPUTED_VALUE"""),80.155198)</f>
        <v>80.155198</v>
      </c>
      <c r="F19371" s="4">
        <f>IFERROR(__xludf.DUMMYFUNCTION("""COMPUTED_VALUE"""),805.0)</f>
        <v>805</v>
      </c>
      <c r="G19371" s="4">
        <f>IFERROR(__xludf.DUMMYFUNCTION("""COMPUTED_VALUE"""),58.0)</f>
        <v>58</v>
      </c>
      <c r="H19371" s="4"/>
      <c r="I19371" s="4"/>
    </row>
    <row r="19372">
      <c r="A19372" s="4" t="str">
        <f>IFERROR(__xludf.DUMMYFUNCTION("""COMPUTED_VALUE"""),"cas_hmw")</f>
        <v>cas_hmw</v>
      </c>
      <c r="B19372" s="5">
        <f>IFERROR(__xludf.DUMMYFUNCTION("""COMPUTED_VALUE"""),44777.0)</f>
        <v>44777</v>
      </c>
      <c r="C19372" s="6">
        <f>IFERROR(__xludf.DUMMYFUNCTION("""COMPUTED_VALUE"""),0.7142245370378077)</f>
        <v>0.714224537</v>
      </c>
      <c r="D19372" s="4">
        <f>IFERROR(__xludf.DUMMYFUNCTION("""COMPUTED_VALUE"""),12.996667)</f>
        <v>12.996667</v>
      </c>
      <c r="E19372" s="4">
        <f>IFERROR(__xludf.DUMMYFUNCTION("""COMPUTED_VALUE"""),80.189961)</f>
        <v>80.189961</v>
      </c>
      <c r="F19372" s="4">
        <f>IFERROR(__xludf.DUMMYFUNCTION("""COMPUTED_VALUE"""),5339.0)</f>
        <v>5339</v>
      </c>
      <c r="G19372" s="4">
        <f>IFERROR(__xludf.DUMMYFUNCTION("""COMPUTED_VALUE"""),42.0)</f>
        <v>42</v>
      </c>
      <c r="H19372" s="4"/>
      <c r="I19372" s="4"/>
    </row>
    <row r="19373">
      <c r="A19373" s="4" t="str">
        <f>IFERROR(__xludf.DUMMYFUNCTION("""COMPUTED_VALUE"""),"cas_hmw")</f>
        <v>cas_hmw</v>
      </c>
      <c r="B19373" s="5">
        <f>IFERROR(__xludf.DUMMYFUNCTION("""COMPUTED_VALUE"""),44777.0)</f>
        <v>44777</v>
      </c>
      <c r="C19373" s="6">
        <f>IFERROR(__xludf.DUMMYFUNCTION("""COMPUTED_VALUE"""),0.7154861111121136)</f>
        <v>0.7154861111</v>
      </c>
      <c r="D19373" s="4">
        <f>IFERROR(__xludf.DUMMYFUNCTION("""COMPUTED_VALUE"""),12.98464)</f>
        <v>12.98464</v>
      </c>
      <c r="E19373" s="4">
        <f>IFERROR(__xludf.DUMMYFUNCTION("""COMPUTED_VALUE"""),80.171973)</f>
        <v>80.171973</v>
      </c>
      <c r="F19373" s="4">
        <f>IFERROR(__xludf.DUMMYFUNCTION("""COMPUTED_VALUE"""),805.0)</f>
        <v>805</v>
      </c>
      <c r="G19373" s="4">
        <f>IFERROR(__xludf.DUMMYFUNCTION("""COMPUTED_VALUE"""),56.0)</f>
        <v>56</v>
      </c>
      <c r="H19373" s="4"/>
      <c r="I19373" s="4"/>
    </row>
    <row r="19374">
      <c r="A19374" s="4" t="str">
        <f>IFERROR(__xludf.DUMMYFUNCTION("""COMPUTED_VALUE"""),"cas_hmw")</f>
        <v>cas_hmw</v>
      </c>
      <c r="B19374" s="5">
        <f>IFERROR(__xludf.DUMMYFUNCTION("""COMPUTED_VALUE"""),44777.0)</f>
        <v>44777</v>
      </c>
      <c r="C19374" s="6">
        <f>IFERROR(__xludf.DUMMYFUNCTION("""COMPUTED_VALUE"""),0.7156134259275859)</f>
        <v>0.7156134259</v>
      </c>
      <c r="D19374" s="4">
        <f>IFERROR(__xludf.DUMMYFUNCTION("""COMPUTED_VALUE"""),12.985748)</f>
        <v>12.985748</v>
      </c>
      <c r="E19374" s="4">
        <f>IFERROR(__xludf.DUMMYFUNCTION("""COMPUTED_VALUE"""),80.173626)</f>
        <v>80.173626</v>
      </c>
      <c r="F19374" s="4">
        <f>IFERROR(__xludf.DUMMYFUNCTION("""COMPUTED_VALUE"""),805.0)</f>
        <v>805</v>
      </c>
      <c r="G19374" s="4">
        <f>IFERROR(__xludf.DUMMYFUNCTION("""COMPUTED_VALUE"""),40.0)</f>
        <v>40</v>
      </c>
      <c r="H19374" s="4"/>
      <c r="I19374" s="4"/>
    </row>
    <row r="19375">
      <c r="A19375" s="4" t="str">
        <f>IFERROR(__xludf.DUMMYFUNCTION("""COMPUTED_VALUE"""),"cas_hmw")</f>
        <v>cas_hmw</v>
      </c>
      <c r="B19375" s="5">
        <f>IFERROR(__xludf.DUMMYFUNCTION("""COMPUTED_VALUE"""),44777.0)</f>
        <v>44777</v>
      </c>
      <c r="C19375" s="6">
        <f>IFERROR(__xludf.DUMMYFUNCTION("""COMPUTED_VALUE"""),0.7157291666662786)</f>
        <v>0.7157291667</v>
      </c>
      <c r="D19375" s="4">
        <f>IFERROR(__xludf.DUMMYFUNCTION("""COMPUTED_VALUE"""),12.985748)</f>
        <v>12.985748</v>
      </c>
      <c r="E19375" s="4">
        <f>IFERROR(__xludf.DUMMYFUNCTION("""COMPUTED_VALUE"""),80.173626)</f>
        <v>80.173626</v>
      </c>
      <c r="F19375" s="4">
        <f>IFERROR(__xludf.DUMMYFUNCTION("""COMPUTED_VALUE"""),805.0)</f>
        <v>805</v>
      </c>
      <c r="G19375" s="4">
        <f>IFERROR(__xludf.DUMMYFUNCTION("""COMPUTED_VALUE"""),40.0)</f>
        <v>40</v>
      </c>
      <c r="H19375" s="4"/>
      <c r="I19375" s="4"/>
    </row>
    <row r="19376">
      <c r="A19376" s="4" t="str">
        <f>IFERROR(__xludf.DUMMYFUNCTION("""COMPUTED_VALUE"""),"cas_hmw")</f>
        <v>cas_hmw</v>
      </c>
      <c r="B19376" s="5">
        <f>IFERROR(__xludf.DUMMYFUNCTION("""COMPUTED_VALUE"""),44777.0)</f>
        <v>44777</v>
      </c>
      <c r="C19376" s="6">
        <f>IFERROR(__xludf.DUMMYFUNCTION("""COMPUTED_VALUE"""),0.7163888888899237)</f>
        <v>0.7163888889</v>
      </c>
      <c r="D19376" s="4">
        <f>IFERROR(__xludf.DUMMYFUNCTION("""COMPUTED_VALUE"""),13.001854)</f>
        <v>13.001854</v>
      </c>
      <c r="E19376" s="4">
        <f>IFERROR(__xludf.DUMMYFUNCTION("""COMPUTED_VALUE"""),80.198818)</f>
        <v>80.198818</v>
      </c>
      <c r="F19376" s="4">
        <f>IFERROR(__xludf.DUMMYFUNCTION("""COMPUTED_VALUE"""),5339.0)</f>
        <v>5339</v>
      </c>
      <c r="G19376" s="4">
        <f>IFERROR(__xludf.DUMMYFUNCTION("""COMPUTED_VALUE"""),57.0)</f>
        <v>57</v>
      </c>
      <c r="H19376" s="4"/>
      <c r="I19376" s="4"/>
    </row>
    <row r="19377">
      <c r="A19377" s="4" t="str">
        <f>IFERROR(__xludf.DUMMYFUNCTION("""COMPUTED_VALUE"""),"cas_hmw")</f>
        <v>cas_hmw</v>
      </c>
      <c r="B19377" s="5">
        <f>IFERROR(__xludf.DUMMYFUNCTION("""COMPUTED_VALUE"""),44777.0)</f>
        <v>44777</v>
      </c>
      <c r="C19377" s="6">
        <f>IFERROR(__xludf.DUMMYFUNCTION("""COMPUTED_VALUE"""),0.7166319444440887)</f>
        <v>0.7166319444</v>
      </c>
      <c r="D19377" s="4">
        <f>IFERROR(__xludf.DUMMYFUNCTION("""COMPUTED_VALUE"""),13.002896)</f>
        <v>13.002896</v>
      </c>
      <c r="E19377" s="4">
        <f>IFERROR(__xludf.DUMMYFUNCTION("""COMPUTED_VALUE"""),80.200699)</f>
        <v>80.200699</v>
      </c>
      <c r="F19377" s="4">
        <f>IFERROR(__xludf.DUMMYFUNCTION("""COMPUTED_VALUE"""),5339.0)</f>
        <v>5339</v>
      </c>
      <c r="G19377" s="4">
        <f>IFERROR(__xludf.DUMMYFUNCTION("""COMPUTED_VALUE"""),43.0)</f>
        <v>43</v>
      </c>
      <c r="H19377" s="4"/>
      <c r="I19377" s="4"/>
    </row>
    <row r="19378">
      <c r="A19378" s="4" t="str">
        <f>IFERROR(__xludf.DUMMYFUNCTION("""COMPUTED_VALUE"""),"cas_hmw")</f>
        <v>cas_hmw</v>
      </c>
      <c r="B19378" s="5">
        <f>IFERROR(__xludf.DUMMYFUNCTION("""COMPUTED_VALUE"""),44777.0)</f>
        <v>44777</v>
      </c>
      <c r="C19378" s="6">
        <f>IFERROR(__xludf.DUMMYFUNCTION("""COMPUTED_VALUE"""),0.7170486111099308)</f>
        <v>0.7170486111</v>
      </c>
      <c r="D19378" s="4">
        <f>IFERROR(__xludf.DUMMYFUNCTION("""COMPUTED_VALUE"""),13.004964)</f>
        <v>13.004964</v>
      </c>
      <c r="E19378" s="4">
        <f>IFERROR(__xludf.DUMMYFUNCTION("""COMPUTED_VALUE"""),80.201323)</f>
        <v>80.201323</v>
      </c>
      <c r="F19378" s="4">
        <f>IFERROR(__xludf.DUMMYFUNCTION("""COMPUTED_VALUE"""),5339.0)</f>
        <v>5339</v>
      </c>
      <c r="G19378" s="4">
        <f>IFERROR(__xludf.DUMMYFUNCTION("""COMPUTED_VALUE"""),34.0)</f>
        <v>34</v>
      </c>
      <c r="H19378" s="4"/>
      <c r="I19378" s="4"/>
    </row>
    <row r="19379">
      <c r="A19379" s="4" t="str">
        <f>IFERROR(__xludf.DUMMYFUNCTION("""COMPUTED_VALUE"""),"cas_hmw")</f>
        <v>cas_hmw</v>
      </c>
      <c r="B19379" s="5">
        <f>IFERROR(__xludf.DUMMYFUNCTION("""COMPUTED_VALUE"""),44777.0)</f>
        <v>44777</v>
      </c>
      <c r="C19379" s="6">
        <f>IFERROR(__xludf.DUMMYFUNCTION("""COMPUTED_VALUE"""),0.7174884259256942)</f>
        <v>0.7174884259</v>
      </c>
      <c r="D19379" s="4">
        <f>IFERROR(__xludf.DUMMYFUNCTION("""COMPUTED_VALUE"""),12.990594)</f>
        <v>12.990594</v>
      </c>
      <c r="E19379" s="4">
        <f>IFERROR(__xludf.DUMMYFUNCTION("""COMPUTED_VALUE"""),80.18023)</f>
        <v>80.18023</v>
      </c>
      <c r="F19379" s="4">
        <f>IFERROR(__xludf.DUMMYFUNCTION("""COMPUTED_VALUE"""),805.0)</f>
        <v>805</v>
      </c>
      <c r="G19379" s="4">
        <f>IFERROR(__xludf.DUMMYFUNCTION("""COMPUTED_VALUE"""),40.0)</f>
        <v>40</v>
      </c>
      <c r="H19379" s="4"/>
      <c r="I19379" s="4"/>
    </row>
    <row r="19380">
      <c r="A19380" s="4" t="str">
        <f>IFERROR(__xludf.DUMMYFUNCTION("""COMPUTED_VALUE"""),"cas_hmw")</f>
        <v>cas_hmw</v>
      </c>
      <c r="B19380" s="5">
        <f>IFERROR(__xludf.DUMMYFUNCTION("""COMPUTED_VALUE"""),44777.0)</f>
        <v>44777</v>
      </c>
      <c r="C19380" s="6">
        <f>IFERROR(__xludf.DUMMYFUNCTION("""COMPUTED_VALUE"""),0.7178124999991269)</f>
        <v>0.7178125</v>
      </c>
      <c r="D19380" s="4">
        <f>IFERROR(__xludf.DUMMYFUNCTION("""COMPUTED_VALUE"""),13.007527)</f>
        <v>13.007527</v>
      </c>
      <c r="E19380" s="4">
        <f>IFERROR(__xludf.DUMMYFUNCTION("""COMPUTED_VALUE"""),80.203424)</f>
        <v>80.203424</v>
      </c>
      <c r="F19380" s="4">
        <f>IFERROR(__xludf.DUMMYFUNCTION("""COMPUTED_VALUE"""),5339.0)</f>
        <v>5339</v>
      </c>
      <c r="G19380" s="4">
        <f>IFERROR(__xludf.DUMMYFUNCTION("""COMPUTED_VALUE"""),36.0)</f>
        <v>36</v>
      </c>
      <c r="H19380" s="4"/>
      <c r="I19380" s="4"/>
    </row>
    <row r="19381">
      <c r="A19381" s="4" t="str">
        <f>IFERROR(__xludf.DUMMYFUNCTION("""COMPUTED_VALUE"""),"cas_hmw")</f>
        <v>cas_hmw</v>
      </c>
      <c r="B19381" s="5">
        <f>IFERROR(__xludf.DUMMYFUNCTION("""COMPUTED_VALUE"""),44777.0)</f>
        <v>44777</v>
      </c>
      <c r="C19381" s="6">
        <f>IFERROR(__xludf.DUMMYFUNCTION("""COMPUTED_VALUE"""),0.718645833334449)</f>
        <v>0.7186458333</v>
      </c>
      <c r="D19381" s="4">
        <f>IFERROR(__xludf.DUMMYFUNCTION("""COMPUTED_VALUE"""),13.008693)</f>
        <v>13.008693</v>
      </c>
      <c r="E19381" s="4">
        <f>IFERROR(__xludf.DUMMYFUNCTION("""COMPUTED_VALUE"""),80.210904)</f>
        <v>80.210904</v>
      </c>
      <c r="F19381" s="4">
        <f>IFERROR(__xludf.DUMMYFUNCTION("""COMPUTED_VALUE"""),5339.0)</f>
        <v>5339</v>
      </c>
      <c r="G19381" s="4">
        <f>IFERROR(__xludf.DUMMYFUNCTION("""COMPUTED_VALUE"""),33.0)</f>
        <v>33</v>
      </c>
      <c r="H19381" s="4"/>
      <c r="I19381" s="4"/>
    </row>
    <row r="19382">
      <c r="A19382" s="4" t="str">
        <f>IFERROR(__xludf.DUMMYFUNCTION("""COMPUTED_VALUE"""),"cas_hmw")</f>
        <v>cas_hmw</v>
      </c>
      <c r="B19382" s="5">
        <f>IFERROR(__xludf.DUMMYFUNCTION("""COMPUTED_VALUE"""),44777.0)</f>
        <v>44777</v>
      </c>
      <c r="C19382" s="6">
        <f>IFERROR(__xludf.DUMMYFUNCTION("""COMPUTED_VALUE"""),0.7194212962967867)</f>
        <v>0.7194212963</v>
      </c>
      <c r="D19382" s="4">
        <f>IFERROR(__xludf.DUMMYFUNCTION("""COMPUTED_VALUE"""),13.011275)</f>
        <v>13.011275</v>
      </c>
      <c r="E19382" s="4">
        <f>IFERROR(__xludf.DUMMYFUNCTION("""COMPUTED_VALUE"""),80.218079)</f>
        <v>80.218079</v>
      </c>
      <c r="F19382" s="4">
        <f>IFERROR(__xludf.DUMMYFUNCTION("""COMPUTED_VALUE"""),5339.0)</f>
        <v>5339</v>
      </c>
      <c r="G19382" s="4">
        <f>IFERROR(__xludf.DUMMYFUNCTION("""COMPUTED_VALUE"""),42.0)</f>
        <v>42</v>
      </c>
      <c r="H19382" s="4"/>
      <c r="I19382" s="4"/>
    </row>
    <row r="19383">
      <c r="A19383" s="4" t="str">
        <f>IFERROR(__xludf.DUMMYFUNCTION("""COMPUTED_VALUE"""),"cas_hmw")</f>
        <v>cas_hmw</v>
      </c>
      <c r="B19383" s="5">
        <f>IFERROR(__xludf.DUMMYFUNCTION("""COMPUTED_VALUE"""),44777.0)</f>
        <v>44777</v>
      </c>
      <c r="C19383" s="6">
        <f>IFERROR(__xludf.DUMMYFUNCTION("""COMPUTED_VALUE"""),0.7195370370354794)</f>
        <v>0.719537037</v>
      </c>
      <c r="D19383" s="4">
        <f>IFERROR(__xludf.DUMMYFUNCTION("""COMPUTED_VALUE"""),13.011673)</f>
        <v>13.011673</v>
      </c>
      <c r="E19383" s="4">
        <f>IFERROR(__xludf.DUMMYFUNCTION("""COMPUTED_VALUE"""),80.219216)</f>
        <v>80.219216</v>
      </c>
      <c r="F19383" s="4">
        <f>IFERROR(__xludf.DUMMYFUNCTION("""COMPUTED_VALUE"""),5339.0)</f>
        <v>5339</v>
      </c>
      <c r="G19383" s="4">
        <f>IFERROR(__xludf.DUMMYFUNCTION("""COMPUTED_VALUE"""),51.0)</f>
        <v>51</v>
      </c>
      <c r="H19383" s="4"/>
      <c r="I19383" s="4"/>
    </row>
    <row r="19384">
      <c r="A19384" s="4" t="str">
        <f>IFERROR(__xludf.DUMMYFUNCTION("""COMPUTED_VALUE"""),"cas_hmw")</f>
        <v>cas_hmw</v>
      </c>
      <c r="B19384" s="5">
        <f>IFERROR(__xludf.DUMMYFUNCTION("""COMPUTED_VALUE"""),44777.0)</f>
        <v>44777</v>
      </c>
      <c r="C19384" s="6">
        <f>IFERROR(__xludf.DUMMYFUNCTION("""COMPUTED_VALUE"""),0.7199074074087548)</f>
        <v>0.7199074074</v>
      </c>
      <c r="D19384" s="4">
        <f>IFERROR(__xludf.DUMMYFUNCTION("""COMPUTED_VALUE"""),12.99639)</f>
        <v>12.99639</v>
      </c>
      <c r="E19384" s="4">
        <f>IFERROR(__xludf.DUMMYFUNCTION("""COMPUTED_VALUE"""),80.189621)</f>
        <v>80.189621</v>
      </c>
      <c r="F19384" s="4">
        <f>IFERROR(__xludf.DUMMYFUNCTION("""COMPUTED_VALUE"""),805.0)</f>
        <v>805</v>
      </c>
      <c r="G19384" s="4">
        <f>IFERROR(__xludf.DUMMYFUNCTION("""COMPUTED_VALUE"""),33.0)</f>
        <v>33</v>
      </c>
      <c r="H19384" s="4"/>
      <c r="I19384" s="4"/>
    </row>
    <row r="19385">
      <c r="A19385" s="4" t="str">
        <f>IFERROR(__xludf.DUMMYFUNCTION("""COMPUTED_VALUE"""),"cas_hmw")</f>
        <v>cas_hmw</v>
      </c>
      <c r="B19385" s="5">
        <f>IFERROR(__xludf.DUMMYFUNCTION("""COMPUTED_VALUE"""),44777.0)</f>
        <v>44777</v>
      </c>
      <c r="C19385" s="6">
        <f>IFERROR(__xludf.DUMMYFUNCTION("""COMPUTED_VALUE"""),0.7200231481474475)</f>
        <v>0.7200231481</v>
      </c>
      <c r="D19385" s="4">
        <f>IFERROR(__xludf.DUMMYFUNCTION("""COMPUTED_VALUE"""),13.013125)</f>
        <v>13.013125</v>
      </c>
      <c r="E19385" s="4">
        <f>IFERROR(__xludf.DUMMYFUNCTION("""COMPUTED_VALUE"""),80.222213)</f>
        <v>80.222213</v>
      </c>
      <c r="F19385" s="4">
        <f>IFERROR(__xludf.DUMMYFUNCTION("""COMPUTED_VALUE"""),5339.0)</f>
        <v>5339</v>
      </c>
      <c r="G19385" s="4">
        <f>IFERROR(__xludf.DUMMYFUNCTION("""COMPUTED_VALUE"""),34.0)</f>
        <v>34</v>
      </c>
      <c r="H19385" s="4"/>
      <c r="I19385" s="4"/>
    </row>
    <row r="19386">
      <c r="A19386" s="4" t="str">
        <f>IFERROR(__xludf.DUMMYFUNCTION("""COMPUTED_VALUE"""),"cas_hmw")</f>
        <v>cas_hmw</v>
      </c>
      <c r="B19386" s="5">
        <f>IFERROR(__xludf.DUMMYFUNCTION("""COMPUTED_VALUE"""),44777.0)</f>
        <v>44777</v>
      </c>
      <c r="C19386" s="6">
        <f>IFERROR(__xludf.DUMMYFUNCTION("""COMPUTED_VALUE"""),0.7201504629629198)</f>
        <v>0.720150463</v>
      </c>
      <c r="D19386" s="4">
        <f>IFERROR(__xludf.DUMMYFUNCTION("""COMPUTED_VALUE"""),13.013735)</f>
        <v>13.013735</v>
      </c>
      <c r="E19386" s="4">
        <f>IFERROR(__xludf.DUMMYFUNCTION("""COMPUTED_VALUE"""),80.222936)</f>
        <v>80.222936</v>
      </c>
      <c r="F19386" s="4">
        <f>IFERROR(__xludf.DUMMYFUNCTION("""COMPUTED_VALUE"""),5339.0)</f>
        <v>5339</v>
      </c>
      <c r="G19386" s="4">
        <f>IFERROR(__xludf.DUMMYFUNCTION("""COMPUTED_VALUE"""),36.0)</f>
        <v>36</v>
      </c>
      <c r="H19386" s="4"/>
      <c r="I19386" s="4"/>
    </row>
    <row r="19387">
      <c r="A19387" s="4" t="str">
        <f>IFERROR(__xludf.DUMMYFUNCTION("""COMPUTED_VALUE"""),"cas_hmw")</f>
        <v>cas_hmw</v>
      </c>
      <c r="B19387" s="5">
        <f>IFERROR(__xludf.DUMMYFUNCTION("""COMPUTED_VALUE"""),44777.0)</f>
        <v>44777</v>
      </c>
      <c r="C19387" s="6">
        <f>IFERROR(__xludf.DUMMYFUNCTION("""COMPUTED_VALUE"""),0.7206944444442343)</f>
        <v>0.7206944444</v>
      </c>
      <c r="D19387" s="4">
        <f>IFERROR(__xludf.DUMMYFUNCTION("""COMPUTED_VALUE"""),13.001128)</f>
        <v>13.001128</v>
      </c>
      <c r="E19387" s="4">
        <f>IFERROR(__xludf.DUMMYFUNCTION("""COMPUTED_VALUE"""),80.195471)</f>
        <v>80.195471</v>
      </c>
      <c r="F19387" s="4">
        <f>IFERROR(__xludf.DUMMYFUNCTION("""COMPUTED_VALUE"""),805.0)</f>
        <v>805</v>
      </c>
      <c r="G19387" s="4">
        <f>IFERROR(__xludf.DUMMYFUNCTION("""COMPUTED_VALUE"""),17.0)</f>
        <v>17</v>
      </c>
      <c r="H19387" s="4"/>
      <c r="I19387" s="4"/>
    </row>
    <row r="19388">
      <c r="A19388" s="4" t="str">
        <f>IFERROR(__xludf.DUMMYFUNCTION("""COMPUTED_VALUE"""),"cas_hmw")</f>
        <v>cas_hmw</v>
      </c>
      <c r="B19388" s="5">
        <f>IFERROR(__xludf.DUMMYFUNCTION("""COMPUTED_VALUE"""),44777.0)</f>
        <v>44777</v>
      </c>
      <c r="C19388" s="6">
        <f>IFERROR(__xludf.DUMMYFUNCTION("""COMPUTED_VALUE"""),0.7207754629635019)</f>
        <v>0.720775463</v>
      </c>
      <c r="D19388" s="4">
        <f>IFERROR(__xludf.DUMMYFUNCTION("""COMPUTED_VALUE"""),13.001128)</f>
        <v>13.001128</v>
      </c>
      <c r="E19388" s="4">
        <f>IFERROR(__xludf.DUMMYFUNCTION("""COMPUTED_VALUE"""),80.195471)</f>
        <v>80.195471</v>
      </c>
      <c r="F19388" s="4">
        <f>IFERROR(__xludf.DUMMYFUNCTION("""COMPUTED_VALUE"""),805.0)</f>
        <v>805</v>
      </c>
      <c r="G19388" s="4">
        <f>IFERROR(__xludf.DUMMYFUNCTION("""COMPUTED_VALUE"""),17.0)</f>
        <v>17</v>
      </c>
      <c r="H19388" s="4"/>
      <c r="I19388" s="4"/>
    </row>
    <row r="19389">
      <c r="A19389" s="4" t="str">
        <f>IFERROR(__xludf.DUMMYFUNCTION("""COMPUTED_VALUE"""),"cas_hmw")</f>
        <v>cas_hmw</v>
      </c>
      <c r="B19389" s="5">
        <f>IFERROR(__xludf.DUMMYFUNCTION("""COMPUTED_VALUE"""),44777.0)</f>
        <v>44777</v>
      </c>
      <c r="C19389" s="6">
        <f>IFERROR(__xludf.DUMMYFUNCTION("""COMPUTED_VALUE"""),0.7210300925908086)</f>
        <v>0.7210300926</v>
      </c>
      <c r="D19389" s="4">
        <f>IFERROR(__xludf.DUMMYFUNCTION("""COMPUTED_VALUE"""),13.002011)</f>
        <v>13.002011</v>
      </c>
      <c r="E19389" s="4">
        <f>IFERROR(__xludf.DUMMYFUNCTION("""COMPUTED_VALUE"""),80.198015)</f>
        <v>80.198015</v>
      </c>
      <c r="F19389" s="4">
        <f>IFERROR(__xludf.DUMMYFUNCTION("""COMPUTED_VALUE"""),805.0)</f>
        <v>805</v>
      </c>
      <c r="G19389" s="4">
        <f>IFERROR(__xludf.DUMMYFUNCTION("""COMPUTED_VALUE"""),49.0)</f>
        <v>49</v>
      </c>
      <c r="H19389" s="4"/>
      <c r="I19389" s="4"/>
    </row>
    <row r="19390">
      <c r="A19390" s="4" t="str">
        <f>IFERROR(__xludf.DUMMYFUNCTION("""COMPUTED_VALUE"""),"cas_hmw")</f>
        <v>cas_hmw</v>
      </c>
      <c r="B19390" s="5">
        <f>IFERROR(__xludf.DUMMYFUNCTION("""COMPUTED_VALUE"""),44777.0)</f>
        <v>44777</v>
      </c>
      <c r="C19390" s="6">
        <f>IFERROR(__xludf.DUMMYFUNCTION("""COMPUTED_VALUE"""),0.721192129629344)</f>
        <v>0.7211921296</v>
      </c>
      <c r="D19390" s="4">
        <f>IFERROR(__xludf.DUMMYFUNCTION("""COMPUTED_VALUE"""),13.017599)</f>
        <v>13.017599</v>
      </c>
      <c r="E19390" s="4">
        <f>IFERROR(__xludf.DUMMYFUNCTION("""COMPUTED_VALUE"""),80.2249)</f>
        <v>80.2249</v>
      </c>
      <c r="F19390" s="4">
        <f>IFERROR(__xludf.DUMMYFUNCTION("""COMPUTED_VALUE"""),5339.0)</f>
        <v>5339</v>
      </c>
      <c r="G19390" s="4">
        <f>IFERROR(__xludf.DUMMYFUNCTION("""COMPUTED_VALUE"""),38.0)</f>
        <v>38</v>
      </c>
      <c r="H19390" s="4"/>
      <c r="I19390" s="4"/>
    </row>
    <row r="19391">
      <c r="A19391" s="4" t="str">
        <f>IFERROR(__xludf.DUMMYFUNCTION("""COMPUTED_VALUE"""),"cas_hmw")</f>
        <v>cas_hmw</v>
      </c>
      <c r="B19391" s="5">
        <f>IFERROR(__xludf.DUMMYFUNCTION("""COMPUTED_VALUE"""),44777.0)</f>
        <v>44777</v>
      </c>
      <c r="C19391" s="6">
        <f>IFERROR(__xludf.DUMMYFUNCTION("""COMPUTED_VALUE"""),0.721192129629344)</f>
        <v>0.7211921296</v>
      </c>
      <c r="D19391" s="4">
        <f>IFERROR(__xludf.DUMMYFUNCTION("""COMPUTED_VALUE"""),13.001945)</f>
        <v>13.001945</v>
      </c>
      <c r="E19391" s="4">
        <f>IFERROR(__xludf.DUMMYFUNCTION("""COMPUTED_VALUE"""),80.199989)</f>
        <v>80.199989</v>
      </c>
      <c r="F19391" s="4">
        <f>IFERROR(__xludf.DUMMYFUNCTION("""COMPUTED_VALUE"""),805.0)</f>
        <v>805</v>
      </c>
      <c r="G19391" s="4">
        <f>IFERROR(__xludf.DUMMYFUNCTION("""COMPUTED_VALUE"""),43.0)</f>
        <v>43</v>
      </c>
      <c r="H19391" s="4"/>
      <c r="I19391" s="4"/>
    </row>
    <row r="19392">
      <c r="A19392" s="4" t="str">
        <f>IFERROR(__xludf.DUMMYFUNCTION("""COMPUTED_VALUE"""),"cas_hmw")</f>
        <v>cas_hmw</v>
      </c>
      <c r="B19392" s="5">
        <f>IFERROR(__xludf.DUMMYFUNCTION("""COMPUTED_VALUE"""),44777.0)</f>
        <v>44777</v>
      </c>
      <c r="C19392" s="6">
        <f>IFERROR(__xludf.DUMMYFUNCTION("""COMPUTED_VALUE"""),0.7219212962954771)</f>
        <v>0.7219212963</v>
      </c>
      <c r="D19392" s="4">
        <f>IFERROR(__xludf.DUMMYFUNCTION("""COMPUTED_VALUE"""),13.019758)</f>
        <v>13.019758</v>
      </c>
      <c r="E19392" s="4">
        <f>IFERROR(__xludf.DUMMYFUNCTION("""COMPUTED_VALUE"""),80.224592)</f>
        <v>80.224592</v>
      </c>
      <c r="F19392" s="4">
        <f>IFERROR(__xludf.DUMMYFUNCTION("""COMPUTED_VALUE"""),5339.0)</f>
        <v>5339</v>
      </c>
      <c r="G19392" s="4">
        <f>IFERROR(__xludf.DUMMYFUNCTION("""COMPUTED_VALUE"""),16.0)</f>
        <v>16</v>
      </c>
      <c r="H19392" s="4"/>
      <c r="I19392" s="4"/>
    </row>
    <row r="19393">
      <c r="A19393" s="4" t="str">
        <f>IFERROR(__xludf.DUMMYFUNCTION("""COMPUTED_VALUE"""),"cas_hmw")</f>
        <v>cas_hmw</v>
      </c>
      <c r="B19393" s="5">
        <f>IFERROR(__xludf.DUMMYFUNCTION("""COMPUTED_VALUE"""),44777.0)</f>
        <v>44777</v>
      </c>
      <c r="C19393" s="6">
        <f>IFERROR(__xludf.DUMMYFUNCTION("""COMPUTED_VALUE"""),0.7220833333340124)</f>
        <v>0.7220833333</v>
      </c>
      <c r="D19393" s="4">
        <f>IFERROR(__xludf.DUMMYFUNCTION("""COMPUTED_VALUE"""),13.020965)</f>
        <v>13.020965</v>
      </c>
      <c r="E19393" s="4">
        <f>IFERROR(__xludf.DUMMYFUNCTION("""COMPUTED_VALUE"""),80.225487)</f>
        <v>80.225487</v>
      </c>
      <c r="F19393" s="4">
        <f>IFERROR(__xludf.DUMMYFUNCTION("""COMPUTED_VALUE"""),5339.0)</f>
        <v>5339</v>
      </c>
      <c r="G19393" s="4">
        <f>IFERROR(__xludf.DUMMYFUNCTION("""COMPUTED_VALUE"""),38.0)</f>
        <v>38</v>
      </c>
      <c r="H19393" s="4"/>
      <c r="I19393" s="4"/>
    </row>
    <row r="19394">
      <c r="A19394" s="4" t="str">
        <f>IFERROR(__xludf.DUMMYFUNCTION("""COMPUTED_VALUE"""),"cas_hmw")</f>
        <v>cas_hmw</v>
      </c>
      <c r="B19394" s="5">
        <f>IFERROR(__xludf.DUMMYFUNCTION("""COMPUTED_VALUE"""),44777.0)</f>
        <v>44777</v>
      </c>
      <c r="C19394" s="6">
        <f>IFERROR(__xludf.DUMMYFUNCTION("""COMPUTED_VALUE"""),0.7222222222226264)</f>
        <v>0.7222222222</v>
      </c>
      <c r="D19394" s="4">
        <f>IFERROR(__xludf.DUMMYFUNCTION("""COMPUTED_VALUE"""),13.007772)</f>
        <v>13.007772</v>
      </c>
      <c r="E19394" s="4">
        <f>IFERROR(__xludf.DUMMYFUNCTION("""COMPUTED_VALUE"""),80.202791)</f>
        <v>80.202791</v>
      </c>
      <c r="F19394" s="4">
        <f>IFERROR(__xludf.DUMMYFUNCTION("""COMPUTED_VALUE"""),805.0)</f>
        <v>805</v>
      </c>
      <c r="G19394" s="4">
        <f>IFERROR(__xludf.DUMMYFUNCTION("""COMPUTED_VALUE"""),36.0)</f>
        <v>36</v>
      </c>
      <c r="H19394" s="4"/>
      <c r="I19394" s="4"/>
    </row>
    <row r="19395">
      <c r="A19395" s="4" t="str">
        <f>IFERROR(__xludf.DUMMYFUNCTION("""COMPUTED_VALUE"""),"cas_hmw")</f>
        <v>cas_hmw</v>
      </c>
      <c r="B19395" s="5">
        <f>IFERROR(__xludf.DUMMYFUNCTION("""COMPUTED_VALUE"""),44777.0)</f>
        <v>44777</v>
      </c>
      <c r="C19395" s="6">
        <f>IFERROR(__xludf.DUMMYFUNCTION("""COMPUTED_VALUE"""),0.7225694444459805)</f>
        <v>0.7225694444</v>
      </c>
      <c r="D19395" s="4">
        <f>IFERROR(__xludf.DUMMYFUNCTION("""COMPUTED_VALUE"""),13.007865)</f>
        <v>13.007865</v>
      </c>
      <c r="E19395" s="4">
        <f>IFERROR(__xludf.DUMMYFUNCTION("""COMPUTED_VALUE"""),80.207323)</f>
        <v>80.207323</v>
      </c>
      <c r="F19395" s="4">
        <f>IFERROR(__xludf.DUMMYFUNCTION("""COMPUTED_VALUE"""),805.0)</f>
        <v>805</v>
      </c>
      <c r="G19395" s="4">
        <f>IFERROR(__xludf.DUMMYFUNCTION("""COMPUTED_VALUE"""),54.0)</f>
        <v>54</v>
      </c>
      <c r="H19395" s="4"/>
      <c r="I19395" s="4"/>
    </row>
    <row r="19396">
      <c r="A19396" s="4" t="str">
        <f>IFERROR(__xludf.DUMMYFUNCTION("""COMPUTED_VALUE"""),"cas_hmw")</f>
        <v>cas_hmw</v>
      </c>
      <c r="B19396" s="5">
        <f>IFERROR(__xludf.DUMMYFUNCTION("""COMPUTED_VALUE"""),44777.0)</f>
        <v>44777</v>
      </c>
      <c r="C19396" s="6">
        <f>IFERROR(__xludf.DUMMYFUNCTION("""COMPUTED_VALUE"""),0.7226620370383898)</f>
        <v>0.722662037</v>
      </c>
      <c r="D19396" s="4">
        <f>IFERROR(__xludf.DUMMYFUNCTION("""COMPUTED_VALUE"""),13.007865)</f>
        <v>13.007865</v>
      </c>
      <c r="E19396" s="4">
        <f>IFERROR(__xludf.DUMMYFUNCTION("""COMPUTED_VALUE"""),80.207323)</f>
        <v>80.207323</v>
      </c>
      <c r="F19396" s="4">
        <f>IFERROR(__xludf.DUMMYFUNCTION("""COMPUTED_VALUE"""),805.0)</f>
        <v>805</v>
      </c>
      <c r="G19396" s="4">
        <f>IFERROR(__xludf.DUMMYFUNCTION("""COMPUTED_VALUE"""),54.0)</f>
        <v>54</v>
      </c>
      <c r="H19396" s="4"/>
      <c r="I19396" s="4"/>
    </row>
    <row r="19397">
      <c r="A19397" s="4" t="str">
        <f>IFERROR(__xludf.DUMMYFUNCTION("""COMPUTED_VALUE"""),"cas_hmw")</f>
        <v>cas_hmw</v>
      </c>
      <c r="B19397" s="5">
        <f>IFERROR(__xludf.DUMMYFUNCTION("""COMPUTED_VALUE"""),44777.0)</f>
        <v>44777</v>
      </c>
      <c r="C19397" s="6">
        <f>IFERROR(__xludf.DUMMYFUNCTION("""COMPUTED_VALUE"""),0.7230092592581059)</f>
        <v>0.7230092593</v>
      </c>
      <c r="D19397" s="4">
        <f>IFERROR(__xludf.DUMMYFUNCTION("""COMPUTED_VALUE"""),13.008614)</f>
        <v>13.008614</v>
      </c>
      <c r="E19397" s="4">
        <f>IFERROR(__xludf.DUMMYFUNCTION("""COMPUTED_VALUE"""),80.210689)</f>
        <v>80.210689</v>
      </c>
      <c r="F19397" s="4">
        <f>IFERROR(__xludf.DUMMYFUNCTION("""COMPUTED_VALUE"""),805.0)</f>
        <v>805</v>
      </c>
      <c r="G19397" s="4">
        <f>IFERROR(__xludf.DUMMYFUNCTION("""COMPUTED_VALUE"""),40.0)</f>
        <v>40</v>
      </c>
      <c r="H19397" s="4"/>
      <c r="I19397" s="4"/>
    </row>
    <row r="19398">
      <c r="A19398" s="4" t="str">
        <f>IFERROR(__xludf.DUMMYFUNCTION("""COMPUTED_VALUE"""),"cas_hmw")</f>
        <v>cas_hmw</v>
      </c>
      <c r="B19398" s="5">
        <f>IFERROR(__xludf.DUMMYFUNCTION("""COMPUTED_VALUE"""),44777.0)</f>
        <v>44777</v>
      </c>
      <c r="C19398" s="6">
        <f>IFERROR(__xludf.DUMMYFUNCTION("""COMPUTED_VALUE"""),0.7230555555543106)</f>
        <v>0.7230555556</v>
      </c>
      <c r="D19398" s="4">
        <f>IFERROR(__xludf.DUMMYFUNCTION("""COMPUTED_VALUE"""),13.009241)</f>
        <v>13.009241</v>
      </c>
      <c r="E19398" s="4">
        <f>IFERROR(__xludf.DUMMYFUNCTION("""COMPUTED_VALUE"""),80.212349)</f>
        <v>80.212349</v>
      </c>
      <c r="F19398" s="4">
        <f>IFERROR(__xludf.DUMMYFUNCTION("""COMPUTED_VALUE"""),805.0)</f>
        <v>805</v>
      </c>
      <c r="G19398" s="4">
        <f>IFERROR(__xludf.DUMMYFUNCTION("""COMPUTED_VALUE"""),35.0)</f>
        <v>35</v>
      </c>
      <c r="H19398" s="4"/>
      <c r="I19398" s="4"/>
    </row>
    <row r="19399">
      <c r="A19399" s="4" t="str">
        <f>IFERROR(__xludf.DUMMYFUNCTION("""COMPUTED_VALUE"""),"cas_hmw")</f>
        <v>cas_hmw</v>
      </c>
      <c r="B19399" s="5">
        <f>IFERROR(__xludf.DUMMYFUNCTION("""COMPUTED_VALUE"""),44777.0)</f>
        <v>44777</v>
      </c>
      <c r="C19399" s="6">
        <f>IFERROR(__xludf.DUMMYFUNCTION("""COMPUTED_VALUE"""),0.7234722222237906)</f>
        <v>0.7234722222</v>
      </c>
      <c r="D19399" s="4">
        <f>IFERROR(__xludf.DUMMYFUNCTION("""COMPUTED_VALUE"""),13.010207)</f>
        <v>13.010207</v>
      </c>
      <c r="E19399" s="4">
        <f>IFERROR(__xludf.DUMMYFUNCTION("""COMPUTED_VALUE"""),80.215355)</f>
        <v>80.215355</v>
      </c>
      <c r="F19399" s="4">
        <f>IFERROR(__xludf.DUMMYFUNCTION("""COMPUTED_VALUE"""),805.0)</f>
        <v>805</v>
      </c>
      <c r="G19399" s="4">
        <f>IFERROR(__xludf.DUMMYFUNCTION("""COMPUTED_VALUE"""),48.0)</f>
        <v>48</v>
      </c>
      <c r="H19399" s="4"/>
      <c r="I19399" s="4"/>
    </row>
    <row r="19400">
      <c r="A19400" s="4" t="str">
        <f>IFERROR(__xludf.DUMMYFUNCTION("""COMPUTED_VALUE"""),"cas_hmw")</f>
        <v>cas_hmw</v>
      </c>
      <c r="B19400" s="5">
        <f>IFERROR(__xludf.DUMMYFUNCTION("""COMPUTED_VALUE"""),44777.0)</f>
        <v>44777</v>
      </c>
      <c r="C19400" s="6">
        <f>IFERROR(__xludf.DUMMYFUNCTION("""COMPUTED_VALUE"""),0.7240277777782467)</f>
        <v>0.7240277778</v>
      </c>
      <c r="D19400" s="4">
        <f>IFERROR(__xludf.DUMMYFUNCTION("""COMPUTED_VALUE"""),13.012166)</f>
        <v>13.012166</v>
      </c>
      <c r="E19400" s="4">
        <f>IFERROR(__xludf.DUMMYFUNCTION("""COMPUTED_VALUE"""),80.220696)</f>
        <v>80.220696</v>
      </c>
      <c r="F19400" s="4">
        <f>IFERROR(__xludf.DUMMYFUNCTION("""COMPUTED_VALUE"""),805.0)</f>
        <v>805</v>
      </c>
      <c r="G19400" s="4">
        <f>IFERROR(__xludf.DUMMYFUNCTION("""COMPUTED_VALUE"""),30.0)</f>
        <v>30</v>
      </c>
      <c r="H19400" s="4"/>
      <c r="I19400" s="4"/>
    </row>
    <row r="19401">
      <c r="A19401" s="4" t="str">
        <f>IFERROR(__xludf.DUMMYFUNCTION("""COMPUTED_VALUE"""),"cas_hmw")</f>
        <v>cas_hmw</v>
      </c>
      <c r="B19401" s="5">
        <f>IFERROR(__xludf.DUMMYFUNCTION("""COMPUTED_VALUE"""),44777.0)</f>
        <v>44777</v>
      </c>
      <c r="C19401" s="6">
        <f>IFERROR(__xludf.DUMMYFUNCTION("""COMPUTED_VALUE"""),0.7241782407400024)</f>
        <v>0.7241782407</v>
      </c>
      <c r="D19401" s="4">
        <f>IFERROR(__xludf.DUMMYFUNCTION("""COMPUTED_VALUE"""),13.012331)</f>
        <v>13.012331</v>
      </c>
      <c r="E19401" s="4">
        <f>IFERROR(__xludf.DUMMYFUNCTION("""COMPUTED_VALUE"""),80.221185)</f>
        <v>80.221185</v>
      </c>
      <c r="F19401" s="4">
        <f>IFERROR(__xludf.DUMMYFUNCTION("""COMPUTED_VALUE"""),805.0)</f>
        <v>805</v>
      </c>
      <c r="G19401" s="4">
        <f>IFERROR(__xludf.DUMMYFUNCTION("""COMPUTED_VALUE"""),0.0)</f>
        <v>0</v>
      </c>
      <c r="H19401" s="4"/>
      <c r="I19401" s="4"/>
    </row>
    <row r="19402">
      <c r="A19402" s="4" t="str">
        <f>IFERROR(__xludf.DUMMYFUNCTION("""COMPUTED_VALUE"""),"cas_hmw")</f>
        <v>cas_hmw</v>
      </c>
      <c r="B19402" s="5">
        <f>IFERROR(__xludf.DUMMYFUNCTION("""COMPUTED_VALUE"""),44777.0)</f>
        <v>44777</v>
      </c>
      <c r="C19402" s="6">
        <f>IFERROR(__xludf.DUMMYFUNCTION("""COMPUTED_VALUE"""),0.7246064814826241)</f>
        <v>0.7246064815</v>
      </c>
      <c r="D19402" s="4">
        <f>IFERROR(__xludf.DUMMYFUNCTION("""COMPUTED_VALUE"""),13.025932)</f>
        <v>13.025932</v>
      </c>
      <c r="E19402" s="4">
        <f>IFERROR(__xludf.DUMMYFUNCTION("""COMPUTED_VALUE"""),80.231026)</f>
        <v>80.231026</v>
      </c>
      <c r="F19402" s="4">
        <f>IFERROR(__xludf.DUMMYFUNCTION("""COMPUTED_VALUE"""),5339.0)</f>
        <v>5339</v>
      </c>
      <c r="G19402" s="4">
        <f>IFERROR(__xludf.DUMMYFUNCTION("""COMPUTED_VALUE"""),0.0)</f>
        <v>0</v>
      </c>
      <c r="H19402" s="4"/>
      <c r="I19402" s="4"/>
    </row>
    <row r="19403">
      <c r="A19403" s="4" t="str">
        <f>IFERROR(__xludf.DUMMYFUNCTION("""COMPUTED_VALUE"""),"cas_hmw")</f>
        <v>cas_hmw</v>
      </c>
      <c r="B19403" s="5">
        <f>IFERROR(__xludf.DUMMYFUNCTION("""COMPUTED_VALUE"""),44777.0)</f>
        <v>44777</v>
      </c>
      <c r="C19403" s="6">
        <f>IFERROR(__xludf.DUMMYFUNCTION("""COMPUTED_VALUE"""),0.7249999999985448)</f>
        <v>0.725</v>
      </c>
      <c r="D19403" s="4">
        <f>IFERROR(__xludf.DUMMYFUNCTION("""COMPUTED_VALUE"""),13.025932)</f>
        <v>13.025932</v>
      </c>
      <c r="E19403" s="4">
        <f>IFERROR(__xludf.DUMMYFUNCTION("""COMPUTED_VALUE"""),80.231026)</f>
        <v>80.231026</v>
      </c>
      <c r="F19403" s="4">
        <f>IFERROR(__xludf.DUMMYFUNCTION("""COMPUTED_VALUE"""),5339.0)</f>
        <v>5339</v>
      </c>
      <c r="G19403" s="4">
        <f>IFERROR(__xludf.DUMMYFUNCTION("""COMPUTED_VALUE"""),0.0)</f>
        <v>0</v>
      </c>
      <c r="H19403" s="4"/>
      <c r="I19403" s="4"/>
    </row>
    <row r="19404">
      <c r="A19404" s="4" t="str">
        <f>IFERROR(__xludf.DUMMYFUNCTION("""COMPUTED_VALUE"""),"cas_hmw")</f>
        <v>cas_hmw</v>
      </c>
      <c r="B19404" s="5">
        <f>IFERROR(__xludf.DUMMYFUNCTION("""COMPUTED_VALUE"""),44777.0)</f>
        <v>44777</v>
      </c>
      <c r="C19404" s="6">
        <f>IFERROR(__xludf.DUMMYFUNCTION("""COMPUTED_VALUE"""),0.7250231481484661)</f>
        <v>0.7250231481</v>
      </c>
      <c r="D19404" s="4">
        <f>IFERROR(__xludf.DUMMYFUNCTION("""COMPUTED_VALUE"""),13.025932)</f>
        <v>13.025932</v>
      </c>
      <c r="E19404" s="4">
        <f>IFERROR(__xludf.DUMMYFUNCTION("""COMPUTED_VALUE"""),80.231026)</f>
        <v>80.231026</v>
      </c>
      <c r="F19404" s="4">
        <f>IFERROR(__xludf.DUMMYFUNCTION("""COMPUTED_VALUE"""),5339.0)</f>
        <v>5339</v>
      </c>
      <c r="G19404" s="4">
        <f>IFERROR(__xludf.DUMMYFUNCTION("""COMPUTED_VALUE"""),0.0)</f>
        <v>0</v>
      </c>
      <c r="H19404" s="4"/>
      <c r="I19404" s="4"/>
    </row>
    <row r="19405">
      <c r="A19405" s="4" t="str">
        <f>IFERROR(__xludf.DUMMYFUNCTION("""COMPUTED_VALUE"""),"cas_hmw")</f>
        <v>cas_hmw</v>
      </c>
      <c r="B19405" s="5">
        <f>IFERROR(__xludf.DUMMYFUNCTION("""COMPUTED_VALUE"""),44777.0)</f>
        <v>44777</v>
      </c>
      <c r="C19405" s="6">
        <f>IFERROR(__xludf.DUMMYFUNCTION("""COMPUTED_VALUE"""),0.7252314814832062)</f>
        <v>0.7252314815</v>
      </c>
      <c r="D19405" s="4">
        <f>IFERROR(__xludf.DUMMYFUNCTION("""COMPUTED_VALUE"""),13.015462)</f>
        <v>13.015462</v>
      </c>
      <c r="E19405" s="4">
        <f>IFERROR(__xludf.DUMMYFUNCTION("""COMPUTED_VALUE"""),80.225492)</f>
        <v>80.225492</v>
      </c>
      <c r="F19405" s="4">
        <f>IFERROR(__xludf.DUMMYFUNCTION("""COMPUTED_VALUE"""),805.0)</f>
        <v>805</v>
      </c>
      <c r="G19405" s="4">
        <f>IFERROR(__xludf.DUMMYFUNCTION("""COMPUTED_VALUE"""),8.0)</f>
        <v>8</v>
      </c>
      <c r="H19405" s="4"/>
      <c r="I19405" s="4"/>
    </row>
    <row r="19406">
      <c r="A19406" s="4" t="str">
        <f>IFERROR(__xludf.DUMMYFUNCTION("""COMPUTED_VALUE"""),"cas_hmw")</f>
        <v>cas_hmw</v>
      </c>
      <c r="B19406" s="5">
        <f>IFERROR(__xludf.DUMMYFUNCTION("""COMPUTED_VALUE"""),44777.0)</f>
        <v>44777</v>
      </c>
      <c r="C19406" s="6">
        <f>IFERROR(__xludf.DUMMYFUNCTION("""COMPUTED_VALUE"""),0.7252662037026312)</f>
        <v>0.7252662037</v>
      </c>
      <c r="D19406" s="4">
        <f>IFERROR(__xludf.DUMMYFUNCTION("""COMPUTED_VALUE"""),13.028218)</f>
        <v>13.028218</v>
      </c>
      <c r="E19406" s="4">
        <f>IFERROR(__xludf.DUMMYFUNCTION("""COMPUTED_VALUE"""),80.235612)</f>
        <v>80.235612</v>
      </c>
      <c r="F19406" s="4">
        <f>IFERROR(__xludf.DUMMYFUNCTION("""COMPUTED_VALUE"""),5339.0)</f>
        <v>5339</v>
      </c>
      <c r="G19406" s="4">
        <f>IFERROR(__xludf.DUMMYFUNCTION("""COMPUTED_VALUE"""),40.0)</f>
        <v>40</v>
      </c>
      <c r="H19406" s="4"/>
      <c r="I19406" s="4"/>
    </row>
    <row r="19407">
      <c r="A19407" s="4" t="str">
        <f>IFERROR(__xludf.DUMMYFUNCTION("""COMPUTED_VALUE"""),"cas_hmw")</f>
        <v>cas_hmw</v>
      </c>
      <c r="B19407" s="5">
        <f>IFERROR(__xludf.DUMMYFUNCTION("""COMPUTED_VALUE"""),44777.0)</f>
        <v>44777</v>
      </c>
      <c r="C19407" s="6">
        <f>IFERROR(__xludf.DUMMYFUNCTION("""COMPUTED_VALUE"""),0.7253703703718202)</f>
        <v>0.7253703704</v>
      </c>
      <c r="D19407" s="4">
        <f>IFERROR(__xludf.DUMMYFUNCTION("""COMPUTED_VALUE"""),13.01503)</f>
        <v>13.01503</v>
      </c>
      <c r="E19407" s="4">
        <f>IFERROR(__xludf.DUMMYFUNCTION("""COMPUTED_VALUE"""),80.22593)</f>
        <v>80.22593</v>
      </c>
      <c r="F19407" s="4">
        <f>IFERROR(__xludf.DUMMYFUNCTION("""COMPUTED_VALUE"""),805.0)</f>
        <v>805</v>
      </c>
      <c r="G19407" s="4">
        <f>IFERROR(__xludf.DUMMYFUNCTION("""COMPUTED_VALUE"""),20.0)</f>
        <v>20</v>
      </c>
      <c r="H19407" s="4"/>
      <c r="I19407" s="4"/>
    </row>
    <row r="19408">
      <c r="A19408" s="4" t="str">
        <f>IFERROR(__xludf.DUMMYFUNCTION("""COMPUTED_VALUE"""),"cas_hmw")</f>
        <v>cas_hmw</v>
      </c>
      <c r="B19408" s="5">
        <f>IFERROR(__xludf.DUMMYFUNCTION("""COMPUTED_VALUE"""),44777.0)</f>
        <v>44777</v>
      </c>
      <c r="C19408" s="6">
        <f>IFERROR(__xludf.DUMMYFUNCTION("""COMPUTED_VALUE"""),0.7255092592604342)</f>
        <v>0.7255092593</v>
      </c>
      <c r="D19408" s="4">
        <f>IFERROR(__xludf.DUMMYFUNCTION("""COMPUTED_VALUE"""),13.014143)</f>
        <v>13.014143</v>
      </c>
      <c r="E19408" s="4">
        <f>IFERROR(__xludf.DUMMYFUNCTION("""COMPUTED_VALUE"""),80.226304)</f>
        <v>80.226304</v>
      </c>
      <c r="F19408" s="4">
        <f>IFERROR(__xludf.DUMMYFUNCTION("""COMPUTED_VALUE"""),805.0)</f>
        <v>805</v>
      </c>
      <c r="G19408" s="4">
        <f>IFERROR(__xludf.DUMMYFUNCTION("""COMPUTED_VALUE"""),26.0)</f>
        <v>26</v>
      </c>
      <c r="H19408" s="4"/>
      <c r="I19408" s="4"/>
    </row>
    <row r="19409">
      <c r="A19409" s="4" t="str">
        <f>IFERROR(__xludf.DUMMYFUNCTION("""COMPUTED_VALUE"""),"cas_hmw")</f>
        <v>cas_hmw</v>
      </c>
      <c r="B19409" s="5">
        <f>IFERROR(__xludf.DUMMYFUNCTION("""COMPUTED_VALUE"""),44777.0)</f>
        <v>44777</v>
      </c>
      <c r="C19409" s="6">
        <f>IFERROR(__xludf.DUMMYFUNCTION("""COMPUTED_VALUE"""),0.7255092592604342)</f>
        <v>0.7255092593</v>
      </c>
      <c r="D19409" s="4">
        <f>IFERROR(__xludf.DUMMYFUNCTION("""COMPUTED_VALUE"""),12.987704)</f>
        <v>12.987704</v>
      </c>
      <c r="E19409" s="4">
        <f>IFERROR(__xludf.DUMMYFUNCTION("""COMPUTED_VALUE"""),80.14203)</f>
        <v>80.14203</v>
      </c>
      <c r="F19409" s="4">
        <f>IFERROR(__xludf.DUMMYFUNCTION("""COMPUTED_VALUE"""),3143.0)</f>
        <v>3143</v>
      </c>
      <c r="G19409" s="4">
        <f>IFERROR(__xludf.DUMMYFUNCTION("""COMPUTED_VALUE"""),0.0)</f>
        <v>0</v>
      </c>
      <c r="H19409" s="4"/>
      <c r="I19409" s="4"/>
    </row>
    <row r="19410">
      <c r="A19410" s="4" t="str">
        <f>IFERROR(__xludf.DUMMYFUNCTION("""COMPUTED_VALUE"""),"cas_hmw")</f>
        <v>cas_hmw</v>
      </c>
      <c r="B19410" s="5">
        <f>IFERROR(__xludf.DUMMYFUNCTION("""COMPUTED_VALUE"""),44777.0)</f>
        <v>44777</v>
      </c>
      <c r="C19410" s="6">
        <f>IFERROR(__xludf.DUMMYFUNCTION("""COMPUTED_VALUE"""),0.7261226851842366)</f>
        <v>0.7261226852</v>
      </c>
      <c r="D19410" s="4">
        <f>IFERROR(__xludf.DUMMYFUNCTION("""COMPUTED_VALUE"""),13.010152)</f>
        <v>13.010152</v>
      </c>
      <c r="E19410" s="4">
        <f>IFERROR(__xludf.DUMMYFUNCTION("""COMPUTED_VALUE"""),80.227914)</f>
        <v>80.227914</v>
      </c>
      <c r="F19410" s="4">
        <f>IFERROR(__xludf.DUMMYFUNCTION("""COMPUTED_VALUE"""),805.0)</f>
        <v>805</v>
      </c>
      <c r="G19410" s="4">
        <f>IFERROR(__xludf.DUMMYFUNCTION("""COMPUTED_VALUE"""),34.0)</f>
        <v>34</v>
      </c>
      <c r="H19410" s="4"/>
      <c r="I19410" s="4"/>
    </row>
    <row r="19411">
      <c r="A19411" s="4" t="str">
        <f>IFERROR(__xludf.DUMMYFUNCTION("""COMPUTED_VALUE"""),"cas_hmw")</f>
        <v>cas_hmw</v>
      </c>
      <c r="B19411" s="5">
        <f>IFERROR(__xludf.DUMMYFUNCTION("""COMPUTED_VALUE"""),44777.0)</f>
        <v>44777</v>
      </c>
      <c r="C19411" s="6">
        <f>IFERROR(__xludf.DUMMYFUNCTION("""COMPUTED_VALUE"""),0.726249999999709)</f>
        <v>0.72625</v>
      </c>
      <c r="D19411" s="4">
        <f>IFERROR(__xludf.DUMMYFUNCTION("""COMPUTED_VALUE"""),13.009157)</f>
        <v>13.009157</v>
      </c>
      <c r="E19411" s="4">
        <f>IFERROR(__xludf.DUMMYFUNCTION("""COMPUTED_VALUE"""),80.228761)</f>
        <v>80.228761</v>
      </c>
      <c r="F19411" s="4">
        <f>IFERROR(__xludf.DUMMYFUNCTION("""COMPUTED_VALUE"""),805.0)</f>
        <v>805</v>
      </c>
      <c r="G19411" s="4">
        <f>IFERROR(__xludf.DUMMYFUNCTION("""COMPUTED_VALUE"""),35.0)</f>
        <v>35</v>
      </c>
      <c r="H19411" s="4"/>
      <c r="I19411" s="4"/>
    </row>
    <row r="19412">
      <c r="A19412" s="4" t="str">
        <f>IFERROR(__xludf.DUMMYFUNCTION("""COMPUTED_VALUE"""),"cas_hmw")</f>
        <v>cas_hmw</v>
      </c>
      <c r="B19412" s="5">
        <f>IFERROR(__xludf.DUMMYFUNCTION("""COMPUTED_VALUE"""),44777.0)</f>
        <v>44777</v>
      </c>
      <c r="C19412" s="6">
        <f>IFERROR(__xludf.DUMMYFUNCTION("""COMPUTED_VALUE"""),0.7293749999989814)</f>
        <v>0.729375</v>
      </c>
      <c r="D19412" s="4">
        <f>IFERROR(__xludf.DUMMYFUNCTION("""COMPUTED_VALUE"""),13.006891)</f>
        <v>13.006891</v>
      </c>
      <c r="E19412" s="4">
        <f>IFERROR(__xludf.DUMMYFUNCTION("""COMPUTED_VALUE"""),80.240069)</f>
        <v>80.240069</v>
      </c>
      <c r="F19412" s="4">
        <f>IFERROR(__xludf.DUMMYFUNCTION("""COMPUTED_VALUE"""),805.0)</f>
        <v>805</v>
      </c>
      <c r="G19412" s="4">
        <f>IFERROR(__xludf.DUMMYFUNCTION("""COMPUTED_VALUE"""),22.0)</f>
        <v>22</v>
      </c>
      <c r="H19412" s="4"/>
      <c r="I19412" s="4"/>
    </row>
    <row r="19413">
      <c r="A19413" s="4" t="str">
        <f>IFERROR(__xludf.DUMMYFUNCTION("""COMPUTED_VALUE"""),"cas_hmw")</f>
        <v>cas_hmw</v>
      </c>
      <c r="B19413" s="5">
        <f>IFERROR(__xludf.DUMMYFUNCTION("""COMPUTED_VALUE"""),44777.0)</f>
        <v>44777</v>
      </c>
      <c r="C19413" s="6">
        <f>IFERROR(__xludf.DUMMYFUNCTION("""COMPUTED_VALUE"""),0.7306018518502242)</f>
        <v>0.7306018519</v>
      </c>
      <c r="D19413" s="4">
        <f>IFERROR(__xludf.DUMMYFUNCTION("""COMPUTED_VALUE"""),13.00677)</f>
        <v>13.00677</v>
      </c>
      <c r="E19413" s="4">
        <f>IFERROR(__xludf.DUMMYFUNCTION("""COMPUTED_VALUE"""),80.247181)</f>
        <v>80.247181</v>
      </c>
      <c r="F19413" s="4">
        <f>IFERROR(__xludf.DUMMYFUNCTION("""COMPUTED_VALUE"""),805.0)</f>
        <v>805</v>
      </c>
      <c r="G19413" s="4">
        <f>IFERROR(__xludf.DUMMYFUNCTION("""COMPUTED_VALUE"""),32.0)</f>
        <v>32</v>
      </c>
      <c r="H19413" s="4"/>
      <c r="I19413" s="4"/>
    </row>
    <row r="19414">
      <c r="A19414" s="4" t="str">
        <f>IFERROR(__xludf.DUMMYFUNCTION("""COMPUTED_VALUE"""),"cas_hmw")</f>
        <v>cas_hmw</v>
      </c>
      <c r="B19414" s="5">
        <f>IFERROR(__xludf.DUMMYFUNCTION("""COMPUTED_VALUE"""),44777.0)</f>
        <v>44777</v>
      </c>
      <c r="C19414" s="6">
        <f>IFERROR(__xludf.DUMMYFUNCTION("""COMPUTED_VALUE"""),0.7306828703694919)</f>
        <v>0.7306828704</v>
      </c>
      <c r="D19414" s="4">
        <f>IFERROR(__xludf.DUMMYFUNCTION("""COMPUTED_VALUE"""),12.97507)</f>
        <v>12.97507</v>
      </c>
      <c r="E19414" s="4">
        <f>IFERROR(__xludf.DUMMYFUNCTION("""COMPUTED_VALUE"""),80.13266)</f>
        <v>80.13266</v>
      </c>
      <c r="F19414" s="4">
        <f>IFERROR(__xludf.DUMMYFUNCTION("""COMPUTED_VALUE"""),3143.0)</f>
        <v>3143</v>
      </c>
      <c r="G19414" s="4">
        <f>IFERROR(__xludf.DUMMYFUNCTION("""COMPUTED_VALUE"""),21.0)</f>
        <v>21</v>
      </c>
      <c r="H19414" s="4"/>
      <c r="I19414" s="4"/>
    </row>
    <row r="19415">
      <c r="A19415" s="4" t="str">
        <f>IFERROR(__xludf.DUMMYFUNCTION("""COMPUTED_VALUE"""),"cas_hmw")</f>
        <v>cas_hmw</v>
      </c>
      <c r="B19415" s="5">
        <f>IFERROR(__xludf.DUMMYFUNCTION("""COMPUTED_VALUE"""),44777.0)</f>
        <v>44777</v>
      </c>
      <c r="C19415" s="6">
        <f>IFERROR(__xludf.DUMMYFUNCTION("""COMPUTED_VALUE"""),0.7323032407402934)</f>
        <v>0.7323032407</v>
      </c>
      <c r="D19415" s="4">
        <f>IFERROR(__xludf.DUMMYFUNCTION("""COMPUTED_VALUE"""),13.006938)</f>
        <v>13.006938</v>
      </c>
      <c r="E19415" s="4">
        <f>IFERROR(__xludf.DUMMYFUNCTION("""COMPUTED_VALUE"""),80.251224)</f>
        <v>80.251224</v>
      </c>
      <c r="F19415" s="4">
        <f>IFERROR(__xludf.DUMMYFUNCTION("""COMPUTED_VALUE"""),805.0)</f>
        <v>805</v>
      </c>
      <c r="G19415" s="4">
        <f>IFERROR(__xludf.DUMMYFUNCTION("""COMPUTED_VALUE"""),12.0)</f>
        <v>12</v>
      </c>
      <c r="H19415" s="4"/>
      <c r="I19415" s="4"/>
    </row>
    <row r="19416">
      <c r="A19416" s="4" t="str">
        <f>IFERROR(__xludf.DUMMYFUNCTION("""COMPUTED_VALUE"""),"cas_hmw")</f>
        <v>cas_hmw</v>
      </c>
      <c r="B19416" s="5">
        <f>IFERROR(__xludf.DUMMYFUNCTION("""COMPUTED_VALUE"""),44777.0)</f>
        <v>44777</v>
      </c>
      <c r="C19416" s="6">
        <f>IFERROR(__xludf.DUMMYFUNCTION("""COMPUTED_VALUE"""),0.7326157407405844)</f>
        <v>0.7326157407</v>
      </c>
      <c r="D19416" s="4">
        <f>IFERROR(__xludf.DUMMYFUNCTION("""COMPUTED_VALUE"""),13.006604)</f>
        <v>13.006604</v>
      </c>
      <c r="E19416" s="4">
        <f>IFERROR(__xludf.DUMMYFUNCTION("""COMPUTED_VALUE"""),80.252439)</f>
        <v>80.252439</v>
      </c>
      <c r="F19416" s="4">
        <f>IFERROR(__xludf.DUMMYFUNCTION("""COMPUTED_VALUE"""),805.0)</f>
        <v>805</v>
      </c>
      <c r="G19416" s="4">
        <f>IFERROR(__xludf.DUMMYFUNCTION("""COMPUTED_VALUE"""),17.0)</f>
        <v>17</v>
      </c>
      <c r="H19416" s="4"/>
      <c r="I19416" s="4"/>
    </row>
    <row r="19417">
      <c r="A19417" s="4" t="str">
        <f>IFERROR(__xludf.DUMMYFUNCTION("""COMPUTED_VALUE"""),"cas_hmw")</f>
        <v>cas_hmw</v>
      </c>
      <c r="B19417" s="5">
        <f>IFERROR(__xludf.DUMMYFUNCTION("""COMPUTED_VALUE"""),44777.0)</f>
        <v>44777</v>
      </c>
      <c r="C19417" s="6">
        <f>IFERROR(__xludf.DUMMYFUNCTION("""COMPUTED_VALUE"""),0.7328356481484661)</f>
        <v>0.7328356481</v>
      </c>
      <c r="D19417" s="4">
        <f>IFERROR(__xludf.DUMMYFUNCTION("""COMPUTED_VALUE"""),12.98313)</f>
        <v>12.98313</v>
      </c>
      <c r="E19417" s="4">
        <f>IFERROR(__xludf.DUMMYFUNCTION("""COMPUTED_VALUE"""),80.128249)</f>
        <v>80.128249</v>
      </c>
      <c r="F19417" s="4">
        <f>IFERROR(__xludf.DUMMYFUNCTION("""COMPUTED_VALUE"""),3143.0)</f>
        <v>3143</v>
      </c>
      <c r="G19417" s="4">
        <f>IFERROR(__xludf.DUMMYFUNCTION("""COMPUTED_VALUE"""),17.0)</f>
        <v>17</v>
      </c>
      <c r="H19417" s="4"/>
      <c r="I19417" s="4"/>
    </row>
    <row r="19418">
      <c r="A19418" s="4" t="str">
        <f>IFERROR(__xludf.DUMMYFUNCTION("""COMPUTED_VALUE"""),"cas_hmw")</f>
        <v>cas_hmw</v>
      </c>
      <c r="B19418" s="5">
        <f>IFERROR(__xludf.DUMMYFUNCTION("""COMPUTED_VALUE"""),44777.0)</f>
        <v>44777</v>
      </c>
      <c r="C19418" s="6">
        <f>IFERROR(__xludf.DUMMYFUNCTION("""COMPUTED_VALUE"""),0.7328587962947495)</f>
        <v>0.7328587963</v>
      </c>
      <c r="D19418" s="4">
        <f>IFERROR(__xludf.DUMMYFUNCTION("""COMPUTED_VALUE"""),12.98313)</f>
        <v>12.98313</v>
      </c>
      <c r="E19418" s="4">
        <f>IFERROR(__xludf.DUMMYFUNCTION("""COMPUTED_VALUE"""),80.128249)</f>
        <v>80.128249</v>
      </c>
      <c r="F19418" s="4">
        <f>IFERROR(__xludf.DUMMYFUNCTION("""COMPUTED_VALUE"""),3143.0)</f>
        <v>3143</v>
      </c>
      <c r="G19418" s="4">
        <f>IFERROR(__xludf.DUMMYFUNCTION("""COMPUTED_VALUE"""),17.0)</f>
        <v>17</v>
      </c>
      <c r="H19418" s="4"/>
      <c r="I19418" s="4"/>
    </row>
    <row r="19419">
      <c r="A19419" s="4" t="str">
        <f>IFERROR(__xludf.DUMMYFUNCTION("""COMPUTED_VALUE"""),"cas_hmw")</f>
        <v>cas_hmw</v>
      </c>
      <c r="B19419" s="5">
        <f>IFERROR(__xludf.DUMMYFUNCTION("""COMPUTED_VALUE"""),44777.0)</f>
        <v>44777</v>
      </c>
      <c r="C19419" s="6">
        <f>IFERROR(__xludf.DUMMYFUNCTION("""COMPUTED_VALUE"""),0.7328587962947495)</f>
        <v>0.7328587963</v>
      </c>
      <c r="D19419" s="4">
        <f>IFERROR(__xludf.DUMMYFUNCTION("""COMPUTED_VALUE"""),12.98313)</f>
        <v>12.98313</v>
      </c>
      <c r="E19419" s="4">
        <f>IFERROR(__xludf.DUMMYFUNCTION("""COMPUTED_VALUE"""),80.128249)</f>
        <v>80.128249</v>
      </c>
      <c r="F19419" s="4">
        <f>IFERROR(__xludf.DUMMYFUNCTION("""COMPUTED_VALUE"""),3143.0)</f>
        <v>3143</v>
      </c>
      <c r="G19419" s="4">
        <f>IFERROR(__xludf.DUMMYFUNCTION("""COMPUTED_VALUE"""),17.0)</f>
        <v>17</v>
      </c>
      <c r="H19419" s="4"/>
      <c r="I19419" s="4"/>
    </row>
    <row r="19420">
      <c r="A19420" s="4" t="str">
        <f>IFERROR(__xludf.DUMMYFUNCTION("""COMPUTED_VALUE"""),"cas_hmw")</f>
        <v>cas_hmw</v>
      </c>
      <c r="B19420" s="5">
        <f>IFERROR(__xludf.DUMMYFUNCTION("""COMPUTED_VALUE"""),44777.0)</f>
        <v>44777</v>
      </c>
      <c r="C19420" s="6">
        <f>IFERROR(__xludf.DUMMYFUNCTION("""COMPUTED_VALUE"""),0.7329398148140172)</f>
        <v>0.7329398148</v>
      </c>
      <c r="D19420" s="4">
        <f>IFERROR(__xludf.DUMMYFUNCTION("""COMPUTED_VALUE"""),12.983254)</f>
        <v>12.983254</v>
      </c>
      <c r="E19420" s="4">
        <f>IFERROR(__xludf.DUMMYFUNCTION("""COMPUTED_VALUE"""),80.127314)</f>
        <v>80.127314</v>
      </c>
      <c r="F19420" s="4">
        <f>IFERROR(__xludf.DUMMYFUNCTION("""COMPUTED_VALUE"""),3143.0)</f>
        <v>3143</v>
      </c>
      <c r="G19420" s="4">
        <f>IFERROR(__xludf.DUMMYFUNCTION("""COMPUTED_VALUE"""),22.0)</f>
        <v>22</v>
      </c>
      <c r="H19420" s="4"/>
      <c r="I19420" s="4"/>
    </row>
    <row r="19421">
      <c r="A19421" s="4" t="str">
        <f>IFERROR(__xludf.DUMMYFUNCTION("""COMPUTED_VALUE"""),"cas_hmw")</f>
        <v>cas_hmw</v>
      </c>
      <c r="B19421" s="5">
        <f>IFERROR(__xludf.DUMMYFUNCTION("""COMPUTED_VALUE"""),44777.0)</f>
        <v>44777</v>
      </c>
      <c r="C19421" s="6">
        <f>IFERROR(__xludf.DUMMYFUNCTION("""COMPUTED_VALUE"""),0.7330324074064265)</f>
        <v>0.7330324074</v>
      </c>
      <c r="D19421" s="4">
        <f>IFERROR(__xludf.DUMMYFUNCTION("""COMPUTED_VALUE"""),12.983254)</f>
        <v>12.983254</v>
      </c>
      <c r="E19421" s="4">
        <f>IFERROR(__xludf.DUMMYFUNCTION("""COMPUTED_VALUE"""),80.127314)</f>
        <v>80.127314</v>
      </c>
      <c r="F19421" s="4">
        <f>IFERROR(__xludf.DUMMYFUNCTION("""COMPUTED_VALUE"""),3143.0)</f>
        <v>3143</v>
      </c>
      <c r="G19421" s="4">
        <f>IFERROR(__xludf.DUMMYFUNCTION("""COMPUTED_VALUE"""),22.0)</f>
        <v>22</v>
      </c>
      <c r="H19421" s="4"/>
      <c r="I19421" s="4"/>
    </row>
    <row r="19422">
      <c r="A19422" s="4" t="str">
        <f>IFERROR(__xludf.DUMMYFUNCTION("""COMPUTED_VALUE"""),"cas_hmw")</f>
        <v>cas_hmw</v>
      </c>
      <c r="B19422" s="5">
        <f>IFERROR(__xludf.DUMMYFUNCTION("""COMPUTED_VALUE"""),44777.0)</f>
        <v>44777</v>
      </c>
      <c r="C19422" s="6">
        <f>IFERROR(__xludf.DUMMYFUNCTION("""COMPUTED_VALUE"""),0.7330439814832062)</f>
        <v>0.7330439815</v>
      </c>
      <c r="D19422" s="4">
        <f>IFERROR(__xludf.DUMMYFUNCTION("""COMPUTED_VALUE"""),12.983254)</f>
        <v>12.983254</v>
      </c>
      <c r="E19422" s="4">
        <f>IFERROR(__xludf.DUMMYFUNCTION("""COMPUTED_VALUE"""),80.127314)</f>
        <v>80.127314</v>
      </c>
      <c r="F19422" s="4">
        <f>IFERROR(__xludf.DUMMYFUNCTION("""COMPUTED_VALUE"""),3143.0)</f>
        <v>3143</v>
      </c>
      <c r="G19422" s="4">
        <f>IFERROR(__xludf.DUMMYFUNCTION("""COMPUTED_VALUE"""),22.0)</f>
        <v>22</v>
      </c>
      <c r="H19422" s="4"/>
      <c r="I19422" s="4"/>
    </row>
    <row r="19423">
      <c r="A19423" s="4" t="str">
        <f>IFERROR(__xludf.DUMMYFUNCTION("""COMPUTED_VALUE"""),"cas_hmw")</f>
        <v>cas_hmw</v>
      </c>
      <c r="B19423" s="5">
        <f>IFERROR(__xludf.DUMMYFUNCTION("""COMPUTED_VALUE"""),44777.0)</f>
        <v>44777</v>
      </c>
      <c r="C19423" s="6">
        <f>IFERROR(__xludf.DUMMYFUNCTION("""COMPUTED_VALUE"""),0.7330671296294895)</f>
        <v>0.7330671296</v>
      </c>
      <c r="D19423" s="4">
        <f>IFERROR(__xludf.DUMMYFUNCTION("""COMPUTED_VALUE"""),12.983254)</f>
        <v>12.983254</v>
      </c>
      <c r="E19423" s="4">
        <f>IFERROR(__xludf.DUMMYFUNCTION("""COMPUTED_VALUE"""),80.127314)</f>
        <v>80.127314</v>
      </c>
      <c r="F19423" s="4">
        <f>IFERROR(__xludf.DUMMYFUNCTION("""COMPUTED_VALUE"""),3143.0)</f>
        <v>3143</v>
      </c>
      <c r="G19423" s="4">
        <f>IFERROR(__xludf.DUMMYFUNCTION("""COMPUTED_VALUE"""),22.0)</f>
        <v>22</v>
      </c>
      <c r="H19423" s="4"/>
      <c r="I19423" s="4"/>
    </row>
    <row r="19424">
      <c r="A19424" s="4" t="str">
        <f>IFERROR(__xludf.DUMMYFUNCTION("""COMPUTED_VALUE"""),"cas_hmw")</f>
        <v>cas_hmw</v>
      </c>
      <c r="B19424" s="5">
        <f>IFERROR(__xludf.DUMMYFUNCTION("""COMPUTED_VALUE"""),44777.0)</f>
        <v>44777</v>
      </c>
      <c r="C19424" s="6">
        <f>IFERROR(__xludf.DUMMYFUNCTION("""COMPUTED_VALUE"""),0.7330902777794108)</f>
        <v>0.7330902778</v>
      </c>
      <c r="D19424" s="4">
        <f>IFERROR(__xludf.DUMMYFUNCTION("""COMPUTED_VALUE"""),12.983254)</f>
        <v>12.983254</v>
      </c>
      <c r="E19424" s="4">
        <f>IFERROR(__xludf.DUMMYFUNCTION("""COMPUTED_VALUE"""),80.127314)</f>
        <v>80.127314</v>
      </c>
      <c r="F19424" s="4">
        <f>IFERROR(__xludf.DUMMYFUNCTION("""COMPUTED_VALUE"""),3143.0)</f>
        <v>3143</v>
      </c>
      <c r="G19424" s="4">
        <f>IFERROR(__xludf.DUMMYFUNCTION("""COMPUTED_VALUE"""),22.0)</f>
        <v>22</v>
      </c>
      <c r="H19424" s="4"/>
      <c r="I19424" s="4"/>
    </row>
    <row r="19425">
      <c r="A19425" s="4" t="str">
        <f>IFERROR(__xludf.DUMMYFUNCTION("""COMPUTED_VALUE"""),"cas_hmw")</f>
        <v>cas_hmw</v>
      </c>
      <c r="B19425" s="5">
        <f>IFERROR(__xludf.DUMMYFUNCTION("""COMPUTED_VALUE"""),44777.0)</f>
        <v>44777</v>
      </c>
      <c r="C19425" s="6">
        <f>IFERROR(__xludf.DUMMYFUNCTION("""COMPUTED_VALUE"""),0.7330902777794108)</f>
        <v>0.7330902778</v>
      </c>
      <c r="D19425" s="4">
        <f>IFERROR(__xludf.DUMMYFUNCTION("""COMPUTED_VALUE"""),12.983254)</f>
        <v>12.983254</v>
      </c>
      <c r="E19425" s="4">
        <f>IFERROR(__xludf.DUMMYFUNCTION("""COMPUTED_VALUE"""),80.127314)</f>
        <v>80.127314</v>
      </c>
      <c r="F19425" s="4">
        <f>IFERROR(__xludf.DUMMYFUNCTION("""COMPUTED_VALUE"""),3143.0)</f>
        <v>3143</v>
      </c>
      <c r="G19425" s="4">
        <f>IFERROR(__xludf.DUMMYFUNCTION("""COMPUTED_VALUE"""),22.0)</f>
        <v>22</v>
      </c>
      <c r="H19425" s="4"/>
      <c r="I19425" s="4"/>
    </row>
    <row r="19426">
      <c r="A19426" s="4" t="str">
        <f>IFERROR(__xludf.DUMMYFUNCTION("""COMPUTED_VALUE"""),"cas_hmw")</f>
        <v>cas_hmw</v>
      </c>
      <c r="B19426" s="5">
        <f>IFERROR(__xludf.DUMMYFUNCTION("""COMPUTED_VALUE"""),44777.0)</f>
        <v>44777</v>
      </c>
      <c r="C19426" s="6">
        <f>IFERROR(__xludf.DUMMYFUNCTION("""COMPUTED_VALUE"""),0.7331018518525525)</f>
        <v>0.7331018519</v>
      </c>
      <c r="D19426" s="4">
        <f>IFERROR(__xludf.DUMMYFUNCTION("""COMPUTED_VALUE"""),12.983384)</f>
        <v>12.983384</v>
      </c>
      <c r="E19426" s="4">
        <f>IFERROR(__xludf.DUMMYFUNCTION("""COMPUTED_VALUE"""),80.126537)</f>
        <v>80.126537</v>
      </c>
      <c r="F19426" s="4">
        <f>IFERROR(__xludf.DUMMYFUNCTION("""COMPUTED_VALUE"""),3143.0)</f>
        <v>3143</v>
      </c>
      <c r="G19426" s="4">
        <f>IFERROR(__xludf.DUMMYFUNCTION("""COMPUTED_VALUE"""),18.0)</f>
        <v>18</v>
      </c>
      <c r="H19426" s="4"/>
      <c r="I19426" s="4"/>
    </row>
    <row r="19427">
      <c r="A19427" s="4" t="str">
        <f>IFERROR(__xludf.DUMMYFUNCTION("""COMPUTED_VALUE"""),"cas_hmw")</f>
        <v>cas_hmw</v>
      </c>
      <c r="B19427" s="5">
        <f>IFERROR(__xludf.DUMMYFUNCTION("""COMPUTED_VALUE"""),44777.0)</f>
        <v>44777</v>
      </c>
      <c r="C19427" s="6">
        <f>IFERROR(__xludf.DUMMYFUNCTION("""COMPUTED_VALUE"""),0.7336111111108039)</f>
        <v>0.7336111111</v>
      </c>
      <c r="D19427" s="4">
        <f>IFERROR(__xludf.DUMMYFUNCTION("""COMPUTED_VALUE"""),12.611394)</f>
        <v>12.611394</v>
      </c>
      <c r="E19427" s="4">
        <f>IFERROR(__xludf.DUMMYFUNCTION("""COMPUTED_VALUE"""),79.923573)</f>
        <v>79.923573</v>
      </c>
      <c r="F19427" s="4">
        <f>IFERROR(__xludf.DUMMYFUNCTION("""COMPUTED_VALUE"""),2846.0)</f>
        <v>2846</v>
      </c>
      <c r="G19427" s="4">
        <f>IFERROR(__xludf.DUMMYFUNCTION("""COMPUTED_VALUE"""),58.0)</f>
        <v>58</v>
      </c>
      <c r="H19427" s="4"/>
      <c r="I19427" s="4"/>
    </row>
    <row r="19428">
      <c r="A19428" s="4" t="str">
        <f>IFERROR(__xludf.DUMMYFUNCTION("""COMPUTED_VALUE"""),"cas_hmw")</f>
        <v>cas_hmw</v>
      </c>
      <c r="B19428" s="5">
        <f>IFERROR(__xludf.DUMMYFUNCTION("""COMPUTED_VALUE"""),44777.0)</f>
        <v>44777</v>
      </c>
      <c r="C19428" s="6">
        <f>IFERROR(__xludf.DUMMYFUNCTION("""COMPUTED_VALUE"""),0.7348148148157634)</f>
        <v>0.7348148148</v>
      </c>
      <c r="D19428" s="4">
        <f>IFERROR(__xludf.DUMMYFUNCTION("""COMPUTED_VALUE"""),13.007786)</f>
        <v>13.007786</v>
      </c>
      <c r="E19428" s="4">
        <f>IFERROR(__xludf.DUMMYFUNCTION("""COMPUTED_VALUE"""),80.258744)</f>
        <v>80.258744</v>
      </c>
      <c r="F19428" s="4">
        <f>IFERROR(__xludf.DUMMYFUNCTION("""COMPUTED_VALUE"""),805.0)</f>
        <v>805</v>
      </c>
      <c r="G19428" s="4">
        <f>IFERROR(__xludf.DUMMYFUNCTION("""COMPUTED_VALUE"""),19.0)</f>
        <v>19</v>
      </c>
      <c r="H19428" s="4"/>
      <c r="I19428" s="4"/>
    </row>
    <row r="19429">
      <c r="A19429" s="4" t="str">
        <f>IFERROR(__xludf.DUMMYFUNCTION("""COMPUTED_VALUE"""),"cas_hmw")</f>
        <v>cas_hmw</v>
      </c>
      <c r="B19429" s="5">
        <f>IFERROR(__xludf.DUMMYFUNCTION("""COMPUTED_VALUE"""),44777.0)</f>
        <v>44777</v>
      </c>
      <c r="C19429" s="6">
        <f>IFERROR(__xludf.DUMMYFUNCTION("""COMPUTED_VALUE"""),0.7353240740740148)</f>
        <v>0.7353240741</v>
      </c>
      <c r="D19429" s="4">
        <f>IFERROR(__xludf.DUMMYFUNCTION("""COMPUTED_VALUE"""),13.04379)</f>
        <v>13.04379</v>
      </c>
      <c r="E19429" s="4">
        <f>IFERROR(__xludf.DUMMYFUNCTION("""COMPUTED_VALUE"""),80.247695)</f>
        <v>80.247695</v>
      </c>
      <c r="F19429" s="4">
        <f>IFERROR(__xludf.DUMMYFUNCTION("""COMPUTED_VALUE"""),5339.0)</f>
        <v>5339</v>
      </c>
      <c r="G19429" s="4">
        <f>IFERROR(__xludf.DUMMYFUNCTION("""COMPUTED_VALUE"""),30.0)</f>
        <v>30</v>
      </c>
      <c r="H19429" s="4"/>
      <c r="I19429" s="4"/>
    </row>
    <row r="19430">
      <c r="A19430" s="4" t="str">
        <f>IFERROR(__xludf.DUMMYFUNCTION("""COMPUTED_VALUE"""),"cas_hmw")</f>
        <v>cas_hmw</v>
      </c>
      <c r="B19430" s="5">
        <f>IFERROR(__xludf.DUMMYFUNCTION("""COMPUTED_VALUE"""),44777.0)</f>
        <v>44777</v>
      </c>
      <c r="C19430" s="6">
        <f>IFERROR(__xludf.DUMMYFUNCTION("""COMPUTED_VALUE"""),0.7373842592605797)</f>
        <v>0.7373842593</v>
      </c>
      <c r="D19430" s="4">
        <f>IFERROR(__xludf.DUMMYFUNCTION("""COMPUTED_VALUE"""),13.018797)</f>
        <v>13.018797</v>
      </c>
      <c r="E19430" s="4">
        <f>IFERROR(__xludf.DUMMYFUNCTION("""COMPUTED_VALUE"""),80.261258)</f>
        <v>80.261258</v>
      </c>
      <c r="F19430" s="4">
        <f>IFERROR(__xludf.DUMMYFUNCTION("""COMPUTED_VALUE"""),805.0)</f>
        <v>805</v>
      </c>
      <c r="G19430" s="4">
        <f>IFERROR(__xludf.DUMMYFUNCTION("""COMPUTED_VALUE"""),2.0)</f>
        <v>2</v>
      </c>
      <c r="H19430" s="4"/>
      <c r="I19430" s="4"/>
    </row>
    <row r="19431">
      <c r="A19431" s="4" t="str">
        <f>IFERROR(__xludf.DUMMYFUNCTION("""COMPUTED_VALUE"""),"cas_hmw")</f>
        <v>cas_hmw</v>
      </c>
      <c r="B19431" s="5">
        <f>IFERROR(__xludf.DUMMYFUNCTION("""COMPUTED_VALUE"""),44777.0)</f>
        <v>44777</v>
      </c>
      <c r="C19431" s="6">
        <f>IFERROR(__xludf.DUMMYFUNCTION("""COMPUTED_VALUE"""),0.7373842592605797)</f>
        <v>0.7373842593</v>
      </c>
      <c r="D19431" s="4">
        <f>IFERROR(__xludf.DUMMYFUNCTION("""COMPUTED_VALUE"""),13.018797)</f>
        <v>13.018797</v>
      </c>
      <c r="E19431" s="4">
        <f>IFERROR(__xludf.DUMMYFUNCTION("""COMPUTED_VALUE"""),80.261258)</f>
        <v>80.261258</v>
      </c>
      <c r="F19431" s="4">
        <f>IFERROR(__xludf.DUMMYFUNCTION("""COMPUTED_VALUE"""),805.0)</f>
        <v>805</v>
      </c>
      <c r="G19431" s="4">
        <f>IFERROR(__xludf.DUMMYFUNCTION("""COMPUTED_VALUE"""),2.0)</f>
        <v>2</v>
      </c>
      <c r="H19431" s="4"/>
      <c r="I19431" s="4"/>
    </row>
    <row r="19432">
      <c r="A19432" s="4" t="str">
        <f>IFERROR(__xludf.DUMMYFUNCTION("""COMPUTED_VALUE"""),"cas_hmw")</f>
        <v>cas_hmw</v>
      </c>
      <c r="B19432" s="5">
        <f>IFERROR(__xludf.DUMMYFUNCTION("""COMPUTED_VALUE"""),44777.0)</f>
        <v>44777</v>
      </c>
      <c r="C19432" s="6">
        <f>IFERROR(__xludf.DUMMYFUNCTION("""COMPUTED_VALUE"""),0.7381944444459805)</f>
        <v>0.7381944444</v>
      </c>
      <c r="D19432" s="4">
        <f>IFERROR(__xludf.DUMMYFUNCTION("""COMPUTED_VALUE"""),13.055557)</f>
        <v>13.055557</v>
      </c>
      <c r="E19432" s="4">
        <f>IFERROR(__xludf.DUMMYFUNCTION("""COMPUTED_VALUE"""),80.255326)</f>
        <v>80.255326</v>
      </c>
      <c r="F19432" s="4">
        <f>IFERROR(__xludf.DUMMYFUNCTION("""COMPUTED_VALUE"""),5339.0)</f>
        <v>5339</v>
      </c>
      <c r="G19432" s="4">
        <f>IFERROR(__xludf.DUMMYFUNCTION("""COMPUTED_VALUE"""),30.0)</f>
        <v>30</v>
      </c>
      <c r="H19432" s="4"/>
      <c r="I19432" s="4"/>
    </row>
    <row r="19433">
      <c r="A19433" s="4" t="str">
        <f>IFERROR(__xludf.DUMMYFUNCTION("""COMPUTED_VALUE"""),"cas_hmw")</f>
        <v>cas_hmw</v>
      </c>
      <c r="B19433" s="5">
        <f>IFERROR(__xludf.DUMMYFUNCTION("""COMPUTED_VALUE"""),44777.0)</f>
        <v>44777</v>
      </c>
      <c r="C19433" s="6">
        <f>IFERROR(__xludf.DUMMYFUNCTION("""COMPUTED_VALUE"""),0.7381944444459805)</f>
        <v>0.7381944444</v>
      </c>
      <c r="D19433" s="4">
        <f>IFERROR(__xludf.DUMMYFUNCTION("""COMPUTED_VALUE"""),13.055557)</f>
        <v>13.055557</v>
      </c>
      <c r="E19433" s="4">
        <f>IFERROR(__xludf.DUMMYFUNCTION("""COMPUTED_VALUE"""),80.255326)</f>
        <v>80.255326</v>
      </c>
      <c r="F19433" s="4">
        <f>IFERROR(__xludf.DUMMYFUNCTION("""COMPUTED_VALUE"""),5339.0)</f>
        <v>5339</v>
      </c>
      <c r="G19433" s="4">
        <f>IFERROR(__xludf.DUMMYFUNCTION("""COMPUTED_VALUE"""),30.0)</f>
        <v>30</v>
      </c>
      <c r="H19433" s="4"/>
      <c r="I19433" s="4"/>
    </row>
    <row r="19434">
      <c r="A19434" s="4" t="str">
        <f>IFERROR(__xludf.DUMMYFUNCTION("""COMPUTED_VALUE"""),"cas_hmw")</f>
        <v>cas_hmw</v>
      </c>
      <c r="B19434" s="5">
        <f>IFERROR(__xludf.DUMMYFUNCTION("""COMPUTED_VALUE"""),44777.0)</f>
        <v>44777</v>
      </c>
      <c r="C19434" s="6">
        <f>IFERROR(__xludf.DUMMYFUNCTION("""COMPUTED_VALUE"""),0.7383680555540195)</f>
        <v>0.7383680556</v>
      </c>
      <c r="D19434" s="4">
        <f>IFERROR(__xludf.DUMMYFUNCTION("""COMPUTED_VALUE"""),13.022102)</f>
        <v>13.022102</v>
      </c>
      <c r="E19434" s="4">
        <f>IFERROR(__xludf.DUMMYFUNCTION("""COMPUTED_VALUE"""),80.263322)</f>
        <v>80.263322</v>
      </c>
      <c r="F19434" s="4">
        <f>IFERROR(__xludf.DUMMYFUNCTION("""COMPUTED_VALUE"""),805.0)</f>
        <v>805</v>
      </c>
      <c r="G19434" s="4">
        <f>IFERROR(__xludf.DUMMYFUNCTION("""COMPUTED_VALUE"""),31.0)</f>
        <v>31</v>
      </c>
      <c r="H19434" s="4"/>
      <c r="I19434" s="4"/>
    </row>
    <row r="19435">
      <c r="A19435" s="4" t="str">
        <f>IFERROR(__xludf.DUMMYFUNCTION("""COMPUTED_VALUE"""),"cas_hmw")</f>
        <v>cas_hmw</v>
      </c>
      <c r="B19435" s="5">
        <f>IFERROR(__xludf.DUMMYFUNCTION("""COMPUTED_VALUE"""),44777.0)</f>
        <v>44777</v>
      </c>
      <c r="C19435" s="6">
        <f>IFERROR(__xludf.DUMMYFUNCTION("""COMPUTED_VALUE"""),0.7383680555540195)</f>
        <v>0.7383680556</v>
      </c>
      <c r="D19435" s="4">
        <f>IFERROR(__xludf.DUMMYFUNCTION("""COMPUTED_VALUE"""),13.022102)</f>
        <v>13.022102</v>
      </c>
      <c r="E19435" s="4">
        <f>IFERROR(__xludf.DUMMYFUNCTION("""COMPUTED_VALUE"""),80.263322)</f>
        <v>80.263322</v>
      </c>
      <c r="F19435" s="4">
        <f>IFERROR(__xludf.DUMMYFUNCTION("""COMPUTED_VALUE"""),805.0)</f>
        <v>805</v>
      </c>
      <c r="G19435" s="4">
        <f>IFERROR(__xludf.DUMMYFUNCTION("""COMPUTED_VALUE"""),31.0)</f>
        <v>31</v>
      </c>
      <c r="H19435" s="4"/>
      <c r="I19435" s="4"/>
    </row>
    <row r="19436">
      <c r="A19436" s="4" t="str">
        <f>IFERROR(__xludf.DUMMYFUNCTION("""COMPUTED_VALUE"""),"cas_hmw")</f>
        <v>cas_hmw</v>
      </c>
      <c r="B19436" s="5">
        <f>IFERROR(__xludf.DUMMYFUNCTION("""COMPUTED_VALUE"""),44777.0)</f>
        <v>44777</v>
      </c>
      <c r="C19436" s="6">
        <f>IFERROR(__xludf.DUMMYFUNCTION("""COMPUTED_VALUE"""),0.7383796296307992)</f>
        <v>0.7383796296</v>
      </c>
      <c r="D19436" s="4">
        <f>IFERROR(__xludf.DUMMYFUNCTION("""COMPUTED_VALUE"""),13.022102)</f>
        <v>13.022102</v>
      </c>
      <c r="E19436" s="4">
        <f>IFERROR(__xludf.DUMMYFUNCTION("""COMPUTED_VALUE"""),80.263322)</f>
        <v>80.263322</v>
      </c>
      <c r="F19436" s="4">
        <f>IFERROR(__xludf.DUMMYFUNCTION("""COMPUTED_VALUE"""),805.0)</f>
        <v>805</v>
      </c>
      <c r="G19436" s="4">
        <f>IFERROR(__xludf.DUMMYFUNCTION("""COMPUTED_VALUE"""),31.0)</f>
        <v>31</v>
      </c>
      <c r="H19436" s="4"/>
      <c r="I19436" s="4"/>
    </row>
    <row r="19437">
      <c r="A19437" s="4" t="str">
        <f>IFERROR(__xludf.DUMMYFUNCTION("""COMPUTED_VALUE"""),"cas_hmw")</f>
        <v>cas_hmw</v>
      </c>
      <c r="B19437" s="5">
        <f>IFERROR(__xludf.DUMMYFUNCTION("""COMPUTED_VALUE"""),44777.0)</f>
        <v>44777</v>
      </c>
      <c r="C19437" s="6">
        <f>IFERROR(__xludf.DUMMYFUNCTION("""COMPUTED_VALUE"""),0.7384143518502242)</f>
        <v>0.7384143519</v>
      </c>
      <c r="D19437" s="4">
        <f>IFERROR(__xludf.DUMMYFUNCTION("""COMPUTED_VALUE"""),13.022102)</f>
        <v>13.022102</v>
      </c>
      <c r="E19437" s="4">
        <f>IFERROR(__xludf.DUMMYFUNCTION("""COMPUTED_VALUE"""),80.263322)</f>
        <v>80.263322</v>
      </c>
      <c r="F19437" s="4">
        <f>IFERROR(__xludf.DUMMYFUNCTION("""COMPUTED_VALUE"""),805.0)</f>
        <v>805</v>
      </c>
      <c r="G19437" s="4">
        <f>IFERROR(__xludf.DUMMYFUNCTION("""COMPUTED_VALUE"""),31.0)</f>
        <v>31</v>
      </c>
      <c r="H19437" s="4"/>
      <c r="I19437" s="4"/>
    </row>
    <row r="19438">
      <c r="A19438" s="4" t="str">
        <f>IFERROR(__xludf.DUMMYFUNCTION("""COMPUTED_VALUE"""),"cas_hmw")</f>
        <v>cas_hmw</v>
      </c>
      <c r="B19438" s="5">
        <f>IFERROR(__xludf.DUMMYFUNCTION("""COMPUTED_VALUE"""),44777.0)</f>
        <v>44777</v>
      </c>
      <c r="C19438" s="6">
        <f>IFERROR(__xludf.DUMMYFUNCTION("""COMPUTED_VALUE"""),0.7388078703697829)</f>
        <v>0.7388078704</v>
      </c>
      <c r="D19438" s="4">
        <f>IFERROR(__xludf.DUMMYFUNCTION("""COMPUTED_VALUE"""),12.998577)</f>
        <v>12.998577</v>
      </c>
      <c r="E19438" s="4">
        <f>IFERROR(__xludf.DUMMYFUNCTION("""COMPUTED_VALUE"""),80.10165)</f>
        <v>80.10165</v>
      </c>
      <c r="F19438" s="4">
        <f>IFERROR(__xludf.DUMMYFUNCTION("""COMPUTED_VALUE"""),3143.0)</f>
        <v>3143</v>
      </c>
      <c r="G19438" s="4">
        <f>IFERROR(__xludf.DUMMYFUNCTION("""COMPUTED_VALUE"""),24.0)</f>
        <v>24</v>
      </c>
      <c r="H19438" s="4"/>
      <c r="I19438" s="4"/>
    </row>
    <row r="19439">
      <c r="A19439" s="4" t="str">
        <f>IFERROR(__xludf.DUMMYFUNCTION("""COMPUTED_VALUE"""),"cas_hmw")</f>
        <v>cas_hmw</v>
      </c>
      <c r="B19439" s="5">
        <f>IFERROR(__xludf.DUMMYFUNCTION("""COMPUTED_VALUE"""),44777.0)</f>
        <v>44777</v>
      </c>
      <c r="C19439" s="6">
        <f>IFERROR(__xludf.DUMMYFUNCTION("""COMPUTED_VALUE"""),0.7390393518508063)</f>
        <v>0.7390393519</v>
      </c>
      <c r="D19439" s="4">
        <f>IFERROR(__xludf.DUMMYFUNCTION("""COMPUTED_VALUE"""),12.559975)</f>
        <v>12.559975</v>
      </c>
      <c r="E19439" s="4">
        <f>IFERROR(__xludf.DUMMYFUNCTION("""COMPUTED_VALUE"""),79.911307)</f>
        <v>79.911307</v>
      </c>
      <c r="F19439" s="4">
        <f>IFERROR(__xludf.DUMMYFUNCTION("""COMPUTED_VALUE"""),2846.0)</f>
        <v>2846</v>
      </c>
      <c r="G19439" s="4">
        <f>IFERROR(__xludf.DUMMYFUNCTION("""COMPUTED_VALUE"""),58.0)</f>
        <v>58</v>
      </c>
      <c r="H19439" s="4"/>
      <c r="I19439" s="4"/>
    </row>
    <row r="19440">
      <c r="A19440" s="4" t="str">
        <f>IFERROR(__xludf.DUMMYFUNCTION("""COMPUTED_VALUE"""),"cas_hmw")</f>
        <v>cas_hmw</v>
      </c>
      <c r="B19440" s="5">
        <f>IFERROR(__xludf.DUMMYFUNCTION("""COMPUTED_VALUE"""),44777.0)</f>
        <v>44777</v>
      </c>
      <c r="C19440" s="6">
        <f>IFERROR(__xludf.DUMMYFUNCTION("""COMPUTED_VALUE"""),0.7397685185169394)</f>
        <v>0.7397685185</v>
      </c>
      <c r="D19440" s="4">
        <f>IFERROR(__xludf.DUMMYFUNCTION("""COMPUTED_VALUE"""),13.055936)</f>
        <v>13.055936</v>
      </c>
      <c r="E19440" s="4">
        <f>IFERROR(__xludf.DUMMYFUNCTION("""COMPUTED_VALUE"""),80.255984)</f>
        <v>80.255984</v>
      </c>
      <c r="F19440" s="4">
        <f>IFERROR(__xludf.DUMMYFUNCTION("""COMPUTED_VALUE"""),5339.0)</f>
        <v>5339</v>
      </c>
      <c r="G19440" s="4">
        <f>IFERROR(__xludf.DUMMYFUNCTION("""COMPUTED_VALUE"""),24.0)</f>
        <v>24</v>
      </c>
      <c r="H19440" s="4"/>
      <c r="I19440" s="4"/>
    </row>
    <row r="19441">
      <c r="A19441" s="4" t="str">
        <f>IFERROR(__xludf.DUMMYFUNCTION("""COMPUTED_VALUE"""),"cas_hmw")</f>
        <v>cas_hmw</v>
      </c>
      <c r="B19441" s="5">
        <f>IFERROR(__xludf.DUMMYFUNCTION("""COMPUTED_VALUE"""),44777.0)</f>
        <v>44777</v>
      </c>
      <c r="C19441" s="6">
        <f>IFERROR(__xludf.DUMMYFUNCTION("""COMPUTED_VALUE"""),0.739780092593719)</f>
        <v>0.7397800926</v>
      </c>
      <c r="D19441" s="4">
        <f>IFERROR(__xludf.DUMMYFUNCTION("""COMPUTED_VALUE"""),13.055936)</f>
        <v>13.055936</v>
      </c>
      <c r="E19441" s="4">
        <f>IFERROR(__xludf.DUMMYFUNCTION("""COMPUTED_VALUE"""),80.255984)</f>
        <v>80.255984</v>
      </c>
      <c r="F19441" s="4">
        <f>IFERROR(__xludf.DUMMYFUNCTION("""COMPUTED_VALUE"""),5339.0)</f>
        <v>5339</v>
      </c>
      <c r="G19441" s="4">
        <f>IFERROR(__xludf.DUMMYFUNCTION("""COMPUTED_VALUE"""),24.0)</f>
        <v>24</v>
      </c>
      <c r="H19441" s="4"/>
      <c r="I19441" s="4"/>
    </row>
    <row r="19442">
      <c r="A19442" s="4" t="str">
        <f>IFERROR(__xludf.DUMMYFUNCTION("""COMPUTED_VALUE"""),"cas_hmw")</f>
        <v>cas_hmw</v>
      </c>
      <c r="B19442" s="5">
        <f>IFERROR(__xludf.DUMMYFUNCTION("""COMPUTED_VALUE"""),44777.0)</f>
        <v>44777</v>
      </c>
      <c r="C19442" s="6">
        <f>IFERROR(__xludf.DUMMYFUNCTION("""COMPUTED_VALUE"""),0.7397916666668607)</f>
        <v>0.7397916667</v>
      </c>
      <c r="D19442" s="4">
        <f>IFERROR(__xludf.DUMMYFUNCTION("""COMPUTED_VALUE"""),13.055936)</f>
        <v>13.055936</v>
      </c>
      <c r="E19442" s="4">
        <f>IFERROR(__xludf.DUMMYFUNCTION("""COMPUTED_VALUE"""),80.255984)</f>
        <v>80.255984</v>
      </c>
      <c r="F19442" s="4">
        <f>IFERROR(__xludf.DUMMYFUNCTION("""COMPUTED_VALUE"""),5339.0)</f>
        <v>5339</v>
      </c>
      <c r="G19442" s="4">
        <f>IFERROR(__xludf.DUMMYFUNCTION("""COMPUTED_VALUE"""),24.0)</f>
        <v>24</v>
      </c>
      <c r="H19442" s="4"/>
      <c r="I19442" s="4"/>
    </row>
    <row r="19443">
      <c r="A19443" s="4" t="str">
        <f>IFERROR(__xludf.DUMMYFUNCTION("""COMPUTED_VALUE"""),"cas_hmw")</f>
        <v>cas_hmw</v>
      </c>
      <c r="B19443" s="5">
        <f>IFERROR(__xludf.DUMMYFUNCTION("""COMPUTED_VALUE"""),44777.0)</f>
        <v>44777</v>
      </c>
      <c r="C19443" s="6">
        <f>IFERROR(__xludf.DUMMYFUNCTION("""COMPUTED_VALUE"""),0.7404629629636474)</f>
        <v>0.740462963</v>
      </c>
      <c r="D19443" s="4">
        <f>IFERROR(__xludf.DUMMYFUNCTION("""COMPUTED_VALUE"""),12.998282)</f>
        <v>12.998282</v>
      </c>
      <c r="E19443" s="4">
        <f>IFERROR(__xludf.DUMMYFUNCTION("""COMPUTED_VALUE"""),80.096551)</f>
        <v>80.096551</v>
      </c>
      <c r="F19443" s="4">
        <f>IFERROR(__xludf.DUMMYFUNCTION("""COMPUTED_VALUE"""),3143.0)</f>
        <v>3143</v>
      </c>
      <c r="G19443" s="4">
        <f>IFERROR(__xludf.DUMMYFUNCTION("""COMPUTED_VALUE"""),7.0)</f>
        <v>7</v>
      </c>
      <c r="H19443" s="4"/>
      <c r="I19443" s="4"/>
    </row>
    <row r="19444">
      <c r="A19444" s="4" t="str">
        <f>IFERROR(__xludf.DUMMYFUNCTION("""COMPUTED_VALUE"""),"cas_hmw")</f>
        <v>cas_hmw</v>
      </c>
      <c r="B19444" s="5">
        <f>IFERROR(__xludf.DUMMYFUNCTION("""COMPUTED_VALUE"""),44777.0)</f>
        <v>44777</v>
      </c>
      <c r="C19444" s="6">
        <f>IFERROR(__xludf.DUMMYFUNCTION("""COMPUTED_VALUE"""),0.7405092592598521)</f>
        <v>0.7405092593</v>
      </c>
      <c r="D19444" s="4">
        <f>IFERROR(__xludf.DUMMYFUNCTION("""COMPUTED_VALUE"""),12.54195)</f>
        <v>12.54195</v>
      </c>
      <c r="E19444" s="4">
        <f>IFERROR(__xludf.DUMMYFUNCTION("""COMPUTED_VALUE"""),79.904676)</f>
        <v>79.904676</v>
      </c>
      <c r="F19444" s="4">
        <f>IFERROR(__xludf.DUMMYFUNCTION("""COMPUTED_VALUE"""),2846.0)</f>
        <v>2846</v>
      </c>
      <c r="G19444" s="4">
        <f>IFERROR(__xludf.DUMMYFUNCTION("""COMPUTED_VALUE"""),45.0)</f>
        <v>45</v>
      </c>
      <c r="H19444" s="4"/>
      <c r="I19444" s="4"/>
    </row>
    <row r="19445">
      <c r="A19445" s="4" t="str">
        <f>IFERROR(__xludf.DUMMYFUNCTION("""COMPUTED_VALUE"""),"cas_hmw")</f>
        <v>cas_hmw</v>
      </c>
      <c r="B19445" s="5">
        <f>IFERROR(__xludf.DUMMYFUNCTION("""COMPUTED_VALUE"""),44777.0)</f>
        <v>44777</v>
      </c>
      <c r="C19445" s="6">
        <f>IFERROR(__xludf.DUMMYFUNCTION("""COMPUTED_VALUE"""),0.7405671296291985)</f>
        <v>0.7405671296</v>
      </c>
      <c r="D19445" s="4">
        <f>IFERROR(__xludf.DUMMYFUNCTION("""COMPUTED_VALUE"""),12.53787)</f>
        <v>12.53787</v>
      </c>
      <c r="E19445" s="4">
        <f>IFERROR(__xludf.DUMMYFUNCTION("""COMPUTED_VALUE"""),79.903666)</f>
        <v>79.903666</v>
      </c>
      <c r="F19445" s="4">
        <f>IFERROR(__xludf.DUMMYFUNCTION("""COMPUTED_VALUE"""),2846.0)</f>
        <v>2846</v>
      </c>
      <c r="G19445" s="4">
        <f>IFERROR(__xludf.DUMMYFUNCTION("""COMPUTED_VALUE"""),56.0)</f>
        <v>56</v>
      </c>
      <c r="H19445" s="4"/>
      <c r="I19445" s="4"/>
    </row>
    <row r="19446">
      <c r="A19446" s="4" t="str">
        <f>IFERROR(__xludf.DUMMYFUNCTION("""COMPUTED_VALUE"""),"cas_hmw")</f>
        <v>cas_hmw</v>
      </c>
      <c r="B19446" s="5">
        <f>IFERROR(__xludf.DUMMYFUNCTION("""COMPUTED_VALUE"""),44777.0)</f>
        <v>44777</v>
      </c>
      <c r="C19446" s="6">
        <f>IFERROR(__xludf.DUMMYFUNCTION("""COMPUTED_VALUE"""),0.7409490740756155)</f>
        <v>0.7409490741</v>
      </c>
      <c r="D19446" s="4">
        <f>IFERROR(__xludf.DUMMYFUNCTION("""COMPUTED_VALUE"""),13.000243)</f>
        <v>13.000243</v>
      </c>
      <c r="E19446" s="4">
        <f>IFERROR(__xludf.DUMMYFUNCTION("""COMPUTED_VALUE"""),80.097502)</f>
        <v>80.097502</v>
      </c>
      <c r="F19446" s="4">
        <f>IFERROR(__xludf.DUMMYFUNCTION("""COMPUTED_VALUE"""),3143.0)</f>
        <v>3143</v>
      </c>
      <c r="G19446" s="4">
        <f>IFERROR(__xludf.DUMMYFUNCTION("""COMPUTED_VALUE"""),30.0)</f>
        <v>30</v>
      </c>
      <c r="H19446" s="4"/>
      <c r="I19446" s="4"/>
    </row>
    <row r="19447">
      <c r="A19447" s="4" t="str">
        <f>IFERROR(__xludf.DUMMYFUNCTION("""COMPUTED_VALUE"""),"cas_hmw")</f>
        <v>cas_hmw</v>
      </c>
      <c r="B19447" s="5">
        <f>IFERROR(__xludf.DUMMYFUNCTION("""COMPUTED_VALUE"""),44777.0)</f>
        <v>44777</v>
      </c>
      <c r="C19447" s="6">
        <f>IFERROR(__xludf.DUMMYFUNCTION("""COMPUTED_VALUE"""),0.7411111111105129)</f>
        <v>0.7411111111</v>
      </c>
      <c r="D19447" s="4">
        <f>IFERROR(__xludf.DUMMYFUNCTION("""COMPUTED_VALUE"""),13.05391)</f>
        <v>13.05391</v>
      </c>
      <c r="E19447" s="4">
        <f>IFERROR(__xludf.DUMMYFUNCTION("""COMPUTED_VALUE"""),80.263528)</f>
        <v>80.263528</v>
      </c>
      <c r="F19447" s="4">
        <f>IFERROR(__xludf.DUMMYFUNCTION("""COMPUTED_VALUE"""),5339.0)</f>
        <v>5339</v>
      </c>
      <c r="G19447" s="4">
        <f>IFERROR(__xludf.DUMMYFUNCTION("""COMPUTED_VALUE"""),41.0)</f>
        <v>41</v>
      </c>
      <c r="H19447" s="4"/>
      <c r="I19447" s="4"/>
    </row>
    <row r="19448">
      <c r="A19448" s="4" t="str">
        <f>IFERROR(__xludf.DUMMYFUNCTION("""COMPUTED_VALUE"""),"cas_hmw")</f>
        <v>cas_hmw</v>
      </c>
      <c r="B19448" s="5">
        <f>IFERROR(__xludf.DUMMYFUNCTION("""COMPUTED_VALUE"""),44777.0)</f>
        <v>44777</v>
      </c>
      <c r="C19448" s="6">
        <f>IFERROR(__xludf.DUMMYFUNCTION("""COMPUTED_VALUE"""),0.7413310185183946)</f>
        <v>0.7413310185</v>
      </c>
      <c r="D19448" s="4">
        <f>IFERROR(__xludf.DUMMYFUNCTION("""COMPUTED_VALUE"""),13.053756)</f>
        <v>13.053756</v>
      </c>
      <c r="E19448" s="4">
        <f>IFERROR(__xludf.DUMMYFUNCTION("""COMPUTED_VALUE"""),80.265461)</f>
        <v>80.265461</v>
      </c>
      <c r="F19448" s="4">
        <f>IFERROR(__xludf.DUMMYFUNCTION("""COMPUTED_VALUE"""),5339.0)</f>
        <v>5339</v>
      </c>
      <c r="G19448" s="4">
        <f>IFERROR(__xludf.DUMMYFUNCTION("""COMPUTED_VALUE"""),38.0)</f>
        <v>38</v>
      </c>
      <c r="H19448" s="4"/>
      <c r="I19448" s="4"/>
    </row>
    <row r="19449">
      <c r="A19449" s="4" t="str">
        <f>IFERROR(__xludf.DUMMYFUNCTION("""COMPUTED_VALUE"""),"cas_hmw")</f>
        <v>cas_hmw</v>
      </c>
      <c r="B19449" s="5">
        <f>IFERROR(__xludf.DUMMYFUNCTION("""COMPUTED_VALUE"""),44777.0)</f>
        <v>44777</v>
      </c>
      <c r="C19449" s="6">
        <f>IFERROR(__xludf.DUMMYFUNCTION("""COMPUTED_VALUE"""),0.7455092592608707)</f>
        <v>0.7455092593</v>
      </c>
      <c r="D19449" s="4">
        <f>IFERROR(__xludf.DUMMYFUNCTION("""COMPUTED_VALUE"""),13.041076)</f>
        <v>13.041076</v>
      </c>
      <c r="E19449" s="4">
        <f>IFERROR(__xludf.DUMMYFUNCTION("""COMPUTED_VALUE"""),80.268158)</f>
        <v>80.268158</v>
      </c>
      <c r="F19449" s="4">
        <f>IFERROR(__xludf.DUMMYFUNCTION("""COMPUTED_VALUE"""),805.0)</f>
        <v>805</v>
      </c>
      <c r="G19449" s="4">
        <f>IFERROR(__xludf.DUMMYFUNCTION("""COMPUTED_VALUE"""),16.0)</f>
        <v>16</v>
      </c>
      <c r="H19449" s="4"/>
      <c r="I19449" s="4"/>
    </row>
    <row r="19450">
      <c r="A19450" s="4" t="str">
        <f>IFERROR(__xludf.DUMMYFUNCTION("""COMPUTED_VALUE"""),"cas_hmw")</f>
        <v>cas_hmw</v>
      </c>
      <c r="B19450" s="5">
        <f>IFERROR(__xludf.DUMMYFUNCTION("""COMPUTED_VALUE"""),44777.0)</f>
        <v>44777</v>
      </c>
      <c r="C19450" s="6">
        <f>IFERROR(__xludf.DUMMYFUNCTION("""COMPUTED_VALUE"""),0.7455671296302171)</f>
        <v>0.7455671296</v>
      </c>
      <c r="D19450" s="4">
        <f>IFERROR(__xludf.DUMMYFUNCTION("""COMPUTED_VALUE"""),13.020292)</f>
        <v>13.020292</v>
      </c>
      <c r="E19450" s="4">
        <f>IFERROR(__xludf.DUMMYFUNCTION("""COMPUTED_VALUE"""),80.104777)</f>
        <v>80.104777</v>
      </c>
      <c r="F19450" s="4">
        <f>IFERROR(__xludf.DUMMYFUNCTION("""COMPUTED_VALUE"""),3143.0)</f>
        <v>3143</v>
      </c>
      <c r="G19450" s="4">
        <f>IFERROR(__xludf.DUMMYFUNCTION("""COMPUTED_VALUE"""),18.0)</f>
        <v>18</v>
      </c>
      <c r="H19450" s="4"/>
      <c r="I19450" s="4"/>
    </row>
    <row r="19451">
      <c r="A19451" s="4" t="str">
        <f>IFERROR(__xludf.DUMMYFUNCTION("""COMPUTED_VALUE"""),"cas_hmw")</f>
        <v>cas_hmw</v>
      </c>
      <c r="B19451" s="5">
        <f>IFERROR(__xludf.DUMMYFUNCTION("""COMPUTED_VALUE"""),44777.0)</f>
        <v>44777</v>
      </c>
      <c r="C19451" s="6">
        <f>IFERROR(__xludf.DUMMYFUNCTION("""COMPUTED_VALUE"""),0.7488541666680248)</f>
        <v>0.7488541667</v>
      </c>
      <c r="D19451" s="4">
        <f>IFERROR(__xludf.DUMMYFUNCTION("""COMPUTED_VALUE"""),13.054802)</f>
        <v>13.054802</v>
      </c>
      <c r="E19451" s="4">
        <f>IFERROR(__xludf.DUMMYFUNCTION("""COMPUTED_VALUE"""),80.264184)</f>
        <v>80.264184</v>
      </c>
      <c r="F19451" s="4">
        <f>IFERROR(__xludf.DUMMYFUNCTION("""COMPUTED_VALUE"""),805.0)</f>
        <v>805</v>
      </c>
      <c r="G19451" s="4">
        <f>IFERROR(__xludf.DUMMYFUNCTION("""COMPUTED_VALUE"""),22.0)</f>
        <v>22</v>
      </c>
      <c r="H19451" s="4"/>
      <c r="I19451" s="4"/>
    </row>
    <row r="19452">
      <c r="A19452" s="4" t="str">
        <f>IFERROR(__xludf.DUMMYFUNCTION("""COMPUTED_VALUE"""),"cas_hmw")</f>
        <v>cas_hmw</v>
      </c>
      <c r="B19452" s="5">
        <f>IFERROR(__xludf.DUMMYFUNCTION("""COMPUTED_VALUE"""),44777.0)</f>
        <v>44777</v>
      </c>
      <c r="C19452" s="6">
        <f>IFERROR(__xludf.DUMMYFUNCTION("""COMPUTED_VALUE"""),0.7498379629614647)</f>
        <v>0.749837963</v>
      </c>
      <c r="D19452" s="4">
        <f>IFERROR(__xludf.DUMMYFUNCTION("""COMPUTED_VALUE"""),13.068025)</f>
        <v>13.068025</v>
      </c>
      <c r="E19452" s="4">
        <f>IFERROR(__xludf.DUMMYFUNCTION("""COMPUTED_VALUE"""),80.271384)</f>
        <v>80.271384</v>
      </c>
      <c r="F19452" s="4">
        <f>IFERROR(__xludf.DUMMYFUNCTION("""COMPUTED_VALUE"""),5339.0)</f>
        <v>5339</v>
      </c>
      <c r="G19452" s="4">
        <f>IFERROR(__xludf.DUMMYFUNCTION("""COMPUTED_VALUE"""),19.0)</f>
        <v>19</v>
      </c>
      <c r="H19452" s="4"/>
      <c r="I19452" s="4"/>
    </row>
    <row r="19453">
      <c r="A19453" s="4" t="str">
        <f>IFERROR(__xludf.DUMMYFUNCTION("""COMPUTED_VALUE"""),"cas_hmw")</f>
        <v>cas_hmw</v>
      </c>
      <c r="B19453" s="5">
        <f>IFERROR(__xludf.DUMMYFUNCTION("""COMPUTED_VALUE"""),44777.0)</f>
        <v>44777</v>
      </c>
      <c r="C19453" s="6">
        <f>IFERROR(__xludf.DUMMYFUNCTION("""COMPUTED_VALUE"""),0.7525578703716747)</f>
        <v>0.7525578704</v>
      </c>
      <c r="D19453" s="4">
        <f>IFERROR(__xludf.DUMMYFUNCTION("""COMPUTED_VALUE"""),13.045018)</f>
        <v>13.045018</v>
      </c>
      <c r="E19453" s="4">
        <f>IFERROR(__xludf.DUMMYFUNCTION("""COMPUTED_VALUE"""),80.115601)</f>
        <v>80.115601</v>
      </c>
      <c r="F19453" s="4">
        <f>IFERROR(__xludf.DUMMYFUNCTION("""COMPUTED_VALUE"""),3143.0)</f>
        <v>3143</v>
      </c>
      <c r="G19453" s="4">
        <f>IFERROR(__xludf.DUMMYFUNCTION("""COMPUTED_VALUE"""),6.0)</f>
        <v>6</v>
      </c>
      <c r="H19453" s="4"/>
      <c r="I19453" s="4"/>
    </row>
    <row r="19454">
      <c r="A19454" s="4" t="str">
        <f>IFERROR(__xludf.DUMMYFUNCTION("""COMPUTED_VALUE"""),"cas_hmw")</f>
        <v>cas_hmw</v>
      </c>
      <c r="B19454" s="5">
        <f>IFERROR(__xludf.DUMMYFUNCTION("""COMPUTED_VALUE"""),44777.0)</f>
        <v>44777</v>
      </c>
      <c r="C19454" s="6">
        <f>IFERROR(__xludf.DUMMYFUNCTION("""COMPUTED_VALUE"""),0.752719907406572)</f>
        <v>0.7527199074</v>
      </c>
      <c r="D19454" s="4">
        <f>IFERROR(__xludf.DUMMYFUNCTION("""COMPUTED_VALUE"""),13.045074)</f>
        <v>13.045074</v>
      </c>
      <c r="E19454" s="4">
        <f>IFERROR(__xludf.DUMMYFUNCTION("""COMPUTED_VALUE"""),80.116252)</f>
        <v>80.116252</v>
      </c>
      <c r="F19454" s="4">
        <f>IFERROR(__xludf.DUMMYFUNCTION("""COMPUTED_VALUE"""),3143.0)</f>
        <v>3143</v>
      </c>
      <c r="G19454" s="4">
        <f>IFERROR(__xludf.DUMMYFUNCTION("""COMPUTED_VALUE"""),24.0)</f>
        <v>24</v>
      </c>
      <c r="H19454" s="4"/>
      <c r="I19454" s="4"/>
    </row>
    <row r="19455">
      <c r="A19455" s="4" t="str">
        <f>IFERROR(__xludf.DUMMYFUNCTION("""COMPUTED_VALUE"""),"cas_hmw")</f>
        <v>cas_hmw</v>
      </c>
      <c r="B19455" s="5">
        <f>IFERROR(__xludf.DUMMYFUNCTION("""COMPUTED_VALUE"""),44777.0)</f>
        <v>44777</v>
      </c>
      <c r="C19455" s="6">
        <f>IFERROR(__xludf.DUMMYFUNCTION("""COMPUTED_VALUE"""),0.7536921296305081)</f>
        <v>0.7536921296</v>
      </c>
      <c r="D19455" s="4">
        <f>IFERROR(__xludf.DUMMYFUNCTION("""COMPUTED_VALUE"""),13.07129)</f>
        <v>13.07129</v>
      </c>
      <c r="E19455" s="4">
        <f>IFERROR(__xludf.DUMMYFUNCTION("""COMPUTED_VALUE"""),80.258941)</f>
        <v>80.258941</v>
      </c>
      <c r="F19455" s="4">
        <f>IFERROR(__xludf.DUMMYFUNCTION("""COMPUTED_VALUE"""),5339.0)</f>
        <v>5339</v>
      </c>
      <c r="G19455" s="4">
        <f>IFERROR(__xludf.DUMMYFUNCTION("""COMPUTED_VALUE"""),26.0)</f>
        <v>26</v>
      </c>
      <c r="H19455" s="4"/>
      <c r="I19455" s="4"/>
    </row>
    <row r="19456">
      <c r="A19456" s="4" t="str">
        <f>IFERROR(__xludf.DUMMYFUNCTION("""COMPUTED_VALUE"""),"cas_hmw")</f>
        <v>cas_hmw</v>
      </c>
      <c r="B19456" s="5">
        <f>IFERROR(__xludf.DUMMYFUNCTION("""COMPUTED_VALUE"""),44777.0)</f>
        <v>44777</v>
      </c>
      <c r="C19456" s="6">
        <f>IFERROR(__xludf.DUMMYFUNCTION("""COMPUTED_VALUE"""),0.7543055555543106)</f>
        <v>0.7543055556</v>
      </c>
      <c r="D19456" s="4">
        <f>IFERROR(__xludf.DUMMYFUNCTION("""COMPUTED_VALUE"""),13.068295)</f>
        <v>13.068295</v>
      </c>
      <c r="E19456" s="4">
        <f>IFERROR(__xludf.DUMMYFUNCTION("""COMPUTED_VALUE"""),80.255715)</f>
        <v>80.255715</v>
      </c>
      <c r="F19456" s="4">
        <f>IFERROR(__xludf.DUMMYFUNCTION("""COMPUTED_VALUE"""),5339.0)</f>
        <v>5339</v>
      </c>
      <c r="G19456" s="4">
        <f>IFERROR(__xludf.DUMMYFUNCTION("""COMPUTED_VALUE"""),38.0)</f>
        <v>38</v>
      </c>
      <c r="H19456" s="4"/>
      <c r="I19456" s="4"/>
    </row>
    <row r="19457">
      <c r="A19457" s="4" t="str">
        <f>IFERROR(__xludf.DUMMYFUNCTION("""COMPUTED_VALUE"""),"cas_hmw")</f>
        <v>cas_hmw</v>
      </c>
      <c r="B19457" s="5">
        <f>IFERROR(__xludf.DUMMYFUNCTION("""COMPUTED_VALUE"""),44777.0)</f>
        <v>44777</v>
      </c>
      <c r="C19457" s="6">
        <f>IFERROR(__xludf.DUMMYFUNCTION("""COMPUTED_VALUE"""),0.7554166666668607)</f>
        <v>0.7554166667</v>
      </c>
      <c r="D19457" s="4">
        <f>IFERROR(__xludf.DUMMYFUNCTION("""COMPUTED_VALUE"""),13.066906)</f>
        <v>13.066906</v>
      </c>
      <c r="E19457" s="4">
        <f>IFERROR(__xludf.DUMMYFUNCTION("""COMPUTED_VALUE"""),80.253973)</f>
        <v>80.253973</v>
      </c>
      <c r="F19457" s="4">
        <f>IFERROR(__xludf.DUMMYFUNCTION("""COMPUTED_VALUE"""),5339.0)</f>
        <v>5339</v>
      </c>
      <c r="G19457" s="4">
        <f>IFERROR(__xludf.DUMMYFUNCTION("""COMPUTED_VALUE"""),17.0)</f>
        <v>17</v>
      </c>
      <c r="H19457" s="4"/>
      <c r="I19457" s="4"/>
    </row>
    <row r="19458">
      <c r="A19458" s="4" t="str">
        <f>IFERROR(__xludf.DUMMYFUNCTION("""COMPUTED_VALUE"""),"cas_hmw")</f>
        <v>cas_hmw</v>
      </c>
      <c r="B19458" s="5">
        <f>IFERROR(__xludf.DUMMYFUNCTION("""COMPUTED_VALUE"""),44777.0)</f>
        <v>44777</v>
      </c>
      <c r="C19458" s="6">
        <f>IFERROR(__xludf.DUMMYFUNCTION("""COMPUTED_VALUE"""),0.7556250000016007)</f>
        <v>0.755625</v>
      </c>
      <c r="D19458" s="4">
        <f>IFERROR(__xludf.DUMMYFUNCTION("""COMPUTED_VALUE"""),13.067966)</f>
        <v>13.067966</v>
      </c>
      <c r="E19458" s="4">
        <f>IFERROR(__xludf.DUMMYFUNCTION("""COMPUTED_VALUE"""),80.253169)</f>
        <v>80.253169</v>
      </c>
      <c r="F19458" s="4">
        <f>IFERROR(__xludf.DUMMYFUNCTION("""COMPUTED_VALUE"""),5339.0)</f>
        <v>5339</v>
      </c>
      <c r="G19458" s="4">
        <f>IFERROR(__xludf.DUMMYFUNCTION("""COMPUTED_VALUE"""),32.0)</f>
        <v>32</v>
      </c>
      <c r="H19458" s="4"/>
      <c r="I19458" s="4"/>
    </row>
    <row r="19459">
      <c r="A19459" s="4" t="str">
        <f>IFERROR(__xludf.DUMMYFUNCTION("""COMPUTED_VALUE"""),"cas_hmw")</f>
        <v>cas_hmw</v>
      </c>
      <c r="B19459" s="5">
        <f>IFERROR(__xludf.DUMMYFUNCTION("""COMPUTED_VALUE"""),44777.0)</f>
        <v>44777</v>
      </c>
      <c r="C19459" s="6">
        <f>IFERROR(__xludf.DUMMYFUNCTION("""COMPUTED_VALUE"""),0.7568981481490482)</f>
        <v>0.7568981481</v>
      </c>
      <c r="D19459" s="4">
        <f>IFERROR(__xludf.DUMMYFUNCTION("""COMPUTED_VALUE"""),13.062136)</f>
        <v>13.062136</v>
      </c>
      <c r="E19459" s="4">
        <f>IFERROR(__xludf.DUMMYFUNCTION("""COMPUTED_VALUE"""),80.263221)</f>
        <v>80.263221</v>
      </c>
      <c r="F19459" s="4">
        <f>IFERROR(__xludf.DUMMYFUNCTION("""COMPUTED_VALUE"""),805.0)</f>
        <v>805</v>
      </c>
      <c r="G19459" s="4">
        <f>IFERROR(__xludf.DUMMYFUNCTION("""COMPUTED_VALUE"""),0.0)</f>
        <v>0</v>
      </c>
      <c r="H19459" s="4"/>
      <c r="I19459" s="4"/>
    </row>
    <row r="19460">
      <c r="A19460" s="4" t="str">
        <f>IFERROR(__xludf.DUMMYFUNCTION("""COMPUTED_VALUE"""),"cas_hmw")</f>
        <v>cas_hmw</v>
      </c>
      <c r="B19460" s="5">
        <f>IFERROR(__xludf.DUMMYFUNCTION("""COMPUTED_VALUE"""),44777.0)</f>
        <v>44777</v>
      </c>
      <c r="C19460" s="6">
        <f>IFERROR(__xludf.DUMMYFUNCTION("""COMPUTED_VALUE"""),0.7569212962953316)</f>
        <v>0.7569212963</v>
      </c>
      <c r="D19460" s="4">
        <f>IFERROR(__xludf.DUMMYFUNCTION("""COMPUTED_VALUE"""),13.062136)</f>
        <v>13.062136</v>
      </c>
      <c r="E19460" s="4">
        <f>IFERROR(__xludf.DUMMYFUNCTION("""COMPUTED_VALUE"""),80.263221)</f>
        <v>80.263221</v>
      </c>
      <c r="F19460" s="4">
        <f>IFERROR(__xludf.DUMMYFUNCTION("""COMPUTED_VALUE"""),805.0)</f>
        <v>805</v>
      </c>
      <c r="G19460" s="4">
        <f>IFERROR(__xludf.DUMMYFUNCTION("""COMPUTED_VALUE"""),0.0)</f>
        <v>0</v>
      </c>
      <c r="H19460" s="4"/>
      <c r="I19460" s="4"/>
    </row>
    <row r="19461">
      <c r="A19461" s="4" t="str">
        <f>IFERROR(__xludf.DUMMYFUNCTION("""COMPUTED_VALUE"""),"cas_hmw")</f>
        <v>cas_hmw</v>
      </c>
      <c r="B19461" s="5">
        <f>IFERROR(__xludf.DUMMYFUNCTION("""COMPUTED_VALUE"""),44777.0)</f>
        <v>44777</v>
      </c>
      <c r="C19461" s="6">
        <f>IFERROR(__xludf.DUMMYFUNCTION("""COMPUTED_VALUE"""),0.7569212962953316)</f>
        <v>0.7569212963</v>
      </c>
      <c r="D19461" s="4">
        <f>IFERROR(__xludf.DUMMYFUNCTION("""COMPUTED_VALUE"""),13.062136)</f>
        <v>13.062136</v>
      </c>
      <c r="E19461" s="4">
        <f>IFERROR(__xludf.DUMMYFUNCTION("""COMPUTED_VALUE"""),80.263221)</f>
        <v>80.263221</v>
      </c>
      <c r="F19461" s="4">
        <f>IFERROR(__xludf.DUMMYFUNCTION("""COMPUTED_VALUE"""),805.0)</f>
        <v>805</v>
      </c>
      <c r="G19461" s="4">
        <f>IFERROR(__xludf.DUMMYFUNCTION("""COMPUTED_VALUE"""),0.0)</f>
        <v>0</v>
      </c>
      <c r="H19461" s="4"/>
      <c r="I19461" s="4"/>
    </row>
    <row r="19462">
      <c r="A19462" s="4" t="str">
        <f>IFERROR(__xludf.DUMMYFUNCTION("""COMPUTED_VALUE"""),"cas_hmw")</f>
        <v>cas_hmw</v>
      </c>
      <c r="B19462" s="5">
        <f>IFERROR(__xludf.DUMMYFUNCTION("""COMPUTED_VALUE"""),44777.0)</f>
        <v>44777</v>
      </c>
      <c r="C19462" s="6">
        <f>IFERROR(__xludf.DUMMYFUNCTION("""COMPUTED_VALUE"""),0.7569212962953316)</f>
        <v>0.7569212963</v>
      </c>
      <c r="D19462" s="4">
        <f>IFERROR(__xludf.DUMMYFUNCTION("""COMPUTED_VALUE"""),13.062136)</f>
        <v>13.062136</v>
      </c>
      <c r="E19462" s="4">
        <f>IFERROR(__xludf.DUMMYFUNCTION("""COMPUTED_VALUE"""),80.263221)</f>
        <v>80.263221</v>
      </c>
      <c r="F19462" s="4">
        <f>IFERROR(__xludf.DUMMYFUNCTION("""COMPUTED_VALUE"""),805.0)</f>
        <v>805</v>
      </c>
      <c r="G19462" s="4">
        <f>IFERROR(__xludf.DUMMYFUNCTION("""COMPUTED_VALUE"""),0.0)</f>
        <v>0</v>
      </c>
      <c r="H19462" s="4"/>
      <c r="I19462" s="4"/>
    </row>
    <row r="19463">
      <c r="A19463" s="4" t="str">
        <f>IFERROR(__xludf.DUMMYFUNCTION("""COMPUTED_VALUE"""),"cas_hmw")</f>
        <v>cas_hmw</v>
      </c>
      <c r="B19463" s="5">
        <f>IFERROR(__xludf.DUMMYFUNCTION("""COMPUTED_VALUE"""),44777.0)</f>
        <v>44777</v>
      </c>
      <c r="C19463" s="6">
        <f>IFERROR(__xludf.DUMMYFUNCTION("""COMPUTED_VALUE"""),0.7569444444452529)</f>
        <v>0.7569444444</v>
      </c>
      <c r="D19463" s="4">
        <f>IFERROR(__xludf.DUMMYFUNCTION("""COMPUTED_VALUE"""),13.062136)</f>
        <v>13.062136</v>
      </c>
      <c r="E19463" s="4">
        <f>IFERROR(__xludf.DUMMYFUNCTION("""COMPUTED_VALUE"""),80.263221)</f>
        <v>80.263221</v>
      </c>
      <c r="F19463" s="4">
        <f>IFERROR(__xludf.DUMMYFUNCTION("""COMPUTED_VALUE"""),805.0)</f>
        <v>805</v>
      </c>
      <c r="G19463" s="4">
        <f>IFERROR(__xludf.DUMMYFUNCTION("""COMPUTED_VALUE"""),0.0)</f>
        <v>0</v>
      </c>
      <c r="H19463" s="4"/>
      <c r="I19463" s="4"/>
    </row>
    <row r="19464">
      <c r="A19464" s="4" t="str">
        <f>IFERROR(__xludf.DUMMYFUNCTION("""COMPUTED_VALUE"""),"cas_hmw")</f>
        <v>cas_hmw</v>
      </c>
      <c r="B19464" s="5">
        <f>IFERROR(__xludf.DUMMYFUNCTION("""COMPUTED_VALUE"""),44777.0)</f>
        <v>44777</v>
      </c>
      <c r="C19464" s="6">
        <f>IFERROR(__xludf.DUMMYFUNCTION("""COMPUTED_VALUE"""),0.7570486111108039)</f>
        <v>0.7570486111</v>
      </c>
      <c r="D19464" s="4">
        <f>IFERROR(__xludf.DUMMYFUNCTION("""COMPUTED_VALUE"""),13.065371)</f>
        <v>13.065371</v>
      </c>
      <c r="E19464" s="4">
        <f>IFERROR(__xludf.DUMMYFUNCTION("""COMPUTED_VALUE"""),80.247771)</f>
        <v>80.247771</v>
      </c>
      <c r="F19464" s="4">
        <f>IFERROR(__xludf.DUMMYFUNCTION("""COMPUTED_VALUE"""),5339.0)</f>
        <v>5339</v>
      </c>
      <c r="G19464" s="4">
        <f>IFERROR(__xludf.DUMMYFUNCTION("""COMPUTED_VALUE"""),26.0)</f>
        <v>26</v>
      </c>
      <c r="H19464" s="4"/>
      <c r="I19464" s="4"/>
    </row>
    <row r="19465">
      <c r="A19465" s="4" t="str">
        <f>IFERROR(__xludf.DUMMYFUNCTION("""COMPUTED_VALUE"""),"cas_hmw")</f>
        <v>cas_hmw</v>
      </c>
      <c r="B19465" s="5">
        <f>IFERROR(__xludf.DUMMYFUNCTION("""COMPUTED_VALUE"""),44777.0)</f>
        <v>44777</v>
      </c>
      <c r="C19465" s="6">
        <f>IFERROR(__xludf.DUMMYFUNCTION("""COMPUTED_VALUE"""),0.7570486111108039)</f>
        <v>0.7570486111</v>
      </c>
      <c r="D19465" s="4">
        <f>IFERROR(__xludf.DUMMYFUNCTION("""COMPUTED_VALUE"""),13.065371)</f>
        <v>13.065371</v>
      </c>
      <c r="E19465" s="4">
        <f>IFERROR(__xludf.DUMMYFUNCTION("""COMPUTED_VALUE"""),80.247771)</f>
        <v>80.247771</v>
      </c>
      <c r="F19465" s="4">
        <f>IFERROR(__xludf.DUMMYFUNCTION("""COMPUTED_VALUE"""),5339.0)</f>
        <v>5339</v>
      </c>
      <c r="G19465" s="4">
        <f>IFERROR(__xludf.DUMMYFUNCTION("""COMPUTED_VALUE"""),26.0)</f>
        <v>26</v>
      </c>
      <c r="H19465" s="4"/>
      <c r="I19465" s="4"/>
    </row>
    <row r="19466">
      <c r="A19466" s="4" t="str">
        <f>IFERROR(__xludf.DUMMYFUNCTION("""COMPUTED_VALUE"""),"cas_hmw")</f>
        <v>cas_hmw</v>
      </c>
      <c r="B19466" s="5">
        <f>IFERROR(__xludf.DUMMYFUNCTION("""COMPUTED_VALUE"""),44777.0)</f>
        <v>44777</v>
      </c>
      <c r="C19466" s="6">
        <f>IFERROR(__xludf.DUMMYFUNCTION("""COMPUTED_VALUE"""),0.7570486111108039)</f>
        <v>0.7570486111</v>
      </c>
      <c r="D19466" s="4">
        <f>IFERROR(__xludf.DUMMYFUNCTION("""COMPUTED_VALUE"""),13.062136)</f>
        <v>13.062136</v>
      </c>
      <c r="E19466" s="4">
        <f>IFERROR(__xludf.DUMMYFUNCTION("""COMPUTED_VALUE"""),80.263221)</f>
        <v>80.263221</v>
      </c>
      <c r="F19466" s="4">
        <f>IFERROR(__xludf.DUMMYFUNCTION("""COMPUTED_VALUE"""),805.0)</f>
        <v>805</v>
      </c>
      <c r="G19466" s="4">
        <f>IFERROR(__xludf.DUMMYFUNCTION("""COMPUTED_VALUE"""),0.0)</f>
        <v>0</v>
      </c>
      <c r="H19466" s="4"/>
      <c r="I19466" s="4"/>
    </row>
    <row r="19467">
      <c r="A19467" s="4" t="str">
        <f>IFERROR(__xludf.DUMMYFUNCTION("""COMPUTED_VALUE"""),"cas_hmw")</f>
        <v>cas_hmw</v>
      </c>
      <c r="B19467" s="5">
        <f>IFERROR(__xludf.DUMMYFUNCTION("""COMPUTED_VALUE"""),44777.0)</f>
        <v>44777</v>
      </c>
      <c r="C19467" s="6">
        <f>IFERROR(__xludf.DUMMYFUNCTION("""COMPUTED_VALUE"""),0.7570833333338669)</f>
        <v>0.7570833333</v>
      </c>
      <c r="D19467" s="4">
        <f>IFERROR(__xludf.DUMMYFUNCTION("""COMPUTED_VALUE"""),13.062136)</f>
        <v>13.062136</v>
      </c>
      <c r="E19467" s="4">
        <f>IFERROR(__xludf.DUMMYFUNCTION("""COMPUTED_VALUE"""),80.263221)</f>
        <v>80.263221</v>
      </c>
      <c r="F19467" s="4">
        <f>IFERROR(__xludf.DUMMYFUNCTION("""COMPUTED_VALUE"""),805.0)</f>
        <v>805</v>
      </c>
      <c r="G19467" s="4">
        <f>IFERROR(__xludf.DUMMYFUNCTION("""COMPUTED_VALUE"""),0.0)</f>
        <v>0</v>
      </c>
      <c r="H19467" s="4"/>
      <c r="I19467" s="4"/>
    </row>
    <row r="19468">
      <c r="A19468" s="4" t="str">
        <f>IFERROR(__xludf.DUMMYFUNCTION("""COMPUTED_VALUE"""),"cas_hmw")</f>
        <v>cas_hmw</v>
      </c>
      <c r="B19468" s="5">
        <f>IFERROR(__xludf.DUMMYFUNCTION("""COMPUTED_VALUE"""),44777.0)</f>
        <v>44777</v>
      </c>
      <c r="C19468" s="6">
        <f>IFERROR(__xludf.DUMMYFUNCTION("""COMPUTED_VALUE"""),0.7604513888873043)</f>
        <v>0.7604513889</v>
      </c>
      <c r="D19468" s="4">
        <f>IFERROR(__xludf.DUMMYFUNCTION("""COMPUTED_VALUE"""),13.048053)</f>
        <v>13.048053</v>
      </c>
      <c r="E19468" s="4">
        <f>IFERROR(__xludf.DUMMYFUNCTION("""COMPUTED_VALUE"""),80.086059)</f>
        <v>80.086059</v>
      </c>
      <c r="F19468" s="4">
        <f>IFERROR(__xludf.DUMMYFUNCTION("""COMPUTED_VALUE"""),3143.0)</f>
        <v>3143</v>
      </c>
      <c r="G19468" s="4">
        <f>IFERROR(__xludf.DUMMYFUNCTION("""COMPUTED_VALUE"""),38.0)</f>
        <v>38</v>
      </c>
      <c r="H19468" s="4"/>
      <c r="I19468" s="4"/>
    </row>
    <row r="19469">
      <c r="A19469" s="4" t="str">
        <f>IFERROR(__xludf.DUMMYFUNCTION("""COMPUTED_VALUE"""),"cas_hmw")</f>
        <v>cas_hmw</v>
      </c>
      <c r="B19469" s="5">
        <f>IFERROR(__xludf.DUMMYFUNCTION("""COMPUTED_VALUE"""),44777.0)</f>
        <v>44777</v>
      </c>
      <c r="C19469" s="6">
        <f>IFERROR(__xludf.DUMMYFUNCTION("""COMPUTED_VALUE"""),0.7607638888875954)</f>
        <v>0.7607638889</v>
      </c>
      <c r="D19469" s="4">
        <f>IFERROR(__xludf.DUMMYFUNCTION("""COMPUTED_VALUE"""),13.06677)</f>
        <v>13.06677</v>
      </c>
      <c r="E19469" s="4">
        <f>IFERROR(__xludf.DUMMYFUNCTION("""COMPUTED_VALUE"""),80.254269)</f>
        <v>80.254269</v>
      </c>
      <c r="F19469" s="4">
        <f>IFERROR(__xludf.DUMMYFUNCTION("""COMPUTED_VALUE"""),805.0)</f>
        <v>805</v>
      </c>
      <c r="G19469" s="4">
        <f>IFERROR(__xludf.DUMMYFUNCTION("""COMPUTED_VALUE"""),6.0)</f>
        <v>6</v>
      </c>
      <c r="H19469" s="4"/>
      <c r="I19469" s="4"/>
    </row>
    <row r="19470">
      <c r="A19470" s="4" t="str">
        <f>IFERROR(__xludf.DUMMYFUNCTION("""COMPUTED_VALUE"""),"cas_hmw")</f>
        <v>cas_hmw</v>
      </c>
      <c r="B19470" s="5">
        <f>IFERROR(__xludf.DUMMYFUNCTION("""COMPUTED_VALUE"""),44778.0)</f>
        <v>44778</v>
      </c>
      <c r="C19470" s="6">
        <f>IFERROR(__xludf.DUMMYFUNCTION("""COMPUTED_VALUE"""),0.28730324074058444)</f>
        <v>0.2873032407</v>
      </c>
      <c r="D19470" s="4">
        <f>IFERROR(__xludf.DUMMYFUNCTION("""COMPUTED_VALUE"""),13.056719)</f>
        <v>13.056719</v>
      </c>
      <c r="E19470" s="4">
        <f>IFERROR(__xludf.DUMMYFUNCTION("""COMPUTED_VALUE"""),80.115619)</f>
        <v>80.115619</v>
      </c>
      <c r="F19470" s="4">
        <f>IFERROR(__xludf.DUMMYFUNCTION("""COMPUTED_VALUE"""),3143.0)</f>
        <v>3143</v>
      </c>
      <c r="G19470" s="4">
        <f>IFERROR(__xludf.DUMMYFUNCTION("""COMPUTED_VALUE"""),36.0)</f>
        <v>36</v>
      </c>
      <c r="H19470" s="4"/>
      <c r="I19470" s="4"/>
    </row>
    <row r="19471">
      <c r="A19471" s="4" t="str">
        <f>IFERROR(__xludf.DUMMYFUNCTION("""COMPUTED_VALUE"""),"cas_hmw")</f>
        <v>cas_hmw</v>
      </c>
      <c r="B19471" s="5">
        <f>IFERROR(__xludf.DUMMYFUNCTION("""COMPUTED_VALUE"""),44778.0)</f>
        <v>44778</v>
      </c>
      <c r="C19471" s="6">
        <f>IFERROR(__xludf.DUMMYFUNCTION("""COMPUTED_VALUE"""),0.28932870370408637)</f>
        <v>0.2893287037</v>
      </c>
      <c r="D19471" s="4">
        <f>IFERROR(__xludf.DUMMYFUNCTION("""COMPUTED_VALUE"""),12.474684)</f>
        <v>12.474684</v>
      </c>
      <c r="E19471" s="4">
        <f>IFERROR(__xludf.DUMMYFUNCTION("""COMPUTED_VALUE"""),79.85705)</f>
        <v>79.85705</v>
      </c>
      <c r="F19471" s="4">
        <f>IFERROR(__xludf.DUMMYFUNCTION("""COMPUTED_VALUE"""),2846.0)</f>
        <v>2846</v>
      </c>
      <c r="G19471" s="4">
        <f>IFERROR(__xludf.DUMMYFUNCTION("""COMPUTED_VALUE"""),58.0)</f>
        <v>58</v>
      </c>
      <c r="H19471" s="4"/>
      <c r="I19471" s="4"/>
    </row>
    <row r="19472">
      <c r="A19472" s="4" t="str">
        <f>IFERROR(__xludf.DUMMYFUNCTION("""COMPUTED_VALUE"""),"cas_hmw")</f>
        <v>cas_hmw</v>
      </c>
      <c r="B19472" s="5">
        <f>IFERROR(__xludf.DUMMYFUNCTION("""COMPUTED_VALUE"""),44778.0)</f>
        <v>44778</v>
      </c>
      <c r="C19472" s="6">
        <f>IFERROR(__xludf.DUMMYFUNCTION("""COMPUTED_VALUE"""),0.29656249999970896)</f>
        <v>0.2965625</v>
      </c>
      <c r="D19472" s="4">
        <f>IFERROR(__xludf.DUMMYFUNCTION("""COMPUTED_VALUE"""),12.508898)</f>
        <v>12.508898</v>
      </c>
      <c r="E19472" s="4">
        <f>IFERROR(__xludf.DUMMYFUNCTION("""COMPUTED_VALUE"""),79.886825)</f>
        <v>79.886825</v>
      </c>
      <c r="F19472" s="4">
        <f>IFERROR(__xludf.DUMMYFUNCTION("""COMPUTED_VALUE"""),2846.0)</f>
        <v>2846</v>
      </c>
      <c r="G19472" s="4">
        <f>IFERROR(__xludf.DUMMYFUNCTION("""COMPUTED_VALUE"""),35.0)</f>
        <v>35</v>
      </c>
      <c r="H19472" s="4"/>
      <c r="I19472" s="4"/>
    </row>
    <row r="19473">
      <c r="A19473" s="4" t="str">
        <f>IFERROR(__xludf.DUMMYFUNCTION("""COMPUTED_VALUE"""),"cas_hmw")</f>
        <v>cas_hmw</v>
      </c>
      <c r="B19473" s="5">
        <f>IFERROR(__xludf.DUMMYFUNCTION("""COMPUTED_VALUE"""),44778.0)</f>
        <v>44778</v>
      </c>
      <c r="C19473" s="6">
        <f>IFERROR(__xludf.DUMMYFUNCTION("""COMPUTED_VALUE"""),0.2966203703690553)</f>
        <v>0.2966203704</v>
      </c>
      <c r="D19473" s="4">
        <f>IFERROR(__xludf.DUMMYFUNCTION("""COMPUTED_VALUE"""),12.508928)</f>
        <v>12.508928</v>
      </c>
      <c r="E19473" s="4">
        <f>IFERROR(__xludf.DUMMYFUNCTION("""COMPUTED_VALUE"""),79.888695)</f>
        <v>79.888695</v>
      </c>
      <c r="F19473" s="4">
        <f>IFERROR(__xludf.DUMMYFUNCTION("""COMPUTED_VALUE"""),2846.0)</f>
        <v>2846</v>
      </c>
      <c r="G19473" s="4">
        <f>IFERROR(__xludf.DUMMYFUNCTION("""COMPUTED_VALUE"""),31.0)</f>
        <v>31</v>
      </c>
      <c r="H19473" s="4"/>
      <c r="I19473" s="4"/>
    </row>
    <row r="19474">
      <c r="A19474" s="4" t="str">
        <f>IFERROR(__xludf.DUMMYFUNCTION("""COMPUTED_VALUE"""),"cas_hmw")</f>
        <v>cas_hmw</v>
      </c>
      <c r="B19474" s="5">
        <f>IFERROR(__xludf.DUMMYFUNCTION("""COMPUTED_VALUE"""),44778.0)</f>
        <v>44778</v>
      </c>
      <c r="C19474" s="6">
        <f>IFERROR(__xludf.DUMMYFUNCTION("""COMPUTED_VALUE"""),0.3008449074077362)</f>
        <v>0.3008449074</v>
      </c>
      <c r="D19474" s="4">
        <f>IFERROR(__xludf.DUMMYFUNCTION("""COMPUTED_VALUE"""),13.063737)</f>
        <v>13.063737</v>
      </c>
      <c r="E19474" s="4">
        <f>IFERROR(__xludf.DUMMYFUNCTION("""COMPUTED_VALUE"""),80.250966)</f>
        <v>80.250966</v>
      </c>
      <c r="F19474" s="4">
        <f>IFERROR(__xludf.DUMMYFUNCTION("""COMPUTED_VALUE"""),5339.0)</f>
        <v>5339</v>
      </c>
      <c r="G19474" s="4">
        <f>IFERROR(__xludf.DUMMYFUNCTION("""COMPUTED_VALUE"""),0.0)</f>
        <v>0</v>
      </c>
      <c r="H19474" s="4"/>
      <c r="I19474" s="4"/>
    </row>
    <row r="19475">
      <c r="A19475" s="4" t="str">
        <f>IFERROR(__xludf.DUMMYFUNCTION("""COMPUTED_VALUE"""),"cas_hmw")</f>
        <v>cas_hmw</v>
      </c>
      <c r="B19475" s="5">
        <f>IFERROR(__xludf.DUMMYFUNCTION("""COMPUTED_VALUE"""),44778.0)</f>
        <v>44778</v>
      </c>
      <c r="C19475" s="6">
        <f>IFERROR(__xludf.DUMMYFUNCTION("""COMPUTED_VALUE"""),0.30085648148087785)</f>
        <v>0.3008564815</v>
      </c>
      <c r="D19475" s="4">
        <f>IFERROR(__xludf.DUMMYFUNCTION("""COMPUTED_VALUE"""),13.063737)</f>
        <v>13.063737</v>
      </c>
      <c r="E19475" s="4">
        <f>IFERROR(__xludf.DUMMYFUNCTION("""COMPUTED_VALUE"""),80.250966)</f>
        <v>80.250966</v>
      </c>
      <c r="F19475" s="4">
        <f>IFERROR(__xludf.DUMMYFUNCTION("""COMPUTED_VALUE"""),5339.0)</f>
        <v>5339</v>
      </c>
      <c r="G19475" s="4">
        <f>IFERROR(__xludf.DUMMYFUNCTION("""COMPUTED_VALUE"""),0.0)</f>
        <v>0</v>
      </c>
      <c r="H19475" s="4"/>
      <c r="I19475" s="4"/>
    </row>
    <row r="19476">
      <c r="A19476" s="4" t="str">
        <f>IFERROR(__xludf.DUMMYFUNCTION("""COMPUTED_VALUE"""),"cas_hmw")</f>
        <v>cas_hmw</v>
      </c>
      <c r="B19476" s="5">
        <f>IFERROR(__xludf.DUMMYFUNCTION("""COMPUTED_VALUE"""),44778.0)</f>
        <v>44778</v>
      </c>
      <c r="C19476" s="6">
        <f>IFERROR(__xludf.DUMMYFUNCTION("""COMPUTED_VALUE"""),0.3008680555540195)</f>
        <v>0.3008680556</v>
      </c>
      <c r="D19476" s="4">
        <f>IFERROR(__xludf.DUMMYFUNCTION("""COMPUTED_VALUE"""),13.063737)</f>
        <v>13.063737</v>
      </c>
      <c r="E19476" s="4">
        <f>IFERROR(__xludf.DUMMYFUNCTION("""COMPUTED_VALUE"""),80.250966)</f>
        <v>80.250966</v>
      </c>
      <c r="F19476" s="4">
        <f>IFERROR(__xludf.DUMMYFUNCTION("""COMPUTED_VALUE"""),5339.0)</f>
        <v>5339</v>
      </c>
      <c r="G19476" s="4">
        <f>IFERROR(__xludf.DUMMYFUNCTION("""COMPUTED_VALUE"""),0.0)</f>
        <v>0</v>
      </c>
      <c r="H19476" s="4"/>
      <c r="I19476" s="4"/>
    </row>
    <row r="19477">
      <c r="A19477" s="4" t="str">
        <f>IFERROR(__xludf.DUMMYFUNCTION("""COMPUTED_VALUE"""),"cas_hmw")</f>
        <v>cas_hmw</v>
      </c>
      <c r="B19477" s="5">
        <f>IFERROR(__xludf.DUMMYFUNCTION("""COMPUTED_VALUE"""),44778.0)</f>
        <v>44778</v>
      </c>
      <c r="C19477" s="6">
        <f>IFERROR(__xludf.DUMMYFUNCTION("""COMPUTED_VALUE"""),0.30092592592700385)</f>
        <v>0.3009259259</v>
      </c>
      <c r="D19477" s="4">
        <f>IFERROR(__xludf.DUMMYFUNCTION("""COMPUTED_VALUE"""),13.063737)</f>
        <v>13.063737</v>
      </c>
      <c r="E19477" s="4">
        <f>IFERROR(__xludf.DUMMYFUNCTION("""COMPUTED_VALUE"""),80.250966)</f>
        <v>80.250966</v>
      </c>
      <c r="F19477" s="4">
        <f>IFERROR(__xludf.DUMMYFUNCTION("""COMPUTED_VALUE"""),5339.0)</f>
        <v>5339</v>
      </c>
      <c r="G19477" s="4">
        <f>IFERROR(__xludf.DUMMYFUNCTION("""COMPUTED_VALUE"""),0.0)</f>
        <v>0</v>
      </c>
      <c r="H19477" s="4"/>
      <c r="I19477" s="4"/>
    </row>
    <row r="19478">
      <c r="A19478" s="4" t="str">
        <f>IFERROR(__xludf.DUMMYFUNCTION("""COMPUTED_VALUE"""),"cas_hmw")</f>
        <v>cas_hmw</v>
      </c>
      <c r="B19478" s="5">
        <f>IFERROR(__xludf.DUMMYFUNCTION("""COMPUTED_VALUE"""),44778.0)</f>
        <v>44778</v>
      </c>
      <c r="C19478" s="6">
        <f>IFERROR(__xludf.DUMMYFUNCTION("""COMPUTED_VALUE"""),0.3009375000001455)</f>
        <v>0.3009375</v>
      </c>
      <c r="D19478" s="4">
        <f>IFERROR(__xludf.DUMMYFUNCTION("""COMPUTED_VALUE"""),13.063737)</f>
        <v>13.063737</v>
      </c>
      <c r="E19478" s="4">
        <f>IFERROR(__xludf.DUMMYFUNCTION("""COMPUTED_VALUE"""),80.250966)</f>
        <v>80.250966</v>
      </c>
      <c r="F19478" s="4">
        <f>IFERROR(__xludf.DUMMYFUNCTION("""COMPUTED_VALUE"""),5339.0)</f>
        <v>5339</v>
      </c>
      <c r="G19478" s="4">
        <f>IFERROR(__xludf.DUMMYFUNCTION("""COMPUTED_VALUE"""),0.0)</f>
        <v>0</v>
      </c>
      <c r="H19478" s="4"/>
      <c r="I19478" s="4"/>
    </row>
    <row r="19479">
      <c r="A19479" s="4" t="str">
        <f>IFERROR(__xludf.DUMMYFUNCTION("""COMPUTED_VALUE"""),"cas_hmw")</f>
        <v>cas_hmw</v>
      </c>
      <c r="B19479" s="5">
        <f>IFERROR(__xludf.DUMMYFUNCTION("""COMPUTED_VALUE"""),44778.0)</f>
        <v>44778</v>
      </c>
      <c r="C19479" s="6">
        <f>IFERROR(__xludf.DUMMYFUNCTION("""COMPUTED_VALUE"""),0.3009490740732872)</f>
        <v>0.3009490741</v>
      </c>
      <c r="D19479" s="4">
        <f>IFERROR(__xludf.DUMMYFUNCTION("""COMPUTED_VALUE"""),13.063737)</f>
        <v>13.063737</v>
      </c>
      <c r="E19479" s="4">
        <f>IFERROR(__xludf.DUMMYFUNCTION("""COMPUTED_VALUE"""),80.250966)</f>
        <v>80.250966</v>
      </c>
      <c r="F19479" s="4">
        <f>IFERROR(__xludf.DUMMYFUNCTION("""COMPUTED_VALUE"""),5339.0)</f>
        <v>5339</v>
      </c>
      <c r="G19479" s="4">
        <f>IFERROR(__xludf.DUMMYFUNCTION("""COMPUTED_VALUE"""),0.0)</f>
        <v>0</v>
      </c>
      <c r="H19479" s="4"/>
      <c r="I19479" s="4"/>
    </row>
    <row r="19480">
      <c r="A19480" s="4" t="str">
        <f>IFERROR(__xludf.DUMMYFUNCTION("""COMPUTED_VALUE"""),"cas_hmw")</f>
        <v>cas_hmw</v>
      </c>
      <c r="B19480" s="5">
        <f>IFERROR(__xludf.DUMMYFUNCTION("""COMPUTED_VALUE"""),44778.0)</f>
        <v>44778</v>
      </c>
      <c r="C19480" s="6">
        <f>IFERROR(__xludf.DUMMYFUNCTION("""COMPUTED_VALUE"""),0.30717592592554865)</f>
        <v>0.3071759259</v>
      </c>
      <c r="D19480" s="4">
        <f>IFERROR(__xludf.DUMMYFUNCTION("""COMPUTED_VALUE"""),12.598301)</f>
        <v>12.598301</v>
      </c>
      <c r="E19480" s="4">
        <f>IFERROR(__xludf.DUMMYFUNCTION("""COMPUTED_VALUE"""),79.919674)</f>
        <v>79.919674</v>
      </c>
      <c r="F19480" s="4">
        <f>IFERROR(__xludf.DUMMYFUNCTION("""COMPUTED_VALUE"""),2846.0)</f>
        <v>2846</v>
      </c>
      <c r="G19480" s="4">
        <f>IFERROR(__xludf.DUMMYFUNCTION("""COMPUTED_VALUE"""),58.0)</f>
        <v>58</v>
      </c>
      <c r="H19480" s="4"/>
      <c r="I19480" s="4"/>
    </row>
    <row r="19481">
      <c r="A19481" s="4" t="str">
        <f>IFERROR(__xludf.DUMMYFUNCTION("""COMPUTED_VALUE"""),"cas_hmw")</f>
        <v>cas_hmw</v>
      </c>
      <c r="B19481" s="5">
        <f>IFERROR(__xludf.DUMMYFUNCTION("""COMPUTED_VALUE"""),44778.0)</f>
        <v>44778</v>
      </c>
      <c r="C19481" s="6">
        <f>IFERROR(__xludf.DUMMYFUNCTION("""COMPUTED_VALUE"""),0.31175925926072523)</f>
        <v>0.3117592593</v>
      </c>
      <c r="D19481" s="4">
        <f>IFERROR(__xludf.DUMMYFUNCTION("""COMPUTED_VALUE"""),13.054118)</f>
        <v>13.054118</v>
      </c>
      <c r="E19481" s="4">
        <f>IFERROR(__xludf.DUMMYFUNCTION("""COMPUTED_VALUE"""),80.261279)</f>
        <v>80.261279</v>
      </c>
      <c r="F19481" s="4">
        <f>IFERROR(__xludf.DUMMYFUNCTION("""COMPUTED_VALUE"""),5339.0)</f>
        <v>5339</v>
      </c>
      <c r="G19481" s="4">
        <f>IFERROR(__xludf.DUMMYFUNCTION("""COMPUTED_VALUE"""),23.0)</f>
        <v>23</v>
      </c>
      <c r="H19481" s="4"/>
      <c r="I19481" s="4"/>
    </row>
    <row r="19482">
      <c r="A19482" s="4" t="str">
        <f>IFERROR(__xludf.DUMMYFUNCTION("""COMPUTED_VALUE"""),"cas_hmw")</f>
        <v>cas_hmw</v>
      </c>
      <c r="B19482" s="5">
        <f>IFERROR(__xludf.DUMMYFUNCTION("""COMPUTED_VALUE"""),44778.0)</f>
        <v>44778</v>
      </c>
      <c r="C19482" s="6">
        <f>IFERROR(__xludf.DUMMYFUNCTION("""COMPUTED_VALUE"""),0.31299768518510973)</f>
        <v>0.3129976852</v>
      </c>
      <c r="D19482" s="4">
        <f>IFERROR(__xludf.DUMMYFUNCTION("""COMPUTED_VALUE"""),12.657476)</f>
        <v>12.657476</v>
      </c>
      <c r="E19482" s="4">
        <f>IFERROR(__xludf.DUMMYFUNCTION("""COMPUTED_VALUE"""),79.947229)</f>
        <v>79.947229</v>
      </c>
      <c r="F19482" s="4">
        <f>IFERROR(__xludf.DUMMYFUNCTION("""COMPUTED_VALUE"""),2846.0)</f>
        <v>2846</v>
      </c>
      <c r="G19482" s="4">
        <f>IFERROR(__xludf.DUMMYFUNCTION("""COMPUTED_VALUE"""),44.0)</f>
        <v>44</v>
      </c>
      <c r="H19482" s="4"/>
      <c r="I19482" s="4"/>
    </row>
    <row r="19483">
      <c r="A19483" s="4" t="str">
        <f>IFERROR(__xludf.DUMMYFUNCTION("""COMPUTED_VALUE"""),"cas_hmw")</f>
        <v>cas_hmw</v>
      </c>
      <c r="B19483" s="5">
        <f>IFERROR(__xludf.DUMMYFUNCTION("""COMPUTED_VALUE"""),44778.0)</f>
        <v>44778</v>
      </c>
      <c r="C19483" s="6">
        <f>IFERROR(__xludf.DUMMYFUNCTION("""COMPUTED_VALUE"""),0.31306712963123573)</f>
        <v>0.3130671296</v>
      </c>
      <c r="D19483" s="4">
        <f>IFERROR(__xludf.DUMMYFUNCTION("""COMPUTED_VALUE"""),12.657151)</f>
        <v>12.657151</v>
      </c>
      <c r="E19483" s="4">
        <f>IFERROR(__xludf.DUMMYFUNCTION("""COMPUTED_VALUE"""),79.948366)</f>
        <v>79.948366</v>
      </c>
      <c r="F19483" s="4">
        <f>IFERROR(__xludf.DUMMYFUNCTION("""COMPUTED_VALUE"""),2846.0)</f>
        <v>2846</v>
      </c>
      <c r="G19483" s="4">
        <f>IFERROR(__xludf.DUMMYFUNCTION("""COMPUTED_VALUE"""),40.0)</f>
        <v>40</v>
      </c>
      <c r="H19483" s="4"/>
      <c r="I19483" s="4"/>
    </row>
    <row r="19484">
      <c r="A19484" s="4" t="str">
        <f>IFERROR(__xludf.DUMMYFUNCTION("""COMPUTED_VALUE"""),"cas_hmw")</f>
        <v>cas_hmw</v>
      </c>
      <c r="B19484" s="5">
        <f>IFERROR(__xludf.DUMMYFUNCTION("""COMPUTED_VALUE"""),44778.0)</f>
        <v>44778</v>
      </c>
      <c r="C19484" s="6">
        <f>IFERROR(__xludf.DUMMYFUNCTION("""COMPUTED_VALUE"""),0.3132175925929914)</f>
        <v>0.3132175926</v>
      </c>
      <c r="D19484" s="4">
        <f>IFERROR(__xludf.DUMMYFUNCTION("""COMPUTED_VALUE"""),12.657151)</f>
        <v>12.657151</v>
      </c>
      <c r="E19484" s="4">
        <f>IFERROR(__xludf.DUMMYFUNCTION("""COMPUTED_VALUE"""),79.948366)</f>
        <v>79.948366</v>
      </c>
      <c r="F19484" s="4">
        <f>IFERROR(__xludf.DUMMYFUNCTION("""COMPUTED_VALUE"""),2846.0)</f>
        <v>2846</v>
      </c>
      <c r="G19484" s="4">
        <f>IFERROR(__xludf.DUMMYFUNCTION("""COMPUTED_VALUE"""),40.0)</f>
        <v>40</v>
      </c>
      <c r="H19484" s="4"/>
      <c r="I19484" s="4"/>
    </row>
    <row r="19485">
      <c r="A19485" s="4" t="str">
        <f>IFERROR(__xludf.DUMMYFUNCTION("""COMPUTED_VALUE"""),"cas_hmw")</f>
        <v>cas_hmw</v>
      </c>
      <c r="B19485" s="5">
        <f>IFERROR(__xludf.DUMMYFUNCTION("""COMPUTED_VALUE"""),44778.0)</f>
        <v>44778</v>
      </c>
      <c r="C19485" s="6">
        <f>IFERROR(__xludf.DUMMYFUNCTION("""COMPUTED_VALUE"""),0.31324074073927477)</f>
        <v>0.3132407407</v>
      </c>
      <c r="D19485" s="4">
        <f>IFERROR(__xludf.DUMMYFUNCTION("""COMPUTED_VALUE"""),12.991034)</f>
        <v>12.991034</v>
      </c>
      <c r="E19485" s="4">
        <f>IFERROR(__xludf.DUMMYFUNCTION("""COMPUTED_VALUE"""),80.115909)</f>
        <v>80.115909</v>
      </c>
      <c r="F19485" s="4">
        <f>IFERROR(__xludf.DUMMYFUNCTION("""COMPUTED_VALUE"""),3143.0)</f>
        <v>3143</v>
      </c>
      <c r="G19485" s="4">
        <f>IFERROR(__xludf.DUMMYFUNCTION("""COMPUTED_VALUE"""),43.0)</f>
        <v>43</v>
      </c>
      <c r="H19485" s="4"/>
      <c r="I19485" s="4"/>
    </row>
    <row r="19486">
      <c r="A19486" s="4" t="str">
        <f>IFERROR(__xludf.DUMMYFUNCTION("""COMPUTED_VALUE"""),"cas_hmw")</f>
        <v>cas_hmw</v>
      </c>
      <c r="B19486" s="5">
        <f>IFERROR(__xludf.DUMMYFUNCTION("""COMPUTED_VALUE"""),44778.0)</f>
        <v>44778</v>
      </c>
      <c r="C19486" s="6">
        <f>IFERROR(__xludf.DUMMYFUNCTION("""COMPUTED_VALUE"""),0.3134375000008731)</f>
        <v>0.3134375</v>
      </c>
      <c r="D19486" s="4">
        <f>IFERROR(__xludf.DUMMYFUNCTION("""COMPUTED_VALUE"""),13.051675)</f>
        <v>13.051675</v>
      </c>
      <c r="E19486" s="4">
        <f>IFERROR(__xludf.DUMMYFUNCTION("""COMPUTED_VALUE"""),80.250362)</f>
        <v>80.250362</v>
      </c>
      <c r="F19486" s="4">
        <f>IFERROR(__xludf.DUMMYFUNCTION("""COMPUTED_VALUE"""),5339.0)</f>
        <v>5339</v>
      </c>
      <c r="G19486" s="4">
        <f>IFERROR(__xludf.DUMMYFUNCTION("""COMPUTED_VALUE"""),47.0)</f>
        <v>47</v>
      </c>
      <c r="H19486" s="4"/>
      <c r="I19486" s="4"/>
    </row>
    <row r="19487">
      <c r="A19487" s="4" t="str">
        <f>IFERROR(__xludf.DUMMYFUNCTION("""COMPUTED_VALUE"""),"cas_hmw")</f>
        <v>cas_hmw</v>
      </c>
      <c r="B19487" s="5">
        <f>IFERROR(__xludf.DUMMYFUNCTION("""COMPUTED_VALUE"""),44778.0)</f>
        <v>44778</v>
      </c>
      <c r="C19487" s="6">
        <f>IFERROR(__xludf.DUMMYFUNCTION("""COMPUTED_VALUE"""),0.31361111111255013)</f>
        <v>0.3136111111</v>
      </c>
      <c r="D19487" s="4">
        <f>IFERROR(__xludf.DUMMYFUNCTION("""COMPUTED_VALUE"""),12.656067)</f>
        <v>12.656067</v>
      </c>
      <c r="E19487" s="4">
        <f>IFERROR(__xludf.DUMMYFUNCTION("""COMPUTED_VALUE"""),79.952124)</f>
        <v>79.952124</v>
      </c>
      <c r="F19487" s="4">
        <f>IFERROR(__xludf.DUMMYFUNCTION("""COMPUTED_VALUE"""),2846.0)</f>
        <v>2846</v>
      </c>
      <c r="G19487" s="4">
        <f>IFERROR(__xludf.DUMMYFUNCTION("""COMPUTED_VALUE"""),49.0)</f>
        <v>49</v>
      </c>
      <c r="H19487" s="4"/>
      <c r="I19487" s="4"/>
    </row>
    <row r="19488">
      <c r="A19488" s="4" t="str">
        <f>IFERROR(__xludf.DUMMYFUNCTION("""COMPUTED_VALUE"""),"cas_hmw")</f>
        <v>cas_hmw</v>
      </c>
      <c r="B19488" s="5">
        <f>IFERROR(__xludf.DUMMYFUNCTION("""COMPUTED_VALUE"""),44778.0)</f>
        <v>44778</v>
      </c>
      <c r="C19488" s="6">
        <f>IFERROR(__xludf.DUMMYFUNCTION("""COMPUTED_VALUE"""),0.31434027777868323)</f>
        <v>0.3143402778</v>
      </c>
      <c r="D19488" s="4">
        <f>IFERROR(__xludf.DUMMYFUNCTION("""COMPUTED_VALUE"""),13.048234)</f>
        <v>13.048234</v>
      </c>
      <c r="E19488" s="4">
        <f>IFERROR(__xludf.DUMMYFUNCTION("""COMPUTED_VALUE"""),80.24949)</f>
        <v>80.24949</v>
      </c>
      <c r="F19488" s="4">
        <f>IFERROR(__xludf.DUMMYFUNCTION("""COMPUTED_VALUE"""),5339.0)</f>
        <v>5339</v>
      </c>
      <c r="G19488" s="4">
        <f>IFERROR(__xludf.DUMMYFUNCTION("""COMPUTED_VALUE"""),47.0)</f>
        <v>47</v>
      </c>
      <c r="H19488" s="4"/>
      <c r="I19488" s="4"/>
    </row>
    <row r="19489">
      <c r="A19489" s="4" t="str">
        <f>IFERROR(__xludf.DUMMYFUNCTION("""COMPUTED_VALUE"""),"cas_hmw")</f>
        <v>cas_hmw</v>
      </c>
      <c r="B19489" s="5">
        <f>IFERROR(__xludf.DUMMYFUNCTION("""COMPUTED_VALUE"""),44778.0)</f>
        <v>44778</v>
      </c>
      <c r="C19489" s="6">
        <f>IFERROR(__xludf.DUMMYFUNCTION("""COMPUTED_VALUE"""),0.31473379629460396)</f>
        <v>0.3147337963</v>
      </c>
      <c r="D19489" s="4">
        <f>IFERROR(__xludf.DUMMYFUNCTION("""COMPUTED_VALUE"""),13.042389)</f>
        <v>13.042389</v>
      </c>
      <c r="E19489" s="4">
        <f>IFERROR(__xludf.DUMMYFUNCTION("""COMPUTED_VALUE"""),80.247572)</f>
        <v>80.247572</v>
      </c>
      <c r="F19489" s="4">
        <f>IFERROR(__xludf.DUMMYFUNCTION("""COMPUTED_VALUE"""),5339.0)</f>
        <v>5339</v>
      </c>
      <c r="G19489" s="4">
        <f>IFERROR(__xludf.DUMMYFUNCTION("""COMPUTED_VALUE"""),40.0)</f>
        <v>40</v>
      </c>
      <c r="H19489" s="4"/>
      <c r="I19489" s="4"/>
    </row>
    <row r="19490">
      <c r="A19490" s="4" t="str">
        <f>IFERROR(__xludf.DUMMYFUNCTION("""COMPUTED_VALUE"""),"cas_hmw")</f>
        <v>cas_hmw</v>
      </c>
      <c r="B19490" s="5">
        <f>IFERROR(__xludf.DUMMYFUNCTION("""COMPUTED_VALUE"""),44778.0)</f>
        <v>44778</v>
      </c>
      <c r="C19490" s="6">
        <f>IFERROR(__xludf.DUMMYFUNCTION("""COMPUTED_VALUE"""),0.3159953703689098)</f>
        <v>0.3159953704</v>
      </c>
      <c r="D19490" s="4">
        <f>IFERROR(__xludf.DUMMYFUNCTION("""COMPUTED_VALUE"""),13.035344)</f>
        <v>13.035344</v>
      </c>
      <c r="E19490" s="4">
        <f>IFERROR(__xludf.DUMMYFUNCTION("""COMPUTED_VALUE"""),80.246094)</f>
        <v>80.246094</v>
      </c>
      <c r="F19490" s="4">
        <f>IFERROR(__xludf.DUMMYFUNCTION("""COMPUTED_VALUE"""),5339.0)</f>
        <v>5339</v>
      </c>
      <c r="G19490" s="4">
        <f>IFERROR(__xludf.DUMMYFUNCTION("""COMPUTED_VALUE"""),22.0)</f>
        <v>22</v>
      </c>
      <c r="H19490" s="4"/>
      <c r="I19490" s="4"/>
    </row>
    <row r="19491">
      <c r="A19491" s="4" t="str">
        <f>IFERROR(__xludf.DUMMYFUNCTION("""COMPUTED_VALUE"""),"cas_hmw")</f>
        <v>cas_hmw</v>
      </c>
      <c r="B19491" s="5">
        <f>IFERROR(__xludf.DUMMYFUNCTION("""COMPUTED_VALUE"""),44778.0)</f>
        <v>44778</v>
      </c>
      <c r="C19491" s="6">
        <f>IFERROR(__xludf.DUMMYFUNCTION("""COMPUTED_VALUE"""),0.31818287037094706)</f>
        <v>0.3181828704</v>
      </c>
      <c r="D19491" s="4">
        <f>IFERROR(__xludf.DUMMYFUNCTION("""COMPUTED_VALUE"""),12.678883)</f>
        <v>12.678883</v>
      </c>
      <c r="E19491" s="4">
        <f>IFERROR(__xludf.DUMMYFUNCTION("""COMPUTED_VALUE"""),79.980214)</f>
        <v>79.980214</v>
      </c>
      <c r="F19491" s="4">
        <f>IFERROR(__xludf.DUMMYFUNCTION("""COMPUTED_VALUE"""),2846.0)</f>
        <v>2846</v>
      </c>
      <c r="G19491" s="4">
        <f>IFERROR(__xludf.DUMMYFUNCTION("""COMPUTED_VALUE"""),30.0)</f>
        <v>30</v>
      </c>
      <c r="H19491" s="4"/>
      <c r="I19491" s="4"/>
    </row>
    <row r="19492">
      <c r="A19492" s="4" t="str">
        <f>IFERROR(__xludf.DUMMYFUNCTION("""COMPUTED_VALUE"""),"cas_hmw")</f>
        <v>cas_hmw</v>
      </c>
      <c r="B19492" s="5">
        <f>IFERROR(__xludf.DUMMYFUNCTION("""COMPUTED_VALUE"""),44778.0)</f>
        <v>44778</v>
      </c>
      <c r="C19492" s="6">
        <f>IFERROR(__xludf.DUMMYFUNCTION("""COMPUTED_VALUE"""),0.3182060185172304)</f>
        <v>0.3182060185</v>
      </c>
      <c r="D19492" s="4">
        <f>IFERROR(__xludf.DUMMYFUNCTION("""COMPUTED_VALUE"""),13.030821)</f>
        <v>13.030821</v>
      </c>
      <c r="E19492" s="4">
        <f>IFERROR(__xludf.DUMMYFUNCTION("""COMPUTED_VALUE"""),80.239489)</f>
        <v>80.239489</v>
      </c>
      <c r="F19492" s="4">
        <f>IFERROR(__xludf.DUMMYFUNCTION("""COMPUTED_VALUE"""),5339.0)</f>
        <v>5339</v>
      </c>
      <c r="G19492" s="4">
        <f>IFERROR(__xludf.DUMMYFUNCTION("""COMPUTED_VALUE"""),33.0)</f>
        <v>33</v>
      </c>
      <c r="H19492" s="4"/>
      <c r="I19492" s="4"/>
    </row>
    <row r="19493">
      <c r="A19493" s="4" t="str">
        <f>IFERROR(__xludf.DUMMYFUNCTION("""COMPUTED_VALUE"""),"cas_hmw")</f>
        <v>cas_hmw</v>
      </c>
      <c r="B19493" s="5">
        <f>IFERROR(__xludf.DUMMYFUNCTION("""COMPUTED_VALUE"""),44778.0)</f>
        <v>44778</v>
      </c>
      <c r="C19493" s="6">
        <f>IFERROR(__xludf.DUMMYFUNCTION("""COMPUTED_VALUE"""),0.3206365740734327)</f>
        <v>0.3206365741</v>
      </c>
      <c r="D19493" s="4">
        <f>IFERROR(__xludf.DUMMYFUNCTION("""COMPUTED_VALUE"""),13.018324)</f>
        <v>13.018324</v>
      </c>
      <c r="E19493" s="4">
        <f>IFERROR(__xludf.DUMMYFUNCTION("""COMPUTED_VALUE"""),80.224696)</f>
        <v>80.224696</v>
      </c>
      <c r="F19493" s="4">
        <f>IFERROR(__xludf.DUMMYFUNCTION("""COMPUTED_VALUE"""),5339.0)</f>
        <v>5339</v>
      </c>
      <c r="G19493" s="4">
        <f>IFERROR(__xludf.DUMMYFUNCTION("""COMPUTED_VALUE"""),42.0)</f>
        <v>42</v>
      </c>
      <c r="H19493" s="4"/>
      <c r="I19493" s="4"/>
    </row>
    <row r="19494">
      <c r="A19494" s="4" t="str">
        <f>IFERROR(__xludf.DUMMYFUNCTION("""COMPUTED_VALUE"""),"cas_hmw")</f>
        <v>cas_hmw</v>
      </c>
      <c r="B19494" s="5">
        <f>IFERROR(__xludf.DUMMYFUNCTION("""COMPUTED_VALUE"""),44778.0)</f>
        <v>44778</v>
      </c>
      <c r="C19494" s="6">
        <f>IFERROR(__xludf.DUMMYFUNCTION("""COMPUTED_VALUE"""),0.3211921296278888)</f>
        <v>0.3211921296</v>
      </c>
      <c r="D19494" s="4">
        <f>IFERROR(__xludf.DUMMYFUNCTION("""COMPUTED_VALUE"""),13.015061)</f>
        <v>13.015061</v>
      </c>
      <c r="E19494" s="4">
        <f>IFERROR(__xludf.DUMMYFUNCTION("""COMPUTED_VALUE"""),80.225989)</f>
        <v>80.225989</v>
      </c>
      <c r="F19494" s="4">
        <f>IFERROR(__xludf.DUMMYFUNCTION("""COMPUTED_VALUE"""),5339.0)</f>
        <v>5339</v>
      </c>
      <c r="G19494" s="4">
        <f>IFERROR(__xludf.DUMMYFUNCTION("""COMPUTED_VALUE"""),21.0)</f>
        <v>21</v>
      </c>
      <c r="H19494" s="4"/>
      <c r="I19494" s="4"/>
    </row>
    <row r="19495">
      <c r="A19495" s="4" t="str">
        <f>IFERROR(__xludf.DUMMYFUNCTION("""COMPUTED_VALUE"""),"cas_hmw")</f>
        <v>cas_hmw</v>
      </c>
      <c r="B19495" s="5">
        <f>IFERROR(__xludf.DUMMYFUNCTION("""COMPUTED_VALUE"""),44778.0)</f>
        <v>44778</v>
      </c>
      <c r="C19495" s="6">
        <f>IFERROR(__xludf.DUMMYFUNCTION("""COMPUTED_VALUE"""),0.32120370370466844)</f>
        <v>0.3212037037</v>
      </c>
      <c r="D19495" s="4">
        <f>IFERROR(__xludf.DUMMYFUNCTION("""COMPUTED_VALUE"""),13.015061)</f>
        <v>13.015061</v>
      </c>
      <c r="E19495" s="4">
        <f>IFERROR(__xludf.DUMMYFUNCTION("""COMPUTED_VALUE"""),80.225989)</f>
        <v>80.225989</v>
      </c>
      <c r="F19495" s="4">
        <f>IFERROR(__xludf.DUMMYFUNCTION("""COMPUTED_VALUE"""),5339.0)</f>
        <v>5339</v>
      </c>
      <c r="G19495" s="4">
        <f>IFERROR(__xludf.DUMMYFUNCTION("""COMPUTED_VALUE"""),21.0)</f>
        <v>21</v>
      </c>
      <c r="H19495" s="4"/>
      <c r="I19495" s="4"/>
    </row>
    <row r="19496">
      <c r="A19496" s="4" t="str">
        <f>IFERROR(__xludf.DUMMYFUNCTION("""COMPUTED_VALUE"""),"cas_hmw")</f>
        <v>cas_hmw</v>
      </c>
      <c r="B19496" s="5">
        <f>IFERROR(__xludf.DUMMYFUNCTION("""COMPUTED_VALUE"""),44778.0)</f>
        <v>44778</v>
      </c>
      <c r="C19496" s="6">
        <f>IFERROR(__xludf.DUMMYFUNCTION("""COMPUTED_VALUE"""),0.32174768518598285)</f>
        <v>0.3217476852</v>
      </c>
      <c r="D19496" s="4">
        <f>IFERROR(__xludf.DUMMYFUNCTION("""COMPUTED_VALUE"""),13.012469)</f>
        <v>13.012469</v>
      </c>
      <c r="E19496" s="4">
        <f>IFERROR(__xludf.DUMMYFUNCTION("""COMPUTED_VALUE"""),80.226984)</f>
        <v>80.226984</v>
      </c>
      <c r="F19496" s="4">
        <f>IFERROR(__xludf.DUMMYFUNCTION("""COMPUTED_VALUE"""),5339.0)</f>
        <v>5339</v>
      </c>
      <c r="G19496" s="4">
        <f>IFERROR(__xludf.DUMMYFUNCTION("""COMPUTED_VALUE"""),28.0)</f>
        <v>28</v>
      </c>
      <c r="H19496" s="4"/>
      <c r="I19496" s="4"/>
    </row>
    <row r="19497">
      <c r="A19497" s="4" t="str">
        <f>IFERROR(__xludf.DUMMYFUNCTION("""COMPUTED_VALUE"""),"cas_hmw")</f>
        <v>cas_hmw</v>
      </c>
      <c r="B19497" s="5">
        <f>IFERROR(__xludf.DUMMYFUNCTION("""COMPUTED_VALUE"""),44778.0)</f>
        <v>44778</v>
      </c>
      <c r="C19497" s="6">
        <f>IFERROR(__xludf.DUMMYFUNCTION("""COMPUTED_VALUE"""),0.3228124999986903)</f>
        <v>0.3228125</v>
      </c>
      <c r="D19497" s="4">
        <f>IFERROR(__xludf.DUMMYFUNCTION("""COMPUTED_VALUE"""),12.686688)</f>
        <v>12.686688</v>
      </c>
      <c r="E19497" s="4">
        <f>IFERROR(__xludf.DUMMYFUNCTION("""COMPUTED_VALUE"""),79.983125)</f>
        <v>79.983125</v>
      </c>
      <c r="F19497" s="4">
        <f>IFERROR(__xludf.DUMMYFUNCTION("""COMPUTED_VALUE"""),2846.0)</f>
        <v>2846</v>
      </c>
      <c r="G19497" s="4">
        <f>IFERROR(__xludf.DUMMYFUNCTION("""COMPUTED_VALUE"""),22.0)</f>
        <v>22</v>
      </c>
      <c r="H19497" s="4"/>
      <c r="I19497" s="4"/>
    </row>
    <row r="19498">
      <c r="A19498" s="4" t="str">
        <f>IFERROR(__xludf.DUMMYFUNCTION("""COMPUTED_VALUE"""),"cas_hmw")</f>
        <v>cas_hmw</v>
      </c>
      <c r="B19498" s="5">
        <f>IFERROR(__xludf.DUMMYFUNCTION("""COMPUTED_VALUE"""),44778.0)</f>
        <v>44778</v>
      </c>
      <c r="C19498" s="6">
        <f>IFERROR(__xludf.DUMMYFUNCTION("""COMPUTED_VALUE"""),0.3230439814797137)</f>
        <v>0.3230439815</v>
      </c>
      <c r="D19498" s="4">
        <f>IFERROR(__xludf.DUMMYFUNCTION("""COMPUTED_VALUE"""),13.012134)</f>
        <v>13.012134</v>
      </c>
      <c r="E19498" s="4">
        <f>IFERROR(__xludf.DUMMYFUNCTION("""COMPUTED_VALUE"""),80.221025)</f>
        <v>80.221025</v>
      </c>
      <c r="F19498" s="4">
        <f>IFERROR(__xludf.DUMMYFUNCTION("""COMPUTED_VALUE"""),5339.0)</f>
        <v>5339</v>
      </c>
      <c r="G19498" s="4">
        <f>IFERROR(__xludf.DUMMYFUNCTION("""COMPUTED_VALUE"""),23.0)</f>
        <v>23</v>
      </c>
      <c r="H19498" s="4"/>
      <c r="I19498" s="4"/>
    </row>
    <row r="19499">
      <c r="A19499" s="4" t="str">
        <f>IFERROR(__xludf.DUMMYFUNCTION("""COMPUTED_VALUE"""),"cas_hmw")</f>
        <v>cas_hmw</v>
      </c>
      <c r="B19499" s="5">
        <f>IFERROR(__xludf.DUMMYFUNCTION("""COMPUTED_VALUE"""),44778.0)</f>
        <v>44778</v>
      </c>
      <c r="C19499" s="6">
        <f>IFERROR(__xludf.DUMMYFUNCTION("""COMPUTED_VALUE"""),0.32335648148000473)</f>
        <v>0.3233564815</v>
      </c>
      <c r="D19499" s="4">
        <f>IFERROR(__xludf.DUMMYFUNCTION("""COMPUTED_VALUE"""),13.006468)</f>
        <v>13.006468</v>
      </c>
      <c r="E19499" s="4">
        <f>IFERROR(__xludf.DUMMYFUNCTION("""COMPUTED_VALUE"""),80.255855)</f>
        <v>80.255855</v>
      </c>
      <c r="F19499" s="4">
        <f>IFERROR(__xludf.DUMMYFUNCTION("""COMPUTED_VALUE"""),805.0)</f>
        <v>805</v>
      </c>
      <c r="G19499" s="4">
        <f>IFERROR(__xludf.DUMMYFUNCTION("""COMPUTED_VALUE"""),32.0)</f>
        <v>32</v>
      </c>
      <c r="H19499" s="4"/>
      <c r="I19499" s="4"/>
    </row>
    <row r="19500">
      <c r="A19500" s="4" t="str">
        <f>IFERROR(__xludf.DUMMYFUNCTION("""COMPUTED_VALUE"""),"cas_hmw")</f>
        <v>cas_hmw</v>
      </c>
      <c r="B19500" s="5">
        <f>IFERROR(__xludf.DUMMYFUNCTION("""COMPUTED_VALUE"""),44778.0)</f>
        <v>44778</v>
      </c>
      <c r="C19500" s="6">
        <f>IFERROR(__xludf.DUMMYFUNCTION("""COMPUTED_VALUE"""),0.3234490740724141)</f>
        <v>0.3234490741</v>
      </c>
      <c r="D19500" s="4">
        <f>IFERROR(__xludf.DUMMYFUNCTION("""COMPUTED_VALUE"""),13.011249)</f>
        <v>13.011249</v>
      </c>
      <c r="E19500" s="4">
        <f>IFERROR(__xludf.DUMMYFUNCTION("""COMPUTED_VALUE"""),80.218108)</f>
        <v>80.218108</v>
      </c>
      <c r="F19500" s="4">
        <f>IFERROR(__xludf.DUMMYFUNCTION("""COMPUTED_VALUE"""),5339.0)</f>
        <v>5339</v>
      </c>
      <c r="G19500" s="4">
        <f>IFERROR(__xludf.DUMMYFUNCTION("""COMPUTED_VALUE"""),48.0)</f>
        <v>48</v>
      </c>
      <c r="H19500" s="4"/>
      <c r="I19500" s="4"/>
    </row>
    <row r="19501">
      <c r="A19501" s="4" t="str">
        <f>IFERROR(__xludf.DUMMYFUNCTION("""COMPUTED_VALUE"""),"cas_hmw")</f>
        <v>cas_hmw</v>
      </c>
      <c r="B19501" s="5">
        <f>IFERROR(__xludf.DUMMYFUNCTION("""COMPUTED_VALUE"""),44778.0)</f>
        <v>44778</v>
      </c>
      <c r="C19501" s="6">
        <f>IFERROR(__xludf.DUMMYFUNCTION("""COMPUTED_VALUE"""),0.3243518518502242)</f>
        <v>0.3243518519</v>
      </c>
      <c r="D19501" s="4">
        <f>IFERROR(__xludf.DUMMYFUNCTION("""COMPUTED_VALUE"""),13.011249)</f>
        <v>13.011249</v>
      </c>
      <c r="E19501" s="4">
        <f>IFERROR(__xludf.DUMMYFUNCTION("""COMPUTED_VALUE"""),80.218108)</f>
        <v>80.218108</v>
      </c>
      <c r="F19501" s="4">
        <f>IFERROR(__xludf.DUMMYFUNCTION("""COMPUTED_VALUE"""),5339.0)</f>
        <v>5339</v>
      </c>
      <c r="G19501" s="4">
        <f>IFERROR(__xludf.DUMMYFUNCTION("""COMPUTED_VALUE"""),48.0)</f>
        <v>48</v>
      </c>
      <c r="H19501" s="4"/>
      <c r="I19501" s="4"/>
    </row>
    <row r="19502">
      <c r="A19502" s="4" t="str">
        <f>IFERROR(__xludf.DUMMYFUNCTION("""COMPUTED_VALUE"""),"cas_hmw")</f>
        <v>cas_hmw</v>
      </c>
      <c r="B19502" s="5">
        <f>IFERROR(__xludf.DUMMYFUNCTION("""COMPUTED_VALUE"""),44778.0)</f>
        <v>44778</v>
      </c>
      <c r="C19502" s="6">
        <f>IFERROR(__xludf.DUMMYFUNCTION("""COMPUTED_VALUE"""),0.32524305555489263)</f>
        <v>0.3252430556</v>
      </c>
      <c r="D19502" s="4">
        <f>IFERROR(__xludf.DUMMYFUNCTION("""COMPUTED_VALUE"""),13.006747)</f>
        <v>13.006747</v>
      </c>
      <c r="E19502" s="4">
        <f>IFERROR(__xludf.DUMMYFUNCTION("""COMPUTED_VALUE"""),80.250106)</f>
        <v>80.250106</v>
      </c>
      <c r="F19502" s="4">
        <f>IFERROR(__xludf.DUMMYFUNCTION("""COMPUTED_VALUE"""),805.0)</f>
        <v>805</v>
      </c>
      <c r="G19502" s="4">
        <f>IFERROR(__xludf.DUMMYFUNCTION("""COMPUTED_VALUE"""),35.0)</f>
        <v>35</v>
      </c>
      <c r="H19502" s="4"/>
      <c r="I19502" s="4"/>
    </row>
    <row r="19503">
      <c r="A19503" s="4" t="str">
        <f>IFERROR(__xludf.DUMMYFUNCTION("""COMPUTED_VALUE"""),"cas_hmw")</f>
        <v>cas_hmw</v>
      </c>
      <c r="B19503" s="5">
        <f>IFERROR(__xludf.DUMMYFUNCTION("""COMPUTED_VALUE"""),44778.0)</f>
        <v>44778</v>
      </c>
      <c r="C19503" s="6">
        <f>IFERROR(__xludf.DUMMYFUNCTION("""COMPUTED_VALUE"""),0.32777777777664596)</f>
        <v>0.3277777778</v>
      </c>
      <c r="D19503" s="4">
        <f>IFERROR(__xludf.DUMMYFUNCTION("""COMPUTED_VALUE"""),12.716096)</f>
        <v>12.716096</v>
      </c>
      <c r="E19503" s="4">
        <f>IFERROR(__xludf.DUMMYFUNCTION("""COMPUTED_VALUE"""),79.9806)</f>
        <v>79.9806</v>
      </c>
      <c r="F19503" s="4">
        <f>IFERROR(__xludf.DUMMYFUNCTION("""COMPUTED_VALUE"""),2846.0)</f>
        <v>2846</v>
      </c>
      <c r="G19503" s="4">
        <f>IFERROR(__xludf.DUMMYFUNCTION("""COMPUTED_VALUE"""),56.0)</f>
        <v>56</v>
      </c>
      <c r="H19503" s="4"/>
      <c r="I19503" s="4"/>
    </row>
    <row r="19504">
      <c r="A19504" s="4" t="str">
        <f>IFERROR(__xludf.DUMMYFUNCTION("""COMPUTED_VALUE"""),"cas_hmw")</f>
        <v>cas_hmw</v>
      </c>
      <c r="B19504" s="5">
        <f>IFERROR(__xludf.DUMMYFUNCTION("""COMPUTED_VALUE"""),44778.0)</f>
        <v>44778</v>
      </c>
      <c r="C19504" s="6">
        <f>IFERROR(__xludf.DUMMYFUNCTION("""COMPUTED_VALUE"""),0.3279745370382443)</f>
        <v>0.327974537</v>
      </c>
      <c r="D19504" s="4">
        <f>IFERROR(__xludf.DUMMYFUNCTION("""COMPUTED_VALUE"""),12.716096)</f>
        <v>12.716096</v>
      </c>
      <c r="E19504" s="4">
        <f>IFERROR(__xludf.DUMMYFUNCTION("""COMPUTED_VALUE"""),79.9806)</f>
        <v>79.9806</v>
      </c>
      <c r="F19504" s="4">
        <f>IFERROR(__xludf.DUMMYFUNCTION("""COMPUTED_VALUE"""),2846.0)</f>
        <v>2846</v>
      </c>
      <c r="G19504" s="4">
        <f>IFERROR(__xludf.DUMMYFUNCTION("""COMPUTED_VALUE"""),56.0)</f>
        <v>56</v>
      </c>
      <c r="H19504" s="4"/>
      <c r="I19504" s="4"/>
    </row>
    <row r="19505">
      <c r="A19505" s="4" t="str">
        <f>IFERROR(__xludf.DUMMYFUNCTION("""COMPUTED_VALUE"""),"cas_hmw")</f>
        <v>cas_hmw</v>
      </c>
      <c r="B19505" s="5">
        <f>IFERROR(__xludf.DUMMYFUNCTION("""COMPUTED_VALUE"""),44778.0)</f>
        <v>44778</v>
      </c>
      <c r="C19505" s="6">
        <f>IFERROR(__xludf.DUMMYFUNCTION("""COMPUTED_VALUE"""),0.3283796296309447)</f>
        <v>0.3283796296</v>
      </c>
      <c r="D19505" s="4">
        <f>IFERROR(__xludf.DUMMYFUNCTION("""COMPUTED_VALUE"""),13.008807)</f>
        <v>13.008807</v>
      </c>
      <c r="E19505" s="4">
        <f>IFERROR(__xludf.DUMMYFUNCTION("""COMPUTED_VALUE"""),80.230179)</f>
        <v>80.230179</v>
      </c>
      <c r="F19505" s="4">
        <f>IFERROR(__xludf.DUMMYFUNCTION("""COMPUTED_VALUE"""),805.0)</f>
        <v>805</v>
      </c>
      <c r="G19505" s="4">
        <f>IFERROR(__xludf.DUMMYFUNCTION("""COMPUTED_VALUE"""),47.0)</f>
        <v>47</v>
      </c>
      <c r="H19505" s="4"/>
      <c r="I19505" s="4"/>
    </row>
    <row r="19506">
      <c r="A19506" s="4" t="str">
        <f>IFERROR(__xludf.DUMMYFUNCTION("""COMPUTED_VALUE"""),"cas_hmw")</f>
        <v>cas_hmw</v>
      </c>
      <c r="B19506" s="5">
        <f>IFERROR(__xludf.DUMMYFUNCTION("""COMPUTED_VALUE"""),44778.0)</f>
        <v>44778</v>
      </c>
      <c r="C19506" s="6">
        <f>IFERROR(__xludf.DUMMYFUNCTION("""COMPUTED_VALUE"""),0.3284490740734327)</f>
        <v>0.3284490741</v>
      </c>
      <c r="D19506" s="4">
        <f>IFERROR(__xludf.DUMMYFUNCTION("""COMPUTED_VALUE"""),13.008807)</f>
        <v>13.008807</v>
      </c>
      <c r="E19506" s="4">
        <f>IFERROR(__xludf.DUMMYFUNCTION("""COMPUTED_VALUE"""),80.230179)</f>
        <v>80.230179</v>
      </c>
      <c r="F19506" s="4">
        <f>IFERROR(__xludf.DUMMYFUNCTION("""COMPUTED_VALUE"""),805.0)</f>
        <v>805</v>
      </c>
      <c r="G19506" s="4">
        <f>IFERROR(__xludf.DUMMYFUNCTION("""COMPUTED_VALUE"""),47.0)</f>
        <v>47</v>
      </c>
      <c r="H19506" s="4"/>
      <c r="I19506" s="4"/>
    </row>
    <row r="19507">
      <c r="A19507" s="4" t="str">
        <f>IFERROR(__xludf.DUMMYFUNCTION("""COMPUTED_VALUE"""),"cas_hmw")</f>
        <v>cas_hmw</v>
      </c>
      <c r="B19507" s="5">
        <f>IFERROR(__xludf.DUMMYFUNCTION("""COMPUTED_VALUE"""),44778.0)</f>
        <v>44778</v>
      </c>
      <c r="C19507" s="6">
        <f>IFERROR(__xludf.DUMMYFUNCTION("""COMPUTED_VALUE"""),0.3288773148160544)</f>
        <v>0.3288773148</v>
      </c>
      <c r="D19507" s="4">
        <f>IFERROR(__xludf.DUMMYFUNCTION("""COMPUTED_VALUE"""),13.010299)</f>
        <v>13.010299</v>
      </c>
      <c r="E19507" s="4">
        <f>IFERROR(__xludf.DUMMYFUNCTION("""COMPUTED_VALUE"""),80.225897)</f>
        <v>80.225897</v>
      </c>
      <c r="F19507" s="4">
        <f>IFERROR(__xludf.DUMMYFUNCTION("""COMPUTED_VALUE"""),805.0)</f>
        <v>805</v>
      </c>
      <c r="G19507" s="4">
        <f>IFERROR(__xludf.DUMMYFUNCTION("""COMPUTED_VALUE"""),41.0)</f>
        <v>41</v>
      </c>
      <c r="H19507" s="4"/>
      <c r="I19507" s="4"/>
    </row>
    <row r="19508">
      <c r="A19508" s="4" t="str">
        <f>IFERROR(__xludf.DUMMYFUNCTION("""COMPUTED_VALUE"""),"cas_hmw")</f>
        <v>cas_hmw</v>
      </c>
      <c r="B19508" s="5">
        <f>IFERROR(__xludf.DUMMYFUNCTION("""COMPUTED_VALUE"""),44778.0)</f>
        <v>44778</v>
      </c>
      <c r="C19508" s="6">
        <f>IFERROR(__xludf.DUMMYFUNCTION("""COMPUTED_VALUE"""),0.32901620370466844)</f>
        <v>0.3290162037</v>
      </c>
      <c r="D19508" s="4">
        <f>IFERROR(__xludf.DUMMYFUNCTION("""COMPUTED_VALUE"""),13.010732)</f>
        <v>13.010732</v>
      </c>
      <c r="E19508" s="4">
        <f>IFERROR(__xludf.DUMMYFUNCTION("""COMPUTED_VALUE"""),80.22498)</f>
        <v>80.22498</v>
      </c>
      <c r="F19508" s="4">
        <f>IFERROR(__xludf.DUMMYFUNCTION("""COMPUTED_VALUE"""),805.0)</f>
        <v>805</v>
      </c>
      <c r="G19508" s="4">
        <f>IFERROR(__xludf.DUMMYFUNCTION("""COMPUTED_VALUE"""),36.0)</f>
        <v>36</v>
      </c>
      <c r="H19508" s="4"/>
      <c r="I19508" s="4"/>
    </row>
    <row r="19509">
      <c r="A19509" s="4" t="str">
        <f>IFERROR(__xludf.DUMMYFUNCTION("""COMPUTED_VALUE"""),"cas_hmw")</f>
        <v>cas_hmw</v>
      </c>
      <c r="B19509" s="5">
        <f>IFERROR(__xludf.DUMMYFUNCTION("""COMPUTED_VALUE"""),44778.0)</f>
        <v>44778</v>
      </c>
      <c r="C19509" s="6">
        <f>IFERROR(__xludf.DUMMYFUNCTION("""COMPUTED_VALUE"""),0.3291782407395658)</f>
        <v>0.3291782407</v>
      </c>
      <c r="D19509" s="4">
        <f>IFERROR(__xludf.DUMMYFUNCTION("""COMPUTED_VALUE"""),12.726377)</f>
        <v>12.726377</v>
      </c>
      <c r="E19509" s="4">
        <f>IFERROR(__xludf.DUMMYFUNCTION("""COMPUTED_VALUE"""),79.982328)</f>
        <v>79.982328</v>
      </c>
      <c r="F19509" s="4">
        <f>IFERROR(__xludf.DUMMYFUNCTION("""COMPUTED_VALUE"""),2846.0)</f>
        <v>2846</v>
      </c>
      <c r="G19509" s="4">
        <f>IFERROR(__xludf.DUMMYFUNCTION("""COMPUTED_VALUE"""),45.0)</f>
        <v>45</v>
      </c>
      <c r="H19509" s="4"/>
      <c r="I19509" s="4"/>
    </row>
    <row r="19510">
      <c r="A19510" s="4" t="str">
        <f>IFERROR(__xludf.DUMMYFUNCTION("""COMPUTED_VALUE"""),"cas_hmw")</f>
        <v>cas_hmw</v>
      </c>
      <c r="B19510" s="5">
        <f>IFERROR(__xludf.DUMMYFUNCTION("""COMPUTED_VALUE"""),44778.0)</f>
        <v>44778</v>
      </c>
      <c r="C19510" s="6">
        <f>IFERROR(__xludf.DUMMYFUNCTION("""COMPUTED_VALUE"""),0.32974537037080154)</f>
        <v>0.3297453704</v>
      </c>
      <c r="D19510" s="4">
        <f>IFERROR(__xludf.DUMMYFUNCTION("""COMPUTED_VALUE"""),13.011491)</f>
        <v>13.011491</v>
      </c>
      <c r="E19510" s="4">
        <f>IFERROR(__xludf.DUMMYFUNCTION("""COMPUTED_VALUE"""),80.223149)</f>
        <v>80.223149</v>
      </c>
      <c r="F19510" s="4">
        <f>IFERROR(__xludf.DUMMYFUNCTION("""COMPUTED_VALUE"""),805.0)</f>
        <v>805</v>
      </c>
      <c r="G19510" s="4">
        <f>IFERROR(__xludf.DUMMYFUNCTION("""COMPUTED_VALUE"""),29.0)</f>
        <v>29</v>
      </c>
      <c r="H19510" s="4"/>
      <c r="I19510" s="4"/>
    </row>
    <row r="19511">
      <c r="A19511" s="4" t="str">
        <f>IFERROR(__xludf.DUMMYFUNCTION("""COMPUTED_VALUE"""),"cas_hmw")</f>
        <v>cas_hmw</v>
      </c>
      <c r="B19511" s="5">
        <f>IFERROR(__xludf.DUMMYFUNCTION("""COMPUTED_VALUE"""),44778.0)</f>
        <v>44778</v>
      </c>
      <c r="C19511" s="6">
        <f>IFERROR(__xludf.DUMMYFUNCTION("""COMPUTED_VALUE"""),0.3298726851862739)</f>
        <v>0.3298726852</v>
      </c>
      <c r="D19511" s="4">
        <f>IFERROR(__xludf.DUMMYFUNCTION("""COMPUTED_VALUE"""),13.011887)</f>
        <v>13.011887</v>
      </c>
      <c r="E19511" s="4">
        <f>IFERROR(__xludf.DUMMYFUNCTION("""COMPUTED_VALUE"""),80.221873)</f>
        <v>80.221873</v>
      </c>
      <c r="F19511" s="4">
        <f>IFERROR(__xludf.DUMMYFUNCTION("""COMPUTED_VALUE"""),805.0)</f>
        <v>805</v>
      </c>
      <c r="G19511" s="4">
        <f>IFERROR(__xludf.DUMMYFUNCTION("""COMPUTED_VALUE"""),37.0)</f>
        <v>37</v>
      </c>
      <c r="H19511" s="4"/>
      <c r="I19511" s="4"/>
    </row>
    <row r="19512">
      <c r="A19512" s="4" t="str">
        <f>IFERROR(__xludf.DUMMYFUNCTION("""COMPUTED_VALUE"""),"cas_hmw")</f>
        <v>cas_hmw</v>
      </c>
      <c r="B19512" s="5">
        <f>IFERROR(__xludf.DUMMYFUNCTION("""COMPUTED_VALUE"""),44778.0)</f>
        <v>44778</v>
      </c>
      <c r="C19512" s="6">
        <f>IFERROR(__xludf.DUMMYFUNCTION("""COMPUTED_VALUE"""),0.33000000000174623)</f>
        <v>0.33</v>
      </c>
      <c r="D19512" s="4">
        <f>IFERROR(__xludf.DUMMYFUNCTION("""COMPUTED_VALUE"""),13.012106)</f>
        <v>13.012106</v>
      </c>
      <c r="E19512" s="4">
        <f>IFERROR(__xludf.DUMMYFUNCTION("""COMPUTED_VALUE"""),80.220883)</f>
        <v>80.220883</v>
      </c>
      <c r="F19512" s="4">
        <f>IFERROR(__xludf.DUMMYFUNCTION("""COMPUTED_VALUE"""),805.0)</f>
        <v>805</v>
      </c>
      <c r="G19512" s="4">
        <f>IFERROR(__xludf.DUMMYFUNCTION("""COMPUTED_VALUE"""),34.0)</f>
        <v>34</v>
      </c>
      <c r="H19512" s="4"/>
      <c r="I19512" s="4"/>
    </row>
    <row r="19513">
      <c r="A19513" s="4" t="str">
        <f>IFERROR(__xludf.DUMMYFUNCTION("""COMPUTED_VALUE"""),"cas_hmw")</f>
        <v>cas_hmw</v>
      </c>
      <c r="B19513" s="5">
        <f>IFERROR(__xludf.DUMMYFUNCTION("""COMPUTED_VALUE"""),44778.0)</f>
        <v>44778</v>
      </c>
      <c r="C19513" s="6">
        <f>IFERROR(__xludf.DUMMYFUNCTION("""COMPUTED_VALUE"""),0.3303124999983993)</f>
        <v>0.3303125</v>
      </c>
      <c r="D19513" s="4">
        <f>IFERROR(__xludf.DUMMYFUNCTION("""COMPUTED_VALUE"""),13.01092)</f>
        <v>13.01092</v>
      </c>
      <c r="E19513" s="4">
        <f>IFERROR(__xludf.DUMMYFUNCTION("""COMPUTED_VALUE"""),80.217292)</f>
        <v>80.217292</v>
      </c>
      <c r="F19513" s="4">
        <f>IFERROR(__xludf.DUMMYFUNCTION("""COMPUTED_VALUE"""),805.0)</f>
        <v>805</v>
      </c>
      <c r="G19513" s="4">
        <f>IFERROR(__xludf.DUMMYFUNCTION("""COMPUTED_VALUE"""),50.0)</f>
        <v>50</v>
      </c>
      <c r="H19513" s="4"/>
      <c r="I19513" s="4"/>
    </row>
    <row r="19514">
      <c r="A19514" s="4" t="str">
        <f>IFERROR(__xludf.DUMMYFUNCTION("""COMPUTED_VALUE"""),"cas_hmw")</f>
        <v>cas_hmw</v>
      </c>
      <c r="B19514" s="5">
        <f>IFERROR(__xludf.DUMMYFUNCTION("""COMPUTED_VALUE"""),44778.0)</f>
        <v>44778</v>
      </c>
      <c r="C19514" s="6">
        <f>IFERROR(__xludf.DUMMYFUNCTION("""COMPUTED_VALUE"""),0.3305555555562023)</f>
        <v>0.3305555556</v>
      </c>
      <c r="D19514" s="4">
        <f>IFERROR(__xludf.DUMMYFUNCTION("""COMPUTED_VALUE"""),13.010208)</f>
        <v>13.010208</v>
      </c>
      <c r="E19514" s="4">
        <f>IFERROR(__xludf.DUMMYFUNCTION("""COMPUTED_VALUE"""),80.215671)</f>
        <v>80.215671</v>
      </c>
      <c r="F19514" s="4">
        <f>IFERROR(__xludf.DUMMYFUNCTION("""COMPUTED_VALUE"""),805.0)</f>
        <v>805</v>
      </c>
      <c r="G19514" s="4">
        <f>IFERROR(__xludf.DUMMYFUNCTION("""COMPUTED_VALUE"""),39.0)</f>
        <v>39</v>
      </c>
      <c r="H19514" s="4"/>
      <c r="I19514" s="4"/>
    </row>
    <row r="19515">
      <c r="A19515" s="4" t="str">
        <f>IFERROR(__xludf.DUMMYFUNCTION("""COMPUTED_VALUE"""),"cas_hmw")</f>
        <v>cas_hmw</v>
      </c>
      <c r="B19515" s="5">
        <f>IFERROR(__xludf.DUMMYFUNCTION("""COMPUTED_VALUE"""),44778.0)</f>
        <v>44778</v>
      </c>
      <c r="C19515" s="6">
        <f>IFERROR(__xludf.DUMMYFUNCTION("""COMPUTED_VALUE"""),0.33061342592554865)</f>
        <v>0.3306134259</v>
      </c>
      <c r="D19515" s="4">
        <f>IFERROR(__xludf.DUMMYFUNCTION("""COMPUTED_VALUE"""),12.741028)</f>
        <v>12.741028</v>
      </c>
      <c r="E19515" s="4">
        <f>IFERROR(__xludf.DUMMYFUNCTION("""COMPUTED_VALUE"""),79.990449)</f>
        <v>79.990449</v>
      </c>
      <c r="F19515" s="4">
        <f>IFERROR(__xludf.DUMMYFUNCTION("""COMPUTED_VALUE"""),2846.0)</f>
        <v>2846</v>
      </c>
      <c r="G19515" s="4">
        <f>IFERROR(__xludf.DUMMYFUNCTION("""COMPUTED_VALUE"""),58.0)</f>
        <v>58</v>
      </c>
      <c r="H19515" s="4"/>
      <c r="I19515" s="4"/>
    </row>
    <row r="19516">
      <c r="A19516" s="4" t="str">
        <f>IFERROR(__xludf.DUMMYFUNCTION("""COMPUTED_VALUE"""),"cas_hmw")</f>
        <v>cas_hmw</v>
      </c>
      <c r="B19516" s="5">
        <f>IFERROR(__xludf.DUMMYFUNCTION("""COMPUTED_VALUE"""),44778.0)</f>
        <v>44778</v>
      </c>
      <c r="C19516" s="6">
        <f>IFERROR(__xludf.DUMMYFUNCTION("""COMPUTED_VALUE"""),0.3306944444448163)</f>
        <v>0.3306944444</v>
      </c>
      <c r="D19516" s="4">
        <f>IFERROR(__xludf.DUMMYFUNCTION("""COMPUTED_VALUE"""),12.739901)</f>
        <v>12.739901</v>
      </c>
      <c r="E19516" s="4">
        <f>IFERROR(__xludf.DUMMYFUNCTION("""COMPUTED_VALUE"""),79.989551)</f>
        <v>79.989551</v>
      </c>
      <c r="F19516" s="4">
        <f>IFERROR(__xludf.DUMMYFUNCTION("""COMPUTED_VALUE"""),2846.0)</f>
        <v>2846</v>
      </c>
      <c r="G19516" s="4">
        <f>IFERROR(__xludf.DUMMYFUNCTION("""COMPUTED_VALUE"""),58.0)</f>
        <v>58</v>
      </c>
      <c r="H19516" s="4"/>
      <c r="I19516" s="4"/>
    </row>
    <row r="19517">
      <c r="A19517" s="4" t="str">
        <f>IFERROR(__xludf.DUMMYFUNCTION("""COMPUTED_VALUE"""),"cas_hmw")</f>
        <v>cas_hmw</v>
      </c>
      <c r="B19517" s="5">
        <f>IFERROR(__xludf.DUMMYFUNCTION("""COMPUTED_VALUE"""),44778.0)</f>
        <v>44778</v>
      </c>
      <c r="C19517" s="6">
        <f>IFERROR(__xludf.DUMMYFUNCTION("""COMPUTED_VALUE"""),0.33116898148000473)</f>
        <v>0.3311689815</v>
      </c>
      <c r="D19517" s="4">
        <f>IFERROR(__xludf.DUMMYFUNCTION("""COMPUTED_VALUE"""),13.007965)</f>
        <v>13.007965</v>
      </c>
      <c r="E19517" s="4">
        <f>IFERROR(__xludf.DUMMYFUNCTION("""COMPUTED_VALUE"""),80.208326)</f>
        <v>80.208326</v>
      </c>
      <c r="F19517" s="4">
        <f>IFERROR(__xludf.DUMMYFUNCTION("""COMPUTED_VALUE"""),805.0)</f>
        <v>805</v>
      </c>
      <c r="G19517" s="4">
        <f>IFERROR(__xludf.DUMMYFUNCTION("""COMPUTED_VALUE"""),56.0)</f>
        <v>56</v>
      </c>
      <c r="H19517" s="4"/>
      <c r="I19517" s="4"/>
    </row>
    <row r="19518">
      <c r="A19518" s="4" t="str">
        <f>IFERROR(__xludf.DUMMYFUNCTION("""COMPUTED_VALUE"""),"cas_hmw")</f>
        <v>cas_hmw</v>
      </c>
      <c r="B19518" s="5">
        <f>IFERROR(__xludf.DUMMYFUNCTION("""COMPUTED_VALUE"""),44778.0)</f>
        <v>44778</v>
      </c>
      <c r="C19518" s="6">
        <f>IFERROR(__xludf.DUMMYFUNCTION("""COMPUTED_VALUE"""),0.3314583333340124)</f>
        <v>0.3314583333</v>
      </c>
      <c r="D19518" s="4">
        <f>IFERROR(__xludf.DUMMYFUNCTION("""COMPUTED_VALUE"""),13.007439)</f>
        <v>13.007439</v>
      </c>
      <c r="E19518" s="4">
        <f>IFERROR(__xludf.DUMMYFUNCTION("""COMPUTED_VALUE"""),80.205609)</f>
        <v>80.205609</v>
      </c>
      <c r="F19518" s="4">
        <f>IFERROR(__xludf.DUMMYFUNCTION("""COMPUTED_VALUE"""),805.0)</f>
        <v>805</v>
      </c>
      <c r="G19518" s="4">
        <f>IFERROR(__xludf.DUMMYFUNCTION("""COMPUTED_VALUE"""),48.0)</f>
        <v>48</v>
      </c>
      <c r="H19518" s="4"/>
      <c r="I19518" s="4"/>
    </row>
    <row r="19519">
      <c r="A19519" s="4" t="str">
        <f>IFERROR(__xludf.DUMMYFUNCTION("""COMPUTED_VALUE"""),"cas_hmw")</f>
        <v>cas_hmw</v>
      </c>
      <c r="B19519" s="5">
        <f>IFERROR(__xludf.DUMMYFUNCTION("""COMPUTED_VALUE"""),44778.0)</f>
        <v>44778</v>
      </c>
      <c r="C19519" s="6">
        <f>IFERROR(__xludf.DUMMYFUNCTION("""COMPUTED_VALUE"""),0.33170138888817746)</f>
        <v>0.3317013889</v>
      </c>
      <c r="D19519" s="4">
        <f>IFERROR(__xludf.DUMMYFUNCTION("""COMPUTED_VALUE"""),13.006361)</f>
        <v>13.006361</v>
      </c>
      <c r="E19519" s="4">
        <f>IFERROR(__xludf.DUMMYFUNCTION("""COMPUTED_VALUE"""),80.203486)</f>
        <v>80.203486</v>
      </c>
      <c r="F19519" s="4">
        <f>IFERROR(__xludf.DUMMYFUNCTION("""COMPUTED_VALUE"""),805.0)</f>
        <v>805</v>
      </c>
      <c r="G19519" s="4">
        <f>IFERROR(__xludf.DUMMYFUNCTION("""COMPUTED_VALUE"""),45.0)</f>
        <v>45</v>
      </c>
      <c r="H19519" s="4"/>
      <c r="I19519" s="4"/>
    </row>
    <row r="19520">
      <c r="A19520" s="4" t="str">
        <f>IFERROR(__xludf.DUMMYFUNCTION("""COMPUTED_VALUE"""),"cas_hmw")</f>
        <v>cas_hmw</v>
      </c>
      <c r="B19520" s="5">
        <f>IFERROR(__xludf.DUMMYFUNCTION("""COMPUTED_VALUE"""),44778.0)</f>
        <v>44778</v>
      </c>
      <c r="C19520" s="6">
        <f>IFERROR(__xludf.DUMMYFUNCTION("""COMPUTED_VALUE"""),0.33207175925781485)</f>
        <v>0.3320717593</v>
      </c>
      <c r="D19520" s="4">
        <f>IFERROR(__xludf.DUMMYFUNCTION("""COMPUTED_VALUE"""),13.004466)</f>
        <v>13.004466</v>
      </c>
      <c r="E19520" s="4">
        <f>IFERROR(__xludf.DUMMYFUNCTION("""COMPUTED_VALUE"""),80.201257)</f>
        <v>80.201257</v>
      </c>
      <c r="F19520" s="4">
        <f>IFERROR(__xludf.DUMMYFUNCTION("""COMPUTED_VALUE"""),805.0)</f>
        <v>805</v>
      </c>
      <c r="G19520" s="4">
        <f>IFERROR(__xludf.DUMMYFUNCTION("""COMPUTED_VALUE"""),46.0)</f>
        <v>46</v>
      </c>
      <c r="H19520" s="4"/>
      <c r="I19520" s="4"/>
    </row>
    <row r="19521">
      <c r="A19521" s="4" t="str">
        <f>IFERROR(__xludf.DUMMYFUNCTION("""COMPUTED_VALUE"""),"cas_hmw")</f>
        <v>cas_hmw</v>
      </c>
      <c r="B19521" s="5">
        <f>IFERROR(__xludf.DUMMYFUNCTION("""COMPUTED_VALUE"""),44778.0)</f>
        <v>44778</v>
      </c>
      <c r="C19521" s="6">
        <f>IFERROR(__xludf.DUMMYFUNCTION("""COMPUTED_VALUE"""),0.33232638888875954)</f>
        <v>0.3323263889</v>
      </c>
      <c r="D19521" s="4">
        <f>IFERROR(__xludf.DUMMYFUNCTION("""COMPUTED_VALUE"""),13.001748)</f>
        <v>13.001748</v>
      </c>
      <c r="E19521" s="4">
        <f>IFERROR(__xludf.DUMMYFUNCTION("""COMPUTED_VALUE"""),80.199599)</f>
        <v>80.199599</v>
      </c>
      <c r="F19521" s="4">
        <f>IFERROR(__xludf.DUMMYFUNCTION("""COMPUTED_VALUE"""),805.0)</f>
        <v>805</v>
      </c>
      <c r="G19521" s="4">
        <f>IFERROR(__xludf.DUMMYFUNCTION("""COMPUTED_VALUE"""),45.0)</f>
        <v>45</v>
      </c>
      <c r="H19521" s="4"/>
      <c r="I19521" s="4"/>
    </row>
    <row r="19522">
      <c r="A19522" s="4" t="str">
        <f>IFERROR(__xludf.DUMMYFUNCTION("""COMPUTED_VALUE"""),"cas_hmw")</f>
        <v>cas_hmw</v>
      </c>
      <c r="B19522" s="5">
        <f>IFERROR(__xludf.DUMMYFUNCTION("""COMPUTED_VALUE"""),44778.0)</f>
        <v>44778</v>
      </c>
      <c r="C19522" s="6">
        <f>IFERROR(__xludf.DUMMYFUNCTION("""COMPUTED_VALUE"""),0.33290509259313694)</f>
        <v>0.3329050926</v>
      </c>
      <c r="D19522" s="4">
        <f>IFERROR(__xludf.DUMMYFUNCTION("""COMPUTED_VALUE"""),13.00106)</f>
        <v>13.00106</v>
      </c>
      <c r="E19522" s="4">
        <f>IFERROR(__xludf.DUMMYFUNCTION("""COMPUTED_VALUE"""),80.195572)</f>
        <v>80.195572</v>
      </c>
      <c r="F19522" s="4">
        <f>IFERROR(__xludf.DUMMYFUNCTION("""COMPUTED_VALUE"""),805.0)</f>
        <v>805</v>
      </c>
      <c r="G19522" s="4">
        <f>IFERROR(__xludf.DUMMYFUNCTION("""COMPUTED_VALUE"""),40.0)</f>
        <v>40</v>
      </c>
      <c r="H19522" s="4"/>
      <c r="I19522" s="4"/>
    </row>
    <row r="19523">
      <c r="A19523" s="4" t="str">
        <f>IFERROR(__xludf.DUMMYFUNCTION("""COMPUTED_VALUE"""),"cas_hmw")</f>
        <v>cas_hmw</v>
      </c>
      <c r="B19523" s="5">
        <f>IFERROR(__xludf.DUMMYFUNCTION("""COMPUTED_VALUE"""),44778.0)</f>
        <v>44778</v>
      </c>
      <c r="C19523" s="6">
        <f>IFERROR(__xludf.DUMMYFUNCTION("""COMPUTED_VALUE"""),0.33309027777795563)</f>
        <v>0.3330902778</v>
      </c>
      <c r="D19523" s="4">
        <f>IFERROR(__xludf.DUMMYFUNCTION("""COMPUTED_VALUE"""),12.966371)</f>
        <v>12.966371</v>
      </c>
      <c r="E19523" s="4">
        <f>IFERROR(__xludf.DUMMYFUNCTION("""COMPUTED_VALUE"""),80.14872)</f>
        <v>80.14872</v>
      </c>
      <c r="F19523" s="4">
        <f>IFERROR(__xludf.DUMMYFUNCTION("""COMPUTED_VALUE"""),5339.0)</f>
        <v>5339</v>
      </c>
      <c r="G19523" s="4">
        <f>IFERROR(__xludf.DUMMYFUNCTION("""COMPUTED_VALUE"""),23.0)</f>
        <v>23</v>
      </c>
      <c r="H19523" s="4"/>
      <c r="I19523" s="4"/>
    </row>
    <row r="19524">
      <c r="A19524" s="4" t="str">
        <f>IFERROR(__xludf.DUMMYFUNCTION("""COMPUTED_VALUE"""),"cas_hmw")</f>
        <v>cas_hmw</v>
      </c>
      <c r="B19524" s="5">
        <f>IFERROR(__xludf.DUMMYFUNCTION("""COMPUTED_VALUE"""),44778.0)</f>
        <v>44778</v>
      </c>
      <c r="C19524" s="6">
        <f>IFERROR(__xludf.DUMMYFUNCTION("""COMPUTED_VALUE"""),0.33309027777795563)</f>
        <v>0.3330902778</v>
      </c>
      <c r="D19524" s="4">
        <f>IFERROR(__xludf.DUMMYFUNCTION("""COMPUTED_VALUE"""),13.000337)</f>
        <v>13.000337</v>
      </c>
      <c r="E19524" s="4">
        <f>IFERROR(__xludf.DUMMYFUNCTION("""COMPUTED_VALUE"""),80.194646)</f>
        <v>80.194646</v>
      </c>
      <c r="F19524" s="4">
        <f>IFERROR(__xludf.DUMMYFUNCTION("""COMPUTED_VALUE"""),805.0)</f>
        <v>805</v>
      </c>
      <c r="G19524" s="4">
        <f>IFERROR(__xludf.DUMMYFUNCTION("""COMPUTED_VALUE"""),51.0)</f>
        <v>51</v>
      </c>
      <c r="H19524" s="4"/>
      <c r="I19524" s="4"/>
    </row>
    <row r="19525">
      <c r="A19525" s="4" t="str">
        <f>IFERROR(__xludf.DUMMYFUNCTION("""COMPUTED_VALUE"""),"cas_hmw")</f>
        <v>cas_hmw</v>
      </c>
      <c r="B19525" s="5">
        <f>IFERROR(__xludf.DUMMYFUNCTION("""COMPUTED_VALUE"""),44778.0)</f>
        <v>44778</v>
      </c>
      <c r="C19525" s="6">
        <f>IFERROR(__xludf.DUMMYFUNCTION("""COMPUTED_VALUE"""),0.3331018518510973)</f>
        <v>0.3331018519</v>
      </c>
      <c r="D19525" s="4">
        <f>IFERROR(__xludf.DUMMYFUNCTION("""COMPUTED_VALUE"""),12.966371)</f>
        <v>12.966371</v>
      </c>
      <c r="E19525" s="4">
        <f>IFERROR(__xludf.DUMMYFUNCTION("""COMPUTED_VALUE"""),80.14872)</f>
        <v>80.14872</v>
      </c>
      <c r="F19525" s="4">
        <f>IFERROR(__xludf.DUMMYFUNCTION("""COMPUTED_VALUE"""),5339.0)</f>
        <v>5339</v>
      </c>
      <c r="G19525" s="4">
        <f>IFERROR(__xludf.DUMMYFUNCTION("""COMPUTED_VALUE"""),23.0)</f>
        <v>23</v>
      </c>
      <c r="H19525" s="4"/>
      <c r="I19525" s="4"/>
    </row>
    <row r="19526">
      <c r="A19526" s="4" t="str">
        <f>IFERROR(__xludf.DUMMYFUNCTION("""COMPUTED_VALUE"""),"cas_hmw")</f>
        <v>cas_hmw</v>
      </c>
      <c r="B19526" s="5">
        <f>IFERROR(__xludf.DUMMYFUNCTION("""COMPUTED_VALUE"""),44778.0)</f>
        <v>44778</v>
      </c>
      <c r="C19526" s="6">
        <f>IFERROR(__xludf.DUMMYFUNCTION("""COMPUTED_VALUE"""),0.3331018518510973)</f>
        <v>0.3331018519</v>
      </c>
      <c r="D19526" s="4">
        <f>IFERROR(__xludf.DUMMYFUNCTION("""COMPUTED_VALUE"""),12.966371)</f>
        <v>12.966371</v>
      </c>
      <c r="E19526" s="4">
        <f>IFERROR(__xludf.DUMMYFUNCTION("""COMPUTED_VALUE"""),80.14872)</f>
        <v>80.14872</v>
      </c>
      <c r="F19526" s="4">
        <f>IFERROR(__xludf.DUMMYFUNCTION("""COMPUTED_VALUE"""),5339.0)</f>
        <v>5339</v>
      </c>
      <c r="G19526" s="4">
        <f>IFERROR(__xludf.DUMMYFUNCTION("""COMPUTED_VALUE"""),23.0)</f>
        <v>23</v>
      </c>
      <c r="H19526" s="4"/>
      <c r="I19526" s="4"/>
    </row>
    <row r="19527">
      <c r="A19527" s="4" t="str">
        <f>IFERROR(__xludf.DUMMYFUNCTION("""COMPUTED_VALUE"""),"cas_hmw")</f>
        <v>cas_hmw</v>
      </c>
      <c r="B19527" s="5">
        <f>IFERROR(__xludf.DUMMYFUNCTION("""COMPUTED_VALUE"""),44778.0)</f>
        <v>44778</v>
      </c>
      <c r="C19527" s="6">
        <f>IFERROR(__xludf.DUMMYFUNCTION("""COMPUTED_VALUE"""),0.333113425924239)</f>
        <v>0.3331134259</v>
      </c>
      <c r="D19527" s="4">
        <f>IFERROR(__xludf.DUMMYFUNCTION("""COMPUTED_VALUE"""),12.966371)</f>
        <v>12.966371</v>
      </c>
      <c r="E19527" s="4">
        <f>IFERROR(__xludf.DUMMYFUNCTION("""COMPUTED_VALUE"""),80.14872)</f>
        <v>80.14872</v>
      </c>
      <c r="F19527" s="4">
        <f>IFERROR(__xludf.DUMMYFUNCTION("""COMPUTED_VALUE"""),5339.0)</f>
        <v>5339</v>
      </c>
      <c r="G19527" s="4">
        <f>IFERROR(__xludf.DUMMYFUNCTION("""COMPUTED_VALUE"""),23.0)</f>
        <v>23</v>
      </c>
      <c r="H19527" s="4"/>
      <c r="I19527" s="4"/>
    </row>
    <row r="19528">
      <c r="A19528" s="4" t="str">
        <f>IFERROR(__xludf.DUMMYFUNCTION("""COMPUTED_VALUE"""),"cas_hmw")</f>
        <v>cas_hmw</v>
      </c>
      <c r="B19528" s="5">
        <f>IFERROR(__xludf.DUMMYFUNCTION("""COMPUTED_VALUE"""),44778.0)</f>
        <v>44778</v>
      </c>
      <c r="C19528" s="6">
        <f>IFERROR(__xludf.DUMMYFUNCTION("""COMPUTED_VALUE"""),0.333391203705105)</f>
        <v>0.3333912037</v>
      </c>
      <c r="D19528" s="4">
        <f>IFERROR(__xludf.DUMMYFUNCTION("""COMPUTED_VALUE"""),12.970207)</f>
        <v>12.970207</v>
      </c>
      <c r="E19528" s="4">
        <f>IFERROR(__xludf.DUMMYFUNCTION("""COMPUTED_VALUE"""),80.150476)</f>
        <v>80.150476</v>
      </c>
      <c r="F19528" s="4">
        <f>IFERROR(__xludf.DUMMYFUNCTION("""COMPUTED_VALUE"""),3143.0)</f>
        <v>3143</v>
      </c>
      <c r="G19528" s="4">
        <f>IFERROR(__xludf.DUMMYFUNCTION("""COMPUTED_VALUE"""),52.0)</f>
        <v>52</v>
      </c>
      <c r="H19528" s="4"/>
      <c r="I19528" s="4"/>
    </row>
    <row r="19529">
      <c r="A19529" s="4" t="str">
        <f>IFERROR(__xludf.DUMMYFUNCTION("""COMPUTED_VALUE"""),"cas_hmw")</f>
        <v>cas_hmw</v>
      </c>
      <c r="B19529" s="5">
        <f>IFERROR(__xludf.DUMMYFUNCTION("""COMPUTED_VALUE"""),44778.0)</f>
        <v>44778</v>
      </c>
      <c r="C19529" s="6">
        <f>IFERROR(__xludf.DUMMYFUNCTION("""COMPUTED_VALUE"""),0.333391203705105)</f>
        <v>0.3333912037</v>
      </c>
      <c r="D19529" s="4">
        <f>IFERROR(__xludf.DUMMYFUNCTION("""COMPUTED_VALUE"""),12.970207)</f>
        <v>12.970207</v>
      </c>
      <c r="E19529" s="4">
        <f>IFERROR(__xludf.DUMMYFUNCTION("""COMPUTED_VALUE"""),80.150476)</f>
        <v>80.150476</v>
      </c>
      <c r="F19529" s="4">
        <f>IFERROR(__xludf.DUMMYFUNCTION("""COMPUTED_VALUE"""),3143.0)</f>
        <v>3143</v>
      </c>
      <c r="G19529" s="4">
        <f>IFERROR(__xludf.DUMMYFUNCTION("""COMPUTED_VALUE"""),52.0)</f>
        <v>52</v>
      </c>
      <c r="H19529" s="4"/>
      <c r="I19529" s="4"/>
    </row>
    <row r="19530">
      <c r="A19530" s="4" t="str">
        <f>IFERROR(__xludf.DUMMYFUNCTION("""COMPUTED_VALUE"""),"cas_hmw")</f>
        <v>cas_hmw</v>
      </c>
      <c r="B19530" s="5">
        <f>IFERROR(__xludf.DUMMYFUNCTION("""COMPUTED_VALUE"""),44778.0)</f>
        <v>44778</v>
      </c>
      <c r="C19530" s="6">
        <f>IFERROR(__xludf.DUMMYFUNCTION("""COMPUTED_VALUE"""),0.3334027777782467)</f>
        <v>0.3334027778</v>
      </c>
      <c r="D19530" s="4">
        <f>IFERROR(__xludf.DUMMYFUNCTION("""COMPUTED_VALUE"""),12.970207)</f>
        <v>12.970207</v>
      </c>
      <c r="E19530" s="4">
        <f>IFERROR(__xludf.DUMMYFUNCTION("""COMPUTED_VALUE"""),80.150476)</f>
        <v>80.150476</v>
      </c>
      <c r="F19530" s="4">
        <f>IFERROR(__xludf.DUMMYFUNCTION("""COMPUTED_VALUE"""),3143.0)</f>
        <v>3143</v>
      </c>
      <c r="G19530" s="4">
        <f>IFERROR(__xludf.DUMMYFUNCTION("""COMPUTED_VALUE"""),52.0)</f>
        <v>52</v>
      </c>
      <c r="H19530" s="4"/>
      <c r="I19530" s="4"/>
    </row>
    <row r="19531">
      <c r="A19531" s="4" t="str">
        <f>IFERROR(__xludf.DUMMYFUNCTION("""COMPUTED_VALUE"""),"cas_hmw")</f>
        <v>cas_hmw</v>
      </c>
      <c r="B19531" s="5">
        <f>IFERROR(__xludf.DUMMYFUNCTION("""COMPUTED_VALUE"""),44778.0)</f>
        <v>44778</v>
      </c>
      <c r="C19531" s="6">
        <f>IFERROR(__xludf.DUMMYFUNCTION("""COMPUTED_VALUE"""),0.3334722222207347)</f>
        <v>0.3334722222</v>
      </c>
      <c r="D19531" s="4">
        <f>IFERROR(__xludf.DUMMYFUNCTION("""COMPUTED_VALUE"""),12.997772)</f>
        <v>12.997772</v>
      </c>
      <c r="E19531" s="4">
        <f>IFERROR(__xludf.DUMMYFUNCTION("""COMPUTED_VALUE"""),80.191438)</f>
        <v>80.191438</v>
      </c>
      <c r="F19531" s="4">
        <f>IFERROR(__xludf.DUMMYFUNCTION("""COMPUTED_VALUE"""),805.0)</f>
        <v>805</v>
      </c>
      <c r="G19531" s="4">
        <f>IFERROR(__xludf.DUMMYFUNCTION("""COMPUTED_VALUE"""),51.0)</f>
        <v>51</v>
      </c>
      <c r="H19531" s="4"/>
      <c r="I19531" s="4"/>
    </row>
    <row r="19532">
      <c r="A19532" s="4" t="str">
        <f>IFERROR(__xludf.DUMMYFUNCTION("""COMPUTED_VALUE"""),"cas_hmw")</f>
        <v>cas_hmw</v>
      </c>
      <c r="B19532" s="5">
        <f>IFERROR(__xludf.DUMMYFUNCTION("""COMPUTED_VALUE"""),44778.0)</f>
        <v>44778</v>
      </c>
      <c r="C19532" s="6">
        <f>IFERROR(__xludf.DUMMYFUNCTION("""COMPUTED_VALUE"""),0.3338657407402934)</f>
        <v>0.3338657407</v>
      </c>
      <c r="D19532" s="4">
        <f>IFERROR(__xludf.DUMMYFUNCTION("""COMPUTED_VALUE"""),12.995882)</f>
        <v>12.995882</v>
      </c>
      <c r="E19532" s="4">
        <f>IFERROR(__xludf.DUMMYFUNCTION("""COMPUTED_VALUE"""),80.189301)</f>
        <v>80.189301</v>
      </c>
      <c r="F19532" s="4">
        <f>IFERROR(__xludf.DUMMYFUNCTION("""COMPUTED_VALUE"""),805.0)</f>
        <v>805</v>
      </c>
      <c r="G19532" s="4">
        <f>IFERROR(__xludf.DUMMYFUNCTION("""COMPUTED_VALUE"""),20.0)</f>
        <v>20</v>
      </c>
      <c r="H19532" s="4"/>
      <c r="I19532" s="4"/>
    </row>
    <row r="19533">
      <c r="A19533" s="4" t="str">
        <f>IFERROR(__xludf.DUMMYFUNCTION("""COMPUTED_VALUE"""),"cas_hmw")</f>
        <v>cas_hmw</v>
      </c>
      <c r="B19533" s="5">
        <f>IFERROR(__xludf.DUMMYFUNCTION("""COMPUTED_VALUE"""),44778.0)</f>
        <v>44778</v>
      </c>
      <c r="C19533" s="6">
        <f>IFERROR(__xludf.DUMMYFUNCTION("""COMPUTED_VALUE"""),0.3339699074058444)</f>
        <v>0.3339699074</v>
      </c>
      <c r="D19533" s="4">
        <f>IFERROR(__xludf.DUMMYFUNCTION("""COMPUTED_VALUE"""),12.995522)</f>
        <v>12.995522</v>
      </c>
      <c r="E19533" s="4">
        <f>IFERROR(__xludf.DUMMYFUNCTION("""COMPUTED_VALUE"""),80.188661)</f>
        <v>80.188661</v>
      </c>
      <c r="F19533" s="4">
        <f>IFERROR(__xludf.DUMMYFUNCTION("""COMPUTED_VALUE"""),805.0)</f>
        <v>805</v>
      </c>
      <c r="G19533" s="4">
        <f>IFERROR(__xludf.DUMMYFUNCTION("""COMPUTED_VALUE"""),30.0)</f>
        <v>30</v>
      </c>
      <c r="H19533" s="4"/>
      <c r="I19533" s="4"/>
    </row>
    <row r="19534">
      <c r="A19534" s="4" t="str">
        <f>IFERROR(__xludf.DUMMYFUNCTION("""COMPUTED_VALUE"""),"cas_hmw")</f>
        <v>cas_hmw</v>
      </c>
      <c r="B19534" s="5">
        <f>IFERROR(__xludf.DUMMYFUNCTION("""COMPUTED_VALUE"""),44778.0)</f>
        <v>44778</v>
      </c>
      <c r="C19534" s="6">
        <f>IFERROR(__xludf.DUMMYFUNCTION("""COMPUTED_VALUE"""),0.33416666666744277)</f>
        <v>0.3341666667</v>
      </c>
      <c r="D19534" s="4">
        <f>IFERROR(__xludf.DUMMYFUNCTION("""COMPUTED_VALUE"""),12.957613)</f>
        <v>12.957613</v>
      </c>
      <c r="E19534" s="4">
        <f>IFERROR(__xludf.DUMMYFUNCTION("""COMPUTED_VALUE"""),80.143955)</f>
        <v>80.143955</v>
      </c>
      <c r="F19534" s="4">
        <f>IFERROR(__xludf.DUMMYFUNCTION("""COMPUTED_VALUE"""),5339.0)</f>
        <v>5339</v>
      </c>
      <c r="G19534" s="4">
        <f>IFERROR(__xludf.DUMMYFUNCTION("""COMPUTED_VALUE"""),45.0)</f>
        <v>45</v>
      </c>
      <c r="H19534" s="4"/>
      <c r="I19534" s="4"/>
    </row>
    <row r="19535">
      <c r="A19535" s="4" t="str">
        <f>IFERROR(__xludf.DUMMYFUNCTION("""COMPUTED_VALUE"""),"cas_hmw")</f>
        <v>cas_hmw</v>
      </c>
      <c r="B19535" s="5">
        <f>IFERROR(__xludf.DUMMYFUNCTION("""COMPUTED_VALUE"""),44778.0)</f>
        <v>44778</v>
      </c>
      <c r="C19535" s="6">
        <f>IFERROR(__xludf.DUMMYFUNCTION("""COMPUTED_VALUE"""),0.3344560185178125)</f>
        <v>0.3344560185</v>
      </c>
      <c r="D19535" s="4">
        <f>IFERROR(__xludf.DUMMYFUNCTION("""COMPUTED_VALUE"""),12.955263)</f>
        <v>12.955263</v>
      </c>
      <c r="E19535" s="4">
        <f>IFERROR(__xludf.DUMMYFUNCTION("""COMPUTED_VALUE"""),80.14279)</f>
        <v>80.14279</v>
      </c>
      <c r="F19535" s="4">
        <f>IFERROR(__xludf.DUMMYFUNCTION("""COMPUTED_VALUE"""),5339.0)</f>
        <v>5339</v>
      </c>
      <c r="G19535" s="4">
        <f>IFERROR(__xludf.DUMMYFUNCTION("""COMPUTED_VALUE"""),37.0)</f>
        <v>37</v>
      </c>
      <c r="H19535" s="4"/>
      <c r="I19535" s="4"/>
    </row>
    <row r="19536">
      <c r="A19536" s="4" t="str">
        <f>IFERROR(__xludf.DUMMYFUNCTION("""COMPUTED_VALUE"""),"cas_hmw")</f>
        <v>cas_hmw</v>
      </c>
      <c r="B19536" s="5">
        <f>IFERROR(__xludf.DUMMYFUNCTION("""COMPUTED_VALUE"""),44778.0)</f>
        <v>44778</v>
      </c>
      <c r="C19536" s="6">
        <f>IFERROR(__xludf.DUMMYFUNCTION("""COMPUTED_VALUE"""),0.33450231481401715)</f>
        <v>0.3345023148</v>
      </c>
      <c r="D19536" s="4">
        <f>IFERROR(__xludf.DUMMYFUNCTION("""COMPUTED_VALUE"""),12.955263)</f>
        <v>12.955263</v>
      </c>
      <c r="E19536" s="4">
        <f>IFERROR(__xludf.DUMMYFUNCTION("""COMPUTED_VALUE"""),80.14279)</f>
        <v>80.14279</v>
      </c>
      <c r="F19536" s="4">
        <f>IFERROR(__xludf.DUMMYFUNCTION("""COMPUTED_VALUE"""),5339.0)</f>
        <v>5339</v>
      </c>
      <c r="G19536" s="4">
        <f>IFERROR(__xludf.DUMMYFUNCTION("""COMPUTED_VALUE"""),37.0)</f>
        <v>37</v>
      </c>
      <c r="H19536" s="4"/>
      <c r="I19536" s="4"/>
    </row>
    <row r="19537">
      <c r="A19537" s="4" t="str">
        <f>IFERROR(__xludf.DUMMYFUNCTION("""COMPUTED_VALUE"""),"cas_hmw")</f>
        <v>cas_hmw</v>
      </c>
      <c r="B19537" s="5">
        <f>IFERROR(__xludf.DUMMYFUNCTION("""COMPUTED_VALUE"""),44778.0)</f>
        <v>44778</v>
      </c>
      <c r="C19537" s="6">
        <f>IFERROR(__xludf.DUMMYFUNCTION("""COMPUTED_VALUE"""),0.33479166666802485)</f>
        <v>0.3347916667</v>
      </c>
      <c r="D19537" s="4">
        <f>IFERROR(__xludf.DUMMYFUNCTION("""COMPUTED_VALUE"""),12.959737)</f>
        <v>12.959737</v>
      </c>
      <c r="E19537" s="4">
        <f>IFERROR(__xludf.DUMMYFUNCTION("""COMPUTED_VALUE"""),80.145127)</f>
        <v>80.145127</v>
      </c>
      <c r="F19537" s="4">
        <f>IFERROR(__xludf.DUMMYFUNCTION("""COMPUTED_VALUE"""),3143.0)</f>
        <v>3143</v>
      </c>
      <c r="G19537" s="4">
        <f>IFERROR(__xludf.DUMMYFUNCTION("""COMPUTED_VALUE"""),44.0)</f>
        <v>44</v>
      </c>
      <c r="H19537" s="4"/>
      <c r="I19537" s="4"/>
    </row>
    <row r="19538">
      <c r="A19538" s="4" t="str">
        <f>IFERROR(__xludf.DUMMYFUNCTION("""COMPUTED_VALUE"""),"cas_hmw")</f>
        <v>cas_hmw</v>
      </c>
      <c r="B19538" s="5">
        <f>IFERROR(__xludf.DUMMYFUNCTION("""COMPUTED_VALUE"""),44778.0)</f>
        <v>44778</v>
      </c>
      <c r="C19538" s="6">
        <f>IFERROR(__xludf.DUMMYFUNCTION("""COMPUTED_VALUE"""),0.3353587962956226)</f>
        <v>0.3353587963</v>
      </c>
      <c r="D19538" s="4">
        <f>IFERROR(__xludf.DUMMYFUNCTION("""COMPUTED_VALUE"""),12.956371)</f>
        <v>12.956371</v>
      </c>
      <c r="E19538" s="4">
        <f>IFERROR(__xludf.DUMMYFUNCTION("""COMPUTED_VALUE"""),80.143427)</f>
        <v>80.143427</v>
      </c>
      <c r="F19538" s="4">
        <f>IFERROR(__xludf.DUMMYFUNCTION("""COMPUTED_VALUE"""),3143.0)</f>
        <v>3143</v>
      </c>
      <c r="G19538" s="4">
        <f>IFERROR(__xludf.DUMMYFUNCTION("""COMPUTED_VALUE"""),10.0)</f>
        <v>10</v>
      </c>
      <c r="H19538" s="4"/>
      <c r="I19538" s="4"/>
    </row>
    <row r="19539">
      <c r="A19539" s="4" t="str">
        <f>IFERROR(__xludf.DUMMYFUNCTION("""COMPUTED_VALUE"""),"cas_hmw")</f>
        <v>cas_hmw</v>
      </c>
      <c r="B19539" s="5">
        <f>IFERROR(__xludf.DUMMYFUNCTION("""COMPUTED_VALUE"""),44778.0)</f>
        <v>44778</v>
      </c>
      <c r="C19539" s="6">
        <f>IFERROR(__xludf.DUMMYFUNCTION("""COMPUTED_VALUE"""),0.3353935185186856)</f>
        <v>0.3353935185</v>
      </c>
      <c r="D19539" s="4">
        <f>IFERROR(__xludf.DUMMYFUNCTION("""COMPUTED_VALUE"""),12.956371)</f>
        <v>12.956371</v>
      </c>
      <c r="E19539" s="4">
        <f>IFERROR(__xludf.DUMMYFUNCTION("""COMPUTED_VALUE"""),80.143427)</f>
        <v>80.143427</v>
      </c>
      <c r="F19539" s="4">
        <f>IFERROR(__xludf.DUMMYFUNCTION("""COMPUTED_VALUE"""),3143.0)</f>
        <v>3143</v>
      </c>
      <c r="G19539" s="4">
        <f>IFERROR(__xludf.DUMMYFUNCTION("""COMPUTED_VALUE"""),10.0)</f>
        <v>10</v>
      </c>
      <c r="H19539" s="4"/>
      <c r="I19539" s="4"/>
    </row>
    <row r="19540">
      <c r="A19540" s="4" t="str">
        <f>IFERROR(__xludf.DUMMYFUNCTION("""COMPUTED_VALUE"""),"cas_hmw")</f>
        <v>cas_hmw</v>
      </c>
      <c r="B19540" s="5">
        <f>IFERROR(__xludf.DUMMYFUNCTION("""COMPUTED_VALUE"""),44778.0)</f>
        <v>44778</v>
      </c>
      <c r="C19540" s="6">
        <f>IFERROR(__xludf.DUMMYFUNCTION("""COMPUTED_VALUE"""),0.3353935185186856)</f>
        <v>0.3353935185</v>
      </c>
      <c r="D19540" s="4">
        <f>IFERROR(__xludf.DUMMYFUNCTION("""COMPUTED_VALUE"""),12.99063)</f>
        <v>12.99063</v>
      </c>
      <c r="E19540" s="4">
        <f>IFERROR(__xludf.DUMMYFUNCTION("""COMPUTED_VALUE"""),80.180447)</f>
        <v>80.180447</v>
      </c>
      <c r="F19540" s="4">
        <f>IFERROR(__xludf.DUMMYFUNCTION("""COMPUTED_VALUE"""),805.0)</f>
        <v>805</v>
      </c>
      <c r="G19540" s="4">
        <f>IFERROR(__xludf.DUMMYFUNCTION("""COMPUTED_VALUE"""),58.0)</f>
        <v>58</v>
      </c>
      <c r="H19540" s="4"/>
      <c r="I19540" s="4"/>
    </row>
    <row r="19541">
      <c r="A19541" s="4" t="str">
        <f>IFERROR(__xludf.DUMMYFUNCTION("""COMPUTED_VALUE"""),"cas_hmw")</f>
        <v>cas_hmw</v>
      </c>
      <c r="B19541" s="5">
        <f>IFERROR(__xludf.DUMMYFUNCTION("""COMPUTED_VALUE"""),44778.0)</f>
        <v>44778</v>
      </c>
      <c r="C19541" s="6">
        <f>IFERROR(__xludf.DUMMYFUNCTION("""COMPUTED_VALUE"""),0.3353935185186856)</f>
        <v>0.3353935185</v>
      </c>
      <c r="D19541" s="4">
        <f>IFERROR(__xludf.DUMMYFUNCTION("""COMPUTED_VALUE"""),12.951791)</f>
        <v>12.951791</v>
      </c>
      <c r="E19541" s="4">
        <f>IFERROR(__xludf.DUMMYFUNCTION("""COMPUTED_VALUE"""),80.140636)</f>
        <v>80.140636</v>
      </c>
      <c r="F19541" s="4">
        <f>IFERROR(__xludf.DUMMYFUNCTION("""COMPUTED_VALUE"""),5339.0)</f>
        <v>5339</v>
      </c>
      <c r="G19541" s="4">
        <f>IFERROR(__xludf.DUMMYFUNCTION("""COMPUTED_VALUE"""),25.0)</f>
        <v>25</v>
      </c>
      <c r="H19541" s="4"/>
      <c r="I19541" s="4"/>
    </row>
    <row r="19542">
      <c r="A19542" s="4" t="str">
        <f>IFERROR(__xludf.DUMMYFUNCTION("""COMPUTED_VALUE"""),"cas_hmw")</f>
        <v>cas_hmw</v>
      </c>
      <c r="B19542" s="5">
        <f>IFERROR(__xludf.DUMMYFUNCTION("""COMPUTED_VALUE"""),44778.0)</f>
        <v>44778</v>
      </c>
      <c r="C19542" s="6">
        <f>IFERROR(__xludf.DUMMYFUNCTION("""COMPUTED_VALUE"""),0.33570601851897663)</f>
        <v>0.3357060185</v>
      </c>
      <c r="D19542" s="4">
        <f>IFERROR(__xludf.DUMMYFUNCTION("""COMPUTED_VALUE"""),12.988177)</f>
        <v>12.988177</v>
      </c>
      <c r="E19542" s="4">
        <f>IFERROR(__xludf.DUMMYFUNCTION("""COMPUTED_VALUE"""),80.177238)</f>
        <v>80.177238</v>
      </c>
      <c r="F19542" s="4">
        <f>IFERROR(__xludf.DUMMYFUNCTION("""COMPUTED_VALUE"""),805.0)</f>
        <v>805</v>
      </c>
      <c r="G19542" s="4">
        <f>IFERROR(__xludf.DUMMYFUNCTION("""COMPUTED_VALUE"""),56.0)</f>
        <v>56</v>
      </c>
      <c r="H19542" s="4"/>
      <c r="I19542" s="4"/>
    </row>
    <row r="19543">
      <c r="A19543" s="4" t="str">
        <f>IFERROR(__xludf.DUMMYFUNCTION("""COMPUTED_VALUE"""),"cas_hmw")</f>
        <v>cas_hmw</v>
      </c>
      <c r="B19543" s="5">
        <f>IFERROR(__xludf.DUMMYFUNCTION("""COMPUTED_VALUE"""),44778.0)</f>
        <v>44778</v>
      </c>
      <c r="C19543" s="6">
        <f>IFERROR(__xludf.DUMMYFUNCTION("""COMPUTED_VALUE"""),0.3360879629617557)</f>
        <v>0.336087963</v>
      </c>
      <c r="D19543" s="4">
        <f>IFERROR(__xludf.DUMMYFUNCTION("""COMPUTED_VALUE"""),12.98605)</f>
        <v>12.98605</v>
      </c>
      <c r="E19543" s="4">
        <f>IFERROR(__xludf.DUMMYFUNCTION("""COMPUTED_VALUE"""),80.174212)</f>
        <v>80.174212</v>
      </c>
      <c r="F19543" s="4">
        <f>IFERROR(__xludf.DUMMYFUNCTION("""COMPUTED_VALUE"""),805.0)</f>
        <v>805</v>
      </c>
      <c r="G19543" s="4">
        <f>IFERROR(__xludf.DUMMYFUNCTION("""COMPUTED_VALUE"""),38.0)</f>
        <v>38</v>
      </c>
      <c r="H19543" s="4"/>
      <c r="I19543" s="4"/>
    </row>
    <row r="19544">
      <c r="A19544" s="4" t="str">
        <f>IFERROR(__xludf.DUMMYFUNCTION("""COMPUTED_VALUE"""),"cas_hmw")</f>
        <v>cas_hmw</v>
      </c>
      <c r="B19544" s="5">
        <f>IFERROR(__xludf.DUMMYFUNCTION("""COMPUTED_VALUE"""),44778.0)</f>
        <v>44778</v>
      </c>
      <c r="C19544" s="6">
        <f>IFERROR(__xludf.DUMMYFUNCTION("""COMPUTED_VALUE"""),0.3362615740734327)</f>
        <v>0.3362615741</v>
      </c>
      <c r="D19544" s="4">
        <f>IFERROR(__xludf.DUMMYFUNCTION("""COMPUTED_VALUE"""),12.950373)</f>
        <v>12.950373</v>
      </c>
      <c r="E19544" s="4">
        <f>IFERROR(__xludf.DUMMYFUNCTION("""COMPUTED_VALUE"""),80.139572)</f>
        <v>80.139572</v>
      </c>
      <c r="F19544" s="4">
        <f>IFERROR(__xludf.DUMMYFUNCTION("""COMPUTED_VALUE"""),5339.0)</f>
        <v>5339</v>
      </c>
      <c r="G19544" s="4">
        <f>IFERROR(__xludf.DUMMYFUNCTION("""COMPUTED_VALUE"""),25.0)</f>
        <v>25</v>
      </c>
      <c r="H19544" s="4"/>
      <c r="I19544" s="4"/>
    </row>
    <row r="19545">
      <c r="A19545" s="4" t="str">
        <f>IFERROR(__xludf.DUMMYFUNCTION("""COMPUTED_VALUE"""),"cas_hmw")</f>
        <v>cas_hmw</v>
      </c>
      <c r="B19545" s="5">
        <f>IFERROR(__xludf.DUMMYFUNCTION("""COMPUTED_VALUE"""),44778.0)</f>
        <v>44778</v>
      </c>
      <c r="C19545" s="6">
        <f>IFERROR(__xludf.DUMMYFUNCTION("""COMPUTED_VALUE"""),0.33628472222335404)</f>
        <v>0.3362847222</v>
      </c>
      <c r="D19545" s="4">
        <f>IFERROR(__xludf.DUMMYFUNCTION("""COMPUTED_VALUE"""),12.950373)</f>
        <v>12.950373</v>
      </c>
      <c r="E19545" s="4">
        <f>IFERROR(__xludf.DUMMYFUNCTION("""COMPUTED_VALUE"""),80.139572)</f>
        <v>80.139572</v>
      </c>
      <c r="F19545" s="4">
        <f>IFERROR(__xludf.DUMMYFUNCTION("""COMPUTED_VALUE"""),5339.0)</f>
        <v>5339</v>
      </c>
      <c r="G19545" s="4">
        <f>IFERROR(__xludf.DUMMYFUNCTION("""COMPUTED_VALUE"""),25.0)</f>
        <v>25</v>
      </c>
      <c r="H19545" s="4"/>
      <c r="I19545" s="4"/>
    </row>
    <row r="19546">
      <c r="A19546" s="4" t="str">
        <f>IFERROR(__xludf.DUMMYFUNCTION("""COMPUTED_VALUE"""),"cas_hmw")</f>
        <v>cas_hmw</v>
      </c>
      <c r="B19546" s="5">
        <f>IFERROR(__xludf.DUMMYFUNCTION("""COMPUTED_VALUE"""),44778.0)</f>
        <v>44778</v>
      </c>
      <c r="C19546" s="6">
        <f>IFERROR(__xludf.DUMMYFUNCTION("""COMPUTED_VALUE"""),0.33638888888890506)</f>
        <v>0.3363888889</v>
      </c>
      <c r="D19546" s="4">
        <f>IFERROR(__xludf.DUMMYFUNCTION("""COMPUTED_VALUE"""),12.984342)</f>
        <v>12.984342</v>
      </c>
      <c r="E19546" s="4">
        <f>IFERROR(__xludf.DUMMYFUNCTION("""COMPUTED_VALUE"""),80.171608)</f>
        <v>80.171608</v>
      </c>
      <c r="F19546" s="4">
        <f>IFERROR(__xludf.DUMMYFUNCTION("""COMPUTED_VALUE"""),805.0)</f>
        <v>805</v>
      </c>
      <c r="G19546" s="4">
        <f>IFERROR(__xludf.DUMMYFUNCTION("""COMPUTED_VALUE"""),46.0)</f>
        <v>46</v>
      </c>
      <c r="H19546" s="4"/>
      <c r="I19546" s="4"/>
    </row>
    <row r="19547">
      <c r="A19547" s="4" t="str">
        <f>IFERROR(__xludf.DUMMYFUNCTION("""COMPUTED_VALUE"""),"cas_hmw")</f>
        <v>cas_hmw</v>
      </c>
      <c r="B19547" s="5">
        <f>IFERROR(__xludf.DUMMYFUNCTION("""COMPUTED_VALUE"""),44778.0)</f>
        <v>44778</v>
      </c>
      <c r="C19547" s="6">
        <f>IFERROR(__xludf.DUMMYFUNCTION("""COMPUTED_VALUE"""),0.3364120370388264)</f>
        <v>0.336412037</v>
      </c>
      <c r="D19547" s="4">
        <f>IFERROR(__xludf.DUMMYFUNCTION("""COMPUTED_VALUE"""),12.951264)</f>
        <v>12.951264</v>
      </c>
      <c r="E19547" s="4">
        <f>IFERROR(__xludf.DUMMYFUNCTION("""COMPUTED_VALUE"""),80.140234)</f>
        <v>80.140234</v>
      </c>
      <c r="F19547" s="4">
        <f>IFERROR(__xludf.DUMMYFUNCTION("""COMPUTED_VALUE"""),3143.0)</f>
        <v>3143</v>
      </c>
      <c r="G19547" s="4">
        <f>IFERROR(__xludf.DUMMYFUNCTION("""COMPUTED_VALUE"""),6.0)</f>
        <v>6</v>
      </c>
      <c r="H19547" s="4"/>
      <c r="I19547" s="4"/>
    </row>
    <row r="19548">
      <c r="A19548" s="4" t="str">
        <f>IFERROR(__xludf.DUMMYFUNCTION("""COMPUTED_VALUE"""),"cas_hmw")</f>
        <v>cas_hmw</v>
      </c>
      <c r="B19548" s="5">
        <f>IFERROR(__xludf.DUMMYFUNCTION("""COMPUTED_VALUE"""),44778.0)</f>
        <v>44778</v>
      </c>
      <c r="C19548" s="6">
        <f>IFERROR(__xludf.DUMMYFUNCTION("""COMPUTED_VALUE"""),0.33642361111196806)</f>
        <v>0.3364236111</v>
      </c>
      <c r="D19548" s="4">
        <f>IFERROR(__xludf.DUMMYFUNCTION("""COMPUTED_VALUE"""),12.951264)</f>
        <v>12.951264</v>
      </c>
      <c r="E19548" s="4">
        <f>IFERROR(__xludf.DUMMYFUNCTION("""COMPUTED_VALUE"""),80.140234)</f>
        <v>80.140234</v>
      </c>
      <c r="F19548" s="4">
        <f>IFERROR(__xludf.DUMMYFUNCTION("""COMPUTED_VALUE"""),3143.0)</f>
        <v>3143</v>
      </c>
      <c r="G19548" s="4">
        <f>IFERROR(__xludf.DUMMYFUNCTION("""COMPUTED_VALUE"""),6.0)</f>
        <v>6</v>
      </c>
      <c r="H19548" s="4"/>
      <c r="I19548" s="4"/>
    </row>
    <row r="19549">
      <c r="A19549" s="4" t="str">
        <f>IFERROR(__xludf.DUMMYFUNCTION("""COMPUTED_VALUE"""),"cas_hmw")</f>
        <v>cas_hmw</v>
      </c>
      <c r="B19549" s="5">
        <f>IFERROR(__xludf.DUMMYFUNCTION("""COMPUTED_VALUE"""),44778.0)</f>
        <v>44778</v>
      </c>
      <c r="C19549" s="6">
        <f>IFERROR(__xludf.DUMMYFUNCTION("""COMPUTED_VALUE"""),0.33645833333503106)</f>
        <v>0.3364583333</v>
      </c>
      <c r="D19549" s="4">
        <f>IFERROR(__xludf.DUMMYFUNCTION("""COMPUTED_VALUE"""),12.794783)</f>
        <v>12.794783</v>
      </c>
      <c r="E19549" s="4">
        <f>IFERROR(__xludf.DUMMYFUNCTION("""COMPUTED_VALUE"""),80.019843)</f>
        <v>80.019843</v>
      </c>
      <c r="F19549" s="4">
        <f>IFERROR(__xludf.DUMMYFUNCTION("""COMPUTED_VALUE"""),2846.0)</f>
        <v>2846</v>
      </c>
      <c r="G19549" s="4">
        <f>IFERROR(__xludf.DUMMYFUNCTION("""COMPUTED_VALUE"""),53.0)</f>
        <v>53</v>
      </c>
      <c r="H19549" s="4"/>
      <c r="I19549" s="4"/>
    </row>
    <row r="19550">
      <c r="A19550" s="4" t="str">
        <f>IFERROR(__xludf.DUMMYFUNCTION("""COMPUTED_VALUE"""),"cas_hmw")</f>
        <v>cas_hmw</v>
      </c>
      <c r="B19550" s="5">
        <f>IFERROR(__xludf.DUMMYFUNCTION("""COMPUTED_VALUE"""),44778.0)</f>
        <v>44778</v>
      </c>
      <c r="C19550" s="6">
        <f>IFERROR(__xludf.DUMMYFUNCTION("""COMPUTED_VALUE"""),0.33645833333503106)</f>
        <v>0.3364583333</v>
      </c>
      <c r="D19550" s="4">
        <f>IFERROR(__xludf.DUMMYFUNCTION("""COMPUTED_VALUE"""),12.951264)</f>
        <v>12.951264</v>
      </c>
      <c r="E19550" s="4">
        <f>IFERROR(__xludf.DUMMYFUNCTION("""COMPUTED_VALUE"""),80.140234)</f>
        <v>80.140234</v>
      </c>
      <c r="F19550" s="4">
        <f>IFERROR(__xludf.DUMMYFUNCTION("""COMPUTED_VALUE"""),3143.0)</f>
        <v>3143</v>
      </c>
      <c r="G19550" s="4">
        <f>IFERROR(__xludf.DUMMYFUNCTION("""COMPUTED_VALUE"""),6.0)</f>
        <v>6</v>
      </c>
      <c r="H19550" s="4"/>
      <c r="I19550" s="4"/>
    </row>
    <row r="19551">
      <c r="A19551" s="4" t="str">
        <f>IFERROR(__xludf.DUMMYFUNCTION("""COMPUTED_VALUE"""),"cas_hmw")</f>
        <v>cas_hmw</v>
      </c>
      <c r="B19551" s="5">
        <f>IFERROR(__xludf.DUMMYFUNCTION("""COMPUTED_VALUE"""),44778.0)</f>
        <v>44778</v>
      </c>
      <c r="C19551" s="6">
        <f>IFERROR(__xludf.DUMMYFUNCTION("""COMPUTED_VALUE"""),0.3365856481468654)</f>
        <v>0.3365856481</v>
      </c>
      <c r="D19551" s="4">
        <f>IFERROR(__xludf.DUMMYFUNCTION("""COMPUTED_VALUE"""),12.983798)</f>
        <v>12.983798</v>
      </c>
      <c r="E19551" s="4">
        <f>IFERROR(__xludf.DUMMYFUNCTION("""COMPUTED_VALUE"""),80.170694)</f>
        <v>80.170694</v>
      </c>
      <c r="F19551" s="4">
        <f>IFERROR(__xludf.DUMMYFUNCTION("""COMPUTED_VALUE"""),805.0)</f>
        <v>805</v>
      </c>
      <c r="G19551" s="4">
        <f>IFERROR(__xludf.DUMMYFUNCTION("""COMPUTED_VALUE"""),39.0)</f>
        <v>39</v>
      </c>
      <c r="H19551" s="4"/>
      <c r="I19551" s="4"/>
    </row>
    <row r="19552">
      <c r="A19552" s="4" t="str">
        <f>IFERROR(__xludf.DUMMYFUNCTION("""COMPUTED_VALUE"""),"cas_hmw")</f>
        <v>cas_hmw</v>
      </c>
      <c r="B19552" s="5">
        <f>IFERROR(__xludf.DUMMYFUNCTION("""COMPUTED_VALUE"""),44778.0)</f>
        <v>44778</v>
      </c>
      <c r="C19552" s="6">
        <f>IFERROR(__xludf.DUMMYFUNCTION("""COMPUTED_VALUE"""),0.3365972222236451)</f>
        <v>0.3365972222</v>
      </c>
      <c r="D19552" s="4">
        <f>IFERROR(__xludf.DUMMYFUNCTION("""COMPUTED_VALUE"""),12.95087)</f>
        <v>12.95087</v>
      </c>
      <c r="E19552" s="4">
        <f>IFERROR(__xludf.DUMMYFUNCTION("""COMPUTED_VALUE"""),80.139939)</f>
        <v>80.139939</v>
      </c>
      <c r="F19552" s="4">
        <f>IFERROR(__xludf.DUMMYFUNCTION("""COMPUTED_VALUE"""),3143.0)</f>
        <v>3143</v>
      </c>
      <c r="G19552" s="4">
        <f>IFERROR(__xludf.DUMMYFUNCTION("""COMPUTED_VALUE"""),20.0)</f>
        <v>20</v>
      </c>
      <c r="H19552" s="4"/>
      <c r="I19552" s="4"/>
    </row>
    <row r="19553">
      <c r="A19553" s="4" t="str">
        <f>IFERROR(__xludf.DUMMYFUNCTION("""COMPUTED_VALUE"""),"cas_hmw")</f>
        <v>cas_hmw</v>
      </c>
      <c r="B19553" s="5">
        <f>IFERROR(__xludf.DUMMYFUNCTION("""COMPUTED_VALUE"""),44778.0)</f>
        <v>44778</v>
      </c>
      <c r="C19553" s="6">
        <f>IFERROR(__xludf.DUMMYFUNCTION("""COMPUTED_VALUE"""),0.3368171296278888)</f>
        <v>0.3368171296</v>
      </c>
      <c r="D19553" s="4">
        <f>IFERROR(__xludf.DUMMYFUNCTION("""COMPUTED_VALUE"""),12.946743)</f>
        <v>12.946743</v>
      </c>
      <c r="E19553" s="4">
        <f>IFERROR(__xludf.DUMMYFUNCTION("""COMPUTED_VALUE"""),80.13674)</f>
        <v>80.13674</v>
      </c>
      <c r="F19553" s="4">
        <f>IFERROR(__xludf.DUMMYFUNCTION("""COMPUTED_VALUE"""),5339.0)</f>
        <v>5339</v>
      </c>
      <c r="G19553" s="4">
        <f>IFERROR(__xludf.DUMMYFUNCTION("""COMPUTED_VALUE"""),55.0)</f>
        <v>55</v>
      </c>
      <c r="H19553" s="4"/>
      <c r="I19553" s="4"/>
    </row>
    <row r="19554">
      <c r="A19554" s="4" t="str">
        <f>IFERROR(__xludf.DUMMYFUNCTION("""COMPUTED_VALUE"""),"cas_hmw")</f>
        <v>cas_hmw</v>
      </c>
      <c r="B19554" s="5">
        <f>IFERROR(__xludf.DUMMYFUNCTION("""COMPUTED_VALUE"""),44778.0)</f>
        <v>44778</v>
      </c>
      <c r="C19554" s="6">
        <f>IFERROR(__xludf.DUMMYFUNCTION("""COMPUTED_VALUE"""),0.3376388888900692)</f>
        <v>0.3376388889</v>
      </c>
      <c r="D19554" s="4">
        <f>IFERROR(__xludf.DUMMYFUNCTION("""COMPUTED_VALUE"""),12.945982)</f>
        <v>12.945982</v>
      </c>
      <c r="E19554" s="4">
        <f>IFERROR(__xludf.DUMMYFUNCTION("""COMPUTED_VALUE"""),80.13618)</f>
        <v>80.13618</v>
      </c>
      <c r="F19554" s="4">
        <f>IFERROR(__xludf.DUMMYFUNCTION("""COMPUTED_VALUE"""),3143.0)</f>
        <v>3143</v>
      </c>
      <c r="G19554" s="4">
        <f>IFERROR(__xludf.DUMMYFUNCTION("""COMPUTED_VALUE"""),46.0)</f>
        <v>46</v>
      </c>
      <c r="H19554" s="4"/>
      <c r="I19554" s="4"/>
    </row>
    <row r="19555">
      <c r="A19555" s="4" t="str">
        <f>IFERROR(__xludf.DUMMYFUNCTION("""COMPUTED_VALUE"""),"cas_hmw")</f>
        <v>cas_hmw</v>
      </c>
      <c r="B19555" s="5">
        <f>IFERROR(__xludf.DUMMYFUNCTION("""COMPUTED_VALUE"""),44778.0)</f>
        <v>44778</v>
      </c>
      <c r="C19555" s="6">
        <f>IFERROR(__xludf.DUMMYFUNCTION("""COMPUTED_VALUE"""),0.3378009259249666)</f>
        <v>0.3378009259</v>
      </c>
      <c r="D19555" s="4">
        <f>IFERROR(__xludf.DUMMYFUNCTION("""COMPUTED_VALUE"""),12.80548)</f>
        <v>12.80548</v>
      </c>
      <c r="E19555" s="4">
        <f>IFERROR(__xludf.DUMMYFUNCTION("""COMPUTED_VALUE"""),80.026892)</f>
        <v>80.026892</v>
      </c>
      <c r="F19555" s="4">
        <f>IFERROR(__xludf.DUMMYFUNCTION("""COMPUTED_VALUE"""),2846.0)</f>
        <v>2846</v>
      </c>
      <c r="G19555" s="4">
        <f>IFERROR(__xludf.DUMMYFUNCTION("""COMPUTED_VALUE"""),57.0)</f>
        <v>57</v>
      </c>
      <c r="H19555" s="4"/>
      <c r="I19555" s="4"/>
    </row>
    <row r="19556">
      <c r="A19556" s="4" t="str">
        <f>IFERROR(__xludf.DUMMYFUNCTION("""COMPUTED_VALUE"""),"cas_hmw")</f>
        <v>cas_hmw</v>
      </c>
      <c r="B19556" s="5">
        <f>IFERROR(__xludf.DUMMYFUNCTION("""COMPUTED_VALUE"""),44778.0)</f>
        <v>44778</v>
      </c>
      <c r="C19556" s="6">
        <f>IFERROR(__xludf.DUMMYFUNCTION("""COMPUTED_VALUE"""),0.3378240740748879)</f>
        <v>0.3378240741</v>
      </c>
      <c r="D19556" s="4">
        <f>IFERROR(__xludf.DUMMYFUNCTION("""COMPUTED_VALUE"""),12.944389)</f>
        <v>12.944389</v>
      </c>
      <c r="E19556" s="4">
        <f>IFERROR(__xludf.DUMMYFUNCTION("""COMPUTED_VALUE"""),80.134914)</f>
        <v>80.134914</v>
      </c>
      <c r="F19556" s="4">
        <f>IFERROR(__xludf.DUMMYFUNCTION("""COMPUTED_VALUE"""),3143.0)</f>
        <v>3143</v>
      </c>
      <c r="G19556" s="4">
        <f>IFERROR(__xludf.DUMMYFUNCTION("""COMPUTED_VALUE"""),45.0)</f>
        <v>45</v>
      </c>
      <c r="H19556" s="4"/>
      <c r="I19556" s="4"/>
    </row>
    <row r="19557">
      <c r="A19557" s="4" t="str">
        <f>IFERROR(__xludf.DUMMYFUNCTION("""COMPUTED_VALUE"""),"cas_hmw")</f>
        <v>cas_hmw</v>
      </c>
      <c r="B19557" s="5">
        <f>IFERROR(__xludf.DUMMYFUNCTION("""COMPUTED_VALUE"""),44778.0)</f>
        <v>44778</v>
      </c>
      <c r="C19557" s="6">
        <f>IFERROR(__xludf.DUMMYFUNCTION("""COMPUTED_VALUE"""),0.33784722222117125)</f>
        <v>0.3378472222</v>
      </c>
      <c r="D19557" s="4">
        <f>IFERROR(__xludf.DUMMYFUNCTION("""COMPUTED_VALUE"""),12.937717)</f>
        <v>12.937717</v>
      </c>
      <c r="E19557" s="4">
        <f>IFERROR(__xludf.DUMMYFUNCTION("""COMPUTED_VALUE"""),80.128571)</f>
        <v>80.128571</v>
      </c>
      <c r="F19557" s="4">
        <f>IFERROR(__xludf.DUMMYFUNCTION("""COMPUTED_VALUE"""),5339.0)</f>
        <v>5339</v>
      </c>
      <c r="G19557" s="4">
        <f>IFERROR(__xludf.DUMMYFUNCTION("""COMPUTED_VALUE"""),54.0)</f>
        <v>54</v>
      </c>
      <c r="H19557" s="4"/>
      <c r="I19557" s="4"/>
    </row>
    <row r="19558">
      <c r="A19558" s="4" t="str">
        <f>IFERROR(__xludf.DUMMYFUNCTION("""COMPUTED_VALUE"""),"cas_hmw")</f>
        <v>cas_hmw</v>
      </c>
      <c r="B19558" s="5">
        <f>IFERROR(__xludf.DUMMYFUNCTION("""COMPUTED_VALUE"""),44778.0)</f>
        <v>44778</v>
      </c>
      <c r="C19558" s="6">
        <f>IFERROR(__xludf.DUMMYFUNCTION("""COMPUTED_VALUE"""),0.33813657407517894)</f>
        <v>0.3381365741</v>
      </c>
      <c r="D19558" s="4">
        <f>IFERROR(__xludf.DUMMYFUNCTION("""COMPUTED_VALUE"""),12.94146)</f>
        <v>12.94146</v>
      </c>
      <c r="E19558" s="4">
        <f>IFERROR(__xludf.DUMMYFUNCTION("""COMPUTED_VALUE"""),80.132157)</f>
        <v>80.132157</v>
      </c>
      <c r="F19558" s="4">
        <f>IFERROR(__xludf.DUMMYFUNCTION("""COMPUTED_VALUE"""),3143.0)</f>
        <v>3143</v>
      </c>
      <c r="G19558" s="4">
        <f>IFERROR(__xludf.DUMMYFUNCTION("""COMPUTED_VALUE"""),50.0)</f>
        <v>50</v>
      </c>
      <c r="H19558" s="4"/>
      <c r="I19558" s="4"/>
    </row>
    <row r="19559">
      <c r="A19559" s="4" t="str">
        <f>IFERROR(__xludf.DUMMYFUNCTION("""COMPUTED_VALUE"""),"cas_hmw")</f>
        <v>cas_hmw</v>
      </c>
      <c r="B19559" s="5">
        <f>IFERROR(__xludf.DUMMYFUNCTION("""COMPUTED_VALUE"""),44778.0)</f>
        <v>44778</v>
      </c>
      <c r="C19559" s="6">
        <f>IFERROR(__xludf.DUMMYFUNCTION("""COMPUTED_VALUE"""),0.3384374999986903)</f>
        <v>0.3384375</v>
      </c>
      <c r="D19559" s="4">
        <f>IFERROR(__xludf.DUMMYFUNCTION("""COMPUTED_VALUE"""),12.93993)</f>
        <v>12.93993</v>
      </c>
      <c r="E19559" s="4">
        <f>IFERROR(__xludf.DUMMYFUNCTION("""COMPUTED_VALUE"""),80.130558)</f>
        <v>80.130558</v>
      </c>
      <c r="F19559" s="4">
        <f>IFERROR(__xludf.DUMMYFUNCTION("""COMPUTED_VALUE"""),3143.0)</f>
        <v>3143</v>
      </c>
      <c r="G19559" s="4">
        <f>IFERROR(__xludf.DUMMYFUNCTION("""COMPUTED_VALUE"""),50.0)</f>
        <v>50</v>
      </c>
      <c r="H19559" s="4"/>
      <c r="I19559" s="4"/>
    </row>
    <row r="19560">
      <c r="A19560" s="4" t="str">
        <f>IFERROR(__xludf.DUMMYFUNCTION("""COMPUTED_VALUE"""),"cas_hmw")</f>
        <v>cas_hmw</v>
      </c>
      <c r="B19560" s="5">
        <f>IFERROR(__xludf.DUMMYFUNCTION("""COMPUTED_VALUE"""),44778.0)</f>
        <v>44778</v>
      </c>
      <c r="C19560" s="6">
        <f>IFERROR(__xludf.DUMMYFUNCTION("""COMPUTED_VALUE"""),0.3385416666678793)</f>
        <v>0.3385416667</v>
      </c>
      <c r="D19560" s="4">
        <f>IFERROR(__xludf.DUMMYFUNCTION("""COMPUTED_VALUE"""),12.93569)</f>
        <v>12.93569</v>
      </c>
      <c r="E19560" s="4">
        <f>IFERROR(__xludf.DUMMYFUNCTION("""COMPUTED_VALUE"""),80.126819)</f>
        <v>80.126819</v>
      </c>
      <c r="F19560" s="4">
        <f>IFERROR(__xludf.DUMMYFUNCTION("""COMPUTED_VALUE"""),5339.0)</f>
        <v>5339</v>
      </c>
      <c r="G19560" s="4">
        <f>IFERROR(__xludf.DUMMYFUNCTION("""COMPUTED_VALUE"""),31.0)</f>
        <v>31</v>
      </c>
      <c r="H19560" s="4"/>
      <c r="I19560" s="4"/>
    </row>
    <row r="19561">
      <c r="A19561" s="4" t="str">
        <f>IFERROR(__xludf.DUMMYFUNCTION("""COMPUTED_VALUE"""),"cas_hmw")</f>
        <v>cas_hmw</v>
      </c>
      <c r="B19561" s="5">
        <f>IFERROR(__xludf.DUMMYFUNCTION("""COMPUTED_VALUE"""),44778.0)</f>
        <v>44778</v>
      </c>
      <c r="C19561" s="6">
        <f>IFERROR(__xludf.DUMMYFUNCTION("""COMPUTED_VALUE"""),0.338692129629635)</f>
        <v>0.3386921296</v>
      </c>
      <c r="D19561" s="4">
        <f>IFERROR(__xludf.DUMMYFUNCTION("""COMPUTED_VALUE"""),12.934306)</f>
        <v>12.934306</v>
      </c>
      <c r="E19561" s="4">
        <f>IFERROR(__xludf.DUMMYFUNCTION("""COMPUTED_VALUE"""),80.12554)</f>
        <v>80.12554</v>
      </c>
      <c r="F19561" s="4">
        <f>IFERROR(__xludf.DUMMYFUNCTION("""COMPUTED_VALUE"""),5339.0)</f>
        <v>5339</v>
      </c>
      <c r="G19561" s="4">
        <f>IFERROR(__xludf.DUMMYFUNCTION("""COMPUTED_VALUE"""),44.0)</f>
        <v>44</v>
      </c>
      <c r="H19561" s="4"/>
      <c r="I19561" s="4"/>
    </row>
    <row r="19562">
      <c r="A19562" s="4" t="str">
        <f>IFERROR(__xludf.DUMMYFUNCTION("""COMPUTED_VALUE"""),"cas_hmw")</f>
        <v>cas_hmw</v>
      </c>
      <c r="B19562" s="5">
        <f>IFERROR(__xludf.DUMMYFUNCTION("""COMPUTED_VALUE"""),44778.0)</f>
        <v>44778</v>
      </c>
      <c r="C19562" s="6">
        <f>IFERROR(__xludf.DUMMYFUNCTION("""COMPUTED_VALUE"""),0.3389120370375167)</f>
        <v>0.338912037</v>
      </c>
      <c r="D19562" s="4">
        <f>IFERROR(__xludf.DUMMYFUNCTION("""COMPUTED_VALUE"""),12.818971)</f>
        <v>12.818971</v>
      </c>
      <c r="E19562" s="4">
        <f>IFERROR(__xludf.DUMMYFUNCTION("""COMPUTED_VALUE"""),80.03587)</f>
        <v>80.03587</v>
      </c>
      <c r="F19562" s="4">
        <f>IFERROR(__xludf.DUMMYFUNCTION("""COMPUTED_VALUE"""),2846.0)</f>
        <v>2846</v>
      </c>
      <c r="G19562" s="4">
        <f>IFERROR(__xludf.DUMMYFUNCTION("""COMPUTED_VALUE"""),58.0)</f>
        <v>58</v>
      </c>
      <c r="H19562" s="4"/>
      <c r="I19562" s="4"/>
    </row>
    <row r="19563">
      <c r="A19563" s="4" t="str">
        <f>IFERROR(__xludf.DUMMYFUNCTION("""COMPUTED_VALUE"""),"cas_hmw")</f>
        <v>cas_hmw</v>
      </c>
      <c r="B19563" s="5">
        <f>IFERROR(__xludf.DUMMYFUNCTION("""COMPUTED_VALUE"""),44778.0)</f>
        <v>44778</v>
      </c>
      <c r="C19563" s="6">
        <f>IFERROR(__xludf.DUMMYFUNCTION("""COMPUTED_VALUE"""),0.3389467592605797)</f>
        <v>0.3389467593</v>
      </c>
      <c r="D19563" s="4">
        <f>IFERROR(__xludf.DUMMYFUNCTION("""COMPUTED_VALUE"""),12.936209)</f>
        <v>12.936209</v>
      </c>
      <c r="E19563" s="4">
        <f>IFERROR(__xludf.DUMMYFUNCTION("""COMPUTED_VALUE"""),80.127345)</f>
        <v>80.127345</v>
      </c>
      <c r="F19563" s="4">
        <f>IFERROR(__xludf.DUMMYFUNCTION("""COMPUTED_VALUE"""),3143.0)</f>
        <v>3143</v>
      </c>
      <c r="G19563" s="4">
        <f>IFERROR(__xludf.DUMMYFUNCTION("""COMPUTED_VALUE"""),20.0)</f>
        <v>20</v>
      </c>
      <c r="H19563" s="4"/>
      <c r="I19563" s="4"/>
    </row>
    <row r="19564">
      <c r="A19564" s="4" t="str">
        <f>IFERROR(__xludf.DUMMYFUNCTION("""COMPUTED_VALUE"""),"cas_hmw")</f>
        <v>cas_hmw</v>
      </c>
      <c r="B19564" s="5">
        <f>IFERROR(__xludf.DUMMYFUNCTION("""COMPUTED_VALUE"""),44778.0)</f>
        <v>44778</v>
      </c>
      <c r="C19564" s="6">
        <f>IFERROR(__xludf.DUMMYFUNCTION("""COMPUTED_VALUE"""),0.3391087962954771)</f>
        <v>0.3391087963</v>
      </c>
      <c r="D19564" s="4">
        <f>IFERROR(__xludf.DUMMYFUNCTION("""COMPUTED_VALUE"""),12.935267)</f>
        <v>12.935267</v>
      </c>
      <c r="E19564" s="4">
        <f>IFERROR(__xludf.DUMMYFUNCTION("""COMPUTED_VALUE"""),80.126416)</f>
        <v>80.126416</v>
      </c>
      <c r="F19564" s="4">
        <f>IFERROR(__xludf.DUMMYFUNCTION("""COMPUTED_VALUE"""),3143.0)</f>
        <v>3143</v>
      </c>
      <c r="G19564" s="4">
        <f>IFERROR(__xludf.DUMMYFUNCTION("""COMPUTED_VALUE"""),37.0)</f>
        <v>37</v>
      </c>
      <c r="H19564" s="4"/>
      <c r="I19564" s="4"/>
    </row>
    <row r="19565">
      <c r="A19565" s="4" t="str">
        <f>IFERROR(__xludf.DUMMYFUNCTION("""COMPUTED_VALUE"""),"cas_hmw")</f>
        <v>cas_hmw</v>
      </c>
      <c r="B19565" s="5">
        <f>IFERROR(__xludf.DUMMYFUNCTION("""COMPUTED_VALUE"""),44778.0)</f>
        <v>44778</v>
      </c>
      <c r="C19565" s="6">
        <f>IFERROR(__xludf.DUMMYFUNCTION("""COMPUTED_VALUE"""),0.33915509259168175)</f>
        <v>0.3391550926</v>
      </c>
      <c r="D19565" s="4">
        <f>IFERROR(__xludf.DUMMYFUNCTION("""COMPUTED_VALUE"""),12.935267)</f>
        <v>12.935267</v>
      </c>
      <c r="E19565" s="4">
        <f>IFERROR(__xludf.DUMMYFUNCTION("""COMPUTED_VALUE"""),80.126416)</f>
        <v>80.126416</v>
      </c>
      <c r="F19565" s="4">
        <f>IFERROR(__xludf.DUMMYFUNCTION("""COMPUTED_VALUE"""),3143.0)</f>
        <v>3143</v>
      </c>
      <c r="G19565" s="4">
        <f>IFERROR(__xludf.DUMMYFUNCTION("""COMPUTED_VALUE"""),37.0)</f>
        <v>37</v>
      </c>
      <c r="H19565" s="4"/>
      <c r="I19565" s="4"/>
    </row>
    <row r="19566">
      <c r="A19566" s="4" t="str">
        <f>IFERROR(__xludf.DUMMYFUNCTION("""COMPUTED_VALUE"""),"cas_hmw")</f>
        <v>cas_hmw</v>
      </c>
      <c r="B19566" s="5">
        <f>IFERROR(__xludf.DUMMYFUNCTION("""COMPUTED_VALUE"""),44778.0)</f>
        <v>44778</v>
      </c>
      <c r="C19566" s="6">
        <f>IFERROR(__xludf.DUMMYFUNCTION("""COMPUTED_VALUE"""),0.33934027777650044)</f>
        <v>0.3393402778</v>
      </c>
      <c r="D19566" s="4">
        <f>IFERROR(__xludf.DUMMYFUNCTION("""COMPUTED_VALUE"""),12.934)</f>
        <v>12.934</v>
      </c>
      <c r="E19566" s="4">
        <f>IFERROR(__xludf.DUMMYFUNCTION("""COMPUTED_VALUE"""),80.12525)</f>
        <v>80.12525</v>
      </c>
      <c r="F19566" s="4">
        <f>IFERROR(__xludf.DUMMYFUNCTION("""COMPUTED_VALUE"""),3143.0)</f>
        <v>3143</v>
      </c>
      <c r="G19566" s="4">
        <f>IFERROR(__xludf.DUMMYFUNCTION("""COMPUTED_VALUE"""),49.0)</f>
        <v>49</v>
      </c>
      <c r="H19566" s="4"/>
      <c r="I19566" s="4"/>
    </row>
    <row r="19567">
      <c r="A19567" s="4" t="str">
        <f>IFERROR(__xludf.DUMMYFUNCTION("""COMPUTED_VALUE"""),"cas_hmw")</f>
        <v>cas_hmw</v>
      </c>
      <c r="B19567" s="5">
        <f>IFERROR(__xludf.DUMMYFUNCTION("""COMPUTED_VALUE"""),44778.0)</f>
        <v>44778</v>
      </c>
      <c r="C19567" s="6">
        <f>IFERROR(__xludf.DUMMYFUNCTION("""COMPUTED_VALUE"""),0.33944444444568944)</f>
        <v>0.3394444444</v>
      </c>
      <c r="D19567" s="4">
        <f>IFERROR(__xludf.DUMMYFUNCTION("""COMPUTED_VALUE"""),12.97188)</f>
        <v>12.97188</v>
      </c>
      <c r="E19567" s="4">
        <f>IFERROR(__xludf.DUMMYFUNCTION("""COMPUTED_VALUE"""),80.151377)</f>
        <v>80.151377</v>
      </c>
      <c r="F19567" s="4">
        <f>IFERROR(__xludf.DUMMYFUNCTION("""COMPUTED_VALUE"""),805.0)</f>
        <v>805</v>
      </c>
      <c r="G19567" s="4">
        <f>IFERROR(__xludf.DUMMYFUNCTION("""COMPUTED_VALUE"""),10.0)</f>
        <v>10</v>
      </c>
      <c r="H19567" s="4"/>
      <c r="I19567" s="4"/>
    </row>
    <row r="19568">
      <c r="A19568" s="4" t="str">
        <f>IFERROR(__xludf.DUMMYFUNCTION("""COMPUTED_VALUE"""),"cas_hmw")</f>
        <v>cas_hmw</v>
      </c>
      <c r="B19568" s="5">
        <f>IFERROR(__xludf.DUMMYFUNCTION("""COMPUTED_VALUE"""),44778.0)</f>
        <v>44778</v>
      </c>
      <c r="C19568" s="6">
        <f>IFERROR(__xludf.DUMMYFUNCTION("""COMPUTED_VALUE"""),0.3394560185188311)</f>
        <v>0.3394560185</v>
      </c>
      <c r="D19568" s="4">
        <f>IFERROR(__xludf.DUMMYFUNCTION("""COMPUTED_VALUE"""),12.97188)</f>
        <v>12.97188</v>
      </c>
      <c r="E19568" s="4">
        <f>IFERROR(__xludf.DUMMYFUNCTION("""COMPUTED_VALUE"""),80.151377)</f>
        <v>80.151377</v>
      </c>
      <c r="F19568" s="4">
        <f>IFERROR(__xludf.DUMMYFUNCTION("""COMPUTED_VALUE"""),805.0)</f>
        <v>805</v>
      </c>
      <c r="G19568" s="4">
        <f>IFERROR(__xludf.DUMMYFUNCTION("""COMPUTED_VALUE"""),10.0)</f>
        <v>10</v>
      </c>
      <c r="H19568" s="4"/>
      <c r="I19568" s="4"/>
    </row>
    <row r="19569">
      <c r="A19569" s="4" t="str">
        <f>IFERROR(__xludf.DUMMYFUNCTION("""COMPUTED_VALUE"""),"cas_hmw")</f>
        <v>cas_hmw</v>
      </c>
      <c r="B19569" s="5">
        <f>IFERROR(__xludf.DUMMYFUNCTION("""COMPUTED_VALUE"""),44778.0)</f>
        <v>44778</v>
      </c>
      <c r="C19569" s="6">
        <f>IFERROR(__xludf.DUMMYFUNCTION("""COMPUTED_VALUE"""),0.3395370370380988)</f>
        <v>0.339537037</v>
      </c>
      <c r="D19569" s="4">
        <f>IFERROR(__xludf.DUMMYFUNCTION("""COMPUTED_VALUE"""),12.971426)</f>
        <v>12.971426</v>
      </c>
      <c r="E19569" s="4">
        <f>IFERROR(__xludf.DUMMYFUNCTION("""COMPUTED_VALUE"""),80.151106)</f>
        <v>80.151106</v>
      </c>
      <c r="F19569" s="4">
        <f>IFERROR(__xludf.DUMMYFUNCTION("""COMPUTED_VALUE"""),805.0)</f>
        <v>805</v>
      </c>
      <c r="G19569" s="4">
        <f>IFERROR(__xludf.DUMMYFUNCTION("""COMPUTED_VALUE"""),30.0)</f>
        <v>30</v>
      </c>
      <c r="H19569" s="4"/>
      <c r="I19569" s="4"/>
    </row>
    <row r="19570">
      <c r="A19570" s="4" t="str">
        <f>IFERROR(__xludf.DUMMYFUNCTION("""COMPUTED_VALUE"""),"cas_hmw")</f>
        <v>cas_hmw</v>
      </c>
      <c r="B19570" s="5">
        <f>IFERROR(__xludf.DUMMYFUNCTION("""COMPUTED_VALUE"""),44778.0)</f>
        <v>44778</v>
      </c>
      <c r="C19570" s="6">
        <f>IFERROR(__xludf.DUMMYFUNCTION("""COMPUTED_VALUE"""),0.33956018518438214)</f>
        <v>0.3395601852</v>
      </c>
      <c r="D19570" s="4">
        <f>IFERROR(__xludf.DUMMYFUNCTION("""COMPUTED_VALUE"""),12.971426)</f>
        <v>12.971426</v>
      </c>
      <c r="E19570" s="4">
        <f>IFERROR(__xludf.DUMMYFUNCTION("""COMPUTED_VALUE"""),80.151106)</f>
        <v>80.151106</v>
      </c>
      <c r="F19570" s="4">
        <f>IFERROR(__xludf.DUMMYFUNCTION("""COMPUTED_VALUE"""),805.0)</f>
        <v>805</v>
      </c>
      <c r="G19570" s="4">
        <f>IFERROR(__xludf.DUMMYFUNCTION("""COMPUTED_VALUE"""),30.0)</f>
        <v>30</v>
      </c>
      <c r="H19570" s="4"/>
      <c r="I19570" s="4"/>
    </row>
    <row r="19571">
      <c r="A19571" s="4" t="str">
        <f>IFERROR(__xludf.DUMMYFUNCTION("""COMPUTED_VALUE"""),"cas_hmw")</f>
        <v>cas_hmw</v>
      </c>
      <c r="B19571" s="5">
        <f>IFERROR(__xludf.DUMMYFUNCTION("""COMPUTED_VALUE"""),44778.0)</f>
        <v>44778</v>
      </c>
      <c r="C19571" s="6">
        <f>IFERROR(__xludf.DUMMYFUNCTION("""COMPUTED_VALUE"""),0.3395717592575238)</f>
        <v>0.3395717593</v>
      </c>
      <c r="D19571" s="4">
        <f>IFERROR(__xludf.DUMMYFUNCTION("""COMPUTED_VALUE"""),12.971426)</f>
        <v>12.971426</v>
      </c>
      <c r="E19571" s="4">
        <f>IFERROR(__xludf.DUMMYFUNCTION("""COMPUTED_VALUE"""),80.151106)</f>
        <v>80.151106</v>
      </c>
      <c r="F19571" s="4">
        <f>IFERROR(__xludf.DUMMYFUNCTION("""COMPUTED_VALUE"""),805.0)</f>
        <v>805</v>
      </c>
      <c r="G19571" s="4">
        <f>IFERROR(__xludf.DUMMYFUNCTION("""COMPUTED_VALUE"""),30.0)</f>
        <v>30</v>
      </c>
      <c r="H19571" s="4"/>
      <c r="I19571" s="4"/>
    </row>
    <row r="19572">
      <c r="A19572" s="4" t="str">
        <f>IFERROR(__xludf.DUMMYFUNCTION("""COMPUTED_VALUE"""),"cas_hmw")</f>
        <v>cas_hmw</v>
      </c>
      <c r="B19572" s="5">
        <f>IFERROR(__xludf.DUMMYFUNCTION("""COMPUTED_VALUE"""),44778.0)</f>
        <v>44778</v>
      </c>
      <c r="C19572" s="6">
        <f>IFERROR(__xludf.DUMMYFUNCTION("""COMPUTED_VALUE"""),0.3396759259267128)</f>
        <v>0.3396759259</v>
      </c>
      <c r="D19572" s="4">
        <f>IFERROR(__xludf.DUMMYFUNCTION("""COMPUTED_VALUE"""),12.929656)</f>
        <v>12.929656</v>
      </c>
      <c r="E19572" s="4">
        <f>IFERROR(__xludf.DUMMYFUNCTION("""COMPUTED_VALUE"""),80.120953)</f>
        <v>80.120953</v>
      </c>
      <c r="F19572" s="4">
        <f>IFERROR(__xludf.DUMMYFUNCTION("""COMPUTED_VALUE"""),5339.0)</f>
        <v>5339</v>
      </c>
      <c r="G19572" s="4">
        <f>IFERROR(__xludf.DUMMYFUNCTION("""COMPUTED_VALUE"""),45.0)</f>
        <v>45</v>
      </c>
      <c r="H19572" s="4"/>
      <c r="I19572" s="4"/>
    </row>
    <row r="19573">
      <c r="A19573" s="4" t="str">
        <f>IFERROR(__xludf.DUMMYFUNCTION("""COMPUTED_VALUE"""),"cas_hmw")</f>
        <v>cas_hmw</v>
      </c>
      <c r="B19573" s="5">
        <f>IFERROR(__xludf.DUMMYFUNCTION("""COMPUTED_VALUE"""),44778.0)</f>
        <v>44778</v>
      </c>
      <c r="C19573" s="6">
        <f>IFERROR(__xludf.DUMMYFUNCTION("""COMPUTED_VALUE"""),0.34005787036949187)</f>
        <v>0.3400578704</v>
      </c>
      <c r="D19573" s="4">
        <f>IFERROR(__xludf.DUMMYFUNCTION("""COMPUTED_VALUE"""),12.927567)</f>
        <v>12.927567</v>
      </c>
      <c r="E19573" s="4">
        <f>IFERROR(__xludf.DUMMYFUNCTION("""COMPUTED_VALUE"""),80.118772)</f>
        <v>80.118772</v>
      </c>
      <c r="F19573" s="4">
        <f>IFERROR(__xludf.DUMMYFUNCTION("""COMPUTED_VALUE"""),5339.0)</f>
        <v>5339</v>
      </c>
      <c r="G19573" s="4">
        <f>IFERROR(__xludf.DUMMYFUNCTION("""COMPUTED_VALUE"""),23.0)</f>
        <v>23</v>
      </c>
      <c r="H19573" s="4"/>
      <c r="I19573" s="4"/>
    </row>
    <row r="19574">
      <c r="A19574" s="4" t="str">
        <f>IFERROR(__xludf.DUMMYFUNCTION("""COMPUTED_VALUE"""),"cas_hmw")</f>
        <v>cas_hmw</v>
      </c>
      <c r="B19574" s="5">
        <f>IFERROR(__xludf.DUMMYFUNCTION("""COMPUTED_VALUE"""),44778.0)</f>
        <v>44778</v>
      </c>
      <c r="C19574" s="6">
        <f>IFERROR(__xludf.DUMMYFUNCTION("""COMPUTED_VALUE"""),0.3403009259272949)</f>
        <v>0.3403009259</v>
      </c>
      <c r="D19574" s="4">
        <f>IFERROR(__xludf.DUMMYFUNCTION("""COMPUTED_VALUE"""),12.831834)</f>
        <v>12.831834</v>
      </c>
      <c r="E19574" s="4">
        <f>IFERROR(__xludf.DUMMYFUNCTION("""COMPUTED_VALUE"""),80.046855)</f>
        <v>80.046855</v>
      </c>
      <c r="F19574" s="4">
        <f>IFERROR(__xludf.DUMMYFUNCTION("""COMPUTED_VALUE"""),2846.0)</f>
        <v>2846</v>
      </c>
      <c r="G19574" s="4">
        <f>IFERROR(__xludf.DUMMYFUNCTION("""COMPUTED_VALUE"""),50.0)</f>
        <v>50</v>
      </c>
      <c r="H19574" s="4"/>
      <c r="I19574" s="4"/>
    </row>
    <row r="19575">
      <c r="A19575" s="4" t="str">
        <f>IFERROR(__xludf.DUMMYFUNCTION("""COMPUTED_VALUE"""),"cas_hmw")</f>
        <v>cas_hmw</v>
      </c>
      <c r="B19575" s="5">
        <f>IFERROR(__xludf.DUMMYFUNCTION("""COMPUTED_VALUE"""),44778.0)</f>
        <v>44778</v>
      </c>
      <c r="C19575" s="6">
        <f>IFERROR(__xludf.DUMMYFUNCTION("""COMPUTED_VALUE"""),0.3403703703697829)</f>
        <v>0.3403703704</v>
      </c>
      <c r="D19575" s="4">
        <f>IFERROR(__xludf.DUMMYFUNCTION("""COMPUTED_VALUE"""),12.92615)</f>
        <v>12.92615</v>
      </c>
      <c r="E19575" s="4">
        <f>IFERROR(__xludf.DUMMYFUNCTION("""COMPUTED_VALUE"""),80.117342)</f>
        <v>80.117342</v>
      </c>
      <c r="F19575" s="4">
        <f>IFERROR(__xludf.DUMMYFUNCTION("""COMPUTED_VALUE"""),5339.0)</f>
        <v>5339</v>
      </c>
      <c r="G19575" s="4">
        <f>IFERROR(__xludf.DUMMYFUNCTION("""COMPUTED_VALUE"""),25.0)</f>
        <v>25</v>
      </c>
      <c r="H19575" s="4"/>
      <c r="I19575" s="4"/>
    </row>
    <row r="19576">
      <c r="A19576" s="4" t="str">
        <f>IFERROR(__xludf.DUMMYFUNCTION("""COMPUTED_VALUE"""),"cas_hmw")</f>
        <v>cas_hmw</v>
      </c>
      <c r="B19576" s="5">
        <f>IFERROR(__xludf.DUMMYFUNCTION("""COMPUTED_VALUE"""),44778.0)</f>
        <v>44778</v>
      </c>
      <c r="C19576" s="6">
        <f>IFERROR(__xludf.DUMMYFUNCTION("""COMPUTED_VALUE"""),0.3403819444429246)</f>
        <v>0.3403819444</v>
      </c>
      <c r="D19576" s="4">
        <f>IFERROR(__xludf.DUMMYFUNCTION("""COMPUTED_VALUE"""),12.92615)</f>
        <v>12.92615</v>
      </c>
      <c r="E19576" s="4">
        <f>IFERROR(__xludf.DUMMYFUNCTION("""COMPUTED_VALUE"""),80.117342)</f>
        <v>80.117342</v>
      </c>
      <c r="F19576" s="4">
        <f>IFERROR(__xludf.DUMMYFUNCTION("""COMPUTED_VALUE"""),5339.0)</f>
        <v>5339</v>
      </c>
      <c r="G19576" s="4">
        <f>IFERROR(__xludf.DUMMYFUNCTION("""COMPUTED_VALUE"""),25.0)</f>
        <v>25</v>
      </c>
      <c r="H19576" s="4"/>
      <c r="I19576" s="4"/>
    </row>
    <row r="19577">
      <c r="A19577" s="4" t="str">
        <f>IFERROR(__xludf.DUMMYFUNCTION("""COMPUTED_VALUE"""),"cas_hmw")</f>
        <v>cas_hmw</v>
      </c>
      <c r="B19577" s="5">
        <f>IFERROR(__xludf.DUMMYFUNCTION("""COMPUTED_VALUE"""),44778.0)</f>
        <v>44778</v>
      </c>
      <c r="C19577" s="6">
        <f>IFERROR(__xludf.DUMMYFUNCTION("""COMPUTED_VALUE"""),0.3404166666659876)</f>
        <v>0.3404166667</v>
      </c>
      <c r="D19577" s="4">
        <f>IFERROR(__xludf.DUMMYFUNCTION("""COMPUTED_VALUE"""),12.92615)</f>
        <v>12.92615</v>
      </c>
      <c r="E19577" s="4">
        <f>IFERROR(__xludf.DUMMYFUNCTION("""COMPUTED_VALUE"""),80.117342)</f>
        <v>80.117342</v>
      </c>
      <c r="F19577" s="4">
        <f>IFERROR(__xludf.DUMMYFUNCTION("""COMPUTED_VALUE"""),5339.0)</f>
        <v>5339</v>
      </c>
      <c r="G19577" s="4">
        <f>IFERROR(__xludf.DUMMYFUNCTION("""COMPUTED_VALUE"""),25.0)</f>
        <v>25</v>
      </c>
      <c r="H19577" s="4"/>
      <c r="I19577" s="4"/>
    </row>
    <row r="19578">
      <c r="A19578" s="4" t="str">
        <f>IFERROR(__xludf.DUMMYFUNCTION("""COMPUTED_VALUE"""),"cas_hmw")</f>
        <v>cas_hmw</v>
      </c>
      <c r="B19578" s="5">
        <f>IFERROR(__xludf.DUMMYFUNCTION("""COMPUTED_VALUE"""),44778.0)</f>
        <v>44778</v>
      </c>
      <c r="C19578" s="6">
        <f>IFERROR(__xludf.DUMMYFUNCTION("""COMPUTED_VALUE"""),0.3406944444432156)</f>
        <v>0.3406944444</v>
      </c>
      <c r="D19578" s="4">
        <f>IFERROR(__xludf.DUMMYFUNCTION("""COMPUTED_VALUE"""),12.965679)</f>
        <v>12.965679</v>
      </c>
      <c r="E19578" s="4">
        <f>IFERROR(__xludf.DUMMYFUNCTION("""COMPUTED_VALUE"""),80.148424)</f>
        <v>80.148424</v>
      </c>
      <c r="F19578" s="4">
        <f>IFERROR(__xludf.DUMMYFUNCTION("""COMPUTED_VALUE"""),805.0)</f>
        <v>805</v>
      </c>
      <c r="G19578" s="4">
        <f>IFERROR(__xludf.DUMMYFUNCTION("""COMPUTED_VALUE"""),20.0)</f>
        <v>20</v>
      </c>
      <c r="H19578" s="4"/>
      <c r="I19578" s="4"/>
    </row>
    <row r="19579">
      <c r="A19579" s="4" t="str">
        <f>IFERROR(__xludf.DUMMYFUNCTION("""COMPUTED_VALUE"""),"cas_hmw")</f>
        <v>cas_hmw</v>
      </c>
      <c r="B19579" s="5">
        <f>IFERROR(__xludf.DUMMYFUNCTION("""COMPUTED_VALUE"""),44778.0)</f>
        <v>44778</v>
      </c>
      <c r="C19579" s="6">
        <f>IFERROR(__xludf.DUMMYFUNCTION("""COMPUTED_VALUE"""),0.34071759259313694)</f>
        <v>0.3407175926</v>
      </c>
      <c r="D19579" s="4">
        <f>IFERROR(__xludf.DUMMYFUNCTION("""COMPUTED_VALUE"""),12.965679)</f>
        <v>12.965679</v>
      </c>
      <c r="E19579" s="4">
        <f>IFERROR(__xludf.DUMMYFUNCTION("""COMPUTED_VALUE"""),80.148424)</f>
        <v>80.148424</v>
      </c>
      <c r="F19579" s="4">
        <f>IFERROR(__xludf.DUMMYFUNCTION("""COMPUTED_VALUE"""),805.0)</f>
        <v>805</v>
      </c>
      <c r="G19579" s="4">
        <f>IFERROR(__xludf.DUMMYFUNCTION("""COMPUTED_VALUE"""),20.0)</f>
        <v>20</v>
      </c>
      <c r="H19579" s="4"/>
      <c r="I19579" s="4"/>
    </row>
    <row r="19580">
      <c r="A19580" s="4" t="str">
        <f>IFERROR(__xludf.DUMMYFUNCTION("""COMPUTED_VALUE"""),"cas_hmw")</f>
        <v>cas_hmw</v>
      </c>
      <c r="B19580" s="5">
        <f>IFERROR(__xludf.DUMMYFUNCTION("""COMPUTED_VALUE"""),44778.0)</f>
        <v>44778</v>
      </c>
      <c r="C19580" s="6">
        <f>IFERROR(__xludf.DUMMYFUNCTION("""COMPUTED_VALUE"""),0.34107638888963265)</f>
        <v>0.3410763889</v>
      </c>
      <c r="D19580" s="4">
        <f>IFERROR(__xludf.DUMMYFUNCTION("""COMPUTED_VALUE"""),12.922547)</f>
        <v>12.922547</v>
      </c>
      <c r="E19580" s="4">
        <f>IFERROR(__xludf.DUMMYFUNCTION("""COMPUTED_VALUE"""),80.113756)</f>
        <v>80.113756</v>
      </c>
      <c r="F19580" s="4">
        <f>IFERROR(__xludf.DUMMYFUNCTION("""COMPUTED_VALUE"""),5339.0)</f>
        <v>5339</v>
      </c>
      <c r="G19580" s="4">
        <f>IFERROR(__xludf.DUMMYFUNCTION("""COMPUTED_VALUE"""),35.0)</f>
        <v>35</v>
      </c>
      <c r="H19580" s="4"/>
      <c r="I19580" s="4"/>
    </row>
    <row r="19581">
      <c r="A19581" s="4" t="str">
        <f>IFERROR(__xludf.DUMMYFUNCTION("""COMPUTED_VALUE"""),"cas_hmw")</f>
        <v>cas_hmw</v>
      </c>
      <c r="B19581" s="5">
        <f>IFERROR(__xludf.DUMMYFUNCTION("""COMPUTED_VALUE"""),44778.0)</f>
        <v>44778</v>
      </c>
      <c r="C19581" s="6">
        <f>IFERROR(__xludf.DUMMYFUNCTION("""COMPUTED_VALUE"""),0.34111111111269565)</f>
        <v>0.3411111111</v>
      </c>
      <c r="D19581" s="4">
        <f>IFERROR(__xludf.DUMMYFUNCTION("""COMPUTED_VALUE"""),12.963154)</f>
        <v>12.963154</v>
      </c>
      <c r="E19581" s="4">
        <f>IFERROR(__xludf.DUMMYFUNCTION("""COMPUTED_VALUE"""),80.146988)</f>
        <v>80.146988</v>
      </c>
      <c r="F19581" s="4">
        <f>IFERROR(__xludf.DUMMYFUNCTION("""COMPUTED_VALUE"""),805.0)</f>
        <v>805</v>
      </c>
      <c r="G19581" s="4">
        <f>IFERROR(__xludf.DUMMYFUNCTION("""COMPUTED_VALUE"""),51.0)</f>
        <v>51</v>
      </c>
      <c r="H19581" s="4"/>
      <c r="I19581" s="4"/>
    </row>
    <row r="19582">
      <c r="A19582" s="4" t="str">
        <f>IFERROR(__xludf.DUMMYFUNCTION("""COMPUTED_VALUE"""),"cas_hmw")</f>
        <v>cas_hmw</v>
      </c>
      <c r="B19582" s="5">
        <f>IFERROR(__xludf.DUMMYFUNCTION("""COMPUTED_VALUE"""),44778.0)</f>
        <v>44778</v>
      </c>
      <c r="C19582" s="6">
        <f>IFERROR(__xludf.DUMMYFUNCTION("""COMPUTED_VALUE"""),0.3411805555551837)</f>
        <v>0.3411805556</v>
      </c>
      <c r="D19582" s="4">
        <f>IFERROR(__xludf.DUMMYFUNCTION("""COMPUTED_VALUE"""),12.921877)</f>
        <v>12.921877</v>
      </c>
      <c r="E19582" s="4">
        <f>IFERROR(__xludf.DUMMYFUNCTION("""COMPUTED_VALUE"""),80.113084)</f>
        <v>80.113084</v>
      </c>
      <c r="F19582" s="4">
        <f>IFERROR(__xludf.DUMMYFUNCTION("""COMPUTED_VALUE"""),5339.0)</f>
        <v>5339</v>
      </c>
      <c r="G19582" s="4">
        <f>IFERROR(__xludf.DUMMYFUNCTION("""COMPUTED_VALUE"""),38.0)</f>
        <v>38</v>
      </c>
      <c r="H19582" s="4"/>
      <c r="I19582" s="4"/>
    </row>
    <row r="19583">
      <c r="A19583" s="4" t="str">
        <f>IFERROR(__xludf.DUMMYFUNCTION("""COMPUTED_VALUE"""),"cas_hmw")</f>
        <v>cas_hmw</v>
      </c>
      <c r="B19583" s="5">
        <f>IFERROR(__xludf.DUMMYFUNCTION("""COMPUTED_VALUE"""),44778.0)</f>
        <v>44778</v>
      </c>
      <c r="C19583" s="6">
        <f>IFERROR(__xludf.DUMMYFUNCTION("""COMPUTED_VALUE"""),0.341203703705105)</f>
        <v>0.3412037037</v>
      </c>
      <c r="D19583" s="4">
        <f>IFERROR(__xludf.DUMMYFUNCTION("""COMPUTED_VALUE"""),12.837829)</f>
        <v>12.837829</v>
      </c>
      <c r="E19583" s="4">
        <f>IFERROR(__xludf.DUMMYFUNCTION("""COMPUTED_VALUE"""),80.053159)</f>
        <v>80.053159</v>
      </c>
      <c r="F19583" s="4">
        <f>IFERROR(__xludf.DUMMYFUNCTION("""COMPUTED_VALUE"""),2846.0)</f>
        <v>2846</v>
      </c>
      <c r="G19583" s="4">
        <f>IFERROR(__xludf.DUMMYFUNCTION("""COMPUTED_VALUE"""),58.0)</f>
        <v>58</v>
      </c>
      <c r="H19583" s="4"/>
      <c r="I19583" s="4"/>
    </row>
    <row r="19584">
      <c r="A19584" s="4" t="str">
        <f>IFERROR(__xludf.DUMMYFUNCTION("""COMPUTED_VALUE"""),"cas_hmw")</f>
        <v>cas_hmw</v>
      </c>
      <c r="B19584" s="5">
        <f>IFERROR(__xludf.DUMMYFUNCTION("""COMPUTED_VALUE"""),44778.0)</f>
        <v>44778</v>
      </c>
      <c r="C19584" s="6">
        <f>IFERROR(__xludf.DUMMYFUNCTION("""COMPUTED_VALUE"""),0.3413888888899237)</f>
        <v>0.3413888889</v>
      </c>
      <c r="D19584" s="4">
        <f>IFERROR(__xludf.DUMMYFUNCTION("""COMPUTED_VALUE"""),12.840842)</f>
        <v>12.840842</v>
      </c>
      <c r="E19584" s="4">
        <f>IFERROR(__xludf.DUMMYFUNCTION("""COMPUTED_VALUE"""),80.05627)</f>
        <v>80.05627</v>
      </c>
      <c r="F19584" s="4">
        <f>IFERROR(__xludf.DUMMYFUNCTION("""COMPUTED_VALUE"""),2846.0)</f>
        <v>2846</v>
      </c>
      <c r="G19584" s="4">
        <f>IFERROR(__xludf.DUMMYFUNCTION("""COMPUTED_VALUE"""),55.0)</f>
        <v>55</v>
      </c>
      <c r="H19584" s="4"/>
      <c r="I19584" s="4"/>
    </row>
    <row r="19585">
      <c r="A19585" s="4" t="str">
        <f>IFERROR(__xludf.DUMMYFUNCTION("""COMPUTED_VALUE"""),"cas_hmw")</f>
        <v>cas_hmw</v>
      </c>
      <c r="B19585" s="5">
        <f>IFERROR(__xludf.DUMMYFUNCTION("""COMPUTED_VALUE"""),44778.0)</f>
        <v>44778</v>
      </c>
      <c r="C19585" s="6">
        <f>IFERROR(__xludf.DUMMYFUNCTION("""COMPUTED_VALUE"""),0.34140046296306537)</f>
        <v>0.341400463</v>
      </c>
      <c r="D19585" s="4">
        <f>IFERROR(__xludf.DUMMYFUNCTION("""COMPUTED_VALUE"""),12.920537)</f>
        <v>12.920537</v>
      </c>
      <c r="E19585" s="4">
        <f>IFERROR(__xludf.DUMMYFUNCTION("""COMPUTED_VALUE"""),80.111704)</f>
        <v>80.111704</v>
      </c>
      <c r="F19585" s="4">
        <f>IFERROR(__xludf.DUMMYFUNCTION("""COMPUTED_VALUE"""),5339.0)</f>
        <v>5339</v>
      </c>
      <c r="G19585" s="4">
        <f>IFERROR(__xludf.DUMMYFUNCTION("""COMPUTED_VALUE"""),44.0)</f>
        <v>44</v>
      </c>
      <c r="H19585" s="4"/>
      <c r="I19585" s="4"/>
    </row>
    <row r="19586">
      <c r="A19586" s="4" t="str">
        <f>IFERROR(__xludf.DUMMYFUNCTION("""COMPUTED_VALUE"""),"cas_hmw")</f>
        <v>cas_hmw</v>
      </c>
      <c r="B19586" s="5">
        <f>IFERROR(__xludf.DUMMYFUNCTION("""COMPUTED_VALUE"""),44778.0)</f>
        <v>44778</v>
      </c>
      <c r="C19586" s="6">
        <f>IFERROR(__xludf.DUMMYFUNCTION("""COMPUTED_VALUE"""),0.34148148148233304)</f>
        <v>0.3414814815</v>
      </c>
      <c r="D19586" s="4">
        <f>IFERROR(__xludf.DUMMYFUNCTION("""COMPUTED_VALUE"""),12.841855)</f>
        <v>12.841855</v>
      </c>
      <c r="E19586" s="4">
        <f>IFERROR(__xludf.DUMMYFUNCTION("""COMPUTED_VALUE"""),80.057328)</f>
        <v>80.057328</v>
      </c>
      <c r="F19586" s="4">
        <f>IFERROR(__xludf.DUMMYFUNCTION("""COMPUTED_VALUE"""),2846.0)</f>
        <v>2846</v>
      </c>
      <c r="G19586" s="4">
        <f>IFERROR(__xludf.DUMMYFUNCTION("""COMPUTED_VALUE"""),57.0)</f>
        <v>57</v>
      </c>
      <c r="H19586" s="4"/>
      <c r="I19586" s="4"/>
    </row>
    <row r="19587">
      <c r="A19587" s="4" t="str">
        <f>IFERROR(__xludf.DUMMYFUNCTION("""COMPUTED_VALUE"""),"cas_hmw")</f>
        <v>cas_hmw</v>
      </c>
      <c r="B19587" s="5">
        <f>IFERROR(__xludf.DUMMYFUNCTION("""COMPUTED_VALUE"""),44778.0)</f>
        <v>44778</v>
      </c>
      <c r="C19587" s="6">
        <f>IFERROR(__xludf.DUMMYFUNCTION("""COMPUTED_VALUE"""),0.34155092592482106)</f>
        <v>0.3415509259</v>
      </c>
      <c r="D19587" s="4">
        <f>IFERROR(__xludf.DUMMYFUNCTION("""COMPUTED_VALUE"""),12.841855)</f>
        <v>12.841855</v>
      </c>
      <c r="E19587" s="4">
        <f>IFERROR(__xludf.DUMMYFUNCTION("""COMPUTED_VALUE"""),80.057328)</f>
        <v>80.057328</v>
      </c>
      <c r="F19587" s="4">
        <f>IFERROR(__xludf.DUMMYFUNCTION("""COMPUTED_VALUE"""),2846.0)</f>
        <v>2846</v>
      </c>
      <c r="G19587" s="4">
        <f>IFERROR(__xludf.DUMMYFUNCTION("""COMPUTED_VALUE"""),57.0)</f>
        <v>57</v>
      </c>
      <c r="H19587" s="4"/>
      <c r="I19587" s="4"/>
    </row>
    <row r="19588">
      <c r="A19588" s="4" t="str">
        <f>IFERROR(__xludf.DUMMYFUNCTION("""COMPUTED_VALUE"""),"cas_hmw")</f>
        <v>cas_hmw</v>
      </c>
      <c r="B19588" s="5">
        <f>IFERROR(__xludf.DUMMYFUNCTION("""COMPUTED_VALUE"""),44778.0)</f>
        <v>44778</v>
      </c>
      <c r="C19588" s="6">
        <f>IFERROR(__xludf.DUMMYFUNCTION("""COMPUTED_VALUE"""),0.34180555555576575)</f>
        <v>0.3418055556</v>
      </c>
      <c r="D19588" s="4">
        <f>IFERROR(__xludf.DUMMYFUNCTION("""COMPUTED_VALUE"""),12.956708)</f>
        <v>12.956708</v>
      </c>
      <c r="E19588" s="4">
        <f>IFERROR(__xludf.DUMMYFUNCTION("""COMPUTED_VALUE"""),80.143532)</f>
        <v>80.143532</v>
      </c>
      <c r="F19588" s="4">
        <f>IFERROR(__xludf.DUMMYFUNCTION("""COMPUTED_VALUE"""),805.0)</f>
        <v>805</v>
      </c>
      <c r="G19588" s="4">
        <f>IFERROR(__xludf.DUMMYFUNCTION("""COMPUTED_VALUE"""),0.0)</f>
        <v>0</v>
      </c>
      <c r="H19588" s="4"/>
      <c r="I19588" s="4"/>
    </row>
    <row r="19589">
      <c r="A19589" s="4" t="str">
        <f>IFERROR(__xludf.DUMMYFUNCTION("""COMPUTED_VALUE"""),"cas_hmw")</f>
        <v>cas_hmw</v>
      </c>
      <c r="B19589" s="5">
        <f>IFERROR(__xludf.DUMMYFUNCTION("""COMPUTED_VALUE"""),44778.0)</f>
        <v>44778</v>
      </c>
      <c r="C19589" s="6">
        <f>IFERROR(__xludf.DUMMYFUNCTION("""COMPUTED_VALUE"""),0.3419328703712381)</f>
        <v>0.3419328704</v>
      </c>
      <c r="D19589" s="4">
        <f>IFERROR(__xludf.DUMMYFUNCTION("""COMPUTED_VALUE"""),12.954601)</f>
        <v>12.954601</v>
      </c>
      <c r="E19589" s="4">
        <f>IFERROR(__xludf.DUMMYFUNCTION("""COMPUTED_VALUE"""),80.14242)</f>
        <v>80.14242</v>
      </c>
      <c r="F19589" s="4">
        <f>IFERROR(__xludf.DUMMYFUNCTION("""COMPUTED_VALUE"""),805.0)</f>
        <v>805</v>
      </c>
      <c r="G19589" s="4">
        <f>IFERROR(__xludf.DUMMYFUNCTION("""COMPUTED_VALUE"""),38.0)</f>
        <v>38</v>
      </c>
      <c r="H19589" s="4"/>
      <c r="I19589" s="4"/>
    </row>
    <row r="19590">
      <c r="A19590" s="4" t="str">
        <f>IFERROR(__xludf.DUMMYFUNCTION("""COMPUTED_VALUE"""),"cas_hmw")</f>
        <v>cas_hmw</v>
      </c>
      <c r="B19590" s="5">
        <f>IFERROR(__xludf.DUMMYFUNCTION("""COMPUTED_VALUE"""),44778.0)</f>
        <v>44778</v>
      </c>
      <c r="C19590" s="6">
        <f>IFERROR(__xludf.DUMMYFUNCTION("""COMPUTED_VALUE"""),0.3430208333338669)</f>
        <v>0.3430208333</v>
      </c>
      <c r="D19590" s="4">
        <f>IFERROR(__xludf.DUMMYFUNCTION("""COMPUTED_VALUE"""),12.950815)</f>
        <v>12.950815</v>
      </c>
      <c r="E19590" s="4">
        <f>IFERROR(__xludf.DUMMYFUNCTION("""COMPUTED_VALUE"""),80.139918)</f>
        <v>80.139918</v>
      </c>
      <c r="F19590" s="4">
        <f>IFERROR(__xludf.DUMMYFUNCTION("""COMPUTED_VALUE"""),805.0)</f>
        <v>805</v>
      </c>
      <c r="G19590" s="4">
        <f>IFERROR(__xludf.DUMMYFUNCTION("""COMPUTED_VALUE"""),19.0)</f>
        <v>19</v>
      </c>
      <c r="H19590" s="4"/>
      <c r="I19590" s="4"/>
    </row>
    <row r="19591">
      <c r="A19591" s="4" t="str">
        <f>IFERROR(__xludf.DUMMYFUNCTION("""COMPUTED_VALUE"""),"cas_hmw")</f>
        <v>cas_hmw</v>
      </c>
      <c r="B19591" s="5">
        <f>IFERROR(__xludf.DUMMYFUNCTION("""COMPUTED_VALUE"""),44778.0)</f>
        <v>44778</v>
      </c>
      <c r="C19591" s="6">
        <f>IFERROR(__xludf.DUMMYFUNCTION("""COMPUTED_VALUE"""),0.3430324074070086)</f>
        <v>0.3430324074</v>
      </c>
      <c r="D19591" s="4">
        <f>IFERROR(__xludf.DUMMYFUNCTION("""COMPUTED_VALUE"""),12.9504)</f>
        <v>12.9504</v>
      </c>
      <c r="E19591" s="4">
        <f>IFERROR(__xludf.DUMMYFUNCTION("""COMPUTED_VALUE"""),80.139623)</f>
        <v>80.139623</v>
      </c>
      <c r="F19591" s="4">
        <f>IFERROR(__xludf.DUMMYFUNCTION("""COMPUTED_VALUE"""),805.0)</f>
        <v>805</v>
      </c>
      <c r="G19591" s="4">
        <f>IFERROR(__xludf.DUMMYFUNCTION("""COMPUTED_VALUE"""),23.0)</f>
        <v>23</v>
      </c>
      <c r="H19591" s="4"/>
      <c r="I19591" s="4"/>
    </row>
    <row r="19592">
      <c r="A19592" s="4" t="str">
        <f>IFERROR(__xludf.DUMMYFUNCTION("""COMPUTED_VALUE"""),"cas_hmw")</f>
        <v>cas_hmw</v>
      </c>
      <c r="B19592" s="5">
        <f>IFERROR(__xludf.DUMMYFUNCTION("""COMPUTED_VALUE"""),44778.0)</f>
        <v>44778</v>
      </c>
      <c r="C19592" s="6">
        <f>IFERROR(__xludf.DUMMYFUNCTION("""COMPUTED_VALUE"""),0.34318287036876427)</f>
        <v>0.3431828704</v>
      </c>
      <c r="D19592" s="4">
        <f>IFERROR(__xludf.DUMMYFUNCTION("""COMPUTED_VALUE"""),12.852049)</f>
        <v>12.852049</v>
      </c>
      <c r="E19592" s="4">
        <f>IFERROR(__xludf.DUMMYFUNCTION("""COMPUTED_VALUE"""),80.066178)</f>
        <v>80.066178</v>
      </c>
      <c r="F19592" s="4">
        <f>IFERROR(__xludf.DUMMYFUNCTION("""COMPUTED_VALUE"""),2846.0)</f>
        <v>2846</v>
      </c>
      <c r="G19592" s="4">
        <f>IFERROR(__xludf.DUMMYFUNCTION("""COMPUTED_VALUE"""),35.0)</f>
        <v>35</v>
      </c>
      <c r="H19592" s="4"/>
      <c r="I19592" s="4"/>
    </row>
    <row r="19593">
      <c r="A19593" s="4" t="str">
        <f>IFERROR(__xludf.DUMMYFUNCTION("""COMPUTED_VALUE"""),"cas_hmw")</f>
        <v>cas_hmw</v>
      </c>
      <c r="B19593" s="5">
        <f>IFERROR(__xludf.DUMMYFUNCTION("""COMPUTED_VALUE"""),44778.0)</f>
        <v>44778</v>
      </c>
      <c r="C19593" s="6">
        <f>IFERROR(__xludf.DUMMYFUNCTION("""COMPUTED_VALUE"""),0.3433449074072996)</f>
        <v>0.3433449074</v>
      </c>
      <c r="D19593" s="4">
        <f>IFERROR(__xludf.DUMMYFUNCTION("""COMPUTED_VALUE"""),12.949171)</f>
        <v>12.949171</v>
      </c>
      <c r="E19593" s="4">
        <f>IFERROR(__xludf.DUMMYFUNCTION("""COMPUTED_VALUE"""),80.138539)</f>
        <v>80.138539</v>
      </c>
      <c r="F19593" s="4">
        <f>IFERROR(__xludf.DUMMYFUNCTION("""COMPUTED_VALUE"""),805.0)</f>
        <v>805</v>
      </c>
      <c r="G19593" s="4">
        <f>IFERROR(__xludf.DUMMYFUNCTION("""COMPUTED_VALUE"""),36.0)</f>
        <v>36</v>
      </c>
      <c r="H19593" s="4"/>
      <c r="I19593" s="4"/>
    </row>
    <row r="19594">
      <c r="A19594" s="4" t="str">
        <f>IFERROR(__xludf.DUMMYFUNCTION("""COMPUTED_VALUE"""),"cas_hmw")</f>
        <v>cas_hmw</v>
      </c>
      <c r="B19594" s="5">
        <f>IFERROR(__xludf.DUMMYFUNCTION("""COMPUTED_VALUE"""),44778.0)</f>
        <v>44778</v>
      </c>
      <c r="C19594" s="6">
        <f>IFERROR(__xludf.DUMMYFUNCTION("""COMPUTED_VALUE"""),0.3437037037037953)</f>
        <v>0.3437037037</v>
      </c>
      <c r="D19594" s="4">
        <f>IFERROR(__xludf.DUMMYFUNCTION("""COMPUTED_VALUE"""),12.946611)</f>
        <v>12.946611</v>
      </c>
      <c r="E19594" s="4">
        <f>IFERROR(__xludf.DUMMYFUNCTION("""COMPUTED_VALUE"""),80.136652)</f>
        <v>80.136652</v>
      </c>
      <c r="F19594" s="4">
        <f>IFERROR(__xludf.DUMMYFUNCTION("""COMPUTED_VALUE"""),805.0)</f>
        <v>805</v>
      </c>
      <c r="G19594" s="4">
        <f>IFERROR(__xludf.DUMMYFUNCTION("""COMPUTED_VALUE"""),45.0)</f>
        <v>45</v>
      </c>
      <c r="H19594" s="4"/>
      <c r="I19594" s="4"/>
    </row>
    <row r="19595">
      <c r="A19595" s="4" t="str">
        <f>IFERROR(__xludf.DUMMYFUNCTION("""COMPUTED_VALUE"""),"cas_hmw")</f>
        <v>cas_hmw</v>
      </c>
      <c r="B19595" s="5">
        <f>IFERROR(__xludf.DUMMYFUNCTION("""COMPUTED_VALUE"""),44778.0)</f>
        <v>44778</v>
      </c>
      <c r="C19595" s="6">
        <f>IFERROR(__xludf.DUMMYFUNCTION("""COMPUTED_VALUE"""),0.343784722223063)</f>
        <v>0.3437847222</v>
      </c>
      <c r="D19595" s="4">
        <f>IFERROR(__xludf.DUMMYFUNCTION("""COMPUTED_VALUE"""),12.945717)</f>
        <v>12.945717</v>
      </c>
      <c r="E19595" s="4">
        <f>IFERROR(__xludf.DUMMYFUNCTION("""COMPUTED_VALUE"""),80.135947)</f>
        <v>80.135947</v>
      </c>
      <c r="F19595" s="4">
        <f>IFERROR(__xludf.DUMMYFUNCTION("""COMPUTED_VALUE"""),805.0)</f>
        <v>805</v>
      </c>
      <c r="G19595" s="4">
        <f>IFERROR(__xludf.DUMMYFUNCTION("""COMPUTED_VALUE"""),43.0)</f>
        <v>43</v>
      </c>
      <c r="H19595" s="4"/>
      <c r="I19595" s="4"/>
    </row>
    <row r="19596">
      <c r="A19596" s="4" t="str">
        <f>IFERROR(__xludf.DUMMYFUNCTION("""COMPUTED_VALUE"""),"cas_hmw")</f>
        <v>cas_hmw</v>
      </c>
      <c r="B19596" s="5">
        <f>IFERROR(__xludf.DUMMYFUNCTION("""COMPUTED_VALUE"""),44778.0)</f>
        <v>44778</v>
      </c>
      <c r="C19596" s="6">
        <f>IFERROR(__xludf.DUMMYFUNCTION("""COMPUTED_VALUE"""),0.3439699074078817)</f>
        <v>0.3439699074</v>
      </c>
      <c r="D19596" s="4">
        <f>IFERROR(__xludf.DUMMYFUNCTION("""COMPUTED_VALUE"""),12.944045)</f>
        <v>12.944045</v>
      </c>
      <c r="E19596" s="4">
        <f>IFERROR(__xludf.DUMMYFUNCTION("""COMPUTED_VALUE"""),80.134622)</f>
        <v>80.134622</v>
      </c>
      <c r="F19596" s="4">
        <f>IFERROR(__xludf.DUMMYFUNCTION("""COMPUTED_VALUE"""),805.0)</f>
        <v>805</v>
      </c>
      <c r="G19596" s="4">
        <f>IFERROR(__xludf.DUMMYFUNCTION("""COMPUTED_VALUE"""),37.0)</f>
        <v>37</v>
      </c>
      <c r="H19596" s="4"/>
      <c r="I19596" s="4"/>
    </row>
    <row r="19597">
      <c r="A19597" s="4" t="str">
        <f>IFERROR(__xludf.DUMMYFUNCTION("""COMPUTED_VALUE"""),"cas_hmw")</f>
        <v>cas_hmw</v>
      </c>
      <c r="B19597" s="5">
        <f>IFERROR(__xludf.DUMMYFUNCTION("""COMPUTED_VALUE"""),44778.0)</f>
        <v>44778</v>
      </c>
      <c r="C19597" s="6">
        <f>IFERROR(__xludf.DUMMYFUNCTION("""COMPUTED_VALUE"""),0.34417824073898373)</f>
        <v>0.3441782407</v>
      </c>
      <c r="D19597" s="4">
        <f>IFERROR(__xludf.DUMMYFUNCTION("""COMPUTED_VALUE"""),12.943266)</f>
        <v>12.943266</v>
      </c>
      <c r="E19597" s="4">
        <f>IFERROR(__xludf.DUMMYFUNCTION("""COMPUTED_VALUE"""),80.134002)</f>
        <v>80.134002</v>
      </c>
      <c r="F19597" s="4">
        <f>IFERROR(__xludf.DUMMYFUNCTION("""COMPUTED_VALUE"""),805.0)</f>
        <v>805</v>
      </c>
      <c r="G19597" s="4">
        <f>IFERROR(__xludf.DUMMYFUNCTION("""COMPUTED_VALUE"""),43.0)</f>
        <v>43</v>
      </c>
      <c r="H19597" s="4"/>
      <c r="I19597" s="4"/>
    </row>
    <row r="19598">
      <c r="A19598" s="4" t="str">
        <f>IFERROR(__xludf.DUMMYFUNCTION("""COMPUTED_VALUE"""),"cas_hmw")</f>
        <v>cas_hmw</v>
      </c>
      <c r="B19598" s="5">
        <f>IFERROR(__xludf.DUMMYFUNCTION("""COMPUTED_VALUE"""),44778.0)</f>
        <v>44778</v>
      </c>
      <c r="C19598" s="6">
        <f>IFERROR(__xludf.DUMMYFUNCTION("""COMPUTED_VALUE"""),0.3445138888891961)</f>
        <v>0.3445138889</v>
      </c>
      <c r="D19598" s="4">
        <f>IFERROR(__xludf.DUMMYFUNCTION("""COMPUTED_VALUE"""),12.940597)</f>
        <v>12.940597</v>
      </c>
      <c r="E19598" s="4">
        <f>IFERROR(__xludf.DUMMYFUNCTION("""COMPUTED_VALUE"""),80.131245)</f>
        <v>80.131245</v>
      </c>
      <c r="F19598" s="4">
        <f>IFERROR(__xludf.DUMMYFUNCTION("""COMPUTED_VALUE"""),805.0)</f>
        <v>805</v>
      </c>
      <c r="G19598" s="4">
        <f>IFERROR(__xludf.DUMMYFUNCTION("""COMPUTED_VALUE"""),53.0)</f>
        <v>53</v>
      </c>
      <c r="H19598" s="4"/>
      <c r="I19598" s="4"/>
    </row>
    <row r="19599">
      <c r="A19599" s="4" t="str">
        <f>IFERROR(__xludf.DUMMYFUNCTION("""COMPUTED_VALUE"""),"cas_hmw")</f>
        <v>cas_hmw</v>
      </c>
      <c r="B19599" s="5">
        <f>IFERROR(__xludf.DUMMYFUNCTION("""COMPUTED_VALUE"""),44778.0)</f>
        <v>44778</v>
      </c>
      <c r="C19599" s="6">
        <f>IFERROR(__xludf.DUMMYFUNCTION("""COMPUTED_VALUE"""),0.34456018518540077)</f>
        <v>0.3445601852</v>
      </c>
      <c r="D19599" s="4">
        <f>IFERROR(__xludf.DUMMYFUNCTION("""COMPUTED_VALUE"""),12.939635)</f>
        <v>12.939635</v>
      </c>
      <c r="E19599" s="4">
        <f>IFERROR(__xludf.DUMMYFUNCTION("""COMPUTED_VALUE"""),80.130292)</f>
        <v>80.130292</v>
      </c>
      <c r="F19599" s="4">
        <f>IFERROR(__xludf.DUMMYFUNCTION("""COMPUTED_VALUE"""),805.0)</f>
        <v>805</v>
      </c>
      <c r="G19599" s="4">
        <f>IFERROR(__xludf.DUMMYFUNCTION("""COMPUTED_VALUE"""),48.0)</f>
        <v>48</v>
      </c>
      <c r="H19599" s="4"/>
      <c r="I19599" s="4"/>
    </row>
    <row r="19600">
      <c r="A19600" s="4" t="str">
        <f>IFERROR(__xludf.DUMMYFUNCTION("""COMPUTED_VALUE"""),"cas_hmw")</f>
        <v>cas_hmw</v>
      </c>
      <c r="B19600" s="5">
        <f>IFERROR(__xludf.DUMMYFUNCTION("""COMPUTED_VALUE"""),44778.0)</f>
        <v>44778</v>
      </c>
      <c r="C19600" s="6">
        <f>IFERROR(__xludf.DUMMYFUNCTION("""COMPUTED_VALUE"""),0.34481481481634546)</f>
        <v>0.3448148148</v>
      </c>
      <c r="D19600" s="4">
        <f>IFERROR(__xludf.DUMMYFUNCTION("""COMPUTED_VALUE"""),12.937938)</f>
        <v>12.937938</v>
      </c>
      <c r="E19600" s="4">
        <f>IFERROR(__xludf.DUMMYFUNCTION("""COMPUTED_VALUE"""),80.128774)</f>
        <v>80.128774</v>
      </c>
      <c r="F19600" s="4">
        <f>IFERROR(__xludf.DUMMYFUNCTION("""COMPUTED_VALUE"""),805.0)</f>
        <v>805</v>
      </c>
      <c r="G19600" s="4">
        <f>IFERROR(__xludf.DUMMYFUNCTION("""COMPUTED_VALUE"""),44.0)</f>
        <v>44</v>
      </c>
      <c r="H19600" s="4"/>
      <c r="I19600" s="4"/>
    </row>
    <row r="19601">
      <c r="A19601" s="4" t="str">
        <f>IFERROR(__xludf.DUMMYFUNCTION("""COMPUTED_VALUE"""),"cas_hmw")</f>
        <v>cas_hmw</v>
      </c>
      <c r="B19601" s="5">
        <f>IFERROR(__xludf.DUMMYFUNCTION("""COMPUTED_VALUE"""),44778.0)</f>
        <v>44778</v>
      </c>
      <c r="C19601" s="6">
        <f>IFERROR(__xludf.DUMMYFUNCTION("""COMPUTED_VALUE"""),0.3450115740743058)</f>
        <v>0.3450115741</v>
      </c>
      <c r="D19601" s="4">
        <f>IFERROR(__xludf.DUMMYFUNCTION("""COMPUTED_VALUE"""),12.936352)</f>
        <v>12.936352</v>
      </c>
      <c r="E19601" s="4">
        <f>IFERROR(__xludf.DUMMYFUNCTION("""COMPUTED_VALUE"""),80.127461)</f>
        <v>80.127461</v>
      </c>
      <c r="F19601" s="4">
        <f>IFERROR(__xludf.DUMMYFUNCTION("""COMPUTED_VALUE"""),805.0)</f>
        <v>805</v>
      </c>
      <c r="G19601" s="4">
        <f>IFERROR(__xludf.DUMMYFUNCTION("""COMPUTED_VALUE"""),43.0)</f>
        <v>43</v>
      </c>
      <c r="H19601" s="4"/>
      <c r="I19601" s="4"/>
    </row>
    <row r="19602">
      <c r="A19602" s="4" t="str">
        <f>IFERROR(__xludf.DUMMYFUNCTION("""COMPUTED_VALUE"""),"cas_hmw")</f>
        <v>cas_hmw</v>
      </c>
      <c r="B19602" s="5">
        <f>IFERROR(__xludf.DUMMYFUNCTION("""COMPUTED_VALUE"""),44778.0)</f>
        <v>44778</v>
      </c>
      <c r="C19602" s="6">
        <f>IFERROR(__xludf.DUMMYFUNCTION("""COMPUTED_VALUE"""),0.3453472222208802)</f>
        <v>0.3453472222</v>
      </c>
      <c r="D19602" s="4">
        <f>IFERROR(__xludf.DUMMYFUNCTION("""COMPUTED_VALUE"""),12.866651)</f>
        <v>12.866651</v>
      </c>
      <c r="E19602" s="4">
        <f>IFERROR(__xludf.DUMMYFUNCTION("""COMPUTED_VALUE"""),80.075094)</f>
        <v>80.075094</v>
      </c>
      <c r="F19602" s="4">
        <f>IFERROR(__xludf.DUMMYFUNCTION("""COMPUTED_VALUE"""),2846.0)</f>
        <v>2846</v>
      </c>
      <c r="G19602" s="4">
        <f>IFERROR(__xludf.DUMMYFUNCTION("""COMPUTED_VALUE"""),23.0)</f>
        <v>23</v>
      </c>
      <c r="H19602" s="4"/>
      <c r="I19602" s="4"/>
    </row>
    <row r="19603">
      <c r="A19603" s="4" t="str">
        <f>IFERROR(__xludf.DUMMYFUNCTION("""COMPUTED_VALUE"""),"cas_hmw")</f>
        <v>cas_hmw</v>
      </c>
      <c r="B19603" s="5">
        <f>IFERROR(__xludf.DUMMYFUNCTION("""COMPUTED_VALUE"""),44778.0)</f>
        <v>44778</v>
      </c>
      <c r="C19603" s="6">
        <f>IFERROR(__xludf.DUMMYFUNCTION("""COMPUTED_VALUE"""),0.34540509259386454)</f>
        <v>0.3454050926</v>
      </c>
      <c r="D19603" s="4">
        <f>IFERROR(__xludf.DUMMYFUNCTION("""COMPUTED_VALUE"""),12.93359)</f>
        <v>12.93359</v>
      </c>
      <c r="E19603" s="4">
        <f>IFERROR(__xludf.DUMMYFUNCTION("""COMPUTED_VALUE"""),80.124839)</f>
        <v>80.124839</v>
      </c>
      <c r="F19603" s="4">
        <f>IFERROR(__xludf.DUMMYFUNCTION("""COMPUTED_VALUE"""),805.0)</f>
        <v>805</v>
      </c>
      <c r="G19603" s="4">
        <f>IFERROR(__xludf.DUMMYFUNCTION("""COMPUTED_VALUE"""),58.0)</f>
        <v>58</v>
      </c>
      <c r="H19603" s="4"/>
      <c r="I19603" s="4"/>
    </row>
    <row r="19604">
      <c r="A19604" s="4" t="str">
        <f>IFERROR(__xludf.DUMMYFUNCTION("""COMPUTED_VALUE"""),"cas_hmw")</f>
        <v>cas_hmw</v>
      </c>
      <c r="B19604" s="5">
        <f>IFERROR(__xludf.DUMMYFUNCTION("""COMPUTED_VALUE"""),44778.0)</f>
        <v>44778</v>
      </c>
      <c r="C19604" s="6">
        <f>IFERROR(__xludf.DUMMYFUNCTION("""COMPUTED_VALUE"""),0.34605324074072996)</f>
        <v>0.3460532407</v>
      </c>
      <c r="D19604" s="4">
        <f>IFERROR(__xludf.DUMMYFUNCTION("""COMPUTED_VALUE"""),12.93116)</f>
        <v>12.93116</v>
      </c>
      <c r="E19604" s="4">
        <f>IFERROR(__xludf.DUMMYFUNCTION("""COMPUTED_VALUE"""),80.122364)</f>
        <v>80.122364</v>
      </c>
      <c r="F19604" s="4">
        <f>IFERROR(__xludf.DUMMYFUNCTION("""COMPUTED_VALUE"""),805.0)</f>
        <v>805</v>
      </c>
      <c r="G19604" s="4">
        <f>IFERROR(__xludf.DUMMYFUNCTION("""COMPUTED_VALUE"""),26.0)</f>
        <v>26</v>
      </c>
      <c r="H19604" s="4"/>
      <c r="I19604" s="4"/>
    </row>
    <row r="19605">
      <c r="A19605" s="4" t="str">
        <f>IFERROR(__xludf.DUMMYFUNCTION("""COMPUTED_VALUE"""),"cas_hmw")</f>
        <v>cas_hmw</v>
      </c>
      <c r="B19605" s="5">
        <f>IFERROR(__xludf.DUMMYFUNCTION("""COMPUTED_VALUE"""),44778.0)</f>
        <v>44778</v>
      </c>
      <c r="C19605" s="6">
        <f>IFERROR(__xludf.DUMMYFUNCTION("""COMPUTED_VALUE"""),0.34606481481387164)</f>
        <v>0.3460648148</v>
      </c>
      <c r="D19605" s="4">
        <f>IFERROR(__xludf.DUMMYFUNCTION("""COMPUTED_VALUE"""),12.93116)</f>
        <v>12.93116</v>
      </c>
      <c r="E19605" s="4">
        <f>IFERROR(__xludf.DUMMYFUNCTION("""COMPUTED_VALUE"""),80.122364)</f>
        <v>80.122364</v>
      </c>
      <c r="F19605" s="4">
        <f>IFERROR(__xludf.DUMMYFUNCTION("""COMPUTED_VALUE"""),805.0)</f>
        <v>805</v>
      </c>
      <c r="G19605" s="4">
        <f>IFERROR(__xludf.DUMMYFUNCTION("""COMPUTED_VALUE"""),26.0)</f>
        <v>26</v>
      </c>
      <c r="H19605" s="4"/>
      <c r="I19605" s="4"/>
    </row>
    <row r="19606">
      <c r="A19606" s="4" t="str">
        <f>IFERROR(__xludf.DUMMYFUNCTION("""COMPUTED_VALUE"""),"cas_hmw")</f>
        <v>cas_hmw</v>
      </c>
      <c r="B19606" s="5">
        <f>IFERROR(__xludf.DUMMYFUNCTION("""COMPUTED_VALUE"""),44778.0)</f>
        <v>44778</v>
      </c>
      <c r="C19606" s="6">
        <f>IFERROR(__xludf.DUMMYFUNCTION("""COMPUTED_VALUE"""),0.3460763888906513)</f>
        <v>0.3460763889</v>
      </c>
      <c r="D19606" s="4">
        <f>IFERROR(__xludf.DUMMYFUNCTION("""COMPUTED_VALUE"""),12.93116)</f>
        <v>12.93116</v>
      </c>
      <c r="E19606" s="4">
        <f>IFERROR(__xludf.DUMMYFUNCTION("""COMPUTED_VALUE"""),80.122364)</f>
        <v>80.122364</v>
      </c>
      <c r="F19606" s="4">
        <f>IFERROR(__xludf.DUMMYFUNCTION("""COMPUTED_VALUE"""),805.0)</f>
        <v>805</v>
      </c>
      <c r="G19606" s="4">
        <f>IFERROR(__xludf.DUMMYFUNCTION("""COMPUTED_VALUE"""),26.0)</f>
        <v>26</v>
      </c>
      <c r="H19606" s="4"/>
      <c r="I19606" s="4"/>
    </row>
    <row r="19607">
      <c r="A19607" s="4" t="str">
        <f>IFERROR(__xludf.DUMMYFUNCTION("""COMPUTED_VALUE"""),"cas_hmw")</f>
        <v>cas_hmw</v>
      </c>
      <c r="B19607" s="5">
        <f>IFERROR(__xludf.DUMMYFUNCTION("""COMPUTED_VALUE"""),44778.0)</f>
        <v>44778</v>
      </c>
      <c r="C19607" s="6">
        <f>IFERROR(__xludf.DUMMYFUNCTION("""COMPUTED_VALUE"""),0.3463425925910997)</f>
        <v>0.3463425926</v>
      </c>
      <c r="D19607" s="4">
        <f>IFERROR(__xludf.DUMMYFUNCTION("""COMPUTED_VALUE"""),12.923923)</f>
        <v>12.923923</v>
      </c>
      <c r="E19607" s="4">
        <f>IFERROR(__xludf.DUMMYFUNCTION("""COMPUTED_VALUE"""),80.098115)</f>
        <v>80.098115</v>
      </c>
      <c r="F19607" s="4">
        <f>IFERROR(__xludf.DUMMYFUNCTION("""COMPUTED_VALUE"""),3143.0)</f>
        <v>3143</v>
      </c>
      <c r="G19607" s="4">
        <f>IFERROR(__xludf.DUMMYFUNCTION("""COMPUTED_VALUE"""),48.0)</f>
        <v>48</v>
      </c>
      <c r="H19607" s="4"/>
      <c r="I19607" s="4"/>
    </row>
    <row r="19608">
      <c r="A19608" s="4" t="str">
        <f>IFERROR(__xludf.DUMMYFUNCTION("""COMPUTED_VALUE"""),"cas_hmw")</f>
        <v>cas_hmw</v>
      </c>
      <c r="B19608" s="5">
        <f>IFERROR(__xludf.DUMMYFUNCTION("""COMPUTED_VALUE"""),44778.0)</f>
        <v>44778</v>
      </c>
      <c r="C19608" s="6">
        <f>IFERROR(__xludf.DUMMYFUNCTION("""COMPUTED_VALUE"""),0.3472685185188311)</f>
        <v>0.3472685185</v>
      </c>
      <c r="D19608" s="4">
        <f>IFERROR(__xludf.DUMMYFUNCTION("""COMPUTED_VALUE"""),12.904686)</f>
        <v>12.904686</v>
      </c>
      <c r="E19608" s="4">
        <f>IFERROR(__xludf.DUMMYFUNCTION("""COMPUTED_VALUE"""),80.095194)</f>
        <v>80.095194</v>
      </c>
      <c r="F19608" s="4">
        <f>IFERROR(__xludf.DUMMYFUNCTION("""COMPUTED_VALUE"""),5339.0)</f>
        <v>5339</v>
      </c>
      <c r="G19608" s="4">
        <f>IFERROR(__xludf.DUMMYFUNCTION("""COMPUTED_VALUE"""),26.0)</f>
        <v>26</v>
      </c>
      <c r="H19608" s="4"/>
      <c r="I19608" s="4"/>
    </row>
    <row r="19609">
      <c r="A19609" s="4" t="str">
        <f>IFERROR(__xludf.DUMMYFUNCTION("""COMPUTED_VALUE"""),"cas_hmw")</f>
        <v>cas_hmw</v>
      </c>
      <c r="B19609" s="5">
        <f>IFERROR(__xludf.DUMMYFUNCTION("""COMPUTED_VALUE"""),44778.0)</f>
        <v>44778</v>
      </c>
      <c r="C19609" s="6">
        <f>IFERROR(__xludf.DUMMYFUNCTION("""COMPUTED_VALUE"""),0.3473842592575238)</f>
        <v>0.3473842593</v>
      </c>
      <c r="D19609" s="4">
        <f>IFERROR(__xludf.DUMMYFUNCTION("""COMPUTED_VALUE"""),12.904053)</f>
        <v>12.904053</v>
      </c>
      <c r="E19609" s="4">
        <f>IFERROR(__xludf.DUMMYFUNCTION("""COMPUTED_VALUE"""),80.094712)</f>
        <v>80.094712</v>
      </c>
      <c r="F19609" s="4">
        <f>IFERROR(__xludf.DUMMYFUNCTION("""COMPUTED_VALUE"""),5339.0)</f>
        <v>5339</v>
      </c>
      <c r="G19609" s="4">
        <f>IFERROR(__xludf.DUMMYFUNCTION("""COMPUTED_VALUE"""),34.0)</f>
        <v>34</v>
      </c>
      <c r="H19609" s="4"/>
      <c r="I19609" s="4"/>
    </row>
    <row r="19610">
      <c r="A19610" s="4" t="str">
        <f>IFERROR(__xludf.DUMMYFUNCTION("""COMPUTED_VALUE"""),"cas_hmw")</f>
        <v>cas_hmw</v>
      </c>
      <c r="B19610" s="5">
        <f>IFERROR(__xludf.DUMMYFUNCTION("""COMPUTED_VALUE"""),44778.0)</f>
        <v>44778</v>
      </c>
      <c r="C19610" s="6">
        <f>IFERROR(__xludf.DUMMYFUNCTION("""COMPUTED_VALUE"""),0.3475925925922638)</f>
        <v>0.3475925926</v>
      </c>
      <c r="D19610" s="4">
        <f>IFERROR(__xludf.DUMMYFUNCTION("""COMPUTED_VALUE"""),12.903335)</f>
        <v>12.903335</v>
      </c>
      <c r="E19610" s="4">
        <f>IFERROR(__xludf.DUMMYFUNCTION("""COMPUTED_VALUE"""),80.094104)</f>
        <v>80.094104</v>
      </c>
      <c r="F19610" s="4">
        <f>IFERROR(__xludf.DUMMYFUNCTION("""COMPUTED_VALUE"""),5339.0)</f>
        <v>5339</v>
      </c>
      <c r="G19610" s="4">
        <f>IFERROR(__xludf.DUMMYFUNCTION("""COMPUTED_VALUE"""),40.0)</f>
        <v>40</v>
      </c>
      <c r="H19610" s="4"/>
      <c r="I19610" s="4"/>
    </row>
    <row r="19611">
      <c r="A19611" s="4" t="str">
        <f>IFERROR(__xludf.DUMMYFUNCTION("""COMPUTED_VALUE"""),"cas_hmw")</f>
        <v>cas_hmw</v>
      </c>
      <c r="B19611" s="5">
        <f>IFERROR(__xludf.DUMMYFUNCTION("""COMPUTED_VALUE"""),44778.0)</f>
        <v>44778</v>
      </c>
      <c r="C19611" s="6">
        <f>IFERROR(__xludf.DUMMYFUNCTION("""COMPUTED_VALUE"""),0.3480787037042319)</f>
        <v>0.3480787037</v>
      </c>
      <c r="D19611" s="4">
        <f>IFERROR(__xludf.DUMMYFUNCTION("""COMPUTED_VALUE"""),12.898708)</f>
        <v>12.898708</v>
      </c>
      <c r="E19611" s="4">
        <f>IFERROR(__xludf.DUMMYFUNCTION("""COMPUTED_VALUE"""),80.0905)</f>
        <v>80.0905</v>
      </c>
      <c r="F19611" s="4">
        <f>IFERROR(__xludf.DUMMYFUNCTION("""COMPUTED_VALUE"""),5339.0)</f>
        <v>5339</v>
      </c>
      <c r="G19611" s="4">
        <f>IFERROR(__xludf.DUMMYFUNCTION("""COMPUTED_VALUE"""),49.0)</f>
        <v>49</v>
      </c>
      <c r="H19611" s="4"/>
      <c r="I19611" s="4"/>
    </row>
    <row r="19612">
      <c r="A19612" s="4" t="str">
        <f>IFERROR(__xludf.DUMMYFUNCTION("""COMPUTED_VALUE"""),"cas_hmw")</f>
        <v>cas_hmw</v>
      </c>
      <c r="B19612" s="5">
        <f>IFERROR(__xludf.DUMMYFUNCTION("""COMPUTED_VALUE"""),44778.0)</f>
        <v>44778</v>
      </c>
      <c r="C19612" s="6">
        <f>IFERROR(__xludf.DUMMYFUNCTION("""COMPUTED_VALUE"""),0.3481828703697829)</f>
        <v>0.3481828704</v>
      </c>
      <c r="D19612" s="4">
        <f>IFERROR(__xludf.DUMMYFUNCTION("""COMPUTED_VALUE"""),12.897798)</f>
        <v>12.897798</v>
      </c>
      <c r="E19612" s="4">
        <f>IFERROR(__xludf.DUMMYFUNCTION("""COMPUTED_VALUE"""),80.089813)</f>
        <v>80.089813</v>
      </c>
      <c r="F19612" s="4">
        <f>IFERROR(__xludf.DUMMYFUNCTION("""COMPUTED_VALUE"""),5339.0)</f>
        <v>5339</v>
      </c>
      <c r="G19612" s="4">
        <f>IFERROR(__xludf.DUMMYFUNCTION("""COMPUTED_VALUE"""),36.0)</f>
        <v>36</v>
      </c>
      <c r="H19612" s="4"/>
      <c r="I19612" s="4"/>
    </row>
    <row r="19613">
      <c r="A19613" s="4" t="str">
        <f>IFERROR(__xludf.DUMMYFUNCTION("""COMPUTED_VALUE"""),"cas_hmw")</f>
        <v>cas_hmw</v>
      </c>
      <c r="B19613" s="5">
        <f>IFERROR(__xludf.DUMMYFUNCTION("""COMPUTED_VALUE"""),44778.0)</f>
        <v>44778</v>
      </c>
      <c r="C19613" s="6">
        <f>IFERROR(__xludf.DUMMYFUNCTION("""COMPUTED_VALUE"""),0.34900462962832535)</f>
        <v>0.3490046296</v>
      </c>
      <c r="D19613" s="4">
        <f>IFERROR(__xludf.DUMMYFUNCTION("""COMPUTED_VALUE"""),12.891552)</f>
        <v>12.891552</v>
      </c>
      <c r="E19613" s="4">
        <f>IFERROR(__xludf.DUMMYFUNCTION("""COMPUTED_VALUE"""),80.08529)</f>
        <v>80.08529</v>
      </c>
      <c r="F19613" s="4">
        <f>IFERROR(__xludf.DUMMYFUNCTION("""COMPUTED_VALUE"""),5339.0)</f>
        <v>5339</v>
      </c>
      <c r="G19613" s="4">
        <f>IFERROR(__xludf.DUMMYFUNCTION("""COMPUTED_VALUE"""),52.0)</f>
        <v>52</v>
      </c>
      <c r="H19613" s="4"/>
      <c r="I19613" s="4"/>
    </row>
    <row r="19614">
      <c r="A19614" s="4" t="str">
        <f>IFERROR(__xludf.DUMMYFUNCTION("""COMPUTED_VALUE"""),"cas_hmw")</f>
        <v>cas_hmw</v>
      </c>
      <c r="B19614" s="5">
        <f>IFERROR(__xludf.DUMMYFUNCTION("""COMPUTED_VALUE"""),44778.0)</f>
        <v>44778</v>
      </c>
      <c r="C19614" s="6">
        <f>IFERROR(__xludf.DUMMYFUNCTION("""COMPUTED_VALUE"""),0.3497106481481751)</f>
        <v>0.3497106481</v>
      </c>
      <c r="D19614" s="4">
        <f>IFERROR(__xludf.DUMMYFUNCTION("""COMPUTED_VALUE"""),12.915615)</f>
        <v>12.915615</v>
      </c>
      <c r="E19614" s="4">
        <f>IFERROR(__xludf.DUMMYFUNCTION("""COMPUTED_VALUE"""),80.078487)</f>
        <v>80.078487</v>
      </c>
      <c r="F19614" s="4">
        <f>IFERROR(__xludf.DUMMYFUNCTION("""COMPUTED_VALUE"""),3143.0)</f>
        <v>3143</v>
      </c>
      <c r="G19614" s="4">
        <f>IFERROR(__xludf.DUMMYFUNCTION("""COMPUTED_VALUE"""),45.0)</f>
        <v>45</v>
      </c>
      <c r="H19614" s="4"/>
      <c r="I19614" s="4"/>
    </row>
    <row r="19615">
      <c r="A19615" s="4" t="str">
        <f>IFERROR(__xludf.DUMMYFUNCTION("""COMPUTED_VALUE"""),"cas_hmw")</f>
        <v>cas_hmw</v>
      </c>
      <c r="B19615" s="5">
        <f>IFERROR(__xludf.DUMMYFUNCTION("""COMPUTED_VALUE"""),44778.0)</f>
        <v>44778</v>
      </c>
      <c r="C19615" s="6">
        <f>IFERROR(__xludf.DUMMYFUNCTION("""COMPUTED_VALUE"""),0.34975694444437977)</f>
        <v>0.3497569444</v>
      </c>
      <c r="D19615" s="4">
        <f>IFERROR(__xludf.DUMMYFUNCTION("""COMPUTED_VALUE"""),12.912588)</f>
        <v>12.912588</v>
      </c>
      <c r="E19615" s="4">
        <f>IFERROR(__xludf.DUMMYFUNCTION("""COMPUTED_VALUE"""),80.101536)</f>
        <v>80.101536</v>
      </c>
      <c r="F19615" s="4">
        <f>IFERROR(__xludf.DUMMYFUNCTION("""COMPUTED_VALUE"""),805.0)</f>
        <v>805</v>
      </c>
      <c r="G19615" s="4">
        <f>IFERROR(__xludf.DUMMYFUNCTION("""COMPUTED_VALUE"""),56.0)</f>
        <v>56</v>
      </c>
      <c r="H19615" s="4"/>
      <c r="I19615" s="4"/>
    </row>
    <row r="19616">
      <c r="A19616" s="4" t="str">
        <f>IFERROR(__xludf.DUMMYFUNCTION("""COMPUTED_VALUE"""),"cas_hmw")</f>
        <v>cas_hmw</v>
      </c>
      <c r="B19616" s="5">
        <f>IFERROR(__xludf.DUMMYFUNCTION("""COMPUTED_VALUE"""),44778.0)</f>
        <v>44778</v>
      </c>
      <c r="C19616" s="6">
        <f>IFERROR(__xludf.DUMMYFUNCTION("""COMPUTED_VALUE"""),0.34983796296364744)</f>
        <v>0.349837963</v>
      </c>
      <c r="D19616" s="4">
        <f>IFERROR(__xludf.DUMMYFUNCTION("""COMPUTED_VALUE"""),12.912588)</f>
        <v>12.912588</v>
      </c>
      <c r="E19616" s="4">
        <f>IFERROR(__xludf.DUMMYFUNCTION("""COMPUTED_VALUE"""),80.101536)</f>
        <v>80.101536</v>
      </c>
      <c r="F19616" s="4">
        <f>IFERROR(__xludf.DUMMYFUNCTION("""COMPUTED_VALUE"""),805.0)</f>
        <v>805</v>
      </c>
      <c r="G19616" s="4">
        <f>IFERROR(__xludf.DUMMYFUNCTION("""COMPUTED_VALUE"""),56.0)</f>
        <v>56</v>
      </c>
      <c r="H19616" s="4"/>
      <c r="I19616" s="4"/>
    </row>
    <row r="19617">
      <c r="A19617" s="4" t="str">
        <f>IFERROR(__xludf.DUMMYFUNCTION("""COMPUTED_VALUE"""),"cas_hmw")</f>
        <v>cas_hmw</v>
      </c>
      <c r="B19617" s="5">
        <f>IFERROR(__xludf.DUMMYFUNCTION("""COMPUTED_VALUE"""),44778.0)</f>
        <v>44778</v>
      </c>
      <c r="C19617" s="6">
        <f>IFERROR(__xludf.DUMMYFUNCTION("""COMPUTED_VALUE"""),0.35306712962847087)</f>
        <v>0.3530671296</v>
      </c>
      <c r="D19617" s="4">
        <f>IFERROR(__xludf.DUMMYFUNCTION("""COMPUTED_VALUE"""),12.905228)</f>
        <v>12.905228</v>
      </c>
      <c r="E19617" s="4">
        <f>IFERROR(__xludf.DUMMYFUNCTION("""COMPUTED_VALUE"""),80.095594)</f>
        <v>80.095594</v>
      </c>
      <c r="F19617" s="4">
        <f>IFERROR(__xludf.DUMMYFUNCTION("""COMPUTED_VALUE"""),805.0)</f>
        <v>805</v>
      </c>
      <c r="G19617" s="4">
        <f>IFERROR(__xludf.DUMMYFUNCTION("""COMPUTED_VALUE"""),32.0)</f>
        <v>32</v>
      </c>
      <c r="H19617" s="4"/>
      <c r="I19617" s="4"/>
    </row>
    <row r="19618">
      <c r="A19618" s="4" t="str">
        <f>IFERROR(__xludf.DUMMYFUNCTION("""COMPUTED_VALUE"""),"cas_hmw")</f>
        <v>cas_hmw</v>
      </c>
      <c r="B19618" s="5">
        <f>IFERROR(__xludf.DUMMYFUNCTION("""COMPUTED_VALUE"""),44778.0)</f>
        <v>44778</v>
      </c>
      <c r="C19618" s="6">
        <f>IFERROR(__xludf.DUMMYFUNCTION("""COMPUTED_VALUE"""),0.3532407407401479)</f>
        <v>0.3532407407</v>
      </c>
      <c r="D19618" s="4">
        <f>IFERROR(__xludf.DUMMYFUNCTION("""COMPUTED_VALUE"""),12.903799)</f>
        <v>12.903799</v>
      </c>
      <c r="E19618" s="4">
        <f>IFERROR(__xludf.DUMMYFUNCTION("""COMPUTED_VALUE"""),80.094557)</f>
        <v>80.094557</v>
      </c>
      <c r="F19618" s="4">
        <f>IFERROR(__xludf.DUMMYFUNCTION("""COMPUTED_VALUE"""),805.0)</f>
        <v>805</v>
      </c>
      <c r="G19618" s="4">
        <f>IFERROR(__xludf.DUMMYFUNCTION("""COMPUTED_VALUE"""),50.0)</f>
        <v>50</v>
      </c>
      <c r="H19618" s="4"/>
      <c r="I19618" s="4"/>
    </row>
    <row r="19619">
      <c r="A19619" s="4" t="str">
        <f>IFERROR(__xludf.DUMMYFUNCTION("""COMPUTED_VALUE"""),"cas_hmw")</f>
        <v>cas_hmw</v>
      </c>
      <c r="B19619" s="5">
        <f>IFERROR(__xludf.DUMMYFUNCTION("""COMPUTED_VALUE"""),44778.0)</f>
        <v>44778</v>
      </c>
      <c r="C19619" s="6">
        <f>IFERROR(__xludf.DUMMYFUNCTION("""COMPUTED_VALUE"""),0.35471064814919373)</f>
        <v>0.3547106481</v>
      </c>
      <c r="D19619" s="4">
        <f>IFERROR(__xludf.DUMMYFUNCTION("""COMPUTED_VALUE"""),12.8788)</f>
        <v>12.8788</v>
      </c>
      <c r="E19619" s="4">
        <f>IFERROR(__xludf.DUMMYFUNCTION("""COMPUTED_VALUE"""),80.081169)</f>
        <v>80.081169</v>
      </c>
      <c r="F19619" s="4">
        <f>IFERROR(__xludf.DUMMYFUNCTION("""COMPUTED_VALUE"""),3143.0)</f>
        <v>3143</v>
      </c>
      <c r="G19619" s="4">
        <f>IFERROR(__xludf.DUMMYFUNCTION("""COMPUTED_VALUE"""),30.0)</f>
        <v>30</v>
      </c>
      <c r="H19619" s="4"/>
      <c r="I19619" s="4"/>
    </row>
    <row r="19620">
      <c r="A19620" s="4" t="str">
        <f>IFERROR(__xludf.DUMMYFUNCTION("""COMPUTED_VALUE"""),"cas_hmw")</f>
        <v>cas_hmw</v>
      </c>
      <c r="B19620" s="5">
        <f>IFERROR(__xludf.DUMMYFUNCTION("""COMPUTED_VALUE"""),44778.0)</f>
        <v>44778</v>
      </c>
      <c r="C19620" s="6">
        <f>IFERROR(__xludf.DUMMYFUNCTION("""COMPUTED_VALUE"""),0.3552777777767915)</f>
        <v>0.3552777778</v>
      </c>
      <c r="D19620" s="4">
        <f>IFERROR(__xludf.DUMMYFUNCTION("""COMPUTED_VALUE"""),12.891206)</f>
        <v>12.891206</v>
      </c>
      <c r="E19620" s="4">
        <f>IFERROR(__xludf.DUMMYFUNCTION("""COMPUTED_VALUE"""),80.085128)</f>
        <v>80.085128</v>
      </c>
      <c r="F19620" s="4">
        <f>IFERROR(__xludf.DUMMYFUNCTION("""COMPUTED_VALUE"""),805.0)</f>
        <v>805</v>
      </c>
      <c r="G19620" s="4">
        <f>IFERROR(__xludf.DUMMYFUNCTION("""COMPUTED_VALUE"""),51.0)</f>
        <v>51</v>
      </c>
      <c r="H19620" s="4"/>
      <c r="I19620" s="4"/>
    </row>
    <row r="19621">
      <c r="A19621" s="4" t="str">
        <f>IFERROR(__xludf.DUMMYFUNCTION("""COMPUTED_VALUE"""),"cas_hmw")</f>
        <v>cas_hmw</v>
      </c>
      <c r="B19621" s="5">
        <f>IFERROR(__xludf.DUMMYFUNCTION("""COMPUTED_VALUE"""),44778.0)</f>
        <v>44778</v>
      </c>
      <c r="C19621" s="6">
        <f>IFERROR(__xludf.DUMMYFUNCTION("""COMPUTED_VALUE"""),0.35528935185357113)</f>
        <v>0.3552893519</v>
      </c>
      <c r="D19621" s="4">
        <f>IFERROR(__xludf.DUMMYFUNCTION("""COMPUTED_VALUE"""),12.891206)</f>
        <v>12.891206</v>
      </c>
      <c r="E19621" s="4">
        <f>IFERROR(__xludf.DUMMYFUNCTION("""COMPUTED_VALUE"""),80.085128)</f>
        <v>80.085128</v>
      </c>
      <c r="F19621" s="4">
        <f>IFERROR(__xludf.DUMMYFUNCTION("""COMPUTED_VALUE"""),805.0)</f>
        <v>805</v>
      </c>
      <c r="G19621" s="4">
        <f>IFERROR(__xludf.DUMMYFUNCTION("""COMPUTED_VALUE"""),51.0)</f>
        <v>51</v>
      </c>
      <c r="H19621" s="4"/>
      <c r="I19621" s="4"/>
    </row>
    <row r="19622">
      <c r="A19622" s="4" t="str">
        <f>IFERROR(__xludf.DUMMYFUNCTION("""COMPUTED_VALUE"""),"cas_hmw")</f>
        <v>cas_hmw</v>
      </c>
      <c r="B19622" s="5">
        <f>IFERROR(__xludf.DUMMYFUNCTION("""COMPUTED_VALUE"""),44778.0)</f>
        <v>44778</v>
      </c>
      <c r="C19622" s="6">
        <f>IFERROR(__xludf.DUMMYFUNCTION("""COMPUTED_VALUE"""),0.3561689814814599)</f>
        <v>0.3561689815</v>
      </c>
      <c r="D19622" s="4">
        <f>IFERROR(__xludf.DUMMYFUNCTION("""COMPUTED_VALUE"""),12.881883)</f>
        <v>12.881883</v>
      </c>
      <c r="E19622" s="4">
        <f>IFERROR(__xludf.DUMMYFUNCTION("""COMPUTED_VALUE"""),80.081442)</f>
        <v>80.081442</v>
      </c>
      <c r="F19622" s="4">
        <f>IFERROR(__xludf.DUMMYFUNCTION("""COMPUTED_VALUE"""),805.0)</f>
        <v>805</v>
      </c>
      <c r="G19622" s="4">
        <f>IFERROR(__xludf.DUMMYFUNCTION("""COMPUTED_VALUE"""),30.0)</f>
        <v>30</v>
      </c>
      <c r="H19622" s="4"/>
      <c r="I19622" s="4"/>
    </row>
    <row r="19623">
      <c r="A19623" s="4" t="str">
        <f>IFERROR(__xludf.DUMMYFUNCTION("""COMPUTED_VALUE"""),"cas_hmw")</f>
        <v>cas_hmw</v>
      </c>
      <c r="B19623" s="5">
        <f>IFERROR(__xludf.DUMMYFUNCTION("""COMPUTED_VALUE"""),44778.0)</f>
        <v>44778</v>
      </c>
      <c r="C19623" s="6">
        <f>IFERROR(__xludf.DUMMYFUNCTION("""COMPUTED_VALUE"""),0.6908912037033588)</f>
        <v>0.6908912037</v>
      </c>
      <c r="D19623" s="4">
        <f>IFERROR(__xludf.DUMMYFUNCTION("""COMPUTED_VALUE"""),12.87984)</f>
        <v>12.87984</v>
      </c>
      <c r="E19623" s="4">
        <f>IFERROR(__xludf.DUMMYFUNCTION("""COMPUTED_VALUE"""),80.08026)</f>
        <v>80.08026</v>
      </c>
      <c r="F19623" s="4">
        <f>IFERROR(__xludf.DUMMYFUNCTION("""COMPUTED_VALUE"""),805.0)</f>
        <v>805</v>
      </c>
      <c r="G19623" s="4">
        <f>IFERROR(__xludf.DUMMYFUNCTION("""COMPUTED_VALUE"""),32.0)</f>
        <v>32</v>
      </c>
      <c r="H19623" s="4"/>
      <c r="I19623" s="4"/>
    </row>
    <row r="19624">
      <c r="A19624" s="4" t="str">
        <f>IFERROR(__xludf.DUMMYFUNCTION("""COMPUTED_VALUE"""),"cas_hmw")</f>
        <v>cas_hmw</v>
      </c>
      <c r="B19624" s="5">
        <f>IFERROR(__xludf.DUMMYFUNCTION("""COMPUTED_VALUE"""),44778.0)</f>
        <v>44778</v>
      </c>
      <c r="C19624" s="6">
        <f>IFERROR(__xludf.DUMMYFUNCTION("""COMPUTED_VALUE"""),0.6909259259264218)</f>
        <v>0.6909259259</v>
      </c>
      <c r="D19624" s="4">
        <f>IFERROR(__xludf.DUMMYFUNCTION("""COMPUTED_VALUE"""),12.87984)</f>
        <v>12.87984</v>
      </c>
      <c r="E19624" s="4">
        <f>IFERROR(__xludf.DUMMYFUNCTION("""COMPUTED_VALUE"""),80.08026)</f>
        <v>80.08026</v>
      </c>
      <c r="F19624" s="4">
        <f>IFERROR(__xludf.DUMMYFUNCTION("""COMPUTED_VALUE"""),805.0)</f>
        <v>805</v>
      </c>
      <c r="G19624" s="4">
        <f>IFERROR(__xludf.DUMMYFUNCTION("""COMPUTED_VALUE"""),32.0)</f>
        <v>32</v>
      </c>
      <c r="H19624" s="4"/>
      <c r="I19624" s="4"/>
    </row>
    <row r="19625">
      <c r="A19625" s="4" t="str">
        <f>IFERROR(__xludf.DUMMYFUNCTION("""COMPUTED_VALUE"""),"cas_hmw")</f>
        <v>cas_hmw</v>
      </c>
      <c r="B19625" s="5">
        <f>IFERROR(__xludf.DUMMYFUNCTION("""COMPUTED_VALUE"""),44778.0)</f>
        <v>44778</v>
      </c>
      <c r="C19625" s="6">
        <f>IFERROR(__xludf.DUMMYFUNCTION("""COMPUTED_VALUE"""),0.6917592592581059)</f>
        <v>0.6917592593</v>
      </c>
      <c r="D19625" s="4">
        <f>IFERROR(__xludf.DUMMYFUNCTION("""COMPUTED_VALUE"""),12.885355)</f>
        <v>12.885355</v>
      </c>
      <c r="E19625" s="4">
        <f>IFERROR(__xludf.DUMMYFUNCTION("""COMPUTED_VALUE"""),80.082456)</f>
        <v>80.082456</v>
      </c>
      <c r="F19625" s="4">
        <f>IFERROR(__xludf.DUMMYFUNCTION("""COMPUTED_VALUE"""),805.0)</f>
        <v>805</v>
      </c>
      <c r="G19625" s="4">
        <f>IFERROR(__xludf.DUMMYFUNCTION("""COMPUTED_VALUE"""),45.0)</f>
        <v>45</v>
      </c>
      <c r="H19625" s="4"/>
      <c r="I19625" s="4"/>
    </row>
    <row r="19626">
      <c r="A19626" s="4" t="str">
        <f>IFERROR(__xludf.DUMMYFUNCTION("""COMPUTED_VALUE"""),"cas_hmw")</f>
        <v>cas_hmw</v>
      </c>
      <c r="B19626" s="5">
        <f>IFERROR(__xludf.DUMMYFUNCTION("""COMPUTED_VALUE"""),44778.0)</f>
        <v>44778</v>
      </c>
      <c r="C19626" s="6">
        <f>IFERROR(__xludf.DUMMYFUNCTION("""COMPUTED_VALUE"""),0.6918750000004366)</f>
        <v>0.691875</v>
      </c>
      <c r="D19626" s="4">
        <f>IFERROR(__xludf.DUMMYFUNCTION("""COMPUTED_VALUE"""),12.86504)</f>
        <v>12.86504</v>
      </c>
      <c r="E19626" s="4">
        <f>IFERROR(__xludf.DUMMYFUNCTION("""COMPUTED_VALUE"""),80.074794)</f>
        <v>80.074794</v>
      </c>
      <c r="F19626" s="4">
        <f>IFERROR(__xludf.DUMMYFUNCTION("""COMPUTED_VALUE"""),2846.0)</f>
        <v>2846</v>
      </c>
      <c r="G19626" s="4">
        <f>IFERROR(__xludf.DUMMYFUNCTION("""COMPUTED_VALUE"""),39.0)</f>
        <v>39</v>
      </c>
      <c r="H19626" s="4"/>
      <c r="I19626" s="4"/>
    </row>
    <row r="19627">
      <c r="A19627" s="4" t="str">
        <f>IFERROR(__xludf.DUMMYFUNCTION("""COMPUTED_VALUE"""),"cas_hmw")</f>
        <v>cas_hmw</v>
      </c>
      <c r="B19627" s="5">
        <f>IFERROR(__xludf.DUMMYFUNCTION("""COMPUTED_VALUE"""),44778.0)</f>
        <v>44778</v>
      </c>
      <c r="C19627" s="6">
        <f>IFERROR(__xludf.DUMMYFUNCTION("""COMPUTED_VALUE"""),0.6920023148159089)</f>
        <v>0.6920023148</v>
      </c>
      <c r="D19627" s="4">
        <f>IFERROR(__xludf.DUMMYFUNCTION("""COMPUTED_VALUE"""),12.86404)</f>
        <v>12.86404</v>
      </c>
      <c r="E19627" s="4">
        <f>IFERROR(__xludf.DUMMYFUNCTION("""COMPUTED_VALUE"""),80.074394)</f>
        <v>80.074394</v>
      </c>
      <c r="F19627" s="4">
        <f>IFERROR(__xludf.DUMMYFUNCTION("""COMPUTED_VALUE"""),2846.0)</f>
        <v>2846</v>
      </c>
      <c r="G19627" s="4">
        <f>IFERROR(__xludf.DUMMYFUNCTION("""COMPUTED_VALUE"""),44.0)</f>
        <v>44</v>
      </c>
      <c r="H19627" s="4"/>
      <c r="I19627" s="4"/>
    </row>
    <row r="19628">
      <c r="A19628" s="4" t="str">
        <f>IFERROR(__xludf.DUMMYFUNCTION("""COMPUTED_VALUE"""),"cas_hmw")</f>
        <v>cas_hmw</v>
      </c>
      <c r="B19628" s="5">
        <f>IFERROR(__xludf.DUMMYFUNCTION("""COMPUTED_VALUE"""),44778.0)</f>
        <v>44778</v>
      </c>
      <c r="C19628" s="6">
        <f>IFERROR(__xludf.DUMMYFUNCTION("""COMPUTED_VALUE"""),0.6922222222237906)</f>
        <v>0.6922222222</v>
      </c>
      <c r="D19628" s="4">
        <f>IFERROR(__xludf.DUMMYFUNCTION("""COMPUTED_VALUE"""),12.891126)</f>
        <v>12.891126</v>
      </c>
      <c r="E19628" s="4">
        <f>IFERROR(__xludf.DUMMYFUNCTION("""COMPUTED_VALUE"""),80.084939)</f>
        <v>80.084939</v>
      </c>
      <c r="F19628" s="4">
        <f>IFERROR(__xludf.DUMMYFUNCTION("""COMPUTED_VALUE"""),5339.0)</f>
        <v>5339</v>
      </c>
      <c r="G19628" s="4">
        <f>IFERROR(__xludf.DUMMYFUNCTION("""COMPUTED_VALUE"""),54.0)</f>
        <v>54</v>
      </c>
      <c r="H19628" s="4"/>
      <c r="I19628" s="4"/>
    </row>
    <row r="19629">
      <c r="A19629" s="4" t="str">
        <f>IFERROR(__xludf.DUMMYFUNCTION("""COMPUTED_VALUE"""),"cas_hmw")</f>
        <v>cas_hmw</v>
      </c>
      <c r="B19629" s="5">
        <f>IFERROR(__xludf.DUMMYFUNCTION("""COMPUTED_VALUE"""),44778.0)</f>
        <v>44778</v>
      </c>
      <c r="C19629" s="6">
        <f>IFERROR(__xludf.DUMMYFUNCTION("""COMPUTED_VALUE"""),0.6922569444432156)</f>
        <v>0.6922569444</v>
      </c>
      <c r="D19629" s="4">
        <f>IFERROR(__xludf.DUMMYFUNCTION("""COMPUTED_VALUE"""),12.890314)</f>
        <v>12.890314</v>
      </c>
      <c r="E19629" s="4">
        <f>IFERROR(__xludf.DUMMYFUNCTION("""COMPUTED_VALUE"""),80.084612)</f>
        <v>80.084612</v>
      </c>
      <c r="F19629" s="4">
        <f>IFERROR(__xludf.DUMMYFUNCTION("""COMPUTED_VALUE"""),805.0)</f>
        <v>805</v>
      </c>
      <c r="G19629" s="4">
        <f>IFERROR(__xludf.DUMMYFUNCTION("""COMPUTED_VALUE"""),51.0)</f>
        <v>51</v>
      </c>
      <c r="H19629" s="4"/>
      <c r="I19629" s="4"/>
    </row>
    <row r="19630">
      <c r="A19630" s="4" t="str">
        <f>IFERROR(__xludf.DUMMYFUNCTION("""COMPUTED_VALUE"""),"cas_hmw")</f>
        <v>cas_hmw</v>
      </c>
      <c r="B19630" s="5">
        <f>IFERROR(__xludf.DUMMYFUNCTION("""COMPUTED_VALUE"""),44778.0)</f>
        <v>44778</v>
      </c>
      <c r="C19630" s="6">
        <f>IFERROR(__xludf.DUMMYFUNCTION("""COMPUTED_VALUE"""),0.6925347222204437)</f>
        <v>0.6925347222</v>
      </c>
      <c r="D19630" s="4">
        <f>IFERROR(__xludf.DUMMYFUNCTION("""COMPUTED_VALUE"""),12.893067)</f>
        <v>12.893067</v>
      </c>
      <c r="E19630" s="4">
        <f>IFERROR(__xludf.DUMMYFUNCTION("""COMPUTED_VALUE"""),80.086148)</f>
        <v>80.086148</v>
      </c>
      <c r="F19630" s="4">
        <f>IFERROR(__xludf.DUMMYFUNCTION("""COMPUTED_VALUE"""),805.0)</f>
        <v>805</v>
      </c>
      <c r="G19630" s="4">
        <f>IFERROR(__xludf.DUMMYFUNCTION("""COMPUTED_VALUE"""),35.0)</f>
        <v>35</v>
      </c>
      <c r="H19630" s="4"/>
      <c r="I19630" s="4"/>
    </row>
    <row r="19631">
      <c r="A19631" s="4" t="str">
        <f>IFERROR(__xludf.DUMMYFUNCTION("""COMPUTED_VALUE"""),"cas_hmw")</f>
        <v>cas_hmw</v>
      </c>
      <c r="B19631" s="5">
        <f>IFERROR(__xludf.DUMMYFUNCTION("""COMPUTED_VALUE"""),44778.0)</f>
        <v>44778</v>
      </c>
      <c r="C19631" s="6">
        <f>IFERROR(__xludf.DUMMYFUNCTION("""COMPUTED_VALUE"""),0.6926851851858373)</f>
        <v>0.6926851852</v>
      </c>
      <c r="D19631" s="4">
        <f>IFERROR(__xludf.DUMMYFUNCTION("""COMPUTED_VALUE"""),12.894701)</f>
        <v>12.894701</v>
      </c>
      <c r="E19631" s="4">
        <f>IFERROR(__xludf.DUMMYFUNCTION("""COMPUTED_VALUE"""),80.087387)</f>
        <v>80.087387</v>
      </c>
      <c r="F19631" s="4">
        <f>IFERROR(__xludf.DUMMYFUNCTION("""COMPUTED_VALUE"""),5339.0)</f>
        <v>5339</v>
      </c>
      <c r="G19631" s="4">
        <f>IFERROR(__xludf.DUMMYFUNCTION("""COMPUTED_VALUE"""),45.0)</f>
        <v>45</v>
      </c>
      <c r="H19631" s="4"/>
      <c r="I19631" s="4"/>
    </row>
    <row r="19632">
      <c r="A19632" s="4" t="str">
        <f>IFERROR(__xludf.DUMMYFUNCTION("""COMPUTED_VALUE"""),"cas_hmw")</f>
        <v>cas_hmw</v>
      </c>
      <c r="B19632" s="5">
        <f>IFERROR(__xludf.DUMMYFUNCTION("""COMPUTED_VALUE"""),44778.0)</f>
        <v>44778</v>
      </c>
      <c r="C19632" s="6">
        <f>IFERROR(__xludf.DUMMYFUNCTION("""COMPUTED_VALUE"""),0.6928587962975143)</f>
        <v>0.6928587963</v>
      </c>
      <c r="D19632" s="4">
        <f>IFERROR(__xludf.DUMMYFUNCTION("""COMPUTED_VALUE"""),12.896041)</f>
        <v>12.896041</v>
      </c>
      <c r="E19632" s="4">
        <f>IFERROR(__xludf.DUMMYFUNCTION("""COMPUTED_VALUE"""),80.088369)</f>
        <v>80.088369</v>
      </c>
      <c r="F19632" s="4">
        <f>IFERROR(__xludf.DUMMYFUNCTION("""COMPUTED_VALUE"""),805.0)</f>
        <v>805</v>
      </c>
      <c r="G19632" s="4">
        <f>IFERROR(__xludf.DUMMYFUNCTION("""COMPUTED_VALUE"""),46.0)</f>
        <v>46</v>
      </c>
      <c r="H19632" s="4"/>
      <c r="I19632" s="4"/>
    </row>
    <row r="19633">
      <c r="A19633" s="4" t="str">
        <f>IFERROR(__xludf.DUMMYFUNCTION("""COMPUTED_VALUE"""),"cas_hmw")</f>
        <v>cas_hmw</v>
      </c>
      <c r="B19633" s="5">
        <f>IFERROR(__xludf.DUMMYFUNCTION("""COMPUTED_VALUE"""),44778.0)</f>
        <v>44778</v>
      </c>
      <c r="C19633" s="6">
        <f>IFERROR(__xludf.DUMMYFUNCTION("""COMPUTED_VALUE"""),0.6928819444437977)</f>
        <v>0.6928819444</v>
      </c>
      <c r="D19633" s="4">
        <f>IFERROR(__xludf.DUMMYFUNCTION("""COMPUTED_VALUE"""),12.896446)</f>
        <v>12.896446</v>
      </c>
      <c r="E19633" s="4">
        <f>IFERROR(__xludf.DUMMYFUNCTION("""COMPUTED_VALUE"""),80.088703)</f>
        <v>80.088703</v>
      </c>
      <c r="F19633" s="4">
        <f>IFERROR(__xludf.DUMMYFUNCTION("""COMPUTED_VALUE"""),5339.0)</f>
        <v>5339</v>
      </c>
      <c r="G19633" s="4">
        <f>IFERROR(__xludf.DUMMYFUNCTION("""COMPUTED_VALUE"""),44.0)</f>
        <v>44</v>
      </c>
      <c r="H19633" s="4"/>
      <c r="I19633" s="4"/>
    </row>
    <row r="19634">
      <c r="A19634" s="4" t="str">
        <f>IFERROR(__xludf.DUMMYFUNCTION("""COMPUTED_VALUE"""),"cas_hmw")</f>
        <v>cas_hmw</v>
      </c>
      <c r="B19634" s="5">
        <f>IFERROR(__xludf.DUMMYFUNCTION("""COMPUTED_VALUE"""),44778.0)</f>
        <v>44778</v>
      </c>
      <c r="C19634" s="6">
        <f>IFERROR(__xludf.DUMMYFUNCTION("""COMPUTED_VALUE"""),0.6929976851861284)</f>
        <v>0.6929976852</v>
      </c>
      <c r="D19634" s="4">
        <f>IFERROR(__xludf.DUMMYFUNCTION("""COMPUTED_VALUE"""),12.89693)</f>
        <v>12.89693</v>
      </c>
      <c r="E19634" s="4">
        <f>IFERROR(__xludf.DUMMYFUNCTION("""COMPUTED_VALUE"""),80.089041)</f>
        <v>80.089041</v>
      </c>
      <c r="F19634" s="4">
        <f>IFERROR(__xludf.DUMMYFUNCTION("""COMPUTED_VALUE"""),805.0)</f>
        <v>805</v>
      </c>
      <c r="G19634" s="4">
        <f>IFERROR(__xludf.DUMMYFUNCTION("""COMPUTED_VALUE"""),45.0)</f>
        <v>45</v>
      </c>
      <c r="H19634" s="4"/>
      <c r="I19634" s="4"/>
    </row>
    <row r="19635">
      <c r="A19635" s="4" t="str">
        <f>IFERROR(__xludf.DUMMYFUNCTION("""COMPUTED_VALUE"""),"cas_hmw")</f>
        <v>cas_hmw</v>
      </c>
      <c r="B19635" s="5">
        <f>IFERROR(__xludf.DUMMYFUNCTION("""COMPUTED_VALUE"""),44778.0)</f>
        <v>44778</v>
      </c>
      <c r="C19635" s="6">
        <f>IFERROR(__xludf.DUMMYFUNCTION("""COMPUTED_VALUE"""),0.693078703705396)</f>
        <v>0.6930787037</v>
      </c>
      <c r="D19635" s="4">
        <f>IFERROR(__xludf.DUMMYFUNCTION("""COMPUTED_VALUE"""),12.89693)</f>
        <v>12.89693</v>
      </c>
      <c r="E19635" s="4">
        <f>IFERROR(__xludf.DUMMYFUNCTION("""COMPUTED_VALUE"""),80.089041)</f>
        <v>80.089041</v>
      </c>
      <c r="F19635" s="4">
        <f>IFERROR(__xludf.DUMMYFUNCTION("""COMPUTED_VALUE"""),805.0)</f>
        <v>805</v>
      </c>
      <c r="G19635" s="4">
        <f>IFERROR(__xludf.DUMMYFUNCTION("""COMPUTED_VALUE"""),45.0)</f>
        <v>45</v>
      </c>
      <c r="H19635" s="4"/>
      <c r="I19635" s="4"/>
    </row>
    <row r="19636">
      <c r="A19636" s="4" t="str">
        <f>IFERROR(__xludf.DUMMYFUNCTION("""COMPUTED_VALUE"""),"cas_hmw")</f>
        <v>cas_hmw</v>
      </c>
      <c r="B19636" s="5">
        <f>IFERROR(__xludf.DUMMYFUNCTION("""COMPUTED_VALUE"""),44778.0)</f>
        <v>44778</v>
      </c>
      <c r="C19636" s="6">
        <f>IFERROR(__xludf.DUMMYFUNCTION("""COMPUTED_VALUE"""),0.6934027777788287)</f>
        <v>0.6934027778</v>
      </c>
      <c r="D19636" s="4">
        <f>IFERROR(__xludf.DUMMYFUNCTION("""COMPUTED_VALUE"""),12.857275)</f>
        <v>12.857275</v>
      </c>
      <c r="E19636" s="4">
        <f>IFERROR(__xludf.DUMMYFUNCTION("""COMPUTED_VALUE"""),80.070348)</f>
        <v>80.070348</v>
      </c>
      <c r="F19636" s="4">
        <f>IFERROR(__xludf.DUMMYFUNCTION("""COMPUTED_VALUE"""),2846.0)</f>
        <v>2846</v>
      </c>
      <c r="G19636" s="4">
        <f>IFERROR(__xludf.DUMMYFUNCTION("""COMPUTED_VALUE"""),59.0)</f>
        <v>59</v>
      </c>
      <c r="H19636" s="4"/>
      <c r="I19636" s="4"/>
    </row>
    <row r="19637">
      <c r="A19637" s="4" t="str">
        <f>IFERROR(__xludf.DUMMYFUNCTION("""COMPUTED_VALUE"""),"cas_hmw")</f>
        <v>cas_hmw</v>
      </c>
      <c r="B19637" s="5">
        <f>IFERROR(__xludf.DUMMYFUNCTION("""COMPUTED_VALUE"""),44778.0)</f>
        <v>44778</v>
      </c>
      <c r="C19637" s="6">
        <f>IFERROR(__xludf.DUMMYFUNCTION("""COMPUTED_VALUE"""),0.6934837962980964)</f>
        <v>0.6934837963</v>
      </c>
      <c r="D19637" s="4">
        <f>IFERROR(__xludf.DUMMYFUNCTION("""COMPUTED_VALUE"""),12.901204)</f>
        <v>12.901204</v>
      </c>
      <c r="E19637" s="4">
        <f>IFERROR(__xludf.DUMMYFUNCTION("""COMPUTED_VALUE"""),80.092235)</f>
        <v>80.092235</v>
      </c>
      <c r="F19637" s="4">
        <f>IFERROR(__xludf.DUMMYFUNCTION("""COMPUTED_VALUE"""),805.0)</f>
        <v>805</v>
      </c>
      <c r="G19637" s="4">
        <f>IFERROR(__xludf.DUMMYFUNCTION("""COMPUTED_VALUE"""),55.0)</f>
        <v>55</v>
      </c>
      <c r="H19637" s="4"/>
      <c r="I19637" s="4"/>
    </row>
    <row r="19638">
      <c r="A19638" s="4" t="str">
        <f>IFERROR(__xludf.DUMMYFUNCTION("""COMPUTED_VALUE"""),"cas_hmw")</f>
        <v>cas_hmw</v>
      </c>
      <c r="B19638" s="5">
        <f>IFERROR(__xludf.DUMMYFUNCTION("""COMPUTED_VALUE"""),44778.0)</f>
        <v>44778</v>
      </c>
      <c r="C19638" s="6">
        <f>IFERROR(__xludf.DUMMYFUNCTION("""COMPUTED_VALUE"""),0.6936805555560568)</f>
        <v>0.6936805556</v>
      </c>
      <c r="D19638" s="4">
        <f>IFERROR(__xludf.DUMMYFUNCTION("""COMPUTED_VALUE"""),12.903017)</f>
        <v>12.903017</v>
      </c>
      <c r="E19638" s="4">
        <f>IFERROR(__xludf.DUMMYFUNCTION("""COMPUTED_VALUE"""),80.093551)</f>
        <v>80.093551</v>
      </c>
      <c r="F19638" s="4">
        <f>IFERROR(__xludf.DUMMYFUNCTION("""COMPUTED_VALUE"""),5339.0)</f>
        <v>5339</v>
      </c>
      <c r="G19638" s="4">
        <f>IFERROR(__xludf.DUMMYFUNCTION("""COMPUTED_VALUE"""),37.0)</f>
        <v>37</v>
      </c>
      <c r="H19638" s="4"/>
      <c r="I19638" s="4"/>
    </row>
    <row r="19639">
      <c r="A19639" s="4" t="str">
        <f>IFERROR(__xludf.DUMMYFUNCTION("""COMPUTED_VALUE"""),"cas_hmw")</f>
        <v>cas_hmw</v>
      </c>
      <c r="B19639" s="5">
        <f>IFERROR(__xludf.DUMMYFUNCTION("""COMPUTED_VALUE"""),44778.0)</f>
        <v>44778</v>
      </c>
      <c r="C19639" s="6">
        <f>IFERROR(__xludf.DUMMYFUNCTION("""COMPUTED_VALUE"""),0.6937499999985448)</f>
        <v>0.69375</v>
      </c>
      <c r="D19639" s="4">
        <f>IFERROR(__xludf.DUMMYFUNCTION("""COMPUTED_VALUE"""),12.903017)</f>
        <v>12.903017</v>
      </c>
      <c r="E19639" s="4">
        <f>IFERROR(__xludf.DUMMYFUNCTION("""COMPUTED_VALUE"""),80.093551)</f>
        <v>80.093551</v>
      </c>
      <c r="F19639" s="4">
        <f>IFERROR(__xludf.DUMMYFUNCTION("""COMPUTED_VALUE"""),5339.0)</f>
        <v>5339</v>
      </c>
      <c r="G19639" s="4">
        <f>IFERROR(__xludf.DUMMYFUNCTION("""COMPUTED_VALUE"""),37.0)</f>
        <v>37</v>
      </c>
      <c r="H19639" s="4"/>
      <c r="I19639" s="4"/>
    </row>
    <row r="19640">
      <c r="A19640" s="4" t="str">
        <f>IFERROR(__xludf.DUMMYFUNCTION("""COMPUTED_VALUE"""),"cas_hmw")</f>
        <v>cas_hmw</v>
      </c>
      <c r="B19640" s="5">
        <f>IFERROR(__xludf.DUMMYFUNCTION("""COMPUTED_VALUE"""),44778.0)</f>
        <v>44778</v>
      </c>
      <c r="C19640" s="6">
        <f>IFERROR(__xludf.DUMMYFUNCTION("""COMPUTED_VALUE"""),0.6938657407408755)</f>
        <v>0.6938657407</v>
      </c>
      <c r="D19640" s="4">
        <f>IFERROR(__xludf.DUMMYFUNCTION("""COMPUTED_VALUE"""),12.903821)</f>
        <v>12.903821</v>
      </c>
      <c r="E19640" s="4">
        <f>IFERROR(__xludf.DUMMYFUNCTION("""COMPUTED_VALUE"""),80.094166)</f>
        <v>80.094166</v>
      </c>
      <c r="F19640" s="4">
        <f>IFERROR(__xludf.DUMMYFUNCTION("""COMPUTED_VALUE"""),5339.0)</f>
        <v>5339</v>
      </c>
      <c r="G19640" s="4">
        <f>IFERROR(__xludf.DUMMYFUNCTION("""COMPUTED_VALUE"""),38.0)</f>
        <v>38</v>
      </c>
      <c r="H19640" s="4"/>
      <c r="I19640" s="4"/>
    </row>
    <row r="19641">
      <c r="A19641" s="4" t="str">
        <f>IFERROR(__xludf.DUMMYFUNCTION("""COMPUTED_VALUE"""),"cas_hmw")</f>
        <v>cas_hmw</v>
      </c>
      <c r="B19641" s="5">
        <f>IFERROR(__xludf.DUMMYFUNCTION("""COMPUTED_VALUE"""),44778.0)</f>
        <v>44778</v>
      </c>
      <c r="C19641" s="6">
        <f>IFERROR(__xludf.DUMMYFUNCTION("""COMPUTED_VALUE"""),0.6940509259256942)</f>
        <v>0.6940509259</v>
      </c>
      <c r="D19641" s="4">
        <f>IFERROR(__xludf.DUMMYFUNCTION("""COMPUTED_VALUE"""),12.905833)</f>
        <v>12.905833</v>
      </c>
      <c r="E19641" s="4">
        <f>IFERROR(__xludf.DUMMYFUNCTION("""COMPUTED_VALUE"""),80.095887)</f>
        <v>80.095887</v>
      </c>
      <c r="F19641" s="4">
        <f>IFERROR(__xludf.DUMMYFUNCTION("""COMPUTED_VALUE"""),805.0)</f>
        <v>805</v>
      </c>
      <c r="G19641" s="4">
        <f>IFERROR(__xludf.DUMMYFUNCTION("""COMPUTED_VALUE"""),47.0)</f>
        <v>47</v>
      </c>
      <c r="H19641" s="4"/>
      <c r="I19641" s="4"/>
    </row>
    <row r="19642">
      <c r="A19642" s="4" t="str">
        <f>IFERROR(__xludf.DUMMYFUNCTION("""COMPUTED_VALUE"""),"cas_hmw")</f>
        <v>cas_hmw</v>
      </c>
      <c r="B19642" s="5">
        <f>IFERROR(__xludf.DUMMYFUNCTION("""COMPUTED_VALUE"""),44778.0)</f>
        <v>44778</v>
      </c>
      <c r="C19642" s="6">
        <f>IFERROR(__xludf.DUMMYFUNCTION("""COMPUTED_VALUE"""),0.6943287037029222)</f>
        <v>0.6943287037</v>
      </c>
      <c r="D19642" s="4">
        <f>IFERROR(__xludf.DUMMYFUNCTION("""COMPUTED_VALUE"""),12.90701)</f>
        <v>12.90701</v>
      </c>
      <c r="E19642" s="4">
        <f>IFERROR(__xludf.DUMMYFUNCTION("""COMPUTED_VALUE"""),80.096568)</f>
        <v>80.096568</v>
      </c>
      <c r="F19642" s="4">
        <f>IFERROR(__xludf.DUMMYFUNCTION("""COMPUTED_VALUE"""),5339.0)</f>
        <v>5339</v>
      </c>
      <c r="G19642" s="4">
        <f>IFERROR(__xludf.DUMMYFUNCTION("""COMPUTED_VALUE"""),38.0)</f>
        <v>38</v>
      </c>
      <c r="H19642" s="4"/>
      <c r="I19642" s="4"/>
    </row>
    <row r="19643">
      <c r="A19643" s="4" t="str">
        <f>IFERROR(__xludf.DUMMYFUNCTION("""COMPUTED_VALUE"""),"cas_hmw")</f>
        <v>cas_hmw</v>
      </c>
      <c r="B19643" s="5">
        <f>IFERROR(__xludf.DUMMYFUNCTION("""COMPUTED_VALUE"""),44778.0)</f>
        <v>44778</v>
      </c>
      <c r="C19643" s="6">
        <f>IFERROR(__xludf.DUMMYFUNCTION("""COMPUTED_VALUE"""),0.695555555554165)</f>
        <v>0.6955555556</v>
      </c>
      <c r="D19643" s="4">
        <f>IFERROR(__xludf.DUMMYFUNCTION("""COMPUTED_VALUE"""),12.912149)</f>
        <v>12.912149</v>
      </c>
      <c r="E19643" s="4">
        <f>IFERROR(__xludf.DUMMYFUNCTION("""COMPUTED_VALUE"""),80.101399)</f>
        <v>80.101399</v>
      </c>
      <c r="F19643" s="4">
        <f>IFERROR(__xludf.DUMMYFUNCTION("""COMPUTED_VALUE"""),805.0)</f>
        <v>805</v>
      </c>
      <c r="G19643" s="4">
        <f>IFERROR(__xludf.DUMMYFUNCTION("""COMPUTED_VALUE"""),33.0)</f>
        <v>33</v>
      </c>
      <c r="H19643" s="4"/>
      <c r="I19643" s="4"/>
    </row>
    <row r="19644">
      <c r="A19644" s="4" t="str">
        <f>IFERROR(__xludf.DUMMYFUNCTION("""COMPUTED_VALUE"""),"cas_hmw")</f>
        <v>cas_hmw</v>
      </c>
      <c r="B19644" s="5">
        <f>IFERROR(__xludf.DUMMYFUNCTION("""COMPUTED_VALUE"""),44778.0)</f>
        <v>44778</v>
      </c>
      <c r="C19644" s="6">
        <f>IFERROR(__xludf.DUMMYFUNCTION("""COMPUTED_VALUE"""),0.6956134259271494)</f>
        <v>0.6956134259</v>
      </c>
      <c r="D19644" s="4">
        <f>IFERROR(__xludf.DUMMYFUNCTION("""COMPUTED_VALUE"""),12.911422)</f>
        <v>12.911422</v>
      </c>
      <c r="E19644" s="4">
        <f>IFERROR(__xludf.DUMMYFUNCTION("""COMPUTED_VALUE"""),80.101212)</f>
        <v>80.101212</v>
      </c>
      <c r="F19644" s="4">
        <f>IFERROR(__xludf.DUMMYFUNCTION("""COMPUTED_VALUE"""),5339.0)</f>
        <v>5339</v>
      </c>
      <c r="G19644" s="4">
        <f>IFERROR(__xludf.DUMMYFUNCTION("""COMPUTED_VALUE"""),12.0)</f>
        <v>12</v>
      </c>
      <c r="H19644" s="4"/>
      <c r="I19644" s="4"/>
    </row>
    <row r="19645">
      <c r="A19645" s="4" t="str">
        <f>IFERROR(__xludf.DUMMYFUNCTION("""COMPUTED_VALUE"""),"cas_hmw")</f>
        <v>cas_hmw</v>
      </c>
      <c r="B19645" s="5">
        <f>IFERROR(__xludf.DUMMYFUNCTION("""COMPUTED_VALUE"""),44778.0)</f>
        <v>44778</v>
      </c>
      <c r="C19645" s="6">
        <f>IFERROR(__xludf.DUMMYFUNCTION("""COMPUTED_VALUE"""),0.6956944444427791)</f>
        <v>0.6956944444</v>
      </c>
      <c r="D19645" s="4">
        <f>IFERROR(__xludf.DUMMYFUNCTION("""COMPUTED_VALUE"""),12.917053)</f>
        <v>12.917053</v>
      </c>
      <c r="E19645" s="4">
        <f>IFERROR(__xludf.DUMMYFUNCTION("""COMPUTED_VALUE"""),80.079965)</f>
        <v>80.079965</v>
      </c>
      <c r="F19645" s="4">
        <f>IFERROR(__xludf.DUMMYFUNCTION("""COMPUTED_VALUE"""),3143.0)</f>
        <v>3143</v>
      </c>
      <c r="G19645" s="4">
        <f>IFERROR(__xludf.DUMMYFUNCTION("""COMPUTED_VALUE"""),21.0)</f>
        <v>21</v>
      </c>
      <c r="H19645" s="4"/>
      <c r="I19645" s="4"/>
    </row>
    <row r="19646">
      <c r="A19646" s="4" t="str">
        <f>IFERROR(__xludf.DUMMYFUNCTION("""COMPUTED_VALUE"""),"cas_hmw")</f>
        <v>cas_hmw</v>
      </c>
      <c r="B19646" s="5">
        <f>IFERROR(__xludf.DUMMYFUNCTION("""COMPUTED_VALUE"""),44778.0)</f>
        <v>44778</v>
      </c>
      <c r="C19646" s="6">
        <f>IFERROR(__xludf.DUMMYFUNCTION("""COMPUTED_VALUE"""),0.6957870370388264)</f>
        <v>0.695787037</v>
      </c>
      <c r="D19646" s="4">
        <f>IFERROR(__xludf.DUMMYFUNCTION("""COMPUTED_VALUE"""),12.843568)</f>
        <v>12.843568</v>
      </c>
      <c r="E19646" s="4">
        <f>IFERROR(__xludf.DUMMYFUNCTION("""COMPUTED_VALUE"""),80.05955)</f>
        <v>80.05955</v>
      </c>
      <c r="F19646" s="4">
        <f>IFERROR(__xludf.DUMMYFUNCTION("""COMPUTED_VALUE"""),2846.0)</f>
        <v>2846</v>
      </c>
      <c r="G19646" s="4">
        <f>IFERROR(__xludf.DUMMYFUNCTION("""COMPUTED_VALUE"""),19.0)</f>
        <v>19</v>
      </c>
      <c r="H19646" s="4"/>
      <c r="I19646" s="4"/>
    </row>
    <row r="19647">
      <c r="A19647" s="4" t="str">
        <f>IFERROR(__xludf.DUMMYFUNCTION("""COMPUTED_VALUE"""),"cas_hmw")</f>
        <v>cas_hmw</v>
      </c>
      <c r="B19647" s="5">
        <f>IFERROR(__xludf.DUMMYFUNCTION("""COMPUTED_VALUE"""),44778.0)</f>
        <v>44778</v>
      </c>
      <c r="C19647" s="6">
        <f>IFERROR(__xludf.DUMMYFUNCTION("""COMPUTED_VALUE"""),0.6959027777775191)</f>
        <v>0.6959027778</v>
      </c>
      <c r="D19647" s="4">
        <f>IFERROR(__xludf.DUMMYFUNCTION("""COMPUTED_VALUE"""),12.915456)</f>
        <v>12.915456</v>
      </c>
      <c r="E19647" s="4">
        <f>IFERROR(__xludf.DUMMYFUNCTION("""COMPUTED_VALUE"""),80.10263)</f>
        <v>80.10263</v>
      </c>
      <c r="F19647" s="4">
        <f>IFERROR(__xludf.DUMMYFUNCTION("""COMPUTED_VALUE"""),805.0)</f>
        <v>805</v>
      </c>
      <c r="G19647" s="4">
        <f>IFERROR(__xludf.DUMMYFUNCTION("""COMPUTED_VALUE"""),61.0)</f>
        <v>61</v>
      </c>
      <c r="H19647" s="4"/>
      <c r="I19647" s="4"/>
    </row>
    <row r="19648">
      <c r="A19648" s="4" t="str">
        <f>IFERROR(__xludf.DUMMYFUNCTION("""COMPUTED_VALUE"""),"cas_hmw")</f>
        <v>cas_hmw</v>
      </c>
      <c r="B19648" s="5">
        <f>IFERROR(__xludf.DUMMYFUNCTION("""COMPUTED_VALUE"""),44778.0)</f>
        <v>44778</v>
      </c>
      <c r="C19648" s="6">
        <f>IFERROR(__xludf.DUMMYFUNCTION("""COMPUTED_VALUE"""),0.6962037037046684)</f>
        <v>0.6962037037</v>
      </c>
      <c r="D19648" s="4">
        <f>IFERROR(__xludf.DUMMYFUNCTION("""COMPUTED_VALUE"""),12.915851)</f>
        <v>12.915851</v>
      </c>
      <c r="E19648" s="4">
        <f>IFERROR(__xludf.DUMMYFUNCTION("""COMPUTED_VALUE"""),80.10489)</f>
        <v>80.10489</v>
      </c>
      <c r="F19648" s="4">
        <f>IFERROR(__xludf.DUMMYFUNCTION("""COMPUTED_VALUE"""),5339.0)</f>
        <v>5339</v>
      </c>
      <c r="G19648" s="4">
        <f>IFERROR(__xludf.DUMMYFUNCTION("""COMPUTED_VALUE"""),56.0)</f>
        <v>56</v>
      </c>
      <c r="H19648" s="4"/>
      <c r="I19648" s="4"/>
    </row>
    <row r="19649">
      <c r="A19649" s="4" t="str">
        <f>IFERROR(__xludf.DUMMYFUNCTION("""COMPUTED_VALUE"""),"cas_hmw")</f>
        <v>cas_hmw</v>
      </c>
      <c r="B19649" s="5">
        <f>IFERROR(__xludf.DUMMYFUNCTION("""COMPUTED_VALUE"""),44778.0)</f>
        <v>44778</v>
      </c>
      <c r="C19649" s="6">
        <f>IFERROR(__xludf.DUMMYFUNCTION("""COMPUTED_VALUE"""),0.6963310185201408)</f>
        <v>0.6963310185</v>
      </c>
      <c r="D19649" s="4">
        <f>IFERROR(__xludf.DUMMYFUNCTION("""COMPUTED_VALUE"""),12.839938)</f>
        <v>12.839938</v>
      </c>
      <c r="E19649" s="4">
        <f>IFERROR(__xludf.DUMMYFUNCTION("""COMPUTED_VALUE"""),80.055674)</f>
        <v>80.055674</v>
      </c>
      <c r="F19649" s="4">
        <f>IFERROR(__xludf.DUMMYFUNCTION("""COMPUTED_VALUE"""),2846.0)</f>
        <v>2846</v>
      </c>
      <c r="G19649" s="4">
        <f>IFERROR(__xludf.DUMMYFUNCTION("""COMPUTED_VALUE"""),49.0)</f>
        <v>49</v>
      </c>
      <c r="H19649" s="4"/>
      <c r="I19649" s="4"/>
    </row>
    <row r="19650">
      <c r="A19650" s="4" t="str">
        <f>IFERROR(__xludf.DUMMYFUNCTION("""COMPUTED_VALUE"""),"cas_hmw")</f>
        <v>cas_hmw</v>
      </c>
      <c r="B19650" s="5">
        <f>IFERROR(__xludf.DUMMYFUNCTION("""COMPUTED_VALUE"""),44778.0)</f>
        <v>44778</v>
      </c>
      <c r="C19650" s="6">
        <f>IFERROR(__xludf.DUMMYFUNCTION("""COMPUTED_VALUE"""),0.6966550925935735)</f>
        <v>0.6966550926</v>
      </c>
      <c r="D19650" s="4">
        <f>IFERROR(__xludf.DUMMYFUNCTION("""COMPUTED_VALUE"""),12.917114)</f>
        <v>12.917114</v>
      </c>
      <c r="E19650" s="4">
        <f>IFERROR(__xludf.DUMMYFUNCTION("""COMPUTED_VALUE"""),80.107271)</f>
        <v>80.107271</v>
      </c>
      <c r="F19650" s="4">
        <f>IFERROR(__xludf.DUMMYFUNCTION("""COMPUTED_VALUE"""),805.0)</f>
        <v>805</v>
      </c>
      <c r="G19650" s="4">
        <f>IFERROR(__xludf.DUMMYFUNCTION("""COMPUTED_VALUE"""),22.0)</f>
        <v>22</v>
      </c>
      <c r="H19650" s="4"/>
      <c r="I19650" s="4"/>
    </row>
    <row r="19651">
      <c r="A19651" s="4" t="str">
        <f>IFERROR(__xludf.DUMMYFUNCTION("""COMPUTED_VALUE"""),"cas_hmw")</f>
        <v>cas_hmw</v>
      </c>
      <c r="B19651" s="5">
        <f>IFERROR(__xludf.DUMMYFUNCTION("""COMPUTED_VALUE"""),44778.0)</f>
        <v>44778</v>
      </c>
      <c r="C19651" s="6">
        <f>IFERROR(__xludf.DUMMYFUNCTION("""COMPUTED_VALUE"""),0.6967129629629198)</f>
        <v>0.696712963</v>
      </c>
      <c r="D19651" s="4">
        <f>IFERROR(__xludf.DUMMYFUNCTION("""COMPUTED_VALUE"""),12.916671)</f>
        <v>12.916671</v>
      </c>
      <c r="E19651" s="4">
        <f>IFERROR(__xludf.DUMMYFUNCTION("""COMPUTED_VALUE"""),80.106476)</f>
        <v>80.106476</v>
      </c>
      <c r="F19651" s="4">
        <f>IFERROR(__xludf.DUMMYFUNCTION("""COMPUTED_VALUE"""),5339.0)</f>
        <v>5339</v>
      </c>
      <c r="G19651" s="4">
        <f>IFERROR(__xludf.DUMMYFUNCTION("""COMPUTED_VALUE"""),0.0)</f>
        <v>0</v>
      </c>
      <c r="H19651" s="4"/>
      <c r="I19651" s="4"/>
    </row>
    <row r="19652">
      <c r="A19652" s="4" t="str">
        <f>IFERROR(__xludf.DUMMYFUNCTION("""COMPUTED_VALUE"""),"cas_hmw")</f>
        <v>cas_hmw</v>
      </c>
      <c r="B19652" s="5">
        <f>IFERROR(__xludf.DUMMYFUNCTION("""COMPUTED_VALUE"""),44778.0)</f>
        <v>44778</v>
      </c>
      <c r="C19652" s="6">
        <f>IFERROR(__xludf.DUMMYFUNCTION("""COMPUTED_VALUE"""),0.6967245370360615)</f>
        <v>0.696724537</v>
      </c>
      <c r="D19652" s="4">
        <f>IFERROR(__xludf.DUMMYFUNCTION("""COMPUTED_VALUE"""),12.916805)</f>
        <v>12.916805</v>
      </c>
      <c r="E19652" s="4">
        <f>IFERROR(__xludf.DUMMYFUNCTION("""COMPUTED_VALUE"""),80.106673)</f>
        <v>80.106673</v>
      </c>
      <c r="F19652" s="4">
        <f>IFERROR(__xludf.DUMMYFUNCTION("""COMPUTED_VALUE"""),5339.0)</f>
        <v>5339</v>
      </c>
      <c r="G19652" s="4">
        <f>IFERROR(__xludf.DUMMYFUNCTION("""COMPUTED_VALUE"""),22.0)</f>
        <v>22</v>
      </c>
      <c r="H19652" s="4"/>
      <c r="I19652" s="4"/>
    </row>
    <row r="19653">
      <c r="A19653" s="4" t="str">
        <f>IFERROR(__xludf.DUMMYFUNCTION("""COMPUTED_VALUE"""),"cas_hmw")</f>
        <v>cas_hmw</v>
      </c>
      <c r="B19653" s="5">
        <f>IFERROR(__xludf.DUMMYFUNCTION("""COMPUTED_VALUE"""),44778.0)</f>
        <v>44778</v>
      </c>
      <c r="C19653" s="6">
        <f>IFERROR(__xludf.DUMMYFUNCTION("""COMPUTED_VALUE"""),0.6970370370363526)</f>
        <v>0.697037037</v>
      </c>
      <c r="D19653" s="4">
        <f>IFERROR(__xludf.DUMMYFUNCTION("""COMPUTED_VALUE"""),12.919516)</f>
        <v>12.919516</v>
      </c>
      <c r="E19653" s="4">
        <f>IFERROR(__xludf.DUMMYFUNCTION("""COMPUTED_VALUE"""),80.110379)</f>
        <v>80.110379</v>
      </c>
      <c r="F19653" s="4">
        <f>IFERROR(__xludf.DUMMYFUNCTION("""COMPUTED_VALUE"""),805.0)</f>
        <v>805</v>
      </c>
      <c r="G19653" s="4">
        <f>IFERROR(__xludf.DUMMYFUNCTION("""COMPUTED_VALUE"""),45.0)</f>
        <v>45</v>
      </c>
      <c r="H19653" s="4"/>
      <c r="I19653" s="4"/>
    </row>
    <row r="19654">
      <c r="A19654" s="4" t="str">
        <f>IFERROR(__xludf.DUMMYFUNCTION("""COMPUTED_VALUE"""),"cas_hmw")</f>
        <v>cas_hmw</v>
      </c>
      <c r="B19654" s="5">
        <f>IFERROR(__xludf.DUMMYFUNCTION("""COMPUTED_VALUE"""),44778.0)</f>
        <v>44778</v>
      </c>
      <c r="C19654" s="6">
        <f>IFERROR(__xludf.DUMMYFUNCTION("""COMPUTED_VALUE"""),0.6974189814827696)</f>
        <v>0.6974189815</v>
      </c>
      <c r="D19654" s="4">
        <f>IFERROR(__xludf.DUMMYFUNCTION("""COMPUTED_VALUE"""),12.919281)</f>
        <v>12.919281</v>
      </c>
      <c r="E19654" s="4">
        <f>IFERROR(__xludf.DUMMYFUNCTION("""COMPUTED_VALUE"""),80.110074)</f>
        <v>80.110074</v>
      </c>
      <c r="F19654" s="4">
        <f>IFERROR(__xludf.DUMMYFUNCTION("""COMPUTED_VALUE"""),5339.0)</f>
        <v>5339</v>
      </c>
      <c r="G19654" s="4">
        <f>IFERROR(__xludf.DUMMYFUNCTION("""COMPUTED_VALUE"""),38.0)</f>
        <v>38</v>
      </c>
      <c r="H19654" s="4"/>
      <c r="I19654" s="4"/>
    </row>
    <row r="19655">
      <c r="A19655" s="4" t="str">
        <f>IFERROR(__xludf.DUMMYFUNCTION("""COMPUTED_VALUE"""),"cas_hmw")</f>
        <v>cas_hmw</v>
      </c>
      <c r="B19655" s="5">
        <f>IFERROR(__xludf.DUMMYFUNCTION("""COMPUTED_VALUE"""),44778.0)</f>
        <v>44778</v>
      </c>
      <c r="C19655" s="6">
        <f>IFERROR(__xludf.DUMMYFUNCTION("""COMPUTED_VALUE"""),0.697754629629344)</f>
        <v>0.6977546296</v>
      </c>
      <c r="D19655" s="4">
        <f>IFERROR(__xludf.DUMMYFUNCTION("""COMPUTED_VALUE"""),12.924592)</f>
        <v>12.924592</v>
      </c>
      <c r="E19655" s="4">
        <f>IFERROR(__xludf.DUMMYFUNCTION("""COMPUTED_VALUE"""),80.11564)</f>
        <v>80.11564</v>
      </c>
      <c r="F19655" s="4">
        <f>IFERROR(__xludf.DUMMYFUNCTION("""COMPUTED_VALUE"""),805.0)</f>
        <v>805</v>
      </c>
      <c r="G19655" s="4">
        <f>IFERROR(__xludf.DUMMYFUNCTION("""COMPUTED_VALUE"""),61.0)</f>
        <v>61</v>
      </c>
      <c r="H19655" s="4"/>
      <c r="I19655" s="4"/>
    </row>
    <row r="19656">
      <c r="A19656" s="4" t="str">
        <f>IFERROR(__xludf.DUMMYFUNCTION("""COMPUTED_VALUE"""),"cas_hmw")</f>
        <v>cas_hmw</v>
      </c>
      <c r="B19656" s="5">
        <f>IFERROR(__xludf.DUMMYFUNCTION("""COMPUTED_VALUE"""),44778.0)</f>
        <v>44778</v>
      </c>
      <c r="C19656" s="6">
        <f>IFERROR(__xludf.DUMMYFUNCTION("""COMPUTED_VALUE"""),0.6978124999986903)</f>
        <v>0.6978125</v>
      </c>
      <c r="D19656" s="4">
        <f>IFERROR(__xludf.DUMMYFUNCTION("""COMPUTED_VALUE"""),12.924592)</f>
        <v>12.924592</v>
      </c>
      <c r="E19656" s="4">
        <f>IFERROR(__xludf.DUMMYFUNCTION("""COMPUTED_VALUE"""),80.11564)</f>
        <v>80.11564</v>
      </c>
      <c r="F19656" s="4">
        <f>IFERROR(__xludf.DUMMYFUNCTION("""COMPUTED_VALUE"""),805.0)</f>
        <v>805</v>
      </c>
      <c r="G19656" s="4">
        <f>IFERROR(__xludf.DUMMYFUNCTION("""COMPUTED_VALUE"""),61.0)</f>
        <v>61</v>
      </c>
      <c r="H19656" s="4"/>
      <c r="I19656" s="4"/>
    </row>
    <row r="19657">
      <c r="A19657" s="4" t="str">
        <f>IFERROR(__xludf.DUMMYFUNCTION("""COMPUTED_VALUE"""),"cas_hmw")</f>
        <v>cas_hmw</v>
      </c>
      <c r="B19657" s="5">
        <f>IFERROR(__xludf.DUMMYFUNCTION("""COMPUTED_VALUE"""),44778.0)</f>
        <v>44778</v>
      </c>
      <c r="C19657" s="6">
        <f>IFERROR(__xludf.DUMMYFUNCTION("""COMPUTED_VALUE"""),0.6992013888884685)</f>
        <v>0.6992013889</v>
      </c>
      <c r="D19657" s="4">
        <f>IFERROR(__xludf.DUMMYFUNCTION("""COMPUTED_VALUE"""),12.927649)</f>
        <v>12.927649</v>
      </c>
      <c r="E19657" s="4">
        <f>IFERROR(__xludf.DUMMYFUNCTION("""COMPUTED_VALUE"""),80.11874)</f>
        <v>80.11874</v>
      </c>
      <c r="F19657" s="4">
        <f>IFERROR(__xludf.DUMMYFUNCTION("""COMPUTED_VALUE"""),805.0)</f>
        <v>805</v>
      </c>
      <c r="G19657" s="4">
        <f>IFERROR(__xludf.DUMMYFUNCTION("""COMPUTED_VALUE"""),28.0)</f>
        <v>28</v>
      </c>
      <c r="H19657" s="4"/>
      <c r="I19657" s="4"/>
    </row>
    <row r="19658">
      <c r="A19658" s="4" t="str">
        <f>IFERROR(__xludf.DUMMYFUNCTION("""COMPUTED_VALUE"""),"cas_hmw")</f>
        <v>cas_hmw</v>
      </c>
      <c r="B19658" s="5">
        <f>IFERROR(__xludf.DUMMYFUNCTION("""COMPUTED_VALUE"""),44778.0)</f>
        <v>44778</v>
      </c>
      <c r="C19658" s="6">
        <f>IFERROR(__xludf.DUMMYFUNCTION("""COMPUTED_VALUE"""),0.6992361111115315)</f>
        <v>0.6992361111</v>
      </c>
      <c r="D19658" s="4">
        <f>IFERROR(__xludf.DUMMYFUNCTION("""COMPUTED_VALUE"""),12.927649)</f>
        <v>12.927649</v>
      </c>
      <c r="E19658" s="4">
        <f>IFERROR(__xludf.DUMMYFUNCTION("""COMPUTED_VALUE"""),80.11874)</f>
        <v>80.11874</v>
      </c>
      <c r="F19658" s="4">
        <f>IFERROR(__xludf.DUMMYFUNCTION("""COMPUTED_VALUE"""),805.0)</f>
        <v>805</v>
      </c>
      <c r="G19658" s="4">
        <f>IFERROR(__xludf.DUMMYFUNCTION("""COMPUTED_VALUE"""),28.0)</f>
        <v>28</v>
      </c>
      <c r="H19658" s="4"/>
      <c r="I19658" s="4"/>
    </row>
    <row r="19659">
      <c r="A19659" s="4" t="str">
        <f>IFERROR(__xludf.DUMMYFUNCTION("""COMPUTED_VALUE"""),"cas_hmw")</f>
        <v>cas_hmw</v>
      </c>
      <c r="B19659" s="5">
        <f>IFERROR(__xludf.DUMMYFUNCTION("""COMPUTED_VALUE"""),44778.0)</f>
        <v>44778</v>
      </c>
      <c r="C19659" s="6">
        <f>IFERROR(__xludf.DUMMYFUNCTION("""COMPUTED_VALUE"""),0.7013773148137261)</f>
        <v>0.7013773148</v>
      </c>
      <c r="D19659" s="4">
        <f>IFERROR(__xludf.DUMMYFUNCTION("""COMPUTED_VALUE"""),12.795339)</f>
        <v>12.795339</v>
      </c>
      <c r="E19659" s="4">
        <f>IFERROR(__xludf.DUMMYFUNCTION("""COMPUTED_VALUE"""),80.020438)</f>
        <v>80.020438</v>
      </c>
      <c r="F19659" s="4">
        <f>IFERROR(__xludf.DUMMYFUNCTION("""COMPUTED_VALUE"""),2846.0)</f>
        <v>2846</v>
      </c>
      <c r="G19659" s="4">
        <f>IFERROR(__xludf.DUMMYFUNCTION("""COMPUTED_VALUE"""),34.0)</f>
        <v>34</v>
      </c>
      <c r="H19659" s="4"/>
      <c r="I19659" s="4"/>
    </row>
    <row r="19660">
      <c r="A19660" s="4" t="str">
        <f>IFERROR(__xludf.DUMMYFUNCTION("""COMPUTED_VALUE"""),"cas_hmw")</f>
        <v>cas_hmw</v>
      </c>
      <c r="B19660" s="5">
        <f>IFERROR(__xludf.DUMMYFUNCTION("""COMPUTED_VALUE"""),44778.0)</f>
        <v>44778</v>
      </c>
      <c r="C19660" s="6">
        <f>IFERROR(__xludf.DUMMYFUNCTION("""COMPUTED_VALUE"""),0.7014004629636474)</f>
        <v>0.701400463</v>
      </c>
      <c r="D19660" s="4">
        <f>IFERROR(__xludf.DUMMYFUNCTION("""COMPUTED_VALUE"""),12.939789)</f>
        <v>12.939789</v>
      </c>
      <c r="E19660" s="4">
        <f>IFERROR(__xludf.DUMMYFUNCTION("""COMPUTED_VALUE"""),80.130236)</f>
        <v>80.130236</v>
      </c>
      <c r="F19660" s="4">
        <f>IFERROR(__xludf.DUMMYFUNCTION("""COMPUTED_VALUE"""),805.0)</f>
        <v>805</v>
      </c>
      <c r="G19660" s="4">
        <f>IFERROR(__xludf.DUMMYFUNCTION("""COMPUTED_VALUE"""),58.0)</f>
        <v>58</v>
      </c>
      <c r="H19660" s="4"/>
      <c r="I19660" s="4"/>
    </row>
    <row r="19661">
      <c r="A19661" s="4" t="str">
        <f>IFERROR(__xludf.DUMMYFUNCTION("""COMPUTED_VALUE"""),"cas_hmw")</f>
        <v>cas_hmw</v>
      </c>
      <c r="B19661" s="5">
        <f>IFERROR(__xludf.DUMMYFUNCTION("""COMPUTED_VALUE"""),44778.0)</f>
        <v>44778</v>
      </c>
      <c r="C19661" s="6">
        <f>IFERROR(__xludf.DUMMYFUNCTION("""COMPUTED_VALUE"""),0.7020717592604342)</f>
        <v>0.7020717593</v>
      </c>
      <c r="D19661" s="4">
        <f>IFERROR(__xludf.DUMMYFUNCTION("""COMPUTED_VALUE"""),12.945975)</f>
        <v>12.945975</v>
      </c>
      <c r="E19661" s="4">
        <f>IFERROR(__xludf.DUMMYFUNCTION("""COMPUTED_VALUE"""),80.13603)</f>
        <v>80.13603</v>
      </c>
      <c r="F19661" s="4">
        <f>IFERROR(__xludf.DUMMYFUNCTION("""COMPUTED_VALUE"""),805.0)</f>
        <v>805</v>
      </c>
      <c r="G19661" s="4">
        <f>IFERROR(__xludf.DUMMYFUNCTION("""COMPUTED_VALUE"""),54.0)</f>
        <v>54</v>
      </c>
      <c r="H19661" s="4"/>
      <c r="I19661" s="4"/>
    </row>
    <row r="19662">
      <c r="A19662" s="4" t="str">
        <f>IFERROR(__xludf.DUMMYFUNCTION("""COMPUTED_VALUE"""),"cas_hmw")</f>
        <v>cas_hmw</v>
      </c>
      <c r="B19662" s="5">
        <f>IFERROR(__xludf.DUMMYFUNCTION("""COMPUTED_VALUE"""),44778.0)</f>
        <v>44778</v>
      </c>
      <c r="C19662" s="6">
        <f>IFERROR(__xludf.DUMMYFUNCTION("""COMPUTED_VALUE"""),0.7021643518528435)</f>
        <v>0.7021643519</v>
      </c>
      <c r="D19662" s="4">
        <f>IFERROR(__xludf.DUMMYFUNCTION("""COMPUTED_VALUE"""),12.938594)</f>
        <v>12.938594</v>
      </c>
      <c r="E19662" s="4">
        <f>IFERROR(__xludf.DUMMYFUNCTION("""COMPUTED_VALUE"""),80.129202)</f>
        <v>80.129202</v>
      </c>
      <c r="F19662" s="4">
        <f>IFERROR(__xludf.DUMMYFUNCTION("""COMPUTED_VALUE"""),5339.0)</f>
        <v>5339</v>
      </c>
      <c r="G19662" s="4">
        <f>IFERROR(__xludf.DUMMYFUNCTION("""COMPUTED_VALUE"""),61.0)</f>
        <v>61</v>
      </c>
      <c r="H19662" s="4"/>
      <c r="I19662" s="4"/>
    </row>
    <row r="19663">
      <c r="A19663" s="4" t="str">
        <f>IFERROR(__xludf.DUMMYFUNCTION("""COMPUTED_VALUE"""),"cas_hmw")</f>
        <v>cas_hmw</v>
      </c>
      <c r="B19663" s="5">
        <f>IFERROR(__xludf.DUMMYFUNCTION("""COMPUTED_VALUE"""),44778.0)</f>
        <v>44778</v>
      </c>
      <c r="C19663" s="6">
        <f>IFERROR(__xludf.DUMMYFUNCTION("""COMPUTED_VALUE"""),0.7022916666683159)</f>
        <v>0.7022916667</v>
      </c>
      <c r="D19663" s="4">
        <f>IFERROR(__xludf.DUMMYFUNCTION("""COMPUTED_VALUE"""),12.947488)</f>
        <v>12.947488</v>
      </c>
      <c r="E19663" s="4">
        <f>IFERROR(__xludf.DUMMYFUNCTION("""COMPUTED_VALUE"""),80.137165)</f>
        <v>80.137165</v>
      </c>
      <c r="F19663" s="4">
        <f>IFERROR(__xludf.DUMMYFUNCTION("""COMPUTED_VALUE"""),805.0)</f>
        <v>805</v>
      </c>
      <c r="G19663" s="4">
        <f>IFERROR(__xludf.DUMMYFUNCTION("""COMPUTED_VALUE"""),42.0)</f>
        <v>42</v>
      </c>
      <c r="H19663" s="4"/>
      <c r="I19663" s="4"/>
    </row>
    <row r="19664">
      <c r="A19664" s="4" t="str">
        <f>IFERROR(__xludf.DUMMYFUNCTION("""COMPUTED_VALUE"""),"cas_hmw")</f>
        <v>cas_hmw</v>
      </c>
      <c r="B19664" s="5">
        <f>IFERROR(__xludf.DUMMYFUNCTION("""COMPUTED_VALUE"""),44778.0)</f>
        <v>44778</v>
      </c>
      <c r="C19664" s="6">
        <f>IFERROR(__xludf.DUMMYFUNCTION("""COMPUTED_VALUE"""),0.7025694444455439)</f>
        <v>0.7025694444</v>
      </c>
      <c r="D19664" s="4">
        <f>IFERROR(__xludf.DUMMYFUNCTION("""COMPUTED_VALUE"""),12.942124)</f>
        <v>12.942124</v>
      </c>
      <c r="E19664" s="4">
        <f>IFERROR(__xludf.DUMMYFUNCTION("""COMPUTED_VALUE"""),80.132652)</f>
        <v>80.132652</v>
      </c>
      <c r="F19664" s="4">
        <f>IFERROR(__xludf.DUMMYFUNCTION("""COMPUTED_VALUE"""),5339.0)</f>
        <v>5339</v>
      </c>
      <c r="G19664" s="4">
        <f>IFERROR(__xludf.DUMMYFUNCTION("""COMPUTED_VALUE"""),59.0)</f>
        <v>59</v>
      </c>
      <c r="H19664" s="4"/>
      <c r="I19664" s="4"/>
    </row>
    <row r="19665">
      <c r="A19665" s="4" t="str">
        <f>IFERROR(__xludf.DUMMYFUNCTION("""COMPUTED_VALUE"""),"cas_hmw")</f>
        <v>cas_hmw</v>
      </c>
      <c r="B19665" s="5">
        <f>IFERROR(__xludf.DUMMYFUNCTION("""COMPUTED_VALUE"""),44778.0)</f>
        <v>44778</v>
      </c>
      <c r="C19665" s="6">
        <f>IFERROR(__xludf.DUMMYFUNCTION("""COMPUTED_VALUE"""),0.7029629629614647)</f>
        <v>0.702962963</v>
      </c>
      <c r="D19665" s="4">
        <f>IFERROR(__xludf.DUMMYFUNCTION("""COMPUTED_VALUE"""),12.951246)</f>
        <v>12.951246</v>
      </c>
      <c r="E19665" s="4">
        <f>IFERROR(__xludf.DUMMYFUNCTION("""COMPUTED_VALUE"""),80.140065)</f>
        <v>80.140065</v>
      </c>
      <c r="F19665" s="4">
        <f>IFERROR(__xludf.DUMMYFUNCTION("""COMPUTED_VALUE"""),805.0)</f>
        <v>805</v>
      </c>
      <c r="G19665" s="4">
        <f>IFERROR(__xludf.DUMMYFUNCTION("""COMPUTED_VALUE"""),19.0)</f>
        <v>19</v>
      </c>
      <c r="H19665" s="4"/>
      <c r="I19665" s="4"/>
    </row>
    <row r="19666">
      <c r="A19666" s="4" t="str">
        <f>IFERROR(__xludf.DUMMYFUNCTION("""COMPUTED_VALUE"""),"cas_hmw")</f>
        <v>cas_hmw</v>
      </c>
      <c r="B19666" s="5">
        <f>IFERROR(__xludf.DUMMYFUNCTION("""COMPUTED_VALUE"""),44778.0)</f>
        <v>44778</v>
      </c>
      <c r="C19666" s="6">
        <f>IFERROR(__xludf.DUMMYFUNCTION("""COMPUTED_VALUE"""),0.7035069444427791)</f>
        <v>0.7035069444</v>
      </c>
      <c r="D19666" s="4">
        <f>IFERROR(__xludf.DUMMYFUNCTION("""COMPUTED_VALUE"""),12.772787)</f>
        <v>12.772787</v>
      </c>
      <c r="E19666" s="4">
        <f>IFERROR(__xludf.DUMMYFUNCTION("""COMPUTED_VALUE"""),80.008621)</f>
        <v>80.008621</v>
      </c>
      <c r="F19666" s="4">
        <f>IFERROR(__xludf.DUMMYFUNCTION("""COMPUTED_VALUE"""),2846.0)</f>
        <v>2846</v>
      </c>
      <c r="G19666" s="4">
        <f>IFERROR(__xludf.DUMMYFUNCTION("""COMPUTED_VALUE"""),57.0)</f>
        <v>57</v>
      </c>
      <c r="H19666" s="4"/>
      <c r="I19666" s="4"/>
    </row>
    <row r="19667">
      <c r="A19667" s="4" t="str">
        <f>IFERROR(__xludf.DUMMYFUNCTION("""COMPUTED_VALUE"""),"cas_hmw")</f>
        <v>cas_hmw</v>
      </c>
      <c r="B19667" s="5">
        <f>IFERROR(__xludf.DUMMYFUNCTION("""COMPUTED_VALUE"""),44778.0)</f>
        <v>44778</v>
      </c>
      <c r="C19667" s="6">
        <f>IFERROR(__xludf.DUMMYFUNCTION("""COMPUTED_VALUE"""),0.7035416666658421)</f>
        <v>0.7035416667</v>
      </c>
      <c r="D19667" s="4">
        <f>IFERROR(__xludf.DUMMYFUNCTION("""COMPUTED_VALUE"""),12.772787)</f>
        <v>12.772787</v>
      </c>
      <c r="E19667" s="4">
        <f>IFERROR(__xludf.DUMMYFUNCTION("""COMPUTED_VALUE"""),80.008621)</f>
        <v>80.008621</v>
      </c>
      <c r="F19667" s="4">
        <f>IFERROR(__xludf.DUMMYFUNCTION("""COMPUTED_VALUE"""),2846.0)</f>
        <v>2846</v>
      </c>
      <c r="G19667" s="4">
        <f>IFERROR(__xludf.DUMMYFUNCTION("""COMPUTED_VALUE"""),57.0)</f>
        <v>57</v>
      </c>
      <c r="H19667" s="4"/>
      <c r="I19667" s="4"/>
    </row>
    <row r="19668">
      <c r="A19668" s="4" t="str">
        <f>IFERROR(__xludf.DUMMYFUNCTION("""COMPUTED_VALUE"""),"cas_hmw")</f>
        <v>cas_hmw</v>
      </c>
      <c r="B19668" s="5">
        <f>IFERROR(__xludf.DUMMYFUNCTION("""COMPUTED_VALUE"""),44778.0)</f>
        <v>44778</v>
      </c>
      <c r="C19668" s="6">
        <f>IFERROR(__xludf.DUMMYFUNCTION("""COMPUTED_VALUE"""),0.7036574074081727)</f>
        <v>0.7036574074</v>
      </c>
      <c r="D19668" s="4">
        <f>IFERROR(__xludf.DUMMYFUNCTION("""COMPUTED_VALUE"""),12.950204)</f>
        <v>12.950204</v>
      </c>
      <c r="E19668" s="4">
        <f>IFERROR(__xludf.DUMMYFUNCTION("""COMPUTED_VALUE"""),80.139272)</f>
        <v>80.139272</v>
      </c>
      <c r="F19668" s="4">
        <f>IFERROR(__xludf.DUMMYFUNCTION("""COMPUTED_VALUE"""),5339.0)</f>
        <v>5339</v>
      </c>
      <c r="G19668" s="4">
        <f>IFERROR(__xludf.DUMMYFUNCTION("""COMPUTED_VALUE"""),0.0)</f>
        <v>0</v>
      </c>
      <c r="H19668" s="4"/>
      <c r="I19668" s="4"/>
    </row>
    <row r="19669">
      <c r="A19669" s="4" t="str">
        <f>IFERROR(__xludf.DUMMYFUNCTION("""COMPUTED_VALUE"""),"cas_hmw")</f>
        <v>cas_hmw</v>
      </c>
      <c r="B19669" s="5">
        <f>IFERROR(__xludf.DUMMYFUNCTION("""COMPUTED_VALUE"""),44778.0)</f>
        <v>44778</v>
      </c>
      <c r="C19669" s="6">
        <f>IFERROR(__xludf.DUMMYFUNCTION("""COMPUTED_VALUE"""),0.7036574074081727)</f>
        <v>0.7036574074</v>
      </c>
      <c r="D19669" s="4">
        <f>IFERROR(__xludf.DUMMYFUNCTION("""COMPUTED_VALUE"""),12.950204)</f>
        <v>12.950204</v>
      </c>
      <c r="E19669" s="4">
        <f>IFERROR(__xludf.DUMMYFUNCTION("""COMPUTED_VALUE"""),80.139272)</f>
        <v>80.139272</v>
      </c>
      <c r="F19669" s="4">
        <f>IFERROR(__xludf.DUMMYFUNCTION("""COMPUTED_VALUE"""),5339.0)</f>
        <v>5339</v>
      </c>
      <c r="G19669" s="4">
        <f>IFERROR(__xludf.DUMMYFUNCTION("""COMPUTED_VALUE"""),0.0)</f>
        <v>0</v>
      </c>
      <c r="H19669" s="4"/>
      <c r="I19669" s="4"/>
    </row>
    <row r="19670">
      <c r="A19670" s="4" t="str">
        <f>IFERROR(__xludf.DUMMYFUNCTION("""COMPUTED_VALUE"""),"cas_hmw")</f>
        <v>cas_hmw</v>
      </c>
      <c r="B19670" s="5">
        <f>IFERROR(__xludf.DUMMYFUNCTION("""COMPUTED_VALUE"""),44778.0)</f>
        <v>44778</v>
      </c>
      <c r="C19670" s="6">
        <f>IFERROR(__xludf.DUMMYFUNCTION("""COMPUTED_VALUE"""),0.7037615740737238)</f>
        <v>0.7037615741</v>
      </c>
      <c r="D19670" s="4">
        <f>IFERROR(__xludf.DUMMYFUNCTION("""COMPUTED_VALUE"""),12.770982)</f>
        <v>12.770982</v>
      </c>
      <c r="E19670" s="4">
        <f>IFERROR(__xludf.DUMMYFUNCTION("""COMPUTED_VALUE"""),80.007796)</f>
        <v>80.007796</v>
      </c>
      <c r="F19670" s="4">
        <f>IFERROR(__xludf.DUMMYFUNCTION("""COMPUTED_VALUE"""),2846.0)</f>
        <v>2846</v>
      </c>
      <c r="G19670" s="4">
        <f>IFERROR(__xludf.DUMMYFUNCTION("""COMPUTED_VALUE"""),52.0)</f>
        <v>52</v>
      </c>
      <c r="H19670" s="4"/>
      <c r="I19670" s="4"/>
    </row>
    <row r="19671">
      <c r="A19671" s="4" t="str">
        <f>IFERROR(__xludf.DUMMYFUNCTION("""COMPUTED_VALUE"""),"cas_hmw")</f>
        <v>cas_hmw</v>
      </c>
      <c r="B19671" s="5">
        <f>IFERROR(__xludf.DUMMYFUNCTION("""COMPUTED_VALUE"""),44778.0)</f>
        <v>44778</v>
      </c>
      <c r="C19671" s="6">
        <f>IFERROR(__xludf.DUMMYFUNCTION("""COMPUTED_VALUE"""),0.7041319444433611)</f>
        <v>0.7041319444</v>
      </c>
      <c r="D19671" s="4">
        <f>IFERROR(__xludf.DUMMYFUNCTION("""COMPUTED_VALUE"""),12.76938)</f>
        <v>12.76938</v>
      </c>
      <c r="E19671" s="4">
        <f>IFERROR(__xludf.DUMMYFUNCTION("""COMPUTED_VALUE"""),80.006994)</f>
        <v>80.006994</v>
      </c>
      <c r="F19671" s="4">
        <f>IFERROR(__xludf.DUMMYFUNCTION("""COMPUTED_VALUE"""),2846.0)</f>
        <v>2846</v>
      </c>
      <c r="G19671" s="4">
        <f>IFERROR(__xludf.DUMMYFUNCTION("""COMPUTED_VALUE"""),38.0)</f>
        <v>38</v>
      </c>
      <c r="H19671" s="4"/>
      <c r="I19671" s="4"/>
    </row>
    <row r="19672">
      <c r="A19672" s="4" t="str">
        <f>IFERROR(__xludf.DUMMYFUNCTION("""COMPUTED_VALUE"""),"cas_hmw")</f>
        <v>cas_hmw</v>
      </c>
      <c r="B19672" s="5">
        <f>IFERROR(__xludf.DUMMYFUNCTION("""COMPUTED_VALUE"""),44778.0)</f>
        <v>44778</v>
      </c>
      <c r="C19672" s="6">
        <f>IFERROR(__xludf.DUMMYFUNCTION("""COMPUTED_VALUE"""),0.7046643518515339)</f>
        <v>0.7046643519</v>
      </c>
      <c r="D19672" s="4">
        <f>IFERROR(__xludf.DUMMYFUNCTION("""COMPUTED_VALUE"""),12.956104)</f>
        <v>12.956104</v>
      </c>
      <c r="E19672" s="4">
        <f>IFERROR(__xludf.DUMMYFUNCTION("""COMPUTED_VALUE"""),80.143036)</f>
        <v>80.143036</v>
      </c>
      <c r="F19672" s="4">
        <f>IFERROR(__xludf.DUMMYFUNCTION("""COMPUTED_VALUE"""),805.0)</f>
        <v>805</v>
      </c>
      <c r="G19672" s="4">
        <f>IFERROR(__xludf.DUMMYFUNCTION("""COMPUTED_VALUE"""),0.0)</f>
        <v>0</v>
      </c>
      <c r="H19672" s="4"/>
      <c r="I19672" s="4"/>
    </row>
    <row r="19673">
      <c r="A19673" s="4" t="str">
        <f>IFERROR(__xludf.DUMMYFUNCTION("""COMPUTED_VALUE"""),"cas_hmw")</f>
        <v>cas_hmw</v>
      </c>
      <c r="B19673" s="5">
        <f>IFERROR(__xludf.DUMMYFUNCTION("""COMPUTED_VALUE"""),44778.0)</f>
        <v>44778</v>
      </c>
      <c r="C19673" s="6">
        <f>IFERROR(__xludf.DUMMYFUNCTION("""COMPUTED_VALUE"""),0.7051273148135806)</f>
        <v>0.7051273148</v>
      </c>
      <c r="D19673" s="4">
        <f>IFERROR(__xludf.DUMMYFUNCTION("""COMPUTED_VALUE"""),12.959204)</f>
        <v>12.959204</v>
      </c>
      <c r="E19673" s="4">
        <f>IFERROR(__xludf.DUMMYFUNCTION("""COMPUTED_VALUE"""),80.144544)</f>
        <v>80.144544</v>
      </c>
      <c r="F19673" s="4">
        <f>IFERROR(__xludf.DUMMYFUNCTION("""COMPUTED_VALUE"""),805.0)</f>
        <v>805</v>
      </c>
      <c r="G19673" s="4">
        <f>IFERROR(__xludf.DUMMYFUNCTION("""COMPUTED_VALUE"""),39.0)</f>
        <v>39</v>
      </c>
      <c r="H19673" s="4"/>
      <c r="I19673" s="4"/>
    </row>
    <row r="19674">
      <c r="A19674" s="4" t="str">
        <f>IFERROR(__xludf.DUMMYFUNCTION("""COMPUTED_VALUE"""),"cas_hmw")</f>
        <v>cas_hmw</v>
      </c>
      <c r="B19674" s="5">
        <f>IFERROR(__xludf.DUMMYFUNCTION("""COMPUTED_VALUE"""),44778.0)</f>
        <v>44778</v>
      </c>
      <c r="C19674" s="6">
        <f>IFERROR(__xludf.DUMMYFUNCTION("""COMPUTED_VALUE"""),0.7052777777789743)</f>
        <v>0.7052777778</v>
      </c>
      <c r="D19674" s="4">
        <f>IFERROR(__xludf.DUMMYFUNCTION("""COMPUTED_VALUE"""),12.955911)</f>
        <v>12.955911</v>
      </c>
      <c r="E19674" s="4">
        <f>IFERROR(__xludf.DUMMYFUNCTION("""COMPUTED_VALUE"""),80.142907)</f>
        <v>80.142907</v>
      </c>
      <c r="F19674" s="4">
        <f>IFERROR(__xludf.DUMMYFUNCTION("""COMPUTED_VALUE"""),5339.0)</f>
        <v>5339</v>
      </c>
      <c r="G19674" s="4">
        <f>IFERROR(__xludf.DUMMYFUNCTION("""COMPUTED_VALUE"""),15.0)</f>
        <v>15</v>
      </c>
      <c r="H19674" s="4"/>
      <c r="I19674" s="4"/>
    </row>
    <row r="19675">
      <c r="A19675" s="4" t="str">
        <f>IFERROR(__xludf.DUMMYFUNCTION("""COMPUTED_VALUE"""),"cas_hmw")</f>
        <v>cas_hmw</v>
      </c>
      <c r="B19675" s="5">
        <f>IFERROR(__xludf.DUMMYFUNCTION("""COMPUTED_VALUE"""),44778.0)</f>
        <v>44778</v>
      </c>
      <c r="C19675" s="6">
        <f>IFERROR(__xludf.DUMMYFUNCTION("""COMPUTED_VALUE"""),0.7053703703713836)</f>
        <v>0.7053703704</v>
      </c>
      <c r="D19675" s="4">
        <f>IFERROR(__xludf.DUMMYFUNCTION("""COMPUTED_VALUE"""),12.955911)</f>
        <v>12.955911</v>
      </c>
      <c r="E19675" s="4">
        <f>IFERROR(__xludf.DUMMYFUNCTION("""COMPUTED_VALUE"""),80.142907)</f>
        <v>80.142907</v>
      </c>
      <c r="F19675" s="4">
        <f>IFERROR(__xludf.DUMMYFUNCTION("""COMPUTED_VALUE"""),5339.0)</f>
        <v>5339</v>
      </c>
      <c r="G19675" s="4">
        <f>IFERROR(__xludf.DUMMYFUNCTION("""COMPUTED_VALUE"""),15.0)</f>
        <v>15</v>
      </c>
      <c r="H19675" s="4"/>
      <c r="I19675" s="4"/>
    </row>
    <row r="19676">
      <c r="A19676" s="4" t="str">
        <f>IFERROR(__xludf.DUMMYFUNCTION("""COMPUTED_VALUE"""),"cas_hmw")</f>
        <v>cas_hmw</v>
      </c>
      <c r="B19676" s="5">
        <f>IFERROR(__xludf.DUMMYFUNCTION("""COMPUTED_VALUE"""),44778.0)</f>
        <v>44778</v>
      </c>
      <c r="C19676" s="6">
        <f>IFERROR(__xludf.DUMMYFUNCTION("""COMPUTED_VALUE"""),0.7053819444445253)</f>
        <v>0.7053819444</v>
      </c>
      <c r="D19676" s="4">
        <f>IFERROR(__xludf.DUMMYFUNCTION("""COMPUTED_VALUE"""),12.96124)</f>
        <v>12.96124</v>
      </c>
      <c r="E19676" s="4">
        <f>IFERROR(__xludf.DUMMYFUNCTION("""COMPUTED_VALUE"""),80.145642)</f>
        <v>80.145642</v>
      </c>
      <c r="F19676" s="4">
        <f>IFERROR(__xludf.DUMMYFUNCTION("""COMPUTED_VALUE"""),805.0)</f>
        <v>805</v>
      </c>
      <c r="G19676" s="4">
        <f>IFERROR(__xludf.DUMMYFUNCTION("""COMPUTED_VALUE"""),42.0)</f>
        <v>42</v>
      </c>
      <c r="H19676" s="4"/>
      <c r="I19676" s="4"/>
    </row>
    <row r="19677">
      <c r="A19677" s="4" t="str">
        <f>IFERROR(__xludf.DUMMYFUNCTION("""COMPUTED_VALUE"""),"cas_hmw")</f>
        <v>cas_hmw</v>
      </c>
      <c r="B19677" s="5">
        <f>IFERROR(__xludf.DUMMYFUNCTION("""COMPUTED_VALUE"""),44778.0)</f>
        <v>44778</v>
      </c>
      <c r="C19677" s="6">
        <f>IFERROR(__xludf.DUMMYFUNCTION("""COMPUTED_VALUE"""),0.705532407406281)</f>
        <v>0.7055324074</v>
      </c>
      <c r="D19677" s="4">
        <f>IFERROR(__xludf.DUMMYFUNCTION("""COMPUTED_VALUE"""),12.96124)</f>
        <v>12.96124</v>
      </c>
      <c r="E19677" s="4">
        <f>IFERROR(__xludf.DUMMYFUNCTION("""COMPUTED_VALUE"""),80.145642)</f>
        <v>80.145642</v>
      </c>
      <c r="F19677" s="4">
        <f>IFERROR(__xludf.DUMMYFUNCTION("""COMPUTED_VALUE"""),805.0)</f>
        <v>805</v>
      </c>
      <c r="G19677" s="4">
        <f>IFERROR(__xludf.DUMMYFUNCTION("""COMPUTED_VALUE"""),42.0)</f>
        <v>42</v>
      </c>
      <c r="H19677" s="4"/>
      <c r="I19677" s="4"/>
    </row>
    <row r="19678">
      <c r="A19678" s="4" t="str">
        <f>IFERROR(__xludf.DUMMYFUNCTION("""COMPUTED_VALUE"""),"cas_hmw")</f>
        <v>cas_hmw</v>
      </c>
      <c r="B19678" s="5">
        <f>IFERROR(__xludf.DUMMYFUNCTION("""COMPUTED_VALUE"""),44778.0)</f>
        <v>44778</v>
      </c>
      <c r="C19678" s="6">
        <f>IFERROR(__xludf.DUMMYFUNCTION("""COMPUTED_VALUE"""),0.7056828703716747)</f>
        <v>0.7056828704</v>
      </c>
      <c r="D19678" s="4">
        <f>IFERROR(__xludf.DUMMYFUNCTION("""COMPUTED_VALUE"""),12.962784)</f>
        <v>12.962784</v>
      </c>
      <c r="E19678" s="4">
        <f>IFERROR(__xludf.DUMMYFUNCTION("""COMPUTED_VALUE"""),80.14649)</f>
        <v>80.14649</v>
      </c>
      <c r="F19678" s="4">
        <f>IFERROR(__xludf.DUMMYFUNCTION("""COMPUTED_VALUE"""),805.0)</f>
        <v>805</v>
      </c>
      <c r="G19678" s="4">
        <f>IFERROR(__xludf.DUMMYFUNCTION("""COMPUTED_VALUE"""),46.0)</f>
        <v>46</v>
      </c>
      <c r="H19678" s="4"/>
      <c r="I19678" s="4"/>
    </row>
    <row r="19679">
      <c r="A19679" s="4" t="str">
        <f>IFERROR(__xludf.DUMMYFUNCTION("""COMPUTED_VALUE"""),"cas_hmw")</f>
        <v>cas_hmw</v>
      </c>
      <c r="B19679" s="5">
        <f>IFERROR(__xludf.DUMMYFUNCTION("""COMPUTED_VALUE"""),44778.0)</f>
        <v>44778</v>
      </c>
      <c r="C19679" s="6">
        <f>IFERROR(__xludf.DUMMYFUNCTION("""COMPUTED_VALUE"""),0.7064351851840911)</f>
        <v>0.7064351852</v>
      </c>
      <c r="D19679" s="4">
        <f>IFERROR(__xludf.DUMMYFUNCTION("""COMPUTED_VALUE"""),12.747865)</f>
        <v>12.747865</v>
      </c>
      <c r="E19679" s="4">
        <f>IFERROR(__xludf.DUMMYFUNCTION("""COMPUTED_VALUE"""),79.996284)</f>
        <v>79.996284</v>
      </c>
      <c r="F19679" s="4">
        <f>IFERROR(__xludf.DUMMYFUNCTION("""COMPUTED_VALUE"""),2846.0)</f>
        <v>2846</v>
      </c>
      <c r="G19679" s="4">
        <f>IFERROR(__xludf.DUMMYFUNCTION("""COMPUTED_VALUE"""),58.0)</f>
        <v>58</v>
      </c>
      <c r="H19679" s="4"/>
      <c r="I19679" s="4"/>
    </row>
    <row r="19680">
      <c r="A19680" s="4" t="str">
        <f>IFERROR(__xludf.DUMMYFUNCTION("""COMPUTED_VALUE"""),"cas_hmw")</f>
        <v>cas_hmw</v>
      </c>
      <c r="B19680" s="5">
        <f>IFERROR(__xludf.DUMMYFUNCTION("""COMPUTED_VALUE"""),44778.0)</f>
        <v>44778</v>
      </c>
      <c r="C19680" s="6">
        <f>IFERROR(__xludf.DUMMYFUNCTION("""COMPUTED_VALUE"""),0.7065393518532801)</f>
        <v>0.7065393519</v>
      </c>
      <c r="D19680" s="4">
        <f>IFERROR(__xludf.DUMMYFUNCTION("""COMPUTED_VALUE"""),12.970787)</f>
        <v>12.970787</v>
      </c>
      <c r="E19680" s="4">
        <f>IFERROR(__xludf.DUMMYFUNCTION("""COMPUTED_VALUE"""),80.15074)</f>
        <v>80.15074</v>
      </c>
      <c r="F19680" s="4">
        <f>IFERROR(__xludf.DUMMYFUNCTION("""COMPUTED_VALUE"""),805.0)</f>
        <v>805</v>
      </c>
      <c r="G19680" s="4">
        <f>IFERROR(__xludf.DUMMYFUNCTION("""COMPUTED_VALUE"""),58.0)</f>
        <v>58</v>
      </c>
      <c r="H19680" s="4"/>
      <c r="I19680" s="4"/>
    </row>
    <row r="19681">
      <c r="A19681" s="4" t="str">
        <f>IFERROR(__xludf.DUMMYFUNCTION("""COMPUTED_VALUE"""),"cas_hmw")</f>
        <v>cas_hmw</v>
      </c>
      <c r="B19681" s="5">
        <f>IFERROR(__xludf.DUMMYFUNCTION("""COMPUTED_VALUE"""),44778.0)</f>
        <v>44778</v>
      </c>
      <c r="C19681" s="6">
        <f>IFERROR(__xludf.DUMMYFUNCTION("""COMPUTED_VALUE"""),0.7065509259264218)</f>
        <v>0.7065509259</v>
      </c>
      <c r="D19681" s="4">
        <f>IFERROR(__xludf.DUMMYFUNCTION("""COMPUTED_VALUE"""),12.970787)</f>
        <v>12.970787</v>
      </c>
      <c r="E19681" s="4">
        <f>IFERROR(__xludf.DUMMYFUNCTION("""COMPUTED_VALUE"""),80.15074)</f>
        <v>80.15074</v>
      </c>
      <c r="F19681" s="4">
        <f>IFERROR(__xludf.DUMMYFUNCTION("""COMPUTED_VALUE"""),805.0)</f>
        <v>805</v>
      </c>
      <c r="G19681" s="4">
        <f>IFERROR(__xludf.DUMMYFUNCTION("""COMPUTED_VALUE"""),58.0)</f>
        <v>58</v>
      </c>
      <c r="H19681" s="4"/>
      <c r="I19681" s="4"/>
    </row>
    <row r="19682">
      <c r="A19682" s="4" t="str">
        <f>IFERROR(__xludf.DUMMYFUNCTION("""COMPUTED_VALUE"""),"cas_hmw")</f>
        <v>cas_hmw</v>
      </c>
      <c r="B19682" s="5">
        <f>IFERROR(__xludf.DUMMYFUNCTION("""COMPUTED_VALUE"""),44778.0)</f>
        <v>44778</v>
      </c>
      <c r="C19682" s="6">
        <f>IFERROR(__xludf.DUMMYFUNCTION("""COMPUTED_VALUE"""),0.7070601851846732)</f>
        <v>0.7070601852</v>
      </c>
      <c r="D19682" s="4">
        <f>IFERROR(__xludf.DUMMYFUNCTION("""COMPUTED_VALUE"""),12.975047)</f>
        <v>12.975047</v>
      </c>
      <c r="E19682" s="4">
        <f>IFERROR(__xludf.DUMMYFUNCTION("""COMPUTED_VALUE"""),80.155577)</f>
        <v>80.155577</v>
      </c>
      <c r="F19682" s="4">
        <f>IFERROR(__xludf.DUMMYFUNCTION("""COMPUTED_VALUE"""),805.0)</f>
        <v>805</v>
      </c>
      <c r="G19682" s="4">
        <f>IFERROR(__xludf.DUMMYFUNCTION("""COMPUTED_VALUE"""),47.0)</f>
        <v>47</v>
      </c>
      <c r="H19682" s="4"/>
      <c r="I19682" s="4"/>
    </row>
    <row r="19683">
      <c r="A19683" s="4" t="str">
        <f>IFERROR(__xludf.DUMMYFUNCTION("""COMPUTED_VALUE"""),"cas_hmw")</f>
        <v>cas_hmw</v>
      </c>
      <c r="B19683" s="5">
        <f>IFERROR(__xludf.DUMMYFUNCTION("""COMPUTED_VALUE"""),44778.0)</f>
        <v>44778</v>
      </c>
      <c r="C19683" s="6">
        <f>IFERROR(__xludf.DUMMYFUNCTION("""COMPUTED_VALUE"""),0.7072916666656965)</f>
        <v>0.7072916667</v>
      </c>
      <c r="D19683" s="4">
        <f>IFERROR(__xludf.DUMMYFUNCTION("""COMPUTED_VALUE"""),12.933432)</f>
        <v>12.933432</v>
      </c>
      <c r="E19683" s="4">
        <f>IFERROR(__xludf.DUMMYFUNCTION("""COMPUTED_VALUE"""),80.124526)</f>
        <v>80.124526</v>
      </c>
      <c r="F19683" s="4">
        <f>IFERROR(__xludf.DUMMYFUNCTION("""COMPUTED_VALUE"""),3143.0)</f>
        <v>3143</v>
      </c>
      <c r="G19683" s="4">
        <f>IFERROR(__xludf.DUMMYFUNCTION("""COMPUTED_VALUE"""),52.0)</f>
        <v>52</v>
      </c>
      <c r="H19683" s="4"/>
      <c r="I19683" s="4"/>
    </row>
    <row r="19684">
      <c r="A19684" s="4" t="str">
        <f>IFERROR(__xludf.DUMMYFUNCTION("""COMPUTED_VALUE"""),"cas_hmw")</f>
        <v>cas_hmw</v>
      </c>
      <c r="B19684" s="5">
        <f>IFERROR(__xludf.DUMMYFUNCTION("""COMPUTED_VALUE"""),44778.0)</f>
        <v>44778</v>
      </c>
      <c r="C19684" s="6">
        <f>IFERROR(__xludf.DUMMYFUNCTION("""COMPUTED_VALUE"""),0.7073148148156179)</f>
        <v>0.7073148148</v>
      </c>
      <c r="D19684" s="4">
        <f>IFERROR(__xludf.DUMMYFUNCTION("""COMPUTED_VALUE"""),12.977035)</f>
        <v>12.977035</v>
      </c>
      <c r="E19684" s="4">
        <f>IFERROR(__xludf.DUMMYFUNCTION("""COMPUTED_VALUE"""),80.158556)</f>
        <v>80.158556</v>
      </c>
      <c r="F19684" s="4">
        <f>IFERROR(__xludf.DUMMYFUNCTION("""COMPUTED_VALUE"""),805.0)</f>
        <v>805</v>
      </c>
      <c r="G19684" s="4">
        <f>IFERROR(__xludf.DUMMYFUNCTION("""COMPUTED_VALUE"""),52.0)</f>
        <v>52</v>
      </c>
      <c r="H19684" s="4"/>
      <c r="I19684" s="4"/>
    </row>
    <row r="19685">
      <c r="A19685" s="4" t="str">
        <f>IFERROR(__xludf.DUMMYFUNCTION("""COMPUTED_VALUE"""),"cas_hmw")</f>
        <v>cas_hmw</v>
      </c>
      <c r="B19685" s="5">
        <f>IFERROR(__xludf.DUMMYFUNCTION("""COMPUTED_VALUE"""),44778.0)</f>
        <v>44778</v>
      </c>
      <c r="C19685" s="6">
        <f>IFERROR(__xludf.DUMMYFUNCTION("""COMPUTED_VALUE"""),0.7073842592581059)</f>
        <v>0.7073842593</v>
      </c>
      <c r="D19685" s="4">
        <f>IFERROR(__xludf.DUMMYFUNCTION("""COMPUTED_VALUE"""),12.971226)</f>
        <v>12.971226</v>
      </c>
      <c r="E19685" s="4">
        <f>IFERROR(__xludf.DUMMYFUNCTION("""COMPUTED_VALUE"""),80.150891)</f>
        <v>80.150891</v>
      </c>
      <c r="F19685" s="4">
        <f>IFERROR(__xludf.DUMMYFUNCTION("""COMPUTED_VALUE"""),5339.0)</f>
        <v>5339</v>
      </c>
      <c r="G19685" s="4">
        <f>IFERROR(__xludf.DUMMYFUNCTION("""COMPUTED_VALUE"""),58.0)</f>
        <v>58</v>
      </c>
      <c r="H19685" s="4"/>
      <c r="I19685" s="4"/>
    </row>
    <row r="19686">
      <c r="A19686" s="4" t="str">
        <f>IFERROR(__xludf.DUMMYFUNCTION("""COMPUTED_VALUE"""),"cas_hmw")</f>
        <v>cas_hmw</v>
      </c>
      <c r="B19686" s="5">
        <f>IFERROR(__xludf.DUMMYFUNCTION("""COMPUTED_VALUE"""),44778.0)</f>
        <v>44778</v>
      </c>
      <c r="C19686" s="6">
        <f>IFERROR(__xludf.DUMMYFUNCTION("""COMPUTED_VALUE"""),0.7075231481467199)</f>
        <v>0.7075231481</v>
      </c>
      <c r="D19686" s="4">
        <f>IFERROR(__xludf.DUMMYFUNCTION("""COMPUTED_VALUE"""),12.978376)</f>
        <v>12.978376</v>
      </c>
      <c r="E19686" s="4">
        <f>IFERROR(__xludf.DUMMYFUNCTION("""COMPUTED_VALUE"""),80.160483)</f>
        <v>80.160483</v>
      </c>
      <c r="F19686" s="4">
        <f>IFERROR(__xludf.DUMMYFUNCTION("""COMPUTED_VALUE"""),805.0)</f>
        <v>805</v>
      </c>
      <c r="G19686" s="4">
        <f>IFERROR(__xludf.DUMMYFUNCTION("""COMPUTED_VALUE"""),57.0)</f>
        <v>57</v>
      </c>
      <c r="H19686" s="4"/>
      <c r="I19686" s="4"/>
    </row>
    <row r="19687">
      <c r="A19687" s="4" t="str">
        <f>IFERROR(__xludf.DUMMYFUNCTION("""COMPUTED_VALUE"""),"cas_hmw")</f>
        <v>cas_hmw</v>
      </c>
      <c r="B19687" s="5">
        <f>IFERROR(__xludf.DUMMYFUNCTION("""COMPUTED_VALUE"""),44778.0)</f>
        <v>44778</v>
      </c>
      <c r="C19687" s="6">
        <f>IFERROR(__xludf.DUMMYFUNCTION("""COMPUTED_VALUE"""),0.7082291666665697)</f>
        <v>0.7082291667</v>
      </c>
      <c r="D19687" s="4">
        <f>IFERROR(__xludf.DUMMYFUNCTION("""COMPUTED_VALUE"""),12.937403)</f>
        <v>12.937403</v>
      </c>
      <c r="E19687" s="4">
        <f>IFERROR(__xludf.DUMMYFUNCTION("""COMPUTED_VALUE"""),80.128178)</f>
        <v>80.128178</v>
      </c>
      <c r="F19687" s="4">
        <f>IFERROR(__xludf.DUMMYFUNCTION("""COMPUTED_VALUE"""),3143.0)</f>
        <v>3143</v>
      </c>
      <c r="G19687" s="4">
        <f>IFERROR(__xludf.DUMMYFUNCTION("""COMPUTED_VALUE"""),50.0)</f>
        <v>50</v>
      </c>
      <c r="H19687" s="4"/>
      <c r="I19687" s="4"/>
    </row>
    <row r="19688">
      <c r="A19688" s="4" t="str">
        <f>IFERROR(__xludf.DUMMYFUNCTION("""COMPUTED_VALUE"""),"cas_hmw")</f>
        <v>cas_hmw</v>
      </c>
      <c r="B19688" s="5">
        <f>IFERROR(__xludf.DUMMYFUNCTION("""COMPUTED_VALUE"""),44778.0)</f>
        <v>44778</v>
      </c>
      <c r="C19688" s="6">
        <f>IFERROR(__xludf.DUMMYFUNCTION("""COMPUTED_VALUE"""),0.7090624999982538)</f>
        <v>0.7090625</v>
      </c>
      <c r="D19688" s="4">
        <f>IFERROR(__xludf.DUMMYFUNCTION("""COMPUTED_VALUE"""),12.985433)</f>
        <v>12.985433</v>
      </c>
      <c r="E19688" s="4">
        <f>IFERROR(__xludf.DUMMYFUNCTION("""COMPUTED_VALUE"""),80.173133)</f>
        <v>80.173133</v>
      </c>
      <c r="F19688" s="4">
        <f>IFERROR(__xludf.DUMMYFUNCTION("""COMPUTED_VALUE"""),805.0)</f>
        <v>805</v>
      </c>
      <c r="G19688" s="4">
        <f>IFERROR(__xludf.DUMMYFUNCTION("""COMPUTED_VALUE"""),0.0)</f>
        <v>0</v>
      </c>
      <c r="H19688" s="4"/>
      <c r="I19688" s="4"/>
    </row>
    <row r="19689">
      <c r="A19689" s="4" t="str">
        <f>IFERROR(__xludf.DUMMYFUNCTION("""COMPUTED_VALUE"""),"cas_hmw")</f>
        <v>cas_hmw</v>
      </c>
      <c r="B19689" s="5">
        <f>IFERROR(__xludf.DUMMYFUNCTION("""COMPUTED_VALUE"""),44778.0)</f>
        <v>44778</v>
      </c>
      <c r="C19689" s="6">
        <f>IFERROR(__xludf.DUMMYFUNCTION("""COMPUTED_VALUE"""),0.7099074074067175)</f>
        <v>0.7099074074</v>
      </c>
      <c r="D19689" s="4">
        <f>IFERROR(__xludf.DUMMYFUNCTION("""COMPUTED_VALUE"""),12.948144)</f>
        <v>12.948144</v>
      </c>
      <c r="E19689" s="4">
        <f>IFERROR(__xludf.DUMMYFUNCTION("""COMPUTED_VALUE"""),80.137604)</f>
        <v>80.137604</v>
      </c>
      <c r="F19689" s="4">
        <f>IFERROR(__xludf.DUMMYFUNCTION("""COMPUTED_VALUE"""),3143.0)</f>
        <v>3143</v>
      </c>
      <c r="G19689" s="4">
        <f>IFERROR(__xludf.DUMMYFUNCTION("""COMPUTED_VALUE"""),28.0)</f>
        <v>28</v>
      </c>
      <c r="H19689" s="4"/>
      <c r="I19689" s="4"/>
    </row>
    <row r="19690">
      <c r="A19690" s="4" t="str">
        <f>IFERROR(__xludf.DUMMYFUNCTION("""COMPUTED_VALUE"""),"cas_hmw")</f>
        <v>cas_hmw</v>
      </c>
      <c r="B19690" s="5">
        <f>IFERROR(__xludf.DUMMYFUNCTION("""COMPUTED_VALUE"""),44778.0)</f>
        <v>44778</v>
      </c>
      <c r="C19690" s="6">
        <f>IFERROR(__xludf.DUMMYFUNCTION("""COMPUTED_VALUE"""),0.7101388888877409)</f>
        <v>0.7101388889</v>
      </c>
      <c r="D19690" s="4">
        <f>IFERROR(__xludf.DUMMYFUNCTION("""COMPUTED_VALUE"""),12.988309)</f>
        <v>12.988309</v>
      </c>
      <c r="E19690" s="4">
        <f>IFERROR(__xludf.DUMMYFUNCTION("""COMPUTED_VALUE"""),80.177186)</f>
        <v>80.177186</v>
      </c>
      <c r="F19690" s="4">
        <f>IFERROR(__xludf.DUMMYFUNCTION("""COMPUTED_VALUE"""),805.0)</f>
        <v>805</v>
      </c>
      <c r="G19690" s="4">
        <f>IFERROR(__xludf.DUMMYFUNCTION("""COMPUTED_VALUE"""),40.0)</f>
        <v>40</v>
      </c>
      <c r="H19690" s="4"/>
      <c r="I19690" s="4"/>
    </row>
    <row r="19691">
      <c r="A19691" s="4" t="str">
        <f>IFERROR(__xludf.DUMMYFUNCTION("""COMPUTED_VALUE"""),"cas_hmw")</f>
        <v>cas_hmw</v>
      </c>
      <c r="B19691" s="5">
        <f>IFERROR(__xludf.DUMMYFUNCTION("""COMPUTED_VALUE"""),44778.0)</f>
        <v>44778</v>
      </c>
      <c r="C19691" s="6">
        <f>IFERROR(__xludf.DUMMYFUNCTION("""COMPUTED_VALUE"""),0.7101851851839456)</f>
        <v>0.7101851852</v>
      </c>
      <c r="D19691" s="4">
        <f>IFERROR(__xludf.DUMMYFUNCTION("""COMPUTED_VALUE"""),12.987078)</f>
        <v>12.987078</v>
      </c>
      <c r="E19691" s="4">
        <f>IFERROR(__xludf.DUMMYFUNCTION("""COMPUTED_VALUE"""),80.17552)</f>
        <v>80.17552</v>
      </c>
      <c r="F19691" s="4">
        <f>IFERROR(__xludf.DUMMYFUNCTION("""COMPUTED_VALUE"""),5339.0)</f>
        <v>5339</v>
      </c>
      <c r="G19691" s="4">
        <f>IFERROR(__xludf.DUMMYFUNCTION("""COMPUTED_VALUE"""),13.0)</f>
        <v>13</v>
      </c>
      <c r="H19691" s="4"/>
      <c r="I19691" s="4"/>
    </row>
    <row r="19692">
      <c r="A19692" s="4" t="str">
        <f>IFERROR(__xludf.DUMMYFUNCTION("""COMPUTED_VALUE"""),"cas_hmw")</f>
        <v>cas_hmw</v>
      </c>
      <c r="B19692" s="5">
        <f>IFERROR(__xludf.DUMMYFUNCTION("""COMPUTED_VALUE"""),44778.0)</f>
        <v>44778</v>
      </c>
      <c r="C19692" s="6">
        <f>IFERROR(__xludf.DUMMYFUNCTION("""COMPUTED_VALUE"""),0.7101851851839456)</f>
        <v>0.7101851852</v>
      </c>
      <c r="D19692" s="4">
        <f>IFERROR(__xludf.DUMMYFUNCTION("""COMPUTED_VALUE"""),12.987078)</f>
        <v>12.987078</v>
      </c>
      <c r="E19692" s="4">
        <f>IFERROR(__xludf.DUMMYFUNCTION("""COMPUTED_VALUE"""),80.17552)</f>
        <v>80.17552</v>
      </c>
      <c r="F19692" s="4">
        <f>IFERROR(__xludf.DUMMYFUNCTION("""COMPUTED_VALUE"""),5339.0)</f>
        <v>5339</v>
      </c>
      <c r="G19692" s="4">
        <f>IFERROR(__xludf.DUMMYFUNCTION("""COMPUTED_VALUE"""),13.0)</f>
        <v>13</v>
      </c>
      <c r="H19692" s="4"/>
      <c r="I19692" s="4"/>
    </row>
    <row r="19693">
      <c r="A19693" s="4" t="str">
        <f>IFERROR(__xludf.DUMMYFUNCTION("""COMPUTED_VALUE"""),"cas_hmw")</f>
        <v>cas_hmw</v>
      </c>
      <c r="B19693" s="5">
        <f>IFERROR(__xludf.DUMMYFUNCTION("""COMPUTED_VALUE"""),44778.0)</f>
        <v>44778</v>
      </c>
      <c r="C19693" s="6">
        <f>IFERROR(__xludf.DUMMYFUNCTION("""COMPUTED_VALUE"""),0.7102199074070086)</f>
        <v>0.7102199074</v>
      </c>
      <c r="D19693" s="4">
        <f>IFERROR(__xludf.DUMMYFUNCTION("""COMPUTED_VALUE"""),12.988309)</f>
        <v>12.988309</v>
      </c>
      <c r="E19693" s="4">
        <f>IFERROR(__xludf.DUMMYFUNCTION("""COMPUTED_VALUE"""),80.177186)</f>
        <v>80.177186</v>
      </c>
      <c r="F19693" s="4">
        <f>IFERROR(__xludf.DUMMYFUNCTION("""COMPUTED_VALUE"""),805.0)</f>
        <v>805</v>
      </c>
      <c r="G19693" s="4">
        <f>IFERROR(__xludf.DUMMYFUNCTION("""COMPUTED_VALUE"""),40.0)</f>
        <v>40</v>
      </c>
      <c r="H19693" s="4"/>
      <c r="I19693" s="4"/>
    </row>
    <row r="19694">
      <c r="A19694" s="4" t="str">
        <f>IFERROR(__xludf.DUMMYFUNCTION("""COMPUTED_VALUE"""),"cas_hmw")</f>
        <v>cas_hmw</v>
      </c>
      <c r="B19694" s="5">
        <f>IFERROR(__xludf.DUMMYFUNCTION("""COMPUTED_VALUE"""),44778.0)</f>
        <v>44778</v>
      </c>
      <c r="C19694" s="6">
        <f>IFERROR(__xludf.DUMMYFUNCTION("""COMPUTED_VALUE"""),0.7102546296300716)</f>
        <v>0.7102546296</v>
      </c>
      <c r="D19694" s="4">
        <f>IFERROR(__xludf.DUMMYFUNCTION("""COMPUTED_VALUE"""),12.988309)</f>
        <v>12.988309</v>
      </c>
      <c r="E19694" s="4">
        <f>IFERROR(__xludf.DUMMYFUNCTION("""COMPUTED_VALUE"""),80.177186)</f>
        <v>80.177186</v>
      </c>
      <c r="F19694" s="4">
        <f>IFERROR(__xludf.DUMMYFUNCTION("""COMPUTED_VALUE"""),805.0)</f>
        <v>805</v>
      </c>
      <c r="G19694" s="4">
        <f>IFERROR(__xludf.DUMMYFUNCTION("""COMPUTED_VALUE"""),40.0)</f>
        <v>40</v>
      </c>
      <c r="H19694" s="4"/>
      <c r="I19694" s="4"/>
    </row>
    <row r="19695">
      <c r="A19695" s="4" t="str">
        <f>IFERROR(__xludf.DUMMYFUNCTION("""COMPUTED_VALUE"""),"cas_hmw")</f>
        <v>cas_hmw</v>
      </c>
      <c r="B19695" s="5">
        <f>IFERROR(__xludf.DUMMYFUNCTION("""COMPUTED_VALUE"""),44778.0)</f>
        <v>44778</v>
      </c>
      <c r="C19695" s="6">
        <f>IFERROR(__xludf.DUMMYFUNCTION("""COMPUTED_VALUE"""),0.7103587962956226)</f>
        <v>0.7103587963</v>
      </c>
      <c r="D19695" s="4">
        <f>IFERROR(__xludf.DUMMYFUNCTION("""COMPUTED_VALUE"""),12.989456)</f>
        <v>12.989456</v>
      </c>
      <c r="E19695" s="4">
        <f>IFERROR(__xludf.DUMMYFUNCTION("""COMPUTED_VALUE"""),80.178674)</f>
        <v>80.178674</v>
      </c>
      <c r="F19695" s="4">
        <f>IFERROR(__xludf.DUMMYFUNCTION("""COMPUTED_VALUE"""),805.0)</f>
        <v>805</v>
      </c>
      <c r="G19695" s="4">
        <f>IFERROR(__xludf.DUMMYFUNCTION("""COMPUTED_VALUE"""),43.0)</f>
        <v>43</v>
      </c>
      <c r="H19695" s="4"/>
      <c r="I19695" s="4"/>
    </row>
    <row r="19696">
      <c r="A19696" s="4" t="str">
        <f>IFERROR(__xludf.DUMMYFUNCTION("""COMPUTED_VALUE"""),"cas_hmw")</f>
        <v>cas_hmw</v>
      </c>
      <c r="B19696" s="5">
        <f>IFERROR(__xludf.DUMMYFUNCTION("""COMPUTED_VALUE"""),44778.0)</f>
        <v>44778</v>
      </c>
      <c r="C19696" s="6">
        <f>IFERROR(__xludf.DUMMYFUNCTION("""COMPUTED_VALUE"""),0.7108217592576693)</f>
        <v>0.7108217593</v>
      </c>
      <c r="D19696" s="4">
        <f>IFERROR(__xludf.DUMMYFUNCTION("""COMPUTED_VALUE"""),12.991187)</f>
        <v>12.991187</v>
      </c>
      <c r="E19696" s="4">
        <f>IFERROR(__xludf.DUMMYFUNCTION("""COMPUTED_VALUE"""),80.18094)</f>
        <v>80.18094</v>
      </c>
      <c r="F19696" s="4">
        <f>IFERROR(__xludf.DUMMYFUNCTION("""COMPUTED_VALUE"""),805.0)</f>
        <v>805</v>
      </c>
      <c r="G19696" s="4">
        <f>IFERROR(__xludf.DUMMYFUNCTION("""COMPUTED_VALUE"""),33.0)</f>
        <v>33</v>
      </c>
      <c r="H19696" s="4"/>
      <c r="I19696" s="4"/>
    </row>
    <row r="19697">
      <c r="A19697" s="4" t="str">
        <f>IFERROR(__xludf.DUMMYFUNCTION("""COMPUTED_VALUE"""),"cas_hmw")</f>
        <v>cas_hmw</v>
      </c>
      <c r="B19697" s="5">
        <f>IFERROR(__xludf.DUMMYFUNCTION("""COMPUTED_VALUE"""),44778.0)</f>
        <v>44778</v>
      </c>
      <c r="C19697" s="6">
        <f>IFERROR(__xludf.DUMMYFUNCTION("""COMPUTED_VALUE"""),0.710972222223063)</f>
        <v>0.7109722222</v>
      </c>
      <c r="D19697" s="4">
        <f>IFERROR(__xludf.DUMMYFUNCTION("""COMPUTED_VALUE"""),12.724096)</f>
        <v>12.724096</v>
      </c>
      <c r="E19697" s="4">
        <f>IFERROR(__xludf.DUMMYFUNCTION("""COMPUTED_VALUE"""),79.982104)</f>
        <v>79.982104</v>
      </c>
      <c r="F19697" s="4">
        <f>IFERROR(__xludf.DUMMYFUNCTION("""COMPUTED_VALUE"""),2846.0)</f>
        <v>2846</v>
      </c>
      <c r="G19697" s="4">
        <f>IFERROR(__xludf.DUMMYFUNCTION("""COMPUTED_VALUE"""),0.0)</f>
        <v>0</v>
      </c>
      <c r="H19697" s="4"/>
      <c r="I19697" s="4"/>
    </row>
    <row r="19698">
      <c r="A19698" s="4" t="str">
        <f>IFERROR(__xludf.DUMMYFUNCTION("""COMPUTED_VALUE"""),"cas_hmw")</f>
        <v>cas_hmw</v>
      </c>
      <c r="B19698" s="5">
        <f>IFERROR(__xludf.DUMMYFUNCTION("""COMPUTED_VALUE"""),44778.0)</f>
        <v>44778</v>
      </c>
      <c r="C19698" s="6">
        <f>IFERROR(__xludf.DUMMYFUNCTION("""COMPUTED_VALUE"""),0.7114004629620467)</f>
        <v>0.711400463</v>
      </c>
      <c r="D19698" s="4">
        <f>IFERROR(__xludf.DUMMYFUNCTION("""COMPUTED_VALUE"""),12.989213)</f>
        <v>12.989213</v>
      </c>
      <c r="E19698" s="4">
        <f>IFERROR(__xludf.DUMMYFUNCTION("""COMPUTED_VALUE"""),80.178333)</f>
        <v>80.178333</v>
      </c>
      <c r="F19698" s="4">
        <f>IFERROR(__xludf.DUMMYFUNCTION("""COMPUTED_VALUE"""),5339.0)</f>
        <v>5339</v>
      </c>
      <c r="G19698" s="4">
        <f>IFERROR(__xludf.DUMMYFUNCTION("""COMPUTED_VALUE"""),0.0)</f>
        <v>0</v>
      </c>
      <c r="H19698" s="4"/>
      <c r="I19698" s="4"/>
    </row>
    <row r="19699">
      <c r="A19699" s="4" t="str">
        <f>IFERROR(__xludf.DUMMYFUNCTION("""COMPUTED_VALUE"""),"cas_hmw")</f>
        <v>cas_hmw</v>
      </c>
      <c r="B19699" s="5">
        <f>IFERROR(__xludf.DUMMYFUNCTION("""COMPUTED_VALUE"""),44778.0)</f>
        <v>44778</v>
      </c>
      <c r="C19699" s="6">
        <f>IFERROR(__xludf.DUMMYFUNCTION("""COMPUTED_VALUE"""),0.7115046296312357)</f>
        <v>0.7115046296</v>
      </c>
      <c r="D19699" s="4">
        <f>IFERROR(__xludf.DUMMYFUNCTION("""COMPUTED_VALUE"""),12.989213)</f>
        <v>12.989213</v>
      </c>
      <c r="E19699" s="4">
        <f>IFERROR(__xludf.DUMMYFUNCTION("""COMPUTED_VALUE"""),80.178333)</f>
        <v>80.178333</v>
      </c>
      <c r="F19699" s="4">
        <f>IFERROR(__xludf.DUMMYFUNCTION("""COMPUTED_VALUE"""),5339.0)</f>
        <v>5339</v>
      </c>
      <c r="G19699" s="4">
        <f>IFERROR(__xludf.DUMMYFUNCTION("""COMPUTED_VALUE"""),0.0)</f>
        <v>0</v>
      </c>
      <c r="H19699" s="4"/>
      <c r="I19699" s="4"/>
    </row>
    <row r="19700">
      <c r="A19700" s="4" t="str">
        <f>IFERROR(__xludf.DUMMYFUNCTION("""COMPUTED_VALUE"""),"cas_hmw")</f>
        <v>cas_hmw</v>
      </c>
      <c r="B19700" s="5">
        <f>IFERROR(__xludf.DUMMYFUNCTION("""COMPUTED_VALUE"""),44778.0)</f>
        <v>44778</v>
      </c>
      <c r="C19700" s="6">
        <f>IFERROR(__xludf.DUMMYFUNCTION("""COMPUTED_VALUE"""),0.7117361111122591)</f>
        <v>0.7117361111</v>
      </c>
      <c r="D19700" s="4">
        <f>IFERROR(__xludf.DUMMYFUNCTION("""COMPUTED_VALUE"""),12.989213)</f>
        <v>12.989213</v>
      </c>
      <c r="E19700" s="4">
        <f>IFERROR(__xludf.DUMMYFUNCTION("""COMPUTED_VALUE"""),80.178333)</f>
        <v>80.178333</v>
      </c>
      <c r="F19700" s="4">
        <f>IFERROR(__xludf.DUMMYFUNCTION("""COMPUTED_VALUE"""),5339.0)</f>
        <v>5339</v>
      </c>
      <c r="G19700" s="4">
        <f>IFERROR(__xludf.DUMMYFUNCTION("""COMPUTED_VALUE"""),0.0)</f>
        <v>0</v>
      </c>
      <c r="H19700" s="4"/>
      <c r="I19700" s="4"/>
    </row>
    <row r="19701">
      <c r="A19701" s="4" t="str">
        <f>IFERROR(__xludf.DUMMYFUNCTION("""COMPUTED_VALUE"""),"cas_hmw")</f>
        <v>cas_hmw</v>
      </c>
      <c r="B19701" s="5">
        <f>IFERROR(__xludf.DUMMYFUNCTION("""COMPUTED_VALUE"""),44778.0)</f>
        <v>44778</v>
      </c>
      <c r="C19701" s="6">
        <f>IFERROR(__xludf.DUMMYFUNCTION("""COMPUTED_VALUE"""),0.7119675925932825)</f>
        <v>0.7119675926</v>
      </c>
      <c r="D19701" s="4">
        <f>IFERROR(__xludf.DUMMYFUNCTION("""COMPUTED_VALUE"""),12.993747)</f>
        <v>12.993747</v>
      </c>
      <c r="E19701" s="4">
        <f>IFERROR(__xludf.DUMMYFUNCTION("""COMPUTED_VALUE"""),80.184933)</f>
        <v>80.184933</v>
      </c>
      <c r="F19701" s="4">
        <f>IFERROR(__xludf.DUMMYFUNCTION("""COMPUTED_VALUE"""),805.0)</f>
        <v>805</v>
      </c>
      <c r="G19701" s="4">
        <f>IFERROR(__xludf.DUMMYFUNCTION("""COMPUTED_VALUE"""),14.0)</f>
        <v>14</v>
      </c>
      <c r="H19701" s="4"/>
      <c r="I19701" s="4"/>
    </row>
    <row r="19702">
      <c r="A19702" s="4" t="str">
        <f>IFERROR(__xludf.DUMMYFUNCTION("""COMPUTED_VALUE"""),"cas_hmw")</f>
        <v>cas_hmw</v>
      </c>
      <c r="B19702" s="5">
        <f>IFERROR(__xludf.DUMMYFUNCTION("""COMPUTED_VALUE"""),44778.0)</f>
        <v>44778</v>
      </c>
      <c r="C19702" s="6">
        <f>IFERROR(__xludf.DUMMYFUNCTION("""COMPUTED_VALUE"""),0.7120486111125501)</f>
        <v>0.7120486111</v>
      </c>
      <c r="D19702" s="4">
        <f>IFERROR(__xludf.DUMMYFUNCTION("""COMPUTED_VALUE"""),12.99014)</f>
        <v>12.99014</v>
      </c>
      <c r="E19702" s="4">
        <f>IFERROR(__xludf.DUMMYFUNCTION("""COMPUTED_VALUE"""),80.179615)</f>
        <v>80.179615</v>
      </c>
      <c r="F19702" s="4">
        <f>IFERROR(__xludf.DUMMYFUNCTION("""COMPUTED_VALUE"""),5339.0)</f>
        <v>5339</v>
      </c>
      <c r="G19702" s="4">
        <f>IFERROR(__xludf.DUMMYFUNCTION("""COMPUTED_VALUE"""),38.0)</f>
        <v>38</v>
      </c>
      <c r="H19702" s="4"/>
      <c r="I19702" s="4"/>
    </row>
    <row r="19703">
      <c r="A19703" s="4" t="str">
        <f>IFERROR(__xludf.DUMMYFUNCTION("""COMPUTED_VALUE"""),"cas_hmw")</f>
        <v>cas_hmw</v>
      </c>
      <c r="B19703" s="5">
        <f>IFERROR(__xludf.DUMMYFUNCTION("""COMPUTED_VALUE"""),44778.0)</f>
        <v>44778</v>
      </c>
      <c r="C19703" s="6">
        <f>IFERROR(__xludf.DUMMYFUNCTION("""COMPUTED_VALUE"""),0.7124189814821875)</f>
        <v>0.7124189815</v>
      </c>
      <c r="D19703" s="4">
        <f>IFERROR(__xludf.DUMMYFUNCTION("""COMPUTED_VALUE"""),12.995191)</f>
        <v>12.995191</v>
      </c>
      <c r="E19703" s="4">
        <f>IFERROR(__xludf.DUMMYFUNCTION("""COMPUTED_VALUE"""),80.187761)</f>
        <v>80.187761</v>
      </c>
      <c r="F19703" s="4">
        <f>IFERROR(__xludf.DUMMYFUNCTION("""COMPUTED_VALUE"""),805.0)</f>
        <v>805</v>
      </c>
      <c r="G19703" s="4">
        <f>IFERROR(__xludf.DUMMYFUNCTION("""COMPUTED_VALUE"""),52.0)</f>
        <v>52</v>
      </c>
      <c r="H19703" s="4"/>
      <c r="I19703" s="4"/>
    </row>
    <row r="19704">
      <c r="A19704" s="4" t="str">
        <f>IFERROR(__xludf.DUMMYFUNCTION("""COMPUTED_VALUE"""),"cas_hmw")</f>
        <v>cas_hmw</v>
      </c>
      <c r="B19704" s="5">
        <f>IFERROR(__xludf.DUMMYFUNCTION("""COMPUTED_VALUE"""),44778.0)</f>
        <v>44778</v>
      </c>
      <c r="C19704" s="6">
        <f>IFERROR(__xludf.DUMMYFUNCTION("""COMPUTED_VALUE"""),0.7126157407401479)</f>
        <v>0.7126157407</v>
      </c>
      <c r="D19704" s="4">
        <f>IFERROR(__xludf.DUMMYFUNCTION("""COMPUTED_VALUE"""),12.995766)</f>
        <v>12.995766</v>
      </c>
      <c r="E19704" s="4">
        <f>IFERROR(__xludf.DUMMYFUNCTION("""COMPUTED_VALUE"""),80.188856)</f>
        <v>80.188856</v>
      </c>
      <c r="F19704" s="4">
        <f>IFERROR(__xludf.DUMMYFUNCTION("""COMPUTED_VALUE"""),805.0)</f>
        <v>805</v>
      </c>
      <c r="G19704" s="4">
        <f>IFERROR(__xludf.DUMMYFUNCTION("""COMPUTED_VALUE"""),0.0)</f>
        <v>0</v>
      </c>
      <c r="H19704" s="4"/>
      <c r="I19704" s="4"/>
    </row>
    <row r="19705">
      <c r="A19705" s="4" t="str">
        <f>IFERROR(__xludf.DUMMYFUNCTION("""COMPUTED_VALUE"""),"cas_hmw")</f>
        <v>cas_hmw</v>
      </c>
      <c r="B19705" s="5">
        <f>IFERROR(__xludf.DUMMYFUNCTION("""COMPUTED_VALUE"""),44778.0)</f>
        <v>44778</v>
      </c>
      <c r="C19705" s="6">
        <f>IFERROR(__xludf.DUMMYFUNCTION("""COMPUTED_VALUE"""),0.7126273148132896)</f>
        <v>0.7126273148</v>
      </c>
      <c r="D19705" s="4">
        <f>IFERROR(__xludf.DUMMYFUNCTION("""COMPUTED_VALUE"""),12.699772)</f>
        <v>12.699772</v>
      </c>
      <c r="E19705" s="4">
        <f>IFERROR(__xludf.DUMMYFUNCTION("""COMPUTED_VALUE"""),79.968752)</f>
        <v>79.968752</v>
      </c>
      <c r="F19705" s="4">
        <f>IFERROR(__xludf.DUMMYFUNCTION("""COMPUTED_VALUE"""),2846.0)</f>
        <v>2846</v>
      </c>
      <c r="G19705" s="4">
        <f>IFERROR(__xludf.DUMMYFUNCTION("""COMPUTED_VALUE"""),14.0)</f>
        <v>14</v>
      </c>
      <c r="H19705" s="4"/>
      <c r="I19705" s="4"/>
    </row>
    <row r="19706">
      <c r="A19706" s="4" t="str">
        <f>IFERROR(__xludf.DUMMYFUNCTION("""COMPUTED_VALUE"""),"cas_hmw")</f>
        <v>cas_hmw</v>
      </c>
      <c r="B19706" s="5">
        <f>IFERROR(__xludf.DUMMYFUNCTION("""COMPUTED_VALUE"""),44778.0)</f>
        <v>44778</v>
      </c>
      <c r="C19706" s="6">
        <f>IFERROR(__xludf.DUMMYFUNCTION("""COMPUTED_VALUE"""),0.7133912037024857)</f>
        <v>0.7133912037</v>
      </c>
      <c r="D19706" s="4">
        <f>IFERROR(__xludf.DUMMYFUNCTION("""COMPUTED_VALUE"""),12.998423)</f>
        <v>12.998423</v>
      </c>
      <c r="E19706" s="4">
        <f>IFERROR(__xludf.DUMMYFUNCTION("""COMPUTED_VALUE"""),80.192077)</f>
        <v>80.192077</v>
      </c>
      <c r="F19706" s="4">
        <f>IFERROR(__xludf.DUMMYFUNCTION("""COMPUTED_VALUE"""),805.0)</f>
        <v>805</v>
      </c>
      <c r="G19706" s="4">
        <f>IFERROR(__xludf.DUMMYFUNCTION("""COMPUTED_VALUE"""),40.0)</f>
        <v>40</v>
      </c>
      <c r="H19706" s="4"/>
      <c r="I19706" s="4"/>
    </row>
    <row r="19707">
      <c r="A19707" s="4" t="str">
        <f>IFERROR(__xludf.DUMMYFUNCTION("""COMPUTED_VALUE"""),"cas_hmw")</f>
        <v>cas_hmw</v>
      </c>
      <c r="B19707" s="5">
        <f>IFERROR(__xludf.DUMMYFUNCTION("""COMPUTED_VALUE"""),44778.0)</f>
        <v>44778</v>
      </c>
      <c r="C19707" s="6">
        <f>IFERROR(__xludf.DUMMYFUNCTION("""COMPUTED_VALUE"""),0.7133912037024857)</f>
        <v>0.7133912037</v>
      </c>
      <c r="D19707" s="4">
        <f>IFERROR(__xludf.DUMMYFUNCTION("""COMPUTED_VALUE"""),12.998423)</f>
        <v>12.998423</v>
      </c>
      <c r="E19707" s="4">
        <f>IFERROR(__xludf.DUMMYFUNCTION("""COMPUTED_VALUE"""),80.192077)</f>
        <v>80.192077</v>
      </c>
      <c r="F19707" s="4">
        <f>IFERROR(__xludf.DUMMYFUNCTION("""COMPUTED_VALUE"""),805.0)</f>
        <v>805</v>
      </c>
      <c r="G19707" s="4">
        <f>IFERROR(__xludf.DUMMYFUNCTION("""COMPUTED_VALUE"""),40.0)</f>
        <v>40</v>
      </c>
      <c r="H19707" s="4"/>
      <c r="I19707" s="4"/>
    </row>
    <row r="19708">
      <c r="A19708" s="4" t="str">
        <f>IFERROR(__xludf.DUMMYFUNCTION("""COMPUTED_VALUE"""),"cas_hmw")</f>
        <v>cas_hmw</v>
      </c>
      <c r="B19708" s="5">
        <f>IFERROR(__xludf.DUMMYFUNCTION("""COMPUTED_VALUE"""),44778.0)</f>
        <v>44778</v>
      </c>
      <c r="C19708" s="6">
        <f>IFERROR(__xludf.DUMMYFUNCTION("""COMPUTED_VALUE"""),0.713414351852407)</f>
        <v>0.7134143519</v>
      </c>
      <c r="D19708" s="4">
        <f>IFERROR(__xludf.DUMMYFUNCTION("""COMPUTED_VALUE"""),12.998423)</f>
        <v>12.998423</v>
      </c>
      <c r="E19708" s="4">
        <f>IFERROR(__xludf.DUMMYFUNCTION("""COMPUTED_VALUE"""),80.192077)</f>
        <v>80.192077</v>
      </c>
      <c r="F19708" s="4">
        <f>IFERROR(__xludf.DUMMYFUNCTION("""COMPUTED_VALUE"""),805.0)</f>
        <v>805</v>
      </c>
      <c r="G19708" s="4">
        <f>IFERROR(__xludf.DUMMYFUNCTION("""COMPUTED_VALUE"""),40.0)</f>
        <v>40</v>
      </c>
      <c r="H19708" s="4"/>
      <c r="I19708" s="4"/>
    </row>
    <row r="19709">
      <c r="A19709" s="4" t="str">
        <f>IFERROR(__xludf.DUMMYFUNCTION("""COMPUTED_VALUE"""),"cas_hmw")</f>
        <v>cas_hmw</v>
      </c>
      <c r="B19709" s="5">
        <f>IFERROR(__xludf.DUMMYFUNCTION("""COMPUTED_VALUE"""),44778.0)</f>
        <v>44778</v>
      </c>
      <c r="C19709" s="6">
        <f>IFERROR(__xludf.DUMMYFUNCTION("""COMPUTED_VALUE"""),0.7135300925910997)</f>
        <v>0.7135300926</v>
      </c>
      <c r="D19709" s="4">
        <f>IFERROR(__xludf.DUMMYFUNCTION("""COMPUTED_VALUE"""),12.998978)</f>
        <v>12.998978</v>
      </c>
      <c r="E19709" s="4">
        <f>IFERROR(__xludf.DUMMYFUNCTION("""COMPUTED_VALUE"""),80.192744)</f>
        <v>80.192744</v>
      </c>
      <c r="F19709" s="4">
        <f>IFERROR(__xludf.DUMMYFUNCTION("""COMPUTED_VALUE"""),805.0)</f>
        <v>805</v>
      </c>
      <c r="G19709" s="4">
        <f>IFERROR(__xludf.DUMMYFUNCTION("""COMPUTED_VALUE"""),28.0)</f>
        <v>28</v>
      </c>
      <c r="H19709" s="4"/>
      <c r="I19709" s="4"/>
    </row>
    <row r="19710">
      <c r="A19710" s="4" t="str">
        <f>IFERROR(__xludf.DUMMYFUNCTION("""COMPUTED_VALUE"""),"cas_hmw")</f>
        <v>cas_hmw</v>
      </c>
      <c r="B19710" s="5">
        <f>IFERROR(__xludf.DUMMYFUNCTION("""COMPUTED_VALUE"""),44778.0)</f>
        <v>44778</v>
      </c>
      <c r="C19710" s="6">
        <f>IFERROR(__xludf.DUMMYFUNCTION("""COMPUTED_VALUE"""),0.713657407406572)</f>
        <v>0.7136574074</v>
      </c>
      <c r="D19710" s="4">
        <f>IFERROR(__xludf.DUMMYFUNCTION("""COMPUTED_VALUE"""),12.697212)</f>
        <v>12.697212</v>
      </c>
      <c r="E19710" s="4">
        <f>IFERROR(__xludf.DUMMYFUNCTION("""COMPUTED_VALUE"""),79.972847)</f>
        <v>79.972847</v>
      </c>
      <c r="F19710" s="4">
        <f>IFERROR(__xludf.DUMMYFUNCTION("""COMPUTED_VALUE"""),2846.0)</f>
        <v>2846</v>
      </c>
      <c r="G19710" s="4">
        <f>IFERROR(__xludf.DUMMYFUNCTION("""COMPUTED_VALUE"""),0.0)</f>
        <v>0</v>
      </c>
      <c r="H19710" s="4"/>
      <c r="I19710" s="4"/>
    </row>
    <row r="19711">
      <c r="A19711" s="4" t="str">
        <f>IFERROR(__xludf.DUMMYFUNCTION("""COMPUTED_VALUE"""),"cas_hmw")</f>
        <v>cas_hmw</v>
      </c>
      <c r="B19711" s="5">
        <f>IFERROR(__xludf.DUMMYFUNCTION("""COMPUTED_VALUE"""),44778.0)</f>
        <v>44778</v>
      </c>
      <c r="C19711" s="6">
        <f>IFERROR(__xludf.DUMMYFUNCTION("""COMPUTED_VALUE"""),0.7144212962957681)</f>
        <v>0.7144212963</v>
      </c>
      <c r="D19711" s="4">
        <f>IFERROR(__xludf.DUMMYFUNCTION("""COMPUTED_VALUE"""),13.000572)</f>
        <v>13.000572</v>
      </c>
      <c r="E19711" s="4">
        <f>IFERROR(__xludf.DUMMYFUNCTION("""COMPUTED_VALUE"""),80.194806)</f>
        <v>80.194806</v>
      </c>
      <c r="F19711" s="4">
        <f>IFERROR(__xludf.DUMMYFUNCTION("""COMPUTED_VALUE"""),5339.0)</f>
        <v>5339</v>
      </c>
      <c r="G19711" s="4">
        <f>IFERROR(__xludf.DUMMYFUNCTION("""COMPUTED_VALUE"""),12.0)</f>
        <v>12</v>
      </c>
      <c r="H19711" s="4"/>
      <c r="I19711" s="4"/>
    </row>
    <row r="19712">
      <c r="A19712" s="4" t="str">
        <f>IFERROR(__xludf.DUMMYFUNCTION("""COMPUTED_VALUE"""),"cas_hmw")</f>
        <v>cas_hmw</v>
      </c>
      <c r="B19712" s="5">
        <f>IFERROR(__xludf.DUMMYFUNCTION("""COMPUTED_VALUE"""),44778.0)</f>
        <v>44778</v>
      </c>
      <c r="C19712" s="6">
        <f>IFERROR(__xludf.DUMMYFUNCTION("""COMPUTED_VALUE"""),0.7144212962957681)</f>
        <v>0.7144212963</v>
      </c>
      <c r="D19712" s="4">
        <f>IFERROR(__xludf.DUMMYFUNCTION("""COMPUTED_VALUE"""),13.000572)</f>
        <v>13.000572</v>
      </c>
      <c r="E19712" s="4">
        <f>IFERROR(__xludf.DUMMYFUNCTION("""COMPUTED_VALUE"""),80.194806)</f>
        <v>80.194806</v>
      </c>
      <c r="F19712" s="4">
        <f>IFERROR(__xludf.DUMMYFUNCTION("""COMPUTED_VALUE"""),5339.0)</f>
        <v>5339</v>
      </c>
      <c r="G19712" s="4">
        <f>IFERROR(__xludf.DUMMYFUNCTION("""COMPUTED_VALUE"""),12.0)</f>
        <v>12</v>
      </c>
      <c r="H19712" s="4"/>
      <c r="I19712" s="4"/>
    </row>
    <row r="19713">
      <c r="A19713" s="4" t="str">
        <f>IFERROR(__xludf.DUMMYFUNCTION("""COMPUTED_VALUE"""),"cas_hmw")</f>
        <v>cas_hmw</v>
      </c>
      <c r="B19713" s="5">
        <f>IFERROR(__xludf.DUMMYFUNCTION("""COMPUTED_VALUE"""),44778.0)</f>
        <v>44778</v>
      </c>
      <c r="C19713" s="6">
        <f>IFERROR(__xludf.DUMMYFUNCTION("""COMPUTED_VALUE"""),0.7149652777770825)</f>
        <v>0.7149652778</v>
      </c>
      <c r="D19713" s="4">
        <f>IFERROR(__xludf.DUMMYFUNCTION("""COMPUTED_VALUE"""),13.003562)</f>
        <v>13.003562</v>
      </c>
      <c r="E19713" s="4">
        <f>IFERROR(__xludf.DUMMYFUNCTION("""COMPUTED_VALUE"""),80.200848)</f>
        <v>80.200848</v>
      </c>
      <c r="F19713" s="4">
        <f>IFERROR(__xludf.DUMMYFUNCTION("""COMPUTED_VALUE"""),805.0)</f>
        <v>805</v>
      </c>
      <c r="G19713" s="4">
        <f>IFERROR(__xludf.DUMMYFUNCTION("""COMPUTED_VALUE"""),27.0)</f>
        <v>27</v>
      </c>
      <c r="H19713" s="4"/>
      <c r="I19713" s="4"/>
    </row>
    <row r="19714">
      <c r="A19714" s="4" t="str">
        <f>IFERROR(__xludf.DUMMYFUNCTION("""COMPUTED_VALUE"""),"cas_hmw")</f>
        <v>cas_hmw</v>
      </c>
      <c r="B19714" s="5">
        <f>IFERROR(__xludf.DUMMYFUNCTION("""COMPUTED_VALUE"""),44778.0)</f>
        <v>44778</v>
      </c>
      <c r="C19714" s="6">
        <f>IFERROR(__xludf.DUMMYFUNCTION("""COMPUTED_VALUE"""),0.7149768518502242)</f>
        <v>0.7149768519</v>
      </c>
      <c r="D19714" s="4">
        <f>IFERROR(__xludf.DUMMYFUNCTION("""COMPUTED_VALUE"""),13.001975)</f>
        <v>13.001975</v>
      </c>
      <c r="E19714" s="4">
        <f>IFERROR(__xludf.DUMMYFUNCTION("""COMPUTED_VALUE"""),80.196638)</f>
        <v>80.196638</v>
      </c>
      <c r="F19714" s="4">
        <f>IFERROR(__xludf.DUMMYFUNCTION("""COMPUTED_VALUE"""),5339.0)</f>
        <v>5339</v>
      </c>
      <c r="G19714" s="4">
        <f>IFERROR(__xludf.DUMMYFUNCTION("""COMPUTED_VALUE"""),34.0)</f>
        <v>34</v>
      </c>
      <c r="H19714" s="4"/>
      <c r="I19714" s="4"/>
    </row>
    <row r="19715">
      <c r="A19715" s="4" t="str">
        <f>IFERROR(__xludf.DUMMYFUNCTION("""COMPUTED_VALUE"""),"cas_hmw")</f>
        <v>cas_hmw</v>
      </c>
      <c r="B19715" s="5">
        <f>IFERROR(__xludf.DUMMYFUNCTION("""COMPUTED_VALUE"""),44778.0)</f>
        <v>44778</v>
      </c>
      <c r="C19715" s="6">
        <f>IFERROR(__xludf.DUMMYFUNCTION("""COMPUTED_VALUE"""),0.7151736111118225)</f>
        <v>0.7151736111</v>
      </c>
      <c r="D19715" s="4">
        <f>IFERROR(__xludf.DUMMYFUNCTION("""COMPUTED_VALUE"""),13.00436)</f>
        <v>13.00436</v>
      </c>
      <c r="E19715" s="4">
        <f>IFERROR(__xludf.DUMMYFUNCTION("""COMPUTED_VALUE"""),80.201077)</f>
        <v>80.201077</v>
      </c>
      <c r="F19715" s="4">
        <f>IFERROR(__xludf.DUMMYFUNCTION("""COMPUTED_VALUE"""),805.0)</f>
        <v>805</v>
      </c>
      <c r="G19715" s="4">
        <f>IFERROR(__xludf.DUMMYFUNCTION("""COMPUTED_VALUE"""),25.0)</f>
        <v>25</v>
      </c>
      <c r="H19715" s="4"/>
      <c r="I19715" s="4"/>
    </row>
    <row r="19716">
      <c r="A19716" s="4" t="str">
        <f>IFERROR(__xludf.DUMMYFUNCTION("""COMPUTED_VALUE"""),"cas_hmw")</f>
        <v>cas_hmw</v>
      </c>
      <c r="B19716" s="5">
        <f>IFERROR(__xludf.DUMMYFUNCTION("""COMPUTED_VALUE"""),44778.0)</f>
        <v>44778</v>
      </c>
      <c r="C19716" s="6">
        <f>IFERROR(__xludf.DUMMYFUNCTION("""COMPUTED_VALUE"""),0.7155208333315386)</f>
        <v>0.7155208333</v>
      </c>
      <c r="D19716" s="4">
        <f>IFERROR(__xludf.DUMMYFUNCTION("""COMPUTED_VALUE"""),13.003381)</f>
        <v>13.003381</v>
      </c>
      <c r="E19716" s="4">
        <f>IFERROR(__xludf.DUMMYFUNCTION("""COMPUTED_VALUE"""),80.200829)</f>
        <v>80.200829</v>
      </c>
      <c r="F19716" s="4">
        <f>IFERROR(__xludf.DUMMYFUNCTION("""COMPUTED_VALUE"""),5339.0)</f>
        <v>5339</v>
      </c>
      <c r="G19716" s="4">
        <f>IFERROR(__xludf.DUMMYFUNCTION("""COMPUTED_VALUE"""),36.0)</f>
        <v>36</v>
      </c>
      <c r="H19716" s="4"/>
      <c r="I19716" s="4"/>
    </row>
    <row r="19717">
      <c r="A19717" s="4" t="str">
        <f>IFERROR(__xludf.DUMMYFUNCTION("""COMPUTED_VALUE"""),"cas_hmw")</f>
        <v>cas_hmw</v>
      </c>
      <c r="B19717" s="5">
        <f>IFERROR(__xludf.DUMMYFUNCTION("""COMPUTED_VALUE"""),44778.0)</f>
        <v>44778</v>
      </c>
      <c r="C19717" s="6">
        <f>IFERROR(__xludf.DUMMYFUNCTION("""COMPUTED_VALUE"""),0.7156712962969323)</f>
        <v>0.7156712963</v>
      </c>
      <c r="D19717" s="4">
        <f>IFERROR(__xludf.DUMMYFUNCTION("""COMPUTED_VALUE"""),13.006548)</f>
        <v>13.006548</v>
      </c>
      <c r="E19717" s="4">
        <f>IFERROR(__xludf.DUMMYFUNCTION("""COMPUTED_VALUE"""),80.203188)</f>
        <v>80.203188</v>
      </c>
      <c r="F19717" s="4">
        <f>IFERROR(__xludf.DUMMYFUNCTION("""COMPUTED_VALUE"""),805.0)</f>
        <v>805</v>
      </c>
      <c r="G19717" s="4">
        <f>IFERROR(__xludf.DUMMYFUNCTION("""COMPUTED_VALUE"""),33.0)</f>
        <v>33</v>
      </c>
      <c r="H19717" s="4"/>
      <c r="I19717" s="4"/>
    </row>
    <row r="19718">
      <c r="A19718" s="4" t="str">
        <f>IFERROR(__xludf.DUMMYFUNCTION("""COMPUTED_VALUE"""),"cas_hmw")</f>
        <v>cas_hmw</v>
      </c>
      <c r="B19718" s="5">
        <f>IFERROR(__xludf.DUMMYFUNCTION("""COMPUTED_VALUE"""),44778.0)</f>
        <v>44778</v>
      </c>
      <c r="C19718" s="6">
        <f>IFERROR(__xludf.DUMMYFUNCTION("""COMPUTED_VALUE"""),0.7159375000010186)</f>
        <v>0.7159375</v>
      </c>
      <c r="D19718" s="4">
        <f>IFERROR(__xludf.DUMMYFUNCTION("""COMPUTED_VALUE"""),13.008098)</f>
        <v>13.008098</v>
      </c>
      <c r="E19718" s="4">
        <f>IFERROR(__xludf.DUMMYFUNCTION("""COMPUTED_VALUE"""),80.202763)</f>
        <v>80.202763</v>
      </c>
      <c r="F19718" s="4">
        <f>IFERROR(__xludf.DUMMYFUNCTION("""COMPUTED_VALUE"""),805.0)</f>
        <v>805</v>
      </c>
      <c r="G19718" s="4">
        <f>IFERROR(__xludf.DUMMYFUNCTION("""COMPUTED_VALUE"""),39.0)</f>
        <v>39</v>
      </c>
      <c r="H19718" s="4"/>
      <c r="I19718" s="4"/>
    </row>
    <row r="19719">
      <c r="A19719" s="4" t="str">
        <f>IFERROR(__xludf.DUMMYFUNCTION("""COMPUTED_VALUE"""),"cas_hmw")</f>
        <v>cas_hmw</v>
      </c>
      <c r="B19719" s="5">
        <f>IFERROR(__xludf.DUMMYFUNCTION("""COMPUTED_VALUE"""),44778.0)</f>
        <v>44778</v>
      </c>
      <c r="C19719" s="6">
        <f>IFERROR(__xludf.DUMMYFUNCTION("""COMPUTED_VALUE"""),0.7160069444435067)</f>
        <v>0.7160069444</v>
      </c>
      <c r="D19719" s="4">
        <f>IFERROR(__xludf.DUMMYFUNCTION("""COMPUTED_VALUE"""),13.008098)</f>
        <v>13.008098</v>
      </c>
      <c r="E19719" s="4">
        <f>IFERROR(__xludf.DUMMYFUNCTION("""COMPUTED_VALUE"""),80.202763)</f>
        <v>80.202763</v>
      </c>
      <c r="F19719" s="4">
        <f>IFERROR(__xludf.DUMMYFUNCTION("""COMPUTED_VALUE"""),805.0)</f>
        <v>805</v>
      </c>
      <c r="G19719" s="4">
        <f>IFERROR(__xludf.DUMMYFUNCTION("""COMPUTED_VALUE"""),39.0)</f>
        <v>39</v>
      </c>
      <c r="H19719" s="4"/>
      <c r="I19719" s="4"/>
    </row>
    <row r="19720">
      <c r="A19720" s="4" t="str">
        <f>IFERROR(__xludf.DUMMYFUNCTION("""COMPUTED_VALUE"""),"cas_hmw")</f>
        <v>cas_hmw</v>
      </c>
      <c r="B19720" s="5">
        <f>IFERROR(__xludf.DUMMYFUNCTION("""COMPUTED_VALUE"""),44778.0)</f>
        <v>44778</v>
      </c>
      <c r="C19720" s="6">
        <f>IFERROR(__xludf.DUMMYFUNCTION("""COMPUTED_VALUE"""),0.7160763888896327)</f>
        <v>0.7160763889</v>
      </c>
      <c r="D19720" s="4">
        <f>IFERROR(__xludf.DUMMYFUNCTION("""COMPUTED_VALUE"""),13.007632)</f>
        <v>13.007632</v>
      </c>
      <c r="E19720" s="4">
        <f>IFERROR(__xludf.DUMMYFUNCTION("""COMPUTED_VALUE"""),80.204362)</f>
        <v>80.204362</v>
      </c>
      <c r="F19720" s="4">
        <f>IFERROR(__xludf.DUMMYFUNCTION("""COMPUTED_VALUE"""),805.0)</f>
        <v>805</v>
      </c>
      <c r="G19720" s="4">
        <f>IFERROR(__xludf.DUMMYFUNCTION("""COMPUTED_VALUE"""),55.0)</f>
        <v>55</v>
      </c>
      <c r="H19720" s="4"/>
      <c r="I19720" s="4"/>
    </row>
    <row r="19721">
      <c r="A19721" s="4" t="str">
        <f>IFERROR(__xludf.DUMMYFUNCTION("""COMPUTED_VALUE"""),"cas_hmw")</f>
        <v>cas_hmw</v>
      </c>
      <c r="B19721" s="5">
        <f>IFERROR(__xludf.DUMMYFUNCTION("""COMPUTED_VALUE"""),44778.0)</f>
        <v>44778</v>
      </c>
      <c r="C19721" s="6">
        <f>IFERROR(__xludf.DUMMYFUNCTION("""COMPUTED_VALUE"""),0.7160763888896327)</f>
        <v>0.7160763889</v>
      </c>
      <c r="D19721" s="4">
        <f>IFERROR(__xludf.DUMMYFUNCTION("""COMPUTED_VALUE"""),13.007632)</f>
        <v>13.007632</v>
      </c>
      <c r="E19721" s="4">
        <f>IFERROR(__xludf.DUMMYFUNCTION("""COMPUTED_VALUE"""),80.204362)</f>
        <v>80.204362</v>
      </c>
      <c r="F19721" s="4">
        <f>IFERROR(__xludf.DUMMYFUNCTION("""COMPUTED_VALUE"""),805.0)</f>
        <v>805</v>
      </c>
      <c r="G19721" s="4">
        <f>IFERROR(__xludf.DUMMYFUNCTION("""COMPUTED_VALUE"""),55.0)</f>
        <v>55</v>
      </c>
      <c r="H19721" s="4"/>
      <c r="I19721" s="4"/>
    </row>
    <row r="19722">
      <c r="A19722" s="4" t="str">
        <f>IFERROR(__xludf.DUMMYFUNCTION("""COMPUTED_VALUE"""),"cas_hmw")</f>
        <v>cas_hmw</v>
      </c>
      <c r="B19722" s="5">
        <f>IFERROR(__xludf.DUMMYFUNCTION("""COMPUTED_VALUE"""),44778.0)</f>
        <v>44778</v>
      </c>
      <c r="C19722" s="6">
        <f>IFERROR(__xludf.DUMMYFUNCTION("""COMPUTED_VALUE"""),0.7161226851858373)</f>
        <v>0.7161226852</v>
      </c>
      <c r="D19722" s="4">
        <f>IFERROR(__xludf.DUMMYFUNCTION("""COMPUTED_VALUE"""),13.007632)</f>
        <v>13.007632</v>
      </c>
      <c r="E19722" s="4">
        <f>IFERROR(__xludf.DUMMYFUNCTION("""COMPUTED_VALUE"""),80.204362)</f>
        <v>80.204362</v>
      </c>
      <c r="F19722" s="4">
        <f>IFERROR(__xludf.DUMMYFUNCTION("""COMPUTED_VALUE"""),805.0)</f>
        <v>805</v>
      </c>
      <c r="G19722" s="4">
        <f>IFERROR(__xludf.DUMMYFUNCTION("""COMPUTED_VALUE"""),55.0)</f>
        <v>55</v>
      </c>
      <c r="H19722" s="4"/>
      <c r="I19722" s="4"/>
    </row>
    <row r="19723">
      <c r="A19723" s="4" t="str">
        <f>IFERROR(__xludf.DUMMYFUNCTION("""COMPUTED_VALUE"""),"cas_hmw")</f>
        <v>cas_hmw</v>
      </c>
      <c r="B19723" s="5">
        <f>IFERROR(__xludf.DUMMYFUNCTION("""COMPUTED_VALUE"""),44778.0)</f>
        <v>44778</v>
      </c>
      <c r="C19723" s="6">
        <f>IFERROR(__xludf.DUMMYFUNCTION("""COMPUTED_VALUE"""),0.716412037036207)</f>
        <v>0.716412037</v>
      </c>
      <c r="D19723" s="4">
        <f>IFERROR(__xludf.DUMMYFUNCTION("""COMPUTED_VALUE"""),13.00781)</f>
        <v>13.00781</v>
      </c>
      <c r="E19723" s="4">
        <f>IFERROR(__xludf.DUMMYFUNCTION("""COMPUTED_VALUE"""),80.206577)</f>
        <v>80.206577</v>
      </c>
      <c r="F19723" s="4">
        <f>IFERROR(__xludf.DUMMYFUNCTION("""COMPUTED_VALUE"""),805.0)</f>
        <v>805</v>
      </c>
      <c r="G19723" s="4">
        <f>IFERROR(__xludf.DUMMYFUNCTION("""COMPUTED_VALUE"""),50.0)</f>
        <v>50</v>
      </c>
      <c r="H19723" s="4"/>
      <c r="I19723" s="4"/>
    </row>
    <row r="19724">
      <c r="A19724" s="4" t="str">
        <f>IFERROR(__xludf.DUMMYFUNCTION("""COMPUTED_VALUE"""),"cas_hmw")</f>
        <v>cas_hmw</v>
      </c>
      <c r="B19724" s="5">
        <f>IFERROR(__xludf.DUMMYFUNCTION("""COMPUTED_VALUE"""),44778.0)</f>
        <v>44778</v>
      </c>
      <c r="C19724" s="6">
        <f>IFERROR(__xludf.DUMMYFUNCTION("""COMPUTED_VALUE"""),0.7165393518516794)</f>
        <v>0.7165393519</v>
      </c>
      <c r="D19724" s="4">
        <f>IFERROR(__xludf.DUMMYFUNCTION("""COMPUTED_VALUE"""),13.008486)</f>
        <v>13.008486</v>
      </c>
      <c r="E19724" s="4">
        <f>IFERROR(__xludf.DUMMYFUNCTION("""COMPUTED_VALUE"""),80.203096)</f>
        <v>80.203096</v>
      </c>
      <c r="F19724" s="4">
        <f>IFERROR(__xludf.DUMMYFUNCTION("""COMPUTED_VALUE"""),5339.0)</f>
        <v>5339</v>
      </c>
      <c r="G19724" s="4">
        <f>IFERROR(__xludf.DUMMYFUNCTION("""COMPUTED_VALUE"""),37.0)</f>
        <v>37</v>
      </c>
      <c r="H19724" s="4"/>
      <c r="I19724" s="4"/>
    </row>
    <row r="19725">
      <c r="A19725" s="4" t="str">
        <f>IFERROR(__xludf.DUMMYFUNCTION("""COMPUTED_VALUE"""),"cas_hmw")</f>
        <v>cas_hmw</v>
      </c>
      <c r="B19725" s="5">
        <f>IFERROR(__xludf.DUMMYFUNCTION("""COMPUTED_VALUE"""),44778.0)</f>
        <v>44778</v>
      </c>
      <c r="C19725" s="6">
        <f>IFERROR(__xludf.DUMMYFUNCTION("""COMPUTED_VALUE"""),0.7166435185172304)</f>
        <v>0.7166435185</v>
      </c>
      <c r="D19725" s="4">
        <f>IFERROR(__xludf.DUMMYFUNCTION("""COMPUTED_VALUE"""),13.007571)</f>
        <v>13.007571</v>
      </c>
      <c r="E19725" s="4">
        <f>IFERROR(__xludf.DUMMYFUNCTION("""COMPUTED_VALUE"""),80.203483)</f>
        <v>80.203483</v>
      </c>
      <c r="F19725" s="4">
        <f>IFERROR(__xludf.DUMMYFUNCTION("""COMPUTED_VALUE"""),5339.0)</f>
        <v>5339</v>
      </c>
      <c r="G19725" s="4">
        <f>IFERROR(__xludf.DUMMYFUNCTION("""COMPUTED_VALUE"""),45.0)</f>
        <v>45</v>
      </c>
      <c r="H19725" s="4"/>
      <c r="I19725" s="4"/>
    </row>
    <row r="19726">
      <c r="A19726" s="4" t="str">
        <f>IFERROR(__xludf.DUMMYFUNCTION("""COMPUTED_VALUE"""),"cas_hmw")</f>
        <v>cas_hmw</v>
      </c>
      <c r="B19726" s="5">
        <f>IFERROR(__xludf.DUMMYFUNCTION("""COMPUTED_VALUE"""),44778.0)</f>
        <v>44778</v>
      </c>
      <c r="C19726" s="6">
        <f>IFERROR(__xludf.DUMMYFUNCTION("""COMPUTED_VALUE"""),0.7166666666671517)</f>
        <v>0.7166666667</v>
      </c>
      <c r="D19726" s="4">
        <f>IFERROR(__xludf.DUMMYFUNCTION("""COMPUTED_VALUE"""),13.007571)</f>
        <v>13.007571</v>
      </c>
      <c r="E19726" s="4">
        <f>IFERROR(__xludf.DUMMYFUNCTION("""COMPUTED_VALUE"""),80.203483)</f>
        <v>80.203483</v>
      </c>
      <c r="F19726" s="4">
        <f>IFERROR(__xludf.DUMMYFUNCTION("""COMPUTED_VALUE"""),5339.0)</f>
        <v>5339</v>
      </c>
      <c r="G19726" s="4">
        <f>IFERROR(__xludf.DUMMYFUNCTION("""COMPUTED_VALUE"""),45.0)</f>
        <v>45</v>
      </c>
      <c r="H19726" s="4"/>
      <c r="I19726" s="4"/>
    </row>
    <row r="19727">
      <c r="A19727" s="4" t="str">
        <f>IFERROR(__xludf.DUMMYFUNCTION("""COMPUTED_VALUE"""),"cas_hmw")</f>
        <v>cas_hmw</v>
      </c>
      <c r="B19727" s="5">
        <f>IFERROR(__xludf.DUMMYFUNCTION("""COMPUTED_VALUE"""),44778.0)</f>
        <v>44778</v>
      </c>
      <c r="C19727" s="6">
        <f>IFERROR(__xludf.DUMMYFUNCTION("""COMPUTED_VALUE"""),0.7166666666671517)</f>
        <v>0.7166666667</v>
      </c>
      <c r="D19727" s="4">
        <f>IFERROR(__xludf.DUMMYFUNCTION("""COMPUTED_VALUE"""),13.007571)</f>
        <v>13.007571</v>
      </c>
      <c r="E19727" s="4">
        <f>IFERROR(__xludf.DUMMYFUNCTION("""COMPUTED_VALUE"""),80.203483)</f>
        <v>80.203483</v>
      </c>
      <c r="F19727" s="4">
        <f>IFERROR(__xludf.DUMMYFUNCTION("""COMPUTED_VALUE"""),5339.0)</f>
        <v>5339</v>
      </c>
      <c r="G19727" s="4">
        <f>IFERROR(__xludf.DUMMYFUNCTION("""COMPUTED_VALUE"""),45.0)</f>
        <v>45</v>
      </c>
      <c r="H19727" s="4"/>
      <c r="I19727" s="4"/>
    </row>
    <row r="19728">
      <c r="A19728" s="4" t="str">
        <f>IFERROR(__xludf.DUMMYFUNCTION("""COMPUTED_VALUE"""),"cas_hmw")</f>
        <v>cas_hmw</v>
      </c>
      <c r="B19728" s="5">
        <f>IFERROR(__xludf.DUMMYFUNCTION("""COMPUTED_VALUE"""),44778.0)</f>
        <v>44778</v>
      </c>
      <c r="C19728" s="6">
        <f>IFERROR(__xludf.DUMMYFUNCTION("""COMPUTED_VALUE"""),0.7168055555557657)</f>
        <v>0.7168055556</v>
      </c>
      <c r="D19728" s="4">
        <f>IFERROR(__xludf.DUMMYFUNCTION("""COMPUTED_VALUE"""),13.008982)</f>
        <v>13.008982</v>
      </c>
      <c r="E19728" s="4">
        <f>IFERROR(__xludf.DUMMYFUNCTION("""COMPUTED_VALUE"""),80.211677)</f>
        <v>80.211677</v>
      </c>
      <c r="F19728" s="4">
        <f>IFERROR(__xludf.DUMMYFUNCTION("""COMPUTED_VALUE"""),805.0)</f>
        <v>805</v>
      </c>
      <c r="G19728" s="4">
        <f>IFERROR(__xludf.DUMMYFUNCTION("""COMPUTED_VALUE"""),46.0)</f>
        <v>46</v>
      </c>
      <c r="H19728" s="4"/>
      <c r="I19728" s="4"/>
    </row>
    <row r="19729">
      <c r="A19729" s="4" t="str">
        <f>IFERROR(__xludf.DUMMYFUNCTION("""COMPUTED_VALUE"""),"cas_hmw")</f>
        <v>cas_hmw</v>
      </c>
      <c r="B19729" s="5">
        <f>IFERROR(__xludf.DUMMYFUNCTION("""COMPUTED_VALUE"""),44778.0)</f>
        <v>44778</v>
      </c>
      <c r="C19729" s="6">
        <f>IFERROR(__xludf.DUMMYFUNCTION("""COMPUTED_VALUE"""),0.7168287037020491)</f>
        <v>0.7168287037</v>
      </c>
      <c r="D19729" s="4">
        <f>IFERROR(__xludf.DUMMYFUNCTION("""COMPUTED_VALUE"""),13.008982)</f>
        <v>13.008982</v>
      </c>
      <c r="E19729" s="4">
        <f>IFERROR(__xludf.DUMMYFUNCTION("""COMPUTED_VALUE"""),80.211677)</f>
        <v>80.211677</v>
      </c>
      <c r="F19729" s="4">
        <f>IFERROR(__xludf.DUMMYFUNCTION("""COMPUTED_VALUE"""),805.0)</f>
        <v>805</v>
      </c>
      <c r="G19729" s="4">
        <f>IFERROR(__xludf.DUMMYFUNCTION("""COMPUTED_VALUE"""),46.0)</f>
        <v>46</v>
      </c>
      <c r="H19729" s="4"/>
      <c r="I19729" s="4"/>
    </row>
    <row r="19730">
      <c r="A19730" s="4" t="str">
        <f>IFERROR(__xludf.DUMMYFUNCTION("""COMPUTED_VALUE"""),"cas_hmw")</f>
        <v>cas_hmw</v>
      </c>
      <c r="B19730" s="5">
        <f>IFERROR(__xludf.DUMMYFUNCTION("""COMPUTED_VALUE"""),44778.0)</f>
        <v>44778</v>
      </c>
      <c r="C19730" s="6">
        <f>IFERROR(__xludf.DUMMYFUNCTION("""COMPUTED_VALUE"""),0.7170254629636474)</f>
        <v>0.717025463</v>
      </c>
      <c r="D19730" s="4">
        <f>IFERROR(__xludf.DUMMYFUNCTION("""COMPUTED_VALUE"""),13.007914)</f>
        <v>13.007914</v>
      </c>
      <c r="E19730" s="4">
        <f>IFERROR(__xludf.DUMMYFUNCTION("""COMPUTED_VALUE"""),80.207504)</f>
        <v>80.207504</v>
      </c>
      <c r="F19730" s="4">
        <f>IFERROR(__xludf.DUMMYFUNCTION("""COMPUTED_VALUE"""),5339.0)</f>
        <v>5339</v>
      </c>
      <c r="G19730" s="4">
        <f>IFERROR(__xludf.DUMMYFUNCTION("""COMPUTED_VALUE"""),34.0)</f>
        <v>34</v>
      </c>
      <c r="H19730" s="4"/>
      <c r="I19730" s="4"/>
    </row>
    <row r="19731">
      <c r="A19731" s="4" t="str">
        <f>IFERROR(__xludf.DUMMYFUNCTION("""COMPUTED_VALUE"""),"cas_hmw")</f>
        <v>cas_hmw</v>
      </c>
      <c r="B19731" s="5">
        <f>IFERROR(__xludf.DUMMYFUNCTION("""COMPUTED_VALUE"""),44778.0)</f>
        <v>44778</v>
      </c>
      <c r="C19731" s="6">
        <f>IFERROR(__xludf.DUMMYFUNCTION("""COMPUTED_VALUE"""),0.7172222222216078)</f>
        <v>0.7172222222</v>
      </c>
      <c r="D19731" s="4">
        <f>IFERROR(__xludf.DUMMYFUNCTION("""COMPUTED_VALUE"""),13.010184)</f>
        <v>13.010184</v>
      </c>
      <c r="E19731" s="4">
        <f>IFERROR(__xludf.DUMMYFUNCTION("""COMPUTED_VALUE"""),80.215205)</f>
        <v>80.215205</v>
      </c>
      <c r="F19731" s="4">
        <f>IFERROR(__xludf.DUMMYFUNCTION("""COMPUTED_VALUE"""),805.0)</f>
        <v>805</v>
      </c>
      <c r="G19731" s="4">
        <f>IFERROR(__xludf.DUMMYFUNCTION("""COMPUTED_VALUE"""),44.0)</f>
        <v>44</v>
      </c>
      <c r="H19731" s="4"/>
      <c r="I19731" s="4"/>
    </row>
    <row r="19732">
      <c r="A19732" s="4" t="str">
        <f>IFERROR(__xludf.DUMMYFUNCTION("""COMPUTED_VALUE"""),"cas_hmw")</f>
        <v>cas_hmw</v>
      </c>
      <c r="B19732" s="5">
        <f>IFERROR(__xludf.DUMMYFUNCTION("""COMPUTED_VALUE"""),44778.0)</f>
        <v>44778</v>
      </c>
      <c r="C19732" s="6">
        <f>IFERROR(__xludf.DUMMYFUNCTION("""COMPUTED_VALUE"""),0.7186689814807323)</f>
        <v>0.7186689815</v>
      </c>
      <c r="D19732" s="4">
        <f>IFERROR(__xludf.DUMMYFUNCTION("""COMPUTED_VALUE"""),13.015087)</f>
        <v>13.015087</v>
      </c>
      <c r="E19732" s="4">
        <f>IFERROR(__xludf.DUMMYFUNCTION("""COMPUTED_VALUE"""),80.224784)</f>
        <v>80.224784</v>
      </c>
      <c r="F19732" s="4">
        <f>IFERROR(__xludf.DUMMYFUNCTION("""COMPUTED_VALUE"""),805.0)</f>
        <v>805</v>
      </c>
      <c r="G19732" s="4">
        <f>IFERROR(__xludf.DUMMYFUNCTION("""COMPUTED_VALUE"""),24.0)</f>
        <v>24</v>
      </c>
      <c r="H19732" s="4"/>
      <c r="I19732" s="4"/>
    </row>
    <row r="19733">
      <c r="A19733" s="4" t="str">
        <f>IFERROR(__xludf.DUMMYFUNCTION("""COMPUTED_VALUE"""),"cas_hmw")</f>
        <v>cas_hmw</v>
      </c>
      <c r="B19733" s="5">
        <f>IFERROR(__xludf.DUMMYFUNCTION("""COMPUTED_VALUE"""),44778.0)</f>
        <v>44778</v>
      </c>
      <c r="C19733" s="6">
        <f>IFERROR(__xludf.DUMMYFUNCTION("""COMPUTED_VALUE"""),0.7186921296306537)</f>
        <v>0.7186921296</v>
      </c>
      <c r="D19733" s="4">
        <f>IFERROR(__xludf.DUMMYFUNCTION("""COMPUTED_VALUE"""),13.015087)</f>
        <v>13.015087</v>
      </c>
      <c r="E19733" s="4">
        <f>IFERROR(__xludf.DUMMYFUNCTION("""COMPUTED_VALUE"""),80.224784)</f>
        <v>80.224784</v>
      </c>
      <c r="F19733" s="4">
        <f>IFERROR(__xludf.DUMMYFUNCTION("""COMPUTED_VALUE"""),805.0)</f>
        <v>805</v>
      </c>
      <c r="G19733" s="4">
        <f>IFERROR(__xludf.DUMMYFUNCTION("""COMPUTED_VALUE"""),24.0)</f>
        <v>24</v>
      </c>
      <c r="H19733" s="4"/>
      <c r="I19733" s="4"/>
    </row>
    <row r="19734">
      <c r="A19734" s="4" t="str">
        <f>IFERROR(__xludf.DUMMYFUNCTION("""COMPUTED_VALUE"""),"cas_hmw")</f>
        <v>cas_hmw</v>
      </c>
      <c r="B19734" s="5">
        <f>IFERROR(__xludf.DUMMYFUNCTION("""COMPUTED_VALUE"""),44778.0)</f>
        <v>44778</v>
      </c>
      <c r="C19734" s="6">
        <f>IFERROR(__xludf.DUMMYFUNCTION("""COMPUTED_VALUE"""),0.718715277776937)</f>
        <v>0.7187152778</v>
      </c>
      <c r="D19734" s="4">
        <f>IFERROR(__xludf.DUMMYFUNCTION("""COMPUTED_VALUE"""),13.009475)</f>
        <v>13.009475</v>
      </c>
      <c r="E19734" s="4">
        <f>IFERROR(__xludf.DUMMYFUNCTION("""COMPUTED_VALUE"""),80.212905)</f>
        <v>80.212905</v>
      </c>
      <c r="F19734" s="4">
        <f>IFERROR(__xludf.DUMMYFUNCTION("""COMPUTED_VALUE"""),5339.0)</f>
        <v>5339</v>
      </c>
      <c r="G19734" s="4">
        <f>IFERROR(__xludf.DUMMYFUNCTION("""COMPUTED_VALUE"""),25.0)</f>
        <v>25</v>
      </c>
      <c r="H19734" s="4"/>
      <c r="I19734" s="4"/>
    </row>
    <row r="19735">
      <c r="A19735" s="4" t="str">
        <f>IFERROR(__xludf.DUMMYFUNCTION("""COMPUTED_VALUE"""),"cas_hmw")</f>
        <v>cas_hmw</v>
      </c>
      <c r="B19735" s="5">
        <f>IFERROR(__xludf.DUMMYFUNCTION("""COMPUTED_VALUE"""),44778.0)</f>
        <v>44778</v>
      </c>
      <c r="C19735" s="6">
        <f>IFERROR(__xludf.DUMMYFUNCTION("""COMPUTED_VALUE"""),0.71875)</f>
        <v>0.71875</v>
      </c>
      <c r="D19735" s="4">
        <f>IFERROR(__xludf.DUMMYFUNCTION("""COMPUTED_VALUE"""),13.015087)</f>
        <v>13.015087</v>
      </c>
      <c r="E19735" s="4">
        <f>IFERROR(__xludf.DUMMYFUNCTION("""COMPUTED_VALUE"""),80.224784)</f>
        <v>80.224784</v>
      </c>
      <c r="F19735" s="4">
        <f>IFERROR(__xludf.DUMMYFUNCTION("""COMPUTED_VALUE"""),805.0)</f>
        <v>805</v>
      </c>
      <c r="G19735" s="4">
        <f>IFERROR(__xludf.DUMMYFUNCTION("""COMPUTED_VALUE"""),24.0)</f>
        <v>24</v>
      </c>
      <c r="H19735" s="4"/>
      <c r="I19735" s="4"/>
    </row>
    <row r="19736">
      <c r="A19736" s="4" t="str">
        <f>IFERROR(__xludf.DUMMYFUNCTION("""COMPUTED_VALUE"""),"cas_hmw")</f>
        <v>cas_hmw</v>
      </c>
      <c r="B19736" s="5">
        <f>IFERROR(__xludf.DUMMYFUNCTION("""COMPUTED_VALUE"""),44778.0)</f>
        <v>44778</v>
      </c>
      <c r="C19736" s="6">
        <f>IFERROR(__xludf.DUMMYFUNCTION("""COMPUTED_VALUE"""),0.7187615740731417)</f>
        <v>0.7187615741</v>
      </c>
      <c r="D19736" s="4">
        <f>IFERROR(__xludf.DUMMYFUNCTION("""COMPUTED_VALUE"""),13.015087)</f>
        <v>13.015087</v>
      </c>
      <c r="E19736" s="4">
        <f>IFERROR(__xludf.DUMMYFUNCTION("""COMPUTED_VALUE"""),80.224784)</f>
        <v>80.224784</v>
      </c>
      <c r="F19736" s="4">
        <f>IFERROR(__xludf.DUMMYFUNCTION("""COMPUTED_VALUE"""),805.0)</f>
        <v>805</v>
      </c>
      <c r="G19736" s="4">
        <f>IFERROR(__xludf.DUMMYFUNCTION("""COMPUTED_VALUE"""),24.0)</f>
        <v>24</v>
      </c>
      <c r="H19736" s="4"/>
      <c r="I19736" s="4"/>
    </row>
    <row r="19737">
      <c r="A19737" s="4" t="str">
        <f>IFERROR(__xludf.DUMMYFUNCTION("""COMPUTED_VALUE"""),"cas_hmw")</f>
        <v>cas_hmw</v>
      </c>
      <c r="B19737" s="5">
        <f>IFERROR(__xludf.DUMMYFUNCTION("""COMPUTED_VALUE"""),44778.0)</f>
        <v>44778</v>
      </c>
      <c r="C19737" s="6">
        <f>IFERROR(__xludf.DUMMYFUNCTION("""COMPUTED_VALUE"""),0.718819444446126)</f>
        <v>0.7188194444</v>
      </c>
      <c r="D19737" s="4">
        <f>IFERROR(__xludf.DUMMYFUNCTION("""COMPUTED_VALUE"""),13.009475)</f>
        <v>13.009475</v>
      </c>
      <c r="E19737" s="4">
        <f>IFERROR(__xludf.DUMMYFUNCTION("""COMPUTED_VALUE"""),80.212905)</f>
        <v>80.212905</v>
      </c>
      <c r="F19737" s="4">
        <f>IFERROR(__xludf.DUMMYFUNCTION("""COMPUTED_VALUE"""),5339.0)</f>
        <v>5339</v>
      </c>
      <c r="G19737" s="4">
        <f>IFERROR(__xludf.DUMMYFUNCTION("""COMPUTED_VALUE"""),25.0)</f>
        <v>25</v>
      </c>
      <c r="H19737" s="4"/>
      <c r="I19737" s="4"/>
    </row>
    <row r="19738">
      <c r="A19738" s="4" t="str">
        <f>IFERROR(__xludf.DUMMYFUNCTION("""COMPUTED_VALUE"""),"cas_hmw")</f>
        <v>cas_hmw</v>
      </c>
      <c r="B19738" s="5">
        <f>IFERROR(__xludf.DUMMYFUNCTION("""COMPUTED_VALUE"""),44778.0)</f>
        <v>44778</v>
      </c>
      <c r="C19738" s="6">
        <f>IFERROR(__xludf.DUMMYFUNCTION("""COMPUTED_VALUE"""),0.718819444446126)</f>
        <v>0.7188194444</v>
      </c>
      <c r="D19738" s="4">
        <f>IFERROR(__xludf.DUMMYFUNCTION("""COMPUTED_VALUE"""),13.009475)</f>
        <v>13.009475</v>
      </c>
      <c r="E19738" s="4">
        <f>IFERROR(__xludf.DUMMYFUNCTION("""COMPUTED_VALUE"""),80.212905)</f>
        <v>80.212905</v>
      </c>
      <c r="F19738" s="4">
        <f>IFERROR(__xludf.DUMMYFUNCTION("""COMPUTED_VALUE"""),5339.0)</f>
        <v>5339</v>
      </c>
      <c r="G19738" s="4">
        <f>IFERROR(__xludf.DUMMYFUNCTION("""COMPUTED_VALUE"""),25.0)</f>
        <v>25</v>
      </c>
      <c r="H19738" s="4"/>
      <c r="I19738" s="4"/>
    </row>
    <row r="19739">
      <c r="A19739" s="4" t="str">
        <f>IFERROR(__xludf.DUMMYFUNCTION("""COMPUTED_VALUE"""),"cas_hmw")</f>
        <v>cas_hmw</v>
      </c>
      <c r="B19739" s="5">
        <f>IFERROR(__xludf.DUMMYFUNCTION("""COMPUTED_VALUE"""),44778.0)</f>
        <v>44778</v>
      </c>
      <c r="C19739" s="6">
        <f>IFERROR(__xludf.DUMMYFUNCTION("""COMPUTED_VALUE"""),0.718923611111677)</f>
        <v>0.7189236111</v>
      </c>
      <c r="D19739" s="4">
        <f>IFERROR(__xludf.DUMMYFUNCTION("""COMPUTED_VALUE"""),13.009922)</f>
        <v>13.009922</v>
      </c>
      <c r="E19739" s="4">
        <f>IFERROR(__xludf.DUMMYFUNCTION("""COMPUTED_VALUE"""),80.214035)</f>
        <v>80.214035</v>
      </c>
      <c r="F19739" s="4">
        <f>IFERROR(__xludf.DUMMYFUNCTION("""COMPUTED_VALUE"""),5339.0)</f>
        <v>5339</v>
      </c>
      <c r="G19739" s="4">
        <f>IFERROR(__xludf.DUMMYFUNCTION("""COMPUTED_VALUE"""),26.0)</f>
        <v>26</v>
      </c>
      <c r="H19739" s="4"/>
      <c r="I19739" s="4"/>
    </row>
    <row r="19740">
      <c r="A19740" s="4" t="str">
        <f>IFERROR(__xludf.DUMMYFUNCTION("""COMPUTED_VALUE"""),"cas_hmw")</f>
        <v>cas_hmw</v>
      </c>
      <c r="B19740" s="5">
        <f>IFERROR(__xludf.DUMMYFUNCTION("""COMPUTED_VALUE"""),44778.0)</f>
        <v>44778</v>
      </c>
      <c r="C19740" s="6">
        <f>IFERROR(__xludf.DUMMYFUNCTION("""COMPUTED_VALUE"""),0.718993055554165)</f>
        <v>0.7189930556</v>
      </c>
      <c r="D19740" s="4">
        <f>IFERROR(__xludf.DUMMYFUNCTION("""COMPUTED_VALUE"""),13.015463)</f>
        <v>13.015463</v>
      </c>
      <c r="E19740" s="4">
        <f>IFERROR(__xludf.DUMMYFUNCTION("""COMPUTED_VALUE"""),80.22543)</f>
        <v>80.22543</v>
      </c>
      <c r="F19740" s="4">
        <f>IFERROR(__xludf.DUMMYFUNCTION("""COMPUTED_VALUE"""),805.0)</f>
        <v>805</v>
      </c>
      <c r="G19740" s="4">
        <f>IFERROR(__xludf.DUMMYFUNCTION("""COMPUTED_VALUE"""),13.0)</f>
        <v>13</v>
      </c>
      <c r="H19740" s="4"/>
      <c r="I19740" s="4"/>
    </row>
    <row r="19741">
      <c r="A19741" s="4" t="str">
        <f>IFERROR(__xludf.DUMMYFUNCTION("""COMPUTED_VALUE"""),"cas_hmw")</f>
        <v>cas_hmw</v>
      </c>
      <c r="B19741" s="5">
        <f>IFERROR(__xludf.DUMMYFUNCTION("""COMPUTED_VALUE"""),44778.0)</f>
        <v>44778</v>
      </c>
      <c r="C19741" s="6">
        <f>IFERROR(__xludf.DUMMYFUNCTION("""COMPUTED_VALUE"""),0.719027777777228)</f>
        <v>0.7190277778</v>
      </c>
      <c r="D19741" s="4">
        <f>IFERROR(__xludf.DUMMYFUNCTION("""COMPUTED_VALUE"""),13.009922)</f>
        <v>13.009922</v>
      </c>
      <c r="E19741" s="4">
        <f>IFERROR(__xludf.DUMMYFUNCTION("""COMPUTED_VALUE"""),80.214035)</f>
        <v>80.214035</v>
      </c>
      <c r="F19741" s="4">
        <f>IFERROR(__xludf.DUMMYFUNCTION("""COMPUTED_VALUE"""),5339.0)</f>
        <v>5339</v>
      </c>
      <c r="G19741" s="4">
        <f>IFERROR(__xludf.DUMMYFUNCTION("""COMPUTED_VALUE"""),26.0)</f>
        <v>26</v>
      </c>
      <c r="H19741" s="4"/>
      <c r="I19741" s="4"/>
    </row>
    <row r="19742">
      <c r="A19742" s="4" t="str">
        <f>IFERROR(__xludf.DUMMYFUNCTION("""COMPUTED_VALUE"""),"cas_hmw")</f>
        <v>cas_hmw</v>
      </c>
      <c r="B19742" s="5">
        <f>IFERROR(__xludf.DUMMYFUNCTION("""COMPUTED_VALUE"""),44778.0)</f>
        <v>44778</v>
      </c>
      <c r="C19742" s="6">
        <f>IFERROR(__xludf.DUMMYFUNCTION("""COMPUTED_VALUE"""),0.7190509259271494)</f>
        <v>0.7190509259</v>
      </c>
      <c r="D19742" s="4">
        <f>IFERROR(__xludf.DUMMYFUNCTION("""COMPUTED_VALUE"""),13.009922)</f>
        <v>13.009922</v>
      </c>
      <c r="E19742" s="4">
        <f>IFERROR(__xludf.DUMMYFUNCTION("""COMPUTED_VALUE"""),80.214035)</f>
        <v>80.214035</v>
      </c>
      <c r="F19742" s="4">
        <f>IFERROR(__xludf.DUMMYFUNCTION("""COMPUTED_VALUE"""),5339.0)</f>
        <v>5339</v>
      </c>
      <c r="G19742" s="4">
        <f>IFERROR(__xludf.DUMMYFUNCTION("""COMPUTED_VALUE"""),26.0)</f>
        <v>26</v>
      </c>
      <c r="H19742" s="4"/>
      <c r="I19742" s="4"/>
    </row>
    <row r="19743">
      <c r="A19743" s="4" t="str">
        <f>IFERROR(__xludf.DUMMYFUNCTION("""COMPUTED_VALUE"""),"cas_hmw")</f>
        <v>cas_hmw</v>
      </c>
      <c r="B19743" s="5">
        <f>IFERROR(__xludf.DUMMYFUNCTION("""COMPUTED_VALUE"""),44778.0)</f>
        <v>44778</v>
      </c>
      <c r="C19743" s="6">
        <f>IFERROR(__xludf.DUMMYFUNCTION("""COMPUTED_VALUE"""),0.719062500000291)</f>
        <v>0.7190625</v>
      </c>
      <c r="D19743" s="4">
        <f>IFERROR(__xludf.DUMMYFUNCTION("""COMPUTED_VALUE"""),13.009922)</f>
        <v>13.009922</v>
      </c>
      <c r="E19743" s="4">
        <f>IFERROR(__xludf.DUMMYFUNCTION("""COMPUTED_VALUE"""),80.214035)</f>
        <v>80.214035</v>
      </c>
      <c r="F19743" s="4">
        <f>IFERROR(__xludf.DUMMYFUNCTION("""COMPUTED_VALUE"""),5339.0)</f>
        <v>5339</v>
      </c>
      <c r="G19743" s="4">
        <f>IFERROR(__xludf.DUMMYFUNCTION("""COMPUTED_VALUE"""),26.0)</f>
        <v>26</v>
      </c>
      <c r="H19743" s="4"/>
      <c r="I19743" s="4"/>
    </row>
    <row r="19744">
      <c r="A19744" s="4" t="str">
        <f>IFERROR(__xludf.DUMMYFUNCTION("""COMPUTED_VALUE"""),"cas_hmw")</f>
        <v>cas_hmw</v>
      </c>
      <c r="B19744" s="5">
        <f>IFERROR(__xludf.DUMMYFUNCTION("""COMPUTED_VALUE"""),44778.0)</f>
        <v>44778</v>
      </c>
      <c r="C19744" s="6">
        <f>IFERROR(__xludf.DUMMYFUNCTION("""COMPUTED_VALUE"""),0.7191666666658421)</f>
        <v>0.7191666667</v>
      </c>
      <c r="D19744" s="4">
        <f>IFERROR(__xludf.DUMMYFUNCTION("""COMPUTED_VALUE"""),13.015155)</f>
        <v>13.015155</v>
      </c>
      <c r="E19744" s="4">
        <f>IFERROR(__xludf.DUMMYFUNCTION("""COMPUTED_VALUE"""),80.225837)</f>
        <v>80.225837</v>
      </c>
      <c r="F19744" s="4">
        <f>IFERROR(__xludf.DUMMYFUNCTION("""COMPUTED_VALUE"""),805.0)</f>
        <v>805</v>
      </c>
      <c r="G19744" s="4">
        <f>IFERROR(__xludf.DUMMYFUNCTION("""COMPUTED_VALUE"""),19.0)</f>
        <v>19</v>
      </c>
      <c r="H19744" s="4"/>
      <c r="I19744" s="4"/>
    </row>
    <row r="19745">
      <c r="A19745" s="4" t="str">
        <f>IFERROR(__xludf.DUMMYFUNCTION("""COMPUTED_VALUE"""),"cas_hmw")</f>
        <v>cas_hmw</v>
      </c>
      <c r="B19745" s="5">
        <f>IFERROR(__xludf.DUMMYFUNCTION("""COMPUTED_VALUE"""),44778.0)</f>
        <v>44778</v>
      </c>
      <c r="C19745" s="6">
        <f>IFERROR(__xludf.DUMMYFUNCTION("""COMPUTED_VALUE"""),0.7192708333350311)</f>
        <v>0.7192708333</v>
      </c>
      <c r="D19745" s="4">
        <f>IFERROR(__xludf.DUMMYFUNCTION("""COMPUTED_VALUE"""),13.010634)</f>
        <v>13.010634</v>
      </c>
      <c r="E19745" s="4">
        <f>IFERROR(__xludf.DUMMYFUNCTION("""COMPUTED_VALUE"""),80.216422)</f>
        <v>80.216422</v>
      </c>
      <c r="F19745" s="4">
        <f>IFERROR(__xludf.DUMMYFUNCTION("""COMPUTED_VALUE"""),5339.0)</f>
        <v>5339</v>
      </c>
      <c r="G19745" s="4">
        <f>IFERROR(__xludf.DUMMYFUNCTION("""COMPUTED_VALUE"""),33.0)</f>
        <v>33</v>
      </c>
      <c r="H19745" s="4"/>
      <c r="I19745" s="4"/>
    </row>
    <row r="19746">
      <c r="A19746" s="4" t="str">
        <f>IFERROR(__xludf.DUMMYFUNCTION("""COMPUTED_VALUE"""),"cas_hmw")</f>
        <v>cas_hmw</v>
      </c>
      <c r="B19746" s="5">
        <f>IFERROR(__xludf.DUMMYFUNCTION("""COMPUTED_VALUE"""),44778.0)</f>
        <v>44778</v>
      </c>
      <c r="C19746" s="6">
        <f>IFERROR(__xludf.DUMMYFUNCTION("""COMPUTED_VALUE"""),0.7192939814813144)</f>
        <v>0.7192939815</v>
      </c>
      <c r="D19746" s="4">
        <f>IFERROR(__xludf.DUMMYFUNCTION("""COMPUTED_VALUE"""),13.014209)</f>
        <v>13.014209</v>
      </c>
      <c r="E19746" s="4">
        <f>IFERROR(__xludf.DUMMYFUNCTION("""COMPUTED_VALUE"""),80.226231)</f>
        <v>80.226231</v>
      </c>
      <c r="F19746" s="4">
        <f>IFERROR(__xludf.DUMMYFUNCTION("""COMPUTED_VALUE"""),805.0)</f>
        <v>805</v>
      </c>
      <c r="G19746" s="4">
        <f>IFERROR(__xludf.DUMMYFUNCTION("""COMPUTED_VALUE"""),27.0)</f>
        <v>27</v>
      </c>
      <c r="H19746" s="4"/>
      <c r="I19746" s="4"/>
    </row>
    <row r="19747">
      <c r="A19747" s="4" t="str">
        <f>IFERROR(__xludf.DUMMYFUNCTION("""COMPUTED_VALUE"""),"cas_hmw")</f>
        <v>cas_hmw</v>
      </c>
      <c r="B19747" s="5">
        <f>IFERROR(__xludf.DUMMYFUNCTION("""COMPUTED_VALUE"""),44778.0)</f>
        <v>44778</v>
      </c>
      <c r="C19747" s="6">
        <f>IFERROR(__xludf.DUMMYFUNCTION("""COMPUTED_VALUE"""),0.7196643518509518)</f>
        <v>0.7196643519</v>
      </c>
      <c r="D19747" s="4">
        <f>IFERROR(__xludf.DUMMYFUNCTION("""COMPUTED_VALUE"""),13.011348)</f>
        <v>13.011348</v>
      </c>
      <c r="E19747" s="4">
        <f>IFERROR(__xludf.DUMMYFUNCTION("""COMPUTED_VALUE"""),80.227407)</f>
        <v>80.227407</v>
      </c>
      <c r="F19747" s="4">
        <f>IFERROR(__xludf.DUMMYFUNCTION("""COMPUTED_VALUE"""),805.0)</f>
        <v>805</v>
      </c>
      <c r="G19747" s="4">
        <f>IFERROR(__xludf.DUMMYFUNCTION("""COMPUTED_VALUE"""),35.0)</f>
        <v>35</v>
      </c>
      <c r="H19747" s="4"/>
      <c r="I19747" s="4"/>
    </row>
    <row r="19748">
      <c r="A19748" s="4" t="str">
        <f>IFERROR(__xludf.DUMMYFUNCTION("""COMPUTED_VALUE"""),"cas_hmw")</f>
        <v>cas_hmw</v>
      </c>
      <c r="B19748" s="5">
        <f>IFERROR(__xludf.DUMMYFUNCTION("""COMPUTED_VALUE"""),44778.0)</f>
        <v>44778</v>
      </c>
      <c r="C19748" s="6">
        <f>IFERROR(__xludf.DUMMYFUNCTION("""COMPUTED_VALUE"""),0.7200231481474475)</f>
        <v>0.7200231481</v>
      </c>
      <c r="D19748" s="4">
        <f>IFERROR(__xludf.DUMMYFUNCTION("""COMPUTED_VALUE"""),12.676346)</f>
        <v>12.676346</v>
      </c>
      <c r="E19748" s="4">
        <f>IFERROR(__xludf.DUMMYFUNCTION("""COMPUTED_VALUE"""),79.978495)</f>
        <v>79.978495</v>
      </c>
      <c r="F19748" s="4">
        <f>IFERROR(__xludf.DUMMYFUNCTION("""COMPUTED_VALUE"""),2846.0)</f>
        <v>2846</v>
      </c>
      <c r="G19748" s="4">
        <f>IFERROR(__xludf.DUMMYFUNCTION("""COMPUTED_VALUE"""),46.0)</f>
        <v>46</v>
      </c>
      <c r="H19748" s="4"/>
      <c r="I19748" s="4"/>
    </row>
    <row r="19749">
      <c r="A19749" s="4" t="str">
        <f>IFERROR(__xludf.DUMMYFUNCTION("""COMPUTED_VALUE"""),"cas_hmw")</f>
        <v>cas_hmw</v>
      </c>
      <c r="B19749" s="5">
        <f>IFERROR(__xludf.DUMMYFUNCTION("""COMPUTED_VALUE"""),44778.0)</f>
        <v>44778</v>
      </c>
      <c r="C19749" s="6">
        <f>IFERROR(__xludf.DUMMYFUNCTION("""COMPUTED_VALUE"""),0.7207986111097853)</f>
        <v>0.7207986111</v>
      </c>
      <c r="D19749" s="4">
        <f>IFERROR(__xludf.DUMMYFUNCTION("""COMPUTED_VALUE"""),13.007958)</f>
        <v>13.007958</v>
      </c>
      <c r="E19749" s="4">
        <f>IFERROR(__xludf.DUMMYFUNCTION("""COMPUTED_VALUE"""),80.234738)</f>
        <v>80.234738</v>
      </c>
      <c r="F19749" s="4">
        <f>IFERROR(__xludf.DUMMYFUNCTION("""COMPUTED_VALUE"""),805.0)</f>
        <v>805</v>
      </c>
      <c r="G19749" s="4">
        <f>IFERROR(__xludf.DUMMYFUNCTION("""COMPUTED_VALUE"""),2.0)</f>
        <v>2</v>
      </c>
      <c r="H19749" s="4"/>
      <c r="I19749" s="4"/>
    </row>
    <row r="19750">
      <c r="A19750" s="4" t="str">
        <f>IFERROR(__xludf.DUMMYFUNCTION("""COMPUTED_VALUE"""),"cas_hmw")</f>
        <v>cas_hmw</v>
      </c>
      <c r="B19750" s="5">
        <f>IFERROR(__xludf.DUMMYFUNCTION("""COMPUTED_VALUE"""),44778.0)</f>
        <v>44778</v>
      </c>
      <c r="C19750" s="6">
        <f>IFERROR(__xludf.DUMMYFUNCTION("""COMPUTED_VALUE"""),0.7208680555559113)</f>
        <v>0.7208680556</v>
      </c>
      <c r="D19750" s="4">
        <f>IFERROR(__xludf.DUMMYFUNCTION("""COMPUTED_VALUE"""),13.007958)</f>
        <v>13.007958</v>
      </c>
      <c r="E19750" s="4">
        <f>IFERROR(__xludf.DUMMYFUNCTION("""COMPUTED_VALUE"""),80.234738)</f>
        <v>80.234738</v>
      </c>
      <c r="F19750" s="4">
        <f>IFERROR(__xludf.DUMMYFUNCTION("""COMPUTED_VALUE"""),805.0)</f>
        <v>805</v>
      </c>
      <c r="G19750" s="4">
        <f>IFERROR(__xludf.DUMMYFUNCTION("""COMPUTED_VALUE"""),2.0)</f>
        <v>2</v>
      </c>
      <c r="H19750" s="4"/>
      <c r="I19750" s="4"/>
    </row>
    <row r="19751">
      <c r="A19751" s="4" t="str">
        <f>IFERROR(__xludf.DUMMYFUNCTION("""COMPUTED_VALUE"""),"cas_hmw")</f>
        <v>cas_hmw</v>
      </c>
      <c r="B19751" s="5">
        <f>IFERROR(__xludf.DUMMYFUNCTION("""COMPUTED_VALUE"""),44778.0)</f>
        <v>44778</v>
      </c>
      <c r="C19751" s="6">
        <f>IFERROR(__xludf.DUMMYFUNCTION("""COMPUTED_VALUE"""),0.7208796296290529)</f>
        <v>0.7208796296</v>
      </c>
      <c r="D19751" s="4">
        <f>IFERROR(__xludf.DUMMYFUNCTION("""COMPUTED_VALUE"""),13.007958)</f>
        <v>13.007958</v>
      </c>
      <c r="E19751" s="4">
        <f>IFERROR(__xludf.DUMMYFUNCTION("""COMPUTED_VALUE"""),80.234738)</f>
        <v>80.234738</v>
      </c>
      <c r="F19751" s="4">
        <f>IFERROR(__xludf.DUMMYFUNCTION("""COMPUTED_VALUE"""),805.0)</f>
        <v>805</v>
      </c>
      <c r="G19751" s="4">
        <f>IFERROR(__xludf.DUMMYFUNCTION("""COMPUTED_VALUE"""),2.0)</f>
        <v>2</v>
      </c>
      <c r="H19751" s="4"/>
      <c r="I19751" s="4"/>
    </row>
    <row r="19752">
      <c r="A19752" s="4" t="str">
        <f>IFERROR(__xludf.DUMMYFUNCTION("""COMPUTED_VALUE"""),"cas_hmw")</f>
        <v>cas_hmw</v>
      </c>
      <c r="B19752" s="5">
        <f>IFERROR(__xludf.DUMMYFUNCTION("""COMPUTED_VALUE"""),44778.0)</f>
        <v>44778</v>
      </c>
      <c r="C19752" s="6">
        <f>IFERROR(__xludf.DUMMYFUNCTION("""COMPUTED_VALUE"""),0.7217939814800047)</f>
        <v>0.7217939815</v>
      </c>
      <c r="D19752" s="4">
        <f>IFERROR(__xludf.DUMMYFUNCTION("""COMPUTED_VALUE"""),13.007295)</f>
        <v>13.007295</v>
      </c>
      <c r="E19752" s="4">
        <f>IFERROR(__xludf.DUMMYFUNCTION("""COMPUTED_VALUE"""),80.238092)</f>
        <v>80.238092</v>
      </c>
      <c r="F19752" s="4">
        <f>IFERROR(__xludf.DUMMYFUNCTION("""COMPUTED_VALUE"""),805.0)</f>
        <v>805</v>
      </c>
      <c r="G19752" s="4">
        <f>IFERROR(__xludf.DUMMYFUNCTION("""COMPUTED_VALUE"""),4.0)</f>
        <v>4</v>
      </c>
      <c r="H19752" s="4"/>
      <c r="I19752" s="4"/>
    </row>
    <row r="19753">
      <c r="A19753" s="4" t="str">
        <f>IFERROR(__xludf.DUMMYFUNCTION("""COMPUTED_VALUE"""),"cas_hmw")</f>
        <v>cas_hmw</v>
      </c>
      <c r="B19753" s="5">
        <f>IFERROR(__xludf.DUMMYFUNCTION("""COMPUTED_VALUE"""),44778.0)</f>
        <v>44778</v>
      </c>
      <c r="C19753" s="6">
        <f>IFERROR(__xludf.DUMMYFUNCTION("""COMPUTED_VALUE"""),0.7218518518529891)</f>
        <v>0.7218518519</v>
      </c>
      <c r="D19753" s="4">
        <f>IFERROR(__xludf.DUMMYFUNCTION("""COMPUTED_VALUE"""),13.007242)</f>
        <v>13.007242</v>
      </c>
      <c r="E19753" s="4">
        <f>IFERROR(__xludf.DUMMYFUNCTION("""COMPUTED_VALUE"""),80.23828)</f>
        <v>80.23828</v>
      </c>
      <c r="F19753" s="4">
        <f>IFERROR(__xludf.DUMMYFUNCTION("""COMPUTED_VALUE"""),805.0)</f>
        <v>805</v>
      </c>
      <c r="G19753" s="4">
        <f>IFERROR(__xludf.DUMMYFUNCTION("""COMPUTED_VALUE"""),7.0)</f>
        <v>7</v>
      </c>
      <c r="H19753" s="4"/>
      <c r="I19753" s="4"/>
    </row>
    <row r="19754">
      <c r="A19754" s="4" t="str">
        <f>IFERROR(__xludf.DUMMYFUNCTION("""COMPUTED_VALUE"""),"cas_hmw")</f>
        <v>cas_hmw</v>
      </c>
      <c r="B19754" s="5">
        <f>IFERROR(__xludf.DUMMYFUNCTION("""COMPUTED_VALUE"""),44778.0)</f>
        <v>44778</v>
      </c>
      <c r="C19754" s="6">
        <f>IFERROR(__xludf.DUMMYFUNCTION("""COMPUTED_VALUE"""),0.7218518518529891)</f>
        <v>0.7218518519</v>
      </c>
      <c r="D19754" s="4">
        <f>IFERROR(__xludf.DUMMYFUNCTION("""COMPUTED_VALUE"""),13.007242)</f>
        <v>13.007242</v>
      </c>
      <c r="E19754" s="4">
        <f>IFERROR(__xludf.DUMMYFUNCTION("""COMPUTED_VALUE"""),80.23828)</f>
        <v>80.23828</v>
      </c>
      <c r="F19754" s="4">
        <f>IFERROR(__xludf.DUMMYFUNCTION("""COMPUTED_VALUE"""),805.0)</f>
        <v>805</v>
      </c>
      <c r="G19754" s="4">
        <f>IFERROR(__xludf.DUMMYFUNCTION("""COMPUTED_VALUE"""),7.0)</f>
        <v>7</v>
      </c>
      <c r="H19754" s="4"/>
      <c r="I19754" s="4"/>
    </row>
    <row r="19755">
      <c r="A19755" s="4" t="str">
        <f>IFERROR(__xludf.DUMMYFUNCTION("""COMPUTED_VALUE"""),"cas_hmw")</f>
        <v>cas_hmw</v>
      </c>
      <c r="B19755" s="5">
        <f>IFERROR(__xludf.DUMMYFUNCTION("""COMPUTED_VALUE"""),44778.0)</f>
        <v>44778</v>
      </c>
      <c r="C19755" s="6">
        <f>IFERROR(__xludf.DUMMYFUNCTION("""COMPUTED_VALUE"""),0.7220138888878864)</f>
        <v>0.7220138889</v>
      </c>
      <c r="D19755" s="4">
        <f>IFERROR(__xludf.DUMMYFUNCTION("""COMPUTED_VALUE"""),13.007082)</f>
        <v>13.007082</v>
      </c>
      <c r="E19755" s="4">
        <f>IFERROR(__xludf.DUMMYFUNCTION("""COMPUTED_VALUE"""),80.239084)</f>
        <v>80.239084</v>
      </c>
      <c r="F19755" s="4">
        <f>IFERROR(__xludf.DUMMYFUNCTION("""COMPUTED_VALUE"""),805.0)</f>
        <v>805</v>
      </c>
      <c r="G19755" s="4">
        <f>IFERROR(__xludf.DUMMYFUNCTION("""COMPUTED_VALUE"""),18.0)</f>
        <v>18</v>
      </c>
      <c r="H19755" s="4"/>
      <c r="I19755" s="4"/>
    </row>
    <row r="19756">
      <c r="A19756" s="4" t="str">
        <f>IFERROR(__xludf.DUMMYFUNCTION("""COMPUTED_VALUE"""),"cas_hmw")</f>
        <v>cas_hmw</v>
      </c>
      <c r="B19756" s="5">
        <f>IFERROR(__xludf.DUMMYFUNCTION("""COMPUTED_VALUE"""),44778.0)</f>
        <v>44778</v>
      </c>
      <c r="C19756" s="6">
        <f>IFERROR(__xludf.DUMMYFUNCTION("""COMPUTED_VALUE"""),0.7222569444456894)</f>
        <v>0.7222569444</v>
      </c>
      <c r="D19756" s="4">
        <f>IFERROR(__xludf.DUMMYFUNCTION("""COMPUTED_VALUE"""),13.022645)</f>
        <v>13.022645</v>
      </c>
      <c r="E19756" s="4">
        <f>IFERROR(__xludf.DUMMYFUNCTION("""COMPUTED_VALUE"""),80.2268)</f>
        <v>80.2268</v>
      </c>
      <c r="F19756" s="4">
        <f>IFERROR(__xludf.DUMMYFUNCTION("""COMPUTED_VALUE"""),5339.0)</f>
        <v>5339</v>
      </c>
      <c r="G19756" s="4">
        <f>IFERROR(__xludf.DUMMYFUNCTION("""COMPUTED_VALUE"""),47.0)</f>
        <v>47</v>
      </c>
      <c r="H19756" s="4"/>
      <c r="I19756" s="4"/>
    </row>
    <row r="19757">
      <c r="A19757" s="4" t="str">
        <f>IFERROR(__xludf.DUMMYFUNCTION("""COMPUTED_VALUE"""),"cas_hmw")</f>
        <v>cas_hmw</v>
      </c>
      <c r="B19757" s="5">
        <f>IFERROR(__xludf.DUMMYFUNCTION("""COMPUTED_VALUE"""),44778.0)</f>
        <v>44778</v>
      </c>
      <c r="C19757" s="6">
        <f>IFERROR(__xludf.DUMMYFUNCTION("""COMPUTED_VALUE"""),0.7224305555573665)</f>
        <v>0.7224305556</v>
      </c>
      <c r="D19757" s="4">
        <f>IFERROR(__xludf.DUMMYFUNCTION("""COMPUTED_VALUE"""),13.006716)</f>
        <v>13.006716</v>
      </c>
      <c r="E19757" s="4">
        <f>IFERROR(__xludf.DUMMYFUNCTION("""COMPUTED_VALUE"""),80.241087)</f>
        <v>80.241087</v>
      </c>
      <c r="F19757" s="4">
        <f>IFERROR(__xludf.DUMMYFUNCTION("""COMPUTED_VALUE"""),805.0)</f>
        <v>805</v>
      </c>
      <c r="G19757" s="4">
        <f>IFERROR(__xludf.DUMMYFUNCTION("""COMPUTED_VALUE"""),22.0)</f>
        <v>22</v>
      </c>
      <c r="H19757" s="4"/>
      <c r="I19757" s="4"/>
    </row>
    <row r="19758">
      <c r="A19758" s="4" t="str">
        <f>IFERROR(__xludf.DUMMYFUNCTION("""COMPUTED_VALUE"""),"cas_hmw")</f>
        <v>cas_hmw</v>
      </c>
      <c r="B19758" s="5">
        <f>IFERROR(__xludf.DUMMYFUNCTION("""COMPUTED_VALUE"""),44778.0)</f>
        <v>44778</v>
      </c>
      <c r="C19758" s="6">
        <f>IFERROR(__xludf.DUMMYFUNCTION("""COMPUTED_VALUE"""),0.7229050925925549)</f>
        <v>0.7229050926</v>
      </c>
      <c r="D19758" s="4">
        <f>IFERROR(__xludf.DUMMYFUNCTION("""COMPUTED_VALUE"""),12.66065)</f>
        <v>12.66065</v>
      </c>
      <c r="E19758" s="4">
        <f>IFERROR(__xludf.DUMMYFUNCTION("""COMPUTED_VALUE"""),79.966044)</f>
        <v>79.966044</v>
      </c>
      <c r="F19758" s="4">
        <f>IFERROR(__xludf.DUMMYFUNCTION("""COMPUTED_VALUE"""),2846.0)</f>
        <v>2846</v>
      </c>
      <c r="G19758" s="4">
        <f>IFERROR(__xludf.DUMMYFUNCTION("""COMPUTED_VALUE"""),48.0)</f>
        <v>48</v>
      </c>
      <c r="H19758" s="4"/>
      <c r="I19758" s="4"/>
    </row>
    <row r="19759">
      <c r="A19759" s="4" t="str">
        <f>IFERROR(__xludf.DUMMYFUNCTION("""COMPUTED_VALUE"""),"cas_hmw")</f>
        <v>cas_hmw</v>
      </c>
      <c r="B19759" s="5">
        <f>IFERROR(__xludf.DUMMYFUNCTION("""COMPUTED_VALUE"""),44778.0)</f>
        <v>44778</v>
      </c>
      <c r="C19759" s="6">
        <f>IFERROR(__xludf.DUMMYFUNCTION("""COMPUTED_VALUE"""),0.723912037035916)</f>
        <v>0.723912037</v>
      </c>
      <c r="D19759" s="4">
        <f>IFERROR(__xludf.DUMMYFUNCTION("""COMPUTED_VALUE"""),12.656405)</f>
        <v>12.656405</v>
      </c>
      <c r="E19759" s="4">
        <f>IFERROR(__xludf.DUMMYFUNCTION("""COMPUTED_VALUE"""),79.955053)</f>
        <v>79.955053</v>
      </c>
      <c r="F19759" s="4">
        <f>IFERROR(__xludf.DUMMYFUNCTION("""COMPUTED_VALUE"""),2846.0)</f>
        <v>2846</v>
      </c>
      <c r="G19759" s="4">
        <f>IFERROR(__xludf.DUMMYFUNCTION("""COMPUTED_VALUE"""),58.0)</f>
        <v>58</v>
      </c>
      <c r="H19759" s="4"/>
      <c r="I19759" s="4"/>
    </row>
    <row r="19760">
      <c r="A19760" s="4" t="str">
        <f>IFERROR(__xludf.DUMMYFUNCTION("""COMPUTED_VALUE"""),"cas_hmw")</f>
        <v>cas_hmw</v>
      </c>
      <c r="B19760" s="5">
        <f>IFERROR(__xludf.DUMMYFUNCTION("""COMPUTED_VALUE"""),44778.0)</f>
        <v>44778</v>
      </c>
      <c r="C19760" s="6">
        <f>IFERROR(__xludf.DUMMYFUNCTION("""COMPUTED_VALUE"""),0.7240740740744513)</f>
        <v>0.7240740741</v>
      </c>
      <c r="D19760" s="4">
        <f>IFERROR(__xludf.DUMMYFUNCTION("""COMPUTED_VALUE"""),13.006788)</f>
        <v>13.006788</v>
      </c>
      <c r="E19760" s="4">
        <f>IFERROR(__xludf.DUMMYFUNCTION("""COMPUTED_VALUE"""),80.247845)</f>
        <v>80.247845</v>
      </c>
      <c r="F19760" s="4">
        <f>IFERROR(__xludf.DUMMYFUNCTION("""COMPUTED_VALUE"""),805.0)</f>
        <v>805</v>
      </c>
      <c r="G19760" s="4">
        <f>IFERROR(__xludf.DUMMYFUNCTION("""COMPUTED_VALUE"""),11.0)</f>
        <v>11</v>
      </c>
      <c r="H19760" s="4"/>
      <c r="I19760" s="4"/>
    </row>
    <row r="19761">
      <c r="A19761" s="4" t="str">
        <f>IFERROR(__xludf.DUMMYFUNCTION("""COMPUTED_VALUE"""),"cas_hmw")</f>
        <v>cas_hmw</v>
      </c>
      <c r="B19761" s="5">
        <f>IFERROR(__xludf.DUMMYFUNCTION("""COMPUTED_VALUE"""),44778.0)</f>
        <v>44778</v>
      </c>
      <c r="C19761" s="6">
        <f>IFERROR(__xludf.DUMMYFUNCTION("""COMPUTED_VALUE"""),0.7244328703709471)</f>
        <v>0.7244328704</v>
      </c>
      <c r="D19761" s="4">
        <f>IFERROR(__xludf.DUMMYFUNCTION("""COMPUTED_VALUE"""),13.02906)</f>
        <v>13.02906</v>
      </c>
      <c r="E19761" s="4">
        <f>IFERROR(__xludf.DUMMYFUNCTION("""COMPUTED_VALUE"""),80.236641)</f>
        <v>80.236641</v>
      </c>
      <c r="F19761" s="4">
        <f>IFERROR(__xludf.DUMMYFUNCTION("""COMPUTED_VALUE"""),5339.0)</f>
        <v>5339</v>
      </c>
      <c r="G19761" s="4">
        <f>IFERROR(__xludf.DUMMYFUNCTION("""COMPUTED_VALUE"""),34.0)</f>
        <v>34</v>
      </c>
      <c r="H19761" s="4"/>
      <c r="I19761" s="4"/>
    </row>
    <row r="19762">
      <c r="A19762" s="4" t="str">
        <f>IFERROR(__xludf.DUMMYFUNCTION("""COMPUTED_VALUE"""),"cas_hmw")</f>
        <v>cas_hmw</v>
      </c>
      <c r="B19762" s="5">
        <f>IFERROR(__xludf.DUMMYFUNCTION("""COMPUTED_VALUE"""),44778.0)</f>
        <v>44778</v>
      </c>
      <c r="C19762" s="6">
        <f>IFERROR(__xludf.DUMMYFUNCTION("""COMPUTED_VALUE"""),0.7244560185172304)</f>
        <v>0.7244560185</v>
      </c>
      <c r="D19762" s="4">
        <f>IFERROR(__xludf.DUMMYFUNCTION("""COMPUTED_VALUE"""),13.02906)</f>
        <v>13.02906</v>
      </c>
      <c r="E19762" s="4">
        <f>IFERROR(__xludf.DUMMYFUNCTION("""COMPUTED_VALUE"""),80.236641)</f>
        <v>80.236641</v>
      </c>
      <c r="F19762" s="4">
        <f>IFERROR(__xludf.DUMMYFUNCTION("""COMPUTED_VALUE"""),5339.0)</f>
        <v>5339</v>
      </c>
      <c r="G19762" s="4">
        <f>IFERROR(__xludf.DUMMYFUNCTION("""COMPUTED_VALUE"""),34.0)</f>
        <v>34</v>
      </c>
      <c r="H19762" s="4"/>
      <c r="I19762" s="4"/>
    </row>
    <row r="19763">
      <c r="A19763" s="4" t="str">
        <f>IFERROR(__xludf.DUMMYFUNCTION("""COMPUTED_VALUE"""),"cas_hmw")</f>
        <v>cas_hmw</v>
      </c>
      <c r="B19763" s="5">
        <f>IFERROR(__xludf.DUMMYFUNCTION("""COMPUTED_VALUE"""),44778.0)</f>
        <v>44778</v>
      </c>
      <c r="C19763" s="6">
        <f>IFERROR(__xludf.DUMMYFUNCTION("""COMPUTED_VALUE"""),0.7252777777794108)</f>
        <v>0.7252777778</v>
      </c>
      <c r="D19763" s="4">
        <f>IFERROR(__xludf.DUMMYFUNCTION("""COMPUTED_VALUE"""),13.031168)</f>
        <v>13.031168</v>
      </c>
      <c r="E19763" s="4">
        <f>IFERROR(__xludf.DUMMYFUNCTION("""COMPUTED_VALUE"""),80.239933)</f>
        <v>80.239933</v>
      </c>
      <c r="F19763" s="4">
        <f>IFERROR(__xludf.DUMMYFUNCTION("""COMPUTED_VALUE"""),5339.0)</f>
        <v>5339</v>
      </c>
      <c r="G19763" s="4">
        <f>IFERROR(__xludf.DUMMYFUNCTION("""COMPUTED_VALUE"""),34.0)</f>
        <v>34</v>
      </c>
      <c r="H19763" s="4"/>
      <c r="I19763" s="4"/>
    </row>
    <row r="19764">
      <c r="A19764" s="4" t="str">
        <f>IFERROR(__xludf.DUMMYFUNCTION("""COMPUTED_VALUE"""),"cas_hmw")</f>
        <v>cas_hmw</v>
      </c>
      <c r="B19764" s="5">
        <f>IFERROR(__xludf.DUMMYFUNCTION("""COMPUTED_VALUE"""),44778.0)</f>
        <v>44778</v>
      </c>
      <c r="C19764" s="6">
        <f>IFERROR(__xludf.DUMMYFUNCTION("""COMPUTED_VALUE"""),0.7253703703718202)</f>
        <v>0.7253703704</v>
      </c>
      <c r="D19764" s="4">
        <f>IFERROR(__xludf.DUMMYFUNCTION("""COMPUTED_VALUE"""),13.00686)</f>
        <v>13.00686</v>
      </c>
      <c r="E19764" s="4">
        <f>IFERROR(__xludf.DUMMYFUNCTION("""COMPUTED_VALUE"""),80.251492)</f>
        <v>80.251492</v>
      </c>
      <c r="F19764" s="4">
        <f>IFERROR(__xludf.DUMMYFUNCTION("""COMPUTED_VALUE"""),805.0)</f>
        <v>805</v>
      </c>
      <c r="G19764" s="4">
        <f>IFERROR(__xludf.DUMMYFUNCTION("""COMPUTED_VALUE"""),0.0)</f>
        <v>0</v>
      </c>
      <c r="H19764" s="4"/>
      <c r="I19764" s="4"/>
    </row>
    <row r="19765">
      <c r="A19765" s="4" t="str">
        <f>IFERROR(__xludf.DUMMYFUNCTION("""COMPUTED_VALUE"""),"cas_hmw")</f>
        <v>cas_hmw</v>
      </c>
      <c r="B19765" s="5">
        <f>IFERROR(__xludf.DUMMYFUNCTION("""COMPUTED_VALUE"""),44778.0)</f>
        <v>44778</v>
      </c>
      <c r="C19765" s="6">
        <f>IFERROR(__xludf.DUMMYFUNCTION("""COMPUTED_VALUE"""),0.7255671296297805)</f>
        <v>0.7255671296</v>
      </c>
      <c r="D19765" s="4">
        <f>IFERROR(__xludf.DUMMYFUNCTION("""COMPUTED_VALUE"""),13.032138)</f>
        <v>13.032138</v>
      </c>
      <c r="E19765" s="4">
        <f>IFERROR(__xludf.DUMMYFUNCTION("""COMPUTED_VALUE"""),80.241901)</f>
        <v>80.241901</v>
      </c>
      <c r="F19765" s="4">
        <f>IFERROR(__xludf.DUMMYFUNCTION("""COMPUTED_VALUE"""),5339.0)</f>
        <v>5339</v>
      </c>
      <c r="G19765" s="4">
        <f>IFERROR(__xludf.DUMMYFUNCTION("""COMPUTED_VALUE"""),26.0)</f>
        <v>26</v>
      </c>
      <c r="H19765" s="4"/>
      <c r="I19765" s="4"/>
    </row>
    <row r="19766">
      <c r="A19766" s="4" t="str">
        <f>IFERROR(__xludf.DUMMYFUNCTION("""COMPUTED_VALUE"""),"cas_hmw")</f>
        <v>cas_hmw</v>
      </c>
      <c r="B19766" s="5">
        <f>IFERROR(__xludf.DUMMYFUNCTION("""COMPUTED_VALUE"""),44778.0)</f>
        <v>44778</v>
      </c>
      <c r="C19766" s="6">
        <f>IFERROR(__xludf.DUMMYFUNCTION("""COMPUTED_VALUE"""),0.7255787037029222)</f>
        <v>0.7255787037</v>
      </c>
      <c r="D19766" s="4">
        <f>IFERROR(__xludf.DUMMYFUNCTION("""COMPUTED_VALUE"""),13.032138)</f>
        <v>13.032138</v>
      </c>
      <c r="E19766" s="4">
        <f>IFERROR(__xludf.DUMMYFUNCTION("""COMPUTED_VALUE"""),80.241901)</f>
        <v>80.241901</v>
      </c>
      <c r="F19766" s="4">
        <f>IFERROR(__xludf.DUMMYFUNCTION("""COMPUTED_VALUE"""),5339.0)</f>
        <v>5339</v>
      </c>
      <c r="G19766" s="4">
        <f>IFERROR(__xludf.DUMMYFUNCTION("""COMPUTED_VALUE"""),26.0)</f>
        <v>26</v>
      </c>
      <c r="H19766" s="4"/>
      <c r="I19766" s="4"/>
    </row>
    <row r="19767">
      <c r="A19767" s="4" t="str">
        <f>IFERROR(__xludf.DUMMYFUNCTION("""COMPUTED_VALUE"""),"cas_hmw")</f>
        <v>cas_hmw</v>
      </c>
      <c r="B19767" s="5">
        <f>IFERROR(__xludf.DUMMYFUNCTION("""COMPUTED_VALUE"""),44778.0)</f>
        <v>44778</v>
      </c>
      <c r="C19767" s="6">
        <f>IFERROR(__xludf.DUMMYFUNCTION("""COMPUTED_VALUE"""),0.7268518518503697)</f>
        <v>0.7268518519</v>
      </c>
      <c r="D19767" s="4">
        <f>IFERROR(__xludf.DUMMYFUNCTION("""COMPUTED_VALUE"""),13.035362)</f>
        <v>13.035362</v>
      </c>
      <c r="E19767" s="4">
        <f>IFERROR(__xludf.DUMMYFUNCTION("""COMPUTED_VALUE"""),80.245949)</f>
        <v>80.245949</v>
      </c>
      <c r="F19767" s="4">
        <f>IFERROR(__xludf.DUMMYFUNCTION("""COMPUTED_VALUE"""),5339.0)</f>
        <v>5339</v>
      </c>
      <c r="G19767" s="4">
        <f>IFERROR(__xludf.DUMMYFUNCTION("""COMPUTED_VALUE"""),22.0)</f>
        <v>22</v>
      </c>
      <c r="H19767" s="4"/>
      <c r="I19767" s="4"/>
    </row>
    <row r="19768">
      <c r="A19768" s="4" t="str">
        <f>IFERROR(__xludf.DUMMYFUNCTION("""COMPUTED_VALUE"""),"cas_hmw")</f>
        <v>cas_hmw</v>
      </c>
      <c r="B19768" s="5">
        <f>IFERROR(__xludf.DUMMYFUNCTION("""COMPUTED_VALUE"""),44778.0)</f>
        <v>44778</v>
      </c>
      <c r="C19768" s="6">
        <f>IFERROR(__xludf.DUMMYFUNCTION("""COMPUTED_VALUE"""),0.7287731481483206)</f>
        <v>0.7287731481</v>
      </c>
      <c r="D19768" s="4">
        <f>IFERROR(__xludf.DUMMYFUNCTION("""COMPUTED_VALUE"""),13.014553)</f>
        <v>13.014553</v>
      </c>
      <c r="E19768" s="4">
        <f>IFERROR(__xludf.DUMMYFUNCTION("""COMPUTED_VALUE"""),80.259198)</f>
        <v>80.259198</v>
      </c>
      <c r="F19768" s="4">
        <f>IFERROR(__xludf.DUMMYFUNCTION("""COMPUTED_VALUE"""),805.0)</f>
        <v>805</v>
      </c>
      <c r="G19768" s="4">
        <f>IFERROR(__xludf.DUMMYFUNCTION("""COMPUTED_VALUE"""),58.0)</f>
        <v>58</v>
      </c>
      <c r="H19768" s="4"/>
      <c r="I19768" s="4"/>
    </row>
    <row r="19769">
      <c r="A19769" s="4" t="str">
        <f>IFERROR(__xludf.DUMMYFUNCTION("""COMPUTED_VALUE"""),"cas_hmw")</f>
        <v>cas_hmw</v>
      </c>
      <c r="B19769" s="5">
        <f>IFERROR(__xludf.DUMMYFUNCTION("""COMPUTED_VALUE"""),44778.0)</f>
        <v>44778</v>
      </c>
      <c r="C19769" s="6">
        <f>IFERROR(__xludf.DUMMYFUNCTION("""COMPUTED_VALUE"""),0.728796296294604)</f>
        <v>0.7287962963</v>
      </c>
      <c r="D19769" s="4">
        <f>IFERROR(__xludf.DUMMYFUNCTION("""COMPUTED_VALUE"""),13.014553)</f>
        <v>13.014553</v>
      </c>
      <c r="E19769" s="4">
        <f>IFERROR(__xludf.DUMMYFUNCTION("""COMPUTED_VALUE"""),80.259198)</f>
        <v>80.259198</v>
      </c>
      <c r="F19769" s="4">
        <f>IFERROR(__xludf.DUMMYFUNCTION("""COMPUTED_VALUE"""),805.0)</f>
        <v>805</v>
      </c>
      <c r="G19769" s="4">
        <f>IFERROR(__xludf.DUMMYFUNCTION("""COMPUTED_VALUE"""),58.0)</f>
        <v>58</v>
      </c>
      <c r="H19769" s="4"/>
      <c r="I19769" s="4"/>
    </row>
    <row r="19770">
      <c r="A19770" s="4" t="str">
        <f>IFERROR(__xludf.DUMMYFUNCTION("""COMPUTED_VALUE"""),"cas_hmw")</f>
        <v>cas_hmw</v>
      </c>
      <c r="B19770" s="5">
        <f>IFERROR(__xludf.DUMMYFUNCTION("""COMPUTED_VALUE"""),44778.0)</f>
        <v>44778</v>
      </c>
      <c r="C19770" s="6">
        <f>IFERROR(__xludf.DUMMYFUNCTION("""COMPUTED_VALUE"""),0.728831018517667)</f>
        <v>0.7288310185</v>
      </c>
      <c r="D19770" s="4">
        <f>IFERROR(__xludf.DUMMYFUNCTION("""COMPUTED_VALUE"""),13.014553)</f>
        <v>13.014553</v>
      </c>
      <c r="E19770" s="4">
        <f>IFERROR(__xludf.DUMMYFUNCTION("""COMPUTED_VALUE"""),80.259198)</f>
        <v>80.259198</v>
      </c>
      <c r="F19770" s="4">
        <f>IFERROR(__xludf.DUMMYFUNCTION("""COMPUTED_VALUE"""),805.0)</f>
        <v>805</v>
      </c>
      <c r="G19770" s="4">
        <f>IFERROR(__xludf.DUMMYFUNCTION("""COMPUTED_VALUE"""),58.0)</f>
        <v>58</v>
      </c>
      <c r="H19770" s="4"/>
      <c r="I19770" s="4"/>
    </row>
    <row r="19771">
      <c r="A19771" s="4" t="str">
        <f>IFERROR(__xludf.DUMMYFUNCTION("""COMPUTED_VALUE"""),"cas_hmw")</f>
        <v>cas_hmw</v>
      </c>
      <c r="B19771" s="5">
        <f>IFERROR(__xludf.DUMMYFUNCTION("""COMPUTED_VALUE"""),44778.0)</f>
        <v>44778</v>
      </c>
      <c r="C19771" s="6">
        <f>IFERROR(__xludf.DUMMYFUNCTION("""COMPUTED_VALUE"""),0.728831018517667)</f>
        <v>0.7288310185</v>
      </c>
      <c r="D19771" s="4">
        <f>IFERROR(__xludf.DUMMYFUNCTION("""COMPUTED_VALUE"""),13.014553)</f>
        <v>13.014553</v>
      </c>
      <c r="E19771" s="4">
        <f>IFERROR(__xludf.DUMMYFUNCTION("""COMPUTED_VALUE"""),80.259198)</f>
        <v>80.259198</v>
      </c>
      <c r="F19771" s="4">
        <f>IFERROR(__xludf.DUMMYFUNCTION("""COMPUTED_VALUE"""),805.0)</f>
        <v>805</v>
      </c>
      <c r="G19771" s="4">
        <f>IFERROR(__xludf.DUMMYFUNCTION("""COMPUTED_VALUE"""),58.0)</f>
        <v>58</v>
      </c>
      <c r="H19771" s="4"/>
      <c r="I19771" s="4"/>
    </row>
    <row r="19772">
      <c r="A19772" s="4" t="str">
        <f>IFERROR(__xludf.DUMMYFUNCTION("""COMPUTED_VALUE"""),"cas_hmw")</f>
        <v>cas_hmw</v>
      </c>
      <c r="B19772" s="5">
        <f>IFERROR(__xludf.DUMMYFUNCTION("""COMPUTED_VALUE"""),44778.0)</f>
        <v>44778</v>
      </c>
      <c r="C19772" s="6">
        <f>IFERROR(__xludf.DUMMYFUNCTION("""COMPUTED_VALUE"""),0.7303356481497758)</f>
        <v>0.7303356481</v>
      </c>
      <c r="D19772" s="4">
        <f>IFERROR(__xludf.DUMMYFUNCTION("""COMPUTED_VALUE"""),13.038987)</f>
        <v>13.038987</v>
      </c>
      <c r="E19772" s="4">
        <f>IFERROR(__xludf.DUMMYFUNCTION("""COMPUTED_VALUE"""),80.246819)</f>
        <v>80.246819</v>
      </c>
      <c r="F19772" s="4">
        <f>IFERROR(__xludf.DUMMYFUNCTION("""COMPUTED_VALUE"""),5339.0)</f>
        <v>5339</v>
      </c>
      <c r="G19772" s="4">
        <f>IFERROR(__xludf.DUMMYFUNCTION("""COMPUTED_VALUE"""),17.0)</f>
        <v>17</v>
      </c>
      <c r="H19772" s="4"/>
      <c r="I19772" s="4"/>
    </row>
    <row r="19773">
      <c r="A19773" s="4" t="str">
        <f>IFERROR(__xludf.DUMMYFUNCTION("""COMPUTED_VALUE"""),"cas_hmw")</f>
        <v>cas_hmw</v>
      </c>
      <c r="B19773" s="5">
        <f>IFERROR(__xludf.DUMMYFUNCTION("""COMPUTED_VALUE"""),44778.0)</f>
        <v>44778</v>
      </c>
      <c r="C19773" s="6">
        <f>IFERROR(__xludf.DUMMYFUNCTION("""COMPUTED_VALUE"""),0.7303356481497758)</f>
        <v>0.7303356481</v>
      </c>
      <c r="D19773" s="4">
        <f>IFERROR(__xludf.DUMMYFUNCTION("""COMPUTED_VALUE"""),13.021483)</f>
        <v>13.021483</v>
      </c>
      <c r="E19773" s="4">
        <f>IFERROR(__xludf.DUMMYFUNCTION("""COMPUTED_VALUE"""),80.263059)</f>
        <v>80.263059</v>
      </c>
      <c r="F19773" s="4">
        <f>IFERROR(__xludf.DUMMYFUNCTION("""COMPUTED_VALUE"""),805.0)</f>
        <v>805</v>
      </c>
      <c r="G19773" s="4">
        <f>IFERROR(__xludf.DUMMYFUNCTION("""COMPUTED_VALUE"""),28.0)</f>
        <v>28</v>
      </c>
      <c r="H19773" s="4"/>
      <c r="I19773" s="4"/>
    </row>
    <row r="19774">
      <c r="A19774" s="4" t="str">
        <f>IFERROR(__xludf.DUMMYFUNCTION("""COMPUTED_VALUE"""),"cas_hmw")</f>
        <v>cas_hmw</v>
      </c>
      <c r="B19774" s="5">
        <f>IFERROR(__xludf.DUMMYFUNCTION("""COMPUTED_VALUE"""),44778.0)</f>
        <v>44778</v>
      </c>
      <c r="C19774" s="6">
        <f>IFERROR(__xludf.DUMMYFUNCTION("""COMPUTED_VALUE"""),0.7303356481497758)</f>
        <v>0.7303356481</v>
      </c>
      <c r="D19774" s="4">
        <f>IFERROR(__xludf.DUMMYFUNCTION("""COMPUTED_VALUE"""),13.021483)</f>
        <v>13.021483</v>
      </c>
      <c r="E19774" s="4">
        <f>IFERROR(__xludf.DUMMYFUNCTION("""COMPUTED_VALUE"""),80.263059)</f>
        <v>80.263059</v>
      </c>
      <c r="F19774" s="4">
        <f>IFERROR(__xludf.DUMMYFUNCTION("""COMPUTED_VALUE"""),805.0)</f>
        <v>805</v>
      </c>
      <c r="G19774" s="4">
        <f>IFERROR(__xludf.DUMMYFUNCTION("""COMPUTED_VALUE"""),28.0)</f>
        <v>28</v>
      </c>
      <c r="H19774" s="4"/>
      <c r="I19774" s="4"/>
    </row>
    <row r="19775">
      <c r="A19775" s="4" t="str">
        <f>IFERROR(__xludf.DUMMYFUNCTION("""COMPUTED_VALUE"""),"cas_hmw")</f>
        <v>cas_hmw</v>
      </c>
      <c r="B19775" s="5">
        <f>IFERROR(__xludf.DUMMYFUNCTION("""COMPUTED_VALUE"""),44778.0)</f>
        <v>44778</v>
      </c>
      <c r="C19775" s="6">
        <f>IFERROR(__xludf.DUMMYFUNCTION("""COMPUTED_VALUE"""),0.7304282407421852)</f>
        <v>0.7304282407</v>
      </c>
      <c r="D19775" s="4">
        <f>IFERROR(__xludf.DUMMYFUNCTION("""COMPUTED_VALUE"""),13.039667)</f>
        <v>13.039667</v>
      </c>
      <c r="E19775" s="4">
        <f>IFERROR(__xludf.DUMMYFUNCTION("""COMPUTED_VALUE"""),80.246973)</f>
        <v>80.246973</v>
      </c>
      <c r="F19775" s="4">
        <f>IFERROR(__xludf.DUMMYFUNCTION("""COMPUTED_VALUE"""),5339.0)</f>
        <v>5339</v>
      </c>
      <c r="G19775" s="4">
        <f>IFERROR(__xludf.DUMMYFUNCTION("""COMPUTED_VALUE"""),31.0)</f>
        <v>31</v>
      </c>
      <c r="H19775" s="4"/>
      <c r="I19775" s="4"/>
    </row>
    <row r="19776">
      <c r="A19776" s="4" t="str">
        <f>IFERROR(__xludf.DUMMYFUNCTION("""COMPUTED_VALUE"""),"cas_hmw")</f>
        <v>cas_hmw</v>
      </c>
      <c r="B19776" s="5">
        <f>IFERROR(__xludf.DUMMYFUNCTION("""COMPUTED_VALUE"""),44778.0)</f>
        <v>44778</v>
      </c>
      <c r="C19776" s="6">
        <f>IFERROR(__xludf.DUMMYFUNCTION("""COMPUTED_VALUE"""),0.7306250000001455)</f>
        <v>0.730625</v>
      </c>
      <c r="D19776" s="4">
        <f>IFERROR(__xludf.DUMMYFUNCTION("""COMPUTED_VALUE"""),13.04152)</f>
        <v>13.04152</v>
      </c>
      <c r="E19776" s="4">
        <f>IFERROR(__xludf.DUMMYFUNCTION("""COMPUTED_VALUE"""),80.247325)</f>
        <v>80.247325</v>
      </c>
      <c r="F19776" s="4">
        <f>IFERROR(__xludf.DUMMYFUNCTION("""COMPUTED_VALUE"""),5339.0)</f>
        <v>5339</v>
      </c>
      <c r="G19776" s="4">
        <f>IFERROR(__xludf.DUMMYFUNCTION("""COMPUTED_VALUE"""),37.0)</f>
        <v>37</v>
      </c>
      <c r="H19776" s="4"/>
      <c r="I19776" s="4"/>
    </row>
    <row r="19777">
      <c r="A19777" s="4" t="str">
        <f>IFERROR(__xludf.DUMMYFUNCTION("""COMPUTED_VALUE"""),"cas_hmw")</f>
        <v>cas_hmw</v>
      </c>
      <c r="B19777" s="5">
        <f>IFERROR(__xludf.DUMMYFUNCTION("""COMPUTED_VALUE"""),44778.0)</f>
        <v>44778</v>
      </c>
      <c r="C19777" s="6">
        <f>IFERROR(__xludf.DUMMYFUNCTION("""COMPUTED_VALUE"""),0.7306365740732872)</f>
        <v>0.7306365741</v>
      </c>
      <c r="D19777" s="4">
        <f>IFERROR(__xludf.DUMMYFUNCTION("""COMPUTED_VALUE"""),13.04152)</f>
        <v>13.04152</v>
      </c>
      <c r="E19777" s="4">
        <f>IFERROR(__xludf.DUMMYFUNCTION("""COMPUTED_VALUE"""),80.247325)</f>
        <v>80.247325</v>
      </c>
      <c r="F19777" s="4">
        <f>IFERROR(__xludf.DUMMYFUNCTION("""COMPUTED_VALUE"""),5339.0)</f>
        <v>5339</v>
      </c>
      <c r="G19777" s="4">
        <f>IFERROR(__xludf.DUMMYFUNCTION("""COMPUTED_VALUE"""),37.0)</f>
        <v>37</v>
      </c>
      <c r="H19777" s="4"/>
      <c r="I19777" s="4"/>
    </row>
    <row r="19778">
      <c r="A19778" s="4" t="str">
        <f>IFERROR(__xludf.DUMMYFUNCTION("""COMPUTED_VALUE"""),"cas_hmw")</f>
        <v>cas_hmw</v>
      </c>
      <c r="B19778" s="5">
        <f>IFERROR(__xludf.DUMMYFUNCTION("""COMPUTED_VALUE"""),44778.0)</f>
        <v>44778</v>
      </c>
      <c r="C19778" s="6">
        <f>IFERROR(__xludf.DUMMYFUNCTION("""COMPUTED_VALUE"""),0.731724537035916)</f>
        <v>0.731724537</v>
      </c>
      <c r="D19778" s="4">
        <f>IFERROR(__xludf.DUMMYFUNCTION("""COMPUTED_VALUE"""),13.048163)</f>
        <v>13.048163</v>
      </c>
      <c r="E19778" s="4">
        <f>IFERROR(__xludf.DUMMYFUNCTION("""COMPUTED_VALUE"""),80.249342)</f>
        <v>80.249342</v>
      </c>
      <c r="F19778" s="4">
        <f>IFERROR(__xludf.DUMMYFUNCTION("""COMPUTED_VALUE"""),5339.0)</f>
        <v>5339</v>
      </c>
      <c r="G19778" s="4">
        <f>IFERROR(__xludf.DUMMYFUNCTION("""COMPUTED_VALUE"""),42.0)</f>
        <v>42</v>
      </c>
      <c r="H19778" s="4"/>
      <c r="I19778" s="4"/>
    </row>
    <row r="19779">
      <c r="A19779" s="4" t="str">
        <f>IFERROR(__xludf.DUMMYFUNCTION("""COMPUTED_VALUE"""),"cas_hmw")</f>
        <v>cas_hmw</v>
      </c>
      <c r="B19779" s="5">
        <f>IFERROR(__xludf.DUMMYFUNCTION("""COMPUTED_VALUE"""),44778.0)</f>
        <v>44778</v>
      </c>
      <c r="C19779" s="6">
        <f>IFERROR(__xludf.DUMMYFUNCTION("""COMPUTED_VALUE"""),0.7323263888902147)</f>
        <v>0.7323263889</v>
      </c>
      <c r="D19779" s="4">
        <f>IFERROR(__xludf.DUMMYFUNCTION("""COMPUTED_VALUE"""),12.984097)</f>
        <v>12.984097</v>
      </c>
      <c r="E19779" s="4">
        <f>IFERROR(__xludf.DUMMYFUNCTION("""COMPUTED_VALUE"""),80.124765)</f>
        <v>80.124765</v>
      </c>
      <c r="F19779" s="4">
        <f>IFERROR(__xludf.DUMMYFUNCTION("""COMPUTED_VALUE"""),3143.0)</f>
        <v>3143</v>
      </c>
      <c r="G19779" s="4">
        <f>IFERROR(__xludf.DUMMYFUNCTION("""COMPUTED_VALUE"""),31.0)</f>
        <v>31</v>
      </c>
      <c r="H19779" s="4"/>
      <c r="I19779" s="4"/>
    </row>
    <row r="19780">
      <c r="A19780" s="4" t="str">
        <f>IFERROR(__xludf.DUMMYFUNCTION("""COMPUTED_VALUE"""),"cas_hmw")</f>
        <v>cas_hmw</v>
      </c>
      <c r="B19780" s="5">
        <f>IFERROR(__xludf.DUMMYFUNCTION("""COMPUTED_VALUE"""),44778.0)</f>
        <v>44778</v>
      </c>
      <c r="C19780" s="6">
        <f>IFERROR(__xludf.DUMMYFUNCTION("""COMPUTED_VALUE"""),0.7327662037023401)</f>
        <v>0.7327662037</v>
      </c>
      <c r="D19780" s="4">
        <f>IFERROR(__xludf.DUMMYFUNCTION("""COMPUTED_VALUE"""),13.054476)</f>
        <v>13.054476</v>
      </c>
      <c r="E19780" s="4">
        <f>IFERROR(__xludf.DUMMYFUNCTION("""COMPUTED_VALUE"""),80.2539)</f>
        <v>80.2539</v>
      </c>
      <c r="F19780" s="4">
        <f>IFERROR(__xludf.DUMMYFUNCTION("""COMPUTED_VALUE"""),5339.0)</f>
        <v>5339</v>
      </c>
      <c r="G19780" s="4">
        <f>IFERROR(__xludf.DUMMYFUNCTION("""COMPUTED_VALUE"""),38.0)</f>
        <v>38</v>
      </c>
      <c r="H19780" s="4"/>
      <c r="I19780" s="4"/>
    </row>
    <row r="19781">
      <c r="A19781" s="4" t="str">
        <f>IFERROR(__xludf.DUMMYFUNCTION("""COMPUTED_VALUE"""),"cas_hmw")</f>
        <v>cas_hmw</v>
      </c>
      <c r="B19781" s="5">
        <f>IFERROR(__xludf.DUMMYFUNCTION("""COMPUTED_VALUE"""),44778.0)</f>
        <v>44778</v>
      </c>
      <c r="C19781" s="6">
        <f>IFERROR(__xludf.DUMMYFUNCTION("""COMPUTED_VALUE"""),0.7329398148140172)</f>
        <v>0.7329398148</v>
      </c>
      <c r="D19781" s="4">
        <f>IFERROR(__xludf.DUMMYFUNCTION("""COMPUTED_VALUE"""),13.056159)</f>
        <v>13.056159</v>
      </c>
      <c r="E19781" s="4">
        <f>IFERROR(__xludf.DUMMYFUNCTION("""COMPUTED_VALUE"""),80.256145)</f>
        <v>80.256145</v>
      </c>
      <c r="F19781" s="4">
        <f>IFERROR(__xludf.DUMMYFUNCTION("""COMPUTED_VALUE"""),5339.0)</f>
        <v>5339</v>
      </c>
      <c r="G19781" s="4">
        <f>IFERROR(__xludf.DUMMYFUNCTION("""COMPUTED_VALUE"""),27.0)</f>
        <v>27</v>
      </c>
      <c r="H19781" s="4"/>
      <c r="I19781" s="4"/>
    </row>
    <row r="19782">
      <c r="A19782" s="4" t="str">
        <f>IFERROR(__xludf.DUMMYFUNCTION("""COMPUTED_VALUE"""),"cas_hmw")</f>
        <v>cas_hmw</v>
      </c>
      <c r="B19782" s="5">
        <f>IFERROR(__xludf.DUMMYFUNCTION("""COMPUTED_VALUE"""),44778.0)</f>
        <v>44778</v>
      </c>
      <c r="C19782" s="6">
        <f>IFERROR(__xludf.DUMMYFUNCTION("""COMPUTED_VALUE"""),0.7329398148140172)</f>
        <v>0.7329398148</v>
      </c>
      <c r="D19782" s="4">
        <f>IFERROR(__xludf.DUMMYFUNCTION("""COMPUTED_VALUE"""),13.056159)</f>
        <v>13.056159</v>
      </c>
      <c r="E19782" s="4">
        <f>IFERROR(__xludf.DUMMYFUNCTION("""COMPUTED_VALUE"""),80.256145)</f>
        <v>80.256145</v>
      </c>
      <c r="F19782" s="4">
        <f>IFERROR(__xludf.DUMMYFUNCTION("""COMPUTED_VALUE"""),5339.0)</f>
        <v>5339</v>
      </c>
      <c r="G19782" s="4">
        <f>IFERROR(__xludf.DUMMYFUNCTION("""COMPUTED_VALUE"""),27.0)</f>
        <v>27</v>
      </c>
      <c r="H19782" s="4"/>
      <c r="I19782" s="4"/>
    </row>
    <row r="19783">
      <c r="A19783" s="4" t="str">
        <f>IFERROR(__xludf.DUMMYFUNCTION("""COMPUTED_VALUE"""),"cas_hmw")</f>
        <v>cas_hmw</v>
      </c>
      <c r="B19783" s="5">
        <f>IFERROR(__xludf.DUMMYFUNCTION("""COMPUTED_VALUE"""),44778.0)</f>
        <v>44778</v>
      </c>
      <c r="C19783" s="6">
        <f>IFERROR(__xludf.DUMMYFUNCTION("""COMPUTED_VALUE"""),0.7329629629639385)</f>
        <v>0.732962963</v>
      </c>
      <c r="D19783" s="4">
        <f>IFERROR(__xludf.DUMMYFUNCTION("""COMPUTED_VALUE"""),13.056159)</f>
        <v>13.056159</v>
      </c>
      <c r="E19783" s="4">
        <f>IFERROR(__xludf.DUMMYFUNCTION("""COMPUTED_VALUE"""),80.256145)</f>
        <v>80.256145</v>
      </c>
      <c r="F19783" s="4">
        <f>IFERROR(__xludf.DUMMYFUNCTION("""COMPUTED_VALUE"""),5339.0)</f>
        <v>5339</v>
      </c>
      <c r="G19783" s="4">
        <f>IFERROR(__xludf.DUMMYFUNCTION("""COMPUTED_VALUE"""),27.0)</f>
        <v>27</v>
      </c>
      <c r="H19783" s="4"/>
      <c r="I19783" s="4"/>
    </row>
    <row r="19784">
      <c r="A19784" s="4" t="str">
        <f>IFERROR(__xludf.DUMMYFUNCTION("""COMPUTED_VALUE"""),"cas_hmw")</f>
        <v>cas_hmw</v>
      </c>
      <c r="B19784" s="5">
        <f>IFERROR(__xludf.DUMMYFUNCTION("""COMPUTED_VALUE"""),44778.0)</f>
        <v>44778</v>
      </c>
      <c r="C19784" s="6">
        <f>IFERROR(__xludf.DUMMYFUNCTION("""COMPUTED_VALUE"""),0.7329745370370802)</f>
        <v>0.732974537</v>
      </c>
      <c r="D19784" s="4">
        <f>IFERROR(__xludf.DUMMYFUNCTION("""COMPUTED_VALUE"""),13.056159)</f>
        <v>13.056159</v>
      </c>
      <c r="E19784" s="4">
        <f>IFERROR(__xludf.DUMMYFUNCTION("""COMPUTED_VALUE"""),80.256145)</f>
        <v>80.256145</v>
      </c>
      <c r="F19784" s="4">
        <f>IFERROR(__xludf.DUMMYFUNCTION("""COMPUTED_VALUE"""),5339.0)</f>
        <v>5339</v>
      </c>
      <c r="G19784" s="4">
        <f>IFERROR(__xludf.DUMMYFUNCTION("""COMPUTED_VALUE"""),27.0)</f>
        <v>27</v>
      </c>
      <c r="H19784" s="4"/>
      <c r="I19784" s="4"/>
    </row>
    <row r="19785">
      <c r="A19785" s="4" t="str">
        <f>IFERROR(__xludf.DUMMYFUNCTION("""COMPUTED_VALUE"""),"cas_hmw")</f>
        <v>cas_hmw</v>
      </c>
      <c r="B19785" s="5">
        <f>IFERROR(__xludf.DUMMYFUNCTION("""COMPUTED_VALUE"""),44778.0)</f>
        <v>44778</v>
      </c>
      <c r="C19785" s="6">
        <f>IFERROR(__xludf.DUMMYFUNCTION("""COMPUTED_VALUE"""),0.7336111111108039)</f>
        <v>0.7336111111</v>
      </c>
      <c r="D19785" s="4">
        <f>IFERROR(__xludf.DUMMYFUNCTION("""COMPUTED_VALUE"""),12.986476)</f>
        <v>12.986476</v>
      </c>
      <c r="E19785" s="4">
        <f>IFERROR(__xludf.DUMMYFUNCTION("""COMPUTED_VALUE"""),80.119259)</f>
        <v>80.119259</v>
      </c>
      <c r="F19785" s="4">
        <f>IFERROR(__xludf.DUMMYFUNCTION("""COMPUTED_VALUE"""),3143.0)</f>
        <v>3143</v>
      </c>
      <c r="G19785" s="4">
        <f>IFERROR(__xludf.DUMMYFUNCTION("""COMPUTED_VALUE"""),17.0)</f>
        <v>17</v>
      </c>
      <c r="H19785" s="4"/>
      <c r="I19785" s="4"/>
    </row>
    <row r="19786">
      <c r="A19786" s="4" t="str">
        <f>IFERROR(__xludf.DUMMYFUNCTION("""COMPUTED_VALUE"""),"cas_hmw")</f>
        <v>cas_hmw</v>
      </c>
      <c r="B19786" s="5">
        <f>IFERROR(__xludf.DUMMYFUNCTION("""COMPUTED_VALUE"""),44778.0)</f>
        <v>44778</v>
      </c>
      <c r="C19786" s="6">
        <f>IFERROR(__xludf.DUMMYFUNCTION("""COMPUTED_VALUE"""),0.734305555553874)</f>
        <v>0.7343055556</v>
      </c>
      <c r="D19786" s="4">
        <f>IFERROR(__xludf.DUMMYFUNCTION("""COMPUTED_VALUE"""),12.989163)</f>
        <v>12.989163</v>
      </c>
      <c r="E19786" s="4">
        <f>IFERROR(__xludf.DUMMYFUNCTION("""COMPUTED_VALUE"""),80.117302)</f>
        <v>80.117302</v>
      </c>
      <c r="F19786" s="4">
        <f>IFERROR(__xludf.DUMMYFUNCTION("""COMPUTED_VALUE"""),3143.0)</f>
        <v>3143</v>
      </c>
      <c r="G19786" s="4">
        <f>IFERROR(__xludf.DUMMYFUNCTION("""COMPUTED_VALUE"""),32.0)</f>
        <v>32</v>
      </c>
      <c r="H19786" s="4"/>
      <c r="I19786" s="4"/>
    </row>
    <row r="19787">
      <c r="A19787" s="4" t="str">
        <f>IFERROR(__xludf.DUMMYFUNCTION("""COMPUTED_VALUE"""),"cas_hmw")</f>
        <v>cas_hmw</v>
      </c>
      <c r="B19787" s="5">
        <f>IFERROR(__xludf.DUMMYFUNCTION("""COMPUTED_VALUE"""),44778.0)</f>
        <v>44778</v>
      </c>
      <c r="C19787" s="6">
        <f>IFERROR(__xludf.DUMMYFUNCTION("""COMPUTED_VALUE"""),0.7344675925924093)</f>
        <v>0.7344675926</v>
      </c>
      <c r="D19787" s="4">
        <f>IFERROR(__xludf.DUMMYFUNCTION("""COMPUTED_VALUE"""),12.9899)</f>
        <v>12.9899</v>
      </c>
      <c r="E19787" s="4">
        <f>IFERROR(__xludf.DUMMYFUNCTION("""COMPUTED_VALUE"""),80.116792)</f>
        <v>80.116792</v>
      </c>
      <c r="F19787" s="4">
        <f>IFERROR(__xludf.DUMMYFUNCTION("""COMPUTED_VALUE"""),3143.0)</f>
        <v>3143</v>
      </c>
      <c r="G19787" s="4">
        <f>IFERROR(__xludf.DUMMYFUNCTION("""COMPUTED_VALUE"""),13.0)</f>
        <v>13</v>
      </c>
      <c r="H19787" s="4"/>
      <c r="I19787" s="4"/>
    </row>
    <row r="19788">
      <c r="A19788" s="4" t="str">
        <f>IFERROR(__xludf.DUMMYFUNCTION("""COMPUTED_VALUE"""),"cas_hmw")</f>
        <v>cas_hmw</v>
      </c>
      <c r="B19788" s="5">
        <f>IFERROR(__xludf.DUMMYFUNCTION("""COMPUTED_VALUE"""),44778.0)</f>
        <v>44778</v>
      </c>
      <c r="C19788" s="6">
        <f>IFERROR(__xludf.DUMMYFUNCTION("""COMPUTED_VALUE"""),0.7347916666658421)</f>
        <v>0.7347916667</v>
      </c>
      <c r="D19788" s="4">
        <f>IFERROR(__xludf.DUMMYFUNCTION("""COMPUTED_VALUE"""),13.05409)</f>
        <v>13.05409</v>
      </c>
      <c r="E19788" s="4">
        <f>IFERROR(__xludf.DUMMYFUNCTION("""COMPUTED_VALUE"""),80.26174)</f>
        <v>80.26174</v>
      </c>
      <c r="F19788" s="4">
        <f>IFERROR(__xludf.DUMMYFUNCTION("""COMPUTED_VALUE"""),5339.0)</f>
        <v>5339</v>
      </c>
      <c r="G19788" s="4">
        <f>IFERROR(__xludf.DUMMYFUNCTION("""COMPUTED_VALUE"""),31.0)</f>
        <v>31</v>
      </c>
      <c r="H19788" s="4"/>
      <c r="I19788" s="4"/>
    </row>
    <row r="19789">
      <c r="A19789" s="4" t="str">
        <f>IFERROR(__xludf.DUMMYFUNCTION("""COMPUTED_VALUE"""),"cas_hmw")</f>
        <v>cas_hmw</v>
      </c>
      <c r="B19789" s="5">
        <f>IFERROR(__xludf.DUMMYFUNCTION("""COMPUTED_VALUE"""),44778.0)</f>
        <v>44778</v>
      </c>
      <c r="C19789" s="6">
        <f>IFERROR(__xludf.DUMMYFUNCTION("""COMPUTED_VALUE"""),0.7354398148163455)</f>
        <v>0.7354398148</v>
      </c>
      <c r="D19789" s="4">
        <f>IFERROR(__xludf.DUMMYFUNCTION("""COMPUTED_VALUE"""),12.992772)</f>
        <v>12.992772</v>
      </c>
      <c r="E19789" s="4">
        <f>IFERROR(__xludf.DUMMYFUNCTION("""COMPUTED_VALUE"""),80.114194)</f>
        <v>80.114194</v>
      </c>
      <c r="F19789" s="4">
        <f>IFERROR(__xludf.DUMMYFUNCTION("""COMPUTED_VALUE"""),3143.0)</f>
        <v>3143</v>
      </c>
      <c r="G19789" s="4">
        <f>IFERROR(__xludf.DUMMYFUNCTION("""COMPUTED_VALUE"""),19.0)</f>
        <v>19</v>
      </c>
      <c r="H19789" s="4"/>
      <c r="I19789" s="4"/>
    </row>
    <row r="19790">
      <c r="A19790" s="4" t="str">
        <f>IFERROR(__xludf.DUMMYFUNCTION("""COMPUTED_VALUE"""),"cas_hmw")</f>
        <v>cas_hmw</v>
      </c>
      <c r="B19790" s="5">
        <f>IFERROR(__xludf.DUMMYFUNCTION("""COMPUTED_VALUE"""),44778.0)</f>
        <v>44778</v>
      </c>
      <c r="C19790" s="6">
        <f>IFERROR(__xludf.DUMMYFUNCTION("""COMPUTED_VALUE"""),0.7355671296281798)</f>
        <v>0.7355671296</v>
      </c>
      <c r="D19790" s="4">
        <f>IFERROR(__xludf.DUMMYFUNCTION("""COMPUTED_VALUE"""),12.993326)</f>
        <v>12.993326</v>
      </c>
      <c r="E19790" s="4">
        <f>IFERROR(__xludf.DUMMYFUNCTION("""COMPUTED_VALUE"""),80.113436)</f>
        <v>80.113436</v>
      </c>
      <c r="F19790" s="4">
        <f>IFERROR(__xludf.DUMMYFUNCTION("""COMPUTED_VALUE"""),3143.0)</f>
        <v>3143</v>
      </c>
      <c r="G19790" s="4">
        <f>IFERROR(__xludf.DUMMYFUNCTION("""COMPUTED_VALUE"""),23.0)</f>
        <v>23</v>
      </c>
      <c r="H19790" s="4"/>
      <c r="I19790" s="4"/>
    </row>
    <row r="19791">
      <c r="A19791" s="4" t="str">
        <f>IFERROR(__xludf.DUMMYFUNCTION("""COMPUTED_VALUE"""),"cas_hmw")</f>
        <v>cas_hmw</v>
      </c>
      <c r="B19791" s="5">
        <f>IFERROR(__xludf.DUMMYFUNCTION("""COMPUTED_VALUE"""),44778.0)</f>
        <v>44778</v>
      </c>
      <c r="C19791" s="6">
        <f>IFERROR(__xludf.DUMMYFUNCTION("""COMPUTED_VALUE"""),0.7356481481474475)</f>
        <v>0.7356481481</v>
      </c>
      <c r="D19791" s="4">
        <f>IFERROR(__xludf.DUMMYFUNCTION("""COMPUTED_VALUE"""),12.993326)</f>
        <v>12.993326</v>
      </c>
      <c r="E19791" s="4">
        <f>IFERROR(__xludf.DUMMYFUNCTION("""COMPUTED_VALUE"""),80.113436)</f>
        <v>80.113436</v>
      </c>
      <c r="F19791" s="4">
        <f>IFERROR(__xludf.DUMMYFUNCTION("""COMPUTED_VALUE"""),3143.0)</f>
        <v>3143</v>
      </c>
      <c r="G19791" s="4">
        <f>IFERROR(__xludf.DUMMYFUNCTION("""COMPUTED_VALUE"""),23.0)</f>
        <v>23</v>
      </c>
      <c r="H19791" s="4"/>
      <c r="I19791" s="4"/>
    </row>
    <row r="19792">
      <c r="A19792" s="4" t="str">
        <f>IFERROR(__xludf.DUMMYFUNCTION("""COMPUTED_VALUE"""),"cas_hmw")</f>
        <v>cas_hmw</v>
      </c>
      <c r="B19792" s="5">
        <f>IFERROR(__xludf.DUMMYFUNCTION("""COMPUTED_VALUE"""),44778.0)</f>
        <v>44778</v>
      </c>
      <c r="C19792" s="6">
        <f>IFERROR(__xludf.DUMMYFUNCTION("""COMPUTED_VALUE"""),0.7356828703705105)</f>
        <v>0.7356828704</v>
      </c>
      <c r="D19792" s="4">
        <f>IFERROR(__xludf.DUMMYFUNCTION("""COMPUTED_VALUE"""),12.993858)</f>
        <v>12.993858</v>
      </c>
      <c r="E19792" s="4">
        <f>IFERROR(__xludf.DUMMYFUNCTION("""COMPUTED_VALUE"""),80.112792)</f>
        <v>80.112792</v>
      </c>
      <c r="F19792" s="4">
        <f>IFERROR(__xludf.DUMMYFUNCTION("""COMPUTED_VALUE"""),3143.0)</f>
        <v>3143</v>
      </c>
      <c r="G19792" s="4">
        <f>IFERROR(__xludf.DUMMYFUNCTION("""COMPUTED_VALUE"""),21.0)</f>
        <v>21</v>
      </c>
      <c r="H19792" s="4"/>
      <c r="I19792" s="4"/>
    </row>
    <row r="19793">
      <c r="A19793" s="4" t="str">
        <f>IFERROR(__xludf.DUMMYFUNCTION("""COMPUTED_VALUE"""),"cas_hmw")</f>
        <v>cas_hmw</v>
      </c>
      <c r="B19793" s="5">
        <f>IFERROR(__xludf.DUMMYFUNCTION("""COMPUTED_VALUE"""),44778.0)</f>
        <v>44778</v>
      </c>
      <c r="C19793" s="6">
        <f>IFERROR(__xludf.DUMMYFUNCTION("""COMPUTED_VALUE"""),0.7356828703705105)</f>
        <v>0.7356828704</v>
      </c>
      <c r="D19793" s="4">
        <f>IFERROR(__xludf.DUMMYFUNCTION("""COMPUTED_VALUE"""),12.993858)</f>
        <v>12.993858</v>
      </c>
      <c r="E19793" s="4">
        <f>IFERROR(__xludf.DUMMYFUNCTION("""COMPUTED_VALUE"""),80.112792)</f>
        <v>80.112792</v>
      </c>
      <c r="F19793" s="4">
        <f>IFERROR(__xludf.DUMMYFUNCTION("""COMPUTED_VALUE"""),3143.0)</f>
        <v>3143</v>
      </c>
      <c r="G19793" s="4">
        <f>IFERROR(__xludf.DUMMYFUNCTION("""COMPUTED_VALUE"""),21.0)</f>
        <v>21</v>
      </c>
      <c r="H19793" s="4"/>
      <c r="I19793" s="4"/>
    </row>
    <row r="19794">
      <c r="A19794" s="4" t="str">
        <f>IFERROR(__xludf.DUMMYFUNCTION("""COMPUTED_VALUE"""),"cas_hmw")</f>
        <v>cas_hmw</v>
      </c>
      <c r="B19794" s="5">
        <f>IFERROR(__xludf.DUMMYFUNCTION("""COMPUTED_VALUE"""),44778.0)</f>
        <v>44778</v>
      </c>
      <c r="C19794" s="6">
        <f>IFERROR(__xludf.DUMMYFUNCTION("""COMPUTED_VALUE"""),0.7357060185167938)</f>
        <v>0.7357060185</v>
      </c>
      <c r="D19794" s="4">
        <f>IFERROR(__xludf.DUMMYFUNCTION("""COMPUTED_VALUE"""),12.993858)</f>
        <v>12.993858</v>
      </c>
      <c r="E19794" s="4">
        <f>IFERROR(__xludf.DUMMYFUNCTION("""COMPUTED_VALUE"""),80.112792)</f>
        <v>80.112792</v>
      </c>
      <c r="F19794" s="4">
        <f>IFERROR(__xludf.DUMMYFUNCTION("""COMPUTED_VALUE"""),3143.0)</f>
        <v>3143</v>
      </c>
      <c r="G19794" s="4">
        <f>IFERROR(__xludf.DUMMYFUNCTION("""COMPUTED_VALUE"""),21.0)</f>
        <v>21</v>
      </c>
      <c r="H19794" s="4"/>
      <c r="I19794" s="4"/>
    </row>
    <row r="19795">
      <c r="A19795" s="4" t="str">
        <f>IFERROR(__xludf.DUMMYFUNCTION("""COMPUTED_VALUE"""),"cas_hmw")</f>
        <v>cas_hmw</v>
      </c>
      <c r="B19795" s="5">
        <f>IFERROR(__xludf.DUMMYFUNCTION("""COMPUTED_VALUE"""),44778.0)</f>
        <v>44778</v>
      </c>
      <c r="C19795" s="6">
        <f>IFERROR(__xludf.DUMMYFUNCTION("""COMPUTED_VALUE"""),0.7357291666667152)</f>
        <v>0.7357291667</v>
      </c>
      <c r="D19795" s="4">
        <f>IFERROR(__xludf.DUMMYFUNCTION("""COMPUTED_VALUE"""),12.993858)</f>
        <v>12.993858</v>
      </c>
      <c r="E19795" s="4">
        <f>IFERROR(__xludf.DUMMYFUNCTION("""COMPUTED_VALUE"""),80.112792)</f>
        <v>80.112792</v>
      </c>
      <c r="F19795" s="4">
        <f>IFERROR(__xludf.DUMMYFUNCTION("""COMPUTED_VALUE"""),3143.0)</f>
        <v>3143</v>
      </c>
      <c r="G19795" s="4">
        <f>IFERROR(__xludf.DUMMYFUNCTION("""COMPUTED_VALUE"""),21.0)</f>
        <v>21</v>
      </c>
      <c r="H19795" s="4"/>
      <c r="I19795" s="4"/>
    </row>
    <row r="19796">
      <c r="A19796" s="4" t="str">
        <f>IFERROR(__xludf.DUMMYFUNCTION("""COMPUTED_VALUE"""),"cas_hmw")</f>
        <v>cas_hmw</v>
      </c>
      <c r="B19796" s="5">
        <f>IFERROR(__xludf.DUMMYFUNCTION("""COMPUTED_VALUE"""),44778.0)</f>
        <v>44778</v>
      </c>
      <c r="C19796" s="6">
        <f>IFERROR(__xludf.DUMMYFUNCTION("""COMPUTED_VALUE"""),0.7361805555556202)</f>
        <v>0.7361805556</v>
      </c>
      <c r="D19796" s="4">
        <f>IFERROR(__xludf.DUMMYFUNCTION("""COMPUTED_VALUE"""),12.995269)</f>
        <v>12.995269</v>
      </c>
      <c r="E19796" s="4">
        <f>IFERROR(__xludf.DUMMYFUNCTION("""COMPUTED_VALUE"""),80.111275)</f>
        <v>80.111275</v>
      </c>
      <c r="F19796" s="4">
        <f>IFERROR(__xludf.DUMMYFUNCTION("""COMPUTED_VALUE"""),3143.0)</f>
        <v>3143</v>
      </c>
      <c r="G19796" s="4">
        <f>IFERROR(__xludf.DUMMYFUNCTION("""COMPUTED_VALUE"""),32.0)</f>
        <v>32</v>
      </c>
      <c r="H19796" s="4"/>
      <c r="I19796" s="4"/>
    </row>
    <row r="19797">
      <c r="A19797" s="4" t="str">
        <f>IFERROR(__xludf.DUMMYFUNCTION("""COMPUTED_VALUE"""),"cas_hmw")</f>
        <v>cas_hmw</v>
      </c>
      <c r="B19797" s="5">
        <f>IFERROR(__xludf.DUMMYFUNCTION("""COMPUTED_VALUE"""),44778.0)</f>
        <v>44778</v>
      </c>
      <c r="C19797" s="6">
        <f>IFERROR(__xludf.DUMMYFUNCTION("""COMPUTED_VALUE"""),0.7362268518518249)</f>
        <v>0.7362268519</v>
      </c>
      <c r="D19797" s="4">
        <f>IFERROR(__xludf.DUMMYFUNCTION("""COMPUTED_VALUE"""),12.995269)</f>
        <v>12.995269</v>
      </c>
      <c r="E19797" s="4">
        <f>IFERROR(__xludf.DUMMYFUNCTION("""COMPUTED_VALUE"""),80.111275)</f>
        <v>80.111275</v>
      </c>
      <c r="F19797" s="4">
        <f>IFERROR(__xludf.DUMMYFUNCTION("""COMPUTED_VALUE"""),3143.0)</f>
        <v>3143</v>
      </c>
      <c r="G19797" s="4">
        <f>IFERROR(__xludf.DUMMYFUNCTION("""COMPUTED_VALUE"""),32.0)</f>
        <v>32</v>
      </c>
      <c r="H19797" s="4"/>
      <c r="I19797" s="4"/>
    </row>
    <row r="19798">
      <c r="A19798" s="4" t="str">
        <f>IFERROR(__xludf.DUMMYFUNCTION("""COMPUTED_VALUE"""),"cas_hmw")</f>
        <v>cas_hmw</v>
      </c>
      <c r="B19798" s="5">
        <f>IFERROR(__xludf.DUMMYFUNCTION("""COMPUTED_VALUE"""),44778.0)</f>
        <v>44778</v>
      </c>
      <c r="C19798" s="6">
        <f>IFERROR(__xludf.DUMMYFUNCTION("""COMPUTED_VALUE"""),0.7362500000017462)</f>
        <v>0.73625</v>
      </c>
      <c r="D19798" s="4">
        <f>IFERROR(__xludf.DUMMYFUNCTION("""COMPUTED_VALUE"""),12.995857)</f>
        <v>12.995857</v>
      </c>
      <c r="E19798" s="4">
        <f>IFERROR(__xludf.DUMMYFUNCTION("""COMPUTED_VALUE"""),80.110257)</f>
        <v>80.110257</v>
      </c>
      <c r="F19798" s="4">
        <f>IFERROR(__xludf.DUMMYFUNCTION("""COMPUTED_VALUE"""),3143.0)</f>
        <v>3143</v>
      </c>
      <c r="G19798" s="4">
        <f>IFERROR(__xludf.DUMMYFUNCTION("""COMPUTED_VALUE"""),23.0)</f>
        <v>23</v>
      </c>
      <c r="H19798" s="4"/>
      <c r="I19798" s="4"/>
    </row>
    <row r="19799">
      <c r="A19799" s="4" t="str">
        <f>IFERROR(__xludf.DUMMYFUNCTION("""COMPUTED_VALUE"""),"cas_hmw")</f>
        <v>cas_hmw</v>
      </c>
      <c r="B19799" s="5">
        <f>IFERROR(__xludf.DUMMYFUNCTION("""COMPUTED_VALUE"""),44778.0)</f>
        <v>44778</v>
      </c>
      <c r="C19799" s="6">
        <f>IFERROR(__xludf.DUMMYFUNCTION("""COMPUTED_VALUE"""),0.7416435185186856)</f>
        <v>0.7416435185</v>
      </c>
      <c r="D19799" s="4">
        <f>IFERROR(__xludf.DUMMYFUNCTION("""COMPUTED_VALUE"""),13.054355)</f>
        <v>13.054355</v>
      </c>
      <c r="E19799" s="4">
        <f>IFERROR(__xludf.DUMMYFUNCTION("""COMPUTED_VALUE"""),80.264044)</f>
        <v>80.264044</v>
      </c>
      <c r="F19799" s="4">
        <f>IFERROR(__xludf.DUMMYFUNCTION("""COMPUTED_VALUE"""),805.0)</f>
        <v>805</v>
      </c>
      <c r="G19799" s="4">
        <f>IFERROR(__xludf.DUMMYFUNCTION("""COMPUTED_VALUE"""),21.0)</f>
        <v>21</v>
      </c>
      <c r="H19799" s="4"/>
      <c r="I19799" s="4"/>
    </row>
    <row r="19800">
      <c r="A19800" s="4" t="str">
        <f>IFERROR(__xludf.DUMMYFUNCTION("""COMPUTED_VALUE"""),"cas_hmw")</f>
        <v>cas_hmw</v>
      </c>
      <c r="B19800" s="5">
        <f>IFERROR(__xludf.DUMMYFUNCTION("""COMPUTED_VALUE"""),44778.0)</f>
        <v>44778</v>
      </c>
      <c r="C19800" s="6">
        <f>IFERROR(__xludf.DUMMYFUNCTION("""COMPUTED_VALUE"""),0.7416782407417486)</f>
        <v>0.7416782407</v>
      </c>
      <c r="D19800" s="4">
        <f>IFERROR(__xludf.DUMMYFUNCTION("""COMPUTED_VALUE"""),13.054355)</f>
        <v>13.054355</v>
      </c>
      <c r="E19800" s="4">
        <f>IFERROR(__xludf.DUMMYFUNCTION("""COMPUTED_VALUE"""),80.264044)</f>
        <v>80.264044</v>
      </c>
      <c r="F19800" s="4">
        <f>IFERROR(__xludf.DUMMYFUNCTION("""COMPUTED_VALUE"""),805.0)</f>
        <v>805</v>
      </c>
      <c r="G19800" s="4">
        <f>IFERROR(__xludf.DUMMYFUNCTION("""COMPUTED_VALUE"""),21.0)</f>
        <v>21</v>
      </c>
      <c r="H19800" s="4"/>
      <c r="I19800" s="4"/>
    </row>
    <row r="19801">
      <c r="A19801" s="4" t="str">
        <f>IFERROR(__xludf.DUMMYFUNCTION("""COMPUTED_VALUE"""),"cas_hmw")</f>
        <v>cas_hmw</v>
      </c>
      <c r="B19801" s="5">
        <f>IFERROR(__xludf.DUMMYFUNCTION("""COMPUTED_VALUE"""),44778.0)</f>
        <v>44778</v>
      </c>
      <c r="C19801" s="6">
        <f>IFERROR(__xludf.DUMMYFUNCTION("""COMPUTED_VALUE"""),0.7443981481483206)</f>
        <v>0.7443981481</v>
      </c>
      <c r="D19801" s="4">
        <f>IFERROR(__xludf.DUMMYFUNCTION("""COMPUTED_VALUE"""),13.017978)</f>
        <v>13.017978</v>
      </c>
      <c r="E19801" s="4">
        <f>IFERROR(__xludf.DUMMYFUNCTION("""COMPUTED_VALUE"""),80.102646)</f>
        <v>80.102646</v>
      </c>
      <c r="F19801" s="4">
        <f>IFERROR(__xludf.DUMMYFUNCTION("""COMPUTED_VALUE"""),3143.0)</f>
        <v>3143</v>
      </c>
      <c r="G19801" s="4">
        <f>IFERROR(__xludf.DUMMYFUNCTION("""COMPUTED_VALUE"""),20.0)</f>
        <v>20</v>
      </c>
      <c r="H19801" s="4"/>
      <c r="I19801" s="4"/>
    </row>
    <row r="19802">
      <c r="A19802" s="4" t="str">
        <f>IFERROR(__xludf.DUMMYFUNCTION("""COMPUTED_VALUE"""),"cas_hmw")</f>
        <v>cas_hmw</v>
      </c>
      <c r="B19802" s="5">
        <f>IFERROR(__xludf.DUMMYFUNCTION("""COMPUTED_VALUE"""),44778.0)</f>
        <v>44778</v>
      </c>
      <c r="C19802" s="6">
        <f>IFERROR(__xludf.DUMMYFUNCTION("""COMPUTED_VALUE"""),0.7444675925908086)</f>
        <v>0.7444675926</v>
      </c>
      <c r="D19802" s="4">
        <f>IFERROR(__xludf.DUMMYFUNCTION("""COMPUTED_VALUE"""),13.018868)</f>
        <v>13.018868</v>
      </c>
      <c r="E19802" s="4">
        <f>IFERROR(__xludf.DUMMYFUNCTION("""COMPUTED_VALUE"""),80.103468)</f>
        <v>80.103468</v>
      </c>
      <c r="F19802" s="4">
        <f>IFERROR(__xludf.DUMMYFUNCTION("""COMPUTED_VALUE"""),3143.0)</f>
        <v>3143</v>
      </c>
      <c r="G19802" s="4">
        <f>IFERROR(__xludf.DUMMYFUNCTION("""COMPUTED_VALUE"""),37.0)</f>
        <v>37</v>
      </c>
      <c r="H19802" s="4"/>
      <c r="I19802" s="4"/>
    </row>
    <row r="19803">
      <c r="A19803" s="4" t="str">
        <f>IFERROR(__xludf.DUMMYFUNCTION("""COMPUTED_VALUE"""),"cas_hmw")</f>
        <v>cas_hmw</v>
      </c>
      <c r="B19803" s="5">
        <f>IFERROR(__xludf.DUMMYFUNCTION("""COMPUTED_VALUE"""),44778.0)</f>
        <v>44778</v>
      </c>
      <c r="C19803" s="6">
        <f>IFERROR(__xludf.DUMMYFUNCTION("""COMPUTED_VALUE"""),0.7454050925916818)</f>
        <v>0.7454050926</v>
      </c>
      <c r="D19803" s="4">
        <f>IFERROR(__xludf.DUMMYFUNCTION("""COMPUTED_VALUE"""),13.023387)</f>
        <v>13.023387</v>
      </c>
      <c r="E19803" s="4">
        <f>IFERROR(__xludf.DUMMYFUNCTION("""COMPUTED_VALUE"""),80.107588)</f>
        <v>80.107588</v>
      </c>
      <c r="F19803" s="4">
        <f>IFERROR(__xludf.DUMMYFUNCTION("""COMPUTED_VALUE"""),3143.0)</f>
        <v>3143</v>
      </c>
      <c r="G19803" s="4">
        <f>IFERROR(__xludf.DUMMYFUNCTION("""COMPUTED_VALUE"""),27.0)</f>
        <v>27</v>
      </c>
      <c r="H19803" s="4"/>
      <c r="I19803" s="4"/>
    </row>
    <row r="19804">
      <c r="A19804" s="4" t="str">
        <f>IFERROR(__xludf.DUMMYFUNCTION("""COMPUTED_VALUE"""),"cas_hmw")</f>
        <v>cas_hmw</v>
      </c>
      <c r="B19804" s="5">
        <f>IFERROR(__xludf.DUMMYFUNCTION("""COMPUTED_VALUE"""),44778.0)</f>
        <v>44778</v>
      </c>
      <c r="C19804" s="6">
        <f>IFERROR(__xludf.DUMMYFUNCTION("""COMPUTED_VALUE"""),0.7454398148147448)</f>
        <v>0.7454398148</v>
      </c>
      <c r="D19804" s="4">
        <f>IFERROR(__xludf.DUMMYFUNCTION("""COMPUTED_VALUE"""),13.023387)</f>
        <v>13.023387</v>
      </c>
      <c r="E19804" s="4">
        <f>IFERROR(__xludf.DUMMYFUNCTION("""COMPUTED_VALUE"""),80.107588)</f>
        <v>80.107588</v>
      </c>
      <c r="F19804" s="4">
        <f>IFERROR(__xludf.DUMMYFUNCTION("""COMPUTED_VALUE"""),3143.0)</f>
        <v>3143</v>
      </c>
      <c r="G19804" s="4">
        <f>IFERROR(__xludf.DUMMYFUNCTION("""COMPUTED_VALUE"""),27.0)</f>
        <v>27</v>
      </c>
      <c r="H19804" s="4"/>
      <c r="I19804" s="4"/>
    </row>
    <row r="19805">
      <c r="A19805" s="4" t="str">
        <f>IFERROR(__xludf.DUMMYFUNCTION("""COMPUTED_VALUE"""),"cas_hmw")</f>
        <v>cas_hmw</v>
      </c>
      <c r="B19805" s="5">
        <f>IFERROR(__xludf.DUMMYFUNCTION("""COMPUTED_VALUE"""),44778.0)</f>
        <v>44778</v>
      </c>
      <c r="C19805" s="6">
        <f>IFERROR(__xludf.DUMMYFUNCTION("""COMPUTED_VALUE"""),0.7454398148147448)</f>
        <v>0.7454398148</v>
      </c>
      <c r="D19805" s="4">
        <f>IFERROR(__xludf.DUMMYFUNCTION("""COMPUTED_VALUE"""),13.023387)</f>
        <v>13.023387</v>
      </c>
      <c r="E19805" s="4">
        <f>IFERROR(__xludf.DUMMYFUNCTION("""COMPUTED_VALUE"""),80.107588)</f>
        <v>80.107588</v>
      </c>
      <c r="F19805" s="4">
        <f>IFERROR(__xludf.DUMMYFUNCTION("""COMPUTED_VALUE"""),3143.0)</f>
        <v>3143</v>
      </c>
      <c r="G19805" s="4">
        <f>IFERROR(__xludf.DUMMYFUNCTION("""COMPUTED_VALUE"""),27.0)</f>
        <v>27</v>
      </c>
      <c r="H19805" s="4"/>
      <c r="I19805" s="4"/>
    </row>
    <row r="19806">
      <c r="A19806" s="4" t="str">
        <f>IFERROR(__xludf.DUMMYFUNCTION("""COMPUTED_VALUE"""),"cas_hmw")</f>
        <v>cas_hmw</v>
      </c>
      <c r="B19806" s="5">
        <f>IFERROR(__xludf.DUMMYFUNCTION("""COMPUTED_VALUE"""),44778.0)</f>
        <v>44778</v>
      </c>
      <c r="C19806" s="6">
        <f>IFERROR(__xludf.DUMMYFUNCTION("""COMPUTED_VALUE"""),0.7454629629646661)</f>
        <v>0.745462963</v>
      </c>
      <c r="D19806" s="4">
        <f>IFERROR(__xludf.DUMMYFUNCTION("""COMPUTED_VALUE"""),13.023387)</f>
        <v>13.023387</v>
      </c>
      <c r="E19806" s="4">
        <f>IFERROR(__xludf.DUMMYFUNCTION("""COMPUTED_VALUE"""),80.107588)</f>
        <v>80.107588</v>
      </c>
      <c r="F19806" s="4">
        <f>IFERROR(__xludf.DUMMYFUNCTION("""COMPUTED_VALUE"""),3143.0)</f>
        <v>3143</v>
      </c>
      <c r="G19806" s="4">
        <f>IFERROR(__xludf.DUMMYFUNCTION("""COMPUTED_VALUE"""),27.0)</f>
        <v>27</v>
      </c>
      <c r="H19806" s="4"/>
      <c r="I19806" s="4"/>
    </row>
    <row r="19807">
      <c r="A19807" s="4" t="str">
        <f>IFERROR(__xludf.DUMMYFUNCTION("""COMPUTED_VALUE"""),"cas_hmw")</f>
        <v>cas_hmw</v>
      </c>
      <c r="B19807" s="5">
        <f>IFERROR(__xludf.DUMMYFUNCTION("""COMPUTED_VALUE"""),44778.0)</f>
        <v>44778</v>
      </c>
      <c r="C19807" s="6">
        <f>IFERROR(__xludf.DUMMYFUNCTION("""COMPUTED_VALUE"""),0.7454629629646661)</f>
        <v>0.745462963</v>
      </c>
      <c r="D19807" s="4">
        <f>IFERROR(__xludf.DUMMYFUNCTION("""COMPUTED_VALUE"""),13.023387)</f>
        <v>13.023387</v>
      </c>
      <c r="E19807" s="4">
        <f>IFERROR(__xludf.DUMMYFUNCTION("""COMPUTED_VALUE"""),80.107588)</f>
        <v>80.107588</v>
      </c>
      <c r="F19807" s="4">
        <f>IFERROR(__xludf.DUMMYFUNCTION("""COMPUTED_VALUE"""),3143.0)</f>
        <v>3143</v>
      </c>
      <c r="G19807" s="4">
        <f>IFERROR(__xludf.DUMMYFUNCTION("""COMPUTED_VALUE"""),27.0)</f>
        <v>27</v>
      </c>
      <c r="H19807" s="4"/>
      <c r="I19807" s="4"/>
    </row>
    <row r="19808">
      <c r="A19808" s="4" t="str">
        <f>IFERROR(__xludf.DUMMYFUNCTION("""COMPUTED_VALUE"""),"cas_hmw")</f>
        <v>cas_hmw</v>
      </c>
      <c r="B19808" s="5">
        <f>IFERROR(__xludf.DUMMYFUNCTION("""COMPUTED_VALUE"""),44778.0)</f>
        <v>44778</v>
      </c>
      <c r="C19808" s="6">
        <f>IFERROR(__xludf.DUMMYFUNCTION("""COMPUTED_VALUE"""),0.7459027777767915)</f>
        <v>0.7459027778</v>
      </c>
      <c r="D19808" s="4">
        <f>IFERROR(__xludf.DUMMYFUNCTION("""COMPUTED_VALUE"""),13.065578)</f>
        <v>13.065578</v>
      </c>
      <c r="E19808" s="4">
        <f>IFERROR(__xludf.DUMMYFUNCTION("""COMPUTED_VALUE"""),80.267407)</f>
        <v>80.267407</v>
      </c>
      <c r="F19808" s="4">
        <f>IFERROR(__xludf.DUMMYFUNCTION("""COMPUTED_VALUE"""),805.0)</f>
        <v>805</v>
      </c>
      <c r="G19808" s="4">
        <f>IFERROR(__xludf.DUMMYFUNCTION("""COMPUTED_VALUE"""),12.0)</f>
        <v>12</v>
      </c>
      <c r="H19808" s="4"/>
      <c r="I19808" s="4"/>
    </row>
    <row r="19809">
      <c r="A19809" s="4" t="str">
        <f>IFERROR(__xludf.DUMMYFUNCTION("""COMPUTED_VALUE"""),"cas_hmw")</f>
        <v>cas_hmw</v>
      </c>
      <c r="B19809" s="5">
        <f>IFERROR(__xludf.DUMMYFUNCTION("""COMPUTED_VALUE"""),44778.0)</f>
        <v>44778</v>
      </c>
      <c r="C19809" s="6">
        <f>IFERROR(__xludf.DUMMYFUNCTION("""COMPUTED_VALUE"""),0.7466666666659876)</f>
        <v>0.7466666667</v>
      </c>
      <c r="D19809" s="4">
        <f>IFERROR(__xludf.DUMMYFUNCTION("""COMPUTED_VALUE"""),13.072347)</f>
        <v>13.072347</v>
      </c>
      <c r="E19809" s="4">
        <f>IFERROR(__xludf.DUMMYFUNCTION("""COMPUTED_VALUE"""),80.263547)</f>
        <v>80.263547</v>
      </c>
      <c r="F19809" s="4">
        <f>IFERROR(__xludf.DUMMYFUNCTION("""COMPUTED_VALUE"""),5339.0)</f>
        <v>5339</v>
      </c>
      <c r="G19809" s="4">
        <f>IFERROR(__xludf.DUMMYFUNCTION("""COMPUTED_VALUE"""),20.0)</f>
        <v>20</v>
      </c>
      <c r="H19809" s="4"/>
      <c r="I19809" s="4"/>
    </row>
    <row r="19810">
      <c r="A19810" s="4" t="str">
        <f>IFERROR(__xludf.DUMMYFUNCTION("""COMPUTED_VALUE"""),"cas_hmw")</f>
        <v>cas_hmw</v>
      </c>
      <c r="B19810" s="5">
        <f>IFERROR(__xludf.DUMMYFUNCTION("""COMPUTED_VALUE"""),44778.0)</f>
        <v>44778</v>
      </c>
      <c r="C19810" s="6">
        <f>IFERROR(__xludf.DUMMYFUNCTION("""COMPUTED_VALUE"""),0.7467013888890506)</f>
        <v>0.7467013889</v>
      </c>
      <c r="D19810" s="4">
        <f>IFERROR(__xludf.DUMMYFUNCTION("""COMPUTED_VALUE"""),13.072347)</f>
        <v>13.072347</v>
      </c>
      <c r="E19810" s="4">
        <f>IFERROR(__xludf.DUMMYFUNCTION("""COMPUTED_VALUE"""),80.263547)</f>
        <v>80.263547</v>
      </c>
      <c r="F19810" s="4">
        <f>IFERROR(__xludf.DUMMYFUNCTION("""COMPUTED_VALUE"""),5339.0)</f>
        <v>5339</v>
      </c>
      <c r="G19810" s="4">
        <f>IFERROR(__xludf.DUMMYFUNCTION("""COMPUTED_VALUE"""),20.0)</f>
        <v>20</v>
      </c>
      <c r="H19810" s="4"/>
      <c r="I19810" s="4"/>
    </row>
    <row r="19811">
      <c r="A19811" s="4" t="str">
        <f>IFERROR(__xludf.DUMMYFUNCTION("""COMPUTED_VALUE"""),"cas_hmw")</f>
        <v>cas_hmw</v>
      </c>
      <c r="B19811" s="5">
        <f>IFERROR(__xludf.DUMMYFUNCTION("""COMPUTED_VALUE"""),44778.0)</f>
        <v>44778</v>
      </c>
      <c r="C19811" s="6">
        <f>IFERROR(__xludf.DUMMYFUNCTION("""COMPUTED_VALUE"""),0.7479861111096398)</f>
        <v>0.7479861111</v>
      </c>
      <c r="D19811" s="4">
        <f>IFERROR(__xludf.DUMMYFUNCTION("""COMPUTED_VALUE"""),13.070568)</f>
        <v>13.070568</v>
      </c>
      <c r="E19811" s="4">
        <f>IFERROR(__xludf.DUMMYFUNCTION("""COMPUTED_VALUE"""),80.258078)</f>
        <v>80.258078</v>
      </c>
      <c r="F19811" s="4">
        <f>IFERROR(__xludf.DUMMYFUNCTION("""COMPUTED_VALUE"""),5339.0)</f>
        <v>5339</v>
      </c>
      <c r="G19811" s="4">
        <f>IFERROR(__xludf.DUMMYFUNCTION("""COMPUTED_VALUE"""),39.0)</f>
        <v>39</v>
      </c>
      <c r="H19811" s="4"/>
      <c r="I19811" s="4"/>
    </row>
    <row r="19812">
      <c r="A19812" s="4" t="str">
        <f>IFERROR(__xludf.DUMMYFUNCTION("""COMPUTED_VALUE"""),"cas_hmw")</f>
        <v>cas_hmw</v>
      </c>
      <c r="B19812" s="5">
        <f>IFERROR(__xludf.DUMMYFUNCTION("""COMPUTED_VALUE"""),44778.0)</f>
        <v>44778</v>
      </c>
      <c r="C19812" s="6">
        <f>IFERROR(__xludf.DUMMYFUNCTION("""COMPUTED_VALUE"""),0.7488425925912452)</f>
        <v>0.7488425926</v>
      </c>
      <c r="D19812" s="4">
        <f>IFERROR(__xludf.DUMMYFUNCTION("""COMPUTED_VALUE"""),13.062154)</f>
        <v>13.062154</v>
      </c>
      <c r="E19812" s="4">
        <f>IFERROR(__xludf.DUMMYFUNCTION("""COMPUTED_VALUE"""),80.263191)</f>
        <v>80.263191</v>
      </c>
      <c r="F19812" s="4">
        <f>IFERROR(__xludf.DUMMYFUNCTION("""COMPUTED_VALUE"""),805.0)</f>
        <v>805</v>
      </c>
      <c r="G19812" s="4">
        <f>IFERROR(__xludf.DUMMYFUNCTION("""COMPUTED_VALUE"""),6.0)</f>
        <v>6</v>
      </c>
      <c r="H19812" s="4"/>
      <c r="I19812" s="4"/>
    </row>
    <row r="19813">
      <c r="A19813" s="4" t="str">
        <f>IFERROR(__xludf.DUMMYFUNCTION("""COMPUTED_VALUE"""),"cas_hmw")</f>
        <v>cas_hmw</v>
      </c>
      <c r="B19813" s="5">
        <f>IFERROR(__xludf.DUMMYFUNCTION("""COMPUTED_VALUE"""),44778.0)</f>
        <v>44778</v>
      </c>
      <c r="C19813" s="6">
        <f>IFERROR(__xludf.DUMMYFUNCTION("""COMPUTED_VALUE"""),0.7488541666680248)</f>
        <v>0.7488541667</v>
      </c>
      <c r="D19813" s="4">
        <f>IFERROR(__xludf.DUMMYFUNCTION("""COMPUTED_VALUE"""),13.062154)</f>
        <v>13.062154</v>
      </c>
      <c r="E19813" s="4">
        <f>IFERROR(__xludf.DUMMYFUNCTION("""COMPUTED_VALUE"""),80.263191)</f>
        <v>80.263191</v>
      </c>
      <c r="F19813" s="4">
        <f>IFERROR(__xludf.DUMMYFUNCTION("""COMPUTED_VALUE"""),805.0)</f>
        <v>805</v>
      </c>
      <c r="G19813" s="4">
        <f>IFERROR(__xludf.DUMMYFUNCTION("""COMPUTED_VALUE"""),6.0)</f>
        <v>6</v>
      </c>
      <c r="H19813" s="4"/>
      <c r="I19813" s="4"/>
    </row>
    <row r="19814">
      <c r="A19814" s="4" t="str">
        <f>IFERROR(__xludf.DUMMYFUNCTION("""COMPUTED_VALUE"""),"cas_hmw")</f>
        <v>cas_hmw</v>
      </c>
      <c r="B19814" s="5">
        <f>IFERROR(__xludf.DUMMYFUNCTION("""COMPUTED_VALUE"""),44778.0)</f>
        <v>44778</v>
      </c>
      <c r="C19814" s="6">
        <f>IFERROR(__xludf.DUMMYFUNCTION("""COMPUTED_VALUE"""),0.7490393518528435)</f>
        <v>0.7490393519</v>
      </c>
      <c r="D19814" s="4">
        <f>IFERROR(__xludf.DUMMYFUNCTION("""COMPUTED_VALUE"""),13.062132)</f>
        <v>13.062132</v>
      </c>
      <c r="E19814" s="4">
        <f>IFERROR(__xludf.DUMMYFUNCTION("""COMPUTED_VALUE"""),80.26281)</f>
        <v>80.26281</v>
      </c>
      <c r="F19814" s="4">
        <f>IFERROR(__xludf.DUMMYFUNCTION("""COMPUTED_VALUE"""),805.0)</f>
        <v>805</v>
      </c>
      <c r="G19814" s="4">
        <f>IFERROR(__xludf.DUMMYFUNCTION("""COMPUTED_VALUE"""),13.0)</f>
        <v>13</v>
      </c>
      <c r="H19814" s="4"/>
      <c r="I19814" s="4"/>
    </row>
    <row r="19815">
      <c r="A19815" s="4" t="str">
        <f>IFERROR(__xludf.DUMMYFUNCTION("""COMPUTED_VALUE"""),"cas_hmw")</f>
        <v>cas_hmw</v>
      </c>
      <c r="B19815" s="5">
        <f>IFERROR(__xludf.DUMMYFUNCTION("""COMPUTED_VALUE"""),44778.0)</f>
        <v>44778</v>
      </c>
      <c r="C19815" s="6">
        <f>IFERROR(__xludf.DUMMYFUNCTION("""COMPUTED_VALUE"""),0.7490509259259852)</f>
        <v>0.7490509259</v>
      </c>
      <c r="D19815" s="4">
        <f>IFERROR(__xludf.DUMMYFUNCTION("""COMPUTED_VALUE"""),13.062132)</f>
        <v>13.062132</v>
      </c>
      <c r="E19815" s="4">
        <f>IFERROR(__xludf.DUMMYFUNCTION("""COMPUTED_VALUE"""),80.26281)</f>
        <v>80.26281</v>
      </c>
      <c r="F19815" s="4">
        <f>IFERROR(__xludf.DUMMYFUNCTION("""COMPUTED_VALUE"""),805.0)</f>
        <v>805</v>
      </c>
      <c r="G19815" s="4">
        <f>IFERROR(__xludf.DUMMYFUNCTION("""COMPUTED_VALUE"""),13.0)</f>
        <v>13</v>
      </c>
      <c r="H19815" s="4"/>
      <c r="I19815" s="4"/>
    </row>
    <row r="19816">
      <c r="A19816" s="4" t="str">
        <f>IFERROR(__xludf.DUMMYFUNCTION("""COMPUTED_VALUE"""),"cas_hmw")</f>
        <v>cas_hmw</v>
      </c>
      <c r="B19816" s="5">
        <f>IFERROR(__xludf.DUMMYFUNCTION("""COMPUTED_VALUE"""),44778.0)</f>
        <v>44778</v>
      </c>
      <c r="C19816" s="6">
        <f>IFERROR(__xludf.DUMMYFUNCTION("""COMPUTED_VALUE"""),0.7490624999991269)</f>
        <v>0.7490625</v>
      </c>
      <c r="D19816" s="4">
        <f>IFERROR(__xludf.DUMMYFUNCTION("""COMPUTED_VALUE"""),13.062132)</f>
        <v>13.062132</v>
      </c>
      <c r="E19816" s="4">
        <f>IFERROR(__xludf.DUMMYFUNCTION("""COMPUTED_VALUE"""),80.26281)</f>
        <v>80.26281</v>
      </c>
      <c r="F19816" s="4">
        <f>IFERROR(__xludf.DUMMYFUNCTION("""COMPUTED_VALUE"""),805.0)</f>
        <v>805</v>
      </c>
      <c r="G19816" s="4">
        <f>IFERROR(__xludf.DUMMYFUNCTION("""COMPUTED_VALUE"""),13.0)</f>
        <v>13</v>
      </c>
      <c r="H19816" s="4"/>
      <c r="I19816" s="4"/>
    </row>
    <row r="19817">
      <c r="A19817" s="4" t="str">
        <f>IFERROR(__xludf.DUMMYFUNCTION("""COMPUTED_VALUE"""),"cas_hmw")</f>
        <v>cas_hmw</v>
      </c>
      <c r="B19817" s="5">
        <f>IFERROR(__xludf.DUMMYFUNCTION("""COMPUTED_VALUE"""),44778.0)</f>
        <v>44778</v>
      </c>
      <c r="C19817" s="6">
        <f>IFERROR(__xludf.DUMMYFUNCTION("""COMPUTED_VALUE"""),0.7515625000014552)</f>
        <v>0.7515625</v>
      </c>
      <c r="D19817" s="4">
        <f>IFERROR(__xludf.DUMMYFUNCTION("""COMPUTED_VALUE"""),13.067212)</f>
        <v>13.067212</v>
      </c>
      <c r="E19817" s="4">
        <f>IFERROR(__xludf.DUMMYFUNCTION("""COMPUTED_VALUE"""),80.254909)</f>
        <v>80.254909</v>
      </c>
      <c r="F19817" s="4">
        <f>IFERROR(__xludf.DUMMYFUNCTION("""COMPUTED_VALUE"""),805.0)</f>
        <v>805</v>
      </c>
      <c r="G19817" s="4">
        <f>IFERROR(__xludf.DUMMYFUNCTION("""COMPUTED_VALUE"""),0.0)</f>
        <v>0</v>
      </c>
      <c r="H19817" s="4"/>
      <c r="I19817" s="4"/>
    </row>
    <row r="19818">
      <c r="A19818" s="4" t="str">
        <f>IFERROR(__xludf.DUMMYFUNCTION("""COMPUTED_VALUE"""),"cas_hmw")</f>
        <v>cas_hmw</v>
      </c>
      <c r="B19818" s="5">
        <f>IFERROR(__xludf.DUMMYFUNCTION("""COMPUTED_VALUE"""),44778.0)</f>
        <v>44778</v>
      </c>
      <c r="C19818" s="6">
        <f>IFERROR(__xludf.DUMMYFUNCTION("""COMPUTED_VALUE"""),0.7516203703708015)</f>
        <v>0.7516203704</v>
      </c>
      <c r="D19818" s="4">
        <f>IFERROR(__xludf.DUMMYFUNCTION("""COMPUTED_VALUE"""),13.067096)</f>
        <v>13.067096</v>
      </c>
      <c r="E19818" s="4">
        <f>IFERROR(__xludf.DUMMYFUNCTION("""COMPUTED_VALUE"""),80.254571)</f>
        <v>80.254571</v>
      </c>
      <c r="F19818" s="4">
        <f>IFERROR(__xludf.DUMMYFUNCTION("""COMPUTED_VALUE"""),805.0)</f>
        <v>805</v>
      </c>
      <c r="G19818" s="4">
        <f>IFERROR(__xludf.DUMMYFUNCTION("""COMPUTED_VALUE"""),18.0)</f>
        <v>18</v>
      </c>
      <c r="H19818" s="4"/>
      <c r="I19818" s="4"/>
    </row>
    <row r="19819">
      <c r="A19819" s="4" t="str">
        <f>IFERROR(__xludf.DUMMYFUNCTION("""COMPUTED_VALUE"""),"cas_hmw")</f>
        <v>cas_hmw</v>
      </c>
      <c r="B19819" s="5">
        <f>IFERROR(__xludf.DUMMYFUNCTION("""COMPUTED_VALUE"""),44778.0)</f>
        <v>44778</v>
      </c>
      <c r="C19819" s="6">
        <f>IFERROR(__xludf.DUMMYFUNCTION("""COMPUTED_VALUE"""),0.7516319444439432)</f>
        <v>0.7516319444</v>
      </c>
      <c r="D19819" s="4">
        <f>IFERROR(__xludf.DUMMYFUNCTION("""COMPUTED_VALUE"""),13.067096)</f>
        <v>13.067096</v>
      </c>
      <c r="E19819" s="4">
        <f>IFERROR(__xludf.DUMMYFUNCTION("""COMPUTED_VALUE"""),80.254571)</f>
        <v>80.254571</v>
      </c>
      <c r="F19819" s="4">
        <f>IFERROR(__xludf.DUMMYFUNCTION("""COMPUTED_VALUE"""),805.0)</f>
        <v>805</v>
      </c>
      <c r="G19819" s="4">
        <f>IFERROR(__xludf.DUMMYFUNCTION("""COMPUTED_VALUE"""),18.0)</f>
        <v>18</v>
      </c>
      <c r="H19819" s="4"/>
      <c r="I19819" s="4"/>
    </row>
    <row r="19820">
      <c r="A19820" s="4" t="str">
        <f>IFERROR(__xludf.DUMMYFUNCTION("""COMPUTED_VALUE"""),"cas_hmw")</f>
        <v>cas_hmw</v>
      </c>
      <c r="B19820" s="5">
        <f>IFERROR(__xludf.DUMMYFUNCTION("""COMPUTED_VALUE"""),44778.0)</f>
        <v>44778</v>
      </c>
      <c r="C19820" s="6">
        <f>IFERROR(__xludf.DUMMYFUNCTION("""COMPUTED_VALUE"""),0.7516319444439432)</f>
        <v>0.7516319444</v>
      </c>
      <c r="D19820" s="4">
        <f>IFERROR(__xludf.DUMMYFUNCTION("""COMPUTED_VALUE"""),13.067096)</f>
        <v>13.067096</v>
      </c>
      <c r="E19820" s="4">
        <f>IFERROR(__xludf.DUMMYFUNCTION("""COMPUTED_VALUE"""),80.254571)</f>
        <v>80.254571</v>
      </c>
      <c r="F19820" s="4">
        <f>IFERROR(__xludf.DUMMYFUNCTION("""COMPUTED_VALUE"""),805.0)</f>
        <v>805</v>
      </c>
      <c r="G19820" s="4">
        <f>IFERROR(__xludf.DUMMYFUNCTION("""COMPUTED_VALUE"""),18.0)</f>
        <v>18</v>
      </c>
      <c r="H19820" s="4"/>
      <c r="I19820" s="4"/>
    </row>
    <row r="19821">
      <c r="A19821" s="4" t="str">
        <f>IFERROR(__xludf.DUMMYFUNCTION("""COMPUTED_VALUE"""),"cas_hmw")</f>
        <v>cas_hmw</v>
      </c>
      <c r="B19821" s="5">
        <f>IFERROR(__xludf.DUMMYFUNCTION("""COMPUTED_VALUE"""),44778.0)</f>
        <v>44778</v>
      </c>
      <c r="C19821" s="6">
        <f>IFERROR(__xludf.DUMMYFUNCTION("""COMPUTED_VALUE"""),0.7516435185170849)</f>
        <v>0.7516435185</v>
      </c>
      <c r="D19821" s="4">
        <f>IFERROR(__xludf.DUMMYFUNCTION("""COMPUTED_VALUE"""),13.067096)</f>
        <v>13.067096</v>
      </c>
      <c r="E19821" s="4">
        <f>IFERROR(__xludf.DUMMYFUNCTION("""COMPUTED_VALUE"""),80.254571)</f>
        <v>80.254571</v>
      </c>
      <c r="F19821" s="4">
        <f>IFERROR(__xludf.DUMMYFUNCTION("""COMPUTED_VALUE"""),805.0)</f>
        <v>805</v>
      </c>
      <c r="G19821" s="4">
        <f>IFERROR(__xludf.DUMMYFUNCTION("""COMPUTED_VALUE"""),18.0)</f>
        <v>18</v>
      </c>
      <c r="H19821" s="4"/>
      <c r="I19821" s="4"/>
    </row>
    <row r="19822">
      <c r="A19822" s="4" t="str">
        <f>IFERROR(__xludf.DUMMYFUNCTION("""COMPUTED_VALUE"""),"cas_hmw")</f>
        <v>cas_hmw</v>
      </c>
      <c r="B19822" s="5">
        <f>IFERROR(__xludf.DUMMYFUNCTION("""COMPUTED_VALUE"""),44778.0)</f>
        <v>44778</v>
      </c>
      <c r="C19822" s="6">
        <f>IFERROR(__xludf.DUMMYFUNCTION("""COMPUTED_VALUE"""),0.7518981481480296)</f>
        <v>0.7518981481</v>
      </c>
      <c r="D19822" s="4">
        <f>IFERROR(__xludf.DUMMYFUNCTION("""COMPUTED_VALUE"""),13.066804)</f>
        <v>13.066804</v>
      </c>
      <c r="E19822" s="4">
        <f>IFERROR(__xludf.DUMMYFUNCTION("""COMPUTED_VALUE"""),80.254248)</f>
        <v>80.254248</v>
      </c>
      <c r="F19822" s="4">
        <f>IFERROR(__xludf.DUMMYFUNCTION("""COMPUTED_VALUE"""),805.0)</f>
        <v>805</v>
      </c>
      <c r="G19822" s="4">
        <f>IFERROR(__xludf.DUMMYFUNCTION("""COMPUTED_VALUE"""),14.0)</f>
        <v>14</v>
      </c>
      <c r="H19822" s="4"/>
      <c r="I19822" s="4"/>
    </row>
    <row r="19823">
      <c r="A19823" s="4" t="str">
        <f>IFERROR(__xludf.DUMMYFUNCTION("""COMPUTED_VALUE"""),"cas_hmw")</f>
        <v>cas_hmw</v>
      </c>
      <c r="B19823" s="5">
        <f>IFERROR(__xludf.DUMMYFUNCTION("""COMPUTED_VALUE"""),44778.0)</f>
        <v>44778</v>
      </c>
      <c r="C19823" s="6">
        <f>IFERROR(__xludf.DUMMYFUNCTION("""COMPUTED_VALUE"""),0.7518981481480296)</f>
        <v>0.7518981481</v>
      </c>
      <c r="D19823" s="4">
        <f>IFERROR(__xludf.DUMMYFUNCTION("""COMPUTED_VALUE"""),13.066804)</f>
        <v>13.066804</v>
      </c>
      <c r="E19823" s="4">
        <f>IFERROR(__xludf.DUMMYFUNCTION("""COMPUTED_VALUE"""),80.254248)</f>
        <v>80.254248</v>
      </c>
      <c r="F19823" s="4">
        <f>IFERROR(__xludf.DUMMYFUNCTION("""COMPUTED_VALUE"""),805.0)</f>
        <v>805</v>
      </c>
      <c r="G19823" s="4">
        <f>IFERROR(__xludf.DUMMYFUNCTION("""COMPUTED_VALUE"""),14.0)</f>
        <v>14</v>
      </c>
      <c r="H19823" s="4"/>
      <c r="I19823" s="4"/>
    </row>
    <row r="19824">
      <c r="A19824" s="4" t="str">
        <f>IFERROR(__xludf.DUMMYFUNCTION("""COMPUTED_VALUE"""),"cas_hmw")</f>
        <v>cas_hmw</v>
      </c>
      <c r="B19824" s="5">
        <f>IFERROR(__xludf.DUMMYFUNCTION("""COMPUTED_VALUE"""),44778.0)</f>
        <v>44778</v>
      </c>
      <c r="C19824" s="6">
        <f>IFERROR(__xludf.DUMMYFUNCTION("""COMPUTED_VALUE"""),0.7532175925916818)</f>
        <v>0.7532175926</v>
      </c>
      <c r="D19824" s="4">
        <f>IFERROR(__xludf.DUMMYFUNCTION("""COMPUTED_VALUE"""),13.067808)</f>
        <v>13.067808</v>
      </c>
      <c r="E19824" s="4">
        <f>IFERROR(__xludf.DUMMYFUNCTION("""COMPUTED_VALUE"""),80.248305)</f>
        <v>80.248305</v>
      </c>
      <c r="F19824" s="4">
        <f>IFERROR(__xludf.DUMMYFUNCTION("""COMPUTED_VALUE"""),805.0)</f>
        <v>805</v>
      </c>
      <c r="G19824" s="4">
        <f>IFERROR(__xludf.DUMMYFUNCTION("""COMPUTED_VALUE"""),23.0)</f>
        <v>23</v>
      </c>
      <c r="H19824" s="4"/>
      <c r="I19824" s="4"/>
    </row>
    <row r="19825">
      <c r="A19825" s="4" t="str">
        <f>IFERROR(__xludf.DUMMYFUNCTION("""COMPUTED_VALUE"""),"cas_hmw")</f>
        <v>cas_hmw</v>
      </c>
      <c r="B19825" s="5">
        <f>IFERROR(__xludf.DUMMYFUNCTION("""COMPUTED_VALUE"""),44778.0)</f>
        <v>44778</v>
      </c>
      <c r="C19825" s="6">
        <f>IFERROR(__xludf.DUMMYFUNCTION("""COMPUTED_VALUE"""),0.7547106481470109)</f>
        <v>0.7547106481</v>
      </c>
      <c r="D19825" s="4">
        <f>IFERROR(__xludf.DUMMYFUNCTION("""COMPUTED_VALUE"""),13.045194)</f>
        <v>13.045194</v>
      </c>
      <c r="E19825" s="4">
        <f>IFERROR(__xludf.DUMMYFUNCTION("""COMPUTED_VALUE"""),80.116631)</f>
        <v>80.116631</v>
      </c>
      <c r="F19825" s="4">
        <f>IFERROR(__xludf.DUMMYFUNCTION("""COMPUTED_VALUE"""),3143.0)</f>
        <v>3143</v>
      </c>
      <c r="G19825" s="4">
        <f>IFERROR(__xludf.DUMMYFUNCTION("""COMPUTED_VALUE"""),23.0)</f>
        <v>23</v>
      </c>
      <c r="H19825" s="4"/>
      <c r="I19825" s="4"/>
    </row>
    <row r="19826">
      <c r="A19826" s="4" t="str">
        <f>IFERROR(__xludf.DUMMYFUNCTION("""COMPUTED_VALUE"""),"cas_hmw")</f>
        <v>cas_hmw</v>
      </c>
      <c r="B19826" s="5">
        <f>IFERROR(__xludf.DUMMYFUNCTION("""COMPUTED_VALUE"""),44778.0)</f>
        <v>44778</v>
      </c>
      <c r="C19826" s="6">
        <f>IFERROR(__xludf.DUMMYFUNCTION("""COMPUTED_VALUE"""),0.7559722222213168)</f>
        <v>0.7559722222</v>
      </c>
      <c r="D19826" s="4">
        <f>IFERROR(__xludf.DUMMYFUNCTION("""COMPUTED_VALUE"""),13.048465)</f>
        <v>13.048465</v>
      </c>
      <c r="E19826" s="4">
        <f>IFERROR(__xludf.DUMMYFUNCTION("""COMPUTED_VALUE"""),80.120565)</f>
        <v>80.120565</v>
      </c>
      <c r="F19826" s="4">
        <f>IFERROR(__xludf.DUMMYFUNCTION("""COMPUTED_VALUE"""),3143.0)</f>
        <v>3143</v>
      </c>
      <c r="G19826" s="4">
        <f>IFERROR(__xludf.DUMMYFUNCTION("""COMPUTED_VALUE"""),23.0)</f>
        <v>23</v>
      </c>
      <c r="H19826" s="4"/>
      <c r="I19826" s="4"/>
    </row>
    <row r="19827">
      <c r="A19827" s="4" t="str">
        <f>IFERROR(__xludf.DUMMYFUNCTION("""COMPUTED_VALUE"""),"cas_hmw")</f>
        <v>cas_hmw</v>
      </c>
      <c r="B19827" s="5">
        <f>IFERROR(__xludf.DUMMYFUNCTION("""COMPUTED_VALUE"""),44778.0)</f>
        <v>44778</v>
      </c>
      <c r="C19827" s="6">
        <f>IFERROR(__xludf.DUMMYFUNCTION("""COMPUTED_VALUE"""),0.7606828703719657)</f>
        <v>0.7606828704</v>
      </c>
      <c r="D19827" s="4">
        <f>IFERROR(__xludf.DUMMYFUNCTION("""COMPUTED_VALUE"""),13.056586)</f>
        <v>13.056586</v>
      </c>
      <c r="E19827" s="4">
        <f>IFERROR(__xludf.DUMMYFUNCTION("""COMPUTED_VALUE"""),80.098477)</f>
        <v>80.098477</v>
      </c>
      <c r="F19827" s="4">
        <f>IFERROR(__xludf.DUMMYFUNCTION("""COMPUTED_VALUE"""),3143.0)</f>
        <v>3143</v>
      </c>
      <c r="G19827" s="4">
        <f>IFERROR(__xludf.DUMMYFUNCTION("""COMPUTED_VALUE"""),17.0)</f>
        <v>17</v>
      </c>
      <c r="H19827" s="4"/>
      <c r="I19827" s="4"/>
    </row>
    <row r="19828">
      <c r="A19828" s="4" t="str">
        <f>IFERROR(__xludf.DUMMYFUNCTION("""COMPUTED_VALUE"""),"cas_hmw")</f>
        <v>cas_hmw</v>
      </c>
      <c r="B19828" s="5">
        <f>IFERROR(__xludf.DUMMYFUNCTION("""COMPUTED_VALUE"""),44778.0)</f>
        <v>44778</v>
      </c>
      <c r="C19828" s="6">
        <f>IFERROR(__xludf.DUMMYFUNCTION("""COMPUTED_VALUE"""),0.7609027777762094)</f>
        <v>0.7609027778</v>
      </c>
      <c r="D19828" s="4">
        <f>IFERROR(__xludf.DUMMYFUNCTION("""COMPUTED_VALUE"""),13.056464)</f>
        <v>13.056464</v>
      </c>
      <c r="E19828" s="4">
        <f>IFERROR(__xludf.DUMMYFUNCTION("""COMPUTED_VALUE"""),80.09778)</f>
        <v>80.09778</v>
      </c>
      <c r="F19828" s="4">
        <f>IFERROR(__xludf.DUMMYFUNCTION("""COMPUTED_VALUE"""),3143.0)</f>
        <v>3143</v>
      </c>
      <c r="G19828" s="4">
        <f>IFERROR(__xludf.DUMMYFUNCTION("""COMPUTED_VALUE"""),17.0)</f>
        <v>17</v>
      </c>
      <c r="H19828" s="4"/>
      <c r="I19828" s="4"/>
    </row>
    <row r="19829">
      <c r="A19829" s="4" t="str">
        <f>IFERROR(__xludf.DUMMYFUNCTION("""COMPUTED_VALUE"""),"cas_hmw")</f>
        <v>cas_hmw</v>
      </c>
      <c r="B19829" s="5">
        <f>IFERROR(__xludf.DUMMYFUNCTION("""COMPUTED_VALUE"""),44778.0)</f>
        <v>44778</v>
      </c>
      <c r="C19829" s="6">
        <f>IFERROR(__xludf.DUMMYFUNCTION("""COMPUTED_VALUE"""),0.7642708333332848)</f>
        <v>0.7642708333</v>
      </c>
      <c r="D19829" s="4">
        <f>IFERROR(__xludf.DUMMYFUNCTION("""COMPUTED_VALUE"""),13.040123)</f>
        <v>13.040123</v>
      </c>
      <c r="E19829" s="4">
        <f>IFERROR(__xludf.DUMMYFUNCTION("""COMPUTED_VALUE"""),80.08697)</f>
        <v>80.08697</v>
      </c>
      <c r="F19829" s="4">
        <f>IFERROR(__xludf.DUMMYFUNCTION("""COMPUTED_VALUE"""),3143.0)</f>
        <v>3143</v>
      </c>
      <c r="G19829" s="4">
        <f>IFERROR(__xludf.DUMMYFUNCTION("""COMPUTED_VALUE"""),41.0)</f>
        <v>41</v>
      </c>
      <c r="H19829" s="4"/>
      <c r="I19829" s="4"/>
    </row>
    <row r="19830">
      <c r="A19830" s="4" t="str">
        <f>IFERROR(__xludf.DUMMYFUNCTION("""COMPUTED_VALUE"""),"cas_hmw")</f>
        <v>cas_hmw</v>
      </c>
      <c r="B19830" s="5">
        <f>IFERROR(__xludf.DUMMYFUNCTION("""COMPUTED_VALUE"""),44778.0)</f>
        <v>44778</v>
      </c>
      <c r="C19830" s="6">
        <f>IFERROR(__xludf.DUMMYFUNCTION("""COMPUTED_VALUE"""),0.7654629629614647)</f>
        <v>0.765462963</v>
      </c>
      <c r="D19830" s="4">
        <f>IFERROR(__xludf.DUMMYFUNCTION("""COMPUTED_VALUE"""),13.029805)</f>
        <v>13.029805</v>
      </c>
      <c r="E19830" s="4">
        <f>IFERROR(__xludf.DUMMYFUNCTION("""COMPUTED_VALUE"""),80.090582)</f>
        <v>80.090582</v>
      </c>
      <c r="F19830" s="4">
        <f>IFERROR(__xludf.DUMMYFUNCTION("""COMPUTED_VALUE"""),3143.0)</f>
        <v>3143</v>
      </c>
      <c r="G19830" s="4">
        <f>IFERROR(__xludf.DUMMYFUNCTION("""COMPUTED_VALUE"""),11.0)</f>
        <v>11</v>
      </c>
      <c r="H19830" s="4"/>
      <c r="I19830" s="4"/>
    </row>
    <row r="19831">
      <c r="A19831" s="4" t="str">
        <f>IFERROR(__xludf.DUMMYFUNCTION("""COMPUTED_VALUE"""),"cas_hmw")</f>
        <v>cas_hmw</v>
      </c>
      <c r="B19831" s="5">
        <f>IFERROR(__xludf.DUMMYFUNCTION("""COMPUTED_VALUE"""),44778.0)</f>
        <v>44778</v>
      </c>
      <c r="C19831" s="6">
        <f>IFERROR(__xludf.DUMMYFUNCTION("""COMPUTED_VALUE"""),0.7669560185167938)</f>
        <v>0.7669560185</v>
      </c>
      <c r="D19831" s="4">
        <f>IFERROR(__xludf.DUMMYFUNCTION("""COMPUTED_VALUE"""),13.017805)</f>
        <v>13.017805</v>
      </c>
      <c r="E19831" s="4">
        <f>IFERROR(__xludf.DUMMYFUNCTION("""COMPUTED_VALUE"""),80.094971)</f>
        <v>80.094971</v>
      </c>
      <c r="F19831" s="4">
        <f>IFERROR(__xludf.DUMMYFUNCTION("""COMPUTED_VALUE"""),3143.0)</f>
        <v>3143</v>
      </c>
      <c r="G19831" s="4">
        <f>IFERROR(__xludf.DUMMYFUNCTION("""COMPUTED_VALUE"""),58.0)</f>
        <v>58</v>
      </c>
      <c r="H19831" s="4"/>
      <c r="I19831" s="4"/>
    </row>
    <row r="19832">
      <c r="A19832" s="4" t="str">
        <f>IFERROR(__xludf.DUMMYFUNCTION("""COMPUTED_VALUE"""),"cas_hmw")</f>
        <v>cas_hmw</v>
      </c>
      <c r="B19832" s="5">
        <f>IFERROR(__xludf.DUMMYFUNCTION("""COMPUTED_VALUE"""),44778.0)</f>
        <v>44778</v>
      </c>
      <c r="C19832" s="6">
        <f>IFERROR(__xludf.DUMMYFUNCTION("""COMPUTED_VALUE"""),0.7670833333322662)</f>
        <v>0.7670833333</v>
      </c>
      <c r="D19832" s="4">
        <f>IFERROR(__xludf.DUMMYFUNCTION("""COMPUTED_VALUE"""),13.017805)</f>
        <v>13.017805</v>
      </c>
      <c r="E19832" s="4">
        <f>IFERROR(__xludf.DUMMYFUNCTION("""COMPUTED_VALUE"""),80.094971)</f>
        <v>80.094971</v>
      </c>
      <c r="F19832" s="4">
        <f>IFERROR(__xludf.DUMMYFUNCTION("""COMPUTED_VALUE"""),3143.0)</f>
        <v>3143</v>
      </c>
      <c r="G19832" s="4">
        <f>IFERROR(__xludf.DUMMYFUNCTION("""COMPUTED_VALUE"""),58.0)</f>
        <v>58</v>
      </c>
      <c r="H19832" s="4"/>
      <c r="I19832" s="4"/>
    </row>
    <row r="19833">
      <c r="A19833" s="4" t="str">
        <f>IFERROR(__xludf.DUMMYFUNCTION("""COMPUTED_VALUE"""),"cas_hmw")</f>
        <v>cas_hmw</v>
      </c>
      <c r="B19833" s="5">
        <f>IFERROR(__xludf.DUMMYFUNCTION("""COMPUTED_VALUE"""),44778.0)</f>
        <v>44778</v>
      </c>
      <c r="C19833" s="6">
        <f>IFERROR(__xludf.DUMMYFUNCTION("""COMPUTED_VALUE"""),0.7701157407391293)</f>
        <v>0.7701157407</v>
      </c>
      <c r="D19833" s="4">
        <f>IFERROR(__xludf.DUMMYFUNCTION("""COMPUTED_VALUE"""),12.982136)</f>
        <v>12.982136</v>
      </c>
      <c r="E19833" s="4">
        <f>IFERROR(__xludf.DUMMYFUNCTION("""COMPUTED_VALUE"""),80.089816)</f>
        <v>80.089816</v>
      </c>
      <c r="F19833" s="4">
        <f>IFERROR(__xludf.DUMMYFUNCTION("""COMPUTED_VALUE"""),3143.0)</f>
        <v>3143</v>
      </c>
      <c r="G19833" s="4">
        <f>IFERROR(__xludf.DUMMYFUNCTION("""COMPUTED_VALUE"""),58.0)</f>
        <v>58</v>
      </c>
      <c r="H19833" s="4"/>
      <c r="I19833" s="4"/>
    </row>
    <row r="19834">
      <c r="A19834" s="4" t="str">
        <f>IFERROR(__xludf.DUMMYFUNCTION("""COMPUTED_VALUE"""),"cas_hmw")</f>
        <v>cas_hmw</v>
      </c>
      <c r="B19834" s="5">
        <f>IFERROR(__xludf.DUMMYFUNCTION("""COMPUTED_VALUE"""),44778.0)</f>
        <v>44778</v>
      </c>
      <c r="C19834" s="6">
        <f>IFERROR(__xludf.DUMMYFUNCTION("""COMPUTED_VALUE"""),0.7734143518500787)</f>
        <v>0.7734143519</v>
      </c>
      <c r="D19834" s="4">
        <f>IFERROR(__xludf.DUMMYFUNCTION("""COMPUTED_VALUE"""),12.943445)</f>
        <v>12.943445</v>
      </c>
      <c r="E19834" s="4">
        <f>IFERROR(__xludf.DUMMYFUNCTION("""COMPUTED_VALUE"""),80.085176)</f>
        <v>80.085176</v>
      </c>
      <c r="F19834" s="4">
        <f>IFERROR(__xludf.DUMMYFUNCTION("""COMPUTED_VALUE"""),3143.0)</f>
        <v>3143</v>
      </c>
      <c r="G19834" s="4">
        <f>IFERROR(__xludf.DUMMYFUNCTION("""COMPUTED_VALUE"""),58.0)</f>
        <v>58</v>
      </c>
      <c r="H19834" s="4"/>
      <c r="I19834" s="4"/>
    </row>
    <row r="19835">
      <c r="A19835" s="4" t="str">
        <f>IFERROR(__xludf.DUMMYFUNCTION("""COMPUTED_VALUE"""),"cas_hmw")</f>
        <v>cas_hmw</v>
      </c>
      <c r="B19835" s="5">
        <f>IFERROR(__xludf.DUMMYFUNCTION("""COMPUTED_VALUE"""),44779.0)</f>
        <v>44779</v>
      </c>
      <c r="C19835" s="6">
        <f>IFERROR(__xludf.DUMMYFUNCTION("""COMPUTED_VALUE"""),0.3788194444459805)</f>
        <v>0.3788194444</v>
      </c>
      <c r="D19835" s="4">
        <f>IFERROR(__xludf.DUMMYFUNCTION("""COMPUTED_VALUE"""),12.874854)</f>
        <v>12.874854</v>
      </c>
      <c r="E19835" s="4">
        <f>IFERROR(__xludf.DUMMYFUNCTION("""COMPUTED_VALUE"""),80.078619)</f>
        <v>80.078619</v>
      </c>
      <c r="F19835" s="4">
        <f>IFERROR(__xludf.DUMMYFUNCTION("""COMPUTED_VALUE"""),3143.0)</f>
        <v>3143</v>
      </c>
      <c r="G19835" s="4">
        <f>IFERROR(__xludf.DUMMYFUNCTION("""COMPUTED_VALUE"""),52.0)</f>
        <v>52</v>
      </c>
      <c r="H19835" s="4"/>
      <c r="I19835" s="4"/>
    </row>
    <row r="19836">
      <c r="A19836" s="4" t="str">
        <f>IFERROR(__xludf.DUMMYFUNCTION("""COMPUTED_VALUE"""),"cas_hmw")</f>
        <v>cas_hmw</v>
      </c>
      <c r="B19836" s="5">
        <f>IFERROR(__xludf.DUMMYFUNCTION("""COMPUTED_VALUE"""),44779.0)</f>
        <v>44779</v>
      </c>
      <c r="C19836" s="6">
        <f>IFERROR(__xludf.DUMMYFUNCTION("""COMPUTED_VALUE"""),0.38071759259401006)</f>
        <v>0.3807175926</v>
      </c>
      <c r="D19836" s="4">
        <f>IFERROR(__xludf.DUMMYFUNCTION("""COMPUTED_VALUE"""),12.86002)</f>
        <v>12.86002</v>
      </c>
      <c r="E19836" s="4">
        <f>IFERROR(__xludf.DUMMYFUNCTION("""COMPUTED_VALUE"""),80.072277)</f>
        <v>80.072277</v>
      </c>
      <c r="F19836" s="4">
        <f>IFERROR(__xludf.DUMMYFUNCTION("""COMPUTED_VALUE"""),3143.0)</f>
        <v>3143</v>
      </c>
      <c r="G19836" s="4">
        <f>IFERROR(__xludf.DUMMYFUNCTION("""COMPUTED_VALUE"""),31.0)</f>
        <v>31</v>
      </c>
      <c r="H19836" s="4"/>
      <c r="I19836" s="4"/>
    </row>
    <row r="19837">
      <c r="A19837" s="4" t="str">
        <f>IFERROR(__xludf.DUMMYFUNCTION("""COMPUTED_VALUE"""),"cas_hmw")</f>
        <v>cas_hmw</v>
      </c>
      <c r="B19837" s="5">
        <f>IFERROR(__xludf.DUMMYFUNCTION("""COMPUTED_VALUE"""),44779.0)</f>
        <v>44779</v>
      </c>
      <c r="C19837" s="6">
        <f>IFERROR(__xludf.DUMMYFUNCTION("""COMPUTED_VALUE"""),0.38090277777882875)</f>
        <v>0.3809027778</v>
      </c>
      <c r="D19837" s="4">
        <f>IFERROR(__xludf.DUMMYFUNCTION("""COMPUTED_VALUE"""),12.859338)</f>
        <v>12.859338</v>
      </c>
      <c r="E19837" s="4">
        <f>IFERROR(__xludf.DUMMYFUNCTION("""COMPUTED_VALUE"""),80.071811)</f>
        <v>80.071811</v>
      </c>
      <c r="F19837" s="4">
        <f>IFERROR(__xludf.DUMMYFUNCTION("""COMPUTED_VALUE"""),3143.0)</f>
        <v>3143</v>
      </c>
      <c r="G19837" s="4">
        <f>IFERROR(__xludf.DUMMYFUNCTION("""COMPUTED_VALUE"""),35.0)</f>
        <v>35</v>
      </c>
      <c r="H19837" s="4"/>
      <c r="I19837" s="4"/>
    </row>
    <row r="19838">
      <c r="A19838" s="4" t="str">
        <f>IFERROR(__xludf.DUMMYFUNCTION("""COMPUTED_VALUE"""),"cas_hmw")</f>
        <v>cas_hmw</v>
      </c>
      <c r="B19838" s="5">
        <f>IFERROR(__xludf.DUMMYFUNCTION("""COMPUTED_VALUE"""),44779.0)</f>
        <v>44779</v>
      </c>
      <c r="C19838" s="6">
        <f>IFERROR(__xludf.DUMMYFUNCTION("""COMPUTED_VALUE"""),0.38097222222131677)</f>
        <v>0.3809722222</v>
      </c>
      <c r="D19838" s="4">
        <f>IFERROR(__xludf.DUMMYFUNCTION("""COMPUTED_VALUE"""),12.858561)</f>
        <v>12.858561</v>
      </c>
      <c r="E19838" s="4">
        <f>IFERROR(__xludf.DUMMYFUNCTION("""COMPUTED_VALUE"""),80.071225)</f>
        <v>80.071225</v>
      </c>
      <c r="F19838" s="4">
        <f>IFERROR(__xludf.DUMMYFUNCTION("""COMPUTED_VALUE"""),3143.0)</f>
        <v>3143</v>
      </c>
      <c r="G19838" s="4">
        <f>IFERROR(__xludf.DUMMYFUNCTION("""COMPUTED_VALUE"""),39.0)</f>
        <v>39</v>
      </c>
      <c r="H19838" s="4"/>
      <c r="I19838" s="4"/>
    </row>
    <row r="19839">
      <c r="A19839" s="4" t="str">
        <f>IFERROR(__xludf.DUMMYFUNCTION("""COMPUTED_VALUE"""),"cas_hmw")</f>
        <v>cas_hmw</v>
      </c>
      <c r="B19839" s="5">
        <f>IFERROR(__xludf.DUMMYFUNCTION("""COMPUTED_VALUE"""),44779.0)</f>
        <v>44779</v>
      </c>
      <c r="C19839" s="6">
        <f>IFERROR(__xludf.DUMMYFUNCTION("""COMPUTED_VALUE"""),0.3811689814829151)</f>
        <v>0.3811689815</v>
      </c>
      <c r="D19839" s="4">
        <f>IFERROR(__xludf.DUMMYFUNCTION("""COMPUTED_VALUE"""),12.857842)</f>
        <v>12.857842</v>
      </c>
      <c r="E19839" s="4">
        <f>IFERROR(__xludf.DUMMYFUNCTION("""COMPUTED_VALUE"""),80.070664)</f>
        <v>80.070664</v>
      </c>
      <c r="F19839" s="4">
        <f>IFERROR(__xludf.DUMMYFUNCTION("""COMPUTED_VALUE"""),3143.0)</f>
        <v>3143</v>
      </c>
      <c r="G19839" s="4">
        <f>IFERROR(__xludf.DUMMYFUNCTION("""COMPUTED_VALUE"""),37.0)</f>
        <v>37</v>
      </c>
      <c r="H19839" s="4"/>
      <c r="I19839" s="4"/>
    </row>
    <row r="19840">
      <c r="A19840" s="4" t="str">
        <f>IFERROR(__xludf.DUMMYFUNCTION("""COMPUTED_VALUE"""),"cas_hmw")</f>
        <v>cas_hmw</v>
      </c>
      <c r="B19840" s="5">
        <f>IFERROR(__xludf.DUMMYFUNCTION("""COMPUTED_VALUE"""),44779.0)</f>
        <v>44779</v>
      </c>
      <c r="C19840" s="6">
        <f>IFERROR(__xludf.DUMMYFUNCTION("""COMPUTED_VALUE"""),0.3822337962956226)</f>
        <v>0.3822337963</v>
      </c>
      <c r="D19840" s="4">
        <f>IFERROR(__xludf.DUMMYFUNCTION("""COMPUTED_VALUE"""),12.849784)</f>
        <v>12.849784</v>
      </c>
      <c r="E19840" s="4">
        <f>IFERROR(__xludf.DUMMYFUNCTION("""COMPUTED_VALUE"""),80.064807)</f>
        <v>80.064807</v>
      </c>
      <c r="F19840" s="4">
        <f>IFERROR(__xludf.DUMMYFUNCTION("""COMPUTED_VALUE"""),3143.0)</f>
        <v>3143</v>
      </c>
      <c r="G19840" s="4">
        <f>IFERROR(__xludf.DUMMYFUNCTION("""COMPUTED_VALUE"""),37.0)</f>
        <v>37</v>
      </c>
      <c r="H19840" s="4"/>
      <c r="I19840" s="4"/>
    </row>
    <row r="19841">
      <c r="A19841" s="4" t="str">
        <f>IFERROR(__xludf.DUMMYFUNCTION("""COMPUTED_VALUE"""),"cas_hmw")</f>
        <v>cas_hmw</v>
      </c>
      <c r="B19841" s="5">
        <f>IFERROR(__xludf.DUMMYFUNCTION("""COMPUTED_VALUE"""),44779.0)</f>
        <v>44779</v>
      </c>
      <c r="C19841" s="6">
        <f>IFERROR(__xludf.DUMMYFUNCTION("""COMPUTED_VALUE"""),0.38256944444583496)</f>
        <v>0.3825694444</v>
      </c>
      <c r="D19841" s="4">
        <f>IFERROR(__xludf.DUMMYFUNCTION("""COMPUTED_VALUE"""),12.847187)</f>
        <v>12.847187</v>
      </c>
      <c r="E19841" s="4">
        <f>IFERROR(__xludf.DUMMYFUNCTION("""COMPUTED_VALUE"""),80.062909)</f>
        <v>80.062909</v>
      </c>
      <c r="F19841" s="4">
        <f>IFERROR(__xludf.DUMMYFUNCTION("""COMPUTED_VALUE"""),3143.0)</f>
        <v>3143</v>
      </c>
      <c r="G19841" s="4">
        <f>IFERROR(__xludf.DUMMYFUNCTION("""COMPUTED_VALUE"""),44.0)</f>
        <v>44</v>
      </c>
      <c r="H19841" s="4"/>
      <c r="I19841" s="4"/>
    </row>
    <row r="19842">
      <c r="A19842" s="4" t="str">
        <f>IFERROR(__xludf.DUMMYFUNCTION("""COMPUTED_VALUE"""),"cas_hmw")</f>
        <v>cas_hmw</v>
      </c>
      <c r="B19842" s="5">
        <f>IFERROR(__xludf.DUMMYFUNCTION("""COMPUTED_VALUE"""),44779.0)</f>
        <v>44779</v>
      </c>
      <c r="C19842" s="6">
        <f>IFERROR(__xludf.DUMMYFUNCTION("""COMPUTED_VALUE"""),0.3830324074078817)</f>
        <v>0.3830324074</v>
      </c>
      <c r="D19842" s="4">
        <f>IFERROR(__xludf.DUMMYFUNCTION("""COMPUTED_VALUE"""),12.845465)</f>
        <v>12.845465</v>
      </c>
      <c r="E19842" s="4">
        <f>IFERROR(__xludf.DUMMYFUNCTION("""COMPUTED_VALUE"""),80.061421)</f>
        <v>80.061421</v>
      </c>
      <c r="F19842" s="4">
        <f>IFERROR(__xludf.DUMMYFUNCTION("""COMPUTED_VALUE"""),3143.0)</f>
        <v>3143</v>
      </c>
      <c r="G19842" s="4">
        <f>IFERROR(__xludf.DUMMYFUNCTION("""COMPUTED_VALUE"""),28.0)</f>
        <v>28</v>
      </c>
      <c r="H19842" s="4"/>
      <c r="I19842" s="4"/>
    </row>
    <row r="19843">
      <c r="A19843" s="4" t="str">
        <f>IFERROR(__xludf.DUMMYFUNCTION("""COMPUTED_VALUE"""),"cas_hmw")</f>
        <v>cas_hmw</v>
      </c>
      <c r="B19843" s="5">
        <f>IFERROR(__xludf.DUMMYFUNCTION("""COMPUTED_VALUE"""),44779.0)</f>
        <v>44779</v>
      </c>
      <c r="C19843" s="6">
        <f>IFERROR(__xludf.DUMMYFUNCTION("""COMPUTED_VALUE"""),0.38453703703635256)</f>
        <v>0.384537037</v>
      </c>
      <c r="D19843" s="4">
        <f>IFERROR(__xludf.DUMMYFUNCTION("""COMPUTED_VALUE"""),12.83798)</f>
        <v>12.83798</v>
      </c>
      <c r="E19843" s="4">
        <f>IFERROR(__xludf.DUMMYFUNCTION("""COMPUTED_VALUE"""),80.053609)</f>
        <v>80.053609</v>
      </c>
      <c r="F19843" s="4">
        <f>IFERROR(__xludf.DUMMYFUNCTION("""COMPUTED_VALUE"""),3143.0)</f>
        <v>3143</v>
      </c>
      <c r="G19843" s="4">
        <f>IFERROR(__xludf.DUMMYFUNCTION("""COMPUTED_VALUE"""),44.0)</f>
        <v>44</v>
      </c>
      <c r="H19843" s="4"/>
      <c r="I19843" s="4"/>
    </row>
    <row r="19844">
      <c r="A19844" s="4" t="str">
        <f>IFERROR(__xludf.DUMMYFUNCTION("""COMPUTED_VALUE"""),"cas_hmw")</f>
        <v>cas_hmw</v>
      </c>
      <c r="B19844" s="5">
        <f>IFERROR(__xludf.DUMMYFUNCTION("""COMPUTED_VALUE"""),44779.0)</f>
        <v>44779</v>
      </c>
      <c r="C19844" s="6">
        <f>IFERROR(__xludf.DUMMYFUNCTION("""COMPUTED_VALUE"""),0.38589120370306773)</f>
        <v>0.3858912037</v>
      </c>
      <c r="D19844" s="4">
        <f>IFERROR(__xludf.DUMMYFUNCTION("""COMPUTED_VALUE"""),12.833262)</f>
        <v>12.833262</v>
      </c>
      <c r="E19844" s="4">
        <f>IFERROR(__xludf.DUMMYFUNCTION("""COMPUTED_VALUE"""),80.048656)</f>
        <v>80.048656</v>
      </c>
      <c r="F19844" s="4">
        <f>IFERROR(__xludf.DUMMYFUNCTION("""COMPUTED_VALUE"""),3143.0)</f>
        <v>3143</v>
      </c>
      <c r="G19844" s="4">
        <f>IFERROR(__xludf.DUMMYFUNCTION("""COMPUTED_VALUE"""),44.0)</f>
        <v>44</v>
      </c>
      <c r="H19844" s="4"/>
      <c r="I19844" s="4"/>
    </row>
    <row r="19845">
      <c r="A19845" s="4" t="str">
        <f>IFERROR(__xludf.DUMMYFUNCTION("""COMPUTED_VALUE"""),"cas_hmw")</f>
        <v>cas_hmw</v>
      </c>
      <c r="B19845" s="5">
        <f>IFERROR(__xludf.DUMMYFUNCTION("""COMPUTED_VALUE"""),44779.0)</f>
        <v>44779</v>
      </c>
      <c r="C19845" s="6">
        <f>IFERROR(__xludf.DUMMYFUNCTION("""COMPUTED_VALUE"""),0.3924074074056989)</f>
        <v>0.3924074074</v>
      </c>
      <c r="D19845" s="4">
        <f>IFERROR(__xludf.DUMMYFUNCTION("""COMPUTED_VALUE"""),12.762795)</f>
        <v>12.762795</v>
      </c>
      <c r="E19845" s="4">
        <f>IFERROR(__xludf.DUMMYFUNCTION("""COMPUTED_VALUE"""),80.004019)</f>
        <v>80.004019</v>
      </c>
      <c r="F19845" s="4">
        <f>IFERROR(__xludf.DUMMYFUNCTION("""COMPUTED_VALUE"""),3143.0)</f>
        <v>3143</v>
      </c>
      <c r="G19845" s="4">
        <f>IFERROR(__xludf.DUMMYFUNCTION("""COMPUTED_VALUE"""),53.0)</f>
        <v>53</v>
      </c>
      <c r="H19845" s="4"/>
      <c r="I19845" s="4"/>
    </row>
    <row r="19846">
      <c r="A19846" s="4" t="str">
        <f>IFERROR(__xludf.DUMMYFUNCTION("""COMPUTED_VALUE"""),"cas_hmw")</f>
        <v>cas_hmw</v>
      </c>
      <c r="B19846" s="5">
        <f>IFERROR(__xludf.DUMMYFUNCTION("""COMPUTED_VALUE"""),44779.0)</f>
        <v>44779</v>
      </c>
      <c r="C19846" s="6">
        <f>IFERROR(__xludf.DUMMYFUNCTION("""COMPUTED_VALUE"""),0.39947916666642413)</f>
        <v>0.3994791667</v>
      </c>
      <c r="D19846" s="4">
        <f>IFERROR(__xludf.DUMMYFUNCTION("""COMPUTED_VALUE"""),12.721168)</f>
        <v>12.721168</v>
      </c>
      <c r="E19846" s="4">
        <f>IFERROR(__xludf.DUMMYFUNCTION("""COMPUTED_VALUE"""),79.98132)</f>
        <v>79.98132</v>
      </c>
      <c r="F19846" s="4">
        <f>IFERROR(__xludf.DUMMYFUNCTION("""COMPUTED_VALUE"""),3143.0)</f>
        <v>3143</v>
      </c>
      <c r="G19846" s="4">
        <f>IFERROR(__xludf.DUMMYFUNCTION("""COMPUTED_VALUE"""),55.0)</f>
        <v>55</v>
      </c>
      <c r="H19846" s="4"/>
      <c r="I19846" s="4"/>
    </row>
    <row r="19847">
      <c r="A19847" s="4" t="str">
        <f>IFERROR(__xludf.DUMMYFUNCTION("""COMPUTED_VALUE"""),"cas_hmw")</f>
        <v>cas_hmw</v>
      </c>
      <c r="B19847" s="5">
        <f>IFERROR(__xludf.DUMMYFUNCTION("""COMPUTED_VALUE"""),44779.0)</f>
        <v>44779</v>
      </c>
      <c r="C19847" s="6">
        <f>IFERROR(__xludf.DUMMYFUNCTION("""COMPUTED_VALUE"""),0.40939814814919373)</f>
        <v>0.4093981481</v>
      </c>
      <c r="D19847" s="4">
        <f>IFERROR(__xludf.DUMMYFUNCTION("""COMPUTED_VALUE"""),12.630503)</f>
        <v>12.630503</v>
      </c>
      <c r="E19847" s="4">
        <f>IFERROR(__xludf.DUMMYFUNCTION("""COMPUTED_VALUE"""),79.931481)</f>
        <v>79.931481</v>
      </c>
      <c r="F19847" s="4">
        <f>IFERROR(__xludf.DUMMYFUNCTION("""COMPUTED_VALUE"""),3143.0)</f>
        <v>3143</v>
      </c>
      <c r="G19847" s="4">
        <f>IFERROR(__xludf.DUMMYFUNCTION("""COMPUTED_VALUE"""),53.0)</f>
        <v>53</v>
      </c>
      <c r="H19847" s="4"/>
      <c r="I19847" s="4"/>
    </row>
    <row r="19848">
      <c r="A19848" s="4" t="str">
        <f>IFERROR(__xludf.DUMMYFUNCTION("""COMPUTED_VALUE"""),"cas_hmw")</f>
        <v>cas_hmw</v>
      </c>
      <c r="B19848" s="5">
        <f>IFERROR(__xludf.DUMMYFUNCTION("""COMPUTED_VALUE"""),44779.0)</f>
        <v>44779</v>
      </c>
      <c r="C19848" s="6">
        <f>IFERROR(__xludf.DUMMYFUNCTION("""COMPUTED_VALUE"""),0.40960648148029577)</f>
        <v>0.4096064815</v>
      </c>
      <c r="D19848" s="4">
        <f>IFERROR(__xludf.DUMMYFUNCTION("""COMPUTED_VALUE"""),12.628113)</f>
        <v>12.628113</v>
      </c>
      <c r="E19848" s="4">
        <f>IFERROR(__xludf.DUMMYFUNCTION("""COMPUTED_VALUE"""),79.930402)</f>
        <v>79.930402</v>
      </c>
      <c r="F19848" s="4">
        <f>IFERROR(__xludf.DUMMYFUNCTION("""COMPUTED_VALUE"""),3143.0)</f>
        <v>3143</v>
      </c>
      <c r="G19848" s="4">
        <f>IFERROR(__xludf.DUMMYFUNCTION("""COMPUTED_VALUE"""),56.0)</f>
        <v>56</v>
      </c>
      <c r="H19848" s="4"/>
      <c r="I19848" s="4"/>
    </row>
    <row r="19849">
      <c r="A19849" s="4" t="str">
        <f>IFERROR(__xludf.DUMMYFUNCTION("""COMPUTED_VALUE"""),"cas_hmw")</f>
        <v>cas_hmw</v>
      </c>
      <c r="B19849" s="5">
        <f>IFERROR(__xludf.DUMMYFUNCTION("""COMPUTED_VALUE"""),44779.0)</f>
        <v>44779</v>
      </c>
      <c r="C19849" s="6">
        <f>IFERROR(__xludf.DUMMYFUNCTION("""COMPUTED_VALUE"""),0.4144560185195587)</f>
        <v>0.4144560185</v>
      </c>
      <c r="D19849" s="4">
        <f>IFERROR(__xludf.DUMMYFUNCTION("""COMPUTED_VALUE"""),12.571823)</f>
        <v>12.571823</v>
      </c>
      <c r="E19849" s="4">
        <f>IFERROR(__xludf.DUMMYFUNCTION("""COMPUTED_VALUE"""),79.91622)</f>
        <v>79.91622</v>
      </c>
      <c r="F19849" s="4">
        <f>IFERROR(__xludf.DUMMYFUNCTION("""COMPUTED_VALUE"""),3143.0)</f>
        <v>3143</v>
      </c>
      <c r="G19849" s="4">
        <f>IFERROR(__xludf.DUMMYFUNCTION("""COMPUTED_VALUE"""),55.0)</f>
        <v>55</v>
      </c>
      <c r="H19849" s="4"/>
      <c r="I19849" s="4"/>
    </row>
    <row r="19850">
      <c r="A19850" s="4" t="str">
        <f>IFERROR(__xludf.DUMMYFUNCTION("""COMPUTED_VALUE"""),"cas_hmw")</f>
        <v>cas_hmw</v>
      </c>
      <c r="B19850" s="5">
        <f>IFERROR(__xludf.DUMMYFUNCTION("""COMPUTED_VALUE"""),44779.0)</f>
        <v>44779</v>
      </c>
      <c r="C19850" s="6">
        <f>IFERROR(__xludf.DUMMYFUNCTION("""COMPUTED_VALUE"""),0.4148611111122591)</f>
        <v>0.4148611111</v>
      </c>
      <c r="D19850" s="4">
        <f>IFERROR(__xludf.DUMMYFUNCTION("""COMPUTED_VALUE"""),12.567744)</f>
        <v>12.567744</v>
      </c>
      <c r="E19850" s="4">
        <f>IFERROR(__xludf.DUMMYFUNCTION("""COMPUTED_VALUE"""),79.915121)</f>
        <v>79.915121</v>
      </c>
      <c r="F19850" s="4">
        <f>IFERROR(__xludf.DUMMYFUNCTION("""COMPUTED_VALUE"""),3143.0)</f>
        <v>3143</v>
      </c>
      <c r="G19850" s="4">
        <f>IFERROR(__xludf.DUMMYFUNCTION("""COMPUTED_VALUE"""),56.0)</f>
        <v>56</v>
      </c>
      <c r="H19850" s="4"/>
      <c r="I19850" s="4"/>
    </row>
    <row r="19851">
      <c r="A19851" s="4" t="str">
        <f>IFERROR(__xludf.DUMMYFUNCTION("""COMPUTED_VALUE"""),"cas_hmw")</f>
        <v>cas_hmw</v>
      </c>
      <c r="B19851" s="5">
        <f>IFERROR(__xludf.DUMMYFUNCTION("""COMPUTED_VALUE"""),44779.0)</f>
        <v>44779</v>
      </c>
      <c r="C19851" s="6">
        <f>IFERROR(__xludf.DUMMYFUNCTION("""COMPUTED_VALUE"""),0.41775462963050813)</f>
        <v>0.4177546296</v>
      </c>
      <c r="D19851" s="4">
        <f>IFERROR(__xludf.DUMMYFUNCTION("""COMPUTED_VALUE"""),12.536422)</f>
        <v>12.536422</v>
      </c>
      <c r="E19851" s="4">
        <f>IFERROR(__xludf.DUMMYFUNCTION("""COMPUTED_VALUE"""),79.902789)</f>
        <v>79.902789</v>
      </c>
      <c r="F19851" s="4">
        <f>IFERROR(__xludf.DUMMYFUNCTION("""COMPUTED_VALUE"""),3143.0)</f>
        <v>3143</v>
      </c>
      <c r="G19851" s="4">
        <f>IFERROR(__xludf.DUMMYFUNCTION("""COMPUTED_VALUE"""),49.0)</f>
        <v>49</v>
      </c>
      <c r="H19851" s="4"/>
      <c r="I19851" s="4"/>
    </row>
    <row r="19852">
      <c r="A19852" s="4" t="str">
        <f>IFERROR(__xludf.DUMMYFUNCTION("""COMPUTED_VALUE"""),"cas_hmw")</f>
        <v>cas_hmw</v>
      </c>
      <c r="B19852" s="5">
        <f>IFERROR(__xludf.DUMMYFUNCTION("""COMPUTED_VALUE"""),44779.0)</f>
        <v>44779</v>
      </c>
      <c r="C19852" s="6">
        <f>IFERROR(__xludf.DUMMYFUNCTION("""COMPUTED_VALUE"""),0.43711805555722094)</f>
        <v>0.4371180556</v>
      </c>
      <c r="D19852" s="4">
        <f>IFERROR(__xludf.DUMMYFUNCTION("""COMPUTED_VALUE"""),12.34417)</f>
        <v>12.34417</v>
      </c>
      <c r="E19852" s="4">
        <f>IFERROR(__xludf.DUMMYFUNCTION("""COMPUTED_VALUE"""),79.78062)</f>
        <v>79.78062</v>
      </c>
      <c r="F19852" s="4">
        <f>IFERROR(__xludf.DUMMYFUNCTION("""COMPUTED_VALUE"""),3143.0)</f>
        <v>3143</v>
      </c>
      <c r="G19852" s="4">
        <f>IFERROR(__xludf.DUMMYFUNCTION("""COMPUTED_VALUE"""),49.0)</f>
        <v>49</v>
      </c>
      <c r="H19852" s="4"/>
      <c r="I19852" s="4"/>
    </row>
    <row r="19853">
      <c r="A19853" s="4" t="str">
        <f>IFERROR(__xludf.DUMMYFUNCTION("""COMPUTED_VALUE"""),"cas_hmw")</f>
        <v>cas_hmw</v>
      </c>
      <c r="B19853" s="5">
        <f>IFERROR(__xludf.DUMMYFUNCTION("""COMPUTED_VALUE"""),44779.0)</f>
        <v>44779</v>
      </c>
      <c r="C19853" s="6">
        <f>IFERROR(__xludf.DUMMYFUNCTION("""COMPUTED_VALUE"""),0.6513773148144537)</f>
        <v>0.6513773148</v>
      </c>
      <c r="D19853" s="4">
        <f>IFERROR(__xludf.DUMMYFUNCTION("""COMPUTED_VALUE"""),12.457574)</f>
        <v>12.457574</v>
      </c>
      <c r="E19853" s="4">
        <f>IFERROR(__xludf.DUMMYFUNCTION("""COMPUTED_VALUE"""),79.841382)</f>
        <v>79.841382</v>
      </c>
      <c r="F19853" s="4">
        <f>IFERROR(__xludf.DUMMYFUNCTION("""COMPUTED_VALUE"""),3143.0)</f>
        <v>3143</v>
      </c>
      <c r="G19853" s="4">
        <f>IFERROR(__xludf.DUMMYFUNCTION("""COMPUTED_VALUE"""),45.0)</f>
        <v>45</v>
      </c>
      <c r="H19853" s="4"/>
      <c r="I19853" s="4"/>
    </row>
    <row r="19854">
      <c r="A19854" s="4" t="str">
        <f>IFERROR(__xludf.DUMMYFUNCTION("""COMPUTED_VALUE"""),"cas_hmw")</f>
        <v>cas_hmw</v>
      </c>
      <c r="B19854" s="5">
        <f>IFERROR(__xludf.DUMMYFUNCTION("""COMPUTED_VALUE"""),44779.0)</f>
        <v>44779</v>
      </c>
      <c r="C19854" s="6">
        <f>IFERROR(__xludf.DUMMYFUNCTION("""COMPUTED_VALUE"""),0.6520949074074451)</f>
        <v>0.6520949074</v>
      </c>
      <c r="D19854" s="4">
        <f>IFERROR(__xludf.DUMMYFUNCTION("""COMPUTED_VALUE"""),12.463243)</f>
        <v>12.463243</v>
      </c>
      <c r="E19854" s="4">
        <f>IFERROR(__xludf.DUMMYFUNCTION("""COMPUTED_VALUE"""),79.845598)</f>
        <v>79.845598</v>
      </c>
      <c r="F19854" s="4">
        <f>IFERROR(__xludf.DUMMYFUNCTION("""COMPUTED_VALUE"""),3143.0)</f>
        <v>3143</v>
      </c>
      <c r="G19854" s="4">
        <f>IFERROR(__xludf.DUMMYFUNCTION("""COMPUTED_VALUE"""),43.0)</f>
        <v>43</v>
      </c>
      <c r="H19854" s="4"/>
      <c r="I19854" s="4"/>
    </row>
    <row r="19855">
      <c r="A19855" s="4" t="str">
        <f>IFERROR(__xludf.DUMMYFUNCTION("""COMPUTED_VALUE"""),"cas_hmw")</f>
        <v>cas_hmw</v>
      </c>
      <c r="B19855" s="5">
        <f>IFERROR(__xludf.DUMMYFUNCTION("""COMPUTED_VALUE"""),44779.0)</f>
        <v>44779</v>
      </c>
      <c r="C19855" s="6">
        <f>IFERROR(__xludf.DUMMYFUNCTION("""COMPUTED_VALUE"""),0.6603935185194132)</f>
        <v>0.6603935185</v>
      </c>
      <c r="D19855" s="4">
        <f>IFERROR(__xludf.DUMMYFUNCTION("""COMPUTED_VALUE"""),12.546631)</f>
        <v>12.546631</v>
      </c>
      <c r="E19855" s="4">
        <f>IFERROR(__xludf.DUMMYFUNCTION("""COMPUTED_VALUE"""),79.905431)</f>
        <v>79.905431</v>
      </c>
      <c r="F19855" s="4">
        <f>IFERROR(__xludf.DUMMYFUNCTION("""COMPUTED_VALUE"""),3143.0)</f>
        <v>3143</v>
      </c>
      <c r="G19855" s="4">
        <f>IFERROR(__xludf.DUMMYFUNCTION("""COMPUTED_VALUE"""),54.0)</f>
        <v>54</v>
      </c>
      <c r="H19855" s="4"/>
      <c r="I19855" s="4"/>
    </row>
    <row r="19856">
      <c r="A19856" s="4" t="str">
        <f>IFERROR(__xludf.DUMMYFUNCTION("""COMPUTED_VALUE"""),"cas_hmw")</f>
        <v>cas_hmw</v>
      </c>
      <c r="B19856" s="5">
        <f>IFERROR(__xludf.DUMMYFUNCTION("""COMPUTED_VALUE"""),44779.0)</f>
        <v>44779</v>
      </c>
      <c r="C19856" s="6">
        <f>IFERROR(__xludf.DUMMYFUNCTION("""COMPUTED_VALUE"""),0.6636226851842366)</f>
        <v>0.6636226852</v>
      </c>
      <c r="D19856" s="4">
        <f>IFERROR(__xludf.DUMMYFUNCTION("""COMPUTED_VALUE"""),12.583943)</f>
        <v>12.583943</v>
      </c>
      <c r="E19856" s="4">
        <f>IFERROR(__xludf.DUMMYFUNCTION("""COMPUTED_VALUE"""),79.919236)</f>
        <v>79.919236</v>
      </c>
      <c r="F19856" s="4">
        <f>IFERROR(__xludf.DUMMYFUNCTION("""COMPUTED_VALUE"""),3143.0)</f>
        <v>3143</v>
      </c>
      <c r="G19856" s="4">
        <f>IFERROR(__xludf.DUMMYFUNCTION("""COMPUTED_VALUE"""),58.0)</f>
        <v>58</v>
      </c>
      <c r="H19856" s="4"/>
      <c r="I19856" s="4"/>
    </row>
    <row r="19857">
      <c r="A19857" s="4" t="str">
        <f>IFERROR(__xludf.DUMMYFUNCTION("""COMPUTED_VALUE"""),"cas_hmw")</f>
        <v>cas_hmw</v>
      </c>
      <c r="B19857" s="5">
        <f>IFERROR(__xludf.DUMMYFUNCTION("""COMPUTED_VALUE"""),44779.0)</f>
        <v>44779</v>
      </c>
      <c r="C19857" s="6">
        <f>IFERROR(__xludf.DUMMYFUNCTION("""COMPUTED_VALUE"""),0.6657754629632109)</f>
        <v>0.665775463</v>
      </c>
      <c r="D19857" s="4">
        <f>IFERROR(__xludf.DUMMYFUNCTION("""COMPUTED_VALUE"""),12.609445)</f>
        <v>12.609445</v>
      </c>
      <c r="E19857" s="4">
        <f>IFERROR(__xludf.DUMMYFUNCTION("""COMPUTED_VALUE"""),79.922285)</f>
        <v>79.922285</v>
      </c>
      <c r="F19857" s="4">
        <f>IFERROR(__xludf.DUMMYFUNCTION("""COMPUTED_VALUE"""),3143.0)</f>
        <v>3143</v>
      </c>
      <c r="G19857" s="4">
        <f>IFERROR(__xludf.DUMMYFUNCTION("""COMPUTED_VALUE"""),58.0)</f>
        <v>58</v>
      </c>
      <c r="H19857" s="4"/>
      <c r="I19857" s="4"/>
    </row>
    <row r="19858">
      <c r="A19858" s="4" t="str">
        <f>IFERROR(__xludf.DUMMYFUNCTION("""COMPUTED_VALUE"""),"cas_hmw")</f>
        <v>cas_hmw</v>
      </c>
      <c r="B19858" s="5">
        <f>IFERROR(__xludf.DUMMYFUNCTION("""COMPUTED_VALUE"""),44779.0)</f>
        <v>44779</v>
      </c>
      <c r="C19858" s="6">
        <f>IFERROR(__xludf.DUMMYFUNCTION("""COMPUTED_VALUE"""),0.6661226851865649)</f>
        <v>0.6661226852</v>
      </c>
      <c r="D19858" s="4">
        <f>IFERROR(__xludf.DUMMYFUNCTION("""COMPUTED_VALUE"""),12.61349)</f>
        <v>12.61349</v>
      </c>
      <c r="E19858" s="4">
        <f>IFERROR(__xludf.DUMMYFUNCTION("""COMPUTED_VALUE"""),79.924609)</f>
        <v>79.924609</v>
      </c>
      <c r="F19858" s="4">
        <f>IFERROR(__xludf.DUMMYFUNCTION("""COMPUTED_VALUE"""),3143.0)</f>
        <v>3143</v>
      </c>
      <c r="G19858" s="4">
        <f>IFERROR(__xludf.DUMMYFUNCTION("""COMPUTED_VALUE"""),56.0)</f>
        <v>56</v>
      </c>
      <c r="H19858" s="4"/>
      <c r="I19858" s="4"/>
    </row>
    <row r="19859">
      <c r="A19859" s="4" t="str">
        <f>IFERROR(__xludf.DUMMYFUNCTION("""COMPUTED_VALUE"""),"cas_hmw")</f>
        <v>cas_hmw</v>
      </c>
      <c r="B19859" s="5">
        <f>IFERROR(__xludf.DUMMYFUNCTION("""COMPUTED_VALUE"""),44779.0)</f>
        <v>44779</v>
      </c>
      <c r="C19859" s="6">
        <f>IFERROR(__xludf.DUMMYFUNCTION("""COMPUTED_VALUE"""),0.6662731481483206)</f>
        <v>0.6662731481</v>
      </c>
      <c r="D19859" s="4">
        <f>IFERROR(__xludf.DUMMYFUNCTION("""COMPUTED_VALUE"""),12.615623)</f>
        <v>12.615623</v>
      </c>
      <c r="E19859" s="4">
        <f>IFERROR(__xludf.DUMMYFUNCTION("""COMPUTED_VALUE"""),79.925759)</f>
        <v>79.925759</v>
      </c>
      <c r="F19859" s="4">
        <f>IFERROR(__xludf.DUMMYFUNCTION("""COMPUTED_VALUE"""),3143.0)</f>
        <v>3143</v>
      </c>
      <c r="G19859" s="4">
        <f>IFERROR(__xludf.DUMMYFUNCTION("""COMPUTED_VALUE"""),53.0)</f>
        <v>53</v>
      </c>
      <c r="H19859" s="4"/>
      <c r="I19859" s="4"/>
    </row>
    <row r="19860">
      <c r="A19860" s="4" t="str">
        <f>IFERROR(__xludf.DUMMYFUNCTION("""COMPUTED_VALUE"""),"cas_hmw")</f>
        <v>cas_hmw</v>
      </c>
      <c r="B19860" s="5">
        <f>IFERROR(__xludf.DUMMYFUNCTION("""COMPUTED_VALUE"""),44779.0)</f>
        <v>44779</v>
      </c>
      <c r="C19860" s="6">
        <f>IFERROR(__xludf.DUMMYFUNCTION("""COMPUTED_VALUE"""),0.667025462964375)</f>
        <v>0.667025463</v>
      </c>
      <c r="D19860" s="4">
        <f>IFERROR(__xludf.DUMMYFUNCTION("""COMPUTED_VALUE"""),12.622313)</f>
        <v>12.622313</v>
      </c>
      <c r="E19860" s="4">
        <f>IFERROR(__xludf.DUMMYFUNCTION("""COMPUTED_VALUE"""),79.927763)</f>
        <v>79.927763</v>
      </c>
      <c r="F19860" s="4">
        <f>IFERROR(__xludf.DUMMYFUNCTION("""COMPUTED_VALUE"""),3143.0)</f>
        <v>3143</v>
      </c>
      <c r="G19860" s="4">
        <f>IFERROR(__xludf.DUMMYFUNCTION("""COMPUTED_VALUE"""),57.0)</f>
        <v>57</v>
      </c>
      <c r="H19860" s="4"/>
      <c r="I19860" s="4"/>
    </row>
    <row r="19861">
      <c r="A19861" s="4" t="str">
        <f>IFERROR(__xludf.DUMMYFUNCTION("""COMPUTED_VALUE"""),"cas_hmw")</f>
        <v>cas_hmw</v>
      </c>
      <c r="B19861" s="5">
        <f>IFERROR(__xludf.DUMMYFUNCTION("""COMPUTED_VALUE"""),44779.0)</f>
        <v>44779</v>
      </c>
      <c r="C19861" s="6">
        <f>IFERROR(__xludf.DUMMYFUNCTION("""COMPUTED_VALUE"""),0.6675347222226264)</f>
        <v>0.6675347222</v>
      </c>
      <c r="D19861" s="4">
        <f>IFERROR(__xludf.DUMMYFUNCTION("""COMPUTED_VALUE"""),12.627832)</f>
        <v>12.627832</v>
      </c>
      <c r="E19861" s="4">
        <f>IFERROR(__xludf.DUMMYFUNCTION("""COMPUTED_VALUE"""),79.930135)</f>
        <v>79.930135</v>
      </c>
      <c r="F19861" s="4">
        <f>IFERROR(__xludf.DUMMYFUNCTION("""COMPUTED_VALUE"""),3143.0)</f>
        <v>3143</v>
      </c>
      <c r="G19861" s="4">
        <f>IFERROR(__xludf.DUMMYFUNCTION("""COMPUTED_VALUE"""),43.0)</f>
        <v>43</v>
      </c>
      <c r="H19861" s="4"/>
      <c r="I19861" s="4"/>
    </row>
    <row r="19862">
      <c r="A19862" s="4" t="str">
        <f>IFERROR(__xludf.DUMMYFUNCTION("""COMPUTED_VALUE"""),"cas_hmw")</f>
        <v>cas_hmw</v>
      </c>
      <c r="B19862" s="5">
        <f>IFERROR(__xludf.DUMMYFUNCTION("""COMPUTED_VALUE"""),44779.0)</f>
        <v>44779</v>
      </c>
      <c r="C19862" s="6">
        <f>IFERROR(__xludf.DUMMYFUNCTION("""COMPUTED_VALUE"""),0.6681018518502242)</f>
        <v>0.6681018519</v>
      </c>
      <c r="D19862" s="4">
        <f>IFERROR(__xludf.DUMMYFUNCTION("""COMPUTED_VALUE"""),12.632615)</f>
        <v>12.632615</v>
      </c>
      <c r="E19862" s="4">
        <f>IFERROR(__xludf.DUMMYFUNCTION("""COMPUTED_VALUE"""),79.932155)</f>
        <v>79.932155</v>
      </c>
      <c r="F19862" s="4">
        <f>IFERROR(__xludf.DUMMYFUNCTION("""COMPUTED_VALUE"""),3143.0)</f>
        <v>3143</v>
      </c>
      <c r="G19862" s="4">
        <f>IFERROR(__xludf.DUMMYFUNCTION("""COMPUTED_VALUE"""),53.0)</f>
        <v>53</v>
      </c>
      <c r="H19862" s="4"/>
      <c r="I19862" s="4"/>
    </row>
    <row r="19863">
      <c r="A19863" s="4" t="str">
        <f>IFERROR(__xludf.DUMMYFUNCTION("""COMPUTED_VALUE"""),"cas_hmw")</f>
        <v>cas_hmw</v>
      </c>
      <c r="B19863" s="5">
        <f>IFERROR(__xludf.DUMMYFUNCTION("""COMPUTED_VALUE"""),44779.0)</f>
        <v>44779</v>
      </c>
      <c r="C19863" s="6">
        <f>IFERROR(__xludf.DUMMYFUNCTION("""COMPUTED_VALUE"""),0.6698032407402934)</f>
        <v>0.6698032407</v>
      </c>
      <c r="D19863" s="4">
        <f>IFERROR(__xludf.DUMMYFUNCTION("""COMPUTED_VALUE"""),12.651139)</f>
        <v>12.651139</v>
      </c>
      <c r="E19863" s="4">
        <f>IFERROR(__xludf.DUMMYFUNCTION("""COMPUTED_VALUE"""),79.94034)</f>
        <v>79.94034</v>
      </c>
      <c r="F19863" s="4">
        <f>IFERROR(__xludf.DUMMYFUNCTION("""COMPUTED_VALUE"""),3143.0)</f>
        <v>3143</v>
      </c>
      <c r="G19863" s="4">
        <f>IFERROR(__xludf.DUMMYFUNCTION("""COMPUTED_VALUE"""),58.0)</f>
        <v>58</v>
      </c>
      <c r="H19863" s="4"/>
      <c r="I19863" s="4"/>
    </row>
    <row r="19864">
      <c r="A19864" s="4" t="str">
        <f>IFERROR(__xludf.DUMMYFUNCTION("""COMPUTED_VALUE"""),"cas_hmw")</f>
        <v>cas_hmw</v>
      </c>
      <c r="B19864" s="5">
        <f>IFERROR(__xludf.DUMMYFUNCTION("""COMPUTED_VALUE"""),44779.0)</f>
        <v>44779</v>
      </c>
      <c r="C19864" s="6">
        <f>IFERROR(__xludf.DUMMYFUNCTION("""COMPUTED_VALUE"""),0.6699189814826241)</f>
        <v>0.6699189815</v>
      </c>
      <c r="D19864" s="4">
        <f>IFERROR(__xludf.DUMMYFUNCTION("""COMPUTED_VALUE"""),12.653592)</f>
        <v>12.653592</v>
      </c>
      <c r="E19864" s="4">
        <f>IFERROR(__xludf.DUMMYFUNCTION("""COMPUTED_VALUE"""),79.940063)</f>
        <v>79.940063</v>
      </c>
      <c r="F19864" s="4">
        <f>IFERROR(__xludf.DUMMYFUNCTION("""COMPUTED_VALUE"""),3143.0)</f>
        <v>3143</v>
      </c>
      <c r="G19864" s="4">
        <f>IFERROR(__xludf.DUMMYFUNCTION("""COMPUTED_VALUE"""),55.0)</f>
        <v>55</v>
      </c>
      <c r="H19864" s="4"/>
      <c r="I19864" s="4"/>
    </row>
    <row r="19865">
      <c r="A19865" s="4" t="str">
        <f>IFERROR(__xludf.DUMMYFUNCTION("""COMPUTED_VALUE"""),"cas_hmw")</f>
        <v>cas_hmw</v>
      </c>
      <c r="B19865" s="5">
        <f>IFERROR(__xludf.DUMMYFUNCTION("""COMPUTED_VALUE"""),44779.0)</f>
        <v>44779</v>
      </c>
      <c r="C19865" s="6">
        <f>IFERROR(__xludf.DUMMYFUNCTION("""COMPUTED_VALUE"""),0.6699421296289074)</f>
        <v>0.6699421296</v>
      </c>
      <c r="D19865" s="4">
        <f>IFERROR(__xludf.DUMMYFUNCTION("""COMPUTED_VALUE"""),12.653592)</f>
        <v>12.653592</v>
      </c>
      <c r="E19865" s="4">
        <f>IFERROR(__xludf.DUMMYFUNCTION("""COMPUTED_VALUE"""),79.940063)</f>
        <v>79.940063</v>
      </c>
      <c r="F19865" s="4">
        <f>IFERROR(__xludf.DUMMYFUNCTION("""COMPUTED_VALUE"""),3143.0)</f>
        <v>3143</v>
      </c>
      <c r="G19865" s="4">
        <f>IFERROR(__xludf.DUMMYFUNCTION("""COMPUTED_VALUE"""),55.0)</f>
        <v>55</v>
      </c>
      <c r="H19865" s="4"/>
      <c r="I19865" s="4"/>
    </row>
    <row r="19866">
      <c r="A19866" s="4" t="str">
        <f>IFERROR(__xludf.DUMMYFUNCTION("""COMPUTED_VALUE"""),"cas_hmw")</f>
        <v>cas_hmw</v>
      </c>
      <c r="B19866" s="5">
        <f>IFERROR(__xludf.DUMMYFUNCTION("""COMPUTED_VALUE"""),44779.0)</f>
        <v>44779</v>
      </c>
      <c r="C19866" s="6">
        <f>IFERROR(__xludf.DUMMYFUNCTION("""COMPUTED_VALUE"""),0.6705671296294895)</f>
        <v>0.6705671296</v>
      </c>
      <c r="D19866" s="4">
        <f>IFERROR(__xludf.DUMMYFUNCTION("""COMPUTED_VALUE"""),12.658249)</f>
        <v>12.658249</v>
      </c>
      <c r="E19866" s="4">
        <f>IFERROR(__xludf.DUMMYFUNCTION("""COMPUTED_VALUE"""),79.942442)</f>
        <v>79.942442</v>
      </c>
      <c r="F19866" s="4">
        <f>IFERROR(__xludf.DUMMYFUNCTION("""COMPUTED_VALUE"""),3143.0)</f>
        <v>3143</v>
      </c>
      <c r="G19866" s="4">
        <f>IFERROR(__xludf.DUMMYFUNCTION("""COMPUTED_VALUE"""),52.0)</f>
        <v>52</v>
      </c>
      <c r="H19866" s="4"/>
      <c r="I19866" s="4"/>
    </row>
    <row r="19867">
      <c r="A19867" s="4" t="str">
        <f>IFERROR(__xludf.DUMMYFUNCTION("""COMPUTED_VALUE"""),"cas_hmw")</f>
        <v>cas_hmw</v>
      </c>
      <c r="B19867" s="5">
        <f>IFERROR(__xludf.DUMMYFUNCTION("""COMPUTED_VALUE"""),44779.0)</f>
        <v>44779</v>
      </c>
      <c r="C19867" s="6">
        <f>IFERROR(__xludf.DUMMYFUNCTION("""COMPUTED_VALUE"""),0.6706134259256942)</f>
        <v>0.6706134259</v>
      </c>
      <c r="D19867" s="4">
        <f>IFERROR(__xludf.DUMMYFUNCTION("""COMPUTED_VALUE"""),12.658249)</f>
        <v>12.658249</v>
      </c>
      <c r="E19867" s="4">
        <f>IFERROR(__xludf.DUMMYFUNCTION("""COMPUTED_VALUE"""),79.942442)</f>
        <v>79.942442</v>
      </c>
      <c r="F19867" s="4">
        <f>IFERROR(__xludf.DUMMYFUNCTION("""COMPUTED_VALUE"""),3143.0)</f>
        <v>3143</v>
      </c>
      <c r="G19867" s="4">
        <f>IFERROR(__xludf.DUMMYFUNCTION("""COMPUTED_VALUE"""),52.0)</f>
        <v>52</v>
      </c>
      <c r="H19867" s="4"/>
      <c r="I19867" s="4"/>
    </row>
    <row r="19868">
      <c r="A19868" s="4" t="str">
        <f>IFERROR(__xludf.DUMMYFUNCTION("""COMPUTED_VALUE"""),"cas_hmw")</f>
        <v>cas_hmw</v>
      </c>
      <c r="B19868" s="5">
        <f>IFERROR(__xludf.DUMMYFUNCTION("""COMPUTED_VALUE"""),44779.0)</f>
        <v>44779</v>
      </c>
      <c r="C19868" s="6">
        <f>IFERROR(__xludf.DUMMYFUNCTION("""COMPUTED_VALUE"""),0.6789467592607252)</f>
        <v>0.6789467593</v>
      </c>
      <c r="D19868" s="4">
        <f>IFERROR(__xludf.DUMMYFUNCTION("""COMPUTED_VALUE"""),12.725725)</f>
        <v>12.725725</v>
      </c>
      <c r="E19868" s="4">
        <f>IFERROR(__xludf.DUMMYFUNCTION("""COMPUTED_VALUE"""),79.982181)</f>
        <v>79.982181</v>
      </c>
      <c r="F19868" s="4">
        <f>IFERROR(__xludf.DUMMYFUNCTION("""COMPUTED_VALUE"""),3143.0)</f>
        <v>3143</v>
      </c>
      <c r="G19868" s="4">
        <f>IFERROR(__xludf.DUMMYFUNCTION("""COMPUTED_VALUE"""),35.0)</f>
        <v>35</v>
      </c>
      <c r="H19868" s="4"/>
      <c r="I19868" s="4"/>
    </row>
    <row r="19869">
      <c r="A19869" s="4" t="str">
        <f>IFERROR(__xludf.DUMMYFUNCTION("""COMPUTED_VALUE"""),"cas_hmw")</f>
        <v>cas_hmw</v>
      </c>
      <c r="B19869" s="5">
        <f>IFERROR(__xludf.DUMMYFUNCTION("""COMPUTED_VALUE"""),44779.0)</f>
        <v>44779</v>
      </c>
      <c r="C19869" s="6">
        <f>IFERROR(__xludf.DUMMYFUNCTION("""COMPUTED_VALUE"""),0.6790046296300716)</f>
        <v>0.6790046296</v>
      </c>
      <c r="D19869" s="4">
        <f>IFERROR(__xludf.DUMMYFUNCTION("""COMPUTED_VALUE"""),12.726586)</f>
        <v>12.726586</v>
      </c>
      <c r="E19869" s="4">
        <f>IFERROR(__xludf.DUMMYFUNCTION("""COMPUTED_VALUE"""),79.982354)</f>
        <v>79.982354</v>
      </c>
      <c r="F19869" s="4">
        <f>IFERROR(__xludf.DUMMYFUNCTION("""COMPUTED_VALUE"""),3143.0)</f>
        <v>3143</v>
      </c>
      <c r="G19869" s="4">
        <f>IFERROR(__xludf.DUMMYFUNCTION("""COMPUTED_VALUE"""),37.0)</f>
        <v>37</v>
      </c>
      <c r="H19869" s="4"/>
      <c r="I19869" s="4"/>
    </row>
    <row r="19870">
      <c r="A19870" s="4" t="str">
        <f>IFERROR(__xludf.DUMMYFUNCTION("""COMPUTED_VALUE"""),"cas_hmw")</f>
        <v>cas_hmw</v>
      </c>
      <c r="B19870" s="5">
        <f>IFERROR(__xludf.DUMMYFUNCTION("""COMPUTED_VALUE"""),44779.0)</f>
        <v>44779</v>
      </c>
      <c r="C19870" s="6">
        <f>IFERROR(__xludf.DUMMYFUNCTION("""COMPUTED_VALUE"""),0.6864351851836545)</f>
        <v>0.6864351852</v>
      </c>
      <c r="D19870" s="4">
        <f>IFERROR(__xludf.DUMMYFUNCTION("""COMPUTED_VALUE"""),12.796337)</f>
        <v>12.796337</v>
      </c>
      <c r="E19870" s="4">
        <f>IFERROR(__xludf.DUMMYFUNCTION("""COMPUTED_VALUE"""),80.020847)</f>
        <v>80.020847</v>
      </c>
      <c r="F19870" s="4">
        <f>IFERROR(__xludf.DUMMYFUNCTION("""COMPUTED_VALUE"""),3143.0)</f>
        <v>3143</v>
      </c>
      <c r="G19870" s="4">
        <f>IFERROR(__xludf.DUMMYFUNCTION("""COMPUTED_VALUE"""),40.0)</f>
        <v>40</v>
      </c>
      <c r="H19870" s="4"/>
      <c r="I19870" s="4"/>
    </row>
    <row r="19871">
      <c r="A19871" s="4" t="str">
        <f>IFERROR(__xludf.DUMMYFUNCTION("""COMPUTED_VALUE"""),"cas_hmw")</f>
        <v>cas_hmw</v>
      </c>
      <c r="B19871" s="5">
        <f>IFERROR(__xludf.DUMMYFUNCTION("""COMPUTED_VALUE"""),44779.0)</f>
        <v>44779</v>
      </c>
      <c r="C19871" s="6">
        <f>IFERROR(__xludf.DUMMYFUNCTION("""COMPUTED_VALUE"""),0.687152777776646)</f>
        <v>0.6871527778</v>
      </c>
      <c r="D19871" s="4">
        <f>IFERROR(__xludf.DUMMYFUNCTION("""COMPUTED_VALUE"""),12.803717)</f>
        <v>12.803717</v>
      </c>
      <c r="E19871" s="4">
        <f>IFERROR(__xludf.DUMMYFUNCTION("""COMPUTED_VALUE"""),80.025709)</f>
        <v>80.025709</v>
      </c>
      <c r="F19871" s="4">
        <f>IFERROR(__xludf.DUMMYFUNCTION("""COMPUTED_VALUE"""),3143.0)</f>
        <v>3143</v>
      </c>
      <c r="G19871" s="4">
        <f>IFERROR(__xludf.DUMMYFUNCTION("""COMPUTED_VALUE"""),58.0)</f>
        <v>58</v>
      </c>
      <c r="H19871" s="4"/>
      <c r="I19871" s="4"/>
    </row>
    <row r="19872">
      <c r="A19872" s="4" t="str">
        <f>IFERROR(__xludf.DUMMYFUNCTION("""COMPUTED_VALUE"""),"cas_hmw")</f>
        <v>cas_hmw</v>
      </c>
      <c r="B19872" s="5">
        <f>IFERROR(__xludf.DUMMYFUNCTION("""COMPUTED_VALUE"""),44779.0)</f>
        <v>44779</v>
      </c>
      <c r="C19872" s="6">
        <f>IFERROR(__xludf.DUMMYFUNCTION("""COMPUTED_VALUE"""),0.6894097222211713)</f>
        <v>0.6894097222</v>
      </c>
      <c r="D19872" s="4">
        <f>IFERROR(__xludf.DUMMYFUNCTION("""COMPUTED_VALUE"""),12.827717)</f>
        <v>12.827717</v>
      </c>
      <c r="E19872" s="4">
        <f>IFERROR(__xludf.DUMMYFUNCTION("""COMPUTED_VALUE"""),80.042514)</f>
        <v>80.042514</v>
      </c>
      <c r="F19872" s="4">
        <f>IFERROR(__xludf.DUMMYFUNCTION("""COMPUTED_VALUE"""),3143.0)</f>
        <v>3143</v>
      </c>
      <c r="G19872" s="4">
        <f>IFERROR(__xludf.DUMMYFUNCTION("""COMPUTED_VALUE"""),57.0)</f>
        <v>57</v>
      </c>
      <c r="H19872" s="4"/>
      <c r="I19872" s="4"/>
    </row>
    <row r="19873">
      <c r="A19873" s="4" t="str">
        <f>IFERROR(__xludf.DUMMYFUNCTION("""COMPUTED_VALUE"""),"cas_hmw")</f>
        <v>cas_hmw</v>
      </c>
      <c r="B19873" s="5">
        <f>IFERROR(__xludf.DUMMYFUNCTION("""COMPUTED_VALUE"""),44779.0)</f>
        <v>44779</v>
      </c>
      <c r="C19873" s="6">
        <f>IFERROR(__xludf.DUMMYFUNCTION("""COMPUTED_VALUE"""),0.6946296296300716)</f>
        <v>0.6946296296</v>
      </c>
      <c r="D19873" s="4">
        <f>IFERROR(__xludf.DUMMYFUNCTION("""COMPUTED_VALUE"""),12.857105)</f>
        <v>12.857105</v>
      </c>
      <c r="E19873" s="4">
        <f>IFERROR(__xludf.DUMMYFUNCTION("""COMPUTED_VALUE"""),80.069905)</f>
        <v>80.069905</v>
      </c>
      <c r="F19873" s="4">
        <f>IFERROR(__xludf.DUMMYFUNCTION("""COMPUTED_VALUE"""),3143.0)</f>
        <v>3143</v>
      </c>
      <c r="G19873" s="4">
        <f>IFERROR(__xludf.DUMMYFUNCTION("""COMPUTED_VALUE"""),54.0)</f>
        <v>54</v>
      </c>
      <c r="H19873" s="4"/>
      <c r="I19873" s="4"/>
    </row>
    <row r="19874">
      <c r="A19874" s="4" t="str">
        <f>IFERROR(__xludf.DUMMYFUNCTION("""COMPUTED_VALUE"""),"cas_hmw")</f>
        <v>cas_hmw</v>
      </c>
      <c r="B19874" s="5">
        <f>IFERROR(__xludf.DUMMYFUNCTION("""COMPUTED_VALUE"""),44779.0)</f>
        <v>44779</v>
      </c>
      <c r="C19874" s="6">
        <f>IFERROR(__xludf.DUMMYFUNCTION("""COMPUTED_VALUE"""),0.6960300925929914)</f>
        <v>0.6960300926</v>
      </c>
      <c r="D19874" s="4">
        <f>IFERROR(__xludf.DUMMYFUNCTION("""COMPUTED_VALUE"""),12.865746)</f>
        <v>12.865746</v>
      </c>
      <c r="E19874" s="4">
        <f>IFERROR(__xludf.DUMMYFUNCTION("""COMPUTED_VALUE"""),80.074743)</f>
        <v>80.074743</v>
      </c>
      <c r="F19874" s="4">
        <f>IFERROR(__xludf.DUMMYFUNCTION("""COMPUTED_VALUE"""),3143.0)</f>
        <v>3143</v>
      </c>
      <c r="G19874" s="4">
        <f>IFERROR(__xludf.DUMMYFUNCTION("""COMPUTED_VALUE"""),15.0)</f>
        <v>15</v>
      </c>
      <c r="H19874" s="4"/>
      <c r="I19874" s="4"/>
    </row>
    <row r="19875">
      <c r="A19875" s="4" t="str">
        <f>IFERROR(__xludf.DUMMYFUNCTION("""COMPUTED_VALUE"""),"cas_hmw")</f>
        <v>cas_hmw</v>
      </c>
      <c r="B19875" s="5">
        <f>IFERROR(__xludf.DUMMYFUNCTION("""COMPUTED_VALUE"""),44779.0)</f>
        <v>44779</v>
      </c>
      <c r="C19875" s="6">
        <f>IFERROR(__xludf.DUMMYFUNCTION("""COMPUTED_VALUE"""),0.6963425925932825)</f>
        <v>0.6963425926</v>
      </c>
      <c r="D19875" s="4">
        <f>IFERROR(__xludf.DUMMYFUNCTION("""COMPUTED_VALUE"""),12.867796)</f>
        <v>12.867796</v>
      </c>
      <c r="E19875" s="4">
        <f>IFERROR(__xludf.DUMMYFUNCTION("""COMPUTED_VALUE"""),80.075554)</f>
        <v>80.075554</v>
      </c>
      <c r="F19875" s="4">
        <f>IFERROR(__xludf.DUMMYFUNCTION("""COMPUTED_VALUE"""),3143.0)</f>
        <v>3143</v>
      </c>
      <c r="G19875" s="4">
        <f>IFERROR(__xludf.DUMMYFUNCTION("""COMPUTED_VALUE"""),34.0)</f>
        <v>34</v>
      </c>
      <c r="H19875" s="4"/>
      <c r="I19875" s="4"/>
    </row>
    <row r="19876">
      <c r="A19876" s="4" t="str">
        <f>IFERROR(__xludf.DUMMYFUNCTION("""COMPUTED_VALUE"""),"cas_hmw")</f>
        <v>cas_hmw</v>
      </c>
      <c r="B19876" s="5">
        <f>IFERROR(__xludf.DUMMYFUNCTION("""COMPUTED_VALUE"""),44779.0)</f>
        <v>44779</v>
      </c>
      <c r="C19876" s="6">
        <f>IFERROR(__xludf.DUMMYFUNCTION("""COMPUTED_VALUE"""),0.6994444444426335)</f>
        <v>0.6994444444</v>
      </c>
      <c r="D19876" s="4">
        <f>IFERROR(__xludf.DUMMYFUNCTION("""COMPUTED_VALUE"""),12.878952)</f>
        <v>12.878952</v>
      </c>
      <c r="E19876" s="4">
        <f>IFERROR(__xludf.DUMMYFUNCTION("""COMPUTED_VALUE"""),80.080761)</f>
        <v>80.080761</v>
      </c>
      <c r="F19876" s="4">
        <f>IFERROR(__xludf.DUMMYFUNCTION("""COMPUTED_VALUE"""),3143.0)</f>
        <v>3143</v>
      </c>
      <c r="G19876" s="4">
        <f>IFERROR(__xludf.DUMMYFUNCTION("""COMPUTED_VALUE"""),5.0)</f>
        <v>5</v>
      </c>
      <c r="H19876" s="4"/>
      <c r="I19876" s="4"/>
    </row>
    <row r="19877">
      <c r="A19877" s="4" t="str">
        <f>IFERROR(__xludf.DUMMYFUNCTION("""COMPUTED_VALUE"""),"cas_hmw")</f>
        <v>cas_hmw</v>
      </c>
      <c r="B19877" s="5">
        <f>IFERROR(__xludf.DUMMYFUNCTION("""COMPUTED_VALUE"""),44781.0)</f>
        <v>44781</v>
      </c>
      <c r="C19877" s="6">
        <f>IFERROR(__xludf.DUMMYFUNCTION("""COMPUTED_VALUE"""),0.2985763888900692)</f>
        <v>0.2985763889</v>
      </c>
      <c r="D19877" s="4">
        <f>IFERROR(__xludf.DUMMYFUNCTION("""COMPUTED_VALUE"""),13.061719)</f>
        <v>13.061719</v>
      </c>
      <c r="E19877" s="4">
        <f>IFERROR(__xludf.DUMMYFUNCTION("""COMPUTED_VALUE"""),80.246626)</f>
        <v>80.246626</v>
      </c>
      <c r="F19877" s="4">
        <f>IFERROR(__xludf.DUMMYFUNCTION("""COMPUTED_VALUE"""),805.0)</f>
        <v>805</v>
      </c>
      <c r="G19877" s="4">
        <f>IFERROR(__xludf.DUMMYFUNCTION("""COMPUTED_VALUE"""),28.0)</f>
        <v>28</v>
      </c>
      <c r="H19877" s="4"/>
      <c r="I19877" s="4"/>
    </row>
    <row r="19878">
      <c r="A19878" s="4" t="str">
        <f>IFERROR(__xludf.DUMMYFUNCTION("""COMPUTED_VALUE"""),"cas_hmw")</f>
        <v>cas_hmw</v>
      </c>
      <c r="B19878" s="5">
        <f>IFERROR(__xludf.DUMMYFUNCTION("""COMPUTED_VALUE"""),44781.0)</f>
        <v>44781</v>
      </c>
      <c r="C19878" s="6">
        <f>IFERROR(__xludf.DUMMYFUNCTION("""COMPUTED_VALUE"""),0.30255787037094706)</f>
        <v>0.3025578704</v>
      </c>
      <c r="D19878" s="4">
        <f>IFERROR(__xludf.DUMMYFUNCTION("""COMPUTED_VALUE"""),13.03391)</f>
        <v>13.03391</v>
      </c>
      <c r="E19878" s="4">
        <f>IFERROR(__xludf.DUMMYFUNCTION("""COMPUTED_VALUE"""),80.111672)</f>
        <v>80.111672</v>
      </c>
      <c r="F19878" s="4">
        <f>IFERROR(__xludf.DUMMYFUNCTION("""COMPUTED_VALUE"""),3143.0)</f>
        <v>3143</v>
      </c>
      <c r="G19878" s="4">
        <f>IFERROR(__xludf.DUMMYFUNCTION("""COMPUTED_VALUE"""),41.0)</f>
        <v>41</v>
      </c>
      <c r="H19878" s="4"/>
      <c r="I19878" s="4"/>
    </row>
    <row r="19879">
      <c r="A19879" s="4" t="str">
        <f>IFERROR(__xludf.DUMMYFUNCTION("""COMPUTED_VALUE"""),"cas_hmw")</f>
        <v>cas_hmw</v>
      </c>
      <c r="B19879" s="5">
        <f>IFERROR(__xludf.DUMMYFUNCTION("""COMPUTED_VALUE"""),44781.0)</f>
        <v>44781</v>
      </c>
      <c r="C19879" s="6">
        <f>IFERROR(__xludf.DUMMYFUNCTION("""COMPUTED_VALUE"""),0.3042824074072996)</f>
        <v>0.3042824074</v>
      </c>
      <c r="D19879" s="4">
        <f>IFERROR(__xludf.DUMMYFUNCTION("""COMPUTED_VALUE"""),13.068244)</f>
        <v>13.068244</v>
      </c>
      <c r="E19879" s="4">
        <f>IFERROR(__xludf.DUMMYFUNCTION("""COMPUTED_VALUE"""),80.269956)</f>
        <v>80.269956</v>
      </c>
      <c r="F19879" s="4">
        <f>IFERROR(__xludf.DUMMYFUNCTION("""COMPUTED_VALUE"""),805.0)</f>
        <v>805</v>
      </c>
      <c r="G19879" s="4">
        <f>IFERROR(__xludf.DUMMYFUNCTION("""COMPUTED_VALUE"""),29.0)</f>
        <v>29</v>
      </c>
      <c r="H19879" s="4"/>
      <c r="I19879" s="4"/>
    </row>
    <row r="19880">
      <c r="A19880" s="4" t="str">
        <f>IFERROR(__xludf.DUMMYFUNCTION("""COMPUTED_VALUE"""),"cas_hmw")</f>
        <v>cas_hmw</v>
      </c>
      <c r="B19880" s="5">
        <f>IFERROR(__xludf.DUMMYFUNCTION("""COMPUTED_VALUE"""),44781.0)</f>
        <v>44781</v>
      </c>
      <c r="C19880" s="6">
        <f>IFERROR(__xludf.DUMMYFUNCTION("""COMPUTED_VALUE"""),0.30511574073898373)</f>
        <v>0.3051157407</v>
      </c>
      <c r="D19880" s="4">
        <f>IFERROR(__xludf.DUMMYFUNCTION("""COMPUTED_VALUE"""),13.065233)</f>
        <v>13.065233</v>
      </c>
      <c r="E19880" s="4">
        <f>IFERROR(__xludf.DUMMYFUNCTION("""COMPUTED_VALUE"""),80.26763)</f>
        <v>80.26763</v>
      </c>
      <c r="F19880" s="4">
        <f>IFERROR(__xludf.DUMMYFUNCTION("""COMPUTED_VALUE"""),805.0)</f>
        <v>805</v>
      </c>
      <c r="G19880" s="4">
        <f>IFERROR(__xludf.DUMMYFUNCTION("""COMPUTED_VALUE"""),39.0)</f>
        <v>39</v>
      </c>
      <c r="H19880" s="4"/>
      <c r="I19880" s="4"/>
    </row>
    <row r="19881">
      <c r="A19881" s="4" t="str">
        <f>IFERROR(__xludf.DUMMYFUNCTION("""COMPUTED_VALUE"""),"cas_hmw")</f>
        <v>cas_hmw</v>
      </c>
      <c r="B19881" s="5">
        <f>IFERROR(__xludf.DUMMYFUNCTION("""COMPUTED_VALUE"""),44781.0)</f>
        <v>44781</v>
      </c>
      <c r="C19881" s="6">
        <f>IFERROR(__xludf.DUMMYFUNCTION("""COMPUTED_VALUE"""),0.3091550925928459)</f>
        <v>0.3091550926</v>
      </c>
      <c r="D19881" s="4">
        <f>IFERROR(__xludf.DUMMYFUNCTION("""COMPUTED_VALUE"""),13.053986)</f>
        <v>13.053986</v>
      </c>
      <c r="E19881" s="4">
        <f>IFERROR(__xludf.DUMMYFUNCTION("""COMPUTED_VALUE"""),80.26405)</f>
        <v>80.26405</v>
      </c>
      <c r="F19881" s="4">
        <f>IFERROR(__xludf.DUMMYFUNCTION("""COMPUTED_VALUE"""),805.0)</f>
        <v>805</v>
      </c>
      <c r="G19881" s="4">
        <f>IFERROR(__xludf.DUMMYFUNCTION("""COMPUTED_VALUE"""),9.0)</f>
        <v>9</v>
      </c>
      <c r="H19881" s="4"/>
      <c r="I19881" s="4"/>
    </row>
    <row r="19882">
      <c r="A19882" s="4" t="str">
        <f>IFERROR(__xludf.DUMMYFUNCTION("""COMPUTED_VALUE"""),"cas_hmw")</f>
        <v>cas_hmw</v>
      </c>
      <c r="B19882" s="5">
        <f>IFERROR(__xludf.DUMMYFUNCTION("""COMPUTED_VALUE"""),44781.0)</f>
        <v>44781</v>
      </c>
      <c r="C19882" s="6">
        <f>IFERROR(__xludf.DUMMYFUNCTION("""COMPUTED_VALUE"""),0.3091666666659876)</f>
        <v>0.3091666667</v>
      </c>
      <c r="D19882" s="4">
        <f>IFERROR(__xludf.DUMMYFUNCTION("""COMPUTED_VALUE"""),13.053986)</f>
        <v>13.053986</v>
      </c>
      <c r="E19882" s="4">
        <f>IFERROR(__xludf.DUMMYFUNCTION("""COMPUTED_VALUE"""),80.26405)</f>
        <v>80.26405</v>
      </c>
      <c r="F19882" s="4">
        <f>IFERROR(__xludf.DUMMYFUNCTION("""COMPUTED_VALUE"""),805.0)</f>
        <v>805</v>
      </c>
      <c r="G19882" s="4">
        <f>IFERROR(__xludf.DUMMYFUNCTION("""COMPUTED_VALUE"""),9.0)</f>
        <v>9</v>
      </c>
      <c r="H19882" s="4"/>
      <c r="I19882" s="4"/>
    </row>
    <row r="19883">
      <c r="A19883" s="4" t="str">
        <f>IFERROR(__xludf.DUMMYFUNCTION("""COMPUTED_VALUE"""),"cas_hmw")</f>
        <v>cas_hmw</v>
      </c>
      <c r="B19883" s="5">
        <f>IFERROR(__xludf.DUMMYFUNCTION("""COMPUTED_VALUE"""),44781.0)</f>
        <v>44781</v>
      </c>
      <c r="C19883" s="6">
        <f>IFERROR(__xludf.DUMMYFUNCTION("""COMPUTED_VALUE"""),0.30917824073912925)</f>
        <v>0.3091782407</v>
      </c>
      <c r="D19883" s="4">
        <f>IFERROR(__xludf.DUMMYFUNCTION("""COMPUTED_VALUE"""),13.053539)</f>
        <v>13.053539</v>
      </c>
      <c r="E19883" s="4">
        <f>IFERROR(__xludf.DUMMYFUNCTION("""COMPUTED_VALUE"""),80.263958)</f>
        <v>80.263958</v>
      </c>
      <c r="F19883" s="4">
        <f>IFERROR(__xludf.DUMMYFUNCTION("""COMPUTED_VALUE"""),805.0)</f>
        <v>805</v>
      </c>
      <c r="G19883" s="4">
        <f>IFERROR(__xludf.DUMMYFUNCTION("""COMPUTED_VALUE"""),23.0)</f>
        <v>23</v>
      </c>
      <c r="H19883" s="4"/>
      <c r="I19883" s="4"/>
    </row>
    <row r="19884">
      <c r="A19884" s="4" t="str">
        <f>IFERROR(__xludf.DUMMYFUNCTION("""COMPUTED_VALUE"""),"cas_hmw")</f>
        <v>cas_hmw</v>
      </c>
      <c r="B19884" s="5">
        <f>IFERROR(__xludf.DUMMYFUNCTION("""COMPUTED_VALUE"""),44781.0)</f>
        <v>44781</v>
      </c>
      <c r="C19884" s="6">
        <f>IFERROR(__xludf.DUMMYFUNCTION("""COMPUTED_VALUE"""),0.3091898148159089)</f>
        <v>0.3091898148</v>
      </c>
      <c r="D19884" s="4">
        <f>IFERROR(__xludf.DUMMYFUNCTION("""COMPUTED_VALUE"""),13.053539)</f>
        <v>13.053539</v>
      </c>
      <c r="E19884" s="4">
        <f>IFERROR(__xludf.DUMMYFUNCTION("""COMPUTED_VALUE"""),80.263958)</f>
        <v>80.263958</v>
      </c>
      <c r="F19884" s="4">
        <f>IFERROR(__xludf.DUMMYFUNCTION("""COMPUTED_VALUE"""),805.0)</f>
        <v>805</v>
      </c>
      <c r="G19884" s="4">
        <f>IFERROR(__xludf.DUMMYFUNCTION("""COMPUTED_VALUE"""),23.0)</f>
        <v>23</v>
      </c>
      <c r="H19884" s="4"/>
      <c r="I19884" s="4"/>
    </row>
    <row r="19885">
      <c r="A19885" s="4" t="str">
        <f>IFERROR(__xludf.DUMMYFUNCTION("""COMPUTED_VALUE"""),"cas_hmw")</f>
        <v>cas_hmw</v>
      </c>
      <c r="B19885" s="5">
        <f>IFERROR(__xludf.DUMMYFUNCTION("""COMPUTED_VALUE"""),44781.0)</f>
        <v>44781</v>
      </c>
      <c r="C19885" s="6">
        <f>IFERROR(__xludf.DUMMYFUNCTION("""COMPUTED_VALUE"""),0.3092013888890506)</f>
        <v>0.3092013889</v>
      </c>
      <c r="D19885" s="4">
        <f>IFERROR(__xludf.DUMMYFUNCTION("""COMPUTED_VALUE"""),13.053539)</f>
        <v>13.053539</v>
      </c>
      <c r="E19885" s="4">
        <f>IFERROR(__xludf.DUMMYFUNCTION("""COMPUTED_VALUE"""),80.263958)</f>
        <v>80.263958</v>
      </c>
      <c r="F19885" s="4">
        <f>IFERROR(__xludf.DUMMYFUNCTION("""COMPUTED_VALUE"""),805.0)</f>
        <v>805</v>
      </c>
      <c r="G19885" s="4">
        <f>IFERROR(__xludf.DUMMYFUNCTION("""COMPUTED_VALUE"""),23.0)</f>
        <v>23</v>
      </c>
      <c r="H19885" s="4"/>
      <c r="I19885" s="4"/>
    </row>
    <row r="19886">
      <c r="A19886" s="4" t="str">
        <f>IFERROR(__xludf.DUMMYFUNCTION("""COMPUTED_VALUE"""),"cas_hmw")</f>
        <v>cas_hmw</v>
      </c>
      <c r="B19886" s="5">
        <f>IFERROR(__xludf.DUMMYFUNCTION("""COMPUTED_VALUE"""),44781.0)</f>
        <v>44781</v>
      </c>
      <c r="C19886" s="6">
        <f>IFERROR(__xludf.DUMMYFUNCTION("""COMPUTED_VALUE"""),0.31089120370234014)</f>
        <v>0.3108912037</v>
      </c>
      <c r="D19886" s="4">
        <f>IFERROR(__xludf.DUMMYFUNCTION("""COMPUTED_VALUE"""),13.054471)</f>
        <v>13.054471</v>
      </c>
      <c r="E19886" s="4">
        <f>IFERROR(__xludf.DUMMYFUNCTION("""COMPUTED_VALUE"""),80.253999)</f>
        <v>80.253999</v>
      </c>
      <c r="F19886" s="4">
        <f>IFERROR(__xludf.DUMMYFUNCTION("""COMPUTED_VALUE"""),5339.0)</f>
        <v>5339</v>
      </c>
      <c r="G19886" s="4">
        <f>IFERROR(__xludf.DUMMYFUNCTION("""COMPUTED_VALUE"""),31.0)</f>
        <v>31</v>
      </c>
      <c r="H19886" s="4"/>
      <c r="I19886" s="4"/>
    </row>
    <row r="19887">
      <c r="A19887" s="4" t="str">
        <f>IFERROR(__xludf.DUMMYFUNCTION("""COMPUTED_VALUE"""),"cas_hmw")</f>
        <v>cas_hmw</v>
      </c>
      <c r="B19887" s="5">
        <f>IFERROR(__xludf.DUMMYFUNCTION("""COMPUTED_VALUE"""),44781.0)</f>
        <v>44781</v>
      </c>
      <c r="C19887" s="6">
        <f>IFERROR(__xludf.DUMMYFUNCTION("""COMPUTED_VALUE"""),0.31164351851839456)</f>
        <v>0.3116435185</v>
      </c>
      <c r="D19887" s="4">
        <f>IFERROR(__xludf.DUMMYFUNCTION("""COMPUTED_VALUE"""),12.996561)</f>
        <v>12.996561</v>
      </c>
      <c r="E19887" s="4">
        <f>IFERROR(__xludf.DUMMYFUNCTION("""COMPUTED_VALUE"""),80.108432)</f>
        <v>80.108432</v>
      </c>
      <c r="F19887" s="4">
        <f>IFERROR(__xludf.DUMMYFUNCTION("""COMPUTED_VALUE"""),3143.0)</f>
        <v>3143</v>
      </c>
      <c r="G19887" s="4">
        <f>IFERROR(__xludf.DUMMYFUNCTION("""COMPUTED_VALUE"""),45.0)</f>
        <v>45</v>
      </c>
      <c r="H19887" s="4"/>
      <c r="I19887" s="4"/>
    </row>
    <row r="19888">
      <c r="A19888" s="4" t="str">
        <f>IFERROR(__xludf.DUMMYFUNCTION("""COMPUTED_VALUE"""),"cas_hmw")</f>
        <v>cas_hmw</v>
      </c>
      <c r="B19888" s="5">
        <f>IFERROR(__xludf.DUMMYFUNCTION("""COMPUTED_VALUE"""),44781.0)</f>
        <v>44781</v>
      </c>
      <c r="C19888" s="6">
        <f>IFERROR(__xludf.DUMMYFUNCTION("""COMPUTED_VALUE"""),0.3117476851839456)</f>
        <v>0.3117476852</v>
      </c>
      <c r="D19888" s="4">
        <f>IFERROR(__xludf.DUMMYFUNCTION("""COMPUTED_VALUE"""),13.049286)</f>
        <v>13.049286</v>
      </c>
      <c r="E19888" s="4">
        <f>IFERROR(__xludf.DUMMYFUNCTION("""COMPUTED_VALUE"""),80.249801)</f>
        <v>80.249801</v>
      </c>
      <c r="F19888" s="4">
        <f>IFERROR(__xludf.DUMMYFUNCTION("""COMPUTED_VALUE"""),5339.0)</f>
        <v>5339</v>
      </c>
      <c r="G19888" s="4">
        <f>IFERROR(__xludf.DUMMYFUNCTION("""COMPUTED_VALUE"""),42.0)</f>
        <v>42</v>
      </c>
      <c r="H19888" s="4"/>
      <c r="I19888" s="4"/>
    </row>
    <row r="19889">
      <c r="A19889" s="4" t="str">
        <f>IFERROR(__xludf.DUMMYFUNCTION("""COMPUTED_VALUE"""),"cas_hmw")</f>
        <v>cas_hmw</v>
      </c>
      <c r="B19889" s="5">
        <f>IFERROR(__xludf.DUMMYFUNCTION("""COMPUTED_VALUE"""),44781.0)</f>
        <v>44781</v>
      </c>
      <c r="C19889" s="6">
        <f>IFERROR(__xludf.DUMMYFUNCTION("""COMPUTED_VALUE"""),0.3118171296300716)</f>
        <v>0.3118171296</v>
      </c>
      <c r="D19889" s="4">
        <f>IFERROR(__xludf.DUMMYFUNCTION("""COMPUTED_VALUE"""),13.041748)</f>
        <v>13.041748</v>
      </c>
      <c r="E19889" s="4">
        <f>IFERROR(__xludf.DUMMYFUNCTION("""COMPUTED_VALUE"""),80.268225)</f>
        <v>80.268225</v>
      </c>
      <c r="F19889" s="4">
        <f>IFERROR(__xludf.DUMMYFUNCTION("""COMPUTED_VALUE"""),805.0)</f>
        <v>805</v>
      </c>
      <c r="G19889" s="4">
        <f>IFERROR(__xludf.DUMMYFUNCTION("""COMPUTED_VALUE"""),39.0)</f>
        <v>39</v>
      </c>
      <c r="H19889" s="4"/>
      <c r="I19889" s="4"/>
    </row>
    <row r="19890">
      <c r="A19890" s="4" t="str">
        <f>IFERROR(__xludf.DUMMYFUNCTION("""COMPUTED_VALUE"""),"cas_hmw")</f>
        <v>cas_hmw</v>
      </c>
      <c r="B19890" s="5">
        <f>IFERROR(__xludf.DUMMYFUNCTION("""COMPUTED_VALUE"""),44781.0)</f>
        <v>44781</v>
      </c>
      <c r="C19890" s="6">
        <f>IFERROR(__xludf.DUMMYFUNCTION("""COMPUTED_VALUE"""),0.3121759259265673)</f>
        <v>0.3121759259</v>
      </c>
      <c r="D19890" s="4">
        <f>IFERROR(__xludf.DUMMYFUNCTION("""COMPUTED_VALUE"""),12.994618)</f>
        <v>12.994618</v>
      </c>
      <c r="E19890" s="4">
        <f>IFERROR(__xludf.DUMMYFUNCTION("""COMPUTED_VALUE"""),80.112086)</f>
        <v>80.112086</v>
      </c>
      <c r="F19890" s="4">
        <f>IFERROR(__xludf.DUMMYFUNCTION("""COMPUTED_VALUE"""),3143.0)</f>
        <v>3143</v>
      </c>
      <c r="G19890" s="4">
        <f>IFERROR(__xludf.DUMMYFUNCTION("""COMPUTED_VALUE"""),41.0)</f>
        <v>41</v>
      </c>
      <c r="H19890" s="4"/>
      <c r="I19890" s="4"/>
    </row>
    <row r="19891">
      <c r="A19891" s="4" t="str">
        <f>IFERROR(__xludf.DUMMYFUNCTION("""COMPUTED_VALUE"""),"cas_hmw")</f>
        <v>cas_hmw</v>
      </c>
      <c r="B19891" s="5">
        <f>IFERROR(__xludf.DUMMYFUNCTION("""COMPUTED_VALUE"""),44781.0)</f>
        <v>44781</v>
      </c>
      <c r="C19891" s="6">
        <f>IFERROR(__xludf.DUMMYFUNCTION("""COMPUTED_VALUE"""),0.31259259259240935)</f>
        <v>0.3125925926</v>
      </c>
      <c r="D19891" s="4">
        <f>IFERROR(__xludf.DUMMYFUNCTION("""COMPUTED_VALUE"""),12.993194)</f>
        <v>12.993194</v>
      </c>
      <c r="E19891" s="4">
        <f>IFERROR(__xludf.DUMMYFUNCTION("""COMPUTED_VALUE"""),80.113706)</f>
        <v>80.113706</v>
      </c>
      <c r="F19891" s="4">
        <f>IFERROR(__xludf.DUMMYFUNCTION("""COMPUTED_VALUE"""),3143.0)</f>
        <v>3143</v>
      </c>
      <c r="G19891" s="4">
        <f>IFERROR(__xludf.DUMMYFUNCTION("""COMPUTED_VALUE"""),31.0)</f>
        <v>31</v>
      </c>
      <c r="H19891" s="4"/>
      <c r="I19891" s="4"/>
    </row>
    <row r="19892">
      <c r="A19892" s="4" t="str">
        <f>IFERROR(__xludf.DUMMYFUNCTION("""COMPUTED_VALUE"""),"cas_hmw")</f>
        <v>cas_hmw</v>
      </c>
      <c r="B19892" s="5">
        <f>IFERROR(__xludf.DUMMYFUNCTION("""COMPUTED_VALUE"""),44781.0)</f>
        <v>44781</v>
      </c>
      <c r="C19892" s="6">
        <f>IFERROR(__xludf.DUMMYFUNCTION("""COMPUTED_VALUE"""),0.3141435185170849)</f>
        <v>0.3141435185</v>
      </c>
      <c r="D19892" s="4">
        <f>IFERROR(__xludf.DUMMYFUNCTION("""COMPUTED_VALUE"""),12.656018)</f>
        <v>12.656018</v>
      </c>
      <c r="E19892" s="4">
        <f>IFERROR(__xludf.DUMMYFUNCTION("""COMPUTED_VALUE"""),79.953496)</f>
        <v>79.953496</v>
      </c>
      <c r="F19892" s="4">
        <f>IFERROR(__xludf.DUMMYFUNCTION("""COMPUTED_VALUE"""),2846.0)</f>
        <v>2846</v>
      </c>
      <c r="G19892" s="4">
        <f>IFERROR(__xludf.DUMMYFUNCTION("""COMPUTED_VALUE"""),57.0)</f>
        <v>57</v>
      </c>
      <c r="H19892" s="4"/>
      <c r="I19892" s="4"/>
    </row>
    <row r="19893">
      <c r="A19893" s="4" t="str">
        <f>IFERROR(__xludf.DUMMYFUNCTION("""COMPUTED_VALUE"""),"cas_hmw")</f>
        <v>cas_hmw</v>
      </c>
      <c r="B19893" s="5">
        <f>IFERROR(__xludf.DUMMYFUNCTION("""COMPUTED_VALUE"""),44781.0)</f>
        <v>44781</v>
      </c>
      <c r="C19893" s="6">
        <f>IFERROR(__xludf.DUMMYFUNCTION("""COMPUTED_VALUE"""),0.3152314814797137)</f>
        <v>0.3152314815</v>
      </c>
      <c r="D19893" s="4">
        <f>IFERROR(__xludf.DUMMYFUNCTION("""COMPUTED_VALUE"""),13.033985)</f>
        <v>13.033985</v>
      </c>
      <c r="E19893" s="4">
        <f>IFERROR(__xludf.DUMMYFUNCTION("""COMPUTED_VALUE"""),80.244653)</f>
        <v>80.244653</v>
      </c>
      <c r="F19893" s="4">
        <f>IFERROR(__xludf.DUMMYFUNCTION("""COMPUTED_VALUE"""),5339.0)</f>
        <v>5339</v>
      </c>
      <c r="G19893" s="4">
        <f>IFERROR(__xludf.DUMMYFUNCTION("""COMPUTED_VALUE"""),37.0)</f>
        <v>37</v>
      </c>
      <c r="H19893" s="4"/>
      <c r="I19893" s="4"/>
    </row>
    <row r="19894">
      <c r="A19894" s="4" t="str">
        <f>IFERROR(__xludf.DUMMYFUNCTION("""COMPUTED_VALUE"""),"cas_hmw")</f>
        <v>cas_hmw</v>
      </c>
      <c r="B19894" s="5">
        <f>IFERROR(__xludf.DUMMYFUNCTION("""COMPUTED_VALUE"""),44781.0)</f>
        <v>44781</v>
      </c>
      <c r="C19894" s="6">
        <f>IFERROR(__xludf.DUMMYFUNCTION("""COMPUTED_VALUE"""),0.31622685185357113)</f>
        <v>0.3162268519</v>
      </c>
      <c r="D19894" s="4">
        <f>IFERROR(__xludf.DUMMYFUNCTION("""COMPUTED_VALUE"""),12.665939)</f>
        <v>12.665939</v>
      </c>
      <c r="E19894" s="4">
        <f>IFERROR(__xludf.DUMMYFUNCTION("""COMPUTED_VALUE"""),79.970065)</f>
        <v>79.970065</v>
      </c>
      <c r="F19894" s="4">
        <f>IFERROR(__xludf.DUMMYFUNCTION("""COMPUTED_VALUE"""),2846.0)</f>
        <v>2846</v>
      </c>
      <c r="G19894" s="4">
        <f>IFERROR(__xludf.DUMMYFUNCTION("""COMPUTED_VALUE"""),56.0)</f>
        <v>56</v>
      </c>
      <c r="H19894" s="4"/>
      <c r="I19894" s="4"/>
    </row>
    <row r="19895">
      <c r="A19895" s="4" t="str">
        <f>IFERROR(__xludf.DUMMYFUNCTION("""COMPUTED_VALUE"""),"cas_hmw")</f>
        <v>cas_hmw</v>
      </c>
      <c r="B19895" s="5">
        <f>IFERROR(__xludf.DUMMYFUNCTION("""COMPUTED_VALUE"""),44781.0)</f>
        <v>44781</v>
      </c>
      <c r="C19895" s="6">
        <f>IFERROR(__xludf.DUMMYFUNCTION("""COMPUTED_VALUE"""),0.3163773148153268)</f>
        <v>0.3163773148</v>
      </c>
      <c r="D19895" s="4">
        <f>IFERROR(__xludf.DUMMYFUNCTION("""COMPUTED_VALUE"""),13.030303)</f>
        <v>13.030303</v>
      </c>
      <c r="E19895" s="4">
        <f>IFERROR(__xludf.DUMMYFUNCTION("""COMPUTED_VALUE"""),80.238464)</f>
        <v>80.238464</v>
      </c>
      <c r="F19895" s="4">
        <f>IFERROR(__xludf.DUMMYFUNCTION("""COMPUTED_VALUE"""),5339.0)</f>
        <v>5339</v>
      </c>
      <c r="G19895" s="4">
        <f>IFERROR(__xludf.DUMMYFUNCTION("""COMPUTED_VALUE"""),37.0)</f>
        <v>37</v>
      </c>
      <c r="H19895" s="4"/>
      <c r="I19895" s="4"/>
    </row>
    <row r="19896">
      <c r="A19896" s="4" t="str">
        <f>IFERROR(__xludf.DUMMYFUNCTION("""COMPUTED_VALUE"""),"cas_hmw")</f>
        <v>cas_hmw</v>
      </c>
      <c r="B19896" s="5">
        <f>IFERROR(__xludf.DUMMYFUNCTION("""COMPUTED_VALUE"""),44781.0)</f>
        <v>44781</v>
      </c>
      <c r="C19896" s="6">
        <f>IFERROR(__xludf.DUMMYFUNCTION("""COMPUTED_VALUE"""),0.31672453703868086)</f>
        <v>0.316724537</v>
      </c>
      <c r="D19896" s="4">
        <f>IFERROR(__xludf.DUMMYFUNCTION("""COMPUTED_VALUE"""),13.028794)</f>
        <v>13.028794</v>
      </c>
      <c r="E19896" s="4">
        <f>IFERROR(__xludf.DUMMYFUNCTION("""COMPUTED_VALUE"""),80.23638)</f>
        <v>80.23638</v>
      </c>
      <c r="F19896" s="4">
        <f>IFERROR(__xludf.DUMMYFUNCTION("""COMPUTED_VALUE"""),5339.0)</f>
        <v>5339</v>
      </c>
      <c r="G19896" s="4">
        <f>IFERROR(__xludf.DUMMYFUNCTION("""COMPUTED_VALUE"""),35.0)</f>
        <v>35</v>
      </c>
      <c r="H19896" s="4"/>
      <c r="I19896" s="4"/>
    </row>
    <row r="19897">
      <c r="A19897" s="4" t="str">
        <f>IFERROR(__xludf.DUMMYFUNCTION("""COMPUTED_VALUE"""),"cas_hmw")</f>
        <v>cas_hmw</v>
      </c>
      <c r="B19897" s="5">
        <f>IFERROR(__xludf.DUMMYFUNCTION("""COMPUTED_VALUE"""),44781.0)</f>
        <v>44781</v>
      </c>
      <c r="C19897" s="6">
        <f>IFERROR(__xludf.DUMMYFUNCTION("""COMPUTED_VALUE"""),0.317592592593428)</f>
        <v>0.3175925926</v>
      </c>
      <c r="D19897" s="4">
        <f>IFERROR(__xludf.DUMMYFUNCTION("""COMPUTED_VALUE"""),13.02646)</f>
        <v>13.02646</v>
      </c>
      <c r="E19897" s="4">
        <f>IFERROR(__xludf.DUMMYFUNCTION("""COMPUTED_VALUE"""),80.232855)</f>
        <v>80.232855</v>
      </c>
      <c r="F19897" s="4">
        <f>IFERROR(__xludf.DUMMYFUNCTION("""COMPUTED_VALUE"""),5339.0)</f>
        <v>5339</v>
      </c>
      <c r="G19897" s="4">
        <f>IFERROR(__xludf.DUMMYFUNCTION("""COMPUTED_VALUE"""),28.0)</f>
        <v>28</v>
      </c>
      <c r="H19897" s="4"/>
      <c r="I19897" s="4"/>
    </row>
    <row r="19898">
      <c r="A19898" s="4" t="str">
        <f>IFERROR(__xludf.DUMMYFUNCTION("""COMPUTED_VALUE"""),"cas_hmw")</f>
        <v>cas_hmw</v>
      </c>
      <c r="B19898" s="5">
        <f>IFERROR(__xludf.DUMMYFUNCTION("""COMPUTED_VALUE"""),44781.0)</f>
        <v>44781</v>
      </c>
      <c r="C19898" s="6">
        <f>IFERROR(__xludf.DUMMYFUNCTION("""COMPUTED_VALUE"""),0.31763888888963265)</f>
        <v>0.3176388889</v>
      </c>
      <c r="D19898" s="4">
        <f>IFERROR(__xludf.DUMMYFUNCTION("""COMPUTED_VALUE"""),13.02646)</f>
        <v>13.02646</v>
      </c>
      <c r="E19898" s="4">
        <f>IFERROR(__xludf.DUMMYFUNCTION("""COMPUTED_VALUE"""),80.232855)</f>
        <v>80.232855</v>
      </c>
      <c r="F19898" s="4">
        <f>IFERROR(__xludf.DUMMYFUNCTION("""COMPUTED_VALUE"""),5339.0)</f>
        <v>5339</v>
      </c>
      <c r="G19898" s="4">
        <f>IFERROR(__xludf.DUMMYFUNCTION("""COMPUTED_VALUE"""),28.0)</f>
        <v>28</v>
      </c>
      <c r="H19898" s="4"/>
      <c r="I19898" s="4"/>
    </row>
    <row r="19899">
      <c r="A19899" s="4" t="str">
        <f>IFERROR(__xludf.DUMMYFUNCTION("""COMPUTED_VALUE"""),"cas_hmw")</f>
        <v>cas_hmw</v>
      </c>
      <c r="B19899" s="5">
        <f>IFERROR(__xludf.DUMMYFUNCTION("""COMPUTED_VALUE"""),44781.0)</f>
        <v>44781</v>
      </c>
      <c r="C19899" s="6">
        <f>IFERROR(__xludf.DUMMYFUNCTION("""COMPUTED_VALUE"""),0.317696759258979)</f>
        <v>0.3176967593</v>
      </c>
      <c r="D19899" s="4">
        <f>IFERROR(__xludf.DUMMYFUNCTION("""COMPUTED_VALUE"""),13.026176)</f>
        <v>13.026176</v>
      </c>
      <c r="E19899" s="4">
        <f>IFERROR(__xludf.DUMMYFUNCTION("""COMPUTED_VALUE"""),80.232064)</f>
        <v>80.232064</v>
      </c>
      <c r="F19899" s="4">
        <f>IFERROR(__xludf.DUMMYFUNCTION("""COMPUTED_VALUE"""),5339.0)</f>
        <v>5339</v>
      </c>
      <c r="G19899" s="4">
        <f>IFERROR(__xludf.DUMMYFUNCTION("""COMPUTED_VALUE"""),29.0)</f>
        <v>29</v>
      </c>
      <c r="H19899" s="4"/>
      <c r="I19899" s="4"/>
    </row>
    <row r="19900">
      <c r="A19900" s="4" t="str">
        <f>IFERROR(__xludf.DUMMYFUNCTION("""COMPUTED_VALUE"""),"cas_hmw")</f>
        <v>cas_hmw</v>
      </c>
      <c r="B19900" s="5">
        <f>IFERROR(__xludf.DUMMYFUNCTION("""COMPUTED_VALUE"""),44781.0)</f>
        <v>44781</v>
      </c>
      <c r="C19900" s="6">
        <f>IFERROR(__xludf.DUMMYFUNCTION("""COMPUTED_VALUE"""),0.317696759258979)</f>
        <v>0.3176967593</v>
      </c>
      <c r="D19900" s="4">
        <f>IFERROR(__xludf.DUMMYFUNCTION("""COMPUTED_VALUE"""),13.026176)</f>
        <v>13.026176</v>
      </c>
      <c r="E19900" s="4">
        <f>IFERROR(__xludf.DUMMYFUNCTION("""COMPUTED_VALUE"""),80.232064)</f>
        <v>80.232064</v>
      </c>
      <c r="F19900" s="4">
        <f>IFERROR(__xludf.DUMMYFUNCTION("""COMPUTED_VALUE"""),5339.0)</f>
        <v>5339</v>
      </c>
      <c r="G19900" s="4">
        <f>IFERROR(__xludf.DUMMYFUNCTION("""COMPUTED_VALUE"""),29.0)</f>
        <v>29</v>
      </c>
      <c r="H19900" s="4"/>
      <c r="I19900" s="4"/>
    </row>
    <row r="19901">
      <c r="A19901" s="4" t="str">
        <f>IFERROR(__xludf.DUMMYFUNCTION("""COMPUTED_VALUE"""),"cas_hmw")</f>
        <v>cas_hmw</v>
      </c>
      <c r="B19901" s="5">
        <f>IFERROR(__xludf.DUMMYFUNCTION("""COMPUTED_VALUE"""),44781.0)</f>
        <v>44781</v>
      </c>
      <c r="C19901" s="6">
        <f>IFERROR(__xludf.DUMMYFUNCTION("""COMPUTED_VALUE"""),0.31797453703620704)</f>
        <v>0.317974537</v>
      </c>
      <c r="D19901" s="4">
        <f>IFERROR(__xludf.DUMMYFUNCTION("""COMPUTED_VALUE"""),12.674044)</f>
        <v>12.674044</v>
      </c>
      <c r="E19901" s="4">
        <f>IFERROR(__xludf.DUMMYFUNCTION("""COMPUTED_VALUE"""),79.976692)</f>
        <v>79.976692</v>
      </c>
      <c r="F19901" s="4">
        <f>IFERROR(__xludf.DUMMYFUNCTION("""COMPUTED_VALUE"""),2846.0)</f>
        <v>2846</v>
      </c>
      <c r="G19901" s="4">
        <f>IFERROR(__xludf.DUMMYFUNCTION("""COMPUTED_VALUE"""),14.0)</f>
        <v>14</v>
      </c>
      <c r="H19901" s="4"/>
      <c r="I19901" s="4"/>
    </row>
    <row r="19902">
      <c r="A19902" s="4" t="str">
        <f>IFERROR(__xludf.DUMMYFUNCTION("""COMPUTED_VALUE"""),"cas_hmw")</f>
        <v>cas_hmw</v>
      </c>
      <c r="B19902" s="5">
        <f>IFERROR(__xludf.DUMMYFUNCTION("""COMPUTED_VALUE"""),44781.0)</f>
        <v>44781</v>
      </c>
      <c r="C19902" s="6">
        <f>IFERROR(__xludf.DUMMYFUNCTION("""COMPUTED_VALUE"""),0.31971064814933925)</f>
        <v>0.3197106481</v>
      </c>
      <c r="D19902" s="4">
        <f>IFERROR(__xludf.DUMMYFUNCTION("""COMPUTED_VALUE"""),13.015085)</f>
        <v>13.015085</v>
      </c>
      <c r="E19902" s="4">
        <f>IFERROR(__xludf.DUMMYFUNCTION("""COMPUTED_VALUE"""),80.225984)</f>
        <v>80.225984</v>
      </c>
      <c r="F19902" s="4">
        <f>IFERROR(__xludf.DUMMYFUNCTION("""COMPUTED_VALUE"""),5339.0)</f>
        <v>5339</v>
      </c>
      <c r="G19902" s="4">
        <f>IFERROR(__xludf.DUMMYFUNCTION("""COMPUTED_VALUE"""),14.0)</f>
        <v>14</v>
      </c>
      <c r="H19902" s="4"/>
      <c r="I19902" s="4"/>
    </row>
    <row r="19903">
      <c r="A19903" s="4" t="str">
        <f>IFERROR(__xludf.DUMMYFUNCTION("""COMPUTED_VALUE"""),"cas_hmw")</f>
        <v>cas_hmw</v>
      </c>
      <c r="B19903" s="5">
        <f>IFERROR(__xludf.DUMMYFUNCTION("""COMPUTED_VALUE"""),44781.0)</f>
        <v>44781</v>
      </c>
      <c r="C19903" s="6">
        <f>IFERROR(__xludf.DUMMYFUNCTION("""COMPUTED_VALUE"""),0.31971064814933925)</f>
        <v>0.3197106481</v>
      </c>
      <c r="D19903" s="4">
        <f>IFERROR(__xludf.DUMMYFUNCTION("""COMPUTED_VALUE"""),13.015085)</f>
        <v>13.015085</v>
      </c>
      <c r="E19903" s="4">
        <f>IFERROR(__xludf.DUMMYFUNCTION("""COMPUTED_VALUE"""),80.225984)</f>
        <v>80.225984</v>
      </c>
      <c r="F19903" s="4">
        <f>IFERROR(__xludf.DUMMYFUNCTION("""COMPUTED_VALUE"""),5339.0)</f>
        <v>5339</v>
      </c>
      <c r="G19903" s="4">
        <f>IFERROR(__xludf.DUMMYFUNCTION("""COMPUTED_VALUE"""),14.0)</f>
        <v>14</v>
      </c>
      <c r="H19903" s="4"/>
      <c r="I19903" s="4"/>
    </row>
    <row r="19904">
      <c r="A19904" s="4" t="str">
        <f>IFERROR(__xludf.DUMMYFUNCTION("""COMPUTED_VALUE"""),"cas_hmw")</f>
        <v>cas_hmw</v>
      </c>
      <c r="B19904" s="5">
        <f>IFERROR(__xludf.DUMMYFUNCTION("""COMPUTED_VALUE"""),44781.0)</f>
        <v>44781</v>
      </c>
      <c r="C19904" s="6">
        <f>IFERROR(__xludf.DUMMYFUNCTION("""COMPUTED_VALUE"""),0.31984953703795327)</f>
        <v>0.319849537</v>
      </c>
      <c r="D19904" s="4">
        <f>IFERROR(__xludf.DUMMYFUNCTION("""COMPUTED_VALUE"""),13.014543)</f>
        <v>13.014543</v>
      </c>
      <c r="E19904" s="4">
        <f>IFERROR(__xludf.DUMMYFUNCTION("""COMPUTED_VALUE"""),80.226201)</f>
        <v>80.226201</v>
      </c>
      <c r="F19904" s="4">
        <f>IFERROR(__xludf.DUMMYFUNCTION("""COMPUTED_VALUE"""),5339.0)</f>
        <v>5339</v>
      </c>
      <c r="G19904" s="4">
        <f>IFERROR(__xludf.DUMMYFUNCTION("""COMPUTED_VALUE"""),29.0)</f>
        <v>29</v>
      </c>
      <c r="H19904" s="4"/>
      <c r="I19904" s="4"/>
    </row>
    <row r="19905">
      <c r="A19905" s="4" t="str">
        <f>IFERROR(__xludf.DUMMYFUNCTION("""COMPUTED_VALUE"""),"cas_hmw")</f>
        <v>cas_hmw</v>
      </c>
      <c r="B19905" s="5">
        <f>IFERROR(__xludf.DUMMYFUNCTION("""COMPUTED_VALUE"""),44781.0)</f>
        <v>44781</v>
      </c>
      <c r="C19905" s="6">
        <f>IFERROR(__xludf.DUMMYFUNCTION("""COMPUTED_VALUE"""),0.3199074074072996)</f>
        <v>0.3199074074</v>
      </c>
      <c r="D19905" s="4">
        <f>IFERROR(__xludf.DUMMYFUNCTION("""COMPUTED_VALUE"""),13.013971)</f>
        <v>13.013971</v>
      </c>
      <c r="E19905" s="4">
        <f>IFERROR(__xludf.DUMMYFUNCTION("""COMPUTED_VALUE"""),80.226414)</f>
        <v>80.226414</v>
      </c>
      <c r="F19905" s="4">
        <f>IFERROR(__xludf.DUMMYFUNCTION("""COMPUTED_VALUE"""),5339.0)</f>
        <v>5339</v>
      </c>
      <c r="G19905" s="4">
        <f>IFERROR(__xludf.DUMMYFUNCTION("""COMPUTED_VALUE"""),34.0)</f>
        <v>34</v>
      </c>
      <c r="H19905" s="4"/>
      <c r="I19905" s="4"/>
    </row>
    <row r="19906">
      <c r="A19906" s="4" t="str">
        <f>IFERROR(__xludf.DUMMYFUNCTION("""COMPUTED_VALUE"""),"cas_hmw")</f>
        <v>cas_hmw</v>
      </c>
      <c r="B19906" s="5">
        <f>IFERROR(__xludf.DUMMYFUNCTION("""COMPUTED_VALUE"""),44781.0)</f>
        <v>44781</v>
      </c>
      <c r="C19906" s="6">
        <f>IFERROR(__xludf.DUMMYFUNCTION("""COMPUTED_VALUE"""),0.32008101851897663)</f>
        <v>0.3200810185</v>
      </c>
      <c r="D19906" s="4">
        <f>IFERROR(__xludf.DUMMYFUNCTION("""COMPUTED_VALUE"""),13.012979)</f>
        <v>13.012979</v>
      </c>
      <c r="E19906" s="4">
        <f>IFERROR(__xludf.DUMMYFUNCTION("""COMPUTED_VALUE"""),80.226772)</f>
        <v>80.226772</v>
      </c>
      <c r="F19906" s="4">
        <f>IFERROR(__xludf.DUMMYFUNCTION("""COMPUTED_VALUE"""),5339.0)</f>
        <v>5339</v>
      </c>
      <c r="G19906" s="4">
        <f>IFERROR(__xludf.DUMMYFUNCTION("""COMPUTED_VALUE"""),38.0)</f>
        <v>38</v>
      </c>
      <c r="H19906" s="4"/>
      <c r="I19906" s="4"/>
    </row>
    <row r="19907">
      <c r="A19907" s="4" t="str">
        <f>IFERROR(__xludf.DUMMYFUNCTION("""COMPUTED_VALUE"""),"cas_hmw")</f>
        <v>cas_hmw</v>
      </c>
      <c r="B19907" s="5">
        <f>IFERROR(__xludf.DUMMYFUNCTION("""COMPUTED_VALUE"""),44781.0)</f>
        <v>44781</v>
      </c>
      <c r="C19907" s="6">
        <f>IFERROR(__xludf.DUMMYFUNCTION("""COMPUTED_VALUE"""),0.320173611111386)</f>
        <v>0.3201736111</v>
      </c>
      <c r="D19907" s="4">
        <f>IFERROR(__xludf.DUMMYFUNCTION("""COMPUTED_VALUE"""),13.011964)</f>
        <v>13.011964</v>
      </c>
      <c r="E19907" s="4">
        <f>IFERROR(__xludf.DUMMYFUNCTION("""COMPUTED_VALUE"""),80.227184)</f>
        <v>80.227184</v>
      </c>
      <c r="F19907" s="4">
        <f>IFERROR(__xludf.DUMMYFUNCTION("""COMPUTED_VALUE"""),5339.0)</f>
        <v>5339</v>
      </c>
      <c r="G19907" s="4">
        <f>IFERROR(__xludf.DUMMYFUNCTION("""COMPUTED_VALUE"""),38.0)</f>
        <v>38</v>
      </c>
      <c r="H19907" s="4"/>
      <c r="I19907" s="4"/>
    </row>
    <row r="19908">
      <c r="A19908" s="4" t="str">
        <f>IFERROR(__xludf.DUMMYFUNCTION("""COMPUTED_VALUE"""),"cas_hmw")</f>
        <v>cas_hmw</v>
      </c>
      <c r="B19908" s="5">
        <f>IFERROR(__xludf.DUMMYFUNCTION("""COMPUTED_VALUE"""),44781.0)</f>
        <v>44781</v>
      </c>
      <c r="C19908" s="6">
        <f>IFERROR(__xludf.DUMMYFUNCTION("""COMPUTED_VALUE"""),0.32018518518452765)</f>
        <v>0.3201851852</v>
      </c>
      <c r="D19908" s="4">
        <f>IFERROR(__xludf.DUMMYFUNCTION("""COMPUTED_VALUE"""),13.011964)</f>
        <v>13.011964</v>
      </c>
      <c r="E19908" s="4">
        <f>IFERROR(__xludf.DUMMYFUNCTION("""COMPUTED_VALUE"""),80.227184)</f>
        <v>80.227184</v>
      </c>
      <c r="F19908" s="4">
        <f>IFERROR(__xludf.DUMMYFUNCTION("""COMPUTED_VALUE"""),5339.0)</f>
        <v>5339</v>
      </c>
      <c r="G19908" s="4">
        <f>IFERROR(__xludf.DUMMYFUNCTION("""COMPUTED_VALUE"""),38.0)</f>
        <v>38</v>
      </c>
      <c r="H19908" s="4"/>
      <c r="I19908" s="4"/>
    </row>
    <row r="19909">
      <c r="A19909" s="4" t="str">
        <f>IFERROR(__xludf.DUMMYFUNCTION("""COMPUTED_VALUE"""),"cas_hmw")</f>
        <v>cas_hmw</v>
      </c>
      <c r="B19909" s="5">
        <f>IFERROR(__xludf.DUMMYFUNCTION("""COMPUTED_VALUE"""),44781.0)</f>
        <v>44781</v>
      </c>
      <c r="C19909" s="6">
        <f>IFERROR(__xludf.DUMMYFUNCTION("""COMPUTED_VALUE"""),0.32052083333474)</f>
        <v>0.3205208333</v>
      </c>
      <c r="D19909" s="4">
        <f>IFERROR(__xludf.DUMMYFUNCTION("""COMPUTED_VALUE"""),12.68633)</f>
        <v>12.68633</v>
      </c>
      <c r="E19909" s="4">
        <f>IFERROR(__xludf.DUMMYFUNCTION("""COMPUTED_VALUE"""),79.983379)</f>
        <v>79.983379</v>
      </c>
      <c r="F19909" s="4">
        <f>IFERROR(__xludf.DUMMYFUNCTION("""COMPUTED_VALUE"""),2846.0)</f>
        <v>2846</v>
      </c>
      <c r="G19909" s="4">
        <f>IFERROR(__xludf.DUMMYFUNCTION("""COMPUTED_VALUE"""),30.0)</f>
        <v>30</v>
      </c>
      <c r="H19909" s="4"/>
      <c r="I19909" s="4"/>
    </row>
    <row r="19910">
      <c r="A19910" s="4" t="str">
        <f>IFERROR(__xludf.DUMMYFUNCTION("""COMPUTED_VALUE"""),"cas_hmw")</f>
        <v>cas_hmw</v>
      </c>
      <c r="B19910" s="5">
        <f>IFERROR(__xludf.DUMMYFUNCTION("""COMPUTED_VALUE"""),44781.0)</f>
        <v>44781</v>
      </c>
      <c r="C19910" s="6">
        <f>IFERROR(__xludf.DUMMYFUNCTION("""COMPUTED_VALUE"""),0.322962962964084)</f>
        <v>0.322962963</v>
      </c>
      <c r="D19910" s="4">
        <f>IFERROR(__xludf.DUMMYFUNCTION("""COMPUTED_VALUE"""),13.008357)</f>
        <v>13.008357</v>
      </c>
      <c r="E19910" s="4">
        <f>IFERROR(__xludf.DUMMYFUNCTION("""COMPUTED_VALUE"""),80.210159)</f>
        <v>80.210159</v>
      </c>
      <c r="F19910" s="4">
        <f>IFERROR(__xludf.DUMMYFUNCTION("""COMPUTED_VALUE"""),5339.0)</f>
        <v>5339</v>
      </c>
      <c r="G19910" s="4">
        <f>IFERROR(__xludf.DUMMYFUNCTION("""COMPUTED_VALUE"""),48.0)</f>
        <v>48</v>
      </c>
      <c r="H19910" s="4"/>
      <c r="I19910" s="4"/>
    </row>
    <row r="19911">
      <c r="A19911" s="4" t="str">
        <f>IFERROR(__xludf.DUMMYFUNCTION("""COMPUTED_VALUE"""),"cas_hmw")</f>
        <v>cas_hmw</v>
      </c>
      <c r="B19911" s="5">
        <f>IFERROR(__xludf.DUMMYFUNCTION("""COMPUTED_VALUE"""),44781.0)</f>
        <v>44781</v>
      </c>
      <c r="C19911" s="6">
        <f>IFERROR(__xludf.DUMMYFUNCTION("""COMPUTED_VALUE"""),0.32302083333343035)</f>
        <v>0.3230208333</v>
      </c>
      <c r="D19911" s="4">
        <f>IFERROR(__xludf.DUMMYFUNCTION("""COMPUTED_VALUE"""),12.691414)</f>
        <v>12.691414</v>
      </c>
      <c r="E19911" s="4">
        <f>IFERROR(__xludf.DUMMYFUNCTION("""COMPUTED_VALUE"""),79.980615)</f>
        <v>79.980615</v>
      </c>
      <c r="F19911" s="4">
        <f>IFERROR(__xludf.DUMMYFUNCTION("""COMPUTED_VALUE"""),2846.0)</f>
        <v>2846</v>
      </c>
      <c r="G19911" s="4">
        <f>IFERROR(__xludf.DUMMYFUNCTION("""COMPUTED_VALUE"""),11.0)</f>
        <v>11</v>
      </c>
      <c r="H19911" s="4"/>
      <c r="I19911" s="4"/>
    </row>
    <row r="19912">
      <c r="A19912" s="4" t="str">
        <f>IFERROR(__xludf.DUMMYFUNCTION("""COMPUTED_VALUE"""),"cas_hmw")</f>
        <v>cas_hmw</v>
      </c>
      <c r="B19912" s="5">
        <f>IFERROR(__xludf.DUMMYFUNCTION("""COMPUTED_VALUE"""),44781.0)</f>
        <v>44781</v>
      </c>
      <c r="C19912" s="6">
        <f>IFERROR(__xludf.DUMMYFUNCTION("""COMPUTED_VALUE"""),0.32331018518380006)</f>
        <v>0.3233101852</v>
      </c>
      <c r="D19912" s="4">
        <f>IFERROR(__xludf.DUMMYFUNCTION("""COMPUTED_VALUE"""),13.007688)</f>
        <v>13.007688</v>
      </c>
      <c r="E19912" s="4">
        <f>IFERROR(__xludf.DUMMYFUNCTION("""COMPUTED_VALUE"""),80.206846)</f>
        <v>80.206846</v>
      </c>
      <c r="F19912" s="4">
        <f>IFERROR(__xludf.DUMMYFUNCTION("""COMPUTED_VALUE"""),5339.0)</f>
        <v>5339</v>
      </c>
      <c r="G19912" s="4">
        <f>IFERROR(__xludf.DUMMYFUNCTION("""COMPUTED_VALUE"""),41.0)</f>
        <v>41</v>
      </c>
      <c r="H19912" s="4"/>
      <c r="I19912" s="4"/>
    </row>
    <row r="19913">
      <c r="A19913" s="4" t="str">
        <f>IFERROR(__xludf.DUMMYFUNCTION("""COMPUTED_VALUE"""),"cas_hmw")</f>
        <v>cas_hmw</v>
      </c>
      <c r="B19913" s="5">
        <f>IFERROR(__xludf.DUMMYFUNCTION("""COMPUTED_VALUE"""),44781.0)</f>
        <v>44781</v>
      </c>
      <c r="C19913" s="6">
        <f>IFERROR(__xludf.DUMMYFUNCTION("""COMPUTED_VALUE"""),0.3233217592605797)</f>
        <v>0.3233217593</v>
      </c>
      <c r="D19913" s="4">
        <f>IFERROR(__xludf.DUMMYFUNCTION("""COMPUTED_VALUE"""),13.006453)</f>
        <v>13.006453</v>
      </c>
      <c r="E19913" s="4">
        <f>IFERROR(__xludf.DUMMYFUNCTION("""COMPUTED_VALUE"""),80.256568)</f>
        <v>80.256568</v>
      </c>
      <c r="F19913" s="4">
        <f>IFERROR(__xludf.DUMMYFUNCTION("""COMPUTED_VALUE"""),805.0)</f>
        <v>805</v>
      </c>
      <c r="G19913" s="4">
        <f>IFERROR(__xludf.DUMMYFUNCTION("""COMPUTED_VALUE"""),34.0)</f>
        <v>34</v>
      </c>
      <c r="H19913" s="4"/>
      <c r="I19913" s="4"/>
    </row>
    <row r="19914">
      <c r="A19914" s="4" t="str">
        <f>IFERROR(__xludf.DUMMYFUNCTION("""COMPUTED_VALUE"""),"cas_hmw")</f>
        <v>cas_hmw</v>
      </c>
      <c r="B19914" s="5">
        <f>IFERROR(__xludf.DUMMYFUNCTION("""COMPUTED_VALUE"""),44781.0)</f>
        <v>44781</v>
      </c>
      <c r="C19914" s="6">
        <f>IFERROR(__xludf.DUMMYFUNCTION("""COMPUTED_VALUE"""),0.3233217592605797)</f>
        <v>0.3233217593</v>
      </c>
      <c r="D19914" s="4">
        <f>IFERROR(__xludf.DUMMYFUNCTION("""COMPUTED_VALUE"""),13.007688)</f>
        <v>13.007688</v>
      </c>
      <c r="E19914" s="4">
        <f>IFERROR(__xludf.DUMMYFUNCTION("""COMPUTED_VALUE"""),80.206846)</f>
        <v>80.206846</v>
      </c>
      <c r="F19914" s="4">
        <f>IFERROR(__xludf.DUMMYFUNCTION("""COMPUTED_VALUE"""),5339.0)</f>
        <v>5339</v>
      </c>
      <c r="G19914" s="4">
        <f>IFERROR(__xludf.DUMMYFUNCTION("""COMPUTED_VALUE"""),41.0)</f>
        <v>41</v>
      </c>
      <c r="H19914" s="4"/>
      <c r="I19914" s="4"/>
    </row>
    <row r="19915">
      <c r="A19915" s="4" t="str">
        <f>IFERROR(__xludf.DUMMYFUNCTION("""COMPUTED_VALUE"""),"cas_hmw")</f>
        <v>cas_hmw</v>
      </c>
      <c r="B19915" s="5">
        <f>IFERROR(__xludf.DUMMYFUNCTION("""COMPUTED_VALUE"""),44781.0)</f>
        <v>44781</v>
      </c>
      <c r="C19915" s="6">
        <f>IFERROR(__xludf.DUMMYFUNCTION("""COMPUTED_VALUE"""),0.3234722222223354)</f>
        <v>0.3234722222</v>
      </c>
      <c r="D19915" s="4">
        <f>IFERROR(__xludf.DUMMYFUNCTION("""COMPUTED_VALUE"""),13.006494)</f>
        <v>13.006494</v>
      </c>
      <c r="E19915" s="4">
        <f>IFERROR(__xludf.DUMMYFUNCTION("""COMPUTED_VALUE"""),80.25486)</f>
        <v>80.25486</v>
      </c>
      <c r="F19915" s="4">
        <f>IFERROR(__xludf.DUMMYFUNCTION("""COMPUTED_VALUE"""),805.0)</f>
        <v>805</v>
      </c>
      <c r="G19915" s="4">
        <f>IFERROR(__xludf.DUMMYFUNCTION("""COMPUTED_VALUE"""),43.0)</f>
        <v>43</v>
      </c>
      <c r="H19915" s="4"/>
      <c r="I19915" s="4"/>
    </row>
    <row r="19916">
      <c r="A19916" s="4" t="str">
        <f>IFERROR(__xludf.DUMMYFUNCTION("""COMPUTED_VALUE"""),"cas_hmw")</f>
        <v>cas_hmw</v>
      </c>
      <c r="B19916" s="5">
        <f>IFERROR(__xludf.DUMMYFUNCTION("""COMPUTED_VALUE"""),44781.0)</f>
        <v>44781</v>
      </c>
      <c r="C19916" s="6">
        <f>IFERROR(__xludf.DUMMYFUNCTION("""COMPUTED_VALUE"""),0.3238078703689098)</f>
        <v>0.3238078704</v>
      </c>
      <c r="D19916" s="4">
        <f>IFERROR(__xludf.DUMMYFUNCTION("""COMPUTED_VALUE"""),12.692063)</f>
        <v>12.692063</v>
      </c>
      <c r="E19916" s="4">
        <f>IFERROR(__xludf.DUMMYFUNCTION("""COMPUTED_VALUE"""),79.980092)</f>
        <v>79.980092</v>
      </c>
      <c r="F19916" s="4">
        <f>IFERROR(__xludf.DUMMYFUNCTION("""COMPUTED_VALUE"""),2846.0)</f>
        <v>2846</v>
      </c>
      <c r="G19916" s="4">
        <f>IFERROR(__xludf.DUMMYFUNCTION("""COMPUTED_VALUE"""),28.0)</f>
        <v>28</v>
      </c>
      <c r="H19916" s="4"/>
      <c r="I19916" s="4"/>
    </row>
    <row r="19917">
      <c r="A19917" s="4" t="str">
        <f>IFERROR(__xludf.DUMMYFUNCTION("""COMPUTED_VALUE"""),"cas_hmw")</f>
        <v>cas_hmw</v>
      </c>
      <c r="B19917" s="5">
        <f>IFERROR(__xludf.DUMMYFUNCTION("""COMPUTED_VALUE"""),44781.0)</f>
        <v>44781</v>
      </c>
      <c r="C19917" s="6">
        <f>IFERROR(__xludf.DUMMYFUNCTION("""COMPUTED_VALUE"""),0.3242129629616102)</f>
        <v>0.324212963</v>
      </c>
      <c r="D19917" s="4">
        <f>IFERROR(__xludf.DUMMYFUNCTION("""COMPUTED_VALUE"""),13.002666)</f>
        <v>13.002666</v>
      </c>
      <c r="E19917" s="4">
        <f>IFERROR(__xludf.DUMMYFUNCTION("""COMPUTED_VALUE"""),80.200719)</f>
        <v>80.200719</v>
      </c>
      <c r="F19917" s="4">
        <f>IFERROR(__xludf.DUMMYFUNCTION("""COMPUTED_VALUE"""),5339.0)</f>
        <v>5339</v>
      </c>
      <c r="G19917" s="4">
        <f>IFERROR(__xludf.DUMMYFUNCTION("""COMPUTED_VALUE"""),48.0)</f>
        <v>48</v>
      </c>
      <c r="H19917" s="4"/>
      <c r="I19917" s="4"/>
    </row>
    <row r="19918">
      <c r="A19918" s="4" t="str">
        <f>IFERROR(__xludf.DUMMYFUNCTION("""COMPUTED_VALUE"""),"cas_hmw")</f>
        <v>cas_hmw</v>
      </c>
      <c r="B19918" s="5">
        <f>IFERROR(__xludf.DUMMYFUNCTION("""COMPUTED_VALUE"""),44781.0)</f>
        <v>44781</v>
      </c>
      <c r="C19918" s="6">
        <f>IFERROR(__xludf.DUMMYFUNCTION("""COMPUTED_VALUE"""),0.3248148148159089)</f>
        <v>0.3248148148</v>
      </c>
      <c r="D19918" s="4">
        <f>IFERROR(__xludf.DUMMYFUNCTION("""COMPUTED_VALUE"""),13.001642)</f>
        <v>13.001642</v>
      </c>
      <c r="E19918" s="4">
        <f>IFERROR(__xludf.DUMMYFUNCTION("""COMPUTED_VALUE"""),80.196336)</f>
        <v>80.196336</v>
      </c>
      <c r="F19918" s="4">
        <f>IFERROR(__xludf.DUMMYFUNCTION("""COMPUTED_VALUE"""),5339.0)</f>
        <v>5339</v>
      </c>
      <c r="G19918" s="4">
        <f>IFERROR(__xludf.DUMMYFUNCTION("""COMPUTED_VALUE"""),24.0)</f>
        <v>24</v>
      </c>
      <c r="H19918" s="4"/>
      <c r="I19918" s="4"/>
    </row>
    <row r="19919">
      <c r="A19919" s="4" t="str">
        <f>IFERROR(__xludf.DUMMYFUNCTION("""COMPUTED_VALUE"""),"cas_hmw")</f>
        <v>cas_hmw</v>
      </c>
      <c r="B19919" s="5">
        <f>IFERROR(__xludf.DUMMYFUNCTION("""COMPUTED_VALUE"""),44781.0)</f>
        <v>44781</v>
      </c>
      <c r="C19919" s="6">
        <f>IFERROR(__xludf.DUMMYFUNCTION("""COMPUTED_VALUE"""),0.32483796296219225)</f>
        <v>0.324837963</v>
      </c>
      <c r="D19919" s="4">
        <f>IFERROR(__xludf.DUMMYFUNCTION("""COMPUTED_VALUE"""),13.001642)</f>
        <v>13.001642</v>
      </c>
      <c r="E19919" s="4">
        <f>IFERROR(__xludf.DUMMYFUNCTION("""COMPUTED_VALUE"""),80.196336)</f>
        <v>80.196336</v>
      </c>
      <c r="F19919" s="4">
        <f>IFERROR(__xludf.DUMMYFUNCTION("""COMPUTED_VALUE"""),5339.0)</f>
        <v>5339</v>
      </c>
      <c r="G19919" s="4">
        <f>IFERROR(__xludf.DUMMYFUNCTION("""COMPUTED_VALUE"""),24.0)</f>
        <v>24</v>
      </c>
      <c r="H19919" s="4"/>
      <c r="I19919" s="4"/>
    </row>
    <row r="19920">
      <c r="A19920" s="4" t="str">
        <f>IFERROR(__xludf.DUMMYFUNCTION("""COMPUTED_VALUE"""),"cas_hmw")</f>
        <v>cas_hmw</v>
      </c>
      <c r="B19920" s="5">
        <f>IFERROR(__xludf.DUMMYFUNCTION("""COMPUTED_VALUE"""),44781.0)</f>
        <v>44781</v>
      </c>
      <c r="C19920" s="6">
        <f>IFERROR(__xludf.DUMMYFUNCTION("""COMPUTED_VALUE"""),0.32494212963138125)</f>
        <v>0.3249421296</v>
      </c>
      <c r="D19920" s="4">
        <f>IFERROR(__xludf.DUMMYFUNCTION("""COMPUTED_VALUE"""),13.001202)</f>
        <v>13.001202</v>
      </c>
      <c r="E19920" s="4">
        <f>IFERROR(__xludf.DUMMYFUNCTION("""COMPUTED_VALUE"""),80.195734)</f>
        <v>80.195734</v>
      </c>
      <c r="F19920" s="4">
        <f>IFERROR(__xludf.DUMMYFUNCTION("""COMPUTED_VALUE"""),5339.0)</f>
        <v>5339</v>
      </c>
      <c r="G19920" s="4">
        <f>IFERROR(__xludf.DUMMYFUNCTION("""COMPUTED_VALUE"""),31.0)</f>
        <v>31</v>
      </c>
      <c r="H19920" s="4"/>
      <c r="I19920" s="4"/>
    </row>
    <row r="19921">
      <c r="A19921" s="4" t="str">
        <f>IFERROR(__xludf.DUMMYFUNCTION("""COMPUTED_VALUE"""),"cas_hmw")</f>
        <v>cas_hmw</v>
      </c>
      <c r="B19921" s="5">
        <f>IFERROR(__xludf.DUMMYFUNCTION("""COMPUTED_VALUE"""),44781.0)</f>
        <v>44781</v>
      </c>
      <c r="C19921" s="6">
        <f>IFERROR(__xludf.DUMMYFUNCTION("""COMPUTED_VALUE"""),0.3259375000016007)</f>
        <v>0.3259375</v>
      </c>
      <c r="D19921" s="4">
        <f>IFERROR(__xludf.DUMMYFUNCTION("""COMPUTED_VALUE"""),13.006669)</f>
        <v>13.006669</v>
      </c>
      <c r="E19921" s="4">
        <f>IFERROR(__xludf.DUMMYFUNCTION("""COMPUTED_VALUE"""),80.243609)</f>
        <v>80.243609</v>
      </c>
      <c r="F19921" s="4">
        <f>IFERROR(__xludf.DUMMYFUNCTION("""COMPUTED_VALUE"""),805.0)</f>
        <v>805</v>
      </c>
      <c r="G19921" s="4">
        <f>IFERROR(__xludf.DUMMYFUNCTION("""COMPUTED_VALUE"""),22.0)</f>
        <v>22</v>
      </c>
      <c r="H19921" s="4"/>
      <c r="I19921" s="4"/>
    </row>
    <row r="19922">
      <c r="A19922" s="4" t="str">
        <f>IFERROR(__xludf.DUMMYFUNCTION("""COMPUTED_VALUE"""),"cas_hmw")</f>
        <v>cas_hmw</v>
      </c>
      <c r="B19922" s="5">
        <f>IFERROR(__xludf.DUMMYFUNCTION("""COMPUTED_VALUE"""),44781.0)</f>
        <v>44781</v>
      </c>
      <c r="C19922" s="6">
        <f>IFERROR(__xludf.DUMMYFUNCTION("""COMPUTED_VALUE"""),0.3268055555563478)</f>
        <v>0.3268055556</v>
      </c>
      <c r="D19922" s="4">
        <f>IFERROR(__xludf.DUMMYFUNCTION("""COMPUTED_VALUE"""),13.007554)</f>
        <v>13.007554</v>
      </c>
      <c r="E19922" s="4">
        <f>IFERROR(__xludf.DUMMYFUNCTION("""COMPUTED_VALUE"""),80.236626)</f>
        <v>80.236626</v>
      </c>
      <c r="F19922" s="4">
        <f>IFERROR(__xludf.DUMMYFUNCTION("""COMPUTED_VALUE"""),805.0)</f>
        <v>805</v>
      </c>
      <c r="G19922" s="4">
        <f>IFERROR(__xludf.DUMMYFUNCTION("""COMPUTED_VALUE"""),54.0)</f>
        <v>54</v>
      </c>
      <c r="H19922" s="4"/>
      <c r="I19922" s="4"/>
    </row>
    <row r="19923">
      <c r="A19923" s="4" t="str">
        <f>IFERROR(__xludf.DUMMYFUNCTION("""COMPUTED_VALUE"""),"cas_hmw")</f>
        <v>cas_hmw</v>
      </c>
      <c r="B19923" s="5">
        <f>IFERROR(__xludf.DUMMYFUNCTION("""COMPUTED_VALUE"""),44781.0)</f>
        <v>44781</v>
      </c>
      <c r="C19923" s="6">
        <f>IFERROR(__xludf.DUMMYFUNCTION("""COMPUTED_VALUE"""),0.3270370370373712)</f>
        <v>0.327037037</v>
      </c>
      <c r="D19923" s="4">
        <f>IFERROR(__xludf.DUMMYFUNCTION("""COMPUTED_VALUE"""),13.00794)</f>
        <v>13.00794</v>
      </c>
      <c r="E19923" s="4">
        <f>IFERROR(__xludf.DUMMYFUNCTION("""COMPUTED_VALUE"""),80.234612)</f>
        <v>80.234612</v>
      </c>
      <c r="F19923" s="4">
        <f>IFERROR(__xludf.DUMMYFUNCTION("""COMPUTED_VALUE"""),805.0)</f>
        <v>805</v>
      </c>
      <c r="G19923" s="4">
        <f>IFERROR(__xludf.DUMMYFUNCTION("""COMPUTED_VALUE"""),42.0)</f>
        <v>42</v>
      </c>
      <c r="H19923" s="4"/>
      <c r="I19923" s="4"/>
    </row>
    <row r="19924">
      <c r="A19924" s="4" t="str">
        <f>IFERROR(__xludf.DUMMYFUNCTION("""COMPUTED_VALUE"""),"cas_hmw")</f>
        <v>cas_hmw</v>
      </c>
      <c r="B19924" s="5">
        <f>IFERROR(__xludf.DUMMYFUNCTION("""COMPUTED_VALUE"""),44781.0)</f>
        <v>44781</v>
      </c>
      <c r="C19924" s="6">
        <f>IFERROR(__xludf.DUMMYFUNCTION("""COMPUTED_VALUE"""),0.3271759259259852)</f>
        <v>0.3271759259</v>
      </c>
      <c r="D19924" s="4">
        <f>IFERROR(__xludf.DUMMYFUNCTION("""COMPUTED_VALUE"""),13.008304)</f>
        <v>13.008304</v>
      </c>
      <c r="E19924" s="4">
        <f>IFERROR(__xludf.DUMMYFUNCTION("""COMPUTED_VALUE"""),80.232804)</f>
        <v>80.232804</v>
      </c>
      <c r="F19924" s="4">
        <f>IFERROR(__xludf.DUMMYFUNCTION("""COMPUTED_VALUE"""),805.0)</f>
        <v>805</v>
      </c>
      <c r="G19924" s="4">
        <f>IFERROR(__xludf.DUMMYFUNCTION("""COMPUTED_VALUE"""),54.0)</f>
        <v>54</v>
      </c>
      <c r="H19924" s="4"/>
      <c r="I19924" s="4"/>
    </row>
    <row r="19925">
      <c r="A19925" s="4" t="str">
        <f>IFERROR(__xludf.DUMMYFUNCTION("""COMPUTED_VALUE"""),"cas_hmw")</f>
        <v>cas_hmw</v>
      </c>
      <c r="B19925" s="5">
        <f>IFERROR(__xludf.DUMMYFUNCTION("""COMPUTED_VALUE"""),44781.0)</f>
        <v>44781</v>
      </c>
      <c r="C19925" s="6">
        <f>IFERROR(__xludf.DUMMYFUNCTION("""COMPUTED_VALUE"""),0.3274074074070086)</f>
        <v>0.3274074074</v>
      </c>
      <c r="D19925" s="4">
        <f>IFERROR(__xludf.DUMMYFUNCTION("""COMPUTED_VALUE"""),12.993682)</f>
        <v>12.993682</v>
      </c>
      <c r="E19925" s="4">
        <f>IFERROR(__xludf.DUMMYFUNCTION("""COMPUTED_VALUE"""),80.184984)</f>
        <v>80.184984</v>
      </c>
      <c r="F19925" s="4">
        <f>IFERROR(__xludf.DUMMYFUNCTION("""COMPUTED_VALUE"""),5339.0)</f>
        <v>5339</v>
      </c>
      <c r="G19925" s="4">
        <f>IFERROR(__xludf.DUMMYFUNCTION("""COMPUTED_VALUE"""),30.0)</f>
        <v>30</v>
      </c>
      <c r="H19925" s="4"/>
      <c r="I19925" s="4"/>
    </row>
    <row r="19926">
      <c r="A19926" s="4" t="str">
        <f>IFERROR(__xludf.DUMMYFUNCTION("""COMPUTED_VALUE"""),"cas_hmw")</f>
        <v>cas_hmw</v>
      </c>
      <c r="B19926" s="5">
        <f>IFERROR(__xludf.DUMMYFUNCTION("""COMPUTED_VALUE"""),44781.0)</f>
        <v>44781</v>
      </c>
      <c r="C19926" s="6">
        <f>IFERROR(__xludf.DUMMYFUNCTION("""COMPUTED_VALUE"""),0.3274305555569299)</f>
        <v>0.3274305556</v>
      </c>
      <c r="D19926" s="4">
        <f>IFERROR(__xludf.DUMMYFUNCTION("""COMPUTED_VALUE"""),12.703321)</f>
        <v>12.703321</v>
      </c>
      <c r="E19926" s="4">
        <f>IFERROR(__xludf.DUMMYFUNCTION("""COMPUTED_VALUE"""),79.97151)</f>
        <v>79.97151</v>
      </c>
      <c r="F19926" s="4">
        <f>IFERROR(__xludf.DUMMYFUNCTION("""COMPUTED_VALUE"""),2846.0)</f>
        <v>2846</v>
      </c>
      <c r="G19926" s="4">
        <f>IFERROR(__xludf.DUMMYFUNCTION("""COMPUTED_VALUE"""),47.0)</f>
        <v>47</v>
      </c>
      <c r="H19926" s="4"/>
      <c r="I19926" s="4"/>
    </row>
    <row r="19927">
      <c r="A19927" s="4" t="str">
        <f>IFERROR(__xludf.DUMMYFUNCTION("""COMPUTED_VALUE"""),"cas_hmw")</f>
        <v>cas_hmw</v>
      </c>
      <c r="B19927" s="5">
        <f>IFERROR(__xludf.DUMMYFUNCTION("""COMPUTED_VALUE"""),44781.0)</f>
        <v>44781</v>
      </c>
      <c r="C19927" s="6">
        <f>IFERROR(__xludf.DUMMYFUNCTION("""COMPUTED_VALUE"""),0.3280439814807323)</f>
        <v>0.3280439815</v>
      </c>
      <c r="D19927" s="4">
        <f>IFERROR(__xludf.DUMMYFUNCTION("""COMPUTED_VALUE"""),13.011294)</f>
        <v>13.011294</v>
      </c>
      <c r="E19927" s="4">
        <f>IFERROR(__xludf.DUMMYFUNCTION("""COMPUTED_VALUE"""),80.223416)</f>
        <v>80.223416</v>
      </c>
      <c r="F19927" s="4">
        <f>IFERROR(__xludf.DUMMYFUNCTION("""COMPUTED_VALUE"""),805.0)</f>
        <v>805</v>
      </c>
      <c r="G19927" s="4">
        <f>IFERROR(__xludf.DUMMYFUNCTION("""COMPUTED_VALUE"""),15.0)</f>
        <v>15</v>
      </c>
      <c r="H19927" s="4"/>
      <c r="I19927" s="4"/>
    </row>
    <row r="19928">
      <c r="A19928" s="4" t="str">
        <f>IFERROR(__xludf.DUMMYFUNCTION("""COMPUTED_VALUE"""),"cas_hmw")</f>
        <v>cas_hmw</v>
      </c>
      <c r="B19928" s="5">
        <f>IFERROR(__xludf.DUMMYFUNCTION("""COMPUTED_VALUE"""),44781.0)</f>
        <v>44781</v>
      </c>
      <c r="C19928" s="6">
        <f>IFERROR(__xludf.DUMMYFUNCTION("""COMPUTED_VALUE"""),0.32839120370408637)</f>
        <v>0.3283912037</v>
      </c>
      <c r="D19928" s="4">
        <f>IFERROR(__xludf.DUMMYFUNCTION("""COMPUTED_VALUE"""),12.709826)</f>
        <v>12.709826</v>
      </c>
      <c r="E19928" s="4">
        <f>IFERROR(__xludf.DUMMYFUNCTION("""COMPUTED_VALUE"""),79.977738)</f>
        <v>79.977738</v>
      </c>
      <c r="F19928" s="4">
        <f>IFERROR(__xludf.DUMMYFUNCTION("""COMPUTED_VALUE"""),2846.0)</f>
        <v>2846</v>
      </c>
      <c r="G19928" s="4">
        <f>IFERROR(__xludf.DUMMYFUNCTION("""COMPUTED_VALUE"""),45.0)</f>
        <v>45</v>
      </c>
      <c r="H19928" s="4"/>
      <c r="I19928" s="4"/>
    </row>
    <row r="19929">
      <c r="A19929" s="4" t="str">
        <f>IFERROR(__xludf.DUMMYFUNCTION("""COMPUTED_VALUE"""),"cas_hmw")</f>
        <v>cas_hmw</v>
      </c>
      <c r="B19929" s="5">
        <f>IFERROR(__xludf.DUMMYFUNCTION("""COMPUTED_VALUE"""),44781.0)</f>
        <v>44781</v>
      </c>
      <c r="C19929" s="6">
        <f>IFERROR(__xludf.DUMMYFUNCTION("""COMPUTED_VALUE"""),0.3284953703696374)</f>
        <v>0.3284953704</v>
      </c>
      <c r="D19929" s="4">
        <f>IFERROR(__xludf.DUMMYFUNCTION("""COMPUTED_VALUE"""),13.011734)</f>
        <v>13.011734</v>
      </c>
      <c r="E19929" s="4">
        <f>IFERROR(__xludf.DUMMYFUNCTION("""COMPUTED_VALUE"""),80.222315)</f>
        <v>80.222315</v>
      </c>
      <c r="F19929" s="4">
        <f>IFERROR(__xludf.DUMMYFUNCTION("""COMPUTED_VALUE"""),805.0)</f>
        <v>805</v>
      </c>
      <c r="G19929" s="4">
        <f>IFERROR(__xludf.DUMMYFUNCTION("""COMPUTED_VALUE"""),33.0)</f>
        <v>33</v>
      </c>
      <c r="H19929" s="4"/>
      <c r="I19929" s="4"/>
    </row>
    <row r="19930">
      <c r="A19930" s="4" t="str">
        <f>IFERROR(__xludf.DUMMYFUNCTION("""COMPUTED_VALUE"""),"cas_hmw")</f>
        <v>cas_hmw</v>
      </c>
      <c r="B19930" s="5">
        <f>IFERROR(__xludf.DUMMYFUNCTION("""COMPUTED_VALUE"""),44781.0)</f>
        <v>44781</v>
      </c>
      <c r="C19930" s="6">
        <f>IFERROR(__xludf.DUMMYFUNCTION("""COMPUTED_VALUE"""),0.3285300925927004)</f>
        <v>0.3285300926</v>
      </c>
      <c r="D19930" s="4">
        <f>IFERROR(__xludf.DUMMYFUNCTION("""COMPUTED_VALUE"""),12.989594)</f>
        <v>12.989594</v>
      </c>
      <c r="E19930" s="4">
        <f>IFERROR(__xludf.DUMMYFUNCTION("""COMPUTED_VALUE"""),80.179117)</f>
        <v>80.179117</v>
      </c>
      <c r="F19930" s="4">
        <f>IFERROR(__xludf.DUMMYFUNCTION("""COMPUTED_VALUE"""),5339.0)</f>
        <v>5339</v>
      </c>
      <c r="G19930" s="4">
        <f>IFERROR(__xludf.DUMMYFUNCTION("""COMPUTED_VALUE"""),21.0)</f>
        <v>21</v>
      </c>
      <c r="H19930" s="4"/>
      <c r="I19930" s="4"/>
    </row>
    <row r="19931">
      <c r="A19931" s="4" t="str">
        <f>IFERROR(__xludf.DUMMYFUNCTION("""COMPUTED_VALUE"""),"cas_hmw")</f>
        <v>cas_hmw</v>
      </c>
      <c r="B19931" s="5">
        <f>IFERROR(__xludf.DUMMYFUNCTION("""COMPUTED_VALUE"""),44781.0)</f>
        <v>44781</v>
      </c>
      <c r="C19931" s="6">
        <f>IFERROR(__xludf.DUMMYFUNCTION("""COMPUTED_VALUE"""),0.3285648148157634)</f>
        <v>0.3285648148</v>
      </c>
      <c r="D19931" s="4">
        <f>IFERROR(__xludf.DUMMYFUNCTION("""COMPUTED_VALUE"""),12.989594)</f>
        <v>12.989594</v>
      </c>
      <c r="E19931" s="4">
        <f>IFERROR(__xludf.DUMMYFUNCTION("""COMPUTED_VALUE"""),80.179117)</f>
        <v>80.179117</v>
      </c>
      <c r="F19931" s="4">
        <f>IFERROR(__xludf.DUMMYFUNCTION("""COMPUTED_VALUE"""),5339.0)</f>
        <v>5339</v>
      </c>
      <c r="G19931" s="4">
        <f>IFERROR(__xludf.DUMMYFUNCTION("""COMPUTED_VALUE"""),21.0)</f>
        <v>21</v>
      </c>
      <c r="H19931" s="4"/>
      <c r="I19931" s="4"/>
    </row>
    <row r="19932">
      <c r="A19932" s="4" t="str">
        <f>IFERROR(__xludf.DUMMYFUNCTION("""COMPUTED_VALUE"""),"cas_hmw")</f>
        <v>cas_hmw</v>
      </c>
      <c r="B19932" s="5">
        <f>IFERROR(__xludf.DUMMYFUNCTION("""COMPUTED_VALUE"""),44781.0)</f>
        <v>44781</v>
      </c>
      <c r="C19932" s="6">
        <f>IFERROR(__xludf.DUMMYFUNCTION("""COMPUTED_VALUE"""),0.3287152777775191)</f>
        <v>0.3287152778</v>
      </c>
      <c r="D19932" s="4">
        <f>IFERROR(__xludf.DUMMYFUNCTION("""COMPUTED_VALUE"""),13.012121)</f>
        <v>13.012121</v>
      </c>
      <c r="E19932" s="4">
        <f>IFERROR(__xludf.DUMMYFUNCTION("""COMPUTED_VALUE"""),80.221205)</f>
        <v>80.221205</v>
      </c>
      <c r="F19932" s="4">
        <f>IFERROR(__xludf.DUMMYFUNCTION("""COMPUTED_VALUE"""),805.0)</f>
        <v>805</v>
      </c>
      <c r="G19932" s="4">
        <f>IFERROR(__xludf.DUMMYFUNCTION("""COMPUTED_VALUE"""),20.0)</f>
        <v>20</v>
      </c>
      <c r="H19932" s="4"/>
      <c r="I19932" s="4"/>
    </row>
    <row r="19933">
      <c r="A19933" s="4" t="str">
        <f>IFERROR(__xludf.DUMMYFUNCTION("""COMPUTED_VALUE"""),"cas_hmw")</f>
        <v>cas_hmw</v>
      </c>
      <c r="B19933" s="5">
        <f>IFERROR(__xludf.DUMMYFUNCTION("""COMPUTED_VALUE"""),44781.0)</f>
        <v>44781</v>
      </c>
      <c r="C19933" s="6">
        <f>IFERROR(__xludf.DUMMYFUNCTION("""COMPUTED_VALUE"""),0.3288194444430701)</f>
        <v>0.3288194444</v>
      </c>
      <c r="D19933" s="4">
        <f>IFERROR(__xludf.DUMMYFUNCTION("""COMPUTED_VALUE"""),12.988673)</f>
        <v>12.988673</v>
      </c>
      <c r="E19933" s="4">
        <f>IFERROR(__xludf.DUMMYFUNCTION("""COMPUTED_VALUE"""),80.177965)</f>
        <v>80.177965</v>
      </c>
      <c r="F19933" s="4">
        <f>IFERROR(__xludf.DUMMYFUNCTION("""COMPUTED_VALUE"""),5339.0)</f>
        <v>5339</v>
      </c>
      <c r="G19933" s="4">
        <f>IFERROR(__xludf.DUMMYFUNCTION("""COMPUTED_VALUE"""),35.0)</f>
        <v>35</v>
      </c>
      <c r="H19933" s="4"/>
      <c r="I19933" s="4"/>
    </row>
    <row r="19934">
      <c r="A19934" s="4" t="str">
        <f>IFERROR(__xludf.DUMMYFUNCTION("""COMPUTED_VALUE"""),"cas_hmw")</f>
        <v>cas_hmw</v>
      </c>
      <c r="B19934" s="5">
        <f>IFERROR(__xludf.DUMMYFUNCTION("""COMPUTED_VALUE"""),44781.0)</f>
        <v>44781</v>
      </c>
      <c r="C19934" s="6">
        <f>IFERROR(__xludf.DUMMYFUNCTION("""COMPUTED_VALUE"""),0.32894675925854244)</f>
        <v>0.3289467593</v>
      </c>
      <c r="D19934" s="4">
        <f>IFERROR(__xludf.DUMMYFUNCTION("""COMPUTED_VALUE"""),12.988104)</f>
        <v>12.988104</v>
      </c>
      <c r="E19934" s="4">
        <f>IFERROR(__xludf.DUMMYFUNCTION("""COMPUTED_VALUE"""),80.177174)</f>
        <v>80.177174</v>
      </c>
      <c r="F19934" s="4">
        <f>IFERROR(__xludf.DUMMYFUNCTION("""COMPUTED_VALUE"""),5339.0)</f>
        <v>5339</v>
      </c>
      <c r="G19934" s="4">
        <f>IFERROR(__xludf.DUMMYFUNCTION("""COMPUTED_VALUE"""),42.0)</f>
        <v>42</v>
      </c>
      <c r="H19934" s="4"/>
      <c r="I19934" s="4"/>
    </row>
    <row r="19935">
      <c r="A19935" s="4" t="str">
        <f>IFERROR(__xludf.DUMMYFUNCTION("""COMPUTED_VALUE"""),"cas_hmw")</f>
        <v>cas_hmw</v>
      </c>
      <c r="B19935" s="5">
        <f>IFERROR(__xludf.DUMMYFUNCTION("""COMPUTED_VALUE"""),44781.0)</f>
        <v>44781</v>
      </c>
      <c r="C19935" s="6">
        <f>IFERROR(__xludf.DUMMYFUNCTION("""COMPUTED_VALUE"""),0.3297916666670062)</f>
        <v>0.3297916667</v>
      </c>
      <c r="D19935" s="4">
        <f>IFERROR(__xludf.DUMMYFUNCTION("""COMPUTED_VALUE"""),12.985764)</f>
        <v>12.985764</v>
      </c>
      <c r="E19935" s="4">
        <f>IFERROR(__xludf.DUMMYFUNCTION("""COMPUTED_VALUE"""),80.173812)</f>
        <v>80.173812</v>
      </c>
      <c r="F19935" s="4">
        <f>IFERROR(__xludf.DUMMYFUNCTION("""COMPUTED_VALUE"""),5339.0)</f>
        <v>5339</v>
      </c>
      <c r="G19935" s="4">
        <f>IFERROR(__xludf.DUMMYFUNCTION("""COMPUTED_VALUE"""),34.0)</f>
        <v>34</v>
      </c>
      <c r="H19935" s="4"/>
      <c r="I19935" s="4"/>
    </row>
    <row r="19936">
      <c r="A19936" s="4" t="str">
        <f>IFERROR(__xludf.DUMMYFUNCTION("""COMPUTED_VALUE"""),"cas_hmw")</f>
        <v>cas_hmw</v>
      </c>
      <c r="B19936" s="5">
        <f>IFERROR(__xludf.DUMMYFUNCTION("""COMPUTED_VALUE"""),44781.0)</f>
        <v>44781</v>
      </c>
      <c r="C19936" s="6">
        <f>IFERROR(__xludf.DUMMYFUNCTION("""COMPUTED_VALUE"""),0.33043981481387164)</f>
        <v>0.3304398148</v>
      </c>
      <c r="D19936" s="4">
        <f>IFERROR(__xludf.DUMMYFUNCTION("""COMPUTED_VALUE"""),13.005284)</f>
        <v>13.005284</v>
      </c>
      <c r="E19936" s="4">
        <f>IFERROR(__xludf.DUMMYFUNCTION("""COMPUTED_VALUE"""),80.201769)</f>
        <v>80.201769</v>
      </c>
      <c r="F19936" s="4">
        <f>IFERROR(__xludf.DUMMYFUNCTION("""COMPUTED_VALUE"""),805.0)</f>
        <v>805</v>
      </c>
      <c r="G19936" s="4">
        <f>IFERROR(__xludf.DUMMYFUNCTION("""COMPUTED_VALUE"""),44.0)</f>
        <v>44</v>
      </c>
      <c r="H19936" s="4"/>
      <c r="I19936" s="4"/>
    </row>
    <row r="19937">
      <c r="A19937" s="4" t="str">
        <f>IFERROR(__xludf.DUMMYFUNCTION("""COMPUTED_VALUE"""),"cas_hmw")</f>
        <v>cas_hmw</v>
      </c>
      <c r="B19937" s="5">
        <f>IFERROR(__xludf.DUMMYFUNCTION("""COMPUTED_VALUE"""),44781.0)</f>
        <v>44781</v>
      </c>
      <c r="C19937" s="6">
        <f>IFERROR(__xludf.DUMMYFUNCTION("""COMPUTED_VALUE"""),0.33047453703693463)</f>
        <v>0.330474537</v>
      </c>
      <c r="D19937" s="4">
        <f>IFERROR(__xludf.DUMMYFUNCTION("""COMPUTED_VALUE"""),13.005284)</f>
        <v>13.005284</v>
      </c>
      <c r="E19937" s="4">
        <f>IFERROR(__xludf.DUMMYFUNCTION("""COMPUTED_VALUE"""),80.201769)</f>
        <v>80.201769</v>
      </c>
      <c r="F19937" s="4">
        <f>IFERROR(__xludf.DUMMYFUNCTION("""COMPUTED_VALUE"""),805.0)</f>
        <v>805</v>
      </c>
      <c r="G19937" s="4">
        <f>IFERROR(__xludf.DUMMYFUNCTION("""COMPUTED_VALUE"""),44.0)</f>
        <v>44</v>
      </c>
      <c r="H19937" s="4"/>
      <c r="I19937" s="4"/>
    </row>
    <row r="19938">
      <c r="A19938" s="4" t="str">
        <f>IFERROR(__xludf.DUMMYFUNCTION("""COMPUTED_VALUE"""),"cas_hmw")</f>
        <v>cas_hmw</v>
      </c>
      <c r="B19938" s="5">
        <f>IFERROR(__xludf.DUMMYFUNCTION("""COMPUTED_VALUE"""),44781.0)</f>
        <v>44781</v>
      </c>
      <c r="C19938" s="6">
        <f>IFERROR(__xludf.DUMMYFUNCTION("""COMPUTED_VALUE"""),0.33083333333343035)</f>
        <v>0.3308333333</v>
      </c>
      <c r="D19938" s="4">
        <f>IFERROR(__xludf.DUMMYFUNCTION("""COMPUTED_VALUE"""),13.002116)</f>
        <v>13.002116</v>
      </c>
      <c r="E19938" s="4">
        <f>IFERROR(__xludf.DUMMYFUNCTION("""COMPUTED_VALUE"""),80.200405)</f>
        <v>80.200405</v>
      </c>
      <c r="F19938" s="4">
        <f>IFERROR(__xludf.DUMMYFUNCTION("""COMPUTED_VALUE"""),805.0)</f>
        <v>805</v>
      </c>
      <c r="G19938" s="4">
        <f>IFERROR(__xludf.DUMMYFUNCTION("""COMPUTED_VALUE"""),49.0)</f>
        <v>49</v>
      </c>
      <c r="H19938" s="4"/>
      <c r="I19938" s="4"/>
    </row>
    <row r="19939">
      <c r="A19939" s="4" t="str">
        <f>IFERROR(__xludf.DUMMYFUNCTION("""COMPUTED_VALUE"""),"cas_hmw")</f>
        <v>cas_hmw</v>
      </c>
      <c r="B19939" s="5">
        <f>IFERROR(__xludf.DUMMYFUNCTION("""COMPUTED_VALUE"""),44781.0)</f>
        <v>44781</v>
      </c>
      <c r="C19939" s="6">
        <f>IFERROR(__xludf.DUMMYFUNCTION("""COMPUTED_VALUE"""),0.3315046296302171)</f>
        <v>0.3315046296</v>
      </c>
      <c r="D19939" s="4">
        <f>IFERROR(__xludf.DUMMYFUNCTION("""COMPUTED_VALUE"""),13.001743)</f>
        <v>13.001743</v>
      </c>
      <c r="E19939" s="4">
        <f>IFERROR(__xludf.DUMMYFUNCTION("""COMPUTED_VALUE"""),80.19653)</f>
        <v>80.19653</v>
      </c>
      <c r="F19939" s="4">
        <f>IFERROR(__xludf.DUMMYFUNCTION("""COMPUTED_VALUE"""),805.0)</f>
        <v>805</v>
      </c>
      <c r="G19939" s="4">
        <f>IFERROR(__xludf.DUMMYFUNCTION("""COMPUTED_VALUE"""),0.0)</f>
        <v>0</v>
      </c>
      <c r="H19939" s="4"/>
      <c r="I19939" s="4"/>
    </row>
    <row r="19940">
      <c r="A19940" s="4" t="str">
        <f>IFERROR(__xludf.DUMMYFUNCTION("""COMPUTED_VALUE"""),"cas_hmw")</f>
        <v>cas_hmw</v>
      </c>
      <c r="B19940" s="5">
        <f>IFERROR(__xludf.DUMMYFUNCTION("""COMPUTED_VALUE"""),44781.0)</f>
        <v>44781</v>
      </c>
      <c r="C19940" s="6">
        <f>IFERROR(__xludf.DUMMYFUNCTION("""COMPUTED_VALUE"""),0.3318402777767915)</f>
        <v>0.3318402778</v>
      </c>
      <c r="D19940" s="4">
        <f>IFERROR(__xludf.DUMMYFUNCTION("""COMPUTED_VALUE"""),13.001322)</f>
        <v>13.001322</v>
      </c>
      <c r="E19940" s="4">
        <f>IFERROR(__xludf.DUMMYFUNCTION("""COMPUTED_VALUE"""),80.195958)</f>
        <v>80.195958</v>
      </c>
      <c r="F19940" s="4">
        <f>IFERROR(__xludf.DUMMYFUNCTION("""COMPUTED_VALUE"""),805.0)</f>
        <v>805</v>
      </c>
      <c r="G19940" s="4">
        <f>IFERROR(__xludf.DUMMYFUNCTION("""COMPUTED_VALUE"""),30.0)</f>
        <v>30</v>
      </c>
      <c r="H19940" s="4"/>
      <c r="I19940" s="4"/>
    </row>
    <row r="19941">
      <c r="A19941" s="4" t="str">
        <f>IFERROR(__xludf.DUMMYFUNCTION("""COMPUTED_VALUE"""),"cas_hmw")</f>
        <v>cas_hmw</v>
      </c>
      <c r="B19941" s="5">
        <f>IFERROR(__xludf.DUMMYFUNCTION("""COMPUTED_VALUE"""),44781.0)</f>
        <v>44781</v>
      </c>
      <c r="C19941" s="6">
        <f>IFERROR(__xludf.DUMMYFUNCTION("""COMPUTED_VALUE"""),0.3322222222232085)</f>
        <v>0.3322222222</v>
      </c>
      <c r="D19941" s="4">
        <f>IFERROR(__xludf.DUMMYFUNCTION("""COMPUTED_VALUE"""),12.999351)</f>
        <v>12.999351</v>
      </c>
      <c r="E19941" s="4">
        <f>IFERROR(__xludf.DUMMYFUNCTION("""COMPUTED_VALUE"""),80.19337)</f>
        <v>80.19337</v>
      </c>
      <c r="F19941" s="4">
        <f>IFERROR(__xludf.DUMMYFUNCTION("""COMPUTED_VALUE"""),805.0)</f>
        <v>805</v>
      </c>
      <c r="G19941" s="4">
        <f>IFERROR(__xludf.DUMMYFUNCTION("""COMPUTED_VALUE"""),39.0)</f>
        <v>39</v>
      </c>
      <c r="H19941" s="4"/>
      <c r="I19941" s="4"/>
    </row>
    <row r="19942">
      <c r="A19942" s="4" t="str">
        <f>IFERROR(__xludf.DUMMYFUNCTION("""COMPUTED_VALUE"""),"cas_hmw")</f>
        <v>cas_hmw</v>
      </c>
      <c r="B19942" s="5">
        <f>IFERROR(__xludf.DUMMYFUNCTION("""COMPUTED_VALUE"""),44781.0)</f>
        <v>44781</v>
      </c>
      <c r="C19942" s="6">
        <f>IFERROR(__xludf.DUMMYFUNCTION("""COMPUTED_VALUE"""),0.33224537036949187)</f>
        <v>0.3322453704</v>
      </c>
      <c r="D19942" s="4">
        <f>IFERROR(__xludf.DUMMYFUNCTION("""COMPUTED_VALUE"""),12.999351)</f>
        <v>12.999351</v>
      </c>
      <c r="E19942" s="4">
        <f>IFERROR(__xludf.DUMMYFUNCTION("""COMPUTED_VALUE"""),80.19337)</f>
        <v>80.19337</v>
      </c>
      <c r="F19942" s="4">
        <f>IFERROR(__xludf.DUMMYFUNCTION("""COMPUTED_VALUE"""),805.0)</f>
        <v>805</v>
      </c>
      <c r="G19942" s="4">
        <f>IFERROR(__xludf.DUMMYFUNCTION("""COMPUTED_VALUE"""),39.0)</f>
        <v>39</v>
      </c>
      <c r="H19942" s="4"/>
      <c r="I19942" s="4"/>
    </row>
    <row r="19943">
      <c r="A19943" s="4" t="str">
        <f>IFERROR(__xludf.DUMMYFUNCTION("""COMPUTED_VALUE"""),"cas_hmw")</f>
        <v>cas_hmw</v>
      </c>
      <c r="B19943" s="5">
        <f>IFERROR(__xludf.DUMMYFUNCTION("""COMPUTED_VALUE"""),44781.0)</f>
        <v>44781</v>
      </c>
      <c r="C19943" s="6">
        <f>IFERROR(__xludf.DUMMYFUNCTION("""COMPUTED_VALUE"""),0.33224537036949187)</f>
        <v>0.3322453704</v>
      </c>
      <c r="D19943" s="4">
        <f>IFERROR(__xludf.DUMMYFUNCTION("""COMPUTED_VALUE"""),12.999351)</f>
        <v>12.999351</v>
      </c>
      <c r="E19943" s="4">
        <f>IFERROR(__xludf.DUMMYFUNCTION("""COMPUTED_VALUE"""),80.19337)</f>
        <v>80.19337</v>
      </c>
      <c r="F19943" s="4">
        <f>IFERROR(__xludf.DUMMYFUNCTION("""COMPUTED_VALUE"""),805.0)</f>
        <v>805</v>
      </c>
      <c r="G19943" s="4">
        <f>IFERROR(__xludf.DUMMYFUNCTION("""COMPUTED_VALUE"""),39.0)</f>
        <v>39</v>
      </c>
      <c r="H19943" s="4"/>
      <c r="I19943" s="4"/>
    </row>
    <row r="19944">
      <c r="A19944" s="4" t="str">
        <f>IFERROR(__xludf.DUMMYFUNCTION("""COMPUTED_VALUE"""),"cas_hmw")</f>
        <v>cas_hmw</v>
      </c>
      <c r="B19944" s="5">
        <f>IFERROR(__xludf.DUMMYFUNCTION("""COMPUTED_VALUE"""),44781.0)</f>
        <v>44781</v>
      </c>
      <c r="C19944" s="6">
        <f>IFERROR(__xludf.DUMMYFUNCTION("""COMPUTED_VALUE"""),0.3324421296310902)</f>
        <v>0.3324421296</v>
      </c>
      <c r="D19944" s="4">
        <f>IFERROR(__xludf.DUMMYFUNCTION("""COMPUTED_VALUE"""),12.972714)</f>
        <v>12.972714</v>
      </c>
      <c r="E19944" s="4">
        <f>IFERROR(__xludf.DUMMYFUNCTION("""COMPUTED_VALUE"""),80.152277)</f>
        <v>80.152277</v>
      </c>
      <c r="F19944" s="4">
        <f>IFERROR(__xludf.DUMMYFUNCTION("""COMPUTED_VALUE"""),5339.0)</f>
        <v>5339</v>
      </c>
      <c r="G19944" s="4">
        <f>IFERROR(__xludf.DUMMYFUNCTION("""COMPUTED_VALUE"""),42.0)</f>
        <v>42</v>
      </c>
      <c r="H19944" s="4"/>
      <c r="I19944" s="4"/>
    </row>
    <row r="19945">
      <c r="A19945" s="4" t="str">
        <f>IFERROR(__xludf.DUMMYFUNCTION("""COMPUTED_VALUE"""),"cas_hmw")</f>
        <v>cas_hmw</v>
      </c>
      <c r="B19945" s="5">
        <f>IFERROR(__xludf.DUMMYFUNCTION("""COMPUTED_VALUE"""),44781.0)</f>
        <v>44781</v>
      </c>
      <c r="C19945" s="6">
        <f>IFERROR(__xludf.DUMMYFUNCTION("""COMPUTED_VALUE"""),0.33247685185051523)</f>
        <v>0.3324768519</v>
      </c>
      <c r="D19945" s="4">
        <f>IFERROR(__xludf.DUMMYFUNCTION("""COMPUTED_VALUE"""),12.997283)</f>
        <v>12.997283</v>
      </c>
      <c r="E19945" s="4">
        <f>IFERROR(__xludf.DUMMYFUNCTION("""COMPUTED_VALUE"""),80.190773)</f>
        <v>80.190773</v>
      </c>
      <c r="F19945" s="4">
        <f>IFERROR(__xludf.DUMMYFUNCTION("""COMPUTED_VALUE"""),805.0)</f>
        <v>805</v>
      </c>
      <c r="G19945" s="4">
        <f>IFERROR(__xludf.DUMMYFUNCTION("""COMPUTED_VALUE"""),43.0)</f>
        <v>43</v>
      </c>
      <c r="H19945" s="4"/>
      <c r="I19945" s="4"/>
    </row>
    <row r="19946">
      <c r="A19946" s="4" t="str">
        <f>IFERROR(__xludf.DUMMYFUNCTION("""COMPUTED_VALUE"""),"cas_hmw")</f>
        <v>cas_hmw</v>
      </c>
      <c r="B19946" s="5">
        <f>IFERROR(__xludf.DUMMYFUNCTION("""COMPUTED_VALUE"""),44781.0)</f>
        <v>44781</v>
      </c>
      <c r="C19946" s="6">
        <f>IFERROR(__xludf.DUMMYFUNCTION("""COMPUTED_VALUE"""),0.33261574073912925)</f>
        <v>0.3326157407</v>
      </c>
      <c r="D19946" s="4">
        <f>IFERROR(__xludf.DUMMYFUNCTION("""COMPUTED_VALUE"""),12.997283)</f>
        <v>12.997283</v>
      </c>
      <c r="E19946" s="4">
        <f>IFERROR(__xludf.DUMMYFUNCTION("""COMPUTED_VALUE"""),80.190773)</f>
        <v>80.190773</v>
      </c>
      <c r="F19946" s="4">
        <f>IFERROR(__xludf.DUMMYFUNCTION("""COMPUTED_VALUE"""),805.0)</f>
        <v>805</v>
      </c>
      <c r="G19946" s="4">
        <f>IFERROR(__xludf.DUMMYFUNCTION("""COMPUTED_VALUE"""),43.0)</f>
        <v>43</v>
      </c>
      <c r="H19946" s="4"/>
      <c r="I19946" s="4"/>
    </row>
    <row r="19947">
      <c r="A19947" s="4" t="str">
        <f>IFERROR(__xludf.DUMMYFUNCTION("""COMPUTED_VALUE"""),"cas_hmw")</f>
        <v>cas_hmw</v>
      </c>
      <c r="B19947" s="5">
        <f>IFERROR(__xludf.DUMMYFUNCTION("""COMPUTED_VALUE"""),44781.0)</f>
        <v>44781</v>
      </c>
      <c r="C19947" s="6">
        <f>IFERROR(__xludf.DUMMYFUNCTION("""COMPUTED_VALUE"""),0.33268518518525525)</f>
        <v>0.3326851852</v>
      </c>
      <c r="D19947" s="4">
        <f>IFERROR(__xludf.DUMMYFUNCTION("""COMPUTED_VALUE"""),12.99638)</f>
        <v>12.99638</v>
      </c>
      <c r="E19947" s="4">
        <f>IFERROR(__xludf.DUMMYFUNCTION("""COMPUTED_VALUE"""),80.189798)</f>
        <v>80.189798</v>
      </c>
      <c r="F19947" s="4">
        <f>IFERROR(__xludf.DUMMYFUNCTION("""COMPUTED_VALUE"""),805.0)</f>
        <v>805</v>
      </c>
      <c r="G19947" s="4">
        <f>IFERROR(__xludf.DUMMYFUNCTION("""COMPUTED_VALUE"""),34.0)</f>
        <v>34</v>
      </c>
      <c r="H19947" s="4"/>
      <c r="I19947" s="4"/>
    </row>
    <row r="19948">
      <c r="A19948" s="4" t="str">
        <f>IFERROR(__xludf.DUMMYFUNCTION("""COMPUTED_VALUE"""),"cas_hmw")</f>
        <v>cas_hmw</v>
      </c>
      <c r="B19948" s="5">
        <f>IFERROR(__xludf.DUMMYFUNCTION("""COMPUTED_VALUE"""),44781.0)</f>
        <v>44781</v>
      </c>
      <c r="C19948" s="6">
        <f>IFERROR(__xludf.DUMMYFUNCTION("""COMPUTED_VALUE"""),0.3327777777776646)</f>
        <v>0.3327777778</v>
      </c>
      <c r="D19948" s="4">
        <f>IFERROR(__xludf.DUMMYFUNCTION("""COMPUTED_VALUE"""),12.99638)</f>
        <v>12.99638</v>
      </c>
      <c r="E19948" s="4">
        <f>IFERROR(__xludf.DUMMYFUNCTION("""COMPUTED_VALUE"""),80.189798)</f>
        <v>80.189798</v>
      </c>
      <c r="F19948" s="4">
        <f>IFERROR(__xludf.DUMMYFUNCTION("""COMPUTED_VALUE"""),805.0)</f>
        <v>805</v>
      </c>
      <c r="G19948" s="4">
        <f>IFERROR(__xludf.DUMMYFUNCTION("""COMPUTED_VALUE"""),34.0)</f>
        <v>34</v>
      </c>
      <c r="H19948" s="4"/>
      <c r="I19948" s="4"/>
    </row>
    <row r="19949">
      <c r="A19949" s="4" t="str">
        <f>IFERROR(__xludf.DUMMYFUNCTION("""COMPUTED_VALUE"""),"cas_hmw")</f>
        <v>cas_hmw</v>
      </c>
      <c r="B19949" s="5">
        <f>IFERROR(__xludf.DUMMYFUNCTION("""COMPUTED_VALUE"""),44781.0)</f>
        <v>44781</v>
      </c>
      <c r="C19949" s="6">
        <f>IFERROR(__xludf.DUMMYFUNCTION("""COMPUTED_VALUE"""),0.3328125000007276)</f>
        <v>0.3328125</v>
      </c>
      <c r="D19949" s="4">
        <f>IFERROR(__xludf.DUMMYFUNCTION("""COMPUTED_VALUE"""),12.99638)</f>
        <v>12.99638</v>
      </c>
      <c r="E19949" s="4">
        <f>IFERROR(__xludf.DUMMYFUNCTION("""COMPUTED_VALUE"""),80.189798)</f>
        <v>80.189798</v>
      </c>
      <c r="F19949" s="4">
        <f>IFERROR(__xludf.DUMMYFUNCTION("""COMPUTED_VALUE"""),805.0)</f>
        <v>805</v>
      </c>
      <c r="G19949" s="4">
        <f>IFERROR(__xludf.DUMMYFUNCTION("""COMPUTED_VALUE"""),34.0)</f>
        <v>34</v>
      </c>
      <c r="H19949" s="4"/>
      <c r="I19949" s="4"/>
    </row>
    <row r="19950">
      <c r="A19950" s="4" t="str">
        <f>IFERROR(__xludf.DUMMYFUNCTION("""COMPUTED_VALUE"""),"cas_hmw")</f>
        <v>cas_hmw</v>
      </c>
      <c r="B19950" s="5">
        <f>IFERROR(__xludf.DUMMYFUNCTION("""COMPUTED_VALUE"""),44781.0)</f>
        <v>44781</v>
      </c>
      <c r="C19950" s="6">
        <f>IFERROR(__xludf.DUMMYFUNCTION("""COMPUTED_VALUE"""),0.33283564814701094)</f>
        <v>0.3328356481</v>
      </c>
      <c r="D19950" s="4">
        <f>IFERROR(__xludf.DUMMYFUNCTION("""COMPUTED_VALUE"""),12.99638)</f>
        <v>12.99638</v>
      </c>
      <c r="E19950" s="4">
        <f>IFERROR(__xludf.DUMMYFUNCTION("""COMPUTED_VALUE"""),80.189798)</f>
        <v>80.189798</v>
      </c>
      <c r="F19950" s="4">
        <f>IFERROR(__xludf.DUMMYFUNCTION("""COMPUTED_VALUE"""),805.0)</f>
        <v>805</v>
      </c>
      <c r="G19950" s="4">
        <f>IFERROR(__xludf.DUMMYFUNCTION("""COMPUTED_VALUE"""),34.0)</f>
        <v>34</v>
      </c>
      <c r="H19950" s="4"/>
      <c r="I19950" s="4"/>
    </row>
    <row r="19951">
      <c r="A19951" s="4" t="str">
        <f>IFERROR(__xludf.DUMMYFUNCTION("""COMPUTED_VALUE"""),"cas_hmw")</f>
        <v>cas_hmw</v>
      </c>
      <c r="B19951" s="5">
        <f>IFERROR(__xludf.DUMMYFUNCTION("""COMPUTED_VALUE"""),44781.0)</f>
        <v>44781</v>
      </c>
      <c r="C19951" s="6">
        <f>IFERROR(__xludf.DUMMYFUNCTION("""COMPUTED_VALUE"""),0.3339699074058444)</f>
        <v>0.3339699074</v>
      </c>
      <c r="D19951" s="4">
        <f>IFERROR(__xludf.DUMMYFUNCTION("""COMPUTED_VALUE"""),12.993904)</f>
        <v>12.993904</v>
      </c>
      <c r="E19951" s="4">
        <f>IFERROR(__xludf.DUMMYFUNCTION("""COMPUTED_VALUE"""),80.185469)</f>
        <v>80.185469</v>
      </c>
      <c r="F19951" s="4">
        <f>IFERROR(__xludf.DUMMYFUNCTION("""COMPUTED_VALUE"""),805.0)</f>
        <v>805</v>
      </c>
      <c r="G19951" s="4">
        <f>IFERROR(__xludf.DUMMYFUNCTION("""COMPUTED_VALUE"""),27.0)</f>
        <v>27</v>
      </c>
      <c r="H19951" s="4"/>
      <c r="I19951" s="4"/>
    </row>
    <row r="19952">
      <c r="A19952" s="4" t="str">
        <f>IFERROR(__xludf.DUMMYFUNCTION("""COMPUTED_VALUE"""),"cas_hmw")</f>
        <v>cas_hmw</v>
      </c>
      <c r="B19952" s="5">
        <f>IFERROR(__xludf.DUMMYFUNCTION("""COMPUTED_VALUE"""),44781.0)</f>
        <v>44781</v>
      </c>
      <c r="C19952" s="6">
        <f>IFERROR(__xludf.DUMMYFUNCTION("""COMPUTED_VALUE"""),0.33435185185226146)</f>
        <v>0.3343518519</v>
      </c>
      <c r="D19952" s="4">
        <f>IFERROR(__xludf.DUMMYFUNCTION("""COMPUTED_VALUE"""),12.966396)</f>
        <v>12.966396</v>
      </c>
      <c r="E19952" s="4">
        <f>IFERROR(__xludf.DUMMYFUNCTION("""COMPUTED_VALUE"""),80.148754)</f>
        <v>80.148754</v>
      </c>
      <c r="F19952" s="4">
        <f>IFERROR(__xludf.DUMMYFUNCTION("""COMPUTED_VALUE"""),3143.0)</f>
        <v>3143</v>
      </c>
      <c r="G19952" s="4">
        <f>IFERROR(__xludf.DUMMYFUNCTION("""COMPUTED_VALUE"""),19.0)</f>
        <v>19</v>
      </c>
      <c r="H19952" s="4"/>
      <c r="I19952" s="4"/>
    </row>
    <row r="19953">
      <c r="A19953" s="4" t="str">
        <f>IFERROR(__xludf.DUMMYFUNCTION("""COMPUTED_VALUE"""),"cas_hmw")</f>
        <v>cas_hmw</v>
      </c>
      <c r="B19953" s="5">
        <f>IFERROR(__xludf.DUMMYFUNCTION("""COMPUTED_VALUE"""),44781.0)</f>
        <v>44781</v>
      </c>
      <c r="C19953" s="6">
        <f>IFERROR(__xludf.DUMMYFUNCTION("""COMPUTED_VALUE"""),0.3344560185178125)</f>
        <v>0.3344560185</v>
      </c>
      <c r="D19953" s="4">
        <f>IFERROR(__xludf.DUMMYFUNCTION("""COMPUTED_VALUE"""),12.757155)</f>
        <v>12.757155</v>
      </c>
      <c r="E19953" s="4">
        <f>IFERROR(__xludf.DUMMYFUNCTION("""COMPUTED_VALUE"""),80.002271)</f>
        <v>80.002271</v>
      </c>
      <c r="F19953" s="4">
        <f>IFERROR(__xludf.DUMMYFUNCTION("""COMPUTED_VALUE"""),2846.0)</f>
        <v>2846</v>
      </c>
      <c r="G19953" s="4">
        <f>IFERROR(__xludf.DUMMYFUNCTION("""COMPUTED_VALUE"""),58.0)</f>
        <v>58</v>
      </c>
      <c r="H19953" s="4"/>
      <c r="I19953" s="4"/>
    </row>
    <row r="19954">
      <c r="A19954" s="4" t="str">
        <f>IFERROR(__xludf.DUMMYFUNCTION("""COMPUTED_VALUE"""),"cas_hmw")</f>
        <v>cas_hmw</v>
      </c>
      <c r="B19954" s="5">
        <f>IFERROR(__xludf.DUMMYFUNCTION("""COMPUTED_VALUE"""),44781.0)</f>
        <v>44781</v>
      </c>
      <c r="C19954" s="6">
        <f>IFERROR(__xludf.DUMMYFUNCTION("""COMPUTED_VALUE"""),0.3347106481487572)</f>
        <v>0.3347106481</v>
      </c>
      <c r="D19954" s="4">
        <f>IFERROR(__xludf.DUMMYFUNCTION("""COMPUTED_VALUE"""),12.963832)</f>
        <v>12.963832</v>
      </c>
      <c r="E19954" s="4">
        <f>IFERROR(__xludf.DUMMYFUNCTION("""COMPUTED_VALUE"""),80.147352)</f>
        <v>80.147352</v>
      </c>
      <c r="F19954" s="4">
        <f>IFERROR(__xludf.DUMMYFUNCTION("""COMPUTED_VALUE"""),3143.0)</f>
        <v>3143</v>
      </c>
      <c r="G19954" s="4">
        <f>IFERROR(__xludf.DUMMYFUNCTION("""COMPUTED_VALUE"""),54.0)</f>
        <v>54</v>
      </c>
      <c r="H19954" s="4"/>
      <c r="I19954" s="4"/>
    </row>
    <row r="19955">
      <c r="A19955" s="4" t="str">
        <f>IFERROR(__xludf.DUMMYFUNCTION("""COMPUTED_VALUE"""),"cas_hmw")</f>
        <v>cas_hmw</v>
      </c>
      <c r="B19955" s="5">
        <f>IFERROR(__xludf.DUMMYFUNCTION("""COMPUTED_VALUE"""),44781.0)</f>
        <v>44781</v>
      </c>
      <c r="C19955" s="6">
        <f>IFERROR(__xludf.DUMMYFUNCTION("""COMPUTED_VALUE"""),0.3347106481487572)</f>
        <v>0.3347106481</v>
      </c>
      <c r="D19955" s="4">
        <f>IFERROR(__xludf.DUMMYFUNCTION("""COMPUTED_VALUE"""),12.761289)</f>
        <v>12.761289</v>
      </c>
      <c r="E19955" s="4">
        <f>IFERROR(__xludf.DUMMYFUNCTION("""COMPUTED_VALUE"""),80.003466)</f>
        <v>80.003466</v>
      </c>
      <c r="F19955" s="4">
        <f>IFERROR(__xludf.DUMMYFUNCTION("""COMPUTED_VALUE"""),2846.0)</f>
        <v>2846</v>
      </c>
      <c r="G19955" s="4">
        <f>IFERROR(__xludf.DUMMYFUNCTION("""COMPUTED_VALUE"""),25.0)</f>
        <v>25</v>
      </c>
      <c r="H19955" s="4"/>
      <c r="I19955" s="4"/>
    </row>
    <row r="19956">
      <c r="A19956" s="4" t="str">
        <f>IFERROR(__xludf.DUMMYFUNCTION("""COMPUTED_VALUE"""),"cas_hmw")</f>
        <v>cas_hmw</v>
      </c>
      <c r="B19956" s="5">
        <f>IFERROR(__xludf.DUMMYFUNCTION("""COMPUTED_VALUE"""),44781.0)</f>
        <v>44781</v>
      </c>
      <c r="C19956" s="6">
        <f>IFERROR(__xludf.DUMMYFUNCTION("""COMPUTED_VALUE"""),0.33482638888744987)</f>
        <v>0.3348263889</v>
      </c>
      <c r="D19956" s="4">
        <f>IFERROR(__xludf.DUMMYFUNCTION("""COMPUTED_VALUE"""),12.98984)</f>
        <v>12.98984</v>
      </c>
      <c r="E19956" s="4">
        <f>IFERROR(__xludf.DUMMYFUNCTION("""COMPUTED_VALUE"""),80.179502)</f>
        <v>80.179502</v>
      </c>
      <c r="F19956" s="4">
        <f>IFERROR(__xludf.DUMMYFUNCTION("""COMPUTED_VALUE"""),805.0)</f>
        <v>805</v>
      </c>
      <c r="G19956" s="4">
        <f>IFERROR(__xludf.DUMMYFUNCTION("""COMPUTED_VALUE"""),12.0)</f>
        <v>12</v>
      </c>
      <c r="H19956" s="4"/>
      <c r="I19956" s="4"/>
    </row>
    <row r="19957">
      <c r="A19957" s="4" t="str">
        <f>IFERROR(__xludf.DUMMYFUNCTION("""COMPUTED_VALUE"""),"cas_hmw")</f>
        <v>cas_hmw</v>
      </c>
      <c r="B19957" s="5">
        <f>IFERROR(__xludf.DUMMYFUNCTION("""COMPUTED_VALUE"""),44781.0)</f>
        <v>44781</v>
      </c>
      <c r="C19957" s="6">
        <f>IFERROR(__xludf.DUMMYFUNCTION("""COMPUTED_VALUE"""),0.33489583333357587)</f>
        <v>0.3348958333</v>
      </c>
      <c r="D19957" s="4">
        <f>IFERROR(__xludf.DUMMYFUNCTION("""COMPUTED_VALUE"""),12.762548)</f>
        <v>12.762548</v>
      </c>
      <c r="E19957" s="4">
        <f>IFERROR(__xludf.DUMMYFUNCTION("""COMPUTED_VALUE"""),80.003803)</f>
        <v>80.003803</v>
      </c>
      <c r="F19957" s="4">
        <f>IFERROR(__xludf.DUMMYFUNCTION("""COMPUTED_VALUE"""),2846.0)</f>
        <v>2846</v>
      </c>
      <c r="G19957" s="4">
        <f>IFERROR(__xludf.DUMMYFUNCTION("""COMPUTED_VALUE"""),13.0)</f>
        <v>13</v>
      </c>
      <c r="H19957" s="4"/>
      <c r="I19957" s="4"/>
    </row>
    <row r="19958">
      <c r="A19958" s="4" t="str">
        <f>IFERROR(__xludf.DUMMYFUNCTION("""COMPUTED_VALUE"""),"cas_hmw")</f>
        <v>cas_hmw</v>
      </c>
      <c r="B19958" s="5">
        <f>IFERROR(__xludf.DUMMYFUNCTION("""COMPUTED_VALUE"""),44781.0)</f>
        <v>44781</v>
      </c>
      <c r="C19958" s="6">
        <f>IFERROR(__xludf.DUMMYFUNCTION("""COMPUTED_VALUE"""),0.33494212962978054)</f>
        <v>0.3349421296</v>
      </c>
      <c r="D19958" s="4">
        <f>IFERROR(__xludf.DUMMYFUNCTION("""COMPUTED_VALUE"""),12.961552)</f>
        <v>12.961552</v>
      </c>
      <c r="E19958" s="4">
        <f>IFERROR(__xludf.DUMMYFUNCTION("""COMPUTED_VALUE"""),80.14609)</f>
        <v>80.14609</v>
      </c>
      <c r="F19958" s="4">
        <f>IFERROR(__xludf.DUMMYFUNCTION("""COMPUTED_VALUE"""),3143.0)</f>
        <v>3143</v>
      </c>
      <c r="G19958" s="4">
        <f>IFERROR(__xludf.DUMMYFUNCTION("""COMPUTED_VALUE"""),45.0)</f>
        <v>45</v>
      </c>
      <c r="H19958" s="4"/>
      <c r="I19958" s="4"/>
    </row>
    <row r="19959">
      <c r="A19959" s="4" t="str">
        <f>IFERROR(__xludf.DUMMYFUNCTION("""COMPUTED_VALUE"""),"cas_hmw")</f>
        <v>cas_hmw</v>
      </c>
      <c r="B19959" s="5">
        <f>IFERROR(__xludf.DUMMYFUNCTION("""COMPUTED_VALUE"""),44781.0)</f>
        <v>44781</v>
      </c>
      <c r="C19959" s="6">
        <f>IFERROR(__xludf.DUMMYFUNCTION("""COMPUTED_VALUE"""),0.33504629629533156)</f>
        <v>0.3350462963</v>
      </c>
      <c r="D19959" s="4">
        <f>IFERROR(__xludf.DUMMYFUNCTION("""COMPUTED_VALUE"""),12.989825)</f>
        <v>12.989825</v>
      </c>
      <c r="E19959" s="4">
        <f>IFERROR(__xludf.DUMMYFUNCTION("""COMPUTED_VALUE"""),80.179474)</f>
        <v>80.179474</v>
      </c>
      <c r="F19959" s="4">
        <f>IFERROR(__xludf.DUMMYFUNCTION("""COMPUTED_VALUE"""),805.0)</f>
        <v>805</v>
      </c>
      <c r="G19959" s="4">
        <f>IFERROR(__xludf.DUMMYFUNCTION("""COMPUTED_VALUE"""),0.0)</f>
        <v>0</v>
      </c>
      <c r="H19959" s="4"/>
      <c r="I19959" s="4"/>
    </row>
    <row r="19960">
      <c r="A19960" s="4" t="str">
        <f>IFERROR(__xludf.DUMMYFUNCTION("""COMPUTED_VALUE"""),"cas_hmw")</f>
        <v>cas_hmw</v>
      </c>
      <c r="B19960" s="5">
        <f>IFERROR(__xludf.DUMMYFUNCTION("""COMPUTED_VALUE"""),44781.0)</f>
        <v>44781</v>
      </c>
      <c r="C19960" s="6">
        <f>IFERROR(__xludf.DUMMYFUNCTION("""COMPUTED_VALUE"""),0.33512731481459923)</f>
        <v>0.3351273148</v>
      </c>
      <c r="D19960" s="4">
        <f>IFERROR(__xludf.DUMMYFUNCTION("""COMPUTED_VALUE"""),12.762548)</f>
        <v>12.762548</v>
      </c>
      <c r="E19960" s="4">
        <f>IFERROR(__xludf.DUMMYFUNCTION("""COMPUTED_VALUE"""),80.003803)</f>
        <v>80.003803</v>
      </c>
      <c r="F19960" s="4">
        <f>IFERROR(__xludf.DUMMYFUNCTION("""COMPUTED_VALUE"""),2846.0)</f>
        <v>2846</v>
      </c>
      <c r="G19960" s="4">
        <f>IFERROR(__xludf.DUMMYFUNCTION("""COMPUTED_VALUE"""),13.0)</f>
        <v>13</v>
      </c>
      <c r="H19960" s="4"/>
      <c r="I19960" s="4"/>
    </row>
    <row r="19961">
      <c r="A19961" s="4" t="str">
        <f>IFERROR(__xludf.DUMMYFUNCTION("""COMPUTED_VALUE"""),"cas_hmw")</f>
        <v>cas_hmw</v>
      </c>
      <c r="B19961" s="5">
        <f>IFERROR(__xludf.DUMMYFUNCTION("""COMPUTED_VALUE"""),44781.0)</f>
        <v>44781</v>
      </c>
      <c r="C19961" s="6">
        <f>IFERROR(__xludf.DUMMYFUNCTION("""COMPUTED_VALUE"""),0.3351736111108039)</f>
        <v>0.3351736111</v>
      </c>
      <c r="D19961" s="4">
        <f>IFERROR(__xludf.DUMMYFUNCTION("""COMPUTED_VALUE"""),12.959417)</f>
        <v>12.959417</v>
      </c>
      <c r="E19961" s="4">
        <f>IFERROR(__xludf.DUMMYFUNCTION("""COMPUTED_VALUE"""),80.14492)</f>
        <v>80.14492</v>
      </c>
      <c r="F19961" s="4">
        <f>IFERROR(__xludf.DUMMYFUNCTION("""COMPUTED_VALUE"""),3143.0)</f>
        <v>3143</v>
      </c>
      <c r="G19961" s="4">
        <f>IFERROR(__xludf.DUMMYFUNCTION("""COMPUTED_VALUE"""),41.0)</f>
        <v>41</v>
      </c>
      <c r="H19961" s="4"/>
      <c r="I19961" s="4"/>
    </row>
    <row r="19962">
      <c r="A19962" s="4" t="str">
        <f>IFERROR(__xludf.DUMMYFUNCTION("""COMPUTED_VALUE"""),"cas_hmw")</f>
        <v>cas_hmw</v>
      </c>
      <c r="B19962" s="5">
        <f>IFERROR(__xludf.DUMMYFUNCTION("""COMPUTED_VALUE"""),44781.0)</f>
        <v>44781</v>
      </c>
      <c r="C19962" s="6">
        <f>IFERROR(__xludf.DUMMYFUNCTION("""COMPUTED_VALUE"""),0.3351736111108039)</f>
        <v>0.3351736111</v>
      </c>
      <c r="D19962" s="4">
        <f>IFERROR(__xludf.DUMMYFUNCTION("""COMPUTED_VALUE"""),12.762548)</f>
        <v>12.762548</v>
      </c>
      <c r="E19962" s="4">
        <f>IFERROR(__xludf.DUMMYFUNCTION("""COMPUTED_VALUE"""),80.003803)</f>
        <v>80.003803</v>
      </c>
      <c r="F19962" s="4">
        <f>IFERROR(__xludf.DUMMYFUNCTION("""COMPUTED_VALUE"""),2846.0)</f>
        <v>2846</v>
      </c>
      <c r="G19962" s="4">
        <f>IFERROR(__xludf.DUMMYFUNCTION("""COMPUTED_VALUE"""),13.0)</f>
        <v>13</v>
      </c>
      <c r="H19962" s="4"/>
      <c r="I19962" s="4"/>
    </row>
    <row r="19963">
      <c r="A19963" s="4" t="str">
        <f>IFERROR(__xludf.DUMMYFUNCTION("""COMPUTED_VALUE"""),"cas_hmw")</f>
        <v>cas_hmw</v>
      </c>
      <c r="B19963" s="5">
        <f>IFERROR(__xludf.DUMMYFUNCTION("""COMPUTED_VALUE"""),44781.0)</f>
        <v>44781</v>
      </c>
      <c r="C19963" s="6">
        <f>IFERROR(__xludf.DUMMYFUNCTION("""COMPUTED_VALUE"""),0.3352430555569299)</f>
        <v>0.3352430556</v>
      </c>
      <c r="D19963" s="4">
        <f>IFERROR(__xludf.DUMMYFUNCTION("""COMPUTED_VALUE"""),12.958433)</f>
        <v>12.958433</v>
      </c>
      <c r="E19963" s="4">
        <f>IFERROR(__xludf.DUMMYFUNCTION("""COMPUTED_VALUE"""),80.144406)</f>
        <v>80.144406</v>
      </c>
      <c r="F19963" s="4">
        <f>IFERROR(__xludf.DUMMYFUNCTION("""COMPUTED_VALUE"""),3143.0)</f>
        <v>3143</v>
      </c>
      <c r="G19963" s="4">
        <f>IFERROR(__xludf.DUMMYFUNCTION("""COMPUTED_VALUE"""),41.0)</f>
        <v>41</v>
      </c>
      <c r="H19963" s="4"/>
      <c r="I19963" s="4"/>
    </row>
    <row r="19964">
      <c r="A19964" s="4" t="str">
        <f>IFERROR(__xludf.DUMMYFUNCTION("""COMPUTED_VALUE"""),"cas_hmw")</f>
        <v>cas_hmw</v>
      </c>
      <c r="B19964" s="5">
        <f>IFERROR(__xludf.DUMMYFUNCTION("""COMPUTED_VALUE"""),44781.0)</f>
        <v>44781</v>
      </c>
      <c r="C19964" s="6">
        <f>IFERROR(__xludf.DUMMYFUNCTION("""COMPUTED_VALUE"""),0.33548611111109494)</f>
        <v>0.3354861111</v>
      </c>
      <c r="D19964" s="4">
        <f>IFERROR(__xludf.DUMMYFUNCTION("""COMPUTED_VALUE"""),12.956899)</f>
        <v>12.956899</v>
      </c>
      <c r="E19964" s="4">
        <f>IFERROR(__xludf.DUMMYFUNCTION("""COMPUTED_VALUE"""),80.143654)</f>
        <v>80.143654</v>
      </c>
      <c r="F19964" s="4">
        <f>IFERROR(__xludf.DUMMYFUNCTION("""COMPUTED_VALUE"""),3143.0)</f>
        <v>3143</v>
      </c>
      <c r="G19964" s="4">
        <f>IFERROR(__xludf.DUMMYFUNCTION("""COMPUTED_VALUE"""),30.0)</f>
        <v>30</v>
      </c>
      <c r="H19964" s="4"/>
      <c r="I19964" s="4"/>
    </row>
    <row r="19965">
      <c r="A19965" s="4" t="str">
        <f>IFERROR(__xludf.DUMMYFUNCTION("""COMPUTED_VALUE"""),"cas_hmw")</f>
        <v>cas_hmw</v>
      </c>
      <c r="B19965" s="5">
        <f>IFERROR(__xludf.DUMMYFUNCTION("""COMPUTED_VALUE"""),44781.0)</f>
        <v>44781</v>
      </c>
      <c r="C19965" s="6">
        <f>IFERROR(__xludf.DUMMYFUNCTION("""COMPUTED_VALUE"""),0.3355787037035043)</f>
        <v>0.3355787037</v>
      </c>
      <c r="D19965" s="4">
        <f>IFERROR(__xludf.DUMMYFUNCTION("""COMPUTED_VALUE"""),12.956259)</f>
        <v>12.956259</v>
      </c>
      <c r="E19965" s="4">
        <f>IFERROR(__xludf.DUMMYFUNCTION("""COMPUTED_VALUE"""),80.143334)</f>
        <v>80.143334</v>
      </c>
      <c r="F19965" s="4">
        <f>IFERROR(__xludf.DUMMYFUNCTION("""COMPUTED_VALUE"""),3143.0)</f>
        <v>3143</v>
      </c>
      <c r="G19965" s="4">
        <f>IFERROR(__xludf.DUMMYFUNCTION("""COMPUTED_VALUE"""),26.0)</f>
        <v>26</v>
      </c>
      <c r="H19965" s="4"/>
      <c r="I19965" s="4"/>
    </row>
    <row r="19966">
      <c r="A19966" s="4" t="str">
        <f>IFERROR(__xludf.DUMMYFUNCTION("""COMPUTED_VALUE"""),"cas_hmw")</f>
        <v>cas_hmw</v>
      </c>
      <c r="B19966" s="5">
        <f>IFERROR(__xludf.DUMMYFUNCTION("""COMPUTED_VALUE"""),44781.0)</f>
        <v>44781</v>
      </c>
      <c r="C19966" s="6">
        <f>IFERROR(__xludf.DUMMYFUNCTION("""COMPUTED_VALUE"""),0.33567129629591363)</f>
        <v>0.3356712963</v>
      </c>
      <c r="D19966" s="4">
        <f>IFERROR(__xludf.DUMMYFUNCTION("""COMPUTED_VALUE"""),12.955574)</f>
        <v>12.955574</v>
      </c>
      <c r="E19966" s="4">
        <f>IFERROR(__xludf.DUMMYFUNCTION("""COMPUTED_VALUE"""),80.14297)</f>
        <v>80.14297</v>
      </c>
      <c r="F19966" s="4">
        <f>IFERROR(__xludf.DUMMYFUNCTION("""COMPUTED_VALUE"""),3143.0)</f>
        <v>3143</v>
      </c>
      <c r="G19966" s="4">
        <f>IFERROR(__xludf.DUMMYFUNCTION("""COMPUTED_VALUE"""),30.0)</f>
        <v>30</v>
      </c>
      <c r="H19966" s="4"/>
      <c r="I19966" s="4"/>
    </row>
    <row r="19967">
      <c r="A19967" s="4" t="str">
        <f>IFERROR(__xludf.DUMMYFUNCTION("""COMPUTED_VALUE"""),"cas_hmw")</f>
        <v>cas_hmw</v>
      </c>
      <c r="B19967" s="5">
        <f>IFERROR(__xludf.DUMMYFUNCTION("""COMPUTED_VALUE"""),44781.0)</f>
        <v>44781</v>
      </c>
      <c r="C19967" s="6">
        <f>IFERROR(__xludf.DUMMYFUNCTION("""COMPUTED_VALUE"""),0.3357523148151813)</f>
        <v>0.3357523148</v>
      </c>
      <c r="D19967" s="4">
        <f>IFERROR(__xludf.DUMMYFUNCTION("""COMPUTED_VALUE"""),12.986804)</f>
        <v>12.986804</v>
      </c>
      <c r="E19967" s="4">
        <f>IFERROR(__xludf.DUMMYFUNCTION("""COMPUTED_VALUE"""),80.175382)</f>
        <v>80.175382</v>
      </c>
      <c r="F19967" s="4">
        <f>IFERROR(__xludf.DUMMYFUNCTION("""COMPUTED_VALUE"""),805.0)</f>
        <v>805</v>
      </c>
      <c r="G19967" s="4">
        <f>IFERROR(__xludf.DUMMYFUNCTION("""COMPUTED_VALUE"""),0.0)</f>
        <v>0</v>
      </c>
      <c r="H19967" s="4"/>
      <c r="I19967" s="4"/>
    </row>
    <row r="19968">
      <c r="A19968" s="4" t="str">
        <f>IFERROR(__xludf.DUMMYFUNCTION("""COMPUTED_VALUE"""),"cas_hmw")</f>
        <v>cas_hmw</v>
      </c>
      <c r="B19968" s="5">
        <f>IFERROR(__xludf.DUMMYFUNCTION("""COMPUTED_VALUE"""),44781.0)</f>
        <v>44781</v>
      </c>
      <c r="C19968" s="6">
        <f>IFERROR(__xludf.DUMMYFUNCTION("""COMPUTED_VALUE"""),0.3357523148151813)</f>
        <v>0.3357523148</v>
      </c>
      <c r="D19968" s="4">
        <f>IFERROR(__xludf.DUMMYFUNCTION("""COMPUTED_VALUE"""),12.986804)</f>
        <v>12.986804</v>
      </c>
      <c r="E19968" s="4">
        <f>IFERROR(__xludf.DUMMYFUNCTION("""COMPUTED_VALUE"""),80.175382)</f>
        <v>80.175382</v>
      </c>
      <c r="F19968" s="4">
        <f>IFERROR(__xludf.DUMMYFUNCTION("""COMPUTED_VALUE"""),805.0)</f>
        <v>805</v>
      </c>
      <c r="G19968" s="4">
        <f>IFERROR(__xludf.DUMMYFUNCTION("""COMPUTED_VALUE"""),0.0)</f>
        <v>0</v>
      </c>
      <c r="H19968" s="4"/>
      <c r="I19968" s="4"/>
    </row>
    <row r="19969">
      <c r="A19969" s="4" t="str">
        <f>IFERROR(__xludf.DUMMYFUNCTION("""COMPUTED_VALUE"""),"cas_hmw")</f>
        <v>cas_hmw</v>
      </c>
      <c r="B19969" s="5">
        <f>IFERROR(__xludf.DUMMYFUNCTION("""COMPUTED_VALUE"""),44781.0)</f>
        <v>44781</v>
      </c>
      <c r="C19969" s="6">
        <f>IFERROR(__xludf.DUMMYFUNCTION("""COMPUTED_VALUE"""),0.33577546296146465)</f>
        <v>0.335775463</v>
      </c>
      <c r="D19969" s="4">
        <f>IFERROR(__xludf.DUMMYFUNCTION("""COMPUTED_VALUE"""),12.954896)</f>
        <v>12.954896</v>
      </c>
      <c r="E19969" s="4">
        <f>IFERROR(__xludf.DUMMYFUNCTION("""COMPUTED_VALUE"""),80.142574)</f>
        <v>80.142574</v>
      </c>
      <c r="F19969" s="4">
        <f>IFERROR(__xludf.DUMMYFUNCTION("""COMPUTED_VALUE"""),3143.0)</f>
        <v>3143</v>
      </c>
      <c r="G19969" s="4">
        <f>IFERROR(__xludf.DUMMYFUNCTION("""COMPUTED_VALUE"""),25.0)</f>
        <v>25</v>
      </c>
      <c r="H19969" s="4"/>
      <c r="I19969" s="4"/>
    </row>
    <row r="19970">
      <c r="A19970" s="4" t="str">
        <f>IFERROR(__xludf.DUMMYFUNCTION("""COMPUTED_VALUE"""),"cas_hmw")</f>
        <v>cas_hmw</v>
      </c>
      <c r="B19970" s="5">
        <f>IFERROR(__xludf.DUMMYFUNCTION("""COMPUTED_VALUE"""),44781.0)</f>
        <v>44781</v>
      </c>
      <c r="C19970" s="6">
        <f>IFERROR(__xludf.DUMMYFUNCTION("""COMPUTED_VALUE"""),0.3358564814807323)</f>
        <v>0.3358564815</v>
      </c>
      <c r="D19970" s="4">
        <f>IFERROR(__xludf.DUMMYFUNCTION("""COMPUTED_VALUE"""),12.954896)</f>
        <v>12.954896</v>
      </c>
      <c r="E19970" s="4">
        <f>IFERROR(__xludf.DUMMYFUNCTION("""COMPUTED_VALUE"""),80.142574)</f>
        <v>80.142574</v>
      </c>
      <c r="F19970" s="4">
        <f>IFERROR(__xludf.DUMMYFUNCTION("""COMPUTED_VALUE"""),3143.0)</f>
        <v>3143</v>
      </c>
      <c r="G19970" s="4">
        <f>IFERROR(__xludf.DUMMYFUNCTION("""COMPUTED_VALUE"""),25.0)</f>
        <v>25</v>
      </c>
      <c r="H19970" s="4"/>
      <c r="I19970" s="4"/>
    </row>
    <row r="19971">
      <c r="A19971" s="4" t="str">
        <f>IFERROR(__xludf.DUMMYFUNCTION("""COMPUTED_VALUE"""),"cas_hmw")</f>
        <v>cas_hmw</v>
      </c>
      <c r="B19971" s="5">
        <f>IFERROR(__xludf.DUMMYFUNCTION("""COMPUTED_VALUE"""),44781.0)</f>
        <v>44781</v>
      </c>
      <c r="C19971" s="6">
        <f>IFERROR(__xludf.DUMMYFUNCTION("""COMPUTED_VALUE"""),0.3359375)</f>
        <v>0.3359375</v>
      </c>
      <c r="D19971" s="4">
        <f>IFERROR(__xludf.DUMMYFUNCTION("""COMPUTED_VALUE"""),12.954319)</f>
        <v>12.954319</v>
      </c>
      <c r="E19971" s="4">
        <f>IFERROR(__xludf.DUMMYFUNCTION("""COMPUTED_VALUE"""),80.142242)</f>
        <v>80.142242</v>
      </c>
      <c r="F19971" s="4">
        <f>IFERROR(__xludf.DUMMYFUNCTION("""COMPUTED_VALUE"""),3143.0)</f>
        <v>3143</v>
      </c>
      <c r="G19971" s="4">
        <f>IFERROR(__xludf.DUMMYFUNCTION("""COMPUTED_VALUE"""),27.0)</f>
        <v>27</v>
      </c>
      <c r="H19971" s="4"/>
      <c r="I19971" s="4"/>
    </row>
    <row r="19972">
      <c r="A19972" s="4" t="str">
        <f>IFERROR(__xludf.DUMMYFUNCTION("""COMPUTED_VALUE"""),"cas_hmw")</f>
        <v>cas_hmw</v>
      </c>
      <c r="B19972" s="5">
        <f>IFERROR(__xludf.DUMMYFUNCTION("""COMPUTED_VALUE"""),44781.0)</f>
        <v>44781</v>
      </c>
      <c r="C19972" s="6">
        <f>IFERROR(__xludf.DUMMYFUNCTION("""COMPUTED_VALUE"""),0.3359606481499213)</f>
        <v>0.3359606481</v>
      </c>
      <c r="D19972" s="4">
        <f>IFERROR(__xludf.DUMMYFUNCTION("""COMPUTED_VALUE"""),12.954319)</f>
        <v>12.954319</v>
      </c>
      <c r="E19972" s="4">
        <f>IFERROR(__xludf.DUMMYFUNCTION("""COMPUTED_VALUE"""),80.142242)</f>
        <v>80.142242</v>
      </c>
      <c r="F19972" s="4">
        <f>IFERROR(__xludf.DUMMYFUNCTION("""COMPUTED_VALUE"""),3143.0)</f>
        <v>3143</v>
      </c>
      <c r="G19972" s="4">
        <f>IFERROR(__xludf.DUMMYFUNCTION("""COMPUTED_VALUE"""),27.0)</f>
        <v>27</v>
      </c>
      <c r="H19972" s="4"/>
      <c r="I19972" s="4"/>
    </row>
    <row r="19973">
      <c r="A19973" s="4" t="str">
        <f>IFERROR(__xludf.DUMMYFUNCTION("""COMPUTED_VALUE"""),"cas_hmw")</f>
        <v>cas_hmw</v>
      </c>
      <c r="B19973" s="5">
        <f>IFERROR(__xludf.DUMMYFUNCTION("""COMPUTED_VALUE"""),44781.0)</f>
        <v>44781</v>
      </c>
      <c r="C19973" s="6">
        <f>IFERROR(__xludf.DUMMYFUNCTION("""COMPUTED_VALUE"""),0.336006944446126)</f>
        <v>0.3360069444</v>
      </c>
      <c r="D19973" s="4">
        <f>IFERROR(__xludf.DUMMYFUNCTION("""COMPUTED_VALUE"""),12.953702)</f>
        <v>12.953702</v>
      </c>
      <c r="E19973" s="4">
        <f>IFERROR(__xludf.DUMMYFUNCTION("""COMPUTED_VALUE"""),80.141916)</f>
        <v>80.141916</v>
      </c>
      <c r="F19973" s="4">
        <f>IFERROR(__xludf.DUMMYFUNCTION("""COMPUTED_VALUE"""),3143.0)</f>
        <v>3143</v>
      </c>
      <c r="G19973" s="4">
        <f>IFERROR(__xludf.DUMMYFUNCTION("""COMPUTED_VALUE"""),27.0)</f>
        <v>27</v>
      </c>
      <c r="H19973" s="4"/>
      <c r="I19973" s="4"/>
    </row>
    <row r="19974">
      <c r="A19974" s="4" t="str">
        <f>IFERROR(__xludf.DUMMYFUNCTION("""COMPUTED_VALUE"""),"cas_hmw")</f>
        <v>cas_hmw</v>
      </c>
      <c r="B19974" s="5">
        <f>IFERROR(__xludf.DUMMYFUNCTION("""COMPUTED_VALUE"""),44781.0)</f>
        <v>44781</v>
      </c>
      <c r="C19974" s="6">
        <f>IFERROR(__xludf.DUMMYFUNCTION("""COMPUTED_VALUE"""),0.33616898148102337)</f>
        <v>0.3361689815</v>
      </c>
      <c r="D19974" s="4">
        <f>IFERROR(__xludf.DUMMYFUNCTION("""COMPUTED_VALUE"""),12.953111)</f>
        <v>12.953111</v>
      </c>
      <c r="E19974" s="4">
        <f>IFERROR(__xludf.DUMMYFUNCTION("""COMPUTED_VALUE"""),80.141586)</f>
        <v>80.141586</v>
      </c>
      <c r="F19974" s="4">
        <f>IFERROR(__xludf.DUMMYFUNCTION("""COMPUTED_VALUE"""),3143.0)</f>
        <v>3143</v>
      </c>
      <c r="G19974" s="4">
        <f>IFERROR(__xludf.DUMMYFUNCTION("""COMPUTED_VALUE"""),20.0)</f>
        <v>20</v>
      </c>
      <c r="H19974" s="4"/>
      <c r="I19974" s="4"/>
    </row>
    <row r="19975">
      <c r="A19975" s="4" t="str">
        <f>IFERROR(__xludf.DUMMYFUNCTION("""COMPUTED_VALUE"""),"cas_hmw")</f>
        <v>cas_hmw</v>
      </c>
      <c r="B19975" s="5">
        <f>IFERROR(__xludf.DUMMYFUNCTION("""COMPUTED_VALUE"""),44781.0)</f>
        <v>44781</v>
      </c>
      <c r="C19975" s="6">
        <f>IFERROR(__xludf.DUMMYFUNCTION("""COMPUTED_VALUE"""),0.3361921296309447)</f>
        <v>0.3361921296</v>
      </c>
      <c r="D19975" s="4">
        <f>IFERROR(__xludf.DUMMYFUNCTION("""COMPUTED_VALUE"""),12.953111)</f>
        <v>12.953111</v>
      </c>
      <c r="E19975" s="4">
        <f>IFERROR(__xludf.DUMMYFUNCTION("""COMPUTED_VALUE"""),80.141586)</f>
        <v>80.141586</v>
      </c>
      <c r="F19975" s="4">
        <f>IFERROR(__xludf.DUMMYFUNCTION("""COMPUTED_VALUE"""),3143.0)</f>
        <v>3143</v>
      </c>
      <c r="G19975" s="4">
        <f>IFERROR(__xludf.DUMMYFUNCTION("""COMPUTED_VALUE"""),20.0)</f>
        <v>20</v>
      </c>
      <c r="H19975" s="4"/>
      <c r="I19975" s="4"/>
    </row>
    <row r="19976">
      <c r="A19976" s="4" t="str">
        <f>IFERROR(__xludf.DUMMYFUNCTION("""COMPUTED_VALUE"""),"cas_hmw")</f>
        <v>cas_hmw</v>
      </c>
      <c r="B19976" s="5">
        <f>IFERROR(__xludf.DUMMYFUNCTION("""COMPUTED_VALUE"""),44781.0)</f>
        <v>44781</v>
      </c>
      <c r="C19976" s="6">
        <f>IFERROR(__xludf.DUMMYFUNCTION("""COMPUTED_VALUE"""),0.33620370370408637)</f>
        <v>0.3362037037</v>
      </c>
      <c r="D19976" s="4">
        <f>IFERROR(__xludf.DUMMYFUNCTION("""COMPUTED_VALUE"""),12.953111)</f>
        <v>12.953111</v>
      </c>
      <c r="E19976" s="4">
        <f>IFERROR(__xludf.DUMMYFUNCTION("""COMPUTED_VALUE"""),80.141586)</f>
        <v>80.141586</v>
      </c>
      <c r="F19976" s="4">
        <f>IFERROR(__xludf.DUMMYFUNCTION("""COMPUTED_VALUE"""),3143.0)</f>
        <v>3143</v>
      </c>
      <c r="G19976" s="4">
        <f>IFERROR(__xludf.DUMMYFUNCTION("""COMPUTED_VALUE"""),20.0)</f>
        <v>20</v>
      </c>
      <c r="H19976" s="4"/>
      <c r="I19976" s="4"/>
    </row>
    <row r="19977">
      <c r="A19977" s="4" t="str">
        <f>IFERROR(__xludf.DUMMYFUNCTION("""COMPUTED_VALUE"""),"cas_hmw")</f>
        <v>cas_hmw</v>
      </c>
      <c r="B19977" s="5">
        <f>IFERROR(__xludf.DUMMYFUNCTION("""COMPUTED_VALUE"""),44781.0)</f>
        <v>44781</v>
      </c>
      <c r="C19977" s="6">
        <f>IFERROR(__xludf.DUMMYFUNCTION("""COMPUTED_VALUE"""),0.33620370370408637)</f>
        <v>0.3362037037</v>
      </c>
      <c r="D19977" s="4">
        <f>IFERROR(__xludf.DUMMYFUNCTION("""COMPUTED_VALUE"""),12.953111)</f>
        <v>12.953111</v>
      </c>
      <c r="E19977" s="4">
        <f>IFERROR(__xludf.DUMMYFUNCTION("""COMPUTED_VALUE"""),80.141586)</f>
        <v>80.141586</v>
      </c>
      <c r="F19977" s="4">
        <f>IFERROR(__xludf.DUMMYFUNCTION("""COMPUTED_VALUE"""),3143.0)</f>
        <v>3143</v>
      </c>
      <c r="G19977" s="4">
        <f>IFERROR(__xludf.DUMMYFUNCTION("""COMPUTED_VALUE"""),20.0)</f>
        <v>20</v>
      </c>
      <c r="H19977" s="4"/>
      <c r="I19977" s="4"/>
    </row>
    <row r="19978">
      <c r="A19978" s="4" t="str">
        <f>IFERROR(__xludf.DUMMYFUNCTION("""COMPUTED_VALUE"""),"cas_hmw")</f>
        <v>cas_hmw</v>
      </c>
      <c r="B19978" s="5">
        <f>IFERROR(__xludf.DUMMYFUNCTION("""COMPUTED_VALUE"""),44781.0)</f>
        <v>44781</v>
      </c>
      <c r="C19978" s="6">
        <f>IFERROR(__xludf.DUMMYFUNCTION("""COMPUTED_VALUE"""),0.3363078703696374)</f>
        <v>0.3363078704</v>
      </c>
      <c r="D19978" s="4">
        <f>IFERROR(__xludf.DUMMYFUNCTION("""COMPUTED_VALUE"""),12.985856)</f>
        <v>12.985856</v>
      </c>
      <c r="E19978" s="4">
        <f>IFERROR(__xludf.DUMMYFUNCTION("""COMPUTED_VALUE"""),80.173965)</f>
        <v>80.173965</v>
      </c>
      <c r="F19978" s="4">
        <f>IFERROR(__xludf.DUMMYFUNCTION("""COMPUTED_VALUE"""),805.0)</f>
        <v>805</v>
      </c>
      <c r="G19978" s="4">
        <f>IFERROR(__xludf.DUMMYFUNCTION("""COMPUTED_VALUE"""),37.0)</f>
        <v>37</v>
      </c>
      <c r="H19978" s="4"/>
      <c r="I19978" s="4"/>
    </row>
    <row r="19979">
      <c r="A19979" s="4" t="str">
        <f>IFERROR(__xludf.DUMMYFUNCTION("""COMPUTED_VALUE"""),"cas_hmw")</f>
        <v>cas_hmw</v>
      </c>
      <c r="B19979" s="5">
        <f>IFERROR(__xludf.DUMMYFUNCTION("""COMPUTED_VALUE"""),44781.0)</f>
        <v>44781</v>
      </c>
      <c r="C19979" s="6">
        <f>IFERROR(__xludf.DUMMYFUNCTION("""COMPUTED_VALUE"""),0.3363425925927004)</f>
        <v>0.3363425926</v>
      </c>
      <c r="D19979" s="4">
        <f>IFERROR(__xludf.DUMMYFUNCTION("""COMPUTED_VALUE"""),12.985856)</f>
        <v>12.985856</v>
      </c>
      <c r="E19979" s="4">
        <f>IFERROR(__xludf.DUMMYFUNCTION("""COMPUTED_VALUE"""),80.173965)</f>
        <v>80.173965</v>
      </c>
      <c r="F19979" s="4">
        <f>IFERROR(__xludf.DUMMYFUNCTION("""COMPUTED_VALUE"""),805.0)</f>
        <v>805</v>
      </c>
      <c r="G19979" s="4">
        <f>IFERROR(__xludf.DUMMYFUNCTION("""COMPUTED_VALUE"""),37.0)</f>
        <v>37</v>
      </c>
      <c r="H19979" s="4"/>
      <c r="I19979" s="4"/>
    </row>
    <row r="19980">
      <c r="A19980" s="4" t="str">
        <f>IFERROR(__xludf.DUMMYFUNCTION("""COMPUTED_VALUE"""),"cas_hmw")</f>
        <v>cas_hmw</v>
      </c>
      <c r="B19980" s="5">
        <f>IFERROR(__xludf.DUMMYFUNCTION("""COMPUTED_VALUE"""),44781.0)</f>
        <v>44781</v>
      </c>
      <c r="C19980" s="6">
        <f>IFERROR(__xludf.DUMMYFUNCTION("""COMPUTED_VALUE"""),0.33640046296204673)</f>
        <v>0.336400463</v>
      </c>
      <c r="D19980" s="4">
        <f>IFERROR(__xludf.DUMMYFUNCTION("""COMPUTED_VALUE"""),12.985856)</f>
        <v>12.985856</v>
      </c>
      <c r="E19980" s="4">
        <f>IFERROR(__xludf.DUMMYFUNCTION("""COMPUTED_VALUE"""),80.173965)</f>
        <v>80.173965</v>
      </c>
      <c r="F19980" s="4">
        <f>IFERROR(__xludf.DUMMYFUNCTION("""COMPUTED_VALUE"""),805.0)</f>
        <v>805</v>
      </c>
      <c r="G19980" s="4">
        <f>IFERROR(__xludf.DUMMYFUNCTION("""COMPUTED_VALUE"""),37.0)</f>
        <v>37</v>
      </c>
      <c r="H19980" s="4"/>
      <c r="I19980" s="4"/>
    </row>
    <row r="19981">
      <c r="A19981" s="4" t="str">
        <f>IFERROR(__xludf.DUMMYFUNCTION("""COMPUTED_VALUE"""),"cas_hmw")</f>
        <v>cas_hmw</v>
      </c>
      <c r="B19981" s="5">
        <f>IFERROR(__xludf.DUMMYFUNCTION("""COMPUTED_VALUE"""),44781.0)</f>
        <v>44781</v>
      </c>
      <c r="C19981" s="6">
        <f>IFERROR(__xludf.DUMMYFUNCTION("""COMPUTED_VALUE"""),0.33657407407372375)</f>
        <v>0.3365740741</v>
      </c>
      <c r="D19981" s="4">
        <f>IFERROR(__xludf.DUMMYFUNCTION("""COMPUTED_VALUE"""),12.949714)</f>
        <v>12.949714</v>
      </c>
      <c r="E19981" s="4">
        <f>IFERROR(__xludf.DUMMYFUNCTION("""COMPUTED_VALUE"""),80.139076)</f>
        <v>80.139076</v>
      </c>
      <c r="F19981" s="4">
        <f>IFERROR(__xludf.DUMMYFUNCTION("""COMPUTED_VALUE"""),5339.0)</f>
        <v>5339</v>
      </c>
      <c r="G19981" s="4">
        <f>IFERROR(__xludf.DUMMYFUNCTION("""COMPUTED_VALUE"""),34.0)</f>
        <v>34</v>
      </c>
      <c r="H19981" s="4"/>
      <c r="I19981" s="4"/>
    </row>
    <row r="19982">
      <c r="A19982" s="4" t="str">
        <f>IFERROR(__xludf.DUMMYFUNCTION("""COMPUTED_VALUE"""),"cas_hmw")</f>
        <v>cas_hmw</v>
      </c>
      <c r="B19982" s="5">
        <f>IFERROR(__xludf.DUMMYFUNCTION("""COMPUTED_VALUE"""),44781.0)</f>
        <v>44781</v>
      </c>
      <c r="C19982" s="6">
        <f>IFERROR(__xludf.DUMMYFUNCTION("""COMPUTED_VALUE"""),0.33664351851984975)</f>
        <v>0.3366435185</v>
      </c>
      <c r="D19982" s="4">
        <f>IFERROR(__xludf.DUMMYFUNCTION("""COMPUTED_VALUE"""),12.950658)</f>
        <v>12.950658</v>
      </c>
      <c r="E19982" s="4">
        <f>IFERROR(__xludf.DUMMYFUNCTION("""COMPUTED_VALUE"""),80.139851)</f>
        <v>80.139851</v>
      </c>
      <c r="F19982" s="4">
        <f>IFERROR(__xludf.DUMMYFUNCTION("""COMPUTED_VALUE"""),3143.0)</f>
        <v>3143</v>
      </c>
      <c r="G19982" s="4">
        <f>IFERROR(__xludf.DUMMYFUNCTION("""COMPUTED_VALUE"""),34.0)</f>
        <v>34</v>
      </c>
      <c r="H19982" s="4"/>
      <c r="I19982" s="4"/>
    </row>
    <row r="19983">
      <c r="A19983" s="4" t="str">
        <f>IFERROR(__xludf.DUMMYFUNCTION("""COMPUTED_VALUE"""),"cas_hmw")</f>
        <v>cas_hmw</v>
      </c>
      <c r="B19983" s="5">
        <f>IFERROR(__xludf.DUMMYFUNCTION("""COMPUTED_VALUE"""),44781.0)</f>
        <v>44781</v>
      </c>
      <c r="C19983" s="6">
        <f>IFERROR(__xludf.DUMMYFUNCTION("""COMPUTED_VALUE"""),0.3367013888891961)</f>
        <v>0.3367013889</v>
      </c>
      <c r="D19983" s="4">
        <f>IFERROR(__xludf.DUMMYFUNCTION("""COMPUTED_VALUE"""),12.949846)</f>
        <v>12.949846</v>
      </c>
      <c r="E19983" s="4">
        <f>IFERROR(__xludf.DUMMYFUNCTION("""COMPUTED_VALUE"""),80.139195)</f>
        <v>80.139195</v>
      </c>
      <c r="F19983" s="4">
        <f>IFERROR(__xludf.DUMMYFUNCTION("""COMPUTED_VALUE"""),3143.0)</f>
        <v>3143</v>
      </c>
      <c r="G19983" s="4">
        <f>IFERROR(__xludf.DUMMYFUNCTION("""COMPUTED_VALUE"""),40.0)</f>
        <v>40</v>
      </c>
      <c r="H19983" s="4"/>
      <c r="I19983" s="4"/>
    </row>
    <row r="19984">
      <c r="A19984" s="4" t="str">
        <f>IFERROR(__xludf.DUMMYFUNCTION("""COMPUTED_VALUE"""),"cas_hmw")</f>
        <v>cas_hmw</v>
      </c>
      <c r="B19984" s="5">
        <f>IFERROR(__xludf.DUMMYFUNCTION("""COMPUTED_VALUE"""),44781.0)</f>
        <v>44781</v>
      </c>
      <c r="C19984" s="6">
        <f>IFERROR(__xludf.DUMMYFUNCTION("""COMPUTED_VALUE"""),0.3369560185201408)</f>
        <v>0.3369560185</v>
      </c>
      <c r="D19984" s="4">
        <f>IFERROR(__xludf.DUMMYFUNCTION("""COMPUTED_VALUE"""),12.982968)</f>
        <v>12.982968</v>
      </c>
      <c r="E19984" s="4">
        <f>IFERROR(__xludf.DUMMYFUNCTION("""COMPUTED_VALUE"""),80.16935)</f>
        <v>80.16935</v>
      </c>
      <c r="F19984" s="4">
        <f>IFERROR(__xludf.DUMMYFUNCTION("""COMPUTED_VALUE"""),805.0)</f>
        <v>805</v>
      </c>
      <c r="G19984" s="4">
        <f>IFERROR(__xludf.DUMMYFUNCTION("""COMPUTED_VALUE"""),57.0)</f>
        <v>57</v>
      </c>
      <c r="H19984" s="4"/>
      <c r="I19984" s="4"/>
    </row>
    <row r="19985">
      <c r="A19985" s="4" t="str">
        <f>IFERROR(__xludf.DUMMYFUNCTION("""COMPUTED_VALUE"""),"cas_hmw")</f>
        <v>cas_hmw</v>
      </c>
      <c r="B19985" s="5">
        <f>IFERROR(__xludf.DUMMYFUNCTION("""COMPUTED_VALUE"""),44781.0)</f>
        <v>44781</v>
      </c>
      <c r="C19985" s="6">
        <f>IFERROR(__xludf.DUMMYFUNCTION("""COMPUTED_VALUE"""),0.33767361110949423)</f>
        <v>0.3376736111</v>
      </c>
      <c r="D19985" s="4">
        <f>IFERROR(__xludf.DUMMYFUNCTION("""COMPUTED_VALUE"""),12.944446)</f>
        <v>12.944446</v>
      </c>
      <c r="E19985" s="4">
        <f>IFERROR(__xludf.DUMMYFUNCTION("""COMPUTED_VALUE"""),80.134973)</f>
        <v>80.134973</v>
      </c>
      <c r="F19985" s="4">
        <f>IFERROR(__xludf.DUMMYFUNCTION("""COMPUTED_VALUE"""),3143.0)</f>
        <v>3143</v>
      </c>
      <c r="G19985" s="4">
        <f>IFERROR(__xludf.DUMMYFUNCTION("""COMPUTED_VALUE"""),37.0)</f>
        <v>37</v>
      </c>
      <c r="H19985" s="4"/>
      <c r="I19985" s="4"/>
    </row>
    <row r="19986">
      <c r="A19986" s="4" t="str">
        <f>IFERROR(__xludf.DUMMYFUNCTION("""COMPUTED_VALUE"""),"cas_hmw")</f>
        <v>cas_hmw</v>
      </c>
      <c r="B19986" s="5">
        <f>IFERROR(__xludf.DUMMYFUNCTION("""COMPUTED_VALUE"""),44781.0)</f>
        <v>44781</v>
      </c>
      <c r="C19986" s="6">
        <f>IFERROR(__xludf.DUMMYFUNCTION("""COMPUTED_VALUE"""),0.3377199074056989)</f>
        <v>0.3377199074</v>
      </c>
      <c r="D19986" s="4">
        <f>IFERROR(__xludf.DUMMYFUNCTION("""COMPUTED_VALUE"""),12.944044)</f>
        <v>12.944044</v>
      </c>
      <c r="E19986" s="4">
        <f>IFERROR(__xludf.DUMMYFUNCTION("""COMPUTED_VALUE"""),80.134675)</f>
        <v>80.134675</v>
      </c>
      <c r="F19986" s="4">
        <f>IFERROR(__xludf.DUMMYFUNCTION("""COMPUTED_VALUE"""),5339.0)</f>
        <v>5339</v>
      </c>
      <c r="G19986" s="4">
        <f>IFERROR(__xludf.DUMMYFUNCTION("""COMPUTED_VALUE"""),0.0)</f>
        <v>0</v>
      </c>
      <c r="H19986" s="4"/>
      <c r="I19986" s="4"/>
    </row>
    <row r="19987">
      <c r="A19987" s="4" t="str">
        <f>IFERROR(__xludf.DUMMYFUNCTION("""COMPUTED_VALUE"""),"cas_hmw")</f>
        <v>cas_hmw</v>
      </c>
      <c r="B19987" s="5">
        <f>IFERROR(__xludf.DUMMYFUNCTION("""COMPUTED_VALUE"""),44781.0)</f>
        <v>44781</v>
      </c>
      <c r="C19987" s="6">
        <f>IFERROR(__xludf.DUMMYFUNCTION("""COMPUTED_VALUE"""),0.33791666666729725)</f>
        <v>0.3379166667</v>
      </c>
      <c r="D19987" s="4">
        <f>IFERROR(__xludf.DUMMYFUNCTION("""COMPUTED_VALUE"""),12.979914)</f>
        <v>12.979914</v>
      </c>
      <c r="E19987" s="4">
        <f>IFERROR(__xludf.DUMMYFUNCTION("""COMPUTED_VALUE"""),80.163202)</f>
        <v>80.163202</v>
      </c>
      <c r="F19987" s="4">
        <f>IFERROR(__xludf.DUMMYFUNCTION("""COMPUTED_VALUE"""),805.0)</f>
        <v>805</v>
      </c>
      <c r="G19987" s="4">
        <f>IFERROR(__xludf.DUMMYFUNCTION("""COMPUTED_VALUE"""),0.0)</f>
        <v>0</v>
      </c>
      <c r="H19987" s="4"/>
      <c r="I19987" s="4"/>
    </row>
    <row r="19988">
      <c r="A19988" s="4" t="str">
        <f>IFERROR(__xludf.DUMMYFUNCTION("""COMPUTED_VALUE"""),"cas_hmw")</f>
        <v>cas_hmw</v>
      </c>
      <c r="B19988" s="5">
        <f>IFERROR(__xludf.DUMMYFUNCTION("""COMPUTED_VALUE"""),44781.0)</f>
        <v>44781</v>
      </c>
      <c r="C19988" s="6">
        <f>IFERROR(__xludf.DUMMYFUNCTION("""COMPUTED_VALUE"""),0.33842592592554865)</f>
        <v>0.3384259259</v>
      </c>
      <c r="D19988" s="4">
        <f>IFERROR(__xludf.DUMMYFUNCTION("""COMPUTED_VALUE"""),12.941822)</f>
        <v>12.941822</v>
      </c>
      <c r="E19988" s="4">
        <f>IFERROR(__xludf.DUMMYFUNCTION("""COMPUTED_VALUE"""),80.132513)</f>
        <v>80.132513</v>
      </c>
      <c r="F19988" s="4">
        <f>IFERROR(__xludf.DUMMYFUNCTION("""COMPUTED_VALUE"""),3143.0)</f>
        <v>3143</v>
      </c>
      <c r="G19988" s="4">
        <f>IFERROR(__xludf.DUMMYFUNCTION("""COMPUTED_VALUE"""),34.0)</f>
        <v>34</v>
      </c>
      <c r="H19988" s="4"/>
      <c r="I19988" s="4"/>
    </row>
    <row r="19989">
      <c r="A19989" s="4" t="str">
        <f>IFERROR(__xludf.DUMMYFUNCTION("""COMPUTED_VALUE"""),"cas_hmw")</f>
        <v>cas_hmw</v>
      </c>
      <c r="B19989" s="5">
        <f>IFERROR(__xludf.DUMMYFUNCTION("""COMPUTED_VALUE"""),44781.0)</f>
        <v>44781</v>
      </c>
      <c r="C19989" s="6">
        <f>IFERROR(__xludf.DUMMYFUNCTION("""COMPUTED_VALUE"""),0.3385069444448163)</f>
        <v>0.3385069444</v>
      </c>
      <c r="D19989" s="4">
        <f>IFERROR(__xludf.DUMMYFUNCTION("""COMPUTED_VALUE"""),12.941822)</f>
        <v>12.941822</v>
      </c>
      <c r="E19989" s="4">
        <f>IFERROR(__xludf.DUMMYFUNCTION("""COMPUTED_VALUE"""),80.132513)</f>
        <v>80.132513</v>
      </c>
      <c r="F19989" s="4">
        <f>IFERROR(__xludf.DUMMYFUNCTION("""COMPUTED_VALUE"""),3143.0)</f>
        <v>3143</v>
      </c>
      <c r="G19989" s="4">
        <f>IFERROR(__xludf.DUMMYFUNCTION("""COMPUTED_VALUE"""),34.0)</f>
        <v>34</v>
      </c>
      <c r="H19989" s="4"/>
      <c r="I19989" s="4"/>
    </row>
    <row r="19990">
      <c r="A19990" s="4" t="str">
        <f>IFERROR(__xludf.DUMMYFUNCTION("""COMPUTED_VALUE"""),"cas_hmw")</f>
        <v>cas_hmw</v>
      </c>
      <c r="B19990" s="5">
        <f>IFERROR(__xludf.DUMMYFUNCTION("""COMPUTED_VALUE"""),44781.0)</f>
        <v>44781</v>
      </c>
      <c r="C19990" s="6">
        <f>IFERROR(__xludf.DUMMYFUNCTION("""COMPUTED_VALUE"""),0.3385648148141627)</f>
        <v>0.3385648148</v>
      </c>
      <c r="D19990" s="4">
        <f>IFERROR(__xludf.DUMMYFUNCTION("""COMPUTED_VALUE"""),12.976836)</f>
        <v>12.976836</v>
      </c>
      <c r="E19990" s="4">
        <f>IFERROR(__xludf.DUMMYFUNCTION("""COMPUTED_VALUE"""),80.158335)</f>
        <v>80.158335</v>
      </c>
      <c r="F19990" s="4">
        <f>IFERROR(__xludf.DUMMYFUNCTION("""COMPUTED_VALUE"""),805.0)</f>
        <v>805</v>
      </c>
      <c r="G19990" s="4">
        <f>IFERROR(__xludf.DUMMYFUNCTION("""COMPUTED_VALUE"""),57.0)</f>
        <v>57</v>
      </c>
      <c r="H19990" s="4"/>
      <c r="I19990" s="4"/>
    </row>
    <row r="19991">
      <c r="A19991" s="4" t="str">
        <f>IFERROR(__xludf.DUMMYFUNCTION("""COMPUTED_VALUE"""),"cas_hmw")</f>
        <v>cas_hmw</v>
      </c>
      <c r="B19991" s="5">
        <f>IFERROR(__xludf.DUMMYFUNCTION("""COMPUTED_VALUE"""),44781.0)</f>
        <v>44781</v>
      </c>
      <c r="C19991" s="6">
        <f>IFERROR(__xludf.DUMMYFUNCTION("""COMPUTED_VALUE"""),0.33857638888730435)</f>
        <v>0.3385763889</v>
      </c>
      <c r="D19991" s="4">
        <f>IFERROR(__xludf.DUMMYFUNCTION("""COMPUTED_VALUE"""),12.941178)</f>
        <v>12.941178</v>
      </c>
      <c r="E19991" s="4">
        <f>IFERROR(__xludf.DUMMYFUNCTION("""COMPUTED_VALUE"""),80.131804)</f>
        <v>80.131804</v>
      </c>
      <c r="F19991" s="4">
        <f>IFERROR(__xludf.DUMMYFUNCTION("""COMPUTED_VALUE"""),3143.0)</f>
        <v>3143</v>
      </c>
      <c r="G19991" s="4">
        <f>IFERROR(__xludf.DUMMYFUNCTION("""COMPUTED_VALUE"""),38.0)</f>
        <v>38</v>
      </c>
      <c r="H19991" s="4"/>
      <c r="I19991" s="4"/>
    </row>
    <row r="19992">
      <c r="A19992" s="4" t="str">
        <f>IFERROR(__xludf.DUMMYFUNCTION("""COMPUTED_VALUE"""),"cas_hmw")</f>
        <v>cas_hmw</v>
      </c>
      <c r="B19992" s="5">
        <f>IFERROR(__xludf.DUMMYFUNCTION("""COMPUTED_VALUE"""),44781.0)</f>
        <v>44781</v>
      </c>
      <c r="C19992" s="6">
        <f>IFERROR(__xludf.DUMMYFUNCTION("""COMPUTED_VALUE"""),0.3386689814797137)</f>
        <v>0.3386689815</v>
      </c>
      <c r="D19992" s="4">
        <f>IFERROR(__xludf.DUMMYFUNCTION("""COMPUTED_VALUE"""),12.94113)</f>
        <v>12.94113</v>
      </c>
      <c r="E19992" s="4">
        <f>IFERROR(__xludf.DUMMYFUNCTION("""COMPUTED_VALUE"""),80.131794)</f>
        <v>80.131794</v>
      </c>
      <c r="F19992" s="4">
        <f>IFERROR(__xludf.DUMMYFUNCTION("""COMPUTED_VALUE"""),5339.0)</f>
        <v>5339</v>
      </c>
      <c r="G19992" s="4">
        <f>IFERROR(__xludf.DUMMYFUNCTION("""COMPUTED_VALUE"""),42.0)</f>
        <v>42</v>
      </c>
      <c r="H19992" s="4"/>
      <c r="I19992" s="4"/>
    </row>
    <row r="19993">
      <c r="A19993" s="4" t="str">
        <f>IFERROR(__xludf.DUMMYFUNCTION("""COMPUTED_VALUE"""),"cas_hmw")</f>
        <v>cas_hmw</v>
      </c>
      <c r="B19993" s="5">
        <f>IFERROR(__xludf.DUMMYFUNCTION("""COMPUTED_VALUE"""),44781.0)</f>
        <v>44781</v>
      </c>
      <c r="C19993" s="6">
        <f>IFERROR(__xludf.DUMMYFUNCTION("""COMPUTED_VALUE"""),0.338761574075761)</f>
        <v>0.3387615741</v>
      </c>
      <c r="D19993" s="4">
        <f>IFERROR(__xludf.DUMMYFUNCTION("""COMPUTED_VALUE"""),12.940398)</f>
        <v>12.940398</v>
      </c>
      <c r="E19993" s="4">
        <f>IFERROR(__xludf.DUMMYFUNCTION("""COMPUTED_VALUE"""),80.13104)</f>
        <v>80.13104</v>
      </c>
      <c r="F19993" s="4">
        <f>IFERROR(__xludf.DUMMYFUNCTION("""COMPUTED_VALUE"""),5339.0)</f>
        <v>5339</v>
      </c>
      <c r="G19993" s="4">
        <f>IFERROR(__xludf.DUMMYFUNCTION("""COMPUTED_VALUE"""),38.0)</f>
        <v>38</v>
      </c>
      <c r="H19993" s="4"/>
      <c r="I19993" s="4"/>
    </row>
    <row r="19994">
      <c r="A19994" s="4" t="str">
        <f>IFERROR(__xludf.DUMMYFUNCTION("""COMPUTED_VALUE"""),"cas_hmw")</f>
        <v>cas_hmw</v>
      </c>
      <c r="B19994" s="5">
        <f>IFERROR(__xludf.DUMMYFUNCTION("""COMPUTED_VALUE"""),44781.0)</f>
        <v>44781</v>
      </c>
      <c r="C19994" s="6">
        <f>IFERROR(__xludf.DUMMYFUNCTION("""COMPUTED_VALUE"""),0.3388773148144537)</f>
        <v>0.3388773148</v>
      </c>
      <c r="D19994" s="4">
        <f>IFERROR(__xludf.DUMMYFUNCTION("""COMPUTED_VALUE"""),12.939756)</f>
        <v>12.939756</v>
      </c>
      <c r="E19994" s="4">
        <f>IFERROR(__xludf.DUMMYFUNCTION("""COMPUTED_VALUE"""),80.13041)</f>
        <v>80.13041</v>
      </c>
      <c r="F19994" s="4">
        <f>IFERROR(__xludf.DUMMYFUNCTION("""COMPUTED_VALUE"""),5339.0)</f>
        <v>5339</v>
      </c>
      <c r="G19994" s="4">
        <f>IFERROR(__xludf.DUMMYFUNCTION("""COMPUTED_VALUE"""),37.0)</f>
        <v>37</v>
      </c>
      <c r="H19994" s="4"/>
      <c r="I19994" s="4"/>
    </row>
    <row r="19995">
      <c r="A19995" s="4" t="str">
        <f>IFERROR(__xludf.DUMMYFUNCTION("""COMPUTED_VALUE"""),"cas_hmw")</f>
        <v>cas_hmw</v>
      </c>
      <c r="B19995" s="5">
        <f>IFERROR(__xludf.DUMMYFUNCTION("""COMPUTED_VALUE"""),44781.0)</f>
        <v>44781</v>
      </c>
      <c r="C19995" s="6">
        <f>IFERROR(__xludf.DUMMYFUNCTION("""COMPUTED_VALUE"""),0.3389120370375167)</f>
        <v>0.338912037</v>
      </c>
      <c r="D19995" s="4">
        <f>IFERROR(__xludf.DUMMYFUNCTION("""COMPUTED_VALUE"""),12.974346)</f>
        <v>12.974346</v>
      </c>
      <c r="E19995" s="4">
        <f>IFERROR(__xludf.DUMMYFUNCTION("""COMPUTED_VALUE"""),80.154731)</f>
        <v>80.154731</v>
      </c>
      <c r="F19995" s="4">
        <f>IFERROR(__xludf.DUMMYFUNCTION("""COMPUTED_VALUE"""),805.0)</f>
        <v>805</v>
      </c>
      <c r="G19995" s="4">
        <f>IFERROR(__xludf.DUMMYFUNCTION("""COMPUTED_VALUE"""),46.0)</f>
        <v>46</v>
      </c>
      <c r="H19995" s="4"/>
      <c r="I19995" s="4"/>
    </row>
    <row r="19996">
      <c r="A19996" s="4" t="str">
        <f>IFERROR(__xludf.DUMMYFUNCTION("""COMPUTED_VALUE"""),"cas_hmw")</f>
        <v>cas_hmw</v>
      </c>
      <c r="B19996" s="5">
        <f>IFERROR(__xludf.DUMMYFUNCTION("""COMPUTED_VALUE"""),44781.0)</f>
        <v>44781</v>
      </c>
      <c r="C19996" s="6">
        <f>IFERROR(__xludf.DUMMYFUNCTION("""COMPUTED_VALUE"""),0.3389467592605797)</f>
        <v>0.3389467593</v>
      </c>
      <c r="D19996" s="4">
        <f>IFERROR(__xludf.DUMMYFUNCTION("""COMPUTED_VALUE"""),12.802313)</f>
        <v>12.802313</v>
      </c>
      <c r="E19996" s="4">
        <f>IFERROR(__xludf.DUMMYFUNCTION("""COMPUTED_VALUE"""),80.024866)</f>
        <v>80.024866</v>
      </c>
      <c r="F19996" s="4">
        <f>IFERROR(__xludf.DUMMYFUNCTION("""COMPUTED_VALUE"""),2846.0)</f>
        <v>2846</v>
      </c>
      <c r="G19996" s="4">
        <f>IFERROR(__xludf.DUMMYFUNCTION("""COMPUTED_VALUE"""),58.0)</f>
        <v>58</v>
      </c>
      <c r="H19996" s="4"/>
      <c r="I19996" s="4"/>
    </row>
    <row r="19997">
      <c r="A19997" s="4" t="str">
        <f>IFERROR(__xludf.DUMMYFUNCTION("""COMPUTED_VALUE"""),"cas_hmw")</f>
        <v>cas_hmw</v>
      </c>
      <c r="B19997" s="5">
        <f>IFERROR(__xludf.DUMMYFUNCTION("""COMPUTED_VALUE"""),44781.0)</f>
        <v>44781</v>
      </c>
      <c r="C19997" s="6">
        <f>IFERROR(__xludf.DUMMYFUNCTION("""COMPUTED_VALUE"""),0.33925925926087075)</f>
        <v>0.3392592593</v>
      </c>
      <c r="D19997" s="4">
        <f>IFERROR(__xludf.DUMMYFUNCTION("""COMPUTED_VALUE"""),12.971707)</f>
        <v>12.971707</v>
      </c>
      <c r="E19997" s="4">
        <f>IFERROR(__xludf.DUMMYFUNCTION("""COMPUTED_VALUE"""),80.151218)</f>
        <v>80.151218</v>
      </c>
      <c r="F19997" s="4">
        <f>IFERROR(__xludf.DUMMYFUNCTION("""COMPUTED_VALUE"""),805.0)</f>
        <v>805</v>
      </c>
      <c r="G19997" s="4">
        <f>IFERROR(__xludf.DUMMYFUNCTION("""COMPUTED_VALUE"""),45.0)</f>
        <v>45</v>
      </c>
      <c r="H19997" s="4"/>
      <c r="I19997" s="4"/>
    </row>
    <row r="19998">
      <c r="A19998" s="4" t="str">
        <f>IFERROR(__xludf.DUMMYFUNCTION("""COMPUTED_VALUE"""),"cas_hmw")</f>
        <v>cas_hmw</v>
      </c>
      <c r="B19998" s="5">
        <f>IFERROR(__xludf.DUMMYFUNCTION("""COMPUTED_VALUE"""),44781.0)</f>
        <v>44781</v>
      </c>
      <c r="C19998" s="6">
        <f>IFERROR(__xludf.DUMMYFUNCTION("""COMPUTED_VALUE"""),0.3393171296302171)</f>
        <v>0.3393171296</v>
      </c>
      <c r="D19998" s="4">
        <f>IFERROR(__xludf.DUMMYFUNCTION("""COMPUTED_VALUE"""),12.971707)</f>
        <v>12.971707</v>
      </c>
      <c r="E19998" s="4">
        <f>IFERROR(__xludf.DUMMYFUNCTION("""COMPUTED_VALUE"""),80.151218)</f>
        <v>80.151218</v>
      </c>
      <c r="F19998" s="4">
        <f>IFERROR(__xludf.DUMMYFUNCTION("""COMPUTED_VALUE"""),805.0)</f>
        <v>805</v>
      </c>
      <c r="G19998" s="4">
        <f>IFERROR(__xludf.DUMMYFUNCTION("""COMPUTED_VALUE"""),45.0)</f>
        <v>45</v>
      </c>
      <c r="H19998" s="4"/>
      <c r="I19998" s="4"/>
    </row>
    <row r="19999">
      <c r="A19999" s="4" t="str">
        <f>IFERROR(__xludf.DUMMYFUNCTION("""COMPUTED_VALUE"""),"cas_hmw")</f>
        <v>cas_hmw</v>
      </c>
      <c r="B19999" s="5">
        <f>IFERROR(__xludf.DUMMYFUNCTION("""COMPUTED_VALUE"""),44781.0)</f>
        <v>44781</v>
      </c>
      <c r="C19999" s="6">
        <f>IFERROR(__xludf.DUMMYFUNCTION("""COMPUTED_VALUE"""),0.3394907407418941)</f>
        <v>0.3394907407</v>
      </c>
      <c r="D19999" s="4">
        <f>IFERROR(__xludf.DUMMYFUNCTION("""COMPUTED_VALUE"""),12.935604)</f>
        <v>12.935604</v>
      </c>
      <c r="E19999" s="4">
        <f>IFERROR(__xludf.DUMMYFUNCTION("""COMPUTED_VALUE"""),80.126757)</f>
        <v>80.126757</v>
      </c>
      <c r="F19999" s="4">
        <f>IFERROR(__xludf.DUMMYFUNCTION("""COMPUTED_VALUE"""),3143.0)</f>
        <v>3143</v>
      </c>
      <c r="G19999" s="4">
        <f>IFERROR(__xludf.DUMMYFUNCTION("""COMPUTED_VALUE"""),46.0)</f>
        <v>46</v>
      </c>
      <c r="H19999" s="4"/>
      <c r="I19999" s="4"/>
    </row>
    <row r="20000">
      <c r="A20000" s="4" t="str">
        <f>IFERROR(__xludf.DUMMYFUNCTION("""COMPUTED_VALUE"""),"cas_hmw")</f>
        <v>cas_hmw</v>
      </c>
      <c r="B20000" s="5">
        <f>IFERROR(__xludf.DUMMYFUNCTION("""COMPUTED_VALUE"""),44781.0)</f>
        <v>44781</v>
      </c>
      <c r="C20000" s="6">
        <f>IFERROR(__xludf.DUMMYFUNCTION("""COMPUTED_VALUE"""),0.33951388888817746)</f>
        <v>0.3395138889</v>
      </c>
      <c r="D20000" s="4">
        <f>IFERROR(__xludf.DUMMYFUNCTION("""COMPUTED_VALUE"""),12.936608)</f>
        <v>12.936608</v>
      </c>
      <c r="E20000" s="4">
        <f>IFERROR(__xludf.DUMMYFUNCTION("""COMPUTED_VALUE"""),80.127674)</f>
        <v>80.127674</v>
      </c>
      <c r="F20000" s="4">
        <f>IFERROR(__xludf.DUMMYFUNCTION("""COMPUTED_VALUE"""),5339.0)</f>
        <v>5339</v>
      </c>
      <c r="G20000" s="4">
        <f>IFERROR(__xludf.DUMMYFUNCTION("""COMPUTED_VALUE"""),30.0)</f>
        <v>30</v>
      </c>
      <c r="H20000" s="4"/>
      <c r="I20000" s="4"/>
    </row>
    <row r="20001">
      <c r="A20001" s="4" t="str">
        <f>IFERROR(__xludf.DUMMYFUNCTION("""COMPUTED_VALUE"""),"cas_hmw")</f>
        <v>cas_hmw</v>
      </c>
      <c r="B20001" s="5">
        <f>IFERROR(__xludf.DUMMYFUNCTION("""COMPUTED_VALUE"""),44781.0)</f>
        <v>44781</v>
      </c>
      <c r="C20001" s="6">
        <f>IFERROR(__xludf.DUMMYFUNCTION("""COMPUTED_VALUE"""),0.3396874999998545)</f>
        <v>0.3396875</v>
      </c>
      <c r="D20001" s="4">
        <f>IFERROR(__xludf.DUMMYFUNCTION("""COMPUTED_VALUE"""),12.934625)</f>
        <v>12.934625</v>
      </c>
      <c r="E20001" s="4">
        <f>IFERROR(__xludf.DUMMYFUNCTION("""COMPUTED_VALUE"""),80.125866)</f>
        <v>80.125866</v>
      </c>
      <c r="F20001" s="4">
        <f>IFERROR(__xludf.DUMMYFUNCTION("""COMPUTED_VALUE"""),3143.0)</f>
        <v>3143</v>
      </c>
      <c r="G20001" s="4">
        <f>IFERROR(__xludf.DUMMYFUNCTION("""COMPUTED_VALUE"""),54.0)</f>
        <v>54</v>
      </c>
      <c r="H20001" s="4"/>
      <c r="I20001" s="4"/>
    </row>
    <row r="20002">
      <c r="A20002" s="4" t="str">
        <f>IFERROR(__xludf.DUMMYFUNCTION("""COMPUTED_VALUE"""),"cas_hmw")</f>
        <v>cas_hmw</v>
      </c>
      <c r="B20002" s="5">
        <f>IFERROR(__xludf.DUMMYFUNCTION("""COMPUTED_VALUE"""),44781.0)</f>
        <v>44781</v>
      </c>
      <c r="C20002" s="6">
        <f>IFERROR(__xludf.DUMMYFUNCTION("""COMPUTED_VALUE"""),0.3397800925922638)</f>
        <v>0.3397800926</v>
      </c>
      <c r="D20002" s="4">
        <f>IFERROR(__xludf.DUMMYFUNCTION("""COMPUTED_VALUE"""),12.968421)</f>
        <v>12.968421</v>
      </c>
      <c r="E20002" s="4">
        <f>IFERROR(__xludf.DUMMYFUNCTION("""COMPUTED_VALUE"""),80.149665)</f>
        <v>80.149665</v>
      </c>
      <c r="F20002" s="4">
        <f>IFERROR(__xludf.DUMMYFUNCTION("""COMPUTED_VALUE"""),805.0)</f>
        <v>805</v>
      </c>
      <c r="G20002" s="4">
        <f>IFERROR(__xludf.DUMMYFUNCTION("""COMPUTED_VALUE"""),37.0)</f>
        <v>37</v>
      </c>
      <c r="H20002" s="4"/>
      <c r="I20002" s="4"/>
    </row>
    <row r="20003">
      <c r="A20003" s="4" t="str">
        <f>IFERROR(__xludf.DUMMYFUNCTION("""COMPUTED_VALUE"""),"cas_hmw")</f>
        <v>cas_hmw</v>
      </c>
      <c r="B20003" s="5">
        <f>IFERROR(__xludf.DUMMYFUNCTION("""COMPUTED_VALUE"""),44781.0)</f>
        <v>44781</v>
      </c>
      <c r="C20003" s="6">
        <f>IFERROR(__xludf.DUMMYFUNCTION("""COMPUTED_VALUE"""),0.33980324074218515)</f>
        <v>0.3398032407</v>
      </c>
      <c r="D20003" s="4">
        <f>IFERROR(__xludf.DUMMYFUNCTION("""COMPUTED_VALUE"""),12.933745)</f>
        <v>12.933745</v>
      </c>
      <c r="E20003" s="4">
        <f>IFERROR(__xludf.DUMMYFUNCTION("""COMPUTED_VALUE"""),80.125029)</f>
        <v>80.125029</v>
      </c>
      <c r="F20003" s="4">
        <f>IFERROR(__xludf.DUMMYFUNCTION("""COMPUTED_VALUE"""),3143.0)</f>
        <v>3143</v>
      </c>
      <c r="G20003" s="4">
        <f>IFERROR(__xludf.DUMMYFUNCTION("""COMPUTED_VALUE"""),41.0)</f>
        <v>41</v>
      </c>
      <c r="H20003" s="4"/>
      <c r="I20003" s="4"/>
    </row>
    <row r="20004">
      <c r="A20004" s="4" t="str">
        <f>IFERROR(__xludf.DUMMYFUNCTION("""COMPUTED_VALUE"""),"cas_hmw")</f>
        <v>cas_hmw</v>
      </c>
      <c r="B20004" s="5">
        <f>IFERROR(__xludf.DUMMYFUNCTION("""COMPUTED_VALUE"""),44781.0)</f>
        <v>44781</v>
      </c>
      <c r="C20004" s="6">
        <f>IFERROR(__xludf.DUMMYFUNCTION("""COMPUTED_VALUE"""),0.3398726851846732)</f>
        <v>0.3398726852</v>
      </c>
      <c r="D20004" s="4">
        <f>IFERROR(__xludf.DUMMYFUNCTION("""COMPUTED_VALUE"""),12.93299)</f>
        <v>12.93299</v>
      </c>
      <c r="E20004" s="4">
        <f>IFERROR(__xludf.DUMMYFUNCTION("""COMPUTED_VALUE"""),80.124265)</f>
        <v>80.124265</v>
      </c>
      <c r="F20004" s="4">
        <f>IFERROR(__xludf.DUMMYFUNCTION("""COMPUTED_VALUE"""),3143.0)</f>
        <v>3143</v>
      </c>
      <c r="G20004" s="4">
        <f>IFERROR(__xludf.DUMMYFUNCTION("""COMPUTED_VALUE"""),39.0)</f>
        <v>39</v>
      </c>
      <c r="H20004" s="4"/>
      <c r="I20004" s="4"/>
    </row>
    <row r="20005">
      <c r="A20005" s="4" t="str">
        <f>IFERROR(__xludf.DUMMYFUNCTION("""COMPUTED_VALUE"""),"cas_hmw")</f>
        <v>cas_hmw</v>
      </c>
      <c r="B20005" s="5">
        <f>IFERROR(__xludf.DUMMYFUNCTION("""COMPUTED_VALUE"""),44781.0)</f>
        <v>44781</v>
      </c>
      <c r="C20005" s="6">
        <f>IFERROR(__xludf.DUMMYFUNCTION("""COMPUTED_VALUE"""),0.3398726851846732)</f>
        <v>0.3398726852</v>
      </c>
      <c r="D20005" s="4">
        <f>IFERROR(__xludf.DUMMYFUNCTION("""COMPUTED_VALUE"""),12.968421)</f>
        <v>12.968421</v>
      </c>
      <c r="E20005" s="4">
        <f>IFERROR(__xludf.DUMMYFUNCTION("""COMPUTED_VALUE"""),80.149665)</f>
        <v>80.149665</v>
      </c>
      <c r="F20005" s="4">
        <f>IFERROR(__xludf.DUMMYFUNCTION("""COMPUTED_VALUE"""),805.0)</f>
        <v>805</v>
      </c>
      <c r="G20005" s="4">
        <f>IFERROR(__xludf.DUMMYFUNCTION("""COMPUTED_VALUE"""),37.0)</f>
        <v>37</v>
      </c>
      <c r="H20005" s="4"/>
      <c r="I20005" s="4"/>
    </row>
    <row r="20006">
      <c r="A20006" s="4" t="str">
        <f>IFERROR(__xludf.DUMMYFUNCTION("""COMPUTED_VALUE"""),"cas_hmw")</f>
        <v>cas_hmw</v>
      </c>
      <c r="B20006" s="5">
        <f>IFERROR(__xludf.DUMMYFUNCTION("""COMPUTED_VALUE"""),44781.0)</f>
        <v>44781</v>
      </c>
      <c r="C20006" s="6">
        <f>IFERROR(__xludf.DUMMYFUNCTION("""COMPUTED_VALUE"""),0.3399074074077362)</f>
        <v>0.3399074074</v>
      </c>
      <c r="D20006" s="4">
        <f>IFERROR(__xludf.DUMMYFUNCTION("""COMPUTED_VALUE"""),12.93299)</f>
        <v>12.93299</v>
      </c>
      <c r="E20006" s="4">
        <f>IFERROR(__xludf.DUMMYFUNCTION("""COMPUTED_VALUE"""),80.124265)</f>
        <v>80.124265</v>
      </c>
      <c r="F20006" s="4">
        <f>IFERROR(__xludf.DUMMYFUNCTION("""COMPUTED_VALUE"""),3143.0)</f>
        <v>3143</v>
      </c>
      <c r="G20006" s="4">
        <f>IFERROR(__xludf.DUMMYFUNCTION("""COMPUTED_VALUE"""),39.0)</f>
        <v>39</v>
      </c>
      <c r="H20006" s="4"/>
      <c r="I20006" s="4"/>
    </row>
    <row r="20007">
      <c r="A20007" s="4" t="str">
        <f>IFERROR(__xludf.DUMMYFUNCTION("""COMPUTED_VALUE"""),"cas_hmw")</f>
        <v>cas_hmw</v>
      </c>
      <c r="B20007" s="5">
        <f>IFERROR(__xludf.DUMMYFUNCTION("""COMPUTED_VALUE"""),44781.0)</f>
        <v>44781</v>
      </c>
      <c r="C20007" s="6">
        <f>IFERROR(__xludf.DUMMYFUNCTION("""COMPUTED_VALUE"""),0.3400115740732872)</f>
        <v>0.3400115741</v>
      </c>
      <c r="D20007" s="4">
        <f>IFERROR(__xludf.DUMMYFUNCTION("""COMPUTED_VALUE"""),12.932452)</f>
        <v>12.932452</v>
      </c>
      <c r="E20007" s="4">
        <f>IFERROR(__xludf.DUMMYFUNCTION("""COMPUTED_VALUE"""),80.123752)</f>
        <v>80.123752</v>
      </c>
      <c r="F20007" s="4">
        <f>IFERROR(__xludf.DUMMYFUNCTION("""COMPUTED_VALUE"""),5339.0)</f>
        <v>5339</v>
      </c>
      <c r="G20007" s="4">
        <f>IFERROR(__xludf.DUMMYFUNCTION("""COMPUTED_VALUE"""),44.0)</f>
        <v>44</v>
      </c>
      <c r="H20007" s="4"/>
      <c r="I20007" s="4"/>
    </row>
    <row r="20008">
      <c r="A20008" s="4" t="str">
        <f>IFERROR(__xludf.DUMMYFUNCTION("""COMPUTED_VALUE"""),"cas_hmw")</f>
        <v>cas_hmw</v>
      </c>
      <c r="B20008" s="5">
        <f>IFERROR(__xludf.DUMMYFUNCTION("""COMPUTED_VALUE"""),44781.0)</f>
        <v>44781</v>
      </c>
      <c r="C20008" s="6">
        <f>IFERROR(__xludf.DUMMYFUNCTION("""COMPUTED_VALUE"""),0.34002314814642887)</f>
        <v>0.3400231481</v>
      </c>
      <c r="D20008" s="4">
        <f>IFERROR(__xludf.DUMMYFUNCTION("""COMPUTED_VALUE"""),12.965876)</f>
        <v>12.965876</v>
      </c>
      <c r="E20008" s="4">
        <f>IFERROR(__xludf.DUMMYFUNCTION("""COMPUTED_VALUE"""),80.148516)</f>
        <v>80.148516</v>
      </c>
      <c r="F20008" s="4">
        <f>IFERROR(__xludf.DUMMYFUNCTION("""COMPUTED_VALUE"""),805.0)</f>
        <v>805</v>
      </c>
      <c r="G20008" s="4">
        <f>IFERROR(__xludf.DUMMYFUNCTION("""COMPUTED_VALUE"""),38.0)</f>
        <v>38</v>
      </c>
      <c r="H20008" s="4"/>
      <c r="I20008" s="4"/>
    </row>
    <row r="20009">
      <c r="A20009" s="4" t="str">
        <f>IFERROR(__xludf.DUMMYFUNCTION("""COMPUTED_VALUE"""),"cas_hmw")</f>
        <v>cas_hmw</v>
      </c>
      <c r="B20009" s="5">
        <f>IFERROR(__xludf.DUMMYFUNCTION("""COMPUTED_VALUE"""),44781.0)</f>
        <v>44781</v>
      </c>
      <c r="C20009" s="6">
        <f>IFERROR(__xludf.DUMMYFUNCTION("""COMPUTED_VALUE"""),0.3401157407424762)</f>
        <v>0.3401157407</v>
      </c>
      <c r="D20009" s="4">
        <f>IFERROR(__xludf.DUMMYFUNCTION("""COMPUTED_VALUE"""),12.965876)</f>
        <v>12.965876</v>
      </c>
      <c r="E20009" s="4">
        <f>IFERROR(__xludf.DUMMYFUNCTION("""COMPUTED_VALUE"""),80.148516)</f>
        <v>80.148516</v>
      </c>
      <c r="F20009" s="4">
        <f>IFERROR(__xludf.DUMMYFUNCTION("""COMPUTED_VALUE"""),805.0)</f>
        <v>805</v>
      </c>
      <c r="G20009" s="4">
        <f>IFERROR(__xludf.DUMMYFUNCTION("""COMPUTED_VALUE"""),38.0)</f>
        <v>38</v>
      </c>
      <c r="H20009" s="4"/>
      <c r="I20009" s="4"/>
    </row>
    <row r="20010">
      <c r="A20010" s="4" t="str">
        <f>IFERROR(__xludf.DUMMYFUNCTION("""COMPUTED_VALUE"""),"cas_hmw")</f>
        <v>cas_hmw</v>
      </c>
      <c r="B20010" s="5">
        <f>IFERROR(__xludf.DUMMYFUNCTION("""COMPUTED_VALUE"""),44781.0)</f>
        <v>44781</v>
      </c>
      <c r="C20010" s="6">
        <f>IFERROR(__xludf.DUMMYFUNCTION("""COMPUTED_VALUE"""),0.3405555555546016)</f>
        <v>0.3405555556</v>
      </c>
      <c r="D20010" s="4">
        <f>IFERROR(__xludf.DUMMYFUNCTION("""COMPUTED_VALUE"""),12.931302)</f>
        <v>12.931302</v>
      </c>
      <c r="E20010" s="4">
        <f>IFERROR(__xludf.DUMMYFUNCTION("""COMPUTED_VALUE"""),80.122572)</f>
        <v>80.122572</v>
      </c>
      <c r="F20010" s="4">
        <f>IFERROR(__xludf.DUMMYFUNCTION("""COMPUTED_VALUE"""),3143.0)</f>
        <v>3143</v>
      </c>
      <c r="G20010" s="4">
        <f>IFERROR(__xludf.DUMMYFUNCTION("""COMPUTED_VALUE"""),30.0)</f>
        <v>30</v>
      </c>
      <c r="H20010" s="4"/>
      <c r="I20010" s="4"/>
    </row>
    <row r="20011">
      <c r="A20011" s="4" t="str">
        <f>IFERROR(__xludf.DUMMYFUNCTION("""COMPUTED_VALUE"""),"cas_hmw")</f>
        <v>cas_hmw</v>
      </c>
      <c r="B20011" s="5">
        <f>IFERROR(__xludf.DUMMYFUNCTION("""COMPUTED_VALUE"""),44781.0)</f>
        <v>44781</v>
      </c>
      <c r="C20011" s="6">
        <f>IFERROR(__xludf.DUMMYFUNCTION("""COMPUTED_VALUE"""),0.341307870370656)</f>
        <v>0.3413078704</v>
      </c>
      <c r="D20011" s="4">
        <f>IFERROR(__xludf.DUMMYFUNCTION("""COMPUTED_VALUE"""),12.824405)</f>
        <v>12.824405</v>
      </c>
      <c r="E20011" s="4">
        <f>IFERROR(__xludf.DUMMYFUNCTION("""COMPUTED_VALUE"""),80.039734)</f>
        <v>80.039734</v>
      </c>
      <c r="F20011" s="4">
        <f>IFERROR(__xludf.DUMMYFUNCTION("""COMPUTED_VALUE"""),2846.0)</f>
        <v>2846</v>
      </c>
      <c r="G20011" s="4">
        <f>IFERROR(__xludf.DUMMYFUNCTION("""COMPUTED_VALUE"""),57.0)</f>
        <v>57</v>
      </c>
      <c r="H20011" s="4"/>
      <c r="I20011" s="4"/>
    </row>
    <row r="20012">
      <c r="A20012" s="4" t="str">
        <f>IFERROR(__xludf.DUMMYFUNCTION("""COMPUTED_VALUE"""),"cas_hmw")</f>
        <v>cas_hmw</v>
      </c>
      <c r="B20012" s="5">
        <f>IFERROR(__xludf.DUMMYFUNCTION("""COMPUTED_VALUE"""),44781.0)</f>
        <v>44781</v>
      </c>
      <c r="C20012" s="6">
        <f>IFERROR(__xludf.DUMMYFUNCTION("""COMPUTED_VALUE"""),0.3415046296286164)</f>
        <v>0.3415046296</v>
      </c>
      <c r="D20012" s="4">
        <f>IFERROR(__xludf.DUMMYFUNCTION("""COMPUTED_VALUE"""),12.95758)</f>
        <v>12.95758</v>
      </c>
      <c r="E20012" s="4">
        <f>IFERROR(__xludf.DUMMYFUNCTION("""COMPUTED_VALUE"""),80.143989)</f>
        <v>80.143989</v>
      </c>
      <c r="F20012" s="4">
        <f>IFERROR(__xludf.DUMMYFUNCTION("""COMPUTED_VALUE"""),805.0)</f>
        <v>805</v>
      </c>
      <c r="G20012" s="4">
        <f>IFERROR(__xludf.DUMMYFUNCTION("""COMPUTED_VALUE"""),58.0)</f>
        <v>58</v>
      </c>
      <c r="H20012" s="4"/>
      <c r="I20012" s="4"/>
    </row>
    <row r="20013">
      <c r="A20013" s="4" t="str">
        <f>IFERROR(__xludf.DUMMYFUNCTION("""COMPUTED_VALUE"""),"cas_hmw")</f>
        <v>cas_hmw</v>
      </c>
      <c r="B20013" s="5">
        <f>IFERROR(__xludf.DUMMYFUNCTION("""COMPUTED_VALUE"""),44781.0)</f>
        <v>44781</v>
      </c>
      <c r="C20013" s="6">
        <f>IFERROR(__xludf.DUMMYFUNCTION("""COMPUTED_VALUE"""),0.3415277777785377)</f>
        <v>0.3415277778</v>
      </c>
      <c r="D20013" s="4">
        <f>IFERROR(__xludf.DUMMYFUNCTION("""COMPUTED_VALUE"""),12.955648)</f>
        <v>12.955648</v>
      </c>
      <c r="E20013" s="4">
        <f>IFERROR(__xludf.DUMMYFUNCTION("""COMPUTED_VALUE"""),80.142961)</f>
        <v>80.142961</v>
      </c>
      <c r="F20013" s="4">
        <f>IFERROR(__xludf.DUMMYFUNCTION("""COMPUTED_VALUE"""),805.0)</f>
        <v>805</v>
      </c>
      <c r="G20013" s="4">
        <f>IFERROR(__xludf.DUMMYFUNCTION("""COMPUTED_VALUE"""),46.0)</f>
        <v>46</v>
      </c>
      <c r="H20013" s="4"/>
      <c r="I20013" s="4"/>
    </row>
    <row r="20014">
      <c r="A20014" s="4" t="str">
        <f>IFERROR(__xludf.DUMMYFUNCTION("""COMPUTED_VALUE"""),"cas_hmw")</f>
        <v>cas_hmw</v>
      </c>
      <c r="B20014" s="5">
        <f>IFERROR(__xludf.DUMMYFUNCTION("""COMPUTED_VALUE"""),44781.0)</f>
        <v>44781</v>
      </c>
      <c r="C20014" s="6">
        <f>IFERROR(__xludf.DUMMYFUNCTION("""COMPUTED_VALUE"""),0.34209490740613546)</f>
        <v>0.3420949074</v>
      </c>
      <c r="D20014" s="4">
        <f>IFERROR(__xludf.DUMMYFUNCTION("""COMPUTED_VALUE"""),12.952934)</f>
        <v>12.952934</v>
      </c>
      <c r="E20014" s="4">
        <f>IFERROR(__xludf.DUMMYFUNCTION("""COMPUTED_VALUE"""),80.141473)</f>
        <v>80.141473</v>
      </c>
      <c r="F20014" s="4">
        <f>IFERROR(__xludf.DUMMYFUNCTION("""COMPUTED_VALUE"""),805.0)</f>
        <v>805</v>
      </c>
      <c r="G20014" s="4">
        <f>IFERROR(__xludf.DUMMYFUNCTION("""COMPUTED_VALUE"""),20.0)</f>
        <v>20</v>
      </c>
      <c r="H20014" s="4"/>
      <c r="I20014" s="4"/>
    </row>
    <row r="20015">
      <c r="A20015" s="4" t="str">
        <f>IFERROR(__xludf.DUMMYFUNCTION("""COMPUTED_VALUE"""),"cas_hmw")</f>
        <v>cas_hmw</v>
      </c>
      <c r="B20015" s="5">
        <f>IFERROR(__xludf.DUMMYFUNCTION("""COMPUTED_VALUE"""),44781.0)</f>
        <v>44781</v>
      </c>
      <c r="C20015" s="6">
        <f>IFERROR(__xludf.DUMMYFUNCTION("""COMPUTED_VALUE"""),0.3421064814829151)</f>
        <v>0.3421064815</v>
      </c>
      <c r="D20015" s="4">
        <f>IFERROR(__xludf.DUMMYFUNCTION("""COMPUTED_VALUE"""),12.952934)</f>
        <v>12.952934</v>
      </c>
      <c r="E20015" s="4">
        <f>IFERROR(__xludf.DUMMYFUNCTION("""COMPUTED_VALUE"""),80.141473)</f>
        <v>80.141473</v>
      </c>
      <c r="F20015" s="4">
        <f>IFERROR(__xludf.DUMMYFUNCTION("""COMPUTED_VALUE"""),805.0)</f>
        <v>805</v>
      </c>
      <c r="G20015" s="4">
        <f>IFERROR(__xludf.DUMMYFUNCTION("""COMPUTED_VALUE"""),20.0)</f>
        <v>20</v>
      </c>
      <c r="H20015" s="4"/>
      <c r="I20015" s="4"/>
    </row>
    <row r="20016">
      <c r="A20016" s="4" t="str">
        <f>IFERROR(__xludf.DUMMYFUNCTION("""COMPUTED_VALUE"""),"cas_hmw")</f>
        <v>cas_hmw</v>
      </c>
      <c r="B20016" s="5">
        <f>IFERROR(__xludf.DUMMYFUNCTION("""COMPUTED_VALUE"""),44781.0)</f>
        <v>44781</v>
      </c>
      <c r="C20016" s="6">
        <f>IFERROR(__xludf.DUMMYFUNCTION("""COMPUTED_VALUE"""),0.34221064814846613)</f>
        <v>0.3422106481</v>
      </c>
      <c r="D20016" s="4">
        <f>IFERROR(__xludf.DUMMYFUNCTION("""COMPUTED_VALUE"""),12.952934)</f>
        <v>12.952934</v>
      </c>
      <c r="E20016" s="4">
        <f>IFERROR(__xludf.DUMMYFUNCTION("""COMPUTED_VALUE"""),80.141473)</f>
        <v>80.141473</v>
      </c>
      <c r="F20016" s="4">
        <f>IFERROR(__xludf.DUMMYFUNCTION("""COMPUTED_VALUE"""),805.0)</f>
        <v>805</v>
      </c>
      <c r="G20016" s="4">
        <f>IFERROR(__xludf.DUMMYFUNCTION("""COMPUTED_VALUE"""),20.0)</f>
        <v>20</v>
      </c>
      <c r="H20016" s="4"/>
      <c r="I20016" s="4"/>
    </row>
    <row r="20017">
      <c r="A20017" s="4" t="str">
        <f>IFERROR(__xludf.DUMMYFUNCTION("""COMPUTED_VALUE"""),"cas_hmw")</f>
        <v>cas_hmw</v>
      </c>
      <c r="B20017" s="5">
        <f>IFERROR(__xludf.DUMMYFUNCTION("""COMPUTED_VALUE"""),44781.0)</f>
        <v>44781</v>
      </c>
      <c r="C20017" s="6">
        <f>IFERROR(__xludf.DUMMYFUNCTION("""COMPUTED_VALUE"""),0.34224537037152913)</f>
        <v>0.3422453704</v>
      </c>
      <c r="D20017" s="4">
        <f>IFERROR(__xludf.DUMMYFUNCTION("""COMPUTED_VALUE"""),12.952934)</f>
        <v>12.952934</v>
      </c>
      <c r="E20017" s="4">
        <f>IFERROR(__xludf.DUMMYFUNCTION("""COMPUTED_VALUE"""),80.141473)</f>
        <v>80.141473</v>
      </c>
      <c r="F20017" s="4">
        <f>IFERROR(__xludf.DUMMYFUNCTION("""COMPUTED_VALUE"""),805.0)</f>
        <v>805</v>
      </c>
      <c r="G20017" s="4">
        <f>IFERROR(__xludf.DUMMYFUNCTION("""COMPUTED_VALUE"""),20.0)</f>
        <v>20</v>
      </c>
      <c r="H20017" s="4"/>
      <c r="I20017" s="4"/>
    </row>
    <row r="20018">
      <c r="A20018" s="4" t="str">
        <f>IFERROR(__xludf.DUMMYFUNCTION("""COMPUTED_VALUE"""),"cas_hmw")</f>
        <v>cas_hmw</v>
      </c>
      <c r="B20018" s="5">
        <f>IFERROR(__xludf.DUMMYFUNCTION("""COMPUTED_VALUE"""),44781.0)</f>
        <v>44781</v>
      </c>
      <c r="C20018" s="6">
        <f>IFERROR(__xludf.DUMMYFUNCTION("""COMPUTED_VALUE"""),0.3423611111102218)</f>
        <v>0.3423611111</v>
      </c>
      <c r="D20018" s="4">
        <f>IFERROR(__xludf.DUMMYFUNCTION("""COMPUTED_VALUE"""),12.925518)</f>
        <v>12.925518</v>
      </c>
      <c r="E20018" s="4">
        <f>IFERROR(__xludf.DUMMYFUNCTION("""COMPUTED_VALUE"""),80.116736)</f>
        <v>80.116736</v>
      </c>
      <c r="F20018" s="4">
        <f>IFERROR(__xludf.DUMMYFUNCTION("""COMPUTED_VALUE"""),5339.0)</f>
        <v>5339</v>
      </c>
      <c r="G20018" s="4">
        <f>IFERROR(__xludf.DUMMYFUNCTION("""COMPUTED_VALUE"""),42.0)</f>
        <v>42</v>
      </c>
      <c r="H20018" s="4"/>
      <c r="I20018" s="4"/>
    </row>
    <row r="20019">
      <c r="A20019" s="4" t="str">
        <f>IFERROR(__xludf.DUMMYFUNCTION("""COMPUTED_VALUE"""),"cas_hmw")</f>
        <v>cas_hmw</v>
      </c>
      <c r="B20019" s="5">
        <f>IFERROR(__xludf.DUMMYFUNCTION("""COMPUTED_VALUE"""),44781.0)</f>
        <v>44781</v>
      </c>
      <c r="C20019" s="6">
        <f>IFERROR(__xludf.DUMMYFUNCTION("""COMPUTED_VALUE"""),0.34241898148320615)</f>
        <v>0.3424189815</v>
      </c>
      <c r="D20019" s="4">
        <f>IFERROR(__xludf.DUMMYFUNCTION("""COMPUTED_VALUE"""),12.924811)</f>
        <v>12.924811</v>
      </c>
      <c r="E20019" s="4">
        <f>IFERROR(__xludf.DUMMYFUNCTION("""COMPUTED_VALUE"""),80.116011)</f>
        <v>80.116011</v>
      </c>
      <c r="F20019" s="4">
        <f>IFERROR(__xludf.DUMMYFUNCTION("""COMPUTED_VALUE"""),5339.0)</f>
        <v>5339</v>
      </c>
      <c r="G20019" s="4">
        <f>IFERROR(__xludf.DUMMYFUNCTION("""COMPUTED_VALUE"""),40.0)</f>
        <v>40</v>
      </c>
      <c r="H20019" s="4"/>
      <c r="I20019" s="4"/>
    </row>
    <row r="20020">
      <c r="A20020" s="4" t="str">
        <f>IFERROR(__xludf.DUMMYFUNCTION("""COMPUTED_VALUE"""),"cas_hmw")</f>
        <v>cas_hmw</v>
      </c>
      <c r="B20020" s="5">
        <f>IFERROR(__xludf.DUMMYFUNCTION("""COMPUTED_VALUE"""),44781.0)</f>
        <v>44781</v>
      </c>
      <c r="C20020" s="6">
        <f>IFERROR(__xludf.DUMMYFUNCTION("""COMPUTED_VALUE"""),0.3430671296300716)</f>
        <v>0.3430671296</v>
      </c>
      <c r="D20020" s="4">
        <f>IFERROR(__xludf.DUMMYFUNCTION("""COMPUTED_VALUE"""),12.946831)</f>
        <v>12.946831</v>
      </c>
      <c r="E20020" s="4">
        <f>IFERROR(__xludf.DUMMYFUNCTION("""COMPUTED_VALUE"""),80.136833)</f>
        <v>80.136833</v>
      </c>
      <c r="F20020" s="4">
        <f>IFERROR(__xludf.DUMMYFUNCTION("""COMPUTED_VALUE"""),805.0)</f>
        <v>805</v>
      </c>
      <c r="G20020" s="4">
        <f>IFERROR(__xludf.DUMMYFUNCTION("""COMPUTED_VALUE"""),57.0)</f>
        <v>57</v>
      </c>
      <c r="H20020" s="4"/>
      <c r="I20020" s="4"/>
    </row>
    <row r="20021">
      <c r="A20021" s="4" t="str">
        <f>IFERROR(__xludf.DUMMYFUNCTION("""COMPUTED_VALUE"""),"cas_hmw")</f>
        <v>cas_hmw</v>
      </c>
      <c r="B20021" s="5">
        <f>IFERROR(__xludf.DUMMYFUNCTION("""COMPUTED_VALUE"""),44781.0)</f>
        <v>44781</v>
      </c>
      <c r="C20021" s="6">
        <f>IFERROR(__xludf.DUMMYFUNCTION("""COMPUTED_VALUE"""),0.34307870370321325)</f>
        <v>0.3430787037</v>
      </c>
      <c r="D20021" s="4">
        <f>IFERROR(__xludf.DUMMYFUNCTION("""COMPUTED_VALUE"""),12.922257)</f>
        <v>12.922257</v>
      </c>
      <c r="E20021" s="4">
        <f>IFERROR(__xludf.DUMMYFUNCTION("""COMPUTED_VALUE"""),80.113449)</f>
        <v>80.113449</v>
      </c>
      <c r="F20021" s="4">
        <f>IFERROR(__xludf.DUMMYFUNCTION("""COMPUTED_VALUE"""),5339.0)</f>
        <v>5339</v>
      </c>
      <c r="G20021" s="4">
        <f>IFERROR(__xludf.DUMMYFUNCTION("""COMPUTED_VALUE"""),43.0)</f>
        <v>43</v>
      </c>
      <c r="H20021" s="4"/>
      <c r="I20021" s="4"/>
    </row>
    <row r="20022">
      <c r="A20022" s="4" t="str">
        <f>IFERROR(__xludf.DUMMYFUNCTION("""COMPUTED_VALUE"""),"cas_hmw")</f>
        <v>cas_hmw</v>
      </c>
      <c r="B20022" s="5">
        <f>IFERROR(__xludf.DUMMYFUNCTION("""COMPUTED_VALUE"""),44781.0)</f>
        <v>44781</v>
      </c>
      <c r="C20022" s="6">
        <f>IFERROR(__xludf.DUMMYFUNCTION("""COMPUTED_VALUE"""),0.34329861111109494)</f>
        <v>0.3432986111</v>
      </c>
      <c r="D20022" s="4">
        <f>IFERROR(__xludf.DUMMYFUNCTION("""COMPUTED_VALUE"""),12.945244)</f>
        <v>12.945244</v>
      </c>
      <c r="E20022" s="4">
        <f>IFERROR(__xludf.DUMMYFUNCTION("""COMPUTED_VALUE"""),80.135592)</f>
        <v>80.135592</v>
      </c>
      <c r="F20022" s="4">
        <f>IFERROR(__xludf.DUMMYFUNCTION("""COMPUTED_VALUE"""),805.0)</f>
        <v>805</v>
      </c>
      <c r="G20022" s="4">
        <f>IFERROR(__xludf.DUMMYFUNCTION("""COMPUTED_VALUE"""),54.0)</f>
        <v>54</v>
      </c>
      <c r="H20022" s="4"/>
      <c r="I20022" s="4"/>
    </row>
    <row r="20023">
      <c r="A20023" s="4" t="str">
        <f>IFERROR(__xludf.DUMMYFUNCTION("""COMPUTED_VALUE"""),"cas_hmw")</f>
        <v>cas_hmw</v>
      </c>
      <c r="B20023" s="5">
        <f>IFERROR(__xludf.DUMMYFUNCTION("""COMPUTED_VALUE"""),44781.0)</f>
        <v>44781</v>
      </c>
      <c r="C20023" s="6">
        <f>IFERROR(__xludf.DUMMYFUNCTION("""COMPUTED_VALUE"""),0.343576388888323)</f>
        <v>0.3435763889</v>
      </c>
      <c r="D20023" s="4">
        <f>IFERROR(__xludf.DUMMYFUNCTION("""COMPUTED_VALUE"""),12.942498)</f>
        <v>12.942498</v>
      </c>
      <c r="E20023" s="4">
        <f>IFERROR(__xludf.DUMMYFUNCTION("""COMPUTED_VALUE"""),80.133292)</f>
        <v>80.133292</v>
      </c>
      <c r="F20023" s="4">
        <f>IFERROR(__xludf.DUMMYFUNCTION("""COMPUTED_VALUE"""),805.0)</f>
        <v>805</v>
      </c>
      <c r="G20023" s="4">
        <f>IFERROR(__xludf.DUMMYFUNCTION("""COMPUTED_VALUE"""),43.0)</f>
        <v>43</v>
      </c>
      <c r="H20023" s="4"/>
      <c r="I20023" s="4"/>
    </row>
    <row r="20024">
      <c r="A20024" s="4" t="str">
        <f>IFERROR(__xludf.DUMMYFUNCTION("""COMPUTED_VALUE"""),"cas_hmw")</f>
        <v>cas_hmw</v>
      </c>
      <c r="B20024" s="5">
        <f>IFERROR(__xludf.DUMMYFUNCTION("""COMPUTED_VALUE"""),44781.0)</f>
        <v>44781</v>
      </c>
      <c r="C20024" s="6">
        <f>IFERROR(__xludf.DUMMYFUNCTION("""COMPUTED_VALUE"""),0.34457175925854244)</f>
        <v>0.3445717593</v>
      </c>
      <c r="D20024" s="4">
        <f>IFERROR(__xludf.DUMMYFUNCTION("""COMPUTED_VALUE"""),12.848584)</f>
        <v>12.848584</v>
      </c>
      <c r="E20024" s="4">
        <f>IFERROR(__xludf.DUMMYFUNCTION("""COMPUTED_VALUE"""),80.063645)</f>
        <v>80.063645</v>
      </c>
      <c r="F20024" s="4">
        <f>IFERROR(__xludf.DUMMYFUNCTION("""COMPUTED_VALUE"""),2846.0)</f>
        <v>2846</v>
      </c>
      <c r="G20024" s="4">
        <f>IFERROR(__xludf.DUMMYFUNCTION("""COMPUTED_VALUE"""),54.0)</f>
        <v>54</v>
      </c>
      <c r="H20024" s="4"/>
      <c r="I20024" s="4"/>
    </row>
    <row r="20025">
      <c r="A20025" s="4" t="str">
        <f>IFERROR(__xludf.DUMMYFUNCTION("""COMPUTED_VALUE"""),"cas_hmw")</f>
        <v>cas_hmw</v>
      </c>
      <c r="B20025" s="5">
        <f>IFERROR(__xludf.DUMMYFUNCTION("""COMPUTED_VALUE"""),44781.0)</f>
        <v>44781</v>
      </c>
      <c r="C20025" s="6">
        <f>IFERROR(__xludf.DUMMYFUNCTION("""COMPUTED_VALUE"""),0.34481481481634546)</f>
        <v>0.3448148148</v>
      </c>
      <c r="D20025" s="4">
        <f>IFERROR(__xludf.DUMMYFUNCTION("""COMPUTED_VALUE"""),12.93634)</f>
        <v>12.93634</v>
      </c>
      <c r="E20025" s="4">
        <f>IFERROR(__xludf.DUMMYFUNCTION("""COMPUTED_VALUE"""),80.127405)</f>
        <v>80.127405</v>
      </c>
      <c r="F20025" s="4">
        <f>IFERROR(__xludf.DUMMYFUNCTION("""COMPUTED_VALUE"""),805.0)</f>
        <v>805</v>
      </c>
      <c r="G20025" s="4">
        <f>IFERROR(__xludf.DUMMYFUNCTION("""COMPUTED_VALUE"""),0.0)</f>
        <v>0</v>
      </c>
      <c r="H20025" s="4"/>
      <c r="I20025" s="4"/>
    </row>
    <row r="20026">
      <c r="A20026" s="4" t="str">
        <f>IFERROR(__xludf.DUMMYFUNCTION("""COMPUTED_VALUE"""),"cas_hmw")</f>
        <v>cas_hmw</v>
      </c>
      <c r="B20026" s="5">
        <f>IFERROR(__xludf.DUMMYFUNCTION("""COMPUTED_VALUE"""),44781.0)</f>
        <v>44781</v>
      </c>
      <c r="C20026" s="6">
        <f>IFERROR(__xludf.DUMMYFUNCTION("""COMPUTED_VALUE"""),0.34496527777810115)</f>
        <v>0.3449652778</v>
      </c>
      <c r="D20026" s="4">
        <f>IFERROR(__xludf.DUMMYFUNCTION("""COMPUTED_VALUE"""),12.93634)</f>
        <v>12.93634</v>
      </c>
      <c r="E20026" s="4">
        <f>IFERROR(__xludf.DUMMYFUNCTION("""COMPUTED_VALUE"""),80.127405)</f>
        <v>80.127405</v>
      </c>
      <c r="F20026" s="4">
        <f>IFERROR(__xludf.DUMMYFUNCTION("""COMPUTED_VALUE"""),805.0)</f>
        <v>805</v>
      </c>
      <c r="G20026" s="4">
        <f>IFERROR(__xludf.DUMMYFUNCTION("""COMPUTED_VALUE"""),0.0)</f>
        <v>0</v>
      </c>
      <c r="H20026" s="4"/>
      <c r="I20026" s="4"/>
    </row>
    <row r="20027">
      <c r="A20027" s="4" t="str">
        <f>IFERROR(__xludf.DUMMYFUNCTION("""COMPUTED_VALUE"""),"cas_hmw")</f>
        <v>cas_hmw</v>
      </c>
      <c r="B20027" s="5">
        <f>IFERROR(__xludf.DUMMYFUNCTION("""COMPUTED_VALUE"""),44781.0)</f>
        <v>44781</v>
      </c>
      <c r="C20027" s="6">
        <f>IFERROR(__xludf.DUMMYFUNCTION("""COMPUTED_VALUE"""),0.3450578703705105)</f>
        <v>0.3450578704</v>
      </c>
      <c r="D20027" s="4">
        <f>IFERROR(__xludf.DUMMYFUNCTION("""COMPUTED_VALUE"""),12.93603)</f>
        <v>12.93603</v>
      </c>
      <c r="E20027" s="4">
        <f>IFERROR(__xludf.DUMMYFUNCTION("""COMPUTED_VALUE"""),80.127206)</f>
        <v>80.127206</v>
      </c>
      <c r="F20027" s="4">
        <f>IFERROR(__xludf.DUMMYFUNCTION("""COMPUTED_VALUE"""),805.0)</f>
        <v>805</v>
      </c>
      <c r="G20027" s="4">
        <f>IFERROR(__xludf.DUMMYFUNCTION("""COMPUTED_VALUE"""),23.0)</f>
        <v>23</v>
      </c>
      <c r="H20027" s="4"/>
      <c r="I20027" s="4"/>
    </row>
    <row r="20028">
      <c r="A20028" s="4" t="str">
        <f>IFERROR(__xludf.DUMMYFUNCTION("""COMPUTED_VALUE"""),"cas_hmw")</f>
        <v>cas_hmw</v>
      </c>
      <c r="B20028" s="5">
        <f>IFERROR(__xludf.DUMMYFUNCTION("""COMPUTED_VALUE"""),44781.0)</f>
        <v>44781</v>
      </c>
      <c r="C20028" s="6">
        <f>IFERROR(__xludf.DUMMYFUNCTION("""COMPUTED_VALUE"""),0.34525462962847087)</f>
        <v>0.3452546296</v>
      </c>
      <c r="D20028" s="4">
        <f>IFERROR(__xludf.DUMMYFUNCTION("""COMPUTED_VALUE"""),12.935169)</f>
        <v>12.935169</v>
      </c>
      <c r="E20028" s="4">
        <f>IFERROR(__xludf.DUMMYFUNCTION("""COMPUTED_VALUE"""),80.12635)</f>
        <v>80.12635</v>
      </c>
      <c r="F20028" s="4">
        <f>IFERROR(__xludf.DUMMYFUNCTION("""COMPUTED_VALUE"""),805.0)</f>
        <v>805</v>
      </c>
      <c r="G20028" s="4">
        <f>IFERROR(__xludf.DUMMYFUNCTION("""COMPUTED_VALUE"""),36.0)</f>
        <v>36</v>
      </c>
      <c r="H20028" s="4"/>
      <c r="I20028" s="4"/>
    </row>
    <row r="20029">
      <c r="A20029" s="4" t="str">
        <f>IFERROR(__xludf.DUMMYFUNCTION("""COMPUTED_VALUE"""),"cas_hmw")</f>
        <v>cas_hmw</v>
      </c>
      <c r="B20029" s="5">
        <f>IFERROR(__xludf.DUMMYFUNCTION("""COMPUTED_VALUE"""),44781.0)</f>
        <v>44781</v>
      </c>
      <c r="C20029" s="6">
        <f>IFERROR(__xludf.DUMMYFUNCTION("""COMPUTED_VALUE"""),0.3454513888900692)</f>
        <v>0.3454513889</v>
      </c>
      <c r="D20029" s="4">
        <f>IFERROR(__xludf.DUMMYFUNCTION("""COMPUTED_VALUE"""),12.853955)</f>
        <v>12.853955</v>
      </c>
      <c r="E20029" s="4">
        <f>IFERROR(__xludf.DUMMYFUNCTION("""COMPUTED_VALUE"""),80.067537)</f>
        <v>80.067537</v>
      </c>
      <c r="F20029" s="4">
        <f>IFERROR(__xludf.DUMMYFUNCTION("""COMPUTED_VALUE"""),2846.0)</f>
        <v>2846</v>
      </c>
      <c r="G20029" s="4">
        <f>IFERROR(__xludf.DUMMYFUNCTION("""COMPUTED_VALUE"""),43.0)</f>
        <v>43</v>
      </c>
      <c r="H20029" s="4"/>
      <c r="I20029" s="4"/>
    </row>
    <row r="20030">
      <c r="A20030" s="4" t="str">
        <f>IFERROR(__xludf.DUMMYFUNCTION("""COMPUTED_VALUE"""),"cas_hmw")</f>
        <v>cas_hmw</v>
      </c>
      <c r="B20030" s="5">
        <f>IFERROR(__xludf.DUMMYFUNCTION("""COMPUTED_VALUE"""),44781.0)</f>
        <v>44781</v>
      </c>
      <c r="C20030" s="6">
        <f>IFERROR(__xludf.DUMMYFUNCTION("""COMPUTED_VALUE"""),0.3457407407404389)</f>
        <v>0.3457407407</v>
      </c>
      <c r="D20030" s="4">
        <f>IFERROR(__xludf.DUMMYFUNCTION("""COMPUTED_VALUE"""),12.931394)</f>
        <v>12.931394</v>
      </c>
      <c r="E20030" s="4">
        <f>IFERROR(__xludf.DUMMYFUNCTION("""COMPUTED_VALUE"""),80.122693)</f>
        <v>80.122693</v>
      </c>
      <c r="F20030" s="4">
        <f>IFERROR(__xludf.DUMMYFUNCTION("""COMPUTED_VALUE"""),805.0)</f>
        <v>805</v>
      </c>
      <c r="G20030" s="4">
        <f>IFERROR(__xludf.DUMMYFUNCTION("""COMPUTED_VALUE"""),18.0)</f>
        <v>18</v>
      </c>
      <c r="H20030" s="4"/>
      <c r="I20030" s="4"/>
    </row>
    <row r="20031">
      <c r="A20031" s="4" t="str">
        <f>IFERROR(__xludf.DUMMYFUNCTION("""COMPUTED_VALUE"""),"cas_hmw")</f>
        <v>cas_hmw</v>
      </c>
      <c r="B20031" s="5">
        <f>IFERROR(__xludf.DUMMYFUNCTION("""COMPUTED_VALUE"""),44781.0)</f>
        <v>44781</v>
      </c>
      <c r="C20031" s="6">
        <f>IFERROR(__xludf.DUMMYFUNCTION("""COMPUTED_VALUE"""),0.3459374999983993)</f>
        <v>0.3459375</v>
      </c>
      <c r="D20031" s="4">
        <f>IFERROR(__xludf.DUMMYFUNCTION("""COMPUTED_VALUE"""),12.859403)</f>
        <v>12.859403</v>
      </c>
      <c r="E20031" s="4">
        <f>IFERROR(__xludf.DUMMYFUNCTION("""COMPUTED_VALUE"""),80.07169)</f>
        <v>80.07169</v>
      </c>
      <c r="F20031" s="4">
        <f>IFERROR(__xludf.DUMMYFUNCTION("""COMPUTED_VALUE"""),2846.0)</f>
        <v>2846</v>
      </c>
      <c r="G20031" s="4">
        <f>IFERROR(__xludf.DUMMYFUNCTION("""COMPUTED_VALUE"""),55.0)</f>
        <v>55</v>
      </c>
      <c r="H20031" s="4"/>
      <c r="I20031" s="4"/>
    </row>
    <row r="20032">
      <c r="A20032" s="4" t="str">
        <f>IFERROR(__xludf.DUMMYFUNCTION("""COMPUTED_VALUE"""),"cas_hmw")</f>
        <v>cas_hmw</v>
      </c>
      <c r="B20032" s="5">
        <f>IFERROR(__xludf.DUMMYFUNCTION("""COMPUTED_VALUE"""),44781.0)</f>
        <v>44781</v>
      </c>
      <c r="C20032" s="6">
        <f>IFERROR(__xludf.DUMMYFUNCTION("""COMPUTED_VALUE"""),0.34606481481387164)</f>
        <v>0.3460648148</v>
      </c>
      <c r="D20032" s="4">
        <f>IFERROR(__xludf.DUMMYFUNCTION("""COMPUTED_VALUE"""),12.861009)</f>
        <v>12.861009</v>
      </c>
      <c r="E20032" s="4">
        <f>IFERROR(__xludf.DUMMYFUNCTION("""COMPUTED_VALUE"""),80.072747)</f>
        <v>80.072747</v>
      </c>
      <c r="F20032" s="4">
        <f>IFERROR(__xludf.DUMMYFUNCTION("""COMPUTED_VALUE"""),2846.0)</f>
        <v>2846</v>
      </c>
      <c r="G20032" s="4">
        <f>IFERROR(__xludf.DUMMYFUNCTION("""COMPUTED_VALUE"""),40.0)</f>
        <v>40</v>
      </c>
      <c r="H20032" s="4"/>
      <c r="I20032" s="4"/>
    </row>
    <row r="20033">
      <c r="A20033" s="4" t="str">
        <f>IFERROR(__xludf.DUMMYFUNCTION("""COMPUTED_VALUE"""),"cas_hmw")</f>
        <v>cas_hmw</v>
      </c>
      <c r="B20033" s="5">
        <f>IFERROR(__xludf.DUMMYFUNCTION("""COMPUTED_VALUE"""),44781.0)</f>
        <v>44781</v>
      </c>
      <c r="C20033" s="6">
        <f>IFERROR(__xludf.DUMMYFUNCTION("""COMPUTED_VALUE"""),0.34620370370248565)</f>
        <v>0.3462037037</v>
      </c>
      <c r="D20033" s="4">
        <f>IFERROR(__xludf.DUMMYFUNCTION("""COMPUTED_VALUE"""),12.925538)</f>
        <v>12.925538</v>
      </c>
      <c r="E20033" s="4">
        <f>IFERROR(__xludf.DUMMYFUNCTION("""COMPUTED_VALUE"""),80.10439)</f>
        <v>80.10439</v>
      </c>
      <c r="F20033" s="4">
        <f>IFERROR(__xludf.DUMMYFUNCTION("""COMPUTED_VALUE"""),3143.0)</f>
        <v>3143</v>
      </c>
      <c r="G20033" s="4">
        <f>IFERROR(__xludf.DUMMYFUNCTION("""COMPUTED_VALUE"""),6.0)</f>
        <v>6</v>
      </c>
      <c r="H20033" s="4"/>
      <c r="I20033" s="4"/>
    </row>
    <row r="20034">
      <c r="A20034" s="4" t="str">
        <f>IFERROR(__xludf.DUMMYFUNCTION("""COMPUTED_VALUE"""),"cas_hmw")</f>
        <v>cas_hmw</v>
      </c>
      <c r="B20034" s="5">
        <f>IFERROR(__xludf.DUMMYFUNCTION("""COMPUTED_VALUE"""),44781.0)</f>
        <v>44781</v>
      </c>
      <c r="C20034" s="6">
        <f>IFERROR(__xludf.DUMMYFUNCTION("""COMPUTED_VALUE"""),0.3467361111106584)</f>
        <v>0.3467361111</v>
      </c>
      <c r="D20034" s="4">
        <f>IFERROR(__xludf.DUMMYFUNCTION("""COMPUTED_VALUE"""),12.9266)</f>
        <v>12.9266</v>
      </c>
      <c r="E20034" s="4">
        <f>IFERROR(__xludf.DUMMYFUNCTION("""COMPUTED_VALUE"""),80.117814)</f>
        <v>80.117814</v>
      </c>
      <c r="F20034" s="4">
        <f>IFERROR(__xludf.DUMMYFUNCTION("""COMPUTED_VALUE"""),805.0)</f>
        <v>805</v>
      </c>
      <c r="G20034" s="4">
        <f>IFERROR(__xludf.DUMMYFUNCTION("""COMPUTED_VALUE"""),18.0)</f>
        <v>18</v>
      </c>
      <c r="H20034" s="4"/>
      <c r="I20034" s="4"/>
    </row>
    <row r="20035">
      <c r="A20035" s="4" t="str">
        <f>IFERROR(__xludf.DUMMYFUNCTION("""COMPUTED_VALUE"""),"cas_hmw")</f>
        <v>cas_hmw</v>
      </c>
      <c r="B20035" s="5">
        <f>IFERROR(__xludf.DUMMYFUNCTION("""COMPUTED_VALUE"""),44781.0)</f>
        <v>44781</v>
      </c>
      <c r="C20035" s="6">
        <f>IFERROR(__xludf.DUMMYFUNCTION("""COMPUTED_VALUE"""),0.34686342592613073)</f>
        <v>0.3468634259</v>
      </c>
      <c r="D20035" s="4">
        <f>IFERROR(__xludf.DUMMYFUNCTION("""COMPUTED_VALUE"""),12.866532)</f>
        <v>12.866532</v>
      </c>
      <c r="E20035" s="4">
        <f>IFERROR(__xludf.DUMMYFUNCTION("""COMPUTED_VALUE"""),80.07503)</f>
        <v>80.07503</v>
      </c>
      <c r="F20035" s="4">
        <f>IFERROR(__xludf.DUMMYFUNCTION("""COMPUTED_VALUE"""),2846.0)</f>
        <v>2846</v>
      </c>
      <c r="G20035" s="4">
        <f>IFERROR(__xludf.DUMMYFUNCTION("""COMPUTED_VALUE"""),17.0)</f>
        <v>17</v>
      </c>
      <c r="H20035" s="4"/>
      <c r="I20035" s="4"/>
    </row>
    <row r="20036">
      <c r="A20036" s="4" t="str">
        <f>IFERROR(__xludf.DUMMYFUNCTION("""COMPUTED_VALUE"""),"cas_hmw")</f>
        <v>cas_hmw</v>
      </c>
      <c r="B20036" s="5">
        <f>IFERROR(__xludf.DUMMYFUNCTION("""COMPUTED_VALUE"""),44781.0)</f>
        <v>44781</v>
      </c>
      <c r="C20036" s="6">
        <f>IFERROR(__xludf.DUMMYFUNCTION("""COMPUTED_VALUE"""),0.34710648148029577)</f>
        <v>0.3471064815</v>
      </c>
      <c r="D20036" s="4">
        <f>IFERROR(__xludf.DUMMYFUNCTION("""COMPUTED_VALUE"""),12.92432)</f>
        <v>12.92432</v>
      </c>
      <c r="E20036" s="4">
        <f>IFERROR(__xludf.DUMMYFUNCTION("""COMPUTED_VALUE"""),80.115507)</f>
        <v>80.115507</v>
      </c>
      <c r="F20036" s="4">
        <f>IFERROR(__xludf.DUMMYFUNCTION("""COMPUTED_VALUE"""),805.0)</f>
        <v>805</v>
      </c>
      <c r="G20036" s="4">
        <f>IFERROR(__xludf.DUMMYFUNCTION("""COMPUTED_VALUE"""),58.0)</f>
        <v>58</v>
      </c>
      <c r="H20036" s="4"/>
      <c r="I20036" s="4"/>
    </row>
    <row r="20037">
      <c r="A20037" s="4" t="str">
        <f>IFERROR(__xludf.DUMMYFUNCTION("""COMPUTED_VALUE"""),"cas_hmw")</f>
        <v>cas_hmw</v>
      </c>
      <c r="B20037" s="5">
        <f>IFERROR(__xludf.DUMMYFUNCTION("""COMPUTED_VALUE"""),44781.0)</f>
        <v>44781</v>
      </c>
      <c r="C20037" s="6">
        <f>IFERROR(__xludf.DUMMYFUNCTION("""COMPUTED_VALUE"""),0.3472337962957681)</f>
        <v>0.3472337963</v>
      </c>
      <c r="D20037" s="4">
        <f>IFERROR(__xludf.DUMMYFUNCTION("""COMPUTED_VALUE"""),12.869361)</f>
        <v>12.869361</v>
      </c>
      <c r="E20037" s="4">
        <f>IFERROR(__xludf.DUMMYFUNCTION("""COMPUTED_VALUE"""),80.076182)</f>
        <v>80.076182</v>
      </c>
      <c r="F20037" s="4">
        <f>IFERROR(__xludf.DUMMYFUNCTION("""COMPUTED_VALUE"""),2846.0)</f>
        <v>2846</v>
      </c>
      <c r="G20037" s="4">
        <f>IFERROR(__xludf.DUMMYFUNCTION("""COMPUTED_VALUE"""),50.0)</f>
        <v>50</v>
      </c>
      <c r="H20037" s="4"/>
      <c r="I20037" s="4"/>
    </row>
    <row r="20038">
      <c r="A20038" s="4" t="str">
        <f>IFERROR(__xludf.DUMMYFUNCTION("""COMPUTED_VALUE"""),"cas_hmw")</f>
        <v>cas_hmw</v>
      </c>
      <c r="B20038" s="5">
        <f>IFERROR(__xludf.DUMMYFUNCTION("""COMPUTED_VALUE"""),44781.0)</f>
        <v>44781</v>
      </c>
      <c r="C20038" s="6">
        <f>IFERROR(__xludf.DUMMYFUNCTION("""COMPUTED_VALUE"""),0.34736111111124046)</f>
        <v>0.3473611111</v>
      </c>
      <c r="D20038" s="4">
        <f>IFERROR(__xludf.DUMMYFUNCTION("""COMPUTED_VALUE"""),12.869361)</f>
        <v>12.869361</v>
      </c>
      <c r="E20038" s="4">
        <f>IFERROR(__xludf.DUMMYFUNCTION("""COMPUTED_VALUE"""),80.076182)</f>
        <v>80.076182</v>
      </c>
      <c r="F20038" s="4">
        <f>IFERROR(__xludf.DUMMYFUNCTION("""COMPUTED_VALUE"""),2846.0)</f>
        <v>2846</v>
      </c>
      <c r="G20038" s="4">
        <f>IFERROR(__xludf.DUMMYFUNCTION("""COMPUTED_VALUE"""),50.0)</f>
        <v>50</v>
      </c>
      <c r="H20038" s="4"/>
      <c r="I20038" s="4"/>
    </row>
    <row r="20039">
      <c r="A20039" s="4" t="str">
        <f>IFERROR(__xludf.DUMMYFUNCTION("""COMPUTED_VALUE"""),"cas_hmw")</f>
        <v>cas_hmw</v>
      </c>
      <c r="B20039" s="5">
        <f>IFERROR(__xludf.DUMMYFUNCTION("""COMPUTED_VALUE"""),44781.0)</f>
        <v>44781</v>
      </c>
      <c r="C20039" s="6">
        <f>IFERROR(__xludf.DUMMYFUNCTION("""COMPUTED_VALUE"""),0.3475347222229175)</f>
        <v>0.3475347222</v>
      </c>
      <c r="D20039" s="4">
        <f>IFERROR(__xludf.DUMMYFUNCTION("""COMPUTED_VALUE"""),12.920852)</f>
        <v>12.920852</v>
      </c>
      <c r="E20039" s="4">
        <f>IFERROR(__xludf.DUMMYFUNCTION("""COMPUTED_VALUE"""),80.111982)</f>
        <v>80.111982</v>
      </c>
      <c r="F20039" s="4">
        <f>IFERROR(__xludf.DUMMYFUNCTION("""COMPUTED_VALUE"""),805.0)</f>
        <v>805</v>
      </c>
      <c r="G20039" s="4">
        <f>IFERROR(__xludf.DUMMYFUNCTION("""COMPUTED_VALUE"""),32.0)</f>
        <v>32</v>
      </c>
      <c r="H20039" s="4"/>
      <c r="I20039" s="4"/>
    </row>
    <row r="20040">
      <c r="A20040" s="4" t="str">
        <f>IFERROR(__xludf.DUMMYFUNCTION("""COMPUTED_VALUE"""),"cas_hmw")</f>
        <v>cas_hmw</v>
      </c>
      <c r="B20040" s="5">
        <f>IFERROR(__xludf.DUMMYFUNCTION("""COMPUTED_VALUE"""),44781.0)</f>
        <v>44781</v>
      </c>
      <c r="C20040" s="6">
        <f>IFERROR(__xludf.DUMMYFUNCTION("""COMPUTED_VALUE"""),0.3486226851855463)</f>
        <v>0.3486226852</v>
      </c>
      <c r="D20040" s="4">
        <f>IFERROR(__xludf.DUMMYFUNCTION("""COMPUTED_VALUE"""),12.9225)</f>
        <v>12.9225</v>
      </c>
      <c r="E20040" s="4">
        <f>IFERROR(__xludf.DUMMYFUNCTION("""COMPUTED_VALUE"""),80.095928)</f>
        <v>80.095928</v>
      </c>
      <c r="F20040" s="4">
        <f>IFERROR(__xludf.DUMMYFUNCTION("""COMPUTED_VALUE"""),3143.0)</f>
        <v>3143</v>
      </c>
      <c r="G20040" s="4">
        <f>IFERROR(__xludf.DUMMYFUNCTION("""COMPUTED_VALUE"""),8.0)</f>
        <v>8</v>
      </c>
      <c r="H20040" s="4"/>
      <c r="I20040" s="4"/>
    </row>
    <row r="20041">
      <c r="A20041" s="4" t="str">
        <f>IFERROR(__xludf.DUMMYFUNCTION("""COMPUTED_VALUE"""),"cas_hmw")</f>
        <v>cas_hmw</v>
      </c>
      <c r="B20041" s="5">
        <f>IFERROR(__xludf.DUMMYFUNCTION("""COMPUTED_VALUE"""),44781.0)</f>
        <v>44781</v>
      </c>
      <c r="C20041" s="6">
        <f>IFERROR(__xludf.DUMMYFUNCTION("""COMPUTED_VALUE"""),0.35106481481489027)</f>
        <v>0.3510648148</v>
      </c>
      <c r="D20041" s="4">
        <f>IFERROR(__xludf.DUMMYFUNCTION("""COMPUTED_VALUE"""),12.902817)</f>
        <v>12.902817</v>
      </c>
      <c r="E20041" s="4">
        <f>IFERROR(__xludf.DUMMYFUNCTION("""COMPUTED_VALUE"""),80.093717)</f>
        <v>80.093717</v>
      </c>
      <c r="F20041" s="4">
        <f>IFERROR(__xludf.DUMMYFUNCTION("""COMPUTED_VALUE"""),5339.0)</f>
        <v>5339</v>
      </c>
      <c r="G20041" s="4">
        <f>IFERROR(__xludf.DUMMYFUNCTION("""COMPUTED_VALUE"""),45.0)</f>
        <v>45</v>
      </c>
      <c r="H20041" s="4"/>
      <c r="I20041" s="4"/>
    </row>
    <row r="20042">
      <c r="A20042" s="4" t="str">
        <f>IFERROR(__xludf.DUMMYFUNCTION("""COMPUTED_VALUE"""),"cas_hmw")</f>
        <v>cas_hmw</v>
      </c>
      <c r="B20042" s="5">
        <f>IFERROR(__xludf.DUMMYFUNCTION("""COMPUTED_VALUE"""),44781.0)</f>
        <v>44781</v>
      </c>
      <c r="C20042" s="6">
        <f>IFERROR(__xludf.DUMMYFUNCTION("""COMPUTED_VALUE"""),0.35131944444583496)</f>
        <v>0.3513194444</v>
      </c>
      <c r="D20042" s="4">
        <f>IFERROR(__xludf.DUMMYFUNCTION("""COMPUTED_VALUE"""),12.917076)</f>
        <v>12.917076</v>
      </c>
      <c r="E20042" s="4">
        <f>IFERROR(__xludf.DUMMYFUNCTION("""COMPUTED_VALUE"""),80.080036)</f>
        <v>80.080036</v>
      </c>
      <c r="F20042" s="4">
        <f>IFERROR(__xludf.DUMMYFUNCTION("""COMPUTED_VALUE"""),3143.0)</f>
        <v>3143</v>
      </c>
      <c r="G20042" s="4">
        <f>IFERROR(__xludf.DUMMYFUNCTION("""COMPUTED_VALUE"""),40.0)</f>
        <v>40</v>
      </c>
      <c r="H20042" s="4"/>
      <c r="I20042" s="4"/>
    </row>
    <row r="20043">
      <c r="A20043" s="4" t="str">
        <f>IFERROR(__xludf.DUMMYFUNCTION("""COMPUTED_VALUE"""),"cas_hmw")</f>
        <v>cas_hmw</v>
      </c>
      <c r="B20043" s="5">
        <f>IFERROR(__xludf.DUMMYFUNCTION("""COMPUTED_VALUE"""),44781.0)</f>
        <v>44781</v>
      </c>
      <c r="C20043" s="6">
        <f>IFERROR(__xludf.DUMMYFUNCTION("""COMPUTED_VALUE"""),0.35347222222117125)</f>
        <v>0.3534722222</v>
      </c>
      <c r="D20043" s="4">
        <f>IFERROR(__xludf.DUMMYFUNCTION("""COMPUTED_VALUE"""),12.882654)</f>
        <v>12.882654</v>
      </c>
      <c r="E20043" s="4">
        <f>IFERROR(__xludf.DUMMYFUNCTION("""COMPUTED_VALUE"""),80.081738)</f>
        <v>80.081738</v>
      </c>
      <c r="F20043" s="4">
        <f>IFERROR(__xludf.DUMMYFUNCTION("""COMPUTED_VALUE"""),5339.0)</f>
        <v>5339</v>
      </c>
      <c r="G20043" s="4">
        <f>IFERROR(__xludf.DUMMYFUNCTION("""COMPUTED_VALUE"""),48.0)</f>
        <v>48</v>
      </c>
      <c r="H20043" s="4"/>
      <c r="I20043" s="4"/>
    </row>
    <row r="20044">
      <c r="A20044" s="4" t="str">
        <f>IFERROR(__xludf.DUMMYFUNCTION("""COMPUTED_VALUE"""),"cas_hmw")</f>
        <v>cas_hmw</v>
      </c>
      <c r="B20044" s="5">
        <f>IFERROR(__xludf.DUMMYFUNCTION("""COMPUTED_VALUE"""),44781.0)</f>
        <v>44781</v>
      </c>
      <c r="C20044" s="6">
        <f>IFERROR(__xludf.DUMMYFUNCTION("""COMPUTED_VALUE"""),0.35357638889036025)</f>
        <v>0.3535763889</v>
      </c>
      <c r="D20044" s="4">
        <f>IFERROR(__xludf.DUMMYFUNCTION("""COMPUTED_VALUE"""),12.881667)</f>
        <v>12.881667</v>
      </c>
      <c r="E20044" s="4">
        <f>IFERROR(__xludf.DUMMYFUNCTION("""COMPUTED_VALUE"""),80.081337)</f>
        <v>80.081337</v>
      </c>
      <c r="F20044" s="4">
        <f>IFERROR(__xludf.DUMMYFUNCTION("""COMPUTED_VALUE"""),5339.0)</f>
        <v>5339</v>
      </c>
      <c r="G20044" s="4">
        <f>IFERROR(__xludf.DUMMYFUNCTION("""COMPUTED_VALUE"""),40.0)</f>
        <v>40</v>
      </c>
      <c r="H20044" s="4"/>
      <c r="I20044" s="4"/>
    </row>
    <row r="20045">
      <c r="A20045" s="4" t="str">
        <f>IFERROR(__xludf.DUMMYFUNCTION("""COMPUTED_VALUE"""),"cas_hmw")</f>
        <v>cas_hmw</v>
      </c>
      <c r="B20045" s="5">
        <f>IFERROR(__xludf.DUMMYFUNCTION("""COMPUTED_VALUE"""),44781.0)</f>
        <v>44781</v>
      </c>
      <c r="C20045" s="6">
        <f>IFERROR(__xludf.DUMMYFUNCTION("""COMPUTED_VALUE"""),0.3551273148150358)</f>
        <v>0.3551273148</v>
      </c>
      <c r="D20045" s="4">
        <f>IFERROR(__xludf.DUMMYFUNCTION("""COMPUTED_VALUE"""),12.886378)</f>
        <v>12.886378</v>
      </c>
      <c r="E20045" s="4">
        <f>IFERROR(__xludf.DUMMYFUNCTION("""COMPUTED_VALUE"""),80.07877)</f>
        <v>80.07877</v>
      </c>
      <c r="F20045" s="4">
        <f>IFERROR(__xludf.DUMMYFUNCTION("""COMPUTED_VALUE"""),3143.0)</f>
        <v>3143</v>
      </c>
      <c r="G20045" s="4">
        <f>IFERROR(__xludf.DUMMYFUNCTION("""COMPUTED_VALUE"""),55.0)</f>
        <v>55</v>
      </c>
      <c r="H20045" s="4"/>
      <c r="I20045" s="4"/>
    </row>
    <row r="20046">
      <c r="A20046" s="4" t="str">
        <f>IFERROR(__xludf.DUMMYFUNCTION("""COMPUTED_VALUE"""),"cas_hmw")</f>
        <v>cas_hmw</v>
      </c>
      <c r="B20046" s="5">
        <f>IFERROR(__xludf.DUMMYFUNCTION("""COMPUTED_VALUE"""),44781.0)</f>
        <v>44781</v>
      </c>
      <c r="C20046" s="6">
        <f>IFERROR(__xludf.DUMMYFUNCTION("""COMPUTED_VALUE"""),0.35515046296131914)</f>
        <v>0.355150463</v>
      </c>
      <c r="D20046" s="4">
        <f>IFERROR(__xludf.DUMMYFUNCTION("""COMPUTED_VALUE"""),12.905432)</f>
        <v>12.905432</v>
      </c>
      <c r="E20046" s="4">
        <f>IFERROR(__xludf.DUMMYFUNCTION("""COMPUTED_VALUE"""),80.095742)</f>
        <v>80.095742</v>
      </c>
      <c r="F20046" s="4">
        <f>IFERROR(__xludf.DUMMYFUNCTION("""COMPUTED_VALUE"""),805.0)</f>
        <v>805</v>
      </c>
      <c r="G20046" s="4">
        <f>IFERROR(__xludf.DUMMYFUNCTION("""COMPUTED_VALUE"""),12.0)</f>
        <v>12</v>
      </c>
      <c r="H20046" s="4"/>
      <c r="I20046" s="4"/>
    </row>
    <row r="20047">
      <c r="A20047" s="4" t="str">
        <f>IFERROR(__xludf.DUMMYFUNCTION("""COMPUTED_VALUE"""),"cas_hmw")</f>
        <v>cas_hmw</v>
      </c>
      <c r="B20047" s="5">
        <f>IFERROR(__xludf.DUMMYFUNCTION("""COMPUTED_VALUE"""),44781.0)</f>
        <v>44781</v>
      </c>
      <c r="C20047" s="6">
        <f>IFERROR(__xludf.DUMMYFUNCTION("""COMPUTED_VALUE"""),0.3552662037036498)</f>
        <v>0.3552662037</v>
      </c>
      <c r="D20047" s="4">
        <f>IFERROR(__xludf.DUMMYFUNCTION("""COMPUTED_VALUE"""),12.90505)</f>
        <v>12.90505</v>
      </c>
      <c r="E20047" s="4">
        <f>IFERROR(__xludf.DUMMYFUNCTION("""COMPUTED_VALUE"""),80.095473)</f>
        <v>80.095473</v>
      </c>
      <c r="F20047" s="4">
        <f>IFERROR(__xludf.DUMMYFUNCTION("""COMPUTED_VALUE"""),805.0)</f>
        <v>805</v>
      </c>
      <c r="G20047" s="4">
        <f>IFERROR(__xludf.DUMMYFUNCTION("""COMPUTED_VALUE"""),13.0)</f>
        <v>13</v>
      </c>
      <c r="H20047" s="4"/>
      <c r="I20047" s="4"/>
    </row>
    <row r="20048">
      <c r="A20048" s="4" t="str">
        <f>IFERROR(__xludf.DUMMYFUNCTION("""COMPUTED_VALUE"""),"cas_hmw")</f>
        <v>cas_hmw</v>
      </c>
      <c r="B20048" s="5">
        <f>IFERROR(__xludf.DUMMYFUNCTION("""COMPUTED_VALUE"""),44781.0)</f>
        <v>44781</v>
      </c>
      <c r="C20048" s="6">
        <f>IFERROR(__xludf.DUMMYFUNCTION("""COMPUTED_VALUE"""),0.35539351851912215)</f>
        <v>0.3553935185</v>
      </c>
      <c r="D20048" s="4">
        <f>IFERROR(__xludf.DUMMYFUNCTION("""COMPUTED_VALUE"""),12.885741)</f>
        <v>12.885741</v>
      </c>
      <c r="E20048" s="4">
        <f>IFERROR(__xludf.DUMMYFUNCTION("""COMPUTED_VALUE"""),80.080706)</f>
        <v>80.080706</v>
      </c>
      <c r="F20048" s="4">
        <f>IFERROR(__xludf.DUMMYFUNCTION("""COMPUTED_VALUE"""),3143.0)</f>
        <v>3143</v>
      </c>
      <c r="G20048" s="4">
        <f>IFERROR(__xludf.DUMMYFUNCTION("""COMPUTED_VALUE"""),51.0)</f>
        <v>51</v>
      </c>
      <c r="H20048" s="4"/>
      <c r="I20048" s="4"/>
    </row>
    <row r="20049">
      <c r="A20049" s="4" t="str">
        <f>IFERROR(__xludf.DUMMYFUNCTION("""COMPUTED_VALUE"""),"cas_hmw")</f>
        <v>cas_hmw</v>
      </c>
      <c r="B20049" s="5">
        <f>IFERROR(__xludf.DUMMYFUNCTION("""COMPUTED_VALUE"""),44781.0)</f>
        <v>44781</v>
      </c>
      <c r="C20049" s="6">
        <f>IFERROR(__xludf.DUMMYFUNCTION("""COMPUTED_VALUE"""),0.35583333333488554)</f>
        <v>0.3558333333</v>
      </c>
      <c r="D20049" s="4">
        <f>IFERROR(__xludf.DUMMYFUNCTION("""COMPUTED_VALUE"""),12.901786)</f>
        <v>12.901786</v>
      </c>
      <c r="E20049" s="4">
        <f>IFERROR(__xludf.DUMMYFUNCTION("""COMPUTED_VALUE"""),80.092921)</f>
        <v>80.092921</v>
      </c>
      <c r="F20049" s="4">
        <f>IFERROR(__xludf.DUMMYFUNCTION("""COMPUTED_VALUE"""),805.0)</f>
        <v>805</v>
      </c>
      <c r="G20049" s="4">
        <f>IFERROR(__xludf.DUMMYFUNCTION("""COMPUTED_VALUE"""),51.0)</f>
        <v>51</v>
      </c>
      <c r="H20049" s="4"/>
      <c r="I20049" s="4"/>
    </row>
    <row r="20050">
      <c r="A20050" s="4" t="str">
        <f>IFERROR(__xludf.DUMMYFUNCTION("""COMPUTED_VALUE"""),"cas_hmw")</f>
        <v>cas_hmw</v>
      </c>
      <c r="B20050" s="5">
        <f>IFERROR(__xludf.DUMMYFUNCTION("""COMPUTED_VALUE"""),44781.0)</f>
        <v>44781</v>
      </c>
      <c r="C20050" s="6">
        <f>IFERROR(__xludf.DUMMYFUNCTION("""COMPUTED_VALUE"""),0.3558912037042319)</f>
        <v>0.3558912037</v>
      </c>
      <c r="D20050" s="4">
        <f>IFERROR(__xludf.DUMMYFUNCTION("""COMPUTED_VALUE"""),12.901786)</f>
        <v>12.901786</v>
      </c>
      <c r="E20050" s="4">
        <f>IFERROR(__xludf.DUMMYFUNCTION("""COMPUTED_VALUE"""),80.092921)</f>
        <v>80.092921</v>
      </c>
      <c r="F20050" s="4">
        <f>IFERROR(__xludf.DUMMYFUNCTION("""COMPUTED_VALUE"""),805.0)</f>
        <v>805</v>
      </c>
      <c r="G20050" s="4">
        <f>IFERROR(__xludf.DUMMYFUNCTION("""COMPUTED_VALUE"""),51.0)</f>
        <v>51</v>
      </c>
      <c r="H20050" s="4"/>
      <c r="I20050" s="4"/>
    </row>
    <row r="20051">
      <c r="A20051" s="4" t="str">
        <f>IFERROR(__xludf.DUMMYFUNCTION("""COMPUTED_VALUE"""),"cas_hmw")</f>
        <v>cas_hmw</v>
      </c>
      <c r="B20051" s="5">
        <f>IFERROR(__xludf.DUMMYFUNCTION("""COMPUTED_VALUE"""),44781.0)</f>
        <v>44781</v>
      </c>
      <c r="C20051" s="6">
        <f>IFERROR(__xludf.DUMMYFUNCTION("""COMPUTED_VALUE"""),0.35627314814701094)</f>
        <v>0.3562731481</v>
      </c>
      <c r="D20051" s="4">
        <f>IFERROR(__xludf.DUMMYFUNCTION("""COMPUTED_VALUE"""),12.898094)</f>
        <v>12.898094</v>
      </c>
      <c r="E20051" s="4">
        <f>IFERROR(__xludf.DUMMYFUNCTION("""COMPUTED_VALUE"""),80.090081)</f>
        <v>80.090081</v>
      </c>
      <c r="F20051" s="4">
        <f>IFERROR(__xludf.DUMMYFUNCTION("""COMPUTED_VALUE"""),805.0)</f>
        <v>805</v>
      </c>
      <c r="G20051" s="4">
        <f>IFERROR(__xludf.DUMMYFUNCTION("""COMPUTED_VALUE"""),57.0)</f>
        <v>57</v>
      </c>
      <c r="H20051" s="4"/>
      <c r="I20051" s="4"/>
    </row>
    <row r="20052">
      <c r="A20052" s="4" t="str">
        <f>IFERROR(__xludf.DUMMYFUNCTION("""COMPUTED_VALUE"""),"cas_hmw")</f>
        <v>cas_hmw</v>
      </c>
      <c r="B20052" s="5">
        <f>IFERROR(__xludf.DUMMYFUNCTION("""COMPUTED_VALUE"""),44781.0)</f>
        <v>44781</v>
      </c>
      <c r="C20052" s="6">
        <f>IFERROR(__xludf.DUMMYFUNCTION("""COMPUTED_VALUE"""),0.3564699074086093)</f>
        <v>0.3564699074</v>
      </c>
      <c r="D20052" s="4">
        <f>IFERROR(__xludf.DUMMYFUNCTION("""COMPUTED_VALUE"""),12.896598)</f>
        <v>12.896598</v>
      </c>
      <c r="E20052" s="4">
        <f>IFERROR(__xludf.DUMMYFUNCTION("""COMPUTED_VALUE"""),80.088967)</f>
        <v>80.088967</v>
      </c>
      <c r="F20052" s="4">
        <f>IFERROR(__xludf.DUMMYFUNCTION("""COMPUTED_VALUE"""),805.0)</f>
        <v>805</v>
      </c>
      <c r="G20052" s="4">
        <f>IFERROR(__xludf.DUMMYFUNCTION("""COMPUTED_VALUE"""),34.0)</f>
        <v>34</v>
      </c>
      <c r="H20052" s="4"/>
      <c r="I20052" s="4"/>
    </row>
    <row r="20053">
      <c r="A20053" s="4" t="str">
        <f>IFERROR(__xludf.DUMMYFUNCTION("""COMPUTED_VALUE"""),"cas_hmw")</f>
        <v>cas_hmw</v>
      </c>
      <c r="B20053" s="5">
        <f>IFERROR(__xludf.DUMMYFUNCTION("""COMPUTED_VALUE"""),44781.0)</f>
        <v>44781</v>
      </c>
      <c r="C20053" s="6">
        <f>IFERROR(__xludf.DUMMYFUNCTION("""COMPUTED_VALUE"""),0.356689814816491)</f>
        <v>0.3566898148</v>
      </c>
      <c r="D20053" s="4">
        <f>IFERROR(__xludf.DUMMYFUNCTION("""COMPUTED_VALUE"""),12.895173)</f>
        <v>12.895173</v>
      </c>
      <c r="E20053" s="4">
        <f>IFERROR(__xludf.DUMMYFUNCTION("""COMPUTED_VALUE"""),80.087902)</f>
        <v>80.087902</v>
      </c>
      <c r="F20053" s="4">
        <f>IFERROR(__xludf.DUMMYFUNCTION("""COMPUTED_VALUE"""),805.0)</f>
        <v>805</v>
      </c>
      <c r="G20053" s="4">
        <f>IFERROR(__xludf.DUMMYFUNCTION("""COMPUTED_VALUE"""),55.0)</f>
        <v>55</v>
      </c>
      <c r="H20053" s="4"/>
      <c r="I20053" s="4"/>
    </row>
    <row r="20054">
      <c r="A20054" s="4" t="str">
        <f>IFERROR(__xludf.DUMMYFUNCTION("""COMPUTED_VALUE"""),"cas_hmw")</f>
        <v>cas_hmw</v>
      </c>
      <c r="B20054" s="5">
        <f>IFERROR(__xludf.DUMMYFUNCTION("""COMPUTED_VALUE"""),44781.0)</f>
        <v>44781</v>
      </c>
      <c r="C20054" s="6">
        <f>IFERROR(__xludf.DUMMYFUNCTION("""COMPUTED_VALUE"""),0.3568750000013097)</f>
        <v>0.356875</v>
      </c>
      <c r="D20054" s="4">
        <f>IFERROR(__xludf.DUMMYFUNCTION("""COMPUTED_VALUE"""),12.893384)</f>
        <v>12.893384</v>
      </c>
      <c r="E20054" s="4">
        <f>IFERROR(__xludf.DUMMYFUNCTION("""COMPUTED_VALUE"""),80.086571)</f>
        <v>80.086571</v>
      </c>
      <c r="F20054" s="4">
        <f>IFERROR(__xludf.DUMMYFUNCTION("""COMPUTED_VALUE"""),805.0)</f>
        <v>805</v>
      </c>
      <c r="G20054" s="4">
        <f>IFERROR(__xludf.DUMMYFUNCTION("""COMPUTED_VALUE"""),51.0)</f>
        <v>51</v>
      </c>
      <c r="H20054" s="4"/>
      <c r="I20054" s="4"/>
    </row>
    <row r="20055">
      <c r="A20055" s="4" t="str">
        <f>IFERROR(__xludf.DUMMYFUNCTION("""COMPUTED_VALUE"""),"cas_hmw")</f>
        <v>cas_hmw</v>
      </c>
      <c r="B20055" s="5">
        <f>IFERROR(__xludf.DUMMYFUNCTION("""COMPUTED_VALUE"""),44781.0)</f>
        <v>44781</v>
      </c>
      <c r="C20055" s="6">
        <f>IFERROR(__xludf.DUMMYFUNCTION("""COMPUTED_VALUE"""),0.3574768518519704)</f>
        <v>0.3574768519</v>
      </c>
      <c r="D20055" s="4">
        <f>IFERROR(__xludf.DUMMYFUNCTION("""COMPUTED_VALUE"""),12.87873)</f>
        <v>12.87873</v>
      </c>
      <c r="E20055" s="4">
        <f>IFERROR(__xludf.DUMMYFUNCTION("""COMPUTED_VALUE"""),80.081395)</f>
        <v>80.081395</v>
      </c>
      <c r="F20055" s="4">
        <f>IFERROR(__xludf.DUMMYFUNCTION("""COMPUTED_VALUE"""),3143.0)</f>
        <v>3143</v>
      </c>
      <c r="G20055" s="4">
        <f>IFERROR(__xludf.DUMMYFUNCTION("""COMPUTED_VALUE"""),29.0)</f>
        <v>29</v>
      </c>
      <c r="H20055" s="4"/>
      <c r="I20055" s="4"/>
    </row>
    <row r="20056">
      <c r="A20056" s="4" t="str">
        <f>IFERROR(__xludf.DUMMYFUNCTION("""COMPUTED_VALUE"""),"cas_hmw")</f>
        <v>cas_hmw</v>
      </c>
      <c r="B20056" s="5">
        <f>IFERROR(__xludf.DUMMYFUNCTION("""COMPUTED_VALUE"""),44781.0)</f>
        <v>44781</v>
      </c>
      <c r="C20056" s="6">
        <f>IFERROR(__xludf.DUMMYFUNCTION("""COMPUTED_VALUE"""),0.3587847222224809)</f>
        <v>0.3587847222</v>
      </c>
      <c r="D20056" s="4">
        <f>IFERROR(__xludf.DUMMYFUNCTION("""COMPUTED_VALUE"""),12.879347)</f>
        <v>12.879347</v>
      </c>
      <c r="E20056" s="4">
        <f>IFERROR(__xludf.DUMMYFUNCTION("""COMPUTED_VALUE"""),80.08039)</f>
        <v>80.08039</v>
      </c>
      <c r="F20056" s="4">
        <f>IFERROR(__xludf.DUMMYFUNCTION("""COMPUTED_VALUE"""),805.0)</f>
        <v>805</v>
      </c>
      <c r="G20056" s="4">
        <f>IFERROR(__xludf.DUMMYFUNCTION("""COMPUTED_VALUE"""),0.0)</f>
        <v>0</v>
      </c>
      <c r="H20056" s="4"/>
      <c r="I20056" s="4"/>
    </row>
    <row r="20057">
      <c r="A20057" s="4" t="str">
        <f>IFERROR(__xludf.DUMMYFUNCTION("""COMPUTED_VALUE"""),"cas_hmw")</f>
        <v>cas_hmw</v>
      </c>
      <c r="B20057" s="5">
        <f>IFERROR(__xludf.DUMMYFUNCTION("""COMPUTED_VALUE"""),44781.0)</f>
        <v>44781</v>
      </c>
      <c r="C20057" s="6">
        <f>IFERROR(__xludf.DUMMYFUNCTION("""COMPUTED_VALUE"""),0.35894675926101627)</f>
        <v>0.3589467593</v>
      </c>
      <c r="D20057" s="4">
        <f>IFERROR(__xludf.DUMMYFUNCTION("""COMPUTED_VALUE"""),12.879099)</f>
        <v>12.879099</v>
      </c>
      <c r="E20057" s="4">
        <f>IFERROR(__xludf.DUMMYFUNCTION("""COMPUTED_VALUE"""),80.080374)</f>
        <v>80.080374</v>
      </c>
      <c r="F20057" s="4">
        <f>IFERROR(__xludf.DUMMYFUNCTION("""COMPUTED_VALUE"""),805.0)</f>
        <v>805</v>
      </c>
      <c r="G20057" s="4">
        <f>IFERROR(__xludf.DUMMYFUNCTION("""COMPUTED_VALUE"""),6.0)</f>
        <v>6</v>
      </c>
      <c r="H20057" s="4"/>
      <c r="I20057" s="4"/>
    </row>
    <row r="20058">
      <c r="A20058" s="4" t="str">
        <f>IFERROR(__xludf.DUMMYFUNCTION("""COMPUTED_VALUE"""),"cas_hmw")</f>
        <v>cas_hmw</v>
      </c>
      <c r="B20058" s="5">
        <f>IFERROR(__xludf.DUMMYFUNCTION("""COMPUTED_VALUE"""),44781.0)</f>
        <v>44781</v>
      </c>
      <c r="C20058" s="6">
        <f>IFERROR(__xludf.DUMMYFUNCTION("""COMPUTED_VALUE"""),0.6922685185199953)</f>
        <v>0.6922685185</v>
      </c>
      <c r="D20058" s="4">
        <f>IFERROR(__xludf.DUMMYFUNCTION("""COMPUTED_VALUE"""),12.882326)</f>
        <v>12.882326</v>
      </c>
      <c r="E20058" s="4">
        <f>IFERROR(__xludf.DUMMYFUNCTION("""COMPUTED_VALUE"""),80.081094)</f>
        <v>80.081094</v>
      </c>
      <c r="F20058" s="4">
        <f>IFERROR(__xludf.DUMMYFUNCTION("""COMPUTED_VALUE"""),805.0)</f>
        <v>805</v>
      </c>
      <c r="G20058" s="4">
        <f>IFERROR(__xludf.DUMMYFUNCTION("""COMPUTED_VALUE"""),37.0)</f>
        <v>37</v>
      </c>
      <c r="H20058" s="4"/>
      <c r="I20058" s="4"/>
    </row>
    <row r="20059">
      <c r="A20059" s="4" t="str">
        <f>IFERROR(__xludf.DUMMYFUNCTION("""COMPUTED_VALUE"""),"cas_hmw")</f>
        <v>cas_hmw</v>
      </c>
      <c r="B20059" s="5">
        <f>IFERROR(__xludf.DUMMYFUNCTION("""COMPUTED_VALUE"""),44781.0)</f>
        <v>44781</v>
      </c>
      <c r="C20059" s="6">
        <f>IFERROR(__xludf.DUMMYFUNCTION("""COMPUTED_VALUE"""),0.6923611111124046)</f>
        <v>0.6923611111</v>
      </c>
      <c r="D20059" s="4">
        <f>IFERROR(__xludf.DUMMYFUNCTION("""COMPUTED_VALUE"""),12.88326)</f>
        <v>12.88326</v>
      </c>
      <c r="E20059" s="4">
        <f>IFERROR(__xludf.DUMMYFUNCTION("""COMPUTED_VALUE"""),80.081443)</f>
        <v>80.081443</v>
      </c>
      <c r="F20059" s="4">
        <f>IFERROR(__xludf.DUMMYFUNCTION("""COMPUTED_VALUE"""),805.0)</f>
        <v>805</v>
      </c>
      <c r="G20059" s="4">
        <f>IFERROR(__xludf.DUMMYFUNCTION("""COMPUTED_VALUE"""),44.0)</f>
        <v>44</v>
      </c>
      <c r="H20059" s="4"/>
      <c r="I20059" s="4"/>
    </row>
    <row r="20060">
      <c r="A20060" s="4" t="str">
        <f>IFERROR(__xludf.DUMMYFUNCTION("""COMPUTED_VALUE"""),"cas_hmw")</f>
        <v>cas_hmw</v>
      </c>
      <c r="B20060" s="5">
        <f>IFERROR(__xludf.DUMMYFUNCTION("""COMPUTED_VALUE"""),44781.0)</f>
        <v>44781</v>
      </c>
      <c r="C20060" s="6">
        <f>IFERROR(__xludf.DUMMYFUNCTION("""COMPUTED_VALUE"""),0.692557870370365)</f>
        <v>0.6925578704</v>
      </c>
      <c r="D20060" s="4">
        <f>IFERROR(__xludf.DUMMYFUNCTION("""COMPUTED_VALUE"""),12.885064)</f>
        <v>12.885064</v>
      </c>
      <c r="E20060" s="4">
        <f>IFERROR(__xludf.DUMMYFUNCTION("""COMPUTED_VALUE"""),80.082232)</f>
        <v>80.082232</v>
      </c>
      <c r="F20060" s="4">
        <f>IFERROR(__xludf.DUMMYFUNCTION("""COMPUTED_VALUE"""),5339.0)</f>
        <v>5339</v>
      </c>
      <c r="G20060" s="4">
        <f>IFERROR(__xludf.DUMMYFUNCTION("""COMPUTED_VALUE"""),37.0)</f>
        <v>37</v>
      </c>
      <c r="H20060" s="4"/>
      <c r="I20060" s="4"/>
    </row>
    <row r="20061">
      <c r="A20061" s="4" t="str">
        <f>IFERROR(__xludf.DUMMYFUNCTION("""COMPUTED_VALUE"""),"cas_hmw")</f>
        <v>cas_hmw</v>
      </c>
      <c r="B20061" s="5">
        <f>IFERROR(__xludf.DUMMYFUNCTION("""COMPUTED_VALUE"""),44781.0)</f>
        <v>44781</v>
      </c>
      <c r="C20061" s="6">
        <f>IFERROR(__xludf.DUMMYFUNCTION("""COMPUTED_VALUE"""),0.6930902777785377)</f>
        <v>0.6930902778</v>
      </c>
      <c r="D20061" s="4">
        <f>IFERROR(__xludf.DUMMYFUNCTION("""COMPUTED_VALUE"""),12.889052)</f>
        <v>12.889052</v>
      </c>
      <c r="E20061" s="4">
        <f>IFERROR(__xludf.DUMMYFUNCTION("""COMPUTED_VALUE"""),80.084077)</f>
        <v>80.084077</v>
      </c>
      <c r="F20061" s="4">
        <f>IFERROR(__xludf.DUMMYFUNCTION("""COMPUTED_VALUE"""),5339.0)</f>
        <v>5339</v>
      </c>
      <c r="G20061" s="4">
        <f>IFERROR(__xludf.DUMMYFUNCTION("""COMPUTED_VALUE"""),50.0)</f>
        <v>50</v>
      </c>
      <c r="H20061" s="4"/>
      <c r="I20061" s="4"/>
    </row>
    <row r="20062">
      <c r="A20062" s="4" t="str">
        <f>IFERROR(__xludf.DUMMYFUNCTION("""COMPUTED_VALUE"""),"cas_hmw")</f>
        <v>cas_hmw</v>
      </c>
      <c r="B20062" s="5">
        <f>IFERROR(__xludf.DUMMYFUNCTION("""COMPUTED_VALUE"""),44781.0)</f>
        <v>44781</v>
      </c>
      <c r="C20062" s="6">
        <f>IFERROR(__xludf.DUMMYFUNCTION("""COMPUTED_VALUE"""),0.6932870370364981)</f>
        <v>0.693287037</v>
      </c>
      <c r="D20062" s="4">
        <f>IFERROR(__xludf.DUMMYFUNCTION("""COMPUTED_VALUE"""),12.892374)</f>
        <v>12.892374</v>
      </c>
      <c r="E20062" s="4">
        <f>IFERROR(__xludf.DUMMYFUNCTION("""COMPUTED_VALUE"""),80.085642)</f>
        <v>80.085642</v>
      </c>
      <c r="F20062" s="4">
        <f>IFERROR(__xludf.DUMMYFUNCTION("""COMPUTED_VALUE"""),805.0)</f>
        <v>805</v>
      </c>
      <c r="G20062" s="4">
        <f>IFERROR(__xludf.DUMMYFUNCTION("""COMPUTED_VALUE"""),56.0)</f>
        <v>56</v>
      </c>
      <c r="H20062" s="4"/>
      <c r="I20062" s="4"/>
    </row>
    <row r="20063">
      <c r="A20063" s="4" t="str">
        <f>IFERROR(__xludf.DUMMYFUNCTION("""COMPUTED_VALUE"""),"cas_hmw")</f>
        <v>cas_hmw</v>
      </c>
      <c r="B20063" s="5">
        <f>IFERROR(__xludf.DUMMYFUNCTION("""COMPUTED_VALUE"""),44781.0)</f>
        <v>44781</v>
      </c>
      <c r="C20063" s="6">
        <f>IFERROR(__xludf.DUMMYFUNCTION("""COMPUTED_VALUE"""),0.6939930555563478)</f>
        <v>0.6939930556</v>
      </c>
      <c r="D20063" s="4">
        <f>IFERROR(__xludf.DUMMYFUNCTION("""COMPUTED_VALUE"""),12.859964)</f>
        <v>12.859964</v>
      </c>
      <c r="E20063" s="4">
        <f>IFERROR(__xludf.DUMMYFUNCTION("""COMPUTED_VALUE"""),80.072247)</f>
        <v>80.072247</v>
      </c>
      <c r="F20063" s="4">
        <f>IFERROR(__xludf.DUMMYFUNCTION("""COMPUTED_VALUE"""),2846.0)</f>
        <v>2846</v>
      </c>
      <c r="G20063" s="4">
        <f>IFERROR(__xludf.DUMMYFUNCTION("""COMPUTED_VALUE"""),28.0)</f>
        <v>28</v>
      </c>
      <c r="H20063" s="4"/>
      <c r="I20063" s="4"/>
    </row>
    <row r="20064">
      <c r="A20064" s="4" t="str">
        <f>IFERROR(__xludf.DUMMYFUNCTION("""COMPUTED_VALUE"""),"cas_hmw")</f>
        <v>cas_hmw</v>
      </c>
      <c r="B20064" s="5">
        <f>IFERROR(__xludf.DUMMYFUNCTION("""COMPUTED_VALUE"""),44781.0)</f>
        <v>44781</v>
      </c>
      <c r="C20064" s="6">
        <f>IFERROR(__xludf.DUMMYFUNCTION("""COMPUTED_VALUE"""),0.6942476851836545)</f>
        <v>0.6942476852</v>
      </c>
      <c r="D20064" s="4">
        <f>IFERROR(__xludf.DUMMYFUNCTION("""COMPUTED_VALUE"""),12.901773)</f>
        <v>12.901773</v>
      </c>
      <c r="E20064" s="4">
        <f>IFERROR(__xludf.DUMMYFUNCTION("""COMPUTED_VALUE"""),80.092704)</f>
        <v>80.092704</v>
      </c>
      <c r="F20064" s="4">
        <f>IFERROR(__xludf.DUMMYFUNCTION("""COMPUTED_VALUE"""),805.0)</f>
        <v>805</v>
      </c>
      <c r="G20064" s="4">
        <f>IFERROR(__xludf.DUMMYFUNCTION("""COMPUTED_VALUE"""),58.0)</f>
        <v>58</v>
      </c>
      <c r="H20064" s="4"/>
      <c r="I20064" s="4"/>
    </row>
    <row r="20065">
      <c r="A20065" s="4" t="str">
        <f>IFERROR(__xludf.DUMMYFUNCTION("""COMPUTED_VALUE"""),"cas_hmw")</f>
        <v>cas_hmw</v>
      </c>
      <c r="B20065" s="5">
        <f>IFERROR(__xludf.DUMMYFUNCTION("""COMPUTED_VALUE"""),44781.0)</f>
        <v>44781</v>
      </c>
      <c r="C20065" s="6">
        <f>IFERROR(__xludf.DUMMYFUNCTION("""COMPUTED_VALUE"""),0.6945370370376622)</f>
        <v>0.694537037</v>
      </c>
      <c r="D20065" s="4">
        <f>IFERROR(__xludf.DUMMYFUNCTION("""COMPUTED_VALUE"""),12.904532)</f>
        <v>12.904532</v>
      </c>
      <c r="E20065" s="4">
        <f>IFERROR(__xludf.DUMMYFUNCTION("""COMPUTED_VALUE"""),80.09473)</f>
        <v>80.09473</v>
      </c>
      <c r="F20065" s="4">
        <f>IFERROR(__xludf.DUMMYFUNCTION("""COMPUTED_VALUE"""),805.0)</f>
        <v>805</v>
      </c>
      <c r="G20065" s="4">
        <f>IFERROR(__xludf.DUMMYFUNCTION("""COMPUTED_VALUE"""),32.0)</f>
        <v>32</v>
      </c>
      <c r="H20065" s="4"/>
      <c r="I20065" s="4"/>
    </row>
    <row r="20066">
      <c r="A20066" s="4" t="str">
        <f>IFERROR(__xludf.DUMMYFUNCTION("""COMPUTED_VALUE"""),"cas_hmw")</f>
        <v>cas_hmw</v>
      </c>
      <c r="B20066" s="5">
        <f>IFERROR(__xludf.DUMMYFUNCTION("""COMPUTED_VALUE"""),44781.0)</f>
        <v>44781</v>
      </c>
      <c r="C20066" s="6">
        <f>IFERROR(__xludf.DUMMYFUNCTION("""COMPUTED_VALUE"""),0.6945486111108039)</f>
        <v>0.6945486111</v>
      </c>
      <c r="D20066" s="4">
        <f>IFERROR(__xludf.DUMMYFUNCTION("""COMPUTED_VALUE"""),12.903803)</f>
        <v>12.903803</v>
      </c>
      <c r="E20066" s="4">
        <f>IFERROR(__xludf.DUMMYFUNCTION("""COMPUTED_VALUE"""),80.094213)</f>
        <v>80.094213</v>
      </c>
      <c r="F20066" s="4">
        <f>IFERROR(__xludf.DUMMYFUNCTION("""COMPUTED_VALUE"""),5339.0)</f>
        <v>5339</v>
      </c>
      <c r="G20066" s="4">
        <f>IFERROR(__xludf.DUMMYFUNCTION("""COMPUTED_VALUE"""),0.0)</f>
        <v>0</v>
      </c>
      <c r="H20066" s="4"/>
      <c r="I20066" s="4"/>
    </row>
    <row r="20067">
      <c r="A20067" s="4" t="str">
        <f>IFERROR(__xludf.DUMMYFUNCTION("""COMPUTED_VALUE"""),"cas_hmw")</f>
        <v>cas_hmw</v>
      </c>
      <c r="B20067" s="5">
        <f>IFERROR(__xludf.DUMMYFUNCTION("""COMPUTED_VALUE"""),44781.0)</f>
        <v>44781</v>
      </c>
      <c r="C20067" s="6">
        <f>IFERROR(__xludf.DUMMYFUNCTION("""COMPUTED_VALUE"""),0.6947106481493392)</f>
        <v>0.6947106481</v>
      </c>
      <c r="D20067" s="4">
        <f>IFERROR(__xludf.DUMMYFUNCTION("""COMPUTED_VALUE"""),12.90536)</f>
        <v>12.90536</v>
      </c>
      <c r="E20067" s="4">
        <f>IFERROR(__xludf.DUMMYFUNCTION("""COMPUTED_VALUE"""),80.095357)</f>
        <v>80.095357</v>
      </c>
      <c r="F20067" s="4">
        <f>IFERROR(__xludf.DUMMYFUNCTION("""COMPUTED_VALUE"""),805.0)</f>
        <v>805</v>
      </c>
      <c r="G20067" s="4">
        <f>IFERROR(__xludf.DUMMYFUNCTION("""COMPUTED_VALUE"""),47.0)</f>
        <v>47</v>
      </c>
      <c r="H20067" s="4"/>
      <c r="I20067" s="4"/>
    </row>
    <row r="20068">
      <c r="A20068" s="4" t="str">
        <f>IFERROR(__xludf.DUMMYFUNCTION("""COMPUTED_VALUE"""),"cas_hmw")</f>
        <v>cas_hmw</v>
      </c>
      <c r="B20068" s="5">
        <f>IFERROR(__xludf.DUMMYFUNCTION("""COMPUTED_VALUE"""),44781.0)</f>
        <v>44781</v>
      </c>
      <c r="C20068" s="6">
        <f>IFERROR(__xludf.DUMMYFUNCTION("""COMPUTED_VALUE"""),0.6949537037035043)</f>
        <v>0.6949537037</v>
      </c>
      <c r="D20068" s="4">
        <f>IFERROR(__xludf.DUMMYFUNCTION("""COMPUTED_VALUE"""),12.907201)</f>
        <v>12.907201</v>
      </c>
      <c r="E20068" s="4">
        <f>IFERROR(__xludf.DUMMYFUNCTION("""COMPUTED_VALUE"""),80.096727)</f>
        <v>80.096727</v>
      </c>
      <c r="F20068" s="4">
        <f>IFERROR(__xludf.DUMMYFUNCTION("""COMPUTED_VALUE"""),805.0)</f>
        <v>805</v>
      </c>
      <c r="G20068" s="4">
        <f>IFERROR(__xludf.DUMMYFUNCTION("""COMPUTED_VALUE"""),37.0)</f>
        <v>37</v>
      </c>
      <c r="H20068" s="4"/>
      <c r="I20068" s="4"/>
    </row>
    <row r="20069">
      <c r="A20069" s="4" t="str">
        <f>IFERROR(__xludf.DUMMYFUNCTION("""COMPUTED_VALUE"""),"cas_hmw")</f>
        <v>cas_hmw</v>
      </c>
      <c r="B20069" s="5">
        <f>IFERROR(__xludf.DUMMYFUNCTION("""COMPUTED_VALUE"""),44781.0)</f>
        <v>44781</v>
      </c>
      <c r="C20069" s="6">
        <f>IFERROR(__xludf.DUMMYFUNCTION("""COMPUTED_VALUE"""),0.6950810185189766)</f>
        <v>0.6950810185</v>
      </c>
      <c r="D20069" s="4">
        <f>IFERROR(__xludf.DUMMYFUNCTION("""COMPUTED_VALUE"""),12.907369)</f>
        <v>12.907369</v>
      </c>
      <c r="E20069" s="4">
        <f>IFERROR(__xludf.DUMMYFUNCTION("""COMPUTED_VALUE"""),80.096869)</f>
        <v>80.096869</v>
      </c>
      <c r="F20069" s="4">
        <f>IFERROR(__xludf.DUMMYFUNCTION("""COMPUTED_VALUE"""),5339.0)</f>
        <v>5339</v>
      </c>
      <c r="G20069" s="4">
        <f>IFERROR(__xludf.DUMMYFUNCTION("""COMPUTED_VALUE"""),35.0)</f>
        <v>35</v>
      </c>
      <c r="H20069" s="4"/>
      <c r="I20069" s="4"/>
    </row>
    <row r="20070">
      <c r="A20070" s="4" t="str">
        <f>IFERROR(__xludf.DUMMYFUNCTION("""COMPUTED_VALUE"""),"cas_hmw")</f>
        <v>cas_hmw</v>
      </c>
      <c r="B20070" s="5">
        <f>IFERROR(__xludf.DUMMYFUNCTION("""COMPUTED_VALUE"""),44781.0)</f>
        <v>44781</v>
      </c>
      <c r="C20070" s="6">
        <f>IFERROR(__xludf.DUMMYFUNCTION("""COMPUTED_VALUE"""),0.6951273148151813)</f>
        <v>0.6951273148</v>
      </c>
      <c r="D20070" s="4">
        <f>IFERROR(__xludf.DUMMYFUNCTION("""COMPUTED_VALUE"""),12.851114)</f>
        <v>12.851114</v>
      </c>
      <c r="E20070" s="4">
        <f>IFERROR(__xludf.DUMMYFUNCTION("""COMPUTED_VALUE"""),80.065671)</f>
        <v>80.065671</v>
      </c>
      <c r="F20070" s="4">
        <f>IFERROR(__xludf.DUMMYFUNCTION("""COMPUTED_VALUE"""),2846.0)</f>
        <v>2846</v>
      </c>
      <c r="G20070" s="4">
        <f>IFERROR(__xludf.DUMMYFUNCTION("""COMPUTED_VALUE"""),41.0)</f>
        <v>41</v>
      </c>
      <c r="H20070" s="4"/>
      <c r="I20070" s="4"/>
    </row>
    <row r="20071">
      <c r="A20071" s="4" t="str">
        <f>IFERROR(__xludf.DUMMYFUNCTION("""COMPUTED_VALUE"""),"cas_hmw")</f>
        <v>cas_hmw</v>
      </c>
      <c r="B20071" s="5">
        <f>IFERROR(__xludf.DUMMYFUNCTION("""COMPUTED_VALUE"""),44781.0)</f>
        <v>44781</v>
      </c>
      <c r="C20071" s="6">
        <f>IFERROR(__xludf.DUMMYFUNCTION("""COMPUTED_VALUE"""),0.6955439814810234)</f>
        <v>0.6955439815</v>
      </c>
      <c r="D20071" s="4">
        <f>IFERROR(__xludf.DUMMYFUNCTION("""COMPUTED_VALUE"""),12.903122)</f>
        <v>12.903122</v>
      </c>
      <c r="E20071" s="4">
        <f>IFERROR(__xludf.DUMMYFUNCTION("""COMPUTED_VALUE"""),80.071203)</f>
        <v>80.071203</v>
      </c>
      <c r="F20071" s="4">
        <f>IFERROR(__xludf.DUMMYFUNCTION("""COMPUTED_VALUE"""),3143.0)</f>
        <v>3143</v>
      </c>
      <c r="G20071" s="4">
        <f>IFERROR(__xludf.DUMMYFUNCTION("""COMPUTED_VALUE"""),56.0)</f>
        <v>56</v>
      </c>
      <c r="H20071" s="4"/>
      <c r="I20071" s="4"/>
    </row>
    <row r="20072">
      <c r="A20072" s="4" t="str">
        <f>IFERROR(__xludf.DUMMYFUNCTION("""COMPUTED_VALUE"""),"cas_hmw")</f>
        <v>cas_hmw</v>
      </c>
      <c r="B20072" s="5">
        <f>IFERROR(__xludf.DUMMYFUNCTION("""COMPUTED_VALUE"""),44781.0)</f>
        <v>44781</v>
      </c>
      <c r="C20072" s="6">
        <f>IFERROR(__xludf.DUMMYFUNCTION("""COMPUTED_VALUE"""),0.695555555554165)</f>
        <v>0.6955555556</v>
      </c>
      <c r="D20072" s="4">
        <f>IFERROR(__xludf.DUMMYFUNCTION("""COMPUTED_VALUE"""),12.909657)</f>
        <v>12.909657</v>
      </c>
      <c r="E20072" s="4">
        <f>IFERROR(__xludf.DUMMYFUNCTION("""COMPUTED_VALUE"""),80.099315)</f>
        <v>80.099315</v>
      </c>
      <c r="F20072" s="4">
        <f>IFERROR(__xludf.DUMMYFUNCTION("""COMPUTED_VALUE"""),5339.0)</f>
        <v>5339</v>
      </c>
      <c r="G20072" s="4">
        <f>IFERROR(__xludf.DUMMYFUNCTION("""COMPUTED_VALUE"""),36.0)</f>
        <v>36</v>
      </c>
      <c r="H20072" s="4"/>
      <c r="I20072" s="4"/>
    </row>
    <row r="20073">
      <c r="A20073" s="4" t="str">
        <f>IFERROR(__xludf.DUMMYFUNCTION("""COMPUTED_VALUE"""),"cas_hmw")</f>
        <v>cas_hmw</v>
      </c>
      <c r="B20073" s="5">
        <f>IFERROR(__xludf.DUMMYFUNCTION("""COMPUTED_VALUE"""),44781.0)</f>
        <v>44781</v>
      </c>
      <c r="C20073" s="6">
        <f>IFERROR(__xludf.DUMMYFUNCTION("""COMPUTED_VALUE"""),0.6973032407404389)</f>
        <v>0.6973032407</v>
      </c>
      <c r="D20073" s="4">
        <f>IFERROR(__xludf.DUMMYFUNCTION("""COMPUTED_VALUE"""),12.915732)</f>
        <v>12.915732</v>
      </c>
      <c r="E20073" s="4">
        <f>IFERROR(__xludf.DUMMYFUNCTION("""COMPUTED_VALUE"""),80.104094)</f>
        <v>80.104094</v>
      </c>
      <c r="F20073" s="4">
        <f>IFERROR(__xludf.DUMMYFUNCTION("""COMPUTED_VALUE"""),805.0)</f>
        <v>805</v>
      </c>
      <c r="G20073" s="4">
        <f>IFERROR(__xludf.DUMMYFUNCTION("""COMPUTED_VALUE"""),46.0)</f>
        <v>46</v>
      </c>
      <c r="H20073" s="4"/>
      <c r="I20073" s="4"/>
    </row>
    <row r="20074">
      <c r="A20074" s="4" t="str">
        <f>IFERROR(__xludf.DUMMYFUNCTION("""COMPUTED_VALUE"""),"cas_hmw")</f>
        <v>cas_hmw</v>
      </c>
      <c r="B20074" s="5">
        <f>IFERROR(__xludf.DUMMYFUNCTION("""COMPUTED_VALUE"""),44781.0)</f>
        <v>44781</v>
      </c>
      <c r="C20074" s="6">
        <f>IFERROR(__xludf.DUMMYFUNCTION("""COMPUTED_VALUE"""),0.6973495370366436)</f>
        <v>0.697349537</v>
      </c>
      <c r="D20074" s="4">
        <f>IFERROR(__xludf.DUMMYFUNCTION("""COMPUTED_VALUE"""),12.916045)</f>
        <v>12.916045</v>
      </c>
      <c r="E20074" s="4">
        <f>IFERROR(__xludf.DUMMYFUNCTION("""COMPUTED_VALUE"""),80.105271)</f>
        <v>80.105271</v>
      </c>
      <c r="F20074" s="4">
        <f>IFERROR(__xludf.DUMMYFUNCTION("""COMPUTED_VALUE"""),805.0)</f>
        <v>805</v>
      </c>
      <c r="G20074" s="4">
        <f>IFERROR(__xludf.DUMMYFUNCTION("""COMPUTED_VALUE"""),40.0)</f>
        <v>40</v>
      </c>
      <c r="H20074" s="4"/>
      <c r="I20074" s="4"/>
    </row>
    <row r="20075">
      <c r="A20075" s="4" t="str">
        <f>IFERROR(__xludf.DUMMYFUNCTION("""COMPUTED_VALUE"""),"cas_hmw")</f>
        <v>cas_hmw</v>
      </c>
      <c r="B20075" s="5">
        <f>IFERROR(__xludf.DUMMYFUNCTION("""COMPUTED_VALUE"""),44781.0)</f>
        <v>44781</v>
      </c>
      <c r="C20075" s="6">
        <f>IFERROR(__xludf.DUMMYFUNCTION("""COMPUTED_VALUE"""),0.6975115740751789)</f>
        <v>0.6975115741</v>
      </c>
      <c r="D20075" s="4">
        <f>IFERROR(__xludf.DUMMYFUNCTION("""COMPUTED_VALUE"""),12.846687)</f>
        <v>12.846687</v>
      </c>
      <c r="E20075" s="4">
        <f>IFERROR(__xludf.DUMMYFUNCTION("""COMPUTED_VALUE"""),80.062514)</f>
        <v>80.062514</v>
      </c>
      <c r="F20075" s="4">
        <f>IFERROR(__xludf.DUMMYFUNCTION("""COMPUTED_VALUE"""),2846.0)</f>
        <v>2846</v>
      </c>
      <c r="G20075" s="4">
        <f>IFERROR(__xludf.DUMMYFUNCTION("""COMPUTED_VALUE"""),46.0)</f>
        <v>46</v>
      </c>
      <c r="H20075" s="4"/>
      <c r="I20075" s="4"/>
    </row>
    <row r="20076">
      <c r="A20076" s="4" t="str">
        <f>IFERROR(__xludf.DUMMYFUNCTION("""COMPUTED_VALUE"""),"cas_hmw")</f>
        <v>cas_hmw</v>
      </c>
      <c r="B20076" s="5">
        <f>IFERROR(__xludf.DUMMYFUNCTION("""COMPUTED_VALUE"""),44781.0)</f>
        <v>44781</v>
      </c>
      <c r="C20076" s="6">
        <f>IFERROR(__xludf.DUMMYFUNCTION("""COMPUTED_VALUE"""),0.6975925925908086)</f>
        <v>0.6975925926</v>
      </c>
      <c r="D20076" s="4">
        <f>IFERROR(__xludf.DUMMYFUNCTION("""COMPUTED_VALUE"""),12.916942)</f>
        <v>12.916942</v>
      </c>
      <c r="E20076" s="4">
        <f>IFERROR(__xludf.DUMMYFUNCTION("""COMPUTED_VALUE"""),80.106954)</f>
        <v>80.106954</v>
      </c>
      <c r="F20076" s="4">
        <f>IFERROR(__xludf.DUMMYFUNCTION("""COMPUTED_VALUE"""),805.0)</f>
        <v>805</v>
      </c>
      <c r="G20076" s="4">
        <f>IFERROR(__xludf.DUMMYFUNCTION("""COMPUTED_VALUE"""),40.0)</f>
        <v>40</v>
      </c>
      <c r="H20076" s="4"/>
      <c r="I20076" s="4"/>
    </row>
    <row r="20077">
      <c r="A20077" s="4" t="str">
        <f>IFERROR(__xludf.DUMMYFUNCTION("""COMPUTED_VALUE"""),"cas_hmw")</f>
        <v>cas_hmw</v>
      </c>
      <c r="B20077" s="5">
        <f>IFERROR(__xludf.DUMMYFUNCTION("""COMPUTED_VALUE"""),44781.0)</f>
        <v>44781</v>
      </c>
      <c r="C20077" s="6">
        <f>IFERROR(__xludf.DUMMYFUNCTION("""COMPUTED_VALUE"""),0.6976041666675883)</f>
        <v>0.6976041667</v>
      </c>
      <c r="D20077" s="4">
        <f>IFERROR(__xludf.DUMMYFUNCTION("""COMPUTED_VALUE"""),12.915803)</f>
        <v>12.915803</v>
      </c>
      <c r="E20077" s="4">
        <f>IFERROR(__xludf.DUMMYFUNCTION("""COMPUTED_VALUE"""),80.104388)</f>
        <v>80.104388</v>
      </c>
      <c r="F20077" s="4">
        <f>IFERROR(__xludf.DUMMYFUNCTION("""COMPUTED_VALUE"""),5339.0)</f>
        <v>5339</v>
      </c>
      <c r="G20077" s="4">
        <f>IFERROR(__xludf.DUMMYFUNCTION("""COMPUTED_VALUE"""),45.0)</f>
        <v>45</v>
      </c>
      <c r="H20077" s="4"/>
      <c r="I20077" s="4"/>
    </row>
    <row r="20078">
      <c r="A20078" s="4" t="str">
        <f>IFERROR(__xludf.DUMMYFUNCTION("""COMPUTED_VALUE"""),"cas_hmw")</f>
        <v>cas_hmw</v>
      </c>
      <c r="B20078" s="5">
        <f>IFERROR(__xludf.DUMMYFUNCTION("""COMPUTED_VALUE"""),44781.0)</f>
        <v>44781</v>
      </c>
      <c r="C20078" s="6">
        <f>IFERROR(__xludf.DUMMYFUNCTION("""COMPUTED_VALUE"""),0.697789351852407)</f>
        <v>0.6977893519</v>
      </c>
      <c r="D20078" s="4">
        <f>IFERROR(__xludf.DUMMYFUNCTION("""COMPUTED_VALUE"""),12.918154)</f>
        <v>12.918154</v>
      </c>
      <c r="E20078" s="4">
        <f>IFERROR(__xludf.DUMMYFUNCTION("""COMPUTED_VALUE"""),80.108695)</f>
        <v>80.108695</v>
      </c>
      <c r="F20078" s="4">
        <f>IFERROR(__xludf.DUMMYFUNCTION("""COMPUTED_VALUE"""),805.0)</f>
        <v>805</v>
      </c>
      <c r="G20078" s="4">
        <f>IFERROR(__xludf.DUMMYFUNCTION("""COMPUTED_VALUE"""),43.0)</f>
        <v>43</v>
      </c>
      <c r="H20078" s="4"/>
      <c r="I20078" s="4"/>
    </row>
    <row r="20079">
      <c r="A20079" s="4" t="str">
        <f>IFERROR(__xludf.DUMMYFUNCTION("""COMPUTED_VALUE"""),"cas_hmw")</f>
        <v>cas_hmw</v>
      </c>
      <c r="B20079" s="5">
        <f>IFERROR(__xludf.DUMMYFUNCTION("""COMPUTED_VALUE"""),44781.0)</f>
        <v>44781</v>
      </c>
      <c r="C20079" s="6">
        <f>IFERROR(__xludf.DUMMYFUNCTION("""COMPUTED_VALUE"""),0.69782407407547)</f>
        <v>0.6978240741</v>
      </c>
      <c r="D20079" s="4">
        <f>IFERROR(__xludf.DUMMYFUNCTION("""COMPUTED_VALUE"""),12.838859)</f>
        <v>12.838859</v>
      </c>
      <c r="E20079" s="4">
        <f>IFERROR(__xludf.DUMMYFUNCTION("""COMPUTED_VALUE"""),80.054548)</f>
        <v>80.054548</v>
      </c>
      <c r="F20079" s="4">
        <f>IFERROR(__xludf.DUMMYFUNCTION("""COMPUTED_VALUE"""),2846.0)</f>
        <v>2846</v>
      </c>
      <c r="G20079" s="4">
        <f>IFERROR(__xludf.DUMMYFUNCTION("""COMPUTED_VALUE"""),55.0)</f>
        <v>55</v>
      </c>
      <c r="H20079" s="4"/>
      <c r="I20079" s="4"/>
    </row>
    <row r="20080">
      <c r="A20080" s="4" t="str">
        <f>IFERROR(__xludf.DUMMYFUNCTION("""COMPUTED_VALUE"""),"cas_hmw")</f>
        <v>cas_hmw</v>
      </c>
      <c r="B20080" s="5">
        <f>IFERROR(__xludf.DUMMYFUNCTION("""COMPUTED_VALUE"""),44781.0)</f>
        <v>44781</v>
      </c>
      <c r="C20080" s="6">
        <f>IFERROR(__xludf.DUMMYFUNCTION("""COMPUTED_VALUE"""),0.6984490740724141)</f>
        <v>0.6984490741</v>
      </c>
      <c r="D20080" s="4">
        <f>IFERROR(__xludf.DUMMYFUNCTION("""COMPUTED_VALUE"""),12.922101)</f>
        <v>12.922101</v>
      </c>
      <c r="E20080" s="4">
        <f>IFERROR(__xludf.DUMMYFUNCTION("""COMPUTED_VALUE"""),80.113208)</f>
        <v>80.113208</v>
      </c>
      <c r="F20080" s="4">
        <f>IFERROR(__xludf.DUMMYFUNCTION("""COMPUTED_VALUE"""),805.0)</f>
        <v>805</v>
      </c>
      <c r="G20080" s="4">
        <f>IFERROR(__xludf.DUMMYFUNCTION("""COMPUTED_VALUE"""),55.0)</f>
        <v>55</v>
      </c>
      <c r="H20080" s="4"/>
      <c r="I20080" s="4"/>
    </row>
    <row r="20081">
      <c r="A20081" s="4" t="str">
        <f>IFERROR(__xludf.DUMMYFUNCTION("""COMPUTED_VALUE"""),"cas_hmw")</f>
        <v>cas_hmw</v>
      </c>
      <c r="B20081" s="5">
        <f>IFERROR(__xludf.DUMMYFUNCTION("""COMPUTED_VALUE"""),44781.0)</f>
        <v>44781</v>
      </c>
      <c r="C20081" s="6">
        <f>IFERROR(__xludf.DUMMYFUNCTION("""COMPUTED_VALUE"""),0.6985069444453984)</f>
        <v>0.6985069444</v>
      </c>
      <c r="D20081" s="4">
        <f>IFERROR(__xludf.DUMMYFUNCTION("""COMPUTED_VALUE"""),12.923066)</f>
        <v>12.923066</v>
      </c>
      <c r="E20081" s="4">
        <f>IFERROR(__xludf.DUMMYFUNCTION("""COMPUTED_VALUE"""),80.114135)</f>
        <v>80.114135</v>
      </c>
      <c r="F20081" s="4">
        <f>IFERROR(__xludf.DUMMYFUNCTION("""COMPUTED_VALUE"""),805.0)</f>
        <v>805</v>
      </c>
      <c r="G20081" s="4">
        <f>IFERROR(__xludf.DUMMYFUNCTION("""COMPUTED_VALUE"""),46.0)</f>
        <v>46</v>
      </c>
      <c r="H20081" s="4"/>
      <c r="I20081" s="4"/>
    </row>
    <row r="20082">
      <c r="A20082" s="4" t="str">
        <f>IFERROR(__xludf.DUMMYFUNCTION("""COMPUTED_VALUE"""),"cas_hmw")</f>
        <v>cas_hmw</v>
      </c>
      <c r="B20082" s="5">
        <f>IFERROR(__xludf.DUMMYFUNCTION("""COMPUTED_VALUE"""),44781.0)</f>
        <v>44781</v>
      </c>
      <c r="C20082" s="6">
        <f>IFERROR(__xludf.DUMMYFUNCTION("""COMPUTED_VALUE"""),0.6986574074071541)</f>
        <v>0.6986574074</v>
      </c>
      <c r="D20082" s="4">
        <f>IFERROR(__xludf.DUMMYFUNCTION("""COMPUTED_VALUE"""),12.923973)</f>
        <v>12.923973</v>
      </c>
      <c r="E20082" s="4">
        <f>IFERROR(__xludf.DUMMYFUNCTION("""COMPUTED_VALUE"""),80.115035)</f>
        <v>80.115035</v>
      </c>
      <c r="F20082" s="4">
        <f>IFERROR(__xludf.DUMMYFUNCTION("""COMPUTED_VALUE"""),805.0)</f>
        <v>805</v>
      </c>
      <c r="G20082" s="4">
        <f>IFERROR(__xludf.DUMMYFUNCTION("""COMPUTED_VALUE"""),50.0)</f>
        <v>50</v>
      </c>
      <c r="H20082" s="4"/>
      <c r="I20082" s="4"/>
    </row>
    <row r="20083">
      <c r="A20083" s="4" t="str">
        <f>IFERROR(__xludf.DUMMYFUNCTION("""COMPUTED_VALUE"""),"cas_hmw")</f>
        <v>cas_hmw</v>
      </c>
      <c r="B20083" s="5">
        <f>IFERROR(__xludf.DUMMYFUNCTION("""COMPUTED_VALUE"""),44781.0)</f>
        <v>44781</v>
      </c>
      <c r="C20083" s="6">
        <f>IFERROR(__xludf.DUMMYFUNCTION("""COMPUTED_VALUE"""),0.6990972222229175)</f>
        <v>0.6990972222</v>
      </c>
      <c r="D20083" s="4">
        <f>IFERROR(__xludf.DUMMYFUNCTION("""COMPUTED_VALUE"""),12.919715)</f>
        <v>12.919715</v>
      </c>
      <c r="E20083" s="4">
        <f>IFERROR(__xludf.DUMMYFUNCTION("""COMPUTED_VALUE"""),80.110654)</f>
        <v>80.110654</v>
      </c>
      <c r="F20083" s="4">
        <f>IFERROR(__xludf.DUMMYFUNCTION("""COMPUTED_VALUE"""),5339.0)</f>
        <v>5339</v>
      </c>
      <c r="G20083" s="4">
        <f>IFERROR(__xludf.DUMMYFUNCTION("""COMPUTED_VALUE"""),50.0)</f>
        <v>50</v>
      </c>
      <c r="H20083" s="4"/>
      <c r="I20083" s="4"/>
    </row>
    <row r="20084">
      <c r="A20084" s="4" t="str">
        <f>IFERROR(__xludf.DUMMYFUNCTION("""COMPUTED_VALUE"""),"cas_hmw")</f>
        <v>cas_hmw</v>
      </c>
      <c r="B20084" s="5">
        <f>IFERROR(__xludf.DUMMYFUNCTION("""COMPUTED_VALUE"""),44781.0)</f>
        <v>44781</v>
      </c>
      <c r="C20084" s="6">
        <f>IFERROR(__xludf.DUMMYFUNCTION("""COMPUTED_VALUE"""),0.6996412037042319)</f>
        <v>0.6996412037</v>
      </c>
      <c r="D20084" s="4">
        <f>IFERROR(__xludf.DUMMYFUNCTION("""COMPUTED_VALUE"""),12.822207)</f>
        <v>12.822207</v>
      </c>
      <c r="E20084" s="4">
        <f>IFERROR(__xludf.DUMMYFUNCTION("""COMPUTED_VALUE"""),80.038448)</f>
        <v>80.038448</v>
      </c>
      <c r="F20084" s="4">
        <f>IFERROR(__xludf.DUMMYFUNCTION("""COMPUTED_VALUE"""),2846.0)</f>
        <v>2846</v>
      </c>
      <c r="G20084" s="4">
        <f>IFERROR(__xludf.DUMMYFUNCTION("""COMPUTED_VALUE"""),40.0)</f>
        <v>40</v>
      </c>
      <c r="H20084" s="4"/>
      <c r="I20084" s="4"/>
    </row>
    <row r="20085">
      <c r="A20085" s="4" t="str">
        <f>IFERROR(__xludf.DUMMYFUNCTION("""COMPUTED_VALUE"""),"cas_hmw")</f>
        <v>cas_hmw</v>
      </c>
      <c r="B20085" s="5">
        <f>IFERROR(__xludf.DUMMYFUNCTION("""COMPUTED_VALUE"""),44781.0)</f>
        <v>44781</v>
      </c>
      <c r="C20085" s="6">
        <f>IFERROR(__xludf.DUMMYFUNCTION("""COMPUTED_VALUE"""),0.7000347222237906)</f>
        <v>0.7000347222</v>
      </c>
      <c r="D20085" s="4">
        <f>IFERROR(__xludf.DUMMYFUNCTION("""COMPUTED_VALUE"""),12.819491)</f>
        <v>12.819491</v>
      </c>
      <c r="E20085" s="4">
        <f>IFERROR(__xludf.DUMMYFUNCTION("""COMPUTED_VALUE"""),80.036511)</f>
        <v>80.036511</v>
      </c>
      <c r="F20085" s="4">
        <f>IFERROR(__xludf.DUMMYFUNCTION("""COMPUTED_VALUE"""),2846.0)</f>
        <v>2846</v>
      </c>
      <c r="G20085" s="4">
        <f>IFERROR(__xludf.DUMMYFUNCTION("""COMPUTED_VALUE"""),48.0)</f>
        <v>48</v>
      </c>
      <c r="H20085" s="4"/>
      <c r="I20085" s="4"/>
    </row>
    <row r="20086">
      <c r="A20086" s="4" t="str">
        <f>IFERROR(__xludf.DUMMYFUNCTION("""COMPUTED_VALUE"""),"cas_hmw")</f>
        <v>cas_hmw</v>
      </c>
      <c r="B20086" s="5">
        <f>IFERROR(__xludf.DUMMYFUNCTION("""COMPUTED_VALUE"""),44781.0)</f>
        <v>44781</v>
      </c>
      <c r="C20086" s="6">
        <f>IFERROR(__xludf.DUMMYFUNCTION("""COMPUTED_VALUE"""),0.7004513888896327)</f>
        <v>0.7004513889</v>
      </c>
      <c r="D20086" s="4">
        <f>IFERROR(__xludf.DUMMYFUNCTION("""COMPUTED_VALUE"""),12.816257)</f>
        <v>12.816257</v>
      </c>
      <c r="E20086" s="4">
        <f>IFERROR(__xludf.DUMMYFUNCTION("""COMPUTED_VALUE"""),80.034208)</f>
        <v>80.034208</v>
      </c>
      <c r="F20086" s="4">
        <f>IFERROR(__xludf.DUMMYFUNCTION("""COMPUTED_VALUE"""),2846.0)</f>
        <v>2846</v>
      </c>
      <c r="G20086" s="4">
        <f>IFERROR(__xludf.DUMMYFUNCTION("""COMPUTED_VALUE"""),57.0)</f>
        <v>57</v>
      </c>
      <c r="H20086" s="4"/>
      <c r="I20086" s="4"/>
    </row>
    <row r="20087">
      <c r="A20087" s="4" t="str">
        <f>IFERROR(__xludf.DUMMYFUNCTION("""COMPUTED_VALUE"""),"cas_hmw")</f>
        <v>cas_hmw</v>
      </c>
      <c r="B20087" s="5">
        <f>IFERROR(__xludf.DUMMYFUNCTION("""COMPUTED_VALUE"""),44781.0)</f>
        <v>44781</v>
      </c>
      <c r="C20087" s="6">
        <f>IFERROR(__xludf.DUMMYFUNCTION("""COMPUTED_VALUE"""),0.7007291666668607)</f>
        <v>0.7007291667</v>
      </c>
      <c r="D20087" s="4">
        <f>IFERROR(__xludf.DUMMYFUNCTION("""COMPUTED_VALUE"""),12.929236)</f>
        <v>12.929236</v>
      </c>
      <c r="E20087" s="4">
        <f>IFERROR(__xludf.DUMMYFUNCTION("""COMPUTED_VALUE"""),80.120367)</f>
        <v>80.120367</v>
      </c>
      <c r="F20087" s="4">
        <f>IFERROR(__xludf.DUMMYFUNCTION("""COMPUTED_VALUE"""),805.0)</f>
        <v>805</v>
      </c>
      <c r="G20087" s="4">
        <f>IFERROR(__xludf.DUMMYFUNCTION("""COMPUTED_VALUE"""),33.0)</f>
        <v>33</v>
      </c>
      <c r="H20087" s="4"/>
      <c r="I20087" s="4"/>
    </row>
    <row r="20088">
      <c r="A20088" s="4" t="str">
        <f>IFERROR(__xludf.DUMMYFUNCTION("""COMPUTED_VALUE"""),"cas_hmw")</f>
        <v>cas_hmw</v>
      </c>
      <c r="B20088" s="5">
        <f>IFERROR(__xludf.DUMMYFUNCTION("""COMPUTED_VALUE"""),44781.0)</f>
        <v>44781</v>
      </c>
      <c r="C20088" s="6">
        <f>IFERROR(__xludf.DUMMYFUNCTION("""COMPUTED_VALUE"""),0.7010648148134351)</f>
        <v>0.7010648148</v>
      </c>
      <c r="D20088" s="4">
        <f>IFERROR(__xludf.DUMMYFUNCTION("""COMPUTED_VALUE"""),12.931117)</f>
        <v>12.931117</v>
      </c>
      <c r="E20088" s="4">
        <f>IFERROR(__xludf.DUMMYFUNCTION("""COMPUTED_VALUE"""),80.122232)</f>
        <v>80.122232</v>
      </c>
      <c r="F20088" s="4">
        <f>IFERROR(__xludf.DUMMYFUNCTION("""COMPUTED_VALUE"""),805.0)</f>
        <v>805</v>
      </c>
      <c r="G20088" s="4">
        <f>IFERROR(__xludf.DUMMYFUNCTION("""COMPUTED_VALUE"""),11.0)</f>
        <v>11</v>
      </c>
      <c r="H20088" s="4"/>
      <c r="I20088" s="4"/>
    </row>
    <row r="20089">
      <c r="A20089" s="4" t="str">
        <f>IFERROR(__xludf.DUMMYFUNCTION("""COMPUTED_VALUE"""),"cas_hmw")</f>
        <v>cas_hmw</v>
      </c>
      <c r="B20089" s="5">
        <f>IFERROR(__xludf.DUMMYFUNCTION("""COMPUTED_VALUE"""),44781.0)</f>
        <v>44781</v>
      </c>
      <c r="C20089" s="6">
        <f>IFERROR(__xludf.DUMMYFUNCTION("""COMPUTED_VALUE"""),0.7010879629633564)</f>
        <v>0.701087963</v>
      </c>
      <c r="D20089" s="4">
        <f>IFERROR(__xludf.DUMMYFUNCTION("""COMPUTED_VALUE"""),12.931117)</f>
        <v>12.931117</v>
      </c>
      <c r="E20089" s="4">
        <f>IFERROR(__xludf.DUMMYFUNCTION("""COMPUTED_VALUE"""),80.122232)</f>
        <v>80.122232</v>
      </c>
      <c r="F20089" s="4">
        <f>IFERROR(__xludf.DUMMYFUNCTION("""COMPUTED_VALUE"""),805.0)</f>
        <v>805</v>
      </c>
      <c r="G20089" s="4">
        <f>IFERROR(__xludf.DUMMYFUNCTION("""COMPUTED_VALUE"""),11.0)</f>
        <v>11</v>
      </c>
      <c r="H20089" s="4"/>
      <c r="I20089" s="4"/>
    </row>
    <row r="20090">
      <c r="A20090" s="4" t="str">
        <f>IFERROR(__xludf.DUMMYFUNCTION("""COMPUTED_VALUE"""),"cas_hmw")</f>
        <v>cas_hmw</v>
      </c>
      <c r="B20090" s="5">
        <f>IFERROR(__xludf.DUMMYFUNCTION("""COMPUTED_VALUE"""),44781.0)</f>
        <v>44781</v>
      </c>
      <c r="C20090" s="6">
        <f>IFERROR(__xludf.DUMMYFUNCTION("""COMPUTED_VALUE"""),0.7010879629633564)</f>
        <v>0.701087963</v>
      </c>
      <c r="D20090" s="4">
        <f>IFERROR(__xludf.DUMMYFUNCTION("""COMPUTED_VALUE"""),12.931117)</f>
        <v>12.931117</v>
      </c>
      <c r="E20090" s="4">
        <f>IFERROR(__xludf.DUMMYFUNCTION("""COMPUTED_VALUE"""),80.122232)</f>
        <v>80.122232</v>
      </c>
      <c r="F20090" s="4">
        <f>IFERROR(__xludf.DUMMYFUNCTION("""COMPUTED_VALUE"""),805.0)</f>
        <v>805</v>
      </c>
      <c r="G20090" s="4">
        <f>IFERROR(__xludf.DUMMYFUNCTION("""COMPUTED_VALUE"""),11.0)</f>
        <v>11</v>
      </c>
      <c r="H20090" s="4"/>
      <c r="I20090" s="4"/>
    </row>
    <row r="20091">
      <c r="A20091" s="4" t="str">
        <f>IFERROR(__xludf.DUMMYFUNCTION("""COMPUTED_VALUE"""),"cas_hmw")</f>
        <v>cas_hmw</v>
      </c>
      <c r="B20091" s="5">
        <f>IFERROR(__xludf.DUMMYFUNCTION("""COMPUTED_VALUE"""),44781.0)</f>
        <v>44781</v>
      </c>
      <c r="C20091" s="6">
        <f>IFERROR(__xludf.DUMMYFUNCTION("""COMPUTED_VALUE"""),0.7011111111096398)</f>
        <v>0.7011111111</v>
      </c>
      <c r="D20091" s="4">
        <f>IFERROR(__xludf.DUMMYFUNCTION("""COMPUTED_VALUE"""),12.931117)</f>
        <v>12.931117</v>
      </c>
      <c r="E20091" s="4">
        <f>IFERROR(__xludf.DUMMYFUNCTION("""COMPUTED_VALUE"""),80.122232)</f>
        <v>80.122232</v>
      </c>
      <c r="F20091" s="4">
        <f>IFERROR(__xludf.DUMMYFUNCTION("""COMPUTED_VALUE"""),805.0)</f>
        <v>805</v>
      </c>
      <c r="G20091" s="4">
        <f>IFERROR(__xludf.DUMMYFUNCTION("""COMPUTED_VALUE"""),11.0)</f>
        <v>11</v>
      </c>
      <c r="H20091" s="4"/>
      <c r="I20091" s="4"/>
    </row>
    <row r="20092">
      <c r="A20092" s="4" t="str">
        <f>IFERROR(__xludf.DUMMYFUNCTION("""COMPUTED_VALUE"""),"cas_hmw")</f>
        <v>cas_hmw</v>
      </c>
      <c r="B20092" s="5">
        <f>IFERROR(__xludf.DUMMYFUNCTION("""COMPUTED_VALUE"""),44781.0)</f>
        <v>44781</v>
      </c>
      <c r="C20092" s="6">
        <f>IFERROR(__xludf.DUMMYFUNCTION("""COMPUTED_VALUE"""),0.7012731481481751)</f>
        <v>0.7012731481</v>
      </c>
      <c r="D20092" s="4">
        <f>IFERROR(__xludf.DUMMYFUNCTION("""COMPUTED_VALUE"""),12.931448)</f>
        <v>12.931448</v>
      </c>
      <c r="E20092" s="4">
        <f>IFERROR(__xludf.DUMMYFUNCTION("""COMPUTED_VALUE"""),80.122576)</f>
        <v>80.122576</v>
      </c>
      <c r="F20092" s="4">
        <f>IFERROR(__xludf.DUMMYFUNCTION("""COMPUTED_VALUE"""),805.0)</f>
        <v>805</v>
      </c>
      <c r="G20092" s="4">
        <f>IFERROR(__xludf.DUMMYFUNCTION("""COMPUTED_VALUE"""),24.0)</f>
        <v>24</v>
      </c>
      <c r="H20092" s="4"/>
      <c r="I20092" s="4"/>
    </row>
    <row r="20093">
      <c r="A20093" s="4" t="str">
        <f>IFERROR(__xludf.DUMMYFUNCTION("""COMPUTED_VALUE"""),"cas_hmw")</f>
        <v>cas_hmw</v>
      </c>
      <c r="B20093" s="5">
        <f>IFERROR(__xludf.DUMMYFUNCTION("""COMPUTED_VALUE"""),44781.0)</f>
        <v>44781</v>
      </c>
      <c r="C20093" s="6">
        <f>IFERROR(__xludf.DUMMYFUNCTION("""COMPUTED_VALUE"""),0.7013888888905058)</f>
        <v>0.7013888889</v>
      </c>
      <c r="D20093" s="4">
        <f>IFERROR(__xludf.DUMMYFUNCTION("""COMPUTED_VALUE"""),12.932228)</f>
        <v>12.932228</v>
      </c>
      <c r="E20093" s="4">
        <f>IFERROR(__xludf.DUMMYFUNCTION("""COMPUTED_VALUE"""),80.123364)</f>
        <v>80.123364</v>
      </c>
      <c r="F20093" s="4">
        <f>IFERROR(__xludf.DUMMYFUNCTION("""COMPUTED_VALUE"""),805.0)</f>
        <v>805</v>
      </c>
      <c r="G20093" s="4">
        <f>IFERROR(__xludf.DUMMYFUNCTION("""COMPUTED_VALUE"""),31.0)</f>
        <v>31</v>
      </c>
      <c r="H20093" s="4"/>
      <c r="I20093" s="4"/>
    </row>
    <row r="20094">
      <c r="A20094" s="4" t="str">
        <f>IFERROR(__xludf.DUMMYFUNCTION("""COMPUTED_VALUE"""),"cas_hmw")</f>
        <v>cas_hmw</v>
      </c>
      <c r="B20094" s="5">
        <f>IFERROR(__xludf.DUMMYFUNCTION("""COMPUTED_VALUE"""),44781.0)</f>
        <v>44781</v>
      </c>
      <c r="C20094" s="6">
        <f>IFERROR(__xludf.DUMMYFUNCTION("""COMPUTED_VALUE"""),0.7014814814829151)</f>
        <v>0.7014814815</v>
      </c>
      <c r="D20094" s="4">
        <f>IFERROR(__xludf.DUMMYFUNCTION("""COMPUTED_VALUE"""),12.93317)</f>
        <v>12.93317</v>
      </c>
      <c r="E20094" s="4">
        <f>IFERROR(__xludf.DUMMYFUNCTION("""COMPUTED_VALUE"""),80.124302)</f>
        <v>80.124302</v>
      </c>
      <c r="F20094" s="4">
        <f>IFERROR(__xludf.DUMMYFUNCTION("""COMPUTED_VALUE"""),805.0)</f>
        <v>805</v>
      </c>
      <c r="G20094" s="4">
        <f>IFERROR(__xludf.DUMMYFUNCTION("""COMPUTED_VALUE"""),36.0)</f>
        <v>36</v>
      </c>
      <c r="H20094" s="4"/>
      <c r="I20094" s="4"/>
    </row>
    <row r="20095">
      <c r="A20095" s="4" t="str">
        <f>IFERROR(__xludf.DUMMYFUNCTION("""COMPUTED_VALUE"""),"cas_hmw")</f>
        <v>cas_hmw</v>
      </c>
      <c r="B20095" s="5">
        <f>IFERROR(__xludf.DUMMYFUNCTION("""COMPUTED_VALUE"""),44781.0)</f>
        <v>44781</v>
      </c>
      <c r="C20095" s="6">
        <f>IFERROR(__xludf.DUMMYFUNCTION("""COMPUTED_VALUE"""),0.7015393518522615)</f>
        <v>0.7015393519</v>
      </c>
      <c r="D20095" s="4">
        <f>IFERROR(__xludf.DUMMYFUNCTION("""COMPUTED_VALUE"""),12.93317)</f>
        <v>12.93317</v>
      </c>
      <c r="E20095" s="4">
        <f>IFERROR(__xludf.DUMMYFUNCTION("""COMPUTED_VALUE"""),80.124302)</f>
        <v>80.124302</v>
      </c>
      <c r="F20095" s="4">
        <f>IFERROR(__xludf.DUMMYFUNCTION("""COMPUTED_VALUE"""),805.0)</f>
        <v>805</v>
      </c>
      <c r="G20095" s="4">
        <f>IFERROR(__xludf.DUMMYFUNCTION("""COMPUTED_VALUE"""),36.0)</f>
        <v>36</v>
      </c>
      <c r="H20095" s="4"/>
      <c r="I20095" s="4"/>
    </row>
    <row r="20096">
      <c r="A20096" s="4" t="str">
        <f>IFERROR(__xludf.DUMMYFUNCTION("""COMPUTED_VALUE"""),"cas_hmw")</f>
        <v>cas_hmw</v>
      </c>
      <c r="B20096" s="5">
        <f>IFERROR(__xludf.DUMMYFUNCTION("""COMPUTED_VALUE"""),44781.0)</f>
        <v>44781</v>
      </c>
      <c r="C20096" s="6">
        <f>IFERROR(__xludf.DUMMYFUNCTION("""COMPUTED_VALUE"""),0.7015856481484661)</f>
        <v>0.7015856481</v>
      </c>
      <c r="D20096" s="4">
        <f>IFERROR(__xludf.DUMMYFUNCTION("""COMPUTED_VALUE"""),12.80492)</f>
        <v>12.80492</v>
      </c>
      <c r="E20096" s="4">
        <f>IFERROR(__xludf.DUMMYFUNCTION("""COMPUTED_VALUE"""),80.026714)</f>
        <v>80.026714</v>
      </c>
      <c r="F20096" s="4">
        <f>IFERROR(__xludf.DUMMYFUNCTION("""COMPUTED_VALUE"""),2846.0)</f>
        <v>2846</v>
      </c>
      <c r="G20096" s="4">
        <f>IFERROR(__xludf.DUMMYFUNCTION("""COMPUTED_VALUE"""),57.0)</f>
        <v>57</v>
      </c>
      <c r="H20096" s="4"/>
      <c r="I20096" s="4"/>
    </row>
    <row r="20097">
      <c r="A20097" s="4" t="str">
        <f>IFERROR(__xludf.DUMMYFUNCTION("""COMPUTED_VALUE"""),"cas_hmw")</f>
        <v>cas_hmw</v>
      </c>
      <c r="B20097" s="5">
        <f>IFERROR(__xludf.DUMMYFUNCTION("""COMPUTED_VALUE"""),44781.0)</f>
        <v>44781</v>
      </c>
      <c r="C20097" s="6">
        <f>IFERROR(__xludf.DUMMYFUNCTION("""COMPUTED_VALUE"""),0.7020717592604342)</f>
        <v>0.7020717593</v>
      </c>
      <c r="D20097" s="4">
        <f>IFERROR(__xludf.DUMMYFUNCTION("""COMPUTED_VALUE"""),12.935669)</f>
        <v>12.935669</v>
      </c>
      <c r="E20097" s="4">
        <f>IFERROR(__xludf.DUMMYFUNCTION("""COMPUTED_VALUE"""),80.126641)</f>
        <v>80.126641</v>
      </c>
      <c r="F20097" s="4">
        <f>IFERROR(__xludf.DUMMYFUNCTION("""COMPUTED_VALUE"""),805.0)</f>
        <v>805</v>
      </c>
      <c r="G20097" s="4">
        <f>IFERROR(__xludf.DUMMYFUNCTION("""COMPUTED_VALUE"""),16.0)</f>
        <v>16</v>
      </c>
      <c r="H20097" s="4"/>
      <c r="I20097" s="4"/>
    </row>
    <row r="20098">
      <c r="A20098" s="4" t="str">
        <f>IFERROR(__xludf.DUMMYFUNCTION("""COMPUTED_VALUE"""),"cas_hmw")</f>
        <v>cas_hmw</v>
      </c>
      <c r="B20098" s="5">
        <f>IFERROR(__xludf.DUMMYFUNCTION("""COMPUTED_VALUE"""),44781.0)</f>
        <v>44781</v>
      </c>
      <c r="C20098" s="6">
        <f>IFERROR(__xludf.DUMMYFUNCTION("""COMPUTED_VALUE"""),0.7020949074067175)</f>
        <v>0.7020949074</v>
      </c>
      <c r="D20098" s="4">
        <f>IFERROR(__xludf.DUMMYFUNCTION("""COMPUTED_VALUE"""),12.935669)</f>
        <v>12.935669</v>
      </c>
      <c r="E20098" s="4">
        <f>IFERROR(__xludf.DUMMYFUNCTION("""COMPUTED_VALUE"""),80.126641)</f>
        <v>80.126641</v>
      </c>
      <c r="F20098" s="4">
        <f>IFERROR(__xludf.DUMMYFUNCTION("""COMPUTED_VALUE"""),805.0)</f>
        <v>805</v>
      </c>
      <c r="G20098" s="4">
        <f>IFERROR(__xludf.DUMMYFUNCTION("""COMPUTED_VALUE"""),16.0)</f>
        <v>16</v>
      </c>
      <c r="H20098" s="4"/>
      <c r="I20098" s="4"/>
    </row>
    <row r="20099">
      <c r="A20099" s="4" t="str">
        <f>IFERROR(__xludf.DUMMYFUNCTION("""COMPUTED_VALUE"""),"cas_hmw")</f>
        <v>cas_hmw</v>
      </c>
      <c r="B20099" s="5">
        <f>IFERROR(__xludf.DUMMYFUNCTION("""COMPUTED_VALUE"""),44781.0)</f>
        <v>44781</v>
      </c>
      <c r="C20099" s="6">
        <f>IFERROR(__xludf.DUMMYFUNCTION("""COMPUTED_VALUE"""),0.7021643518528435)</f>
        <v>0.7021643519</v>
      </c>
      <c r="D20099" s="4">
        <f>IFERROR(__xludf.DUMMYFUNCTION("""COMPUTED_VALUE"""),12.799415)</f>
        <v>12.799415</v>
      </c>
      <c r="E20099" s="4">
        <f>IFERROR(__xludf.DUMMYFUNCTION("""COMPUTED_VALUE"""),80.023103)</f>
        <v>80.023103</v>
      </c>
      <c r="F20099" s="4">
        <f>IFERROR(__xludf.DUMMYFUNCTION("""COMPUTED_VALUE"""),2846.0)</f>
        <v>2846</v>
      </c>
      <c r="G20099" s="4">
        <f>IFERROR(__xludf.DUMMYFUNCTION("""COMPUTED_VALUE"""),58.0)</f>
        <v>58</v>
      </c>
      <c r="H20099" s="4"/>
      <c r="I20099" s="4"/>
    </row>
    <row r="20100">
      <c r="A20100" s="4" t="str">
        <f>IFERROR(__xludf.DUMMYFUNCTION("""COMPUTED_VALUE"""),"cas_hmw")</f>
        <v>cas_hmw</v>
      </c>
      <c r="B20100" s="5">
        <f>IFERROR(__xludf.DUMMYFUNCTION("""COMPUTED_VALUE"""),44781.0)</f>
        <v>44781</v>
      </c>
      <c r="C20100" s="6">
        <f>IFERROR(__xludf.DUMMYFUNCTION("""COMPUTED_VALUE"""),0.7021759259259852)</f>
        <v>0.7021759259</v>
      </c>
      <c r="D20100" s="4">
        <f>IFERROR(__xludf.DUMMYFUNCTION("""COMPUTED_VALUE"""),12.935669)</f>
        <v>12.935669</v>
      </c>
      <c r="E20100" s="4">
        <f>IFERROR(__xludf.DUMMYFUNCTION("""COMPUTED_VALUE"""),80.126641)</f>
        <v>80.126641</v>
      </c>
      <c r="F20100" s="4">
        <f>IFERROR(__xludf.DUMMYFUNCTION("""COMPUTED_VALUE"""),805.0)</f>
        <v>805</v>
      </c>
      <c r="G20100" s="4">
        <f>IFERROR(__xludf.DUMMYFUNCTION("""COMPUTED_VALUE"""),16.0)</f>
        <v>16</v>
      </c>
      <c r="H20100" s="4"/>
      <c r="I20100" s="4"/>
    </row>
    <row r="20101">
      <c r="A20101" s="4" t="str">
        <f>IFERROR(__xludf.DUMMYFUNCTION("""COMPUTED_VALUE"""),"cas_hmw")</f>
        <v>cas_hmw</v>
      </c>
      <c r="B20101" s="5">
        <f>IFERROR(__xludf.DUMMYFUNCTION("""COMPUTED_VALUE"""),44781.0)</f>
        <v>44781</v>
      </c>
      <c r="C20101" s="6">
        <f>IFERROR(__xludf.DUMMYFUNCTION("""COMPUTED_VALUE"""),0.7024421296300716)</f>
        <v>0.7024421296</v>
      </c>
      <c r="D20101" s="4">
        <f>IFERROR(__xludf.DUMMYFUNCTION("""COMPUTED_VALUE"""),12.926838)</f>
        <v>12.926838</v>
      </c>
      <c r="E20101" s="4">
        <f>IFERROR(__xludf.DUMMYFUNCTION("""COMPUTED_VALUE"""),80.117942)</f>
        <v>80.117942</v>
      </c>
      <c r="F20101" s="4">
        <f>IFERROR(__xludf.DUMMYFUNCTION("""COMPUTED_VALUE"""),5339.0)</f>
        <v>5339</v>
      </c>
      <c r="G20101" s="4">
        <f>IFERROR(__xludf.DUMMYFUNCTION("""COMPUTED_VALUE"""),7.0)</f>
        <v>7</v>
      </c>
      <c r="H20101" s="4"/>
      <c r="I20101" s="4"/>
    </row>
    <row r="20102">
      <c r="A20102" s="4" t="str">
        <f>IFERROR(__xludf.DUMMYFUNCTION("""COMPUTED_VALUE"""),"cas_hmw")</f>
        <v>cas_hmw</v>
      </c>
      <c r="B20102" s="5">
        <f>IFERROR(__xludf.DUMMYFUNCTION("""COMPUTED_VALUE"""),44781.0)</f>
        <v>44781</v>
      </c>
      <c r="C20102" s="6">
        <f>IFERROR(__xludf.DUMMYFUNCTION("""COMPUTED_VALUE"""),0.7024884259262762)</f>
        <v>0.7024884259</v>
      </c>
      <c r="D20102" s="4">
        <f>IFERROR(__xludf.DUMMYFUNCTION("""COMPUTED_VALUE"""),12.937252)</f>
        <v>12.937252</v>
      </c>
      <c r="E20102" s="4">
        <f>IFERROR(__xludf.DUMMYFUNCTION("""COMPUTED_VALUE"""),80.127999)</f>
        <v>80.127999</v>
      </c>
      <c r="F20102" s="4">
        <f>IFERROR(__xludf.DUMMYFUNCTION("""COMPUTED_VALUE"""),805.0)</f>
        <v>805</v>
      </c>
      <c r="G20102" s="4">
        <f>IFERROR(__xludf.DUMMYFUNCTION("""COMPUTED_VALUE"""),40.0)</f>
        <v>40</v>
      </c>
      <c r="H20102" s="4"/>
      <c r="I20102" s="4"/>
    </row>
    <row r="20103">
      <c r="A20103" s="4" t="str">
        <f>IFERROR(__xludf.DUMMYFUNCTION("""COMPUTED_VALUE"""),"cas_hmw")</f>
        <v>cas_hmw</v>
      </c>
      <c r="B20103" s="5">
        <f>IFERROR(__xludf.DUMMYFUNCTION("""COMPUTED_VALUE"""),44781.0)</f>
        <v>44781</v>
      </c>
      <c r="C20103" s="6">
        <f>IFERROR(__xludf.DUMMYFUNCTION("""COMPUTED_VALUE"""),0.7032523148154723)</f>
        <v>0.7032523148</v>
      </c>
      <c r="D20103" s="4">
        <f>IFERROR(__xludf.DUMMYFUNCTION("""COMPUTED_VALUE"""),12.931478)</f>
        <v>12.931478</v>
      </c>
      <c r="E20103" s="4">
        <f>IFERROR(__xludf.DUMMYFUNCTION("""COMPUTED_VALUE"""),80.122592)</f>
        <v>80.122592</v>
      </c>
      <c r="F20103" s="4">
        <f>IFERROR(__xludf.DUMMYFUNCTION("""COMPUTED_VALUE"""),5339.0)</f>
        <v>5339</v>
      </c>
      <c r="G20103" s="4">
        <f>IFERROR(__xludf.DUMMYFUNCTION("""COMPUTED_VALUE"""),0.0)</f>
        <v>0</v>
      </c>
      <c r="H20103" s="4"/>
      <c r="I20103" s="4"/>
    </row>
    <row r="20104">
      <c r="A20104" s="4" t="str">
        <f>IFERROR(__xludf.DUMMYFUNCTION("""COMPUTED_VALUE"""),"cas_hmw")</f>
        <v>cas_hmw</v>
      </c>
      <c r="B20104" s="5">
        <f>IFERROR(__xludf.DUMMYFUNCTION("""COMPUTED_VALUE"""),44781.0)</f>
        <v>44781</v>
      </c>
      <c r="C20104" s="6">
        <f>IFERROR(__xludf.DUMMYFUNCTION("""COMPUTED_VALUE"""),0.7033796296309447)</f>
        <v>0.7033796296</v>
      </c>
      <c r="D20104" s="4">
        <f>IFERROR(__xludf.DUMMYFUNCTION("""COMPUTED_VALUE"""),12.925634)</f>
        <v>12.925634</v>
      </c>
      <c r="E20104" s="4">
        <f>IFERROR(__xludf.DUMMYFUNCTION("""COMPUTED_VALUE"""),80.104752)</f>
        <v>80.104752</v>
      </c>
      <c r="F20104" s="4">
        <f>IFERROR(__xludf.DUMMYFUNCTION("""COMPUTED_VALUE"""),3143.0)</f>
        <v>3143</v>
      </c>
      <c r="G20104" s="4">
        <f>IFERROR(__xludf.DUMMYFUNCTION("""COMPUTED_VALUE"""),24.0)</f>
        <v>24</v>
      </c>
      <c r="H20104" s="4"/>
      <c r="I20104" s="4"/>
    </row>
    <row r="20105">
      <c r="A20105" s="4" t="str">
        <f>IFERROR(__xludf.DUMMYFUNCTION("""COMPUTED_VALUE"""),"cas_hmw")</f>
        <v>cas_hmw</v>
      </c>
      <c r="B20105" s="5">
        <f>IFERROR(__xludf.DUMMYFUNCTION("""COMPUTED_VALUE"""),44781.0)</f>
        <v>44781</v>
      </c>
      <c r="C20105" s="6">
        <f>IFERROR(__xludf.DUMMYFUNCTION("""COMPUTED_VALUE"""),0.703437500000291)</f>
        <v>0.7034375</v>
      </c>
      <c r="D20105" s="4">
        <f>IFERROR(__xludf.DUMMYFUNCTION("""COMPUTED_VALUE"""),12.931756)</f>
        <v>12.931756</v>
      </c>
      <c r="E20105" s="4">
        <f>IFERROR(__xludf.DUMMYFUNCTION("""COMPUTED_VALUE"""),80.122886)</f>
        <v>80.122886</v>
      </c>
      <c r="F20105" s="4">
        <f>IFERROR(__xludf.DUMMYFUNCTION("""COMPUTED_VALUE"""),5339.0)</f>
        <v>5339</v>
      </c>
      <c r="G20105" s="4">
        <f>IFERROR(__xludf.DUMMYFUNCTION("""COMPUTED_VALUE"""),25.0)</f>
        <v>25</v>
      </c>
      <c r="H20105" s="4"/>
      <c r="I20105" s="4"/>
    </row>
    <row r="20106">
      <c r="A20106" s="4" t="str">
        <f>IFERROR(__xludf.DUMMYFUNCTION("""COMPUTED_VALUE"""),"cas_hmw")</f>
        <v>cas_hmw</v>
      </c>
      <c r="B20106" s="5">
        <f>IFERROR(__xludf.DUMMYFUNCTION("""COMPUTED_VALUE"""),44781.0)</f>
        <v>44781</v>
      </c>
      <c r="C20106" s="6">
        <f>IFERROR(__xludf.DUMMYFUNCTION("""COMPUTED_VALUE"""),0.7043981481474475)</f>
        <v>0.7043981481</v>
      </c>
      <c r="D20106" s="4">
        <f>IFERROR(__xludf.DUMMYFUNCTION("""COMPUTED_VALUE"""),12.77668)</f>
        <v>12.77668</v>
      </c>
      <c r="E20106" s="4">
        <f>IFERROR(__xludf.DUMMYFUNCTION("""COMPUTED_VALUE"""),80.010365)</f>
        <v>80.010365</v>
      </c>
      <c r="F20106" s="4">
        <f>IFERROR(__xludf.DUMMYFUNCTION("""COMPUTED_VALUE"""),2846.0)</f>
        <v>2846</v>
      </c>
      <c r="G20106" s="4">
        <f>IFERROR(__xludf.DUMMYFUNCTION("""COMPUTED_VALUE"""),50.0)</f>
        <v>50</v>
      </c>
      <c r="H20106" s="4"/>
      <c r="I20106" s="4"/>
    </row>
    <row r="20107">
      <c r="A20107" s="4" t="str">
        <f>IFERROR(__xludf.DUMMYFUNCTION("""COMPUTED_VALUE"""),"cas_hmw")</f>
        <v>cas_hmw</v>
      </c>
      <c r="B20107" s="5">
        <f>IFERROR(__xludf.DUMMYFUNCTION("""COMPUTED_VALUE"""),44781.0)</f>
        <v>44781</v>
      </c>
      <c r="C20107" s="6">
        <f>IFERROR(__xludf.DUMMYFUNCTION("""COMPUTED_VALUE"""),0.7044097222205892)</f>
        <v>0.7044097222</v>
      </c>
      <c r="D20107" s="4">
        <f>IFERROR(__xludf.DUMMYFUNCTION("""COMPUTED_VALUE"""),12.937879)</f>
        <v>12.937879</v>
      </c>
      <c r="E20107" s="4">
        <f>IFERROR(__xludf.DUMMYFUNCTION("""COMPUTED_VALUE"""),80.128603)</f>
        <v>80.128603</v>
      </c>
      <c r="F20107" s="4">
        <f>IFERROR(__xludf.DUMMYFUNCTION("""COMPUTED_VALUE"""),5339.0)</f>
        <v>5339</v>
      </c>
      <c r="G20107" s="4">
        <f>IFERROR(__xludf.DUMMYFUNCTION("""COMPUTED_VALUE"""),52.0)</f>
        <v>52</v>
      </c>
      <c r="H20107" s="4"/>
      <c r="I20107" s="4"/>
    </row>
    <row r="20108">
      <c r="A20108" s="4" t="str">
        <f>IFERROR(__xludf.DUMMYFUNCTION("""COMPUTED_VALUE"""),"cas_hmw")</f>
        <v>cas_hmw</v>
      </c>
      <c r="B20108" s="5">
        <f>IFERROR(__xludf.DUMMYFUNCTION("""COMPUTED_VALUE"""),44781.0)</f>
        <v>44781</v>
      </c>
      <c r="C20108" s="6">
        <f>IFERROR(__xludf.DUMMYFUNCTION("""COMPUTED_VALUE"""),0.7045370370360615)</f>
        <v>0.704537037</v>
      </c>
      <c r="D20108" s="4">
        <f>IFERROR(__xludf.DUMMYFUNCTION("""COMPUTED_VALUE"""),12.939546)</f>
        <v>12.939546</v>
      </c>
      <c r="E20108" s="4">
        <f>IFERROR(__xludf.DUMMYFUNCTION("""COMPUTED_VALUE"""),80.130072)</f>
        <v>80.130072</v>
      </c>
      <c r="F20108" s="4">
        <f>IFERROR(__xludf.DUMMYFUNCTION("""COMPUTED_VALUE"""),5339.0)</f>
        <v>5339</v>
      </c>
      <c r="G20108" s="4">
        <f>IFERROR(__xludf.DUMMYFUNCTION("""COMPUTED_VALUE"""),53.0)</f>
        <v>53</v>
      </c>
      <c r="H20108" s="4"/>
      <c r="I20108" s="4"/>
    </row>
    <row r="20109">
      <c r="A20109" s="4" t="str">
        <f>IFERROR(__xludf.DUMMYFUNCTION("""COMPUTED_VALUE"""),"cas_hmw")</f>
        <v>cas_hmw</v>
      </c>
      <c r="B20109" s="5">
        <f>IFERROR(__xludf.DUMMYFUNCTION("""COMPUTED_VALUE"""),44781.0)</f>
        <v>44781</v>
      </c>
      <c r="C20109" s="6">
        <f>IFERROR(__xludf.DUMMYFUNCTION("""COMPUTED_VALUE"""),0.706018518518249)</f>
        <v>0.7060185185</v>
      </c>
      <c r="D20109" s="4">
        <f>IFERROR(__xludf.DUMMYFUNCTION("""COMPUTED_VALUE"""),12.950122)</f>
        <v>12.950122</v>
      </c>
      <c r="E20109" s="4">
        <f>IFERROR(__xludf.DUMMYFUNCTION("""COMPUTED_VALUE"""),80.139194)</f>
        <v>80.139194</v>
      </c>
      <c r="F20109" s="4">
        <f>IFERROR(__xludf.DUMMYFUNCTION("""COMPUTED_VALUE"""),805.0)</f>
        <v>805</v>
      </c>
      <c r="G20109" s="4">
        <f>IFERROR(__xludf.DUMMYFUNCTION("""COMPUTED_VALUE"""),0.0)</f>
        <v>0</v>
      </c>
      <c r="H20109" s="4"/>
      <c r="I20109" s="4"/>
    </row>
    <row r="20110">
      <c r="A20110" s="4" t="str">
        <f>IFERROR(__xludf.DUMMYFUNCTION("""COMPUTED_VALUE"""),"cas_hmw")</f>
        <v>cas_hmw</v>
      </c>
      <c r="B20110" s="5">
        <f>IFERROR(__xludf.DUMMYFUNCTION("""COMPUTED_VALUE"""),44781.0)</f>
        <v>44781</v>
      </c>
      <c r="C20110" s="6">
        <f>IFERROR(__xludf.DUMMYFUNCTION("""COMPUTED_VALUE"""),0.7061689814800047)</f>
        <v>0.7061689815</v>
      </c>
      <c r="D20110" s="4">
        <f>IFERROR(__xludf.DUMMYFUNCTION("""COMPUTED_VALUE"""),12.950213)</f>
        <v>12.950213</v>
      </c>
      <c r="E20110" s="4">
        <f>IFERROR(__xludf.DUMMYFUNCTION("""COMPUTED_VALUE"""),80.139274)</f>
        <v>80.139274</v>
      </c>
      <c r="F20110" s="4">
        <f>IFERROR(__xludf.DUMMYFUNCTION("""COMPUTED_VALUE"""),805.0)</f>
        <v>805</v>
      </c>
      <c r="G20110" s="4">
        <f>IFERROR(__xludf.DUMMYFUNCTION("""COMPUTED_VALUE"""),11.0)</f>
        <v>11</v>
      </c>
      <c r="H20110" s="4"/>
      <c r="I20110" s="4"/>
    </row>
    <row r="20111">
      <c r="A20111" s="4" t="str">
        <f>IFERROR(__xludf.DUMMYFUNCTION("""COMPUTED_VALUE"""),"cas_hmw")</f>
        <v>cas_hmw</v>
      </c>
      <c r="B20111" s="5">
        <f>IFERROR(__xludf.DUMMYFUNCTION("""COMPUTED_VALUE"""),44781.0)</f>
        <v>44781</v>
      </c>
      <c r="C20111" s="6">
        <f>IFERROR(__xludf.DUMMYFUNCTION("""COMPUTED_VALUE"""),0.7062037037030677)</f>
        <v>0.7062037037</v>
      </c>
      <c r="D20111" s="4">
        <f>IFERROR(__xludf.DUMMYFUNCTION("""COMPUTED_VALUE"""),12.950213)</f>
        <v>12.950213</v>
      </c>
      <c r="E20111" s="4">
        <f>IFERROR(__xludf.DUMMYFUNCTION("""COMPUTED_VALUE"""),80.139274)</f>
        <v>80.139274</v>
      </c>
      <c r="F20111" s="4">
        <f>IFERROR(__xludf.DUMMYFUNCTION("""COMPUTED_VALUE"""),805.0)</f>
        <v>805</v>
      </c>
      <c r="G20111" s="4">
        <f>IFERROR(__xludf.DUMMYFUNCTION("""COMPUTED_VALUE"""),11.0)</f>
        <v>11</v>
      </c>
      <c r="H20111" s="4"/>
      <c r="I20111" s="4"/>
    </row>
    <row r="20112">
      <c r="A20112" s="4" t="str">
        <f>IFERROR(__xludf.DUMMYFUNCTION("""COMPUTED_VALUE"""),"cas_hmw")</f>
        <v>cas_hmw</v>
      </c>
      <c r="B20112" s="5">
        <f>IFERROR(__xludf.DUMMYFUNCTION("""COMPUTED_VALUE"""),44781.0)</f>
        <v>44781</v>
      </c>
      <c r="C20112" s="6">
        <f>IFERROR(__xludf.DUMMYFUNCTION("""COMPUTED_VALUE"""),0.7062847222223354)</f>
        <v>0.7062847222</v>
      </c>
      <c r="D20112" s="4">
        <f>IFERROR(__xludf.DUMMYFUNCTION("""COMPUTED_VALUE"""),12.950213)</f>
        <v>12.950213</v>
      </c>
      <c r="E20112" s="4">
        <f>IFERROR(__xludf.DUMMYFUNCTION("""COMPUTED_VALUE"""),80.139274)</f>
        <v>80.139274</v>
      </c>
      <c r="F20112" s="4">
        <f>IFERROR(__xludf.DUMMYFUNCTION("""COMPUTED_VALUE"""),805.0)</f>
        <v>805</v>
      </c>
      <c r="G20112" s="4">
        <f>IFERROR(__xludf.DUMMYFUNCTION("""COMPUTED_VALUE"""),11.0)</f>
        <v>11</v>
      </c>
      <c r="H20112" s="4"/>
      <c r="I20112" s="4"/>
    </row>
    <row r="20113">
      <c r="A20113" s="4" t="str">
        <f>IFERROR(__xludf.DUMMYFUNCTION("""COMPUTED_VALUE"""),"cas_hmw")</f>
        <v>cas_hmw</v>
      </c>
      <c r="B20113" s="5">
        <f>IFERROR(__xludf.DUMMYFUNCTION("""COMPUTED_VALUE"""),44781.0)</f>
        <v>44781</v>
      </c>
      <c r="C20113" s="6">
        <f>IFERROR(__xludf.DUMMYFUNCTION("""COMPUTED_VALUE"""),0.7075810185197042)</f>
        <v>0.7075810185</v>
      </c>
      <c r="D20113" s="4">
        <f>IFERROR(__xludf.DUMMYFUNCTION("""COMPUTED_VALUE"""),12.950101)</f>
        <v>12.950101</v>
      </c>
      <c r="E20113" s="4">
        <f>IFERROR(__xludf.DUMMYFUNCTION("""COMPUTED_VALUE"""),80.13922)</f>
        <v>80.13922</v>
      </c>
      <c r="F20113" s="4">
        <f>IFERROR(__xludf.DUMMYFUNCTION("""COMPUTED_VALUE"""),5339.0)</f>
        <v>5339</v>
      </c>
      <c r="G20113" s="4">
        <f>IFERROR(__xludf.DUMMYFUNCTION("""COMPUTED_VALUE"""),0.0)</f>
        <v>0</v>
      </c>
      <c r="H20113" s="4"/>
      <c r="I20113" s="4"/>
    </row>
    <row r="20114">
      <c r="A20114" s="4" t="str">
        <f>IFERROR(__xludf.DUMMYFUNCTION("""COMPUTED_VALUE"""),"cas_hmw")</f>
        <v>cas_hmw</v>
      </c>
      <c r="B20114" s="5">
        <f>IFERROR(__xludf.DUMMYFUNCTION("""COMPUTED_VALUE"""),44781.0)</f>
        <v>44781</v>
      </c>
      <c r="C20114" s="6">
        <f>IFERROR(__xludf.DUMMYFUNCTION("""COMPUTED_VALUE"""),0.7075810185197042)</f>
        <v>0.7075810185</v>
      </c>
      <c r="D20114" s="4">
        <f>IFERROR(__xludf.DUMMYFUNCTION("""COMPUTED_VALUE"""),12.950101)</f>
        <v>12.950101</v>
      </c>
      <c r="E20114" s="4">
        <f>IFERROR(__xludf.DUMMYFUNCTION("""COMPUTED_VALUE"""),80.13922)</f>
        <v>80.13922</v>
      </c>
      <c r="F20114" s="4">
        <f>IFERROR(__xludf.DUMMYFUNCTION("""COMPUTED_VALUE"""),5339.0)</f>
        <v>5339</v>
      </c>
      <c r="G20114" s="4">
        <f>IFERROR(__xludf.DUMMYFUNCTION("""COMPUTED_VALUE"""),0.0)</f>
        <v>0</v>
      </c>
      <c r="H20114" s="4"/>
      <c r="I20114" s="4"/>
    </row>
    <row r="20115">
      <c r="A20115" s="4" t="str">
        <f>IFERROR(__xludf.DUMMYFUNCTION("""COMPUTED_VALUE"""),"cas_hmw")</f>
        <v>cas_hmw</v>
      </c>
      <c r="B20115" s="5">
        <f>IFERROR(__xludf.DUMMYFUNCTION("""COMPUTED_VALUE"""),44781.0)</f>
        <v>44781</v>
      </c>
      <c r="C20115" s="6">
        <f>IFERROR(__xludf.DUMMYFUNCTION("""COMPUTED_VALUE"""),0.7075810185197042)</f>
        <v>0.7075810185</v>
      </c>
      <c r="D20115" s="4">
        <f>IFERROR(__xludf.DUMMYFUNCTION("""COMPUTED_VALUE"""),12.950101)</f>
        <v>12.950101</v>
      </c>
      <c r="E20115" s="4">
        <f>IFERROR(__xludf.DUMMYFUNCTION("""COMPUTED_VALUE"""),80.13922)</f>
        <v>80.13922</v>
      </c>
      <c r="F20115" s="4">
        <f>IFERROR(__xludf.DUMMYFUNCTION("""COMPUTED_VALUE"""),5339.0)</f>
        <v>5339</v>
      </c>
      <c r="G20115" s="4">
        <f>IFERROR(__xludf.DUMMYFUNCTION("""COMPUTED_VALUE"""),0.0)</f>
        <v>0</v>
      </c>
      <c r="H20115" s="4"/>
      <c r="I20115" s="4"/>
    </row>
    <row r="20116">
      <c r="A20116" s="4" t="str">
        <f>IFERROR(__xludf.DUMMYFUNCTION("""COMPUTED_VALUE"""),"cas_hmw")</f>
        <v>cas_hmw</v>
      </c>
      <c r="B20116" s="5">
        <f>IFERROR(__xludf.DUMMYFUNCTION("""COMPUTED_VALUE"""),44781.0)</f>
        <v>44781</v>
      </c>
      <c r="C20116" s="6">
        <f>IFERROR(__xludf.DUMMYFUNCTION("""COMPUTED_VALUE"""),0.707974537035625)</f>
        <v>0.707974537</v>
      </c>
      <c r="D20116" s="4">
        <f>IFERROR(__xludf.DUMMYFUNCTION("""COMPUTED_VALUE"""),12.931528)</f>
        <v>12.931528</v>
      </c>
      <c r="E20116" s="4">
        <f>IFERROR(__xludf.DUMMYFUNCTION("""COMPUTED_VALUE"""),80.122551)</f>
        <v>80.122551</v>
      </c>
      <c r="F20116" s="4">
        <f>IFERROR(__xludf.DUMMYFUNCTION("""COMPUTED_VALUE"""),3143.0)</f>
        <v>3143</v>
      </c>
      <c r="G20116" s="4">
        <f>IFERROR(__xludf.DUMMYFUNCTION("""COMPUTED_VALUE"""),0.0)</f>
        <v>0</v>
      </c>
      <c r="H20116" s="4"/>
      <c r="I20116" s="4"/>
    </row>
    <row r="20117">
      <c r="A20117" s="4" t="str">
        <f>IFERROR(__xludf.DUMMYFUNCTION("""COMPUTED_VALUE"""),"cas_hmw")</f>
        <v>cas_hmw</v>
      </c>
      <c r="B20117" s="5">
        <f>IFERROR(__xludf.DUMMYFUNCTION("""COMPUTED_VALUE"""),44781.0)</f>
        <v>44781</v>
      </c>
      <c r="C20117" s="6">
        <f>IFERROR(__xludf.DUMMYFUNCTION("""COMPUTED_VALUE"""),0.708217592593428)</f>
        <v>0.7082175926</v>
      </c>
      <c r="D20117" s="4">
        <f>IFERROR(__xludf.DUMMYFUNCTION("""COMPUTED_VALUE"""),12.960176)</f>
        <v>12.960176</v>
      </c>
      <c r="E20117" s="4">
        <f>IFERROR(__xludf.DUMMYFUNCTION("""COMPUTED_VALUE"""),80.145069)</f>
        <v>80.145069</v>
      </c>
      <c r="F20117" s="4">
        <f>IFERROR(__xludf.DUMMYFUNCTION("""COMPUTED_VALUE"""),805.0)</f>
        <v>805</v>
      </c>
      <c r="G20117" s="4">
        <f>IFERROR(__xludf.DUMMYFUNCTION("""COMPUTED_VALUE"""),6.0)</f>
        <v>6</v>
      </c>
      <c r="H20117" s="4"/>
      <c r="I20117" s="4"/>
    </row>
    <row r="20118">
      <c r="A20118" s="4" t="str">
        <f>IFERROR(__xludf.DUMMYFUNCTION("""COMPUTED_VALUE"""),"cas_hmw")</f>
        <v>cas_hmw</v>
      </c>
      <c r="B20118" s="5">
        <f>IFERROR(__xludf.DUMMYFUNCTION("""COMPUTED_VALUE"""),44781.0)</f>
        <v>44781</v>
      </c>
      <c r="C20118" s="6">
        <f>IFERROR(__xludf.DUMMYFUNCTION("""COMPUTED_VALUE"""),0.7083333333321207)</f>
        <v>0.7083333333</v>
      </c>
      <c r="D20118" s="4">
        <f>IFERROR(__xludf.DUMMYFUNCTION("""COMPUTED_VALUE"""),12.960176)</f>
        <v>12.960176</v>
      </c>
      <c r="E20118" s="4">
        <f>IFERROR(__xludf.DUMMYFUNCTION("""COMPUTED_VALUE"""),80.145069)</f>
        <v>80.145069</v>
      </c>
      <c r="F20118" s="4">
        <f>IFERROR(__xludf.DUMMYFUNCTION("""COMPUTED_VALUE"""),805.0)</f>
        <v>805</v>
      </c>
      <c r="G20118" s="4">
        <f>IFERROR(__xludf.DUMMYFUNCTION("""COMPUTED_VALUE"""),6.0)</f>
        <v>6</v>
      </c>
      <c r="H20118" s="4"/>
      <c r="I20118" s="4"/>
    </row>
    <row r="20119">
      <c r="A20119" s="4" t="str">
        <f>IFERROR(__xludf.DUMMYFUNCTION("""COMPUTED_VALUE"""),"cas_hmw")</f>
        <v>cas_hmw</v>
      </c>
      <c r="B20119" s="5">
        <f>IFERROR(__xludf.DUMMYFUNCTION("""COMPUTED_VALUE"""),44781.0)</f>
        <v>44781</v>
      </c>
      <c r="C20119" s="6">
        <f>IFERROR(__xludf.DUMMYFUNCTION("""COMPUTED_VALUE"""),0.7083333333321207)</f>
        <v>0.7083333333</v>
      </c>
      <c r="D20119" s="4">
        <f>IFERROR(__xludf.DUMMYFUNCTION("""COMPUTED_VALUE"""),12.960176)</f>
        <v>12.960176</v>
      </c>
      <c r="E20119" s="4">
        <f>IFERROR(__xludf.DUMMYFUNCTION("""COMPUTED_VALUE"""),80.145069)</f>
        <v>80.145069</v>
      </c>
      <c r="F20119" s="4">
        <f>IFERROR(__xludf.DUMMYFUNCTION("""COMPUTED_VALUE"""),805.0)</f>
        <v>805</v>
      </c>
      <c r="G20119" s="4">
        <f>IFERROR(__xludf.DUMMYFUNCTION("""COMPUTED_VALUE"""),6.0)</f>
        <v>6</v>
      </c>
      <c r="H20119" s="4"/>
      <c r="I20119" s="4"/>
    </row>
    <row r="20120">
      <c r="A20120" s="4" t="str">
        <f>IFERROR(__xludf.DUMMYFUNCTION("""COMPUTED_VALUE"""),"cas_hmw")</f>
        <v>cas_hmw</v>
      </c>
      <c r="B20120" s="5">
        <f>IFERROR(__xludf.DUMMYFUNCTION("""COMPUTED_VALUE"""),44781.0)</f>
        <v>44781</v>
      </c>
      <c r="C20120" s="6">
        <f>IFERROR(__xludf.DUMMYFUNCTION("""COMPUTED_VALUE"""),0.708356481482042)</f>
        <v>0.7083564815</v>
      </c>
      <c r="D20120" s="4">
        <f>IFERROR(__xludf.DUMMYFUNCTION("""COMPUTED_VALUE"""),12.93327)</f>
        <v>12.93327</v>
      </c>
      <c r="E20120" s="4">
        <f>IFERROR(__xludf.DUMMYFUNCTION("""COMPUTED_VALUE"""),80.124352)</f>
        <v>80.124352</v>
      </c>
      <c r="F20120" s="4">
        <f>IFERROR(__xludf.DUMMYFUNCTION("""COMPUTED_VALUE"""),3143.0)</f>
        <v>3143</v>
      </c>
      <c r="G20120" s="4">
        <f>IFERROR(__xludf.DUMMYFUNCTION("""COMPUTED_VALUE"""),43.0)</f>
        <v>43</v>
      </c>
      <c r="H20120" s="4"/>
      <c r="I20120" s="4"/>
    </row>
    <row r="20121">
      <c r="A20121" s="4" t="str">
        <f>IFERROR(__xludf.DUMMYFUNCTION("""COMPUTED_VALUE"""),"cas_hmw")</f>
        <v>cas_hmw</v>
      </c>
      <c r="B20121" s="5">
        <f>IFERROR(__xludf.DUMMYFUNCTION("""COMPUTED_VALUE"""),44781.0)</f>
        <v>44781</v>
      </c>
      <c r="C20121" s="6">
        <f>IFERROR(__xludf.DUMMYFUNCTION("""COMPUTED_VALUE"""),0.7087962962978054)</f>
        <v>0.7087962963</v>
      </c>
      <c r="D20121" s="4">
        <f>IFERROR(__xludf.DUMMYFUNCTION("""COMPUTED_VALUE"""),12.93592)</f>
        <v>12.93592</v>
      </c>
      <c r="E20121" s="4">
        <f>IFERROR(__xludf.DUMMYFUNCTION("""COMPUTED_VALUE"""),80.12681)</f>
        <v>80.12681</v>
      </c>
      <c r="F20121" s="4">
        <f>IFERROR(__xludf.DUMMYFUNCTION("""COMPUTED_VALUE"""),3143.0)</f>
        <v>3143</v>
      </c>
      <c r="G20121" s="4">
        <f>IFERROR(__xludf.DUMMYFUNCTION("""COMPUTED_VALUE"""),31.0)</f>
        <v>31</v>
      </c>
      <c r="H20121" s="4"/>
      <c r="I20121" s="4"/>
    </row>
    <row r="20122">
      <c r="A20122" s="4" t="str">
        <f>IFERROR(__xludf.DUMMYFUNCTION("""COMPUTED_VALUE"""),"cas_hmw")</f>
        <v>cas_hmw</v>
      </c>
      <c r="B20122" s="5">
        <f>IFERROR(__xludf.DUMMYFUNCTION("""COMPUTED_VALUE"""),44781.0)</f>
        <v>44781</v>
      </c>
      <c r="C20122" s="6">
        <f>IFERROR(__xludf.DUMMYFUNCTION("""COMPUTED_VALUE"""),0.7088310185172304)</f>
        <v>0.7088310185</v>
      </c>
      <c r="D20122" s="4">
        <f>IFERROR(__xludf.DUMMYFUNCTION("""COMPUTED_VALUE"""),12.93592)</f>
        <v>12.93592</v>
      </c>
      <c r="E20122" s="4">
        <f>IFERROR(__xludf.DUMMYFUNCTION("""COMPUTED_VALUE"""),80.12681)</f>
        <v>80.12681</v>
      </c>
      <c r="F20122" s="4">
        <f>IFERROR(__xludf.DUMMYFUNCTION("""COMPUTED_VALUE"""),3143.0)</f>
        <v>3143</v>
      </c>
      <c r="G20122" s="4">
        <f>IFERROR(__xludf.DUMMYFUNCTION("""COMPUTED_VALUE"""),31.0)</f>
        <v>31</v>
      </c>
      <c r="H20122" s="4"/>
      <c r="I20122" s="4"/>
    </row>
    <row r="20123">
      <c r="A20123" s="4" t="str">
        <f>IFERROR(__xludf.DUMMYFUNCTION("""COMPUTED_VALUE"""),"cas_hmw")</f>
        <v>cas_hmw</v>
      </c>
      <c r="B20123" s="5">
        <f>IFERROR(__xludf.DUMMYFUNCTION("""COMPUTED_VALUE"""),44781.0)</f>
        <v>44781</v>
      </c>
      <c r="C20123" s="6">
        <f>IFERROR(__xludf.DUMMYFUNCTION("""COMPUTED_VALUE"""),0.7088310185172304)</f>
        <v>0.7088310185</v>
      </c>
      <c r="D20123" s="4">
        <f>IFERROR(__xludf.DUMMYFUNCTION("""COMPUTED_VALUE"""),12.738773)</f>
        <v>12.738773</v>
      </c>
      <c r="E20123" s="4">
        <f>IFERROR(__xludf.DUMMYFUNCTION("""COMPUTED_VALUE"""),79.988937)</f>
        <v>79.988937</v>
      </c>
      <c r="F20123" s="4">
        <f>IFERROR(__xludf.DUMMYFUNCTION("""COMPUTED_VALUE"""),2846.0)</f>
        <v>2846</v>
      </c>
      <c r="G20123" s="4">
        <f>IFERROR(__xludf.DUMMYFUNCTION("""COMPUTED_VALUE"""),58.0)</f>
        <v>58</v>
      </c>
      <c r="H20123" s="4"/>
      <c r="I20123" s="4"/>
    </row>
    <row r="20124">
      <c r="A20124" s="4" t="str">
        <f>IFERROR(__xludf.DUMMYFUNCTION("""COMPUTED_VALUE"""),"cas_hmw")</f>
        <v>cas_hmw</v>
      </c>
      <c r="B20124" s="5">
        <f>IFERROR(__xludf.DUMMYFUNCTION("""COMPUTED_VALUE"""),44781.0)</f>
        <v>44781</v>
      </c>
      <c r="C20124" s="6">
        <f>IFERROR(__xludf.DUMMYFUNCTION("""COMPUTED_VALUE"""),0.7088541666671517)</f>
        <v>0.7088541667</v>
      </c>
      <c r="D20124" s="4">
        <f>IFERROR(__xludf.DUMMYFUNCTION("""COMPUTED_VALUE"""),12.93592)</f>
        <v>12.93592</v>
      </c>
      <c r="E20124" s="4">
        <f>IFERROR(__xludf.DUMMYFUNCTION("""COMPUTED_VALUE"""),80.12681)</f>
        <v>80.12681</v>
      </c>
      <c r="F20124" s="4">
        <f>IFERROR(__xludf.DUMMYFUNCTION("""COMPUTED_VALUE"""),3143.0)</f>
        <v>3143</v>
      </c>
      <c r="G20124" s="4">
        <f>IFERROR(__xludf.DUMMYFUNCTION("""COMPUTED_VALUE"""),31.0)</f>
        <v>31</v>
      </c>
      <c r="H20124" s="4"/>
      <c r="I20124" s="4"/>
    </row>
    <row r="20125">
      <c r="A20125" s="4" t="str">
        <f>IFERROR(__xludf.DUMMYFUNCTION("""COMPUTED_VALUE"""),"cas_hmw")</f>
        <v>cas_hmw</v>
      </c>
      <c r="B20125" s="5">
        <f>IFERROR(__xludf.DUMMYFUNCTION("""COMPUTED_VALUE"""),44781.0)</f>
        <v>44781</v>
      </c>
      <c r="C20125" s="6">
        <f>IFERROR(__xludf.DUMMYFUNCTION("""COMPUTED_VALUE"""),0.7092245370367891)</f>
        <v>0.709224537</v>
      </c>
      <c r="D20125" s="4">
        <f>IFERROR(__xludf.DUMMYFUNCTION("""COMPUTED_VALUE"""),12.95609)</f>
        <v>12.95609</v>
      </c>
      <c r="E20125" s="4">
        <f>IFERROR(__xludf.DUMMYFUNCTION("""COMPUTED_VALUE"""),80.143056)</f>
        <v>80.143056</v>
      </c>
      <c r="F20125" s="4">
        <f>IFERROR(__xludf.DUMMYFUNCTION("""COMPUTED_VALUE"""),5339.0)</f>
        <v>5339</v>
      </c>
      <c r="G20125" s="4">
        <f>IFERROR(__xludf.DUMMYFUNCTION("""COMPUTED_VALUE"""),0.0)</f>
        <v>0</v>
      </c>
      <c r="H20125" s="4"/>
      <c r="I20125" s="4"/>
    </row>
    <row r="20126">
      <c r="A20126" s="4" t="str">
        <f>IFERROR(__xludf.DUMMYFUNCTION("""COMPUTED_VALUE"""),"cas_hmw")</f>
        <v>cas_hmw</v>
      </c>
      <c r="B20126" s="5">
        <f>IFERROR(__xludf.DUMMYFUNCTION("""COMPUTED_VALUE"""),44781.0)</f>
        <v>44781</v>
      </c>
      <c r="C20126" s="6">
        <f>IFERROR(__xludf.DUMMYFUNCTION("""COMPUTED_VALUE"""),0.7095254629639385)</f>
        <v>0.709525463</v>
      </c>
      <c r="D20126" s="4">
        <f>IFERROR(__xludf.DUMMYFUNCTION("""COMPUTED_VALUE"""),12.956223)</f>
        <v>12.956223</v>
      </c>
      <c r="E20126" s="4">
        <f>IFERROR(__xludf.DUMMYFUNCTION("""COMPUTED_VALUE"""),80.14311)</f>
        <v>80.14311</v>
      </c>
      <c r="F20126" s="4">
        <f>IFERROR(__xludf.DUMMYFUNCTION("""COMPUTED_VALUE"""),5339.0)</f>
        <v>5339</v>
      </c>
      <c r="G20126" s="4">
        <f>IFERROR(__xludf.DUMMYFUNCTION("""COMPUTED_VALUE"""),11.0)</f>
        <v>11</v>
      </c>
      <c r="H20126" s="4"/>
      <c r="I20126" s="4"/>
    </row>
    <row r="20127">
      <c r="A20127" s="4" t="str">
        <f>IFERROR(__xludf.DUMMYFUNCTION("""COMPUTED_VALUE"""),"cas_hmw")</f>
        <v>cas_hmw</v>
      </c>
      <c r="B20127" s="5">
        <f>IFERROR(__xludf.DUMMYFUNCTION("""COMPUTED_VALUE"""),44781.0)</f>
        <v>44781</v>
      </c>
      <c r="C20127" s="6">
        <f>IFERROR(__xludf.DUMMYFUNCTION("""COMPUTED_VALUE"""),0.7095254629639385)</f>
        <v>0.709525463</v>
      </c>
      <c r="D20127" s="4">
        <f>IFERROR(__xludf.DUMMYFUNCTION("""COMPUTED_VALUE"""),12.956223)</f>
        <v>12.956223</v>
      </c>
      <c r="E20127" s="4">
        <f>IFERROR(__xludf.DUMMYFUNCTION("""COMPUTED_VALUE"""),80.14311)</f>
        <v>80.14311</v>
      </c>
      <c r="F20127" s="4">
        <f>IFERROR(__xludf.DUMMYFUNCTION("""COMPUTED_VALUE"""),5339.0)</f>
        <v>5339</v>
      </c>
      <c r="G20127" s="4">
        <f>IFERROR(__xludf.DUMMYFUNCTION("""COMPUTED_VALUE"""),11.0)</f>
        <v>11</v>
      </c>
      <c r="H20127" s="4"/>
      <c r="I20127" s="4"/>
    </row>
    <row r="20128">
      <c r="A20128" s="4" t="str">
        <f>IFERROR(__xludf.DUMMYFUNCTION("""COMPUTED_VALUE"""),"cas_hmw")</f>
        <v>cas_hmw</v>
      </c>
      <c r="B20128" s="5">
        <f>IFERROR(__xludf.DUMMYFUNCTION("""COMPUTED_VALUE"""),44781.0)</f>
        <v>44781</v>
      </c>
      <c r="C20128" s="6">
        <f>IFERROR(__xludf.DUMMYFUNCTION("""COMPUTED_VALUE"""),0.7098379629642295)</f>
        <v>0.709837963</v>
      </c>
      <c r="D20128" s="4">
        <f>IFERROR(__xludf.DUMMYFUNCTION("""COMPUTED_VALUE"""),12.958609)</f>
        <v>12.958609</v>
      </c>
      <c r="E20128" s="4">
        <f>IFERROR(__xludf.DUMMYFUNCTION("""COMPUTED_VALUE"""),80.144279)</f>
        <v>80.144279</v>
      </c>
      <c r="F20128" s="4">
        <f>IFERROR(__xludf.DUMMYFUNCTION("""COMPUTED_VALUE"""),5339.0)</f>
        <v>5339</v>
      </c>
      <c r="G20128" s="4">
        <f>IFERROR(__xludf.DUMMYFUNCTION("""COMPUTED_VALUE"""),40.0)</f>
        <v>40</v>
      </c>
      <c r="H20128" s="4"/>
      <c r="I20128" s="4"/>
    </row>
    <row r="20129">
      <c r="A20129" s="4" t="str">
        <f>IFERROR(__xludf.DUMMYFUNCTION("""COMPUTED_VALUE"""),"cas_hmw")</f>
        <v>cas_hmw</v>
      </c>
      <c r="B20129" s="5">
        <f>IFERROR(__xludf.DUMMYFUNCTION("""COMPUTED_VALUE"""),44781.0)</f>
        <v>44781</v>
      </c>
      <c r="C20129" s="6">
        <f>IFERROR(__xludf.DUMMYFUNCTION("""COMPUTED_VALUE"""),0.7100115740722686)</f>
        <v>0.7100115741</v>
      </c>
      <c r="D20129" s="4">
        <f>IFERROR(__xludf.DUMMYFUNCTION("""COMPUTED_VALUE"""),12.959941)</f>
        <v>12.959941</v>
      </c>
      <c r="E20129" s="4">
        <f>IFERROR(__xludf.DUMMYFUNCTION("""COMPUTED_VALUE"""),80.144978)</f>
        <v>80.144978</v>
      </c>
      <c r="F20129" s="4">
        <f>IFERROR(__xludf.DUMMYFUNCTION("""COMPUTED_VALUE"""),5339.0)</f>
        <v>5339</v>
      </c>
      <c r="G20129" s="4">
        <f>IFERROR(__xludf.DUMMYFUNCTION("""COMPUTED_VALUE"""),26.0)</f>
        <v>26</v>
      </c>
      <c r="H20129" s="4"/>
      <c r="I20129" s="4"/>
    </row>
    <row r="20130">
      <c r="A20130" s="4" t="str">
        <f>IFERROR(__xludf.DUMMYFUNCTION("""COMPUTED_VALUE"""),"cas_hmw")</f>
        <v>cas_hmw</v>
      </c>
      <c r="B20130" s="5">
        <f>IFERROR(__xludf.DUMMYFUNCTION("""COMPUTED_VALUE"""),44781.0)</f>
        <v>44781</v>
      </c>
      <c r="C20130" s="6">
        <f>IFERROR(__xludf.DUMMYFUNCTION("""COMPUTED_VALUE"""),0.7112037037040864)</f>
        <v>0.7112037037</v>
      </c>
      <c r="D20130" s="4">
        <f>IFERROR(__xludf.DUMMYFUNCTION("""COMPUTED_VALUE"""),12.981527)</f>
        <v>12.981527</v>
      </c>
      <c r="E20130" s="4">
        <f>IFERROR(__xludf.DUMMYFUNCTION("""COMPUTED_VALUE"""),80.166733)</f>
        <v>80.166733</v>
      </c>
      <c r="F20130" s="4">
        <f>IFERROR(__xludf.DUMMYFUNCTION("""COMPUTED_VALUE"""),805.0)</f>
        <v>805</v>
      </c>
      <c r="G20130" s="4">
        <f>IFERROR(__xludf.DUMMYFUNCTION("""COMPUTED_VALUE"""),58.0)</f>
        <v>58</v>
      </c>
      <c r="H20130" s="4"/>
      <c r="I20130" s="4"/>
    </row>
    <row r="20131">
      <c r="A20131" s="4" t="str">
        <f>IFERROR(__xludf.DUMMYFUNCTION("""COMPUTED_VALUE"""),"cas_hmw")</f>
        <v>cas_hmw</v>
      </c>
      <c r="B20131" s="5">
        <f>IFERROR(__xludf.DUMMYFUNCTION("""COMPUTED_VALUE"""),44781.0)</f>
        <v>44781</v>
      </c>
      <c r="C20131" s="6">
        <f>IFERROR(__xludf.DUMMYFUNCTION("""COMPUTED_VALUE"""),0.7113078703696374)</f>
        <v>0.7113078704</v>
      </c>
      <c r="D20131" s="4">
        <f>IFERROR(__xludf.DUMMYFUNCTION("""COMPUTED_VALUE"""),12.981527)</f>
        <v>12.981527</v>
      </c>
      <c r="E20131" s="4">
        <f>IFERROR(__xludf.DUMMYFUNCTION("""COMPUTED_VALUE"""),80.166733)</f>
        <v>80.166733</v>
      </c>
      <c r="F20131" s="4">
        <f>IFERROR(__xludf.DUMMYFUNCTION("""COMPUTED_VALUE"""),805.0)</f>
        <v>805</v>
      </c>
      <c r="G20131" s="4">
        <f>IFERROR(__xludf.DUMMYFUNCTION("""COMPUTED_VALUE"""),58.0)</f>
        <v>58</v>
      </c>
      <c r="H20131" s="4"/>
      <c r="I20131" s="4"/>
    </row>
    <row r="20132">
      <c r="A20132" s="4" t="str">
        <f>IFERROR(__xludf.DUMMYFUNCTION("""COMPUTED_VALUE"""),"cas_hmw")</f>
        <v>cas_hmw</v>
      </c>
      <c r="B20132" s="5">
        <f>IFERROR(__xludf.DUMMYFUNCTION("""COMPUTED_VALUE"""),44781.0)</f>
        <v>44781</v>
      </c>
      <c r="C20132" s="6">
        <f>IFERROR(__xludf.DUMMYFUNCTION("""COMPUTED_VALUE"""),0.7114930555544561)</f>
        <v>0.7114930556</v>
      </c>
      <c r="D20132" s="4">
        <f>IFERROR(__xludf.DUMMYFUNCTION("""COMPUTED_VALUE"""),12.982725)</f>
        <v>12.982725</v>
      </c>
      <c r="E20132" s="4">
        <f>IFERROR(__xludf.DUMMYFUNCTION("""COMPUTED_VALUE"""),80.168792)</f>
        <v>80.168792</v>
      </c>
      <c r="F20132" s="4">
        <f>IFERROR(__xludf.DUMMYFUNCTION("""COMPUTED_VALUE"""),805.0)</f>
        <v>805</v>
      </c>
      <c r="G20132" s="4">
        <f>IFERROR(__xludf.DUMMYFUNCTION("""COMPUTED_VALUE"""),58.0)</f>
        <v>58</v>
      </c>
      <c r="H20132" s="4"/>
      <c r="I20132" s="4"/>
    </row>
    <row r="20133">
      <c r="A20133" s="4" t="str">
        <f>IFERROR(__xludf.DUMMYFUNCTION("""COMPUTED_VALUE"""),"cas_hmw")</f>
        <v>cas_hmw</v>
      </c>
      <c r="B20133" s="5">
        <f>IFERROR(__xludf.DUMMYFUNCTION("""COMPUTED_VALUE"""),44781.0)</f>
        <v>44781</v>
      </c>
      <c r="C20133" s="6">
        <f>IFERROR(__xludf.DUMMYFUNCTION("""COMPUTED_VALUE"""),0.7116782407392748)</f>
        <v>0.7116782407</v>
      </c>
      <c r="D20133" s="4">
        <f>IFERROR(__xludf.DUMMYFUNCTION("""COMPUTED_VALUE"""),12.983925)</f>
        <v>12.983925</v>
      </c>
      <c r="E20133" s="4">
        <f>IFERROR(__xludf.DUMMYFUNCTION("""COMPUTED_VALUE"""),80.17084)</f>
        <v>80.17084</v>
      </c>
      <c r="F20133" s="4">
        <f>IFERROR(__xludf.DUMMYFUNCTION("""COMPUTED_VALUE"""),805.0)</f>
        <v>805</v>
      </c>
      <c r="G20133" s="4">
        <f>IFERROR(__xludf.DUMMYFUNCTION("""COMPUTED_VALUE"""),58.0)</f>
        <v>58</v>
      </c>
      <c r="H20133" s="4"/>
      <c r="I20133" s="4"/>
    </row>
    <row r="20134">
      <c r="A20134" s="4" t="str">
        <f>IFERROR(__xludf.DUMMYFUNCTION("""COMPUTED_VALUE"""),"cas_hmw")</f>
        <v>cas_hmw</v>
      </c>
      <c r="B20134" s="5">
        <f>IFERROR(__xludf.DUMMYFUNCTION("""COMPUTED_VALUE"""),44781.0)</f>
        <v>44781</v>
      </c>
      <c r="C20134" s="6">
        <f>IFERROR(__xludf.DUMMYFUNCTION("""COMPUTED_VALUE"""),0.7117129629623378)</f>
        <v>0.711712963</v>
      </c>
      <c r="D20134" s="4">
        <f>IFERROR(__xludf.DUMMYFUNCTION("""COMPUTED_VALUE"""),12.983925)</f>
        <v>12.983925</v>
      </c>
      <c r="E20134" s="4">
        <f>IFERROR(__xludf.DUMMYFUNCTION("""COMPUTED_VALUE"""),80.17084)</f>
        <v>80.17084</v>
      </c>
      <c r="F20134" s="4">
        <f>IFERROR(__xludf.DUMMYFUNCTION("""COMPUTED_VALUE"""),805.0)</f>
        <v>805</v>
      </c>
      <c r="G20134" s="4">
        <f>IFERROR(__xludf.DUMMYFUNCTION("""COMPUTED_VALUE"""),58.0)</f>
        <v>58</v>
      </c>
      <c r="H20134" s="4"/>
      <c r="I20134" s="4"/>
    </row>
    <row r="20135">
      <c r="A20135" s="4" t="str">
        <f>IFERROR(__xludf.DUMMYFUNCTION("""COMPUTED_VALUE"""),"cas_hmw")</f>
        <v>cas_hmw</v>
      </c>
      <c r="B20135" s="5">
        <f>IFERROR(__xludf.DUMMYFUNCTION("""COMPUTED_VALUE"""),44781.0)</f>
        <v>44781</v>
      </c>
      <c r="C20135" s="6">
        <f>IFERROR(__xludf.DUMMYFUNCTION("""COMPUTED_VALUE"""),0.7118287037046684)</f>
        <v>0.7118287037</v>
      </c>
      <c r="D20135" s="4">
        <f>IFERROR(__xludf.DUMMYFUNCTION("""COMPUTED_VALUE"""),12.949944)</f>
        <v>12.949944</v>
      </c>
      <c r="E20135" s="4">
        <f>IFERROR(__xludf.DUMMYFUNCTION("""COMPUTED_VALUE"""),80.139076)</f>
        <v>80.139076</v>
      </c>
      <c r="F20135" s="4">
        <f>IFERROR(__xludf.DUMMYFUNCTION("""COMPUTED_VALUE"""),3143.0)</f>
        <v>3143</v>
      </c>
      <c r="G20135" s="4">
        <f>IFERROR(__xludf.DUMMYFUNCTION("""COMPUTED_VALUE"""),27.0)</f>
        <v>27</v>
      </c>
      <c r="H20135" s="4"/>
      <c r="I20135" s="4"/>
    </row>
    <row r="20136">
      <c r="A20136" s="4" t="str">
        <f>IFERROR(__xludf.DUMMYFUNCTION("""COMPUTED_VALUE"""),"cas_hmw")</f>
        <v>cas_hmw</v>
      </c>
      <c r="B20136" s="5">
        <f>IFERROR(__xludf.DUMMYFUNCTION("""COMPUTED_VALUE"""),44781.0)</f>
        <v>44781</v>
      </c>
      <c r="C20136" s="6">
        <f>IFERROR(__xludf.DUMMYFUNCTION("""COMPUTED_VALUE"""),0.7118402777778101)</f>
        <v>0.7118402778</v>
      </c>
      <c r="D20136" s="4">
        <f>IFERROR(__xludf.DUMMYFUNCTION("""COMPUTED_VALUE"""),12.949944)</f>
        <v>12.949944</v>
      </c>
      <c r="E20136" s="4">
        <f>IFERROR(__xludf.DUMMYFUNCTION("""COMPUTED_VALUE"""),80.139076)</f>
        <v>80.139076</v>
      </c>
      <c r="F20136" s="4">
        <f>IFERROR(__xludf.DUMMYFUNCTION("""COMPUTED_VALUE"""),3143.0)</f>
        <v>3143</v>
      </c>
      <c r="G20136" s="4">
        <f>IFERROR(__xludf.DUMMYFUNCTION("""COMPUTED_VALUE"""),27.0)</f>
        <v>27</v>
      </c>
      <c r="H20136" s="4"/>
      <c r="I20136" s="4"/>
    </row>
    <row r="20137">
      <c r="A20137" s="4" t="str">
        <f>IFERROR(__xludf.DUMMYFUNCTION("""COMPUTED_VALUE"""),"cas_hmw")</f>
        <v>cas_hmw</v>
      </c>
      <c r="B20137" s="5">
        <f>IFERROR(__xludf.DUMMYFUNCTION("""COMPUTED_VALUE"""),44781.0)</f>
        <v>44781</v>
      </c>
      <c r="C20137" s="6">
        <f>IFERROR(__xludf.DUMMYFUNCTION("""COMPUTED_VALUE"""),0.7118402777778101)</f>
        <v>0.7118402778</v>
      </c>
      <c r="D20137" s="4">
        <f>IFERROR(__xludf.DUMMYFUNCTION("""COMPUTED_VALUE"""),12.949944)</f>
        <v>12.949944</v>
      </c>
      <c r="E20137" s="4">
        <f>IFERROR(__xludf.DUMMYFUNCTION("""COMPUTED_VALUE"""),80.139076)</f>
        <v>80.139076</v>
      </c>
      <c r="F20137" s="4">
        <f>IFERROR(__xludf.DUMMYFUNCTION("""COMPUTED_VALUE"""),3143.0)</f>
        <v>3143</v>
      </c>
      <c r="G20137" s="4">
        <f>IFERROR(__xludf.DUMMYFUNCTION("""COMPUTED_VALUE"""),27.0)</f>
        <v>27</v>
      </c>
      <c r="H20137" s="4"/>
      <c r="I20137" s="4"/>
    </row>
    <row r="20138">
      <c r="A20138" s="4" t="str">
        <f>IFERROR(__xludf.DUMMYFUNCTION("""COMPUTED_VALUE"""),"cas_hmw")</f>
        <v>cas_hmw</v>
      </c>
      <c r="B20138" s="5">
        <f>IFERROR(__xludf.DUMMYFUNCTION("""COMPUTED_VALUE"""),44781.0)</f>
        <v>44781</v>
      </c>
      <c r="C20138" s="6">
        <f>IFERROR(__xludf.DUMMYFUNCTION("""COMPUTED_VALUE"""),0.7118518518509518)</f>
        <v>0.7118518519</v>
      </c>
      <c r="D20138" s="4">
        <f>IFERROR(__xludf.DUMMYFUNCTION("""COMPUTED_VALUE"""),12.949944)</f>
        <v>12.949944</v>
      </c>
      <c r="E20138" s="4">
        <f>IFERROR(__xludf.DUMMYFUNCTION("""COMPUTED_VALUE"""),80.139076)</f>
        <v>80.139076</v>
      </c>
      <c r="F20138" s="4">
        <f>IFERROR(__xludf.DUMMYFUNCTION("""COMPUTED_VALUE"""),3143.0)</f>
        <v>3143</v>
      </c>
      <c r="G20138" s="4">
        <f>IFERROR(__xludf.DUMMYFUNCTION("""COMPUTED_VALUE"""),27.0)</f>
        <v>27</v>
      </c>
      <c r="H20138" s="4"/>
      <c r="I20138" s="4"/>
    </row>
    <row r="20139">
      <c r="A20139" s="4" t="str">
        <f>IFERROR(__xludf.DUMMYFUNCTION("""COMPUTED_VALUE"""),"cas_hmw")</f>
        <v>cas_hmw</v>
      </c>
      <c r="B20139" s="5">
        <f>IFERROR(__xludf.DUMMYFUNCTION("""COMPUTED_VALUE"""),44781.0)</f>
        <v>44781</v>
      </c>
      <c r="C20139" s="6">
        <f>IFERROR(__xludf.DUMMYFUNCTION("""COMPUTED_VALUE"""),0.7119328703702195)</f>
        <v>0.7119328704</v>
      </c>
      <c r="D20139" s="4">
        <f>IFERROR(__xludf.DUMMYFUNCTION("""COMPUTED_VALUE"""),12.986017)</f>
        <v>12.986017</v>
      </c>
      <c r="E20139" s="4">
        <f>IFERROR(__xludf.DUMMYFUNCTION("""COMPUTED_VALUE"""),80.174044)</f>
        <v>80.174044</v>
      </c>
      <c r="F20139" s="4">
        <f>IFERROR(__xludf.DUMMYFUNCTION("""COMPUTED_VALUE"""),805.0)</f>
        <v>805</v>
      </c>
      <c r="G20139" s="4">
        <f>IFERROR(__xludf.DUMMYFUNCTION("""COMPUTED_VALUE"""),43.0)</f>
        <v>43</v>
      </c>
      <c r="H20139" s="4"/>
      <c r="I20139" s="4"/>
    </row>
    <row r="20140">
      <c r="A20140" s="4" t="str">
        <f>IFERROR(__xludf.DUMMYFUNCTION("""COMPUTED_VALUE"""),"cas_hmw")</f>
        <v>cas_hmw</v>
      </c>
      <c r="B20140" s="5">
        <f>IFERROR(__xludf.DUMMYFUNCTION("""COMPUTED_VALUE"""),44781.0)</f>
        <v>44781</v>
      </c>
      <c r="C20140" s="6">
        <f>IFERROR(__xludf.DUMMYFUNCTION("""COMPUTED_VALUE"""),0.7122685185167938)</f>
        <v>0.7122685185</v>
      </c>
      <c r="D20140" s="4">
        <f>IFERROR(__xludf.DUMMYFUNCTION("""COMPUTED_VALUE"""),12.950382)</f>
        <v>12.950382</v>
      </c>
      <c r="E20140" s="4">
        <f>IFERROR(__xludf.DUMMYFUNCTION("""COMPUTED_VALUE"""),80.139422)</f>
        <v>80.139422</v>
      </c>
      <c r="F20140" s="4">
        <f>IFERROR(__xludf.DUMMYFUNCTION("""COMPUTED_VALUE"""),3143.0)</f>
        <v>3143</v>
      </c>
      <c r="G20140" s="4">
        <f>IFERROR(__xludf.DUMMYFUNCTION("""COMPUTED_VALUE"""),18.0)</f>
        <v>18</v>
      </c>
      <c r="H20140" s="4"/>
      <c r="I20140" s="4"/>
    </row>
    <row r="20141">
      <c r="A20141" s="4" t="str">
        <f>IFERROR(__xludf.DUMMYFUNCTION("""COMPUTED_VALUE"""),"cas_hmw")</f>
        <v>cas_hmw</v>
      </c>
      <c r="B20141" s="5">
        <f>IFERROR(__xludf.DUMMYFUNCTION("""COMPUTED_VALUE"""),44781.0)</f>
        <v>44781</v>
      </c>
      <c r="C20141" s="6">
        <f>IFERROR(__xludf.DUMMYFUNCTION("""COMPUTED_VALUE"""),0.7122800925935735)</f>
        <v>0.7122800926</v>
      </c>
      <c r="D20141" s="4">
        <f>IFERROR(__xludf.DUMMYFUNCTION("""COMPUTED_VALUE"""),12.950382)</f>
        <v>12.950382</v>
      </c>
      <c r="E20141" s="4">
        <f>IFERROR(__xludf.DUMMYFUNCTION("""COMPUTED_VALUE"""),80.139422)</f>
        <v>80.139422</v>
      </c>
      <c r="F20141" s="4">
        <f>IFERROR(__xludf.DUMMYFUNCTION("""COMPUTED_VALUE"""),3143.0)</f>
        <v>3143</v>
      </c>
      <c r="G20141" s="4">
        <f>IFERROR(__xludf.DUMMYFUNCTION("""COMPUTED_VALUE"""),18.0)</f>
        <v>18</v>
      </c>
      <c r="H20141" s="4"/>
      <c r="I20141" s="4"/>
    </row>
    <row r="20142">
      <c r="A20142" s="4" t="str">
        <f>IFERROR(__xludf.DUMMYFUNCTION("""COMPUTED_VALUE"""),"cas_hmw")</f>
        <v>cas_hmw</v>
      </c>
      <c r="B20142" s="5">
        <f>IFERROR(__xludf.DUMMYFUNCTION("""COMPUTED_VALUE"""),44781.0)</f>
        <v>44781</v>
      </c>
      <c r="C20142" s="6">
        <f>IFERROR(__xludf.DUMMYFUNCTION("""COMPUTED_VALUE"""),0.7124652777783922)</f>
        <v>0.7124652778</v>
      </c>
      <c r="D20142" s="4">
        <f>IFERROR(__xludf.DUMMYFUNCTION("""COMPUTED_VALUE"""),12.951295)</f>
        <v>12.951295</v>
      </c>
      <c r="E20142" s="4">
        <f>IFERROR(__xludf.DUMMYFUNCTION("""COMPUTED_VALUE"""),80.140127)</f>
        <v>80.140127</v>
      </c>
      <c r="F20142" s="4">
        <f>IFERROR(__xludf.DUMMYFUNCTION("""COMPUTED_VALUE"""),3143.0)</f>
        <v>3143</v>
      </c>
      <c r="G20142" s="4">
        <f>IFERROR(__xludf.DUMMYFUNCTION("""COMPUTED_VALUE"""),32.0)</f>
        <v>32</v>
      </c>
      <c r="H20142" s="4"/>
      <c r="I20142" s="4"/>
    </row>
    <row r="20143">
      <c r="A20143" s="4" t="str">
        <f>IFERROR(__xludf.DUMMYFUNCTION("""COMPUTED_VALUE"""),"cas_hmw")</f>
        <v>cas_hmw</v>
      </c>
      <c r="B20143" s="5">
        <f>IFERROR(__xludf.DUMMYFUNCTION("""COMPUTED_VALUE"""),44781.0)</f>
        <v>44781</v>
      </c>
      <c r="C20143" s="6">
        <f>IFERROR(__xludf.DUMMYFUNCTION("""COMPUTED_VALUE"""),0.7129166666672972)</f>
        <v>0.7129166667</v>
      </c>
      <c r="D20143" s="4">
        <f>IFERROR(__xludf.DUMMYFUNCTION("""COMPUTED_VALUE"""),12.955023)</f>
        <v>12.955023</v>
      </c>
      <c r="E20143" s="4">
        <f>IFERROR(__xludf.DUMMYFUNCTION("""COMPUTED_VALUE"""),80.142467)</f>
        <v>80.142467</v>
      </c>
      <c r="F20143" s="4">
        <f>IFERROR(__xludf.DUMMYFUNCTION("""COMPUTED_VALUE"""),3143.0)</f>
        <v>3143</v>
      </c>
      <c r="G20143" s="4">
        <f>IFERROR(__xludf.DUMMYFUNCTION("""COMPUTED_VALUE"""),36.0)</f>
        <v>36</v>
      </c>
      <c r="H20143" s="4"/>
      <c r="I20143" s="4"/>
    </row>
    <row r="20144">
      <c r="A20144" s="4" t="str">
        <f>IFERROR(__xludf.DUMMYFUNCTION("""COMPUTED_VALUE"""),"cas_hmw")</f>
        <v>cas_hmw</v>
      </c>
      <c r="B20144" s="5">
        <f>IFERROR(__xludf.DUMMYFUNCTION("""COMPUTED_VALUE"""),44781.0)</f>
        <v>44781</v>
      </c>
      <c r="C20144" s="6">
        <f>IFERROR(__xludf.DUMMYFUNCTION("""COMPUTED_VALUE"""),0.7129976851865649)</f>
        <v>0.7129976852</v>
      </c>
      <c r="D20144" s="4">
        <f>IFERROR(__xludf.DUMMYFUNCTION("""COMPUTED_VALUE"""),12.955023)</f>
        <v>12.955023</v>
      </c>
      <c r="E20144" s="4">
        <f>IFERROR(__xludf.DUMMYFUNCTION("""COMPUTED_VALUE"""),80.142467)</f>
        <v>80.142467</v>
      </c>
      <c r="F20144" s="4">
        <f>IFERROR(__xludf.DUMMYFUNCTION("""COMPUTED_VALUE"""),3143.0)</f>
        <v>3143</v>
      </c>
      <c r="G20144" s="4">
        <f>IFERROR(__xludf.DUMMYFUNCTION("""COMPUTED_VALUE"""),36.0)</f>
        <v>36</v>
      </c>
      <c r="H20144" s="4"/>
      <c r="I20144" s="4"/>
    </row>
    <row r="20145">
      <c r="A20145" s="4" t="str">
        <f>IFERROR(__xludf.DUMMYFUNCTION("""COMPUTED_VALUE"""),"cas_hmw")</f>
        <v>cas_hmw</v>
      </c>
      <c r="B20145" s="5">
        <f>IFERROR(__xludf.DUMMYFUNCTION("""COMPUTED_VALUE"""),44781.0)</f>
        <v>44781</v>
      </c>
      <c r="C20145" s="6">
        <f>IFERROR(__xludf.DUMMYFUNCTION("""COMPUTED_VALUE"""),0.713344907406281)</f>
        <v>0.7133449074</v>
      </c>
      <c r="D20145" s="4">
        <f>IFERROR(__xludf.DUMMYFUNCTION("""COMPUTED_VALUE"""),12.723513)</f>
        <v>12.723513</v>
      </c>
      <c r="E20145" s="4">
        <f>IFERROR(__xludf.DUMMYFUNCTION("""COMPUTED_VALUE"""),79.981857)</f>
        <v>79.981857</v>
      </c>
      <c r="F20145" s="4">
        <f>IFERROR(__xludf.DUMMYFUNCTION("""COMPUTED_VALUE"""),2846.0)</f>
        <v>2846</v>
      </c>
      <c r="G20145" s="4">
        <f>IFERROR(__xludf.DUMMYFUNCTION("""COMPUTED_VALUE"""),33.0)</f>
        <v>33</v>
      </c>
      <c r="H20145" s="4"/>
      <c r="I20145" s="4"/>
    </row>
    <row r="20146">
      <c r="A20146" s="4" t="str">
        <f>IFERROR(__xludf.DUMMYFUNCTION("""COMPUTED_VALUE"""),"cas_hmw")</f>
        <v>cas_hmw</v>
      </c>
      <c r="B20146" s="5">
        <f>IFERROR(__xludf.DUMMYFUNCTION("""COMPUTED_VALUE"""),44781.0)</f>
        <v>44781</v>
      </c>
      <c r="C20146" s="6">
        <f>IFERROR(__xludf.DUMMYFUNCTION("""COMPUTED_VALUE"""),0.7134027777792653)</f>
        <v>0.7134027778</v>
      </c>
      <c r="D20146" s="4">
        <f>IFERROR(__xludf.DUMMYFUNCTION("""COMPUTED_VALUE"""),12.720028)</f>
        <v>12.720028</v>
      </c>
      <c r="E20146" s="4">
        <f>IFERROR(__xludf.DUMMYFUNCTION("""COMPUTED_VALUE"""),79.981218)</f>
        <v>79.981218</v>
      </c>
      <c r="F20146" s="4">
        <f>IFERROR(__xludf.DUMMYFUNCTION("""COMPUTED_VALUE"""),2846.0)</f>
        <v>2846</v>
      </c>
      <c r="G20146" s="4">
        <f>IFERROR(__xludf.DUMMYFUNCTION("""COMPUTED_VALUE"""),55.0)</f>
        <v>55</v>
      </c>
      <c r="H20146" s="4"/>
      <c r="I20146" s="4"/>
    </row>
    <row r="20147">
      <c r="A20147" s="4" t="str">
        <f>IFERROR(__xludf.DUMMYFUNCTION("""COMPUTED_VALUE"""),"cas_hmw")</f>
        <v>cas_hmw</v>
      </c>
      <c r="B20147" s="5">
        <f>IFERROR(__xludf.DUMMYFUNCTION("""COMPUTED_VALUE"""),44781.0)</f>
        <v>44781</v>
      </c>
      <c r="C20147" s="6">
        <f>IFERROR(__xludf.DUMMYFUNCTION("""COMPUTED_VALUE"""),0.7135300925910997)</f>
        <v>0.7135300926</v>
      </c>
      <c r="D20147" s="4">
        <f>IFERROR(__xludf.DUMMYFUNCTION("""COMPUTED_VALUE"""),12.993296)</f>
        <v>12.993296</v>
      </c>
      <c r="E20147" s="4">
        <f>IFERROR(__xludf.DUMMYFUNCTION("""COMPUTED_VALUE"""),80.184044)</f>
        <v>80.184044</v>
      </c>
      <c r="F20147" s="4">
        <f>IFERROR(__xludf.DUMMYFUNCTION("""COMPUTED_VALUE"""),805.0)</f>
        <v>805</v>
      </c>
      <c r="G20147" s="4">
        <f>IFERROR(__xludf.DUMMYFUNCTION("""COMPUTED_VALUE"""),5.0)</f>
        <v>5</v>
      </c>
      <c r="H20147" s="4"/>
      <c r="I20147" s="4"/>
    </row>
    <row r="20148">
      <c r="A20148" s="4" t="str">
        <f>IFERROR(__xludf.DUMMYFUNCTION("""COMPUTED_VALUE"""),"cas_hmw")</f>
        <v>cas_hmw</v>
      </c>
      <c r="B20148" s="5">
        <f>IFERROR(__xludf.DUMMYFUNCTION("""COMPUTED_VALUE"""),44781.0)</f>
        <v>44781</v>
      </c>
      <c r="C20148" s="6">
        <f>IFERROR(__xludf.DUMMYFUNCTION("""COMPUTED_VALUE"""),0.7144328703689098)</f>
        <v>0.7144328704</v>
      </c>
      <c r="D20148" s="4">
        <f>IFERROR(__xludf.DUMMYFUNCTION("""COMPUTED_VALUE"""),12.708419)</f>
        <v>12.708419</v>
      </c>
      <c r="E20148" s="4">
        <f>IFERROR(__xludf.DUMMYFUNCTION("""COMPUTED_VALUE"""),79.977096)</f>
        <v>79.977096</v>
      </c>
      <c r="F20148" s="4">
        <f>IFERROR(__xludf.DUMMYFUNCTION("""COMPUTED_VALUE"""),2846.0)</f>
        <v>2846</v>
      </c>
      <c r="G20148" s="4">
        <f>IFERROR(__xludf.DUMMYFUNCTION("""COMPUTED_VALUE"""),60.0)</f>
        <v>60</v>
      </c>
      <c r="H20148" s="4"/>
      <c r="I20148" s="4"/>
    </row>
    <row r="20149">
      <c r="A20149" s="4" t="str">
        <f>IFERROR(__xludf.DUMMYFUNCTION("""COMPUTED_VALUE"""),"cas_hmw")</f>
        <v>cas_hmw</v>
      </c>
      <c r="B20149" s="5">
        <f>IFERROR(__xludf.DUMMYFUNCTION("""COMPUTED_VALUE"""),44781.0)</f>
        <v>44781</v>
      </c>
      <c r="C20149" s="6">
        <f>IFERROR(__xludf.DUMMYFUNCTION("""COMPUTED_VALUE"""),0.7145949074074451)</f>
        <v>0.7145949074</v>
      </c>
      <c r="D20149" s="4">
        <f>IFERROR(__xludf.DUMMYFUNCTION("""COMPUTED_VALUE"""),12.987623)</f>
        <v>12.987623</v>
      </c>
      <c r="E20149" s="4">
        <f>IFERROR(__xludf.DUMMYFUNCTION("""COMPUTED_VALUE"""),80.176345)</f>
        <v>80.176345</v>
      </c>
      <c r="F20149" s="4">
        <f>IFERROR(__xludf.DUMMYFUNCTION("""COMPUTED_VALUE"""),5339.0)</f>
        <v>5339</v>
      </c>
      <c r="G20149" s="4">
        <f>IFERROR(__xludf.DUMMYFUNCTION("""COMPUTED_VALUE"""),35.0)</f>
        <v>35</v>
      </c>
      <c r="H20149" s="4"/>
      <c r="I20149" s="4"/>
    </row>
    <row r="20150">
      <c r="A20150" s="4" t="str">
        <f>IFERROR(__xludf.DUMMYFUNCTION("""COMPUTED_VALUE"""),"cas_hmw")</f>
        <v>cas_hmw</v>
      </c>
      <c r="B20150" s="5">
        <f>IFERROR(__xludf.DUMMYFUNCTION("""COMPUTED_VALUE"""),44781.0)</f>
        <v>44781</v>
      </c>
      <c r="C20150" s="6">
        <f>IFERROR(__xludf.DUMMYFUNCTION("""COMPUTED_VALUE"""),0.7151736111118225)</f>
        <v>0.7151736111</v>
      </c>
      <c r="D20150" s="4">
        <f>IFERROR(__xludf.DUMMYFUNCTION("""COMPUTED_VALUE"""),12.990321)</f>
        <v>12.990321</v>
      </c>
      <c r="E20150" s="4">
        <f>IFERROR(__xludf.DUMMYFUNCTION("""COMPUTED_VALUE"""),80.179901)</f>
        <v>80.179901</v>
      </c>
      <c r="F20150" s="4">
        <f>IFERROR(__xludf.DUMMYFUNCTION("""COMPUTED_VALUE"""),5339.0)</f>
        <v>5339</v>
      </c>
      <c r="G20150" s="4">
        <f>IFERROR(__xludf.DUMMYFUNCTION("""COMPUTED_VALUE"""),35.0)</f>
        <v>35</v>
      </c>
      <c r="H20150" s="4"/>
      <c r="I20150" s="4"/>
    </row>
    <row r="20151">
      <c r="A20151" s="4" t="str">
        <f>IFERROR(__xludf.DUMMYFUNCTION("""COMPUTED_VALUE"""),"cas_hmw")</f>
        <v>cas_hmw</v>
      </c>
      <c r="B20151" s="5">
        <f>IFERROR(__xludf.DUMMYFUNCTION("""COMPUTED_VALUE"""),44781.0)</f>
        <v>44781</v>
      </c>
      <c r="C20151" s="6">
        <f>IFERROR(__xludf.DUMMYFUNCTION("""COMPUTED_VALUE"""),0.716342592593719)</f>
        <v>0.7163425926</v>
      </c>
      <c r="D20151" s="4">
        <f>IFERROR(__xludf.DUMMYFUNCTION("""COMPUTED_VALUE"""),12.698342)</f>
        <v>12.698342</v>
      </c>
      <c r="E20151" s="4">
        <f>IFERROR(__xludf.DUMMYFUNCTION("""COMPUTED_VALUE"""),79.970462)</f>
        <v>79.970462</v>
      </c>
      <c r="F20151" s="4">
        <f>IFERROR(__xludf.DUMMYFUNCTION("""COMPUTED_VALUE"""),2846.0)</f>
        <v>2846</v>
      </c>
      <c r="G20151" s="4">
        <f>IFERROR(__xludf.DUMMYFUNCTION("""COMPUTED_VALUE"""),42.0)</f>
        <v>42</v>
      </c>
      <c r="H20151" s="4"/>
      <c r="I20151" s="4"/>
    </row>
    <row r="20152">
      <c r="A20152" s="4" t="str">
        <f>IFERROR(__xludf.DUMMYFUNCTION("""COMPUTED_VALUE"""),"cas_hmw")</f>
        <v>cas_hmw</v>
      </c>
      <c r="B20152" s="5">
        <f>IFERROR(__xludf.DUMMYFUNCTION("""COMPUTED_VALUE"""),44781.0)</f>
        <v>44781</v>
      </c>
      <c r="C20152" s="6">
        <f>IFERROR(__xludf.DUMMYFUNCTION("""COMPUTED_VALUE"""),0.7167245370364981)</f>
        <v>0.716724537</v>
      </c>
      <c r="D20152" s="4">
        <f>IFERROR(__xludf.DUMMYFUNCTION("""COMPUTED_VALUE"""),12.961075)</f>
        <v>12.961075</v>
      </c>
      <c r="E20152" s="4">
        <f>IFERROR(__xludf.DUMMYFUNCTION("""COMPUTED_VALUE"""),80.145703)</f>
        <v>80.145703</v>
      </c>
      <c r="F20152" s="4">
        <f>IFERROR(__xludf.DUMMYFUNCTION("""COMPUTED_VALUE"""),3143.0)</f>
        <v>3143</v>
      </c>
      <c r="G20152" s="4">
        <f>IFERROR(__xludf.DUMMYFUNCTION("""COMPUTED_VALUE"""),6.0)</f>
        <v>6</v>
      </c>
      <c r="H20152" s="4"/>
      <c r="I20152" s="4"/>
    </row>
    <row r="20153">
      <c r="A20153" s="4" t="str">
        <f>IFERROR(__xludf.DUMMYFUNCTION("""COMPUTED_VALUE"""),"cas_hmw")</f>
        <v>cas_hmw</v>
      </c>
      <c r="B20153" s="5">
        <f>IFERROR(__xludf.DUMMYFUNCTION("""COMPUTED_VALUE"""),44781.0)</f>
        <v>44781</v>
      </c>
      <c r="C20153" s="6">
        <f>IFERROR(__xludf.DUMMYFUNCTION("""COMPUTED_VALUE"""),0.7168518518519704)</f>
        <v>0.7168518519</v>
      </c>
      <c r="D20153" s="4">
        <f>IFERROR(__xludf.DUMMYFUNCTION("""COMPUTED_VALUE"""),12.961075)</f>
        <v>12.961075</v>
      </c>
      <c r="E20153" s="4">
        <f>IFERROR(__xludf.DUMMYFUNCTION("""COMPUTED_VALUE"""),80.145703)</f>
        <v>80.145703</v>
      </c>
      <c r="F20153" s="4">
        <f>IFERROR(__xludf.DUMMYFUNCTION("""COMPUTED_VALUE"""),3143.0)</f>
        <v>3143</v>
      </c>
      <c r="G20153" s="4">
        <f>IFERROR(__xludf.DUMMYFUNCTION("""COMPUTED_VALUE"""),6.0)</f>
        <v>6</v>
      </c>
      <c r="H20153" s="4"/>
      <c r="I20153" s="4"/>
    </row>
    <row r="20154">
      <c r="A20154" s="4" t="str">
        <f>IFERROR(__xludf.DUMMYFUNCTION("""COMPUTED_VALUE"""),"cas_hmw")</f>
        <v>cas_hmw</v>
      </c>
      <c r="B20154" s="5">
        <f>IFERROR(__xludf.DUMMYFUNCTION("""COMPUTED_VALUE"""),44781.0)</f>
        <v>44781</v>
      </c>
      <c r="C20154" s="6">
        <f>IFERROR(__xludf.DUMMYFUNCTION("""COMPUTED_VALUE"""),0.7173958333332848)</f>
        <v>0.7173958333</v>
      </c>
      <c r="D20154" s="4">
        <f>IFERROR(__xludf.DUMMYFUNCTION("""COMPUTED_VALUE"""),13.008467)</f>
        <v>13.008467</v>
      </c>
      <c r="E20154" s="4">
        <f>IFERROR(__xludf.DUMMYFUNCTION("""COMPUTED_VALUE"""),80.2034)</f>
        <v>80.2034</v>
      </c>
      <c r="F20154" s="4">
        <f>IFERROR(__xludf.DUMMYFUNCTION("""COMPUTED_VALUE"""),805.0)</f>
        <v>805</v>
      </c>
      <c r="G20154" s="4">
        <f>IFERROR(__xludf.DUMMYFUNCTION("""COMPUTED_VALUE"""),38.0)</f>
        <v>38</v>
      </c>
      <c r="H20154" s="4"/>
      <c r="I20154" s="4"/>
    </row>
    <row r="20155">
      <c r="A20155" s="4" t="str">
        <f>IFERROR(__xludf.DUMMYFUNCTION("""COMPUTED_VALUE"""),"cas_hmw")</f>
        <v>cas_hmw</v>
      </c>
      <c r="B20155" s="5">
        <f>IFERROR(__xludf.DUMMYFUNCTION("""COMPUTED_VALUE"""),44781.0)</f>
        <v>44781</v>
      </c>
      <c r="C20155" s="6">
        <f>IFERROR(__xludf.DUMMYFUNCTION("""COMPUTED_VALUE"""),0.7175231481487572)</f>
        <v>0.7175231481</v>
      </c>
      <c r="D20155" s="4">
        <f>IFERROR(__xludf.DUMMYFUNCTION("""COMPUTED_VALUE"""),13.007538)</f>
        <v>13.007538</v>
      </c>
      <c r="E20155" s="4">
        <f>IFERROR(__xludf.DUMMYFUNCTION("""COMPUTED_VALUE"""),80.203403)</f>
        <v>80.203403</v>
      </c>
      <c r="F20155" s="4">
        <f>IFERROR(__xludf.DUMMYFUNCTION("""COMPUTED_VALUE"""),805.0)</f>
        <v>805</v>
      </c>
      <c r="G20155" s="4">
        <f>IFERROR(__xludf.DUMMYFUNCTION("""COMPUTED_VALUE"""),45.0)</f>
        <v>45</v>
      </c>
      <c r="H20155" s="4"/>
      <c r="I20155" s="4"/>
    </row>
    <row r="20156">
      <c r="A20156" s="4" t="str">
        <f>IFERROR(__xludf.DUMMYFUNCTION("""COMPUTED_VALUE"""),"cas_hmw")</f>
        <v>cas_hmw</v>
      </c>
      <c r="B20156" s="5">
        <f>IFERROR(__xludf.DUMMYFUNCTION("""COMPUTED_VALUE"""),44781.0)</f>
        <v>44781</v>
      </c>
      <c r="C20156" s="6">
        <f>IFERROR(__xludf.DUMMYFUNCTION("""COMPUTED_VALUE"""),0.7178240740722686)</f>
        <v>0.7178240741</v>
      </c>
      <c r="D20156" s="4">
        <f>IFERROR(__xludf.DUMMYFUNCTION("""COMPUTED_VALUE"""),13.007643)</f>
        <v>13.007643</v>
      </c>
      <c r="E20156" s="4">
        <f>IFERROR(__xludf.DUMMYFUNCTION("""COMPUTED_VALUE"""),80.205579)</f>
        <v>80.205579</v>
      </c>
      <c r="F20156" s="4">
        <f>IFERROR(__xludf.DUMMYFUNCTION("""COMPUTED_VALUE"""),805.0)</f>
        <v>805</v>
      </c>
      <c r="G20156" s="4">
        <f>IFERROR(__xludf.DUMMYFUNCTION("""COMPUTED_VALUE"""),58.0)</f>
        <v>58</v>
      </c>
      <c r="H20156" s="4"/>
      <c r="I20156" s="4"/>
    </row>
    <row r="20157">
      <c r="A20157" s="4" t="str">
        <f>IFERROR(__xludf.DUMMYFUNCTION("""COMPUTED_VALUE"""),"cas_hmw")</f>
        <v>cas_hmw</v>
      </c>
      <c r="B20157" s="5">
        <f>IFERROR(__xludf.DUMMYFUNCTION("""COMPUTED_VALUE"""),44781.0)</f>
        <v>44781</v>
      </c>
      <c r="C20157" s="6">
        <f>IFERROR(__xludf.DUMMYFUNCTION("""COMPUTED_VALUE"""),0.7182523148148903)</f>
        <v>0.7182523148</v>
      </c>
      <c r="D20157" s="4">
        <f>IFERROR(__xludf.DUMMYFUNCTION("""COMPUTED_VALUE"""),13.008272)</f>
        <v>13.008272</v>
      </c>
      <c r="E20157" s="4">
        <f>IFERROR(__xludf.DUMMYFUNCTION("""COMPUTED_VALUE"""),80.209633)</f>
        <v>80.209633</v>
      </c>
      <c r="F20157" s="4">
        <f>IFERROR(__xludf.DUMMYFUNCTION("""COMPUTED_VALUE"""),805.0)</f>
        <v>805</v>
      </c>
      <c r="G20157" s="4">
        <f>IFERROR(__xludf.DUMMYFUNCTION("""COMPUTED_VALUE"""),46.0)</f>
        <v>46</v>
      </c>
      <c r="H20157" s="4"/>
      <c r="I20157" s="4"/>
    </row>
    <row r="20158">
      <c r="A20158" s="4" t="str">
        <f>IFERROR(__xludf.DUMMYFUNCTION("""COMPUTED_VALUE"""),"cas_hmw")</f>
        <v>cas_hmw</v>
      </c>
      <c r="B20158" s="5">
        <f>IFERROR(__xludf.DUMMYFUNCTION("""COMPUTED_VALUE"""),44781.0)</f>
        <v>44781</v>
      </c>
      <c r="C20158" s="6">
        <f>IFERROR(__xludf.DUMMYFUNCTION("""COMPUTED_VALUE"""),0.7185648148151813)</f>
        <v>0.7185648148</v>
      </c>
      <c r="D20158" s="4">
        <f>IFERROR(__xludf.DUMMYFUNCTION("""COMPUTED_VALUE"""),13.009464)</f>
        <v>13.009464</v>
      </c>
      <c r="E20158" s="4">
        <f>IFERROR(__xludf.DUMMYFUNCTION("""COMPUTED_VALUE"""),80.213061)</f>
        <v>80.213061</v>
      </c>
      <c r="F20158" s="4">
        <f>IFERROR(__xludf.DUMMYFUNCTION("""COMPUTED_VALUE"""),805.0)</f>
        <v>805</v>
      </c>
      <c r="G20158" s="4">
        <f>IFERROR(__xludf.DUMMYFUNCTION("""COMPUTED_VALUE"""),36.0)</f>
        <v>36</v>
      </c>
      <c r="H20158" s="4"/>
      <c r="I20158" s="4"/>
    </row>
    <row r="20159">
      <c r="A20159" s="4" t="str">
        <f>IFERROR(__xludf.DUMMYFUNCTION("""COMPUTED_VALUE"""),"cas_hmw")</f>
        <v>cas_hmw</v>
      </c>
      <c r="B20159" s="5">
        <f>IFERROR(__xludf.DUMMYFUNCTION("""COMPUTED_VALUE"""),44781.0)</f>
        <v>44781</v>
      </c>
      <c r="C20159" s="6">
        <f>IFERROR(__xludf.DUMMYFUNCTION("""COMPUTED_VALUE"""),0.7193055555544561)</f>
        <v>0.7193055556</v>
      </c>
      <c r="D20159" s="4">
        <f>IFERROR(__xludf.DUMMYFUNCTION("""COMPUTED_VALUE"""),13.008332)</f>
        <v>13.008332</v>
      </c>
      <c r="E20159" s="4">
        <f>IFERROR(__xludf.DUMMYFUNCTION("""COMPUTED_VALUE"""),80.2036)</f>
        <v>80.2036</v>
      </c>
      <c r="F20159" s="4">
        <f>IFERROR(__xludf.DUMMYFUNCTION("""COMPUTED_VALUE"""),5339.0)</f>
        <v>5339</v>
      </c>
      <c r="G20159" s="4">
        <f>IFERROR(__xludf.DUMMYFUNCTION("""COMPUTED_VALUE"""),34.0)</f>
        <v>34</v>
      </c>
      <c r="H20159" s="4"/>
      <c r="I20159" s="4"/>
    </row>
    <row r="20160">
      <c r="A20160" s="4" t="str">
        <f>IFERROR(__xludf.DUMMYFUNCTION("""COMPUTED_VALUE"""),"cas_hmw")</f>
        <v>cas_hmw</v>
      </c>
      <c r="B20160" s="5">
        <f>IFERROR(__xludf.DUMMYFUNCTION("""COMPUTED_VALUE"""),44781.0)</f>
        <v>44781</v>
      </c>
      <c r="C20160" s="6">
        <f>IFERROR(__xludf.DUMMYFUNCTION("""COMPUTED_VALUE"""),0.7194212962967867)</f>
        <v>0.7194212963</v>
      </c>
      <c r="D20160" s="4">
        <f>IFERROR(__xludf.DUMMYFUNCTION("""COMPUTED_VALUE"""),13.007649)</f>
        <v>13.007649</v>
      </c>
      <c r="E20160" s="4">
        <f>IFERROR(__xludf.DUMMYFUNCTION("""COMPUTED_VALUE"""),80.202829)</f>
        <v>80.202829</v>
      </c>
      <c r="F20160" s="4">
        <f>IFERROR(__xludf.DUMMYFUNCTION("""COMPUTED_VALUE"""),5339.0)</f>
        <v>5339</v>
      </c>
      <c r="G20160" s="4">
        <f>IFERROR(__xludf.DUMMYFUNCTION("""COMPUTED_VALUE"""),36.0)</f>
        <v>36</v>
      </c>
      <c r="H20160" s="4"/>
      <c r="I20160" s="4"/>
    </row>
    <row r="20161">
      <c r="A20161" s="4" t="str">
        <f>IFERROR(__xludf.DUMMYFUNCTION("""COMPUTED_VALUE"""),"cas_hmw")</f>
        <v>cas_hmw</v>
      </c>
      <c r="B20161" s="5">
        <f>IFERROR(__xludf.DUMMYFUNCTION("""COMPUTED_VALUE"""),44781.0)</f>
        <v>44781</v>
      </c>
      <c r="C20161" s="6">
        <f>IFERROR(__xludf.DUMMYFUNCTION("""COMPUTED_VALUE"""),0.7194328703699284)</f>
        <v>0.7194328704</v>
      </c>
      <c r="D20161" s="4">
        <f>IFERROR(__xludf.DUMMYFUNCTION("""COMPUTED_VALUE"""),13.011816)</f>
        <v>13.011816</v>
      </c>
      <c r="E20161" s="4">
        <f>IFERROR(__xludf.DUMMYFUNCTION("""COMPUTED_VALUE"""),80.219669)</f>
        <v>80.219669</v>
      </c>
      <c r="F20161" s="4">
        <f>IFERROR(__xludf.DUMMYFUNCTION("""COMPUTED_VALUE"""),805.0)</f>
        <v>805</v>
      </c>
      <c r="G20161" s="4">
        <f>IFERROR(__xludf.DUMMYFUNCTION("""COMPUTED_VALUE"""),42.0)</f>
        <v>42</v>
      </c>
      <c r="H20161" s="4"/>
      <c r="I20161" s="4"/>
    </row>
    <row r="20162">
      <c r="A20162" s="4" t="str">
        <f>IFERROR(__xludf.DUMMYFUNCTION("""COMPUTED_VALUE"""),"cas_hmw")</f>
        <v>cas_hmw</v>
      </c>
      <c r="B20162" s="5">
        <f>IFERROR(__xludf.DUMMYFUNCTION("""COMPUTED_VALUE"""),44781.0)</f>
        <v>44781</v>
      </c>
      <c r="C20162" s="6">
        <f>IFERROR(__xludf.DUMMYFUNCTION("""COMPUTED_VALUE"""),0.7201157407398568)</f>
        <v>0.7201157407</v>
      </c>
      <c r="D20162" s="4">
        <f>IFERROR(__xludf.DUMMYFUNCTION("""COMPUTED_VALUE"""),13.007985)</f>
        <v>13.007985</v>
      </c>
      <c r="E20162" s="4">
        <f>IFERROR(__xludf.DUMMYFUNCTION("""COMPUTED_VALUE"""),80.208243)</f>
        <v>80.208243</v>
      </c>
      <c r="F20162" s="4">
        <f>IFERROR(__xludf.DUMMYFUNCTION("""COMPUTED_VALUE"""),5339.0)</f>
        <v>5339</v>
      </c>
      <c r="G20162" s="4">
        <f>IFERROR(__xludf.DUMMYFUNCTION("""COMPUTED_VALUE"""),42.0)</f>
        <v>42</v>
      </c>
      <c r="H20162" s="4"/>
      <c r="I20162" s="4"/>
    </row>
    <row r="20163">
      <c r="A20163" s="4" t="str">
        <f>IFERROR(__xludf.DUMMYFUNCTION("""COMPUTED_VALUE"""),"cas_hmw")</f>
        <v>cas_hmw</v>
      </c>
      <c r="B20163" s="5">
        <f>IFERROR(__xludf.DUMMYFUNCTION("""COMPUTED_VALUE"""),44781.0)</f>
        <v>44781</v>
      </c>
      <c r="C20163" s="6">
        <f>IFERROR(__xludf.DUMMYFUNCTION("""COMPUTED_VALUE"""),0.7202314814821875)</f>
        <v>0.7202314815</v>
      </c>
      <c r="D20163" s="4">
        <f>IFERROR(__xludf.DUMMYFUNCTION("""COMPUTED_VALUE"""),13.015279)</f>
        <v>13.015279</v>
      </c>
      <c r="E20163" s="4">
        <f>IFERROR(__xludf.DUMMYFUNCTION("""COMPUTED_VALUE"""),80.225785)</f>
        <v>80.225785</v>
      </c>
      <c r="F20163" s="4">
        <f>IFERROR(__xludf.DUMMYFUNCTION("""COMPUTED_VALUE"""),805.0)</f>
        <v>805</v>
      </c>
      <c r="G20163" s="4">
        <f>IFERROR(__xludf.DUMMYFUNCTION("""COMPUTED_VALUE"""),21.0)</f>
        <v>21</v>
      </c>
      <c r="H20163" s="4"/>
      <c r="I20163" s="4"/>
    </row>
    <row r="20164">
      <c r="A20164" s="4" t="str">
        <f>IFERROR(__xludf.DUMMYFUNCTION("""COMPUTED_VALUE"""),"cas_hmw")</f>
        <v>cas_hmw</v>
      </c>
      <c r="B20164" s="5">
        <f>IFERROR(__xludf.DUMMYFUNCTION("""COMPUTED_VALUE"""),44781.0)</f>
        <v>44781</v>
      </c>
      <c r="C20164" s="6">
        <f>IFERROR(__xludf.DUMMYFUNCTION("""COMPUTED_VALUE"""),0.7202314814821875)</f>
        <v>0.7202314815</v>
      </c>
      <c r="D20164" s="4">
        <f>IFERROR(__xludf.DUMMYFUNCTION("""COMPUTED_VALUE"""),13.015279)</f>
        <v>13.015279</v>
      </c>
      <c r="E20164" s="4">
        <f>IFERROR(__xludf.DUMMYFUNCTION("""COMPUTED_VALUE"""),80.225785)</f>
        <v>80.225785</v>
      </c>
      <c r="F20164" s="4">
        <f>IFERROR(__xludf.DUMMYFUNCTION("""COMPUTED_VALUE"""),805.0)</f>
        <v>805</v>
      </c>
      <c r="G20164" s="4">
        <f>IFERROR(__xludf.DUMMYFUNCTION("""COMPUTED_VALUE"""),21.0)</f>
        <v>21</v>
      </c>
      <c r="H20164" s="4"/>
      <c r="I20164" s="4"/>
    </row>
    <row r="20165">
      <c r="A20165" s="4" t="str">
        <f>IFERROR(__xludf.DUMMYFUNCTION("""COMPUTED_VALUE"""),"cas_hmw")</f>
        <v>cas_hmw</v>
      </c>
      <c r="B20165" s="5">
        <f>IFERROR(__xludf.DUMMYFUNCTION("""COMPUTED_VALUE"""),44781.0)</f>
        <v>44781</v>
      </c>
      <c r="C20165" s="6">
        <f>IFERROR(__xludf.DUMMYFUNCTION("""COMPUTED_VALUE"""),0.7202546296284709)</f>
        <v>0.7202546296</v>
      </c>
      <c r="D20165" s="4">
        <f>IFERROR(__xludf.DUMMYFUNCTION("""COMPUTED_VALUE"""),13.008329)</f>
        <v>13.008329</v>
      </c>
      <c r="E20165" s="4">
        <f>IFERROR(__xludf.DUMMYFUNCTION("""COMPUTED_VALUE"""),80.209905)</f>
        <v>80.209905</v>
      </c>
      <c r="F20165" s="4">
        <f>IFERROR(__xludf.DUMMYFUNCTION("""COMPUTED_VALUE"""),5339.0)</f>
        <v>5339</v>
      </c>
      <c r="G20165" s="4">
        <f>IFERROR(__xludf.DUMMYFUNCTION("""COMPUTED_VALUE"""),41.0)</f>
        <v>41</v>
      </c>
      <c r="H20165" s="4"/>
      <c r="I20165" s="4"/>
    </row>
    <row r="20166">
      <c r="A20166" s="4" t="str">
        <f>IFERROR(__xludf.DUMMYFUNCTION("""COMPUTED_VALUE"""),"cas_hmw")</f>
        <v>cas_hmw</v>
      </c>
      <c r="B20166" s="5">
        <f>IFERROR(__xludf.DUMMYFUNCTION("""COMPUTED_VALUE"""),44781.0)</f>
        <v>44781</v>
      </c>
      <c r="C20166" s="6">
        <f>IFERROR(__xludf.DUMMYFUNCTION("""COMPUTED_VALUE"""),0.7203472222208802)</f>
        <v>0.7203472222</v>
      </c>
      <c r="D20166" s="4">
        <f>IFERROR(__xludf.DUMMYFUNCTION("""COMPUTED_VALUE"""),13.015279)</f>
        <v>13.015279</v>
      </c>
      <c r="E20166" s="4">
        <f>IFERROR(__xludf.DUMMYFUNCTION("""COMPUTED_VALUE"""),80.225785)</f>
        <v>80.225785</v>
      </c>
      <c r="F20166" s="4">
        <f>IFERROR(__xludf.DUMMYFUNCTION("""COMPUTED_VALUE"""),805.0)</f>
        <v>805</v>
      </c>
      <c r="G20166" s="4">
        <f>IFERROR(__xludf.DUMMYFUNCTION("""COMPUTED_VALUE"""),21.0)</f>
        <v>21</v>
      </c>
      <c r="H20166" s="4"/>
      <c r="I20166" s="4"/>
    </row>
    <row r="20167">
      <c r="A20167" s="4" t="str">
        <f>IFERROR(__xludf.DUMMYFUNCTION("""COMPUTED_VALUE"""),"cas_hmw")</f>
        <v>cas_hmw</v>
      </c>
      <c r="B20167" s="5">
        <f>IFERROR(__xludf.DUMMYFUNCTION("""COMPUTED_VALUE"""),44781.0)</f>
        <v>44781</v>
      </c>
      <c r="C20167" s="6">
        <f>IFERROR(__xludf.DUMMYFUNCTION("""COMPUTED_VALUE"""),0.7204050925938645)</f>
        <v>0.7204050926</v>
      </c>
      <c r="D20167" s="4">
        <f>IFERROR(__xludf.DUMMYFUNCTION("""COMPUTED_VALUE"""),13.015144)</f>
        <v>13.015144</v>
      </c>
      <c r="E20167" s="4">
        <f>IFERROR(__xludf.DUMMYFUNCTION("""COMPUTED_VALUE"""),80.225858)</f>
        <v>80.225858</v>
      </c>
      <c r="F20167" s="4">
        <f>IFERROR(__xludf.DUMMYFUNCTION("""COMPUTED_VALUE"""),805.0)</f>
        <v>805</v>
      </c>
      <c r="G20167" s="4">
        <f>IFERROR(__xludf.DUMMYFUNCTION("""COMPUTED_VALUE"""),0.0)</f>
        <v>0</v>
      </c>
      <c r="H20167" s="4"/>
      <c r="I20167" s="4"/>
    </row>
    <row r="20168">
      <c r="A20168" s="4" t="str">
        <f>IFERROR(__xludf.DUMMYFUNCTION("""COMPUTED_VALUE"""),"cas_hmw")</f>
        <v>cas_hmw</v>
      </c>
      <c r="B20168" s="5">
        <f>IFERROR(__xludf.DUMMYFUNCTION("""COMPUTED_VALUE"""),44781.0)</f>
        <v>44781</v>
      </c>
      <c r="C20168" s="6">
        <f>IFERROR(__xludf.DUMMYFUNCTION("""COMPUTED_VALUE"""),0.7205787037019036)</f>
        <v>0.7205787037</v>
      </c>
      <c r="D20168" s="4">
        <f>IFERROR(__xludf.DUMMYFUNCTION("""COMPUTED_VALUE"""),13.014792)</f>
        <v>13.014792</v>
      </c>
      <c r="E20168" s="4">
        <f>IFERROR(__xludf.DUMMYFUNCTION("""COMPUTED_VALUE"""),80.226001)</f>
        <v>80.226001</v>
      </c>
      <c r="F20168" s="4">
        <f>IFERROR(__xludf.DUMMYFUNCTION("""COMPUTED_VALUE"""),805.0)</f>
        <v>805</v>
      </c>
      <c r="G20168" s="4">
        <f>IFERROR(__xludf.DUMMYFUNCTION("""COMPUTED_VALUE"""),22.0)</f>
        <v>22</v>
      </c>
      <c r="H20168" s="4"/>
      <c r="I20168" s="4"/>
    </row>
    <row r="20169">
      <c r="A20169" s="4" t="str">
        <f>IFERROR(__xludf.DUMMYFUNCTION("""COMPUTED_VALUE"""),"cas_hmw")</f>
        <v>cas_hmw</v>
      </c>
      <c r="B20169" s="5">
        <f>IFERROR(__xludf.DUMMYFUNCTION("""COMPUTED_VALUE"""),44781.0)</f>
        <v>44781</v>
      </c>
      <c r="C20169" s="6">
        <f>IFERROR(__xludf.DUMMYFUNCTION("""COMPUTED_VALUE"""),0.7207870370366436)</f>
        <v>0.720787037</v>
      </c>
      <c r="D20169" s="4">
        <f>IFERROR(__xludf.DUMMYFUNCTION("""COMPUTED_VALUE"""),13.01007)</f>
        <v>13.01007</v>
      </c>
      <c r="E20169" s="4">
        <f>IFERROR(__xludf.DUMMYFUNCTION("""COMPUTED_VALUE"""),80.214539)</f>
        <v>80.214539</v>
      </c>
      <c r="F20169" s="4">
        <f>IFERROR(__xludf.DUMMYFUNCTION("""COMPUTED_VALUE"""),5339.0)</f>
        <v>5339</v>
      </c>
      <c r="G20169" s="4">
        <f>IFERROR(__xludf.DUMMYFUNCTION("""COMPUTED_VALUE"""),23.0)</f>
        <v>23</v>
      </c>
      <c r="H20169" s="4"/>
      <c r="I20169" s="4"/>
    </row>
    <row r="20170">
      <c r="A20170" s="4" t="str">
        <f>IFERROR(__xludf.DUMMYFUNCTION("""COMPUTED_VALUE"""),"cas_hmw")</f>
        <v>cas_hmw</v>
      </c>
      <c r="B20170" s="5">
        <f>IFERROR(__xludf.DUMMYFUNCTION("""COMPUTED_VALUE"""),44781.0)</f>
        <v>44781</v>
      </c>
      <c r="C20170" s="6">
        <f>IFERROR(__xludf.DUMMYFUNCTION("""COMPUTED_VALUE"""),0.7209606481483206)</f>
        <v>0.7209606481</v>
      </c>
      <c r="D20170" s="4">
        <f>IFERROR(__xludf.DUMMYFUNCTION("""COMPUTED_VALUE"""),13.012057)</f>
        <v>13.012057</v>
      </c>
      <c r="E20170" s="4">
        <f>IFERROR(__xludf.DUMMYFUNCTION("""COMPUTED_VALUE"""),80.227111)</f>
        <v>80.227111</v>
      </c>
      <c r="F20170" s="4">
        <f>IFERROR(__xludf.DUMMYFUNCTION("""COMPUTED_VALUE"""),805.0)</f>
        <v>805</v>
      </c>
      <c r="G20170" s="4">
        <f>IFERROR(__xludf.DUMMYFUNCTION("""COMPUTED_VALUE"""),47.0)</f>
        <v>47</v>
      </c>
      <c r="H20170" s="4"/>
      <c r="I20170" s="4"/>
    </row>
    <row r="20171">
      <c r="A20171" s="4" t="str">
        <f>IFERROR(__xludf.DUMMYFUNCTION("""COMPUTED_VALUE"""),"cas_hmw")</f>
        <v>cas_hmw</v>
      </c>
      <c r="B20171" s="5">
        <f>IFERROR(__xludf.DUMMYFUNCTION("""COMPUTED_VALUE"""),44781.0)</f>
        <v>44781</v>
      </c>
      <c r="C20171" s="6">
        <f>IFERROR(__xludf.DUMMYFUNCTION("""COMPUTED_VALUE"""),0.7210069444445253)</f>
        <v>0.7210069444</v>
      </c>
      <c r="D20171" s="4">
        <f>IFERROR(__xludf.DUMMYFUNCTION("""COMPUTED_VALUE"""),13.010263)</f>
        <v>13.010263</v>
      </c>
      <c r="E20171" s="4">
        <f>IFERROR(__xludf.DUMMYFUNCTION("""COMPUTED_VALUE"""),80.215708)</f>
        <v>80.215708</v>
      </c>
      <c r="F20171" s="4">
        <f>IFERROR(__xludf.DUMMYFUNCTION("""COMPUTED_VALUE"""),5339.0)</f>
        <v>5339</v>
      </c>
      <c r="G20171" s="4">
        <f>IFERROR(__xludf.DUMMYFUNCTION("""COMPUTED_VALUE"""),31.0)</f>
        <v>31</v>
      </c>
      <c r="H20171" s="4"/>
      <c r="I20171" s="4"/>
    </row>
    <row r="20172">
      <c r="A20172" s="4" t="str">
        <f>IFERROR(__xludf.DUMMYFUNCTION("""COMPUTED_VALUE"""),"cas_hmw")</f>
        <v>cas_hmw</v>
      </c>
      <c r="B20172" s="5">
        <f>IFERROR(__xludf.DUMMYFUNCTION("""COMPUTED_VALUE"""),44781.0)</f>
        <v>44781</v>
      </c>
      <c r="C20172" s="6">
        <f>IFERROR(__xludf.DUMMYFUNCTION("""COMPUTED_VALUE"""),0.721331018517958)</f>
        <v>0.7213310185</v>
      </c>
      <c r="D20172" s="4">
        <f>IFERROR(__xludf.DUMMYFUNCTION("""COMPUTED_VALUE"""),13.010165)</f>
        <v>13.010165</v>
      </c>
      <c r="E20172" s="4">
        <f>IFERROR(__xludf.DUMMYFUNCTION("""COMPUTED_VALUE"""),80.227896)</f>
        <v>80.227896</v>
      </c>
      <c r="F20172" s="4">
        <f>IFERROR(__xludf.DUMMYFUNCTION("""COMPUTED_VALUE"""),805.0)</f>
        <v>805</v>
      </c>
      <c r="G20172" s="4">
        <f>IFERROR(__xludf.DUMMYFUNCTION("""COMPUTED_VALUE"""),39.0)</f>
        <v>39</v>
      </c>
      <c r="H20172" s="4"/>
      <c r="I20172" s="4"/>
    </row>
    <row r="20173">
      <c r="A20173" s="4" t="str">
        <f>IFERROR(__xludf.DUMMYFUNCTION("""COMPUTED_VALUE"""),"cas_hmw")</f>
        <v>cas_hmw</v>
      </c>
      <c r="B20173" s="5">
        <f>IFERROR(__xludf.DUMMYFUNCTION("""COMPUTED_VALUE"""),44781.0)</f>
        <v>44781</v>
      </c>
      <c r="C20173" s="6">
        <f>IFERROR(__xludf.DUMMYFUNCTION("""COMPUTED_VALUE"""),0.7213425925910997)</f>
        <v>0.7213425926</v>
      </c>
      <c r="D20173" s="4">
        <f>IFERROR(__xludf.DUMMYFUNCTION("""COMPUTED_VALUE"""),13.009062)</f>
        <v>13.009062</v>
      </c>
      <c r="E20173" s="4">
        <f>IFERROR(__xludf.DUMMYFUNCTION("""COMPUTED_VALUE"""),80.228896)</f>
        <v>80.228896</v>
      </c>
      <c r="F20173" s="4">
        <f>IFERROR(__xludf.DUMMYFUNCTION("""COMPUTED_VALUE"""),805.0)</f>
        <v>805</v>
      </c>
      <c r="G20173" s="4">
        <f>IFERROR(__xludf.DUMMYFUNCTION("""COMPUTED_VALUE"""),40.0)</f>
        <v>40</v>
      </c>
      <c r="H20173" s="4"/>
      <c r="I20173" s="4"/>
    </row>
    <row r="20174">
      <c r="A20174" s="4" t="str">
        <f>IFERROR(__xludf.DUMMYFUNCTION("""COMPUTED_VALUE"""),"cas_hmw")</f>
        <v>cas_hmw</v>
      </c>
      <c r="B20174" s="5">
        <f>IFERROR(__xludf.DUMMYFUNCTION("""COMPUTED_VALUE"""),44781.0)</f>
        <v>44781</v>
      </c>
      <c r="C20174" s="6">
        <f>IFERROR(__xludf.DUMMYFUNCTION("""COMPUTED_VALUE"""),0.7213425925910997)</f>
        <v>0.7213425926</v>
      </c>
      <c r="D20174" s="4">
        <f>IFERROR(__xludf.DUMMYFUNCTION("""COMPUTED_VALUE"""),13.009062)</f>
        <v>13.009062</v>
      </c>
      <c r="E20174" s="4">
        <f>IFERROR(__xludf.DUMMYFUNCTION("""COMPUTED_VALUE"""),80.228896)</f>
        <v>80.228896</v>
      </c>
      <c r="F20174" s="4">
        <f>IFERROR(__xludf.DUMMYFUNCTION("""COMPUTED_VALUE"""),805.0)</f>
        <v>805</v>
      </c>
      <c r="G20174" s="4">
        <f>IFERROR(__xludf.DUMMYFUNCTION("""COMPUTED_VALUE"""),40.0)</f>
        <v>40</v>
      </c>
      <c r="H20174" s="4"/>
      <c r="I20174" s="4"/>
    </row>
    <row r="20175">
      <c r="A20175" s="4" t="str">
        <f>IFERROR(__xludf.DUMMYFUNCTION("""COMPUTED_VALUE"""),"cas_hmw")</f>
        <v>cas_hmw</v>
      </c>
      <c r="B20175" s="5">
        <f>IFERROR(__xludf.DUMMYFUNCTION("""COMPUTED_VALUE"""),44781.0)</f>
        <v>44781</v>
      </c>
      <c r="C20175" s="6">
        <f>IFERROR(__xludf.DUMMYFUNCTION("""COMPUTED_VALUE"""),0.7217939814800047)</f>
        <v>0.7217939815</v>
      </c>
      <c r="D20175" s="4">
        <f>IFERROR(__xludf.DUMMYFUNCTION("""COMPUTED_VALUE"""),13.012495)</f>
        <v>13.012495</v>
      </c>
      <c r="E20175" s="4">
        <f>IFERROR(__xludf.DUMMYFUNCTION("""COMPUTED_VALUE"""),80.221406)</f>
        <v>80.221406</v>
      </c>
      <c r="F20175" s="4">
        <f>IFERROR(__xludf.DUMMYFUNCTION("""COMPUTED_VALUE"""),5339.0)</f>
        <v>5339</v>
      </c>
      <c r="G20175" s="4">
        <f>IFERROR(__xludf.DUMMYFUNCTION("""COMPUTED_VALUE"""),40.0)</f>
        <v>40</v>
      </c>
      <c r="H20175" s="4"/>
      <c r="I20175" s="4"/>
    </row>
    <row r="20176">
      <c r="A20176" s="4" t="str">
        <f>IFERROR(__xludf.DUMMYFUNCTION("""COMPUTED_VALUE"""),"cas_hmw")</f>
        <v>cas_hmw</v>
      </c>
      <c r="B20176" s="5">
        <f>IFERROR(__xludf.DUMMYFUNCTION("""COMPUTED_VALUE"""),44781.0)</f>
        <v>44781</v>
      </c>
      <c r="C20176" s="6">
        <f>IFERROR(__xludf.DUMMYFUNCTION("""COMPUTED_VALUE"""),0.7234722222237906)</f>
        <v>0.7234722222</v>
      </c>
      <c r="D20176" s="4">
        <f>IFERROR(__xludf.DUMMYFUNCTION("""COMPUTED_VALUE"""),13.01942)</f>
        <v>13.01942</v>
      </c>
      <c r="E20176" s="4">
        <f>IFERROR(__xludf.DUMMYFUNCTION("""COMPUTED_VALUE"""),80.224418)</f>
        <v>80.224418</v>
      </c>
      <c r="F20176" s="4">
        <f>IFERROR(__xludf.DUMMYFUNCTION("""COMPUTED_VALUE"""),5339.0)</f>
        <v>5339</v>
      </c>
      <c r="G20176" s="4">
        <f>IFERROR(__xludf.DUMMYFUNCTION("""COMPUTED_VALUE"""),14.0)</f>
        <v>14</v>
      </c>
      <c r="H20176" s="4"/>
      <c r="I20176" s="4"/>
    </row>
    <row r="20177">
      <c r="A20177" s="4" t="str">
        <f>IFERROR(__xludf.DUMMYFUNCTION("""COMPUTED_VALUE"""),"cas_hmw")</f>
        <v>cas_hmw</v>
      </c>
      <c r="B20177" s="5">
        <f>IFERROR(__xludf.DUMMYFUNCTION("""COMPUTED_VALUE"""),44781.0)</f>
        <v>44781</v>
      </c>
      <c r="C20177" s="6">
        <f>IFERROR(__xludf.DUMMYFUNCTION("""COMPUTED_VALUE"""),0.724155092593719)</f>
        <v>0.7241550926</v>
      </c>
      <c r="D20177" s="4">
        <f>IFERROR(__xludf.DUMMYFUNCTION("""COMPUTED_VALUE"""),13.006738)</f>
        <v>13.006738</v>
      </c>
      <c r="E20177" s="4">
        <f>IFERROR(__xludf.DUMMYFUNCTION("""COMPUTED_VALUE"""),80.240867)</f>
        <v>80.240867</v>
      </c>
      <c r="F20177" s="4">
        <f>IFERROR(__xludf.DUMMYFUNCTION("""COMPUTED_VALUE"""),805.0)</f>
        <v>805</v>
      </c>
      <c r="G20177" s="4">
        <f>IFERROR(__xludf.DUMMYFUNCTION("""COMPUTED_VALUE"""),16.0)</f>
        <v>16</v>
      </c>
      <c r="H20177" s="4"/>
      <c r="I20177" s="4"/>
    </row>
    <row r="20178">
      <c r="A20178" s="4" t="str">
        <f>IFERROR(__xludf.DUMMYFUNCTION("""COMPUTED_VALUE"""),"cas_hmw")</f>
        <v>cas_hmw</v>
      </c>
      <c r="B20178" s="5">
        <f>IFERROR(__xludf.DUMMYFUNCTION("""COMPUTED_VALUE"""),44781.0)</f>
        <v>44781</v>
      </c>
      <c r="C20178" s="6">
        <f>IFERROR(__xludf.DUMMYFUNCTION("""COMPUTED_VALUE"""),0.7241666666668607)</f>
        <v>0.7241666667</v>
      </c>
      <c r="D20178" s="4">
        <f>IFERROR(__xludf.DUMMYFUNCTION("""COMPUTED_VALUE"""),13.006738)</f>
        <v>13.006738</v>
      </c>
      <c r="E20178" s="4">
        <f>IFERROR(__xludf.DUMMYFUNCTION("""COMPUTED_VALUE"""),80.240867)</f>
        <v>80.240867</v>
      </c>
      <c r="F20178" s="4">
        <f>IFERROR(__xludf.DUMMYFUNCTION("""COMPUTED_VALUE"""),805.0)</f>
        <v>805</v>
      </c>
      <c r="G20178" s="4">
        <f>IFERROR(__xludf.DUMMYFUNCTION("""COMPUTED_VALUE"""),16.0)</f>
        <v>16</v>
      </c>
      <c r="H20178" s="4"/>
      <c r="I20178" s="4"/>
    </row>
    <row r="20179">
      <c r="A20179" s="4" t="str">
        <f>IFERROR(__xludf.DUMMYFUNCTION("""COMPUTED_VALUE"""),"cas_hmw")</f>
        <v>cas_hmw</v>
      </c>
      <c r="B20179" s="5">
        <f>IFERROR(__xludf.DUMMYFUNCTION("""COMPUTED_VALUE"""),44781.0)</f>
        <v>44781</v>
      </c>
      <c r="C20179" s="6">
        <f>IFERROR(__xludf.DUMMYFUNCTION("""COMPUTED_VALUE"""),0.724189814813144)</f>
        <v>0.7241898148</v>
      </c>
      <c r="D20179" s="4">
        <f>IFERROR(__xludf.DUMMYFUNCTION("""COMPUTED_VALUE"""),13.006738)</f>
        <v>13.006738</v>
      </c>
      <c r="E20179" s="4">
        <f>IFERROR(__xludf.DUMMYFUNCTION("""COMPUTED_VALUE"""),80.240867)</f>
        <v>80.240867</v>
      </c>
      <c r="F20179" s="4">
        <f>IFERROR(__xludf.DUMMYFUNCTION("""COMPUTED_VALUE"""),805.0)</f>
        <v>805</v>
      </c>
      <c r="G20179" s="4">
        <f>IFERROR(__xludf.DUMMYFUNCTION("""COMPUTED_VALUE"""),16.0)</f>
        <v>16</v>
      </c>
      <c r="H20179" s="4"/>
      <c r="I20179" s="4"/>
    </row>
    <row r="20180">
      <c r="A20180" s="4" t="str">
        <f>IFERROR(__xludf.DUMMYFUNCTION("""COMPUTED_VALUE"""),"cas_hmw")</f>
        <v>cas_hmw</v>
      </c>
      <c r="B20180" s="5">
        <f>IFERROR(__xludf.DUMMYFUNCTION("""COMPUTED_VALUE"""),44781.0)</f>
        <v>44781</v>
      </c>
      <c r="C20180" s="6">
        <f>IFERROR(__xludf.DUMMYFUNCTION("""COMPUTED_VALUE"""),0.7242708333324117)</f>
        <v>0.7242708333</v>
      </c>
      <c r="D20180" s="4">
        <f>IFERROR(__xludf.DUMMYFUNCTION("""COMPUTED_VALUE"""),13.006666)</f>
        <v>13.006666</v>
      </c>
      <c r="E20180" s="4">
        <f>IFERROR(__xludf.DUMMYFUNCTION("""COMPUTED_VALUE"""),80.241824)</f>
        <v>80.241824</v>
      </c>
      <c r="F20180" s="4">
        <f>IFERROR(__xludf.DUMMYFUNCTION("""COMPUTED_VALUE"""),805.0)</f>
        <v>805</v>
      </c>
      <c r="G20180" s="4">
        <f>IFERROR(__xludf.DUMMYFUNCTION("""COMPUTED_VALUE"""),22.0)</f>
        <v>22</v>
      </c>
      <c r="H20180" s="4"/>
      <c r="I20180" s="4"/>
    </row>
    <row r="20181">
      <c r="A20181" s="4" t="str">
        <f>IFERROR(__xludf.DUMMYFUNCTION("""COMPUTED_VALUE"""),"cas_hmw")</f>
        <v>cas_hmw</v>
      </c>
      <c r="B20181" s="5">
        <f>IFERROR(__xludf.DUMMYFUNCTION("""COMPUTED_VALUE"""),44781.0)</f>
        <v>44781</v>
      </c>
      <c r="C20181" s="6">
        <f>IFERROR(__xludf.DUMMYFUNCTION("""COMPUTED_VALUE"""),0.7260069444455439)</f>
        <v>0.7260069444</v>
      </c>
      <c r="D20181" s="4">
        <f>IFERROR(__xludf.DUMMYFUNCTION("""COMPUTED_VALUE"""),13.026296)</f>
        <v>13.026296</v>
      </c>
      <c r="E20181" s="4">
        <f>IFERROR(__xludf.DUMMYFUNCTION("""COMPUTED_VALUE"""),80.232222)</f>
        <v>80.232222</v>
      </c>
      <c r="F20181" s="4">
        <f>IFERROR(__xludf.DUMMYFUNCTION("""COMPUTED_VALUE"""),5339.0)</f>
        <v>5339</v>
      </c>
      <c r="G20181" s="4">
        <f>IFERROR(__xludf.DUMMYFUNCTION("""COMPUTED_VALUE"""),0.0)</f>
        <v>0</v>
      </c>
      <c r="H20181" s="4"/>
      <c r="I20181" s="4"/>
    </row>
    <row r="20182">
      <c r="A20182" s="4" t="str">
        <f>IFERROR(__xludf.DUMMYFUNCTION("""COMPUTED_VALUE"""),"cas_hmw")</f>
        <v>cas_hmw</v>
      </c>
      <c r="B20182" s="5">
        <f>IFERROR(__xludf.DUMMYFUNCTION("""COMPUTED_VALUE"""),44781.0)</f>
        <v>44781</v>
      </c>
      <c r="C20182" s="6">
        <f>IFERROR(__xludf.DUMMYFUNCTION("""COMPUTED_VALUE"""),0.7260069444455439)</f>
        <v>0.7260069444</v>
      </c>
      <c r="D20182" s="4">
        <f>IFERROR(__xludf.DUMMYFUNCTION("""COMPUTED_VALUE"""),13.026296)</f>
        <v>13.026296</v>
      </c>
      <c r="E20182" s="4">
        <f>IFERROR(__xludf.DUMMYFUNCTION("""COMPUTED_VALUE"""),80.232222)</f>
        <v>80.232222</v>
      </c>
      <c r="F20182" s="4">
        <f>IFERROR(__xludf.DUMMYFUNCTION("""COMPUTED_VALUE"""),5339.0)</f>
        <v>5339</v>
      </c>
      <c r="G20182" s="4">
        <f>IFERROR(__xludf.DUMMYFUNCTION("""COMPUTED_VALUE"""),0.0)</f>
        <v>0</v>
      </c>
      <c r="H20182" s="4"/>
      <c r="I20182" s="4"/>
    </row>
    <row r="20183">
      <c r="A20183" s="4" t="str">
        <f>IFERROR(__xludf.DUMMYFUNCTION("""COMPUTED_VALUE"""),"cas_hmw")</f>
        <v>cas_hmw</v>
      </c>
      <c r="B20183" s="5">
        <f>IFERROR(__xludf.DUMMYFUNCTION("""COMPUTED_VALUE"""),44781.0)</f>
        <v>44781</v>
      </c>
      <c r="C20183" s="6">
        <f>IFERROR(__xludf.DUMMYFUNCTION("""COMPUTED_VALUE"""),0.7260185185186856)</f>
        <v>0.7260185185</v>
      </c>
      <c r="D20183" s="4">
        <f>IFERROR(__xludf.DUMMYFUNCTION("""COMPUTED_VALUE"""),13.026296)</f>
        <v>13.026296</v>
      </c>
      <c r="E20183" s="4">
        <f>IFERROR(__xludf.DUMMYFUNCTION("""COMPUTED_VALUE"""),80.232222)</f>
        <v>80.232222</v>
      </c>
      <c r="F20183" s="4">
        <f>IFERROR(__xludf.DUMMYFUNCTION("""COMPUTED_VALUE"""),5339.0)</f>
        <v>5339</v>
      </c>
      <c r="G20183" s="4">
        <f>IFERROR(__xludf.DUMMYFUNCTION("""COMPUTED_VALUE"""),0.0)</f>
        <v>0</v>
      </c>
      <c r="H20183" s="4"/>
      <c r="I20183" s="4"/>
    </row>
    <row r="20184">
      <c r="A20184" s="4" t="str">
        <f>IFERROR(__xludf.DUMMYFUNCTION("""COMPUTED_VALUE"""),"cas_hmw")</f>
        <v>cas_hmw</v>
      </c>
      <c r="B20184" s="5">
        <f>IFERROR(__xludf.DUMMYFUNCTION("""COMPUTED_VALUE"""),44781.0)</f>
        <v>44781</v>
      </c>
      <c r="C20184" s="6">
        <f>IFERROR(__xludf.DUMMYFUNCTION("""COMPUTED_VALUE"""),0.726249999999709)</f>
        <v>0.72625</v>
      </c>
      <c r="D20184" s="4">
        <f>IFERROR(__xludf.DUMMYFUNCTION("""COMPUTED_VALUE"""),13.006772)</f>
        <v>13.006772</v>
      </c>
      <c r="E20184" s="4">
        <f>IFERROR(__xludf.DUMMYFUNCTION("""COMPUTED_VALUE"""),80.247692)</f>
        <v>80.247692</v>
      </c>
      <c r="F20184" s="4">
        <f>IFERROR(__xludf.DUMMYFUNCTION("""COMPUTED_VALUE"""),805.0)</f>
        <v>805</v>
      </c>
      <c r="G20184" s="4">
        <f>IFERROR(__xludf.DUMMYFUNCTION("""COMPUTED_VALUE"""),16.0)</f>
        <v>16</v>
      </c>
      <c r="H20184" s="4"/>
      <c r="I20184" s="4"/>
    </row>
    <row r="20185">
      <c r="A20185" s="4" t="str">
        <f>IFERROR(__xludf.DUMMYFUNCTION("""COMPUTED_VALUE"""),"cas_hmw")</f>
        <v>cas_hmw</v>
      </c>
      <c r="B20185" s="5">
        <f>IFERROR(__xludf.DUMMYFUNCTION("""COMPUTED_VALUE"""),44781.0)</f>
        <v>44781</v>
      </c>
      <c r="C20185" s="6">
        <f>IFERROR(__xludf.DUMMYFUNCTION("""COMPUTED_VALUE"""),0.7264467592576693)</f>
        <v>0.7264467593</v>
      </c>
      <c r="D20185" s="4">
        <f>IFERROR(__xludf.DUMMYFUNCTION("""COMPUTED_VALUE"""),13.02764)</f>
        <v>13.02764</v>
      </c>
      <c r="E20185" s="4">
        <f>IFERROR(__xludf.DUMMYFUNCTION("""COMPUTED_VALUE"""),80.234774)</f>
        <v>80.234774</v>
      </c>
      <c r="F20185" s="4">
        <f>IFERROR(__xludf.DUMMYFUNCTION("""COMPUTED_VALUE"""),5339.0)</f>
        <v>5339</v>
      </c>
      <c r="G20185" s="4">
        <f>IFERROR(__xludf.DUMMYFUNCTION("""COMPUTED_VALUE"""),24.0)</f>
        <v>24</v>
      </c>
      <c r="H20185" s="4"/>
      <c r="I20185" s="4"/>
    </row>
    <row r="20186">
      <c r="A20186" s="4" t="str">
        <f>IFERROR(__xludf.DUMMYFUNCTION("""COMPUTED_VALUE"""),"cas_hmw")</f>
        <v>cas_hmw</v>
      </c>
      <c r="B20186" s="5">
        <f>IFERROR(__xludf.DUMMYFUNCTION("""COMPUTED_VALUE"""),44781.0)</f>
        <v>44781</v>
      </c>
      <c r="C20186" s="6">
        <f>IFERROR(__xludf.DUMMYFUNCTION("""COMPUTED_VALUE"""),0.726458333334449)</f>
        <v>0.7264583333</v>
      </c>
      <c r="D20186" s="4">
        <f>IFERROR(__xludf.DUMMYFUNCTION("""COMPUTED_VALUE"""),13.02764)</f>
        <v>13.02764</v>
      </c>
      <c r="E20186" s="4">
        <f>IFERROR(__xludf.DUMMYFUNCTION("""COMPUTED_VALUE"""),80.234774)</f>
        <v>80.234774</v>
      </c>
      <c r="F20186" s="4">
        <f>IFERROR(__xludf.DUMMYFUNCTION("""COMPUTED_VALUE"""),5339.0)</f>
        <v>5339</v>
      </c>
      <c r="G20186" s="4">
        <f>IFERROR(__xludf.DUMMYFUNCTION("""COMPUTED_VALUE"""),24.0)</f>
        <v>24</v>
      </c>
      <c r="H20186" s="4"/>
      <c r="I20186" s="4"/>
    </row>
    <row r="20187">
      <c r="A20187" s="4" t="str">
        <f>IFERROR(__xludf.DUMMYFUNCTION("""COMPUTED_VALUE"""),"cas_hmw")</f>
        <v>cas_hmw</v>
      </c>
      <c r="B20187" s="5">
        <f>IFERROR(__xludf.DUMMYFUNCTION("""COMPUTED_VALUE"""),44781.0)</f>
        <v>44781</v>
      </c>
      <c r="C20187" s="6">
        <f>IFERROR(__xludf.DUMMYFUNCTION("""COMPUTED_VALUE"""),0.7272222222236451)</f>
        <v>0.7272222222</v>
      </c>
      <c r="D20187" s="4">
        <f>IFERROR(__xludf.DUMMYFUNCTION("""COMPUTED_VALUE"""),13.006864)</f>
        <v>13.006864</v>
      </c>
      <c r="E20187" s="4">
        <f>IFERROR(__xludf.DUMMYFUNCTION("""COMPUTED_VALUE"""),80.251404)</f>
        <v>80.251404</v>
      </c>
      <c r="F20187" s="4">
        <f>IFERROR(__xludf.DUMMYFUNCTION("""COMPUTED_VALUE"""),805.0)</f>
        <v>805</v>
      </c>
      <c r="G20187" s="4">
        <f>IFERROR(__xludf.DUMMYFUNCTION("""COMPUTED_VALUE"""),0.0)</f>
        <v>0</v>
      </c>
      <c r="H20187" s="4"/>
      <c r="I20187" s="4"/>
    </row>
    <row r="20188">
      <c r="A20188" s="4" t="str">
        <f>IFERROR(__xludf.DUMMYFUNCTION("""COMPUTED_VALUE"""),"cas_hmw")</f>
        <v>cas_hmw</v>
      </c>
      <c r="B20188" s="5">
        <f>IFERROR(__xludf.DUMMYFUNCTION("""COMPUTED_VALUE"""),44781.0)</f>
        <v>44781</v>
      </c>
      <c r="C20188" s="6">
        <f>IFERROR(__xludf.DUMMYFUNCTION("""COMPUTED_VALUE"""),0.7275347222239361)</f>
        <v>0.7275347222</v>
      </c>
      <c r="D20188" s="4">
        <f>IFERROR(__xludf.DUMMYFUNCTION("""COMPUTED_VALUE"""),13.006864)</f>
        <v>13.006864</v>
      </c>
      <c r="E20188" s="4">
        <f>IFERROR(__xludf.DUMMYFUNCTION("""COMPUTED_VALUE"""),80.251404)</f>
        <v>80.251404</v>
      </c>
      <c r="F20188" s="4">
        <f>IFERROR(__xludf.DUMMYFUNCTION("""COMPUTED_VALUE"""),805.0)</f>
        <v>805</v>
      </c>
      <c r="G20188" s="4">
        <f>IFERROR(__xludf.DUMMYFUNCTION("""COMPUTED_VALUE"""),0.0)</f>
        <v>0</v>
      </c>
      <c r="H20188" s="4"/>
      <c r="I20188" s="4"/>
    </row>
    <row r="20189">
      <c r="A20189" s="4" t="str">
        <f>IFERROR(__xludf.DUMMYFUNCTION("""COMPUTED_VALUE"""),"cas_hmw")</f>
        <v>cas_hmw</v>
      </c>
      <c r="B20189" s="5">
        <f>IFERROR(__xludf.DUMMYFUNCTION("""COMPUTED_VALUE"""),44781.0)</f>
        <v>44781</v>
      </c>
      <c r="C20189" s="6">
        <f>IFERROR(__xludf.DUMMYFUNCTION("""COMPUTED_VALUE"""),0.7277199074087548)</f>
        <v>0.7277199074</v>
      </c>
      <c r="D20189" s="4">
        <f>IFERROR(__xludf.DUMMYFUNCTION("""COMPUTED_VALUE"""),13.006629)</f>
        <v>13.006629</v>
      </c>
      <c r="E20189" s="4">
        <f>IFERROR(__xludf.DUMMYFUNCTION("""COMPUTED_VALUE"""),80.252414)</f>
        <v>80.252414</v>
      </c>
      <c r="F20189" s="4">
        <f>IFERROR(__xludf.DUMMYFUNCTION("""COMPUTED_VALUE"""),805.0)</f>
        <v>805</v>
      </c>
      <c r="G20189" s="4">
        <f>IFERROR(__xludf.DUMMYFUNCTION("""COMPUTED_VALUE"""),32.0)</f>
        <v>32</v>
      </c>
      <c r="H20189" s="4"/>
      <c r="I20189" s="4"/>
    </row>
    <row r="20190">
      <c r="A20190" s="4" t="str">
        <f>IFERROR(__xludf.DUMMYFUNCTION("""COMPUTED_VALUE"""),"cas_hmw")</f>
        <v>cas_hmw</v>
      </c>
      <c r="B20190" s="5">
        <f>IFERROR(__xludf.DUMMYFUNCTION("""COMPUTED_VALUE"""),44781.0)</f>
        <v>44781</v>
      </c>
      <c r="C20190" s="6">
        <f>IFERROR(__xludf.DUMMYFUNCTION("""COMPUTED_VALUE"""),0.7284375000017462)</f>
        <v>0.7284375</v>
      </c>
      <c r="D20190" s="4">
        <f>IFERROR(__xludf.DUMMYFUNCTION("""COMPUTED_VALUE"""),13.006659)</f>
        <v>13.006659</v>
      </c>
      <c r="E20190" s="4">
        <f>IFERROR(__xludf.DUMMYFUNCTION("""COMPUTED_VALUE"""),80.256791)</f>
        <v>80.256791</v>
      </c>
      <c r="F20190" s="4">
        <f>IFERROR(__xludf.DUMMYFUNCTION("""COMPUTED_VALUE"""),805.0)</f>
        <v>805</v>
      </c>
      <c r="G20190" s="4">
        <f>IFERROR(__xludf.DUMMYFUNCTION("""COMPUTED_VALUE"""),0.0)</f>
        <v>0</v>
      </c>
      <c r="H20190" s="4"/>
      <c r="I20190" s="4"/>
    </row>
    <row r="20191">
      <c r="A20191" s="4" t="str">
        <f>IFERROR(__xludf.DUMMYFUNCTION("""COMPUTED_VALUE"""),"cas_hmw")</f>
        <v>cas_hmw</v>
      </c>
      <c r="B20191" s="5">
        <f>IFERROR(__xludf.DUMMYFUNCTION("""COMPUTED_VALUE"""),44781.0)</f>
        <v>44781</v>
      </c>
      <c r="C20191" s="6">
        <f>IFERROR(__xludf.DUMMYFUNCTION("""COMPUTED_VALUE"""),0.7285532407404389)</f>
        <v>0.7285532407</v>
      </c>
      <c r="D20191" s="4">
        <f>IFERROR(__xludf.DUMMYFUNCTION("""COMPUTED_VALUE"""),13.006659)</f>
        <v>13.006659</v>
      </c>
      <c r="E20191" s="4">
        <f>IFERROR(__xludf.DUMMYFUNCTION("""COMPUTED_VALUE"""),80.256791)</f>
        <v>80.256791</v>
      </c>
      <c r="F20191" s="4">
        <f>IFERROR(__xludf.DUMMYFUNCTION("""COMPUTED_VALUE"""),805.0)</f>
        <v>805</v>
      </c>
      <c r="G20191" s="4">
        <f>IFERROR(__xludf.DUMMYFUNCTION("""COMPUTED_VALUE"""),0.0)</f>
        <v>0</v>
      </c>
      <c r="H20191" s="4"/>
      <c r="I20191" s="4"/>
    </row>
    <row r="20192">
      <c r="A20192" s="4" t="str">
        <f>IFERROR(__xludf.DUMMYFUNCTION("""COMPUTED_VALUE"""),"cas_hmw")</f>
        <v>cas_hmw</v>
      </c>
      <c r="B20192" s="5">
        <f>IFERROR(__xludf.DUMMYFUNCTION("""COMPUTED_VALUE"""),44781.0)</f>
        <v>44781</v>
      </c>
      <c r="C20192" s="6">
        <f>IFERROR(__xludf.DUMMYFUNCTION("""COMPUTED_VALUE"""),0.7285532407404389)</f>
        <v>0.7285532407</v>
      </c>
      <c r="D20192" s="4">
        <f>IFERROR(__xludf.DUMMYFUNCTION("""COMPUTED_VALUE"""),13.006659)</f>
        <v>13.006659</v>
      </c>
      <c r="E20192" s="4">
        <f>IFERROR(__xludf.DUMMYFUNCTION("""COMPUTED_VALUE"""),80.256791)</f>
        <v>80.256791</v>
      </c>
      <c r="F20192" s="4">
        <f>IFERROR(__xludf.DUMMYFUNCTION("""COMPUTED_VALUE"""),805.0)</f>
        <v>805</v>
      </c>
      <c r="G20192" s="4">
        <f>IFERROR(__xludf.DUMMYFUNCTION("""COMPUTED_VALUE"""),0.0)</f>
        <v>0</v>
      </c>
      <c r="H20192" s="4"/>
      <c r="I20192" s="4"/>
    </row>
    <row r="20193">
      <c r="A20193" s="4" t="str">
        <f>IFERROR(__xludf.DUMMYFUNCTION("""COMPUTED_VALUE"""),"cas_hmw")</f>
        <v>cas_hmw</v>
      </c>
      <c r="B20193" s="5">
        <f>IFERROR(__xludf.DUMMYFUNCTION("""COMPUTED_VALUE"""),44781.0)</f>
        <v>44781</v>
      </c>
      <c r="C20193" s="6">
        <f>IFERROR(__xludf.DUMMYFUNCTION("""COMPUTED_VALUE"""),0.7285763888903602)</f>
        <v>0.7285763889</v>
      </c>
      <c r="D20193" s="4">
        <f>IFERROR(__xludf.DUMMYFUNCTION("""COMPUTED_VALUE"""),13.006659)</f>
        <v>13.006659</v>
      </c>
      <c r="E20193" s="4">
        <f>IFERROR(__xludf.DUMMYFUNCTION("""COMPUTED_VALUE"""),80.256791)</f>
        <v>80.256791</v>
      </c>
      <c r="F20193" s="4">
        <f>IFERROR(__xludf.DUMMYFUNCTION("""COMPUTED_VALUE"""),805.0)</f>
        <v>805</v>
      </c>
      <c r="G20193" s="4">
        <f>IFERROR(__xludf.DUMMYFUNCTION("""COMPUTED_VALUE"""),0.0)</f>
        <v>0</v>
      </c>
      <c r="H20193" s="4"/>
      <c r="I20193" s="4"/>
    </row>
    <row r="20194">
      <c r="A20194" s="4" t="str">
        <f>IFERROR(__xludf.DUMMYFUNCTION("""COMPUTED_VALUE"""),"cas_hmw")</f>
        <v>cas_hmw</v>
      </c>
      <c r="B20194" s="5">
        <f>IFERROR(__xludf.DUMMYFUNCTION("""COMPUTED_VALUE"""),44781.0)</f>
        <v>44781</v>
      </c>
      <c r="C20194" s="6">
        <f>IFERROR(__xludf.DUMMYFUNCTION("""COMPUTED_VALUE"""),0.7285763888903602)</f>
        <v>0.7285763889</v>
      </c>
      <c r="D20194" s="4">
        <f>IFERROR(__xludf.DUMMYFUNCTION("""COMPUTED_VALUE"""),13.006659)</f>
        <v>13.006659</v>
      </c>
      <c r="E20194" s="4">
        <f>IFERROR(__xludf.DUMMYFUNCTION("""COMPUTED_VALUE"""),80.256791)</f>
        <v>80.256791</v>
      </c>
      <c r="F20194" s="4">
        <f>IFERROR(__xludf.DUMMYFUNCTION("""COMPUTED_VALUE"""),805.0)</f>
        <v>805</v>
      </c>
      <c r="G20194" s="4">
        <f>IFERROR(__xludf.DUMMYFUNCTION("""COMPUTED_VALUE"""),0.0)</f>
        <v>0</v>
      </c>
      <c r="H20194" s="4"/>
      <c r="I20194" s="4"/>
    </row>
    <row r="20195">
      <c r="A20195" s="4" t="str">
        <f>IFERROR(__xludf.DUMMYFUNCTION("""COMPUTED_VALUE"""),"cas_hmw")</f>
        <v>cas_hmw</v>
      </c>
      <c r="B20195" s="5">
        <f>IFERROR(__xludf.DUMMYFUNCTION("""COMPUTED_VALUE"""),44781.0)</f>
        <v>44781</v>
      </c>
      <c r="C20195" s="6">
        <f>IFERROR(__xludf.DUMMYFUNCTION("""COMPUTED_VALUE"""),0.7288078703713836)</f>
        <v>0.7288078704</v>
      </c>
      <c r="D20195" s="4">
        <f>IFERROR(__xludf.DUMMYFUNCTION("""COMPUTED_VALUE"""),13.031514)</f>
        <v>13.031514</v>
      </c>
      <c r="E20195" s="4">
        <f>IFERROR(__xludf.DUMMYFUNCTION("""COMPUTED_VALUE"""),80.240596)</f>
        <v>80.240596</v>
      </c>
      <c r="F20195" s="4">
        <f>IFERROR(__xludf.DUMMYFUNCTION("""COMPUTED_VALUE"""),5339.0)</f>
        <v>5339</v>
      </c>
      <c r="G20195" s="4">
        <f>IFERROR(__xludf.DUMMYFUNCTION("""COMPUTED_VALUE"""),35.0)</f>
        <v>35</v>
      </c>
      <c r="H20195" s="4"/>
      <c r="I20195" s="4"/>
    </row>
    <row r="20196">
      <c r="A20196" s="4" t="str">
        <f>IFERROR(__xludf.DUMMYFUNCTION("""COMPUTED_VALUE"""),"cas_hmw")</f>
        <v>cas_hmw</v>
      </c>
      <c r="B20196" s="5">
        <f>IFERROR(__xludf.DUMMYFUNCTION("""COMPUTED_VALUE"""),44781.0)</f>
        <v>44781</v>
      </c>
      <c r="C20196" s="6">
        <f>IFERROR(__xludf.DUMMYFUNCTION("""COMPUTED_VALUE"""),0.7299189814802958)</f>
        <v>0.7299189815</v>
      </c>
      <c r="D20196" s="4">
        <f>IFERROR(__xludf.DUMMYFUNCTION("""COMPUTED_VALUE"""),13.01014)</f>
        <v>13.01014</v>
      </c>
      <c r="E20196" s="4">
        <f>IFERROR(__xludf.DUMMYFUNCTION("""COMPUTED_VALUE"""),80.259089)</f>
        <v>80.259089</v>
      </c>
      <c r="F20196" s="4">
        <f>IFERROR(__xludf.DUMMYFUNCTION("""COMPUTED_VALUE"""),805.0)</f>
        <v>805</v>
      </c>
      <c r="G20196" s="4">
        <f>IFERROR(__xludf.DUMMYFUNCTION("""COMPUTED_VALUE"""),42.0)</f>
        <v>42</v>
      </c>
      <c r="H20196" s="4"/>
      <c r="I20196" s="4"/>
    </row>
    <row r="20197">
      <c r="A20197" s="4" t="str">
        <f>IFERROR(__xludf.DUMMYFUNCTION("""COMPUTED_VALUE"""),"cas_hmw")</f>
        <v>cas_hmw</v>
      </c>
      <c r="B20197" s="5">
        <f>IFERROR(__xludf.DUMMYFUNCTION("""COMPUTED_VALUE"""),44781.0)</f>
        <v>44781</v>
      </c>
      <c r="C20197" s="6">
        <f>IFERROR(__xludf.DUMMYFUNCTION("""COMPUTED_VALUE"""),0.7304166666654055)</f>
        <v>0.7304166667</v>
      </c>
      <c r="D20197" s="4">
        <f>IFERROR(__xludf.DUMMYFUNCTION("""COMPUTED_VALUE"""),13.015972)</f>
        <v>13.015972</v>
      </c>
      <c r="E20197" s="4">
        <f>IFERROR(__xludf.DUMMYFUNCTION("""COMPUTED_VALUE"""),80.259482)</f>
        <v>80.259482</v>
      </c>
      <c r="F20197" s="4">
        <f>IFERROR(__xludf.DUMMYFUNCTION("""COMPUTED_VALUE"""),805.0)</f>
        <v>805</v>
      </c>
      <c r="G20197" s="4">
        <f>IFERROR(__xludf.DUMMYFUNCTION("""COMPUTED_VALUE"""),20.0)</f>
        <v>20</v>
      </c>
      <c r="H20197" s="4"/>
      <c r="I20197" s="4"/>
    </row>
    <row r="20198">
      <c r="A20198" s="4" t="str">
        <f>IFERROR(__xludf.DUMMYFUNCTION("""COMPUTED_VALUE"""),"cas_hmw")</f>
        <v>cas_hmw</v>
      </c>
      <c r="B20198" s="5">
        <f>IFERROR(__xludf.DUMMYFUNCTION("""COMPUTED_VALUE"""),44781.0)</f>
        <v>44781</v>
      </c>
      <c r="C20198" s="6">
        <f>IFERROR(__xludf.DUMMYFUNCTION("""COMPUTED_VALUE"""),0.7318865740744513)</f>
        <v>0.7318865741</v>
      </c>
      <c r="D20198" s="4">
        <f>IFERROR(__xludf.DUMMYFUNCTION("""COMPUTED_VALUE"""),13.020734)</f>
        <v>13.020734</v>
      </c>
      <c r="E20198" s="4">
        <f>IFERROR(__xludf.DUMMYFUNCTION("""COMPUTED_VALUE"""),80.262813)</f>
        <v>80.262813</v>
      </c>
      <c r="F20198" s="4">
        <f>IFERROR(__xludf.DUMMYFUNCTION("""COMPUTED_VALUE"""),805.0)</f>
        <v>805</v>
      </c>
      <c r="G20198" s="4">
        <f>IFERROR(__xludf.DUMMYFUNCTION("""COMPUTED_VALUE"""),23.0)</f>
        <v>23</v>
      </c>
      <c r="H20198" s="4"/>
      <c r="I20198" s="4"/>
    </row>
    <row r="20199">
      <c r="A20199" s="4" t="str">
        <f>IFERROR(__xludf.DUMMYFUNCTION("""COMPUTED_VALUE"""),"cas_hmw")</f>
        <v>cas_hmw</v>
      </c>
      <c r="B20199" s="5">
        <f>IFERROR(__xludf.DUMMYFUNCTION("""COMPUTED_VALUE"""),44781.0)</f>
        <v>44781</v>
      </c>
      <c r="C20199" s="6">
        <f>IFERROR(__xludf.DUMMYFUNCTION("""COMPUTED_VALUE"""),0.7319907407400024)</f>
        <v>0.7319907407</v>
      </c>
      <c r="D20199" s="4">
        <f>IFERROR(__xludf.DUMMYFUNCTION("""COMPUTED_VALUE"""),13.021515)</f>
        <v>13.021515</v>
      </c>
      <c r="E20199" s="4">
        <f>IFERROR(__xludf.DUMMYFUNCTION("""COMPUTED_VALUE"""),80.263049)</f>
        <v>80.263049</v>
      </c>
      <c r="F20199" s="4">
        <f>IFERROR(__xludf.DUMMYFUNCTION("""COMPUTED_VALUE"""),805.0)</f>
        <v>805</v>
      </c>
      <c r="G20199" s="4">
        <f>IFERROR(__xludf.DUMMYFUNCTION("""COMPUTED_VALUE"""),19.0)</f>
        <v>19</v>
      </c>
      <c r="H20199" s="4"/>
      <c r="I20199" s="4"/>
    </row>
    <row r="20200">
      <c r="A20200" s="4" t="str">
        <f>IFERROR(__xludf.DUMMYFUNCTION("""COMPUTED_VALUE"""),"cas_hmw")</f>
        <v>cas_hmw</v>
      </c>
      <c r="B20200" s="5">
        <f>IFERROR(__xludf.DUMMYFUNCTION("""COMPUTED_VALUE"""),44781.0)</f>
        <v>44781</v>
      </c>
      <c r="C20200" s="6">
        <f>IFERROR(__xludf.DUMMYFUNCTION("""COMPUTED_VALUE"""),0.7322222222210257)</f>
        <v>0.7322222222</v>
      </c>
      <c r="D20200" s="4">
        <f>IFERROR(__xludf.DUMMYFUNCTION("""COMPUTED_VALUE"""),13.0227)</f>
        <v>13.0227</v>
      </c>
      <c r="E20200" s="4">
        <f>IFERROR(__xludf.DUMMYFUNCTION("""COMPUTED_VALUE"""),80.26364)</f>
        <v>80.26364</v>
      </c>
      <c r="F20200" s="4">
        <f>IFERROR(__xludf.DUMMYFUNCTION("""COMPUTED_VALUE"""),805.0)</f>
        <v>805</v>
      </c>
      <c r="G20200" s="4">
        <f>IFERROR(__xludf.DUMMYFUNCTION("""COMPUTED_VALUE"""),35.0)</f>
        <v>35</v>
      </c>
      <c r="H20200" s="4"/>
      <c r="I20200" s="4"/>
    </row>
    <row r="20201">
      <c r="A20201" s="4" t="str">
        <f>IFERROR(__xludf.DUMMYFUNCTION("""COMPUTED_VALUE"""),"cas_hmw")</f>
        <v>cas_hmw</v>
      </c>
      <c r="B20201" s="5">
        <f>IFERROR(__xludf.DUMMYFUNCTION("""COMPUTED_VALUE"""),44781.0)</f>
        <v>44781</v>
      </c>
      <c r="C20201" s="6">
        <f>IFERROR(__xludf.DUMMYFUNCTION("""COMPUTED_VALUE"""),0.7331944444449618)</f>
        <v>0.7331944444</v>
      </c>
      <c r="D20201" s="4">
        <f>IFERROR(__xludf.DUMMYFUNCTION("""COMPUTED_VALUE"""),12.975823)</f>
        <v>12.975823</v>
      </c>
      <c r="E20201" s="4">
        <f>IFERROR(__xludf.DUMMYFUNCTION("""COMPUTED_VALUE"""),80.132654)</f>
        <v>80.132654</v>
      </c>
      <c r="F20201" s="4">
        <f>IFERROR(__xludf.DUMMYFUNCTION("""COMPUTED_VALUE"""),3143.0)</f>
        <v>3143</v>
      </c>
      <c r="G20201" s="4">
        <f>IFERROR(__xludf.DUMMYFUNCTION("""COMPUTED_VALUE"""),26.0)</f>
        <v>26</v>
      </c>
      <c r="H20201" s="4"/>
      <c r="I20201" s="4"/>
    </row>
    <row r="20202">
      <c r="A20202" s="4" t="str">
        <f>IFERROR(__xludf.DUMMYFUNCTION("""COMPUTED_VALUE"""),"cas_hmw")</f>
        <v>cas_hmw</v>
      </c>
      <c r="B20202" s="5">
        <f>IFERROR(__xludf.DUMMYFUNCTION("""COMPUTED_VALUE"""),44781.0)</f>
        <v>44781</v>
      </c>
      <c r="C20202" s="6">
        <f>IFERROR(__xludf.DUMMYFUNCTION("""COMPUTED_VALUE"""),0.7339120370379533)</f>
        <v>0.733912037</v>
      </c>
      <c r="D20202" s="4">
        <f>IFERROR(__xludf.DUMMYFUNCTION("""COMPUTED_VALUE"""),12.606591)</f>
        <v>12.606591</v>
      </c>
      <c r="E20202" s="4">
        <f>IFERROR(__xludf.DUMMYFUNCTION("""COMPUTED_VALUE"""),79.921116)</f>
        <v>79.921116</v>
      </c>
      <c r="F20202" s="4">
        <f>IFERROR(__xludf.DUMMYFUNCTION("""COMPUTED_VALUE"""),2846.0)</f>
        <v>2846</v>
      </c>
      <c r="G20202" s="4">
        <f>IFERROR(__xludf.DUMMYFUNCTION("""COMPUTED_VALUE"""),54.0)</f>
        <v>54</v>
      </c>
      <c r="H20202" s="4"/>
      <c r="I20202" s="4"/>
    </row>
    <row r="20203">
      <c r="A20203" s="4" t="str">
        <f>IFERROR(__xludf.DUMMYFUNCTION("""COMPUTED_VALUE"""),"cas_hmw")</f>
        <v>cas_hmw</v>
      </c>
      <c r="B20203" s="5">
        <f>IFERROR(__xludf.DUMMYFUNCTION("""COMPUTED_VALUE"""),44781.0)</f>
        <v>44781</v>
      </c>
      <c r="C20203" s="6">
        <f>IFERROR(__xludf.DUMMYFUNCTION("""COMPUTED_VALUE"""),0.7345370370385353)</f>
        <v>0.734537037</v>
      </c>
      <c r="D20203" s="4">
        <f>IFERROR(__xludf.DUMMYFUNCTION("""COMPUTED_VALUE"""),13.049211)</f>
        <v>13.049211</v>
      </c>
      <c r="E20203" s="4">
        <f>IFERROR(__xludf.DUMMYFUNCTION("""COMPUTED_VALUE"""),80.24974)</f>
        <v>80.24974</v>
      </c>
      <c r="F20203" s="4">
        <f>IFERROR(__xludf.DUMMYFUNCTION("""COMPUTED_VALUE"""),5339.0)</f>
        <v>5339</v>
      </c>
      <c r="G20203" s="4">
        <f>IFERROR(__xludf.DUMMYFUNCTION("""COMPUTED_VALUE"""),42.0)</f>
        <v>42</v>
      </c>
      <c r="H20203" s="4"/>
      <c r="I20203" s="4"/>
    </row>
    <row r="20204">
      <c r="A20204" s="4" t="str">
        <f>IFERROR(__xludf.DUMMYFUNCTION("""COMPUTED_VALUE"""),"cas_hmw")</f>
        <v>cas_hmw</v>
      </c>
      <c r="B20204" s="5">
        <f>IFERROR(__xludf.DUMMYFUNCTION("""COMPUTED_VALUE"""),44781.0)</f>
        <v>44781</v>
      </c>
      <c r="C20204" s="6">
        <f>IFERROR(__xludf.DUMMYFUNCTION("""COMPUTED_VALUE"""),0.7345949074078817)</f>
        <v>0.7345949074</v>
      </c>
      <c r="D20204" s="4">
        <f>IFERROR(__xludf.DUMMYFUNCTION("""COMPUTED_VALUE"""),13.051972)</f>
        <v>13.051972</v>
      </c>
      <c r="E20204" s="4">
        <f>IFERROR(__xludf.DUMMYFUNCTION("""COMPUTED_VALUE"""),80.250567)</f>
        <v>80.250567</v>
      </c>
      <c r="F20204" s="4">
        <f>IFERROR(__xludf.DUMMYFUNCTION("""COMPUTED_VALUE"""),5339.0)</f>
        <v>5339</v>
      </c>
      <c r="G20204" s="4">
        <f>IFERROR(__xludf.DUMMYFUNCTION("""COMPUTED_VALUE"""),35.0)</f>
        <v>35</v>
      </c>
      <c r="H20204" s="4"/>
      <c r="I20204" s="4"/>
    </row>
    <row r="20205">
      <c r="A20205" s="4" t="str">
        <f>IFERROR(__xludf.DUMMYFUNCTION("""COMPUTED_VALUE"""),"cas_hmw")</f>
        <v>cas_hmw</v>
      </c>
      <c r="B20205" s="5">
        <f>IFERROR(__xludf.DUMMYFUNCTION("""COMPUTED_VALUE"""),44781.0)</f>
        <v>44781</v>
      </c>
      <c r="C20205" s="6">
        <f>IFERROR(__xludf.DUMMYFUNCTION("""COMPUTED_VALUE"""),0.7346064814810234)</f>
        <v>0.7346064815</v>
      </c>
      <c r="D20205" s="4">
        <f>IFERROR(__xludf.DUMMYFUNCTION("""COMPUTED_VALUE"""),13.051972)</f>
        <v>13.051972</v>
      </c>
      <c r="E20205" s="4">
        <f>IFERROR(__xludf.DUMMYFUNCTION("""COMPUTED_VALUE"""),80.250567)</f>
        <v>80.250567</v>
      </c>
      <c r="F20205" s="4">
        <f>IFERROR(__xludf.DUMMYFUNCTION("""COMPUTED_VALUE"""),5339.0)</f>
        <v>5339</v>
      </c>
      <c r="G20205" s="4">
        <f>IFERROR(__xludf.DUMMYFUNCTION("""COMPUTED_VALUE"""),35.0)</f>
        <v>35</v>
      </c>
      <c r="H20205" s="4"/>
      <c r="I20205" s="4"/>
    </row>
    <row r="20206">
      <c r="A20206" s="4" t="str">
        <f>IFERROR(__xludf.DUMMYFUNCTION("""COMPUTED_VALUE"""),"cas_hmw")</f>
        <v>cas_hmw</v>
      </c>
      <c r="B20206" s="5">
        <f>IFERROR(__xludf.DUMMYFUNCTION("""COMPUTED_VALUE"""),44781.0)</f>
        <v>44781</v>
      </c>
      <c r="C20206" s="6">
        <f>IFERROR(__xludf.DUMMYFUNCTION("""COMPUTED_VALUE"""),0.7351620370354794)</f>
        <v>0.735162037</v>
      </c>
      <c r="D20206" s="4">
        <f>IFERROR(__xludf.DUMMYFUNCTION("""COMPUTED_VALUE"""),13.054074)</f>
        <v>13.054074</v>
      </c>
      <c r="E20206" s="4">
        <f>IFERROR(__xludf.DUMMYFUNCTION("""COMPUTED_VALUE"""),80.253346)</f>
        <v>80.253346</v>
      </c>
      <c r="F20206" s="4">
        <f>IFERROR(__xludf.DUMMYFUNCTION("""COMPUTED_VALUE"""),5339.0)</f>
        <v>5339</v>
      </c>
      <c r="G20206" s="4">
        <f>IFERROR(__xludf.DUMMYFUNCTION("""COMPUTED_VALUE"""),32.0)</f>
        <v>32</v>
      </c>
      <c r="H20206" s="4"/>
      <c r="I20206" s="4"/>
    </row>
    <row r="20207">
      <c r="A20207" s="4" t="str">
        <f>IFERROR(__xludf.DUMMYFUNCTION("""COMPUTED_VALUE"""),"cas_hmw")</f>
        <v>cas_hmw</v>
      </c>
      <c r="B20207" s="5">
        <f>IFERROR(__xludf.DUMMYFUNCTION("""COMPUTED_VALUE"""),44781.0)</f>
        <v>44781</v>
      </c>
      <c r="C20207" s="6">
        <f>IFERROR(__xludf.DUMMYFUNCTION("""COMPUTED_VALUE"""),0.7360532407401479)</f>
        <v>0.7360532407</v>
      </c>
      <c r="D20207" s="4">
        <f>IFERROR(__xludf.DUMMYFUNCTION("""COMPUTED_VALUE"""),12.983179)</f>
        <v>12.983179</v>
      </c>
      <c r="E20207" s="4">
        <f>IFERROR(__xludf.DUMMYFUNCTION("""COMPUTED_VALUE"""),80.12767)</f>
        <v>80.12767</v>
      </c>
      <c r="F20207" s="4">
        <f>IFERROR(__xludf.DUMMYFUNCTION("""COMPUTED_VALUE"""),3143.0)</f>
        <v>3143</v>
      </c>
      <c r="G20207" s="4">
        <f>IFERROR(__xludf.DUMMYFUNCTION("""COMPUTED_VALUE"""),19.0)</f>
        <v>19</v>
      </c>
      <c r="H20207" s="4"/>
      <c r="I20207" s="4"/>
    </row>
    <row r="20208">
      <c r="A20208" s="4" t="str">
        <f>IFERROR(__xludf.DUMMYFUNCTION("""COMPUTED_VALUE"""),"cas_hmw")</f>
        <v>cas_hmw</v>
      </c>
      <c r="B20208" s="5">
        <f>IFERROR(__xludf.DUMMYFUNCTION("""COMPUTED_VALUE"""),44781.0)</f>
        <v>44781</v>
      </c>
      <c r="C20208" s="6">
        <f>IFERROR(__xludf.DUMMYFUNCTION("""COMPUTED_VALUE"""),0.7370023148141627)</f>
        <v>0.7370023148</v>
      </c>
      <c r="D20208" s="4">
        <f>IFERROR(__xludf.DUMMYFUNCTION("""COMPUTED_VALUE"""),12.984992)</f>
        <v>12.984992</v>
      </c>
      <c r="E20208" s="4">
        <f>IFERROR(__xludf.DUMMYFUNCTION("""COMPUTED_VALUE"""),80.123014)</f>
        <v>80.123014</v>
      </c>
      <c r="F20208" s="4">
        <f>IFERROR(__xludf.DUMMYFUNCTION("""COMPUTED_VALUE"""),3143.0)</f>
        <v>3143</v>
      </c>
      <c r="G20208" s="4">
        <f>IFERROR(__xludf.DUMMYFUNCTION("""COMPUTED_VALUE"""),27.0)</f>
        <v>27</v>
      </c>
      <c r="H20208" s="4"/>
      <c r="I20208" s="4"/>
    </row>
    <row r="20209">
      <c r="A20209" s="4" t="str">
        <f>IFERROR(__xludf.DUMMYFUNCTION("""COMPUTED_VALUE"""),"cas_hmw")</f>
        <v>cas_hmw</v>
      </c>
      <c r="B20209" s="5">
        <f>IFERROR(__xludf.DUMMYFUNCTION("""COMPUTED_VALUE"""),44781.0)</f>
        <v>44781</v>
      </c>
      <c r="C20209" s="6">
        <f>IFERROR(__xludf.DUMMYFUNCTION("""COMPUTED_VALUE"""),0.7373842592605797)</f>
        <v>0.7373842593</v>
      </c>
      <c r="D20209" s="4">
        <f>IFERROR(__xludf.DUMMYFUNCTION("""COMPUTED_VALUE"""),13.055747)</f>
        <v>13.055747</v>
      </c>
      <c r="E20209" s="4">
        <f>IFERROR(__xludf.DUMMYFUNCTION("""COMPUTED_VALUE"""),80.255666)</f>
        <v>80.255666</v>
      </c>
      <c r="F20209" s="4">
        <f>IFERROR(__xludf.DUMMYFUNCTION("""COMPUTED_VALUE"""),5339.0)</f>
        <v>5339</v>
      </c>
      <c r="G20209" s="4">
        <f>IFERROR(__xludf.DUMMYFUNCTION("""COMPUTED_VALUE"""),22.0)</f>
        <v>22</v>
      </c>
      <c r="H20209" s="4"/>
      <c r="I20209" s="4"/>
    </row>
    <row r="20210">
      <c r="A20210" s="4" t="str">
        <f>IFERROR(__xludf.DUMMYFUNCTION("""COMPUTED_VALUE"""),"cas_hmw")</f>
        <v>cas_hmw</v>
      </c>
      <c r="B20210" s="5">
        <f>IFERROR(__xludf.DUMMYFUNCTION("""COMPUTED_VALUE"""),44781.0)</f>
        <v>44781</v>
      </c>
      <c r="C20210" s="6">
        <f>IFERROR(__xludf.DUMMYFUNCTION("""COMPUTED_VALUE"""),0.7374999999992724)</f>
        <v>0.7375</v>
      </c>
      <c r="D20210" s="4">
        <f>IFERROR(__xludf.DUMMYFUNCTION("""COMPUTED_VALUE"""),12.98581)</f>
        <v>12.98581</v>
      </c>
      <c r="E20210" s="4">
        <f>IFERROR(__xludf.DUMMYFUNCTION("""COMPUTED_VALUE"""),80.120137)</f>
        <v>80.120137</v>
      </c>
      <c r="F20210" s="4">
        <f>IFERROR(__xludf.DUMMYFUNCTION("""COMPUTED_VALUE"""),3143.0)</f>
        <v>3143</v>
      </c>
      <c r="G20210" s="4">
        <f>IFERROR(__xludf.DUMMYFUNCTION("""COMPUTED_VALUE"""),30.0)</f>
        <v>30</v>
      </c>
      <c r="H20210" s="4"/>
      <c r="I20210" s="4"/>
    </row>
    <row r="20211">
      <c r="A20211" s="4" t="str">
        <f>IFERROR(__xludf.DUMMYFUNCTION("""COMPUTED_VALUE"""),"cas_hmw")</f>
        <v>cas_hmw</v>
      </c>
      <c r="B20211" s="5">
        <f>IFERROR(__xludf.DUMMYFUNCTION("""COMPUTED_VALUE"""),44781.0)</f>
        <v>44781</v>
      </c>
      <c r="C20211" s="6">
        <f>IFERROR(__xludf.DUMMYFUNCTION("""COMPUTED_VALUE"""),0.7375347222223354)</f>
        <v>0.7375347222</v>
      </c>
      <c r="D20211" s="4">
        <f>IFERROR(__xludf.DUMMYFUNCTION("""COMPUTED_VALUE"""),12.98581)</f>
        <v>12.98581</v>
      </c>
      <c r="E20211" s="4">
        <f>IFERROR(__xludf.DUMMYFUNCTION("""COMPUTED_VALUE"""),80.120137)</f>
        <v>80.120137</v>
      </c>
      <c r="F20211" s="4">
        <f>IFERROR(__xludf.DUMMYFUNCTION("""COMPUTED_VALUE"""),3143.0)</f>
        <v>3143</v>
      </c>
      <c r="G20211" s="4">
        <f>IFERROR(__xludf.DUMMYFUNCTION("""COMPUTED_VALUE"""),30.0)</f>
        <v>30</v>
      </c>
      <c r="H20211" s="4"/>
      <c r="I20211" s="4"/>
    </row>
    <row r="20212">
      <c r="A20212" s="4" t="str">
        <f>IFERROR(__xludf.DUMMYFUNCTION("""COMPUTED_VALUE"""),"cas_hmw")</f>
        <v>cas_hmw</v>
      </c>
      <c r="B20212" s="5">
        <f>IFERROR(__xludf.DUMMYFUNCTION("""COMPUTED_VALUE"""),44781.0)</f>
        <v>44781</v>
      </c>
      <c r="C20212" s="6">
        <f>IFERROR(__xludf.DUMMYFUNCTION("""COMPUTED_VALUE"""),0.7377083333340124)</f>
        <v>0.7377083333</v>
      </c>
      <c r="D20212" s="4">
        <f>IFERROR(__xludf.DUMMYFUNCTION("""COMPUTED_VALUE"""),12.986518)</f>
        <v>12.986518</v>
      </c>
      <c r="E20212" s="4">
        <f>IFERROR(__xludf.DUMMYFUNCTION("""COMPUTED_VALUE"""),80.119218)</f>
        <v>80.119218</v>
      </c>
      <c r="F20212" s="4">
        <f>IFERROR(__xludf.DUMMYFUNCTION("""COMPUTED_VALUE"""),3143.0)</f>
        <v>3143</v>
      </c>
      <c r="G20212" s="4">
        <f>IFERROR(__xludf.DUMMYFUNCTION("""COMPUTED_VALUE"""),10.0)</f>
        <v>10</v>
      </c>
      <c r="H20212" s="4"/>
      <c r="I20212" s="4"/>
    </row>
    <row r="20213">
      <c r="A20213" s="4" t="str">
        <f>IFERROR(__xludf.DUMMYFUNCTION("""COMPUTED_VALUE"""),"cas_hmw")</f>
        <v>cas_hmw</v>
      </c>
      <c r="B20213" s="5">
        <f>IFERROR(__xludf.DUMMYFUNCTION("""COMPUTED_VALUE"""),44781.0)</f>
        <v>44781</v>
      </c>
      <c r="C20213" s="6">
        <f>IFERROR(__xludf.DUMMYFUNCTION("""COMPUTED_VALUE"""),0.7379745370380988)</f>
        <v>0.737974537</v>
      </c>
      <c r="D20213" s="4">
        <f>IFERROR(__xludf.DUMMYFUNCTION("""COMPUTED_VALUE"""),12.987417)</f>
        <v>12.987417</v>
      </c>
      <c r="E20213" s="4">
        <f>IFERROR(__xludf.DUMMYFUNCTION("""COMPUTED_VALUE"""),80.118552)</f>
        <v>80.118552</v>
      </c>
      <c r="F20213" s="4">
        <f>IFERROR(__xludf.DUMMYFUNCTION("""COMPUTED_VALUE"""),3143.0)</f>
        <v>3143</v>
      </c>
      <c r="G20213" s="4">
        <f>IFERROR(__xludf.DUMMYFUNCTION("""COMPUTED_VALUE"""),35.0)</f>
        <v>35</v>
      </c>
      <c r="H20213" s="4"/>
      <c r="I20213" s="4"/>
    </row>
    <row r="20214">
      <c r="A20214" s="4" t="str">
        <f>IFERROR(__xludf.DUMMYFUNCTION("""COMPUTED_VALUE"""),"cas_hmw")</f>
        <v>cas_hmw</v>
      </c>
      <c r="B20214" s="5">
        <f>IFERROR(__xludf.DUMMYFUNCTION("""COMPUTED_VALUE"""),44781.0)</f>
        <v>44781</v>
      </c>
      <c r="C20214" s="6">
        <f>IFERROR(__xludf.DUMMYFUNCTION("""COMPUTED_VALUE"""),0.7380208333343035)</f>
        <v>0.7380208333</v>
      </c>
      <c r="D20214" s="4">
        <f>IFERROR(__xludf.DUMMYFUNCTION("""COMPUTED_VALUE"""),12.987417)</f>
        <v>12.987417</v>
      </c>
      <c r="E20214" s="4">
        <f>IFERROR(__xludf.DUMMYFUNCTION("""COMPUTED_VALUE"""),80.118552)</f>
        <v>80.118552</v>
      </c>
      <c r="F20214" s="4">
        <f>IFERROR(__xludf.DUMMYFUNCTION("""COMPUTED_VALUE"""),3143.0)</f>
        <v>3143</v>
      </c>
      <c r="G20214" s="4">
        <f>IFERROR(__xludf.DUMMYFUNCTION("""COMPUTED_VALUE"""),35.0)</f>
        <v>35</v>
      </c>
      <c r="H20214" s="4"/>
      <c r="I20214" s="4"/>
    </row>
    <row r="20215">
      <c r="A20215" s="4" t="str">
        <f>IFERROR(__xludf.DUMMYFUNCTION("""COMPUTED_VALUE"""),"cas_hmw")</f>
        <v>cas_hmw</v>
      </c>
      <c r="B20215" s="5">
        <f>IFERROR(__xludf.DUMMYFUNCTION("""COMPUTED_VALUE"""),44781.0)</f>
        <v>44781</v>
      </c>
      <c r="C20215" s="6">
        <f>IFERROR(__xludf.DUMMYFUNCTION("""COMPUTED_VALUE"""),0.7381018518535711)</f>
        <v>0.7381018519</v>
      </c>
      <c r="D20215" s="4">
        <f>IFERROR(__xludf.DUMMYFUNCTION("""COMPUTED_VALUE"""),12.988486)</f>
        <v>12.988486</v>
      </c>
      <c r="E20215" s="4">
        <f>IFERROR(__xludf.DUMMYFUNCTION("""COMPUTED_VALUE"""),80.117752)</f>
        <v>80.117752</v>
      </c>
      <c r="F20215" s="4">
        <f>IFERROR(__xludf.DUMMYFUNCTION("""COMPUTED_VALUE"""),3143.0)</f>
        <v>3143</v>
      </c>
      <c r="G20215" s="4">
        <f>IFERROR(__xludf.DUMMYFUNCTION("""COMPUTED_VALUE"""),33.0)</f>
        <v>33</v>
      </c>
      <c r="H20215" s="4"/>
      <c r="I20215" s="4"/>
    </row>
    <row r="20216">
      <c r="A20216" s="4" t="str">
        <f>IFERROR(__xludf.DUMMYFUNCTION("""COMPUTED_VALUE"""),"cas_hmw")</f>
        <v>cas_hmw</v>
      </c>
      <c r="B20216" s="5">
        <f>IFERROR(__xludf.DUMMYFUNCTION("""COMPUTED_VALUE"""),44781.0)</f>
        <v>44781</v>
      </c>
      <c r="C20216" s="6">
        <f>IFERROR(__xludf.DUMMYFUNCTION("""COMPUTED_VALUE"""),0.7385069444426335)</f>
        <v>0.7385069444</v>
      </c>
      <c r="D20216" s="4">
        <f>IFERROR(__xludf.DUMMYFUNCTION("""COMPUTED_VALUE"""),12.990569)</f>
        <v>12.990569</v>
      </c>
      <c r="E20216" s="4">
        <f>IFERROR(__xludf.DUMMYFUNCTION("""COMPUTED_VALUE"""),80.116263)</f>
        <v>80.116263</v>
      </c>
      <c r="F20216" s="4">
        <f>IFERROR(__xludf.DUMMYFUNCTION("""COMPUTED_VALUE"""),3143.0)</f>
        <v>3143</v>
      </c>
      <c r="G20216" s="4">
        <f>IFERROR(__xludf.DUMMYFUNCTION("""COMPUTED_VALUE"""),29.0)</f>
        <v>29</v>
      </c>
      <c r="H20216" s="4"/>
      <c r="I20216" s="4"/>
    </row>
    <row r="20217">
      <c r="A20217" s="4" t="str">
        <f>IFERROR(__xludf.DUMMYFUNCTION("""COMPUTED_VALUE"""),"cas_hmw")</f>
        <v>cas_hmw</v>
      </c>
      <c r="B20217" s="5">
        <f>IFERROR(__xludf.DUMMYFUNCTION("""COMPUTED_VALUE"""),44781.0)</f>
        <v>44781</v>
      </c>
      <c r="C20217" s="6">
        <f>IFERROR(__xludf.DUMMYFUNCTION("""COMPUTED_VALUE"""),0.7388425925928459)</f>
        <v>0.7388425926</v>
      </c>
      <c r="D20217" s="4">
        <f>IFERROR(__xludf.DUMMYFUNCTION("""COMPUTED_VALUE"""),12.992258)</f>
        <v>12.992258</v>
      </c>
      <c r="E20217" s="4">
        <f>IFERROR(__xludf.DUMMYFUNCTION("""COMPUTED_VALUE"""),80.114733)</f>
        <v>80.114733</v>
      </c>
      <c r="F20217" s="4">
        <f>IFERROR(__xludf.DUMMYFUNCTION("""COMPUTED_VALUE"""),3143.0)</f>
        <v>3143</v>
      </c>
      <c r="G20217" s="4">
        <f>IFERROR(__xludf.DUMMYFUNCTION("""COMPUTED_VALUE"""),27.0)</f>
        <v>27</v>
      </c>
      <c r="H20217" s="4"/>
      <c r="I20217" s="4"/>
    </row>
    <row r="20218">
      <c r="A20218" s="4" t="str">
        <f>IFERROR(__xludf.DUMMYFUNCTION("""COMPUTED_VALUE"""),"cas_hmw")</f>
        <v>cas_hmw</v>
      </c>
      <c r="B20218" s="5">
        <f>IFERROR(__xludf.DUMMYFUNCTION("""COMPUTED_VALUE"""),44781.0)</f>
        <v>44781</v>
      </c>
      <c r="C20218" s="6">
        <f>IFERROR(__xludf.DUMMYFUNCTION("""COMPUTED_VALUE"""),0.7399074074091914)</f>
        <v>0.7399074074</v>
      </c>
      <c r="D20218" s="4">
        <f>IFERROR(__xludf.DUMMYFUNCTION("""COMPUTED_VALUE"""),12.99601)</f>
        <v>12.99601</v>
      </c>
      <c r="E20218" s="4">
        <f>IFERROR(__xludf.DUMMYFUNCTION("""COMPUTED_VALUE"""),80.109558)</f>
        <v>80.109558</v>
      </c>
      <c r="F20218" s="4">
        <f>IFERROR(__xludf.DUMMYFUNCTION("""COMPUTED_VALUE"""),3143.0)</f>
        <v>3143</v>
      </c>
      <c r="G20218" s="4">
        <f>IFERROR(__xludf.DUMMYFUNCTION("""COMPUTED_VALUE"""),20.0)</f>
        <v>20</v>
      </c>
      <c r="H20218" s="4"/>
      <c r="I20218" s="4"/>
    </row>
    <row r="20219">
      <c r="A20219" s="4" t="str">
        <f>IFERROR(__xludf.DUMMYFUNCTION("""COMPUTED_VALUE"""),"cas_hmw")</f>
        <v>cas_hmw</v>
      </c>
      <c r="B20219" s="5">
        <f>IFERROR(__xludf.DUMMYFUNCTION("""COMPUTED_VALUE"""),44781.0)</f>
        <v>44781</v>
      </c>
      <c r="C20219" s="6">
        <f>IFERROR(__xludf.DUMMYFUNCTION("""COMPUTED_VALUE"""),0.7402893518519704)</f>
        <v>0.7402893519</v>
      </c>
      <c r="D20219" s="4">
        <f>IFERROR(__xludf.DUMMYFUNCTION("""COMPUTED_VALUE"""),12.996872)</f>
        <v>12.996872</v>
      </c>
      <c r="E20219" s="4">
        <f>IFERROR(__xludf.DUMMYFUNCTION("""COMPUTED_VALUE"""),80.107177)</f>
        <v>80.107177</v>
      </c>
      <c r="F20219" s="4">
        <f>IFERROR(__xludf.DUMMYFUNCTION("""COMPUTED_VALUE"""),3143.0)</f>
        <v>3143</v>
      </c>
      <c r="G20219" s="4">
        <f>IFERROR(__xludf.DUMMYFUNCTION("""COMPUTED_VALUE"""),40.0)</f>
        <v>40</v>
      </c>
      <c r="H20219" s="4"/>
      <c r="I20219" s="4"/>
    </row>
    <row r="20220">
      <c r="A20220" s="4" t="str">
        <f>IFERROR(__xludf.DUMMYFUNCTION("""COMPUTED_VALUE"""),"cas_hmw")</f>
        <v>cas_hmw</v>
      </c>
      <c r="B20220" s="5">
        <f>IFERROR(__xludf.DUMMYFUNCTION("""COMPUTED_VALUE"""),44781.0)</f>
        <v>44781</v>
      </c>
      <c r="C20220" s="6">
        <f>IFERROR(__xludf.DUMMYFUNCTION("""COMPUTED_VALUE"""),0.7409259259256942)</f>
        <v>0.7409259259</v>
      </c>
      <c r="D20220" s="4">
        <f>IFERROR(__xludf.DUMMYFUNCTION("""COMPUTED_VALUE"""),13.044476)</f>
        <v>13.044476</v>
      </c>
      <c r="E20220" s="4">
        <f>IFERROR(__xludf.DUMMYFUNCTION("""COMPUTED_VALUE"""),80.2668)</f>
        <v>80.2668</v>
      </c>
      <c r="F20220" s="4">
        <f>IFERROR(__xludf.DUMMYFUNCTION("""COMPUTED_VALUE"""),805.0)</f>
        <v>805</v>
      </c>
      <c r="G20220" s="4">
        <f>IFERROR(__xludf.DUMMYFUNCTION("""COMPUTED_VALUE"""),20.0)</f>
        <v>20</v>
      </c>
      <c r="H20220" s="4"/>
      <c r="I20220" s="4"/>
    </row>
    <row r="20221">
      <c r="A20221" s="4" t="str">
        <f>IFERROR(__xludf.DUMMYFUNCTION("""COMPUTED_VALUE"""),"cas_hmw")</f>
        <v>cas_hmw</v>
      </c>
      <c r="B20221" s="5">
        <f>IFERROR(__xludf.DUMMYFUNCTION("""COMPUTED_VALUE"""),44781.0)</f>
        <v>44781</v>
      </c>
      <c r="C20221" s="6">
        <f>IFERROR(__xludf.DUMMYFUNCTION("""COMPUTED_VALUE"""),0.7409259259256942)</f>
        <v>0.7409259259</v>
      </c>
      <c r="D20221" s="4">
        <f>IFERROR(__xludf.DUMMYFUNCTION("""COMPUTED_VALUE"""),13.044476)</f>
        <v>13.044476</v>
      </c>
      <c r="E20221" s="4">
        <f>IFERROR(__xludf.DUMMYFUNCTION("""COMPUTED_VALUE"""),80.2668)</f>
        <v>80.2668</v>
      </c>
      <c r="F20221" s="4">
        <f>IFERROR(__xludf.DUMMYFUNCTION("""COMPUTED_VALUE"""),805.0)</f>
        <v>805</v>
      </c>
      <c r="G20221" s="4">
        <f>IFERROR(__xludf.DUMMYFUNCTION("""COMPUTED_VALUE"""),20.0)</f>
        <v>20</v>
      </c>
      <c r="H20221" s="4"/>
      <c r="I20221" s="4"/>
    </row>
    <row r="20222">
      <c r="A20222" s="4" t="str">
        <f>IFERROR(__xludf.DUMMYFUNCTION("""COMPUTED_VALUE"""),"cas_hmw")</f>
        <v>cas_hmw</v>
      </c>
      <c r="B20222" s="5">
        <f>IFERROR(__xludf.DUMMYFUNCTION("""COMPUTED_VALUE"""),44781.0)</f>
        <v>44781</v>
      </c>
      <c r="C20222" s="6">
        <f>IFERROR(__xludf.DUMMYFUNCTION("""COMPUTED_VALUE"""),0.7409490740756155)</f>
        <v>0.7409490741</v>
      </c>
      <c r="D20222" s="4">
        <f>IFERROR(__xludf.DUMMYFUNCTION("""COMPUTED_VALUE"""),13.044476)</f>
        <v>13.044476</v>
      </c>
      <c r="E20222" s="4">
        <f>IFERROR(__xludf.DUMMYFUNCTION("""COMPUTED_VALUE"""),80.2668)</f>
        <v>80.2668</v>
      </c>
      <c r="F20222" s="4">
        <f>IFERROR(__xludf.DUMMYFUNCTION("""COMPUTED_VALUE"""),805.0)</f>
        <v>805</v>
      </c>
      <c r="G20222" s="4">
        <f>IFERROR(__xludf.DUMMYFUNCTION("""COMPUTED_VALUE"""),20.0)</f>
        <v>20</v>
      </c>
      <c r="H20222" s="4"/>
      <c r="I20222" s="4"/>
    </row>
    <row r="20223">
      <c r="A20223" s="4" t="str">
        <f>IFERROR(__xludf.DUMMYFUNCTION("""COMPUTED_VALUE"""),"cas_hmw")</f>
        <v>cas_hmw</v>
      </c>
      <c r="B20223" s="5">
        <f>IFERROR(__xludf.DUMMYFUNCTION("""COMPUTED_VALUE"""),44781.0)</f>
        <v>44781</v>
      </c>
      <c r="C20223" s="6">
        <f>IFERROR(__xludf.DUMMYFUNCTION("""COMPUTED_VALUE"""),0.7409837962950405)</f>
        <v>0.7409837963</v>
      </c>
      <c r="D20223" s="4">
        <f>IFERROR(__xludf.DUMMYFUNCTION("""COMPUTED_VALUE"""),13.044476)</f>
        <v>13.044476</v>
      </c>
      <c r="E20223" s="4">
        <f>IFERROR(__xludf.DUMMYFUNCTION("""COMPUTED_VALUE"""),80.2668)</f>
        <v>80.2668</v>
      </c>
      <c r="F20223" s="4">
        <f>IFERROR(__xludf.DUMMYFUNCTION("""COMPUTED_VALUE"""),805.0)</f>
        <v>805</v>
      </c>
      <c r="G20223" s="4">
        <f>IFERROR(__xludf.DUMMYFUNCTION("""COMPUTED_VALUE"""),20.0)</f>
        <v>20</v>
      </c>
      <c r="H20223" s="4"/>
      <c r="I20223" s="4"/>
    </row>
    <row r="20224">
      <c r="A20224" s="4" t="str">
        <f>IFERROR(__xludf.DUMMYFUNCTION("""COMPUTED_VALUE"""),"cas_hmw")</f>
        <v>cas_hmw</v>
      </c>
      <c r="B20224" s="5">
        <f>IFERROR(__xludf.DUMMYFUNCTION("""COMPUTED_VALUE"""),44781.0)</f>
        <v>44781</v>
      </c>
      <c r="C20224" s="6">
        <f>IFERROR(__xludf.DUMMYFUNCTION("""COMPUTED_VALUE"""),0.7409837962950405)</f>
        <v>0.7409837963</v>
      </c>
      <c r="D20224" s="4">
        <f>IFERROR(__xludf.DUMMYFUNCTION("""COMPUTED_VALUE"""),13.044476)</f>
        <v>13.044476</v>
      </c>
      <c r="E20224" s="4">
        <f>IFERROR(__xludf.DUMMYFUNCTION("""COMPUTED_VALUE"""),80.2668)</f>
        <v>80.2668</v>
      </c>
      <c r="F20224" s="4">
        <f>IFERROR(__xludf.DUMMYFUNCTION("""COMPUTED_VALUE"""),805.0)</f>
        <v>805</v>
      </c>
      <c r="G20224" s="4">
        <f>IFERROR(__xludf.DUMMYFUNCTION("""COMPUTED_VALUE"""),20.0)</f>
        <v>20</v>
      </c>
      <c r="H20224" s="4"/>
      <c r="I20224" s="4"/>
    </row>
    <row r="20225">
      <c r="A20225" s="4" t="str">
        <f>IFERROR(__xludf.DUMMYFUNCTION("""COMPUTED_VALUE"""),"cas_hmw")</f>
        <v>cas_hmw</v>
      </c>
      <c r="B20225" s="5">
        <f>IFERROR(__xludf.DUMMYFUNCTION("""COMPUTED_VALUE"""),44781.0)</f>
        <v>44781</v>
      </c>
      <c r="C20225" s="6">
        <f>IFERROR(__xludf.DUMMYFUNCTION("""COMPUTED_VALUE"""),0.7409953703718202)</f>
        <v>0.7409953704</v>
      </c>
      <c r="D20225" s="4">
        <f>IFERROR(__xludf.DUMMYFUNCTION("""COMPUTED_VALUE"""),13.044476)</f>
        <v>13.044476</v>
      </c>
      <c r="E20225" s="4">
        <f>IFERROR(__xludf.DUMMYFUNCTION("""COMPUTED_VALUE"""),80.2668)</f>
        <v>80.2668</v>
      </c>
      <c r="F20225" s="4">
        <f>IFERROR(__xludf.DUMMYFUNCTION("""COMPUTED_VALUE"""),805.0)</f>
        <v>805</v>
      </c>
      <c r="G20225" s="4">
        <f>IFERROR(__xludf.DUMMYFUNCTION("""COMPUTED_VALUE"""),20.0)</f>
        <v>20</v>
      </c>
      <c r="H20225" s="4"/>
      <c r="I20225" s="4"/>
    </row>
    <row r="20226">
      <c r="A20226" s="4" t="str">
        <f>IFERROR(__xludf.DUMMYFUNCTION("""COMPUTED_VALUE"""),"cas_hmw")</f>
        <v>cas_hmw</v>
      </c>
      <c r="B20226" s="5">
        <f>IFERROR(__xludf.DUMMYFUNCTION("""COMPUTED_VALUE"""),44781.0)</f>
        <v>44781</v>
      </c>
      <c r="C20226" s="6">
        <f>IFERROR(__xludf.DUMMYFUNCTION("""COMPUTED_VALUE"""),0.7410300925912452)</f>
        <v>0.7410300926</v>
      </c>
      <c r="D20226" s="4">
        <f>IFERROR(__xludf.DUMMYFUNCTION("""COMPUTED_VALUE"""),13.045482)</f>
        <v>13.045482</v>
      </c>
      <c r="E20226" s="4">
        <f>IFERROR(__xludf.DUMMYFUNCTION("""COMPUTED_VALUE"""),80.266603)</f>
        <v>80.266603</v>
      </c>
      <c r="F20226" s="4">
        <f>IFERROR(__xludf.DUMMYFUNCTION("""COMPUTED_VALUE"""),805.0)</f>
        <v>805</v>
      </c>
      <c r="G20226" s="4">
        <f>IFERROR(__xludf.DUMMYFUNCTION("""COMPUTED_VALUE"""),29.0)</f>
        <v>29</v>
      </c>
      <c r="H20226" s="4"/>
      <c r="I20226" s="4"/>
    </row>
    <row r="20227">
      <c r="A20227" s="4" t="str">
        <f>IFERROR(__xludf.DUMMYFUNCTION("""COMPUTED_VALUE"""),"cas_hmw")</f>
        <v>cas_hmw</v>
      </c>
      <c r="B20227" s="5">
        <f>IFERROR(__xludf.DUMMYFUNCTION("""COMPUTED_VALUE"""),44781.0)</f>
        <v>44781</v>
      </c>
      <c r="C20227" s="6">
        <f>IFERROR(__xludf.DUMMYFUNCTION("""COMPUTED_VALUE"""),0.7447916666678793)</f>
        <v>0.7447916667</v>
      </c>
      <c r="D20227" s="4">
        <f>IFERROR(__xludf.DUMMYFUNCTION("""COMPUTED_VALUE"""),13.056375)</f>
        <v>13.056375</v>
      </c>
      <c r="E20227" s="4">
        <f>IFERROR(__xludf.DUMMYFUNCTION("""COMPUTED_VALUE"""),80.26449)</f>
        <v>80.26449</v>
      </c>
      <c r="F20227" s="4">
        <f>IFERROR(__xludf.DUMMYFUNCTION("""COMPUTED_VALUE"""),805.0)</f>
        <v>805</v>
      </c>
      <c r="G20227" s="4">
        <f>IFERROR(__xludf.DUMMYFUNCTION("""COMPUTED_VALUE"""),28.0)</f>
        <v>28</v>
      </c>
      <c r="H20227" s="4"/>
      <c r="I20227" s="4"/>
    </row>
    <row r="20228">
      <c r="A20228" s="4" t="str">
        <f>IFERROR(__xludf.DUMMYFUNCTION("""COMPUTED_VALUE"""),"cas_hmw")</f>
        <v>cas_hmw</v>
      </c>
      <c r="B20228" s="5">
        <f>IFERROR(__xludf.DUMMYFUNCTION("""COMPUTED_VALUE"""),44781.0)</f>
        <v>44781</v>
      </c>
      <c r="C20228" s="6">
        <f>IFERROR(__xludf.DUMMYFUNCTION("""COMPUTED_VALUE"""),0.7448148148141627)</f>
        <v>0.7448148148</v>
      </c>
      <c r="D20228" s="4">
        <f>IFERROR(__xludf.DUMMYFUNCTION("""COMPUTED_VALUE"""),13.056375)</f>
        <v>13.056375</v>
      </c>
      <c r="E20228" s="4">
        <f>IFERROR(__xludf.DUMMYFUNCTION("""COMPUTED_VALUE"""),80.26449)</f>
        <v>80.26449</v>
      </c>
      <c r="F20228" s="4">
        <f>IFERROR(__xludf.DUMMYFUNCTION("""COMPUTED_VALUE"""),805.0)</f>
        <v>805</v>
      </c>
      <c r="G20228" s="4">
        <f>IFERROR(__xludf.DUMMYFUNCTION("""COMPUTED_VALUE"""),28.0)</f>
        <v>28</v>
      </c>
      <c r="H20228" s="4"/>
      <c r="I20228" s="4"/>
    </row>
    <row r="20229">
      <c r="A20229" s="4" t="str">
        <f>IFERROR(__xludf.DUMMYFUNCTION("""COMPUTED_VALUE"""),"cas_hmw")</f>
        <v>cas_hmw</v>
      </c>
      <c r="B20229" s="5">
        <f>IFERROR(__xludf.DUMMYFUNCTION("""COMPUTED_VALUE"""),44781.0)</f>
        <v>44781</v>
      </c>
      <c r="C20229" s="6">
        <f>IFERROR(__xludf.DUMMYFUNCTION("""COMPUTED_VALUE"""),0.7450925925913907)</f>
        <v>0.7450925926</v>
      </c>
      <c r="D20229" s="4">
        <f>IFERROR(__xludf.DUMMYFUNCTION("""COMPUTED_VALUE"""),13.005476)</f>
        <v>13.005476</v>
      </c>
      <c r="E20229" s="4">
        <f>IFERROR(__xludf.DUMMYFUNCTION("""COMPUTED_VALUE"""),80.100317)</f>
        <v>80.100317</v>
      </c>
      <c r="F20229" s="4">
        <f>IFERROR(__xludf.DUMMYFUNCTION("""COMPUTED_VALUE"""),3143.0)</f>
        <v>3143</v>
      </c>
      <c r="G20229" s="4">
        <f>IFERROR(__xludf.DUMMYFUNCTION("""COMPUTED_VALUE"""),25.0)</f>
        <v>25</v>
      </c>
      <c r="H20229" s="4"/>
      <c r="I20229" s="4"/>
    </row>
    <row r="20230">
      <c r="A20230" s="4" t="str">
        <f>IFERROR(__xludf.DUMMYFUNCTION("""COMPUTED_VALUE"""),"cas_hmw")</f>
        <v>cas_hmw</v>
      </c>
      <c r="B20230" s="5">
        <f>IFERROR(__xludf.DUMMYFUNCTION("""COMPUTED_VALUE"""),44781.0)</f>
        <v>44781</v>
      </c>
      <c r="C20230" s="6">
        <f>IFERROR(__xludf.DUMMYFUNCTION("""COMPUTED_VALUE"""),0.747418981482042)</f>
        <v>0.7474189815</v>
      </c>
      <c r="D20230" s="4">
        <f>IFERROR(__xludf.DUMMYFUNCTION("""COMPUTED_VALUE"""),13.020072)</f>
        <v>13.020072</v>
      </c>
      <c r="E20230" s="4">
        <f>IFERROR(__xludf.DUMMYFUNCTION("""COMPUTED_VALUE"""),80.104586)</f>
        <v>80.104586</v>
      </c>
      <c r="F20230" s="4">
        <f>IFERROR(__xludf.DUMMYFUNCTION("""COMPUTED_VALUE"""),3143.0)</f>
        <v>3143</v>
      </c>
      <c r="G20230" s="4">
        <f>IFERROR(__xludf.DUMMYFUNCTION("""COMPUTED_VALUE"""),48.0)</f>
        <v>48</v>
      </c>
      <c r="H20230" s="4"/>
      <c r="I20230" s="4"/>
    </row>
    <row r="20231">
      <c r="A20231" s="4" t="str">
        <f>IFERROR(__xludf.DUMMYFUNCTION("""COMPUTED_VALUE"""),"cas_hmw")</f>
        <v>cas_hmw</v>
      </c>
      <c r="B20231" s="5">
        <f>IFERROR(__xludf.DUMMYFUNCTION("""COMPUTED_VALUE"""),44781.0)</f>
        <v>44781</v>
      </c>
      <c r="C20231" s="6">
        <f>IFERROR(__xludf.DUMMYFUNCTION("""COMPUTED_VALUE"""),0.7477777777785377)</f>
        <v>0.7477777778</v>
      </c>
      <c r="D20231" s="4">
        <f>IFERROR(__xludf.DUMMYFUNCTION("""COMPUTED_VALUE"""),13.023132)</f>
        <v>13.023132</v>
      </c>
      <c r="E20231" s="4">
        <f>IFERROR(__xludf.DUMMYFUNCTION("""COMPUTED_VALUE"""),80.107375)</f>
        <v>80.107375</v>
      </c>
      <c r="F20231" s="4">
        <f>IFERROR(__xludf.DUMMYFUNCTION("""COMPUTED_VALUE"""),3143.0)</f>
        <v>3143</v>
      </c>
      <c r="G20231" s="4">
        <f>IFERROR(__xludf.DUMMYFUNCTION("""COMPUTED_VALUE"""),52.0)</f>
        <v>52</v>
      </c>
      <c r="H20231" s="4"/>
      <c r="I20231" s="4"/>
    </row>
    <row r="20232">
      <c r="A20232" s="4" t="str">
        <f>IFERROR(__xludf.DUMMYFUNCTION("""COMPUTED_VALUE"""),"cas_hmw")</f>
        <v>cas_hmw</v>
      </c>
      <c r="B20232" s="5">
        <f>IFERROR(__xludf.DUMMYFUNCTION("""COMPUTED_VALUE"""),44781.0)</f>
        <v>44781</v>
      </c>
      <c r="C20232" s="6">
        <f>IFERROR(__xludf.DUMMYFUNCTION("""COMPUTED_VALUE"""),0.7480671296289074)</f>
        <v>0.7480671296</v>
      </c>
      <c r="D20232" s="4">
        <f>IFERROR(__xludf.DUMMYFUNCTION("""COMPUTED_VALUE"""),13.024603)</f>
        <v>13.024603</v>
      </c>
      <c r="E20232" s="4">
        <f>IFERROR(__xludf.DUMMYFUNCTION("""COMPUTED_VALUE"""),80.108702)</f>
        <v>80.108702</v>
      </c>
      <c r="F20232" s="4">
        <f>IFERROR(__xludf.DUMMYFUNCTION("""COMPUTED_VALUE"""),3143.0)</f>
        <v>3143</v>
      </c>
      <c r="G20232" s="4">
        <f>IFERROR(__xludf.DUMMYFUNCTION("""COMPUTED_VALUE"""),29.0)</f>
        <v>29</v>
      </c>
      <c r="H20232" s="4"/>
      <c r="I20232" s="4"/>
    </row>
    <row r="20233">
      <c r="A20233" s="4" t="str">
        <f>IFERROR(__xludf.DUMMYFUNCTION("""COMPUTED_VALUE"""),"cas_hmw")</f>
        <v>cas_hmw</v>
      </c>
      <c r="B20233" s="5">
        <f>IFERROR(__xludf.DUMMYFUNCTION("""COMPUTED_VALUE"""),44781.0)</f>
        <v>44781</v>
      </c>
      <c r="C20233" s="6">
        <f>IFERROR(__xludf.DUMMYFUNCTION("""COMPUTED_VALUE"""),0.7482060185175214)</f>
        <v>0.7482060185</v>
      </c>
      <c r="D20233" s="4">
        <f>IFERROR(__xludf.DUMMYFUNCTION("""COMPUTED_VALUE"""),13.067602)</f>
        <v>13.067602</v>
      </c>
      <c r="E20233" s="4">
        <f>IFERROR(__xludf.DUMMYFUNCTION("""COMPUTED_VALUE"""),80.270907)</f>
        <v>80.270907</v>
      </c>
      <c r="F20233" s="4">
        <f>IFERROR(__xludf.DUMMYFUNCTION("""COMPUTED_VALUE"""),5339.0)</f>
        <v>5339</v>
      </c>
      <c r="G20233" s="4">
        <f>IFERROR(__xludf.DUMMYFUNCTION("""COMPUTED_VALUE"""),27.0)</f>
        <v>27</v>
      </c>
      <c r="H20233" s="4"/>
      <c r="I20233" s="4"/>
    </row>
    <row r="20234">
      <c r="A20234" s="4" t="str">
        <f>IFERROR(__xludf.DUMMYFUNCTION("""COMPUTED_VALUE"""),"cas_hmw")</f>
        <v>cas_hmw</v>
      </c>
      <c r="B20234" s="5">
        <f>IFERROR(__xludf.DUMMYFUNCTION("""COMPUTED_VALUE"""),44781.0)</f>
        <v>44781</v>
      </c>
      <c r="C20234" s="6">
        <f>IFERROR(__xludf.DUMMYFUNCTION("""COMPUTED_VALUE"""),0.7484143518522615)</f>
        <v>0.7484143519</v>
      </c>
      <c r="D20234" s="4">
        <f>IFERROR(__xludf.DUMMYFUNCTION("""COMPUTED_VALUE"""),13.067002)</f>
        <v>13.067002</v>
      </c>
      <c r="E20234" s="4">
        <f>IFERROR(__xludf.DUMMYFUNCTION("""COMPUTED_VALUE"""),80.268616)</f>
        <v>80.268616</v>
      </c>
      <c r="F20234" s="4">
        <f>IFERROR(__xludf.DUMMYFUNCTION("""COMPUTED_VALUE"""),5339.0)</f>
        <v>5339</v>
      </c>
      <c r="G20234" s="4">
        <f>IFERROR(__xludf.DUMMYFUNCTION("""COMPUTED_VALUE"""),26.0)</f>
        <v>26</v>
      </c>
      <c r="H20234" s="4"/>
      <c r="I20234" s="4"/>
    </row>
    <row r="20235">
      <c r="A20235" s="4" t="str">
        <f>IFERROR(__xludf.DUMMYFUNCTION("""COMPUTED_VALUE"""),"cas_hmw")</f>
        <v>cas_hmw</v>
      </c>
      <c r="B20235" s="5">
        <f>IFERROR(__xludf.DUMMYFUNCTION("""COMPUTED_VALUE"""),44781.0)</f>
        <v>44781</v>
      </c>
      <c r="C20235" s="6">
        <f>IFERROR(__xludf.DUMMYFUNCTION("""COMPUTED_VALUE"""),0.7484143518522615)</f>
        <v>0.7484143519</v>
      </c>
      <c r="D20235" s="4">
        <f>IFERROR(__xludf.DUMMYFUNCTION("""COMPUTED_VALUE"""),13.067002)</f>
        <v>13.067002</v>
      </c>
      <c r="E20235" s="4">
        <f>IFERROR(__xludf.DUMMYFUNCTION("""COMPUTED_VALUE"""),80.268616)</f>
        <v>80.268616</v>
      </c>
      <c r="F20235" s="4">
        <f>IFERROR(__xludf.DUMMYFUNCTION("""COMPUTED_VALUE"""),5339.0)</f>
        <v>5339</v>
      </c>
      <c r="G20235" s="4">
        <f>IFERROR(__xludf.DUMMYFUNCTION("""COMPUTED_VALUE"""),26.0)</f>
        <v>26</v>
      </c>
      <c r="H20235" s="4"/>
      <c r="I20235" s="4"/>
    </row>
    <row r="20236">
      <c r="A20236" s="4" t="str">
        <f>IFERROR(__xludf.DUMMYFUNCTION("""COMPUTED_VALUE"""),"cas_hmw")</f>
        <v>cas_hmw</v>
      </c>
      <c r="B20236" s="5">
        <f>IFERROR(__xludf.DUMMYFUNCTION("""COMPUTED_VALUE"""),44781.0)</f>
        <v>44781</v>
      </c>
      <c r="C20236" s="6">
        <f>IFERROR(__xludf.DUMMYFUNCTION("""COMPUTED_VALUE"""),0.7484374999985448)</f>
        <v>0.7484375</v>
      </c>
      <c r="D20236" s="4">
        <f>IFERROR(__xludf.DUMMYFUNCTION("""COMPUTED_VALUE"""),13.067002)</f>
        <v>13.067002</v>
      </c>
      <c r="E20236" s="4">
        <f>IFERROR(__xludf.DUMMYFUNCTION("""COMPUTED_VALUE"""),80.268616)</f>
        <v>80.268616</v>
      </c>
      <c r="F20236" s="4">
        <f>IFERROR(__xludf.DUMMYFUNCTION("""COMPUTED_VALUE"""),5339.0)</f>
        <v>5339</v>
      </c>
      <c r="G20236" s="4">
        <f>IFERROR(__xludf.DUMMYFUNCTION("""COMPUTED_VALUE"""),26.0)</f>
        <v>26</v>
      </c>
      <c r="H20236" s="4"/>
      <c r="I20236" s="4"/>
    </row>
    <row r="20237">
      <c r="A20237" s="4" t="str">
        <f>IFERROR(__xludf.DUMMYFUNCTION("""COMPUTED_VALUE"""),"cas_hmw")</f>
        <v>cas_hmw</v>
      </c>
      <c r="B20237" s="5">
        <f>IFERROR(__xludf.DUMMYFUNCTION("""COMPUTED_VALUE"""),44781.0)</f>
        <v>44781</v>
      </c>
      <c r="C20237" s="6">
        <f>IFERROR(__xludf.DUMMYFUNCTION("""COMPUTED_VALUE"""),0.7489699074067175)</f>
        <v>0.7489699074</v>
      </c>
      <c r="D20237" s="4">
        <f>IFERROR(__xludf.DUMMYFUNCTION("""COMPUTED_VALUE"""),13.066576)</f>
        <v>13.066576</v>
      </c>
      <c r="E20237" s="4">
        <f>IFERROR(__xludf.DUMMYFUNCTION("""COMPUTED_VALUE"""),80.268338)</f>
        <v>80.268338</v>
      </c>
      <c r="F20237" s="4">
        <f>IFERROR(__xludf.DUMMYFUNCTION("""COMPUTED_VALUE"""),805.0)</f>
        <v>805</v>
      </c>
      <c r="G20237" s="4">
        <f>IFERROR(__xludf.DUMMYFUNCTION("""COMPUTED_VALUE"""),23.0)</f>
        <v>23</v>
      </c>
      <c r="H20237" s="4"/>
      <c r="I20237" s="4"/>
    </row>
    <row r="20238">
      <c r="A20238" s="4" t="str">
        <f>IFERROR(__xludf.DUMMYFUNCTION("""COMPUTED_VALUE"""),"cas_hmw")</f>
        <v>cas_hmw</v>
      </c>
      <c r="B20238" s="5">
        <f>IFERROR(__xludf.DUMMYFUNCTION("""COMPUTED_VALUE"""),44781.0)</f>
        <v>44781</v>
      </c>
      <c r="C20238" s="6">
        <f>IFERROR(__xludf.DUMMYFUNCTION("""COMPUTED_VALUE"""),0.7489699074067175)</f>
        <v>0.7489699074</v>
      </c>
      <c r="D20238" s="4">
        <f>IFERROR(__xludf.DUMMYFUNCTION("""COMPUTED_VALUE"""),13.066576)</f>
        <v>13.066576</v>
      </c>
      <c r="E20238" s="4">
        <f>IFERROR(__xludf.DUMMYFUNCTION("""COMPUTED_VALUE"""),80.268338)</f>
        <v>80.268338</v>
      </c>
      <c r="F20238" s="4">
        <f>IFERROR(__xludf.DUMMYFUNCTION("""COMPUTED_VALUE"""),805.0)</f>
        <v>805</v>
      </c>
      <c r="G20238" s="4">
        <f>IFERROR(__xludf.DUMMYFUNCTION("""COMPUTED_VALUE"""),23.0)</f>
        <v>23</v>
      </c>
      <c r="H20238" s="4"/>
      <c r="I20238" s="4"/>
    </row>
    <row r="20239">
      <c r="A20239" s="4" t="str">
        <f>IFERROR(__xludf.DUMMYFUNCTION("""COMPUTED_VALUE"""),"cas_hmw")</f>
        <v>cas_hmw</v>
      </c>
      <c r="B20239" s="5">
        <f>IFERROR(__xludf.DUMMYFUNCTION("""COMPUTED_VALUE"""),44781.0)</f>
        <v>44781</v>
      </c>
      <c r="C20239" s="6">
        <f>IFERROR(__xludf.DUMMYFUNCTION("""COMPUTED_VALUE"""),0.7489930555566389)</f>
        <v>0.7489930556</v>
      </c>
      <c r="D20239" s="4">
        <f>IFERROR(__xludf.DUMMYFUNCTION("""COMPUTED_VALUE"""),13.066576)</f>
        <v>13.066576</v>
      </c>
      <c r="E20239" s="4">
        <f>IFERROR(__xludf.DUMMYFUNCTION("""COMPUTED_VALUE"""),80.268338)</f>
        <v>80.268338</v>
      </c>
      <c r="F20239" s="4">
        <f>IFERROR(__xludf.DUMMYFUNCTION("""COMPUTED_VALUE"""),805.0)</f>
        <v>805</v>
      </c>
      <c r="G20239" s="4">
        <f>IFERROR(__xludf.DUMMYFUNCTION("""COMPUTED_VALUE"""),23.0)</f>
        <v>23</v>
      </c>
      <c r="H20239" s="4"/>
      <c r="I20239" s="4"/>
    </row>
    <row r="20240">
      <c r="A20240" s="4" t="str">
        <f>IFERROR(__xludf.DUMMYFUNCTION("""COMPUTED_VALUE"""),"cas_hmw")</f>
        <v>cas_hmw</v>
      </c>
      <c r="B20240" s="5">
        <f>IFERROR(__xludf.DUMMYFUNCTION("""COMPUTED_VALUE"""),44781.0)</f>
        <v>44781</v>
      </c>
      <c r="C20240" s="6">
        <f>IFERROR(__xludf.DUMMYFUNCTION("""COMPUTED_VALUE"""),0.7509259259277314)</f>
        <v>0.7509259259</v>
      </c>
      <c r="D20240" s="4">
        <f>IFERROR(__xludf.DUMMYFUNCTION("""COMPUTED_VALUE"""),13.038316)</f>
        <v>13.038316</v>
      </c>
      <c r="E20240" s="4">
        <f>IFERROR(__xludf.DUMMYFUNCTION("""COMPUTED_VALUE"""),80.11316)</f>
        <v>80.11316</v>
      </c>
      <c r="F20240" s="4">
        <f>IFERROR(__xludf.DUMMYFUNCTION("""COMPUTED_VALUE"""),3143.0)</f>
        <v>3143</v>
      </c>
      <c r="G20240" s="4">
        <f>IFERROR(__xludf.DUMMYFUNCTION("""COMPUTED_VALUE"""),0.0)</f>
        <v>0</v>
      </c>
      <c r="H20240" s="4"/>
      <c r="I20240" s="4"/>
    </row>
    <row r="20241">
      <c r="A20241" s="4" t="str">
        <f>IFERROR(__xludf.DUMMYFUNCTION("""COMPUTED_VALUE"""),"cas_hmw")</f>
        <v>cas_hmw</v>
      </c>
      <c r="B20241" s="5">
        <f>IFERROR(__xludf.DUMMYFUNCTION("""COMPUTED_VALUE"""),44781.0)</f>
        <v>44781</v>
      </c>
      <c r="C20241" s="6">
        <f>IFERROR(__xludf.DUMMYFUNCTION("""COMPUTED_VALUE"""),0.7521527777789743)</f>
        <v>0.7521527778</v>
      </c>
      <c r="D20241" s="4">
        <f>IFERROR(__xludf.DUMMYFUNCTION("""COMPUTED_VALUE"""),13.072121)</f>
        <v>13.072121</v>
      </c>
      <c r="E20241" s="4">
        <f>IFERROR(__xludf.DUMMYFUNCTION("""COMPUTED_VALUE"""),80.259771)</f>
        <v>80.259771</v>
      </c>
      <c r="F20241" s="4">
        <f>IFERROR(__xludf.DUMMYFUNCTION("""COMPUTED_VALUE"""),5339.0)</f>
        <v>5339</v>
      </c>
      <c r="G20241" s="4">
        <f>IFERROR(__xludf.DUMMYFUNCTION("""COMPUTED_VALUE"""),35.0)</f>
        <v>35</v>
      </c>
      <c r="H20241" s="4"/>
      <c r="I20241" s="4"/>
    </row>
    <row r="20242">
      <c r="A20242" s="4" t="str">
        <f>IFERROR(__xludf.DUMMYFUNCTION("""COMPUTED_VALUE"""),"cas_hmw")</f>
        <v>cas_hmw</v>
      </c>
      <c r="B20242" s="5">
        <f>IFERROR(__xludf.DUMMYFUNCTION("""COMPUTED_VALUE"""),44781.0)</f>
        <v>44781</v>
      </c>
      <c r="C20242" s="6">
        <f>IFERROR(__xludf.DUMMYFUNCTION("""COMPUTED_VALUE"""),0.7525925925910997)</f>
        <v>0.7525925926</v>
      </c>
      <c r="D20242" s="4">
        <f>IFERROR(__xludf.DUMMYFUNCTION("""COMPUTED_VALUE"""),13.070626)</f>
        <v>13.070626</v>
      </c>
      <c r="E20242" s="4">
        <f>IFERROR(__xludf.DUMMYFUNCTION("""COMPUTED_VALUE"""),80.258177)</f>
        <v>80.258177</v>
      </c>
      <c r="F20242" s="4">
        <f>IFERROR(__xludf.DUMMYFUNCTION("""COMPUTED_VALUE"""),5339.0)</f>
        <v>5339</v>
      </c>
      <c r="G20242" s="4">
        <f>IFERROR(__xludf.DUMMYFUNCTION("""COMPUTED_VALUE"""),29.0)</f>
        <v>29</v>
      </c>
      <c r="H20242" s="4"/>
      <c r="I20242" s="4"/>
    </row>
    <row r="20243">
      <c r="A20243" s="4" t="str">
        <f>IFERROR(__xludf.DUMMYFUNCTION("""COMPUTED_VALUE"""),"cas_hmw")</f>
        <v>cas_hmw</v>
      </c>
      <c r="B20243" s="5">
        <f>IFERROR(__xludf.DUMMYFUNCTION("""COMPUTED_VALUE"""),44781.0)</f>
        <v>44781</v>
      </c>
      <c r="C20243" s="6">
        <f>IFERROR(__xludf.DUMMYFUNCTION("""COMPUTED_VALUE"""),0.7537152777767915)</f>
        <v>0.7537152778</v>
      </c>
      <c r="D20243" s="4">
        <f>IFERROR(__xludf.DUMMYFUNCTION("""COMPUTED_VALUE"""),13.045107)</f>
        <v>13.045107</v>
      </c>
      <c r="E20243" s="4">
        <f>IFERROR(__xludf.DUMMYFUNCTION("""COMPUTED_VALUE"""),80.116434)</f>
        <v>80.116434</v>
      </c>
      <c r="F20243" s="4">
        <f>IFERROR(__xludf.DUMMYFUNCTION("""COMPUTED_VALUE"""),3143.0)</f>
        <v>3143</v>
      </c>
      <c r="G20243" s="4">
        <f>IFERROR(__xludf.DUMMYFUNCTION("""COMPUTED_VALUE"""),19.0)</f>
        <v>19</v>
      </c>
      <c r="H20243" s="4"/>
      <c r="I20243" s="4"/>
    </row>
    <row r="20244">
      <c r="A20244" s="4" t="str">
        <f>IFERROR(__xludf.DUMMYFUNCTION("""COMPUTED_VALUE"""),"cas_hmw")</f>
        <v>cas_hmw</v>
      </c>
      <c r="B20244" s="5">
        <f>IFERROR(__xludf.DUMMYFUNCTION("""COMPUTED_VALUE"""),44781.0)</f>
        <v>44781</v>
      </c>
      <c r="C20244" s="6">
        <f>IFERROR(__xludf.DUMMYFUNCTION("""COMPUTED_VALUE"""),0.7537962962960592)</f>
        <v>0.7537962963</v>
      </c>
      <c r="D20244" s="4">
        <f>IFERROR(__xludf.DUMMYFUNCTION("""COMPUTED_VALUE"""),13.045326)</f>
        <v>13.045326</v>
      </c>
      <c r="E20244" s="4">
        <f>IFERROR(__xludf.DUMMYFUNCTION("""COMPUTED_VALUE"""),80.117034)</f>
        <v>80.117034</v>
      </c>
      <c r="F20244" s="4">
        <f>IFERROR(__xludf.DUMMYFUNCTION("""COMPUTED_VALUE"""),3143.0)</f>
        <v>3143</v>
      </c>
      <c r="G20244" s="4">
        <f>IFERROR(__xludf.DUMMYFUNCTION("""COMPUTED_VALUE"""),25.0)</f>
        <v>25</v>
      </c>
      <c r="H20244" s="4"/>
      <c r="I20244" s="4"/>
    </row>
    <row r="20245">
      <c r="A20245" s="4" t="str">
        <f>IFERROR(__xludf.DUMMYFUNCTION("""COMPUTED_VALUE"""),"cas_hmw")</f>
        <v>cas_hmw</v>
      </c>
      <c r="B20245" s="5">
        <f>IFERROR(__xludf.DUMMYFUNCTION("""COMPUTED_VALUE"""),44781.0)</f>
        <v>44781</v>
      </c>
      <c r="C20245" s="6">
        <f>IFERROR(__xludf.DUMMYFUNCTION("""COMPUTED_VALUE"""),0.7542824074080272)</f>
        <v>0.7542824074</v>
      </c>
      <c r="D20245" s="4">
        <f>IFERROR(__xludf.DUMMYFUNCTION("""COMPUTED_VALUE"""),13.047073)</f>
        <v>13.047073</v>
      </c>
      <c r="E20245" s="4">
        <f>IFERROR(__xludf.DUMMYFUNCTION("""COMPUTED_VALUE"""),80.11968)</f>
        <v>80.11968</v>
      </c>
      <c r="F20245" s="4">
        <f>IFERROR(__xludf.DUMMYFUNCTION("""COMPUTED_VALUE"""),3143.0)</f>
        <v>3143</v>
      </c>
      <c r="G20245" s="4">
        <f>IFERROR(__xludf.DUMMYFUNCTION("""COMPUTED_VALUE"""),43.0)</f>
        <v>43</v>
      </c>
      <c r="H20245" s="4"/>
      <c r="I20245" s="4"/>
    </row>
    <row r="20246">
      <c r="A20246" s="4" t="str">
        <f>IFERROR(__xludf.DUMMYFUNCTION("""COMPUTED_VALUE"""),"cas_hmw")</f>
        <v>cas_hmw</v>
      </c>
      <c r="B20246" s="5">
        <f>IFERROR(__xludf.DUMMYFUNCTION("""COMPUTED_VALUE"""),44781.0)</f>
        <v>44781</v>
      </c>
      <c r="C20246" s="6">
        <f>IFERROR(__xludf.DUMMYFUNCTION("""COMPUTED_VALUE"""),0.7544444444429246)</f>
        <v>0.7544444444</v>
      </c>
      <c r="D20246" s="4">
        <f>IFERROR(__xludf.DUMMYFUNCTION("""COMPUTED_VALUE"""),13.047978)</f>
        <v>13.047978</v>
      </c>
      <c r="E20246" s="4">
        <f>IFERROR(__xludf.DUMMYFUNCTION("""COMPUTED_VALUE"""),80.120264)</f>
        <v>80.120264</v>
      </c>
      <c r="F20246" s="4">
        <f>IFERROR(__xludf.DUMMYFUNCTION("""COMPUTED_VALUE"""),3143.0)</f>
        <v>3143</v>
      </c>
      <c r="G20246" s="4">
        <f>IFERROR(__xludf.DUMMYFUNCTION("""COMPUTED_VALUE"""),0.0)</f>
        <v>0</v>
      </c>
      <c r="H20246" s="4"/>
      <c r="I20246" s="4"/>
    </row>
    <row r="20247">
      <c r="A20247" s="4" t="str">
        <f>IFERROR(__xludf.DUMMYFUNCTION("""COMPUTED_VALUE"""),"cas_hmw")</f>
        <v>cas_hmw</v>
      </c>
      <c r="B20247" s="5">
        <f>IFERROR(__xludf.DUMMYFUNCTION("""COMPUTED_VALUE"""),44781.0)</f>
        <v>44781</v>
      </c>
      <c r="C20247" s="6">
        <f>IFERROR(__xludf.DUMMYFUNCTION("""COMPUTED_VALUE"""),0.755474537036207)</f>
        <v>0.755474537</v>
      </c>
      <c r="D20247" s="4">
        <f>IFERROR(__xludf.DUMMYFUNCTION("""COMPUTED_VALUE"""),13.072698)</f>
        <v>13.072698</v>
      </c>
      <c r="E20247" s="4">
        <f>IFERROR(__xludf.DUMMYFUNCTION("""COMPUTED_VALUE"""),80.262216)</f>
        <v>80.262216</v>
      </c>
      <c r="F20247" s="4">
        <f>IFERROR(__xludf.DUMMYFUNCTION("""COMPUTED_VALUE"""),805.0)</f>
        <v>805</v>
      </c>
      <c r="G20247" s="4">
        <f>IFERROR(__xludf.DUMMYFUNCTION("""COMPUTED_VALUE"""),27.0)</f>
        <v>27</v>
      </c>
      <c r="H20247" s="4"/>
      <c r="I20247" s="4"/>
    </row>
    <row r="20248">
      <c r="A20248" s="4" t="str">
        <f>IFERROR(__xludf.DUMMYFUNCTION("""COMPUTED_VALUE"""),"cas_hmw")</f>
        <v>cas_hmw</v>
      </c>
      <c r="B20248" s="5">
        <f>IFERROR(__xludf.DUMMYFUNCTION("""COMPUTED_VALUE"""),44781.0)</f>
        <v>44781</v>
      </c>
      <c r="C20248" s="6">
        <f>IFERROR(__xludf.DUMMYFUNCTION("""COMPUTED_VALUE"""),0.755474537036207)</f>
        <v>0.755474537</v>
      </c>
      <c r="D20248" s="4">
        <f>IFERROR(__xludf.DUMMYFUNCTION("""COMPUTED_VALUE"""),13.072698)</f>
        <v>13.072698</v>
      </c>
      <c r="E20248" s="4">
        <f>IFERROR(__xludf.DUMMYFUNCTION("""COMPUTED_VALUE"""),80.262216)</f>
        <v>80.262216</v>
      </c>
      <c r="F20248" s="4">
        <f>IFERROR(__xludf.DUMMYFUNCTION("""COMPUTED_VALUE"""),805.0)</f>
        <v>805</v>
      </c>
      <c r="G20248" s="4">
        <f>IFERROR(__xludf.DUMMYFUNCTION("""COMPUTED_VALUE"""),27.0)</f>
        <v>27</v>
      </c>
      <c r="H20248" s="4"/>
      <c r="I20248" s="4"/>
    </row>
    <row r="20249">
      <c r="A20249" s="4" t="str">
        <f>IFERROR(__xludf.DUMMYFUNCTION("""COMPUTED_VALUE"""),"cas_hmw")</f>
        <v>cas_hmw</v>
      </c>
      <c r="B20249" s="5">
        <f>IFERROR(__xludf.DUMMYFUNCTION("""COMPUTED_VALUE"""),44781.0)</f>
        <v>44781</v>
      </c>
      <c r="C20249" s="6">
        <f>IFERROR(__xludf.DUMMYFUNCTION("""COMPUTED_VALUE"""),0.7554861111093487)</f>
        <v>0.7554861111</v>
      </c>
      <c r="D20249" s="4">
        <f>IFERROR(__xludf.DUMMYFUNCTION("""COMPUTED_VALUE"""),13.072698)</f>
        <v>13.072698</v>
      </c>
      <c r="E20249" s="4">
        <f>IFERROR(__xludf.DUMMYFUNCTION("""COMPUTED_VALUE"""),80.262216)</f>
        <v>80.262216</v>
      </c>
      <c r="F20249" s="4">
        <f>IFERROR(__xludf.DUMMYFUNCTION("""COMPUTED_VALUE"""),805.0)</f>
        <v>805</v>
      </c>
      <c r="G20249" s="4">
        <f>IFERROR(__xludf.DUMMYFUNCTION("""COMPUTED_VALUE"""),27.0)</f>
        <v>27</v>
      </c>
      <c r="H20249" s="4"/>
      <c r="I20249" s="4"/>
    </row>
    <row r="20250">
      <c r="A20250" s="4" t="str">
        <f>IFERROR(__xludf.DUMMYFUNCTION("""COMPUTED_VALUE"""),"cas_hmw")</f>
        <v>cas_hmw</v>
      </c>
      <c r="B20250" s="5">
        <f>IFERROR(__xludf.DUMMYFUNCTION("""COMPUTED_VALUE"""),44781.0)</f>
        <v>44781</v>
      </c>
      <c r="C20250" s="6">
        <f>IFERROR(__xludf.DUMMYFUNCTION("""COMPUTED_VALUE"""),0.7557291666671517)</f>
        <v>0.7557291667</v>
      </c>
      <c r="D20250" s="4">
        <f>IFERROR(__xludf.DUMMYFUNCTION("""COMPUTED_VALUE"""),13.072698)</f>
        <v>13.072698</v>
      </c>
      <c r="E20250" s="4">
        <f>IFERROR(__xludf.DUMMYFUNCTION("""COMPUTED_VALUE"""),80.262216)</f>
        <v>80.262216</v>
      </c>
      <c r="F20250" s="4">
        <f>IFERROR(__xludf.DUMMYFUNCTION("""COMPUTED_VALUE"""),805.0)</f>
        <v>805</v>
      </c>
      <c r="G20250" s="4">
        <f>IFERROR(__xludf.DUMMYFUNCTION("""COMPUTED_VALUE"""),27.0)</f>
        <v>27</v>
      </c>
      <c r="H20250" s="4"/>
      <c r="I20250" s="4"/>
    </row>
    <row r="20251">
      <c r="A20251" s="4" t="str">
        <f>IFERROR(__xludf.DUMMYFUNCTION("""COMPUTED_VALUE"""),"cas_hmw")</f>
        <v>cas_hmw</v>
      </c>
      <c r="B20251" s="5">
        <f>IFERROR(__xludf.DUMMYFUNCTION("""COMPUTED_VALUE"""),44781.0)</f>
        <v>44781</v>
      </c>
      <c r="C20251" s="6">
        <f>IFERROR(__xludf.DUMMYFUNCTION("""COMPUTED_VALUE"""),0.7557291666671517)</f>
        <v>0.7557291667</v>
      </c>
      <c r="D20251" s="4">
        <f>IFERROR(__xludf.DUMMYFUNCTION("""COMPUTED_VALUE"""),13.054782)</f>
        <v>13.054782</v>
      </c>
      <c r="E20251" s="4">
        <f>IFERROR(__xludf.DUMMYFUNCTION("""COMPUTED_VALUE"""),80.121119)</f>
        <v>80.121119</v>
      </c>
      <c r="F20251" s="4">
        <f>IFERROR(__xludf.DUMMYFUNCTION("""COMPUTED_VALUE"""),3143.0)</f>
        <v>3143</v>
      </c>
      <c r="G20251" s="4">
        <f>IFERROR(__xludf.DUMMYFUNCTION("""COMPUTED_VALUE"""),54.0)</f>
        <v>54</v>
      </c>
      <c r="H20251" s="4"/>
      <c r="I20251" s="4"/>
    </row>
    <row r="20252">
      <c r="A20252" s="4" t="str">
        <f>IFERROR(__xludf.DUMMYFUNCTION("""COMPUTED_VALUE"""),"cas_hmw")</f>
        <v>cas_hmw</v>
      </c>
      <c r="B20252" s="5">
        <f>IFERROR(__xludf.DUMMYFUNCTION("""COMPUTED_VALUE"""),44781.0)</f>
        <v>44781</v>
      </c>
      <c r="C20252" s="6">
        <f>IFERROR(__xludf.DUMMYFUNCTION("""COMPUTED_VALUE"""),0.7557407407402934)</f>
        <v>0.7557407407</v>
      </c>
      <c r="D20252" s="4">
        <f>IFERROR(__xludf.DUMMYFUNCTION("""COMPUTED_VALUE"""),13.072698)</f>
        <v>13.072698</v>
      </c>
      <c r="E20252" s="4">
        <f>IFERROR(__xludf.DUMMYFUNCTION("""COMPUTED_VALUE"""),80.262216)</f>
        <v>80.262216</v>
      </c>
      <c r="F20252" s="4">
        <f>IFERROR(__xludf.DUMMYFUNCTION("""COMPUTED_VALUE"""),805.0)</f>
        <v>805</v>
      </c>
      <c r="G20252" s="4">
        <f>IFERROR(__xludf.DUMMYFUNCTION("""COMPUTED_VALUE"""),27.0)</f>
        <v>27</v>
      </c>
      <c r="H20252" s="4"/>
      <c r="I20252" s="4"/>
    </row>
    <row r="20253">
      <c r="A20253" s="4" t="str">
        <f>IFERROR(__xludf.DUMMYFUNCTION("""COMPUTED_VALUE"""),"cas_hmw")</f>
        <v>cas_hmw</v>
      </c>
      <c r="B20253" s="5">
        <f>IFERROR(__xludf.DUMMYFUNCTION("""COMPUTED_VALUE"""),44781.0)</f>
        <v>44781</v>
      </c>
      <c r="C20253" s="6">
        <f>IFERROR(__xludf.DUMMYFUNCTION("""COMPUTED_VALUE"""),0.7589120370357705)</f>
        <v>0.758912037</v>
      </c>
      <c r="D20253" s="4">
        <f>IFERROR(__xludf.DUMMYFUNCTION("""COMPUTED_VALUE"""),13.055586)</f>
        <v>13.055586</v>
      </c>
      <c r="E20253" s="4">
        <f>IFERROR(__xludf.DUMMYFUNCTION("""COMPUTED_VALUE"""),80.093509)</f>
        <v>80.093509</v>
      </c>
      <c r="F20253" s="4">
        <f>IFERROR(__xludf.DUMMYFUNCTION("""COMPUTED_VALUE"""),3143.0)</f>
        <v>3143</v>
      </c>
      <c r="G20253" s="4">
        <f>IFERROR(__xludf.DUMMYFUNCTION("""COMPUTED_VALUE"""),57.0)</f>
        <v>57</v>
      </c>
      <c r="H20253" s="4"/>
      <c r="I20253" s="4"/>
    </row>
    <row r="20254">
      <c r="A20254" s="4" t="str">
        <f>IFERROR(__xludf.DUMMYFUNCTION("""COMPUTED_VALUE"""),"cas_hmw")</f>
        <v>cas_hmw</v>
      </c>
      <c r="B20254" s="5">
        <f>IFERROR(__xludf.DUMMYFUNCTION("""COMPUTED_VALUE"""),44781.0)</f>
        <v>44781</v>
      </c>
      <c r="C20254" s="6">
        <f>IFERROR(__xludf.DUMMYFUNCTION("""COMPUTED_VALUE"""),0.7590393518512428)</f>
        <v>0.7590393519</v>
      </c>
      <c r="D20254" s="4">
        <f>IFERROR(__xludf.DUMMYFUNCTION("""COMPUTED_VALUE"""),13.054486)</f>
        <v>13.054486</v>
      </c>
      <c r="E20254" s="4">
        <f>IFERROR(__xludf.DUMMYFUNCTION("""COMPUTED_VALUE"""),80.09141)</f>
        <v>80.09141</v>
      </c>
      <c r="F20254" s="4">
        <f>IFERROR(__xludf.DUMMYFUNCTION("""COMPUTED_VALUE"""),3143.0)</f>
        <v>3143</v>
      </c>
      <c r="G20254" s="4">
        <f>IFERROR(__xludf.DUMMYFUNCTION("""COMPUTED_VALUE"""),58.0)</f>
        <v>58</v>
      </c>
      <c r="H20254" s="4"/>
      <c r="I20254" s="4"/>
    </row>
    <row r="20255">
      <c r="A20255" s="4" t="str">
        <f>IFERROR(__xludf.DUMMYFUNCTION("""COMPUTED_VALUE"""),"cas_hmw")</f>
        <v>cas_hmw</v>
      </c>
      <c r="B20255" s="5">
        <f>IFERROR(__xludf.DUMMYFUNCTION("""COMPUTED_VALUE"""),44781.0)</f>
        <v>44781</v>
      </c>
      <c r="C20255" s="6">
        <f>IFERROR(__xludf.DUMMYFUNCTION("""COMPUTED_VALUE"""),0.7615624999998545)</f>
        <v>0.7615625</v>
      </c>
      <c r="D20255" s="4">
        <f>IFERROR(__xludf.DUMMYFUNCTION("""COMPUTED_VALUE"""),13.047366)</f>
        <v>13.047366</v>
      </c>
      <c r="E20255" s="4">
        <f>IFERROR(__xludf.DUMMYFUNCTION("""COMPUTED_VALUE"""),80.085786)</f>
        <v>80.085786</v>
      </c>
      <c r="F20255" s="4">
        <f>IFERROR(__xludf.DUMMYFUNCTION("""COMPUTED_VALUE"""),3143.0)</f>
        <v>3143</v>
      </c>
      <c r="G20255" s="4">
        <f>IFERROR(__xludf.DUMMYFUNCTION("""COMPUTED_VALUE"""),28.0)</f>
        <v>28</v>
      </c>
      <c r="H20255" s="4"/>
      <c r="I20255" s="4"/>
    </row>
    <row r="20256">
      <c r="A20256" s="4" t="str">
        <f>IFERROR(__xludf.DUMMYFUNCTION("""COMPUTED_VALUE"""),"cas_hmw")</f>
        <v>cas_hmw</v>
      </c>
      <c r="B20256" s="5">
        <f>IFERROR(__xludf.DUMMYFUNCTION("""COMPUTED_VALUE"""),44781.0)</f>
        <v>44781</v>
      </c>
      <c r="C20256" s="6">
        <f>IFERROR(__xludf.DUMMYFUNCTION("""COMPUTED_VALUE"""),0.7624074074083182)</f>
        <v>0.7624074074</v>
      </c>
      <c r="D20256" s="4">
        <f>IFERROR(__xludf.DUMMYFUNCTION("""COMPUTED_VALUE"""),13.041761)</f>
        <v>13.041761</v>
      </c>
      <c r="E20256" s="4">
        <f>IFERROR(__xludf.DUMMYFUNCTION("""COMPUTED_VALUE"""),80.086513)</f>
        <v>80.086513</v>
      </c>
      <c r="F20256" s="4">
        <f>IFERROR(__xludf.DUMMYFUNCTION("""COMPUTED_VALUE"""),3143.0)</f>
        <v>3143</v>
      </c>
      <c r="G20256" s="4">
        <f>IFERROR(__xludf.DUMMYFUNCTION("""COMPUTED_VALUE"""),13.0)</f>
        <v>13</v>
      </c>
      <c r="H20256" s="4"/>
      <c r="I20256" s="4"/>
    </row>
    <row r="20257">
      <c r="A20257" s="4" t="str">
        <f>IFERROR(__xludf.DUMMYFUNCTION("""COMPUTED_VALUE"""),"cas_hmw")</f>
        <v>cas_hmw</v>
      </c>
      <c r="B20257" s="5">
        <f>IFERROR(__xludf.DUMMYFUNCTION("""COMPUTED_VALUE"""),44781.0)</f>
        <v>44781</v>
      </c>
      <c r="C20257" s="6">
        <f>IFERROR(__xludf.DUMMYFUNCTION("""COMPUTED_VALUE"""),0.7626851851855463)</f>
        <v>0.7626851852</v>
      </c>
      <c r="D20257" s="4">
        <f>IFERROR(__xludf.DUMMYFUNCTION("""COMPUTED_VALUE"""),13.041292)</f>
        <v>13.041292</v>
      </c>
      <c r="E20257" s="4">
        <f>IFERROR(__xludf.DUMMYFUNCTION("""COMPUTED_VALUE"""),80.086623)</f>
        <v>80.086623</v>
      </c>
      <c r="F20257" s="4">
        <f>IFERROR(__xludf.DUMMYFUNCTION("""COMPUTED_VALUE"""),3143.0)</f>
        <v>3143</v>
      </c>
      <c r="G20257" s="4">
        <f>IFERROR(__xludf.DUMMYFUNCTION("""COMPUTED_VALUE"""),15.0)</f>
        <v>15</v>
      </c>
      <c r="H20257" s="4"/>
      <c r="I20257" s="4"/>
    </row>
    <row r="20258">
      <c r="A20258" s="4" t="str">
        <f>IFERROR(__xludf.DUMMYFUNCTION("""COMPUTED_VALUE"""),"cas_hmw")</f>
        <v>cas_hmw</v>
      </c>
      <c r="B20258" s="5">
        <f>IFERROR(__xludf.DUMMYFUNCTION("""COMPUTED_VALUE"""),44781.0)</f>
        <v>44781</v>
      </c>
      <c r="C20258" s="6">
        <f>IFERROR(__xludf.DUMMYFUNCTION("""COMPUTED_VALUE"""),0.7650810185186856)</f>
        <v>0.7650810185</v>
      </c>
      <c r="D20258" s="4">
        <f>IFERROR(__xludf.DUMMYFUNCTION("""COMPUTED_VALUE"""),13.026005)</f>
        <v>13.026005</v>
      </c>
      <c r="E20258" s="4">
        <f>IFERROR(__xludf.DUMMYFUNCTION("""COMPUTED_VALUE"""),80.092007)</f>
        <v>80.092007</v>
      </c>
      <c r="F20258" s="4">
        <f>IFERROR(__xludf.DUMMYFUNCTION("""COMPUTED_VALUE"""),3143.0)</f>
        <v>3143</v>
      </c>
      <c r="G20258" s="4">
        <f>IFERROR(__xludf.DUMMYFUNCTION("""COMPUTED_VALUE"""),18.0)</f>
        <v>18</v>
      </c>
      <c r="H20258" s="4"/>
      <c r="I20258" s="4"/>
    </row>
    <row r="20259">
      <c r="A20259" s="4" t="str">
        <f>IFERROR(__xludf.DUMMYFUNCTION("""COMPUTED_VALUE"""),"cas_hmw")</f>
        <v>cas_hmw</v>
      </c>
      <c r="B20259" s="5">
        <f>IFERROR(__xludf.DUMMYFUNCTION("""COMPUTED_VALUE"""),44781.0)</f>
        <v>44781</v>
      </c>
      <c r="C20259" s="6">
        <f>IFERROR(__xludf.DUMMYFUNCTION("""COMPUTED_VALUE"""),0.7665740740740148)</f>
        <v>0.7665740741</v>
      </c>
      <c r="D20259" s="4">
        <f>IFERROR(__xludf.DUMMYFUNCTION("""COMPUTED_VALUE"""),13.011296)</f>
        <v>13.011296</v>
      </c>
      <c r="E20259" s="4">
        <f>IFERROR(__xludf.DUMMYFUNCTION("""COMPUTED_VALUE"""),80.092953)</f>
        <v>80.092953</v>
      </c>
      <c r="F20259" s="4">
        <f>IFERROR(__xludf.DUMMYFUNCTION("""COMPUTED_VALUE"""),3143.0)</f>
        <v>3143</v>
      </c>
      <c r="G20259" s="4">
        <f>IFERROR(__xludf.DUMMYFUNCTION("""COMPUTED_VALUE"""),58.0)</f>
        <v>58</v>
      </c>
      <c r="H20259" s="4"/>
      <c r="I20259" s="4"/>
    </row>
    <row r="20260">
      <c r="A20260" s="4" t="str">
        <f>IFERROR(__xludf.DUMMYFUNCTION("""COMPUTED_VALUE"""),"cas_hmw")</f>
        <v>cas_hmw</v>
      </c>
      <c r="B20260" s="5">
        <f>IFERROR(__xludf.DUMMYFUNCTION("""COMPUTED_VALUE"""),44781.0)</f>
        <v>44781</v>
      </c>
      <c r="C20260" s="6">
        <f>IFERROR(__xludf.DUMMYFUNCTION("""COMPUTED_VALUE"""),0.7787615740744513)</f>
        <v>0.7787615741</v>
      </c>
      <c r="D20260" s="4">
        <f>IFERROR(__xludf.DUMMYFUNCTION("""COMPUTED_VALUE"""),12.886054)</f>
        <v>12.886054</v>
      </c>
      <c r="E20260" s="4">
        <f>IFERROR(__xludf.DUMMYFUNCTION("""COMPUTED_VALUE"""),80.079752)</f>
        <v>80.079752</v>
      </c>
      <c r="F20260" s="4">
        <f>IFERROR(__xludf.DUMMYFUNCTION("""COMPUTED_VALUE"""),3143.0)</f>
        <v>3143</v>
      </c>
      <c r="G20260" s="4">
        <f>IFERROR(__xludf.DUMMYFUNCTION("""COMPUTED_VALUE"""),57.0)</f>
        <v>57</v>
      </c>
      <c r="H20260" s="4"/>
      <c r="I20260" s="4"/>
    </row>
    <row r="20261">
      <c r="A20261" s="4" t="str">
        <f>IFERROR(__xludf.DUMMYFUNCTION("""COMPUTED_VALUE"""),"cas_hmw")</f>
        <v>cas_hmw</v>
      </c>
      <c r="B20261" s="5">
        <f>IFERROR(__xludf.DUMMYFUNCTION("""COMPUTED_VALUE"""),44781.0)</f>
        <v>44781</v>
      </c>
      <c r="C20261" s="6">
        <f>IFERROR(__xludf.DUMMYFUNCTION("""COMPUTED_VALUE"""),0.7790046296286164)</f>
        <v>0.7790046296</v>
      </c>
      <c r="D20261" s="4">
        <f>IFERROR(__xludf.DUMMYFUNCTION("""COMPUTED_VALUE"""),12.88448)</f>
        <v>12.88448</v>
      </c>
      <c r="E20261" s="4">
        <f>IFERROR(__xludf.DUMMYFUNCTION("""COMPUTED_VALUE"""),80.082149)</f>
        <v>80.082149</v>
      </c>
      <c r="F20261" s="4">
        <f>IFERROR(__xludf.DUMMYFUNCTION("""COMPUTED_VALUE"""),3143.0)</f>
        <v>3143</v>
      </c>
      <c r="G20261" s="4">
        <f>IFERROR(__xludf.DUMMYFUNCTION("""COMPUTED_VALUE"""),27.0)</f>
        <v>27</v>
      </c>
      <c r="H20261" s="4"/>
      <c r="I20261" s="4"/>
    </row>
    <row r="20262">
      <c r="A20262" s="4" t="str">
        <f>IFERROR(__xludf.DUMMYFUNCTION("""COMPUTED_VALUE"""),"cas_hmw")</f>
        <v>cas_hmw</v>
      </c>
      <c r="B20262" s="5">
        <f>IFERROR(__xludf.DUMMYFUNCTION("""COMPUTED_VALUE"""),44781.0)</f>
        <v>44781</v>
      </c>
      <c r="C20262" s="6">
        <f>IFERROR(__xludf.DUMMYFUNCTION("""COMPUTED_VALUE"""),0.7800694444449618)</f>
        <v>0.7800694444</v>
      </c>
      <c r="D20262" s="4">
        <f>IFERROR(__xludf.DUMMYFUNCTION("""COMPUTED_VALUE"""),12.87947)</f>
        <v>12.87947</v>
      </c>
      <c r="E20262" s="4">
        <f>IFERROR(__xludf.DUMMYFUNCTION("""COMPUTED_VALUE"""),80.08043)</f>
        <v>80.08043</v>
      </c>
      <c r="F20262" s="4">
        <f>IFERROR(__xludf.DUMMYFUNCTION("""COMPUTED_VALUE"""),3143.0)</f>
        <v>3143</v>
      </c>
      <c r="G20262" s="4">
        <f>IFERROR(__xludf.DUMMYFUNCTION("""COMPUTED_VALUE"""),12.0)</f>
        <v>12</v>
      </c>
      <c r="H20262" s="4"/>
      <c r="I20262" s="4"/>
    </row>
    <row r="20263">
      <c r="A20263" s="4" t="str">
        <f>IFERROR(__xludf.DUMMYFUNCTION("""COMPUTED_VALUE"""),"cas_hmw")</f>
        <v>cas_hmw</v>
      </c>
      <c r="B20263" s="5">
        <f>IFERROR(__xludf.DUMMYFUNCTION("""COMPUTED_VALUE"""),44782.0)</f>
        <v>44782</v>
      </c>
      <c r="C20263" s="6">
        <f>IFERROR(__xludf.DUMMYFUNCTION("""COMPUTED_VALUE"""),0.2940740740741603)</f>
        <v>0.2940740741</v>
      </c>
      <c r="D20263" s="4">
        <f>IFERROR(__xludf.DUMMYFUNCTION("""COMPUTED_VALUE"""),12.513128)</f>
        <v>12.513128</v>
      </c>
      <c r="E20263" s="4">
        <f>IFERROR(__xludf.DUMMYFUNCTION("""COMPUTED_VALUE"""),79.886919)</f>
        <v>79.886919</v>
      </c>
      <c r="F20263" s="4">
        <f>IFERROR(__xludf.DUMMYFUNCTION("""COMPUTED_VALUE"""),2846.0)</f>
        <v>2846</v>
      </c>
      <c r="G20263" s="4">
        <f>IFERROR(__xludf.DUMMYFUNCTION("""COMPUTED_VALUE"""),55.0)</f>
        <v>55</v>
      </c>
      <c r="H20263" s="4"/>
      <c r="I20263" s="4"/>
    </row>
    <row r="20264">
      <c r="A20264" s="4" t="str">
        <f>IFERROR(__xludf.DUMMYFUNCTION("""COMPUTED_VALUE"""),"cas_hmw")</f>
        <v>cas_hmw</v>
      </c>
      <c r="B20264" s="5">
        <f>IFERROR(__xludf.DUMMYFUNCTION("""COMPUTED_VALUE"""),44782.0)</f>
        <v>44782</v>
      </c>
      <c r="C20264" s="6">
        <f>IFERROR(__xludf.DUMMYFUNCTION("""COMPUTED_VALUE"""),0.29423611111269565)</f>
        <v>0.2942361111</v>
      </c>
      <c r="D20264" s="4">
        <f>IFERROR(__xludf.DUMMYFUNCTION("""COMPUTED_VALUE"""),12.512203)</f>
        <v>12.512203</v>
      </c>
      <c r="E20264" s="4">
        <f>IFERROR(__xludf.DUMMYFUNCTION("""COMPUTED_VALUE"""),79.88605)</f>
        <v>79.88605</v>
      </c>
      <c r="F20264" s="4">
        <f>IFERROR(__xludf.DUMMYFUNCTION("""COMPUTED_VALUE"""),2846.0)</f>
        <v>2846</v>
      </c>
      <c r="G20264" s="4">
        <f>IFERROR(__xludf.DUMMYFUNCTION("""COMPUTED_VALUE"""),44.0)</f>
        <v>44</v>
      </c>
      <c r="H20264" s="4"/>
      <c r="I20264" s="4"/>
    </row>
    <row r="20265">
      <c r="A20265" s="4" t="str">
        <f>IFERROR(__xludf.DUMMYFUNCTION("""COMPUTED_VALUE"""),"cas_hmw")</f>
        <v>cas_hmw</v>
      </c>
      <c r="B20265" s="5">
        <f>IFERROR(__xludf.DUMMYFUNCTION("""COMPUTED_VALUE"""),44782.0)</f>
        <v>44782</v>
      </c>
      <c r="C20265" s="6">
        <f>IFERROR(__xludf.DUMMYFUNCTION("""COMPUTED_VALUE"""),0.2968287037037953)</f>
        <v>0.2968287037</v>
      </c>
      <c r="D20265" s="4">
        <f>IFERROR(__xludf.DUMMYFUNCTION("""COMPUTED_VALUE"""),13.063682)</f>
        <v>13.063682</v>
      </c>
      <c r="E20265" s="4">
        <f>IFERROR(__xludf.DUMMYFUNCTION("""COMPUTED_VALUE"""),80.250968)</f>
        <v>80.250968</v>
      </c>
      <c r="F20265" s="4">
        <f>IFERROR(__xludf.DUMMYFUNCTION("""COMPUTED_VALUE"""),805.0)</f>
        <v>805</v>
      </c>
      <c r="G20265" s="4">
        <f>IFERROR(__xludf.DUMMYFUNCTION("""COMPUTED_VALUE"""),0.0)</f>
        <v>0</v>
      </c>
      <c r="H20265" s="4"/>
      <c r="I20265" s="4"/>
    </row>
    <row r="20266">
      <c r="A20266" s="4" t="str">
        <f>IFERROR(__xludf.DUMMYFUNCTION("""COMPUTED_VALUE"""),"cas_hmw")</f>
        <v>cas_hmw</v>
      </c>
      <c r="B20266" s="5">
        <f>IFERROR(__xludf.DUMMYFUNCTION("""COMPUTED_VALUE"""),44782.0)</f>
        <v>44782</v>
      </c>
      <c r="C20266" s="6">
        <f>IFERROR(__xludf.DUMMYFUNCTION("""COMPUTED_VALUE"""),0.2977777777778101)</f>
        <v>0.2977777778</v>
      </c>
      <c r="D20266" s="4">
        <f>IFERROR(__xludf.DUMMYFUNCTION("""COMPUTED_VALUE"""),13.067205)</f>
        <v>13.067205</v>
      </c>
      <c r="E20266" s="4">
        <f>IFERROR(__xludf.DUMMYFUNCTION("""COMPUTED_VALUE"""),80.246289)</f>
        <v>80.246289</v>
      </c>
      <c r="F20266" s="4">
        <f>IFERROR(__xludf.DUMMYFUNCTION("""COMPUTED_VALUE"""),5339.0)</f>
        <v>5339</v>
      </c>
      <c r="G20266" s="4">
        <f>IFERROR(__xludf.DUMMYFUNCTION("""COMPUTED_VALUE"""),38.0)</f>
        <v>38</v>
      </c>
      <c r="H20266" s="4"/>
      <c r="I20266" s="4"/>
    </row>
    <row r="20267">
      <c r="A20267" s="4" t="str">
        <f>IFERROR(__xludf.DUMMYFUNCTION("""COMPUTED_VALUE"""),"cas_hmw")</f>
        <v>cas_hmw</v>
      </c>
      <c r="B20267" s="5">
        <f>IFERROR(__xludf.DUMMYFUNCTION("""COMPUTED_VALUE"""),44782.0)</f>
        <v>44782</v>
      </c>
      <c r="C20267" s="6">
        <f>IFERROR(__xludf.DUMMYFUNCTION("""COMPUTED_VALUE"""),0.29780092592773144)</f>
        <v>0.2978009259</v>
      </c>
      <c r="D20267" s="4">
        <f>IFERROR(__xludf.DUMMYFUNCTION("""COMPUTED_VALUE"""),13.067205)</f>
        <v>13.067205</v>
      </c>
      <c r="E20267" s="4">
        <f>IFERROR(__xludf.DUMMYFUNCTION("""COMPUTED_VALUE"""),80.246289)</f>
        <v>80.246289</v>
      </c>
      <c r="F20267" s="4">
        <f>IFERROR(__xludf.DUMMYFUNCTION("""COMPUTED_VALUE"""),5339.0)</f>
        <v>5339</v>
      </c>
      <c r="G20267" s="4">
        <f>IFERROR(__xludf.DUMMYFUNCTION("""COMPUTED_VALUE"""),38.0)</f>
        <v>38</v>
      </c>
      <c r="H20267" s="4"/>
      <c r="I20267" s="4"/>
    </row>
    <row r="20268">
      <c r="A20268" s="4" t="str">
        <f>IFERROR(__xludf.DUMMYFUNCTION("""COMPUTED_VALUE"""),"cas_hmw")</f>
        <v>cas_hmw</v>
      </c>
      <c r="B20268" s="5">
        <f>IFERROR(__xludf.DUMMYFUNCTION("""COMPUTED_VALUE"""),44782.0)</f>
        <v>44782</v>
      </c>
      <c r="C20268" s="6">
        <f>IFERROR(__xludf.DUMMYFUNCTION("""COMPUTED_VALUE"""),0.29848379629765986)</f>
        <v>0.2984837963</v>
      </c>
      <c r="D20268" s="4">
        <f>IFERROR(__xludf.DUMMYFUNCTION("""COMPUTED_VALUE"""),13.063682)</f>
        <v>13.063682</v>
      </c>
      <c r="E20268" s="4">
        <f>IFERROR(__xludf.DUMMYFUNCTION("""COMPUTED_VALUE"""),80.250968)</f>
        <v>80.250968</v>
      </c>
      <c r="F20268" s="4">
        <f>IFERROR(__xludf.DUMMYFUNCTION("""COMPUTED_VALUE"""),805.0)</f>
        <v>805</v>
      </c>
      <c r="G20268" s="4">
        <f>IFERROR(__xludf.DUMMYFUNCTION("""COMPUTED_VALUE"""),0.0)</f>
        <v>0</v>
      </c>
      <c r="H20268" s="4"/>
      <c r="I20268" s="4"/>
    </row>
    <row r="20269">
      <c r="A20269" s="4" t="str">
        <f>IFERROR(__xludf.DUMMYFUNCTION("""COMPUTED_VALUE"""),"cas_hmw")</f>
        <v>cas_hmw</v>
      </c>
      <c r="B20269" s="5">
        <f>IFERROR(__xludf.DUMMYFUNCTION("""COMPUTED_VALUE"""),44782.0)</f>
        <v>44782</v>
      </c>
      <c r="C20269" s="6">
        <f>IFERROR(__xludf.DUMMYFUNCTION("""COMPUTED_VALUE"""),0.2985879629632109)</f>
        <v>0.298587963</v>
      </c>
      <c r="D20269" s="4">
        <f>IFERROR(__xludf.DUMMYFUNCTION("""COMPUTED_VALUE"""),12.517174)</f>
        <v>12.517174</v>
      </c>
      <c r="E20269" s="4">
        <f>IFERROR(__xludf.DUMMYFUNCTION("""COMPUTED_VALUE"""),79.887826)</f>
        <v>79.887826</v>
      </c>
      <c r="F20269" s="4">
        <f>IFERROR(__xludf.DUMMYFUNCTION("""COMPUTED_VALUE"""),2846.0)</f>
        <v>2846</v>
      </c>
      <c r="G20269" s="4">
        <f>IFERROR(__xludf.DUMMYFUNCTION("""COMPUTED_VALUE"""),55.0)</f>
        <v>55</v>
      </c>
      <c r="H20269" s="4"/>
      <c r="I20269" s="4"/>
    </row>
    <row r="20270">
      <c r="A20270" s="4" t="str">
        <f>IFERROR(__xludf.DUMMYFUNCTION("""COMPUTED_VALUE"""),"cas_hmw")</f>
        <v>cas_hmw</v>
      </c>
      <c r="B20270" s="5">
        <f>IFERROR(__xludf.DUMMYFUNCTION("""COMPUTED_VALUE"""),44782.0)</f>
        <v>44782</v>
      </c>
      <c r="C20270" s="6">
        <f>IFERROR(__xludf.DUMMYFUNCTION("""COMPUTED_VALUE"""),0.30033564814948477)</f>
        <v>0.3003356481</v>
      </c>
      <c r="D20270" s="4">
        <f>IFERROR(__xludf.DUMMYFUNCTION("""COMPUTED_VALUE"""),13.07191)</f>
        <v>13.07191</v>
      </c>
      <c r="E20270" s="4">
        <f>IFERROR(__xludf.DUMMYFUNCTION("""COMPUTED_VALUE"""),80.259484)</f>
        <v>80.259484</v>
      </c>
      <c r="F20270" s="4">
        <f>IFERROR(__xludf.DUMMYFUNCTION("""COMPUTED_VALUE"""),5339.0)</f>
        <v>5339</v>
      </c>
      <c r="G20270" s="4">
        <f>IFERROR(__xludf.DUMMYFUNCTION("""COMPUTED_VALUE"""),27.0)</f>
        <v>27</v>
      </c>
      <c r="H20270" s="4"/>
      <c r="I20270" s="4"/>
    </row>
    <row r="20271">
      <c r="A20271" s="4" t="str">
        <f>IFERROR(__xludf.DUMMYFUNCTION("""COMPUTED_VALUE"""),"cas_hmw")</f>
        <v>cas_hmw</v>
      </c>
      <c r="B20271" s="5">
        <f>IFERROR(__xludf.DUMMYFUNCTION("""COMPUTED_VALUE"""),44782.0)</f>
        <v>44782</v>
      </c>
      <c r="C20271" s="6">
        <f>IFERROR(__xludf.DUMMYFUNCTION("""COMPUTED_VALUE"""),0.3003703703689098)</f>
        <v>0.3003703704</v>
      </c>
      <c r="D20271" s="4">
        <f>IFERROR(__xludf.DUMMYFUNCTION("""COMPUTED_VALUE"""),13.07191)</f>
        <v>13.07191</v>
      </c>
      <c r="E20271" s="4">
        <f>IFERROR(__xludf.DUMMYFUNCTION("""COMPUTED_VALUE"""),80.259484)</f>
        <v>80.259484</v>
      </c>
      <c r="F20271" s="4">
        <f>IFERROR(__xludf.DUMMYFUNCTION("""COMPUTED_VALUE"""),5339.0)</f>
        <v>5339</v>
      </c>
      <c r="G20271" s="4">
        <f>IFERROR(__xludf.DUMMYFUNCTION("""COMPUTED_VALUE"""),27.0)</f>
        <v>27</v>
      </c>
      <c r="H20271" s="4"/>
      <c r="I20271" s="4"/>
    </row>
    <row r="20272">
      <c r="A20272" s="4" t="str">
        <f>IFERROR(__xludf.DUMMYFUNCTION("""COMPUTED_VALUE"""),"cas_hmw")</f>
        <v>cas_hmw</v>
      </c>
      <c r="B20272" s="5">
        <f>IFERROR(__xludf.DUMMYFUNCTION("""COMPUTED_VALUE"""),44782.0)</f>
        <v>44782</v>
      </c>
      <c r="C20272" s="6">
        <f>IFERROR(__xludf.DUMMYFUNCTION("""COMPUTED_VALUE"""),0.3023263888899237)</f>
        <v>0.3023263889</v>
      </c>
      <c r="D20272" s="4">
        <f>IFERROR(__xludf.DUMMYFUNCTION("""COMPUTED_VALUE"""),13.033687)</f>
        <v>13.033687</v>
      </c>
      <c r="E20272" s="4">
        <f>IFERROR(__xludf.DUMMYFUNCTION("""COMPUTED_VALUE"""),80.111638)</f>
        <v>80.111638</v>
      </c>
      <c r="F20272" s="4">
        <f>IFERROR(__xludf.DUMMYFUNCTION("""COMPUTED_VALUE"""),3143.0)</f>
        <v>3143</v>
      </c>
      <c r="G20272" s="4">
        <f>IFERROR(__xludf.DUMMYFUNCTION("""COMPUTED_VALUE"""),26.0)</f>
        <v>26</v>
      </c>
      <c r="H20272" s="4"/>
      <c r="I20272" s="4"/>
    </row>
    <row r="20273">
      <c r="A20273" s="4" t="str">
        <f>IFERROR(__xludf.DUMMYFUNCTION("""COMPUTED_VALUE"""),"cas_hmw")</f>
        <v>cas_hmw</v>
      </c>
      <c r="B20273" s="5">
        <f>IFERROR(__xludf.DUMMYFUNCTION("""COMPUTED_VALUE"""),44782.0)</f>
        <v>44782</v>
      </c>
      <c r="C20273" s="6">
        <f>IFERROR(__xludf.DUMMYFUNCTION("""COMPUTED_VALUE"""),0.3030092592598521)</f>
        <v>0.3030092593</v>
      </c>
      <c r="D20273" s="4">
        <f>IFERROR(__xludf.DUMMYFUNCTION("""COMPUTED_VALUE"""),13.068414)</f>
        <v>13.068414</v>
      </c>
      <c r="E20273" s="4">
        <f>IFERROR(__xludf.DUMMYFUNCTION("""COMPUTED_VALUE"""),80.269271)</f>
        <v>80.269271</v>
      </c>
      <c r="F20273" s="4">
        <f>IFERROR(__xludf.DUMMYFUNCTION("""COMPUTED_VALUE"""),5339.0)</f>
        <v>5339</v>
      </c>
      <c r="G20273" s="4">
        <f>IFERROR(__xludf.DUMMYFUNCTION("""COMPUTED_VALUE"""),26.0)</f>
        <v>26</v>
      </c>
      <c r="H20273" s="4"/>
      <c r="I20273" s="4"/>
    </row>
    <row r="20274">
      <c r="A20274" s="4" t="str">
        <f>IFERROR(__xludf.DUMMYFUNCTION("""COMPUTED_VALUE"""),"cas_hmw")</f>
        <v>cas_hmw</v>
      </c>
      <c r="B20274" s="5">
        <f>IFERROR(__xludf.DUMMYFUNCTION("""COMPUTED_VALUE"""),44782.0)</f>
        <v>44782</v>
      </c>
      <c r="C20274" s="6">
        <f>IFERROR(__xludf.DUMMYFUNCTION("""COMPUTED_VALUE"""),0.31072916666744277)</f>
        <v>0.3107291667</v>
      </c>
      <c r="D20274" s="4">
        <f>IFERROR(__xludf.DUMMYFUNCTION("""COMPUTED_VALUE"""),12.998644)</f>
        <v>12.998644</v>
      </c>
      <c r="E20274" s="4">
        <f>IFERROR(__xludf.DUMMYFUNCTION("""COMPUTED_VALUE"""),80.102567)</f>
        <v>80.102567</v>
      </c>
      <c r="F20274" s="4">
        <f>IFERROR(__xludf.DUMMYFUNCTION("""COMPUTED_VALUE"""),3143.0)</f>
        <v>3143</v>
      </c>
      <c r="G20274" s="4">
        <f>IFERROR(__xludf.DUMMYFUNCTION("""COMPUTED_VALUE"""),27.0)</f>
        <v>27</v>
      </c>
      <c r="H20274" s="4"/>
      <c r="I20274" s="4"/>
    </row>
    <row r="20275">
      <c r="A20275" s="4" t="str">
        <f>IFERROR(__xludf.DUMMYFUNCTION("""COMPUTED_VALUE"""),"cas_hmw")</f>
        <v>cas_hmw</v>
      </c>
      <c r="B20275" s="5">
        <f>IFERROR(__xludf.DUMMYFUNCTION("""COMPUTED_VALUE"""),44782.0)</f>
        <v>44782</v>
      </c>
      <c r="C20275" s="6">
        <f>IFERROR(__xludf.DUMMYFUNCTION("""COMPUTED_VALUE"""),0.3109374999985448)</f>
        <v>0.3109375</v>
      </c>
      <c r="D20275" s="4">
        <f>IFERROR(__xludf.DUMMYFUNCTION("""COMPUTED_VALUE"""),12.998063)</f>
        <v>12.998063</v>
      </c>
      <c r="E20275" s="4">
        <f>IFERROR(__xludf.DUMMYFUNCTION("""COMPUTED_VALUE"""),80.10363)</f>
        <v>80.10363</v>
      </c>
      <c r="F20275" s="4">
        <f>IFERROR(__xludf.DUMMYFUNCTION("""COMPUTED_VALUE"""),3143.0)</f>
        <v>3143</v>
      </c>
      <c r="G20275" s="4">
        <f>IFERROR(__xludf.DUMMYFUNCTION("""COMPUTED_VALUE"""),21.0)</f>
        <v>21</v>
      </c>
      <c r="H20275" s="4"/>
      <c r="I20275" s="4"/>
    </row>
    <row r="20276">
      <c r="A20276" s="4" t="str">
        <f>IFERROR(__xludf.DUMMYFUNCTION("""COMPUTED_VALUE"""),"cas_hmw")</f>
        <v>cas_hmw</v>
      </c>
      <c r="B20276" s="5">
        <f>IFERROR(__xludf.DUMMYFUNCTION("""COMPUTED_VALUE"""),44782.0)</f>
        <v>44782</v>
      </c>
      <c r="C20276" s="6">
        <f>IFERROR(__xludf.DUMMYFUNCTION("""COMPUTED_VALUE"""),0.3111111111102218)</f>
        <v>0.3111111111</v>
      </c>
      <c r="D20276" s="4">
        <f>IFERROR(__xludf.DUMMYFUNCTION("""COMPUTED_VALUE"""),12.997763)</f>
        <v>12.997763</v>
      </c>
      <c r="E20276" s="4">
        <f>IFERROR(__xludf.DUMMYFUNCTION("""COMPUTED_VALUE"""),80.104812)</f>
        <v>80.104812</v>
      </c>
      <c r="F20276" s="4">
        <f>IFERROR(__xludf.DUMMYFUNCTION("""COMPUTED_VALUE"""),3143.0)</f>
        <v>3143</v>
      </c>
      <c r="G20276" s="4">
        <f>IFERROR(__xludf.DUMMYFUNCTION("""COMPUTED_VALUE"""),44.0)</f>
        <v>44</v>
      </c>
      <c r="H20276" s="4"/>
      <c r="I20276" s="4"/>
    </row>
    <row r="20277">
      <c r="A20277" s="4" t="str">
        <f>IFERROR(__xludf.DUMMYFUNCTION("""COMPUTED_VALUE"""),"cas_hmw")</f>
        <v>cas_hmw</v>
      </c>
      <c r="B20277" s="5">
        <f>IFERROR(__xludf.DUMMYFUNCTION("""COMPUTED_VALUE"""),44782.0)</f>
        <v>44782</v>
      </c>
      <c r="C20277" s="6">
        <f>IFERROR(__xludf.DUMMYFUNCTION("""COMPUTED_VALUE"""),0.31135416666802485)</f>
        <v>0.3113541667</v>
      </c>
      <c r="D20277" s="4">
        <f>IFERROR(__xludf.DUMMYFUNCTION("""COMPUTED_VALUE"""),12.997302)</f>
        <v>12.997302</v>
      </c>
      <c r="E20277" s="4">
        <f>IFERROR(__xludf.DUMMYFUNCTION("""COMPUTED_VALUE"""),80.106441)</f>
        <v>80.106441</v>
      </c>
      <c r="F20277" s="4">
        <f>IFERROR(__xludf.DUMMYFUNCTION("""COMPUTED_VALUE"""),3143.0)</f>
        <v>3143</v>
      </c>
      <c r="G20277" s="4">
        <f>IFERROR(__xludf.DUMMYFUNCTION("""COMPUTED_VALUE"""),25.0)</f>
        <v>25</v>
      </c>
      <c r="H20277" s="4"/>
      <c r="I20277" s="4"/>
    </row>
    <row r="20278">
      <c r="A20278" s="4" t="str">
        <f>IFERROR(__xludf.DUMMYFUNCTION("""COMPUTED_VALUE"""),"cas_hmw")</f>
        <v>cas_hmw</v>
      </c>
      <c r="B20278" s="5">
        <f>IFERROR(__xludf.DUMMYFUNCTION("""COMPUTED_VALUE"""),44782.0)</f>
        <v>44782</v>
      </c>
      <c r="C20278" s="6">
        <f>IFERROR(__xludf.DUMMYFUNCTION("""COMPUTED_VALUE"""),0.3114467592604342)</f>
        <v>0.3114467593</v>
      </c>
      <c r="D20278" s="4">
        <f>IFERROR(__xludf.DUMMYFUNCTION("""COMPUTED_VALUE"""),12.996822)</f>
        <v>12.996822</v>
      </c>
      <c r="E20278" s="4">
        <f>IFERROR(__xludf.DUMMYFUNCTION("""COMPUTED_VALUE"""),80.107723)</f>
        <v>80.107723</v>
      </c>
      <c r="F20278" s="4">
        <f>IFERROR(__xludf.DUMMYFUNCTION("""COMPUTED_VALUE"""),3143.0)</f>
        <v>3143</v>
      </c>
      <c r="G20278" s="4">
        <f>IFERROR(__xludf.DUMMYFUNCTION("""COMPUTED_VALUE"""),38.0)</f>
        <v>38</v>
      </c>
      <c r="H20278" s="4"/>
      <c r="I20278" s="4"/>
    </row>
    <row r="20279">
      <c r="A20279" s="4" t="str">
        <f>IFERROR(__xludf.DUMMYFUNCTION("""COMPUTED_VALUE"""),"cas_hmw")</f>
        <v>cas_hmw</v>
      </c>
      <c r="B20279" s="5">
        <f>IFERROR(__xludf.DUMMYFUNCTION("""COMPUTED_VALUE"""),44782.0)</f>
        <v>44782</v>
      </c>
      <c r="C20279" s="6">
        <f>IFERROR(__xludf.DUMMYFUNCTION("""COMPUTED_VALUE"""),0.3121412037035043)</f>
        <v>0.3121412037</v>
      </c>
      <c r="D20279" s="4">
        <f>IFERROR(__xludf.DUMMYFUNCTION("""COMPUTED_VALUE"""),12.995326)</f>
        <v>12.995326</v>
      </c>
      <c r="E20279" s="4">
        <f>IFERROR(__xludf.DUMMYFUNCTION("""COMPUTED_VALUE"""),80.111296)</f>
        <v>80.111296</v>
      </c>
      <c r="F20279" s="4">
        <f>IFERROR(__xludf.DUMMYFUNCTION("""COMPUTED_VALUE"""),3143.0)</f>
        <v>3143</v>
      </c>
      <c r="G20279" s="4">
        <f>IFERROR(__xludf.DUMMYFUNCTION("""COMPUTED_VALUE"""),41.0)</f>
        <v>41</v>
      </c>
      <c r="H20279" s="4"/>
      <c r="I20279" s="4"/>
    </row>
    <row r="20280">
      <c r="A20280" s="4" t="str">
        <f>IFERROR(__xludf.DUMMYFUNCTION("""COMPUTED_VALUE"""),"cas_hmw")</f>
        <v>cas_hmw</v>
      </c>
      <c r="B20280" s="5">
        <f>IFERROR(__xludf.DUMMYFUNCTION("""COMPUTED_VALUE"""),44782.0)</f>
        <v>44782</v>
      </c>
      <c r="C20280" s="6">
        <f>IFERROR(__xludf.DUMMYFUNCTION("""COMPUTED_VALUE"""),0.312534722223063)</f>
        <v>0.3125347222</v>
      </c>
      <c r="D20280" s="4">
        <f>IFERROR(__xludf.DUMMYFUNCTION("""COMPUTED_VALUE"""),13.049042)</f>
        <v>13.049042</v>
      </c>
      <c r="E20280" s="4">
        <f>IFERROR(__xludf.DUMMYFUNCTION("""COMPUTED_VALUE"""),80.249767)</f>
        <v>80.249767</v>
      </c>
      <c r="F20280" s="4">
        <f>IFERROR(__xludf.DUMMYFUNCTION("""COMPUTED_VALUE"""),5339.0)</f>
        <v>5339</v>
      </c>
      <c r="G20280" s="4">
        <f>IFERROR(__xludf.DUMMYFUNCTION("""COMPUTED_VALUE"""),47.0)</f>
        <v>47</v>
      </c>
      <c r="H20280" s="4"/>
      <c r="I20280" s="4"/>
    </row>
    <row r="20281">
      <c r="A20281" s="4" t="str">
        <f>IFERROR(__xludf.DUMMYFUNCTION("""COMPUTED_VALUE"""),"cas_hmw")</f>
        <v>cas_hmw</v>
      </c>
      <c r="B20281" s="5">
        <f>IFERROR(__xludf.DUMMYFUNCTION("""COMPUTED_VALUE"""),44782.0)</f>
        <v>44782</v>
      </c>
      <c r="C20281" s="6">
        <f>IFERROR(__xludf.DUMMYFUNCTION("""COMPUTED_VALUE"""),0.3128356481465744)</f>
        <v>0.3128356481</v>
      </c>
      <c r="D20281" s="4">
        <f>IFERROR(__xludf.DUMMYFUNCTION("""COMPUTED_VALUE"""),13.045912)</f>
        <v>13.045912</v>
      </c>
      <c r="E20281" s="4">
        <f>IFERROR(__xludf.DUMMYFUNCTION("""COMPUTED_VALUE"""),80.24831)</f>
        <v>80.24831</v>
      </c>
      <c r="F20281" s="4">
        <f>IFERROR(__xludf.DUMMYFUNCTION("""COMPUTED_VALUE"""),5339.0)</f>
        <v>5339</v>
      </c>
      <c r="G20281" s="4">
        <f>IFERROR(__xludf.DUMMYFUNCTION("""COMPUTED_VALUE"""),42.0)</f>
        <v>42</v>
      </c>
      <c r="H20281" s="4"/>
      <c r="I20281" s="4"/>
    </row>
    <row r="20282">
      <c r="A20282" s="4" t="str">
        <f>IFERROR(__xludf.DUMMYFUNCTION("""COMPUTED_VALUE"""),"cas_hmw")</f>
        <v>cas_hmw</v>
      </c>
      <c r="B20282" s="5">
        <f>IFERROR(__xludf.DUMMYFUNCTION("""COMPUTED_VALUE"""),44782.0)</f>
        <v>44782</v>
      </c>
      <c r="C20282" s="6">
        <f>IFERROR(__xludf.DUMMYFUNCTION("""COMPUTED_VALUE"""),0.31349537037021946)</f>
        <v>0.3134953704</v>
      </c>
      <c r="D20282" s="4">
        <f>IFERROR(__xludf.DUMMYFUNCTION("""COMPUTED_VALUE"""),13.040455)</f>
        <v>13.040455</v>
      </c>
      <c r="E20282" s="4">
        <f>IFERROR(__xludf.DUMMYFUNCTION("""COMPUTED_VALUE"""),80.247246)</f>
        <v>80.247246</v>
      </c>
      <c r="F20282" s="4">
        <f>IFERROR(__xludf.DUMMYFUNCTION("""COMPUTED_VALUE"""),5339.0)</f>
        <v>5339</v>
      </c>
      <c r="G20282" s="4">
        <f>IFERROR(__xludf.DUMMYFUNCTION("""COMPUTED_VALUE"""),31.0)</f>
        <v>31</v>
      </c>
      <c r="H20282" s="4"/>
      <c r="I20282" s="4"/>
    </row>
    <row r="20283">
      <c r="A20283" s="4" t="str">
        <f>IFERROR(__xludf.DUMMYFUNCTION("""COMPUTED_VALUE"""),"cas_hmw")</f>
        <v>cas_hmw</v>
      </c>
      <c r="B20283" s="5">
        <f>IFERROR(__xludf.DUMMYFUNCTION("""COMPUTED_VALUE"""),44782.0)</f>
        <v>44782</v>
      </c>
      <c r="C20283" s="6">
        <f>IFERROR(__xludf.DUMMYFUNCTION("""COMPUTED_VALUE"""),0.31353009259328246)</f>
        <v>0.3135300926</v>
      </c>
      <c r="D20283" s="4">
        <f>IFERROR(__xludf.DUMMYFUNCTION("""COMPUTED_VALUE"""),13.040455)</f>
        <v>13.040455</v>
      </c>
      <c r="E20283" s="4">
        <f>IFERROR(__xludf.DUMMYFUNCTION("""COMPUTED_VALUE"""),80.247246)</f>
        <v>80.247246</v>
      </c>
      <c r="F20283" s="4">
        <f>IFERROR(__xludf.DUMMYFUNCTION("""COMPUTED_VALUE"""),5339.0)</f>
        <v>5339</v>
      </c>
      <c r="G20283" s="4">
        <f>IFERROR(__xludf.DUMMYFUNCTION("""COMPUTED_VALUE"""),31.0)</f>
        <v>31</v>
      </c>
      <c r="H20283" s="4"/>
      <c r="I20283" s="4"/>
    </row>
    <row r="20284">
      <c r="A20284" s="4" t="str">
        <f>IFERROR(__xludf.DUMMYFUNCTION("""COMPUTED_VALUE"""),"cas_hmw")</f>
        <v>cas_hmw</v>
      </c>
      <c r="B20284" s="5">
        <f>IFERROR(__xludf.DUMMYFUNCTION("""COMPUTED_VALUE"""),44782.0)</f>
        <v>44782</v>
      </c>
      <c r="C20284" s="6">
        <f>IFERROR(__xludf.DUMMYFUNCTION("""COMPUTED_VALUE"""),0.31356481481634546)</f>
        <v>0.3135648148</v>
      </c>
      <c r="D20284" s="4">
        <f>IFERROR(__xludf.DUMMYFUNCTION("""COMPUTED_VALUE"""),12.989927)</f>
        <v>12.989927</v>
      </c>
      <c r="E20284" s="4">
        <f>IFERROR(__xludf.DUMMYFUNCTION("""COMPUTED_VALUE"""),80.11683)</f>
        <v>80.11683</v>
      </c>
      <c r="F20284" s="4">
        <f>IFERROR(__xludf.DUMMYFUNCTION("""COMPUTED_VALUE"""),3143.0)</f>
        <v>3143</v>
      </c>
      <c r="G20284" s="4">
        <f>IFERROR(__xludf.DUMMYFUNCTION("""COMPUTED_VALUE"""),24.0)</f>
        <v>24</v>
      </c>
      <c r="H20284" s="4"/>
      <c r="I20284" s="4"/>
    </row>
    <row r="20285">
      <c r="A20285" s="4" t="str">
        <f>IFERROR(__xludf.DUMMYFUNCTION("""COMPUTED_VALUE"""),"cas_hmw")</f>
        <v>cas_hmw</v>
      </c>
      <c r="B20285" s="5">
        <f>IFERROR(__xludf.DUMMYFUNCTION("""COMPUTED_VALUE"""),44782.0)</f>
        <v>44782</v>
      </c>
      <c r="C20285" s="6">
        <f>IFERROR(__xludf.DUMMYFUNCTION("""COMPUTED_VALUE"""),0.31357638888948713)</f>
        <v>0.3135763889</v>
      </c>
      <c r="D20285" s="4">
        <f>IFERROR(__xludf.DUMMYFUNCTION("""COMPUTED_VALUE"""),12.65613)</f>
        <v>12.65613</v>
      </c>
      <c r="E20285" s="4">
        <f>IFERROR(__xludf.DUMMYFUNCTION("""COMPUTED_VALUE"""),79.953702)</f>
        <v>79.953702</v>
      </c>
      <c r="F20285" s="4">
        <f>IFERROR(__xludf.DUMMYFUNCTION("""COMPUTED_VALUE"""),2846.0)</f>
        <v>2846</v>
      </c>
      <c r="G20285" s="4">
        <f>IFERROR(__xludf.DUMMYFUNCTION("""COMPUTED_VALUE"""),58.0)</f>
        <v>58</v>
      </c>
      <c r="H20285" s="4"/>
      <c r="I20285" s="4"/>
    </row>
    <row r="20286">
      <c r="A20286" s="4" t="str">
        <f>IFERROR(__xludf.DUMMYFUNCTION("""COMPUTED_VALUE"""),"cas_hmw")</f>
        <v>cas_hmw</v>
      </c>
      <c r="B20286" s="5">
        <f>IFERROR(__xludf.DUMMYFUNCTION("""COMPUTED_VALUE"""),44782.0)</f>
        <v>44782</v>
      </c>
      <c r="C20286" s="6">
        <f>IFERROR(__xludf.DUMMYFUNCTION("""COMPUTED_VALUE"""),0.3136689814818965)</f>
        <v>0.3136689815</v>
      </c>
      <c r="D20286" s="4">
        <f>IFERROR(__xludf.DUMMYFUNCTION("""COMPUTED_VALUE"""),13.039747)</f>
        <v>13.039747</v>
      </c>
      <c r="E20286" s="4">
        <f>IFERROR(__xludf.DUMMYFUNCTION("""COMPUTED_VALUE"""),80.247104)</f>
        <v>80.247104</v>
      </c>
      <c r="F20286" s="4">
        <f>IFERROR(__xludf.DUMMYFUNCTION("""COMPUTED_VALUE"""),5339.0)</f>
        <v>5339</v>
      </c>
      <c r="G20286" s="4">
        <f>IFERROR(__xludf.DUMMYFUNCTION("""COMPUTED_VALUE"""),27.0)</f>
        <v>27</v>
      </c>
      <c r="H20286" s="4"/>
      <c r="I20286" s="4"/>
    </row>
    <row r="20287">
      <c r="A20287" s="4" t="str">
        <f>IFERROR(__xludf.DUMMYFUNCTION("""COMPUTED_VALUE"""),"cas_hmw")</f>
        <v>cas_hmw</v>
      </c>
      <c r="B20287" s="5">
        <f>IFERROR(__xludf.DUMMYFUNCTION("""COMPUTED_VALUE"""),44782.0)</f>
        <v>44782</v>
      </c>
      <c r="C20287" s="6">
        <f>IFERROR(__xludf.DUMMYFUNCTION("""COMPUTED_VALUE"""),0.3143287037019036)</f>
        <v>0.3143287037</v>
      </c>
      <c r="D20287" s="4">
        <f>IFERROR(__xludf.DUMMYFUNCTION("""COMPUTED_VALUE"""),12.659003)</f>
        <v>12.659003</v>
      </c>
      <c r="E20287" s="4">
        <f>IFERROR(__xludf.DUMMYFUNCTION("""COMPUTED_VALUE"""),79.961819)</f>
        <v>79.961819</v>
      </c>
      <c r="F20287" s="4">
        <f>IFERROR(__xludf.DUMMYFUNCTION("""COMPUTED_VALUE"""),2846.0)</f>
        <v>2846</v>
      </c>
      <c r="G20287" s="4">
        <f>IFERROR(__xludf.DUMMYFUNCTION("""COMPUTED_VALUE"""),46.0)</f>
        <v>46</v>
      </c>
      <c r="H20287" s="4"/>
      <c r="I20287" s="4"/>
    </row>
    <row r="20288">
      <c r="A20288" s="4" t="str">
        <f>IFERROR(__xludf.DUMMYFUNCTION("""COMPUTED_VALUE"""),"cas_hmw")</f>
        <v>cas_hmw</v>
      </c>
      <c r="B20288" s="5">
        <f>IFERROR(__xludf.DUMMYFUNCTION("""COMPUTED_VALUE"""),44782.0)</f>
        <v>44782</v>
      </c>
      <c r="C20288" s="6">
        <f>IFERROR(__xludf.DUMMYFUNCTION("""COMPUTED_VALUE"""),0.314942129629344)</f>
        <v>0.3149421296</v>
      </c>
      <c r="D20288" s="4">
        <f>IFERROR(__xludf.DUMMYFUNCTION("""COMPUTED_VALUE"""),13.034481)</f>
        <v>13.034481</v>
      </c>
      <c r="E20288" s="4">
        <f>IFERROR(__xludf.DUMMYFUNCTION("""COMPUTED_VALUE"""),80.245348)</f>
        <v>80.245348</v>
      </c>
      <c r="F20288" s="4">
        <f>IFERROR(__xludf.DUMMYFUNCTION("""COMPUTED_VALUE"""),5339.0)</f>
        <v>5339</v>
      </c>
      <c r="G20288" s="4">
        <f>IFERROR(__xludf.DUMMYFUNCTION("""COMPUTED_VALUE"""),34.0)</f>
        <v>34</v>
      </c>
      <c r="H20288" s="4"/>
      <c r="I20288" s="4"/>
    </row>
    <row r="20289">
      <c r="A20289" s="4" t="str">
        <f>IFERROR(__xludf.DUMMYFUNCTION("""COMPUTED_VALUE"""),"cas_hmw")</f>
        <v>cas_hmw</v>
      </c>
      <c r="B20289" s="5">
        <f>IFERROR(__xludf.DUMMYFUNCTION("""COMPUTED_VALUE"""),44782.0)</f>
        <v>44782</v>
      </c>
      <c r="C20289" s="6">
        <f>IFERROR(__xludf.DUMMYFUNCTION("""COMPUTED_VALUE"""),0.3150925925910997)</f>
        <v>0.3150925926</v>
      </c>
      <c r="D20289" s="4">
        <f>IFERROR(__xludf.DUMMYFUNCTION("""COMPUTED_VALUE"""),12.984057)</f>
        <v>12.984057</v>
      </c>
      <c r="E20289" s="4">
        <f>IFERROR(__xludf.DUMMYFUNCTION("""COMPUTED_VALUE"""),80.124965)</f>
        <v>80.124965</v>
      </c>
      <c r="F20289" s="4">
        <f>IFERROR(__xludf.DUMMYFUNCTION("""COMPUTED_VALUE"""),3143.0)</f>
        <v>3143</v>
      </c>
      <c r="G20289" s="4">
        <f>IFERROR(__xludf.DUMMYFUNCTION("""COMPUTED_VALUE"""),41.0)</f>
        <v>41</v>
      </c>
      <c r="H20289" s="4"/>
      <c r="I20289" s="4"/>
    </row>
    <row r="20290">
      <c r="A20290" s="4" t="str">
        <f>IFERROR(__xludf.DUMMYFUNCTION("""COMPUTED_VALUE"""),"cas_hmw")</f>
        <v>cas_hmw</v>
      </c>
      <c r="B20290" s="5">
        <f>IFERROR(__xludf.DUMMYFUNCTION("""COMPUTED_VALUE"""),44782.0)</f>
        <v>44782</v>
      </c>
      <c r="C20290" s="6">
        <f>IFERROR(__xludf.DUMMYFUNCTION("""COMPUTED_VALUE"""),0.3168171296310902)</f>
        <v>0.3168171296</v>
      </c>
      <c r="D20290" s="4">
        <f>IFERROR(__xludf.DUMMYFUNCTION("""COMPUTED_VALUE"""),13.028337)</f>
        <v>13.028337</v>
      </c>
      <c r="E20290" s="4">
        <f>IFERROR(__xludf.DUMMYFUNCTION("""COMPUTED_VALUE"""),80.235861)</f>
        <v>80.235861</v>
      </c>
      <c r="F20290" s="4">
        <f>IFERROR(__xludf.DUMMYFUNCTION("""COMPUTED_VALUE"""),5339.0)</f>
        <v>5339</v>
      </c>
      <c r="G20290" s="4">
        <f>IFERROR(__xludf.DUMMYFUNCTION("""COMPUTED_VALUE"""),45.0)</f>
        <v>45</v>
      </c>
      <c r="H20290" s="4"/>
      <c r="I20290" s="4"/>
    </row>
    <row r="20291">
      <c r="A20291" s="4" t="str">
        <f>IFERROR(__xludf.DUMMYFUNCTION("""COMPUTED_VALUE"""),"cas_hmw")</f>
        <v>cas_hmw</v>
      </c>
      <c r="B20291" s="5">
        <f>IFERROR(__xludf.DUMMYFUNCTION("""COMPUTED_VALUE"""),44782.0)</f>
        <v>44782</v>
      </c>
      <c r="C20291" s="6">
        <f>IFERROR(__xludf.DUMMYFUNCTION("""COMPUTED_VALUE"""),0.3170138888890506)</f>
        <v>0.3170138889</v>
      </c>
      <c r="D20291" s="4">
        <f>IFERROR(__xludf.DUMMYFUNCTION("""COMPUTED_VALUE"""),12.977372)</f>
        <v>12.977372</v>
      </c>
      <c r="E20291" s="4">
        <f>IFERROR(__xludf.DUMMYFUNCTION("""COMPUTED_VALUE"""),80.131164)</f>
        <v>80.131164</v>
      </c>
      <c r="F20291" s="4">
        <f>IFERROR(__xludf.DUMMYFUNCTION("""COMPUTED_VALUE"""),3143.0)</f>
        <v>3143</v>
      </c>
      <c r="G20291" s="4">
        <f>IFERROR(__xludf.DUMMYFUNCTION("""COMPUTED_VALUE"""),25.0)</f>
        <v>25</v>
      </c>
      <c r="H20291" s="4"/>
      <c r="I20291" s="4"/>
    </row>
    <row r="20292">
      <c r="A20292" s="4" t="str">
        <f>IFERROR(__xludf.DUMMYFUNCTION("""COMPUTED_VALUE"""),"cas_hmw")</f>
        <v>cas_hmw</v>
      </c>
      <c r="B20292" s="5">
        <f>IFERROR(__xludf.DUMMYFUNCTION("""COMPUTED_VALUE"""),44782.0)</f>
        <v>44782</v>
      </c>
      <c r="C20292" s="6">
        <f>IFERROR(__xludf.DUMMYFUNCTION("""COMPUTED_VALUE"""),0.3170717592583969)</f>
        <v>0.3170717593</v>
      </c>
      <c r="D20292" s="4">
        <f>IFERROR(__xludf.DUMMYFUNCTION("""COMPUTED_VALUE"""),12.977072)</f>
        <v>12.977072</v>
      </c>
      <c r="E20292" s="4">
        <f>IFERROR(__xludf.DUMMYFUNCTION("""COMPUTED_VALUE"""),80.131881)</f>
        <v>80.131881</v>
      </c>
      <c r="F20292" s="4">
        <f>IFERROR(__xludf.DUMMYFUNCTION("""COMPUTED_VALUE"""),3143.0)</f>
        <v>3143</v>
      </c>
      <c r="G20292" s="4">
        <f>IFERROR(__xludf.DUMMYFUNCTION("""COMPUTED_VALUE"""),33.0)</f>
        <v>33</v>
      </c>
      <c r="H20292" s="4"/>
      <c r="I20292" s="4"/>
    </row>
    <row r="20293">
      <c r="A20293" s="4" t="str">
        <f>IFERROR(__xludf.DUMMYFUNCTION("""COMPUTED_VALUE"""),"cas_hmw")</f>
        <v>cas_hmw</v>
      </c>
      <c r="B20293" s="5">
        <f>IFERROR(__xludf.DUMMYFUNCTION("""COMPUTED_VALUE"""),44782.0)</f>
        <v>44782</v>
      </c>
      <c r="C20293" s="6">
        <f>IFERROR(__xludf.DUMMYFUNCTION("""COMPUTED_VALUE"""),0.3183796296289074)</f>
        <v>0.3183796296</v>
      </c>
      <c r="D20293" s="4">
        <f>IFERROR(__xludf.DUMMYFUNCTION("""COMPUTED_VALUE"""),13.024229)</f>
        <v>13.024229</v>
      </c>
      <c r="E20293" s="4">
        <f>IFERROR(__xludf.DUMMYFUNCTION("""COMPUTED_VALUE"""),80.228534)</f>
        <v>80.228534</v>
      </c>
      <c r="F20293" s="4">
        <f>IFERROR(__xludf.DUMMYFUNCTION("""COMPUTED_VALUE"""),5339.0)</f>
        <v>5339</v>
      </c>
      <c r="G20293" s="4">
        <f>IFERROR(__xludf.DUMMYFUNCTION("""COMPUTED_VALUE"""),32.0)</f>
        <v>32</v>
      </c>
      <c r="H20293" s="4"/>
      <c r="I20293" s="4"/>
    </row>
    <row r="20294">
      <c r="A20294" s="4" t="str">
        <f>IFERROR(__xludf.DUMMYFUNCTION("""COMPUTED_VALUE"""),"cas_hmw")</f>
        <v>cas_hmw</v>
      </c>
      <c r="B20294" s="5">
        <f>IFERROR(__xludf.DUMMYFUNCTION("""COMPUTED_VALUE"""),44782.0)</f>
        <v>44782</v>
      </c>
      <c r="C20294" s="6">
        <f>IFERROR(__xludf.DUMMYFUNCTION("""COMPUTED_VALUE"""),0.3183912037020491)</f>
        <v>0.3183912037</v>
      </c>
      <c r="D20294" s="4">
        <f>IFERROR(__xludf.DUMMYFUNCTION("""COMPUTED_VALUE"""),13.024229)</f>
        <v>13.024229</v>
      </c>
      <c r="E20294" s="4">
        <f>IFERROR(__xludf.DUMMYFUNCTION("""COMPUTED_VALUE"""),80.228534)</f>
        <v>80.228534</v>
      </c>
      <c r="F20294" s="4">
        <f>IFERROR(__xludf.DUMMYFUNCTION("""COMPUTED_VALUE"""),5339.0)</f>
        <v>5339</v>
      </c>
      <c r="G20294" s="4">
        <f>IFERROR(__xludf.DUMMYFUNCTION("""COMPUTED_VALUE"""),32.0)</f>
        <v>32</v>
      </c>
      <c r="H20294" s="4"/>
      <c r="I20294" s="4"/>
    </row>
    <row r="20295">
      <c r="A20295" s="4" t="str">
        <f>IFERROR(__xludf.DUMMYFUNCTION("""COMPUTED_VALUE"""),"cas_hmw")</f>
        <v>cas_hmw</v>
      </c>
      <c r="B20295" s="5">
        <f>IFERROR(__xludf.DUMMYFUNCTION("""COMPUTED_VALUE"""),44782.0)</f>
        <v>44782</v>
      </c>
      <c r="C20295" s="6">
        <f>IFERROR(__xludf.DUMMYFUNCTION("""COMPUTED_VALUE"""),0.31872685185226146)</f>
        <v>0.3187268519</v>
      </c>
      <c r="D20295" s="4">
        <f>IFERROR(__xludf.DUMMYFUNCTION("""COMPUTED_VALUE"""),13.021972)</f>
        <v>13.021972</v>
      </c>
      <c r="E20295" s="4">
        <f>IFERROR(__xludf.DUMMYFUNCTION("""COMPUTED_VALUE"""),80.226269)</f>
        <v>80.226269</v>
      </c>
      <c r="F20295" s="4">
        <f>IFERROR(__xludf.DUMMYFUNCTION("""COMPUTED_VALUE"""),5339.0)</f>
        <v>5339</v>
      </c>
      <c r="G20295" s="4">
        <f>IFERROR(__xludf.DUMMYFUNCTION("""COMPUTED_VALUE"""),43.0)</f>
        <v>43</v>
      </c>
      <c r="H20295" s="4"/>
      <c r="I20295" s="4"/>
    </row>
    <row r="20296">
      <c r="A20296" s="4" t="str">
        <f>IFERROR(__xludf.DUMMYFUNCTION("""COMPUTED_VALUE"""),"cas_hmw")</f>
        <v>cas_hmw</v>
      </c>
      <c r="B20296" s="5">
        <f>IFERROR(__xludf.DUMMYFUNCTION("""COMPUTED_VALUE"""),44782.0)</f>
        <v>44782</v>
      </c>
      <c r="C20296" s="6">
        <f>IFERROR(__xludf.DUMMYFUNCTION("""COMPUTED_VALUE"""),0.31986111111109494)</f>
        <v>0.3198611111</v>
      </c>
      <c r="D20296" s="4">
        <f>IFERROR(__xludf.DUMMYFUNCTION("""COMPUTED_VALUE"""),13.015251)</f>
        <v>13.015251</v>
      </c>
      <c r="E20296" s="4">
        <f>IFERROR(__xludf.DUMMYFUNCTION("""COMPUTED_VALUE"""),80.225922)</f>
        <v>80.225922</v>
      </c>
      <c r="F20296" s="4">
        <f>IFERROR(__xludf.DUMMYFUNCTION("""COMPUTED_VALUE"""),5339.0)</f>
        <v>5339</v>
      </c>
      <c r="G20296" s="4">
        <f>IFERROR(__xludf.DUMMYFUNCTION("""COMPUTED_VALUE"""),25.0)</f>
        <v>25</v>
      </c>
      <c r="H20296" s="4"/>
      <c r="I20296" s="4"/>
    </row>
    <row r="20297">
      <c r="A20297" s="4" t="str">
        <f>IFERROR(__xludf.DUMMYFUNCTION("""COMPUTED_VALUE"""),"cas_hmw")</f>
        <v>cas_hmw</v>
      </c>
      <c r="B20297" s="5">
        <f>IFERROR(__xludf.DUMMYFUNCTION("""COMPUTED_VALUE"""),44782.0)</f>
        <v>44782</v>
      </c>
      <c r="C20297" s="6">
        <f>IFERROR(__xludf.DUMMYFUNCTION("""COMPUTED_VALUE"""),0.3200231481496303)</f>
        <v>0.3200231481</v>
      </c>
      <c r="D20297" s="4">
        <f>IFERROR(__xludf.DUMMYFUNCTION("""COMPUTED_VALUE"""),13.014529)</f>
        <v>13.014529</v>
      </c>
      <c r="E20297" s="4">
        <f>IFERROR(__xludf.DUMMYFUNCTION("""COMPUTED_VALUE"""),80.226186)</f>
        <v>80.226186</v>
      </c>
      <c r="F20297" s="4">
        <f>IFERROR(__xludf.DUMMYFUNCTION("""COMPUTED_VALUE"""),5339.0)</f>
        <v>5339</v>
      </c>
      <c r="G20297" s="4">
        <f>IFERROR(__xludf.DUMMYFUNCTION("""COMPUTED_VALUE"""),35.0)</f>
        <v>35</v>
      </c>
      <c r="H20297" s="4"/>
      <c r="I20297" s="4"/>
    </row>
    <row r="20298">
      <c r="A20298" s="4" t="str">
        <f>IFERROR(__xludf.DUMMYFUNCTION("""COMPUTED_VALUE"""),"cas_hmw")</f>
        <v>cas_hmw</v>
      </c>
      <c r="B20298" s="5">
        <f>IFERROR(__xludf.DUMMYFUNCTION("""COMPUTED_VALUE"""),44782.0)</f>
        <v>44782</v>
      </c>
      <c r="C20298" s="6">
        <f>IFERROR(__xludf.DUMMYFUNCTION("""COMPUTED_VALUE"""),0.3212152777778101)</f>
        <v>0.3212152778</v>
      </c>
      <c r="D20298" s="4">
        <f>IFERROR(__xludf.DUMMYFUNCTION("""COMPUTED_VALUE"""),13.011115)</f>
        <v>13.011115</v>
      </c>
      <c r="E20298" s="4">
        <f>IFERROR(__xludf.DUMMYFUNCTION("""COMPUTED_VALUE"""),80.224021)</f>
        <v>80.224021</v>
      </c>
      <c r="F20298" s="4">
        <f>IFERROR(__xludf.DUMMYFUNCTION("""COMPUTED_VALUE"""),5339.0)</f>
        <v>5339</v>
      </c>
      <c r="G20298" s="4">
        <f>IFERROR(__xludf.DUMMYFUNCTION("""COMPUTED_VALUE"""),37.0)</f>
        <v>37</v>
      </c>
      <c r="H20298" s="4"/>
      <c r="I20298" s="4"/>
    </row>
    <row r="20299">
      <c r="A20299" s="4" t="str">
        <f>IFERROR(__xludf.DUMMYFUNCTION("""COMPUTED_VALUE"""),"cas_hmw")</f>
        <v>cas_hmw</v>
      </c>
      <c r="B20299" s="5">
        <f>IFERROR(__xludf.DUMMYFUNCTION("""COMPUTED_VALUE"""),44782.0)</f>
        <v>44782</v>
      </c>
      <c r="C20299" s="6">
        <f>IFERROR(__xludf.DUMMYFUNCTION("""COMPUTED_VALUE"""),0.3221759259249666)</f>
        <v>0.3221759259</v>
      </c>
      <c r="D20299" s="4">
        <f>IFERROR(__xludf.DUMMYFUNCTION("""COMPUTED_VALUE"""),13.011317)</f>
        <v>13.011317</v>
      </c>
      <c r="E20299" s="4">
        <f>IFERROR(__xludf.DUMMYFUNCTION("""COMPUTED_VALUE"""),80.218338)</f>
        <v>80.218338</v>
      </c>
      <c r="F20299" s="4">
        <f>IFERROR(__xludf.DUMMYFUNCTION("""COMPUTED_VALUE"""),5339.0)</f>
        <v>5339</v>
      </c>
      <c r="G20299" s="4">
        <f>IFERROR(__xludf.DUMMYFUNCTION("""COMPUTED_VALUE"""),46.0)</f>
        <v>46</v>
      </c>
      <c r="H20299" s="4"/>
      <c r="I20299" s="4"/>
    </row>
    <row r="20300">
      <c r="A20300" s="4" t="str">
        <f>IFERROR(__xludf.DUMMYFUNCTION("""COMPUTED_VALUE"""),"cas_hmw")</f>
        <v>cas_hmw</v>
      </c>
      <c r="B20300" s="5">
        <f>IFERROR(__xludf.DUMMYFUNCTION("""COMPUTED_VALUE"""),44782.0)</f>
        <v>44782</v>
      </c>
      <c r="C20300" s="6">
        <f>IFERROR(__xludf.DUMMYFUNCTION("""COMPUTED_VALUE"""),0.32222222222117125)</f>
        <v>0.3222222222</v>
      </c>
      <c r="D20300" s="4">
        <f>IFERROR(__xludf.DUMMYFUNCTION("""COMPUTED_VALUE"""),13.010917)</f>
        <v>13.010917</v>
      </c>
      <c r="E20300" s="4">
        <f>IFERROR(__xludf.DUMMYFUNCTION("""COMPUTED_VALUE"""),80.217311)</f>
        <v>80.217311</v>
      </c>
      <c r="F20300" s="4">
        <f>IFERROR(__xludf.DUMMYFUNCTION("""COMPUTED_VALUE"""),5339.0)</f>
        <v>5339</v>
      </c>
      <c r="G20300" s="4">
        <f>IFERROR(__xludf.DUMMYFUNCTION("""COMPUTED_VALUE"""),42.0)</f>
        <v>42</v>
      </c>
      <c r="H20300" s="4"/>
      <c r="I20300" s="4"/>
    </row>
    <row r="20301">
      <c r="A20301" s="4" t="str">
        <f>IFERROR(__xludf.DUMMYFUNCTION("""COMPUTED_VALUE"""),"cas_hmw")</f>
        <v>cas_hmw</v>
      </c>
      <c r="B20301" s="5">
        <f>IFERROR(__xludf.DUMMYFUNCTION("""COMPUTED_VALUE"""),44782.0)</f>
        <v>44782</v>
      </c>
      <c r="C20301" s="6">
        <f>IFERROR(__xludf.DUMMYFUNCTION("""COMPUTED_VALUE"""),0.32261574074072996)</f>
        <v>0.3226157407</v>
      </c>
      <c r="D20301" s="4">
        <f>IFERROR(__xludf.DUMMYFUNCTION("""COMPUTED_VALUE"""),13.009861)</f>
        <v>13.009861</v>
      </c>
      <c r="E20301" s="4">
        <f>IFERROR(__xludf.DUMMYFUNCTION("""COMPUTED_VALUE"""),80.214108)</f>
        <v>80.214108</v>
      </c>
      <c r="F20301" s="4">
        <f>IFERROR(__xludf.DUMMYFUNCTION("""COMPUTED_VALUE"""),5339.0)</f>
        <v>5339</v>
      </c>
      <c r="G20301" s="4">
        <f>IFERROR(__xludf.DUMMYFUNCTION("""COMPUTED_VALUE"""),48.0)</f>
        <v>48</v>
      </c>
      <c r="H20301" s="4"/>
      <c r="I20301" s="4"/>
    </row>
    <row r="20302">
      <c r="A20302" s="4" t="str">
        <f>IFERROR(__xludf.DUMMYFUNCTION("""COMPUTED_VALUE"""),"cas_hmw")</f>
        <v>cas_hmw</v>
      </c>
      <c r="B20302" s="5">
        <f>IFERROR(__xludf.DUMMYFUNCTION("""COMPUTED_VALUE"""),44782.0)</f>
        <v>44782</v>
      </c>
      <c r="C20302" s="6">
        <f>IFERROR(__xludf.DUMMYFUNCTION("""COMPUTED_VALUE"""),0.322997685183509)</f>
        <v>0.3229976852</v>
      </c>
      <c r="D20302" s="4">
        <f>IFERROR(__xludf.DUMMYFUNCTION("""COMPUTED_VALUE"""),13.00823)</f>
        <v>13.00823</v>
      </c>
      <c r="E20302" s="4">
        <f>IFERROR(__xludf.DUMMYFUNCTION("""COMPUTED_VALUE"""),80.209716)</f>
        <v>80.209716</v>
      </c>
      <c r="F20302" s="4">
        <f>IFERROR(__xludf.DUMMYFUNCTION("""COMPUTED_VALUE"""),5339.0)</f>
        <v>5339</v>
      </c>
      <c r="G20302" s="4">
        <f>IFERROR(__xludf.DUMMYFUNCTION("""COMPUTED_VALUE"""),47.0)</f>
        <v>47</v>
      </c>
      <c r="H20302" s="4"/>
      <c r="I20302" s="4"/>
    </row>
    <row r="20303">
      <c r="A20303" s="4" t="str">
        <f>IFERROR(__xludf.DUMMYFUNCTION("""COMPUTED_VALUE"""),"cas_hmw")</f>
        <v>cas_hmw</v>
      </c>
      <c r="B20303" s="5">
        <f>IFERROR(__xludf.DUMMYFUNCTION("""COMPUTED_VALUE"""),44782.0)</f>
        <v>44782</v>
      </c>
      <c r="C20303" s="6">
        <f>IFERROR(__xludf.DUMMYFUNCTION("""COMPUTED_VALUE"""),0.3236574074071541)</f>
        <v>0.3236574074</v>
      </c>
      <c r="D20303" s="4">
        <f>IFERROR(__xludf.DUMMYFUNCTION("""COMPUTED_VALUE"""),13.006694)</f>
        <v>13.006694</v>
      </c>
      <c r="E20303" s="4">
        <f>IFERROR(__xludf.DUMMYFUNCTION("""COMPUTED_VALUE"""),80.203905)</f>
        <v>80.203905</v>
      </c>
      <c r="F20303" s="4">
        <f>IFERROR(__xludf.DUMMYFUNCTION("""COMPUTED_VALUE"""),5339.0)</f>
        <v>5339</v>
      </c>
      <c r="G20303" s="4">
        <f>IFERROR(__xludf.DUMMYFUNCTION("""COMPUTED_VALUE"""),47.0)</f>
        <v>47</v>
      </c>
      <c r="H20303" s="4"/>
      <c r="I20303" s="4"/>
    </row>
    <row r="20304">
      <c r="A20304" s="4" t="str">
        <f>IFERROR(__xludf.DUMMYFUNCTION("""COMPUTED_VALUE"""),"cas_hmw")</f>
        <v>cas_hmw</v>
      </c>
      <c r="B20304" s="5">
        <f>IFERROR(__xludf.DUMMYFUNCTION("""COMPUTED_VALUE"""),44782.0)</f>
        <v>44782</v>
      </c>
      <c r="C20304" s="6">
        <f>IFERROR(__xludf.DUMMYFUNCTION("""COMPUTED_VALUE"""),0.32403935185357113)</f>
        <v>0.3240393519</v>
      </c>
      <c r="D20304" s="4">
        <f>IFERROR(__xludf.DUMMYFUNCTION("""COMPUTED_VALUE"""),13.003682)</f>
        <v>13.003682</v>
      </c>
      <c r="E20304" s="4">
        <f>IFERROR(__xludf.DUMMYFUNCTION("""COMPUTED_VALUE"""),80.200975)</f>
        <v>80.200975</v>
      </c>
      <c r="F20304" s="4">
        <f>IFERROR(__xludf.DUMMYFUNCTION("""COMPUTED_VALUE"""),5339.0)</f>
        <v>5339</v>
      </c>
      <c r="G20304" s="4">
        <f>IFERROR(__xludf.DUMMYFUNCTION("""COMPUTED_VALUE"""),47.0)</f>
        <v>47</v>
      </c>
      <c r="H20304" s="4"/>
      <c r="I20304" s="4"/>
    </row>
    <row r="20305">
      <c r="A20305" s="4" t="str">
        <f>IFERROR(__xludf.DUMMYFUNCTION("""COMPUTED_VALUE"""),"cas_hmw")</f>
        <v>cas_hmw</v>
      </c>
      <c r="B20305" s="5">
        <f>IFERROR(__xludf.DUMMYFUNCTION("""COMPUTED_VALUE"""),44782.0)</f>
        <v>44782</v>
      </c>
      <c r="C20305" s="6">
        <f>IFERROR(__xludf.DUMMYFUNCTION("""COMPUTED_VALUE"""),0.32410879629605915)</f>
        <v>0.3241087963</v>
      </c>
      <c r="D20305" s="4">
        <f>IFERROR(__xludf.DUMMYFUNCTION("""COMPUTED_VALUE"""),13.003682)</f>
        <v>13.003682</v>
      </c>
      <c r="E20305" s="4">
        <f>IFERROR(__xludf.DUMMYFUNCTION("""COMPUTED_VALUE"""),80.200975)</f>
        <v>80.200975</v>
      </c>
      <c r="F20305" s="4">
        <f>IFERROR(__xludf.DUMMYFUNCTION("""COMPUTED_VALUE"""),5339.0)</f>
        <v>5339</v>
      </c>
      <c r="G20305" s="4">
        <f>IFERROR(__xludf.DUMMYFUNCTION("""COMPUTED_VALUE"""),47.0)</f>
        <v>47</v>
      </c>
      <c r="H20305" s="4"/>
      <c r="I20305" s="4"/>
    </row>
    <row r="20306">
      <c r="A20306" s="4" t="str">
        <f>IFERROR(__xludf.DUMMYFUNCTION("""COMPUTED_VALUE"""),"cas_hmw")</f>
        <v>cas_hmw</v>
      </c>
      <c r="B20306" s="5">
        <f>IFERROR(__xludf.DUMMYFUNCTION("""COMPUTED_VALUE"""),44782.0)</f>
        <v>44782</v>
      </c>
      <c r="C20306" s="6">
        <f>IFERROR(__xludf.DUMMYFUNCTION("""COMPUTED_VALUE"""),0.32631944444437977)</f>
        <v>0.3263194444</v>
      </c>
      <c r="D20306" s="4">
        <f>IFERROR(__xludf.DUMMYFUNCTION("""COMPUTED_VALUE"""),12.706438)</f>
        <v>12.706438</v>
      </c>
      <c r="E20306" s="4">
        <f>IFERROR(__xludf.DUMMYFUNCTION("""COMPUTED_VALUE"""),79.975439)</f>
        <v>79.975439</v>
      </c>
      <c r="F20306" s="4">
        <f>IFERROR(__xludf.DUMMYFUNCTION("""COMPUTED_VALUE"""),2846.0)</f>
        <v>2846</v>
      </c>
      <c r="G20306" s="4">
        <f>IFERROR(__xludf.DUMMYFUNCTION("""COMPUTED_VALUE"""),61.0)</f>
        <v>61</v>
      </c>
      <c r="H20306" s="4"/>
      <c r="I20306" s="4"/>
    </row>
    <row r="20307">
      <c r="A20307" s="4" t="str">
        <f>IFERROR(__xludf.DUMMYFUNCTION("""COMPUTED_VALUE"""),"cas_hmw")</f>
        <v>cas_hmw</v>
      </c>
      <c r="B20307" s="5">
        <f>IFERROR(__xludf.DUMMYFUNCTION("""COMPUTED_VALUE"""),44782.0)</f>
        <v>44782</v>
      </c>
      <c r="C20307" s="6">
        <f>IFERROR(__xludf.DUMMYFUNCTION("""COMPUTED_VALUE"""),0.32701388888744987)</f>
        <v>0.3270138889</v>
      </c>
      <c r="D20307" s="4">
        <f>IFERROR(__xludf.DUMMYFUNCTION("""COMPUTED_VALUE"""),12.993498)</f>
        <v>12.993498</v>
      </c>
      <c r="E20307" s="4">
        <f>IFERROR(__xludf.DUMMYFUNCTION("""COMPUTED_VALUE"""),80.184631)</f>
        <v>80.184631</v>
      </c>
      <c r="F20307" s="4">
        <f>IFERROR(__xludf.DUMMYFUNCTION("""COMPUTED_VALUE"""),5339.0)</f>
        <v>5339</v>
      </c>
      <c r="G20307" s="4">
        <f>IFERROR(__xludf.DUMMYFUNCTION("""COMPUTED_VALUE"""),39.0)</f>
        <v>39</v>
      </c>
      <c r="H20307" s="4"/>
      <c r="I20307" s="4"/>
    </row>
    <row r="20308">
      <c r="A20308" s="4" t="str">
        <f>IFERROR(__xludf.DUMMYFUNCTION("""COMPUTED_VALUE"""),"cas_hmw")</f>
        <v>cas_hmw</v>
      </c>
      <c r="B20308" s="5">
        <f>IFERROR(__xludf.DUMMYFUNCTION("""COMPUTED_VALUE"""),44782.0)</f>
        <v>44782</v>
      </c>
      <c r="C20308" s="6">
        <f>IFERROR(__xludf.DUMMYFUNCTION("""COMPUTED_VALUE"""),0.3287037037043774)</f>
        <v>0.3287037037</v>
      </c>
      <c r="D20308" s="4">
        <f>IFERROR(__xludf.DUMMYFUNCTION("""COMPUTED_VALUE"""),13.007865)</f>
        <v>13.007865</v>
      </c>
      <c r="E20308" s="4">
        <f>IFERROR(__xludf.DUMMYFUNCTION("""COMPUTED_VALUE"""),80.234982)</f>
        <v>80.234982</v>
      </c>
      <c r="F20308" s="4">
        <f>IFERROR(__xludf.DUMMYFUNCTION("""COMPUTED_VALUE"""),805.0)</f>
        <v>805</v>
      </c>
      <c r="G20308" s="4">
        <f>IFERROR(__xludf.DUMMYFUNCTION("""COMPUTED_VALUE"""),26.0)</f>
        <v>26</v>
      </c>
      <c r="H20308" s="4"/>
      <c r="I20308" s="4"/>
    </row>
    <row r="20309">
      <c r="A20309" s="4" t="str">
        <f>IFERROR(__xludf.DUMMYFUNCTION("""COMPUTED_VALUE"""),"cas_hmw")</f>
        <v>cas_hmw</v>
      </c>
      <c r="B20309" s="5">
        <f>IFERROR(__xludf.DUMMYFUNCTION("""COMPUTED_VALUE"""),44782.0)</f>
        <v>44782</v>
      </c>
      <c r="C20309" s="6">
        <f>IFERROR(__xludf.DUMMYFUNCTION("""COMPUTED_VALUE"""),0.32915509259328246)</f>
        <v>0.3291550926</v>
      </c>
      <c r="D20309" s="4">
        <f>IFERROR(__xludf.DUMMYFUNCTION("""COMPUTED_VALUE"""),12.983794)</f>
        <v>12.983794</v>
      </c>
      <c r="E20309" s="4">
        <f>IFERROR(__xludf.DUMMYFUNCTION("""COMPUTED_VALUE"""),80.170722)</f>
        <v>80.170722</v>
      </c>
      <c r="F20309" s="4">
        <f>IFERROR(__xludf.DUMMYFUNCTION("""COMPUTED_VALUE"""),5339.0)</f>
        <v>5339</v>
      </c>
      <c r="G20309" s="4">
        <f>IFERROR(__xludf.DUMMYFUNCTION("""COMPUTED_VALUE"""),37.0)</f>
        <v>37</v>
      </c>
      <c r="H20309" s="4"/>
      <c r="I20309" s="4"/>
    </row>
    <row r="20310">
      <c r="A20310" s="4" t="str">
        <f>IFERROR(__xludf.DUMMYFUNCTION("""COMPUTED_VALUE"""),"cas_hmw")</f>
        <v>cas_hmw</v>
      </c>
      <c r="B20310" s="5">
        <f>IFERROR(__xludf.DUMMYFUNCTION("""COMPUTED_VALUE"""),44782.0)</f>
        <v>44782</v>
      </c>
      <c r="C20310" s="6">
        <f>IFERROR(__xludf.DUMMYFUNCTION("""COMPUTED_VALUE"""),0.3298726851862739)</f>
        <v>0.3298726852</v>
      </c>
      <c r="D20310" s="4">
        <f>IFERROR(__xludf.DUMMYFUNCTION("""COMPUTED_VALUE"""),13.011476)</f>
        <v>13.011476</v>
      </c>
      <c r="E20310" s="4">
        <f>IFERROR(__xludf.DUMMYFUNCTION("""COMPUTED_VALUE"""),80.222978)</f>
        <v>80.222978</v>
      </c>
      <c r="F20310" s="4">
        <f>IFERROR(__xludf.DUMMYFUNCTION("""COMPUTED_VALUE"""),805.0)</f>
        <v>805</v>
      </c>
      <c r="G20310" s="4">
        <f>IFERROR(__xludf.DUMMYFUNCTION("""COMPUTED_VALUE"""),47.0)</f>
        <v>47</v>
      </c>
      <c r="H20310" s="4"/>
      <c r="I20310" s="4"/>
    </row>
    <row r="20311">
      <c r="A20311" s="4" t="str">
        <f>IFERROR(__xludf.DUMMYFUNCTION("""COMPUTED_VALUE"""),"cas_hmw")</f>
        <v>cas_hmw</v>
      </c>
      <c r="B20311" s="5">
        <f>IFERROR(__xludf.DUMMYFUNCTION("""COMPUTED_VALUE"""),44782.0)</f>
        <v>44782</v>
      </c>
      <c r="C20311" s="6">
        <f>IFERROR(__xludf.DUMMYFUNCTION("""COMPUTED_VALUE"""),0.33027777777897427)</f>
        <v>0.3302777778</v>
      </c>
      <c r="D20311" s="4">
        <f>IFERROR(__xludf.DUMMYFUNCTION("""COMPUTED_VALUE"""),13.011624)</f>
        <v>13.011624</v>
      </c>
      <c r="E20311" s="4">
        <f>IFERROR(__xludf.DUMMYFUNCTION("""COMPUTED_VALUE"""),80.219338)</f>
        <v>80.219338</v>
      </c>
      <c r="F20311" s="4">
        <f>IFERROR(__xludf.DUMMYFUNCTION("""COMPUTED_VALUE"""),805.0)</f>
        <v>805</v>
      </c>
      <c r="G20311" s="4">
        <f>IFERROR(__xludf.DUMMYFUNCTION("""COMPUTED_VALUE"""),39.0)</f>
        <v>39</v>
      </c>
      <c r="H20311" s="4"/>
      <c r="I20311" s="4"/>
    </row>
    <row r="20312">
      <c r="A20312" s="4" t="str">
        <f>IFERROR(__xludf.DUMMYFUNCTION("""COMPUTED_VALUE"""),"cas_hmw")</f>
        <v>cas_hmw</v>
      </c>
      <c r="B20312" s="5">
        <f>IFERROR(__xludf.DUMMYFUNCTION("""COMPUTED_VALUE"""),44782.0)</f>
        <v>44782</v>
      </c>
      <c r="C20312" s="6">
        <f>IFERROR(__xludf.DUMMYFUNCTION("""COMPUTED_VALUE"""),0.33039351851766696)</f>
        <v>0.3303935185</v>
      </c>
      <c r="D20312" s="4">
        <f>IFERROR(__xludf.DUMMYFUNCTION("""COMPUTED_VALUE"""),13.011316)</f>
        <v>13.011316</v>
      </c>
      <c r="E20312" s="4">
        <f>IFERROR(__xludf.DUMMYFUNCTION("""COMPUTED_VALUE"""),80.21841)</f>
        <v>80.21841</v>
      </c>
      <c r="F20312" s="4">
        <f>IFERROR(__xludf.DUMMYFUNCTION("""COMPUTED_VALUE"""),805.0)</f>
        <v>805</v>
      </c>
      <c r="G20312" s="4">
        <f>IFERROR(__xludf.DUMMYFUNCTION("""COMPUTED_VALUE"""),37.0)</f>
        <v>37</v>
      </c>
      <c r="H20312" s="4"/>
      <c r="I20312" s="4"/>
    </row>
    <row r="20313">
      <c r="A20313" s="4" t="str">
        <f>IFERROR(__xludf.DUMMYFUNCTION("""COMPUTED_VALUE"""),"cas_hmw")</f>
        <v>cas_hmw</v>
      </c>
      <c r="B20313" s="5">
        <f>IFERROR(__xludf.DUMMYFUNCTION("""COMPUTED_VALUE"""),44782.0)</f>
        <v>44782</v>
      </c>
      <c r="C20313" s="6">
        <f>IFERROR(__xludf.DUMMYFUNCTION("""COMPUTED_VALUE"""),0.330914351852698)</f>
        <v>0.3309143519</v>
      </c>
      <c r="D20313" s="4">
        <f>IFERROR(__xludf.DUMMYFUNCTION("""COMPUTED_VALUE"""),12.979408)</f>
        <v>12.979408</v>
      </c>
      <c r="E20313" s="4">
        <f>IFERROR(__xludf.DUMMYFUNCTION("""COMPUTED_VALUE"""),80.162157)</f>
        <v>80.162157</v>
      </c>
      <c r="F20313" s="4">
        <f>IFERROR(__xludf.DUMMYFUNCTION("""COMPUTED_VALUE"""),5339.0)</f>
        <v>5339</v>
      </c>
      <c r="G20313" s="4">
        <f>IFERROR(__xludf.DUMMYFUNCTION("""COMPUTED_VALUE"""),39.0)</f>
        <v>39</v>
      </c>
      <c r="H20313" s="4"/>
      <c r="I20313" s="4"/>
    </row>
    <row r="20314">
      <c r="A20314" s="4" t="str">
        <f>IFERROR(__xludf.DUMMYFUNCTION("""COMPUTED_VALUE"""),"cas_hmw")</f>
        <v>cas_hmw</v>
      </c>
      <c r="B20314" s="5">
        <f>IFERROR(__xludf.DUMMYFUNCTION("""COMPUTED_VALUE"""),44782.0)</f>
        <v>44782</v>
      </c>
      <c r="C20314" s="6">
        <f>IFERROR(__xludf.DUMMYFUNCTION("""COMPUTED_VALUE"""),0.3310300925913907)</f>
        <v>0.3310300926</v>
      </c>
      <c r="D20314" s="4">
        <f>IFERROR(__xludf.DUMMYFUNCTION("""COMPUTED_VALUE"""),13.009665)</f>
        <v>13.009665</v>
      </c>
      <c r="E20314" s="4">
        <f>IFERROR(__xludf.DUMMYFUNCTION("""COMPUTED_VALUE"""),80.213691)</f>
        <v>80.213691</v>
      </c>
      <c r="F20314" s="4">
        <f>IFERROR(__xludf.DUMMYFUNCTION("""COMPUTED_VALUE"""),805.0)</f>
        <v>805</v>
      </c>
      <c r="G20314" s="4">
        <f>IFERROR(__xludf.DUMMYFUNCTION("""COMPUTED_VALUE"""),54.0)</f>
        <v>54</v>
      </c>
      <c r="H20314" s="4"/>
      <c r="I20314" s="4"/>
    </row>
    <row r="20315">
      <c r="A20315" s="4" t="str">
        <f>IFERROR(__xludf.DUMMYFUNCTION("""COMPUTED_VALUE"""),"cas_hmw")</f>
        <v>cas_hmw</v>
      </c>
      <c r="B20315" s="5">
        <f>IFERROR(__xludf.DUMMYFUNCTION("""COMPUTED_VALUE"""),44782.0)</f>
        <v>44782</v>
      </c>
      <c r="C20315" s="6">
        <f>IFERROR(__xludf.DUMMYFUNCTION("""COMPUTED_VALUE"""),0.3313194444453984)</f>
        <v>0.3313194444</v>
      </c>
      <c r="D20315" s="4">
        <f>IFERROR(__xludf.DUMMYFUNCTION("""COMPUTED_VALUE"""),13.008439)</f>
        <v>13.008439</v>
      </c>
      <c r="E20315" s="4">
        <f>IFERROR(__xludf.DUMMYFUNCTION("""COMPUTED_VALUE"""),80.210407)</f>
        <v>80.210407</v>
      </c>
      <c r="F20315" s="4">
        <f>IFERROR(__xludf.DUMMYFUNCTION("""COMPUTED_VALUE"""),805.0)</f>
        <v>805</v>
      </c>
      <c r="G20315" s="4">
        <f>IFERROR(__xludf.DUMMYFUNCTION("""COMPUTED_VALUE"""),50.0)</f>
        <v>50</v>
      </c>
      <c r="H20315" s="4"/>
      <c r="I20315" s="4"/>
    </row>
    <row r="20316">
      <c r="A20316" s="4" t="str">
        <f>IFERROR(__xludf.DUMMYFUNCTION("""COMPUTED_VALUE"""),"cas_hmw")</f>
        <v>cas_hmw</v>
      </c>
      <c r="B20316" s="5">
        <f>IFERROR(__xludf.DUMMYFUNCTION("""COMPUTED_VALUE"""),44782.0)</f>
        <v>44782</v>
      </c>
      <c r="C20316" s="6">
        <f>IFERROR(__xludf.DUMMYFUNCTION("""COMPUTED_VALUE"""),0.3314583333340124)</f>
        <v>0.3314583333</v>
      </c>
      <c r="D20316" s="4">
        <f>IFERROR(__xludf.DUMMYFUNCTION("""COMPUTED_VALUE"""),13.008067)</f>
        <v>13.008067</v>
      </c>
      <c r="E20316" s="4">
        <f>IFERROR(__xludf.DUMMYFUNCTION("""COMPUTED_VALUE"""),80.209158)</f>
        <v>80.209158</v>
      </c>
      <c r="F20316" s="4">
        <f>IFERROR(__xludf.DUMMYFUNCTION("""COMPUTED_VALUE"""),805.0)</f>
        <v>805</v>
      </c>
      <c r="G20316" s="4">
        <f>IFERROR(__xludf.DUMMYFUNCTION("""COMPUTED_VALUE"""),48.0)</f>
        <v>48</v>
      </c>
      <c r="H20316" s="4"/>
      <c r="I20316" s="4"/>
    </row>
    <row r="20317">
      <c r="A20317" s="4" t="str">
        <f>IFERROR(__xludf.DUMMYFUNCTION("""COMPUTED_VALUE"""),"cas_hmw")</f>
        <v>cas_hmw</v>
      </c>
      <c r="B20317" s="5">
        <f>IFERROR(__xludf.DUMMYFUNCTION("""COMPUTED_VALUE"""),44782.0)</f>
        <v>44782</v>
      </c>
      <c r="C20317" s="6">
        <f>IFERROR(__xludf.DUMMYFUNCTION("""COMPUTED_VALUE"""),0.33148148148029577)</f>
        <v>0.3314814815</v>
      </c>
      <c r="D20317" s="4">
        <f>IFERROR(__xludf.DUMMYFUNCTION("""COMPUTED_VALUE"""),12.976073)</f>
        <v>12.976073</v>
      </c>
      <c r="E20317" s="4">
        <f>IFERROR(__xludf.DUMMYFUNCTION("""COMPUTED_VALUE"""),80.157231)</f>
        <v>80.157231</v>
      </c>
      <c r="F20317" s="4">
        <f>IFERROR(__xludf.DUMMYFUNCTION("""COMPUTED_VALUE"""),5339.0)</f>
        <v>5339</v>
      </c>
      <c r="G20317" s="4">
        <f>IFERROR(__xludf.DUMMYFUNCTION("""COMPUTED_VALUE"""),53.0)</f>
        <v>53</v>
      </c>
      <c r="H20317" s="4"/>
      <c r="I20317" s="4"/>
    </row>
    <row r="20318">
      <c r="A20318" s="4" t="str">
        <f>IFERROR(__xludf.DUMMYFUNCTION("""COMPUTED_VALUE"""),"cas_hmw")</f>
        <v>cas_hmw</v>
      </c>
      <c r="B20318" s="5">
        <f>IFERROR(__xludf.DUMMYFUNCTION("""COMPUTED_VALUE"""),44782.0)</f>
        <v>44782</v>
      </c>
      <c r="C20318" s="6">
        <f>IFERROR(__xludf.DUMMYFUNCTION("""COMPUTED_VALUE"""),0.3316550925919728)</f>
        <v>0.3316550926</v>
      </c>
      <c r="D20318" s="4">
        <f>IFERROR(__xludf.DUMMYFUNCTION("""COMPUTED_VALUE"""),13.007714)</f>
        <v>13.007714</v>
      </c>
      <c r="E20318" s="4">
        <f>IFERROR(__xludf.DUMMYFUNCTION("""COMPUTED_VALUE"""),80.206936)</f>
        <v>80.206936</v>
      </c>
      <c r="F20318" s="4">
        <f>IFERROR(__xludf.DUMMYFUNCTION("""COMPUTED_VALUE"""),805.0)</f>
        <v>805</v>
      </c>
      <c r="G20318" s="4">
        <f>IFERROR(__xludf.DUMMYFUNCTION("""COMPUTED_VALUE"""),44.0)</f>
        <v>44</v>
      </c>
      <c r="H20318" s="4"/>
      <c r="I20318" s="4"/>
    </row>
    <row r="20319">
      <c r="A20319" s="4" t="str">
        <f>IFERROR(__xludf.DUMMYFUNCTION("""COMPUTED_VALUE"""),"cas_hmw")</f>
        <v>cas_hmw</v>
      </c>
      <c r="B20319" s="5">
        <f>IFERROR(__xludf.DUMMYFUNCTION("""COMPUTED_VALUE"""),44782.0)</f>
        <v>44782</v>
      </c>
      <c r="C20319" s="6">
        <f>IFERROR(__xludf.DUMMYFUNCTION("""COMPUTED_VALUE"""),0.3317939814805868)</f>
        <v>0.3317939815</v>
      </c>
      <c r="D20319" s="4">
        <f>IFERROR(__xludf.DUMMYFUNCTION("""COMPUTED_VALUE"""),12.757108)</f>
        <v>12.757108</v>
      </c>
      <c r="E20319" s="4">
        <f>IFERROR(__xludf.DUMMYFUNCTION("""COMPUTED_VALUE"""),80.002287)</f>
        <v>80.002287</v>
      </c>
      <c r="F20319" s="4">
        <f>IFERROR(__xludf.DUMMYFUNCTION("""COMPUTED_VALUE"""),2846.0)</f>
        <v>2846</v>
      </c>
      <c r="G20319" s="4">
        <f>IFERROR(__xludf.DUMMYFUNCTION("""COMPUTED_VALUE"""),59.0)</f>
        <v>59</v>
      </c>
      <c r="H20319" s="4"/>
      <c r="I20319" s="4"/>
    </row>
    <row r="20320">
      <c r="A20320" s="4" t="str">
        <f>IFERROR(__xludf.DUMMYFUNCTION("""COMPUTED_VALUE"""),"cas_hmw")</f>
        <v>cas_hmw</v>
      </c>
      <c r="B20320" s="5">
        <f>IFERROR(__xludf.DUMMYFUNCTION("""COMPUTED_VALUE"""),44782.0)</f>
        <v>44782</v>
      </c>
      <c r="C20320" s="6">
        <f>IFERROR(__xludf.DUMMYFUNCTION("""COMPUTED_VALUE"""),0.3319675925922638)</f>
        <v>0.3319675926</v>
      </c>
      <c r="D20320" s="4">
        <f>IFERROR(__xludf.DUMMYFUNCTION("""COMPUTED_VALUE"""),12.758505)</f>
        <v>12.758505</v>
      </c>
      <c r="E20320" s="4">
        <f>IFERROR(__xludf.DUMMYFUNCTION("""COMPUTED_VALUE"""),80.002697)</f>
        <v>80.002697</v>
      </c>
      <c r="F20320" s="4">
        <f>IFERROR(__xludf.DUMMYFUNCTION("""COMPUTED_VALUE"""),2846.0)</f>
        <v>2846</v>
      </c>
      <c r="G20320" s="4">
        <f>IFERROR(__xludf.DUMMYFUNCTION("""COMPUTED_VALUE"""),57.0)</f>
        <v>57</v>
      </c>
      <c r="H20320" s="4"/>
      <c r="I20320" s="4"/>
    </row>
    <row r="20321">
      <c r="A20321" s="4" t="str">
        <f>IFERROR(__xludf.DUMMYFUNCTION("""COMPUTED_VALUE"""),"cas_hmw")</f>
        <v>cas_hmw</v>
      </c>
      <c r="B20321" s="5">
        <f>IFERROR(__xludf.DUMMYFUNCTION("""COMPUTED_VALUE"""),44782.0)</f>
        <v>44782</v>
      </c>
      <c r="C20321" s="6">
        <f>IFERROR(__xludf.DUMMYFUNCTION("""COMPUTED_VALUE"""),0.3320949074077362)</f>
        <v>0.3320949074</v>
      </c>
      <c r="D20321" s="4">
        <f>IFERROR(__xludf.DUMMYFUNCTION("""COMPUTED_VALUE"""),13.006954)</f>
        <v>13.006954</v>
      </c>
      <c r="E20321" s="4">
        <f>IFERROR(__xludf.DUMMYFUNCTION("""COMPUTED_VALUE"""),80.204374)</f>
        <v>80.204374</v>
      </c>
      <c r="F20321" s="4">
        <f>IFERROR(__xludf.DUMMYFUNCTION("""COMPUTED_VALUE"""),805.0)</f>
        <v>805</v>
      </c>
      <c r="G20321" s="4">
        <f>IFERROR(__xludf.DUMMYFUNCTION("""COMPUTED_VALUE"""),47.0)</f>
        <v>47</v>
      </c>
      <c r="H20321" s="4"/>
      <c r="I20321" s="4"/>
    </row>
    <row r="20322">
      <c r="A20322" s="4" t="str">
        <f>IFERROR(__xludf.DUMMYFUNCTION("""COMPUTED_VALUE"""),"cas_hmw")</f>
        <v>cas_hmw</v>
      </c>
      <c r="B20322" s="5">
        <f>IFERROR(__xludf.DUMMYFUNCTION("""COMPUTED_VALUE"""),44782.0)</f>
        <v>44782</v>
      </c>
      <c r="C20322" s="6">
        <f>IFERROR(__xludf.DUMMYFUNCTION("""COMPUTED_VALUE"""),0.33254629629664123)</f>
        <v>0.3325462963</v>
      </c>
      <c r="D20322" s="4">
        <f>IFERROR(__xludf.DUMMYFUNCTION("""COMPUTED_VALUE"""),13.004863)</f>
        <v>13.004863</v>
      </c>
      <c r="E20322" s="4">
        <f>IFERROR(__xludf.DUMMYFUNCTION("""COMPUTED_VALUE"""),80.20146)</f>
        <v>80.20146</v>
      </c>
      <c r="F20322" s="4">
        <f>IFERROR(__xludf.DUMMYFUNCTION("""COMPUTED_VALUE"""),805.0)</f>
        <v>805</v>
      </c>
      <c r="G20322" s="4">
        <f>IFERROR(__xludf.DUMMYFUNCTION("""COMPUTED_VALUE"""),41.0)</f>
        <v>41</v>
      </c>
      <c r="H20322" s="4"/>
      <c r="I20322" s="4"/>
    </row>
    <row r="20323">
      <c r="A20323" s="4" t="str">
        <f>IFERROR(__xludf.DUMMYFUNCTION("""COMPUTED_VALUE"""),"cas_hmw")</f>
        <v>cas_hmw</v>
      </c>
      <c r="B20323" s="5">
        <f>IFERROR(__xludf.DUMMYFUNCTION("""COMPUTED_VALUE"""),44782.0)</f>
        <v>44782</v>
      </c>
      <c r="C20323" s="6">
        <f>IFERROR(__xludf.DUMMYFUNCTION("""COMPUTED_VALUE"""),0.333113425924239)</f>
        <v>0.3331134259</v>
      </c>
      <c r="D20323" s="4">
        <f>IFERROR(__xludf.DUMMYFUNCTION("""COMPUTED_VALUE"""),12.965953)</f>
        <v>12.965953</v>
      </c>
      <c r="E20323" s="4">
        <f>IFERROR(__xludf.DUMMYFUNCTION("""COMPUTED_VALUE"""),80.148516)</f>
        <v>80.148516</v>
      </c>
      <c r="F20323" s="4">
        <f>IFERROR(__xludf.DUMMYFUNCTION("""COMPUTED_VALUE"""),5339.0)</f>
        <v>5339</v>
      </c>
      <c r="G20323" s="4">
        <f>IFERROR(__xludf.DUMMYFUNCTION("""COMPUTED_VALUE"""),28.0)</f>
        <v>28</v>
      </c>
      <c r="H20323" s="4"/>
      <c r="I20323" s="4"/>
    </row>
    <row r="20324">
      <c r="A20324" s="4" t="str">
        <f>IFERROR(__xludf.DUMMYFUNCTION("""COMPUTED_VALUE"""),"cas_hmw")</f>
        <v>cas_hmw</v>
      </c>
      <c r="B20324" s="5">
        <f>IFERROR(__xludf.DUMMYFUNCTION("""COMPUTED_VALUE"""),44782.0)</f>
        <v>44782</v>
      </c>
      <c r="C20324" s="6">
        <f>IFERROR(__xludf.DUMMYFUNCTION("""COMPUTED_VALUE"""),0.3331365740741603)</f>
        <v>0.3331365741</v>
      </c>
      <c r="D20324" s="4">
        <f>IFERROR(__xludf.DUMMYFUNCTION("""COMPUTED_VALUE"""),13.001984)</f>
        <v>13.001984</v>
      </c>
      <c r="E20324" s="4">
        <f>IFERROR(__xludf.DUMMYFUNCTION("""COMPUTED_VALUE"""),80.197953)</f>
        <v>80.197953</v>
      </c>
      <c r="F20324" s="4">
        <f>IFERROR(__xludf.DUMMYFUNCTION("""COMPUTED_VALUE"""),805.0)</f>
        <v>805</v>
      </c>
      <c r="G20324" s="4">
        <f>IFERROR(__xludf.DUMMYFUNCTION("""COMPUTED_VALUE"""),53.0)</f>
        <v>53</v>
      </c>
      <c r="H20324" s="4"/>
      <c r="I20324" s="4"/>
    </row>
    <row r="20325">
      <c r="A20325" s="4" t="str">
        <f>IFERROR(__xludf.DUMMYFUNCTION("""COMPUTED_VALUE"""),"cas_hmw")</f>
        <v>cas_hmw</v>
      </c>
      <c r="B20325" s="5">
        <f>IFERROR(__xludf.DUMMYFUNCTION("""COMPUTED_VALUE"""),44782.0)</f>
        <v>44782</v>
      </c>
      <c r="C20325" s="6">
        <f>IFERROR(__xludf.DUMMYFUNCTION("""COMPUTED_VALUE"""),0.333182870370365)</f>
        <v>0.3331828704</v>
      </c>
      <c r="D20325" s="4">
        <f>IFERROR(__xludf.DUMMYFUNCTION("""COMPUTED_VALUE"""),12.969825)</f>
        <v>12.969825</v>
      </c>
      <c r="E20325" s="4">
        <f>IFERROR(__xludf.DUMMYFUNCTION("""COMPUTED_VALUE"""),80.150329)</f>
        <v>80.150329</v>
      </c>
      <c r="F20325" s="4">
        <f>IFERROR(__xludf.DUMMYFUNCTION("""COMPUTED_VALUE"""),3143.0)</f>
        <v>3143</v>
      </c>
      <c r="G20325" s="4">
        <f>IFERROR(__xludf.DUMMYFUNCTION("""COMPUTED_VALUE"""),52.0)</f>
        <v>52</v>
      </c>
      <c r="H20325" s="4"/>
      <c r="I20325" s="4"/>
    </row>
    <row r="20326">
      <c r="A20326" s="4" t="str">
        <f>IFERROR(__xludf.DUMMYFUNCTION("""COMPUTED_VALUE"""),"cas_hmw")</f>
        <v>cas_hmw</v>
      </c>
      <c r="B20326" s="5">
        <f>IFERROR(__xludf.DUMMYFUNCTION("""COMPUTED_VALUE"""),44782.0)</f>
        <v>44782</v>
      </c>
      <c r="C20326" s="6">
        <f>IFERROR(__xludf.DUMMYFUNCTION("""COMPUTED_VALUE"""),0.3332754629627743)</f>
        <v>0.333275463</v>
      </c>
      <c r="D20326" s="4">
        <f>IFERROR(__xludf.DUMMYFUNCTION("""COMPUTED_VALUE"""),12.968522)</f>
        <v>12.968522</v>
      </c>
      <c r="E20326" s="4">
        <f>IFERROR(__xludf.DUMMYFUNCTION("""COMPUTED_VALUE"""),80.149714)</f>
        <v>80.149714</v>
      </c>
      <c r="F20326" s="4">
        <f>IFERROR(__xludf.DUMMYFUNCTION("""COMPUTED_VALUE"""),3143.0)</f>
        <v>3143</v>
      </c>
      <c r="G20326" s="4">
        <f>IFERROR(__xludf.DUMMYFUNCTION("""COMPUTED_VALUE"""),44.0)</f>
        <v>44</v>
      </c>
      <c r="H20326" s="4"/>
      <c r="I20326" s="4"/>
    </row>
    <row r="20327">
      <c r="A20327" s="4" t="str">
        <f>IFERROR(__xludf.DUMMYFUNCTION("""COMPUTED_VALUE"""),"cas_hmw")</f>
        <v>cas_hmw</v>
      </c>
      <c r="B20327" s="5">
        <f>IFERROR(__xludf.DUMMYFUNCTION("""COMPUTED_VALUE"""),44782.0)</f>
        <v>44782</v>
      </c>
      <c r="C20327" s="6">
        <f>IFERROR(__xludf.DUMMYFUNCTION("""COMPUTED_VALUE"""),0.3332754629627743)</f>
        <v>0.333275463</v>
      </c>
      <c r="D20327" s="4">
        <f>IFERROR(__xludf.DUMMYFUNCTION("""COMPUTED_VALUE"""),12.968522)</f>
        <v>12.968522</v>
      </c>
      <c r="E20327" s="4">
        <f>IFERROR(__xludf.DUMMYFUNCTION("""COMPUTED_VALUE"""),80.149714)</f>
        <v>80.149714</v>
      </c>
      <c r="F20327" s="4">
        <f>IFERROR(__xludf.DUMMYFUNCTION("""COMPUTED_VALUE"""),3143.0)</f>
        <v>3143</v>
      </c>
      <c r="G20327" s="4">
        <f>IFERROR(__xludf.DUMMYFUNCTION("""COMPUTED_VALUE"""),44.0)</f>
        <v>44</v>
      </c>
      <c r="H20327" s="4"/>
      <c r="I20327" s="4"/>
    </row>
    <row r="20328">
      <c r="A20328" s="4" t="str">
        <f>IFERROR(__xludf.DUMMYFUNCTION("""COMPUTED_VALUE"""),"cas_hmw")</f>
        <v>cas_hmw</v>
      </c>
      <c r="B20328" s="5">
        <f>IFERROR(__xludf.DUMMYFUNCTION("""COMPUTED_VALUE"""),44782.0)</f>
        <v>44782</v>
      </c>
      <c r="C20328" s="6">
        <f>IFERROR(__xludf.DUMMYFUNCTION("""COMPUTED_VALUE"""),0.3332754629627743)</f>
        <v>0.333275463</v>
      </c>
      <c r="D20328" s="4">
        <f>IFERROR(__xludf.DUMMYFUNCTION("""COMPUTED_VALUE"""),12.968522)</f>
        <v>12.968522</v>
      </c>
      <c r="E20328" s="4">
        <f>IFERROR(__xludf.DUMMYFUNCTION("""COMPUTED_VALUE"""),80.149714)</f>
        <v>80.149714</v>
      </c>
      <c r="F20328" s="4">
        <f>IFERROR(__xludf.DUMMYFUNCTION("""COMPUTED_VALUE"""),3143.0)</f>
        <v>3143</v>
      </c>
      <c r="G20328" s="4">
        <f>IFERROR(__xludf.DUMMYFUNCTION("""COMPUTED_VALUE"""),44.0)</f>
        <v>44</v>
      </c>
      <c r="H20328" s="4"/>
      <c r="I20328" s="4"/>
    </row>
    <row r="20329">
      <c r="A20329" s="4" t="str">
        <f>IFERROR(__xludf.DUMMYFUNCTION("""COMPUTED_VALUE"""),"cas_hmw")</f>
        <v>cas_hmw</v>
      </c>
      <c r="B20329" s="5">
        <f>IFERROR(__xludf.DUMMYFUNCTION("""COMPUTED_VALUE"""),44782.0)</f>
        <v>44782</v>
      </c>
      <c r="C20329" s="6">
        <f>IFERROR(__xludf.DUMMYFUNCTION("""COMPUTED_VALUE"""),0.33337962962832535)</f>
        <v>0.3333796296</v>
      </c>
      <c r="D20329" s="4">
        <f>IFERROR(__xludf.DUMMYFUNCTION("""COMPUTED_VALUE"""),12.967775)</f>
        <v>12.967775</v>
      </c>
      <c r="E20329" s="4">
        <f>IFERROR(__xludf.DUMMYFUNCTION("""COMPUTED_VALUE"""),80.149378)</f>
        <v>80.149378</v>
      </c>
      <c r="F20329" s="4">
        <f>IFERROR(__xludf.DUMMYFUNCTION("""COMPUTED_VALUE"""),3143.0)</f>
        <v>3143</v>
      </c>
      <c r="G20329" s="4">
        <f>IFERROR(__xludf.DUMMYFUNCTION("""COMPUTED_VALUE"""),0.0)</f>
        <v>0</v>
      </c>
      <c r="H20329" s="4"/>
      <c r="I20329" s="4"/>
    </row>
    <row r="20330">
      <c r="A20330" s="4" t="str">
        <f>IFERROR(__xludf.DUMMYFUNCTION("""COMPUTED_VALUE"""),"cas_hmw")</f>
        <v>cas_hmw</v>
      </c>
      <c r="B20330" s="5">
        <f>IFERROR(__xludf.DUMMYFUNCTION("""COMPUTED_VALUE"""),44782.0)</f>
        <v>44782</v>
      </c>
      <c r="C20330" s="6">
        <f>IFERROR(__xludf.DUMMYFUNCTION("""COMPUTED_VALUE"""),0.33344907407445135)</f>
        <v>0.3334490741</v>
      </c>
      <c r="D20330" s="4">
        <f>IFERROR(__xludf.DUMMYFUNCTION("""COMPUTED_VALUE"""),12.967775)</f>
        <v>12.967775</v>
      </c>
      <c r="E20330" s="4">
        <f>IFERROR(__xludf.DUMMYFUNCTION("""COMPUTED_VALUE"""),80.149378)</f>
        <v>80.149378</v>
      </c>
      <c r="F20330" s="4">
        <f>IFERROR(__xludf.DUMMYFUNCTION("""COMPUTED_VALUE"""),3143.0)</f>
        <v>3143</v>
      </c>
      <c r="G20330" s="4">
        <f>IFERROR(__xludf.DUMMYFUNCTION("""COMPUTED_VALUE"""),0.0)</f>
        <v>0</v>
      </c>
      <c r="H20330" s="4"/>
      <c r="I20330" s="4"/>
    </row>
    <row r="20331">
      <c r="A20331" s="4" t="str">
        <f>IFERROR(__xludf.DUMMYFUNCTION("""COMPUTED_VALUE"""),"cas_hmw")</f>
        <v>cas_hmw</v>
      </c>
      <c r="B20331" s="5">
        <f>IFERROR(__xludf.DUMMYFUNCTION("""COMPUTED_VALUE"""),44782.0)</f>
        <v>44782</v>
      </c>
      <c r="C20331" s="6">
        <f>IFERROR(__xludf.DUMMYFUNCTION("""COMPUTED_VALUE"""),0.333460648147593)</f>
        <v>0.3334606481</v>
      </c>
      <c r="D20331" s="4">
        <f>IFERROR(__xludf.DUMMYFUNCTION("""COMPUTED_VALUE"""),12.967775)</f>
        <v>12.967775</v>
      </c>
      <c r="E20331" s="4">
        <f>IFERROR(__xludf.DUMMYFUNCTION("""COMPUTED_VALUE"""),80.149378)</f>
        <v>80.149378</v>
      </c>
      <c r="F20331" s="4">
        <f>IFERROR(__xludf.DUMMYFUNCTION("""COMPUTED_VALUE"""),3143.0)</f>
        <v>3143</v>
      </c>
      <c r="G20331" s="4">
        <f>IFERROR(__xludf.DUMMYFUNCTION("""COMPUTED_VALUE"""),0.0)</f>
        <v>0</v>
      </c>
      <c r="H20331" s="4"/>
      <c r="I20331" s="4"/>
    </row>
    <row r="20332">
      <c r="A20332" s="4" t="str">
        <f>IFERROR(__xludf.DUMMYFUNCTION("""COMPUTED_VALUE"""),"cas_hmw")</f>
        <v>cas_hmw</v>
      </c>
      <c r="B20332" s="5">
        <f>IFERROR(__xludf.DUMMYFUNCTION("""COMPUTED_VALUE"""),44782.0)</f>
        <v>44782</v>
      </c>
      <c r="C20332" s="6">
        <f>IFERROR(__xludf.DUMMYFUNCTION("""COMPUTED_VALUE"""),0.333460648147593)</f>
        <v>0.3334606481</v>
      </c>
      <c r="D20332" s="4">
        <f>IFERROR(__xludf.DUMMYFUNCTION("""COMPUTED_VALUE"""),12.967775)</f>
        <v>12.967775</v>
      </c>
      <c r="E20332" s="4">
        <f>IFERROR(__xludf.DUMMYFUNCTION("""COMPUTED_VALUE"""),80.149378)</f>
        <v>80.149378</v>
      </c>
      <c r="F20332" s="4">
        <f>IFERROR(__xludf.DUMMYFUNCTION("""COMPUTED_VALUE"""),3143.0)</f>
        <v>3143</v>
      </c>
      <c r="G20332" s="4">
        <f>IFERROR(__xludf.DUMMYFUNCTION("""COMPUTED_VALUE"""),0.0)</f>
        <v>0</v>
      </c>
      <c r="H20332" s="4"/>
      <c r="I20332" s="4"/>
    </row>
    <row r="20333">
      <c r="A20333" s="4" t="str">
        <f>IFERROR(__xludf.DUMMYFUNCTION("""COMPUTED_VALUE"""),"cas_hmw")</f>
        <v>cas_hmw</v>
      </c>
      <c r="B20333" s="5">
        <f>IFERROR(__xludf.DUMMYFUNCTION("""COMPUTED_VALUE"""),44782.0)</f>
        <v>44782</v>
      </c>
      <c r="C20333" s="6">
        <f>IFERROR(__xludf.DUMMYFUNCTION("""COMPUTED_VALUE"""),0.33359953703620704)</f>
        <v>0.333599537</v>
      </c>
      <c r="D20333" s="4">
        <f>IFERROR(__xludf.DUMMYFUNCTION("""COMPUTED_VALUE"""),12.966492)</f>
        <v>12.966492</v>
      </c>
      <c r="E20333" s="4">
        <f>IFERROR(__xludf.DUMMYFUNCTION("""COMPUTED_VALUE"""),80.14881)</f>
        <v>80.14881</v>
      </c>
      <c r="F20333" s="4">
        <f>IFERROR(__xludf.DUMMYFUNCTION("""COMPUTED_VALUE"""),3143.0)</f>
        <v>3143</v>
      </c>
      <c r="G20333" s="4">
        <f>IFERROR(__xludf.DUMMYFUNCTION("""COMPUTED_VALUE"""),25.0)</f>
        <v>25</v>
      </c>
      <c r="H20333" s="4"/>
      <c r="I20333" s="4"/>
    </row>
    <row r="20334">
      <c r="A20334" s="4" t="str">
        <f>IFERROR(__xludf.DUMMYFUNCTION("""COMPUTED_VALUE"""),"cas_hmw")</f>
        <v>cas_hmw</v>
      </c>
      <c r="B20334" s="5">
        <f>IFERROR(__xludf.DUMMYFUNCTION("""COMPUTED_VALUE"""),44782.0)</f>
        <v>44782</v>
      </c>
      <c r="C20334" s="6">
        <f>IFERROR(__xludf.DUMMYFUNCTION("""COMPUTED_VALUE"""),0.3336111111093487)</f>
        <v>0.3336111111</v>
      </c>
      <c r="D20334" s="4">
        <f>IFERROR(__xludf.DUMMYFUNCTION("""COMPUTED_VALUE"""),12.966492)</f>
        <v>12.966492</v>
      </c>
      <c r="E20334" s="4">
        <f>IFERROR(__xludf.DUMMYFUNCTION("""COMPUTED_VALUE"""),80.14881)</f>
        <v>80.14881</v>
      </c>
      <c r="F20334" s="4">
        <f>IFERROR(__xludf.DUMMYFUNCTION("""COMPUTED_VALUE"""),3143.0)</f>
        <v>3143</v>
      </c>
      <c r="G20334" s="4">
        <f>IFERROR(__xludf.DUMMYFUNCTION("""COMPUTED_VALUE"""),25.0)</f>
        <v>25</v>
      </c>
      <c r="H20334" s="4"/>
      <c r="I20334" s="4"/>
    </row>
    <row r="20335">
      <c r="A20335" s="4" t="str">
        <f>IFERROR(__xludf.DUMMYFUNCTION("""COMPUTED_VALUE"""),"cas_hmw")</f>
        <v>cas_hmw</v>
      </c>
      <c r="B20335" s="5">
        <f>IFERROR(__xludf.DUMMYFUNCTION("""COMPUTED_VALUE"""),44782.0)</f>
        <v>44782</v>
      </c>
      <c r="C20335" s="6">
        <f>IFERROR(__xludf.DUMMYFUNCTION("""COMPUTED_VALUE"""),0.3336111111093487)</f>
        <v>0.3336111111</v>
      </c>
      <c r="D20335" s="4">
        <f>IFERROR(__xludf.DUMMYFUNCTION("""COMPUTED_VALUE"""),12.966492)</f>
        <v>12.966492</v>
      </c>
      <c r="E20335" s="4">
        <f>IFERROR(__xludf.DUMMYFUNCTION("""COMPUTED_VALUE"""),80.14881)</f>
        <v>80.14881</v>
      </c>
      <c r="F20335" s="4">
        <f>IFERROR(__xludf.DUMMYFUNCTION("""COMPUTED_VALUE"""),3143.0)</f>
        <v>3143</v>
      </c>
      <c r="G20335" s="4">
        <f>IFERROR(__xludf.DUMMYFUNCTION("""COMPUTED_VALUE"""),25.0)</f>
        <v>25</v>
      </c>
      <c r="H20335" s="4"/>
      <c r="I20335" s="4"/>
    </row>
    <row r="20336">
      <c r="A20336" s="4" t="str">
        <f>IFERROR(__xludf.DUMMYFUNCTION("""COMPUTED_VALUE"""),"cas_hmw")</f>
        <v>cas_hmw</v>
      </c>
      <c r="B20336" s="5">
        <f>IFERROR(__xludf.DUMMYFUNCTION("""COMPUTED_VALUE"""),44782.0)</f>
        <v>44782</v>
      </c>
      <c r="C20336" s="6">
        <f>IFERROR(__xludf.DUMMYFUNCTION("""COMPUTED_VALUE"""),0.33362268518612836)</f>
        <v>0.3336226852</v>
      </c>
      <c r="D20336" s="4">
        <f>IFERROR(__xludf.DUMMYFUNCTION("""COMPUTED_VALUE"""),12.966492)</f>
        <v>12.966492</v>
      </c>
      <c r="E20336" s="4">
        <f>IFERROR(__xludf.DUMMYFUNCTION("""COMPUTED_VALUE"""),80.14881)</f>
        <v>80.14881</v>
      </c>
      <c r="F20336" s="4">
        <f>IFERROR(__xludf.DUMMYFUNCTION("""COMPUTED_VALUE"""),3143.0)</f>
        <v>3143</v>
      </c>
      <c r="G20336" s="4">
        <f>IFERROR(__xludf.DUMMYFUNCTION("""COMPUTED_VALUE"""),25.0)</f>
        <v>25</v>
      </c>
      <c r="H20336" s="4"/>
      <c r="I20336" s="4"/>
    </row>
    <row r="20337">
      <c r="A20337" s="4" t="str">
        <f>IFERROR(__xludf.DUMMYFUNCTION("""COMPUTED_VALUE"""),"cas_hmw")</f>
        <v>cas_hmw</v>
      </c>
      <c r="B20337" s="5">
        <f>IFERROR(__xludf.DUMMYFUNCTION("""COMPUTED_VALUE"""),44782.0)</f>
        <v>44782</v>
      </c>
      <c r="C20337" s="6">
        <f>IFERROR(__xludf.DUMMYFUNCTION("""COMPUTED_VALUE"""),0.33362268518612836)</f>
        <v>0.3336226852</v>
      </c>
      <c r="D20337" s="4">
        <f>IFERROR(__xludf.DUMMYFUNCTION("""COMPUTED_VALUE"""),12.962006)</f>
        <v>12.962006</v>
      </c>
      <c r="E20337" s="4">
        <f>IFERROR(__xludf.DUMMYFUNCTION("""COMPUTED_VALUE"""),80.146336)</f>
        <v>80.146336</v>
      </c>
      <c r="F20337" s="4">
        <f>IFERROR(__xludf.DUMMYFUNCTION("""COMPUTED_VALUE"""),5339.0)</f>
        <v>5339</v>
      </c>
      <c r="G20337" s="4">
        <f>IFERROR(__xludf.DUMMYFUNCTION("""COMPUTED_VALUE"""),49.0)</f>
        <v>49</v>
      </c>
      <c r="H20337" s="4"/>
      <c r="I20337" s="4"/>
    </row>
    <row r="20338">
      <c r="A20338" s="4" t="str">
        <f>IFERROR(__xludf.DUMMYFUNCTION("""COMPUTED_VALUE"""),"cas_hmw")</f>
        <v>cas_hmw</v>
      </c>
      <c r="B20338" s="5">
        <f>IFERROR(__xludf.DUMMYFUNCTION("""COMPUTED_VALUE"""),44782.0)</f>
        <v>44782</v>
      </c>
      <c r="C20338" s="6">
        <f>IFERROR(__xludf.DUMMYFUNCTION("""COMPUTED_VALUE"""),0.33363425925927004)</f>
        <v>0.3336342593</v>
      </c>
      <c r="D20338" s="4">
        <f>IFERROR(__xludf.DUMMYFUNCTION("""COMPUTED_VALUE"""),12.999868)</f>
        <v>12.999868</v>
      </c>
      <c r="E20338" s="4">
        <f>IFERROR(__xludf.DUMMYFUNCTION("""COMPUTED_VALUE"""),80.194028)</f>
        <v>80.194028</v>
      </c>
      <c r="F20338" s="4">
        <f>IFERROR(__xludf.DUMMYFUNCTION("""COMPUTED_VALUE"""),805.0)</f>
        <v>805</v>
      </c>
      <c r="G20338" s="4">
        <f>IFERROR(__xludf.DUMMYFUNCTION("""COMPUTED_VALUE"""),47.0)</f>
        <v>47</v>
      </c>
      <c r="H20338" s="4"/>
      <c r="I20338" s="4"/>
    </row>
    <row r="20339">
      <c r="A20339" s="4" t="str">
        <f>IFERROR(__xludf.DUMMYFUNCTION("""COMPUTED_VALUE"""),"cas_hmw")</f>
        <v>cas_hmw</v>
      </c>
      <c r="B20339" s="5">
        <f>IFERROR(__xludf.DUMMYFUNCTION("""COMPUTED_VALUE"""),44782.0)</f>
        <v>44782</v>
      </c>
      <c r="C20339" s="6">
        <f>IFERROR(__xludf.DUMMYFUNCTION("""COMPUTED_VALUE"""),0.33381944444408873)</f>
        <v>0.3338194444</v>
      </c>
      <c r="D20339" s="4">
        <f>IFERROR(__xludf.DUMMYFUNCTION("""COMPUTED_VALUE"""),12.9992)</f>
        <v>12.9992</v>
      </c>
      <c r="E20339" s="4">
        <f>IFERROR(__xludf.DUMMYFUNCTION("""COMPUTED_VALUE"""),80.193182)</f>
        <v>80.193182</v>
      </c>
      <c r="F20339" s="4">
        <f>IFERROR(__xludf.DUMMYFUNCTION("""COMPUTED_VALUE"""),805.0)</f>
        <v>805</v>
      </c>
      <c r="G20339" s="4">
        <f>IFERROR(__xludf.DUMMYFUNCTION("""COMPUTED_VALUE"""),40.0)</f>
        <v>40</v>
      </c>
      <c r="H20339" s="4"/>
      <c r="I20339" s="4"/>
    </row>
    <row r="20340">
      <c r="A20340" s="4" t="str">
        <f>IFERROR(__xludf.DUMMYFUNCTION("""COMPUTED_VALUE"""),"cas_hmw")</f>
        <v>cas_hmw</v>
      </c>
      <c r="B20340" s="5">
        <f>IFERROR(__xludf.DUMMYFUNCTION("""COMPUTED_VALUE"""),44782.0)</f>
        <v>44782</v>
      </c>
      <c r="C20340" s="6">
        <f>IFERROR(__xludf.DUMMYFUNCTION("""COMPUTED_VALUE"""),0.3338773148134351)</f>
        <v>0.3338773148</v>
      </c>
      <c r="D20340" s="4">
        <f>IFERROR(__xludf.DUMMYFUNCTION("""COMPUTED_VALUE"""),12.998562)</f>
        <v>12.998562</v>
      </c>
      <c r="E20340" s="4">
        <f>IFERROR(__xludf.DUMMYFUNCTION("""COMPUTED_VALUE"""),80.192376)</f>
        <v>80.192376</v>
      </c>
      <c r="F20340" s="4">
        <f>IFERROR(__xludf.DUMMYFUNCTION("""COMPUTED_VALUE"""),805.0)</f>
        <v>805</v>
      </c>
      <c r="G20340" s="4">
        <f>IFERROR(__xludf.DUMMYFUNCTION("""COMPUTED_VALUE"""),41.0)</f>
        <v>41</v>
      </c>
      <c r="H20340" s="4"/>
      <c r="I20340" s="4"/>
    </row>
    <row r="20341">
      <c r="A20341" s="4" t="str">
        <f>IFERROR(__xludf.DUMMYFUNCTION("""COMPUTED_VALUE"""),"cas_hmw")</f>
        <v>cas_hmw</v>
      </c>
      <c r="B20341" s="5">
        <f>IFERROR(__xludf.DUMMYFUNCTION("""COMPUTED_VALUE"""),44782.0)</f>
        <v>44782</v>
      </c>
      <c r="C20341" s="6">
        <f>IFERROR(__xludf.DUMMYFUNCTION("""COMPUTED_VALUE"""),0.3339351851864194)</f>
        <v>0.3339351852</v>
      </c>
      <c r="D20341" s="4">
        <f>IFERROR(__xludf.DUMMYFUNCTION("""COMPUTED_VALUE"""),12.958911)</f>
        <v>12.958911</v>
      </c>
      <c r="E20341" s="4">
        <f>IFERROR(__xludf.DUMMYFUNCTION("""COMPUTED_VALUE"""),80.144672)</f>
        <v>80.144672</v>
      </c>
      <c r="F20341" s="4">
        <f>IFERROR(__xludf.DUMMYFUNCTION("""COMPUTED_VALUE"""),5339.0)</f>
        <v>5339</v>
      </c>
      <c r="G20341" s="4">
        <f>IFERROR(__xludf.DUMMYFUNCTION("""COMPUTED_VALUE"""),49.0)</f>
        <v>49</v>
      </c>
      <c r="H20341" s="4"/>
      <c r="I20341" s="4"/>
    </row>
    <row r="20342">
      <c r="A20342" s="4" t="str">
        <f>IFERROR(__xludf.DUMMYFUNCTION("""COMPUTED_VALUE"""),"cas_hmw")</f>
        <v>cas_hmw</v>
      </c>
      <c r="B20342" s="5">
        <f>IFERROR(__xludf.DUMMYFUNCTION("""COMPUTED_VALUE"""),44782.0)</f>
        <v>44782</v>
      </c>
      <c r="C20342" s="6">
        <f>IFERROR(__xludf.DUMMYFUNCTION("""COMPUTED_VALUE"""),0.33451388888715883)</f>
        <v>0.3345138889</v>
      </c>
      <c r="D20342" s="4">
        <f>IFERROR(__xludf.DUMMYFUNCTION("""COMPUTED_VALUE"""),12.95624)</f>
        <v>12.95624</v>
      </c>
      <c r="E20342" s="4">
        <f>IFERROR(__xludf.DUMMYFUNCTION("""COMPUTED_VALUE"""),80.143268)</f>
        <v>80.143268</v>
      </c>
      <c r="F20342" s="4">
        <f>IFERROR(__xludf.DUMMYFUNCTION("""COMPUTED_VALUE"""),5339.0)</f>
        <v>5339</v>
      </c>
      <c r="G20342" s="4">
        <f>IFERROR(__xludf.DUMMYFUNCTION("""COMPUTED_VALUE"""),26.0)</f>
        <v>26</v>
      </c>
      <c r="H20342" s="4"/>
      <c r="I20342" s="4"/>
    </row>
    <row r="20343">
      <c r="A20343" s="4" t="str">
        <f>IFERROR(__xludf.DUMMYFUNCTION("""COMPUTED_VALUE"""),"cas_hmw")</f>
        <v>cas_hmw</v>
      </c>
      <c r="B20343" s="5">
        <f>IFERROR(__xludf.DUMMYFUNCTION("""COMPUTED_VALUE"""),44782.0)</f>
        <v>44782</v>
      </c>
      <c r="C20343" s="6">
        <f>IFERROR(__xludf.DUMMYFUNCTION("""COMPUTED_VALUE"""),0.3348495370373712)</f>
        <v>0.334849537</v>
      </c>
      <c r="D20343" s="4">
        <f>IFERROR(__xludf.DUMMYFUNCTION("""COMPUTED_VALUE"""),12.994402)</f>
        <v>12.994402</v>
      </c>
      <c r="E20343" s="4">
        <f>IFERROR(__xludf.DUMMYFUNCTION("""COMPUTED_VALUE"""),80.186406)</f>
        <v>80.186406</v>
      </c>
      <c r="F20343" s="4">
        <f>IFERROR(__xludf.DUMMYFUNCTION("""COMPUTED_VALUE"""),805.0)</f>
        <v>805</v>
      </c>
      <c r="G20343" s="4">
        <f>IFERROR(__xludf.DUMMYFUNCTION("""COMPUTED_VALUE"""),20.0)</f>
        <v>20</v>
      </c>
      <c r="H20343" s="4"/>
      <c r="I20343" s="4"/>
    </row>
    <row r="20344">
      <c r="A20344" s="4" t="str">
        <f>IFERROR(__xludf.DUMMYFUNCTION("""COMPUTED_VALUE"""),"cas_hmw")</f>
        <v>cas_hmw</v>
      </c>
      <c r="B20344" s="5">
        <f>IFERROR(__xludf.DUMMYFUNCTION("""COMPUTED_VALUE"""),44782.0)</f>
        <v>44782</v>
      </c>
      <c r="C20344" s="6">
        <f>IFERROR(__xludf.DUMMYFUNCTION("""COMPUTED_VALUE"""),0.33504629629533156)</f>
        <v>0.3350462963</v>
      </c>
      <c r="D20344" s="4">
        <f>IFERROR(__xludf.DUMMYFUNCTION("""COMPUTED_VALUE"""),12.961383)</f>
        <v>12.961383</v>
      </c>
      <c r="E20344" s="4">
        <f>IFERROR(__xludf.DUMMYFUNCTION("""COMPUTED_VALUE"""),80.146044)</f>
        <v>80.146044</v>
      </c>
      <c r="F20344" s="4">
        <f>IFERROR(__xludf.DUMMYFUNCTION("""COMPUTED_VALUE"""),3143.0)</f>
        <v>3143</v>
      </c>
      <c r="G20344" s="4">
        <f>IFERROR(__xludf.DUMMYFUNCTION("""COMPUTED_VALUE"""),21.0)</f>
        <v>21</v>
      </c>
      <c r="H20344" s="4"/>
      <c r="I20344" s="4"/>
    </row>
    <row r="20345">
      <c r="A20345" s="4" t="str">
        <f>IFERROR(__xludf.DUMMYFUNCTION("""COMPUTED_VALUE"""),"cas_hmw")</f>
        <v>cas_hmw</v>
      </c>
      <c r="B20345" s="5">
        <f>IFERROR(__xludf.DUMMYFUNCTION("""COMPUTED_VALUE"""),44782.0)</f>
        <v>44782</v>
      </c>
      <c r="C20345" s="6">
        <f>IFERROR(__xludf.DUMMYFUNCTION("""COMPUTED_VALUE"""),0.33512731481459923)</f>
        <v>0.3351273148</v>
      </c>
      <c r="D20345" s="4">
        <f>IFERROR(__xludf.DUMMYFUNCTION("""COMPUTED_VALUE"""),12.993185)</f>
        <v>12.993185</v>
      </c>
      <c r="E20345" s="4">
        <f>IFERROR(__xludf.DUMMYFUNCTION("""COMPUTED_VALUE"""),80.184125)</f>
        <v>80.184125</v>
      </c>
      <c r="F20345" s="4">
        <f>IFERROR(__xludf.DUMMYFUNCTION("""COMPUTED_VALUE"""),805.0)</f>
        <v>805</v>
      </c>
      <c r="G20345" s="4">
        <f>IFERROR(__xludf.DUMMYFUNCTION("""COMPUTED_VALUE"""),49.0)</f>
        <v>49</v>
      </c>
      <c r="H20345" s="4"/>
      <c r="I20345" s="4"/>
    </row>
    <row r="20346">
      <c r="A20346" s="4" t="str">
        <f>IFERROR(__xludf.DUMMYFUNCTION("""COMPUTED_VALUE"""),"cas_hmw")</f>
        <v>cas_hmw</v>
      </c>
      <c r="B20346" s="5">
        <f>IFERROR(__xludf.DUMMYFUNCTION("""COMPUTED_VALUE"""),44782.0)</f>
        <v>44782</v>
      </c>
      <c r="C20346" s="6">
        <f>IFERROR(__xludf.DUMMYFUNCTION("""COMPUTED_VALUE"""),0.33515046296452056)</f>
        <v>0.335150463</v>
      </c>
      <c r="D20346" s="4">
        <f>IFERROR(__xludf.DUMMYFUNCTION("""COMPUTED_VALUE"""),12.960755)</f>
        <v>12.960755</v>
      </c>
      <c r="E20346" s="4">
        <f>IFERROR(__xludf.DUMMYFUNCTION("""COMPUTED_VALUE"""),80.145698)</f>
        <v>80.145698</v>
      </c>
      <c r="F20346" s="4">
        <f>IFERROR(__xludf.DUMMYFUNCTION("""COMPUTED_VALUE"""),3143.0)</f>
        <v>3143</v>
      </c>
      <c r="G20346" s="4">
        <f>IFERROR(__xludf.DUMMYFUNCTION("""COMPUTED_VALUE"""),33.0)</f>
        <v>33</v>
      </c>
      <c r="H20346" s="4"/>
      <c r="I20346" s="4"/>
    </row>
    <row r="20347">
      <c r="A20347" s="4" t="str">
        <f>IFERROR(__xludf.DUMMYFUNCTION("""COMPUTED_VALUE"""),"cas_hmw")</f>
        <v>cas_hmw</v>
      </c>
      <c r="B20347" s="5">
        <f>IFERROR(__xludf.DUMMYFUNCTION("""COMPUTED_VALUE"""),44782.0)</f>
        <v>44782</v>
      </c>
      <c r="C20347" s="6">
        <f>IFERROR(__xludf.DUMMYFUNCTION("""COMPUTED_VALUE"""),0.3353472222224809)</f>
        <v>0.3353472222</v>
      </c>
      <c r="D20347" s="4">
        <f>IFERROR(__xludf.DUMMYFUNCTION("""COMPUTED_VALUE"""),12.992532)</f>
        <v>12.992532</v>
      </c>
      <c r="E20347" s="4">
        <f>IFERROR(__xludf.DUMMYFUNCTION("""COMPUTED_VALUE"""),80.183026)</f>
        <v>80.183026</v>
      </c>
      <c r="F20347" s="4">
        <f>IFERROR(__xludf.DUMMYFUNCTION("""COMPUTED_VALUE"""),805.0)</f>
        <v>805</v>
      </c>
      <c r="G20347" s="4">
        <f>IFERROR(__xludf.DUMMYFUNCTION("""COMPUTED_VALUE"""),52.0)</f>
        <v>52</v>
      </c>
      <c r="H20347" s="4"/>
      <c r="I20347" s="4"/>
    </row>
    <row r="20348">
      <c r="A20348" s="4" t="str">
        <f>IFERROR(__xludf.DUMMYFUNCTION("""COMPUTED_VALUE"""),"cas_hmw")</f>
        <v>cas_hmw</v>
      </c>
      <c r="B20348" s="5">
        <f>IFERROR(__xludf.DUMMYFUNCTION("""COMPUTED_VALUE"""),44782.0)</f>
        <v>44782</v>
      </c>
      <c r="C20348" s="6">
        <f>IFERROR(__xludf.DUMMYFUNCTION("""COMPUTED_VALUE"""),0.33552083333415794)</f>
        <v>0.3355208333</v>
      </c>
      <c r="D20348" s="4">
        <f>IFERROR(__xludf.DUMMYFUNCTION("""COMPUTED_VALUE"""),12.957428)</f>
        <v>12.957428</v>
      </c>
      <c r="E20348" s="4">
        <f>IFERROR(__xludf.DUMMYFUNCTION("""COMPUTED_VALUE"""),80.143876)</f>
        <v>80.143876</v>
      </c>
      <c r="F20348" s="4">
        <f>IFERROR(__xludf.DUMMYFUNCTION("""COMPUTED_VALUE"""),3143.0)</f>
        <v>3143</v>
      </c>
      <c r="G20348" s="4">
        <f>IFERROR(__xludf.DUMMYFUNCTION("""COMPUTED_VALUE"""),57.0)</f>
        <v>57</v>
      </c>
      <c r="H20348" s="4"/>
      <c r="I20348" s="4"/>
    </row>
    <row r="20349">
      <c r="A20349" s="4" t="str">
        <f>IFERROR(__xludf.DUMMYFUNCTION("""COMPUTED_VALUE"""),"cas_hmw")</f>
        <v>cas_hmw</v>
      </c>
      <c r="B20349" s="5">
        <f>IFERROR(__xludf.DUMMYFUNCTION("""COMPUTED_VALUE"""),44782.0)</f>
        <v>44782</v>
      </c>
      <c r="C20349" s="6">
        <f>IFERROR(__xludf.DUMMYFUNCTION("""COMPUTED_VALUE"""),0.3355787037035043)</f>
        <v>0.3355787037</v>
      </c>
      <c r="D20349" s="4">
        <f>IFERROR(__xludf.DUMMYFUNCTION("""COMPUTED_VALUE"""),12.956206)</f>
        <v>12.956206</v>
      </c>
      <c r="E20349" s="4">
        <f>IFERROR(__xludf.DUMMYFUNCTION("""COMPUTED_VALUE"""),80.143215)</f>
        <v>80.143215</v>
      </c>
      <c r="F20349" s="4">
        <f>IFERROR(__xludf.DUMMYFUNCTION("""COMPUTED_VALUE"""),3143.0)</f>
        <v>3143</v>
      </c>
      <c r="G20349" s="4">
        <f>IFERROR(__xludf.DUMMYFUNCTION("""COMPUTED_VALUE"""),50.0)</f>
        <v>50</v>
      </c>
      <c r="H20349" s="4"/>
      <c r="I20349" s="4"/>
    </row>
    <row r="20350">
      <c r="A20350" s="4" t="str">
        <f>IFERROR(__xludf.DUMMYFUNCTION("""COMPUTED_VALUE"""),"cas_hmw")</f>
        <v>cas_hmw</v>
      </c>
      <c r="B20350" s="5">
        <f>IFERROR(__xludf.DUMMYFUNCTION("""COMPUTED_VALUE"""),44782.0)</f>
        <v>44782</v>
      </c>
      <c r="C20350" s="6">
        <f>IFERROR(__xludf.DUMMYFUNCTION("""COMPUTED_VALUE"""),0.3357175925921183)</f>
        <v>0.3357175926</v>
      </c>
      <c r="D20350" s="4">
        <f>IFERROR(__xludf.DUMMYFUNCTION("""COMPUTED_VALUE"""),12.955333)</f>
        <v>12.955333</v>
      </c>
      <c r="E20350" s="4">
        <f>IFERROR(__xludf.DUMMYFUNCTION("""COMPUTED_VALUE"""),80.142763)</f>
        <v>80.142763</v>
      </c>
      <c r="F20350" s="4">
        <f>IFERROR(__xludf.DUMMYFUNCTION("""COMPUTED_VALUE"""),3143.0)</f>
        <v>3143</v>
      </c>
      <c r="G20350" s="4">
        <f>IFERROR(__xludf.DUMMYFUNCTION("""COMPUTED_VALUE"""),0.0)</f>
        <v>0</v>
      </c>
      <c r="H20350" s="4"/>
      <c r="I20350" s="4"/>
    </row>
    <row r="20351">
      <c r="A20351" s="4" t="str">
        <f>IFERROR(__xludf.DUMMYFUNCTION("""COMPUTED_VALUE"""),"cas_hmw")</f>
        <v>cas_hmw</v>
      </c>
      <c r="B20351" s="5">
        <f>IFERROR(__xludf.DUMMYFUNCTION("""COMPUTED_VALUE"""),44782.0)</f>
        <v>44782</v>
      </c>
      <c r="C20351" s="6">
        <f>IFERROR(__xludf.DUMMYFUNCTION("""COMPUTED_VALUE"""),0.3359143518500787)</f>
        <v>0.3359143519</v>
      </c>
      <c r="D20351" s="4">
        <f>IFERROR(__xludf.DUMMYFUNCTION("""COMPUTED_VALUE"""),12.953309)</f>
        <v>12.953309</v>
      </c>
      <c r="E20351" s="4">
        <f>IFERROR(__xludf.DUMMYFUNCTION("""COMPUTED_VALUE"""),80.141701)</f>
        <v>80.141701</v>
      </c>
      <c r="F20351" s="4">
        <f>IFERROR(__xludf.DUMMYFUNCTION("""COMPUTED_VALUE"""),3143.0)</f>
        <v>3143</v>
      </c>
      <c r="G20351" s="4">
        <f>IFERROR(__xludf.DUMMYFUNCTION("""COMPUTED_VALUE"""),43.0)</f>
        <v>43</v>
      </c>
      <c r="H20351" s="4"/>
      <c r="I20351" s="4"/>
    </row>
    <row r="20352">
      <c r="A20352" s="4" t="str">
        <f>IFERROR(__xludf.DUMMYFUNCTION("""COMPUTED_VALUE"""),"cas_hmw")</f>
        <v>cas_hmw</v>
      </c>
      <c r="B20352" s="5">
        <f>IFERROR(__xludf.DUMMYFUNCTION("""COMPUTED_VALUE"""),44782.0)</f>
        <v>44782</v>
      </c>
      <c r="C20352" s="6">
        <f>IFERROR(__xludf.DUMMYFUNCTION("""COMPUTED_VALUE"""),0.335972222223063)</f>
        <v>0.3359722222</v>
      </c>
      <c r="D20352" s="4">
        <f>IFERROR(__xludf.DUMMYFUNCTION("""COMPUTED_VALUE"""),12.953309)</f>
        <v>12.953309</v>
      </c>
      <c r="E20352" s="4">
        <f>IFERROR(__xludf.DUMMYFUNCTION("""COMPUTED_VALUE"""),80.141701)</f>
        <v>80.141701</v>
      </c>
      <c r="F20352" s="4">
        <f>IFERROR(__xludf.DUMMYFUNCTION("""COMPUTED_VALUE"""),3143.0)</f>
        <v>3143</v>
      </c>
      <c r="G20352" s="4">
        <f>IFERROR(__xludf.DUMMYFUNCTION("""COMPUTED_VALUE"""),43.0)</f>
        <v>43</v>
      </c>
      <c r="H20352" s="4"/>
      <c r="I20352" s="4"/>
    </row>
    <row r="20353">
      <c r="A20353" s="4" t="str">
        <f>IFERROR(__xludf.DUMMYFUNCTION("""COMPUTED_VALUE"""),"cas_hmw")</f>
        <v>cas_hmw</v>
      </c>
      <c r="B20353" s="5">
        <f>IFERROR(__xludf.DUMMYFUNCTION("""COMPUTED_VALUE"""),44782.0)</f>
        <v>44782</v>
      </c>
      <c r="C20353" s="6">
        <f>IFERROR(__xludf.DUMMYFUNCTION("""COMPUTED_VALUE"""),0.3361574074078817)</f>
        <v>0.3361574074</v>
      </c>
      <c r="D20353" s="4">
        <f>IFERROR(__xludf.DUMMYFUNCTION("""COMPUTED_VALUE"""),12.951903)</f>
        <v>12.951903</v>
      </c>
      <c r="E20353" s="4">
        <f>IFERROR(__xludf.DUMMYFUNCTION("""COMPUTED_VALUE"""),80.140683)</f>
        <v>80.140683</v>
      </c>
      <c r="F20353" s="4">
        <f>IFERROR(__xludf.DUMMYFUNCTION("""COMPUTED_VALUE"""),3143.0)</f>
        <v>3143</v>
      </c>
      <c r="G20353" s="4">
        <f>IFERROR(__xludf.DUMMYFUNCTION("""COMPUTED_VALUE"""),39.0)</f>
        <v>39</v>
      </c>
      <c r="H20353" s="4"/>
      <c r="I20353" s="4"/>
    </row>
    <row r="20354">
      <c r="A20354" s="4" t="str">
        <f>IFERROR(__xludf.DUMMYFUNCTION("""COMPUTED_VALUE"""),"cas_hmw")</f>
        <v>cas_hmw</v>
      </c>
      <c r="B20354" s="5">
        <f>IFERROR(__xludf.DUMMYFUNCTION("""COMPUTED_VALUE"""),44782.0)</f>
        <v>44782</v>
      </c>
      <c r="C20354" s="6">
        <f>IFERROR(__xludf.DUMMYFUNCTION("""COMPUTED_VALUE"""),0.33631944444277906)</f>
        <v>0.3363194444</v>
      </c>
      <c r="D20354" s="4">
        <f>IFERROR(__xludf.DUMMYFUNCTION("""COMPUTED_VALUE"""),12.949882)</f>
        <v>12.949882</v>
      </c>
      <c r="E20354" s="4">
        <f>IFERROR(__xludf.DUMMYFUNCTION("""COMPUTED_VALUE"""),80.139204)</f>
        <v>80.139204</v>
      </c>
      <c r="F20354" s="4">
        <f>IFERROR(__xludf.DUMMYFUNCTION("""COMPUTED_VALUE"""),5339.0)</f>
        <v>5339</v>
      </c>
      <c r="G20354" s="4">
        <f>IFERROR(__xludf.DUMMYFUNCTION("""COMPUTED_VALUE"""),34.0)</f>
        <v>34</v>
      </c>
      <c r="H20354" s="4"/>
      <c r="I20354" s="4"/>
    </row>
    <row r="20355">
      <c r="A20355" s="4" t="str">
        <f>IFERROR(__xludf.DUMMYFUNCTION("""COMPUTED_VALUE"""),"cas_hmw")</f>
        <v>cas_hmw</v>
      </c>
      <c r="B20355" s="5">
        <f>IFERROR(__xludf.DUMMYFUNCTION("""COMPUTED_VALUE"""),44782.0)</f>
        <v>44782</v>
      </c>
      <c r="C20355" s="6">
        <f>IFERROR(__xludf.DUMMYFUNCTION("""COMPUTED_VALUE"""),0.33646990740817273)</f>
        <v>0.3364699074</v>
      </c>
      <c r="D20355" s="4">
        <f>IFERROR(__xludf.DUMMYFUNCTION("""COMPUTED_VALUE"""),12.989565)</f>
        <v>12.989565</v>
      </c>
      <c r="E20355" s="4">
        <f>IFERROR(__xludf.DUMMYFUNCTION("""COMPUTED_VALUE"""),80.179136)</f>
        <v>80.179136</v>
      </c>
      <c r="F20355" s="4">
        <f>IFERROR(__xludf.DUMMYFUNCTION("""COMPUTED_VALUE"""),805.0)</f>
        <v>805</v>
      </c>
      <c r="G20355" s="4">
        <f>IFERROR(__xludf.DUMMYFUNCTION("""COMPUTED_VALUE"""),16.0)</f>
        <v>16</v>
      </c>
      <c r="H20355" s="4"/>
      <c r="I20355" s="4"/>
    </row>
    <row r="20356">
      <c r="A20356" s="4" t="str">
        <f>IFERROR(__xludf.DUMMYFUNCTION("""COMPUTED_VALUE"""),"cas_hmw")</f>
        <v>cas_hmw</v>
      </c>
      <c r="B20356" s="5">
        <f>IFERROR(__xludf.DUMMYFUNCTION("""COMPUTED_VALUE"""),44782.0)</f>
        <v>44782</v>
      </c>
      <c r="C20356" s="6">
        <f>IFERROR(__xludf.DUMMYFUNCTION("""COMPUTED_VALUE"""),0.33657407407372375)</f>
        <v>0.3365740741</v>
      </c>
      <c r="D20356" s="4">
        <f>IFERROR(__xludf.DUMMYFUNCTION("""COMPUTED_VALUE"""),12.989194)</f>
        <v>12.989194</v>
      </c>
      <c r="E20356" s="4">
        <f>IFERROR(__xludf.DUMMYFUNCTION("""COMPUTED_VALUE"""),80.178655)</f>
        <v>80.178655</v>
      </c>
      <c r="F20356" s="4">
        <f>IFERROR(__xludf.DUMMYFUNCTION("""COMPUTED_VALUE"""),805.0)</f>
        <v>805</v>
      </c>
      <c r="G20356" s="4">
        <f>IFERROR(__xludf.DUMMYFUNCTION("""COMPUTED_VALUE"""),26.0)</f>
        <v>26</v>
      </c>
      <c r="H20356" s="4"/>
      <c r="I20356" s="4"/>
    </row>
    <row r="20357">
      <c r="A20357" s="4" t="str">
        <f>IFERROR(__xludf.DUMMYFUNCTION("""COMPUTED_VALUE"""),"cas_hmw")</f>
        <v>cas_hmw</v>
      </c>
      <c r="B20357" s="5">
        <f>IFERROR(__xludf.DUMMYFUNCTION("""COMPUTED_VALUE"""),44782.0)</f>
        <v>44782</v>
      </c>
      <c r="C20357" s="6">
        <f>IFERROR(__xludf.DUMMYFUNCTION("""COMPUTED_VALUE"""),0.33664351851984975)</f>
        <v>0.3366435185</v>
      </c>
      <c r="D20357" s="4">
        <f>IFERROR(__xludf.DUMMYFUNCTION("""COMPUTED_VALUE"""),12.988658)</f>
        <v>12.988658</v>
      </c>
      <c r="E20357" s="4">
        <f>IFERROR(__xludf.DUMMYFUNCTION("""COMPUTED_VALUE"""),80.177934)</f>
        <v>80.177934</v>
      </c>
      <c r="F20357" s="4">
        <f>IFERROR(__xludf.DUMMYFUNCTION("""COMPUTED_VALUE"""),805.0)</f>
        <v>805</v>
      </c>
      <c r="G20357" s="4">
        <f>IFERROR(__xludf.DUMMYFUNCTION("""COMPUTED_VALUE"""),39.0)</f>
        <v>39</v>
      </c>
      <c r="H20357" s="4"/>
      <c r="I20357" s="4"/>
    </row>
    <row r="20358">
      <c r="A20358" s="4" t="str">
        <f>IFERROR(__xludf.DUMMYFUNCTION("""COMPUTED_VALUE"""),"cas_hmw")</f>
        <v>cas_hmw</v>
      </c>
      <c r="B20358" s="5">
        <f>IFERROR(__xludf.DUMMYFUNCTION("""COMPUTED_VALUE"""),44782.0)</f>
        <v>44782</v>
      </c>
      <c r="C20358" s="6">
        <f>IFERROR(__xludf.DUMMYFUNCTION("""COMPUTED_VALUE"""),0.3372106481474475)</f>
        <v>0.3372106481</v>
      </c>
      <c r="D20358" s="4">
        <f>IFERROR(__xludf.DUMMYFUNCTION("""COMPUTED_VALUE"""),12.946377)</f>
        <v>12.946377</v>
      </c>
      <c r="E20358" s="4">
        <f>IFERROR(__xludf.DUMMYFUNCTION("""COMPUTED_VALUE"""),80.136486)</f>
        <v>80.136486</v>
      </c>
      <c r="F20358" s="4">
        <f>IFERROR(__xludf.DUMMYFUNCTION("""COMPUTED_VALUE"""),3143.0)</f>
        <v>3143</v>
      </c>
      <c r="G20358" s="4">
        <f>IFERROR(__xludf.DUMMYFUNCTION("""COMPUTED_VALUE"""),45.0)</f>
        <v>45</v>
      </c>
      <c r="H20358" s="4"/>
      <c r="I20358" s="4"/>
    </row>
    <row r="20359">
      <c r="A20359" s="4" t="str">
        <f>IFERROR(__xludf.DUMMYFUNCTION("""COMPUTED_VALUE"""),"cas_hmw")</f>
        <v>cas_hmw</v>
      </c>
      <c r="B20359" s="5">
        <f>IFERROR(__xludf.DUMMYFUNCTION("""COMPUTED_VALUE"""),44782.0)</f>
        <v>44782</v>
      </c>
      <c r="C20359" s="6">
        <f>IFERROR(__xludf.DUMMYFUNCTION("""COMPUTED_VALUE"""),0.3372800925935735)</f>
        <v>0.3372800926</v>
      </c>
      <c r="D20359" s="4">
        <f>IFERROR(__xludf.DUMMYFUNCTION("""COMPUTED_VALUE"""),12.946377)</f>
        <v>12.946377</v>
      </c>
      <c r="E20359" s="4">
        <f>IFERROR(__xludf.DUMMYFUNCTION("""COMPUTED_VALUE"""),80.136486)</f>
        <v>80.136486</v>
      </c>
      <c r="F20359" s="4">
        <f>IFERROR(__xludf.DUMMYFUNCTION("""COMPUTED_VALUE"""),3143.0)</f>
        <v>3143</v>
      </c>
      <c r="G20359" s="4">
        <f>IFERROR(__xludf.DUMMYFUNCTION("""COMPUTED_VALUE"""),45.0)</f>
        <v>45</v>
      </c>
      <c r="H20359" s="4"/>
      <c r="I20359" s="4"/>
    </row>
    <row r="20360">
      <c r="A20360" s="4" t="str">
        <f>IFERROR(__xludf.DUMMYFUNCTION("""COMPUTED_VALUE"""),"cas_hmw")</f>
        <v>cas_hmw</v>
      </c>
      <c r="B20360" s="5">
        <f>IFERROR(__xludf.DUMMYFUNCTION("""COMPUTED_VALUE"""),44782.0)</f>
        <v>44782</v>
      </c>
      <c r="C20360" s="6">
        <f>IFERROR(__xludf.DUMMYFUNCTION("""COMPUTED_VALUE"""),0.33744212962847087)</f>
        <v>0.3374421296</v>
      </c>
      <c r="D20360" s="4">
        <f>IFERROR(__xludf.DUMMYFUNCTION("""COMPUTED_VALUE"""),12.985708)</f>
        <v>12.985708</v>
      </c>
      <c r="E20360" s="4">
        <f>IFERROR(__xludf.DUMMYFUNCTION("""COMPUTED_VALUE"""),80.173717)</f>
        <v>80.173717</v>
      </c>
      <c r="F20360" s="4">
        <f>IFERROR(__xludf.DUMMYFUNCTION("""COMPUTED_VALUE"""),805.0)</f>
        <v>805</v>
      </c>
      <c r="G20360" s="4">
        <f>IFERROR(__xludf.DUMMYFUNCTION("""COMPUTED_VALUE"""),40.0)</f>
        <v>40</v>
      </c>
      <c r="H20360" s="4"/>
      <c r="I20360" s="4"/>
    </row>
    <row r="20361">
      <c r="A20361" s="4" t="str">
        <f>IFERROR(__xludf.DUMMYFUNCTION("""COMPUTED_VALUE"""),"cas_hmw")</f>
        <v>cas_hmw</v>
      </c>
      <c r="B20361" s="5">
        <f>IFERROR(__xludf.DUMMYFUNCTION("""COMPUTED_VALUE"""),44782.0)</f>
        <v>44782</v>
      </c>
      <c r="C20361" s="6">
        <f>IFERROR(__xludf.DUMMYFUNCTION("""COMPUTED_VALUE"""),0.33803240740598994)</f>
        <v>0.3380324074</v>
      </c>
      <c r="D20361" s="4">
        <f>IFERROR(__xludf.DUMMYFUNCTION("""COMPUTED_VALUE"""),12.982265)</f>
        <v>12.982265</v>
      </c>
      <c r="E20361" s="4">
        <f>IFERROR(__xludf.DUMMYFUNCTION("""COMPUTED_VALUE"""),80.168124)</f>
        <v>80.168124</v>
      </c>
      <c r="F20361" s="4">
        <f>IFERROR(__xludf.DUMMYFUNCTION("""COMPUTED_VALUE"""),805.0)</f>
        <v>805</v>
      </c>
      <c r="G20361" s="4">
        <f>IFERROR(__xludf.DUMMYFUNCTION("""COMPUTED_VALUE"""),57.0)</f>
        <v>57</v>
      </c>
      <c r="H20361" s="4"/>
      <c r="I20361" s="4"/>
    </row>
    <row r="20362">
      <c r="A20362" s="4" t="str">
        <f>IFERROR(__xludf.DUMMYFUNCTION("""COMPUTED_VALUE"""),"cas_hmw")</f>
        <v>cas_hmw</v>
      </c>
      <c r="B20362" s="5">
        <f>IFERROR(__xludf.DUMMYFUNCTION("""COMPUTED_VALUE"""),44782.0)</f>
        <v>44782</v>
      </c>
      <c r="C20362" s="6">
        <f>IFERROR(__xludf.DUMMYFUNCTION("""COMPUTED_VALUE"""),0.33805555555591127)</f>
        <v>0.3380555556</v>
      </c>
      <c r="D20362" s="4">
        <f>IFERROR(__xludf.DUMMYFUNCTION("""COMPUTED_VALUE"""),12.941988)</f>
        <v>12.941988</v>
      </c>
      <c r="E20362" s="4">
        <f>IFERROR(__xludf.DUMMYFUNCTION("""COMPUTED_VALUE"""),80.132694)</f>
        <v>80.132694</v>
      </c>
      <c r="F20362" s="4">
        <f>IFERROR(__xludf.DUMMYFUNCTION("""COMPUTED_VALUE"""),3143.0)</f>
        <v>3143</v>
      </c>
      <c r="G20362" s="4">
        <f>IFERROR(__xludf.DUMMYFUNCTION("""COMPUTED_VALUE"""),34.0)</f>
        <v>34</v>
      </c>
      <c r="H20362" s="4"/>
      <c r="I20362" s="4"/>
    </row>
    <row r="20363">
      <c r="A20363" s="4" t="str">
        <f>IFERROR(__xludf.DUMMYFUNCTION("""COMPUTED_VALUE"""),"cas_hmw")</f>
        <v>cas_hmw</v>
      </c>
      <c r="B20363" s="5">
        <f>IFERROR(__xludf.DUMMYFUNCTION("""COMPUTED_VALUE"""),44782.0)</f>
        <v>44782</v>
      </c>
      <c r="C20363" s="6">
        <f>IFERROR(__xludf.DUMMYFUNCTION("""COMPUTED_VALUE"""),0.3381944444445253)</f>
        <v>0.3381944444</v>
      </c>
      <c r="D20363" s="4">
        <f>IFERROR(__xludf.DUMMYFUNCTION("""COMPUTED_VALUE"""),12.94129)</f>
        <v>12.94129</v>
      </c>
      <c r="E20363" s="4">
        <f>IFERROR(__xludf.DUMMYFUNCTION("""COMPUTED_VALUE"""),80.132009)</f>
        <v>80.132009</v>
      </c>
      <c r="F20363" s="4">
        <f>IFERROR(__xludf.DUMMYFUNCTION("""COMPUTED_VALUE"""),3143.0)</f>
        <v>3143</v>
      </c>
      <c r="G20363" s="4">
        <f>IFERROR(__xludf.DUMMYFUNCTION("""COMPUTED_VALUE"""),33.0)</f>
        <v>33</v>
      </c>
      <c r="H20363" s="4"/>
      <c r="I20363" s="4"/>
    </row>
    <row r="20364">
      <c r="A20364" s="4" t="str">
        <f>IFERROR(__xludf.DUMMYFUNCTION("""COMPUTED_VALUE"""),"cas_hmw")</f>
        <v>cas_hmw</v>
      </c>
      <c r="B20364" s="5">
        <f>IFERROR(__xludf.DUMMYFUNCTION("""COMPUTED_VALUE"""),44782.0)</f>
        <v>44782</v>
      </c>
      <c r="C20364" s="6">
        <f>IFERROR(__xludf.DUMMYFUNCTION("""COMPUTED_VALUE"""),0.33824074074072996)</f>
        <v>0.3382407407</v>
      </c>
      <c r="D20364" s="4">
        <f>IFERROR(__xludf.DUMMYFUNCTION("""COMPUTED_VALUE"""),12.94129)</f>
        <v>12.94129</v>
      </c>
      <c r="E20364" s="4">
        <f>IFERROR(__xludf.DUMMYFUNCTION("""COMPUTED_VALUE"""),80.132009)</f>
        <v>80.132009</v>
      </c>
      <c r="F20364" s="4">
        <f>IFERROR(__xludf.DUMMYFUNCTION("""COMPUTED_VALUE"""),3143.0)</f>
        <v>3143</v>
      </c>
      <c r="G20364" s="4">
        <f>IFERROR(__xludf.DUMMYFUNCTION("""COMPUTED_VALUE"""),33.0)</f>
        <v>33</v>
      </c>
      <c r="H20364" s="4"/>
      <c r="I20364" s="4"/>
    </row>
    <row r="20365">
      <c r="A20365" s="4" t="str">
        <f>IFERROR(__xludf.DUMMYFUNCTION("""COMPUTED_VALUE"""),"cas_hmw")</f>
        <v>cas_hmw</v>
      </c>
      <c r="B20365" s="5">
        <f>IFERROR(__xludf.DUMMYFUNCTION("""COMPUTED_VALUE"""),44782.0)</f>
        <v>44782</v>
      </c>
      <c r="C20365" s="6">
        <f>IFERROR(__xludf.DUMMYFUNCTION("""COMPUTED_VALUE"""),0.338692129629635)</f>
        <v>0.3386921296</v>
      </c>
      <c r="D20365" s="4">
        <f>IFERROR(__xludf.DUMMYFUNCTION("""COMPUTED_VALUE"""),12.934074)</f>
        <v>12.934074</v>
      </c>
      <c r="E20365" s="4">
        <f>IFERROR(__xludf.DUMMYFUNCTION("""COMPUTED_VALUE"""),80.125327)</f>
        <v>80.125327</v>
      </c>
      <c r="F20365" s="4">
        <f>IFERROR(__xludf.DUMMYFUNCTION("""COMPUTED_VALUE"""),5339.0)</f>
        <v>5339</v>
      </c>
      <c r="G20365" s="4">
        <f>IFERROR(__xludf.DUMMYFUNCTION("""COMPUTED_VALUE"""),45.0)</f>
        <v>45</v>
      </c>
      <c r="H20365" s="4"/>
      <c r="I20365" s="4"/>
    </row>
    <row r="20366">
      <c r="A20366" s="4" t="str">
        <f>IFERROR(__xludf.DUMMYFUNCTION("""COMPUTED_VALUE"""),"cas_hmw")</f>
        <v>cas_hmw</v>
      </c>
      <c r="B20366" s="5">
        <f>IFERROR(__xludf.DUMMYFUNCTION("""COMPUTED_VALUE"""),44782.0)</f>
        <v>44782</v>
      </c>
      <c r="C20366" s="6">
        <f>IFERROR(__xludf.DUMMYFUNCTION("""COMPUTED_VALUE"""),0.3390277777762094)</f>
        <v>0.3390277778</v>
      </c>
      <c r="D20366" s="4">
        <f>IFERROR(__xludf.DUMMYFUNCTION("""COMPUTED_VALUE"""),12.823184)</f>
        <v>12.823184</v>
      </c>
      <c r="E20366" s="4">
        <f>IFERROR(__xludf.DUMMYFUNCTION("""COMPUTED_VALUE"""),80.038897)</f>
        <v>80.038897</v>
      </c>
      <c r="F20366" s="4">
        <f>IFERROR(__xludf.DUMMYFUNCTION("""COMPUTED_VALUE"""),2846.0)</f>
        <v>2846</v>
      </c>
      <c r="G20366" s="4">
        <f>IFERROR(__xludf.DUMMYFUNCTION("""COMPUTED_VALUE"""),52.0)</f>
        <v>52</v>
      </c>
      <c r="H20366" s="4"/>
      <c r="I20366" s="4"/>
    </row>
    <row r="20367">
      <c r="A20367" s="4" t="str">
        <f>IFERROR(__xludf.DUMMYFUNCTION("""COMPUTED_VALUE"""),"cas_hmw")</f>
        <v>cas_hmw</v>
      </c>
      <c r="B20367" s="5">
        <f>IFERROR(__xludf.DUMMYFUNCTION("""COMPUTED_VALUE"""),44782.0)</f>
        <v>44782</v>
      </c>
      <c r="C20367" s="6">
        <f>IFERROR(__xludf.DUMMYFUNCTION("""COMPUTED_VALUE"""),0.33966435185357113)</f>
        <v>0.3396643519</v>
      </c>
      <c r="D20367" s="4">
        <f>IFERROR(__xludf.DUMMYFUNCTION("""COMPUTED_VALUE"""),12.935373)</f>
        <v>12.935373</v>
      </c>
      <c r="E20367" s="4">
        <f>IFERROR(__xludf.DUMMYFUNCTION("""COMPUTED_VALUE"""),80.12656)</f>
        <v>80.12656</v>
      </c>
      <c r="F20367" s="4">
        <f>IFERROR(__xludf.DUMMYFUNCTION("""COMPUTED_VALUE"""),3143.0)</f>
        <v>3143</v>
      </c>
      <c r="G20367" s="4">
        <f>IFERROR(__xludf.DUMMYFUNCTION("""COMPUTED_VALUE"""),47.0)</f>
        <v>47</v>
      </c>
      <c r="H20367" s="4"/>
      <c r="I20367" s="4"/>
    </row>
    <row r="20368">
      <c r="A20368" s="4" t="str">
        <f>IFERROR(__xludf.DUMMYFUNCTION("""COMPUTED_VALUE"""),"cas_hmw")</f>
        <v>cas_hmw</v>
      </c>
      <c r="B20368" s="5">
        <f>IFERROR(__xludf.DUMMYFUNCTION("""COMPUTED_VALUE"""),44782.0)</f>
        <v>44782</v>
      </c>
      <c r="C20368" s="6">
        <f>IFERROR(__xludf.DUMMYFUNCTION("""COMPUTED_VALUE"""),0.3399074074077362)</f>
        <v>0.3399074074</v>
      </c>
      <c r="D20368" s="4">
        <f>IFERROR(__xludf.DUMMYFUNCTION("""COMPUTED_VALUE"""),12.930119)</f>
        <v>12.930119</v>
      </c>
      <c r="E20368" s="4">
        <f>IFERROR(__xludf.DUMMYFUNCTION("""COMPUTED_VALUE"""),80.121421)</f>
        <v>80.121421</v>
      </c>
      <c r="F20368" s="4">
        <f>IFERROR(__xludf.DUMMYFUNCTION("""COMPUTED_VALUE"""),5339.0)</f>
        <v>5339</v>
      </c>
      <c r="G20368" s="4">
        <f>IFERROR(__xludf.DUMMYFUNCTION("""COMPUTED_VALUE"""),40.0)</f>
        <v>40</v>
      </c>
      <c r="H20368" s="4"/>
      <c r="I20368" s="4"/>
    </row>
    <row r="20369">
      <c r="A20369" s="4" t="str">
        <f>IFERROR(__xludf.DUMMYFUNCTION("""COMPUTED_VALUE"""),"cas_hmw")</f>
        <v>cas_hmw</v>
      </c>
      <c r="B20369" s="5">
        <f>IFERROR(__xludf.DUMMYFUNCTION("""COMPUTED_VALUE"""),44782.0)</f>
        <v>44782</v>
      </c>
      <c r="C20369" s="6">
        <f>IFERROR(__xludf.DUMMYFUNCTION("""COMPUTED_VALUE"""),0.34075231481619994)</f>
        <v>0.3407523148</v>
      </c>
      <c r="D20369" s="4">
        <f>IFERROR(__xludf.DUMMYFUNCTION("""COMPUTED_VALUE"""),12.967249)</f>
        <v>12.967249</v>
      </c>
      <c r="E20369" s="4">
        <f>IFERROR(__xludf.DUMMYFUNCTION("""COMPUTED_VALUE"""),80.149158)</f>
        <v>80.149158</v>
      </c>
      <c r="F20369" s="4">
        <f>IFERROR(__xludf.DUMMYFUNCTION("""COMPUTED_VALUE"""),805.0)</f>
        <v>805</v>
      </c>
      <c r="G20369" s="4">
        <f>IFERROR(__xludf.DUMMYFUNCTION("""COMPUTED_VALUE"""),35.0)</f>
        <v>35</v>
      </c>
      <c r="H20369" s="4"/>
      <c r="I20369" s="4"/>
    </row>
    <row r="20370">
      <c r="A20370" s="4" t="str">
        <f>IFERROR(__xludf.DUMMYFUNCTION("""COMPUTED_VALUE"""),"cas_hmw")</f>
        <v>cas_hmw</v>
      </c>
      <c r="B20370" s="5">
        <f>IFERROR(__xludf.DUMMYFUNCTION("""COMPUTED_VALUE"""),44782.0)</f>
        <v>44782</v>
      </c>
      <c r="C20370" s="6">
        <f>IFERROR(__xludf.DUMMYFUNCTION("""COMPUTED_VALUE"""),0.34093750000101863)</f>
        <v>0.3409375</v>
      </c>
      <c r="D20370" s="4">
        <f>IFERROR(__xludf.DUMMYFUNCTION("""COMPUTED_VALUE"""),12.923335)</f>
        <v>12.923335</v>
      </c>
      <c r="E20370" s="4">
        <f>IFERROR(__xludf.DUMMYFUNCTION("""COMPUTED_VALUE"""),80.11449)</f>
        <v>80.11449</v>
      </c>
      <c r="F20370" s="4">
        <f>IFERROR(__xludf.DUMMYFUNCTION("""COMPUTED_VALUE"""),5339.0)</f>
        <v>5339</v>
      </c>
      <c r="G20370" s="4">
        <f>IFERROR(__xludf.DUMMYFUNCTION("""COMPUTED_VALUE"""),50.0)</f>
        <v>50</v>
      </c>
      <c r="H20370" s="4"/>
      <c r="I20370" s="4"/>
    </row>
    <row r="20371">
      <c r="A20371" s="4" t="str">
        <f>IFERROR(__xludf.DUMMYFUNCTION("""COMPUTED_VALUE"""),"cas_hmw")</f>
        <v>cas_hmw</v>
      </c>
      <c r="B20371" s="5">
        <f>IFERROR(__xludf.DUMMYFUNCTION("""COMPUTED_VALUE"""),44782.0)</f>
        <v>44782</v>
      </c>
      <c r="C20371" s="6">
        <f>IFERROR(__xludf.DUMMYFUNCTION("""COMPUTED_VALUE"""),0.3411805555551837)</f>
        <v>0.3411805556</v>
      </c>
      <c r="D20371" s="4">
        <f>IFERROR(__xludf.DUMMYFUNCTION("""COMPUTED_VALUE"""),12.963672)</f>
        <v>12.963672</v>
      </c>
      <c r="E20371" s="4">
        <f>IFERROR(__xludf.DUMMYFUNCTION("""COMPUTED_VALUE"""),80.147283)</f>
        <v>80.147283</v>
      </c>
      <c r="F20371" s="4">
        <f>IFERROR(__xludf.DUMMYFUNCTION("""COMPUTED_VALUE"""),805.0)</f>
        <v>805</v>
      </c>
      <c r="G20371" s="4">
        <f>IFERROR(__xludf.DUMMYFUNCTION("""COMPUTED_VALUE"""),58.0)</f>
        <v>58</v>
      </c>
      <c r="H20371" s="4"/>
      <c r="I20371" s="4"/>
    </row>
    <row r="20372">
      <c r="A20372" s="4" t="str">
        <f>IFERROR(__xludf.DUMMYFUNCTION("""COMPUTED_VALUE"""),"cas_hmw")</f>
        <v>cas_hmw</v>
      </c>
      <c r="B20372" s="5">
        <f>IFERROR(__xludf.DUMMYFUNCTION("""COMPUTED_VALUE"""),44782.0)</f>
        <v>44782</v>
      </c>
      <c r="C20372" s="6">
        <f>IFERROR(__xludf.DUMMYFUNCTION("""COMPUTED_VALUE"""),0.3414583333324117)</f>
        <v>0.3414583333</v>
      </c>
      <c r="D20372" s="4">
        <f>IFERROR(__xludf.DUMMYFUNCTION("""COMPUTED_VALUE"""),12.961308)</f>
        <v>12.961308</v>
      </c>
      <c r="E20372" s="4">
        <f>IFERROR(__xludf.DUMMYFUNCTION("""COMPUTED_VALUE"""),80.145992)</f>
        <v>80.145992</v>
      </c>
      <c r="F20372" s="4">
        <f>IFERROR(__xludf.DUMMYFUNCTION("""COMPUTED_VALUE"""),805.0)</f>
        <v>805</v>
      </c>
      <c r="G20372" s="4">
        <f>IFERROR(__xludf.DUMMYFUNCTION("""COMPUTED_VALUE"""),49.0)</f>
        <v>49</v>
      </c>
      <c r="H20372" s="4"/>
      <c r="I20372" s="4"/>
    </row>
    <row r="20373">
      <c r="A20373" s="4" t="str">
        <f>IFERROR(__xludf.DUMMYFUNCTION("""COMPUTED_VALUE"""),"cas_hmw")</f>
        <v>cas_hmw</v>
      </c>
      <c r="B20373" s="5">
        <f>IFERROR(__xludf.DUMMYFUNCTION("""COMPUTED_VALUE"""),44782.0)</f>
        <v>44782</v>
      </c>
      <c r="C20373" s="6">
        <f>IFERROR(__xludf.DUMMYFUNCTION("""COMPUTED_VALUE"""),0.3417245370364981)</f>
        <v>0.341724537</v>
      </c>
      <c r="D20373" s="4">
        <f>IFERROR(__xludf.DUMMYFUNCTION("""COMPUTED_VALUE"""),12.957889)</f>
        <v>12.957889</v>
      </c>
      <c r="E20373" s="4">
        <f>IFERROR(__xludf.DUMMYFUNCTION("""COMPUTED_VALUE"""),80.14417)</f>
        <v>80.14417</v>
      </c>
      <c r="F20373" s="4">
        <f>IFERROR(__xludf.DUMMYFUNCTION("""COMPUTED_VALUE"""),805.0)</f>
        <v>805</v>
      </c>
      <c r="G20373" s="4">
        <f>IFERROR(__xludf.DUMMYFUNCTION("""COMPUTED_VALUE"""),53.0)</f>
        <v>53</v>
      </c>
      <c r="H20373" s="4"/>
      <c r="I20373" s="4"/>
    </row>
    <row r="20374">
      <c r="A20374" s="4" t="str">
        <f>IFERROR(__xludf.DUMMYFUNCTION("""COMPUTED_VALUE"""),"cas_hmw")</f>
        <v>cas_hmw</v>
      </c>
      <c r="B20374" s="5">
        <f>IFERROR(__xludf.DUMMYFUNCTION("""COMPUTED_VALUE"""),44782.0)</f>
        <v>44782</v>
      </c>
      <c r="C20374" s="6">
        <f>IFERROR(__xludf.DUMMYFUNCTION("""COMPUTED_VALUE"""),0.34190972222131677)</f>
        <v>0.3419097222</v>
      </c>
      <c r="D20374" s="4">
        <f>IFERROR(__xludf.DUMMYFUNCTION("""COMPUTED_VALUE"""),12.956851)</f>
        <v>12.956851</v>
      </c>
      <c r="E20374" s="4">
        <f>IFERROR(__xludf.DUMMYFUNCTION("""COMPUTED_VALUE"""),80.143626)</f>
        <v>80.143626</v>
      </c>
      <c r="F20374" s="4">
        <f>IFERROR(__xludf.DUMMYFUNCTION("""COMPUTED_VALUE"""),805.0)</f>
        <v>805</v>
      </c>
      <c r="G20374" s="4">
        <f>IFERROR(__xludf.DUMMYFUNCTION("""COMPUTED_VALUE"""),42.0)</f>
        <v>42</v>
      </c>
      <c r="H20374" s="4"/>
      <c r="I20374" s="4"/>
    </row>
    <row r="20375">
      <c r="A20375" s="4" t="str">
        <f>IFERROR(__xludf.DUMMYFUNCTION("""COMPUTED_VALUE"""),"cas_hmw")</f>
        <v>cas_hmw</v>
      </c>
      <c r="B20375" s="5">
        <f>IFERROR(__xludf.DUMMYFUNCTION("""COMPUTED_VALUE"""),44782.0)</f>
        <v>44782</v>
      </c>
      <c r="C20375" s="6">
        <f>IFERROR(__xludf.DUMMYFUNCTION("""COMPUTED_VALUE"""),0.3420023148137261)</f>
        <v>0.3420023148</v>
      </c>
      <c r="D20375" s="4">
        <f>IFERROR(__xludf.DUMMYFUNCTION("""COMPUTED_VALUE"""),12.844048)</f>
        <v>12.844048</v>
      </c>
      <c r="E20375" s="4">
        <f>IFERROR(__xludf.DUMMYFUNCTION("""COMPUTED_VALUE"""),80.059645)</f>
        <v>80.059645</v>
      </c>
      <c r="F20375" s="4">
        <f>IFERROR(__xludf.DUMMYFUNCTION("""COMPUTED_VALUE"""),2846.0)</f>
        <v>2846</v>
      </c>
      <c r="G20375" s="4">
        <f>IFERROR(__xludf.DUMMYFUNCTION("""COMPUTED_VALUE"""),11.0)</f>
        <v>11</v>
      </c>
      <c r="H20375" s="4"/>
      <c r="I20375" s="4"/>
    </row>
    <row r="20376">
      <c r="A20376" s="4" t="str">
        <f>IFERROR(__xludf.DUMMYFUNCTION("""COMPUTED_VALUE"""),"cas_hmw")</f>
        <v>cas_hmw</v>
      </c>
      <c r="B20376" s="5">
        <f>IFERROR(__xludf.DUMMYFUNCTION("""COMPUTED_VALUE"""),44782.0)</f>
        <v>44782</v>
      </c>
      <c r="C20376" s="6">
        <f>IFERROR(__xludf.DUMMYFUNCTION("""COMPUTED_VALUE"""),0.34217592592540313)</f>
        <v>0.3421759259</v>
      </c>
      <c r="D20376" s="4">
        <f>IFERROR(__xludf.DUMMYFUNCTION("""COMPUTED_VALUE"""),12.844048)</f>
        <v>12.844048</v>
      </c>
      <c r="E20376" s="4">
        <f>IFERROR(__xludf.DUMMYFUNCTION("""COMPUTED_VALUE"""),80.059645)</f>
        <v>80.059645</v>
      </c>
      <c r="F20376" s="4">
        <f>IFERROR(__xludf.DUMMYFUNCTION("""COMPUTED_VALUE"""),2846.0)</f>
        <v>2846</v>
      </c>
      <c r="G20376" s="4">
        <f>IFERROR(__xludf.DUMMYFUNCTION("""COMPUTED_VALUE"""),11.0)</f>
        <v>11</v>
      </c>
      <c r="H20376" s="4"/>
      <c r="I20376" s="4"/>
    </row>
    <row r="20377">
      <c r="A20377" s="4" t="str">
        <f>IFERROR(__xludf.DUMMYFUNCTION("""COMPUTED_VALUE"""),"cas_hmw")</f>
        <v>cas_hmw</v>
      </c>
      <c r="B20377" s="5">
        <f>IFERROR(__xludf.DUMMYFUNCTION("""COMPUTED_VALUE"""),44782.0)</f>
        <v>44782</v>
      </c>
      <c r="C20377" s="6">
        <f>IFERROR(__xludf.DUMMYFUNCTION("""COMPUTED_VALUE"""),0.3425578703718202)</f>
        <v>0.3425578704</v>
      </c>
      <c r="D20377" s="4">
        <f>IFERROR(__xludf.DUMMYFUNCTION("""COMPUTED_VALUE"""),12.951911)</f>
        <v>12.951911</v>
      </c>
      <c r="E20377" s="4">
        <f>IFERROR(__xludf.DUMMYFUNCTION("""COMPUTED_VALUE"""),80.140709)</f>
        <v>80.140709</v>
      </c>
      <c r="F20377" s="4">
        <f>IFERROR(__xludf.DUMMYFUNCTION("""COMPUTED_VALUE"""),805.0)</f>
        <v>805</v>
      </c>
      <c r="G20377" s="4">
        <f>IFERROR(__xludf.DUMMYFUNCTION("""COMPUTED_VALUE"""),25.0)</f>
        <v>25</v>
      </c>
      <c r="H20377" s="4"/>
      <c r="I20377" s="4"/>
    </row>
    <row r="20378">
      <c r="A20378" s="4" t="str">
        <f>IFERROR(__xludf.DUMMYFUNCTION("""COMPUTED_VALUE"""),"cas_hmw")</f>
        <v>cas_hmw</v>
      </c>
      <c r="B20378" s="5">
        <f>IFERROR(__xludf.DUMMYFUNCTION("""COMPUTED_VALUE"""),44782.0)</f>
        <v>44782</v>
      </c>
      <c r="C20378" s="6">
        <f>IFERROR(__xludf.DUMMYFUNCTION("""COMPUTED_VALUE"""),0.3425578703718202)</f>
        <v>0.3425578704</v>
      </c>
      <c r="D20378" s="4">
        <f>IFERROR(__xludf.DUMMYFUNCTION("""COMPUTED_VALUE"""),12.951911)</f>
        <v>12.951911</v>
      </c>
      <c r="E20378" s="4">
        <f>IFERROR(__xludf.DUMMYFUNCTION("""COMPUTED_VALUE"""),80.140709)</f>
        <v>80.140709</v>
      </c>
      <c r="F20378" s="4">
        <f>IFERROR(__xludf.DUMMYFUNCTION("""COMPUTED_VALUE"""),805.0)</f>
        <v>805</v>
      </c>
      <c r="G20378" s="4">
        <f>IFERROR(__xludf.DUMMYFUNCTION("""COMPUTED_VALUE"""),25.0)</f>
        <v>25</v>
      </c>
      <c r="H20378" s="4"/>
      <c r="I20378" s="4"/>
    </row>
    <row r="20379">
      <c r="A20379" s="4" t="str">
        <f>IFERROR(__xludf.DUMMYFUNCTION("""COMPUTED_VALUE"""),"cas_hmw")</f>
        <v>cas_hmw</v>
      </c>
      <c r="B20379" s="5">
        <f>IFERROR(__xludf.DUMMYFUNCTION("""COMPUTED_VALUE"""),44782.0)</f>
        <v>44782</v>
      </c>
      <c r="C20379" s="6">
        <f>IFERROR(__xludf.DUMMYFUNCTION("""COMPUTED_VALUE"""),0.34293981481459923)</f>
        <v>0.3429398148</v>
      </c>
      <c r="D20379" s="4">
        <f>IFERROR(__xludf.DUMMYFUNCTION("""COMPUTED_VALUE"""),12.848745)</f>
        <v>12.848745</v>
      </c>
      <c r="E20379" s="4">
        <f>IFERROR(__xludf.DUMMYFUNCTION("""COMPUTED_VALUE"""),80.063744)</f>
        <v>80.063744</v>
      </c>
      <c r="F20379" s="4">
        <f>IFERROR(__xludf.DUMMYFUNCTION("""COMPUTED_VALUE"""),2846.0)</f>
        <v>2846</v>
      </c>
      <c r="G20379" s="4">
        <f>IFERROR(__xludf.DUMMYFUNCTION("""COMPUTED_VALUE"""),56.0)</f>
        <v>56</v>
      </c>
      <c r="H20379" s="4"/>
      <c r="I20379" s="4"/>
    </row>
    <row r="20380">
      <c r="A20380" s="4" t="str">
        <f>IFERROR(__xludf.DUMMYFUNCTION("""COMPUTED_VALUE"""),"cas_hmw")</f>
        <v>cas_hmw</v>
      </c>
      <c r="B20380" s="5">
        <f>IFERROR(__xludf.DUMMYFUNCTION("""COMPUTED_VALUE"""),44782.0)</f>
        <v>44782</v>
      </c>
      <c r="C20380" s="6">
        <f>IFERROR(__xludf.DUMMYFUNCTION("""COMPUTED_VALUE"""),0.34311342592627625)</f>
        <v>0.3431134259</v>
      </c>
      <c r="D20380" s="4">
        <f>IFERROR(__xludf.DUMMYFUNCTION("""COMPUTED_VALUE"""),12.947847)</f>
        <v>12.947847</v>
      </c>
      <c r="E20380" s="4">
        <f>IFERROR(__xludf.DUMMYFUNCTION("""COMPUTED_VALUE"""),80.137564)</f>
        <v>80.137564</v>
      </c>
      <c r="F20380" s="4">
        <f>IFERROR(__xludf.DUMMYFUNCTION("""COMPUTED_VALUE"""),805.0)</f>
        <v>805</v>
      </c>
      <c r="G20380" s="4">
        <f>IFERROR(__xludf.DUMMYFUNCTION("""COMPUTED_VALUE"""),46.0)</f>
        <v>46</v>
      </c>
      <c r="H20380" s="4"/>
      <c r="I20380" s="4"/>
    </row>
    <row r="20381">
      <c r="A20381" s="4" t="str">
        <f>IFERROR(__xludf.DUMMYFUNCTION("""COMPUTED_VALUE"""),"cas_hmw")</f>
        <v>cas_hmw</v>
      </c>
      <c r="B20381" s="5">
        <f>IFERROR(__xludf.DUMMYFUNCTION("""COMPUTED_VALUE"""),44782.0)</f>
        <v>44782</v>
      </c>
      <c r="C20381" s="6">
        <f>IFERROR(__xludf.DUMMYFUNCTION("""COMPUTED_VALUE"""),0.34336805555722094)</f>
        <v>0.3433680556</v>
      </c>
      <c r="D20381" s="4">
        <f>IFERROR(__xludf.DUMMYFUNCTION("""COMPUTED_VALUE"""),12.94628)</f>
        <v>12.94628</v>
      </c>
      <c r="E20381" s="4">
        <f>IFERROR(__xludf.DUMMYFUNCTION("""COMPUTED_VALUE"""),80.136381)</f>
        <v>80.136381</v>
      </c>
      <c r="F20381" s="4">
        <f>IFERROR(__xludf.DUMMYFUNCTION("""COMPUTED_VALUE"""),805.0)</f>
        <v>805</v>
      </c>
      <c r="G20381" s="4">
        <f>IFERROR(__xludf.DUMMYFUNCTION("""COMPUTED_VALUE"""),36.0)</f>
        <v>36</v>
      </c>
      <c r="H20381" s="4"/>
      <c r="I20381" s="4"/>
    </row>
    <row r="20382">
      <c r="A20382" s="4" t="str">
        <f>IFERROR(__xludf.DUMMYFUNCTION("""COMPUTED_VALUE"""),"cas_hmw")</f>
        <v>cas_hmw</v>
      </c>
      <c r="B20382" s="5">
        <f>IFERROR(__xludf.DUMMYFUNCTION("""COMPUTED_VALUE"""),44782.0)</f>
        <v>44782</v>
      </c>
      <c r="C20382" s="6">
        <f>IFERROR(__xludf.DUMMYFUNCTION("""COMPUTED_VALUE"""),0.3435300925921183)</f>
        <v>0.3435300926</v>
      </c>
      <c r="D20382" s="4">
        <f>IFERROR(__xludf.DUMMYFUNCTION("""COMPUTED_VALUE"""),12.945334)</f>
        <v>12.945334</v>
      </c>
      <c r="E20382" s="4">
        <f>IFERROR(__xludf.DUMMYFUNCTION("""COMPUTED_VALUE"""),80.135686)</f>
        <v>80.135686</v>
      </c>
      <c r="F20382" s="4">
        <f>IFERROR(__xludf.DUMMYFUNCTION("""COMPUTED_VALUE"""),805.0)</f>
        <v>805</v>
      </c>
      <c r="G20382" s="4">
        <f>IFERROR(__xludf.DUMMYFUNCTION("""COMPUTED_VALUE"""),53.0)</f>
        <v>53</v>
      </c>
      <c r="H20382" s="4"/>
      <c r="I20382" s="4"/>
    </row>
    <row r="20383">
      <c r="A20383" s="4" t="str">
        <f>IFERROR(__xludf.DUMMYFUNCTION("""COMPUTED_VALUE"""),"cas_hmw")</f>
        <v>cas_hmw</v>
      </c>
      <c r="B20383" s="5">
        <f>IFERROR(__xludf.DUMMYFUNCTION("""COMPUTED_VALUE"""),44782.0)</f>
        <v>44782</v>
      </c>
      <c r="C20383" s="6">
        <f>IFERROR(__xludf.DUMMYFUNCTION("""COMPUTED_VALUE"""),0.34358796296146465)</f>
        <v>0.343587963</v>
      </c>
      <c r="D20383" s="4">
        <f>IFERROR(__xludf.DUMMYFUNCTION("""COMPUTED_VALUE"""),12.944233)</f>
        <v>12.944233</v>
      </c>
      <c r="E20383" s="4">
        <f>IFERROR(__xludf.DUMMYFUNCTION("""COMPUTED_VALUE"""),80.134821)</f>
        <v>80.134821</v>
      </c>
      <c r="F20383" s="4">
        <f>IFERROR(__xludf.DUMMYFUNCTION("""COMPUTED_VALUE"""),805.0)</f>
        <v>805</v>
      </c>
      <c r="G20383" s="4">
        <f>IFERROR(__xludf.DUMMYFUNCTION("""COMPUTED_VALUE"""),47.0)</f>
        <v>47</v>
      </c>
      <c r="H20383" s="4"/>
      <c r="I20383" s="4"/>
    </row>
    <row r="20384">
      <c r="A20384" s="4" t="str">
        <f>IFERROR(__xludf.DUMMYFUNCTION("""COMPUTED_VALUE"""),"cas_hmw")</f>
        <v>cas_hmw</v>
      </c>
      <c r="B20384" s="5">
        <f>IFERROR(__xludf.DUMMYFUNCTION("""COMPUTED_VALUE"""),44782.0)</f>
        <v>44782</v>
      </c>
      <c r="C20384" s="6">
        <f>IFERROR(__xludf.DUMMYFUNCTION("""COMPUTED_VALUE"""),0.3441203703696374)</f>
        <v>0.3441203704</v>
      </c>
      <c r="D20384" s="4">
        <f>IFERROR(__xludf.DUMMYFUNCTION("""COMPUTED_VALUE"""),12.942334)</f>
        <v>12.942334</v>
      </c>
      <c r="E20384" s="4">
        <f>IFERROR(__xludf.DUMMYFUNCTION("""COMPUTED_VALUE"""),80.133107)</f>
        <v>80.133107</v>
      </c>
      <c r="F20384" s="4">
        <f>IFERROR(__xludf.DUMMYFUNCTION("""COMPUTED_VALUE"""),805.0)</f>
        <v>805</v>
      </c>
      <c r="G20384" s="4">
        <f>IFERROR(__xludf.DUMMYFUNCTION("""COMPUTED_VALUE"""),28.0)</f>
        <v>28</v>
      </c>
      <c r="H20384" s="4"/>
      <c r="I20384" s="4"/>
    </row>
    <row r="20385">
      <c r="A20385" s="4" t="str">
        <f>IFERROR(__xludf.DUMMYFUNCTION("""COMPUTED_VALUE"""),"cas_hmw")</f>
        <v>cas_hmw</v>
      </c>
      <c r="B20385" s="5">
        <f>IFERROR(__xludf.DUMMYFUNCTION("""COMPUTED_VALUE"""),44782.0)</f>
        <v>44782</v>
      </c>
      <c r="C20385" s="6">
        <f>IFERROR(__xludf.DUMMYFUNCTION("""COMPUTED_VALUE"""),0.34420138888890506)</f>
        <v>0.3442013889</v>
      </c>
      <c r="D20385" s="4">
        <f>IFERROR(__xludf.DUMMYFUNCTION("""COMPUTED_VALUE"""),12.941749)</f>
        <v>12.941749</v>
      </c>
      <c r="E20385" s="4">
        <f>IFERROR(__xludf.DUMMYFUNCTION("""COMPUTED_VALUE"""),80.132456)</f>
        <v>80.132456</v>
      </c>
      <c r="F20385" s="4">
        <f>IFERROR(__xludf.DUMMYFUNCTION("""COMPUTED_VALUE"""),805.0)</f>
        <v>805</v>
      </c>
      <c r="G20385" s="4">
        <f>IFERROR(__xludf.DUMMYFUNCTION("""COMPUTED_VALUE"""),34.0)</f>
        <v>34</v>
      </c>
      <c r="H20385" s="4"/>
      <c r="I20385" s="4"/>
    </row>
    <row r="20386">
      <c r="A20386" s="4" t="str">
        <f>IFERROR(__xludf.DUMMYFUNCTION("""COMPUTED_VALUE"""),"cas_hmw")</f>
        <v>cas_hmw</v>
      </c>
      <c r="B20386" s="5">
        <f>IFERROR(__xludf.DUMMYFUNCTION("""COMPUTED_VALUE"""),44782.0)</f>
        <v>44782</v>
      </c>
      <c r="C20386" s="6">
        <f>IFERROR(__xludf.DUMMYFUNCTION("""COMPUTED_VALUE"""),0.34453703703547944)</f>
        <v>0.344537037</v>
      </c>
      <c r="D20386" s="4">
        <f>IFERROR(__xludf.DUMMYFUNCTION("""COMPUTED_VALUE"""),12.853124)</f>
        <v>12.853124</v>
      </c>
      <c r="E20386" s="4">
        <f>IFERROR(__xludf.DUMMYFUNCTION("""COMPUTED_VALUE"""),80.066941)</f>
        <v>80.066941</v>
      </c>
      <c r="F20386" s="4">
        <f>IFERROR(__xludf.DUMMYFUNCTION("""COMPUTED_VALUE"""),2846.0)</f>
        <v>2846</v>
      </c>
      <c r="G20386" s="4">
        <f>IFERROR(__xludf.DUMMYFUNCTION("""COMPUTED_VALUE"""),50.0)</f>
        <v>50</v>
      </c>
      <c r="H20386" s="4"/>
      <c r="I20386" s="4"/>
    </row>
    <row r="20387">
      <c r="A20387" s="4" t="str">
        <f>IFERROR(__xludf.DUMMYFUNCTION("""COMPUTED_VALUE"""),"cas_hmw")</f>
        <v>cas_hmw</v>
      </c>
      <c r="B20387" s="5">
        <f>IFERROR(__xludf.DUMMYFUNCTION("""COMPUTED_VALUE"""),44782.0)</f>
        <v>44782</v>
      </c>
      <c r="C20387" s="6">
        <f>IFERROR(__xludf.DUMMYFUNCTION("""COMPUTED_VALUE"""),0.3445486111122591)</f>
        <v>0.3445486111</v>
      </c>
      <c r="D20387" s="4">
        <f>IFERROR(__xludf.DUMMYFUNCTION("""COMPUTED_VALUE"""),12.860717)</f>
        <v>12.860717</v>
      </c>
      <c r="E20387" s="4">
        <f>IFERROR(__xludf.DUMMYFUNCTION("""COMPUTED_VALUE"""),80.072531)</f>
        <v>80.072531</v>
      </c>
      <c r="F20387" s="4">
        <f>IFERROR(__xludf.DUMMYFUNCTION("""COMPUTED_VALUE"""),2846.0)</f>
        <v>2846</v>
      </c>
      <c r="G20387" s="4">
        <f>IFERROR(__xludf.DUMMYFUNCTION("""COMPUTED_VALUE"""),34.0)</f>
        <v>34</v>
      </c>
      <c r="H20387" s="4"/>
      <c r="I20387" s="4"/>
    </row>
    <row r="20388">
      <c r="A20388" s="4" t="str">
        <f>IFERROR(__xludf.DUMMYFUNCTION("""COMPUTED_VALUE"""),"cas_hmw")</f>
        <v>cas_hmw</v>
      </c>
      <c r="B20388" s="5">
        <f>IFERROR(__xludf.DUMMYFUNCTION("""COMPUTED_VALUE"""),44782.0)</f>
        <v>44782</v>
      </c>
      <c r="C20388" s="6">
        <f>IFERROR(__xludf.DUMMYFUNCTION("""COMPUTED_VALUE"""),0.34456018518540077)</f>
        <v>0.3445601852</v>
      </c>
      <c r="D20388" s="4">
        <f>IFERROR(__xludf.DUMMYFUNCTION("""COMPUTED_VALUE"""),12.939593)</f>
        <v>12.939593</v>
      </c>
      <c r="E20388" s="4">
        <f>IFERROR(__xludf.DUMMYFUNCTION("""COMPUTED_VALUE"""),80.130266)</f>
        <v>80.130266</v>
      </c>
      <c r="F20388" s="4">
        <f>IFERROR(__xludf.DUMMYFUNCTION("""COMPUTED_VALUE"""),805.0)</f>
        <v>805</v>
      </c>
      <c r="G20388" s="4">
        <f>IFERROR(__xludf.DUMMYFUNCTION("""COMPUTED_VALUE"""),41.0)</f>
        <v>41</v>
      </c>
      <c r="H20388" s="4"/>
      <c r="I20388" s="4"/>
    </row>
    <row r="20389">
      <c r="A20389" s="4" t="str">
        <f>IFERROR(__xludf.DUMMYFUNCTION("""COMPUTED_VALUE"""),"cas_hmw")</f>
        <v>cas_hmw</v>
      </c>
      <c r="B20389" s="5">
        <f>IFERROR(__xludf.DUMMYFUNCTION("""COMPUTED_VALUE"""),44782.0)</f>
        <v>44782</v>
      </c>
      <c r="C20389" s="6">
        <f>IFERROR(__xludf.DUMMYFUNCTION("""COMPUTED_VALUE"""),0.3451388888897782)</f>
        <v>0.3451388889</v>
      </c>
      <c r="D20389" s="4">
        <f>IFERROR(__xludf.DUMMYFUNCTION("""COMPUTED_VALUE"""),12.937084)</f>
        <v>12.937084</v>
      </c>
      <c r="E20389" s="4">
        <f>IFERROR(__xludf.DUMMYFUNCTION("""COMPUTED_VALUE"""),80.128018)</f>
        <v>80.128018</v>
      </c>
      <c r="F20389" s="4">
        <f>IFERROR(__xludf.DUMMYFUNCTION("""COMPUTED_VALUE"""),805.0)</f>
        <v>805</v>
      </c>
      <c r="G20389" s="4">
        <f>IFERROR(__xludf.DUMMYFUNCTION("""COMPUTED_VALUE"""),22.0)</f>
        <v>22</v>
      </c>
      <c r="H20389" s="4"/>
      <c r="I20389" s="4"/>
    </row>
    <row r="20390">
      <c r="A20390" s="4" t="str">
        <f>IFERROR(__xludf.DUMMYFUNCTION("""COMPUTED_VALUE"""),"cas_hmw")</f>
        <v>cas_hmw</v>
      </c>
      <c r="B20390" s="5">
        <f>IFERROR(__xludf.DUMMYFUNCTION("""COMPUTED_VALUE"""),44782.0)</f>
        <v>44782</v>
      </c>
      <c r="C20390" s="6">
        <f>IFERROR(__xludf.DUMMYFUNCTION("""COMPUTED_VALUE"""),0.34518518518598285)</f>
        <v>0.3451851852</v>
      </c>
      <c r="D20390" s="4">
        <f>IFERROR(__xludf.DUMMYFUNCTION("""COMPUTED_VALUE"""),12.897138)</f>
        <v>12.897138</v>
      </c>
      <c r="E20390" s="4">
        <f>IFERROR(__xludf.DUMMYFUNCTION("""COMPUTED_VALUE"""),80.089364)</f>
        <v>80.089364</v>
      </c>
      <c r="F20390" s="4">
        <f>IFERROR(__xludf.DUMMYFUNCTION("""COMPUTED_VALUE"""),5339.0)</f>
        <v>5339</v>
      </c>
      <c r="G20390" s="4">
        <f>IFERROR(__xludf.DUMMYFUNCTION("""COMPUTED_VALUE"""),26.0)</f>
        <v>26</v>
      </c>
      <c r="H20390" s="4"/>
      <c r="I20390" s="4"/>
    </row>
    <row r="20391">
      <c r="A20391" s="4" t="str">
        <f>IFERROR(__xludf.DUMMYFUNCTION("""COMPUTED_VALUE"""),"cas_hmw")</f>
        <v>cas_hmw</v>
      </c>
      <c r="B20391" s="5">
        <f>IFERROR(__xludf.DUMMYFUNCTION("""COMPUTED_VALUE"""),44782.0)</f>
        <v>44782</v>
      </c>
      <c r="C20391" s="6">
        <f>IFERROR(__xludf.DUMMYFUNCTION("""COMPUTED_VALUE"""),0.3460069444445253)</f>
        <v>0.3460069444</v>
      </c>
      <c r="D20391" s="4">
        <f>IFERROR(__xludf.DUMMYFUNCTION("""COMPUTED_VALUE"""),12.92568)</f>
        <v>12.92568</v>
      </c>
      <c r="E20391" s="4">
        <f>IFERROR(__xludf.DUMMYFUNCTION("""COMPUTED_VALUE"""),80.102233)</f>
        <v>80.102233</v>
      </c>
      <c r="F20391" s="4">
        <f>IFERROR(__xludf.DUMMYFUNCTION("""COMPUTED_VALUE"""),3143.0)</f>
        <v>3143</v>
      </c>
      <c r="G20391" s="4">
        <f>IFERROR(__xludf.DUMMYFUNCTION("""COMPUTED_VALUE"""),32.0)</f>
        <v>32</v>
      </c>
      <c r="H20391" s="4"/>
      <c r="I20391" s="4"/>
    </row>
    <row r="20392">
      <c r="A20392" s="4" t="str">
        <f>IFERROR(__xludf.DUMMYFUNCTION("""COMPUTED_VALUE"""),"cas_hmw")</f>
        <v>cas_hmw</v>
      </c>
      <c r="B20392" s="5">
        <f>IFERROR(__xludf.DUMMYFUNCTION("""COMPUTED_VALUE"""),44782.0)</f>
        <v>44782</v>
      </c>
      <c r="C20392" s="6">
        <f>IFERROR(__xludf.DUMMYFUNCTION("""COMPUTED_VALUE"""),0.34606481481387164)</f>
        <v>0.3460648148</v>
      </c>
      <c r="D20392" s="4">
        <f>IFERROR(__xludf.DUMMYFUNCTION("""COMPUTED_VALUE"""),12.889364)</f>
        <v>12.889364</v>
      </c>
      <c r="E20392" s="4">
        <f>IFERROR(__xludf.DUMMYFUNCTION("""COMPUTED_VALUE"""),80.084351)</f>
        <v>80.084351</v>
      </c>
      <c r="F20392" s="4">
        <f>IFERROR(__xludf.DUMMYFUNCTION("""COMPUTED_VALUE"""),5339.0)</f>
        <v>5339</v>
      </c>
      <c r="G20392" s="4">
        <f>IFERROR(__xludf.DUMMYFUNCTION("""COMPUTED_VALUE"""),55.0)</f>
        <v>55</v>
      </c>
      <c r="H20392" s="4"/>
      <c r="I20392" s="4"/>
    </row>
    <row r="20393">
      <c r="A20393" s="4" t="str">
        <f>IFERROR(__xludf.DUMMYFUNCTION("""COMPUTED_VALUE"""),"cas_hmw")</f>
        <v>cas_hmw</v>
      </c>
      <c r="B20393" s="5">
        <f>IFERROR(__xludf.DUMMYFUNCTION("""COMPUTED_VALUE"""),44782.0)</f>
        <v>44782</v>
      </c>
      <c r="C20393" s="6">
        <f>IFERROR(__xludf.DUMMYFUNCTION("""COMPUTED_VALUE"""),0.34674768518380006)</f>
        <v>0.3467476852</v>
      </c>
      <c r="D20393" s="4">
        <f>IFERROR(__xludf.DUMMYFUNCTION("""COMPUTED_VALUE"""),12.931049)</f>
        <v>12.931049</v>
      </c>
      <c r="E20393" s="4">
        <f>IFERROR(__xludf.DUMMYFUNCTION("""COMPUTED_VALUE"""),80.122285)</f>
        <v>80.122285</v>
      </c>
      <c r="F20393" s="4">
        <f>IFERROR(__xludf.DUMMYFUNCTION("""COMPUTED_VALUE"""),805.0)</f>
        <v>805</v>
      </c>
      <c r="G20393" s="4">
        <f>IFERROR(__xludf.DUMMYFUNCTION("""COMPUTED_VALUE"""),30.0)</f>
        <v>30</v>
      </c>
      <c r="H20393" s="4"/>
      <c r="I20393" s="4"/>
    </row>
    <row r="20394">
      <c r="A20394" s="4" t="str">
        <f>IFERROR(__xludf.DUMMYFUNCTION("""COMPUTED_VALUE"""),"cas_hmw")</f>
        <v>cas_hmw</v>
      </c>
      <c r="B20394" s="5">
        <f>IFERROR(__xludf.DUMMYFUNCTION("""COMPUTED_VALUE"""),44782.0)</f>
        <v>44782</v>
      </c>
      <c r="C20394" s="6">
        <f>IFERROR(__xludf.DUMMYFUNCTION("""COMPUTED_VALUE"""),0.34740740740744513)</f>
        <v>0.3474074074</v>
      </c>
      <c r="D20394" s="4">
        <f>IFERROR(__xludf.DUMMYFUNCTION("""COMPUTED_VALUE"""),12.923359)</f>
        <v>12.923359</v>
      </c>
      <c r="E20394" s="4">
        <f>IFERROR(__xludf.DUMMYFUNCTION("""COMPUTED_VALUE"""),80.097202)</f>
        <v>80.097202</v>
      </c>
      <c r="F20394" s="4">
        <f>IFERROR(__xludf.DUMMYFUNCTION("""COMPUTED_VALUE"""),3143.0)</f>
        <v>3143</v>
      </c>
      <c r="G20394" s="4">
        <f>IFERROR(__xludf.DUMMYFUNCTION("""COMPUTED_VALUE"""),49.0)</f>
        <v>49</v>
      </c>
      <c r="H20394" s="4"/>
      <c r="I20394" s="4"/>
    </row>
    <row r="20395">
      <c r="A20395" s="4" t="str">
        <f>IFERROR(__xludf.DUMMYFUNCTION("""COMPUTED_VALUE"""),"cas_hmw")</f>
        <v>cas_hmw</v>
      </c>
      <c r="B20395" s="5">
        <f>IFERROR(__xludf.DUMMYFUNCTION("""COMPUTED_VALUE"""),44782.0)</f>
        <v>44782</v>
      </c>
      <c r="C20395" s="6">
        <f>IFERROR(__xludf.DUMMYFUNCTION("""COMPUTED_VALUE"""),0.3477777777770825)</f>
        <v>0.3477777778</v>
      </c>
      <c r="D20395" s="4">
        <f>IFERROR(__xludf.DUMMYFUNCTION("""COMPUTED_VALUE"""),12.923098)</f>
        <v>12.923098</v>
      </c>
      <c r="E20395" s="4">
        <f>IFERROR(__xludf.DUMMYFUNCTION("""COMPUTED_VALUE"""),80.114291)</f>
        <v>80.114291</v>
      </c>
      <c r="F20395" s="4">
        <f>IFERROR(__xludf.DUMMYFUNCTION("""COMPUTED_VALUE"""),805.0)</f>
        <v>805</v>
      </c>
      <c r="G20395" s="4">
        <f>IFERROR(__xludf.DUMMYFUNCTION("""COMPUTED_VALUE"""),15.0)</f>
        <v>15</v>
      </c>
      <c r="H20395" s="4"/>
      <c r="I20395" s="4"/>
    </row>
    <row r="20396">
      <c r="A20396" s="4" t="str">
        <f>IFERROR(__xludf.DUMMYFUNCTION("""COMPUTED_VALUE"""),"cas_hmw")</f>
        <v>cas_hmw</v>
      </c>
      <c r="B20396" s="5">
        <f>IFERROR(__xludf.DUMMYFUNCTION("""COMPUTED_VALUE"""),44782.0)</f>
        <v>44782</v>
      </c>
      <c r="C20396" s="6">
        <f>IFERROR(__xludf.DUMMYFUNCTION("""COMPUTED_VALUE"""),0.3477893518502242)</f>
        <v>0.3477893519</v>
      </c>
      <c r="D20396" s="4">
        <f>IFERROR(__xludf.DUMMYFUNCTION("""COMPUTED_VALUE"""),12.923098)</f>
        <v>12.923098</v>
      </c>
      <c r="E20396" s="4">
        <f>IFERROR(__xludf.DUMMYFUNCTION("""COMPUTED_VALUE"""),80.114291)</f>
        <v>80.114291</v>
      </c>
      <c r="F20396" s="4">
        <f>IFERROR(__xludf.DUMMYFUNCTION("""COMPUTED_VALUE"""),805.0)</f>
        <v>805</v>
      </c>
      <c r="G20396" s="4">
        <f>IFERROR(__xludf.DUMMYFUNCTION("""COMPUTED_VALUE"""),15.0)</f>
        <v>15</v>
      </c>
      <c r="H20396" s="4"/>
      <c r="I20396" s="4"/>
    </row>
    <row r="20397">
      <c r="A20397" s="4" t="str">
        <f>IFERROR(__xludf.DUMMYFUNCTION("""COMPUTED_VALUE"""),"cas_hmw")</f>
        <v>cas_hmw</v>
      </c>
      <c r="B20397" s="5">
        <f>IFERROR(__xludf.DUMMYFUNCTION("""COMPUTED_VALUE"""),44782.0)</f>
        <v>44782</v>
      </c>
      <c r="C20397" s="6">
        <f>IFERROR(__xludf.DUMMYFUNCTION("""COMPUTED_VALUE"""),0.34817129629664123)</f>
        <v>0.3481712963</v>
      </c>
      <c r="D20397" s="4">
        <f>IFERROR(__xludf.DUMMYFUNCTION("""COMPUTED_VALUE"""),12.921134)</f>
        <v>12.921134</v>
      </c>
      <c r="E20397" s="4">
        <f>IFERROR(__xludf.DUMMYFUNCTION("""COMPUTED_VALUE"""),80.112297)</f>
        <v>80.112297</v>
      </c>
      <c r="F20397" s="4">
        <f>IFERROR(__xludf.DUMMYFUNCTION("""COMPUTED_VALUE"""),805.0)</f>
        <v>805</v>
      </c>
      <c r="G20397" s="4">
        <f>IFERROR(__xludf.DUMMYFUNCTION("""COMPUTED_VALUE"""),51.0)</f>
        <v>51</v>
      </c>
      <c r="H20397" s="4"/>
      <c r="I20397" s="4"/>
    </row>
    <row r="20398">
      <c r="A20398" s="4" t="str">
        <f>IFERROR(__xludf.DUMMYFUNCTION("""COMPUTED_VALUE"""),"cas_hmw")</f>
        <v>cas_hmw</v>
      </c>
      <c r="B20398" s="5">
        <f>IFERROR(__xludf.DUMMYFUNCTION("""COMPUTED_VALUE"""),44782.0)</f>
        <v>44782</v>
      </c>
      <c r="C20398" s="6">
        <f>IFERROR(__xludf.DUMMYFUNCTION("""COMPUTED_VALUE"""),0.34980324074058444)</f>
        <v>0.3498032407</v>
      </c>
      <c r="D20398" s="4">
        <f>IFERROR(__xludf.DUMMYFUNCTION("""COMPUTED_VALUE"""),12.909772)</f>
        <v>12.909772</v>
      </c>
      <c r="E20398" s="4">
        <f>IFERROR(__xludf.DUMMYFUNCTION("""COMPUTED_VALUE"""),80.10016)</f>
        <v>80.10016</v>
      </c>
      <c r="F20398" s="4">
        <f>IFERROR(__xludf.DUMMYFUNCTION("""COMPUTED_VALUE"""),805.0)</f>
        <v>805</v>
      </c>
      <c r="G20398" s="4">
        <f>IFERROR(__xludf.DUMMYFUNCTION("""COMPUTED_VALUE"""),55.0)</f>
        <v>55</v>
      </c>
      <c r="H20398" s="4"/>
      <c r="I20398" s="4"/>
    </row>
    <row r="20399">
      <c r="A20399" s="4" t="str">
        <f>IFERROR(__xludf.DUMMYFUNCTION("""COMPUTED_VALUE"""),"cas_hmw")</f>
        <v>cas_hmw</v>
      </c>
      <c r="B20399" s="5">
        <f>IFERROR(__xludf.DUMMYFUNCTION("""COMPUTED_VALUE"""),44782.0)</f>
        <v>44782</v>
      </c>
      <c r="C20399" s="6">
        <f>IFERROR(__xludf.DUMMYFUNCTION("""COMPUTED_VALUE"""),0.34982638889050577)</f>
        <v>0.3498263889</v>
      </c>
      <c r="D20399" s="4">
        <f>IFERROR(__xludf.DUMMYFUNCTION("""COMPUTED_VALUE"""),12.909772)</f>
        <v>12.909772</v>
      </c>
      <c r="E20399" s="4">
        <f>IFERROR(__xludf.DUMMYFUNCTION("""COMPUTED_VALUE"""),80.10016)</f>
        <v>80.10016</v>
      </c>
      <c r="F20399" s="4">
        <f>IFERROR(__xludf.DUMMYFUNCTION("""COMPUTED_VALUE"""),805.0)</f>
        <v>805</v>
      </c>
      <c r="G20399" s="4">
        <f>IFERROR(__xludf.DUMMYFUNCTION("""COMPUTED_VALUE"""),55.0)</f>
        <v>55</v>
      </c>
      <c r="H20399" s="4"/>
      <c r="I20399" s="4"/>
    </row>
    <row r="20400">
      <c r="A20400" s="4" t="str">
        <f>IFERROR(__xludf.DUMMYFUNCTION("""COMPUTED_VALUE"""),"cas_hmw")</f>
        <v>cas_hmw</v>
      </c>
      <c r="B20400" s="5">
        <f>IFERROR(__xludf.DUMMYFUNCTION("""COMPUTED_VALUE"""),44782.0)</f>
        <v>44782</v>
      </c>
      <c r="C20400" s="6">
        <f>IFERROR(__xludf.DUMMYFUNCTION("""COMPUTED_VALUE"""),0.34983796296364744)</f>
        <v>0.349837963</v>
      </c>
      <c r="D20400" s="4">
        <f>IFERROR(__xludf.DUMMYFUNCTION("""COMPUTED_VALUE"""),12.909772)</f>
        <v>12.909772</v>
      </c>
      <c r="E20400" s="4">
        <f>IFERROR(__xludf.DUMMYFUNCTION("""COMPUTED_VALUE"""),80.10016)</f>
        <v>80.10016</v>
      </c>
      <c r="F20400" s="4">
        <f>IFERROR(__xludf.DUMMYFUNCTION("""COMPUTED_VALUE"""),805.0)</f>
        <v>805</v>
      </c>
      <c r="G20400" s="4">
        <f>IFERROR(__xludf.DUMMYFUNCTION("""COMPUTED_VALUE"""),55.0)</f>
        <v>55</v>
      </c>
      <c r="H20400" s="4"/>
      <c r="I20400" s="4"/>
    </row>
    <row r="20401">
      <c r="A20401" s="4" t="str">
        <f>IFERROR(__xludf.DUMMYFUNCTION("""COMPUTED_VALUE"""),"cas_hmw")</f>
        <v>cas_hmw</v>
      </c>
      <c r="B20401" s="5">
        <f>IFERROR(__xludf.DUMMYFUNCTION("""COMPUTED_VALUE"""),44782.0)</f>
        <v>44782</v>
      </c>
      <c r="C20401" s="6">
        <f>IFERROR(__xludf.DUMMYFUNCTION("""COMPUTED_VALUE"""),0.34994212962919846)</f>
        <v>0.3499421296</v>
      </c>
      <c r="D20401" s="4">
        <f>IFERROR(__xludf.DUMMYFUNCTION("""COMPUTED_VALUE"""),12.919727)</f>
        <v>12.919727</v>
      </c>
      <c r="E20401" s="4">
        <f>IFERROR(__xludf.DUMMYFUNCTION("""COMPUTED_VALUE"""),80.086864)</f>
        <v>80.086864</v>
      </c>
      <c r="F20401" s="4">
        <f>IFERROR(__xludf.DUMMYFUNCTION("""COMPUTED_VALUE"""),3143.0)</f>
        <v>3143</v>
      </c>
      <c r="G20401" s="4">
        <f>IFERROR(__xludf.DUMMYFUNCTION("""COMPUTED_VALUE"""),32.0)</f>
        <v>32</v>
      </c>
      <c r="H20401" s="4"/>
      <c r="I20401" s="4"/>
    </row>
    <row r="20402">
      <c r="A20402" s="4" t="str">
        <f>IFERROR(__xludf.DUMMYFUNCTION("""COMPUTED_VALUE"""),"cas_hmw")</f>
        <v>cas_hmw</v>
      </c>
      <c r="B20402" s="5">
        <f>IFERROR(__xludf.DUMMYFUNCTION("""COMPUTED_VALUE"""),44782.0)</f>
        <v>44782</v>
      </c>
      <c r="C20402" s="6">
        <f>IFERROR(__xludf.DUMMYFUNCTION("""COMPUTED_VALUE"""),0.3499652777791198)</f>
        <v>0.3499652778</v>
      </c>
      <c r="D20402" s="4">
        <f>IFERROR(__xludf.DUMMYFUNCTION("""COMPUTED_VALUE"""),12.908813)</f>
        <v>12.908813</v>
      </c>
      <c r="E20402" s="4">
        <f>IFERROR(__xludf.DUMMYFUNCTION("""COMPUTED_VALUE"""),80.098456)</f>
        <v>80.098456</v>
      </c>
      <c r="F20402" s="4">
        <f>IFERROR(__xludf.DUMMYFUNCTION("""COMPUTED_VALUE"""),805.0)</f>
        <v>805</v>
      </c>
      <c r="G20402" s="4">
        <f>IFERROR(__xludf.DUMMYFUNCTION("""COMPUTED_VALUE"""),38.0)</f>
        <v>38</v>
      </c>
      <c r="H20402" s="4"/>
      <c r="I20402" s="4"/>
    </row>
    <row r="20403">
      <c r="A20403" s="4" t="str">
        <f>IFERROR(__xludf.DUMMYFUNCTION("""COMPUTED_VALUE"""),"cas_hmw")</f>
        <v>cas_hmw</v>
      </c>
      <c r="B20403" s="5">
        <f>IFERROR(__xludf.DUMMYFUNCTION("""COMPUTED_VALUE"""),44782.0)</f>
        <v>44782</v>
      </c>
      <c r="C20403" s="6">
        <f>IFERROR(__xludf.DUMMYFUNCTION("""COMPUTED_VALUE"""),0.35001157407532446)</f>
        <v>0.3500115741</v>
      </c>
      <c r="D20403" s="4">
        <f>IFERROR(__xludf.DUMMYFUNCTION("""COMPUTED_VALUE"""),12.919727)</f>
        <v>12.919727</v>
      </c>
      <c r="E20403" s="4">
        <f>IFERROR(__xludf.DUMMYFUNCTION("""COMPUTED_VALUE"""),80.086864)</f>
        <v>80.086864</v>
      </c>
      <c r="F20403" s="4">
        <f>IFERROR(__xludf.DUMMYFUNCTION("""COMPUTED_VALUE"""),3143.0)</f>
        <v>3143</v>
      </c>
      <c r="G20403" s="4">
        <f>IFERROR(__xludf.DUMMYFUNCTION("""COMPUTED_VALUE"""),32.0)</f>
        <v>32</v>
      </c>
      <c r="H20403" s="4"/>
      <c r="I20403" s="4"/>
    </row>
    <row r="20404">
      <c r="A20404" s="4" t="str">
        <f>IFERROR(__xludf.DUMMYFUNCTION("""COMPUTED_VALUE"""),"cas_hmw")</f>
        <v>cas_hmw</v>
      </c>
      <c r="B20404" s="5">
        <f>IFERROR(__xludf.DUMMYFUNCTION("""COMPUTED_VALUE"""),44782.0)</f>
        <v>44782</v>
      </c>
      <c r="C20404" s="6">
        <f>IFERROR(__xludf.DUMMYFUNCTION("""COMPUTED_VALUE"""),0.3500694444446708)</f>
        <v>0.3500694444</v>
      </c>
      <c r="D20404" s="4">
        <f>IFERROR(__xludf.DUMMYFUNCTION("""COMPUTED_VALUE"""),12.919645)</f>
        <v>12.919645</v>
      </c>
      <c r="E20404" s="4">
        <f>IFERROR(__xludf.DUMMYFUNCTION("""COMPUTED_VALUE"""),80.086012)</f>
        <v>80.086012</v>
      </c>
      <c r="F20404" s="4">
        <f>IFERROR(__xludf.DUMMYFUNCTION("""COMPUTED_VALUE"""),3143.0)</f>
        <v>3143</v>
      </c>
      <c r="G20404" s="4">
        <f>IFERROR(__xludf.DUMMYFUNCTION("""COMPUTED_VALUE"""),34.0)</f>
        <v>34</v>
      </c>
      <c r="H20404" s="4"/>
      <c r="I20404" s="4"/>
    </row>
    <row r="20405">
      <c r="A20405" s="4" t="str">
        <f>IFERROR(__xludf.DUMMYFUNCTION("""COMPUTED_VALUE"""),"cas_hmw")</f>
        <v>cas_hmw</v>
      </c>
      <c r="B20405" s="5">
        <f>IFERROR(__xludf.DUMMYFUNCTION("""COMPUTED_VALUE"""),44782.0)</f>
        <v>44782</v>
      </c>
      <c r="C20405" s="6">
        <f>IFERROR(__xludf.DUMMYFUNCTION("""COMPUTED_VALUE"""),0.35012731481401715)</f>
        <v>0.3501273148</v>
      </c>
      <c r="D20405" s="4">
        <f>IFERROR(__xludf.DUMMYFUNCTION("""COMPUTED_VALUE"""),12.907824)</f>
        <v>12.907824</v>
      </c>
      <c r="E20405" s="4">
        <f>IFERROR(__xludf.DUMMYFUNCTION("""COMPUTED_VALUE"""),80.0976)</f>
        <v>80.0976</v>
      </c>
      <c r="F20405" s="4">
        <f>IFERROR(__xludf.DUMMYFUNCTION("""COMPUTED_VALUE"""),805.0)</f>
        <v>805</v>
      </c>
      <c r="G20405" s="4">
        <f>IFERROR(__xludf.DUMMYFUNCTION("""COMPUTED_VALUE"""),34.0)</f>
        <v>34</v>
      </c>
      <c r="H20405" s="4"/>
      <c r="I20405" s="4"/>
    </row>
    <row r="20406">
      <c r="A20406" s="4" t="str">
        <f>IFERROR(__xludf.DUMMYFUNCTION("""COMPUTED_VALUE"""),"cas_hmw")</f>
        <v>cas_hmw</v>
      </c>
      <c r="B20406" s="5">
        <f>IFERROR(__xludf.DUMMYFUNCTION("""COMPUTED_VALUE"""),44782.0)</f>
        <v>44782</v>
      </c>
      <c r="C20406" s="6">
        <f>IFERROR(__xludf.DUMMYFUNCTION("""COMPUTED_VALUE"""),0.3501851851870015)</f>
        <v>0.3501851852</v>
      </c>
      <c r="D20406" s="4">
        <f>IFERROR(__xludf.DUMMYFUNCTION("""COMPUTED_VALUE"""),12.919496)</f>
        <v>12.919496</v>
      </c>
      <c r="E20406" s="4">
        <f>IFERROR(__xludf.DUMMYFUNCTION("""COMPUTED_VALUE"""),80.08511)</f>
        <v>80.08511</v>
      </c>
      <c r="F20406" s="4">
        <f>IFERROR(__xludf.DUMMYFUNCTION("""COMPUTED_VALUE"""),3143.0)</f>
        <v>3143</v>
      </c>
      <c r="G20406" s="4">
        <f>IFERROR(__xludf.DUMMYFUNCTION("""COMPUTED_VALUE"""),38.0)</f>
        <v>38</v>
      </c>
      <c r="H20406" s="4"/>
      <c r="I20406" s="4"/>
    </row>
    <row r="20407">
      <c r="A20407" s="4" t="str">
        <f>IFERROR(__xludf.DUMMYFUNCTION("""COMPUTED_VALUE"""),"cas_hmw")</f>
        <v>cas_hmw</v>
      </c>
      <c r="B20407" s="5">
        <f>IFERROR(__xludf.DUMMYFUNCTION("""COMPUTED_VALUE"""),44782.0)</f>
        <v>44782</v>
      </c>
      <c r="C20407" s="6">
        <f>IFERROR(__xludf.DUMMYFUNCTION("""COMPUTED_VALUE"""),0.3508680555569299)</f>
        <v>0.3508680556</v>
      </c>
      <c r="D20407" s="4">
        <f>IFERROR(__xludf.DUMMYFUNCTION("""COMPUTED_VALUE"""),12.905327)</f>
        <v>12.905327</v>
      </c>
      <c r="E20407" s="4">
        <f>IFERROR(__xludf.DUMMYFUNCTION("""COMPUTED_VALUE"""),80.095634)</f>
        <v>80.095634</v>
      </c>
      <c r="F20407" s="4">
        <f>IFERROR(__xludf.DUMMYFUNCTION("""COMPUTED_VALUE"""),805.0)</f>
        <v>805</v>
      </c>
      <c r="G20407" s="4">
        <f>IFERROR(__xludf.DUMMYFUNCTION("""COMPUTED_VALUE"""),27.0)</f>
        <v>27</v>
      </c>
      <c r="H20407" s="4"/>
      <c r="I20407" s="4"/>
    </row>
    <row r="20408">
      <c r="A20408" s="4" t="str">
        <f>IFERROR(__xludf.DUMMYFUNCTION("""COMPUTED_VALUE"""),"cas_hmw")</f>
        <v>cas_hmw</v>
      </c>
      <c r="B20408" s="5">
        <f>IFERROR(__xludf.DUMMYFUNCTION("""COMPUTED_VALUE"""),44782.0)</f>
        <v>44782</v>
      </c>
      <c r="C20408" s="6">
        <f>IFERROR(__xludf.DUMMYFUNCTION("""COMPUTED_VALUE"""),0.3509722222224809)</f>
        <v>0.3509722222</v>
      </c>
      <c r="D20408" s="4">
        <f>IFERROR(__xludf.DUMMYFUNCTION("""COMPUTED_VALUE"""),12.917307)</f>
        <v>12.917307</v>
      </c>
      <c r="E20408" s="4">
        <f>IFERROR(__xludf.DUMMYFUNCTION("""COMPUTED_VALUE"""),80.080228)</f>
        <v>80.080228</v>
      </c>
      <c r="F20408" s="4">
        <f>IFERROR(__xludf.DUMMYFUNCTION("""COMPUTED_VALUE"""),3143.0)</f>
        <v>3143</v>
      </c>
      <c r="G20408" s="4">
        <f>IFERROR(__xludf.DUMMYFUNCTION("""COMPUTED_VALUE"""),35.0)</f>
        <v>35</v>
      </c>
      <c r="H20408" s="4"/>
      <c r="I20408" s="4"/>
    </row>
    <row r="20409">
      <c r="A20409" s="4" t="str">
        <f>IFERROR(__xludf.DUMMYFUNCTION("""COMPUTED_VALUE"""),"cas_hmw")</f>
        <v>cas_hmw</v>
      </c>
      <c r="B20409" s="5">
        <f>IFERROR(__xludf.DUMMYFUNCTION("""COMPUTED_VALUE"""),44782.0)</f>
        <v>44782</v>
      </c>
      <c r="C20409" s="6">
        <f>IFERROR(__xludf.DUMMYFUNCTION("""COMPUTED_VALUE"""),0.3522569444430701)</f>
        <v>0.3522569444</v>
      </c>
      <c r="D20409" s="4">
        <f>IFERROR(__xludf.DUMMYFUNCTION("""COMPUTED_VALUE"""),12.896955)</f>
        <v>12.896955</v>
      </c>
      <c r="E20409" s="4">
        <f>IFERROR(__xludf.DUMMYFUNCTION("""COMPUTED_VALUE"""),80.089199)</f>
        <v>80.089199</v>
      </c>
      <c r="F20409" s="4">
        <f>IFERROR(__xludf.DUMMYFUNCTION("""COMPUTED_VALUE"""),805.0)</f>
        <v>805</v>
      </c>
      <c r="G20409" s="4">
        <f>IFERROR(__xludf.DUMMYFUNCTION("""COMPUTED_VALUE"""),23.0)</f>
        <v>23</v>
      </c>
      <c r="H20409" s="4"/>
      <c r="I20409" s="4"/>
    </row>
    <row r="20410">
      <c r="A20410" s="4" t="str">
        <f>IFERROR(__xludf.DUMMYFUNCTION("""COMPUTED_VALUE"""),"cas_hmw")</f>
        <v>cas_hmw</v>
      </c>
      <c r="B20410" s="5">
        <f>IFERROR(__xludf.DUMMYFUNCTION("""COMPUTED_VALUE"""),44782.0)</f>
        <v>44782</v>
      </c>
      <c r="C20410" s="6">
        <f>IFERROR(__xludf.DUMMYFUNCTION("""COMPUTED_VALUE"""),0.35226851851984975)</f>
        <v>0.3522685185</v>
      </c>
      <c r="D20410" s="4">
        <f>IFERROR(__xludf.DUMMYFUNCTION("""COMPUTED_VALUE"""),12.896955)</f>
        <v>12.896955</v>
      </c>
      <c r="E20410" s="4">
        <f>IFERROR(__xludf.DUMMYFUNCTION("""COMPUTED_VALUE"""),80.089199)</f>
        <v>80.089199</v>
      </c>
      <c r="F20410" s="4">
        <f>IFERROR(__xludf.DUMMYFUNCTION("""COMPUTED_VALUE"""),805.0)</f>
        <v>805</v>
      </c>
      <c r="G20410" s="4">
        <f>IFERROR(__xludf.DUMMYFUNCTION("""COMPUTED_VALUE"""),23.0)</f>
        <v>23</v>
      </c>
      <c r="H20410" s="4"/>
      <c r="I20410" s="4"/>
    </row>
    <row r="20411">
      <c r="A20411" s="4" t="str">
        <f>IFERROR(__xludf.DUMMYFUNCTION("""COMPUTED_VALUE"""),"cas_hmw")</f>
        <v>cas_hmw</v>
      </c>
      <c r="B20411" s="5">
        <f>IFERROR(__xludf.DUMMYFUNCTION("""COMPUTED_VALUE"""),44782.0)</f>
        <v>44782</v>
      </c>
      <c r="C20411" s="6">
        <f>IFERROR(__xludf.DUMMYFUNCTION("""COMPUTED_VALUE"""),0.35262731481634546)</f>
        <v>0.3526273148</v>
      </c>
      <c r="D20411" s="4">
        <f>IFERROR(__xludf.DUMMYFUNCTION("""COMPUTED_VALUE"""),12.894205)</f>
        <v>12.894205</v>
      </c>
      <c r="E20411" s="4">
        <f>IFERROR(__xludf.DUMMYFUNCTION("""COMPUTED_VALUE"""),80.087186)</f>
        <v>80.087186</v>
      </c>
      <c r="F20411" s="4">
        <f>IFERROR(__xludf.DUMMYFUNCTION("""COMPUTED_VALUE"""),805.0)</f>
        <v>805</v>
      </c>
      <c r="G20411" s="4">
        <f>IFERROR(__xludf.DUMMYFUNCTION("""COMPUTED_VALUE"""),60.0)</f>
        <v>60</v>
      </c>
      <c r="H20411" s="4"/>
      <c r="I20411" s="4"/>
    </row>
    <row r="20412">
      <c r="A20412" s="4" t="str">
        <f>IFERROR(__xludf.DUMMYFUNCTION("""COMPUTED_VALUE"""),"cas_hmw")</f>
        <v>cas_hmw</v>
      </c>
      <c r="B20412" s="5">
        <f>IFERROR(__xludf.DUMMYFUNCTION("""COMPUTED_VALUE"""),44782.0)</f>
        <v>44782</v>
      </c>
      <c r="C20412" s="6">
        <f>IFERROR(__xludf.DUMMYFUNCTION("""COMPUTED_VALUE"""),0.35325231481328956)</f>
        <v>0.3532523148</v>
      </c>
      <c r="D20412" s="4">
        <f>IFERROR(__xludf.DUMMYFUNCTION("""COMPUTED_VALUE"""),12.892215)</f>
        <v>12.892215</v>
      </c>
      <c r="E20412" s="4">
        <f>IFERROR(__xludf.DUMMYFUNCTION("""COMPUTED_VALUE"""),80.085701)</f>
        <v>80.085701</v>
      </c>
      <c r="F20412" s="4">
        <f>IFERROR(__xludf.DUMMYFUNCTION("""COMPUTED_VALUE"""),805.0)</f>
        <v>805</v>
      </c>
      <c r="G20412" s="4">
        <f>IFERROR(__xludf.DUMMYFUNCTION("""COMPUTED_VALUE"""),17.0)</f>
        <v>17</v>
      </c>
      <c r="H20412" s="4"/>
      <c r="I20412" s="4"/>
    </row>
    <row r="20413">
      <c r="A20413" s="4" t="str">
        <f>IFERROR(__xludf.DUMMYFUNCTION("""COMPUTED_VALUE"""),"cas_hmw")</f>
        <v>cas_hmw</v>
      </c>
      <c r="B20413" s="5">
        <f>IFERROR(__xludf.DUMMYFUNCTION("""COMPUTED_VALUE"""),44782.0)</f>
        <v>44782</v>
      </c>
      <c r="C20413" s="6">
        <f>IFERROR(__xludf.DUMMYFUNCTION("""COMPUTED_VALUE"""),0.3533796296287619)</f>
        <v>0.3533796296</v>
      </c>
      <c r="D20413" s="4">
        <f>IFERROR(__xludf.DUMMYFUNCTION("""COMPUTED_VALUE"""),12.891423)</f>
        <v>12.891423</v>
      </c>
      <c r="E20413" s="4">
        <f>IFERROR(__xludf.DUMMYFUNCTION("""COMPUTED_VALUE"""),80.085247)</f>
        <v>80.085247</v>
      </c>
      <c r="F20413" s="4">
        <f>IFERROR(__xludf.DUMMYFUNCTION("""COMPUTED_VALUE"""),805.0)</f>
        <v>805</v>
      </c>
      <c r="G20413" s="4">
        <f>IFERROR(__xludf.DUMMYFUNCTION("""COMPUTED_VALUE"""),34.0)</f>
        <v>34</v>
      </c>
      <c r="H20413" s="4"/>
      <c r="I20413" s="4"/>
    </row>
    <row r="20414">
      <c r="A20414" s="4" t="str">
        <f>IFERROR(__xludf.DUMMYFUNCTION("""COMPUTED_VALUE"""),"cas_hmw")</f>
        <v>cas_hmw</v>
      </c>
      <c r="B20414" s="5">
        <f>IFERROR(__xludf.DUMMYFUNCTION("""COMPUTED_VALUE"""),44782.0)</f>
        <v>44782</v>
      </c>
      <c r="C20414" s="6">
        <f>IFERROR(__xludf.DUMMYFUNCTION("""COMPUTED_VALUE"""),0.35376157407517894)</f>
        <v>0.3537615741</v>
      </c>
      <c r="D20414" s="4">
        <f>IFERROR(__xludf.DUMMYFUNCTION("""COMPUTED_VALUE"""),12.887997)</f>
        <v>12.887997</v>
      </c>
      <c r="E20414" s="4">
        <f>IFERROR(__xludf.DUMMYFUNCTION("""COMPUTED_VALUE"""),80.08379)</f>
        <v>80.08379</v>
      </c>
      <c r="F20414" s="4">
        <f>IFERROR(__xludf.DUMMYFUNCTION("""COMPUTED_VALUE"""),805.0)</f>
        <v>805</v>
      </c>
      <c r="G20414" s="4">
        <f>IFERROR(__xludf.DUMMYFUNCTION("""COMPUTED_VALUE"""),57.0)</f>
        <v>57</v>
      </c>
      <c r="H20414" s="4"/>
      <c r="I20414" s="4"/>
    </row>
    <row r="20415">
      <c r="A20415" s="4" t="str">
        <f>IFERROR(__xludf.DUMMYFUNCTION("""COMPUTED_VALUE"""),"cas_hmw")</f>
        <v>cas_hmw</v>
      </c>
      <c r="B20415" s="5">
        <f>IFERROR(__xludf.DUMMYFUNCTION("""COMPUTED_VALUE"""),44782.0)</f>
        <v>44782</v>
      </c>
      <c r="C20415" s="6">
        <f>IFERROR(__xludf.DUMMYFUNCTION("""COMPUTED_VALUE"""),0.35510416666511446)</f>
        <v>0.3551041667</v>
      </c>
      <c r="D20415" s="4">
        <f>IFERROR(__xludf.DUMMYFUNCTION("""COMPUTED_VALUE"""),12.885085)</f>
        <v>12.885085</v>
      </c>
      <c r="E20415" s="4">
        <f>IFERROR(__xludf.DUMMYFUNCTION("""COMPUTED_VALUE"""),80.081874)</f>
        <v>80.081874</v>
      </c>
      <c r="F20415" s="4">
        <f>IFERROR(__xludf.DUMMYFUNCTION("""COMPUTED_VALUE"""),3143.0)</f>
        <v>3143</v>
      </c>
      <c r="G20415" s="4">
        <f>IFERROR(__xludf.DUMMYFUNCTION("""COMPUTED_VALUE"""),26.0)</f>
        <v>26</v>
      </c>
      <c r="H20415" s="4"/>
      <c r="I20415" s="4"/>
    </row>
    <row r="20416">
      <c r="A20416" s="4" t="str">
        <f>IFERROR(__xludf.DUMMYFUNCTION("""COMPUTED_VALUE"""),"cas_hmw")</f>
        <v>cas_hmw</v>
      </c>
      <c r="B20416" s="5">
        <f>IFERROR(__xludf.DUMMYFUNCTION("""COMPUTED_VALUE"""),44782.0)</f>
        <v>44782</v>
      </c>
      <c r="C20416" s="6">
        <f>IFERROR(__xludf.DUMMYFUNCTION("""COMPUTED_VALUE"""),0.3551273148150358)</f>
        <v>0.3551273148</v>
      </c>
      <c r="D20416" s="4">
        <f>IFERROR(__xludf.DUMMYFUNCTION("""COMPUTED_VALUE"""),12.885085)</f>
        <v>12.885085</v>
      </c>
      <c r="E20416" s="4">
        <f>IFERROR(__xludf.DUMMYFUNCTION("""COMPUTED_VALUE"""),80.081874)</f>
        <v>80.081874</v>
      </c>
      <c r="F20416" s="4">
        <f>IFERROR(__xludf.DUMMYFUNCTION("""COMPUTED_VALUE"""),3143.0)</f>
        <v>3143</v>
      </c>
      <c r="G20416" s="4">
        <f>IFERROR(__xludf.DUMMYFUNCTION("""COMPUTED_VALUE"""),26.0)</f>
        <v>26</v>
      </c>
      <c r="H20416" s="4"/>
      <c r="I20416" s="4"/>
    </row>
    <row r="20417">
      <c r="A20417" s="4" t="str">
        <f>IFERROR(__xludf.DUMMYFUNCTION("""COMPUTED_VALUE"""),"cas_hmw")</f>
        <v>cas_hmw</v>
      </c>
      <c r="B20417" s="5">
        <f>IFERROR(__xludf.DUMMYFUNCTION("""COMPUTED_VALUE"""),44782.0)</f>
        <v>44782</v>
      </c>
      <c r="C20417" s="6">
        <f>IFERROR(__xludf.DUMMYFUNCTION("""COMPUTED_VALUE"""),0.3553009259267128)</f>
        <v>0.3553009259</v>
      </c>
      <c r="D20417" s="4">
        <f>IFERROR(__xludf.DUMMYFUNCTION("""COMPUTED_VALUE"""),12.884437)</f>
        <v>12.884437</v>
      </c>
      <c r="E20417" s="4">
        <f>IFERROR(__xludf.DUMMYFUNCTION("""COMPUTED_VALUE"""),80.082186)</f>
        <v>80.082186</v>
      </c>
      <c r="F20417" s="4">
        <f>IFERROR(__xludf.DUMMYFUNCTION("""COMPUTED_VALUE"""),3143.0)</f>
        <v>3143</v>
      </c>
      <c r="G20417" s="4">
        <f>IFERROR(__xludf.DUMMYFUNCTION("""COMPUTED_VALUE"""),31.0)</f>
        <v>31</v>
      </c>
      <c r="H20417" s="4"/>
      <c r="I20417" s="4"/>
    </row>
    <row r="20418">
      <c r="A20418" s="4" t="str">
        <f>IFERROR(__xludf.DUMMYFUNCTION("""COMPUTED_VALUE"""),"cas_hmw")</f>
        <v>cas_hmw</v>
      </c>
      <c r="B20418" s="5">
        <f>IFERROR(__xludf.DUMMYFUNCTION("""COMPUTED_VALUE"""),44782.0)</f>
        <v>44782</v>
      </c>
      <c r="C20418" s="6">
        <f>IFERROR(__xludf.DUMMYFUNCTION("""COMPUTED_VALUE"""),0.35630787037007394)</f>
        <v>0.3563078704</v>
      </c>
      <c r="D20418" s="4">
        <f>IFERROR(__xludf.DUMMYFUNCTION("""COMPUTED_VALUE"""),12.878763)</f>
        <v>12.878763</v>
      </c>
      <c r="E20418" s="4">
        <f>IFERROR(__xludf.DUMMYFUNCTION("""COMPUTED_VALUE"""),80.08136)</f>
        <v>80.08136</v>
      </c>
      <c r="F20418" s="4">
        <f>IFERROR(__xludf.DUMMYFUNCTION("""COMPUTED_VALUE"""),805.0)</f>
        <v>805</v>
      </c>
      <c r="G20418" s="4">
        <f>IFERROR(__xludf.DUMMYFUNCTION("""COMPUTED_VALUE"""),29.0)</f>
        <v>29</v>
      </c>
      <c r="H20418" s="4"/>
      <c r="I20418" s="4"/>
    </row>
    <row r="20419">
      <c r="A20419" s="4" t="str">
        <f>IFERROR(__xludf.DUMMYFUNCTION("""COMPUTED_VALUE"""),"cas_hmw")</f>
        <v>cas_hmw</v>
      </c>
      <c r="B20419" s="5">
        <f>IFERROR(__xludf.DUMMYFUNCTION("""COMPUTED_VALUE"""),44782.0)</f>
        <v>44782</v>
      </c>
      <c r="C20419" s="6">
        <f>IFERROR(__xludf.DUMMYFUNCTION("""COMPUTED_VALUE"""),0.3574768518519704)</f>
        <v>0.3574768519</v>
      </c>
      <c r="D20419" s="4">
        <f>IFERROR(__xludf.DUMMYFUNCTION("""COMPUTED_VALUE"""),12.878156)</f>
        <v>12.878156</v>
      </c>
      <c r="E20419" s="4">
        <f>IFERROR(__xludf.DUMMYFUNCTION("""COMPUTED_VALUE"""),80.083048)</f>
        <v>80.083048</v>
      </c>
      <c r="F20419" s="4">
        <f>IFERROR(__xludf.DUMMYFUNCTION("""COMPUTED_VALUE"""),3143.0)</f>
        <v>3143</v>
      </c>
      <c r="G20419" s="4">
        <f>IFERROR(__xludf.DUMMYFUNCTION("""COMPUTED_VALUE"""),48.0)</f>
        <v>48</v>
      </c>
      <c r="H20419" s="4"/>
      <c r="I20419" s="4"/>
    </row>
    <row r="20420">
      <c r="A20420" s="4" t="str">
        <f>IFERROR(__xludf.DUMMYFUNCTION("""COMPUTED_VALUE"""),"cas_hmw")</f>
        <v>cas_hmw</v>
      </c>
      <c r="B20420" s="5">
        <f>IFERROR(__xludf.DUMMYFUNCTION("""COMPUTED_VALUE"""),44782.0)</f>
        <v>44782</v>
      </c>
      <c r="C20420" s="6">
        <f>IFERROR(__xludf.DUMMYFUNCTION("""COMPUTED_VALUE"""),0.6940393518525525)</f>
        <v>0.6940393519</v>
      </c>
      <c r="D20420" s="4">
        <f>IFERROR(__xludf.DUMMYFUNCTION("""COMPUTED_VALUE"""),12.885134)</f>
        <v>12.885134</v>
      </c>
      <c r="E20420" s="4">
        <f>IFERROR(__xludf.DUMMYFUNCTION("""COMPUTED_VALUE"""),80.082236)</f>
        <v>80.082236</v>
      </c>
      <c r="F20420" s="4">
        <f>IFERROR(__xludf.DUMMYFUNCTION("""COMPUTED_VALUE"""),805.0)</f>
        <v>805</v>
      </c>
      <c r="G20420" s="4">
        <f>IFERROR(__xludf.DUMMYFUNCTION("""COMPUTED_VALUE"""),45.0)</f>
        <v>45</v>
      </c>
      <c r="H20420" s="4"/>
      <c r="I20420" s="4"/>
    </row>
    <row r="20421">
      <c r="A20421" s="4" t="str">
        <f>IFERROR(__xludf.DUMMYFUNCTION("""COMPUTED_VALUE"""),"cas_hmw")</f>
        <v>cas_hmw</v>
      </c>
      <c r="B20421" s="5">
        <f>IFERROR(__xludf.DUMMYFUNCTION("""COMPUTED_VALUE"""),44782.0)</f>
        <v>44782</v>
      </c>
      <c r="C20421" s="6">
        <f>IFERROR(__xludf.DUMMYFUNCTION("""COMPUTED_VALUE"""),0.6940856481487572)</f>
        <v>0.6940856481</v>
      </c>
      <c r="D20421" s="4">
        <f>IFERROR(__xludf.DUMMYFUNCTION("""COMPUTED_VALUE"""),12.88616)</f>
        <v>12.88616</v>
      </c>
      <c r="E20421" s="4">
        <f>IFERROR(__xludf.DUMMYFUNCTION("""COMPUTED_VALUE"""),80.082895)</f>
        <v>80.082895</v>
      </c>
      <c r="F20421" s="4">
        <f>IFERROR(__xludf.DUMMYFUNCTION("""COMPUTED_VALUE"""),5339.0)</f>
        <v>5339</v>
      </c>
      <c r="G20421" s="4">
        <f>IFERROR(__xludf.DUMMYFUNCTION("""COMPUTED_VALUE"""),38.0)</f>
        <v>38</v>
      </c>
      <c r="H20421" s="4"/>
      <c r="I20421" s="4"/>
    </row>
    <row r="20422">
      <c r="A20422" s="4" t="str">
        <f>IFERROR(__xludf.DUMMYFUNCTION("""COMPUTED_VALUE"""),"cas_hmw")</f>
        <v>cas_hmw</v>
      </c>
      <c r="B20422" s="5">
        <f>IFERROR(__xludf.DUMMYFUNCTION("""COMPUTED_VALUE"""),44782.0)</f>
        <v>44782</v>
      </c>
      <c r="C20422" s="6">
        <f>IFERROR(__xludf.DUMMYFUNCTION("""COMPUTED_VALUE"""),0.6946180555569299)</f>
        <v>0.6946180556</v>
      </c>
      <c r="D20422" s="4">
        <f>IFERROR(__xludf.DUMMYFUNCTION("""COMPUTED_VALUE"""),12.877193)</f>
        <v>12.877193</v>
      </c>
      <c r="E20422" s="4">
        <f>IFERROR(__xludf.DUMMYFUNCTION("""COMPUTED_VALUE"""),80.079548)</f>
        <v>80.079548</v>
      </c>
      <c r="F20422" s="4">
        <f>IFERROR(__xludf.DUMMYFUNCTION("""COMPUTED_VALUE"""),2846.0)</f>
        <v>2846</v>
      </c>
      <c r="G20422" s="4">
        <f>IFERROR(__xludf.DUMMYFUNCTION("""COMPUTED_VALUE"""),48.0)</f>
        <v>48</v>
      </c>
      <c r="H20422" s="4"/>
      <c r="I20422" s="4"/>
    </row>
    <row r="20423">
      <c r="A20423" s="4" t="str">
        <f>IFERROR(__xludf.DUMMYFUNCTION("""COMPUTED_VALUE"""),"cas_hmw")</f>
        <v>cas_hmw</v>
      </c>
      <c r="B20423" s="5">
        <f>IFERROR(__xludf.DUMMYFUNCTION("""COMPUTED_VALUE"""),44782.0)</f>
        <v>44782</v>
      </c>
      <c r="C20423" s="6">
        <f>IFERROR(__xludf.DUMMYFUNCTION("""COMPUTED_VALUE"""),0.6948032407417486)</f>
        <v>0.6948032407</v>
      </c>
      <c r="D20423" s="4">
        <f>IFERROR(__xludf.DUMMYFUNCTION("""COMPUTED_VALUE"""),12.89213)</f>
        <v>12.89213</v>
      </c>
      <c r="E20423" s="4">
        <f>IFERROR(__xludf.DUMMYFUNCTION("""COMPUTED_VALUE"""),80.085456)</f>
        <v>80.085456</v>
      </c>
      <c r="F20423" s="4">
        <f>IFERROR(__xludf.DUMMYFUNCTION("""COMPUTED_VALUE"""),805.0)</f>
        <v>805</v>
      </c>
      <c r="G20423" s="4">
        <f>IFERROR(__xludf.DUMMYFUNCTION("""COMPUTED_VALUE"""),55.0)</f>
        <v>55</v>
      </c>
      <c r="H20423" s="4"/>
      <c r="I20423" s="4"/>
    </row>
    <row r="20424">
      <c r="A20424" s="4" t="str">
        <f>IFERROR(__xludf.DUMMYFUNCTION("""COMPUTED_VALUE"""),"cas_hmw")</f>
        <v>cas_hmw</v>
      </c>
      <c r="B20424" s="5">
        <f>IFERROR(__xludf.DUMMYFUNCTION("""COMPUTED_VALUE"""),44782.0)</f>
        <v>44782</v>
      </c>
      <c r="C20424" s="6">
        <f>IFERROR(__xludf.DUMMYFUNCTION("""COMPUTED_VALUE"""),0.6948726851842366)</f>
        <v>0.6948726852</v>
      </c>
      <c r="D20424" s="4">
        <f>IFERROR(__xludf.DUMMYFUNCTION("""COMPUTED_VALUE"""),12.894554)</f>
        <v>12.894554</v>
      </c>
      <c r="E20424" s="4">
        <f>IFERROR(__xludf.DUMMYFUNCTION("""COMPUTED_VALUE"""),80.087258)</f>
        <v>80.087258</v>
      </c>
      <c r="F20424" s="4">
        <f>IFERROR(__xludf.DUMMYFUNCTION("""COMPUTED_VALUE"""),5339.0)</f>
        <v>5339</v>
      </c>
      <c r="G20424" s="4">
        <f>IFERROR(__xludf.DUMMYFUNCTION("""COMPUTED_VALUE"""),56.0)</f>
        <v>56</v>
      </c>
      <c r="H20424" s="4"/>
      <c r="I20424" s="4"/>
    </row>
    <row r="20425">
      <c r="A20425" s="4" t="str">
        <f>IFERROR(__xludf.DUMMYFUNCTION("""COMPUTED_VALUE"""),"cas_hmw")</f>
        <v>cas_hmw</v>
      </c>
      <c r="B20425" s="5">
        <f>IFERROR(__xludf.DUMMYFUNCTION("""COMPUTED_VALUE"""),44782.0)</f>
        <v>44782</v>
      </c>
      <c r="C20425" s="6">
        <f>IFERROR(__xludf.DUMMYFUNCTION("""COMPUTED_VALUE"""),0.6953356481499213)</f>
        <v>0.6953356481</v>
      </c>
      <c r="D20425" s="4">
        <f>IFERROR(__xludf.DUMMYFUNCTION("""COMPUTED_VALUE"""),12.879407)</f>
        <v>12.879407</v>
      </c>
      <c r="E20425" s="4">
        <f>IFERROR(__xludf.DUMMYFUNCTION("""COMPUTED_VALUE"""),80.080073)</f>
        <v>80.080073</v>
      </c>
      <c r="F20425" s="4">
        <f>IFERROR(__xludf.DUMMYFUNCTION("""COMPUTED_VALUE"""),3143.0)</f>
        <v>3143</v>
      </c>
      <c r="G20425" s="4">
        <f>IFERROR(__xludf.DUMMYFUNCTION("""COMPUTED_VALUE"""),0.0)</f>
        <v>0</v>
      </c>
      <c r="H20425" s="4"/>
      <c r="I20425" s="4"/>
    </row>
    <row r="20426">
      <c r="A20426" s="4" t="str">
        <f>IFERROR(__xludf.DUMMYFUNCTION("""COMPUTED_VALUE"""),"cas_hmw")</f>
        <v>cas_hmw</v>
      </c>
      <c r="B20426" s="5">
        <f>IFERROR(__xludf.DUMMYFUNCTION("""COMPUTED_VALUE"""),44782.0)</f>
        <v>44782</v>
      </c>
      <c r="C20426" s="6">
        <f>IFERROR(__xludf.DUMMYFUNCTION("""COMPUTED_VALUE"""),0.6955787037040864)</f>
        <v>0.6955787037</v>
      </c>
      <c r="D20426" s="4">
        <f>IFERROR(__xludf.DUMMYFUNCTION("""COMPUTED_VALUE"""),12.868476)</f>
        <v>12.868476</v>
      </c>
      <c r="E20426" s="4">
        <f>IFERROR(__xludf.DUMMYFUNCTION("""COMPUTED_VALUE"""),80.076029)</f>
        <v>80.076029</v>
      </c>
      <c r="F20426" s="4">
        <f>IFERROR(__xludf.DUMMYFUNCTION("""COMPUTED_VALUE"""),2846.0)</f>
        <v>2846</v>
      </c>
      <c r="G20426" s="4">
        <f>IFERROR(__xludf.DUMMYFUNCTION("""COMPUTED_VALUE"""),55.0)</f>
        <v>55</v>
      </c>
      <c r="H20426" s="4"/>
      <c r="I20426" s="4"/>
    </row>
    <row r="20427">
      <c r="A20427" s="4" t="str">
        <f>IFERROR(__xludf.DUMMYFUNCTION("""COMPUTED_VALUE"""),"cas_hmw")</f>
        <v>cas_hmw</v>
      </c>
      <c r="B20427" s="5">
        <f>IFERROR(__xludf.DUMMYFUNCTION("""COMPUTED_VALUE"""),44782.0)</f>
        <v>44782</v>
      </c>
      <c r="C20427" s="6">
        <f>IFERROR(__xludf.DUMMYFUNCTION("""COMPUTED_VALUE"""),0.6959722222236451)</f>
        <v>0.6959722222</v>
      </c>
      <c r="D20427" s="4">
        <f>IFERROR(__xludf.DUMMYFUNCTION("""COMPUTED_VALUE"""),12.86554)</f>
        <v>12.86554</v>
      </c>
      <c r="E20427" s="4">
        <f>IFERROR(__xludf.DUMMYFUNCTION("""COMPUTED_VALUE"""),80.074894)</f>
        <v>80.074894</v>
      </c>
      <c r="F20427" s="4">
        <f>IFERROR(__xludf.DUMMYFUNCTION("""COMPUTED_VALUE"""),2846.0)</f>
        <v>2846</v>
      </c>
      <c r="G20427" s="4">
        <f>IFERROR(__xludf.DUMMYFUNCTION("""COMPUTED_VALUE"""),40.0)</f>
        <v>40</v>
      </c>
      <c r="H20427" s="4"/>
      <c r="I20427" s="4"/>
    </row>
    <row r="20428">
      <c r="A20428" s="4" t="str">
        <f>IFERROR(__xludf.DUMMYFUNCTION("""COMPUTED_VALUE"""),"cas_hmw")</f>
        <v>cas_hmw</v>
      </c>
      <c r="B20428" s="5">
        <f>IFERROR(__xludf.DUMMYFUNCTION("""COMPUTED_VALUE"""),44782.0)</f>
        <v>44782</v>
      </c>
      <c r="C20428" s="6">
        <f>IFERROR(__xludf.DUMMYFUNCTION("""COMPUTED_VALUE"""),0.6959837962967867)</f>
        <v>0.6959837963</v>
      </c>
      <c r="D20428" s="4">
        <f>IFERROR(__xludf.DUMMYFUNCTION("""COMPUTED_VALUE"""),12.90511)</f>
        <v>12.90511</v>
      </c>
      <c r="E20428" s="4">
        <f>IFERROR(__xludf.DUMMYFUNCTION("""COMPUTED_VALUE"""),80.095304)</f>
        <v>80.095304</v>
      </c>
      <c r="F20428" s="4">
        <f>IFERROR(__xludf.DUMMYFUNCTION("""COMPUTED_VALUE"""),5339.0)</f>
        <v>5339</v>
      </c>
      <c r="G20428" s="4">
        <f>IFERROR(__xludf.DUMMYFUNCTION("""COMPUTED_VALUE"""),41.0)</f>
        <v>41</v>
      </c>
      <c r="H20428" s="4"/>
      <c r="I20428" s="4"/>
    </row>
    <row r="20429">
      <c r="A20429" s="4" t="str">
        <f>IFERROR(__xludf.DUMMYFUNCTION("""COMPUTED_VALUE"""),"cas_hmw")</f>
        <v>cas_hmw</v>
      </c>
      <c r="B20429" s="5">
        <f>IFERROR(__xludf.DUMMYFUNCTION("""COMPUTED_VALUE"""),44782.0)</f>
        <v>44782</v>
      </c>
      <c r="C20429" s="6">
        <f>IFERROR(__xludf.DUMMYFUNCTION("""COMPUTED_VALUE"""),0.6962962962970778)</f>
        <v>0.6962962963</v>
      </c>
      <c r="D20429" s="4">
        <f>IFERROR(__xludf.DUMMYFUNCTION("""COMPUTED_VALUE"""),12.861336)</f>
        <v>12.861336</v>
      </c>
      <c r="E20429" s="4">
        <f>IFERROR(__xludf.DUMMYFUNCTION("""COMPUTED_VALUE"""),80.073166)</f>
        <v>80.073166</v>
      </c>
      <c r="F20429" s="4">
        <f>IFERROR(__xludf.DUMMYFUNCTION("""COMPUTED_VALUE"""),2846.0)</f>
        <v>2846</v>
      </c>
      <c r="G20429" s="4">
        <f>IFERROR(__xludf.DUMMYFUNCTION("""COMPUTED_VALUE"""),28.0)</f>
        <v>28</v>
      </c>
      <c r="H20429" s="4"/>
      <c r="I20429" s="4"/>
    </row>
    <row r="20430">
      <c r="A20430" s="4" t="str">
        <f>IFERROR(__xludf.DUMMYFUNCTION("""COMPUTED_VALUE"""),"cas_hmw")</f>
        <v>cas_hmw</v>
      </c>
      <c r="B20430" s="5">
        <f>IFERROR(__xludf.DUMMYFUNCTION("""COMPUTED_VALUE"""),44782.0)</f>
        <v>44782</v>
      </c>
      <c r="C20430" s="6">
        <f>IFERROR(__xludf.DUMMYFUNCTION("""COMPUTED_VALUE"""),0.6963773148163455)</f>
        <v>0.6963773148</v>
      </c>
      <c r="D20430" s="4">
        <f>IFERROR(__xludf.DUMMYFUNCTION("""COMPUTED_VALUE"""),12.906961)</f>
        <v>12.906961</v>
      </c>
      <c r="E20430" s="4">
        <f>IFERROR(__xludf.DUMMYFUNCTION("""COMPUTED_VALUE"""),80.096703)</f>
        <v>80.096703</v>
      </c>
      <c r="F20430" s="4">
        <f>IFERROR(__xludf.DUMMYFUNCTION("""COMPUTED_VALUE"""),805.0)</f>
        <v>805</v>
      </c>
      <c r="G20430" s="4">
        <f>IFERROR(__xludf.DUMMYFUNCTION("""COMPUTED_VALUE"""),38.0)</f>
        <v>38</v>
      </c>
      <c r="H20430" s="4"/>
      <c r="I20430" s="4"/>
    </row>
    <row r="20431">
      <c r="A20431" s="4" t="str">
        <f>IFERROR(__xludf.DUMMYFUNCTION("""COMPUTED_VALUE"""),"cas_hmw")</f>
        <v>cas_hmw</v>
      </c>
      <c r="B20431" s="5">
        <f>IFERROR(__xludf.DUMMYFUNCTION("""COMPUTED_VALUE"""),44782.0)</f>
        <v>44782</v>
      </c>
      <c r="C20431" s="6">
        <f>IFERROR(__xludf.DUMMYFUNCTION("""COMPUTED_VALUE"""),0.6964583333319752)</f>
        <v>0.6964583333</v>
      </c>
      <c r="D20431" s="4">
        <f>IFERROR(__xludf.DUMMYFUNCTION("""COMPUTED_VALUE"""),12.860764)</f>
        <v>12.860764</v>
      </c>
      <c r="E20431" s="4">
        <f>IFERROR(__xludf.DUMMYFUNCTION("""COMPUTED_VALUE"""),80.072802)</f>
        <v>80.072802</v>
      </c>
      <c r="F20431" s="4">
        <f>IFERROR(__xludf.DUMMYFUNCTION("""COMPUTED_VALUE"""),2846.0)</f>
        <v>2846</v>
      </c>
      <c r="G20431" s="4">
        <f>IFERROR(__xludf.DUMMYFUNCTION("""COMPUTED_VALUE"""),34.0)</f>
        <v>34</v>
      </c>
      <c r="H20431" s="4"/>
      <c r="I20431" s="4"/>
    </row>
    <row r="20432">
      <c r="A20432" s="4" t="str">
        <f>IFERROR(__xludf.DUMMYFUNCTION("""COMPUTED_VALUE"""),"cas_hmw")</f>
        <v>cas_hmw</v>
      </c>
      <c r="B20432" s="5">
        <f>IFERROR(__xludf.DUMMYFUNCTION("""COMPUTED_VALUE"""),44782.0)</f>
        <v>44782</v>
      </c>
      <c r="C20432" s="6">
        <f>IFERROR(__xludf.DUMMYFUNCTION("""COMPUTED_VALUE"""),0.6964699074087548)</f>
        <v>0.6964699074</v>
      </c>
      <c r="D20432" s="4">
        <f>IFERROR(__xludf.DUMMYFUNCTION("""COMPUTED_VALUE"""),12.907805)</f>
        <v>12.907805</v>
      </c>
      <c r="E20432" s="4">
        <f>IFERROR(__xludf.DUMMYFUNCTION("""COMPUTED_VALUE"""),80.097359)</f>
        <v>80.097359</v>
      </c>
      <c r="F20432" s="4">
        <f>IFERROR(__xludf.DUMMYFUNCTION("""COMPUTED_VALUE"""),805.0)</f>
        <v>805</v>
      </c>
      <c r="G20432" s="4">
        <f>IFERROR(__xludf.DUMMYFUNCTION("""COMPUTED_VALUE"""),46.0)</f>
        <v>46</v>
      </c>
      <c r="H20432" s="4"/>
      <c r="I20432" s="4"/>
    </row>
    <row r="20433">
      <c r="A20433" s="4" t="str">
        <f>IFERROR(__xludf.DUMMYFUNCTION("""COMPUTED_VALUE"""),"cas_hmw")</f>
        <v>cas_hmw</v>
      </c>
      <c r="B20433" s="5">
        <f>IFERROR(__xludf.DUMMYFUNCTION("""COMPUTED_VALUE"""),44782.0)</f>
        <v>44782</v>
      </c>
      <c r="C20433" s="6">
        <f>IFERROR(__xludf.DUMMYFUNCTION("""COMPUTED_VALUE"""),0.6967361111128412)</f>
        <v>0.6967361111</v>
      </c>
      <c r="D20433" s="4">
        <f>IFERROR(__xludf.DUMMYFUNCTION("""COMPUTED_VALUE"""),12.85809)</f>
        <v>12.85809</v>
      </c>
      <c r="E20433" s="4">
        <f>IFERROR(__xludf.DUMMYFUNCTION("""COMPUTED_VALUE"""),80.070858)</f>
        <v>80.070858</v>
      </c>
      <c r="F20433" s="4">
        <f>IFERROR(__xludf.DUMMYFUNCTION("""COMPUTED_VALUE"""),2846.0)</f>
        <v>2846</v>
      </c>
      <c r="G20433" s="4">
        <f>IFERROR(__xludf.DUMMYFUNCTION("""COMPUTED_VALUE"""),44.0)</f>
        <v>44</v>
      </c>
      <c r="H20433" s="4"/>
      <c r="I20433" s="4"/>
    </row>
    <row r="20434">
      <c r="A20434" s="4" t="str">
        <f>IFERROR(__xludf.DUMMYFUNCTION("""COMPUTED_VALUE"""),"cas_hmw")</f>
        <v>cas_hmw</v>
      </c>
      <c r="B20434" s="5">
        <f>IFERROR(__xludf.DUMMYFUNCTION("""COMPUTED_VALUE"""),44782.0)</f>
        <v>44782</v>
      </c>
      <c r="C20434" s="6">
        <f>IFERROR(__xludf.DUMMYFUNCTION("""COMPUTED_VALUE"""),0.6967476851859828)</f>
        <v>0.6967476852</v>
      </c>
      <c r="D20434" s="4">
        <f>IFERROR(__xludf.DUMMYFUNCTION("""COMPUTED_VALUE"""),12.909151)</f>
        <v>12.909151</v>
      </c>
      <c r="E20434" s="4">
        <f>IFERROR(__xludf.DUMMYFUNCTION("""COMPUTED_VALUE"""),80.098638)</f>
        <v>80.098638</v>
      </c>
      <c r="F20434" s="4">
        <f>IFERROR(__xludf.DUMMYFUNCTION("""COMPUTED_VALUE"""),805.0)</f>
        <v>805</v>
      </c>
      <c r="G20434" s="4">
        <f>IFERROR(__xludf.DUMMYFUNCTION("""COMPUTED_VALUE"""),26.0)</f>
        <v>26</v>
      </c>
      <c r="H20434" s="4"/>
      <c r="I20434" s="4"/>
    </row>
    <row r="20435">
      <c r="A20435" s="4" t="str">
        <f>IFERROR(__xludf.DUMMYFUNCTION("""COMPUTED_VALUE"""),"cas_hmw")</f>
        <v>cas_hmw</v>
      </c>
      <c r="B20435" s="5">
        <f>IFERROR(__xludf.DUMMYFUNCTION("""COMPUTED_VALUE"""),44782.0)</f>
        <v>44782</v>
      </c>
      <c r="C20435" s="6">
        <f>IFERROR(__xludf.DUMMYFUNCTION("""COMPUTED_VALUE"""),0.6972800925941556)</f>
        <v>0.6972800926</v>
      </c>
      <c r="D20435" s="4">
        <f>IFERROR(__xludf.DUMMYFUNCTION("""COMPUTED_VALUE"""),12.913018)</f>
        <v>12.913018</v>
      </c>
      <c r="E20435" s="4">
        <f>IFERROR(__xludf.DUMMYFUNCTION("""COMPUTED_VALUE"""),80.101464)</f>
        <v>80.101464</v>
      </c>
      <c r="F20435" s="4">
        <f>IFERROR(__xludf.DUMMYFUNCTION("""COMPUTED_VALUE"""),805.0)</f>
        <v>805</v>
      </c>
      <c r="G20435" s="4">
        <f>IFERROR(__xludf.DUMMYFUNCTION("""COMPUTED_VALUE"""),45.0)</f>
        <v>45</v>
      </c>
      <c r="H20435" s="4"/>
      <c r="I20435" s="4"/>
    </row>
    <row r="20436">
      <c r="A20436" s="4" t="str">
        <f>IFERROR(__xludf.DUMMYFUNCTION("""COMPUTED_VALUE"""),"cas_hmw")</f>
        <v>cas_hmw</v>
      </c>
      <c r="B20436" s="5">
        <f>IFERROR(__xludf.DUMMYFUNCTION("""COMPUTED_VALUE"""),44782.0)</f>
        <v>44782</v>
      </c>
      <c r="C20436" s="6">
        <f>IFERROR(__xludf.DUMMYFUNCTION("""COMPUTED_VALUE"""),0.6973379629635019)</f>
        <v>0.697337963</v>
      </c>
      <c r="D20436" s="4">
        <f>IFERROR(__xludf.DUMMYFUNCTION("""COMPUTED_VALUE"""),12.913018)</f>
        <v>12.913018</v>
      </c>
      <c r="E20436" s="4">
        <f>IFERROR(__xludf.DUMMYFUNCTION("""COMPUTED_VALUE"""),80.101464)</f>
        <v>80.101464</v>
      </c>
      <c r="F20436" s="4">
        <f>IFERROR(__xludf.DUMMYFUNCTION("""COMPUTED_VALUE"""),805.0)</f>
        <v>805</v>
      </c>
      <c r="G20436" s="4">
        <f>IFERROR(__xludf.DUMMYFUNCTION("""COMPUTED_VALUE"""),45.0)</f>
        <v>45</v>
      </c>
      <c r="H20436" s="4"/>
      <c r="I20436" s="4"/>
    </row>
    <row r="20437">
      <c r="A20437" s="4" t="str">
        <f>IFERROR(__xludf.DUMMYFUNCTION("""COMPUTED_VALUE"""),"cas_hmw")</f>
        <v>cas_hmw</v>
      </c>
      <c r="B20437" s="5">
        <f>IFERROR(__xludf.DUMMYFUNCTION("""COMPUTED_VALUE"""),44782.0)</f>
        <v>44782</v>
      </c>
      <c r="C20437" s="6">
        <f>IFERROR(__xludf.DUMMYFUNCTION("""COMPUTED_VALUE"""),0.6973726851865649)</f>
        <v>0.6973726852</v>
      </c>
      <c r="D20437" s="4">
        <f>IFERROR(__xludf.DUMMYFUNCTION("""COMPUTED_VALUE"""),12.914158)</f>
        <v>12.914158</v>
      </c>
      <c r="E20437" s="4">
        <f>IFERROR(__xludf.DUMMYFUNCTION("""COMPUTED_VALUE"""),80.10165)</f>
        <v>80.10165</v>
      </c>
      <c r="F20437" s="4">
        <f>IFERROR(__xludf.DUMMYFUNCTION("""COMPUTED_VALUE"""),805.0)</f>
        <v>805</v>
      </c>
      <c r="G20437" s="4">
        <f>IFERROR(__xludf.DUMMYFUNCTION("""COMPUTED_VALUE"""),50.0)</f>
        <v>50</v>
      </c>
      <c r="H20437" s="4"/>
      <c r="I20437" s="4"/>
    </row>
    <row r="20438">
      <c r="A20438" s="4" t="str">
        <f>IFERROR(__xludf.DUMMYFUNCTION("""COMPUTED_VALUE"""),"cas_hmw")</f>
        <v>cas_hmw</v>
      </c>
      <c r="B20438" s="5">
        <f>IFERROR(__xludf.DUMMYFUNCTION("""COMPUTED_VALUE"""),44782.0)</f>
        <v>44782</v>
      </c>
      <c r="C20438" s="6">
        <f>IFERROR(__xludf.DUMMYFUNCTION("""COMPUTED_VALUE"""),0.6974652777789743)</f>
        <v>0.6974652778</v>
      </c>
      <c r="D20438" s="4">
        <f>IFERROR(__xludf.DUMMYFUNCTION("""COMPUTED_VALUE"""),12.915243)</f>
        <v>12.915243</v>
      </c>
      <c r="E20438" s="4">
        <f>IFERROR(__xludf.DUMMYFUNCTION("""COMPUTED_VALUE"""),80.102288)</f>
        <v>80.102288</v>
      </c>
      <c r="F20438" s="4">
        <f>IFERROR(__xludf.DUMMYFUNCTION("""COMPUTED_VALUE"""),5339.0)</f>
        <v>5339</v>
      </c>
      <c r="G20438" s="4">
        <f>IFERROR(__xludf.DUMMYFUNCTION("""COMPUTED_VALUE"""),47.0)</f>
        <v>47</v>
      </c>
      <c r="H20438" s="4"/>
      <c r="I20438" s="4"/>
    </row>
    <row r="20439">
      <c r="A20439" s="4" t="str">
        <f>IFERROR(__xludf.DUMMYFUNCTION("""COMPUTED_VALUE"""),"cas_hmw")</f>
        <v>cas_hmw</v>
      </c>
      <c r="B20439" s="5">
        <f>IFERROR(__xludf.DUMMYFUNCTION("""COMPUTED_VALUE"""),44782.0)</f>
        <v>44782</v>
      </c>
      <c r="C20439" s="6">
        <f>IFERROR(__xludf.DUMMYFUNCTION("""COMPUTED_VALUE"""),0.697858796294895)</f>
        <v>0.6978587963</v>
      </c>
      <c r="D20439" s="4">
        <f>IFERROR(__xludf.DUMMYFUNCTION("""COMPUTED_VALUE"""),12.916177)</f>
        <v>12.916177</v>
      </c>
      <c r="E20439" s="4">
        <f>IFERROR(__xludf.DUMMYFUNCTION("""COMPUTED_VALUE"""),80.105509)</f>
        <v>80.105509</v>
      </c>
      <c r="F20439" s="4">
        <f>IFERROR(__xludf.DUMMYFUNCTION("""COMPUTED_VALUE"""),805.0)</f>
        <v>805</v>
      </c>
      <c r="G20439" s="4">
        <f>IFERROR(__xludf.DUMMYFUNCTION("""COMPUTED_VALUE"""),54.0)</f>
        <v>54</v>
      </c>
      <c r="H20439" s="4"/>
      <c r="I20439" s="4"/>
    </row>
    <row r="20440">
      <c r="A20440" s="4" t="str">
        <f>IFERROR(__xludf.DUMMYFUNCTION("""COMPUTED_VALUE"""),"cas_hmw")</f>
        <v>cas_hmw</v>
      </c>
      <c r="B20440" s="5">
        <f>IFERROR(__xludf.DUMMYFUNCTION("""COMPUTED_VALUE"""),44782.0)</f>
        <v>44782</v>
      </c>
      <c r="C20440" s="6">
        <f>IFERROR(__xludf.DUMMYFUNCTION("""COMPUTED_VALUE"""),0.697928240741021)</f>
        <v>0.6979282407</v>
      </c>
      <c r="D20440" s="4">
        <f>IFERROR(__xludf.DUMMYFUNCTION("""COMPUTED_VALUE"""),12.916775)</f>
        <v>12.916775</v>
      </c>
      <c r="E20440" s="4">
        <f>IFERROR(__xludf.DUMMYFUNCTION("""COMPUTED_VALUE"""),80.106587)</f>
        <v>80.106587</v>
      </c>
      <c r="F20440" s="4">
        <f>IFERROR(__xludf.DUMMYFUNCTION("""COMPUTED_VALUE"""),5339.0)</f>
        <v>5339</v>
      </c>
      <c r="G20440" s="4">
        <f>IFERROR(__xludf.DUMMYFUNCTION("""COMPUTED_VALUE"""),49.0)</f>
        <v>49</v>
      </c>
      <c r="H20440" s="4"/>
      <c r="I20440" s="4"/>
    </row>
    <row r="20441">
      <c r="A20441" s="4" t="str">
        <f>IFERROR(__xludf.DUMMYFUNCTION("""COMPUTED_VALUE"""),"cas_hmw")</f>
        <v>cas_hmw</v>
      </c>
      <c r="B20441" s="5">
        <f>IFERROR(__xludf.DUMMYFUNCTION("""COMPUTED_VALUE"""),44782.0)</f>
        <v>44782</v>
      </c>
      <c r="C20441" s="6">
        <f>IFERROR(__xludf.DUMMYFUNCTION("""COMPUTED_VALUE"""),0.6980555555564933)</f>
        <v>0.6980555556</v>
      </c>
      <c r="D20441" s="4">
        <f>IFERROR(__xludf.DUMMYFUNCTION("""COMPUTED_VALUE"""),12.849513)</f>
        <v>12.849513</v>
      </c>
      <c r="E20441" s="4">
        <f>IFERROR(__xludf.DUMMYFUNCTION("""COMPUTED_VALUE"""),80.064611)</f>
        <v>80.064611</v>
      </c>
      <c r="F20441" s="4">
        <f>IFERROR(__xludf.DUMMYFUNCTION("""COMPUTED_VALUE"""),2846.0)</f>
        <v>2846</v>
      </c>
      <c r="G20441" s="4">
        <f>IFERROR(__xludf.DUMMYFUNCTION("""COMPUTED_VALUE"""),33.0)</f>
        <v>33</v>
      </c>
      <c r="H20441" s="4"/>
      <c r="I20441" s="4"/>
    </row>
    <row r="20442">
      <c r="A20442" s="4" t="str">
        <f>IFERROR(__xludf.DUMMYFUNCTION("""COMPUTED_VALUE"""),"cas_hmw")</f>
        <v>cas_hmw</v>
      </c>
      <c r="B20442" s="5">
        <f>IFERROR(__xludf.DUMMYFUNCTION("""COMPUTED_VALUE"""),44782.0)</f>
        <v>44782</v>
      </c>
      <c r="C20442" s="6">
        <f>IFERROR(__xludf.DUMMYFUNCTION("""COMPUTED_VALUE"""),0.6982986111106584)</f>
        <v>0.6982986111</v>
      </c>
      <c r="D20442" s="4">
        <f>IFERROR(__xludf.DUMMYFUNCTION("""COMPUTED_VALUE"""),12.919128)</f>
        <v>12.919128</v>
      </c>
      <c r="E20442" s="4">
        <f>IFERROR(__xludf.DUMMYFUNCTION("""COMPUTED_VALUE"""),80.109816)</f>
        <v>80.109816</v>
      </c>
      <c r="F20442" s="4">
        <f>IFERROR(__xludf.DUMMYFUNCTION("""COMPUTED_VALUE"""),805.0)</f>
        <v>805</v>
      </c>
      <c r="G20442" s="4">
        <f>IFERROR(__xludf.DUMMYFUNCTION("""COMPUTED_VALUE"""),44.0)</f>
        <v>44</v>
      </c>
      <c r="H20442" s="4"/>
      <c r="I20442" s="4"/>
    </row>
    <row r="20443">
      <c r="A20443" s="4" t="str">
        <f>IFERROR(__xludf.DUMMYFUNCTION("""COMPUTED_VALUE"""),"cas_hmw")</f>
        <v>cas_hmw</v>
      </c>
      <c r="B20443" s="5">
        <f>IFERROR(__xludf.DUMMYFUNCTION("""COMPUTED_VALUE"""),44782.0)</f>
        <v>44782</v>
      </c>
      <c r="C20443" s="6">
        <f>IFERROR(__xludf.DUMMYFUNCTION("""COMPUTED_VALUE"""),0.6983101851838001)</f>
        <v>0.6983101852</v>
      </c>
      <c r="D20443" s="4">
        <f>IFERROR(__xludf.DUMMYFUNCTION("""COMPUTED_VALUE"""),12.918955)</f>
        <v>12.918955</v>
      </c>
      <c r="E20443" s="4">
        <f>IFERROR(__xludf.DUMMYFUNCTION("""COMPUTED_VALUE"""),80.109653)</f>
        <v>80.109653</v>
      </c>
      <c r="F20443" s="4">
        <f>IFERROR(__xludf.DUMMYFUNCTION("""COMPUTED_VALUE"""),5339.0)</f>
        <v>5339</v>
      </c>
      <c r="G20443" s="4">
        <f>IFERROR(__xludf.DUMMYFUNCTION("""COMPUTED_VALUE"""),48.0)</f>
        <v>48</v>
      </c>
      <c r="H20443" s="4"/>
      <c r="I20443" s="4"/>
    </row>
    <row r="20444">
      <c r="A20444" s="4" t="str">
        <f>IFERROR(__xludf.DUMMYFUNCTION("""COMPUTED_VALUE"""),"cas_hmw")</f>
        <v>cas_hmw</v>
      </c>
      <c r="B20444" s="5">
        <f>IFERROR(__xludf.DUMMYFUNCTION("""COMPUTED_VALUE"""),44782.0)</f>
        <v>44782</v>
      </c>
      <c r="C20444" s="6">
        <f>IFERROR(__xludf.DUMMYFUNCTION("""COMPUTED_VALUE"""),0.6987152777765004)</f>
        <v>0.6987152778</v>
      </c>
      <c r="D20444" s="4">
        <f>IFERROR(__xludf.DUMMYFUNCTION("""COMPUTED_VALUE"""),12.845635)</f>
        <v>12.845635</v>
      </c>
      <c r="E20444" s="4">
        <f>IFERROR(__xludf.DUMMYFUNCTION("""COMPUTED_VALUE"""),80.061632)</f>
        <v>80.061632</v>
      </c>
      <c r="F20444" s="4">
        <f>IFERROR(__xludf.DUMMYFUNCTION("""COMPUTED_VALUE"""),2846.0)</f>
        <v>2846</v>
      </c>
      <c r="G20444" s="4">
        <f>IFERROR(__xludf.DUMMYFUNCTION("""COMPUTED_VALUE"""),27.0)</f>
        <v>27</v>
      </c>
      <c r="H20444" s="4"/>
      <c r="I20444" s="4"/>
    </row>
    <row r="20445">
      <c r="A20445" s="4" t="str">
        <f>IFERROR(__xludf.DUMMYFUNCTION("""COMPUTED_VALUE"""),"cas_hmw")</f>
        <v>cas_hmw</v>
      </c>
      <c r="B20445" s="5">
        <f>IFERROR(__xludf.DUMMYFUNCTION("""COMPUTED_VALUE"""),44782.0)</f>
        <v>44782</v>
      </c>
      <c r="C20445" s="6">
        <f>IFERROR(__xludf.DUMMYFUNCTION("""COMPUTED_VALUE"""),0.6990972222229175)</f>
        <v>0.6990972222</v>
      </c>
      <c r="D20445" s="4">
        <f>IFERROR(__xludf.DUMMYFUNCTION("""COMPUTED_VALUE"""),12.923761)</f>
        <v>12.923761</v>
      </c>
      <c r="E20445" s="4">
        <f>IFERROR(__xludf.DUMMYFUNCTION("""COMPUTED_VALUE"""),80.114825)</f>
        <v>80.114825</v>
      </c>
      <c r="F20445" s="4">
        <f>IFERROR(__xludf.DUMMYFUNCTION("""COMPUTED_VALUE"""),5339.0)</f>
        <v>5339</v>
      </c>
      <c r="G20445" s="4">
        <f>IFERROR(__xludf.DUMMYFUNCTION("""COMPUTED_VALUE"""),33.0)</f>
        <v>33</v>
      </c>
      <c r="H20445" s="4"/>
      <c r="I20445" s="4"/>
    </row>
    <row r="20446">
      <c r="A20446" s="4" t="str">
        <f>IFERROR(__xludf.DUMMYFUNCTION("""COMPUTED_VALUE"""),"cas_hmw")</f>
        <v>cas_hmw</v>
      </c>
      <c r="B20446" s="5">
        <f>IFERROR(__xludf.DUMMYFUNCTION("""COMPUTED_VALUE"""),44782.0)</f>
        <v>44782</v>
      </c>
      <c r="C20446" s="6">
        <f>IFERROR(__xludf.DUMMYFUNCTION("""COMPUTED_VALUE"""),0.6999652777776646)</f>
        <v>0.6999652778</v>
      </c>
      <c r="D20446" s="4">
        <f>IFERROR(__xludf.DUMMYFUNCTION("""COMPUTED_VALUE"""),12.842188)</f>
        <v>12.842188</v>
      </c>
      <c r="E20446" s="4">
        <f>IFERROR(__xludf.DUMMYFUNCTION("""COMPUTED_VALUE"""),80.058082)</f>
        <v>80.058082</v>
      </c>
      <c r="F20446" s="4">
        <f>IFERROR(__xludf.DUMMYFUNCTION("""COMPUTED_VALUE"""),2846.0)</f>
        <v>2846</v>
      </c>
      <c r="G20446" s="4">
        <f>IFERROR(__xludf.DUMMYFUNCTION("""COMPUTED_VALUE"""),49.0)</f>
        <v>49</v>
      </c>
      <c r="H20446" s="4"/>
      <c r="I20446" s="4"/>
    </row>
    <row r="20447">
      <c r="A20447" s="4" t="str">
        <f>IFERROR(__xludf.DUMMYFUNCTION("""COMPUTED_VALUE"""),"cas_hmw")</f>
        <v>cas_hmw</v>
      </c>
      <c r="B20447" s="5">
        <f>IFERROR(__xludf.DUMMYFUNCTION("""COMPUTED_VALUE"""),44782.0)</f>
        <v>44782</v>
      </c>
      <c r="C20447" s="6">
        <f>IFERROR(__xludf.DUMMYFUNCTION("""COMPUTED_VALUE"""),0.6999652777776646)</f>
        <v>0.6999652778</v>
      </c>
      <c r="D20447" s="4">
        <f>IFERROR(__xludf.DUMMYFUNCTION("""COMPUTED_VALUE"""),12.915961)</f>
        <v>12.915961</v>
      </c>
      <c r="E20447" s="4">
        <f>IFERROR(__xludf.DUMMYFUNCTION("""COMPUTED_VALUE"""),80.078879)</f>
        <v>80.078879</v>
      </c>
      <c r="F20447" s="4">
        <f>IFERROR(__xludf.DUMMYFUNCTION("""COMPUTED_VALUE"""),3143.0)</f>
        <v>3143</v>
      </c>
      <c r="G20447" s="4">
        <f>IFERROR(__xludf.DUMMYFUNCTION("""COMPUTED_VALUE"""),46.0)</f>
        <v>46</v>
      </c>
      <c r="H20447" s="4"/>
      <c r="I20447" s="4"/>
    </row>
    <row r="20448">
      <c r="A20448" s="4" t="str">
        <f>IFERROR(__xludf.DUMMYFUNCTION("""COMPUTED_VALUE"""),"cas_hmw")</f>
        <v>cas_hmw</v>
      </c>
      <c r="B20448" s="5">
        <f>IFERROR(__xludf.DUMMYFUNCTION("""COMPUTED_VALUE"""),44782.0)</f>
        <v>44782</v>
      </c>
      <c r="C20448" s="6">
        <f>IFERROR(__xludf.DUMMYFUNCTION("""COMPUTED_VALUE"""),0.7000231481470109)</f>
        <v>0.7000231481</v>
      </c>
      <c r="D20448" s="4">
        <f>IFERROR(__xludf.DUMMYFUNCTION("""COMPUTED_VALUE"""),12.842188)</f>
        <v>12.842188</v>
      </c>
      <c r="E20448" s="4">
        <f>IFERROR(__xludf.DUMMYFUNCTION("""COMPUTED_VALUE"""),80.058082)</f>
        <v>80.058082</v>
      </c>
      <c r="F20448" s="4">
        <f>IFERROR(__xludf.DUMMYFUNCTION("""COMPUTED_VALUE"""),2846.0)</f>
        <v>2846</v>
      </c>
      <c r="G20448" s="4">
        <f>IFERROR(__xludf.DUMMYFUNCTION("""COMPUTED_VALUE"""),49.0)</f>
        <v>49</v>
      </c>
      <c r="H20448" s="4"/>
      <c r="I20448" s="4"/>
    </row>
    <row r="20449">
      <c r="A20449" s="4" t="str">
        <f>IFERROR(__xludf.DUMMYFUNCTION("""COMPUTED_VALUE"""),"cas_hmw")</f>
        <v>cas_hmw</v>
      </c>
      <c r="B20449" s="5">
        <f>IFERROR(__xludf.DUMMYFUNCTION("""COMPUTED_VALUE"""),44782.0)</f>
        <v>44782</v>
      </c>
      <c r="C20449" s="6">
        <f>IFERROR(__xludf.DUMMYFUNCTION("""COMPUTED_VALUE"""),0.7007060185169394)</f>
        <v>0.7007060185</v>
      </c>
      <c r="D20449" s="4">
        <f>IFERROR(__xludf.DUMMYFUNCTION("""COMPUTED_VALUE"""),12.927846)</f>
        <v>12.927846</v>
      </c>
      <c r="E20449" s="4">
        <f>IFERROR(__xludf.DUMMYFUNCTION("""COMPUTED_VALUE"""),80.118951)</f>
        <v>80.118951</v>
      </c>
      <c r="F20449" s="4">
        <f>IFERROR(__xludf.DUMMYFUNCTION("""COMPUTED_VALUE"""),5339.0)</f>
        <v>5339</v>
      </c>
      <c r="G20449" s="4">
        <f>IFERROR(__xludf.DUMMYFUNCTION("""COMPUTED_VALUE"""),22.0)</f>
        <v>22</v>
      </c>
      <c r="H20449" s="4"/>
      <c r="I20449" s="4"/>
    </row>
    <row r="20450">
      <c r="A20450" s="4" t="str">
        <f>IFERROR(__xludf.DUMMYFUNCTION("""COMPUTED_VALUE"""),"cas_hmw")</f>
        <v>cas_hmw</v>
      </c>
      <c r="B20450" s="5">
        <f>IFERROR(__xludf.DUMMYFUNCTION("""COMPUTED_VALUE"""),44782.0)</f>
        <v>44782</v>
      </c>
      <c r="C20450" s="6">
        <f>IFERROR(__xludf.DUMMYFUNCTION("""COMPUTED_VALUE"""),0.7007638888899237)</f>
        <v>0.7007638889</v>
      </c>
      <c r="D20450" s="4">
        <f>IFERROR(__xludf.DUMMYFUNCTION("""COMPUTED_VALUE"""),12.927672)</f>
        <v>12.927672</v>
      </c>
      <c r="E20450" s="4">
        <f>IFERROR(__xludf.DUMMYFUNCTION("""COMPUTED_VALUE"""),80.11877)</f>
        <v>80.11877</v>
      </c>
      <c r="F20450" s="4">
        <f>IFERROR(__xludf.DUMMYFUNCTION("""COMPUTED_VALUE"""),805.0)</f>
        <v>805</v>
      </c>
      <c r="G20450" s="4">
        <f>IFERROR(__xludf.DUMMYFUNCTION("""COMPUTED_VALUE"""),21.0)</f>
        <v>21</v>
      </c>
      <c r="H20450" s="4"/>
      <c r="I20450" s="4"/>
    </row>
    <row r="20451">
      <c r="A20451" s="4" t="str">
        <f>IFERROR(__xludf.DUMMYFUNCTION("""COMPUTED_VALUE"""),"cas_hmw")</f>
        <v>cas_hmw</v>
      </c>
      <c r="B20451" s="5">
        <f>IFERROR(__xludf.DUMMYFUNCTION("""COMPUTED_VALUE"""),44782.0)</f>
        <v>44782</v>
      </c>
      <c r="C20451" s="6">
        <f>IFERROR(__xludf.DUMMYFUNCTION("""COMPUTED_VALUE"""),0.700787037036207)</f>
        <v>0.700787037</v>
      </c>
      <c r="D20451" s="4">
        <f>IFERROR(__xludf.DUMMYFUNCTION("""COMPUTED_VALUE"""),12.927672)</f>
        <v>12.927672</v>
      </c>
      <c r="E20451" s="4">
        <f>IFERROR(__xludf.DUMMYFUNCTION("""COMPUTED_VALUE"""),80.11877)</f>
        <v>80.11877</v>
      </c>
      <c r="F20451" s="4">
        <f>IFERROR(__xludf.DUMMYFUNCTION("""COMPUTED_VALUE"""),805.0)</f>
        <v>805</v>
      </c>
      <c r="G20451" s="4">
        <f>IFERROR(__xludf.DUMMYFUNCTION("""COMPUTED_VALUE"""),21.0)</f>
        <v>21</v>
      </c>
      <c r="H20451" s="4"/>
      <c r="I20451" s="4"/>
    </row>
    <row r="20452">
      <c r="A20452" s="4" t="str">
        <f>IFERROR(__xludf.DUMMYFUNCTION("""COMPUTED_VALUE"""),"cas_hmw")</f>
        <v>cas_hmw</v>
      </c>
      <c r="B20452" s="5">
        <f>IFERROR(__xludf.DUMMYFUNCTION("""COMPUTED_VALUE"""),44782.0)</f>
        <v>44782</v>
      </c>
      <c r="C20452" s="6">
        <f>IFERROR(__xludf.DUMMYFUNCTION("""COMPUTED_VALUE"""),0.7008449074091914)</f>
        <v>0.7008449074</v>
      </c>
      <c r="D20452" s="4">
        <f>IFERROR(__xludf.DUMMYFUNCTION("""COMPUTED_VALUE"""),12.919298)</f>
        <v>12.919298</v>
      </c>
      <c r="E20452" s="4">
        <f>IFERROR(__xludf.DUMMYFUNCTION("""COMPUTED_VALUE"""),80.084323)</f>
        <v>80.084323</v>
      </c>
      <c r="F20452" s="4">
        <f>IFERROR(__xludf.DUMMYFUNCTION("""COMPUTED_VALUE"""),3143.0)</f>
        <v>3143</v>
      </c>
      <c r="G20452" s="4">
        <f>IFERROR(__xludf.DUMMYFUNCTION("""COMPUTED_VALUE"""),33.0)</f>
        <v>33</v>
      </c>
      <c r="H20452" s="4"/>
      <c r="I20452" s="4"/>
    </row>
    <row r="20453">
      <c r="A20453" s="4" t="str">
        <f>IFERROR(__xludf.DUMMYFUNCTION("""COMPUTED_VALUE"""),"cas_hmw")</f>
        <v>cas_hmw</v>
      </c>
      <c r="B20453" s="5">
        <f>IFERROR(__xludf.DUMMYFUNCTION("""COMPUTED_VALUE"""),44782.0)</f>
        <v>44782</v>
      </c>
      <c r="C20453" s="6">
        <f>IFERROR(__xludf.DUMMYFUNCTION("""COMPUTED_VALUE"""),0.7009027777785377)</f>
        <v>0.7009027778</v>
      </c>
      <c r="D20453" s="4">
        <f>IFERROR(__xludf.DUMMYFUNCTION("""COMPUTED_VALUE"""),12.928181)</f>
        <v>12.928181</v>
      </c>
      <c r="E20453" s="4">
        <f>IFERROR(__xludf.DUMMYFUNCTION("""COMPUTED_VALUE"""),80.119247)</f>
        <v>80.119247</v>
      </c>
      <c r="F20453" s="4">
        <f>IFERROR(__xludf.DUMMYFUNCTION("""COMPUTED_VALUE"""),805.0)</f>
        <v>805</v>
      </c>
      <c r="G20453" s="4">
        <f>IFERROR(__xludf.DUMMYFUNCTION("""COMPUTED_VALUE"""),27.0)</f>
        <v>27</v>
      </c>
      <c r="H20453" s="4"/>
      <c r="I20453" s="4"/>
    </row>
    <row r="20454">
      <c r="A20454" s="4" t="str">
        <f>IFERROR(__xludf.DUMMYFUNCTION("""COMPUTED_VALUE"""),"cas_hmw")</f>
        <v>cas_hmw</v>
      </c>
      <c r="B20454" s="5">
        <f>IFERROR(__xludf.DUMMYFUNCTION("""COMPUTED_VALUE"""),44782.0)</f>
        <v>44782</v>
      </c>
      <c r="C20454" s="6">
        <f>IFERROR(__xludf.DUMMYFUNCTION("""COMPUTED_VALUE"""),0.7011111111096398)</f>
        <v>0.7011111111</v>
      </c>
      <c r="D20454" s="4">
        <f>IFERROR(__xludf.DUMMYFUNCTION("""COMPUTED_VALUE"""),12.835612)</f>
        <v>12.835612</v>
      </c>
      <c r="E20454" s="4">
        <f>IFERROR(__xludf.DUMMYFUNCTION("""COMPUTED_VALUE"""),80.051089)</f>
        <v>80.051089</v>
      </c>
      <c r="F20454" s="4">
        <f>IFERROR(__xludf.DUMMYFUNCTION("""COMPUTED_VALUE"""),2846.0)</f>
        <v>2846</v>
      </c>
      <c r="G20454" s="4">
        <f>IFERROR(__xludf.DUMMYFUNCTION("""COMPUTED_VALUE"""),53.0)</f>
        <v>53</v>
      </c>
      <c r="H20454" s="4"/>
      <c r="I20454" s="4"/>
    </row>
    <row r="20455">
      <c r="A20455" s="4" t="str">
        <f>IFERROR(__xludf.DUMMYFUNCTION("""COMPUTED_VALUE"""),"cas_hmw")</f>
        <v>cas_hmw</v>
      </c>
      <c r="B20455" s="5">
        <f>IFERROR(__xludf.DUMMYFUNCTION("""COMPUTED_VALUE"""),44782.0)</f>
        <v>44782</v>
      </c>
      <c r="C20455" s="6">
        <f>IFERROR(__xludf.DUMMYFUNCTION("""COMPUTED_VALUE"""),0.7011342592595611)</f>
        <v>0.7011342593</v>
      </c>
      <c r="D20455" s="4">
        <f>IFERROR(__xludf.DUMMYFUNCTION("""COMPUTED_VALUE"""),12.835612)</f>
        <v>12.835612</v>
      </c>
      <c r="E20455" s="4">
        <f>IFERROR(__xludf.DUMMYFUNCTION("""COMPUTED_VALUE"""),80.051089)</f>
        <v>80.051089</v>
      </c>
      <c r="F20455" s="4">
        <f>IFERROR(__xludf.DUMMYFUNCTION("""COMPUTED_VALUE"""),2846.0)</f>
        <v>2846</v>
      </c>
      <c r="G20455" s="4">
        <f>IFERROR(__xludf.DUMMYFUNCTION("""COMPUTED_VALUE"""),53.0)</f>
        <v>53</v>
      </c>
      <c r="H20455" s="4"/>
      <c r="I20455" s="4"/>
    </row>
    <row r="20456">
      <c r="A20456" s="4" t="str">
        <f>IFERROR(__xludf.DUMMYFUNCTION("""COMPUTED_VALUE"""),"cas_hmw")</f>
        <v>cas_hmw</v>
      </c>
      <c r="B20456" s="5">
        <f>IFERROR(__xludf.DUMMYFUNCTION("""COMPUTED_VALUE"""),44782.0)</f>
        <v>44782</v>
      </c>
      <c r="C20456" s="6">
        <f>IFERROR(__xludf.DUMMYFUNCTION("""COMPUTED_VALUE"""),0.7016319444446708)</f>
        <v>0.7016319444</v>
      </c>
      <c r="D20456" s="4">
        <f>IFERROR(__xludf.DUMMYFUNCTION("""COMPUTED_VALUE"""),12.932687)</f>
        <v>12.932687</v>
      </c>
      <c r="E20456" s="4">
        <f>IFERROR(__xludf.DUMMYFUNCTION("""COMPUTED_VALUE"""),80.123754)</f>
        <v>80.123754</v>
      </c>
      <c r="F20456" s="4">
        <f>IFERROR(__xludf.DUMMYFUNCTION("""COMPUTED_VALUE"""),5339.0)</f>
        <v>5339</v>
      </c>
      <c r="G20456" s="4">
        <f>IFERROR(__xludf.DUMMYFUNCTION("""COMPUTED_VALUE"""),45.0)</f>
        <v>45</v>
      </c>
      <c r="H20456" s="4"/>
      <c r="I20456" s="4"/>
    </row>
    <row r="20457">
      <c r="A20457" s="4" t="str">
        <f>IFERROR(__xludf.DUMMYFUNCTION("""COMPUTED_VALUE"""),"cas_hmw")</f>
        <v>cas_hmw</v>
      </c>
      <c r="B20457" s="5">
        <f>IFERROR(__xludf.DUMMYFUNCTION("""COMPUTED_VALUE"""),44782.0)</f>
        <v>44782</v>
      </c>
      <c r="C20457" s="6">
        <f>IFERROR(__xludf.DUMMYFUNCTION("""COMPUTED_VALUE"""),0.7018749999988358)</f>
        <v>0.701875</v>
      </c>
      <c r="D20457" s="4">
        <f>IFERROR(__xludf.DUMMYFUNCTION("""COMPUTED_VALUE"""),12.934066)</f>
        <v>12.934066</v>
      </c>
      <c r="E20457" s="4">
        <f>IFERROR(__xludf.DUMMYFUNCTION("""COMPUTED_VALUE"""),80.125175)</f>
        <v>80.125175</v>
      </c>
      <c r="F20457" s="4">
        <f>IFERROR(__xludf.DUMMYFUNCTION("""COMPUTED_VALUE"""),5339.0)</f>
        <v>5339</v>
      </c>
      <c r="G20457" s="4">
        <f>IFERROR(__xludf.DUMMYFUNCTION("""COMPUTED_VALUE"""),34.0)</f>
        <v>34</v>
      </c>
      <c r="H20457" s="4"/>
      <c r="I20457" s="4"/>
    </row>
    <row r="20458">
      <c r="A20458" s="4" t="str">
        <f>IFERROR(__xludf.DUMMYFUNCTION("""COMPUTED_VALUE"""),"cas_hmw")</f>
        <v>cas_hmw</v>
      </c>
      <c r="B20458" s="5">
        <f>IFERROR(__xludf.DUMMYFUNCTION("""COMPUTED_VALUE"""),44782.0)</f>
        <v>44782</v>
      </c>
      <c r="C20458" s="6">
        <f>IFERROR(__xludf.DUMMYFUNCTION("""COMPUTED_VALUE"""),0.7018865740756155)</f>
        <v>0.7018865741</v>
      </c>
      <c r="D20458" s="4">
        <f>IFERROR(__xludf.DUMMYFUNCTION("""COMPUTED_VALUE"""),12.934359)</f>
        <v>12.934359</v>
      </c>
      <c r="E20458" s="4">
        <f>IFERROR(__xludf.DUMMYFUNCTION("""COMPUTED_VALUE"""),80.125348)</f>
        <v>80.125348</v>
      </c>
      <c r="F20458" s="4">
        <f>IFERROR(__xludf.DUMMYFUNCTION("""COMPUTED_VALUE"""),805.0)</f>
        <v>805</v>
      </c>
      <c r="G20458" s="4">
        <f>IFERROR(__xludf.DUMMYFUNCTION("""COMPUTED_VALUE"""),39.0)</f>
        <v>39</v>
      </c>
      <c r="H20458" s="4"/>
      <c r="I20458" s="4"/>
    </row>
    <row r="20459">
      <c r="A20459" s="4" t="str">
        <f>IFERROR(__xludf.DUMMYFUNCTION("""COMPUTED_VALUE"""),"cas_hmw")</f>
        <v>cas_hmw</v>
      </c>
      <c r="B20459" s="5">
        <f>IFERROR(__xludf.DUMMYFUNCTION("""COMPUTED_VALUE"""),44782.0)</f>
        <v>44782</v>
      </c>
      <c r="C20459" s="6">
        <f>IFERROR(__xludf.DUMMYFUNCTION("""COMPUTED_VALUE"""),0.7018981481487572)</f>
        <v>0.7018981481</v>
      </c>
      <c r="D20459" s="4">
        <f>IFERROR(__xludf.DUMMYFUNCTION("""COMPUTED_VALUE"""),12.934359)</f>
        <v>12.934359</v>
      </c>
      <c r="E20459" s="4">
        <f>IFERROR(__xludf.DUMMYFUNCTION("""COMPUTED_VALUE"""),80.125348)</f>
        <v>80.125348</v>
      </c>
      <c r="F20459" s="4">
        <f>IFERROR(__xludf.DUMMYFUNCTION("""COMPUTED_VALUE"""),805.0)</f>
        <v>805</v>
      </c>
      <c r="G20459" s="4">
        <f>IFERROR(__xludf.DUMMYFUNCTION("""COMPUTED_VALUE"""),39.0)</f>
        <v>39</v>
      </c>
      <c r="H20459" s="4"/>
      <c r="I20459" s="4"/>
    </row>
    <row r="20460">
      <c r="A20460" s="4" t="str">
        <f>IFERROR(__xludf.DUMMYFUNCTION("""COMPUTED_VALUE"""),"cas_hmw")</f>
        <v>cas_hmw</v>
      </c>
      <c r="B20460" s="5">
        <f>IFERROR(__xludf.DUMMYFUNCTION("""COMPUTED_VALUE"""),44782.0)</f>
        <v>44782</v>
      </c>
      <c r="C20460" s="6">
        <f>IFERROR(__xludf.DUMMYFUNCTION("""COMPUTED_VALUE"""),0.7018981481487572)</f>
        <v>0.7018981481</v>
      </c>
      <c r="D20460" s="4">
        <f>IFERROR(__xludf.DUMMYFUNCTION("""COMPUTED_VALUE"""),12.934066)</f>
        <v>12.934066</v>
      </c>
      <c r="E20460" s="4">
        <f>IFERROR(__xludf.DUMMYFUNCTION("""COMPUTED_VALUE"""),80.125175)</f>
        <v>80.125175</v>
      </c>
      <c r="F20460" s="4">
        <f>IFERROR(__xludf.DUMMYFUNCTION("""COMPUTED_VALUE"""),5339.0)</f>
        <v>5339</v>
      </c>
      <c r="G20460" s="4">
        <f>IFERROR(__xludf.DUMMYFUNCTION("""COMPUTED_VALUE"""),34.0)</f>
        <v>34</v>
      </c>
      <c r="H20460" s="4"/>
      <c r="I20460" s="4"/>
    </row>
    <row r="20461">
      <c r="A20461" s="4" t="str">
        <f>IFERROR(__xludf.DUMMYFUNCTION("""COMPUTED_VALUE"""),"cas_hmw")</f>
        <v>cas_hmw</v>
      </c>
      <c r="B20461" s="5">
        <f>IFERROR(__xludf.DUMMYFUNCTION("""COMPUTED_VALUE"""),44782.0)</f>
        <v>44782</v>
      </c>
      <c r="C20461" s="6">
        <f>IFERROR(__xludf.DUMMYFUNCTION("""COMPUTED_VALUE"""),0.7019560185181035)</f>
        <v>0.7019560185</v>
      </c>
      <c r="D20461" s="4">
        <f>IFERROR(__xludf.DUMMYFUNCTION("""COMPUTED_VALUE"""),12.934066)</f>
        <v>12.934066</v>
      </c>
      <c r="E20461" s="4">
        <f>IFERROR(__xludf.DUMMYFUNCTION("""COMPUTED_VALUE"""),80.125175)</f>
        <v>80.125175</v>
      </c>
      <c r="F20461" s="4">
        <f>IFERROR(__xludf.DUMMYFUNCTION("""COMPUTED_VALUE"""),5339.0)</f>
        <v>5339</v>
      </c>
      <c r="G20461" s="4">
        <f>IFERROR(__xludf.DUMMYFUNCTION("""COMPUTED_VALUE"""),34.0)</f>
        <v>34</v>
      </c>
      <c r="H20461" s="4"/>
      <c r="I20461" s="4"/>
    </row>
    <row r="20462">
      <c r="A20462" s="4" t="str">
        <f>IFERROR(__xludf.DUMMYFUNCTION("""COMPUTED_VALUE"""),"cas_hmw")</f>
        <v>cas_hmw</v>
      </c>
      <c r="B20462" s="5">
        <f>IFERROR(__xludf.DUMMYFUNCTION("""COMPUTED_VALUE"""),44782.0)</f>
        <v>44782</v>
      </c>
      <c r="C20462" s="6">
        <f>IFERROR(__xludf.DUMMYFUNCTION("""COMPUTED_VALUE"""),0.7020023148143082)</f>
        <v>0.7020023148</v>
      </c>
      <c r="D20462" s="4">
        <f>IFERROR(__xludf.DUMMYFUNCTION("""COMPUTED_VALUE"""),12.934686)</f>
        <v>12.934686</v>
      </c>
      <c r="E20462" s="4">
        <f>IFERROR(__xludf.DUMMYFUNCTION("""COMPUTED_VALUE"""),80.125779)</f>
        <v>80.125779</v>
      </c>
      <c r="F20462" s="4">
        <f>IFERROR(__xludf.DUMMYFUNCTION("""COMPUTED_VALUE"""),5339.0)</f>
        <v>5339</v>
      </c>
      <c r="G20462" s="4">
        <f>IFERROR(__xludf.DUMMYFUNCTION("""COMPUTED_VALUE"""),29.0)</f>
        <v>29</v>
      </c>
      <c r="H20462" s="4"/>
      <c r="I20462" s="4"/>
    </row>
    <row r="20463">
      <c r="A20463" s="4" t="str">
        <f>IFERROR(__xludf.DUMMYFUNCTION("""COMPUTED_VALUE"""),"cas_hmw")</f>
        <v>cas_hmw</v>
      </c>
      <c r="B20463" s="5">
        <f>IFERROR(__xludf.DUMMYFUNCTION("""COMPUTED_VALUE"""),44782.0)</f>
        <v>44782</v>
      </c>
      <c r="C20463" s="6">
        <f>IFERROR(__xludf.DUMMYFUNCTION("""COMPUTED_VALUE"""),0.7020138888874499)</f>
        <v>0.7020138889</v>
      </c>
      <c r="D20463" s="4">
        <f>IFERROR(__xludf.DUMMYFUNCTION("""COMPUTED_VALUE"""),12.934686)</f>
        <v>12.934686</v>
      </c>
      <c r="E20463" s="4">
        <f>IFERROR(__xludf.DUMMYFUNCTION("""COMPUTED_VALUE"""),80.125779)</f>
        <v>80.125779</v>
      </c>
      <c r="F20463" s="4">
        <f>IFERROR(__xludf.DUMMYFUNCTION("""COMPUTED_VALUE"""),5339.0)</f>
        <v>5339</v>
      </c>
      <c r="G20463" s="4">
        <f>IFERROR(__xludf.DUMMYFUNCTION("""COMPUTED_VALUE"""),29.0)</f>
        <v>29</v>
      </c>
      <c r="H20463" s="4"/>
      <c r="I20463" s="4"/>
    </row>
    <row r="20464">
      <c r="A20464" s="4" t="str">
        <f>IFERROR(__xludf.DUMMYFUNCTION("""COMPUTED_VALUE"""),"cas_hmw")</f>
        <v>cas_hmw</v>
      </c>
      <c r="B20464" s="5">
        <f>IFERROR(__xludf.DUMMYFUNCTION("""COMPUTED_VALUE"""),44782.0)</f>
        <v>44782</v>
      </c>
      <c r="C20464" s="6">
        <f>IFERROR(__xludf.DUMMYFUNCTION("""COMPUTED_VALUE"""),0.7020601851836545)</f>
        <v>0.7020601852</v>
      </c>
      <c r="D20464" s="4">
        <f>IFERROR(__xludf.DUMMYFUNCTION("""COMPUTED_VALUE"""),12.934906)</f>
        <v>12.934906</v>
      </c>
      <c r="E20464" s="4">
        <f>IFERROR(__xludf.DUMMYFUNCTION("""COMPUTED_VALUE"""),80.125865)</f>
        <v>80.125865</v>
      </c>
      <c r="F20464" s="4">
        <f>IFERROR(__xludf.DUMMYFUNCTION("""COMPUTED_VALUE"""),805.0)</f>
        <v>805</v>
      </c>
      <c r="G20464" s="4">
        <f>IFERROR(__xludf.DUMMYFUNCTION("""COMPUTED_VALUE"""),27.0)</f>
        <v>27</v>
      </c>
      <c r="H20464" s="4"/>
      <c r="I20464" s="4"/>
    </row>
    <row r="20465">
      <c r="A20465" s="4" t="str">
        <f>IFERROR(__xludf.DUMMYFUNCTION("""COMPUTED_VALUE"""),"cas_hmw")</f>
        <v>cas_hmw</v>
      </c>
      <c r="B20465" s="5">
        <f>IFERROR(__xludf.DUMMYFUNCTION("""COMPUTED_VALUE"""),44782.0)</f>
        <v>44782</v>
      </c>
      <c r="C20465" s="6">
        <f>IFERROR(__xludf.DUMMYFUNCTION("""COMPUTED_VALUE"""),0.7022222222221899)</f>
        <v>0.7022222222</v>
      </c>
      <c r="D20465" s="4">
        <f>IFERROR(__xludf.DUMMYFUNCTION("""COMPUTED_VALUE"""),12.827281)</f>
        <v>12.827281</v>
      </c>
      <c r="E20465" s="4">
        <f>IFERROR(__xludf.DUMMYFUNCTION("""COMPUTED_VALUE"""),80.042303)</f>
        <v>80.042303</v>
      </c>
      <c r="F20465" s="4">
        <f>IFERROR(__xludf.DUMMYFUNCTION("""COMPUTED_VALUE"""),2846.0)</f>
        <v>2846</v>
      </c>
      <c r="G20465" s="4">
        <f>IFERROR(__xludf.DUMMYFUNCTION("""COMPUTED_VALUE"""),53.0)</f>
        <v>53</v>
      </c>
      <c r="H20465" s="4"/>
      <c r="I20465" s="4"/>
    </row>
    <row r="20466">
      <c r="A20466" s="4" t="str">
        <f>IFERROR(__xludf.DUMMYFUNCTION("""COMPUTED_VALUE"""),"cas_hmw")</f>
        <v>cas_hmw</v>
      </c>
      <c r="B20466" s="5">
        <f>IFERROR(__xludf.DUMMYFUNCTION("""COMPUTED_VALUE"""),44782.0)</f>
        <v>44782</v>
      </c>
      <c r="C20466" s="6">
        <f>IFERROR(__xludf.DUMMYFUNCTION("""COMPUTED_VALUE"""),0.703194444446126)</f>
        <v>0.7031944444</v>
      </c>
      <c r="D20466" s="4">
        <f>IFERROR(__xludf.DUMMYFUNCTION("""COMPUTED_VALUE"""),12.936467)</f>
        <v>12.936467</v>
      </c>
      <c r="E20466" s="4">
        <f>IFERROR(__xludf.DUMMYFUNCTION("""COMPUTED_VALUE"""),80.127367)</f>
        <v>80.127367</v>
      </c>
      <c r="F20466" s="4">
        <f>IFERROR(__xludf.DUMMYFUNCTION("""COMPUTED_VALUE"""),5339.0)</f>
        <v>5339</v>
      </c>
      <c r="G20466" s="4">
        <f>IFERROR(__xludf.DUMMYFUNCTION("""COMPUTED_VALUE"""),33.0)</f>
        <v>33</v>
      </c>
      <c r="H20466" s="4"/>
      <c r="I20466" s="4"/>
    </row>
    <row r="20467">
      <c r="A20467" s="4" t="str">
        <f>IFERROR(__xludf.DUMMYFUNCTION("""COMPUTED_VALUE"""),"cas_hmw")</f>
        <v>cas_hmw</v>
      </c>
      <c r="B20467" s="5">
        <f>IFERROR(__xludf.DUMMYFUNCTION("""COMPUTED_VALUE"""),44782.0)</f>
        <v>44782</v>
      </c>
      <c r="C20467" s="6">
        <f>IFERROR(__xludf.DUMMYFUNCTION("""COMPUTED_VALUE"""),0.703368055554165)</f>
        <v>0.7033680556</v>
      </c>
      <c r="D20467" s="4">
        <f>IFERROR(__xludf.DUMMYFUNCTION("""COMPUTED_VALUE"""),12.937664)</f>
        <v>12.937664</v>
      </c>
      <c r="E20467" s="4">
        <f>IFERROR(__xludf.DUMMYFUNCTION("""COMPUTED_VALUE"""),80.12834)</f>
        <v>80.12834</v>
      </c>
      <c r="F20467" s="4">
        <f>IFERROR(__xludf.DUMMYFUNCTION("""COMPUTED_VALUE"""),805.0)</f>
        <v>805</v>
      </c>
      <c r="G20467" s="4">
        <f>IFERROR(__xludf.DUMMYFUNCTION("""COMPUTED_VALUE"""),47.0)</f>
        <v>47</v>
      </c>
      <c r="H20467" s="4"/>
      <c r="I20467" s="4"/>
    </row>
    <row r="20468">
      <c r="A20468" s="4" t="str">
        <f>IFERROR(__xludf.DUMMYFUNCTION("""COMPUTED_VALUE"""),"cas_hmw")</f>
        <v>cas_hmw</v>
      </c>
      <c r="B20468" s="5">
        <f>IFERROR(__xludf.DUMMYFUNCTION("""COMPUTED_VALUE"""),44782.0)</f>
        <v>44782</v>
      </c>
      <c r="C20468" s="6">
        <f>IFERROR(__xludf.DUMMYFUNCTION("""COMPUTED_VALUE"""),0.7043402777781012)</f>
        <v>0.7043402778</v>
      </c>
      <c r="D20468" s="4">
        <f>IFERROR(__xludf.DUMMYFUNCTION("""COMPUTED_VALUE"""),12.942694)</f>
        <v>12.942694</v>
      </c>
      <c r="E20468" s="4">
        <f>IFERROR(__xludf.DUMMYFUNCTION("""COMPUTED_VALUE"""),80.133174)</f>
        <v>80.133174</v>
      </c>
      <c r="F20468" s="4">
        <f>IFERROR(__xludf.DUMMYFUNCTION("""COMPUTED_VALUE"""),805.0)</f>
        <v>805</v>
      </c>
      <c r="G20468" s="4">
        <f>IFERROR(__xludf.DUMMYFUNCTION("""COMPUTED_VALUE"""),29.0)</f>
        <v>29</v>
      </c>
      <c r="H20468" s="4"/>
      <c r="I20468" s="4"/>
    </row>
    <row r="20469">
      <c r="A20469" s="4" t="str">
        <f>IFERROR(__xludf.DUMMYFUNCTION("""COMPUTED_VALUE"""),"cas_hmw")</f>
        <v>cas_hmw</v>
      </c>
      <c r="B20469" s="5">
        <f>IFERROR(__xludf.DUMMYFUNCTION("""COMPUTED_VALUE"""),44782.0)</f>
        <v>44782</v>
      </c>
      <c r="C20469" s="6">
        <f>IFERROR(__xludf.DUMMYFUNCTION("""COMPUTED_VALUE"""),0.7050115740748879)</f>
        <v>0.7050115741</v>
      </c>
      <c r="D20469" s="4">
        <f>IFERROR(__xludf.DUMMYFUNCTION("""COMPUTED_VALUE"""),12.947917)</f>
        <v>12.947917</v>
      </c>
      <c r="E20469" s="4">
        <f>IFERROR(__xludf.DUMMYFUNCTION("""COMPUTED_VALUE"""),80.137427)</f>
        <v>80.137427</v>
      </c>
      <c r="F20469" s="4">
        <f>IFERROR(__xludf.DUMMYFUNCTION("""COMPUTED_VALUE"""),805.0)</f>
        <v>805</v>
      </c>
      <c r="G20469" s="4">
        <f>IFERROR(__xludf.DUMMYFUNCTION("""COMPUTED_VALUE"""),34.0)</f>
        <v>34</v>
      </c>
      <c r="H20469" s="4"/>
      <c r="I20469" s="4"/>
    </row>
    <row r="20470">
      <c r="A20470" s="4" t="str">
        <f>IFERROR(__xludf.DUMMYFUNCTION("""COMPUTED_VALUE"""),"cas_hmw")</f>
        <v>cas_hmw</v>
      </c>
      <c r="B20470" s="5">
        <f>IFERROR(__xludf.DUMMYFUNCTION("""COMPUTED_VALUE"""),44782.0)</f>
        <v>44782</v>
      </c>
      <c r="C20470" s="6">
        <f>IFERROR(__xludf.DUMMYFUNCTION("""COMPUTED_VALUE"""),0.7052314814827696)</f>
        <v>0.7052314815</v>
      </c>
      <c r="D20470" s="4">
        <f>IFERROR(__xludf.DUMMYFUNCTION("""COMPUTED_VALUE"""),12.801701)</f>
        <v>12.801701</v>
      </c>
      <c r="E20470" s="4">
        <f>IFERROR(__xludf.DUMMYFUNCTION("""COMPUTED_VALUE"""),80.024627)</f>
        <v>80.024627</v>
      </c>
      <c r="F20470" s="4">
        <f>IFERROR(__xludf.DUMMYFUNCTION("""COMPUTED_VALUE"""),2846.0)</f>
        <v>2846</v>
      </c>
      <c r="G20470" s="4">
        <f>IFERROR(__xludf.DUMMYFUNCTION("""COMPUTED_VALUE"""),58.0)</f>
        <v>58</v>
      </c>
      <c r="H20470" s="4"/>
      <c r="I20470" s="4"/>
    </row>
    <row r="20471">
      <c r="A20471" s="4" t="str">
        <f>IFERROR(__xludf.DUMMYFUNCTION("""COMPUTED_VALUE"""),"cas_hmw")</f>
        <v>cas_hmw</v>
      </c>
      <c r="B20471" s="5">
        <f>IFERROR(__xludf.DUMMYFUNCTION("""COMPUTED_VALUE"""),44782.0)</f>
        <v>44782</v>
      </c>
      <c r="C20471" s="6">
        <f>IFERROR(__xludf.DUMMYFUNCTION("""COMPUTED_VALUE"""),0.70563657407547)</f>
        <v>0.7056365741</v>
      </c>
      <c r="D20471" s="4">
        <f>IFERROR(__xludf.DUMMYFUNCTION("""COMPUTED_VALUE"""),12.925584)</f>
        <v>12.925584</v>
      </c>
      <c r="E20471" s="4">
        <f>IFERROR(__xludf.DUMMYFUNCTION("""COMPUTED_VALUE"""),80.104311)</f>
        <v>80.104311</v>
      </c>
      <c r="F20471" s="4">
        <f>IFERROR(__xludf.DUMMYFUNCTION("""COMPUTED_VALUE"""),3143.0)</f>
        <v>3143</v>
      </c>
      <c r="G20471" s="4">
        <f>IFERROR(__xludf.DUMMYFUNCTION("""COMPUTED_VALUE"""),0.0)</f>
        <v>0</v>
      </c>
      <c r="H20471" s="4"/>
      <c r="I20471" s="4"/>
    </row>
    <row r="20472">
      <c r="A20472" s="4" t="str">
        <f>IFERROR(__xludf.DUMMYFUNCTION("""COMPUTED_VALUE"""),"cas_hmw")</f>
        <v>cas_hmw</v>
      </c>
      <c r="B20472" s="5">
        <f>IFERROR(__xludf.DUMMYFUNCTION("""COMPUTED_VALUE"""),44782.0)</f>
        <v>44782</v>
      </c>
      <c r="C20472" s="6">
        <f>IFERROR(__xludf.DUMMYFUNCTION("""COMPUTED_VALUE"""),0.70563657407547)</f>
        <v>0.7056365741</v>
      </c>
      <c r="D20472" s="4">
        <f>IFERROR(__xludf.DUMMYFUNCTION("""COMPUTED_VALUE"""),12.925584)</f>
        <v>12.925584</v>
      </c>
      <c r="E20472" s="4">
        <f>IFERROR(__xludf.DUMMYFUNCTION("""COMPUTED_VALUE"""),80.104311)</f>
        <v>80.104311</v>
      </c>
      <c r="F20472" s="4">
        <f>IFERROR(__xludf.DUMMYFUNCTION("""COMPUTED_VALUE"""),3143.0)</f>
        <v>3143</v>
      </c>
      <c r="G20472" s="4">
        <f>IFERROR(__xludf.DUMMYFUNCTION("""COMPUTED_VALUE"""),0.0)</f>
        <v>0</v>
      </c>
      <c r="H20472" s="4"/>
      <c r="I20472" s="4"/>
    </row>
    <row r="20473">
      <c r="A20473" s="4" t="str">
        <f>IFERROR(__xludf.DUMMYFUNCTION("""COMPUTED_VALUE"""),"cas_hmw")</f>
        <v>cas_hmw</v>
      </c>
      <c r="B20473" s="5">
        <f>IFERROR(__xludf.DUMMYFUNCTION("""COMPUTED_VALUE"""),44782.0)</f>
        <v>44782</v>
      </c>
      <c r="C20473" s="6">
        <f>IFERROR(__xludf.DUMMYFUNCTION("""COMPUTED_VALUE"""),0.7059027777795563)</f>
        <v>0.7059027778</v>
      </c>
      <c r="D20473" s="4">
        <f>IFERROR(__xludf.DUMMYFUNCTION("""COMPUTED_VALUE"""),12.95066)</f>
        <v>12.95066</v>
      </c>
      <c r="E20473" s="4">
        <f>IFERROR(__xludf.DUMMYFUNCTION("""COMPUTED_VALUE"""),80.139523)</f>
        <v>80.139523</v>
      </c>
      <c r="F20473" s="4">
        <f>IFERROR(__xludf.DUMMYFUNCTION("""COMPUTED_VALUE"""),805.0)</f>
        <v>805</v>
      </c>
      <c r="G20473" s="4">
        <f>IFERROR(__xludf.DUMMYFUNCTION("""COMPUTED_VALUE"""),19.0)</f>
        <v>19</v>
      </c>
      <c r="H20473" s="4"/>
      <c r="I20473" s="4"/>
    </row>
    <row r="20474">
      <c r="A20474" s="4" t="str">
        <f>IFERROR(__xludf.DUMMYFUNCTION("""COMPUTED_VALUE"""),"cas_hmw")</f>
        <v>cas_hmw</v>
      </c>
      <c r="B20474" s="5">
        <f>IFERROR(__xludf.DUMMYFUNCTION("""COMPUTED_VALUE"""),44782.0)</f>
        <v>44782</v>
      </c>
      <c r="C20474" s="6">
        <f>IFERROR(__xludf.DUMMYFUNCTION("""COMPUTED_VALUE"""),0.7059027777795563)</f>
        <v>0.7059027778</v>
      </c>
      <c r="D20474" s="4">
        <f>IFERROR(__xludf.DUMMYFUNCTION("""COMPUTED_VALUE"""),12.95066)</f>
        <v>12.95066</v>
      </c>
      <c r="E20474" s="4">
        <f>IFERROR(__xludf.DUMMYFUNCTION("""COMPUTED_VALUE"""),80.139523)</f>
        <v>80.139523</v>
      </c>
      <c r="F20474" s="4">
        <f>IFERROR(__xludf.DUMMYFUNCTION("""COMPUTED_VALUE"""),805.0)</f>
        <v>805</v>
      </c>
      <c r="G20474" s="4">
        <f>IFERROR(__xludf.DUMMYFUNCTION("""COMPUTED_VALUE"""),19.0)</f>
        <v>19</v>
      </c>
      <c r="H20474" s="4"/>
      <c r="I20474" s="4"/>
    </row>
    <row r="20475">
      <c r="A20475" s="4" t="str">
        <f>IFERROR(__xludf.DUMMYFUNCTION("""COMPUTED_VALUE"""),"cas_hmw")</f>
        <v>cas_hmw</v>
      </c>
      <c r="B20475" s="5">
        <f>IFERROR(__xludf.DUMMYFUNCTION("""COMPUTED_VALUE"""),44782.0)</f>
        <v>44782</v>
      </c>
      <c r="C20475" s="6">
        <f>IFERROR(__xludf.DUMMYFUNCTION("""COMPUTED_VALUE"""),0.7059027777795563)</f>
        <v>0.7059027778</v>
      </c>
      <c r="D20475" s="4">
        <f>IFERROR(__xludf.DUMMYFUNCTION("""COMPUTED_VALUE"""),12.950793)</f>
        <v>12.950793</v>
      </c>
      <c r="E20475" s="4">
        <f>IFERROR(__xludf.DUMMYFUNCTION("""COMPUTED_VALUE"""),80.139752)</f>
        <v>80.139752</v>
      </c>
      <c r="F20475" s="4">
        <f>IFERROR(__xludf.DUMMYFUNCTION("""COMPUTED_VALUE"""),5339.0)</f>
        <v>5339</v>
      </c>
      <c r="G20475" s="4">
        <f>IFERROR(__xludf.DUMMYFUNCTION("""COMPUTED_VALUE"""),26.0)</f>
        <v>26</v>
      </c>
      <c r="H20475" s="4"/>
      <c r="I20475" s="4"/>
    </row>
    <row r="20476">
      <c r="A20476" s="4" t="str">
        <f>IFERROR(__xludf.DUMMYFUNCTION("""COMPUTED_VALUE"""),"cas_hmw")</f>
        <v>cas_hmw</v>
      </c>
      <c r="B20476" s="5">
        <f>IFERROR(__xludf.DUMMYFUNCTION("""COMPUTED_VALUE"""),44782.0)</f>
        <v>44782</v>
      </c>
      <c r="C20476" s="6">
        <f>IFERROR(__xludf.DUMMYFUNCTION("""COMPUTED_VALUE"""),0.7059259259258397)</f>
        <v>0.7059259259</v>
      </c>
      <c r="D20476" s="4">
        <f>IFERROR(__xludf.DUMMYFUNCTION("""COMPUTED_VALUE"""),12.95066)</f>
        <v>12.95066</v>
      </c>
      <c r="E20476" s="4">
        <f>IFERROR(__xludf.DUMMYFUNCTION("""COMPUTED_VALUE"""),80.139523)</f>
        <v>80.139523</v>
      </c>
      <c r="F20476" s="4">
        <f>IFERROR(__xludf.DUMMYFUNCTION("""COMPUTED_VALUE"""),805.0)</f>
        <v>805</v>
      </c>
      <c r="G20476" s="4">
        <f>IFERROR(__xludf.DUMMYFUNCTION("""COMPUTED_VALUE"""),19.0)</f>
        <v>19</v>
      </c>
      <c r="H20476" s="4"/>
      <c r="I20476" s="4"/>
    </row>
    <row r="20477">
      <c r="A20477" s="4" t="str">
        <f>IFERROR(__xludf.DUMMYFUNCTION("""COMPUTED_VALUE"""),"cas_hmw")</f>
        <v>cas_hmw</v>
      </c>
      <c r="B20477" s="5">
        <f>IFERROR(__xludf.DUMMYFUNCTION("""COMPUTED_VALUE"""),44782.0)</f>
        <v>44782</v>
      </c>
      <c r="C20477" s="6">
        <f>IFERROR(__xludf.DUMMYFUNCTION("""COMPUTED_VALUE"""),0.7062731481491937)</f>
        <v>0.7062731481</v>
      </c>
      <c r="D20477" s="4">
        <f>IFERROR(__xludf.DUMMYFUNCTION("""COMPUTED_VALUE"""),12.953323)</f>
        <v>12.953323</v>
      </c>
      <c r="E20477" s="4">
        <f>IFERROR(__xludf.DUMMYFUNCTION("""COMPUTED_VALUE"""),80.141579)</f>
        <v>80.141579</v>
      </c>
      <c r="F20477" s="4">
        <f>IFERROR(__xludf.DUMMYFUNCTION("""COMPUTED_VALUE"""),5339.0)</f>
        <v>5339</v>
      </c>
      <c r="G20477" s="4">
        <f>IFERROR(__xludf.DUMMYFUNCTION("""COMPUTED_VALUE"""),49.0)</f>
        <v>49</v>
      </c>
      <c r="H20477" s="4"/>
      <c r="I20477" s="4"/>
    </row>
    <row r="20478">
      <c r="A20478" s="4" t="str">
        <f>IFERROR(__xludf.DUMMYFUNCTION("""COMPUTED_VALUE"""),"cas_hmw")</f>
        <v>cas_hmw</v>
      </c>
      <c r="B20478" s="5">
        <f>IFERROR(__xludf.DUMMYFUNCTION("""COMPUTED_VALUE"""),44782.0)</f>
        <v>44782</v>
      </c>
      <c r="C20478" s="6">
        <f>IFERROR(__xludf.DUMMYFUNCTION("""COMPUTED_VALUE"""),0.7063888888878864)</f>
        <v>0.7063888889</v>
      </c>
      <c r="D20478" s="4">
        <f>IFERROR(__xludf.DUMMYFUNCTION("""COMPUTED_VALUE"""),12.952918)</f>
        <v>12.952918</v>
      </c>
      <c r="E20478" s="4">
        <f>IFERROR(__xludf.DUMMYFUNCTION("""COMPUTED_VALUE"""),80.141306)</f>
        <v>80.141306</v>
      </c>
      <c r="F20478" s="4">
        <f>IFERROR(__xludf.DUMMYFUNCTION("""COMPUTED_VALUE"""),805.0)</f>
        <v>805</v>
      </c>
      <c r="G20478" s="4">
        <f>IFERROR(__xludf.DUMMYFUNCTION("""COMPUTED_VALUE"""),49.0)</f>
        <v>49</v>
      </c>
      <c r="H20478" s="4"/>
      <c r="I20478" s="4"/>
    </row>
    <row r="20479">
      <c r="A20479" s="4" t="str">
        <f>IFERROR(__xludf.DUMMYFUNCTION("""COMPUTED_VALUE"""),"cas_hmw")</f>
        <v>cas_hmw</v>
      </c>
      <c r="B20479" s="5">
        <f>IFERROR(__xludf.DUMMYFUNCTION("""COMPUTED_VALUE"""),44782.0)</f>
        <v>44782</v>
      </c>
      <c r="C20479" s="6">
        <f>IFERROR(__xludf.DUMMYFUNCTION("""COMPUTED_VALUE"""),0.7064583333340124)</f>
        <v>0.7064583333</v>
      </c>
      <c r="D20479" s="4">
        <f>IFERROR(__xludf.DUMMYFUNCTION("""COMPUTED_VALUE"""),12.954626)</f>
        <v>12.954626</v>
      </c>
      <c r="E20479" s="4">
        <f>IFERROR(__xludf.DUMMYFUNCTION("""COMPUTED_VALUE"""),80.142264)</f>
        <v>80.142264</v>
      </c>
      <c r="F20479" s="4">
        <f>IFERROR(__xludf.DUMMYFUNCTION("""COMPUTED_VALUE"""),805.0)</f>
        <v>805</v>
      </c>
      <c r="G20479" s="4">
        <f>IFERROR(__xludf.DUMMYFUNCTION("""COMPUTED_VALUE"""),49.0)</f>
        <v>49</v>
      </c>
      <c r="H20479" s="4"/>
      <c r="I20479" s="4"/>
    </row>
    <row r="20480">
      <c r="A20480" s="4" t="str">
        <f>IFERROR(__xludf.DUMMYFUNCTION("""COMPUTED_VALUE"""),"cas_hmw")</f>
        <v>cas_hmw</v>
      </c>
      <c r="B20480" s="5">
        <f>IFERROR(__xludf.DUMMYFUNCTION("""COMPUTED_VALUE"""),44782.0)</f>
        <v>44782</v>
      </c>
      <c r="C20480" s="6">
        <f>IFERROR(__xludf.DUMMYFUNCTION("""COMPUTED_VALUE"""),0.7065162037033588)</f>
        <v>0.7065162037</v>
      </c>
      <c r="D20480" s="4">
        <f>IFERROR(__xludf.DUMMYFUNCTION("""COMPUTED_VALUE"""),12.954626)</f>
        <v>12.954626</v>
      </c>
      <c r="E20480" s="4">
        <f>IFERROR(__xludf.DUMMYFUNCTION("""COMPUTED_VALUE"""),80.142264)</f>
        <v>80.142264</v>
      </c>
      <c r="F20480" s="4">
        <f>IFERROR(__xludf.DUMMYFUNCTION("""COMPUTED_VALUE"""),805.0)</f>
        <v>805</v>
      </c>
      <c r="G20480" s="4">
        <f>IFERROR(__xludf.DUMMYFUNCTION("""COMPUTED_VALUE"""),49.0)</f>
        <v>49</v>
      </c>
      <c r="H20480" s="4"/>
      <c r="I20480" s="4"/>
    </row>
    <row r="20481">
      <c r="A20481" s="4" t="str">
        <f>IFERROR(__xludf.DUMMYFUNCTION("""COMPUTED_VALUE"""),"cas_hmw")</f>
        <v>cas_hmw</v>
      </c>
      <c r="B20481" s="5">
        <f>IFERROR(__xludf.DUMMYFUNCTION("""COMPUTED_VALUE"""),44782.0)</f>
        <v>44782</v>
      </c>
      <c r="C20481" s="6">
        <f>IFERROR(__xludf.DUMMYFUNCTION("""COMPUTED_VALUE"""),0.7065624999995634)</f>
        <v>0.7065625</v>
      </c>
      <c r="D20481" s="4">
        <f>IFERROR(__xludf.DUMMYFUNCTION("""COMPUTED_VALUE"""),12.954626)</f>
        <v>12.954626</v>
      </c>
      <c r="E20481" s="4">
        <f>IFERROR(__xludf.DUMMYFUNCTION("""COMPUTED_VALUE"""),80.142264)</f>
        <v>80.142264</v>
      </c>
      <c r="F20481" s="4">
        <f>IFERROR(__xludf.DUMMYFUNCTION("""COMPUTED_VALUE"""),805.0)</f>
        <v>805</v>
      </c>
      <c r="G20481" s="4">
        <f>IFERROR(__xludf.DUMMYFUNCTION("""COMPUTED_VALUE"""),49.0)</f>
        <v>49</v>
      </c>
      <c r="H20481" s="4"/>
      <c r="I20481" s="4"/>
    </row>
    <row r="20482">
      <c r="A20482" s="4" t="str">
        <f>IFERROR(__xludf.DUMMYFUNCTION("""COMPUTED_VALUE"""),"cas_hmw")</f>
        <v>cas_hmw</v>
      </c>
      <c r="B20482" s="5">
        <f>IFERROR(__xludf.DUMMYFUNCTION("""COMPUTED_VALUE"""),44782.0)</f>
        <v>44782</v>
      </c>
      <c r="C20482" s="6">
        <f>IFERROR(__xludf.DUMMYFUNCTION("""COMPUTED_VALUE"""),0.7065624999995634)</f>
        <v>0.7065625</v>
      </c>
      <c r="D20482" s="4">
        <f>IFERROR(__xludf.DUMMYFUNCTION("""COMPUTED_VALUE"""),12.954626)</f>
        <v>12.954626</v>
      </c>
      <c r="E20482" s="4">
        <f>IFERROR(__xludf.DUMMYFUNCTION("""COMPUTED_VALUE"""),80.142264)</f>
        <v>80.142264</v>
      </c>
      <c r="F20482" s="4">
        <f>IFERROR(__xludf.DUMMYFUNCTION("""COMPUTED_VALUE"""),805.0)</f>
        <v>805</v>
      </c>
      <c r="G20482" s="4">
        <f>IFERROR(__xludf.DUMMYFUNCTION("""COMPUTED_VALUE"""),49.0)</f>
        <v>49</v>
      </c>
      <c r="H20482" s="4"/>
      <c r="I20482" s="4"/>
    </row>
    <row r="20483">
      <c r="A20483" s="4" t="str">
        <f>IFERROR(__xludf.DUMMYFUNCTION("""COMPUTED_VALUE"""),"cas_hmw")</f>
        <v>cas_hmw</v>
      </c>
      <c r="B20483" s="5">
        <f>IFERROR(__xludf.DUMMYFUNCTION("""COMPUTED_VALUE"""),44782.0)</f>
        <v>44782</v>
      </c>
      <c r="C20483" s="6">
        <f>IFERROR(__xludf.DUMMYFUNCTION("""COMPUTED_VALUE"""),0.7068518518535711)</f>
        <v>0.7068518519</v>
      </c>
      <c r="D20483" s="4">
        <f>IFERROR(__xludf.DUMMYFUNCTION("""COMPUTED_VALUE"""),12.957872)</f>
        <v>12.957872</v>
      </c>
      <c r="E20483" s="4">
        <f>IFERROR(__xludf.DUMMYFUNCTION("""COMPUTED_VALUE"""),80.143988)</f>
        <v>80.143988</v>
      </c>
      <c r="F20483" s="4">
        <f>IFERROR(__xludf.DUMMYFUNCTION("""COMPUTED_VALUE"""),5339.0)</f>
        <v>5339</v>
      </c>
      <c r="G20483" s="4">
        <f>IFERROR(__xludf.DUMMYFUNCTION("""COMPUTED_VALUE"""),37.0)</f>
        <v>37</v>
      </c>
      <c r="H20483" s="4"/>
      <c r="I20483" s="4"/>
    </row>
    <row r="20484">
      <c r="A20484" s="4" t="str">
        <f>IFERROR(__xludf.DUMMYFUNCTION("""COMPUTED_VALUE"""),"cas_hmw")</f>
        <v>cas_hmw</v>
      </c>
      <c r="B20484" s="5">
        <f>IFERROR(__xludf.DUMMYFUNCTION("""COMPUTED_VALUE"""),44782.0)</f>
        <v>44782</v>
      </c>
      <c r="C20484" s="6">
        <f>IFERROR(__xludf.DUMMYFUNCTION("""COMPUTED_VALUE"""),0.7076273148159089)</f>
        <v>0.7076273148</v>
      </c>
      <c r="D20484" s="4">
        <f>IFERROR(__xludf.DUMMYFUNCTION("""COMPUTED_VALUE"""),12.960311)</f>
        <v>12.960311</v>
      </c>
      <c r="E20484" s="4">
        <f>IFERROR(__xludf.DUMMYFUNCTION("""COMPUTED_VALUE"""),80.145119)</f>
        <v>80.145119</v>
      </c>
      <c r="F20484" s="4">
        <f>IFERROR(__xludf.DUMMYFUNCTION("""COMPUTED_VALUE"""),805.0)</f>
        <v>805</v>
      </c>
      <c r="G20484" s="4">
        <f>IFERROR(__xludf.DUMMYFUNCTION("""COMPUTED_VALUE"""),8.0)</f>
        <v>8</v>
      </c>
      <c r="H20484" s="4"/>
      <c r="I20484" s="4"/>
    </row>
    <row r="20485">
      <c r="A20485" s="4" t="str">
        <f>IFERROR(__xludf.DUMMYFUNCTION("""COMPUTED_VALUE"""),"cas_hmw")</f>
        <v>cas_hmw</v>
      </c>
      <c r="B20485" s="5">
        <f>IFERROR(__xludf.DUMMYFUNCTION("""COMPUTED_VALUE"""),44782.0)</f>
        <v>44782</v>
      </c>
      <c r="C20485" s="6">
        <f>IFERROR(__xludf.DUMMYFUNCTION("""COMPUTED_VALUE"""),0.7080208333318296)</f>
        <v>0.7080208333</v>
      </c>
      <c r="D20485" s="4">
        <f>IFERROR(__xludf.DUMMYFUNCTION("""COMPUTED_VALUE"""),12.768114)</f>
        <v>12.768114</v>
      </c>
      <c r="E20485" s="4">
        <f>IFERROR(__xludf.DUMMYFUNCTION("""COMPUTED_VALUE"""),80.006326)</f>
        <v>80.006326</v>
      </c>
      <c r="F20485" s="4">
        <f>IFERROR(__xludf.DUMMYFUNCTION("""COMPUTED_VALUE"""),2846.0)</f>
        <v>2846</v>
      </c>
      <c r="G20485" s="4">
        <f>IFERROR(__xludf.DUMMYFUNCTION("""COMPUTED_VALUE"""),58.0)</f>
        <v>58</v>
      </c>
      <c r="H20485" s="4"/>
      <c r="I20485" s="4"/>
    </row>
    <row r="20486">
      <c r="A20486" s="4" t="str">
        <f>IFERROR(__xludf.DUMMYFUNCTION("""COMPUTED_VALUE"""),"cas_hmw")</f>
        <v>cas_hmw</v>
      </c>
      <c r="B20486" s="5">
        <f>IFERROR(__xludf.DUMMYFUNCTION("""COMPUTED_VALUE"""),44782.0)</f>
        <v>44782</v>
      </c>
      <c r="C20486" s="6">
        <f>IFERROR(__xludf.DUMMYFUNCTION("""COMPUTED_VALUE"""),0.7080208333318296)</f>
        <v>0.7080208333</v>
      </c>
      <c r="D20486" s="4">
        <f>IFERROR(__xludf.DUMMYFUNCTION("""COMPUTED_VALUE"""),12.963796)</f>
        <v>12.963796</v>
      </c>
      <c r="E20486" s="4">
        <f>IFERROR(__xludf.DUMMYFUNCTION("""COMPUTED_VALUE"""),80.14711)</f>
        <v>80.14711</v>
      </c>
      <c r="F20486" s="4">
        <f>IFERROR(__xludf.DUMMYFUNCTION("""COMPUTED_VALUE"""),805.0)</f>
        <v>805</v>
      </c>
      <c r="G20486" s="4">
        <f>IFERROR(__xludf.DUMMYFUNCTION("""COMPUTED_VALUE"""),34.0)</f>
        <v>34</v>
      </c>
      <c r="H20486" s="4"/>
      <c r="I20486" s="4"/>
    </row>
    <row r="20487">
      <c r="A20487" s="4" t="str">
        <f>IFERROR(__xludf.DUMMYFUNCTION("""COMPUTED_VALUE"""),"cas_hmw")</f>
        <v>cas_hmw</v>
      </c>
      <c r="B20487" s="5">
        <f>IFERROR(__xludf.DUMMYFUNCTION("""COMPUTED_VALUE"""),44782.0)</f>
        <v>44782</v>
      </c>
      <c r="C20487" s="6">
        <f>IFERROR(__xludf.DUMMYFUNCTION("""COMPUTED_VALUE"""),0.7090509259251121)</f>
        <v>0.7090509259</v>
      </c>
      <c r="D20487" s="4">
        <f>IFERROR(__xludf.DUMMYFUNCTION("""COMPUTED_VALUE"""),12.760139)</f>
        <v>12.760139</v>
      </c>
      <c r="E20487" s="4">
        <f>IFERROR(__xludf.DUMMYFUNCTION("""COMPUTED_VALUE"""),80.003439)</f>
        <v>80.003439</v>
      </c>
      <c r="F20487" s="4">
        <f>IFERROR(__xludf.DUMMYFUNCTION("""COMPUTED_VALUE"""),2846.0)</f>
        <v>2846</v>
      </c>
      <c r="G20487" s="4">
        <f>IFERROR(__xludf.DUMMYFUNCTION("""COMPUTED_VALUE"""),0.0)</f>
        <v>0</v>
      </c>
      <c r="H20487" s="4"/>
      <c r="I20487" s="4"/>
    </row>
    <row r="20488">
      <c r="A20488" s="4" t="str">
        <f>IFERROR(__xludf.DUMMYFUNCTION("""COMPUTED_VALUE"""),"cas_hmw")</f>
        <v>cas_hmw</v>
      </c>
      <c r="B20488" s="5">
        <f>IFERROR(__xludf.DUMMYFUNCTION("""COMPUTED_VALUE"""),44782.0)</f>
        <v>44782</v>
      </c>
      <c r="C20488" s="6">
        <f>IFERROR(__xludf.DUMMYFUNCTION("""COMPUTED_VALUE"""),0.7090624999982538)</f>
        <v>0.7090625</v>
      </c>
      <c r="D20488" s="4">
        <f>IFERROR(__xludf.DUMMYFUNCTION("""COMPUTED_VALUE"""),12.972562)</f>
        <v>12.972562</v>
      </c>
      <c r="E20488" s="4">
        <f>IFERROR(__xludf.DUMMYFUNCTION("""COMPUTED_VALUE"""),80.151891)</f>
        <v>80.151891</v>
      </c>
      <c r="F20488" s="4">
        <f>IFERROR(__xludf.DUMMYFUNCTION("""COMPUTED_VALUE"""),805.0)</f>
        <v>805</v>
      </c>
      <c r="G20488" s="4">
        <f>IFERROR(__xludf.DUMMYFUNCTION("""COMPUTED_VALUE"""),58.0)</f>
        <v>58</v>
      </c>
      <c r="H20488" s="4"/>
      <c r="I20488" s="4"/>
    </row>
    <row r="20489">
      <c r="A20489" s="4" t="str">
        <f>IFERROR(__xludf.DUMMYFUNCTION("""COMPUTED_VALUE"""),"cas_hmw")</f>
        <v>cas_hmw</v>
      </c>
      <c r="B20489" s="5">
        <f>IFERROR(__xludf.DUMMYFUNCTION("""COMPUTED_VALUE"""),44782.0)</f>
        <v>44782</v>
      </c>
      <c r="C20489" s="6">
        <f>IFERROR(__xludf.DUMMYFUNCTION("""COMPUTED_VALUE"""),0.7093171296291985)</f>
        <v>0.7093171296</v>
      </c>
      <c r="D20489" s="4">
        <f>IFERROR(__xludf.DUMMYFUNCTION("""COMPUTED_VALUE"""),12.759182)</f>
        <v>12.759182</v>
      </c>
      <c r="E20489" s="4">
        <f>IFERROR(__xludf.DUMMYFUNCTION("""COMPUTED_VALUE"""),80.003135)</f>
        <v>80.003135</v>
      </c>
      <c r="F20489" s="4">
        <f>IFERROR(__xludf.DUMMYFUNCTION("""COMPUTED_VALUE"""),2846.0)</f>
        <v>2846</v>
      </c>
      <c r="G20489" s="4">
        <f>IFERROR(__xludf.DUMMYFUNCTION("""COMPUTED_VALUE"""),37.0)</f>
        <v>37</v>
      </c>
      <c r="H20489" s="4"/>
      <c r="I20489" s="4"/>
    </row>
    <row r="20490">
      <c r="A20490" s="4" t="str">
        <f>IFERROR(__xludf.DUMMYFUNCTION("""COMPUTED_VALUE"""),"cas_hmw")</f>
        <v>cas_hmw</v>
      </c>
      <c r="B20490" s="5">
        <f>IFERROR(__xludf.DUMMYFUNCTION("""COMPUTED_VALUE"""),44782.0)</f>
        <v>44782</v>
      </c>
      <c r="C20490" s="6">
        <f>IFERROR(__xludf.DUMMYFUNCTION("""COMPUTED_VALUE"""),0.7093287037023401)</f>
        <v>0.7093287037</v>
      </c>
      <c r="D20490" s="4">
        <f>IFERROR(__xludf.DUMMYFUNCTION("""COMPUTED_VALUE"""),12.975093)</f>
        <v>12.975093</v>
      </c>
      <c r="E20490" s="4">
        <f>IFERROR(__xludf.DUMMYFUNCTION("""COMPUTED_VALUE"""),80.155601)</f>
        <v>80.155601</v>
      </c>
      <c r="F20490" s="4">
        <f>IFERROR(__xludf.DUMMYFUNCTION("""COMPUTED_VALUE"""),805.0)</f>
        <v>805</v>
      </c>
      <c r="G20490" s="4">
        <f>IFERROR(__xludf.DUMMYFUNCTION("""COMPUTED_VALUE"""),52.0)</f>
        <v>52</v>
      </c>
      <c r="H20490" s="4"/>
      <c r="I20490" s="4"/>
    </row>
    <row r="20491">
      <c r="A20491" s="4" t="str">
        <f>IFERROR(__xludf.DUMMYFUNCTION("""COMPUTED_VALUE"""),"cas_hmw")</f>
        <v>cas_hmw</v>
      </c>
      <c r="B20491" s="5">
        <f>IFERROR(__xludf.DUMMYFUNCTION("""COMPUTED_VALUE"""),44782.0)</f>
        <v>44782</v>
      </c>
      <c r="C20491" s="6">
        <f>IFERROR(__xludf.DUMMYFUNCTION("""COMPUTED_VALUE"""),0.7098379629642295)</f>
        <v>0.709837963</v>
      </c>
      <c r="D20491" s="4">
        <f>IFERROR(__xludf.DUMMYFUNCTION("""COMPUTED_VALUE"""),12.753765)</f>
        <v>12.753765</v>
      </c>
      <c r="E20491" s="4">
        <f>IFERROR(__xludf.DUMMYFUNCTION("""COMPUTED_VALUE"""),80.000584)</f>
        <v>80.000584</v>
      </c>
      <c r="F20491" s="4">
        <f>IFERROR(__xludf.DUMMYFUNCTION("""COMPUTED_VALUE"""),2846.0)</f>
        <v>2846</v>
      </c>
      <c r="G20491" s="4">
        <f>IFERROR(__xludf.DUMMYFUNCTION("""COMPUTED_VALUE"""),58.0)</f>
        <v>58</v>
      </c>
      <c r="H20491" s="4"/>
      <c r="I20491" s="4"/>
    </row>
    <row r="20492">
      <c r="A20492" s="4" t="str">
        <f>IFERROR(__xludf.DUMMYFUNCTION("""COMPUTED_VALUE"""),"cas_hmw")</f>
        <v>cas_hmw</v>
      </c>
      <c r="B20492" s="5">
        <f>IFERROR(__xludf.DUMMYFUNCTION("""COMPUTED_VALUE"""),44782.0)</f>
        <v>44782</v>
      </c>
      <c r="C20492" s="6">
        <f>IFERROR(__xludf.DUMMYFUNCTION("""COMPUTED_VALUE"""),0.7103009259262762)</f>
        <v>0.7103009259</v>
      </c>
      <c r="D20492" s="4">
        <f>IFERROR(__xludf.DUMMYFUNCTION("""COMPUTED_VALUE"""),12.753765)</f>
        <v>12.753765</v>
      </c>
      <c r="E20492" s="4">
        <f>IFERROR(__xludf.DUMMYFUNCTION("""COMPUTED_VALUE"""),80.000584)</f>
        <v>80.000584</v>
      </c>
      <c r="F20492" s="4">
        <f>IFERROR(__xludf.DUMMYFUNCTION("""COMPUTED_VALUE"""),2846.0)</f>
        <v>2846</v>
      </c>
      <c r="G20492" s="4">
        <f>IFERROR(__xludf.DUMMYFUNCTION("""COMPUTED_VALUE"""),58.0)</f>
        <v>58</v>
      </c>
      <c r="H20492" s="4"/>
      <c r="I20492" s="4"/>
    </row>
    <row r="20493">
      <c r="A20493" s="4" t="str">
        <f>IFERROR(__xludf.DUMMYFUNCTION("""COMPUTED_VALUE"""),"cas_hmw")</f>
        <v>cas_hmw</v>
      </c>
      <c r="B20493" s="5">
        <f>IFERROR(__xludf.DUMMYFUNCTION("""COMPUTED_VALUE"""),44782.0)</f>
        <v>44782</v>
      </c>
      <c r="C20493" s="6">
        <f>IFERROR(__xludf.DUMMYFUNCTION("""COMPUTED_VALUE"""),0.7107870370382443)</f>
        <v>0.710787037</v>
      </c>
      <c r="D20493" s="4">
        <f>IFERROR(__xludf.DUMMYFUNCTION("""COMPUTED_VALUE"""),12.930771)</f>
        <v>12.930771</v>
      </c>
      <c r="E20493" s="4">
        <f>IFERROR(__xludf.DUMMYFUNCTION("""COMPUTED_VALUE"""),80.121794)</f>
        <v>80.121794</v>
      </c>
      <c r="F20493" s="4">
        <f>IFERROR(__xludf.DUMMYFUNCTION("""COMPUTED_VALUE"""),3143.0)</f>
        <v>3143</v>
      </c>
      <c r="G20493" s="4">
        <f>IFERROR(__xludf.DUMMYFUNCTION("""COMPUTED_VALUE"""),0.0)</f>
        <v>0</v>
      </c>
      <c r="H20493" s="4"/>
      <c r="I20493" s="4"/>
    </row>
    <row r="20494">
      <c r="A20494" s="4" t="str">
        <f>IFERROR(__xludf.DUMMYFUNCTION("""COMPUTED_VALUE"""),"cas_hmw")</f>
        <v>cas_hmw</v>
      </c>
      <c r="B20494" s="5">
        <f>IFERROR(__xludf.DUMMYFUNCTION("""COMPUTED_VALUE"""),44782.0)</f>
        <v>44782</v>
      </c>
      <c r="C20494" s="6">
        <f>IFERROR(__xludf.DUMMYFUNCTION("""COMPUTED_VALUE"""),0.7108101851845277)</f>
        <v>0.7108101852</v>
      </c>
      <c r="D20494" s="4">
        <f>IFERROR(__xludf.DUMMYFUNCTION("""COMPUTED_VALUE"""),12.930771)</f>
        <v>12.930771</v>
      </c>
      <c r="E20494" s="4">
        <f>IFERROR(__xludf.DUMMYFUNCTION("""COMPUTED_VALUE"""),80.121794)</f>
        <v>80.121794</v>
      </c>
      <c r="F20494" s="4">
        <f>IFERROR(__xludf.DUMMYFUNCTION("""COMPUTED_VALUE"""),3143.0)</f>
        <v>3143</v>
      </c>
      <c r="G20494" s="4">
        <f>IFERROR(__xludf.DUMMYFUNCTION("""COMPUTED_VALUE"""),0.0)</f>
        <v>0</v>
      </c>
      <c r="H20494" s="4"/>
      <c r="I20494" s="4"/>
    </row>
    <row r="20495">
      <c r="A20495" s="4" t="str">
        <f>IFERROR(__xludf.DUMMYFUNCTION("""COMPUTED_VALUE"""),"cas_hmw")</f>
        <v>cas_hmw</v>
      </c>
      <c r="B20495" s="5">
        <f>IFERROR(__xludf.DUMMYFUNCTION("""COMPUTED_VALUE"""),44782.0)</f>
        <v>44782</v>
      </c>
      <c r="C20495" s="6">
        <f>IFERROR(__xludf.DUMMYFUNCTION("""COMPUTED_VALUE"""),0.710902777776937)</f>
        <v>0.7109027778</v>
      </c>
      <c r="D20495" s="4">
        <f>IFERROR(__xludf.DUMMYFUNCTION("""COMPUTED_VALUE"""),12.931015)</f>
        <v>12.931015</v>
      </c>
      <c r="E20495" s="4">
        <f>IFERROR(__xludf.DUMMYFUNCTION("""COMPUTED_VALUE"""),80.122081)</f>
        <v>80.122081</v>
      </c>
      <c r="F20495" s="4">
        <f>IFERROR(__xludf.DUMMYFUNCTION("""COMPUTED_VALUE"""),3143.0)</f>
        <v>3143</v>
      </c>
      <c r="G20495" s="4">
        <f>IFERROR(__xludf.DUMMYFUNCTION("""COMPUTED_VALUE"""),17.0)</f>
        <v>17</v>
      </c>
      <c r="H20495" s="4"/>
      <c r="I20495" s="4"/>
    </row>
    <row r="20496">
      <c r="A20496" s="4" t="str">
        <f>IFERROR(__xludf.DUMMYFUNCTION("""COMPUTED_VALUE"""),"cas_hmw")</f>
        <v>cas_hmw</v>
      </c>
      <c r="B20496" s="5">
        <f>IFERROR(__xludf.DUMMYFUNCTION("""COMPUTED_VALUE"""),44782.0)</f>
        <v>44782</v>
      </c>
      <c r="C20496" s="6">
        <f>IFERROR(__xludf.DUMMYFUNCTION("""COMPUTED_VALUE"""),0.7110532407423307)</f>
        <v>0.7110532407</v>
      </c>
      <c r="D20496" s="4">
        <f>IFERROR(__xludf.DUMMYFUNCTION("""COMPUTED_VALUE"""),12.987614)</f>
        <v>12.987614</v>
      </c>
      <c r="E20496" s="4">
        <f>IFERROR(__xludf.DUMMYFUNCTION("""COMPUTED_VALUE"""),80.176326)</f>
        <v>80.176326</v>
      </c>
      <c r="F20496" s="4">
        <f>IFERROR(__xludf.DUMMYFUNCTION("""COMPUTED_VALUE"""),5339.0)</f>
        <v>5339</v>
      </c>
      <c r="G20496" s="4">
        <f>IFERROR(__xludf.DUMMYFUNCTION("""COMPUTED_VALUE"""),46.0)</f>
        <v>46</v>
      </c>
      <c r="H20496" s="4"/>
      <c r="I20496" s="4"/>
    </row>
    <row r="20497">
      <c r="A20497" s="4" t="str">
        <f>IFERROR(__xludf.DUMMYFUNCTION("""COMPUTED_VALUE"""),"cas_hmw")</f>
        <v>cas_hmw</v>
      </c>
      <c r="B20497" s="5">
        <f>IFERROR(__xludf.DUMMYFUNCTION("""COMPUTED_VALUE"""),44782.0)</f>
        <v>44782</v>
      </c>
      <c r="C20497" s="6">
        <f>IFERROR(__xludf.DUMMYFUNCTION("""COMPUTED_VALUE"""),0.7114467592582514)</f>
        <v>0.7114467593</v>
      </c>
      <c r="D20497" s="4">
        <f>IFERROR(__xludf.DUMMYFUNCTION("""COMPUTED_VALUE"""),12.986425)</f>
        <v>12.986425</v>
      </c>
      <c r="E20497" s="4">
        <f>IFERROR(__xludf.DUMMYFUNCTION("""COMPUTED_VALUE"""),80.174585)</f>
        <v>80.174585</v>
      </c>
      <c r="F20497" s="4">
        <f>IFERROR(__xludf.DUMMYFUNCTION("""COMPUTED_VALUE"""),805.0)</f>
        <v>805</v>
      </c>
      <c r="G20497" s="4">
        <f>IFERROR(__xludf.DUMMYFUNCTION("""COMPUTED_VALUE"""),0.0)</f>
        <v>0</v>
      </c>
      <c r="H20497" s="4"/>
      <c r="I20497" s="4"/>
    </row>
    <row r="20498">
      <c r="A20498" s="4" t="str">
        <f>IFERROR(__xludf.DUMMYFUNCTION("""COMPUTED_VALUE"""),"cas_hmw")</f>
        <v>cas_hmw</v>
      </c>
      <c r="B20498" s="5">
        <f>IFERROR(__xludf.DUMMYFUNCTION("""COMPUTED_VALUE"""),44782.0)</f>
        <v>44782</v>
      </c>
      <c r="C20498" s="6">
        <f>IFERROR(__xludf.DUMMYFUNCTION("""COMPUTED_VALUE"""),0.7115740740737238)</f>
        <v>0.7115740741</v>
      </c>
      <c r="D20498" s="4">
        <f>IFERROR(__xludf.DUMMYFUNCTION("""COMPUTED_VALUE"""),12.98674)</f>
        <v>12.98674</v>
      </c>
      <c r="E20498" s="4">
        <f>IFERROR(__xludf.DUMMYFUNCTION("""COMPUTED_VALUE"""),80.175045)</f>
        <v>80.175045</v>
      </c>
      <c r="F20498" s="4">
        <f>IFERROR(__xludf.DUMMYFUNCTION("""COMPUTED_VALUE"""),805.0)</f>
        <v>805</v>
      </c>
      <c r="G20498" s="4">
        <f>IFERROR(__xludf.DUMMYFUNCTION("""COMPUTED_VALUE"""),32.0)</f>
        <v>32</v>
      </c>
      <c r="H20498" s="4"/>
      <c r="I20498" s="4"/>
    </row>
    <row r="20499">
      <c r="A20499" s="4" t="str">
        <f>IFERROR(__xludf.DUMMYFUNCTION("""COMPUTED_VALUE"""),"cas_hmw")</f>
        <v>cas_hmw</v>
      </c>
      <c r="B20499" s="5">
        <f>IFERROR(__xludf.DUMMYFUNCTION("""COMPUTED_VALUE"""),44782.0)</f>
        <v>44782</v>
      </c>
      <c r="C20499" s="6">
        <f>IFERROR(__xludf.DUMMYFUNCTION("""COMPUTED_VALUE"""),0.7117708333316841)</f>
        <v>0.7117708333</v>
      </c>
      <c r="D20499" s="4">
        <f>IFERROR(__xludf.DUMMYFUNCTION("""COMPUTED_VALUE"""),12.989875)</f>
        <v>12.989875</v>
      </c>
      <c r="E20499" s="4">
        <f>IFERROR(__xludf.DUMMYFUNCTION("""COMPUTED_VALUE"""),80.17925)</f>
        <v>80.17925</v>
      </c>
      <c r="F20499" s="4">
        <f>IFERROR(__xludf.DUMMYFUNCTION("""COMPUTED_VALUE"""),5339.0)</f>
        <v>5339</v>
      </c>
      <c r="G20499" s="4">
        <f>IFERROR(__xludf.DUMMYFUNCTION("""COMPUTED_VALUE"""),32.0)</f>
        <v>32</v>
      </c>
      <c r="H20499" s="4"/>
      <c r="I20499" s="4"/>
    </row>
    <row r="20500">
      <c r="A20500" s="4" t="str">
        <f>IFERROR(__xludf.DUMMYFUNCTION("""COMPUTED_VALUE"""),"cas_hmw")</f>
        <v>cas_hmw</v>
      </c>
      <c r="B20500" s="5">
        <f>IFERROR(__xludf.DUMMYFUNCTION("""COMPUTED_VALUE"""),44782.0)</f>
        <v>44782</v>
      </c>
      <c r="C20500" s="6">
        <f>IFERROR(__xludf.DUMMYFUNCTION("""COMPUTED_VALUE"""),0.7118634259277314)</f>
        <v>0.7118634259</v>
      </c>
      <c r="D20500" s="4">
        <f>IFERROR(__xludf.DUMMYFUNCTION("""COMPUTED_VALUE"""),12.988987)</f>
        <v>12.988987</v>
      </c>
      <c r="E20500" s="4">
        <f>IFERROR(__xludf.DUMMYFUNCTION("""COMPUTED_VALUE"""),80.178115)</f>
        <v>80.178115</v>
      </c>
      <c r="F20500" s="4">
        <f>IFERROR(__xludf.DUMMYFUNCTION("""COMPUTED_VALUE"""),805.0)</f>
        <v>805</v>
      </c>
      <c r="G20500" s="4">
        <f>IFERROR(__xludf.DUMMYFUNCTION("""COMPUTED_VALUE"""),54.0)</f>
        <v>54</v>
      </c>
      <c r="H20500" s="4"/>
      <c r="I20500" s="4"/>
    </row>
    <row r="20501">
      <c r="A20501" s="4" t="str">
        <f>IFERROR(__xludf.DUMMYFUNCTION("""COMPUTED_VALUE"""),"cas_hmw")</f>
        <v>cas_hmw</v>
      </c>
      <c r="B20501" s="5">
        <f>IFERROR(__xludf.DUMMYFUNCTION("""COMPUTED_VALUE"""),44782.0)</f>
        <v>44782</v>
      </c>
      <c r="C20501" s="6">
        <f>IFERROR(__xludf.DUMMYFUNCTION("""COMPUTED_VALUE"""),0.7118981481471565)</f>
        <v>0.7118981481</v>
      </c>
      <c r="D20501" s="4">
        <f>IFERROR(__xludf.DUMMYFUNCTION("""COMPUTED_VALUE"""),12.990457)</f>
        <v>12.990457</v>
      </c>
      <c r="E20501" s="4">
        <f>IFERROR(__xludf.DUMMYFUNCTION("""COMPUTED_VALUE"""),80.180002)</f>
        <v>80.180002</v>
      </c>
      <c r="F20501" s="4">
        <f>IFERROR(__xludf.DUMMYFUNCTION("""COMPUTED_VALUE"""),5339.0)</f>
        <v>5339</v>
      </c>
      <c r="G20501" s="4">
        <f>IFERROR(__xludf.DUMMYFUNCTION("""COMPUTED_VALUE"""),39.0)</f>
        <v>39</v>
      </c>
      <c r="H20501" s="4"/>
      <c r="I20501" s="4"/>
    </row>
    <row r="20502">
      <c r="A20502" s="4" t="str">
        <f>IFERROR(__xludf.DUMMYFUNCTION("""COMPUTED_VALUE"""),"cas_hmw")</f>
        <v>cas_hmw</v>
      </c>
      <c r="B20502" s="5">
        <f>IFERROR(__xludf.DUMMYFUNCTION("""COMPUTED_VALUE"""),44782.0)</f>
        <v>44782</v>
      </c>
      <c r="C20502" s="6">
        <f>IFERROR(__xludf.DUMMYFUNCTION("""COMPUTED_VALUE"""),0.7121990740743058)</f>
        <v>0.7121990741</v>
      </c>
      <c r="D20502" s="4">
        <f>IFERROR(__xludf.DUMMYFUNCTION("""COMPUTED_VALUE"""),12.990323)</f>
        <v>12.990323</v>
      </c>
      <c r="E20502" s="4">
        <f>IFERROR(__xludf.DUMMYFUNCTION("""COMPUTED_VALUE"""),80.17989)</f>
        <v>80.17989</v>
      </c>
      <c r="F20502" s="4">
        <f>IFERROR(__xludf.DUMMYFUNCTION("""COMPUTED_VALUE"""),805.0)</f>
        <v>805</v>
      </c>
      <c r="G20502" s="4">
        <f>IFERROR(__xludf.DUMMYFUNCTION("""COMPUTED_VALUE"""),62.0)</f>
        <v>62</v>
      </c>
      <c r="H20502" s="4"/>
      <c r="I20502" s="4"/>
    </row>
    <row r="20503">
      <c r="A20503" s="4" t="str">
        <f>IFERROR(__xludf.DUMMYFUNCTION("""COMPUTED_VALUE"""),"cas_hmw")</f>
        <v>cas_hmw</v>
      </c>
      <c r="B20503" s="5">
        <f>IFERROR(__xludf.DUMMYFUNCTION("""COMPUTED_VALUE"""),44782.0)</f>
        <v>44782</v>
      </c>
      <c r="C20503" s="6">
        <f>IFERROR(__xludf.DUMMYFUNCTION("""COMPUTED_VALUE"""),0.7122453703705105)</f>
        <v>0.7122453704</v>
      </c>
      <c r="D20503" s="4">
        <f>IFERROR(__xludf.DUMMYFUNCTION("""COMPUTED_VALUE"""),12.935746)</f>
        <v>12.935746</v>
      </c>
      <c r="E20503" s="4">
        <f>IFERROR(__xludf.DUMMYFUNCTION("""COMPUTED_VALUE"""),80.126576)</f>
        <v>80.126576</v>
      </c>
      <c r="F20503" s="4">
        <f>IFERROR(__xludf.DUMMYFUNCTION("""COMPUTED_VALUE"""),3143.0)</f>
        <v>3143</v>
      </c>
      <c r="G20503" s="4">
        <f>IFERROR(__xludf.DUMMYFUNCTION("""COMPUTED_VALUE"""),0.0)</f>
        <v>0</v>
      </c>
      <c r="H20503" s="4"/>
      <c r="I20503" s="4"/>
    </row>
    <row r="20504">
      <c r="A20504" s="4" t="str">
        <f>IFERROR(__xludf.DUMMYFUNCTION("""COMPUTED_VALUE"""),"cas_hmw")</f>
        <v>cas_hmw</v>
      </c>
      <c r="B20504" s="5">
        <f>IFERROR(__xludf.DUMMYFUNCTION("""COMPUTED_VALUE"""),44782.0)</f>
        <v>44782</v>
      </c>
      <c r="C20504" s="6">
        <f>IFERROR(__xludf.DUMMYFUNCTION("""COMPUTED_VALUE"""),0.7123032407398568)</f>
        <v>0.7123032407</v>
      </c>
      <c r="D20504" s="4">
        <f>IFERROR(__xludf.DUMMYFUNCTION("""COMPUTED_VALUE"""),12.935746)</f>
        <v>12.935746</v>
      </c>
      <c r="E20504" s="4">
        <f>IFERROR(__xludf.DUMMYFUNCTION("""COMPUTED_VALUE"""),80.126576)</f>
        <v>80.126576</v>
      </c>
      <c r="F20504" s="4">
        <f>IFERROR(__xludf.DUMMYFUNCTION("""COMPUTED_VALUE"""),3143.0)</f>
        <v>3143</v>
      </c>
      <c r="G20504" s="4">
        <f>IFERROR(__xludf.DUMMYFUNCTION("""COMPUTED_VALUE"""),0.0)</f>
        <v>0</v>
      </c>
      <c r="H20504" s="4"/>
      <c r="I20504" s="4"/>
    </row>
    <row r="20505">
      <c r="A20505" s="4" t="str">
        <f>IFERROR(__xludf.DUMMYFUNCTION("""COMPUTED_VALUE"""),"cas_hmw")</f>
        <v>cas_hmw</v>
      </c>
      <c r="B20505" s="5">
        <f>IFERROR(__xludf.DUMMYFUNCTION("""COMPUTED_VALUE"""),44782.0)</f>
        <v>44782</v>
      </c>
      <c r="C20505" s="6">
        <f>IFERROR(__xludf.DUMMYFUNCTION("""COMPUTED_VALUE"""),0.7123958333322662)</f>
        <v>0.7123958333</v>
      </c>
      <c r="D20505" s="4">
        <f>IFERROR(__xludf.DUMMYFUNCTION("""COMPUTED_VALUE"""),12.935963)</f>
        <v>12.935963</v>
      </c>
      <c r="E20505" s="4">
        <f>IFERROR(__xludf.DUMMYFUNCTION("""COMPUTED_VALUE"""),80.126825)</f>
        <v>80.126825</v>
      </c>
      <c r="F20505" s="4">
        <f>IFERROR(__xludf.DUMMYFUNCTION("""COMPUTED_VALUE"""),3143.0)</f>
        <v>3143</v>
      </c>
      <c r="G20505" s="4">
        <f>IFERROR(__xludf.DUMMYFUNCTION("""COMPUTED_VALUE"""),15.0)</f>
        <v>15</v>
      </c>
      <c r="H20505" s="4"/>
      <c r="I20505" s="4"/>
    </row>
    <row r="20506">
      <c r="A20506" s="4" t="str">
        <f>IFERROR(__xludf.DUMMYFUNCTION("""COMPUTED_VALUE"""),"cas_hmw")</f>
        <v>cas_hmw</v>
      </c>
      <c r="B20506" s="5">
        <f>IFERROR(__xludf.DUMMYFUNCTION("""COMPUTED_VALUE"""),44782.0)</f>
        <v>44782</v>
      </c>
      <c r="C20506" s="6">
        <f>IFERROR(__xludf.DUMMYFUNCTION("""COMPUTED_VALUE"""),0.7128356481480296)</f>
        <v>0.7128356481</v>
      </c>
      <c r="D20506" s="4">
        <f>IFERROR(__xludf.DUMMYFUNCTION("""COMPUTED_VALUE"""),12.937973)</f>
        <v>12.937973</v>
      </c>
      <c r="E20506" s="4">
        <f>IFERROR(__xludf.DUMMYFUNCTION("""COMPUTED_VALUE"""),80.12865)</f>
        <v>80.12865</v>
      </c>
      <c r="F20506" s="4">
        <f>IFERROR(__xludf.DUMMYFUNCTION("""COMPUTED_VALUE"""),3143.0)</f>
        <v>3143</v>
      </c>
      <c r="G20506" s="4">
        <f>IFERROR(__xludf.DUMMYFUNCTION("""COMPUTED_VALUE"""),52.0)</f>
        <v>52</v>
      </c>
      <c r="H20506" s="4"/>
      <c r="I20506" s="4"/>
    </row>
    <row r="20507">
      <c r="A20507" s="4" t="str">
        <f>IFERROR(__xludf.DUMMYFUNCTION("""COMPUTED_VALUE"""),"cas_hmw")</f>
        <v>cas_hmw</v>
      </c>
      <c r="B20507" s="5">
        <f>IFERROR(__xludf.DUMMYFUNCTION("""COMPUTED_VALUE"""),44782.0)</f>
        <v>44782</v>
      </c>
      <c r="C20507" s="6">
        <f>IFERROR(__xludf.DUMMYFUNCTION("""COMPUTED_VALUE"""),0.7132870370369346)</f>
        <v>0.713287037</v>
      </c>
      <c r="D20507" s="4">
        <f>IFERROR(__xludf.DUMMYFUNCTION("""COMPUTED_VALUE"""),12.941365)</f>
        <v>12.941365</v>
      </c>
      <c r="E20507" s="4">
        <f>IFERROR(__xludf.DUMMYFUNCTION("""COMPUTED_VALUE"""),80.131871)</f>
        <v>80.131871</v>
      </c>
      <c r="F20507" s="4">
        <f>IFERROR(__xludf.DUMMYFUNCTION("""COMPUTED_VALUE"""),3143.0)</f>
        <v>3143</v>
      </c>
      <c r="G20507" s="4">
        <f>IFERROR(__xludf.DUMMYFUNCTION("""COMPUTED_VALUE"""),58.0)</f>
        <v>58</v>
      </c>
      <c r="H20507" s="4"/>
      <c r="I20507" s="4"/>
    </row>
    <row r="20508">
      <c r="A20508" s="4" t="str">
        <f>IFERROR(__xludf.DUMMYFUNCTION("""COMPUTED_VALUE"""),"cas_hmw")</f>
        <v>cas_hmw</v>
      </c>
      <c r="B20508" s="5">
        <f>IFERROR(__xludf.DUMMYFUNCTION("""COMPUTED_VALUE"""),44782.0)</f>
        <v>44782</v>
      </c>
      <c r="C20508" s="6">
        <f>IFERROR(__xludf.DUMMYFUNCTION("""COMPUTED_VALUE"""),0.7133564814830606)</f>
        <v>0.7133564815</v>
      </c>
      <c r="D20508" s="4">
        <f>IFERROR(__xludf.DUMMYFUNCTION("""COMPUTED_VALUE"""),12.94294)</f>
        <v>12.94294</v>
      </c>
      <c r="E20508" s="4">
        <f>IFERROR(__xludf.DUMMYFUNCTION("""COMPUTED_VALUE"""),80.133493)</f>
        <v>80.133493</v>
      </c>
      <c r="F20508" s="4">
        <f>IFERROR(__xludf.DUMMYFUNCTION("""COMPUTED_VALUE"""),3143.0)</f>
        <v>3143</v>
      </c>
      <c r="G20508" s="4">
        <f>IFERROR(__xludf.DUMMYFUNCTION("""COMPUTED_VALUE"""),49.0)</f>
        <v>49</v>
      </c>
      <c r="H20508" s="4"/>
      <c r="I20508" s="4"/>
    </row>
    <row r="20509">
      <c r="A20509" s="4" t="str">
        <f>IFERROR(__xludf.DUMMYFUNCTION("""COMPUTED_VALUE"""),"cas_hmw")</f>
        <v>cas_hmw</v>
      </c>
      <c r="B20509" s="5">
        <f>IFERROR(__xludf.DUMMYFUNCTION("""COMPUTED_VALUE"""),44782.0)</f>
        <v>44782</v>
      </c>
      <c r="C20509" s="6">
        <f>IFERROR(__xludf.DUMMYFUNCTION("""COMPUTED_VALUE"""),0.7134722222217533)</f>
        <v>0.7134722222</v>
      </c>
      <c r="D20509" s="4">
        <f>IFERROR(__xludf.DUMMYFUNCTION("""COMPUTED_VALUE"""),12.99797)</f>
        <v>12.99797</v>
      </c>
      <c r="E20509" s="4">
        <f>IFERROR(__xludf.DUMMYFUNCTION("""COMPUTED_VALUE"""),80.191535)</f>
        <v>80.191535</v>
      </c>
      <c r="F20509" s="4">
        <f>IFERROR(__xludf.DUMMYFUNCTION("""COMPUTED_VALUE"""),5339.0)</f>
        <v>5339</v>
      </c>
      <c r="G20509" s="4">
        <f>IFERROR(__xludf.DUMMYFUNCTION("""COMPUTED_VALUE"""),46.0)</f>
        <v>46</v>
      </c>
      <c r="H20509" s="4"/>
      <c r="I20509" s="4"/>
    </row>
    <row r="20510">
      <c r="A20510" s="4" t="str">
        <f>IFERROR(__xludf.DUMMYFUNCTION("""COMPUTED_VALUE"""),"cas_hmw")</f>
        <v>cas_hmw</v>
      </c>
      <c r="B20510" s="5">
        <f>IFERROR(__xludf.DUMMYFUNCTION("""COMPUTED_VALUE"""),44782.0)</f>
        <v>44782</v>
      </c>
      <c r="C20510" s="6">
        <f>IFERROR(__xludf.DUMMYFUNCTION("""COMPUTED_VALUE"""),0.7139814814800047)</f>
        <v>0.7139814815</v>
      </c>
      <c r="D20510" s="4">
        <f>IFERROR(__xludf.DUMMYFUNCTION("""COMPUTED_VALUE"""),12.996239)</f>
        <v>12.996239</v>
      </c>
      <c r="E20510" s="4">
        <f>IFERROR(__xludf.DUMMYFUNCTION("""COMPUTED_VALUE"""),80.18936)</f>
        <v>80.18936</v>
      </c>
      <c r="F20510" s="4">
        <f>IFERROR(__xludf.DUMMYFUNCTION("""COMPUTED_VALUE"""),805.0)</f>
        <v>805</v>
      </c>
      <c r="G20510" s="4">
        <f>IFERROR(__xludf.DUMMYFUNCTION("""COMPUTED_VALUE"""),17.0)</f>
        <v>17</v>
      </c>
      <c r="H20510" s="4"/>
      <c r="I20510" s="4"/>
    </row>
    <row r="20511">
      <c r="A20511" s="4" t="str">
        <f>IFERROR(__xludf.DUMMYFUNCTION("""COMPUTED_VALUE"""),"cas_hmw")</f>
        <v>cas_hmw</v>
      </c>
      <c r="B20511" s="5">
        <f>IFERROR(__xludf.DUMMYFUNCTION("""COMPUTED_VALUE"""),44782.0)</f>
        <v>44782</v>
      </c>
      <c r="C20511" s="6">
        <f>IFERROR(__xludf.DUMMYFUNCTION("""COMPUTED_VALUE"""),0.7142245370378077)</f>
        <v>0.714224537</v>
      </c>
      <c r="D20511" s="4">
        <f>IFERROR(__xludf.DUMMYFUNCTION("""COMPUTED_VALUE"""),12.998218)</f>
        <v>12.998218</v>
      </c>
      <c r="E20511" s="4">
        <f>IFERROR(__xludf.DUMMYFUNCTION("""COMPUTED_VALUE"""),80.191801)</f>
        <v>80.191801</v>
      </c>
      <c r="F20511" s="4">
        <f>IFERROR(__xludf.DUMMYFUNCTION("""COMPUTED_VALUE"""),805.0)</f>
        <v>805</v>
      </c>
      <c r="G20511" s="4">
        <f>IFERROR(__xludf.DUMMYFUNCTION("""COMPUTED_VALUE"""),46.0)</f>
        <v>46</v>
      </c>
      <c r="H20511" s="4"/>
      <c r="I20511" s="4"/>
    </row>
    <row r="20512">
      <c r="A20512" s="4" t="str">
        <f>IFERROR(__xludf.DUMMYFUNCTION("""COMPUTED_VALUE"""),"cas_hmw")</f>
        <v>cas_hmw</v>
      </c>
      <c r="B20512" s="5">
        <f>IFERROR(__xludf.DUMMYFUNCTION("""COMPUTED_VALUE"""),44782.0)</f>
        <v>44782</v>
      </c>
      <c r="C20512" s="6">
        <f>IFERROR(__xludf.DUMMYFUNCTION("""COMPUTED_VALUE"""),0.7142939814802958)</f>
        <v>0.7142939815</v>
      </c>
      <c r="D20512" s="4">
        <f>IFERROR(__xludf.DUMMYFUNCTION("""COMPUTED_VALUE"""),12.998218)</f>
        <v>12.998218</v>
      </c>
      <c r="E20512" s="4">
        <f>IFERROR(__xludf.DUMMYFUNCTION("""COMPUTED_VALUE"""),80.191801)</f>
        <v>80.191801</v>
      </c>
      <c r="F20512" s="4">
        <f>IFERROR(__xludf.DUMMYFUNCTION("""COMPUTED_VALUE"""),805.0)</f>
        <v>805</v>
      </c>
      <c r="G20512" s="4">
        <f>IFERROR(__xludf.DUMMYFUNCTION("""COMPUTED_VALUE"""),46.0)</f>
        <v>46</v>
      </c>
      <c r="H20512" s="4"/>
      <c r="I20512" s="4"/>
    </row>
    <row r="20513">
      <c r="A20513" s="4" t="str">
        <f>IFERROR(__xludf.DUMMYFUNCTION("""COMPUTED_VALUE"""),"cas_hmw")</f>
        <v>cas_hmw</v>
      </c>
      <c r="B20513" s="5">
        <f>IFERROR(__xludf.DUMMYFUNCTION("""COMPUTED_VALUE"""),44782.0)</f>
        <v>44782</v>
      </c>
      <c r="C20513" s="6">
        <f>IFERROR(__xludf.DUMMYFUNCTION("""COMPUTED_VALUE"""),0.7148495370383898)</f>
        <v>0.714849537</v>
      </c>
      <c r="D20513" s="4">
        <f>IFERROR(__xludf.DUMMYFUNCTION("""COMPUTED_VALUE"""),13.000896)</f>
        <v>13.000896</v>
      </c>
      <c r="E20513" s="4">
        <f>IFERROR(__xludf.DUMMYFUNCTION("""COMPUTED_VALUE"""),80.195154)</f>
        <v>80.195154</v>
      </c>
      <c r="F20513" s="4">
        <f>IFERROR(__xludf.DUMMYFUNCTION("""COMPUTED_VALUE"""),805.0)</f>
        <v>805</v>
      </c>
      <c r="G20513" s="4">
        <f>IFERROR(__xludf.DUMMYFUNCTION("""COMPUTED_VALUE"""),15.0)</f>
        <v>15</v>
      </c>
      <c r="H20513" s="4"/>
      <c r="I20513" s="4"/>
    </row>
    <row r="20514">
      <c r="A20514" s="4" t="str">
        <f>IFERROR(__xludf.DUMMYFUNCTION("""COMPUTED_VALUE"""),"cas_hmw")</f>
        <v>cas_hmw</v>
      </c>
      <c r="B20514" s="5">
        <f>IFERROR(__xludf.DUMMYFUNCTION("""COMPUTED_VALUE"""),44782.0)</f>
        <v>44782</v>
      </c>
      <c r="C20514" s="6">
        <f>IFERROR(__xludf.DUMMYFUNCTION("""COMPUTED_VALUE"""),0.7148611111115315)</f>
        <v>0.7148611111</v>
      </c>
      <c r="D20514" s="4">
        <f>IFERROR(__xludf.DUMMYFUNCTION("""COMPUTED_VALUE"""),13.000896)</f>
        <v>13.000896</v>
      </c>
      <c r="E20514" s="4">
        <f>IFERROR(__xludf.DUMMYFUNCTION("""COMPUTED_VALUE"""),80.195154)</f>
        <v>80.195154</v>
      </c>
      <c r="F20514" s="4">
        <f>IFERROR(__xludf.DUMMYFUNCTION("""COMPUTED_VALUE"""),805.0)</f>
        <v>805</v>
      </c>
      <c r="G20514" s="4">
        <f>IFERROR(__xludf.DUMMYFUNCTION("""COMPUTED_VALUE"""),15.0)</f>
        <v>15</v>
      </c>
      <c r="H20514" s="4"/>
      <c r="I20514" s="4"/>
    </row>
    <row r="20515">
      <c r="A20515" s="4" t="str">
        <f>IFERROR(__xludf.DUMMYFUNCTION("""COMPUTED_VALUE"""),"cas_hmw")</f>
        <v>cas_hmw</v>
      </c>
      <c r="B20515" s="5">
        <f>IFERROR(__xludf.DUMMYFUNCTION("""COMPUTED_VALUE"""),44782.0)</f>
        <v>44782</v>
      </c>
      <c r="C20515" s="6">
        <f>IFERROR(__xludf.DUMMYFUNCTION("""COMPUTED_VALUE"""),0.7148958333345945)</f>
        <v>0.7148958333</v>
      </c>
      <c r="D20515" s="4">
        <f>IFERROR(__xludf.DUMMYFUNCTION("""COMPUTED_VALUE"""),13.000896)</f>
        <v>13.000896</v>
      </c>
      <c r="E20515" s="4">
        <f>IFERROR(__xludf.DUMMYFUNCTION("""COMPUTED_VALUE"""),80.195154)</f>
        <v>80.195154</v>
      </c>
      <c r="F20515" s="4">
        <f>IFERROR(__xludf.DUMMYFUNCTION("""COMPUTED_VALUE"""),805.0)</f>
        <v>805</v>
      </c>
      <c r="G20515" s="4">
        <f>IFERROR(__xludf.DUMMYFUNCTION("""COMPUTED_VALUE"""),15.0)</f>
        <v>15</v>
      </c>
      <c r="H20515" s="4"/>
      <c r="I20515" s="4"/>
    </row>
    <row r="20516">
      <c r="A20516" s="4" t="str">
        <f>IFERROR(__xludf.DUMMYFUNCTION("""COMPUTED_VALUE"""),"cas_hmw")</f>
        <v>cas_hmw</v>
      </c>
      <c r="B20516" s="5">
        <f>IFERROR(__xludf.DUMMYFUNCTION("""COMPUTED_VALUE"""),44782.0)</f>
        <v>44782</v>
      </c>
      <c r="C20516" s="6">
        <f>IFERROR(__xludf.DUMMYFUNCTION("""COMPUTED_VALUE"""),0.7150231481464289)</f>
        <v>0.7150231481</v>
      </c>
      <c r="D20516" s="4">
        <f>IFERROR(__xludf.DUMMYFUNCTION("""COMPUTED_VALUE"""),12.951308)</f>
        <v>12.951308</v>
      </c>
      <c r="E20516" s="4">
        <f>IFERROR(__xludf.DUMMYFUNCTION("""COMPUTED_VALUE"""),80.140111)</f>
        <v>80.140111</v>
      </c>
      <c r="F20516" s="4">
        <f>IFERROR(__xludf.DUMMYFUNCTION("""COMPUTED_VALUE"""),3143.0)</f>
        <v>3143</v>
      </c>
      <c r="G20516" s="4">
        <f>IFERROR(__xludf.DUMMYFUNCTION("""COMPUTED_VALUE"""),38.0)</f>
        <v>38</v>
      </c>
      <c r="H20516" s="4"/>
      <c r="I20516" s="4"/>
    </row>
    <row r="20517">
      <c r="A20517" s="4" t="str">
        <f>IFERROR(__xludf.DUMMYFUNCTION("""COMPUTED_VALUE"""),"cas_hmw")</f>
        <v>cas_hmw</v>
      </c>
      <c r="B20517" s="5">
        <f>IFERROR(__xludf.DUMMYFUNCTION("""COMPUTED_VALUE"""),44782.0)</f>
        <v>44782</v>
      </c>
      <c r="C20517" s="6">
        <f>IFERROR(__xludf.DUMMYFUNCTION("""COMPUTED_VALUE"""),0.7150462962963502)</f>
        <v>0.7150462963</v>
      </c>
      <c r="D20517" s="4">
        <f>IFERROR(__xludf.DUMMYFUNCTION("""COMPUTED_VALUE"""),13.001212)</f>
        <v>13.001212</v>
      </c>
      <c r="E20517" s="4">
        <f>IFERROR(__xludf.DUMMYFUNCTION("""COMPUTED_VALUE"""),80.195572)</f>
        <v>80.195572</v>
      </c>
      <c r="F20517" s="4">
        <f>IFERROR(__xludf.DUMMYFUNCTION("""COMPUTED_VALUE"""),805.0)</f>
        <v>805</v>
      </c>
      <c r="G20517" s="4">
        <f>IFERROR(__xludf.DUMMYFUNCTION("""COMPUTED_VALUE"""),13.0)</f>
        <v>13</v>
      </c>
      <c r="H20517" s="4"/>
      <c r="I20517" s="4"/>
    </row>
    <row r="20518">
      <c r="A20518" s="4" t="str">
        <f>IFERROR(__xludf.DUMMYFUNCTION("""COMPUTED_VALUE"""),"cas_hmw")</f>
        <v>cas_hmw</v>
      </c>
      <c r="B20518" s="5">
        <f>IFERROR(__xludf.DUMMYFUNCTION("""COMPUTED_VALUE"""),44782.0)</f>
        <v>44782</v>
      </c>
      <c r="C20518" s="6">
        <f>IFERROR(__xludf.DUMMYFUNCTION("""COMPUTED_VALUE"""),0.7154861111121136)</f>
        <v>0.7154861111</v>
      </c>
      <c r="D20518" s="4">
        <f>IFERROR(__xludf.DUMMYFUNCTION("""COMPUTED_VALUE"""),13.001816)</f>
        <v>13.001816</v>
      </c>
      <c r="E20518" s="4">
        <f>IFERROR(__xludf.DUMMYFUNCTION("""COMPUTED_VALUE"""),80.199527)</f>
        <v>80.199527</v>
      </c>
      <c r="F20518" s="4">
        <f>IFERROR(__xludf.DUMMYFUNCTION("""COMPUTED_VALUE"""),805.0)</f>
        <v>805</v>
      </c>
      <c r="G20518" s="4">
        <f>IFERROR(__xludf.DUMMYFUNCTION("""COMPUTED_VALUE"""),36.0)</f>
        <v>36</v>
      </c>
      <c r="H20518" s="4"/>
      <c r="I20518" s="4"/>
    </row>
    <row r="20519">
      <c r="A20519" s="4" t="str">
        <f>IFERROR(__xludf.DUMMYFUNCTION("""COMPUTED_VALUE"""),"cas_hmw")</f>
        <v>cas_hmw</v>
      </c>
      <c r="B20519" s="5">
        <f>IFERROR(__xludf.DUMMYFUNCTION("""COMPUTED_VALUE"""),44782.0)</f>
        <v>44782</v>
      </c>
      <c r="C20519" s="6">
        <f>IFERROR(__xludf.DUMMYFUNCTION("""COMPUTED_VALUE"""),0.7156597222237906)</f>
        <v>0.7156597222</v>
      </c>
      <c r="D20519" s="4">
        <f>IFERROR(__xludf.DUMMYFUNCTION("""COMPUTED_VALUE"""),13.006736)</f>
        <v>13.006736</v>
      </c>
      <c r="E20519" s="4">
        <f>IFERROR(__xludf.DUMMYFUNCTION("""COMPUTED_VALUE"""),80.203324)</f>
        <v>80.203324</v>
      </c>
      <c r="F20519" s="4">
        <f>IFERROR(__xludf.DUMMYFUNCTION("""COMPUTED_VALUE"""),5339.0)</f>
        <v>5339</v>
      </c>
      <c r="G20519" s="4">
        <f>IFERROR(__xludf.DUMMYFUNCTION("""COMPUTED_VALUE"""),44.0)</f>
        <v>44</v>
      </c>
      <c r="H20519" s="4"/>
      <c r="I20519" s="4"/>
    </row>
    <row r="20520">
      <c r="A20520" s="4" t="str">
        <f>IFERROR(__xludf.DUMMYFUNCTION("""COMPUTED_VALUE"""),"cas_hmw")</f>
        <v>cas_hmw</v>
      </c>
      <c r="B20520" s="5">
        <f>IFERROR(__xludf.DUMMYFUNCTION("""COMPUTED_VALUE"""),44782.0)</f>
        <v>44782</v>
      </c>
      <c r="C20520" s="6">
        <f>IFERROR(__xludf.DUMMYFUNCTION("""COMPUTED_VALUE"""),0.7156828703700739)</f>
        <v>0.7156828704</v>
      </c>
      <c r="D20520" s="4">
        <f>IFERROR(__xludf.DUMMYFUNCTION("""COMPUTED_VALUE"""),13.002762)</f>
        <v>13.002762</v>
      </c>
      <c r="E20520" s="4">
        <f>IFERROR(__xludf.DUMMYFUNCTION("""COMPUTED_VALUE"""),80.200622)</f>
        <v>80.200622</v>
      </c>
      <c r="F20520" s="4">
        <f>IFERROR(__xludf.DUMMYFUNCTION("""COMPUTED_VALUE"""),805.0)</f>
        <v>805</v>
      </c>
      <c r="G20520" s="4">
        <f>IFERROR(__xludf.DUMMYFUNCTION("""COMPUTED_VALUE"""),45.0)</f>
        <v>45</v>
      </c>
      <c r="H20520" s="4"/>
      <c r="I20520" s="4"/>
    </row>
    <row r="20521">
      <c r="A20521" s="4" t="str">
        <f>IFERROR(__xludf.DUMMYFUNCTION("""COMPUTED_VALUE"""),"cas_hmw")</f>
        <v>cas_hmw</v>
      </c>
      <c r="B20521" s="5">
        <f>IFERROR(__xludf.DUMMYFUNCTION("""COMPUTED_VALUE"""),44782.0)</f>
        <v>44782</v>
      </c>
      <c r="C20521" s="6">
        <f>IFERROR(__xludf.DUMMYFUNCTION("""COMPUTED_VALUE"""),0.7158796296280343)</f>
        <v>0.7158796296</v>
      </c>
      <c r="D20521" s="4">
        <f>IFERROR(__xludf.DUMMYFUNCTION("""COMPUTED_VALUE"""),12.956047)</f>
        <v>12.956047</v>
      </c>
      <c r="E20521" s="4">
        <f>IFERROR(__xludf.DUMMYFUNCTION("""COMPUTED_VALUE"""),80.142923)</f>
        <v>80.142923</v>
      </c>
      <c r="F20521" s="4">
        <f>IFERROR(__xludf.DUMMYFUNCTION("""COMPUTED_VALUE"""),3143.0)</f>
        <v>3143</v>
      </c>
      <c r="G20521" s="4">
        <f>IFERROR(__xludf.DUMMYFUNCTION("""COMPUTED_VALUE"""),0.0)</f>
        <v>0</v>
      </c>
      <c r="H20521" s="4"/>
      <c r="I20521" s="4"/>
    </row>
    <row r="20522">
      <c r="A20522" s="4" t="str">
        <f>IFERROR(__xludf.DUMMYFUNCTION("""COMPUTED_VALUE"""),"cas_hmw")</f>
        <v>cas_hmw</v>
      </c>
      <c r="B20522" s="5">
        <f>IFERROR(__xludf.DUMMYFUNCTION("""COMPUTED_VALUE"""),44782.0)</f>
        <v>44782</v>
      </c>
      <c r="C20522" s="6">
        <f>IFERROR(__xludf.DUMMYFUNCTION("""COMPUTED_VALUE"""),0.7160185185202863)</f>
        <v>0.7160185185</v>
      </c>
      <c r="D20522" s="4">
        <f>IFERROR(__xludf.DUMMYFUNCTION("""COMPUTED_VALUE"""),12.956047)</f>
        <v>12.956047</v>
      </c>
      <c r="E20522" s="4">
        <f>IFERROR(__xludf.DUMMYFUNCTION("""COMPUTED_VALUE"""),80.142923)</f>
        <v>80.142923</v>
      </c>
      <c r="F20522" s="4">
        <f>IFERROR(__xludf.DUMMYFUNCTION("""COMPUTED_VALUE"""),3143.0)</f>
        <v>3143</v>
      </c>
      <c r="G20522" s="4">
        <f>IFERROR(__xludf.DUMMYFUNCTION("""COMPUTED_VALUE"""),0.0)</f>
        <v>0</v>
      </c>
      <c r="H20522" s="4"/>
      <c r="I20522" s="4"/>
    </row>
    <row r="20523">
      <c r="A20523" s="4" t="str">
        <f>IFERROR(__xludf.DUMMYFUNCTION("""COMPUTED_VALUE"""),"cas_hmw")</f>
        <v>cas_hmw</v>
      </c>
      <c r="B20523" s="5">
        <f>IFERROR(__xludf.DUMMYFUNCTION("""COMPUTED_VALUE"""),44782.0)</f>
        <v>44782</v>
      </c>
      <c r="C20523" s="6">
        <f>IFERROR(__xludf.DUMMYFUNCTION("""COMPUTED_VALUE"""),0.7167013888902147)</f>
        <v>0.7167013889</v>
      </c>
      <c r="D20523" s="4">
        <f>IFERROR(__xludf.DUMMYFUNCTION("""COMPUTED_VALUE"""),13.007643)</f>
        <v>13.007643</v>
      </c>
      <c r="E20523" s="4">
        <f>IFERROR(__xludf.DUMMYFUNCTION("""COMPUTED_VALUE"""),80.204407)</f>
        <v>80.204407</v>
      </c>
      <c r="F20523" s="4">
        <f>IFERROR(__xludf.DUMMYFUNCTION("""COMPUTED_VALUE"""),805.0)</f>
        <v>805</v>
      </c>
      <c r="G20523" s="4">
        <f>IFERROR(__xludf.DUMMYFUNCTION("""COMPUTED_VALUE"""),58.0)</f>
        <v>58</v>
      </c>
      <c r="H20523" s="4"/>
      <c r="I20523" s="4"/>
    </row>
    <row r="20524">
      <c r="A20524" s="4" t="str">
        <f>IFERROR(__xludf.DUMMYFUNCTION("""COMPUTED_VALUE"""),"cas_hmw")</f>
        <v>cas_hmw</v>
      </c>
      <c r="B20524" s="5">
        <f>IFERROR(__xludf.DUMMYFUNCTION("""COMPUTED_VALUE"""),44782.0)</f>
        <v>44782</v>
      </c>
      <c r="C20524" s="6">
        <f>IFERROR(__xludf.DUMMYFUNCTION("""COMPUTED_VALUE"""),0.7169212962980964)</f>
        <v>0.7169212963</v>
      </c>
      <c r="D20524" s="4">
        <f>IFERROR(__xludf.DUMMYFUNCTION("""COMPUTED_VALUE"""),12.960185)</f>
        <v>12.960185</v>
      </c>
      <c r="E20524" s="4">
        <f>IFERROR(__xludf.DUMMYFUNCTION("""COMPUTED_VALUE"""),80.145192)</f>
        <v>80.145192</v>
      </c>
      <c r="F20524" s="4">
        <f>IFERROR(__xludf.DUMMYFUNCTION("""COMPUTED_VALUE"""),3143.0)</f>
        <v>3143</v>
      </c>
      <c r="G20524" s="4">
        <f>IFERROR(__xludf.DUMMYFUNCTION("""COMPUTED_VALUE"""),6.0)</f>
        <v>6</v>
      </c>
      <c r="H20524" s="4"/>
      <c r="I20524" s="4"/>
    </row>
    <row r="20525">
      <c r="A20525" s="4" t="str">
        <f>IFERROR(__xludf.DUMMYFUNCTION("""COMPUTED_VALUE"""),"cas_hmw")</f>
        <v>cas_hmw</v>
      </c>
      <c r="B20525" s="5">
        <f>IFERROR(__xludf.DUMMYFUNCTION("""COMPUTED_VALUE"""),44782.0)</f>
        <v>44782</v>
      </c>
      <c r="C20525" s="6">
        <f>IFERROR(__xludf.DUMMYFUNCTION("""COMPUTED_VALUE"""),0.7170717592598521)</f>
        <v>0.7170717593</v>
      </c>
      <c r="D20525" s="4">
        <f>IFERROR(__xludf.DUMMYFUNCTION("""COMPUTED_VALUE"""),12.960399)</f>
        <v>12.960399</v>
      </c>
      <c r="E20525" s="4">
        <f>IFERROR(__xludf.DUMMYFUNCTION("""COMPUTED_VALUE"""),80.145307)</f>
        <v>80.145307</v>
      </c>
      <c r="F20525" s="4">
        <f>IFERROR(__xludf.DUMMYFUNCTION("""COMPUTED_VALUE"""),3143.0)</f>
        <v>3143</v>
      </c>
      <c r="G20525" s="4">
        <f>IFERROR(__xludf.DUMMYFUNCTION("""COMPUTED_VALUE"""),15.0)</f>
        <v>15</v>
      </c>
      <c r="H20525" s="4"/>
      <c r="I20525" s="4"/>
    </row>
    <row r="20526">
      <c r="A20526" s="4" t="str">
        <f>IFERROR(__xludf.DUMMYFUNCTION("""COMPUTED_VALUE"""),"cas_hmw")</f>
        <v>cas_hmw</v>
      </c>
      <c r="B20526" s="5">
        <f>IFERROR(__xludf.DUMMYFUNCTION("""COMPUTED_VALUE"""),44782.0)</f>
        <v>44782</v>
      </c>
      <c r="C20526" s="6">
        <f>IFERROR(__xludf.DUMMYFUNCTION("""COMPUTED_VALUE"""),0.7171874999985448)</f>
        <v>0.7171875</v>
      </c>
      <c r="D20526" s="4">
        <f>IFERROR(__xludf.DUMMYFUNCTION("""COMPUTED_VALUE"""),12.960399)</f>
        <v>12.960399</v>
      </c>
      <c r="E20526" s="4">
        <f>IFERROR(__xludf.DUMMYFUNCTION("""COMPUTED_VALUE"""),80.145307)</f>
        <v>80.145307</v>
      </c>
      <c r="F20526" s="4">
        <f>IFERROR(__xludf.DUMMYFUNCTION("""COMPUTED_VALUE"""),3143.0)</f>
        <v>3143</v>
      </c>
      <c r="G20526" s="4">
        <f>IFERROR(__xludf.DUMMYFUNCTION("""COMPUTED_VALUE"""),15.0)</f>
        <v>15</v>
      </c>
      <c r="H20526" s="4"/>
      <c r="I20526" s="4"/>
    </row>
    <row r="20527">
      <c r="A20527" s="4" t="str">
        <f>IFERROR(__xludf.DUMMYFUNCTION("""COMPUTED_VALUE"""),"cas_hmw")</f>
        <v>cas_hmw</v>
      </c>
      <c r="B20527" s="5">
        <f>IFERROR(__xludf.DUMMYFUNCTION("""COMPUTED_VALUE"""),44782.0)</f>
        <v>44782</v>
      </c>
      <c r="C20527" s="6">
        <f>IFERROR(__xludf.DUMMYFUNCTION("""COMPUTED_VALUE"""),0.7172106481484661)</f>
        <v>0.7172106481</v>
      </c>
      <c r="D20527" s="4">
        <f>IFERROR(__xludf.DUMMYFUNCTION("""COMPUTED_VALUE"""),12.960399)</f>
        <v>12.960399</v>
      </c>
      <c r="E20527" s="4">
        <f>IFERROR(__xludf.DUMMYFUNCTION("""COMPUTED_VALUE"""),80.145307)</f>
        <v>80.145307</v>
      </c>
      <c r="F20527" s="4">
        <f>IFERROR(__xludf.DUMMYFUNCTION("""COMPUTED_VALUE"""),3143.0)</f>
        <v>3143</v>
      </c>
      <c r="G20527" s="4">
        <f>IFERROR(__xludf.DUMMYFUNCTION("""COMPUTED_VALUE"""),15.0)</f>
        <v>15</v>
      </c>
      <c r="H20527" s="4"/>
      <c r="I20527" s="4"/>
    </row>
    <row r="20528">
      <c r="A20528" s="4" t="str">
        <f>IFERROR(__xludf.DUMMYFUNCTION("""COMPUTED_VALUE"""),"cas_hmw")</f>
        <v>cas_hmw</v>
      </c>
      <c r="B20528" s="5">
        <f>IFERROR(__xludf.DUMMYFUNCTION("""COMPUTED_VALUE"""),44782.0)</f>
        <v>44782</v>
      </c>
      <c r="C20528" s="6">
        <f>IFERROR(__xludf.DUMMYFUNCTION("""COMPUTED_VALUE"""),0.7172106481484661)</f>
        <v>0.7172106481</v>
      </c>
      <c r="D20528" s="4">
        <f>IFERROR(__xludf.DUMMYFUNCTION("""COMPUTED_VALUE"""),12.960399)</f>
        <v>12.960399</v>
      </c>
      <c r="E20528" s="4">
        <f>IFERROR(__xludf.DUMMYFUNCTION("""COMPUTED_VALUE"""),80.145307)</f>
        <v>80.145307</v>
      </c>
      <c r="F20528" s="4">
        <f>IFERROR(__xludf.DUMMYFUNCTION("""COMPUTED_VALUE"""),3143.0)</f>
        <v>3143</v>
      </c>
      <c r="G20528" s="4">
        <f>IFERROR(__xludf.DUMMYFUNCTION("""COMPUTED_VALUE"""),15.0)</f>
        <v>15</v>
      </c>
      <c r="H20528" s="4"/>
      <c r="I20528" s="4"/>
    </row>
    <row r="20529">
      <c r="A20529" s="4" t="str">
        <f>IFERROR(__xludf.DUMMYFUNCTION("""COMPUTED_VALUE"""),"cas_hmw")</f>
        <v>cas_hmw</v>
      </c>
      <c r="B20529" s="5">
        <f>IFERROR(__xludf.DUMMYFUNCTION("""COMPUTED_VALUE"""),44782.0)</f>
        <v>44782</v>
      </c>
      <c r="C20529" s="6">
        <f>IFERROR(__xludf.DUMMYFUNCTION("""COMPUTED_VALUE"""),0.7172916666677338)</f>
        <v>0.7172916667</v>
      </c>
      <c r="D20529" s="4">
        <f>IFERROR(__xludf.DUMMYFUNCTION("""COMPUTED_VALUE"""),13.009116)</f>
        <v>13.009116</v>
      </c>
      <c r="E20529" s="4">
        <f>IFERROR(__xludf.DUMMYFUNCTION("""COMPUTED_VALUE"""),80.212027)</f>
        <v>80.212027</v>
      </c>
      <c r="F20529" s="4">
        <f>IFERROR(__xludf.DUMMYFUNCTION("""COMPUTED_VALUE"""),5339.0)</f>
        <v>5339</v>
      </c>
      <c r="G20529" s="4">
        <f>IFERROR(__xludf.DUMMYFUNCTION("""COMPUTED_VALUE"""),27.0)</f>
        <v>27</v>
      </c>
      <c r="H20529" s="4"/>
      <c r="I20529" s="4"/>
    </row>
    <row r="20530">
      <c r="A20530" s="4" t="str">
        <f>IFERROR(__xludf.DUMMYFUNCTION("""COMPUTED_VALUE"""),"cas_hmw")</f>
        <v>cas_hmw</v>
      </c>
      <c r="B20530" s="5">
        <f>IFERROR(__xludf.DUMMYFUNCTION("""COMPUTED_VALUE"""),44782.0)</f>
        <v>44782</v>
      </c>
      <c r="C20530" s="6">
        <f>IFERROR(__xludf.DUMMYFUNCTION("""COMPUTED_VALUE"""),0.7173726851870015)</f>
        <v>0.7173726852</v>
      </c>
      <c r="D20530" s="4">
        <f>IFERROR(__xludf.DUMMYFUNCTION("""COMPUTED_VALUE"""),13.010118)</f>
        <v>13.010118</v>
      </c>
      <c r="E20530" s="4">
        <f>IFERROR(__xludf.DUMMYFUNCTION("""COMPUTED_VALUE"""),80.214627)</f>
        <v>80.214627</v>
      </c>
      <c r="F20530" s="4">
        <f>IFERROR(__xludf.DUMMYFUNCTION("""COMPUTED_VALUE"""),5339.0)</f>
        <v>5339</v>
      </c>
      <c r="G20530" s="4">
        <f>IFERROR(__xludf.DUMMYFUNCTION("""COMPUTED_VALUE"""),28.0)</f>
        <v>28</v>
      </c>
      <c r="H20530" s="4"/>
      <c r="I20530" s="4"/>
    </row>
    <row r="20531">
      <c r="A20531" s="4" t="str">
        <f>IFERROR(__xludf.DUMMYFUNCTION("""COMPUTED_VALUE"""),"cas_hmw")</f>
        <v>cas_hmw</v>
      </c>
      <c r="B20531" s="5">
        <f>IFERROR(__xludf.DUMMYFUNCTION("""COMPUTED_VALUE"""),44782.0)</f>
        <v>44782</v>
      </c>
      <c r="C20531" s="6">
        <f>IFERROR(__xludf.DUMMYFUNCTION("""COMPUTED_VALUE"""),0.7173958333332848)</f>
        <v>0.7173958333</v>
      </c>
      <c r="D20531" s="4">
        <f>IFERROR(__xludf.DUMMYFUNCTION("""COMPUTED_VALUE"""),13.010118)</f>
        <v>13.010118</v>
      </c>
      <c r="E20531" s="4">
        <f>IFERROR(__xludf.DUMMYFUNCTION("""COMPUTED_VALUE"""),80.214627)</f>
        <v>80.214627</v>
      </c>
      <c r="F20531" s="4">
        <f>IFERROR(__xludf.DUMMYFUNCTION("""COMPUTED_VALUE"""),5339.0)</f>
        <v>5339</v>
      </c>
      <c r="G20531" s="4">
        <f>IFERROR(__xludf.DUMMYFUNCTION("""COMPUTED_VALUE"""),28.0)</f>
        <v>28</v>
      </c>
      <c r="H20531" s="4"/>
      <c r="I20531" s="4"/>
    </row>
    <row r="20532">
      <c r="A20532" s="4" t="str">
        <f>IFERROR(__xludf.DUMMYFUNCTION("""COMPUTED_VALUE"""),"cas_hmw")</f>
        <v>cas_hmw</v>
      </c>
      <c r="B20532" s="5">
        <f>IFERROR(__xludf.DUMMYFUNCTION("""COMPUTED_VALUE"""),44782.0)</f>
        <v>44782</v>
      </c>
      <c r="C20532" s="6">
        <f>IFERROR(__xludf.DUMMYFUNCTION("""COMPUTED_VALUE"""),0.7178356481490482)</f>
        <v>0.7178356481</v>
      </c>
      <c r="D20532" s="4">
        <f>IFERROR(__xludf.DUMMYFUNCTION("""COMPUTED_VALUE"""),13.010211)</f>
        <v>13.010211</v>
      </c>
      <c r="E20532" s="4">
        <f>IFERROR(__xludf.DUMMYFUNCTION("""COMPUTED_VALUE"""),80.215304)</f>
        <v>80.215304</v>
      </c>
      <c r="F20532" s="4">
        <f>IFERROR(__xludf.DUMMYFUNCTION("""COMPUTED_VALUE"""),805.0)</f>
        <v>805</v>
      </c>
      <c r="G20532" s="4">
        <f>IFERROR(__xludf.DUMMYFUNCTION("""COMPUTED_VALUE"""),37.0)</f>
        <v>37</v>
      </c>
      <c r="H20532" s="4"/>
      <c r="I20532" s="4"/>
    </row>
    <row r="20533">
      <c r="A20533" s="4" t="str">
        <f>IFERROR(__xludf.DUMMYFUNCTION("""COMPUTED_VALUE"""),"cas_hmw")</f>
        <v>cas_hmw</v>
      </c>
      <c r="B20533" s="5">
        <f>IFERROR(__xludf.DUMMYFUNCTION("""COMPUTED_VALUE"""),44782.0)</f>
        <v>44782</v>
      </c>
      <c r="C20533" s="6">
        <f>IFERROR(__xludf.DUMMYFUNCTION("""COMPUTED_VALUE"""),0.7179976851839456)</f>
        <v>0.7179976852</v>
      </c>
      <c r="D20533" s="4">
        <f>IFERROR(__xludf.DUMMYFUNCTION("""COMPUTED_VALUE"""),13.011018)</f>
        <v>13.011018</v>
      </c>
      <c r="E20533" s="4">
        <f>IFERROR(__xludf.DUMMYFUNCTION("""COMPUTED_VALUE"""),80.217266)</f>
        <v>80.217266</v>
      </c>
      <c r="F20533" s="4">
        <f>IFERROR(__xludf.DUMMYFUNCTION("""COMPUTED_VALUE"""),5339.0)</f>
        <v>5339</v>
      </c>
      <c r="G20533" s="4">
        <f>IFERROR(__xludf.DUMMYFUNCTION("""COMPUTED_VALUE"""),39.0)</f>
        <v>39</v>
      </c>
      <c r="H20533" s="4"/>
      <c r="I20533" s="4"/>
    </row>
    <row r="20534">
      <c r="A20534" s="4" t="str">
        <f>IFERROR(__xludf.DUMMYFUNCTION("""COMPUTED_VALUE"""),"cas_hmw")</f>
        <v>cas_hmw</v>
      </c>
      <c r="B20534" s="5">
        <f>IFERROR(__xludf.DUMMYFUNCTION("""COMPUTED_VALUE"""),44782.0)</f>
        <v>44782</v>
      </c>
      <c r="C20534" s="6">
        <f>IFERROR(__xludf.DUMMYFUNCTION("""COMPUTED_VALUE"""),0.7183680555572209)</f>
        <v>0.7183680556</v>
      </c>
      <c r="D20534" s="4">
        <f>IFERROR(__xludf.DUMMYFUNCTION("""COMPUTED_VALUE"""),13.011875)</f>
        <v>13.011875</v>
      </c>
      <c r="E20534" s="4">
        <f>IFERROR(__xludf.DUMMYFUNCTION("""COMPUTED_VALUE"""),80.219799)</f>
        <v>80.219799</v>
      </c>
      <c r="F20534" s="4">
        <f>IFERROR(__xludf.DUMMYFUNCTION("""COMPUTED_VALUE"""),805.0)</f>
        <v>805</v>
      </c>
      <c r="G20534" s="4">
        <f>IFERROR(__xludf.DUMMYFUNCTION("""COMPUTED_VALUE"""),46.0)</f>
        <v>46</v>
      </c>
      <c r="H20534" s="4"/>
      <c r="I20534" s="4"/>
    </row>
    <row r="20535">
      <c r="A20535" s="4" t="str">
        <f>IFERROR(__xludf.DUMMYFUNCTION("""COMPUTED_VALUE"""),"cas_hmw")</f>
        <v>cas_hmw</v>
      </c>
      <c r="B20535" s="5">
        <f>IFERROR(__xludf.DUMMYFUNCTION("""COMPUTED_VALUE"""),44782.0)</f>
        <v>44782</v>
      </c>
      <c r="C20535" s="6">
        <f>IFERROR(__xludf.DUMMYFUNCTION("""COMPUTED_VALUE"""),0.718611111111386)</f>
        <v>0.7186111111</v>
      </c>
      <c r="D20535" s="4">
        <f>IFERROR(__xludf.DUMMYFUNCTION("""COMPUTED_VALUE"""),13.012392)</f>
        <v>13.012392</v>
      </c>
      <c r="E20535" s="4">
        <f>IFERROR(__xludf.DUMMYFUNCTION("""COMPUTED_VALUE"""),80.221339)</f>
        <v>80.221339</v>
      </c>
      <c r="F20535" s="4">
        <f>IFERROR(__xludf.DUMMYFUNCTION("""COMPUTED_VALUE"""),805.0)</f>
        <v>805</v>
      </c>
      <c r="G20535" s="4">
        <f>IFERROR(__xludf.DUMMYFUNCTION("""COMPUTED_VALUE"""),27.0)</f>
        <v>27</v>
      </c>
      <c r="H20535" s="4"/>
      <c r="I20535" s="4"/>
    </row>
    <row r="20536">
      <c r="A20536" s="4" t="str">
        <f>IFERROR(__xludf.DUMMYFUNCTION("""COMPUTED_VALUE"""),"cas_hmw")</f>
        <v>cas_hmw</v>
      </c>
      <c r="B20536" s="5">
        <f>IFERROR(__xludf.DUMMYFUNCTION("""COMPUTED_VALUE"""),44782.0)</f>
        <v>44782</v>
      </c>
      <c r="C20536" s="6">
        <f>IFERROR(__xludf.DUMMYFUNCTION("""COMPUTED_VALUE"""),0.7187268518500787)</f>
        <v>0.7187268519</v>
      </c>
      <c r="D20536" s="4">
        <f>IFERROR(__xludf.DUMMYFUNCTION("""COMPUTED_VALUE"""),13.013425)</f>
        <v>13.013425</v>
      </c>
      <c r="E20536" s="4">
        <f>IFERROR(__xludf.DUMMYFUNCTION("""COMPUTED_VALUE"""),80.22258)</f>
        <v>80.22258</v>
      </c>
      <c r="F20536" s="4">
        <f>IFERROR(__xludf.DUMMYFUNCTION("""COMPUTED_VALUE"""),5339.0)</f>
        <v>5339</v>
      </c>
      <c r="G20536" s="4">
        <f>IFERROR(__xludf.DUMMYFUNCTION("""COMPUTED_VALUE"""),40.0)</f>
        <v>40</v>
      </c>
      <c r="H20536" s="4"/>
      <c r="I20536" s="4"/>
    </row>
    <row r="20537">
      <c r="A20537" s="4" t="str">
        <f>IFERROR(__xludf.DUMMYFUNCTION("""COMPUTED_VALUE"""),"cas_hmw")</f>
        <v>cas_hmw</v>
      </c>
      <c r="B20537" s="5">
        <f>IFERROR(__xludf.DUMMYFUNCTION("""COMPUTED_VALUE"""),44782.0)</f>
        <v>44782</v>
      </c>
      <c r="C20537" s="6">
        <f>IFERROR(__xludf.DUMMYFUNCTION("""COMPUTED_VALUE"""),0.7188425925924093)</f>
        <v>0.7188425926</v>
      </c>
      <c r="D20537" s="4">
        <f>IFERROR(__xludf.DUMMYFUNCTION("""COMPUTED_VALUE"""),13.014064)</f>
        <v>13.014064</v>
      </c>
      <c r="E20537" s="4">
        <f>IFERROR(__xludf.DUMMYFUNCTION("""COMPUTED_VALUE"""),80.223387)</f>
        <v>80.223387</v>
      </c>
      <c r="F20537" s="4">
        <f>IFERROR(__xludf.DUMMYFUNCTION("""COMPUTED_VALUE"""),5339.0)</f>
        <v>5339</v>
      </c>
      <c r="G20537" s="4">
        <f>IFERROR(__xludf.DUMMYFUNCTION("""COMPUTED_VALUE"""),37.0)</f>
        <v>37</v>
      </c>
      <c r="H20537" s="4"/>
      <c r="I20537" s="4"/>
    </row>
    <row r="20538">
      <c r="A20538" s="4" t="str">
        <f>IFERROR(__xludf.DUMMYFUNCTION("""COMPUTED_VALUE"""),"cas_hmw")</f>
        <v>cas_hmw</v>
      </c>
      <c r="B20538" s="5">
        <f>IFERROR(__xludf.DUMMYFUNCTION("""COMPUTED_VALUE"""),44782.0)</f>
        <v>44782</v>
      </c>
      <c r="C20538" s="6">
        <f>IFERROR(__xludf.DUMMYFUNCTION("""COMPUTED_VALUE"""),0.7199768518512428)</f>
        <v>0.7199768519</v>
      </c>
      <c r="D20538" s="4">
        <f>IFERROR(__xludf.DUMMYFUNCTION("""COMPUTED_VALUE"""),13.015214)</f>
        <v>13.015214</v>
      </c>
      <c r="E20538" s="4">
        <f>IFERROR(__xludf.DUMMYFUNCTION("""COMPUTED_VALUE"""),80.225833)</f>
        <v>80.225833</v>
      </c>
      <c r="F20538" s="4">
        <f>IFERROR(__xludf.DUMMYFUNCTION("""COMPUTED_VALUE"""),805.0)</f>
        <v>805</v>
      </c>
      <c r="G20538" s="4">
        <f>IFERROR(__xludf.DUMMYFUNCTION("""COMPUTED_VALUE"""),14.0)</f>
        <v>14</v>
      </c>
      <c r="H20538" s="4"/>
      <c r="I20538" s="4"/>
    </row>
    <row r="20539">
      <c r="A20539" s="4" t="str">
        <f>IFERROR(__xludf.DUMMYFUNCTION("""COMPUTED_VALUE"""),"cas_hmw")</f>
        <v>cas_hmw</v>
      </c>
      <c r="B20539" s="5">
        <f>IFERROR(__xludf.DUMMYFUNCTION("""COMPUTED_VALUE"""),44782.0)</f>
        <v>44782</v>
      </c>
      <c r="C20539" s="6">
        <f>IFERROR(__xludf.DUMMYFUNCTION("""COMPUTED_VALUE"""),0.7202199074090458)</f>
        <v>0.7202199074</v>
      </c>
      <c r="D20539" s="4">
        <f>IFERROR(__xludf.DUMMYFUNCTION("""COMPUTED_VALUE"""),13.01336)</f>
        <v>13.01336</v>
      </c>
      <c r="E20539" s="4">
        <f>IFERROR(__xludf.DUMMYFUNCTION("""COMPUTED_VALUE"""),80.226625)</f>
        <v>80.226625</v>
      </c>
      <c r="F20539" s="4">
        <f>IFERROR(__xludf.DUMMYFUNCTION("""COMPUTED_VALUE"""),805.0)</f>
        <v>805</v>
      </c>
      <c r="G20539" s="4">
        <f>IFERROR(__xludf.DUMMYFUNCTION("""COMPUTED_VALUE"""),38.0)</f>
        <v>38</v>
      </c>
      <c r="H20539" s="4"/>
      <c r="I20539" s="4"/>
    </row>
    <row r="20540">
      <c r="A20540" s="4" t="str">
        <f>IFERROR(__xludf.DUMMYFUNCTION("""COMPUTED_VALUE"""),"cas_hmw")</f>
        <v>cas_hmw</v>
      </c>
      <c r="B20540" s="5">
        <f>IFERROR(__xludf.DUMMYFUNCTION("""COMPUTED_VALUE"""),44782.0)</f>
        <v>44782</v>
      </c>
      <c r="C20540" s="6">
        <f>IFERROR(__xludf.DUMMYFUNCTION("""COMPUTED_VALUE"""),0.7204166666670062)</f>
        <v>0.7204166667</v>
      </c>
      <c r="D20540" s="4">
        <f>IFERROR(__xludf.DUMMYFUNCTION("""COMPUTED_VALUE"""),13.020082)</f>
        <v>13.020082</v>
      </c>
      <c r="E20540" s="4">
        <f>IFERROR(__xludf.DUMMYFUNCTION("""COMPUTED_VALUE"""),80.2248)</f>
        <v>80.2248</v>
      </c>
      <c r="F20540" s="4">
        <f>IFERROR(__xludf.DUMMYFUNCTION("""COMPUTED_VALUE"""),5339.0)</f>
        <v>5339</v>
      </c>
      <c r="G20540" s="4">
        <f>IFERROR(__xludf.DUMMYFUNCTION("""COMPUTED_VALUE"""),24.0)</f>
        <v>24</v>
      </c>
      <c r="H20540" s="4"/>
      <c r="I20540" s="4"/>
    </row>
    <row r="20541">
      <c r="A20541" s="4" t="str">
        <f>IFERROR(__xludf.DUMMYFUNCTION("""COMPUTED_VALUE"""),"cas_hmw")</f>
        <v>cas_hmw</v>
      </c>
      <c r="B20541" s="5">
        <f>IFERROR(__xludf.DUMMYFUNCTION("""COMPUTED_VALUE"""),44782.0)</f>
        <v>44782</v>
      </c>
      <c r="C20541" s="6">
        <f>IFERROR(__xludf.DUMMYFUNCTION("""COMPUTED_VALUE"""),0.7204513888900692)</f>
        <v>0.7204513889</v>
      </c>
      <c r="D20541" s="4">
        <f>IFERROR(__xludf.DUMMYFUNCTION("""COMPUTED_VALUE"""),13.020082)</f>
        <v>13.020082</v>
      </c>
      <c r="E20541" s="4">
        <f>IFERROR(__xludf.DUMMYFUNCTION("""COMPUTED_VALUE"""),80.2248)</f>
        <v>80.2248</v>
      </c>
      <c r="F20541" s="4">
        <f>IFERROR(__xludf.DUMMYFUNCTION("""COMPUTED_VALUE"""),5339.0)</f>
        <v>5339</v>
      </c>
      <c r="G20541" s="4">
        <f>IFERROR(__xludf.DUMMYFUNCTION("""COMPUTED_VALUE"""),24.0)</f>
        <v>24</v>
      </c>
      <c r="H20541" s="4"/>
      <c r="I20541" s="4"/>
    </row>
    <row r="20542">
      <c r="A20542" s="4" t="str">
        <f>IFERROR(__xludf.DUMMYFUNCTION("""COMPUTED_VALUE"""),"cas_hmw")</f>
        <v>cas_hmw</v>
      </c>
      <c r="B20542" s="5">
        <f>IFERROR(__xludf.DUMMYFUNCTION("""COMPUTED_VALUE"""),44782.0)</f>
        <v>44782</v>
      </c>
      <c r="C20542" s="6">
        <f>IFERROR(__xludf.DUMMYFUNCTION("""COMPUTED_VALUE"""),0.7205092592594156)</f>
        <v>0.7205092593</v>
      </c>
      <c r="D20542" s="4">
        <f>IFERROR(__xludf.DUMMYFUNCTION("""COMPUTED_VALUE"""),13.020685)</f>
        <v>13.020685</v>
      </c>
      <c r="E20542" s="4">
        <f>IFERROR(__xludf.DUMMYFUNCTION("""COMPUTED_VALUE"""),80.225223)</f>
        <v>80.225223</v>
      </c>
      <c r="F20542" s="4">
        <f>IFERROR(__xludf.DUMMYFUNCTION("""COMPUTED_VALUE"""),5339.0)</f>
        <v>5339</v>
      </c>
      <c r="G20542" s="4">
        <f>IFERROR(__xludf.DUMMYFUNCTION("""COMPUTED_VALUE"""),31.0)</f>
        <v>31</v>
      </c>
      <c r="H20542" s="4"/>
      <c r="I20542" s="4"/>
    </row>
    <row r="20543">
      <c r="A20543" s="4" t="str">
        <f>IFERROR(__xludf.DUMMYFUNCTION("""COMPUTED_VALUE"""),"cas_hmw")</f>
        <v>cas_hmw</v>
      </c>
      <c r="B20543" s="5">
        <f>IFERROR(__xludf.DUMMYFUNCTION("""COMPUTED_VALUE"""),44782.0)</f>
        <v>44782</v>
      </c>
      <c r="C20543" s="6">
        <f>IFERROR(__xludf.DUMMYFUNCTION("""COMPUTED_VALUE"""),0.7205208333325572)</f>
        <v>0.7205208333</v>
      </c>
      <c r="D20543" s="4">
        <f>IFERROR(__xludf.DUMMYFUNCTION("""COMPUTED_VALUE"""),13.012039)</f>
        <v>13.012039</v>
      </c>
      <c r="E20543" s="4">
        <f>IFERROR(__xludf.DUMMYFUNCTION("""COMPUTED_VALUE"""),80.227099)</f>
        <v>80.227099</v>
      </c>
      <c r="F20543" s="4">
        <f>IFERROR(__xludf.DUMMYFUNCTION("""COMPUTED_VALUE"""),805.0)</f>
        <v>805</v>
      </c>
      <c r="G20543" s="4">
        <f>IFERROR(__xludf.DUMMYFUNCTION("""COMPUTED_VALUE"""),37.0)</f>
        <v>37</v>
      </c>
      <c r="H20543" s="4"/>
      <c r="I20543" s="4"/>
    </row>
    <row r="20544">
      <c r="A20544" s="4" t="str">
        <f>IFERROR(__xludf.DUMMYFUNCTION("""COMPUTED_VALUE"""),"cas_hmw")</f>
        <v>cas_hmw</v>
      </c>
      <c r="B20544" s="5">
        <f>IFERROR(__xludf.DUMMYFUNCTION("""COMPUTED_VALUE"""),44782.0)</f>
        <v>44782</v>
      </c>
      <c r="C20544" s="6">
        <f>IFERROR(__xludf.DUMMYFUNCTION("""COMPUTED_VALUE"""),0.7205555555556202)</f>
        <v>0.7205555556</v>
      </c>
      <c r="D20544" s="4">
        <f>IFERROR(__xludf.DUMMYFUNCTION("""COMPUTED_VALUE"""),13.020685)</f>
        <v>13.020685</v>
      </c>
      <c r="E20544" s="4">
        <f>IFERROR(__xludf.DUMMYFUNCTION("""COMPUTED_VALUE"""),80.225223)</f>
        <v>80.225223</v>
      </c>
      <c r="F20544" s="4">
        <f>IFERROR(__xludf.DUMMYFUNCTION("""COMPUTED_VALUE"""),5339.0)</f>
        <v>5339</v>
      </c>
      <c r="G20544" s="4">
        <f>IFERROR(__xludf.DUMMYFUNCTION("""COMPUTED_VALUE"""),31.0)</f>
        <v>31</v>
      </c>
      <c r="H20544" s="4"/>
      <c r="I20544" s="4"/>
    </row>
    <row r="20545">
      <c r="A20545" s="4" t="str">
        <f>IFERROR(__xludf.DUMMYFUNCTION("""COMPUTED_VALUE"""),"cas_hmw")</f>
        <v>cas_hmw</v>
      </c>
      <c r="B20545" s="5">
        <f>IFERROR(__xludf.DUMMYFUNCTION("""COMPUTED_VALUE"""),44782.0)</f>
        <v>44782</v>
      </c>
      <c r="C20545" s="6">
        <f>IFERROR(__xludf.DUMMYFUNCTION("""COMPUTED_VALUE"""),0.7205671296287619)</f>
        <v>0.7205671296</v>
      </c>
      <c r="D20545" s="4">
        <f>IFERROR(__xludf.DUMMYFUNCTION("""COMPUTED_VALUE"""),13.020685)</f>
        <v>13.020685</v>
      </c>
      <c r="E20545" s="4">
        <f>IFERROR(__xludf.DUMMYFUNCTION("""COMPUTED_VALUE"""),80.225223)</f>
        <v>80.225223</v>
      </c>
      <c r="F20545" s="4">
        <f>IFERROR(__xludf.DUMMYFUNCTION("""COMPUTED_VALUE"""),5339.0)</f>
        <v>5339</v>
      </c>
      <c r="G20545" s="4">
        <f>IFERROR(__xludf.DUMMYFUNCTION("""COMPUTED_VALUE"""),31.0)</f>
        <v>31</v>
      </c>
      <c r="H20545" s="4"/>
      <c r="I20545" s="4"/>
    </row>
    <row r="20546">
      <c r="A20546" s="4" t="str">
        <f>IFERROR(__xludf.DUMMYFUNCTION("""COMPUTED_VALUE"""),"cas_hmw")</f>
        <v>cas_hmw</v>
      </c>
      <c r="B20546" s="5">
        <f>IFERROR(__xludf.DUMMYFUNCTION("""COMPUTED_VALUE"""),44782.0)</f>
        <v>44782</v>
      </c>
      <c r="C20546" s="6">
        <f>IFERROR(__xludf.DUMMYFUNCTION("""COMPUTED_VALUE"""),0.7206018518518249)</f>
        <v>0.7206018519</v>
      </c>
      <c r="D20546" s="4">
        <f>IFERROR(__xludf.DUMMYFUNCTION("""COMPUTED_VALUE"""),13.021299)</f>
        <v>13.021299</v>
      </c>
      <c r="E20546" s="4">
        <f>IFERROR(__xludf.DUMMYFUNCTION("""COMPUTED_VALUE"""),80.225694)</f>
        <v>80.225694</v>
      </c>
      <c r="F20546" s="4">
        <f>IFERROR(__xludf.DUMMYFUNCTION("""COMPUTED_VALUE"""),5339.0)</f>
        <v>5339</v>
      </c>
      <c r="G20546" s="4">
        <f>IFERROR(__xludf.DUMMYFUNCTION("""COMPUTED_VALUE"""),26.0)</f>
        <v>26</v>
      </c>
      <c r="H20546" s="4"/>
      <c r="I20546" s="4"/>
    </row>
    <row r="20547">
      <c r="A20547" s="4" t="str">
        <f>IFERROR(__xludf.DUMMYFUNCTION("""COMPUTED_VALUE"""),"cas_hmw")</f>
        <v>cas_hmw</v>
      </c>
      <c r="B20547" s="5">
        <f>IFERROR(__xludf.DUMMYFUNCTION("""COMPUTED_VALUE"""),44782.0)</f>
        <v>44782</v>
      </c>
      <c r="C20547" s="6">
        <f>IFERROR(__xludf.DUMMYFUNCTION("""COMPUTED_VALUE"""),0.7206018518518249)</f>
        <v>0.7206018519</v>
      </c>
      <c r="D20547" s="4">
        <f>IFERROR(__xludf.DUMMYFUNCTION("""COMPUTED_VALUE"""),13.020685)</f>
        <v>13.020685</v>
      </c>
      <c r="E20547" s="4">
        <f>IFERROR(__xludf.DUMMYFUNCTION("""COMPUTED_VALUE"""),80.225223)</f>
        <v>80.225223</v>
      </c>
      <c r="F20547" s="4">
        <f>IFERROR(__xludf.DUMMYFUNCTION("""COMPUTED_VALUE"""),5339.0)</f>
        <v>5339</v>
      </c>
      <c r="G20547" s="4">
        <f>IFERROR(__xludf.DUMMYFUNCTION("""COMPUTED_VALUE"""),31.0)</f>
        <v>31</v>
      </c>
      <c r="H20547" s="4"/>
      <c r="I20547" s="4"/>
    </row>
    <row r="20548">
      <c r="A20548" s="4" t="str">
        <f>IFERROR(__xludf.DUMMYFUNCTION("""COMPUTED_VALUE"""),"cas_hmw")</f>
        <v>cas_hmw</v>
      </c>
      <c r="B20548" s="5">
        <f>IFERROR(__xludf.DUMMYFUNCTION("""COMPUTED_VALUE"""),44782.0)</f>
        <v>44782</v>
      </c>
      <c r="C20548" s="6">
        <f>IFERROR(__xludf.DUMMYFUNCTION("""COMPUTED_VALUE"""),0.7206365740748879)</f>
        <v>0.7206365741</v>
      </c>
      <c r="D20548" s="4">
        <f>IFERROR(__xludf.DUMMYFUNCTION("""COMPUTED_VALUE"""),13.021299)</f>
        <v>13.021299</v>
      </c>
      <c r="E20548" s="4">
        <f>IFERROR(__xludf.DUMMYFUNCTION("""COMPUTED_VALUE"""),80.225694)</f>
        <v>80.225694</v>
      </c>
      <c r="F20548" s="4">
        <f>IFERROR(__xludf.DUMMYFUNCTION("""COMPUTED_VALUE"""),5339.0)</f>
        <v>5339</v>
      </c>
      <c r="G20548" s="4">
        <f>IFERROR(__xludf.DUMMYFUNCTION("""COMPUTED_VALUE"""),26.0)</f>
        <v>26</v>
      </c>
      <c r="H20548" s="4"/>
      <c r="I20548" s="4"/>
    </row>
    <row r="20549">
      <c r="A20549" s="4" t="str">
        <f>IFERROR(__xludf.DUMMYFUNCTION("""COMPUTED_VALUE"""),"cas_hmw")</f>
        <v>cas_hmw</v>
      </c>
      <c r="B20549" s="5">
        <f>IFERROR(__xludf.DUMMYFUNCTION("""COMPUTED_VALUE"""),44782.0)</f>
        <v>44782</v>
      </c>
      <c r="C20549" s="6">
        <f>IFERROR(__xludf.DUMMYFUNCTION("""COMPUTED_VALUE"""),0.7207175925941556)</f>
        <v>0.7207175926</v>
      </c>
      <c r="D20549" s="4">
        <f>IFERROR(__xludf.DUMMYFUNCTION("""COMPUTED_VALUE"""),13.021892)</f>
        <v>13.021892</v>
      </c>
      <c r="E20549" s="4">
        <f>IFERROR(__xludf.DUMMYFUNCTION("""COMPUTED_VALUE"""),80.226118)</f>
        <v>80.226118</v>
      </c>
      <c r="F20549" s="4">
        <f>IFERROR(__xludf.DUMMYFUNCTION("""COMPUTED_VALUE"""),5339.0)</f>
        <v>5339</v>
      </c>
      <c r="G20549" s="4">
        <f>IFERROR(__xludf.DUMMYFUNCTION("""COMPUTED_VALUE"""),29.0)</f>
        <v>29</v>
      </c>
      <c r="H20549" s="4"/>
      <c r="I20549" s="4"/>
    </row>
    <row r="20550">
      <c r="A20550" s="4" t="str">
        <f>IFERROR(__xludf.DUMMYFUNCTION("""COMPUTED_VALUE"""),"cas_hmw")</f>
        <v>cas_hmw</v>
      </c>
      <c r="B20550" s="5">
        <f>IFERROR(__xludf.DUMMYFUNCTION("""COMPUTED_VALUE"""),44782.0)</f>
        <v>44782</v>
      </c>
      <c r="C20550" s="6">
        <f>IFERROR(__xludf.DUMMYFUNCTION("""COMPUTED_VALUE"""),0.7208101851865649)</f>
        <v>0.7208101852</v>
      </c>
      <c r="D20550" s="4">
        <f>IFERROR(__xludf.DUMMYFUNCTION("""COMPUTED_VALUE"""),13.009325)</f>
        <v>13.009325</v>
      </c>
      <c r="E20550" s="4">
        <f>IFERROR(__xludf.DUMMYFUNCTION("""COMPUTED_VALUE"""),80.228274)</f>
        <v>80.228274</v>
      </c>
      <c r="F20550" s="4">
        <f>IFERROR(__xludf.DUMMYFUNCTION("""COMPUTED_VALUE"""),805.0)</f>
        <v>805</v>
      </c>
      <c r="G20550" s="4">
        <f>IFERROR(__xludf.DUMMYFUNCTION("""COMPUTED_VALUE"""),29.0)</f>
        <v>29</v>
      </c>
      <c r="H20550" s="4"/>
      <c r="I20550" s="4"/>
    </row>
    <row r="20551">
      <c r="A20551" s="4" t="str">
        <f>IFERROR(__xludf.DUMMYFUNCTION("""COMPUTED_VALUE"""),"cas_hmw")</f>
        <v>cas_hmw</v>
      </c>
      <c r="B20551" s="5">
        <f>IFERROR(__xludf.DUMMYFUNCTION("""COMPUTED_VALUE"""),44782.0)</f>
        <v>44782</v>
      </c>
      <c r="C20551" s="6">
        <f>IFERROR(__xludf.DUMMYFUNCTION("""COMPUTED_VALUE"""),0.7208449074059899)</f>
        <v>0.7208449074</v>
      </c>
      <c r="D20551" s="4">
        <f>IFERROR(__xludf.DUMMYFUNCTION("""COMPUTED_VALUE"""),13.022567)</f>
        <v>13.022567</v>
      </c>
      <c r="E20551" s="4">
        <f>IFERROR(__xludf.DUMMYFUNCTION("""COMPUTED_VALUE"""),80.226683)</f>
        <v>80.226683</v>
      </c>
      <c r="F20551" s="4">
        <f>IFERROR(__xludf.DUMMYFUNCTION("""COMPUTED_VALUE"""),5339.0)</f>
        <v>5339</v>
      </c>
      <c r="G20551" s="4">
        <f>IFERROR(__xludf.DUMMYFUNCTION("""COMPUTED_VALUE"""),39.0)</f>
        <v>39</v>
      </c>
      <c r="H20551" s="4"/>
      <c r="I20551" s="4"/>
    </row>
    <row r="20552">
      <c r="A20552" s="4" t="str">
        <f>IFERROR(__xludf.DUMMYFUNCTION("""COMPUTED_VALUE"""),"cas_hmw")</f>
        <v>cas_hmw</v>
      </c>
      <c r="B20552" s="5">
        <f>IFERROR(__xludf.DUMMYFUNCTION("""COMPUTED_VALUE"""),44782.0)</f>
        <v>44782</v>
      </c>
      <c r="C20552" s="6">
        <f>IFERROR(__xludf.DUMMYFUNCTION("""COMPUTED_VALUE"""),0.7208680555559113)</f>
        <v>0.7208680556</v>
      </c>
      <c r="D20552" s="4">
        <f>IFERROR(__xludf.DUMMYFUNCTION("""COMPUTED_VALUE"""),13.022567)</f>
        <v>13.022567</v>
      </c>
      <c r="E20552" s="4">
        <f>IFERROR(__xludf.DUMMYFUNCTION("""COMPUTED_VALUE"""),80.226683)</f>
        <v>80.226683</v>
      </c>
      <c r="F20552" s="4">
        <f>IFERROR(__xludf.DUMMYFUNCTION("""COMPUTED_VALUE"""),5339.0)</f>
        <v>5339</v>
      </c>
      <c r="G20552" s="4">
        <f>IFERROR(__xludf.DUMMYFUNCTION("""COMPUTED_VALUE"""),39.0)</f>
        <v>39</v>
      </c>
      <c r="H20552" s="4"/>
      <c r="I20552" s="4"/>
    </row>
    <row r="20553">
      <c r="A20553" s="4" t="str">
        <f>IFERROR(__xludf.DUMMYFUNCTION("""COMPUTED_VALUE"""),"cas_hmw")</f>
        <v>cas_hmw</v>
      </c>
      <c r="B20553" s="5">
        <f>IFERROR(__xludf.DUMMYFUNCTION("""COMPUTED_VALUE"""),44782.0)</f>
        <v>44782</v>
      </c>
      <c r="C20553" s="6">
        <f>IFERROR(__xludf.DUMMYFUNCTION("""COMPUTED_VALUE"""),0.7216666666681704)</f>
        <v>0.7216666667</v>
      </c>
      <c r="D20553" s="4">
        <f>IFERROR(__xludf.DUMMYFUNCTION("""COMPUTED_VALUE"""),13.024545)</f>
        <v>13.024545</v>
      </c>
      <c r="E20553" s="4">
        <f>IFERROR(__xludf.DUMMYFUNCTION("""COMPUTED_VALUE"""),80.228762)</f>
        <v>80.228762</v>
      </c>
      <c r="F20553" s="4">
        <f>IFERROR(__xludf.DUMMYFUNCTION("""COMPUTED_VALUE"""),5339.0)</f>
        <v>5339</v>
      </c>
      <c r="G20553" s="4">
        <f>IFERROR(__xludf.DUMMYFUNCTION("""COMPUTED_VALUE"""),26.0)</f>
        <v>26</v>
      </c>
      <c r="H20553" s="4"/>
      <c r="I20553" s="4"/>
    </row>
    <row r="20554">
      <c r="A20554" s="4" t="str">
        <f>IFERROR(__xludf.DUMMYFUNCTION("""COMPUTED_VALUE"""),"cas_hmw")</f>
        <v>cas_hmw</v>
      </c>
      <c r="B20554" s="5">
        <f>IFERROR(__xludf.DUMMYFUNCTION("""COMPUTED_VALUE"""),44782.0)</f>
        <v>44782</v>
      </c>
      <c r="C20554" s="6">
        <f>IFERROR(__xludf.DUMMYFUNCTION("""COMPUTED_VALUE"""),0.7216666666681704)</f>
        <v>0.7216666667</v>
      </c>
      <c r="D20554" s="4">
        <f>IFERROR(__xludf.DUMMYFUNCTION("""COMPUTED_VALUE"""),13.024545)</f>
        <v>13.024545</v>
      </c>
      <c r="E20554" s="4">
        <f>IFERROR(__xludf.DUMMYFUNCTION("""COMPUTED_VALUE"""),80.228762)</f>
        <v>80.228762</v>
      </c>
      <c r="F20554" s="4">
        <f>IFERROR(__xludf.DUMMYFUNCTION("""COMPUTED_VALUE"""),5339.0)</f>
        <v>5339</v>
      </c>
      <c r="G20554" s="4">
        <f>IFERROR(__xludf.DUMMYFUNCTION("""COMPUTED_VALUE"""),26.0)</f>
        <v>26</v>
      </c>
      <c r="H20554" s="4"/>
      <c r="I20554" s="4"/>
    </row>
    <row r="20555">
      <c r="A20555" s="4" t="str">
        <f>IFERROR(__xludf.DUMMYFUNCTION("""COMPUTED_VALUE"""),"cas_hmw")</f>
        <v>cas_hmw</v>
      </c>
      <c r="B20555" s="5">
        <f>IFERROR(__xludf.DUMMYFUNCTION("""COMPUTED_VALUE"""),44782.0)</f>
        <v>44782</v>
      </c>
      <c r="C20555" s="6">
        <f>IFERROR(__xludf.DUMMYFUNCTION("""COMPUTED_VALUE"""),0.721678240741312)</f>
        <v>0.7216782407</v>
      </c>
      <c r="D20555" s="4">
        <f>IFERROR(__xludf.DUMMYFUNCTION("""COMPUTED_VALUE"""),13.024545)</f>
        <v>13.024545</v>
      </c>
      <c r="E20555" s="4">
        <f>IFERROR(__xludf.DUMMYFUNCTION("""COMPUTED_VALUE"""),80.228762)</f>
        <v>80.228762</v>
      </c>
      <c r="F20555" s="4">
        <f>IFERROR(__xludf.DUMMYFUNCTION("""COMPUTED_VALUE"""),5339.0)</f>
        <v>5339</v>
      </c>
      <c r="G20555" s="4">
        <f>IFERROR(__xludf.DUMMYFUNCTION("""COMPUTED_VALUE"""),26.0)</f>
        <v>26</v>
      </c>
      <c r="H20555" s="4"/>
      <c r="I20555" s="4"/>
    </row>
    <row r="20556">
      <c r="A20556" s="4" t="str">
        <f>IFERROR(__xludf.DUMMYFUNCTION("""COMPUTED_VALUE"""),"cas_hmw")</f>
        <v>cas_hmw</v>
      </c>
      <c r="B20556" s="5">
        <f>IFERROR(__xludf.DUMMYFUNCTION("""COMPUTED_VALUE"""),44782.0)</f>
        <v>44782</v>
      </c>
      <c r="C20556" s="6">
        <f>IFERROR(__xludf.DUMMYFUNCTION("""COMPUTED_VALUE"""),0.7218171296299261)</f>
        <v>0.7218171296</v>
      </c>
      <c r="D20556" s="4">
        <f>IFERROR(__xludf.DUMMYFUNCTION("""COMPUTED_VALUE"""),13.024967)</f>
        <v>13.024967</v>
      </c>
      <c r="E20556" s="4">
        <f>IFERROR(__xludf.DUMMYFUNCTION("""COMPUTED_VALUE"""),80.229332)</f>
        <v>80.229332</v>
      </c>
      <c r="F20556" s="4">
        <f>IFERROR(__xludf.DUMMYFUNCTION("""COMPUTED_VALUE"""),5339.0)</f>
        <v>5339</v>
      </c>
      <c r="G20556" s="4">
        <f>IFERROR(__xludf.DUMMYFUNCTION("""COMPUTED_VALUE"""),28.0)</f>
        <v>28</v>
      </c>
      <c r="H20556" s="4"/>
      <c r="I20556" s="4"/>
    </row>
    <row r="20557">
      <c r="A20557" s="4" t="str">
        <f>IFERROR(__xludf.DUMMYFUNCTION("""COMPUTED_VALUE"""),"cas_hmw")</f>
        <v>cas_hmw</v>
      </c>
      <c r="B20557" s="5">
        <f>IFERROR(__xludf.DUMMYFUNCTION("""COMPUTED_VALUE"""),44782.0)</f>
        <v>44782</v>
      </c>
      <c r="C20557" s="6">
        <f>IFERROR(__xludf.DUMMYFUNCTION("""COMPUTED_VALUE"""),0.7221990740727051)</f>
        <v>0.7221990741</v>
      </c>
      <c r="D20557" s="4">
        <f>IFERROR(__xludf.DUMMYFUNCTION("""COMPUTED_VALUE"""),13.026093)</f>
        <v>13.026093</v>
      </c>
      <c r="E20557" s="4">
        <f>IFERROR(__xludf.DUMMYFUNCTION("""COMPUTED_VALUE"""),80.231554)</f>
        <v>80.231554</v>
      </c>
      <c r="F20557" s="4">
        <f>IFERROR(__xludf.DUMMYFUNCTION("""COMPUTED_VALUE"""),5339.0)</f>
        <v>5339</v>
      </c>
      <c r="G20557" s="4">
        <f>IFERROR(__xludf.DUMMYFUNCTION("""COMPUTED_VALUE"""),32.0)</f>
        <v>32</v>
      </c>
      <c r="H20557" s="4"/>
      <c r="I20557" s="4"/>
    </row>
    <row r="20558">
      <c r="A20558" s="4" t="str">
        <f>IFERROR(__xludf.DUMMYFUNCTION("""COMPUTED_VALUE"""),"cas_hmw")</f>
        <v>cas_hmw</v>
      </c>
      <c r="B20558" s="5">
        <f>IFERROR(__xludf.DUMMYFUNCTION("""COMPUTED_VALUE"""),44782.0)</f>
        <v>44782</v>
      </c>
      <c r="C20558" s="6">
        <f>IFERROR(__xludf.DUMMYFUNCTION("""COMPUTED_VALUE"""),0.7225925925922638)</f>
        <v>0.7225925926</v>
      </c>
      <c r="D20558" s="4">
        <f>IFERROR(__xludf.DUMMYFUNCTION("""COMPUTED_VALUE"""),13.026944)</f>
        <v>13.026944</v>
      </c>
      <c r="E20558" s="4">
        <f>IFERROR(__xludf.DUMMYFUNCTION("""COMPUTED_VALUE"""),80.233594)</f>
        <v>80.233594</v>
      </c>
      <c r="F20558" s="4">
        <f>IFERROR(__xludf.DUMMYFUNCTION("""COMPUTED_VALUE"""),5339.0)</f>
        <v>5339</v>
      </c>
      <c r="G20558" s="4">
        <f>IFERROR(__xludf.DUMMYFUNCTION("""COMPUTED_VALUE"""),30.0)</f>
        <v>30</v>
      </c>
      <c r="H20558" s="4"/>
      <c r="I20558" s="4"/>
    </row>
    <row r="20559">
      <c r="A20559" s="4" t="str">
        <f>IFERROR(__xludf.DUMMYFUNCTION("""COMPUTED_VALUE"""),"cas_hmw")</f>
        <v>cas_hmw</v>
      </c>
      <c r="B20559" s="5">
        <f>IFERROR(__xludf.DUMMYFUNCTION("""COMPUTED_VALUE"""),44782.0)</f>
        <v>44782</v>
      </c>
      <c r="C20559" s="6">
        <f>IFERROR(__xludf.DUMMYFUNCTION("""COMPUTED_VALUE"""),0.7226157407421852)</f>
        <v>0.7226157407</v>
      </c>
      <c r="D20559" s="4">
        <f>IFERROR(__xludf.DUMMYFUNCTION("""COMPUTED_VALUE"""),13.026944)</f>
        <v>13.026944</v>
      </c>
      <c r="E20559" s="4">
        <f>IFERROR(__xludf.DUMMYFUNCTION("""COMPUTED_VALUE"""),80.233594)</f>
        <v>80.233594</v>
      </c>
      <c r="F20559" s="4">
        <f>IFERROR(__xludf.DUMMYFUNCTION("""COMPUTED_VALUE"""),5339.0)</f>
        <v>5339</v>
      </c>
      <c r="G20559" s="4">
        <f>IFERROR(__xludf.DUMMYFUNCTION("""COMPUTED_VALUE"""),30.0)</f>
        <v>30</v>
      </c>
      <c r="H20559" s="4"/>
      <c r="I20559" s="4"/>
    </row>
    <row r="20560">
      <c r="A20560" s="4" t="str">
        <f>IFERROR(__xludf.DUMMYFUNCTION("""COMPUTED_VALUE"""),"cas_hmw")</f>
        <v>cas_hmw</v>
      </c>
      <c r="B20560" s="5">
        <f>IFERROR(__xludf.DUMMYFUNCTION("""COMPUTED_VALUE"""),44782.0)</f>
        <v>44782</v>
      </c>
      <c r="C20560" s="6">
        <f>IFERROR(__xludf.DUMMYFUNCTION("""COMPUTED_VALUE"""),0.7226273148153268)</f>
        <v>0.7226273148</v>
      </c>
      <c r="D20560" s="4">
        <f>IFERROR(__xludf.DUMMYFUNCTION("""COMPUTED_VALUE"""),13.026944)</f>
        <v>13.026944</v>
      </c>
      <c r="E20560" s="4">
        <f>IFERROR(__xludf.DUMMYFUNCTION("""COMPUTED_VALUE"""),80.233594)</f>
        <v>80.233594</v>
      </c>
      <c r="F20560" s="4">
        <f>IFERROR(__xludf.DUMMYFUNCTION("""COMPUTED_VALUE"""),5339.0)</f>
        <v>5339</v>
      </c>
      <c r="G20560" s="4">
        <f>IFERROR(__xludf.DUMMYFUNCTION("""COMPUTED_VALUE"""),30.0)</f>
        <v>30</v>
      </c>
      <c r="H20560" s="4"/>
      <c r="I20560" s="4"/>
    </row>
    <row r="20561">
      <c r="A20561" s="4" t="str">
        <f>IFERROR(__xludf.DUMMYFUNCTION("""COMPUTED_VALUE"""),"cas_hmw")</f>
        <v>cas_hmw</v>
      </c>
      <c r="B20561" s="5">
        <f>IFERROR(__xludf.DUMMYFUNCTION("""COMPUTED_VALUE"""),44782.0)</f>
        <v>44782</v>
      </c>
      <c r="C20561" s="6">
        <f>IFERROR(__xludf.DUMMYFUNCTION("""COMPUTED_VALUE"""),0.723634259258688)</f>
        <v>0.7236342593</v>
      </c>
      <c r="D20561" s="4">
        <f>IFERROR(__xludf.DUMMYFUNCTION("""COMPUTED_VALUE"""),13.030689)</f>
        <v>13.030689</v>
      </c>
      <c r="E20561" s="4">
        <f>IFERROR(__xludf.DUMMYFUNCTION("""COMPUTED_VALUE"""),80.238929)</f>
        <v>80.238929</v>
      </c>
      <c r="F20561" s="4">
        <f>IFERROR(__xludf.DUMMYFUNCTION("""COMPUTED_VALUE"""),5339.0)</f>
        <v>5339</v>
      </c>
      <c r="G20561" s="4">
        <f>IFERROR(__xludf.DUMMYFUNCTION("""COMPUTED_VALUE"""),34.0)</f>
        <v>34</v>
      </c>
      <c r="H20561" s="4"/>
      <c r="I20561" s="4"/>
    </row>
    <row r="20562">
      <c r="A20562" s="4" t="str">
        <f>IFERROR(__xludf.DUMMYFUNCTION("""COMPUTED_VALUE"""),"cas_hmw")</f>
        <v>cas_hmw</v>
      </c>
      <c r="B20562" s="5">
        <f>IFERROR(__xludf.DUMMYFUNCTION("""COMPUTED_VALUE"""),44782.0)</f>
        <v>44782</v>
      </c>
      <c r="C20562" s="6">
        <f>IFERROR(__xludf.DUMMYFUNCTION("""COMPUTED_VALUE"""),0.723877314816491)</f>
        <v>0.7238773148</v>
      </c>
      <c r="D20562" s="4">
        <f>IFERROR(__xludf.DUMMYFUNCTION("""COMPUTED_VALUE"""),13.006686)</f>
        <v>13.006686</v>
      </c>
      <c r="E20562" s="4">
        <f>IFERROR(__xludf.DUMMYFUNCTION("""COMPUTED_VALUE"""),80.242065)</f>
        <v>80.242065</v>
      </c>
      <c r="F20562" s="4">
        <f>IFERROR(__xludf.DUMMYFUNCTION("""COMPUTED_VALUE"""),805.0)</f>
        <v>805</v>
      </c>
      <c r="G20562" s="4">
        <f>IFERROR(__xludf.DUMMYFUNCTION("""COMPUTED_VALUE"""),29.0)</f>
        <v>29</v>
      </c>
      <c r="H20562" s="4"/>
      <c r="I20562" s="4"/>
    </row>
    <row r="20563">
      <c r="A20563" s="4" t="str">
        <f>IFERROR(__xludf.DUMMYFUNCTION("""COMPUTED_VALUE"""),"cas_hmw")</f>
        <v>cas_hmw</v>
      </c>
      <c r="B20563" s="5">
        <f>IFERROR(__xludf.DUMMYFUNCTION("""COMPUTED_VALUE"""),44782.0)</f>
        <v>44782</v>
      </c>
      <c r="C20563" s="6">
        <f>IFERROR(__xludf.DUMMYFUNCTION("""COMPUTED_VALUE"""),0.7240277777782467)</f>
        <v>0.7240277778</v>
      </c>
      <c r="D20563" s="4">
        <f>IFERROR(__xludf.DUMMYFUNCTION("""COMPUTED_VALUE"""),13.006692)</f>
        <v>13.006692</v>
      </c>
      <c r="E20563" s="4">
        <f>IFERROR(__xludf.DUMMYFUNCTION("""COMPUTED_VALUE"""),80.243054)</f>
        <v>80.243054</v>
      </c>
      <c r="F20563" s="4">
        <f>IFERROR(__xludf.DUMMYFUNCTION("""COMPUTED_VALUE"""),805.0)</f>
        <v>805</v>
      </c>
      <c r="G20563" s="4">
        <f>IFERROR(__xludf.DUMMYFUNCTION("""COMPUTED_VALUE"""),32.0)</f>
        <v>32</v>
      </c>
      <c r="H20563" s="4"/>
      <c r="I20563" s="4"/>
    </row>
    <row r="20564">
      <c r="A20564" s="4" t="str">
        <f>IFERROR(__xludf.DUMMYFUNCTION("""COMPUTED_VALUE"""),"cas_hmw")</f>
        <v>cas_hmw</v>
      </c>
      <c r="B20564" s="5">
        <f>IFERROR(__xludf.DUMMYFUNCTION("""COMPUTED_VALUE"""),44782.0)</f>
        <v>44782</v>
      </c>
      <c r="C20564" s="6">
        <f>IFERROR(__xludf.DUMMYFUNCTION("""COMPUTED_VALUE"""),0.7242476851861284)</f>
        <v>0.7242476852</v>
      </c>
      <c r="D20564" s="4">
        <f>IFERROR(__xludf.DUMMYFUNCTION("""COMPUTED_VALUE"""),13.032102)</f>
        <v>13.032102</v>
      </c>
      <c r="E20564" s="4">
        <f>IFERROR(__xludf.DUMMYFUNCTION("""COMPUTED_VALUE"""),80.241826)</f>
        <v>80.241826</v>
      </c>
      <c r="F20564" s="4">
        <f>IFERROR(__xludf.DUMMYFUNCTION("""COMPUTED_VALUE"""),5339.0)</f>
        <v>5339</v>
      </c>
      <c r="G20564" s="4">
        <f>IFERROR(__xludf.DUMMYFUNCTION("""COMPUTED_VALUE"""),38.0)</f>
        <v>38</v>
      </c>
      <c r="H20564" s="4"/>
      <c r="I20564" s="4"/>
    </row>
    <row r="20565">
      <c r="A20565" s="4" t="str">
        <f>IFERROR(__xludf.DUMMYFUNCTION("""COMPUTED_VALUE"""),"cas_hmw")</f>
        <v>cas_hmw</v>
      </c>
      <c r="B20565" s="5">
        <f>IFERROR(__xludf.DUMMYFUNCTION("""COMPUTED_VALUE"""),44782.0)</f>
        <v>44782</v>
      </c>
      <c r="C20565" s="6">
        <f>IFERROR(__xludf.DUMMYFUNCTION("""COMPUTED_VALUE"""),0.7253587962950405)</f>
        <v>0.7253587963</v>
      </c>
      <c r="D20565" s="4">
        <f>IFERROR(__xludf.DUMMYFUNCTION("""COMPUTED_VALUE"""),13.034352)</f>
        <v>13.034352</v>
      </c>
      <c r="E20565" s="4">
        <f>IFERROR(__xludf.DUMMYFUNCTION("""COMPUTED_VALUE"""),80.245012)</f>
        <v>80.245012</v>
      </c>
      <c r="F20565" s="4">
        <f>IFERROR(__xludf.DUMMYFUNCTION("""COMPUTED_VALUE"""),5339.0)</f>
        <v>5339</v>
      </c>
      <c r="G20565" s="4">
        <f>IFERROR(__xludf.DUMMYFUNCTION("""COMPUTED_VALUE"""),31.0)</f>
        <v>31</v>
      </c>
      <c r="H20565" s="4"/>
      <c r="I20565" s="4"/>
    </row>
    <row r="20566">
      <c r="A20566" s="4" t="str">
        <f>IFERROR(__xludf.DUMMYFUNCTION("""COMPUTED_VALUE"""),"cas_hmw")</f>
        <v>cas_hmw</v>
      </c>
      <c r="B20566" s="5">
        <f>IFERROR(__xludf.DUMMYFUNCTION("""COMPUTED_VALUE"""),44782.0)</f>
        <v>44782</v>
      </c>
      <c r="C20566" s="6">
        <f>IFERROR(__xludf.DUMMYFUNCTION("""COMPUTED_VALUE"""),0.7282754629632109)</f>
        <v>0.728275463</v>
      </c>
      <c r="D20566" s="4">
        <f>IFERROR(__xludf.DUMMYFUNCTION("""COMPUTED_VALUE"""),13.040289)</f>
        <v>13.040289</v>
      </c>
      <c r="E20566" s="4">
        <f>IFERROR(__xludf.DUMMYFUNCTION("""COMPUTED_VALUE"""),80.247078)</f>
        <v>80.247078</v>
      </c>
      <c r="F20566" s="4">
        <f>IFERROR(__xludf.DUMMYFUNCTION("""COMPUTED_VALUE"""),5339.0)</f>
        <v>5339</v>
      </c>
      <c r="G20566" s="4">
        <f>IFERROR(__xludf.DUMMYFUNCTION("""COMPUTED_VALUE"""),31.0)</f>
        <v>31</v>
      </c>
      <c r="H20566" s="4"/>
      <c r="I20566" s="4"/>
    </row>
    <row r="20567">
      <c r="A20567" s="4" t="str">
        <f>IFERROR(__xludf.DUMMYFUNCTION("""COMPUTED_VALUE"""),"cas_hmw")</f>
        <v>cas_hmw</v>
      </c>
      <c r="B20567" s="5">
        <f>IFERROR(__xludf.DUMMYFUNCTION("""COMPUTED_VALUE"""),44782.0)</f>
        <v>44782</v>
      </c>
      <c r="C20567" s="6">
        <f>IFERROR(__xludf.DUMMYFUNCTION("""COMPUTED_VALUE"""),0.7282986111094942)</f>
        <v>0.7282986111</v>
      </c>
      <c r="D20567" s="4">
        <f>IFERROR(__xludf.DUMMYFUNCTION("""COMPUTED_VALUE"""),13.040289)</f>
        <v>13.040289</v>
      </c>
      <c r="E20567" s="4">
        <f>IFERROR(__xludf.DUMMYFUNCTION("""COMPUTED_VALUE"""),80.247078)</f>
        <v>80.247078</v>
      </c>
      <c r="F20567" s="4">
        <f>IFERROR(__xludf.DUMMYFUNCTION("""COMPUTED_VALUE"""),5339.0)</f>
        <v>5339</v>
      </c>
      <c r="G20567" s="4">
        <f>IFERROR(__xludf.DUMMYFUNCTION("""COMPUTED_VALUE"""),31.0)</f>
        <v>31</v>
      </c>
      <c r="H20567" s="4"/>
      <c r="I20567" s="4"/>
    </row>
    <row r="20568">
      <c r="A20568" s="4" t="str">
        <f>IFERROR(__xludf.DUMMYFUNCTION("""COMPUTED_VALUE"""),"cas_hmw")</f>
        <v>cas_hmw</v>
      </c>
      <c r="B20568" s="5">
        <f>IFERROR(__xludf.DUMMYFUNCTION("""COMPUTED_VALUE"""),44782.0)</f>
        <v>44782</v>
      </c>
      <c r="C20568" s="6">
        <f>IFERROR(__xludf.DUMMYFUNCTION("""COMPUTED_VALUE"""),0.728831018517667)</f>
        <v>0.7288310185</v>
      </c>
      <c r="D20568" s="4">
        <f>IFERROR(__xludf.DUMMYFUNCTION("""COMPUTED_VALUE"""),12.987024)</f>
        <v>12.987024</v>
      </c>
      <c r="E20568" s="4">
        <f>IFERROR(__xludf.DUMMYFUNCTION("""COMPUTED_VALUE"""),80.142065)</f>
        <v>80.142065</v>
      </c>
      <c r="F20568" s="4">
        <f>IFERROR(__xludf.DUMMYFUNCTION("""COMPUTED_VALUE"""),3143.0)</f>
        <v>3143</v>
      </c>
      <c r="G20568" s="4">
        <f>IFERROR(__xludf.DUMMYFUNCTION("""COMPUTED_VALUE"""),29.0)</f>
        <v>29</v>
      </c>
      <c r="H20568" s="4"/>
      <c r="I20568" s="4"/>
    </row>
    <row r="20569">
      <c r="A20569" s="4" t="str">
        <f>IFERROR(__xludf.DUMMYFUNCTION("""COMPUTED_VALUE"""),"cas_hmw")</f>
        <v>cas_hmw</v>
      </c>
      <c r="B20569" s="5">
        <f>IFERROR(__xludf.DUMMYFUNCTION("""COMPUTED_VALUE"""),44782.0)</f>
        <v>44782</v>
      </c>
      <c r="C20569" s="6">
        <f>IFERROR(__xludf.DUMMYFUNCTION("""COMPUTED_VALUE"""),0.7293287037027767)</f>
        <v>0.7293287037</v>
      </c>
      <c r="D20569" s="4">
        <f>IFERROR(__xludf.DUMMYFUNCTION("""COMPUTED_VALUE"""),13.009005)</f>
        <v>13.009005</v>
      </c>
      <c r="E20569" s="4">
        <f>IFERROR(__xludf.DUMMYFUNCTION("""COMPUTED_VALUE"""),80.259026)</f>
        <v>80.259026</v>
      </c>
      <c r="F20569" s="4">
        <f>IFERROR(__xludf.DUMMYFUNCTION("""COMPUTED_VALUE"""),805.0)</f>
        <v>805</v>
      </c>
      <c r="G20569" s="4">
        <f>IFERROR(__xludf.DUMMYFUNCTION("""COMPUTED_VALUE"""),21.0)</f>
        <v>21</v>
      </c>
      <c r="H20569" s="4"/>
      <c r="I20569" s="4"/>
    </row>
    <row r="20570">
      <c r="A20570" s="4" t="str">
        <f>IFERROR(__xludf.DUMMYFUNCTION("""COMPUTED_VALUE"""),"cas_hmw")</f>
        <v>cas_hmw</v>
      </c>
      <c r="B20570" s="5">
        <f>IFERROR(__xludf.DUMMYFUNCTION("""COMPUTED_VALUE"""),44782.0)</f>
        <v>44782</v>
      </c>
      <c r="C20570" s="6">
        <f>IFERROR(__xludf.DUMMYFUNCTION("""COMPUTED_VALUE"""),0.7295370370375167)</f>
        <v>0.729537037</v>
      </c>
      <c r="D20570" s="4">
        <f>IFERROR(__xludf.DUMMYFUNCTION("""COMPUTED_VALUE"""),12.650833)</f>
        <v>12.650833</v>
      </c>
      <c r="E20570" s="4">
        <f>IFERROR(__xludf.DUMMYFUNCTION("""COMPUTED_VALUE"""),79.941687)</f>
        <v>79.941687</v>
      </c>
      <c r="F20570" s="4">
        <f>IFERROR(__xludf.DUMMYFUNCTION("""COMPUTED_VALUE"""),2846.0)</f>
        <v>2846</v>
      </c>
      <c r="G20570" s="4">
        <f>IFERROR(__xludf.DUMMYFUNCTION("""COMPUTED_VALUE"""),45.0)</f>
        <v>45</v>
      </c>
      <c r="H20570" s="4"/>
      <c r="I20570" s="4"/>
    </row>
    <row r="20571">
      <c r="A20571" s="4" t="str">
        <f>IFERROR(__xludf.DUMMYFUNCTION("""COMPUTED_VALUE"""),"cas_hmw")</f>
        <v>cas_hmw</v>
      </c>
      <c r="B20571" s="5">
        <f>IFERROR(__xludf.DUMMYFUNCTION("""COMPUTED_VALUE"""),44782.0)</f>
        <v>44782</v>
      </c>
      <c r="C20571" s="6">
        <f>IFERROR(__xludf.DUMMYFUNCTION("""COMPUTED_VALUE"""),0.7319444444437977)</f>
        <v>0.7319444444</v>
      </c>
      <c r="D20571" s="4">
        <f>IFERROR(__xludf.DUMMYFUNCTION("""COMPUTED_VALUE"""),13.023358)</f>
        <v>13.023358</v>
      </c>
      <c r="E20571" s="4">
        <f>IFERROR(__xludf.DUMMYFUNCTION("""COMPUTED_VALUE"""),80.263996)</f>
        <v>80.263996</v>
      </c>
      <c r="F20571" s="4">
        <f>IFERROR(__xludf.DUMMYFUNCTION("""COMPUTED_VALUE"""),805.0)</f>
        <v>805</v>
      </c>
      <c r="G20571" s="4">
        <f>IFERROR(__xludf.DUMMYFUNCTION("""COMPUTED_VALUE"""),38.0)</f>
        <v>38</v>
      </c>
      <c r="H20571" s="4"/>
      <c r="I20571" s="4"/>
    </row>
    <row r="20572">
      <c r="A20572" s="4" t="str">
        <f>IFERROR(__xludf.DUMMYFUNCTION("""COMPUTED_VALUE"""),"cas_hmw")</f>
        <v>cas_hmw</v>
      </c>
      <c r="B20572" s="5">
        <f>IFERROR(__xludf.DUMMYFUNCTION("""COMPUTED_VALUE"""),44782.0)</f>
        <v>44782</v>
      </c>
      <c r="C20572" s="6">
        <f>IFERROR(__xludf.DUMMYFUNCTION("""COMPUTED_VALUE"""),0.7385300925925549)</f>
        <v>0.7385300926</v>
      </c>
      <c r="D20572" s="4">
        <f>IFERROR(__xludf.DUMMYFUNCTION("""COMPUTED_VALUE"""),12.984631)</f>
        <v>12.984631</v>
      </c>
      <c r="E20572" s="4">
        <f>IFERROR(__xludf.DUMMYFUNCTION("""COMPUTED_VALUE"""),80.121787)</f>
        <v>80.121787</v>
      </c>
      <c r="F20572" s="4">
        <f>IFERROR(__xludf.DUMMYFUNCTION("""COMPUTED_VALUE"""),3143.0)</f>
        <v>3143</v>
      </c>
      <c r="G20572" s="4">
        <f>IFERROR(__xludf.DUMMYFUNCTION("""COMPUTED_VALUE"""),21.0)</f>
        <v>21</v>
      </c>
      <c r="H20572" s="4"/>
      <c r="I20572" s="4"/>
    </row>
    <row r="20573">
      <c r="A20573" s="4" t="str">
        <f>IFERROR(__xludf.DUMMYFUNCTION("""COMPUTED_VALUE"""),"cas_hmw")</f>
        <v>cas_hmw</v>
      </c>
      <c r="B20573" s="5">
        <f>IFERROR(__xludf.DUMMYFUNCTION("""COMPUTED_VALUE"""),44782.0)</f>
        <v>44782</v>
      </c>
      <c r="C20573" s="6">
        <f>IFERROR(__xludf.DUMMYFUNCTION("""COMPUTED_VALUE"""),0.7389699074083182)</f>
        <v>0.7389699074</v>
      </c>
      <c r="D20573" s="4">
        <f>IFERROR(__xludf.DUMMYFUNCTION("""COMPUTED_VALUE"""),12.544247)</f>
        <v>12.544247</v>
      </c>
      <c r="E20573" s="4">
        <f>IFERROR(__xludf.DUMMYFUNCTION("""COMPUTED_VALUE"""),79.905116)</f>
        <v>79.905116</v>
      </c>
      <c r="F20573" s="4">
        <f>IFERROR(__xludf.DUMMYFUNCTION("""COMPUTED_VALUE"""),2846.0)</f>
        <v>2846</v>
      </c>
      <c r="G20573" s="4">
        <f>IFERROR(__xludf.DUMMYFUNCTION("""COMPUTED_VALUE"""),56.0)</f>
        <v>56</v>
      </c>
      <c r="H20573" s="4"/>
      <c r="I20573" s="4"/>
    </row>
    <row r="20574">
      <c r="A20574" s="4" t="str">
        <f>IFERROR(__xludf.DUMMYFUNCTION("""COMPUTED_VALUE"""),"cas_hmw")</f>
        <v>cas_hmw</v>
      </c>
      <c r="B20574" s="5">
        <f>IFERROR(__xludf.DUMMYFUNCTION("""COMPUTED_VALUE"""),44782.0)</f>
        <v>44782</v>
      </c>
      <c r="C20574" s="6">
        <f>IFERROR(__xludf.DUMMYFUNCTION("""COMPUTED_VALUE"""),0.7397569444437977)</f>
        <v>0.7397569444</v>
      </c>
      <c r="D20574" s="4">
        <f>IFERROR(__xludf.DUMMYFUNCTION("""COMPUTED_VALUE"""),13.044058)</f>
        <v>13.044058</v>
      </c>
      <c r="E20574" s="4">
        <f>IFERROR(__xludf.DUMMYFUNCTION("""COMPUTED_VALUE"""),80.267068)</f>
        <v>80.267068</v>
      </c>
      <c r="F20574" s="4">
        <f>IFERROR(__xludf.DUMMYFUNCTION("""COMPUTED_VALUE"""),805.0)</f>
        <v>805</v>
      </c>
      <c r="G20574" s="4">
        <f>IFERROR(__xludf.DUMMYFUNCTION("""COMPUTED_VALUE"""),29.0)</f>
        <v>29</v>
      </c>
      <c r="H20574" s="4"/>
      <c r="I20574" s="4"/>
    </row>
    <row r="20575">
      <c r="A20575" s="4" t="str">
        <f>IFERROR(__xludf.DUMMYFUNCTION("""COMPUTED_VALUE"""),"cas_hmw")</f>
        <v>cas_hmw</v>
      </c>
      <c r="B20575" s="5">
        <f>IFERROR(__xludf.DUMMYFUNCTION("""COMPUTED_VALUE"""),44782.0)</f>
        <v>44782</v>
      </c>
      <c r="C20575" s="6">
        <f>IFERROR(__xludf.DUMMYFUNCTION("""COMPUTED_VALUE"""),0.7397916666668607)</f>
        <v>0.7397916667</v>
      </c>
      <c r="D20575" s="4">
        <f>IFERROR(__xludf.DUMMYFUNCTION("""COMPUTED_VALUE"""),13.044058)</f>
        <v>13.044058</v>
      </c>
      <c r="E20575" s="4">
        <f>IFERROR(__xludf.DUMMYFUNCTION("""COMPUTED_VALUE"""),80.267068)</f>
        <v>80.267068</v>
      </c>
      <c r="F20575" s="4">
        <f>IFERROR(__xludf.DUMMYFUNCTION("""COMPUTED_VALUE"""),805.0)</f>
        <v>805</v>
      </c>
      <c r="G20575" s="4">
        <f>IFERROR(__xludf.DUMMYFUNCTION("""COMPUTED_VALUE"""),29.0)</f>
        <v>29</v>
      </c>
      <c r="H20575" s="4"/>
      <c r="I20575" s="4"/>
    </row>
    <row r="20576">
      <c r="A20576" s="4" t="str">
        <f>IFERROR(__xludf.DUMMYFUNCTION("""COMPUTED_VALUE"""),"cas_hmw")</f>
        <v>cas_hmw</v>
      </c>
      <c r="B20576" s="5">
        <f>IFERROR(__xludf.DUMMYFUNCTION("""COMPUTED_VALUE"""),44782.0)</f>
        <v>44782</v>
      </c>
      <c r="C20576" s="6">
        <f>IFERROR(__xludf.DUMMYFUNCTION("""COMPUTED_VALUE"""),0.7397916666668607)</f>
        <v>0.7397916667</v>
      </c>
      <c r="D20576" s="4">
        <f>IFERROR(__xludf.DUMMYFUNCTION("""COMPUTED_VALUE"""),13.044058)</f>
        <v>13.044058</v>
      </c>
      <c r="E20576" s="4">
        <f>IFERROR(__xludf.DUMMYFUNCTION("""COMPUTED_VALUE"""),80.267068)</f>
        <v>80.267068</v>
      </c>
      <c r="F20576" s="4">
        <f>IFERROR(__xludf.DUMMYFUNCTION("""COMPUTED_VALUE"""),805.0)</f>
        <v>805</v>
      </c>
      <c r="G20576" s="4">
        <f>IFERROR(__xludf.DUMMYFUNCTION("""COMPUTED_VALUE"""),29.0)</f>
        <v>29</v>
      </c>
      <c r="H20576" s="4"/>
      <c r="I20576" s="4"/>
    </row>
    <row r="20577">
      <c r="A20577" s="4" t="str">
        <f>IFERROR(__xludf.DUMMYFUNCTION("""COMPUTED_VALUE"""),"cas_hmw")</f>
        <v>cas_hmw</v>
      </c>
      <c r="B20577" s="5">
        <f>IFERROR(__xludf.DUMMYFUNCTION("""COMPUTED_VALUE"""),44782.0)</f>
        <v>44782</v>
      </c>
      <c r="C20577" s="6">
        <f>IFERROR(__xludf.DUMMYFUNCTION("""COMPUTED_VALUE"""),0.7420254629614647)</f>
        <v>0.742025463</v>
      </c>
      <c r="D20577" s="4">
        <f>IFERROR(__xludf.DUMMYFUNCTION("""COMPUTED_VALUE"""),12.514812)</f>
        <v>12.514812</v>
      </c>
      <c r="E20577" s="4">
        <f>IFERROR(__xludf.DUMMYFUNCTION("""COMPUTED_VALUE"""),79.888757)</f>
        <v>79.888757</v>
      </c>
      <c r="F20577" s="4">
        <f>IFERROR(__xludf.DUMMYFUNCTION("""COMPUTED_VALUE"""),2846.0)</f>
        <v>2846</v>
      </c>
      <c r="G20577" s="4">
        <f>IFERROR(__xludf.DUMMYFUNCTION("""COMPUTED_VALUE"""),52.0)</f>
        <v>52</v>
      </c>
      <c r="H20577" s="4"/>
      <c r="I20577" s="4"/>
    </row>
    <row r="20578">
      <c r="A20578" s="4" t="str">
        <f>IFERROR(__xludf.DUMMYFUNCTION("""COMPUTED_VALUE"""),"cas_hmw")</f>
        <v>cas_hmw</v>
      </c>
      <c r="B20578" s="5">
        <f>IFERROR(__xludf.DUMMYFUNCTION("""COMPUTED_VALUE"""),44782.0)</f>
        <v>44782</v>
      </c>
      <c r="C20578" s="6">
        <f>IFERROR(__xludf.DUMMYFUNCTION("""COMPUTED_VALUE"""),0.7423842592579604)</f>
        <v>0.7423842593</v>
      </c>
      <c r="D20578" s="4">
        <f>IFERROR(__xludf.DUMMYFUNCTION("""COMPUTED_VALUE"""),13.067126)</f>
        <v>13.067126</v>
      </c>
      <c r="E20578" s="4">
        <f>IFERROR(__xludf.DUMMYFUNCTION("""COMPUTED_VALUE"""),80.270356)</f>
        <v>80.270356</v>
      </c>
      <c r="F20578" s="4">
        <f>IFERROR(__xludf.DUMMYFUNCTION("""COMPUTED_VALUE"""),5339.0)</f>
        <v>5339</v>
      </c>
      <c r="G20578" s="4">
        <f>IFERROR(__xludf.DUMMYFUNCTION("""COMPUTED_VALUE"""),24.0)</f>
        <v>24</v>
      </c>
      <c r="H20578" s="4"/>
      <c r="I20578" s="4"/>
    </row>
    <row r="20579">
      <c r="A20579" s="4" t="str">
        <f>IFERROR(__xludf.DUMMYFUNCTION("""COMPUTED_VALUE"""),"cas_hmw")</f>
        <v>cas_hmw</v>
      </c>
      <c r="B20579" s="5">
        <f>IFERROR(__xludf.DUMMYFUNCTION("""COMPUTED_VALUE"""),44782.0)</f>
        <v>44782</v>
      </c>
      <c r="C20579" s="6">
        <f>IFERROR(__xludf.DUMMYFUNCTION("""COMPUTED_VALUE"""),0.74239583333474)</f>
        <v>0.7423958333</v>
      </c>
      <c r="D20579" s="4">
        <f>IFERROR(__xludf.DUMMYFUNCTION("""COMPUTED_VALUE"""),13.067126)</f>
        <v>13.067126</v>
      </c>
      <c r="E20579" s="4">
        <f>IFERROR(__xludf.DUMMYFUNCTION("""COMPUTED_VALUE"""),80.270356)</f>
        <v>80.270356</v>
      </c>
      <c r="F20579" s="4">
        <f>IFERROR(__xludf.DUMMYFUNCTION("""COMPUTED_VALUE"""),5339.0)</f>
        <v>5339</v>
      </c>
      <c r="G20579" s="4">
        <f>IFERROR(__xludf.DUMMYFUNCTION("""COMPUTED_VALUE"""),24.0)</f>
        <v>24</v>
      </c>
      <c r="H20579" s="4"/>
      <c r="I20579" s="4"/>
    </row>
    <row r="20580">
      <c r="A20580" s="4" t="str">
        <f>IFERROR(__xludf.DUMMYFUNCTION("""COMPUTED_VALUE"""),"cas_hmw")</f>
        <v>cas_hmw</v>
      </c>
      <c r="B20580" s="5">
        <f>IFERROR(__xludf.DUMMYFUNCTION("""COMPUTED_VALUE"""),44782.0)</f>
        <v>44782</v>
      </c>
      <c r="C20580" s="6">
        <f>IFERROR(__xludf.DUMMYFUNCTION("""COMPUTED_VALUE"""),0.7432060185201408)</f>
        <v>0.7432060185</v>
      </c>
      <c r="D20580" s="4">
        <f>IFERROR(__xludf.DUMMYFUNCTION("""COMPUTED_VALUE"""),12.992177)</f>
        <v>12.992177</v>
      </c>
      <c r="E20580" s="4">
        <f>IFERROR(__xludf.DUMMYFUNCTION("""COMPUTED_VALUE"""),80.114811)</f>
        <v>80.114811</v>
      </c>
      <c r="F20580" s="4">
        <f>IFERROR(__xludf.DUMMYFUNCTION("""COMPUTED_VALUE"""),3143.0)</f>
        <v>3143</v>
      </c>
      <c r="G20580" s="4">
        <f>IFERROR(__xludf.DUMMYFUNCTION("""COMPUTED_VALUE"""),24.0)</f>
        <v>24</v>
      </c>
      <c r="H20580" s="4"/>
      <c r="I20580" s="4"/>
    </row>
    <row r="20581">
      <c r="A20581" s="4" t="str">
        <f>IFERROR(__xludf.DUMMYFUNCTION("""COMPUTED_VALUE"""),"cas_hmw")</f>
        <v>cas_hmw</v>
      </c>
      <c r="B20581" s="5">
        <f>IFERROR(__xludf.DUMMYFUNCTION("""COMPUTED_VALUE"""),44782.0)</f>
        <v>44782</v>
      </c>
      <c r="C20581" s="6">
        <f>IFERROR(__xludf.DUMMYFUNCTION("""COMPUTED_VALUE"""),0.7432407407395658)</f>
        <v>0.7432407407</v>
      </c>
      <c r="D20581" s="4">
        <f>IFERROR(__xludf.DUMMYFUNCTION("""COMPUTED_VALUE"""),12.992177)</f>
        <v>12.992177</v>
      </c>
      <c r="E20581" s="4">
        <f>IFERROR(__xludf.DUMMYFUNCTION("""COMPUTED_VALUE"""),80.114811)</f>
        <v>80.114811</v>
      </c>
      <c r="F20581" s="4">
        <f>IFERROR(__xludf.DUMMYFUNCTION("""COMPUTED_VALUE"""),3143.0)</f>
        <v>3143</v>
      </c>
      <c r="G20581" s="4">
        <f>IFERROR(__xludf.DUMMYFUNCTION("""COMPUTED_VALUE"""),24.0)</f>
        <v>24</v>
      </c>
      <c r="H20581" s="4"/>
      <c r="I20581" s="4"/>
    </row>
    <row r="20582">
      <c r="A20582" s="4" t="str">
        <f>IFERROR(__xludf.DUMMYFUNCTION("""COMPUTED_VALUE"""),"cas_hmw")</f>
        <v>cas_hmw</v>
      </c>
      <c r="B20582" s="5">
        <f>IFERROR(__xludf.DUMMYFUNCTION("""COMPUTED_VALUE"""),44782.0)</f>
        <v>44782</v>
      </c>
      <c r="C20582" s="6">
        <f>IFERROR(__xludf.DUMMYFUNCTION("""COMPUTED_VALUE"""),0.7432638888894871)</f>
        <v>0.7432638889</v>
      </c>
      <c r="D20582" s="4">
        <f>IFERROR(__xludf.DUMMYFUNCTION("""COMPUTED_VALUE"""),12.992177)</f>
        <v>12.992177</v>
      </c>
      <c r="E20582" s="4">
        <f>IFERROR(__xludf.DUMMYFUNCTION("""COMPUTED_VALUE"""),80.114811)</f>
        <v>80.114811</v>
      </c>
      <c r="F20582" s="4">
        <f>IFERROR(__xludf.DUMMYFUNCTION("""COMPUTED_VALUE"""),3143.0)</f>
        <v>3143</v>
      </c>
      <c r="G20582" s="4">
        <f>IFERROR(__xludf.DUMMYFUNCTION("""COMPUTED_VALUE"""),24.0)</f>
        <v>24</v>
      </c>
      <c r="H20582" s="4"/>
      <c r="I20582" s="4"/>
    </row>
    <row r="20583">
      <c r="A20583" s="4" t="str">
        <f>IFERROR(__xludf.DUMMYFUNCTION("""COMPUTED_VALUE"""),"cas_hmw")</f>
        <v>cas_hmw</v>
      </c>
      <c r="B20583" s="5">
        <f>IFERROR(__xludf.DUMMYFUNCTION("""COMPUTED_VALUE"""),44782.0)</f>
        <v>44782</v>
      </c>
      <c r="C20583" s="6">
        <f>IFERROR(__xludf.DUMMYFUNCTION("""COMPUTED_VALUE"""),0.7432754629626288)</f>
        <v>0.743275463</v>
      </c>
      <c r="D20583" s="4">
        <f>IFERROR(__xludf.DUMMYFUNCTION("""COMPUTED_VALUE"""),12.993057)</f>
        <v>12.993057</v>
      </c>
      <c r="E20583" s="4">
        <f>IFERROR(__xludf.DUMMYFUNCTION("""COMPUTED_VALUE"""),80.113837)</f>
        <v>80.113837</v>
      </c>
      <c r="F20583" s="4">
        <f>IFERROR(__xludf.DUMMYFUNCTION("""COMPUTED_VALUE"""),3143.0)</f>
        <v>3143</v>
      </c>
      <c r="G20583" s="4">
        <f>IFERROR(__xludf.DUMMYFUNCTION("""COMPUTED_VALUE"""),32.0)</f>
        <v>32</v>
      </c>
      <c r="H20583" s="4"/>
      <c r="I20583" s="4"/>
    </row>
    <row r="20584">
      <c r="A20584" s="4" t="str">
        <f>IFERROR(__xludf.DUMMYFUNCTION("""COMPUTED_VALUE"""),"cas_hmw")</f>
        <v>cas_hmw</v>
      </c>
      <c r="B20584" s="5">
        <f>IFERROR(__xludf.DUMMYFUNCTION("""COMPUTED_VALUE"""),44782.0)</f>
        <v>44782</v>
      </c>
      <c r="C20584" s="6">
        <f>IFERROR(__xludf.DUMMYFUNCTION("""COMPUTED_VALUE"""),0.7432986111125501)</f>
        <v>0.7432986111</v>
      </c>
      <c r="D20584" s="4">
        <f>IFERROR(__xludf.DUMMYFUNCTION("""COMPUTED_VALUE"""),12.993057)</f>
        <v>12.993057</v>
      </c>
      <c r="E20584" s="4">
        <f>IFERROR(__xludf.DUMMYFUNCTION("""COMPUTED_VALUE"""),80.113837)</f>
        <v>80.113837</v>
      </c>
      <c r="F20584" s="4">
        <f>IFERROR(__xludf.DUMMYFUNCTION("""COMPUTED_VALUE"""),3143.0)</f>
        <v>3143</v>
      </c>
      <c r="G20584" s="4">
        <f>IFERROR(__xludf.DUMMYFUNCTION("""COMPUTED_VALUE"""),32.0)</f>
        <v>32</v>
      </c>
      <c r="H20584" s="4"/>
      <c r="I20584" s="4"/>
    </row>
    <row r="20585">
      <c r="A20585" s="4" t="str">
        <f>IFERROR(__xludf.DUMMYFUNCTION("""COMPUTED_VALUE"""),"cas_hmw")</f>
        <v>cas_hmw</v>
      </c>
      <c r="B20585" s="5">
        <f>IFERROR(__xludf.DUMMYFUNCTION("""COMPUTED_VALUE"""),44782.0)</f>
        <v>44782</v>
      </c>
      <c r="C20585" s="6">
        <f>IFERROR(__xludf.DUMMYFUNCTION("""COMPUTED_VALUE"""),0.7432986111125501)</f>
        <v>0.7432986111</v>
      </c>
      <c r="D20585" s="4">
        <f>IFERROR(__xludf.DUMMYFUNCTION("""COMPUTED_VALUE"""),12.993057)</f>
        <v>12.993057</v>
      </c>
      <c r="E20585" s="4">
        <f>IFERROR(__xludf.DUMMYFUNCTION("""COMPUTED_VALUE"""),80.113837)</f>
        <v>80.113837</v>
      </c>
      <c r="F20585" s="4">
        <f>IFERROR(__xludf.DUMMYFUNCTION("""COMPUTED_VALUE"""),3143.0)</f>
        <v>3143</v>
      </c>
      <c r="G20585" s="4">
        <f>IFERROR(__xludf.DUMMYFUNCTION("""COMPUTED_VALUE"""),32.0)</f>
        <v>32</v>
      </c>
      <c r="H20585" s="4"/>
      <c r="I20585" s="4"/>
    </row>
    <row r="20586">
      <c r="A20586" s="4" t="str">
        <f>IFERROR(__xludf.DUMMYFUNCTION("""COMPUTED_VALUE"""),"cas_hmw")</f>
        <v>cas_hmw</v>
      </c>
      <c r="B20586" s="5">
        <f>IFERROR(__xludf.DUMMYFUNCTION("""COMPUTED_VALUE"""),44782.0)</f>
        <v>44782</v>
      </c>
      <c r="C20586" s="6">
        <f>IFERROR(__xludf.DUMMYFUNCTION("""COMPUTED_VALUE"""),0.7432986111125501)</f>
        <v>0.7432986111</v>
      </c>
      <c r="D20586" s="4">
        <f>IFERROR(__xludf.DUMMYFUNCTION("""COMPUTED_VALUE"""),12.993057)</f>
        <v>12.993057</v>
      </c>
      <c r="E20586" s="4">
        <f>IFERROR(__xludf.DUMMYFUNCTION("""COMPUTED_VALUE"""),80.113837)</f>
        <v>80.113837</v>
      </c>
      <c r="F20586" s="4">
        <f>IFERROR(__xludf.DUMMYFUNCTION("""COMPUTED_VALUE"""),3143.0)</f>
        <v>3143</v>
      </c>
      <c r="G20586" s="4">
        <f>IFERROR(__xludf.DUMMYFUNCTION("""COMPUTED_VALUE"""),32.0)</f>
        <v>32</v>
      </c>
      <c r="H20586" s="4"/>
      <c r="I20586" s="4"/>
    </row>
    <row r="20587">
      <c r="A20587" s="4" t="str">
        <f>IFERROR(__xludf.DUMMYFUNCTION("""COMPUTED_VALUE"""),"cas_hmw")</f>
        <v>cas_hmw</v>
      </c>
      <c r="B20587" s="5">
        <f>IFERROR(__xludf.DUMMYFUNCTION("""COMPUTED_VALUE"""),44782.0)</f>
        <v>44782</v>
      </c>
      <c r="C20587" s="6">
        <f>IFERROR(__xludf.DUMMYFUNCTION("""COMPUTED_VALUE"""),0.7439814814824786)</f>
        <v>0.7439814815</v>
      </c>
      <c r="D20587" s="4">
        <f>IFERROR(__xludf.DUMMYFUNCTION("""COMPUTED_VALUE"""),12.995076)</f>
        <v>12.995076</v>
      </c>
      <c r="E20587" s="4">
        <f>IFERROR(__xludf.DUMMYFUNCTION("""COMPUTED_VALUE"""),80.111512)</f>
        <v>80.111512</v>
      </c>
      <c r="F20587" s="4">
        <f>IFERROR(__xludf.DUMMYFUNCTION("""COMPUTED_VALUE"""),3143.0)</f>
        <v>3143</v>
      </c>
      <c r="G20587" s="4">
        <f>IFERROR(__xludf.DUMMYFUNCTION("""COMPUTED_VALUE"""),26.0)</f>
        <v>26</v>
      </c>
      <c r="H20587" s="4"/>
      <c r="I20587" s="4"/>
    </row>
    <row r="20588">
      <c r="A20588" s="4" t="str">
        <f>IFERROR(__xludf.DUMMYFUNCTION("""COMPUTED_VALUE"""),"cas_hmw")</f>
        <v>cas_hmw</v>
      </c>
      <c r="B20588" s="5">
        <f>IFERROR(__xludf.DUMMYFUNCTION("""COMPUTED_VALUE"""),44782.0)</f>
        <v>44782</v>
      </c>
      <c r="C20588" s="6">
        <f>IFERROR(__xludf.DUMMYFUNCTION("""COMPUTED_VALUE"""),0.7440972222211713)</f>
        <v>0.7440972222</v>
      </c>
      <c r="D20588" s="4">
        <f>IFERROR(__xludf.DUMMYFUNCTION("""COMPUTED_VALUE"""),12.508075)</f>
        <v>12.508075</v>
      </c>
      <c r="E20588" s="4">
        <f>IFERROR(__xludf.DUMMYFUNCTION("""COMPUTED_VALUE"""),79.881918)</f>
        <v>79.881918</v>
      </c>
      <c r="F20588" s="4">
        <f>IFERROR(__xludf.DUMMYFUNCTION("""COMPUTED_VALUE"""),2846.0)</f>
        <v>2846</v>
      </c>
      <c r="G20588" s="4">
        <f>IFERROR(__xludf.DUMMYFUNCTION("""COMPUTED_VALUE"""),39.0)</f>
        <v>39</v>
      </c>
      <c r="H20588" s="4"/>
      <c r="I20588" s="4"/>
    </row>
    <row r="20589">
      <c r="A20589" s="4" t="str">
        <f>IFERROR(__xludf.DUMMYFUNCTION("""COMPUTED_VALUE"""),"cas_hmw")</f>
        <v>cas_hmw</v>
      </c>
      <c r="B20589" s="5">
        <f>IFERROR(__xludf.DUMMYFUNCTION("""COMPUTED_VALUE"""),44782.0)</f>
        <v>44782</v>
      </c>
      <c r="C20589" s="6">
        <f>IFERROR(__xludf.DUMMYFUNCTION("""COMPUTED_VALUE"""),0.7443518518521159)</f>
        <v>0.7443518519</v>
      </c>
      <c r="D20589" s="4">
        <f>IFERROR(__xludf.DUMMYFUNCTION("""COMPUTED_VALUE"""),12.996004)</f>
        <v>12.996004</v>
      </c>
      <c r="E20589" s="4">
        <f>IFERROR(__xludf.DUMMYFUNCTION("""COMPUTED_VALUE"""),80.109704)</f>
        <v>80.109704</v>
      </c>
      <c r="F20589" s="4">
        <f>IFERROR(__xludf.DUMMYFUNCTION("""COMPUTED_VALUE"""),3143.0)</f>
        <v>3143</v>
      </c>
      <c r="G20589" s="4">
        <f>IFERROR(__xludf.DUMMYFUNCTION("""COMPUTED_VALUE"""),13.0)</f>
        <v>13</v>
      </c>
      <c r="H20589" s="4"/>
      <c r="I20589" s="4"/>
    </row>
    <row r="20590">
      <c r="A20590" s="4" t="str">
        <f>IFERROR(__xludf.DUMMYFUNCTION("""COMPUTED_VALUE"""),"cas_hmw")</f>
        <v>cas_hmw</v>
      </c>
      <c r="B20590" s="5">
        <f>IFERROR(__xludf.DUMMYFUNCTION("""COMPUTED_VALUE"""),44782.0)</f>
        <v>44782</v>
      </c>
      <c r="C20590" s="6">
        <f>IFERROR(__xludf.DUMMYFUNCTION("""COMPUTED_VALUE"""),0.7457870370380988)</f>
        <v>0.745787037</v>
      </c>
      <c r="D20590" s="4">
        <f>IFERROR(__xludf.DUMMYFUNCTION("""COMPUTED_VALUE"""),12.998188)</f>
        <v>12.998188</v>
      </c>
      <c r="E20590" s="4">
        <f>IFERROR(__xludf.DUMMYFUNCTION("""COMPUTED_VALUE"""),80.101227)</f>
        <v>80.101227</v>
      </c>
      <c r="F20590" s="4">
        <f>IFERROR(__xludf.DUMMYFUNCTION("""COMPUTED_VALUE"""),3143.0)</f>
        <v>3143</v>
      </c>
      <c r="G20590" s="4">
        <f>IFERROR(__xludf.DUMMYFUNCTION("""COMPUTED_VALUE"""),24.0)</f>
        <v>24</v>
      </c>
      <c r="H20590" s="4"/>
      <c r="I20590" s="4"/>
    </row>
    <row r="20591">
      <c r="A20591" s="4" t="str">
        <f>IFERROR(__xludf.DUMMYFUNCTION("""COMPUTED_VALUE"""),"cas_hmw")</f>
        <v>cas_hmw</v>
      </c>
      <c r="B20591" s="5">
        <f>IFERROR(__xludf.DUMMYFUNCTION("""COMPUTED_VALUE"""),44782.0)</f>
        <v>44782</v>
      </c>
      <c r="C20591" s="6">
        <f>IFERROR(__xludf.DUMMYFUNCTION("""COMPUTED_VALUE"""),0.7458333333343035)</f>
        <v>0.7458333333</v>
      </c>
      <c r="D20591" s="4">
        <f>IFERROR(__xludf.DUMMYFUNCTION("""COMPUTED_VALUE"""),12.998188)</f>
        <v>12.998188</v>
      </c>
      <c r="E20591" s="4">
        <f>IFERROR(__xludf.DUMMYFUNCTION("""COMPUTED_VALUE"""),80.101227)</f>
        <v>80.101227</v>
      </c>
      <c r="F20591" s="4">
        <f>IFERROR(__xludf.DUMMYFUNCTION("""COMPUTED_VALUE"""),3143.0)</f>
        <v>3143</v>
      </c>
      <c r="G20591" s="4">
        <f>IFERROR(__xludf.DUMMYFUNCTION("""COMPUTED_VALUE"""),24.0)</f>
        <v>24</v>
      </c>
      <c r="H20591" s="4"/>
      <c r="I20591" s="4"/>
    </row>
    <row r="20592">
      <c r="A20592" s="4" t="str">
        <f>IFERROR(__xludf.DUMMYFUNCTION("""COMPUTED_VALUE"""),"cas_hmw")</f>
        <v>cas_hmw</v>
      </c>
      <c r="B20592" s="5">
        <f>IFERROR(__xludf.DUMMYFUNCTION("""COMPUTED_VALUE"""),44782.0)</f>
        <v>44782</v>
      </c>
      <c r="C20592" s="6">
        <f>IFERROR(__xludf.DUMMYFUNCTION("""COMPUTED_VALUE"""),0.7471180555548926)</f>
        <v>0.7471180556</v>
      </c>
      <c r="D20592" s="4">
        <f>IFERROR(__xludf.DUMMYFUNCTION("""COMPUTED_VALUE"""),13.072666)</f>
        <v>13.072666</v>
      </c>
      <c r="E20592" s="4">
        <f>IFERROR(__xludf.DUMMYFUNCTION("""COMPUTED_VALUE"""),80.26047)</f>
        <v>80.26047</v>
      </c>
      <c r="F20592" s="4">
        <f>IFERROR(__xludf.DUMMYFUNCTION("""COMPUTED_VALUE"""),5339.0)</f>
        <v>5339</v>
      </c>
      <c r="G20592" s="4">
        <f>IFERROR(__xludf.DUMMYFUNCTION("""COMPUTED_VALUE"""),26.0)</f>
        <v>26</v>
      </c>
      <c r="H20592" s="4"/>
      <c r="I20592" s="4"/>
    </row>
    <row r="20593">
      <c r="A20593" s="4" t="str">
        <f>IFERROR(__xludf.DUMMYFUNCTION("""COMPUTED_VALUE"""),"cas_hmw")</f>
        <v>cas_hmw</v>
      </c>
      <c r="B20593" s="5">
        <f>IFERROR(__xludf.DUMMYFUNCTION("""COMPUTED_VALUE"""),44782.0)</f>
        <v>44782</v>
      </c>
      <c r="C20593" s="6">
        <f>IFERROR(__xludf.DUMMYFUNCTION("""COMPUTED_VALUE"""),0.7478356481478841)</f>
        <v>0.7478356481</v>
      </c>
      <c r="D20593" s="4">
        <f>IFERROR(__xludf.DUMMYFUNCTION("""COMPUTED_VALUE"""),12.999296)</f>
        <v>12.999296</v>
      </c>
      <c r="E20593" s="4">
        <f>IFERROR(__xludf.DUMMYFUNCTION("""COMPUTED_VALUE"""),80.096978)</f>
        <v>80.096978</v>
      </c>
      <c r="F20593" s="4">
        <f>IFERROR(__xludf.DUMMYFUNCTION("""COMPUTED_VALUE"""),3143.0)</f>
        <v>3143</v>
      </c>
      <c r="G20593" s="4">
        <f>IFERROR(__xludf.DUMMYFUNCTION("""COMPUTED_VALUE"""),20.0)</f>
        <v>20</v>
      </c>
      <c r="H20593" s="4"/>
      <c r="I20593" s="4"/>
    </row>
    <row r="20594">
      <c r="A20594" s="4" t="str">
        <f>IFERROR(__xludf.DUMMYFUNCTION("""COMPUTED_VALUE"""),"cas_hmw")</f>
        <v>cas_hmw</v>
      </c>
      <c r="B20594" s="5">
        <f>IFERROR(__xludf.DUMMYFUNCTION("""COMPUTED_VALUE"""),44782.0)</f>
        <v>44782</v>
      </c>
      <c r="C20594" s="6">
        <f>IFERROR(__xludf.DUMMYFUNCTION("""COMPUTED_VALUE"""),0.7497800925921183)</f>
        <v>0.7497800926</v>
      </c>
      <c r="D20594" s="4">
        <f>IFERROR(__xludf.DUMMYFUNCTION("""COMPUTED_VALUE"""),13.005531)</f>
        <v>13.005531</v>
      </c>
      <c r="E20594" s="4">
        <f>IFERROR(__xludf.DUMMYFUNCTION("""COMPUTED_VALUE"""),80.100312)</f>
        <v>80.100312</v>
      </c>
      <c r="F20594" s="4">
        <f>IFERROR(__xludf.DUMMYFUNCTION("""COMPUTED_VALUE"""),3143.0)</f>
        <v>3143</v>
      </c>
      <c r="G20594" s="4">
        <f>IFERROR(__xludf.DUMMYFUNCTION("""COMPUTED_VALUE"""),20.0)</f>
        <v>20</v>
      </c>
      <c r="H20594" s="4"/>
      <c r="I20594" s="4"/>
    </row>
    <row r="20595">
      <c r="A20595" s="4" t="str">
        <f>IFERROR(__xludf.DUMMYFUNCTION("""COMPUTED_VALUE"""),"cas_hmw")</f>
        <v>cas_hmw</v>
      </c>
      <c r="B20595" s="5">
        <f>IFERROR(__xludf.DUMMYFUNCTION("""COMPUTED_VALUE"""),44782.0)</f>
        <v>44782</v>
      </c>
      <c r="C20595" s="6">
        <f>IFERROR(__xludf.DUMMYFUNCTION("""COMPUTED_VALUE"""),0.7497800925921183)</f>
        <v>0.7497800926</v>
      </c>
      <c r="D20595" s="4">
        <f>IFERROR(__xludf.DUMMYFUNCTION("""COMPUTED_VALUE"""),13.005531)</f>
        <v>13.005531</v>
      </c>
      <c r="E20595" s="4">
        <f>IFERROR(__xludf.DUMMYFUNCTION("""COMPUTED_VALUE"""),80.100312)</f>
        <v>80.100312</v>
      </c>
      <c r="F20595" s="4">
        <f>IFERROR(__xludf.DUMMYFUNCTION("""COMPUTED_VALUE"""),3143.0)</f>
        <v>3143</v>
      </c>
      <c r="G20595" s="4">
        <f>IFERROR(__xludf.DUMMYFUNCTION("""COMPUTED_VALUE"""),20.0)</f>
        <v>20</v>
      </c>
      <c r="H20595" s="4"/>
      <c r="I20595" s="4"/>
    </row>
    <row r="20596">
      <c r="A20596" s="4" t="str">
        <f>IFERROR(__xludf.DUMMYFUNCTION("""COMPUTED_VALUE"""),"cas_hmw")</f>
        <v>cas_hmw</v>
      </c>
      <c r="B20596" s="5">
        <f>IFERROR(__xludf.DUMMYFUNCTION("""COMPUTED_VALUE"""),44782.0)</f>
        <v>44782</v>
      </c>
      <c r="C20596" s="6">
        <f>IFERROR(__xludf.DUMMYFUNCTION("""COMPUTED_VALUE"""),0.7499074074075907)</f>
        <v>0.7499074074</v>
      </c>
      <c r="D20596" s="4">
        <f>IFERROR(__xludf.DUMMYFUNCTION("""COMPUTED_VALUE"""),13.006615)</f>
        <v>13.006615</v>
      </c>
      <c r="E20596" s="4">
        <f>IFERROR(__xludf.DUMMYFUNCTION("""COMPUTED_VALUE"""),80.100375)</f>
        <v>80.100375</v>
      </c>
      <c r="F20596" s="4">
        <f>IFERROR(__xludf.DUMMYFUNCTION("""COMPUTED_VALUE"""),3143.0)</f>
        <v>3143</v>
      </c>
      <c r="G20596" s="4">
        <f>IFERROR(__xludf.DUMMYFUNCTION("""COMPUTED_VALUE"""),6.0)</f>
        <v>6</v>
      </c>
      <c r="H20596" s="4"/>
      <c r="I20596" s="4"/>
    </row>
    <row r="20597">
      <c r="A20597" s="4" t="str">
        <f>IFERROR(__xludf.DUMMYFUNCTION("""COMPUTED_VALUE"""),"cas_hmw")</f>
        <v>cas_hmw</v>
      </c>
      <c r="B20597" s="5">
        <f>IFERROR(__xludf.DUMMYFUNCTION("""COMPUTED_VALUE"""),44782.0)</f>
        <v>44782</v>
      </c>
      <c r="C20597" s="6">
        <f>IFERROR(__xludf.DUMMYFUNCTION("""COMPUTED_VALUE"""),0.7499421296306537)</f>
        <v>0.7499421296</v>
      </c>
      <c r="D20597" s="4">
        <f>IFERROR(__xludf.DUMMYFUNCTION("""COMPUTED_VALUE"""),13.006615)</f>
        <v>13.006615</v>
      </c>
      <c r="E20597" s="4">
        <f>IFERROR(__xludf.DUMMYFUNCTION("""COMPUTED_VALUE"""),80.100375)</f>
        <v>80.100375</v>
      </c>
      <c r="F20597" s="4">
        <f>IFERROR(__xludf.DUMMYFUNCTION("""COMPUTED_VALUE"""),3143.0)</f>
        <v>3143</v>
      </c>
      <c r="G20597" s="4">
        <f>IFERROR(__xludf.DUMMYFUNCTION("""COMPUTED_VALUE"""),6.0)</f>
        <v>6</v>
      </c>
      <c r="H20597" s="4"/>
      <c r="I20597" s="4"/>
    </row>
    <row r="20598">
      <c r="A20598" s="4" t="str">
        <f>IFERROR(__xludf.DUMMYFUNCTION("""COMPUTED_VALUE"""),"cas_hmw")</f>
        <v>cas_hmw</v>
      </c>
      <c r="B20598" s="5">
        <f>IFERROR(__xludf.DUMMYFUNCTION("""COMPUTED_VALUE"""),44782.0)</f>
        <v>44782</v>
      </c>
      <c r="C20598" s="6">
        <f>IFERROR(__xludf.DUMMYFUNCTION("""COMPUTED_VALUE"""),0.7500810185192677)</f>
        <v>0.7500810185</v>
      </c>
      <c r="D20598" s="4">
        <f>IFERROR(__xludf.DUMMYFUNCTION("""COMPUTED_VALUE"""),13.007054)</f>
        <v>13.007054</v>
      </c>
      <c r="E20598" s="4">
        <f>IFERROR(__xludf.DUMMYFUNCTION("""COMPUTED_VALUE"""),80.100538)</f>
        <v>80.100538</v>
      </c>
      <c r="F20598" s="4">
        <f>IFERROR(__xludf.DUMMYFUNCTION("""COMPUTED_VALUE"""),3143.0)</f>
        <v>3143</v>
      </c>
      <c r="G20598" s="4">
        <f>IFERROR(__xludf.DUMMYFUNCTION("""COMPUTED_VALUE"""),28.0)</f>
        <v>28</v>
      </c>
      <c r="H20598" s="4"/>
      <c r="I20598" s="4"/>
    </row>
    <row r="20599">
      <c r="A20599" s="4" t="str">
        <f>IFERROR(__xludf.DUMMYFUNCTION("""COMPUTED_VALUE"""),"cas_hmw")</f>
        <v>cas_hmw</v>
      </c>
      <c r="B20599" s="5">
        <f>IFERROR(__xludf.DUMMYFUNCTION("""COMPUTED_VALUE"""),44782.0)</f>
        <v>44782</v>
      </c>
      <c r="C20599" s="6">
        <f>IFERROR(__xludf.DUMMYFUNCTION("""COMPUTED_VALUE"""),0.752407407406281)</f>
        <v>0.7524074074</v>
      </c>
      <c r="D20599" s="4">
        <f>IFERROR(__xludf.DUMMYFUNCTION("""COMPUTED_VALUE"""),13.018714)</f>
        <v>13.018714</v>
      </c>
      <c r="E20599" s="4">
        <f>IFERROR(__xludf.DUMMYFUNCTION("""COMPUTED_VALUE"""),80.103331)</f>
        <v>80.103331</v>
      </c>
      <c r="F20599" s="4">
        <f>IFERROR(__xludf.DUMMYFUNCTION("""COMPUTED_VALUE"""),3143.0)</f>
        <v>3143</v>
      </c>
      <c r="G20599" s="4">
        <f>IFERROR(__xludf.DUMMYFUNCTION("""COMPUTED_VALUE"""),16.0)</f>
        <v>16</v>
      </c>
      <c r="H20599" s="4"/>
      <c r="I20599" s="4"/>
    </row>
    <row r="20600">
      <c r="A20600" s="4" t="str">
        <f>IFERROR(__xludf.DUMMYFUNCTION("""COMPUTED_VALUE"""),"cas_hmw")</f>
        <v>cas_hmw</v>
      </c>
      <c r="B20600" s="5">
        <f>IFERROR(__xludf.DUMMYFUNCTION("""COMPUTED_VALUE"""),44782.0)</f>
        <v>44782</v>
      </c>
      <c r="C20600" s="6">
        <f>IFERROR(__xludf.DUMMYFUNCTION("""COMPUTED_VALUE"""),0.75251157407547)</f>
        <v>0.7525115741</v>
      </c>
      <c r="D20600" s="4">
        <f>IFERROR(__xludf.DUMMYFUNCTION("""COMPUTED_VALUE"""),13.018952)</f>
        <v>13.018952</v>
      </c>
      <c r="E20600" s="4">
        <f>IFERROR(__xludf.DUMMYFUNCTION("""COMPUTED_VALUE"""),80.103553)</f>
        <v>80.103553</v>
      </c>
      <c r="F20600" s="4">
        <f>IFERROR(__xludf.DUMMYFUNCTION("""COMPUTED_VALUE"""),3143.0)</f>
        <v>3143</v>
      </c>
      <c r="G20600" s="4">
        <f>IFERROR(__xludf.DUMMYFUNCTION("""COMPUTED_VALUE"""),13.0)</f>
        <v>13</v>
      </c>
      <c r="H20600" s="4"/>
      <c r="I20600" s="4"/>
    </row>
    <row r="20601">
      <c r="A20601" s="4" t="str">
        <f>IFERROR(__xludf.DUMMYFUNCTION("""COMPUTED_VALUE"""),"cas_hmw")</f>
        <v>cas_hmw</v>
      </c>
      <c r="B20601" s="5">
        <f>IFERROR(__xludf.DUMMYFUNCTION("""COMPUTED_VALUE"""),44782.0)</f>
        <v>44782</v>
      </c>
      <c r="C20601" s="6">
        <f>IFERROR(__xludf.DUMMYFUNCTION("""COMPUTED_VALUE"""),0.7525231481486117)</f>
        <v>0.7525231481</v>
      </c>
      <c r="D20601" s="4">
        <f>IFERROR(__xludf.DUMMYFUNCTION("""COMPUTED_VALUE"""),13.018952)</f>
        <v>13.018952</v>
      </c>
      <c r="E20601" s="4">
        <f>IFERROR(__xludf.DUMMYFUNCTION("""COMPUTED_VALUE"""),80.103553)</f>
        <v>80.103553</v>
      </c>
      <c r="F20601" s="4">
        <f>IFERROR(__xludf.DUMMYFUNCTION("""COMPUTED_VALUE"""),3143.0)</f>
        <v>3143</v>
      </c>
      <c r="G20601" s="4">
        <f>IFERROR(__xludf.DUMMYFUNCTION("""COMPUTED_VALUE"""),13.0)</f>
        <v>13</v>
      </c>
      <c r="H20601" s="4"/>
      <c r="I20601" s="4"/>
    </row>
    <row r="20602">
      <c r="A20602" s="4" t="str">
        <f>IFERROR(__xludf.DUMMYFUNCTION("""COMPUTED_VALUE"""),"cas_hmw")</f>
        <v>cas_hmw</v>
      </c>
      <c r="B20602" s="5">
        <f>IFERROR(__xludf.DUMMYFUNCTION("""COMPUTED_VALUE"""),44782.0)</f>
        <v>44782</v>
      </c>
      <c r="C20602" s="6">
        <f>IFERROR(__xludf.DUMMYFUNCTION("""COMPUTED_VALUE"""),0.752650462964084)</f>
        <v>0.752650463</v>
      </c>
      <c r="D20602" s="4">
        <f>IFERROR(__xludf.DUMMYFUNCTION("""COMPUTED_VALUE"""),13.018952)</f>
        <v>13.018952</v>
      </c>
      <c r="E20602" s="4">
        <f>IFERROR(__xludf.DUMMYFUNCTION("""COMPUTED_VALUE"""),80.103553)</f>
        <v>80.103553</v>
      </c>
      <c r="F20602" s="4">
        <f>IFERROR(__xludf.DUMMYFUNCTION("""COMPUTED_VALUE"""),3143.0)</f>
        <v>3143</v>
      </c>
      <c r="G20602" s="4">
        <f>IFERROR(__xludf.DUMMYFUNCTION("""COMPUTED_VALUE"""),13.0)</f>
        <v>13</v>
      </c>
      <c r="H20602" s="4"/>
      <c r="I20602" s="4"/>
    </row>
    <row r="20603">
      <c r="A20603" s="4" t="str">
        <f>IFERROR(__xludf.DUMMYFUNCTION("""COMPUTED_VALUE"""),"cas_hmw")</f>
        <v>cas_hmw</v>
      </c>
      <c r="B20603" s="5">
        <f>IFERROR(__xludf.DUMMYFUNCTION("""COMPUTED_VALUE"""),44782.0)</f>
        <v>44782</v>
      </c>
      <c r="C20603" s="6">
        <f>IFERROR(__xludf.DUMMYFUNCTION("""COMPUTED_VALUE"""),0.7556134259248211)</f>
        <v>0.7556134259</v>
      </c>
      <c r="D20603" s="4">
        <f>IFERROR(__xludf.DUMMYFUNCTION("""COMPUTED_VALUE"""),13.031006)</f>
        <v>13.031006</v>
      </c>
      <c r="E20603" s="4">
        <f>IFERROR(__xludf.DUMMYFUNCTION("""COMPUTED_VALUE"""),80.111183)</f>
        <v>80.111183</v>
      </c>
      <c r="F20603" s="4">
        <f>IFERROR(__xludf.DUMMYFUNCTION("""COMPUTED_VALUE"""),3143.0)</f>
        <v>3143</v>
      </c>
      <c r="G20603" s="4">
        <f>IFERROR(__xludf.DUMMYFUNCTION("""COMPUTED_VALUE"""),10.0)</f>
        <v>10</v>
      </c>
      <c r="H20603" s="4"/>
      <c r="I20603" s="4"/>
    </row>
    <row r="20604">
      <c r="A20604" s="4" t="str">
        <f>IFERROR(__xludf.DUMMYFUNCTION("""COMPUTED_VALUE"""),"cas_hmw")</f>
        <v>cas_hmw</v>
      </c>
      <c r="B20604" s="5">
        <f>IFERROR(__xludf.DUMMYFUNCTION("""COMPUTED_VALUE"""),44782.0)</f>
        <v>44782</v>
      </c>
      <c r="C20604" s="6">
        <f>IFERROR(__xludf.DUMMYFUNCTION("""COMPUTED_VALUE"""),0.7556134259248211)</f>
        <v>0.7556134259</v>
      </c>
      <c r="D20604" s="4">
        <f>IFERROR(__xludf.DUMMYFUNCTION("""COMPUTED_VALUE"""),13.031006)</f>
        <v>13.031006</v>
      </c>
      <c r="E20604" s="4">
        <f>IFERROR(__xludf.DUMMYFUNCTION("""COMPUTED_VALUE"""),80.111183)</f>
        <v>80.111183</v>
      </c>
      <c r="F20604" s="4">
        <f>IFERROR(__xludf.DUMMYFUNCTION("""COMPUTED_VALUE"""),3143.0)</f>
        <v>3143</v>
      </c>
      <c r="G20604" s="4">
        <f>IFERROR(__xludf.DUMMYFUNCTION("""COMPUTED_VALUE"""),10.0)</f>
        <v>10</v>
      </c>
      <c r="H20604" s="4"/>
      <c r="I20604" s="4"/>
    </row>
    <row r="20605">
      <c r="A20605" s="4" t="str">
        <f>IFERROR(__xludf.DUMMYFUNCTION("""COMPUTED_VALUE"""),"cas_hmw")</f>
        <v>cas_hmw</v>
      </c>
      <c r="B20605" s="5">
        <f>IFERROR(__xludf.DUMMYFUNCTION("""COMPUTED_VALUE"""),44782.0)</f>
        <v>44782</v>
      </c>
      <c r="C20605" s="6">
        <f>IFERROR(__xludf.DUMMYFUNCTION("""COMPUTED_VALUE"""),0.7556481481478841)</f>
        <v>0.7556481481</v>
      </c>
      <c r="D20605" s="4">
        <f>IFERROR(__xludf.DUMMYFUNCTION("""COMPUTED_VALUE"""),13.031006)</f>
        <v>13.031006</v>
      </c>
      <c r="E20605" s="4">
        <f>IFERROR(__xludf.DUMMYFUNCTION("""COMPUTED_VALUE"""),80.111183)</f>
        <v>80.111183</v>
      </c>
      <c r="F20605" s="4">
        <f>IFERROR(__xludf.DUMMYFUNCTION("""COMPUTED_VALUE"""),3143.0)</f>
        <v>3143</v>
      </c>
      <c r="G20605" s="4">
        <f>IFERROR(__xludf.DUMMYFUNCTION("""COMPUTED_VALUE"""),10.0)</f>
        <v>10</v>
      </c>
      <c r="H20605" s="4"/>
      <c r="I20605" s="4"/>
    </row>
    <row r="20606">
      <c r="A20606" s="4" t="str">
        <f>IFERROR(__xludf.DUMMYFUNCTION("""COMPUTED_VALUE"""),"cas_hmw")</f>
        <v>cas_hmw</v>
      </c>
      <c r="B20606" s="5">
        <f>IFERROR(__xludf.DUMMYFUNCTION("""COMPUTED_VALUE"""),44782.0)</f>
        <v>44782</v>
      </c>
      <c r="C20606" s="6">
        <f>IFERROR(__xludf.DUMMYFUNCTION("""COMPUTED_VALUE"""),0.7556828703709471)</f>
        <v>0.7556828704</v>
      </c>
      <c r="D20606" s="4">
        <f>IFERROR(__xludf.DUMMYFUNCTION("""COMPUTED_VALUE"""),13.031438)</f>
        <v>13.031438</v>
      </c>
      <c r="E20606" s="4">
        <f>IFERROR(__xludf.DUMMYFUNCTION("""COMPUTED_VALUE"""),80.111128)</f>
        <v>80.111128</v>
      </c>
      <c r="F20606" s="4">
        <f>IFERROR(__xludf.DUMMYFUNCTION("""COMPUTED_VALUE"""),3143.0)</f>
        <v>3143</v>
      </c>
      <c r="G20606" s="4">
        <f>IFERROR(__xludf.DUMMYFUNCTION("""COMPUTED_VALUE"""),0.0)</f>
        <v>0</v>
      </c>
      <c r="H20606" s="4"/>
      <c r="I20606" s="4"/>
    </row>
    <row r="20607">
      <c r="A20607" s="4" t="str">
        <f>IFERROR(__xludf.DUMMYFUNCTION("""COMPUTED_VALUE"""),"cas_hmw")</f>
        <v>cas_hmw</v>
      </c>
      <c r="B20607" s="5">
        <f>IFERROR(__xludf.DUMMYFUNCTION("""COMPUTED_VALUE"""),44782.0)</f>
        <v>44782</v>
      </c>
      <c r="C20607" s="6">
        <f>IFERROR(__xludf.DUMMYFUNCTION("""COMPUTED_VALUE"""),0.7556944444440887)</f>
        <v>0.7556944444</v>
      </c>
      <c r="D20607" s="4">
        <f>IFERROR(__xludf.DUMMYFUNCTION("""COMPUTED_VALUE"""),13.031438)</f>
        <v>13.031438</v>
      </c>
      <c r="E20607" s="4">
        <f>IFERROR(__xludf.DUMMYFUNCTION("""COMPUTED_VALUE"""),80.111128)</f>
        <v>80.111128</v>
      </c>
      <c r="F20607" s="4">
        <f>IFERROR(__xludf.DUMMYFUNCTION("""COMPUTED_VALUE"""),3143.0)</f>
        <v>3143</v>
      </c>
      <c r="G20607" s="4">
        <f>IFERROR(__xludf.DUMMYFUNCTION("""COMPUTED_VALUE"""),0.0)</f>
        <v>0</v>
      </c>
      <c r="H20607" s="4"/>
      <c r="I20607" s="4"/>
    </row>
    <row r="20608">
      <c r="A20608" s="4" t="str">
        <f>IFERROR(__xludf.DUMMYFUNCTION("""COMPUTED_VALUE"""),"cas_hmw")</f>
        <v>cas_hmw</v>
      </c>
      <c r="B20608" s="5">
        <f>IFERROR(__xludf.DUMMYFUNCTION("""COMPUTED_VALUE"""),44782.0)</f>
        <v>44782</v>
      </c>
      <c r="C20608" s="6">
        <f>IFERROR(__xludf.DUMMYFUNCTION("""COMPUTED_VALUE"""),0.7564004629639385)</f>
        <v>0.756400463</v>
      </c>
      <c r="D20608" s="4">
        <f>IFERROR(__xludf.DUMMYFUNCTION("""COMPUTED_VALUE"""),13.034686)</f>
        <v>13.034686</v>
      </c>
      <c r="E20608" s="4">
        <f>IFERROR(__xludf.DUMMYFUNCTION("""COMPUTED_VALUE"""),80.111869)</f>
        <v>80.111869</v>
      </c>
      <c r="F20608" s="4">
        <f>IFERROR(__xludf.DUMMYFUNCTION("""COMPUTED_VALUE"""),3143.0)</f>
        <v>3143</v>
      </c>
      <c r="G20608" s="4">
        <f>IFERROR(__xludf.DUMMYFUNCTION("""COMPUTED_VALUE"""),27.0)</f>
        <v>27</v>
      </c>
      <c r="H20608" s="4"/>
      <c r="I20608" s="4"/>
    </row>
    <row r="20609">
      <c r="A20609" s="4" t="str">
        <f>IFERROR(__xludf.DUMMYFUNCTION("""COMPUTED_VALUE"""),"cas_hmw")</f>
        <v>cas_hmw</v>
      </c>
      <c r="B20609" s="5">
        <f>IFERROR(__xludf.DUMMYFUNCTION("""COMPUTED_VALUE"""),44782.0)</f>
        <v>44782</v>
      </c>
      <c r="C20609" s="6">
        <f>IFERROR(__xludf.DUMMYFUNCTION("""COMPUTED_VALUE"""),0.7578125)</f>
        <v>0.7578125</v>
      </c>
      <c r="D20609" s="4">
        <f>IFERROR(__xludf.DUMMYFUNCTION("""COMPUTED_VALUE"""),13.039322)</f>
        <v>13.039322</v>
      </c>
      <c r="E20609" s="4">
        <f>IFERROR(__xludf.DUMMYFUNCTION("""COMPUTED_VALUE"""),80.113595)</f>
        <v>80.113595</v>
      </c>
      <c r="F20609" s="4">
        <f>IFERROR(__xludf.DUMMYFUNCTION("""COMPUTED_VALUE"""),3143.0)</f>
        <v>3143</v>
      </c>
      <c r="G20609" s="4">
        <f>IFERROR(__xludf.DUMMYFUNCTION("""COMPUTED_VALUE"""),16.0)</f>
        <v>16</v>
      </c>
      <c r="H20609" s="4"/>
      <c r="I20609" s="4"/>
    </row>
    <row r="20610">
      <c r="A20610" s="4" t="str">
        <f>IFERROR(__xludf.DUMMYFUNCTION("""COMPUTED_VALUE"""),"cas_hmw")</f>
        <v>cas_hmw</v>
      </c>
      <c r="B20610" s="5">
        <f>IFERROR(__xludf.DUMMYFUNCTION("""COMPUTED_VALUE"""),44782.0)</f>
        <v>44782</v>
      </c>
      <c r="C20610" s="6">
        <f>IFERROR(__xludf.DUMMYFUNCTION("""COMPUTED_VALUE"""),0.7582523148157634)</f>
        <v>0.7582523148</v>
      </c>
      <c r="D20610" s="4">
        <f>IFERROR(__xludf.DUMMYFUNCTION("""COMPUTED_VALUE"""),13.042436)</f>
        <v>13.042436</v>
      </c>
      <c r="E20610" s="4">
        <f>IFERROR(__xludf.DUMMYFUNCTION("""COMPUTED_VALUE"""),80.115136)</f>
        <v>80.115136</v>
      </c>
      <c r="F20610" s="4">
        <f>IFERROR(__xludf.DUMMYFUNCTION("""COMPUTED_VALUE"""),3143.0)</f>
        <v>3143</v>
      </c>
      <c r="G20610" s="4">
        <f>IFERROR(__xludf.DUMMYFUNCTION("""COMPUTED_VALUE"""),27.0)</f>
        <v>27</v>
      </c>
      <c r="H20610" s="4"/>
      <c r="I20610" s="4"/>
    </row>
    <row r="20611">
      <c r="A20611" s="4" t="str">
        <f>IFERROR(__xludf.DUMMYFUNCTION("""COMPUTED_VALUE"""),"cas_hmw")</f>
        <v>cas_hmw</v>
      </c>
      <c r="B20611" s="5">
        <f>IFERROR(__xludf.DUMMYFUNCTION("""COMPUTED_VALUE"""),44782.0)</f>
        <v>44782</v>
      </c>
      <c r="C20611" s="6">
        <f>IFERROR(__xludf.DUMMYFUNCTION("""COMPUTED_VALUE"""),0.7594675925938645)</f>
        <v>0.7594675926</v>
      </c>
      <c r="D20611" s="4">
        <f>IFERROR(__xludf.DUMMYFUNCTION("""COMPUTED_VALUE"""),13.045085)</f>
        <v>13.045085</v>
      </c>
      <c r="E20611" s="4">
        <f>IFERROR(__xludf.DUMMYFUNCTION("""COMPUTED_VALUE"""),80.116323)</f>
        <v>80.116323</v>
      </c>
      <c r="F20611" s="4">
        <f>IFERROR(__xludf.DUMMYFUNCTION("""COMPUTED_VALUE"""),3143.0)</f>
        <v>3143</v>
      </c>
      <c r="G20611" s="4">
        <f>IFERROR(__xludf.DUMMYFUNCTION("""COMPUTED_VALUE"""),14.0)</f>
        <v>14</v>
      </c>
      <c r="H20611" s="4"/>
      <c r="I20611" s="4"/>
    </row>
    <row r="20612">
      <c r="A20612" s="4" t="str">
        <f>IFERROR(__xludf.DUMMYFUNCTION("""COMPUTED_VALUE"""),"cas_hmw")</f>
        <v>cas_hmw</v>
      </c>
      <c r="B20612" s="5">
        <f>IFERROR(__xludf.DUMMYFUNCTION("""COMPUTED_VALUE"""),44782.0)</f>
        <v>44782</v>
      </c>
      <c r="C20612" s="6">
        <f>IFERROR(__xludf.DUMMYFUNCTION("""COMPUTED_VALUE"""),0.7599884259252576)</f>
        <v>0.7599884259</v>
      </c>
      <c r="D20612" s="4">
        <f>IFERROR(__xludf.DUMMYFUNCTION("""COMPUTED_VALUE"""),13.046806)</f>
        <v>13.046806</v>
      </c>
      <c r="E20612" s="4">
        <f>IFERROR(__xludf.DUMMYFUNCTION("""COMPUTED_VALUE"""),80.119474)</f>
        <v>80.119474</v>
      </c>
      <c r="F20612" s="4">
        <f>IFERROR(__xludf.DUMMYFUNCTION("""COMPUTED_VALUE"""),3143.0)</f>
        <v>3143</v>
      </c>
      <c r="G20612" s="4">
        <f>IFERROR(__xludf.DUMMYFUNCTION("""COMPUTED_VALUE"""),52.0)</f>
        <v>52</v>
      </c>
      <c r="H20612" s="4"/>
      <c r="I20612" s="4"/>
    </row>
    <row r="20613">
      <c r="A20613" s="4" t="str">
        <f>IFERROR(__xludf.DUMMYFUNCTION("""COMPUTED_VALUE"""),"cas_hmw")</f>
        <v>cas_hmw</v>
      </c>
      <c r="B20613" s="5">
        <f>IFERROR(__xludf.DUMMYFUNCTION("""COMPUTED_VALUE"""),44782.0)</f>
        <v>44782</v>
      </c>
      <c r="C20613" s="6">
        <f>IFERROR(__xludf.DUMMYFUNCTION("""COMPUTED_VALUE"""),0.760428240741021)</f>
        <v>0.7604282407</v>
      </c>
      <c r="D20613" s="4">
        <f>IFERROR(__xludf.DUMMYFUNCTION("""COMPUTED_VALUE"""),13.049182)</f>
        <v>13.049182</v>
      </c>
      <c r="E20613" s="4">
        <f>IFERROR(__xludf.DUMMYFUNCTION("""COMPUTED_VALUE"""),80.121035)</f>
        <v>80.121035</v>
      </c>
      <c r="F20613" s="4">
        <f>IFERROR(__xludf.DUMMYFUNCTION("""COMPUTED_VALUE"""),3143.0)</f>
        <v>3143</v>
      </c>
      <c r="G20613" s="4">
        <f>IFERROR(__xludf.DUMMYFUNCTION("""COMPUTED_VALUE"""),36.0)</f>
        <v>36</v>
      </c>
      <c r="H20613" s="4"/>
      <c r="I20613" s="4"/>
    </row>
    <row r="20614">
      <c r="A20614" s="4" t="str">
        <f>IFERROR(__xludf.DUMMYFUNCTION("""COMPUTED_VALUE"""),"cas_hmw")</f>
        <v>cas_hmw</v>
      </c>
      <c r="B20614" s="5">
        <f>IFERROR(__xludf.DUMMYFUNCTION("""COMPUTED_VALUE"""),44782.0)</f>
        <v>44782</v>
      </c>
      <c r="C20614" s="6">
        <f>IFERROR(__xludf.DUMMYFUNCTION("""COMPUTED_VALUE"""),0.7661111111119681)</f>
        <v>0.7661111111</v>
      </c>
      <c r="D20614" s="4">
        <f>IFERROR(__xludf.DUMMYFUNCTION("""COMPUTED_VALUE"""),13.056432)</f>
        <v>13.056432</v>
      </c>
      <c r="E20614" s="4">
        <f>IFERROR(__xludf.DUMMYFUNCTION("""COMPUTED_VALUE"""),80.097452)</f>
        <v>80.097452</v>
      </c>
      <c r="F20614" s="4">
        <f>IFERROR(__xludf.DUMMYFUNCTION("""COMPUTED_VALUE"""),3143.0)</f>
        <v>3143</v>
      </c>
      <c r="G20614" s="4">
        <f>IFERROR(__xludf.DUMMYFUNCTION("""COMPUTED_VALUE"""),12.0)</f>
        <v>12</v>
      </c>
      <c r="H20614" s="4"/>
      <c r="I20614" s="4"/>
    </row>
    <row r="20615">
      <c r="A20615" s="4" t="str">
        <f>IFERROR(__xludf.DUMMYFUNCTION("""COMPUTED_VALUE"""),"cas_hmw")</f>
        <v>cas_hmw</v>
      </c>
      <c r="B20615" s="5">
        <f>IFERROR(__xludf.DUMMYFUNCTION("""COMPUTED_VALUE"""),44782.0)</f>
        <v>44782</v>
      </c>
      <c r="C20615" s="6">
        <f>IFERROR(__xludf.DUMMYFUNCTION("""COMPUTED_VALUE"""),0.78655092592453)</f>
        <v>0.7865509259</v>
      </c>
      <c r="D20615" s="4">
        <f>IFERROR(__xludf.DUMMYFUNCTION("""COMPUTED_VALUE"""),12.886417)</f>
        <v>12.886417</v>
      </c>
      <c r="E20615" s="4">
        <f>IFERROR(__xludf.DUMMYFUNCTION("""COMPUTED_VALUE"""),80.078524)</f>
        <v>80.078524</v>
      </c>
      <c r="F20615" s="4">
        <f>IFERROR(__xludf.DUMMYFUNCTION("""COMPUTED_VALUE"""),3143.0)</f>
        <v>3143</v>
      </c>
      <c r="G20615" s="4">
        <f>IFERROR(__xludf.DUMMYFUNCTION("""COMPUTED_VALUE"""),54.0)</f>
        <v>54</v>
      </c>
      <c r="H20615" s="4"/>
      <c r="I20615" s="4"/>
    </row>
    <row r="20616">
      <c r="A20616" s="4" t="str">
        <f>IFERROR(__xludf.DUMMYFUNCTION("""COMPUTED_VALUE"""),"cas_hmw")</f>
        <v>cas_hmw</v>
      </c>
      <c r="B20616" s="5">
        <f>IFERROR(__xludf.DUMMYFUNCTION("""COMPUTED_VALUE"""),44783.0)</f>
        <v>44783</v>
      </c>
      <c r="C20616" s="6">
        <f>IFERROR(__xludf.DUMMYFUNCTION("""COMPUTED_VALUE"""),0.2715393518519704)</f>
        <v>0.2715393519</v>
      </c>
      <c r="D20616" s="4">
        <f>IFERROR(__xludf.DUMMYFUNCTION("""COMPUTED_VALUE"""),12.952337)</f>
        <v>12.952337</v>
      </c>
      <c r="E20616" s="4">
        <f>IFERROR(__xludf.DUMMYFUNCTION("""COMPUTED_VALUE"""),80.088214)</f>
        <v>80.088214</v>
      </c>
      <c r="F20616" s="4">
        <f>IFERROR(__xludf.DUMMYFUNCTION("""COMPUTED_VALUE"""),3143.0)</f>
        <v>3143</v>
      </c>
      <c r="G20616" s="4">
        <f>IFERROR(__xludf.DUMMYFUNCTION("""COMPUTED_VALUE"""),57.0)</f>
        <v>57</v>
      </c>
      <c r="H20616" s="4"/>
      <c r="I20616" s="4"/>
    </row>
    <row r="20617">
      <c r="A20617" s="4" t="str">
        <f>IFERROR(__xludf.DUMMYFUNCTION("""COMPUTED_VALUE"""),"cas_hmw")</f>
        <v>cas_hmw</v>
      </c>
      <c r="B20617" s="5">
        <f>IFERROR(__xludf.DUMMYFUNCTION("""COMPUTED_VALUE"""),44783.0)</f>
        <v>44783</v>
      </c>
      <c r="C20617" s="6">
        <f>IFERROR(__xludf.DUMMYFUNCTION("""COMPUTED_VALUE"""),0.27574074074072996)</f>
        <v>0.2757407407</v>
      </c>
      <c r="D20617" s="4">
        <f>IFERROR(__xludf.DUMMYFUNCTION("""COMPUTED_VALUE"""),13.005293)</f>
        <v>13.005293</v>
      </c>
      <c r="E20617" s="4">
        <f>IFERROR(__xludf.DUMMYFUNCTION("""COMPUTED_VALUE"""),80.090343)</f>
        <v>80.090343</v>
      </c>
      <c r="F20617" s="4">
        <f>IFERROR(__xludf.DUMMYFUNCTION("""COMPUTED_VALUE"""),3143.0)</f>
        <v>3143</v>
      </c>
      <c r="G20617" s="4">
        <f>IFERROR(__xludf.DUMMYFUNCTION("""COMPUTED_VALUE"""),58.0)</f>
        <v>58</v>
      </c>
      <c r="H20617" s="4"/>
      <c r="I20617" s="4"/>
    </row>
    <row r="20618">
      <c r="A20618" s="4" t="str">
        <f>IFERROR(__xludf.DUMMYFUNCTION("""COMPUTED_VALUE"""),"cas_hmw")</f>
        <v>cas_hmw</v>
      </c>
      <c r="B20618" s="5">
        <f>IFERROR(__xludf.DUMMYFUNCTION("""COMPUTED_VALUE"""),44783.0)</f>
        <v>44783</v>
      </c>
      <c r="C20618" s="6">
        <f>IFERROR(__xludf.DUMMYFUNCTION("""COMPUTED_VALUE"""),0.28613425925868796)</f>
        <v>0.2861342593</v>
      </c>
      <c r="D20618" s="4">
        <f>IFERROR(__xludf.DUMMYFUNCTION("""COMPUTED_VALUE"""),13.050395)</f>
        <v>13.050395</v>
      </c>
      <c r="E20618" s="4">
        <f>IFERROR(__xludf.DUMMYFUNCTION("""COMPUTED_VALUE"""),80.088833)</f>
        <v>80.088833</v>
      </c>
      <c r="F20618" s="4">
        <f>IFERROR(__xludf.DUMMYFUNCTION("""COMPUTED_VALUE"""),3143.0)</f>
        <v>3143</v>
      </c>
      <c r="G20618" s="4">
        <f>IFERROR(__xludf.DUMMYFUNCTION("""COMPUTED_VALUE"""),53.0)</f>
        <v>53</v>
      </c>
      <c r="H20618" s="4"/>
      <c r="I20618" s="4"/>
    </row>
    <row r="20619">
      <c r="A20619" s="4" t="str">
        <f>IFERROR(__xludf.DUMMYFUNCTION("""COMPUTED_VALUE"""),"cas_hmw")</f>
        <v>cas_hmw</v>
      </c>
      <c r="B20619" s="5">
        <f>IFERROR(__xludf.DUMMYFUNCTION("""COMPUTED_VALUE"""),44783.0)</f>
        <v>44783</v>
      </c>
      <c r="C20619" s="6">
        <f>IFERROR(__xludf.DUMMYFUNCTION("""COMPUTED_VALUE"""),0.2879050925912452)</f>
        <v>0.2879050926</v>
      </c>
      <c r="D20619" s="4">
        <f>IFERROR(__xludf.DUMMYFUNCTION("""COMPUTED_VALUE"""),13.05668)</f>
        <v>13.05668</v>
      </c>
      <c r="E20619" s="4">
        <f>IFERROR(__xludf.DUMMYFUNCTION("""COMPUTED_VALUE"""),80.097876)</f>
        <v>80.097876</v>
      </c>
      <c r="F20619" s="4">
        <f>IFERROR(__xludf.DUMMYFUNCTION("""COMPUTED_VALUE"""),3143.0)</f>
        <v>3143</v>
      </c>
      <c r="G20619" s="4">
        <f>IFERROR(__xludf.DUMMYFUNCTION("""COMPUTED_VALUE"""),24.0)</f>
        <v>24</v>
      </c>
      <c r="H20619" s="4"/>
      <c r="I20619" s="4"/>
    </row>
    <row r="20620">
      <c r="A20620" s="4" t="str">
        <f>IFERROR(__xludf.DUMMYFUNCTION("""COMPUTED_VALUE"""),"cas_hmw")</f>
        <v>cas_hmw</v>
      </c>
      <c r="B20620" s="5">
        <f>IFERROR(__xludf.DUMMYFUNCTION("""COMPUTED_VALUE"""),44783.0)</f>
        <v>44783</v>
      </c>
      <c r="C20620" s="6">
        <f>IFERROR(__xludf.DUMMYFUNCTION("""COMPUTED_VALUE"""),0.28806712962978054)</f>
        <v>0.2880671296</v>
      </c>
      <c r="D20620" s="4">
        <f>IFERROR(__xludf.DUMMYFUNCTION("""COMPUTED_VALUE"""),13.057035)</f>
        <v>13.057035</v>
      </c>
      <c r="E20620" s="4">
        <f>IFERROR(__xludf.DUMMYFUNCTION("""COMPUTED_VALUE"""),80.09955)</f>
        <v>80.09955</v>
      </c>
      <c r="F20620" s="4">
        <f>IFERROR(__xludf.DUMMYFUNCTION("""COMPUTED_VALUE"""),3143.0)</f>
        <v>3143</v>
      </c>
      <c r="G20620" s="4">
        <f>IFERROR(__xludf.DUMMYFUNCTION("""COMPUTED_VALUE"""),37.0)</f>
        <v>37</v>
      </c>
      <c r="H20620" s="4"/>
      <c r="I20620" s="4"/>
    </row>
    <row r="20621">
      <c r="A20621" s="4" t="str">
        <f>IFERROR(__xludf.DUMMYFUNCTION("""COMPUTED_VALUE"""),"cas_hmw")</f>
        <v>cas_hmw</v>
      </c>
      <c r="B20621" s="5">
        <f>IFERROR(__xludf.DUMMYFUNCTION("""COMPUTED_VALUE"""),44783.0)</f>
        <v>44783</v>
      </c>
      <c r="C20621" s="6">
        <f>IFERROR(__xludf.DUMMYFUNCTION("""COMPUTED_VALUE"""),0.2881134259259852)</f>
        <v>0.2881134259</v>
      </c>
      <c r="D20621" s="4">
        <f>IFERROR(__xludf.DUMMYFUNCTION("""COMPUTED_VALUE"""),13.057035)</f>
        <v>13.057035</v>
      </c>
      <c r="E20621" s="4">
        <f>IFERROR(__xludf.DUMMYFUNCTION("""COMPUTED_VALUE"""),80.09955)</f>
        <v>80.09955</v>
      </c>
      <c r="F20621" s="4">
        <f>IFERROR(__xludf.DUMMYFUNCTION("""COMPUTED_VALUE"""),3143.0)</f>
        <v>3143</v>
      </c>
      <c r="G20621" s="4">
        <f>IFERROR(__xludf.DUMMYFUNCTION("""COMPUTED_VALUE"""),37.0)</f>
        <v>37</v>
      </c>
      <c r="H20621" s="4"/>
      <c r="I20621" s="4"/>
    </row>
    <row r="20622">
      <c r="A20622" s="4" t="str">
        <f>IFERROR(__xludf.DUMMYFUNCTION("""COMPUTED_VALUE"""),"cas_hmw")</f>
        <v>cas_hmw</v>
      </c>
      <c r="B20622" s="5">
        <f>IFERROR(__xludf.DUMMYFUNCTION("""COMPUTED_VALUE"""),44783.0)</f>
        <v>44783</v>
      </c>
      <c r="C20622" s="6">
        <f>IFERROR(__xludf.DUMMYFUNCTION("""COMPUTED_VALUE"""),0.28825231481459923)</f>
        <v>0.2882523148</v>
      </c>
      <c r="D20622" s="4">
        <f>IFERROR(__xludf.DUMMYFUNCTION("""COMPUTED_VALUE"""),12.459197)</f>
        <v>12.459197</v>
      </c>
      <c r="E20622" s="4">
        <f>IFERROR(__xludf.DUMMYFUNCTION("""COMPUTED_VALUE"""),79.845283)</f>
        <v>79.845283</v>
      </c>
      <c r="F20622" s="4">
        <f>IFERROR(__xludf.DUMMYFUNCTION("""COMPUTED_VALUE"""),2846.0)</f>
        <v>2846</v>
      </c>
      <c r="G20622" s="4">
        <f>IFERROR(__xludf.DUMMYFUNCTION("""COMPUTED_VALUE"""),53.0)</f>
        <v>53</v>
      </c>
      <c r="H20622" s="4"/>
      <c r="I20622" s="4"/>
    </row>
    <row r="20623">
      <c r="A20623" s="4" t="str">
        <f>IFERROR(__xludf.DUMMYFUNCTION("""COMPUTED_VALUE"""),"cas_hmw")</f>
        <v>cas_hmw</v>
      </c>
      <c r="B20623" s="5">
        <f>IFERROR(__xludf.DUMMYFUNCTION("""COMPUTED_VALUE"""),44783.0)</f>
        <v>44783</v>
      </c>
      <c r="C20623" s="6">
        <f>IFERROR(__xludf.DUMMYFUNCTION("""COMPUTED_VALUE"""),0.2888425925921183)</f>
        <v>0.2888425926</v>
      </c>
      <c r="D20623" s="4">
        <f>IFERROR(__xludf.DUMMYFUNCTION("""COMPUTED_VALUE"""),13.05717)</f>
        <v>13.05717</v>
      </c>
      <c r="E20623" s="4">
        <f>IFERROR(__xludf.DUMMYFUNCTION("""COMPUTED_VALUE"""),80.106783)</f>
        <v>80.106783</v>
      </c>
      <c r="F20623" s="4">
        <f>IFERROR(__xludf.DUMMYFUNCTION("""COMPUTED_VALUE"""),3143.0)</f>
        <v>3143</v>
      </c>
      <c r="G20623" s="4">
        <f>IFERROR(__xludf.DUMMYFUNCTION("""COMPUTED_VALUE"""),52.0)</f>
        <v>52</v>
      </c>
      <c r="H20623" s="4"/>
      <c r="I20623" s="4"/>
    </row>
    <row r="20624">
      <c r="A20624" s="4" t="str">
        <f>IFERROR(__xludf.DUMMYFUNCTION("""COMPUTED_VALUE"""),"cas_hmw")</f>
        <v>cas_hmw</v>
      </c>
      <c r="B20624" s="5">
        <f>IFERROR(__xludf.DUMMYFUNCTION("""COMPUTED_VALUE"""),44783.0)</f>
        <v>44783</v>
      </c>
      <c r="C20624" s="6">
        <f>IFERROR(__xludf.DUMMYFUNCTION("""COMPUTED_VALUE"""),0.288993055553874)</f>
        <v>0.2889930556</v>
      </c>
      <c r="D20624" s="4">
        <f>IFERROR(__xludf.DUMMYFUNCTION("""COMPUTED_VALUE"""),13.056935)</f>
        <v>13.056935</v>
      </c>
      <c r="E20624" s="4">
        <f>IFERROR(__xludf.DUMMYFUNCTION("""COMPUTED_VALUE"""),80.109342)</f>
        <v>80.109342</v>
      </c>
      <c r="F20624" s="4">
        <f>IFERROR(__xludf.DUMMYFUNCTION("""COMPUTED_VALUE"""),3143.0)</f>
        <v>3143</v>
      </c>
      <c r="G20624" s="4">
        <f>IFERROR(__xludf.DUMMYFUNCTION("""COMPUTED_VALUE"""),48.0)</f>
        <v>48</v>
      </c>
      <c r="H20624" s="4"/>
      <c r="I20624" s="4"/>
    </row>
    <row r="20625">
      <c r="A20625" s="4" t="str">
        <f>IFERROR(__xludf.DUMMYFUNCTION("""COMPUTED_VALUE"""),"cas_hmw")</f>
        <v>cas_hmw</v>
      </c>
      <c r="B20625" s="5">
        <f>IFERROR(__xludf.DUMMYFUNCTION("""COMPUTED_VALUE"""),44783.0)</f>
        <v>44783</v>
      </c>
      <c r="C20625" s="6">
        <f>IFERROR(__xludf.DUMMYFUNCTION("""COMPUTED_VALUE"""),0.29118055555591127)</f>
        <v>0.2911805556</v>
      </c>
      <c r="D20625" s="4">
        <f>IFERROR(__xludf.DUMMYFUNCTION("""COMPUTED_VALUE"""),12.486155)</f>
        <v>12.486155</v>
      </c>
      <c r="E20625" s="4">
        <f>IFERROR(__xludf.DUMMYFUNCTION("""COMPUTED_VALUE"""),79.864212)</f>
        <v>79.864212</v>
      </c>
      <c r="F20625" s="4">
        <f>IFERROR(__xludf.DUMMYFUNCTION("""COMPUTED_VALUE"""),2846.0)</f>
        <v>2846</v>
      </c>
      <c r="G20625" s="4">
        <f>IFERROR(__xludf.DUMMYFUNCTION("""COMPUTED_VALUE"""),57.0)</f>
        <v>57</v>
      </c>
      <c r="H20625" s="4"/>
      <c r="I20625" s="4"/>
    </row>
    <row r="20626">
      <c r="A20626" s="4" t="str">
        <f>IFERROR(__xludf.DUMMYFUNCTION("""COMPUTED_VALUE"""),"cas_hmw")</f>
        <v>cas_hmw</v>
      </c>
      <c r="B20626" s="5">
        <f>IFERROR(__xludf.DUMMYFUNCTION("""COMPUTED_VALUE"""),44783.0)</f>
        <v>44783</v>
      </c>
      <c r="C20626" s="6">
        <f>IFERROR(__xludf.DUMMYFUNCTION("""COMPUTED_VALUE"""),0.2924768518532801)</f>
        <v>0.2924768519</v>
      </c>
      <c r="D20626" s="4">
        <f>IFERROR(__xludf.DUMMYFUNCTION("""COMPUTED_VALUE"""),12.494131)</f>
        <v>12.494131</v>
      </c>
      <c r="E20626" s="4">
        <f>IFERROR(__xludf.DUMMYFUNCTION("""COMPUTED_VALUE"""),79.870322)</f>
        <v>79.870322</v>
      </c>
      <c r="F20626" s="4">
        <f>IFERROR(__xludf.DUMMYFUNCTION("""COMPUTED_VALUE"""),2846.0)</f>
        <v>2846</v>
      </c>
      <c r="G20626" s="4">
        <f>IFERROR(__xludf.DUMMYFUNCTION("""COMPUTED_VALUE"""),58.0)</f>
        <v>58</v>
      </c>
      <c r="H20626" s="4"/>
      <c r="I20626" s="4"/>
    </row>
    <row r="20627">
      <c r="A20627" s="4" t="str">
        <f>IFERROR(__xludf.DUMMYFUNCTION("""COMPUTED_VALUE"""),"cas_hmw")</f>
        <v>cas_hmw</v>
      </c>
      <c r="B20627" s="5">
        <f>IFERROR(__xludf.DUMMYFUNCTION("""COMPUTED_VALUE"""),44783.0)</f>
        <v>44783</v>
      </c>
      <c r="C20627" s="6">
        <f>IFERROR(__xludf.DUMMYFUNCTION("""COMPUTED_VALUE"""),0.294189814816491)</f>
        <v>0.2941898148</v>
      </c>
      <c r="D20627" s="4">
        <f>IFERROR(__xludf.DUMMYFUNCTION("""COMPUTED_VALUE"""),12.508899)</f>
        <v>12.508899</v>
      </c>
      <c r="E20627" s="4">
        <f>IFERROR(__xludf.DUMMYFUNCTION("""COMPUTED_VALUE"""),79.882084)</f>
        <v>79.882084</v>
      </c>
      <c r="F20627" s="4">
        <f>IFERROR(__xludf.DUMMYFUNCTION("""COMPUTED_VALUE"""),2846.0)</f>
        <v>2846</v>
      </c>
      <c r="G20627" s="4">
        <f>IFERROR(__xludf.DUMMYFUNCTION("""COMPUTED_VALUE"""),15.0)</f>
        <v>15</v>
      </c>
      <c r="H20627" s="4"/>
      <c r="I20627" s="4"/>
    </row>
    <row r="20628">
      <c r="A20628" s="4" t="str">
        <f>IFERROR(__xludf.DUMMYFUNCTION("""COMPUTED_VALUE"""),"cas_hmw")</f>
        <v>cas_hmw</v>
      </c>
      <c r="B20628" s="5">
        <f>IFERROR(__xludf.DUMMYFUNCTION("""COMPUTED_VALUE"""),44783.0)</f>
        <v>44783</v>
      </c>
      <c r="C20628" s="6">
        <f>IFERROR(__xludf.DUMMYFUNCTION("""COMPUTED_VALUE"""),0.30153935185080627)</f>
        <v>0.3015393519</v>
      </c>
      <c r="D20628" s="4">
        <f>IFERROR(__xludf.DUMMYFUNCTION("""COMPUTED_VALUE"""),12.524602)</f>
        <v>12.524602</v>
      </c>
      <c r="E20628" s="4">
        <f>IFERROR(__xludf.DUMMYFUNCTION("""COMPUTED_VALUE"""),79.896747)</f>
        <v>79.896747</v>
      </c>
      <c r="F20628" s="4">
        <f>IFERROR(__xludf.DUMMYFUNCTION("""COMPUTED_VALUE"""),2846.0)</f>
        <v>2846</v>
      </c>
      <c r="G20628" s="4">
        <f>IFERROR(__xludf.DUMMYFUNCTION("""COMPUTED_VALUE"""),58.0)</f>
        <v>58</v>
      </c>
      <c r="H20628" s="4"/>
      <c r="I20628" s="4"/>
    </row>
    <row r="20629">
      <c r="A20629" s="4" t="str">
        <f>IFERROR(__xludf.DUMMYFUNCTION("""COMPUTED_VALUE"""),"cas_hmw")</f>
        <v>cas_hmw</v>
      </c>
      <c r="B20629" s="5">
        <f>IFERROR(__xludf.DUMMYFUNCTION("""COMPUTED_VALUE"""),44783.0)</f>
        <v>44783</v>
      </c>
      <c r="C20629" s="6">
        <f>IFERROR(__xludf.DUMMYFUNCTION("""COMPUTED_VALUE"""),0.30362268518365454)</f>
        <v>0.3036226852</v>
      </c>
      <c r="D20629" s="4">
        <f>IFERROR(__xludf.DUMMYFUNCTION("""COMPUTED_VALUE"""),13.065973)</f>
        <v>13.065973</v>
      </c>
      <c r="E20629" s="4">
        <f>IFERROR(__xludf.DUMMYFUNCTION("""COMPUTED_VALUE"""),80.267669)</f>
        <v>80.267669</v>
      </c>
      <c r="F20629" s="4">
        <f>IFERROR(__xludf.DUMMYFUNCTION("""COMPUTED_VALUE"""),805.0)</f>
        <v>805</v>
      </c>
      <c r="G20629" s="4">
        <f>IFERROR(__xludf.DUMMYFUNCTION("""COMPUTED_VALUE"""),35.0)</f>
        <v>35</v>
      </c>
      <c r="H20629" s="4"/>
      <c r="I20629" s="4"/>
    </row>
    <row r="20630">
      <c r="A20630" s="4" t="str">
        <f>IFERROR(__xludf.DUMMYFUNCTION("""COMPUTED_VALUE"""),"cas_hmw")</f>
        <v>cas_hmw</v>
      </c>
      <c r="B20630" s="5">
        <f>IFERROR(__xludf.DUMMYFUNCTION("""COMPUTED_VALUE"""),44783.0)</f>
        <v>44783</v>
      </c>
      <c r="C20630" s="6">
        <f>IFERROR(__xludf.DUMMYFUNCTION("""COMPUTED_VALUE"""),0.304583333334449)</f>
        <v>0.3045833333</v>
      </c>
      <c r="D20630" s="4">
        <f>IFERROR(__xludf.DUMMYFUNCTION("""COMPUTED_VALUE"""),13.066837)</f>
        <v>13.066837</v>
      </c>
      <c r="E20630" s="4">
        <f>IFERROR(__xludf.DUMMYFUNCTION("""COMPUTED_VALUE"""),80.269932)</f>
        <v>80.269932</v>
      </c>
      <c r="F20630" s="4">
        <f>IFERROR(__xludf.DUMMYFUNCTION("""COMPUTED_VALUE"""),805.0)</f>
        <v>805</v>
      </c>
      <c r="G20630" s="4">
        <f>IFERROR(__xludf.DUMMYFUNCTION("""COMPUTED_VALUE"""),44.0)</f>
        <v>44</v>
      </c>
      <c r="H20630" s="4"/>
      <c r="I20630" s="4"/>
    </row>
    <row r="20631">
      <c r="A20631" s="4" t="str">
        <f>IFERROR(__xludf.DUMMYFUNCTION("""COMPUTED_VALUE"""),"cas_hmw")</f>
        <v>cas_hmw</v>
      </c>
      <c r="B20631" s="5">
        <f>IFERROR(__xludf.DUMMYFUNCTION("""COMPUTED_VALUE"""),44783.0)</f>
        <v>44783</v>
      </c>
      <c r="C20631" s="6">
        <f>IFERROR(__xludf.DUMMYFUNCTION("""COMPUTED_VALUE"""),0.3090162037042319)</f>
        <v>0.3090162037</v>
      </c>
      <c r="D20631" s="4">
        <f>IFERROR(__xludf.DUMMYFUNCTION("""COMPUTED_VALUE"""),13.002487)</f>
        <v>13.002487</v>
      </c>
      <c r="E20631" s="4">
        <f>IFERROR(__xludf.DUMMYFUNCTION("""COMPUTED_VALUE"""),80.098676)</f>
        <v>80.098676</v>
      </c>
      <c r="F20631" s="4">
        <f>IFERROR(__xludf.DUMMYFUNCTION("""COMPUTED_VALUE"""),3143.0)</f>
        <v>3143</v>
      </c>
      <c r="G20631" s="4">
        <f>IFERROR(__xludf.DUMMYFUNCTION("""COMPUTED_VALUE"""),40.0)</f>
        <v>40</v>
      </c>
      <c r="H20631" s="4"/>
      <c r="I20631" s="4"/>
    </row>
    <row r="20632">
      <c r="A20632" s="4" t="str">
        <f>IFERROR(__xludf.DUMMYFUNCTION("""COMPUTED_VALUE"""),"cas_hmw")</f>
        <v>cas_hmw</v>
      </c>
      <c r="B20632" s="5">
        <f>IFERROR(__xludf.DUMMYFUNCTION("""COMPUTED_VALUE"""),44783.0)</f>
        <v>44783</v>
      </c>
      <c r="C20632" s="6">
        <f>IFERROR(__xludf.DUMMYFUNCTION("""COMPUTED_VALUE"""),0.30909722222349956)</f>
        <v>0.3090972222</v>
      </c>
      <c r="D20632" s="4">
        <f>IFERROR(__xludf.DUMMYFUNCTION("""COMPUTED_VALUE"""),13.002487)</f>
        <v>13.002487</v>
      </c>
      <c r="E20632" s="4">
        <f>IFERROR(__xludf.DUMMYFUNCTION("""COMPUTED_VALUE"""),80.098676)</f>
        <v>80.098676</v>
      </c>
      <c r="F20632" s="4">
        <f>IFERROR(__xludf.DUMMYFUNCTION("""COMPUTED_VALUE"""),3143.0)</f>
        <v>3143</v>
      </c>
      <c r="G20632" s="4">
        <f>IFERROR(__xludf.DUMMYFUNCTION("""COMPUTED_VALUE"""),40.0)</f>
        <v>40</v>
      </c>
      <c r="H20632" s="4"/>
      <c r="I20632" s="4"/>
    </row>
    <row r="20633">
      <c r="A20633" s="4" t="str">
        <f>IFERROR(__xludf.DUMMYFUNCTION("""COMPUTED_VALUE"""),"cas_hmw")</f>
        <v>cas_hmw</v>
      </c>
      <c r="B20633" s="5">
        <f>IFERROR(__xludf.DUMMYFUNCTION("""COMPUTED_VALUE"""),44783.0)</f>
        <v>44783</v>
      </c>
      <c r="C20633" s="6">
        <f>IFERROR(__xludf.DUMMYFUNCTION("""COMPUTED_VALUE"""),0.3091203703697829)</f>
        <v>0.3091203704</v>
      </c>
      <c r="D20633" s="4">
        <f>IFERROR(__xludf.DUMMYFUNCTION("""COMPUTED_VALUE"""),13.002487)</f>
        <v>13.002487</v>
      </c>
      <c r="E20633" s="4">
        <f>IFERROR(__xludf.DUMMYFUNCTION("""COMPUTED_VALUE"""),80.098676)</f>
        <v>80.098676</v>
      </c>
      <c r="F20633" s="4">
        <f>IFERROR(__xludf.DUMMYFUNCTION("""COMPUTED_VALUE"""),3143.0)</f>
        <v>3143</v>
      </c>
      <c r="G20633" s="4">
        <f>IFERROR(__xludf.DUMMYFUNCTION("""COMPUTED_VALUE"""),40.0)</f>
        <v>40</v>
      </c>
      <c r="H20633" s="4"/>
      <c r="I20633" s="4"/>
    </row>
    <row r="20634">
      <c r="A20634" s="4" t="str">
        <f>IFERROR(__xludf.DUMMYFUNCTION("""COMPUTED_VALUE"""),"cas_hmw")</f>
        <v>cas_hmw</v>
      </c>
      <c r="B20634" s="5">
        <f>IFERROR(__xludf.DUMMYFUNCTION("""COMPUTED_VALUE"""),44783.0)</f>
        <v>44783</v>
      </c>
      <c r="C20634" s="6">
        <f>IFERROR(__xludf.DUMMYFUNCTION("""COMPUTED_VALUE"""),0.3091550925928459)</f>
        <v>0.3091550926</v>
      </c>
      <c r="D20634" s="4">
        <f>IFERROR(__xludf.DUMMYFUNCTION("""COMPUTED_VALUE"""),13.002487)</f>
        <v>13.002487</v>
      </c>
      <c r="E20634" s="4">
        <f>IFERROR(__xludf.DUMMYFUNCTION("""COMPUTED_VALUE"""),80.098676)</f>
        <v>80.098676</v>
      </c>
      <c r="F20634" s="4">
        <f>IFERROR(__xludf.DUMMYFUNCTION("""COMPUTED_VALUE"""),3143.0)</f>
        <v>3143</v>
      </c>
      <c r="G20634" s="4">
        <f>IFERROR(__xludf.DUMMYFUNCTION("""COMPUTED_VALUE"""),40.0)</f>
        <v>40</v>
      </c>
      <c r="H20634" s="4"/>
      <c r="I20634" s="4"/>
    </row>
    <row r="20635">
      <c r="A20635" s="4" t="str">
        <f>IFERROR(__xludf.DUMMYFUNCTION("""COMPUTED_VALUE"""),"cas_hmw")</f>
        <v>cas_hmw</v>
      </c>
      <c r="B20635" s="5">
        <f>IFERROR(__xludf.DUMMYFUNCTION("""COMPUTED_VALUE"""),44783.0)</f>
        <v>44783</v>
      </c>
      <c r="C20635" s="6">
        <f>IFERROR(__xludf.DUMMYFUNCTION("""COMPUTED_VALUE"""),0.30917824073912925)</f>
        <v>0.3091782407</v>
      </c>
      <c r="D20635" s="4">
        <f>IFERROR(__xludf.DUMMYFUNCTION("""COMPUTED_VALUE"""),13.002487)</f>
        <v>13.002487</v>
      </c>
      <c r="E20635" s="4">
        <f>IFERROR(__xludf.DUMMYFUNCTION("""COMPUTED_VALUE"""),80.098676)</f>
        <v>80.098676</v>
      </c>
      <c r="F20635" s="4">
        <f>IFERROR(__xludf.DUMMYFUNCTION("""COMPUTED_VALUE"""),3143.0)</f>
        <v>3143</v>
      </c>
      <c r="G20635" s="4">
        <f>IFERROR(__xludf.DUMMYFUNCTION("""COMPUTED_VALUE"""),40.0)</f>
        <v>40</v>
      </c>
      <c r="H20635" s="4"/>
      <c r="I20635" s="4"/>
    </row>
    <row r="20636">
      <c r="A20636" s="4" t="str">
        <f>IFERROR(__xludf.DUMMYFUNCTION("""COMPUTED_VALUE"""),"cas_hmw")</f>
        <v>cas_hmw</v>
      </c>
      <c r="B20636" s="5">
        <f>IFERROR(__xludf.DUMMYFUNCTION("""COMPUTED_VALUE"""),44783.0)</f>
        <v>44783</v>
      </c>
      <c r="C20636" s="6">
        <f>IFERROR(__xludf.DUMMYFUNCTION("""COMPUTED_VALUE"""),0.3092013888890506)</f>
        <v>0.3092013889</v>
      </c>
      <c r="D20636" s="4">
        <f>IFERROR(__xludf.DUMMYFUNCTION("""COMPUTED_VALUE"""),13.001373)</f>
        <v>13.001373</v>
      </c>
      <c r="E20636" s="4">
        <f>IFERROR(__xludf.DUMMYFUNCTION("""COMPUTED_VALUE"""),80.098078)</f>
        <v>80.098078</v>
      </c>
      <c r="F20636" s="4">
        <f>IFERROR(__xludf.DUMMYFUNCTION("""COMPUTED_VALUE"""),3143.0)</f>
        <v>3143</v>
      </c>
      <c r="G20636" s="4">
        <f>IFERROR(__xludf.DUMMYFUNCTION("""COMPUTED_VALUE"""),29.0)</f>
        <v>29</v>
      </c>
      <c r="H20636" s="4"/>
      <c r="I20636" s="4"/>
    </row>
    <row r="20637">
      <c r="A20637" s="4" t="str">
        <f>IFERROR(__xludf.DUMMYFUNCTION("""COMPUTED_VALUE"""),"cas_hmw")</f>
        <v>cas_hmw</v>
      </c>
      <c r="B20637" s="5">
        <f>IFERROR(__xludf.DUMMYFUNCTION("""COMPUTED_VALUE"""),44783.0)</f>
        <v>44783</v>
      </c>
      <c r="C20637" s="6">
        <f>IFERROR(__xludf.DUMMYFUNCTION("""COMPUTED_VALUE"""),0.31138888888744987)</f>
        <v>0.3113888889</v>
      </c>
      <c r="D20637" s="4">
        <f>IFERROR(__xludf.DUMMYFUNCTION("""COMPUTED_VALUE"""),12.998725)</f>
        <v>12.998725</v>
      </c>
      <c r="E20637" s="4">
        <f>IFERROR(__xludf.DUMMYFUNCTION("""COMPUTED_VALUE"""),80.102194)</f>
        <v>80.102194</v>
      </c>
      <c r="F20637" s="4">
        <f>IFERROR(__xludf.DUMMYFUNCTION("""COMPUTED_VALUE"""),3143.0)</f>
        <v>3143</v>
      </c>
      <c r="G20637" s="4">
        <f>IFERROR(__xludf.DUMMYFUNCTION("""COMPUTED_VALUE"""),29.0)</f>
        <v>29</v>
      </c>
      <c r="H20637" s="4"/>
      <c r="I20637" s="4"/>
    </row>
    <row r="20638">
      <c r="A20638" s="4" t="str">
        <f>IFERROR(__xludf.DUMMYFUNCTION("""COMPUTED_VALUE"""),"cas_hmw")</f>
        <v>cas_hmw</v>
      </c>
      <c r="B20638" s="5">
        <f>IFERROR(__xludf.DUMMYFUNCTION("""COMPUTED_VALUE"""),44783.0)</f>
        <v>44783</v>
      </c>
      <c r="C20638" s="6">
        <f>IFERROR(__xludf.DUMMYFUNCTION("""COMPUTED_VALUE"""),0.3117361111108039)</f>
        <v>0.3117361111</v>
      </c>
      <c r="D20638" s="4">
        <f>IFERROR(__xludf.DUMMYFUNCTION("""COMPUTED_VALUE"""),13.042918)</f>
        <v>13.042918</v>
      </c>
      <c r="E20638" s="4">
        <f>IFERROR(__xludf.DUMMYFUNCTION("""COMPUTED_VALUE"""),80.267869)</f>
        <v>80.267869</v>
      </c>
      <c r="F20638" s="4">
        <f>IFERROR(__xludf.DUMMYFUNCTION("""COMPUTED_VALUE"""),805.0)</f>
        <v>805</v>
      </c>
      <c r="G20638" s="4">
        <f>IFERROR(__xludf.DUMMYFUNCTION("""COMPUTED_VALUE"""),43.0)</f>
        <v>43</v>
      </c>
      <c r="H20638" s="4"/>
      <c r="I20638" s="4"/>
    </row>
    <row r="20639">
      <c r="A20639" s="4" t="str">
        <f>IFERROR(__xludf.DUMMYFUNCTION("""COMPUTED_VALUE"""),"cas_hmw")</f>
        <v>cas_hmw</v>
      </c>
      <c r="B20639" s="5">
        <f>IFERROR(__xludf.DUMMYFUNCTION("""COMPUTED_VALUE"""),44783.0)</f>
        <v>44783</v>
      </c>
      <c r="C20639" s="6">
        <f>IFERROR(__xludf.DUMMYFUNCTION("""COMPUTED_VALUE"""),0.3129050925927004)</f>
        <v>0.3129050926</v>
      </c>
      <c r="D20639" s="4">
        <f>IFERROR(__xludf.DUMMYFUNCTION("""COMPUTED_VALUE"""),13.05116)</f>
        <v>13.05116</v>
      </c>
      <c r="E20639" s="4">
        <f>IFERROR(__xludf.DUMMYFUNCTION("""COMPUTED_VALUE"""),80.250154)</f>
        <v>80.250154</v>
      </c>
      <c r="F20639" s="4">
        <f>IFERROR(__xludf.DUMMYFUNCTION("""COMPUTED_VALUE"""),5339.0)</f>
        <v>5339</v>
      </c>
      <c r="G20639" s="4">
        <f>IFERROR(__xludf.DUMMYFUNCTION("""COMPUTED_VALUE"""),42.0)</f>
        <v>42</v>
      </c>
      <c r="H20639" s="4"/>
      <c r="I20639" s="4"/>
    </row>
    <row r="20640">
      <c r="A20640" s="4" t="str">
        <f>IFERROR(__xludf.DUMMYFUNCTION("""COMPUTED_VALUE"""),"cas_hmw")</f>
        <v>cas_hmw</v>
      </c>
      <c r="B20640" s="5">
        <f>IFERROR(__xludf.DUMMYFUNCTION("""COMPUTED_VALUE"""),44783.0)</f>
        <v>44783</v>
      </c>
      <c r="C20640" s="6">
        <f>IFERROR(__xludf.DUMMYFUNCTION("""COMPUTED_VALUE"""),0.3129398148157634)</f>
        <v>0.3129398148</v>
      </c>
      <c r="D20640" s="4">
        <f>IFERROR(__xludf.DUMMYFUNCTION("""COMPUTED_VALUE"""),13.05116)</f>
        <v>13.05116</v>
      </c>
      <c r="E20640" s="4">
        <f>IFERROR(__xludf.DUMMYFUNCTION("""COMPUTED_VALUE"""),80.250154)</f>
        <v>80.250154</v>
      </c>
      <c r="F20640" s="4">
        <f>IFERROR(__xludf.DUMMYFUNCTION("""COMPUTED_VALUE"""),5339.0)</f>
        <v>5339</v>
      </c>
      <c r="G20640" s="4">
        <f>IFERROR(__xludf.DUMMYFUNCTION("""COMPUTED_VALUE"""),42.0)</f>
        <v>42</v>
      </c>
      <c r="H20640" s="4"/>
      <c r="I20640" s="4"/>
    </row>
    <row r="20641">
      <c r="A20641" s="4" t="str">
        <f>IFERROR(__xludf.DUMMYFUNCTION("""COMPUTED_VALUE"""),"cas_hmw")</f>
        <v>cas_hmw</v>
      </c>
      <c r="B20641" s="5">
        <f>IFERROR(__xludf.DUMMYFUNCTION("""COMPUTED_VALUE"""),44783.0)</f>
        <v>44783</v>
      </c>
      <c r="C20641" s="6">
        <f>IFERROR(__xludf.DUMMYFUNCTION("""COMPUTED_VALUE"""),0.3144675925941556)</f>
        <v>0.3144675926</v>
      </c>
      <c r="D20641" s="4">
        <f>IFERROR(__xludf.DUMMYFUNCTION("""COMPUTED_VALUE"""),12.656908)</f>
        <v>12.656908</v>
      </c>
      <c r="E20641" s="4">
        <f>IFERROR(__xludf.DUMMYFUNCTION("""COMPUTED_VALUE"""),79.949195)</f>
        <v>79.949195</v>
      </c>
      <c r="F20641" s="4">
        <f>IFERROR(__xludf.DUMMYFUNCTION("""COMPUTED_VALUE"""),2846.0)</f>
        <v>2846</v>
      </c>
      <c r="G20641" s="4">
        <f>IFERROR(__xludf.DUMMYFUNCTION("""COMPUTED_VALUE"""),37.0)</f>
        <v>37</v>
      </c>
      <c r="H20641" s="4"/>
      <c r="I20641" s="4"/>
    </row>
    <row r="20642">
      <c r="A20642" s="4" t="str">
        <f>IFERROR(__xludf.DUMMYFUNCTION("""COMPUTED_VALUE"""),"cas_hmw")</f>
        <v>cas_hmw</v>
      </c>
      <c r="B20642" s="5">
        <f>IFERROR(__xludf.DUMMYFUNCTION("""COMPUTED_VALUE"""),44783.0)</f>
        <v>44783</v>
      </c>
      <c r="C20642" s="6">
        <f>IFERROR(__xludf.DUMMYFUNCTION("""COMPUTED_VALUE"""),0.31473379629460396)</f>
        <v>0.3147337963</v>
      </c>
      <c r="D20642" s="4">
        <f>IFERROR(__xludf.DUMMYFUNCTION("""COMPUTED_VALUE"""),13.041697)</f>
        <v>13.041697</v>
      </c>
      <c r="E20642" s="4">
        <f>IFERROR(__xludf.DUMMYFUNCTION("""COMPUTED_VALUE"""),80.24751)</f>
        <v>80.24751</v>
      </c>
      <c r="F20642" s="4">
        <f>IFERROR(__xludf.DUMMYFUNCTION("""COMPUTED_VALUE"""),5339.0)</f>
        <v>5339</v>
      </c>
      <c r="G20642" s="4">
        <f>IFERROR(__xludf.DUMMYFUNCTION("""COMPUTED_VALUE"""),38.0)</f>
        <v>38</v>
      </c>
      <c r="H20642" s="4"/>
      <c r="I20642" s="4"/>
    </row>
    <row r="20643">
      <c r="A20643" s="4" t="str">
        <f>IFERROR(__xludf.DUMMYFUNCTION("""COMPUTED_VALUE"""),"cas_hmw")</f>
        <v>cas_hmw</v>
      </c>
      <c r="B20643" s="5">
        <f>IFERROR(__xludf.DUMMYFUNCTION("""COMPUTED_VALUE"""),44783.0)</f>
        <v>44783</v>
      </c>
      <c r="C20643" s="6">
        <f>IFERROR(__xludf.DUMMYFUNCTION("""COMPUTED_VALUE"""),0.31568287036861875)</f>
        <v>0.3156828704</v>
      </c>
      <c r="D20643" s="4">
        <f>IFERROR(__xludf.DUMMYFUNCTION("""COMPUTED_VALUE"""),12.987754)</f>
        <v>12.987754</v>
      </c>
      <c r="E20643" s="4">
        <f>IFERROR(__xludf.DUMMYFUNCTION("""COMPUTED_VALUE"""),80.118356)</f>
        <v>80.118356</v>
      </c>
      <c r="F20643" s="4">
        <f>IFERROR(__xludf.DUMMYFUNCTION("""COMPUTED_VALUE"""),3143.0)</f>
        <v>3143</v>
      </c>
      <c r="G20643" s="4">
        <f>IFERROR(__xludf.DUMMYFUNCTION("""COMPUTED_VALUE"""),16.0)</f>
        <v>16</v>
      </c>
      <c r="H20643" s="4"/>
      <c r="I20643" s="4"/>
    </row>
    <row r="20644">
      <c r="A20644" s="4" t="str">
        <f>IFERROR(__xludf.DUMMYFUNCTION("""COMPUTED_VALUE"""),"cas_hmw")</f>
        <v>cas_hmw</v>
      </c>
      <c r="B20644" s="5">
        <f>IFERROR(__xludf.DUMMYFUNCTION("""COMPUTED_VALUE"""),44783.0)</f>
        <v>44783</v>
      </c>
      <c r="C20644" s="6">
        <f>IFERROR(__xludf.DUMMYFUNCTION("""COMPUTED_VALUE"""),0.31612268518438214)</f>
        <v>0.3161226852</v>
      </c>
      <c r="D20644" s="4">
        <f>IFERROR(__xludf.DUMMYFUNCTION("""COMPUTED_VALUE"""),12.9864)</f>
        <v>12.9864</v>
      </c>
      <c r="E20644" s="4">
        <f>IFERROR(__xludf.DUMMYFUNCTION("""COMPUTED_VALUE"""),80.119418)</f>
        <v>80.119418</v>
      </c>
      <c r="F20644" s="4">
        <f>IFERROR(__xludf.DUMMYFUNCTION("""COMPUTED_VALUE"""),3143.0)</f>
        <v>3143</v>
      </c>
      <c r="G20644" s="4">
        <f>IFERROR(__xludf.DUMMYFUNCTION("""COMPUTED_VALUE"""),19.0)</f>
        <v>19</v>
      </c>
      <c r="H20644" s="4"/>
      <c r="I20644" s="4"/>
    </row>
    <row r="20645">
      <c r="A20645" s="4" t="str">
        <f>IFERROR(__xludf.DUMMYFUNCTION("""COMPUTED_VALUE"""),"cas_hmw")</f>
        <v>cas_hmw</v>
      </c>
      <c r="B20645" s="5">
        <f>IFERROR(__xludf.DUMMYFUNCTION("""COMPUTED_VALUE"""),44783.0)</f>
        <v>44783</v>
      </c>
      <c r="C20645" s="6">
        <f>IFERROR(__xludf.DUMMYFUNCTION("""COMPUTED_VALUE"""),0.31619212963050813)</f>
        <v>0.3161921296</v>
      </c>
      <c r="D20645" s="4">
        <f>IFERROR(__xludf.DUMMYFUNCTION("""COMPUTED_VALUE"""),13.033459)</f>
        <v>13.033459</v>
      </c>
      <c r="E20645" s="4">
        <f>IFERROR(__xludf.DUMMYFUNCTION("""COMPUTED_VALUE"""),80.243945)</f>
        <v>80.243945</v>
      </c>
      <c r="F20645" s="4">
        <f>IFERROR(__xludf.DUMMYFUNCTION("""COMPUTED_VALUE"""),5339.0)</f>
        <v>5339</v>
      </c>
      <c r="G20645" s="4">
        <f>IFERROR(__xludf.DUMMYFUNCTION("""COMPUTED_VALUE"""),40.0)</f>
        <v>40</v>
      </c>
      <c r="H20645" s="4"/>
      <c r="I20645" s="4"/>
    </row>
    <row r="20646">
      <c r="A20646" s="4" t="str">
        <f>IFERROR(__xludf.DUMMYFUNCTION("""COMPUTED_VALUE"""),"cas_hmw")</f>
        <v>cas_hmw</v>
      </c>
      <c r="B20646" s="5">
        <f>IFERROR(__xludf.DUMMYFUNCTION("""COMPUTED_VALUE"""),44783.0)</f>
        <v>44783</v>
      </c>
      <c r="C20646" s="6">
        <f>IFERROR(__xludf.DUMMYFUNCTION("""COMPUTED_VALUE"""),0.3173726851855463)</f>
        <v>0.3173726852</v>
      </c>
      <c r="D20646" s="4">
        <f>IFERROR(__xludf.DUMMYFUNCTION("""COMPUTED_VALUE"""),12.668491)</f>
        <v>12.668491</v>
      </c>
      <c r="E20646" s="4">
        <f>IFERROR(__xludf.DUMMYFUNCTION("""COMPUTED_VALUE"""),79.973274)</f>
        <v>79.973274</v>
      </c>
      <c r="F20646" s="4">
        <f>IFERROR(__xludf.DUMMYFUNCTION("""COMPUTED_VALUE"""),2846.0)</f>
        <v>2846</v>
      </c>
      <c r="G20646" s="4">
        <f>IFERROR(__xludf.DUMMYFUNCTION("""COMPUTED_VALUE"""),48.0)</f>
        <v>48</v>
      </c>
      <c r="H20646" s="4"/>
      <c r="I20646" s="4"/>
    </row>
    <row r="20647">
      <c r="A20647" s="4" t="str">
        <f>IFERROR(__xludf.DUMMYFUNCTION("""COMPUTED_VALUE"""),"cas_hmw")</f>
        <v>cas_hmw</v>
      </c>
      <c r="B20647" s="5">
        <f>IFERROR(__xludf.DUMMYFUNCTION("""COMPUTED_VALUE"""),44783.0)</f>
        <v>44783</v>
      </c>
      <c r="C20647" s="6">
        <f>IFERROR(__xludf.DUMMYFUNCTION("""COMPUTED_VALUE"""),0.31811342592482106)</f>
        <v>0.3181134259</v>
      </c>
      <c r="D20647" s="4">
        <f>IFERROR(__xludf.DUMMYFUNCTION("""COMPUTED_VALUE"""),13.031121)</f>
        <v>13.031121</v>
      </c>
      <c r="E20647" s="4">
        <f>IFERROR(__xludf.DUMMYFUNCTION("""COMPUTED_VALUE"""),80.240028)</f>
        <v>80.240028</v>
      </c>
      <c r="F20647" s="4">
        <f>IFERROR(__xludf.DUMMYFUNCTION("""COMPUTED_VALUE"""),5339.0)</f>
        <v>5339</v>
      </c>
      <c r="G20647" s="4">
        <f>IFERROR(__xludf.DUMMYFUNCTION("""COMPUTED_VALUE"""),11.0)</f>
        <v>11</v>
      </c>
      <c r="H20647" s="4"/>
      <c r="I20647" s="4"/>
    </row>
    <row r="20648">
      <c r="A20648" s="4" t="str">
        <f>IFERROR(__xludf.DUMMYFUNCTION("""COMPUTED_VALUE"""),"cas_hmw")</f>
        <v>cas_hmw</v>
      </c>
      <c r="B20648" s="5">
        <f>IFERROR(__xludf.DUMMYFUNCTION("""COMPUTED_VALUE"""),44783.0)</f>
        <v>44783</v>
      </c>
      <c r="C20648" s="6">
        <f>IFERROR(__xludf.DUMMYFUNCTION("""COMPUTED_VALUE"""),0.31814814814788406)</f>
        <v>0.3181481481</v>
      </c>
      <c r="D20648" s="4">
        <f>IFERROR(__xludf.DUMMYFUNCTION("""COMPUTED_VALUE"""),13.03085)</f>
        <v>13.03085</v>
      </c>
      <c r="E20648" s="4">
        <f>IFERROR(__xludf.DUMMYFUNCTION("""COMPUTED_VALUE"""),80.239505)</f>
        <v>80.239505</v>
      </c>
      <c r="F20648" s="4">
        <f>IFERROR(__xludf.DUMMYFUNCTION("""COMPUTED_VALUE"""),5339.0)</f>
        <v>5339</v>
      </c>
      <c r="G20648" s="4">
        <f>IFERROR(__xludf.DUMMYFUNCTION("""COMPUTED_VALUE"""),32.0)</f>
        <v>32</v>
      </c>
      <c r="H20648" s="4"/>
      <c r="I20648" s="4"/>
    </row>
    <row r="20649">
      <c r="A20649" s="4" t="str">
        <f>IFERROR(__xludf.DUMMYFUNCTION("""COMPUTED_VALUE"""),"cas_hmw")</f>
        <v>cas_hmw</v>
      </c>
      <c r="B20649" s="5">
        <f>IFERROR(__xludf.DUMMYFUNCTION("""COMPUTED_VALUE"""),44783.0)</f>
        <v>44783</v>
      </c>
      <c r="C20649" s="6">
        <f>IFERROR(__xludf.DUMMYFUNCTION("""COMPUTED_VALUE"""),0.3187962962947495)</f>
        <v>0.3187962963</v>
      </c>
      <c r="D20649" s="4">
        <f>IFERROR(__xludf.DUMMYFUNCTION("""COMPUTED_VALUE"""),12.981714)</f>
        <v>12.981714</v>
      </c>
      <c r="E20649" s="4">
        <f>IFERROR(__xludf.DUMMYFUNCTION("""COMPUTED_VALUE"""),80.129293)</f>
        <v>80.129293</v>
      </c>
      <c r="F20649" s="4">
        <f>IFERROR(__xludf.DUMMYFUNCTION("""COMPUTED_VALUE"""),3143.0)</f>
        <v>3143</v>
      </c>
      <c r="G20649" s="4">
        <f>IFERROR(__xludf.DUMMYFUNCTION("""COMPUTED_VALUE"""),14.0)</f>
        <v>14</v>
      </c>
      <c r="H20649" s="4"/>
      <c r="I20649" s="4"/>
    </row>
    <row r="20650">
      <c r="A20650" s="4" t="str">
        <f>IFERROR(__xludf.DUMMYFUNCTION("""COMPUTED_VALUE"""),"cas_hmw")</f>
        <v>cas_hmw</v>
      </c>
      <c r="B20650" s="5">
        <f>IFERROR(__xludf.DUMMYFUNCTION("""COMPUTED_VALUE"""),44783.0)</f>
        <v>44783</v>
      </c>
      <c r="C20650" s="6">
        <f>IFERROR(__xludf.DUMMYFUNCTION("""COMPUTED_VALUE"""),0.3188194444446708)</f>
        <v>0.3188194444</v>
      </c>
      <c r="D20650" s="4">
        <f>IFERROR(__xludf.DUMMYFUNCTION("""COMPUTED_VALUE"""),12.675828)</f>
        <v>12.675828</v>
      </c>
      <c r="E20650" s="4">
        <f>IFERROR(__xludf.DUMMYFUNCTION("""COMPUTED_VALUE"""),79.977968)</f>
        <v>79.977968</v>
      </c>
      <c r="F20650" s="4">
        <f>IFERROR(__xludf.DUMMYFUNCTION("""COMPUTED_VALUE"""),2846.0)</f>
        <v>2846</v>
      </c>
      <c r="G20650" s="4">
        <f>IFERROR(__xludf.DUMMYFUNCTION("""COMPUTED_VALUE"""),33.0)</f>
        <v>33</v>
      </c>
      <c r="H20650" s="4"/>
      <c r="I20650" s="4"/>
    </row>
    <row r="20651">
      <c r="A20651" s="4" t="str">
        <f>IFERROR(__xludf.DUMMYFUNCTION("""COMPUTED_VALUE"""),"cas_hmw")</f>
        <v>cas_hmw</v>
      </c>
      <c r="B20651" s="5">
        <f>IFERROR(__xludf.DUMMYFUNCTION("""COMPUTED_VALUE"""),44783.0)</f>
        <v>44783</v>
      </c>
      <c r="C20651" s="6">
        <f>IFERROR(__xludf.DUMMYFUNCTION("""COMPUTED_VALUE"""),0.3191203703718202)</f>
        <v>0.3191203704</v>
      </c>
      <c r="D20651" s="4">
        <f>IFERROR(__xludf.DUMMYFUNCTION("""COMPUTED_VALUE"""),12.678012)</f>
        <v>12.678012</v>
      </c>
      <c r="E20651" s="4">
        <f>IFERROR(__xludf.DUMMYFUNCTION("""COMPUTED_VALUE"""),79.979569)</f>
        <v>79.979569</v>
      </c>
      <c r="F20651" s="4">
        <f>IFERROR(__xludf.DUMMYFUNCTION("""COMPUTED_VALUE"""),2846.0)</f>
        <v>2846</v>
      </c>
      <c r="G20651" s="4">
        <f>IFERROR(__xludf.DUMMYFUNCTION("""COMPUTED_VALUE"""),14.0)</f>
        <v>14</v>
      </c>
      <c r="H20651" s="4"/>
      <c r="I20651" s="4"/>
    </row>
    <row r="20652">
      <c r="A20652" s="4" t="str">
        <f>IFERROR(__xludf.DUMMYFUNCTION("""COMPUTED_VALUE"""),"cas_hmw")</f>
        <v>cas_hmw</v>
      </c>
      <c r="B20652" s="5">
        <f>IFERROR(__xludf.DUMMYFUNCTION("""COMPUTED_VALUE"""),44783.0)</f>
        <v>44783</v>
      </c>
      <c r="C20652" s="6">
        <f>IFERROR(__xludf.DUMMYFUNCTION("""COMPUTED_VALUE"""),0.31986111111109494)</f>
        <v>0.3198611111</v>
      </c>
      <c r="D20652" s="4">
        <f>IFERROR(__xludf.DUMMYFUNCTION("""COMPUTED_VALUE"""),12.977312)</f>
        <v>12.977312</v>
      </c>
      <c r="E20652" s="4">
        <f>IFERROR(__xludf.DUMMYFUNCTION("""COMPUTED_VALUE"""),80.131318)</f>
        <v>80.131318</v>
      </c>
      <c r="F20652" s="4">
        <f>IFERROR(__xludf.DUMMYFUNCTION("""COMPUTED_VALUE"""),3143.0)</f>
        <v>3143</v>
      </c>
      <c r="G20652" s="4">
        <f>IFERROR(__xludf.DUMMYFUNCTION("""COMPUTED_VALUE"""),29.0)</f>
        <v>29</v>
      </c>
      <c r="H20652" s="4"/>
      <c r="I20652" s="4"/>
    </row>
    <row r="20653">
      <c r="A20653" s="4" t="str">
        <f>IFERROR(__xludf.DUMMYFUNCTION("""COMPUTED_VALUE"""),"cas_hmw")</f>
        <v>cas_hmw</v>
      </c>
      <c r="B20653" s="5">
        <f>IFERROR(__xludf.DUMMYFUNCTION("""COMPUTED_VALUE"""),44783.0)</f>
        <v>44783</v>
      </c>
      <c r="C20653" s="6">
        <f>IFERROR(__xludf.DUMMYFUNCTION("""COMPUTED_VALUE"""),0.3198726851842366)</f>
        <v>0.3198726852</v>
      </c>
      <c r="D20653" s="4">
        <f>IFERROR(__xludf.DUMMYFUNCTION("""COMPUTED_VALUE"""),12.977312)</f>
        <v>12.977312</v>
      </c>
      <c r="E20653" s="4">
        <f>IFERROR(__xludf.DUMMYFUNCTION("""COMPUTED_VALUE"""),80.131318)</f>
        <v>80.131318</v>
      </c>
      <c r="F20653" s="4">
        <f>IFERROR(__xludf.DUMMYFUNCTION("""COMPUTED_VALUE"""),3143.0)</f>
        <v>3143</v>
      </c>
      <c r="G20653" s="4">
        <f>IFERROR(__xludf.DUMMYFUNCTION("""COMPUTED_VALUE"""),29.0)</f>
        <v>29</v>
      </c>
      <c r="H20653" s="4"/>
      <c r="I20653" s="4"/>
    </row>
    <row r="20654">
      <c r="A20654" s="4" t="str">
        <f>IFERROR(__xludf.DUMMYFUNCTION("""COMPUTED_VALUE"""),"cas_hmw")</f>
        <v>cas_hmw</v>
      </c>
      <c r="B20654" s="5">
        <f>IFERROR(__xludf.DUMMYFUNCTION("""COMPUTED_VALUE"""),44783.0)</f>
        <v>44783</v>
      </c>
      <c r="C20654" s="6">
        <f>IFERROR(__xludf.DUMMYFUNCTION("""COMPUTED_VALUE"""),0.3204629629617557)</f>
        <v>0.320462963</v>
      </c>
      <c r="D20654" s="4">
        <f>IFERROR(__xludf.DUMMYFUNCTION("""COMPUTED_VALUE"""),13.019407)</f>
        <v>13.019407</v>
      </c>
      <c r="E20654" s="4">
        <f>IFERROR(__xludf.DUMMYFUNCTION("""COMPUTED_VALUE"""),80.224505)</f>
        <v>80.224505</v>
      </c>
      <c r="F20654" s="4">
        <f>IFERROR(__xludf.DUMMYFUNCTION("""COMPUTED_VALUE"""),5339.0)</f>
        <v>5339</v>
      </c>
      <c r="G20654" s="4">
        <f>IFERROR(__xludf.DUMMYFUNCTION("""COMPUTED_VALUE"""),48.0)</f>
        <v>48</v>
      </c>
      <c r="H20654" s="4"/>
      <c r="I20654" s="4"/>
    </row>
    <row r="20655">
      <c r="A20655" s="4" t="str">
        <f>IFERROR(__xludf.DUMMYFUNCTION("""COMPUTED_VALUE"""),"cas_hmw")</f>
        <v>cas_hmw</v>
      </c>
      <c r="B20655" s="5">
        <f>IFERROR(__xludf.DUMMYFUNCTION("""COMPUTED_VALUE"""),44783.0)</f>
        <v>44783</v>
      </c>
      <c r="C20655" s="6">
        <f>IFERROR(__xludf.DUMMYFUNCTION("""COMPUTED_VALUE"""),0.3206365740734327)</f>
        <v>0.3206365741</v>
      </c>
      <c r="D20655" s="4">
        <f>IFERROR(__xludf.DUMMYFUNCTION("""COMPUTED_VALUE"""),12.684486)</f>
        <v>12.684486</v>
      </c>
      <c r="E20655" s="4">
        <f>IFERROR(__xludf.DUMMYFUNCTION("""COMPUTED_VALUE"""),79.983413)</f>
        <v>79.983413</v>
      </c>
      <c r="F20655" s="4">
        <f>IFERROR(__xludf.DUMMYFUNCTION("""COMPUTED_VALUE"""),2846.0)</f>
        <v>2846</v>
      </c>
      <c r="G20655" s="4">
        <f>IFERROR(__xludf.DUMMYFUNCTION("""COMPUTED_VALUE"""),37.0)</f>
        <v>37</v>
      </c>
      <c r="H20655" s="4"/>
      <c r="I20655" s="4"/>
    </row>
    <row r="20656">
      <c r="A20656" s="4" t="str">
        <f>IFERROR(__xludf.DUMMYFUNCTION("""COMPUTED_VALUE"""),"cas_hmw")</f>
        <v>cas_hmw</v>
      </c>
      <c r="B20656" s="5">
        <f>IFERROR(__xludf.DUMMYFUNCTION("""COMPUTED_VALUE"""),44783.0)</f>
        <v>44783</v>
      </c>
      <c r="C20656" s="6">
        <f>IFERROR(__xludf.DUMMYFUNCTION("""COMPUTED_VALUE"""),0.3207523148157634)</f>
        <v>0.3207523148</v>
      </c>
      <c r="D20656" s="4">
        <f>IFERROR(__xludf.DUMMYFUNCTION("""COMPUTED_VALUE"""),13.016344)</f>
        <v>13.016344</v>
      </c>
      <c r="E20656" s="4">
        <f>IFERROR(__xludf.DUMMYFUNCTION("""COMPUTED_VALUE"""),80.225485)</f>
        <v>80.225485</v>
      </c>
      <c r="F20656" s="4">
        <f>IFERROR(__xludf.DUMMYFUNCTION("""COMPUTED_VALUE"""),5339.0)</f>
        <v>5339</v>
      </c>
      <c r="G20656" s="4">
        <f>IFERROR(__xludf.DUMMYFUNCTION("""COMPUTED_VALUE"""),38.0)</f>
        <v>38</v>
      </c>
      <c r="H20656" s="4"/>
      <c r="I20656" s="4"/>
    </row>
    <row r="20657">
      <c r="A20657" s="4" t="str">
        <f>IFERROR(__xludf.DUMMYFUNCTION("""COMPUTED_VALUE"""),"cas_hmw")</f>
        <v>cas_hmw</v>
      </c>
      <c r="B20657" s="5">
        <f>IFERROR(__xludf.DUMMYFUNCTION("""COMPUTED_VALUE"""),44783.0)</f>
        <v>44783</v>
      </c>
      <c r="C20657" s="6">
        <f>IFERROR(__xludf.DUMMYFUNCTION("""COMPUTED_VALUE"""),0.3209259259274404)</f>
        <v>0.3209259259</v>
      </c>
      <c r="D20657" s="4">
        <f>IFERROR(__xludf.DUMMYFUNCTION("""COMPUTED_VALUE"""),12.686888)</f>
        <v>12.686888</v>
      </c>
      <c r="E20657" s="4">
        <f>IFERROR(__xludf.DUMMYFUNCTION("""COMPUTED_VALUE"""),79.98309)</f>
        <v>79.98309</v>
      </c>
      <c r="F20657" s="4">
        <f>IFERROR(__xludf.DUMMYFUNCTION("""COMPUTED_VALUE"""),2846.0)</f>
        <v>2846</v>
      </c>
      <c r="G20657" s="4">
        <f>IFERROR(__xludf.DUMMYFUNCTION("""COMPUTED_VALUE"""),21.0)</f>
        <v>21</v>
      </c>
      <c r="H20657" s="4"/>
      <c r="I20657" s="4"/>
    </row>
    <row r="20658">
      <c r="A20658" s="4" t="str">
        <f>IFERROR(__xludf.DUMMYFUNCTION("""COMPUTED_VALUE"""),"cas_hmw")</f>
        <v>cas_hmw</v>
      </c>
      <c r="B20658" s="5">
        <f>IFERROR(__xludf.DUMMYFUNCTION("""COMPUTED_VALUE"""),44783.0)</f>
        <v>44783</v>
      </c>
      <c r="C20658" s="6">
        <f>IFERROR(__xludf.DUMMYFUNCTION("""COMPUTED_VALUE"""),0.32239583333284827)</f>
        <v>0.3223958333</v>
      </c>
      <c r="D20658" s="4">
        <f>IFERROR(__xludf.DUMMYFUNCTION("""COMPUTED_VALUE"""),13.01113)</f>
        <v>13.01113</v>
      </c>
      <c r="E20658" s="4">
        <f>IFERROR(__xludf.DUMMYFUNCTION("""COMPUTED_VALUE"""),80.223909)</f>
        <v>80.223909</v>
      </c>
      <c r="F20658" s="4">
        <f>IFERROR(__xludf.DUMMYFUNCTION("""COMPUTED_VALUE"""),5339.0)</f>
        <v>5339</v>
      </c>
      <c r="G20658" s="4">
        <f>IFERROR(__xludf.DUMMYFUNCTION("""COMPUTED_VALUE"""),43.0)</f>
        <v>43</v>
      </c>
      <c r="H20658" s="4"/>
      <c r="I20658" s="4"/>
    </row>
    <row r="20659">
      <c r="A20659" s="4" t="str">
        <f>IFERROR(__xludf.DUMMYFUNCTION("""COMPUTED_VALUE"""),"cas_hmw")</f>
        <v>cas_hmw</v>
      </c>
      <c r="B20659" s="5">
        <f>IFERROR(__xludf.DUMMYFUNCTION("""COMPUTED_VALUE"""),44783.0)</f>
        <v>44783</v>
      </c>
      <c r="C20659" s="6">
        <f>IFERROR(__xludf.DUMMYFUNCTION("""COMPUTED_VALUE"""),0.3225231481483206)</f>
        <v>0.3225231481</v>
      </c>
      <c r="D20659" s="4">
        <f>IFERROR(__xludf.DUMMYFUNCTION("""COMPUTED_VALUE"""),13.011561)</f>
        <v>13.011561</v>
      </c>
      <c r="E20659" s="4">
        <f>IFERROR(__xludf.DUMMYFUNCTION("""COMPUTED_VALUE"""),80.222858)</f>
        <v>80.222858</v>
      </c>
      <c r="F20659" s="4">
        <f>IFERROR(__xludf.DUMMYFUNCTION("""COMPUTED_VALUE"""),5339.0)</f>
        <v>5339</v>
      </c>
      <c r="G20659" s="4">
        <f>IFERROR(__xludf.DUMMYFUNCTION("""COMPUTED_VALUE"""),41.0)</f>
        <v>41</v>
      </c>
      <c r="H20659" s="4"/>
      <c r="I20659" s="4"/>
    </row>
    <row r="20660">
      <c r="A20660" s="4" t="str">
        <f>IFERROR(__xludf.DUMMYFUNCTION("""COMPUTED_VALUE"""),"cas_hmw")</f>
        <v>cas_hmw</v>
      </c>
      <c r="B20660" s="5">
        <f>IFERROR(__xludf.DUMMYFUNCTION("""COMPUTED_VALUE"""),44783.0)</f>
        <v>44783</v>
      </c>
      <c r="C20660" s="6">
        <f>IFERROR(__xludf.DUMMYFUNCTION("""COMPUTED_VALUE"""),0.3227083333331393)</f>
        <v>0.3227083333</v>
      </c>
      <c r="D20660" s="4">
        <f>IFERROR(__xludf.DUMMYFUNCTION("""COMPUTED_VALUE"""),13.012126)</f>
        <v>13.012126</v>
      </c>
      <c r="E20660" s="4">
        <f>IFERROR(__xludf.DUMMYFUNCTION("""COMPUTED_VALUE"""),80.221126)</f>
        <v>80.221126</v>
      </c>
      <c r="F20660" s="4">
        <f>IFERROR(__xludf.DUMMYFUNCTION("""COMPUTED_VALUE"""),5339.0)</f>
        <v>5339</v>
      </c>
      <c r="G20660" s="4">
        <f>IFERROR(__xludf.DUMMYFUNCTION("""COMPUTED_VALUE"""),21.0)</f>
        <v>21</v>
      </c>
      <c r="H20660" s="4"/>
      <c r="I20660" s="4"/>
    </row>
    <row r="20661">
      <c r="A20661" s="4" t="str">
        <f>IFERROR(__xludf.DUMMYFUNCTION("""COMPUTED_VALUE"""),"cas_hmw")</f>
        <v>cas_hmw</v>
      </c>
      <c r="B20661" s="5">
        <f>IFERROR(__xludf.DUMMYFUNCTION("""COMPUTED_VALUE"""),44783.0)</f>
        <v>44783</v>
      </c>
      <c r="C20661" s="6">
        <f>IFERROR(__xludf.DUMMYFUNCTION("""COMPUTED_VALUE"""),0.323067129629635)</f>
        <v>0.3230671296</v>
      </c>
      <c r="D20661" s="4">
        <f>IFERROR(__xludf.DUMMYFUNCTION("""COMPUTED_VALUE"""),13.011333)</f>
        <v>13.011333</v>
      </c>
      <c r="E20661" s="4">
        <f>IFERROR(__xludf.DUMMYFUNCTION("""COMPUTED_VALUE"""),80.218432)</f>
        <v>80.218432</v>
      </c>
      <c r="F20661" s="4">
        <f>IFERROR(__xludf.DUMMYFUNCTION("""COMPUTED_VALUE"""),5339.0)</f>
        <v>5339</v>
      </c>
      <c r="G20661" s="4">
        <f>IFERROR(__xludf.DUMMYFUNCTION("""COMPUTED_VALUE"""),42.0)</f>
        <v>42</v>
      </c>
      <c r="H20661" s="4"/>
      <c r="I20661" s="4"/>
    </row>
    <row r="20662">
      <c r="A20662" s="4" t="str">
        <f>IFERROR(__xludf.DUMMYFUNCTION("""COMPUTED_VALUE"""),"cas_hmw")</f>
        <v>cas_hmw</v>
      </c>
      <c r="B20662" s="5">
        <f>IFERROR(__xludf.DUMMYFUNCTION("""COMPUTED_VALUE"""),44783.0)</f>
        <v>44783</v>
      </c>
      <c r="C20662" s="6">
        <f>IFERROR(__xludf.DUMMYFUNCTION("""COMPUTED_VALUE"""),0.323136574075761)</f>
        <v>0.3231365741</v>
      </c>
      <c r="D20662" s="4">
        <f>IFERROR(__xludf.DUMMYFUNCTION("""COMPUTED_VALUE"""),13.011333)</f>
        <v>13.011333</v>
      </c>
      <c r="E20662" s="4">
        <f>IFERROR(__xludf.DUMMYFUNCTION("""COMPUTED_VALUE"""),80.218432)</f>
        <v>80.218432</v>
      </c>
      <c r="F20662" s="4">
        <f>IFERROR(__xludf.DUMMYFUNCTION("""COMPUTED_VALUE"""),5339.0)</f>
        <v>5339</v>
      </c>
      <c r="G20662" s="4">
        <f>IFERROR(__xludf.DUMMYFUNCTION("""COMPUTED_VALUE"""),42.0)</f>
        <v>42</v>
      </c>
      <c r="H20662" s="4"/>
      <c r="I20662" s="4"/>
    </row>
    <row r="20663">
      <c r="A20663" s="4" t="str">
        <f>IFERROR(__xludf.DUMMYFUNCTION("""COMPUTED_VALUE"""),"cas_hmw")</f>
        <v>cas_hmw</v>
      </c>
      <c r="B20663" s="5">
        <f>IFERROR(__xludf.DUMMYFUNCTION("""COMPUTED_VALUE"""),44783.0)</f>
        <v>44783</v>
      </c>
      <c r="C20663" s="6">
        <f>IFERROR(__xludf.DUMMYFUNCTION("""COMPUTED_VALUE"""),0.3232523148144537)</f>
        <v>0.3232523148</v>
      </c>
      <c r="D20663" s="4">
        <f>IFERROR(__xludf.DUMMYFUNCTION("""COMPUTED_VALUE"""),13.010627)</f>
        <v>13.010627</v>
      </c>
      <c r="E20663" s="4">
        <f>IFERROR(__xludf.DUMMYFUNCTION("""COMPUTED_VALUE"""),80.216681)</f>
        <v>80.216681</v>
      </c>
      <c r="F20663" s="4">
        <f>IFERROR(__xludf.DUMMYFUNCTION("""COMPUTED_VALUE"""),5339.0)</f>
        <v>5339</v>
      </c>
      <c r="G20663" s="4">
        <f>IFERROR(__xludf.DUMMYFUNCTION("""COMPUTED_VALUE"""),34.0)</f>
        <v>34</v>
      </c>
      <c r="H20663" s="4"/>
      <c r="I20663" s="4"/>
    </row>
    <row r="20664">
      <c r="A20664" s="4" t="str">
        <f>IFERROR(__xludf.DUMMYFUNCTION("""COMPUTED_VALUE"""),"cas_hmw")</f>
        <v>cas_hmw</v>
      </c>
      <c r="B20664" s="5">
        <f>IFERROR(__xludf.DUMMYFUNCTION("""COMPUTED_VALUE"""),44783.0)</f>
        <v>44783</v>
      </c>
      <c r="C20664" s="6">
        <f>IFERROR(__xludf.DUMMYFUNCTION("""COMPUTED_VALUE"""),0.3236921296302171)</f>
        <v>0.3236921296</v>
      </c>
      <c r="D20664" s="4">
        <f>IFERROR(__xludf.DUMMYFUNCTION("""COMPUTED_VALUE"""),13.009752)</f>
        <v>13.009752</v>
      </c>
      <c r="E20664" s="4">
        <f>IFERROR(__xludf.DUMMYFUNCTION("""COMPUTED_VALUE"""),80.213882)</f>
        <v>80.213882</v>
      </c>
      <c r="F20664" s="4">
        <f>IFERROR(__xludf.DUMMYFUNCTION("""COMPUTED_VALUE"""),5339.0)</f>
        <v>5339</v>
      </c>
      <c r="G20664" s="4">
        <f>IFERROR(__xludf.DUMMYFUNCTION("""COMPUTED_VALUE"""),43.0)</f>
        <v>43</v>
      </c>
      <c r="H20664" s="4"/>
      <c r="I20664" s="4"/>
    </row>
    <row r="20665">
      <c r="A20665" s="4" t="str">
        <f>IFERROR(__xludf.DUMMYFUNCTION("""COMPUTED_VALUE"""),"cas_hmw")</f>
        <v>cas_hmw</v>
      </c>
      <c r="B20665" s="5">
        <f>IFERROR(__xludf.DUMMYFUNCTION("""COMPUTED_VALUE"""),44783.0)</f>
        <v>44783</v>
      </c>
      <c r="C20665" s="6">
        <f>IFERROR(__xludf.DUMMYFUNCTION("""COMPUTED_VALUE"""),0.3237615740727051)</f>
        <v>0.3237615741</v>
      </c>
      <c r="D20665" s="4">
        <f>IFERROR(__xludf.DUMMYFUNCTION("""COMPUTED_VALUE"""),13.009752)</f>
        <v>13.009752</v>
      </c>
      <c r="E20665" s="4">
        <f>IFERROR(__xludf.DUMMYFUNCTION("""COMPUTED_VALUE"""),80.213882)</f>
        <v>80.213882</v>
      </c>
      <c r="F20665" s="4">
        <f>IFERROR(__xludf.DUMMYFUNCTION("""COMPUTED_VALUE"""),5339.0)</f>
        <v>5339</v>
      </c>
      <c r="G20665" s="4">
        <f>IFERROR(__xludf.DUMMYFUNCTION("""COMPUTED_VALUE"""),43.0)</f>
        <v>43</v>
      </c>
      <c r="H20665" s="4"/>
      <c r="I20665" s="4"/>
    </row>
    <row r="20666">
      <c r="A20666" s="4" t="str">
        <f>IFERROR(__xludf.DUMMYFUNCTION("""COMPUTED_VALUE"""),"cas_hmw")</f>
        <v>cas_hmw</v>
      </c>
      <c r="B20666" s="5">
        <f>IFERROR(__xludf.DUMMYFUNCTION("""COMPUTED_VALUE"""),44783.0)</f>
        <v>44783</v>
      </c>
      <c r="C20666" s="6">
        <f>IFERROR(__xludf.DUMMYFUNCTION("""COMPUTED_VALUE"""),0.32403935185357113)</f>
        <v>0.3240393519</v>
      </c>
      <c r="D20666" s="4">
        <f>IFERROR(__xludf.DUMMYFUNCTION("""COMPUTED_VALUE"""),13.008945)</f>
        <v>13.008945</v>
      </c>
      <c r="E20666" s="4">
        <f>IFERROR(__xludf.DUMMYFUNCTION("""COMPUTED_VALUE"""),80.211805)</f>
        <v>80.211805</v>
      </c>
      <c r="F20666" s="4">
        <f>IFERROR(__xludf.DUMMYFUNCTION("""COMPUTED_VALUE"""),5339.0)</f>
        <v>5339</v>
      </c>
      <c r="G20666" s="4">
        <f>IFERROR(__xludf.DUMMYFUNCTION("""COMPUTED_VALUE"""),17.0)</f>
        <v>17</v>
      </c>
      <c r="H20666" s="4"/>
      <c r="I20666" s="4"/>
    </row>
    <row r="20667">
      <c r="A20667" s="4" t="str">
        <f>IFERROR(__xludf.DUMMYFUNCTION("""COMPUTED_VALUE"""),"cas_hmw")</f>
        <v>cas_hmw</v>
      </c>
      <c r="B20667" s="5">
        <f>IFERROR(__xludf.DUMMYFUNCTION("""COMPUTED_VALUE"""),44783.0)</f>
        <v>44783</v>
      </c>
      <c r="C20667" s="6">
        <f>IFERROR(__xludf.DUMMYFUNCTION("""COMPUTED_VALUE"""),0.32490740740831825)</f>
        <v>0.3249074074</v>
      </c>
      <c r="D20667" s="4">
        <f>IFERROR(__xludf.DUMMYFUNCTION("""COMPUTED_VALUE"""),12.697189)</f>
        <v>12.697189</v>
      </c>
      <c r="E20667" s="4">
        <f>IFERROR(__xludf.DUMMYFUNCTION("""COMPUTED_VALUE"""),79.972602)</f>
        <v>79.972602</v>
      </c>
      <c r="F20667" s="4">
        <f>IFERROR(__xludf.DUMMYFUNCTION("""COMPUTED_VALUE"""),2846.0)</f>
        <v>2846</v>
      </c>
      <c r="G20667" s="4">
        <f>IFERROR(__xludf.DUMMYFUNCTION("""COMPUTED_VALUE"""),0.0)</f>
        <v>0</v>
      </c>
      <c r="H20667" s="4"/>
      <c r="I20667" s="4"/>
    </row>
    <row r="20668">
      <c r="A20668" s="4" t="str">
        <f>IFERROR(__xludf.DUMMYFUNCTION("""COMPUTED_VALUE"""),"cas_hmw")</f>
        <v>cas_hmw</v>
      </c>
      <c r="B20668" s="5">
        <f>IFERROR(__xludf.DUMMYFUNCTION("""COMPUTED_VALUE"""),44783.0)</f>
        <v>44783</v>
      </c>
      <c r="C20668" s="6">
        <f>IFERROR(__xludf.DUMMYFUNCTION("""COMPUTED_VALUE"""),0.32538194444350665)</f>
        <v>0.3253819444</v>
      </c>
      <c r="D20668" s="4">
        <f>IFERROR(__xludf.DUMMYFUNCTION("""COMPUTED_VALUE"""),13.003161)</f>
        <v>13.003161</v>
      </c>
      <c r="E20668" s="4">
        <f>IFERROR(__xludf.DUMMYFUNCTION("""COMPUTED_VALUE"""),80.200862)</f>
        <v>80.200862</v>
      </c>
      <c r="F20668" s="4">
        <f>IFERROR(__xludf.DUMMYFUNCTION("""COMPUTED_VALUE"""),5339.0)</f>
        <v>5339</v>
      </c>
      <c r="G20668" s="4">
        <f>IFERROR(__xludf.DUMMYFUNCTION("""COMPUTED_VALUE"""),46.0)</f>
        <v>46</v>
      </c>
      <c r="H20668" s="4"/>
      <c r="I20668" s="4"/>
    </row>
    <row r="20669">
      <c r="A20669" s="4" t="str">
        <f>IFERROR(__xludf.DUMMYFUNCTION("""COMPUTED_VALUE"""),"cas_hmw")</f>
        <v>cas_hmw</v>
      </c>
      <c r="B20669" s="5">
        <f>IFERROR(__xludf.DUMMYFUNCTION("""COMPUTED_VALUE"""),44783.0)</f>
        <v>44783</v>
      </c>
      <c r="C20669" s="6">
        <f>IFERROR(__xludf.DUMMYFUNCTION("""COMPUTED_VALUE"""),0.3271064814798592)</f>
        <v>0.3271064815</v>
      </c>
      <c r="D20669" s="4">
        <f>IFERROR(__xludf.DUMMYFUNCTION("""COMPUTED_VALUE"""),12.994849)</f>
        <v>12.994849</v>
      </c>
      <c r="E20669" s="4">
        <f>IFERROR(__xludf.DUMMYFUNCTION("""COMPUTED_VALUE"""),80.187262)</f>
        <v>80.187262</v>
      </c>
      <c r="F20669" s="4">
        <f>IFERROR(__xludf.DUMMYFUNCTION("""COMPUTED_VALUE"""),5339.0)</f>
        <v>5339</v>
      </c>
      <c r="G20669" s="4">
        <f>IFERROR(__xludf.DUMMYFUNCTION("""COMPUTED_VALUE"""),45.0)</f>
        <v>45</v>
      </c>
      <c r="H20669" s="4"/>
      <c r="I20669" s="4"/>
    </row>
    <row r="20670">
      <c r="A20670" s="4" t="str">
        <f>IFERROR(__xludf.DUMMYFUNCTION("""COMPUTED_VALUE"""),"cas_hmw")</f>
        <v>cas_hmw</v>
      </c>
      <c r="B20670" s="5">
        <f>IFERROR(__xludf.DUMMYFUNCTION("""COMPUTED_VALUE"""),44783.0)</f>
        <v>44783</v>
      </c>
      <c r="C20670" s="6">
        <f>IFERROR(__xludf.DUMMYFUNCTION("""COMPUTED_VALUE"""),0.32767361111109494)</f>
        <v>0.3276736111</v>
      </c>
      <c r="D20670" s="4">
        <f>IFERROR(__xludf.DUMMYFUNCTION("""COMPUTED_VALUE"""),13.007318)</f>
        <v>13.007318</v>
      </c>
      <c r="E20670" s="4">
        <f>IFERROR(__xludf.DUMMYFUNCTION("""COMPUTED_VALUE"""),80.237703)</f>
        <v>80.237703</v>
      </c>
      <c r="F20670" s="4">
        <f>IFERROR(__xludf.DUMMYFUNCTION("""COMPUTED_VALUE"""),805.0)</f>
        <v>805</v>
      </c>
      <c r="G20670" s="4">
        <f>IFERROR(__xludf.DUMMYFUNCTION("""COMPUTED_VALUE"""),33.0)</f>
        <v>33</v>
      </c>
      <c r="H20670" s="4"/>
      <c r="I20670" s="4"/>
    </row>
    <row r="20671">
      <c r="A20671" s="4" t="str">
        <f>IFERROR(__xludf.DUMMYFUNCTION("""COMPUTED_VALUE"""),"cas_hmw")</f>
        <v>cas_hmw</v>
      </c>
      <c r="B20671" s="5">
        <f>IFERROR(__xludf.DUMMYFUNCTION("""COMPUTED_VALUE"""),44783.0)</f>
        <v>44783</v>
      </c>
      <c r="C20671" s="6">
        <f>IFERROR(__xludf.DUMMYFUNCTION("""COMPUTED_VALUE"""),0.32883101851984975)</f>
        <v>0.3288310185</v>
      </c>
      <c r="D20671" s="4">
        <f>IFERROR(__xludf.DUMMYFUNCTION("""COMPUTED_VALUE"""),13.010834)</f>
        <v>13.010834</v>
      </c>
      <c r="E20671" s="4">
        <f>IFERROR(__xludf.DUMMYFUNCTION("""COMPUTED_VALUE"""),80.2247)</f>
        <v>80.2247</v>
      </c>
      <c r="F20671" s="4">
        <f>IFERROR(__xludf.DUMMYFUNCTION("""COMPUTED_VALUE"""),805.0)</f>
        <v>805</v>
      </c>
      <c r="G20671" s="4">
        <f>IFERROR(__xludf.DUMMYFUNCTION("""COMPUTED_VALUE"""),23.0)</f>
        <v>23</v>
      </c>
      <c r="H20671" s="4"/>
      <c r="I20671" s="4"/>
    </row>
    <row r="20672">
      <c r="A20672" s="4" t="str">
        <f>IFERROR(__xludf.DUMMYFUNCTION("""COMPUTED_VALUE"""),"cas_hmw")</f>
        <v>cas_hmw</v>
      </c>
      <c r="B20672" s="5">
        <f>IFERROR(__xludf.DUMMYFUNCTION("""COMPUTED_VALUE"""),44783.0)</f>
        <v>44783</v>
      </c>
      <c r="C20672" s="6">
        <f>IFERROR(__xludf.DUMMYFUNCTION("""COMPUTED_VALUE"""),0.32894675925854244)</f>
        <v>0.3289467593</v>
      </c>
      <c r="D20672" s="4">
        <f>IFERROR(__xludf.DUMMYFUNCTION("""COMPUTED_VALUE"""),12.988548)</f>
        <v>12.988548</v>
      </c>
      <c r="E20672" s="4">
        <f>IFERROR(__xludf.DUMMYFUNCTION("""COMPUTED_VALUE"""),80.177835)</f>
        <v>80.177835</v>
      </c>
      <c r="F20672" s="4">
        <f>IFERROR(__xludf.DUMMYFUNCTION("""COMPUTED_VALUE"""),5339.0)</f>
        <v>5339</v>
      </c>
      <c r="G20672" s="4">
        <f>IFERROR(__xludf.DUMMYFUNCTION("""COMPUTED_VALUE"""),48.0)</f>
        <v>48</v>
      </c>
      <c r="H20672" s="4"/>
      <c r="I20672" s="4"/>
    </row>
    <row r="20673">
      <c r="A20673" s="4" t="str">
        <f>IFERROR(__xludf.DUMMYFUNCTION("""COMPUTED_VALUE"""),"cas_hmw")</f>
        <v>cas_hmw</v>
      </c>
      <c r="B20673" s="5">
        <f>IFERROR(__xludf.DUMMYFUNCTION("""COMPUTED_VALUE"""),44783.0)</f>
        <v>44783</v>
      </c>
      <c r="C20673" s="6">
        <f>IFERROR(__xludf.DUMMYFUNCTION("""COMPUTED_VALUE"""),0.32913194444336114)</f>
        <v>0.3291319444</v>
      </c>
      <c r="D20673" s="4">
        <f>IFERROR(__xludf.DUMMYFUNCTION("""COMPUTED_VALUE"""),12.727934)</f>
        <v>12.727934</v>
      </c>
      <c r="E20673" s="4">
        <f>IFERROR(__xludf.DUMMYFUNCTION("""COMPUTED_VALUE"""),79.982622)</f>
        <v>79.982622</v>
      </c>
      <c r="F20673" s="4">
        <f>IFERROR(__xludf.DUMMYFUNCTION("""COMPUTED_VALUE"""),2846.0)</f>
        <v>2846</v>
      </c>
      <c r="G20673" s="4">
        <f>IFERROR(__xludf.DUMMYFUNCTION("""COMPUTED_VALUE"""),50.0)</f>
        <v>50</v>
      </c>
      <c r="H20673" s="4"/>
      <c r="I20673" s="4"/>
    </row>
    <row r="20674">
      <c r="A20674" s="4" t="str">
        <f>IFERROR(__xludf.DUMMYFUNCTION("""COMPUTED_VALUE"""),"cas_hmw")</f>
        <v>cas_hmw</v>
      </c>
      <c r="B20674" s="5">
        <f>IFERROR(__xludf.DUMMYFUNCTION("""COMPUTED_VALUE"""),44783.0)</f>
        <v>44783</v>
      </c>
      <c r="C20674" s="6">
        <f>IFERROR(__xludf.DUMMYFUNCTION("""COMPUTED_VALUE"""),0.32918981481634546)</f>
        <v>0.3291898148</v>
      </c>
      <c r="D20674" s="4">
        <f>IFERROR(__xludf.DUMMYFUNCTION("""COMPUTED_VALUE"""),13.011545)</f>
        <v>13.011545</v>
      </c>
      <c r="E20674" s="4">
        <f>IFERROR(__xludf.DUMMYFUNCTION("""COMPUTED_VALUE"""),80.222801)</f>
        <v>80.222801</v>
      </c>
      <c r="F20674" s="4">
        <f>IFERROR(__xludf.DUMMYFUNCTION("""COMPUTED_VALUE"""),805.0)</f>
        <v>805</v>
      </c>
      <c r="G20674" s="4">
        <f>IFERROR(__xludf.DUMMYFUNCTION("""COMPUTED_VALUE"""),35.0)</f>
        <v>35</v>
      </c>
      <c r="H20674" s="4"/>
      <c r="I20674" s="4"/>
    </row>
    <row r="20675">
      <c r="A20675" s="4" t="str">
        <f>IFERROR(__xludf.DUMMYFUNCTION("""COMPUTED_VALUE"""),"cas_hmw")</f>
        <v>cas_hmw</v>
      </c>
      <c r="B20675" s="5">
        <f>IFERROR(__xludf.DUMMYFUNCTION("""COMPUTED_VALUE"""),44783.0)</f>
        <v>44783</v>
      </c>
      <c r="C20675" s="6">
        <f>IFERROR(__xludf.DUMMYFUNCTION("""COMPUTED_VALUE"""),0.3296064814821875)</f>
        <v>0.3296064815</v>
      </c>
      <c r="D20675" s="4">
        <f>IFERROR(__xludf.DUMMYFUNCTION("""COMPUTED_VALUE"""),12.731379)</f>
        <v>12.731379</v>
      </c>
      <c r="E20675" s="4">
        <f>IFERROR(__xludf.DUMMYFUNCTION("""COMPUTED_VALUE"""),79.982816)</f>
        <v>79.982816</v>
      </c>
      <c r="F20675" s="4">
        <f>IFERROR(__xludf.DUMMYFUNCTION("""COMPUTED_VALUE"""),2846.0)</f>
        <v>2846</v>
      </c>
      <c r="G20675" s="4">
        <f>IFERROR(__xludf.DUMMYFUNCTION("""COMPUTED_VALUE"""),47.0)</f>
        <v>47</v>
      </c>
      <c r="H20675" s="4"/>
      <c r="I20675" s="4"/>
    </row>
    <row r="20676">
      <c r="A20676" s="4" t="str">
        <f>IFERROR(__xludf.DUMMYFUNCTION("""COMPUTED_VALUE"""),"cas_hmw")</f>
        <v>cas_hmw</v>
      </c>
      <c r="B20676" s="5">
        <f>IFERROR(__xludf.DUMMYFUNCTION("""COMPUTED_VALUE"""),44783.0)</f>
        <v>44783</v>
      </c>
      <c r="C20676" s="6">
        <f>IFERROR(__xludf.DUMMYFUNCTION("""COMPUTED_VALUE"""),0.32973379629765986)</f>
        <v>0.3297337963</v>
      </c>
      <c r="D20676" s="4">
        <f>IFERROR(__xludf.DUMMYFUNCTION("""COMPUTED_VALUE"""),13.011574)</f>
        <v>13.011574</v>
      </c>
      <c r="E20676" s="4">
        <f>IFERROR(__xludf.DUMMYFUNCTION("""COMPUTED_VALUE"""),80.219164)</f>
        <v>80.219164</v>
      </c>
      <c r="F20676" s="4">
        <f>IFERROR(__xludf.DUMMYFUNCTION("""COMPUTED_VALUE"""),805.0)</f>
        <v>805</v>
      </c>
      <c r="G20676" s="4">
        <f>IFERROR(__xludf.DUMMYFUNCTION("""COMPUTED_VALUE"""),43.0)</f>
        <v>43</v>
      </c>
      <c r="H20676" s="4"/>
      <c r="I20676" s="4"/>
    </row>
    <row r="20677">
      <c r="A20677" s="4" t="str">
        <f>IFERROR(__xludf.DUMMYFUNCTION("""COMPUTED_VALUE"""),"cas_hmw")</f>
        <v>cas_hmw</v>
      </c>
      <c r="B20677" s="5">
        <f>IFERROR(__xludf.DUMMYFUNCTION("""COMPUTED_VALUE"""),44783.0)</f>
        <v>44783</v>
      </c>
      <c r="C20677" s="6">
        <f>IFERROR(__xludf.DUMMYFUNCTION("""COMPUTED_VALUE"""),0.3299884259249666)</f>
        <v>0.3299884259</v>
      </c>
      <c r="D20677" s="4">
        <f>IFERROR(__xludf.DUMMYFUNCTION("""COMPUTED_VALUE"""),13.010619)</f>
        <v>13.010619</v>
      </c>
      <c r="E20677" s="4">
        <f>IFERROR(__xludf.DUMMYFUNCTION("""COMPUTED_VALUE"""),80.216678)</f>
        <v>80.216678</v>
      </c>
      <c r="F20677" s="4">
        <f>IFERROR(__xludf.DUMMYFUNCTION("""COMPUTED_VALUE"""),805.0)</f>
        <v>805</v>
      </c>
      <c r="G20677" s="4">
        <f>IFERROR(__xludf.DUMMYFUNCTION("""COMPUTED_VALUE"""),37.0)</f>
        <v>37</v>
      </c>
      <c r="H20677" s="4"/>
      <c r="I20677" s="4"/>
    </row>
    <row r="20678">
      <c r="A20678" s="4" t="str">
        <f>IFERROR(__xludf.DUMMYFUNCTION("""COMPUTED_VALUE"""),"cas_hmw")</f>
        <v>cas_hmw</v>
      </c>
      <c r="B20678" s="5">
        <f>IFERROR(__xludf.DUMMYFUNCTION("""COMPUTED_VALUE"""),44783.0)</f>
        <v>44783</v>
      </c>
      <c r="C20678" s="6">
        <f>IFERROR(__xludf.DUMMYFUNCTION("""COMPUTED_VALUE"""),0.33027777777897427)</f>
        <v>0.3302777778</v>
      </c>
      <c r="D20678" s="4">
        <f>IFERROR(__xludf.DUMMYFUNCTION("""COMPUTED_VALUE"""),13.010031)</f>
        <v>13.010031</v>
      </c>
      <c r="E20678" s="4">
        <f>IFERROR(__xludf.DUMMYFUNCTION("""COMPUTED_VALUE"""),80.214543)</f>
        <v>80.214543</v>
      </c>
      <c r="F20678" s="4">
        <f>IFERROR(__xludf.DUMMYFUNCTION("""COMPUTED_VALUE"""),805.0)</f>
        <v>805</v>
      </c>
      <c r="G20678" s="4">
        <f>IFERROR(__xludf.DUMMYFUNCTION("""COMPUTED_VALUE"""),48.0)</f>
        <v>48</v>
      </c>
      <c r="H20678" s="4"/>
      <c r="I20678" s="4"/>
    </row>
    <row r="20679">
      <c r="A20679" s="4" t="str">
        <f>IFERROR(__xludf.DUMMYFUNCTION("""COMPUTED_VALUE"""),"cas_hmw")</f>
        <v>cas_hmw</v>
      </c>
      <c r="B20679" s="5">
        <f>IFERROR(__xludf.DUMMYFUNCTION("""COMPUTED_VALUE"""),44783.0)</f>
        <v>44783</v>
      </c>
      <c r="C20679" s="6">
        <f>IFERROR(__xludf.DUMMYFUNCTION("""COMPUTED_VALUE"""),0.33035879629460396)</f>
        <v>0.3303587963</v>
      </c>
      <c r="D20679" s="4">
        <f>IFERROR(__xludf.DUMMYFUNCTION("""COMPUTED_VALUE"""),12.983964)</f>
        <v>12.983964</v>
      </c>
      <c r="E20679" s="4">
        <f>IFERROR(__xludf.DUMMYFUNCTION("""COMPUTED_VALUE"""),80.171005)</f>
        <v>80.171005</v>
      </c>
      <c r="F20679" s="4">
        <f>IFERROR(__xludf.DUMMYFUNCTION("""COMPUTED_VALUE"""),5339.0)</f>
        <v>5339</v>
      </c>
      <c r="G20679" s="4">
        <f>IFERROR(__xludf.DUMMYFUNCTION("""COMPUTED_VALUE"""),43.0)</f>
        <v>43</v>
      </c>
      <c r="H20679" s="4"/>
      <c r="I20679" s="4"/>
    </row>
    <row r="20680">
      <c r="A20680" s="4" t="str">
        <f>IFERROR(__xludf.DUMMYFUNCTION("""COMPUTED_VALUE"""),"cas_hmw")</f>
        <v>cas_hmw</v>
      </c>
      <c r="B20680" s="5">
        <f>IFERROR(__xludf.DUMMYFUNCTION("""COMPUTED_VALUE"""),44783.0)</f>
        <v>44783</v>
      </c>
      <c r="C20680" s="6">
        <f>IFERROR(__xludf.DUMMYFUNCTION("""COMPUTED_VALUE"""),0.33054398148306063)</f>
        <v>0.3305439815</v>
      </c>
      <c r="D20680" s="4">
        <f>IFERROR(__xludf.DUMMYFUNCTION("""COMPUTED_VALUE"""),12.982838)</f>
        <v>12.982838</v>
      </c>
      <c r="E20680" s="4">
        <f>IFERROR(__xludf.DUMMYFUNCTION("""COMPUTED_VALUE"""),80.16906)</f>
        <v>80.16906</v>
      </c>
      <c r="F20680" s="4">
        <f>IFERROR(__xludf.DUMMYFUNCTION("""COMPUTED_VALUE"""),5339.0)</f>
        <v>5339</v>
      </c>
      <c r="G20680" s="4">
        <f>IFERROR(__xludf.DUMMYFUNCTION("""COMPUTED_VALUE"""),47.0)</f>
        <v>47</v>
      </c>
      <c r="H20680" s="4"/>
      <c r="I20680" s="4"/>
    </row>
    <row r="20681">
      <c r="A20681" s="4" t="str">
        <f>IFERROR(__xludf.DUMMYFUNCTION("""COMPUTED_VALUE"""),"cas_hmw")</f>
        <v>cas_hmw</v>
      </c>
      <c r="B20681" s="5">
        <f>IFERROR(__xludf.DUMMYFUNCTION("""COMPUTED_VALUE"""),44783.0)</f>
        <v>44783</v>
      </c>
      <c r="C20681" s="6">
        <f>IFERROR(__xludf.DUMMYFUNCTION("""COMPUTED_VALUE"""),0.330671296294895)</f>
        <v>0.3306712963</v>
      </c>
      <c r="D20681" s="4">
        <f>IFERROR(__xludf.DUMMYFUNCTION("""COMPUTED_VALUE"""),13.008818)</f>
        <v>13.008818</v>
      </c>
      <c r="E20681" s="4">
        <f>IFERROR(__xludf.DUMMYFUNCTION("""COMPUTED_VALUE"""),80.211422)</f>
        <v>80.211422</v>
      </c>
      <c r="F20681" s="4">
        <f>IFERROR(__xludf.DUMMYFUNCTION("""COMPUTED_VALUE"""),805.0)</f>
        <v>805</v>
      </c>
      <c r="G20681" s="4">
        <f>IFERROR(__xludf.DUMMYFUNCTION("""COMPUTED_VALUE"""),43.0)</f>
        <v>43</v>
      </c>
      <c r="H20681" s="4"/>
      <c r="I20681" s="4"/>
    </row>
    <row r="20682">
      <c r="A20682" s="4" t="str">
        <f>IFERROR(__xludf.DUMMYFUNCTION("""COMPUTED_VALUE"""),"cas_hmw")</f>
        <v>cas_hmw</v>
      </c>
      <c r="B20682" s="5">
        <f>IFERROR(__xludf.DUMMYFUNCTION("""COMPUTED_VALUE"""),44783.0)</f>
        <v>44783</v>
      </c>
      <c r="C20682" s="6">
        <f>IFERROR(__xludf.DUMMYFUNCTION("""COMPUTED_VALUE"""),0.33098379629518604)</f>
        <v>0.3309837963</v>
      </c>
      <c r="D20682" s="4">
        <f>IFERROR(__xludf.DUMMYFUNCTION("""COMPUTED_VALUE"""),13.007868)</f>
        <v>13.007868</v>
      </c>
      <c r="E20682" s="4">
        <f>IFERROR(__xludf.DUMMYFUNCTION("""COMPUTED_VALUE"""),80.20793)</f>
        <v>80.20793</v>
      </c>
      <c r="F20682" s="4">
        <f>IFERROR(__xludf.DUMMYFUNCTION("""COMPUTED_VALUE"""),805.0)</f>
        <v>805</v>
      </c>
      <c r="G20682" s="4">
        <f>IFERROR(__xludf.DUMMYFUNCTION("""COMPUTED_VALUE"""),43.0)</f>
        <v>43</v>
      </c>
      <c r="H20682" s="4"/>
      <c r="I20682" s="4"/>
    </row>
    <row r="20683">
      <c r="A20683" s="4" t="str">
        <f>IFERROR(__xludf.DUMMYFUNCTION("""COMPUTED_VALUE"""),"cas_hmw")</f>
        <v>cas_hmw</v>
      </c>
      <c r="B20683" s="5">
        <f>IFERROR(__xludf.DUMMYFUNCTION("""COMPUTED_VALUE"""),44783.0)</f>
        <v>44783</v>
      </c>
      <c r="C20683" s="6">
        <f>IFERROR(__xludf.DUMMYFUNCTION("""COMPUTED_VALUE"""),0.33101851851824904)</f>
        <v>0.3310185185</v>
      </c>
      <c r="D20683" s="4">
        <f>IFERROR(__xludf.DUMMYFUNCTION("""COMPUTED_VALUE"""),12.735074)</f>
        <v>12.735074</v>
      </c>
      <c r="E20683" s="4">
        <f>IFERROR(__xludf.DUMMYFUNCTION("""COMPUTED_VALUE"""),79.985711)</f>
        <v>79.985711</v>
      </c>
      <c r="F20683" s="4">
        <f>IFERROR(__xludf.DUMMYFUNCTION("""COMPUTED_VALUE"""),2846.0)</f>
        <v>2846</v>
      </c>
      <c r="G20683" s="4">
        <f>IFERROR(__xludf.DUMMYFUNCTION("""COMPUTED_VALUE"""),53.0)</f>
        <v>53</v>
      </c>
      <c r="H20683" s="4"/>
      <c r="I20683" s="4"/>
    </row>
    <row r="20684">
      <c r="A20684" s="4" t="str">
        <f>IFERROR(__xludf.DUMMYFUNCTION("""COMPUTED_VALUE"""),"cas_hmw")</f>
        <v>cas_hmw</v>
      </c>
      <c r="B20684" s="5">
        <f>IFERROR(__xludf.DUMMYFUNCTION("""COMPUTED_VALUE"""),44783.0)</f>
        <v>44783</v>
      </c>
      <c r="C20684" s="6">
        <f>IFERROR(__xludf.DUMMYFUNCTION("""COMPUTED_VALUE"""),0.3314004629646661)</f>
        <v>0.331400463</v>
      </c>
      <c r="D20684" s="4">
        <f>IFERROR(__xludf.DUMMYFUNCTION("""COMPUTED_VALUE"""),12.979427)</f>
        <v>12.979427</v>
      </c>
      <c r="E20684" s="4">
        <f>IFERROR(__xludf.DUMMYFUNCTION("""COMPUTED_VALUE"""),80.162104)</f>
        <v>80.162104</v>
      </c>
      <c r="F20684" s="4">
        <f>IFERROR(__xludf.DUMMYFUNCTION("""COMPUTED_VALUE"""),5339.0)</f>
        <v>5339</v>
      </c>
      <c r="G20684" s="4">
        <f>IFERROR(__xludf.DUMMYFUNCTION("""COMPUTED_VALUE"""),52.0)</f>
        <v>52</v>
      </c>
      <c r="H20684" s="4"/>
      <c r="I20684" s="4"/>
    </row>
    <row r="20685">
      <c r="A20685" s="4" t="str">
        <f>IFERROR(__xludf.DUMMYFUNCTION("""COMPUTED_VALUE"""),"cas_hmw")</f>
        <v>cas_hmw</v>
      </c>
      <c r="B20685" s="5">
        <f>IFERROR(__xludf.DUMMYFUNCTION("""COMPUTED_VALUE"""),44783.0)</f>
        <v>44783</v>
      </c>
      <c r="C20685" s="6">
        <f>IFERROR(__xludf.DUMMYFUNCTION("""COMPUTED_VALUE"""),0.33163194444568944)</f>
        <v>0.3316319444</v>
      </c>
      <c r="D20685" s="4">
        <f>IFERROR(__xludf.DUMMYFUNCTION("""COMPUTED_VALUE"""),12.977158)</f>
        <v>12.977158</v>
      </c>
      <c r="E20685" s="4">
        <f>IFERROR(__xludf.DUMMYFUNCTION("""COMPUTED_VALUE"""),80.158874)</f>
        <v>80.158874</v>
      </c>
      <c r="F20685" s="4">
        <f>IFERROR(__xludf.DUMMYFUNCTION("""COMPUTED_VALUE"""),5339.0)</f>
        <v>5339</v>
      </c>
      <c r="G20685" s="4">
        <f>IFERROR(__xludf.DUMMYFUNCTION("""COMPUTED_VALUE"""),53.0)</f>
        <v>53</v>
      </c>
      <c r="H20685" s="4"/>
      <c r="I20685" s="4"/>
    </row>
    <row r="20686">
      <c r="A20686" s="4" t="str">
        <f>IFERROR(__xludf.DUMMYFUNCTION("""COMPUTED_VALUE"""),"cas_hmw")</f>
        <v>cas_hmw</v>
      </c>
      <c r="B20686" s="5">
        <f>IFERROR(__xludf.DUMMYFUNCTION("""COMPUTED_VALUE"""),44783.0)</f>
        <v>44783</v>
      </c>
      <c r="C20686" s="6">
        <f>IFERROR(__xludf.DUMMYFUNCTION("""COMPUTED_VALUE"""),0.3320254629616102)</f>
        <v>0.332025463</v>
      </c>
      <c r="D20686" s="4">
        <f>IFERROR(__xludf.DUMMYFUNCTION("""COMPUTED_VALUE"""),13.002692)</f>
        <v>13.002692</v>
      </c>
      <c r="E20686" s="4">
        <f>IFERROR(__xludf.DUMMYFUNCTION("""COMPUTED_VALUE"""),80.200694)</f>
        <v>80.200694</v>
      </c>
      <c r="F20686" s="4">
        <f>IFERROR(__xludf.DUMMYFUNCTION("""COMPUTED_VALUE"""),805.0)</f>
        <v>805</v>
      </c>
      <c r="G20686" s="4">
        <f>IFERROR(__xludf.DUMMYFUNCTION("""COMPUTED_VALUE"""),43.0)</f>
        <v>43</v>
      </c>
      <c r="H20686" s="4"/>
      <c r="I20686" s="4"/>
    </row>
    <row r="20687">
      <c r="A20687" s="4" t="str">
        <f>IFERROR(__xludf.DUMMYFUNCTION("""COMPUTED_VALUE"""),"cas_hmw")</f>
        <v>cas_hmw</v>
      </c>
      <c r="B20687" s="5">
        <f>IFERROR(__xludf.DUMMYFUNCTION("""COMPUTED_VALUE"""),44783.0)</f>
        <v>44783</v>
      </c>
      <c r="C20687" s="6">
        <f>IFERROR(__xludf.DUMMYFUNCTION("""COMPUTED_VALUE"""),0.33247685185051523)</f>
        <v>0.3324768519</v>
      </c>
      <c r="D20687" s="4">
        <f>IFERROR(__xludf.DUMMYFUNCTION("""COMPUTED_VALUE"""),13.001884)</f>
        <v>13.001884</v>
      </c>
      <c r="E20687" s="4">
        <f>IFERROR(__xludf.DUMMYFUNCTION("""COMPUTED_VALUE"""),80.19662)</f>
        <v>80.19662</v>
      </c>
      <c r="F20687" s="4">
        <f>IFERROR(__xludf.DUMMYFUNCTION("""COMPUTED_VALUE"""),805.0)</f>
        <v>805</v>
      </c>
      <c r="G20687" s="4">
        <f>IFERROR(__xludf.DUMMYFUNCTION("""COMPUTED_VALUE"""),40.0)</f>
        <v>40</v>
      </c>
      <c r="H20687" s="4"/>
      <c r="I20687" s="4"/>
    </row>
    <row r="20688">
      <c r="A20688" s="4" t="str">
        <f>IFERROR(__xludf.DUMMYFUNCTION("""COMPUTED_VALUE"""),"cas_hmw")</f>
        <v>cas_hmw</v>
      </c>
      <c r="B20688" s="5">
        <f>IFERROR(__xludf.DUMMYFUNCTION("""COMPUTED_VALUE"""),44783.0)</f>
        <v>44783</v>
      </c>
      <c r="C20688" s="6">
        <f>IFERROR(__xludf.DUMMYFUNCTION("""COMPUTED_VALUE"""),0.33250000000043656)</f>
        <v>0.3325</v>
      </c>
      <c r="D20688" s="4">
        <f>IFERROR(__xludf.DUMMYFUNCTION("""COMPUTED_VALUE"""),12.974214)</f>
        <v>12.974214</v>
      </c>
      <c r="E20688" s="4">
        <f>IFERROR(__xludf.DUMMYFUNCTION("""COMPUTED_VALUE"""),80.154555)</f>
        <v>80.154555</v>
      </c>
      <c r="F20688" s="4">
        <f>IFERROR(__xludf.DUMMYFUNCTION("""COMPUTED_VALUE"""),5339.0)</f>
        <v>5339</v>
      </c>
      <c r="G20688" s="4">
        <f>IFERROR(__xludf.DUMMYFUNCTION("""COMPUTED_VALUE"""),25.0)</f>
        <v>25</v>
      </c>
      <c r="H20688" s="4"/>
      <c r="I20688" s="4"/>
    </row>
    <row r="20689">
      <c r="A20689" s="4" t="str">
        <f>IFERROR(__xludf.DUMMYFUNCTION("""COMPUTED_VALUE"""),"cas_hmw")</f>
        <v>cas_hmw</v>
      </c>
      <c r="B20689" s="5">
        <f>IFERROR(__xludf.DUMMYFUNCTION("""COMPUTED_VALUE"""),44783.0)</f>
        <v>44783</v>
      </c>
      <c r="C20689" s="6">
        <f>IFERROR(__xludf.DUMMYFUNCTION("""COMPUTED_VALUE"""),0.3325231481467199)</f>
        <v>0.3325231481</v>
      </c>
      <c r="D20689" s="4">
        <f>IFERROR(__xludf.DUMMYFUNCTION("""COMPUTED_VALUE"""),12.974214)</f>
        <v>12.974214</v>
      </c>
      <c r="E20689" s="4">
        <f>IFERROR(__xludf.DUMMYFUNCTION("""COMPUTED_VALUE"""),80.154555)</f>
        <v>80.154555</v>
      </c>
      <c r="F20689" s="4">
        <f>IFERROR(__xludf.DUMMYFUNCTION("""COMPUTED_VALUE"""),5339.0)</f>
        <v>5339</v>
      </c>
      <c r="G20689" s="4">
        <f>IFERROR(__xludf.DUMMYFUNCTION("""COMPUTED_VALUE"""),25.0)</f>
        <v>25</v>
      </c>
      <c r="H20689" s="4"/>
      <c r="I20689" s="4"/>
    </row>
    <row r="20690">
      <c r="A20690" s="4" t="str">
        <f>IFERROR(__xludf.DUMMYFUNCTION("""COMPUTED_VALUE"""),"cas_hmw")</f>
        <v>cas_hmw</v>
      </c>
      <c r="B20690" s="5">
        <f>IFERROR(__xludf.DUMMYFUNCTION("""COMPUTED_VALUE"""),44783.0)</f>
        <v>44783</v>
      </c>
      <c r="C20690" s="6">
        <f>IFERROR(__xludf.DUMMYFUNCTION("""COMPUTED_VALUE"""),0.33253472222349956)</f>
        <v>0.3325347222</v>
      </c>
      <c r="D20690" s="4">
        <f>IFERROR(__xludf.DUMMYFUNCTION("""COMPUTED_VALUE"""),12.974214)</f>
        <v>12.974214</v>
      </c>
      <c r="E20690" s="4">
        <f>IFERROR(__xludf.DUMMYFUNCTION("""COMPUTED_VALUE"""),80.154555)</f>
        <v>80.154555</v>
      </c>
      <c r="F20690" s="4">
        <f>IFERROR(__xludf.DUMMYFUNCTION("""COMPUTED_VALUE"""),5339.0)</f>
        <v>5339</v>
      </c>
      <c r="G20690" s="4">
        <f>IFERROR(__xludf.DUMMYFUNCTION("""COMPUTED_VALUE"""),25.0)</f>
        <v>25</v>
      </c>
      <c r="H20690" s="4"/>
      <c r="I20690" s="4"/>
    </row>
    <row r="20691">
      <c r="A20691" s="4" t="str">
        <f>IFERROR(__xludf.DUMMYFUNCTION("""COMPUTED_VALUE"""),"cas_hmw")</f>
        <v>cas_hmw</v>
      </c>
      <c r="B20691" s="5">
        <f>IFERROR(__xludf.DUMMYFUNCTION("""COMPUTED_VALUE"""),44783.0)</f>
        <v>44783</v>
      </c>
      <c r="C20691" s="6">
        <f>IFERROR(__xludf.DUMMYFUNCTION("""COMPUTED_VALUE"""),0.3326620370353339)</f>
        <v>0.332662037</v>
      </c>
      <c r="D20691" s="4">
        <f>IFERROR(__xludf.DUMMYFUNCTION("""COMPUTED_VALUE"""),13.00066)</f>
        <v>13.00066</v>
      </c>
      <c r="E20691" s="4">
        <f>IFERROR(__xludf.DUMMYFUNCTION("""COMPUTED_VALUE"""),80.195026)</f>
        <v>80.195026</v>
      </c>
      <c r="F20691" s="4">
        <f>IFERROR(__xludf.DUMMYFUNCTION("""COMPUTED_VALUE"""),805.0)</f>
        <v>805</v>
      </c>
      <c r="G20691" s="4">
        <f>IFERROR(__xludf.DUMMYFUNCTION("""COMPUTED_VALUE"""),39.0)</f>
        <v>39</v>
      </c>
      <c r="H20691" s="4"/>
      <c r="I20691" s="4"/>
    </row>
    <row r="20692">
      <c r="A20692" s="4" t="str">
        <f>IFERROR(__xludf.DUMMYFUNCTION("""COMPUTED_VALUE"""),"cas_hmw")</f>
        <v>cas_hmw</v>
      </c>
      <c r="B20692" s="5">
        <f>IFERROR(__xludf.DUMMYFUNCTION("""COMPUTED_VALUE"""),44783.0)</f>
        <v>44783</v>
      </c>
      <c r="C20692" s="6">
        <f>IFERROR(__xludf.DUMMYFUNCTION("""COMPUTED_VALUE"""),0.3328819444432156)</f>
        <v>0.3328819444</v>
      </c>
      <c r="D20692" s="4">
        <f>IFERROR(__xludf.DUMMYFUNCTION("""COMPUTED_VALUE"""),12.971053)</f>
        <v>12.971053</v>
      </c>
      <c r="E20692" s="4">
        <f>IFERROR(__xludf.DUMMYFUNCTION("""COMPUTED_VALUE"""),80.15086)</f>
        <v>80.15086</v>
      </c>
      <c r="F20692" s="4">
        <f>IFERROR(__xludf.DUMMYFUNCTION("""COMPUTED_VALUE"""),3143.0)</f>
        <v>3143</v>
      </c>
      <c r="G20692" s="4">
        <f>IFERROR(__xludf.DUMMYFUNCTION("""COMPUTED_VALUE"""),40.0)</f>
        <v>40</v>
      </c>
      <c r="H20692" s="4"/>
      <c r="I20692" s="4"/>
    </row>
    <row r="20693">
      <c r="A20693" s="4" t="str">
        <f>IFERROR(__xludf.DUMMYFUNCTION("""COMPUTED_VALUE"""),"cas_hmw")</f>
        <v>cas_hmw</v>
      </c>
      <c r="B20693" s="5">
        <f>IFERROR(__xludf.DUMMYFUNCTION("""COMPUTED_VALUE"""),44783.0)</f>
        <v>44783</v>
      </c>
      <c r="C20693" s="6">
        <f>IFERROR(__xludf.DUMMYFUNCTION("""COMPUTED_VALUE"""),0.33293981481619994)</f>
        <v>0.3329398148</v>
      </c>
      <c r="D20693" s="4">
        <f>IFERROR(__xludf.DUMMYFUNCTION("""COMPUTED_VALUE"""),12.999476)</f>
        <v>12.999476</v>
      </c>
      <c r="E20693" s="4">
        <f>IFERROR(__xludf.DUMMYFUNCTION("""COMPUTED_VALUE"""),80.193551)</f>
        <v>80.193551</v>
      </c>
      <c r="F20693" s="4">
        <f>IFERROR(__xludf.DUMMYFUNCTION("""COMPUTED_VALUE"""),805.0)</f>
        <v>805</v>
      </c>
      <c r="G20693" s="4">
        <f>IFERROR(__xludf.DUMMYFUNCTION("""COMPUTED_VALUE"""),36.0)</f>
        <v>36</v>
      </c>
      <c r="H20693" s="4"/>
      <c r="I20693" s="4"/>
    </row>
    <row r="20694">
      <c r="A20694" s="4" t="str">
        <f>IFERROR(__xludf.DUMMYFUNCTION("""COMPUTED_VALUE"""),"cas_hmw")</f>
        <v>cas_hmw</v>
      </c>
      <c r="B20694" s="5">
        <f>IFERROR(__xludf.DUMMYFUNCTION("""COMPUTED_VALUE"""),44783.0)</f>
        <v>44783</v>
      </c>
      <c r="C20694" s="6">
        <f>IFERROR(__xludf.DUMMYFUNCTION("""COMPUTED_VALUE"""),0.3329513888893416)</f>
        <v>0.3329513889</v>
      </c>
      <c r="D20694" s="4">
        <f>IFERROR(__xludf.DUMMYFUNCTION("""COMPUTED_VALUE"""),12.972425)</f>
        <v>12.972425</v>
      </c>
      <c r="E20694" s="4">
        <f>IFERROR(__xludf.DUMMYFUNCTION("""COMPUTED_VALUE"""),80.151936)</f>
        <v>80.151936</v>
      </c>
      <c r="F20694" s="4">
        <f>IFERROR(__xludf.DUMMYFUNCTION("""COMPUTED_VALUE"""),5339.0)</f>
        <v>5339</v>
      </c>
      <c r="G20694" s="4">
        <f>IFERROR(__xludf.DUMMYFUNCTION("""COMPUTED_VALUE"""),49.0)</f>
        <v>49</v>
      </c>
      <c r="H20694" s="4"/>
      <c r="I20694" s="4"/>
    </row>
    <row r="20695">
      <c r="A20695" s="4" t="str">
        <f>IFERROR(__xludf.DUMMYFUNCTION("""COMPUTED_VALUE"""),"cas_hmw")</f>
        <v>cas_hmw</v>
      </c>
      <c r="B20695" s="5">
        <f>IFERROR(__xludf.DUMMYFUNCTION("""COMPUTED_VALUE"""),44783.0)</f>
        <v>44783</v>
      </c>
      <c r="C20695" s="6">
        <f>IFERROR(__xludf.DUMMYFUNCTION("""COMPUTED_VALUE"""),0.3329629629624833)</f>
        <v>0.332962963</v>
      </c>
      <c r="D20695" s="4">
        <f>IFERROR(__xludf.DUMMYFUNCTION("""COMPUTED_VALUE"""),12.971819)</f>
        <v>12.971819</v>
      </c>
      <c r="E20695" s="4">
        <f>IFERROR(__xludf.DUMMYFUNCTION("""COMPUTED_VALUE"""),80.151346)</f>
        <v>80.151346</v>
      </c>
      <c r="F20695" s="4">
        <f>IFERROR(__xludf.DUMMYFUNCTION("""COMPUTED_VALUE"""),5339.0)</f>
        <v>5339</v>
      </c>
      <c r="G20695" s="4">
        <f>IFERROR(__xludf.DUMMYFUNCTION("""COMPUTED_VALUE"""),26.0)</f>
        <v>26</v>
      </c>
      <c r="H20695" s="4"/>
      <c r="I20695" s="4"/>
    </row>
    <row r="20696">
      <c r="A20696" s="4" t="str">
        <f>IFERROR(__xludf.DUMMYFUNCTION("""COMPUTED_VALUE"""),"cas_hmw")</f>
        <v>cas_hmw</v>
      </c>
      <c r="B20696" s="5">
        <f>IFERROR(__xludf.DUMMYFUNCTION("""COMPUTED_VALUE"""),44783.0)</f>
        <v>44783</v>
      </c>
      <c r="C20696" s="6">
        <f>IFERROR(__xludf.DUMMYFUNCTION("""COMPUTED_VALUE"""),0.3330324074086093)</f>
        <v>0.3330324074</v>
      </c>
      <c r="D20696" s="4">
        <f>IFERROR(__xludf.DUMMYFUNCTION("""COMPUTED_VALUE"""),12.998889)</f>
        <v>12.998889</v>
      </c>
      <c r="E20696" s="4">
        <f>IFERROR(__xludf.DUMMYFUNCTION("""COMPUTED_VALUE"""),80.192832)</f>
        <v>80.192832</v>
      </c>
      <c r="F20696" s="4">
        <f>IFERROR(__xludf.DUMMYFUNCTION("""COMPUTED_VALUE"""),805.0)</f>
        <v>805</v>
      </c>
      <c r="G20696" s="4">
        <f>IFERROR(__xludf.DUMMYFUNCTION("""COMPUTED_VALUE"""),39.0)</f>
        <v>39</v>
      </c>
      <c r="H20696" s="4"/>
      <c r="I20696" s="4"/>
    </row>
    <row r="20697">
      <c r="A20697" s="4" t="str">
        <f>IFERROR(__xludf.DUMMYFUNCTION("""COMPUTED_VALUE"""),"cas_hmw")</f>
        <v>cas_hmw</v>
      </c>
      <c r="B20697" s="5">
        <f>IFERROR(__xludf.DUMMYFUNCTION("""COMPUTED_VALUE"""),44783.0)</f>
        <v>44783</v>
      </c>
      <c r="C20697" s="6">
        <f>IFERROR(__xludf.DUMMYFUNCTION("""COMPUTED_VALUE"""),0.33312500000101863)</f>
        <v>0.333125</v>
      </c>
      <c r="D20697" s="4">
        <f>IFERROR(__xludf.DUMMYFUNCTION("""COMPUTED_VALUE"""),12.971141)</f>
        <v>12.971141</v>
      </c>
      <c r="E20697" s="4">
        <f>IFERROR(__xludf.DUMMYFUNCTION("""COMPUTED_VALUE"""),80.150955)</f>
        <v>80.150955</v>
      </c>
      <c r="F20697" s="4">
        <f>IFERROR(__xludf.DUMMYFUNCTION("""COMPUTED_VALUE"""),5339.0)</f>
        <v>5339</v>
      </c>
      <c r="G20697" s="4">
        <f>IFERROR(__xludf.DUMMYFUNCTION("""COMPUTED_VALUE"""),34.0)</f>
        <v>34</v>
      </c>
      <c r="H20697" s="4"/>
      <c r="I20697" s="4"/>
    </row>
    <row r="20698">
      <c r="A20698" s="4" t="str">
        <f>IFERROR(__xludf.DUMMYFUNCTION("""COMPUTED_VALUE"""),"cas_hmw")</f>
        <v>cas_hmw</v>
      </c>
      <c r="B20698" s="5">
        <f>IFERROR(__xludf.DUMMYFUNCTION("""COMPUTED_VALUE"""),44783.0)</f>
        <v>44783</v>
      </c>
      <c r="C20698" s="6">
        <f>IFERROR(__xludf.DUMMYFUNCTION("""COMPUTED_VALUE"""),0.33363425925927004)</f>
        <v>0.3336342593</v>
      </c>
      <c r="D20698" s="4">
        <f>IFERROR(__xludf.DUMMYFUNCTION("""COMPUTED_VALUE"""),12.966356)</f>
        <v>12.966356</v>
      </c>
      <c r="E20698" s="4">
        <f>IFERROR(__xludf.DUMMYFUNCTION("""COMPUTED_VALUE"""),80.148725)</f>
        <v>80.148725</v>
      </c>
      <c r="F20698" s="4">
        <f>IFERROR(__xludf.DUMMYFUNCTION("""COMPUTED_VALUE"""),3143.0)</f>
        <v>3143</v>
      </c>
      <c r="G20698" s="4">
        <f>IFERROR(__xludf.DUMMYFUNCTION("""COMPUTED_VALUE"""),20.0)</f>
        <v>20</v>
      </c>
      <c r="H20698" s="4"/>
      <c r="I20698" s="4"/>
    </row>
    <row r="20699">
      <c r="A20699" s="4" t="str">
        <f>IFERROR(__xludf.DUMMYFUNCTION("""COMPUTED_VALUE"""),"cas_hmw")</f>
        <v>cas_hmw</v>
      </c>
      <c r="B20699" s="5">
        <f>IFERROR(__xludf.DUMMYFUNCTION("""COMPUTED_VALUE"""),44783.0)</f>
        <v>44783</v>
      </c>
      <c r="C20699" s="6">
        <f>IFERROR(__xludf.DUMMYFUNCTION("""COMPUTED_VALUE"""),0.3339120370364981)</f>
        <v>0.333912037</v>
      </c>
      <c r="D20699" s="4">
        <f>IFERROR(__xludf.DUMMYFUNCTION("""COMPUTED_VALUE"""),12.965192)</f>
        <v>12.965192</v>
      </c>
      <c r="E20699" s="4">
        <f>IFERROR(__xludf.DUMMYFUNCTION("""COMPUTED_VALUE"""),80.148149)</f>
        <v>80.148149</v>
      </c>
      <c r="F20699" s="4">
        <f>IFERROR(__xludf.DUMMYFUNCTION("""COMPUTED_VALUE"""),3143.0)</f>
        <v>3143</v>
      </c>
      <c r="G20699" s="4">
        <f>IFERROR(__xludf.DUMMYFUNCTION("""COMPUTED_VALUE"""),27.0)</f>
        <v>27</v>
      </c>
      <c r="H20699" s="4"/>
      <c r="I20699" s="4"/>
    </row>
    <row r="20700">
      <c r="A20700" s="4" t="str">
        <f>IFERROR(__xludf.DUMMYFUNCTION("""COMPUTED_VALUE"""),"cas_hmw")</f>
        <v>cas_hmw</v>
      </c>
      <c r="B20700" s="5">
        <f>IFERROR(__xludf.DUMMYFUNCTION("""COMPUTED_VALUE"""),44783.0)</f>
        <v>44783</v>
      </c>
      <c r="C20700" s="6">
        <f>IFERROR(__xludf.DUMMYFUNCTION("""COMPUTED_VALUE"""),0.3340509259251121)</f>
        <v>0.3340509259</v>
      </c>
      <c r="D20700" s="4">
        <f>IFERROR(__xludf.DUMMYFUNCTION("""COMPUTED_VALUE"""),12.965684)</f>
        <v>12.965684</v>
      </c>
      <c r="E20700" s="4">
        <f>IFERROR(__xludf.DUMMYFUNCTION("""COMPUTED_VALUE"""),80.148382)</f>
        <v>80.148382</v>
      </c>
      <c r="F20700" s="4">
        <f>IFERROR(__xludf.DUMMYFUNCTION("""COMPUTED_VALUE"""),5339.0)</f>
        <v>5339</v>
      </c>
      <c r="G20700" s="4">
        <f>IFERROR(__xludf.DUMMYFUNCTION("""COMPUTED_VALUE"""),27.0)</f>
        <v>27</v>
      </c>
      <c r="H20700" s="4"/>
      <c r="I20700" s="4"/>
    </row>
    <row r="20701">
      <c r="A20701" s="4" t="str">
        <f>IFERROR(__xludf.DUMMYFUNCTION("""COMPUTED_VALUE"""),"cas_hmw")</f>
        <v>cas_hmw</v>
      </c>
      <c r="B20701" s="5">
        <f>IFERROR(__xludf.DUMMYFUNCTION("""COMPUTED_VALUE"""),44783.0)</f>
        <v>44783</v>
      </c>
      <c r="C20701" s="6">
        <f>IFERROR(__xludf.DUMMYFUNCTION("""COMPUTED_VALUE"""),0.3340856481481751)</f>
        <v>0.3340856481</v>
      </c>
      <c r="D20701" s="4">
        <f>IFERROR(__xludf.DUMMYFUNCTION("""COMPUTED_VALUE"""),12.995112)</f>
        <v>12.995112</v>
      </c>
      <c r="E20701" s="4">
        <f>IFERROR(__xludf.DUMMYFUNCTION("""COMPUTED_VALUE"""),80.187802)</f>
        <v>80.187802</v>
      </c>
      <c r="F20701" s="4">
        <f>IFERROR(__xludf.DUMMYFUNCTION("""COMPUTED_VALUE"""),805.0)</f>
        <v>805</v>
      </c>
      <c r="G20701" s="4">
        <f>IFERROR(__xludf.DUMMYFUNCTION("""COMPUTED_VALUE"""),51.0)</f>
        <v>51</v>
      </c>
      <c r="H20701" s="4"/>
      <c r="I20701" s="4"/>
    </row>
    <row r="20702">
      <c r="A20702" s="4" t="str">
        <f>IFERROR(__xludf.DUMMYFUNCTION("""COMPUTED_VALUE"""),"cas_hmw")</f>
        <v>cas_hmw</v>
      </c>
      <c r="B20702" s="5">
        <f>IFERROR(__xludf.DUMMYFUNCTION("""COMPUTED_VALUE"""),44783.0)</f>
        <v>44783</v>
      </c>
      <c r="C20702" s="6">
        <f>IFERROR(__xludf.DUMMYFUNCTION("""COMPUTED_VALUE"""),0.33416666666744277)</f>
        <v>0.3341666667</v>
      </c>
      <c r="D20702" s="4">
        <f>IFERROR(__xludf.DUMMYFUNCTION("""COMPUTED_VALUE"""),12.965042)</f>
        <v>12.965042</v>
      </c>
      <c r="E20702" s="4">
        <f>IFERROR(__xludf.DUMMYFUNCTION("""COMPUTED_VALUE"""),80.148029)</f>
        <v>80.148029</v>
      </c>
      <c r="F20702" s="4">
        <f>IFERROR(__xludf.DUMMYFUNCTION("""COMPUTED_VALUE"""),5339.0)</f>
        <v>5339</v>
      </c>
      <c r="G20702" s="4">
        <f>IFERROR(__xludf.DUMMYFUNCTION("""COMPUTED_VALUE"""),37.0)</f>
        <v>37</v>
      </c>
      <c r="H20702" s="4"/>
      <c r="I20702" s="4"/>
    </row>
    <row r="20703">
      <c r="A20703" s="4" t="str">
        <f>IFERROR(__xludf.DUMMYFUNCTION("""COMPUTED_VALUE"""),"cas_hmw")</f>
        <v>cas_hmw</v>
      </c>
      <c r="B20703" s="5">
        <f>IFERROR(__xludf.DUMMYFUNCTION("""COMPUTED_VALUE"""),44783.0)</f>
        <v>44783</v>
      </c>
      <c r="C20703" s="6">
        <f>IFERROR(__xludf.DUMMYFUNCTION("""COMPUTED_VALUE"""),0.3344212962947495)</f>
        <v>0.3344212963</v>
      </c>
      <c r="D20703" s="4">
        <f>IFERROR(__xludf.DUMMYFUNCTION("""COMPUTED_VALUE"""),12.962919)</f>
        <v>12.962919</v>
      </c>
      <c r="E20703" s="4">
        <f>IFERROR(__xludf.DUMMYFUNCTION("""COMPUTED_VALUE"""),80.14683)</f>
        <v>80.14683</v>
      </c>
      <c r="F20703" s="4">
        <f>IFERROR(__xludf.DUMMYFUNCTION("""COMPUTED_VALUE"""),5339.0)</f>
        <v>5339</v>
      </c>
      <c r="G20703" s="4">
        <f>IFERROR(__xludf.DUMMYFUNCTION("""COMPUTED_VALUE"""),55.0)</f>
        <v>55</v>
      </c>
      <c r="H20703" s="4"/>
      <c r="I20703" s="4"/>
    </row>
    <row r="20704">
      <c r="A20704" s="4" t="str">
        <f>IFERROR(__xludf.DUMMYFUNCTION("""COMPUTED_VALUE"""),"cas_hmw")</f>
        <v>cas_hmw</v>
      </c>
      <c r="B20704" s="5">
        <f>IFERROR(__xludf.DUMMYFUNCTION("""COMPUTED_VALUE"""),44783.0)</f>
        <v>44783</v>
      </c>
      <c r="C20704" s="6">
        <f>IFERROR(__xludf.DUMMYFUNCTION("""COMPUTED_VALUE"""),0.33453703703708015)</f>
        <v>0.334537037</v>
      </c>
      <c r="D20704" s="4">
        <f>IFERROR(__xludf.DUMMYFUNCTION("""COMPUTED_VALUE"""),12.959813)</f>
        <v>12.959813</v>
      </c>
      <c r="E20704" s="4">
        <f>IFERROR(__xludf.DUMMYFUNCTION("""COMPUTED_VALUE"""),80.145179)</f>
        <v>80.145179</v>
      </c>
      <c r="F20704" s="4">
        <f>IFERROR(__xludf.DUMMYFUNCTION("""COMPUTED_VALUE"""),3143.0)</f>
        <v>3143</v>
      </c>
      <c r="G20704" s="4">
        <f>IFERROR(__xludf.DUMMYFUNCTION("""COMPUTED_VALUE"""),37.0)</f>
        <v>37</v>
      </c>
      <c r="H20704" s="4"/>
      <c r="I20704" s="4"/>
    </row>
    <row r="20705">
      <c r="A20705" s="4" t="str">
        <f>IFERROR(__xludf.DUMMYFUNCTION("""COMPUTED_VALUE"""),"cas_hmw")</f>
        <v>cas_hmw</v>
      </c>
      <c r="B20705" s="5">
        <f>IFERROR(__xludf.DUMMYFUNCTION("""COMPUTED_VALUE"""),44783.0)</f>
        <v>44783</v>
      </c>
      <c r="C20705" s="6">
        <f>IFERROR(__xludf.DUMMYFUNCTION("""COMPUTED_VALUE"""),0.3346412037026312)</f>
        <v>0.3346412037</v>
      </c>
      <c r="D20705" s="4">
        <f>IFERROR(__xludf.DUMMYFUNCTION("""COMPUTED_VALUE"""),12.958957)</f>
        <v>12.958957</v>
      </c>
      <c r="E20705" s="4">
        <f>IFERROR(__xludf.DUMMYFUNCTION("""COMPUTED_VALUE"""),80.144706)</f>
        <v>80.144706</v>
      </c>
      <c r="F20705" s="4">
        <f>IFERROR(__xludf.DUMMYFUNCTION("""COMPUTED_VALUE"""),3143.0)</f>
        <v>3143</v>
      </c>
      <c r="G20705" s="4">
        <f>IFERROR(__xludf.DUMMYFUNCTION("""COMPUTED_VALUE"""),38.0)</f>
        <v>38</v>
      </c>
      <c r="H20705" s="4"/>
      <c r="I20705" s="4"/>
    </row>
    <row r="20706">
      <c r="A20706" s="4" t="str">
        <f>IFERROR(__xludf.DUMMYFUNCTION("""COMPUTED_VALUE"""),"cas_hmw")</f>
        <v>cas_hmw</v>
      </c>
      <c r="B20706" s="5">
        <f>IFERROR(__xludf.DUMMYFUNCTION("""COMPUTED_VALUE"""),44783.0)</f>
        <v>44783</v>
      </c>
      <c r="C20706" s="6">
        <f>IFERROR(__xludf.DUMMYFUNCTION("""COMPUTED_VALUE"""),0.3346759259256942)</f>
        <v>0.3346759259</v>
      </c>
      <c r="D20706" s="4">
        <f>IFERROR(__xludf.DUMMYFUNCTION("""COMPUTED_VALUE"""),12.958957)</f>
        <v>12.958957</v>
      </c>
      <c r="E20706" s="4">
        <f>IFERROR(__xludf.DUMMYFUNCTION("""COMPUTED_VALUE"""),80.144706)</f>
        <v>80.144706</v>
      </c>
      <c r="F20706" s="4">
        <f>IFERROR(__xludf.DUMMYFUNCTION("""COMPUTED_VALUE"""),3143.0)</f>
        <v>3143</v>
      </c>
      <c r="G20706" s="4">
        <f>IFERROR(__xludf.DUMMYFUNCTION("""COMPUTED_VALUE"""),38.0)</f>
        <v>38</v>
      </c>
      <c r="H20706" s="4"/>
      <c r="I20706" s="4"/>
    </row>
    <row r="20707">
      <c r="A20707" s="4" t="str">
        <f>IFERROR(__xludf.DUMMYFUNCTION("""COMPUTED_VALUE"""),"cas_hmw")</f>
        <v>cas_hmw</v>
      </c>
      <c r="B20707" s="5">
        <f>IFERROR(__xludf.DUMMYFUNCTION("""COMPUTED_VALUE"""),44783.0)</f>
        <v>44783</v>
      </c>
      <c r="C20707" s="6">
        <f>IFERROR(__xludf.DUMMYFUNCTION("""COMPUTED_VALUE"""),0.3348148148143082)</f>
        <v>0.3348148148</v>
      </c>
      <c r="D20707" s="4">
        <f>IFERROR(__xludf.DUMMYFUNCTION("""COMPUTED_VALUE"""),12.958153)</f>
        <v>12.958153</v>
      </c>
      <c r="E20707" s="4">
        <f>IFERROR(__xludf.DUMMYFUNCTION("""COMPUTED_VALUE"""),80.14429)</f>
        <v>80.14429</v>
      </c>
      <c r="F20707" s="4">
        <f>IFERROR(__xludf.DUMMYFUNCTION("""COMPUTED_VALUE"""),3143.0)</f>
        <v>3143</v>
      </c>
      <c r="G20707" s="4">
        <f>IFERROR(__xludf.DUMMYFUNCTION("""COMPUTED_VALUE"""),34.0)</f>
        <v>34</v>
      </c>
      <c r="H20707" s="4"/>
      <c r="I20707" s="4"/>
    </row>
    <row r="20708">
      <c r="A20708" s="4" t="str">
        <f>IFERROR(__xludf.DUMMYFUNCTION("""COMPUTED_VALUE"""),"cas_hmw")</f>
        <v>cas_hmw</v>
      </c>
      <c r="B20708" s="5">
        <f>IFERROR(__xludf.DUMMYFUNCTION("""COMPUTED_VALUE"""),44783.0)</f>
        <v>44783</v>
      </c>
      <c r="C20708" s="6">
        <f>IFERROR(__xludf.DUMMYFUNCTION("""COMPUTED_VALUE"""),0.33511574074145756)</f>
        <v>0.3351157407</v>
      </c>
      <c r="D20708" s="4">
        <f>IFERROR(__xludf.DUMMYFUNCTION("""COMPUTED_VALUE"""),12.993243)</f>
        <v>12.993243</v>
      </c>
      <c r="E20708" s="4">
        <f>IFERROR(__xludf.DUMMYFUNCTION("""COMPUTED_VALUE"""),80.184231)</f>
        <v>80.184231</v>
      </c>
      <c r="F20708" s="4">
        <f>IFERROR(__xludf.DUMMYFUNCTION("""COMPUTED_VALUE"""),805.0)</f>
        <v>805</v>
      </c>
      <c r="G20708" s="4">
        <f>IFERROR(__xludf.DUMMYFUNCTION("""COMPUTED_VALUE"""),52.0)</f>
        <v>52</v>
      </c>
      <c r="H20708" s="4"/>
      <c r="I20708" s="4"/>
    </row>
    <row r="20709">
      <c r="A20709" s="4" t="str">
        <f>IFERROR(__xludf.DUMMYFUNCTION("""COMPUTED_VALUE"""),"cas_hmw")</f>
        <v>cas_hmw</v>
      </c>
      <c r="B20709" s="5">
        <f>IFERROR(__xludf.DUMMYFUNCTION("""COMPUTED_VALUE"""),44783.0)</f>
        <v>44783</v>
      </c>
      <c r="C20709" s="6">
        <f>IFERROR(__xludf.DUMMYFUNCTION("""COMPUTED_VALUE"""),0.3352199074070086)</f>
        <v>0.3352199074</v>
      </c>
      <c r="D20709" s="4">
        <f>IFERROR(__xludf.DUMMYFUNCTION("""COMPUTED_VALUE"""),12.955974)</f>
        <v>12.955974</v>
      </c>
      <c r="E20709" s="4">
        <f>IFERROR(__xludf.DUMMYFUNCTION("""COMPUTED_VALUE"""),80.143176)</f>
        <v>80.143176</v>
      </c>
      <c r="F20709" s="4">
        <f>IFERROR(__xludf.DUMMYFUNCTION("""COMPUTED_VALUE"""),3143.0)</f>
        <v>3143</v>
      </c>
      <c r="G20709" s="4">
        <f>IFERROR(__xludf.DUMMYFUNCTION("""COMPUTED_VALUE"""),22.0)</f>
        <v>22</v>
      </c>
      <c r="H20709" s="4"/>
      <c r="I20709" s="4"/>
    </row>
    <row r="20710">
      <c r="A20710" s="4" t="str">
        <f>IFERROR(__xludf.DUMMYFUNCTION("""COMPUTED_VALUE"""),"cas_hmw")</f>
        <v>cas_hmw</v>
      </c>
      <c r="B20710" s="5">
        <f>IFERROR(__xludf.DUMMYFUNCTION("""COMPUTED_VALUE"""),44783.0)</f>
        <v>44783</v>
      </c>
      <c r="C20710" s="6">
        <f>IFERROR(__xludf.DUMMYFUNCTION("""COMPUTED_VALUE"""),0.33523148148015025)</f>
        <v>0.3352314815</v>
      </c>
      <c r="D20710" s="4">
        <f>IFERROR(__xludf.DUMMYFUNCTION("""COMPUTED_VALUE"""),12.955974)</f>
        <v>12.955974</v>
      </c>
      <c r="E20710" s="4">
        <f>IFERROR(__xludf.DUMMYFUNCTION("""COMPUTED_VALUE"""),80.143176)</f>
        <v>80.143176</v>
      </c>
      <c r="F20710" s="4">
        <f>IFERROR(__xludf.DUMMYFUNCTION("""COMPUTED_VALUE"""),3143.0)</f>
        <v>3143</v>
      </c>
      <c r="G20710" s="4">
        <f>IFERROR(__xludf.DUMMYFUNCTION("""COMPUTED_VALUE"""),22.0)</f>
        <v>22</v>
      </c>
      <c r="H20710" s="4"/>
      <c r="I20710" s="4"/>
    </row>
    <row r="20711">
      <c r="A20711" s="4" t="str">
        <f>IFERROR(__xludf.DUMMYFUNCTION("""COMPUTED_VALUE"""),"cas_hmw")</f>
        <v>cas_hmw</v>
      </c>
      <c r="B20711" s="5">
        <f>IFERROR(__xludf.DUMMYFUNCTION("""COMPUTED_VALUE"""),44783.0)</f>
        <v>44783</v>
      </c>
      <c r="C20711" s="6">
        <f>IFERROR(__xludf.DUMMYFUNCTION("""COMPUTED_VALUE"""),0.33547453703795327)</f>
        <v>0.335474537</v>
      </c>
      <c r="D20711" s="4">
        <f>IFERROR(__xludf.DUMMYFUNCTION("""COMPUTED_VALUE"""),12.955822)</f>
        <v>12.955822</v>
      </c>
      <c r="E20711" s="4">
        <f>IFERROR(__xludf.DUMMYFUNCTION("""COMPUTED_VALUE"""),80.143013)</f>
        <v>80.143013</v>
      </c>
      <c r="F20711" s="4">
        <f>IFERROR(__xludf.DUMMYFUNCTION("""COMPUTED_VALUE"""),5339.0)</f>
        <v>5339</v>
      </c>
      <c r="G20711" s="4">
        <f>IFERROR(__xludf.DUMMYFUNCTION("""COMPUTED_VALUE"""),18.0)</f>
        <v>18</v>
      </c>
      <c r="H20711" s="4"/>
      <c r="I20711" s="4"/>
    </row>
    <row r="20712">
      <c r="A20712" s="4" t="str">
        <f>IFERROR(__xludf.DUMMYFUNCTION("""COMPUTED_VALUE"""),"cas_hmw")</f>
        <v>cas_hmw</v>
      </c>
      <c r="B20712" s="5">
        <f>IFERROR(__xludf.DUMMYFUNCTION("""COMPUTED_VALUE"""),44783.0)</f>
        <v>44783</v>
      </c>
      <c r="C20712" s="6">
        <f>IFERROR(__xludf.DUMMYFUNCTION("""COMPUTED_VALUE"""),0.33562499999970896)</f>
        <v>0.335625</v>
      </c>
      <c r="D20712" s="4">
        <f>IFERROR(__xludf.DUMMYFUNCTION("""COMPUTED_VALUE"""),12.954005)</f>
        <v>12.954005</v>
      </c>
      <c r="E20712" s="4">
        <f>IFERROR(__xludf.DUMMYFUNCTION("""COMPUTED_VALUE"""),80.142051)</f>
        <v>80.142051</v>
      </c>
      <c r="F20712" s="4">
        <f>IFERROR(__xludf.DUMMYFUNCTION("""COMPUTED_VALUE"""),3143.0)</f>
        <v>3143</v>
      </c>
      <c r="G20712" s="4">
        <f>IFERROR(__xludf.DUMMYFUNCTION("""COMPUTED_VALUE"""),38.0)</f>
        <v>38</v>
      </c>
      <c r="H20712" s="4"/>
      <c r="I20712" s="4"/>
    </row>
    <row r="20713">
      <c r="A20713" s="4" t="str">
        <f>IFERROR(__xludf.DUMMYFUNCTION("""COMPUTED_VALUE"""),"cas_hmw")</f>
        <v>cas_hmw</v>
      </c>
      <c r="B20713" s="5">
        <f>IFERROR(__xludf.DUMMYFUNCTION("""COMPUTED_VALUE"""),44783.0)</f>
        <v>44783</v>
      </c>
      <c r="C20713" s="6">
        <f>IFERROR(__xludf.DUMMYFUNCTION("""COMPUTED_VALUE"""),0.33628472222335404)</f>
        <v>0.3362847222</v>
      </c>
      <c r="D20713" s="4">
        <f>IFERROR(__xludf.DUMMYFUNCTION("""COMPUTED_VALUE"""),12.952474)</f>
        <v>12.952474</v>
      </c>
      <c r="E20713" s="4">
        <f>IFERROR(__xludf.DUMMYFUNCTION("""COMPUTED_VALUE"""),80.141124)</f>
        <v>80.141124</v>
      </c>
      <c r="F20713" s="4">
        <f>IFERROR(__xludf.DUMMYFUNCTION("""COMPUTED_VALUE"""),5339.0)</f>
        <v>5339</v>
      </c>
      <c r="G20713" s="4">
        <f>IFERROR(__xludf.DUMMYFUNCTION("""COMPUTED_VALUE"""),27.0)</f>
        <v>27</v>
      </c>
      <c r="H20713" s="4"/>
      <c r="I20713" s="4"/>
    </row>
    <row r="20714">
      <c r="A20714" s="4" t="str">
        <f>IFERROR(__xludf.DUMMYFUNCTION("""COMPUTED_VALUE"""),"cas_hmw")</f>
        <v>cas_hmw</v>
      </c>
      <c r="B20714" s="5">
        <f>IFERROR(__xludf.DUMMYFUNCTION("""COMPUTED_VALUE"""),44783.0)</f>
        <v>44783</v>
      </c>
      <c r="C20714" s="6">
        <f>IFERROR(__xludf.DUMMYFUNCTION("""COMPUTED_VALUE"""),0.33638888888890506)</f>
        <v>0.3363888889</v>
      </c>
      <c r="D20714" s="4">
        <f>IFERROR(__xludf.DUMMYFUNCTION("""COMPUTED_VALUE"""),12.948074)</f>
        <v>12.948074</v>
      </c>
      <c r="E20714" s="4">
        <f>IFERROR(__xludf.DUMMYFUNCTION("""COMPUTED_VALUE"""),80.137748)</f>
        <v>80.137748</v>
      </c>
      <c r="F20714" s="4">
        <f>IFERROR(__xludf.DUMMYFUNCTION("""COMPUTED_VALUE"""),3143.0)</f>
        <v>3143</v>
      </c>
      <c r="G20714" s="4">
        <f>IFERROR(__xludf.DUMMYFUNCTION("""COMPUTED_VALUE"""),39.0)</f>
        <v>39</v>
      </c>
      <c r="H20714" s="4"/>
      <c r="I20714" s="4"/>
    </row>
    <row r="20715">
      <c r="A20715" s="4" t="str">
        <f>IFERROR(__xludf.DUMMYFUNCTION("""COMPUTED_VALUE"""),"cas_hmw")</f>
        <v>cas_hmw</v>
      </c>
      <c r="B20715" s="5">
        <f>IFERROR(__xludf.DUMMYFUNCTION("""COMPUTED_VALUE"""),44783.0)</f>
        <v>44783</v>
      </c>
      <c r="C20715" s="6">
        <f>IFERROR(__xludf.DUMMYFUNCTION("""COMPUTED_VALUE"""),0.3367361111122591)</f>
        <v>0.3367361111</v>
      </c>
      <c r="D20715" s="4">
        <f>IFERROR(__xludf.DUMMYFUNCTION("""COMPUTED_VALUE"""),12.984285)</f>
        <v>12.984285</v>
      </c>
      <c r="E20715" s="4">
        <f>IFERROR(__xludf.DUMMYFUNCTION("""COMPUTED_VALUE"""),80.171594)</f>
        <v>80.171594</v>
      </c>
      <c r="F20715" s="4">
        <f>IFERROR(__xludf.DUMMYFUNCTION("""COMPUTED_VALUE"""),805.0)</f>
        <v>805</v>
      </c>
      <c r="G20715" s="4">
        <f>IFERROR(__xludf.DUMMYFUNCTION("""COMPUTED_VALUE"""),44.0)</f>
        <v>44</v>
      </c>
      <c r="H20715" s="4"/>
      <c r="I20715" s="4"/>
    </row>
    <row r="20716">
      <c r="A20716" s="4" t="str">
        <f>IFERROR(__xludf.DUMMYFUNCTION("""COMPUTED_VALUE"""),"cas_hmw")</f>
        <v>cas_hmw</v>
      </c>
      <c r="B20716" s="5">
        <f>IFERROR(__xludf.DUMMYFUNCTION("""COMPUTED_VALUE"""),44783.0)</f>
        <v>44783</v>
      </c>
      <c r="C20716" s="6">
        <f>IFERROR(__xludf.DUMMYFUNCTION("""COMPUTED_VALUE"""),0.3369212962970778)</f>
        <v>0.3369212963</v>
      </c>
      <c r="D20716" s="4">
        <f>IFERROR(__xludf.DUMMYFUNCTION("""COMPUTED_VALUE"""),12.983751)</f>
        <v>12.983751</v>
      </c>
      <c r="E20716" s="4">
        <f>IFERROR(__xludf.DUMMYFUNCTION("""COMPUTED_VALUE"""),80.170658)</f>
        <v>80.170658</v>
      </c>
      <c r="F20716" s="4">
        <f>IFERROR(__xludf.DUMMYFUNCTION("""COMPUTED_VALUE"""),805.0)</f>
        <v>805</v>
      </c>
      <c r="G20716" s="4">
        <f>IFERROR(__xludf.DUMMYFUNCTION("""COMPUTED_VALUE"""),33.0)</f>
        <v>33</v>
      </c>
      <c r="H20716" s="4"/>
      <c r="I20716" s="4"/>
    </row>
    <row r="20717">
      <c r="A20717" s="4" t="str">
        <f>IFERROR(__xludf.DUMMYFUNCTION("""COMPUTED_VALUE"""),"cas_hmw")</f>
        <v>cas_hmw</v>
      </c>
      <c r="B20717" s="5">
        <f>IFERROR(__xludf.DUMMYFUNCTION("""COMPUTED_VALUE"""),44783.0)</f>
        <v>44783</v>
      </c>
      <c r="C20717" s="6">
        <f>IFERROR(__xludf.DUMMYFUNCTION("""COMPUTED_VALUE"""),0.3370717592588335)</f>
        <v>0.3370717593</v>
      </c>
      <c r="D20717" s="4">
        <f>IFERROR(__xludf.DUMMYFUNCTION("""COMPUTED_VALUE"""),12.982682)</f>
        <v>12.982682</v>
      </c>
      <c r="E20717" s="4">
        <f>IFERROR(__xludf.DUMMYFUNCTION("""COMPUTED_VALUE"""),80.168802)</f>
        <v>80.168802</v>
      </c>
      <c r="F20717" s="4">
        <f>IFERROR(__xludf.DUMMYFUNCTION("""COMPUTED_VALUE"""),805.0)</f>
        <v>805</v>
      </c>
      <c r="G20717" s="4">
        <f>IFERROR(__xludf.DUMMYFUNCTION("""COMPUTED_VALUE"""),47.0)</f>
        <v>47</v>
      </c>
      <c r="H20717" s="4"/>
      <c r="I20717" s="4"/>
    </row>
    <row r="20718">
      <c r="A20718" s="4" t="str">
        <f>IFERROR(__xludf.DUMMYFUNCTION("""COMPUTED_VALUE"""),"cas_hmw")</f>
        <v>cas_hmw</v>
      </c>
      <c r="B20718" s="5">
        <f>IFERROR(__xludf.DUMMYFUNCTION("""COMPUTED_VALUE"""),44783.0)</f>
        <v>44783</v>
      </c>
      <c r="C20718" s="6">
        <f>IFERROR(__xludf.DUMMYFUNCTION("""COMPUTED_VALUE"""),0.3372569444436522)</f>
        <v>0.3372569444</v>
      </c>
      <c r="D20718" s="4">
        <f>IFERROR(__xludf.DUMMYFUNCTION("""COMPUTED_VALUE"""),12.982101)</f>
        <v>12.982101</v>
      </c>
      <c r="E20718" s="4">
        <f>IFERROR(__xludf.DUMMYFUNCTION("""COMPUTED_VALUE"""),80.167884)</f>
        <v>80.167884</v>
      </c>
      <c r="F20718" s="4">
        <f>IFERROR(__xludf.DUMMYFUNCTION("""COMPUTED_VALUE"""),805.0)</f>
        <v>805</v>
      </c>
      <c r="G20718" s="4">
        <f>IFERROR(__xludf.DUMMYFUNCTION("""COMPUTED_VALUE"""),39.0)</f>
        <v>39</v>
      </c>
      <c r="H20718" s="4"/>
      <c r="I20718" s="4"/>
    </row>
    <row r="20719">
      <c r="A20719" s="4" t="str">
        <f>IFERROR(__xludf.DUMMYFUNCTION("""COMPUTED_VALUE"""),"cas_hmw")</f>
        <v>cas_hmw</v>
      </c>
      <c r="B20719" s="5">
        <f>IFERROR(__xludf.DUMMYFUNCTION("""COMPUTED_VALUE"""),44783.0)</f>
        <v>44783</v>
      </c>
      <c r="C20719" s="6">
        <f>IFERROR(__xludf.DUMMYFUNCTION("""COMPUTED_VALUE"""),0.33773148148247856)</f>
        <v>0.3377314815</v>
      </c>
      <c r="D20719" s="4">
        <f>IFERROR(__xludf.DUMMYFUNCTION("""COMPUTED_VALUE"""),12.942383)</f>
        <v>12.942383</v>
      </c>
      <c r="E20719" s="4">
        <f>IFERROR(__xludf.DUMMYFUNCTION("""COMPUTED_VALUE"""),80.133173)</f>
        <v>80.133173</v>
      </c>
      <c r="F20719" s="4">
        <f>IFERROR(__xludf.DUMMYFUNCTION("""COMPUTED_VALUE"""),3143.0)</f>
        <v>3143</v>
      </c>
      <c r="G20719" s="4">
        <f>IFERROR(__xludf.DUMMYFUNCTION("""COMPUTED_VALUE"""),28.0)</f>
        <v>28</v>
      </c>
      <c r="H20719" s="4"/>
      <c r="I20719" s="4"/>
    </row>
    <row r="20720">
      <c r="A20720" s="4" t="str">
        <f>IFERROR(__xludf.DUMMYFUNCTION("""COMPUTED_VALUE"""),"cas_hmw")</f>
        <v>cas_hmw</v>
      </c>
      <c r="B20720" s="5">
        <f>IFERROR(__xludf.DUMMYFUNCTION("""COMPUTED_VALUE"""),44783.0)</f>
        <v>44783</v>
      </c>
      <c r="C20720" s="6">
        <f>IFERROR(__xludf.DUMMYFUNCTION("""COMPUTED_VALUE"""),0.33791666666729725)</f>
        <v>0.3379166667</v>
      </c>
      <c r="D20720" s="4">
        <f>IFERROR(__xludf.DUMMYFUNCTION("""COMPUTED_VALUE"""),12.941036)</f>
        <v>12.941036</v>
      </c>
      <c r="E20720" s="4">
        <f>IFERROR(__xludf.DUMMYFUNCTION("""COMPUTED_VALUE"""),80.131705)</f>
        <v>80.131705</v>
      </c>
      <c r="F20720" s="4">
        <f>IFERROR(__xludf.DUMMYFUNCTION("""COMPUTED_VALUE"""),3143.0)</f>
        <v>3143</v>
      </c>
      <c r="G20720" s="4">
        <f>IFERROR(__xludf.DUMMYFUNCTION("""COMPUTED_VALUE"""),43.0)</f>
        <v>43</v>
      </c>
      <c r="H20720" s="4"/>
      <c r="I20720" s="4"/>
    </row>
    <row r="20721">
      <c r="A20721" s="4" t="str">
        <f>IFERROR(__xludf.DUMMYFUNCTION("""COMPUTED_VALUE"""),"cas_hmw")</f>
        <v>cas_hmw</v>
      </c>
      <c r="B20721" s="5">
        <f>IFERROR(__xludf.DUMMYFUNCTION("""COMPUTED_VALUE"""),44783.0)</f>
        <v>44783</v>
      </c>
      <c r="C20721" s="6">
        <f>IFERROR(__xludf.DUMMYFUNCTION("""COMPUTED_VALUE"""),0.3379745370366436)</f>
        <v>0.337974537</v>
      </c>
      <c r="D20721" s="4">
        <f>IFERROR(__xludf.DUMMYFUNCTION("""COMPUTED_VALUE"""),12.940293)</f>
        <v>12.940293</v>
      </c>
      <c r="E20721" s="4">
        <f>IFERROR(__xludf.DUMMYFUNCTION("""COMPUTED_VALUE"""),80.130907)</f>
        <v>80.130907</v>
      </c>
      <c r="F20721" s="4">
        <f>IFERROR(__xludf.DUMMYFUNCTION("""COMPUTED_VALUE"""),3143.0)</f>
        <v>3143</v>
      </c>
      <c r="G20721" s="4">
        <f>IFERROR(__xludf.DUMMYFUNCTION("""COMPUTED_VALUE"""),43.0)</f>
        <v>43</v>
      </c>
      <c r="H20721" s="4"/>
      <c r="I20721" s="4"/>
    </row>
    <row r="20722">
      <c r="A20722" s="4" t="str">
        <f>IFERROR(__xludf.DUMMYFUNCTION("""COMPUTED_VALUE"""),"cas_hmw")</f>
        <v>cas_hmw</v>
      </c>
      <c r="B20722" s="5">
        <f>IFERROR(__xludf.DUMMYFUNCTION("""COMPUTED_VALUE"""),44783.0)</f>
        <v>44783</v>
      </c>
      <c r="C20722" s="6">
        <f>IFERROR(__xludf.DUMMYFUNCTION("""COMPUTED_VALUE"""),0.33827546296379296)</f>
        <v>0.338275463</v>
      </c>
      <c r="D20722" s="4">
        <f>IFERROR(__xludf.DUMMYFUNCTION("""COMPUTED_VALUE"""),12.97971)</f>
        <v>12.97971</v>
      </c>
      <c r="E20722" s="4">
        <f>IFERROR(__xludf.DUMMYFUNCTION("""COMPUTED_VALUE"""),80.162564)</f>
        <v>80.162564</v>
      </c>
      <c r="F20722" s="4">
        <f>IFERROR(__xludf.DUMMYFUNCTION("""COMPUTED_VALUE"""),805.0)</f>
        <v>805</v>
      </c>
      <c r="G20722" s="4">
        <f>IFERROR(__xludf.DUMMYFUNCTION("""COMPUTED_VALUE"""),33.0)</f>
        <v>33</v>
      </c>
      <c r="H20722" s="4"/>
      <c r="I20722" s="4"/>
    </row>
    <row r="20723">
      <c r="A20723" s="4" t="str">
        <f>IFERROR(__xludf.DUMMYFUNCTION("""COMPUTED_VALUE"""),"cas_hmw")</f>
        <v>cas_hmw</v>
      </c>
      <c r="B20723" s="5">
        <f>IFERROR(__xludf.DUMMYFUNCTION("""COMPUTED_VALUE"""),44783.0)</f>
        <v>44783</v>
      </c>
      <c r="C20723" s="6">
        <f>IFERROR(__xludf.DUMMYFUNCTION("""COMPUTED_VALUE"""),0.338414351852407)</f>
        <v>0.3384143519</v>
      </c>
      <c r="D20723" s="4">
        <f>IFERROR(__xludf.DUMMYFUNCTION("""COMPUTED_VALUE"""),12.937921)</f>
        <v>12.937921</v>
      </c>
      <c r="E20723" s="4">
        <f>IFERROR(__xludf.DUMMYFUNCTION("""COMPUTED_VALUE"""),80.128742)</f>
        <v>80.128742</v>
      </c>
      <c r="F20723" s="4">
        <f>IFERROR(__xludf.DUMMYFUNCTION("""COMPUTED_VALUE"""),3143.0)</f>
        <v>3143</v>
      </c>
      <c r="G20723" s="4">
        <f>IFERROR(__xludf.DUMMYFUNCTION("""COMPUTED_VALUE"""),36.0)</f>
        <v>36</v>
      </c>
      <c r="H20723" s="4"/>
      <c r="I20723" s="4"/>
    </row>
    <row r="20724">
      <c r="A20724" s="4" t="str">
        <f>IFERROR(__xludf.DUMMYFUNCTION("""COMPUTED_VALUE"""),"cas_hmw")</f>
        <v>cas_hmw</v>
      </c>
      <c r="B20724" s="5">
        <f>IFERROR(__xludf.DUMMYFUNCTION("""COMPUTED_VALUE"""),44783.0)</f>
        <v>44783</v>
      </c>
      <c r="C20724" s="6">
        <f>IFERROR(__xludf.DUMMYFUNCTION("""COMPUTED_VALUE"""),0.3386342592602887)</f>
        <v>0.3386342593</v>
      </c>
      <c r="D20724" s="4">
        <f>IFERROR(__xludf.DUMMYFUNCTION("""COMPUTED_VALUE"""),12.937982)</f>
        <v>12.937982</v>
      </c>
      <c r="E20724" s="4">
        <f>IFERROR(__xludf.DUMMYFUNCTION("""COMPUTED_VALUE"""),80.128806)</f>
        <v>80.128806</v>
      </c>
      <c r="F20724" s="4">
        <f>IFERROR(__xludf.DUMMYFUNCTION("""COMPUTED_VALUE"""),5339.0)</f>
        <v>5339</v>
      </c>
      <c r="G20724" s="4">
        <f>IFERROR(__xludf.DUMMYFUNCTION("""COMPUTED_VALUE"""),32.0)</f>
        <v>32</v>
      </c>
      <c r="H20724" s="4"/>
      <c r="I20724" s="4"/>
    </row>
    <row r="20725">
      <c r="A20725" s="4" t="str">
        <f>IFERROR(__xludf.DUMMYFUNCTION("""COMPUTED_VALUE"""),"cas_hmw")</f>
        <v>cas_hmw</v>
      </c>
      <c r="B20725" s="5">
        <f>IFERROR(__xludf.DUMMYFUNCTION("""COMPUTED_VALUE"""),44783.0)</f>
        <v>44783</v>
      </c>
      <c r="C20725" s="6">
        <f>IFERROR(__xludf.DUMMYFUNCTION("""COMPUTED_VALUE"""),0.3387384259258397)</f>
        <v>0.3387384259</v>
      </c>
      <c r="D20725" s="4">
        <f>IFERROR(__xludf.DUMMYFUNCTION("""COMPUTED_VALUE"""),12.936248)</f>
        <v>12.936248</v>
      </c>
      <c r="E20725" s="4">
        <f>IFERROR(__xludf.DUMMYFUNCTION("""COMPUTED_VALUE"""),80.127334)</f>
        <v>80.127334</v>
      </c>
      <c r="F20725" s="4">
        <f>IFERROR(__xludf.DUMMYFUNCTION("""COMPUTED_VALUE"""),3143.0)</f>
        <v>3143</v>
      </c>
      <c r="G20725" s="4">
        <f>IFERROR(__xludf.DUMMYFUNCTION("""COMPUTED_VALUE"""),25.0)</f>
        <v>25</v>
      </c>
      <c r="H20725" s="4"/>
      <c r="I20725" s="4"/>
    </row>
    <row r="20726">
      <c r="A20726" s="4" t="str">
        <f>IFERROR(__xludf.DUMMYFUNCTION("""COMPUTED_VALUE"""),"cas_hmw")</f>
        <v>cas_hmw</v>
      </c>
      <c r="B20726" s="5">
        <f>IFERROR(__xludf.DUMMYFUNCTION("""COMPUTED_VALUE"""),44783.0)</f>
        <v>44783</v>
      </c>
      <c r="C20726" s="6">
        <f>IFERROR(__xludf.DUMMYFUNCTION("""COMPUTED_VALUE"""),0.33881944444510737)</f>
        <v>0.3388194444</v>
      </c>
      <c r="D20726" s="4">
        <f>IFERROR(__xludf.DUMMYFUNCTION("""COMPUTED_VALUE"""),12.979149)</f>
        <v>12.979149</v>
      </c>
      <c r="E20726" s="4">
        <f>IFERROR(__xludf.DUMMYFUNCTION("""COMPUTED_VALUE"""),80.161689)</f>
        <v>80.161689</v>
      </c>
      <c r="F20726" s="4">
        <f>IFERROR(__xludf.DUMMYFUNCTION("""COMPUTED_VALUE"""),805.0)</f>
        <v>805</v>
      </c>
      <c r="G20726" s="4">
        <f>IFERROR(__xludf.DUMMYFUNCTION("""COMPUTED_VALUE"""),45.0)</f>
        <v>45</v>
      </c>
      <c r="H20726" s="4"/>
      <c r="I20726" s="4"/>
    </row>
    <row r="20727">
      <c r="A20727" s="4" t="str">
        <f>IFERROR(__xludf.DUMMYFUNCTION("""COMPUTED_VALUE"""),"cas_hmw")</f>
        <v>cas_hmw</v>
      </c>
      <c r="B20727" s="5">
        <f>IFERROR(__xludf.DUMMYFUNCTION("""COMPUTED_VALUE"""),44783.0)</f>
        <v>44783</v>
      </c>
      <c r="C20727" s="6">
        <f>IFERROR(__xludf.DUMMYFUNCTION("""COMPUTED_VALUE"""),0.33940972222262644)</f>
        <v>0.3394097222</v>
      </c>
      <c r="D20727" s="4">
        <f>IFERROR(__xludf.DUMMYFUNCTION("""COMPUTED_VALUE"""),12.934377)</f>
        <v>12.934377</v>
      </c>
      <c r="E20727" s="4">
        <f>IFERROR(__xludf.DUMMYFUNCTION("""COMPUTED_VALUE"""),80.12561)</f>
        <v>80.12561</v>
      </c>
      <c r="F20727" s="4">
        <f>IFERROR(__xludf.DUMMYFUNCTION("""COMPUTED_VALUE"""),5339.0)</f>
        <v>5339</v>
      </c>
      <c r="G20727" s="4">
        <f>IFERROR(__xludf.DUMMYFUNCTION("""COMPUTED_VALUE"""),40.0)</f>
        <v>40</v>
      </c>
      <c r="H20727" s="4"/>
      <c r="I20727" s="4"/>
    </row>
    <row r="20728">
      <c r="A20728" s="4" t="str">
        <f>IFERROR(__xludf.DUMMYFUNCTION("""COMPUTED_VALUE"""),"cas_hmw")</f>
        <v>cas_hmw</v>
      </c>
      <c r="B20728" s="5">
        <f>IFERROR(__xludf.DUMMYFUNCTION("""COMPUTED_VALUE"""),44783.0)</f>
        <v>44783</v>
      </c>
      <c r="C20728" s="6">
        <f>IFERROR(__xludf.DUMMYFUNCTION("""COMPUTED_VALUE"""),0.3394328703689098)</f>
        <v>0.3394328704</v>
      </c>
      <c r="D20728" s="4">
        <f>IFERROR(__xludf.DUMMYFUNCTION("""COMPUTED_VALUE"""),12.93326)</f>
        <v>12.93326</v>
      </c>
      <c r="E20728" s="4">
        <f>IFERROR(__xludf.DUMMYFUNCTION("""COMPUTED_VALUE"""),80.124561)</f>
        <v>80.124561</v>
      </c>
      <c r="F20728" s="4">
        <f>IFERROR(__xludf.DUMMYFUNCTION("""COMPUTED_VALUE"""),3143.0)</f>
        <v>3143</v>
      </c>
      <c r="G20728" s="4">
        <f>IFERROR(__xludf.DUMMYFUNCTION("""COMPUTED_VALUE"""),44.0)</f>
        <v>44</v>
      </c>
      <c r="H20728" s="4"/>
      <c r="I20728" s="4"/>
    </row>
    <row r="20729">
      <c r="A20729" s="4" t="str">
        <f>IFERROR(__xludf.DUMMYFUNCTION("""COMPUTED_VALUE"""),"cas_hmw")</f>
        <v>cas_hmw</v>
      </c>
      <c r="B20729" s="5">
        <f>IFERROR(__xludf.DUMMYFUNCTION("""COMPUTED_VALUE"""),44783.0)</f>
        <v>44783</v>
      </c>
      <c r="C20729" s="6">
        <f>IFERROR(__xludf.DUMMYFUNCTION("""COMPUTED_VALUE"""),0.3394907407418941)</f>
        <v>0.3394907407</v>
      </c>
      <c r="D20729" s="4">
        <f>IFERROR(__xludf.DUMMYFUNCTION("""COMPUTED_VALUE"""),12.933623)</f>
        <v>12.933623</v>
      </c>
      <c r="E20729" s="4">
        <f>IFERROR(__xludf.DUMMYFUNCTION("""COMPUTED_VALUE"""),80.124893)</f>
        <v>80.124893</v>
      </c>
      <c r="F20729" s="4">
        <f>IFERROR(__xludf.DUMMYFUNCTION("""COMPUTED_VALUE"""),5339.0)</f>
        <v>5339</v>
      </c>
      <c r="G20729" s="4">
        <f>IFERROR(__xludf.DUMMYFUNCTION("""COMPUTED_VALUE"""),37.0)</f>
        <v>37</v>
      </c>
      <c r="H20729" s="4"/>
      <c r="I20729" s="4"/>
    </row>
    <row r="20730">
      <c r="A20730" s="4" t="str">
        <f>IFERROR(__xludf.DUMMYFUNCTION("""COMPUTED_VALUE"""),"cas_hmw")</f>
        <v>cas_hmw</v>
      </c>
      <c r="B20730" s="5">
        <f>IFERROR(__xludf.DUMMYFUNCTION("""COMPUTED_VALUE"""),44783.0)</f>
        <v>44783</v>
      </c>
      <c r="C20730" s="6">
        <f>IFERROR(__xludf.DUMMYFUNCTION("""COMPUTED_VALUE"""),0.34013888888875954)</f>
        <v>0.3401388889</v>
      </c>
      <c r="D20730" s="4">
        <f>IFERROR(__xludf.DUMMYFUNCTION("""COMPUTED_VALUE"""),12.81879)</f>
        <v>12.81879</v>
      </c>
      <c r="E20730" s="4">
        <f>IFERROR(__xludf.DUMMYFUNCTION("""COMPUTED_VALUE"""),80.035778)</f>
        <v>80.035778</v>
      </c>
      <c r="F20730" s="4">
        <f>IFERROR(__xludf.DUMMYFUNCTION("""COMPUTED_VALUE"""),2846.0)</f>
        <v>2846</v>
      </c>
      <c r="G20730" s="4">
        <f>IFERROR(__xludf.DUMMYFUNCTION("""COMPUTED_VALUE"""),58.0)</f>
        <v>58</v>
      </c>
      <c r="H20730" s="4"/>
      <c r="I20730" s="4"/>
    </row>
    <row r="20731">
      <c r="A20731" s="4" t="str">
        <f>IFERROR(__xludf.DUMMYFUNCTION("""COMPUTED_VALUE"""),"cas_hmw")</f>
        <v>cas_hmw</v>
      </c>
      <c r="B20731" s="5">
        <f>IFERROR(__xludf.DUMMYFUNCTION("""COMPUTED_VALUE"""),44783.0)</f>
        <v>44783</v>
      </c>
      <c r="C20731" s="6">
        <f>IFERROR(__xludf.DUMMYFUNCTION("""COMPUTED_VALUE"""),0.340995370370365)</f>
        <v>0.3409953704</v>
      </c>
      <c r="D20731" s="4">
        <f>IFERROR(__xludf.DUMMYFUNCTION("""COMPUTED_VALUE"""),12.958731)</f>
        <v>12.958731</v>
      </c>
      <c r="E20731" s="4">
        <f>IFERROR(__xludf.DUMMYFUNCTION("""COMPUTED_VALUE"""),80.14457)</f>
        <v>80.14457</v>
      </c>
      <c r="F20731" s="4">
        <f>IFERROR(__xludf.DUMMYFUNCTION("""COMPUTED_VALUE"""),805.0)</f>
        <v>805</v>
      </c>
      <c r="G20731" s="4">
        <f>IFERROR(__xludf.DUMMYFUNCTION("""COMPUTED_VALUE"""),53.0)</f>
        <v>53</v>
      </c>
      <c r="H20731" s="4"/>
      <c r="I20731" s="4"/>
    </row>
    <row r="20732">
      <c r="A20732" s="4" t="str">
        <f>IFERROR(__xludf.DUMMYFUNCTION("""COMPUTED_VALUE"""),"cas_hmw")</f>
        <v>cas_hmw</v>
      </c>
      <c r="B20732" s="5">
        <f>IFERROR(__xludf.DUMMYFUNCTION("""COMPUTED_VALUE"""),44783.0)</f>
        <v>44783</v>
      </c>
      <c r="C20732" s="6">
        <f>IFERROR(__xludf.DUMMYFUNCTION("""COMPUTED_VALUE"""),0.34129629629751435)</f>
        <v>0.3412962963</v>
      </c>
      <c r="D20732" s="4">
        <f>IFERROR(__xludf.DUMMYFUNCTION("""COMPUTED_VALUE"""),12.956497)</f>
        <v>12.956497</v>
      </c>
      <c r="E20732" s="4">
        <f>IFERROR(__xludf.DUMMYFUNCTION("""COMPUTED_VALUE"""),80.143398)</f>
        <v>80.143398</v>
      </c>
      <c r="F20732" s="4">
        <f>IFERROR(__xludf.DUMMYFUNCTION("""COMPUTED_VALUE"""),805.0)</f>
        <v>805</v>
      </c>
      <c r="G20732" s="4">
        <f>IFERROR(__xludf.DUMMYFUNCTION("""COMPUTED_VALUE"""),38.0)</f>
        <v>38</v>
      </c>
      <c r="H20732" s="4"/>
      <c r="I20732" s="4"/>
    </row>
    <row r="20733">
      <c r="A20733" s="4" t="str">
        <f>IFERROR(__xludf.DUMMYFUNCTION("""COMPUTED_VALUE"""),"cas_hmw")</f>
        <v>cas_hmw</v>
      </c>
      <c r="B20733" s="5">
        <f>IFERROR(__xludf.DUMMYFUNCTION("""COMPUTED_VALUE"""),44783.0)</f>
        <v>44783</v>
      </c>
      <c r="C20733" s="6">
        <f>IFERROR(__xludf.DUMMYFUNCTION("""COMPUTED_VALUE"""),0.34140046296306537)</f>
        <v>0.341400463</v>
      </c>
      <c r="D20733" s="4">
        <f>IFERROR(__xludf.DUMMYFUNCTION("""COMPUTED_VALUE"""),12.930628)</f>
        <v>12.930628</v>
      </c>
      <c r="E20733" s="4">
        <f>IFERROR(__xludf.DUMMYFUNCTION("""COMPUTED_VALUE"""),80.116575)</f>
        <v>80.116575</v>
      </c>
      <c r="F20733" s="4">
        <f>IFERROR(__xludf.DUMMYFUNCTION("""COMPUTED_VALUE"""),3143.0)</f>
        <v>3143</v>
      </c>
      <c r="G20733" s="4">
        <f>IFERROR(__xludf.DUMMYFUNCTION("""COMPUTED_VALUE"""),34.0)</f>
        <v>34</v>
      </c>
      <c r="H20733" s="4"/>
      <c r="I20733" s="4"/>
    </row>
    <row r="20734">
      <c r="A20734" s="4" t="str">
        <f>IFERROR(__xludf.DUMMYFUNCTION("""COMPUTED_VALUE"""),"cas_hmw")</f>
        <v>cas_hmw</v>
      </c>
      <c r="B20734" s="5">
        <f>IFERROR(__xludf.DUMMYFUNCTION("""COMPUTED_VALUE"""),44783.0)</f>
        <v>44783</v>
      </c>
      <c r="C20734" s="6">
        <f>IFERROR(__xludf.DUMMYFUNCTION("""COMPUTED_VALUE"""),0.34143518518612836)</f>
        <v>0.3414351852</v>
      </c>
      <c r="D20734" s="4">
        <f>IFERROR(__xludf.DUMMYFUNCTION("""COMPUTED_VALUE"""),12.955593)</f>
        <v>12.955593</v>
      </c>
      <c r="E20734" s="4">
        <f>IFERROR(__xludf.DUMMYFUNCTION("""COMPUTED_VALUE"""),80.142901)</f>
        <v>80.142901</v>
      </c>
      <c r="F20734" s="4">
        <f>IFERROR(__xludf.DUMMYFUNCTION("""COMPUTED_VALUE"""),805.0)</f>
        <v>805</v>
      </c>
      <c r="G20734" s="4">
        <f>IFERROR(__xludf.DUMMYFUNCTION("""COMPUTED_VALUE"""),39.0)</f>
        <v>39</v>
      </c>
      <c r="H20734" s="4"/>
      <c r="I20734" s="4"/>
    </row>
    <row r="20735">
      <c r="A20735" s="4" t="str">
        <f>IFERROR(__xludf.DUMMYFUNCTION("""COMPUTED_VALUE"""),"cas_hmw")</f>
        <v>cas_hmw</v>
      </c>
      <c r="B20735" s="5">
        <f>IFERROR(__xludf.DUMMYFUNCTION("""COMPUTED_VALUE"""),44783.0)</f>
        <v>44783</v>
      </c>
      <c r="C20735" s="6">
        <f>IFERROR(__xludf.DUMMYFUNCTION("""COMPUTED_VALUE"""),0.34163194444408873)</f>
        <v>0.3416319444</v>
      </c>
      <c r="D20735" s="4">
        <f>IFERROR(__xludf.DUMMYFUNCTION("""COMPUTED_VALUE"""),12.926747)</f>
        <v>12.926747</v>
      </c>
      <c r="E20735" s="4">
        <f>IFERROR(__xludf.DUMMYFUNCTION("""COMPUTED_VALUE"""),80.117967)</f>
        <v>80.117967</v>
      </c>
      <c r="F20735" s="4">
        <f>IFERROR(__xludf.DUMMYFUNCTION("""COMPUTED_VALUE"""),5339.0)</f>
        <v>5339</v>
      </c>
      <c r="G20735" s="4">
        <f>IFERROR(__xludf.DUMMYFUNCTION("""COMPUTED_VALUE"""),22.0)</f>
        <v>22</v>
      </c>
      <c r="H20735" s="4"/>
      <c r="I20735" s="4"/>
    </row>
    <row r="20736">
      <c r="A20736" s="4" t="str">
        <f>IFERROR(__xludf.DUMMYFUNCTION("""COMPUTED_VALUE"""),"cas_hmw")</f>
        <v>cas_hmw</v>
      </c>
      <c r="B20736" s="5">
        <f>IFERROR(__xludf.DUMMYFUNCTION("""COMPUTED_VALUE"""),44783.0)</f>
        <v>44783</v>
      </c>
      <c r="C20736" s="6">
        <f>IFERROR(__xludf.DUMMYFUNCTION("""COMPUTED_VALUE"""),0.3418981481481751)</f>
        <v>0.3418981481</v>
      </c>
      <c r="D20736" s="4">
        <f>IFERROR(__xludf.DUMMYFUNCTION("""COMPUTED_VALUE"""),12.952584)</f>
        <v>12.952584</v>
      </c>
      <c r="E20736" s="4">
        <f>IFERROR(__xludf.DUMMYFUNCTION("""COMPUTED_VALUE"""),80.14124)</f>
        <v>80.14124</v>
      </c>
      <c r="F20736" s="4">
        <f>IFERROR(__xludf.DUMMYFUNCTION("""COMPUTED_VALUE"""),805.0)</f>
        <v>805</v>
      </c>
      <c r="G20736" s="4">
        <f>IFERROR(__xludf.DUMMYFUNCTION("""COMPUTED_VALUE"""),26.0)</f>
        <v>26</v>
      </c>
      <c r="H20736" s="4"/>
      <c r="I20736" s="4"/>
    </row>
    <row r="20737">
      <c r="A20737" s="4" t="str">
        <f>IFERROR(__xludf.DUMMYFUNCTION("""COMPUTED_VALUE"""),"cas_hmw")</f>
        <v>cas_hmw</v>
      </c>
      <c r="B20737" s="5">
        <f>IFERROR(__xludf.DUMMYFUNCTION("""COMPUTED_VALUE"""),44783.0)</f>
        <v>44783</v>
      </c>
      <c r="C20737" s="6">
        <f>IFERROR(__xludf.DUMMYFUNCTION("""COMPUTED_VALUE"""),0.34199074074058444)</f>
        <v>0.3419907407</v>
      </c>
      <c r="D20737" s="4">
        <f>IFERROR(__xludf.DUMMYFUNCTION("""COMPUTED_VALUE"""),12.922851)</f>
        <v>12.922851</v>
      </c>
      <c r="E20737" s="4">
        <f>IFERROR(__xludf.DUMMYFUNCTION("""COMPUTED_VALUE"""),80.114052)</f>
        <v>80.114052</v>
      </c>
      <c r="F20737" s="4">
        <f>IFERROR(__xludf.DUMMYFUNCTION("""COMPUTED_VALUE"""),5339.0)</f>
        <v>5339</v>
      </c>
      <c r="G20737" s="4">
        <f>IFERROR(__xludf.DUMMYFUNCTION("""COMPUTED_VALUE"""),32.0)</f>
        <v>32</v>
      </c>
      <c r="H20737" s="4"/>
      <c r="I20737" s="4"/>
    </row>
    <row r="20738">
      <c r="A20738" s="4" t="str">
        <f>IFERROR(__xludf.DUMMYFUNCTION("""COMPUTED_VALUE"""),"cas_hmw")</f>
        <v>cas_hmw</v>
      </c>
      <c r="B20738" s="5">
        <f>IFERROR(__xludf.DUMMYFUNCTION("""COMPUTED_VALUE"""),44783.0)</f>
        <v>44783</v>
      </c>
      <c r="C20738" s="6">
        <f>IFERROR(__xludf.DUMMYFUNCTION("""COMPUTED_VALUE"""),0.3424768518525525)</f>
        <v>0.3424768519</v>
      </c>
      <c r="D20738" s="4">
        <f>IFERROR(__xludf.DUMMYFUNCTION("""COMPUTED_VALUE"""),12.949019)</f>
        <v>12.949019</v>
      </c>
      <c r="E20738" s="4">
        <f>IFERROR(__xludf.DUMMYFUNCTION("""COMPUTED_VALUE"""),80.138414)</f>
        <v>80.138414</v>
      </c>
      <c r="F20738" s="4">
        <f>IFERROR(__xludf.DUMMYFUNCTION("""COMPUTED_VALUE"""),805.0)</f>
        <v>805</v>
      </c>
      <c r="G20738" s="4">
        <f>IFERROR(__xludf.DUMMYFUNCTION("""COMPUTED_VALUE"""),48.0)</f>
        <v>48</v>
      </c>
      <c r="H20738" s="4"/>
      <c r="I20738" s="4"/>
    </row>
    <row r="20739">
      <c r="A20739" s="4" t="str">
        <f>IFERROR(__xludf.DUMMYFUNCTION("""COMPUTED_VALUE"""),"cas_hmw")</f>
        <v>cas_hmw</v>
      </c>
      <c r="B20739" s="5">
        <f>IFERROR(__xludf.DUMMYFUNCTION("""COMPUTED_VALUE"""),44783.0)</f>
        <v>44783</v>
      </c>
      <c r="C20739" s="6">
        <f>IFERROR(__xludf.DUMMYFUNCTION("""COMPUTED_VALUE"""),0.34270833333357587)</f>
        <v>0.3427083333</v>
      </c>
      <c r="D20739" s="4">
        <f>IFERROR(__xludf.DUMMYFUNCTION("""COMPUTED_VALUE"""),12.947474)</f>
        <v>12.947474</v>
      </c>
      <c r="E20739" s="4">
        <f>IFERROR(__xludf.DUMMYFUNCTION("""COMPUTED_VALUE"""),80.137263)</f>
        <v>80.137263</v>
      </c>
      <c r="F20739" s="4">
        <f>IFERROR(__xludf.DUMMYFUNCTION("""COMPUTED_VALUE"""),805.0)</f>
        <v>805</v>
      </c>
      <c r="G20739" s="4">
        <f>IFERROR(__xludf.DUMMYFUNCTION("""COMPUTED_VALUE"""),29.0)</f>
        <v>29</v>
      </c>
      <c r="H20739" s="4"/>
      <c r="I20739" s="4"/>
    </row>
    <row r="20740">
      <c r="A20740" s="4" t="str">
        <f>IFERROR(__xludf.DUMMYFUNCTION("""COMPUTED_VALUE"""),"cas_hmw")</f>
        <v>cas_hmw</v>
      </c>
      <c r="B20740" s="5">
        <f>IFERROR(__xludf.DUMMYFUNCTION("""COMPUTED_VALUE"""),44783.0)</f>
        <v>44783</v>
      </c>
      <c r="C20740" s="6">
        <f>IFERROR(__xludf.DUMMYFUNCTION("""COMPUTED_VALUE"""),0.3429513888877409)</f>
        <v>0.3429513889</v>
      </c>
      <c r="D20740" s="4">
        <f>IFERROR(__xludf.DUMMYFUNCTION("""COMPUTED_VALUE"""),12.84063)</f>
        <v>12.84063</v>
      </c>
      <c r="E20740" s="4">
        <f>IFERROR(__xludf.DUMMYFUNCTION("""COMPUTED_VALUE"""),80.056032)</f>
        <v>80.056032</v>
      </c>
      <c r="F20740" s="4">
        <f>IFERROR(__xludf.DUMMYFUNCTION("""COMPUTED_VALUE"""),2846.0)</f>
        <v>2846</v>
      </c>
      <c r="G20740" s="4">
        <f>IFERROR(__xludf.DUMMYFUNCTION("""COMPUTED_VALUE"""),9.0)</f>
        <v>9</v>
      </c>
      <c r="H20740" s="4"/>
      <c r="I20740" s="4"/>
    </row>
    <row r="20741">
      <c r="A20741" s="4" t="str">
        <f>IFERROR(__xludf.DUMMYFUNCTION("""COMPUTED_VALUE"""),"cas_hmw")</f>
        <v>cas_hmw</v>
      </c>
      <c r="B20741" s="5">
        <f>IFERROR(__xludf.DUMMYFUNCTION("""COMPUTED_VALUE"""),44783.0)</f>
        <v>44783</v>
      </c>
      <c r="C20741" s="6">
        <f>IFERROR(__xludf.DUMMYFUNCTION("""COMPUTED_VALUE"""),0.34363425925766933)</f>
        <v>0.3436342593</v>
      </c>
      <c r="D20741" s="4">
        <f>IFERROR(__xludf.DUMMYFUNCTION("""COMPUTED_VALUE"""),12.911766)</f>
        <v>12.911766</v>
      </c>
      <c r="E20741" s="4">
        <f>IFERROR(__xludf.DUMMYFUNCTION("""COMPUTED_VALUE"""),80.101432)</f>
        <v>80.101432</v>
      </c>
      <c r="F20741" s="4">
        <f>IFERROR(__xludf.DUMMYFUNCTION("""COMPUTED_VALUE"""),5339.0)</f>
        <v>5339</v>
      </c>
      <c r="G20741" s="4">
        <f>IFERROR(__xludf.DUMMYFUNCTION("""COMPUTED_VALUE"""),51.0)</f>
        <v>51</v>
      </c>
      <c r="H20741" s="4"/>
      <c r="I20741" s="4"/>
    </row>
    <row r="20742">
      <c r="A20742" s="4" t="str">
        <f>IFERROR(__xludf.DUMMYFUNCTION("""COMPUTED_VALUE"""),"cas_hmw")</f>
        <v>cas_hmw</v>
      </c>
      <c r="B20742" s="5">
        <f>IFERROR(__xludf.DUMMYFUNCTION("""COMPUTED_VALUE"""),44783.0)</f>
        <v>44783</v>
      </c>
      <c r="C20742" s="6">
        <f>IFERROR(__xludf.DUMMYFUNCTION("""COMPUTED_VALUE"""),0.34375)</f>
        <v>0.34375</v>
      </c>
      <c r="D20742" s="4">
        <f>IFERROR(__xludf.DUMMYFUNCTION("""COMPUTED_VALUE"""),12.942384)</f>
        <v>12.942384</v>
      </c>
      <c r="E20742" s="4">
        <f>IFERROR(__xludf.DUMMYFUNCTION("""COMPUTED_VALUE"""),80.133011)</f>
        <v>80.133011</v>
      </c>
      <c r="F20742" s="4">
        <f>IFERROR(__xludf.DUMMYFUNCTION("""COMPUTED_VALUE"""),805.0)</f>
        <v>805</v>
      </c>
      <c r="G20742" s="4">
        <f>IFERROR(__xludf.DUMMYFUNCTION("""COMPUTED_VALUE"""),26.0)</f>
        <v>26</v>
      </c>
      <c r="H20742" s="4"/>
      <c r="I20742" s="4"/>
    </row>
    <row r="20743">
      <c r="A20743" s="4" t="str">
        <f>IFERROR(__xludf.DUMMYFUNCTION("""COMPUTED_VALUE"""),"cas_hmw")</f>
        <v>cas_hmw</v>
      </c>
      <c r="B20743" s="5">
        <f>IFERROR(__xludf.DUMMYFUNCTION("""COMPUTED_VALUE"""),44783.0)</f>
        <v>44783</v>
      </c>
      <c r="C20743" s="6">
        <f>IFERROR(__xludf.DUMMYFUNCTION("""COMPUTED_VALUE"""),0.3439351851848187)</f>
        <v>0.3439351852</v>
      </c>
      <c r="D20743" s="4">
        <f>IFERROR(__xludf.DUMMYFUNCTION("""COMPUTED_VALUE"""),12.94114)</f>
        <v>12.94114</v>
      </c>
      <c r="E20743" s="4">
        <f>IFERROR(__xludf.DUMMYFUNCTION("""COMPUTED_VALUE"""),80.131728)</f>
        <v>80.131728</v>
      </c>
      <c r="F20743" s="4">
        <f>IFERROR(__xludf.DUMMYFUNCTION("""COMPUTED_VALUE"""),805.0)</f>
        <v>805</v>
      </c>
      <c r="G20743" s="4">
        <f>IFERROR(__xludf.DUMMYFUNCTION("""COMPUTED_VALUE"""),41.0)</f>
        <v>41</v>
      </c>
      <c r="H20743" s="4"/>
      <c r="I20743" s="4"/>
    </row>
    <row r="20744">
      <c r="A20744" s="4" t="str">
        <f>IFERROR(__xludf.DUMMYFUNCTION("""COMPUTED_VALUE"""),"cas_hmw")</f>
        <v>cas_hmw</v>
      </c>
      <c r="B20744" s="5">
        <f>IFERROR(__xludf.DUMMYFUNCTION("""COMPUTED_VALUE"""),44783.0)</f>
        <v>44783</v>
      </c>
      <c r="C20744" s="6">
        <f>IFERROR(__xludf.DUMMYFUNCTION("""COMPUTED_VALUE"""),0.3443750000005821)</f>
        <v>0.344375</v>
      </c>
      <c r="D20744" s="4">
        <f>IFERROR(__xludf.DUMMYFUNCTION("""COMPUTED_VALUE"""),12.908327)</f>
        <v>12.908327</v>
      </c>
      <c r="E20744" s="4">
        <f>IFERROR(__xludf.DUMMYFUNCTION("""COMPUTED_VALUE"""),80.098069)</f>
        <v>80.098069</v>
      </c>
      <c r="F20744" s="4">
        <f>IFERROR(__xludf.DUMMYFUNCTION("""COMPUTED_VALUE"""),5339.0)</f>
        <v>5339</v>
      </c>
      <c r="G20744" s="4">
        <f>IFERROR(__xludf.DUMMYFUNCTION("""COMPUTED_VALUE"""),35.0)</f>
        <v>35</v>
      </c>
      <c r="H20744" s="4"/>
      <c r="I20744" s="4"/>
    </row>
    <row r="20745">
      <c r="A20745" s="4" t="str">
        <f>IFERROR(__xludf.DUMMYFUNCTION("""COMPUTED_VALUE"""),"cas_hmw")</f>
        <v>cas_hmw</v>
      </c>
      <c r="B20745" s="5">
        <f>IFERROR(__xludf.DUMMYFUNCTION("""COMPUTED_VALUE"""),44783.0)</f>
        <v>44783</v>
      </c>
      <c r="C20745" s="6">
        <f>IFERROR(__xludf.DUMMYFUNCTION("""COMPUTED_VALUE"""),0.34445601851984975)</f>
        <v>0.3444560185</v>
      </c>
      <c r="D20745" s="4">
        <f>IFERROR(__xludf.DUMMYFUNCTION("""COMPUTED_VALUE"""),12.907579)</f>
        <v>12.907579</v>
      </c>
      <c r="E20745" s="4">
        <f>IFERROR(__xludf.DUMMYFUNCTION("""COMPUTED_VALUE"""),80.09745)</f>
        <v>80.09745</v>
      </c>
      <c r="F20745" s="4">
        <f>IFERROR(__xludf.DUMMYFUNCTION("""COMPUTED_VALUE"""),5339.0)</f>
        <v>5339</v>
      </c>
      <c r="G20745" s="4">
        <f>IFERROR(__xludf.DUMMYFUNCTION("""COMPUTED_VALUE"""),38.0)</f>
        <v>38</v>
      </c>
      <c r="H20745" s="4"/>
      <c r="I20745" s="4"/>
    </row>
    <row r="20746">
      <c r="A20746" s="4" t="str">
        <f>IFERROR(__xludf.DUMMYFUNCTION("""COMPUTED_VALUE"""),"cas_hmw")</f>
        <v>cas_hmw</v>
      </c>
      <c r="B20746" s="5">
        <f>IFERROR(__xludf.DUMMYFUNCTION("""COMPUTED_VALUE"""),44783.0)</f>
        <v>44783</v>
      </c>
      <c r="C20746" s="6">
        <f>IFERROR(__xludf.DUMMYFUNCTION("""COMPUTED_VALUE"""),0.3448032407395658)</f>
        <v>0.3448032407</v>
      </c>
      <c r="D20746" s="4">
        <f>IFERROR(__xludf.DUMMYFUNCTION("""COMPUTED_VALUE"""),12.925759)</f>
        <v>12.925759</v>
      </c>
      <c r="E20746" s="4">
        <f>IFERROR(__xludf.DUMMYFUNCTION("""COMPUTED_VALUE"""),80.106141)</f>
        <v>80.106141</v>
      </c>
      <c r="F20746" s="4">
        <f>IFERROR(__xludf.DUMMYFUNCTION("""COMPUTED_VALUE"""),3143.0)</f>
        <v>3143</v>
      </c>
      <c r="G20746" s="4">
        <f>IFERROR(__xludf.DUMMYFUNCTION("""COMPUTED_VALUE"""),0.0)</f>
        <v>0</v>
      </c>
      <c r="H20746" s="4"/>
      <c r="I20746" s="4"/>
    </row>
    <row r="20747">
      <c r="A20747" s="4" t="str">
        <f>IFERROR(__xludf.DUMMYFUNCTION("""COMPUTED_VALUE"""),"cas_hmw")</f>
        <v>cas_hmw</v>
      </c>
      <c r="B20747" s="5">
        <f>IFERROR(__xludf.DUMMYFUNCTION("""COMPUTED_VALUE"""),44783.0)</f>
        <v>44783</v>
      </c>
      <c r="C20747" s="6">
        <f>IFERROR(__xludf.DUMMYFUNCTION("""COMPUTED_VALUE"""),0.3449768518512428)</f>
        <v>0.3449768519</v>
      </c>
      <c r="D20747" s="4">
        <f>IFERROR(__xludf.DUMMYFUNCTION("""COMPUTED_VALUE"""),12.936152)</f>
        <v>12.936152</v>
      </c>
      <c r="E20747" s="4">
        <f>IFERROR(__xludf.DUMMYFUNCTION("""COMPUTED_VALUE"""),80.127267)</f>
        <v>80.127267</v>
      </c>
      <c r="F20747" s="4">
        <f>IFERROR(__xludf.DUMMYFUNCTION("""COMPUTED_VALUE"""),805.0)</f>
        <v>805</v>
      </c>
      <c r="G20747" s="4">
        <f>IFERROR(__xludf.DUMMYFUNCTION("""COMPUTED_VALUE"""),22.0)</f>
        <v>22</v>
      </c>
      <c r="H20747" s="4"/>
      <c r="I20747" s="4"/>
    </row>
    <row r="20748">
      <c r="A20748" s="4" t="str">
        <f>IFERROR(__xludf.DUMMYFUNCTION("""COMPUTED_VALUE"""),"cas_hmw")</f>
        <v>cas_hmw</v>
      </c>
      <c r="B20748" s="5">
        <f>IFERROR(__xludf.DUMMYFUNCTION("""COMPUTED_VALUE"""),44783.0)</f>
        <v>44783</v>
      </c>
      <c r="C20748" s="6">
        <f>IFERROR(__xludf.DUMMYFUNCTION("""COMPUTED_VALUE"""),0.3453125000014552)</f>
        <v>0.3453125</v>
      </c>
      <c r="D20748" s="4">
        <f>IFERROR(__xludf.DUMMYFUNCTION("""COMPUTED_VALUE"""),12.904707)</f>
        <v>12.904707</v>
      </c>
      <c r="E20748" s="4">
        <f>IFERROR(__xludf.DUMMYFUNCTION("""COMPUTED_VALUE"""),80.095277)</f>
        <v>80.095277</v>
      </c>
      <c r="F20748" s="4">
        <f>IFERROR(__xludf.DUMMYFUNCTION("""COMPUTED_VALUE"""),5339.0)</f>
        <v>5339</v>
      </c>
      <c r="G20748" s="4">
        <f>IFERROR(__xludf.DUMMYFUNCTION("""COMPUTED_VALUE"""),37.0)</f>
        <v>37</v>
      </c>
      <c r="H20748" s="4"/>
      <c r="I20748" s="4"/>
    </row>
    <row r="20749">
      <c r="A20749" s="4" t="str">
        <f>IFERROR(__xludf.DUMMYFUNCTION("""COMPUTED_VALUE"""),"cas_hmw")</f>
        <v>cas_hmw</v>
      </c>
      <c r="B20749" s="5">
        <f>IFERROR(__xludf.DUMMYFUNCTION("""COMPUTED_VALUE"""),44783.0)</f>
        <v>44783</v>
      </c>
      <c r="C20749" s="6">
        <f>IFERROR(__xludf.DUMMYFUNCTION("""COMPUTED_VALUE"""),0.3453125000014552)</f>
        <v>0.3453125</v>
      </c>
      <c r="D20749" s="4">
        <f>IFERROR(__xludf.DUMMYFUNCTION("""COMPUTED_VALUE"""),12.85543)</f>
        <v>12.85543</v>
      </c>
      <c r="E20749" s="4">
        <f>IFERROR(__xludf.DUMMYFUNCTION("""COMPUTED_VALUE"""),80.068643)</f>
        <v>80.068643</v>
      </c>
      <c r="F20749" s="4">
        <f>IFERROR(__xludf.DUMMYFUNCTION("""COMPUTED_VALUE"""),2846.0)</f>
        <v>2846</v>
      </c>
      <c r="G20749" s="4">
        <f>IFERROR(__xludf.DUMMYFUNCTION("""COMPUTED_VALUE"""),43.0)</f>
        <v>43</v>
      </c>
      <c r="H20749" s="4"/>
      <c r="I20749" s="4"/>
    </row>
    <row r="20750">
      <c r="A20750" s="4" t="str">
        <f>IFERROR(__xludf.DUMMYFUNCTION("""COMPUTED_VALUE"""),"cas_hmw")</f>
        <v>cas_hmw</v>
      </c>
      <c r="B20750" s="5">
        <f>IFERROR(__xludf.DUMMYFUNCTION("""COMPUTED_VALUE"""),44783.0)</f>
        <v>44783</v>
      </c>
      <c r="C20750" s="6">
        <f>IFERROR(__xludf.DUMMYFUNCTION("""COMPUTED_VALUE"""),0.3454282407401479)</f>
        <v>0.3454282407</v>
      </c>
      <c r="D20750" s="4">
        <f>IFERROR(__xludf.DUMMYFUNCTION("""COMPUTED_VALUE"""),12.858438)</f>
        <v>12.858438</v>
      </c>
      <c r="E20750" s="4">
        <f>IFERROR(__xludf.DUMMYFUNCTION("""COMPUTED_VALUE"""),80.070904)</f>
        <v>80.070904</v>
      </c>
      <c r="F20750" s="4">
        <f>IFERROR(__xludf.DUMMYFUNCTION("""COMPUTED_VALUE"""),2846.0)</f>
        <v>2846</v>
      </c>
      <c r="G20750" s="4">
        <f>IFERROR(__xludf.DUMMYFUNCTION("""COMPUTED_VALUE"""),49.0)</f>
        <v>49</v>
      </c>
      <c r="H20750" s="4"/>
      <c r="I20750" s="4"/>
    </row>
    <row r="20751">
      <c r="A20751" s="4" t="str">
        <f>IFERROR(__xludf.DUMMYFUNCTION("""COMPUTED_VALUE"""),"cas_hmw")</f>
        <v>cas_hmw</v>
      </c>
      <c r="B20751" s="5">
        <f>IFERROR(__xludf.DUMMYFUNCTION("""COMPUTED_VALUE"""),44783.0)</f>
        <v>44783</v>
      </c>
      <c r="C20751" s="6">
        <f>IFERROR(__xludf.DUMMYFUNCTION("""COMPUTED_VALUE"""),0.346192129629344)</f>
        <v>0.3461921296</v>
      </c>
      <c r="D20751" s="4">
        <f>IFERROR(__xludf.DUMMYFUNCTION("""COMPUTED_VALUE"""),12.930407)</f>
        <v>12.930407</v>
      </c>
      <c r="E20751" s="4">
        <f>IFERROR(__xludf.DUMMYFUNCTION("""COMPUTED_VALUE"""),80.121713)</f>
        <v>80.121713</v>
      </c>
      <c r="F20751" s="4">
        <f>IFERROR(__xludf.DUMMYFUNCTION("""COMPUTED_VALUE"""),805.0)</f>
        <v>805</v>
      </c>
      <c r="G20751" s="4">
        <f>IFERROR(__xludf.DUMMYFUNCTION("""COMPUTED_VALUE"""),42.0)</f>
        <v>42</v>
      </c>
      <c r="H20751" s="4"/>
      <c r="I20751" s="4"/>
    </row>
    <row r="20752">
      <c r="A20752" s="4" t="str">
        <f>IFERROR(__xludf.DUMMYFUNCTION("""COMPUTED_VALUE"""),"cas_hmw")</f>
        <v>cas_hmw</v>
      </c>
      <c r="B20752" s="5">
        <f>IFERROR(__xludf.DUMMYFUNCTION("""COMPUTED_VALUE"""),44783.0)</f>
        <v>44783</v>
      </c>
      <c r="C20752" s="6">
        <f>IFERROR(__xludf.DUMMYFUNCTION("""COMPUTED_VALUE"""),0.346435185183509)</f>
        <v>0.3464351852</v>
      </c>
      <c r="D20752" s="4">
        <f>IFERROR(__xludf.DUMMYFUNCTION("""COMPUTED_VALUE"""),12.924712)</f>
        <v>12.924712</v>
      </c>
      <c r="E20752" s="4">
        <f>IFERROR(__xludf.DUMMYFUNCTION("""COMPUTED_VALUE"""),80.09957)</f>
        <v>80.09957</v>
      </c>
      <c r="F20752" s="4">
        <f>IFERROR(__xludf.DUMMYFUNCTION("""COMPUTED_VALUE"""),3143.0)</f>
        <v>3143</v>
      </c>
      <c r="G20752" s="4">
        <f>IFERROR(__xludf.DUMMYFUNCTION("""COMPUTED_VALUE"""),14.0)</f>
        <v>14</v>
      </c>
      <c r="H20752" s="4"/>
      <c r="I20752" s="4"/>
    </row>
    <row r="20753">
      <c r="A20753" s="4" t="str">
        <f>IFERROR(__xludf.DUMMYFUNCTION("""COMPUTED_VALUE"""),"cas_hmw")</f>
        <v>cas_hmw</v>
      </c>
      <c r="B20753" s="5">
        <f>IFERROR(__xludf.DUMMYFUNCTION("""COMPUTED_VALUE"""),44783.0)</f>
        <v>44783</v>
      </c>
      <c r="C20753" s="6">
        <f>IFERROR(__xludf.DUMMYFUNCTION("""COMPUTED_VALUE"""),0.3467592592605797)</f>
        <v>0.3467592593</v>
      </c>
      <c r="D20753" s="4">
        <f>IFERROR(__xludf.DUMMYFUNCTION("""COMPUTED_VALUE"""),12.923279)</f>
        <v>12.923279</v>
      </c>
      <c r="E20753" s="4">
        <f>IFERROR(__xludf.DUMMYFUNCTION("""COMPUTED_VALUE"""),80.09711)</f>
        <v>80.09711</v>
      </c>
      <c r="F20753" s="4">
        <f>IFERROR(__xludf.DUMMYFUNCTION("""COMPUTED_VALUE"""),3143.0)</f>
        <v>3143</v>
      </c>
      <c r="G20753" s="4">
        <f>IFERROR(__xludf.DUMMYFUNCTION("""COMPUTED_VALUE"""),50.0)</f>
        <v>50</v>
      </c>
      <c r="H20753" s="4"/>
      <c r="I20753" s="4"/>
    </row>
    <row r="20754">
      <c r="A20754" s="4" t="str">
        <f>IFERROR(__xludf.DUMMYFUNCTION("""COMPUTED_VALUE"""),"cas_hmw")</f>
        <v>cas_hmw</v>
      </c>
      <c r="B20754" s="5">
        <f>IFERROR(__xludf.DUMMYFUNCTION("""COMPUTED_VALUE"""),44783.0)</f>
        <v>44783</v>
      </c>
      <c r="C20754" s="6">
        <f>IFERROR(__xludf.DUMMYFUNCTION("""COMPUTED_VALUE"""),0.3472453703689098)</f>
        <v>0.3472453704</v>
      </c>
      <c r="D20754" s="4">
        <f>IFERROR(__xludf.DUMMYFUNCTION("""COMPUTED_VALUE"""),12.922495)</f>
        <v>12.922495</v>
      </c>
      <c r="E20754" s="4">
        <f>IFERROR(__xludf.DUMMYFUNCTION("""COMPUTED_VALUE"""),80.113717)</f>
        <v>80.113717</v>
      </c>
      <c r="F20754" s="4">
        <f>IFERROR(__xludf.DUMMYFUNCTION("""COMPUTED_VALUE"""),805.0)</f>
        <v>805</v>
      </c>
      <c r="G20754" s="4">
        <f>IFERROR(__xludf.DUMMYFUNCTION("""COMPUTED_VALUE"""),54.0)</f>
        <v>54</v>
      </c>
      <c r="H20754" s="4"/>
      <c r="I20754" s="4"/>
    </row>
    <row r="20755">
      <c r="A20755" s="4" t="str">
        <f>IFERROR(__xludf.DUMMYFUNCTION("""COMPUTED_VALUE"""),"cas_hmw")</f>
        <v>cas_hmw</v>
      </c>
      <c r="B20755" s="5">
        <f>IFERROR(__xludf.DUMMYFUNCTION("""COMPUTED_VALUE"""),44783.0)</f>
        <v>44783</v>
      </c>
      <c r="C20755" s="6">
        <f>IFERROR(__xludf.DUMMYFUNCTION("""COMPUTED_VALUE"""),0.3473148148150358)</f>
        <v>0.3473148148</v>
      </c>
      <c r="D20755" s="4">
        <f>IFERROR(__xludf.DUMMYFUNCTION("""COMPUTED_VALUE"""),12.922495)</f>
        <v>12.922495</v>
      </c>
      <c r="E20755" s="4">
        <f>IFERROR(__xludf.DUMMYFUNCTION("""COMPUTED_VALUE"""),80.113717)</f>
        <v>80.113717</v>
      </c>
      <c r="F20755" s="4">
        <f>IFERROR(__xludf.DUMMYFUNCTION("""COMPUTED_VALUE"""),805.0)</f>
        <v>805</v>
      </c>
      <c r="G20755" s="4">
        <f>IFERROR(__xludf.DUMMYFUNCTION("""COMPUTED_VALUE"""),54.0)</f>
        <v>54</v>
      </c>
      <c r="H20755" s="4"/>
      <c r="I20755" s="4"/>
    </row>
    <row r="20756">
      <c r="A20756" s="4" t="str">
        <f>IFERROR(__xludf.DUMMYFUNCTION("""COMPUTED_VALUE"""),"cas_hmw")</f>
        <v>cas_hmw</v>
      </c>
      <c r="B20756" s="5">
        <f>IFERROR(__xludf.DUMMYFUNCTION("""COMPUTED_VALUE"""),44783.0)</f>
        <v>44783</v>
      </c>
      <c r="C20756" s="6">
        <f>IFERROR(__xludf.DUMMYFUNCTION("""COMPUTED_VALUE"""),0.3481828703697829)</f>
        <v>0.3481828704</v>
      </c>
      <c r="D20756" s="4">
        <f>IFERROR(__xludf.DUMMYFUNCTION("""COMPUTED_VALUE"""),12.921441)</f>
        <v>12.921441</v>
      </c>
      <c r="E20756" s="4">
        <f>IFERROR(__xludf.DUMMYFUNCTION("""COMPUTED_VALUE"""),80.092059)</f>
        <v>80.092059</v>
      </c>
      <c r="F20756" s="4">
        <f>IFERROR(__xludf.DUMMYFUNCTION("""COMPUTED_VALUE"""),3143.0)</f>
        <v>3143</v>
      </c>
      <c r="G20756" s="4">
        <f>IFERROR(__xludf.DUMMYFUNCTION("""COMPUTED_VALUE"""),38.0)</f>
        <v>38</v>
      </c>
      <c r="H20756" s="4"/>
      <c r="I20756" s="4"/>
    </row>
    <row r="20757">
      <c r="A20757" s="4" t="str">
        <f>IFERROR(__xludf.DUMMYFUNCTION("""COMPUTED_VALUE"""),"cas_hmw")</f>
        <v>cas_hmw</v>
      </c>
      <c r="B20757" s="5">
        <f>IFERROR(__xludf.DUMMYFUNCTION("""COMPUTED_VALUE"""),44783.0)</f>
        <v>44783</v>
      </c>
      <c r="C20757" s="6">
        <f>IFERROR(__xludf.DUMMYFUNCTION("""COMPUTED_VALUE"""),0.3485069444432156)</f>
        <v>0.3485069444</v>
      </c>
      <c r="D20757" s="4">
        <f>IFERROR(__xludf.DUMMYFUNCTION("""COMPUTED_VALUE"""),12.920869)</f>
        <v>12.920869</v>
      </c>
      <c r="E20757" s="4">
        <f>IFERROR(__xludf.DUMMYFUNCTION("""COMPUTED_VALUE"""),80.089722)</f>
        <v>80.089722</v>
      </c>
      <c r="F20757" s="4">
        <f>IFERROR(__xludf.DUMMYFUNCTION("""COMPUTED_VALUE"""),3143.0)</f>
        <v>3143</v>
      </c>
      <c r="G20757" s="4">
        <f>IFERROR(__xludf.DUMMYFUNCTION("""COMPUTED_VALUE"""),21.0)</f>
        <v>21</v>
      </c>
      <c r="H20757" s="4"/>
      <c r="I20757" s="4"/>
    </row>
    <row r="20758">
      <c r="A20758" s="4" t="str">
        <f>IFERROR(__xludf.DUMMYFUNCTION("""COMPUTED_VALUE"""),"cas_hmw")</f>
        <v>cas_hmw</v>
      </c>
      <c r="B20758" s="5">
        <f>IFERROR(__xludf.DUMMYFUNCTION("""COMPUTED_VALUE"""),44783.0)</f>
        <v>44783</v>
      </c>
      <c r="C20758" s="6">
        <f>IFERROR(__xludf.DUMMYFUNCTION("""COMPUTED_VALUE"""),0.3487615740741603)</f>
        <v>0.3487615741</v>
      </c>
      <c r="D20758" s="4">
        <f>IFERROR(__xludf.DUMMYFUNCTION("""COMPUTED_VALUE"""),12.885346)</f>
        <v>12.885346</v>
      </c>
      <c r="E20758" s="4">
        <f>IFERROR(__xludf.DUMMYFUNCTION("""COMPUTED_VALUE"""),80.082744)</f>
        <v>80.082744</v>
      </c>
      <c r="F20758" s="4">
        <f>IFERROR(__xludf.DUMMYFUNCTION("""COMPUTED_VALUE"""),5339.0)</f>
        <v>5339</v>
      </c>
      <c r="G20758" s="4">
        <f>IFERROR(__xludf.DUMMYFUNCTION("""COMPUTED_VALUE"""),51.0)</f>
        <v>51</v>
      </c>
      <c r="H20758" s="4"/>
      <c r="I20758" s="4"/>
    </row>
    <row r="20759">
      <c r="A20759" s="4" t="str">
        <f>IFERROR(__xludf.DUMMYFUNCTION("""COMPUTED_VALUE"""),"cas_hmw")</f>
        <v>cas_hmw</v>
      </c>
      <c r="B20759" s="5">
        <f>IFERROR(__xludf.DUMMYFUNCTION("""COMPUTED_VALUE"""),44783.0)</f>
        <v>44783</v>
      </c>
      <c r="C20759" s="6">
        <f>IFERROR(__xludf.DUMMYFUNCTION("""COMPUTED_VALUE"""),0.3494212962978054)</f>
        <v>0.3494212963</v>
      </c>
      <c r="D20759" s="4">
        <f>IFERROR(__xludf.DUMMYFUNCTION("""COMPUTED_VALUE"""),12.918997)</f>
        <v>12.918997</v>
      </c>
      <c r="E20759" s="4">
        <f>IFERROR(__xludf.DUMMYFUNCTION("""COMPUTED_VALUE"""),80.08354)</f>
        <v>80.08354</v>
      </c>
      <c r="F20759" s="4">
        <f>IFERROR(__xludf.DUMMYFUNCTION("""COMPUTED_VALUE"""),3143.0)</f>
        <v>3143</v>
      </c>
      <c r="G20759" s="4">
        <f>IFERROR(__xludf.DUMMYFUNCTION("""COMPUTED_VALUE"""),12.0)</f>
        <v>12</v>
      </c>
      <c r="H20759" s="4"/>
      <c r="I20759" s="4"/>
    </row>
    <row r="20760">
      <c r="A20760" s="4" t="str">
        <f>IFERROR(__xludf.DUMMYFUNCTION("""COMPUTED_VALUE"""),"cas_hmw")</f>
        <v>cas_hmw</v>
      </c>
      <c r="B20760" s="5">
        <f>IFERROR(__xludf.DUMMYFUNCTION("""COMPUTED_VALUE"""),44783.0)</f>
        <v>44783</v>
      </c>
      <c r="C20760" s="6">
        <f>IFERROR(__xludf.DUMMYFUNCTION("""COMPUTED_VALUE"""),0.34947916666715173)</f>
        <v>0.3494791667</v>
      </c>
      <c r="D20760" s="4">
        <f>IFERROR(__xludf.DUMMYFUNCTION("""COMPUTED_VALUE"""),12.918802)</f>
        <v>12.918802</v>
      </c>
      <c r="E20760" s="4">
        <f>IFERROR(__xludf.DUMMYFUNCTION("""COMPUTED_VALUE"""),80.08298)</f>
        <v>80.08298</v>
      </c>
      <c r="F20760" s="4">
        <f>IFERROR(__xludf.DUMMYFUNCTION("""COMPUTED_VALUE"""),3143.0)</f>
        <v>3143</v>
      </c>
      <c r="G20760" s="4">
        <f>IFERROR(__xludf.DUMMYFUNCTION("""COMPUTED_VALUE"""),31.0)</f>
        <v>31</v>
      </c>
      <c r="H20760" s="4"/>
      <c r="I20760" s="4"/>
    </row>
    <row r="20761">
      <c r="A20761" s="4" t="str">
        <f>IFERROR(__xludf.DUMMYFUNCTION("""COMPUTED_VALUE"""),"cas_hmw")</f>
        <v>cas_hmw</v>
      </c>
      <c r="B20761" s="5">
        <f>IFERROR(__xludf.DUMMYFUNCTION("""COMPUTED_VALUE"""),44783.0)</f>
        <v>44783</v>
      </c>
      <c r="C20761" s="6">
        <f>IFERROR(__xludf.DUMMYFUNCTION("""COMPUTED_VALUE"""),0.3498842592598521)</f>
        <v>0.3498842593</v>
      </c>
      <c r="D20761" s="4">
        <f>IFERROR(__xludf.DUMMYFUNCTION("""COMPUTED_VALUE"""),12.918085)</f>
        <v>12.918085</v>
      </c>
      <c r="E20761" s="4">
        <f>IFERROR(__xludf.DUMMYFUNCTION("""COMPUTED_VALUE"""),80.081078)</f>
        <v>80.081078</v>
      </c>
      <c r="F20761" s="4">
        <f>IFERROR(__xludf.DUMMYFUNCTION("""COMPUTED_VALUE"""),3143.0)</f>
        <v>3143</v>
      </c>
      <c r="G20761" s="4">
        <f>IFERROR(__xludf.DUMMYFUNCTION("""COMPUTED_VALUE"""),30.0)</f>
        <v>30</v>
      </c>
      <c r="H20761" s="4"/>
      <c r="I20761" s="4"/>
    </row>
    <row r="20762">
      <c r="A20762" s="4" t="str">
        <f>IFERROR(__xludf.DUMMYFUNCTION("""COMPUTED_VALUE"""),"cas_hmw")</f>
        <v>cas_hmw</v>
      </c>
      <c r="B20762" s="5">
        <f>IFERROR(__xludf.DUMMYFUNCTION("""COMPUTED_VALUE"""),44783.0)</f>
        <v>44783</v>
      </c>
      <c r="C20762" s="6">
        <f>IFERROR(__xludf.DUMMYFUNCTION("""COMPUTED_VALUE"""),0.3499305555560568)</f>
        <v>0.3499305556</v>
      </c>
      <c r="D20762" s="4">
        <f>IFERROR(__xludf.DUMMYFUNCTION("""COMPUTED_VALUE"""),12.918085)</f>
        <v>12.918085</v>
      </c>
      <c r="E20762" s="4">
        <f>IFERROR(__xludf.DUMMYFUNCTION("""COMPUTED_VALUE"""),80.081078)</f>
        <v>80.081078</v>
      </c>
      <c r="F20762" s="4">
        <f>IFERROR(__xludf.DUMMYFUNCTION("""COMPUTED_VALUE"""),3143.0)</f>
        <v>3143</v>
      </c>
      <c r="G20762" s="4">
        <f>IFERROR(__xludf.DUMMYFUNCTION("""COMPUTED_VALUE"""),30.0)</f>
        <v>30</v>
      </c>
      <c r="H20762" s="4"/>
      <c r="I20762" s="4"/>
    </row>
    <row r="20763">
      <c r="A20763" s="4" t="str">
        <f>IFERROR(__xludf.DUMMYFUNCTION("""COMPUTED_VALUE"""),"cas_hmw")</f>
        <v>cas_hmw</v>
      </c>
      <c r="B20763" s="5">
        <f>IFERROR(__xludf.DUMMYFUNCTION("""COMPUTED_VALUE"""),44783.0)</f>
        <v>44783</v>
      </c>
      <c r="C20763" s="6">
        <f>IFERROR(__xludf.DUMMYFUNCTION("""COMPUTED_VALUE"""),0.3503240740756155)</f>
        <v>0.3503240741</v>
      </c>
      <c r="D20763" s="4">
        <f>IFERROR(__xludf.DUMMYFUNCTION("""COMPUTED_VALUE"""),12.90466)</f>
        <v>12.90466</v>
      </c>
      <c r="E20763" s="4">
        <f>IFERROR(__xludf.DUMMYFUNCTION("""COMPUTED_VALUE"""),80.095208)</f>
        <v>80.095208</v>
      </c>
      <c r="F20763" s="4">
        <f>IFERROR(__xludf.DUMMYFUNCTION("""COMPUTED_VALUE"""),805.0)</f>
        <v>805</v>
      </c>
      <c r="G20763" s="4">
        <f>IFERROR(__xludf.DUMMYFUNCTION("""COMPUTED_VALUE"""),39.0)</f>
        <v>39</v>
      </c>
      <c r="H20763" s="4"/>
      <c r="I20763" s="4"/>
    </row>
    <row r="20764">
      <c r="A20764" s="4" t="str">
        <f>IFERROR(__xludf.DUMMYFUNCTION("""COMPUTED_VALUE"""),"cas_hmw")</f>
        <v>cas_hmw</v>
      </c>
      <c r="B20764" s="5">
        <f>IFERROR(__xludf.DUMMYFUNCTION("""COMPUTED_VALUE"""),44783.0)</f>
        <v>44783</v>
      </c>
      <c r="C20764" s="6">
        <f>IFERROR(__xludf.DUMMYFUNCTION("""COMPUTED_VALUE"""),0.3508449074070086)</f>
        <v>0.3508449074</v>
      </c>
      <c r="D20764" s="4">
        <f>IFERROR(__xludf.DUMMYFUNCTION("""COMPUTED_VALUE"""),12.900663)</f>
        <v>12.900663</v>
      </c>
      <c r="E20764" s="4">
        <f>IFERROR(__xludf.DUMMYFUNCTION("""COMPUTED_VALUE"""),80.092044)</f>
        <v>80.092044</v>
      </c>
      <c r="F20764" s="4">
        <f>IFERROR(__xludf.DUMMYFUNCTION("""COMPUTED_VALUE"""),805.0)</f>
        <v>805</v>
      </c>
      <c r="G20764" s="4">
        <f>IFERROR(__xludf.DUMMYFUNCTION("""COMPUTED_VALUE"""),58.0)</f>
        <v>58</v>
      </c>
      <c r="H20764" s="4"/>
      <c r="I20764" s="4"/>
    </row>
    <row r="20765">
      <c r="A20765" s="4" t="str">
        <f>IFERROR(__xludf.DUMMYFUNCTION("""COMPUTED_VALUE"""),"cas_hmw")</f>
        <v>cas_hmw</v>
      </c>
      <c r="B20765" s="5">
        <f>IFERROR(__xludf.DUMMYFUNCTION("""COMPUTED_VALUE"""),44783.0)</f>
        <v>44783</v>
      </c>
      <c r="C20765" s="6">
        <f>IFERROR(__xludf.DUMMYFUNCTION("""COMPUTED_VALUE"""),0.351597222223063)</f>
        <v>0.3515972222</v>
      </c>
      <c r="D20765" s="4">
        <f>IFERROR(__xludf.DUMMYFUNCTION("""COMPUTED_VALUE"""),12.878249)</f>
        <v>12.878249</v>
      </c>
      <c r="E20765" s="4">
        <f>IFERROR(__xludf.DUMMYFUNCTION("""COMPUTED_VALUE"""),80.08276)</f>
        <v>80.08276</v>
      </c>
      <c r="F20765" s="4">
        <f>IFERROR(__xludf.DUMMYFUNCTION("""COMPUTED_VALUE"""),5339.0)</f>
        <v>5339</v>
      </c>
      <c r="G20765" s="4">
        <f>IFERROR(__xludf.DUMMYFUNCTION("""COMPUTED_VALUE"""),42.0)</f>
        <v>42</v>
      </c>
      <c r="H20765" s="4"/>
      <c r="I20765" s="4"/>
    </row>
    <row r="20766">
      <c r="A20766" s="4" t="str">
        <f>IFERROR(__xludf.DUMMYFUNCTION("""COMPUTED_VALUE"""),"cas_hmw")</f>
        <v>cas_hmw</v>
      </c>
      <c r="B20766" s="5">
        <f>IFERROR(__xludf.DUMMYFUNCTION("""COMPUTED_VALUE"""),44783.0)</f>
        <v>44783</v>
      </c>
      <c r="C20766" s="6">
        <f>IFERROR(__xludf.DUMMYFUNCTION("""COMPUTED_VALUE"""),0.35175925925796037)</f>
        <v>0.3517592593</v>
      </c>
      <c r="D20766" s="4">
        <f>IFERROR(__xludf.DUMMYFUNCTION("""COMPUTED_VALUE"""),12.877901)</f>
        <v>12.877901</v>
      </c>
      <c r="E20766" s="4">
        <f>IFERROR(__xludf.DUMMYFUNCTION("""COMPUTED_VALUE"""),80.083733)</f>
        <v>80.083733</v>
      </c>
      <c r="F20766" s="4">
        <f>IFERROR(__xludf.DUMMYFUNCTION("""COMPUTED_VALUE"""),5339.0)</f>
        <v>5339</v>
      </c>
      <c r="G20766" s="4">
        <f>IFERROR(__xludf.DUMMYFUNCTION("""COMPUTED_VALUE"""),38.0)</f>
        <v>38</v>
      </c>
      <c r="H20766" s="4"/>
      <c r="I20766" s="4"/>
    </row>
    <row r="20767">
      <c r="A20767" s="4" t="str">
        <f>IFERROR(__xludf.DUMMYFUNCTION("""COMPUTED_VALUE"""),"cas_hmw")</f>
        <v>cas_hmw</v>
      </c>
      <c r="B20767" s="5">
        <f>IFERROR(__xludf.DUMMYFUNCTION("""COMPUTED_VALUE"""),44783.0)</f>
        <v>44783</v>
      </c>
      <c r="C20767" s="6">
        <f>IFERROR(__xludf.DUMMYFUNCTION("""COMPUTED_VALUE"""),0.35361111110978527)</f>
        <v>0.3536111111</v>
      </c>
      <c r="D20767" s="4">
        <f>IFERROR(__xludf.DUMMYFUNCTION("""COMPUTED_VALUE"""),12.891601)</f>
        <v>12.891601</v>
      </c>
      <c r="E20767" s="4">
        <f>IFERROR(__xludf.DUMMYFUNCTION("""COMPUTED_VALUE"""),80.08533)</f>
        <v>80.08533</v>
      </c>
      <c r="F20767" s="4">
        <f>IFERROR(__xludf.DUMMYFUNCTION("""COMPUTED_VALUE"""),805.0)</f>
        <v>805</v>
      </c>
      <c r="G20767" s="4">
        <f>IFERROR(__xludf.DUMMYFUNCTION("""COMPUTED_VALUE"""),44.0)</f>
        <v>44</v>
      </c>
      <c r="H20767" s="4"/>
      <c r="I20767" s="4"/>
    </row>
    <row r="20768">
      <c r="A20768" s="4" t="str">
        <f>IFERROR(__xludf.DUMMYFUNCTION("""COMPUTED_VALUE"""),"cas_hmw")</f>
        <v>cas_hmw</v>
      </c>
      <c r="B20768" s="5">
        <f>IFERROR(__xludf.DUMMYFUNCTION("""COMPUTED_VALUE"""),44783.0)</f>
        <v>44783</v>
      </c>
      <c r="C20768" s="6">
        <f>IFERROR(__xludf.DUMMYFUNCTION("""COMPUTED_VALUE"""),0.35423611111036735)</f>
        <v>0.3542361111</v>
      </c>
      <c r="D20768" s="4">
        <f>IFERROR(__xludf.DUMMYFUNCTION("""COMPUTED_VALUE"""),12.885644)</f>
        <v>12.885644</v>
      </c>
      <c r="E20768" s="4">
        <f>IFERROR(__xludf.DUMMYFUNCTION("""COMPUTED_VALUE"""),80.082874)</f>
        <v>80.082874</v>
      </c>
      <c r="F20768" s="4">
        <f>IFERROR(__xludf.DUMMYFUNCTION("""COMPUTED_VALUE"""),805.0)</f>
        <v>805</v>
      </c>
      <c r="G20768" s="4">
        <f>IFERROR(__xludf.DUMMYFUNCTION("""COMPUTED_VALUE"""),55.0)</f>
        <v>55</v>
      </c>
      <c r="H20768" s="4"/>
      <c r="I20768" s="4"/>
    </row>
    <row r="20769">
      <c r="A20769" s="4" t="str">
        <f>IFERROR(__xludf.DUMMYFUNCTION("""COMPUTED_VALUE"""),"cas_hmw")</f>
        <v>cas_hmw</v>
      </c>
      <c r="B20769" s="5">
        <f>IFERROR(__xludf.DUMMYFUNCTION("""COMPUTED_VALUE"""),44783.0)</f>
        <v>44783</v>
      </c>
      <c r="C20769" s="6">
        <f>IFERROR(__xludf.DUMMYFUNCTION("""COMPUTED_VALUE"""),0.3559953703697829)</f>
        <v>0.3559953704</v>
      </c>
      <c r="D20769" s="4">
        <f>IFERROR(__xludf.DUMMYFUNCTION("""COMPUTED_VALUE"""),12.878847)</f>
        <v>12.878847</v>
      </c>
      <c r="E20769" s="4">
        <f>IFERROR(__xludf.DUMMYFUNCTION("""COMPUTED_VALUE"""),80.081055)</f>
        <v>80.081055</v>
      </c>
      <c r="F20769" s="4">
        <f>IFERROR(__xludf.DUMMYFUNCTION("""COMPUTED_VALUE"""),3143.0)</f>
        <v>3143</v>
      </c>
      <c r="G20769" s="4">
        <f>IFERROR(__xludf.DUMMYFUNCTION("""COMPUTED_VALUE"""),20.0)</f>
        <v>20</v>
      </c>
      <c r="H20769" s="4"/>
      <c r="I20769" s="4"/>
    </row>
    <row r="20770">
      <c r="A20770" s="4" t="str">
        <f>IFERROR(__xludf.DUMMYFUNCTION("""COMPUTED_VALUE"""),"cas_hmw")</f>
        <v>cas_hmw</v>
      </c>
      <c r="B20770" s="5">
        <f>IFERROR(__xludf.DUMMYFUNCTION("""COMPUTED_VALUE"""),44783.0)</f>
        <v>44783</v>
      </c>
      <c r="C20770" s="6">
        <f>IFERROR(__xludf.DUMMYFUNCTION("""COMPUTED_VALUE"""),0.6920601851852552)</f>
        <v>0.6920601852</v>
      </c>
      <c r="D20770" s="4">
        <f>IFERROR(__xludf.DUMMYFUNCTION("""COMPUTED_VALUE"""),12.861892)</f>
        <v>12.861892</v>
      </c>
      <c r="E20770" s="4">
        <f>IFERROR(__xludf.DUMMYFUNCTION("""COMPUTED_VALUE"""),80.073471)</f>
        <v>80.073471</v>
      </c>
      <c r="F20770" s="4">
        <f>IFERROR(__xludf.DUMMYFUNCTION("""COMPUTED_VALUE"""),2846.0)</f>
        <v>2846</v>
      </c>
      <c r="G20770" s="4">
        <f>IFERROR(__xludf.DUMMYFUNCTION("""COMPUTED_VALUE"""),54.0)</f>
        <v>54</v>
      </c>
      <c r="H20770" s="4"/>
      <c r="I20770" s="4"/>
    </row>
    <row r="20771">
      <c r="A20771" s="4" t="str">
        <f>IFERROR(__xludf.DUMMYFUNCTION("""COMPUTED_VALUE"""),"cas_hmw")</f>
        <v>cas_hmw</v>
      </c>
      <c r="B20771" s="5">
        <f>IFERROR(__xludf.DUMMYFUNCTION("""COMPUTED_VALUE"""),44783.0)</f>
        <v>44783</v>
      </c>
      <c r="C20771" s="6">
        <f>IFERROR(__xludf.DUMMYFUNCTION("""COMPUTED_VALUE"""),0.6923958333318296)</f>
        <v>0.6923958333</v>
      </c>
      <c r="D20771" s="4">
        <f>IFERROR(__xludf.DUMMYFUNCTION("""COMPUTED_VALUE"""),12.882328)</f>
        <v>12.882328</v>
      </c>
      <c r="E20771" s="4">
        <f>IFERROR(__xludf.DUMMYFUNCTION("""COMPUTED_VALUE"""),80.081042)</f>
        <v>80.081042</v>
      </c>
      <c r="F20771" s="4">
        <f>IFERROR(__xludf.DUMMYFUNCTION("""COMPUTED_VALUE"""),805.0)</f>
        <v>805</v>
      </c>
      <c r="G20771" s="4">
        <f>IFERROR(__xludf.DUMMYFUNCTION("""COMPUTED_VALUE"""),43.0)</f>
        <v>43</v>
      </c>
      <c r="H20771" s="4"/>
      <c r="I20771" s="4"/>
    </row>
    <row r="20772">
      <c r="A20772" s="4" t="str">
        <f>IFERROR(__xludf.DUMMYFUNCTION("""COMPUTED_VALUE"""),"cas_hmw")</f>
        <v>cas_hmw</v>
      </c>
      <c r="B20772" s="5">
        <f>IFERROR(__xludf.DUMMYFUNCTION("""COMPUTED_VALUE"""),44783.0)</f>
        <v>44783</v>
      </c>
      <c r="C20772" s="6">
        <f>IFERROR(__xludf.DUMMYFUNCTION("""COMPUTED_VALUE"""),0.6924305555548926)</f>
        <v>0.6924305556</v>
      </c>
      <c r="D20772" s="4">
        <f>IFERROR(__xludf.DUMMYFUNCTION("""COMPUTED_VALUE"""),12.860504)</f>
        <v>12.860504</v>
      </c>
      <c r="E20772" s="4">
        <f>IFERROR(__xludf.DUMMYFUNCTION("""COMPUTED_VALUE"""),80.072712)</f>
        <v>80.072712</v>
      </c>
      <c r="F20772" s="4">
        <f>IFERROR(__xludf.DUMMYFUNCTION("""COMPUTED_VALUE"""),2846.0)</f>
        <v>2846</v>
      </c>
      <c r="G20772" s="4">
        <f>IFERROR(__xludf.DUMMYFUNCTION("""COMPUTED_VALUE"""),8.0)</f>
        <v>8</v>
      </c>
      <c r="H20772" s="4"/>
      <c r="I20772" s="4"/>
    </row>
    <row r="20773">
      <c r="A20773" s="4" t="str">
        <f>IFERROR(__xludf.DUMMYFUNCTION("""COMPUTED_VALUE"""),"cas_hmw")</f>
        <v>cas_hmw</v>
      </c>
      <c r="B20773" s="5">
        <f>IFERROR(__xludf.DUMMYFUNCTION("""COMPUTED_VALUE"""),44783.0)</f>
        <v>44783</v>
      </c>
      <c r="C20773" s="6">
        <f>IFERROR(__xludf.DUMMYFUNCTION("""COMPUTED_VALUE"""),0.6929513888899237)</f>
        <v>0.6929513889</v>
      </c>
      <c r="D20773" s="4">
        <f>IFERROR(__xludf.DUMMYFUNCTION("""COMPUTED_VALUE"""),12.885054)</f>
        <v>12.885054</v>
      </c>
      <c r="E20773" s="4">
        <f>IFERROR(__xludf.DUMMYFUNCTION("""COMPUTED_VALUE"""),80.082193)</f>
        <v>80.082193</v>
      </c>
      <c r="F20773" s="4">
        <f>IFERROR(__xludf.DUMMYFUNCTION("""COMPUTED_VALUE"""),805.0)</f>
        <v>805</v>
      </c>
      <c r="G20773" s="4">
        <f>IFERROR(__xludf.DUMMYFUNCTION("""COMPUTED_VALUE"""),32.0)</f>
        <v>32</v>
      </c>
      <c r="H20773" s="4"/>
      <c r="I20773" s="4"/>
    </row>
    <row r="20774">
      <c r="A20774" s="4" t="str">
        <f>IFERROR(__xludf.DUMMYFUNCTION("""COMPUTED_VALUE"""),"cas_hmw")</f>
        <v>cas_hmw</v>
      </c>
      <c r="B20774" s="5">
        <f>IFERROR(__xludf.DUMMYFUNCTION("""COMPUTED_VALUE"""),44783.0)</f>
        <v>44783</v>
      </c>
      <c r="C20774" s="6">
        <f>IFERROR(__xludf.DUMMYFUNCTION("""COMPUTED_VALUE"""),0.6929629629630654)</f>
        <v>0.692962963</v>
      </c>
      <c r="D20774" s="4">
        <f>IFERROR(__xludf.DUMMYFUNCTION("""COMPUTED_VALUE"""),12.885054)</f>
        <v>12.885054</v>
      </c>
      <c r="E20774" s="4">
        <f>IFERROR(__xludf.DUMMYFUNCTION("""COMPUTED_VALUE"""),80.082193)</f>
        <v>80.082193</v>
      </c>
      <c r="F20774" s="4">
        <f>IFERROR(__xludf.DUMMYFUNCTION("""COMPUTED_VALUE"""),805.0)</f>
        <v>805</v>
      </c>
      <c r="G20774" s="4">
        <f>IFERROR(__xludf.DUMMYFUNCTION("""COMPUTED_VALUE"""),32.0)</f>
        <v>32</v>
      </c>
      <c r="H20774" s="4"/>
      <c r="I20774" s="4"/>
    </row>
    <row r="20775">
      <c r="A20775" s="4" t="str">
        <f>IFERROR(__xludf.DUMMYFUNCTION("""COMPUTED_VALUE"""),"cas_hmw")</f>
        <v>cas_hmw</v>
      </c>
      <c r="B20775" s="5">
        <f>IFERROR(__xludf.DUMMYFUNCTION("""COMPUTED_VALUE"""),44783.0)</f>
        <v>44783</v>
      </c>
      <c r="C20775" s="6">
        <f>IFERROR(__xludf.DUMMYFUNCTION("""COMPUTED_VALUE"""),0.6930208333324117)</f>
        <v>0.6930208333</v>
      </c>
      <c r="D20775" s="4">
        <f>IFERROR(__xludf.DUMMYFUNCTION("""COMPUTED_VALUE"""),12.885938)</f>
        <v>12.885938</v>
      </c>
      <c r="E20775" s="4">
        <f>IFERROR(__xludf.DUMMYFUNCTION("""COMPUTED_VALUE"""),80.082802)</f>
        <v>80.082802</v>
      </c>
      <c r="F20775" s="4">
        <f>IFERROR(__xludf.DUMMYFUNCTION("""COMPUTED_VALUE"""),5339.0)</f>
        <v>5339</v>
      </c>
      <c r="G20775" s="4">
        <f>IFERROR(__xludf.DUMMYFUNCTION("""COMPUTED_VALUE"""),34.0)</f>
        <v>34</v>
      </c>
      <c r="H20775" s="4"/>
      <c r="I20775" s="4"/>
    </row>
    <row r="20776">
      <c r="A20776" s="4" t="str">
        <f>IFERROR(__xludf.DUMMYFUNCTION("""COMPUTED_VALUE"""),"cas_hmw")</f>
        <v>cas_hmw</v>
      </c>
      <c r="B20776" s="5">
        <f>IFERROR(__xludf.DUMMYFUNCTION("""COMPUTED_VALUE"""),44783.0)</f>
        <v>44783</v>
      </c>
      <c r="C20776" s="6">
        <f>IFERROR(__xludf.DUMMYFUNCTION("""COMPUTED_VALUE"""),0.693078703705396)</f>
        <v>0.6930787037</v>
      </c>
      <c r="D20776" s="4">
        <f>IFERROR(__xludf.DUMMYFUNCTION("""COMPUTED_VALUE"""),12.885682)</f>
        <v>12.885682</v>
      </c>
      <c r="E20776" s="4">
        <f>IFERROR(__xludf.DUMMYFUNCTION("""COMPUTED_VALUE"""),80.082684)</f>
        <v>80.082684</v>
      </c>
      <c r="F20776" s="4">
        <f>IFERROR(__xludf.DUMMYFUNCTION("""COMPUTED_VALUE"""),805.0)</f>
        <v>805</v>
      </c>
      <c r="G20776" s="4">
        <f>IFERROR(__xludf.DUMMYFUNCTION("""COMPUTED_VALUE"""),29.0)</f>
        <v>29</v>
      </c>
      <c r="H20776" s="4"/>
      <c r="I20776" s="4"/>
    </row>
    <row r="20777">
      <c r="A20777" s="4" t="str">
        <f>IFERROR(__xludf.DUMMYFUNCTION("""COMPUTED_VALUE"""),"cas_hmw")</f>
        <v>cas_hmw</v>
      </c>
      <c r="B20777" s="5">
        <f>IFERROR(__xludf.DUMMYFUNCTION("""COMPUTED_VALUE"""),44783.0)</f>
        <v>44783</v>
      </c>
      <c r="C20777" s="6">
        <f>IFERROR(__xludf.DUMMYFUNCTION("""COMPUTED_VALUE"""),0.6938657407408755)</f>
        <v>0.6938657407</v>
      </c>
      <c r="D20777" s="4">
        <f>IFERROR(__xludf.DUMMYFUNCTION("""COMPUTED_VALUE"""),12.849545)</f>
        <v>12.849545</v>
      </c>
      <c r="E20777" s="4">
        <f>IFERROR(__xludf.DUMMYFUNCTION("""COMPUTED_VALUE"""),80.064592)</f>
        <v>80.064592</v>
      </c>
      <c r="F20777" s="4">
        <f>IFERROR(__xludf.DUMMYFUNCTION("""COMPUTED_VALUE"""),2846.0)</f>
        <v>2846</v>
      </c>
      <c r="G20777" s="4">
        <f>IFERROR(__xludf.DUMMYFUNCTION("""COMPUTED_VALUE"""),35.0)</f>
        <v>35</v>
      </c>
      <c r="H20777" s="4"/>
      <c r="I20777" s="4"/>
    </row>
    <row r="20778">
      <c r="A20778" s="4" t="str">
        <f>IFERROR(__xludf.DUMMYFUNCTION("""COMPUTED_VALUE"""),"cas_hmw")</f>
        <v>cas_hmw</v>
      </c>
      <c r="B20778" s="5">
        <f>IFERROR(__xludf.DUMMYFUNCTION("""COMPUTED_VALUE"""),44783.0)</f>
        <v>44783</v>
      </c>
      <c r="C20778" s="6">
        <f>IFERROR(__xludf.DUMMYFUNCTION("""COMPUTED_VALUE"""),0.6941087962950405)</f>
        <v>0.6941087963</v>
      </c>
      <c r="D20778" s="4">
        <f>IFERROR(__xludf.DUMMYFUNCTION("""COMPUTED_VALUE"""),12.896542)</f>
        <v>12.896542</v>
      </c>
      <c r="E20778" s="4">
        <f>IFERROR(__xludf.DUMMYFUNCTION("""COMPUTED_VALUE"""),80.088765)</f>
        <v>80.088765</v>
      </c>
      <c r="F20778" s="4">
        <f>IFERROR(__xludf.DUMMYFUNCTION("""COMPUTED_VALUE"""),805.0)</f>
        <v>805</v>
      </c>
      <c r="G20778" s="4">
        <f>IFERROR(__xludf.DUMMYFUNCTION("""COMPUTED_VALUE"""),58.0)</f>
        <v>58</v>
      </c>
      <c r="H20778" s="4"/>
      <c r="I20778" s="4"/>
    </row>
    <row r="20779">
      <c r="A20779" s="4" t="str">
        <f>IFERROR(__xludf.DUMMYFUNCTION("""COMPUTED_VALUE"""),"cas_hmw")</f>
        <v>cas_hmw</v>
      </c>
      <c r="B20779" s="5">
        <f>IFERROR(__xludf.DUMMYFUNCTION("""COMPUTED_VALUE"""),44783.0)</f>
        <v>44783</v>
      </c>
      <c r="C20779" s="6">
        <f>IFERROR(__xludf.DUMMYFUNCTION("""COMPUTED_VALUE"""),0.6946296296300716)</f>
        <v>0.6946296296</v>
      </c>
      <c r="D20779" s="4">
        <f>IFERROR(__xludf.DUMMYFUNCTION("""COMPUTED_VALUE"""),12.845698)</f>
        <v>12.845698</v>
      </c>
      <c r="E20779" s="4">
        <f>IFERROR(__xludf.DUMMYFUNCTION("""COMPUTED_VALUE"""),80.061713)</f>
        <v>80.061713</v>
      </c>
      <c r="F20779" s="4">
        <f>IFERROR(__xludf.DUMMYFUNCTION("""COMPUTED_VALUE"""),2846.0)</f>
        <v>2846</v>
      </c>
      <c r="G20779" s="4">
        <f>IFERROR(__xludf.DUMMYFUNCTION("""COMPUTED_VALUE"""),25.0)</f>
        <v>25</v>
      </c>
      <c r="H20779" s="4"/>
      <c r="I20779" s="4"/>
    </row>
    <row r="20780">
      <c r="A20780" s="4" t="str">
        <f>IFERROR(__xludf.DUMMYFUNCTION("""COMPUTED_VALUE"""),"cas_hmw")</f>
        <v>cas_hmw</v>
      </c>
      <c r="B20780" s="5">
        <f>IFERROR(__xludf.DUMMYFUNCTION("""COMPUTED_VALUE"""),44783.0)</f>
        <v>44783</v>
      </c>
      <c r="C20780" s="6">
        <f>IFERROR(__xludf.DUMMYFUNCTION("""COMPUTED_VALUE"""),0.6946990740725596)</f>
        <v>0.6946990741</v>
      </c>
      <c r="D20780" s="4">
        <f>IFERROR(__xludf.DUMMYFUNCTION("""COMPUTED_VALUE"""),12.845698)</f>
        <v>12.845698</v>
      </c>
      <c r="E20780" s="4">
        <f>IFERROR(__xludf.DUMMYFUNCTION("""COMPUTED_VALUE"""),80.061713)</f>
        <v>80.061713</v>
      </c>
      <c r="F20780" s="4">
        <f>IFERROR(__xludf.DUMMYFUNCTION("""COMPUTED_VALUE"""),2846.0)</f>
        <v>2846</v>
      </c>
      <c r="G20780" s="4">
        <f>IFERROR(__xludf.DUMMYFUNCTION("""COMPUTED_VALUE"""),25.0)</f>
        <v>25</v>
      </c>
      <c r="H20780" s="4"/>
      <c r="I20780" s="4"/>
    </row>
    <row r="20781">
      <c r="A20781" s="4" t="str">
        <f>IFERROR(__xludf.DUMMYFUNCTION("""COMPUTED_VALUE"""),"cas_hmw")</f>
        <v>cas_hmw</v>
      </c>
      <c r="B20781" s="5">
        <f>IFERROR(__xludf.DUMMYFUNCTION("""COMPUTED_VALUE"""),44783.0)</f>
        <v>44783</v>
      </c>
      <c r="C20781" s="6">
        <f>IFERROR(__xludf.DUMMYFUNCTION("""COMPUTED_VALUE"""),0.6947916666649689)</f>
        <v>0.6947916667</v>
      </c>
      <c r="D20781" s="4">
        <f>IFERROR(__xludf.DUMMYFUNCTION("""COMPUTED_VALUE"""),12.902885)</f>
        <v>12.902885</v>
      </c>
      <c r="E20781" s="4">
        <f>IFERROR(__xludf.DUMMYFUNCTION("""COMPUTED_VALUE"""),80.093519)</f>
        <v>80.093519</v>
      </c>
      <c r="F20781" s="4">
        <f>IFERROR(__xludf.DUMMYFUNCTION("""COMPUTED_VALUE"""),805.0)</f>
        <v>805</v>
      </c>
      <c r="G20781" s="4">
        <f>IFERROR(__xludf.DUMMYFUNCTION("""COMPUTED_VALUE"""),29.0)</f>
        <v>29</v>
      </c>
      <c r="H20781" s="4"/>
      <c r="I20781" s="4"/>
    </row>
    <row r="20782">
      <c r="A20782" s="4" t="str">
        <f>IFERROR(__xludf.DUMMYFUNCTION("""COMPUTED_VALUE"""),"cas_hmw")</f>
        <v>cas_hmw</v>
      </c>
      <c r="B20782" s="5">
        <f>IFERROR(__xludf.DUMMYFUNCTION("""COMPUTED_VALUE"""),44783.0)</f>
        <v>44783</v>
      </c>
      <c r="C20782" s="6">
        <f>IFERROR(__xludf.DUMMYFUNCTION("""COMPUTED_VALUE"""),0.6948032407417486)</f>
        <v>0.6948032407</v>
      </c>
      <c r="D20782" s="4">
        <f>IFERROR(__xludf.DUMMYFUNCTION("""COMPUTED_VALUE"""),12.882491)</f>
        <v>12.882491</v>
      </c>
      <c r="E20782" s="4">
        <f>IFERROR(__xludf.DUMMYFUNCTION("""COMPUTED_VALUE"""),80.081173)</f>
        <v>80.081173</v>
      </c>
      <c r="F20782" s="4">
        <f>IFERROR(__xludf.DUMMYFUNCTION("""COMPUTED_VALUE"""),3143.0)</f>
        <v>3143</v>
      </c>
      <c r="G20782" s="4">
        <f>IFERROR(__xludf.DUMMYFUNCTION("""COMPUTED_VALUE"""),24.0)</f>
        <v>24</v>
      </c>
      <c r="H20782" s="4"/>
      <c r="I20782" s="4"/>
    </row>
    <row r="20783">
      <c r="A20783" s="4" t="str">
        <f>IFERROR(__xludf.DUMMYFUNCTION("""COMPUTED_VALUE"""),"cas_hmw")</f>
        <v>cas_hmw</v>
      </c>
      <c r="B20783" s="5">
        <f>IFERROR(__xludf.DUMMYFUNCTION("""COMPUTED_VALUE"""),44783.0)</f>
        <v>44783</v>
      </c>
      <c r="C20783" s="6">
        <f>IFERROR(__xludf.DUMMYFUNCTION("""COMPUTED_VALUE"""),0.6961921296278888)</f>
        <v>0.6961921296</v>
      </c>
      <c r="D20783" s="4">
        <f>IFERROR(__xludf.DUMMYFUNCTION("""COMPUTED_VALUE"""),12.894456)</f>
        <v>12.894456</v>
      </c>
      <c r="E20783" s="4">
        <f>IFERROR(__xludf.DUMMYFUNCTION("""COMPUTED_VALUE"""),80.087228)</f>
        <v>80.087228</v>
      </c>
      <c r="F20783" s="4">
        <f>IFERROR(__xludf.DUMMYFUNCTION("""COMPUTED_VALUE"""),3143.0)</f>
        <v>3143</v>
      </c>
      <c r="G20783" s="4">
        <f>IFERROR(__xludf.DUMMYFUNCTION("""COMPUTED_VALUE"""),45.0)</f>
        <v>45</v>
      </c>
      <c r="H20783" s="4"/>
      <c r="I20783" s="4"/>
    </row>
    <row r="20784">
      <c r="A20784" s="4" t="str">
        <f>IFERROR(__xludf.DUMMYFUNCTION("""COMPUTED_VALUE"""),"cas_hmw")</f>
        <v>cas_hmw</v>
      </c>
      <c r="B20784" s="5">
        <f>IFERROR(__xludf.DUMMYFUNCTION("""COMPUTED_VALUE"""),44783.0)</f>
        <v>44783</v>
      </c>
      <c r="C20784" s="6">
        <f>IFERROR(__xludf.DUMMYFUNCTION("""COMPUTED_VALUE"""),0.6963773148163455)</f>
        <v>0.6963773148</v>
      </c>
      <c r="D20784" s="4">
        <f>IFERROR(__xludf.DUMMYFUNCTION("""COMPUTED_VALUE"""),12.909082)</f>
        <v>12.909082</v>
      </c>
      <c r="E20784" s="4">
        <f>IFERROR(__xludf.DUMMYFUNCTION("""COMPUTED_VALUE"""),80.098456)</f>
        <v>80.098456</v>
      </c>
      <c r="F20784" s="4">
        <f>IFERROR(__xludf.DUMMYFUNCTION("""COMPUTED_VALUE"""),5339.0)</f>
        <v>5339</v>
      </c>
      <c r="G20784" s="4">
        <f>IFERROR(__xludf.DUMMYFUNCTION("""COMPUTED_VALUE"""),23.0)</f>
        <v>23</v>
      </c>
      <c r="H20784" s="4"/>
      <c r="I20784" s="4"/>
    </row>
    <row r="20785">
      <c r="A20785" s="4" t="str">
        <f>IFERROR(__xludf.DUMMYFUNCTION("""COMPUTED_VALUE"""),"cas_hmw")</f>
        <v>cas_hmw</v>
      </c>
      <c r="B20785" s="5">
        <f>IFERROR(__xludf.DUMMYFUNCTION("""COMPUTED_VALUE"""),44783.0)</f>
        <v>44783</v>
      </c>
      <c r="C20785" s="6">
        <f>IFERROR(__xludf.DUMMYFUNCTION("""COMPUTED_VALUE"""),0.6967592592591245)</f>
        <v>0.6967592593</v>
      </c>
      <c r="D20785" s="4">
        <f>IFERROR(__xludf.DUMMYFUNCTION("""COMPUTED_VALUE"""),12.899414)</f>
        <v>12.899414</v>
      </c>
      <c r="E20785" s="4">
        <f>IFERROR(__xludf.DUMMYFUNCTION("""COMPUTED_VALUE"""),80.09094)</f>
        <v>80.09094</v>
      </c>
      <c r="F20785" s="4">
        <f>IFERROR(__xludf.DUMMYFUNCTION("""COMPUTED_VALUE"""),3143.0)</f>
        <v>3143</v>
      </c>
      <c r="G20785" s="4">
        <f>IFERROR(__xludf.DUMMYFUNCTION("""COMPUTED_VALUE"""),51.0)</f>
        <v>51</v>
      </c>
      <c r="H20785" s="4"/>
      <c r="I20785" s="4"/>
    </row>
    <row r="20786">
      <c r="A20786" s="4" t="str">
        <f>IFERROR(__xludf.DUMMYFUNCTION("""COMPUTED_VALUE"""),"cas_hmw")</f>
        <v>cas_hmw</v>
      </c>
      <c r="B20786" s="5">
        <f>IFERROR(__xludf.DUMMYFUNCTION("""COMPUTED_VALUE"""),44783.0)</f>
        <v>44783</v>
      </c>
      <c r="C20786" s="6">
        <f>IFERROR(__xludf.DUMMYFUNCTION("""COMPUTED_VALUE"""),0.6969328703708015)</f>
        <v>0.6969328704</v>
      </c>
      <c r="D20786" s="4">
        <f>IFERROR(__xludf.DUMMYFUNCTION("""COMPUTED_VALUE"""),12.900372)</f>
        <v>12.900372</v>
      </c>
      <c r="E20786" s="4">
        <f>IFERROR(__xludf.DUMMYFUNCTION("""COMPUTED_VALUE"""),80.091659)</f>
        <v>80.091659</v>
      </c>
      <c r="F20786" s="4">
        <f>IFERROR(__xludf.DUMMYFUNCTION("""COMPUTED_VALUE"""),3143.0)</f>
        <v>3143</v>
      </c>
      <c r="G20786" s="4">
        <f>IFERROR(__xludf.DUMMYFUNCTION("""COMPUTED_VALUE"""),45.0)</f>
        <v>45</v>
      </c>
      <c r="H20786" s="4"/>
      <c r="I20786" s="4"/>
    </row>
    <row r="20787">
      <c r="A20787" s="4" t="str">
        <f>IFERROR(__xludf.DUMMYFUNCTION("""COMPUTED_VALUE"""),"cas_hmw")</f>
        <v>cas_hmw</v>
      </c>
      <c r="B20787" s="5">
        <f>IFERROR(__xludf.DUMMYFUNCTION("""COMPUTED_VALUE"""),44783.0)</f>
        <v>44783</v>
      </c>
      <c r="C20787" s="6">
        <f>IFERROR(__xludf.DUMMYFUNCTION("""COMPUTED_VALUE"""),0.6969560185170849)</f>
        <v>0.6969560185</v>
      </c>
      <c r="D20787" s="4">
        <f>IFERROR(__xludf.DUMMYFUNCTION("""COMPUTED_VALUE"""),12.900372)</f>
        <v>12.900372</v>
      </c>
      <c r="E20787" s="4">
        <f>IFERROR(__xludf.DUMMYFUNCTION("""COMPUTED_VALUE"""),80.091659)</f>
        <v>80.091659</v>
      </c>
      <c r="F20787" s="4">
        <f>IFERROR(__xludf.DUMMYFUNCTION("""COMPUTED_VALUE"""),3143.0)</f>
        <v>3143</v>
      </c>
      <c r="G20787" s="4">
        <f>IFERROR(__xludf.DUMMYFUNCTION("""COMPUTED_VALUE"""),45.0)</f>
        <v>45</v>
      </c>
      <c r="H20787" s="4"/>
      <c r="I20787" s="4"/>
    </row>
    <row r="20788">
      <c r="A20788" s="4" t="str">
        <f>IFERROR(__xludf.DUMMYFUNCTION("""COMPUTED_VALUE"""),"cas_hmw")</f>
        <v>cas_hmw</v>
      </c>
      <c r="B20788" s="5">
        <f>IFERROR(__xludf.DUMMYFUNCTION("""COMPUTED_VALUE"""),44783.0)</f>
        <v>44783</v>
      </c>
      <c r="C20788" s="6">
        <f>IFERROR(__xludf.DUMMYFUNCTION("""COMPUTED_VALUE"""),0.6971180555556202)</f>
        <v>0.6971180556</v>
      </c>
      <c r="D20788" s="4">
        <f>IFERROR(__xludf.DUMMYFUNCTION("""COMPUTED_VALUE"""),12.911599)</f>
        <v>12.911599</v>
      </c>
      <c r="E20788" s="4">
        <f>IFERROR(__xludf.DUMMYFUNCTION("""COMPUTED_VALUE"""),80.101262)</f>
        <v>80.101262</v>
      </c>
      <c r="F20788" s="4">
        <f>IFERROR(__xludf.DUMMYFUNCTION("""COMPUTED_VALUE"""),805.0)</f>
        <v>805</v>
      </c>
      <c r="G20788" s="4">
        <f>IFERROR(__xludf.DUMMYFUNCTION("""COMPUTED_VALUE"""),15.0)</f>
        <v>15</v>
      </c>
      <c r="H20788" s="4"/>
      <c r="I20788" s="4"/>
    </row>
    <row r="20789">
      <c r="A20789" s="4" t="str">
        <f>IFERROR(__xludf.DUMMYFUNCTION("""COMPUTED_VALUE"""),"cas_hmw")</f>
        <v>cas_hmw</v>
      </c>
      <c r="B20789" s="5">
        <f>IFERROR(__xludf.DUMMYFUNCTION("""COMPUTED_VALUE"""),44783.0)</f>
        <v>44783</v>
      </c>
      <c r="C20789" s="6">
        <f>IFERROR(__xludf.DUMMYFUNCTION("""COMPUTED_VALUE"""),0.6972337962979509)</f>
        <v>0.6972337963</v>
      </c>
      <c r="D20789" s="4">
        <f>IFERROR(__xludf.DUMMYFUNCTION("""COMPUTED_VALUE"""),12.831027)</f>
        <v>12.831027</v>
      </c>
      <c r="E20789" s="4">
        <f>IFERROR(__xludf.DUMMYFUNCTION("""COMPUTED_VALUE"""),80.046297)</f>
        <v>80.046297</v>
      </c>
      <c r="F20789" s="4">
        <f>IFERROR(__xludf.DUMMYFUNCTION("""COMPUTED_VALUE"""),2846.0)</f>
        <v>2846</v>
      </c>
      <c r="G20789" s="4">
        <f>IFERROR(__xludf.DUMMYFUNCTION("""COMPUTED_VALUE"""),43.0)</f>
        <v>43</v>
      </c>
      <c r="H20789" s="4"/>
      <c r="I20789" s="4"/>
    </row>
    <row r="20790">
      <c r="A20790" s="4" t="str">
        <f>IFERROR(__xludf.DUMMYFUNCTION("""COMPUTED_VALUE"""),"cas_hmw")</f>
        <v>cas_hmw</v>
      </c>
      <c r="B20790" s="5">
        <f>IFERROR(__xludf.DUMMYFUNCTION("""COMPUTED_VALUE"""),44783.0)</f>
        <v>44783</v>
      </c>
      <c r="C20790" s="6">
        <f>IFERROR(__xludf.DUMMYFUNCTION("""COMPUTED_VALUE"""),0.6974999999983993)</f>
        <v>0.6975</v>
      </c>
      <c r="D20790" s="4">
        <f>IFERROR(__xludf.DUMMYFUNCTION("""COMPUTED_VALUE"""),12.915353)</f>
        <v>12.915353</v>
      </c>
      <c r="E20790" s="4">
        <f>IFERROR(__xludf.DUMMYFUNCTION("""COMPUTED_VALUE"""),80.102465)</f>
        <v>80.102465</v>
      </c>
      <c r="F20790" s="4">
        <f>IFERROR(__xludf.DUMMYFUNCTION("""COMPUTED_VALUE"""),805.0)</f>
        <v>805</v>
      </c>
      <c r="G20790" s="4">
        <f>IFERROR(__xludf.DUMMYFUNCTION("""COMPUTED_VALUE"""),50.0)</f>
        <v>50</v>
      </c>
      <c r="H20790" s="4"/>
      <c r="I20790" s="4"/>
    </row>
    <row r="20791">
      <c r="A20791" s="4" t="str">
        <f>IFERROR(__xludf.DUMMYFUNCTION("""COMPUTED_VALUE"""),"cas_hmw")</f>
        <v>cas_hmw</v>
      </c>
      <c r="B20791" s="5">
        <f>IFERROR(__xludf.DUMMYFUNCTION("""COMPUTED_VALUE"""),44783.0)</f>
        <v>44783</v>
      </c>
      <c r="C20791" s="6">
        <f>IFERROR(__xludf.DUMMYFUNCTION("""COMPUTED_VALUE"""),0.6979398148141627)</f>
        <v>0.6979398148</v>
      </c>
      <c r="D20791" s="4">
        <f>IFERROR(__xludf.DUMMYFUNCTION("""COMPUTED_VALUE"""),12.908393)</f>
        <v>12.908393</v>
      </c>
      <c r="E20791" s="4">
        <f>IFERROR(__xludf.DUMMYFUNCTION("""COMPUTED_VALUE"""),80.097734)</f>
        <v>80.097734</v>
      </c>
      <c r="F20791" s="4">
        <f>IFERROR(__xludf.DUMMYFUNCTION("""COMPUTED_VALUE"""),3143.0)</f>
        <v>3143</v>
      </c>
      <c r="G20791" s="4">
        <f>IFERROR(__xludf.DUMMYFUNCTION("""COMPUTED_VALUE"""),38.0)</f>
        <v>38</v>
      </c>
      <c r="H20791" s="4"/>
      <c r="I20791" s="4"/>
    </row>
    <row r="20792">
      <c r="A20792" s="4" t="str">
        <f>IFERROR(__xludf.DUMMYFUNCTION("""COMPUTED_VALUE"""),"cas_hmw")</f>
        <v>cas_hmw</v>
      </c>
      <c r="B20792" s="5">
        <f>IFERROR(__xludf.DUMMYFUNCTION("""COMPUTED_VALUE"""),44783.0)</f>
        <v>44783</v>
      </c>
      <c r="C20792" s="6">
        <f>IFERROR(__xludf.DUMMYFUNCTION("""COMPUTED_VALUE"""),0.6983680555567844)</f>
        <v>0.6983680556</v>
      </c>
      <c r="D20792" s="4">
        <f>IFERROR(__xludf.DUMMYFUNCTION("""COMPUTED_VALUE"""),12.917892)</f>
        <v>12.917892</v>
      </c>
      <c r="E20792" s="4">
        <f>IFERROR(__xludf.DUMMYFUNCTION("""COMPUTED_VALUE"""),80.108412)</f>
        <v>80.108412</v>
      </c>
      <c r="F20792" s="4">
        <f>IFERROR(__xludf.DUMMYFUNCTION("""COMPUTED_VALUE"""),805.0)</f>
        <v>805</v>
      </c>
      <c r="G20792" s="4">
        <f>IFERROR(__xludf.DUMMYFUNCTION("""COMPUTED_VALUE"""),38.0)</f>
        <v>38</v>
      </c>
      <c r="H20792" s="4"/>
      <c r="I20792" s="4"/>
    </row>
    <row r="20793">
      <c r="A20793" s="4" t="str">
        <f>IFERROR(__xludf.DUMMYFUNCTION("""COMPUTED_VALUE"""),"cas_hmw")</f>
        <v>cas_hmw</v>
      </c>
      <c r="B20793" s="5">
        <f>IFERROR(__xludf.DUMMYFUNCTION("""COMPUTED_VALUE"""),44783.0)</f>
        <v>44783</v>
      </c>
      <c r="C20793" s="6">
        <f>IFERROR(__xludf.DUMMYFUNCTION("""COMPUTED_VALUE"""),0.6985532407416031)</f>
        <v>0.6985532407</v>
      </c>
      <c r="D20793" s="4">
        <f>IFERROR(__xludf.DUMMYFUNCTION("""COMPUTED_VALUE"""),12.919209)</f>
        <v>12.919209</v>
      </c>
      <c r="E20793" s="4">
        <f>IFERROR(__xludf.DUMMYFUNCTION("""COMPUTED_VALUE"""),80.11004)</f>
        <v>80.11004</v>
      </c>
      <c r="F20793" s="4">
        <f>IFERROR(__xludf.DUMMYFUNCTION("""COMPUTED_VALUE"""),805.0)</f>
        <v>805</v>
      </c>
      <c r="G20793" s="4">
        <f>IFERROR(__xludf.DUMMYFUNCTION("""COMPUTED_VALUE"""),37.0)</f>
        <v>37</v>
      </c>
      <c r="H20793" s="4"/>
      <c r="I20793" s="4"/>
    </row>
    <row r="20794">
      <c r="A20794" s="4" t="str">
        <f>IFERROR(__xludf.DUMMYFUNCTION("""COMPUTED_VALUE"""),"cas_hmw")</f>
        <v>cas_hmw</v>
      </c>
      <c r="B20794" s="5">
        <f>IFERROR(__xludf.DUMMYFUNCTION("""COMPUTED_VALUE"""),44783.0)</f>
        <v>44783</v>
      </c>
      <c r="C20794" s="6">
        <f>IFERROR(__xludf.DUMMYFUNCTION("""COMPUTED_VALUE"""),0.6986574074071541)</f>
        <v>0.6986574074</v>
      </c>
      <c r="D20794" s="4">
        <f>IFERROR(__xludf.DUMMYFUNCTION("""COMPUTED_VALUE"""),12.918476)</f>
        <v>12.918476</v>
      </c>
      <c r="E20794" s="4">
        <f>IFERROR(__xludf.DUMMYFUNCTION("""COMPUTED_VALUE"""),80.109103)</f>
        <v>80.109103</v>
      </c>
      <c r="F20794" s="4">
        <f>IFERROR(__xludf.DUMMYFUNCTION("""COMPUTED_VALUE"""),5339.0)</f>
        <v>5339</v>
      </c>
      <c r="G20794" s="4">
        <f>IFERROR(__xludf.DUMMYFUNCTION("""COMPUTED_VALUE"""),41.0)</f>
        <v>41</v>
      </c>
      <c r="H20794" s="4"/>
      <c r="I20794" s="4"/>
    </row>
    <row r="20795">
      <c r="A20795" s="4" t="str">
        <f>IFERROR(__xludf.DUMMYFUNCTION("""COMPUTED_VALUE"""),"cas_hmw")</f>
        <v>cas_hmw</v>
      </c>
      <c r="B20795" s="5">
        <f>IFERROR(__xludf.DUMMYFUNCTION("""COMPUTED_VALUE"""),44783.0)</f>
        <v>44783</v>
      </c>
      <c r="C20795" s="6">
        <f>IFERROR(__xludf.DUMMYFUNCTION("""COMPUTED_VALUE"""),0.6993981481464289)</f>
        <v>0.6993981481</v>
      </c>
      <c r="D20795" s="4">
        <f>IFERROR(__xludf.DUMMYFUNCTION("""COMPUTED_VALUE"""),12.912233)</f>
        <v>12.912233</v>
      </c>
      <c r="E20795" s="4">
        <f>IFERROR(__xludf.DUMMYFUNCTION("""COMPUTED_VALUE"""),80.101418)</f>
        <v>80.101418</v>
      </c>
      <c r="F20795" s="4">
        <f>IFERROR(__xludf.DUMMYFUNCTION("""COMPUTED_VALUE"""),3143.0)</f>
        <v>3143</v>
      </c>
      <c r="G20795" s="4">
        <f>IFERROR(__xludf.DUMMYFUNCTION("""COMPUTED_VALUE"""),34.0)</f>
        <v>34</v>
      </c>
      <c r="H20795" s="4"/>
      <c r="I20795" s="4"/>
    </row>
    <row r="20796">
      <c r="A20796" s="4" t="str">
        <f>IFERROR(__xludf.DUMMYFUNCTION("""COMPUTED_VALUE"""),"cas_hmw")</f>
        <v>cas_hmw</v>
      </c>
      <c r="B20796" s="5">
        <f>IFERROR(__xludf.DUMMYFUNCTION("""COMPUTED_VALUE"""),44783.0)</f>
        <v>44783</v>
      </c>
      <c r="C20796" s="6">
        <f>IFERROR(__xludf.DUMMYFUNCTION("""COMPUTED_VALUE"""),0.700335648147302)</f>
        <v>0.7003356481</v>
      </c>
      <c r="D20796" s="4">
        <f>IFERROR(__xludf.DUMMYFUNCTION("""COMPUTED_VALUE"""),12.917002)</f>
        <v>12.917002</v>
      </c>
      <c r="E20796" s="4">
        <f>IFERROR(__xludf.DUMMYFUNCTION("""COMPUTED_VALUE"""),80.107098)</f>
        <v>80.107098</v>
      </c>
      <c r="F20796" s="4">
        <f>IFERROR(__xludf.DUMMYFUNCTION("""COMPUTED_VALUE"""),3143.0)</f>
        <v>3143</v>
      </c>
      <c r="G20796" s="4">
        <f>IFERROR(__xludf.DUMMYFUNCTION("""COMPUTED_VALUE"""),20.0)</f>
        <v>20</v>
      </c>
      <c r="H20796" s="4"/>
      <c r="I20796" s="4"/>
    </row>
    <row r="20797">
      <c r="A20797" s="4" t="str">
        <f>IFERROR(__xludf.DUMMYFUNCTION("""COMPUTED_VALUE"""),"cas_hmw")</f>
        <v>cas_hmw</v>
      </c>
      <c r="B20797" s="5">
        <f>IFERROR(__xludf.DUMMYFUNCTION("""COMPUTED_VALUE"""),44783.0)</f>
        <v>44783</v>
      </c>
      <c r="C20797" s="6">
        <f>IFERROR(__xludf.DUMMYFUNCTION("""COMPUTED_VALUE"""),0.7003819444435067)</f>
        <v>0.7003819444</v>
      </c>
      <c r="D20797" s="4">
        <f>IFERROR(__xludf.DUMMYFUNCTION("""COMPUTED_VALUE"""),12.917338)</f>
        <v>12.917338</v>
      </c>
      <c r="E20797" s="4">
        <f>IFERROR(__xludf.DUMMYFUNCTION("""COMPUTED_VALUE"""),80.107677)</f>
        <v>80.107677</v>
      </c>
      <c r="F20797" s="4">
        <f>IFERROR(__xludf.DUMMYFUNCTION("""COMPUTED_VALUE"""),3143.0)</f>
        <v>3143</v>
      </c>
      <c r="G20797" s="4">
        <f>IFERROR(__xludf.DUMMYFUNCTION("""COMPUTED_VALUE"""),29.0)</f>
        <v>29</v>
      </c>
      <c r="H20797" s="4"/>
      <c r="I20797" s="4"/>
    </row>
    <row r="20798">
      <c r="A20798" s="4" t="str">
        <f>IFERROR(__xludf.DUMMYFUNCTION("""COMPUTED_VALUE"""),"cas_hmw")</f>
        <v>cas_hmw</v>
      </c>
      <c r="B20798" s="5">
        <f>IFERROR(__xludf.DUMMYFUNCTION("""COMPUTED_VALUE"""),44783.0)</f>
        <v>44783</v>
      </c>
      <c r="C20798" s="6">
        <f>IFERROR(__xludf.DUMMYFUNCTION("""COMPUTED_VALUE"""),0.7004513888896327)</f>
        <v>0.7004513889</v>
      </c>
      <c r="D20798" s="4">
        <f>IFERROR(__xludf.DUMMYFUNCTION("""COMPUTED_VALUE"""),12.917338)</f>
        <v>12.917338</v>
      </c>
      <c r="E20798" s="4">
        <f>IFERROR(__xludf.DUMMYFUNCTION("""COMPUTED_VALUE"""),80.107677)</f>
        <v>80.107677</v>
      </c>
      <c r="F20798" s="4">
        <f>IFERROR(__xludf.DUMMYFUNCTION("""COMPUTED_VALUE"""),3143.0)</f>
        <v>3143</v>
      </c>
      <c r="G20798" s="4">
        <f>IFERROR(__xludf.DUMMYFUNCTION("""COMPUTED_VALUE"""),29.0)</f>
        <v>29</v>
      </c>
      <c r="H20798" s="4"/>
      <c r="I20798" s="4"/>
    </row>
    <row r="20799">
      <c r="A20799" s="4" t="str">
        <f>IFERROR(__xludf.DUMMYFUNCTION("""COMPUTED_VALUE"""),"cas_hmw")</f>
        <v>cas_hmw</v>
      </c>
      <c r="B20799" s="5">
        <f>IFERROR(__xludf.DUMMYFUNCTION("""COMPUTED_VALUE"""),44783.0)</f>
        <v>44783</v>
      </c>
      <c r="C20799" s="6">
        <f>IFERROR(__xludf.DUMMYFUNCTION("""COMPUTED_VALUE"""),0.7006597222207347)</f>
        <v>0.7006597222</v>
      </c>
      <c r="D20799" s="4">
        <f>IFERROR(__xludf.DUMMYFUNCTION("""COMPUTED_VALUE"""),12.91849)</f>
        <v>12.91849</v>
      </c>
      <c r="E20799" s="4">
        <f>IFERROR(__xludf.DUMMYFUNCTION("""COMPUTED_VALUE"""),80.109097)</f>
        <v>80.109097</v>
      </c>
      <c r="F20799" s="4">
        <f>IFERROR(__xludf.DUMMYFUNCTION("""COMPUTED_VALUE"""),3143.0)</f>
        <v>3143</v>
      </c>
      <c r="G20799" s="4">
        <f>IFERROR(__xludf.DUMMYFUNCTION("""COMPUTED_VALUE"""),47.0)</f>
        <v>47</v>
      </c>
      <c r="H20799" s="4"/>
      <c r="I20799" s="4"/>
    </row>
    <row r="20800">
      <c r="A20800" s="4" t="str">
        <f>IFERROR(__xludf.DUMMYFUNCTION("""COMPUTED_VALUE"""),"cas_hmw")</f>
        <v>cas_hmw</v>
      </c>
      <c r="B20800" s="5">
        <f>IFERROR(__xludf.DUMMYFUNCTION("""COMPUTED_VALUE"""),44783.0)</f>
        <v>44783</v>
      </c>
      <c r="C20800" s="6">
        <f>IFERROR(__xludf.DUMMYFUNCTION("""COMPUTED_VALUE"""),0.7021643518528435)</f>
        <v>0.7021643519</v>
      </c>
      <c r="D20800" s="4">
        <f>IFERROR(__xludf.DUMMYFUNCTION("""COMPUTED_VALUE"""),12.923672)</f>
        <v>12.923672</v>
      </c>
      <c r="E20800" s="4">
        <f>IFERROR(__xludf.DUMMYFUNCTION("""COMPUTED_VALUE"""),80.117499)</f>
        <v>80.117499</v>
      </c>
      <c r="F20800" s="4">
        <f>IFERROR(__xludf.DUMMYFUNCTION("""COMPUTED_VALUE"""),3143.0)</f>
        <v>3143</v>
      </c>
      <c r="G20800" s="4">
        <f>IFERROR(__xludf.DUMMYFUNCTION("""COMPUTED_VALUE"""),37.0)</f>
        <v>37</v>
      </c>
      <c r="H20800" s="4"/>
      <c r="I20800" s="4"/>
    </row>
    <row r="20801">
      <c r="A20801" s="4" t="str">
        <f>IFERROR(__xludf.DUMMYFUNCTION("""COMPUTED_VALUE"""),"cas_hmw")</f>
        <v>cas_hmw</v>
      </c>
      <c r="B20801" s="5">
        <f>IFERROR(__xludf.DUMMYFUNCTION("""COMPUTED_VALUE"""),44783.0)</f>
        <v>44783</v>
      </c>
      <c r="C20801" s="6">
        <f>IFERROR(__xludf.DUMMYFUNCTION("""COMPUTED_VALUE"""),0.7030439814807323)</f>
        <v>0.7030439815</v>
      </c>
      <c r="D20801" s="4">
        <f>IFERROR(__xludf.DUMMYFUNCTION("""COMPUTED_VALUE"""),12.77084)</f>
        <v>12.77084</v>
      </c>
      <c r="E20801" s="4">
        <f>IFERROR(__xludf.DUMMYFUNCTION("""COMPUTED_VALUE"""),80.007711)</f>
        <v>80.007711</v>
      </c>
      <c r="F20801" s="4">
        <f>IFERROR(__xludf.DUMMYFUNCTION("""COMPUTED_VALUE"""),2846.0)</f>
        <v>2846</v>
      </c>
      <c r="G20801" s="4">
        <f>IFERROR(__xludf.DUMMYFUNCTION("""COMPUTED_VALUE"""),58.0)</f>
        <v>58</v>
      </c>
      <c r="H20801" s="4"/>
      <c r="I20801" s="4"/>
    </row>
    <row r="20802">
      <c r="A20802" s="4" t="str">
        <f>IFERROR(__xludf.DUMMYFUNCTION("""COMPUTED_VALUE"""),"cas_hmw")</f>
        <v>cas_hmw</v>
      </c>
      <c r="B20802" s="5">
        <f>IFERROR(__xludf.DUMMYFUNCTION("""COMPUTED_VALUE"""),44783.0)</f>
        <v>44783</v>
      </c>
      <c r="C20802" s="6">
        <f>IFERROR(__xludf.DUMMYFUNCTION("""COMPUTED_VALUE"""),0.7034606481465744)</f>
        <v>0.7034606481</v>
      </c>
      <c r="D20802" s="4">
        <f>IFERROR(__xludf.DUMMYFUNCTION("""COMPUTED_VALUE"""),12.766695)</f>
        <v>12.766695</v>
      </c>
      <c r="E20802" s="4">
        <f>IFERROR(__xludf.DUMMYFUNCTION("""COMPUTED_VALUE"""),80.0057)</f>
        <v>80.0057</v>
      </c>
      <c r="F20802" s="4">
        <f>IFERROR(__xludf.DUMMYFUNCTION("""COMPUTED_VALUE"""),2846.0)</f>
        <v>2846</v>
      </c>
      <c r="G20802" s="4">
        <f>IFERROR(__xludf.DUMMYFUNCTION("""COMPUTED_VALUE"""),52.0)</f>
        <v>52</v>
      </c>
      <c r="H20802" s="4"/>
      <c r="I20802" s="4"/>
    </row>
    <row r="20803">
      <c r="A20803" s="4" t="str">
        <f>IFERROR(__xludf.DUMMYFUNCTION("""COMPUTED_VALUE"""),"cas_hmw")</f>
        <v>cas_hmw</v>
      </c>
      <c r="B20803" s="5">
        <f>IFERROR(__xludf.DUMMYFUNCTION("""COMPUTED_VALUE"""),44783.0)</f>
        <v>44783</v>
      </c>
      <c r="C20803" s="6">
        <f>IFERROR(__xludf.DUMMYFUNCTION("""COMPUTED_VALUE"""),0.7039814814816054)</f>
        <v>0.7039814815</v>
      </c>
      <c r="D20803" s="4">
        <f>IFERROR(__xludf.DUMMYFUNCTION("""COMPUTED_VALUE"""),12.92299)</f>
        <v>12.92299</v>
      </c>
      <c r="E20803" s="4">
        <f>IFERROR(__xludf.DUMMYFUNCTION("""COMPUTED_VALUE"""),80.125901)</f>
        <v>80.125901</v>
      </c>
      <c r="F20803" s="4">
        <f>IFERROR(__xludf.DUMMYFUNCTION("""COMPUTED_VALUE"""),3143.0)</f>
        <v>3143</v>
      </c>
      <c r="G20803" s="4">
        <f>IFERROR(__xludf.DUMMYFUNCTION("""COMPUTED_VALUE"""),21.0)</f>
        <v>21</v>
      </c>
      <c r="H20803" s="4"/>
      <c r="I20803" s="4"/>
    </row>
    <row r="20804">
      <c r="A20804" s="4" t="str">
        <f>IFERROR(__xludf.DUMMYFUNCTION("""COMPUTED_VALUE"""),"cas_hmw")</f>
        <v>cas_hmw</v>
      </c>
      <c r="B20804" s="5">
        <f>IFERROR(__xludf.DUMMYFUNCTION("""COMPUTED_VALUE"""),44783.0)</f>
        <v>44783</v>
      </c>
      <c r="C20804" s="6">
        <f>IFERROR(__xludf.DUMMYFUNCTION("""COMPUTED_VALUE"""),0.7049189814824786)</f>
        <v>0.7049189815</v>
      </c>
      <c r="D20804" s="4">
        <f>IFERROR(__xludf.DUMMYFUNCTION("""COMPUTED_VALUE"""),12.933206)</f>
        <v>12.933206</v>
      </c>
      <c r="E20804" s="4">
        <f>IFERROR(__xludf.DUMMYFUNCTION("""COMPUTED_VALUE"""),80.124332)</f>
        <v>80.124332</v>
      </c>
      <c r="F20804" s="4">
        <f>IFERROR(__xludf.DUMMYFUNCTION("""COMPUTED_VALUE"""),805.0)</f>
        <v>805</v>
      </c>
      <c r="G20804" s="4">
        <f>IFERROR(__xludf.DUMMYFUNCTION("""COMPUTED_VALUE"""),56.0)</f>
        <v>56</v>
      </c>
      <c r="H20804" s="4"/>
      <c r="I20804" s="4"/>
    </row>
    <row r="20805">
      <c r="A20805" s="4" t="str">
        <f>IFERROR(__xludf.DUMMYFUNCTION("""COMPUTED_VALUE"""),"cas_hmw")</f>
        <v>cas_hmw</v>
      </c>
      <c r="B20805" s="5">
        <f>IFERROR(__xludf.DUMMYFUNCTION("""COMPUTED_VALUE"""),44783.0)</f>
        <v>44783</v>
      </c>
      <c r="C20805" s="6">
        <f>IFERROR(__xludf.DUMMYFUNCTION("""COMPUTED_VALUE"""),0.7049421296287619)</f>
        <v>0.7049421296</v>
      </c>
      <c r="D20805" s="4">
        <f>IFERROR(__xludf.DUMMYFUNCTION("""COMPUTED_VALUE"""),12.934269)</f>
        <v>12.934269</v>
      </c>
      <c r="E20805" s="4">
        <f>IFERROR(__xludf.DUMMYFUNCTION("""COMPUTED_VALUE"""),80.125343)</f>
        <v>80.125343</v>
      </c>
      <c r="F20805" s="4">
        <f>IFERROR(__xludf.DUMMYFUNCTION("""COMPUTED_VALUE"""),805.0)</f>
        <v>805</v>
      </c>
      <c r="G20805" s="4">
        <f>IFERROR(__xludf.DUMMYFUNCTION("""COMPUTED_VALUE"""),51.0)</f>
        <v>51</v>
      </c>
      <c r="H20805" s="4"/>
      <c r="I20805" s="4"/>
    </row>
    <row r="20806">
      <c r="A20806" s="4" t="str">
        <f>IFERROR(__xludf.DUMMYFUNCTION("""COMPUTED_VALUE"""),"cas_hmw")</f>
        <v>cas_hmw</v>
      </c>
      <c r="B20806" s="5">
        <f>IFERROR(__xludf.DUMMYFUNCTION("""COMPUTED_VALUE"""),44783.0)</f>
        <v>44783</v>
      </c>
      <c r="C20806" s="6">
        <f>IFERROR(__xludf.DUMMYFUNCTION("""COMPUTED_VALUE"""),0.7054513888906513)</f>
        <v>0.7054513889</v>
      </c>
      <c r="D20806" s="4">
        <f>IFERROR(__xludf.DUMMYFUNCTION("""COMPUTED_VALUE"""),12.754605)</f>
        <v>12.754605</v>
      </c>
      <c r="E20806" s="4">
        <f>IFERROR(__xludf.DUMMYFUNCTION("""COMPUTED_VALUE"""),80.001143)</f>
        <v>80.001143</v>
      </c>
      <c r="F20806" s="4">
        <f>IFERROR(__xludf.DUMMYFUNCTION("""COMPUTED_VALUE"""),2846.0)</f>
        <v>2846</v>
      </c>
      <c r="G20806" s="4">
        <f>IFERROR(__xludf.DUMMYFUNCTION("""COMPUTED_VALUE"""),58.0)</f>
        <v>58</v>
      </c>
      <c r="H20806" s="4"/>
      <c r="I20806" s="4"/>
    </row>
    <row r="20807">
      <c r="A20807" s="4" t="str">
        <f>IFERROR(__xludf.DUMMYFUNCTION("""COMPUTED_VALUE"""),"cas_hmw")</f>
        <v>cas_hmw</v>
      </c>
      <c r="B20807" s="5">
        <f>IFERROR(__xludf.DUMMYFUNCTION("""COMPUTED_VALUE"""),44783.0)</f>
        <v>44783</v>
      </c>
      <c r="C20807" s="6">
        <f>IFERROR(__xludf.DUMMYFUNCTION("""COMPUTED_VALUE"""),0.705601851852407)</f>
        <v>0.7056018519</v>
      </c>
      <c r="D20807" s="4">
        <f>IFERROR(__xludf.DUMMYFUNCTION("""COMPUTED_VALUE"""),12.935821)</f>
        <v>12.935821</v>
      </c>
      <c r="E20807" s="4">
        <f>IFERROR(__xludf.DUMMYFUNCTION("""COMPUTED_VALUE"""),80.126745)</f>
        <v>80.126745</v>
      </c>
      <c r="F20807" s="4">
        <f>IFERROR(__xludf.DUMMYFUNCTION("""COMPUTED_VALUE"""),805.0)</f>
        <v>805</v>
      </c>
      <c r="G20807" s="4">
        <f>IFERROR(__xludf.DUMMYFUNCTION("""COMPUTED_VALUE"""),15.0)</f>
        <v>15</v>
      </c>
      <c r="H20807" s="4"/>
      <c r="I20807" s="4"/>
    </row>
    <row r="20808">
      <c r="A20808" s="4" t="str">
        <f>IFERROR(__xludf.DUMMYFUNCTION("""COMPUTED_VALUE"""),"cas_hmw")</f>
        <v>cas_hmw</v>
      </c>
      <c r="B20808" s="5">
        <f>IFERROR(__xludf.DUMMYFUNCTION("""COMPUTED_VALUE"""),44783.0)</f>
        <v>44783</v>
      </c>
      <c r="C20808" s="6">
        <f>IFERROR(__xludf.DUMMYFUNCTION("""COMPUTED_VALUE"""),0.705601851852407)</f>
        <v>0.7056018519</v>
      </c>
      <c r="D20808" s="4">
        <f>IFERROR(__xludf.DUMMYFUNCTION("""COMPUTED_VALUE"""),12.935821)</f>
        <v>12.935821</v>
      </c>
      <c r="E20808" s="4">
        <f>IFERROR(__xludf.DUMMYFUNCTION("""COMPUTED_VALUE"""),80.126745)</f>
        <v>80.126745</v>
      </c>
      <c r="F20808" s="4">
        <f>IFERROR(__xludf.DUMMYFUNCTION("""COMPUTED_VALUE"""),805.0)</f>
        <v>805</v>
      </c>
      <c r="G20808" s="4">
        <f>IFERROR(__xludf.DUMMYFUNCTION("""COMPUTED_VALUE"""),15.0)</f>
        <v>15</v>
      </c>
      <c r="H20808" s="4"/>
      <c r="I20808" s="4"/>
    </row>
    <row r="20809">
      <c r="A20809" s="4" t="str">
        <f>IFERROR(__xludf.DUMMYFUNCTION("""COMPUTED_VALUE"""),"cas_hmw")</f>
        <v>cas_hmw</v>
      </c>
      <c r="B20809" s="5">
        <f>IFERROR(__xludf.DUMMYFUNCTION("""COMPUTED_VALUE"""),44783.0)</f>
        <v>44783</v>
      </c>
      <c r="C20809" s="6">
        <f>IFERROR(__xludf.DUMMYFUNCTION("""COMPUTED_VALUE"""),0.7057870370372257)</f>
        <v>0.705787037</v>
      </c>
      <c r="D20809" s="4">
        <f>IFERROR(__xludf.DUMMYFUNCTION("""COMPUTED_VALUE"""),12.936717)</f>
        <v>12.936717</v>
      </c>
      <c r="E20809" s="4">
        <f>IFERROR(__xludf.DUMMYFUNCTION("""COMPUTED_VALUE"""),80.127545)</f>
        <v>80.127545</v>
      </c>
      <c r="F20809" s="4">
        <f>IFERROR(__xludf.DUMMYFUNCTION("""COMPUTED_VALUE"""),805.0)</f>
        <v>805</v>
      </c>
      <c r="G20809" s="4">
        <f>IFERROR(__xludf.DUMMYFUNCTION("""COMPUTED_VALUE"""),32.0)</f>
        <v>32</v>
      </c>
      <c r="H20809" s="4"/>
      <c r="I20809" s="4"/>
    </row>
    <row r="20810">
      <c r="A20810" s="4" t="str">
        <f>IFERROR(__xludf.DUMMYFUNCTION("""COMPUTED_VALUE"""),"cas_hmw")</f>
        <v>cas_hmw</v>
      </c>
      <c r="B20810" s="5">
        <f>IFERROR(__xludf.DUMMYFUNCTION("""COMPUTED_VALUE"""),44783.0)</f>
        <v>44783</v>
      </c>
      <c r="C20810" s="6">
        <f>IFERROR(__xludf.DUMMYFUNCTION("""COMPUTED_VALUE"""),0.705983796295186)</f>
        <v>0.7059837963</v>
      </c>
      <c r="D20810" s="4">
        <f>IFERROR(__xludf.DUMMYFUNCTION("""COMPUTED_VALUE"""),12.938355)</f>
        <v>12.938355</v>
      </c>
      <c r="E20810" s="4">
        <f>IFERROR(__xludf.DUMMYFUNCTION("""COMPUTED_VALUE"""),80.129013)</f>
        <v>80.129013</v>
      </c>
      <c r="F20810" s="4">
        <f>IFERROR(__xludf.DUMMYFUNCTION("""COMPUTED_VALUE"""),805.0)</f>
        <v>805</v>
      </c>
      <c r="G20810" s="4">
        <f>IFERROR(__xludf.DUMMYFUNCTION("""COMPUTED_VALUE"""),52.0)</f>
        <v>52</v>
      </c>
      <c r="H20810" s="4"/>
      <c r="I20810" s="4"/>
    </row>
    <row r="20811">
      <c r="A20811" s="4" t="str">
        <f>IFERROR(__xludf.DUMMYFUNCTION("""COMPUTED_VALUE"""),"cas_hmw")</f>
        <v>cas_hmw</v>
      </c>
      <c r="B20811" s="5">
        <f>IFERROR(__xludf.DUMMYFUNCTION("""COMPUTED_VALUE"""),44783.0)</f>
        <v>44783</v>
      </c>
      <c r="C20811" s="6">
        <f>IFERROR(__xludf.DUMMYFUNCTION("""COMPUTED_VALUE"""),0.7060763888875954)</f>
        <v>0.7060763889</v>
      </c>
      <c r="D20811" s="4">
        <f>IFERROR(__xludf.DUMMYFUNCTION("""COMPUTED_VALUE"""),12.938355)</f>
        <v>12.938355</v>
      </c>
      <c r="E20811" s="4">
        <f>IFERROR(__xludf.DUMMYFUNCTION("""COMPUTED_VALUE"""),80.129013)</f>
        <v>80.129013</v>
      </c>
      <c r="F20811" s="4">
        <f>IFERROR(__xludf.DUMMYFUNCTION("""COMPUTED_VALUE"""),805.0)</f>
        <v>805</v>
      </c>
      <c r="G20811" s="4">
        <f>IFERROR(__xludf.DUMMYFUNCTION("""COMPUTED_VALUE"""),52.0)</f>
        <v>52</v>
      </c>
      <c r="H20811" s="4"/>
      <c r="I20811" s="4"/>
    </row>
    <row r="20812">
      <c r="A20812" s="4" t="str">
        <f>IFERROR(__xludf.DUMMYFUNCTION("""COMPUTED_VALUE"""),"cas_hmw")</f>
        <v>cas_hmw</v>
      </c>
      <c r="B20812" s="5">
        <f>IFERROR(__xludf.DUMMYFUNCTION("""COMPUTED_VALUE"""),44783.0)</f>
        <v>44783</v>
      </c>
      <c r="C20812" s="6">
        <f>IFERROR(__xludf.DUMMYFUNCTION("""COMPUTED_VALUE"""),0.7062037037030677)</f>
        <v>0.7062037037</v>
      </c>
      <c r="D20812" s="4">
        <f>IFERROR(__xludf.DUMMYFUNCTION("""COMPUTED_VALUE"""),12.940314)</f>
        <v>12.940314</v>
      </c>
      <c r="E20812" s="4">
        <f>IFERROR(__xludf.DUMMYFUNCTION("""COMPUTED_VALUE"""),80.13081)</f>
        <v>80.13081</v>
      </c>
      <c r="F20812" s="4">
        <f>IFERROR(__xludf.DUMMYFUNCTION("""COMPUTED_VALUE"""),805.0)</f>
        <v>805</v>
      </c>
      <c r="G20812" s="4">
        <f>IFERROR(__xludf.DUMMYFUNCTION("""COMPUTED_VALUE"""),56.0)</f>
        <v>56</v>
      </c>
      <c r="H20812" s="4"/>
      <c r="I20812" s="4"/>
    </row>
    <row r="20813">
      <c r="A20813" s="4" t="str">
        <f>IFERROR(__xludf.DUMMYFUNCTION("""COMPUTED_VALUE"""),"cas_hmw")</f>
        <v>cas_hmw</v>
      </c>
      <c r="B20813" s="5">
        <f>IFERROR(__xludf.DUMMYFUNCTION("""COMPUTED_VALUE"""),44783.0)</f>
        <v>44783</v>
      </c>
      <c r="C20813" s="6">
        <f>IFERROR(__xludf.DUMMYFUNCTION("""COMPUTED_VALUE"""),0.7064351851840911)</f>
        <v>0.7064351852</v>
      </c>
      <c r="D20813" s="4">
        <f>IFERROR(__xludf.DUMMYFUNCTION("""COMPUTED_VALUE"""),12.942256)</f>
        <v>12.942256</v>
      </c>
      <c r="E20813" s="4">
        <f>IFERROR(__xludf.DUMMYFUNCTION("""COMPUTED_VALUE"""),80.132744)</f>
        <v>80.132744</v>
      </c>
      <c r="F20813" s="4">
        <f>IFERROR(__xludf.DUMMYFUNCTION("""COMPUTED_VALUE"""),805.0)</f>
        <v>805</v>
      </c>
      <c r="G20813" s="4">
        <f>IFERROR(__xludf.DUMMYFUNCTION("""COMPUTED_VALUE"""),45.0)</f>
        <v>45</v>
      </c>
      <c r="H20813" s="4"/>
      <c r="I20813" s="4"/>
    </row>
    <row r="20814">
      <c r="A20814" s="4" t="str">
        <f>IFERROR(__xludf.DUMMYFUNCTION("""COMPUTED_VALUE"""),"cas_hmw")</f>
        <v>cas_hmw</v>
      </c>
      <c r="B20814" s="5">
        <f>IFERROR(__xludf.DUMMYFUNCTION("""COMPUTED_VALUE"""),44783.0)</f>
        <v>44783</v>
      </c>
      <c r="C20814" s="6">
        <f>IFERROR(__xludf.DUMMYFUNCTION("""COMPUTED_VALUE"""),0.7067129629613191)</f>
        <v>0.706712963</v>
      </c>
      <c r="D20814" s="4">
        <f>IFERROR(__xludf.DUMMYFUNCTION("""COMPUTED_VALUE"""),12.943804)</f>
        <v>12.943804</v>
      </c>
      <c r="E20814" s="4">
        <f>IFERROR(__xludf.DUMMYFUNCTION("""COMPUTED_VALUE"""),80.134361)</f>
        <v>80.134361</v>
      </c>
      <c r="F20814" s="4">
        <f>IFERROR(__xludf.DUMMYFUNCTION("""COMPUTED_VALUE"""),805.0)</f>
        <v>805</v>
      </c>
      <c r="G20814" s="4">
        <f>IFERROR(__xludf.DUMMYFUNCTION("""COMPUTED_VALUE"""),48.0)</f>
        <v>48</v>
      </c>
      <c r="H20814" s="4"/>
      <c r="I20814" s="4"/>
    </row>
    <row r="20815">
      <c r="A20815" s="4" t="str">
        <f>IFERROR(__xludf.DUMMYFUNCTION("""COMPUTED_VALUE"""),"cas_hmw")</f>
        <v>cas_hmw</v>
      </c>
      <c r="B20815" s="5">
        <f>IFERROR(__xludf.DUMMYFUNCTION("""COMPUTED_VALUE"""),44783.0)</f>
        <v>44783</v>
      </c>
      <c r="C20815" s="6">
        <f>IFERROR(__xludf.DUMMYFUNCTION("""COMPUTED_VALUE"""),0.7075694444429246)</f>
        <v>0.7075694444</v>
      </c>
      <c r="D20815" s="4">
        <f>IFERROR(__xludf.DUMMYFUNCTION("""COMPUTED_VALUE"""),12.950216)</f>
        <v>12.950216</v>
      </c>
      <c r="E20815" s="4">
        <f>IFERROR(__xludf.DUMMYFUNCTION("""COMPUTED_VALUE"""),80.139254)</f>
        <v>80.139254</v>
      </c>
      <c r="F20815" s="4">
        <f>IFERROR(__xludf.DUMMYFUNCTION("""COMPUTED_VALUE"""),805.0)</f>
        <v>805</v>
      </c>
      <c r="G20815" s="4">
        <f>IFERROR(__xludf.DUMMYFUNCTION("""COMPUTED_VALUE"""),24.0)</f>
        <v>24</v>
      </c>
      <c r="H20815" s="4"/>
      <c r="I20815" s="4"/>
    </row>
    <row r="20816">
      <c r="A20816" s="4" t="str">
        <f>IFERROR(__xludf.DUMMYFUNCTION("""COMPUTED_VALUE"""),"cas_hmw")</f>
        <v>cas_hmw</v>
      </c>
      <c r="B20816" s="5">
        <f>IFERROR(__xludf.DUMMYFUNCTION("""COMPUTED_VALUE"""),44783.0)</f>
        <v>44783</v>
      </c>
      <c r="C20816" s="6">
        <f>IFERROR(__xludf.DUMMYFUNCTION("""COMPUTED_VALUE"""),0.7075694444429246)</f>
        <v>0.7075694444</v>
      </c>
      <c r="D20816" s="4">
        <f>IFERROR(__xludf.DUMMYFUNCTION("""COMPUTED_VALUE"""),12.950216)</f>
        <v>12.950216</v>
      </c>
      <c r="E20816" s="4">
        <f>IFERROR(__xludf.DUMMYFUNCTION("""COMPUTED_VALUE"""),80.139254)</f>
        <v>80.139254</v>
      </c>
      <c r="F20816" s="4">
        <f>IFERROR(__xludf.DUMMYFUNCTION("""COMPUTED_VALUE"""),805.0)</f>
        <v>805</v>
      </c>
      <c r="G20816" s="4">
        <f>IFERROR(__xludf.DUMMYFUNCTION("""COMPUTED_VALUE"""),24.0)</f>
        <v>24</v>
      </c>
      <c r="H20816" s="4"/>
      <c r="I20816" s="4"/>
    </row>
    <row r="20817">
      <c r="A20817" s="4" t="str">
        <f>IFERROR(__xludf.DUMMYFUNCTION("""COMPUTED_VALUE"""),"cas_hmw")</f>
        <v>cas_hmw</v>
      </c>
      <c r="B20817" s="5">
        <f>IFERROR(__xludf.DUMMYFUNCTION("""COMPUTED_VALUE"""),44783.0)</f>
        <v>44783</v>
      </c>
      <c r="C20817" s="6">
        <f>IFERROR(__xludf.DUMMYFUNCTION("""COMPUTED_VALUE"""),0.7076273148159089)</f>
        <v>0.7076273148</v>
      </c>
      <c r="D20817" s="4">
        <f>IFERROR(__xludf.DUMMYFUNCTION("""COMPUTED_VALUE"""),12.950687)</f>
        <v>12.950687</v>
      </c>
      <c r="E20817" s="4">
        <f>IFERROR(__xludf.DUMMYFUNCTION("""COMPUTED_VALUE"""),80.139598)</f>
        <v>80.139598</v>
      </c>
      <c r="F20817" s="4">
        <f>IFERROR(__xludf.DUMMYFUNCTION("""COMPUTED_VALUE"""),805.0)</f>
        <v>805</v>
      </c>
      <c r="G20817" s="4">
        <f>IFERROR(__xludf.DUMMYFUNCTION("""COMPUTED_VALUE"""),27.0)</f>
        <v>27</v>
      </c>
      <c r="H20817" s="4"/>
      <c r="I20817" s="4"/>
    </row>
    <row r="20818">
      <c r="A20818" s="4" t="str">
        <f>IFERROR(__xludf.DUMMYFUNCTION("""COMPUTED_VALUE"""),"cas_hmw")</f>
        <v>cas_hmw</v>
      </c>
      <c r="B20818" s="5">
        <f>IFERROR(__xludf.DUMMYFUNCTION("""COMPUTED_VALUE"""),44783.0)</f>
        <v>44783</v>
      </c>
      <c r="C20818" s="6">
        <f>IFERROR(__xludf.DUMMYFUNCTION("""COMPUTED_VALUE"""),0.7076388888890506)</f>
        <v>0.7076388889</v>
      </c>
      <c r="D20818" s="4">
        <f>IFERROR(__xludf.DUMMYFUNCTION("""COMPUTED_VALUE"""),12.950687)</f>
        <v>12.950687</v>
      </c>
      <c r="E20818" s="4">
        <f>IFERROR(__xludf.DUMMYFUNCTION("""COMPUTED_VALUE"""),80.139598)</f>
        <v>80.139598</v>
      </c>
      <c r="F20818" s="4">
        <f>IFERROR(__xludf.DUMMYFUNCTION("""COMPUTED_VALUE"""),805.0)</f>
        <v>805</v>
      </c>
      <c r="G20818" s="4">
        <f>IFERROR(__xludf.DUMMYFUNCTION("""COMPUTED_VALUE"""),27.0)</f>
        <v>27</v>
      </c>
      <c r="H20818" s="4"/>
      <c r="I20818" s="4"/>
    </row>
    <row r="20819">
      <c r="A20819" s="4" t="str">
        <f>IFERROR(__xludf.DUMMYFUNCTION("""COMPUTED_VALUE"""),"cas_hmw")</f>
        <v>cas_hmw</v>
      </c>
      <c r="B20819" s="5">
        <f>IFERROR(__xludf.DUMMYFUNCTION("""COMPUTED_VALUE"""),44783.0)</f>
        <v>44783</v>
      </c>
      <c r="C20819" s="6">
        <f>IFERROR(__xludf.DUMMYFUNCTION("""COMPUTED_VALUE"""),0.708495370370656)</f>
        <v>0.7084953704</v>
      </c>
      <c r="D20819" s="4">
        <f>IFERROR(__xludf.DUMMYFUNCTION("""COMPUTED_VALUE"""),12.922525)</f>
        <v>12.922525</v>
      </c>
      <c r="E20819" s="4">
        <f>IFERROR(__xludf.DUMMYFUNCTION("""COMPUTED_VALUE"""),80.144624)</f>
        <v>80.144624</v>
      </c>
      <c r="F20819" s="4">
        <f>IFERROR(__xludf.DUMMYFUNCTION("""COMPUTED_VALUE"""),3143.0)</f>
        <v>3143</v>
      </c>
      <c r="G20819" s="4">
        <f>IFERROR(__xludf.DUMMYFUNCTION("""COMPUTED_VALUE"""),40.0)</f>
        <v>40</v>
      </c>
      <c r="H20819" s="4"/>
      <c r="I20819" s="4"/>
    </row>
    <row r="20820">
      <c r="A20820" s="4" t="str">
        <f>IFERROR(__xludf.DUMMYFUNCTION("""COMPUTED_VALUE"""),"cas_hmw")</f>
        <v>cas_hmw</v>
      </c>
      <c r="B20820" s="5">
        <f>IFERROR(__xludf.DUMMYFUNCTION("""COMPUTED_VALUE"""),44783.0)</f>
        <v>44783</v>
      </c>
      <c r="C20820" s="6">
        <f>IFERROR(__xludf.DUMMYFUNCTION("""COMPUTED_VALUE"""),0.7085763888899237)</f>
        <v>0.7085763889</v>
      </c>
      <c r="D20820" s="4">
        <f>IFERROR(__xludf.DUMMYFUNCTION("""COMPUTED_VALUE"""),12.922621)</f>
        <v>12.922621</v>
      </c>
      <c r="E20820" s="4">
        <f>IFERROR(__xludf.DUMMYFUNCTION("""COMPUTED_VALUE"""),80.146528)</f>
        <v>80.146528</v>
      </c>
      <c r="F20820" s="4">
        <f>IFERROR(__xludf.DUMMYFUNCTION("""COMPUTED_VALUE"""),3143.0)</f>
        <v>3143</v>
      </c>
      <c r="G20820" s="4">
        <f>IFERROR(__xludf.DUMMYFUNCTION("""COMPUTED_VALUE"""),36.0)</f>
        <v>36</v>
      </c>
      <c r="H20820" s="4"/>
      <c r="I20820" s="4"/>
    </row>
    <row r="20821">
      <c r="A20821" s="4" t="str">
        <f>IFERROR(__xludf.DUMMYFUNCTION("""COMPUTED_VALUE"""),"cas_hmw")</f>
        <v>cas_hmw</v>
      </c>
      <c r="B20821" s="5">
        <f>IFERROR(__xludf.DUMMYFUNCTION("""COMPUTED_VALUE"""),44783.0)</f>
        <v>44783</v>
      </c>
      <c r="C20821" s="6">
        <f>IFERROR(__xludf.DUMMYFUNCTION("""COMPUTED_VALUE"""),0.70863425925927)</f>
        <v>0.7086342593</v>
      </c>
      <c r="D20821" s="4">
        <f>IFERROR(__xludf.DUMMYFUNCTION("""COMPUTED_VALUE"""),12.948703)</f>
        <v>12.948703</v>
      </c>
      <c r="E20821" s="4">
        <f>IFERROR(__xludf.DUMMYFUNCTION("""COMPUTED_VALUE"""),80.138029)</f>
        <v>80.138029</v>
      </c>
      <c r="F20821" s="4">
        <f>IFERROR(__xludf.DUMMYFUNCTION("""COMPUTED_VALUE"""),5339.0)</f>
        <v>5339</v>
      </c>
      <c r="G20821" s="4">
        <f>IFERROR(__xludf.DUMMYFUNCTION("""COMPUTED_VALUE"""),46.0)</f>
        <v>46</v>
      </c>
      <c r="H20821" s="4"/>
      <c r="I20821" s="4"/>
    </row>
    <row r="20822">
      <c r="A20822" s="4" t="str">
        <f>IFERROR(__xludf.DUMMYFUNCTION("""COMPUTED_VALUE"""),"cas_hmw")</f>
        <v>cas_hmw</v>
      </c>
      <c r="B20822" s="5">
        <f>IFERROR(__xludf.DUMMYFUNCTION("""COMPUTED_VALUE"""),44783.0)</f>
        <v>44783</v>
      </c>
      <c r="C20822" s="6">
        <f>IFERROR(__xludf.DUMMYFUNCTION("""COMPUTED_VALUE"""),0.708668981482333)</f>
        <v>0.7086689815</v>
      </c>
      <c r="D20822" s="4">
        <f>IFERROR(__xludf.DUMMYFUNCTION("""COMPUTED_VALUE"""),12.948703)</f>
        <v>12.948703</v>
      </c>
      <c r="E20822" s="4">
        <f>IFERROR(__xludf.DUMMYFUNCTION("""COMPUTED_VALUE"""),80.138029)</f>
        <v>80.138029</v>
      </c>
      <c r="F20822" s="4">
        <f>IFERROR(__xludf.DUMMYFUNCTION("""COMPUTED_VALUE"""),5339.0)</f>
        <v>5339</v>
      </c>
      <c r="G20822" s="4">
        <f>IFERROR(__xludf.DUMMYFUNCTION("""COMPUTED_VALUE"""),46.0)</f>
        <v>46</v>
      </c>
      <c r="H20822" s="4"/>
      <c r="I20822" s="4"/>
    </row>
    <row r="20823">
      <c r="A20823" s="4" t="str">
        <f>IFERROR(__xludf.DUMMYFUNCTION("""COMPUTED_VALUE"""),"cas_hmw")</f>
        <v>cas_hmw</v>
      </c>
      <c r="B20823" s="5">
        <f>IFERROR(__xludf.DUMMYFUNCTION("""COMPUTED_VALUE"""),44783.0)</f>
        <v>44783</v>
      </c>
      <c r="C20823" s="6">
        <f>IFERROR(__xludf.DUMMYFUNCTION("""COMPUTED_VALUE"""),0.7087152777785377)</f>
        <v>0.7087152778</v>
      </c>
      <c r="D20823" s="4">
        <f>IFERROR(__xludf.DUMMYFUNCTION("""COMPUTED_VALUE"""),12.950095)</f>
        <v>12.950095</v>
      </c>
      <c r="E20823" s="4">
        <f>IFERROR(__xludf.DUMMYFUNCTION("""COMPUTED_VALUE"""),80.139198)</f>
        <v>80.139198</v>
      </c>
      <c r="F20823" s="4">
        <f>IFERROR(__xludf.DUMMYFUNCTION("""COMPUTED_VALUE"""),5339.0)</f>
        <v>5339</v>
      </c>
      <c r="G20823" s="4">
        <f>IFERROR(__xludf.DUMMYFUNCTION("""COMPUTED_VALUE"""),32.0)</f>
        <v>32</v>
      </c>
      <c r="H20823" s="4"/>
      <c r="I20823" s="4"/>
    </row>
    <row r="20824">
      <c r="A20824" s="4" t="str">
        <f>IFERROR(__xludf.DUMMYFUNCTION("""COMPUTED_VALUE"""),"cas_hmw")</f>
        <v>cas_hmw</v>
      </c>
      <c r="B20824" s="5">
        <f>IFERROR(__xludf.DUMMYFUNCTION("""COMPUTED_VALUE"""),44783.0)</f>
        <v>44783</v>
      </c>
      <c r="C20824" s="6">
        <f>IFERROR(__xludf.DUMMYFUNCTION("""COMPUTED_VALUE"""),0.7087268518516794)</f>
        <v>0.7087268519</v>
      </c>
      <c r="D20824" s="4">
        <f>IFERROR(__xludf.DUMMYFUNCTION("""COMPUTED_VALUE"""),12.950095)</f>
        <v>12.950095</v>
      </c>
      <c r="E20824" s="4">
        <f>IFERROR(__xludf.DUMMYFUNCTION("""COMPUTED_VALUE"""),80.139198)</f>
        <v>80.139198</v>
      </c>
      <c r="F20824" s="4">
        <f>IFERROR(__xludf.DUMMYFUNCTION("""COMPUTED_VALUE"""),5339.0)</f>
        <v>5339</v>
      </c>
      <c r="G20824" s="4">
        <f>IFERROR(__xludf.DUMMYFUNCTION("""COMPUTED_VALUE"""),32.0)</f>
        <v>32</v>
      </c>
      <c r="H20824" s="4"/>
      <c r="I20824" s="4"/>
    </row>
    <row r="20825">
      <c r="A20825" s="4" t="str">
        <f>IFERROR(__xludf.DUMMYFUNCTION("""COMPUTED_VALUE"""),"cas_hmw")</f>
        <v>cas_hmw</v>
      </c>
      <c r="B20825" s="5">
        <f>IFERROR(__xludf.DUMMYFUNCTION("""COMPUTED_VALUE"""),44783.0)</f>
        <v>44783</v>
      </c>
      <c r="C20825" s="6">
        <f>IFERROR(__xludf.DUMMYFUNCTION("""COMPUTED_VALUE"""),0.7087384259248211)</f>
        <v>0.7087384259</v>
      </c>
      <c r="D20825" s="4">
        <f>IFERROR(__xludf.DUMMYFUNCTION("""COMPUTED_VALUE"""),12.950095)</f>
        <v>12.950095</v>
      </c>
      <c r="E20825" s="4">
        <f>IFERROR(__xludf.DUMMYFUNCTION("""COMPUTED_VALUE"""),80.139198)</f>
        <v>80.139198</v>
      </c>
      <c r="F20825" s="4">
        <f>IFERROR(__xludf.DUMMYFUNCTION("""COMPUTED_VALUE"""),5339.0)</f>
        <v>5339</v>
      </c>
      <c r="G20825" s="4">
        <f>IFERROR(__xludf.DUMMYFUNCTION("""COMPUTED_VALUE"""),32.0)</f>
        <v>32</v>
      </c>
      <c r="H20825" s="4"/>
      <c r="I20825" s="4"/>
    </row>
    <row r="20826">
      <c r="A20826" s="4" t="str">
        <f>IFERROR(__xludf.DUMMYFUNCTION("""COMPUTED_VALUE"""),"cas_hmw")</f>
        <v>cas_hmw</v>
      </c>
      <c r="B20826" s="5">
        <f>IFERROR(__xludf.DUMMYFUNCTION("""COMPUTED_VALUE"""),44783.0)</f>
        <v>44783</v>
      </c>
      <c r="C20826" s="6">
        <f>IFERROR(__xludf.DUMMYFUNCTION("""COMPUTED_VALUE"""),0.7099537037029222)</f>
        <v>0.7099537037</v>
      </c>
      <c r="D20826" s="4">
        <f>IFERROR(__xludf.DUMMYFUNCTION("""COMPUTED_VALUE"""),12.956788)</f>
        <v>12.956788</v>
      </c>
      <c r="E20826" s="4">
        <f>IFERROR(__xludf.DUMMYFUNCTION("""COMPUTED_VALUE"""),80.143381)</f>
        <v>80.143381</v>
      </c>
      <c r="F20826" s="4">
        <f>IFERROR(__xludf.DUMMYFUNCTION("""COMPUTED_VALUE"""),805.0)</f>
        <v>805</v>
      </c>
      <c r="G20826" s="4">
        <f>IFERROR(__xludf.DUMMYFUNCTION("""COMPUTED_VALUE"""),32.0)</f>
        <v>32</v>
      </c>
      <c r="H20826" s="4"/>
      <c r="I20826" s="4"/>
    </row>
    <row r="20827">
      <c r="A20827" s="4" t="str">
        <f>IFERROR(__xludf.DUMMYFUNCTION("""COMPUTED_VALUE"""),"cas_hmw")</f>
        <v>cas_hmw</v>
      </c>
      <c r="B20827" s="5">
        <f>IFERROR(__xludf.DUMMYFUNCTION("""COMPUTED_VALUE"""),44783.0)</f>
        <v>44783</v>
      </c>
      <c r="C20827" s="6">
        <f>IFERROR(__xludf.DUMMYFUNCTION("""COMPUTED_VALUE"""),0.7100347222221899)</f>
        <v>0.7100347222</v>
      </c>
      <c r="D20827" s="4">
        <f>IFERROR(__xludf.DUMMYFUNCTION("""COMPUTED_VALUE"""),12.956788)</f>
        <v>12.956788</v>
      </c>
      <c r="E20827" s="4">
        <f>IFERROR(__xludf.DUMMYFUNCTION("""COMPUTED_VALUE"""),80.143381)</f>
        <v>80.143381</v>
      </c>
      <c r="F20827" s="4">
        <f>IFERROR(__xludf.DUMMYFUNCTION("""COMPUTED_VALUE"""),805.0)</f>
        <v>805</v>
      </c>
      <c r="G20827" s="4">
        <f>IFERROR(__xludf.DUMMYFUNCTION("""COMPUTED_VALUE"""),32.0)</f>
        <v>32</v>
      </c>
      <c r="H20827" s="4"/>
      <c r="I20827" s="4"/>
    </row>
    <row r="20828">
      <c r="A20828" s="4" t="str">
        <f>IFERROR(__xludf.DUMMYFUNCTION("""COMPUTED_VALUE"""),"cas_hmw")</f>
        <v>cas_hmw</v>
      </c>
      <c r="B20828" s="5">
        <f>IFERROR(__xludf.DUMMYFUNCTION("""COMPUTED_VALUE"""),44783.0)</f>
        <v>44783</v>
      </c>
      <c r="C20828" s="6">
        <f>IFERROR(__xludf.DUMMYFUNCTION("""COMPUTED_VALUE"""),0.7100462962953316)</f>
        <v>0.7100462963</v>
      </c>
      <c r="D20828" s="4">
        <f>IFERROR(__xludf.DUMMYFUNCTION("""COMPUTED_VALUE"""),12.957626)</f>
        <v>12.957626</v>
      </c>
      <c r="E20828" s="4">
        <f>IFERROR(__xludf.DUMMYFUNCTION("""COMPUTED_VALUE"""),80.143836)</f>
        <v>80.143836</v>
      </c>
      <c r="F20828" s="4">
        <f>IFERROR(__xludf.DUMMYFUNCTION("""COMPUTED_VALUE"""),805.0)</f>
        <v>805</v>
      </c>
      <c r="G20828" s="4">
        <f>IFERROR(__xludf.DUMMYFUNCTION("""COMPUTED_VALUE"""),39.0)</f>
        <v>39</v>
      </c>
      <c r="H20828" s="4"/>
      <c r="I20828" s="4"/>
    </row>
    <row r="20829">
      <c r="A20829" s="4" t="str">
        <f>IFERROR(__xludf.DUMMYFUNCTION("""COMPUTED_VALUE"""),"cas_hmw")</f>
        <v>cas_hmw</v>
      </c>
      <c r="B20829" s="5">
        <f>IFERROR(__xludf.DUMMYFUNCTION("""COMPUTED_VALUE"""),44783.0)</f>
        <v>44783</v>
      </c>
      <c r="C20829" s="6">
        <f>IFERROR(__xludf.DUMMYFUNCTION("""COMPUTED_VALUE"""),0.7101967592607252)</f>
        <v>0.7101967593</v>
      </c>
      <c r="D20829" s="4">
        <f>IFERROR(__xludf.DUMMYFUNCTION("""COMPUTED_VALUE"""),12.95838)</f>
        <v>12.95838</v>
      </c>
      <c r="E20829" s="4">
        <f>IFERROR(__xludf.DUMMYFUNCTION("""COMPUTED_VALUE"""),80.144173)</f>
        <v>80.144173</v>
      </c>
      <c r="F20829" s="4">
        <f>IFERROR(__xludf.DUMMYFUNCTION("""COMPUTED_VALUE"""),805.0)</f>
        <v>805</v>
      </c>
      <c r="G20829" s="4">
        <f>IFERROR(__xludf.DUMMYFUNCTION("""COMPUTED_VALUE"""),27.0)</f>
        <v>27</v>
      </c>
      <c r="H20829" s="4"/>
      <c r="I20829" s="4"/>
    </row>
    <row r="20830">
      <c r="A20830" s="4" t="str">
        <f>IFERROR(__xludf.DUMMYFUNCTION("""COMPUTED_VALUE"""),"cas_hmw")</f>
        <v>cas_hmw</v>
      </c>
      <c r="B20830" s="5">
        <f>IFERROR(__xludf.DUMMYFUNCTION("""COMPUTED_VALUE"""),44783.0)</f>
        <v>44783</v>
      </c>
      <c r="C20830" s="6">
        <f>IFERROR(__xludf.DUMMYFUNCTION("""COMPUTED_VALUE"""),0.7101967592607252)</f>
        <v>0.7101967593</v>
      </c>
      <c r="D20830" s="4">
        <f>IFERROR(__xludf.DUMMYFUNCTION("""COMPUTED_VALUE"""),12.955771)</f>
        <v>12.955771</v>
      </c>
      <c r="E20830" s="4">
        <f>IFERROR(__xludf.DUMMYFUNCTION("""COMPUTED_VALUE"""),80.142878)</f>
        <v>80.142878</v>
      </c>
      <c r="F20830" s="4">
        <f>IFERROR(__xludf.DUMMYFUNCTION("""COMPUTED_VALUE"""),5339.0)</f>
        <v>5339</v>
      </c>
      <c r="G20830" s="4">
        <f>IFERROR(__xludf.DUMMYFUNCTION("""COMPUTED_VALUE"""),10.0)</f>
        <v>10</v>
      </c>
      <c r="H20830" s="4"/>
      <c r="I20830" s="4"/>
    </row>
    <row r="20831">
      <c r="A20831" s="4" t="str">
        <f>IFERROR(__xludf.DUMMYFUNCTION("""COMPUTED_VALUE"""),"cas_hmw")</f>
        <v>cas_hmw</v>
      </c>
      <c r="B20831" s="5">
        <f>IFERROR(__xludf.DUMMYFUNCTION("""COMPUTED_VALUE"""),44783.0)</f>
        <v>44783</v>
      </c>
      <c r="C20831" s="6">
        <f>IFERROR(__xludf.DUMMYFUNCTION("""COMPUTED_VALUE"""),0.7102199074070086)</f>
        <v>0.7102199074</v>
      </c>
      <c r="D20831" s="4">
        <f>IFERROR(__xludf.DUMMYFUNCTION("""COMPUTED_VALUE"""),12.955771)</f>
        <v>12.955771</v>
      </c>
      <c r="E20831" s="4">
        <f>IFERROR(__xludf.DUMMYFUNCTION("""COMPUTED_VALUE"""),80.142878)</f>
        <v>80.142878</v>
      </c>
      <c r="F20831" s="4">
        <f>IFERROR(__xludf.DUMMYFUNCTION("""COMPUTED_VALUE"""),5339.0)</f>
        <v>5339</v>
      </c>
      <c r="G20831" s="4">
        <f>IFERROR(__xludf.DUMMYFUNCTION("""COMPUTED_VALUE"""),10.0)</f>
        <v>10</v>
      </c>
      <c r="H20831" s="4"/>
      <c r="I20831" s="4"/>
    </row>
    <row r="20832">
      <c r="A20832" s="4" t="str">
        <f>IFERROR(__xludf.DUMMYFUNCTION("""COMPUTED_VALUE"""),"cas_hmw")</f>
        <v>cas_hmw</v>
      </c>
      <c r="B20832" s="5">
        <f>IFERROR(__xludf.DUMMYFUNCTION("""COMPUTED_VALUE"""),44783.0)</f>
        <v>44783</v>
      </c>
      <c r="C20832" s="6">
        <f>IFERROR(__xludf.DUMMYFUNCTION("""COMPUTED_VALUE"""),0.7103240740725596)</f>
        <v>0.7103240741</v>
      </c>
      <c r="D20832" s="4">
        <f>IFERROR(__xludf.DUMMYFUNCTION("""COMPUTED_VALUE"""),12.956434)</f>
        <v>12.956434</v>
      </c>
      <c r="E20832" s="4">
        <f>IFERROR(__xludf.DUMMYFUNCTION("""COMPUTED_VALUE"""),80.143255)</f>
        <v>80.143255</v>
      </c>
      <c r="F20832" s="4">
        <f>IFERROR(__xludf.DUMMYFUNCTION("""COMPUTED_VALUE"""),5339.0)</f>
        <v>5339</v>
      </c>
      <c r="G20832" s="4">
        <f>IFERROR(__xludf.DUMMYFUNCTION("""COMPUTED_VALUE"""),27.0)</f>
        <v>27</v>
      </c>
      <c r="H20832" s="4"/>
      <c r="I20832" s="4"/>
    </row>
    <row r="20833">
      <c r="A20833" s="4" t="str">
        <f>IFERROR(__xludf.DUMMYFUNCTION("""COMPUTED_VALUE"""),"cas_hmw")</f>
        <v>cas_hmw</v>
      </c>
      <c r="B20833" s="5">
        <f>IFERROR(__xludf.DUMMYFUNCTION("""COMPUTED_VALUE"""),44783.0)</f>
        <v>44783</v>
      </c>
      <c r="C20833" s="6">
        <f>IFERROR(__xludf.DUMMYFUNCTION("""COMPUTED_VALUE"""),0.7104282407417486)</f>
        <v>0.7104282407</v>
      </c>
      <c r="D20833" s="4">
        <f>IFERROR(__xludf.DUMMYFUNCTION("""COMPUTED_VALUE"""),12.956434)</f>
        <v>12.956434</v>
      </c>
      <c r="E20833" s="4">
        <f>IFERROR(__xludf.DUMMYFUNCTION("""COMPUTED_VALUE"""),80.143255)</f>
        <v>80.143255</v>
      </c>
      <c r="F20833" s="4">
        <f>IFERROR(__xludf.DUMMYFUNCTION("""COMPUTED_VALUE"""),5339.0)</f>
        <v>5339</v>
      </c>
      <c r="G20833" s="4">
        <f>IFERROR(__xludf.DUMMYFUNCTION("""COMPUTED_VALUE"""),27.0)</f>
        <v>27</v>
      </c>
      <c r="H20833" s="4"/>
      <c r="I20833" s="4"/>
    </row>
    <row r="20834">
      <c r="A20834" s="4" t="str">
        <f>IFERROR(__xludf.DUMMYFUNCTION("""COMPUTED_VALUE"""),"cas_hmw")</f>
        <v>cas_hmw</v>
      </c>
      <c r="B20834" s="5">
        <f>IFERROR(__xludf.DUMMYFUNCTION("""COMPUTED_VALUE"""),44783.0)</f>
        <v>44783</v>
      </c>
      <c r="C20834" s="6">
        <f>IFERROR(__xludf.DUMMYFUNCTION("""COMPUTED_VALUE"""),0.7105092592610163)</f>
        <v>0.7105092593</v>
      </c>
      <c r="D20834" s="4">
        <f>IFERROR(__xludf.DUMMYFUNCTION("""COMPUTED_VALUE"""),12.923706)</f>
        <v>12.923706</v>
      </c>
      <c r="E20834" s="4">
        <f>IFERROR(__xludf.DUMMYFUNCTION("""COMPUTED_VALUE"""),80.155899)</f>
        <v>80.155899</v>
      </c>
      <c r="F20834" s="4">
        <f>IFERROR(__xludf.DUMMYFUNCTION("""COMPUTED_VALUE"""),3143.0)</f>
        <v>3143</v>
      </c>
      <c r="G20834" s="4">
        <f>IFERROR(__xludf.DUMMYFUNCTION("""COMPUTED_VALUE"""),35.0)</f>
        <v>35</v>
      </c>
      <c r="H20834" s="4"/>
      <c r="I20834" s="4"/>
    </row>
    <row r="20835">
      <c r="A20835" s="4" t="str">
        <f>IFERROR(__xludf.DUMMYFUNCTION("""COMPUTED_VALUE"""),"cas_hmw")</f>
        <v>cas_hmw</v>
      </c>
      <c r="B20835" s="5">
        <f>IFERROR(__xludf.DUMMYFUNCTION("""COMPUTED_VALUE"""),44783.0)</f>
        <v>44783</v>
      </c>
      <c r="C20835" s="6">
        <f>IFERROR(__xludf.DUMMYFUNCTION("""COMPUTED_VALUE"""),0.710763888888323)</f>
        <v>0.7107638889</v>
      </c>
      <c r="D20835" s="4">
        <f>IFERROR(__xludf.DUMMYFUNCTION("""COMPUTED_VALUE"""),12.92342)</f>
        <v>12.92342</v>
      </c>
      <c r="E20835" s="4">
        <f>IFERROR(__xludf.DUMMYFUNCTION("""COMPUTED_VALUE"""),80.159417)</f>
        <v>80.159417</v>
      </c>
      <c r="F20835" s="4">
        <f>IFERROR(__xludf.DUMMYFUNCTION("""COMPUTED_VALUE"""),3143.0)</f>
        <v>3143</v>
      </c>
      <c r="G20835" s="4">
        <f>IFERROR(__xludf.DUMMYFUNCTION("""COMPUTED_VALUE"""),45.0)</f>
        <v>45</v>
      </c>
      <c r="H20835" s="4"/>
      <c r="I20835" s="4"/>
    </row>
    <row r="20836">
      <c r="A20836" s="4" t="str">
        <f>IFERROR(__xludf.DUMMYFUNCTION("""COMPUTED_VALUE"""),"cas_hmw")</f>
        <v>cas_hmw</v>
      </c>
      <c r="B20836" s="5">
        <f>IFERROR(__xludf.DUMMYFUNCTION("""COMPUTED_VALUE"""),44783.0)</f>
        <v>44783</v>
      </c>
      <c r="C20836" s="6">
        <f>IFERROR(__xludf.DUMMYFUNCTION("""COMPUTED_VALUE"""),0.7107870370382443)</f>
        <v>0.710787037</v>
      </c>
      <c r="D20836" s="4">
        <f>IFERROR(__xludf.DUMMYFUNCTION("""COMPUTED_VALUE"""),12.712408)</f>
        <v>12.712408</v>
      </c>
      <c r="E20836" s="4">
        <f>IFERROR(__xludf.DUMMYFUNCTION("""COMPUTED_VALUE"""),79.97963)</f>
        <v>79.97963</v>
      </c>
      <c r="F20836" s="4">
        <f>IFERROR(__xludf.DUMMYFUNCTION("""COMPUTED_VALUE"""),2846.0)</f>
        <v>2846</v>
      </c>
      <c r="G20836" s="4">
        <f>IFERROR(__xludf.DUMMYFUNCTION("""COMPUTED_VALUE"""),43.0)</f>
        <v>43</v>
      </c>
      <c r="H20836" s="4"/>
      <c r="I20836" s="4"/>
    </row>
    <row r="20837">
      <c r="A20837" s="4" t="str">
        <f>IFERROR(__xludf.DUMMYFUNCTION("""COMPUTED_VALUE"""),"cas_hmw")</f>
        <v>cas_hmw</v>
      </c>
      <c r="B20837" s="5">
        <f>IFERROR(__xludf.DUMMYFUNCTION("""COMPUTED_VALUE"""),44783.0)</f>
        <v>44783</v>
      </c>
      <c r="C20837" s="6">
        <f>IFERROR(__xludf.DUMMYFUNCTION("""COMPUTED_VALUE"""),0.7110300925924093)</f>
        <v>0.7110300926</v>
      </c>
      <c r="D20837" s="4">
        <f>IFERROR(__xludf.DUMMYFUNCTION("""COMPUTED_VALUE"""),12.923159)</f>
        <v>12.923159</v>
      </c>
      <c r="E20837" s="4">
        <f>IFERROR(__xludf.DUMMYFUNCTION("""COMPUTED_VALUE"""),80.160748)</f>
        <v>80.160748</v>
      </c>
      <c r="F20837" s="4">
        <f>IFERROR(__xludf.DUMMYFUNCTION("""COMPUTED_VALUE"""),3143.0)</f>
        <v>3143</v>
      </c>
      <c r="G20837" s="4">
        <f>IFERROR(__xludf.DUMMYFUNCTION("""COMPUTED_VALUE"""),27.0)</f>
        <v>27</v>
      </c>
      <c r="H20837" s="4"/>
      <c r="I20837" s="4"/>
    </row>
    <row r="20838">
      <c r="A20838" s="4" t="str">
        <f>IFERROR(__xludf.DUMMYFUNCTION("""COMPUTED_VALUE"""),"cas_hmw")</f>
        <v>cas_hmw</v>
      </c>
      <c r="B20838" s="5">
        <f>IFERROR(__xludf.DUMMYFUNCTION("""COMPUTED_VALUE"""),44783.0)</f>
        <v>44783</v>
      </c>
      <c r="C20838" s="6">
        <f>IFERROR(__xludf.DUMMYFUNCTION("""COMPUTED_VALUE"""),0.7112615740734327)</f>
        <v>0.7112615741</v>
      </c>
      <c r="D20838" s="4">
        <f>IFERROR(__xludf.DUMMYFUNCTION("""COMPUTED_VALUE"""),12.92273)</f>
        <v>12.92273</v>
      </c>
      <c r="E20838" s="4">
        <f>IFERROR(__xludf.DUMMYFUNCTION("""COMPUTED_VALUE"""),80.162117)</f>
        <v>80.162117</v>
      </c>
      <c r="F20838" s="4">
        <f>IFERROR(__xludf.DUMMYFUNCTION("""COMPUTED_VALUE"""),3143.0)</f>
        <v>3143</v>
      </c>
      <c r="G20838" s="4">
        <f>IFERROR(__xludf.DUMMYFUNCTION("""COMPUTED_VALUE"""),43.0)</f>
        <v>43</v>
      </c>
      <c r="H20838" s="4"/>
      <c r="I20838" s="4"/>
    </row>
    <row r="20839">
      <c r="A20839" s="4" t="str">
        <f>IFERROR(__xludf.DUMMYFUNCTION("""COMPUTED_VALUE"""),"cas_hmw")</f>
        <v>cas_hmw</v>
      </c>
      <c r="B20839" s="5">
        <f>IFERROR(__xludf.DUMMYFUNCTION("""COMPUTED_VALUE"""),44783.0)</f>
        <v>44783</v>
      </c>
      <c r="C20839" s="6">
        <f>IFERROR(__xludf.DUMMYFUNCTION("""COMPUTED_VALUE"""),0.7114236111119681)</f>
        <v>0.7114236111</v>
      </c>
      <c r="D20839" s="4">
        <f>IFERROR(__xludf.DUMMYFUNCTION("""COMPUTED_VALUE"""),12.9637)</f>
        <v>12.9637</v>
      </c>
      <c r="E20839" s="4">
        <f>IFERROR(__xludf.DUMMYFUNCTION("""COMPUTED_VALUE"""),80.147057)</f>
        <v>80.147057</v>
      </c>
      <c r="F20839" s="4">
        <f>IFERROR(__xludf.DUMMYFUNCTION("""COMPUTED_VALUE"""),805.0)</f>
        <v>805</v>
      </c>
      <c r="G20839" s="4">
        <f>IFERROR(__xludf.DUMMYFUNCTION("""COMPUTED_VALUE"""),29.0)</f>
        <v>29</v>
      </c>
      <c r="H20839" s="4"/>
      <c r="I20839" s="4"/>
    </row>
    <row r="20840">
      <c r="A20840" s="4" t="str">
        <f>IFERROR(__xludf.DUMMYFUNCTION("""COMPUTED_VALUE"""),"cas_hmw")</f>
        <v>cas_hmw</v>
      </c>
      <c r="B20840" s="5">
        <f>IFERROR(__xludf.DUMMYFUNCTION("""COMPUTED_VALUE"""),44783.0)</f>
        <v>44783</v>
      </c>
      <c r="C20840" s="6">
        <f>IFERROR(__xludf.DUMMYFUNCTION("""COMPUTED_VALUE"""),0.7114351851851097)</f>
        <v>0.7114351852</v>
      </c>
      <c r="D20840" s="4">
        <f>IFERROR(__xludf.DUMMYFUNCTION("""COMPUTED_VALUE"""),12.9637)</f>
        <v>12.9637</v>
      </c>
      <c r="E20840" s="4">
        <f>IFERROR(__xludf.DUMMYFUNCTION("""COMPUTED_VALUE"""),80.147057)</f>
        <v>80.147057</v>
      </c>
      <c r="F20840" s="4">
        <f>IFERROR(__xludf.DUMMYFUNCTION("""COMPUTED_VALUE"""),805.0)</f>
        <v>805</v>
      </c>
      <c r="G20840" s="4">
        <f>IFERROR(__xludf.DUMMYFUNCTION("""COMPUTED_VALUE"""),29.0)</f>
        <v>29</v>
      </c>
      <c r="H20840" s="4"/>
      <c r="I20840" s="4"/>
    </row>
    <row r="20841">
      <c r="A20841" s="4" t="str">
        <f>IFERROR(__xludf.DUMMYFUNCTION("""COMPUTED_VALUE"""),"cas_hmw")</f>
        <v>cas_hmw</v>
      </c>
      <c r="B20841" s="5">
        <f>IFERROR(__xludf.DUMMYFUNCTION("""COMPUTED_VALUE"""),44783.0)</f>
        <v>44783</v>
      </c>
      <c r="C20841" s="6">
        <f>IFERROR(__xludf.DUMMYFUNCTION("""COMPUTED_VALUE"""),0.7115277777775191)</f>
        <v>0.7115277778</v>
      </c>
      <c r="D20841" s="4">
        <f>IFERROR(__xludf.DUMMYFUNCTION("""COMPUTED_VALUE"""),12.921595)</f>
        <v>12.921595</v>
      </c>
      <c r="E20841" s="4">
        <f>IFERROR(__xludf.DUMMYFUNCTION("""COMPUTED_VALUE"""),80.165618)</f>
        <v>80.165618</v>
      </c>
      <c r="F20841" s="4">
        <f>IFERROR(__xludf.DUMMYFUNCTION("""COMPUTED_VALUE"""),3143.0)</f>
        <v>3143</v>
      </c>
      <c r="G20841" s="4">
        <f>IFERROR(__xludf.DUMMYFUNCTION("""COMPUTED_VALUE"""),47.0)</f>
        <v>47</v>
      </c>
      <c r="H20841" s="4"/>
      <c r="I20841" s="4"/>
    </row>
    <row r="20842">
      <c r="A20842" s="4" t="str">
        <f>IFERROR(__xludf.DUMMYFUNCTION("""COMPUTED_VALUE"""),"cas_hmw")</f>
        <v>cas_hmw</v>
      </c>
      <c r="B20842" s="5">
        <f>IFERROR(__xludf.DUMMYFUNCTION("""COMPUTED_VALUE"""),44783.0)</f>
        <v>44783</v>
      </c>
      <c r="C20842" s="6">
        <f>IFERROR(__xludf.DUMMYFUNCTION("""COMPUTED_VALUE"""),0.7116898148160544)</f>
        <v>0.7116898148</v>
      </c>
      <c r="D20842" s="4">
        <f>IFERROR(__xludf.DUMMYFUNCTION("""COMPUTED_VALUE"""),12.703814)</f>
        <v>12.703814</v>
      </c>
      <c r="E20842" s="4">
        <f>IFERROR(__xludf.DUMMYFUNCTION("""COMPUTED_VALUE"""),79.972431)</f>
        <v>79.972431</v>
      </c>
      <c r="F20842" s="4">
        <f>IFERROR(__xludf.DUMMYFUNCTION("""COMPUTED_VALUE"""),2846.0)</f>
        <v>2846</v>
      </c>
      <c r="G20842" s="4">
        <f>IFERROR(__xludf.DUMMYFUNCTION("""COMPUTED_VALUE"""),47.0)</f>
        <v>47</v>
      </c>
      <c r="H20842" s="4"/>
      <c r="I20842" s="4"/>
    </row>
    <row r="20843">
      <c r="A20843" s="4" t="str">
        <f>IFERROR(__xludf.DUMMYFUNCTION("""COMPUTED_VALUE"""),"cas_hmw")</f>
        <v>cas_hmw</v>
      </c>
      <c r="B20843" s="5">
        <f>IFERROR(__xludf.DUMMYFUNCTION("""COMPUTED_VALUE"""),44783.0)</f>
        <v>44783</v>
      </c>
      <c r="C20843" s="6">
        <f>IFERROR(__xludf.DUMMYFUNCTION("""COMPUTED_VALUE"""),0.7119328703702195)</f>
        <v>0.7119328704</v>
      </c>
      <c r="D20843" s="4">
        <f>IFERROR(__xludf.DUMMYFUNCTION("""COMPUTED_VALUE"""),12.963218)</f>
        <v>12.963218</v>
      </c>
      <c r="E20843" s="4">
        <f>IFERROR(__xludf.DUMMYFUNCTION("""COMPUTED_VALUE"""),80.146744)</f>
        <v>80.146744</v>
      </c>
      <c r="F20843" s="4">
        <f>IFERROR(__xludf.DUMMYFUNCTION("""COMPUTED_VALUE"""),5339.0)</f>
        <v>5339</v>
      </c>
      <c r="G20843" s="4">
        <f>IFERROR(__xludf.DUMMYFUNCTION("""COMPUTED_VALUE"""),39.0)</f>
        <v>39</v>
      </c>
      <c r="H20843" s="4"/>
      <c r="I20843" s="4"/>
    </row>
    <row r="20844">
      <c r="A20844" s="4" t="str">
        <f>IFERROR(__xludf.DUMMYFUNCTION("""COMPUTED_VALUE"""),"cas_hmw")</f>
        <v>cas_hmw</v>
      </c>
      <c r="B20844" s="5">
        <f>IFERROR(__xludf.DUMMYFUNCTION("""COMPUTED_VALUE"""),44783.0)</f>
        <v>44783</v>
      </c>
      <c r="C20844" s="6">
        <f>IFERROR(__xludf.DUMMYFUNCTION("""COMPUTED_VALUE"""),0.7126851851862739)</f>
        <v>0.7126851852</v>
      </c>
      <c r="D20844" s="4">
        <f>IFERROR(__xludf.DUMMYFUNCTION("""COMPUTED_VALUE"""),12.974829)</f>
        <v>12.974829</v>
      </c>
      <c r="E20844" s="4">
        <f>IFERROR(__xludf.DUMMYFUNCTION("""COMPUTED_VALUE"""),80.155328)</f>
        <v>80.155328</v>
      </c>
      <c r="F20844" s="4">
        <f>IFERROR(__xludf.DUMMYFUNCTION("""COMPUTED_VALUE"""),805.0)</f>
        <v>805</v>
      </c>
      <c r="G20844" s="4">
        <f>IFERROR(__xludf.DUMMYFUNCTION("""COMPUTED_VALUE"""),58.0)</f>
        <v>58</v>
      </c>
      <c r="H20844" s="4"/>
      <c r="I20844" s="4"/>
    </row>
    <row r="20845">
      <c r="A20845" s="4" t="str">
        <f>IFERROR(__xludf.DUMMYFUNCTION("""COMPUTED_VALUE"""),"cas_hmw")</f>
        <v>cas_hmw</v>
      </c>
      <c r="B20845" s="5">
        <f>IFERROR(__xludf.DUMMYFUNCTION("""COMPUTED_VALUE"""),44783.0)</f>
        <v>44783</v>
      </c>
      <c r="C20845" s="6">
        <f>IFERROR(__xludf.DUMMYFUNCTION("""COMPUTED_VALUE"""),0.7128356481480296)</f>
        <v>0.7128356481</v>
      </c>
      <c r="D20845" s="4">
        <f>IFERROR(__xludf.DUMMYFUNCTION("""COMPUTED_VALUE"""),12.975657)</f>
        <v>12.975657</v>
      </c>
      <c r="E20845" s="4">
        <f>IFERROR(__xludf.DUMMYFUNCTION("""COMPUTED_VALUE"""),80.156465)</f>
        <v>80.156465</v>
      </c>
      <c r="F20845" s="4">
        <f>IFERROR(__xludf.DUMMYFUNCTION("""COMPUTED_VALUE"""),805.0)</f>
        <v>805</v>
      </c>
      <c r="G20845" s="4">
        <f>IFERROR(__xludf.DUMMYFUNCTION("""COMPUTED_VALUE"""),51.0)</f>
        <v>51</v>
      </c>
      <c r="H20845" s="4"/>
      <c r="I20845" s="4"/>
    </row>
    <row r="20846">
      <c r="A20846" s="4" t="str">
        <f>IFERROR(__xludf.DUMMYFUNCTION("""COMPUTED_VALUE"""),"cas_hmw")</f>
        <v>cas_hmw</v>
      </c>
      <c r="B20846" s="5">
        <f>IFERROR(__xludf.DUMMYFUNCTION("""COMPUTED_VALUE"""),44783.0)</f>
        <v>44783</v>
      </c>
      <c r="C20846" s="6">
        <f>IFERROR(__xludf.DUMMYFUNCTION("""COMPUTED_VALUE"""),0.7131481481483206)</f>
        <v>0.7131481481</v>
      </c>
      <c r="D20846" s="4">
        <f>IFERROR(__xludf.DUMMYFUNCTION("""COMPUTED_VALUE"""),12.973942)</f>
        <v>12.973942</v>
      </c>
      <c r="E20846" s="4">
        <f>IFERROR(__xludf.DUMMYFUNCTION("""COMPUTED_VALUE"""),80.154062)</f>
        <v>80.154062</v>
      </c>
      <c r="F20846" s="4">
        <f>IFERROR(__xludf.DUMMYFUNCTION("""COMPUTED_VALUE"""),5339.0)</f>
        <v>5339</v>
      </c>
      <c r="G20846" s="4">
        <f>IFERROR(__xludf.DUMMYFUNCTION("""COMPUTED_VALUE"""),55.0)</f>
        <v>55</v>
      </c>
      <c r="H20846" s="4"/>
      <c r="I20846" s="4"/>
    </row>
    <row r="20847">
      <c r="A20847" s="4" t="str">
        <f>IFERROR(__xludf.DUMMYFUNCTION("""COMPUTED_VALUE"""),"cas_hmw")</f>
        <v>cas_hmw</v>
      </c>
      <c r="B20847" s="5">
        <f>IFERROR(__xludf.DUMMYFUNCTION("""COMPUTED_VALUE"""),44783.0)</f>
        <v>44783</v>
      </c>
      <c r="C20847" s="6">
        <f>IFERROR(__xludf.DUMMYFUNCTION("""COMPUTED_VALUE"""),0.7156365740738693)</f>
        <v>0.7156365741</v>
      </c>
      <c r="D20847" s="4">
        <f>IFERROR(__xludf.DUMMYFUNCTION("""COMPUTED_VALUE"""),12.98707)</f>
        <v>12.98707</v>
      </c>
      <c r="E20847" s="4">
        <f>IFERROR(__xludf.DUMMYFUNCTION("""COMPUTED_VALUE"""),80.175559)</f>
        <v>80.175559</v>
      </c>
      <c r="F20847" s="4">
        <f>IFERROR(__xludf.DUMMYFUNCTION("""COMPUTED_VALUE"""),805.0)</f>
        <v>805</v>
      </c>
      <c r="G20847" s="4">
        <f>IFERROR(__xludf.DUMMYFUNCTION("""COMPUTED_VALUE"""),44.0)</f>
        <v>44</v>
      </c>
      <c r="H20847" s="4"/>
      <c r="I20847" s="4"/>
    </row>
    <row r="20848">
      <c r="A20848" s="4" t="str">
        <f>IFERROR(__xludf.DUMMYFUNCTION("""COMPUTED_VALUE"""),"cas_hmw")</f>
        <v>cas_hmw</v>
      </c>
      <c r="B20848" s="5">
        <f>IFERROR(__xludf.DUMMYFUNCTION("""COMPUTED_VALUE"""),44783.0)</f>
        <v>44783</v>
      </c>
      <c r="C20848" s="6">
        <f>IFERROR(__xludf.DUMMYFUNCTION("""COMPUTED_VALUE"""),0.715787037035625)</f>
        <v>0.715787037</v>
      </c>
      <c r="D20848" s="4">
        <f>IFERROR(__xludf.DUMMYFUNCTION("""COMPUTED_VALUE"""),12.925921)</f>
        <v>12.925921</v>
      </c>
      <c r="E20848" s="4">
        <f>IFERROR(__xludf.DUMMYFUNCTION("""COMPUTED_VALUE"""),80.182572)</f>
        <v>80.182572</v>
      </c>
      <c r="F20848" s="4">
        <f>IFERROR(__xludf.DUMMYFUNCTION("""COMPUTED_VALUE"""),3143.0)</f>
        <v>3143</v>
      </c>
      <c r="G20848" s="4">
        <f>IFERROR(__xludf.DUMMYFUNCTION("""COMPUTED_VALUE"""),24.0)</f>
        <v>24</v>
      </c>
      <c r="H20848" s="4"/>
      <c r="I20848" s="4"/>
    </row>
    <row r="20849">
      <c r="A20849" s="4" t="str">
        <f>IFERROR(__xludf.DUMMYFUNCTION("""COMPUTED_VALUE"""),"cas_hmw")</f>
        <v>cas_hmw</v>
      </c>
      <c r="B20849" s="5">
        <f>IFERROR(__xludf.DUMMYFUNCTION("""COMPUTED_VALUE"""),44783.0)</f>
        <v>44783</v>
      </c>
      <c r="C20849" s="6">
        <f>IFERROR(__xludf.DUMMYFUNCTION("""COMPUTED_VALUE"""),0.7157986111124046)</f>
        <v>0.7157986111</v>
      </c>
      <c r="D20849" s="4">
        <f>IFERROR(__xludf.DUMMYFUNCTION("""COMPUTED_VALUE"""),12.925921)</f>
        <v>12.925921</v>
      </c>
      <c r="E20849" s="4">
        <f>IFERROR(__xludf.DUMMYFUNCTION("""COMPUTED_VALUE"""),80.182572)</f>
        <v>80.182572</v>
      </c>
      <c r="F20849" s="4">
        <f>IFERROR(__xludf.DUMMYFUNCTION("""COMPUTED_VALUE"""),3143.0)</f>
        <v>3143</v>
      </c>
      <c r="G20849" s="4">
        <f>IFERROR(__xludf.DUMMYFUNCTION("""COMPUTED_VALUE"""),24.0)</f>
        <v>24</v>
      </c>
      <c r="H20849" s="4"/>
      <c r="I20849" s="4"/>
    </row>
    <row r="20850">
      <c r="A20850" s="4" t="str">
        <f>IFERROR(__xludf.DUMMYFUNCTION("""COMPUTED_VALUE"""),"cas_hmw")</f>
        <v>cas_hmw</v>
      </c>
      <c r="B20850" s="5">
        <f>IFERROR(__xludf.DUMMYFUNCTION("""COMPUTED_VALUE"""),44783.0)</f>
        <v>44783</v>
      </c>
      <c r="C20850" s="6">
        <f>IFERROR(__xludf.DUMMYFUNCTION("""COMPUTED_VALUE"""),0.7158449074086093)</f>
        <v>0.7158449074</v>
      </c>
      <c r="D20850" s="4">
        <f>IFERROR(__xludf.DUMMYFUNCTION("""COMPUTED_VALUE"""),12.925921)</f>
        <v>12.925921</v>
      </c>
      <c r="E20850" s="4">
        <f>IFERROR(__xludf.DUMMYFUNCTION("""COMPUTED_VALUE"""),80.182572)</f>
        <v>80.182572</v>
      </c>
      <c r="F20850" s="4">
        <f>IFERROR(__xludf.DUMMYFUNCTION("""COMPUTED_VALUE"""),3143.0)</f>
        <v>3143</v>
      </c>
      <c r="G20850" s="4">
        <f>IFERROR(__xludf.DUMMYFUNCTION("""COMPUTED_VALUE"""),24.0)</f>
        <v>24</v>
      </c>
      <c r="H20850" s="4"/>
      <c r="I20850" s="4"/>
    </row>
    <row r="20851">
      <c r="A20851" s="4" t="str">
        <f>IFERROR(__xludf.DUMMYFUNCTION("""COMPUTED_VALUE"""),"cas_hmw")</f>
        <v>cas_hmw</v>
      </c>
      <c r="B20851" s="5">
        <f>IFERROR(__xludf.DUMMYFUNCTION("""COMPUTED_VALUE"""),44783.0)</f>
        <v>44783</v>
      </c>
      <c r="C20851" s="6">
        <f>IFERROR(__xludf.DUMMYFUNCTION("""COMPUTED_VALUE"""),0.7161111111126957)</f>
        <v>0.7161111111</v>
      </c>
      <c r="D20851" s="4">
        <f>IFERROR(__xludf.DUMMYFUNCTION("""COMPUTED_VALUE"""),12.928163)</f>
        <v>12.928163</v>
      </c>
      <c r="E20851" s="4">
        <f>IFERROR(__xludf.DUMMYFUNCTION("""COMPUTED_VALUE"""),80.182097)</f>
        <v>80.182097</v>
      </c>
      <c r="F20851" s="4">
        <f>IFERROR(__xludf.DUMMYFUNCTION("""COMPUTED_VALUE"""),3143.0)</f>
        <v>3143</v>
      </c>
      <c r="G20851" s="4">
        <f>IFERROR(__xludf.DUMMYFUNCTION("""COMPUTED_VALUE"""),31.0)</f>
        <v>31</v>
      </c>
      <c r="H20851" s="4"/>
      <c r="I20851" s="4"/>
    </row>
    <row r="20852">
      <c r="A20852" s="4" t="str">
        <f>IFERROR(__xludf.DUMMYFUNCTION("""COMPUTED_VALUE"""),"cas_hmw")</f>
        <v>cas_hmw</v>
      </c>
      <c r="B20852" s="5">
        <f>IFERROR(__xludf.DUMMYFUNCTION("""COMPUTED_VALUE"""),44783.0)</f>
        <v>44783</v>
      </c>
      <c r="C20852" s="6">
        <f>IFERROR(__xludf.DUMMYFUNCTION("""COMPUTED_VALUE"""),0.716481481482333)</f>
        <v>0.7164814815</v>
      </c>
      <c r="D20852" s="4">
        <f>IFERROR(__xludf.DUMMYFUNCTION("""COMPUTED_VALUE"""),12.990421)</f>
        <v>12.990421</v>
      </c>
      <c r="E20852" s="4">
        <f>IFERROR(__xludf.DUMMYFUNCTION("""COMPUTED_VALUE"""),80.180002)</f>
        <v>80.180002</v>
      </c>
      <c r="F20852" s="4">
        <f>IFERROR(__xludf.DUMMYFUNCTION("""COMPUTED_VALUE"""),805.0)</f>
        <v>805</v>
      </c>
      <c r="G20852" s="4">
        <f>IFERROR(__xludf.DUMMYFUNCTION("""COMPUTED_VALUE"""),45.0)</f>
        <v>45</v>
      </c>
      <c r="H20852" s="4"/>
      <c r="I20852" s="4"/>
    </row>
    <row r="20853">
      <c r="A20853" s="4" t="str">
        <f>IFERROR(__xludf.DUMMYFUNCTION("""COMPUTED_VALUE"""),"cas_hmw")</f>
        <v>cas_hmw</v>
      </c>
      <c r="B20853" s="5">
        <f>IFERROR(__xludf.DUMMYFUNCTION("""COMPUTED_VALUE"""),44783.0)</f>
        <v>44783</v>
      </c>
      <c r="C20853" s="6">
        <f>IFERROR(__xludf.DUMMYFUNCTION("""COMPUTED_VALUE"""),0.7165972222210257)</f>
        <v>0.7165972222</v>
      </c>
      <c r="D20853" s="4">
        <f>IFERROR(__xludf.DUMMYFUNCTION("""COMPUTED_VALUE"""),12.991204)</f>
        <v>12.991204</v>
      </c>
      <c r="E20853" s="4">
        <f>IFERROR(__xludf.DUMMYFUNCTION("""COMPUTED_VALUE"""),80.180982)</f>
        <v>80.180982</v>
      </c>
      <c r="F20853" s="4">
        <f>IFERROR(__xludf.DUMMYFUNCTION("""COMPUTED_VALUE"""),805.0)</f>
        <v>805</v>
      </c>
      <c r="G20853" s="4">
        <f>IFERROR(__xludf.DUMMYFUNCTION("""COMPUTED_VALUE"""),49.0)</f>
        <v>49</v>
      </c>
      <c r="H20853" s="4"/>
      <c r="I20853" s="4"/>
    </row>
    <row r="20854">
      <c r="A20854" s="4" t="str">
        <f>IFERROR(__xludf.DUMMYFUNCTION("""COMPUTED_VALUE"""),"cas_hmw")</f>
        <v>cas_hmw</v>
      </c>
      <c r="B20854" s="5">
        <f>IFERROR(__xludf.DUMMYFUNCTION("""COMPUTED_VALUE"""),44783.0)</f>
        <v>44783</v>
      </c>
      <c r="C20854" s="6">
        <f>IFERROR(__xludf.DUMMYFUNCTION("""COMPUTED_VALUE"""),0.7168865740750334)</f>
        <v>0.7168865741</v>
      </c>
      <c r="D20854" s="4">
        <f>IFERROR(__xludf.DUMMYFUNCTION("""COMPUTED_VALUE"""),12.992621)</f>
        <v>12.992621</v>
      </c>
      <c r="E20854" s="4">
        <f>IFERROR(__xludf.DUMMYFUNCTION("""COMPUTED_VALUE"""),80.182938)</f>
        <v>80.182938</v>
      </c>
      <c r="F20854" s="4">
        <f>IFERROR(__xludf.DUMMYFUNCTION("""COMPUTED_VALUE"""),805.0)</f>
        <v>805</v>
      </c>
      <c r="G20854" s="4">
        <f>IFERROR(__xludf.DUMMYFUNCTION("""COMPUTED_VALUE"""),49.0)</f>
        <v>49</v>
      </c>
      <c r="H20854" s="4"/>
      <c r="I20854" s="4"/>
    </row>
    <row r="20855">
      <c r="A20855" s="4" t="str">
        <f>IFERROR(__xludf.DUMMYFUNCTION("""COMPUTED_VALUE"""),"cas_hmw")</f>
        <v>cas_hmw</v>
      </c>
      <c r="B20855" s="5">
        <f>IFERROR(__xludf.DUMMYFUNCTION("""COMPUTED_VALUE"""),44783.0)</f>
        <v>44783</v>
      </c>
      <c r="C20855" s="6">
        <f>IFERROR(__xludf.DUMMYFUNCTION("""COMPUTED_VALUE"""),0.7176967592604342)</f>
        <v>0.7176967593</v>
      </c>
      <c r="D20855" s="4">
        <f>IFERROR(__xludf.DUMMYFUNCTION("""COMPUTED_VALUE"""),12.991012)</f>
        <v>12.991012</v>
      </c>
      <c r="E20855" s="4">
        <f>IFERROR(__xludf.DUMMYFUNCTION("""COMPUTED_VALUE"""),80.180778)</f>
        <v>80.180778</v>
      </c>
      <c r="F20855" s="4">
        <f>IFERROR(__xludf.DUMMYFUNCTION("""COMPUTED_VALUE"""),5339.0)</f>
        <v>5339</v>
      </c>
      <c r="G20855" s="4">
        <f>IFERROR(__xludf.DUMMYFUNCTION("""COMPUTED_VALUE"""),45.0)</f>
        <v>45</v>
      </c>
      <c r="H20855" s="4"/>
      <c r="I20855" s="4"/>
    </row>
    <row r="20856">
      <c r="A20856" s="4" t="str">
        <f>IFERROR(__xludf.DUMMYFUNCTION("""COMPUTED_VALUE"""),"cas_hmw")</f>
        <v>cas_hmw</v>
      </c>
      <c r="B20856" s="5">
        <f>IFERROR(__xludf.DUMMYFUNCTION("""COMPUTED_VALUE"""),44783.0)</f>
        <v>44783</v>
      </c>
      <c r="C20856" s="6">
        <f>IFERROR(__xludf.DUMMYFUNCTION("""COMPUTED_VALUE"""),0.7179513888877409)</f>
        <v>0.7179513889</v>
      </c>
      <c r="D20856" s="4">
        <f>IFERROR(__xludf.DUMMYFUNCTION("""COMPUTED_VALUE"""),12.994597)</f>
        <v>12.994597</v>
      </c>
      <c r="E20856" s="4">
        <f>IFERROR(__xludf.DUMMYFUNCTION("""COMPUTED_VALUE"""),80.186661)</f>
        <v>80.186661</v>
      </c>
      <c r="F20856" s="4">
        <f>IFERROR(__xludf.DUMMYFUNCTION("""COMPUTED_VALUE"""),805.0)</f>
        <v>805</v>
      </c>
      <c r="G20856" s="4">
        <f>IFERROR(__xludf.DUMMYFUNCTION("""COMPUTED_VALUE"""),52.0)</f>
        <v>52</v>
      </c>
      <c r="H20856" s="4"/>
      <c r="I20856" s="4"/>
    </row>
    <row r="20857">
      <c r="A20857" s="4" t="str">
        <f>IFERROR(__xludf.DUMMYFUNCTION("""COMPUTED_VALUE"""),"cas_hmw")</f>
        <v>cas_hmw</v>
      </c>
      <c r="B20857" s="5">
        <f>IFERROR(__xludf.DUMMYFUNCTION("""COMPUTED_VALUE"""),44783.0)</f>
        <v>44783</v>
      </c>
      <c r="C20857" s="6">
        <f>IFERROR(__xludf.DUMMYFUNCTION("""COMPUTED_VALUE"""),0.7189120370385353)</f>
        <v>0.718912037</v>
      </c>
      <c r="D20857" s="4">
        <f>IFERROR(__xludf.DUMMYFUNCTION("""COMPUTED_VALUE"""),12.998961)</f>
        <v>12.998961</v>
      </c>
      <c r="E20857" s="4">
        <f>IFERROR(__xludf.DUMMYFUNCTION("""COMPUTED_VALUE"""),80.19283)</f>
        <v>80.19283</v>
      </c>
      <c r="F20857" s="4">
        <f>IFERROR(__xludf.DUMMYFUNCTION("""COMPUTED_VALUE"""),805.0)</f>
        <v>805</v>
      </c>
      <c r="G20857" s="4">
        <f>IFERROR(__xludf.DUMMYFUNCTION("""COMPUTED_VALUE"""),33.0)</f>
        <v>33</v>
      </c>
      <c r="H20857" s="4"/>
      <c r="I20857" s="4"/>
    </row>
    <row r="20858">
      <c r="A20858" s="4" t="str">
        <f>IFERROR(__xludf.DUMMYFUNCTION("""COMPUTED_VALUE"""),"cas_hmw")</f>
        <v>cas_hmw</v>
      </c>
      <c r="B20858" s="5">
        <f>IFERROR(__xludf.DUMMYFUNCTION("""COMPUTED_VALUE"""),44783.0)</f>
        <v>44783</v>
      </c>
      <c r="C20858" s="6">
        <f>IFERROR(__xludf.DUMMYFUNCTION("""COMPUTED_VALUE"""),0.7208333333328483)</f>
        <v>0.7208333333</v>
      </c>
      <c r="D20858" s="4">
        <f>IFERROR(__xludf.DUMMYFUNCTION("""COMPUTED_VALUE"""),13.001822)</f>
        <v>13.001822</v>
      </c>
      <c r="E20858" s="4">
        <f>IFERROR(__xludf.DUMMYFUNCTION("""COMPUTED_VALUE"""),80.199001)</f>
        <v>80.199001</v>
      </c>
      <c r="F20858" s="4">
        <f>IFERROR(__xludf.DUMMYFUNCTION("""COMPUTED_VALUE"""),805.0)</f>
        <v>805</v>
      </c>
      <c r="G20858" s="4">
        <f>IFERROR(__xludf.DUMMYFUNCTION("""COMPUTED_VALUE"""),48.0)</f>
        <v>48</v>
      </c>
      <c r="H20858" s="4"/>
      <c r="I20858" s="4"/>
    </row>
    <row r="20859">
      <c r="A20859" s="4" t="str">
        <f>IFERROR(__xludf.DUMMYFUNCTION("""COMPUTED_VALUE"""),"cas_hmw")</f>
        <v>cas_hmw</v>
      </c>
      <c r="B20859" s="5">
        <f>IFERROR(__xludf.DUMMYFUNCTION("""COMPUTED_VALUE"""),44783.0)</f>
        <v>44783</v>
      </c>
      <c r="C20859" s="6">
        <f>IFERROR(__xludf.DUMMYFUNCTION("""COMPUTED_VALUE"""),0.7208333333328483)</f>
        <v>0.7208333333</v>
      </c>
      <c r="D20859" s="4">
        <f>IFERROR(__xludf.DUMMYFUNCTION("""COMPUTED_VALUE"""),13.001557)</f>
        <v>13.001557</v>
      </c>
      <c r="E20859" s="4">
        <f>IFERROR(__xludf.DUMMYFUNCTION("""COMPUTED_VALUE"""),80.196046)</f>
        <v>80.196046</v>
      </c>
      <c r="F20859" s="4">
        <f>IFERROR(__xludf.DUMMYFUNCTION("""COMPUTED_VALUE"""),805.0)</f>
        <v>805</v>
      </c>
      <c r="G20859" s="4">
        <f>IFERROR(__xludf.DUMMYFUNCTION("""COMPUTED_VALUE"""),27.0)</f>
        <v>27</v>
      </c>
      <c r="H20859" s="4"/>
      <c r="I20859" s="4"/>
    </row>
    <row r="20860">
      <c r="A20860" s="4" t="str">
        <f>IFERROR(__xludf.DUMMYFUNCTION("""COMPUTED_VALUE"""),"cas_hmw")</f>
        <v>cas_hmw</v>
      </c>
      <c r="B20860" s="5">
        <f>IFERROR(__xludf.DUMMYFUNCTION("""COMPUTED_VALUE"""),44783.0)</f>
        <v>44783</v>
      </c>
      <c r="C20860" s="6">
        <f>IFERROR(__xludf.DUMMYFUNCTION("""COMPUTED_VALUE"""),0.721226851852407)</f>
        <v>0.7212268519</v>
      </c>
      <c r="D20860" s="4">
        <f>IFERROR(__xludf.DUMMYFUNCTION("""COMPUTED_VALUE"""),13.004918)</f>
        <v>13.004918</v>
      </c>
      <c r="E20860" s="4">
        <f>IFERROR(__xludf.DUMMYFUNCTION("""COMPUTED_VALUE"""),80.201275)</f>
        <v>80.201275</v>
      </c>
      <c r="F20860" s="4">
        <f>IFERROR(__xludf.DUMMYFUNCTION("""COMPUTED_VALUE"""),805.0)</f>
        <v>805</v>
      </c>
      <c r="G20860" s="4">
        <f>IFERROR(__xludf.DUMMYFUNCTION("""COMPUTED_VALUE"""),42.0)</f>
        <v>42</v>
      </c>
      <c r="H20860" s="4"/>
      <c r="I20860" s="4"/>
    </row>
    <row r="20861">
      <c r="A20861" s="4" t="str">
        <f>IFERROR(__xludf.DUMMYFUNCTION("""COMPUTED_VALUE"""),"cas_hmw")</f>
        <v>cas_hmw</v>
      </c>
      <c r="B20861" s="5">
        <f>IFERROR(__xludf.DUMMYFUNCTION("""COMPUTED_VALUE"""),44783.0)</f>
        <v>44783</v>
      </c>
      <c r="C20861" s="6">
        <f>IFERROR(__xludf.DUMMYFUNCTION("""COMPUTED_VALUE"""),0.7213194444448163)</f>
        <v>0.7213194444</v>
      </c>
      <c r="D20861" s="4">
        <f>IFERROR(__xludf.DUMMYFUNCTION("""COMPUTED_VALUE"""),13.004918)</f>
        <v>13.004918</v>
      </c>
      <c r="E20861" s="4">
        <f>IFERROR(__xludf.DUMMYFUNCTION("""COMPUTED_VALUE"""),80.201275)</f>
        <v>80.201275</v>
      </c>
      <c r="F20861" s="4">
        <f>IFERROR(__xludf.DUMMYFUNCTION("""COMPUTED_VALUE"""),805.0)</f>
        <v>805</v>
      </c>
      <c r="G20861" s="4">
        <f>IFERROR(__xludf.DUMMYFUNCTION("""COMPUTED_VALUE"""),42.0)</f>
        <v>42</v>
      </c>
      <c r="H20861" s="4"/>
      <c r="I20861" s="4"/>
    </row>
    <row r="20862">
      <c r="A20862" s="4" t="str">
        <f>IFERROR(__xludf.DUMMYFUNCTION("""COMPUTED_VALUE"""),"cas_hmw")</f>
        <v>cas_hmw</v>
      </c>
      <c r="B20862" s="5">
        <f>IFERROR(__xludf.DUMMYFUNCTION("""COMPUTED_VALUE"""),44783.0)</f>
        <v>44783</v>
      </c>
      <c r="C20862" s="6">
        <f>IFERROR(__xludf.DUMMYFUNCTION("""COMPUTED_VALUE"""),0.7214236111103673)</f>
        <v>0.7214236111</v>
      </c>
      <c r="D20862" s="4">
        <f>IFERROR(__xludf.DUMMYFUNCTION("""COMPUTED_VALUE"""),13.005765)</f>
        <v>13.005765</v>
      </c>
      <c r="E20862" s="4">
        <f>IFERROR(__xludf.DUMMYFUNCTION("""COMPUTED_VALUE"""),80.202055)</f>
        <v>80.202055</v>
      </c>
      <c r="F20862" s="4">
        <f>IFERROR(__xludf.DUMMYFUNCTION("""COMPUTED_VALUE"""),805.0)</f>
        <v>805</v>
      </c>
      <c r="G20862" s="4">
        <f>IFERROR(__xludf.DUMMYFUNCTION("""COMPUTED_VALUE"""),46.0)</f>
        <v>46</v>
      </c>
      <c r="H20862" s="4"/>
      <c r="I20862" s="4"/>
    </row>
    <row r="20863">
      <c r="A20863" s="4" t="str">
        <f>IFERROR(__xludf.DUMMYFUNCTION("""COMPUTED_VALUE"""),"cas_hmw")</f>
        <v>cas_hmw</v>
      </c>
      <c r="B20863" s="5">
        <f>IFERROR(__xludf.DUMMYFUNCTION("""COMPUTED_VALUE"""),44783.0)</f>
        <v>44783</v>
      </c>
      <c r="C20863" s="6">
        <f>IFERROR(__xludf.DUMMYFUNCTION("""COMPUTED_VALUE"""),0.7219675925916818)</f>
        <v>0.7219675926</v>
      </c>
      <c r="D20863" s="4">
        <f>IFERROR(__xludf.DUMMYFUNCTION("""COMPUTED_VALUE"""),13.002497)</f>
        <v>13.002497</v>
      </c>
      <c r="E20863" s="4">
        <f>IFERROR(__xludf.DUMMYFUNCTION("""COMPUTED_VALUE"""),80.200533)</f>
        <v>80.200533</v>
      </c>
      <c r="F20863" s="4">
        <f>IFERROR(__xludf.DUMMYFUNCTION("""COMPUTED_VALUE"""),5339.0)</f>
        <v>5339</v>
      </c>
      <c r="G20863" s="4">
        <f>IFERROR(__xludf.DUMMYFUNCTION("""COMPUTED_VALUE"""),38.0)</f>
        <v>38</v>
      </c>
      <c r="H20863" s="4"/>
      <c r="I20863" s="4"/>
    </row>
    <row r="20864">
      <c r="A20864" s="4" t="str">
        <f>IFERROR(__xludf.DUMMYFUNCTION("""COMPUTED_VALUE"""),"cas_hmw")</f>
        <v>cas_hmw</v>
      </c>
      <c r="B20864" s="5">
        <f>IFERROR(__xludf.DUMMYFUNCTION("""COMPUTED_VALUE"""),44783.0)</f>
        <v>44783</v>
      </c>
      <c r="C20864" s="6">
        <f>IFERROR(__xludf.DUMMYFUNCTION("""COMPUTED_VALUE"""),0.7222337962957681)</f>
        <v>0.7222337963</v>
      </c>
      <c r="D20864" s="4">
        <f>IFERROR(__xludf.DUMMYFUNCTION("""COMPUTED_VALUE"""),13.007644)</f>
        <v>13.007644</v>
      </c>
      <c r="E20864" s="4">
        <f>IFERROR(__xludf.DUMMYFUNCTION("""COMPUTED_VALUE"""),80.205665)</f>
        <v>80.205665</v>
      </c>
      <c r="F20864" s="4">
        <f>IFERROR(__xludf.DUMMYFUNCTION("""COMPUTED_VALUE"""),805.0)</f>
        <v>805</v>
      </c>
      <c r="G20864" s="4">
        <f>IFERROR(__xludf.DUMMYFUNCTION("""COMPUTED_VALUE"""),59.0)</f>
        <v>59</v>
      </c>
      <c r="H20864" s="4"/>
      <c r="I20864" s="4"/>
    </row>
    <row r="20865">
      <c r="A20865" s="4" t="str">
        <f>IFERROR(__xludf.DUMMYFUNCTION("""COMPUTED_VALUE"""),"cas_hmw")</f>
        <v>cas_hmw</v>
      </c>
      <c r="B20865" s="5">
        <f>IFERROR(__xludf.DUMMYFUNCTION("""COMPUTED_VALUE"""),44783.0)</f>
        <v>44783</v>
      </c>
      <c r="C20865" s="6">
        <f>IFERROR(__xludf.DUMMYFUNCTION("""COMPUTED_VALUE"""),0.7222916666651145)</f>
        <v>0.7222916667</v>
      </c>
      <c r="D20865" s="4">
        <f>IFERROR(__xludf.DUMMYFUNCTION("""COMPUTED_VALUE"""),13.00784)</f>
        <v>13.00784</v>
      </c>
      <c r="E20865" s="4">
        <f>IFERROR(__xludf.DUMMYFUNCTION("""COMPUTED_VALUE"""),80.207096)</f>
        <v>80.207096</v>
      </c>
      <c r="F20865" s="4">
        <f>IFERROR(__xludf.DUMMYFUNCTION("""COMPUTED_VALUE"""),805.0)</f>
        <v>805</v>
      </c>
      <c r="G20865" s="4">
        <f>IFERROR(__xludf.DUMMYFUNCTION("""COMPUTED_VALUE"""),51.0)</f>
        <v>51</v>
      </c>
      <c r="H20865" s="4"/>
      <c r="I20865" s="4"/>
    </row>
    <row r="20866">
      <c r="A20866" s="4" t="str">
        <f>IFERROR(__xludf.DUMMYFUNCTION("""COMPUTED_VALUE"""),"cas_hmw")</f>
        <v>cas_hmw</v>
      </c>
      <c r="B20866" s="5">
        <f>IFERROR(__xludf.DUMMYFUNCTION("""COMPUTED_VALUE"""),44783.0)</f>
        <v>44783</v>
      </c>
      <c r="C20866" s="6">
        <f>IFERROR(__xludf.DUMMYFUNCTION("""COMPUTED_VALUE"""),0.7230787037042319)</f>
        <v>0.7230787037</v>
      </c>
      <c r="D20866" s="4">
        <f>IFERROR(__xludf.DUMMYFUNCTION("""COMPUTED_VALUE"""),13.008492)</f>
        <v>13.008492</v>
      </c>
      <c r="E20866" s="4">
        <f>IFERROR(__xludf.DUMMYFUNCTION("""COMPUTED_VALUE"""),80.210371)</f>
        <v>80.210371</v>
      </c>
      <c r="F20866" s="4">
        <f>IFERROR(__xludf.DUMMYFUNCTION("""COMPUTED_VALUE"""),805.0)</f>
        <v>805</v>
      </c>
      <c r="G20866" s="4">
        <f>IFERROR(__xludf.DUMMYFUNCTION("""COMPUTED_VALUE"""),46.0)</f>
        <v>46</v>
      </c>
      <c r="H20866" s="4"/>
      <c r="I20866" s="4"/>
    </row>
    <row r="20867">
      <c r="A20867" s="4" t="str">
        <f>IFERROR(__xludf.DUMMYFUNCTION("""COMPUTED_VALUE"""),"cas_hmw")</f>
        <v>cas_hmw</v>
      </c>
      <c r="B20867" s="5">
        <f>IFERROR(__xludf.DUMMYFUNCTION("""COMPUTED_VALUE"""),44783.0)</f>
        <v>44783</v>
      </c>
      <c r="C20867" s="6">
        <f>IFERROR(__xludf.DUMMYFUNCTION("""COMPUTED_VALUE"""),0.7238194444435067)</f>
        <v>0.7238194444</v>
      </c>
      <c r="D20867" s="4">
        <f>IFERROR(__xludf.DUMMYFUNCTION("""COMPUTED_VALUE"""),13.011286)</f>
        <v>13.011286</v>
      </c>
      <c r="E20867" s="4">
        <f>IFERROR(__xludf.DUMMYFUNCTION("""COMPUTED_VALUE"""),80.21807)</f>
        <v>80.21807</v>
      </c>
      <c r="F20867" s="4">
        <f>IFERROR(__xludf.DUMMYFUNCTION("""COMPUTED_VALUE"""),805.0)</f>
        <v>805</v>
      </c>
      <c r="G20867" s="4">
        <f>IFERROR(__xludf.DUMMYFUNCTION("""COMPUTED_VALUE"""),38.0)</f>
        <v>38</v>
      </c>
      <c r="H20867" s="4"/>
      <c r="I20867" s="4"/>
    </row>
    <row r="20868">
      <c r="A20868" s="4" t="str">
        <f>IFERROR(__xludf.DUMMYFUNCTION("""COMPUTED_VALUE"""),"cas_hmw")</f>
        <v>cas_hmw</v>
      </c>
      <c r="B20868" s="5">
        <f>IFERROR(__xludf.DUMMYFUNCTION("""COMPUTED_VALUE"""),44783.0)</f>
        <v>44783</v>
      </c>
      <c r="C20868" s="6">
        <f>IFERROR(__xludf.DUMMYFUNCTION("""COMPUTED_VALUE"""),0.7238310185202863)</f>
        <v>0.7238310185</v>
      </c>
      <c r="D20868" s="4">
        <f>IFERROR(__xludf.DUMMYFUNCTION("""COMPUTED_VALUE"""),13.011286)</f>
        <v>13.011286</v>
      </c>
      <c r="E20868" s="4">
        <f>IFERROR(__xludf.DUMMYFUNCTION("""COMPUTED_VALUE"""),80.21807)</f>
        <v>80.21807</v>
      </c>
      <c r="F20868" s="4">
        <f>IFERROR(__xludf.DUMMYFUNCTION("""COMPUTED_VALUE"""),805.0)</f>
        <v>805</v>
      </c>
      <c r="G20868" s="4">
        <f>IFERROR(__xludf.DUMMYFUNCTION("""COMPUTED_VALUE"""),38.0)</f>
        <v>38</v>
      </c>
      <c r="H20868" s="4"/>
      <c r="I20868" s="4"/>
    </row>
    <row r="20869">
      <c r="A20869" s="4" t="str">
        <f>IFERROR(__xludf.DUMMYFUNCTION("""COMPUTED_VALUE"""),"cas_hmw")</f>
        <v>cas_hmw</v>
      </c>
      <c r="B20869" s="5">
        <f>IFERROR(__xludf.DUMMYFUNCTION("""COMPUTED_VALUE"""),44783.0)</f>
        <v>44783</v>
      </c>
      <c r="C20869" s="6">
        <f>IFERROR(__xludf.DUMMYFUNCTION("""COMPUTED_VALUE"""),0.7238541666665697)</f>
        <v>0.7238541667</v>
      </c>
      <c r="D20869" s="4">
        <f>IFERROR(__xludf.DUMMYFUNCTION("""COMPUTED_VALUE"""),13.00914)</f>
        <v>13.00914</v>
      </c>
      <c r="E20869" s="4">
        <f>IFERROR(__xludf.DUMMYFUNCTION("""COMPUTED_VALUE"""),80.212147)</f>
        <v>80.212147</v>
      </c>
      <c r="F20869" s="4">
        <f>IFERROR(__xludf.DUMMYFUNCTION("""COMPUTED_VALUE"""),5339.0)</f>
        <v>5339</v>
      </c>
      <c r="G20869" s="4">
        <f>IFERROR(__xludf.DUMMYFUNCTION("""COMPUTED_VALUE"""),38.0)</f>
        <v>38</v>
      </c>
      <c r="H20869" s="4"/>
      <c r="I20869" s="4"/>
    </row>
    <row r="20870">
      <c r="A20870" s="4" t="str">
        <f>IFERROR(__xludf.DUMMYFUNCTION("""COMPUTED_VALUE"""),"cas_hmw")</f>
        <v>cas_hmw</v>
      </c>
      <c r="B20870" s="5">
        <f>IFERROR(__xludf.DUMMYFUNCTION("""COMPUTED_VALUE"""),44783.0)</f>
        <v>44783</v>
      </c>
      <c r="C20870" s="6">
        <f>IFERROR(__xludf.DUMMYFUNCTION("""COMPUTED_VALUE"""),0.7241319444437977)</f>
        <v>0.7241319444</v>
      </c>
      <c r="D20870" s="4">
        <f>IFERROR(__xludf.DUMMYFUNCTION("""COMPUTED_VALUE"""),13.009768)</f>
        <v>13.009768</v>
      </c>
      <c r="E20870" s="4">
        <f>IFERROR(__xludf.DUMMYFUNCTION("""COMPUTED_VALUE"""),80.213797)</f>
        <v>80.213797</v>
      </c>
      <c r="F20870" s="4">
        <f>IFERROR(__xludf.DUMMYFUNCTION("""COMPUTED_VALUE"""),5339.0)</f>
        <v>5339</v>
      </c>
      <c r="G20870" s="4">
        <f>IFERROR(__xludf.DUMMYFUNCTION("""COMPUTED_VALUE"""),30.0)</f>
        <v>30</v>
      </c>
      <c r="H20870" s="4"/>
      <c r="I20870" s="4"/>
    </row>
    <row r="20871">
      <c r="A20871" s="4" t="str">
        <f>IFERROR(__xludf.DUMMYFUNCTION("""COMPUTED_VALUE"""),"cas_hmw")</f>
        <v>cas_hmw</v>
      </c>
      <c r="B20871" s="5">
        <f>IFERROR(__xludf.DUMMYFUNCTION("""COMPUTED_VALUE"""),44783.0)</f>
        <v>44783</v>
      </c>
      <c r="C20871" s="6">
        <f>IFERROR(__xludf.DUMMYFUNCTION("""COMPUTED_VALUE"""),0.7248495370367891)</f>
        <v>0.724849537</v>
      </c>
      <c r="D20871" s="4">
        <f>IFERROR(__xludf.DUMMYFUNCTION("""COMPUTED_VALUE"""),13.011606)</f>
        <v>13.011606</v>
      </c>
      <c r="E20871" s="4">
        <f>IFERROR(__xludf.DUMMYFUNCTION("""COMPUTED_VALUE"""),80.219075)</f>
        <v>80.219075</v>
      </c>
      <c r="F20871" s="4">
        <f>IFERROR(__xludf.DUMMYFUNCTION("""COMPUTED_VALUE"""),5339.0)</f>
        <v>5339</v>
      </c>
      <c r="G20871" s="4">
        <f>IFERROR(__xludf.DUMMYFUNCTION("""COMPUTED_VALUE"""),56.0)</f>
        <v>56</v>
      </c>
      <c r="H20871" s="4"/>
      <c r="I20871" s="4"/>
    </row>
    <row r="20872">
      <c r="A20872" s="4" t="str">
        <f>IFERROR(__xludf.DUMMYFUNCTION("""COMPUTED_VALUE"""),"cas_hmw")</f>
        <v>cas_hmw</v>
      </c>
      <c r="B20872" s="5">
        <f>IFERROR(__xludf.DUMMYFUNCTION("""COMPUTED_VALUE"""),44783.0)</f>
        <v>44783</v>
      </c>
      <c r="C20872" s="6">
        <f>IFERROR(__xludf.DUMMYFUNCTION("""COMPUTED_VALUE"""),0.7249074074061355)</f>
        <v>0.7249074074</v>
      </c>
      <c r="D20872" s="4">
        <f>IFERROR(__xludf.DUMMYFUNCTION("""COMPUTED_VALUE"""),13.012061)</f>
        <v>13.012061</v>
      </c>
      <c r="E20872" s="4">
        <f>IFERROR(__xludf.DUMMYFUNCTION("""COMPUTED_VALUE"""),80.220407)</f>
        <v>80.220407</v>
      </c>
      <c r="F20872" s="4">
        <f>IFERROR(__xludf.DUMMYFUNCTION("""COMPUTED_VALUE"""),5339.0)</f>
        <v>5339</v>
      </c>
      <c r="G20872" s="4">
        <f>IFERROR(__xludf.DUMMYFUNCTION("""COMPUTED_VALUE"""),43.0)</f>
        <v>43</v>
      </c>
      <c r="H20872" s="4"/>
      <c r="I20872" s="4"/>
    </row>
    <row r="20873">
      <c r="A20873" s="4" t="str">
        <f>IFERROR(__xludf.DUMMYFUNCTION("""COMPUTED_VALUE"""),"cas_hmw")</f>
        <v>cas_hmw</v>
      </c>
      <c r="B20873" s="5">
        <f>IFERROR(__xludf.DUMMYFUNCTION("""COMPUTED_VALUE"""),44783.0)</f>
        <v>44783</v>
      </c>
      <c r="C20873" s="6">
        <f>IFERROR(__xludf.DUMMYFUNCTION("""COMPUTED_VALUE"""),0.7260648148148903)</f>
        <v>0.7260648148</v>
      </c>
      <c r="D20873" s="4">
        <f>IFERROR(__xludf.DUMMYFUNCTION("""COMPUTED_VALUE"""),13.014332)</f>
        <v>13.014332</v>
      </c>
      <c r="E20873" s="4">
        <f>IFERROR(__xludf.DUMMYFUNCTION("""COMPUTED_VALUE"""),80.226172)</f>
        <v>80.226172</v>
      </c>
      <c r="F20873" s="4">
        <f>IFERROR(__xludf.DUMMYFUNCTION("""COMPUTED_VALUE"""),805.0)</f>
        <v>805</v>
      </c>
      <c r="G20873" s="4">
        <f>IFERROR(__xludf.DUMMYFUNCTION("""COMPUTED_VALUE"""),33.0)</f>
        <v>33</v>
      </c>
      <c r="H20873" s="4"/>
      <c r="I20873" s="4"/>
    </row>
    <row r="20874">
      <c r="A20874" s="4" t="str">
        <f>IFERROR(__xludf.DUMMYFUNCTION("""COMPUTED_VALUE"""),"cas_hmw")</f>
        <v>cas_hmw</v>
      </c>
      <c r="B20874" s="5">
        <f>IFERROR(__xludf.DUMMYFUNCTION("""COMPUTED_VALUE"""),44783.0)</f>
        <v>44783</v>
      </c>
      <c r="C20874" s="6">
        <f>IFERROR(__xludf.DUMMYFUNCTION("""COMPUTED_VALUE"""),0.7262037037035043)</f>
        <v>0.7262037037</v>
      </c>
      <c r="D20874" s="4">
        <f>IFERROR(__xludf.DUMMYFUNCTION("""COMPUTED_VALUE"""),13.012354)</f>
        <v>13.012354</v>
      </c>
      <c r="E20874" s="4">
        <f>IFERROR(__xludf.DUMMYFUNCTION("""COMPUTED_VALUE"""),80.22699)</f>
        <v>80.22699</v>
      </c>
      <c r="F20874" s="4">
        <f>IFERROR(__xludf.DUMMYFUNCTION("""COMPUTED_VALUE"""),805.0)</f>
        <v>805</v>
      </c>
      <c r="G20874" s="4">
        <f>IFERROR(__xludf.DUMMYFUNCTION("""COMPUTED_VALUE"""),41.0)</f>
        <v>41</v>
      </c>
      <c r="H20874" s="4"/>
      <c r="I20874" s="4"/>
    </row>
    <row r="20875">
      <c r="A20875" s="4" t="str">
        <f>IFERROR(__xludf.DUMMYFUNCTION("""COMPUTED_VALUE"""),"cas_hmw")</f>
        <v>cas_hmw</v>
      </c>
      <c r="B20875" s="5">
        <f>IFERROR(__xludf.DUMMYFUNCTION("""COMPUTED_VALUE"""),44783.0)</f>
        <v>44783</v>
      </c>
      <c r="C20875" s="6">
        <f>IFERROR(__xludf.DUMMYFUNCTION("""COMPUTED_VALUE"""),0.7262731481496303)</f>
        <v>0.7262731481</v>
      </c>
      <c r="D20875" s="4">
        <f>IFERROR(__xludf.DUMMYFUNCTION("""COMPUTED_VALUE"""),13.017777)</f>
        <v>13.017777</v>
      </c>
      <c r="E20875" s="4">
        <f>IFERROR(__xludf.DUMMYFUNCTION("""COMPUTED_VALUE"""),80.22479)</f>
        <v>80.22479</v>
      </c>
      <c r="F20875" s="4">
        <f>IFERROR(__xludf.DUMMYFUNCTION("""COMPUTED_VALUE"""),5339.0)</f>
        <v>5339</v>
      </c>
      <c r="G20875" s="4">
        <f>IFERROR(__xludf.DUMMYFUNCTION("""COMPUTED_VALUE"""),32.0)</f>
        <v>32</v>
      </c>
      <c r="H20875" s="4"/>
      <c r="I20875" s="4"/>
    </row>
    <row r="20876">
      <c r="A20876" s="4" t="str">
        <f>IFERROR(__xludf.DUMMYFUNCTION("""COMPUTED_VALUE"""),"cas_hmw")</f>
        <v>cas_hmw</v>
      </c>
      <c r="B20876" s="5">
        <f>IFERROR(__xludf.DUMMYFUNCTION("""COMPUTED_VALUE"""),44783.0)</f>
        <v>44783</v>
      </c>
      <c r="C20876" s="6">
        <f>IFERROR(__xludf.DUMMYFUNCTION("""COMPUTED_VALUE"""),0.7263773148151813)</f>
        <v>0.7263773148</v>
      </c>
      <c r="D20876" s="4">
        <f>IFERROR(__xludf.DUMMYFUNCTION("""COMPUTED_VALUE"""),13.017777)</f>
        <v>13.017777</v>
      </c>
      <c r="E20876" s="4">
        <f>IFERROR(__xludf.DUMMYFUNCTION("""COMPUTED_VALUE"""),80.22479)</f>
        <v>80.22479</v>
      </c>
      <c r="F20876" s="4">
        <f>IFERROR(__xludf.DUMMYFUNCTION("""COMPUTED_VALUE"""),5339.0)</f>
        <v>5339</v>
      </c>
      <c r="G20876" s="4">
        <f>IFERROR(__xludf.DUMMYFUNCTION("""COMPUTED_VALUE"""),32.0)</f>
        <v>32</v>
      </c>
      <c r="H20876" s="4"/>
      <c r="I20876" s="4"/>
    </row>
    <row r="20877">
      <c r="A20877" s="4" t="str">
        <f>IFERROR(__xludf.DUMMYFUNCTION("""COMPUTED_VALUE"""),"cas_hmw")</f>
        <v>cas_hmw</v>
      </c>
      <c r="B20877" s="5">
        <f>IFERROR(__xludf.DUMMYFUNCTION("""COMPUTED_VALUE"""),44783.0)</f>
        <v>44783</v>
      </c>
      <c r="C20877" s="6">
        <f>IFERROR(__xludf.DUMMYFUNCTION("""COMPUTED_VALUE"""),0.7264120370382443)</f>
        <v>0.726412037</v>
      </c>
      <c r="D20877" s="4">
        <f>IFERROR(__xludf.DUMMYFUNCTION("""COMPUTED_VALUE"""),13.018504)</f>
        <v>13.018504</v>
      </c>
      <c r="E20877" s="4">
        <f>IFERROR(__xludf.DUMMYFUNCTION("""COMPUTED_VALUE"""),80.224505)</f>
        <v>80.224505</v>
      </c>
      <c r="F20877" s="4">
        <f>IFERROR(__xludf.DUMMYFUNCTION("""COMPUTED_VALUE"""),5339.0)</f>
        <v>5339</v>
      </c>
      <c r="G20877" s="4">
        <f>IFERROR(__xludf.DUMMYFUNCTION("""COMPUTED_VALUE"""),29.0)</f>
        <v>29</v>
      </c>
      <c r="H20877" s="4"/>
      <c r="I20877" s="4"/>
    </row>
    <row r="20878">
      <c r="A20878" s="4" t="str">
        <f>IFERROR(__xludf.DUMMYFUNCTION("""COMPUTED_VALUE"""),"cas_hmw")</f>
        <v>cas_hmw</v>
      </c>
      <c r="B20878" s="5">
        <f>IFERROR(__xludf.DUMMYFUNCTION("""COMPUTED_VALUE"""),44783.0)</f>
        <v>44783</v>
      </c>
      <c r="C20878" s="6">
        <f>IFERROR(__xludf.DUMMYFUNCTION("""COMPUTED_VALUE"""),0.726423611111386)</f>
        <v>0.7264236111</v>
      </c>
      <c r="D20878" s="4">
        <f>IFERROR(__xludf.DUMMYFUNCTION("""COMPUTED_VALUE"""),13.018504)</f>
        <v>13.018504</v>
      </c>
      <c r="E20878" s="4">
        <f>IFERROR(__xludf.DUMMYFUNCTION("""COMPUTED_VALUE"""),80.224505)</f>
        <v>80.224505</v>
      </c>
      <c r="F20878" s="4">
        <f>IFERROR(__xludf.DUMMYFUNCTION("""COMPUTED_VALUE"""),5339.0)</f>
        <v>5339</v>
      </c>
      <c r="G20878" s="4">
        <f>IFERROR(__xludf.DUMMYFUNCTION("""COMPUTED_VALUE"""),29.0)</f>
        <v>29</v>
      </c>
      <c r="H20878" s="4"/>
      <c r="I20878" s="4"/>
    </row>
    <row r="20879">
      <c r="A20879" s="4" t="str">
        <f>IFERROR(__xludf.DUMMYFUNCTION("""COMPUTED_VALUE"""),"cas_hmw")</f>
        <v>cas_hmw</v>
      </c>
      <c r="B20879" s="5">
        <f>IFERROR(__xludf.DUMMYFUNCTION("""COMPUTED_VALUE"""),44783.0)</f>
        <v>44783</v>
      </c>
      <c r="C20879" s="6">
        <f>IFERROR(__xludf.DUMMYFUNCTION("""COMPUTED_VALUE"""),0.7264351851845277)</f>
        <v>0.7264351852</v>
      </c>
      <c r="D20879" s="4">
        <f>IFERROR(__xludf.DUMMYFUNCTION("""COMPUTED_VALUE"""),13.018504)</f>
        <v>13.018504</v>
      </c>
      <c r="E20879" s="4">
        <f>IFERROR(__xludf.DUMMYFUNCTION("""COMPUTED_VALUE"""),80.224505)</f>
        <v>80.224505</v>
      </c>
      <c r="F20879" s="4">
        <f>IFERROR(__xludf.DUMMYFUNCTION("""COMPUTED_VALUE"""),5339.0)</f>
        <v>5339</v>
      </c>
      <c r="G20879" s="4">
        <f>IFERROR(__xludf.DUMMYFUNCTION("""COMPUTED_VALUE"""),29.0)</f>
        <v>29</v>
      </c>
      <c r="H20879" s="4"/>
      <c r="I20879" s="4"/>
    </row>
    <row r="20880">
      <c r="A20880" s="4" t="str">
        <f>IFERROR(__xludf.DUMMYFUNCTION("""COMPUTED_VALUE"""),"cas_hmw")</f>
        <v>cas_hmw</v>
      </c>
      <c r="B20880" s="5">
        <f>IFERROR(__xludf.DUMMYFUNCTION("""COMPUTED_VALUE"""),44783.0)</f>
        <v>44783</v>
      </c>
      <c r="C20880" s="6">
        <f>IFERROR(__xludf.DUMMYFUNCTION("""COMPUTED_VALUE"""),0.7264467592576693)</f>
        <v>0.7264467593</v>
      </c>
      <c r="D20880" s="4">
        <f>IFERROR(__xludf.DUMMYFUNCTION("""COMPUTED_VALUE"""),13.018504)</f>
        <v>13.018504</v>
      </c>
      <c r="E20880" s="4">
        <f>IFERROR(__xludf.DUMMYFUNCTION("""COMPUTED_VALUE"""),80.224505)</f>
        <v>80.224505</v>
      </c>
      <c r="F20880" s="4">
        <f>IFERROR(__xludf.DUMMYFUNCTION("""COMPUTED_VALUE"""),5339.0)</f>
        <v>5339</v>
      </c>
      <c r="G20880" s="4">
        <f>IFERROR(__xludf.DUMMYFUNCTION("""COMPUTED_VALUE"""),29.0)</f>
        <v>29</v>
      </c>
      <c r="H20880" s="4"/>
      <c r="I20880" s="4"/>
    </row>
    <row r="20881">
      <c r="A20881" s="4" t="str">
        <f>IFERROR(__xludf.DUMMYFUNCTION("""COMPUTED_VALUE"""),"cas_hmw")</f>
        <v>cas_hmw</v>
      </c>
      <c r="B20881" s="5">
        <f>IFERROR(__xludf.DUMMYFUNCTION("""COMPUTED_VALUE"""),44783.0)</f>
        <v>44783</v>
      </c>
      <c r="C20881" s="6">
        <f>IFERROR(__xludf.DUMMYFUNCTION("""COMPUTED_VALUE"""),0.7269560185195587)</f>
        <v>0.7269560185</v>
      </c>
      <c r="D20881" s="4">
        <f>IFERROR(__xludf.DUMMYFUNCTION("""COMPUTED_VALUE"""),13.00869)</f>
        <v>13.00869</v>
      </c>
      <c r="E20881" s="4">
        <f>IFERROR(__xludf.DUMMYFUNCTION("""COMPUTED_VALUE"""),80.230831)</f>
        <v>80.230831</v>
      </c>
      <c r="F20881" s="4">
        <f>IFERROR(__xludf.DUMMYFUNCTION("""COMPUTED_VALUE"""),805.0)</f>
        <v>805</v>
      </c>
      <c r="G20881" s="4">
        <f>IFERROR(__xludf.DUMMYFUNCTION("""COMPUTED_VALUE"""),48.0)</f>
        <v>48</v>
      </c>
      <c r="H20881" s="4"/>
      <c r="I20881" s="4"/>
    </row>
    <row r="20882">
      <c r="A20882" s="4" t="str">
        <f>IFERROR(__xludf.DUMMYFUNCTION("""COMPUTED_VALUE"""),"cas_hmw")</f>
        <v>cas_hmw</v>
      </c>
      <c r="B20882" s="5">
        <f>IFERROR(__xludf.DUMMYFUNCTION("""COMPUTED_VALUE"""),44783.0)</f>
        <v>44783</v>
      </c>
      <c r="C20882" s="6">
        <f>IFERROR(__xludf.DUMMYFUNCTION("""COMPUTED_VALUE"""),0.7271643518506608)</f>
        <v>0.7271643519</v>
      </c>
      <c r="D20882" s="4">
        <f>IFERROR(__xludf.DUMMYFUNCTION("""COMPUTED_VALUE"""),13.021818)</f>
        <v>13.021818</v>
      </c>
      <c r="E20882" s="4">
        <f>IFERROR(__xludf.DUMMYFUNCTION("""COMPUTED_VALUE"""),80.226054)</f>
        <v>80.226054</v>
      </c>
      <c r="F20882" s="4">
        <f>IFERROR(__xludf.DUMMYFUNCTION("""COMPUTED_VALUE"""),5339.0)</f>
        <v>5339</v>
      </c>
      <c r="G20882" s="4">
        <f>IFERROR(__xludf.DUMMYFUNCTION("""COMPUTED_VALUE"""),35.0)</f>
        <v>35</v>
      </c>
      <c r="H20882" s="4"/>
      <c r="I20882" s="4"/>
    </row>
    <row r="20883">
      <c r="A20883" s="4" t="str">
        <f>IFERROR(__xludf.DUMMYFUNCTION("""COMPUTED_VALUE"""),"cas_hmw")</f>
        <v>cas_hmw</v>
      </c>
      <c r="B20883" s="5">
        <f>IFERROR(__xludf.DUMMYFUNCTION("""COMPUTED_VALUE"""),44783.0)</f>
        <v>44783</v>
      </c>
      <c r="C20883" s="6">
        <f>IFERROR(__xludf.DUMMYFUNCTION("""COMPUTED_VALUE"""),0.7271990740737238)</f>
        <v>0.7271990741</v>
      </c>
      <c r="D20883" s="4">
        <f>IFERROR(__xludf.DUMMYFUNCTION("""COMPUTED_VALUE"""),13.021818)</f>
        <v>13.021818</v>
      </c>
      <c r="E20883" s="4">
        <f>IFERROR(__xludf.DUMMYFUNCTION("""COMPUTED_VALUE"""),80.226054)</f>
        <v>80.226054</v>
      </c>
      <c r="F20883" s="4">
        <f>IFERROR(__xludf.DUMMYFUNCTION("""COMPUTED_VALUE"""),5339.0)</f>
        <v>5339</v>
      </c>
      <c r="G20883" s="4">
        <f>IFERROR(__xludf.DUMMYFUNCTION("""COMPUTED_VALUE"""),35.0)</f>
        <v>35</v>
      </c>
      <c r="H20883" s="4"/>
      <c r="I20883" s="4"/>
    </row>
    <row r="20884">
      <c r="A20884" s="4" t="str">
        <f>IFERROR(__xludf.DUMMYFUNCTION("""COMPUTED_VALUE"""),"cas_hmw")</f>
        <v>cas_hmw</v>
      </c>
      <c r="B20884" s="5">
        <f>IFERROR(__xludf.DUMMYFUNCTION("""COMPUTED_VALUE"""),44783.0)</f>
        <v>44783</v>
      </c>
      <c r="C20884" s="6">
        <f>IFERROR(__xludf.DUMMYFUNCTION("""COMPUTED_VALUE"""),0.7296412037030677)</f>
        <v>0.7296412037</v>
      </c>
      <c r="D20884" s="4">
        <f>IFERROR(__xludf.DUMMYFUNCTION("""COMPUTED_VALUE"""),12.606774)</f>
        <v>12.606774</v>
      </c>
      <c r="E20884" s="4">
        <f>IFERROR(__xludf.DUMMYFUNCTION("""COMPUTED_VALUE"""),79.921153)</f>
        <v>79.921153</v>
      </c>
      <c r="F20884" s="4">
        <f>IFERROR(__xludf.DUMMYFUNCTION("""COMPUTED_VALUE"""),2846.0)</f>
        <v>2846</v>
      </c>
      <c r="G20884" s="4">
        <f>IFERROR(__xludf.DUMMYFUNCTION("""COMPUTED_VALUE"""),50.0)</f>
        <v>50</v>
      </c>
      <c r="H20884" s="4"/>
      <c r="I20884" s="4"/>
    </row>
    <row r="20885">
      <c r="A20885" s="4" t="str">
        <f>IFERROR(__xludf.DUMMYFUNCTION("""COMPUTED_VALUE"""),"cas_hmw")</f>
        <v>cas_hmw</v>
      </c>
      <c r="B20885" s="5">
        <f>IFERROR(__xludf.DUMMYFUNCTION("""COMPUTED_VALUE"""),44783.0)</f>
        <v>44783</v>
      </c>
      <c r="C20885" s="6">
        <f>IFERROR(__xludf.DUMMYFUNCTION("""COMPUTED_VALUE"""),0.7296643518529891)</f>
        <v>0.7296643519</v>
      </c>
      <c r="D20885" s="4">
        <f>IFERROR(__xludf.DUMMYFUNCTION("""COMPUTED_VALUE"""),13.027045)</f>
        <v>13.027045</v>
      </c>
      <c r="E20885" s="4">
        <f>IFERROR(__xludf.DUMMYFUNCTION("""COMPUTED_VALUE"""),80.233771)</f>
        <v>80.233771</v>
      </c>
      <c r="F20885" s="4">
        <f>IFERROR(__xludf.DUMMYFUNCTION("""COMPUTED_VALUE"""),5339.0)</f>
        <v>5339</v>
      </c>
      <c r="G20885" s="4">
        <f>IFERROR(__xludf.DUMMYFUNCTION("""COMPUTED_VALUE"""),43.0)</f>
        <v>43</v>
      </c>
      <c r="H20885" s="4"/>
      <c r="I20885" s="4"/>
    </row>
    <row r="20886">
      <c r="A20886" s="4" t="str">
        <f>IFERROR(__xludf.DUMMYFUNCTION("""COMPUTED_VALUE"""),"cas_hmw")</f>
        <v>cas_hmw</v>
      </c>
      <c r="B20886" s="5">
        <f>IFERROR(__xludf.DUMMYFUNCTION("""COMPUTED_VALUE"""),44783.0)</f>
        <v>44783</v>
      </c>
      <c r="C20886" s="6">
        <f>IFERROR(__xludf.DUMMYFUNCTION("""COMPUTED_VALUE"""),0.7316319444435067)</f>
        <v>0.7316319444</v>
      </c>
      <c r="D20886" s="4">
        <f>IFERROR(__xludf.DUMMYFUNCTION("""COMPUTED_VALUE"""),12.582977)</f>
        <v>12.582977</v>
      </c>
      <c r="E20886" s="4">
        <f>IFERROR(__xludf.DUMMYFUNCTION("""COMPUTED_VALUE"""),79.919226)</f>
        <v>79.919226</v>
      </c>
      <c r="F20886" s="4">
        <f>IFERROR(__xludf.DUMMYFUNCTION("""COMPUTED_VALUE"""),2846.0)</f>
        <v>2846</v>
      </c>
      <c r="G20886" s="4">
        <f>IFERROR(__xludf.DUMMYFUNCTION("""COMPUTED_VALUE"""),53.0)</f>
        <v>53</v>
      </c>
      <c r="H20886" s="4"/>
      <c r="I20886" s="4"/>
    </row>
    <row r="20887">
      <c r="A20887" s="4" t="str">
        <f>IFERROR(__xludf.DUMMYFUNCTION("""COMPUTED_VALUE"""),"cas_hmw")</f>
        <v>cas_hmw</v>
      </c>
      <c r="B20887" s="5">
        <f>IFERROR(__xludf.DUMMYFUNCTION("""COMPUTED_VALUE"""),44783.0)</f>
        <v>44783</v>
      </c>
      <c r="C20887" s="6">
        <f>IFERROR(__xludf.DUMMYFUNCTION("""COMPUTED_VALUE"""),0.7316319444435067)</f>
        <v>0.7316319444</v>
      </c>
      <c r="D20887" s="4">
        <f>IFERROR(__xludf.DUMMYFUNCTION("""COMPUTED_VALUE"""),12.589368)</f>
        <v>12.589368</v>
      </c>
      <c r="E20887" s="4">
        <f>IFERROR(__xludf.DUMMYFUNCTION("""COMPUTED_VALUE"""),79.919389)</f>
        <v>79.919389</v>
      </c>
      <c r="F20887" s="4">
        <f>IFERROR(__xludf.DUMMYFUNCTION("""COMPUTED_VALUE"""),2846.0)</f>
        <v>2846</v>
      </c>
      <c r="G20887" s="4">
        <f>IFERROR(__xludf.DUMMYFUNCTION("""COMPUTED_VALUE"""),57.0)</f>
        <v>57</v>
      </c>
      <c r="H20887" s="4"/>
      <c r="I20887" s="4"/>
    </row>
    <row r="20888">
      <c r="A20888" s="4" t="str">
        <f>IFERROR(__xludf.DUMMYFUNCTION("""COMPUTED_VALUE"""),"cas_hmw")</f>
        <v>cas_hmw</v>
      </c>
      <c r="B20888" s="5">
        <f>IFERROR(__xludf.DUMMYFUNCTION("""COMPUTED_VALUE"""),44783.0)</f>
        <v>44783</v>
      </c>
      <c r="C20888" s="6">
        <f>IFERROR(__xludf.DUMMYFUNCTION("""COMPUTED_VALUE"""),0.7328819444446708)</f>
        <v>0.7328819444</v>
      </c>
      <c r="D20888" s="4">
        <f>IFERROR(__xludf.DUMMYFUNCTION("""COMPUTED_VALUE"""),13.006547)</f>
        <v>13.006547</v>
      </c>
      <c r="E20888" s="4">
        <f>IFERROR(__xludf.DUMMYFUNCTION("""COMPUTED_VALUE"""),80.25428)</f>
        <v>80.25428</v>
      </c>
      <c r="F20888" s="4">
        <f>IFERROR(__xludf.DUMMYFUNCTION("""COMPUTED_VALUE"""),805.0)</f>
        <v>805</v>
      </c>
      <c r="G20888" s="4">
        <f>IFERROR(__xludf.DUMMYFUNCTION("""COMPUTED_VALUE"""),41.0)</f>
        <v>41</v>
      </c>
      <c r="H20888" s="4"/>
      <c r="I20888" s="4"/>
    </row>
    <row r="20889">
      <c r="A20889" s="4" t="str">
        <f>IFERROR(__xludf.DUMMYFUNCTION("""COMPUTED_VALUE"""),"cas_hmw")</f>
        <v>cas_hmw</v>
      </c>
      <c r="B20889" s="5">
        <f>IFERROR(__xludf.DUMMYFUNCTION("""COMPUTED_VALUE"""),44783.0)</f>
        <v>44783</v>
      </c>
      <c r="C20889" s="6">
        <f>IFERROR(__xludf.DUMMYFUNCTION("""COMPUTED_VALUE"""),0.7329745370370802)</f>
        <v>0.732974537</v>
      </c>
      <c r="D20889" s="4">
        <f>IFERROR(__xludf.DUMMYFUNCTION("""COMPUTED_VALUE"""),13.00661)</f>
        <v>13.00661</v>
      </c>
      <c r="E20889" s="4">
        <f>IFERROR(__xludf.DUMMYFUNCTION("""COMPUTED_VALUE"""),80.255637)</f>
        <v>80.255637</v>
      </c>
      <c r="F20889" s="4">
        <f>IFERROR(__xludf.DUMMYFUNCTION("""COMPUTED_VALUE"""),805.0)</f>
        <v>805</v>
      </c>
      <c r="G20889" s="4">
        <f>IFERROR(__xludf.DUMMYFUNCTION("""COMPUTED_VALUE"""),44.0)</f>
        <v>44</v>
      </c>
      <c r="H20889" s="4"/>
      <c r="I20889" s="4"/>
    </row>
    <row r="20890">
      <c r="A20890" s="4" t="str">
        <f>IFERROR(__xludf.DUMMYFUNCTION("""COMPUTED_VALUE"""),"cas_hmw")</f>
        <v>cas_hmw</v>
      </c>
      <c r="B20890" s="5">
        <f>IFERROR(__xludf.DUMMYFUNCTION("""COMPUTED_VALUE"""),44783.0)</f>
        <v>44783</v>
      </c>
      <c r="C20890" s="6">
        <f>IFERROR(__xludf.DUMMYFUNCTION("""COMPUTED_VALUE"""),0.7333912037029222)</f>
        <v>0.7333912037</v>
      </c>
      <c r="D20890" s="4">
        <f>IFERROR(__xludf.DUMMYFUNCTION("""COMPUTED_VALUE"""),13.034046)</f>
        <v>13.034046</v>
      </c>
      <c r="E20890" s="4">
        <f>IFERROR(__xludf.DUMMYFUNCTION("""COMPUTED_VALUE"""),80.244644)</f>
        <v>80.244644</v>
      </c>
      <c r="F20890" s="4">
        <f>IFERROR(__xludf.DUMMYFUNCTION("""COMPUTED_VALUE"""),5339.0)</f>
        <v>5339</v>
      </c>
      <c r="G20890" s="4">
        <f>IFERROR(__xludf.DUMMYFUNCTION("""COMPUTED_VALUE"""),20.0)</f>
        <v>20</v>
      </c>
      <c r="H20890" s="4"/>
      <c r="I20890" s="4"/>
    </row>
    <row r="20891">
      <c r="A20891" s="4" t="str">
        <f>IFERROR(__xludf.DUMMYFUNCTION("""COMPUTED_VALUE"""),"cas_hmw")</f>
        <v>cas_hmw</v>
      </c>
      <c r="B20891" s="5">
        <f>IFERROR(__xludf.DUMMYFUNCTION("""COMPUTED_VALUE"""),44783.0)</f>
        <v>44783</v>
      </c>
      <c r="C20891" s="6">
        <f>IFERROR(__xludf.DUMMYFUNCTION("""COMPUTED_VALUE"""),0.7365162037021946)</f>
        <v>0.7365162037</v>
      </c>
      <c r="D20891" s="4">
        <f>IFERROR(__xludf.DUMMYFUNCTION("""COMPUTED_VALUE"""),12.972784)</f>
        <v>12.972784</v>
      </c>
      <c r="E20891" s="4">
        <f>IFERROR(__xludf.DUMMYFUNCTION("""COMPUTED_VALUE"""),80.219583)</f>
        <v>80.219583</v>
      </c>
      <c r="F20891" s="4">
        <f>IFERROR(__xludf.DUMMYFUNCTION("""COMPUTED_VALUE"""),3143.0)</f>
        <v>3143</v>
      </c>
      <c r="G20891" s="4">
        <f>IFERROR(__xludf.DUMMYFUNCTION("""COMPUTED_VALUE"""),51.0)</f>
        <v>51</v>
      </c>
      <c r="H20891" s="4"/>
      <c r="I20891" s="4"/>
    </row>
    <row r="20892">
      <c r="A20892" s="4" t="str">
        <f>IFERROR(__xludf.DUMMYFUNCTION("""COMPUTED_VALUE"""),"cas_hmw")</f>
        <v>cas_hmw</v>
      </c>
      <c r="B20892" s="5">
        <f>IFERROR(__xludf.DUMMYFUNCTION("""COMPUTED_VALUE"""),44783.0)</f>
        <v>44783</v>
      </c>
      <c r="C20892" s="6">
        <f>IFERROR(__xludf.DUMMYFUNCTION("""COMPUTED_VALUE"""),0.7365393518521159)</f>
        <v>0.7365393519</v>
      </c>
      <c r="D20892" s="4">
        <f>IFERROR(__xludf.DUMMYFUNCTION("""COMPUTED_VALUE"""),12.972784)</f>
        <v>12.972784</v>
      </c>
      <c r="E20892" s="4">
        <f>IFERROR(__xludf.DUMMYFUNCTION("""COMPUTED_VALUE"""),80.219583)</f>
        <v>80.219583</v>
      </c>
      <c r="F20892" s="4">
        <f>IFERROR(__xludf.DUMMYFUNCTION("""COMPUTED_VALUE"""),3143.0)</f>
        <v>3143</v>
      </c>
      <c r="G20892" s="4">
        <f>IFERROR(__xludf.DUMMYFUNCTION("""COMPUTED_VALUE"""),51.0)</f>
        <v>51</v>
      </c>
      <c r="H20892" s="4"/>
      <c r="I20892" s="4"/>
    </row>
    <row r="20893">
      <c r="A20893" s="4" t="str">
        <f>IFERROR(__xludf.DUMMYFUNCTION("""COMPUTED_VALUE"""),"cas_hmw")</f>
        <v>cas_hmw</v>
      </c>
      <c r="B20893" s="5">
        <f>IFERROR(__xludf.DUMMYFUNCTION("""COMPUTED_VALUE"""),44783.0)</f>
        <v>44783</v>
      </c>
      <c r="C20893" s="6">
        <f>IFERROR(__xludf.DUMMYFUNCTION("""COMPUTED_VALUE"""),0.7374768518529891)</f>
        <v>0.7374768519</v>
      </c>
      <c r="D20893" s="4">
        <f>IFERROR(__xludf.DUMMYFUNCTION("""COMPUTED_VALUE"""),13.021643)</f>
        <v>13.021643</v>
      </c>
      <c r="E20893" s="4">
        <f>IFERROR(__xludf.DUMMYFUNCTION("""COMPUTED_VALUE"""),80.263113)</f>
        <v>80.263113</v>
      </c>
      <c r="F20893" s="4">
        <f>IFERROR(__xludf.DUMMYFUNCTION("""COMPUTED_VALUE"""),805.0)</f>
        <v>805</v>
      </c>
      <c r="G20893" s="4">
        <f>IFERROR(__xludf.DUMMYFUNCTION("""COMPUTED_VALUE"""),24.0)</f>
        <v>24</v>
      </c>
      <c r="H20893" s="4"/>
      <c r="I20893" s="4"/>
    </row>
    <row r="20894">
      <c r="A20894" s="4" t="str">
        <f>IFERROR(__xludf.DUMMYFUNCTION("""COMPUTED_VALUE"""),"cas_hmw")</f>
        <v>cas_hmw</v>
      </c>
      <c r="B20894" s="5">
        <f>IFERROR(__xludf.DUMMYFUNCTION("""COMPUTED_VALUE"""),44783.0)</f>
        <v>44783</v>
      </c>
      <c r="C20894" s="6">
        <f>IFERROR(__xludf.DUMMYFUNCTION("""COMPUTED_VALUE"""),0.7397569444437977)</f>
        <v>0.7397569444</v>
      </c>
      <c r="D20894" s="4">
        <f>IFERROR(__xludf.DUMMYFUNCTION("""COMPUTED_VALUE"""),13.046268)</f>
        <v>13.046268</v>
      </c>
      <c r="E20894" s="4">
        <f>IFERROR(__xludf.DUMMYFUNCTION("""COMPUTED_VALUE"""),80.248244)</f>
        <v>80.248244</v>
      </c>
      <c r="F20894" s="4">
        <f>IFERROR(__xludf.DUMMYFUNCTION("""COMPUTED_VALUE"""),5339.0)</f>
        <v>5339</v>
      </c>
      <c r="G20894" s="4">
        <f>IFERROR(__xludf.DUMMYFUNCTION("""COMPUTED_VALUE"""),37.0)</f>
        <v>37</v>
      </c>
      <c r="H20894" s="4"/>
      <c r="I20894" s="4"/>
    </row>
    <row r="20895">
      <c r="A20895" s="4" t="str">
        <f>IFERROR(__xludf.DUMMYFUNCTION("""COMPUTED_VALUE"""),"cas_hmw")</f>
        <v>cas_hmw</v>
      </c>
      <c r="B20895" s="5">
        <f>IFERROR(__xludf.DUMMYFUNCTION("""COMPUTED_VALUE"""),44783.0)</f>
        <v>44783</v>
      </c>
      <c r="C20895" s="6">
        <f>IFERROR(__xludf.DUMMYFUNCTION("""COMPUTED_VALUE"""),0.7404513888905058)</f>
        <v>0.7404513889</v>
      </c>
      <c r="D20895" s="4">
        <f>IFERROR(__xludf.DUMMYFUNCTION("""COMPUTED_VALUE"""),12.976958)</f>
        <v>12.976958</v>
      </c>
      <c r="E20895" s="4">
        <f>IFERROR(__xludf.DUMMYFUNCTION("""COMPUTED_VALUE"""),80.222769)</f>
        <v>80.222769</v>
      </c>
      <c r="F20895" s="4">
        <f>IFERROR(__xludf.DUMMYFUNCTION("""COMPUTED_VALUE"""),3143.0)</f>
        <v>3143</v>
      </c>
      <c r="G20895" s="4">
        <f>IFERROR(__xludf.DUMMYFUNCTION("""COMPUTED_VALUE"""),0.0)</f>
        <v>0</v>
      </c>
      <c r="H20895" s="4"/>
      <c r="I20895" s="4"/>
    </row>
    <row r="20896">
      <c r="A20896" s="4" t="str">
        <f>IFERROR(__xludf.DUMMYFUNCTION("""COMPUTED_VALUE"""),"cas_hmw")</f>
        <v>cas_hmw</v>
      </c>
      <c r="B20896" s="5">
        <f>IFERROR(__xludf.DUMMYFUNCTION("""COMPUTED_VALUE"""),44783.0)</f>
        <v>44783</v>
      </c>
      <c r="C20896" s="6">
        <f>IFERROR(__xludf.DUMMYFUNCTION("""COMPUTED_VALUE"""),0.7404513888905058)</f>
        <v>0.7404513889</v>
      </c>
      <c r="D20896" s="4">
        <f>IFERROR(__xludf.DUMMYFUNCTION("""COMPUTED_VALUE"""),12.976958)</f>
        <v>12.976958</v>
      </c>
      <c r="E20896" s="4">
        <f>IFERROR(__xludf.DUMMYFUNCTION("""COMPUTED_VALUE"""),80.222769)</f>
        <v>80.222769</v>
      </c>
      <c r="F20896" s="4">
        <f>IFERROR(__xludf.DUMMYFUNCTION("""COMPUTED_VALUE"""),3143.0)</f>
        <v>3143</v>
      </c>
      <c r="G20896" s="4">
        <f>IFERROR(__xludf.DUMMYFUNCTION("""COMPUTED_VALUE"""),0.0)</f>
        <v>0</v>
      </c>
      <c r="H20896" s="4"/>
      <c r="I20896" s="4"/>
    </row>
    <row r="20897">
      <c r="A20897" s="4" t="str">
        <f>IFERROR(__xludf.DUMMYFUNCTION("""COMPUTED_VALUE"""),"cas_hmw")</f>
        <v>cas_hmw</v>
      </c>
      <c r="B20897" s="5">
        <f>IFERROR(__xludf.DUMMYFUNCTION("""COMPUTED_VALUE"""),44783.0)</f>
        <v>44783</v>
      </c>
      <c r="C20897" s="6">
        <f>IFERROR(__xludf.DUMMYFUNCTION("""COMPUTED_VALUE"""),0.7405208333329938)</f>
        <v>0.7405208333</v>
      </c>
      <c r="D20897" s="4">
        <f>IFERROR(__xludf.DUMMYFUNCTION("""COMPUTED_VALUE"""),13.052296)</f>
        <v>13.052296</v>
      </c>
      <c r="E20897" s="4">
        <f>IFERROR(__xludf.DUMMYFUNCTION("""COMPUTED_VALUE"""),80.250935)</f>
        <v>80.250935</v>
      </c>
      <c r="F20897" s="4">
        <f>IFERROR(__xludf.DUMMYFUNCTION("""COMPUTED_VALUE"""),5339.0)</f>
        <v>5339</v>
      </c>
      <c r="G20897" s="4">
        <f>IFERROR(__xludf.DUMMYFUNCTION("""COMPUTED_VALUE"""),36.0)</f>
        <v>36</v>
      </c>
      <c r="H20897" s="4"/>
      <c r="I20897" s="4"/>
    </row>
    <row r="20898">
      <c r="A20898" s="4" t="str">
        <f>IFERROR(__xludf.DUMMYFUNCTION("""COMPUTED_VALUE"""),"cas_hmw")</f>
        <v>cas_hmw</v>
      </c>
      <c r="B20898" s="5">
        <f>IFERROR(__xludf.DUMMYFUNCTION("""COMPUTED_VALUE"""),44783.0)</f>
        <v>44783</v>
      </c>
      <c r="C20898" s="6">
        <f>IFERROR(__xludf.DUMMYFUNCTION("""COMPUTED_VALUE"""),0.7406134259254031)</f>
        <v>0.7406134259</v>
      </c>
      <c r="D20898" s="4">
        <f>IFERROR(__xludf.DUMMYFUNCTION("""COMPUTED_VALUE"""),12.977316)</f>
        <v>12.977316</v>
      </c>
      <c r="E20898" s="4">
        <f>IFERROR(__xludf.DUMMYFUNCTION("""COMPUTED_VALUE"""),80.22333)</f>
        <v>80.22333</v>
      </c>
      <c r="F20898" s="4">
        <f>IFERROR(__xludf.DUMMYFUNCTION("""COMPUTED_VALUE"""),3143.0)</f>
        <v>3143</v>
      </c>
      <c r="G20898" s="4">
        <f>IFERROR(__xludf.DUMMYFUNCTION("""COMPUTED_VALUE"""),27.0)</f>
        <v>27</v>
      </c>
      <c r="H20898" s="4"/>
      <c r="I20898" s="4"/>
    </row>
    <row r="20899">
      <c r="A20899" s="4" t="str">
        <f>IFERROR(__xludf.DUMMYFUNCTION("""COMPUTED_VALUE"""),"cas_hmw")</f>
        <v>cas_hmw</v>
      </c>
      <c r="B20899" s="5">
        <f>IFERROR(__xludf.DUMMYFUNCTION("""COMPUTED_VALUE"""),44783.0)</f>
        <v>44783</v>
      </c>
      <c r="C20899" s="6">
        <f>IFERROR(__xludf.DUMMYFUNCTION("""COMPUTED_VALUE"""),0.742118055553874)</f>
        <v>0.7421180556</v>
      </c>
      <c r="D20899" s="4">
        <f>IFERROR(__xludf.DUMMYFUNCTION("""COMPUTED_VALUE"""),13.056306)</f>
        <v>13.056306</v>
      </c>
      <c r="E20899" s="4">
        <f>IFERROR(__xludf.DUMMYFUNCTION("""COMPUTED_VALUE"""),80.25631)</f>
        <v>80.25631</v>
      </c>
      <c r="F20899" s="4">
        <f>IFERROR(__xludf.DUMMYFUNCTION("""COMPUTED_VALUE"""),5339.0)</f>
        <v>5339</v>
      </c>
      <c r="G20899" s="4">
        <f>IFERROR(__xludf.DUMMYFUNCTION("""COMPUTED_VALUE"""),21.0)</f>
        <v>21</v>
      </c>
      <c r="H20899" s="4"/>
      <c r="I20899" s="4"/>
    </row>
    <row r="20900">
      <c r="A20900" s="4" t="str">
        <f>IFERROR(__xludf.DUMMYFUNCTION("""COMPUTED_VALUE"""),"cas_hmw")</f>
        <v>cas_hmw</v>
      </c>
      <c r="B20900" s="5">
        <f>IFERROR(__xludf.DUMMYFUNCTION("""COMPUTED_VALUE"""),44783.0)</f>
        <v>44783</v>
      </c>
      <c r="C20900" s="6">
        <f>IFERROR(__xludf.DUMMYFUNCTION("""COMPUTED_VALUE"""),0.742152777776937)</f>
        <v>0.7421527778</v>
      </c>
      <c r="D20900" s="4">
        <f>IFERROR(__xludf.DUMMYFUNCTION("""COMPUTED_VALUE"""),12.979798)</f>
        <v>12.979798</v>
      </c>
      <c r="E20900" s="4">
        <f>IFERROR(__xludf.DUMMYFUNCTION("""COMPUTED_VALUE"""),80.22765)</f>
        <v>80.22765</v>
      </c>
      <c r="F20900" s="4">
        <f>IFERROR(__xludf.DUMMYFUNCTION("""COMPUTED_VALUE"""),3143.0)</f>
        <v>3143</v>
      </c>
      <c r="G20900" s="4">
        <f>IFERROR(__xludf.DUMMYFUNCTION("""COMPUTED_VALUE"""),29.0)</f>
        <v>29</v>
      </c>
      <c r="H20900" s="4"/>
      <c r="I20900" s="4"/>
    </row>
    <row r="20901">
      <c r="A20901" s="4" t="str">
        <f>IFERROR(__xludf.DUMMYFUNCTION("""COMPUTED_VALUE"""),"cas_hmw")</f>
        <v>cas_hmw</v>
      </c>
      <c r="B20901" s="5">
        <f>IFERROR(__xludf.DUMMYFUNCTION("""COMPUTED_VALUE"""),44783.0)</f>
        <v>44783</v>
      </c>
      <c r="C20901" s="6">
        <f>IFERROR(__xludf.DUMMYFUNCTION("""COMPUTED_VALUE"""),0.7422685185192677)</f>
        <v>0.7422685185</v>
      </c>
      <c r="D20901" s="4">
        <f>IFERROR(__xludf.DUMMYFUNCTION("""COMPUTED_VALUE"""),12.978951)</f>
        <v>12.978951</v>
      </c>
      <c r="E20901" s="4">
        <f>IFERROR(__xludf.DUMMYFUNCTION("""COMPUTED_VALUE"""),80.22636)</f>
        <v>80.22636</v>
      </c>
      <c r="F20901" s="4">
        <f>IFERROR(__xludf.DUMMYFUNCTION("""COMPUTED_VALUE"""),3143.0)</f>
        <v>3143</v>
      </c>
      <c r="G20901" s="4">
        <f>IFERROR(__xludf.DUMMYFUNCTION("""COMPUTED_VALUE"""),34.0)</f>
        <v>34</v>
      </c>
      <c r="H20901" s="4"/>
      <c r="I20901" s="4"/>
    </row>
    <row r="20902">
      <c r="A20902" s="4" t="str">
        <f>IFERROR(__xludf.DUMMYFUNCTION("""COMPUTED_VALUE"""),"cas_hmw")</f>
        <v>cas_hmw</v>
      </c>
      <c r="B20902" s="5">
        <f>IFERROR(__xludf.DUMMYFUNCTION("""COMPUTED_VALUE"""),44783.0)</f>
        <v>44783</v>
      </c>
      <c r="C20902" s="6">
        <f>IFERROR(__xludf.DUMMYFUNCTION("""COMPUTED_VALUE"""),0.7423148148154723)</f>
        <v>0.7423148148</v>
      </c>
      <c r="D20902" s="4">
        <f>IFERROR(__xludf.DUMMYFUNCTION("""COMPUTED_VALUE"""),13.031202)</f>
        <v>13.031202</v>
      </c>
      <c r="E20902" s="4">
        <f>IFERROR(__xludf.DUMMYFUNCTION("""COMPUTED_VALUE"""),80.266855)</f>
        <v>80.266855</v>
      </c>
      <c r="F20902" s="4">
        <f>IFERROR(__xludf.DUMMYFUNCTION("""COMPUTED_VALUE"""),805.0)</f>
        <v>805</v>
      </c>
      <c r="G20902" s="4">
        <f>IFERROR(__xludf.DUMMYFUNCTION("""COMPUTED_VALUE"""),26.0)</f>
        <v>26</v>
      </c>
      <c r="H20902" s="4"/>
      <c r="I20902" s="4"/>
    </row>
    <row r="20903">
      <c r="A20903" s="4" t="str">
        <f>IFERROR(__xludf.DUMMYFUNCTION("""COMPUTED_VALUE"""),"cas_hmw")</f>
        <v>cas_hmw</v>
      </c>
      <c r="B20903" s="5">
        <f>IFERROR(__xludf.DUMMYFUNCTION("""COMPUTED_VALUE"""),44783.0)</f>
        <v>44783</v>
      </c>
      <c r="C20903" s="6">
        <f>IFERROR(__xludf.DUMMYFUNCTION("""COMPUTED_VALUE"""),0.7424421296309447)</f>
        <v>0.7424421296</v>
      </c>
      <c r="D20903" s="4">
        <f>IFERROR(__xludf.DUMMYFUNCTION("""COMPUTED_VALUE"""),12.978559)</f>
        <v>12.978559</v>
      </c>
      <c r="E20903" s="4">
        <f>IFERROR(__xludf.DUMMYFUNCTION("""COMPUTED_VALUE"""),80.225652)</f>
        <v>80.225652</v>
      </c>
      <c r="F20903" s="4">
        <f>IFERROR(__xludf.DUMMYFUNCTION("""COMPUTED_VALUE"""),3143.0)</f>
        <v>3143</v>
      </c>
      <c r="G20903" s="4">
        <f>IFERROR(__xludf.DUMMYFUNCTION("""COMPUTED_VALUE"""),32.0)</f>
        <v>32</v>
      </c>
      <c r="H20903" s="4"/>
      <c r="I20903" s="4"/>
    </row>
    <row r="20904">
      <c r="A20904" s="4" t="str">
        <f>IFERROR(__xludf.DUMMYFUNCTION("""COMPUTED_VALUE"""),"cas_hmw")</f>
        <v>cas_hmw</v>
      </c>
      <c r="B20904" s="5">
        <f>IFERROR(__xludf.DUMMYFUNCTION("""COMPUTED_VALUE"""),44783.0)</f>
        <v>44783</v>
      </c>
      <c r="C20904" s="6">
        <f>IFERROR(__xludf.DUMMYFUNCTION("""COMPUTED_VALUE"""),0.7445138888906513)</f>
        <v>0.7445138889</v>
      </c>
      <c r="D20904" s="4">
        <f>IFERROR(__xludf.DUMMYFUNCTION("""COMPUTED_VALUE"""),12.970467)</f>
        <v>12.970467</v>
      </c>
      <c r="E20904" s="4">
        <f>IFERROR(__xludf.DUMMYFUNCTION("""COMPUTED_VALUE"""),80.218863)</f>
        <v>80.218863</v>
      </c>
      <c r="F20904" s="4">
        <f>IFERROR(__xludf.DUMMYFUNCTION("""COMPUTED_VALUE"""),3143.0)</f>
        <v>3143</v>
      </c>
      <c r="G20904" s="4">
        <f>IFERROR(__xludf.DUMMYFUNCTION("""COMPUTED_VALUE"""),39.0)</f>
        <v>39</v>
      </c>
      <c r="H20904" s="4"/>
      <c r="I20904" s="4"/>
    </row>
    <row r="20905">
      <c r="A20905" s="4" t="str">
        <f>IFERROR(__xludf.DUMMYFUNCTION("""COMPUTED_VALUE"""),"cas_hmw")</f>
        <v>cas_hmw</v>
      </c>
      <c r="B20905" s="5">
        <f>IFERROR(__xludf.DUMMYFUNCTION("""COMPUTED_VALUE"""),44783.0)</f>
        <v>44783</v>
      </c>
      <c r="C20905" s="6">
        <f>IFERROR(__xludf.DUMMYFUNCTION("""COMPUTED_VALUE"""),0.7476851851861284)</f>
        <v>0.7476851852</v>
      </c>
      <c r="D20905" s="4">
        <f>IFERROR(__xludf.DUMMYFUNCTION("""COMPUTED_VALUE"""),12.963108)</f>
        <v>12.963108</v>
      </c>
      <c r="E20905" s="4">
        <f>IFERROR(__xludf.DUMMYFUNCTION("""COMPUTED_VALUE"""),80.215908)</f>
        <v>80.215908</v>
      </c>
      <c r="F20905" s="4">
        <f>IFERROR(__xludf.DUMMYFUNCTION("""COMPUTED_VALUE"""),3143.0)</f>
        <v>3143</v>
      </c>
      <c r="G20905" s="4">
        <f>IFERROR(__xludf.DUMMYFUNCTION("""COMPUTED_VALUE"""),25.0)</f>
        <v>25</v>
      </c>
      <c r="H20905" s="4"/>
      <c r="I20905" s="4"/>
    </row>
    <row r="20906">
      <c r="A20906" s="4" t="str">
        <f>IFERROR(__xludf.DUMMYFUNCTION("""COMPUTED_VALUE"""),"cas_hmw")</f>
        <v>cas_hmw</v>
      </c>
      <c r="B20906" s="5">
        <f>IFERROR(__xludf.DUMMYFUNCTION("""COMPUTED_VALUE"""),44783.0)</f>
        <v>44783</v>
      </c>
      <c r="C20906" s="6">
        <f>IFERROR(__xludf.DUMMYFUNCTION("""COMPUTED_VALUE"""),0.7477199074091914)</f>
        <v>0.7477199074</v>
      </c>
      <c r="D20906" s="4">
        <f>IFERROR(__xludf.DUMMYFUNCTION("""COMPUTED_VALUE"""),13.044171)</f>
        <v>13.044171</v>
      </c>
      <c r="E20906" s="4">
        <f>IFERROR(__xludf.DUMMYFUNCTION("""COMPUTED_VALUE"""),80.267041)</f>
        <v>80.267041</v>
      </c>
      <c r="F20906" s="4">
        <f>IFERROR(__xludf.DUMMYFUNCTION("""COMPUTED_VALUE"""),805.0)</f>
        <v>805</v>
      </c>
      <c r="G20906" s="4">
        <f>IFERROR(__xludf.DUMMYFUNCTION("""COMPUTED_VALUE"""),38.0)</f>
        <v>38</v>
      </c>
      <c r="H20906" s="4"/>
      <c r="I20906" s="4"/>
    </row>
    <row r="20907">
      <c r="A20907" s="4" t="str">
        <f>IFERROR(__xludf.DUMMYFUNCTION("""COMPUTED_VALUE"""),"cas_hmw")</f>
        <v>cas_hmw</v>
      </c>
      <c r="B20907" s="5">
        <f>IFERROR(__xludf.DUMMYFUNCTION("""COMPUTED_VALUE"""),44783.0)</f>
        <v>44783</v>
      </c>
      <c r="C20907" s="6">
        <f>IFERROR(__xludf.DUMMYFUNCTION("""COMPUTED_VALUE"""),0.7477777777785377)</f>
        <v>0.7477777778</v>
      </c>
      <c r="D20907" s="4">
        <f>IFERROR(__xludf.DUMMYFUNCTION("""COMPUTED_VALUE"""),12.963108)</f>
        <v>12.963108</v>
      </c>
      <c r="E20907" s="4">
        <f>IFERROR(__xludf.DUMMYFUNCTION("""COMPUTED_VALUE"""),80.215908)</f>
        <v>80.215908</v>
      </c>
      <c r="F20907" s="4">
        <f>IFERROR(__xludf.DUMMYFUNCTION("""COMPUTED_VALUE"""),3143.0)</f>
        <v>3143</v>
      </c>
      <c r="G20907" s="4">
        <f>IFERROR(__xludf.DUMMYFUNCTION("""COMPUTED_VALUE"""),25.0)</f>
        <v>25</v>
      </c>
      <c r="H20907" s="4"/>
      <c r="I20907" s="4"/>
    </row>
    <row r="20908">
      <c r="A20908" s="4" t="str">
        <f>IFERROR(__xludf.DUMMYFUNCTION("""COMPUTED_VALUE"""),"cas_hmw")</f>
        <v>cas_hmw</v>
      </c>
      <c r="B20908" s="5">
        <f>IFERROR(__xludf.DUMMYFUNCTION("""COMPUTED_VALUE"""),44783.0)</f>
        <v>44783</v>
      </c>
      <c r="C20908" s="6">
        <f>IFERROR(__xludf.DUMMYFUNCTION("""COMPUTED_VALUE"""),0.7478472222210257)</f>
        <v>0.7478472222</v>
      </c>
      <c r="D20908" s="4">
        <f>IFERROR(__xludf.DUMMYFUNCTION("""COMPUTED_VALUE"""),12.961745)</f>
        <v>12.961745</v>
      </c>
      <c r="E20908" s="4">
        <f>IFERROR(__xludf.DUMMYFUNCTION("""COMPUTED_VALUE"""),80.21535)</f>
        <v>80.21535</v>
      </c>
      <c r="F20908" s="4">
        <f>IFERROR(__xludf.DUMMYFUNCTION("""COMPUTED_VALUE"""),3143.0)</f>
        <v>3143</v>
      </c>
      <c r="G20908" s="4">
        <f>IFERROR(__xludf.DUMMYFUNCTION("""COMPUTED_VALUE"""),40.0)</f>
        <v>40</v>
      </c>
      <c r="H20908" s="4"/>
      <c r="I20908" s="4"/>
    </row>
    <row r="20909">
      <c r="A20909" s="4" t="str">
        <f>IFERROR(__xludf.DUMMYFUNCTION("""COMPUTED_VALUE"""),"cas_hmw")</f>
        <v>cas_hmw</v>
      </c>
      <c r="B20909" s="5">
        <f>IFERROR(__xludf.DUMMYFUNCTION("""COMPUTED_VALUE"""),44783.0)</f>
        <v>44783</v>
      </c>
      <c r="C20909" s="6">
        <f>IFERROR(__xludf.DUMMYFUNCTION("""COMPUTED_VALUE"""),0.7480324074058444)</f>
        <v>0.7480324074</v>
      </c>
      <c r="D20909" s="4">
        <f>IFERROR(__xludf.DUMMYFUNCTION("""COMPUTED_VALUE"""),12.960062)</f>
        <v>12.960062</v>
      </c>
      <c r="E20909" s="4">
        <f>IFERROR(__xludf.DUMMYFUNCTION("""COMPUTED_VALUE"""),80.214666)</f>
        <v>80.214666</v>
      </c>
      <c r="F20909" s="4">
        <f>IFERROR(__xludf.DUMMYFUNCTION("""COMPUTED_VALUE"""),3143.0)</f>
        <v>3143</v>
      </c>
      <c r="G20909" s="4">
        <f>IFERROR(__xludf.DUMMYFUNCTION("""COMPUTED_VALUE"""),47.0)</f>
        <v>47</v>
      </c>
      <c r="H20909" s="4"/>
      <c r="I20909" s="4"/>
    </row>
    <row r="20910">
      <c r="A20910" s="4" t="str">
        <f>IFERROR(__xludf.DUMMYFUNCTION("""COMPUTED_VALUE"""),"cas_hmw")</f>
        <v>cas_hmw</v>
      </c>
      <c r="B20910" s="5">
        <f>IFERROR(__xludf.DUMMYFUNCTION("""COMPUTED_VALUE"""),44783.0)</f>
        <v>44783</v>
      </c>
      <c r="C20910" s="6">
        <f>IFERROR(__xludf.DUMMYFUNCTION("""COMPUTED_VALUE"""),0.7484722222216078)</f>
        <v>0.7484722222</v>
      </c>
      <c r="D20910" s="4">
        <f>IFERROR(__xludf.DUMMYFUNCTION("""COMPUTED_VALUE"""),12.956634)</f>
        <v>12.956634</v>
      </c>
      <c r="E20910" s="4">
        <f>IFERROR(__xludf.DUMMYFUNCTION("""COMPUTED_VALUE"""),80.21329)</f>
        <v>80.21329</v>
      </c>
      <c r="F20910" s="4">
        <f>IFERROR(__xludf.DUMMYFUNCTION("""COMPUTED_VALUE"""),3143.0)</f>
        <v>3143</v>
      </c>
      <c r="G20910" s="4">
        <f>IFERROR(__xludf.DUMMYFUNCTION("""COMPUTED_VALUE"""),37.0)</f>
        <v>37</v>
      </c>
      <c r="H20910" s="4"/>
      <c r="I20910" s="4"/>
    </row>
    <row r="20911">
      <c r="A20911" s="4" t="str">
        <f>IFERROR(__xludf.DUMMYFUNCTION("""COMPUTED_VALUE"""),"cas_hmw")</f>
        <v>cas_hmw</v>
      </c>
      <c r="B20911" s="5">
        <f>IFERROR(__xludf.DUMMYFUNCTION("""COMPUTED_VALUE"""),44783.0)</f>
        <v>44783</v>
      </c>
      <c r="C20911" s="6">
        <f>IFERROR(__xludf.DUMMYFUNCTION("""COMPUTED_VALUE"""),0.7484722222216078)</f>
        <v>0.7484722222</v>
      </c>
      <c r="D20911" s="4">
        <f>IFERROR(__xludf.DUMMYFUNCTION("""COMPUTED_VALUE"""),12.956634)</f>
        <v>12.956634</v>
      </c>
      <c r="E20911" s="4">
        <f>IFERROR(__xludf.DUMMYFUNCTION("""COMPUTED_VALUE"""),80.21329)</f>
        <v>80.21329</v>
      </c>
      <c r="F20911" s="4">
        <f>IFERROR(__xludf.DUMMYFUNCTION("""COMPUTED_VALUE"""),3143.0)</f>
        <v>3143</v>
      </c>
      <c r="G20911" s="4">
        <f>IFERROR(__xludf.DUMMYFUNCTION("""COMPUTED_VALUE"""),37.0)</f>
        <v>37</v>
      </c>
      <c r="H20911" s="4"/>
      <c r="I20911" s="4"/>
    </row>
    <row r="20912">
      <c r="A20912" s="4" t="str">
        <f>IFERROR(__xludf.DUMMYFUNCTION("""COMPUTED_VALUE"""),"cas_hmw")</f>
        <v>cas_hmw</v>
      </c>
      <c r="B20912" s="5">
        <f>IFERROR(__xludf.DUMMYFUNCTION("""COMPUTED_VALUE"""),44783.0)</f>
        <v>44783</v>
      </c>
      <c r="C20912" s="6">
        <f>IFERROR(__xludf.DUMMYFUNCTION("""COMPUTED_VALUE"""),0.7486921296294895)</f>
        <v>0.7486921296</v>
      </c>
      <c r="D20912" s="4">
        <f>IFERROR(__xludf.DUMMYFUNCTION("""COMPUTED_VALUE"""),12.955265)</f>
        <v>12.955265</v>
      </c>
      <c r="E20912" s="4">
        <f>IFERROR(__xludf.DUMMYFUNCTION("""COMPUTED_VALUE"""),80.212771)</f>
        <v>80.212771</v>
      </c>
      <c r="F20912" s="4">
        <f>IFERROR(__xludf.DUMMYFUNCTION("""COMPUTED_VALUE"""),3143.0)</f>
        <v>3143</v>
      </c>
      <c r="G20912" s="4">
        <f>IFERROR(__xludf.DUMMYFUNCTION("""COMPUTED_VALUE"""),32.0)</f>
        <v>32</v>
      </c>
      <c r="H20912" s="4"/>
      <c r="I20912" s="4"/>
    </row>
    <row r="20913">
      <c r="A20913" s="4" t="str">
        <f>IFERROR(__xludf.DUMMYFUNCTION("""COMPUTED_VALUE"""),"cas_hmw")</f>
        <v>cas_hmw</v>
      </c>
      <c r="B20913" s="5">
        <f>IFERROR(__xludf.DUMMYFUNCTION("""COMPUTED_VALUE"""),44783.0)</f>
        <v>44783</v>
      </c>
      <c r="C20913" s="6">
        <f>IFERROR(__xludf.DUMMYFUNCTION("""COMPUTED_VALUE"""),0.7531365740724141)</f>
        <v>0.7531365741</v>
      </c>
      <c r="D20913" s="4">
        <f>IFERROR(__xludf.DUMMYFUNCTION("""COMPUTED_VALUE"""),13.06795)</f>
        <v>13.06795</v>
      </c>
      <c r="E20913" s="4">
        <f>IFERROR(__xludf.DUMMYFUNCTION("""COMPUTED_VALUE"""),80.271191)</f>
        <v>80.271191</v>
      </c>
      <c r="F20913" s="4">
        <f>IFERROR(__xludf.DUMMYFUNCTION("""COMPUTED_VALUE"""),5339.0)</f>
        <v>5339</v>
      </c>
      <c r="G20913" s="4">
        <f>IFERROR(__xludf.DUMMYFUNCTION("""COMPUTED_VALUE"""),11.0)</f>
        <v>11</v>
      </c>
      <c r="H20913" s="4"/>
      <c r="I20913" s="4"/>
    </row>
    <row r="20914">
      <c r="A20914" s="4" t="str">
        <f>IFERROR(__xludf.DUMMYFUNCTION("""COMPUTED_VALUE"""),"cas_hmw")</f>
        <v>cas_hmw</v>
      </c>
      <c r="B20914" s="5">
        <f>IFERROR(__xludf.DUMMYFUNCTION("""COMPUTED_VALUE"""),44783.0)</f>
        <v>44783</v>
      </c>
      <c r="C20914" s="6">
        <f>IFERROR(__xludf.DUMMYFUNCTION("""COMPUTED_VALUE"""),0.7548726851855463)</f>
        <v>0.7548726852</v>
      </c>
      <c r="D20914" s="4">
        <f>IFERROR(__xludf.DUMMYFUNCTION("""COMPUTED_VALUE"""),12.948474)</f>
        <v>12.948474</v>
      </c>
      <c r="E20914" s="4">
        <f>IFERROR(__xludf.DUMMYFUNCTION("""COMPUTED_VALUE"""),80.208967)</f>
        <v>80.208967</v>
      </c>
      <c r="F20914" s="4">
        <f>IFERROR(__xludf.DUMMYFUNCTION("""COMPUTED_VALUE"""),3143.0)</f>
        <v>3143</v>
      </c>
      <c r="G20914" s="4">
        <f>IFERROR(__xludf.DUMMYFUNCTION("""COMPUTED_VALUE"""),36.0)</f>
        <v>36</v>
      </c>
      <c r="H20914" s="4"/>
      <c r="I20914" s="4"/>
    </row>
    <row r="20915">
      <c r="A20915" s="4" t="str">
        <f>IFERROR(__xludf.DUMMYFUNCTION("""COMPUTED_VALUE"""),"cas_hmw")</f>
        <v>cas_hmw</v>
      </c>
      <c r="B20915" s="5">
        <f>IFERROR(__xludf.DUMMYFUNCTION("""COMPUTED_VALUE"""),44783.0)</f>
        <v>44783</v>
      </c>
      <c r="C20915" s="6">
        <f>IFERROR(__xludf.DUMMYFUNCTION("""COMPUTED_VALUE"""),0.755266203705105)</f>
        <v>0.7552662037</v>
      </c>
      <c r="D20915" s="4">
        <f>IFERROR(__xludf.DUMMYFUNCTION("""COMPUTED_VALUE"""),12.94868)</f>
        <v>12.94868</v>
      </c>
      <c r="E20915" s="4">
        <f>IFERROR(__xludf.DUMMYFUNCTION("""COMPUTED_VALUE"""),80.204229)</f>
        <v>80.204229</v>
      </c>
      <c r="F20915" s="4">
        <f>IFERROR(__xludf.DUMMYFUNCTION("""COMPUTED_VALUE"""),3143.0)</f>
        <v>3143</v>
      </c>
      <c r="G20915" s="4">
        <f>IFERROR(__xludf.DUMMYFUNCTION("""COMPUTED_VALUE"""),46.0)</f>
        <v>46</v>
      </c>
      <c r="H20915" s="4"/>
      <c r="I20915" s="4"/>
    </row>
    <row r="20916">
      <c r="A20916" s="4" t="str">
        <f>IFERROR(__xludf.DUMMYFUNCTION("""COMPUTED_VALUE"""),"cas_hmw")</f>
        <v>cas_hmw</v>
      </c>
      <c r="B20916" s="5">
        <f>IFERROR(__xludf.DUMMYFUNCTION("""COMPUTED_VALUE"""),44783.0)</f>
        <v>44783</v>
      </c>
      <c r="C20916" s="6">
        <f>IFERROR(__xludf.DUMMYFUNCTION("""COMPUTED_VALUE"""),0.7557986111096398)</f>
        <v>0.7557986111</v>
      </c>
      <c r="D20916" s="4">
        <f>IFERROR(__xludf.DUMMYFUNCTION("""COMPUTED_VALUE"""),12.948496)</f>
        <v>12.948496</v>
      </c>
      <c r="E20916" s="4">
        <f>IFERROR(__xludf.DUMMYFUNCTION("""COMPUTED_VALUE"""),80.198644)</f>
        <v>80.198644</v>
      </c>
      <c r="F20916" s="4">
        <f>IFERROR(__xludf.DUMMYFUNCTION("""COMPUTED_VALUE"""),3143.0)</f>
        <v>3143</v>
      </c>
      <c r="G20916" s="4">
        <f>IFERROR(__xludf.DUMMYFUNCTION("""COMPUTED_VALUE"""),58.0)</f>
        <v>58</v>
      </c>
      <c r="H20916" s="4"/>
      <c r="I20916" s="4"/>
    </row>
    <row r="20917">
      <c r="A20917" s="4" t="str">
        <f>IFERROR(__xludf.DUMMYFUNCTION("""COMPUTED_VALUE"""),"cas_hmw")</f>
        <v>cas_hmw</v>
      </c>
      <c r="B20917" s="5">
        <f>IFERROR(__xludf.DUMMYFUNCTION("""COMPUTED_VALUE"""),44783.0)</f>
        <v>44783</v>
      </c>
      <c r="C20917" s="6">
        <f>IFERROR(__xludf.DUMMYFUNCTION("""COMPUTED_VALUE"""),0.7558217592595611)</f>
        <v>0.7558217593</v>
      </c>
      <c r="D20917" s="4">
        <f>IFERROR(__xludf.DUMMYFUNCTION("""COMPUTED_VALUE"""),12.948492)</f>
        <v>12.948492</v>
      </c>
      <c r="E20917" s="4">
        <f>IFERROR(__xludf.DUMMYFUNCTION("""COMPUTED_VALUE"""),80.197256)</f>
        <v>80.197256</v>
      </c>
      <c r="F20917" s="4">
        <f>IFERROR(__xludf.DUMMYFUNCTION("""COMPUTED_VALUE"""),3143.0)</f>
        <v>3143</v>
      </c>
      <c r="G20917" s="4">
        <f>IFERROR(__xludf.DUMMYFUNCTION("""COMPUTED_VALUE"""),44.0)</f>
        <v>44</v>
      </c>
      <c r="H20917" s="4"/>
      <c r="I20917" s="4"/>
    </row>
    <row r="20918">
      <c r="A20918" s="4" t="str">
        <f>IFERROR(__xludf.DUMMYFUNCTION("""COMPUTED_VALUE"""),"cas_hmw")</f>
        <v>cas_hmw</v>
      </c>
      <c r="B20918" s="5">
        <f>IFERROR(__xludf.DUMMYFUNCTION("""COMPUTED_VALUE"""),44783.0)</f>
        <v>44783</v>
      </c>
      <c r="C20918" s="6">
        <f>IFERROR(__xludf.DUMMYFUNCTION("""COMPUTED_VALUE"""),0.7590972222205892)</f>
        <v>0.7590972222</v>
      </c>
      <c r="D20918" s="4">
        <f>IFERROR(__xludf.DUMMYFUNCTION("""COMPUTED_VALUE"""),13.069551)</f>
        <v>13.069551</v>
      </c>
      <c r="E20918" s="4">
        <f>IFERROR(__xludf.DUMMYFUNCTION("""COMPUTED_VALUE"""),80.256983)</f>
        <v>80.256983</v>
      </c>
      <c r="F20918" s="4">
        <f>IFERROR(__xludf.DUMMYFUNCTION("""COMPUTED_VALUE"""),5339.0)</f>
        <v>5339</v>
      </c>
      <c r="G20918" s="4">
        <f>IFERROR(__xludf.DUMMYFUNCTION("""COMPUTED_VALUE"""),36.0)</f>
        <v>36</v>
      </c>
      <c r="H20918" s="4"/>
      <c r="I20918" s="4"/>
    </row>
    <row r="20919">
      <c r="A20919" s="4" t="str">
        <f>IFERROR(__xludf.DUMMYFUNCTION("""COMPUTED_VALUE"""),"cas_hmw")</f>
        <v>cas_hmw</v>
      </c>
      <c r="B20919" s="5">
        <f>IFERROR(__xludf.DUMMYFUNCTION("""COMPUTED_VALUE"""),44783.0)</f>
        <v>44783</v>
      </c>
      <c r="C20919" s="6">
        <f>IFERROR(__xludf.DUMMYFUNCTION("""COMPUTED_VALUE"""),0.7605555555564933)</f>
        <v>0.7605555556</v>
      </c>
      <c r="D20919" s="4">
        <f>IFERROR(__xludf.DUMMYFUNCTION("""COMPUTED_VALUE"""),13.066782)</f>
        <v>13.066782</v>
      </c>
      <c r="E20919" s="4">
        <f>IFERROR(__xludf.DUMMYFUNCTION("""COMPUTED_VALUE"""),80.254074)</f>
        <v>80.254074</v>
      </c>
      <c r="F20919" s="4">
        <f>IFERROR(__xludf.DUMMYFUNCTION("""COMPUTED_VALUE"""),5339.0)</f>
        <v>5339</v>
      </c>
      <c r="G20919" s="4">
        <f>IFERROR(__xludf.DUMMYFUNCTION("""COMPUTED_VALUE"""),16.0)</f>
        <v>16</v>
      </c>
      <c r="H20919" s="4"/>
      <c r="I20919" s="4"/>
    </row>
    <row r="20920">
      <c r="A20920" s="4" t="str">
        <f>IFERROR(__xludf.DUMMYFUNCTION("""COMPUTED_VALUE"""),"cas_hmw")</f>
        <v>cas_hmw</v>
      </c>
      <c r="B20920" s="5">
        <f>IFERROR(__xludf.DUMMYFUNCTION("""COMPUTED_VALUE"""),44783.0)</f>
        <v>44783</v>
      </c>
      <c r="C20920" s="6">
        <f>IFERROR(__xludf.DUMMYFUNCTION("""COMPUTED_VALUE"""),0.7605787037027767)</f>
        <v>0.7605787037</v>
      </c>
      <c r="D20920" s="4">
        <f>IFERROR(__xludf.DUMMYFUNCTION("""COMPUTED_VALUE"""),13.066782)</f>
        <v>13.066782</v>
      </c>
      <c r="E20920" s="4">
        <f>IFERROR(__xludf.DUMMYFUNCTION("""COMPUTED_VALUE"""),80.254074)</f>
        <v>80.254074</v>
      </c>
      <c r="F20920" s="4">
        <f>IFERROR(__xludf.DUMMYFUNCTION("""COMPUTED_VALUE"""),5339.0)</f>
        <v>5339</v>
      </c>
      <c r="G20920" s="4">
        <f>IFERROR(__xludf.DUMMYFUNCTION("""COMPUTED_VALUE"""),16.0)</f>
        <v>16</v>
      </c>
      <c r="H20920" s="4"/>
      <c r="I20920" s="4"/>
    </row>
    <row r="20921">
      <c r="A20921" s="4" t="str">
        <f>IFERROR(__xludf.DUMMYFUNCTION("""COMPUTED_VALUE"""),"cas_hmw")</f>
        <v>cas_hmw</v>
      </c>
      <c r="B20921" s="5">
        <f>IFERROR(__xludf.DUMMYFUNCTION("""COMPUTED_VALUE"""),44783.0)</f>
        <v>44783</v>
      </c>
      <c r="C20921" s="6">
        <f>IFERROR(__xludf.DUMMYFUNCTION("""COMPUTED_VALUE"""),0.7605902777795563)</f>
        <v>0.7605902778</v>
      </c>
      <c r="D20921" s="4">
        <f>IFERROR(__xludf.DUMMYFUNCTION("""COMPUTED_VALUE"""),13.067206)</f>
        <v>13.067206</v>
      </c>
      <c r="E20921" s="4">
        <f>IFERROR(__xludf.DUMMYFUNCTION("""COMPUTED_VALUE"""),80.253724)</f>
        <v>80.253724</v>
      </c>
      <c r="F20921" s="4">
        <f>IFERROR(__xludf.DUMMYFUNCTION("""COMPUTED_VALUE"""),5339.0)</f>
        <v>5339</v>
      </c>
      <c r="G20921" s="4">
        <f>IFERROR(__xludf.DUMMYFUNCTION("""COMPUTED_VALUE"""),26.0)</f>
        <v>26</v>
      </c>
      <c r="H20921" s="4"/>
      <c r="I20921" s="4"/>
    </row>
    <row r="20922">
      <c r="A20922" s="4" t="str">
        <f>IFERROR(__xludf.DUMMYFUNCTION("""COMPUTED_VALUE"""),"cas_hmw")</f>
        <v>cas_hmw</v>
      </c>
      <c r="B20922" s="5">
        <f>IFERROR(__xludf.DUMMYFUNCTION("""COMPUTED_VALUE"""),44783.0)</f>
        <v>44783</v>
      </c>
      <c r="C20922" s="6">
        <f>IFERROR(__xludf.DUMMYFUNCTION("""COMPUTED_VALUE"""),0.760601851852698)</f>
        <v>0.7606018519</v>
      </c>
      <c r="D20922" s="4">
        <f>IFERROR(__xludf.DUMMYFUNCTION("""COMPUTED_VALUE"""),13.067206)</f>
        <v>13.067206</v>
      </c>
      <c r="E20922" s="4">
        <f>IFERROR(__xludf.DUMMYFUNCTION("""COMPUTED_VALUE"""),80.253724)</f>
        <v>80.253724</v>
      </c>
      <c r="F20922" s="4">
        <f>IFERROR(__xludf.DUMMYFUNCTION("""COMPUTED_VALUE"""),5339.0)</f>
        <v>5339</v>
      </c>
      <c r="G20922" s="4">
        <f>IFERROR(__xludf.DUMMYFUNCTION("""COMPUTED_VALUE"""),26.0)</f>
        <v>26</v>
      </c>
      <c r="H20922" s="4"/>
      <c r="I20922" s="4"/>
    </row>
    <row r="20923">
      <c r="A20923" s="4" t="str">
        <f>IFERROR(__xludf.DUMMYFUNCTION("""COMPUTED_VALUE"""),"cas_hmw")</f>
        <v>cas_hmw</v>
      </c>
      <c r="B20923" s="5">
        <f>IFERROR(__xludf.DUMMYFUNCTION("""COMPUTED_VALUE"""),44783.0)</f>
        <v>44783</v>
      </c>
      <c r="C20923" s="6">
        <f>IFERROR(__xludf.DUMMYFUNCTION("""COMPUTED_VALUE"""),0.760636574075761)</f>
        <v>0.7606365741</v>
      </c>
      <c r="D20923" s="4">
        <f>IFERROR(__xludf.DUMMYFUNCTION("""COMPUTED_VALUE"""),13.067206)</f>
        <v>13.067206</v>
      </c>
      <c r="E20923" s="4">
        <f>IFERROR(__xludf.DUMMYFUNCTION("""COMPUTED_VALUE"""),80.253724)</f>
        <v>80.253724</v>
      </c>
      <c r="F20923" s="4">
        <f>IFERROR(__xludf.DUMMYFUNCTION("""COMPUTED_VALUE"""),5339.0)</f>
        <v>5339</v>
      </c>
      <c r="G20923" s="4">
        <f>IFERROR(__xludf.DUMMYFUNCTION("""COMPUTED_VALUE"""),26.0)</f>
        <v>26</v>
      </c>
      <c r="H20923" s="4"/>
      <c r="I20923" s="4"/>
    </row>
    <row r="20924">
      <c r="A20924" s="4" t="str">
        <f>IFERROR(__xludf.DUMMYFUNCTION("""COMPUTED_VALUE"""),"cas_hmw")</f>
        <v>cas_hmw</v>
      </c>
      <c r="B20924" s="5">
        <f>IFERROR(__xludf.DUMMYFUNCTION("""COMPUTED_VALUE"""),44783.0)</f>
        <v>44783</v>
      </c>
      <c r="C20924" s="6">
        <f>IFERROR(__xludf.DUMMYFUNCTION("""COMPUTED_VALUE"""),0.7606481481489027)</f>
        <v>0.7606481481</v>
      </c>
      <c r="D20924" s="4">
        <f>IFERROR(__xludf.DUMMYFUNCTION("""COMPUTED_VALUE"""),13.067206)</f>
        <v>13.067206</v>
      </c>
      <c r="E20924" s="4">
        <f>IFERROR(__xludf.DUMMYFUNCTION("""COMPUTED_VALUE"""),80.253724)</f>
        <v>80.253724</v>
      </c>
      <c r="F20924" s="4">
        <f>IFERROR(__xludf.DUMMYFUNCTION("""COMPUTED_VALUE"""),5339.0)</f>
        <v>5339</v>
      </c>
      <c r="G20924" s="4">
        <f>IFERROR(__xludf.DUMMYFUNCTION("""COMPUTED_VALUE"""),26.0)</f>
        <v>26</v>
      </c>
      <c r="H20924" s="4"/>
      <c r="I20924" s="4"/>
    </row>
    <row r="20925">
      <c r="A20925" s="4" t="str">
        <f>IFERROR(__xludf.DUMMYFUNCTION("""COMPUTED_VALUE"""),"cas_hmw")</f>
        <v>cas_hmw</v>
      </c>
      <c r="B20925" s="5">
        <f>IFERROR(__xludf.DUMMYFUNCTION("""COMPUTED_VALUE"""),44783.0)</f>
        <v>44783</v>
      </c>
      <c r="C20925" s="6">
        <f>IFERROR(__xludf.DUMMYFUNCTION("""COMPUTED_VALUE"""),0.7619791666656965)</f>
        <v>0.7619791667</v>
      </c>
      <c r="D20925" s="4">
        <f>IFERROR(__xludf.DUMMYFUNCTION("""COMPUTED_VALUE"""),13.067206)</f>
        <v>13.067206</v>
      </c>
      <c r="E20925" s="4">
        <f>IFERROR(__xludf.DUMMYFUNCTION("""COMPUTED_VALUE"""),80.253724)</f>
        <v>80.253724</v>
      </c>
      <c r="F20925" s="4">
        <f>IFERROR(__xludf.DUMMYFUNCTION("""COMPUTED_VALUE"""),5339.0)</f>
        <v>5339</v>
      </c>
      <c r="G20925" s="4">
        <f>IFERROR(__xludf.DUMMYFUNCTION("""COMPUTED_VALUE"""),26.0)</f>
        <v>26</v>
      </c>
      <c r="H20925" s="4"/>
      <c r="I20925" s="4"/>
    </row>
    <row r="20926">
      <c r="A20926" s="4" t="str">
        <f>IFERROR(__xludf.DUMMYFUNCTION("""COMPUTED_VALUE"""),"cas_hmw")</f>
        <v>cas_hmw</v>
      </c>
      <c r="B20926" s="5">
        <f>IFERROR(__xludf.DUMMYFUNCTION("""COMPUTED_VALUE"""),44783.0)</f>
        <v>44783</v>
      </c>
      <c r="C20926" s="6">
        <f>IFERROR(__xludf.DUMMYFUNCTION("""COMPUTED_VALUE"""),0.7626851851855463)</f>
        <v>0.7626851852</v>
      </c>
      <c r="D20926" s="4">
        <f>IFERROR(__xludf.DUMMYFUNCTION("""COMPUTED_VALUE"""),12.948737)</f>
        <v>12.948737</v>
      </c>
      <c r="E20926" s="4">
        <f>IFERROR(__xludf.DUMMYFUNCTION("""COMPUTED_VALUE"""),80.18927)</f>
        <v>80.18927</v>
      </c>
      <c r="F20926" s="4">
        <f>IFERROR(__xludf.DUMMYFUNCTION("""COMPUTED_VALUE"""),3143.0)</f>
        <v>3143</v>
      </c>
      <c r="G20926" s="4">
        <f>IFERROR(__xludf.DUMMYFUNCTION("""COMPUTED_VALUE"""),21.0)</f>
        <v>21</v>
      </c>
      <c r="H20926" s="4"/>
      <c r="I20926" s="4"/>
    </row>
    <row r="20927">
      <c r="A20927" s="4" t="str">
        <f>IFERROR(__xludf.DUMMYFUNCTION("""COMPUTED_VALUE"""),"cas_hmw")</f>
        <v>cas_hmw</v>
      </c>
      <c r="B20927" s="5">
        <f>IFERROR(__xludf.DUMMYFUNCTION("""COMPUTED_VALUE"""),44783.0)</f>
        <v>44783</v>
      </c>
      <c r="C20927" s="6">
        <f>IFERROR(__xludf.DUMMYFUNCTION("""COMPUTED_VALUE"""),0.7634953703709471)</f>
        <v>0.7634953704</v>
      </c>
      <c r="D20927" s="4">
        <f>IFERROR(__xludf.DUMMYFUNCTION("""COMPUTED_VALUE"""),12.949579)</f>
        <v>12.949579</v>
      </c>
      <c r="E20927" s="4">
        <f>IFERROR(__xludf.DUMMYFUNCTION("""COMPUTED_VALUE"""),80.181396)</f>
        <v>80.181396</v>
      </c>
      <c r="F20927" s="4">
        <f>IFERROR(__xludf.DUMMYFUNCTION("""COMPUTED_VALUE"""),3143.0)</f>
        <v>3143</v>
      </c>
      <c r="G20927" s="4">
        <f>IFERROR(__xludf.DUMMYFUNCTION("""COMPUTED_VALUE"""),34.0)</f>
        <v>34</v>
      </c>
      <c r="H20927" s="4"/>
      <c r="I20927" s="4"/>
    </row>
    <row r="20928">
      <c r="A20928" s="4" t="str">
        <f>IFERROR(__xludf.DUMMYFUNCTION("""COMPUTED_VALUE"""),"cas_hmw")</f>
        <v>cas_hmw</v>
      </c>
      <c r="B20928" s="5">
        <f>IFERROR(__xludf.DUMMYFUNCTION("""COMPUTED_VALUE"""),44783.0)</f>
        <v>44783</v>
      </c>
      <c r="C20928" s="6">
        <f>IFERROR(__xludf.DUMMYFUNCTION("""COMPUTED_VALUE"""),0.7636342592595611)</f>
        <v>0.7636342593</v>
      </c>
      <c r="D20928" s="4">
        <f>IFERROR(__xludf.DUMMYFUNCTION("""COMPUTED_VALUE"""),12.949765)</f>
        <v>12.949765</v>
      </c>
      <c r="E20928" s="4">
        <f>IFERROR(__xludf.DUMMYFUNCTION("""COMPUTED_VALUE"""),80.180564)</f>
        <v>80.180564</v>
      </c>
      <c r="F20928" s="4">
        <f>IFERROR(__xludf.DUMMYFUNCTION("""COMPUTED_VALUE"""),3143.0)</f>
        <v>3143</v>
      </c>
      <c r="G20928" s="4">
        <f>IFERROR(__xludf.DUMMYFUNCTION("""COMPUTED_VALUE"""),36.0)</f>
        <v>36</v>
      </c>
      <c r="H20928" s="4"/>
      <c r="I20928" s="4"/>
    </row>
    <row r="20929">
      <c r="A20929" s="4" t="str">
        <f>IFERROR(__xludf.DUMMYFUNCTION("""COMPUTED_VALUE"""),"cas_hmw")</f>
        <v>cas_hmw</v>
      </c>
      <c r="B20929" s="5">
        <f>IFERROR(__xludf.DUMMYFUNCTION("""COMPUTED_VALUE"""),44783.0)</f>
        <v>44783</v>
      </c>
      <c r="C20929" s="6">
        <f>IFERROR(__xludf.DUMMYFUNCTION("""COMPUTED_VALUE"""),0.7638541666674428)</f>
        <v>0.7638541667</v>
      </c>
      <c r="D20929" s="4">
        <f>IFERROR(__xludf.DUMMYFUNCTION("""COMPUTED_VALUE"""),12.950245)</f>
        <v>12.950245</v>
      </c>
      <c r="E20929" s="4">
        <f>IFERROR(__xludf.DUMMYFUNCTION("""COMPUTED_VALUE"""),80.178488)</f>
        <v>80.178488</v>
      </c>
      <c r="F20929" s="4">
        <f>IFERROR(__xludf.DUMMYFUNCTION("""COMPUTED_VALUE"""),3143.0)</f>
        <v>3143</v>
      </c>
      <c r="G20929" s="4">
        <f>IFERROR(__xludf.DUMMYFUNCTION("""COMPUTED_VALUE"""),43.0)</f>
        <v>43</v>
      </c>
      <c r="H20929" s="4"/>
      <c r="I20929" s="4"/>
    </row>
    <row r="20930">
      <c r="A20930" s="4" t="str">
        <f>IFERROR(__xludf.DUMMYFUNCTION("""COMPUTED_VALUE"""),"cas_hmw")</f>
        <v>cas_hmw</v>
      </c>
      <c r="B20930" s="5">
        <f>IFERROR(__xludf.DUMMYFUNCTION("""COMPUTED_VALUE"""),44783.0)</f>
        <v>44783</v>
      </c>
      <c r="C20930" s="6">
        <f>IFERROR(__xludf.DUMMYFUNCTION("""COMPUTED_VALUE"""),0.7647916666683159)</f>
        <v>0.7647916667</v>
      </c>
      <c r="D20930" s="4">
        <f>IFERROR(__xludf.DUMMYFUNCTION("""COMPUTED_VALUE"""),12.951659)</f>
        <v>12.951659</v>
      </c>
      <c r="E20930" s="4">
        <f>IFERROR(__xludf.DUMMYFUNCTION("""COMPUTED_VALUE"""),80.172087)</f>
        <v>80.172087</v>
      </c>
      <c r="F20930" s="4">
        <f>IFERROR(__xludf.DUMMYFUNCTION("""COMPUTED_VALUE"""),3143.0)</f>
        <v>3143</v>
      </c>
      <c r="G20930" s="4">
        <f>IFERROR(__xludf.DUMMYFUNCTION("""COMPUTED_VALUE"""),42.0)</f>
        <v>42</v>
      </c>
      <c r="H20930" s="4"/>
      <c r="I20930" s="4"/>
    </row>
    <row r="20931">
      <c r="A20931" s="4" t="str">
        <f>IFERROR(__xludf.DUMMYFUNCTION("""COMPUTED_VALUE"""),"cas_hmw")</f>
        <v>cas_hmw</v>
      </c>
      <c r="B20931" s="5">
        <f>IFERROR(__xludf.DUMMYFUNCTION("""COMPUTED_VALUE"""),44783.0)</f>
        <v>44783</v>
      </c>
      <c r="C20931" s="6">
        <f>IFERROR(__xludf.DUMMYFUNCTION("""COMPUTED_VALUE"""),0.7655092592576693)</f>
        <v>0.7655092593</v>
      </c>
      <c r="D20931" s="4">
        <f>IFERROR(__xludf.DUMMYFUNCTION("""COMPUTED_VALUE"""),12.953223)</f>
        <v>12.953223</v>
      </c>
      <c r="E20931" s="4">
        <f>IFERROR(__xludf.DUMMYFUNCTION("""COMPUTED_VALUE"""),80.164739)</f>
        <v>80.164739</v>
      </c>
      <c r="F20931" s="4">
        <f>IFERROR(__xludf.DUMMYFUNCTION("""COMPUTED_VALUE"""),3143.0)</f>
        <v>3143</v>
      </c>
      <c r="G20931" s="4">
        <f>IFERROR(__xludf.DUMMYFUNCTION("""COMPUTED_VALUE"""),59.0)</f>
        <v>59</v>
      </c>
      <c r="H20931" s="4"/>
      <c r="I20931" s="4"/>
    </row>
    <row r="20932">
      <c r="A20932" s="4" t="str">
        <f>IFERROR(__xludf.DUMMYFUNCTION("""COMPUTED_VALUE"""),"cas_hmw")</f>
        <v>cas_hmw</v>
      </c>
      <c r="B20932" s="5">
        <f>IFERROR(__xludf.DUMMYFUNCTION("""COMPUTED_VALUE"""),44783.0)</f>
        <v>44783</v>
      </c>
      <c r="C20932" s="6">
        <f>IFERROR(__xludf.DUMMYFUNCTION("""COMPUTED_VALUE"""),0.7675000000017462)</f>
        <v>0.7675</v>
      </c>
      <c r="D20932" s="4">
        <f>IFERROR(__xludf.DUMMYFUNCTION("""COMPUTED_VALUE"""),12.959756)</f>
        <v>12.959756</v>
      </c>
      <c r="E20932" s="4">
        <f>IFERROR(__xludf.DUMMYFUNCTION("""COMPUTED_VALUE"""),80.148104)</f>
        <v>80.148104</v>
      </c>
      <c r="F20932" s="4">
        <f>IFERROR(__xludf.DUMMYFUNCTION("""COMPUTED_VALUE"""),3143.0)</f>
        <v>3143</v>
      </c>
      <c r="G20932" s="4">
        <f>IFERROR(__xludf.DUMMYFUNCTION("""COMPUTED_VALUE"""),51.0)</f>
        <v>51</v>
      </c>
      <c r="H20932" s="4"/>
      <c r="I20932" s="4"/>
    </row>
    <row r="20933">
      <c r="A20933" s="4" t="str">
        <f>IFERROR(__xludf.DUMMYFUNCTION("""COMPUTED_VALUE"""),"cas_hmw")</f>
        <v>cas_hmw</v>
      </c>
      <c r="B20933" s="5">
        <f>IFERROR(__xludf.DUMMYFUNCTION("""COMPUTED_VALUE"""),44783.0)</f>
        <v>44783</v>
      </c>
      <c r="C20933" s="6">
        <f>IFERROR(__xludf.DUMMYFUNCTION("""COMPUTED_VALUE"""),0.7683564814797137)</f>
        <v>0.7683564815</v>
      </c>
      <c r="D20933" s="4">
        <f>IFERROR(__xludf.DUMMYFUNCTION("""COMPUTED_VALUE"""),12.958464)</f>
        <v>12.958464</v>
      </c>
      <c r="E20933" s="4">
        <f>IFERROR(__xludf.DUMMYFUNCTION("""COMPUTED_VALUE"""),80.144548)</f>
        <v>80.144548</v>
      </c>
      <c r="F20933" s="4">
        <f>IFERROR(__xludf.DUMMYFUNCTION("""COMPUTED_VALUE"""),3143.0)</f>
        <v>3143</v>
      </c>
      <c r="G20933" s="4">
        <f>IFERROR(__xludf.DUMMYFUNCTION("""COMPUTED_VALUE"""),43.0)</f>
        <v>43</v>
      </c>
      <c r="H20933" s="4"/>
      <c r="I20933" s="4"/>
    </row>
    <row r="20934">
      <c r="A20934" s="4" t="str">
        <f>IFERROR(__xludf.DUMMYFUNCTION("""COMPUTED_VALUE"""),"cas_hmw")</f>
        <v>cas_hmw</v>
      </c>
      <c r="B20934" s="5">
        <f>IFERROR(__xludf.DUMMYFUNCTION("""COMPUTED_VALUE"""),44783.0)</f>
        <v>44783</v>
      </c>
      <c r="C20934" s="6">
        <f>IFERROR(__xludf.DUMMYFUNCTION("""COMPUTED_VALUE"""),0.7684606481489027)</f>
        <v>0.7684606481</v>
      </c>
      <c r="D20934" s="4">
        <f>IFERROR(__xludf.DUMMYFUNCTION("""COMPUTED_VALUE"""),12.958464)</f>
        <v>12.958464</v>
      </c>
      <c r="E20934" s="4">
        <f>IFERROR(__xludf.DUMMYFUNCTION("""COMPUTED_VALUE"""),80.144548)</f>
        <v>80.144548</v>
      </c>
      <c r="F20934" s="4">
        <f>IFERROR(__xludf.DUMMYFUNCTION("""COMPUTED_VALUE"""),3143.0)</f>
        <v>3143</v>
      </c>
      <c r="G20934" s="4">
        <f>IFERROR(__xludf.DUMMYFUNCTION("""COMPUTED_VALUE"""),43.0)</f>
        <v>43</v>
      </c>
      <c r="H20934" s="4"/>
      <c r="I20934" s="4"/>
    </row>
    <row r="20935">
      <c r="A20935" s="4" t="str">
        <f>IFERROR(__xludf.DUMMYFUNCTION("""COMPUTED_VALUE"""),"cas_hmw")</f>
        <v>cas_hmw</v>
      </c>
      <c r="B20935" s="5">
        <f>IFERROR(__xludf.DUMMYFUNCTION("""COMPUTED_VALUE"""),44783.0)</f>
        <v>44783</v>
      </c>
      <c r="C20935" s="6">
        <f>IFERROR(__xludf.DUMMYFUNCTION("""COMPUTED_VALUE"""),0.7721874999988358)</f>
        <v>0.7721875</v>
      </c>
      <c r="D20935" s="4">
        <f>IFERROR(__xludf.DUMMYFUNCTION("""COMPUTED_VALUE"""),12.942319)</f>
        <v>12.942319</v>
      </c>
      <c r="E20935" s="4">
        <f>IFERROR(__xludf.DUMMYFUNCTION("""COMPUTED_VALUE"""),80.133039)</f>
        <v>80.133039</v>
      </c>
      <c r="F20935" s="4">
        <f>IFERROR(__xludf.DUMMYFUNCTION("""COMPUTED_VALUE"""),3143.0)</f>
        <v>3143</v>
      </c>
      <c r="G20935" s="4">
        <f>IFERROR(__xludf.DUMMYFUNCTION("""COMPUTED_VALUE"""),0.0)</f>
        <v>0</v>
      </c>
      <c r="H20935" s="4"/>
      <c r="I20935" s="4"/>
    </row>
    <row r="20936">
      <c r="A20936" s="4" t="str">
        <f>IFERROR(__xludf.DUMMYFUNCTION("""COMPUTED_VALUE"""),"cas_hmw")</f>
        <v>cas_hmw</v>
      </c>
      <c r="B20936" s="5">
        <f>IFERROR(__xludf.DUMMYFUNCTION("""COMPUTED_VALUE"""),44783.0)</f>
        <v>44783</v>
      </c>
      <c r="C20936" s="6">
        <f>IFERROR(__xludf.DUMMYFUNCTION("""COMPUTED_VALUE"""),0.7729976851842366)</f>
        <v>0.7729976852</v>
      </c>
      <c r="D20936" s="4">
        <f>IFERROR(__xludf.DUMMYFUNCTION("""COMPUTED_VALUE"""),12.937989)</f>
        <v>12.937989</v>
      </c>
      <c r="E20936" s="4">
        <f>IFERROR(__xludf.DUMMYFUNCTION("""COMPUTED_VALUE"""),80.128852)</f>
        <v>80.128852</v>
      </c>
      <c r="F20936" s="4">
        <f>IFERROR(__xludf.DUMMYFUNCTION("""COMPUTED_VALUE"""),3143.0)</f>
        <v>3143</v>
      </c>
      <c r="G20936" s="4">
        <f>IFERROR(__xludf.DUMMYFUNCTION("""COMPUTED_VALUE"""),39.0)</f>
        <v>39</v>
      </c>
      <c r="H20936" s="4"/>
      <c r="I20936" s="4"/>
    </row>
    <row r="20937">
      <c r="A20937" s="4" t="str">
        <f>IFERROR(__xludf.DUMMYFUNCTION("""COMPUTED_VALUE"""),"cas_hmw")</f>
        <v>cas_hmw</v>
      </c>
      <c r="B20937" s="5">
        <f>IFERROR(__xludf.DUMMYFUNCTION("""COMPUTED_VALUE"""),44783.0)</f>
        <v>44783</v>
      </c>
      <c r="C20937" s="6">
        <f>IFERROR(__xludf.DUMMYFUNCTION("""COMPUTED_VALUE"""),0.7734375)</f>
        <v>0.7734375</v>
      </c>
      <c r="D20937" s="4">
        <f>IFERROR(__xludf.DUMMYFUNCTION("""COMPUTED_VALUE"""),12.935743)</f>
        <v>12.935743</v>
      </c>
      <c r="E20937" s="4">
        <f>IFERROR(__xludf.DUMMYFUNCTION("""COMPUTED_VALUE"""),80.126883)</f>
        <v>80.126883</v>
      </c>
      <c r="F20937" s="4">
        <f>IFERROR(__xludf.DUMMYFUNCTION("""COMPUTED_VALUE"""),3143.0)</f>
        <v>3143</v>
      </c>
      <c r="G20937" s="4">
        <f>IFERROR(__xludf.DUMMYFUNCTION("""COMPUTED_VALUE"""),27.0)</f>
        <v>27</v>
      </c>
      <c r="H20937" s="4"/>
      <c r="I20937" s="4"/>
    </row>
    <row r="20938">
      <c r="A20938" s="4" t="str">
        <f>IFERROR(__xludf.DUMMYFUNCTION("""COMPUTED_VALUE"""),"cas_hmw")</f>
        <v>cas_hmw</v>
      </c>
      <c r="B20938" s="5">
        <f>IFERROR(__xludf.DUMMYFUNCTION("""COMPUTED_VALUE"""),44783.0)</f>
        <v>44783</v>
      </c>
      <c r="C20938" s="6">
        <f>IFERROR(__xludf.DUMMYFUNCTION("""COMPUTED_VALUE"""),0.7751273148132896)</f>
        <v>0.7751273148</v>
      </c>
      <c r="D20938" s="4">
        <f>IFERROR(__xludf.DUMMYFUNCTION("""COMPUTED_VALUE"""),12.93098)</f>
        <v>12.93098</v>
      </c>
      <c r="E20938" s="4">
        <f>IFERROR(__xludf.DUMMYFUNCTION("""COMPUTED_VALUE"""),80.122224)</f>
        <v>80.122224</v>
      </c>
      <c r="F20938" s="4">
        <f>IFERROR(__xludf.DUMMYFUNCTION("""COMPUTED_VALUE"""),3143.0)</f>
        <v>3143</v>
      </c>
      <c r="G20938" s="4">
        <f>IFERROR(__xludf.DUMMYFUNCTION("""COMPUTED_VALUE"""),32.0)</f>
        <v>32</v>
      </c>
      <c r="H20938" s="4"/>
      <c r="I20938" s="4"/>
    </row>
    <row r="20939">
      <c r="A20939" s="4" t="str">
        <f>IFERROR(__xludf.DUMMYFUNCTION("""COMPUTED_VALUE"""),"cas_hmw")</f>
        <v>cas_hmw</v>
      </c>
      <c r="B20939" s="5">
        <f>IFERROR(__xludf.DUMMYFUNCTION("""COMPUTED_VALUE"""),44783.0)</f>
        <v>44783</v>
      </c>
      <c r="C20939" s="6">
        <f>IFERROR(__xludf.DUMMYFUNCTION("""COMPUTED_VALUE"""),0.7769907407418941)</f>
        <v>0.7769907407</v>
      </c>
      <c r="D20939" s="4">
        <f>IFERROR(__xludf.DUMMYFUNCTION("""COMPUTED_VALUE"""),12.921652)</f>
        <v>12.921652</v>
      </c>
      <c r="E20939" s="4">
        <f>IFERROR(__xludf.DUMMYFUNCTION("""COMPUTED_VALUE"""),80.11285)</f>
        <v>80.11285</v>
      </c>
      <c r="F20939" s="4">
        <f>IFERROR(__xludf.DUMMYFUNCTION("""COMPUTED_VALUE"""),3143.0)</f>
        <v>3143</v>
      </c>
      <c r="G20939" s="4">
        <f>IFERROR(__xludf.DUMMYFUNCTION("""COMPUTED_VALUE"""),44.0)</f>
        <v>44</v>
      </c>
      <c r="H20939" s="4"/>
      <c r="I20939" s="4"/>
    </row>
    <row r="20940">
      <c r="A20940" s="4" t="str">
        <f>IFERROR(__xludf.DUMMYFUNCTION("""COMPUTED_VALUE"""),"cas_hmw")</f>
        <v>cas_hmw</v>
      </c>
      <c r="B20940" s="5">
        <f>IFERROR(__xludf.DUMMYFUNCTION("""COMPUTED_VALUE"""),44783.0)</f>
        <v>44783</v>
      </c>
      <c r="C20940" s="6">
        <f>IFERROR(__xludf.DUMMYFUNCTION("""COMPUTED_VALUE"""),0.7771412037036498)</f>
        <v>0.7771412037</v>
      </c>
      <c r="D20940" s="4">
        <f>IFERROR(__xludf.DUMMYFUNCTION("""COMPUTED_VALUE"""),12.920842)</f>
        <v>12.920842</v>
      </c>
      <c r="E20940" s="4">
        <f>IFERROR(__xludf.DUMMYFUNCTION("""COMPUTED_VALUE"""),80.112019)</f>
        <v>80.112019</v>
      </c>
      <c r="F20940" s="4">
        <f>IFERROR(__xludf.DUMMYFUNCTION("""COMPUTED_VALUE"""),3143.0)</f>
        <v>3143</v>
      </c>
      <c r="G20940" s="4">
        <f>IFERROR(__xludf.DUMMYFUNCTION("""COMPUTED_VALUE"""),46.0)</f>
        <v>46</v>
      </c>
      <c r="H20940" s="4"/>
      <c r="I20940" s="4"/>
    </row>
    <row r="20941">
      <c r="A20941" s="4" t="str">
        <f>IFERROR(__xludf.DUMMYFUNCTION("""COMPUTED_VALUE"""),"cas_hmw")</f>
        <v>cas_hmw</v>
      </c>
      <c r="B20941" s="5">
        <f>IFERROR(__xludf.DUMMYFUNCTION("""COMPUTED_VALUE"""),44783.0)</f>
        <v>44783</v>
      </c>
      <c r="C20941" s="6">
        <f>IFERROR(__xludf.DUMMYFUNCTION("""COMPUTED_VALUE"""),0.7780092592583969)</f>
        <v>0.7780092593</v>
      </c>
      <c r="D20941" s="4">
        <f>IFERROR(__xludf.DUMMYFUNCTION("""COMPUTED_VALUE"""),12.915276)</f>
        <v>12.915276</v>
      </c>
      <c r="E20941" s="4">
        <f>IFERROR(__xludf.DUMMYFUNCTION("""COMPUTED_VALUE"""),80.104053)</f>
        <v>80.104053</v>
      </c>
      <c r="F20941" s="4">
        <f>IFERROR(__xludf.DUMMYFUNCTION("""COMPUTED_VALUE"""),3143.0)</f>
        <v>3143</v>
      </c>
      <c r="G20941" s="4">
        <f>IFERROR(__xludf.DUMMYFUNCTION("""COMPUTED_VALUE"""),40.0)</f>
        <v>40</v>
      </c>
      <c r="H20941" s="4"/>
      <c r="I20941" s="4"/>
    </row>
    <row r="20942">
      <c r="A20942" s="4" t="str">
        <f>IFERROR(__xludf.DUMMYFUNCTION("""COMPUTED_VALUE"""),"cas_hmw")</f>
        <v>cas_hmw</v>
      </c>
      <c r="B20942" s="5">
        <f>IFERROR(__xludf.DUMMYFUNCTION("""COMPUTED_VALUE"""),44783.0)</f>
        <v>44783</v>
      </c>
      <c r="C20942" s="6">
        <f>IFERROR(__xludf.DUMMYFUNCTION("""COMPUTED_VALUE"""),0.7785416666665697)</f>
        <v>0.7785416667</v>
      </c>
      <c r="D20942" s="4">
        <f>IFERROR(__xludf.DUMMYFUNCTION("""COMPUTED_VALUE"""),12.912532)</f>
        <v>12.912532</v>
      </c>
      <c r="E20942" s="4">
        <f>IFERROR(__xludf.DUMMYFUNCTION("""COMPUTED_VALUE"""),80.101556)</f>
        <v>80.101556</v>
      </c>
      <c r="F20942" s="4">
        <f>IFERROR(__xludf.DUMMYFUNCTION("""COMPUTED_VALUE"""),3143.0)</f>
        <v>3143</v>
      </c>
      <c r="G20942" s="4">
        <f>IFERROR(__xludf.DUMMYFUNCTION("""COMPUTED_VALUE"""),33.0)</f>
        <v>33</v>
      </c>
      <c r="H20942" s="4"/>
      <c r="I20942" s="4"/>
    </row>
    <row r="20943">
      <c r="A20943" s="4" t="str">
        <f>IFERROR(__xludf.DUMMYFUNCTION("""COMPUTED_VALUE"""),"cas_hmw")</f>
        <v>cas_hmw</v>
      </c>
      <c r="B20943" s="5">
        <f>IFERROR(__xludf.DUMMYFUNCTION("""COMPUTED_VALUE"""),44783.0)</f>
        <v>44783</v>
      </c>
      <c r="C20943" s="6">
        <f>IFERROR(__xludf.DUMMYFUNCTION("""COMPUTED_VALUE"""),0.7789351851861284)</f>
        <v>0.7789351852</v>
      </c>
      <c r="D20943" s="4">
        <f>IFERROR(__xludf.DUMMYFUNCTION("""COMPUTED_VALUE"""),12.909527)</f>
        <v>12.909527</v>
      </c>
      <c r="E20943" s="4">
        <f>IFERROR(__xludf.DUMMYFUNCTION("""COMPUTED_VALUE"""),80.099791)</f>
        <v>80.099791</v>
      </c>
      <c r="F20943" s="4">
        <f>IFERROR(__xludf.DUMMYFUNCTION("""COMPUTED_VALUE"""),3143.0)</f>
        <v>3143</v>
      </c>
      <c r="G20943" s="4">
        <f>IFERROR(__xludf.DUMMYFUNCTION("""COMPUTED_VALUE"""),44.0)</f>
        <v>44</v>
      </c>
      <c r="H20943" s="4"/>
      <c r="I20943" s="4"/>
    </row>
    <row r="20944">
      <c r="A20944" s="4" t="str">
        <f>IFERROR(__xludf.DUMMYFUNCTION("""COMPUTED_VALUE"""),"cas_hmw")</f>
        <v>cas_hmw</v>
      </c>
      <c r="B20944" s="5">
        <f>IFERROR(__xludf.DUMMYFUNCTION("""COMPUTED_VALUE"""),44783.0)</f>
        <v>44783</v>
      </c>
      <c r="C20944" s="6">
        <f>IFERROR(__xludf.DUMMYFUNCTION("""COMPUTED_VALUE"""),0.7793287037020491)</f>
        <v>0.7793287037</v>
      </c>
      <c r="D20944" s="4">
        <f>IFERROR(__xludf.DUMMYFUNCTION("""COMPUTED_VALUE"""),12.908344)</f>
        <v>12.908344</v>
      </c>
      <c r="E20944" s="4">
        <f>IFERROR(__xludf.DUMMYFUNCTION("""COMPUTED_VALUE"""),80.09806)</f>
        <v>80.09806</v>
      </c>
      <c r="F20944" s="4">
        <f>IFERROR(__xludf.DUMMYFUNCTION("""COMPUTED_VALUE"""),3143.0)</f>
        <v>3143</v>
      </c>
      <c r="G20944" s="4">
        <f>IFERROR(__xludf.DUMMYFUNCTION("""COMPUTED_VALUE"""),22.0)</f>
        <v>22</v>
      </c>
      <c r="H20944" s="4"/>
      <c r="I20944" s="4"/>
    </row>
    <row r="20945">
      <c r="A20945" s="4" t="str">
        <f>IFERROR(__xludf.DUMMYFUNCTION("""COMPUTED_VALUE"""),"cas_hmw")</f>
        <v>cas_hmw</v>
      </c>
      <c r="B20945" s="5">
        <f>IFERROR(__xludf.DUMMYFUNCTION("""COMPUTED_VALUE"""),44783.0)</f>
        <v>44783</v>
      </c>
      <c r="C20945" s="6">
        <f>IFERROR(__xludf.DUMMYFUNCTION("""COMPUTED_VALUE"""),0.780902777776646)</f>
        <v>0.7809027778</v>
      </c>
      <c r="D20945" s="4">
        <f>IFERROR(__xludf.DUMMYFUNCTION("""COMPUTED_VALUE"""),12.901823)</f>
        <v>12.901823</v>
      </c>
      <c r="E20945" s="4">
        <f>IFERROR(__xludf.DUMMYFUNCTION("""COMPUTED_VALUE"""),80.092929)</f>
        <v>80.092929</v>
      </c>
      <c r="F20945" s="4">
        <f>IFERROR(__xludf.DUMMYFUNCTION("""COMPUTED_VALUE"""),3143.0)</f>
        <v>3143</v>
      </c>
      <c r="G20945" s="4">
        <f>IFERROR(__xludf.DUMMYFUNCTION("""COMPUTED_VALUE"""),41.0)</f>
        <v>41</v>
      </c>
      <c r="H20945" s="4"/>
      <c r="I20945" s="4"/>
    </row>
    <row r="20946">
      <c r="A20946" s="4" t="str">
        <f>IFERROR(__xludf.DUMMYFUNCTION("""COMPUTED_VALUE"""),"cas_hmw")</f>
        <v>cas_hmw</v>
      </c>
      <c r="B20946" s="5">
        <f>IFERROR(__xludf.DUMMYFUNCTION("""COMPUTED_VALUE"""),44783.0)</f>
        <v>44783</v>
      </c>
      <c r="C20946" s="6">
        <f>IFERROR(__xludf.DUMMYFUNCTION("""COMPUTED_VALUE"""),0.7821643518509518)</f>
        <v>0.7821643519</v>
      </c>
      <c r="D20946" s="4">
        <f>IFERROR(__xludf.DUMMYFUNCTION("""COMPUTED_VALUE"""),12.893519)</f>
        <v>12.893519</v>
      </c>
      <c r="E20946" s="4">
        <f>IFERROR(__xludf.DUMMYFUNCTION("""COMPUTED_VALUE"""),80.086711)</f>
        <v>80.086711</v>
      </c>
      <c r="F20946" s="4">
        <f>IFERROR(__xludf.DUMMYFUNCTION("""COMPUTED_VALUE"""),3143.0)</f>
        <v>3143</v>
      </c>
      <c r="G20946" s="4">
        <f>IFERROR(__xludf.DUMMYFUNCTION("""COMPUTED_VALUE"""),39.0)</f>
        <v>39</v>
      </c>
      <c r="H20946" s="4"/>
      <c r="I20946" s="4"/>
    </row>
    <row r="20947">
      <c r="A20947" s="4" t="str">
        <f>IFERROR(__xludf.DUMMYFUNCTION("""COMPUTED_VALUE"""),"cas_hmw")</f>
        <v>cas_hmw</v>
      </c>
      <c r="B20947" s="5">
        <f>IFERROR(__xludf.DUMMYFUNCTION("""COMPUTED_VALUE"""),44783.0)</f>
        <v>44783</v>
      </c>
      <c r="C20947" s="6">
        <f>IFERROR(__xludf.DUMMYFUNCTION("""COMPUTED_VALUE"""),0.7835763888906513)</f>
        <v>0.7835763889</v>
      </c>
      <c r="D20947" s="4">
        <f>IFERROR(__xludf.DUMMYFUNCTION("""COMPUTED_VALUE"""),12.881342)</f>
        <v>12.881342</v>
      </c>
      <c r="E20947" s="4">
        <f>IFERROR(__xludf.DUMMYFUNCTION("""COMPUTED_VALUE"""),80.081242)</f>
        <v>80.081242</v>
      </c>
      <c r="F20947" s="4">
        <f>IFERROR(__xludf.DUMMYFUNCTION("""COMPUTED_VALUE"""),3143.0)</f>
        <v>3143</v>
      </c>
      <c r="G20947" s="4">
        <f>IFERROR(__xludf.DUMMYFUNCTION("""COMPUTED_VALUE"""),29.0)</f>
        <v>29</v>
      </c>
      <c r="H20947" s="4"/>
      <c r="I20947" s="4"/>
    </row>
    <row r="20948">
      <c r="A20948" s="4" t="str">
        <f>IFERROR(__xludf.DUMMYFUNCTION("""COMPUTED_VALUE"""),"cas_hmw")</f>
        <v>cas_hmw</v>
      </c>
      <c r="B20948" s="5">
        <f>IFERROR(__xludf.DUMMYFUNCTION("""COMPUTED_VALUE"""),44783.0)</f>
        <v>44783</v>
      </c>
      <c r="C20948" s="6">
        <f>IFERROR(__xludf.DUMMYFUNCTION("""COMPUTED_VALUE"""),0.783587962963793)</f>
        <v>0.783587963</v>
      </c>
      <c r="D20948" s="4">
        <f>IFERROR(__xludf.DUMMYFUNCTION("""COMPUTED_VALUE"""),12.881342)</f>
        <v>12.881342</v>
      </c>
      <c r="E20948" s="4">
        <f>IFERROR(__xludf.DUMMYFUNCTION("""COMPUTED_VALUE"""),80.081242)</f>
        <v>80.081242</v>
      </c>
      <c r="F20948" s="4">
        <f>IFERROR(__xludf.DUMMYFUNCTION("""COMPUTED_VALUE"""),3143.0)</f>
        <v>3143</v>
      </c>
      <c r="G20948" s="4">
        <f>IFERROR(__xludf.DUMMYFUNCTION("""COMPUTED_VALUE"""),29.0)</f>
        <v>29</v>
      </c>
      <c r="H20948" s="4"/>
      <c r="I20948" s="4"/>
    </row>
    <row r="20949">
      <c r="A20949" s="4" t="str">
        <f>IFERROR(__xludf.DUMMYFUNCTION("""COMPUTED_VALUE"""),"cas_hmw")</f>
        <v>cas_hmw</v>
      </c>
      <c r="B20949" s="5">
        <f>IFERROR(__xludf.DUMMYFUNCTION("""COMPUTED_VALUE"""),44784.0)</f>
        <v>44784</v>
      </c>
      <c r="C20949" s="6">
        <f>IFERROR(__xludf.DUMMYFUNCTION("""COMPUTED_VALUE"""),0.2825578703705105)</f>
        <v>0.2825578704</v>
      </c>
      <c r="D20949" s="4">
        <f>IFERROR(__xludf.DUMMYFUNCTION("""COMPUTED_VALUE"""),12.884911)</f>
        <v>12.884911</v>
      </c>
      <c r="E20949" s="4">
        <f>IFERROR(__xludf.DUMMYFUNCTION("""COMPUTED_VALUE"""),80.082107)</f>
        <v>80.082107</v>
      </c>
      <c r="F20949" s="4">
        <f>IFERROR(__xludf.DUMMYFUNCTION("""COMPUTED_VALUE"""),3143.0)</f>
        <v>3143</v>
      </c>
      <c r="G20949" s="4">
        <f>IFERROR(__xludf.DUMMYFUNCTION("""COMPUTED_VALUE"""),46.0)</f>
        <v>46</v>
      </c>
      <c r="H20949" s="4"/>
      <c r="I20949" s="4"/>
    </row>
    <row r="20950">
      <c r="A20950" s="4" t="str">
        <f>IFERROR(__xludf.DUMMYFUNCTION("""COMPUTED_VALUE"""),"cas_hmw")</f>
        <v>cas_hmw</v>
      </c>
      <c r="B20950" s="5">
        <f>IFERROR(__xludf.DUMMYFUNCTION("""COMPUTED_VALUE"""),44784.0)</f>
        <v>44784</v>
      </c>
      <c r="C20950" s="6">
        <f>IFERROR(__xludf.DUMMYFUNCTION("""COMPUTED_VALUE"""),0.28475694444568944)</f>
        <v>0.2847569444</v>
      </c>
      <c r="D20950" s="4">
        <f>IFERROR(__xludf.DUMMYFUNCTION("""COMPUTED_VALUE"""),12.911534)</f>
        <v>12.911534</v>
      </c>
      <c r="E20950" s="4">
        <f>IFERROR(__xludf.DUMMYFUNCTION("""COMPUTED_VALUE"""),80.101276)</f>
        <v>80.101276</v>
      </c>
      <c r="F20950" s="4">
        <f>IFERROR(__xludf.DUMMYFUNCTION("""COMPUTED_VALUE"""),3143.0)</f>
        <v>3143</v>
      </c>
      <c r="G20950" s="4">
        <f>IFERROR(__xludf.DUMMYFUNCTION("""COMPUTED_VALUE"""),35.0)</f>
        <v>35</v>
      </c>
      <c r="H20950" s="4"/>
      <c r="I20950" s="4"/>
    </row>
    <row r="20951">
      <c r="A20951" s="4" t="str">
        <f>IFERROR(__xludf.DUMMYFUNCTION("""COMPUTED_VALUE"""),"cas_hmw")</f>
        <v>cas_hmw</v>
      </c>
      <c r="B20951" s="5">
        <f>IFERROR(__xludf.DUMMYFUNCTION("""COMPUTED_VALUE"""),44784.0)</f>
        <v>44784</v>
      </c>
      <c r="C20951" s="6">
        <f>IFERROR(__xludf.DUMMYFUNCTION("""COMPUTED_VALUE"""),0.28490740740744513)</f>
        <v>0.2849074074</v>
      </c>
      <c r="D20951" s="4">
        <f>IFERROR(__xludf.DUMMYFUNCTION("""COMPUTED_VALUE"""),12.91363)</f>
        <v>12.91363</v>
      </c>
      <c r="E20951" s="4">
        <f>IFERROR(__xludf.DUMMYFUNCTION("""COMPUTED_VALUE"""),80.10157)</f>
        <v>80.10157</v>
      </c>
      <c r="F20951" s="4">
        <f>IFERROR(__xludf.DUMMYFUNCTION("""COMPUTED_VALUE"""),3143.0)</f>
        <v>3143</v>
      </c>
      <c r="G20951" s="4">
        <f>IFERROR(__xludf.DUMMYFUNCTION("""COMPUTED_VALUE"""),47.0)</f>
        <v>47</v>
      </c>
      <c r="H20951" s="4"/>
      <c r="I20951" s="4"/>
    </row>
    <row r="20952">
      <c r="A20952" s="4" t="str">
        <f>IFERROR(__xludf.DUMMYFUNCTION("""COMPUTED_VALUE"""),"cas_hmw")</f>
        <v>cas_hmw</v>
      </c>
      <c r="B20952" s="5">
        <f>IFERROR(__xludf.DUMMYFUNCTION("""COMPUTED_VALUE"""),44784.0)</f>
        <v>44784</v>
      </c>
      <c r="C20952" s="6">
        <f>IFERROR(__xludf.DUMMYFUNCTION("""COMPUTED_VALUE"""),0.28642361111269565)</f>
        <v>0.2864236111</v>
      </c>
      <c r="D20952" s="4">
        <f>IFERROR(__xludf.DUMMYFUNCTION("""COMPUTED_VALUE"""),12.920124)</f>
        <v>12.920124</v>
      </c>
      <c r="E20952" s="4">
        <f>IFERROR(__xludf.DUMMYFUNCTION("""COMPUTED_VALUE"""),80.111138)</f>
        <v>80.111138</v>
      </c>
      <c r="F20952" s="4">
        <f>IFERROR(__xludf.DUMMYFUNCTION("""COMPUTED_VALUE"""),3143.0)</f>
        <v>3143</v>
      </c>
      <c r="G20952" s="4">
        <f>IFERROR(__xludf.DUMMYFUNCTION("""COMPUTED_VALUE"""),45.0)</f>
        <v>45</v>
      </c>
      <c r="H20952" s="4"/>
      <c r="I20952" s="4"/>
    </row>
    <row r="20953">
      <c r="A20953" s="4" t="str">
        <f>IFERROR(__xludf.DUMMYFUNCTION("""COMPUTED_VALUE"""),"cas_hmw")</f>
        <v>cas_hmw</v>
      </c>
      <c r="B20953" s="5">
        <f>IFERROR(__xludf.DUMMYFUNCTION("""COMPUTED_VALUE"""),44784.0)</f>
        <v>44784</v>
      </c>
      <c r="C20953" s="6">
        <f>IFERROR(__xludf.DUMMYFUNCTION("""COMPUTED_VALUE"""),0.28894675925766933)</f>
        <v>0.2889467593</v>
      </c>
      <c r="D20953" s="4">
        <f>IFERROR(__xludf.DUMMYFUNCTION("""COMPUTED_VALUE"""),12.933347)</f>
        <v>12.933347</v>
      </c>
      <c r="E20953" s="4">
        <f>IFERROR(__xludf.DUMMYFUNCTION("""COMPUTED_VALUE"""),80.124437)</f>
        <v>80.124437</v>
      </c>
      <c r="F20953" s="4">
        <f>IFERROR(__xludf.DUMMYFUNCTION("""COMPUTED_VALUE"""),3143.0)</f>
        <v>3143</v>
      </c>
      <c r="G20953" s="4">
        <f>IFERROR(__xludf.DUMMYFUNCTION("""COMPUTED_VALUE"""),47.0)</f>
        <v>47</v>
      </c>
      <c r="H20953" s="4"/>
      <c r="I20953" s="4"/>
    </row>
    <row r="20954">
      <c r="A20954" s="4" t="str">
        <f>IFERROR(__xludf.DUMMYFUNCTION("""COMPUTED_VALUE"""),"cas_hmw")</f>
        <v>cas_hmw</v>
      </c>
      <c r="B20954" s="5">
        <f>IFERROR(__xludf.DUMMYFUNCTION("""COMPUTED_VALUE"""),44784.0)</f>
        <v>44784</v>
      </c>
      <c r="C20954" s="6">
        <f>IFERROR(__xludf.DUMMYFUNCTION("""COMPUTED_VALUE"""),0.288993055553874)</f>
        <v>0.2889930556</v>
      </c>
      <c r="D20954" s="4">
        <f>IFERROR(__xludf.DUMMYFUNCTION("""COMPUTED_VALUE"""),12.470983)</f>
        <v>12.470983</v>
      </c>
      <c r="E20954" s="4">
        <f>IFERROR(__xludf.DUMMYFUNCTION("""COMPUTED_VALUE"""),79.853821)</f>
        <v>79.853821</v>
      </c>
      <c r="F20954" s="4">
        <f>IFERROR(__xludf.DUMMYFUNCTION("""COMPUTED_VALUE"""),2846.0)</f>
        <v>2846</v>
      </c>
      <c r="G20954" s="4">
        <f>IFERROR(__xludf.DUMMYFUNCTION("""COMPUTED_VALUE"""),59.0)</f>
        <v>59</v>
      </c>
      <c r="H20954" s="4"/>
      <c r="I20954" s="4"/>
    </row>
    <row r="20955">
      <c r="A20955" s="4" t="str">
        <f>IFERROR(__xludf.DUMMYFUNCTION("""COMPUTED_VALUE"""),"cas_hmw")</f>
        <v>cas_hmw</v>
      </c>
      <c r="B20955" s="5">
        <f>IFERROR(__xludf.DUMMYFUNCTION("""COMPUTED_VALUE"""),44784.0)</f>
        <v>44784</v>
      </c>
      <c r="C20955" s="6">
        <f>IFERROR(__xludf.DUMMYFUNCTION("""COMPUTED_VALUE"""),0.291608796294895)</f>
        <v>0.2916087963</v>
      </c>
      <c r="D20955" s="4">
        <f>IFERROR(__xludf.DUMMYFUNCTION("""COMPUTED_VALUE"""),12.950429)</f>
        <v>12.950429</v>
      </c>
      <c r="E20955" s="4">
        <f>IFERROR(__xludf.DUMMYFUNCTION("""COMPUTED_VALUE"""),80.139353)</f>
        <v>80.139353</v>
      </c>
      <c r="F20955" s="4">
        <f>IFERROR(__xludf.DUMMYFUNCTION("""COMPUTED_VALUE"""),3143.0)</f>
        <v>3143</v>
      </c>
      <c r="G20955" s="4">
        <f>IFERROR(__xludf.DUMMYFUNCTION("""COMPUTED_VALUE"""),19.0)</f>
        <v>19</v>
      </c>
      <c r="H20955" s="4"/>
      <c r="I20955" s="4"/>
    </row>
    <row r="20956">
      <c r="A20956" s="4" t="str">
        <f>IFERROR(__xludf.DUMMYFUNCTION("""COMPUTED_VALUE"""),"cas_hmw")</f>
        <v>cas_hmw</v>
      </c>
      <c r="B20956" s="5">
        <f>IFERROR(__xludf.DUMMYFUNCTION("""COMPUTED_VALUE"""),44784.0)</f>
        <v>44784</v>
      </c>
      <c r="C20956" s="6">
        <f>IFERROR(__xludf.DUMMYFUNCTION("""COMPUTED_VALUE"""),0.29209490740686306)</f>
        <v>0.2920949074</v>
      </c>
      <c r="D20956" s="4">
        <f>IFERROR(__xludf.DUMMYFUNCTION("""COMPUTED_VALUE"""),12.95429)</f>
        <v>12.95429</v>
      </c>
      <c r="E20956" s="4">
        <f>IFERROR(__xludf.DUMMYFUNCTION("""COMPUTED_VALUE"""),80.142069)</f>
        <v>80.142069</v>
      </c>
      <c r="F20956" s="4">
        <f>IFERROR(__xludf.DUMMYFUNCTION("""COMPUTED_VALUE"""),3143.0)</f>
        <v>3143</v>
      </c>
      <c r="G20956" s="4">
        <f>IFERROR(__xludf.DUMMYFUNCTION("""COMPUTED_VALUE"""),46.0)</f>
        <v>46</v>
      </c>
      <c r="H20956" s="4"/>
      <c r="I20956" s="4"/>
    </row>
    <row r="20957">
      <c r="A20957" s="4" t="str">
        <f>IFERROR(__xludf.DUMMYFUNCTION("""COMPUTED_VALUE"""),"cas_hmw")</f>
        <v>cas_hmw</v>
      </c>
      <c r="B20957" s="5">
        <f>IFERROR(__xludf.DUMMYFUNCTION("""COMPUTED_VALUE"""),44784.0)</f>
        <v>44784</v>
      </c>
      <c r="C20957" s="6">
        <f>IFERROR(__xludf.DUMMYFUNCTION("""COMPUTED_VALUE"""),0.2921180555567844)</f>
        <v>0.2921180556</v>
      </c>
      <c r="D20957" s="4">
        <f>IFERROR(__xludf.DUMMYFUNCTION("""COMPUTED_VALUE"""),12.95429)</f>
        <v>12.95429</v>
      </c>
      <c r="E20957" s="4">
        <f>IFERROR(__xludf.DUMMYFUNCTION("""COMPUTED_VALUE"""),80.142069)</f>
        <v>80.142069</v>
      </c>
      <c r="F20957" s="4">
        <f>IFERROR(__xludf.DUMMYFUNCTION("""COMPUTED_VALUE"""),3143.0)</f>
        <v>3143</v>
      </c>
      <c r="G20957" s="4">
        <f>IFERROR(__xludf.DUMMYFUNCTION("""COMPUTED_VALUE"""),46.0)</f>
        <v>46</v>
      </c>
      <c r="H20957" s="4"/>
      <c r="I20957" s="4"/>
    </row>
    <row r="20958">
      <c r="A20958" s="4" t="str">
        <f>IFERROR(__xludf.DUMMYFUNCTION("""COMPUTED_VALUE"""),"cas_hmw")</f>
        <v>cas_hmw</v>
      </c>
      <c r="B20958" s="5">
        <f>IFERROR(__xludf.DUMMYFUNCTION("""COMPUTED_VALUE"""),44784.0)</f>
        <v>44784</v>
      </c>
      <c r="C20958" s="6">
        <f>IFERROR(__xludf.DUMMYFUNCTION("""COMPUTED_VALUE"""),0.29467592592482106)</f>
        <v>0.2946759259</v>
      </c>
      <c r="D20958" s="4">
        <f>IFERROR(__xludf.DUMMYFUNCTION("""COMPUTED_VALUE"""),12.955065)</f>
        <v>12.955065</v>
      </c>
      <c r="E20958" s="4">
        <f>IFERROR(__xludf.DUMMYFUNCTION("""COMPUTED_VALUE"""),80.156454)</f>
        <v>80.156454</v>
      </c>
      <c r="F20958" s="4">
        <f>IFERROR(__xludf.DUMMYFUNCTION("""COMPUTED_VALUE"""),3143.0)</f>
        <v>3143</v>
      </c>
      <c r="G20958" s="4">
        <f>IFERROR(__xludf.DUMMYFUNCTION("""COMPUTED_VALUE"""),57.0)</f>
        <v>57</v>
      </c>
      <c r="H20958" s="4"/>
      <c r="I20958" s="4"/>
    </row>
    <row r="20959">
      <c r="A20959" s="4" t="str">
        <f>IFERROR(__xludf.DUMMYFUNCTION("""COMPUTED_VALUE"""),"cas_hmw")</f>
        <v>cas_hmw</v>
      </c>
      <c r="B20959" s="5">
        <f>IFERROR(__xludf.DUMMYFUNCTION("""COMPUTED_VALUE"""),44784.0)</f>
        <v>44784</v>
      </c>
      <c r="C20959" s="6">
        <f>IFERROR(__xludf.DUMMYFUNCTION("""COMPUTED_VALUE"""),0.29951388888730435)</f>
        <v>0.2995138889</v>
      </c>
      <c r="D20959" s="4">
        <f>IFERROR(__xludf.DUMMYFUNCTION("""COMPUTED_VALUE"""),12.515543)</f>
        <v>12.515543</v>
      </c>
      <c r="E20959" s="4">
        <f>IFERROR(__xludf.DUMMYFUNCTION("""COMPUTED_VALUE"""),79.888582)</f>
        <v>79.888582</v>
      </c>
      <c r="F20959" s="4">
        <f>IFERROR(__xludf.DUMMYFUNCTION("""COMPUTED_VALUE"""),2846.0)</f>
        <v>2846</v>
      </c>
      <c r="G20959" s="4">
        <f>IFERROR(__xludf.DUMMYFUNCTION("""COMPUTED_VALUE"""),45.0)</f>
        <v>45</v>
      </c>
      <c r="H20959" s="4"/>
      <c r="I20959" s="4"/>
    </row>
    <row r="20960">
      <c r="A20960" s="4" t="str">
        <f>IFERROR(__xludf.DUMMYFUNCTION("""COMPUTED_VALUE"""),"cas_hmw")</f>
        <v>cas_hmw</v>
      </c>
      <c r="B20960" s="5">
        <f>IFERROR(__xludf.DUMMYFUNCTION("""COMPUTED_VALUE"""),44784.0)</f>
        <v>44784</v>
      </c>
      <c r="C20960" s="6">
        <f>IFERROR(__xludf.DUMMYFUNCTION("""COMPUTED_VALUE"""),0.3022916666668607)</f>
        <v>0.3022916667</v>
      </c>
      <c r="D20960" s="4">
        <f>IFERROR(__xludf.DUMMYFUNCTION("""COMPUTED_VALUE"""),13.069418)</f>
        <v>13.069418</v>
      </c>
      <c r="E20960" s="4">
        <f>IFERROR(__xludf.DUMMYFUNCTION("""COMPUTED_VALUE"""),80.256759)</f>
        <v>80.256759</v>
      </c>
      <c r="F20960" s="4">
        <f>IFERROR(__xludf.DUMMYFUNCTION("""COMPUTED_VALUE"""),5339.0)</f>
        <v>5339</v>
      </c>
      <c r="G20960" s="4">
        <f>IFERROR(__xludf.DUMMYFUNCTION("""COMPUTED_VALUE"""),19.0)</f>
        <v>19</v>
      </c>
      <c r="H20960" s="4"/>
      <c r="I20960" s="4"/>
    </row>
    <row r="20961">
      <c r="A20961" s="4" t="str">
        <f>IFERROR(__xludf.DUMMYFUNCTION("""COMPUTED_VALUE"""),"cas_hmw")</f>
        <v>cas_hmw</v>
      </c>
      <c r="B20961" s="5">
        <f>IFERROR(__xludf.DUMMYFUNCTION("""COMPUTED_VALUE"""),44784.0)</f>
        <v>44784</v>
      </c>
      <c r="C20961" s="6">
        <f>IFERROR(__xludf.DUMMYFUNCTION("""COMPUTED_VALUE"""),0.30230324074000237)</f>
        <v>0.3023032407</v>
      </c>
      <c r="D20961" s="4">
        <f>IFERROR(__xludf.DUMMYFUNCTION("""COMPUTED_VALUE"""),13.069418)</f>
        <v>13.069418</v>
      </c>
      <c r="E20961" s="4">
        <f>IFERROR(__xludf.DUMMYFUNCTION("""COMPUTED_VALUE"""),80.256759)</f>
        <v>80.256759</v>
      </c>
      <c r="F20961" s="4">
        <f>IFERROR(__xludf.DUMMYFUNCTION("""COMPUTED_VALUE"""),5339.0)</f>
        <v>5339</v>
      </c>
      <c r="G20961" s="4">
        <f>IFERROR(__xludf.DUMMYFUNCTION("""COMPUTED_VALUE"""),19.0)</f>
        <v>19</v>
      </c>
      <c r="H20961" s="4"/>
      <c r="I20961" s="4"/>
    </row>
    <row r="20962">
      <c r="A20962" s="4" t="str">
        <f>IFERROR(__xludf.DUMMYFUNCTION("""COMPUTED_VALUE"""),"cas_hmw")</f>
        <v>cas_hmw</v>
      </c>
      <c r="B20962" s="5">
        <f>IFERROR(__xludf.DUMMYFUNCTION("""COMPUTED_VALUE"""),44784.0)</f>
        <v>44784</v>
      </c>
      <c r="C20962" s="6">
        <f>IFERROR(__xludf.DUMMYFUNCTION("""COMPUTED_VALUE"""),0.30231481481314404)</f>
        <v>0.3023148148</v>
      </c>
      <c r="D20962" s="4">
        <f>IFERROR(__xludf.DUMMYFUNCTION("""COMPUTED_VALUE"""),13.069418)</f>
        <v>13.069418</v>
      </c>
      <c r="E20962" s="4">
        <f>IFERROR(__xludf.DUMMYFUNCTION("""COMPUTED_VALUE"""),80.256759)</f>
        <v>80.256759</v>
      </c>
      <c r="F20962" s="4">
        <f>IFERROR(__xludf.DUMMYFUNCTION("""COMPUTED_VALUE"""),5339.0)</f>
        <v>5339</v>
      </c>
      <c r="G20962" s="4">
        <f>IFERROR(__xludf.DUMMYFUNCTION("""COMPUTED_VALUE"""),19.0)</f>
        <v>19</v>
      </c>
      <c r="H20962" s="4"/>
      <c r="I20962" s="4"/>
    </row>
    <row r="20963">
      <c r="A20963" s="4" t="str">
        <f>IFERROR(__xludf.DUMMYFUNCTION("""COMPUTED_VALUE"""),"cas_hmw")</f>
        <v>cas_hmw</v>
      </c>
      <c r="B20963" s="5">
        <f>IFERROR(__xludf.DUMMYFUNCTION("""COMPUTED_VALUE"""),44784.0)</f>
        <v>44784</v>
      </c>
      <c r="C20963" s="6">
        <f>IFERROR(__xludf.DUMMYFUNCTION("""COMPUTED_VALUE"""),0.30234953703620704)</f>
        <v>0.302349537</v>
      </c>
      <c r="D20963" s="4">
        <f>IFERROR(__xludf.DUMMYFUNCTION("""COMPUTED_VALUE"""),13.069847)</f>
        <v>13.069847</v>
      </c>
      <c r="E20963" s="4">
        <f>IFERROR(__xludf.DUMMYFUNCTION("""COMPUTED_VALUE"""),80.257202)</f>
        <v>80.257202</v>
      </c>
      <c r="F20963" s="4">
        <f>IFERROR(__xludf.DUMMYFUNCTION("""COMPUTED_VALUE"""),5339.0)</f>
        <v>5339</v>
      </c>
      <c r="G20963" s="4">
        <f>IFERROR(__xludf.DUMMYFUNCTION("""COMPUTED_VALUE"""),28.0)</f>
        <v>28</v>
      </c>
      <c r="H20963" s="4"/>
      <c r="I20963" s="4"/>
    </row>
    <row r="20964">
      <c r="A20964" s="4" t="str">
        <f>IFERROR(__xludf.DUMMYFUNCTION("""COMPUTED_VALUE"""),"cas_hmw")</f>
        <v>cas_hmw</v>
      </c>
      <c r="B20964" s="5">
        <f>IFERROR(__xludf.DUMMYFUNCTION("""COMPUTED_VALUE"""),44784.0)</f>
        <v>44784</v>
      </c>
      <c r="C20964" s="6">
        <f>IFERROR(__xludf.DUMMYFUNCTION("""COMPUTED_VALUE"""),0.3039236111108039)</f>
        <v>0.3039236111</v>
      </c>
      <c r="D20964" s="4">
        <f>IFERROR(__xludf.DUMMYFUNCTION("""COMPUTED_VALUE"""),13.063122)</f>
        <v>13.063122</v>
      </c>
      <c r="E20964" s="4">
        <f>IFERROR(__xludf.DUMMYFUNCTION("""COMPUTED_VALUE"""),80.262134)</f>
        <v>80.262134</v>
      </c>
      <c r="F20964" s="4">
        <f>IFERROR(__xludf.DUMMYFUNCTION("""COMPUTED_VALUE"""),805.0)</f>
        <v>805</v>
      </c>
      <c r="G20964" s="4">
        <f>IFERROR(__xludf.DUMMYFUNCTION("""COMPUTED_VALUE"""),37.0)</f>
        <v>37</v>
      </c>
      <c r="H20964" s="4"/>
      <c r="I20964" s="4"/>
    </row>
    <row r="20965">
      <c r="A20965" s="4" t="str">
        <f>IFERROR(__xludf.DUMMYFUNCTION("""COMPUTED_VALUE"""),"cas_hmw")</f>
        <v>cas_hmw</v>
      </c>
      <c r="B20965" s="5">
        <f>IFERROR(__xludf.DUMMYFUNCTION("""COMPUTED_VALUE"""),44784.0)</f>
        <v>44784</v>
      </c>
      <c r="C20965" s="6">
        <f>IFERROR(__xludf.DUMMYFUNCTION("""COMPUTED_VALUE"""),0.30474537036934635)</f>
        <v>0.3047453704</v>
      </c>
      <c r="D20965" s="4">
        <f>IFERROR(__xludf.DUMMYFUNCTION("""COMPUTED_VALUE"""),13.066032)</f>
        <v>13.066032</v>
      </c>
      <c r="E20965" s="4">
        <f>IFERROR(__xludf.DUMMYFUNCTION("""COMPUTED_VALUE"""),80.267838)</f>
        <v>80.267838</v>
      </c>
      <c r="F20965" s="4">
        <f>IFERROR(__xludf.DUMMYFUNCTION("""COMPUTED_VALUE"""),805.0)</f>
        <v>805</v>
      </c>
      <c r="G20965" s="4">
        <f>IFERROR(__xludf.DUMMYFUNCTION("""COMPUTED_VALUE"""),36.0)</f>
        <v>36</v>
      </c>
      <c r="H20965" s="4"/>
      <c r="I20965" s="4"/>
    </row>
    <row r="20966">
      <c r="A20966" s="4" t="str">
        <f>IFERROR(__xludf.DUMMYFUNCTION("""COMPUTED_VALUE"""),"cas_hmw")</f>
        <v>cas_hmw</v>
      </c>
      <c r="B20966" s="5">
        <f>IFERROR(__xludf.DUMMYFUNCTION("""COMPUTED_VALUE"""),44784.0)</f>
        <v>44784</v>
      </c>
      <c r="C20966" s="6">
        <f>IFERROR(__xludf.DUMMYFUNCTION("""COMPUTED_VALUE"""),0.304791666665551)</f>
        <v>0.3047916667</v>
      </c>
      <c r="D20966" s="4">
        <f>IFERROR(__xludf.DUMMYFUNCTION("""COMPUTED_VALUE"""),13.066721)</f>
        <v>13.066721</v>
      </c>
      <c r="E20966" s="4">
        <f>IFERROR(__xludf.DUMMYFUNCTION("""COMPUTED_VALUE"""),80.268448)</f>
        <v>80.268448</v>
      </c>
      <c r="F20966" s="4">
        <f>IFERROR(__xludf.DUMMYFUNCTION("""COMPUTED_VALUE"""),805.0)</f>
        <v>805</v>
      </c>
      <c r="G20966" s="4">
        <f>IFERROR(__xludf.DUMMYFUNCTION("""COMPUTED_VALUE"""),32.0)</f>
        <v>32</v>
      </c>
      <c r="H20966" s="4"/>
      <c r="I20966" s="4"/>
    </row>
    <row r="20967">
      <c r="A20967" s="4" t="str">
        <f>IFERROR(__xludf.DUMMYFUNCTION("""COMPUTED_VALUE"""),"cas_hmw")</f>
        <v>cas_hmw</v>
      </c>
      <c r="B20967" s="5">
        <f>IFERROR(__xludf.DUMMYFUNCTION("""COMPUTED_VALUE"""),44784.0)</f>
        <v>44784</v>
      </c>
      <c r="C20967" s="6">
        <f>IFERROR(__xludf.DUMMYFUNCTION("""COMPUTED_VALUE"""),0.30553240740846377)</f>
        <v>0.3055324074</v>
      </c>
      <c r="D20967" s="4">
        <f>IFERROR(__xludf.DUMMYFUNCTION("""COMPUTED_VALUE"""),13.06697)</f>
        <v>13.06697</v>
      </c>
      <c r="E20967" s="4">
        <f>IFERROR(__xludf.DUMMYFUNCTION("""COMPUTED_VALUE"""),80.270199)</f>
        <v>80.270199</v>
      </c>
      <c r="F20967" s="4">
        <f>IFERROR(__xludf.DUMMYFUNCTION("""COMPUTED_VALUE"""),805.0)</f>
        <v>805</v>
      </c>
      <c r="G20967" s="4">
        <f>IFERROR(__xludf.DUMMYFUNCTION("""COMPUTED_VALUE"""),47.0)</f>
        <v>47</v>
      </c>
      <c r="H20967" s="4"/>
      <c r="I20967" s="4"/>
    </row>
    <row r="20968">
      <c r="A20968" s="4" t="str">
        <f>IFERROR(__xludf.DUMMYFUNCTION("""COMPUTED_VALUE"""),"cas_hmw")</f>
        <v>cas_hmw</v>
      </c>
      <c r="B20968" s="5">
        <f>IFERROR(__xludf.DUMMYFUNCTION("""COMPUTED_VALUE"""),44784.0)</f>
        <v>44784</v>
      </c>
      <c r="C20968" s="6">
        <f>IFERROR(__xludf.DUMMYFUNCTION("""COMPUTED_VALUE"""),0.3056250000008731)</f>
        <v>0.305625</v>
      </c>
      <c r="D20968" s="4">
        <f>IFERROR(__xludf.DUMMYFUNCTION("""COMPUTED_VALUE"""),13.068254)</f>
        <v>13.068254</v>
      </c>
      <c r="E20968" s="4">
        <f>IFERROR(__xludf.DUMMYFUNCTION("""COMPUTED_VALUE"""),80.26998)</f>
        <v>80.26998</v>
      </c>
      <c r="F20968" s="4">
        <f>IFERROR(__xludf.DUMMYFUNCTION("""COMPUTED_VALUE"""),5339.0)</f>
        <v>5339</v>
      </c>
      <c r="G20968" s="4">
        <f>IFERROR(__xludf.DUMMYFUNCTION("""COMPUTED_VALUE"""),29.0)</f>
        <v>29</v>
      </c>
      <c r="H20968" s="4"/>
      <c r="I20968" s="4"/>
    </row>
    <row r="20969">
      <c r="A20969" s="4" t="str">
        <f>IFERROR(__xludf.DUMMYFUNCTION("""COMPUTED_VALUE"""),"cas_hmw")</f>
        <v>cas_hmw</v>
      </c>
      <c r="B20969" s="5">
        <f>IFERROR(__xludf.DUMMYFUNCTION("""COMPUTED_VALUE"""),44784.0)</f>
        <v>44784</v>
      </c>
      <c r="C20969" s="6">
        <f>IFERROR(__xludf.DUMMYFUNCTION("""COMPUTED_VALUE"""),0.3056365740740148)</f>
        <v>0.3056365741</v>
      </c>
      <c r="D20969" s="4">
        <f>IFERROR(__xludf.DUMMYFUNCTION("""COMPUTED_VALUE"""),13.068254)</f>
        <v>13.068254</v>
      </c>
      <c r="E20969" s="4">
        <f>IFERROR(__xludf.DUMMYFUNCTION("""COMPUTED_VALUE"""),80.26998)</f>
        <v>80.26998</v>
      </c>
      <c r="F20969" s="4">
        <f>IFERROR(__xludf.DUMMYFUNCTION("""COMPUTED_VALUE"""),5339.0)</f>
        <v>5339</v>
      </c>
      <c r="G20969" s="4">
        <f>IFERROR(__xludf.DUMMYFUNCTION("""COMPUTED_VALUE"""),29.0)</f>
        <v>29</v>
      </c>
      <c r="H20969" s="4"/>
      <c r="I20969" s="4"/>
    </row>
    <row r="20970">
      <c r="A20970" s="4" t="str">
        <f>IFERROR(__xludf.DUMMYFUNCTION("""COMPUTED_VALUE"""),"cas_hmw")</f>
        <v>cas_hmw</v>
      </c>
      <c r="B20970" s="5">
        <f>IFERROR(__xludf.DUMMYFUNCTION("""COMPUTED_VALUE"""),44784.0)</f>
        <v>44784</v>
      </c>
      <c r="C20970" s="6">
        <f>IFERROR(__xludf.DUMMYFUNCTION("""COMPUTED_VALUE"""),0.3056712962970778)</f>
        <v>0.3056712963</v>
      </c>
      <c r="D20970" s="4">
        <f>IFERROR(__xludf.DUMMYFUNCTION("""COMPUTED_VALUE"""),13.068254)</f>
        <v>13.068254</v>
      </c>
      <c r="E20970" s="4">
        <f>IFERROR(__xludf.DUMMYFUNCTION("""COMPUTED_VALUE"""),80.26998)</f>
        <v>80.26998</v>
      </c>
      <c r="F20970" s="4">
        <f>IFERROR(__xludf.DUMMYFUNCTION("""COMPUTED_VALUE"""),5339.0)</f>
        <v>5339</v>
      </c>
      <c r="G20970" s="4">
        <f>IFERROR(__xludf.DUMMYFUNCTION("""COMPUTED_VALUE"""),29.0)</f>
        <v>29</v>
      </c>
      <c r="H20970" s="4"/>
      <c r="I20970" s="4"/>
    </row>
    <row r="20971">
      <c r="A20971" s="4" t="str">
        <f>IFERROR(__xludf.DUMMYFUNCTION("""COMPUTED_VALUE"""),"cas_hmw")</f>
        <v>cas_hmw</v>
      </c>
      <c r="B20971" s="5">
        <f>IFERROR(__xludf.DUMMYFUNCTION("""COMPUTED_VALUE"""),44784.0)</f>
        <v>44784</v>
      </c>
      <c r="C20971" s="6">
        <f>IFERROR(__xludf.DUMMYFUNCTION("""COMPUTED_VALUE"""),0.3076620370375167)</f>
        <v>0.307662037</v>
      </c>
      <c r="D20971" s="4">
        <f>IFERROR(__xludf.DUMMYFUNCTION("""COMPUTED_VALUE"""),13.061954)</f>
        <v>13.061954</v>
      </c>
      <c r="E20971" s="4">
        <f>IFERROR(__xludf.DUMMYFUNCTION("""COMPUTED_VALUE"""),80.266214)</f>
        <v>80.266214</v>
      </c>
      <c r="F20971" s="4">
        <f>IFERROR(__xludf.DUMMYFUNCTION("""COMPUTED_VALUE"""),805.0)</f>
        <v>805</v>
      </c>
      <c r="G20971" s="4">
        <f>IFERROR(__xludf.DUMMYFUNCTION("""COMPUTED_VALUE"""),34.0)</f>
        <v>34</v>
      </c>
      <c r="H20971" s="4"/>
      <c r="I20971" s="4"/>
    </row>
    <row r="20972">
      <c r="A20972" s="4" t="str">
        <f>IFERROR(__xludf.DUMMYFUNCTION("""COMPUTED_VALUE"""),"cas_hmw")</f>
        <v>cas_hmw</v>
      </c>
      <c r="B20972" s="5">
        <f>IFERROR(__xludf.DUMMYFUNCTION("""COMPUTED_VALUE"""),44784.0)</f>
        <v>44784</v>
      </c>
      <c r="C20972" s="6">
        <f>IFERROR(__xludf.DUMMYFUNCTION("""COMPUTED_VALUE"""),0.31332175925854244)</f>
        <v>0.3133217593</v>
      </c>
      <c r="D20972" s="4">
        <f>IFERROR(__xludf.DUMMYFUNCTION("""COMPUTED_VALUE"""),12.658397)</f>
        <v>12.658397</v>
      </c>
      <c r="E20972" s="4">
        <f>IFERROR(__xludf.DUMMYFUNCTION("""COMPUTED_VALUE"""),79.943738)</f>
        <v>79.943738</v>
      </c>
      <c r="F20972" s="4">
        <f>IFERROR(__xludf.DUMMYFUNCTION("""COMPUTED_VALUE"""),2846.0)</f>
        <v>2846</v>
      </c>
      <c r="G20972" s="4">
        <f>IFERROR(__xludf.DUMMYFUNCTION("""COMPUTED_VALUE"""),58.0)</f>
        <v>58</v>
      </c>
      <c r="H20972" s="4"/>
      <c r="I20972" s="4"/>
    </row>
    <row r="20973">
      <c r="A20973" s="4" t="str">
        <f>IFERROR(__xludf.DUMMYFUNCTION("""COMPUTED_VALUE"""),"cas_hmw")</f>
        <v>cas_hmw</v>
      </c>
      <c r="B20973" s="5">
        <f>IFERROR(__xludf.DUMMYFUNCTION("""COMPUTED_VALUE"""),44784.0)</f>
        <v>44784</v>
      </c>
      <c r="C20973" s="6">
        <f>IFERROR(__xludf.DUMMYFUNCTION("""COMPUTED_VALUE"""),0.3138773148129985)</f>
        <v>0.3138773148</v>
      </c>
      <c r="D20973" s="4">
        <f>IFERROR(__xludf.DUMMYFUNCTION("""COMPUTED_VALUE"""),13.053336)</f>
        <v>13.053336</v>
      </c>
      <c r="E20973" s="4">
        <f>IFERROR(__xludf.DUMMYFUNCTION("""COMPUTED_VALUE"""),80.2524)</f>
        <v>80.2524</v>
      </c>
      <c r="F20973" s="4">
        <f>IFERROR(__xludf.DUMMYFUNCTION("""COMPUTED_VALUE"""),5339.0)</f>
        <v>5339</v>
      </c>
      <c r="G20973" s="4">
        <f>IFERROR(__xludf.DUMMYFUNCTION("""COMPUTED_VALUE"""),45.0)</f>
        <v>45</v>
      </c>
      <c r="H20973" s="4"/>
      <c r="I20973" s="4"/>
    </row>
    <row r="20974">
      <c r="A20974" s="4" t="str">
        <f>IFERROR(__xludf.DUMMYFUNCTION("""COMPUTED_VALUE"""),"cas_hmw")</f>
        <v>cas_hmw</v>
      </c>
      <c r="B20974" s="5">
        <f>IFERROR(__xludf.DUMMYFUNCTION("""COMPUTED_VALUE"""),44784.0)</f>
        <v>44784</v>
      </c>
      <c r="C20974" s="6">
        <f>IFERROR(__xludf.DUMMYFUNCTION("""COMPUTED_VALUE"""),0.3153009259258397)</f>
        <v>0.3153009259</v>
      </c>
      <c r="D20974" s="4">
        <f>IFERROR(__xludf.DUMMYFUNCTION("""COMPUTED_VALUE"""),13.04419)</f>
        <v>13.04419</v>
      </c>
      <c r="E20974" s="4">
        <f>IFERROR(__xludf.DUMMYFUNCTION("""COMPUTED_VALUE"""),80.247967)</f>
        <v>80.247967</v>
      </c>
      <c r="F20974" s="4">
        <f>IFERROR(__xludf.DUMMYFUNCTION("""COMPUTED_VALUE"""),5339.0)</f>
        <v>5339</v>
      </c>
      <c r="G20974" s="4">
        <f>IFERROR(__xludf.DUMMYFUNCTION("""COMPUTED_VALUE"""),41.0)</f>
        <v>41</v>
      </c>
      <c r="H20974" s="4"/>
      <c r="I20974" s="4"/>
    </row>
    <row r="20975">
      <c r="A20975" s="4" t="str">
        <f>IFERROR(__xludf.DUMMYFUNCTION("""COMPUTED_VALUE"""),"cas_hmw")</f>
        <v>cas_hmw</v>
      </c>
      <c r="B20975" s="5">
        <f>IFERROR(__xludf.DUMMYFUNCTION("""COMPUTED_VALUE"""),44784.0)</f>
        <v>44784</v>
      </c>
      <c r="C20975" s="6">
        <f>IFERROR(__xludf.DUMMYFUNCTION("""COMPUTED_VALUE"""),0.3156597222223354)</f>
        <v>0.3156597222</v>
      </c>
      <c r="D20975" s="4">
        <f>IFERROR(__xludf.DUMMYFUNCTION("""COMPUTED_VALUE"""),13.040847)</f>
        <v>13.040847</v>
      </c>
      <c r="E20975" s="4">
        <f>IFERROR(__xludf.DUMMYFUNCTION("""COMPUTED_VALUE"""),80.247305)</f>
        <v>80.247305</v>
      </c>
      <c r="F20975" s="4">
        <f>IFERROR(__xludf.DUMMYFUNCTION("""COMPUTED_VALUE"""),5339.0)</f>
        <v>5339</v>
      </c>
      <c r="G20975" s="4">
        <f>IFERROR(__xludf.DUMMYFUNCTION("""COMPUTED_VALUE"""),41.0)</f>
        <v>41</v>
      </c>
      <c r="H20975" s="4"/>
      <c r="I20975" s="4"/>
    </row>
    <row r="20976">
      <c r="A20976" s="4" t="str">
        <f>IFERROR(__xludf.DUMMYFUNCTION("""COMPUTED_VALUE"""),"cas_hmw")</f>
        <v>cas_hmw</v>
      </c>
      <c r="B20976" s="5">
        <f>IFERROR(__xludf.DUMMYFUNCTION("""COMPUTED_VALUE"""),44784.0)</f>
        <v>44784</v>
      </c>
      <c r="C20976" s="6">
        <f>IFERROR(__xludf.DUMMYFUNCTION("""COMPUTED_VALUE"""),0.31612268518438214)</f>
        <v>0.3161226852</v>
      </c>
      <c r="D20976" s="4">
        <f>IFERROR(__xludf.DUMMYFUNCTION("""COMPUTED_VALUE"""),12.665256)</f>
        <v>12.665256</v>
      </c>
      <c r="E20976" s="4">
        <f>IFERROR(__xludf.DUMMYFUNCTION("""COMPUTED_VALUE"""),79.969248)</f>
        <v>79.969248</v>
      </c>
      <c r="F20976" s="4">
        <f>IFERROR(__xludf.DUMMYFUNCTION("""COMPUTED_VALUE"""),2846.0)</f>
        <v>2846</v>
      </c>
      <c r="G20976" s="4">
        <f>IFERROR(__xludf.DUMMYFUNCTION("""COMPUTED_VALUE"""),48.0)</f>
        <v>48</v>
      </c>
      <c r="H20976" s="4"/>
      <c r="I20976" s="4"/>
    </row>
    <row r="20977">
      <c r="A20977" s="4" t="str">
        <f>IFERROR(__xludf.DUMMYFUNCTION("""COMPUTED_VALUE"""),"cas_hmw")</f>
        <v>cas_hmw</v>
      </c>
      <c r="B20977" s="5">
        <f>IFERROR(__xludf.DUMMYFUNCTION("""COMPUTED_VALUE"""),44784.0)</f>
        <v>44784</v>
      </c>
      <c r="C20977" s="6">
        <f>IFERROR(__xludf.DUMMYFUNCTION("""COMPUTED_VALUE"""),0.31619212963050813)</f>
        <v>0.3161921296</v>
      </c>
      <c r="D20977" s="4">
        <f>IFERROR(__xludf.DUMMYFUNCTION("""COMPUTED_VALUE"""),13.039322)</f>
        <v>13.039322</v>
      </c>
      <c r="E20977" s="4">
        <f>IFERROR(__xludf.DUMMYFUNCTION("""COMPUTED_VALUE"""),80.247011)</f>
        <v>80.247011</v>
      </c>
      <c r="F20977" s="4">
        <f>IFERROR(__xludf.DUMMYFUNCTION("""COMPUTED_VALUE"""),5339.0)</f>
        <v>5339</v>
      </c>
      <c r="G20977" s="4">
        <f>IFERROR(__xludf.DUMMYFUNCTION("""COMPUTED_VALUE"""),26.0)</f>
        <v>26</v>
      </c>
      <c r="H20977" s="4"/>
      <c r="I20977" s="4"/>
    </row>
    <row r="20978">
      <c r="A20978" s="4" t="str">
        <f>IFERROR(__xludf.DUMMYFUNCTION("""COMPUTED_VALUE"""),"cas_hmw")</f>
        <v>cas_hmw</v>
      </c>
      <c r="B20978" s="5">
        <f>IFERROR(__xludf.DUMMYFUNCTION("""COMPUTED_VALUE"""),44784.0)</f>
        <v>44784</v>
      </c>
      <c r="C20978" s="6">
        <f>IFERROR(__xludf.DUMMYFUNCTION("""COMPUTED_VALUE"""),0.3171064814814599)</f>
        <v>0.3171064815</v>
      </c>
      <c r="D20978" s="4">
        <f>IFERROR(__xludf.DUMMYFUNCTION("""COMPUTED_VALUE"""),13.034314)</f>
        <v>13.034314</v>
      </c>
      <c r="E20978" s="4">
        <f>IFERROR(__xludf.DUMMYFUNCTION("""COMPUTED_VALUE"""),80.245059)</f>
        <v>80.245059</v>
      </c>
      <c r="F20978" s="4">
        <f>IFERROR(__xludf.DUMMYFUNCTION("""COMPUTED_VALUE"""),5339.0)</f>
        <v>5339</v>
      </c>
      <c r="G20978" s="4">
        <f>IFERROR(__xludf.DUMMYFUNCTION("""COMPUTED_VALUE"""),47.0)</f>
        <v>47</v>
      </c>
      <c r="H20978" s="4"/>
      <c r="I20978" s="4"/>
    </row>
    <row r="20979">
      <c r="A20979" s="4" t="str">
        <f>IFERROR(__xludf.DUMMYFUNCTION("""COMPUTED_VALUE"""),"cas_hmw")</f>
        <v>cas_hmw</v>
      </c>
      <c r="B20979" s="5">
        <f>IFERROR(__xludf.DUMMYFUNCTION("""COMPUTED_VALUE"""),44784.0)</f>
        <v>44784</v>
      </c>
      <c r="C20979" s="6">
        <f>IFERROR(__xludf.DUMMYFUNCTION("""COMPUTED_VALUE"""),0.3171527777776646)</f>
        <v>0.3171527778</v>
      </c>
      <c r="D20979" s="4">
        <f>IFERROR(__xludf.DUMMYFUNCTION("""COMPUTED_VALUE"""),13.034314)</f>
        <v>13.034314</v>
      </c>
      <c r="E20979" s="4">
        <f>IFERROR(__xludf.DUMMYFUNCTION("""COMPUTED_VALUE"""),80.245059)</f>
        <v>80.245059</v>
      </c>
      <c r="F20979" s="4">
        <f>IFERROR(__xludf.DUMMYFUNCTION("""COMPUTED_VALUE"""),5339.0)</f>
        <v>5339</v>
      </c>
      <c r="G20979" s="4">
        <f>IFERROR(__xludf.DUMMYFUNCTION("""COMPUTED_VALUE"""),47.0)</f>
        <v>47</v>
      </c>
      <c r="H20979" s="4"/>
      <c r="I20979" s="4"/>
    </row>
    <row r="20980">
      <c r="A20980" s="4" t="str">
        <f>IFERROR(__xludf.DUMMYFUNCTION("""COMPUTED_VALUE"""),"cas_hmw")</f>
        <v>cas_hmw</v>
      </c>
      <c r="B20980" s="5">
        <f>IFERROR(__xludf.DUMMYFUNCTION("""COMPUTED_VALUE"""),44784.0)</f>
        <v>44784</v>
      </c>
      <c r="C20980" s="6">
        <f>IFERROR(__xludf.DUMMYFUNCTION("""COMPUTED_VALUE"""),0.3181018518516794)</f>
        <v>0.3181018519</v>
      </c>
      <c r="D20980" s="4">
        <f>IFERROR(__xludf.DUMMYFUNCTION("""COMPUTED_VALUE"""),12.675717)</f>
        <v>12.675717</v>
      </c>
      <c r="E20980" s="4">
        <f>IFERROR(__xludf.DUMMYFUNCTION("""COMPUTED_VALUE"""),79.977879)</f>
        <v>79.977879</v>
      </c>
      <c r="F20980" s="4">
        <f>IFERROR(__xludf.DUMMYFUNCTION("""COMPUTED_VALUE"""),2846.0)</f>
        <v>2846</v>
      </c>
      <c r="G20980" s="4">
        <f>IFERROR(__xludf.DUMMYFUNCTION("""COMPUTED_VALUE"""),24.0)</f>
        <v>24</v>
      </c>
      <c r="H20980" s="4"/>
      <c r="I20980" s="4"/>
    </row>
    <row r="20981">
      <c r="A20981" s="4" t="str">
        <f>IFERROR(__xludf.DUMMYFUNCTION("""COMPUTED_VALUE"""),"cas_hmw")</f>
        <v>cas_hmw</v>
      </c>
      <c r="B20981" s="5">
        <f>IFERROR(__xludf.DUMMYFUNCTION("""COMPUTED_VALUE"""),44784.0)</f>
        <v>44784</v>
      </c>
      <c r="C20981" s="6">
        <f>IFERROR(__xludf.DUMMYFUNCTION("""COMPUTED_VALUE"""),0.3184606481481751)</f>
        <v>0.3184606481</v>
      </c>
      <c r="D20981" s="4">
        <f>IFERROR(__xludf.DUMMYFUNCTION("""COMPUTED_VALUE"""),12.678732)</f>
        <v>12.678732</v>
      </c>
      <c r="E20981" s="4">
        <f>IFERROR(__xludf.DUMMYFUNCTION("""COMPUTED_VALUE"""),79.980076)</f>
        <v>79.980076</v>
      </c>
      <c r="F20981" s="4">
        <f>IFERROR(__xludf.DUMMYFUNCTION("""COMPUTED_VALUE"""),2846.0)</f>
        <v>2846</v>
      </c>
      <c r="G20981" s="4">
        <f>IFERROR(__xludf.DUMMYFUNCTION("""COMPUTED_VALUE"""),35.0)</f>
        <v>35</v>
      </c>
      <c r="H20981" s="4"/>
      <c r="I20981" s="4"/>
    </row>
    <row r="20982">
      <c r="A20982" s="4" t="str">
        <f>IFERROR(__xludf.DUMMYFUNCTION("""COMPUTED_VALUE"""),"cas_hmw")</f>
        <v>cas_hmw</v>
      </c>
      <c r="B20982" s="5">
        <f>IFERROR(__xludf.DUMMYFUNCTION("""COMPUTED_VALUE"""),44784.0)</f>
        <v>44784</v>
      </c>
      <c r="C20982" s="6">
        <f>IFERROR(__xludf.DUMMYFUNCTION("""COMPUTED_VALUE"""),0.3185995370367891)</f>
        <v>0.318599537</v>
      </c>
      <c r="D20982" s="4">
        <f>IFERROR(__xludf.DUMMYFUNCTION("""COMPUTED_VALUE"""),13.030012)</f>
        <v>13.030012</v>
      </c>
      <c r="E20982" s="4">
        <f>IFERROR(__xludf.DUMMYFUNCTION("""COMPUTED_VALUE"""),80.237972)</f>
        <v>80.237972</v>
      </c>
      <c r="F20982" s="4">
        <f>IFERROR(__xludf.DUMMYFUNCTION("""COMPUTED_VALUE"""),5339.0)</f>
        <v>5339</v>
      </c>
      <c r="G20982" s="4">
        <f>IFERROR(__xludf.DUMMYFUNCTION("""COMPUTED_VALUE"""),30.0)</f>
        <v>30</v>
      </c>
      <c r="H20982" s="4"/>
      <c r="I20982" s="4"/>
    </row>
    <row r="20983">
      <c r="A20983" s="4" t="str">
        <f>IFERROR(__xludf.DUMMYFUNCTION("""COMPUTED_VALUE"""),"cas_hmw")</f>
        <v>cas_hmw</v>
      </c>
      <c r="B20983" s="5">
        <f>IFERROR(__xludf.DUMMYFUNCTION("""COMPUTED_VALUE"""),44784.0)</f>
        <v>44784</v>
      </c>
      <c r="C20983" s="6">
        <f>IFERROR(__xludf.DUMMYFUNCTION("""COMPUTED_VALUE"""),0.3185995370367891)</f>
        <v>0.318599537</v>
      </c>
      <c r="D20983" s="4">
        <f>IFERROR(__xludf.DUMMYFUNCTION("""COMPUTED_VALUE"""),13.030012)</f>
        <v>13.030012</v>
      </c>
      <c r="E20983" s="4">
        <f>IFERROR(__xludf.DUMMYFUNCTION("""COMPUTED_VALUE"""),80.237972)</f>
        <v>80.237972</v>
      </c>
      <c r="F20983" s="4">
        <f>IFERROR(__xludf.DUMMYFUNCTION("""COMPUTED_VALUE"""),5339.0)</f>
        <v>5339</v>
      </c>
      <c r="G20983" s="4">
        <f>IFERROR(__xludf.DUMMYFUNCTION("""COMPUTED_VALUE"""),30.0)</f>
        <v>30</v>
      </c>
      <c r="H20983" s="4"/>
      <c r="I20983" s="4"/>
    </row>
    <row r="20984">
      <c r="A20984" s="4" t="str">
        <f>IFERROR(__xludf.DUMMYFUNCTION("""COMPUTED_VALUE"""),"cas_hmw")</f>
        <v>cas_hmw</v>
      </c>
      <c r="B20984" s="5">
        <f>IFERROR(__xludf.DUMMYFUNCTION("""COMPUTED_VALUE"""),44784.0)</f>
        <v>44784</v>
      </c>
      <c r="C20984" s="6">
        <f>IFERROR(__xludf.DUMMYFUNCTION("""COMPUTED_VALUE"""),0.31876157407532446)</f>
        <v>0.3187615741</v>
      </c>
      <c r="D20984" s="4">
        <f>IFERROR(__xludf.DUMMYFUNCTION("""COMPUTED_VALUE"""),13.029628)</f>
        <v>13.029628</v>
      </c>
      <c r="E20984" s="4">
        <f>IFERROR(__xludf.DUMMYFUNCTION("""COMPUTED_VALUE"""),80.237367)</f>
        <v>80.237367</v>
      </c>
      <c r="F20984" s="4">
        <f>IFERROR(__xludf.DUMMYFUNCTION("""COMPUTED_VALUE"""),5339.0)</f>
        <v>5339</v>
      </c>
      <c r="G20984" s="4">
        <f>IFERROR(__xludf.DUMMYFUNCTION("""COMPUTED_VALUE"""),31.0)</f>
        <v>31</v>
      </c>
      <c r="H20984" s="4"/>
      <c r="I20984" s="4"/>
    </row>
    <row r="20985">
      <c r="A20985" s="4" t="str">
        <f>IFERROR(__xludf.DUMMYFUNCTION("""COMPUTED_VALUE"""),"cas_hmw")</f>
        <v>cas_hmw</v>
      </c>
      <c r="B20985" s="5">
        <f>IFERROR(__xludf.DUMMYFUNCTION("""COMPUTED_VALUE"""),44784.0)</f>
        <v>44784</v>
      </c>
      <c r="C20985" s="6">
        <f>IFERROR(__xludf.DUMMYFUNCTION("""COMPUTED_VALUE"""),0.3193287037029222)</f>
        <v>0.3193287037</v>
      </c>
      <c r="D20985" s="4">
        <f>IFERROR(__xludf.DUMMYFUNCTION("""COMPUTED_VALUE"""),13.027594)</f>
        <v>13.027594</v>
      </c>
      <c r="E20985" s="4">
        <f>IFERROR(__xludf.DUMMYFUNCTION("""COMPUTED_VALUE"""),80.234772)</f>
        <v>80.234772</v>
      </c>
      <c r="F20985" s="4">
        <f>IFERROR(__xludf.DUMMYFUNCTION("""COMPUTED_VALUE"""),5339.0)</f>
        <v>5339</v>
      </c>
      <c r="G20985" s="4">
        <f>IFERROR(__xludf.DUMMYFUNCTION("""COMPUTED_VALUE"""),48.0)</f>
        <v>48</v>
      </c>
      <c r="H20985" s="4"/>
      <c r="I20985" s="4"/>
    </row>
    <row r="20986">
      <c r="A20986" s="4" t="str">
        <f>IFERROR(__xludf.DUMMYFUNCTION("""COMPUTED_VALUE"""),"cas_hmw")</f>
        <v>cas_hmw</v>
      </c>
      <c r="B20986" s="5">
        <f>IFERROR(__xludf.DUMMYFUNCTION("""COMPUTED_VALUE"""),44784.0)</f>
        <v>44784</v>
      </c>
      <c r="C20986" s="6">
        <f>IFERROR(__xludf.DUMMYFUNCTION("""COMPUTED_VALUE"""),0.31953703703766223)</f>
        <v>0.319537037</v>
      </c>
      <c r="D20986" s="4">
        <f>IFERROR(__xludf.DUMMYFUNCTION("""COMPUTED_VALUE"""),13.026013)</f>
        <v>13.026013</v>
      </c>
      <c r="E20986" s="4">
        <f>IFERROR(__xludf.DUMMYFUNCTION("""COMPUTED_VALUE"""),80.231586)</f>
        <v>80.231586</v>
      </c>
      <c r="F20986" s="4">
        <f>IFERROR(__xludf.DUMMYFUNCTION("""COMPUTED_VALUE"""),5339.0)</f>
        <v>5339</v>
      </c>
      <c r="G20986" s="4">
        <f>IFERROR(__xludf.DUMMYFUNCTION("""COMPUTED_VALUE"""),23.0)</f>
        <v>23</v>
      </c>
      <c r="H20986" s="4"/>
      <c r="I20986" s="4"/>
    </row>
    <row r="20987">
      <c r="A20987" s="4" t="str">
        <f>IFERROR(__xludf.DUMMYFUNCTION("""COMPUTED_VALUE"""),"cas_hmw")</f>
        <v>cas_hmw</v>
      </c>
      <c r="B20987" s="5">
        <f>IFERROR(__xludf.DUMMYFUNCTION("""COMPUTED_VALUE"""),44784.0)</f>
        <v>44784</v>
      </c>
      <c r="C20987" s="6">
        <f>IFERROR(__xludf.DUMMYFUNCTION("""COMPUTED_VALUE"""),0.3195486111108039)</f>
        <v>0.3195486111</v>
      </c>
      <c r="D20987" s="4">
        <f>IFERROR(__xludf.DUMMYFUNCTION("""COMPUTED_VALUE"""),13.026013)</f>
        <v>13.026013</v>
      </c>
      <c r="E20987" s="4">
        <f>IFERROR(__xludf.DUMMYFUNCTION("""COMPUTED_VALUE"""),80.231586)</f>
        <v>80.231586</v>
      </c>
      <c r="F20987" s="4">
        <f>IFERROR(__xludf.DUMMYFUNCTION("""COMPUTED_VALUE"""),5339.0)</f>
        <v>5339</v>
      </c>
      <c r="G20987" s="4">
        <f>IFERROR(__xludf.DUMMYFUNCTION("""COMPUTED_VALUE"""),23.0)</f>
        <v>23</v>
      </c>
      <c r="H20987" s="4"/>
      <c r="I20987" s="4"/>
    </row>
    <row r="20988">
      <c r="A20988" s="4" t="str">
        <f>IFERROR(__xludf.DUMMYFUNCTION("""COMPUTED_VALUE"""),"cas_hmw")</f>
        <v>cas_hmw</v>
      </c>
      <c r="B20988" s="5">
        <f>IFERROR(__xludf.DUMMYFUNCTION("""COMPUTED_VALUE"""),44784.0)</f>
        <v>44784</v>
      </c>
      <c r="C20988" s="6">
        <f>IFERROR(__xludf.DUMMYFUNCTION("""COMPUTED_VALUE"""),0.3195949074070086)</f>
        <v>0.3195949074</v>
      </c>
      <c r="D20988" s="4">
        <f>IFERROR(__xludf.DUMMYFUNCTION("""COMPUTED_VALUE"""),13.025813)</f>
        <v>13.025813</v>
      </c>
      <c r="E20988" s="4">
        <f>IFERROR(__xludf.DUMMYFUNCTION("""COMPUTED_VALUE"""),80.230908)</f>
        <v>80.230908</v>
      </c>
      <c r="F20988" s="4">
        <f>IFERROR(__xludf.DUMMYFUNCTION("""COMPUTED_VALUE"""),5339.0)</f>
        <v>5339</v>
      </c>
      <c r="G20988" s="4">
        <f>IFERROR(__xludf.DUMMYFUNCTION("""COMPUTED_VALUE"""),31.0)</f>
        <v>31</v>
      </c>
      <c r="H20988" s="4"/>
      <c r="I20988" s="4"/>
    </row>
    <row r="20989">
      <c r="A20989" s="4" t="str">
        <f>IFERROR(__xludf.DUMMYFUNCTION("""COMPUTED_VALUE"""),"cas_hmw")</f>
        <v>cas_hmw</v>
      </c>
      <c r="B20989" s="5">
        <f>IFERROR(__xludf.DUMMYFUNCTION("""COMPUTED_VALUE"""),44784.0)</f>
        <v>44784</v>
      </c>
      <c r="C20989" s="6">
        <f>IFERROR(__xludf.DUMMYFUNCTION("""COMPUTED_VALUE"""),0.3201273148151813)</f>
        <v>0.3201273148</v>
      </c>
      <c r="D20989" s="4">
        <f>IFERROR(__xludf.DUMMYFUNCTION("""COMPUTED_VALUE"""),12.685305)</f>
        <v>12.685305</v>
      </c>
      <c r="E20989" s="4">
        <f>IFERROR(__xludf.DUMMYFUNCTION("""COMPUTED_VALUE"""),79.983458)</f>
        <v>79.983458</v>
      </c>
      <c r="F20989" s="4">
        <f>IFERROR(__xludf.DUMMYFUNCTION("""COMPUTED_VALUE"""),2846.0)</f>
        <v>2846</v>
      </c>
      <c r="G20989" s="4">
        <f>IFERROR(__xludf.DUMMYFUNCTION("""COMPUTED_VALUE"""),40.0)</f>
        <v>40</v>
      </c>
      <c r="H20989" s="4"/>
      <c r="I20989" s="4"/>
    </row>
    <row r="20990">
      <c r="A20990" s="4" t="str">
        <f>IFERROR(__xludf.DUMMYFUNCTION("""COMPUTED_VALUE"""),"cas_hmw")</f>
        <v>cas_hmw</v>
      </c>
      <c r="B20990" s="5">
        <f>IFERROR(__xludf.DUMMYFUNCTION("""COMPUTED_VALUE"""),44784.0)</f>
        <v>44784</v>
      </c>
      <c r="C20990" s="6">
        <f>IFERROR(__xludf.DUMMYFUNCTION("""COMPUTED_VALUE"""),0.32040509259240935)</f>
        <v>0.3204050926</v>
      </c>
      <c r="D20990" s="4">
        <f>IFERROR(__xludf.DUMMYFUNCTION("""COMPUTED_VALUE"""),13.02153)</f>
        <v>13.02153</v>
      </c>
      <c r="E20990" s="4">
        <f>IFERROR(__xludf.DUMMYFUNCTION("""COMPUTED_VALUE"""),80.225977)</f>
        <v>80.225977</v>
      </c>
      <c r="F20990" s="4">
        <f>IFERROR(__xludf.DUMMYFUNCTION("""COMPUTED_VALUE"""),5339.0)</f>
        <v>5339</v>
      </c>
      <c r="G20990" s="4">
        <f>IFERROR(__xludf.DUMMYFUNCTION("""COMPUTED_VALUE"""),45.0)</f>
        <v>45</v>
      </c>
      <c r="H20990" s="4"/>
      <c r="I20990" s="4"/>
    </row>
    <row r="20991">
      <c r="A20991" s="4" t="str">
        <f>IFERROR(__xludf.DUMMYFUNCTION("""COMPUTED_VALUE"""),"cas_hmw")</f>
        <v>cas_hmw</v>
      </c>
      <c r="B20991" s="5">
        <f>IFERROR(__xludf.DUMMYFUNCTION("""COMPUTED_VALUE"""),44784.0)</f>
        <v>44784</v>
      </c>
      <c r="C20991" s="6">
        <f>IFERROR(__xludf.DUMMYFUNCTION("""COMPUTED_VALUE"""),0.32112268518540077)</f>
        <v>0.3211226852</v>
      </c>
      <c r="D20991" s="4">
        <f>IFERROR(__xludf.DUMMYFUNCTION("""COMPUTED_VALUE"""),13.018326)</f>
        <v>13.018326</v>
      </c>
      <c r="E20991" s="4">
        <f>IFERROR(__xludf.DUMMYFUNCTION("""COMPUTED_VALUE"""),80.224727)</f>
        <v>80.224727</v>
      </c>
      <c r="F20991" s="4">
        <f>IFERROR(__xludf.DUMMYFUNCTION("""COMPUTED_VALUE"""),5339.0)</f>
        <v>5339</v>
      </c>
      <c r="G20991" s="4">
        <f>IFERROR(__xludf.DUMMYFUNCTION("""COMPUTED_VALUE"""),48.0)</f>
        <v>48</v>
      </c>
      <c r="H20991" s="4"/>
      <c r="I20991" s="4"/>
    </row>
    <row r="20992">
      <c r="A20992" s="4" t="str">
        <f>IFERROR(__xludf.DUMMYFUNCTION("""COMPUTED_VALUE"""),"cas_hmw")</f>
        <v>cas_hmw</v>
      </c>
      <c r="B20992" s="5">
        <f>IFERROR(__xludf.DUMMYFUNCTION("""COMPUTED_VALUE"""),44784.0)</f>
        <v>44784</v>
      </c>
      <c r="C20992" s="6">
        <f>IFERROR(__xludf.DUMMYFUNCTION("""COMPUTED_VALUE"""),0.32225694444423425)</f>
        <v>0.3222569444</v>
      </c>
      <c r="D20992" s="4">
        <f>IFERROR(__xludf.DUMMYFUNCTION("""COMPUTED_VALUE"""),13.009482)</f>
        <v>13.009482</v>
      </c>
      <c r="E20992" s="4">
        <f>IFERROR(__xludf.DUMMYFUNCTION("""COMPUTED_VALUE"""),80.22769)</f>
        <v>80.22769</v>
      </c>
      <c r="F20992" s="4">
        <f>IFERROR(__xludf.DUMMYFUNCTION("""COMPUTED_VALUE"""),5339.0)</f>
        <v>5339</v>
      </c>
      <c r="G20992" s="4">
        <f>IFERROR(__xludf.DUMMYFUNCTION("""COMPUTED_VALUE"""),21.0)</f>
        <v>21</v>
      </c>
      <c r="H20992" s="4"/>
      <c r="I20992" s="4"/>
    </row>
    <row r="20993">
      <c r="A20993" s="4" t="str">
        <f>IFERROR(__xludf.DUMMYFUNCTION("""COMPUTED_VALUE"""),"cas_hmw")</f>
        <v>cas_hmw</v>
      </c>
      <c r="B20993" s="5">
        <f>IFERROR(__xludf.DUMMYFUNCTION("""COMPUTED_VALUE"""),44784.0)</f>
        <v>44784</v>
      </c>
      <c r="C20993" s="6">
        <f>IFERROR(__xludf.DUMMYFUNCTION("""COMPUTED_VALUE"""),0.3223379629635019)</f>
        <v>0.322337963</v>
      </c>
      <c r="D20993" s="4">
        <f>IFERROR(__xludf.DUMMYFUNCTION("""COMPUTED_VALUE"""),12.693433)</f>
        <v>12.693433</v>
      </c>
      <c r="E20993" s="4">
        <f>IFERROR(__xludf.DUMMYFUNCTION("""COMPUTED_VALUE"""),79.979388)</f>
        <v>79.979388</v>
      </c>
      <c r="F20993" s="4">
        <f>IFERROR(__xludf.DUMMYFUNCTION("""COMPUTED_VALUE"""),2846.0)</f>
        <v>2846</v>
      </c>
      <c r="G20993" s="4">
        <f>IFERROR(__xludf.DUMMYFUNCTION("""COMPUTED_VALUE"""),38.0)</f>
        <v>38</v>
      </c>
      <c r="H20993" s="4"/>
      <c r="I20993" s="4"/>
    </row>
    <row r="20994">
      <c r="A20994" s="4" t="str">
        <f>IFERROR(__xludf.DUMMYFUNCTION("""COMPUTED_VALUE"""),"cas_hmw")</f>
        <v>cas_hmw</v>
      </c>
      <c r="B20994" s="5">
        <f>IFERROR(__xludf.DUMMYFUNCTION("""COMPUTED_VALUE"""),44784.0)</f>
        <v>44784</v>
      </c>
      <c r="C20994" s="6">
        <f>IFERROR(__xludf.DUMMYFUNCTION("""COMPUTED_VALUE"""),0.32268518518685596)</f>
        <v>0.3226851852</v>
      </c>
      <c r="D20994" s="4">
        <f>IFERROR(__xludf.DUMMYFUNCTION("""COMPUTED_VALUE"""),13.010842)</f>
        <v>13.010842</v>
      </c>
      <c r="E20994" s="4">
        <f>IFERROR(__xludf.DUMMYFUNCTION("""COMPUTED_VALUE"""),80.224714)</f>
        <v>80.224714</v>
      </c>
      <c r="F20994" s="4">
        <f>IFERROR(__xludf.DUMMYFUNCTION("""COMPUTED_VALUE"""),5339.0)</f>
        <v>5339</v>
      </c>
      <c r="G20994" s="4">
        <f>IFERROR(__xludf.DUMMYFUNCTION("""COMPUTED_VALUE"""),46.0)</f>
        <v>46</v>
      </c>
      <c r="H20994" s="4"/>
      <c r="I20994" s="4"/>
    </row>
    <row r="20995">
      <c r="A20995" s="4" t="str">
        <f>IFERROR(__xludf.DUMMYFUNCTION("""COMPUTED_VALUE"""),"cas_hmw")</f>
        <v>cas_hmw</v>
      </c>
      <c r="B20995" s="5">
        <f>IFERROR(__xludf.DUMMYFUNCTION("""COMPUTED_VALUE"""),44784.0)</f>
        <v>44784</v>
      </c>
      <c r="C20995" s="6">
        <f>IFERROR(__xludf.DUMMYFUNCTION("""COMPUTED_VALUE"""),0.322719907406281)</f>
        <v>0.3227199074</v>
      </c>
      <c r="D20995" s="4">
        <f>IFERROR(__xludf.DUMMYFUNCTION("""COMPUTED_VALUE"""),13.011262)</f>
        <v>13.011262</v>
      </c>
      <c r="E20995" s="4">
        <f>IFERROR(__xludf.DUMMYFUNCTION("""COMPUTED_VALUE"""),80.223696)</f>
        <v>80.223696</v>
      </c>
      <c r="F20995" s="4">
        <f>IFERROR(__xludf.DUMMYFUNCTION("""COMPUTED_VALUE"""),5339.0)</f>
        <v>5339</v>
      </c>
      <c r="G20995" s="4">
        <f>IFERROR(__xludf.DUMMYFUNCTION("""COMPUTED_VALUE"""),42.0)</f>
        <v>42</v>
      </c>
      <c r="H20995" s="4"/>
      <c r="I20995" s="4"/>
    </row>
    <row r="20996">
      <c r="A20996" s="4" t="str">
        <f>IFERROR(__xludf.DUMMYFUNCTION("""COMPUTED_VALUE"""),"cas_hmw")</f>
        <v>cas_hmw</v>
      </c>
      <c r="B20996" s="5">
        <f>IFERROR(__xludf.DUMMYFUNCTION("""COMPUTED_VALUE"""),44784.0)</f>
        <v>44784</v>
      </c>
      <c r="C20996" s="6">
        <f>IFERROR(__xludf.DUMMYFUNCTION("""COMPUTED_VALUE"""),0.3234374999992724)</f>
        <v>0.3234375</v>
      </c>
      <c r="D20996" s="4">
        <f>IFERROR(__xludf.DUMMYFUNCTION("""COMPUTED_VALUE"""),12.696935)</f>
        <v>12.696935</v>
      </c>
      <c r="E20996" s="4">
        <f>IFERROR(__xludf.DUMMYFUNCTION("""COMPUTED_VALUE"""),79.976717)</f>
        <v>79.976717</v>
      </c>
      <c r="F20996" s="4">
        <f>IFERROR(__xludf.DUMMYFUNCTION("""COMPUTED_VALUE"""),2846.0)</f>
        <v>2846</v>
      </c>
      <c r="G20996" s="4">
        <f>IFERROR(__xludf.DUMMYFUNCTION("""COMPUTED_VALUE"""),21.0)</f>
        <v>21</v>
      </c>
      <c r="H20996" s="4"/>
      <c r="I20996" s="4"/>
    </row>
    <row r="20997">
      <c r="A20997" s="4" t="str">
        <f>IFERROR(__xludf.DUMMYFUNCTION("""COMPUTED_VALUE"""),"cas_hmw")</f>
        <v>cas_hmw</v>
      </c>
      <c r="B20997" s="5">
        <f>IFERROR(__xludf.DUMMYFUNCTION("""COMPUTED_VALUE"""),44784.0)</f>
        <v>44784</v>
      </c>
      <c r="C20997" s="6">
        <f>IFERROR(__xludf.DUMMYFUNCTION("""COMPUTED_VALUE"""),0.32366898148029577)</f>
        <v>0.3236689815</v>
      </c>
      <c r="D20997" s="4">
        <f>IFERROR(__xludf.DUMMYFUNCTION("""COMPUTED_VALUE"""),13.011133)</f>
        <v>13.011133</v>
      </c>
      <c r="E20997" s="4">
        <f>IFERROR(__xludf.DUMMYFUNCTION("""COMPUTED_VALUE"""),80.217794)</f>
        <v>80.217794</v>
      </c>
      <c r="F20997" s="4">
        <f>IFERROR(__xludf.DUMMYFUNCTION("""COMPUTED_VALUE"""),5339.0)</f>
        <v>5339</v>
      </c>
      <c r="G20997" s="4">
        <f>IFERROR(__xludf.DUMMYFUNCTION("""COMPUTED_VALUE"""),43.0)</f>
        <v>43</v>
      </c>
      <c r="H20997" s="4"/>
      <c r="I20997" s="4"/>
    </row>
    <row r="20998">
      <c r="A20998" s="4" t="str">
        <f>IFERROR(__xludf.DUMMYFUNCTION("""COMPUTED_VALUE"""),"cas_hmw")</f>
        <v>cas_hmw</v>
      </c>
      <c r="B20998" s="5">
        <f>IFERROR(__xludf.DUMMYFUNCTION("""COMPUTED_VALUE"""),44784.0)</f>
        <v>44784</v>
      </c>
      <c r="C20998" s="6">
        <f>IFERROR(__xludf.DUMMYFUNCTION("""COMPUTED_VALUE"""),0.3242824074077362)</f>
        <v>0.3242824074</v>
      </c>
      <c r="D20998" s="4">
        <f>IFERROR(__xludf.DUMMYFUNCTION("""COMPUTED_VALUE"""),13.00666)</f>
        <v>13.00666</v>
      </c>
      <c r="E20998" s="4">
        <f>IFERROR(__xludf.DUMMYFUNCTION("""COMPUTED_VALUE"""),80.248295)</f>
        <v>80.248295</v>
      </c>
      <c r="F20998" s="4">
        <f>IFERROR(__xludf.DUMMYFUNCTION("""COMPUTED_VALUE"""),805.0)</f>
        <v>805</v>
      </c>
      <c r="G20998" s="4">
        <f>IFERROR(__xludf.DUMMYFUNCTION("""COMPUTED_VALUE"""),29.0)</f>
        <v>29</v>
      </c>
      <c r="H20998" s="4"/>
      <c r="I20998" s="4"/>
    </row>
    <row r="20999">
      <c r="A20999" s="4" t="str">
        <f>IFERROR(__xludf.DUMMYFUNCTION("""COMPUTED_VALUE"""),"cas_hmw")</f>
        <v>cas_hmw</v>
      </c>
      <c r="B20999" s="5">
        <f>IFERROR(__xludf.DUMMYFUNCTION("""COMPUTED_VALUE"""),44784.0)</f>
        <v>44784</v>
      </c>
      <c r="C20999" s="6">
        <f>IFERROR(__xludf.DUMMYFUNCTION("""COMPUTED_VALUE"""),0.32446759259255487)</f>
        <v>0.3244675926</v>
      </c>
      <c r="D20999" s="4">
        <f>IFERROR(__xludf.DUMMYFUNCTION("""COMPUTED_VALUE"""),13.008951)</f>
        <v>13.008951</v>
      </c>
      <c r="E20999" s="4">
        <f>IFERROR(__xludf.DUMMYFUNCTION("""COMPUTED_VALUE"""),80.211763)</f>
        <v>80.211763</v>
      </c>
      <c r="F20999" s="4">
        <f>IFERROR(__xludf.DUMMYFUNCTION("""COMPUTED_VALUE"""),5339.0)</f>
        <v>5339</v>
      </c>
      <c r="G20999" s="4">
        <f>IFERROR(__xludf.DUMMYFUNCTION("""COMPUTED_VALUE"""),31.0)</f>
        <v>31</v>
      </c>
      <c r="H20999" s="4"/>
      <c r="I20999" s="4"/>
    </row>
    <row r="21000">
      <c r="A21000" s="4" t="str">
        <f>IFERROR(__xludf.DUMMYFUNCTION("""COMPUTED_VALUE"""),"cas_hmw")</f>
        <v>cas_hmw</v>
      </c>
      <c r="B21000" s="5">
        <f>IFERROR(__xludf.DUMMYFUNCTION("""COMPUTED_VALUE"""),44784.0)</f>
        <v>44784</v>
      </c>
      <c r="C21000" s="6">
        <f>IFERROR(__xludf.DUMMYFUNCTION("""COMPUTED_VALUE"""),0.3245254629619012)</f>
        <v>0.324525463</v>
      </c>
      <c r="D21000" s="4">
        <f>IFERROR(__xludf.DUMMYFUNCTION("""COMPUTED_VALUE"""),13.008951)</f>
        <v>13.008951</v>
      </c>
      <c r="E21000" s="4">
        <f>IFERROR(__xludf.DUMMYFUNCTION("""COMPUTED_VALUE"""),80.211763)</f>
        <v>80.211763</v>
      </c>
      <c r="F21000" s="4">
        <f>IFERROR(__xludf.DUMMYFUNCTION("""COMPUTED_VALUE"""),5339.0)</f>
        <v>5339</v>
      </c>
      <c r="G21000" s="4">
        <f>IFERROR(__xludf.DUMMYFUNCTION("""COMPUTED_VALUE"""),31.0)</f>
        <v>31</v>
      </c>
      <c r="H21000" s="4"/>
      <c r="I21000" s="4"/>
    </row>
    <row r="21001">
      <c r="A21001" s="4" t="str">
        <f>IFERROR(__xludf.DUMMYFUNCTION("""COMPUTED_VALUE"""),"cas_hmw")</f>
        <v>cas_hmw</v>
      </c>
      <c r="B21001" s="5">
        <f>IFERROR(__xludf.DUMMYFUNCTION("""COMPUTED_VALUE"""),44784.0)</f>
        <v>44784</v>
      </c>
      <c r="C21001" s="6">
        <f>IFERROR(__xludf.DUMMYFUNCTION("""COMPUTED_VALUE"""),0.3248148148159089)</f>
        <v>0.3248148148</v>
      </c>
      <c r="D21001" s="4">
        <f>IFERROR(__xludf.DUMMYFUNCTION("""COMPUTED_VALUE"""),12.698329)</f>
        <v>12.698329</v>
      </c>
      <c r="E21001" s="4">
        <f>IFERROR(__xludf.DUMMYFUNCTION("""COMPUTED_VALUE"""),79.970474)</f>
        <v>79.970474</v>
      </c>
      <c r="F21001" s="4">
        <f>IFERROR(__xludf.DUMMYFUNCTION("""COMPUTED_VALUE"""),2846.0)</f>
        <v>2846</v>
      </c>
      <c r="G21001" s="4">
        <f>IFERROR(__xludf.DUMMYFUNCTION("""COMPUTED_VALUE"""),32.0)</f>
        <v>32</v>
      </c>
      <c r="H21001" s="4"/>
      <c r="I21001" s="4"/>
    </row>
    <row r="21002">
      <c r="A21002" s="4" t="str">
        <f>IFERROR(__xludf.DUMMYFUNCTION("""COMPUTED_VALUE"""),"cas_hmw")</f>
        <v>cas_hmw</v>
      </c>
      <c r="B21002" s="5">
        <f>IFERROR(__xludf.DUMMYFUNCTION("""COMPUTED_VALUE"""),44784.0)</f>
        <v>44784</v>
      </c>
      <c r="C21002" s="6">
        <f>IFERROR(__xludf.DUMMYFUNCTION("""COMPUTED_VALUE"""),0.3257986111093487)</f>
        <v>0.3257986111</v>
      </c>
      <c r="D21002" s="4">
        <f>IFERROR(__xludf.DUMMYFUNCTION("""COMPUTED_VALUE"""),13.005511)</f>
        <v>13.005511</v>
      </c>
      <c r="E21002" s="4">
        <f>IFERROR(__xludf.DUMMYFUNCTION("""COMPUTED_VALUE"""),80.201997)</f>
        <v>80.201997</v>
      </c>
      <c r="F21002" s="4">
        <f>IFERROR(__xludf.DUMMYFUNCTION("""COMPUTED_VALUE"""),5339.0)</f>
        <v>5339</v>
      </c>
      <c r="G21002" s="4">
        <f>IFERROR(__xludf.DUMMYFUNCTION("""COMPUTED_VALUE"""),37.0)</f>
        <v>37</v>
      </c>
      <c r="H21002" s="4"/>
      <c r="I21002" s="4"/>
    </row>
    <row r="21003">
      <c r="A21003" s="4" t="str">
        <f>IFERROR(__xludf.DUMMYFUNCTION("""COMPUTED_VALUE"""),"cas_hmw")</f>
        <v>cas_hmw</v>
      </c>
      <c r="B21003" s="5">
        <f>IFERROR(__xludf.DUMMYFUNCTION("""COMPUTED_VALUE"""),44784.0)</f>
        <v>44784</v>
      </c>
      <c r="C21003" s="6">
        <f>IFERROR(__xludf.DUMMYFUNCTION("""COMPUTED_VALUE"""),0.3259375000016007)</f>
        <v>0.3259375</v>
      </c>
      <c r="D21003" s="4">
        <f>IFERROR(__xludf.DUMMYFUNCTION("""COMPUTED_VALUE"""),13.004707)</f>
        <v>13.004707</v>
      </c>
      <c r="E21003" s="4">
        <f>IFERROR(__xludf.DUMMYFUNCTION("""COMPUTED_VALUE"""),80.201336)</f>
        <v>80.201336</v>
      </c>
      <c r="F21003" s="4">
        <f>IFERROR(__xludf.DUMMYFUNCTION("""COMPUTED_VALUE"""),5339.0)</f>
        <v>5339</v>
      </c>
      <c r="G21003" s="4">
        <f>IFERROR(__xludf.DUMMYFUNCTION("""COMPUTED_VALUE"""),40.0)</f>
        <v>40</v>
      </c>
      <c r="H21003" s="4"/>
      <c r="I21003" s="4"/>
    </row>
    <row r="21004">
      <c r="A21004" s="4" t="str">
        <f>IFERROR(__xludf.DUMMYFUNCTION("""COMPUTED_VALUE"""),"cas_hmw")</f>
        <v>cas_hmw</v>
      </c>
      <c r="B21004" s="5">
        <f>IFERROR(__xludf.DUMMYFUNCTION("""COMPUTED_VALUE"""),44784.0)</f>
        <v>44784</v>
      </c>
      <c r="C21004" s="6">
        <f>IFERROR(__xludf.DUMMYFUNCTION("""COMPUTED_VALUE"""),0.32607638889021473)</f>
        <v>0.3260763889</v>
      </c>
      <c r="D21004" s="4">
        <f>IFERROR(__xludf.DUMMYFUNCTION("""COMPUTED_VALUE"""),13.002979)</f>
        <v>13.002979</v>
      </c>
      <c r="E21004" s="4">
        <f>IFERROR(__xludf.DUMMYFUNCTION("""COMPUTED_VALUE"""),80.200794)</f>
        <v>80.200794</v>
      </c>
      <c r="F21004" s="4">
        <f>IFERROR(__xludf.DUMMYFUNCTION("""COMPUTED_VALUE"""),5339.0)</f>
        <v>5339</v>
      </c>
      <c r="G21004" s="4">
        <f>IFERROR(__xludf.DUMMYFUNCTION("""COMPUTED_VALUE"""),30.0)</f>
        <v>30</v>
      </c>
      <c r="H21004" s="4"/>
      <c r="I21004" s="4"/>
    </row>
    <row r="21005">
      <c r="A21005" s="4" t="str">
        <f>IFERROR(__xludf.DUMMYFUNCTION("""COMPUTED_VALUE"""),"cas_hmw")</f>
        <v>cas_hmw</v>
      </c>
      <c r="B21005" s="5">
        <f>IFERROR(__xludf.DUMMYFUNCTION("""COMPUTED_VALUE"""),44784.0)</f>
        <v>44784</v>
      </c>
      <c r="C21005" s="6">
        <f>IFERROR(__xludf.DUMMYFUNCTION("""COMPUTED_VALUE"""),0.3261921296289074)</f>
        <v>0.3261921296</v>
      </c>
      <c r="D21005" s="4">
        <f>IFERROR(__xludf.DUMMYFUNCTION("""COMPUTED_VALUE"""),13.00233)</f>
        <v>13.00233</v>
      </c>
      <c r="E21005" s="4">
        <f>IFERROR(__xludf.DUMMYFUNCTION("""COMPUTED_VALUE"""),80.200535)</f>
        <v>80.200535</v>
      </c>
      <c r="F21005" s="4">
        <f>IFERROR(__xludf.DUMMYFUNCTION("""COMPUTED_VALUE"""),5339.0)</f>
        <v>5339</v>
      </c>
      <c r="G21005" s="4">
        <f>IFERROR(__xludf.DUMMYFUNCTION("""COMPUTED_VALUE"""),25.0)</f>
        <v>25</v>
      </c>
      <c r="H21005" s="4"/>
      <c r="I21005" s="4"/>
    </row>
    <row r="21006">
      <c r="A21006" s="4" t="str">
        <f>IFERROR(__xludf.DUMMYFUNCTION("""COMPUTED_VALUE"""),"cas_hmw")</f>
        <v>cas_hmw</v>
      </c>
      <c r="B21006" s="5">
        <f>IFERROR(__xludf.DUMMYFUNCTION("""COMPUTED_VALUE"""),44784.0)</f>
        <v>44784</v>
      </c>
      <c r="C21006" s="6">
        <f>IFERROR(__xludf.DUMMYFUNCTION("""COMPUTED_VALUE"""),0.3261921296289074)</f>
        <v>0.3261921296</v>
      </c>
      <c r="D21006" s="4">
        <f>IFERROR(__xludf.DUMMYFUNCTION("""COMPUTED_VALUE"""),13.00233)</f>
        <v>13.00233</v>
      </c>
      <c r="E21006" s="4">
        <f>IFERROR(__xludf.DUMMYFUNCTION("""COMPUTED_VALUE"""),80.200535)</f>
        <v>80.200535</v>
      </c>
      <c r="F21006" s="4">
        <f>IFERROR(__xludf.DUMMYFUNCTION("""COMPUTED_VALUE"""),5339.0)</f>
        <v>5339</v>
      </c>
      <c r="G21006" s="4">
        <f>IFERROR(__xludf.DUMMYFUNCTION("""COMPUTED_VALUE"""),25.0)</f>
        <v>25</v>
      </c>
      <c r="H21006" s="4"/>
      <c r="I21006" s="4"/>
    </row>
    <row r="21007">
      <c r="A21007" s="4" t="str">
        <f>IFERROR(__xludf.DUMMYFUNCTION("""COMPUTED_VALUE"""),"cas_hmw")</f>
        <v>cas_hmw</v>
      </c>
      <c r="B21007" s="5">
        <f>IFERROR(__xludf.DUMMYFUNCTION("""COMPUTED_VALUE"""),44784.0)</f>
        <v>44784</v>
      </c>
      <c r="C21007" s="6">
        <f>IFERROR(__xludf.DUMMYFUNCTION("""COMPUTED_VALUE"""),0.3262037037020491)</f>
        <v>0.3262037037</v>
      </c>
      <c r="D21007" s="4">
        <f>IFERROR(__xludf.DUMMYFUNCTION("""COMPUTED_VALUE"""),13.00233)</f>
        <v>13.00233</v>
      </c>
      <c r="E21007" s="4">
        <f>IFERROR(__xludf.DUMMYFUNCTION("""COMPUTED_VALUE"""),80.200535)</f>
        <v>80.200535</v>
      </c>
      <c r="F21007" s="4">
        <f>IFERROR(__xludf.DUMMYFUNCTION("""COMPUTED_VALUE"""),5339.0)</f>
        <v>5339</v>
      </c>
      <c r="G21007" s="4">
        <f>IFERROR(__xludf.DUMMYFUNCTION("""COMPUTED_VALUE"""),25.0)</f>
        <v>25</v>
      </c>
      <c r="H21007" s="4"/>
      <c r="I21007" s="4"/>
    </row>
    <row r="21008">
      <c r="A21008" s="4" t="str">
        <f>IFERROR(__xludf.DUMMYFUNCTION("""COMPUTED_VALUE"""),"cas_hmw")</f>
        <v>cas_hmw</v>
      </c>
      <c r="B21008" s="5">
        <f>IFERROR(__xludf.DUMMYFUNCTION("""COMPUTED_VALUE"""),44784.0)</f>
        <v>44784</v>
      </c>
      <c r="C21008" s="6">
        <f>IFERROR(__xludf.DUMMYFUNCTION("""COMPUTED_VALUE"""),0.32624999999825377)</f>
        <v>0.32625</v>
      </c>
      <c r="D21008" s="4">
        <f>IFERROR(__xludf.DUMMYFUNCTION("""COMPUTED_VALUE"""),13.00233)</f>
        <v>13.00233</v>
      </c>
      <c r="E21008" s="4">
        <f>IFERROR(__xludf.DUMMYFUNCTION("""COMPUTED_VALUE"""),80.200535)</f>
        <v>80.200535</v>
      </c>
      <c r="F21008" s="4">
        <f>IFERROR(__xludf.DUMMYFUNCTION("""COMPUTED_VALUE"""),5339.0)</f>
        <v>5339</v>
      </c>
      <c r="G21008" s="4">
        <f>IFERROR(__xludf.DUMMYFUNCTION("""COMPUTED_VALUE"""),25.0)</f>
        <v>25</v>
      </c>
      <c r="H21008" s="4"/>
      <c r="I21008" s="4"/>
    </row>
    <row r="21009">
      <c r="A21009" s="4" t="str">
        <f>IFERROR(__xludf.DUMMYFUNCTION("""COMPUTED_VALUE"""),"cas_hmw")</f>
        <v>cas_hmw</v>
      </c>
      <c r="B21009" s="5">
        <f>IFERROR(__xludf.DUMMYFUNCTION("""COMPUTED_VALUE"""),44784.0)</f>
        <v>44784</v>
      </c>
      <c r="C21009" s="6">
        <f>IFERROR(__xludf.DUMMYFUNCTION("""COMPUTED_VALUE"""),0.32694444444496185)</f>
        <v>0.3269444444</v>
      </c>
      <c r="D21009" s="4">
        <f>IFERROR(__xludf.DUMMYFUNCTION("""COMPUTED_VALUE"""),12.707462)</f>
        <v>12.707462</v>
      </c>
      <c r="E21009" s="4">
        <f>IFERROR(__xludf.DUMMYFUNCTION("""COMPUTED_VALUE"""),79.976303)</f>
        <v>79.976303</v>
      </c>
      <c r="F21009" s="4">
        <f>IFERROR(__xludf.DUMMYFUNCTION("""COMPUTED_VALUE"""),2846.0)</f>
        <v>2846</v>
      </c>
      <c r="G21009" s="4">
        <f>IFERROR(__xludf.DUMMYFUNCTION("""COMPUTED_VALUE"""),60.0)</f>
        <v>60</v>
      </c>
      <c r="H21009" s="4"/>
      <c r="I21009" s="4"/>
    </row>
    <row r="21010">
      <c r="A21010" s="4" t="str">
        <f>IFERROR(__xludf.DUMMYFUNCTION("""COMPUTED_VALUE"""),"cas_hmw")</f>
        <v>cas_hmw</v>
      </c>
      <c r="B21010" s="5">
        <f>IFERROR(__xludf.DUMMYFUNCTION("""COMPUTED_VALUE"""),44784.0)</f>
        <v>44784</v>
      </c>
      <c r="C21010" s="6">
        <f>IFERROR(__xludf.DUMMYFUNCTION("""COMPUTED_VALUE"""),0.32731481481459923)</f>
        <v>0.3273148148</v>
      </c>
      <c r="D21010" s="4">
        <f>IFERROR(__xludf.DUMMYFUNCTION("""COMPUTED_VALUE"""),13.001212)</f>
        <v>13.001212</v>
      </c>
      <c r="E21010" s="4">
        <f>IFERROR(__xludf.DUMMYFUNCTION("""COMPUTED_VALUE"""),80.195779)</f>
        <v>80.195779</v>
      </c>
      <c r="F21010" s="4">
        <f>IFERROR(__xludf.DUMMYFUNCTION("""COMPUTED_VALUE"""),5339.0)</f>
        <v>5339</v>
      </c>
      <c r="G21010" s="4">
        <f>IFERROR(__xludf.DUMMYFUNCTION("""COMPUTED_VALUE"""),26.0)</f>
        <v>26</v>
      </c>
      <c r="H21010" s="4"/>
      <c r="I21010" s="4"/>
    </row>
    <row r="21011">
      <c r="A21011" s="4" t="str">
        <f>IFERROR(__xludf.DUMMYFUNCTION("""COMPUTED_VALUE"""),"cas_hmw")</f>
        <v>cas_hmw</v>
      </c>
      <c r="B21011" s="5">
        <f>IFERROR(__xludf.DUMMYFUNCTION("""COMPUTED_VALUE"""),44784.0)</f>
        <v>44784</v>
      </c>
      <c r="C21011" s="6">
        <f>IFERROR(__xludf.DUMMYFUNCTION("""COMPUTED_VALUE"""),0.32731481481459923)</f>
        <v>0.3273148148</v>
      </c>
      <c r="D21011" s="4">
        <f>IFERROR(__xludf.DUMMYFUNCTION("""COMPUTED_VALUE"""),13.010018)</f>
        <v>13.010018</v>
      </c>
      <c r="E21011" s="4">
        <f>IFERROR(__xludf.DUMMYFUNCTION("""COMPUTED_VALUE"""),80.226412)</f>
        <v>80.226412</v>
      </c>
      <c r="F21011" s="4">
        <f>IFERROR(__xludf.DUMMYFUNCTION("""COMPUTED_VALUE"""),805.0)</f>
        <v>805</v>
      </c>
      <c r="G21011" s="4">
        <f>IFERROR(__xludf.DUMMYFUNCTION("""COMPUTED_VALUE"""),55.0)</f>
        <v>55</v>
      </c>
      <c r="H21011" s="4"/>
      <c r="I21011" s="4"/>
    </row>
    <row r="21012">
      <c r="A21012" s="4" t="str">
        <f>IFERROR(__xludf.DUMMYFUNCTION("""COMPUTED_VALUE"""),"cas_hmw")</f>
        <v>cas_hmw</v>
      </c>
      <c r="B21012" s="5">
        <f>IFERROR(__xludf.DUMMYFUNCTION("""COMPUTED_VALUE"""),44784.0)</f>
        <v>44784</v>
      </c>
      <c r="C21012" s="6">
        <f>IFERROR(__xludf.DUMMYFUNCTION("""COMPUTED_VALUE"""),0.3273611111108039)</f>
        <v>0.3273611111</v>
      </c>
      <c r="D21012" s="4">
        <f>IFERROR(__xludf.DUMMYFUNCTION("""COMPUTED_VALUE"""),12.711138)</f>
        <v>12.711138</v>
      </c>
      <c r="E21012" s="4">
        <f>IFERROR(__xludf.DUMMYFUNCTION("""COMPUTED_VALUE"""),79.978463)</f>
        <v>79.978463</v>
      </c>
      <c r="F21012" s="4">
        <f>IFERROR(__xludf.DUMMYFUNCTION("""COMPUTED_VALUE"""),2846.0)</f>
        <v>2846</v>
      </c>
      <c r="G21012" s="4">
        <f>IFERROR(__xludf.DUMMYFUNCTION("""COMPUTED_VALUE"""),50.0)</f>
        <v>50</v>
      </c>
      <c r="H21012" s="4"/>
      <c r="I21012" s="4"/>
    </row>
    <row r="21013">
      <c r="A21013" s="4" t="str">
        <f>IFERROR(__xludf.DUMMYFUNCTION("""COMPUTED_VALUE"""),"cas_hmw")</f>
        <v>cas_hmw</v>
      </c>
      <c r="B21013" s="5">
        <f>IFERROR(__xludf.DUMMYFUNCTION("""COMPUTED_VALUE"""),44784.0)</f>
        <v>44784</v>
      </c>
      <c r="C21013" s="6">
        <f>IFERROR(__xludf.DUMMYFUNCTION("""COMPUTED_VALUE"""),0.32842592592714936)</f>
        <v>0.3284259259</v>
      </c>
      <c r="D21013" s="4">
        <f>IFERROR(__xludf.DUMMYFUNCTION("""COMPUTED_VALUE"""),13.011893)</f>
        <v>13.011893</v>
      </c>
      <c r="E21013" s="4">
        <f>IFERROR(__xludf.DUMMYFUNCTION("""COMPUTED_VALUE"""),80.22007)</f>
        <v>80.22007</v>
      </c>
      <c r="F21013" s="4">
        <f>IFERROR(__xludf.DUMMYFUNCTION("""COMPUTED_VALUE"""),805.0)</f>
        <v>805</v>
      </c>
      <c r="G21013" s="4">
        <f>IFERROR(__xludf.DUMMYFUNCTION("""COMPUTED_VALUE"""),45.0)</f>
        <v>45</v>
      </c>
      <c r="H21013" s="4"/>
      <c r="I21013" s="4"/>
    </row>
    <row r="21014">
      <c r="A21014" s="4" t="str">
        <f>IFERROR(__xludf.DUMMYFUNCTION("""COMPUTED_VALUE"""),"cas_hmw")</f>
        <v>cas_hmw</v>
      </c>
      <c r="B21014" s="5">
        <f>IFERROR(__xludf.DUMMYFUNCTION("""COMPUTED_VALUE"""),44784.0)</f>
        <v>44784</v>
      </c>
      <c r="C21014" s="6">
        <f>IFERROR(__xludf.DUMMYFUNCTION("""COMPUTED_VALUE"""),0.32937500000116415)</f>
        <v>0.329375</v>
      </c>
      <c r="D21014" s="4">
        <f>IFERROR(__xludf.DUMMYFUNCTION("""COMPUTED_VALUE"""),12.992421)</f>
        <v>12.992421</v>
      </c>
      <c r="E21014" s="4">
        <f>IFERROR(__xludf.DUMMYFUNCTION("""COMPUTED_VALUE"""),80.182789)</f>
        <v>80.182789</v>
      </c>
      <c r="F21014" s="4">
        <f>IFERROR(__xludf.DUMMYFUNCTION("""COMPUTED_VALUE"""),5339.0)</f>
        <v>5339</v>
      </c>
      <c r="G21014" s="4">
        <f>IFERROR(__xludf.DUMMYFUNCTION("""COMPUTED_VALUE"""),46.0)</f>
        <v>46</v>
      </c>
      <c r="H21014" s="4"/>
      <c r="I21014" s="4"/>
    </row>
    <row r="21015">
      <c r="A21015" s="4" t="str">
        <f>IFERROR(__xludf.DUMMYFUNCTION("""COMPUTED_VALUE"""),"cas_hmw")</f>
        <v>cas_hmw</v>
      </c>
      <c r="B21015" s="5">
        <f>IFERROR(__xludf.DUMMYFUNCTION("""COMPUTED_VALUE"""),44784.0)</f>
        <v>44784</v>
      </c>
      <c r="C21015" s="6">
        <f>IFERROR(__xludf.DUMMYFUNCTION("""COMPUTED_VALUE"""),0.3299768518518249)</f>
        <v>0.3299768519</v>
      </c>
      <c r="D21015" s="4">
        <f>IFERROR(__xludf.DUMMYFUNCTION("""COMPUTED_VALUE"""),12.729766)</f>
        <v>12.729766</v>
      </c>
      <c r="E21015" s="4">
        <f>IFERROR(__xludf.DUMMYFUNCTION("""COMPUTED_VALUE"""),79.982713)</f>
        <v>79.982713</v>
      </c>
      <c r="F21015" s="4">
        <f>IFERROR(__xludf.DUMMYFUNCTION("""COMPUTED_VALUE"""),2846.0)</f>
        <v>2846</v>
      </c>
      <c r="G21015" s="4">
        <f>IFERROR(__xludf.DUMMYFUNCTION("""COMPUTED_VALUE"""),57.0)</f>
        <v>57</v>
      </c>
      <c r="H21015" s="4"/>
      <c r="I21015" s="4"/>
    </row>
    <row r="21016">
      <c r="A21016" s="4" t="str">
        <f>IFERROR(__xludf.DUMMYFUNCTION("""COMPUTED_VALUE"""),"cas_hmw")</f>
        <v>cas_hmw</v>
      </c>
      <c r="B21016" s="5">
        <f>IFERROR(__xludf.DUMMYFUNCTION("""COMPUTED_VALUE"""),44784.0)</f>
        <v>44784</v>
      </c>
      <c r="C21016" s="6">
        <f>IFERROR(__xludf.DUMMYFUNCTION("""COMPUTED_VALUE"""),0.33061342592554865)</f>
        <v>0.3306134259</v>
      </c>
      <c r="D21016" s="4">
        <f>IFERROR(__xludf.DUMMYFUNCTION("""COMPUTED_VALUE"""),12.98734)</f>
        <v>12.98734</v>
      </c>
      <c r="E21016" s="4">
        <f>IFERROR(__xludf.DUMMYFUNCTION("""COMPUTED_VALUE"""),80.175999)</f>
        <v>80.175999</v>
      </c>
      <c r="F21016" s="4">
        <f>IFERROR(__xludf.DUMMYFUNCTION("""COMPUTED_VALUE"""),5339.0)</f>
        <v>5339</v>
      </c>
      <c r="G21016" s="4">
        <f>IFERROR(__xludf.DUMMYFUNCTION("""COMPUTED_VALUE"""),33.0)</f>
        <v>33</v>
      </c>
      <c r="H21016" s="4"/>
      <c r="I21016" s="4"/>
    </row>
    <row r="21017">
      <c r="A21017" s="4" t="str">
        <f>IFERROR(__xludf.DUMMYFUNCTION("""COMPUTED_VALUE"""),"cas_hmw")</f>
        <v>cas_hmw</v>
      </c>
      <c r="B21017" s="5">
        <f>IFERROR(__xludf.DUMMYFUNCTION("""COMPUTED_VALUE"""),44784.0)</f>
        <v>44784</v>
      </c>
      <c r="C21017" s="6">
        <f>IFERROR(__xludf.DUMMYFUNCTION("""COMPUTED_VALUE"""),0.33064814814861165)</f>
        <v>0.3306481481</v>
      </c>
      <c r="D21017" s="4">
        <f>IFERROR(__xludf.DUMMYFUNCTION("""COMPUTED_VALUE"""),12.98734)</f>
        <v>12.98734</v>
      </c>
      <c r="E21017" s="4">
        <f>IFERROR(__xludf.DUMMYFUNCTION("""COMPUTED_VALUE"""),80.175999)</f>
        <v>80.175999</v>
      </c>
      <c r="F21017" s="4">
        <f>IFERROR(__xludf.DUMMYFUNCTION("""COMPUTED_VALUE"""),5339.0)</f>
        <v>5339</v>
      </c>
      <c r="G21017" s="4">
        <f>IFERROR(__xludf.DUMMYFUNCTION("""COMPUTED_VALUE"""),33.0)</f>
        <v>33</v>
      </c>
      <c r="H21017" s="4"/>
      <c r="I21017" s="4"/>
    </row>
    <row r="21018">
      <c r="A21018" s="4" t="str">
        <f>IFERROR(__xludf.DUMMYFUNCTION("""COMPUTED_VALUE"""),"cas_hmw")</f>
        <v>cas_hmw</v>
      </c>
      <c r="B21018" s="5">
        <f>IFERROR(__xludf.DUMMYFUNCTION("""COMPUTED_VALUE"""),44784.0)</f>
        <v>44784</v>
      </c>
      <c r="C21018" s="6">
        <f>IFERROR(__xludf.DUMMYFUNCTION("""COMPUTED_VALUE"""),0.33079861111036735)</f>
        <v>0.3307986111</v>
      </c>
      <c r="D21018" s="4">
        <f>IFERROR(__xludf.DUMMYFUNCTION("""COMPUTED_VALUE"""),12.986898)</f>
        <v>12.986898</v>
      </c>
      <c r="E21018" s="4">
        <f>IFERROR(__xludf.DUMMYFUNCTION("""COMPUTED_VALUE"""),80.175359)</f>
        <v>80.175359</v>
      </c>
      <c r="F21018" s="4">
        <f>IFERROR(__xludf.DUMMYFUNCTION("""COMPUTED_VALUE"""),5339.0)</f>
        <v>5339</v>
      </c>
      <c r="G21018" s="4">
        <f>IFERROR(__xludf.DUMMYFUNCTION("""COMPUTED_VALUE"""),29.0)</f>
        <v>29</v>
      </c>
      <c r="H21018" s="4"/>
      <c r="I21018" s="4"/>
    </row>
    <row r="21019">
      <c r="A21019" s="4" t="str">
        <f>IFERROR(__xludf.DUMMYFUNCTION("""COMPUTED_VALUE"""),"cas_hmw")</f>
        <v>cas_hmw</v>
      </c>
      <c r="B21019" s="5">
        <f>IFERROR(__xludf.DUMMYFUNCTION("""COMPUTED_VALUE"""),44784.0)</f>
        <v>44784</v>
      </c>
      <c r="C21019" s="6">
        <f>IFERROR(__xludf.DUMMYFUNCTION("""COMPUTED_VALUE"""),0.330879629629635)</f>
        <v>0.3308796296</v>
      </c>
      <c r="D21019" s="4">
        <f>IFERROR(__xludf.DUMMYFUNCTION("""COMPUTED_VALUE"""),12.986486)</f>
        <v>12.986486</v>
      </c>
      <c r="E21019" s="4">
        <f>IFERROR(__xludf.DUMMYFUNCTION("""COMPUTED_VALUE"""),80.174794)</f>
        <v>80.174794</v>
      </c>
      <c r="F21019" s="4">
        <f>IFERROR(__xludf.DUMMYFUNCTION("""COMPUTED_VALUE"""),5339.0)</f>
        <v>5339</v>
      </c>
      <c r="G21019" s="4">
        <f>IFERROR(__xludf.DUMMYFUNCTION("""COMPUTED_VALUE"""),29.0)</f>
        <v>29</v>
      </c>
      <c r="H21019" s="4"/>
      <c r="I21019" s="4"/>
    </row>
    <row r="21020">
      <c r="A21020" s="4" t="str">
        <f>IFERROR(__xludf.DUMMYFUNCTION("""COMPUTED_VALUE"""),"cas_hmw")</f>
        <v>cas_hmw</v>
      </c>
      <c r="B21020" s="5">
        <f>IFERROR(__xludf.DUMMYFUNCTION("""COMPUTED_VALUE"""),44784.0)</f>
        <v>44784</v>
      </c>
      <c r="C21020" s="6">
        <f>IFERROR(__xludf.DUMMYFUNCTION("""COMPUTED_VALUE"""),0.330879629629635)</f>
        <v>0.3308796296</v>
      </c>
      <c r="D21020" s="4">
        <f>IFERROR(__xludf.DUMMYFUNCTION("""COMPUTED_VALUE"""),13.001723)</f>
        <v>13.001723</v>
      </c>
      <c r="E21020" s="4">
        <f>IFERROR(__xludf.DUMMYFUNCTION("""COMPUTED_VALUE"""),80.199426)</f>
        <v>80.199426</v>
      </c>
      <c r="F21020" s="4">
        <f>IFERROR(__xludf.DUMMYFUNCTION("""COMPUTED_VALUE"""),805.0)</f>
        <v>805</v>
      </c>
      <c r="G21020" s="4">
        <f>IFERROR(__xludf.DUMMYFUNCTION("""COMPUTED_VALUE"""),44.0)</f>
        <v>44</v>
      </c>
      <c r="H21020" s="4"/>
      <c r="I21020" s="4"/>
    </row>
    <row r="21021">
      <c r="A21021" s="4" t="str">
        <f>IFERROR(__xludf.DUMMYFUNCTION("""COMPUTED_VALUE"""),"cas_hmw")</f>
        <v>cas_hmw</v>
      </c>
      <c r="B21021" s="5">
        <f>IFERROR(__xludf.DUMMYFUNCTION("""COMPUTED_VALUE"""),44784.0)</f>
        <v>44784</v>
      </c>
      <c r="C21021" s="6">
        <f>IFERROR(__xludf.DUMMYFUNCTION("""COMPUTED_VALUE"""),0.330914351852698)</f>
        <v>0.3309143519</v>
      </c>
      <c r="D21021" s="4">
        <f>IFERROR(__xludf.DUMMYFUNCTION("""COMPUTED_VALUE"""),12.986486)</f>
        <v>12.986486</v>
      </c>
      <c r="E21021" s="4">
        <f>IFERROR(__xludf.DUMMYFUNCTION("""COMPUTED_VALUE"""),80.174794)</f>
        <v>80.174794</v>
      </c>
      <c r="F21021" s="4">
        <f>IFERROR(__xludf.DUMMYFUNCTION("""COMPUTED_VALUE"""),5339.0)</f>
        <v>5339</v>
      </c>
      <c r="G21021" s="4">
        <f>IFERROR(__xludf.DUMMYFUNCTION("""COMPUTED_VALUE"""),29.0)</f>
        <v>29</v>
      </c>
      <c r="H21021" s="4"/>
      <c r="I21021" s="4"/>
    </row>
    <row r="21022">
      <c r="A21022" s="4" t="str">
        <f>IFERROR(__xludf.DUMMYFUNCTION("""COMPUTED_VALUE"""),"cas_hmw")</f>
        <v>cas_hmw</v>
      </c>
      <c r="B21022" s="5">
        <f>IFERROR(__xludf.DUMMYFUNCTION("""COMPUTED_VALUE"""),44784.0)</f>
        <v>44784</v>
      </c>
      <c r="C21022" s="6">
        <f>IFERROR(__xludf.DUMMYFUNCTION("""COMPUTED_VALUE"""),0.3312152777762094)</f>
        <v>0.3312152778</v>
      </c>
      <c r="D21022" s="4">
        <f>IFERROR(__xludf.DUMMYFUNCTION("""COMPUTED_VALUE"""),12.984902)</f>
        <v>12.984902</v>
      </c>
      <c r="E21022" s="4">
        <f>IFERROR(__xludf.DUMMYFUNCTION("""COMPUTED_VALUE"""),80.172496)</f>
        <v>80.172496</v>
      </c>
      <c r="F21022" s="4">
        <f>IFERROR(__xludf.DUMMYFUNCTION("""COMPUTED_VALUE"""),5339.0)</f>
        <v>5339</v>
      </c>
      <c r="G21022" s="4">
        <f>IFERROR(__xludf.DUMMYFUNCTION("""COMPUTED_VALUE"""),39.0)</f>
        <v>39</v>
      </c>
      <c r="H21022" s="4"/>
      <c r="I21022" s="4"/>
    </row>
    <row r="21023">
      <c r="A21023" s="4" t="str">
        <f>IFERROR(__xludf.DUMMYFUNCTION("""COMPUTED_VALUE"""),"cas_hmw")</f>
        <v>cas_hmw</v>
      </c>
      <c r="B21023" s="5">
        <f>IFERROR(__xludf.DUMMYFUNCTION("""COMPUTED_VALUE"""),44784.0)</f>
        <v>44784</v>
      </c>
      <c r="C21023" s="6">
        <f>IFERROR(__xludf.DUMMYFUNCTION("""COMPUTED_VALUE"""),0.3318749999998545)</f>
        <v>0.331875</v>
      </c>
      <c r="D21023" s="4">
        <f>IFERROR(__xludf.DUMMYFUNCTION("""COMPUTED_VALUE"""),13.000296)</f>
        <v>13.000296</v>
      </c>
      <c r="E21023" s="4">
        <f>IFERROR(__xludf.DUMMYFUNCTION("""COMPUTED_VALUE"""),80.194563)</f>
        <v>80.194563</v>
      </c>
      <c r="F21023" s="4">
        <f>IFERROR(__xludf.DUMMYFUNCTION("""COMPUTED_VALUE"""),805.0)</f>
        <v>805</v>
      </c>
      <c r="G21023" s="4">
        <f>IFERROR(__xludf.DUMMYFUNCTION("""COMPUTED_VALUE"""),47.0)</f>
        <v>47</v>
      </c>
      <c r="H21023" s="4"/>
      <c r="I21023" s="4"/>
    </row>
    <row r="21024">
      <c r="A21024" s="4" t="str">
        <f>IFERROR(__xludf.DUMMYFUNCTION("""COMPUTED_VALUE"""),"cas_hmw")</f>
        <v>cas_hmw</v>
      </c>
      <c r="B21024" s="5">
        <f>IFERROR(__xludf.DUMMYFUNCTION("""COMPUTED_VALUE"""),44784.0)</f>
        <v>44784</v>
      </c>
      <c r="C21024" s="6">
        <f>IFERROR(__xludf.DUMMYFUNCTION("""COMPUTED_VALUE"""),0.3326620370353339)</f>
        <v>0.332662037</v>
      </c>
      <c r="D21024" s="4">
        <f>IFERROR(__xludf.DUMMYFUNCTION("""COMPUTED_VALUE"""),12.995871)</f>
        <v>12.995871</v>
      </c>
      <c r="E21024" s="4">
        <f>IFERROR(__xludf.DUMMYFUNCTION("""COMPUTED_VALUE"""),80.189348)</f>
        <v>80.189348</v>
      </c>
      <c r="F21024" s="4">
        <f>IFERROR(__xludf.DUMMYFUNCTION("""COMPUTED_VALUE"""),805.0)</f>
        <v>805</v>
      </c>
      <c r="G21024" s="4">
        <f>IFERROR(__xludf.DUMMYFUNCTION("""COMPUTED_VALUE"""),20.0)</f>
        <v>20</v>
      </c>
      <c r="H21024" s="4"/>
      <c r="I21024" s="4"/>
    </row>
    <row r="21025">
      <c r="A21025" s="4" t="str">
        <f>IFERROR(__xludf.DUMMYFUNCTION("""COMPUTED_VALUE"""),"cas_hmw")</f>
        <v>cas_hmw</v>
      </c>
      <c r="B21025" s="5">
        <f>IFERROR(__xludf.DUMMYFUNCTION("""COMPUTED_VALUE"""),44784.0)</f>
        <v>44784</v>
      </c>
      <c r="C21025" s="6">
        <f>IFERROR(__xludf.DUMMYFUNCTION("""COMPUTED_VALUE"""),0.33271990740831825)</f>
        <v>0.3327199074</v>
      </c>
      <c r="D21025" s="4">
        <f>IFERROR(__xludf.DUMMYFUNCTION("""COMPUTED_VALUE"""),12.995516)</f>
        <v>12.995516</v>
      </c>
      <c r="E21025" s="4">
        <f>IFERROR(__xludf.DUMMYFUNCTION("""COMPUTED_VALUE"""),80.188656)</f>
        <v>80.188656</v>
      </c>
      <c r="F21025" s="4">
        <f>IFERROR(__xludf.DUMMYFUNCTION("""COMPUTED_VALUE"""),805.0)</f>
        <v>805</v>
      </c>
      <c r="G21025" s="4">
        <f>IFERROR(__xludf.DUMMYFUNCTION("""COMPUTED_VALUE"""),33.0)</f>
        <v>33</v>
      </c>
      <c r="H21025" s="4"/>
      <c r="I21025" s="4"/>
    </row>
    <row r="21026">
      <c r="A21026" s="4" t="str">
        <f>IFERROR(__xludf.DUMMYFUNCTION("""COMPUTED_VALUE"""),"cas_hmw")</f>
        <v>cas_hmw</v>
      </c>
      <c r="B21026" s="5">
        <f>IFERROR(__xludf.DUMMYFUNCTION("""COMPUTED_VALUE"""),44784.0)</f>
        <v>44784</v>
      </c>
      <c r="C21026" s="6">
        <f>IFERROR(__xludf.DUMMYFUNCTION("""COMPUTED_VALUE"""),0.3330671296280343)</f>
        <v>0.3330671296</v>
      </c>
      <c r="D21026" s="4">
        <f>IFERROR(__xludf.DUMMYFUNCTION("""COMPUTED_VALUE"""),12.976262)</f>
        <v>12.976262</v>
      </c>
      <c r="E21026" s="4">
        <f>IFERROR(__xludf.DUMMYFUNCTION("""COMPUTED_VALUE"""),80.15746)</f>
        <v>80.15746</v>
      </c>
      <c r="F21026" s="4">
        <f>IFERROR(__xludf.DUMMYFUNCTION("""COMPUTED_VALUE"""),5339.0)</f>
        <v>5339</v>
      </c>
      <c r="G21026" s="4">
        <f>IFERROR(__xludf.DUMMYFUNCTION("""COMPUTED_VALUE"""),44.0)</f>
        <v>44</v>
      </c>
      <c r="H21026" s="4"/>
      <c r="I21026" s="4"/>
    </row>
    <row r="21027">
      <c r="A21027" s="4" t="str">
        <f>IFERROR(__xludf.DUMMYFUNCTION("""COMPUTED_VALUE"""),"cas_hmw")</f>
        <v>cas_hmw</v>
      </c>
      <c r="B21027" s="5">
        <f>IFERROR(__xludf.DUMMYFUNCTION("""COMPUTED_VALUE"""),44784.0)</f>
        <v>44784</v>
      </c>
      <c r="C21027" s="6">
        <f>IFERROR(__xludf.DUMMYFUNCTION("""COMPUTED_VALUE"""),0.3341550925943011)</f>
        <v>0.3341550926</v>
      </c>
      <c r="D21027" s="4">
        <f>IFERROR(__xludf.DUMMYFUNCTION("""COMPUTED_VALUE"""),12.98859)</f>
        <v>12.98859</v>
      </c>
      <c r="E21027" s="4">
        <f>IFERROR(__xludf.DUMMYFUNCTION("""COMPUTED_VALUE"""),80.177821)</f>
        <v>80.177821</v>
      </c>
      <c r="F21027" s="4">
        <f>IFERROR(__xludf.DUMMYFUNCTION("""COMPUTED_VALUE"""),805.0)</f>
        <v>805</v>
      </c>
      <c r="G21027" s="4">
        <f>IFERROR(__xludf.DUMMYFUNCTION("""COMPUTED_VALUE"""),39.0)</f>
        <v>39</v>
      </c>
      <c r="H21027" s="4"/>
      <c r="I21027" s="4"/>
    </row>
    <row r="21028">
      <c r="A21028" s="4" t="str">
        <f>IFERROR(__xludf.DUMMYFUNCTION("""COMPUTED_VALUE"""),"cas_hmw")</f>
        <v>cas_hmw</v>
      </c>
      <c r="B21028" s="5">
        <f>IFERROR(__xludf.DUMMYFUNCTION("""COMPUTED_VALUE"""),44784.0)</f>
        <v>44784</v>
      </c>
      <c r="C21028" s="6">
        <f>IFERROR(__xludf.DUMMYFUNCTION("""COMPUTED_VALUE"""),0.33435185185226146)</f>
        <v>0.3343518519</v>
      </c>
      <c r="D21028" s="4">
        <f>IFERROR(__xludf.DUMMYFUNCTION("""COMPUTED_VALUE"""),12.761539)</f>
        <v>12.761539</v>
      </c>
      <c r="E21028" s="4">
        <f>IFERROR(__xludf.DUMMYFUNCTION("""COMPUTED_VALUE"""),80.003551)</f>
        <v>80.003551</v>
      </c>
      <c r="F21028" s="4">
        <f>IFERROR(__xludf.DUMMYFUNCTION("""COMPUTED_VALUE"""),2846.0)</f>
        <v>2846</v>
      </c>
      <c r="G21028" s="4">
        <f>IFERROR(__xludf.DUMMYFUNCTION("""COMPUTED_VALUE"""),33.0)</f>
        <v>33</v>
      </c>
      <c r="H21028" s="4"/>
      <c r="I21028" s="4"/>
    </row>
    <row r="21029">
      <c r="A21029" s="4" t="str">
        <f>IFERROR(__xludf.DUMMYFUNCTION("""COMPUTED_VALUE"""),"cas_hmw")</f>
        <v>cas_hmw</v>
      </c>
      <c r="B21029" s="5">
        <f>IFERROR(__xludf.DUMMYFUNCTION("""COMPUTED_VALUE"""),44784.0)</f>
        <v>44784</v>
      </c>
      <c r="C21029" s="6">
        <f>IFERROR(__xludf.DUMMYFUNCTION("""COMPUTED_VALUE"""),0.33565972222277196)</f>
        <v>0.3356597222</v>
      </c>
      <c r="D21029" s="4">
        <f>IFERROR(__xludf.DUMMYFUNCTION("""COMPUTED_VALUE"""),12.962744)</f>
        <v>12.962744</v>
      </c>
      <c r="E21029" s="4">
        <f>IFERROR(__xludf.DUMMYFUNCTION("""COMPUTED_VALUE"""),80.146704)</f>
        <v>80.146704</v>
      </c>
      <c r="F21029" s="4">
        <f>IFERROR(__xludf.DUMMYFUNCTION("""COMPUTED_VALUE"""),5339.0)</f>
        <v>5339</v>
      </c>
      <c r="G21029" s="4">
        <f>IFERROR(__xludf.DUMMYFUNCTION("""COMPUTED_VALUE"""),44.0)</f>
        <v>44</v>
      </c>
      <c r="H21029" s="4"/>
      <c r="I21029" s="4"/>
    </row>
    <row r="21030">
      <c r="A21030" s="4" t="str">
        <f>IFERROR(__xludf.DUMMYFUNCTION("""COMPUTED_VALUE"""),"cas_hmw")</f>
        <v>cas_hmw</v>
      </c>
      <c r="B21030" s="5">
        <f>IFERROR(__xludf.DUMMYFUNCTION("""COMPUTED_VALUE"""),44784.0)</f>
        <v>44784</v>
      </c>
      <c r="C21030" s="6">
        <f>IFERROR(__xludf.DUMMYFUNCTION("""COMPUTED_VALUE"""),0.33570601851897663)</f>
        <v>0.3357060185</v>
      </c>
      <c r="D21030" s="4">
        <f>IFERROR(__xludf.DUMMYFUNCTION("""COMPUTED_VALUE"""),12.961992)</f>
        <v>12.961992</v>
      </c>
      <c r="E21030" s="4">
        <f>IFERROR(__xludf.DUMMYFUNCTION("""COMPUTED_VALUE"""),80.146298)</f>
        <v>80.146298</v>
      </c>
      <c r="F21030" s="4">
        <f>IFERROR(__xludf.DUMMYFUNCTION("""COMPUTED_VALUE"""),5339.0)</f>
        <v>5339</v>
      </c>
      <c r="G21030" s="4">
        <f>IFERROR(__xludf.DUMMYFUNCTION("""COMPUTED_VALUE"""),30.0)</f>
        <v>30</v>
      </c>
      <c r="H21030" s="4"/>
      <c r="I21030" s="4"/>
    </row>
    <row r="21031">
      <c r="A21031" s="4" t="str">
        <f>IFERROR(__xludf.DUMMYFUNCTION("""COMPUTED_VALUE"""),"cas_hmw")</f>
        <v>cas_hmw</v>
      </c>
      <c r="B21031" s="5">
        <f>IFERROR(__xludf.DUMMYFUNCTION("""COMPUTED_VALUE"""),44784.0)</f>
        <v>44784</v>
      </c>
      <c r="C21031" s="6">
        <f>IFERROR(__xludf.DUMMYFUNCTION("""COMPUTED_VALUE"""),0.335902777776937)</f>
        <v>0.3359027778</v>
      </c>
      <c r="D21031" s="4">
        <f>IFERROR(__xludf.DUMMYFUNCTION("""COMPUTED_VALUE"""),12.983898)</f>
        <v>12.983898</v>
      </c>
      <c r="E21031" s="4">
        <f>IFERROR(__xludf.DUMMYFUNCTION("""COMPUTED_VALUE"""),80.170906)</f>
        <v>80.170906</v>
      </c>
      <c r="F21031" s="4">
        <f>IFERROR(__xludf.DUMMYFUNCTION("""COMPUTED_VALUE"""),805.0)</f>
        <v>805</v>
      </c>
      <c r="G21031" s="4">
        <f>IFERROR(__xludf.DUMMYFUNCTION("""COMPUTED_VALUE"""),30.0)</f>
        <v>30</v>
      </c>
      <c r="H21031" s="4"/>
      <c r="I21031" s="4"/>
    </row>
    <row r="21032">
      <c r="A21032" s="4" t="str">
        <f>IFERROR(__xludf.DUMMYFUNCTION("""COMPUTED_VALUE"""),"cas_hmw")</f>
        <v>cas_hmw</v>
      </c>
      <c r="B21032" s="5">
        <f>IFERROR(__xludf.DUMMYFUNCTION("""COMPUTED_VALUE"""),44784.0)</f>
        <v>44784</v>
      </c>
      <c r="C21032" s="6">
        <f>IFERROR(__xludf.DUMMYFUNCTION("""COMPUTED_VALUE"""),0.33609953703853535)</f>
        <v>0.336099537</v>
      </c>
      <c r="D21032" s="4">
        <f>IFERROR(__xludf.DUMMYFUNCTION("""COMPUTED_VALUE"""),12.982844)</f>
        <v>12.982844</v>
      </c>
      <c r="E21032" s="4">
        <f>IFERROR(__xludf.DUMMYFUNCTION("""COMPUTED_VALUE"""),80.169112)</f>
        <v>80.169112</v>
      </c>
      <c r="F21032" s="4">
        <f>IFERROR(__xludf.DUMMYFUNCTION("""COMPUTED_VALUE"""),805.0)</f>
        <v>805</v>
      </c>
      <c r="G21032" s="4">
        <f>IFERROR(__xludf.DUMMYFUNCTION("""COMPUTED_VALUE"""),54.0)</f>
        <v>54</v>
      </c>
      <c r="H21032" s="4"/>
      <c r="I21032" s="4"/>
    </row>
    <row r="21033">
      <c r="A21033" s="4" t="str">
        <f>IFERROR(__xludf.DUMMYFUNCTION("""COMPUTED_VALUE"""),"cas_hmw")</f>
        <v>cas_hmw</v>
      </c>
      <c r="B21033" s="5">
        <f>IFERROR(__xludf.DUMMYFUNCTION("""COMPUTED_VALUE"""),44784.0)</f>
        <v>44784</v>
      </c>
      <c r="C21033" s="6">
        <f>IFERROR(__xludf.DUMMYFUNCTION("""COMPUTED_VALUE"""),0.33614583333474)</f>
        <v>0.3361458333</v>
      </c>
      <c r="D21033" s="4">
        <f>IFERROR(__xludf.DUMMYFUNCTION("""COMPUTED_VALUE"""),12.959922)</f>
        <v>12.959922</v>
      </c>
      <c r="E21033" s="4">
        <f>IFERROR(__xludf.DUMMYFUNCTION("""COMPUTED_VALUE"""),80.145201)</f>
        <v>80.145201</v>
      </c>
      <c r="F21033" s="4">
        <f>IFERROR(__xludf.DUMMYFUNCTION("""COMPUTED_VALUE"""),5339.0)</f>
        <v>5339</v>
      </c>
      <c r="G21033" s="4">
        <f>IFERROR(__xludf.DUMMYFUNCTION("""COMPUTED_VALUE"""),36.0)</f>
        <v>36</v>
      </c>
      <c r="H21033" s="4"/>
      <c r="I21033" s="4"/>
    </row>
    <row r="21034">
      <c r="A21034" s="4" t="str">
        <f>IFERROR(__xludf.DUMMYFUNCTION("""COMPUTED_VALUE"""),"cas_hmw")</f>
        <v>cas_hmw</v>
      </c>
      <c r="B21034" s="5">
        <f>IFERROR(__xludf.DUMMYFUNCTION("""COMPUTED_VALUE"""),44784.0)</f>
        <v>44784</v>
      </c>
      <c r="C21034" s="6">
        <f>IFERROR(__xludf.DUMMYFUNCTION("""COMPUTED_VALUE"""),0.3362268518503697)</f>
        <v>0.3362268519</v>
      </c>
      <c r="D21034" s="4">
        <f>IFERROR(__xludf.DUMMYFUNCTION("""COMPUTED_VALUE"""),12.959022)</f>
        <v>12.959022</v>
      </c>
      <c r="E21034" s="4">
        <f>IFERROR(__xludf.DUMMYFUNCTION("""COMPUTED_VALUE"""),80.14469)</f>
        <v>80.14469</v>
      </c>
      <c r="F21034" s="4">
        <f>IFERROR(__xludf.DUMMYFUNCTION("""COMPUTED_VALUE"""),5339.0)</f>
        <v>5339</v>
      </c>
      <c r="G21034" s="4">
        <f>IFERROR(__xludf.DUMMYFUNCTION("""COMPUTED_VALUE"""),41.0)</f>
        <v>41</v>
      </c>
      <c r="H21034" s="4"/>
      <c r="I21034" s="4"/>
    </row>
    <row r="21035">
      <c r="A21035" s="4" t="str">
        <f>IFERROR(__xludf.DUMMYFUNCTION("""COMPUTED_VALUE"""),"cas_hmw")</f>
        <v>cas_hmw</v>
      </c>
      <c r="B21035" s="5">
        <f>IFERROR(__xludf.DUMMYFUNCTION("""COMPUTED_VALUE"""),44784.0)</f>
        <v>44784</v>
      </c>
      <c r="C21035" s="6">
        <f>IFERROR(__xludf.DUMMYFUNCTION("""COMPUTED_VALUE"""),0.33640046296204673)</f>
        <v>0.336400463</v>
      </c>
      <c r="D21035" s="4">
        <f>IFERROR(__xludf.DUMMYFUNCTION("""COMPUTED_VALUE"""),12.957437)</f>
        <v>12.957437</v>
      </c>
      <c r="E21035" s="4">
        <f>IFERROR(__xludf.DUMMYFUNCTION("""COMPUTED_VALUE"""),80.143831)</f>
        <v>80.143831</v>
      </c>
      <c r="F21035" s="4">
        <f>IFERROR(__xludf.DUMMYFUNCTION("""COMPUTED_VALUE"""),5339.0)</f>
        <v>5339</v>
      </c>
      <c r="G21035" s="4">
        <f>IFERROR(__xludf.DUMMYFUNCTION("""COMPUTED_VALUE"""),38.0)</f>
        <v>38</v>
      </c>
      <c r="H21035" s="4"/>
      <c r="I21035" s="4"/>
    </row>
    <row r="21036">
      <c r="A21036" s="4" t="str">
        <f>IFERROR(__xludf.DUMMYFUNCTION("""COMPUTED_VALUE"""),"cas_hmw")</f>
        <v>cas_hmw</v>
      </c>
      <c r="B21036" s="5">
        <f>IFERROR(__xludf.DUMMYFUNCTION("""COMPUTED_VALUE"""),44784.0)</f>
        <v>44784</v>
      </c>
      <c r="C21036" s="6">
        <f>IFERROR(__xludf.DUMMYFUNCTION("""COMPUTED_VALUE"""),0.33674768518540077)</f>
        <v>0.3367476852</v>
      </c>
      <c r="D21036" s="4">
        <f>IFERROR(__xludf.DUMMYFUNCTION("""COMPUTED_VALUE"""),12.980085)</f>
        <v>12.980085</v>
      </c>
      <c r="E21036" s="4">
        <f>IFERROR(__xludf.DUMMYFUNCTION("""COMPUTED_VALUE"""),80.163639)</f>
        <v>80.163639</v>
      </c>
      <c r="F21036" s="4">
        <f>IFERROR(__xludf.DUMMYFUNCTION("""COMPUTED_VALUE"""),805.0)</f>
        <v>805</v>
      </c>
      <c r="G21036" s="4">
        <f>IFERROR(__xludf.DUMMYFUNCTION("""COMPUTED_VALUE"""),46.0)</f>
        <v>46</v>
      </c>
      <c r="H21036" s="4"/>
      <c r="I21036" s="4"/>
    </row>
    <row r="21037">
      <c r="A21037" s="4" t="str">
        <f>IFERROR(__xludf.DUMMYFUNCTION("""COMPUTED_VALUE"""),"cas_hmw")</f>
        <v>cas_hmw</v>
      </c>
      <c r="B21037" s="5">
        <f>IFERROR(__xludf.DUMMYFUNCTION("""COMPUTED_VALUE"""),44784.0)</f>
        <v>44784</v>
      </c>
      <c r="C21037" s="6">
        <f>IFERROR(__xludf.DUMMYFUNCTION("""COMPUTED_VALUE"""),0.33718750000116415)</f>
        <v>0.3371875</v>
      </c>
      <c r="D21037" s="4">
        <f>IFERROR(__xludf.DUMMYFUNCTION("""COMPUTED_VALUE"""),12.977702)</f>
        <v>12.977702</v>
      </c>
      <c r="E21037" s="4">
        <f>IFERROR(__xludf.DUMMYFUNCTION("""COMPUTED_VALUE"""),80.159744)</f>
        <v>80.159744</v>
      </c>
      <c r="F21037" s="4">
        <f>IFERROR(__xludf.DUMMYFUNCTION("""COMPUTED_VALUE"""),805.0)</f>
        <v>805</v>
      </c>
      <c r="G21037" s="4">
        <f>IFERROR(__xludf.DUMMYFUNCTION("""COMPUTED_VALUE"""),43.0)</f>
        <v>43</v>
      </c>
      <c r="H21037" s="4"/>
      <c r="I21037" s="4"/>
    </row>
    <row r="21038">
      <c r="A21038" s="4" t="str">
        <f>IFERROR(__xludf.DUMMYFUNCTION("""COMPUTED_VALUE"""),"cas_hmw")</f>
        <v>cas_hmw</v>
      </c>
      <c r="B21038" s="5">
        <f>IFERROR(__xludf.DUMMYFUNCTION("""COMPUTED_VALUE"""),44784.0)</f>
        <v>44784</v>
      </c>
      <c r="C21038" s="6">
        <f>IFERROR(__xludf.DUMMYFUNCTION("""COMPUTED_VALUE"""),0.3373148148129985)</f>
        <v>0.3373148148</v>
      </c>
      <c r="D21038" s="4">
        <f>IFERROR(__xludf.DUMMYFUNCTION("""COMPUTED_VALUE"""),12.95265)</f>
        <v>12.95265</v>
      </c>
      <c r="E21038" s="4">
        <f>IFERROR(__xludf.DUMMYFUNCTION("""COMPUTED_VALUE"""),80.141185)</f>
        <v>80.141185</v>
      </c>
      <c r="F21038" s="4">
        <f>IFERROR(__xludf.DUMMYFUNCTION("""COMPUTED_VALUE"""),5339.0)</f>
        <v>5339</v>
      </c>
      <c r="G21038" s="4">
        <f>IFERROR(__xludf.DUMMYFUNCTION("""COMPUTED_VALUE"""),23.0)</f>
        <v>23</v>
      </c>
      <c r="H21038" s="4"/>
      <c r="I21038" s="4"/>
    </row>
    <row r="21039">
      <c r="A21039" s="4" t="str">
        <f>IFERROR(__xludf.DUMMYFUNCTION("""COMPUTED_VALUE"""),"cas_hmw")</f>
        <v>cas_hmw</v>
      </c>
      <c r="B21039" s="5">
        <f>IFERROR(__xludf.DUMMYFUNCTION("""COMPUTED_VALUE"""),44784.0)</f>
        <v>44784</v>
      </c>
      <c r="C21039" s="6">
        <f>IFERROR(__xludf.DUMMYFUNCTION("""COMPUTED_VALUE"""),0.33736111111284117)</f>
        <v>0.3373611111</v>
      </c>
      <c r="D21039" s="4">
        <f>IFERROR(__xludf.DUMMYFUNCTION("""COMPUTED_VALUE"""),12.79401)</f>
        <v>12.79401</v>
      </c>
      <c r="E21039" s="4">
        <f>IFERROR(__xludf.DUMMYFUNCTION("""COMPUTED_VALUE"""),80.019364)</f>
        <v>80.019364</v>
      </c>
      <c r="F21039" s="4">
        <f>IFERROR(__xludf.DUMMYFUNCTION("""COMPUTED_VALUE"""),2846.0)</f>
        <v>2846</v>
      </c>
      <c r="G21039" s="4">
        <f>IFERROR(__xludf.DUMMYFUNCTION("""COMPUTED_VALUE"""),57.0)</f>
        <v>57</v>
      </c>
      <c r="H21039" s="4"/>
      <c r="I21039" s="4"/>
    </row>
    <row r="21040">
      <c r="A21040" s="4" t="str">
        <f>IFERROR(__xludf.DUMMYFUNCTION("""COMPUTED_VALUE"""),"cas_hmw")</f>
        <v>cas_hmw</v>
      </c>
      <c r="B21040" s="5">
        <f>IFERROR(__xludf.DUMMYFUNCTION("""COMPUTED_VALUE"""),44784.0)</f>
        <v>44784</v>
      </c>
      <c r="C21040" s="6">
        <f>IFERROR(__xludf.DUMMYFUNCTION("""COMPUTED_VALUE"""),0.3376041666670062)</f>
        <v>0.3376041667</v>
      </c>
      <c r="D21040" s="4">
        <f>IFERROR(__xludf.DUMMYFUNCTION("""COMPUTED_VALUE"""),12.975851)</f>
        <v>12.975851</v>
      </c>
      <c r="E21040" s="4">
        <f>IFERROR(__xludf.DUMMYFUNCTION("""COMPUTED_VALUE"""),80.156835)</f>
        <v>80.156835</v>
      </c>
      <c r="F21040" s="4">
        <f>IFERROR(__xludf.DUMMYFUNCTION("""COMPUTED_VALUE"""),805.0)</f>
        <v>805</v>
      </c>
      <c r="G21040" s="4">
        <f>IFERROR(__xludf.DUMMYFUNCTION("""COMPUTED_VALUE"""),50.0)</f>
        <v>50</v>
      </c>
      <c r="H21040" s="4"/>
      <c r="I21040" s="4"/>
    </row>
    <row r="21041">
      <c r="A21041" s="4" t="str">
        <f>IFERROR(__xludf.DUMMYFUNCTION("""COMPUTED_VALUE"""),"cas_hmw")</f>
        <v>cas_hmw</v>
      </c>
      <c r="B21041" s="5">
        <f>IFERROR(__xludf.DUMMYFUNCTION("""COMPUTED_VALUE"""),44784.0)</f>
        <v>44784</v>
      </c>
      <c r="C21041" s="6">
        <f>IFERROR(__xludf.DUMMYFUNCTION("""COMPUTED_VALUE"""),0.33795138889036025)</f>
        <v>0.3379513889</v>
      </c>
      <c r="D21041" s="4">
        <f>IFERROR(__xludf.DUMMYFUNCTION("""COMPUTED_VALUE"""),12.973926)</f>
        <v>12.973926</v>
      </c>
      <c r="E21041" s="4">
        <f>IFERROR(__xludf.DUMMYFUNCTION("""COMPUTED_VALUE"""),80.15408)</f>
        <v>80.15408</v>
      </c>
      <c r="F21041" s="4">
        <f>IFERROR(__xludf.DUMMYFUNCTION("""COMPUTED_VALUE"""),805.0)</f>
        <v>805</v>
      </c>
      <c r="G21041" s="4">
        <f>IFERROR(__xludf.DUMMYFUNCTION("""COMPUTED_VALUE"""),34.0)</f>
        <v>34</v>
      </c>
      <c r="H21041" s="4"/>
      <c r="I21041" s="4"/>
    </row>
    <row r="21042">
      <c r="A21042" s="4" t="str">
        <f>IFERROR(__xludf.DUMMYFUNCTION("""COMPUTED_VALUE"""),"cas_hmw")</f>
        <v>cas_hmw</v>
      </c>
      <c r="B21042" s="5">
        <f>IFERROR(__xludf.DUMMYFUNCTION("""COMPUTED_VALUE"""),44784.0)</f>
        <v>44784</v>
      </c>
      <c r="C21042" s="6">
        <f>IFERROR(__xludf.DUMMYFUNCTION("""COMPUTED_VALUE"""),0.33810185185211594)</f>
        <v>0.3381018519</v>
      </c>
      <c r="D21042" s="4">
        <f>IFERROR(__xludf.DUMMYFUNCTION("""COMPUTED_VALUE"""),12.950221)</f>
        <v>12.950221</v>
      </c>
      <c r="E21042" s="4">
        <f>IFERROR(__xludf.DUMMYFUNCTION("""COMPUTED_VALUE"""),80.139401)</f>
        <v>80.139401</v>
      </c>
      <c r="F21042" s="4">
        <f>IFERROR(__xludf.DUMMYFUNCTION("""COMPUTED_VALUE"""),5339.0)</f>
        <v>5339</v>
      </c>
      <c r="G21042" s="4">
        <f>IFERROR(__xludf.DUMMYFUNCTION("""COMPUTED_VALUE"""),26.0)</f>
        <v>26</v>
      </c>
      <c r="H21042" s="4"/>
      <c r="I21042" s="4"/>
    </row>
    <row r="21043">
      <c r="A21043" s="4" t="str">
        <f>IFERROR(__xludf.DUMMYFUNCTION("""COMPUTED_VALUE"""),"cas_hmw")</f>
        <v>cas_hmw</v>
      </c>
      <c r="B21043" s="5">
        <f>IFERROR(__xludf.DUMMYFUNCTION("""COMPUTED_VALUE"""),44784.0)</f>
        <v>44784</v>
      </c>
      <c r="C21043" s="6">
        <f>IFERROR(__xludf.DUMMYFUNCTION("""COMPUTED_VALUE"""),0.3381134259252576)</f>
        <v>0.3381134259</v>
      </c>
      <c r="D21043" s="4">
        <f>IFERROR(__xludf.DUMMYFUNCTION("""COMPUTED_VALUE"""),12.950221)</f>
        <v>12.950221</v>
      </c>
      <c r="E21043" s="4">
        <f>IFERROR(__xludf.DUMMYFUNCTION("""COMPUTED_VALUE"""),80.139401)</f>
        <v>80.139401</v>
      </c>
      <c r="F21043" s="4">
        <f>IFERROR(__xludf.DUMMYFUNCTION("""COMPUTED_VALUE"""),5339.0)</f>
        <v>5339</v>
      </c>
      <c r="G21043" s="4">
        <f>IFERROR(__xludf.DUMMYFUNCTION("""COMPUTED_VALUE"""),26.0)</f>
        <v>26</v>
      </c>
      <c r="H21043" s="4"/>
      <c r="I21043" s="4"/>
    </row>
    <row r="21044">
      <c r="A21044" s="4" t="str">
        <f>IFERROR(__xludf.DUMMYFUNCTION("""COMPUTED_VALUE"""),"cas_hmw")</f>
        <v>cas_hmw</v>
      </c>
      <c r="B21044" s="5">
        <f>IFERROR(__xludf.DUMMYFUNCTION("""COMPUTED_VALUE"""),44784.0)</f>
        <v>44784</v>
      </c>
      <c r="C21044" s="6">
        <f>IFERROR(__xludf.DUMMYFUNCTION("""COMPUTED_VALUE"""),0.3381249999983993)</f>
        <v>0.338125</v>
      </c>
      <c r="D21044" s="4">
        <f>IFERROR(__xludf.DUMMYFUNCTION("""COMPUTED_VALUE"""),12.950221)</f>
        <v>12.950221</v>
      </c>
      <c r="E21044" s="4">
        <f>IFERROR(__xludf.DUMMYFUNCTION("""COMPUTED_VALUE"""),80.139401)</f>
        <v>80.139401</v>
      </c>
      <c r="F21044" s="4">
        <f>IFERROR(__xludf.DUMMYFUNCTION("""COMPUTED_VALUE"""),5339.0)</f>
        <v>5339</v>
      </c>
      <c r="G21044" s="4">
        <f>IFERROR(__xludf.DUMMYFUNCTION("""COMPUTED_VALUE"""),26.0)</f>
        <v>26</v>
      </c>
      <c r="H21044" s="4"/>
      <c r="I21044" s="4"/>
    </row>
    <row r="21045">
      <c r="A21045" s="4" t="str">
        <f>IFERROR(__xludf.DUMMYFUNCTION("""COMPUTED_VALUE"""),"cas_hmw")</f>
        <v>cas_hmw</v>
      </c>
      <c r="B21045" s="5">
        <f>IFERROR(__xludf.DUMMYFUNCTION("""COMPUTED_VALUE"""),44784.0)</f>
        <v>44784</v>
      </c>
      <c r="C21045" s="6">
        <f>IFERROR(__xludf.DUMMYFUNCTION("""COMPUTED_VALUE"""),0.33820601851766696)</f>
        <v>0.3382060185</v>
      </c>
      <c r="D21045" s="4">
        <f>IFERROR(__xludf.DUMMYFUNCTION("""COMPUTED_VALUE"""),12.97272)</f>
        <v>12.97272</v>
      </c>
      <c r="E21045" s="4">
        <f>IFERROR(__xludf.DUMMYFUNCTION("""COMPUTED_VALUE"""),80.152245)</f>
        <v>80.152245</v>
      </c>
      <c r="F21045" s="4">
        <f>IFERROR(__xludf.DUMMYFUNCTION("""COMPUTED_VALUE"""),805.0)</f>
        <v>805</v>
      </c>
      <c r="G21045" s="4">
        <f>IFERROR(__xludf.DUMMYFUNCTION("""COMPUTED_VALUE"""),42.0)</f>
        <v>42</v>
      </c>
      <c r="H21045" s="4"/>
      <c r="I21045" s="4"/>
    </row>
    <row r="21046">
      <c r="A21046" s="4" t="str">
        <f>IFERROR(__xludf.DUMMYFUNCTION("""COMPUTED_VALUE"""),"cas_hmw")</f>
        <v>cas_hmw</v>
      </c>
      <c r="B21046" s="5">
        <f>IFERROR(__xludf.DUMMYFUNCTION("""COMPUTED_VALUE"""),44784.0)</f>
        <v>44784</v>
      </c>
      <c r="C21046" s="6">
        <f>IFERROR(__xludf.DUMMYFUNCTION("""COMPUTED_VALUE"""),0.3384374999986903)</f>
        <v>0.3384375</v>
      </c>
      <c r="D21046" s="4">
        <f>IFERROR(__xludf.DUMMYFUNCTION("""COMPUTED_VALUE"""),12.971658)</f>
        <v>12.971658</v>
      </c>
      <c r="E21046" s="4">
        <f>IFERROR(__xludf.DUMMYFUNCTION("""COMPUTED_VALUE"""),80.151231)</f>
        <v>80.151231</v>
      </c>
      <c r="F21046" s="4">
        <f>IFERROR(__xludf.DUMMYFUNCTION("""COMPUTED_VALUE"""),805.0)</f>
        <v>805</v>
      </c>
      <c r="G21046" s="4">
        <f>IFERROR(__xludf.DUMMYFUNCTION("""COMPUTED_VALUE"""),24.0)</f>
        <v>24</v>
      </c>
      <c r="H21046" s="4"/>
      <c r="I21046" s="4"/>
    </row>
    <row r="21047">
      <c r="A21047" s="4" t="str">
        <f>IFERROR(__xludf.DUMMYFUNCTION("""COMPUTED_VALUE"""),"cas_hmw")</f>
        <v>cas_hmw</v>
      </c>
      <c r="B21047" s="5">
        <f>IFERROR(__xludf.DUMMYFUNCTION("""COMPUTED_VALUE"""),44784.0)</f>
        <v>44784</v>
      </c>
      <c r="C21047" s="6">
        <f>IFERROR(__xludf.DUMMYFUNCTION("""COMPUTED_VALUE"""),0.3384374999986903)</f>
        <v>0.3384375</v>
      </c>
      <c r="D21047" s="4">
        <f>IFERROR(__xludf.DUMMYFUNCTION("""COMPUTED_VALUE"""),12.971658)</f>
        <v>12.971658</v>
      </c>
      <c r="E21047" s="4">
        <f>IFERROR(__xludf.DUMMYFUNCTION("""COMPUTED_VALUE"""),80.151231)</f>
        <v>80.151231</v>
      </c>
      <c r="F21047" s="4">
        <f>IFERROR(__xludf.DUMMYFUNCTION("""COMPUTED_VALUE"""),805.0)</f>
        <v>805</v>
      </c>
      <c r="G21047" s="4">
        <f>IFERROR(__xludf.DUMMYFUNCTION("""COMPUTED_VALUE"""),24.0)</f>
        <v>24</v>
      </c>
      <c r="H21047" s="4"/>
      <c r="I21047" s="4"/>
    </row>
    <row r="21048">
      <c r="A21048" s="4" t="str">
        <f>IFERROR(__xludf.DUMMYFUNCTION("""COMPUTED_VALUE"""),"cas_hmw")</f>
        <v>cas_hmw</v>
      </c>
      <c r="B21048" s="5">
        <f>IFERROR(__xludf.DUMMYFUNCTION("""COMPUTED_VALUE"""),44784.0)</f>
        <v>44784</v>
      </c>
      <c r="C21048" s="6">
        <f>IFERROR(__xludf.DUMMYFUNCTION("""COMPUTED_VALUE"""),0.338483796294895)</f>
        <v>0.3384837963</v>
      </c>
      <c r="D21048" s="4">
        <f>IFERROR(__xludf.DUMMYFUNCTION("""COMPUTED_VALUE"""),12.971658)</f>
        <v>12.971658</v>
      </c>
      <c r="E21048" s="4">
        <f>IFERROR(__xludf.DUMMYFUNCTION("""COMPUTED_VALUE"""),80.151231)</f>
        <v>80.151231</v>
      </c>
      <c r="F21048" s="4">
        <f>IFERROR(__xludf.DUMMYFUNCTION("""COMPUTED_VALUE"""),805.0)</f>
        <v>805</v>
      </c>
      <c r="G21048" s="4">
        <f>IFERROR(__xludf.DUMMYFUNCTION("""COMPUTED_VALUE"""),24.0)</f>
        <v>24</v>
      </c>
      <c r="H21048" s="4"/>
      <c r="I21048" s="4"/>
    </row>
    <row r="21049">
      <c r="A21049" s="4" t="str">
        <f>IFERROR(__xludf.DUMMYFUNCTION("""COMPUTED_VALUE"""),"cas_hmw")</f>
        <v>cas_hmw</v>
      </c>
      <c r="B21049" s="5">
        <f>IFERROR(__xludf.DUMMYFUNCTION("""COMPUTED_VALUE"""),44784.0)</f>
        <v>44784</v>
      </c>
      <c r="C21049" s="6">
        <f>IFERROR(__xludf.DUMMYFUNCTION("""COMPUTED_VALUE"""),0.338553240741021)</f>
        <v>0.3385532407</v>
      </c>
      <c r="D21049" s="4">
        <f>IFERROR(__xludf.DUMMYFUNCTION("""COMPUTED_VALUE"""),12.919524)</f>
        <v>12.919524</v>
      </c>
      <c r="E21049" s="4">
        <f>IFERROR(__xludf.DUMMYFUNCTION("""COMPUTED_VALUE"""),80.181151)</f>
        <v>80.181151</v>
      </c>
      <c r="F21049" s="4">
        <f>IFERROR(__xludf.DUMMYFUNCTION("""COMPUTED_VALUE"""),3143.0)</f>
        <v>3143</v>
      </c>
      <c r="G21049" s="4">
        <f>IFERROR(__xludf.DUMMYFUNCTION("""COMPUTED_VALUE"""),33.0)</f>
        <v>33</v>
      </c>
      <c r="H21049" s="4"/>
      <c r="I21049" s="4"/>
    </row>
    <row r="21050">
      <c r="A21050" s="4" t="str">
        <f>IFERROR(__xludf.DUMMYFUNCTION("""COMPUTED_VALUE"""),"cas_hmw")</f>
        <v>cas_hmw</v>
      </c>
      <c r="B21050" s="5">
        <f>IFERROR(__xludf.DUMMYFUNCTION("""COMPUTED_VALUE"""),44784.0)</f>
        <v>44784</v>
      </c>
      <c r="C21050" s="6">
        <f>IFERROR(__xludf.DUMMYFUNCTION("""COMPUTED_VALUE"""),0.338657407406572)</f>
        <v>0.3386574074</v>
      </c>
      <c r="D21050" s="4">
        <f>IFERROR(__xludf.DUMMYFUNCTION("""COMPUTED_VALUE"""),12.803607)</f>
        <v>12.803607</v>
      </c>
      <c r="E21050" s="4">
        <f>IFERROR(__xludf.DUMMYFUNCTION("""COMPUTED_VALUE"""),80.025678)</f>
        <v>80.025678</v>
      </c>
      <c r="F21050" s="4">
        <f>IFERROR(__xludf.DUMMYFUNCTION("""COMPUTED_VALUE"""),2846.0)</f>
        <v>2846</v>
      </c>
      <c r="G21050" s="4">
        <f>IFERROR(__xludf.DUMMYFUNCTION("""COMPUTED_VALUE"""),58.0)</f>
        <v>58</v>
      </c>
      <c r="H21050" s="4"/>
      <c r="I21050" s="4"/>
    </row>
    <row r="21051">
      <c r="A21051" s="4" t="str">
        <f>IFERROR(__xludf.DUMMYFUNCTION("""COMPUTED_VALUE"""),"cas_hmw")</f>
        <v>cas_hmw</v>
      </c>
      <c r="B21051" s="5">
        <f>IFERROR(__xludf.DUMMYFUNCTION("""COMPUTED_VALUE"""),44784.0)</f>
        <v>44784</v>
      </c>
      <c r="C21051" s="6">
        <f>IFERROR(__xludf.DUMMYFUNCTION("""COMPUTED_VALUE"""),0.3387384259258397)</f>
        <v>0.3387384259</v>
      </c>
      <c r="D21051" s="4">
        <f>IFERROR(__xludf.DUMMYFUNCTION("""COMPUTED_VALUE"""),12.94665)</f>
        <v>12.94665</v>
      </c>
      <c r="E21051" s="4">
        <f>IFERROR(__xludf.DUMMYFUNCTION("""COMPUTED_VALUE"""),80.136639)</f>
        <v>80.136639</v>
      </c>
      <c r="F21051" s="4">
        <f>IFERROR(__xludf.DUMMYFUNCTION("""COMPUTED_VALUE"""),5339.0)</f>
        <v>5339</v>
      </c>
      <c r="G21051" s="4">
        <f>IFERROR(__xludf.DUMMYFUNCTION("""COMPUTED_VALUE"""),43.0)</f>
        <v>43</v>
      </c>
      <c r="H21051" s="4"/>
      <c r="I21051" s="4"/>
    </row>
    <row r="21052">
      <c r="A21052" s="4" t="str">
        <f>IFERROR(__xludf.DUMMYFUNCTION("""COMPUTED_VALUE"""),"cas_hmw")</f>
        <v>cas_hmw</v>
      </c>
      <c r="B21052" s="5">
        <f>IFERROR(__xludf.DUMMYFUNCTION("""COMPUTED_VALUE"""),44784.0)</f>
        <v>44784</v>
      </c>
      <c r="C21052" s="6">
        <f>IFERROR(__xludf.DUMMYFUNCTION("""COMPUTED_VALUE"""),0.3390972222223354)</f>
        <v>0.3390972222</v>
      </c>
      <c r="D21052" s="4">
        <f>IFERROR(__xludf.DUMMYFUNCTION("""COMPUTED_VALUE"""),12.944362)</f>
        <v>12.944362</v>
      </c>
      <c r="E21052" s="4">
        <f>IFERROR(__xludf.DUMMYFUNCTION("""COMPUTED_VALUE"""),80.134852)</f>
        <v>80.134852</v>
      </c>
      <c r="F21052" s="4">
        <f>IFERROR(__xludf.DUMMYFUNCTION("""COMPUTED_VALUE"""),5339.0)</f>
        <v>5339</v>
      </c>
      <c r="G21052" s="4">
        <f>IFERROR(__xludf.DUMMYFUNCTION("""COMPUTED_VALUE"""),36.0)</f>
        <v>36</v>
      </c>
      <c r="H21052" s="4"/>
      <c r="I21052" s="4"/>
    </row>
    <row r="21053">
      <c r="A21053" s="4" t="str">
        <f>IFERROR(__xludf.DUMMYFUNCTION("""COMPUTED_VALUE"""),"cas_hmw")</f>
        <v>cas_hmw</v>
      </c>
      <c r="B21053" s="5">
        <f>IFERROR(__xludf.DUMMYFUNCTION("""COMPUTED_VALUE"""),44784.0)</f>
        <v>44784</v>
      </c>
      <c r="C21053" s="6">
        <f>IFERROR(__xludf.DUMMYFUNCTION("""COMPUTED_VALUE"""),0.33976851851912215)</f>
        <v>0.3397685185</v>
      </c>
      <c r="D21053" s="4">
        <f>IFERROR(__xludf.DUMMYFUNCTION("""COMPUTED_VALUE"""),12.940947)</f>
        <v>12.940947</v>
      </c>
      <c r="E21053" s="4">
        <f>IFERROR(__xludf.DUMMYFUNCTION("""COMPUTED_VALUE"""),80.131541)</f>
        <v>80.131541</v>
      </c>
      <c r="F21053" s="4">
        <f>IFERROR(__xludf.DUMMYFUNCTION("""COMPUTED_VALUE"""),5339.0)</f>
        <v>5339</v>
      </c>
      <c r="G21053" s="4">
        <f>IFERROR(__xludf.DUMMYFUNCTION("""COMPUTED_VALUE"""),43.0)</f>
        <v>43</v>
      </c>
      <c r="H21053" s="4"/>
      <c r="I21053" s="4"/>
    </row>
    <row r="21054">
      <c r="A21054" s="4" t="str">
        <f>IFERROR(__xludf.DUMMYFUNCTION("""COMPUTED_VALUE"""),"cas_hmw")</f>
        <v>cas_hmw</v>
      </c>
      <c r="B21054" s="5">
        <f>IFERROR(__xludf.DUMMYFUNCTION("""COMPUTED_VALUE"""),44784.0)</f>
        <v>44784</v>
      </c>
      <c r="C21054" s="6">
        <f>IFERROR(__xludf.DUMMYFUNCTION("""COMPUTED_VALUE"""),0.3399421296307992)</f>
        <v>0.3399421296</v>
      </c>
      <c r="D21054" s="4">
        <f>IFERROR(__xludf.DUMMYFUNCTION("""COMPUTED_VALUE"""),12.964807)</f>
        <v>12.964807</v>
      </c>
      <c r="E21054" s="4">
        <f>IFERROR(__xludf.DUMMYFUNCTION("""COMPUTED_VALUE"""),80.147903)</f>
        <v>80.147903</v>
      </c>
      <c r="F21054" s="4">
        <f>IFERROR(__xludf.DUMMYFUNCTION("""COMPUTED_VALUE"""),805.0)</f>
        <v>805</v>
      </c>
      <c r="G21054" s="4">
        <f>IFERROR(__xludf.DUMMYFUNCTION("""COMPUTED_VALUE"""),46.0)</f>
        <v>46</v>
      </c>
      <c r="H21054" s="4"/>
      <c r="I21054" s="4"/>
    </row>
    <row r="21055">
      <c r="A21055" s="4" t="str">
        <f>IFERROR(__xludf.DUMMYFUNCTION("""COMPUTED_VALUE"""),"cas_hmw")</f>
        <v>cas_hmw</v>
      </c>
      <c r="B21055" s="5">
        <f>IFERROR(__xludf.DUMMYFUNCTION("""COMPUTED_VALUE"""),44784.0)</f>
        <v>44784</v>
      </c>
      <c r="C21055" s="6">
        <f>IFERROR(__xludf.DUMMYFUNCTION("""COMPUTED_VALUE"""),0.3399652777770825)</f>
        <v>0.3399652778</v>
      </c>
      <c r="D21055" s="4">
        <f>IFERROR(__xludf.DUMMYFUNCTION("""COMPUTED_VALUE"""),12.919656)</f>
        <v>12.919656</v>
      </c>
      <c r="E21055" s="4">
        <f>IFERROR(__xludf.DUMMYFUNCTION("""COMPUTED_VALUE"""),80.171449)</f>
        <v>80.171449</v>
      </c>
      <c r="F21055" s="4">
        <f>IFERROR(__xludf.DUMMYFUNCTION("""COMPUTED_VALUE"""),3143.0)</f>
        <v>3143</v>
      </c>
      <c r="G21055" s="4">
        <f>IFERROR(__xludf.DUMMYFUNCTION("""COMPUTED_VALUE"""),0.0)</f>
        <v>0</v>
      </c>
      <c r="H21055" s="4"/>
      <c r="I21055" s="4"/>
    </row>
    <row r="21056">
      <c r="A21056" s="4" t="str">
        <f>IFERROR(__xludf.DUMMYFUNCTION("""COMPUTED_VALUE"""),"cas_hmw")</f>
        <v>cas_hmw</v>
      </c>
      <c r="B21056" s="5">
        <f>IFERROR(__xludf.DUMMYFUNCTION("""COMPUTED_VALUE"""),44784.0)</f>
        <v>44784</v>
      </c>
      <c r="C21056" s="6">
        <f>IFERROR(__xludf.DUMMYFUNCTION("""COMPUTED_VALUE"""),0.3401157407424762)</f>
        <v>0.3401157407</v>
      </c>
      <c r="D21056" s="4">
        <f>IFERROR(__xludf.DUMMYFUNCTION("""COMPUTED_VALUE"""),12.938677)</f>
        <v>12.938677</v>
      </c>
      <c r="E21056" s="4">
        <f>IFERROR(__xludf.DUMMYFUNCTION("""COMPUTED_VALUE"""),80.129364)</f>
        <v>80.129364</v>
      </c>
      <c r="F21056" s="4">
        <f>IFERROR(__xludf.DUMMYFUNCTION("""COMPUTED_VALUE"""),5339.0)</f>
        <v>5339</v>
      </c>
      <c r="G21056" s="4">
        <f>IFERROR(__xludf.DUMMYFUNCTION("""COMPUTED_VALUE"""),44.0)</f>
        <v>44</v>
      </c>
      <c r="H21056" s="4"/>
      <c r="I21056" s="4"/>
    </row>
    <row r="21057">
      <c r="A21057" s="4" t="str">
        <f>IFERROR(__xludf.DUMMYFUNCTION("""COMPUTED_VALUE"""),"cas_hmw")</f>
        <v>cas_hmw</v>
      </c>
      <c r="B21057" s="5">
        <f>IFERROR(__xludf.DUMMYFUNCTION("""COMPUTED_VALUE"""),44784.0)</f>
        <v>44784</v>
      </c>
      <c r="C21057" s="6">
        <f>IFERROR(__xludf.DUMMYFUNCTION("""COMPUTED_VALUE"""),0.34013888888875954)</f>
        <v>0.3401388889</v>
      </c>
      <c r="D21057" s="4">
        <f>IFERROR(__xludf.DUMMYFUNCTION("""COMPUTED_VALUE"""),12.962568)</f>
        <v>12.962568</v>
      </c>
      <c r="E21057" s="4">
        <f>IFERROR(__xludf.DUMMYFUNCTION("""COMPUTED_VALUE"""),80.14664)</f>
        <v>80.14664</v>
      </c>
      <c r="F21057" s="4">
        <f>IFERROR(__xludf.DUMMYFUNCTION("""COMPUTED_VALUE"""),805.0)</f>
        <v>805</v>
      </c>
      <c r="G21057" s="4">
        <f>IFERROR(__xludf.DUMMYFUNCTION("""COMPUTED_VALUE"""),49.0)</f>
        <v>49</v>
      </c>
      <c r="H21057" s="4"/>
      <c r="I21057" s="4"/>
    </row>
    <row r="21058">
      <c r="A21058" s="4" t="str">
        <f>IFERROR(__xludf.DUMMYFUNCTION("""COMPUTED_VALUE"""),"cas_hmw")</f>
        <v>cas_hmw</v>
      </c>
      <c r="B21058" s="5">
        <f>IFERROR(__xludf.DUMMYFUNCTION("""COMPUTED_VALUE"""),44784.0)</f>
        <v>44784</v>
      </c>
      <c r="C21058" s="6">
        <f>IFERROR(__xludf.DUMMYFUNCTION("""COMPUTED_VALUE"""),0.3402662037042319)</f>
        <v>0.3402662037</v>
      </c>
      <c r="D21058" s="4">
        <f>IFERROR(__xludf.DUMMYFUNCTION("""COMPUTED_VALUE"""),12.937888)</f>
        <v>12.937888</v>
      </c>
      <c r="E21058" s="4">
        <f>IFERROR(__xludf.DUMMYFUNCTION("""COMPUTED_VALUE"""),80.128689)</f>
        <v>80.128689</v>
      </c>
      <c r="F21058" s="4">
        <f>IFERROR(__xludf.DUMMYFUNCTION("""COMPUTED_VALUE"""),5339.0)</f>
        <v>5339</v>
      </c>
      <c r="G21058" s="4">
        <f>IFERROR(__xludf.DUMMYFUNCTION("""COMPUTED_VALUE"""),39.0)</f>
        <v>39</v>
      </c>
      <c r="H21058" s="4"/>
      <c r="I21058" s="4"/>
    </row>
    <row r="21059">
      <c r="A21059" s="4" t="str">
        <f>IFERROR(__xludf.DUMMYFUNCTION("""COMPUTED_VALUE"""),"cas_hmw")</f>
        <v>cas_hmw</v>
      </c>
      <c r="B21059" s="5">
        <f>IFERROR(__xludf.DUMMYFUNCTION("""COMPUTED_VALUE"""),44784.0)</f>
        <v>44784</v>
      </c>
      <c r="C21059" s="6">
        <f>IFERROR(__xludf.DUMMYFUNCTION("""COMPUTED_VALUE"""),0.34035879629664123)</f>
        <v>0.3403587963</v>
      </c>
      <c r="D21059" s="4">
        <f>IFERROR(__xludf.DUMMYFUNCTION("""COMPUTED_VALUE"""),12.937158)</f>
        <v>12.937158</v>
      </c>
      <c r="E21059" s="4">
        <f>IFERROR(__xludf.DUMMYFUNCTION("""COMPUTED_VALUE"""),80.128052)</f>
        <v>80.128052</v>
      </c>
      <c r="F21059" s="4">
        <f>IFERROR(__xludf.DUMMYFUNCTION("""COMPUTED_VALUE"""),5339.0)</f>
        <v>5339</v>
      </c>
      <c r="G21059" s="4">
        <f>IFERROR(__xludf.DUMMYFUNCTION("""COMPUTED_VALUE"""),37.0)</f>
        <v>37</v>
      </c>
      <c r="H21059" s="4"/>
      <c r="I21059" s="4"/>
    </row>
    <row r="21060">
      <c r="A21060" s="4" t="str">
        <f>IFERROR(__xludf.DUMMYFUNCTION("""COMPUTED_VALUE"""),"cas_hmw")</f>
        <v>cas_hmw</v>
      </c>
      <c r="B21060" s="5">
        <f>IFERROR(__xludf.DUMMYFUNCTION("""COMPUTED_VALUE"""),44784.0)</f>
        <v>44784</v>
      </c>
      <c r="C21060" s="6">
        <f>IFERROR(__xludf.DUMMYFUNCTION("""COMPUTED_VALUE"""),0.3407638888893416)</f>
        <v>0.3407638889</v>
      </c>
      <c r="D21060" s="4">
        <f>IFERROR(__xludf.DUMMYFUNCTION("""COMPUTED_VALUE"""),12.921741)</f>
        <v>12.921741</v>
      </c>
      <c r="E21060" s="4">
        <f>IFERROR(__xludf.DUMMYFUNCTION("""COMPUTED_VALUE"""),80.164964)</f>
        <v>80.164964</v>
      </c>
      <c r="F21060" s="4">
        <f>IFERROR(__xludf.DUMMYFUNCTION("""COMPUTED_VALUE"""),3143.0)</f>
        <v>3143</v>
      </c>
      <c r="G21060" s="4">
        <f>IFERROR(__xludf.DUMMYFUNCTION("""COMPUTED_VALUE"""),47.0)</f>
        <v>47</v>
      </c>
      <c r="H21060" s="4"/>
      <c r="I21060" s="4"/>
    </row>
    <row r="21061">
      <c r="A21061" s="4" t="str">
        <f>IFERROR(__xludf.DUMMYFUNCTION("""COMPUTED_VALUE"""),"cas_hmw")</f>
        <v>cas_hmw</v>
      </c>
      <c r="B21061" s="5">
        <f>IFERROR(__xludf.DUMMYFUNCTION("""COMPUTED_VALUE"""),44784.0)</f>
        <v>44784</v>
      </c>
      <c r="C21061" s="6">
        <f>IFERROR(__xludf.DUMMYFUNCTION("""COMPUTED_VALUE"""),0.3413541666668607)</f>
        <v>0.3413541667</v>
      </c>
      <c r="D21061" s="4">
        <f>IFERROR(__xludf.DUMMYFUNCTION("""COMPUTED_VALUE"""),12.930019)</f>
        <v>12.930019</v>
      </c>
      <c r="E21061" s="4">
        <f>IFERROR(__xludf.DUMMYFUNCTION("""COMPUTED_VALUE"""),80.121279)</f>
        <v>80.121279</v>
      </c>
      <c r="F21061" s="4">
        <f>IFERROR(__xludf.DUMMYFUNCTION("""COMPUTED_VALUE"""),5339.0)</f>
        <v>5339</v>
      </c>
      <c r="G21061" s="4">
        <f>IFERROR(__xludf.DUMMYFUNCTION("""COMPUTED_VALUE"""),41.0)</f>
        <v>41</v>
      </c>
      <c r="H21061" s="4"/>
      <c r="I21061" s="4"/>
    </row>
    <row r="21062">
      <c r="A21062" s="4" t="str">
        <f>IFERROR(__xludf.DUMMYFUNCTION("""COMPUTED_VALUE"""),"cas_hmw")</f>
        <v>cas_hmw</v>
      </c>
      <c r="B21062" s="5">
        <f>IFERROR(__xludf.DUMMYFUNCTION("""COMPUTED_VALUE"""),44784.0)</f>
        <v>44784</v>
      </c>
      <c r="C21062" s="6">
        <f>IFERROR(__xludf.DUMMYFUNCTION("""COMPUTED_VALUE"""),0.3413541666668607)</f>
        <v>0.3413541667</v>
      </c>
      <c r="D21062" s="4">
        <f>IFERROR(__xludf.DUMMYFUNCTION("""COMPUTED_VALUE"""),12.95629)</f>
        <v>12.95629</v>
      </c>
      <c r="E21062" s="4">
        <f>IFERROR(__xludf.DUMMYFUNCTION("""COMPUTED_VALUE"""),80.143276)</f>
        <v>80.143276</v>
      </c>
      <c r="F21062" s="4">
        <f>IFERROR(__xludf.DUMMYFUNCTION("""COMPUTED_VALUE"""),805.0)</f>
        <v>805</v>
      </c>
      <c r="G21062" s="4">
        <f>IFERROR(__xludf.DUMMYFUNCTION("""COMPUTED_VALUE"""),17.0)</f>
        <v>17</v>
      </c>
      <c r="H21062" s="4"/>
      <c r="I21062" s="4"/>
    </row>
    <row r="21063">
      <c r="A21063" s="4" t="str">
        <f>IFERROR(__xludf.DUMMYFUNCTION("""COMPUTED_VALUE"""),"cas_hmw")</f>
        <v>cas_hmw</v>
      </c>
      <c r="B21063" s="5">
        <f>IFERROR(__xludf.DUMMYFUNCTION("""COMPUTED_VALUE"""),44784.0)</f>
        <v>44784</v>
      </c>
      <c r="C21063" s="6">
        <f>IFERROR(__xludf.DUMMYFUNCTION("""COMPUTED_VALUE"""),0.3416435185172304)</f>
        <v>0.3416435185</v>
      </c>
      <c r="D21063" s="4">
        <f>IFERROR(__xludf.DUMMYFUNCTION("""COMPUTED_VALUE"""),12.954311)</f>
        <v>12.954311</v>
      </c>
      <c r="E21063" s="4">
        <f>IFERROR(__xludf.DUMMYFUNCTION("""COMPUTED_VALUE"""),80.142189)</f>
        <v>80.142189</v>
      </c>
      <c r="F21063" s="4">
        <f>IFERROR(__xludf.DUMMYFUNCTION("""COMPUTED_VALUE"""),805.0)</f>
        <v>805</v>
      </c>
      <c r="G21063" s="4">
        <f>IFERROR(__xludf.DUMMYFUNCTION("""COMPUTED_VALUE"""),33.0)</f>
        <v>33</v>
      </c>
      <c r="H21063" s="4"/>
      <c r="I21063" s="4"/>
    </row>
    <row r="21064">
      <c r="A21064" s="4" t="str">
        <f>IFERROR(__xludf.DUMMYFUNCTION("""COMPUTED_VALUE"""),"cas_hmw")</f>
        <v>cas_hmw</v>
      </c>
      <c r="B21064" s="5">
        <f>IFERROR(__xludf.DUMMYFUNCTION("""COMPUTED_VALUE"""),44784.0)</f>
        <v>44784</v>
      </c>
      <c r="C21064" s="6">
        <f>IFERROR(__xludf.DUMMYFUNCTION("""COMPUTED_VALUE"""),0.34224537037152913)</f>
        <v>0.3422453704</v>
      </c>
      <c r="D21064" s="4">
        <f>IFERROR(__xludf.DUMMYFUNCTION("""COMPUTED_VALUE"""),12.923471)</f>
        <v>12.923471</v>
      </c>
      <c r="E21064" s="4">
        <f>IFERROR(__xludf.DUMMYFUNCTION("""COMPUTED_VALUE"""),80.155305)</f>
        <v>80.155305</v>
      </c>
      <c r="F21064" s="4">
        <f>IFERROR(__xludf.DUMMYFUNCTION("""COMPUTED_VALUE"""),3143.0)</f>
        <v>3143</v>
      </c>
      <c r="G21064" s="4">
        <f>IFERROR(__xludf.DUMMYFUNCTION("""COMPUTED_VALUE"""),9.0)</f>
        <v>9</v>
      </c>
      <c r="H21064" s="4"/>
      <c r="I21064" s="4"/>
    </row>
    <row r="21065">
      <c r="A21065" s="4" t="str">
        <f>IFERROR(__xludf.DUMMYFUNCTION("""COMPUTED_VALUE"""),"cas_hmw")</f>
        <v>cas_hmw</v>
      </c>
      <c r="B21065" s="5">
        <f>IFERROR(__xludf.DUMMYFUNCTION("""COMPUTED_VALUE"""),44784.0)</f>
        <v>44784</v>
      </c>
      <c r="C21065" s="6">
        <f>IFERROR(__xludf.DUMMYFUNCTION("""COMPUTED_VALUE"""),0.3423726851870015)</f>
        <v>0.3423726852</v>
      </c>
      <c r="D21065" s="4">
        <f>IFERROR(__xludf.DUMMYFUNCTION("""COMPUTED_VALUE"""),12.95166)</f>
        <v>12.95166</v>
      </c>
      <c r="E21065" s="4">
        <f>IFERROR(__xludf.DUMMYFUNCTION("""COMPUTED_VALUE"""),80.140477)</f>
        <v>80.140477</v>
      </c>
      <c r="F21065" s="4">
        <f>IFERROR(__xludf.DUMMYFUNCTION("""COMPUTED_VALUE"""),805.0)</f>
        <v>805</v>
      </c>
      <c r="G21065" s="4">
        <f>IFERROR(__xludf.DUMMYFUNCTION("""COMPUTED_VALUE"""),24.0)</f>
        <v>24</v>
      </c>
      <c r="H21065" s="4"/>
      <c r="I21065" s="4"/>
    </row>
    <row r="21066">
      <c r="A21066" s="4" t="str">
        <f>IFERROR(__xludf.DUMMYFUNCTION("""COMPUTED_VALUE"""),"cas_hmw")</f>
        <v>cas_hmw</v>
      </c>
      <c r="B21066" s="5">
        <f>IFERROR(__xludf.DUMMYFUNCTION("""COMPUTED_VALUE"""),44784.0)</f>
        <v>44784</v>
      </c>
      <c r="C21066" s="6">
        <f>IFERROR(__xludf.DUMMYFUNCTION("""COMPUTED_VALUE"""),0.34238425926014315)</f>
        <v>0.3423842593</v>
      </c>
      <c r="D21066" s="4">
        <f>IFERROR(__xludf.DUMMYFUNCTION("""COMPUTED_VALUE"""),12.95166)</f>
        <v>12.95166</v>
      </c>
      <c r="E21066" s="4">
        <f>IFERROR(__xludf.DUMMYFUNCTION("""COMPUTED_VALUE"""),80.140477)</f>
        <v>80.140477</v>
      </c>
      <c r="F21066" s="4">
        <f>IFERROR(__xludf.DUMMYFUNCTION("""COMPUTED_VALUE"""),805.0)</f>
        <v>805</v>
      </c>
      <c r="G21066" s="4">
        <f>IFERROR(__xludf.DUMMYFUNCTION("""COMPUTED_VALUE"""),24.0)</f>
        <v>24</v>
      </c>
      <c r="H21066" s="4"/>
      <c r="I21066" s="4"/>
    </row>
    <row r="21067">
      <c r="A21067" s="4" t="str">
        <f>IFERROR(__xludf.DUMMYFUNCTION("""COMPUTED_VALUE"""),"cas_hmw")</f>
        <v>cas_hmw</v>
      </c>
      <c r="B21067" s="5">
        <f>IFERROR(__xludf.DUMMYFUNCTION("""COMPUTED_VALUE"""),44784.0)</f>
        <v>44784</v>
      </c>
      <c r="C21067" s="6">
        <f>IFERROR(__xludf.DUMMYFUNCTION("""COMPUTED_VALUE"""),0.34275462962978054)</f>
        <v>0.3427546296</v>
      </c>
      <c r="D21067" s="4">
        <f>IFERROR(__xludf.DUMMYFUNCTION("""COMPUTED_VALUE"""),12.94977)</f>
        <v>12.94977</v>
      </c>
      <c r="E21067" s="4">
        <f>IFERROR(__xludf.DUMMYFUNCTION("""COMPUTED_VALUE"""),80.139082)</f>
        <v>80.139082</v>
      </c>
      <c r="F21067" s="4">
        <f>IFERROR(__xludf.DUMMYFUNCTION("""COMPUTED_VALUE"""),805.0)</f>
        <v>805</v>
      </c>
      <c r="G21067" s="4">
        <f>IFERROR(__xludf.DUMMYFUNCTION("""COMPUTED_VALUE"""),42.0)</f>
        <v>42</v>
      </c>
      <c r="H21067" s="4"/>
      <c r="I21067" s="4"/>
    </row>
    <row r="21068">
      <c r="A21068" s="4" t="str">
        <f>IFERROR(__xludf.DUMMYFUNCTION("""COMPUTED_VALUE"""),"cas_hmw")</f>
        <v>cas_hmw</v>
      </c>
      <c r="B21068" s="5">
        <f>IFERROR(__xludf.DUMMYFUNCTION("""COMPUTED_VALUE"""),44784.0)</f>
        <v>44784</v>
      </c>
      <c r="C21068" s="6">
        <f>IFERROR(__xludf.DUMMYFUNCTION("""COMPUTED_VALUE"""),0.34285879629533156)</f>
        <v>0.3428587963</v>
      </c>
      <c r="D21068" s="4">
        <f>IFERROR(__xludf.DUMMYFUNCTION("""COMPUTED_VALUE"""),12.919077)</f>
        <v>12.919077</v>
      </c>
      <c r="E21068" s="4">
        <f>IFERROR(__xludf.DUMMYFUNCTION("""COMPUTED_VALUE"""),80.10989)</f>
        <v>80.10989</v>
      </c>
      <c r="F21068" s="4">
        <f>IFERROR(__xludf.DUMMYFUNCTION("""COMPUTED_VALUE"""),5339.0)</f>
        <v>5339</v>
      </c>
      <c r="G21068" s="4">
        <f>IFERROR(__xludf.DUMMYFUNCTION("""COMPUTED_VALUE"""),58.0)</f>
        <v>58</v>
      </c>
      <c r="H21068" s="4"/>
      <c r="I21068" s="4"/>
    </row>
    <row r="21069">
      <c r="A21069" s="4" t="str">
        <f>IFERROR(__xludf.DUMMYFUNCTION("""COMPUTED_VALUE"""),"cas_hmw")</f>
        <v>cas_hmw</v>
      </c>
      <c r="B21069" s="5">
        <f>IFERROR(__xludf.DUMMYFUNCTION("""COMPUTED_VALUE"""),44784.0)</f>
        <v>44784</v>
      </c>
      <c r="C21069" s="6">
        <f>IFERROR(__xludf.DUMMYFUNCTION("""COMPUTED_VALUE"""),0.3439004629617557)</f>
        <v>0.343900463</v>
      </c>
      <c r="D21069" s="4">
        <f>IFERROR(__xludf.DUMMYFUNCTION("""COMPUTED_VALUE"""),12.84458)</f>
        <v>12.84458</v>
      </c>
      <c r="E21069" s="4">
        <f>IFERROR(__xludf.DUMMYFUNCTION("""COMPUTED_VALUE"""),80.060269)</f>
        <v>80.060269</v>
      </c>
      <c r="F21069" s="4">
        <f>IFERROR(__xludf.DUMMYFUNCTION("""COMPUTED_VALUE"""),2846.0)</f>
        <v>2846</v>
      </c>
      <c r="G21069" s="4">
        <f>IFERROR(__xludf.DUMMYFUNCTION("""COMPUTED_VALUE"""),30.0)</f>
        <v>30</v>
      </c>
      <c r="H21069" s="4"/>
      <c r="I21069" s="4"/>
    </row>
    <row r="21070">
      <c r="A21070" s="4" t="str">
        <f>IFERROR(__xludf.DUMMYFUNCTION("""COMPUTED_VALUE"""),"cas_hmw")</f>
        <v>cas_hmw</v>
      </c>
      <c r="B21070" s="5">
        <f>IFERROR(__xludf.DUMMYFUNCTION("""COMPUTED_VALUE"""),44784.0)</f>
        <v>44784</v>
      </c>
      <c r="C21070" s="6">
        <f>IFERROR(__xludf.DUMMYFUNCTION("""COMPUTED_VALUE"""),0.343923611111677)</f>
        <v>0.3439236111</v>
      </c>
      <c r="D21070" s="4">
        <f>IFERROR(__xludf.DUMMYFUNCTION("""COMPUTED_VALUE"""),12.940956)</f>
        <v>12.940956</v>
      </c>
      <c r="E21070" s="4">
        <f>IFERROR(__xludf.DUMMYFUNCTION("""COMPUTED_VALUE"""),80.131555)</f>
        <v>80.131555</v>
      </c>
      <c r="F21070" s="4">
        <f>IFERROR(__xludf.DUMMYFUNCTION("""COMPUTED_VALUE"""),805.0)</f>
        <v>805</v>
      </c>
      <c r="G21070" s="4">
        <f>IFERROR(__xludf.DUMMYFUNCTION("""COMPUTED_VALUE"""),52.0)</f>
        <v>52</v>
      </c>
      <c r="H21070" s="4"/>
      <c r="I21070" s="4"/>
    </row>
    <row r="21071">
      <c r="A21071" s="4" t="str">
        <f>IFERROR(__xludf.DUMMYFUNCTION("""COMPUTED_VALUE"""),"cas_hmw")</f>
        <v>cas_hmw</v>
      </c>
      <c r="B21071" s="5">
        <f>IFERROR(__xludf.DUMMYFUNCTION("""COMPUTED_VALUE"""),44784.0)</f>
        <v>44784</v>
      </c>
      <c r="C21071" s="6">
        <f>IFERROR(__xludf.DUMMYFUNCTION("""COMPUTED_VALUE"""),0.34438657407372375)</f>
        <v>0.3443865741</v>
      </c>
      <c r="D21071" s="4">
        <f>IFERROR(__xludf.DUMMYFUNCTION("""COMPUTED_VALUE"""),12.937551)</f>
        <v>12.937551</v>
      </c>
      <c r="E21071" s="4">
        <f>IFERROR(__xludf.DUMMYFUNCTION("""COMPUTED_VALUE"""),80.128444)</f>
        <v>80.128444</v>
      </c>
      <c r="F21071" s="4">
        <f>IFERROR(__xludf.DUMMYFUNCTION("""COMPUTED_VALUE"""),805.0)</f>
        <v>805</v>
      </c>
      <c r="G21071" s="4">
        <f>IFERROR(__xludf.DUMMYFUNCTION("""COMPUTED_VALUE"""),38.0)</f>
        <v>38</v>
      </c>
      <c r="H21071" s="4"/>
      <c r="I21071" s="4"/>
    </row>
    <row r="21072">
      <c r="A21072" s="4" t="str">
        <f>IFERROR(__xludf.DUMMYFUNCTION("""COMPUTED_VALUE"""),"cas_hmw")</f>
        <v>cas_hmw</v>
      </c>
      <c r="B21072" s="5">
        <f>IFERROR(__xludf.DUMMYFUNCTION("""COMPUTED_VALUE"""),44784.0)</f>
        <v>44784</v>
      </c>
      <c r="C21072" s="6">
        <f>IFERROR(__xludf.DUMMYFUNCTION("""COMPUTED_VALUE"""),0.34555555555562023)</f>
        <v>0.3455555556</v>
      </c>
      <c r="D21072" s="4">
        <f>IFERROR(__xludf.DUMMYFUNCTION("""COMPUTED_VALUE"""),12.922485)</f>
        <v>12.922485</v>
      </c>
      <c r="E21072" s="4">
        <f>IFERROR(__xludf.DUMMYFUNCTION("""COMPUTED_VALUE"""),80.143365)</f>
        <v>80.143365</v>
      </c>
      <c r="F21072" s="4">
        <f>IFERROR(__xludf.DUMMYFUNCTION("""COMPUTED_VALUE"""),3143.0)</f>
        <v>3143</v>
      </c>
      <c r="G21072" s="4">
        <f>IFERROR(__xludf.DUMMYFUNCTION("""COMPUTED_VALUE"""),0.0)</f>
        <v>0</v>
      </c>
      <c r="H21072" s="4"/>
      <c r="I21072" s="4"/>
    </row>
    <row r="21073">
      <c r="A21073" s="4" t="str">
        <f>IFERROR(__xludf.DUMMYFUNCTION("""COMPUTED_VALUE"""),"cas_hmw")</f>
        <v>cas_hmw</v>
      </c>
      <c r="B21073" s="5">
        <f>IFERROR(__xludf.DUMMYFUNCTION("""COMPUTED_VALUE"""),44784.0)</f>
        <v>44784</v>
      </c>
      <c r="C21073" s="6">
        <f>IFERROR(__xludf.DUMMYFUNCTION("""COMPUTED_VALUE"""),0.34559027777868323)</f>
        <v>0.3455902778</v>
      </c>
      <c r="D21073" s="4">
        <f>IFERROR(__xludf.DUMMYFUNCTION("""COMPUTED_VALUE"""),12.922485)</f>
        <v>12.922485</v>
      </c>
      <c r="E21073" s="4">
        <f>IFERROR(__xludf.DUMMYFUNCTION("""COMPUTED_VALUE"""),80.143365)</f>
        <v>80.143365</v>
      </c>
      <c r="F21073" s="4">
        <f>IFERROR(__xludf.DUMMYFUNCTION("""COMPUTED_VALUE"""),3143.0)</f>
        <v>3143</v>
      </c>
      <c r="G21073" s="4">
        <f>IFERROR(__xludf.DUMMYFUNCTION("""COMPUTED_VALUE"""),0.0)</f>
        <v>0</v>
      </c>
      <c r="H21073" s="4"/>
      <c r="I21073" s="4"/>
    </row>
    <row r="21074">
      <c r="A21074" s="4" t="str">
        <f>IFERROR(__xludf.DUMMYFUNCTION("""COMPUTED_VALUE"""),"cas_hmw")</f>
        <v>cas_hmw</v>
      </c>
      <c r="B21074" s="5">
        <f>IFERROR(__xludf.DUMMYFUNCTION("""COMPUTED_VALUE"""),44784.0)</f>
        <v>44784</v>
      </c>
      <c r="C21074" s="6">
        <f>IFERROR(__xludf.DUMMYFUNCTION("""COMPUTED_VALUE"""),0.34626157407547)</f>
        <v>0.3462615741</v>
      </c>
      <c r="D21074" s="4">
        <f>IFERROR(__xludf.DUMMYFUNCTION("""COMPUTED_VALUE"""),12.898274)</f>
        <v>12.898274</v>
      </c>
      <c r="E21074" s="4">
        <f>IFERROR(__xludf.DUMMYFUNCTION("""COMPUTED_VALUE"""),80.090164)</f>
        <v>80.090164</v>
      </c>
      <c r="F21074" s="4">
        <f>IFERROR(__xludf.DUMMYFUNCTION("""COMPUTED_VALUE"""),5339.0)</f>
        <v>5339</v>
      </c>
      <c r="G21074" s="4">
        <f>IFERROR(__xludf.DUMMYFUNCTION("""COMPUTED_VALUE"""),48.0)</f>
        <v>48</v>
      </c>
      <c r="H21074" s="4"/>
      <c r="I21074" s="4"/>
    </row>
    <row r="21075">
      <c r="A21075" s="4" t="str">
        <f>IFERROR(__xludf.DUMMYFUNCTION("""COMPUTED_VALUE"""),"cas_hmw")</f>
        <v>cas_hmw</v>
      </c>
      <c r="B21075" s="5">
        <f>IFERROR(__xludf.DUMMYFUNCTION("""COMPUTED_VALUE"""),44784.0)</f>
        <v>44784</v>
      </c>
      <c r="C21075" s="6">
        <f>IFERROR(__xludf.DUMMYFUNCTION("""COMPUTED_VALUE"""),0.34645833333343035)</f>
        <v>0.3464583333</v>
      </c>
      <c r="D21075" s="4">
        <f>IFERROR(__xludf.DUMMYFUNCTION("""COMPUTED_VALUE"""),12.859487)</f>
        <v>12.859487</v>
      </c>
      <c r="E21075" s="4">
        <f>IFERROR(__xludf.DUMMYFUNCTION("""COMPUTED_VALUE"""),80.071736)</f>
        <v>80.071736</v>
      </c>
      <c r="F21075" s="4">
        <f>IFERROR(__xludf.DUMMYFUNCTION("""COMPUTED_VALUE"""),2846.0)</f>
        <v>2846</v>
      </c>
      <c r="G21075" s="4">
        <f>IFERROR(__xludf.DUMMYFUNCTION("""COMPUTED_VALUE"""),36.0)</f>
        <v>36</v>
      </c>
      <c r="H21075" s="4"/>
      <c r="I21075" s="4"/>
    </row>
    <row r="21076">
      <c r="A21076" s="4" t="str">
        <f>IFERROR(__xludf.DUMMYFUNCTION("""COMPUTED_VALUE"""),"cas_hmw")</f>
        <v>cas_hmw</v>
      </c>
      <c r="B21076" s="5">
        <f>IFERROR(__xludf.DUMMYFUNCTION("""COMPUTED_VALUE"""),44784.0)</f>
        <v>44784</v>
      </c>
      <c r="C21076" s="6">
        <f>IFERROR(__xludf.DUMMYFUNCTION("""COMPUTED_VALUE"""),0.34656249999898137)</f>
        <v>0.3465625</v>
      </c>
      <c r="D21076" s="4">
        <f>IFERROR(__xludf.DUMMYFUNCTION("""COMPUTED_VALUE"""),12.859487)</f>
        <v>12.859487</v>
      </c>
      <c r="E21076" s="4">
        <f>IFERROR(__xludf.DUMMYFUNCTION("""COMPUTED_VALUE"""),80.071736)</f>
        <v>80.071736</v>
      </c>
      <c r="F21076" s="4">
        <f>IFERROR(__xludf.DUMMYFUNCTION("""COMPUTED_VALUE"""),2846.0)</f>
        <v>2846</v>
      </c>
      <c r="G21076" s="4">
        <f>IFERROR(__xludf.DUMMYFUNCTION("""COMPUTED_VALUE"""),36.0)</f>
        <v>36</v>
      </c>
      <c r="H21076" s="4"/>
      <c r="I21076" s="4"/>
    </row>
    <row r="21077">
      <c r="A21077" s="4" t="str">
        <f>IFERROR(__xludf.DUMMYFUNCTION("""COMPUTED_VALUE"""),"cas_hmw")</f>
        <v>cas_hmw</v>
      </c>
      <c r="B21077" s="5">
        <f>IFERROR(__xludf.DUMMYFUNCTION("""COMPUTED_VALUE"""),44784.0)</f>
        <v>44784</v>
      </c>
      <c r="C21077" s="6">
        <f>IFERROR(__xludf.DUMMYFUNCTION("""COMPUTED_VALUE"""),0.34664351851824904)</f>
        <v>0.3466435185</v>
      </c>
      <c r="D21077" s="4">
        <f>IFERROR(__xludf.DUMMYFUNCTION("""COMPUTED_VALUE"""),12.859487)</f>
        <v>12.859487</v>
      </c>
      <c r="E21077" s="4">
        <f>IFERROR(__xludf.DUMMYFUNCTION("""COMPUTED_VALUE"""),80.071736)</f>
        <v>80.071736</v>
      </c>
      <c r="F21077" s="4">
        <f>IFERROR(__xludf.DUMMYFUNCTION("""COMPUTED_VALUE"""),2846.0)</f>
        <v>2846</v>
      </c>
      <c r="G21077" s="4">
        <f>IFERROR(__xludf.DUMMYFUNCTION("""COMPUTED_VALUE"""),36.0)</f>
        <v>36</v>
      </c>
      <c r="H21077" s="4"/>
      <c r="I21077" s="4"/>
    </row>
    <row r="21078">
      <c r="A21078" s="4" t="str">
        <f>IFERROR(__xludf.DUMMYFUNCTION("""COMPUTED_VALUE"""),"cas_hmw")</f>
        <v>cas_hmw</v>
      </c>
      <c r="B21078" s="5">
        <f>IFERROR(__xludf.DUMMYFUNCTION("""COMPUTED_VALUE"""),44784.0)</f>
        <v>44784</v>
      </c>
      <c r="C21078" s="6">
        <f>IFERROR(__xludf.DUMMYFUNCTION("""COMPUTED_VALUE"""),0.3467361111106584)</f>
        <v>0.3467361111</v>
      </c>
      <c r="D21078" s="4">
        <f>IFERROR(__xludf.DUMMYFUNCTION("""COMPUTED_VALUE"""),12.859487)</f>
        <v>12.859487</v>
      </c>
      <c r="E21078" s="4">
        <f>IFERROR(__xludf.DUMMYFUNCTION("""COMPUTED_VALUE"""),80.071736)</f>
        <v>80.071736</v>
      </c>
      <c r="F21078" s="4">
        <f>IFERROR(__xludf.DUMMYFUNCTION("""COMPUTED_VALUE"""),2846.0)</f>
        <v>2846</v>
      </c>
      <c r="G21078" s="4">
        <f>IFERROR(__xludf.DUMMYFUNCTION("""COMPUTED_VALUE"""),36.0)</f>
        <v>36</v>
      </c>
      <c r="H21078" s="4"/>
      <c r="I21078" s="4"/>
    </row>
    <row r="21079">
      <c r="A21079" s="4" t="str">
        <f>IFERROR(__xludf.DUMMYFUNCTION("""COMPUTED_VALUE"""),"cas_hmw")</f>
        <v>cas_hmw</v>
      </c>
      <c r="B21079" s="5">
        <f>IFERROR(__xludf.DUMMYFUNCTION("""COMPUTED_VALUE"""),44784.0)</f>
        <v>44784</v>
      </c>
      <c r="C21079" s="6">
        <f>IFERROR(__xludf.DUMMYFUNCTION("""COMPUTED_VALUE"""),0.3470949074071541)</f>
        <v>0.3470949074</v>
      </c>
      <c r="D21079" s="4">
        <f>IFERROR(__xludf.DUMMYFUNCTION("""COMPUTED_VALUE"""),12.926061)</f>
        <v>12.926061</v>
      </c>
      <c r="E21079" s="4">
        <f>IFERROR(__xludf.DUMMYFUNCTION("""COMPUTED_VALUE"""),80.117229)</f>
        <v>80.117229</v>
      </c>
      <c r="F21079" s="4">
        <f>IFERROR(__xludf.DUMMYFUNCTION("""COMPUTED_VALUE"""),805.0)</f>
        <v>805</v>
      </c>
      <c r="G21079" s="4">
        <f>IFERROR(__xludf.DUMMYFUNCTION("""COMPUTED_VALUE"""),26.0)</f>
        <v>26</v>
      </c>
      <c r="H21079" s="4"/>
      <c r="I21079" s="4"/>
    </row>
    <row r="21080">
      <c r="A21080" s="4" t="str">
        <f>IFERROR(__xludf.DUMMYFUNCTION("""COMPUTED_VALUE"""),"cas_hmw")</f>
        <v>cas_hmw</v>
      </c>
      <c r="B21080" s="5">
        <f>IFERROR(__xludf.DUMMYFUNCTION("""COMPUTED_VALUE"""),44784.0)</f>
        <v>44784</v>
      </c>
      <c r="C21080" s="6">
        <f>IFERROR(__xludf.DUMMYFUNCTION("""COMPUTED_VALUE"""),0.34736111111124046)</f>
        <v>0.3473611111</v>
      </c>
      <c r="D21080" s="4">
        <f>IFERROR(__xludf.DUMMYFUNCTION("""COMPUTED_VALUE"""),12.924611)</f>
        <v>12.924611</v>
      </c>
      <c r="E21080" s="4">
        <f>IFERROR(__xludf.DUMMYFUNCTION("""COMPUTED_VALUE"""),80.115802)</f>
        <v>80.115802</v>
      </c>
      <c r="F21080" s="4">
        <f>IFERROR(__xludf.DUMMYFUNCTION("""COMPUTED_VALUE"""),805.0)</f>
        <v>805</v>
      </c>
      <c r="G21080" s="4">
        <f>IFERROR(__xludf.DUMMYFUNCTION("""COMPUTED_VALUE"""),53.0)</f>
        <v>53</v>
      </c>
      <c r="H21080" s="4"/>
      <c r="I21080" s="4"/>
    </row>
    <row r="21081">
      <c r="A21081" s="4" t="str">
        <f>IFERROR(__xludf.DUMMYFUNCTION("""COMPUTED_VALUE"""),"cas_hmw")</f>
        <v>cas_hmw</v>
      </c>
      <c r="B21081" s="5">
        <f>IFERROR(__xludf.DUMMYFUNCTION("""COMPUTED_VALUE"""),44784.0)</f>
        <v>44784</v>
      </c>
      <c r="C21081" s="6">
        <f>IFERROR(__xludf.DUMMYFUNCTION("""COMPUTED_VALUE"""),0.3479976851849642)</f>
        <v>0.3479976852</v>
      </c>
      <c r="D21081" s="4">
        <f>IFERROR(__xludf.DUMMYFUNCTION("""COMPUTED_VALUE"""),12.883521)</f>
        <v>12.883521</v>
      </c>
      <c r="E21081" s="4">
        <f>IFERROR(__xludf.DUMMYFUNCTION("""COMPUTED_VALUE"""),80.082106)</f>
        <v>80.082106</v>
      </c>
      <c r="F21081" s="4">
        <f>IFERROR(__xludf.DUMMYFUNCTION("""COMPUTED_VALUE"""),5339.0)</f>
        <v>5339</v>
      </c>
      <c r="G21081" s="4">
        <f>IFERROR(__xludf.DUMMYFUNCTION("""COMPUTED_VALUE"""),44.0)</f>
        <v>44</v>
      </c>
      <c r="H21081" s="4"/>
      <c r="I21081" s="4"/>
    </row>
    <row r="21082">
      <c r="A21082" s="4" t="str">
        <f>IFERROR(__xludf.DUMMYFUNCTION("""COMPUTED_VALUE"""),"cas_hmw")</f>
        <v>cas_hmw</v>
      </c>
      <c r="B21082" s="5">
        <f>IFERROR(__xludf.DUMMYFUNCTION("""COMPUTED_VALUE"""),44784.0)</f>
        <v>44784</v>
      </c>
      <c r="C21082" s="6">
        <f>IFERROR(__xludf.DUMMYFUNCTION("""COMPUTED_VALUE"""),0.3482175925928459)</f>
        <v>0.3482175926</v>
      </c>
      <c r="D21082" s="4">
        <f>IFERROR(__xludf.DUMMYFUNCTION("""COMPUTED_VALUE"""),12.88171)</f>
        <v>12.88171</v>
      </c>
      <c r="E21082" s="4">
        <f>IFERROR(__xludf.DUMMYFUNCTION("""COMPUTED_VALUE"""),80.081356)</f>
        <v>80.081356</v>
      </c>
      <c r="F21082" s="4">
        <f>IFERROR(__xludf.DUMMYFUNCTION("""COMPUTED_VALUE"""),5339.0)</f>
        <v>5339</v>
      </c>
      <c r="G21082" s="4">
        <f>IFERROR(__xludf.DUMMYFUNCTION("""COMPUTED_VALUE"""),33.0)</f>
        <v>33</v>
      </c>
      <c r="H21082" s="4"/>
      <c r="I21082" s="4"/>
    </row>
    <row r="21083">
      <c r="A21083" s="4" t="str">
        <f>IFERROR(__xludf.DUMMYFUNCTION("""COMPUTED_VALUE"""),"cas_hmw")</f>
        <v>cas_hmw</v>
      </c>
      <c r="B21083" s="5">
        <f>IFERROR(__xludf.DUMMYFUNCTION("""COMPUTED_VALUE"""),44784.0)</f>
        <v>44784</v>
      </c>
      <c r="C21083" s="6">
        <f>IFERROR(__xludf.DUMMYFUNCTION("""COMPUTED_VALUE"""),0.34856481481619994)</f>
        <v>0.3485648148</v>
      </c>
      <c r="D21083" s="4">
        <f>IFERROR(__xludf.DUMMYFUNCTION("""COMPUTED_VALUE"""),12.922892)</f>
        <v>12.922892</v>
      </c>
      <c r="E21083" s="4">
        <f>IFERROR(__xludf.DUMMYFUNCTION("""COMPUTED_VALUE"""),80.128331)</f>
        <v>80.128331</v>
      </c>
      <c r="F21083" s="4">
        <f>IFERROR(__xludf.DUMMYFUNCTION("""COMPUTED_VALUE"""),3143.0)</f>
        <v>3143</v>
      </c>
      <c r="G21083" s="4">
        <f>IFERROR(__xludf.DUMMYFUNCTION("""COMPUTED_VALUE"""),32.0)</f>
        <v>32</v>
      </c>
      <c r="H21083" s="4"/>
      <c r="I21083" s="4"/>
    </row>
    <row r="21084">
      <c r="A21084" s="4" t="str">
        <f>IFERROR(__xludf.DUMMYFUNCTION("""COMPUTED_VALUE"""),"cas_hmw")</f>
        <v>cas_hmw</v>
      </c>
      <c r="B21084" s="5">
        <f>IFERROR(__xludf.DUMMYFUNCTION("""COMPUTED_VALUE"""),44784.0)</f>
        <v>44784</v>
      </c>
      <c r="C21084" s="6">
        <f>IFERROR(__xludf.DUMMYFUNCTION("""COMPUTED_VALUE"""),0.3486921296280343)</f>
        <v>0.3486921296</v>
      </c>
      <c r="D21084" s="4">
        <f>IFERROR(__xludf.DUMMYFUNCTION("""COMPUTED_VALUE"""),12.916962)</f>
        <v>12.916962</v>
      </c>
      <c r="E21084" s="4">
        <f>IFERROR(__xludf.DUMMYFUNCTION("""COMPUTED_VALUE"""),80.107132)</f>
        <v>80.107132</v>
      </c>
      <c r="F21084" s="4">
        <f>IFERROR(__xludf.DUMMYFUNCTION("""COMPUTED_VALUE"""),805.0)</f>
        <v>805</v>
      </c>
      <c r="G21084" s="4">
        <f>IFERROR(__xludf.DUMMYFUNCTION("""COMPUTED_VALUE"""),27.0)</f>
        <v>27</v>
      </c>
      <c r="H21084" s="4"/>
      <c r="I21084" s="4"/>
    </row>
    <row r="21085">
      <c r="A21085" s="4" t="str">
        <f>IFERROR(__xludf.DUMMYFUNCTION("""COMPUTED_VALUE"""),"cas_hmw")</f>
        <v>cas_hmw</v>
      </c>
      <c r="B21085" s="5">
        <f>IFERROR(__xludf.DUMMYFUNCTION("""COMPUTED_VALUE"""),44784.0)</f>
        <v>44784</v>
      </c>
      <c r="C21085" s="6">
        <f>IFERROR(__xludf.DUMMYFUNCTION("""COMPUTED_VALUE"""),0.34947916666715173)</f>
        <v>0.3494791667</v>
      </c>
      <c r="D21085" s="4">
        <f>IFERROR(__xludf.DUMMYFUNCTION("""COMPUTED_VALUE"""),12.922934)</f>
        <v>12.922934</v>
      </c>
      <c r="E21085" s="4">
        <f>IFERROR(__xludf.DUMMYFUNCTION("""COMPUTED_VALUE"""),80.125751)</f>
        <v>80.125751</v>
      </c>
      <c r="F21085" s="4">
        <f>IFERROR(__xludf.DUMMYFUNCTION("""COMPUTED_VALUE"""),3143.0)</f>
        <v>3143</v>
      </c>
      <c r="G21085" s="4">
        <f>IFERROR(__xludf.DUMMYFUNCTION("""COMPUTED_VALUE"""),13.0)</f>
        <v>13</v>
      </c>
      <c r="H21085" s="4"/>
      <c r="I21085" s="4"/>
    </row>
    <row r="21086">
      <c r="A21086" s="4" t="str">
        <f>IFERROR(__xludf.DUMMYFUNCTION("""COMPUTED_VALUE"""),"cas_hmw")</f>
        <v>cas_hmw</v>
      </c>
      <c r="B21086" s="5">
        <f>IFERROR(__xludf.DUMMYFUNCTION("""COMPUTED_VALUE"""),44784.0)</f>
        <v>44784</v>
      </c>
      <c r="C21086" s="6">
        <f>IFERROR(__xludf.DUMMYFUNCTION("""COMPUTED_VALUE"""),0.35150462963065365)</f>
        <v>0.3515046296</v>
      </c>
      <c r="D21086" s="4">
        <f>IFERROR(__xludf.DUMMYFUNCTION("""COMPUTED_VALUE"""),12.921635)</f>
        <v>12.921635</v>
      </c>
      <c r="E21086" s="4">
        <f>IFERROR(__xludf.DUMMYFUNCTION("""COMPUTED_VALUE"""),80.113006)</f>
        <v>80.113006</v>
      </c>
      <c r="F21086" s="4">
        <f>IFERROR(__xludf.DUMMYFUNCTION("""COMPUTED_VALUE"""),3143.0)</f>
        <v>3143</v>
      </c>
      <c r="G21086" s="4">
        <f>IFERROR(__xludf.DUMMYFUNCTION("""COMPUTED_VALUE"""),44.0)</f>
        <v>44</v>
      </c>
      <c r="H21086" s="4"/>
      <c r="I21086" s="4"/>
    </row>
    <row r="21087">
      <c r="A21087" s="4" t="str">
        <f>IFERROR(__xludf.DUMMYFUNCTION("""COMPUTED_VALUE"""),"cas_hmw")</f>
        <v>cas_hmw</v>
      </c>
      <c r="B21087" s="5">
        <f>IFERROR(__xludf.DUMMYFUNCTION("""COMPUTED_VALUE"""),44784.0)</f>
        <v>44784</v>
      </c>
      <c r="C21087" s="6">
        <f>IFERROR(__xludf.DUMMYFUNCTION("""COMPUTED_VALUE"""),0.3518865740734327)</f>
        <v>0.3518865741</v>
      </c>
      <c r="D21087" s="4">
        <f>IFERROR(__xludf.DUMMYFUNCTION("""COMPUTED_VALUE"""),12.897234)</f>
        <v>12.897234</v>
      </c>
      <c r="E21087" s="4">
        <f>IFERROR(__xludf.DUMMYFUNCTION("""COMPUTED_VALUE"""),80.089413)</f>
        <v>80.089413</v>
      </c>
      <c r="F21087" s="4">
        <f>IFERROR(__xludf.DUMMYFUNCTION("""COMPUTED_VALUE"""),805.0)</f>
        <v>805</v>
      </c>
      <c r="G21087" s="4">
        <f>IFERROR(__xludf.DUMMYFUNCTION("""COMPUTED_VALUE"""),40.0)</f>
        <v>40</v>
      </c>
      <c r="H21087" s="4"/>
      <c r="I21087" s="4"/>
    </row>
    <row r="21088">
      <c r="A21088" s="4" t="str">
        <f>IFERROR(__xludf.DUMMYFUNCTION("""COMPUTED_VALUE"""),"cas_hmw")</f>
        <v>cas_hmw</v>
      </c>
      <c r="B21088" s="5">
        <f>IFERROR(__xludf.DUMMYFUNCTION("""COMPUTED_VALUE"""),44784.0)</f>
        <v>44784</v>
      </c>
      <c r="C21088" s="6">
        <f>IFERROR(__xludf.DUMMYFUNCTION("""COMPUTED_VALUE"""),0.35201388888890506)</f>
        <v>0.3520138889</v>
      </c>
      <c r="D21088" s="4">
        <f>IFERROR(__xludf.DUMMYFUNCTION("""COMPUTED_VALUE"""),12.917872)</f>
        <v>12.917872</v>
      </c>
      <c r="E21088" s="4">
        <f>IFERROR(__xludf.DUMMYFUNCTION("""COMPUTED_VALUE"""),80.108433)</f>
        <v>80.108433</v>
      </c>
      <c r="F21088" s="4">
        <f>IFERROR(__xludf.DUMMYFUNCTION("""COMPUTED_VALUE"""),3143.0)</f>
        <v>3143</v>
      </c>
      <c r="G21088" s="4">
        <f>IFERROR(__xludf.DUMMYFUNCTION("""COMPUTED_VALUE"""),40.0)</f>
        <v>40</v>
      </c>
      <c r="H21088" s="4"/>
      <c r="I21088" s="4"/>
    </row>
    <row r="21089">
      <c r="A21089" s="4" t="str">
        <f>IFERROR(__xludf.DUMMYFUNCTION("""COMPUTED_VALUE"""),"cas_hmw")</f>
        <v>cas_hmw</v>
      </c>
      <c r="B21089" s="5">
        <f>IFERROR(__xludf.DUMMYFUNCTION("""COMPUTED_VALUE"""),44784.0)</f>
        <v>44784</v>
      </c>
      <c r="C21089" s="6">
        <f>IFERROR(__xludf.DUMMYFUNCTION("""COMPUTED_VALUE"""),0.3525347222239361)</f>
        <v>0.3525347222</v>
      </c>
      <c r="D21089" s="4">
        <f>IFERROR(__xludf.DUMMYFUNCTION("""COMPUTED_VALUE"""),12.892454)</f>
        <v>12.892454</v>
      </c>
      <c r="E21089" s="4">
        <f>IFERROR(__xludf.DUMMYFUNCTION("""COMPUTED_VALUE"""),80.085841)</f>
        <v>80.085841</v>
      </c>
      <c r="F21089" s="4">
        <f>IFERROR(__xludf.DUMMYFUNCTION("""COMPUTED_VALUE"""),805.0)</f>
        <v>805</v>
      </c>
      <c r="G21089" s="4">
        <f>IFERROR(__xludf.DUMMYFUNCTION("""COMPUTED_VALUE"""),51.0)</f>
        <v>51</v>
      </c>
      <c r="H21089" s="4"/>
      <c r="I21089" s="4"/>
    </row>
    <row r="21090">
      <c r="A21090" s="4" t="str">
        <f>IFERROR(__xludf.DUMMYFUNCTION("""COMPUTED_VALUE"""),"cas_hmw")</f>
        <v>cas_hmw</v>
      </c>
      <c r="B21090" s="5">
        <f>IFERROR(__xludf.DUMMYFUNCTION("""COMPUTED_VALUE"""),44784.0)</f>
        <v>44784</v>
      </c>
      <c r="C21090" s="6">
        <f>IFERROR(__xludf.DUMMYFUNCTION("""COMPUTED_VALUE"""),0.3525462962970778)</f>
        <v>0.3525462963</v>
      </c>
      <c r="D21090" s="4">
        <f>IFERROR(__xludf.DUMMYFUNCTION("""COMPUTED_VALUE"""),12.916177)</f>
        <v>12.916177</v>
      </c>
      <c r="E21090" s="4">
        <f>IFERROR(__xludf.DUMMYFUNCTION("""COMPUTED_VALUE"""),80.10567)</f>
        <v>80.10567</v>
      </c>
      <c r="F21090" s="4">
        <f>IFERROR(__xludf.DUMMYFUNCTION("""COMPUTED_VALUE"""),3143.0)</f>
        <v>3143</v>
      </c>
      <c r="G21090" s="4">
        <f>IFERROR(__xludf.DUMMYFUNCTION("""COMPUTED_VALUE"""),51.0)</f>
        <v>51</v>
      </c>
      <c r="H21090" s="4"/>
      <c r="I21090" s="4"/>
    </row>
    <row r="21091">
      <c r="A21091" s="4" t="str">
        <f>IFERROR(__xludf.DUMMYFUNCTION("""COMPUTED_VALUE"""),"cas_hmw")</f>
        <v>cas_hmw</v>
      </c>
      <c r="B21091" s="5">
        <f>IFERROR(__xludf.DUMMYFUNCTION("""COMPUTED_VALUE"""),44784.0)</f>
        <v>44784</v>
      </c>
      <c r="C21091" s="6">
        <f>IFERROR(__xludf.DUMMYFUNCTION("""COMPUTED_VALUE"""),0.3525810185201408)</f>
        <v>0.3525810185</v>
      </c>
      <c r="D21091" s="4">
        <f>IFERROR(__xludf.DUMMYFUNCTION("""COMPUTED_VALUE"""),12.891385)</f>
        <v>12.891385</v>
      </c>
      <c r="E21091" s="4">
        <f>IFERROR(__xludf.DUMMYFUNCTION("""COMPUTED_VALUE"""),80.085201)</f>
        <v>80.085201</v>
      </c>
      <c r="F21091" s="4">
        <f>IFERROR(__xludf.DUMMYFUNCTION("""COMPUTED_VALUE"""),805.0)</f>
        <v>805</v>
      </c>
      <c r="G21091" s="4">
        <f>IFERROR(__xludf.DUMMYFUNCTION("""COMPUTED_VALUE"""),44.0)</f>
        <v>44</v>
      </c>
      <c r="H21091" s="4"/>
      <c r="I21091" s="4"/>
    </row>
    <row r="21092">
      <c r="A21092" s="4" t="str">
        <f>IFERROR(__xludf.DUMMYFUNCTION("""COMPUTED_VALUE"""),"cas_hmw")</f>
        <v>cas_hmw</v>
      </c>
      <c r="B21092" s="5">
        <f>IFERROR(__xludf.DUMMYFUNCTION("""COMPUTED_VALUE"""),44784.0)</f>
        <v>44784</v>
      </c>
      <c r="C21092" s="6">
        <f>IFERROR(__xludf.DUMMYFUNCTION("""COMPUTED_VALUE"""),0.3527314814818965)</f>
        <v>0.3527314815</v>
      </c>
      <c r="D21092" s="4">
        <f>IFERROR(__xludf.DUMMYFUNCTION("""COMPUTED_VALUE"""),12.915165)</f>
        <v>12.915165</v>
      </c>
      <c r="E21092" s="4">
        <f>IFERROR(__xludf.DUMMYFUNCTION("""COMPUTED_VALUE"""),80.103794)</f>
        <v>80.103794</v>
      </c>
      <c r="F21092" s="4">
        <f>IFERROR(__xludf.DUMMYFUNCTION("""COMPUTED_VALUE"""),3143.0)</f>
        <v>3143</v>
      </c>
      <c r="G21092" s="4">
        <f>IFERROR(__xludf.DUMMYFUNCTION("""COMPUTED_VALUE"""),45.0)</f>
        <v>45</v>
      </c>
      <c r="H21092" s="4"/>
      <c r="I21092" s="4"/>
    </row>
    <row r="21093">
      <c r="A21093" s="4" t="str">
        <f>IFERROR(__xludf.DUMMYFUNCTION("""COMPUTED_VALUE"""),"cas_hmw")</f>
        <v>cas_hmw</v>
      </c>
      <c r="B21093" s="5">
        <f>IFERROR(__xludf.DUMMYFUNCTION("""COMPUTED_VALUE"""),44784.0)</f>
        <v>44784</v>
      </c>
      <c r="C21093" s="6">
        <f>IFERROR(__xludf.DUMMYFUNCTION("""COMPUTED_VALUE"""),0.3527314814818965)</f>
        <v>0.3527314815</v>
      </c>
      <c r="D21093" s="4">
        <f>IFERROR(__xludf.DUMMYFUNCTION("""COMPUTED_VALUE"""),12.915165)</f>
        <v>12.915165</v>
      </c>
      <c r="E21093" s="4">
        <f>IFERROR(__xludf.DUMMYFUNCTION("""COMPUTED_VALUE"""),80.103794)</f>
        <v>80.103794</v>
      </c>
      <c r="F21093" s="4">
        <f>IFERROR(__xludf.DUMMYFUNCTION("""COMPUTED_VALUE"""),3143.0)</f>
        <v>3143</v>
      </c>
      <c r="G21093" s="4">
        <f>IFERROR(__xludf.DUMMYFUNCTION("""COMPUTED_VALUE"""),45.0)</f>
        <v>45</v>
      </c>
      <c r="H21093" s="4"/>
      <c r="I21093" s="4"/>
    </row>
    <row r="21094">
      <c r="A21094" s="4" t="str">
        <f>IFERROR(__xludf.DUMMYFUNCTION("""COMPUTED_VALUE"""),"cas_hmw")</f>
        <v>cas_hmw</v>
      </c>
      <c r="B21094" s="5">
        <f>IFERROR(__xludf.DUMMYFUNCTION("""COMPUTED_VALUE"""),44784.0)</f>
        <v>44784</v>
      </c>
      <c r="C21094" s="6">
        <f>IFERROR(__xludf.DUMMYFUNCTION("""COMPUTED_VALUE"""),0.3563194444432156)</f>
        <v>0.3563194444</v>
      </c>
      <c r="D21094" s="4">
        <f>IFERROR(__xludf.DUMMYFUNCTION("""COMPUTED_VALUE"""),12.896706)</f>
        <v>12.896706</v>
      </c>
      <c r="E21094" s="4">
        <f>IFERROR(__xludf.DUMMYFUNCTION("""COMPUTED_VALUE"""),80.089027)</f>
        <v>80.089027</v>
      </c>
      <c r="F21094" s="4">
        <f>IFERROR(__xludf.DUMMYFUNCTION("""COMPUTED_VALUE"""),3143.0)</f>
        <v>3143</v>
      </c>
      <c r="G21094" s="4">
        <f>IFERROR(__xludf.DUMMYFUNCTION("""COMPUTED_VALUE"""),42.0)</f>
        <v>42</v>
      </c>
      <c r="H21094" s="4"/>
      <c r="I21094" s="4"/>
    </row>
    <row r="21095">
      <c r="A21095" s="4" t="str">
        <f>IFERROR(__xludf.DUMMYFUNCTION("""COMPUTED_VALUE"""),"cas_hmw")</f>
        <v>cas_hmw</v>
      </c>
      <c r="B21095" s="5">
        <f>IFERROR(__xludf.DUMMYFUNCTION("""COMPUTED_VALUE"""),44784.0)</f>
        <v>44784</v>
      </c>
      <c r="C21095" s="6">
        <f>IFERROR(__xludf.DUMMYFUNCTION("""COMPUTED_VALUE"""),0.356898148147593)</f>
        <v>0.3568981481</v>
      </c>
      <c r="D21095" s="4">
        <f>IFERROR(__xludf.DUMMYFUNCTION("""COMPUTED_VALUE"""),12.891931)</f>
        <v>12.891931</v>
      </c>
      <c r="E21095" s="4">
        <f>IFERROR(__xludf.DUMMYFUNCTION("""COMPUTED_VALUE"""),80.085499)</f>
        <v>80.085499</v>
      </c>
      <c r="F21095" s="4">
        <f>IFERROR(__xludf.DUMMYFUNCTION("""COMPUTED_VALUE"""),3143.0)</f>
        <v>3143</v>
      </c>
      <c r="G21095" s="4">
        <f>IFERROR(__xludf.DUMMYFUNCTION("""COMPUTED_VALUE"""),46.0)</f>
        <v>46</v>
      </c>
      <c r="H21095" s="4"/>
      <c r="I21095" s="4"/>
    </row>
    <row r="21096">
      <c r="A21096" s="4" t="str">
        <f>IFERROR(__xludf.DUMMYFUNCTION("""COMPUTED_VALUE"""),"cas_hmw")</f>
        <v>cas_hmw</v>
      </c>
      <c r="B21096" s="5">
        <f>IFERROR(__xludf.DUMMYFUNCTION("""COMPUTED_VALUE"""),44784.0)</f>
        <v>44784</v>
      </c>
      <c r="C21096" s="6">
        <f>IFERROR(__xludf.DUMMYFUNCTION("""COMPUTED_VALUE"""),0.3575115740750334)</f>
        <v>0.3575115741</v>
      </c>
      <c r="D21096" s="4">
        <f>IFERROR(__xludf.DUMMYFUNCTION("""COMPUTED_VALUE"""),12.886238)</f>
        <v>12.886238</v>
      </c>
      <c r="E21096" s="4">
        <f>IFERROR(__xludf.DUMMYFUNCTION("""COMPUTED_VALUE"""),80.083107)</f>
        <v>80.083107</v>
      </c>
      <c r="F21096" s="4">
        <f>IFERROR(__xludf.DUMMYFUNCTION("""COMPUTED_VALUE"""),3143.0)</f>
        <v>3143</v>
      </c>
      <c r="G21096" s="4">
        <f>IFERROR(__xludf.DUMMYFUNCTION("""COMPUTED_VALUE"""),52.0)</f>
        <v>52</v>
      </c>
      <c r="H21096" s="4"/>
      <c r="I21096" s="4"/>
    </row>
    <row r="21097">
      <c r="A21097" s="4" t="str">
        <f>IFERROR(__xludf.DUMMYFUNCTION("""COMPUTED_VALUE"""),"cas_hmw")</f>
        <v>cas_hmw</v>
      </c>
      <c r="B21097" s="5">
        <f>IFERROR(__xludf.DUMMYFUNCTION("""COMPUTED_VALUE"""),44784.0)</f>
        <v>44784</v>
      </c>
      <c r="C21097" s="6">
        <f>IFERROR(__xludf.DUMMYFUNCTION("""COMPUTED_VALUE"""),0.3586574074070086)</f>
        <v>0.3586574074</v>
      </c>
      <c r="D21097" s="4">
        <f>IFERROR(__xludf.DUMMYFUNCTION("""COMPUTED_VALUE"""),12.879269)</f>
        <v>12.879269</v>
      </c>
      <c r="E21097" s="4">
        <f>IFERROR(__xludf.DUMMYFUNCTION("""COMPUTED_VALUE"""),80.080382)</f>
        <v>80.080382</v>
      </c>
      <c r="F21097" s="4">
        <f>IFERROR(__xludf.DUMMYFUNCTION("""COMPUTED_VALUE"""),3143.0)</f>
        <v>3143</v>
      </c>
      <c r="G21097" s="4">
        <f>IFERROR(__xludf.DUMMYFUNCTION("""COMPUTED_VALUE"""),5.0)</f>
        <v>5</v>
      </c>
      <c r="H21097" s="4"/>
      <c r="I21097" s="4"/>
    </row>
    <row r="21098">
      <c r="A21098" s="4" t="str">
        <f>IFERROR(__xludf.DUMMYFUNCTION("""COMPUTED_VALUE"""),"cas_hmw")</f>
        <v>cas_hmw</v>
      </c>
      <c r="B21098" s="5">
        <f>IFERROR(__xludf.DUMMYFUNCTION("""COMPUTED_VALUE"""),44784.0)</f>
        <v>44784</v>
      </c>
      <c r="C21098" s="6">
        <f>IFERROR(__xludf.DUMMYFUNCTION("""COMPUTED_VALUE"""),0.6960879629623378)</f>
        <v>0.696087963</v>
      </c>
      <c r="D21098" s="4">
        <f>IFERROR(__xludf.DUMMYFUNCTION("""COMPUTED_VALUE"""),12.881985)</f>
        <v>12.881985</v>
      </c>
      <c r="E21098" s="4">
        <f>IFERROR(__xludf.DUMMYFUNCTION("""COMPUTED_VALUE"""),80.080907)</f>
        <v>80.080907</v>
      </c>
      <c r="F21098" s="4">
        <f>IFERROR(__xludf.DUMMYFUNCTION("""COMPUTED_VALUE"""),805.0)</f>
        <v>805</v>
      </c>
      <c r="G21098" s="4">
        <f>IFERROR(__xludf.DUMMYFUNCTION("""COMPUTED_VALUE"""),31.0)</f>
        <v>31</v>
      </c>
      <c r="H21098" s="4"/>
      <c r="I21098" s="4"/>
    </row>
    <row r="21099">
      <c r="A21099" s="4" t="str">
        <f>IFERROR(__xludf.DUMMYFUNCTION("""COMPUTED_VALUE"""),"cas_hmw")</f>
        <v>cas_hmw</v>
      </c>
      <c r="B21099" s="5">
        <f>IFERROR(__xludf.DUMMYFUNCTION("""COMPUTED_VALUE"""),44784.0)</f>
        <v>44784</v>
      </c>
      <c r="C21099" s="6">
        <f>IFERROR(__xludf.DUMMYFUNCTION("""COMPUTED_VALUE"""),0.6964467592588335)</f>
        <v>0.6964467593</v>
      </c>
      <c r="D21099" s="4">
        <f>IFERROR(__xludf.DUMMYFUNCTION("""COMPUTED_VALUE"""),12.88498)</f>
        <v>12.88498</v>
      </c>
      <c r="E21099" s="4">
        <f>IFERROR(__xludf.DUMMYFUNCTION("""COMPUTED_VALUE"""),80.082136)</f>
        <v>80.082136</v>
      </c>
      <c r="F21099" s="4">
        <f>IFERROR(__xludf.DUMMYFUNCTION("""COMPUTED_VALUE"""),805.0)</f>
        <v>805</v>
      </c>
      <c r="G21099" s="4">
        <f>IFERROR(__xludf.DUMMYFUNCTION("""COMPUTED_VALUE"""),46.0)</f>
        <v>46</v>
      </c>
      <c r="H21099" s="4"/>
      <c r="I21099" s="4"/>
    </row>
    <row r="21100">
      <c r="A21100" s="4" t="str">
        <f>IFERROR(__xludf.DUMMYFUNCTION("""COMPUTED_VALUE"""),"cas_hmw")</f>
        <v>cas_hmw</v>
      </c>
      <c r="B21100" s="5">
        <f>IFERROR(__xludf.DUMMYFUNCTION("""COMPUTED_VALUE"""),44784.0)</f>
        <v>44784</v>
      </c>
      <c r="C21100" s="6">
        <f>IFERROR(__xludf.DUMMYFUNCTION("""COMPUTED_VALUE"""),0.6964930555550382)</f>
        <v>0.6964930556</v>
      </c>
      <c r="D21100" s="4">
        <f>IFERROR(__xludf.DUMMYFUNCTION("""COMPUTED_VALUE"""),12.881967)</f>
        <v>12.881967</v>
      </c>
      <c r="E21100" s="4">
        <f>IFERROR(__xludf.DUMMYFUNCTION("""COMPUTED_VALUE"""),80.080887)</f>
        <v>80.080887</v>
      </c>
      <c r="F21100" s="4">
        <f>IFERROR(__xludf.DUMMYFUNCTION("""COMPUTED_VALUE"""),3143.0)</f>
        <v>3143</v>
      </c>
      <c r="G21100" s="4">
        <f>IFERROR(__xludf.DUMMYFUNCTION("""COMPUTED_VALUE"""),34.0)</f>
        <v>34</v>
      </c>
      <c r="H21100" s="4"/>
      <c r="I21100" s="4"/>
    </row>
    <row r="21101">
      <c r="A21101" s="4" t="str">
        <f>IFERROR(__xludf.DUMMYFUNCTION("""COMPUTED_VALUE"""),"cas_hmw")</f>
        <v>cas_hmw</v>
      </c>
      <c r="B21101" s="5">
        <f>IFERROR(__xludf.DUMMYFUNCTION("""COMPUTED_VALUE"""),44784.0)</f>
        <v>44784</v>
      </c>
      <c r="C21101" s="6">
        <f>IFERROR(__xludf.DUMMYFUNCTION("""COMPUTED_VALUE"""),0.6966319444436522)</f>
        <v>0.6966319444</v>
      </c>
      <c r="D21101" s="4">
        <f>IFERROR(__xludf.DUMMYFUNCTION("""COMPUTED_VALUE"""),12.886751)</f>
        <v>12.886751</v>
      </c>
      <c r="E21101" s="4">
        <f>IFERROR(__xludf.DUMMYFUNCTION("""COMPUTED_VALUE"""),80.083161)</f>
        <v>80.083161</v>
      </c>
      <c r="F21101" s="4">
        <f>IFERROR(__xludf.DUMMYFUNCTION("""COMPUTED_VALUE"""),5339.0)</f>
        <v>5339</v>
      </c>
      <c r="G21101" s="4">
        <f>IFERROR(__xludf.DUMMYFUNCTION("""COMPUTED_VALUE"""),47.0)</f>
        <v>47</v>
      </c>
      <c r="H21101" s="4"/>
      <c r="I21101" s="4"/>
    </row>
    <row r="21102">
      <c r="A21102" s="4" t="str">
        <f>IFERROR(__xludf.DUMMYFUNCTION("""COMPUTED_VALUE"""),"cas_hmw")</f>
        <v>cas_hmw</v>
      </c>
      <c r="B21102" s="5">
        <f>IFERROR(__xludf.DUMMYFUNCTION("""COMPUTED_VALUE"""),44784.0)</f>
        <v>44784</v>
      </c>
      <c r="C21102" s="6">
        <f>IFERROR(__xludf.DUMMYFUNCTION("""COMPUTED_VALUE"""),0.6966666666667152)</f>
        <v>0.6966666667</v>
      </c>
      <c r="D21102" s="4">
        <f>IFERROR(__xludf.DUMMYFUNCTION("""COMPUTED_VALUE"""),12.886805)</f>
        <v>12.886805</v>
      </c>
      <c r="E21102" s="4">
        <f>IFERROR(__xludf.DUMMYFUNCTION("""COMPUTED_VALUE"""),80.083137)</f>
        <v>80.083137</v>
      </c>
      <c r="F21102" s="4">
        <f>IFERROR(__xludf.DUMMYFUNCTION("""COMPUTED_VALUE"""),805.0)</f>
        <v>805</v>
      </c>
      <c r="G21102" s="4">
        <f>IFERROR(__xludf.DUMMYFUNCTION("""COMPUTED_VALUE"""),52.0)</f>
        <v>52</v>
      </c>
      <c r="H21102" s="4"/>
      <c r="I21102" s="4"/>
    </row>
    <row r="21103">
      <c r="A21103" s="4" t="str">
        <f>IFERROR(__xludf.DUMMYFUNCTION("""COMPUTED_VALUE"""),"cas_hmw")</f>
        <v>cas_hmw</v>
      </c>
      <c r="B21103" s="5">
        <f>IFERROR(__xludf.DUMMYFUNCTION("""COMPUTED_VALUE"""),44784.0)</f>
        <v>44784</v>
      </c>
      <c r="C21103" s="6">
        <f>IFERROR(__xludf.DUMMYFUNCTION("""COMPUTED_VALUE"""),0.6967708333322662)</f>
        <v>0.6967708333</v>
      </c>
      <c r="D21103" s="4">
        <f>IFERROR(__xludf.DUMMYFUNCTION("""COMPUTED_VALUE"""),12.888047)</f>
        <v>12.888047</v>
      </c>
      <c r="E21103" s="4">
        <f>IFERROR(__xludf.DUMMYFUNCTION("""COMPUTED_VALUE"""),80.083654)</f>
        <v>80.083654</v>
      </c>
      <c r="F21103" s="4">
        <f>IFERROR(__xludf.DUMMYFUNCTION("""COMPUTED_VALUE"""),805.0)</f>
        <v>805</v>
      </c>
      <c r="G21103" s="4">
        <f>IFERROR(__xludf.DUMMYFUNCTION("""COMPUTED_VALUE"""),46.0)</f>
        <v>46</v>
      </c>
      <c r="H21103" s="4"/>
      <c r="I21103" s="4"/>
    </row>
    <row r="21104">
      <c r="A21104" s="4" t="str">
        <f>IFERROR(__xludf.DUMMYFUNCTION("""COMPUTED_VALUE"""),"cas_hmw")</f>
        <v>cas_hmw</v>
      </c>
      <c r="B21104" s="5">
        <f>IFERROR(__xludf.DUMMYFUNCTION("""COMPUTED_VALUE"""),44784.0)</f>
        <v>44784</v>
      </c>
      <c r="C21104" s="6">
        <f>IFERROR(__xludf.DUMMYFUNCTION("""COMPUTED_VALUE"""),0.6968518518515339)</f>
        <v>0.6968518519</v>
      </c>
      <c r="D21104" s="4">
        <f>IFERROR(__xludf.DUMMYFUNCTION("""COMPUTED_VALUE"""),12.884567)</f>
        <v>12.884567</v>
      </c>
      <c r="E21104" s="4">
        <f>IFERROR(__xludf.DUMMYFUNCTION("""COMPUTED_VALUE"""),80.081936)</f>
        <v>80.081936</v>
      </c>
      <c r="F21104" s="4">
        <f>IFERROR(__xludf.DUMMYFUNCTION("""COMPUTED_VALUE"""),3143.0)</f>
        <v>3143</v>
      </c>
      <c r="G21104" s="4">
        <f>IFERROR(__xludf.DUMMYFUNCTION("""COMPUTED_VALUE"""),38.0)</f>
        <v>38</v>
      </c>
      <c r="H21104" s="4"/>
      <c r="I21104" s="4"/>
    </row>
    <row r="21105">
      <c r="A21105" s="4" t="str">
        <f>IFERROR(__xludf.DUMMYFUNCTION("""COMPUTED_VALUE"""),"cas_hmw")</f>
        <v>cas_hmw</v>
      </c>
      <c r="B21105" s="5">
        <f>IFERROR(__xludf.DUMMYFUNCTION("""COMPUTED_VALUE"""),44784.0)</f>
        <v>44784</v>
      </c>
      <c r="C21105" s="6">
        <f>IFERROR(__xludf.DUMMYFUNCTION("""COMPUTED_VALUE"""),0.6969560185170849)</f>
        <v>0.6969560185</v>
      </c>
      <c r="D21105" s="4">
        <f>IFERROR(__xludf.DUMMYFUNCTION("""COMPUTED_VALUE"""),12.871665)</f>
        <v>12.871665</v>
      </c>
      <c r="E21105" s="4">
        <f>IFERROR(__xludf.DUMMYFUNCTION("""COMPUTED_VALUE"""),80.077304)</f>
        <v>80.077304</v>
      </c>
      <c r="F21105" s="4">
        <f>IFERROR(__xludf.DUMMYFUNCTION("""COMPUTED_VALUE"""),2846.0)</f>
        <v>2846</v>
      </c>
      <c r="G21105" s="4">
        <f>IFERROR(__xludf.DUMMYFUNCTION("""COMPUTED_VALUE"""),57.0)</f>
        <v>57</v>
      </c>
      <c r="H21105" s="4"/>
      <c r="I21105" s="4"/>
    </row>
    <row r="21106">
      <c r="A21106" s="4" t="str">
        <f>IFERROR(__xludf.DUMMYFUNCTION("""COMPUTED_VALUE"""),"cas_hmw")</f>
        <v>cas_hmw</v>
      </c>
      <c r="B21106" s="5">
        <f>IFERROR(__xludf.DUMMYFUNCTION("""COMPUTED_VALUE"""),44784.0)</f>
        <v>44784</v>
      </c>
      <c r="C21106" s="6">
        <f>IFERROR(__xludf.DUMMYFUNCTION("""COMPUTED_VALUE"""),0.6971180555556202)</f>
        <v>0.6971180556</v>
      </c>
      <c r="D21106" s="4">
        <f>IFERROR(__xludf.DUMMYFUNCTION("""COMPUTED_VALUE"""),12.886187)</f>
        <v>12.886187</v>
      </c>
      <c r="E21106" s="4">
        <f>IFERROR(__xludf.DUMMYFUNCTION("""COMPUTED_VALUE"""),80.082914)</f>
        <v>80.082914</v>
      </c>
      <c r="F21106" s="4">
        <f>IFERROR(__xludf.DUMMYFUNCTION("""COMPUTED_VALUE"""),3143.0)</f>
        <v>3143</v>
      </c>
      <c r="G21106" s="4">
        <f>IFERROR(__xludf.DUMMYFUNCTION("""COMPUTED_VALUE"""),42.0)</f>
        <v>42</v>
      </c>
      <c r="H21106" s="4"/>
      <c r="I21106" s="4"/>
    </row>
    <row r="21107">
      <c r="A21107" s="4" t="str">
        <f>IFERROR(__xludf.DUMMYFUNCTION("""COMPUTED_VALUE"""),"cas_hmw")</f>
        <v>cas_hmw</v>
      </c>
      <c r="B21107" s="5">
        <f>IFERROR(__xludf.DUMMYFUNCTION("""COMPUTED_VALUE"""),44784.0)</f>
        <v>44784</v>
      </c>
      <c r="C21107" s="6">
        <f>IFERROR(__xludf.DUMMYFUNCTION("""COMPUTED_VALUE"""),0.6974074074059899)</f>
        <v>0.6974074074</v>
      </c>
      <c r="D21107" s="4">
        <f>IFERROR(__xludf.DUMMYFUNCTION("""COMPUTED_VALUE"""),12.894607)</f>
        <v>12.894607</v>
      </c>
      <c r="E21107" s="4">
        <f>IFERROR(__xludf.DUMMYFUNCTION("""COMPUTED_VALUE"""),80.087282)</f>
        <v>80.087282</v>
      </c>
      <c r="F21107" s="4">
        <f>IFERROR(__xludf.DUMMYFUNCTION("""COMPUTED_VALUE"""),5339.0)</f>
        <v>5339</v>
      </c>
      <c r="G21107" s="4">
        <f>IFERROR(__xludf.DUMMYFUNCTION("""COMPUTED_VALUE"""),49.0)</f>
        <v>49</v>
      </c>
      <c r="H21107" s="4"/>
      <c r="I21107" s="4"/>
    </row>
    <row r="21108">
      <c r="A21108" s="4" t="str">
        <f>IFERROR(__xludf.DUMMYFUNCTION("""COMPUTED_VALUE"""),"cas_hmw")</f>
        <v>cas_hmw</v>
      </c>
      <c r="B21108" s="5">
        <f>IFERROR(__xludf.DUMMYFUNCTION("""COMPUTED_VALUE"""),44784.0)</f>
        <v>44784</v>
      </c>
      <c r="C21108" s="6">
        <f>IFERROR(__xludf.DUMMYFUNCTION("""COMPUTED_VALUE"""),0.6974305555559113)</f>
        <v>0.6974305556</v>
      </c>
      <c r="D21108" s="4">
        <f>IFERROR(__xludf.DUMMYFUNCTION("""COMPUTED_VALUE"""),12.865564)</f>
        <v>12.865564</v>
      </c>
      <c r="E21108" s="4">
        <f>IFERROR(__xludf.DUMMYFUNCTION("""COMPUTED_VALUE"""),80.074944)</f>
        <v>80.074944</v>
      </c>
      <c r="F21108" s="4">
        <f>IFERROR(__xludf.DUMMYFUNCTION("""COMPUTED_VALUE"""),2846.0)</f>
        <v>2846</v>
      </c>
      <c r="G21108" s="4">
        <f>IFERROR(__xludf.DUMMYFUNCTION("""COMPUTED_VALUE"""),40.0)</f>
        <v>40</v>
      </c>
      <c r="H21108" s="4"/>
      <c r="I21108" s="4"/>
    </row>
    <row r="21109">
      <c r="A21109" s="4" t="str">
        <f>IFERROR(__xludf.DUMMYFUNCTION("""COMPUTED_VALUE"""),"cas_hmw")</f>
        <v>cas_hmw</v>
      </c>
      <c r="B21109" s="5">
        <f>IFERROR(__xludf.DUMMYFUNCTION("""COMPUTED_VALUE"""),44784.0)</f>
        <v>44784</v>
      </c>
      <c r="C21109" s="6">
        <f>IFERROR(__xludf.DUMMYFUNCTION("""COMPUTED_VALUE"""),0.697546296294604)</f>
        <v>0.6975462963</v>
      </c>
      <c r="D21109" s="4">
        <f>IFERROR(__xludf.DUMMYFUNCTION("""COMPUTED_VALUE"""),12.895484)</f>
        <v>12.895484</v>
      </c>
      <c r="E21109" s="4">
        <f>IFERROR(__xludf.DUMMYFUNCTION("""COMPUTED_VALUE"""),80.087949)</f>
        <v>80.087949</v>
      </c>
      <c r="F21109" s="4">
        <f>IFERROR(__xludf.DUMMYFUNCTION("""COMPUTED_VALUE"""),5339.0)</f>
        <v>5339</v>
      </c>
      <c r="G21109" s="4">
        <f>IFERROR(__xludf.DUMMYFUNCTION("""COMPUTED_VALUE"""),42.0)</f>
        <v>42</v>
      </c>
      <c r="H21109" s="4"/>
      <c r="I21109" s="4"/>
    </row>
    <row r="21110">
      <c r="A21110" s="4" t="str">
        <f>IFERROR(__xludf.DUMMYFUNCTION("""COMPUTED_VALUE"""),"cas_hmw")</f>
        <v>cas_hmw</v>
      </c>
      <c r="B21110" s="5">
        <f>IFERROR(__xludf.DUMMYFUNCTION("""COMPUTED_VALUE"""),44784.0)</f>
        <v>44784</v>
      </c>
      <c r="C21110" s="6">
        <f>IFERROR(__xludf.DUMMYFUNCTION("""COMPUTED_VALUE"""),0.6977430555562023)</f>
        <v>0.6977430556</v>
      </c>
      <c r="D21110" s="4">
        <f>IFERROR(__xludf.DUMMYFUNCTION("""COMPUTED_VALUE"""),12.860529)</f>
        <v>12.860529</v>
      </c>
      <c r="E21110" s="4">
        <f>IFERROR(__xludf.DUMMYFUNCTION("""COMPUTED_VALUE"""),80.072694)</f>
        <v>80.072694</v>
      </c>
      <c r="F21110" s="4">
        <f>IFERROR(__xludf.DUMMYFUNCTION("""COMPUTED_VALUE"""),2846.0)</f>
        <v>2846</v>
      </c>
      <c r="G21110" s="4">
        <f>IFERROR(__xludf.DUMMYFUNCTION("""COMPUTED_VALUE"""),37.0)</f>
        <v>37</v>
      </c>
      <c r="H21110" s="4"/>
      <c r="I21110" s="4"/>
    </row>
    <row r="21111">
      <c r="A21111" s="4" t="str">
        <f>IFERROR(__xludf.DUMMYFUNCTION("""COMPUTED_VALUE"""),"cas_hmw")</f>
        <v>cas_hmw</v>
      </c>
      <c r="B21111" s="5">
        <f>IFERROR(__xludf.DUMMYFUNCTION("""COMPUTED_VALUE"""),44784.0)</f>
        <v>44784</v>
      </c>
      <c r="C21111" s="6">
        <f>IFERROR(__xludf.DUMMYFUNCTION("""COMPUTED_VALUE"""),0.6977777777792653)</f>
        <v>0.6977777778</v>
      </c>
      <c r="D21111" s="4">
        <f>IFERROR(__xludf.DUMMYFUNCTION("""COMPUTED_VALUE"""),12.896803)</f>
        <v>12.896803</v>
      </c>
      <c r="E21111" s="4">
        <f>IFERROR(__xludf.DUMMYFUNCTION("""COMPUTED_VALUE"""),80.088983)</f>
        <v>80.088983</v>
      </c>
      <c r="F21111" s="4">
        <f>IFERROR(__xludf.DUMMYFUNCTION("""COMPUTED_VALUE"""),805.0)</f>
        <v>805</v>
      </c>
      <c r="G21111" s="4">
        <f>IFERROR(__xludf.DUMMYFUNCTION("""COMPUTED_VALUE"""),38.0)</f>
        <v>38</v>
      </c>
      <c r="H21111" s="4"/>
      <c r="I21111" s="4"/>
    </row>
    <row r="21112">
      <c r="A21112" s="4" t="str">
        <f>IFERROR(__xludf.DUMMYFUNCTION("""COMPUTED_VALUE"""),"cas_hmw")</f>
        <v>cas_hmw</v>
      </c>
      <c r="B21112" s="5">
        <f>IFERROR(__xludf.DUMMYFUNCTION("""COMPUTED_VALUE"""),44784.0)</f>
        <v>44784</v>
      </c>
      <c r="C21112" s="6">
        <f>IFERROR(__xludf.DUMMYFUNCTION("""COMPUTED_VALUE"""),0.6978124999986903)</f>
        <v>0.6978125</v>
      </c>
      <c r="D21112" s="4">
        <f>IFERROR(__xludf.DUMMYFUNCTION("""COMPUTED_VALUE"""),12.893398)</f>
        <v>12.893398</v>
      </c>
      <c r="E21112" s="4">
        <f>IFERROR(__xludf.DUMMYFUNCTION("""COMPUTED_VALUE"""),80.086405)</f>
        <v>80.086405</v>
      </c>
      <c r="F21112" s="4">
        <f>IFERROR(__xludf.DUMMYFUNCTION("""COMPUTED_VALUE"""),3143.0)</f>
        <v>3143</v>
      </c>
      <c r="G21112" s="4">
        <f>IFERROR(__xludf.DUMMYFUNCTION("""COMPUTED_VALUE"""),55.0)</f>
        <v>55</v>
      </c>
      <c r="H21112" s="4"/>
      <c r="I21112" s="4"/>
    </row>
    <row r="21113">
      <c r="A21113" s="4" t="str">
        <f>IFERROR(__xludf.DUMMYFUNCTION("""COMPUTED_VALUE"""),"cas_hmw")</f>
        <v>cas_hmw</v>
      </c>
      <c r="B21113" s="5">
        <f>IFERROR(__xludf.DUMMYFUNCTION("""COMPUTED_VALUE"""),44784.0)</f>
        <v>44784</v>
      </c>
      <c r="C21113" s="6">
        <f>IFERROR(__xludf.DUMMYFUNCTION("""COMPUTED_VALUE"""),0.6979050925910997)</f>
        <v>0.6979050926</v>
      </c>
      <c r="D21113" s="4">
        <f>IFERROR(__xludf.DUMMYFUNCTION("""COMPUTED_VALUE"""),12.897535)</f>
        <v>12.897535</v>
      </c>
      <c r="E21113" s="4">
        <f>IFERROR(__xludf.DUMMYFUNCTION("""COMPUTED_VALUE"""),80.089512)</f>
        <v>80.089512</v>
      </c>
      <c r="F21113" s="4">
        <f>IFERROR(__xludf.DUMMYFUNCTION("""COMPUTED_VALUE"""),805.0)</f>
        <v>805</v>
      </c>
      <c r="G21113" s="4">
        <f>IFERROR(__xludf.DUMMYFUNCTION("""COMPUTED_VALUE"""),37.0)</f>
        <v>37</v>
      </c>
      <c r="H21113" s="4"/>
      <c r="I21113" s="4"/>
    </row>
    <row r="21114">
      <c r="A21114" s="4" t="str">
        <f>IFERROR(__xludf.DUMMYFUNCTION("""COMPUTED_VALUE"""),"cas_hmw")</f>
        <v>cas_hmw</v>
      </c>
      <c r="B21114" s="5">
        <f>IFERROR(__xludf.DUMMYFUNCTION("""COMPUTED_VALUE"""),44784.0)</f>
        <v>44784</v>
      </c>
      <c r="C21114" s="6">
        <f>IFERROR(__xludf.DUMMYFUNCTION("""COMPUTED_VALUE"""),0.6979398148141627)</f>
        <v>0.6979398148</v>
      </c>
      <c r="D21114" s="4">
        <f>IFERROR(__xludf.DUMMYFUNCTION("""COMPUTED_VALUE"""),12.860529)</f>
        <v>12.860529</v>
      </c>
      <c r="E21114" s="4">
        <f>IFERROR(__xludf.DUMMYFUNCTION("""COMPUTED_VALUE"""),80.072694)</f>
        <v>80.072694</v>
      </c>
      <c r="F21114" s="4">
        <f>IFERROR(__xludf.DUMMYFUNCTION("""COMPUTED_VALUE"""),2846.0)</f>
        <v>2846</v>
      </c>
      <c r="G21114" s="4">
        <f>IFERROR(__xludf.DUMMYFUNCTION("""COMPUTED_VALUE"""),37.0)</f>
        <v>37</v>
      </c>
      <c r="H21114" s="4"/>
      <c r="I21114" s="4"/>
    </row>
    <row r="21115">
      <c r="A21115" s="4" t="str">
        <f>IFERROR(__xludf.DUMMYFUNCTION("""COMPUTED_VALUE"""),"cas_hmw")</f>
        <v>cas_hmw</v>
      </c>
      <c r="B21115" s="5">
        <f>IFERROR(__xludf.DUMMYFUNCTION("""COMPUTED_VALUE"""),44784.0)</f>
        <v>44784</v>
      </c>
      <c r="C21115" s="6">
        <f>IFERROR(__xludf.DUMMYFUNCTION("""COMPUTED_VALUE"""),0.697997685183509)</f>
        <v>0.6979976852</v>
      </c>
      <c r="D21115" s="4">
        <f>IFERROR(__xludf.DUMMYFUNCTION("""COMPUTED_VALUE"""),12.898483)</f>
        <v>12.898483</v>
      </c>
      <c r="E21115" s="4">
        <f>IFERROR(__xludf.DUMMYFUNCTION("""COMPUTED_VALUE"""),80.090196)</f>
        <v>80.090196</v>
      </c>
      <c r="F21115" s="4">
        <f>IFERROR(__xludf.DUMMYFUNCTION("""COMPUTED_VALUE"""),805.0)</f>
        <v>805</v>
      </c>
      <c r="G21115" s="4">
        <f>IFERROR(__xludf.DUMMYFUNCTION("""COMPUTED_VALUE"""),51.0)</f>
        <v>51</v>
      </c>
      <c r="H21115" s="4"/>
      <c r="I21115" s="4"/>
    </row>
    <row r="21116">
      <c r="A21116" s="4" t="str">
        <f>IFERROR(__xludf.DUMMYFUNCTION("""COMPUTED_VALUE"""),"cas_hmw")</f>
        <v>cas_hmw</v>
      </c>
      <c r="B21116" s="5">
        <f>IFERROR(__xludf.DUMMYFUNCTION("""COMPUTED_VALUE"""),44784.0)</f>
        <v>44784</v>
      </c>
      <c r="C21116" s="6">
        <f>IFERROR(__xludf.DUMMYFUNCTION("""COMPUTED_VALUE"""),0.698067129629635)</f>
        <v>0.6980671296</v>
      </c>
      <c r="D21116" s="4">
        <f>IFERROR(__xludf.DUMMYFUNCTION("""COMPUTED_VALUE"""),12.899477)</f>
        <v>12.899477</v>
      </c>
      <c r="E21116" s="4">
        <f>IFERROR(__xludf.DUMMYFUNCTION("""COMPUTED_VALUE"""),80.09092)</f>
        <v>80.09092</v>
      </c>
      <c r="F21116" s="4">
        <f>IFERROR(__xludf.DUMMYFUNCTION("""COMPUTED_VALUE"""),805.0)</f>
        <v>805</v>
      </c>
      <c r="G21116" s="4">
        <f>IFERROR(__xludf.DUMMYFUNCTION("""COMPUTED_VALUE"""),51.0)</f>
        <v>51</v>
      </c>
      <c r="H21116" s="4"/>
      <c r="I21116" s="4"/>
    </row>
    <row r="21117">
      <c r="A21117" s="4" t="str">
        <f>IFERROR(__xludf.DUMMYFUNCTION("""COMPUTED_VALUE"""),"cas_hmw")</f>
        <v>cas_hmw</v>
      </c>
      <c r="B21117" s="5">
        <f>IFERROR(__xludf.DUMMYFUNCTION("""COMPUTED_VALUE"""),44784.0)</f>
        <v>44784</v>
      </c>
      <c r="C21117" s="6">
        <f>IFERROR(__xludf.DUMMYFUNCTION("""COMPUTED_VALUE"""),0.6981134259258397)</f>
        <v>0.6981134259</v>
      </c>
      <c r="D21117" s="4">
        <f>IFERROR(__xludf.DUMMYFUNCTION("""COMPUTED_VALUE"""),12.857832)</f>
        <v>12.857832</v>
      </c>
      <c r="E21117" s="4">
        <f>IFERROR(__xludf.DUMMYFUNCTION("""COMPUTED_VALUE"""),80.070751)</f>
        <v>80.070751</v>
      </c>
      <c r="F21117" s="4">
        <f>IFERROR(__xludf.DUMMYFUNCTION("""COMPUTED_VALUE"""),2846.0)</f>
        <v>2846</v>
      </c>
      <c r="G21117" s="4">
        <f>IFERROR(__xludf.DUMMYFUNCTION("""COMPUTED_VALUE"""),44.0)</f>
        <v>44</v>
      </c>
      <c r="H21117" s="4"/>
      <c r="I21117" s="4"/>
    </row>
    <row r="21118">
      <c r="A21118" s="4" t="str">
        <f>IFERROR(__xludf.DUMMYFUNCTION("""COMPUTED_VALUE"""),"cas_hmw")</f>
        <v>cas_hmw</v>
      </c>
      <c r="B21118" s="5">
        <f>IFERROR(__xludf.DUMMYFUNCTION("""COMPUTED_VALUE"""),44784.0)</f>
        <v>44784</v>
      </c>
      <c r="C21118" s="6">
        <f>IFERROR(__xludf.DUMMYFUNCTION("""COMPUTED_VALUE"""),0.6981828703719657)</f>
        <v>0.6981828704</v>
      </c>
      <c r="D21118" s="4">
        <f>IFERROR(__xludf.DUMMYFUNCTION("""COMPUTED_VALUE"""),12.900441)</f>
        <v>12.900441</v>
      </c>
      <c r="E21118" s="4">
        <f>IFERROR(__xludf.DUMMYFUNCTION("""COMPUTED_VALUE"""),80.091633)</f>
        <v>80.091633</v>
      </c>
      <c r="F21118" s="4">
        <f>IFERROR(__xludf.DUMMYFUNCTION("""COMPUTED_VALUE"""),805.0)</f>
        <v>805</v>
      </c>
      <c r="G21118" s="4">
        <f>IFERROR(__xludf.DUMMYFUNCTION("""COMPUTED_VALUE"""),48.0)</f>
        <v>48</v>
      </c>
      <c r="H21118" s="4"/>
      <c r="I21118" s="4"/>
    </row>
    <row r="21119">
      <c r="A21119" s="4" t="str">
        <f>IFERROR(__xludf.DUMMYFUNCTION("""COMPUTED_VALUE"""),"cas_hmw")</f>
        <v>cas_hmw</v>
      </c>
      <c r="B21119" s="5">
        <f>IFERROR(__xludf.DUMMYFUNCTION("""COMPUTED_VALUE"""),44784.0)</f>
        <v>44784</v>
      </c>
      <c r="C21119" s="6">
        <f>IFERROR(__xludf.DUMMYFUNCTION("""COMPUTED_VALUE"""),0.6983101851838001)</f>
        <v>0.6983101852</v>
      </c>
      <c r="D21119" s="4">
        <f>IFERROR(__xludf.DUMMYFUNCTION("""COMPUTED_VALUE"""),12.856991)</f>
        <v>12.856991</v>
      </c>
      <c r="E21119" s="4">
        <f>IFERROR(__xludf.DUMMYFUNCTION("""COMPUTED_VALUE"""),80.070096)</f>
        <v>80.070096</v>
      </c>
      <c r="F21119" s="4">
        <f>IFERROR(__xludf.DUMMYFUNCTION("""COMPUTED_VALUE"""),2846.0)</f>
        <v>2846</v>
      </c>
      <c r="G21119" s="4">
        <f>IFERROR(__xludf.DUMMYFUNCTION("""COMPUTED_VALUE"""),43.0)</f>
        <v>43</v>
      </c>
      <c r="H21119" s="4"/>
      <c r="I21119" s="4"/>
    </row>
    <row r="21120">
      <c r="A21120" s="4" t="str">
        <f>IFERROR(__xludf.DUMMYFUNCTION("""COMPUTED_VALUE"""),"cas_hmw")</f>
        <v>cas_hmw</v>
      </c>
      <c r="B21120" s="5">
        <f>IFERROR(__xludf.DUMMYFUNCTION("""COMPUTED_VALUE"""),44784.0)</f>
        <v>44784</v>
      </c>
      <c r="C21120" s="6">
        <f>IFERROR(__xludf.DUMMYFUNCTION("""COMPUTED_VALUE"""),0.6983912037030677)</f>
        <v>0.6983912037</v>
      </c>
      <c r="D21120" s="4">
        <f>IFERROR(__xludf.DUMMYFUNCTION("""COMPUTED_VALUE"""),12.902331)</f>
        <v>12.902331</v>
      </c>
      <c r="E21120" s="4">
        <f>IFERROR(__xludf.DUMMYFUNCTION("""COMPUTED_VALUE"""),80.093077)</f>
        <v>80.093077</v>
      </c>
      <c r="F21120" s="4">
        <f>IFERROR(__xludf.DUMMYFUNCTION("""COMPUTED_VALUE"""),805.0)</f>
        <v>805</v>
      </c>
      <c r="G21120" s="4">
        <f>IFERROR(__xludf.DUMMYFUNCTION("""COMPUTED_VALUE"""),49.0)</f>
        <v>49</v>
      </c>
      <c r="H21120" s="4"/>
      <c r="I21120" s="4"/>
    </row>
    <row r="21121">
      <c r="A21121" s="4" t="str">
        <f>IFERROR(__xludf.DUMMYFUNCTION("""COMPUTED_VALUE"""),"cas_hmw")</f>
        <v>cas_hmw</v>
      </c>
      <c r="B21121" s="5">
        <f>IFERROR(__xludf.DUMMYFUNCTION("""COMPUTED_VALUE"""),44784.0)</f>
        <v>44784</v>
      </c>
      <c r="C21121" s="6">
        <f>IFERROR(__xludf.DUMMYFUNCTION("""COMPUTED_VALUE"""),0.6984374999992724)</f>
        <v>0.6984375</v>
      </c>
      <c r="D21121" s="4">
        <f>IFERROR(__xludf.DUMMYFUNCTION("""COMPUTED_VALUE"""),12.898474)</f>
        <v>12.898474</v>
      </c>
      <c r="E21121" s="4">
        <f>IFERROR(__xludf.DUMMYFUNCTION("""COMPUTED_VALUE"""),80.090117)</f>
        <v>80.090117</v>
      </c>
      <c r="F21121" s="4">
        <f>IFERROR(__xludf.DUMMYFUNCTION("""COMPUTED_VALUE"""),3143.0)</f>
        <v>3143</v>
      </c>
      <c r="G21121" s="4">
        <f>IFERROR(__xludf.DUMMYFUNCTION("""COMPUTED_VALUE"""),45.0)</f>
        <v>45</v>
      </c>
      <c r="H21121" s="4"/>
      <c r="I21121" s="4"/>
    </row>
    <row r="21122">
      <c r="A21122" s="4" t="str">
        <f>IFERROR(__xludf.DUMMYFUNCTION("""COMPUTED_VALUE"""),"cas_hmw")</f>
        <v>cas_hmw</v>
      </c>
      <c r="B21122" s="5">
        <f>IFERROR(__xludf.DUMMYFUNCTION("""COMPUTED_VALUE"""),44784.0)</f>
        <v>44784</v>
      </c>
      <c r="C21122" s="6">
        <f>IFERROR(__xludf.DUMMYFUNCTION("""COMPUTED_VALUE"""),0.6986111111109494)</f>
        <v>0.6986111111</v>
      </c>
      <c r="D21122" s="4">
        <f>IFERROR(__xludf.DUMMYFUNCTION("""COMPUTED_VALUE"""),12.854327)</f>
        <v>12.854327</v>
      </c>
      <c r="E21122" s="4">
        <f>IFERROR(__xludf.DUMMYFUNCTION("""COMPUTED_VALUE"""),80.068049)</f>
        <v>80.068049</v>
      </c>
      <c r="F21122" s="4">
        <f>IFERROR(__xludf.DUMMYFUNCTION("""COMPUTED_VALUE"""),2846.0)</f>
        <v>2846</v>
      </c>
      <c r="G21122" s="4">
        <f>IFERROR(__xludf.DUMMYFUNCTION("""COMPUTED_VALUE"""),47.0)</f>
        <v>47</v>
      </c>
      <c r="H21122" s="4"/>
      <c r="I21122" s="4"/>
    </row>
    <row r="21123">
      <c r="A21123" s="4" t="str">
        <f>IFERROR(__xludf.DUMMYFUNCTION("""COMPUTED_VALUE"""),"cas_hmw")</f>
        <v>cas_hmw</v>
      </c>
      <c r="B21123" s="5">
        <f>IFERROR(__xludf.DUMMYFUNCTION("""COMPUTED_VALUE"""),44784.0)</f>
        <v>44784</v>
      </c>
      <c r="C21123" s="6">
        <f>IFERROR(__xludf.DUMMYFUNCTION("""COMPUTED_VALUE"""),0.6986226851840911)</f>
        <v>0.6986226852</v>
      </c>
      <c r="D21123" s="4">
        <f>IFERROR(__xludf.DUMMYFUNCTION("""COMPUTED_VALUE"""),12.899384)</f>
        <v>12.899384</v>
      </c>
      <c r="E21123" s="4">
        <f>IFERROR(__xludf.DUMMYFUNCTION("""COMPUTED_VALUE"""),80.090796)</f>
        <v>80.090796</v>
      </c>
      <c r="F21123" s="4">
        <f>IFERROR(__xludf.DUMMYFUNCTION("""COMPUTED_VALUE"""),3143.0)</f>
        <v>3143</v>
      </c>
      <c r="G21123" s="4">
        <f>IFERROR(__xludf.DUMMYFUNCTION("""COMPUTED_VALUE"""),45.0)</f>
        <v>45</v>
      </c>
      <c r="H21123" s="4"/>
      <c r="I21123" s="4"/>
    </row>
    <row r="21124">
      <c r="A21124" s="4" t="str">
        <f>IFERROR(__xludf.DUMMYFUNCTION("""COMPUTED_VALUE"""),"cas_hmw")</f>
        <v>cas_hmw</v>
      </c>
      <c r="B21124" s="5">
        <f>IFERROR(__xludf.DUMMYFUNCTION("""COMPUTED_VALUE"""),44784.0)</f>
        <v>44784</v>
      </c>
      <c r="C21124" s="6">
        <f>IFERROR(__xludf.DUMMYFUNCTION("""COMPUTED_VALUE"""),0.6987037037033588)</f>
        <v>0.6987037037</v>
      </c>
      <c r="D21124" s="4">
        <f>IFERROR(__xludf.DUMMYFUNCTION("""COMPUTED_VALUE"""),12.900287)</f>
        <v>12.900287</v>
      </c>
      <c r="E21124" s="4">
        <f>IFERROR(__xludf.DUMMYFUNCTION("""COMPUTED_VALUE"""),80.091495)</f>
        <v>80.091495</v>
      </c>
      <c r="F21124" s="4">
        <f>IFERROR(__xludf.DUMMYFUNCTION("""COMPUTED_VALUE"""),3143.0)</f>
        <v>3143</v>
      </c>
      <c r="G21124" s="4">
        <f>IFERROR(__xludf.DUMMYFUNCTION("""COMPUTED_VALUE"""),40.0)</f>
        <v>40</v>
      </c>
      <c r="H21124" s="4"/>
      <c r="I21124" s="4"/>
    </row>
    <row r="21125">
      <c r="A21125" s="4" t="str">
        <f>IFERROR(__xludf.DUMMYFUNCTION("""COMPUTED_VALUE"""),"cas_hmw")</f>
        <v>cas_hmw</v>
      </c>
      <c r="B21125" s="5">
        <f>IFERROR(__xludf.DUMMYFUNCTION("""COMPUTED_VALUE"""),44784.0)</f>
        <v>44784</v>
      </c>
      <c r="C21125" s="6">
        <f>IFERROR(__xludf.DUMMYFUNCTION("""COMPUTED_VALUE"""),0.6987384259264218)</f>
        <v>0.6987384259</v>
      </c>
      <c r="D21125" s="4">
        <f>IFERROR(__xludf.DUMMYFUNCTION("""COMPUTED_VALUE"""),12.900287)</f>
        <v>12.900287</v>
      </c>
      <c r="E21125" s="4">
        <f>IFERROR(__xludf.DUMMYFUNCTION("""COMPUTED_VALUE"""),80.091495)</f>
        <v>80.091495</v>
      </c>
      <c r="F21125" s="4">
        <f>IFERROR(__xludf.DUMMYFUNCTION("""COMPUTED_VALUE"""),3143.0)</f>
        <v>3143</v>
      </c>
      <c r="G21125" s="4">
        <f>IFERROR(__xludf.DUMMYFUNCTION("""COMPUTED_VALUE"""),40.0)</f>
        <v>40</v>
      </c>
      <c r="H21125" s="4"/>
      <c r="I21125" s="4"/>
    </row>
    <row r="21126">
      <c r="A21126" s="4" t="str">
        <f>IFERROR(__xludf.DUMMYFUNCTION("""COMPUTED_VALUE"""),"cas_hmw")</f>
        <v>cas_hmw</v>
      </c>
      <c r="B21126" s="5">
        <f>IFERROR(__xludf.DUMMYFUNCTION("""COMPUTED_VALUE"""),44784.0)</f>
        <v>44784</v>
      </c>
      <c r="C21126" s="6">
        <f>IFERROR(__xludf.DUMMYFUNCTION("""COMPUTED_VALUE"""),0.6987847222226264)</f>
        <v>0.6987847222</v>
      </c>
      <c r="D21126" s="4">
        <f>IFERROR(__xludf.DUMMYFUNCTION("""COMPUTED_VALUE"""),12.901127)</f>
        <v>12.901127</v>
      </c>
      <c r="E21126" s="4">
        <f>IFERROR(__xludf.DUMMYFUNCTION("""COMPUTED_VALUE"""),80.092132)</f>
        <v>80.092132</v>
      </c>
      <c r="F21126" s="4">
        <f>IFERROR(__xludf.DUMMYFUNCTION("""COMPUTED_VALUE"""),3143.0)</f>
        <v>3143</v>
      </c>
      <c r="G21126" s="4">
        <f>IFERROR(__xludf.DUMMYFUNCTION("""COMPUTED_VALUE"""),39.0)</f>
        <v>39</v>
      </c>
      <c r="H21126" s="4"/>
      <c r="I21126" s="4"/>
    </row>
    <row r="21127">
      <c r="A21127" s="4" t="str">
        <f>IFERROR(__xludf.DUMMYFUNCTION("""COMPUTED_VALUE"""),"cas_hmw")</f>
        <v>cas_hmw</v>
      </c>
      <c r="B21127" s="5">
        <f>IFERROR(__xludf.DUMMYFUNCTION("""COMPUTED_VALUE"""),44784.0)</f>
        <v>44784</v>
      </c>
      <c r="C21127" s="6">
        <f>IFERROR(__xludf.DUMMYFUNCTION("""COMPUTED_VALUE"""),0.6989004629613191)</f>
        <v>0.698900463</v>
      </c>
      <c r="D21127" s="4">
        <f>IFERROR(__xludf.DUMMYFUNCTION("""COMPUTED_VALUE"""),12.905844)</f>
        <v>12.905844</v>
      </c>
      <c r="E21127" s="4">
        <f>IFERROR(__xludf.DUMMYFUNCTION("""COMPUTED_VALUE"""),80.09572)</f>
        <v>80.09572</v>
      </c>
      <c r="F21127" s="4">
        <f>IFERROR(__xludf.DUMMYFUNCTION("""COMPUTED_VALUE"""),805.0)</f>
        <v>805</v>
      </c>
      <c r="G21127" s="4">
        <f>IFERROR(__xludf.DUMMYFUNCTION("""COMPUTED_VALUE"""),44.0)</f>
        <v>44</v>
      </c>
      <c r="H21127" s="4"/>
      <c r="I21127" s="4"/>
    </row>
    <row r="21128">
      <c r="A21128" s="4" t="str">
        <f>IFERROR(__xludf.DUMMYFUNCTION("""COMPUTED_VALUE"""),"cas_hmw")</f>
        <v>cas_hmw</v>
      </c>
      <c r="B21128" s="5">
        <f>IFERROR(__xludf.DUMMYFUNCTION("""COMPUTED_VALUE"""),44784.0)</f>
        <v>44784</v>
      </c>
      <c r="C21128" s="6">
        <f>IFERROR(__xludf.DUMMYFUNCTION("""COMPUTED_VALUE"""),0.6989120370380988)</f>
        <v>0.698912037</v>
      </c>
      <c r="D21128" s="4">
        <f>IFERROR(__xludf.DUMMYFUNCTION("""COMPUTED_VALUE"""),12.905844)</f>
        <v>12.905844</v>
      </c>
      <c r="E21128" s="4">
        <f>IFERROR(__xludf.DUMMYFUNCTION("""COMPUTED_VALUE"""),80.09572)</f>
        <v>80.09572</v>
      </c>
      <c r="F21128" s="4">
        <f>IFERROR(__xludf.DUMMYFUNCTION("""COMPUTED_VALUE"""),805.0)</f>
        <v>805</v>
      </c>
      <c r="G21128" s="4">
        <f>IFERROR(__xludf.DUMMYFUNCTION("""COMPUTED_VALUE"""),44.0)</f>
        <v>44</v>
      </c>
      <c r="H21128" s="4"/>
      <c r="I21128" s="4"/>
    </row>
    <row r="21129">
      <c r="A21129" s="4" t="str">
        <f>IFERROR(__xludf.DUMMYFUNCTION("""COMPUTED_VALUE"""),"cas_hmw")</f>
        <v>cas_hmw</v>
      </c>
      <c r="B21129" s="5">
        <f>IFERROR(__xludf.DUMMYFUNCTION("""COMPUTED_VALUE"""),44784.0)</f>
        <v>44784</v>
      </c>
      <c r="C21129" s="6">
        <f>IFERROR(__xludf.DUMMYFUNCTION("""COMPUTED_VALUE"""),0.6990046296305081)</f>
        <v>0.6990046296</v>
      </c>
      <c r="D21129" s="4">
        <f>IFERROR(__xludf.DUMMYFUNCTION("""COMPUTED_VALUE"""),12.90195)</f>
        <v>12.90195</v>
      </c>
      <c r="E21129" s="4">
        <f>IFERROR(__xludf.DUMMYFUNCTION("""COMPUTED_VALUE"""),80.092756)</f>
        <v>80.092756</v>
      </c>
      <c r="F21129" s="4">
        <f>IFERROR(__xludf.DUMMYFUNCTION("""COMPUTED_VALUE"""),3143.0)</f>
        <v>3143</v>
      </c>
      <c r="G21129" s="4">
        <f>IFERROR(__xludf.DUMMYFUNCTION("""COMPUTED_VALUE"""),42.0)</f>
        <v>42</v>
      </c>
      <c r="H21129" s="4"/>
      <c r="I21129" s="4"/>
    </row>
    <row r="21130">
      <c r="A21130" s="4" t="str">
        <f>IFERROR(__xludf.DUMMYFUNCTION("""COMPUTED_VALUE"""),"cas_hmw")</f>
        <v>cas_hmw</v>
      </c>
      <c r="B21130" s="5">
        <f>IFERROR(__xludf.DUMMYFUNCTION("""COMPUTED_VALUE"""),44784.0)</f>
        <v>44784</v>
      </c>
      <c r="C21130" s="6">
        <f>IFERROR(__xludf.DUMMYFUNCTION("""COMPUTED_VALUE"""),0.6990162037036498)</f>
        <v>0.6990162037</v>
      </c>
      <c r="D21130" s="4">
        <f>IFERROR(__xludf.DUMMYFUNCTION("""COMPUTED_VALUE"""),12.850606)</f>
        <v>12.850606</v>
      </c>
      <c r="E21130" s="4">
        <f>IFERROR(__xludf.DUMMYFUNCTION("""COMPUTED_VALUE"""),80.065334)</f>
        <v>80.065334</v>
      </c>
      <c r="F21130" s="4">
        <f>IFERROR(__xludf.DUMMYFUNCTION("""COMPUTED_VALUE"""),2846.0)</f>
        <v>2846</v>
      </c>
      <c r="G21130" s="4">
        <f>IFERROR(__xludf.DUMMYFUNCTION("""COMPUTED_VALUE"""),48.0)</f>
        <v>48</v>
      </c>
      <c r="H21130" s="4"/>
      <c r="I21130" s="4"/>
    </row>
    <row r="21131">
      <c r="A21131" s="4" t="str">
        <f>IFERROR(__xludf.DUMMYFUNCTION("""COMPUTED_VALUE"""),"cas_hmw")</f>
        <v>cas_hmw</v>
      </c>
      <c r="B21131" s="5">
        <f>IFERROR(__xludf.DUMMYFUNCTION("""COMPUTED_VALUE"""),44784.0)</f>
        <v>44784</v>
      </c>
      <c r="C21131" s="6">
        <f>IFERROR(__xludf.DUMMYFUNCTION("""COMPUTED_VALUE"""),0.6999074074083182)</f>
        <v>0.6999074074</v>
      </c>
      <c r="D21131" s="4">
        <f>IFERROR(__xludf.DUMMYFUNCTION("""COMPUTED_VALUE"""),12.909082)</f>
        <v>12.909082</v>
      </c>
      <c r="E21131" s="4">
        <f>IFERROR(__xludf.DUMMYFUNCTION("""COMPUTED_VALUE"""),80.09855)</f>
        <v>80.09855</v>
      </c>
      <c r="F21131" s="4">
        <f>IFERROR(__xludf.DUMMYFUNCTION("""COMPUTED_VALUE"""),5339.0)</f>
        <v>5339</v>
      </c>
      <c r="G21131" s="4">
        <f>IFERROR(__xludf.DUMMYFUNCTION("""COMPUTED_VALUE"""),14.0)</f>
        <v>14</v>
      </c>
      <c r="H21131" s="4"/>
      <c r="I21131" s="4"/>
    </row>
    <row r="21132">
      <c r="A21132" s="4" t="str">
        <f>IFERROR(__xludf.DUMMYFUNCTION("""COMPUTED_VALUE"""),"cas_hmw")</f>
        <v>cas_hmw</v>
      </c>
      <c r="B21132" s="5">
        <f>IFERROR(__xludf.DUMMYFUNCTION("""COMPUTED_VALUE"""),44784.0)</f>
        <v>44784</v>
      </c>
      <c r="C21132" s="6">
        <f>IFERROR(__xludf.DUMMYFUNCTION("""COMPUTED_VALUE"""),0.6999189814814599)</f>
        <v>0.6999189815</v>
      </c>
      <c r="D21132" s="4">
        <f>IFERROR(__xludf.DUMMYFUNCTION("""COMPUTED_VALUE"""),12.909082)</f>
        <v>12.909082</v>
      </c>
      <c r="E21132" s="4">
        <f>IFERROR(__xludf.DUMMYFUNCTION("""COMPUTED_VALUE"""),80.09855)</f>
        <v>80.09855</v>
      </c>
      <c r="F21132" s="4">
        <f>IFERROR(__xludf.DUMMYFUNCTION("""COMPUTED_VALUE"""),5339.0)</f>
        <v>5339</v>
      </c>
      <c r="G21132" s="4">
        <f>IFERROR(__xludf.DUMMYFUNCTION("""COMPUTED_VALUE"""),14.0)</f>
        <v>14</v>
      </c>
      <c r="H21132" s="4"/>
      <c r="I21132" s="4"/>
    </row>
    <row r="21133">
      <c r="A21133" s="4" t="str">
        <f>IFERROR(__xludf.DUMMYFUNCTION("""COMPUTED_VALUE"""),"cas_hmw")</f>
        <v>cas_hmw</v>
      </c>
      <c r="B21133" s="5">
        <f>IFERROR(__xludf.DUMMYFUNCTION("""COMPUTED_VALUE"""),44784.0)</f>
        <v>44784</v>
      </c>
      <c r="C21133" s="6">
        <f>IFERROR(__xludf.DUMMYFUNCTION("""COMPUTED_VALUE"""),0.7000810185199953)</f>
        <v>0.7000810185</v>
      </c>
      <c r="D21133" s="4">
        <f>IFERROR(__xludf.DUMMYFUNCTION("""COMPUTED_VALUE"""),12.909897)</f>
        <v>12.909897</v>
      </c>
      <c r="E21133" s="4">
        <f>IFERROR(__xludf.DUMMYFUNCTION("""COMPUTED_VALUE"""),80.099789)</f>
        <v>80.099789</v>
      </c>
      <c r="F21133" s="4">
        <f>IFERROR(__xludf.DUMMYFUNCTION("""COMPUTED_VALUE"""),5339.0)</f>
        <v>5339</v>
      </c>
      <c r="G21133" s="4">
        <f>IFERROR(__xludf.DUMMYFUNCTION("""COMPUTED_VALUE"""),45.0)</f>
        <v>45</v>
      </c>
      <c r="H21133" s="4"/>
      <c r="I21133" s="4"/>
    </row>
    <row r="21134">
      <c r="A21134" s="4" t="str">
        <f>IFERROR(__xludf.DUMMYFUNCTION("""COMPUTED_VALUE"""),"cas_hmw")</f>
        <v>cas_hmw</v>
      </c>
      <c r="B21134" s="5">
        <f>IFERROR(__xludf.DUMMYFUNCTION("""COMPUTED_VALUE"""),44784.0)</f>
        <v>44784</v>
      </c>
      <c r="C21134" s="6">
        <f>IFERROR(__xludf.DUMMYFUNCTION("""COMPUTED_VALUE"""),0.700335648147302)</f>
        <v>0.7003356481</v>
      </c>
      <c r="D21134" s="4">
        <f>IFERROR(__xludf.DUMMYFUNCTION("""COMPUTED_VALUE"""),12.910151)</f>
        <v>12.910151</v>
      </c>
      <c r="E21134" s="4">
        <f>IFERROR(__xludf.DUMMYFUNCTION("""COMPUTED_VALUE"""),80.100206)</f>
        <v>80.100206</v>
      </c>
      <c r="F21134" s="4">
        <f>IFERROR(__xludf.DUMMYFUNCTION("""COMPUTED_VALUE"""),805.0)</f>
        <v>805</v>
      </c>
      <c r="G21134" s="4">
        <f>IFERROR(__xludf.DUMMYFUNCTION("""COMPUTED_VALUE"""),45.0)</f>
        <v>45</v>
      </c>
      <c r="H21134" s="4"/>
      <c r="I21134" s="4"/>
    </row>
    <row r="21135">
      <c r="A21135" s="4" t="str">
        <f>IFERROR(__xludf.DUMMYFUNCTION("""COMPUTED_VALUE"""),"cas_hmw")</f>
        <v>cas_hmw</v>
      </c>
      <c r="B21135" s="5">
        <f>IFERROR(__xludf.DUMMYFUNCTION("""COMPUTED_VALUE"""),44784.0)</f>
        <v>44784</v>
      </c>
      <c r="C21135" s="6">
        <f>IFERROR(__xludf.DUMMYFUNCTION("""COMPUTED_VALUE"""),0.7003472222204437)</f>
        <v>0.7003472222</v>
      </c>
      <c r="D21135" s="4">
        <f>IFERROR(__xludf.DUMMYFUNCTION("""COMPUTED_VALUE"""),12.9114)</f>
        <v>12.9114</v>
      </c>
      <c r="E21135" s="4">
        <f>IFERROR(__xludf.DUMMYFUNCTION("""COMPUTED_VALUE"""),80.101264)</f>
        <v>80.101264</v>
      </c>
      <c r="F21135" s="4">
        <f>IFERROR(__xludf.DUMMYFUNCTION("""COMPUTED_VALUE"""),5339.0)</f>
        <v>5339</v>
      </c>
      <c r="G21135" s="4">
        <f>IFERROR(__xludf.DUMMYFUNCTION("""COMPUTED_VALUE"""),36.0)</f>
        <v>36</v>
      </c>
      <c r="H21135" s="4"/>
      <c r="I21135" s="4"/>
    </row>
    <row r="21136">
      <c r="A21136" s="4" t="str">
        <f>IFERROR(__xludf.DUMMYFUNCTION("""COMPUTED_VALUE"""),"cas_hmw")</f>
        <v>cas_hmw</v>
      </c>
      <c r="B21136" s="5">
        <f>IFERROR(__xludf.DUMMYFUNCTION("""COMPUTED_VALUE"""),44784.0)</f>
        <v>44784</v>
      </c>
      <c r="C21136" s="6">
        <f>IFERROR(__xludf.DUMMYFUNCTION("""COMPUTED_VALUE"""),0.700543981482042)</f>
        <v>0.7005439815</v>
      </c>
      <c r="D21136" s="4">
        <f>IFERROR(__xludf.DUMMYFUNCTION("""COMPUTED_VALUE"""),12.909552)</f>
        <v>12.909552</v>
      </c>
      <c r="E21136" s="4">
        <f>IFERROR(__xludf.DUMMYFUNCTION("""COMPUTED_VALUE"""),80.099169)</f>
        <v>80.099169</v>
      </c>
      <c r="F21136" s="4">
        <f>IFERROR(__xludf.DUMMYFUNCTION("""COMPUTED_VALUE"""),3143.0)</f>
        <v>3143</v>
      </c>
      <c r="G21136" s="4">
        <f>IFERROR(__xludf.DUMMYFUNCTION("""COMPUTED_VALUE"""),23.0)</f>
        <v>23</v>
      </c>
      <c r="H21136" s="4"/>
      <c r="I21136" s="4"/>
    </row>
    <row r="21137">
      <c r="A21137" s="4" t="str">
        <f>IFERROR(__xludf.DUMMYFUNCTION("""COMPUTED_VALUE"""),"cas_hmw")</f>
        <v>cas_hmw</v>
      </c>
      <c r="B21137" s="5">
        <f>IFERROR(__xludf.DUMMYFUNCTION("""COMPUTED_VALUE"""),44784.0)</f>
        <v>44784</v>
      </c>
      <c r="C21137" s="6">
        <f>IFERROR(__xludf.DUMMYFUNCTION("""COMPUTED_VALUE"""),0.7006365740744513)</f>
        <v>0.7006365741</v>
      </c>
      <c r="D21137" s="4">
        <f>IFERROR(__xludf.DUMMYFUNCTION("""COMPUTED_VALUE"""),12.913158)</f>
        <v>12.913158</v>
      </c>
      <c r="E21137" s="4">
        <f>IFERROR(__xludf.DUMMYFUNCTION("""COMPUTED_VALUE"""),80.101464)</f>
        <v>80.101464</v>
      </c>
      <c r="F21137" s="4">
        <f>IFERROR(__xludf.DUMMYFUNCTION("""COMPUTED_VALUE"""),5339.0)</f>
        <v>5339</v>
      </c>
      <c r="G21137" s="4">
        <f>IFERROR(__xludf.DUMMYFUNCTION("""COMPUTED_VALUE"""),41.0)</f>
        <v>41</v>
      </c>
      <c r="H21137" s="4"/>
      <c r="I21137" s="4"/>
    </row>
    <row r="21138">
      <c r="A21138" s="4" t="str">
        <f>IFERROR(__xludf.DUMMYFUNCTION("""COMPUTED_VALUE"""),"cas_hmw")</f>
        <v>cas_hmw</v>
      </c>
      <c r="B21138" s="5">
        <f>IFERROR(__xludf.DUMMYFUNCTION("""COMPUTED_VALUE"""),44784.0)</f>
        <v>44784</v>
      </c>
      <c r="C21138" s="6">
        <f>IFERROR(__xludf.DUMMYFUNCTION("""COMPUTED_VALUE"""),0.700648148147593)</f>
        <v>0.7006481481</v>
      </c>
      <c r="D21138" s="4">
        <f>IFERROR(__xludf.DUMMYFUNCTION("""COMPUTED_VALUE"""),12.909936)</f>
        <v>12.909936</v>
      </c>
      <c r="E21138" s="4">
        <f>IFERROR(__xludf.DUMMYFUNCTION("""COMPUTED_VALUE"""),80.099797)</f>
        <v>80.099797</v>
      </c>
      <c r="F21138" s="4">
        <f>IFERROR(__xludf.DUMMYFUNCTION("""COMPUTED_VALUE"""),3143.0)</f>
        <v>3143</v>
      </c>
      <c r="G21138" s="4">
        <f>IFERROR(__xludf.DUMMYFUNCTION("""COMPUTED_VALUE"""),30.0)</f>
        <v>30</v>
      </c>
      <c r="H21138" s="4"/>
      <c r="I21138" s="4"/>
    </row>
    <row r="21139">
      <c r="A21139" s="4" t="str">
        <f>IFERROR(__xludf.DUMMYFUNCTION("""COMPUTED_VALUE"""),"cas_hmw")</f>
        <v>cas_hmw</v>
      </c>
      <c r="B21139" s="5">
        <f>IFERROR(__xludf.DUMMYFUNCTION("""COMPUTED_VALUE"""),44784.0)</f>
        <v>44784</v>
      </c>
      <c r="C21139" s="6">
        <f>IFERROR(__xludf.DUMMYFUNCTION("""COMPUTED_VALUE"""),0.7007291666668607)</f>
        <v>0.7007291667</v>
      </c>
      <c r="D21139" s="4">
        <f>IFERROR(__xludf.DUMMYFUNCTION("""COMPUTED_VALUE"""),12.909936)</f>
        <v>12.909936</v>
      </c>
      <c r="E21139" s="4">
        <f>IFERROR(__xludf.DUMMYFUNCTION("""COMPUTED_VALUE"""),80.099797)</f>
        <v>80.099797</v>
      </c>
      <c r="F21139" s="4">
        <f>IFERROR(__xludf.DUMMYFUNCTION("""COMPUTED_VALUE"""),3143.0)</f>
        <v>3143</v>
      </c>
      <c r="G21139" s="4">
        <f>IFERROR(__xludf.DUMMYFUNCTION("""COMPUTED_VALUE"""),30.0)</f>
        <v>30</v>
      </c>
      <c r="H21139" s="4"/>
      <c r="I21139" s="4"/>
    </row>
    <row r="21140">
      <c r="A21140" s="4" t="str">
        <f>IFERROR(__xludf.DUMMYFUNCTION("""COMPUTED_VALUE"""),"cas_hmw")</f>
        <v>cas_hmw</v>
      </c>
      <c r="B21140" s="5">
        <f>IFERROR(__xludf.DUMMYFUNCTION("""COMPUTED_VALUE"""),44784.0)</f>
        <v>44784</v>
      </c>
      <c r="C21140" s="6">
        <f>IFERROR(__xludf.DUMMYFUNCTION("""COMPUTED_VALUE"""),0.7008449074091914)</f>
        <v>0.7008449074</v>
      </c>
      <c r="D21140" s="4">
        <f>IFERROR(__xludf.DUMMYFUNCTION("""COMPUTED_VALUE"""),12.913189)</f>
        <v>12.913189</v>
      </c>
      <c r="E21140" s="4">
        <f>IFERROR(__xludf.DUMMYFUNCTION("""COMPUTED_VALUE"""),80.101503)</f>
        <v>80.101503</v>
      </c>
      <c r="F21140" s="4">
        <f>IFERROR(__xludf.DUMMYFUNCTION("""COMPUTED_VALUE"""),805.0)</f>
        <v>805</v>
      </c>
      <c r="G21140" s="4">
        <f>IFERROR(__xludf.DUMMYFUNCTION("""COMPUTED_VALUE"""),54.0)</f>
        <v>54</v>
      </c>
      <c r="H21140" s="4"/>
      <c r="I21140" s="4"/>
    </row>
    <row r="21141">
      <c r="A21141" s="4" t="str">
        <f>IFERROR(__xludf.DUMMYFUNCTION("""COMPUTED_VALUE"""),"cas_hmw")</f>
        <v>cas_hmw</v>
      </c>
      <c r="B21141" s="5">
        <f>IFERROR(__xludf.DUMMYFUNCTION("""COMPUTED_VALUE"""),44784.0)</f>
        <v>44784</v>
      </c>
      <c r="C21141" s="6">
        <f>IFERROR(__xludf.DUMMYFUNCTION("""COMPUTED_VALUE"""),0.7009143518516794)</f>
        <v>0.7009143519</v>
      </c>
      <c r="D21141" s="4">
        <f>IFERROR(__xludf.DUMMYFUNCTION("""COMPUTED_VALUE"""),12.915674)</f>
        <v>12.915674</v>
      </c>
      <c r="E21141" s="4">
        <f>IFERROR(__xludf.DUMMYFUNCTION("""COMPUTED_VALUE"""),80.103241)</f>
        <v>80.103241</v>
      </c>
      <c r="F21141" s="4">
        <f>IFERROR(__xludf.DUMMYFUNCTION("""COMPUTED_VALUE"""),5339.0)</f>
        <v>5339</v>
      </c>
      <c r="G21141" s="4">
        <f>IFERROR(__xludf.DUMMYFUNCTION("""COMPUTED_VALUE"""),43.0)</f>
        <v>43</v>
      </c>
      <c r="H21141" s="4"/>
      <c r="I21141" s="4"/>
    </row>
    <row r="21142">
      <c r="A21142" s="4" t="str">
        <f>IFERROR(__xludf.DUMMYFUNCTION("""COMPUTED_VALUE"""),"cas_hmw")</f>
        <v>cas_hmw</v>
      </c>
      <c r="B21142" s="5">
        <f>IFERROR(__xludf.DUMMYFUNCTION("""COMPUTED_VALUE"""),44784.0)</f>
        <v>44784</v>
      </c>
      <c r="C21142" s="6">
        <f>IFERROR(__xludf.DUMMYFUNCTION("""COMPUTED_VALUE"""),0.7010185185172304)</f>
        <v>0.7010185185</v>
      </c>
      <c r="D21142" s="4">
        <f>IFERROR(__xludf.DUMMYFUNCTION("""COMPUTED_VALUE"""),12.915412)</f>
        <v>12.915412</v>
      </c>
      <c r="E21142" s="4">
        <f>IFERROR(__xludf.DUMMYFUNCTION("""COMPUTED_VALUE"""),80.102565)</f>
        <v>80.102565</v>
      </c>
      <c r="F21142" s="4">
        <f>IFERROR(__xludf.DUMMYFUNCTION("""COMPUTED_VALUE"""),805.0)</f>
        <v>805</v>
      </c>
      <c r="G21142" s="4">
        <f>IFERROR(__xludf.DUMMYFUNCTION("""COMPUTED_VALUE"""),53.0)</f>
        <v>53</v>
      </c>
      <c r="H21142" s="4"/>
      <c r="I21142" s="4"/>
    </row>
    <row r="21143">
      <c r="A21143" s="4" t="str">
        <f>IFERROR(__xludf.DUMMYFUNCTION("""COMPUTED_VALUE"""),"cas_hmw")</f>
        <v>cas_hmw</v>
      </c>
      <c r="B21143" s="5">
        <f>IFERROR(__xludf.DUMMYFUNCTION("""COMPUTED_VALUE"""),44784.0)</f>
        <v>44784</v>
      </c>
      <c r="C21143" s="6">
        <f>IFERROR(__xludf.DUMMYFUNCTION("""COMPUTED_VALUE"""),0.7011689814826241)</f>
        <v>0.7011689815</v>
      </c>
      <c r="D21143" s="4">
        <f>IFERROR(__xludf.DUMMYFUNCTION("""COMPUTED_VALUE"""),12.916154)</f>
        <v>12.916154</v>
      </c>
      <c r="E21143" s="4">
        <f>IFERROR(__xludf.DUMMYFUNCTION("""COMPUTED_VALUE"""),80.105454)</f>
        <v>80.105454</v>
      </c>
      <c r="F21143" s="4">
        <f>IFERROR(__xludf.DUMMYFUNCTION("""COMPUTED_VALUE"""),5339.0)</f>
        <v>5339</v>
      </c>
      <c r="G21143" s="4">
        <f>IFERROR(__xludf.DUMMYFUNCTION("""COMPUTED_VALUE"""),53.0)</f>
        <v>53</v>
      </c>
      <c r="H21143" s="4"/>
      <c r="I21143" s="4"/>
    </row>
    <row r="21144">
      <c r="A21144" s="4" t="str">
        <f>IFERROR(__xludf.DUMMYFUNCTION("""COMPUTED_VALUE"""),"cas_hmw")</f>
        <v>cas_hmw</v>
      </c>
      <c r="B21144" s="5">
        <f>IFERROR(__xludf.DUMMYFUNCTION("""COMPUTED_VALUE"""),44784.0)</f>
        <v>44784</v>
      </c>
      <c r="C21144" s="6">
        <f>IFERROR(__xludf.DUMMYFUNCTION("""COMPUTED_VALUE"""),0.7011921296289074)</f>
        <v>0.7011921296</v>
      </c>
      <c r="D21144" s="4">
        <f>IFERROR(__xludf.DUMMYFUNCTION("""COMPUTED_VALUE"""),12.911594)</f>
        <v>12.911594</v>
      </c>
      <c r="E21144" s="4">
        <f>IFERROR(__xludf.DUMMYFUNCTION("""COMPUTED_VALUE"""),80.101269)</f>
        <v>80.101269</v>
      </c>
      <c r="F21144" s="4">
        <f>IFERROR(__xludf.DUMMYFUNCTION("""COMPUTED_VALUE"""),3143.0)</f>
        <v>3143</v>
      </c>
      <c r="G21144" s="4">
        <f>IFERROR(__xludf.DUMMYFUNCTION("""COMPUTED_VALUE"""),22.0)</f>
        <v>22</v>
      </c>
      <c r="H21144" s="4"/>
      <c r="I21144" s="4"/>
    </row>
    <row r="21145">
      <c r="A21145" s="4" t="str">
        <f>IFERROR(__xludf.DUMMYFUNCTION("""COMPUTED_VALUE"""),"cas_hmw")</f>
        <v>cas_hmw</v>
      </c>
      <c r="B21145" s="5">
        <f>IFERROR(__xludf.DUMMYFUNCTION("""COMPUTED_VALUE"""),44784.0)</f>
        <v>44784</v>
      </c>
      <c r="C21145" s="6">
        <f>IFERROR(__xludf.DUMMYFUNCTION("""COMPUTED_VALUE"""),0.7012847222213168)</f>
        <v>0.7012847222</v>
      </c>
      <c r="D21145" s="4">
        <f>IFERROR(__xludf.DUMMYFUNCTION("""COMPUTED_VALUE"""),12.915962)</f>
        <v>12.915962</v>
      </c>
      <c r="E21145" s="4">
        <f>IFERROR(__xludf.DUMMYFUNCTION("""COMPUTED_VALUE"""),80.105071)</f>
        <v>80.105071</v>
      </c>
      <c r="F21145" s="4">
        <f>IFERROR(__xludf.DUMMYFUNCTION("""COMPUTED_VALUE"""),805.0)</f>
        <v>805</v>
      </c>
      <c r="G21145" s="4">
        <f>IFERROR(__xludf.DUMMYFUNCTION("""COMPUTED_VALUE"""),56.0)</f>
        <v>56</v>
      </c>
      <c r="H21145" s="4"/>
      <c r="I21145" s="4"/>
    </row>
    <row r="21146">
      <c r="A21146" s="4" t="str">
        <f>IFERROR(__xludf.DUMMYFUNCTION("""COMPUTED_VALUE"""),"cas_hmw")</f>
        <v>cas_hmw</v>
      </c>
      <c r="B21146" s="5">
        <f>IFERROR(__xludf.DUMMYFUNCTION("""COMPUTED_VALUE"""),44784.0)</f>
        <v>44784</v>
      </c>
      <c r="C21146" s="6">
        <f>IFERROR(__xludf.DUMMYFUNCTION("""COMPUTED_VALUE"""),0.7012962962980964)</f>
        <v>0.7012962963</v>
      </c>
      <c r="D21146" s="4">
        <f>IFERROR(__xludf.DUMMYFUNCTION("""COMPUTED_VALUE"""),12.840613)</f>
        <v>12.840613</v>
      </c>
      <c r="E21146" s="4">
        <f>IFERROR(__xludf.DUMMYFUNCTION("""COMPUTED_VALUE"""),80.056401)</f>
        <v>80.056401</v>
      </c>
      <c r="F21146" s="4">
        <f>IFERROR(__xludf.DUMMYFUNCTION("""COMPUTED_VALUE"""),2846.0)</f>
        <v>2846</v>
      </c>
      <c r="G21146" s="4">
        <f>IFERROR(__xludf.DUMMYFUNCTION("""COMPUTED_VALUE"""),34.0)</f>
        <v>34</v>
      </c>
      <c r="H21146" s="4"/>
      <c r="I21146" s="4"/>
    </row>
    <row r="21147">
      <c r="A21147" s="4" t="str">
        <f>IFERROR(__xludf.DUMMYFUNCTION("""COMPUTED_VALUE"""),"cas_hmw")</f>
        <v>cas_hmw</v>
      </c>
      <c r="B21147" s="5">
        <f>IFERROR(__xludf.DUMMYFUNCTION("""COMPUTED_VALUE"""),44784.0)</f>
        <v>44784</v>
      </c>
      <c r="C21147" s="6">
        <f>IFERROR(__xludf.DUMMYFUNCTION("""COMPUTED_VALUE"""),0.7012962962980964)</f>
        <v>0.7012962963</v>
      </c>
      <c r="D21147" s="4">
        <f>IFERROR(__xludf.DUMMYFUNCTION("""COMPUTED_VALUE"""),12.840613)</f>
        <v>12.840613</v>
      </c>
      <c r="E21147" s="4">
        <f>IFERROR(__xludf.DUMMYFUNCTION("""COMPUTED_VALUE"""),80.056401)</f>
        <v>80.056401</v>
      </c>
      <c r="F21147" s="4">
        <f>IFERROR(__xludf.DUMMYFUNCTION("""COMPUTED_VALUE"""),2846.0)</f>
        <v>2846</v>
      </c>
      <c r="G21147" s="4">
        <f>IFERROR(__xludf.DUMMYFUNCTION("""COMPUTED_VALUE"""),34.0)</f>
        <v>34</v>
      </c>
      <c r="H21147" s="4"/>
      <c r="I21147" s="4"/>
    </row>
    <row r="21148">
      <c r="A21148" s="4" t="str">
        <f>IFERROR(__xludf.DUMMYFUNCTION("""COMPUTED_VALUE"""),"cas_hmw")</f>
        <v>cas_hmw</v>
      </c>
      <c r="B21148" s="5">
        <f>IFERROR(__xludf.DUMMYFUNCTION("""COMPUTED_VALUE"""),44784.0)</f>
        <v>44784</v>
      </c>
      <c r="C21148" s="6">
        <f>IFERROR(__xludf.DUMMYFUNCTION("""COMPUTED_VALUE"""),0.7013194444443798)</f>
        <v>0.7013194444</v>
      </c>
      <c r="D21148" s="4">
        <f>IFERROR(__xludf.DUMMYFUNCTION("""COMPUTED_VALUE"""),12.840613)</f>
        <v>12.840613</v>
      </c>
      <c r="E21148" s="4">
        <f>IFERROR(__xludf.DUMMYFUNCTION("""COMPUTED_VALUE"""),80.056401)</f>
        <v>80.056401</v>
      </c>
      <c r="F21148" s="4">
        <f>IFERROR(__xludf.DUMMYFUNCTION("""COMPUTED_VALUE"""),2846.0)</f>
        <v>2846</v>
      </c>
      <c r="G21148" s="4">
        <f>IFERROR(__xludf.DUMMYFUNCTION("""COMPUTED_VALUE"""),34.0)</f>
        <v>34</v>
      </c>
      <c r="H21148" s="4"/>
      <c r="I21148" s="4"/>
    </row>
    <row r="21149">
      <c r="A21149" s="4" t="str">
        <f>IFERROR(__xludf.DUMMYFUNCTION("""COMPUTED_VALUE"""),"cas_hmw")</f>
        <v>cas_hmw</v>
      </c>
      <c r="B21149" s="5">
        <f>IFERROR(__xludf.DUMMYFUNCTION("""COMPUTED_VALUE"""),44784.0)</f>
        <v>44784</v>
      </c>
      <c r="C21149" s="6">
        <f>IFERROR(__xludf.DUMMYFUNCTION("""COMPUTED_VALUE"""),0.7015509259254031)</f>
        <v>0.7015509259</v>
      </c>
      <c r="D21149" s="4">
        <f>IFERROR(__xludf.DUMMYFUNCTION("""COMPUTED_VALUE"""),12.839474)</f>
        <v>12.839474</v>
      </c>
      <c r="E21149" s="4">
        <f>IFERROR(__xludf.DUMMYFUNCTION("""COMPUTED_VALUE"""),80.055193)</f>
        <v>80.055193</v>
      </c>
      <c r="F21149" s="4">
        <f>IFERROR(__xludf.DUMMYFUNCTION("""COMPUTED_VALUE"""),2846.0)</f>
        <v>2846</v>
      </c>
      <c r="G21149" s="4">
        <f>IFERROR(__xludf.DUMMYFUNCTION("""COMPUTED_VALUE"""),27.0)</f>
        <v>27</v>
      </c>
      <c r="H21149" s="4"/>
      <c r="I21149" s="4"/>
    </row>
    <row r="21150">
      <c r="A21150" s="4" t="str">
        <f>IFERROR(__xludf.DUMMYFUNCTION("""COMPUTED_VALUE"""),"cas_hmw")</f>
        <v>cas_hmw</v>
      </c>
      <c r="B21150" s="5">
        <f>IFERROR(__xludf.DUMMYFUNCTION("""COMPUTED_VALUE"""),44784.0)</f>
        <v>44784</v>
      </c>
      <c r="C21150" s="6">
        <f>IFERROR(__xludf.DUMMYFUNCTION("""COMPUTED_VALUE"""),0.7016550925909542)</f>
        <v>0.7016550926</v>
      </c>
      <c r="D21150" s="4">
        <f>IFERROR(__xludf.DUMMYFUNCTION("""COMPUTED_VALUE"""),12.916978)</f>
        <v>12.916978</v>
      </c>
      <c r="E21150" s="4">
        <f>IFERROR(__xludf.DUMMYFUNCTION("""COMPUTED_VALUE"""),80.10704)</f>
        <v>80.10704</v>
      </c>
      <c r="F21150" s="4">
        <f>IFERROR(__xludf.DUMMYFUNCTION("""COMPUTED_VALUE"""),805.0)</f>
        <v>805</v>
      </c>
      <c r="G21150" s="4">
        <f>IFERROR(__xludf.DUMMYFUNCTION("""COMPUTED_VALUE"""),10.0)</f>
        <v>10</v>
      </c>
      <c r="H21150" s="4"/>
      <c r="I21150" s="4"/>
    </row>
    <row r="21151">
      <c r="A21151" s="4" t="str">
        <f>IFERROR(__xludf.DUMMYFUNCTION("""COMPUTED_VALUE"""),"cas_hmw")</f>
        <v>cas_hmw</v>
      </c>
      <c r="B21151" s="5">
        <f>IFERROR(__xludf.DUMMYFUNCTION("""COMPUTED_VALUE"""),44784.0)</f>
        <v>44784</v>
      </c>
      <c r="C21151" s="6">
        <f>IFERROR(__xludf.DUMMYFUNCTION("""COMPUTED_VALUE"""),0.7018865740756155)</f>
        <v>0.7018865741</v>
      </c>
      <c r="D21151" s="4">
        <f>IFERROR(__xludf.DUMMYFUNCTION("""COMPUTED_VALUE"""),12.918334)</f>
        <v>12.918334</v>
      </c>
      <c r="E21151" s="4">
        <f>IFERROR(__xludf.DUMMYFUNCTION("""COMPUTED_VALUE"""),80.108853)</f>
        <v>80.108853</v>
      </c>
      <c r="F21151" s="4">
        <f>IFERROR(__xludf.DUMMYFUNCTION("""COMPUTED_VALUE"""),5339.0)</f>
        <v>5339</v>
      </c>
      <c r="G21151" s="4">
        <f>IFERROR(__xludf.DUMMYFUNCTION("""COMPUTED_VALUE"""),56.0)</f>
        <v>56</v>
      </c>
      <c r="H21151" s="4"/>
      <c r="I21151" s="4"/>
    </row>
    <row r="21152">
      <c r="A21152" s="4" t="str">
        <f>IFERROR(__xludf.DUMMYFUNCTION("""COMPUTED_VALUE"""),"cas_hmw")</f>
        <v>cas_hmw</v>
      </c>
      <c r="B21152" s="5">
        <f>IFERROR(__xludf.DUMMYFUNCTION("""COMPUTED_VALUE"""),44784.0)</f>
        <v>44784</v>
      </c>
      <c r="C21152" s="6">
        <f>IFERROR(__xludf.DUMMYFUNCTION("""COMPUTED_VALUE"""),0.7019560185181035)</f>
        <v>0.7019560185</v>
      </c>
      <c r="D21152" s="4">
        <f>IFERROR(__xludf.DUMMYFUNCTION("""COMPUTED_VALUE"""),12.838441)</f>
        <v>12.838441</v>
      </c>
      <c r="E21152" s="4">
        <f>IFERROR(__xludf.DUMMYFUNCTION("""COMPUTED_VALUE"""),80.054063)</f>
        <v>80.054063</v>
      </c>
      <c r="F21152" s="4">
        <f>IFERROR(__xludf.DUMMYFUNCTION("""COMPUTED_VALUE"""),2846.0)</f>
        <v>2846</v>
      </c>
      <c r="G21152" s="4">
        <f>IFERROR(__xludf.DUMMYFUNCTION("""COMPUTED_VALUE"""),29.0)</f>
        <v>29</v>
      </c>
      <c r="H21152" s="4"/>
      <c r="I21152" s="4"/>
    </row>
    <row r="21153">
      <c r="A21153" s="4" t="str">
        <f>IFERROR(__xludf.DUMMYFUNCTION("""COMPUTED_VALUE"""),"cas_hmw")</f>
        <v>cas_hmw</v>
      </c>
      <c r="B21153" s="5">
        <f>IFERROR(__xludf.DUMMYFUNCTION("""COMPUTED_VALUE"""),44784.0)</f>
        <v>44784</v>
      </c>
      <c r="C21153" s="6">
        <f>IFERROR(__xludf.DUMMYFUNCTION("""COMPUTED_VALUE"""),0.7020138888874499)</f>
        <v>0.7020138889</v>
      </c>
      <c r="D21153" s="4">
        <f>IFERROR(__xludf.DUMMYFUNCTION("""COMPUTED_VALUE"""),12.916611)</f>
        <v>12.916611</v>
      </c>
      <c r="E21153" s="4">
        <f>IFERROR(__xludf.DUMMYFUNCTION("""COMPUTED_VALUE"""),80.10634)</f>
        <v>80.10634</v>
      </c>
      <c r="F21153" s="4">
        <f>IFERROR(__xludf.DUMMYFUNCTION("""COMPUTED_VALUE"""),3143.0)</f>
        <v>3143</v>
      </c>
      <c r="G21153" s="4">
        <f>IFERROR(__xludf.DUMMYFUNCTION("""COMPUTED_VALUE"""),43.0)</f>
        <v>43</v>
      </c>
      <c r="H21153" s="4"/>
      <c r="I21153" s="4"/>
    </row>
    <row r="21154">
      <c r="A21154" s="4" t="str">
        <f>IFERROR(__xludf.DUMMYFUNCTION("""COMPUTED_VALUE"""),"cas_hmw")</f>
        <v>cas_hmw</v>
      </c>
      <c r="B21154" s="5">
        <f>IFERROR(__xludf.DUMMYFUNCTION("""COMPUTED_VALUE"""),44784.0)</f>
        <v>44784</v>
      </c>
      <c r="C21154" s="6">
        <f>IFERROR(__xludf.DUMMYFUNCTION("""COMPUTED_VALUE"""),0.7021874999991269)</f>
        <v>0.7021875</v>
      </c>
      <c r="D21154" s="4">
        <f>IFERROR(__xludf.DUMMYFUNCTION("""COMPUTED_VALUE"""),12.917562)</f>
        <v>12.917562</v>
      </c>
      <c r="E21154" s="4">
        <f>IFERROR(__xludf.DUMMYFUNCTION("""COMPUTED_VALUE"""),80.107958)</f>
        <v>80.107958</v>
      </c>
      <c r="F21154" s="4">
        <f>IFERROR(__xludf.DUMMYFUNCTION("""COMPUTED_VALUE"""),3143.0)</f>
        <v>3143</v>
      </c>
      <c r="G21154" s="4">
        <f>IFERROR(__xludf.DUMMYFUNCTION("""COMPUTED_VALUE"""),37.0)</f>
        <v>37</v>
      </c>
      <c r="H21154" s="4"/>
      <c r="I21154" s="4"/>
    </row>
    <row r="21155">
      <c r="A21155" s="4" t="str">
        <f>IFERROR(__xludf.DUMMYFUNCTION("""COMPUTED_VALUE"""),"cas_hmw")</f>
        <v>cas_hmw</v>
      </c>
      <c r="B21155" s="5">
        <f>IFERROR(__xludf.DUMMYFUNCTION("""COMPUTED_VALUE"""),44784.0)</f>
        <v>44784</v>
      </c>
      <c r="C21155" s="6">
        <f>IFERROR(__xludf.DUMMYFUNCTION("""COMPUTED_VALUE"""),0.7023611111108039)</f>
        <v>0.7023611111</v>
      </c>
      <c r="D21155" s="4">
        <f>IFERROR(__xludf.DUMMYFUNCTION("""COMPUTED_VALUE"""),12.83497)</f>
        <v>12.83497</v>
      </c>
      <c r="E21155" s="4">
        <f>IFERROR(__xludf.DUMMYFUNCTION("""COMPUTED_VALUE"""),80.050473)</f>
        <v>80.050473</v>
      </c>
      <c r="F21155" s="4">
        <f>IFERROR(__xludf.DUMMYFUNCTION("""COMPUTED_VALUE"""),2846.0)</f>
        <v>2846</v>
      </c>
      <c r="G21155" s="4">
        <f>IFERROR(__xludf.DUMMYFUNCTION("""COMPUTED_VALUE"""),56.0)</f>
        <v>56</v>
      </c>
      <c r="H21155" s="4"/>
      <c r="I21155" s="4"/>
    </row>
    <row r="21156">
      <c r="A21156" s="4" t="str">
        <f>IFERROR(__xludf.DUMMYFUNCTION("""COMPUTED_VALUE"""),"cas_hmw")</f>
        <v>cas_hmw</v>
      </c>
      <c r="B21156" s="5">
        <f>IFERROR(__xludf.DUMMYFUNCTION("""COMPUTED_VALUE"""),44784.0)</f>
        <v>44784</v>
      </c>
      <c r="C21156" s="6">
        <f>IFERROR(__xludf.DUMMYFUNCTION("""COMPUTED_VALUE"""),0.7025115740725596)</f>
        <v>0.7025115741</v>
      </c>
      <c r="D21156" s="4">
        <f>IFERROR(__xludf.DUMMYFUNCTION("""COMPUTED_VALUE"""),12.831919)</f>
        <v>12.831919</v>
      </c>
      <c r="E21156" s="4">
        <f>IFERROR(__xludf.DUMMYFUNCTION("""COMPUTED_VALUE"""),80.047284)</f>
        <v>80.047284</v>
      </c>
      <c r="F21156" s="4">
        <f>IFERROR(__xludf.DUMMYFUNCTION("""COMPUTED_VALUE"""),2846.0)</f>
        <v>2846</v>
      </c>
      <c r="G21156" s="4">
        <f>IFERROR(__xludf.DUMMYFUNCTION("""COMPUTED_VALUE"""),58.0)</f>
        <v>58</v>
      </c>
      <c r="H21156" s="4"/>
      <c r="I21156" s="4"/>
    </row>
    <row r="21157">
      <c r="A21157" s="4" t="str">
        <f>IFERROR(__xludf.DUMMYFUNCTION("""COMPUTED_VALUE"""),"cas_hmw")</f>
        <v>cas_hmw</v>
      </c>
      <c r="B21157" s="5">
        <f>IFERROR(__xludf.DUMMYFUNCTION("""COMPUTED_VALUE"""),44784.0)</f>
        <v>44784</v>
      </c>
      <c r="C21157" s="6">
        <f>IFERROR(__xludf.DUMMYFUNCTION("""COMPUTED_VALUE"""),0.7026273148148903)</f>
        <v>0.7026273148</v>
      </c>
      <c r="D21157" s="4">
        <f>IFERROR(__xludf.DUMMYFUNCTION("""COMPUTED_VALUE"""),12.920053)</f>
        <v>12.920053</v>
      </c>
      <c r="E21157" s="4">
        <f>IFERROR(__xludf.DUMMYFUNCTION("""COMPUTED_VALUE"""),80.110946)</f>
        <v>80.110946</v>
      </c>
      <c r="F21157" s="4">
        <f>IFERROR(__xludf.DUMMYFUNCTION("""COMPUTED_VALUE"""),3143.0)</f>
        <v>3143</v>
      </c>
      <c r="G21157" s="4">
        <f>IFERROR(__xludf.DUMMYFUNCTION("""COMPUTED_VALUE"""),43.0)</f>
        <v>43</v>
      </c>
      <c r="H21157" s="4"/>
      <c r="I21157" s="4"/>
    </row>
    <row r="21158">
      <c r="A21158" s="4" t="str">
        <f>IFERROR(__xludf.DUMMYFUNCTION("""COMPUTED_VALUE"""),"cas_hmw")</f>
        <v>cas_hmw</v>
      </c>
      <c r="B21158" s="5">
        <f>IFERROR(__xludf.DUMMYFUNCTION("""COMPUTED_VALUE"""),44784.0)</f>
        <v>44784</v>
      </c>
      <c r="C21158" s="6">
        <f>IFERROR(__xludf.DUMMYFUNCTION("""COMPUTED_VALUE"""),0.7027430555572209)</f>
        <v>0.7027430556</v>
      </c>
      <c r="D21158" s="4">
        <f>IFERROR(__xludf.DUMMYFUNCTION("""COMPUTED_VALUE"""),12.920786)</f>
        <v>12.920786</v>
      </c>
      <c r="E21158" s="4">
        <f>IFERROR(__xludf.DUMMYFUNCTION("""COMPUTED_VALUE"""),80.111704)</f>
        <v>80.111704</v>
      </c>
      <c r="F21158" s="4">
        <f>IFERROR(__xludf.DUMMYFUNCTION("""COMPUTED_VALUE"""),3143.0)</f>
        <v>3143</v>
      </c>
      <c r="G21158" s="4">
        <f>IFERROR(__xludf.DUMMYFUNCTION("""COMPUTED_VALUE"""),37.0)</f>
        <v>37</v>
      </c>
      <c r="H21158" s="4"/>
      <c r="I21158" s="4"/>
    </row>
    <row r="21159">
      <c r="A21159" s="4" t="str">
        <f>IFERROR(__xludf.DUMMYFUNCTION("""COMPUTED_VALUE"""),"cas_hmw")</f>
        <v>cas_hmw</v>
      </c>
      <c r="B21159" s="5">
        <f>IFERROR(__xludf.DUMMYFUNCTION("""COMPUTED_VALUE"""),44784.0)</f>
        <v>44784</v>
      </c>
      <c r="C21159" s="6">
        <f>IFERROR(__xludf.DUMMYFUNCTION("""COMPUTED_VALUE"""),0.7027662037035043)</f>
        <v>0.7027662037</v>
      </c>
      <c r="D21159" s="4">
        <f>IFERROR(__xludf.DUMMYFUNCTION("""COMPUTED_VALUE"""),12.920786)</f>
        <v>12.920786</v>
      </c>
      <c r="E21159" s="4">
        <f>IFERROR(__xludf.DUMMYFUNCTION("""COMPUTED_VALUE"""),80.111704)</f>
        <v>80.111704</v>
      </c>
      <c r="F21159" s="4">
        <f>IFERROR(__xludf.DUMMYFUNCTION("""COMPUTED_VALUE"""),3143.0)</f>
        <v>3143</v>
      </c>
      <c r="G21159" s="4">
        <f>IFERROR(__xludf.DUMMYFUNCTION("""COMPUTED_VALUE"""),37.0)</f>
        <v>37</v>
      </c>
      <c r="H21159" s="4"/>
      <c r="I21159" s="4"/>
    </row>
    <row r="21160">
      <c r="A21160" s="4" t="str">
        <f>IFERROR(__xludf.DUMMYFUNCTION("""COMPUTED_VALUE"""),"cas_hmw")</f>
        <v>cas_hmw</v>
      </c>
      <c r="B21160" s="5">
        <f>IFERROR(__xludf.DUMMYFUNCTION("""COMPUTED_VALUE"""),44784.0)</f>
        <v>44784</v>
      </c>
      <c r="C21160" s="6">
        <f>IFERROR(__xludf.DUMMYFUNCTION("""COMPUTED_VALUE"""),0.703090277776937)</f>
        <v>0.7030902778</v>
      </c>
      <c r="D21160" s="4">
        <f>IFERROR(__xludf.DUMMYFUNCTION("""COMPUTED_VALUE"""),12.827009)</f>
        <v>12.827009</v>
      </c>
      <c r="E21160" s="4">
        <f>IFERROR(__xludf.DUMMYFUNCTION("""COMPUTED_VALUE"""),80.042078)</f>
        <v>80.042078</v>
      </c>
      <c r="F21160" s="4">
        <f>IFERROR(__xludf.DUMMYFUNCTION("""COMPUTED_VALUE"""),2846.0)</f>
        <v>2846</v>
      </c>
      <c r="G21160" s="4">
        <f>IFERROR(__xludf.DUMMYFUNCTION("""COMPUTED_VALUE"""),57.0)</f>
        <v>57</v>
      </c>
      <c r="H21160" s="4"/>
      <c r="I21160" s="4"/>
    </row>
    <row r="21161">
      <c r="A21161" s="4" t="str">
        <f>IFERROR(__xludf.DUMMYFUNCTION("""COMPUTED_VALUE"""),"cas_hmw")</f>
        <v>cas_hmw</v>
      </c>
      <c r="B21161" s="5">
        <f>IFERROR(__xludf.DUMMYFUNCTION("""COMPUTED_VALUE"""),44784.0)</f>
        <v>44784</v>
      </c>
      <c r="C21161" s="6">
        <f>IFERROR(__xludf.DUMMYFUNCTION("""COMPUTED_VALUE"""),0.7039236111122591)</f>
        <v>0.7039236111</v>
      </c>
      <c r="D21161" s="4">
        <f>IFERROR(__xludf.DUMMYFUNCTION("""COMPUTED_VALUE"""),12.821476)</f>
        <v>12.821476</v>
      </c>
      <c r="E21161" s="4">
        <f>IFERROR(__xludf.DUMMYFUNCTION("""COMPUTED_VALUE"""),80.037927)</f>
        <v>80.037927</v>
      </c>
      <c r="F21161" s="4">
        <f>IFERROR(__xludf.DUMMYFUNCTION("""COMPUTED_VALUE"""),2846.0)</f>
        <v>2846</v>
      </c>
      <c r="G21161" s="4">
        <f>IFERROR(__xludf.DUMMYFUNCTION("""COMPUTED_VALUE"""),22.0)</f>
        <v>22</v>
      </c>
      <c r="H21161" s="4"/>
      <c r="I21161" s="4"/>
    </row>
    <row r="21162">
      <c r="A21162" s="4" t="str">
        <f>IFERROR(__xludf.DUMMYFUNCTION("""COMPUTED_VALUE"""),"cas_hmw")</f>
        <v>cas_hmw</v>
      </c>
      <c r="B21162" s="5">
        <f>IFERROR(__xludf.DUMMYFUNCTION("""COMPUTED_VALUE"""),44784.0)</f>
        <v>44784</v>
      </c>
      <c r="C21162" s="6">
        <f>IFERROR(__xludf.DUMMYFUNCTION("""COMPUTED_VALUE"""),0.7053124999983993)</f>
        <v>0.7053125</v>
      </c>
      <c r="D21162" s="4">
        <f>IFERROR(__xludf.DUMMYFUNCTION("""COMPUTED_VALUE"""),12.928594)</f>
        <v>12.928594</v>
      </c>
      <c r="E21162" s="4">
        <f>IFERROR(__xludf.DUMMYFUNCTION("""COMPUTED_VALUE"""),80.119709)</f>
        <v>80.119709</v>
      </c>
      <c r="F21162" s="4">
        <f>IFERROR(__xludf.DUMMYFUNCTION("""COMPUTED_VALUE"""),805.0)</f>
        <v>805</v>
      </c>
      <c r="G21162" s="4">
        <f>IFERROR(__xludf.DUMMYFUNCTION("""COMPUTED_VALUE"""),42.0)</f>
        <v>42</v>
      </c>
      <c r="H21162" s="4"/>
      <c r="I21162" s="4"/>
    </row>
    <row r="21163">
      <c r="A21163" s="4" t="str">
        <f>IFERROR(__xludf.DUMMYFUNCTION("""COMPUTED_VALUE"""),"cas_hmw")</f>
        <v>cas_hmw</v>
      </c>
      <c r="B21163" s="5">
        <f>IFERROR(__xludf.DUMMYFUNCTION("""COMPUTED_VALUE"""),44784.0)</f>
        <v>44784</v>
      </c>
      <c r="C21163" s="6">
        <f>IFERROR(__xludf.DUMMYFUNCTION("""COMPUTED_VALUE"""),0.7064004629646661)</f>
        <v>0.706400463</v>
      </c>
      <c r="D21163" s="4">
        <f>IFERROR(__xludf.DUMMYFUNCTION("""COMPUTED_VALUE"""),12.922831)</f>
        <v>12.922831</v>
      </c>
      <c r="E21163" s="4">
        <f>IFERROR(__xludf.DUMMYFUNCTION("""COMPUTED_VALUE"""),80.130347)</f>
        <v>80.130347</v>
      </c>
      <c r="F21163" s="4">
        <f>IFERROR(__xludf.DUMMYFUNCTION("""COMPUTED_VALUE"""),3143.0)</f>
        <v>3143</v>
      </c>
      <c r="G21163" s="4">
        <f>IFERROR(__xludf.DUMMYFUNCTION("""COMPUTED_VALUE"""),33.0)</f>
        <v>33</v>
      </c>
      <c r="H21163" s="4"/>
      <c r="I21163" s="4"/>
    </row>
    <row r="21164">
      <c r="A21164" s="4" t="str">
        <f>IFERROR(__xludf.DUMMYFUNCTION("""COMPUTED_VALUE"""),"cas_hmw")</f>
        <v>cas_hmw</v>
      </c>
      <c r="B21164" s="5">
        <f>IFERROR(__xludf.DUMMYFUNCTION("""COMPUTED_VALUE"""),44784.0)</f>
        <v>44784</v>
      </c>
      <c r="C21164" s="6">
        <f>IFERROR(__xludf.DUMMYFUNCTION("""COMPUTED_VALUE"""),0.7064467592608707)</f>
        <v>0.7064467593</v>
      </c>
      <c r="D21164" s="4">
        <f>IFERROR(__xludf.DUMMYFUNCTION("""COMPUTED_VALUE"""),12.922831)</f>
        <v>12.922831</v>
      </c>
      <c r="E21164" s="4">
        <f>IFERROR(__xludf.DUMMYFUNCTION("""COMPUTED_VALUE"""),80.130347)</f>
        <v>80.130347</v>
      </c>
      <c r="F21164" s="4">
        <f>IFERROR(__xludf.DUMMYFUNCTION("""COMPUTED_VALUE"""),3143.0)</f>
        <v>3143</v>
      </c>
      <c r="G21164" s="4">
        <f>IFERROR(__xludf.DUMMYFUNCTION("""COMPUTED_VALUE"""),33.0)</f>
        <v>33</v>
      </c>
      <c r="H21164" s="4"/>
      <c r="I21164" s="4"/>
    </row>
    <row r="21165">
      <c r="A21165" s="4" t="str">
        <f>IFERROR(__xludf.DUMMYFUNCTION("""COMPUTED_VALUE"""),"cas_hmw")</f>
        <v>cas_hmw</v>
      </c>
      <c r="B21165" s="5">
        <f>IFERROR(__xludf.DUMMYFUNCTION("""COMPUTED_VALUE"""),44784.0)</f>
        <v>44784</v>
      </c>
      <c r="C21165" s="6">
        <f>IFERROR(__xludf.DUMMYFUNCTION("""COMPUTED_VALUE"""),0.7064814814802958)</f>
        <v>0.7064814815</v>
      </c>
      <c r="D21165" s="4">
        <f>IFERROR(__xludf.DUMMYFUNCTION("""COMPUTED_VALUE"""),12.922831)</f>
        <v>12.922831</v>
      </c>
      <c r="E21165" s="4">
        <f>IFERROR(__xludf.DUMMYFUNCTION("""COMPUTED_VALUE"""),80.130347)</f>
        <v>80.130347</v>
      </c>
      <c r="F21165" s="4">
        <f>IFERROR(__xludf.DUMMYFUNCTION("""COMPUTED_VALUE"""),3143.0)</f>
        <v>3143</v>
      </c>
      <c r="G21165" s="4">
        <f>IFERROR(__xludf.DUMMYFUNCTION("""COMPUTED_VALUE"""),33.0)</f>
        <v>33</v>
      </c>
      <c r="H21165" s="4"/>
      <c r="I21165" s="4"/>
    </row>
    <row r="21166">
      <c r="A21166" s="4" t="str">
        <f>IFERROR(__xludf.DUMMYFUNCTION("""COMPUTED_VALUE"""),"cas_hmw")</f>
        <v>cas_hmw</v>
      </c>
      <c r="B21166" s="5">
        <f>IFERROR(__xludf.DUMMYFUNCTION("""COMPUTED_VALUE"""),44784.0)</f>
        <v>44784</v>
      </c>
      <c r="C21166" s="6">
        <f>IFERROR(__xludf.DUMMYFUNCTION("""COMPUTED_VALUE"""),0.7067476851843821)</f>
        <v>0.7067476852</v>
      </c>
      <c r="D21166" s="4">
        <f>IFERROR(__xludf.DUMMYFUNCTION("""COMPUTED_VALUE"""),12.931197)</f>
        <v>12.931197</v>
      </c>
      <c r="E21166" s="4">
        <f>IFERROR(__xludf.DUMMYFUNCTION("""COMPUTED_VALUE"""),80.122281)</f>
        <v>80.122281</v>
      </c>
      <c r="F21166" s="4">
        <f>IFERROR(__xludf.DUMMYFUNCTION("""COMPUTED_VALUE"""),805.0)</f>
        <v>805</v>
      </c>
      <c r="G21166" s="4">
        <f>IFERROR(__xludf.DUMMYFUNCTION("""COMPUTED_VALUE"""),13.0)</f>
        <v>13</v>
      </c>
      <c r="H21166" s="4"/>
      <c r="I21166" s="4"/>
    </row>
    <row r="21167">
      <c r="A21167" s="4" t="str">
        <f>IFERROR(__xludf.DUMMYFUNCTION("""COMPUTED_VALUE"""),"cas_hmw")</f>
        <v>cas_hmw</v>
      </c>
      <c r="B21167" s="5">
        <f>IFERROR(__xludf.DUMMYFUNCTION("""COMPUTED_VALUE"""),44784.0)</f>
        <v>44784</v>
      </c>
      <c r="C21167" s="6">
        <f>IFERROR(__xludf.DUMMYFUNCTION("""COMPUTED_VALUE"""),0.7067592592575238)</f>
        <v>0.7067592593</v>
      </c>
      <c r="D21167" s="4">
        <f>IFERROR(__xludf.DUMMYFUNCTION("""COMPUTED_VALUE"""),12.931197)</f>
        <v>12.931197</v>
      </c>
      <c r="E21167" s="4">
        <f>IFERROR(__xludf.DUMMYFUNCTION("""COMPUTED_VALUE"""),80.122281)</f>
        <v>80.122281</v>
      </c>
      <c r="F21167" s="4">
        <f>IFERROR(__xludf.DUMMYFUNCTION("""COMPUTED_VALUE"""),805.0)</f>
        <v>805</v>
      </c>
      <c r="G21167" s="4">
        <f>IFERROR(__xludf.DUMMYFUNCTION("""COMPUTED_VALUE"""),13.0)</f>
        <v>13</v>
      </c>
      <c r="H21167" s="4"/>
      <c r="I21167" s="4"/>
    </row>
    <row r="21168">
      <c r="A21168" s="4" t="str">
        <f>IFERROR(__xludf.DUMMYFUNCTION("""COMPUTED_VALUE"""),"cas_hmw")</f>
        <v>cas_hmw</v>
      </c>
      <c r="B21168" s="5">
        <f>IFERROR(__xludf.DUMMYFUNCTION("""COMPUTED_VALUE"""),44784.0)</f>
        <v>44784</v>
      </c>
      <c r="C21168" s="6">
        <f>IFERROR(__xludf.DUMMYFUNCTION("""COMPUTED_VALUE"""),0.7068981481497758)</f>
        <v>0.7068981481</v>
      </c>
      <c r="D21168" s="4">
        <f>IFERROR(__xludf.DUMMYFUNCTION("""COMPUTED_VALUE"""),12.932216)</f>
        <v>12.932216</v>
      </c>
      <c r="E21168" s="4">
        <f>IFERROR(__xludf.DUMMYFUNCTION("""COMPUTED_VALUE"""),80.123319)</f>
        <v>80.123319</v>
      </c>
      <c r="F21168" s="4">
        <f>IFERROR(__xludf.DUMMYFUNCTION("""COMPUTED_VALUE"""),805.0)</f>
        <v>805</v>
      </c>
      <c r="G21168" s="4">
        <f>IFERROR(__xludf.DUMMYFUNCTION("""COMPUTED_VALUE"""),46.0)</f>
        <v>46</v>
      </c>
      <c r="H21168" s="4"/>
      <c r="I21168" s="4"/>
    </row>
    <row r="21169">
      <c r="A21169" s="4" t="str">
        <f>IFERROR(__xludf.DUMMYFUNCTION("""COMPUTED_VALUE"""),"cas_hmw")</f>
        <v>cas_hmw</v>
      </c>
      <c r="B21169" s="5">
        <f>IFERROR(__xludf.DUMMYFUNCTION("""COMPUTED_VALUE"""),44784.0)</f>
        <v>44784</v>
      </c>
      <c r="C21169" s="6">
        <f>IFERROR(__xludf.DUMMYFUNCTION("""COMPUTED_VALUE"""),0.7080555555548926)</f>
        <v>0.7080555556</v>
      </c>
      <c r="D21169" s="4">
        <f>IFERROR(__xludf.DUMMYFUNCTION("""COMPUTED_VALUE"""),12.922465)</f>
        <v>12.922465</v>
      </c>
      <c r="E21169" s="4">
        <f>IFERROR(__xludf.DUMMYFUNCTION("""COMPUTED_VALUE"""),80.13852)</f>
        <v>80.13852</v>
      </c>
      <c r="F21169" s="4">
        <f>IFERROR(__xludf.DUMMYFUNCTION("""COMPUTED_VALUE"""),3143.0)</f>
        <v>3143</v>
      </c>
      <c r="G21169" s="4">
        <f>IFERROR(__xludf.DUMMYFUNCTION("""COMPUTED_VALUE"""),28.0)</f>
        <v>28</v>
      </c>
      <c r="H21169" s="4"/>
      <c r="I21169" s="4"/>
    </row>
    <row r="21170">
      <c r="A21170" s="4" t="str">
        <f>IFERROR(__xludf.DUMMYFUNCTION("""COMPUTED_VALUE"""),"cas_hmw")</f>
        <v>cas_hmw</v>
      </c>
      <c r="B21170" s="5">
        <f>IFERROR(__xludf.DUMMYFUNCTION("""COMPUTED_VALUE"""),44784.0)</f>
        <v>44784</v>
      </c>
      <c r="C21170" s="6">
        <f>IFERROR(__xludf.DUMMYFUNCTION("""COMPUTED_VALUE"""),0.7085416666668607)</f>
        <v>0.7085416667</v>
      </c>
      <c r="D21170" s="4">
        <f>IFERROR(__xludf.DUMMYFUNCTION("""COMPUTED_VALUE"""),12.773415)</f>
        <v>12.773415</v>
      </c>
      <c r="E21170" s="4">
        <f>IFERROR(__xludf.DUMMYFUNCTION("""COMPUTED_VALUE"""),80.008912)</f>
        <v>80.008912</v>
      </c>
      <c r="F21170" s="4">
        <f>IFERROR(__xludf.DUMMYFUNCTION("""COMPUTED_VALUE"""),2846.0)</f>
        <v>2846</v>
      </c>
      <c r="G21170" s="4">
        <f>IFERROR(__xludf.DUMMYFUNCTION("""COMPUTED_VALUE"""),58.0)</f>
        <v>58</v>
      </c>
      <c r="H21170" s="4"/>
      <c r="I21170" s="4"/>
    </row>
    <row r="21171">
      <c r="A21171" s="4" t="str">
        <f>IFERROR(__xludf.DUMMYFUNCTION("""COMPUTED_VALUE"""),"cas_hmw")</f>
        <v>cas_hmw</v>
      </c>
      <c r="B21171" s="5">
        <f>IFERROR(__xludf.DUMMYFUNCTION("""COMPUTED_VALUE"""),44784.0)</f>
        <v>44784</v>
      </c>
      <c r="C21171" s="6">
        <f>IFERROR(__xludf.DUMMYFUNCTION("""COMPUTED_VALUE"""),0.7085416666668607)</f>
        <v>0.7085416667</v>
      </c>
      <c r="D21171" s="4">
        <f>IFERROR(__xludf.DUMMYFUNCTION("""COMPUTED_VALUE"""),12.922551)</f>
        <v>12.922551</v>
      </c>
      <c r="E21171" s="4">
        <f>IFERROR(__xludf.DUMMYFUNCTION("""COMPUTED_VALUE"""),80.14298)</f>
        <v>80.14298</v>
      </c>
      <c r="F21171" s="4">
        <f>IFERROR(__xludf.DUMMYFUNCTION("""COMPUTED_VALUE"""),3143.0)</f>
        <v>3143</v>
      </c>
      <c r="G21171" s="4">
        <f>IFERROR(__xludf.DUMMYFUNCTION("""COMPUTED_VALUE"""),22.0)</f>
        <v>22</v>
      </c>
      <c r="H21171" s="4"/>
      <c r="I21171" s="4"/>
    </row>
    <row r="21172">
      <c r="A21172" s="4" t="str">
        <f>IFERROR(__xludf.DUMMYFUNCTION("""COMPUTED_VALUE"""),"cas_hmw")</f>
        <v>cas_hmw</v>
      </c>
      <c r="B21172" s="5">
        <f>IFERROR(__xludf.DUMMYFUNCTION("""COMPUTED_VALUE"""),44784.0)</f>
        <v>44784</v>
      </c>
      <c r="C21172" s="6">
        <f>IFERROR(__xludf.DUMMYFUNCTION("""COMPUTED_VALUE"""),0.7087962962978054)</f>
        <v>0.7087962963</v>
      </c>
      <c r="D21172" s="4">
        <f>IFERROR(__xludf.DUMMYFUNCTION("""COMPUTED_VALUE"""),12.922566)</f>
        <v>12.922566</v>
      </c>
      <c r="E21172" s="4">
        <f>IFERROR(__xludf.DUMMYFUNCTION("""COMPUTED_VALUE"""),80.144424)</f>
        <v>80.144424</v>
      </c>
      <c r="F21172" s="4">
        <f>IFERROR(__xludf.DUMMYFUNCTION("""COMPUTED_VALUE"""),3143.0)</f>
        <v>3143</v>
      </c>
      <c r="G21172" s="4">
        <f>IFERROR(__xludf.DUMMYFUNCTION("""COMPUTED_VALUE"""),42.0)</f>
        <v>42</v>
      </c>
      <c r="H21172" s="4"/>
      <c r="I21172" s="4"/>
    </row>
    <row r="21173">
      <c r="A21173" s="4" t="str">
        <f>IFERROR(__xludf.DUMMYFUNCTION("""COMPUTED_VALUE"""),"cas_hmw")</f>
        <v>cas_hmw</v>
      </c>
      <c r="B21173" s="5">
        <f>IFERROR(__xludf.DUMMYFUNCTION("""COMPUTED_VALUE"""),44784.0)</f>
        <v>44784</v>
      </c>
      <c r="C21173" s="6">
        <f>IFERROR(__xludf.DUMMYFUNCTION("""COMPUTED_VALUE"""),0.7090277777788287)</f>
        <v>0.7090277778</v>
      </c>
      <c r="D21173" s="4">
        <f>IFERROR(__xludf.DUMMYFUNCTION("""COMPUTED_VALUE"""),12.769055)</f>
        <v>12.769055</v>
      </c>
      <c r="E21173" s="4">
        <f>IFERROR(__xludf.DUMMYFUNCTION("""COMPUTED_VALUE"""),80.006809)</f>
        <v>80.006809</v>
      </c>
      <c r="F21173" s="4">
        <f>IFERROR(__xludf.DUMMYFUNCTION("""COMPUTED_VALUE"""),2846.0)</f>
        <v>2846</v>
      </c>
      <c r="G21173" s="4">
        <f>IFERROR(__xludf.DUMMYFUNCTION("""COMPUTED_VALUE"""),58.0)</f>
        <v>58</v>
      </c>
      <c r="H21173" s="4"/>
      <c r="I21173" s="4"/>
    </row>
    <row r="21174">
      <c r="A21174" s="4" t="str">
        <f>IFERROR(__xludf.DUMMYFUNCTION("""COMPUTED_VALUE"""),"cas_hmw")</f>
        <v>cas_hmw</v>
      </c>
      <c r="B21174" s="5">
        <f>IFERROR(__xludf.DUMMYFUNCTION("""COMPUTED_VALUE"""),44784.0)</f>
        <v>44784</v>
      </c>
      <c r="C21174" s="6">
        <f>IFERROR(__xludf.DUMMYFUNCTION("""COMPUTED_VALUE"""),0.7093055555560568)</f>
        <v>0.7093055556</v>
      </c>
      <c r="D21174" s="4">
        <f>IFERROR(__xludf.DUMMYFUNCTION("""COMPUTED_VALUE"""),12.942451)</f>
        <v>12.942451</v>
      </c>
      <c r="E21174" s="4">
        <f>IFERROR(__xludf.DUMMYFUNCTION("""COMPUTED_VALUE"""),80.133008)</f>
        <v>80.133008</v>
      </c>
      <c r="F21174" s="4">
        <f>IFERROR(__xludf.DUMMYFUNCTION("""COMPUTED_VALUE"""),805.0)</f>
        <v>805</v>
      </c>
      <c r="G21174" s="4">
        <f>IFERROR(__xludf.DUMMYFUNCTION("""COMPUTED_VALUE"""),19.0)</f>
        <v>19</v>
      </c>
      <c r="H21174" s="4"/>
      <c r="I21174" s="4"/>
    </row>
    <row r="21175">
      <c r="A21175" s="4" t="str">
        <f>IFERROR(__xludf.DUMMYFUNCTION("""COMPUTED_VALUE"""),"cas_hmw")</f>
        <v>cas_hmw</v>
      </c>
      <c r="B21175" s="5">
        <f>IFERROR(__xludf.DUMMYFUNCTION("""COMPUTED_VALUE"""),44784.0)</f>
        <v>44784</v>
      </c>
      <c r="C21175" s="6">
        <f>IFERROR(__xludf.DUMMYFUNCTION("""COMPUTED_VALUE"""),0.7094560185178125)</f>
        <v>0.7094560185</v>
      </c>
      <c r="D21175" s="4">
        <f>IFERROR(__xludf.DUMMYFUNCTION("""COMPUTED_VALUE"""),12.9435)</f>
        <v>12.9435</v>
      </c>
      <c r="E21175" s="4">
        <f>IFERROR(__xludf.DUMMYFUNCTION("""COMPUTED_VALUE"""),80.134076)</f>
        <v>80.134076</v>
      </c>
      <c r="F21175" s="4">
        <f>IFERROR(__xludf.DUMMYFUNCTION("""COMPUTED_VALUE"""),805.0)</f>
        <v>805</v>
      </c>
      <c r="G21175" s="4">
        <f>IFERROR(__xludf.DUMMYFUNCTION("""COMPUTED_VALUE"""),34.0)</f>
        <v>34</v>
      </c>
      <c r="H21175" s="4"/>
      <c r="I21175" s="4"/>
    </row>
    <row r="21176">
      <c r="A21176" s="4" t="str">
        <f>IFERROR(__xludf.DUMMYFUNCTION("""COMPUTED_VALUE"""),"cas_hmw")</f>
        <v>cas_hmw</v>
      </c>
      <c r="B21176" s="5">
        <f>IFERROR(__xludf.DUMMYFUNCTION("""COMPUTED_VALUE"""),44784.0)</f>
        <v>44784</v>
      </c>
      <c r="C21176" s="6">
        <f>IFERROR(__xludf.DUMMYFUNCTION("""COMPUTED_VALUE"""),0.7095370370370802)</f>
        <v>0.709537037</v>
      </c>
      <c r="D21176" s="4">
        <f>IFERROR(__xludf.DUMMYFUNCTION("""COMPUTED_VALUE"""),12.933619)</f>
        <v>12.933619</v>
      </c>
      <c r="E21176" s="4">
        <f>IFERROR(__xludf.DUMMYFUNCTION("""COMPUTED_VALUE"""),80.124752)</f>
        <v>80.124752</v>
      </c>
      <c r="F21176" s="4">
        <f>IFERROR(__xludf.DUMMYFUNCTION("""COMPUTED_VALUE"""),5339.0)</f>
        <v>5339</v>
      </c>
      <c r="G21176" s="4">
        <f>IFERROR(__xludf.DUMMYFUNCTION("""COMPUTED_VALUE"""),37.0)</f>
        <v>37</v>
      </c>
      <c r="H21176" s="4"/>
      <c r="I21176" s="4"/>
    </row>
    <row r="21177">
      <c r="A21177" s="4" t="str">
        <f>IFERROR(__xludf.DUMMYFUNCTION("""COMPUTED_VALUE"""),"cas_hmw")</f>
        <v>cas_hmw</v>
      </c>
      <c r="B21177" s="5">
        <f>IFERROR(__xludf.DUMMYFUNCTION("""COMPUTED_VALUE"""),44784.0)</f>
        <v>44784</v>
      </c>
      <c r="C21177" s="6">
        <f>IFERROR(__xludf.DUMMYFUNCTION("""COMPUTED_VALUE"""),0.7095717592601432)</f>
        <v>0.7095717593</v>
      </c>
      <c r="D21177" s="4">
        <f>IFERROR(__xludf.DUMMYFUNCTION("""COMPUTED_VALUE"""),12.922734)</f>
        <v>12.922734</v>
      </c>
      <c r="E21177" s="4">
        <f>IFERROR(__xludf.DUMMYFUNCTION("""COMPUTED_VALUE"""),80.147524)</f>
        <v>80.147524</v>
      </c>
      <c r="F21177" s="4">
        <f>IFERROR(__xludf.DUMMYFUNCTION("""COMPUTED_VALUE"""),3143.0)</f>
        <v>3143</v>
      </c>
      <c r="G21177" s="4">
        <f>IFERROR(__xludf.DUMMYFUNCTION("""COMPUTED_VALUE"""),19.0)</f>
        <v>19</v>
      </c>
      <c r="H21177" s="4"/>
      <c r="I21177" s="4"/>
    </row>
    <row r="21178">
      <c r="A21178" s="4" t="str">
        <f>IFERROR(__xludf.DUMMYFUNCTION("""COMPUTED_VALUE"""),"cas_hmw")</f>
        <v>cas_hmw</v>
      </c>
      <c r="B21178" s="5">
        <f>IFERROR(__xludf.DUMMYFUNCTION("""COMPUTED_VALUE"""),44784.0)</f>
        <v>44784</v>
      </c>
      <c r="C21178" s="6">
        <f>IFERROR(__xludf.DUMMYFUNCTION("""COMPUTED_VALUE"""),0.7096643518525525)</f>
        <v>0.7096643519</v>
      </c>
      <c r="D21178" s="4">
        <f>IFERROR(__xludf.DUMMYFUNCTION("""COMPUTED_VALUE"""),12.944239)</f>
        <v>12.944239</v>
      </c>
      <c r="E21178" s="4">
        <f>IFERROR(__xludf.DUMMYFUNCTION("""COMPUTED_VALUE"""),80.134717)</f>
        <v>80.134717</v>
      </c>
      <c r="F21178" s="4">
        <f>IFERROR(__xludf.DUMMYFUNCTION("""COMPUTED_VALUE"""),805.0)</f>
        <v>805</v>
      </c>
      <c r="G21178" s="4">
        <f>IFERROR(__xludf.DUMMYFUNCTION("""COMPUTED_VALUE"""),44.0)</f>
        <v>44</v>
      </c>
      <c r="H21178" s="4"/>
      <c r="I21178" s="4"/>
    </row>
    <row r="21179">
      <c r="A21179" s="4" t="str">
        <f>IFERROR(__xludf.DUMMYFUNCTION("""COMPUTED_VALUE"""),"cas_hmw")</f>
        <v>cas_hmw</v>
      </c>
      <c r="B21179" s="5">
        <f>IFERROR(__xludf.DUMMYFUNCTION("""COMPUTED_VALUE"""),44784.0)</f>
        <v>44784</v>
      </c>
      <c r="C21179" s="6">
        <f>IFERROR(__xludf.DUMMYFUNCTION("""COMPUTED_VALUE"""),0.7099074074067175)</f>
        <v>0.7099074074</v>
      </c>
      <c r="D21179" s="4">
        <f>IFERROR(__xludf.DUMMYFUNCTION("""COMPUTED_VALUE"""),12.764127)</f>
        <v>12.764127</v>
      </c>
      <c r="E21179" s="4">
        <f>IFERROR(__xludf.DUMMYFUNCTION("""COMPUTED_VALUE"""),80.004602)</f>
        <v>80.004602</v>
      </c>
      <c r="F21179" s="4">
        <f>IFERROR(__xludf.DUMMYFUNCTION("""COMPUTED_VALUE"""),2846.0)</f>
        <v>2846</v>
      </c>
      <c r="G21179" s="4">
        <f>IFERROR(__xludf.DUMMYFUNCTION("""COMPUTED_VALUE"""),57.0)</f>
        <v>57</v>
      </c>
      <c r="H21179" s="4"/>
      <c r="I21179" s="4"/>
    </row>
    <row r="21180">
      <c r="A21180" s="4" t="str">
        <f>IFERROR(__xludf.DUMMYFUNCTION("""COMPUTED_VALUE"""),"cas_hmw")</f>
        <v>cas_hmw</v>
      </c>
      <c r="B21180" s="5">
        <f>IFERROR(__xludf.DUMMYFUNCTION("""COMPUTED_VALUE"""),44784.0)</f>
        <v>44784</v>
      </c>
      <c r="C21180" s="6">
        <f>IFERROR(__xludf.DUMMYFUNCTION("""COMPUTED_VALUE"""),0.7099999999991269)</f>
        <v>0.71</v>
      </c>
      <c r="D21180" s="4">
        <f>IFERROR(__xludf.DUMMYFUNCTION("""COMPUTED_VALUE"""),12.947318)</f>
        <v>12.947318</v>
      </c>
      <c r="E21180" s="4">
        <f>IFERROR(__xludf.DUMMYFUNCTION("""COMPUTED_VALUE"""),80.137028)</f>
        <v>80.137028</v>
      </c>
      <c r="F21180" s="4">
        <f>IFERROR(__xludf.DUMMYFUNCTION("""COMPUTED_VALUE"""),805.0)</f>
        <v>805</v>
      </c>
      <c r="G21180" s="4">
        <f>IFERROR(__xludf.DUMMYFUNCTION("""COMPUTED_VALUE"""),48.0)</f>
        <v>48</v>
      </c>
      <c r="H21180" s="4"/>
      <c r="I21180" s="4"/>
    </row>
    <row r="21181">
      <c r="A21181" s="4" t="str">
        <f>IFERROR(__xludf.DUMMYFUNCTION("""COMPUTED_VALUE"""),"cas_hmw")</f>
        <v>cas_hmw</v>
      </c>
      <c r="B21181" s="5">
        <f>IFERROR(__xludf.DUMMYFUNCTION("""COMPUTED_VALUE"""),44784.0)</f>
        <v>44784</v>
      </c>
      <c r="C21181" s="6">
        <f>IFERROR(__xludf.DUMMYFUNCTION("""COMPUTED_VALUE"""),0.7101157407414576)</f>
        <v>0.7101157407</v>
      </c>
      <c r="D21181" s="4">
        <f>IFERROR(__xludf.DUMMYFUNCTION("""COMPUTED_VALUE"""),12.948498)</f>
        <v>12.948498</v>
      </c>
      <c r="E21181" s="4">
        <f>IFERROR(__xludf.DUMMYFUNCTION("""COMPUTED_VALUE"""),80.137872)</f>
        <v>80.137872</v>
      </c>
      <c r="F21181" s="4">
        <f>IFERROR(__xludf.DUMMYFUNCTION("""COMPUTED_VALUE"""),805.0)</f>
        <v>805</v>
      </c>
      <c r="G21181" s="4">
        <f>IFERROR(__xludf.DUMMYFUNCTION("""COMPUTED_VALUE"""),59.0)</f>
        <v>59</v>
      </c>
      <c r="H21181" s="4"/>
      <c r="I21181" s="4"/>
    </row>
    <row r="21182">
      <c r="A21182" s="4" t="str">
        <f>IFERROR(__xludf.DUMMYFUNCTION("""COMPUTED_VALUE"""),"cas_hmw")</f>
        <v>cas_hmw</v>
      </c>
      <c r="B21182" s="5">
        <f>IFERROR(__xludf.DUMMYFUNCTION("""COMPUTED_VALUE"""),44784.0)</f>
        <v>44784</v>
      </c>
      <c r="C21182" s="6">
        <f>IFERROR(__xludf.DUMMYFUNCTION("""COMPUTED_VALUE"""),0.7103703703687643)</f>
        <v>0.7103703704</v>
      </c>
      <c r="D21182" s="4">
        <f>IFERROR(__xludf.DUMMYFUNCTION("""COMPUTED_VALUE"""),12.93992)</f>
        <v>12.93992</v>
      </c>
      <c r="E21182" s="4">
        <f>IFERROR(__xludf.DUMMYFUNCTION("""COMPUTED_VALUE"""),80.130407)</f>
        <v>80.130407</v>
      </c>
      <c r="F21182" s="4">
        <f>IFERROR(__xludf.DUMMYFUNCTION("""COMPUTED_VALUE"""),5339.0)</f>
        <v>5339</v>
      </c>
      <c r="G21182" s="4">
        <f>IFERROR(__xludf.DUMMYFUNCTION("""COMPUTED_VALUE"""),55.0)</f>
        <v>55</v>
      </c>
      <c r="H21182" s="4"/>
      <c r="I21182" s="4"/>
    </row>
    <row r="21183">
      <c r="A21183" s="4" t="str">
        <f>IFERROR(__xludf.DUMMYFUNCTION("""COMPUTED_VALUE"""),"cas_hmw")</f>
        <v>cas_hmw</v>
      </c>
      <c r="B21183" s="5">
        <f>IFERROR(__xludf.DUMMYFUNCTION("""COMPUTED_VALUE"""),44784.0)</f>
        <v>44784</v>
      </c>
      <c r="C21183" s="6">
        <f>IFERROR(__xludf.DUMMYFUNCTION("""COMPUTED_VALUE"""),0.7104976851842366)</f>
        <v>0.7104976852</v>
      </c>
      <c r="D21183" s="4">
        <f>IFERROR(__xludf.DUMMYFUNCTION("""COMPUTED_VALUE"""),12.95074)</f>
        <v>12.95074</v>
      </c>
      <c r="E21183" s="4">
        <f>IFERROR(__xludf.DUMMYFUNCTION("""COMPUTED_VALUE"""),80.139694)</f>
        <v>80.139694</v>
      </c>
      <c r="F21183" s="4">
        <f>IFERROR(__xludf.DUMMYFUNCTION("""COMPUTED_VALUE"""),805.0)</f>
        <v>805</v>
      </c>
      <c r="G21183" s="4">
        <f>IFERROR(__xludf.DUMMYFUNCTION("""COMPUTED_VALUE"""),26.0)</f>
        <v>26</v>
      </c>
      <c r="H21183" s="4"/>
      <c r="I21183" s="4"/>
    </row>
    <row r="21184">
      <c r="A21184" s="4" t="str">
        <f>IFERROR(__xludf.DUMMYFUNCTION("""COMPUTED_VALUE"""),"cas_hmw")</f>
        <v>cas_hmw</v>
      </c>
      <c r="B21184" s="5">
        <f>IFERROR(__xludf.DUMMYFUNCTION("""COMPUTED_VALUE"""),44784.0)</f>
        <v>44784</v>
      </c>
      <c r="C21184" s="6">
        <f>IFERROR(__xludf.DUMMYFUNCTION("""COMPUTED_VALUE"""),0.7105092592610163)</f>
        <v>0.7105092593</v>
      </c>
      <c r="D21184" s="4">
        <f>IFERROR(__xludf.DUMMYFUNCTION("""COMPUTED_VALUE"""),12.95074)</f>
        <v>12.95074</v>
      </c>
      <c r="E21184" s="4">
        <f>IFERROR(__xludf.DUMMYFUNCTION("""COMPUTED_VALUE"""),80.139694)</f>
        <v>80.139694</v>
      </c>
      <c r="F21184" s="4">
        <f>IFERROR(__xludf.DUMMYFUNCTION("""COMPUTED_VALUE"""),805.0)</f>
        <v>805</v>
      </c>
      <c r="G21184" s="4">
        <f>IFERROR(__xludf.DUMMYFUNCTION("""COMPUTED_VALUE"""),26.0)</f>
        <v>26</v>
      </c>
      <c r="H21184" s="4"/>
      <c r="I21184" s="4"/>
    </row>
    <row r="21185">
      <c r="A21185" s="4" t="str">
        <f>IFERROR(__xludf.DUMMYFUNCTION("""COMPUTED_VALUE"""),"cas_hmw")</f>
        <v>cas_hmw</v>
      </c>
      <c r="B21185" s="5">
        <f>IFERROR(__xludf.DUMMYFUNCTION("""COMPUTED_VALUE"""),44784.0)</f>
        <v>44784</v>
      </c>
      <c r="C21185" s="6">
        <f>IFERROR(__xludf.DUMMYFUNCTION("""COMPUTED_VALUE"""),0.7106828703690553)</f>
        <v>0.7106828704</v>
      </c>
      <c r="D21185" s="4">
        <f>IFERROR(__xludf.DUMMYFUNCTION("""COMPUTED_VALUE"""),12.951312)</f>
        <v>12.951312</v>
      </c>
      <c r="E21185" s="4">
        <f>IFERROR(__xludf.DUMMYFUNCTION("""COMPUTED_VALUE"""),80.14014)</f>
        <v>80.14014</v>
      </c>
      <c r="F21185" s="4">
        <f>IFERROR(__xludf.DUMMYFUNCTION("""COMPUTED_VALUE"""),805.0)</f>
        <v>805</v>
      </c>
      <c r="G21185" s="4">
        <f>IFERROR(__xludf.DUMMYFUNCTION("""COMPUTED_VALUE"""),30.0)</f>
        <v>30</v>
      </c>
      <c r="H21185" s="4"/>
      <c r="I21185" s="4"/>
    </row>
    <row r="21186">
      <c r="A21186" s="4" t="str">
        <f>IFERROR(__xludf.DUMMYFUNCTION("""COMPUTED_VALUE"""),"cas_hmw")</f>
        <v>cas_hmw</v>
      </c>
      <c r="B21186" s="5">
        <f>IFERROR(__xludf.DUMMYFUNCTION("""COMPUTED_VALUE"""),44784.0)</f>
        <v>44784</v>
      </c>
      <c r="C21186" s="6">
        <f>IFERROR(__xludf.DUMMYFUNCTION("""COMPUTED_VALUE"""),0.7107407407420396)</f>
        <v>0.7107407407</v>
      </c>
      <c r="D21186" s="4">
        <f>IFERROR(__xludf.DUMMYFUNCTION("""COMPUTED_VALUE"""),12.923427)</f>
        <v>12.923427</v>
      </c>
      <c r="E21186" s="4">
        <f>IFERROR(__xludf.DUMMYFUNCTION("""COMPUTED_VALUE"""),80.154755)</f>
        <v>80.154755</v>
      </c>
      <c r="F21186" s="4">
        <f>IFERROR(__xludf.DUMMYFUNCTION("""COMPUTED_VALUE"""),3143.0)</f>
        <v>3143</v>
      </c>
      <c r="G21186" s="4">
        <f>IFERROR(__xludf.DUMMYFUNCTION("""COMPUTED_VALUE"""),13.0)</f>
        <v>13</v>
      </c>
      <c r="H21186" s="4"/>
      <c r="I21186" s="4"/>
    </row>
    <row r="21187">
      <c r="A21187" s="4" t="str">
        <f>IFERROR(__xludf.DUMMYFUNCTION("""COMPUTED_VALUE"""),"cas_hmw")</f>
        <v>cas_hmw</v>
      </c>
      <c r="B21187" s="5">
        <f>IFERROR(__xludf.DUMMYFUNCTION("""COMPUTED_VALUE"""),44784.0)</f>
        <v>44784</v>
      </c>
      <c r="C21187" s="6">
        <f>IFERROR(__xludf.DUMMYFUNCTION("""COMPUTED_VALUE"""),0.7109953703693463)</f>
        <v>0.7109953704</v>
      </c>
      <c r="D21187" s="4">
        <f>IFERROR(__xludf.DUMMYFUNCTION("""COMPUTED_VALUE"""),12.953633)</f>
        <v>12.953633</v>
      </c>
      <c r="E21187" s="4">
        <f>IFERROR(__xludf.DUMMYFUNCTION("""COMPUTED_VALUE"""),80.141754)</f>
        <v>80.141754</v>
      </c>
      <c r="F21187" s="4">
        <f>IFERROR(__xludf.DUMMYFUNCTION("""COMPUTED_VALUE"""),805.0)</f>
        <v>805</v>
      </c>
      <c r="G21187" s="4">
        <f>IFERROR(__xludf.DUMMYFUNCTION("""COMPUTED_VALUE"""),45.0)</f>
        <v>45</v>
      </c>
      <c r="H21187" s="4"/>
      <c r="I21187" s="4"/>
    </row>
    <row r="21188">
      <c r="A21188" s="4" t="str">
        <f>IFERROR(__xludf.DUMMYFUNCTION("""COMPUTED_VALUE"""),"cas_hmw")</f>
        <v>cas_hmw</v>
      </c>
      <c r="B21188" s="5">
        <f>IFERROR(__xludf.DUMMYFUNCTION("""COMPUTED_VALUE"""),44784.0)</f>
        <v>44784</v>
      </c>
      <c r="C21188" s="6">
        <f>IFERROR(__xludf.DUMMYFUNCTION("""COMPUTED_VALUE"""),0.7116898148160544)</f>
        <v>0.7116898148</v>
      </c>
      <c r="D21188" s="4">
        <f>IFERROR(__xludf.DUMMYFUNCTION("""COMPUTED_VALUE"""),12.923251)</f>
        <v>12.923251</v>
      </c>
      <c r="E21188" s="4">
        <f>IFERROR(__xludf.DUMMYFUNCTION("""COMPUTED_VALUE"""),80.160599)</f>
        <v>80.160599</v>
      </c>
      <c r="F21188" s="4">
        <f>IFERROR(__xludf.DUMMYFUNCTION("""COMPUTED_VALUE"""),3143.0)</f>
        <v>3143</v>
      </c>
      <c r="G21188" s="4">
        <f>IFERROR(__xludf.DUMMYFUNCTION("""COMPUTED_VALUE"""),46.0)</f>
        <v>46</v>
      </c>
      <c r="H21188" s="4"/>
      <c r="I21188" s="4"/>
    </row>
    <row r="21189">
      <c r="A21189" s="4" t="str">
        <f>IFERROR(__xludf.DUMMYFUNCTION("""COMPUTED_VALUE"""),"cas_hmw")</f>
        <v>cas_hmw</v>
      </c>
      <c r="B21189" s="5">
        <f>IFERROR(__xludf.DUMMYFUNCTION("""COMPUTED_VALUE"""),44784.0)</f>
        <v>44784</v>
      </c>
      <c r="C21189" s="6">
        <f>IFERROR(__xludf.DUMMYFUNCTION("""COMPUTED_VALUE"""),0.7127083333325572)</f>
        <v>0.7127083333</v>
      </c>
      <c r="D21189" s="4">
        <f>IFERROR(__xludf.DUMMYFUNCTION("""COMPUTED_VALUE"""),12.920786)</f>
        <v>12.920786</v>
      </c>
      <c r="E21189" s="4">
        <f>IFERROR(__xludf.DUMMYFUNCTION("""COMPUTED_VALUE"""),80.168344)</f>
        <v>80.168344</v>
      </c>
      <c r="F21189" s="4">
        <f>IFERROR(__xludf.DUMMYFUNCTION("""COMPUTED_VALUE"""),3143.0)</f>
        <v>3143</v>
      </c>
      <c r="G21189" s="4">
        <f>IFERROR(__xludf.DUMMYFUNCTION("""COMPUTED_VALUE"""),32.0)</f>
        <v>32</v>
      </c>
      <c r="H21189" s="4"/>
      <c r="I21189" s="4"/>
    </row>
    <row r="21190">
      <c r="A21190" s="4" t="str">
        <f>IFERROR(__xludf.DUMMYFUNCTION("""COMPUTED_VALUE"""),"cas_hmw")</f>
        <v>cas_hmw</v>
      </c>
      <c r="B21190" s="5">
        <f>IFERROR(__xludf.DUMMYFUNCTION("""COMPUTED_VALUE"""),44784.0)</f>
        <v>44784</v>
      </c>
      <c r="C21190" s="6">
        <f>IFERROR(__xludf.DUMMYFUNCTION("""COMPUTED_VALUE"""),0.713587962964084)</f>
        <v>0.713587963</v>
      </c>
      <c r="D21190" s="4">
        <f>IFERROR(__xludf.DUMMYFUNCTION("""COMPUTED_VALUE"""),12.91872)</f>
        <v>12.91872</v>
      </c>
      <c r="E21190" s="4">
        <f>IFERROR(__xludf.DUMMYFUNCTION("""COMPUTED_VALUE"""),80.175546)</f>
        <v>80.175546</v>
      </c>
      <c r="F21190" s="4">
        <f>IFERROR(__xludf.DUMMYFUNCTION("""COMPUTED_VALUE"""),3143.0)</f>
        <v>3143</v>
      </c>
      <c r="G21190" s="4">
        <f>IFERROR(__xludf.DUMMYFUNCTION("""COMPUTED_VALUE"""),56.0)</f>
        <v>56</v>
      </c>
      <c r="H21190" s="4"/>
      <c r="I21190" s="4"/>
    </row>
    <row r="21191">
      <c r="A21191" s="4" t="str">
        <f>IFERROR(__xludf.DUMMYFUNCTION("""COMPUTED_VALUE"""),"cas_hmw")</f>
        <v>cas_hmw</v>
      </c>
      <c r="B21191" s="5">
        <f>IFERROR(__xludf.DUMMYFUNCTION("""COMPUTED_VALUE"""),44784.0)</f>
        <v>44784</v>
      </c>
      <c r="C21191" s="6">
        <f>IFERROR(__xludf.DUMMYFUNCTION("""COMPUTED_VALUE"""),0.7148958333345945)</f>
        <v>0.7148958333</v>
      </c>
      <c r="D21191" s="4">
        <f>IFERROR(__xludf.DUMMYFUNCTION("""COMPUTED_VALUE"""),12.963629)</f>
        <v>12.963629</v>
      </c>
      <c r="E21191" s="4">
        <f>IFERROR(__xludf.DUMMYFUNCTION("""COMPUTED_VALUE"""),80.147117)</f>
        <v>80.147117</v>
      </c>
      <c r="F21191" s="4">
        <f>IFERROR(__xludf.DUMMYFUNCTION("""COMPUTED_VALUE"""),805.0)</f>
        <v>805</v>
      </c>
      <c r="G21191" s="4">
        <f>IFERROR(__xludf.DUMMYFUNCTION("""COMPUTED_VALUE"""),39.0)</f>
        <v>39</v>
      </c>
      <c r="H21191" s="4"/>
      <c r="I21191" s="4"/>
    </row>
    <row r="21192">
      <c r="A21192" s="4" t="str">
        <f>IFERROR(__xludf.DUMMYFUNCTION("""COMPUTED_VALUE"""),"cas_hmw")</f>
        <v>cas_hmw</v>
      </c>
      <c r="B21192" s="5">
        <f>IFERROR(__xludf.DUMMYFUNCTION("""COMPUTED_VALUE"""),44784.0)</f>
        <v>44784</v>
      </c>
      <c r="C21192" s="6">
        <f>IFERROR(__xludf.DUMMYFUNCTION("""COMPUTED_VALUE"""),0.7150578703694919)</f>
        <v>0.7150578704</v>
      </c>
      <c r="D21192" s="4">
        <f>IFERROR(__xludf.DUMMYFUNCTION("""COMPUTED_VALUE"""),12.964374)</f>
        <v>12.964374</v>
      </c>
      <c r="E21192" s="4">
        <f>IFERROR(__xludf.DUMMYFUNCTION("""COMPUTED_VALUE"""),80.14754)</f>
        <v>80.14754</v>
      </c>
      <c r="F21192" s="4">
        <f>IFERROR(__xludf.DUMMYFUNCTION("""COMPUTED_VALUE"""),805.0)</f>
        <v>805</v>
      </c>
      <c r="G21192" s="4">
        <f>IFERROR(__xludf.DUMMYFUNCTION("""COMPUTED_VALUE"""),29.0)</f>
        <v>29</v>
      </c>
      <c r="H21192" s="4"/>
      <c r="I21192" s="4"/>
    </row>
    <row r="21193">
      <c r="A21193" s="4" t="str">
        <f>IFERROR(__xludf.DUMMYFUNCTION("""COMPUTED_VALUE"""),"cas_hmw")</f>
        <v>cas_hmw</v>
      </c>
      <c r="B21193" s="5">
        <f>IFERROR(__xludf.DUMMYFUNCTION("""COMPUTED_VALUE"""),44784.0)</f>
        <v>44784</v>
      </c>
      <c r="C21193" s="6">
        <f>IFERROR(__xludf.DUMMYFUNCTION("""COMPUTED_VALUE"""),0.7150694444426335)</f>
        <v>0.7150694444</v>
      </c>
      <c r="D21193" s="4">
        <f>IFERROR(__xludf.DUMMYFUNCTION("""COMPUTED_VALUE"""),12.964374)</f>
        <v>12.964374</v>
      </c>
      <c r="E21193" s="4">
        <f>IFERROR(__xludf.DUMMYFUNCTION("""COMPUTED_VALUE"""),80.14754)</f>
        <v>80.14754</v>
      </c>
      <c r="F21193" s="4">
        <f>IFERROR(__xludf.DUMMYFUNCTION("""COMPUTED_VALUE"""),805.0)</f>
        <v>805</v>
      </c>
      <c r="G21193" s="4">
        <f>IFERROR(__xludf.DUMMYFUNCTION("""COMPUTED_VALUE"""),29.0)</f>
        <v>29</v>
      </c>
      <c r="H21193" s="4"/>
      <c r="I21193" s="4"/>
    </row>
    <row r="21194">
      <c r="A21194" s="4" t="str">
        <f>IFERROR(__xludf.DUMMYFUNCTION("""COMPUTED_VALUE"""),"cas_hmw")</f>
        <v>cas_hmw</v>
      </c>
      <c r="B21194" s="5">
        <f>IFERROR(__xludf.DUMMYFUNCTION("""COMPUTED_VALUE"""),44784.0)</f>
        <v>44784</v>
      </c>
      <c r="C21194" s="6">
        <f>IFERROR(__xludf.DUMMYFUNCTION("""COMPUTED_VALUE"""),0.7150694444426335)</f>
        <v>0.7150694444</v>
      </c>
      <c r="D21194" s="4">
        <f>IFERROR(__xludf.DUMMYFUNCTION("""COMPUTED_VALUE"""),12.964374)</f>
        <v>12.964374</v>
      </c>
      <c r="E21194" s="4">
        <f>IFERROR(__xludf.DUMMYFUNCTION("""COMPUTED_VALUE"""),80.14754)</f>
        <v>80.14754</v>
      </c>
      <c r="F21194" s="4">
        <f>IFERROR(__xludf.DUMMYFUNCTION("""COMPUTED_VALUE"""),805.0)</f>
        <v>805</v>
      </c>
      <c r="G21194" s="4">
        <f>IFERROR(__xludf.DUMMYFUNCTION("""COMPUTED_VALUE"""),29.0)</f>
        <v>29</v>
      </c>
      <c r="H21194" s="4"/>
      <c r="I21194" s="4"/>
    </row>
    <row r="21195">
      <c r="A21195" s="4" t="str">
        <f>IFERROR(__xludf.DUMMYFUNCTION("""COMPUTED_VALUE"""),"cas_hmw")</f>
        <v>cas_hmw</v>
      </c>
      <c r="B21195" s="5">
        <f>IFERROR(__xludf.DUMMYFUNCTION("""COMPUTED_VALUE"""),44784.0)</f>
        <v>44784</v>
      </c>
      <c r="C21195" s="6">
        <f>IFERROR(__xludf.DUMMYFUNCTION("""COMPUTED_VALUE"""),0.7150810185194132)</f>
        <v>0.7150810185</v>
      </c>
      <c r="D21195" s="4">
        <f>IFERROR(__xludf.DUMMYFUNCTION("""COMPUTED_VALUE"""),12.964374)</f>
        <v>12.964374</v>
      </c>
      <c r="E21195" s="4">
        <f>IFERROR(__xludf.DUMMYFUNCTION("""COMPUTED_VALUE"""),80.14754)</f>
        <v>80.14754</v>
      </c>
      <c r="F21195" s="4">
        <f>IFERROR(__xludf.DUMMYFUNCTION("""COMPUTED_VALUE"""),805.0)</f>
        <v>805</v>
      </c>
      <c r="G21195" s="4">
        <f>IFERROR(__xludf.DUMMYFUNCTION("""COMPUTED_VALUE"""),29.0)</f>
        <v>29</v>
      </c>
      <c r="H21195" s="4"/>
      <c r="I21195" s="4"/>
    </row>
    <row r="21196">
      <c r="A21196" s="4" t="str">
        <f>IFERROR(__xludf.DUMMYFUNCTION("""COMPUTED_VALUE"""),"cas_hmw")</f>
        <v>cas_hmw</v>
      </c>
      <c r="B21196" s="5">
        <f>IFERROR(__xludf.DUMMYFUNCTION("""COMPUTED_VALUE"""),44784.0)</f>
        <v>44784</v>
      </c>
      <c r="C21196" s="6">
        <f>IFERROR(__xludf.DUMMYFUNCTION("""COMPUTED_VALUE"""),0.7155439814814599)</f>
        <v>0.7155439815</v>
      </c>
      <c r="D21196" s="4">
        <f>IFERROR(__xludf.DUMMYFUNCTION("""COMPUTED_VALUE"""),12.967448)</f>
        <v>12.967448</v>
      </c>
      <c r="E21196" s="4">
        <f>IFERROR(__xludf.DUMMYFUNCTION("""COMPUTED_VALUE"""),80.149122)</f>
        <v>80.149122</v>
      </c>
      <c r="F21196" s="4">
        <f>IFERROR(__xludf.DUMMYFUNCTION("""COMPUTED_VALUE"""),805.0)</f>
        <v>805</v>
      </c>
      <c r="G21196" s="4">
        <f>IFERROR(__xludf.DUMMYFUNCTION("""COMPUTED_VALUE"""),47.0)</f>
        <v>47</v>
      </c>
      <c r="H21196" s="4"/>
      <c r="I21196" s="4"/>
    </row>
    <row r="21197">
      <c r="A21197" s="4" t="str">
        <f>IFERROR(__xludf.DUMMYFUNCTION("""COMPUTED_VALUE"""),"cas_hmw")</f>
        <v>cas_hmw</v>
      </c>
      <c r="B21197" s="5">
        <f>IFERROR(__xludf.DUMMYFUNCTION("""COMPUTED_VALUE"""),44784.0)</f>
        <v>44784</v>
      </c>
      <c r="C21197" s="6">
        <f>IFERROR(__xludf.DUMMYFUNCTION("""COMPUTED_VALUE"""),0.7158101851855463)</f>
        <v>0.7158101852</v>
      </c>
      <c r="D21197" s="4">
        <f>IFERROR(__xludf.DUMMYFUNCTION("""COMPUTED_VALUE"""),12.722535)</f>
        <v>12.722535</v>
      </c>
      <c r="E21197" s="4">
        <f>IFERROR(__xludf.DUMMYFUNCTION("""COMPUTED_VALUE"""),79.981584)</f>
        <v>79.981584</v>
      </c>
      <c r="F21197" s="4">
        <f>IFERROR(__xludf.DUMMYFUNCTION("""COMPUTED_VALUE"""),2846.0)</f>
        <v>2846</v>
      </c>
      <c r="G21197" s="4">
        <f>IFERROR(__xludf.DUMMYFUNCTION("""COMPUTED_VALUE"""),42.0)</f>
        <v>42</v>
      </c>
      <c r="H21197" s="4"/>
      <c r="I21197" s="4"/>
    </row>
    <row r="21198">
      <c r="A21198" s="4" t="str">
        <f>IFERROR(__xludf.DUMMYFUNCTION("""COMPUTED_VALUE"""),"cas_hmw")</f>
        <v>cas_hmw</v>
      </c>
      <c r="B21198" s="5">
        <f>IFERROR(__xludf.DUMMYFUNCTION("""COMPUTED_VALUE"""),44784.0)</f>
        <v>44784</v>
      </c>
      <c r="C21198" s="6">
        <f>IFERROR(__xludf.DUMMYFUNCTION("""COMPUTED_VALUE"""),0.7164583333324117)</f>
        <v>0.7164583333</v>
      </c>
      <c r="D21198" s="4">
        <f>IFERROR(__xludf.DUMMYFUNCTION("""COMPUTED_VALUE"""),12.705083)</f>
        <v>12.705083</v>
      </c>
      <c r="E21198" s="4">
        <f>IFERROR(__xludf.DUMMYFUNCTION("""COMPUTED_VALUE"""),79.97377)</f>
        <v>79.97377</v>
      </c>
      <c r="F21198" s="4">
        <f>IFERROR(__xludf.DUMMYFUNCTION("""COMPUTED_VALUE"""),2846.0)</f>
        <v>2846</v>
      </c>
      <c r="G21198" s="4">
        <f>IFERROR(__xludf.DUMMYFUNCTION("""COMPUTED_VALUE"""),57.0)</f>
        <v>57</v>
      </c>
      <c r="H21198" s="4"/>
      <c r="I21198" s="4"/>
    </row>
    <row r="21199">
      <c r="A21199" s="4" t="str">
        <f>IFERROR(__xludf.DUMMYFUNCTION("""COMPUTED_VALUE"""),"cas_hmw")</f>
        <v>cas_hmw</v>
      </c>
      <c r="B21199" s="5">
        <f>IFERROR(__xludf.DUMMYFUNCTION("""COMPUTED_VALUE"""),44784.0)</f>
        <v>44784</v>
      </c>
      <c r="C21199" s="6">
        <f>IFERROR(__xludf.DUMMYFUNCTION("""COMPUTED_VALUE"""),0.7171990740753245)</f>
        <v>0.7171990741</v>
      </c>
      <c r="D21199" s="4">
        <f>IFERROR(__xludf.DUMMYFUNCTION("""COMPUTED_VALUE"""),12.9757)</f>
        <v>12.9757</v>
      </c>
      <c r="E21199" s="4">
        <f>IFERROR(__xludf.DUMMYFUNCTION("""COMPUTED_VALUE"""),80.15656)</f>
        <v>80.15656</v>
      </c>
      <c r="F21199" s="4">
        <f>IFERROR(__xludf.DUMMYFUNCTION("""COMPUTED_VALUE"""),805.0)</f>
        <v>805</v>
      </c>
      <c r="G21199" s="4">
        <f>IFERROR(__xludf.DUMMYFUNCTION("""COMPUTED_VALUE"""),53.0)</f>
        <v>53</v>
      </c>
      <c r="H21199" s="4"/>
      <c r="I21199" s="4"/>
    </row>
    <row r="21200">
      <c r="A21200" s="4" t="str">
        <f>IFERROR(__xludf.DUMMYFUNCTION("""COMPUTED_VALUE"""),"cas_hmw")</f>
        <v>cas_hmw</v>
      </c>
      <c r="B21200" s="5">
        <f>IFERROR(__xludf.DUMMYFUNCTION("""COMPUTED_VALUE"""),44784.0)</f>
        <v>44784</v>
      </c>
      <c r="C21200" s="6">
        <f>IFERROR(__xludf.DUMMYFUNCTION("""COMPUTED_VALUE"""),0.7184837962959136)</f>
        <v>0.7184837963</v>
      </c>
      <c r="D21200" s="4">
        <f>IFERROR(__xludf.DUMMYFUNCTION("""COMPUTED_VALUE"""),12.697246)</f>
        <v>12.697246</v>
      </c>
      <c r="E21200" s="4">
        <f>IFERROR(__xludf.DUMMYFUNCTION("""COMPUTED_VALUE"""),79.972816)</f>
        <v>79.972816</v>
      </c>
      <c r="F21200" s="4">
        <f>IFERROR(__xludf.DUMMYFUNCTION("""COMPUTED_VALUE"""),2846.0)</f>
        <v>2846</v>
      </c>
      <c r="G21200" s="4">
        <f>IFERROR(__xludf.DUMMYFUNCTION("""COMPUTED_VALUE"""),0.0)</f>
        <v>0</v>
      </c>
      <c r="H21200" s="4"/>
      <c r="I21200" s="4"/>
    </row>
    <row r="21201">
      <c r="A21201" s="4" t="str">
        <f>IFERROR(__xludf.DUMMYFUNCTION("""COMPUTED_VALUE"""),"cas_hmw")</f>
        <v>cas_hmw</v>
      </c>
      <c r="B21201" s="5">
        <f>IFERROR(__xludf.DUMMYFUNCTION("""COMPUTED_VALUE"""),44784.0)</f>
        <v>44784</v>
      </c>
      <c r="C21201" s="6">
        <f>IFERROR(__xludf.DUMMYFUNCTION("""COMPUTED_VALUE"""),0.7193981481468654)</f>
        <v>0.7193981481</v>
      </c>
      <c r="D21201" s="4">
        <f>IFERROR(__xludf.DUMMYFUNCTION("""COMPUTED_VALUE"""),12.984463)</f>
        <v>12.984463</v>
      </c>
      <c r="E21201" s="4">
        <f>IFERROR(__xludf.DUMMYFUNCTION("""COMPUTED_VALUE"""),80.171715)</f>
        <v>80.171715</v>
      </c>
      <c r="F21201" s="4">
        <f>IFERROR(__xludf.DUMMYFUNCTION("""COMPUTED_VALUE"""),5339.0)</f>
        <v>5339</v>
      </c>
      <c r="G21201" s="4">
        <f>IFERROR(__xludf.DUMMYFUNCTION("""COMPUTED_VALUE"""),38.0)</f>
        <v>38</v>
      </c>
      <c r="H21201" s="4"/>
      <c r="I21201" s="4"/>
    </row>
    <row r="21202">
      <c r="A21202" s="4" t="str">
        <f>IFERROR(__xludf.DUMMYFUNCTION("""COMPUTED_VALUE"""),"cas_hmw")</f>
        <v>cas_hmw</v>
      </c>
      <c r="B21202" s="5">
        <f>IFERROR(__xludf.DUMMYFUNCTION("""COMPUTED_VALUE"""),44784.0)</f>
        <v>44784</v>
      </c>
      <c r="C21202" s="6">
        <f>IFERROR(__xludf.DUMMYFUNCTION("""COMPUTED_VALUE"""),0.7198148148163455)</f>
        <v>0.7198148148</v>
      </c>
      <c r="D21202" s="4">
        <f>IFERROR(__xludf.DUMMYFUNCTION("""COMPUTED_VALUE"""),12.98819)</f>
        <v>12.98819</v>
      </c>
      <c r="E21202" s="4">
        <f>IFERROR(__xludf.DUMMYFUNCTION("""COMPUTED_VALUE"""),80.177171)</f>
        <v>80.177171</v>
      </c>
      <c r="F21202" s="4">
        <f>IFERROR(__xludf.DUMMYFUNCTION("""COMPUTED_VALUE"""),805.0)</f>
        <v>805</v>
      </c>
      <c r="G21202" s="4">
        <f>IFERROR(__xludf.DUMMYFUNCTION("""COMPUTED_VALUE"""),21.0)</f>
        <v>21</v>
      </c>
      <c r="H21202" s="4"/>
      <c r="I21202" s="4"/>
    </row>
    <row r="21203">
      <c r="A21203" s="4" t="str">
        <f>IFERROR(__xludf.DUMMYFUNCTION("""COMPUTED_VALUE"""),"cas_hmw")</f>
        <v>cas_hmw</v>
      </c>
      <c r="B21203" s="5">
        <f>IFERROR(__xludf.DUMMYFUNCTION("""COMPUTED_VALUE"""),44784.0)</f>
        <v>44784</v>
      </c>
      <c r="C21203" s="6">
        <f>IFERROR(__xludf.DUMMYFUNCTION("""COMPUTED_VALUE"""),0.7198611111125501)</f>
        <v>0.7198611111</v>
      </c>
      <c r="D21203" s="4">
        <f>IFERROR(__xludf.DUMMYFUNCTION("""COMPUTED_VALUE"""),12.988652)</f>
        <v>12.988652</v>
      </c>
      <c r="E21203" s="4">
        <f>IFERROR(__xludf.DUMMYFUNCTION("""COMPUTED_VALUE"""),80.17779)</f>
        <v>80.17779</v>
      </c>
      <c r="F21203" s="4">
        <f>IFERROR(__xludf.DUMMYFUNCTION("""COMPUTED_VALUE"""),805.0)</f>
        <v>805</v>
      </c>
      <c r="G21203" s="4">
        <f>IFERROR(__xludf.DUMMYFUNCTION("""COMPUTED_VALUE"""),32.0)</f>
        <v>32</v>
      </c>
      <c r="H21203" s="4"/>
      <c r="I21203" s="4"/>
    </row>
    <row r="21204">
      <c r="A21204" s="4" t="str">
        <f>IFERROR(__xludf.DUMMYFUNCTION("""COMPUTED_VALUE"""),"cas_hmw")</f>
        <v>cas_hmw</v>
      </c>
      <c r="B21204" s="5">
        <f>IFERROR(__xludf.DUMMYFUNCTION("""COMPUTED_VALUE"""),44784.0)</f>
        <v>44784</v>
      </c>
      <c r="C21204" s="6">
        <f>IFERROR(__xludf.DUMMYFUNCTION("""COMPUTED_VALUE"""),0.7200231481474475)</f>
        <v>0.7200231481</v>
      </c>
      <c r="D21204" s="4">
        <f>IFERROR(__xludf.DUMMYFUNCTION("""COMPUTED_VALUE"""),12.989156)</f>
        <v>12.989156</v>
      </c>
      <c r="E21204" s="4">
        <f>IFERROR(__xludf.DUMMYFUNCTION("""COMPUTED_VALUE"""),80.178438)</f>
        <v>80.178438</v>
      </c>
      <c r="F21204" s="4">
        <f>IFERROR(__xludf.DUMMYFUNCTION("""COMPUTED_VALUE"""),805.0)</f>
        <v>805</v>
      </c>
      <c r="G21204" s="4">
        <f>IFERROR(__xludf.DUMMYFUNCTION("""COMPUTED_VALUE"""),30.0)</f>
        <v>30</v>
      </c>
      <c r="H21204" s="4"/>
      <c r="I21204" s="4"/>
    </row>
    <row r="21205">
      <c r="A21205" s="4" t="str">
        <f>IFERROR(__xludf.DUMMYFUNCTION("""COMPUTED_VALUE"""),"cas_hmw")</f>
        <v>cas_hmw</v>
      </c>
      <c r="B21205" s="5">
        <f>IFERROR(__xludf.DUMMYFUNCTION("""COMPUTED_VALUE"""),44784.0)</f>
        <v>44784</v>
      </c>
      <c r="C21205" s="6">
        <f>IFERROR(__xludf.DUMMYFUNCTION("""COMPUTED_VALUE"""),0.7201157407398568)</f>
        <v>0.7201157407</v>
      </c>
      <c r="D21205" s="4">
        <f>IFERROR(__xludf.DUMMYFUNCTION("""COMPUTED_VALUE"""),12.989643)</f>
        <v>12.989643</v>
      </c>
      <c r="E21205" s="4">
        <f>IFERROR(__xludf.DUMMYFUNCTION("""COMPUTED_VALUE"""),80.179034)</f>
        <v>80.179034</v>
      </c>
      <c r="F21205" s="4">
        <f>IFERROR(__xludf.DUMMYFUNCTION("""COMPUTED_VALUE"""),805.0)</f>
        <v>805</v>
      </c>
      <c r="G21205" s="4">
        <f>IFERROR(__xludf.DUMMYFUNCTION("""COMPUTED_VALUE"""),34.0)</f>
        <v>34</v>
      </c>
      <c r="H21205" s="4"/>
      <c r="I21205" s="4"/>
    </row>
    <row r="21206">
      <c r="A21206" s="4" t="str">
        <f>IFERROR(__xludf.DUMMYFUNCTION("""COMPUTED_VALUE"""),"cas_hmw")</f>
        <v>cas_hmw</v>
      </c>
      <c r="B21206" s="5">
        <f>IFERROR(__xludf.DUMMYFUNCTION("""COMPUTED_VALUE"""),44784.0)</f>
        <v>44784</v>
      </c>
      <c r="C21206" s="6">
        <f>IFERROR(__xludf.DUMMYFUNCTION("""COMPUTED_VALUE"""),0.7201273148129985)</f>
        <v>0.7201273148</v>
      </c>
      <c r="D21206" s="4">
        <f>IFERROR(__xludf.DUMMYFUNCTION("""COMPUTED_VALUE"""),12.696616)</f>
        <v>12.696616</v>
      </c>
      <c r="E21206" s="4">
        <f>IFERROR(__xludf.DUMMYFUNCTION("""COMPUTED_VALUE"""),79.977082)</f>
        <v>79.977082</v>
      </c>
      <c r="F21206" s="4">
        <f>IFERROR(__xludf.DUMMYFUNCTION("""COMPUTED_VALUE"""),2846.0)</f>
        <v>2846</v>
      </c>
      <c r="G21206" s="4">
        <f>IFERROR(__xludf.DUMMYFUNCTION("""COMPUTED_VALUE"""),12.0)</f>
        <v>12</v>
      </c>
      <c r="H21206" s="4"/>
      <c r="I21206" s="4"/>
    </row>
    <row r="21207">
      <c r="A21207" s="4" t="str">
        <f>IFERROR(__xludf.DUMMYFUNCTION("""COMPUTED_VALUE"""),"cas_hmw")</f>
        <v>cas_hmw</v>
      </c>
      <c r="B21207" s="5">
        <f>IFERROR(__xludf.DUMMYFUNCTION("""COMPUTED_VALUE"""),44784.0)</f>
        <v>44784</v>
      </c>
      <c r="C21207" s="6">
        <f>IFERROR(__xludf.DUMMYFUNCTION("""COMPUTED_VALUE"""),0.7222453703689098)</f>
        <v>0.7222453704</v>
      </c>
      <c r="D21207" s="4">
        <f>IFERROR(__xludf.DUMMYFUNCTION("""COMPUTED_VALUE"""),12.948248)</f>
        <v>12.948248</v>
      </c>
      <c r="E21207" s="4">
        <f>IFERROR(__xludf.DUMMYFUNCTION("""COMPUTED_VALUE"""),80.184921)</f>
        <v>80.184921</v>
      </c>
      <c r="F21207" s="4">
        <f>IFERROR(__xludf.DUMMYFUNCTION("""COMPUTED_VALUE"""),3143.0)</f>
        <v>3143</v>
      </c>
      <c r="G21207" s="4">
        <f>IFERROR(__xludf.DUMMYFUNCTION("""COMPUTED_VALUE"""),23.0)</f>
        <v>23</v>
      </c>
      <c r="H21207" s="4"/>
      <c r="I21207" s="4"/>
    </row>
    <row r="21208">
      <c r="A21208" s="4" t="str">
        <f>IFERROR(__xludf.DUMMYFUNCTION("""COMPUTED_VALUE"""),"cas_hmw")</f>
        <v>cas_hmw</v>
      </c>
      <c r="B21208" s="5">
        <f>IFERROR(__xludf.DUMMYFUNCTION("""COMPUTED_VALUE"""),44784.0)</f>
        <v>44784</v>
      </c>
      <c r="C21208" s="6">
        <f>IFERROR(__xludf.DUMMYFUNCTION("""COMPUTED_VALUE"""),0.7233912037045229)</f>
        <v>0.7233912037</v>
      </c>
      <c r="D21208" s="4">
        <f>IFERROR(__xludf.DUMMYFUNCTION("""COMPUTED_VALUE"""),12.997578)</f>
        <v>12.997578</v>
      </c>
      <c r="E21208" s="4">
        <f>IFERROR(__xludf.DUMMYFUNCTION("""COMPUTED_VALUE"""),80.191095)</f>
        <v>80.191095</v>
      </c>
      <c r="F21208" s="4">
        <f>IFERROR(__xludf.DUMMYFUNCTION("""COMPUTED_VALUE"""),805.0)</f>
        <v>805</v>
      </c>
      <c r="G21208" s="4">
        <f>IFERROR(__xludf.DUMMYFUNCTION("""COMPUTED_VALUE"""),56.0)</f>
        <v>56</v>
      </c>
      <c r="H21208" s="4"/>
      <c r="I21208" s="4"/>
    </row>
    <row r="21209">
      <c r="A21209" s="4" t="str">
        <f>IFERROR(__xludf.DUMMYFUNCTION("""COMPUTED_VALUE"""),"cas_hmw")</f>
        <v>cas_hmw</v>
      </c>
      <c r="B21209" s="5">
        <f>IFERROR(__xludf.DUMMYFUNCTION("""COMPUTED_VALUE"""),44784.0)</f>
        <v>44784</v>
      </c>
      <c r="C21209" s="6">
        <f>IFERROR(__xludf.DUMMYFUNCTION("""COMPUTED_VALUE"""),0.7244560185172304)</f>
        <v>0.7244560185</v>
      </c>
      <c r="D21209" s="4">
        <f>IFERROR(__xludf.DUMMYFUNCTION("""COMPUTED_VALUE"""),13.001735)</f>
        <v>13.001735</v>
      </c>
      <c r="E21209" s="4">
        <f>IFERROR(__xludf.DUMMYFUNCTION("""COMPUTED_VALUE"""),80.1963)</f>
        <v>80.1963</v>
      </c>
      <c r="F21209" s="4">
        <f>IFERROR(__xludf.DUMMYFUNCTION("""COMPUTED_VALUE"""),805.0)</f>
        <v>805</v>
      </c>
      <c r="G21209" s="4">
        <f>IFERROR(__xludf.DUMMYFUNCTION("""COMPUTED_VALUE"""),19.0)</f>
        <v>19</v>
      </c>
      <c r="H21209" s="4"/>
      <c r="I21209" s="4"/>
    </row>
    <row r="21210">
      <c r="A21210" s="4" t="str">
        <f>IFERROR(__xludf.DUMMYFUNCTION("""COMPUTED_VALUE"""),"cas_hmw")</f>
        <v>cas_hmw</v>
      </c>
      <c r="B21210" s="5">
        <f>IFERROR(__xludf.DUMMYFUNCTION("""COMPUTED_VALUE"""),44784.0)</f>
        <v>44784</v>
      </c>
      <c r="C21210" s="6">
        <f>IFERROR(__xludf.DUMMYFUNCTION("""COMPUTED_VALUE"""),0.7250231481484661)</f>
        <v>0.7250231481</v>
      </c>
      <c r="D21210" s="4">
        <f>IFERROR(__xludf.DUMMYFUNCTION("""COMPUTED_VALUE"""),13.003721)</f>
        <v>13.003721</v>
      </c>
      <c r="E21210" s="4">
        <f>IFERROR(__xludf.DUMMYFUNCTION("""COMPUTED_VALUE"""),80.20092)</f>
        <v>80.20092</v>
      </c>
      <c r="F21210" s="4">
        <f>IFERROR(__xludf.DUMMYFUNCTION("""COMPUTED_VALUE"""),805.0)</f>
        <v>805</v>
      </c>
      <c r="G21210" s="4">
        <f>IFERROR(__xludf.DUMMYFUNCTION("""COMPUTED_VALUE"""),51.0)</f>
        <v>51</v>
      </c>
      <c r="H21210" s="4"/>
      <c r="I21210" s="4"/>
    </row>
    <row r="21211">
      <c r="A21211" s="4" t="str">
        <f>IFERROR(__xludf.DUMMYFUNCTION("""COMPUTED_VALUE"""),"cas_hmw")</f>
        <v>cas_hmw</v>
      </c>
      <c r="B21211" s="5">
        <f>IFERROR(__xludf.DUMMYFUNCTION("""COMPUTED_VALUE"""),44784.0)</f>
        <v>44784</v>
      </c>
      <c r="C21211" s="6">
        <f>IFERROR(__xludf.DUMMYFUNCTION("""COMPUTED_VALUE"""),0.7252777777794108)</f>
        <v>0.7252777778</v>
      </c>
      <c r="D21211" s="4">
        <f>IFERROR(__xludf.DUMMYFUNCTION("""COMPUTED_VALUE"""),13.005594)</f>
        <v>13.005594</v>
      </c>
      <c r="E21211" s="4">
        <f>IFERROR(__xludf.DUMMYFUNCTION("""COMPUTED_VALUE"""),80.201891)</f>
        <v>80.201891</v>
      </c>
      <c r="F21211" s="4">
        <f>IFERROR(__xludf.DUMMYFUNCTION("""COMPUTED_VALUE"""),805.0)</f>
        <v>805</v>
      </c>
      <c r="G21211" s="4">
        <f>IFERROR(__xludf.DUMMYFUNCTION("""COMPUTED_VALUE"""),56.0)</f>
        <v>56</v>
      </c>
      <c r="H21211" s="4"/>
      <c r="I21211" s="4"/>
    </row>
    <row r="21212">
      <c r="A21212" s="4" t="str">
        <f>IFERROR(__xludf.DUMMYFUNCTION("""COMPUTED_VALUE"""),"cas_hmw")</f>
        <v>cas_hmw</v>
      </c>
      <c r="B21212" s="5">
        <f>IFERROR(__xludf.DUMMYFUNCTION("""COMPUTED_VALUE"""),44784.0)</f>
        <v>44784</v>
      </c>
      <c r="C21212" s="6">
        <f>IFERROR(__xludf.DUMMYFUNCTION("""COMPUTED_VALUE"""),0.7254398148143082)</f>
        <v>0.7254398148</v>
      </c>
      <c r="D21212" s="4">
        <f>IFERROR(__xludf.DUMMYFUNCTION("""COMPUTED_VALUE"""),13.007023)</f>
        <v>13.007023</v>
      </c>
      <c r="E21212" s="4">
        <f>IFERROR(__xludf.DUMMYFUNCTION("""COMPUTED_VALUE"""),80.203496)</f>
        <v>80.203496</v>
      </c>
      <c r="F21212" s="4">
        <f>IFERROR(__xludf.DUMMYFUNCTION("""COMPUTED_VALUE"""),805.0)</f>
        <v>805</v>
      </c>
      <c r="G21212" s="4">
        <f>IFERROR(__xludf.DUMMYFUNCTION("""COMPUTED_VALUE"""),36.0)</f>
        <v>36</v>
      </c>
      <c r="H21212" s="4"/>
      <c r="I21212" s="4"/>
    </row>
    <row r="21213">
      <c r="A21213" s="4" t="str">
        <f>IFERROR(__xludf.DUMMYFUNCTION("""COMPUTED_VALUE"""),"cas_hmw")</f>
        <v>cas_hmw</v>
      </c>
      <c r="B21213" s="5">
        <f>IFERROR(__xludf.DUMMYFUNCTION("""COMPUTED_VALUE"""),44784.0)</f>
        <v>44784</v>
      </c>
      <c r="C21213" s="6">
        <f>IFERROR(__xludf.DUMMYFUNCTION("""COMPUTED_VALUE"""),0.7255208333335759)</f>
        <v>0.7255208333</v>
      </c>
      <c r="D21213" s="4">
        <f>IFERROR(__xludf.DUMMYFUNCTION("""COMPUTED_VALUE"""),13.007023)</f>
        <v>13.007023</v>
      </c>
      <c r="E21213" s="4">
        <f>IFERROR(__xludf.DUMMYFUNCTION("""COMPUTED_VALUE"""),80.203496)</f>
        <v>80.203496</v>
      </c>
      <c r="F21213" s="4">
        <f>IFERROR(__xludf.DUMMYFUNCTION("""COMPUTED_VALUE"""),805.0)</f>
        <v>805</v>
      </c>
      <c r="G21213" s="4">
        <f>IFERROR(__xludf.DUMMYFUNCTION("""COMPUTED_VALUE"""),36.0)</f>
        <v>36</v>
      </c>
      <c r="H21213" s="4"/>
      <c r="I21213" s="4"/>
    </row>
    <row r="21214">
      <c r="A21214" s="4" t="str">
        <f>IFERROR(__xludf.DUMMYFUNCTION("""COMPUTED_VALUE"""),"cas_hmw")</f>
        <v>cas_hmw</v>
      </c>
      <c r="B21214" s="5">
        <f>IFERROR(__xludf.DUMMYFUNCTION("""COMPUTED_VALUE"""),44784.0)</f>
        <v>44784</v>
      </c>
      <c r="C21214" s="6">
        <f>IFERROR(__xludf.DUMMYFUNCTION("""COMPUTED_VALUE"""),0.7260069444455439)</f>
        <v>0.7260069444</v>
      </c>
      <c r="D21214" s="4">
        <f>IFERROR(__xludf.DUMMYFUNCTION("""COMPUTED_VALUE"""),13.007605)</f>
        <v>13.007605</v>
      </c>
      <c r="E21214" s="4">
        <f>IFERROR(__xludf.DUMMYFUNCTION("""COMPUTED_VALUE"""),80.205255)</f>
        <v>80.205255</v>
      </c>
      <c r="F21214" s="4">
        <f>IFERROR(__xludf.DUMMYFUNCTION("""COMPUTED_VALUE"""),805.0)</f>
        <v>805</v>
      </c>
      <c r="G21214" s="4">
        <f>IFERROR(__xludf.DUMMYFUNCTION("""COMPUTED_VALUE"""),52.0)</f>
        <v>52</v>
      </c>
      <c r="H21214" s="4"/>
      <c r="I21214" s="4"/>
    </row>
    <row r="21215">
      <c r="A21215" s="4" t="str">
        <f>IFERROR(__xludf.DUMMYFUNCTION("""COMPUTED_VALUE"""),"cas_hmw")</f>
        <v>cas_hmw</v>
      </c>
      <c r="B21215" s="5">
        <f>IFERROR(__xludf.DUMMYFUNCTION("""COMPUTED_VALUE"""),44784.0)</f>
        <v>44784</v>
      </c>
      <c r="C21215" s="6">
        <f>IFERROR(__xludf.DUMMYFUNCTION("""COMPUTED_VALUE"""),0.7261805555572209)</f>
        <v>0.7261805556</v>
      </c>
      <c r="D21215" s="4">
        <f>IFERROR(__xludf.DUMMYFUNCTION("""COMPUTED_VALUE"""),13.007779)</f>
        <v>13.007779</v>
      </c>
      <c r="E21215" s="4">
        <f>IFERROR(__xludf.DUMMYFUNCTION("""COMPUTED_VALUE"""),80.206635)</f>
        <v>80.206635</v>
      </c>
      <c r="F21215" s="4">
        <f>IFERROR(__xludf.DUMMYFUNCTION("""COMPUTED_VALUE"""),805.0)</f>
        <v>805</v>
      </c>
      <c r="G21215" s="4">
        <f>IFERROR(__xludf.DUMMYFUNCTION("""COMPUTED_VALUE"""),53.0)</f>
        <v>53</v>
      </c>
      <c r="H21215" s="4"/>
      <c r="I21215" s="4"/>
    </row>
    <row r="21216">
      <c r="A21216" s="4" t="str">
        <f>IFERROR(__xludf.DUMMYFUNCTION("""COMPUTED_VALUE"""),"cas_hmw")</f>
        <v>cas_hmw</v>
      </c>
      <c r="B21216" s="5">
        <f>IFERROR(__xludf.DUMMYFUNCTION("""COMPUTED_VALUE"""),44784.0)</f>
        <v>44784</v>
      </c>
      <c r="C21216" s="6">
        <f>IFERROR(__xludf.DUMMYFUNCTION("""COMPUTED_VALUE"""),0.7266203703693463)</f>
        <v>0.7266203704</v>
      </c>
      <c r="D21216" s="4">
        <f>IFERROR(__xludf.DUMMYFUNCTION("""COMPUTED_VALUE"""),13.008876)</f>
        <v>13.008876</v>
      </c>
      <c r="E21216" s="4">
        <f>IFERROR(__xludf.DUMMYFUNCTION("""COMPUTED_VALUE"""),80.211464)</f>
        <v>80.211464</v>
      </c>
      <c r="F21216" s="4">
        <f>IFERROR(__xludf.DUMMYFUNCTION("""COMPUTED_VALUE"""),805.0)</f>
        <v>805</v>
      </c>
      <c r="G21216" s="4">
        <f>IFERROR(__xludf.DUMMYFUNCTION("""COMPUTED_VALUE"""),40.0)</f>
        <v>40</v>
      </c>
      <c r="H21216" s="4"/>
      <c r="I21216" s="4"/>
    </row>
    <row r="21217">
      <c r="A21217" s="4" t="str">
        <f>IFERROR(__xludf.DUMMYFUNCTION("""COMPUTED_VALUE"""),"cas_hmw")</f>
        <v>cas_hmw</v>
      </c>
      <c r="B21217" s="5">
        <f>IFERROR(__xludf.DUMMYFUNCTION("""COMPUTED_VALUE"""),44784.0)</f>
        <v>44784</v>
      </c>
      <c r="C21217" s="6">
        <f>IFERROR(__xludf.DUMMYFUNCTION("""COMPUTED_VALUE"""),0.7269212962964957)</f>
        <v>0.7269212963</v>
      </c>
      <c r="D21217" s="4">
        <f>IFERROR(__xludf.DUMMYFUNCTION("""COMPUTED_VALUE"""),13.003847)</f>
        <v>13.003847</v>
      </c>
      <c r="E21217" s="4">
        <f>IFERROR(__xludf.DUMMYFUNCTION("""COMPUTED_VALUE"""),80.200928)</f>
        <v>80.200928</v>
      </c>
      <c r="F21217" s="4">
        <f>IFERROR(__xludf.DUMMYFUNCTION("""COMPUTED_VALUE"""),5339.0)</f>
        <v>5339</v>
      </c>
      <c r="G21217" s="4">
        <f>IFERROR(__xludf.DUMMYFUNCTION("""COMPUTED_VALUE"""),32.0)</f>
        <v>32</v>
      </c>
      <c r="H21217" s="4"/>
      <c r="I21217" s="4"/>
    </row>
    <row r="21218">
      <c r="A21218" s="4" t="str">
        <f>IFERROR(__xludf.DUMMYFUNCTION("""COMPUTED_VALUE"""),"cas_hmw")</f>
        <v>cas_hmw</v>
      </c>
      <c r="B21218" s="5">
        <f>IFERROR(__xludf.DUMMYFUNCTION("""COMPUTED_VALUE"""),44784.0)</f>
        <v>44784</v>
      </c>
      <c r="C21218" s="6">
        <f>IFERROR(__xludf.DUMMYFUNCTION("""COMPUTED_VALUE"""),0.7272337962967867)</f>
        <v>0.7272337963</v>
      </c>
      <c r="D21218" s="4">
        <f>IFERROR(__xludf.DUMMYFUNCTION("""COMPUTED_VALUE"""),13.010717)</f>
        <v>13.010717</v>
      </c>
      <c r="E21218" s="4">
        <f>IFERROR(__xludf.DUMMYFUNCTION("""COMPUTED_VALUE"""),80.216746)</f>
        <v>80.216746</v>
      </c>
      <c r="F21218" s="4">
        <f>IFERROR(__xludf.DUMMYFUNCTION("""COMPUTED_VALUE"""),805.0)</f>
        <v>805</v>
      </c>
      <c r="G21218" s="4">
        <f>IFERROR(__xludf.DUMMYFUNCTION("""COMPUTED_VALUE"""),45.0)</f>
        <v>45</v>
      </c>
      <c r="H21218" s="4"/>
      <c r="I21218" s="4"/>
    </row>
    <row r="21219">
      <c r="A21219" s="4" t="str">
        <f>IFERROR(__xludf.DUMMYFUNCTION("""COMPUTED_VALUE"""),"cas_hmw")</f>
        <v>cas_hmw</v>
      </c>
      <c r="B21219" s="5">
        <f>IFERROR(__xludf.DUMMYFUNCTION("""COMPUTED_VALUE"""),44784.0)</f>
        <v>44784</v>
      </c>
      <c r="C21219" s="6">
        <f>IFERROR(__xludf.DUMMYFUNCTION("""COMPUTED_VALUE"""),0.7274305555547471)</f>
        <v>0.7274305556</v>
      </c>
      <c r="D21219" s="4">
        <f>IFERROR(__xludf.DUMMYFUNCTION("""COMPUTED_VALUE"""),13.011473)</f>
        <v>13.011473</v>
      </c>
      <c r="E21219" s="4">
        <f>IFERROR(__xludf.DUMMYFUNCTION("""COMPUTED_VALUE"""),80.218593)</f>
        <v>80.218593</v>
      </c>
      <c r="F21219" s="4">
        <f>IFERROR(__xludf.DUMMYFUNCTION("""COMPUTED_VALUE"""),805.0)</f>
        <v>805</v>
      </c>
      <c r="G21219" s="4">
        <f>IFERROR(__xludf.DUMMYFUNCTION("""COMPUTED_VALUE"""),40.0)</f>
        <v>40</v>
      </c>
      <c r="H21219" s="4"/>
      <c r="I21219" s="4"/>
    </row>
    <row r="21220">
      <c r="A21220" s="4" t="str">
        <f>IFERROR(__xludf.DUMMYFUNCTION("""COMPUTED_VALUE"""),"cas_hmw")</f>
        <v>cas_hmw</v>
      </c>
      <c r="B21220" s="5">
        <f>IFERROR(__xludf.DUMMYFUNCTION("""COMPUTED_VALUE"""),44784.0)</f>
        <v>44784</v>
      </c>
      <c r="C21220" s="6">
        <f>IFERROR(__xludf.DUMMYFUNCTION("""COMPUTED_VALUE"""),0.7274537037046684)</f>
        <v>0.7274537037</v>
      </c>
      <c r="D21220" s="4">
        <f>IFERROR(__xludf.DUMMYFUNCTION("""COMPUTED_VALUE"""),13.011473)</f>
        <v>13.011473</v>
      </c>
      <c r="E21220" s="4">
        <f>IFERROR(__xludf.DUMMYFUNCTION("""COMPUTED_VALUE"""),80.218593)</f>
        <v>80.218593</v>
      </c>
      <c r="F21220" s="4">
        <f>IFERROR(__xludf.DUMMYFUNCTION("""COMPUTED_VALUE"""),805.0)</f>
        <v>805</v>
      </c>
      <c r="G21220" s="4">
        <f>IFERROR(__xludf.DUMMYFUNCTION("""COMPUTED_VALUE"""),40.0)</f>
        <v>40</v>
      </c>
      <c r="H21220" s="4"/>
      <c r="I21220" s="4"/>
    </row>
    <row r="21221">
      <c r="A21221" s="4" t="str">
        <f>IFERROR(__xludf.DUMMYFUNCTION("""COMPUTED_VALUE"""),"cas_hmw")</f>
        <v>cas_hmw</v>
      </c>
      <c r="B21221" s="5">
        <f>IFERROR(__xludf.DUMMYFUNCTION("""COMPUTED_VALUE"""),44784.0)</f>
        <v>44784</v>
      </c>
      <c r="C21221" s="6">
        <f>IFERROR(__xludf.DUMMYFUNCTION("""COMPUTED_VALUE"""),0.7283217592594156)</f>
        <v>0.7283217593</v>
      </c>
      <c r="D21221" s="4">
        <f>IFERROR(__xludf.DUMMYFUNCTION("""COMPUTED_VALUE"""),13.013493)</f>
        <v>13.013493</v>
      </c>
      <c r="E21221" s="4">
        <f>IFERROR(__xludf.DUMMYFUNCTION("""COMPUTED_VALUE"""),80.222842)</f>
        <v>80.222842</v>
      </c>
      <c r="F21221" s="4">
        <f>IFERROR(__xludf.DUMMYFUNCTION("""COMPUTED_VALUE"""),805.0)</f>
        <v>805</v>
      </c>
      <c r="G21221" s="4">
        <f>IFERROR(__xludf.DUMMYFUNCTION("""COMPUTED_VALUE"""),35.0)</f>
        <v>35</v>
      </c>
      <c r="H21221" s="4"/>
      <c r="I21221" s="4"/>
    </row>
    <row r="21222">
      <c r="A21222" s="4" t="str">
        <f>IFERROR(__xludf.DUMMYFUNCTION("""COMPUTED_VALUE"""),"cas_hmw")</f>
        <v>cas_hmw</v>
      </c>
      <c r="B21222" s="5">
        <f>IFERROR(__xludf.DUMMYFUNCTION("""COMPUTED_VALUE"""),44784.0)</f>
        <v>44784</v>
      </c>
      <c r="C21222" s="6">
        <f>IFERROR(__xludf.DUMMYFUNCTION("""COMPUTED_VALUE"""),0.7283912037019036)</f>
        <v>0.7283912037</v>
      </c>
      <c r="D21222" s="4">
        <f>IFERROR(__xludf.DUMMYFUNCTION("""COMPUTED_VALUE"""),13.013493)</f>
        <v>13.013493</v>
      </c>
      <c r="E21222" s="4">
        <f>IFERROR(__xludf.DUMMYFUNCTION("""COMPUTED_VALUE"""),80.222842)</f>
        <v>80.222842</v>
      </c>
      <c r="F21222" s="4">
        <f>IFERROR(__xludf.DUMMYFUNCTION("""COMPUTED_VALUE"""),805.0)</f>
        <v>805</v>
      </c>
      <c r="G21222" s="4">
        <f>IFERROR(__xludf.DUMMYFUNCTION("""COMPUTED_VALUE"""),35.0)</f>
        <v>35</v>
      </c>
      <c r="H21222" s="4"/>
      <c r="I21222" s="4"/>
    </row>
    <row r="21223">
      <c r="A21223" s="4" t="str">
        <f>IFERROR(__xludf.DUMMYFUNCTION("""COMPUTED_VALUE"""),"cas_hmw")</f>
        <v>cas_hmw</v>
      </c>
      <c r="B21223" s="5">
        <f>IFERROR(__xludf.DUMMYFUNCTION("""COMPUTED_VALUE"""),44784.0)</f>
        <v>44784</v>
      </c>
      <c r="C21223" s="6">
        <f>IFERROR(__xludf.DUMMYFUNCTION("""COMPUTED_VALUE"""),0.7284953703710926)</f>
        <v>0.7284953704</v>
      </c>
      <c r="D21223" s="4">
        <f>IFERROR(__xludf.DUMMYFUNCTION("""COMPUTED_VALUE"""),13.01406)</f>
        <v>13.01406</v>
      </c>
      <c r="E21223" s="4">
        <f>IFERROR(__xludf.DUMMYFUNCTION("""COMPUTED_VALUE"""),80.223541)</f>
        <v>80.223541</v>
      </c>
      <c r="F21223" s="4">
        <f>IFERROR(__xludf.DUMMYFUNCTION("""COMPUTED_VALUE"""),805.0)</f>
        <v>805</v>
      </c>
      <c r="G21223" s="4">
        <f>IFERROR(__xludf.DUMMYFUNCTION("""COMPUTED_VALUE"""),36.0)</f>
        <v>36</v>
      </c>
      <c r="H21223" s="4"/>
      <c r="I21223" s="4"/>
    </row>
    <row r="21224">
      <c r="A21224" s="4" t="str">
        <f>IFERROR(__xludf.DUMMYFUNCTION("""COMPUTED_VALUE"""),"cas_hmw")</f>
        <v>cas_hmw</v>
      </c>
      <c r="B21224" s="5">
        <f>IFERROR(__xludf.DUMMYFUNCTION("""COMPUTED_VALUE"""),44784.0)</f>
        <v>44784</v>
      </c>
      <c r="C21224" s="6">
        <f>IFERROR(__xludf.DUMMYFUNCTION("""COMPUTED_VALUE"""),0.7285532407404389)</f>
        <v>0.7285532407</v>
      </c>
      <c r="D21224" s="4">
        <f>IFERROR(__xludf.DUMMYFUNCTION("""COMPUTED_VALUE"""),13.014624)</f>
        <v>13.014624</v>
      </c>
      <c r="E21224" s="4">
        <f>IFERROR(__xludf.DUMMYFUNCTION("""COMPUTED_VALUE"""),80.224247)</f>
        <v>80.224247</v>
      </c>
      <c r="F21224" s="4">
        <f>IFERROR(__xludf.DUMMYFUNCTION("""COMPUTED_VALUE"""),805.0)</f>
        <v>805</v>
      </c>
      <c r="G21224" s="4">
        <f>IFERROR(__xludf.DUMMYFUNCTION("""COMPUTED_VALUE"""),34.0)</f>
        <v>34</v>
      </c>
      <c r="H21224" s="4"/>
      <c r="I21224" s="4"/>
    </row>
    <row r="21225">
      <c r="A21225" s="4" t="str">
        <f>IFERROR(__xludf.DUMMYFUNCTION("""COMPUTED_VALUE"""),"cas_hmw")</f>
        <v>cas_hmw</v>
      </c>
      <c r="B21225" s="5">
        <f>IFERROR(__xludf.DUMMYFUNCTION("""COMPUTED_VALUE"""),44784.0)</f>
        <v>44784</v>
      </c>
      <c r="C21225" s="6">
        <f>IFERROR(__xludf.DUMMYFUNCTION("""COMPUTED_VALUE"""),0.7286574074059899)</f>
        <v>0.7286574074</v>
      </c>
      <c r="D21225" s="4">
        <f>IFERROR(__xludf.DUMMYFUNCTION("""COMPUTED_VALUE"""),13.015185)</f>
        <v>13.015185</v>
      </c>
      <c r="E21225" s="4">
        <f>IFERROR(__xludf.DUMMYFUNCTION("""COMPUTED_VALUE"""),80.224947)</f>
        <v>80.224947</v>
      </c>
      <c r="F21225" s="4">
        <f>IFERROR(__xludf.DUMMYFUNCTION("""COMPUTED_VALUE"""),805.0)</f>
        <v>805</v>
      </c>
      <c r="G21225" s="4">
        <f>IFERROR(__xludf.DUMMYFUNCTION("""COMPUTED_VALUE"""),38.0)</f>
        <v>38</v>
      </c>
      <c r="H21225" s="4"/>
      <c r="I21225" s="4"/>
    </row>
    <row r="21226">
      <c r="A21226" s="4" t="str">
        <f>IFERROR(__xludf.DUMMYFUNCTION("""COMPUTED_VALUE"""),"cas_hmw")</f>
        <v>cas_hmw</v>
      </c>
      <c r="B21226" s="5">
        <f>IFERROR(__xludf.DUMMYFUNCTION("""COMPUTED_VALUE"""),44784.0)</f>
        <v>44784</v>
      </c>
      <c r="C21226" s="6">
        <f>IFERROR(__xludf.DUMMYFUNCTION("""COMPUTED_VALUE"""),0.7289120370369346)</f>
        <v>0.728912037</v>
      </c>
      <c r="D21226" s="4">
        <f>IFERROR(__xludf.DUMMYFUNCTION("""COMPUTED_VALUE"""),13.014984)</f>
        <v>13.014984</v>
      </c>
      <c r="E21226" s="4">
        <f>IFERROR(__xludf.DUMMYFUNCTION("""COMPUTED_VALUE"""),80.225938)</f>
        <v>80.225938</v>
      </c>
      <c r="F21226" s="4">
        <f>IFERROR(__xludf.DUMMYFUNCTION("""COMPUTED_VALUE"""),805.0)</f>
        <v>805</v>
      </c>
      <c r="G21226" s="4">
        <f>IFERROR(__xludf.DUMMYFUNCTION("""COMPUTED_VALUE"""),29.0)</f>
        <v>29</v>
      </c>
      <c r="H21226" s="4"/>
      <c r="I21226" s="4"/>
    </row>
    <row r="21227">
      <c r="A21227" s="4" t="str">
        <f>IFERROR(__xludf.DUMMYFUNCTION("""COMPUTED_VALUE"""),"cas_hmw")</f>
        <v>cas_hmw</v>
      </c>
      <c r="B21227" s="5">
        <f>IFERROR(__xludf.DUMMYFUNCTION("""COMPUTED_VALUE"""),44784.0)</f>
        <v>44784</v>
      </c>
      <c r="C21227" s="6">
        <f>IFERROR(__xludf.DUMMYFUNCTION("""COMPUTED_VALUE"""),0.7289814814830606)</f>
        <v>0.7289814815</v>
      </c>
      <c r="D21227" s="4">
        <f>IFERROR(__xludf.DUMMYFUNCTION("""COMPUTED_VALUE"""),13.014984)</f>
        <v>13.014984</v>
      </c>
      <c r="E21227" s="4">
        <f>IFERROR(__xludf.DUMMYFUNCTION("""COMPUTED_VALUE"""),80.225938)</f>
        <v>80.225938</v>
      </c>
      <c r="F21227" s="4">
        <f>IFERROR(__xludf.DUMMYFUNCTION("""COMPUTED_VALUE"""),805.0)</f>
        <v>805</v>
      </c>
      <c r="G21227" s="4">
        <f>IFERROR(__xludf.DUMMYFUNCTION("""COMPUTED_VALUE"""),29.0)</f>
        <v>29</v>
      </c>
      <c r="H21227" s="4"/>
      <c r="I21227" s="4"/>
    </row>
    <row r="21228">
      <c r="A21228" s="4" t="str">
        <f>IFERROR(__xludf.DUMMYFUNCTION("""COMPUTED_VALUE"""),"cas_hmw")</f>
        <v>cas_hmw</v>
      </c>
      <c r="B21228" s="5">
        <f>IFERROR(__xludf.DUMMYFUNCTION("""COMPUTED_VALUE"""),44784.0)</f>
        <v>44784</v>
      </c>
      <c r="C21228" s="6">
        <f>IFERROR(__xludf.DUMMYFUNCTION("""COMPUTED_VALUE"""),0.7296412037030677)</f>
        <v>0.7296412037</v>
      </c>
      <c r="D21228" s="4">
        <f>IFERROR(__xludf.DUMMYFUNCTION("""COMPUTED_VALUE"""),12.964758)</f>
        <v>12.964758</v>
      </c>
      <c r="E21228" s="4">
        <f>IFERROR(__xludf.DUMMYFUNCTION("""COMPUTED_VALUE"""),80.197896)</f>
        <v>80.197896</v>
      </c>
      <c r="F21228" s="4">
        <f>IFERROR(__xludf.DUMMYFUNCTION("""COMPUTED_VALUE"""),3143.0)</f>
        <v>3143</v>
      </c>
      <c r="G21228" s="4">
        <f>IFERROR(__xludf.DUMMYFUNCTION("""COMPUTED_VALUE"""),27.0)</f>
        <v>27</v>
      </c>
      <c r="H21228" s="4"/>
      <c r="I21228" s="4"/>
    </row>
    <row r="21229">
      <c r="A21229" s="4" t="str">
        <f>IFERROR(__xludf.DUMMYFUNCTION("""COMPUTED_VALUE"""),"cas_hmw")</f>
        <v>cas_hmw</v>
      </c>
      <c r="B21229" s="5">
        <f>IFERROR(__xludf.DUMMYFUNCTION("""COMPUTED_VALUE"""),44784.0)</f>
        <v>44784</v>
      </c>
      <c r="C21229" s="6">
        <f>IFERROR(__xludf.DUMMYFUNCTION("""COMPUTED_VALUE"""),0.7296527777762094)</f>
        <v>0.7296527778</v>
      </c>
      <c r="D21229" s="4">
        <f>IFERROR(__xludf.DUMMYFUNCTION("""COMPUTED_VALUE"""),12.964758)</f>
        <v>12.964758</v>
      </c>
      <c r="E21229" s="4">
        <f>IFERROR(__xludf.DUMMYFUNCTION("""COMPUTED_VALUE"""),80.197896)</f>
        <v>80.197896</v>
      </c>
      <c r="F21229" s="4">
        <f>IFERROR(__xludf.DUMMYFUNCTION("""COMPUTED_VALUE"""),3143.0)</f>
        <v>3143</v>
      </c>
      <c r="G21229" s="4">
        <f>IFERROR(__xludf.DUMMYFUNCTION("""COMPUTED_VALUE"""),27.0)</f>
        <v>27</v>
      </c>
      <c r="H21229" s="4"/>
      <c r="I21229" s="4"/>
    </row>
    <row r="21230">
      <c r="A21230" s="4" t="str">
        <f>IFERROR(__xludf.DUMMYFUNCTION("""COMPUTED_VALUE"""),"cas_hmw")</f>
        <v>cas_hmw</v>
      </c>
      <c r="B21230" s="5">
        <f>IFERROR(__xludf.DUMMYFUNCTION("""COMPUTED_VALUE"""),44784.0)</f>
        <v>44784</v>
      </c>
      <c r="C21230" s="6">
        <f>IFERROR(__xludf.DUMMYFUNCTION("""COMPUTED_VALUE"""),0.7297222222223354)</f>
        <v>0.7297222222</v>
      </c>
      <c r="D21230" s="4">
        <f>IFERROR(__xludf.DUMMYFUNCTION("""COMPUTED_VALUE"""),13.009155)</f>
        <v>13.009155</v>
      </c>
      <c r="E21230" s="4">
        <f>IFERROR(__xludf.DUMMYFUNCTION("""COMPUTED_VALUE"""),80.228521)</f>
        <v>80.228521</v>
      </c>
      <c r="F21230" s="4">
        <f>IFERROR(__xludf.DUMMYFUNCTION("""COMPUTED_VALUE"""),805.0)</f>
        <v>805</v>
      </c>
      <c r="G21230" s="4">
        <f>IFERROR(__xludf.DUMMYFUNCTION("""COMPUTED_VALUE"""),30.0)</f>
        <v>30</v>
      </c>
      <c r="H21230" s="4"/>
      <c r="I21230" s="4"/>
    </row>
    <row r="21231">
      <c r="A21231" s="4" t="str">
        <f>IFERROR(__xludf.DUMMYFUNCTION("""COMPUTED_VALUE"""),"cas_hmw")</f>
        <v>cas_hmw</v>
      </c>
      <c r="B21231" s="5">
        <f>IFERROR(__xludf.DUMMYFUNCTION("""COMPUTED_VALUE"""),44784.0)</f>
        <v>44784</v>
      </c>
      <c r="C21231" s="6">
        <f>IFERROR(__xludf.DUMMYFUNCTION("""COMPUTED_VALUE"""),0.7298032407416031)</f>
        <v>0.7298032407</v>
      </c>
      <c r="D21231" s="4">
        <f>IFERROR(__xludf.DUMMYFUNCTION("""COMPUTED_VALUE"""),13.011621)</f>
        <v>13.011621</v>
      </c>
      <c r="E21231" s="4">
        <f>IFERROR(__xludf.DUMMYFUNCTION("""COMPUTED_VALUE"""),80.219048)</f>
        <v>80.219048</v>
      </c>
      <c r="F21231" s="4">
        <f>IFERROR(__xludf.DUMMYFUNCTION("""COMPUTED_VALUE"""),5339.0)</f>
        <v>5339</v>
      </c>
      <c r="G21231" s="4">
        <f>IFERROR(__xludf.DUMMYFUNCTION("""COMPUTED_VALUE"""),43.0)</f>
        <v>43</v>
      </c>
      <c r="H21231" s="4"/>
      <c r="I21231" s="4"/>
    </row>
    <row r="21232">
      <c r="A21232" s="4" t="str">
        <f>IFERROR(__xludf.DUMMYFUNCTION("""COMPUTED_VALUE"""),"cas_hmw")</f>
        <v>cas_hmw</v>
      </c>
      <c r="B21232" s="5">
        <f>IFERROR(__xludf.DUMMYFUNCTION("""COMPUTED_VALUE"""),44784.0)</f>
        <v>44784</v>
      </c>
      <c r="C21232" s="6">
        <f>IFERROR(__xludf.DUMMYFUNCTION("""COMPUTED_VALUE"""),0.7298726851840911)</f>
        <v>0.7298726852</v>
      </c>
      <c r="D21232" s="4">
        <f>IFERROR(__xludf.DUMMYFUNCTION("""COMPUTED_VALUE"""),13.009001)</f>
        <v>13.009001</v>
      </c>
      <c r="E21232" s="4">
        <f>IFERROR(__xludf.DUMMYFUNCTION("""COMPUTED_VALUE"""),80.229363)</f>
        <v>80.229363</v>
      </c>
      <c r="F21232" s="4">
        <f>IFERROR(__xludf.DUMMYFUNCTION("""COMPUTED_VALUE"""),805.0)</f>
        <v>805</v>
      </c>
      <c r="G21232" s="4">
        <f>IFERROR(__xludf.DUMMYFUNCTION("""COMPUTED_VALUE"""),34.0)</f>
        <v>34</v>
      </c>
      <c r="H21232" s="4"/>
      <c r="I21232" s="4"/>
    </row>
    <row r="21233">
      <c r="A21233" s="4" t="str">
        <f>IFERROR(__xludf.DUMMYFUNCTION("""COMPUTED_VALUE"""),"cas_hmw")</f>
        <v>cas_hmw</v>
      </c>
      <c r="B21233" s="5">
        <f>IFERROR(__xludf.DUMMYFUNCTION("""COMPUTED_VALUE"""),44784.0)</f>
        <v>44784</v>
      </c>
      <c r="C21233" s="6">
        <f>IFERROR(__xludf.DUMMYFUNCTION("""COMPUTED_VALUE"""),0.7299768518532801)</f>
        <v>0.7299768519</v>
      </c>
      <c r="D21233" s="4">
        <f>IFERROR(__xludf.DUMMYFUNCTION("""COMPUTED_VALUE"""),13.008834)</f>
        <v>13.008834</v>
      </c>
      <c r="E21233" s="4">
        <f>IFERROR(__xludf.DUMMYFUNCTION("""COMPUTED_VALUE"""),80.23023)</f>
        <v>80.23023</v>
      </c>
      <c r="F21233" s="4">
        <f>IFERROR(__xludf.DUMMYFUNCTION("""COMPUTED_VALUE"""),805.0)</f>
        <v>805</v>
      </c>
      <c r="G21233" s="4">
        <f>IFERROR(__xludf.DUMMYFUNCTION("""COMPUTED_VALUE"""),32.0)</f>
        <v>32</v>
      </c>
      <c r="H21233" s="4"/>
      <c r="I21233" s="4"/>
    </row>
    <row r="21234">
      <c r="A21234" s="4" t="str">
        <f>IFERROR(__xludf.DUMMYFUNCTION("""COMPUTED_VALUE"""),"cas_hmw")</f>
        <v>cas_hmw</v>
      </c>
      <c r="B21234" s="5">
        <f>IFERROR(__xludf.DUMMYFUNCTION("""COMPUTED_VALUE"""),44784.0)</f>
        <v>44784</v>
      </c>
      <c r="C21234" s="6">
        <f>IFERROR(__xludf.DUMMYFUNCTION("""COMPUTED_VALUE"""),0.7315393518510973)</f>
        <v>0.7315393519</v>
      </c>
      <c r="D21234" s="4">
        <f>IFERROR(__xludf.DUMMYFUNCTION("""COMPUTED_VALUE"""),12.644413)</f>
        <v>12.644413</v>
      </c>
      <c r="E21234" s="4">
        <f>IFERROR(__xludf.DUMMYFUNCTION("""COMPUTED_VALUE"""),79.939067)</f>
        <v>79.939067</v>
      </c>
      <c r="F21234" s="4">
        <f>IFERROR(__xludf.DUMMYFUNCTION("""COMPUTED_VALUE"""),2846.0)</f>
        <v>2846</v>
      </c>
      <c r="G21234" s="4">
        <f>IFERROR(__xludf.DUMMYFUNCTION("""COMPUTED_VALUE"""),55.0)</f>
        <v>55</v>
      </c>
      <c r="H21234" s="4"/>
      <c r="I21234" s="4"/>
    </row>
    <row r="21235">
      <c r="A21235" s="4" t="str">
        <f>IFERROR(__xludf.DUMMYFUNCTION("""COMPUTED_VALUE"""),"cas_hmw")</f>
        <v>cas_hmw</v>
      </c>
      <c r="B21235" s="5">
        <f>IFERROR(__xludf.DUMMYFUNCTION("""COMPUTED_VALUE"""),44784.0)</f>
        <v>44784</v>
      </c>
      <c r="C21235" s="6">
        <f>IFERROR(__xludf.DUMMYFUNCTION("""COMPUTED_VALUE"""),0.7324421296289074)</f>
        <v>0.7324421296</v>
      </c>
      <c r="D21235" s="4">
        <f>IFERROR(__xludf.DUMMYFUNCTION("""COMPUTED_VALUE"""),12.644413)</f>
        <v>12.644413</v>
      </c>
      <c r="E21235" s="4">
        <f>IFERROR(__xludf.DUMMYFUNCTION("""COMPUTED_VALUE"""),79.939067)</f>
        <v>79.939067</v>
      </c>
      <c r="F21235" s="4">
        <f>IFERROR(__xludf.DUMMYFUNCTION("""COMPUTED_VALUE"""),2846.0)</f>
        <v>2846</v>
      </c>
      <c r="G21235" s="4">
        <f>IFERROR(__xludf.DUMMYFUNCTION("""COMPUTED_VALUE"""),55.0)</f>
        <v>55</v>
      </c>
      <c r="H21235" s="4"/>
      <c r="I21235" s="4"/>
    </row>
    <row r="21236">
      <c r="A21236" s="4" t="str">
        <f>IFERROR(__xludf.DUMMYFUNCTION("""COMPUTED_VALUE"""),"cas_hmw")</f>
        <v>cas_hmw</v>
      </c>
      <c r="B21236" s="5">
        <f>IFERROR(__xludf.DUMMYFUNCTION("""COMPUTED_VALUE"""),44784.0)</f>
        <v>44784</v>
      </c>
      <c r="C21236" s="6">
        <f>IFERROR(__xludf.DUMMYFUNCTION("""COMPUTED_VALUE"""),0.7328703703715291)</f>
        <v>0.7328703704</v>
      </c>
      <c r="D21236" s="4">
        <f>IFERROR(__xludf.DUMMYFUNCTION("""COMPUTED_VALUE"""),12.644413)</f>
        <v>12.644413</v>
      </c>
      <c r="E21236" s="4">
        <f>IFERROR(__xludf.DUMMYFUNCTION("""COMPUTED_VALUE"""),79.939067)</f>
        <v>79.939067</v>
      </c>
      <c r="F21236" s="4">
        <f>IFERROR(__xludf.DUMMYFUNCTION("""COMPUTED_VALUE"""),2846.0)</f>
        <v>2846</v>
      </c>
      <c r="G21236" s="4">
        <f>IFERROR(__xludf.DUMMYFUNCTION("""COMPUTED_VALUE"""),55.0)</f>
        <v>55</v>
      </c>
      <c r="H21236" s="4"/>
      <c r="I21236" s="4"/>
    </row>
    <row r="21237">
      <c r="A21237" s="4" t="str">
        <f>IFERROR(__xludf.DUMMYFUNCTION("""COMPUTED_VALUE"""),"cas_hmw")</f>
        <v>cas_hmw</v>
      </c>
      <c r="B21237" s="5">
        <f>IFERROR(__xludf.DUMMYFUNCTION("""COMPUTED_VALUE"""),44784.0)</f>
        <v>44784</v>
      </c>
      <c r="C21237" s="6">
        <f>IFERROR(__xludf.DUMMYFUNCTION("""COMPUTED_VALUE"""),0.7341550925921183)</f>
        <v>0.7341550926</v>
      </c>
      <c r="D21237" s="4">
        <f>IFERROR(__xludf.DUMMYFUNCTION("""COMPUTED_VALUE"""),13.027252)</f>
        <v>13.027252</v>
      </c>
      <c r="E21237" s="4">
        <f>IFERROR(__xludf.DUMMYFUNCTION("""COMPUTED_VALUE"""),80.23413)</f>
        <v>80.23413</v>
      </c>
      <c r="F21237" s="4">
        <f>IFERROR(__xludf.DUMMYFUNCTION("""COMPUTED_VALUE"""),5339.0)</f>
        <v>5339</v>
      </c>
      <c r="G21237" s="4">
        <f>IFERROR(__xludf.DUMMYFUNCTION("""COMPUTED_VALUE"""),31.0)</f>
        <v>31</v>
      </c>
      <c r="H21237" s="4"/>
      <c r="I21237" s="4"/>
    </row>
    <row r="21238">
      <c r="A21238" s="4" t="str">
        <f>IFERROR(__xludf.DUMMYFUNCTION("""COMPUTED_VALUE"""),"cas_hmw")</f>
        <v>cas_hmw</v>
      </c>
      <c r="B21238" s="5">
        <f>IFERROR(__xludf.DUMMYFUNCTION("""COMPUTED_VALUE"""),44784.0)</f>
        <v>44784</v>
      </c>
      <c r="C21238" s="6">
        <f>IFERROR(__xludf.DUMMYFUNCTION("""COMPUTED_VALUE"""),0.7341898148151813)</f>
        <v>0.7341898148</v>
      </c>
      <c r="D21238" s="4">
        <f>IFERROR(__xludf.DUMMYFUNCTION("""COMPUTED_VALUE"""),13.027252)</f>
        <v>13.027252</v>
      </c>
      <c r="E21238" s="4">
        <f>IFERROR(__xludf.DUMMYFUNCTION("""COMPUTED_VALUE"""),80.23413)</f>
        <v>80.23413</v>
      </c>
      <c r="F21238" s="4">
        <f>IFERROR(__xludf.DUMMYFUNCTION("""COMPUTED_VALUE"""),5339.0)</f>
        <v>5339</v>
      </c>
      <c r="G21238" s="4">
        <f>IFERROR(__xludf.DUMMYFUNCTION("""COMPUTED_VALUE"""),31.0)</f>
        <v>31</v>
      </c>
      <c r="H21238" s="4"/>
      <c r="I21238" s="4"/>
    </row>
    <row r="21239">
      <c r="A21239" s="4" t="str">
        <f>IFERROR(__xludf.DUMMYFUNCTION("""COMPUTED_VALUE"""),"cas_hmw")</f>
        <v>cas_hmw</v>
      </c>
      <c r="B21239" s="5">
        <f>IFERROR(__xludf.DUMMYFUNCTION("""COMPUTED_VALUE"""),44784.0)</f>
        <v>44784</v>
      </c>
      <c r="C21239" s="6">
        <f>IFERROR(__xludf.DUMMYFUNCTION("""COMPUTED_VALUE"""),0.734201388888323)</f>
        <v>0.7342013889</v>
      </c>
      <c r="D21239" s="4">
        <f>IFERROR(__xludf.DUMMYFUNCTION("""COMPUTED_VALUE"""),13.027252)</f>
        <v>13.027252</v>
      </c>
      <c r="E21239" s="4">
        <f>IFERROR(__xludf.DUMMYFUNCTION("""COMPUTED_VALUE"""),80.23413)</f>
        <v>80.23413</v>
      </c>
      <c r="F21239" s="4">
        <f>IFERROR(__xludf.DUMMYFUNCTION("""COMPUTED_VALUE"""),5339.0)</f>
        <v>5339</v>
      </c>
      <c r="G21239" s="4">
        <f>IFERROR(__xludf.DUMMYFUNCTION("""COMPUTED_VALUE"""),31.0)</f>
        <v>31</v>
      </c>
      <c r="H21239" s="4"/>
      <c r="I21239" s="4"/>
    </row>
    <row r="21240">
      <c r="A21240" s="4" t="str">
        <f>IFERROR(__xludf.DUMMYFUNCTION("""COMPUTED_VALUE"""),"cas_hmw")</f>
        <v>cas_hmw</v>
      </c>
      <c r="B21240" s="5">
        <f>IFERROR(__xludf.DUMMYFUNCTION("""COMPUTED_VALUE"""),44784.0)</f>
        <v>44784</v>
      </c>
      <c r="C21240" s="6">
        <f>IFERROR(__xludf.DUMMYFUNCTION("""COMPUTED_VALUE"""),0.7342129629614647)</f>
        <v>0.734212963</v>
      </c>
      <c r="D21240" s="4">
        <f>IFERROR(__xludf.DUMMYFUNCTION("""COMPUTED_VALUE"""),13.027252)</f>
        <v>13.027252</v>
      </c>
      <c r="E21240" s="4">
        <f>IFERROR(__xludf.DUMMYFUNCTION("""COMPUTED_VALUE"""),80.23413)</f>
        <v>80.23413</v>
      </c>
      <c r="F21240" s="4">
        <f>IFERROR(__xludf.DUMMYFUNCTION("""COMPUTED_VALUE"""),5339.0)</f>
        <v>5339</v>
      </c>
      <c r="G21240" s="4">
        <f>IFERROR(__xludf.DUMMYFUNCTION("""COMPUTED_VALUE"""),31.0)</f>
        <v>31</v>
      </c>
      <c r="H21240" s="4"/>
      <c r="I21240" s="4"/>
    </row>
    <row r="21241">
      <c r="A21241" s="4" t="str">
        <f>IFERROR(__xludf.DUMMYFUNCTION("""COMPUTED_VALUE"""),"cas_hmw")</f>
        <v>cas_hmw</v>
      </c>
      <c r="B21241" s="5">
        <f>IFERROR(__xludf.DUMMYFUNCTION("""COMPUTED_VALUE"""),44784.0)</f>
        <v>44784</v>
      </c>
      <c r="C21241" s="6">
        <f>IFERROR(__xludf.DUMMYFUNCTION("""COMPUTED_VALUE"""),0.7352777777778101)</f>
        <v>0.7352777778</v>
      </c>
      <c r="D21241" s="4">
        <f>IFERROR(__xludf.DUMMYFUNCTION("""COMPUTED_VALUE"""),12.607859)</f>
        <v>12.607859</v>
      </c>
      <c r="E21241" s="4">
        <f>IFERROR(__xludf.DUMMYFUNCTION("""COMPUTED_VALUE"""),79.92156)</f>
        <v>79.92156</v>
      </c>
      <c r="F21241" s="4">
        <f>IFERROR(__xludf.DUMMYFUNCTION("""COMPUTED_VALUE"""),2846.0)</f>
        <v>2846</v>
      </c>
      <c r="G21241" s="4">
        <f>IFERROR(__xludf.DUMMYFUNCTION("""COMPUTED_VALUE"""),58.0)</f>
        <v>58</v>
      </c>
      <c r="H21241" s="4"/>
      <c r="I21241" s="4"/>
    </row>
    <row r="21242">
      <c r="A21242" s="4" t="str">
        <f>IFERROR(__xludf.DUMMYFUNCTION("""COMPUTED_VALUE"""),"cas_hmw")</f>
        <v>cas_hmw</v>
      </c>
      <c r="B21242" s="5">
        <f>IFERROR(__xludf.DUMMYFUNCTION("""COMPUTED_VALUE"""),44784.0)</f>
        <v>44784</v>
      </c>
      <c r="C21242" s="6">
        <f>IFERROR(__xludf.DUMMYFUNCTION("""COMPUTED_VALUE"""),0.7383217592578148)</f>
        <v>0.7383217593</v>
      </c>
      <c r="D21242" s="4">
        <f>IFERROR(__xludf.DUMMYFUNCTION("""COMPUTED_VALUE"""),12.573445)</f>
        <v>12.573445</v>
      </c>
      <c r="E21242" s="4">
        <f>IFERROR(__xludf.DUMMYFUNCTION("""COMPUTED_VALUE"""),79.916629)</f>
        <v>79.916629</v>
      </c>
      <c r="F21242" s="4">
        <f>IFERROR(__xludf.DUMMYFUNCTION("""COMPUTED_VALUE"""),2846.0)</f>
        <v>2846</v>
      </c>
      <c r="G21242" s="4">
        <f>IFERROR(__xludf.DUMMYFUNCTION("""COMPUTED_VALUE"""),58.0)</f>
        <v>58</v>
      </c>
      <c r="H21242" s="4"/>
      <c r="I21242" s="4"/>
    </row>
    <row r="21243">
      <c r="A21243" s="4" t="str">
        <f>IFERROR(__xludf.DUMMYFUNCTION("""COMPUTED_VALUE"""),"cas_hmw")</f>
        <v>cas_hmw</v>
      </c>
      <c r="B21243" s="5">
        <f>IFERROR(__xludf.DUMMYFUNCTION("""COMPUTED_VALUE"""),44784.0)</f>
        <v>44784</v>
      </c>
      <c r="C21243" s="6">
        <f>IFERROR(__xludf.DUMMYFUNCTION("""COMPUTED_VALUE"""),0.7383217592578148)</f>
        <v>0.7383217593</v>
      </c>
      <c r="D21243" s="4">
        <f>IFERROR(__xludf.DUMMYFUNCTION("""COMPUTED_VALUE"""),13.006775)</f>
        <v>13.006775</v>
      </c>
      <c r="E21243" s="4">
        <f>IFERROR(__xludf.DUMMYFUNCTION("""COMPUTED_VALUE"""),80.248604)</f>
        <v>80.248604</v>
      </c>
      <c r="F21243" s="4">
        <f>IFERROR(__xludf.DUMMYFUNCTION("""COMPUTED_VALUE"""),805.0)</f>
        <v>805</v>
      </c>
      <c r="G21243" s="4">
        <f>IFERROR(__xludf.DUMMYFUNCTION("""COMPUTED_VALUE"""),33.0)</f>
        <v>33</v>
      </c>
      <c r="H21243" s="4"/>
      <c r="I21243" s="4"/>
    </row>
    <row r="21244">
      <c r="A21244" s="4" t="str">
        <f>IFERROR(__xludf.DUMMYFUNCTION("""COMPUTED_VALUE"""),"cas_hmw")</f>
        <v>cas_hmw</v>
      </c>
      <c r="B21244" s="5">
        <f>IFERROR(__xludf.DUMMYFUNCTION("""COMPUTED_VALUE"""),44784.0)</f>
        <v>44784</v>
      </c>
      <c r="C21244" s="6">
        <f>IFERROR(__xludf.DUMMYFUNCTION("""COMPUTED_VALUE"""),0.7384490740732872)</f>
        <v>0.7384490741</v>
      </c>
      <c r="D21244" s="4">
        <f>IFERROR(__xludf.DUMMYFUNCTION("""COMPUTED_VALUE"""),13.006816)</f>
        <v>13.006816</v>
      </c>
      <c r="E21244" s="4">
        <f>IFERROR(__xludf.DUMMYFUNCTION("""COMPUTED_VALUE"""),80.249588)</f>
        <v>80.249588</v>
      </c>
      <c r="F21244" s="4">
        <f>IFERROR(__xludf.DUMMYFUNCTION("""COMPUTED_VALUE"""),805.0)</f>
        <v>805</v>
      </c>
      <c r="G21244" s="4">
        <f>IFERROR(__xludf.DUMMYFUNCTION("""COMPUTED_VALUE"""),36.0)</f>
        <v>36</v>
      </c>
      <c r="H21244" s="4"/>
      <c r="I21244" s="4"/>
    </row>
    <row r="21245">
      <c r="A21245" s="4" t="str">
        <f>IFERROR(__xludf.DUMMYFUNCTION("""COMPUTED_VALUE"""),"cas_hmw")</f>
        <v>cas_hmw</v>
      </c>
      <c r="B21245" s="5">
        <f>IFERROR(__xludf.DUMMYFUNCTION("""COMPUTED_VALUE"""),44784.0)</f>
        <v>44784</v>
      </c>
      <c r="C21245" s="6">
        <f>IFERROR(__xludf.DUMMYFUNCTION("""COMPUTED_VALUE"""),0.7384722222232085)</f>
        <v>0.7384722222</v>
      </c>
      <c r="D21245" s="4">
        <f>IFERROR(__xludf.DUMMYFUNCTION("""COMPUTED_VALUE"""),13.006816)</f>
        <v>13.006816</v>
      </c>
      <c r="E21245" s="4">
        <f>IFERROR(__xludf.DUMMYFUNCTION("""COMPUTED_VALUE"""),80.249588)</f>
        <v>80.249588</v>
      </c>
      <c r="F21245" s="4">
        <f>IFERROR(__xludf.DUMMYFUNCTION("""COMPUTED_VALUE"""),805.0)</f>
        <v>805</v>
      </c>
      <c r="G21245" s="4">
        <f>IFERROR(__xludf.DUMMYFUNCTION("""COMPUTED_VALUE"""),36.0)</f>
        <v>36</v>
      </c>
      <c r="H21245" s="4"/>
      <c r="I21245" s="4"/>
    </row>
    <row r="21246">
      <c r="A21246" s="4" t="str">
        <f>IFERROR(__xludf.DUMMYFUNCTION("""COMPUTED_VALUE"""),"cas_hmw")</f>
        <v>cas_hmw</v>
      </c>
      <c r="B21246" s="5">
        <f>IFERROR(__xludf.DUMMYFUNCTION("""COMPUTED_VALUE"""),44784.0)</f>
        <v>44784</v>
      </c>
      <c r="C21246" s="6">
        <f>IFERROR(__xludf.DUMMYFUNCTION("""COMPUTED_VALUE"""),0.7389699074083182)</f>
        <v>0.7389699074</v>
      </c>
      <c r="D21246" s="4">
        <f>IFERROR(__xludf.DUMMYFUNCTION("""COMPUTED_VALUE"""),13.006839)</f>
        <v>13.006839</v>
      </c>
      <c r="E21246" s="4">
        <f>IFERROR(__xludf.DUMMYFUNCTION("""COMPUTED_VALUE"""),80.251552)</f>
        <v>80.251552</v>
      </c>
      <c r="F21246" s="4">
        <f>IFERROR(__xludf.DUMMYFUNCTION("""COMPUTED_VALUE"""),805.0)</f>
        <v>805</v>
      </c>
      <c r="G21246" s="4">
        <f>IFERROR(__xludf.DUMMYFUNCTION("""COMPUTED_VALUE"""),21.0)</f>
        <v>21</v>
      </c>
      <c r="H21246" s="4"/>
      <c r="I21246" s="4"/>
    </row>
    <row r="21247">
      <c r="A21247" s="4" t="str">
        <f>IFERROR(__xludf.DUMMYFUNCTION("""COMPUTED_VALUE"""),"cas_hmw")</f>
        <v>cas_hmw</v>
      </c>
      <c r="B21247" s="5">
        <f>IFERROR(__xludf.DUMMYFUNCTION("""COMPUTED_VALUE"""),44784.0)</f>
        <v>44784</v>
      </c>
      <c r="C21247" s="6">
        <f>IFERROR(__xludf.DUMMYFUNCTION("""COMPUTED_VALUE"""),0.7389930555546016)</f>
        <v>0.7389930556</v>
      </c>
      <c r="D21247" s="4">
        <f>IFERROR(__xludf.DUMMYFUNCTION("""COMPUTED_VALUE"""),13.006839)</f>
        <v>13.006839</v>
      </c>
      <c r="E21247" s="4">
        <f>IFERROR(__xludf.DUMMYFUNCTION("""COMPUTED_VALUE"""),80.251552)</f>
        <v>80.251552</v>
      </c>
      <c r="F21247" s="4">
        <f>IFERROR(__xludf.DUMMYFUNCTION("""COMPUTED_VALUE"""),805.0)</f>
        <v>805</v>
      </c>
      <c r="G21247" s="4">
        <f>IFERROR(__xludf.DUMMYFUNCTION("""COMPUTED_VALUE"""),21.0)</f>
        <v>21</v>
      </c>
      <c r="H21247" s="4"/>
      <c r="I21247" s="4"/>
    </row>
    <row r="21248">
      <c r="A21248" s="4" t="str">
        <f>IFERROR(__xludf.DUMMYFUNCTION("""COMPUTED_VALUE"""),"cas_hmw")</f>
        <v>cas_hmw</v>
      </c>
      <c r="B21248" s="5">
        <f>IFERROR(__xludf.DUMMYFUNCTION("""COMPUTED_VALUE"""),44784.0)</f>
        <v>44784</v>
      </c>
      <c r="C21248" s="6">
        <f>IFERROR(__xludf.DUMMYFUNCTION("""COMPUTED_VALUE"""),0.7391319444432156)</f>
        <v>0.7391319444</v>
      </c>
      <c r="D21248" s="4">
        <f>IFERROR(__xludf.DUMMYFUNCTION("""COMPUTED_VALUE"""),13.00662)</f>
        <v>13.00662</v>
      </c>
      <c r="E21248" s="4">
        <f>IFERROR(__xludf.DUMMYFUNCTION("""COMPUTED_VALUE"""),80.252306)</f>
        <v>80.252306</v>
      </c>
      <c r="F21248" s="4">
        <f>IFERROR(__xludf.DUMMYFUNCTION("""COMPUTED_VALUE"""),805.0)</f>
        <v>805</v>
      </c>
      <c r="G21248" s="4">
        <f>IFERROR(__xludf.DUMMYFUNCTION("""COMPUTED_VALUE"""),32.0)</f>
        <v>32</v>
      </c>
      <c r="H21248" s="4"/>
      <c r="I21248" s="4"/>
    </row>
    <row r="21249">
      <c r="A21249" s="4" t="str">
        <f>IFERROR(__xludf.DUMMYFUNCTION("""COMPUTED_VALUE"""),"cas_hmw")</f>
        <v>cas_hmw</v>
      </c>
      <c r="B21249" s="5">
        <f>IFERROR(__xludf.DUMMYFUNCTION("""COMPUTED_VALUE"""),44784.0)</f>
        <v>44784</v>
      </c>
      <c r="C21249" s="6">
        <f>IFERROR(__xludf.DUMMYFUNCTION("""COMPUTED_VALUE"""),0.7392361111124046)</f>
        <v>0.7392361111</v>
      </c>
      <c r="D21249" s="4">
        <f>IFERROR(__xludf.DUMMYFUNCTION("""COMPUTED_VALUE"""),13.006562)</f>
        <v>13.006562</v>
      </c>
      <c r="E21249" s="4">
        <f>IFERROR(__xludf.DUMMYFUNCTION("""COMPUTED_VALUE"""),80.253061)</f>
        <v>80.253061</v>
      </c>
      <c r="F21249" s="4">
        <f>IFERROR(__xludf.DUMMYFUNCTION("""COMPUTED_VALUE"""),805.0)</f>
        <v>805</v>
      </c>
      <c r="G21249" s="4">
        <f>IFERROR(__xludf.DUMMYFUNCTION("""COMPUTED_VALUE"""),31.0)</f>
        <v>31</v>
      </c>
      <c r="H21249" s="4"/>
      <c r="I21249" s="4"/>
    </row>
    <row r="21250">
      <c r="A21250" s="4" t="str">
        <f>IFERROR(__xludf.DUMMYFUNCTION("""COMPUTED_VALUE"""),"cas_hmw")</f>
        <v>cas_hmw</v>
      </c>
      <c r="B21250" s="5">
        <f>IFERROR(__xludf.DUMMYFUNCTION("""COMPUTED_VALUE"""),44784.0)</f>
        <v>44784</v>
      </c>
      <c r="C21250" s="6">
        <f>IFERROR(__xludf.DUMMYFUNCTION("""COMPUTED_VALUE"""),0.739467592593428)</f>
        <v>0.7394675926</v>
      </c>
      <c r="D21250" s="4">
        <f>IFERROR(__xludf.DUMMYFUNCTION("""COMPUTED_VALUE"""),13.0066)</f>
        <v>13.0066</v>
      </c>
      <c r="E21250" s="4">
        <f>IFERROR(__xludf.DUMMYFUNCTION("""COMPUTED_VALUE"""),80.25504)</f>
        <v>80.25504</v>
      </c>
      <c r="F21250" s="4">
        <f>IFERROR(__xludf.DUMMYFUNCTION("""COMPUTED_VALUE"""),805.0)</f>
        <v>805</v>
      </c>
      <c r="G21250" s="4">
        <f>IFERROR(__xludf.DUMMYFUNCTION("""COMPUTED_VALUE"""),38.0)</f>
        <v>38</v>
      </c>
      <c r="H21250" s="4"/>
      <c r="I21250" s="4"/>
    </row>
    <row r="21251">
      <c r="A21251" s="4" t="str">
        <f>IFERROR(__xludf.DUMMYFUNCTION("""COMPUTED_VALUE"""),"cas_hmw")</f>
        <v>cas_hmw</v>
      </c>
      <c r="B21251" s="5">
        <f>IFERROR(__xludf.DUMMYFUNCTION("""COMPUTED_VALUE"""),44784.0)</f>
        <v>44784</v>
      </c>
      <c r="C21251" s="6">
        <f>IFERROR(__xludf.DUMMYFUNCTION("""COMPUTED_VALUE"""),0.7399884259248211)</f>
        <v>0.7399884259</v>
      </c>
      <c r="D21251" s="4">
        <f>IFERROR(__xludf.DUMMYFUNCTION("""COMPUTED_VALUE"""),13.006856)</f>
        <v>13.006856</v>
      </c>
      <c r="E21251" s="4">
        <f>IFERROR(__xludf.DUMMYFUNCTION("""COMPUTED_VALUE"""),80.257803)</f>
        <v>80.257803</v>
      </c>
      <c r="F21251" s="4">
        <f>IFERROR(__xludf.DUMMYFUNCTION("""COMPUTED_VALUE"""),805.0)</f>
        <v>805</v>
      </c>
      <c r="G21251" s="4">
        <f>IFERROR(__xludf.DUMMYFUNCTION("""COMPUTED_VALUE"""),18.0)</f>
        <v>18</v>
      </c>
      <c r="H21251" s="4"/>
      <c r="I21251" s="4"/>
    </row>
    <row r="21252">
      <c r="A21252" s="4" t="str">
        <f>IFERROR(__xludf.DUMMYFUNCTION("""COMPUTED_VALUE"""),"cas_hmw")</f>
        <v>cas_hmw</v>
      </c>
      <c r="B21252" s="5">
        <f>IFERROR(__xludf.DUMMYFUNCTION("""COMPUTED_VALUE"""),44784.0)</f>
        <v>44784</v>
      </c>
      <c r="C21252" s="6">
        <f>IFERROR(__xludf.DUMMYFUNCTION("""COMPUTED_VALUE"""),0.7400000000016007)</f>
        <v>0.74</v>
      </c>
      <c r="D21252" s="4">
        <f>IFERROR(__xludf.DUMMYFUNCTION("""COMPUTED_VALUE"""),13.00713)</f>
        <v>13.00713</v>
      </c>
      <c r="E21252" s="4">
        <f>IFERROR(__xludf.DUMMYFUNCTION("""COMPUTED_VALUE"""),80.258301)</f>
        <v>80.258301</v>
      </c>
      <c r="F21252" s="4">
        <f>IFERROR(__xludf.DUMMYFUNCTION("""COMPUTED_VALUE"""),805.0)</f>
        <v>805</v>
      </c>
      <c r="G21252" s="4">
        <f>IFERROR(__xludf.DUMMYFUNCTION("""COMPUTED_VALUE"""),28.0)</f>
        <v>28</v>
      </c>
      <c r="H21252" s="4"/>
      <c r="I21252" s="4"/>
    </row>
    <row r="21253">
      <c r="A21253" s="4" t="str">
        <f>IFERROR(__xludf.DUMMYFUNCTION("""COMPUTED_VALUE"""),"cas_hmw")</f>
        <v>cas_hmw</v>
      </c>
      <c r="B21253" s="5">
        <f>IFERROR(__xludf.DUMMYFUNCTION("""COMPUTED_VALUE"""),44784.0)</f>
        <v>44784</v>
      </c>
      <c r="C21253" s="6">
        <f>IFERROR(__xludf.DUMMYFUNCTION("""COMPUTED_VALUE"""),0.7400000000016007)</f>
        <v>0.74</v>
      </c>
      <c r="D21253" s="4">
        <f>IFERROR(__xludf.DUMMYFUNCTION("""COMPUTED_VALUE"""),13.00713)</f>
        <v>13.00713</v>
      </c>
      <c r="E21253" s="4">
        <f>IFERROR(__xludf.DUMMYFUNCTION("""COMPUTED_VALUE"""),80.258301)</f>
        <v>80.258301</v>
      </c>
      <c r="F21253" s="4">
        <f>IFERROR(__xludf.DUMMYFUNCTION("""COMPUTED_VALUE"""),805.0)</f>
        <v>805</v>
      </c>
      <c r="G21253" s="4">
        <f>IFERROR(__xludf.DUMMYFUNCTION("""COMPUTED_VALUE"""),28.0)</f>
        <v>28</v>
      </c>
      <c r="H21253" s="4"/>
      <c r="I21253" s="4"/>
    </row>
    <row r="21254">
      <c r="A21254" s="4" t="str">
        <f>IFERROR(__xludf.DUMMYFUNCTION("""COMPUTED_VALUE"""),"cas_hmw")</f>
        <v>cas_hmw</v>
      </c>
      <c r="B21254" s="5">
        <f>IFERROR(__xludf.DUMMYFUNCTION("""COMPUTED_VALUE"""),44784.0)</f>
        <v>44784</v>
      </c>
      <c r="C21254" s="6">
        <f>IFERROR(__xludf.DUMMYFUNCTION("""COMPUTED_VALUE"""),0.7400115740747424)</f>
        <v>0.7400115741</v>
      </c>
      <c r="D21254" s="4">
        <f>IFERROR(__xludf.DUMMYFUNCTION("""COMPUTED_VALUE"""),13.00713)</f>
        <v>13.00713</v>
      </c>
      <c r="E21254" s="4">
        <f>IFERROR(__xludf.DUMMYFUNCTION("""COMPUTED_VALUE"""),80.258301)</f>
        <v>80.258301</v>
      </c>
      <c r="F21254" s="4">
        <f>IFERROR(__xludf.DUMMYFUNCTION("""COMPUTED_VALUE"""),805.0)</f>
        <v>805</v>
      </c>
      <c r="G21254" s="4">
        <f>IFERROR(__xludf.DUMMYFUNCTION("""COMPUTED_VALUE"""),28.0)</f>
        <v>28</v>
      </c>
      <c r="H21254" s="4"/>
      <c r="I21254" s="4"/>
    </row>
    <row r="21255">
      <c r="A21255" s="4" t="str">
        <f>IFERROR(__xludf.DUMMYFUNCTION("""COMPUTED_VALUE"""),"cas_hmw")</f>
        <v>cas_hmw</v>
      </c>
      <c r="B21255" s="5">
        <f>IFERROR(__xludf.DUMMYFUNCTION("""COMPUTED_VALUE"""),44784.0)</f>
        <v>44784</v>
      </c>
      <c r="C21255" s="6">
        <f>IFERROR(__xludf.DUMMYFUNCTION("""COMPUTED_VALUE"""),0.7407870370370802)</f>
        <v>0.740787037</v>
      </c>
      <c r="D21255" s="4">
        <f>IFERROR(__xludf.DUMMYFUNCTION("""COMPUTED_VALUE"""),13.009403)</f>
        <v>13.009403</v>
      </c>
      <c r="E21255" s="4">
        <f>IFERROR(__xludf.DUMMYFUNCTION("""COMPUTED_VALUE"""),80.259057)</f>
        <v>80.259057</v>
      </c>
      <c r="F21255" s="4">
        <f>IFERROR(__xludf.DUMMYFUNCTION("""COMPUTED_VALUE"""),805.0)</f>
        <v>805</v>
      </c>
      <c r="G21255" s="4">
        <f>IFERROR(__xludf.DUMMYFUNCTION("""COMPUTED_VALUE"""),30.0)</f>
        <v>30</v>
      </c>
      <c r="H21255" s="4"/>
      <c r="I21255" s="4"/>
    </row>
    <row r="21256">
      <c r="A21256" s="4" t="str">
        <f>IFERROR(__xludf.DUMMYFUNCTION("""COMPUTED_VALUE"""),"cas_hmw")</f>
        <v>cas_hmw</v>
      </c>
      <c r="B21256" s="5">
        <f>IFERROR(__xludf.DUMMYFUNCTION("""COMPUTED_VALUE"""),44784.0)</f>
        <v>44784</v>
      </c>
      <c r="C21256" s="6">
        <f>IFERROR(__xludf.DUMMYFUNCTION("""COMPUTED_VALUE"""),0.7409953703718202)</f>
        <v>0.7409953704</v>
      </c>
      <c r="D21256" s="4">
        <f>IFERROR(__xludf.DUMMYFUNCTION("""COMPUTED_VALUE"""),12.543086)</f>
        <v>12.543086</v>
      </c>
      <c r="E21256" s="4">
        <f>IFERROR(__xludf.DUMMYFUNCTION("""COMPUTED_VALUE"""),79.904881)</f>
        <v>79.904881</v>
      </c>
      <c r="F21256" s="4">
        <f>IFERROR(__xludf.DUMMYFUNCTION("""COMPUTED_VALUE"""),2846.0)</f>
        <v>2846</v>
      </c>
      <c r="G21256" s="4">
        <f>IFERROR(__xludf.DUMMYFUNCTION("""COMPUTED_VALUE"""),36.0)</f>
        <v>36</v>
      </c>
      <c r="H21256" s="4"/>
      <c r="I21256" s="4"/>
    </row>
    <row r="21257">
      <c r="A21257" s="4" t="str">
        <f>IFERROR(__xludf.DUMMYFUNCTION("""COMPUTED_VALUE"""),"cas_hmw")</f>
        <v>cas_hmw</v>
      </c>
      <c r="B21257" s="5">
        <f>IFERROR(__xludf.DUMMYFUNCTION("""COMPUTED_VALUE"""),44784.0)</f>
        <v>44784</v>
      </c>
      <c r="C21257" s="6">
        <f>IFERROR(__xludf.DUMMYFUNCTION("""COMPUTED_VALUE"""),0.7411574074067175)</f>
        <v>0.7411574074</v>
      </c>
      <c r="D21257" s="4">
        <f>IFERROR(__xludf.DUMMYFUNCTION("""COMPUTED_VALUE"""),12.54201)</f>
        <v>12.54201</v>
      </c>
      <c r="E21257" s="4">
        <f>IFERROR(__xludf.DUMMYFUNCTION("""COMPUTED_VALUE"""),79.904679)</f>
        <v>79.904679</v>
      </c>
      <c r="F21257" s="4">
        <f>IFERROR(__xludf.DUMMYFUNCTION("""COMPUTED_VALUE"""),2846.0)</f>
        <v>2846</v>
      </c>
      <c r="G21257" s="4">
        <f>IFERROR(__xludf.DUMMYFUNCTION("""COMPUTED_VALUE"""),45.0)</f>
        <v>45</v>
      </c>
      <c r="H21257" s="4"/>
      <c r="I21257" s="4"/>
    </row>
    <row r="21258">
      <c r="A21258" s="4" t="str">
        <f>IFERROR(__xludf.DUMMYFUNCTION("""COMPUTED_VALUE"""),"cas_hmw")</f>
        <v>cas_hmw</v>
      </c>
      <c r="B21258" s="5">
        <f>IFERROR(__xludf.DUMMYFUNCTION("""COMPUTED_VALUE"""),44784.0)</f>
        <v>44784</v>
      </c>
      <c r="C21258" s="6">
        <f>IFERROR(__xludf.DUMMYFUNCTION("""COMPUTED_VALUE"""),0.7412037037029222)</f>
        <v>0.7412037037</v>
      </c>
      <c r="D21258" s="4">
        <f>IFERROR(__xludf.DUMMYFUNCTION("""COMPUTED_VALUE"""),12.54201)</f>
        <v>12.54201</v>
      </c>
      <c r="E21258" s="4">
        <f>IFERROR(__xludf.DUMMYFUNCTION("""COMPUTED_VALUE"""),79.904679)</f>
        <v>79.904679</v>
      </c>
      <c r="F21258" s="4">
        <f>IFERROR(__xludf.DUMMYFUNCTION("""COMPUTED_VALUE"""),2846.0)</f>
        <v>2846</v>
      </c>
      <c r="G21258" s="4">
        <f>IFERROR(__xludf.DUMMYFUNCTION("""COMPUTED_VALUE"""),45.0)</f>
        <v>45</v>
      </c>
      <c r="H21258" s="4"/>
      <c r="I21258" s="4"/>
    </row>
    <row r="21259">
      <c r="A21259" s="4" t="str">
        <f>IFERROR(__xludf.DUMMYFUNCTION("""COMPUTED_VALUE"""),"cas_hmw")</f>
        <v>cas_hmw</v>
      </c>
      <c r="B21259" s="5">
        <f>IFERROR(__xludf.DUMMYFUNCTION("""COMPUTED_VALUE"""),44784.0)</f>
        <v>44784</v>
      </c>
      <c r="C21259" s="6">
        <f>IFERROR(__xludf.DUMMYFUNCTION("""COMPUTED_VALUE"""),0.7412847222221899)</f>
        <v>0.7412847222</v>
      </c>
      <c r="D21259" s="4">
        <f>IFERROR(__xludf.DUMMYFUNCTION("""COMPUTED_VALUE"""),13.015258)</f>
        <v>13.015258</v>
      </c>
      <c r="E21259" s="4">
        <f>IFERROR(__xludf.DUMMYFUNCTION("""COMPUTED_VALUE"""),80.259281)</f>
        <v>80.259281</v>
      </c>
      <c r="F21259" s="4">
        <f>IFERROR(__xludf.DUMMYFUNCTION("""COMPUTED_VALUE"""),805.0)</f>
        <v>805</v>
      </c>
      <c r="G21259" s="4">
        <f>IFERROR(__xludf.DUMMYFUNCTION("""COMPUTED_VALUE"""),44.0)</f>
        <v>44</v>
      </c>
      <c r="H21259" s="4"/>
      <c r="I21259" s="4"/>
    </row>
    <row r="21260">
      <c r="A21260" s="4" t="str">
        <f>IFERROR(__xludf.DUMMYFUNCTION("""COMPUTED_VALUE"""),"cas_hmw")</f>
        <v>cas_hmw</v>
      </c>
      <c r="B21260" s="5">
        <f>IFERROR(__xludf.DUMMYFUNCTION("""COMPUTED_VALUE"""),44784.0)</f>
        <v>44784</v>
      </c>
      <c r="C21260" s="6">
        <f>IFERROR(__xludf.DUMMYFUNCTION("""COMPUTED_VALUE"""),0.7414236111108039)</f>
        <v>0.7414236111</v>
      </c>
      <c r="D21260" s="4">
        <f>IFERROR(__xludf.DUMMYFUNCTION("""COMPUTED_VALUE"""),12.538982)</f>
        <v>12.538982</v>
      </c>
      <c r="E21260" s="4">
        <f>IFERROR(__xludf.DUMMYFUNCTION("""COMPUTED_VALUE"""),79.904114)</f>
        <v>79.904114</v>
      </c>
      <c r="F21260" s="4">
        <f>IFERROR(__xludf.DUMMYFUNCTION("""COMPUTED_VALUE"""),2846.0)</f>
        <v>2846</v>
      </c>
      <c r="G21260" s="4">
        <f>IFERROR(__xludf.DUMMYFUNCTION("""COMPUTED_VALUE"""),42.0)</f>
        <v>42</v>
      </c>
      <c r="H21260" s="4"/>
      <c r="I21260" s="4"/>
    </row>
    <row r="21261">
      <c r="A21261" s="4" t="str">
        <f>IFERROR(__xludf.DUMMYFUNCTION("""COMPUTED_VALUE"""),"cas_hmw")</f>
        <v>cas_hmw</v>
      </c>
      <c r="B21261" s="5">
        <f>IFERROR(__xludf.DUMMYFUNCTION("""COMPUTED_VALUE"""),44784.0)</f>
        <v>44784</v>
      </c>
      <c r="C21261" s="6">
        <f>IFERROR(__xludf.DUMMYFUNCTION("""COMPUTED_VALUE"""),0.7415162037032133)</f>
        <v>0.7415162037</v>
      </c>
      <c r="D21261" s="4">
        <f>IFERROR(__xludf.DUMMYFUNCTION("""COMPUTED_VALUE"""),13.016475)</f>
        <v>13.016475</v>
      </c>
      <c r="E21261" s="4">
        <f>IFERROR(__xludf.DUMMYFUNCTION("""COMPUTED_VALUE"""),80.259794)</f>
        <v>80.259794</v>
      </c>
      <c r="F21261" s="4">
        <f>IFERROR(__xludf.DUMMYFUNCTION("""COMPUTED_VALUE"""),805.0)</f>
        <v>805</v>
      </c>
      <c r="G21261" s="4">
        <f>IFERROR(__xludf.DUMMYFUNCTION("""COMPUTED_VALUE"""),34.0)</f>
        <v>34</v>
      </c>
      <c r="H21261" s="4"/>
      <c r="I21261" s="4"/>
    </row>
    <row r="21262">
      <c r="A21262" s="4" t="str">
        <f>IFERROR(__xludf.DUMMYFUNCTION("""COMPUTED_VALUE"""),"cas_hmw")</f>
        <v>cas_hmw</v>
      </c>
      <c r="B21262" s="5">
        <f>IFERROR(__xludf.DUMMYFUNCTION("""COMPUTED_VALUE"""),44784.0)</f>
        <v>44784</v>
      </c>
      <c r="C21262" s="6">
        <f>IFERROR(__xludf.DUMMYFUNCTION("""COMPUTED_VALUE"""),0.7417245370379533)</f>
        <v>0.741724537</v>
      </c>
      <c r="D21262" s="4">
        <f>IFERROR(__xludf.DUMMYFUNCTION("""COMPUTED_VALUE"""),13.017381)</f>
        <v>13.017381</v>
      </c>
      <c r="E21262" s="4">
        <f>IFERROR(__xludf.DUMMYFUNCTION("""COMPUTED_VALUE"""),80.260371)</f>
        <v>80.260371</v>
      </c>
      <c r="F21262" s="4">
        <f>IFERROR(__xludf.DUMMYFUNCTION("""COMPUTED_VALUE"""),805.0)</f>
        <v>805</v>
      </c>
      <c r="G21262" s="4">
        <f>IFERROR(__xludf.DUMMYFUNCTION("""COMPUTED_VALUE"""),45.0)</f>
        <v>45</v>
      </c>
      <c r="H21262" s="4"/>
      <c r="I21262" s="4"/>
    </row>
    <row r="21263">
      <c r="A21263" s="4" t="str">
        <f>IFERROR(__xludf.DUMMYFUNCTION("""COMPUTED_VALUE"""),"cas_hmw")</f>
        <v>cas_hmw</v>
      </c>
      <c r="B21263" s="5">
        <f>IFERROR(__xludf.DUMMYFUNCTION("""COMPUTED_VALUE"""),44784.0)</f>
        <v>44784</v>
      </c>
      <c r="C21263" s="6">
        <f>IFERROR(__xludf.DUMMYFUNCTION("""COMPUTED_VALUE"""),0.7427893518506608)</f>
        <v>0.7427893519</v>
      </c>
      <c r="D21263" s="4">
        <f>IFERROR(__xludf.DUMMYFUNCTION("""COMPUTED_VALUE"""),12.527279)</f>
        <v>12.527279</v>
      </c>
      <c r="E21263" s="4">
        <f>IFERROR(__xludf.DUMMYFUNCTION("""COMPUTED_VALUE"""),79.898206)</f>
        <v>79.898206</v>
      </c>
      <c r="F21263" s="4">
        <f>IFERROR(__xludf.DUMMYFUNCTION("""COMPUTED_VALUE"""),2846.0)</f>
        <v>2846</v>
      </c>
      <c r="G21263" s="4">
        <f>IFERROR(__xludf.DUMMYFUNCTION("""COMPUTED_VALUE"""),59.0)</f>
        <v>59</v>
      </c>
      <c r="H21263" s="4"/>
      <c r="I21263" s="4"/>
    </row>
    <row r="21264">
      <c r="A21264" s="4" t="str">
        <f>IFERROR(__xludf.DUMMYFUNCTION("""COMPUTED_VALUE"""),"cas_hmw")</f>
        <v>cas_hmw</v>
      </c>
      <c r="B21264" s="5">
        <f>IFERROR(__xludf.DUMMYFUNCTION("""COMPUTED_VALUE"""),44784.0)</f>
        <v>44784</v>
      </c>
      <c r="C21264" s="6">
        <f>IFERROR(__xludf.DUMMYFUNCTION("""COMPUTED_VALUE"""),0.7430787037046684)</f>
        <v>0.7430787037</v>
      </c>
      <c r="D21264" s="4">
        <f>IFERROR(__xludf.DUMMYFUNCTION("""COMPUTED_VALUE"""),12.524838)</f>
        <v>12.524838</v>
      </c>
      <c r="E21264" s="4">
        <f>IFERROR(__xludf.DUMMYFUNCTION("""COMPUTED_VALUE"""),79.897021)</f>
        <v>79.897021</v>
      </c>
      <c r="F21264" s="4">
        <f>IFERROR(__xludf.DUMMYFUNCTION("""COMPUTED_VALUE"""),2846.0)</f>
        <v>2846</v>
      </c>
      <c r="G21264" s="4">
        <f>IFERROR(__xludf.DUMMYFUNCTION("""COMPUTED_VALUE"""),49.0)</f>
        <v>49</v>
      </c>
      <c r="H21264" s="4"/>
      <c r="I21264" s="4"/>
    </row>
    <row r="21265">
      <c r="A21265" s="4" t="str">
        <f>IFERROR(__xludf.DUMMYFUNCTION("""COMPUTED_VALUE"""),"cas_hmw")</f>
        <v>cas_hmw</v>
      </c>
      <c r="B21265" s="5">
        <f>IFERROR(__xludf.DUMMYFUNCTION("""COMPUTED_VALUE"""),44784.0)</f>
        <v>44784</v>
      </c>
      <c r="C21265" s="6">
        <f>IFERROR(__xludf.DUMMYFUNCTION("""COMPUTED_VALUE"""),0.7442708333328483)</f>
        <v>0.7442708333</v>
      </c>
      <c r="D21265" s="4">
        <f>IFERROR(__xludf.DUMMYFUNCTION("""COMPUTED_VALUE"""),12.516412)</f>
        <v>12.516412</v>
      </c>
      <c r="E21265" s="4">
        <f>IFERROR(__xludf.DUMMYFUNCTION("""COMPUTED_VALUE"""),79.89017)</f>
        <v>79.89017</v>
      </c>
      <c r="F21265" s="4">
        <f>IFERROR(__xludf.DUMMYFUNCTION("""COMPUTED_VALUE"""),2846.0)</f>
        <v>2846</v>
      </c>
      <c r="G21265" s="4">
        <f>IFERROR(__xludf.DUMMYFUNCTION("""COMPUTED_VALUE"""),24.0)</f>
        <v>24</v>
      </c>
      <c r="H21265" s="4"/>
      <c r="I21265" s="4"/>
    </row>
    <row r="21266">
      <c r="A21266" s="4" t="str">
        <f>IFERROR(__xludf.DUMMYFUNCTION("""COMPUTED_VALUE"""),"cas_hmw")</f>
        <v>cas_hmw</v>
      </c>
      <c r="B21266" s="5">
        <f>IFERROR(__xludf.DUMMYFUNCTION("""COMPUTED_VALUE"""),44784.0)</f>
        <v>44784</v>
      </c>
      <c r="C21266" s="6">
        <f>IFERROR(__xludf.DUMMYFUNCTION("""COMPUTED_VALUE"""),0.7570717592607252)</f>
        <v>0.7570717593</v>
      </c>
      <c r="D21266" s="4">
        <f>IFERROR(__xludf.DUMMYFUNCTION("""COMPUTED_VALUE"""),13.068141)</f>
        <v>13.068141</v>
      </c>
      <c r="E21266" s="4">
        <f>IFERROR(__xludf.DUMMYFUNCTION("""COMPUTED_VALUE"""),80.2718)</f>
        <v>80.2718</v>
      </c>
      <c r="F21266" s="4">
        <f>IFERROR(__xludf.DUMMYFUNCTION("""COMPUTED_VALUE"""),5339.0)</f>
        <v>5339</v>
      </c>
      <c r="G21266" s="4">
        <f>IFERROR(__xludf.DUMMYFUNCTION("""COMPUTED_VALUE"""),22.0)</f>
        <v>22</v>
      </c>
      <c r="H21266" s="4"/>
      <c r="I21266" s="4"/>
    </row>
    <row r="21267">
      <c r="A21267" s="4" t="str">
        <f>IFERROR(__xludf.DUMMYFUNCTION("""COMPUTED_VALUE"""),"cas_hmw")</f>
        <v>cas_hmw</v>
      </c>
      <c r="B21267" s="5">
        <f>IFERROR(__xludf.DUMMYFUNCTION("""COMPUTED_VALUE"""),44784.0)</f>
        <v>44784</v>
      </c>
      <c r="C21267" s="6">
        <f>IFERROR(__xludf.DUMMYFUNCTION("""COMPUTED_VALUE"""),0.7579282407423307)</f>
        <v>0.7579282407</v>
      </c>
      <c r="D21267" s="4">
        <f>IFERROR(__xludf.DUMMYFUNCTION("""COMPUTED_VALUE"""),13.067054)</f>
        <v>13.067054</v>
      </c>
      <c r="E21267" s="4">
        <f>IFERROR(__xludf.DUMMYFUNCTION("""COMPUTED_VALUE"""),80.268645)</f>
        <v>80.268645</v>
      </c>
      <c r="F21267" s="4">
        <f>IFERROR(__xludf.DUMMYFUNCTION("""COMPUTED_VALUE"""),5339.0)</f>
        <v>5339</v>
      </c>
      <c r="G21267" s="4">
        <f>IFERROR(__xludf.DUMMYFUNCTION("""COMPUTED_VALUE"""),29.0)</f>
        <v>29</v>
      </c>
      <c r="H21267" s="4"/>
      <c r="I21267" s="4"/>
    </row>
    <row r="21268">
      <c r="A21268" s="4" t="str">
        <f>IFERROR(__xludf.DUMMYFUNCTION("""COMPUTED_VALUE"""),"cas_hmw")</f>
        <v>cas_hmw</v>
      </c>
      <c r="B21268" s="5">
        <f>IFERROR(__xludf.DUMMYFUNCTION("""COMPUTED_VALUE"""),44784.0)</f>
        <v>44784</v>
      </c>
      <c r="C21268" s="6">
        <f>IFERROR(__xludf.DUMMYFUNCTION("""COMPUTED_VALUE"""),0.760254629629344)</f>
        <v>0.7602546296</v>
      </c>
      <c r="D21268" s="4">
        <f>IFERROR(__xludf.DUMMYFUNCTION("""COMPUTED_VALUE"""),13.072693)</f>
        <v>13.072693</v>
      </c>
      <c r="E21268" s="4">
        <f>IFERROR(__xludf.DUMMYFUNCTION("""COMPUTED_VALUE"""),80.262592)</f>
        <v>80.262592</v>
      </c>
      <c r="F21268" s="4">
        <f>IFERROR(__xludf.DUMMYFUNCTION("""COMPUTED_VALUE"""),5339.0)</f>
        <v>5339</v>
      </c>
      <c r="G21268" s="4">
        <f>IFERROR(__xludf.DUMMYFUNCTION("""COMPUTED_VALUE"""),29.0)</f>
        <v>29</v>
      </c>
      <c r="H21268" s="4"/>
      <c r="I21268" s="4"/>
    </row>
    <row r="21269">
      <c r="A21269" s="4" t="str">
        <f>IFERROR(__xludf.DUMMYFUNCTION("""COMPUTED_VALUE"""),"cas_hmw")</f>
        <v>cas_hmw</v>
      </c>
      <c r="B21269" s="5">
        <f>IFERROR(__xludf.DUMMYFUNCTION("""COMPUTED_VALUE"""),44784.0)</f>
        <v>44784</v>
      </c>
      <c r="C21269" s="6">
        <f>IFERROR(__xludf.DUMMYFUNCTION("""COMPUTED_VALUE"""),0.760254629629344)</f>
        <v>0.7602546296</v>
      </c>
      <c r="D21269" s="4">
        <f>IFERROR(__xludf.DUMMYFUNCTION("""COMPUTED_VALUE"""),13.072693)</f>
        <v>13.072693</v>
      </c>
      <c r="E21269" s="4">
        <f>IFERROR(__xludf.DUMMYFUNCTION("""COMPUTED_VALUE"""),80.262592)</f>
        <v>80.262592</v>
      </c>
      <c r="F21269" s="4">
        <f>IFERROR(__xludf.DUMMYFUNCTION("""COMPUTED_VALUE"""),5339.0)</f>
        <v>5339</v>
      </c>
      <c r="G21269" s="4">
        <f>IFERROR(__xludf.DUMMYFUNCTION("""COMPUTED_VALUE"""),29.0)</f>
        <v>29</v>
      </c>
      <c r="H21269" s="4"/>
      <c r="I21269" s="4"/>
    </row>
    <row r="21270">
      <c r="A21270" s="4" t="str">
        <f>IFERROR(__xludf.DUMMYFUNCTION("""COMPUTED_VALUE"""),"cas_hmw")</f>
        <v>cas_hmw</v>
      </c>
      <c r="B21270" s="5">
        <f>IFERROR(__xludf.DUMMYFUNCTION("""COMPUTED_VALUE"""),44784.0)</f>
        <v>44784</v>
      </c>
      <c r="C21270" s="6">
        <f>IFERROR(__xludf.DUMMYFUNCTION("""COMPUTED_VALUE"""),0.7602662037024857)</f>
        <v>0.7602662037</v>
      </c>
      <c r="D21270" s="4">
        <f>IFERROR(__xludf.DUMMYFUNCTION("""COMPUTED_VALUE"""),13.072693)</f>
        <v>13.072693</v>
      </c>
      <c r="E21270" s="4">
        <f>IFERROR(__xludf.DUMMYFUNCTION("""COMPUTED_VALUE"""),80.262592)</f>
        <v>80.262592</v>
      </c>
      <c r="F21270" s="4">
        <f>IFERROR(__xludf.DUMMYFUNCTION("""COMPUTED_VALUE"""),5339.0)</f>
        <v>5339</v>
      </c>
      <c r="G21270" s="4">
        <f>IFERROR(__xludf.DUMMYFUNCTION("""COMPUTED_VALUE"""),29.0)</f>
        <v>29</v>
      </c>
      <c r="H21270" s="4"/>
      <c r="I21270" s="4"/>
    </row>
    <row r="21271">
      <c r="A21271" s="4" t="str">
        <f>IFERROR(__xludf.DUMMYFUNCTION("""COMPUTED_VALUE"""),"cas_hmw")</f>
        <v>cas_hmw</v>
      </c>
      <c r="B21271" s="5">
        <f>IFERROR(__xludf.DUMMYFUNCTION("""COMPUTED_VALUE"""),44784.0)</f>
        <v>44784</v>
      </c>
      <c r="C21271" s="6">
        <f>IFERROR(__xludf.DUMMYFUNCTION("""COMPUTED_VALUE"""),0.7619444444426335)</f>
        <v>0.7619444444</v>
      </c>
      <c r="D21271" s="4">
        <f>IFERROR(__xludf.DUMMYFUNCTION("""COMPUTED_VALUE"""),13.071746)</f>
        <v>13.071746</v>
      </c>
      <c r="E21271" s="4">
        <f>IFERROR(__xludf.DUMMYFUNCTION("""COMPUTED_VALUE"""),80.264382)</f>
        <v>80.264382</v>
      </c>
      <c r="F21271" s="4">
        <f>IFERROR(__xludf.DUMMYFUNCTION("""COMPUTED_VALUE"""),805.0)</f>
        <v>805</v>
      </c>
      <c r="G21271" s="4">
        <f>IFERROR(__xludf.DUMMYFUNCTION("""COMPUTED_VALUE"""),27.0)</f>
        <v>27</v>
      </c>
      <c r="H21271" s="4"/>
      <c r="I21271" s="4"/>
    </row>
    <row r="21272">
      <c r="A21272" s="4" t="str">
        <f>IFERROR(__xludf.DUMMYFUNCTION("""COMPUTED_VALUE"""),"cas_hmw")</f>
        <v>cas_hmw</v>
      </c>
      <c r="B21272" s="5">
        <f>IFERROR(__xludf.DUMMYFUNCTION("""COMPUTED_VALUE"""),44784.0)</f>
        <v>44784</v>
      </c>
      <c r="C21272" s="6">
        <f>IFERROR(__xludf.DUMMYFUNCTION("""COMPUTED_VALUE"""),0.763252314813144)</f>
        <v>0.7632523148</v>
      </c>
      <c r="D21272" s="4">
        <f>IFERROR(__xludf.DUMMYFUNCTION("""COMPUTED_VALUE"""),13.066883)</f>
        <v>13.066883</v>
      </c>
      <c r="E21272" s="4">
        <f>IFERROR(__xludf.DUMMYFUNCTION("""COMPUTED_VALUE"""),80.253985)</f>
        <v>80.253985</v>
      </c>
      <c r="F21272" s="4">
        <f>IFERROR(__xludf.DUMMYFUNCTION("""COMPUTED_VALUE"""),5339.0)</f>
        <v>5339</v>
      </c>
      <c r="G21272" s="4">
        <f>IFERROR(__xludf.DUMMYFUNCTION("""COMPUTED_VALUE"""),11.0)</f>
        <v>11</v>
      </c>
      <c r="H21272" s="4"/>
      <c r="I21272" s="4"/>
    </row>
    <row r="21273">
      <c r="A21273" s="4" t="str">
        <f>IFERROR(__xludf.DUMMYFUNCTION("""COMPUTED_VALUE"""),"cas_hmw")</f>
        <v>cas_hmw</v>
      </c>
      <c r="B21273" s="5">
        <f>IFERROR(__xludf.DUMMYFUNCTION("""COMPUTED_VALUE"""),44784.0)</f>
        <v>44784</v>
      </c>
      <c r="C21273" s="6">
        <f>IFERROR(__xludf.DUMMYFUNCTION("""COMPUTED_VALUE"""),0.7634722222210257)</f>
        <v>0.7634722222</v>
      </c>
      <c r="D21273" s="4">
        <f>IFERROR(__xludf.DUMMYFUNCTION("""COMPUTED_VALUE"""),13.067967)</f>
        <v>13.067967</v>
      </c>
      <c r="E21273" s="4">
        <f>IFERROR(__xludf.DUMMYFUNCTION("""COMPUTED_VALUE"""),80.253173)</f>
        <v>80.253173</v>
      </c>
      <c r="F21273" s="4">
        <f>IFERROR(__xludf.DUMMYFUNCTION("""COMPUTED_VALUE"""),5339.0)</f>
        <v>5339</v>
      </c>
      <c r="G21273" s="4">
        <f>IFERROR(__xludf.DUMMYFUNCTION("""COMPUTED_VALUE"""),33.0)</f>
        <v>33</v>
      </c>
      <c r="H21273" s="4"/>
      <c r="I21273" s="4"/>
    </row>
    <row r="21274">
      <c r="A21274" s="4" t="str">
        <f>IFERROR(__xludf.DUMMYFUNCTION("""COMPUTED_VALUE"""),"cas_hmw")</f>
        <v>cas_hmw</v>
      </c>
      <c r="B21274" s="5">
        <f>IFERROR(__xludf.DUMMYFUNCTION("""COMPUTED_VALUE"""),44784.0)</f>
        <v>44784</v>
      </c>
      <c r="C21274" s="6">
        <f>IFERROR(__xludf.DUMMYFUNCTION("""COMPUTED_VALUE"""),0.7645717592604342)</f>
        <v>0.7645717593</v>
      </c>
      <c r="D21274" s="4">
        <f>IFERROR(__xludf.DUMMYFUNCTION("""COMPUTED_VALUE"""),13.066428)</f>
        <v>13.066428</v>
      </c>
      <c r="E21274" s="4">
        <f>IFERROR(__xludf.DUMMYFUNCTION("""COMPUTED_VALUE"""),80.247838)</f>
        <v>80.247838</v>
      </c>
      <c r="F21274" s="4">
        <f>IFERROR(__xludf.DUMMYFUNCTION("""COMPUTED_VALUE"""),5339.0)</f>
        <v>5339</v>
      </c>
      <c r="G21274" s="4">
        <f>IFERROR(__xludf.DUMMYFUNCTION("""COMPUTED_VALUE"""),34.0)</f>
        <v>34</v>
      </c>
      <c r="H21274" s="4"/>
      <c r="I21274" s="4"/>
    </row>
    <row r="21275">
      <c r="A21275" s="4" t="str">
        <f>IFERROR(__xludf.DUMMYFUNCTION("""COMPUTED_VALUE"""),"cas_hmw")</f>
        <v>cas_hmw</v>
      </c>
      <c r="B21275" s="5">
        <f>IFERROR(__xludf.DUMMYFUNCTION("""COMPUTED_VALUE"""),44785.0)</f>
        <v>44785</v>
      </c>
      <c r="C21275" s="6">
        <f>IFERROR(__xludf.DUMMYFUNCTION("""COMPUTED_VALUE"""),0.2923726851840911)</f>
        <v>0.2923726852</v>
      </c>
      <c r="D21275" s="4">
        <f>IFERROR(__xludf.DUMMYFUNCTION("""COMPUTED_VALUE"""),12.493702)</f>
        <v>12.493702</v>
      </c>
      <c r="E21275" s="4">
        <f>IFERROR(__xludf.DUMMYFUNCTION("""COMPUTED_VALUE"""),79.86993)</f>
        <v>79.86993</v>
      </c>
      <c r="F21275" s="4">
        <f>IFERROR(__xludf.DUMMYFUNCTION("""COMPUTED_VALUE"""),2846.0)</f>
        <v>2846</v>
      </c>
      <c r="G21275" s="4">
        <f>IFERROR(__xludf.DUMMYFUNCTION("""COMPUTED_VALUE"""),57.0)</f>
        <v>57</v>
      </c>
      <c r="H21275" s="4"/>
      <c r="I21275" s="4"/>
    </row>
    <row r="21276">
      <c r="A21276" s="4" t="str">
        <f>IFERROR(__xludf.DUMMYFUNCTION("""COMPUTED_VALUE"""),"cas_hmw")</f>
        <v>cas_hmw</v>
      </c>
      <c r="B21276" s="5">
        <f>IFERROR(__xludf.DUMMYFUNCTION("""COMPUTED_VALUE"""),44785.0)</f>
        <v>44785</v>
      </c>
      <c r="C21276" s="6">
        <f>IFERROR(__xludf.DUMMYFUNCTION("""COMPUTED_VALUE"""),0.2938194444432156)</f>
        <v>0.2938194444</v>
      </c>
      <c r="D21276" s="4">
        <f>IFERROR(__xludf.DUMMYFUNCTION("""COMPUTED_VALUE"""),13.062113)</f>
        <v>13.062113</v>
      </c>
      <c r="E21276" s="4">
        <f>IFERROR(__xludf.DUMMYFUNCTION("""COMPUTED_VALUE"""),80.245361)</f>
        <v>80.245361</v>
      </c>
      <c r="F21276" s="4">
        <f>IFERROR(__xludf.DUMMYFUNCTION("""COMPUTED_VALUE"""),5339.0)</f>
        <v>5339</v>
      </c>
      <c r="G21276" s="4">
        <f>IFERROR(__xludf.DUMMYFUNCTION("""COMPUTED_VALUE"""),39.0)</f>
        <v>39</v>
      </c>
      <c r="H21276" s="4"/>
      <c r="I21276" s="4"/>
    </row>
    <row r="21277">
      <c r="A21277" s="4" t="str">
        <f>IFERROR(__xludf.DUMMYFUNCTION("""COMPUTED_VALUE"""),"cas_hmw")</f>
        <v>cas_hmw</v>
      </c>
      <c r="B21277" s="5">
        <f>IFERROR(__xludf.DUMMYFUNCTION("""COMPUTED_VALUE"""),44785.0)</f>
        <v>44785</v>
      </c>
      <c r="C21277" s="6">
        <f>IFERROR(__xludf.DUMMYFUNCTION("""COMPUTED_VALUE"""),0.29394675925868796)</f>
        <v>0.2939467593</v>
      </c>
      <c r="D21277" s="4">
        <f>IFERROR(__xludf.DUMMYFUNCTION("""COMPUTED_VALUE"""),13.06282)</f>
        <v>13.06282</v>
      </c>
      <c r="E21277" s="4">
        <f>IFERROR(__xludf.DUMMYFUNCTION("""COMPUTED_VALUE"""),80.244775)</f>
        <v>80.244775</v>
      </c>
      <c r="F21277" s="4">
        <f>IFERROR(__xludf.DUMMYFUNCTION("""COMPUTED_VALUE"""),5339.0)</f>
        <v>5339</v>
      </c>
      <c r="G21277" s="4">
        <f>IFERROR(__xludf.DUMMYFUNCTION("""COMPUTED_VALUE"""),34.0)</f>
        <v>34</v>
      </c>
      <c r="H21277" s="4"/>
      <c r="I21277" s="4"/>
    </row>
    <row r="21278">
      <c r="A21278" s="4" t="str">
        <f>IFERROR(__xludf.DUMMYFUNCTION("""COMPUTED_VALUE"""),"cas_hmw")</f>
        <v>cas_hmw</v>
      </c>
      <c r="B21278" s="5">
        <f>IFERROR(__xludf.DUMMYFUNCTION("""COMPUTED_VALUE"""),44785.0)</f>
        <v>44785</v>
      </c>
      <c r="C21278" s="6">
        <f>IFERROR(__xludf.DUMMYFUNCTION("""COMPUTED_VALUE"""),0.2976388888891961)</f>
        <v>0.2976388889</v>
      </c>
      <c r="D21278" s="4">
        <f>IFERROR(__xludf.DUMMYFUNCTION("""COMPUTED_VALUE"""),13.06796)</f>
        <v>13.06796</v>
      </c>
      <c r="E21278" s="4">
        <f>IFERROR(__xludf.DUMMYFUNCTION("""COMPUTED_VALUE"""),80.247102)</f>
        <v>80.247102</v>
      </c>
      <c r="F21278" s="4">
        <f>IFERROR(__xludf.DUMMYFUNCTION("""COMPUTED_VALUE"""),805.0)</f>
        <v>805</v>
      </c>
      <c r="G21278" s="4">
        <f>IFERROR(__xludf.DUMMYFUNCTION("""COMPUTED_VALUE"""),34.0)</f>
        <v>34</v>
      </c>
      <c r="H21278" s="4"/>
      <c r="I21278" s="4"/>
    </row>
    <row r="21279">
      <c r="A21279" s="4" t="str">
        <f>IFERROR(__xludf.DUMMYFUNCTION("""COMPUTED_VALUE"""),"cas_hmw")</f>
        <v>cas_hmw</v>
      </c>
      <c r="B21279" s="5">
        <f>IFERROR(__xludf.DUMMYFUNCTION("""COMPUTED_VALUE"""),44785.0)</f>
        <v>44785</v>
      </c>
      <c r="C21279" s="6">
        <f>IFERROR(__xludf.DUMMYFUNCTION("""COMPUTED_VALUE"""),0.29820601851679385)</f>
        <v>0.2982060185</v>
      </c>
      <c r="D21279" s="4">
        <f>IFERROR(__xludf.DUMMYFUNCTION("""COMPUTED_VALUE"""),13.067442)</f>
        <v>13.067442</v>
      </c>
      <c r="E21279" s="4">
        <f>IFERROR(__xludf.DUMMYFUNCTION("""COMPUTED_VALUE"""),80.25108)</f>
        <v>80.25108</v>
      </c>
      <c r="F21279" s="4">
        <f>IFERROR(__xludf.DUMMYFUNCTION("""COMPUTED_VALUE"""),805.0)</f>
        <v>805</v>
      </c>
      <c r="G21279" s="4">
        <f>IFERROR(__xludf.DUMMYFUNCTION("""COMPUTED_VALUE"""),38.0)</f>
        <v>38</v>
      </c>
      <c r="H21279" s="4"/>
      <c r="I21279" s="4"/>
    </row>
    <row r="21280">
      <c r="A21280" s="4" t="str">
        <f>IFERROR(__xludf.DUMMYFUNCTION("""COMPUTED_VALUE"""),"cas_hmw")</f>
        <v>cas_hmw</v>
      </c>
      <c r="B21280" s="5">
        <f>IFERROR(__xludf.DUMMYFUNCTION("""COMPUTED_VALUE"""),44785.0)</f>
        <v>44785</v>
      </c>
      <c r="C21280" s="6">
        <f>IFERROR(__xludf.DUMMYFUNCTION("""COMPUTED_VALUE"""),0.30085648148087785)</f>
        <v>0.3008564815</v>
      </c>
      <c r="D21280" s="4">
        <f>IFERROR(__xludf.DUMMYFUNCTION("""COMPUTED_VALUE"""),13.073141)</f>
        <v>13.073141</v>
      </c>
      <c r="E21280" s="4">
        <f>IFERROR(__xludf.DUMMYFUNCTION("""COMPUTED_VALUE"""),80.261596)</f>
        <v>80.261596</v>
      </c>
      <c r="F21280" s="4">
        <f>IFERROR(__xludf.DUMMYFUNCTION("""COMPUTED_VALUE"""),805.0)</f>
        <v>805</v>
      </c>
      <c r="G21280" s="4">
        <f>IFERROR(__xludf.DUMMYFUNCTION("""COMPUTED_VALUE"""),24.0)</f>
        <v>24</v>
      </c>
      <c r="H21280" s="4"/>
      <c r="I21280" s="4"/>
    </row>
    <row r="21281">
      <c r="A21281" s="4" t="str">
        <f>IFERROR(__xludf.DUMMYFUNCTION("""COMPUTED_VALUE"""),"cas_hmw")</f>
        <v>cas_hmw</v>
      </c>
      <c r="B21281" s="5">
        <f>IFERROR(__xludf.DUMMYFUNCTION("""COMPUTED_VALUE"""),44785.0)</f>
        <v>44785</v>
      </c>
      <c r="C21281" s="6">
        <f>IFERROR(__xludf.DUMMYFUNCTION("""COMPUTED_VALUE"""),0.3125)</f>
        <v>0.3125</v>
      </c>
      <c r="D21281" s="4">
        <f>IFERROR(__xludf.DUMMYFUNCTION("""COMPUTED_VALUE"""),13.054509)</f>
        <v>13.054509</v>
      </c>
      <c r="E21281" s="4">
        <f>IFERROR(__xludf.DUMMYFUNCTION("""COMPUTED_VALUE"""),80.254057)</f>
        <v>80.254057</v>
      </c>
      <c r="F21281" s="4">
        <f>IFERROR(__xludf.DUMMYFUNCTION("""COMPUTED_VALUE"""),5339.0)</f>
        <v>5339</v>
      </c>
      <c r="G21281" s="4">
        <f>IFERROR(__xludf.DUMMYFUNCTION("""COMPUTED_VALUE"""),30.0)</f>
        <v>30</v>
      </c>
      <c r="H21281" s="4"/>
      <c r="I21281" s="4"/>
    </row>
    <row r="21282">
      <c r="A21282" s="4" t="str">
        <f>IFERROR(__xludf.DUMMYFUNCTION("""COMPUTED_VALUE"""),"cas_hmw")</f>
        <v>cas_hmw</v>
      </c>
      <c r="B21282" s="5">
        <f>IFERROR(__xludf.DUMMYFUNCTION("""COMPUTED_VALUE"""),44785.0)</f>
        <v>44785</v>
      </c>
      <c r="C21282" s="6">
        <f>IFERROR(__xludf.DUMMYFUNCTION("""COMPUTED_VALUE"""),0.31422453703635256)</f>
        <v>0.314224537</v>
      </c>
      <c r="D21282" s="4">
        <f>IFERROR(__xludf.DUMMYFUNCTION("""COMPUTED_VALUE"""),12.658327)</f>
        <v>12.658327</v>
      </c>
      <c r="E21282" s="4">
        <f>IFERROR(__xludf.DUMMYFUNCTION("""COMPUTED_VALUE"""),79.944122)</f>
        <v>79.944122</v>
      </c>
      <c r="F21282" s="4">
        <f>IFERROR(__xludf.DUMMYFUNCTION("""COMPUTED_VALUE"""),2846.0)</f>
        <v>2846</v>
      </c>
      <c r="G21282" s="4">
        <f>IFERROR(__xludf.DUMMYFUNCTION("""COMPUTED_VALUE"""),58.0)</f>
        <v>58</v>
      </c>
      <c r="H21282" s="4"/>
      <c r="I21282" s="4"/>
    </row>
    <row r="21283">
      <c r="A21283" s="4" t="str">
        <f>IFERROR(__xludf.DUMMYFUNCTION("""COMPUTED_VALUE"""),"cas_hmw")</f>
        <v>cas_hmw</v>
      </c>
      <c r="B21283" s="5">
        <f>IFERROR(__xludf.DUMMYFUNCTION("""COMPUTED_VALUE"""),44785.0)</f>
        <v>44785</v>
      </c>
      <c r="C21283" s="6">
        <f>IFERROR(__xludf.DUMMYFUNCTION("""COMPUTED_VALUE"""),0.31461805555591127)</f>
        <v>0.3146180556</v>
      </c>
      <c r="D21283" s="4">
        <f>IFERROR(__xludf.DUMMYFUNCTION("""COMPUTED_VALUE"""),13.040514)</f>
        <v>13.040514</v>
      </c>
      <c r="E21283" s="4">
        <f>IFERROR(__xludf.DUMMYFUNCTION("""COMPUTED_VALUE"""),80.247262)</f>
        <v>80.247262</v>
      </c>
      <c r="F21283" s="4">
        <f>IFERROR(__xludf.DUMMYFUNCTION("""COMPUTED_VALUE"""),5339.0)</f>
        <v>5339</v>
      </c>
      <c r="G21283" s="4">
        <f>IFERROR(__xludf.DUMMYFUNCTION("""COMPUTED_VALUE"""),37.0)</f>
        <v>37</v>
      </c>
      <c r="H21283" s="4"/>
      <c r="I21283" s="4"/>
    </row>
    <row r="21284">
      <c r="A21284" s="4" t="str">
        <f>IFERROR(__xludf.DUMMYFUNCTION("""COMPUTED_VALUE"""),"cas_hmw")</f>
        <v>cas_hmw</v>
      </c>
      <c r="B21284" s="5">
        <f>IFERROR(__xludf.DUMMYFUNCTION("""COMPUTED_VALUE"""),44785.0)</f>
        <v>44785</v>
      </c>
      <c r="C21284" s="6">
        <f>IFERROR(__xludf.DUMMYFUNCTION("""COMPUTED_VALUE"""),0.3146412037021946)</f>
        <v>0.3146412037</v>
      </c>
      <c r="D21284" s="4">
        <f>IFERROR(__xludf.DUMMYFUNCTION("""COMPUTED_VALUE"""),13.039623)</f>
        <v>13.039623</v>
      </c>
      <c r="E21284" s="4">
        <f>IFERROR(__xludf.DUMMYFUNCTION("""COMPUTED_VALUE"""),80.247098)</f>
        <v>80.247098</v>
      </c>
      <c r="F21284" s="4">
        <f>IFERROR(__xludf.DUMMYFUNCTION("""COMPUTED_VALUE"""),5339.0)</f>
        <v>5339</v>
      </c>
      <c r="G21284" s="4">
        <f>IFERROR(__xludf.DUMMYFUNCTION("""COMPUTED_VALUE"""),35.0)</f>
        <v>35</v>
      </c>
      <c r="H21284" s="4"/>
      <c r="I21284" s="4"/>
    </row>
    <row r="21285">
      <c r="A21285" s="4" t="str">
        <f>IFERROR(__xludf.DUMMYFUNCTION("""COMPUTED_VALUE"""),"cas_hmw")</f>
        <v>cas_hmw</v>
      </c>
      <c r="B21285" s="5">
        <f>IFERROR(__xludf.DUMMYFUNCTION("""COMPUTED_VALUE"""),44785.0)</f>
        <v>44785</v>
      </c>
      <c r="C21285" s="6">
        <f>IFERROR(__xludf.DUMMYFUNCTION("""COMPUTED_VALUE"""),0.31466435185211594)</f>
        <v>0.3146643519</v>
      </c>
      <c r="D21285" s="4">
        <f>IFERROR(__xludf.DUMMYFUNCTION("""COMPUTED_VALUE"""),13.039623)</f>
        <v>13.039623</v>
      </c>
      <c r="E21285" s="4">
        <f>IFERROR(__xludf.DUMMYFUNCTION("""COMPUTED_VALUE"""),80.247098)</f>
        <v>80.247098</v>
      </c>
      <c r="F21285" s="4">
        <f>IFERROR(__xludf.DUMMYFUNCTION("""COMPUTED_VALUE"""),5339.0)</f>
        <v>5339</v>
      </c>
      <c r="G21285" s="4">
        <f>IFERROR(__xludf.DUMMYFUNCTION("""COMPUTED_VALUE"""),35.0)</f>
        <v>35</v>
      </c>
      <c r="H21285" s="4"/>
      <c r="I21285" s="4"/>
    </row>
    <row r="21286">
      <c r="A21286" s="4" t="str">
        <f>IFERROR(__xludf.DUMMYFUNCTION("""COMPUTED_VALUE"""),"cas_hmw")</f>
        <v>cas_hmw</v>
      </c>
      <c r="B21286" s="5">
        <f>IFERROR(__xludf.DUMMYFUNCTION("""COMPUTED_VALUE"""),44785.0)</f>
        <v>44785</v>
      </c>
      <c r="C21286" s="6">
        <f>IFERROR(__xludf.DUMMYFUNCTION("""COMPUTED_VALUE"""),0.3158680555570754)</f>
        <v>0.3158680556</v>
      </c>
      <c r="D21286" s="4">
        <f>IFERROR(__xludf.DUMMYFUNCTION("""COMPUTED_VALUE"""),13.035057)</f>
        <v>13.035057</v>
      </c>
      <c r="E21286" s="4">
        <f>IFERROR(__xludf.DUMMYFUNCTION("""COMPUTED_VALUE"""),80.245994)</f>
        <v>80.245994</v>
      </c>
      <c r="F21286" s="4">
        <f>IFERROR(__xludf.DUMMYFUNCTION("""COMPUTED_VALUE"""),5339.0)</f>
        <v>5339</v>
      </c>
      <c r="G21286" s="4">
        <f>IFERROR(__xludf.DUMMYFUNCTION("""COMPUTED_VALUE"""),28.0)</f>
        <v>28</v>
      </c>
      <c r="H21286" s="4"/>
      <c r="I21286" s="4"/>
    </row>
    <row r="21287">
      <c r="A21287" s="4" t="str">
        <f>IFERROR(__xludf.DUMMYFUNCTION("""COMPUTED_VALUE"""),"cas_hmw")</f>
        <v>cas_hmw</v>
      </c>
      <c r="B21287" s="5">
        <f>IFERROR(__xludf.DUMMYFUNCTION("""COMPUTED_VALUE"""),44785.0)</f>
        <v>44785</v>
      </c>
      <c r="C21287" s="6">
        <f>IFERROR(__xludf.DUMMYFUNCTION("""COMPUTED_VALUE"""),0.3162731481497758)</f>
        <v>0.3162731481</v>
      </c>
      <c r="D21287" s="4">
        <f>IFERROR(__xludf.DUMMYFUNCTION("""COMPUTED_VALUE"""),13.032899)</f>
        <v>13.032899</v>
      </c>
      <c r="E21287" s="4">
        <f>IFERROR(__xludf.DUMMYFUNCTION("""COMPUTED_VALUE"""),80.243274)</f>
        <v>80.243274</v>
      </c>
      <c r="F21287" s="4">
        <f>IFERROR(__xludf.DUMMYFUNCTION("""COMPUTED_VALUE"""),5339.0)</f>
        <v>5339</v>
      </c>
      <c r="G21287" s="4">
        <f>IFERROR(__xludf.DUMMYFUNCTION("""COMPUTED_VALUE"""),25.0)</f>
        <v>25</v>
      </c>
      <c r="H21287" s="4"/>
      <c r="I21287" s="4"/>
    </row>
    <row r="21288">
      <c r="A21288" s="4" t="str">
        <f>IFERROR(__xludf.DUMMYFUNCTION("""COMPUTED_VALUE"""),"cas_hmw")</f>
        <v>cas_hmw</v>
      </c>
      <c r="B21288" s="5">
        <f>IFERROR(__xludf.DUMMYFUNCTION("""COMPUTED_VALUE"""),44785.0)</f>
        <v>44785</v>
      </c>
      <c r="C21288" s="6">
        <f>IFERROR(__xludf.DUMMYFUNCTION("""COMPUTED_VALUE"""),0.3182407407402934)</f>
        <v>0.3182407407</v>
      </c>
      <c r="D21288" s="4">
        <f>IFERROR(__xludf.DUMMYFUNCTION("""COMPUTED_VALUE"""),13.030498)</f>
        <v>13.030498</v>
      </c>
      <c r="E21288" s="4">
        <f>IFERROR(__xludf.DUMMYFUNCTION("""COMPUTED_VALUE"""),80.238857)</f>
        <v>80.238857</v>
      </c>
      <c r="F21288" s="4">
        <f>IFERROR(__xludf.DUMMYFUNCTION("""COMPUTED_VALUE"""),5339.0)</f>
        <v>5339</v>
      </c>
      <c r="G21288" s="4">
        <f>IFERROR(__xludf.DUMMYFUNCTION("""COMPUTED_VALUE"""),38.0)</f>
        <v>38</v>
      </c>
      <c r="H21288" s="4"/>
      <c r="I21288" s="4"/>
    </row>
    <row r="21289">
      <c r="A21289" s="4" t="str">
        <f>IFERROR(__xludf.DUMMYFUNCTION("""COMPUTED_VALUE"""),"cas_hmw")</f>
        <v>cas_hmw</v>
      </c>
      <c r="B21289" s="5">
        <f>IFERROR(__xludf.DUMMYFUNCTION("""COMPUTED_VALUE"""),44785.0)</f>
        <v>44785</v>
      </c>
      <c r="C21289" s="6">
        <f>IFERROR(__xludf.DUMMYFUNCTION("""COMPUTED_VALUE"""),0.3184143518519704)</f>
        <v>0.3184143519</v>
      </c>
      <c r="D21289" s="4">
        <f>IFERROR(__xludf.DUMMYFUNCTION("""COMPUTED_VALUE"""),13.029998)</f>
        <v>13.029998</v>
      </c>
      <c r="E21289" s="4">
        <f>IFERROR(__xludf.DUMMYFUNCTION("""COMPUTED_VALUE"""),80.237925)</f>
        <v>80.237925</v>
      </c>
      <c r="F21289" s="4">
        <f>IFERROR(__xludf.DUMMYFUNCTION("""COMPUTED_VALUE"""),5339.0)</f>
        <v>5339</v>
      </c>
      <c r="G21289" s="4">
        <f>IFERROR(__xludf.DUMMYFUNCTION("""COMPUTED_VALUE"""),46.0)</f>
        <v>46</v>
      </c>
      <c r="H21289" s="4"/>
      <c r="I21289" s="4"/>
    </row>
    <row r="21290">
      <c r="A21290" s="4" t="str">
        <f>IFERROR(__xludf.DUMMYFUNCTION("""COMPUTED_VALUE"""),"cas_hmw")</f>
        <v>cas_hmw</v>
      </c>
      <c r="B21290" s="5">
        <f>IFERROR(__xludf.DUMMYFUNCTION("""COMPUTED_VALUE"""),44785.0)</f>
        <v>44785</v>
      </c>
      <c r="C21290" s="6">
        <f>IFERROR(__xludf.DUMMYFUNCTION("""COMPUTED_VALUE"""),0.3185995370367891)</f>
        <v>0.318599537</v>
      </c>
      <c r="D21290" s="4">
        <f>IFERROR(__xludf.DUMMYFUNCTION("""COMPUTED_VALUE"""),12.674566)</f>
        <v>12.674566</v>
      </c>
      <c r="E21290" s="4">
        <f>IFERROR(__xludf.DUMMYFUNCTION("""COMPUTED_VALUE"""),79.977042)</f>
        <v>79.977042</v>
      </c>
      <c r="F21290" s="4">
        <f>IFERROR(__xludf.DUMMYFUNCTION("""COMPUTED_VALUE"""),2846.0)</f>
        <v>2846</v>
      </c>
      <c r="G21290" s="4">
        <f>IFERROR(__xludf.DUMMYFUNCTION("""COMPUTED_VALUE"""),36.0)</f>
        <v>36</v>
      </c>
      <c r="H21290" s="4"/>
      <c r="I21290" s="4"/>
    </row>
    <row r="21291">
      <c r="A21291" s="4" t="str">
        <f>IFERROR(__xludf.DUMMYFUNCTION("""COMPUTED_VALUE"""),"cas_hmw")</f>
        <v>cas_hmw</v>
      </c>
      <c r="B21291" s="5">
        <f>IFERROR(__xludf.DUMMYFUNCTION("""COMPUTED_VALUE"""),44785.0)</f>
        <v>44785</v>
      </c>
      <c r="C21291" s="6">
        <f>IFERROR(__xludf.DUMMYFUNCTION("""COMPUTED_VALUE"""),0.3186342592598521)</f>
        <v>0.3186342593</v>
      </c>
      <c r="D21291" s="4">
        <f>IFERROR(__xludf.DUMMYFUNCTION("""COMPUTED_VALUE"""),13.02838)</f>
        <v>13.02838</v>
      </c>
      <c r="E21291" s="4">
        <f>IFERROR(__xludf.DUMMYFUNCTION("""COMPUTED_VALUE"""),80.235987)</f>
        <v>80.235987</v>
      </c>
      <c r="F21291" s="4">
        <f>IFERROR(__xludf.DUMMYFUNCTION("""COMPUTED_VALUE"""),5339.0)</f>
        <v>5339</v>
      </c>
      <c r="G21291" s="4">
        <f>IFERROR(__xludf.DUMMYFUNCTION("""COMPUTED_VALUE"""),51.0)</f>
        <v>51</v>
      </c>
      <c r="H21291" s="4"/>
      <c r="I21291" s="4"/>
    </row>
    <row r="21292">
      <c r="A21292" s="4" t="str">
        <f>IFERROR(__xludf.DUMMYFUNCTION("""COMPUTED_VALUE"""),"cas_hmw")</f>
        <v>cas_hmw</v>
      </c>
      <c r="B21292" s="5">
        <f>IFERROR(__xludf.DUMMYFUNCTION("""COMPUTED_VALUE"""),44785.0)</f>
        <v>44785</v>
      </c>
      <c r="C21292" s="6">
        <f>IFERROR(__xludf.DUMMYFUNCTION("""COMPUTED_VALUE"""),0.3196990740725596)</f>
        <v>0.3196990741</v>
      </c>
      <c r="D21292" s="4">
        <f>IFERROR(__xludf.DUMMYFUNCTION("""COMPUTED_VALUE"""),12.679866)</f>
        <v>12.679866</v>
      </c>
      <c r="E21292" s="4">
        <f>IFERROR(__xludf.DUMMYFUNCTION("""COMPUTED_VALUE"""),79.980783)</f>
        <v>79.980783</v>
      </c>
      <c r="F21292" s="4">
        <f>IFERROR(__xludf.DUMMYFUNCTION("""COMPUTED_VALUE"""),2846.0)</f>
        <v>2846</v>
      </c>
      <c r="G21292" s="4">
        <f>IFERROR(__xludf.DUMMYFUNCTION("""COMPUTED_VALUE"""),8.0)</f>
        <v>8</v>
      </c>
      <c r="H21292" s="4"/>
      <c r="I21292" s="4"/>
    </row>
    <row r="21293">
      <c r="A21293" s="4" t="str">
        <f>IFERROR(__xludf.DUMMYFUNCTION("""COMPUTED_VALUE"""),"cas_hmw")</f>
        <v>cas_hmw</v>
      </c>
      <c r="B21293" s="5">
        <f>IFERROR(__xludf.DUMMYFUNCTION("""COMPUTED_VALUE"""),44785.0)</f>
        <v>44785</v>
      </c>
      <c r="C21293" s="6">
        <f>IFERROR(__xludf.DUMMYFUNCTION("""COMPUTED_VALUE"""),0.32019675925766933)</f>
        <v>0.3201967593</v>
      </c>
      <c r="D21293" s="4">
        <f>IFERROR(__xludf.DUMMYFUNCTION("""COMPUTED_VALUE"""),13.018208)</f>
        <v>13.018208</v>
      </c>
      <c r="E21293" s="4">
        <f>IFERROR(__xludf.DUMMYFUNCTION("""COMPUTED_VALUE"""),80.224752)</f>
        <v>80.224752</v>
      </c>
      <c r="F21293" s="4">
        <f>IFERROR(__xludf.DUMMYFUNCTION("""COMPUTED_VALUE"""),5339.0)</f>
        <v>5339</v>
      </c>
      <c r="G21293" s="4">
        <f>IFERROR(__xludf.DUMMYFUNCTION("""COMPUTED_VALUE"""),41.0)</f>
        <v>41</v>
      </c>
      <c r="H21293" s="4"/>
      <c r="I21293" s="4"/>
    </row>
    <row r="21294">
      <c r="A21294" s="4" t="str">
        <f>IFERROR(__xludf.DUMMYFUNCTION("""COMPUTED_VALUE"""),"cas_hmw")</f>
        <v>cas_hmw</v>
      </c>
      <c r="B21294" s="5">
        <f>IFERROR(__xludf.DUMMYFUNCTION("""COMPUTED_VALUE"""),44785.0)</f>
        <v>44785</v>
      </c>
      <c r="C21294" s="6">
        <f>IFERROR(__xludf.DUMMYFUNCTION("""COMPUTED_VALUE"""),0.32059027777722804)</f>
        <v>0.3205902778</v>
      </c>
      <c r="D21294" s="4">
        <f>IFERROR(__xludf.DUMMYFUNCTION("""COMPUTED_VALUE"""),12.684231)</f>
        <v>12.684231</v>
      </c>
      <c r="E21294" s="4">
        <f>IFERROR(__xludf.DUMMYFUNCTION("""COMPUTED_VALUE"""),79.983365)</f>
        <v>79.983365</v>
      </c>
      <c r="F21294" s="4">
        <f>IFERROR(__xludf.DUMMYFUNCTION("""COMPUTED_VALUE"""),2846.0)</f>
        <v>2846</v>
      </c>
      <c r="G21294" s="4">
        <f>IFERROR(__xludf.DUMMYFUNCTION("""COMPUTED_VALUE"""),30.0)</f>
        <v>30</v>
      </c>
      <c r="H21294" s="4"/>
      <c r="I21294" s="4"/>
    </row>
    <row r="21295">
      <c r="A21295" s="4" t="str">
        <f>IFERROR(__xludf.DUMMYFUNCTION("""COMPUTED_VALUE"""),"cas_hmw")</f>
        <v>cas_hmw</v>
      </c>
      <c r="B21295" s="5">
        <f>IFERROR(__xludf.DUMMYFUNCTION("""COMPUTED_VALUE"""),44785.0)</f>
        <v>44785</v>
      </c>
      <c r="C21295" s="6">
        <f>IFERROR(__xludf.DUMMYFUNCTION("""COMPUTED_VALUE"""),0.3209027777775191)</f>
        <v>0.3209027778</v>
      </c>
      <c r="D21295" s="4">
        <f>IFERROR(__xludf.DUMMYFUNCTION("""COMPUTED_VALUE"""),13.012862)</f>
        <v>13.012862</v>
      </c>
      <c r="E21295" s="4">
        <f>IFERROR(__xludf.DUMMYFUNCTION("""COMPUTED_VALUE"""),80.226828)</f>
        <v>80.226828</v>
      </c>
      <c r="F21295" s="4">
        <f>IFERROR(__xludf.DUMMYFUNCTION("""COMPUTED_VALUE"""),5339.0)</f>
        <v>5339</v>
      </c>
      <c r="G21295" s="4">
        <f>IFERROR(__xludf.DUMMYFUNCTION("""COMPUTED_VALUE"""),41.0)</f>
        <v>41</v>
      </c>
      <c r="H21295" s="4"/>
      <c r="I21295" s="4"/>
    </row>
    <row r="21296">
      <c r="A21296" s="4" t="str">
        <f>IFERROR(__xludf.DUMMYFUNCTION("""COMPUTED_VALUE"""),"cas_hmw")</f>
        <v>cas_hmw</v>
      </c>
      <c r="B21296" s="5">
        <f>IFERROR(__xludf.DUMMYFUNCTION("""COMPUTED_VALUE"""),44785.0)</f>
        <v>44785</v>
      </c>
      <c r="C21296" s="6">
        <f>IFERROR(__xludf.DUMMYFUNCTION("""COMPUTED_VALUE"""),0.3209375000005821)</f>
        <v>0.3209375</v>
      </c>
      <c r="D21296" s="4">
        <f>IFERROR(__xludf.DUMMYFUNCTION("""COMPUTED_VALUE"""),13.012862)</f>
        <v>13.012862</v>
      </c>
      <c r="E21296" s="4">
        <f>IFERROR(__xludf.DUMMYFUNCTION("""COMPUTED_VALUE"""),80.226828)</f>
        <v>80.226828</v>
      </c>
      <c r="F21296" s="4">
        <f>IFERROR(__xludf.DUMMYFUNCTION("""COMPUTED_VALUE"""),5339.0)</f>
        <v>5339</v>
      </c>
      <c r="G21296" s="4">
        <f>IFERROR(__xludf.DUMMYFUNCTION("""COMPUTED_VALUE"""),41.0)</f>
        <v>41</v>
      </c>
      <c r="H21296" s="4"/>
      <c r="I21296" s="4"/>
    </row>
    <row r="21297">
      <c r="A21297" s="4" t="str">
        <f>IFERROR(__xludf.DUMMYFUNCTION("""COMPUTED_VALUE"""),"cas_hmw")</f>
        <v>cas_hmw</v>
      </c>
      <c r="B21297" s="5">
        <f>IFERROR(__xludf.DUMMYFUNCTION("""COMPUTED_VALUE"""),44785.0)</f>
        <v>44785</v>
      </c>
      <c r="C21297" s="6">
        <f>IFERROR(__xludf.DUMMYFUNCTION("""COMPUTED_VALUE"""),0.32113425925854244)</f>
        <v>0.3211342593</v>
      </c>
      <c r="D21297" s="4">
        <f>IFERROR(__xludf.DUMMYFUNCTION("""COMPUTED_VALUE"""),12.687459)</f>
        <v>12.687459</v>
      </c>
      <c r="E21297" s="4">
        <f>IFERROR(__xludf.DUMMYFUNCTION("""COMPUTED_VALUE"""),79.983012)</f>
        <v>79.983012</v>
      </c>
      <c r="F21297" s="4">
        <f>IFERROR(__xludf.DUMMYFUNCTION("""COMPUTED_VALUE"""),2846.0)</f>
        <v>2846</v>
      </c>
      <c r="G21297" s="4">
        <f>IFERROR(__xludf.DUMMYFUNCTION("""COMPUTED_VALUE"""),31.0)</f>
        <v>31</v>
      </c>
      <c r="H21297" s="4"/>
      <c r="I21297" s="4"/>
    </row>
    <row r="21298">
      <c r="A21298" s="4" t="str">
        <f>IFERROR(__xludf.DUMMYFUNCTION("""COMPUTED_VALUE"""),"cas_hmw")</f>
        <v>cas_hmw</v>
      </c>
      <c r="B21298" s="5">
        <f>IFERROR(__xludf.DUMMYFUNCTION("""COMPUTED_VALUE"""),44785.0)</f>
        <v>44785</v>
      </c>
      <c r="C21298" s="6">
        <f>IFERROR(__xludf.DUMMYFUNCTION("""COMPUTED_VALUE"""),0.32193287037080154)</f>
        <v>0.3219328704</v>
      </c>
      <c r="D21298" s="4">
        <f>IFERROR(__xludf.DUMMYFUNCTION("""COMPUTED_VALUE"""),13.01095)</f>
        <v>13.01095</v>
      </c>
      <c r="E21298" s="4">
        <f>IFERROR(__xludf.DUMMYFUNCTION("""COMPUTED_VALUE"""),80.224438)</f>
        <v>80.224438</v>
      </c>
      <c r="F21298" s="4">
        <f>IFERROR(__xludf.DUMMYFUNCTION("""COMPUTED_VALUE"""),5339.0)</f>
        <v>5339</v>
      </c>
      <c r="G21298" s="4">
        <f>IFERROR(__xludf.DUMMYFUNCTION("""COMPUTED_VALUE"""),32.0)</f>
        <v>32</v>
      </c>
      <c r="H21298" s="4"/>
      <c r="I21298" s="4"/>
    </row>
    <row r="21299">
      <c r="A21299" s="4" t="str">
        <f>IFERROR(__xludf.DUMMYFUNCTION("""COMPUTED_VALUE"""),"cas_hmw")</f>
        <v>cas_hmw</v>
      </c>
      <c r="B21299" s="5">
        <f>IFERROR(__xludf.DUMMYFUNCTION("""COMPUTED_VALUE"""),44785.0)</f>
        <v>44785</v>
      </c>
      <c r="C21299" s="6">
        <f>IFERROR(__xludf.DUMMYFUNCTION("""COMPUTED_VALUE"""),0.32302083333343035)</f>
        <v>0.3230208333</v>
      </c>
      <c r="D21299" s="4">
        <f>IFERROR(__xludf.DUMMYFUNCTION("""COMPUTED_VALUE"""),12.6923)</f>
        <v>12.6923</v>
      </c>
      <c r="E21299" s="4">
        <f>IFERROR(__xludf.DUMMYFUNCTION("""COMPUTED_VALUE"""),79.979927)</f>
        <v>79.979927</v>
      </c>
      <c r="F21299" s="4">
        <f>IFERROR(__xludf.DUMMYFUNCTION("""COMPUTED_VALUE"""),2846.0)</f>
        <v>2846</v>
      </c>
      <c r="G21299" s="4">
        <f>IFERROR(__xludf.DUMMYFUNCTION("""COMPUTED_VALUE"""),35.0)</f>
        <v>35</v>
      </c>
      <c r="H21299" s="4"/>
      <c r="I21299" s="4"/>
    </row>
    <row r="21300">
      <c r="A21300" s="4" t="str">
        <f>IFERROR(__xludf.DUMMYFUNCTION("""COMPUTED_VALUE"""),"cas_hmw")</f>
        <v>cas_hmw</v>
      </c>
      <c r="B21300" s="5">
        <f>IFERROR(__xludf.DUMMYFUNCTION("""COMPUTED_VALUE"""),44785.0)</f>
        <v>44785</v>
      </c>
      <c r="C21300" s="6">
        <f>IFERROR(__xludf.DUMMYFUNCTION("""COMPUTED_VALUE"""),0.3232986111106584)</f>
        <v>0.3232986111</v>
      </c>
      <c r="D21300" s="4">
        <f>IFERROR(__xludf.DUMMYFUNCTION("""COMPUTED_VALUE"""),13.01155)</f>
        <v>13.01155</v>
      </c>
      <c r="E21300" s="4">
        <f>IFERROR(__xludf.DUMMYFUNCTION("""COMPUTED_VALUE"""),80.218925)</f>
        <v>80.218925</v>
      </c>
      <c r="F21300" s="4">
        <f>IFERROR(__xludf.DUMMYFUNCTION("""COMPUTED_VALUE"""),5339.0)</f>
        <v>5339</v>
      </c>
      <c r="G21300" s="4">
        <f>IFERROR(__xludf.DUMMYFUNCTION("""COMPUTED_VALUE"""),43.0)</f>
        <v>43</v>
      </c>
      <c r="H21300" s="4"/>
      <c r="I21300" s="4"/>
    </row>
    <row r="21301">
      <c r="A21301" s="4" t="str">
        <f>IFERROR(__xludf.DUMMYFUNCTION("""COMPUTED_VALUE"""),"cas_hmw")</f>
        <v>cas_hmw</v>
      </c>
      <c r="B21301" s="5">
        <f>IFERROR(__xludf.DUMMYFUNCTION("""COMPUTED_VALUE"""),44785.0)</f>
        <v>44785</v>
      </c>
      <c r="C21301" s="6">
        <f>IFERROR(__xludf.DUMMYFUNCTION("""COMPUTED_VALUE"""),0.3236111111109494)</f>
        <v>0.3236111111</v>
      </c>
      <c r="D21301" s="4">
        <f>IFERROR(__xludf.DUMMYFUNCTION("""COMPUTED_VALUE"""),13.010725)</f>
        <v>13.010725</v>
      </c>
      <c r="E21301" s="4">
        <f>IFERROR(__xludf.DUMMYFUNCTION("""COMPUTED_VALUE"""),80.216797)</f>
        <v>80.216797</v>
      </c>
      <c r="F21301" s="4">
        <f>IFERROR(__xludf.DUMMYFUNCTION("""COMPUTED_VALUE"""),5339.0)</f>
        <v>5339</v>
      </c>
      <c r="G21301" s="4">
        <f>IFERROR(__xludf.DUMMYFUNCTION("""COMPUTED_VALUE"""),44.0)</f>
        <v>44</v>
      </c>
      <c r="H21301" s="4"/>
      <c r="I21301" s="4"/>
    </row>
    <row r="21302">
      <c r="A21302" s="4" t="str">
        <f>IFERROR(__xludf.DUMMYFUNCTION("""COMPUTED_VALUE"""),"cas_hmw")</f>
        <v>cas_hmw</v>
      </c>
      <c r="B21302" s="5">
        <f>IFERROR(__xludf.DUMMYFUNCTION("""COMPUTED_VALUE"""),44785.0)</f>
        <v>44785</v>
      </c>
      <c r="C21302" s="6">
        <f>IFERROR(__xludf.DUMMYFUNCTION("""COMPUTED_VALUE"""),0.3244907407424762)</f>
        <v>0.3244907407</v>
      </c>
      <c r="D21302" s="4">
        <f>IFERROR(__xludf.DUMMYFUNCTION("""COMPUTED_VALUE"""),13.010725)</f>
        <v>13.010725</v>
      </c>
      <c r="E21302" s="4">
        <f>IFERROR(__xludf.DUMMYFUNCTION("""COMPUTED_VALUE"""),80.216797)</f>
        <v>80.216797</v>
      </c>
      <c r="F21302" s="4">
        <f>IFERROR(__xludf.DUMMYFUNCTION("""COMPUTED_VALUE"""),5339.0)</f>
        <v>5339</v>
      </c>
      <c r="G21302" s="4">
        <f>IFERROR(__xludf.DUMMYFUNCTION("""COMPUTED_VALUE"""),44.0)</f>
        <v>44</v>
      </c>
      <c r="H21302" s="4"/>
      <c r="I21302" s="4"/>
    </row>
    <row r="21303">
      <c r="A21303" s="4" t="str">
        <f>IFERROR(__xludf.DUMMYFUNCTION("""COMPUTED_VALUE"""),"cas_hmw")</f>
        <v>cas_hmw</v>
      </c>
      <c r="B21303" s="5">
        <f>IFERROR(__xludf.DUMMYFUNCTION("""COMPUTED_VALUE"""),44785.0)</f>
        <v>44785</v>
      </c>
      <c r="C21303" s="6">
        <f>IFERROR(__xludf.DUMMYFUNCTION("""COMPUTED_VALUE"""),0.32501157407386927)</f>
        <v>0.3250115741</v>
      </c>
      <c r="D21303" s="4">
        <f>IFERROR(__xludf.DUMMYFUNCTION("""COMPUTED_VALUE"""),12.697403)</f>
        <v>12.697403</v>
      </c>
      <c r="E21303" s="4">
        <f>IFERROR(__xludf.DUMMYFUNCTION("""COMPUTED_VALUE"""),79.974137)</f>
        <v>79.974137</v>
      </c>
      <c r="F21303" s="4">
        <f>IFERROR(__xludf.DUMMYFUNCTION("""COMPUTED_VALUE"""),2846.0)</f>
        <v>2846</v>
      </c>
      <c r="G21303" s="4">
        <f>IFERROR(__xludf.DUMMYFUNCTION("""COMPUTED_VALUE"""),44.0)</f>
        <v>44</v>
      </c>
      <c r="H21303" s="4"/>
      <c r="I21303" s="4"/>
    </row>
    <row r="21304">
      <c r="A21304" s="4" t="str">
        <f>IFERROR(__xludf.DUMMYFUNCTION("""COMPUTED_VALUE"""),"cas_hmw")</f>
        <v>cas_hmw</v>
      </c>
      <c r="B21304" s="5">
        <f>IFERROR(__xludf.DUMMYFUNCTION("""COMPUTED_VALUE"""),44785.0)</f>
        <v>44785</v>
      </c>
      <c r="C21304" s="6">
        <f>IFERROR(__xludf.DUMMYFUNCTION("""COMPUTED_VALUE"""),0.3262384259251121)</f>
        <v>0.3262384259</v>
      </c>
      <c r="D21304" s="4">
        <f>IFERROR(__xludf.DUMMYFUNCTION("""COMPUTED_VALUE"""),13.00686)</f>
        <v>13.00686</v>
      </c>
      <c r="E21304" s="4">
        <f>IFERROR(__xludf.DUMMYFUNCTION("""COMPUTED_VALUE"""),80.240022)</f>
        <v>80.240022</v>
      </c>
      <c r="F21304" s="4">
        <f>IFERROR(__xludf.DUMMYFUNCTION("""COMPUTED_VALUE"""),805.0)</f>
        <v>805</v>
      </c>
      <c r="G21304" s="4">
        <f>IFERROR(__xludf.DUMMYFUNCTION("""COMPUTED_VALUE"""),23.0)</f>
        <v>23</v>
      </c>
      <c r="H21304" s="4"/>
      <c r="I21304" s="4"/>
    </row>
    <row r="21305">
      <c r="A21305" s="4" t="str">
        <f>IFERROR(__xludf.DUMMYFUNCTION("""COMPUTED_VALUE"""),"cas_hmw")</f>
        <v>cas_hmw</v>
      </c>
      <c r="B21305" s="5">
        <f>IFERROR(__xludf.DUMMYFUNCTION("""COMPUTED_VALUE"""),44785.0)</f>
        <v>44785</v>
      </c>
      <c r="C21305" s="6">
        <f>IFERROR(__xludf.DUMMYFUNCTION("""COMPUTED_VALUE"""),0.3266666666677338)</f>
        <v>0.3266666667</v>
      </c>
      <c r="D21305" s="4">
        <f>IFERROR(__xludf.DUMMYFUNCTION("""COMPUTED_VALUE"""),13.007595)</f>
        <v>13.007595</v>
      </c>
      <c r="E21305" s="4">
        <f>IFERROR(__xludf.DUMMYFUNCTION("""COMPUTED_VALUE"""),80.236357)</f>
        <v>80.236357</v>
      </c>
      <c r="F21305" s="4">
        <f>IFERROR(__xludf.DUMMYFUNCTION("""COMPUTED_VALUE"""),805.0)</f>
        <v>805</v>
      </c>
      <c r="G21305" s="4">
        <f>IFERROR(__xludf.DUMMYFUNCTION("""COMPUTED_VALUE"""),50.0)</f>
        <v>50</v>
      </c>
      <c r="H21305" s="4"/>
      <c r="I21305" s="4"/>
    </row>
    <row r="21306">
      <c r="A21306" s="4" t="str">
        <f>IFERROR(__xludf.DUMMYFUNCTION("""COMPUTED_VALUE"""),"cas_hmw")</f>
        <v>cas_hmw</v>
      </c>
      <c r="B21306" s="5">
        <f>IFERROR(__xludf.DUMMYFUNCTION("""COMPUTED_VALUE"""),44785.0)</f>
        <v>44785</v>
      </c>
      <c r="C21306" s="6">
        <f>IFERROR(__xludf.DUMMYFUNCTION("""COMPUTED_VALUE"""),0.3281018518500787)</f>
        <v>0.3281018519</v>
      </c>
      <c r="D21306" s="4">
        <f>IFERROR(__xludf.DUMMYFUNCTION("""COMPUTED_VALUE"""),13.010063)</f>
        <v>13.010063</v>
      </c>
      <c r="E21306" s="4">
        <f>IFERROR(__xludf.DUMMYFUNCTION("""COMPUTED_VALUE"""),80.226302)</f>
        <v>80.226302</v>
      </c>
      <c r="F21306" s="4">
        <f>IFERROR(__xludf.DUMMYFUNCTION("""COMPUTED_VALUE"""),805.0)</f>
        <v>805</v>
      </c>
      <c r="G21306" s="4">
        <f>IFERROR(__xludf.DUMMYFUNCTION("""COMPUTED_VALUE"""),58.0)</f>
        <v>58</v>
      </c>
      <c r="H21306" s="4"/>
      <c r="I21306" s="4"/>
    </row>
    <row r="21307">
      <c r="A21307" s="4" t="str">
        <f>IFERROR(__xludf.DUMMYFUNCTION("""COMPUTED_VALUE"""),"cas_hmw")</f>
        <v>cas_hmw</v>
      </c>
      <c r="B21307" s="5">
        <f>IFERROR(__xludf.DUMMYFUNCTION("""COMPUTED_VALUE"""),44785.0)</f>
        <v>44785</v>
      </c>
      <c r="C21307" s="6">
        <f>IFERROR(__xludf.DUMMYFUNCTION("""COMPUTED_VALUE"""),0.32891203703547944)</f>
        <v>0.328912037</v>
      </c>
      <c r="D21307" s="4">
        <f>IFERROR(__xludf.DUMMYFUNCTION("""COMPUTED_VALUE"""),13.00264)</f>
        <v>13.00264</v>
      </c>
      <c r="E21307" s="4">
        <f>IFERROR(__xludf.DUMMYFUNCTION("""COMPUTED_VALUE"""),80.200681)</f>
        <v>80.200681</v>
      </c>
      <c r="F21307" s="4">
        <f>IFERROR(__xludf.DUMMYFUNCTION("""COMPUTED_VALUE"""),5339.0)</f>
        <v>5339</v>
      </c>
      <c r="G21307" s="4">
        <f>IFERROR(__xludf.DUMMYFUNCTION("""COMPUTED_VALUE"""),27.0)</f>
        <v>27</v>
      </c>
      <c r="H21307" s="4"/>
      <c r="I21307" s="4"/>
    </row>
    <row r="21308">
      <c r="A21308" s="4" t="str">
        <f>IFERROR(__xludf.DUMMYFUNCTION("""COMPUTED_VALUE"""),"cas_hmw")</f>
        <v>cas_hmw</v>
      </c>
      <c r="B21308" s="5">
        <f>IFERROR(__xludf.DUMMYFUNCTION("""COMPUTED_VALUE"""),44785.0)</f>
        <v>44785</v>
      </c>
      <c r="C21308" s="6">
        <f>IFERROR(__xludf.DUMMYFUNCTION("""COMPUTED_VALUE"""),0.32901620370466844)</f>
        <v>0.3290162037</v>
      </c>
      <c r="D21308" s="4">
        <f>IFERROR(__xludf.DUMMYFUNCTION("""COMPUTED_VALUE"""),13.002014)</f>
        <v>13.002014</v>
      </c>
      <c r="E21308" s="4">
        <f>IFERROR(__xludf.DUMMYFUNCTION("""COMPUTED_VALUE"""),80.200186)</f>
        <v>80.200186</v>
      </c>
      <c r="F21308" s="4">
        <f>IFERROR(__xludf.DUMMYFUNCTION("""COMPUTED_VALUE"""),5339.0)</f>
        <v>5339</v>
      </c>
      <c r="G21308" s="4">
        <f>IFERROR(__xludf.DUMMYFUNCTION("""COMPUTED_VALUE"""),35.0)</f>
        <v>35</v>
      </c>
      <c r="H21308" s="4"/>
      <c r="I21308" s="4"/>
    </row>
    <row r="21309">
      <c r="A21309" s="4" t="str">
        <f>IFERROR(__xludf.DUMMYFUNCTION("""COMPUTED_VALUE"""),"cas_hmw")</f>
        <v>cas_hmw</v>
      </c>
      <c r="B21309" s="5">
        <f>IFERROR(__xludf.DUMMYFUNCTION("""COMPUTED_VALUE"""),44785.0)</f>
        <v>44785</v>
      </c>
      <c r="C21309" s="6">
        <f>IFERROR(__xludf.DUMMYFUNCTION("""COMPUTED_VALUE"""),0.32949074073985685)</f>
        <v>0.3294907407</v>
      </c>
      <c r="D21309" s="4">
        <f>IFERROR(__xludf.DUMMYFUNCTION("""COMPUTED_VALUE"""),13.010932)</f>
        <v>13.010932</v>
      </c>
      <c r="E21309" s="4">
        <f>IFERROR(__xludf.DUMMYFUNCTION("""COMPUTED_VALUE"""),80.217317)</f>
        <v>80.217317</v>
      </c>
      <c r="F21309" s="4">
        <f>IFERROR(__xludf.DUMMYFUNCTION("""COMPUTED_VALUE"""),805.0)</f>
        <v>805</v>
      </c>
      <c r="G21309" s="4">
        <f>IFERROR(__xludf.DUMMYFUNCTION("""COMPUTED_VALUE"""),55.0)</f>
        <v>55</v>
      </c>
      <c r="H21309" s="4"/>
      <c r="I21309" s="4"/>
    </row>
    <row r="21310">
      <c r="A21310" s="4" t="str">
        <f>IFERROR(__xludf.DUMMYFUNCTION("""COMPUTED_VALUE"""),"cas_hmw")</f>
        <v>cas_hmw</v>
      </c>
      <c r="B21310" s="5">
        <f>IFERROR(__xludf.DUMMYFUNCTION("""COMPUTED_VALUE"""),44785.0)</f>
        <v>44785</v>
      </c>
      <c r="C21310" s="6">
        <f>IFERROR(__xludf.DUMMYFUNCTION("""COMPUTED_VALUE"""),0.32973379629765986)</f>
        <v>0.3297337963</v>
      </c>
      <c r="D21310" s="4">
        <f>IFERROR(__xludf.DUMMYFUNCTION("""COMPUTED_VALUE"""),12.727511)</f>
        <v>12.727511</v>
      </c>
      <c r="E21310" s="4">
        <f>IFERROR(__xludf.DUMMYFUNCTION("""COMPUTED_VALUE"""),79.982563)</f>
        <v>79.982563</v>
      </c>
      <c r="F21310" s="4">
        <f>IFERROR(__xludf.DUMMYFUNCTION("""COMPUTED_VALUE"""),2846.0)</f>
        <v>2846</v>
      </c>
      <c r="G21310" s="4">
        <f>IFERROR(__xludf.DUMMYFUNCTION("""COMPUTED_VALUE"""),43.0)</f>
        <v>43</v>
      </c>
      <c r="H21310" s="4"/>
      <c r="I21310" s="4"/>
    </row>
    <row r="21311">
      <c r="A21311" s="4" t="str">
        <f>IFERROR(__xludf.DUMMYFUNCTION("""COMPUTED_VALUE"""),"cas_hmw")</f>
        <v>cas_hmw</v>
      </c>
      <c r="B21311" s="5">
        <f>IFERROR(__xludf.DUMMYFUNCTION("""COMPUTED_VALUE"""),44785.0)</f>
        <v>44785</v>
      </c>
      <c r="C21311" s="6">
        <f>IFERROR(__xludf.DUMMYFUNCTION("""COMPUTED_VALUE"""),0.32981481481328956)</f>
        <v>0.3298148148</v>
      </c>
      <c r="D21311" s="4">
        <f>IFERROR(__xludf.DUMMYFUNCTION("""COMPUTED_VALUE"""),12.732639)</f>
        <v>12.732639</v>
      </c>
      <c r="E21311" s="4">
        <f>IFERROR(__xludf.DUMMYFUNCTION("""COMPUTED_VALUE"""),79.983073)</f>
        <v>79.983073</v>
      </c>
      <c r="F21311" s="4">
        <f>IFERROR(__xludf.DUMMYFUNCTION("""COMPUTED_VALUE"""),2846.0)</f>
        <v>2846</v>
      </c>
      <c r="G21311" s="4">
        <f>IFERROR(__xludf.DUMMYFUNCTION("""COMPUTED_VALUE"""),33.0)</f>
        <v>33</v>
      </c>
      <c r="H21311" s="4"/>
      <c r="I21311" s="4"/>
    </row>
    <row r="21312">
      <c r="A21312" s="4" t="str">
        <f>IFERROR(__xludf.DUMMYFUNCTION("""COMPUTED_VALUE"""),"cas_hmw")</f>
        <v>cas_hmw</v>
      </c>
      <c r="B21312" s="5">
        <f>IFERROR(__xludf.DUMMYFUNCTION("""COMPUTED_VALUE"""),44785.0)</f>
        <v>44785</v>
      </c>
      <c r="C21312" s="6">
        <f>IFERROR(__xludf.DUMMYFUNCTION("""COMPUTED_VALUE"""),0.3299421296287619)</f>
        <v>0.3299421296</v>
      </c>
      <c r="D21312" s="4">
        <f>IFERROR(__xludf.DUMMYFUNCTION("""COMPUTED_VALUE"""),12.998666)</f>
        <v>12.998666</v>
      </c>
      <c r="E21312" s="4">
        <f>IFERROR(__xludf.DUMMYFUNCTION("""COMPUTED_VALUE"""),80.192562)</f>
        <v>80.192562</v>
      </c>
      <c r="F21312" s="4">
        <f>IFERROR(__xludf.DUMMYFUNCTION("""COMPUTED_VALUE"""),5339.0)</f>
        <v>5339</v>
      </c>
      <c r="G21312" s="4">
        <f>IFERROR(__xludf.DUMMYFUNCTION("""COMPUTED_VALUE"""),25.0)</f>
        <v>25</v>
      </c>
      <c r="H21312" s="4"/>
      <c r="I21312" s="4"/>
    </row>
    <row r="21313">
      <c r="A21313" s="4" t="str">
        <f>IFERROR(__xludf.DUMMYFUNCTION("""COMPUTED_VALUE"""),"cas_hmw")</f>
        <v>cas_hmw</v>
      </c>
      <c r="B21313" s="5">
        <f>IFERROR(__xludf.DUMMYFUNCTION("""COMPUTED_VALUE"""),44785.0)</f>
        <v>44785</v>
      </c>
      <c r="C21313" s="6">
        <f>IFERROR(__xludf.DUMMYFUNCTION("""COMPUTED_VALUE"""),0.3300462962979509)</f>
        <v>0.3300462963</v>
      </c>
      <c r="D21313" s="4">
        <f>IFERROR(__xludf.DUMMYFUNCTION("""COMPUTED_VALUE"""),13.008965)</f>
        <v>13.008965</v>
      </c>
      <c r="E21313" s="4">
        <f>IFERROR(__xludf.DUMMYFUNCTION("""COMPUTED_VALUE"""),80.211795)</f>
        <v>80.211795</v>
      </c>
      <c r="F21313" s="4">
        <f>IFERROR(__xludf.DUMMYFUNCTION("""COMPUTED_VALUE"""),805.0)</f>
        <v>805</v>
      </c>
      <c r="G21313" s="4">
        <f>IFERROR(__xludf.DUMMYFUNCTION("""COMPUTED_VALUE"""),23.0)</f>
        <v>23</v>
      </c>
      <c r="H21313" s="4"/>
      <c r="I21313" s="4"/>
    </row>
    <row r="21314">
      <c r="A21314" s="4" t="str">
        <f>IFERROR(__xludf.DUMMYFUNCTION("""COMPUTED_VALUE"""),"cas_hmw")</f>
        <v>cas_hmw</v>
      </c>
      <c r="B21314" s="5">
        <f>IFERROR(__xludf.DUMMYFUNCTION("""COMPUTED_VALUE"""),44785.0)</f>
        <v>44785</v>
      </c>
      <c r="C21314" s="6">
        <f>IFERROR(__xludf.DUMMYFUNCTION("""COMPUTED_VALUE"""),0.3301967592597066)</f>
        <v>0.3301967593</v>
      </c>
      <c r="D21314" s="4">
        <f>IFERROR(__xludf.DUMMYFUNCTION("""COMPUTED_VALUE"""),12.73334)</f>
        <v>12.73334</v>
      </c>
      <c r="E21314" s="4">
        <f>IFERROR(__xludf.DUMMYFUNCTION("""COMPUTED_VALUE"""),79.98352)</f>
        <v>79.98352</v>
      </c>
      <c r="F21314" s="4">
        <f>IFERROR(__xludf.DUMMYFUNCTION("""COMPUTED_VALUE"""),2846.0)</f>
        <v>2846</v>
      </c>
      <c r="G21314" s="4">
        <f>IFERROR(__xludf.DUMMYFUNCTION("""COMPUTED_VALUE"""),30.0)</f>
        <v>30</v>
      </c>
      <c r="H21314" s="4"/>
      <c r="I21314" s="4"/>
    </row>
    <row r="21315">
      <c r="A21315" s="4" t="str">
        <f>IFERROR(__xludf.DUMMYFUNCTION("""COMPUTED_VALUE"""),"cas_hmw")</f>
        <v>cas_hmw</v>
      </c>
      <c r="B21315" s="5">
        <f>IFERROR(__xludf.DUMMYFUNCTION("""COMPUTED_VALUE"""),44785.0)</f>
        <v>44785</v>
      </c>
      <c r="C21315" s="6">
        <f>IFERROR(__xludf.DUMMYFUNCTION("""COMPUTED_VALUE"""),0.33061342592554865)</f>
        <v>0.3306134259</v>
      </c>
      <c r="D21315" s="4">
        <f>IFERROR(__xludf.DUMMYFUNCTION("""COMPUTED_VALUE"""),13.007725)</f>
        <v>13.007725</v>
      </c>
      <c r="E21315" s="4">
        <f>IFERROR(__xludf.DUMMYFUNCTION("""COMPUTED_VALUE"""),80.206824)</f>
        <v>80.206824</v>
      </c>
      <c r="F21315" s="4">
        <f>IFERROR(__xludf.DUMMYFUNCTION("""COMPUTED_VALUE"""),805.0)</f>
        <v>805</v>
      </c>
      <c r="G21315" s="4">
        <f>IFERROR(__xludf.DUMMYFUNCTION("""COMPUTED_VALUE"""),46.0)</f>
        <v>46</v>
      </c>
      <c r="H21315" s="4"/>
      <c r="I21315" s="4"/>
    </row>
    <row r="21316">
      <c r="A21316" s="4" t="str">
        <f>IFERROR(__xludf.DUMMYFUNCTION("""COMPUTED_VALUE"""),"cas_hmw")</f>
        <v>cas_hmw</v>
      </c>
      <c r="B21316" s="5">
        <f>IFERROR(__xludf.DUMMYFUNCTION("""COMPUTED_VALUE"""),44785.0)</f>
        <v>44785</v>
      </c>
      <c r="C21316" s="6">
        <f>IFERROR(__xludf.DUMMYFUNCTION("""COMPUTED_VALUE"""),0.330671296294895)</f>
        <v>0.3306712963</v>
      </c>
      <c r="D21316" s="4">
        <f>IFERROR(__xludf.DUMMYFUNCTION("""COMPUTED_VALUE"""),12.995221)</f>
        <v>12.995221</v>
      </c>
      <c r="E21316" s="4">
        <f>IFERROR(__xludf.DUMMYFUNCTION("""COMPUTED_VALUE"""),80.188036)</f>
        <v>80.188036</v>
      </c>
      <c r="F21316" s="4">
        <f>IFERROR(__xludf.DUMMYFUNCTION("""COMPUTED_VALUE"""),5339.0)</f>
        <v>5339</v>
      </c>
      <c r="G21316" s="4">
        <f>IFERROR(__xludf.DUMMYFUNCTION("""COMPUTED_VALUE"""),31.0)</f>
        <v>31</v>
      </c>
      <c r="H21316" s="4"/>
      <c r="I21316" s="4"/>
    </row>
    <row r="21317">
      <c r="A21317" s="4" t="str">
        <f>IFERROR(__xludf.DUMMYFUNCTION("""COMPUTED_VALUE"""),"cas_hmw")</f>
        <v>cas_hmw</v>
      </c>
      <c r="B21317" s="5">
        <f>IFERROR(__xludf.DUMMYFUNCTION("""COMPUTED_VALUE"""),44785.0)</f>
        <v>44785</v>
      </c>
      <c r="C21317" s="6">
        <f>IFERROR(__xludf.DUMMYFUNCTION("""COMPUTED_VALUE"""),0.33076388888730435)</f>
        <v>0.3307638889</v>
      </c>
      <c r="D21317" s="4">
        <f>IFERROR(__xludf.DUMMYFUNCTION("""COMPUTED_VALUE"""),12.994864)</f>
        <v>12.994864</v>
      </c>
      <c r="E21317" s="4">
        <f>IFERROR(__xludf.DUMMYFUNCTION("""COMPUTED_VALUE"""),80.187295)</f>
        <v>80.187295</v>
      </c>
      <c r="F21317" s="4">
        <f>IFERROR(__xludf.DUMMYFUNCTION("""COMPUTED_VALUE"""),5339.0)</f>
        <v>5339</v>
      </c>
      <c r="G21317" s="4">
        <f>IFERROR(__xludf.DUMMYFUNCTION("""COMPUTED_VALUE"""),32.0)</f>
        <v>32</v>
      </c>
      <c r="H21317" s="4"/>
      <c r="I21317" s="4"/>
    </row>
    <row r="21318">
      <c r="A21318" s="4" t="str">
        <f>IFERROR(__xludf.DUMMYFUNCTION("""COMPUTED_VALUE"""),"cas_hmw")</f>
        <v>cas_hmw</v>
      </c>
      <c r="B21318" s="5">
        <f>IFERROR(__xludf.DUMMYFUNCTION("""COMPUTED_VALUE"""),44785.0)</f>
        <v>44785</v>
      </c>
      <c r="C21318" s="6">
        <f>IFERROR(__xludf.DUMMYFUNCTION("""COMPUTED_VALUE"""),0.330775462964084)</f>
        <v>0.330775463</v>
      </c>
      <c r="D21318" s="4">
        <f>IFERROR(__xludf.DUMMYFUNCTION("""COMPUTED_VALUE"""),12.994864)</f>
        <v>12.994864</v>
      </c>
      <c r="E21318" s="4">
        <f>IFERROR(__xludf.DUMMYFUNCTION("""COMPUTED_VALUE"""),80.187295)</f>
        <v>80.187295</v>
      </c>
      <c r="F21318" s="4">
        <f>IFERROR(__xludf.DUMMYFUNCTION("""COMPUTED_VALUE"""),5339.0)</f>
        <v>5339</v>
      </c>
      <c r="G21318" s="4">
        <f>IFERROR(__xludf.DUMMYFUNCTION("""COMPUTED_VALUE"""),32.0)</f>
        <v>32</v>
      </c>
      <c r="H21318" s="4"/>
      <c r="I21318" s="4"/>
    </row>
    <row r="21319">
      <c r="A21319" s="4" t="str">
        <f>IFERROR(__xludf.DUMMYFUNCTION("""COMPUTED_VALUE"""),"cas_hmw")</f>
        <v>cas_hmw</v>
      </c>
      <c r="B21319" s="5">
        <f>IFERROR(__xludf.DUMMYFUNCTION("""COMPUTED_VALUE"""),44785.0)</f>
        <v>44785</v>
      </c>
      <c r="C21319" s="6">
        <f>IFERROR(__xludf.DUMMYFUNCTION("""COMPUTED_VALUE"""),0.3316898148150358)</f>
        <v>0.3316898148</v>
      </c>
      <c r="D21319" s="4">
        <f>IFERROR(__xludf.DUMMYFUNCTION("""COMPUTED_VALUE"""),12.993858)</f>
        <v>12.993858</v>
      </c>
      <c r="E21319" s="4">
        <f>IFERROR(__xludf.DUMMYFUNCTION("""COMPUTED_VALUE"""),80.185302)</f>
        <v>80.185302</v>
      </c>
      <c r="F21319" s="4">
        <f>IFERROR(__xludf.DUMMYFUNCTION("""COMPUTED_VALUE"""),5339.0)</f>
        <v>5339</v>
      </c>
      <c r="G21319" s="4">
        <f>IFERROR(__xludf.DUMMYFUNCTION("""COMPUTED_VALUE"""),35.0)</f>
        <v>35</v>
      </c>
      <c r="H21319" s="4"/>
      <c r="I21319" s="4"/>
    </row>
    <row r="21320">
      <c r="A21320" s="4" t="str">
        <f>IFERROR(__xludf.DUMMYFUNCTION("""COMPUTED_VALUE"""),"cas_hmw")</f>
        <v>cas_hmw</v>
      </c>
      <c r="B21320" s="5">
        <f>IFERROR(__xludf.DUMMYFUNCTION("""COMPUTED_VALUE"""),44785.0)</f>
        <v>44785</v>
      </c>
      <c r="C21320" s="6">
        <f>IFERROR(__xludf.DUMMYFUNCTION("""COMPUTED_VALUE"""),0.3318634259267128)</f>
        <v>0.3318634259</v>
      </c>
      <c r="D21320" s="4">
        <f>IFERROR(__xludf.DUMMYFUNCTION("""COMPUTED_VALUE"""),12.993355)</f>
        <v>12.993355</v>
      </c>
      <c r="E21320" s="4">
        <f>IFERROR(__xludf.DUMMYFUNCTION("""COMPUTED_VALUE"""),80.18444)</f>
        <v>80.18444</v>
      </c>
      <c r="F21320" s="4">
        <f>IFERROR(__xludf.DUMMYFUNCTION("""COMPUTED_VALUE"""),5339.0)</f>
        <v>5339</v>
      </c>
      <c r="G21320" s="4">
        <f>IFERROR(__xludf.DUMMYFUNCTION("""COMPUTED_VALUE"""),42.0)</f>
        <v>42</v>
      </c>
      <c r="H21320" s="4"/>
      <c r="I21320" s="4"/>
    </row>
    <row r="21321">
      <c r="A21321" s="4" t="str">
        <f>IFERROR(__xludf.DUMMYFUNCTION("""COMPUTED_VALUE"""),"cas_hmw")</f>
        <v>cas_hmw</v>
      </c>
      <c r="B21321" s="5">
        <f>IFERROR(__xludf.DUMMYFUNCTION("""COMPUTED_VALUE"""),44785.0)</f>
        <v>44785</v>
      </c>
      <c r="C21321" s="6">
        <f>IFERROR(__xludf.DUMMYFUNCTION("""COMPUTED_VALUE"""),0.3320370370383898)</f>
        <v>0.332037037</v>
      </c>
      <c r="D21321" s="4">
        <f>IFERROR(__xludf.DUMMYFUNCTION("""COMPUTED_VALUE"""),13.004087)</f>
        <v>13.004087</v>
      </c>
      <c r="E21321" s="4">
        <f>IFERROR(__xludf.DUMMYFUNCTION("""COMPUTED_VALUE"""),80.201171)</f>
        <v>80.201171</v>
      </c>
      <c r="F21321" s="4">
        <f>IFERROR(__xludf.DUMMYFUNCTION("""COMPUTED_VALUE"""),805.0)</f>
        <v>805</v>
      </c>
      <c r="G21321" s="4">
        <f>IFERROR(__xludf.DUMMYFUNCTION("""COMPUTED_VALUE"""),30.0)</f>
        <v>30</v>
      </c>
      <c r="H21321" s="4"/>
      <c r="I21321" s="4"/>
    </row>
    <row r="21322">
      <c r="A21322" s="4" t="str">
        <f>IFERROR(__xludf.DUMMYFUNCTION("""COMPUTED_VALUE"""),"cas_hmw")</f>
        <v>cas_hmw</v>
      </c>
      <c r="B21322" s="5">
        <f>IFERROR(__xludf.DUMMYFUNCTION("""COMPUTED_VALUE"""),44785.0)</f>
        <v>44785</v>
      </c>
      <c r="C21322" s="6">
        <f>IFERROR(__xludf.DUMMYFUNCTION("""COMPUTED_VALUE"""),0.33217592592700385)</f>
        <v>0.3321759259</v>
      </c>
      <c r="D21322" s="4">
        <f>IFERROR(__xludf.DUMMYFUNCTION("""COMPUTED_VALUE"""),13.002366)</f>
        <v>13.002366</v>
      </c>
      <c r="E21322" s="4">
        <f>IFERROR(__xludf.DUMMYFUNCTION("""COMPUTED_VALUE"""),80.20058)</f>
        <v>80.20058</v>
      </c>
      <c r="F21322" s="4">
        <f>IFERROR(__xludf.DUMMYFUNCTION("""COMPUTED_VALUE"""),805.0)</f>
        <v>805</v>
      </c>
      <c r="G21322" s="4">
        <f>IFERROR(__xludf.DUMMYFUNCTION("""COMPUTED_VALUE"""),39.0)</f>
        <v>39</v>
      </c>
      <c r="H21322" s="4"/>
      <c r="I21322" s="4"/>
    </row>
    <row r="21323">
      <c r="A21323" s="4" t="str">
        <f>IFERROR(__xludf.DUMMYFUNCTION("""COMPUTED_VALUE"""),"cas_hmw")</f>
        <v>cas_hmw</v>
      </c>
      <c r="B21323" s="5">
        <f>IFERROR(__xludf.DUMMYFUNCTION("""COMPUTED_VALUE"""),44785.0)</f>
        <v>44785</v>
      </c>
      <c r="C21323" s="6">
        <f>IFERROR(__xludf.DUMMYFUNCTION("""COMPUTED_VALUE"""),0.3322222222232085)</f>
        <v>0.3322222222</v>
      </c>
      <c r="D21323" s="4">
        <f>IFERROR(__xludf.DUMMYFUNCTION("""COMPUTED_VALUE"""),12.991613)</f>
        <v>12.991613</v>
      </c>
      <c r="E21323" s="4">
        <f>IFERROR(__xludf.DUMMYFUNCTION("""COMPUTED_VALUE"""),80.181723)</f>
        <v>80.181723</v>
      </c>
      <c r="F21323" s="4">
        <f>IFERROR(__xludf.DUMMYFUNCTION("""COMPUTED_VALUE"""),5339.0)</f>
        <v>5339</v>
      </c>
      <c r="G21323" s="4">
        <f>IFERROR(__xludf.DUMMYFUNCTION("""COMPUTED_VALUE"""),36.0)</f>
        <v>36</v>
      </c>
      <c r="H21323" s="4"/>
      <c r="I21323" s="4"/>
    </row>
    <row r="21324">
      <c r="A21324" s="4" t="str">
        <f>IFERROR(__xludf.DUMMYFUNCTION("""COMPUTED_VALUE"""),"cas_hmw")</f>
        <v>cas_hmw</v>
      </c>
      <c r="B21324" s="5">
        <f>IFERROR(__xludf.DUMMYFUNCTION("""COMPUTED_VALUE"""),44785.0)</f>
        <v>44785</v>
      </c>
      <c r="C21324" s="6">
        <f>IFERROR(__xludf.DUMMYFUNCTION("""COMPUTED_VALUE"""),0.3324189814811689)</f>
        <v>0.3324189815</v>
      </c>
      <c r="D21324" s="4">
        <f>IFERROR(__xludf.DUMMYFUNCTION("""COMPUTED_VALUE"""),12.990246)</f>
        <v>12.990246</v>
      </c>
      <c r="E21324" s="4">
        <f>IFERROR(__xludf.DUMMYFUNCTION("""COMPUTED_VALUE"""),80.17994)</f>
        <v>80.17994</v>
      </c>
      <c r="F21324" s="4">
        <f>IFERROR(__xludf.DUMMYFUNCTION("""COMPUTED_VALUE"""),5339.0)</f>
        <v>5339</v>
      </c>
      <c r="G21324" s="4">
        <f>IFERROR(__xludf.DUMMYFUNCTION("""COMPUTED_VALUE"""),40.0)</f>
        <v>40</v>
      </c>
      <c r="H21324" s="4"/>
      <c r="I21324" s="4"/>
    </row>
    <row r="21325">
      <c r="A21325" s="4" t="str">
        <f>IFERROR(__xludf.DUMMYFUNCTION("""COMPUTED_VALUE"""),"cas_hmw")</f>
        <v>cas_hmw</v>
      </c>
      <c r="B21325" s="5">
        <f>IFERROR(__xludf.DUMMYFUNCTION("""COMPUTED_VALUE"""),44785.0)</f>
        <v>44785</v>
      </c>
      <c r="C21325" s="6">
        <f>IFERROR(__xludf.DUMMYFUNCTION("""COMPUTED_VALUE"""),0.33243055555431056)</f>
        <v>0.3324305556</v>
      </c>
      <c r="D21325" s="4">
        <f>IFERROR(__xludf.DUMMYFUNCTION("""COMPUTED_VALUE"""),12.990246)</f>
        <v>12.990246</v>
      </c>
      <c r="E21325" s="4">
        <f>IFERROR(__xludf.DUMMYFUNCTION("""COMPUTED_VALUE"""),80.17994)</f>
        <v>80.17994</v>
      </c>
      <c r="F21325" s="4">
        <f>IFERROR(__xludf.DUMMYFUNCTION("""COMPUTED_VALUE"""),5339.0)</f>
        <v>5339</v>
      </c>
      <c r="G21325" s="4">
        <f>IFERROR(__xludf.DUMMYFUNCTION("""COMPUTED_VALUE"""),40.0)</f>
        <v>40</v>
      </c>
      <c r="H21325" s="4"/>
      <c r="I21325" s="4"/>
    </row>
    <row r="21326">
      <c r="A21326" s="4" t="str">
        <f>IFERROR(__xludf.DUMMYFUNCTION("""COMPUTED_VALUE"""),"cas_hmw")</f>
        <v>cas_hmw</v>
      </c>
      <c r="B21326" s="5">
        <f>IFERROR(__xludf.DUMMYFUNCTION("""COMPUTED_VALUE"""),44785.0)</f>
        <v>44785</v>
      </c>
      <c r="C21326" s="6">
        <f>IFERROR(__xludf.DUMMYFUNCTION("""COMPUTED_VALUE"""),0.3324421296310902)</f>
        <v>0.3324421296</v>
      </c>
      <c r="D21326" s="4">
        <f>IFERROR(__xludf.DUMMYFUNCTION("""COMPUTED_VALUE"""),12.990246)</f>
        <v>12.990246</v>
      </c>
      <c r="E21326" s="4">
        <f>IFERROR(__xludf.DUMMYFUNCTION("""COMPUTED_VALUE"""),80.17994)</f>
        <v>80.17994</v>
      </c>
      <c r="F21326" s="4">
        <f>IFERROR(__xludf.DUMMYFUNCTION("""COMPUTED_VALUE"""),5339.0)</f>
        <v>5339</v>
      </c>
      <c r="G21326" s="4">
        <f>IFERROR(__xludf.DUMMYFUNCTION("""COMPUTED_VALUE"""),40.0)</f>
        <v>40</v>
      </c>
      <c r="H21326" s="4"/>
      <c r="I21326" s="4"/>
    </row>
    <row r="21327">
      <c r="A21327" s="4" t="str">
        <f>IFERROR(__xludf.DUMMYFUNCTION("""COMPUTED_VALUE"""),"cas_hmw")</f>
        <v>cas_hmw</v>
      </c>
      <c r="B21327" s="5">
        <f>IFERROR(__xludf.DUMMYFUNCTION("""COMPUTED_VALUE"""),44785.0)</f>
        <v>44785</v>
      </c>
      <c r="C21327" s="6">
        <f>IFERROR(__xludf.DUMMYFUNCTION("""COMPUTED_VALUE"""),0.3328009259275859)</f>
        <v>0.3328009259</v>
      </c>
      <c r="D21327" s="4">
        <f>IFERROR(__xludf.DUMMYFUNCTION("""COMPUTED_VALUE"""),12.988476)</f>
        <v>12.988476</v>
      </c>
      <c r="E21327" s="4">
        <f>IFERROR(__xludf.DUMMYFUNCTION("""COMPUTED_VALUE"""),80.177748)</f>
        <v>80.177748</v>
      </c>
      <c r="F21327" s="4">
        <f>IFERROR(__xludf.DUMMYFUNCTION("""COMPUTED_VALUE"""),5339.0)</f>
        <v>5339</v>
      </c>
      <c r="G21327" s="4">
        <f>IFERROR(__xludf.DUMMYFUNCTION("""COMPUTED_VALUE"""),34.0)</f>
        <v>34</v>
      </c>
      <c r="H21327" s="4"/>
      <c r="I21327" s="4"/>
    </row>
    <row r="21328">
      <c r="A21328" s="4" t="str">
        <f>IFERROR(__xludf.DUMMYFUNCTION("""COMPUTED_VALUE"""),"cas_hmw")</f>
        <v>cas_hmw</v>
      </c>
      <c r="B21328" s="5">
        <f>IFERROR(__xludf.DUMMYFUNCTION("""COMPUTED_VALUE"""),44785.0)</f>
        <v>44785</v>
      </c>
      <c r="C21328" s="6">
        <f>IFERROR(__xludf.DUMMYFUNCTION("""COMPUTED_VALUE"""),0.33307870370481396)</f>
        <v>0.3330787037</v>
      </c>
      <c r="D21328" s="4">
        <f>IFERROR(__xludf.DUMMYFUNCTION("""COMPUTED_VALUE"""),12.986987)</f>
        <v>12.986987</v>
      </c>
      <c r="E21328" s="4">
        <f>IFERROR(__xludf.DUMMYFUNCTION("""COMPUTED_VALUE"""),80.175613)</f>
        <v>80.175613</v>
      </c>
      <c r="F21328" s="4">
        <f>IFERROR(__xludf.DUMMYFUNCTION("""COMPUTED_VALUE"""),5339.0)</f>
        <v>5339</v>
      </c>
      <c r="G21328" s="4">
        <f>IFERROR(__xludf.DUMMYFUNCTION("""COMPUTED_VALUE"""),28.0)</f>
        <v>28</v>
      </c>
      <c r="H21328" s="4"/>
      <c r="I21328" s="4"/>
    </row>
    <row r="21329">
      <c r="A21329" s="4" t="str">
        <f>IFERROR(__xludf.DUMMYFUNCTION("""COMPUTED_VALUE"""),"cas_hmw")</f>
        <v>cas_hmw</v>
      </c>
      <c r="B21329" s="5">
        <f>IFERROR(__xludf.DUMMYFUNCTION("""COMPUTED_VALUE"""),44785.0)</f>
        <v>44785</v>
      </c>
      <c r="C21329" s="6">
        <f>IFERROR(__xludf.DUMMYFUNCTION("""COMPUTED_VALUE"""),0.3333333333321207)</f>
        <v>0.3333333333</v>
      </c>
      <c r="D21329" s="4">
        <f>IFERROR(__xludf.DUMMYFUNCTION("""COMPUTED_VALUE"""),12.986172)</f>
        <v>12.986172</v>
      </c>
      <c r="E21329" s="4">
        <f>IFERROR(__xludf.DUMMYFUNCTION("""COMPUTED_VALUE"""),80.174441)</f>
        <v>80.174441</v>
      </c>
      <c r="F21329" s="4">
        <f>IFERROR(__xludf.DUMMYFUNCTION("""COMPUTED_VALUE"""),5339.0)</f>
        <v>5339</v>
      </c>
      <c r="G21329" s="4">
        <f>IFERROR(__xludf.DUMMYFUNCTION("""COMPUTED_VALUE"""),33.0)</f>
        <v>33</v>
      </c>
      <c r="H21329" s="4"/>
      <c r="I21329" s="4"/>
    </row>
    <row r="21330">
      <c r="A21330" s="4" t="str">
        <f>IFERROR(__xludf.DUMMYFUNCTION("""COMPUTED_VALUE"""),"cas_hmw")</f>
        <v>cas_hmw</v>
      </c>
      <c r="B21330" s="5">
        <f>IFERROR(__xludf.DUMMYFUNCTION("""COMPUTED_VALUE"""),44785.0)</f>
        <v>44785</v>
      </c>
      <c r="C21330" s="6">
        <f>IFERROR(__xludf.DUMMYFUNCTION("""COMPUTED_VALUE"""),0.33365740740919136)</f>
        <v>0.3336574074</v>
      </c>
      <c r="D21330" s="4">
        <f>IFERROR(__xludf.DUMMYFUNCTION("""COMPUTED_VALUE"""),12.997262)</f>
        <v>12.997262</v>
      </c>
      <c r="E21330" s="4">
        <f>IFERROR(__xludf.DUMMYFUNCTION("""COMPUTED_VALUE"""),80.19077)</f>
        <v>80.19077</v>
      </c>
      <c r="F21330" s="4">
        <f>IFERROR(__xludf.DUMMYFUNCTION("""COMPUTED_VALUE"""),805.0)</f>
        <v>805</v>
      </c>
      <c r="G21330" s="4">
        <f>IFERROR(__xludf.DUMMYFUNCTION("""COMPUTED_VALUE"""),56.0)</f>
        <v>56</v>
      </c>
      <c r="H21330" s="4"/>
      <c r="I21330" s="4"/>
    </row>
    <row r="21331">
      <c r="A21331" s="4" t="str">
        <f>IFERROR(__xludf.DUMMYFUNCTION("""COMPUTED_VALUE"""),"cas_hmw")</f>
        <v>cas_hmw</v>
      </c>
      <c r="B21331" s="5">
        <f>IFERROR(__xludf.DUMMYFUNCTION("""COMPUTED_VALUE"""),44785.0)</f>
        <v>44785</v>
      </c>
      <c r="C21331" s="6">
        <f>IFERROR(__xludf.DUMMYFUNCTION("""COMPUTED_VALUE"""),0.33370370370539604)</f>
        <v>0.3337037037</v>
      </c>
      <c r="D21331" s="4">
        <f>IFERROR(__xludf.DUMMYFUNCTION("""COMPUTED_VALUE"""),12.984592)</f>
        <v>12.984592</v>
      </c>
      <c r="E21331" s="4">
        <f>IFERROR(__xludf.DUMMYFUNCTION("""COMPUTED_VALUE"""),80.172056)</f>
        <v>80.172056</v>
      </c>
      <c r="F21331" s="4">
        <f>IFERROR(__xludf.DUMMYFUNCTION("""COMPUTED_VALUE"""),5339.0)</f>
        <v>5339</v>
      </c>
      <c r="G21331" s="4">
        <f>IFERROR(__xludf.DUMMYFUNCTION("""COMPUTED_VALUE"""),30.0)</f>
        <v>30</v>
      </c>
      <c r="H21331" s="4"/>
      <c r="I21331" s="4"/>
    </row>
    <row r="21332">
      <c r="A21332" s="4" t="str">
        <f>IFERROR(__xludf.DUMMYFUNCTION("""COMPUTED_VALUE"""),"cas_hmw")</f>
        <v>cas_hmw</v>
      </c>
      <c r="B21332" s="5">
        <f>IFERROR(__xludf.DUMMYFUNCTION("""COMPUTED_VALUE"""),44785.0)</f>
        <v>44785</v>
      </c>
      <c r="C21332" s="6">
        <f>IFERROR(__xludf.DUMMYFUNCTION("""COMPUTED_VALUE"""),0.3340509259251121)</f>
        <v>0.3340509259</v>
      </c>
      <c r="D21332" s="4">
        <f>IFERROR(__xludf.DUMMYFUNCTION("""COMPUTED_VALUE"""),12.995455)</f>
        <v>12.995455</v>
      </c>
      <c r="E21332" s="4">
        <f>IFERROR(__xludf.DUMMYFUNCTION("""COMPUTED_VALUE"""),80.188498)</f>
        <v>80.188498</v>
      </c>
      <c r="F21332" s="4">
        <f>IFERROR(__xludf.DUMMYFUNCTION("""COMPUTED_VALUE"""),805.0)</f>
        <v>805</v>
      </c>
      <c r="G21332" s="4">
        <f>IFERROR(__xludf.DUMMYFUNCTION("""COMPUTED_VALUE"""),40.0)</f>
        <v>40</v>
      </c>
      <c r="H21332" s="4"/>
      <c r="I21332" s="4"/>
    </row>
    <row r="21333">
      <c r="A21333" s="4" t="str">
        <f>IFERROR(__xludf.DUMMYFUNCTION("""COMPUTED_VALUE"""),"cas_hmw")</f>
        <v>cas_hmw</v>
      </c>
      <c r="B21333" s="5">
        <f>IFERROR(__xludf.DUMMYFUNCTION("""COMPUTED_VALUE"""),44785.0)</f>
        <v>44785</v>
      </c>
      <c r="C21333" s="6">
        <f>IFERROR(__xludf.DUMMYFUNCTION("""COMPUTED_VALUE"""),0.3340856481481751)</f>
        <v>0.3340856481</v>
      </c>
      <c r="D21333" s="4">
        <f>IFERROR(__xludf.DUMMYFUNCTION("""COMPUTED_VALUE"""),12.982368)</f>
        <v>12.982368</v>
      </c>
      <c r="E21333" s="4">
        <f>IFERROR(__xludf.DUMMYFUNCTION("""COMPUTED_VALUE"""),80.168332)</f>
        <v>80.168332</v>
      </c>
      <c r="F21333" s="4">
        <f>IFERROR(__xludf.DUMMYFUNCTION("""COMPUTED_VALUE"""),5339.0)</f>
        <v>5339</v>
      </c>
      <c r="G21333" s="4">
        <f>IFERROR(__xludf.DUMMYFUNCTION("""COMPUTED_VALUE"""),54.0)</f>
        <v>54</v>
      </c>
      <c r="H21333" s="4"/>
      <c r="I21333" s="4"/>
    </row>
    <row r="21334">
      <c r="A21334" s="4" t="str">
        <f>IFERROR(__xludf.DUMMYFUNCTION("""COMPUTED_VALUE"""),"cas_hmw")</f>
        <v>cas_hmw</v>
      </c>
      <c r="B21334" s="5">
        <f>IFERROR(__xludf.DUMMYFUNCTION("""COMPUTED_VALUE"""),44785.0)</f>
        <v>44785</v>
      </c>
      <c r="C21334" s="6">
        <f>IFERROR(__xludf.DUMMYFUNCTION("""COMPUTED_VALUE"""),0.3341087962980964)</f>
        <v>0.3341087963</v>
      </c>
      <c r="D21334" s="4">
        <f>IFERROR(__xludf.DUMMYFUNCTION("""COMPUTED_VALUE"""),12.982368)</f>
        <v>12.982368</v>
      </c>
      <c r="E21334" s="4">
        <f>IFERROR(__xludf.DUMMYFUNCTION("""COMPUTED_VALUE"""),80.168332)</f>
        <v>80.168332</v>
      </c>
      <c r="F21334" s="4">
        <f>IFERROR(__xludf.DUMMYFUNCTION("""COMPUTED_VALUE"""),5339.0)</f>
        <v>5339</v>
      </c>
      <c r="G21334" s="4">
        <f>IFERROR(__xludf.DUMMYFUNCTION("""COMPUTED_VALUE"""),54.0)</f>
        <v>54</v>
      </c>
      <c r="H21334" s="4"/>
      <c r="I21334" s="4"/>
    </row>
    <row r="21335">
      <c r="A21335" s="4" t="str">
        <f>IFERROR(__xludf.DUMMYFUNCTION("""COMPUTED_VALUE"""),"cas_hmw")</f>
        <v>cas_hmw</v>
      </c>
      <c r="B21335" s="5">
        <f>IFERROR(__xludf.DUMMYFUNCTION("""COMPUTED_VALUE"""),44785.0)</f>
        <v>44785</v>
      </c>
      <c r="C21335" s="6">
        <f>IFERROR(__xludf.DUMMYFUNCTION("""COMPUTED_VALUE"""),0.33416666666744277)</f>
        <v>0.3341666667</v>
      </c>
      <c r="D21335" s="4">
        <f>IFERROR(__xludf.DUMMYFUNCTION("""COMPUTED_VALUE"""),12.994964)</f>
        <v>12.994964</v>
      </c>
      <c r="E21335" s="4">
        <f>IFERROR(__xludf.DUMMYFUNCTION("""COMPUTED_VALUE"""),80.187496)</f>
        <v>80.187496</v>
      </c>
      <c r="F21335" s="4">
        <f>IFERROR(__xludf.DUMMYFUNCTION("""COMPUTED_VALUE"""),805.0)</f>
        <v>805</v>
      </c>
      <c r="G21335" s="4">
        <f>IFERROR(__xludf.DUMMYFUNCTION("""COMPUTED_VALUE"""),46.0)</f>
        <v>46</v>
      </c>
      <c r="H21335" s="4"/>
      <c r="I21335" s="4"/>
    </row>
    <row r="21336">
      <c r="A21336" s="4" t="str">
        <f>IFERROR(__xludf.DUMMYFUNCTION("""COMPUTED_VALUE"""),"cas_hmw")</f>
        <v>cas_hmw</v>
      </c>
      <c r="B21336" s="5">
        <f>IFERROR(__xludf.DUMMYFUNCTION("""COMPUTED_VALUE"""),44785.0)</f>
        <v>44785</v>
      </c>
      <c r="C21336" s="6">
        <f>IFERROR(__xludf.DUMMYFUNCTION("""COMPUTED_VALUE"""),0.3341898148137261)</f>
        <v>0.3341898148</v>
      </c>
      <c r="D21336" s="4">
        <f>IFERROR(__xludf.DUMMYFUNCTION("""COMPUTED_VALUE"""),12.982368)</f>
        <v>12.982368</v>
      </c>
      <c r="E21336" s="4">
        <f>IFERROR(__xludf.DUMMYFUNCTION("""COMPUTED_VALUE"""),80.168332)</f>
        <v>80.168332</v>
      </c>
      <c r="F21336" s="4">
        <f>IFERROR(__xludf.DUMMYFUNCTION("""COMPUTED_VALUE"""),5339.0)</f>
        <v>5339</v>
      </c>
      <c r="G21336" s="4">
        <f>IFERROR(__xludf.DUMMYFUNCTION("""COMPUTED_VALUE"""),54.0)</f>
        <v>54</v>
      </c>
      <c r="H21336" s="4"/>
      <c r="I21336" s="4"/>
    </row>
    <row r="21337">
      <c r="A21337" s="4" t="str">
        <f>IFERROR(__xludf.DUMMYFUNCTION("""COMPUTED_VALUE"""),"cas_hmw")</f>
        <v>cas_hmw</v>
      </c>
      <c r="B21337" s="5">
        <f>IFERROR(__xludf.DUMMYFUNCTION("""COMPUTED_VALUE"""),44785.0)</f>
        <v>44785</v>
      </c>
      <c r="C21337" s="6">
        <f>IFERROR(__xludf.DUMMYFUNCTION("""COMPUTED_VALUE"""),0.33432870370234014)</f>
        <v>0.3343287037</v>
      </c>
      <c r="D21337" s="4">
        <f>IFERROR(__xludf.DUMMYFUNCTION("""COMPUTED_VALUE"""),12.98105)</f>
        <v>12.98105</v>
      </c>
      <c r="E21337" s="4">
        <f>IFERROR(__xludf.DUMMYFUNCTION("""COMPUTED_VALUE"""),80.1661)</f>
        <v>80.1661</v>
      </c>
      <c r="F21337" s="4">
        <f>IFERROR(__xludf.DUMMYFUNCTION("""COMPUTED_VALUE"""),5339.0)</f>
        <v>5339</v>
      </c>
      <c r="G21337" s="4">
        <f>IFERROR(__xludf.DUMMYFUNCTION("""COMPUTED_VALUE"""),51.0)</f>
        <v>51</v>
      </c>
      <c r="H21337" s="4"/>
      <c r="I21337" s="4"/>
    </row>
    <row r="21338">
      <c r="A21338" s="4" t="str">
        <f>IFERROR(__xludf.DUMMYFUNCTION("""COMPUTED_VALUE"""),"cas_hmw")</f>
        <v>cas_hmw</v>
      </c>
      <c r="B21338" s="5">
        <f>IFERROR(__xludf.DUMMYFUNCTION("""COMPUTED_VALUE"""),44785.0)</f>
        <v>44785</v>
      </c>
      <c r="C21338" s="6">
        <f>IFERROR(__xludf.DUMMYFUNCTION("""COMPUTED_VALUE"""),0.3346412037026312)</f>
        <v>0.3346412037</v>
      </c>
      <c r="D21338" s="4">
        <f>IFERROR(__xludf.DUMMYFUNCTION("""COMPUTED_VALUE"""),12.992415)</f>
        <v>12.992415</v>
      </c>
      <c r="E21338" s="4">
        <f>IFERROR(__xludf.DUMMYFUNCTION("""COMPUTED_VALUE"""),80.182793)</f>
        <v>80.182793</v>
      </c>
      <c r="F21338" s="4">
        <f>IFERROR(__xludf.DUMMYFUNCTION("""COMPUTED_VALUE"""),805.0)</f>
        <v>805</v>
      </c>
      <c r="G21338" s="4">
        <f>IFERROR(__xludf.DUMMYFUNCTION("""COMPUTED_VALUE"""),52.0)</f>
        <v>52</v>
      </c>
      <c r="H21338" s="4"/>
      <c r="I21338" s="4"/>
    </row>
    <row r="21339">
      <c r="A21339" s="4" t="str">
        <f>IFERROR(__xludf.DUMMYFUNCTION("""COMPUTED_VALUE"""),"cas_hmw")</f>
        <v>cas_hmw</v>
      </c>
      <c r="B21339" s="5">
        <f>IFERROR(__xludf.DUMMYFUNCTION("""COMPUTED_VALUE"""),44785.0)</f>
        <v>44785</v>
      </c>
      <c r="C21339" s="6">
        <f>IFERROR(__xludf.DUMMYFUNCTION("""COMPUTED_VALUE"""),0.3347337962950405)</f>
        <v>0.3347337963</v>
      </c>
      <c r="D21339" s="4">
        <f>IFERROR(__xludf.DUMMYFUNCTION("""COMPUTED_VALUE"""),12.764223)</f>
        <v>12.764223</v>
      </c>
      <c r="E21339" s="4">
        <f>IFERROR(__xludf.DUMMYFUNCTION("""COMPUTED_VALUE"""),80.004483)</f>
        <v>80.004483</v>
      </c>
      <c r="F21339" s="4">
        <f>IFERROR(__xludf.DUMMYFUNCTION("""COMPUTED_VALUE"""),2846.0)</f>
        <v>2846</v>
      </c>
      <c r="G21339" s="4">
        <f>IFERROR(__xludf.DUMMYFUNCTION("""COMPUTED_VALUE"""),52.0)</f>
        <v>52</v>
      </c>
      <c r="H21339" s="4"/>
      <c r="I21339" s="4"/>
    </row>
    <row r="21340">
      <c r="A21340" s="4" t="str">
        <f>IFERROR(__xludf.DUMMYFUNCTION("""COMPUTED_VALUE"""),"cas_hmw")</f>
        <v>cas_hmw</v>
      </c>
      <c r="B21340" s="5">
        <f>IFERROR(__xludf.DUMMYFUNCTION("""COMPUTED_VALUE"""),44785.0)</f>
        <v>44785</v>
      </c>
      <c r="C21340" s="6">
        <f>IFERROR(__xludf.DUMMYFUNCTION("""COMPUTED_VALUE"""),0.33490740740671754)</f>
        <v>0.3349074074</v>
      </c>
      <c r="D21340" s="4">
        <f>IFERROR(__xludf.DUMMYFUNCTION("""COMPUTED_VALUE"""),12.990906)</f>
        <v>12.990906</v>
      </c>
      <c r="E21340" s="4">
        <f>IFERROR(__xludf.DUMMYFUNCTION("""COMPUTED_VALUE"""),80.180781)</f>
        <v>80.180781</v>
      </c>
      <c r="F21340" s="4">
        <f>IFERROR(__xludf.DUMMYFUNCTION("""COMPUTED_VALUE"""),805.0)</f>
        <v>805</v>
      </c>
      <c r="G21340" s="4">
        <f>IFERROR(__xludf.DUMMYFUNCTION("""COMPUTED_VALUE"""),49.0)</f>
        <v>49</v>
      </c>
      <c r="H21340" s="4"/>
      <c r="I21340" s="4"/>
    </row>
    <row r="21341">
      <c r="A21341" s="4" t="str">
        <f>IFERROR(__xludf.DUMMYFUNCTION("""COMPUTED_VALUE"""),"cas_hmw")</f>
        <v>cas_hmw</v>
      </c>
      <c r="B21341" s="5">
        <f>IFERROR(__xludf.DUMMYFUNCTION("""COMPUTED_VALUE"""),44785.0)</f>
        <v>44785</v>
      </c>
      <c r="C21341" s="6">
        <f>IFERROR(__xludf.DUMMYFUNCTION("""COMPUTED_VALUE"""),0.3349652777760639)</f>
        <v>0.3349652778</v>
      </c>
      <c r="D21341" s="4">
        <f>IFERROR(__xludf.DUMMYFUNCTION("""COMPUTED_VALUE"""),12.97979)</f>
        <v>12.97979</v>
      </c>
      <c r="E21341" s="4">
        <f>IFERROR(__xludf.DUMMYFUNCTION("""COMPUTED_VALUE"""),80.162755)</f>
        <v>80.162755</v>
      </c>
      <c r="F21341" s="4">
        <f>IFERROR(__xludf.DUMMYFUNCTION("""COMPUTED_VALUE"""),5339.0)</f>
        <v>5339</v>
      </c>
      <c r="G21341" s="4">
        <f>IFERROR(__xludf.DUMMYFUNCTION("""COMPUTED_VALUE"""),30.0)</f>
        <v>30</v>
      </c>
      <c r="H21341" s="4"/>
      <c r="I21341" s="4"/>
    </row>
    <row r="21342">
      <c r="A21342" s="4" t="str">
        <f>IFERROR(__xludf.DUMMYFUNCTION("""COMPUTED_VALUE"""),"cas_hmw")</f>
        <v>cas_hmw</v>
      </c>
      <c r="B21342" s="5">
        <f>IFERROR(__xludf.DUMMYFUNCTION("""COMPUTED_VALUE"""),44785.0)</f>
        <v>44785</v>
      </c>
      <c r="C21342" s="6">
        <f>IFERROR(__xludf.DUMMYFUNCTION("""COMPUTED_VALUE"""),0.3350231481490482)</f>
        <v>0.3350231481</v>
      </c>
      <c r="D21342" s="4">
        <f>IFERROR(__xludf.DUMMYFUNCTION("""COMPUTED_VALUE"""),12.979204)</f>
        <v>12.979204</v>
      </c>
      <c r="E21342" s="4">
        <f>IFERROR(__xludf.DUMMYFUNCTION("""COMPUTED_VALUE"""),80.161834)</f>
        <v>80.161834</v>
      </c>
      <c r="F21342" s="4">
        <f>IFERROR(__xludf.DUMMYFUNCTION("""COMPUTED_VALUE"""),5339.0)</f>
        <v>5339</v>
      </c>
      <c r="G21342" s="4">
        <f>IFERROR(__xludf.DUMMYFUNCTION("""COMPUTED_VALUE"""),48.0)</f>
        <v>48</v>
      </c>
      <c r="H21342" s="4"/>
      <c r="I21342" s="4"/>
    </row>
    <row r="21343">
      <c r="A21343" s="4" t="str">
        <f>IFERROR(__xludf.DUMMYFUNCTION("""COMPUTED_VALUE"""),"cas_hmw")</f>
        <v>cas_hmw</v>
      </c>
      <c r="B21343" s="5">
        <f>IFERROR(__xludf.DUMMYFUNCTION("""COMPUTED_VALUE"""),44785.0)</f>
        <v>44785</v>
      </c>
      <c r="C21343" s="6">
        <f>IFERROR(__xludf.DUMMYFUNCTION("""COMPUTED_VALUE"""),0.33512731481459923)</f>
        <v>0.3351273148</v>
      </c>
      <c r="D21343" s="4">
        <f>IFERROR(__xludf.DUMMYFUNCTION("""COMPUTED_VALUE"""),12.97839)</f>
        <v>12.97839</v>
      </c>
      <c r="E21343" s="4">
        <f>IFERROR(__xludf.DUMMYFUNCTION("""COMPUTED_VALUE"""),80.160726)</f>
        <v>80.160726</v>
      </c>
      <c r="F21343" s="4">
        <f>IFERROR(__xludf.DUMMYFUNCTION("""COMPUTED_VALUE"""),5339.0)</f>
        <v>5339</v>
      </c>
      <c r="G21343" s="4">
        <f>IFERROR(__xludf.DUMMYFUNCTION("""COMPUTED_VALUE"""),55.0)</f>
        <v>55</v>
      </c>
      <c r="H21343" s="4"/>
      <c r="I21343" s="4"/>
    </row>
    <row r="21344">
      <c r="A21344" s="4" t="str">
        <f>IFERROR(__xludf.DUMMYFUNCTION("""COMPUTED_VALUE"""),"cas_hmw")</f>
        <v>cas_hmw</v>
      </c>
      <c r="B21344" s="5">
        <f>IFERROR(__xludf.DUMMYFUNCTION("""COMPUTED_VALUE"""),44785.0)</f>
        <v>44785</v>
      </c>
      <c r="C21344" s="6">
        <f>IFERROR(__xludf.DUMMYFUNCTION("""COMPUTED_VALUE"""),0.33562499999970896)</f>
        <v>0.335625</v>
      </c>
      <c r="D21344" s="4">
        <f>IFERROR(__xludf.DUMMYFUNCTION("""COMPUTED_VALUE"""),12.97511)</f>
        <v>12.97511</v>
      </c>
      <c r="E21344" s="4">
        <f>IFERROR(__xludf.DUMMYFUNCTION("""COMPUTED_VALUE"""),80.155758)</f>
        <v>80.155758</v>
      </c>
      <c r="F21344" s="4">
        <f>IFERROR(__xludf.DUMMYFUNCTION("""COMPUTED_VALUE"""),5339.0)</f>
        <v>5339</v>
      </c>
      <c r="G21344" s="4">
        <f>IFERROR(__xludf.DUMMYFUNCTION("""COMPUTED_VALUE"""),48.0)</f>
        <v>48</v>
      </c>
      <c r="H21344" s="4"/>
      <c r="I21344" s="4"/>
    </row>
    <row r="21345">
      <c r="A21345" s="4" t="str">
        <f>IFERROR(__xludf.DUMMYFUNCTION("""COMPUTED_VALUE"""),"cas_hmw")</f>
        <v>cas_hmw</v>
      </c>
      <c r="B21345" s="5">
        <f>IFERROR(__xludf.DUMMYFUNCTION("""COMPUTED_VALUE"""),44785.0)</f>
        <v>44785</v>
      </c>
      <c r="C21345" s="6">
        <f>IFERROR(__xludf.DUMMYFUNCTION("""COMPUTED_VALUE"""),0.335763888888323)</f>
        <v>0.3357638889</v>
      </c>
      <c r="D21345" s="4">
        <f>IFERROR(__xludf.DUMMYFUNCTION("""COMPUTED_VALUE"""),12.988709)</f>
        <v>12.988709</v>
      </c>
      <c r="E21345" s="4">
        <f>IFERROR(__xludf.DUMMYFUNCTION("""COMPUTED_VALUE"""),80.178051)</f>
        <v>80.178051</v>
      </c>
      <c r="F21345" s="4">
        <f>IFERROR(__xludf.DUMMYFUNCTION("""COMPUTED_VALUE"""),805.0)</f>
        <v>805</v>
      </c>
      <c r="G21345" s="4">
        <f>IFERROR(__xludf.DUMMYFUNCTION("""COMPUTED_VALUE"""),32.0)</f>
        <v>32</v>
      </c>
      <c r="H21345" s="4"/>
      <c r="I21345" s="4"/>
    </row>
    <row r="21346">
      <c r="A21346" s="4" t="str">
        <f>IFERROR(__xludf.DUMMYFUNCTION("""COMPUTED_VALUE"""),"cas_hmw")</f>
        <v>cas_hmw</v>
      </c>
      <c r="B21346" s="5">
        <f>IFERROR(__xludf.DUMMYFUNCTION("""COMPUTED_VALUE"""),44785.0)</f>
        <v>44785</v>
      </c>
      <c r="C21346" s="6">
        <f>IFERROR(__xludf.DUMMYFUNCTION("""COMPUTED_VALUE"""),0.3359375)</f>
        <v>0.3359375</v>
      </c>
      <c r="D21346" s="4">
        <f>IFERROR(__xludf.DUMMYFUNCTION("""COMPUTED_VALUE"""),12.97351)</f>
        <v>12.97351</v>
      </c>
      <c r="E21346" s="4">
        <f>IFERROR(__xludf.DUMMYFUNCTION("""COMPUTED_VALUE"""),80.153414)</f>
        <v>80.153414</v>
      </c>
      <c r="F21346" s="4">
        <f>IFERROR(__xludf.DUMMYFUNCTION("""COMPUTED_VALUE"""),5339.0)</f>
        <v>5339</v>
      </c>
      <c r="G21346" s="4">
        <f>IFERROR(__xludf.DUMMYFUNCTION("""COMPUTED_VALUE"""),37.0)</f>
        <v>37</v>
      </c>
      <c r="H21346" s="4"/>
      <c r="I21346" s="4"/>
    </row>
    <row r="21347">
      <c r="A21347" s="4" t="str">
        <f>IFERROR(__xludf.DUMMYFUNCTION("""COMPUTED_VALUE"""),"cas_hmw")</f>
        <v>cas_hmw</v>
      </c>
      <c r="B21347" s="5">
        <f>IFERROR(__xludf.DUMMYFUNCTION("""COMPUTED_VALUE"""),44785.0)</f>
        <v>44785</v>
      </c>
      <c r="C21347" s="6">
        <f>IFERROR(__xludf.DUMMYFUNCTION("""COMPUTED_VALUE"""),0.33606481481547235)</f>
        <v>0.3360648148</v>
      </c>
      <c r="D21347" s="4">
        <f>IFERROR(__xludf.DUMMYFUNCTION("""COMPUTED_VALUE"""),12.987643)</f>
        <v>12.987643</v>
      </c>
      <c r="E21347" s="4">
        <f>IFERROR(__xludf.DUMMYFUNCTION("""COMPUTED_VALUE"""),80.176536)</f>
        <v>80.176536</v>
      </c>
      <c r="F21347" s="4">
        <f>IFERROR(__xludf.DUMMYFUNCTION("""COMPUTED_VALUE"""),805.0)</f>
        <v>805</v>
      </c>
      <c r="G21347" s="4">
        <f>IFERROR(__xludf.DUMMYFUNCTION("""COMPUTED_VALUE"""),34.0)</f>
        <v>34</v>
      </c>
      <c r="H21347" s="4"/>
      <c r="I21347" s="4"/>
    </row>
    <row r="21348">
      <c r="A21348" s="4" t="str">
        <f>IFERROR(__xludf.DUMMYFUNCTION("""COMPUTED_VALUE"""),"cas_hmw")</f>
        <v>cas_hmw</v>
      </c>
      <c r="B21348" s="5">
        <f>IFERROR(__xludf.DUMMYFUNCTION("""COMPUTED_VALUE"""),44785.0)</f>
        <v>44785</v>
      </c>
      <c r="C21348" s="6">
        <f>IFERROR(__xludf.DUMMYFUNCTION("""COMPUTED_VALUE"""),0.33618055555416504)</f>
        <v>0.3361805556</v>
      </c>
      <c r="D21348" s="4">
        <f>IFERROR(__xludf.DUMMYFUNCTION("""COMPUTED_VALUE"""),12.987094)</f>
        <v>12.987094</v>
      </c>
      <c r="E21348" s="4">
        <f>IFERROR(__xludf.DUMMYFUNCTION("""COMPUTED_VALUE"""),80.175722)</f>
        <v>80.175722</v>
      </c>
      <c r="F21348" s="4">
        <f>IFERROR(__xludf.DUMMYFUNCTION("""COMPUTED_VALUE"""),805.0)</f>
        <v>805</v>
      </c>
      <c r="G21348" s="4">
        <f>IFERROR(__xludf.DUMMYFUNCTION("""COMPUTED_VALUE"""),44.0)</f>
        <v>44</v>
      </c>
      <c r="H21348" s="4"/>
      <c r="I21348" s="4"/>
    </row>
    <row r="21349">
      <c r="A21349" s="4" t="str">
        <f>IFERROR(__xludf.DUMMYFUNCTION("""COMPUTED_VALUE"""),"cas_hmw")</f>
        <v>cas_hmw</v>
      </c>
      <c r="B21349" s="5">
        <f>IFERROR(__xludf.DUMMYFUNCTION("""COMPUTED_VALUE"""),44785.0)</f>
        <v>44785</v>
      </c>
      <c r="C21349" s="6">
        <f>IFERROR(__xludf.DUMMYFUNCTION("""COMPUTED_VALUE"""),0.3364814814813144)</f>
        <v>0.3364814815</v>
      </c>
      <c r="D21349" s="4">
        <f>IFERROR(__xludf.DUMMYFUNCTION("""COMPUTED_VALUE"""),12.970296)</f>
        <v>12.970296</v>
      </c>
      <c r="E21349" s="4">
        <f>IFERROR(__xludf.DUMMYFUNCTION("""COMPUTED_VALUE"""),80.150499)</f>
        <v>80.150499</v>
      </c>
      <c r="F21349" s="4">
        <f>IFERROR(__xludf.DUMMYFUNCTION("""COMPUTED_VALUE"""),5339.0)</f>
        <v>5339</v>
      </c>
      <c r="G21349" s="4">
        <f>IFERROR(__xludf.DUMMYFUNCTION("""COMPUTED_VALUE"""),42.0)</f>
        <v>42</v>
      </c>
      <c r="H21349" s="4"/>
      <c r="I21349" s="4"/>
    </row>
    <row r="21350">
      <c r="A21350" s="4" t="str">
        <f>IFERROR(__xludf.DUMMYFUNCTION("""COMPUTED_VALUE"""),"cas_hmw")</f>
        <v>cas_hmw</v>
      </c>
      <c r="B21350" s="5">
        <f>IFERROR(__xludf.DUMMYFUNCTION("""COMPUTED_VALUE"""),44785.0)</f>
        <v>44785</v>
      </c>
      <c r="C21350" s="6">
        <f>IFERROR(__xludf.DUMMYFUNCTION("""COMPUTED_VALUE"""),0.33653935185066075)</f>
        <v>0.3365393519</v>
      </c>
      <c r="D21350" s="4">
        <f>IFERROR(__xludf.DUMMYFUNCTION("""COMPUTED_VALUE"""),12.969302)</f>
        <v>12.969302</v>
      </c>
      <c r="E21350" s="4">
        <f>IFERROR(__xludf.DUMMYFUNCTION("""COMPUTED_VALUE"""),80.150067)</f>
        <v>80.150067</v>
      </c>
      <c r="F21350" s="4">
        <f>IFERROR(__xludf.DUMMYFUNCTION("""COMPUTED_VALUE"""),5339.0)</f>
        <v>5339</v>
      </c>
      <c r="G21350" s="4">
        <f>IFERROR(__xludf.DUMMYFUNCTION("""COMPUTED_VALUE"""),40.0)</f>
        <v>40</v>
      </c>
      <c r="H21350" s="4"/>
      <c r="I21350" s="4"/>
    </row>
    <row r="21351">
      <c r="A21351" s="4" t="str">
        <f>IFERROR(__xludf.DUMMYFUNCTION("""COMPUTED_VALUE"""),"cas_hmw")</f>
        <v>cas_hmw</v>
      </c>
      <c r="B21351" s="5">
        <f>IFERROR(__xludf.DUMMYFUNCTION("""COMPUTED_VALUE"""),44785.0)</f>
        <v>44785</v>
      </c>
      <c r="C21351" s="6">
        <f>IFERROR(__xludf.DUMMYFUNCTION("""COMPUTED_VALUE"""),0.33689814814715646)</f>
        <v>0.3368981481</v>
      </c>
      <c r="D21351" s="4">
        <f>IFERROR(__xludf.DUMMYFUNCTION("""COMPUTED_VALUE"""),12.96703)</f>
        <v>12.96703</v>
      </c>
      <c r="E21351" s="4">
        <f>IFERROR(__xludf.DUMMYFUNCTION("""COMPUTED_VALUE"""),80.149042)</f>
        <v>80.149042</v>
      </c>
      <c r="F21351" s="4">
        <f>IFERROR(__xludf.DUMMYFUNCTION("""COMPUTED_VALUE"""),5339.0)</f>
        <v>5339</v>
      </c>
      <c r="G21351" s="4">
        <f>IFERROR(__xludf.DUMMYFUNCTION("""COMPUTED_VALUE"""),38.0)</f>
        <v>38</v>
      </c>
      <c r="H21351" s="4"/>
      <c r="I21351" s="4"/>
    </row>
    <row r="21352">
      <c r="A21352" s="4" t="str">
        <f>IFERROR(__xludf.DUMMYFUNCTION("""COMPUTED_VALUE"""),"cas_hmw")</f>
        <v>cas_hmw</v>
      </c>
      <c r="B21352" s="5">
        <f>IFERROR(__xludf.DUMMYFUNCTION("""COMPUTED_VALUE"""),44785.0)</f>
        <v>44785</v>
      </c>
      <c r="C21352" s="6">
        <f>IFERROR(__xludf.DUMMYFUNCTION("""COMPUTED_VALUE"""),0.3370717592588335)</f>
        <v>0.3370717593</v>
      </c>
      <c r="D21352" s="4">
        <f>IFERROR(__xludf.DUMMYFUNCTION("""COMPUTED_VALUE"""),12.966111)</f>
        <v>12.966111</v>
      </c>
      <c r="E21352" s="4">
        <f>IFERROR(__xludf.DUMMYFUNCTION("""COMPUTED_VALUE"""),80.148594)</f>
        <v>80.148594</v>
      </c>
      <c r="F21352" s="4">
        <f>IFERROR(__xludf.DUMMYFUNCTION("""COMPUTED_VALUE"""),5339.0)</f>
        <v>5339</v>
      </c>
      <c r="G21352" s="4">
        <f>IFERROR(__xludf.DUMMYFUNCTION("""COMPUTED_VALUE"""),38.0)</f>
        <v>38</v>
      </c>
      <c r="H21352" s="4"/>
      <c r="I21352" s="4"/>
    </row>
    <row r="21353">
      <c r="A21353" s="4" t="str">
        <f>IFERROR(__xludf.DUMMYFUNCTION("""COMPUTED_VALUE"""),"cas_hmw")</f>
        <v>cas_hmw</v>
      </c>
      <c r="B21353" s="5">
        <f>IFERROR(__xludf.DUMMYFUNCTION("""COMPUTED_VALUE"""),44785.0)</f>
        <v>44785</v>
      </c>
      <c r="C21353" s="6">
        <f>IFERROR(__xludf.DUMMYFUNCTION("""COMPUTED_VALUE"""),0.33737268518598285)</f>
        <v>0.3373726852</v>
      </c>
      <c r="D21353" s="4">
        <f>IFERROR(__xludf.DUMMYFUNCTION("""COMPUTED_VALUE"""),12.963176)</f>
        <v>12.963176</v>
      </c>
      <c r="E21353" s="4">
        <f>IFERROR(__xludf.DUMMYFUNCTION("""COMPUTED_VALUE"""),80.146996)</f>
        <v>80.146996</v>
      </c>
      <c r="F21353" s="4">
        <f>IFERROR(__xludf.DUMMYFUNCTION("""COMPUTED_VALUE"""),5339.0)</f>
        <v>5339</v>
      </c>
      <c r="G21353" s="4">
        <f>IFERROR(__xludf.DUMMYFUNCTION("""COMPUTED_VALUE"""),54.0)</f>
        <v>54</v>
      </c>
      <c r="H21353" s="4"/>
      <c r="I21353" s="4"/>
    </row>
    <row r="21354">
      <c r="A21354" s="4" t="str">
        <f>IFERROR(__xludf.DUMMYFUNCTION("""COMPUTED_VALUE"""),"cas_hmw")</f>
        <v>cas_hmw</v>
      </c>
      <c r="B21354" s="5">
        <f>IFERROR(__xludf.DUMMYFUNCTION("""COMPUTED_VALUE"""),44785.0)</f>
        <v>44785</v>
      </c>
      <c r="C21354" s="6">
        <f>IFERROR(__xludf.DUMMYFUNCTION("""COMPUTED_VALUE"""),0.33751157407459687)</f>
        <v>0.3375115741</v>
      </c>
      <c r="D21354" s="4">
        <f>IFERROR(__xludf.DUMMYFUNCTION("""COMPUTED_VALUE"""),12.961965)</f>
        <v>12.961965</v>
      </c>
      <c r="E21354" s="4">
        <f>IFERROR(__xludf.DUMMYFUNCTION("""COMPUTED_VALUE"""),80.146311)</f>
        <v>80.146311</v>
      </c>
      <c r="F21354" s="4">
        <f>IFERROR(__xludf.DUMMYFUNCTION("""COMPUTED_VALUE"""),5339.0)</f>
        <v>5339</v>
      </c>
      <c r="G21354" s="4">
        <f>IFERROR(__xludf.DUMMYFUNCTION("""COMPUTED_VALUE"""),54.0)</f>
        <v>54</v>
      </c>
      <c r="H21354" s="4"/>
      <c r="I21354" s="4"/>
    </row>
    <row r="21355">
      <c r="A21355" s="4" t="str">
        <f>IFERROR(__xludf.DUMMYFUNCTION("""COMPUTED_VALUE"""),"cas_hmw")</f>
        <v>cas_hmw</v>
      </c>
      <c r="B21355" s="5">
        <f>IFERROR(__xludf.DUMMYFUNCTION("""COMPUTED_VALUE"""),44785.0)</f>
        <v>44785</v>
      </c>
      <c r="C21355" s="6">
        <f>IFERROR(__xludf.DUMMYFUNCTION("""COMPUTED_VALUE"""),0.3381134259252576)</f>
        <v>0.3381134259</v>
      </c>
      <c r="D21355" s="4">
        <f>IFERROR(__xludf.DUMMYFUNCTION("""COMPUTED_VALUE"""),12.957176)</f>
        <v>12.957176</v>
      </c>
      <c r="E21355" s="4">
        <f>IFERROR(__xludf.DUMMYFUNCTION("""COMPUTED_VALUE"""),80.143744)</f>
        <v>80.143744</v>
      </c>
      <c r="F21355" s="4">
        <f>IFERROR(__xludf.DUMMYFUNCTION("""COMPUTED_VALUE"""),5339.0)</f>
        <v>5339</v>
      </c>
      <c r="G21355" s="4">
        <f>IFERROR(__xludf.DUMMYFUNCTION("""COMPUTED_VALUE"""),45.0)</f>
        <v>45</v>
      </c>
      <c r="H21355" s="4"/>
      <c r="I21355" s="4"/>
    </row>
    <row r="21356">
      <c r="A21356" s="4" t="str">
        <f>IFERROR(__xludf.DUMMYFUNCTION("""COMPUTED_VALUE"""),"cas_hmw")</f>
        <v>cas_hmw</v>
      </c>
      <c r="B21356" s="5">
        <f>IFERROR(__xludf.DUMMYFUNCTION("""COMPUTED_VALUE"""),44785.0)</f>
        <v>44785</v>
      </c>
      <c r="C21356" s="6">
        <f>IFERROR(__xludf.DUMMYFUNCTION("""COMPUTED_VALUE"""),0.33861111111036735)</f>
        <v>0.3386111111</v>
      </c>
      <c r="D21356" s="4">
        <f>IFERROR(__xludf.DUMMYFUNCTION("""COMPUTED_VALUE"""),12.976217)</f>
        <v>12.976217</v>
      </c>
      <c r="E21356" s="4">
        <f>IFERROR(__xludf.DUMMYFUNCTION("""COMPUTED_VALUE"""),80.157393)</f>
        <v>80.157393</v>
      </c>
      <c r="F21356" s="4">
        <f>IFERROR(__xludf.DUMMYFUNCTION("""COMPUTED_VALUE"""),805.0)</f>
        <v>805</v>
      </c>
      <c r="G21356" s="4">
        <f>IFERROR(__xludf.DUMMYFUNCTION("""COMPUTED_VALUE"""),57.0)</f>
        <v>57</v>
      </c>
      <c r="H21356" s="4"/>
      <c r="I21356" s="4"/>
    </row>
    <row r="21357">
      <c r="A21357" s="4" t="str">
        <f>IFERROR(__xludf.DUMMYFUNCTION("""COMPUTED_VALUE"""),"cas_hmw")</f>
        <v>cas_hmw</v>
      </c>
      <c r="B21357" s="5">
        <f>IFERROR(__xludf.DUMMYFUNCTION("""COMPUTED_VALUE"""),44785.0)</f>
        <v>44785</v>
      </c>
      <c r="C21357" s="6">
        <f>IFERROR(__xludf.DUMMYFUNCTION("""COMPUTED_VALUE"""),0.3389467592605797)</f>
        <v>0.3389467593</v>
      </c>
      <c r="D21357" s="4">
        <f>IFERROR(__xludf.DUMMYFUNCTION("""COMPUTED_VALUE"""),12.952459)</f>
        <v>12.952459</v>
      </c>
      <c r="E21357" s="4">
        <f>IFERROR(__xludf.DUMMYFUNCTION("""COMPUTED_VALUE"""),80.141142)</f>
        <v>80.141142</v>
      </c>
      <c r="F21357" s="4">
        <f>IFERROR(__xludf.DUMMYFUNCTION("""COMPUTED_VALUE"""),5339.0)</f>
        <v>5339</v>
      </c>
      <c r="G21357" s="4">
        <f>IFERROR(__xludf.DUMMYFUNCTION("""COMPUTED_VALUE"""),21.0)</f>
        <v>21</v>
      </c>
      <c r="H21357" s="4"/>
      <c r="I21357" s="4"/>
    </row>
    <row r="21358">
      <c r="A21358" s="4" t="str">
        <f>IFERROR(__xludf.DUMMYFUNCTION("""COMPUTED_VALUE"""),"cas_hmw")</f>
        <v>cas_hmw</v>
      </c>
      <c r="B21358" s="5">
        <f>IFERROR(__xludf.DUMMYFUNCTION("""COMPUTED_VALUE"""),44785.0)</f>
        <v>44785</v>
      </c>
      <c r="C21358" s="6">
        <f>IFERROR(__xludf.DUMMYFUNCTION("""COMPUTED_VALUE"""),0.3393055555570754)</f>
        <v>0.3393055556</v>
      </c>
      <c r="D21358" s="4">
        <f>IFERROR(__xludf.DUMMYFUNCTION("""COMPUTED_VALUE"""),12.949772)</f>
        <v>12.949772</v>
      </c>
      <c r="E21358" s="4">
        <f>IFERROR(__xludf.DUMMYFUNCTION("""COMPUTED_VALUE"""),80.139076)</f>
        <v>80.139076</v>
      </c>
      <c r="F21358" s="4">
        <f>IFERROR(__xludf.DUMMYFUNCTION("""COMPUTED_VALUE"""),5339.0)</f>
        <v>5339</v>
      </c>
      <c r="G21358" s="4">
        <f>IFERROR(__xludf.DUMMYFUNCTION("""COMPUTED_VALUE"""),36.0)</f>
        <v>36</v>
      </c>
      <c r="H21358" s="4"/>
      <c r="I21358" s="4"/>
    </row>
    <row r="21359">
      <c r="A21359" s="4" t="str">
        <f>IFERROR(__xludf.DUMMYFUNCTION("""COMPUTED_VALUE"""),"cas_hmw")</f>
        <v>cas_hmw</v>
      </c>
      <c r="B21359" s="5">
        <f>IFERROR(__xludf.DUMMYFUNCTION("""COMPUTED_VALUE"""),44785.0)</f>
        <v>44785</v>
      </c>
      <c r="C21359" s="6">
        <f>IFERROR(__xludf.DUMMYFUNCTION("""COMPUTED_VALUE"""),0.33952546296131914)</f>
        <v>0.339525463</v>
      </c>
      <c r="D21359" s="4">
        <f>IFERROR(__xludf.DUMMYFUNCTION("""COMPUTED_VALUE"""),12.813693)</f>
        <v>12.813693</v>
      </c>
      <c r="E21359" s="4">
        <f>IFERROR(__xludf.DUMMYFUNCTION("""COMPUTED_VALUE"""),80.032216)</f>
        <v>80.032216</v>
      </c>
      <c r="F21359" s="4">
        <f>IFERROR(__xludf.DUMMYFUNCTION("""COMPUTED_VALUE"""),2846.0)</f>
        <v>2846</v>
      </c>
      <c r="G21359" s="4">
        <f>IFERROR(__xludf.DUMMYFUNCTION("""COMPUTED_VALUE"""),58.0)</f>
        <v>58</v>
      </c>
      <c r="H21359" s="4"/>
      <c r="I21359" s="4"/>
    </row>
    <row r="21360">
      <c r="A21360" s="4" t="str">
        <f>IFERROR(__xludf.DUMMYFUNCTION("""COMPUTED_VALUE"""),"cas_hmw")</f>
        <v>cas_hmw</v>
      </c>
      <c r="B21360" s="5">
        <f>IFERROR(__xludf.DUMMYFUNCTION("""COMPUTED_VALUE"""),44785.0)</f>
        <v>44785</v>
      </c>
      <c r="C21360" s="6">
        <f>IFERROR(__xludf.DUMMYFUNCTION("""COMPUTED_VALUE"""),0.33954861111124046)</f>
        <v>0.3395486111</v>
      </c>
      <c r="D21360" s="4">
        <f>IFERROR(__xludf.DUMMYFUNCTION("""COMPUTED_VALUE"""),12.818508)</f>
        <v>12.818508</v>
      </c>
      <c r="E21360" s="4">
        <f>IFERROR(__xludf.DUMMYFUNCTION("""COMPUTED_VALUE"""),80.035582)</f>
        <v>80.035582</v>
      </c>
      <c r="F21360" s="4">
        <f>IFERROR(__xludf.DUMMYFUNCTION("""COMPUTED_VALUE"""),2846.0)</f>
        <v>2846</v>
      </c>
      <c r="G21360" s="4">
        <f>IFERROR(__xludf.DUMMYFUNCTION("""COMPUTED_VALUE"""),56.0)</f>
        <v>56</v>
      </c>
      <c r="H21360" s="4"/>
      <c r="I21360" s="4"/>
    </row>
    <row r="21361">
      <c r="A21361" s="4" t="str">
        <f>IFERROR(__xludf.DUMMYFUNCTION("""COMPUTED_VALUE"""),"cas_hmw")</f>
        <v>cas_hmw</v>
      </c>
      <c r="B21361" s="5">
        <f>IFERROR(__xludf.DUMMYFUNCTION("""COMPUTED_VALUE"""),44785.0)</f>
        <v>44785</v>
      </c>
      <c r="C21361" s="6">
        <f>IFERROR(__xludf.DUMMYFUNCTION("""COMPUTED_VALUE"""),0.3396759259267128)</f>
        <v>0.3396759259</v>
      </c>
      <c r="D21361" s="4">
        <f>IFERROR(__xludf.DUMMYFUNCTION("""COMPUTED_VALUE"""),12.81967)</f>
        <v>12.81967</v>
      </c>
      <c r="E21361" s="4">
        <f>IFERROR(__xludf.DUMMYFUNCTION("""COMPUTED_VALUE"""),80.036399)</f>
        <v>80.036399</v>
      </c>
      <c r="F21361" s="4">
        <f>IFERROR(__xludf.DUMMYFUNCTION("""COMPUTED_VALUE"""),2846.0)</f>
        <v>2846</v>
      </c>
      <c r="G21361" s="4">
        <f>IFERROR(__xludf.DUMMYFUNCTION("""COMPUTED_VALUE"""),57.0)</f>
        <v>57</v>
      </c>
      <c r="H21361" s="4"/>
      <c r="I21361" s="4"/>
    </row>
    <row r="21362">
      <c r="A21362" s="4" t="str">
        <f>IFERROR(__xludf.DUMMYFUNCTION("""COMPUTED_VALUE"""),"cas_hmw")</f>
        <v>cas_hmw</v>
      </c>
      <c r="B21362" s="5">
        <f>IFERROR(__xludf.DUMMYFUNCTION("""COMPUTED_VALUE"""),44785.0)</f>
        <v>44785</v>
      </c>
      <c r="C21362" s="6">
        <f>IFERROR(__xludf.DUMMYFUNCTION("""COMPUTED_VALUE"""),0.33976851851912215)</f>
        <v>0.3397685185</v>
      </c>
      <c r="D21362" s="4">
        <f>IFERROR(__xludf.DUMMYFUNCTION("""COMPUTED_VALUE"""),12.820779)</f>
        <v>12.820779</v>
      </c>
      <c r="E21362" s="4">
        <f>IFERROR(__xludf.DUMMYFUNCTION("""COMPUTED_VALUE"""),80.037167)</f>
        <v>80.037167</v>
      </c>
      <c r="F21362" s="4">
        <f>IFERROR(__xludf.DUMMYFUNCTION("""COMPUTED_VALUE"""),2846.0)</f>
        <v>2846</v>
      </c>
      <c r="G21362" s="4">
        <f>IFERROR(__xludf.DUMMYFUNCTION("""COMPUTED_VALUE"""),48.0)</f>
        <v>48</v>
      </c>
      <c r="H21362" s="4"/>
      <c r="I21362" s="4"/>
    </row>
    <row r="21363">
      <c r="A21363" s="4" t="str">
        <f>IFERROR(__xludf.DUMMYFUNCTION("""COMPUTED_VALUE"""),"cas_hmw")</f>
        <v>cas_hmw</v>
      </c>
      <c r="B21363" s="5">
        <f>IFERROR(__xludf.DUMMYFUNCTION("""COMPUTED_VALUE"""),44785.0)</f>
        <v>44785</v>
      </c>
      <c r="C21363" s="6">
        <f>IFERROR(__xludf.DUMMYFUNCTION("""COMPUTED_VALUE"""),0.3398611111115315)</f>
        <v>0.3398611111</v>
      </c>
      <c r="D21363" s="4">
        <f>IFERROR(__xludf.DUMMYFUNCTION("""COMPUTED_VALUE"""),12.946859)</f>
        <v>12.946859</v>
      </c>
      <c r="E21363" s="4">
        <f>IFERROR(__xludf.DUMMYFUNCTION("""COMPUTED_VALUE"""),80.136815)</f>
        <v>80.136815</v>
      </c>
      <c r="F21363" s="4">
        <f>IFERROR(__xludf.DUMMYFUNCTION("""COMPUTED_VALUE"""),5339.0)</f>
        <v>5339</v>
      </c>
      <c r="G21363" s="4">
        <f>IFERROR(__xludf.DUMMYFUNCTION("""COMPUTED_VALUE"""),40.0)</f>
        <v>40</v>
      </c>
      <c r="H21363" s="4"/>
      <c r="I21363" s="4"/>
    </row>
    <row r="21364">
      <c r="A21364" s="4" t="str">
        <f>IFERROR(__xludf.DUMMYFUNCTION("""COMPUTED_VALUE"""),"cas_hmw")</f>
        <v>cas_hmw</v>
      </c>
      <c r="B21364" s="5">
        <f>IFERROR(__xludf.DUMMYFUNCTION("""COMPUTED_VALUE"""),44785.0)</f>
        <v>44785</v>
      </c>
      <c r="C21364" s="6">
        <f>IFERROR(__xludf.DUMMYFUNCTION("""COMPUTED_VALUE"""),0.34010416666569654)</f>
        <v>0.3401041667</v>
      </c>
      <c r="D21364" s="4">
        <f>IFERROR(__xludf.DUMMYFUNCTION("""COMPUTED_VALUE"""),12.944306)</f>
        <v>12.944306</v>
      </c>
      <c r="E21364" s="4">
        <f>IFERROR(__xludf.DUMMYFUNCTION("""COMPUTED_VALUE"""),80.134852)</f>
        <v>80.134852</v>
      </c>
      <c r="F21364" s="4">
        <f>IFERROR(__xludf.DUMMYFUNCTION("""COMPUTED_VALUE"""),5339.0)</f>
        <v>5339</v>
      </c>
      <c r="G21364" s="4">
        <f>IFERROR(__xludf.DUMMYFUNCTION("""COMPUTED_VALUE"""),38.0)</f>
        <v>38</v>
      </c>
      <c r="H21364" s="4"/>
      <c r="I21364" s="4"/>
    </row>
    <row r="21365">
      <c r="A21365" s="4" t="str">
        <f>IFERROR(__xludf.DUMMYFUNCTION("""COMPUTED_VALUE"""),"cas_hmw")</f>
        <v>cas_hmw</v>
      </c>
      <c r="B21365" s="5">
        <f>IFERROR(__xludf.DUMMYFUNCTION("""COMPUTED_VALUE"""),44785.0)</f>
        <v>44785</v>
      </c>
      <c r="C21365" s="6">
        <f>IFERROR(__xludf.DUMMYFUNCTION("""COMPUTED_VALUE"""),0.3403703703697829)</f>
        <v>0.3403703704</v>
      </c>
      <c r="D21365" s="4">
        <f>IFERROR(__xludf.DUMMYFUNCTION("""COMPUTED_VALUE"""),12.942559)</f>
        <v>12.942559</v>
      </c>
      <c r="E21365" s="4">
        <f>IFERROR(__xludf.DUMMYFUNCTION("""COMPUTED_VALUE"""),80.133328)</f>
        <v>80.133328</v>
      </c>
      <c r="F21365" s="4">
        <f>IFERROR(__xludf.DUMMYFUNCTION("""COMPUTED_VALUE"""),5339.0)</f>
        <v>5339</v>
      </c>
      <c r="G21365" s="4">
        <f>IFERROR(__xludf.DUMMYFUNCTION("""COMPUTED_VALUE"""),44.0)</f>
        <v>44</v>
      </c>
      <c r="H21365" s="4"/>
      <c r="I21365" s="4"/>
    </row>
    <row r="21366">
      <c r="A21366" s="4" t="str">
        <f>IFERROR(__xludf.DUMMYFUNCTION("""COMPUTED_VALUE"""),"cas_hmw")</f>
        <v>cas_hmw</v>
      </c>
      <c r="B21366" s="5">
        <f>IFERROR(__xludf.DUMMYFUNCTION("""COMPUTED_VALUE"""),44785.0)</f>
        <v>44785</v>
      </c>
      <c r="C21366" s="6">
        <f>IFERROR(__xludf.DUMMYFUNCTION("""COMPUTED_VALUE"""),0.3404166666659876)</f>
        <v>0.3404166667</v>
      </c>
      <c r="D21366" s="4">
        <f>IFERROR(__xludf.DUMMYFUNCTION("""COMPUTED_VALUE"""),12.942559)</f>
        <v>12.942559</v>
      </c>
      <c r="E21366" s="4">
        <f>IFERROR(__xludf.DUMMYFUNCTION("""COMPUTED_VALUE"""),80.133328)</f>
        <v>80.133328</v>
      </c>
      <c r="F21366" s="4">
        <f>IFERROR(__xludf.DUMMYFUNCTION("""COMPUTED_VALUE"""),5339.0)</f>
        <v>5339</v>
      </c>
      <c r="G21366" s="4">
        <f>IFERROR(__xludf.DUMMYFUNCTION("""COMPUTED_VALUE"""),44.0)</f>
        <v>44</v>
      </c>
      <c r="H21366" s="4"/>
      <c r="I21366" s="4"/>
    </row>
    <row r="21367">
      <c r="A21367" s="4" t="str">
        <f>IFERROR(__xludf.DUMMYFUNCTION("""COMPUTED_VALUE"""),"cas_hmw")</f>
        <v>cas_hmw</v>
      </c>
      <c r="B21367" s="5">
        <f>IFERROR(__xludf.DUMMYFUNCTION("""COMPUTED_VALUE"""),44785.0)</f>
        <v>44785</v>
      </c>
      <c r="C21367" s="6">
        <f>IFERROR(__xludf.DUMMYFUNCTION("""COMPUTED_VALUE"""),0.34056712963138125)</f>
        <v>0.3405671296</v>
      </c>
      <c r="D21367" s="4">
        <f>IFERROR(__xludf.DUMMYFUNCTION("""COMPUTED_VALUE"""),12.828452)</f>
        <v>12.828452</v>
      </c>
      <c r="E21367" s="4">
        <f>IFERROR(__xludf.DUMMYFUNCTION("""COMPUTED_VALUE"""),80.043316)</f>
        <v>80.043316</v>
      </c>
      <c r="F21367" s="4">
        <f>IFERROR(__xludf.DUMMYFUNCTION("""COMPUTED_VALUE"""),2846.0)</f>
        <v>2846</v>
      </c>
      <c r="G21367" s="4">
        <f>IFERROR(__xludf.DUMMYFUNCTION("""COMPUTED_VALUE"""),57.0)</f>
        <v>57</v>
      </c>
      <c r="H21367" s="4"/>
      <c r="I21367" s="4"/>
    </row>
    <row r="21368">
      <c r="A21368" s="4" t="str">
        <f>IFERROR(__xludf.DUMMYFUNCTION("""COMPUTED_VALUE"""),"cas_hmw")</f>
        <v>cas_hmw</v>
      </c>
      <c r="B21368" s="5">
        <f>IFERROR(__xludf.DUMMYFUNCTION("""COMPUTED_VALUE"""),44785.0)</f>
        <v>44785</v>
      </c>
      <c r="C21368" s="6">
        <f>IFERROR(__xludf.DUMMYFUNCTION("""COMPUTED_VALUE"""),0.34063657407386927)</f>
        <v>0.3406365741</v>
      </c>
      <c r="D21368" s="4">
        <f>IFERROR(__xludf.DUMMYFUNCTION("""COMPUTED_VALUE"""),12.940908)</f>
        <v>12.940908</v>
      </c>
      <c r="E21368" s="4">
        <f>IFERROR(__xludf.DUMMYFUNCTION("""COMPUTED_VALUE"""),80.131592)</f>
        <v>80.131592</v>
      </c>
      <c r="F21368" s="4">
        <f>IFERROR(__xludf.DUMMYFUNCTION("""COMPUTED_VALUE"""),5339.0)</f>
        <v>5339</v>
      </c>
      <c r="G21368" s="4">
        <f>IFERROR(__xludf.DUMMYFUNCTION("""COMPUTED_VALUE"""),50.0)</f>
        <v>50</v>
      </c>
      <c r="H21368" s="4"/>
      <c r="I21368" s="4"/>
    </row>
    <row r="21369">
      <c r="A21369" s="4" t="str">
        <f>IFERROR(__xludf.DUMMYFUNCTION("""COMPUTED_VALUE"""),"cas_hmw")</f>
        <v>cas_hmw</v>
      </c>
      <c r="B21369" s="5">
        <f>IFERROR(__xludf.DUMMYFUNCTION("""COMPUTED_VALUE"""),44785.0)</f>
        <v>44785</v>
      </c>
      <c r="C21369" s="6">
        <f>IFERROR(__xludf.DUMMYFUNCTION("""COMPUTED_VALUE"""),0.34093750000101863)</f>
        <v>0.3409375</v>
      </c>
      <c r="D21369" s="4">
        <f>IFERROR(__xludf.DUMMYFUNCTION("""COMPUTED_VALUE"""),12.938284)</f>
        <v>12.938284</v>
      </c>
      <c r="E21369" s="4">
        <f>IFERROR(__xludf.DUMMYFUNCTION("""COMPUTED_VALUE"""),80.129054)</f>
        <v>80.129054</v>
      </c>
      <c r="F21369" s="4">
        <f>IFERROR(__xludf.DUMMYFUNCTION("""COMPUTED_VALUE"""),5339.0)</f>
        <v>5339</v>
      </c>
      <c r="G21369" s="4">
        <f>IFERROR(__xludf.DUMMYFUNCTION("""COMPUTED_VALUE"""),32.0)</f>
        <v>32</v>
      </c>
      <c r="H21369" s="4"/>
      <c r="I21369" s="4"/>
    </row>
    <row r="21370">
      <c r="A21370" s="4" t="str">
        <f>IFERROR(__xludf.DUMMYFUNCTION("""COMPUTED_VALUE"""),"cas_hmw")</f>
        <v>cas_hmw</v>
      </c>
      <c r="B21370" s="5">
        <f>IFERROR(__xludf.DUMMYFUNCTION("""COMPUTED_VALUE"""),44785.0)</f>
        <v>44785</v>
      </c>
      <c r="C21370" s="6">
        <f>IFERROR(__xludf.DUMMYFUNCTION("""COMPUTED_VALUE"""),0.34093750000101863)</f>
        <v>0.3409375</v>
      </c>
      <c r="D21370" s="4">
        <f>IFERROR(__xludf.DUMMYFUNCTION("""COMPUTED_VALUE"""),12.938284)</f>
        <v>12.938284</v>
      </c>
      <c r="E21370" s="4">
        <f>IFERROR(__xludf.DUMMYFUNCTION("""COMPUTED_VALUE"""),80.129054)</f>
        <v>80.129054</v>
      </c>
      <c r="F21370" s="4">
        <f>IFERROR(__xludf.DUMMYFUNCTION("""COMPUTED_VALUE"""),5339.0)</f>
        <v>5339</v>
      </c>
      <c r="G21370" s="4">
        <f>IFERROR(__xludf.DUMMYFUNCTION("""COMPUTED_VALUE"""),32.0)</f>
        <v>32</v>
      </c>
      <c r="H21370" s="4"/>
      <c r="I21370" s="4"/>
    </row>
    <row r="21371">
      <c r="A21371" s="4" t="str">
        <f>IFERROR(__xludf.DUMMYFUNCTION("""COMPUTED_VALUE"""),"cas_hmw")</f>
        <v>cas_hmw</v>
      </c>
      <c r="B21371" s="5">
        <f>IFERROR(__xludf.DUMMYFUNCTION("""COMPUTED_VALUE"""),44785.0)</f>
        <v>44785</v>
      </c>
      <c r="C21371" s="6">
        <f>IFERROR(__xludf.DUMMYFUNCTION("""COMPUTED_VALUE"""),0.3410879629627743)</f>
        <v>0.341087963</v>
      </c>
      <c r="D21371" s="4">
        <f>IFERROR(__xludf.DUMMYFUNCTION("""COMPUTED_VALUE"""),12.937745)</f>
        <v>12.937745</v>
      </c>
      <c r="E21371" s="4">
        <f>IFERROR(__xludf.DUMMYFUNCTION("""COMPUTED_VALUE"""),80.128592)</f>
        <v>80.128592</v>
      </c>
      <c r="F21371" s="4">
        <f>IFERROR(__xludf.DUMMYFUNCTION("""COMPUTED_VALUE"""),5339.0)</f>
        <v>5339</v>
      </c>
      <c r="G21371" s="4">
        <f>IFERROR(__xludf.DUMMYFUNCTION("""COMPUTED_VALUE"""),27.0)</f>
        <v>27</v>
      </c>
      <c r="H21371" s="4"/>
      <c r="I21371" s="4"/>
    </row>
    <row r="21372">
      <c r="A21372" s="4" t="str">
        <f>IFERROR(__xludf.DUMMYFUNCTION("""COMPUTED_VALUE"""),"cas_hmw")</f>
        <v>cas_hmw</v>
      </c>
      <c r="B21372" s="5">
        <f>IFERROR(__xludf.DUMMYFUNCTION("""COMPUTED_VALUE"""),44785.0)</f>
        <v>44785</v>
      </c>
      <c r="C21372" s="6">
        <f>IFERROR(__xludf.DUMMYFUNCTION("""COMPUTED_VALUE"""),0.34119212962832535)</f>
        <v>0.3411921296</v>
      </c>
      <c r="D21372" s="4">
        <f>IFERROR(__xludf.DUMMYFUNCTION("""COMPUTED_VALUE"""),12.937121)</f>
        <v>12.937121</v>
      </c>
      <c r="E21372" s="4">
        <f>IFERROR(__xludf.DUMMYFUNCTION("""COMPUTED_VALUE"""),80.128063)</f>
        <v>80.128063</v>
      </c>
      <c r="F21372" s="4">
        <f>IFERROR(__xludf.DUMMYFUNCTION("""COMPUTED_VALUE"""),5339.0)</f>
        <v>5339</v>
      </c>
      <c r="G21372" s="4">
        <f>IFERROR(__xludf.DUMMYFUNCTION("""COMPUTED_VALUE"""),34.0)</f>
        <v>34</v>
      </c>
      <c r="H21372" s="4"/>
      <c r="I21372" s="4"/>
    </row>
    <row r="21373">
      <c r="A21373" s="4" t="str">
        <f>IFERROR(__xludf.DUMMYFUNCTION("""COMPUTED_VALUE"""),"cas_hmw")</f>
        <v>cas_hmw</v>
      </c>
      <c r="B21373" s="5">
        <f>IFERROR(__xludf.DUMMYFUNCTION("""COMPUTED_VALUE"""),44785.0)</f>
        <v>44785</v>
      </c>
      <c r="C21373" s="6">
        <f>IFERROR(__xludf.DUMMYFUNCTION("""COMPUTED_VALUE"""),0.3412152777782467)</f>
        <v>0.3412152778</v>
      </c>
      <c r="D21373" s="4">
        <f>IFERROR(__xludf.DUMMYFUNCTION("""COMPUTED_VALUE"""),12.937121)</f>
        <v>12.937121</v>
      </c>
      <c r="E21373" s="4">
        <f>IFERROR(__xludf.DUMMYFUNCTION("""COMPUTED_VALUE"""),80.128063)</f>
        <v>80.128063</v>
      </c>
      <c r="F21373" s="4">
        <f>IFERROR(__xludf.DUMMYFUNCTION("""COMPUTED_VALUE"""),5339.0)</f>
        <v>5339</v>
      </c>
      <c r="G21373" s="4">
        <f>IFERROR(__xludf.DUMMYFUNCTION("""COMPUTED_VALUE"""),34.0)</f>
        <v>34</v>
      </c>
      <c r="H21373" s="4"/>
      <c r="I21373" s="4"/>
    </row>
    <row r="21374">
      <c r="A21374" s="4" t="str">
        <f>IFERROR(__xludf.DUMMYFUNCTION("""COMPUTED_VALUE"""),"cas_hmw")</f>
        <v>cas_hmw</v>
      </c>
      <c r="B21374" s="5">
        <f>IFERROR(__xludf.DUMMYFUNCTION("""COMPUTED_VALUE"""),44785.0)</f>
        <v>44785</v>
      </c>
      <c r="C21374" s="6">
        <f>IFERROR(__xludf.DUMMYFUNCTION("""COMPUTED_VALUE"""),0.34123842592453)</f>
        <v>0.3412384259</v>
      </c>
      <c r="D21374" s="4">
        <f>IFERROR(__xludf.DUMMYFUNCTION("""COMPUTED_VALUE"""),12.937121)</f>
        <v>12.937121</v>
      </c>
      <c r="E21374" s="4">
        <f>IFERROR(__xludf.DUMMYFUNCTION("""COMPUTED_VALUE"""),80.128063)</f>
        <v>80.128063</v>
      </c>
      <c r="F21374" s="4">
        <f>IFERROR(__xludf.DUMMYFUNCTION("""COMPUTED_VALUE"""),5339.0)</f>
        <v>5339</v>
      </c>
      <c r="G21374" s="4">
        <f>IFERROR(__xludf.DUMMYFUNCTION("""COMPUTED_VALUE"""),34.0)</f>
        <v>34</v>
      </c>
      <c r="H21374" s="4"/>
      <c r="I21374" s="4"/>
    </row>
    <row r="21375">
      <c r="A21375" s="4" t="str">
        <f>IFERROR(__xludf.DUMMYFUNCTION("""COMPUTED_VALUE"""),"cas_hmw")</f>
        <v>cas_hmw</v>
      </c>
      <c r="B21375" s="5">
        <f>IFERROR(__xludf.DUMMYFUNCTION("""COMPUTED_VALUE"""),44785.0)</f>
        <v>44785</v>
      </c>
      <c r="C21375" s="6">
        <f>IFERROR(__xludf.DUMMYFUNCTION("""COMPUTED_VALUE"""),0.3412500000013097)</f>
        <v>0.34125</v>
      </c>
      <c r="D21375" s="4">
        <f>IFERROR(__xludf.DUMMYFUNCTION("""COMPUTED_VALUE"""),12.937121)</f>
        <v>12.937121</v>
      </c>
      <c r="E21375" s="4">
        <f>IFERROR(__xludf.DUMMYFUNCTION("""COMPUTED_VALUE"""),80.128063)</f>
        <v>80.128063</v>
      </c>
      <c r="F21375" s="4">
        <f>IFERROR(__xludf.DUMMYFUNCTION("""COMPUTED_VALUE"""),5339.0)</f>
        <v>5339</v>
      </c>
      <c r="G21375" s="4">
        <f>IFERROR(__xludf.DUMMYFUNCTION("""COMPUTED_VALUE"""),34.0)</f>
        <v>34</v>
      </c>
      <c r="H21375" s="4"/>
      <c r="I21375" s="4"/>
    </row>
    <row r="21376">
      <c r="A21376" s="4" t="str">
        <f>IFERROR(__xludf.DUMMYFUNCTION("""COMPUTED_VALUE"""),"cas_hmw")</f>
        <v>cas_hmw</v>
      </c>
      <c r="B21376" s="5">
        <f>IFERROR(__xludf.DUMMYFUNCTION("""COMPUTED_VALUE"""),44785.0)</f>
        <v>44785</v>
      </c>
      <c r="C21376" s="6">
        <f>IFERROR(__xludf.DUMMYFUNCTION("""COMPUTED_VALUE"""),0.3414583333324117)</f>
        <v>0.3414583333</v>
      </c>
      <c r="D21376" s="4">
        <f>IFERROR(__xludf.DUMMYFUNCTION("""COMPUTED_VALUE"""),12.920694)</f>
        <v>12.920694</v>
      </c>
      <c r="E21376" s="4">
        <f>IFERROR(__xludf.DUMMYFUNCTION("""COMPUTED_VALUE"""),80.16809)</f>
        <v>80.16809</v>
      </c>
      <c r="F21376" s="4">
        <f>IFERROR(__xludf.DUMMYFUNCTION("""COMPUTED_VALUE"""),3143.0)</f>
        <v>3143</v>
      </c>
      <c r="G21376" s="4">
        <f>IFERROR(__xludf.DUMMYFUNCTION("""COMPUTED_VALUE"""),40.0)</f>
        <v>40</v>
      </c>
      <c r="H21376" s="4"/>
      <c r="I21376" s="4"/>
    </row>
    <row r="21377">
      <c r="A21377" s="4" t="str">
        <f>IFERROR(__xludf.DUMMYFUNCTION("""COMPUTED_VALUE"""),"cas_hmw")</f>
        <v>cas_hmw</v>
      </c>
      <c r="B21377" s="5">
        <f>IFERROR(__xludf.DUMMYFUNCTION("""COMPUTED_VALUE"""),44785.0)</f>
        <v>44785</v>
      </c>
      <c r="C21377" s="6">
        <f>IFERROR(__xludf.DUMMYFUNCTION("""COMPUTED_VALUE"""),0.3415625000016007)</f>
        <v>0.3415625</v>
      </c>
      <c r="D21377" s="4">
        <f>IFERROR(__xludf.DUMMYFUNCTION("""COMPUTED_VALUE"""),12.935549)</f>
        <v>12.935549</v>
      </c>
      <c r="E21377" s="4">
        <f>IFERROR(__xludf.DUMMYFUNCTION("""COMPUTED_VALUE"""),80.126698)</f>
        <v>80.126698</v>
      </c>
      <c r="F21377" s="4">
        <f>IFERROR(__xludf.DUMMYFUNCTION("""COMPUTED_VALUE"""),5339.0)</f>
        <v>5339</v>
      </c>
      <c r="G21377" s="4">
        <f>IFERROR(__xludf.DUMMYFUNCTION("""COMPUTED_VALUE"""),23.0)</f>
        <v>23</v>
      </c>
      <c r="H21377" s="4"/>
      <c r="I21377" s="4"/>
    </row>
    <row r="21378">
      <c r="A21378" s="4" t="str">
        <f>IFERROR(__xludf.DUMMYFUNCTION("""COMPUTED_VALUE"""),"cas_hmw")</f>
        <v>cas_hmw</v>
      </c>
      <c r="B21378" s="5">
        <f>IFERROR(__xludf.DUMMYFUNCTION("""COMPUTED_VALUE"""),44785.0)</f>
        <v>44785</v>
      </c>
      <c r="C21378" s="6">
        <f>IFERROR(__xludf.DUMMYFUNCTION("""COMPUTED_VALUE"""),0.3415625000016007)</f>
        <v>0.3415625</v>
      </c>
      <c r="D21378" s="4">
        <f>IFERROR(__xludf.DUMMYFUNCTION("""COMPUTED_VALUE"""),12.935549)</f>
        <v>12.935549</v>
      </c>
      <c r="E21378" s="4">
        <f>IFERROR(__xludf.DUMMYFUNCTION("""COMPUTED_VALUE"""),80.126698)</f>
        <v>80.126698</v>
      </c>
      <c r="F21378" s="4">
        <f>IFERROR(__xludf.DUMMYFUNCTION("""COMPUTED_VALUE"""),5339.0)</f>
        <v>5339</v>
      </c>
      <c r="G21378" s="4">
        <f>IFERROR(__xludf.DUMMYFUNCTION("""COMPUTED_VALUE"""),23.0)</f>
        <v>23</v>
      </c>
      <c r="H21378" s="4"/>
      <c r="I21378" s="4"/>
    </row>
    <row r="21379">
      <c r="A21379" s="4" t="str">
        <f>IFERROR(__xludf.DUMMYFUNCTION("""COMPUTED_VALUE"""),"cas_hmw")</f>
        <v>cas_hmw</v>
      </c>
      <c r="B21379" s="5">
        <f>IFERROR(__xludf.DUMMYFUNCTION("""COMPUTED_VALUE"""),44785.0)</f>
        <v>44785</v>
      </c>
      <c r="C21379" s="6">
        <f>IFERROR(__xludf.DUMMYFUNCTION("""COMPUTED_VALUE"""),0.3415740740747424)</f>
        <v>0.3415740741</v>
      </c>
      <c r="D21379" s="4">
        <f>IFERROR(__xludf.DUMMYFUNCTION("""COMPUTED_VALUE"""),12.935549)</f>
        <v>12.935549</v>
      </c>
      <c r="E21379" s="4">
        <f>IFERROR(__xludf.DUMMYFUNCTION("""COMPUTED_VALUE"""),80.126698)</f>
        <v>80.126698</v>
      </c>
      <c r="F21379" s="4">
        <f>IFERROR(__xludf.DUMMYFUNCTION("""COMPUTED_VALUE"""),5339.0)</f>
        <v>5339</v>
      </c>
      <c r="G21379" s="4">
        <f>IFERROR(__xludf.DUMMYFUNCTION("""COMPUTED_VALUE"""),23.0)</f>
        <v>23</v>
      </c>
      <c r="H21379" s="4"/>
      <c r="I21379" s="4"/>
    </row>
    <row r="21380">
      <c r="A21380" s="4" t="str">
        <f>IFERROR(__xludf.DUMMYFUNCTION("""COMPUTED_VALUE"""),"cas_hmw")</f>
        <v>cas_hmw</v>
      </c>
      <c r="B21380" s="5">
        <f>IFERROR(__xludf.DUMMYFUNCTION("""COMPUTED_VALUE"""),44785.0)</f>
        <v>44785</v>
      </c>
      <c r="C21380" s="6">
        <f>IFERROR(__xludf.DUMMYFUNCTION("""COMPUTED_VALUE"""),0.34165509259401006)</f>
        <v>0.3416550926</v>
      </c>
      <c r="D21380" s="4">
        <f>IFERROR(__xludf.DUMMYFUNCTION("""COMPUTED_VALUE"""),12.935048)</f>
        <v>12.935048</v>
      </c>
      <c r="E21380" s="4">
        <f>IFERROR(__xludf.DUMMYFUNCTION("""COMPUTED_VALUE"""),80.126224)</f>
        <v>80.126224</v>
      </c>
      <c r="F21380" s="4">
        <f>IFERROR(__xludf.DUMMYFUNCTION("""COMPUTED_VALUE"""),5339.0)</f>
        <v>5339</v>
      </c>
      <c r="G21380" s="4">
        <f>IFERROR(__xludf.DUMMYFUNCTION("""COMPUTED_VALUE"""),29.0)</f>
        <v>29</v>
      </c>
      <c r="H21380" s="4"/>
      <c r="I21380" s="4"/>
    </row>
    <row r="21381">
      <c r="A21381" s="4" t="str">
        <f>IFERROR(__xludf.DUMMYFUNCTION("""COMPUTED_VALUE"""),"cas_hmw")</f>
        <v>cas_hmw</v>
      </c>
      <c r="B21381" s="5">
        <f>IFERROR(__xludf.DUMMYFUNCTION("""COMPUTED_VALUE"""),44785.0)</f>
        <v>44785</v>
      </c>
      <c r="C21381" s="6">
        <f>IFERROR(__xludf.DUMMYFUNCTION("""COMPUTED_VALUE"""),0.34166666666715173)</f>
        <v>0.3416666667</v>
      </c>
      <c r="D21381" s="4">
        <f>IFERROR(__xludf.DUMMYFUNCTION("""COMPUTED_VALUE"""),12.954811)</f>
        <v>12.954811</v>
      </c>
      <c r="E21381" s="4">
        <f>IFERROR(__xludf.DUMMYFUNCTION("""COMPUTED_VALUE"""),80.142491)</f>
        <v>80.142491</v>
      </c>
      <c r="F21381" s="4">
        <f>IFERROR(__xludf.DUMMYFUNCTION("""COMPUTED_VALUE"""),805.0)</f>
        <v>805</v>
      </c>
      <c r="G21381" s="4">
        <f>IFERROR(__xludf.DUMMYFUNCTION("""COMPUTED_VALUE"""),31.0)</f>
        <v>31</v>
      </c>
      <c r="H21381" s="4"/>
      <c r="I21381" s="4"/>
    </row>
    <row r="21382">
      <c r="A21382" s="4" t="str">
        <f>IFERROR(__xludf.DUMMYFUNCTION("""COMPUTED_VALUE"""),"cas_hmw")</f>
        <v>cas_hmw</v>
      </c>
      <c r="B21382" s="5">
        <f>IFERROR(__xludf.DUMMYFUNCTION("""COMPUTED_VALUE"""),44785.0)</f>
        <v>44785</v>
      </c>
      <c r="C21382" s="6">
        <f>IFERROR(__xludf.DUMMYFUNCTION("""COMPUTED_VALUE"""),0.3418634259251121)</f>
        <v>0.3418634259</v>
      </c>
      <c r="D21382" s="4">
        <f>IFERROR(__xludf.DUMMYFUNCTION("""COMPUTED_VALUE"""),12.933839)</f>
        <v>12.933839</v>
      </c>
      <c r="E21382" s="4">
        <f>IFERROR(__xludf.DUMMYFUNCTION("""COMPUTED_VALUE"""),80.125102)</f>
        <v>80.125102</v>
      </c>
      <c r="F21382" s="4">
        <f>IFERROR(__xludf.DUMMYFUNCTION("""COMPUTED_VALUE"""),5339.0)</f>
        <v>5339</v>
      </c>
      <c r="G21382" s="4">
        <f>IFERROR(__xludf.DUMMYFUNCTION("""COMPUTED_VALUE"""),40.0)</f>
        <v>40</v>
      </c>
      <c r="H21382" s="4"/>
      <c r="I21382" s="4"/>
    </row>
    <row r="21383">
      <c r="A21383" s="4" t="str">
        <f>IFERROR(__xludf.DUMMYFUNCTION("""COMPUTED_VALUE"""),"cas_hmw")</f>
        <v>cas_hmw</v>
      </c>
      <c r="B21383" s="5">
        <f>IFERROR(__xludf.DUMMYFUNCTION("""COMPUTED_VALUE"""),44785.0)</f>
        <v>44785</v>
      </c>
      <c r="C21383" s="6">
        <f>IFERROR(__xludf.DUMMYFUNCTION("""COMPUTED_VALUE"""),0.3424305555563478)</f>
        <v>0.3424305556</v>
      </c>
      <c r="D21383" s="4">
        <f>IFERROR(__xludf.DUMMYFUNCTION("""COMPUTED_VALUE"""),12.951851)</f>
        <v>12.951851</v>
      </c>
      <c r="E21383" s="4">
        <f>IFERROR(__xludf.DUMMYFUNCTION("""COMPUTED_VALUE"""),80.140668)</f>
        <v>80.140668</v>
      </c>
      <c r="F21383" s="4">
        <f>IFERROR(__xludf.DUMMYFUNCTION("""COMPUTED_VALUE"""),805.0)</f>
        <v>805</v>
      </c>
      <c r="G21383" s="4">
        <f>IFERROR(__xludf.DUMMYFUNCTION("""COMPUTED_VALUE"""),26.0)</f>
        <v>26</v>
      </c>
      <c r="H21383" s="4"/>
      <c r="I21383" s="4"/>
    </row>
    <row r="21384">
      <c r="A21384" s="4" t="str">
        <f>IFERROR(__xludf.DUMMYFUNCTION("""COMPUTED_VALUE"""),"cas_hmw")</f>
        <v>cas_hmw</v>
      </c>
      <c r="B21384" s="5">
        <f>IFERROR(__xludf.DUMMYFUNCTION("""COMPUTED_VALUE"""),44785.0)</f>
        <v>44785</v>
      </c>
      <c r="C21384" s="6">
        <f>IFERROR(__xludf.DUMMYFUNCTION("""COMPUTED_VALUE"""),0.3424652777794108)</f>
        <v>0.3424652778</v>
      </c>
      <c r="D21384" s="4">
        <f>IFERROR(__xludf.DUMMYFUNCTION("""COMPUTED_VALUE"""),12.951208)</f>
        <v>12.951208</v>
      </c>
      <c r="E21384" s="4">
        <f>IFERROR(__xludf.DUMMYFUNCTION("""COMPUTED_VALUE"""),80.140193)</f>
        <v>80.140193</v>
      </c>
      <c r="F21384" s="4">
        <f>IFERROR(__xludf.DUMMYFUNCTION("""COMPUTED_VALUE"""),805.0)</f>
        <v>805</v>
      </c>
      <c r="G21384" s="4">
        <f>IFERROR(__xludf.DUMMYFUNCTION("""COMPUTED_VALUE"""),30.0)</f>
        <v>30</v>
      </c>
      <c r="H21384" s="4"/>
      <c r="I21384" s="4"/>
    </row>
    <row r="21385">
      <c r="A21385" s="4" t="str">
        <f>IFERROR(__xludf.DUMMYFUNCTION("""COMPUTED_VALUE"""),"cas_hmw")</f>
        <v>cas_hmw</v>
      </c>
      <c r="B21385" s="5">
        <f>IFERROR(__xludf.DUMMYFUNCTION("""COMPUTED_VALUE"""),44785.0)</f>
        <v>44785</v>
      </c>
      <c r="C21385" s="6">
        <f>IFERROR(__xludf.DUMMYFUNCTION("""COMPUTED_VALUE"""),0.3424652777794108)</f>
        <v>0.3424652778</v>
      </c>
      <c r="D21385" s="4">
        <f>IFERROR(__xludf.DUMMYFUNCTION("""COMPUTED_VALUE"""),12.951208)</f>
        <v>12.951208</v>
      </c>
      <c r="E21385" s="4">
        <f>IFERROR(__xludf.DUMMYFUNCTION("""COMPUTED_VALUE"""),80.140193)</f>
        <v>80.140193</v>
      </c>
      <c r="F21385" s="4">
        <f>IFERROR(__xludf.DUMMYFUNCTION("""COMPUTED_VALUE"""),805.0)</f>
        <v>805</v>
      </c>
      <c r="G21385" s="4">
        <f>IFERROR(__xludf.DUMMYFUNCTION("""COMPUTED_VALUE"""),30.0)</f>
        <v>30</v>
      </c>
      <c r="H21385" s="4"/>
      <c r="I21385" s="4"/>
    </row>
    <row r="21386">
      <c r="A21386" s="4" t="str">
        <f>IFERROR(__xludf.DUMMYFUNCTION("""COMPUTED_VALUE"""),"cas_hmw")</f>
        <v>cas_hmw</v>
      </c>
      <c r="B21386" s="5">
        <f>IFERROR(__xludf.DUMMYFUNCTION("""COMPUTED_VALUE"""),44785.0)</f>
        <v>44785</v>
      </c>
      <c r="C21386" s="6">
        <f>IFERROR(__xludf.DUMMYFUNCTION("""COMPUTED_VALUE"""),0.3424768518525525)</f>
        <v>0.3424768519</v>
      </c>
      <c r="D21386" s="4">
        <f>IFERROR(__xludf.DUMMYFUNCTION("""COMPUTED_VALUE"""),12.951208)</f>
        <v>12.951208</v>
      </c>
      <c r="E21386" s="4">
        <f>IFERROR(__xludf.DUMMYFUNCTION("""COMPUTED_VALUE"""),80.140193)</f>
        <v>80.140193</v>
      </c>
      <c r="F21386" s="4">
        <f>IFERROR(__xludf.DUMMYFUNCTION("""COMPUTED_VALUE"""),805.0)</f>
        <v>805</v>
      </c>
      <c r="G21386" s="4">
        <f>IFERROR(__xludf.DUMMYFUNCTION("""COMPUTED_VALUE"""),30.0)</f>
        <v>30</v>
      </c>
      <c r="H21386" s="4"/>
      <c r="I21386" s="4"/>
    </row>
    <row r="21387">
      <c r="A21387" s="4" t="str">
        <f>IFERROR(__xludf.DUMMYFUNCTION("""COMPUTED_VALUE"""),"cas_hmw")</f>
        <v>cas_hmw</v>
      </c>
      <c r="B21387" s="5">
        <f>IFERROR(__xludf.DUMMYFUNCTION("""COMPUTED_VALUE"""),44785.0)</f>
        <v>44785</v>
      </c>
      <c r="C21387" s="6">
        <f>IFERROR(__xludf.DUMMYFUNCTION("""COMPUTED_VALUE"""),0.34270833333357587)</f>
        <v>0.3427083333</v>
      </c>
      <c r="D21387" s="4">
        <f>IFERROR(__xludf.DUMMYFUNCTION("""COMPUTED_VALUE"""),12.930947)</f>
        <v>12.930947</v>
      </c>
      <c r="E21387" s="4">
        <f>IFERROR(__xludf.DUMMYFUNCTION("""COMPUTED_VALUE"""),80.122181)</f>
        <v>80.122181</v>
      </c>
      <c r="F21387" s="4">
        <f>IFERROR(__xludf.DUMMYFUNCTION("""COMPUTED_VALUE"""),5339.0)</f>
        <v>5339</v>
      </c>
      <c r="G21387" s="4">
        <f>IFERROR(__xludf.DUMMYFUNCTION("""COMPUTED_VALUE"""),34.0)</f>
        <v>34</v>
      </c>
      <c r="H21387" s="4"/>
      <c r="I21387" s="4"/>
    </row>
    <row r="21388">
      <c r="A21388" s="4" t="str">
        <f>IFERROR(__xludf.DUMMYFUNCTION("""COMPUTED_VALUE"""),"cas_hmw")</f>
        <v>cas_hmw</v>
      </c>
      <c r="B21388" s="5">
        <f>IFERROR(__xludf.DUMMYFUNCTION("""COMPUTED_VALUE"""),44785.0)</f>
        <v>44785</v>
      </c>
      <c r="C21388" s="6">
        <f>IFERROR(__xludf.DUMMYFUNCTION("""COMPUTED_VALUE"""),0.3428356481490482)</f>
        <v>0.3428356481</v>
      </c>
      <c r="D21388" s="4">
        <f>IFERROR(__xludf.DUMMYFUNCTION("""COMPUTED_VALUE"""),12.930252)</f>
        <v>12.930252</v>
      </c>
      <c r="E21388" s="4">
        <f>IFERROR(__xludf.DUMMYFUNCTION("""COMPUTED_VALUE"""),80.12149)</f>
        <v>80.12149</v>
      </c>
      <c r="F21388" s="4">
        <f>IFERROR(__xludf.DUMMYFUNCTION("""COMPUTED_VALUE"""),5339.0)</f>
        <v>5339</v>
      </c>
      <c r="G21388" s="4">
        <f>IFERROR(__xludf.DUMMYFUNCTION("""COMPUTED_VALUE"""),37.0)</f>
        <v>37</v>
      </c>
      <c r="H21388" s="4"/>
      <c r="I21388" s="4"/>
    </row>
    <row r="21389">
      <c r="A21389" s="4" t="str">
        <f>IFERROR(__xludf.DUMMYFUNCTION("""COMPUTED_VALUE"""),"cas_hmw")</f>
        <v>cas_hmw</v>
      </c>
      <c r="B21389" s="5">
        <f>IFERROR(__xludf.DUMMYFUNCTION("""COMPUTED_VALUE"""),44785.0)</f>
        <v>44785</v>
      </c>
      <c r="C21389" s="6">
        <f>IFERROR(__xludf.DUMMYFUNCTION("""COMPUTED_VALUE"""),0.3432754629611736)</f>
        <v>0.343275463</v>
      </c>
      <c r="D21389" s="4">
        <f>IFERROR(__xludf.DUMMYFUNCTION("""COMPUTED_VALUE"""),12.95002)</f>
        <v>12.95002</v>
      </c>
      <c r="E21389" s="4">
        <f>IFERROR(__xludf.DUMMYFUNCTION("""COMPUTED_VALUE"""),80.139328)</f>
        <v>80.139328</v>
      </c>
      <c r="F21389" s="4">
        <f>IFERROR(__xludf.DUMMYFUNCTION("""COMPUTED_VALUE"""),805.0)</f>
        <v>805</v>
      </c>
      <c r="G21389" s="4">
        <f>IFERROR(__xludf.DUMMYFUNCTION("""COMPUTED_VALUE"""),26.0)</f>
        <v>26</v>
      </c>
      <c r="H21389" s="4"/>
      <c r="I21389" s="4"/>
    </row>
    <row r="21390">
      <c r="A21390" s="4" t="str">
        <f>IFERROR(__xludf.DUMMYFUNCTION("""COMPUTED_VALUE"""),"cas_hmw")</f>
        <v>cas_hmw</v>
      </c>
      <c r="B21390" s="5">
        <f>IFERROR(__xludf.DUMMYFUNCTION("""COMPUTED_VALUE"""),44785.0)</f>
        <v>44785</v>
      </c>
      <c r="C21390" s="6">
        <f>IFERROR(__xludf.DUMMYFUNCTION("""COMPUTED_VALUE"""),0.34340277777664596)</f>
        <v>0.3434027778</v>
      </c>
      <c r="D21390" s="4">
        <f>IFERROR(__xludf.DUMMYFUNCTION("""COMPUTED_VALUE"""),12.949378)</f>
        <v>12.949378</v>
      </c>
      <c r="E21390" s="4">
        <f>IFERROR(__xludf.DUMMYFUNCTION("""COMPUTED_VALUE"""),80.138748)</f>
        <v>80.138748</v>
      </c>
      <c r="F21390" s="4">
        <f>IFERROR(__xludf.DUMMYFUNCTION("""COMPUTED_VALUE"""),805.0)</f>
        <v>805</v>
      </c>
      <c r="G21390" s="4">
        <f>IFERROR(__xludf.DUMMYFUNCTION("""COMPUTED_VALUE"""),43.0)</f>
        <v>43</v>
      </c>
      <c r="H21390" s="4"/>
      <c r="I21390" s="4"/>
    </row>
    <row r="21391">
      <c r="A21391" s="4" t="str">
        <f>IFERROR(__xludf.DUMMYFUNCTION("""COMPUTED_VALUE"""),"cas_hmw")</f>
        <v>cas_hmw</v>
      </c>
      <c r="B21391" s="5">
        <f>IFERROR(__xludf.DUMMYFUNCTION("""COMPUTED_VALUE"""),44785.0)</f>
        <v>44785</v>
      </c>
      <c r="C21391" s="6">
        <f>IFERROR(__xludf.DUMMYFUNCTION("""COMPUTED_VALUE"""),0.34375)</f>
        <v>0.34375</v>
      </c>
      <c r="D21391" s="4">
        <f>IFERROR(__xludf.DUMMYFUNCTION("""COMPUTED_VALUE"""),12.925474)</f>
        <v>12.925474</v>
      </c>
      <c r="E21391" s="4">
        <f>IFERROR(__xludf.DUMMYFUNCTION("""COMPUTED_VALUE"""),80.116679)</f>
        <v>80.116679</v>
      </c>
      <c r="F21391" s="4">
        <f>IFERROR(__xludf.DUMMYFUNCTION("""COMPUTED_VALUE"""),5339.0)</f>
        <v>5339</v>
      </c>
      <c r="G21391" s="4">
        <f>IFERROR(__xludf.DUMMYFUNCTION("""COMPUTED_VALUE"""),54.0)</f>
        <v>54</v>
      </c>
      <c r="H21391" s="4"/>
      <c r="I21391" s="4"/>
    </row>
    <row r="21392">
      <c r="A21392" s="4" t="str">
        <f>IFERROR(__xludf.DUMMYFUNCTION("""COMPUTED_VALUE"""),"cas_hmw")</f>
        <v>cas_hmw</v>
      </c>
      <c r="B21392" s="5">
        <f>IFERROR(__xludf.DUMMYFUNCTION("""COMPUTED_VALUE"""),44785.0)</f>
        <v>44785</v>
      </c>
      <c r="C21392" s="6">
        <f>IFERROR(__xludf.DUMMYFUNCTION("""COMPUTED_VALUE"""),0.3440046296309447)</f>
        <v>0.3440046296</v>
      </c>
      <c r="D21392" s="4">
        <f>IFERROR(__xludf.DUMMYFUNCTION("""COMPUTED_VALUE"""),12.850096)</f>
        <v>12.850096</v>
      </c>
      <c r="E21392" s="4">
        <f>IFERROR(__xludf.DUMMYFUNCTION("""COMPUTED_VALUE"""),80.064705)</f>
        <v>80.064705</v>
      </c>
      <c r="F21392" s="4">
        <f>IFERROR(__xludf.DUMMYFUNCTION("""COMPUTED_VALUE"""),2846.0)</f>
        <v>2846</v>
      </c>
      <c r="G21392" s="4">
        <f>IFERROR(__xludf.DUMMYFUNCTION("""COMPUTED_VALUE"""),59.0)</f>
        <v>59</v>
      </c>
      <c r="H21392" s="4"/>
      <c r="I21392" s="4"/>
    </row>
    <row r="21393">
      <c r="A21393" s="4" t="str">
        <f>IFERROR(__xludf.DUMMYFUNCTION("""COMPUTED_VALUE"""),"cas_hmw")</f>
        <v>cas_hmw</v>
      </c>
      <c r="B21393" s="5">
        <f>IFERROR(__xludf.DUMMYFUNCTION("""COMPUTED_VALUE"""),44785.0)</f>
        <v>44785</v>
      </c>
      <c r="C21393" s="6">
        <f>IFERROR(__xludf.DUMMYFUNCTION("""COMPUTED_VALUE"""),0.34402777777722804)</f>
        <v>0.3440277778</v>
      </c>
      <c r="D21393" s="4">
        <f>IFERROR(__xludf.DUMMYFUNCTION("""COMPUTED_VALUE"""),12.924002)</f>
        <v>12.924002</v>
      </c>
      <c r="E21393" s="4">
        <f>IFERROR(__xludf.DUMMYFUNCTION("""COMPUTED_VALUE"""),80.115172)</f>
        <v>80.115172</v>
      </c>
      <c r="F21393" s="4">
        <f>IFERROR(__xludf.DUMMYFUNCTION("""COMPUTED_VALUE"""),5339.0)</f>
        <v>5339</v>
      </c>
      <c r="G21393" s="4">
        <f>IFERROR(__xludf.DUMMYFUNCTION("""COMPUTED_VALUE"""),52.0)</f>
        <v>52</v>
      </c>
      <c r="H21393" s="4"/>
      <c r="I21393" s="4"/>
    </row>
    <row r="21394">
      <c r="A21394" s="4" t="str">
        <f>IFERROR(__xludf.DUMMYFUNCTION("""COMPUTED_VALUE"""),"cas_hmw")</f>
        <v>cas_hmw</v>
      </c>
      <c r="B21394" s="5">
        <f>IFERROR(__xludf.DUMMYFUNCTION("""COMPUTED_VALUE"""),44785.0)</f>
        <v>44785</v>
      </c>
      <c r="C21394" s="6">
        <f>IFERROR(__xludf.DUMMYFUNCTION("""COMPUTED_VALUE"""),0.3440740740734327)</f>
        <v>0.3440740741</v>
      </c>
      <c r="D21394" s="4">
        <f>IFERROR(__xludf.DUMMYFUNCTION("""COMPUTED_VALUE"""),12.922625)</f>
        <v>12.922625</v>
      </c>
      <c r="E21394" s="4">
        <f>IFERROR(__xludf.DUMMYFUNCTION("""COMPUTED_VALUE"""),80.149768)</f>
        <v>80.149768</v>
      </c>
      <c r="F21394" s="4">
        <f>IFERROR(__xludf.DUMMYFUNCTION("""COMPUTED_VALUE"""),3143.0)</f>
        <v>3143</v>
      </c>
      <c r="G21394" s="4">
        <f>IFERROR(__xludf.DUMMYFUNCTION("""COMPUTED_VALUE"""),48.0)</f>
        <v>48</v>
      </c>
      <c r="H21394" s="4"/>
      <c r="I21394" s="4"/>
    </row>
    <row r="21395">
      <c r="A21395" s="4" t="str">
        <f>IFERROR(__xludf.DUMMYFUNCTION("""COMPUTED_VALUE"""),"cas_hmw")</f>
        <v>cas_hmw</v>
      </c>
      <c r="B21395" s="5">
        <f>IFERROR(__xludf.DUMMYFUNCTION("""COMPUTED_VALUE"""),44785.0)</f>
        <v>44785</v>
      </c>
      <c r="C21395" s="6">
        <f>IFERROR(__xludf.DUMMYFUNCTION("""COMPUTED_VALUE"""),0.3441087962964957)</f>
        <v>0.3441087963</v>
      </c>
      <c r="D21395" s="4">
        <f>IFERROR(__xludf.DUMMYFUNCTION("""COMPUTED_VALUE"""),12.943186)</f>
        <v>12.943186</v>
      </c>
      <c r="E21395" s="4">
        <f>IFERROR(__xludf.DUMMYFUNCTION("""COMPUTED_VALUE"""),80.13391)</f>
        <v>80.13391</v>
      </c>
      <c r="F21395" s="4">
        <f>IFERROR(__xludf.DUMMYFUNCTION("""COMPUTED_VALUE"""),805.0)</f>
        <v>805</v>
      </c>
      <c r="G21395" s="4">
        <f>IFERROR(__xludf.DUMMYFUNCTION("""COMPUTED_VALUE"""),42.0)</f>
        <v>42</v>
      </c>
      <c r="H21395" s="4"/>
      <c r="I21395" s="4"/>
    </row>
    <row r="21396">
      <c r="A21396" s="4" t="str">
        <f>IFERROR(__xludf.DUMMYFUNCTION("""COMPUTED_VALUE"""),"cas_hmw")</f>
        <v>cas_hmw</v>
      </c>
      <c r="B21396" s="5">
        <f>IFERROR(__xludf.DUMMYFUNCTION("""COMPUTED_VALUE"""),44785.0)</f>
        <v>44785</v>
      </c>
      <c r="C21396" s="6">
        <f>IFERROR(__xludf.DUMMYFUNCTION("""COMPUTED_VALUE"""),0.3443750000005821)</f>
        <v>0.344375</v>
      </c>
      <c r="D21396" s="4">
        <f>IFERROR(__xludf.DUMMYFUNCTION("""COMPUTED_VALUE"""),12.921143)</f>
        <v>12.921143</v>
      </c>
      <c r="E21396" s="4">
        <f>IFERROR(__xludf.DUMMYFUNCTION("""COMPUTED_VALUE"""),80.112347)</f>
        <v>80.112347</v>
      </c>
      <c r="F21396" s="4">
        <f>IFERROR(__xludf.DUMMYFUNCTION("""COMPUTED_VALUE"""),5339.0)</f>
        <v>5339</v>
      </c>
      <c r="G21396" s="4">
        <f>IFERROR(__xludf.DUMMYFUNCTION("""COMPUTED_VALUE"""),32.0)</f>
        <v>32</v>
      </c>
      <c r="H21396" s="4"/>
      <c r="I21396" s="4"/>
    </row>
    <row r="21397">
      <c r="A21397" s="4" t="str">
        <f>IFERROR(__xludf.DUMMYFUNCTION("""COMPUTED_VALUE"""),"cas_hmw")</f>
        <v>cas_hmw</v>
      </c>
      <c r="B21397" s="5">
        <f>IFERROR(__xludf.DUMMYFUNCTION("""COMPUTED_VALUE"""),44785.0)</f>
        <v>44785</v>
      </c>
      <c r="C21397" s="6">
        <f>IFERROR(__xludf.DUMMYFUNCTION("""COMPUTED_VALUE"""),0.3444791666661331)</f>
        <v>0.3444791667</v>
      </c>
      <c r="D21397" s="4">
        <f>IFERROR(__xludf.DUMMYFUNCTION("""COMPUTED_VALUE"""),12.920464)</f>
        <v>12.920464</v>
      </c>
      <c r="E21397" s="4">
        <f>IFERROR(__xludf.DUMMYFUNCTION("""COMPUTED_VALUE"""),80.111636)</f>
        <v>80.111636</v>
      </c>
      <c r="F21397" s="4">
        <f>IFERROR(__xludf.DUMMYFUNCTION("""COMPUTED_VALUE"""),5339.0)</f>
        <v>5339</v>
      </c>
      <c r="G21397" s="4">
        <f>IFERROR(__xludf.DUMMYFUNCTION("""COMPUTED_VALUE"""),45.0)</f>
        <v>45</v>
      </c>
      <c r="H21397" s="4"/>
      <c r="I21397" s="4"/>
    </row>
    <row r="21398">
      <c r="A21398" s="4" t="str">
        <f>IFERROR(__xludf.DUMMYFUNCTION("""COMPUTED_VALUE"""),"cas_hmw")</f>
        <v>cas_hmw</v>
      </c>
      <c r="B21398" s="5">
        <f>IFERROR(__xludf.DUMMYFUNCTION("""COMPUTED_VALUE"""),44785.0)</f>
        <v>44785</v>
      </c>
      <c r="C21398" s="6">
        <f>IFERROR(__xludf.DUMMYFUNCTION("""COMPUTED_VALUE"""),0.3447222222239361)</f>
        <v>0.3447222222</v>
      </c>
      <c r="D21398" s="4">
        <f>IFERROR(__xludf.DUMMYFUNCTION("""COMPUTED_VALUE"""),12.860185)</f>
        <v>12.860185</v>
      </c>
      <c r="E21398" s="4">
        <f>IFERROR(__xludf.DUMMYFUNCTION("""COMPUTED_VALUE"""),80.07223)</f>
        <v>80.07223</v>
      </c>
      <c r="F21398" s="4">
        <f>IFERROR(__xludf.DUMMYFUNCTION("""COMPUTED_VALUE"""),2846.0)</f>
        <v>2846</v>
      </c>
      <c r="G21398" s="4">
        <f>IFERROR(__xludf.DUMMYFUNCTION("""COMPUTED_VALUE"""),50.0)</f>
        <v>50</v>
      </c>
      <c r="H21398" s="4"/>
      <c r="I21398" s="4"/>
    </row>
    <row r="21399">
      <c r="A21399" s="4" t="str">
        <f>IFERROR(__xludf.DUMMYFUNCTION("""COMPUTED_VALUE"""),"cas_hmw")</f>
        <v>cas_hmw</v>
      </c>
      <c r="B21399" s="5">
        <f>IFERROR(__xludf.DUMMYFUNCTION("""COMPUTED_VALUE"""),44785.0)</f>
        <v>44785</v>
      </c>
      <c r="C21399" s="6">
        <f>IFERROR(__xludf.DUMMYFUNCTION("""COMPUTED_VALUE"""),0.34474537037021946)</f>
        <v>0.3447453704</v>
      </c>
      <c r="D21399" s="4">
        <f>IFERROR(__xludf.DUMMYFUNCTION("""COMPUTED_VALUE"""),12.918488)</f>
        <v>12.918488</v>
      </c>
      <c r="E21399" s="4">
        <f>IFERROR(__xludf.DUMMYFUNCTION("""COMPUTED_VALUE"""),80.109251)</f>
        <v>80.109251</v>
      </c>
      <c r="F21399" s="4">
        <f>IFERROR(__xludf.DUMMYFUNCTION("""COMPUTED_VALUE"""),5339.0)</f>
        <v>5339</v>
      </c>
      <c r="G21399" s="4">
        <f>IFERROR(__xludf.DUMMYFUNCTION("""COMPUTED_VALUE"""),34.0)</f>
        <v>34</v>
      </c>
      <c r="H21399" s="4"/>
      <c r="I21399" s="4"/>
    </row>
    <row r="21400">
      <c r="A21400" s="4" t="str">
        <f>IFERROR(__xludf.DUMMYFUNCTION("""COMPUTED_VALUE"""),"cas_hmw")</f>
        <v>cas_hmw</v>
      </c>
      <c r="B21400" s="5">
        <f>IFERROR(__xludf.DUMMYFUNCTION("""COMPUTED_VALUE"""),44785.0)</f>
        <v>44785</v>
      </c>
      <c r="C21400" s="6">
        <f>IFERROR(__xludf.DUMMYFUNCTION("""COMPUTED_VALUE"""),0.3447685185201408)</f>
        <v>0.3447685185</v>
      </c>
      <c r="D21400" s="4">
        <f>IFERROR(__xludf.DUMMYFUNCTION("""COMPUTED_VALUE"""),12.918488)</f>
        <v>12.918488</v>
      </c>
      <c r="E21400" s="4">
        <f>IFERROR(__xludf.DUMMYFUNCTION("""COMPUTED_VALUE"""),80.109251)</f>
        <v>80.109251</v>
      </c>
      <c r="F21400" s="4">
        <f>IFERROR(__xludf.DUMMYFUNCTION("""COMPUTED_VALUE"""),5339.0)</f>
        <v>5339</v>
      </c>
      <c r="G21400" s="4">
        <f>IFERROR(__xludf.DUMMYFUNCTION("""COMPUTED_VALUE"""),34.0)</f>
        <v>34</v>
      </c>
      <c r="H21400" s="4"/>
      <c r="I21400" s="4"/>
    </row>
    <row r="21401">
      <c r="A21401" s="4" t="str">
        <f>IFERROR(__xludf.DUMMYFUNCTION("""COMPUTED_VALUE"""),"cas_hmw")</f>
        <v>cas_hmw</v>
      </c>
      <c r="B21401" s="5">
        <f>IFERROR(__xludf.DUMMYFUNCTION("""COMPUTED_VALUE"""),44785.0)</f>
        <v>44785</v>
      </c>
      <c r="C21401" s="6">
        <f>IFERROR(__xludf.DUMMYFUNCTION("""COMPUTED_VALUE"""),0.34550925925941556)</f>
        <v>0.3455092593</v>
      </c>
      <c r="D21401" s="4">
        <f>IFERROR(__xludf.DUMMYFUNCTION("""COMPUTED_VALUE"""),12.916656)</f>
        <v>12.916656</v>
      </c>
      <c r="E21401" s="4">
        <f>IFERROR(__xludf.DUMMYFUNCTION("""COMPUTED_VALUE"""),80.106631)</f>
        <v>80.106631</v>
      </c>
      <c r="F21401" s="4">
        <f>IFERROR(__xludf.DUMMYFUNCTION("""COMPUTED_VALUE"""),5339.0)</f>
        <v>5339</v>
      </c>
      <c r="G21401" s="4">
        <f>IFERROR(__xludf.DUMMYFUNCTION("""COMPUTED_VALUE"""),40.0)</f>
        <v>40</v>
      </c>
      <c r="H21401" s="4"/>
      <c r="I21401" s="4"/>
    </row>
    <row r="21402">
      <c r="A21402" s="4" t="str">
        <f>IFERROR(__xludf.DUMMYFUNCTION("""COMPUTED_VALUE"""),"cas_hmw")</f>
        <v>cas_hmw</v>
      </c>
      <c r="B21402" s="5">
        <f>IFERROR(__xludf.DUMMYFUNCTION("""COMPUTED_VALUE"""),44785.0)</f>
        <v>44785</v>
      </c>
      <c r="C21402" s="6">
        <f>IFERROR(__xludf.DUMMYFUNCTION("""COMPUTED_VALUE"""),0.34584490740598994)</f>
        <v>0.3458449074</v>
      </c>
      <c r="D21402" s="4">
        <f>IFERROR(__xludf.DUMMYFUNCTION("""COMPUTED_VALUE"""),12.914646)</f>
        <v>12.914646</v>
      </c>
      <c r="E21402" s="4">
        <f>IFERROR(__xludf.DUMMYFUNCTION("""COMPUTED_VALUE"""),80.102973)</f>
        <v>80.102973</v>
      </c>
      <c r="F21402" s="4">
        <f>IFERROR(__xludf.DUMMYFUNCTION("""COMPUTED_VALUE"""),5339.0)</f>
        <v>5339</v>
      </c>
      <c r="G21402" s="4">
        <f>IFERROR(__xludf.DUMMYFUNCTION("""COMPUTED_VALUE"""),55.0)</f>
        <v>55</v>
      </c>
      <c r="H21402" s="4"/>
      <c r="I21402" s="4"/>
    </row>
    <row r="21403">
      <c r="A21403" s="4" t="str">
        <f>IFERROR(__xludf.DUMMYFUNCTION("""COMPUTED_VALUE"""),"cas_hmw")</f>
        <v>cas_hmw</v>
      </c>
      <c r="B21403" s="5">
        <f>IFERROR(__xludf.DUMMYFUNCTION("""COMPUTED_VALUE"""),44785.0)</f>
        <v>44785</v>
      </c>
      <c r="C21403" s="6">
        <f>IFERROR(__xludf.DUMMYFUNCTION("""COMPUTED_VALUE"""),0.3459606481483206)</f>
        <v>0.3459606481</v>
      </c>
      <c r="D21403" s="4">
        <f>IFERROR(__xludf.DUMMYFUNCTION("""COMPUTED_VALUE"""),12.9346)</f>
        <v>12.9346</v>
      </c>
      <c r="E21403" s="4">
        <f>IFERROR(__xludf.DUMMYFUNCTION("""COMPUTED_VALUE"""),80.125798)</f>
        <v>80.125798</v>
      </c>
      <c r="F21403" s="4">
        <f>IFERROR(__xludf.DUMMYFUNCTION("""COMPUTED_VALUE"""),805.0)</f>
        <v>805</v>
      </c>
      <c r="G21403" s="4">
        <f>IFERROR(__xludf.DUMMYFUNCTION("""COMPUTED_VALUE"""),46.0)</f>
        <v>46</v>
      </c>
      <c r="H21403" s="4"/>
      <c r="I21403" s="4"/>
    </row>
    <row r="21404">
      <c r="A21404" s="4" t="str">
        <f>IFERROR(__xludf.DUMMYFUNCTION("""COMPUTED_VALUE"""),"cas_hmw")</f>
        <v>cas_hmw</v>
      </c>
      <c r="B21404" s="5">
        <f>IFERROR(__xludf.DUMMYFUNCTION("""COMPUTED_VALUE"""),44785.0)</f>
        <v>44785</v>
      </c>
      <c r="C21404" s="6">
        <f>IFERROR(__xludf.DUMMYFUNCTION("""COMPUTED_VALUE"""),0.34606481481387164)</f>
        <v>0.3460648148</v>
      </c>
      <c r="D21404" s="4">
        <f>IFERROR(__xludf.DUMMYFUNCTION("""COMPUTED_VALUE"""),12.933642)</f>
        <v>12.933642</v>
      </c>
      <c r="E21404" s="4">
        <f>IFERROR(__xludf.DUMMYFUNCTION("""COMPUTED_VALUE"""),80.124886)</f>
        <v>80.124886</v>
      </c>
      <c r="F21404" s="4">
        <f>IFERROR(__xludf.DUMMYFUNCTION("""COMPUTED_VALUE"""),805.0)</f>
        <v>805</v>
      </c>
      <c r="G21404" s="4">
        <f>IFERROR(__xludf.DUMMYFUNCTION("""COMPUTED_VALUE"""),54.0)</f>
        <v>54</v>
      </c>
      <c r="H21404" s="4"/>
      <c r="I21404" s="4"/>
    </row>
    <row r="21405">
      <c r="A21405" s="4" t="str">
        <f>IFERROR(__xludf.DUMMYFUNCTION("""COMPUTED_VALUE"""),"cas_hmw")</f>
        <v>cas_hmw</v>
      </c>
      <c r="B21405" s="5">
        <f>IFERROR(__xludf.DUMMYFUNCTION("""COMPUTED_VALUE"""),44785.0)</f>
        <v>44785</v>
      </c>
      <c r="C21405" s="6">
        <f>IFERROR(__xludf.DUMMYFUNCTION("""COMPUTED_VALUE"""),0.3472453703689098)</f>
        <v>0.3472453704</v>
      </c>
      <c r="D21405" s="4">
        <f>IFERROR(__xludf.DUMMYFUNCTION("""COMPUTED_VALUE"""),12.92256)</f>
        <v>12.92256</v>
      </c>
      <c r="E21405" s="4">
        <f>IFERROR(__xludf.DUMMYFUNCTION("""COMPUTED_VALUE"""),80.136491)</f>
        <v>80.136491</v>
      </c>
      <c r="F21405" s="4">
        <f>IFERROR(__xludf.DUMMYFUNCTION("""COMPUTED_VALUE"""),3143.0)</f>
        <v>3143</v>
      </c>
      <c r="G21405" s="4">
        <f>IFERROR(__xludf.DUMMYFUNCTION("""COMPUTED_VALUE"""),23.0)</f>
        <v>23</v>
      </c>
      <c r="H21405" s="4"/>
      <c r="I21405" s="4"/>
    </row>
    <row r="21406">
      <c r="A21406" s="4" t="str">
        <f>IFERROR(__xludf.DUMMYFUNCTION("""COMPUTED_VALUE"""),"cas_hmw")</f>
        <v>cas_hmw</v>
      </c>
      <c r="B21406" s="5">
        <f>IFERROR(__xludf.DUMMYFUNCTION("""COMPUTED_VALUE"""),44785.0)</f>
        <v>44785</v>
      </c>
      <c r="C21406" s="6">
        <f>IFERROR(__xludf.DUMMYFUNCTION("""COMPUTED_VALUE"""),0.3474189814805868)</f>
        <v>0.3474189815</v>
      </c>
      <c r="D21406" s="4">
        <f>IFERROR(__xludf.DUMMYFUNCTION("""COMPUTED_VALUE"""),12.928209)</f>
        <v>12.928209</v>
      </c>
      <c r="E21406" s="4">
        <f>IFERROR(__xludf.DUMMYFUNCTION("""COMPUTED_VALUE"""),80.119409)</f>
        <v>80.119409</v>
      </c>
      <c r="F21406" s="4">
        <f>IFERROR(__xludf.DUMMYFUNCTION("""COMPUTED_VALUE"""),805.0)</f>
        <v>805</v>
      </c>
      <c r="G21406" s="4">
        <f>IFERROR(__xludf.DUMMYFUNCTION("""COMPUTED_VALUE"""),54.0)</f>
        <v>54</v>
      </c>
      <c r="H21406" s="4"/>
      <c r="I21406" s="4"/>
    </row>
    <row r="21407">
      <c r="A21407" s="4" t="str">
        <f>IFERROR(__xludf.DUMMYFUNCTION("""COMPUTED_VALUE"""),"cas_hmw")</f>
        <v>cas_hmw</v>
      </c>
      <c r="B21407" s="5">
        <f>IFERROR(__xludf.DUMMYFUNCTION("""COMPUTED_VALUE"""),44785.0)</f>
        <v>44785</v>
      </c>
      <c r="C21407" s="6">
        <f>IFERROR(__xludf.DUMMYFUNCTION("""COMPUTED_VALUE"""),0.3482291666659876)</f>
        <v>0.3482291667</v>
      </c>
      <c r="D21407" s="4">
        <f>IFERROR(__xludf.DUMMYFUNCTION("""COMPUTED_VALUE"""),12.90169)</f>
        <v>12.90169</v>
      </c>
      <c r="E21407" s="4">
        <f>IFERROR(__xludf.DUMMYFUNCTION("""COMPUTED_VALUE"""),80.092806)</f>
        <v>80.092806</v>
      </c>
      <c r="F21407" s="4">
        <f>IFERROR(__xludf.DUMMYFUNCTION("""COMPUTED_VALUE"""),5339.0)</f>
        <v>5339</v>
      </c>
      <c r="G21407" s="4">
        <f>IFERROR(__xludf.DUMMYFUNCTION("""COMPUTED_VALUE"""),53.0)</f>
        <v>53</v>
      </c>
      <c r="H21407" s="4"/>
      <c r="I21407" s="4"/>
    </row>
    <row r="21408">
      <c r="A21408" s="4" t="str">
        <f>IFERROR(__xludf.DUMMYFUNCTION("""COMPUTED_VALUE"""),"cas_hmw")</f>
        <v>cas_hmw</v>
      </c>
      <c r="B21408" s="5">
        <f>IFERROR(__xludf.DUMMYFUNCTION("""COMPUTED_VALUE"""),44785.0)</f>
        <v>44785</v>
      </c>
      <c r="C21408" s="6">
        <f>IFERROR(__xludf.DUMMYFUNCTION("""COMPUTED_VALUE"""),0.3483680555546016)</f>
        <v>0.3483680556</v>
      </c>
      <c r="D21408" s="4">
        <f>IFERROR(__xludf.DUMMYFUNCTION("""COMPUTED_VALUE"""),12.900666)</f>
        <v>12.900666</v>
      </c>
      <c r="E21408" s="4">
        <f>IFERROR(__xludf.DUMMYFUNCTION("""COMPUTED_VALUE"""),80.092037)</f>
        <v>80.092037</v>
      </c>
      <c r="F21408" s="4">
        <f>IFERROR(__xludf.DUMMYFUNCTION("""COMPUTED_VALUE"""),5339.0)</f>
        <v>5339</v>
      </c>
      <c r="G21408" s="4">
        <f>IFERROR(__xludf.DUMMYFUNCTION("""COMPUTED_VALUE"""),49.0)</f>
        <v>49</v>
      </c>
      <c r="H21408" s="4"/>
      <c r="I21408" s="4"/>
    </row>
    <row r="21409">
      <c r="A21409" s="4" t="str">
        <f>IFERROR(__xludf.DUMMYFUNCTION("""COMPUTED_VALUE"""),"cas_hmw")</f>
        <v>cas_hmw</v>
      </c>
      <c r="B21409" s="5">
        <f>IFERROR(__xludf.DUMMYFUNCTION("""COMPUTED_VALUE"""),44785.0)</f>
        <v>44785</v>
      </c>
      <c r="C21409" s="6">
        <f>IFERROR(__xludf.DUMMYFUNCTION("""COMPUTED_VALUE"""),0.3489351851858373)</f>
        <v>0.3489351852</v>
      </c>
      <c r="D21409" s="4">
        <f>IFERROR(__xludf.DUMMYFUNCTION("""COMPUTED_VALUE"""),12.896596)</f>
        <v>12.896596</v>
      </c>
      <c r="E21409" s="4">
        <f>IFERROR(__xludf.DUMMYFUNCTION("""COMPUTED_VALUE"""),80.088948)</f>
        <v>80.088948</v>
      </c>
      <c r="F21409" s="4">
        <f>IFERROR(__xludf.DUMMYFUNCTION("""COMPUTED_VALUE"""),5339.0)</f>
        <v>5339</v>
      </c>
      <c r="G21409" s="4">
        <f>IFERROR(__xludf.DUMMYFUNCTION("""COMPUTED_VALUE"""),35.0)</f>
        <v>35</v>
      </c>
      <c r="H21409" s="4"/>
      <c r="I21409" s="4"/>
    </row>
    <row r="21410">
      <c r="A21410" s="4" t="str">
        <f>IFERROR(__xludf.DUMMYFUNCTION("""COMPUTED_VALUE"""),"cas_hmw")</f>
        <v>cas_hmw</v>
      </c>
      <c r="B21410" s="5">
        <f>IFERROR(__xludf.DUMMYFUNCTION("""COMPUTED_VALUE"""),44785.0)</f>
        <v>44785</v>
      </c>
      <c r="C21410" s="6">
        <f>IFERROR(__xludf.DUMMYFUNCTION("""COMPUTED_VALUE"""),0.34951388889021473)</f>
        <v>0.3495138889</v>
      </c>
      <c r="D21410" s="4">
        <f>IFERROR(__xludf.DUMMYFUNCTION("""COMPUTED_VALUE"""),12.918682)</f>
        <v>12.918682</v>
      </c>
      <c r="E21410" s="4">
        <f>IFERROR(__xludf.DUMMYFUNCTION("""COMPUTED_VALUE"""),80.109459)</f>
        <v>80.109459</v>
      </c>
      <c r="F21410" s="4">
        <f>IFERROR(__xludf.DUMMYFUNCTION("""COMPUTED_VALUE"""),805.0)</f>
        <v>805</v>
      </c>
      <c r="G21410" s="4">
        <f>IFERROR(__xludf.DUMMYFUNCTION("""COMPUTED_VALUE"""),58.0)</f>
        <v>58</v>
      </c>
      <c r="H21410" s="4"/>
      <c r="I21410" s="4"/>
    </row>
    <row r="21411">
      <c r="A21411" s="4" t="str">
        <f>IFERROR(__xludf.DUMMYFUNCTION("""COMPUTED_VALUE"""),"cas_hmw")</f>
        <v>cas_hmw</v>
      </c>
      <c r="B21411" s="5">
        <f>IFERROR(__xludf.DUMMYFUNCTION("""COMPUTED_VALUE"""),44785.0)</f>
        <v>44785</v>
      </c>
      <c r="C21411" s="6">
        <f>IFERROR(__xludf.DUMMYFUNCTION("""COMPUTED_VALUE"""),0.3495601851864194)</f>
        <v>0.3495601852</v>
      </c>
      <c r="D21411" s="4">
        <f>IFERROR(__xludf.DUMMYFUNCTION("""COMPUTED_VALUE"""),12.922983)</f>
        <v>12.922983</v>
      </c>
      <c r="E21411" s="4">
        <f>IFERROR(__xludf.DUMMYFUNCTION("""COMPUTED_VALUE"""),80.12649)</f>
        <v>80.12649</v>
      </c>
      <c r="F21411" s="4">
        <f>IFERROR(__xludf.DUMMYFUNCTION("""COMPUTED_VALUE"""),3143.0)</f>
        <v>3143</v>
      </c>
      <c r="G21411" s="4">
        <f>IFERROR(__xludf.DUMMYFUNCTION("""COMPUTED_VALUE"""),37.0)</f>
        <v>37</v>
      </c>
      <c r="H21411" s="4"/>
      <c r="I21411" s="4"/>
    </row>
    <row r="21412">
      <c r="A21412" s="4" t="str">
        <f>IFERROR(__xludf.DUMMYFUNCTION("""COMPUTED_VALUE"""),"cas_hmw")</f>
        <v>cas_hmw</v>
      </c>
      <c r="B21412" s="5">
        <f>IFERROR(__xludf.DUMMYFUNCTION("""COMPUTED_VALUE"""),44785.0)</f>
        <v>44785</v>
      </c>
      <c r="C21412" s="6">
        <f>IFERROR(__xludf.DUMMYFUNCTION("""COMPUTED_VALUE"""),0.3504282407411665)</f>
        <v>0.3504282407</v>
      </c>
      <c r="D21412" s="4">
        <f>IFERROR(__xludf.DUMMYFUNCTION("""COMPUTED_VALUE"""),12.882461)</f>
        <v>12.882461</v>
      </c>
      <c r="E21412" s="4">
        <f>IFERROR(__xludf.DUMMYFUNCTION("""COMPUTED_VALUE"""),80.081669)</f>
        <v>80.081669</v>
      </c>
      <c r="F21412" s="4">
        <f>IFERROR(__xludf.DUMMYFUNCTION("""COMPUTED_VALUE"""),5339.0)</f>
        <v>5339</v>
      </c>
      <c r="G21412" s="4">
        <f>IFERROR(__xludf.DUMMYFUNCTION("""COMPUTED_VALUE"""),54.0)</f>
        <v>54</v>
      </c>
      <c r="H21412" s="4"/>
      <c r="I21412" s="4"/>
    </row>
    <row r="21413">
      <c r="A21413" s="4" t="str">
        <f>IFERROR(__xludf.DUMMYFUNCTION("""COMPUTED_VALUE"""),"cas_hmw")</f>
        <v>cas_hmw</v>
      </c>
      <c r="B21413" s="5">
        <f>IFERROR(__xludf.DUMMYFUNCTION("""COMPUTED_VALUE"""),44785.0)</f>
        <v>44785</v>
      </c>
      <c r="C21413" s="6">
        <f>IFERROR(__xludf.DUMMYFUNCTION("""COMPUTED_VALUE"""),0.3504282407411665)</f>
        <v>0.3504282407</v>
      </c>
      <c r="D21413" s="4">
        <f>IFERROR(__xludf.DUMMYFUNCTION("""COMPUTED_VALUE"""),12.923396)</f>
        <v>12.923396</v>
      </c>
      <c r="E21413" s="4">
        <f>IFERROR(__xludf.DUMMYFUNCTION("""COMPUTED_VALUE"""),80.119223)</f>
        <v>80.119223</v>
      </c>
      <c r="F21413" s="4">
        <f>IFERROR(__xludf.DUMMYFUNCTION("""COMPUTED_VALUE"""),3143.0)</f>
        <v>3143</v>
      </c>
      <c r="G21413" s="4">
        <f>IFERROR(__xludf.DUMMYFUNCTION("""COMPUTED_VALUE"""),35.0)</f>
        <v>35</v>
      </c>
      <c r="H21413" s="4"/>
      <c r="I21413" s="4"/>
    </row>
    <row r="21414">
      <c r="A21414" s="4" t="str">
        <f>IFERROR(__xludf.DUMMYFUNCTION("""COMPUTED_VALUE"""),"cas_hmw")</f>
        <v>cas_hmw</v>
      </c>
      <c r="B21414" s="5">
        <f>IFERROR(__xludf.DUMMYFUNCTION("""COMPUTED_VALUE"""),44785.0)</f>
        <v>44785</v>
      </c>
      <c r="C21414" s="6">
        <f>IFERROR(__xludf.DUMMYFUNCTION("""COMPUTED_VALUE"""),0.3508333333338669)</f>
        <v>0.3508333333</v>
      </c>
      <c r="D21414" s="4">
        <f>IFERROR(__xludf.DUMMYFUNCTION("""COMPUTED_VALUE"""),12.906949)</f>
        <v>12.906949</v>
      </c>
      <c r="E21414" s="4">
        <f>IFERROR(__xludf.DUMMYFUNCTION("""COMPUTED_VALUE"""),80.096881)</f>
        <v>80.096881</v>
      </c>
      <c r="F21414" s="4">
        <f>IFERROR(__xludf.DUMMYFUNCTION("""COMPUTED_VALUE"""),805.0)</f>
        <v>805</v>
      </c>
      <c r="G21414" s="4">
        <f>IFERROR(__xludf.DUMMYFUNCTION("""COMPUTED_VALUE"""),37.0)</f>
        <v>37</v>
      </c>
      <c r="H21414" s="4"/>
      <c r="I21414" s="4"/>
    </row>
    <row r="21415">
      <c r="A21415" s="4" t="str">
        <f>IFERROR(__xludf.DUMMYFUNCTION("""COMPUTED_VALUE"""),"cas_hmw")</f>
        <v>cas_hmw</v>
      </c>
      <c r="B21415" s="5">
        <f>IFERROR(__xludf.DUMMYFUNCTION("""COMPUTED_VALUE"""),44785.0)</f>
        <v>44785</v>
      </c>
      <c r="C21415" s="6">
        <f>IFERROR(__xludf.DUMMYFUNCTION("""COMPUTED_VALUE"""),0.3515509259268583)</f>
        <v>0.3515509259</v>
      </c>
      <c r="D21415" s="4">
        <f>IFERROR(__xludf.DUMMYFUNCTION("""COMPUTED_VALUE"""),12.90489)</f>
        <v>12.90489</v>
      </c>
      <c r="E21415" s="4">
        <f>IFERROR(__xludf.DUMMYFUNCTION("""COMPUTED_VALUE"""),80.095406)</f>
        <v>80.095406</v>
      </c>
      <c r="F21415" s="4">
        <f>IFERROR(__xludf.DUMMYFUNCTION("""COMPUTED_VALUE"""),805.0)</f>
        <v>805</v>
      </c>
      <c r="G21415" s="4">
        <f>IFERROR(__xludf.DUMMYFUNCTION("""COMPUTED_VALUE"""),26.0)</f>
        <v>26</v>
      </c>
      <c r="H21415" s="4"/>
      <c r="I21415" s="4"/>
    </row>
    <row r="21416">
      <c r="A21416" s="4" t="str">
        <f>IFERROR(__xludf.DUMMYFUNCTION("""COMPUTED_VALUE"""),"cas_hmw")</f>
        <v>cas_hmw</v>
      </c>
      <c r="B21416" s="5">
        <f>IFERROR(__xludf.DUMMYFUNCTION("""COMPUTED_VALUE"""),44785.0)</f>
        <v>44785</v>
      </c>
      <c r="C21416" s="6">
        <f>IFERROR(__xludf.DUMMYFUNCTION("""COMPUTED_VALUE"""),0.3517824074078817)</f>
        <v>0.3517824074</v>
      </c>
      <c r="D21416" s="4">
        <f>IFERROR(__xludf.DUMMYFUNCTION("""COMPUTED_VALUE"""),12.903771)</f>
        <v>12.903771</v>
      </c>
      <c r="E21416" s="4">
        <f>IFERROR(__xludf.DUMMYFUNCTION("""COMPUTED_VALUE"""),80.09451)</f>
        <v>80.09451</v>
      </c>
      <c r="F21416" s="4">
        <f>IFERROR(__xludf.DUMMYFUNCTION("""COMPUTED_VALUE"""),805.0)</f>
        <v>805</v>
      </c>
      <c r="G21416" s="4">
        <f>IFERROR(__xludf.DUMMYFUNCTION("""COMPUTED_VALUE"""),28.0)</f>
        <v>28</v>
      </c>
      <c r="H21416" s="4"/>
      <c r="I21416" s="4"/>
    </row>
    <row r="21417">
      <c r="A21417" s="4" t="str">
        <f>IFERROR(__xludf.DUMMYFUNCTION("""COMPUTED_VALUE"""),"cas_hmw")</f>
        <v>cas_hmw</v>
      </c>
      <c r="B21417" s="5">
        <f>IFERROR(__xludf.DUMMYFUNCTION("""COMPUTED_VALUE"""),44785.0)</f>
        <v>44785</v>
      </c>
      <c r="C21417" s="6">
        <f>IFERROR(__xludf.DUMMYFUNCTION("""COMPUTED_VALUE"""),0.3518518518503697)</f>
        <v>0.3518518519</v>
      </c>
      <c r="D21417" s="4">
        <f>IFERROR(__xludf.DUMMYFUNCTION("""COMPUTED_VALUE"""),12.903771)</f>
        <v>12.903771</v>
      </c>
      <c r="E21417" s="4">
        <f>IFERROR(__xludf.DUMMYFUNCTION("""COMPUTED_VALUE"""),80.09451)</f>
        <v>80.09451</v>
      </c>
      <c r="F21417" s="4">
        <f>IFERROR(__xludf.DUMMYFUNCTION("""COMPUTED_VALUE"""),805.0)</f>
        <v>805</v>
      </c>
      <c r="G21417" s="4">
        <f>IFERROR(__xludf.DUMMYFUNCTION("""COMPUTED_VALUE"""),28.0)</f>
        <v>28</v>
      </c>
      <c r="H21417" s="4"/>
      <c r="I21417" s="4"/>
    </row>
    <row r="21418">
      <c r="A21418" s="4" t="str">
        <f>IFERROR(__xludf.DUMMYFUNCTION("""COMPUTED_VALUE"""),"cas_hmw")</f>
        <v>cas_hmw</v>
      </c>
      <c r="B21418" s="5">
        <f>IFERROR(__xludf.DUMMYFUNCTION("""COMPUTED_VALUE"""),44785.0)</f>
        <v>44785</v>
      </c>
      <c r="C21418" s="6">
        <f>IFERROR(__xludf.DUMMYFUNCTION("""COMPUTED_VALUE"""),0.35216435185066075)</f>
        <v>0.3521643519</v>
      </c>
      <c r="D21418" s="4">
        <f>IFERROR(__xludf.DUMMYFUNCTION("""COMPUTED_VALUE"""),12.916814)</f>
        <v>12.916814</v>
      </c>
      <c r="E21418" s="4">
        <f>IFERROR(__xludf.DUMMYFUNCTION("""COMPUTED_VALUE"""),80.106881)</f>
        <v>80.106881</v>
      </c>
      <c r="F21418" s="4">
        <f>IFERROR(__xludf.DUMMYFUNCTION("""COMPUTED_VALUE"""),3143.0)</f>
        <v>3143</v>
      </c>
      <c r="G21418" s="4">
        <f>IFERROR(__xludf.DUMMYFUNCTION("""COMPUTED_VALUE"""),53.0)</f>
        <v>53</v>
      </c>
      <c r="H21418" s="4"/>
      <c r="I21418" s="4"/>
    </row>
    <row r="21419">
      <c r="A21419" s="4" t="str">
        <f>IFERROR(__xludf.DUMMYFUNCTION("""COMPUTED_VALUE"""),"cas_hmw")</f>
        <v>cas_hmw</v>
      </c>
      <c r="B21419" s="5">
        <f>IFERROR(__xludf.DUMMYFUNCTION("""COMPUTED_VALUE"""),44785.0)</f>
        <v>44785</v>
      </c>
      <c r="C21419" s="6">
        <f>IFERROR(__xludf.DUMMYFUNCTION("""COMPUTED_VALUE"""),0.3524768518509518)</f>
        <v>0.3524768519</v>
      </c>
      <c r="D21419" s="4">
        <f>IFERROR(__xludf.DUMMYFUNCTION("""COMPUTED_VALUE"""),12.898282)</f>
        <v>12.898282</v>
      </c>
      <c r="E21419" s="4">
        <f>IFERROR(__xludf.DUMMYFUNCTION("""COMPUTED_VALUE"""),80.090237)</f>
        <v>80.090237</v>
      </c>
      <c r="F21419" s="4">
        <f>IFERROR(__xludf.DUMMYFUNCTION("""COMPUTED_VALUE"""),805.0)</f>
        <v>805</v>
      </c>
      <c r="G21419" s="4">
        <f>IFERROR(__xludf.DUMMYFUNCTION("""COMPUTED_VALUE"""),58.0)</f>
        <v>58</v>
      </c>
      <c r="H21419" s="4"/>
      <c r="I21419" s="4"/>
    </row>
    <row r="21420">
      <c r="A21420" s="4" t="str">
        <f>IFERROR(__xludf.DUMMYFUNCTION("""COMPUTED_VALUE"""),"cas_hmw")</f>
        <v>cas_hmw</v>
      </c>
      <c r="B21420" s="5">
        <f>IFERROR(__xludf.DUMMYFUNCTION("""COMPUTED_VALUE"""),44785.0)</f>
        <v>44785</v>
      </c>
      <c r="C21420" s="6">
        <f>IFERROR(__xludf.DUMMYFUNCTION("""COMPUTED_VALUE"""),0.3525000000008731)</f>
        <v>0.3525</v>
      </c>
      <c r="D21420" s="4">
        <f>IFERROR(__xludf.DUMMYFUNCTION("""COMPUTED_VALUE"""),12.914913)</f>
        <v>12.914913</v>
      </c>
      <c r="E21420" s="4">
        <f>IFERROR(__xludf.DUMMYFUNCTION("""COMPUTED_VALUE"""),80.103337)</f>
        <v>80.103337</v>
      </c>
      <c r="F21420" s="4">
        <f>IFERROR(__xludf.DUMMYFUNCTION("""COMPUTED_VALUE"""),3143.0)</f>
        <v>3143</v>
      </c>
      <c r="G21420" s="4">
        <f>IFERROR(__xludf.DUMMYFUNCTION("""COMPUTED_VALUE"""),54.0)</f>
        <v>54</v>
      </c>
      <c r="H21420" s="4"/>
      <c r="I21420" s="4"/>
    </row>
    <row r="21421">
      <c r="A21421" s="4" t="str">
        <f>IFERROR(__xludf.DUMMYFUNCTION("""COMPUTED_VALUE"""),"cas_hmw")</f>
        <v>cas_hmw</v>
      </c>
      <c r="B21421" s="5">
        <f>IFERROR(__xludf.DUMMYFUNCTION("""COMPUTED_VALUE"""),44785.0)</f>
        <v>44785</v>
      </c>
      <c r="C21421" s="6">
        <f>IFERROR(__xludf.DUMMYFUNCTION("""COMPUTED_VALUE"""),0.35267361111255013)</f>
        <v>0.3526736111</v>
      </c>
      <c r="D21421" s="4">
        <f>IFERROR(__xludf.DUMMYFUNCTION("""COMPUTED_VALUE"""),12.896505)</f>
        <v>12.896505</v>
      </c>
      <c r="E21421" s="4">
        <f>IFERROR(__xludf.DUMMYFUNCTION("""COMPUTED_VALUE"""),80.088905)</f>
        <v>80.088905</v>
      </c>
      <c r="F21421" s="4">
        <f>IFERROR(__xludf.DUMMYFUNCTION("""COMPUTED_VALUE"""),805.0)</f>
        <v>805</v>
      </c>
      <c r="G21421" s="4">
        <f>IFERROR(__xludf.DUMMYFUNCTION("""COMPUTED_VALUE"""),44.0)</f>
        <v>44</v>
      </c>
      <c r="H21421" s="4"/>
      <c r="I21421" s="4"/>
    </row>
    <row r="21422">
      <c r="A21422" s="4" t="str">
        <f>IFERROR(__xludf.DUMMYFUNCTION("""COMPUTED_VALUE"""),"cas_hmw")</f>
        <v>cas_hmw</v>
      </c>
      <c r="B21422" s="5">
        <f>IFERROR(__xludf.DUMMYFUNCTION("""COMPUTED_VALUE"""),44785.0)</f>
        <v>44785</v>
      </c>
      <c r="C21422" s="6">
        <f>IFERROR(__xludf.DUMMYFUNCTION("""COMPUTED_VALUE"""),0.3527546296281798)</f>
        <v>0.3527546296</v>
      </c>
      <c r="D21422" s="4">
        <f>IFERROR(__xludf.DUMMYFUNCTION("""COMPUTED_VALUE"""),12.913717)</f>
        <v>12.913717</v>
      </c>
      <c r="E21422" s="4">
        <f>IFERROR(__xludf.DUMMYFUNCTION("""COMPUTED_VALUE"""),80.101812)</f>
        <v>80.101812</v>
      </c>
      <c r="F21422" s="4">
        <f>IFERROR(__xludf.DUMMYFUNCTION("""COMPUTED_VALUE"""),3143.0)</f>
        <v>3143</v>
      </c>
      <c r="G21422" s="4">
        <f>IFERROR(__xludf.DUMMYFUNCTION("""COMPUTED_VALUE"""),35.0)</f>
        <v>35</v>
      </c>
      <c r="H21422" s="4"/>
      <c r="I21422" s="4"/>
    </row>
    <row r="21423">
      <c r="A21423" s="4" t="str">
        <f>IFERROR(__xludf.DUMMYFUNCTION("""COMPUTED_VALUE"""),"cas_hmw")</f>
        <v>cas_hmw</v>
      </c>
      <c r="B21423" s="5">
        <f>IFERROR(__xludf.DUMMYFUNCTION("""COMPUTED_VALUE"""),44785.0)</f>
        <v>44785</v>
      </c>
      <c r="C21423" s="6">
        <f>IFERROR(__xludf.DUMMYFUNCTION("""COMPUTED_VALUE"""),0.3528587962973688)</f>
        <v>0.3528587963</v>
      </c>
      <c r="D21423" s="4">
        <f>IFERROR(__xludf.DUMMYFUNCTION("""COMPUTED_VALUE"""),12.895529)</f>
        <v>12.895529</v>
      </c>
      <c r="E21423" s="4">
        <f>IFERROR(__xludf.DUMMYFUNCTION("""COMPUTED_VALUE"""),80.088192)</f>
        <v>80.088192</v>
      </c>
      <c r="F21423" s="4">
        <f>IFERROR(__xludf.DUMMYFUNCTION("""COMPUTED_VALUE"""),805.0)</f>
        <v>805</v>
      </c>
      <c r="G21423" s="4">
        <f>IFERROR(__xludf.DUMMYFUNCTION("""COMPUTED_VALUE"""),48.0)</f>
        <v>48</v>
      </c>
      <c r="H21423" s="4"/>
      <c r="I21423" s="4"/>
    </row>
    <row r="21424">
      <c r="A21424" s="4" t="str">
        <f>IFERROR(__xludf.DUMMYFUNCTION("""COMPUTED_VALUE"""),"cas_hmw")</f>
        <v>cas_hmw</v>
      </c>
      <c r="B21424" s="5">
        <f>IFERROR(__xludf.DUMMYFUNCTION("""COMPUTED_VALUE"""),44785.0)</f>
        <v>44785</v>
      </c>
      <c r="C21424" s="6">
        <f>IFERROR(__xludf.DUMMYFUNCTION("""COMPUTED_VALUE"""),0.35390046296379296)</f>
        <v>0.353900463</v>
      </c>
      <c r="D21424" s="4">
        <f>IFERROR(__xludf.DUMMYFUNCTION("""COMPUTED_VALUE"""),12.886086)</f>
        <v>12.886086</v>
      </c>
      <c r="E21424" s="4">
        <f>IFERROR(__xludf.DUMMYFUNCTION("""COMPUTED_VALUE"""),80.083022)</f>
        <v>80.083022</v>
      </c>
      <c r="F21424" s="4">
        <f>IFERROR(__xludf.DUMMYFUNCTION("""COMPUTED_VALUE"""),805.0)</f>
        <v>805</v>
      </c>
      <c r="G21424" s="4">
        <f>IFERROR(__xludf.DUMMYFUNCTION("""COMPUTED_VALUE"""),52.0)</f>
        <v>52</v>
      </c>
      <c r="H21424" s="4"/>
      <c r="I21424" s="4"/>
    </row>
    <row r="21425">
      <c r="A21425" s="4" t="str">
        <f>IFERROR(__xludf.DUMMYFUNCTION("""COMPUTED_VALUE"""),"cas_hmw")</f>
        <v>cas_hmw</v>
      </c>
      <c r="B21425" s="5">
        <f>IFERROR(__xludf.DUMMYFUNCTION("""COMPUTED_VALUE"""),44785.0)</f>
        <v>44785</v>
      </c>
      <c r="C21425" s="6">
        <f>IFERROR(__xludf.DUMMYFUNCTION("""COMPUTED_VALUE"""),0.35408564814861165)</f>
        <v>0.3540856481</v>
      </c>
      <c r="D21425" s="4">
        <f>IFERROR(__xludf.DUMMYFUNCTION("""COMPUTED_VALUE"""),12.883844)</f>
        <v>12.883844</v>
      </c>
      <c r="E21425" s="4">
        <f>IFERROR(__xludf.DUMMYFUNCTION("""COMPUTED_VALUE"""),80.082216)</f>
        <v>80.082216</v>
      </c>
      <c r="F21425" s="4">
        <f>IFERROR(__xludf.DUMMYFUNCTION("""COMPUTED_VALUE"""),805.0)</f>
        <v>805</v>
      </c>
      <c r="G21425" s="4">
        <f>IFERROR(__xludf.DUMMYFUNCTION("""COMPUTED_VALUE"""),45.0)</f>
        <v>45</v>
      </c>
      <c r="H21425" s="4"/>
      <c r="I21425" s="4"/>
    </row>
    <row r="21426">
      <c r="A21426" s="4" t="str">
        <f>IFERROR(__xludf.DUMMYFUNCTION("""COMPUTED_VALUE"""),"cas_hmw")</f>
        <v>cas_hmw</v>
      </c>
      <c r="B21426" s="5">
        <f>IFERROR(__xludf.DUMMYFUNCTION("""COMPUTED_VALUE"""),44785.0)</f>
        <v>44785</v>
      </c>
      <c r="C21426" s="6">
        <f>IFERROR(__xludf.DUMMYFUNCTION("""COMPUTED_VALUE"""),0.3551273148150358)</f>
        <v>0.3551273148</v>
      </c>
      <c r="D21426" s="4">
        <f>IFERROR(__xludf.DUMMYFUNCTION("""COMPUTED_VALUE"""),12.904142)</f>
        <v>12.904142</v>
      </c>
      <c r="E21426" s="4">
        <f>IFERROR(__xludf.DUMMYFUNCTION("""COMPUTED_VALUE"""),80.094772)</f>
        <v>80.094772</v>
      </c>
      <c r="F21426" s="4">
        <f>IFERROR(__xludf.DUMMYFUNCTION("""COMPUTED_VALUE"""),3143.0)</f>
        <v>3143</v>
      </c>
      <c r="G21426" s="4">
        <f>IFERROR(__xludf.DUMMYFUNCTION("""COMPUTED_VALUE"""),38.0)</f>
        <v>38</v>
      </c>
      <c r="H21426" s="4"/>
      <c r="I21426" s="4"/>
    </row>
    <row r="21427">
      <c r="A21427" s="4" t="str">
        <f>IFERROR(__xludf.DUMMYFUNCTION("""COMPUTED_VALUE"""),"cas_hmw")</f>
        <v>cas_hmw</v>
      </c>
      <c r="B21427" s="5">
        <f>IFERROR(__xludf.DUMMYFUNCTION("""COMPUTED_VALUE"""),44785.0)</f>
        <v>44785</v>
      </c>
      <c r="C21427" s="6">
        <f>IFERROR(__xludf.DUMMYFUNCTION("""COMPUTED_VALUE"""),0.35513888888817746)</f>
        <v>0.3551388889</v>
      </c>
      <c r="D21427" s="4">
        <f>IFERROR(__xludf.DUMMYFUNCTION("""COMPUTED_VALUE"""),12.901293)</f>
        <v>12.901293</v>
      </c>
      <c r="E21427" s="4">
        <f>IFERROR(__xludf.DUMMYFUNCTION("""COMPUTED_VALUE"""),80.092511)</f>
        <v>80.092511</v>
      </c>
      <c r="F21427" s="4">
        <f>IFERROR(__xludf.DUMMYFUNCTION("""COMPUTED_VALUE"""),3143.0)</f>
        <v>3143</v>
      </c>
      <c r="G21427" s="4">
        <f>IFERROR(__xludf.DUMMYFUNCTION("""COMPUTED_VALUE"""),55.0)</f>
        <v>55</v>
      </c>
      <c r="H21427" s="4"/>
      <c r="I21427" s="4"/>
    </row>
    <row r="21428">
      <c r="A21428" s="4" t="str">
        <f>IFERROR(__xludf.DUMMYFUNCTION("""COMPUTED_VALUE"""),"cas_hmw")</f>
        <v>cas_hmw</v>
      </c>
      <c r="B21428" s="5">
        <f>IFERROR(__xludf.DUMMYFUNCTION("""COMPUTED_VALUE"""),44785.0)</f>
        <v>44785</v>
      </c>
      <c r="C21428" s="6">
        <f>IFERROR(__xludf.DUMMYFUNCTION("""COMPUTED_VALUE"""),0.3560069444429246)</f>
        <v>0.3560069444</v>
      </c>
      <c r="D21428" s="4">
        <f>IFERROR(__xludf.DUMMYFUNCTION("""COMPUTED_VALUE"""),12.89504)</f>
        <v>12.89504</v>
      </c>
      <c r="E21428" s="4">
        <f>IFERROR(__xludf.DUMMYFUNCTION("""COMPUTED_VALUE"""),80.087781)</f>
        <v>80.087781</v>
      </c>
      <c r="F21428" s="4">
        <f>IFERROR(__xludf.DUMMYFUNCTION("""COMPUTED_VALUE"""),3143.0)</f>
        <v>3143</v>
      </c>
      <c r="G21428" s="4">
        <f>IFERROR(__xludf.DUMMYFUNCTION("""COMPUTED_VALUE"""),52.0)</f>
        <v>52</v>
      </c>
      <c r="H21428" s="4"/>
      <c r="I21428" s="4"/>
    </row>
    <row r="21429">
      <c r="A21429" s="4" t="str">
        <f>IFERROR(__xludf.DUMMYFUNCTION("""COMPUTED_VALUE"""),"cas_hmw")</f>
        <v>cas_hmw</v>
      </c>
      <c r="B21429" s="5">
        <f>IFERROR(__xludf.DUMMYFUNCTION("""COMPUTED_VALUE"""),44785.0)</f>
        <v>44785</v>
      </c>
      <c r="C21429" s="6">
        <f>IFERROR(__xludf.DUMMYFUNCTION("""COMPUTED_VALUE"""),0.3567476851858373)</f>
        <v>0.3567476852</v>
      </c>
      <c r="D21429" s="4">
        <f>IFERROR(__xludf.DUMMYFUNCTION("""COMPUTED_VALUE"""),12.886539)</f>
        <v>12.886539</v>
      </c>
      <c r="E21429" s="4">
        <f>IFERROR(__xludf.DUMMYFUNCTION("""COMPUTED_VALUE"""),80.083218)</f>
        <v>80.083218</v>
      </c>
      <c r="F21429" s="4">
        <f>IFERROR(__xludf.DUMMYFUNCTION("""COMPUTED_VALUE"""),3143.0)</f>
        <v>3143</v>
      </c>
      <c r="G21429" s="4">
        <f>IFERROR(__xludf.DUMMYFUNCTION("""COMPUTED_VALUE"""),50.0)</f>
        <v>50</v>
      </c>
      <c r="H21429" s="4"/>
      <c r="I21429" s="4"/>
    </row>
    <row r="21430">
      <c r="A21430" s="4" t="str">
        <f>IFERROR(__xludf.DUMMYFUNCTION("""COMPUTED_VALUE"""),"cas_hmw")</f>
        <v>cas_hmw</v>
      </c>
      <c r="B21430" s="5">
        <f>IFERROR(__xludf.DUMMYFUNCTION("""COMPUTED_VALUE"""),44785.0)</f>
        <v>44785</v>
      </c>
      <c r="C21430" s="6">
        <f>IFERROR(__xludf.DUMMYFUNCTION("""COMPUTED_VALUE"""),0.6923032407394203)</f>
        <v>0.6923032407</v>
      </c>
      <c r="D21430" s="4">
        <f>IFERROR(__xludf.DUMMYFUNCTION("""COMPUTED_VALUE"""),12.881089)</f>
        <v>12.881089</v>
      </c>
      <c r="E21430" s="4">
        <f>IFERROR(__xludf.DUMMYFUNCTION("""COMPUTED_VALUE"""),80.080621)</f>
        <v>80.080621</v>
      </c>
      <c r="F21430" s="4">
        <f>IFERROR(__xludf.DUMMYFUNCTION("""COMPUTED_VALUE"""),805.0)</f>
        <v>805</v>
      </c>
      <c r="G21430" s="4">
        <f>IFERROR(__xludf.DUMMYFUNCTION("""COMPUTED_VALUE"""),13.0)</f>
        <v>13</v>
      </c>
      <c r="H21430" s="4"/>
      <c r="I21430" s="4"/>
    </row>
    <row r="21431">
      <c r="A21431" s="4" t="str">
        <f>IFERROR(__xludf.DUMMYFUNCTION("""COMPUTED_VALUE"""),"cas_hmw")</f>
        <v>cas_hmw</v>
      </c>
      <c r="B21431" s="5">
        <f>IFERROR(__xludf.DUMMYFUNCTION("""COMPUTED_VALUE"""),44785.0)</f>
        <v>44785</v>
      </c>
      <c r="C21431" s="6">
        <f>IFERROR(__xludf.DUMMYFUNCTION("""COMPUTED_VALUE"""),0.6923148148161999)</f>
        <v>0.6923148148</v>
      </c>
      <c r="D21431" s="4">
        <f>IFERROR(__xludf.DUMMYFUNCTION("""COMPUTED_VALUE"""),12.881545)</f>
        <v>12.881545</v>
      </c>
      <c r="E21431" s="4">
        <f>IFERROR(__xludf.DUMMYFUNCTION("""COMPUTED_VALUE"""),80.080725)</f>
        <v>80.080725</v>
      </c>
      <c r="F21431" s="4">
        <f>IFERROR(__xludf.DUMMYFUNCTION("""COMPUTED_VALUE"""),805.0)</f>
        <v>805</v>
      </c>
      <c r="G21431" s="4">
        <f>IFERROR(__xludf.DUMMYFUNCTION("""COMPUTED_VALUE"""),29.0)</f>
        <v>29</v>
      </c>
      <c r="H21431" s="4"/>
      <c r="I21431" s="4"/>
    </row>
    <row r="21432">
      <c r="A21432" s="4" t="str">
        <f>IFERROR(__xludf.DUMMYFUNCTION("""COMPUTED_VALUE"""),"cas_hmw")</f>
        <v>cas_hmw</v>
      </c>
      <c r="B21432" s="5">
        <f>IFERROR(__xludf.DUMMYFUNCTION("""COMPUTED_VALUE"""),44785.0)</f>
        <v>44785</v>
      </c>
      <c r="C21432" s="6">
        <f>IFERROR(__xludf.DUMMYFUNCTION("""COMPUTED_VALUE"""),0.6923148148161999)</f>
        <v>0.6923148148</v>
      </c>
      <c r="D21432" s="4">
        <f>IFERROR(__xludf.DUMMYFUNCTION("""COMPUTED_VALUE"""),12.881545)</f>
        <v>12.881545</v>
      </c>
      <c r="E21432" s="4">
        <f>IFERROR(__xludf.DUMMYFUNCTION("""COMPUTED_VALUE"""),80.080725)</f>
        <v>80.080725</v>
      </c>
      <c r="F21432" s="4">
        <f>IFERROR(__xludf.DUMMYFUNCTION("""COMPUTED_VALUE"""),805.0)</f>
        <v>805</v>
      </c>
      <c r="G21432" s="4">
        <f>IFERROR(__xludf.DUMMYFUNCTION("""COMPUTED_VALUE"""),29.0)</f>
        <v>29</v>
      </c>
      <c r="H21432" s="4"/>
      <c r="I21432" s="4"/>
    </row>
    <row r="21433">
      <c r="A21433" s="4" t="str">
        <f>IFERROR(__xludf.DUMMYFUNCTION("""COMPUTED_VALUE"""),"cas_hmw")</f>
        <v>cas_hmw</v>
      </c>
      <c r="B21433" s="5">
        <f>IFERROR(__xludf.DUMMYFUNCTION("""COMPUTED_VALUE"""),44785.0)</f>
        <v>44785</v>
      </c>
      <c r="C21433" s="6">
        <f>IFERROR(__xludf.DUMMYFUNCTION("""COMPUTED_VALUE"""),0.6926851851858373)</f>
        <v>0.6926851852</v>
      </c>
      <c r="D21433" s="4">
        <f>IFERROR(__xludf.DUMMYFUNCTION("""COMPUTED_VALUE"""),12.884174)</f>
        <v>12.884174</v>
      </c>
      <c r="E21433" s="4">
        <f>IFERROR(__xludf.DUMMYFUNCTION("""COMPUTED_VALUE"""),80.081748)</f>
        <v>80.081748</v>
      </c>
      <c r="F21433" s="4">
        <f>IFERROR(__xludf.DUMMYFUNCTION("""COMPUTED_VALUE"""),805.0)</f>
        <v>805</v>
      </c>
      <c r="G21433" s="4">
        <f>IFERROR(__xludf.DUMMYFUNCTION("""COMPUTED_VALUE"""),41.0)</f>
        <v>41</v>
      </c>
      <c r="H21433" s="4"/>
      <c r="I21433" s="4"/>
    </row>
    <row r="21434">
      <c r="A21434" s="4" t="str">
        <f>IFERROR(__xludf.DUMMYFUNCTION("""COMPUTED_VALUE"""),"cas_hmw")</f>
        <v>cas_hmw</v>
      </c>
      <c r="B21434" s="5">
        <f>IFERROR(__xludf.DUMMYFUNCTION("""COMPUTED_VALUE"""),44785.0)</f>
        <v>44785</v>
      </c>
      <c r="C21434" s="6">
        <f>IFERROR(__xludf.DUMMYFUNCTION("""COMPUTED_VALUE"""),0.6930208333324117)</f>
        <v>0.6930208333</v>
      </c>
      <c r="D21434" s="4">
        <f>IFERROR(__xludf.DUMMYFUNCTION("""COMPUTED_VALUE"""),12.887557)</f>
        <v>12.887557</v>
      </c>
      <c r="E21434" s="4">
        <f>IFERROR(__xludf.DUMMYFUNCTION("""COMPUTED_VALUE"""),80.083473)</f>
        <v>80.083473</v>
      </c>
      <c r="F21434" s="4">
        <f>IFERROR(__xludf.DUMMYFUNCTION("""COMPUTED_VALUE"""),805.0)</f>
        <v>805</v>
      </c>
      <c r="G21434" s="4">
        <f>IFERROR(__xludf.DUMMYFUNCTION("""COMPUTED_VALUE"""),56.0)</f>
        <v>56</v>
      </c>
      <c r="H21434" s="4"/>
      <c r="I21434" s="4"/>
    </row>
    <row r="21435">
      <c r="A21435" s="4" t="str">
        <f>IFERROR(__xludf.DUMMYFUNCTION("""COMPUTED_VALUE"""),"cas_hmw")</f>
        <v>cas_hmw</v>
      </c>
      <c r="B21435" s="5">
        <f>IFERROR(__xludf.DUMMYFUNCTION("""COMPUTED_VALUE"""),44785.0)</f>
        <v>44785</v>
      </c>
      <c r="C21435" s="6">
        <f>IFERROR(__xludf.DUMMYFUNCTION("""COMPUTED_VALUE"""),0.6931250000016007)</f>
        <v>0.693125</v>
      </c>
      <c r="D21435" s="4">
        <f>IFERROR(__xludf.DUMMYFUNCTION("""COMPUTED_VALUE"""),12.871642)</f>
        <v>12.871642</v>
      </c>
      <c r="E21435" s="4">
        <f>IFERROR(__xludf.DUMMYFUNCTION("""COMPUTED_VALUE"""),80.077286)</f>
        <v>80.077286</v>
      </c>
      <c r="F21435" s="4">
        <f>IFERROR(__xludf.DUMMYFUNCTION("""COMPUTED_VALUE"""),2846.0)</f>
        <v>2846</v>
      </c>
      <c r="G21435" s="4">
        <f>IFERROR(__xludf.DUMMYFUNCTION("""COMPUTED_VALUE"""),57.0)</f>
        <v>57</v>
      </c>
      <c r="H21435" s="4"/>
      <c r="I21435" s="4"/>
    </row>
    <row r="21436">
      <c r="A21436" s="4" t="str">
        <f>IFERROR(__xludf.DUMMYFUNCTION("""COMPUTED_VALUE"""),"cas_hmw")</f>
        <v>cas_hmw</v>
      </c>
      <c r="B21436" s="5">
        <f>IFERROR(__xludf.DUMMYFUNCTION("""COMPUTED_VALUE"""),44785.0)</f>
        <v>44785</v>
      </c>
      <c r="C21436" s="6">
        <f>IFERROR(__xludf.DUMMYFUNCTION("""COMPUTED_VALUE"""),0.6936805555560568)</f>
        <v>0.6936805556</v>
      </c>
      <c r="D21436" s="4">
        <f>IFERROR(__xludf.DUMMYFUNCTION("""COMPUTED_VALUE"""),12.862174)</f>
        <v>12.862174</v>
      </c>
      <c r="E21436" s="4">
        <f>IFERROR(__xludf.DUMMYFUNCTION("""COMPUTED_VALUE"""),80.07363)</f>
        <v>80.07363</v>
      </c>
      <c r="F21436" s="4">
        <f>IFERROR(__xludf.DUMMYFUNCTION("""COMPUTED_VALUE"""),2846.0)</f>
        <v>2846</v>
      </c>
      <c r="G21436" s="4">
        <f>IFERROR(__xludf.DUMMYFUNCTION("""COMPUTED_VALUE"""),56.0)</f>
        <v>56</v>
      </c>
      <c r="H21436" s="4"/>
      <c r="I21436" s="4"/>
    </row>
    <row r="21437">
      <c r="A21437" s="4" t="str">
        <f>IFERROR(__xludf.DUMMYFUNCTION("""COMPUTED_VALUE"""),"cas_hmw")</f>
        <v>cas_hmw</v>
      </c>
      <c r="B21437" s="5">
        <f>IFERROR(__xludf.DUMMYFUNCTION("""COMPUTED_VALUE"""),44785.0)</f>
        <v>44785</v>
      </c>
      <c r="C21437" s="6">
        <f>IFERROR(__xludf.DUMMYFUNCTION("""COMPUTED_VALUE"""),0.6939814814832062)</f>
        <v>0.6939814815</v>
      </c>
      <c r="D21437" s="4">
        <f>IFERROR(__xludf.DUMMYFUNCTION("""COMPUTED_VALUE"""),12.897144)</f>
        <v>12.897144</v>
      </c>
      <c r="E21437" s="4">
        <f>IFERROR(__xludf.DUMMYFUNCTION("""COMPUTED_VALUE"""),80.089222)</f>
        <v>80.089222</v>
      </c>
      <c r="F21437" s="4">
        <f>IFERROR(__xludf.DUMMYFUNCTION("""COMPUTED_VALUE"""),805.0)</f>
        <v>805</v>
      </c>
      <c r="G21437" s="4">
        <f>IFERROR(__xludf.DUMMYFUNCTION("""COMPUTED_VALUE"""),46.0)</f>
        <v>46</v>
      </c>
      <c r="H21437" s="4"/>
      <c r="I21437" s="4"/>
    </row>
    <row r="21438">
      <c r="A21438" s="4" t="str">
        <f>IFERROR(__xludf.DUMMYFUNCTION("""COMPUTED_VALUE"""),"cas_hmw")</f>
        <v>cas_hmw</v>
      </c>
      <c r="B21438" s="5">
        <f>IFERROR(__xludf.DUMMYFUNCTION("""COMPUTED_VALUE"""),44785.0)</f>
        <v>44785</v>
      </c>
      <c r="C21438" s="6">
        <f>IFERROR(__xludf.DUMMYFUNCTION("""COMPUTED_VALUE"""),0.6941087962950405)</f>
        <v>0.6941087963</v>
      </c>
      <c r="D21438" s="4">
        <f>IFERROR(__xludf.DUMMYFUNCTION("""COMPUTED_VALUE"""),12.898916)</f>
        <v>12.898916</v>
      </c>
      <c r="E21438" s="4">
        <f>IFERROR(__xludf.DUMMYFUNCTION("""COMPUTED_VALUE"""),80.090538)</f>
        <v>80.090538</v>
      </c>
      <c r="F21438" s="4">
        <f>IFERROR(__xludf.DUMMYFUNCTION("""COMPUTED_VALUE"""),5339.0)</f>
        <v>5339</v>
      </c>
      <c r="G21438" s="4">
        <f>IFERROR(__xludf.DUMMYFUNCTION("""COMPUTED_VALUE"""),46.0)</f>
        <v>46</v>
      </c>
      <c r="H21438" s="4"/>
      <c r="I21438" s="4"/>
    </row>
    <row r="21439">
      <c r="A21439" s="4" t="str">
        <f>IFERROR(__xludf.DUMMYFUNCTION("""COMPUTED_VALUE"""),"cas_hmw")</f>
        <v>cas_hmw</v>
      </c>
      <c r="B21439" s="5">
        <f>IFERROR(__xludf.DUMMYFUNCTION("""COMPUTED_VALUE"""),44785.0)</f>
        <v>44785</v>
      </c>
      <c r="C21439" s="6">
        <f>IFERROR(__xludf.DUMMYFUNCTION("""COMPUTED_VALUE"""),0.6942245370373712)</f>
        <v>0.694224537</v>
      </c>
      <c r="D21439" s="4">
        <f>IFERROR(__xludf.DUMMYFUNCTION("""COMPUTED_VALUE"""),12.899175)</f>
        <v>12.899175</v>
      </c>
      <c r="E21439" s="4">
        <f>IFERROR(__xludf.DUMMYFUNCTION("""COMPUTED_VALUE"""),80.090734)</f>
        <v>80.090734</v>
      </c>
      <c r="F21439" s="4">
        <f>IFERROR(__xludf.DUMMYFUNCTION("""COMPUTED_VALUE"""),805.0)</f>
        <v>805</v>
      </c>
      <c r="G21439" s="4">
        <f>IFERROR(__xludf.DUMMYFUNCTION("""COMPUTED_VALUE"""),55.0)</f>
        <v>55</v>
      </c>
      <c r="H21439" s="4"/>
      <c r="I21439" s="4"/>
    </row>
    <row r="21440">
      <c r="A21440" s="4" t="str">
        <f>IFERROR(__xludf.DUMMYFUNCTION("""COMPUTED_VALUE"""),"cas_hmw")</f>
        <v>cas_hmw</v>
      </c>
      <c r="B21440" s="5">
        <f>IFERROR(__xludf.DUMMYFUNCTION("""COMPUTED_VALUE"""),44785.0)</f>
        <v>44785</v>
      </c>
      <c r="C21440" s="6">
        <f>IFERROR(__xludf.DUMMYFUNCTION("""COMPUTED_VALUE"""),0.6944791666683159)</f>
        <v>0.6944791667</v>
      </c>
      <c r="D21440" s="4">
        <f>IFERROR(__xludf.DUMMYFUNCTION("""COMPUTED_VALUE"""),12.902041)</f>
        <v>12.902041</v>
      </c>
      <c r="E21440" s="4">
        <f>IFERROR(__xludf.DUMMYFUNCTION("""COMPUTED_VALUE"""),80.092927)</f>
        <v>80.092927</v>
      </c>
      <c r="F21440" s="4">
        <f>IFERROR(__xludf.DUMMYFUNCTION("""COMPUTED_VALUE"""),5339.0)</f>
        <v>5339</v>
      </c>
      <c r="G21440" s="4">
        <f>IFERROR(__xludf.DUMMYFUNCTION("""COMPUTED_VALUE"""),52.0)</f>
        <v>52</v>
      </c>
      <c r="H21440" s="4"/>
      <c r="I21440" s="4"/>
    </row>
    <row r="21441">
      <c r="A21441" s="4" t="str">
        <f>IFERROR(__xludf.DUMMYFUNCTION("""COMPUTED_VALUE"""),"cas_hmw")</f>
        <v>cas_hmw</v>
      </c>
      <c r="B21441" s="5">
        <f>IFERROR(__xludf.DUMMYFUNCTION("""COMPUTED_VALUE"""),44785.0)</f>
        <v>44785</v>
      </c>
      <c r="C21441" s="6">
        <f>IFERROR(__xludf.DUMMYFUNCTION("""COMPUTED_VALUE"""),0.6945486111108039)</f>
        <v>0.6945486111</v>
      </c>
      <c r="D21441" s="4">
        <f>IFERROR(__xludf.DUMMYFUNCTION("""COMPUTED_VALUE"""),12.903019)</f>
        <v>12.903019</v>
      </c>
      <c r="E21441" s="4">
        <f>IFERROR(__xludf.DUMMYFUNCTION("""COMPUTED_VALUE"""),80.093703)</f>
        <v>80.093703</v>
      </c>
      <c r="F21441" s="4">
        <f>IFERROR(__xludf.DUMMYFUNCTION("""COMPUTED_VALUE"""),5339.0)</f>
        <v>5339</v>
      </c>
      <c r="G21441" s="4">
        <f>IFERROR(__xludf.DUMMYFUNCTION("""COMPUTED_VALUE"""),47.0)</f>
        <v>47</v>
      </c>
      <c r="H21441" s="4"/>
      <c r="I21441" s="4"/>
    </row>
    <row r="21442">
      <c r="A21442" s="4" t="str">
        <f>IFERROR(__xludf.DUMMYFUNCTION("""COMPUTED_VALUE"""),"cas_hmw")</f>
        <v>cas_hmw</v>
      </c>
      <c r="B21442" s="5">
        <f>IFERROR(__xludf.DUMMYFUNCTION("""COMPUTED_VALUE"""),44785.0)</f>
        <v>44785</v>
      </c>
      <c r="C21442" s="6">
        <f>IFERROR(__xludf.DUMMYFUNCTION("""COMPUTED_VALUE"""),0.6946064814801503)</f>
        <v>0.6946064815</v>
      </c>
      <c r="D21442" s="4">
        <f>IFERROR(__xludf.DUMMYFUNCTION("""COMPUTED_VALUE"""),12.902285)</f>
        <v>12.902285</v>
      </c>
      <c r="E21442" s="4">
        <f>IFERROR(__xludf.DUMMYFUNCTION("""COMPUTED_VALUE"""),80.093025)</f>
        <v>80.093025</v>
      </c>
      <c r="F21442" s="4">
        <f>IFERROR(__xludf.DUMMYFUNCTION("""COMPUTED_VALUE"""),805.0)</f>
        <v>805</v>
      </c>
      <c r="G21442" s="4">
        <f>IFERROR(__xludf.DUMMYFUNCTION("""COMPUTED_VALUE"""),51.0)</f>
        <v>51</v>
      </c>
      <c r="H21442" s="4"/>
      <c r="I21442" s="4"/>
    </row>
    <row r="21443">
      <c r="A21443" s="4" t="str">
        <f>IFERROR(__xludf.DUMMYFUNCTION("""COMPUTED_VALUE"""),"cas_hmw")</f>
        <v>cas_hmw</v>
      </c>
      <c r="B21443" s="5">
        <f>IFERROR(__xludf.DUMMYFUNCTION("""COMPUTED_VALUE"""),44785.0)</f>
        <v>44785</v>
      </c>
      <c r="C21443" s="6">
        <f>IFERROR(__xludf.DUMMYFUNCTION("""COMPUTED_VALUE"""),0.6946296296300716)</f>
        <v>0.6946296296</v>
      </c>
      <c r="D21443" s="4">
        <f>IFERROR(__xludf.DUMMYFUNCTION("""COMPUTED_VALUE"""),12.903332)</f>
        <v>12.903332</v>
      </c>
      <c r="E21443" s="4">
        <f>IFERROR(__xludf.DUMMYFUNCTION("""COMPUTED_VALUE"""),80.093809)</f>
        <v>80.093809</v>
      </c>
      <c r="F21443" s="4">
        <f>IFERROR(__xludf.DUMMYFUNCTION("""COMPUTED_VALUE"""),805.0)</f>
        <v>805</v>
      </c>
      <c r="G21443" s="4">
        <f>IFERROR(__xludf.DUMMYFUNCTION("""COMPUTED_VALUE"""),48.0)</f>
        <v>48</v>
      </c>
      <c r="H21443" s="4"/>
      <c r="I21443" s="4"/>
    </row>
    <row r="21444">
      <c r="A21444" s="4" t="str">
        <f>IFERROR(__xludf.DUMMYFUNCTION("""COMPUTED_VALUE"""),"cas_hmw")</f>
        <v>cas_hmw</v>
      </c>
      <c r="B21444" s="5">
        <f>IFERROR(__xludf.DUMMYFUNCTION("""COMPUTED_VALUE"""),44785.0)</f>
        <v>44785</v>
      </c>
      <c r="C21444" s="6">
        <f>IFERROR(__xludf.DUMMYFUNCTION("""COMPUTED_VALUE"""),0.695486111111677)</f>
        <v>0.6954861111</v>
      </c>
      <c r="D21444" s="4">
        <f>IFERROR(__xludf.DUMMYFUNCTION("""COMPUTED_VALUE"""),12.90947)</f>
        <v>12.90947</v>
      </c>
      <c r="E21444" s="4">
        <f>IFERROR(__xludf.DUMMYFUNCTION("""COMPUTED_VALUE"""),80.099073)</f>
        <v>80.099073</v>
      </c>
      <c r="F21444" s="4">
        <f>IFERROR(__xludf.DUMMYFUNCTION("""COMPUTED_VALUE"""),5339.0)</f>
        <v>5339</v>
      </c>
      <c r="G21444" s="4">
        <f>IFERROR(__xludf.DUMMYFUNCTION("""COMPUTED_VALUE"""),45.0)</f>
        <v>45</v>
      </c>
      <c r="H21444" s="4"/>
      <c r="I21444" s="4"/>
    </row>
    <row r="21445">
      <c r="A21445" s="4" t="str">
        <f>IFERROR(__xludf.DUMMYFUNCTION("""COMPUTED_VALUE"""),"cas_hmw")</f>
        <v>cas_hmw</v>
      </c>
      <c r="B21445" s="5">
        <f>IFERROR(__xludf.DUMMYFUNCTION("""COMPUTED_VALUE"""),44785.0)</f>
        <v>44785</v>
      </c>
      <c r="C21445" s="6">
        <f>IFERROR(__xludf.DUMMYFUNCTION("""COMPUTED_VALUE"""),0.6956712962964957)</f>
        <v>0.6956712963</v>
      </c>
      <c r="D21445" s="4">
        <f>IFERROR(__xludf.DUMMYFUNCTION("""COMPUTED_VALUE"""),12.908783)</f>
        <v>12.908783</v>
      </c>
      <c r="E21445" s="4">
        <f>IFERROR(__xludf.DUMMYFUNCTION("""COMPUTED_VALUE"""),80.098066)</f>
        <v>80.098066</v>
      </c>
      <c r="F21445" s="4">
        <f>IFERROR(__xludf.DUMMYFUNCTION("""COMPUTED_VALUE"""),3143.0)</f>
        <v>3143</v>
      </c>
      <c r="G21445" s="4">
        <f>IFERROR(__xludf.DUMMYFUNCTION("""COMPUTED_VALUE"""),18.0)</f>
        <v>18</v>
      </c>
      <c r="H21445" s="4"/>
      <c r="I21445" s="4"/>
    </row>
    <row r="21446">
      <c r="A21446" s="4" t="str">
        <f>IFERROR(__xludf.DUMMYFUNCTION("""COMPUTED_VALUE"""),"cas_hmw")</f>
        <v>cas_hmw</v>
      </c>
      <c r="B21446" s="5">
        <f>IFERROR(__xludf.DUMMYFUNCTION("""COMPUTED_VALUE"""),44785.0)</f>
        <v>44785</v>
      </c>
      <c r="C21446" s="6">
        <f>IFERROR(__xludf.DUMMYFUNCTION("""COMPUTED_VALUE"""),0.6957754629620467)</f>
        <v>0.695775463</v>
      </c>
      <c r="D21446" s="4">
        <f>IFERROR(__xludf.DUMMYFUNCTION("""COMPUTED_VALUE"""),12.908917)</f>
        <v>12.908917</v>
      </c>
      <c r="E21446" s="4">
        <f>IFERROR(__xludf.DUMMYFUNCTION("""COMPUTED_VALUE"""),80.098256)</f>
        <v>80.098256</v>
      </c>
      <c r="F21446" s="4">
        <f>IFERROR(__xludf.DUMMYFUNCTION("""COMPUTED_VALUE"""),3143.0)</f>
        <v>3143</v>
      </c>
      <c r="G21446" s="4">
        <f>IFERROR(__xludf.DUMMYFUNCTION("""COMPUTED_VALUE"""),0.0)</f>
        <v>0</v>
      </c>
      <c r="H21446" s="4"/>
      <c r="I21446" s="4"/>
    </row>
    <row r="21447">
      <c r="A21447" s="4" t="str">
        <f>IFERROR(__xludf.DUMMYFUNCTION("""COMPUTED_VALUE"""),"cas_hmw")</f>
        <v>cas_hmw</v>
      </c>
      <c r="B21447" s="5">
        <f>IFERROR(__xludf.DUMMYFUNCTION("""COMPUTED_VALUE"""),44785.0)</f>
        <v>44785</v>
      </c>
      <c r="C21447" s="6">
        <f>IFERROR(__xludf.DUMMYFUNCTION("""COMPUTED_VALUE"""),0.6959259259274404)</f>
        <v>0.6959259259</v>
      </c>
      <c r="D21447" s="4">
        <f>IFERROR(__xludf.DUMMYFUNCTION("""COMPUTED_VALUE"""),12.908917)</f>
        <v>12.908917</v>
      </c>
      <c r="E21447" s="4">
        <f>IFERROR(__xludf.DUMMYFUNCTION("""COMPUTED_VALUE"""),80.098256)</f>
        <v>80.098256</v>
      </c>
      <c r="F21447" s="4">
        <f>IFERROR(__xludf.DUMMYFUNCTION("""COMPUTED_VALUE"""),3143.0)</f>
        <v>3143</v>
      </c>
      <c r="G21447" s="4">
        <f>IFERROR(__xludf.DUMMYFUNCTION("""COMPUTED_VALUE"""),0.0)</f>
        <v>0</v>
      </c>
      <c r="H21447" s="4"/>
      <c r="I21447" s="4"/>
    </row>
    <row r="21448">
      <c r="A21448" s="4" t="str">
        <f>IFERROR(__xludf.DUMMYFUNCTION("""COMPUTED_VALUE"""),"cas_hmw")</f>
        <v>cas_hmw</v>
      </c>
      <c r="B21448" s="5">
        <f>IFERROR(__xludf.DUMMYFUNCTION("""COMPUTED_VALUE"""),44785.0)</f>
        <v>44785</v>
      </c>
      <c r="C21448" s="6">
        <f>IFERROR(__xludf.DUMMYFUNCTION("""COMPUTED_VALUE"""),0.6962847222239361)</f>
        <v>0.6962847222</v>
      </c>
      <c r="D21448" s="4">
        <f>IFERROR(__xludf.DUMMYFUNCTION("""COMPUTED_VALUE"""),12.909383)</f>
        <v>12.909383</v>
      </c>
      <c r="E21448" s="4">
        <f>IFERROR(__xludf.DUMMYFUNCTION("""COMPUTED_VALUE"""),80.098903)</f>
        <v>80.098903</v>
      </c>
      <c r="F21448" s="4">
        <f>IFERROR(__xludf.DUMMYFUNCTION("""COMPUTED_VALUE"""),3143.0)</f>
        <v>3143</v>
      </c>
      <c r="G21448" s="4">
        <f>IFERROR(__xludf.DUMMYFUNCTION("""COMPUTED_VALUE"""),34.0)</f>
        <v>34</v>
      </c>
      <c r="H21448" s="4"/>
      <c r="I21448" s="4"/>
    </row>
    <row r="21449">
      <c r="A21449" s="4" t="str">
        <f>IFERROR(__xludf.DUMMYFUNCTION("""COMPUTED_VALUE"""),"cas_hmw")</f>
        <v>cas_hmw</v>
      </c>
      <c r="B21449" s="5">
        <f>IFERROR(__xludf.DUMMYFUNCTION("""COMPUTED_VALUE"""),44785.0)</f>
        <v>44785</v>
      </c>
      <c r="C21449" s="6">
        <f>IFERROR(__xludf.DUMMYFUNCTION("""COMPUTED_VALUE"""),0.6964583333319752)</f>
        <v>0.6964583333</v>
      </c>
      <c r="D21449" s="4">
        <f>IFERROR(__xludf.DUMMYFUNCTION("""COMPUTED_VALUE"""),12.910288)</f>
        <v>12.910288</v>
      </c>
      <c r="E21449" s="4">
        <f>IFERROR(__xludf.DUMMYFUNCTION("""COMPUTED_VALUE"""),80.100372)</f>
        <v>80.100372</v>
      </c>
      <c r="F21449" s="4">
        <f>IFERROR(__xludf.DUMMYFUNCTION("""COMPUTED_VALUE"""),3143.0)</f>
        <v>3143</v>
      </c>
      <c r="G21449" s="4">
        <f>IFERROR(__xludf.DUMMYFUNCTION("""COMPUTED_VALUE"""),46.0)</f>
        <v>46</v>
      </c>
      <c r="H21449" s="4"/>
      <c r="I21449" s="4"/>
    </row>
    <row r="21450">
      <c r="A21450" s="4" t="str">
        <f>IFERROR(__xludf.DUMMYFUNCTION("""COMPUTED_VALUE"""),"cas_hmw")</f>
        <v>cas_hmw</v>
      </c>
      <c r="B21450" s="5">
        <f>IFERROR(__xludf.DUMMYFUNCTION("""COMPUTED_VALUE"""),44785.0)</f>
        <v>44785</v>
      </c>
      <c r="C21450" s="6">
        <f>IFERROR(__xludf.DUMMYFUNCTION("""COMPUTED_VALUE"""),0.6966898148129985)</f>
        <v>0.6966898148</v>
      </c>
      <c r="D21450" s="4">
        <f>IFERROR(__xludf.DUMMYFUNCTION("""COMPUTED_VALUE"""),12.911469)</f>
        <v>12.911469</v>
      </c>
      <c r="E21450" s="4">
        <f>IFERROR(__xludf.DUMMYFUNCTION("""COMPUTED_VALUE"""),80.101263)</f>
        <v>80.101263</v>
      </c>
      <c r="F21450" s="4">
        <f>IFERROR(__xludf.DUMMYFUNCTION("""COMPUTED_VALUE"""),3143.0)</f>
        <v>3143</v>
      </c>
      <c r="G21450" s="4">
        <f>IFERROR(__xludf.DUMMYFUNCTION("""COMPUTED_VALUE"""),23.0)</f>
        <v>23</v>
      </c>
      <c r="H21450" s="4"/>
      <c r="I21450" s="4"/>
    </row>
    <row r="21451">
      <c r="A21451" s="4" t="str">
        <f>IFERROR(__xludf.DUMMYFUNCTION("""COMPUTED_VALUE"""),"cas_hmw")</f>
        <v>cas_hmw</v>
      </c>
      <c r="B21451" s="5">
        <f>IFERROR(__xludf.DUMMYFUNCTION("""COMPUTED_VALUE"""),44785.0)</f>
        <v>44785</v>
      </c>
      <c r="C21451" s="6">
        <f>IFERROR(__xludf.DUMMYFUNCTION("""COMPUTED_VALUE"""),0.6970254629632109)</f>
        <v>0.697025463</v>
      </c>
      <c r="D21451" s="4">
        <f>IFERROR(__xludf.DUMMYFUNCTION("""COMPUTED_VALUE"""),12.91466)</f>
        <v>12.91466</v>
      </c>
      <c r="E21451" s="4">
        <f>IFERROR(__xludf.DUMMYFUNCTION("""COMPUTED_VALUE"""),80.101825)</f>
        <v>80.101825</v>
      </c>
      <c r="F21451" s="4">
        <f>IFERROR(__xludf.DUMMYFUNCTION("""COMPUTED_VALUE"""),3143.0)</f>
        <v>3143</v>
      </c>
      <c r="G21451" s="4">
        <f>IFERROR(__xludf.DUMMYFUNCTION("""COMPUTED_VALUE"""),49.0)</f>
        <v>49</v>
      </c>
      <c r="H21451" s="4"/>
      <c r="I21451" s="4"/>
    </row>
    <row r="21452">
      <c r="A21452" s="4" t="str">
        <f>IFERROR(__xludf.DUMMYFUNCTION("""COMPUTED_VALUE"""),"cas_hmw")</f>
        <v>cas_hmw</v>
      </c>
      <c r="B21452" s="5">
        <f>IFERROR(__xludf.DUMMYFUNCTION("""COMPUTED_VALUE"""),44785.0)</f>
        <v>44785</v>
      </c>
      <c r="C21452" s="6">
        <f>IFERROR(__xludf.DUMMYFUNCTION("""COMPUTED_VALUE"""),0.6971412037019036)</f>
        <v>0.6971412037</v>
      </c>
      <c r="D21452" s="4">
        <f>IFERROR(__xludf.DUMMYFUNCTION("""COMPUTED_VALUE"""),12.91565)</f>
        <v>12.91565</v>
      </c>
      <c r="E21452" s="4">
        <f>IFERROR(__xludf.DUMMYFUNCTION("""COMPUTED_VALUE"""),80.103292)</f>
        <v>80.103292</v>
      </c>
      <c r="F21452" s="4">
        <f>IFERROR(__xludf.DUMMYFUNCTION("""COMPUTED_VALUE"""),3143.0)</f>
        <v>3143</v>
      </c>
      <c r="G21452" s="4">
        <f>IFERROR(__xludf.DUMMYFUNCTION("""COMPUTED_VALUE"""),48.0)</f>
        <v>48</v>
      </c>
      <c r="H21452" s="4"/>
      <c r="I21452" s="4"/>
    </row>
    <row r="21453">
      <c r="A21453" s="4" t="str">
        <f>IFERROR(__xludf.DUMMYFUNCTION("""COMPUTED_VALUE"""),"cas_hmw")</f>
        <v>cas_hmw</v>
      </c>
      <c r="B21453" s="5">
        <f>IFERROR(__xludf.DUMMYFUNCTION("""COMPUTED_VALUE"""),44785.0)</f>
        <v>44785</v>
      </c>
      <c r="C21453" s="6">
        <f>IFERROR(__xludf.DUMMYFUNCTION("""COMPUTED_VALUE"""),0.6971643518518249)</f>
        <v>0.6971643519</v>
      </c>
      <c r="D21453" s="4">
        <f>IFERROR(__xludf.DUMMYFUNCTION("""COMPUTED_VALUE"""),12.917396)</f>
        <v>12.917396</v>
      </c>
      <c r="E21453" s="4">
        <f>IFERROR(__xludf.DUMMYFUNCTION("""COMPUTED_VALUE"""),80.107712)</f>
        <v>80.107712</v>
      </c>
      <c r="F21453" s="4">
        <f>IFERROR(__xludf.DUMMYFUNCTION("""COMPUTED_VALUE"""),5339.0)</f>
        <v>5339</v>
      </c>
      <c r="G21453" s="4">
        <f>IFERROR(__xludf.DUMMYFUNCTION("""COMPUTED_VALUE"""),29.0)</f>
        <v>29</v>
      </c>
      <c r="H21453" s="4"/>
      <c r="I21453" s="4"/>
    </row>
    <row r="21454">
      <c r="A21454" s="4" t="str">
        <f>IFERROR(__xludf.DUMMYFUNCTION("""COMPUTED_VALUE"""),"cas_hmw")</f>
        <v>cas_hmw</v>
      </c>
      <c r="B21454" s="5">
        <f>IFERROR(__xludf.DUMMYFUNCTION("""COMPUTED_VALUE"""),44785.0)</f>
        <v>44785</v>
      </c>
      <c r="C21454" s="6">
        <f>IFERROR(__xludf.DUMMYFUNCTION("""COMPUTED_VALUE"""),0.6973263888903602)</f>
        <v>0.6973263889</v>
      </c>
      <c r="D21454" s="4">
        <f>IFERROR(__xludf.DUMMYFUNCTION("""COMPUTED_VALUE"""),12.911883)</f>
        <v>12.911883</v>
      </c>
      <c r="E21454" s="4">
        <f>IFERROR(__xludf.DUMMYFUNCTION("""COMPUTED_VALUE"""),80.101346)</f>
        <v>80.101346</v>
      </c>
      <c r="F21454" s="4">
        <f>IFERROR(__xludf.DUMMYFUNCTION("""COMPUTED_VALUE"""),805.0)</f>
        <v>805</v>
      </c>
      <c r="G21454" s="4">
        <f>IFERROR(__xludf.DUMMYFUNCTION("""COMPUTED_VALUE"""),21.0)</f>
        <v>21</v>
      </c>
      <c r="H21454" s="4"/>
      <c r="I21454" s="4"/>
    </row>
    <row r="21455">
      <c r="A21455" s="4" t="str">
        <f>IFERROR(__xludf.DUMMYFUNCTION("""COMPUTED_VALUE"""),"cas_hmw")</f>
        <v>cas_hmw</v>
      </c>
      <c r="B21455" s="5">
        <f>IFERROR(__xludf.DUMMYFUNCTION("""COMPUTED_VALUE"""),44785.0)</f>
        <v>44785</v>
      </c>
      <c r="C21455" s="6">
        <f>IFERROR(__xludf.DUMMYFUNCTION("""COMPUTED_VALUE"""),0.6973958333328483)</f>
        <v>0.6973958333</v>
      </c>
      <c r="D21455" s="4">
        <f>IFERROR(__xludf.DUMMYFUNCTION("""COMPUTED_VALUE"""),12.918551)</f>
        <v>12.918551</v>
      </c>
      <c r="E21455" s="4">
        <f>IFERROR(__xludf.DUMMYFUNCTION("""COMPUTED_VALUE"""),80.109159)</f>
        <v>80.109159</v>
      </c>
      <c r="F21455" s="4">
        <f>IFERROR(__xludf.DUMMYFUNCTION("""COMPUTED_VALUE"""),5339.0)</f>
        <v>5339</v>
      </c>
      <c r="G21455" s="4">
        <f>IFERROR(__xludf.DUMMYFUNCTION("""COMPUTED_VALUE"""),44.0)</f>
        <v>44</v>
      </c>
      <c r="H21455" s="4"/>
      <c r="I21455" s="4"/>
    </row>
    <row r="21456">
      <c r="A21456" s="4" t="str">
        <f>IFERROR(__xludf.DUMMYFUNCTION("""COMPUTED_VALUE"""),"cas_hmw")</f>
        <v>cas_hmw</v>
      </c>
      <c r="B21456" s="5">
        <f>IFERROR(__xludf.DUMMYFUNCTION("""COMPUTED_VALUE"""),44785.0)</f>
        <v>44785</v>
      </c>
      <c r="C21456" s="6">
        <f>IFERROR(__xludf.DUMMYFUNCTION("""COMPUTED_VALUE"""),0.6974189814827696)</f>
        <v>0.6974189815</v>
      </c>
      <c r="D21456" s="4">
        <f>IFERROR(__xludf.DUMMYFUNCTION("""COMPUTED_VALUE"""),12.918551)</f>
        <v>12.918551</v>
      </c>
      <c r="E21456" s="4">
        <f>IFERROR(__xludf.DUMMYFUNCTION("""COMPUTED_VALUE"""),80.109159)</f>
        <v>80.109159</v>
      </c>
      <c r="F21456" s="4">
        <f>IFERROR(__xludf.DUMMYFUNCTION("""COMPUTED_VALUE"""),5339.0)</f>
        <v>5339</v>
      </c>
      <c r="G21456" s="4">
        <f>IFERROR(__xludf.DUMMYFUNCTION("""COMPUTED_VALUE"""),44.0)</f>
        <v>44</v>
      </c>
      <c r="H21456" s="4"/>
      <c r="I21456" s="4"/>
    </row>
    <row r="21457">
      <c r="A21457" s="4" t="str">
        <f>IFERROR(__xludf.DUMMYFUNCTION("""COMPUTED_VALUE"""),"cas_hmw")</f>
        <v>cas_hmw</v>
      </c>
      <c r="B21457" s="5">
        <f>IFERROR(__xludf.DUMMYFUNCTION("""COMPUTED_VALUE"""),44785.0)</f>
        <v>44785</v>
      </c>
      <c r="C21457" s="6">
        <f>IFERROR(__xludf.DUMMYFUNCTION("""COMPUTED_VALUE"""),0.6975347222214623)</f>
        <v>0.6975347222</v>
      </c>
      <c r="D21457" s="4">
        <f>IFERROR(__xludf.DUMMYFUNCTION("""COMPUTED_VALUE"""),12.918875)</f>
        <v>12.918875</v>
      </c>
      <c r="E21457" s="4">
        <f>IFERROR(__xludf.DUMMYFUNCTION("""COMPUTED_VALUE"""),80.109576)</f>
        <v>80.109576</v>
      </c>
      <c r="F21457" s="4">
        <f>IFERROR(__xludf.DUMMYFUNCTION("""COMPUTED_VALUE"""),805.0)</f>
        <v>805</v>
      </c>
      <c r="G21457" s="4">
        <f>IFERROR(__xludf.DUMMYFUNCTION("""COMPUTED_VALUE"""),46.0)</f>
        <v>46</v>
      </c>
      <c r="H21457" s="4"/>
      <c r="I21457" s="4"/>
    </row>
    <row r="21458">
      <c r="A21458" s="4" t="str">
        <f>IFERROR(__xludf.DUMMYFUNCTION("""COMPUTED_VALUE"""),"cas_hmw")</f>
        <v>cas_hmw</v>
      </c>
      <c r="B21458" s="5">
        <f>IFERROR(__xludf.DUMMYFUNCTION("""COMPUTED_VALUE"""),44785.0)</f>
        <v>44785</v>
      </c>
      <c r="C21458" s="6">
        <f>IFERROR(__xludf.DUMMYFUNCTION("""COMPUTED_VALUE"""),0.697650462963793)</f>
        <v>0.697650463</v>
      </c>
      <c r="D21458" s="4">
        <f>IFERROR(__xludf.DUMMYFUNCTION("""COMPUTED_VALUE"""),12.919495)</f>
        <v>12.919495</v>
      </c>
      <c r="E21458" s="4">
        <f>IFERROR(__xludf.DUMMYFUNCTION("""COMPUTED_VALUE"""),80.110344)</f>
        <v>80.110344</v>
      </c>
      <c r="F21458" s="4">
        <f>IFERROR(__xludf.DUMMYFUNCTION("""COMPUTED_VALUE"""),805.0)</f>
        <v>805</v>
      </c>
      <c r="G21458" s="4">
        <f>IFERROR(__xludf.DUMMYFUNCTION("""COMPUTED_VALUE"""),32.0)</f>
        <v>32</v>
      </c>
      <c r="H21458" s="4"/>
      <c r="I21458" s="4"/>
    </row>
    <row r="21459">
      <c r="A21459" s="4" t="str">
        <f>IFERROR(__xludf.DUMMYFUNCTION("""COMPUTED_VALUE"""),"cas_hmw")</f>
        <v>cas_hmw</v>
      </c>
      <c r="B21459" s="5">
        <f>IFERROR(__xludf.DUMMYFUNCTION("""COMPUTED_VALUE"""),44785.0)</f>
        <v>44785</v>
      </c>
      <c r="C21459" s="6">
        <f>IFERROR(__xludf.DUMMYFUNCTION("""COMPUTED_VALUE"""),0.6979513888873043)</f>
        <v>0.6979513889</v>
      </c>
      <c r="D21459" s="4">
        <f>IFERROR(__xludf.DUMMYFUNCTION("""COMPUTED_VALUE"""),12.91953)</f>
        <v>12.91953</v>
      </c>
      <c r="E21459" s="4">
        <f>IFERROR(__xludf.DUMMYFUNCTION("""COMPUTED_VALUE"""),80.110391)</f>
        <v>80.110391</v>
      </c>
      <c r="F21459" s="4">
        <f>IFERROR(__xludf.DUMMYFUNCTION("""COMPUTED_VALUE"""),3143.0)</f>
        <v>3143</v>
      </c>
      <c r="G21459" s="4">
        <f>IFERROR(__xludf.DUMMYFUNCTION("""COMPUTED_VALUE"""),52.0)</f>
        <v>52</v>
      </c>
      <c r="H21459" s="4"/>
      <c r="I21459" s="4"/>
    </row>
    <row r="21460">
      <c r="A21460" s="4" t="str">
        <f>IFERROR(__xludf.DUMMYFUNCTION("""COMPUTED_VALUE"""),"cas_hmw")</f>
        <v>cas_hmw</v>
      </c>
      <c r="B21460" s="5">
        <f>IFERROR(__xludf.DUMMYFUNCTION("""COMPUTED_VALUE"""),44785.0)</f>
        <v>44785</v>
      </c>
      <c r="C21460" s="6">
        <f>IFERROR(__xludf.DUMMYFUNCTION("""COMPUTED_VALUE"""),0.6980555555564933)</f>
        <v>0.6980555556</v>
      </c>
      <c r="D21460" s="4">
        <f>IFERROR(__xludf.DUMMYFUNCTION("""COMPUTED_VALUE"""),12.922014)</f>
        <v>12.922014</v>
      </c>
      <c r="E21460" s="4">
        <f>IFERROR(__xludf.DUMMYFUNCTION("""COMPUTED_VALUE"""),80.113095)</f>
        <v>80.113095</v>
      </c>
      <c r="F21460" s="4">
        <f>IFERROR(__xludf.DUMMYFUNCTION("""COMPUTED_VALUE"""),805.0)</f>
        <v>805</v>
      </c>
      <c r="G21460" s="4">
        <f>IFERROR(__xludf.DUMMYFUNCTION("""COMPUTED_VALUE"""),57.0)</f>
        <v>57</v>
      </c>
      <c r="H21460" s="4"/>
      <c r="I21460" s="4"/>
    </row>
    <row r="21461">
      <c r="A21461" s="4" t="str">
        <f>IFERROR(__xludf.DUMMYFUNCTION("""COMPUTED_VALUE"""),"cas_hmw")</f>
        <v>cas_hmw</v>
      </c>
      <c r="B21461" s="5">
        <f>IFERROR(__xludf.DUMMYFUNCTION("""COMPUTED_VALUE"""),44785.0)</f>
        <v>44785</v>
      </c>
      <c r="C21461" s="6">
        <f>IFERROR(__xludf.DUMMYFUNCTION("""COMPUTED_VALUE"""),0.6980555555564933)</f>
        <v>0.6980555556</v>
      </c>
      <c r="D21461" s="4">
        <f>IFERROR(__xludf.DUMMYFUNCTION("""COMPUTED_VALUE"""),12.838275)</f>
        <v>12.838275</v>
      </c>
      <c r="E21461" s="4">
        <f>IFERROR(__xludf.DUMMYFUNCTION("""COMPUTED_VALUE"""),80.053897)</f>
        <v>80.053897</v>
      </c>
      <c r="F21461" s="4">
        <f>IFERROR(__xludf.DUMMYFUNCTION("""COMPUTED_VALUE"""),2846.0)</f>
        <v>2846</v>
      </c>
      <c r="G21461" s="4">
        <f>IFERROR(__xludf.DUMMYFUNCTION("""COMPUTED_VALUE"""),54.0)</f>
        <v>54</v>
      </c>
      <c r="H21461" s="4"/>
      <c r="I21461" s="4"/>
    </row>
    <row r="21462">
      <c r="A21462" s="4" t="str">
        <f>IFERROR(__xludf.DUMMYFUNCTION("""COMPUTED_VALUE"""),"cas_hmw")</f>
        <v>cas_hmw</v>
      </c>
      <c r="B21462" s="5">
        <f>IFERROR(__xludf.DUMMYFUNCTION("""COMPUTED_VALUE"""),44785.0)</f>
        <v>44785</v>
      </c>
      <c r="C21462" s="6">
        <f>IFERROR(__xludf.DUMMYFUNCTION("""COMPUTED_VALUE"""),0.698206018518249)</f>
        <v>0.6982060185</v>
      </c>
      <c r="D21462" s="4">
        <f>IFERROR(__xludf.DUMMYFUNCTION("""COMPUTED_VALUE"""),12.923527)</f>
        <v>12.923527</v>
      </c>
      <c r="E21462" s="4">
        <f>IFERROR(__xludf.DUMMYFUNCTION("""COMPUTED_VALUE"""),80.11459)</f>
        <v>80.11459</v>
      </c>
      <c r="F21462" s="4">
        <f>IFERROR(__xludf.DUMMYFUNCTION("""COMPUTED_VALUE"""),805.0)</f>
        <v>805</v>
      </c>
      <c r="G21462" s="4">
        <f>IFERROR(__xludf.DUMMYFUNCTION("""COMPUTED_VALUE"""),30.0)</f>
        <v>30</v>
      </c>
      <c r="H21462" s="4"/>
      <c r="I21462" s="4"/>
    </row>
    <row r="21463">
      <c r="A21463" s="4" t="str">
        <f>IFERROR(__xludf.DUMMYFUNCTION("""COMPUTED_VALUE"""),"cas_hmw")</f>
        <v>cas_hmw</v>
      </c>
      <c r="B21463" s="5">
        <f>IFERROR(__xludf.DUMMYFUNCTION("""COMPUTED_VALUE"""),44785.0)</f>
        <v>44785</v>
      </c>
      <c r="C21463" s="6">
        <f>IFERROR(__xludf.DUMMYFUNCTION("""COMPUTED_VALUE"""),0.6982870370375167)</f>
        <v>0.698287037</v>
      </c>
      <c r="D21463" s="4">
        <f>IFERROR(__xludf.DUMMYFUNCTION("""COMPUTED_VALUE"""),12.836258)</f>
        <v>12.836258</v>
      </c>
      <c r="E21463" s="4">
        <f>IFERROR(__xludf.DUMMYFUNCTION("""COMPUTED_VALUE"""),80.051817)</f>
        <v>80.051817</v>
      </c>
      <c r="F21463" s="4">
        <f>IFERROR(__xludf.DUMMYFUNCTION("""COMPUTED_VALUE"""),2846.0)</f>
        <v>2846</v>
      </c>
      <c r="G21463" s="4">
        <f>IFERROR(__xludf.DUMMYFUNCTION("""COMPUTED_VALUE"""),55.0)</f>
        <v>55</v>
      </c>
      <c r="H21463" s="4"/>
      <c r="I21463" s="4"/>
    </row>
    <row r="21464">
      <c r="A21464" s="4" t="str">
        <f>IFERROR(__xludf.DUMMYFUNCTION("""COMPUTED_VALUE"""),"cas_hmw")</f>
        <v>cas_hmw</v>
      </c>
      <c r="B21464" s="5">
        <f>IFERROR(__xludf.DUMMYFUNCTION("""COMPUTED_VALUE"""),44785.0)</f>
        <v>44785</v>
      </c>
      <c r="C21464" s="6">
        <f>IFERROR(__xludf.DUMMYFUNCTION("""COMPUTED_VALUE"""),0.6983449074068631)</f>
        <v>0.6983449074</v>
      </c>
      <c r="D21464" s="4">
        <f>IFERROR(__xludf.DUMMYFUNCTION("""COMPUTED_VALUE"""),12.835349)</f>
        <v>12.835349</v>
      </c>
      <c r="E21464" s="4">
        <f>IFERROR(__xludf.DUMMYFUNCTION("""COMPUTED_VALUE"""),80.050841)</f>
        <v>80.050841</v>
      </c>
      <c r="F21464" s="4">
        <f>IFERROR(__xludf.DUMMYFUNCTION("""COMPUTED_VALUE"""),2846.0)</f>
        <v>2846</v>
      </c>
      <c r="G21464" s="4">
        <f>IFERROR(__xludf.DUMMYFUNCTION("""COMPUTED_VALUE"""),51.0)</f>
        <v>51</v>
      </c>
      <c r="H21464" s="4"/>
      <c r="I21464" s="4"/>
    </row>
    <row r="21465">
      <c r="A21465" s="4" t="str">
        <f>IFERROR(__xludf.DUMMYFUNCTION("""COMPUTED_VALUE"""),"cas_hmw")</f>
        <v>cas_hmw</v>
      </c>
      <c r="B21465" s="5">
        <f>IFERROR(__xludf.DUMMYFUNCTION("""COMPUTED_VALUE"""),44785.0)</f>
        <v>44785</v>
      </c>
      <c r="C21465" s="6">
        <f>IFERROR(__xludf.DUMMYFUNCTION("""COMPUTED_VALUE"""),0.6984027777762094)</f>
        <v>0.6984027778</v>
      </c>
      <c r="D21465" s="4">
        <f>IFERROR(__xludf.DUMMYFUNCTION("""COMPUTED_VALUE"""),12.925206)</f>
        <v>12.925206</v>
      </c>
      <c r="E21465" s="4">
        <f>IFERROR(__xludf.DUMMYFUNCTION("""COMPUTED_VALUE"""),80.116303)</f>
        <v>80.116303</v>
      </c>
      <c r="F21465" s="4">
        <f>IFERROR(__xludf.DUMMYFUNCTION("""COMPUTED_VALUE"""),5339.0)</f>
        <v>5339</v>
      </c>
      <c r="G21465" s="4">
        <f>IFERROR(__xludf.DUMMYFUNCTION("""COMPUTED_VALUE"""),51.0)</f>
        <v>51</v>
      </c>
      <c r="H21465" s="4"/>
      <c r="I21465" s="4"/>
    </row>
    <row r="21466">
      <c r="A21466" s="4" t="str">
        <f>IFERROR(__xludf.DUMMYFUNCTION("""COMPUTED_VALUE"""),"cas_hmw")</f>
        <v>cas_hmw</v>
      </c>
      <c r="B21466" s="5">
        <f>IFERROR(__xludf.DUMMYFUNCTION("""COMPUTED_VALUE"""),44785.0)</f>
        <v>44785</v>
      </c>
      <c r="C21466" s="6">
        <f>IFERROR(__xludf.DUMMYFUNCTION("""COMPUTED_VALUE"""),0.6995138888887595)</f>
        <v>0.6995138889</v>
      </c>
      <c r="D21466" s="4">
        <f>IFERROR(__xludf.DUMMYFUNCTION("""COMPUTED_VALUE"""),12.929134)</f>
        <v>12.929134</v>
      </c>
      <c r="E21466" s="4">
        <f>IFERROR(__xludf.DUMMYFUNCTION("""COMPUTED_VALUE"""),80.12022)</f>
        <v>80.12022</v>
      </c>
      <c r="F21466" s="4">
        <f>IFERROR(__xludf.DUMMYFUNCTION("""COMPUTED_VALUE"""),805.0)</f>
        <v>805</v>
      </c>
      <c r="G21466" s="4">
        <f>IFERROR(__xludf.DUMMYFUNCTION("""COMPUTED_VALUE"""),17.0)</f>
        <v>17</v>
      </c>
      <c r="H21466" s="4"/>
      <c r="I21466" s="4"/>
    </row>
    <row r="21467">
      <c r="A21467" s="4" t="str">
        <f>IFERROR(__xludf.DUMMYFUNCTION("""COMPUTED_VALUE"""),"cas_hmw")</f>
        <v>cas_hmw</v>
      </c>
      <c r="B21467" s="5">
        <f>IFERROR(__xludf.DUMMYFUNCTION("""COMPUTED_VALUE"""),44785.0)</f>
        <v>44785</v>
      </c>
      <c r="C21467" s="6">
        <f>IFERROR(__xludf.DUMMYFUNCTION("""COMPUTED_VALUE"""),0.6995254629619012)</f>
        <v>0.699525463</v>
      </c>
      <c r="D21467" s="4">
        <f>IFERROR(__xludf.DUMMYFUNCTION("""COMPUTED_VALUE"""),12.929134)</f>
        <v>12.929134</v>
      </c>
      <c r="E21467" s="4">
        <f>IFERROR(__xludf.DUMMYFUNCTION("""COMPUTED_VALUE"""),80.12022)</f>
        <v>80.12022</v>
      </c>
      <c r="F21467" s="4">
        <f>IFERROR(__xludf.DUMMYFUNCTION("""COMPUTED_VALUE"""),805.0)</f>
        <v>805</v>
      </c>
      <c r="G21467" s="4">
        <f>IFERROR(__xludf.DUMMYFUNCTION("""COMPUTED_VALUE"""),17.0)</f>
        <v>17</v>
      </c>
      <c r="H21467" s="4"/>
      <c r="I21467" s="4"/>
    </row>
    <row r="21468">
      <c r="A21468" s="4" t="str">
        <f>IFERROR(__xludf.DUMMYFUNCTION("""COMPUTED_VALUE"""),"cas_hmw")</f>
        <v>cas_hmw</v>
      </c>
      <c r="B21468" s="5">
        <f>IFERROR(__xludf.DUMMYFUNCTION("""COMPUTED_VALUE"""),44785.0)</f>
        <v>44785</v>
      </c>
      <c r="C21468" s="6">
        <f>IFERROR(__xludf.DUMMYFUNCTION("""COMPUTED_VALUE"""),0.6996412037042319)</f>
        <v>0.6996412037</v>
      </c>
      <c r="D21468" s="4">
        <f>IFERROR(__xludf.DUMMYFUNCTION("""COMPUTED_VALUE"""),12.823511)</f>
        <v>12.823511</v>
      </c>
      <c r="E21468" s="4">
        <f>IFERROR(__xludf.DUMMYFUNCTION("""COMPUTED_VALUE"""),80.0394)</f>
        <v>80.0394</v>
      </c>
      <c r="F21468" s="4">
        <f>IFERROR(__xludf.DUMMYFUNCTION("""COMPUTED_VALUE"""),2846.0)</f>
        <v>2846</v>
      </c>
      <c r="G21468" s="4">
        <f>IFERROR(__xludf.DUMMYFUNCTION("""COMPUTED_VALUE"""),56.0)</f>
        <v>56</v>
      </c>
      <c r="H21468" s="4"/>
      <c r="I21468" s="4"/>
    </row>
    <row r="21469">
      <c r="A21469" s="4" t="str">
        <f>IFERROR(__xludf.DUMMYFUNCTION("""COMPUTED_VALUE"""),"cas_hmw")</f>
        <v>cas_hmw</v>
      </c>
      <c r="B21469" s="5">
        <f>IFERROR(__xludf.DUMMYFUNCTION("""COMPUTED_VALUE"""),44785.0)</f>
        <v>44785</v>
      </c>
      <c r="C21469" s="6">
        <f>IFERROR(__xludf.DUMMYFUNCTION("""COMPUTED_VALUE"""),0.7003587962972233)</f>
        <v>0.7003587963</v>
      </c>
      <c r="D21469" s="4">
        <f>IFERROR(__xludf.DUMMYFUNCTION("""COMPUTED_VALUE"""),12.931649)</f>
        <v>12.931649</v>
      </c>
      <c r="E21469" s="4">
        <f>IFERROR(__xludf.DUMMYFUNCTION("""COMPUTED_VALUE"""),80.122752)</f>
        <v>80.122752</v>
      </c>
      <c r="F21469" s="4">
        <f>IFERROR(__xludf.DUMMYFUNCTION("""COMPUTED_VALUE"""),805.0)</f>
        <v>805</v>
      </c>
      <c r="G21469" s="4">
        <f>IFERROR(__xludf.DUMMYFUNCTION("""COMPUTED_VALUE"""),23.0)</f>
        <v>23</v>
      </c>
      <c r="H21469" s="4"/>
      <c r="I21469" s="4"/>
    </row>
    <row r="21470">
      <c r="A21470" s="4" t="str">
        <f>IFERROR(__xludf.DUMMYFUNCTION("""COMPUTED_VALUE"""),"cas_hmw")</f>
        <v>cas_hmw</v>
      </c>
      <c r="B21470" s="5">
        <f>IFERROR(__xludf.DUMMYFUNCTION("""COMPUTED_VALUE"""),44785.0)</f>
        <v>44785</v>
      </c>
      <c r="C21470" s="6">
        <f>IFERROR(__xludf.DUMMYFUNCTION("""COMPUTED_VALUE"""),0.700509259258979)</f>
        <v>0.7005092593</v>
      </c>
      <c r="D21470" s="4">
        <f>IFERROR(__xludf.DUMMYFUNCTION("""COMPUTED_VALUE"""),12.932914)</f>
        <v>12.932914</v>
      </c>
      <c r="E21470" s="4">
        <f>IFERROR(__xludf.DUMMYFUNCTION("""COMPUTED_VALUE"""),80.124016)</f>
        <v>80.124016</v>
      </c>
      <c r="F21470" s="4">
        <f>IFERROR(__xludf.DUMMYFUNCTION("""COMPUTED_VALUE"""),5339.0)</f>
        <v>5339</v>
      </c>
      <c r="G21470" s="4">
        <f>IFERROR(__xludf.DUMMYFUNCTION("""COMPUTED_VALUE"""),47.0)</f>
        <v>47</v>
      </c>
      <c r="H21470" s="4"/>
      <c r="I21470" s="4"/>
    </row>
    <row r="21471">
      <c r="A21471" s="4" t="str">
        <f>IFERROR(__xludf.DUMMYFUNCTION("""COMPUTED_VALUE"""),"cas_hmw")</f>
        <v>cas_hmw</v>
      </c>
      <c r="B21471" s="5">
        <f>IFERROR(__xludf.DUMMYFUNCTION("""COMPUTED_VALUE"""),44785.0)</f>
        <v>44785</v>
      </c>
      <c r="C21471" s="6">
        <f>IFERROR(__xludf.DUMMYFUNCTION("""COMPUTED_VALUE"""),0.7005555555551837)</f>
        <v>0.7005555556</v>
      </c>
      <c r="D21471" s="4">
        <f>IFERROR(__xludf.DUMMYFUNCTION("""COMPUTED_VALUE"""),12.932873)</f>
        <v>12.932873</v>
      </c>
      <c r="E21471" s="4">
        <f>IFERROR(__xludf.DUMMYFUNCTION("""COMPUTED_VALUE"""),80.123977)</f>
        <v>80.123977</v>
      </c>
      <c r="F21471" s="4">
        <f>IFERROR(__xludf.DUMMYFUNCTION("""COMPUTED_VALUE"""),805.0)</f>
        <v>805</v>
      </c>
      <c r="G21471" s="4">
        <f>IFERROR(__xludf.DUMMYFUNCTION("""COMPUTED_VALUE"""),40.0)</f>
        <v>40</v>
      </c>
      <c r="H21471" s="4"/>
      <c r="I21471" s="4"/>
    </row>
    <row r="21472">
      <c r="A21472" s="4" t="str">
        <f>IFERROR(__xludf.DUMMYFUNCTION("""COMPUTED_VALUE"""),"cas_hmw")</f>
        <v>cas_hmw</v>
      </c>
      <c r="B21472" s="5">
        <f>IFERROR(__xludf.DUMMYFUNCTION("""COMPUTED_VALUE"""),44785.0)</f>
        <v>44785</v>
      </c>
      <c r="C21472" s="6">
        <f>IFERROR(__xludf.DUMMYFUNCTION("""COMPUTED_VALUE"""),0.7009953703709471)</f>
        <v>0.7009953704</v>
      </c>
      <c r="D21472" s="4">
        <f>IFERROR(__xludf.DUMMYFUNCTION("""COMPUTED_VALUE"""),12.923064)</f>
        <v>12.923064</v>
      </c>
      <c r="E21472" s="4">
        <f>IFERROR(__xludf.DUMMYFUNCTION("""COMPUTED_VALUE"""),80.125447)</f>
        <v>80.125447</v>
      </c>
      <c r="F21472" s="4">
        <f>IFERROR(__xludf.DUMMYFUNCTION("""COMPUTED_VALUE"""),3143.0)</f>
        <v>3143</v>
      </c>
      <c r="G21472" s="4">
        <f>IFERROR(__xludf.DUMMYFUNCTION("""COMPUTED_VALUE"""),0.0)</f>
        <v>0</v>
      </c>
      <c r="H21472" s="4"/>
      <c r="I21472" s="4"/>
    </row>
    <row r="21473">
      <c r="A21473" s="4" t="str">
        <f>IFERROR(__xludf.DUMMYFUNCTION("""COMPUTED_VALUE"""),"cas_hmw")</f>
        <v>cas_hmw</v>
      </c>
      <c r="B21473" s="5">
        <f>IFERROR(__xludf.DUMMYFUNCTION("""COMPUTED_VALUE"""),44785.0)</f>
        <v>44785</v>
      </c>
      <c r="C21473" s="6">
        <f>IFERROR(__xludf.DUMMYFUNCTION("""COMPUTED_VALUE"""),0.7017939814832062)</f>
        <v>0.7017939815</v>
      </c>
      <c r="D21473" s="4">
        <f>IFERROR(__xludf.DUMMYFUNCTION("""COMPUTED_VALUE"""),12.806273)</f>
        <v>12.806273</v>
      </c>
      <c r="E21473" s="4">
        <f>IFERROR(__xludf.DUMMYFUNCTION("""COMPUTED_VALUE"""),80.02762)</f>
        <v>80.02762</v>
      </c>
      <c r="F21473" s="4">
        <f>IFERROR(__xludf.DUMMYFUNCTION("""COMPUTED_VALUE"""),2846.0)</f>
        <v>2846</v>
      </c>
      <c r="G21473" s="4">
        <f>IFERROR(__xludf.DUMMYFUNCTION("""COMPUTED_VALUE"""),58.0)</f>
        <v>58</v>
      </c>
      <c r="H21473" s="4"/>
      <c r="I21473" s="4"/>
    </row>
    <row r="21474">
      <c r="A21474" s="4" t="str">
        <f>IFERROR(__xludf.DUMMYFUNCTION("""COMPUTED_VALUE"""),"cas_hmw")</f>
        <v>cas_hmw</v>
      </c>
      <c r="B21474" s="5">
        <f>IFERROR(__xludf.DUMMYFUNCTION("""COMPUTED_VALUE"""),44785.0)</f>
        <v>44785</v>
      </c>
      <c r="C21474" s="6">
        <f>IFERROR(__xludf.DUMMYFUNCTION("""COMPUTED_VALUE"""),0.7018749999988358)</f>
        <v>0.701875</v>
      </c>
      <c r="D21474" s="4">
        <f>IFERROR(__xludf.DUMMYFUNCTION("""COMPUTED_VALUE"""),12.804291)</f>
        <v>12.804291</v>
      </c>
      <c r="E21474" s="4">
        <f>IFERROR(__xludf.DUMMYFUNCTION("""COMPUTED_VALUE"""),80.026353)</f>
        <v>80.026353</v>
      </c>
      <c r="F21474" s="4">
        <f>IFERROR(__xludf.DUMMYFUNCTION("""COMPUTED_VALUE"""),2846.0)</f>
        <v>2846</v>
      </c>
      <c r="G21474" s="4">
        <f>IFERROR(__xludf.DUMMYFUNCTION("""COMPUTED_VALUE"""),58.0)</f>
        <v>58</v>
      </c>
      <c r="H21474" s="4"/>
      <c r="I21474" s="4"/>
    </row>
    <row r="21475">
      <c r="A21475" s="4" t="str">
        <f>IFERROR(__xludf.DUMMYFUNCTION("""COMPUTED_VALUE"""),"cas_hmw")</f>
        <v>cas_hmw</v>
      </c>
      <c r="B21475" s="5">
        <f>IFERROR(__xludf.DUMMYFUNCTION("""COMPUTED_VALUE"""),44785.0)</f>
        <v>44785</v>
      </c>
      <c r="C21475" s="6">
        <f>IFERROR(__xludf.DUMMYFUNCTION("""COMPUTED_VALUE"""),0.7025462962956226)</f>
        <v>0.7025462963</v>
      </c>
      <c r="D21475" s="4">
        <f>IFERROR(__xludf.DUMMYFUNCTION("""COMPUTED_VALUE"""),12.922793)</f>
        <v>12.922793</v>
      </c>
      <c r="E21475" s="4">
        <f>IFERROR(__xludf.DUMMYFUNCTION("""COMPUTED_VALUE"""),80.131302)</f>
        <v>80.131302</v>
      </c>
      <c r="F21475" s="4">
        <f>IFERROR(__xludf.DUMMYFUNCTION("""COMPUTED_VALUE"""),3143.0)</f>
        <v>3143</v>
      </c>
      <c r="G21475" s="4">
        <f>IFERROR(__xludf.DUMMYFUNCTION("""COMPUTED_VALUE"""),35.0)</f>
        <v>35</v>
      </c>
      <c r="H21475" s="4"/>
      <c r="I21475" s="4"/>
    </row>
    <row r="21476">
      <c r="A21476" s="4" t="str">
        <f>IFERROR(__xludf.DUMMYFUNCTION("""COMPUTED_VALUE"""),"cas_hmw")</f>
        <v>cas_hmw</v>
      </c>
      <c r="B21476" s="5">
        <f>IFERROR(__xludf.DUMMYFUNCTION("""COMPUTED_VALUE"""),44785.0)</f>
        <v>44785</v>
      </c>
      <c r="C21476" s="6">
        <f>IFERROR(__xludf.DUMMYFUNCTION("""COMPUTED_VALUE"""),0.703437500000291)</f>
        <v>0.7034375</v>
      </c>
      <c r="D21476" s="4">
        <f>IFERROR(__xludf.DUMMYFUNCTION("""COMPUTED_VALUE"""),12.79556)</f>
        <v>12.79556</v>
      </c>
      <c r="E21476" s="4">
        <f>IFERROR(__xludf.DUMMYFUNCTION("""COMPUTED_VALUE"""),80.020638)</f>
        <v>80.020638</v>
      </c>
      <c r="F21476" s="4">
        <f>IFERROR(__xludf.DUMMYFUNCTION("""COMPUTED_VALUE"""),2846.0)</f>
        <v>2846</v>
      </c>
      <c r="G21476" s="4">
        <f>IFERROR(__xludf.DUMMYFUNCTION("""COMPUTED_VALUE"""),24.0)</f>
        <v>24</v>
      </c>
      <c r="H21476" s="4"/>
      <c r="I21476" s="4"/>
    </row>
    <row r="21477">
      <c r="A21477" s="4" t="str">
        <f>IFERROR(__xludf.DUMMYFUNCTION("""COMPUTED_VALUE"""),"cas_hmw")</f>
        <v>cas_hmw</v>
      </c>
      <c r="B21477" s="5">
        <f>IFERROR(__xludf.DUMMYFUNCTION("""COMPUTED_VALUE"""),44785.0)</f>
        <v>44785</v>
      </c>
      <c r="C21477" s="6">
        <f>IFERROR(__xludf.DUMMYFUNCTION("""COMPUTED_VALUE"""),0.7041666666664241)</f>
        <v>0.7041666667</v>
      </c>
      <c r="D21477" s="4">
        <f>IFERROR(__xludf.DUMMYFUNCTION("""COMPUTED_VALUE"""),12.950595)</f>
        <v>12.950595</v>
      </c>
      <c r="E21477" s="4">
        <f>IFERROR(__xludf.DUMMYFUNCTION("""COMPUTED_VALUE"""),80.139585)</f>
        <v>80.139585</v>
      </c>
      <c r="F21477" s="4">
        <f>IFERROR(__xludf.DUMMYFUNCTION("""COMPUTED_VALUE"""),805.0)</f>
        <v>805</v>
      </c>
      <c r="G21477" s="4">
        <f>IFERROR(__xludf.DUMMYFUNCTION("""COMPUTED_VALUE"""),22.0)</f>
        <v>22</v>
      </c>
      <c r="H21477" s="4"/>
      <c r="I21477" s="4"/>
    </row>
    <row r="21478">
      <c r="A21478" s="4" t="str">
        <f>IFERROR(__xludf.DUMMYFUNCTION("""COMPUTED_VALUE"""),"cas_hmw")</f>
        <v>cas_hmw</v>
      </c>
      <c r="B21478" s="5">
        <f>IFERROR(__xludf.DUMMYFUNCTION("""COMPUTED_VALUE"""),44785.0)</f>
        <v>44785</v>
      </c>
      <c r="C21478" s="6">
        <f>IFERROR(__xludf.DUMMYFUNCTION("""COMPUTED_VALUE"""),0.706053240741312)</f>
        <v>0.7060532407</v>
      </c>
      <c r="D21478" s="4">
        <f>IFERROR(__xludf.DUMMYFUNCTION("""COMPUTED_VALUE"""),12.956697)</f>
        <v>12.956697</v>
      </c>
      <c r="E21478" s="4">
        <f>IFERROR(__xludf.DUMMYFUNCTION("""COMPUTED_VALUE"""),80.14339)</f>
        <v>80.14339</v>
      </c>
      <c r="F21478" s="4">
        <f>IFERROR(__xludf.DUMMYFUNCTION("""COMPUTED_VALUE"""),5339.0)</f>
        <v>5339</v>
      </c>
      <c r="G21478" s="4">
        <f>IFERROR(__xludf.DUMMYFUNCTION("""COMPUTED_VALUE"""),30.0)</f>
        <v>30</v>
      </c>
      <c r="H21478" s="4"/>
      <c r="I21478" s="4"/>
    </row>
    <row r="21479">
      <c r="A21479" s="4" t="str">
        <f>IFERROR(__xludf.DUMMYFUNCTION("""COMPUTED_VALUE"""),"cas_hmw")</f>
        <v>cas_hmw</v>
      </c>
      <c r="B21479" s="5">
        <f>IFERROR(__xludf.DUMMYFUNCTION("""COMPUTED_VALUE"""),44785.0)</f>
        <v>44785</v>
      </c>
      <c r="C21479" s="6">
        <f>IFERROR(__xludf.DUMMYFUNCTION("""COMPUTED_VALUE"""),0.7061226851838001)</f>
        <v>0.7061226852</v>
      </c>
      <c r="D21479" s="4">
        <f>IFERROR(__xludf.DUMMYFUNCTION("""COMPUTED_VALUE"""),12.957501)</f>
        <v>12.957501</v>
      </c>
      <c r="E21479" s="4">
        <f>IFERROR(__xludf.DUMMYFUNCTION("""COMPUTED_VALUE"""),80.143791)</f>
        <v>80.143791</v>
      </c>
      <c r="F21479" s="4">
        <f>IFERROR(__xludf.DUMMYFUNCTION("""COMPUTED_VALUE"""),5339.0)</f>
        <v>5339</v>
      </c>
      <c r="G21479" s="4">
        <f>IFERROR(__xludf.DUMMYFUNCTION("""COMPUTED_VALUE"""),37.0)</f>
        <v>37</v>
      </c>
      <c r="H21479" s="4"/>
      <c r="I21479" s="4"/>
    </row>
    <row r="21480">
      <c r="A21480" s="4" t="str">
        <f>IFERROR(__xludf.DUMMYFUNCTION("""COMPUTED_VALUE"""),"cas_hmw")</f>
        <v>cas_hmw</v>
      </c>
      <c r="B21480" s="5">
        <f>IFERROR(__xludf.DUMMYFUNCTION("""COMPUTED_VALUE"""),44785.0)</f>
        <v>44785</v>
      </c>
      <c r="C21480" s="6">
        <f>IFERROR(__xludf.DUMMYFUNCTION("""COMPUTED_VALUE"""),0.7071296296307992)</f>
        <v>0.7071296296</v>
      </c>
      <c r="D21480" s="4">
        <f>IFERROR(__xludf.DUMMYFUNCTION("""COMPUTED_VALUE"""),12.963093)</f>
        <v>12.963093</v>
      </c>
      <c r="E21480" s="4">
        <f>IFERROR(__xludf.DUMMYFUNCTION("""COMPUTED_VALUE"""),80.146675)</f>
        <v>80.146675</v>
      </c>
      <c r="F21480" s="4">
        <f>IFERROR(__xludf.DUMMYFUNCTION("""COMPUTED_VALUE"""),5339.0)</f>
        <v>5339</v>
      </c>
      <c r="G21480" s="4">
        <f>IFERROR(__xludf.DUMMYFUNCTION("""COMPUTED_VALUE"""),46.0)</f>
        <v>46</v>
      </c>
      <c r="H21480" s="4"/>
      <c r="I21480" s="4"/>
    </row>
    <row r="21481">
      <c r="A21481" s="4" t="str">
        <f>IFERROR(__xludf.DUMMYFUNCTION("""COMPUTED_VALUE"""),"cas_hmw")</f>
        <v>cas_hmw</v>
      </c>
      <c r="B21481" s="5">
        <f>IFERROR(__xludf.DUMMYFUNCTION("""COMPUTED_VALUE"""),44785.0)</f>
        <v>44785</v>
      </c>
      <c r="C21481" s="6">
        <f>IFERROR(__xludf.DUMMYFUNCTION("""COMPUTED_VALUE"""),0.7075231481467199)</f>
        <v>0.7075231481</v>
      </c>
      <c r="D21481" s="4">
        <f>IFERROR(__xludf.DUMMYFUNCTION("""COMPUTED_VALUE"""),12.7548)</f>
        <v>12.7548</v>
      </c>
      <c r="E21481" s="4">
        <f>IFERROR(__xludf.DUMMYFUNCTION("""COMPUTED_VALUE"""),80.001281)</f>
        <v>80.001281</v>
      </c>
      <c r="F21481" s="4">
        <f>IFERROR(__xludf.DUMMYFUNCTION("""COMPUTED_VALUE"""),2846.0)</f>
        <v>2846</v>
      </c>
      <c r="G21481" s="4">
        <f>IFERROR(__xludf.DUMMYFUNCTION("""COMPUTED_VALUE"""),44.0)</f>
        <v>44</v>
      </c>
      <c r="H21481" s="4"/>
      <c r="I21481" s="4"/>
    </row>
    <row r="21482">
      <c r="A21482" s="4" t="str">
        <f>IFERROR(__xludf.DUMMYFUNCTION("""COMPUTED_VALUE"""),"cas_hmw")</f>
        <v>cas_hmw</v>
      </c>
      <c r="B21482" s="5">
        <f>IFERROR(__xludf.DUMMYFUNCTION("""COMPUTED_VALUE"""),44785.0)</f>
        <v>44785</v>
      </c>
      <c r="C21482" s="6">
        <f>IFERROR(__xludf.DUMMYFUNCTION("""COMPUTED_VALUE"""),0.7077777777776646)</f>
        <v>0.7077777778</v>
      </c>
      <c r="D21482" s="4">
        <f>IFERROR(__xludf.DUMMYFUNCTION("""COMPUTED_VALUE"""),12.971547)</f>
        <v>12.971547</v>
      </c>
      <c r="E21482" s="4">
        <f>IFERROR(__xludf.DUMMYFUNCTION("""COMPUTED_VALUE"""),80.151091)</f>
        <v>80.151091</v>
      </c>
      <c r="F21482" s="4">
        <f>IFERROR(__xludf.DUMMYFUNCTION("""COMPUTED_VALUE"""),805.0)</f>
        <v>805</v>
      </c>
      <c r="G21482" s="4">
        <f>IFERROR(__xludf.DUMMYFUNCTION("""COMPUTED_VALUE"""),57.0)</f>
        <v>57</v>
      </c>
      <c r="H21482" s="4"/>
      <c r="I21482" s="4"/>
    </row>
    <row r="21483">
      <c r="A21483" s="4" t="str">
        <f>IFERROR(__xludf.DUMMYFUNCTION("""COMPUTED_VALUE"""),"cas_hmw")</f>
        <v>cas_hmw</v>
      </c>
      <c r="B21483" s="5">
        <f>IFERROR(__xludf.DUMMYFUNCTION("""COMPUTED_VALUE"""),44785.0)</f>
        <v>44785</v>
      </c>
      <c r="C21483" s="6">
        <f>IFERROR(__xludf.DUMMYFUNCTION("""COMPUTED_VALUE"""),0.7078819444432156)</f>
        <v>0.7078819444</v>
      </c>
      <c r="D21483" s="4">
        <f>IFERROR(__xludf.DUMMYFUNCTION("""COMPUTED_VALUE"""),12.970203)</f>
        <v>12.970203</v>
      </c>
      <c r="E21483" s="4">
        <f>IFERROR(__xludf.DUMMYFUNCTION("""COMPUTED_VALUE"""),80.150474)</f>
        <v>80.150474</v>
      </c>
      <c r="F21483" s="4">
        <f>IFERROR(__xludf.DUMMYFUNCTION("""COMPUTED_VALUE"""),5339.0)</f>
        <v>5339</v>
      </c>
      <c r="G21483" s="4">
        <f>IFERROR(__xludf.DUMMYFUNCTION("""COMPUTED_VALUE"""),59.0)</f>
        <v>59</v>
      </c>
      <c r="H21483" s="4"/>
      <c r="I21483" s="4"/>
    </row>
    <row r="21484">
      <c r="A21484" s="4" t="str">
        <f>IFERROR(__xludf.DUMMYFUNCTION("""COMPUTED_VALUE"""),"cas_hmw")</f>
        <v>cas_hmw</v>
      </c>
      <c r="B21484" s="5">
        <f>IFERROR(__xludf.DUMMYFUNCTION("""COMPUTED_VALUE"""),44785.0)</f>
        <v>44785</v>
      </c>
      <c r="C21484" s="6">
        <f>IFERROR(__xludf.DUMMYFUNCTION("""COMPUTED_VALUE"""),0.7079629629624833)</f>
        <v>0.707962963</v>
      </c>
      <c r="D21484" s="4">
        <f>IFERROR(__xludf.DUMMYFUNCTION("""COMPUTED_VALUE"""),12.973046)</f>
        <v>12.973046</v>
      </c>
      <c r="E21484" s="4">
        <f>IFERROR(__xludf.DUMMYFUNCTION("""COMPUTED_VALUE"""),80.152685)</f>
        <v>80.152685</v>
      </c>
      <c r="F21484" s="4">
        <f>IFERROR(__xludf.DUMMYFUNCTION("""COMPUTED_VALUE"""),805.0)</f>
        <v>805</v>
      </c>
      <c r="G21484" s="4">
        <f>IFERROR(__xludf.DUMMYFUNCTION("""COMPUTED_VALUE"""),58.0)</f>
        <v>58</v>
      </c>
      <c r="H21484" s="4"/>
      <c r="I21484" s="4"/>
    </row>
    <row r="21485">
      <c r="A21485" s="4" t="str">
        <f>IFERROR(__xludf.DUMMYFUNCTION("""COMPUTED_VALUE"""),"cas_hmw")</f>
        <v>cas_hmw</v>
      </c>
      <c r="B21485" s="5">
        <f>IFERROR(__xludf.DUMMYFUNCTION("""COMPUTED_VALUE"""),44785.0)</f>
        <v>44785</v>
      </c>
      <c r="C21485" s="6">
        <f>IFERROR(__xludf.DUMMYFUNCTION("""COMPUTED_VALUE"""),0.708043981481751)</f>
        <v>0.7080439815</v>
      </c>
      <c r="D21485" s="4">
        <f>IFERROR(__xludf.DUMMYFUNCTION("""COMPUTED_VALUE"""),12.974268)</f>
        <v>12.974268</v>
      </c>
      <c r="E21485" s="4">
        <f>IFERROR(__xludf.DUMMYFUNCTION("""COMPUTED_VALUE"""),80.154538)</f>
        <v>80.154538</v>
      </c>
      <c r="F21485" s="4">
        <f>IFERROR(__xludf.DUMMYFUNCTION("""COMPUTED_VALUE"""),805.0)</f>
        <v>805</v>
      </c>
      <c r="G21485" s="4">
        <f>IFERROR(__xludf.DUMMYFUNCTION("""COMPUTED_VALUE"""),56.0)</f>
        <v>56</v>
      </c>
      <c r="H21485" s="4"/>
      <c r="I21485" s="4"/>
    </row>
    <row r="21486">
      <c r="A21486" s="4" t="str">
        <f>IFERROR(__xludf.DUMMYFUNCTION("""COMPUTED_VALUE"""),"cas_hmw")</f>
        <v>cas_hmw</v>
      </c>
      <c r="B21486" s="5">
        <f>IFERROR(__xludf.DUMMYFUNCTION("""COMPUTED_VALUE"""),44785.0)</f>
        <v>44785</v>
      </c>
      <c r="C21486" s="6">
        <f>IFERROR(__xludf.DUMMYFUNCTION("""COMPUTED_VALUE"""),0.7081712962972233)</f>
        <v>0.7081712963</v>
      </c>
      <c r="D21486" s="4">
        <f>IFERROR(__xludf.DUMMYFUNCTION("""COMPUTED_VALUE"""),12.975259)</f>
        <v>12.975259</v>
      </c>
      <c r="E21486" s="4">
        <f>IFERROR(__xludf.DUMMYFUNCTION("""COMPUTED_VALUE"""),80.155883)</f>
        <v>80.155883</v>
      </c>
      <c r="F21486" s="4">
        <f>IFERROR(__xludf.DUMMYFUNCTION("""COMPUTED_VALUE"""),805.0)</f>
        <v>805</v>
      </c>
      <c r="G21486" s="4">
        <f>IFERROR(__xludf.DUMMYFUNCTION("""COMPUTED_VALUE"""),32.0)</f>
        <v>32</v>
      </c>
      <c r="H21486" s="4"/>
      <c r="I21486" s="4"/>
    </row>
    <row r="21487">
      <c r="A21487" s="4" t="str">
        <f>IFERROR(__xludf.DUMMYFUNCTION("""COMPUTED_VALUE"""),"cas_hmw")</f>
        <v>cas_hmw</v>
      </c>
      <c r="B21487" s="5">
        <f>IFERROR(__xludf.DUMMYFUNCTION("""COMPUTED_VALUE"""),44785.0)</f>
        <v>44785</v>
      </c>
      <c r="C21487" s="6">
        <f>IFERROR(__xludf.DUMMYFUNCTION("""COMPUTED_VALUE"""),0.7082638888896327)</f>
        <v>0.7082638889</v>
      </c>
      <c r="D21487" s="4">
        <f>IFERROR(__xludf.DUMMYFUNCTION("""COMPUTED_VALUE"""),12.975259)</f>
        <v>12.975259</v>
      </c>
      <c r="E21487" s="4">
        <f>IFERROR(__xludf.DUMMYFUNCTION("""COMPUTED_VALUE"""),80.155883)</f>
        <v>80.155883</v>
      </c>
      <c r="F21487" s="4">
        <f>IFERROR(__xludf.DUMMYFUNCTION("""COMPUTED_VALUE"""),805.0)</f>
        <v>805</v>
      </c>
      <c r="G21487" s="4">
        <f>IFERROR(__xludf.DUMMYFUNCTION("""COMPUTED_VALUE"""),32.0)</f>
        <v>32</v>
      </c>
      <c r="H21487" s="4"/>
      <c r="I21487" s="4"/>
    </row>
    <row r="21488">
      <c r="A21488" s="4" t="str">
        <f>IFERROR(__xludf.DUMMYFUNCTION("""COMPUTED_VALUE"""),"cas_hmw")</f>
        <v>cas_hmw</v>
      </c>
      <c r="B21488" s="5">
        <f>IFERROR(__xludf.DUMMYFUNCTION("""COMPUTED_VALUE"""),44785.0)</f>
        <v>44785</v>
      </c>
      <c r="C21488" s="6">
        <f>IFERROR(__xludf.DUMMYFUNCTION("""COMPUTED_VALUE"""),0.7083333333321207)</f>
        <v>0.7083333333</v>
      </c>
      <c r="D21488" s="4">
        <f>IFERROR(__xludf.DUMMYFUNCTION("""COMPUTED_VALUE"""),12.975259)</f>
        <v>12.975259</v>
      </c>
      <c r="E21488" s="4">
        <f>IFERROR(__xludf.DUMMYFUNCTION("""COMPUTED_VALUE"""),80.155883)</f>
        <v>80.155883</v>
      </c>
      <c r="F21488" s="4">
        <f>IFERROR(__xludf.DUMMYFUNCTION("""COMPUTED_VALUE"""),805.0)</f>
        <v>805</v>
      </c>
      <c r="G21488" s="4">
        <f>IFERROR(__xludf.DUMMYFUNCTION("""COMPUTED_VALUE"""),32.0)</f>
        <v>32</v>
      </c>
      <c r="H21488" s="4"/>
      <c r="I21488" s="4"/>
    </row>
    <row r="21489">
      <c r="A21489" s="4" t="str">
        <f>IFERROR(__xludf.DUMMYFUNCTION("""COMPUTED_VALUE"""),"cas_hmw")</f>
        <v>cas_hmw</v>
      </c>
      <c r="B21489" s="5">
        <f>IFERROR(__xludf.DUMMYFUNCTION("""COMPUTED_VALUE"""),44785.0)</f>
        <v>44785</v>
      </c>
      <c r="C21489" s="6">
        <f>IFERROR(__xludf.DUMMYFUNCTION("""COMPUTED_VALUE"""),0.7083680555551837)</f>
        <v>0.7083680556</v>
      </c>
      <c r="D21489" s="4">
        <f>IFERROR(__xludf.DUMMYFUNCTION("""COMPUTED_VALUE"""),12.974305)</f>
        <v>12.974305</v>
      </c>
      <c r="E21489" s="4">
        <f>IFERROR(__xludf.DUMMYFUNCTION("""COMPUTED_VALUE"""),80.154564)</f>
        <v>80.154564</v>
      </c>
      <c r="F21489" s="4">
        <f>IFERROR(__xludf.DUMMYFUNCTION("""COMPUTED_VALUE"""),5339.0)</f>
        <v>5339</v>
      </c>
      <c r="G21489" s="4">
        <f>IFERROR(__xludf.DUMMYFUNCTION("""COMPUTED_VALUE"""),63.0)</f>
        <v>63</v>
      </c>
      <c r="H21489" s="4"/>
      <c r="I21489" s="4"/>
    </row>
    <row r="21490">
      <c r="A21490" s="4" t="str">
        <f>IFERROR(__xludf.DUMMYFUNCTION("""COMPUTED_VALUE"""),"cas_hmw")</f>
        <v>cas_hmw</v>
      </c>
      <c r="B21490" s="5">
        <f>IFERROR(__xludf.DUMMYFUNCTION("""COMPUTED_VALUE"""),44785.0)</f>
        <v>44785</v>
      </c>
      <c r="C21490" s="6">
        <f>IFERROR(__xludf.DUMMYFUNCTION("""COMPUTED_VALUE"""),0.7084143518513883)</f>
        <v>0.7084143519</v>
      </c>
      <c r="D21490" s="4">
        <f>IFERROR(__xludf.DUMMYFUNCTION("""COMPUTED_VALUE"""),12.976059)</f>
        <v>12.976059</v>
      </c>
      <c r="E21490" s="4">
        <f>IFERROR(__xludf.DUMMYFUNCTION("""COMPUTED_VALUE"""),80.157035)</f>
        <v>80.157035</v>
      </c>
      <c r="F21490" s="4">
        <f>IFERROR(__xludf.DUMMYFUNCTION("""COMPUTED_VALUE"""),805.0)</f>
        <v>805</v>
      </c>
      <c r="G21490" s="4">
        <f>IFERROR(__xludf.DUMMYFUNCTION("""COMPUTED_VALUE"""),36.0)</f>
        <v>36</v>
      </c>
      <c r="H21490" s="4"/>
      <c r="I21490" s="4"/>
    </row>
    <row r="21491">
      <c r="A21491" s="4" t="str">
        <f>IFERROR(__xludf.DUMMYFUNCTION("""COMPUTED_VALUE"""),"cas_hmw")</f>
        <v>cas_hmw</v>
      </c>
      <c r="B21491" s="5">
        <f>IFERROR(__xludf.DUMMYFUNCTION("""COMPUTED_VALUE"""),44785.0)</f>
        <v>44785</v>
      </c>
      <c r="C21491" s="6">
        <f>IFERROR(__xludf.DUMMYFUNCTION("""COMPUTED_VALUE"""),0.7084143518513883)</f>
        <v>0.7084143519</v>
      </c>
      <c r="D21491" s="4">
        <f>IFERROR(__xludf.DUMMYFUNCTION("""COMPUTED_VALUE"""),12.920338)</f>
        <v>12.920338</v>
      </c>
      <c r="E21491" s="4">
        <f>IFERROR(__xludf.DUMMYFUNCTION("""COMPUTED_VALUE"""),80.169814)</f>
        <v>80.169814</v>
      </c>
      <c r="F21491" s="4">
        <f>IFERROR(__xludf.DUMMYFUNCTION("""COMPUTED_VALUE"""),3143.0)</f>
        <v>3143</v>
      </c>
      <c r="G21491" s="4">
        <f>IFERROR(__xludf.DUMMYFUNCTION("""COMPUTED_VALUE"""),44.0)</f>
        <v>44</v>
      </c>
      <c r="H21491" s="4"/>
      <c r="I21491" s="4"/>
    </row>
    <row r="21492">
      <c r="A21492" s="4" t="str">
        <f>IFERROR(__xludf.DUMMYFUNCTION("""COMPUTED_VALUE"""),"cas_hmw")</f>
        <v>cas_hmw</v>
      </c>
      <c r="B21492" s="5">
        <f>IFERROR(__xludf.DUMMYFUNCTION("""COMPUTED_VALUE"""),44785.0)</f>
        <v>44785</v>
      </c>
      <c r="C21492" s="6">
        <f>IFERROR(__xludf.DUMMYFUNCTION("""COMPUTED_VALUE"""),0.7086574074091914)</f>
        <v>0.7086574074</v>
      </c>
      <c r="D21492" s="4">
        <f>IFERROR(__xludf.DUMMYFUNCTION("""COMPUTED_VALUE"""),12.919919)</f>
        <v>12.919919</v>
      </c>
      <c r="E21492" s="4">
        <f>IFERROR(__xludf.DUMMYFUNCTION("""COMPUTED_VALUE"""),80.171036)</f>
        <v>80.171036</v>
      </c>
      <c r="F21492" s="4">
        <f>IFERROR(__xludf.DUMMYFUNCTION("""COMPUTED_VALUE"""),3143.0)</f>
        <v>3143</v>
      </c>
      <c r="G21492" s="4">
        <f>IFERROR(__xludf.DUMMYFUNCTION("""COMPUTED_VALUE"""),13.0)</f>
        <v>13</v>
      </c>
      <c r="H21492" s="4"/>
      <c r="I21492" s="4"/>
    </row>
    <row r="21493">
      <c r="A21493" s="4" t="str">
        <f>IFERROR(__xludf.DUMMYFUNCTION("""COMPUTED_VALUE"""),"cas_hmw")</f>
        <v>cas_hmw</v>
      </c>
      <c r="B21493" s="5">
        <f>IFERROR(__xludf.DUMMYFUNCTION("""COMPUTED_VALUE"""),44785.0)</f>
        <v>44785</v>
      </c>
      <c r="C21493" s="6">
        <f>IFERROR(__xludf.DUMMYFUNCTION("""COMPUTED_VALUE"""),0.7086805555554747)</f>
        <v>0.7086805556</v>
      </c>
      <c r="D21493" s="4">
        <f>IFERROR(__xludf.DUMMYFUNCTION("""COMPUTED_VALUE"""),12.976148)</f>
        <v>12.976148</v>
      </c>
      <c r="E21493" s="4">
        <f>IFERROR(__xludf.DUMMYFUNCTION("""COMPUTED_VALUE"""),80.157176)</f>
        <v>80.157176</v>
      </c>
      <c r="F21493" s="4">
        <f>IFERROR(__xludf.DUMMYFUNCTION("""COMPUTED_VALUE"""),5339.0)</f>
        <v>5339</v>
      </c>
      <c r="G21493" s="4">
        <f>IFERROR(__xludf.DUMMYFUNCTION("""COMPUTED_VALUE"""),46.0)</f>
        <v>46</v>
      </c>
      <c r="H21493" s="4"/>
      <c r="I21493" s="4"/>
    </row>
    <row r="21494">
      <c r="A21494" s="4" t="str">
        <f>IFERROR(__xludf.DUMMYFUNCTION("""COMPUTED_VALUE"""),"cas_hmw")</f>
        <v>cas_hmw</v>
      </c>
      <c r="B21494" s="5">
        <f>IFERROR(__xludf.DUMMYFUNCTION("""COMPUTED_VALUE"""),44785.0)</f>
        <v>44785</v>
      </c>
      <c r="C21494" s="6">
        <f>IFERROR(__xludf.DUMMYFUNCTION("""COMPUTED_VALUE"""),0.7087731481478841)</f>
        <v>0.7087731481</v>
      </c>
      <c r="D21494" s="4">
        <f>IFERROR(__xludf.DUMMYFUNCTION("""COMPUTED_VALUE"""),12.919919)</f>
        <v>12.919919</v>
      </c>
      <c r="E21494" s="4">
        <f>IFERROR(__xludf.DUMMYFUNCTION("""COMPUTED_VALUE"""),80.171036)</f>
        <v>80.171036</v>
      </c>
      <c r="F21494" s="4">
        <f>IFERROR(__xludf.DUMMYFUNCTION("""COMPUTED_VALUE"""),3143.0)</f>
        <v>3143</v>
      </c>
      <c r="G21494" s="4">
        <f>IFERROR(__xludf.DUMMYFUNCTION("""COMPUTED_VALUE"""),13.0)</f>
        <v>13</v>
      </c>
      <c r="H21494" s="4"/>
      <c r="I21494" s="4"/>
    </row>
    <row r="21495">
      <c r="A21495" s="4" t="str">
        <f>IFERROR(__xludf.DUMMYFUNCTION("""COMPUTED_VALUE"""),"cas_hmw")</f>
        <v>cas_hmw</v>
      </c>
      <c r="B21495" s="5">
        <f>IFERROR(__xludf.DUMMYFUNCTION("""COMPUTED_VALUE"""),44785.0)</f>
        <v>44785</v>
      </c>
      <c r="C21495" s="6">
        <f>IFERROR(__xludf.DUMMYFUNCTION("""COMPUTED_VALUE"""),0.7090509259251121)</f>
        <v>0.7090509259</v>
      </c>
      <c r="D21495" s="4">
        <f>IFERROR(__xludf.DUMMYFUNCTION("""COMPUTED_VALUE"""),12.91918)</f>
        <v>12.91918</v>
      </c>
      <c r="E21495" s="4">
        <f>IFERROR(__xludf.DUMMYFUNCTION("""COMPUTED_VALUE"""),80.17356)</f>
        <v>80.17356</v>
      </c>
      <c r="F21495" s="4">
        <f>IFERROR(__xludf.DUMMYFUNCTION("""COMPUTED_VALUE"""),3143.0)</f>
        <v>3143</v>
      </c>
      <c r="G21495" s="4">
        <f>IFERROR(__xludf.DUMMYFUNCTION("""COMPUTED_VALUE"""),41.0)</f>
        <v>41</v>
      </c>
      <c r="H21495" s="4"/>
      <c r="I21495" s="4"/>
    </row>
    <row r="21496">
      <c r="A21496" s="4" t="str">
        <f>IFERROR(__xludf.DUMMYFUNCTION("""COMPUTED_VALUE"""),"cas_hmw")</f>
        <v>cas_hmw</v>
      </c>
      <c r="B21496" s="5">
        <f>IFERROR(__xludf.DUMMYFUNCTION("""COMPUTED_VALUE"""),44785.0)</f>
        <v>44785</v>
      </c>
      <c r="C21496" s="6">
        <f>IFERROR(__xludf.DUMMYFUNCTION("""COMPUTED_VALUE"""),0.7097916666680248)</f>
        <v>0.7097916667</v>
      </c>
      <c r="D21496" s="4">
        <f>IFERROR(__xludf.DUMMYFUNCTION("""COMPUTED_VALUE"""),12.981997)</f>
        <v>12.981997</v>
      </c>
      <c r="E21496" s="4">
        <f>IFERROR(__xludf.DUMMYFUNCTION("""COMPUTED_VALUE"""),80.167512)</f>
        <v>80.167512</v>
      </c>
      <c r="F21496" s="4">
        <f>IFERROR(__xludf.DUMMYFUNCTION("""COMPUTED_VALUE"""),5339.0)</f>
        <v>5339</v>
      </c>
      <c r="G21496" s="4">
        <f>IFERROR(__xludf.DUMMYFUNCTION("""COMPUTED_VALUE"""),53.0)</f>
        <v>53</v>
      </c>
      <c r="H21496" s="4"/>
      <c r="I21496" s="4"/>
    </row>
    <row r="21497">
      <c r="A21497" s="4" t="str">
        <f>IFERROR(__xludf.DUMMYFUNCTION("""COMPUTED_VALUE"""),"cas_hmw")</f>
        <v>cas_hmw</v>
      </c>
      <c r="B21497" s="5">
        <f>IFERROR(__xludf.DUMMYFUNCTION("""COMPUTED_VALUE"""),44785.0)</f>
        <v>44785</v>
      </c>
      <c r="C21497" s="6">
        <f>IFERROR(__xludf.DUMMYFUNCTION("""COMPUTED_VALUE"""),0.7097916666680248)</f>
        <v>0.7097916667</v>
      </c>
      <c r="D21497" s="4">
        <f>IFERROR(__xludf.DUMMYFUNCTION("""COMPUTED_VALUE"""),12.919241)</f>
        <v>12.919241</v>
      </c>
      <c r="E21497" s="4">
        <f>IFERROR(__xludf.DUMMYFUNCTION("""COMPUTED_VALUE"""),80.179634)</f>
        <v>80.179634</v>
      </c>
      <c r="F21497" s="4">
        <f>IFERROR(__xludf.DUMMYFUNCTION("""COMPUTED_VALUE"""),3143.0)</f>
        <v>3143</v>
      </c>
      <c r="G21497" s="4">
        <f>IFERROR(__xludf.DUMMYFUNCTION("""COMPUTED_VALUE"""),36.0)</f>
        <v>36</v>
      </c>
      <c r="H21497" s="4"/>
      <c r="I21497" s="4"/>
    </row>
    <row r="21498">
      <c r="A21498" s="4" t="str">
        <f>IFERROR(__xludf.DUMMYFUNCTION("""COMPUTED_VALUE"""),"cas_hmw")</f>
        <v>cas_hmw</v>
      </c>
      <c r="B21498" s="5">
        <f>IFERROR(__xludf.DUMMYFUNCTION("""COMPUTED_VALUE"""),44785.0)</f>
        <v>44785</v>
      </c>
      <c r="C21498" s="6">
        <f>IFERROR(__xludf.DUMMYFUNCTION("""COMPUTED_VALUE"""),0.7098379629642295)</f>
        <v>0.709837963</v>
      </c>
      <c r="D21498" s="4">
        <f>IFERROR(__xludf.DUMMYFUNCTION("""COMPUTED_VALUE"""),12.983398)</f>
        <v>12.983398</v>
      </c>
      <c r="E21498" s="4">
        <f>IFERROR(__xludf.DUMMYFUNCTION("""COMPUTED_VALUE"""),80.169932)</f>
        <v>80.169932</v>
      </c>
      <c r="F21498" s="4">
        <f>IFERROR(__xludf.DUMMYFUNCTION("""COMPUTED_VALUE"""),805.0)</f>
        <v>805</v>
      </c>
      <c r="G21498" s="4">
        <f>IFERROR(__xludf.DUMMYFUNCTION("""COMPUTED_VALUE"""),58.0)</f>
        <v>58</v>
      </c>
      <c r="H21498" s="4"/>
      <c r="I21498" s="4"/>
    </row>
    <row r="21499">
      <c r="A21499" s="4" t="str">
        <f>IFERROR(__xludf.DUMMYFUNCTION("""COMPUTED_VALUE"""),"cas_hmw")</f>
        <v>cas_hmw</v>
      </c>
      <c r="B21499" s="5">
        <f>IFERROR(__xludf.DUMMYFUNCTION("""COMPUTED_VALUE"""),44785.0)</f>
        <v>44785</v>
      </c>
      <c r="C21499" s="6">
        <f>IFERROR(__xludf.DUMMYFUNCTION("""COMPUTED_VALUE"""),0.7102314814801503)</f>
        <v>0.7102314815</v>
      </c>
      <c r="D21499" s="4">
        <f>IFERROR(__xludf.DUMMYFUNCTION("""COMPUTED_VALUE"""),12.736426)</f>
        <v>12.736426</v>
      </c>
      <c r="E21499" s="4">
        <f>IFERROR(__xludf.DUMMYFUNCTION("""COMPUTED_VALUE"""),79.987294)</f>
        <v>79.987294</v>
      </c>
      <c r="F21499" s="4">
        <f>IFERROR(__xludf.DUMMYFUNCTION("""COMPUTED_VALUE"""),2846.0)</f>
        <v>2846</v>
      </c>
      <c r="G21499" s="4">
        <f>IFERROR(__xludf.DUMMYFUNCTION("""COMPUTED_VALUE"""),57.0)</f>
        <v>57</v>
      </c>
      <c r="H21499" s="4"/>
      <c r="I21499" s="4"/>
    </row>
    <row r="21500">
      <c r="A21500" s="4" t="str">
        <f>IFERROR(__xludf.DUMMYFUNCTION("""COMPUTED_VALUE"""),"cas_hmw")</f>
        <v>cas_hmw</v>
      </c>
      <c r="B21500" s="5">
        <f>IFERROR(__xludf.DUMMYFUNCTION("""COMPUTED_VALUE"""),44785.0)</f>
        <v>44785</v>
      </c>
      <c r="C21500" s="6">
        <f>IFERROR(__xludf.DUMMYFUNCTION("""COMPUTED_VALUE"""),0.7103124999994179)</f>
        <v>0.7103125</v>
      </c>
      <c r="D21500" s="4">
        <f>IFERROR(__xludf.DUMMYFUNCTION("""COMPUTED_VALUE"""),12.984614)</f>
        <v>12.984614</v>
      </c>
      <c r="E21500" s="4">
        <f>IFERROR(__xludf.DUMMYFUNCTION("""COMPUTED_VALUE"""),80.171855)</f>
        <v>80.171855</v>
      </c>
      <c r="F21500" s="4">
        <f>IFERROR(__xludf.DUMMYFUNCTION("""COMPUTED_VALUE"""),5339.0)</f>
        <v>5339</v>
      </c>
      <c r="G21500" s="4">
        <f>IFERROR(__xludf.DUMMYFUNCTION("""COMPUTED_VALUE"""),40.0)</f>
        <v>40</v>
      </c>
      <c r="H21500" s="4"/>
      <c r="I21500" s="4"/>
    </row>
    <row r="21501">
      <c r="A21501" s="4" t="str">
        <f>IFERROR(__xludf.DUMMYFUNCTION("""COMPUTED_VALUE"""),"cas_hmw")</f>
        <v>cas_hmw</v>
      </c>
      <c r="B21501" s="5">
        <f>IFERROR(__xludf.DUMMYFUNCTION("""COMPUTED_VALUE"""),44785.0)</f>
        <v>44785</v>
      </c>
      <c r="C21501" s="6">
        <f>IFERROR(__xludf.DUMMYFUNCTION("""COMPUTED_VALUE"""),0.7103587962956226)</f>
        <v>0.7103587963</v>
      </c>
      <c r="D21501" s="4">
        <f>IFERROR(__xludf.DUMMYFUNCTION("""COMPUTED_VALUE"""),12.733136)</f>
        <v>12.733136</v>
      </c>
      <c r="E21501" s="4">
        <f>IFERROR(__xludf.DUMMYFUNCTION("""COMPUTED_VALUE"""),79.983748)</f>
        <v>79.983748</v>
      </c>
      <c r="F21501" s="4">
        <f>IFERROR(__xludf.DUMMYFUNCTION("""COMPUTED_VALUE"""),2846.0)</f>
        <v>2846</v>
      </c>
      <c r="G21501" s="4">
        <f>IFERROR(__xludf.DUMMYFUNCTION("""COMPUTED_VALUE"""),58.0)</f>
        <v>58</v>
      </c>
      <c r="H21501" s="4"/>
      <c r="I21501" s="4"/>
    </row>
    <row r="21502">
      <c r="A21502" s="4" t="str">
        <f>IFERROR(__xludf.DUMMYFUNCTION("""COMPUTED_VALUE"""),"cas_hmw")</f>
        <v>cas_hmw</v>
      </c>
      <c r="B21502" s="5">
        <f>IFERROR(__xludf.DUMMYFUNCTION("""COMPUTED_VALUE"""),44785.0)</f>
        <v>44785</v>
      </c>
      <c r="C21502" s="6">
        <f>IFERROR(__xludf.DUMMYFUNCTION("""COMPUTED_VALUE"""),0.7104050925918273)</f>
        <v>0.7104050926</v>
      </c>
      <c r="D21502" s="4">
        <f>IFERROR(__xludf.DUMMYFUNCTION("""COMPUTED_VALUE"""),12.985953)</f>
        <v>12.985953</v>
      </c>
      <c r="E21502" s="4">
        <f>IFERROR(__xludf.DUMMYFUNCTION("""COMPUTED_VALUE"""),80.173945)</f>
        <v>80.173945</v>
      </c>
      <c r="F21502" s="4">
        <f>IFERROR(__xludf.DUMMYFUNCTION("""COMPUTED_VALUE"""),805.0)</f>
        <v>805</v>
      </c>
      <c r="G21502" s="4">
        <f>IFERROR(__xludf.DUMMYFUNCTION("""COMPUTED_VALUE"""),14.0)</f>
        <v>14</v>
      </c>
      <c r="H21502" s="4"/>
      <c r="I21502" s="4"/>
    </row>
    <row r="21503">
      <c r="A21503" s="4" t="str">
        <f>IFERROR(__xludf.DUMMYFUNCTION("""COMPUTED_VALUE"""),"cas_hmw")</f>
        <v>cas_hmw</v>
      </c>
      <c r="B21503" s="5">
        <f>IFERROR(__xludf.DUMMYFUNCTION("""COMPUTED_VALUE"""),44785.0)</f>
        <v>44785</v>
      </c>
      <c r="C21503" s="6">
        <f>IFERROR(__xludf.DUMMYFUNCTION("""COMPUTED_VALUE"""),0.710694444445835)</f>
        <v>0.7106944444</v>
      </c>
      <c r="D21503" s="4">
        <f>IFERROR(__xludf.DUMMYFUNCTION("""COMPUTED_VALUE"""),12.985984)</f>
        <v>12.985984</v>
      </c>
      <c r="E21503" s="4">
        <f>IFERROR(__xludf.DUMMYFUNCTION("""COMPUTED_VALUE"""),80.173898)</f>
        <v>80.173898</v>
      </c>
      <c r="F21503" s="4">
        <f>IFERROR(__xludf.DUMMYFUNCTION("""COMPUTED_VALUE"""),5339.0)</f>
        <v>5339</v>
      </c>
      <c r="G21503" s="4">
        <f>IFERROR(__xludf.DUMMYFUNCTION("""COMPUTED_VALUE"""),18.0)</f>
        <v>18</v>
      </c>
      <c r="H21503" s="4"/>
      <c r="I21503" s="4"/>
    </row>
    <row r="21504">
      <c r="A21504" s="4" t="str">
        <f>IFERROR(__xludf.DUMMYFUNCTION("""COMPUTED_VALUE"""),"cas_hmw")</f>
        <v>cas_hmw</v>
      </c>
      <c r="B21504" s="5">
        <f>IFERROR(__xludf.DUMMYFUNCTION("""COMPUTED_VALUE"""),44785.0)</f>
        <v>44785</v>
      </c>
      <c r="C21504" s="6">
        <f>IFERROR(__xludf.DUMMYFUNCTION("""COMPUTED_VALUE"""),0.7109375)</f>
        <v>0.7109375</v>
      </c>
      <c r="D21504" s="4">
        <f>IFERROR(__xludf.DUMMYFUNCTION("""COMPUTED_VALUE"""),12.988538)</f>
        <v>12.988538</v>
      </c>
      <c r="E21504" s="4">
        <f>IFERROR(__xludf.DUMMYFUNCTION("""COMPUTED_VALUE"""),80.177602)</f>
        <v>80.177602</v>
      </c>
      <c r="F21504" s="4">
        <f>IFERROR(__xludf.DUMMYFUNCTION("""COMPUTED_VALUE"""),805.0)</f>
        <v>805</v>
      </c>
      <c r="G21504" s="4">
        <f>IFERROR(__xludf.DUMMYFUNCTION("""COMPUTED_VALUE"""),44.0)</f>
        <v>44</v>
      </c>
      <c r="H21504" s="4"/>
      <c r="I21504" s="4"/>
    </row>
    <row r="21505">
      <c r="A21505" s="4" t="str">
        <f>IFERROR(__xludf.DUMMYFUNCTION("""COMPUTED_VALUE"""),"cas_hmw")</f>
        <v>cas_hmw</v>
      </c>
      <c r="B21505" s="5">
        <f>IFERROR(__xludf.DUMMYFUNCTION("""COMPUTED_VALUE"""),44785.0)</f>
        <v>44785</v>
      </c>
      <c r="C21505" s="6">
        <f>IFERROR(__xludf.DUMMYFUNCTION("""COMPUTED_VALUE"""),0.7111226851848187)</f>
        <v>0.7111226852</v>
      </c>
      <c r="D21505" s="4">
        <f>IFERROR(__xludf.DUMMYFUNCTION("""COMPUTED_VALUE"""),12.987814)</f>
        <v>12.987814</v>
      </c>
      <c r="E21505" s="4">
        <f>IFERROR(__xludf.DUMMYFUNCTION("""COMPUTED_VALUE"""),80.176574)</f>
        <v>80.176574</v>
      </c>
      <c r="F21505" s="4">
        <f>IFERROR(__xludf.DUMMYFUNCTION("""COMPUTED_VALUE"""),5339.0)</f>
        <v>5339</v>
      </c>
      <c r="G21505" s="4">
        <f>IFERROR(__xludf.DUMMYFUNCTION("""COMPUTED_VALUE"""),38.0)</f>
        <v>38</v>
      </c>
      <c r="H21505" s="4"/>
      <c r="I21505" s="4"/>
    </row>
    <row r="21506">
      <c r="A21506" s="4" t="str">
        <f>IFERROR(__xludf.DUMMYFUNCTION("""COMPUTED_VALUE"""),"cas_hmw")</f>
        <v>cas_hmw</v>
      </c>
      <c r="B21506" s="5">
        <f>IFERROR(__xludf.DUMMYFUNCTION("""COMPUTED_VALUE"""),44785.0)</f>
        <v>44785</v>
      </c>
      <c r="C21506" s="6">
        <f>IFERROR(__xludf.DUMMYFUNCTION("""COMPUTED_VALUE"""),0.7111574074078817)</f>
        <v>0.7111574074</v>
      </c>
      <c r="D21506" s="4">
        <f>IFERROR(__xludf.DUMMYFUNCTION("""COMPUTED_VALUE"""),12.98946)</f>
        <v>12.98946</v>
      </c>
      <c r="E21506" s="4">
        <f>IFERROR(__xludf.DUMMYFUNCTION("""COMPUTED_VALUE"""),80.178738)</f>
        <v>80.178738</v>
      </c>
      <c r="F21506" s="4">
        <f>IFERROR(__xludf.DUMMYFUNCTION("""COMPUTED_VALUE"""),805.0)</f>
        <v>805</v>
      </c>
      <c r="G21506" s="4">
        <f>IFERROR(__xludf.DUMMYFUNCTION("""COMPUTED_VALUE"""),31.0)</f>
        <v>31</v>
      </c>
      <c r="H21506" s="4"/>
      <c r="I21506" s="4"/>
    </row>
    <row r="21507">
      <c r="A21507" s="4" t="str">
        <f>IFERROR(__xludf.DUMMYFUNCTION("""COMPUTED_VALUE"""),"cas_hmw")</f>
        <v>cas_hmw</v>
      </c>
      <c r="B21507" s="5">
        <f>IFERROR(__xludf.DUMMYFUNCTION("""COMPUTED_VALUE"""),44785.0)</f>
        <v>44785</v>
      </c>
      <c r="C21507" s="6">
        <f>IFERROR(__xludf.DUMMYFUNCTION("""COMPUTED_VALUE"""),0.711215277777228)</f>
        <v>0.7112152778</v>
      </c>
      <c r="D21507" s="4">
        <f>IFERROR(__xludf.DUMMYFUNCTION("""COMPUTED_VALUE"""),12.98946)</f>
        <v>12.98946</v>
      </c>
      <c r="E21507" s="4">
        <f>IFERROR(__xludf.DUMMYFUNCTION("""COMPUTED_VALUE"""),80.178738)</f>
        <v>80.178738</v>
      </c>
      <c r="F21507" s="4">
        <f>IFERROR(__xludf.DUMMYFUNCTION("""COMPUTED_VALUE"""),805.0)</f>
        <v>805</v>
      </c>
      <c r="G21507" s="4">
        <f>IFERROR(__xludf.DUMMYFUNCTION("""COMPUTED_VALUE"""),31.0)</f>
        <v>31</v>
      </c>
      <c r="H21507" s="4"/>
      <c r="I21507" s="4"/>
    </row>
    <row r="21508">
      <c r="A21508" s="4" t="str">
        <f>IFERROR(__xludf.DUMMYFUNCTION("""COMPUTED_VALUE"""),"cas_hmw")</f>
        <v>cas_hmw</v>
      </c>
      <c r="B21508" s="5">
        <f>IFERROR(__xludf.DUMMYFUNCTION("""COMPUTED_VALUE"""),44785.0)</f>
        <v>44785</v>
      </c>
      <c r="C21508" s="6">
        <f>IFERROR(__xludf.DUMMYFUNCTION("""COMPUTED_VALUE"""),0.7113194444427791)</f>
        <v>0.7113194444</v>
      </c>
      <c r="D21508" s="4">
        <f>IFERROR(__xludf.DUMMYFUNCTION("""COMPUTED_VALUE"""),12.988392)</f>
        <v>12.988392</v>
      </c>
      <c r="E21508" s="4">
        <f>IFERROR(__xludf.DUMMYFUNCTION("""COMPUTED_VALUE"""),80.177361)</f>
        <v>80.177361</v>
      </c>
      <c r="F21508" s="4">
        <f>IFERROR(__xludf.DUMMYFUNCTION("""COMPUTED_VALUE"""),5339.0)</f>
        <v>5339</v>
      </c>
      <c r="G21508" s="4">
        <f>IFERROR(__xludf.DUMMYFUNCTION("""COMPUTED_VALUE"""),42.0)</f>
        <v>42</v>
      </c>
      <c r="H21508" s="4"/>
      <c r="I21508" s="4"/>
    </row>
    <row r="21509">
      <c r="A21509" s="4" t="str">
        <f>IFERROR(__xludf.DUMMYFUNCTION("""COMPUTED_VALUE"""),"cas_hmw")</f>
        <v>cas_hmw</v>
      </c>
      <c r="B21509" s="5">
        <f>IFERROR(__xludf.DUMMYFUNCTION("""COMPUTED_VALUE"""),44785.0)</f>
        <v>44785</v>
      </c>
      <c r="C21509" s="6">
        <f>IFERROR(__xludf.DUMMYFUNCTION("""COMPUTED_VALUE"""),0.7113657407389837)</f>
        <v>0.7113657407</v>
      </c>
      <c r="D21509" s="4">
        <f>IFERROR(__xludf.DUMMYFUNCTION("""COMPUTED_VALUE"""),12.989062)</f>
        <v>12.989062</v>
      </c>
      <c r="E21509" s="4">
        <f>IFERROR(__xludf.DUMMYFUNCTION("""COMPUTED_VALUE"""),80.178272)</f>
        <v>80.178272</v>
      </c>
      <c r="F21509" s="4">
        <f>IFERROR(__xludf.DUMMYFUNCTION("""COMPUTED_VALUE"""),5339.0)</f>
        <v>5339</v>
      </c>
      <c r="G21509" s="4">
        <f>IFERROR(__xludf.DUMMYFUNCTION("""COMPUTED_VALUE"""),40.0)</f>
        <v>40</v>
      </c>
      <c r="H21509" s="4"/>
      <c r="I21509" s="4"/>
    </row>
    <row r="21510">
      <c r="A21510" s="4" t="str">
        <f>IFERROR(__xludf.DUMMYFUNCTION("""COMPUTED_VALUE"""),"cas_hmw")</f>
        <v>cas_hmw</v>
      </c>
      <c r="B21510" s="5">
        <f>IFERROR(__xludf.DUMMYFUNCTION("""COMPUTED_VALUE"""),44785.0)</f>
        <v>44785</v>
      </c>
      <c r="C21510" s="6">
        <f>IFERROR(__xludf.DUMMYFUNCTION("""COMPUTED_VALUE"""),0.7113773148157634)</f>
        <v>0.7113773148</v>
      </c>
      <c r="D21510" s="4">
        <f>IFERROR(__xludf.DUMMYFUNCTION("""COMPUTED_VALUE"""),12.990482)</f>
        <v>12.990482</v>
      </c>
      <c r="E21510" s="4">
        <f>IFERROR(__xludf.DUMMYFUNCTION("""COMPUTED_VALUE"""),80.18008)</f>
        <v>80.18008</v>
      </c>
      <c r="F21510" s="4">
        <f>IFERROR(__xludf.DUMMYFUNCTION("""COMPUTED_VALUE"""),805.0)</f>
        <v>805</v>
      </c>
      <c r="G21510" s="4">
        <f>IFERROR(__xludf.DUMMYFUNCTION("""COMPUTED_VALUE"""),45.0)</f>
        <v>45</v>
      </c>
      <c r="H21510" s="4"/>
      <c r="I21510" s="4"/>
    </row>
    <row r="21511">
      <c r="A21511" s="4" t="str">
        <f>IFERROR(__xludf.DUMMYFUNCTION("""COMPUTED_VALUE"""),"cas_hmw")</f>
        <v>cas_hmw</v>
      </c>
      <c r="B21511" s="5">
        <f>IFERROR(__xludf.DUMMYFUNCTION("""COMPUTED_VALUE"""),44785.0)</f>
        <v>44785</v>
      </c>
      <c r="C21511" s="6">
        <f>IFERROR(__xludf.DUMMYFUNCTION("""COMPUTED_VALUE"""),0.7115509259274404)</f>
        <v>0.7115509259</v>
      </c>
      <c r="D21511" s="4">
        <f>IFERROR(__xludf.DUMMYFUNCTION("""COMPUTED_VALUE"""),12.989711)</f>
        <v>12.989711</v>
      </c>
      <c r="E21511" s="4">
        <f>IFERROR(__xludf.DUMMYFUNCTION("""COMPUTED_VALUE"""),80.179089)</f>
        <v>80.179089</v>
      </c>
      <c r="F21511" s="4">
        <f>IFERROR(__xludf.DUMMYFUNCTION("""COMPUTED_VALUE"""),5339.0)</f>
        <v>5339</v>
      </c>
      <c r="G21511" s="4">
        <f>IFERROR(__xludf.DUMMYFUNCTION("""COMPUTED_VALUE"""),47.0)</f>
        <v>47</v>
      </c>
      <c r="H21511" s="4"/>
      <c r="I21511" s="4"/>
    </row>
    <row r="21512">
      <c r="A21512" s="4" t="str">
        <f>IFERROR(__xludf.DUMMYFUNCTION("""COMPUTED_VALUE"""),"cas_hmw")</f>
        <v>cas_hmw</v>
      </c>
      <c r="B21512" s="5">
        <f>IFERROR(__xludf.DUMMYFUNCTION("""COMPUTED_VALUE"""),44785.0)</f>
        <v>44785</v>
      </c>
      <c r="C21512" s="6">
        <f>IFERROR(__xludf.DUMMYFUNCTION("""COMPUTED_VALUE"""),0.7117592592585424)</f>
        <v>0.7117592593</v>
      </c>
      <c r="D21512" s="4">
        <f>IFERROR(__xludf.DUMMYFUNCTION("""COMPUTED_VALUE"""),12.99121)</f>
        <v>12.99121</v>
      </c>
      <c r="E21512" s="4">
        <f>IFERROR(__xludf.DUMMYFUNCTION("""COMPUTED_VALUE"""),80.18101)</f>
        <v>80.18101</v>
      </c>
      <c r="F21512" s="4">
        <f>IFERROR(__xludf.DUMMYFUNCTION("""COMPUTED_VALUE"""),5339.0)</f>
        <v>5339</v>
      </c>
      <c r="G21512" s="4">
        <f>IFERROR(__xludf.DUMMYFUNCTION("""COMPUTED_VALUE"""),43.0)</f>
        <v>43</v>
      </c>
      <c r="H21512" s="4"/>
      <c r="I21512" s="4"/>
    </row>
    <row r="21513">
      <c r="A21513" s="4" t="str">
        <f>IFERROR(__xludf.DUMMYFUNCTION("""COMPUTED_VALUE"""),"cas_hmw")</f>
        <v>cas_hmw</v>
      </c>
      <c r="B21513" s="5">
        <f>IFERROR(__xludf.DUMMYFUNCTION("""COMPUTED_VALUE"""),44785.0)</f>
        <v>44785</v>
      </c>
      <c r="C21513" s="6">
        <f>IFERROR(__xludf.DUMMYFUNCTION("""COMPUTED_VALUE"""),0.7123379629629198)</f>
        <v>0.712337963</v>
      </c>
      <c r="D21513" s="4">
        <f>IFERROR(__xludf.DUMMYFUNCTION("""COMPUTED_VALUE"""),12.993858)</f>
        <v>12.993858</v>
      </c>
      <c r="E21513" s="4">
        <f>IFERROR(__xludf.DUMMYFUNCTION("""COMPUTED_VALUE"""),80.1851)</f>
        <v>80.1851</v>
      </c>
      <c r="F21513" s="4">
        <f>IFERROR(__xludf.DUMMYFUNCTION("""COMPUTED_VALUE"""),5339.0)</f>
        <v>5339</v>
      </c>
      <c r="G21513" s="4">
        <f>IFERROR(__xludf.DUMMYFUNCTION("""COMPUTED_VALUE"""),15.0)</f>
        <v>15</v>
      </c>
      <c r="H21513" s="4"/>
      <c r="I21513" s="4"/>
    </row>
    <row r="21514">
      <c r="A21514" s="4" t="str">
        <f>IFERROR(__xludf.DUMMYFUNCTION("""COMPUTED_VALUE"""),"cas_hmw")</f>
        <v>cas_hmw</v>
      </c>
      <c r="B21514" s="5">
        <f>IFERROR(__xludf.DUMMYFUNCTION("""COMPUTED_VALUE"""),44785.0)</f>
        <v>44785</v>
      </c>
      <c r="C21514" s="6">
        <f>IFERROR(__xludf.DUMMYFUNCTION("""COMPUTED_VALUE"""),0.7138078703719657)</f>
        <v>0.7138078704</v>
      </c>
      <c r="D21514" s="4">
        <f>IFERROR(__xludf.DUMMYFUNCTION("""COMPUTED_VALUE"""),12.998443)</f>
        <v>12.998443</v>
      </c>
      <c r="E21514" s="4">
        <f>IFERROR(__xludf.DUMMYFUNCTION("""COMPUTED_VALUE"""),80.192167)</f>
        <v>80.192167</v>
      </c>
      <c r="F21514" s="4">
        <f>IFERROR(__xludf.DUMMYFUNCTION("""COMPUTED_VALUE"""),805.0)</f>
        <v>805</v>
      </c>
      <c r="G21514" s="4">
        <f>IFERROR(__xludf.DUMMYFUNCTION("""COMPUTED_VALUE"""),44.0)</f>
        <v>44</v>
      </c>
      <c r="H21514" s="4"/>
      <c r="I21514" s="4"/>
    </row>
    <row r="21515">
      <c r="A21515" s="4" t="str">
        <f>IFERROR(__xludf.DUMMYFUNCTION("""COMPUTED_VALUE"""),"cas_hmw")</f>
        <v>cas_hmw</v>
      </c>
      <c r="B21515" s="5">
        <f>IFERROR(__xludf.DUMMYFUNCTION("""COMPUTED_VALUE"""),44785.0)</f>
        <v>44785</v>
      </c>
      <c r="C21515" s="6">
        <f>IFERROR(__xludf.DUMMYFUNCTION("""COMPUTED_VALUE"""),0.713831018518249)</f>
        <v>0.7138310185</v>
      </c>
      <c r="D21515" s="4">
        <f>IFERROR(__xludf.DUMMYFUNCTION("""COMPUTED_VALUE"""),12.998443)</f>
        <v>12.998443</v>
      </c>
      <c r="E21515" s="4">
        <f>IFERROR(__xludf.DUMMYFUNCTION("""COMPUTED_VALUE"""),80.192167)</f>
        <v>80.192167</v>
      </c>
      <c r="F21515" s="4">
        <f>IFERROR(__xludf.DUMMYFUNCTION("""COMPUTED_VALUE"""),805.0)</f>
        <v>805</v>
      </c>
      <c r="G21515" s="4">
        <f>IFERROR(__xludf.DUMMYFUNCTION("""COMPUTED_VALUE"""),44.0)</f>
        <v>44</v>
      </c>
      <c r="H21515" s="4"/>
      <c r="I21515" s="4"/>
    </row>
    <row r="21516">
      <c r="A21516" s="4" t="str">
        <f>IFERROR(__xludf.DUMMYFUNCTION("""COMPUTED_VALUE"""),"cas_hmw")</f>
        <v>cas_hmw</v>
      </c>
      <c r="B21516" s="5">
        <f>IFERROR(__xludf.DUMMYFUNCTION("""COMPUTED_VALUE"""),44785.0)</f>
        <v>44785</v>
      </c>
      <c r="C21516" s="6">
        <f>IFERROR(__xludf.DUMMYFUNCTION("""COMPUTED_VALUE"""),0.7142592592608707)</f>
        <v>0.7142592593</v>
      </c>
      <c r="D21516" s="4">
        <f>IFERROR(__xludf.DUMMYFUNCTION("""COMPUTED_VALUE"""),12.99796)</f>
        <v>12.99796</v>
      </c>
      <c r="E21516" s="4">
        <f>IFERROR(__xludf.DUMMYFUNCTION("""COMPUTED_VALUE"""),80.191532)</f>
        <v>80.191532</v>
      </c>
      <c r="F21516" s="4">
        <f>IFERROR(__xludf.DUMMYFUNCTION("""COMPUTED_VALUE"""),5339.0)</f>
        <v>5339</v>
      </c>
      <c r="G21516" s="4">
        <f>IFERROR(__xludf.DUMMYFUNCTION("""COMPUTED_VALUE"""),56.0)</f>
        <v>56</v>
      </c>
      <c r="H21516" s="4"/>
      <c r="I21516" s="4"/>
    </row>
    <row r="21517">
      <c r="A21517" s="4" t="str">
        <f>IFERROR(__xludf.DUMMYFUNCTION("""COMPUTED_VALUE"""),"cas_hmw")</f>
        <v>cas_hmw</v>
      </c>
      <c r="B21517" s="5">
        <f>IFERROR(__xludf.DUMMYFUNCTION("""COMPUTED_VALUE"""),44785.0)</f>
        <v>44785</v>
      </c>
      <c r="C21517" s="6">
        <f>IFERROR(__xludf.DUMMYFUNCTION("""COMPUTED_VALUE"""),0.7147685185191222)</f>
        <v>0.7147685185</v>
      </c>
      <c r="D21517" s="4">
        <f>IFERROR(__xludf.DUMMYFUNCTION("""COMPUTED_VALUE"""),13.00203)</f>
        <v>13.00203</v>
      </c>
      <c r="E21517" s="4">
        <f>IFERROR(__xludf.DUMMYFUNCTION("""COMPUTED_VALUE"""),80.196879)</f>
        <v>80.196879</v>
      </c>
      <c r="F21517" s="4">
        <f>IFERROR(__xludf.DUMMYFUNCTION("""COMPUTED_VALUE"""),805.0)</f>
        <v>805</v>
      </c>
      <c r="G21517" s="4">
        <f>IFERROR(__xludf.DUMMYFUNCTION("""COMPUTED_VALUE"""),39.0)</f>
        <v>39</v>
      </c>
      <c r="H21517" s="4"/>
      <c r="I21517" s="4"/>
    </row>
    <row r="21518">
      <c r="A21518" s="4" t="str">
        <f>IFERROR(__xludf.DUMMYFUNCTION("""COMPUTED_VALUE"""),"cas_hmw")</f>
        <v>cas_hmw</v>
      </c>
      <c r="B21518" s="5">
        <f>IFERROR(__xludf.DUMMYFUNCTION("""COMPUTED_VALUE"""),44785.0)</f>
        <v>44785</v>
      </c>
      <c r="C21518" s="6">
        <f>IFERROR(__xludf.DUMMYFUNCTION("""COMPUTED_VALUE"""),0.7149189814808778)</f>
        <v>0.7149189815</v>
      </c>
      <c r="D21518" s="4">
        <f>IFERROR(__xludf.DUMMYFUNCTION("""COMPUTED_VALUE"""),13.001922)</f>
        <v>13.001922</v>
      </c>
      <c r="E21518" s="4">
        <f>IFERROR(__xludf.DUMMYFUNCTION("""COMPUTED_VALUE"""),80.198481)</f>
        <v>80.198481</v>
      </c>
      <c r="F21518" s="4">
        <f>IFERROR(__xludf.DUMMYFUNCTION("""COMPUTED_VALUE"""),805.0)</f>
        <v>805</v>
      </c>
      <c r="G21518" s="4">
        <f>IFERROR(__xludf.DUMMYFUNCTION("""COMPUTED_VALUE"""),35.0)</f>
        <v>35</v>
      </c>
      <c r="H21518" s="4"/>
      <c r="I21518" s="4"/>
    </row>
    <row r="21519">
      <c r="A21519" s="4" t="str">
        <f>IFERROR(__xludf.DUMMYFUNCTION("""COMPUTED_VALUE"""),"cas_hmw")</f>
        <v>cas_hmw</v>
      </c>
      <c r="B21519" s="5">
        <f>IFERROR(__xludf.DUMMYFUNCTION("""COMPUTED_VALUE"""),44785.0)</f>
        <v>44785</v>
      </c>
      <c r="C21519" s="6">
        <f>IFERROR(__xludf.DUMMYFUNCTION("""COMPUTED_VALUE"""),0.7150810185194132)</f>
        <v>0.7150810185</v>
      </c>
      <c r="D21519" s="4">
        <f>IFERROR(__xludf.DUMMYFUNCTION("""COMPUTED_VALUE"""),13.001936)</f>
        <v>13.001936</v>
      </c>
      <c r="E21519" s="4">
        <f>IFERROR(__xludf.DUMMYFUNCTION("""COMPUTED_VALUE"""),80.199986)</f>
        <v>80.199986</v>
      </c>
      <c r="F21519" s="4">
        <f>IFERROR(__xludf.DUMMYFUNCTION("""COMPUTED_VALUE"""),805.0)</f>
        <v>805</v>
      </c>
      <c r="G21519" s="4">
        <f>IFERROR(__xludf.DUMMYFUNCTION("""COMPUTED_VALUE"""),38.0)</f>
        <v>38</v>
      </c>
      <c r="H21519" s="4"/>
      <c r="I21519" s="4"/>
    </row>
    <row r="21520">
      <c r="A21520" s="4" t="str">
        <f>IFERROR(__xludf.DUMMYFUNCTION("""COMPUTED_VALUE"""),"cas_hmw")</f>
        <v>cas_hmw</v>
      </c>
      <c r="B21520" s="5">
        <f>IFERROR(__xludf.DUMMYFUNCTION("""COMPUTED_VALUE"""),44785.0)</f>
        <v>44785</v>
      </c>
      <c r="C21520" s="6">
        <f>IFERROR(__xludf.DUMMYFUNCTION("""COMPUTED_VALUE"""),0.7154398148159089)</f>
        <v>0.7154398148</v>
      </c>
      <c r="D21520" s="4">
        <f>IFERROR(__xludf.DUMMYFUNCTION("""COMPUTED_VALUE"""),13.005057)</f>
        <v>13.005057</v>
      </c>
      <c r="E21520" s="4">
        <f>IFERROR(__xludf.DUMMYFUNCTION("""COMPUTED_VALUE"""),80.201371)</f>
        <v>80.201371</v>
      </c>
      <c r="F21520" s="4">
        <f>IFERROR(__xludf.DUMMYFUNCTION("""COMPUTED_VALUE"""),805.0)</f>
        <v>805</v>
      </c>
      <c r="G21520" s="4">
        <f>IFERROR(__xludf.DUMMYFUNCTION("""COMPUTED_VALUE"""),45.0)</f>
        <v>45</v>
      </c>
      <c r="H21520" s="4"/>
      <c r="I21520" s="4"/>
    </row>
    <row r="21521">
      <c r="A21521" s="4" t="str">
        <f>IFERROR(__xludf.DUMMYFUNCTION("""COMPUTED_VALUE"""),"cas_hmw")</f>
        <v>cas_hmw</v>
      </c>
      <c r="B21521" s="5">
        <f>IFERROR(__xludf.DUMMYFUNCTION("""COMPUTED_VALUE"""),44785.0)</f>
        <v>44785</v>
      </c>
      <c r="C21521" s="6">
        <f>IFERROR(__xludf.DUMMYFUNCTION("""COMPUTED_VALUE"""),0.7156134259275859)</f>
        <v>0.7156134259</v>
      </c>
      <c r="D21521" s="4">
        <f>IFERROR(__xludf.DUMMYFUNCTION("""COMPUTED_VALUE"""),13.004778)</f>
        <v>13.004778</v>
      </c>
      <c r="E21521" s="4">
        <f>IFERROR(__xludf.DUMMYFUNCTION("""COMPUTED_VALUE"""),80.201294)</f>
        <v>80.201294</v>
      </c>
      <c r="F21521" s="4">
        <f>IFERROR(__xludf.DUMMYFUNCTION("""COMPUTED_VALUE"""),5339.0)</f>
        <v>5339</v>
      </c>
      <c r="G21521" s="4">
        <f>IFERROR(__xludf.DUMMYFUNCTION("""COMPUTED_VALUE"""),49.0)</f>
        <v>49</v>
      </c>
      <c r="H21521" s="4"/>
      <c r="I21521" s="4"/>
    </row>
    <row r="21522">
      <c r="A21522" s="4" t="str">
        <f>IFERROR(__xludf.DUMMYFUNCTION("""COMPUTED_VALUE"""),"cas_hmw")</f>
        <v>cas_hmw</v>
      </c>
      <c r="B21522" s="5">
        <f>IFERROR(__xludf.DUMMYFUNCTION("""COMPUTED_VALUE"""),44785.0)</f>
        <v>44785</v>
      </c>
      <c r="C21522" s="6">
        <f>IFERROR(__xludf.DUMMYFUNCTION("""COMPUTED_VALUE"""),0.7157754629624833)</f>
        <v>0.715775463</v>
      </c>
      <c r="D21522" s="4">
        <f>IFERROR(__xludf.DUMMYFUNCTION("""COMPUTED_VALUE"""),13.005799)</f>
        <v>13.005799</v>
      </c>
      <c r="E21522" s="4">
        <f>IFERROR(__xludf.DUMMYFUNCTION("""COMPUTED_VALUE"""),80.20218)</f>
        <v>80.20218</v>
      </c>
      <c r="F21522" s="4">
        <f>IFERROR(__xludf.DUMMYFUNCTION("""COMPUTED_VALUE"""),5339.0)</f>
        <v>5339</v>
      </c>
      <c r="G21522" s="4">
        <f>IFERROR(__xludf.DUMMYFUNCTION("""COMPUTED_VALUE"""),53.0)</f>
        <v>53</v>
      </c>
      <c r="H21522" s="4"/>
      <c r="I21522" s="4"/>
    </row>
    <row r="21523">
      <c r="A21523" s="4" t="str">
        <f>IFERROR(__xludf.DUMMYFUNCTION("""COMPUTED_VALUE"""),"cas_hmw")</f>
        <v>cas_hmw</v>
      </c>
      <c r="B21523" s="5">
        <f>IFERROR(__xludf.DUMMYFUNCTION("""COMPUTED_VALUE"""),44785.0)</f>
        <v>44785</v>
      </c>
      <c r="C21523" s="6">
        <f>IFERROR(__xludf.DUMMYFUNCTION("""COMPUTED_VALUE"""),0.7161574074089003)</f>
        <v>0.7161574074</v>
      </c>
      <c r="D21523" s="4">
        <f>IFERROR(__xludf.DUMMYFUNCTION("""COMPUTED_VALUE"""),13.007613)</f>
        <v>13.007613</v>
      </c>
      <c r="E21523" s="4">
        <f>IFERROR(__xludf.DUMMYFUNCTION("""COMPUTED_VALUE"""),80.204112)</f>
        <v>80.204112</v>
      </c>
      <c r="F21523" s="4">
        <f>IFERROR(__xludf.DUMMYFUNCTION("""COMPUTED_VALUE"""),805.0)</f>
        <v>805</v>
      </c>
      <c r="G21523" s="4">
        <f>IFERROR(__xludf.DUMMYFUNCTION("""COMPUTED_VALUE"""),51.0)</f>
        <v>51</v>
      </c>
      <c r="H21523" s="4"/>
      <c r="I21523" s="4"/>
    </row>
    <row r="21524">
      <c r="A21524" s="4" t="str">
        <f>IFERROR(__xludf.DUMMYFUNCTION("""COMPUTED_VALUE"""),"cas_hmw")</f>
        <v>cas_hmw</v>
      </c>
      <c r="B21524" s="5">
        <f>IFERROR(__xludf.DUMMYFUNCTION("""COMPUTED_VALUE"""),44785.0)</f>
        <v>44785</v>
      </c>
      <c r="C21524" s="6">
        <f>IFERROR(__xludf.DUMMYFUNCTION("""COMPUTED_VALUE"""),0.716168981482042)</f>
        <v>0.7161689815</v>
      </c>
      <c r="D21524" s="4">
        <f>IFERROR(__xludf.DUMMYFUNCTION("""COMPUTED_VALUE"""),13.007618)</f>
        <v>13.007618</v>
      </c>
      <c r="E21524" s="4">
        <f>IFERROR(__xludf.DUMMYFUNCTION("""COMPUTED_VALUE"""),80.203666)</f>
        <v>80.203666</v>
      </c>
      <c r="F21524" s="4">
        <f>IFERROR(__xludf.DUMMYFUNCTION("""COMPUTED_VALUE"""),5339.0)</f>
        <v>5339</v>
      </c>
      <c r="G21524" s="4">
        <f>IFERROR(__xludf.DUMMYFUNCTION("""COMPUTED_VALUE"""),26.0)</f>
        <v>26</v>
      </c>
      <c r="H21524" s="4"/>
      <c r="I21524" s="4"/>
    </row>
    <row r="21525">
      <c r="A21525" s="4" t="str">
        <f>IFERROR(__xludf.DUMMYFUNCTION("""COMPUTED_VALUE"""),"cas_hmw")</f>
        <v>cas_hmw</v>
      </c>
      <c r="B21525" s="5">
        <f>IFERROR(__xludf.DUMMYFUNCTION("""COMPUTED_VALUE"""),44785.0)</f>
        <v>44785</v>
      </c>
      <c r="C21525" s="6">
        <f>IFERROR(__xludf.DUMMYFUNCTION("""COMPUTED_VALUE"""),0.7162962962975143)</f>
        <v>0.7162962963</v>
      </c>
      <c r="D21525" s="4">
        <f>IFERROR(__xludf.DUMMYFUNCTION("""COMPUTED_VALUE"""),13.007748)</f>
        <v>13.007748</v>
      </c>
      <c r="E21525" s="4">
        <f>IFERROR(__xludf.DUMMYFUNCTION("""COMPUTED_VALUE"""),80.206422)</f>
        <v>80.206422</v>
      </c>
      <c r="F21525" s="4">
        <f>IFERROR(__xludf.DUMMYFUNCTION("""COMPUTED_VALUE"""),805.0)</f>
        <v>805</v>
      </c>
      <c r="G21525" s="4">
        <f>IFERROR(__xludf.DUMMYFUNCTION("""COMPUTED_VALUE"""),58.0)</f>
        <v>58</v>
      </c>
      <c r="H21525" s="4"/>
      <c r="I21525" s="4"/>
    </row>
    <row r="21526">
      <c r="A21526" s="4" t="str">
        <f>IFERROR(__xludf.DUMMYFUNCTION("""COMPUTED_VALUE"""),"cas_hmw")</f>
        <v>cas_hmw</v>
      </c>
      <c r="B21526" s="5">
        <f>IFERROR(__xludf.DUMMYFUNCTION("""COMPUTED_VALUE"""),44785.0)</f>
        <v>44785</v>
      </c>
      <c r="C21526" s="6">
        <f>IFERROR(__xludf.DUMMYFUNCTION("""COMPUTED_VALUE"""),0.716412037036207)</f>
        <v>0.716412037</v>
      </c>
      <c r="D21526" s="4">
        <f>IFERROR(__xludf.DUMMYFUNCTION("""COMPUTED_VALUE"""),13.007748)</f>
        <v>13.007748</v>
      </c>
      <c r="E21526" s="4">
        <f>IFERROR(__xludf.DUMMYFUNCTION("""COMPUTED_VALUE"""),80.206422)</f>
        <v>80.206422</v>
      </c>
      <c r="F21526" s="4">
        <f>IFERROR(__xludf.DUMMYFUNCTION("""COMPUTED_VALUE"""),805.0)</f>
        <v>805</v>
      </c>
      <c r="G21526" s="4">
        <f>IFERROR(__xludf.DUMMYFUNCTION("""COMPUTED_VALUE"""),58.0)</f>
        <v>58</v>
      </c>
      <c r="H21526" s="4"/>
      <c r="I21526" s="4"/>
    </row>
    <row r="21527">
      <c r="A21527" s="4" t="str">
        <f>IFERROR(__xludf.DUMMYFUNCTION("""COMPUTED_VALUE"""),"cas_hmw")</f>
        <v>cas_hmw</v>
      </c>
      <c r="B21527" s="5">
        <f>IFERROR(__xludf.DUMMYFUNCTION("""COMPUTED_VALUE"""),44785.0)</f>
        <v>44785</v>
      </c>
      <c r="C21527" s="6">
        <f>IFERROR(__xludf.DUMMYFUNCTION("""COMPUTED_VALUE"""),0.7165393518516794)</f>
        <v>0.7165393519</v>
      </c>
      <c r="D21527" s="4">
        <f>IFERROR(__xludf.DUMMYFUNCTION("""COMPUTED_VALUE"""),13.008001)</f>
        <v>13.008001</v>
      </c>
      <c r="E21527" s="4">
        <f>IFERROR(__xludf.DUMMYFUNCTION("""COMPUTED_VALUE"""),80.208309)</f>
        <v>80.208309</v>
      </c>
      <c r="F21527" s="4">
        <f>IFERROR(__xludf.DUMMYFUNCTION("""COMPUTED_VALUE"""),805.0)</f>
        <v>805</v>
      </c>
      <c r="G21527" s="4">
        <f>IFERROR(__xludf.DUMMYFUNCTION("""COMPUTED_VALUE"""),33.0)</f>
        <v>33</v>
      </c>
      <c r="H21527" s="4"/>
      <c r="I21527" s="4"/>
    </row>
    <row r="21528">
      <c r="A21528" s="4" t="str">
        <f>IFERROR(__xludf.DUMMYFUNCTION("""COMPUTED_VALUE"""),"cas_hmw")</f>
        <v>cas_hmw</v>
      </c>
      <c r="B21528" s="5">
        <f>IFERROR(__xludf.DUMMYFUNCTION("""COMPUTED_VALUE"""),44785.0)</f>
        <v>44785</v>
      </c>
      <c r="C21528" s="6">
        <f>IFERROR(__xludf.DUMMYFUNCTION("""COMPUTED_VALUE"""),0.7165625000016007)</f>
        <v>0.7165625</v>
      </c>
      <c r="D21528" s="4">
        <f>IFERROR(__xludf.DUMMYFUNCTION("""COMPUTED_VALUE"""),13.008001)</f>
        <v>13.008001</v>
      </c>
      <c r="E21528" s="4">
        <f>IFERROR(__xludf.DUMMYFUNCTION("""COMPUTED_VALUE"""),80.208309)</f>
        <v>80.208309</v>
      </c>
      <c r="F21528" s="4">
        <f>IFERROR(__xludf.DUMMYFUNCTION("""COMPUTED_VALUE"""),805.0)</f>
        <v>805</v>
      </c>
      <c r="G21528" s="4">
        <f>IFERROR(__xludf.DUMMYFUNCTION("""COMPUTED_VALUE"""),33.0)</f>
        <v>33</v>
      </c>
      <c r="H21528" s="4"/>
      <c r="I21528" s="4"/>
    </row>
    <row r="21529">
      <c r="A21529" s="4" t="str">
        <f>IFERROR(__xludf.DUMMYFUNCTION("""COMPUTED_VALUE"""),"cas_hmw")</f>
        <v>cas_hmw</v>
      </c>
      <c r="B21529" s="5">
        <f>IFERROR(__xludf.DUMMYFUNCTION("""COMPUTED_VALUE"""),44785.0)</f>
        <v>44785</v>
      </c>
      <c r="C21529" s="6">
        <f>IFERROR(__xludf.DUMMYFUNCTION("""COMPUTED_VALUE"""),0.7168402777788287)</f>
        <v>0.7168402778</v>
      </c>
      <c r="D21529" s="4">
        <f>IFERROR(__xludf.DUMMYFUNCTION("""COMPUTED_VALUE"""),13.007692)</f>
        <v>13.007692</v>
      </c>
      <c r="E21529" s="4">
        <f>IFERROR(__xludf.DUMMYFUNCTION("""COMPUTED_VALUE"""),80.206082)</f>
        <v>80.206082</v>
      </c>
      <c r="F21529" s="4">
        <f>IFERROR(__xludf.DUMMYFUNCTION("""COMPUTED_VALUE"""),5339.0)</f>
        <v>5339</v>
      </c>
      <c r="G21529" s="4">
        <f>IFERROR(__xludf.DUMMYFUNCTION("""COMPUTED_VALUE"""),59.0)</f>
        <v>59</v>
      </c>
      <c r="H21529" s="4"/>
      <c r="I21529" s="4"/>
    </row>
    <row r="21530">
      <c r="A21530" s="4" t="str">
        <f>IFERROR(__xludf.DUMMYFUNCTION("""COMPUTED_VALUE"""),"cas_hmw")</f>
        <v>cas_hmw</v>
      </c>
      <c r="B21530" s="5">
        <f>IFERROR(__xludf.DUMMYFUNCTION("""COMPUTED_VALUE"""),44785.0)</f>
        <v>44785</v>
      </c>
      <c r="C21530" s="6">
        <f>IFERROR(__xludf.DUMMYFUNCTION("""COMPUTED_VALUE"""),0.7170601851867104)</f>
        <v>0.7170601852</v>
      </c>
      <c r="D21530" s="4">
        <f>IFERROR(__xludf.DUMMYFUNCTION("""COMPUTED_VALUE"""),13.009406)</f>
        <v>13.009406</v>
      </c>
      <c r="E21530" s="4">
        <f>IFERROR(__xludf.DUMMYFUNCTION("""COMPUTED_VALUE"""),80.212891)</f>
        <v>80.212891</v>
      </c>
      <c r="F21530" s="4">
        <f>IFERROR(__xludf.DUMMYFUNCTION("""COMPUTED_VALUE"""),805.0)</f>
        <v>805</v>
      </c>
      <c r="G21530" s="4">
        <f>IFERROR(__xludf.DUMMYFUNCTION("""COMPUTED_VALUE"""),34.0)</f>
        <v>34</v>
      </c>
      <c r="H21530" s="4"/>
      <c r="I21530" s="4"/>
    </row>
    <row r="21531">
      <c r="A21531" s="4" t="str">
        <f>IFERROR(__xludf.DUMMYFUNCTION("""COMPUTED_VALUE"""),"cas_hmw")</f>
        <v>cas_hmw</v>
      </c>
      <c r="B21531" s="5">
        <f>IFERROR(__xludf.DUMMYFUNCTION("""COMPUTED_VALUE"""),44785.0)</f>
        <v>44785</v>
      </c>
      <c r="C21531" s="6">
        <f>IFERROR(__xludf.DUMMYFUNCTION("""COMPUTED_VALUE"""),0.7171296296291985)</f>
        <v>0.7171296296</v>
      </c>
      <c r="D21531" s="4">
        <f>IFERROR(__xludf.DUMMYFUNCTION("""COMPUTED_VALUE"""),13.008651)</f>
        <v>13.008651</v>
      </c>
      <c r="E21531" s="4">
        <f>IFERROR(__xludf.DUMMYFUNCTION("""COMPUTED_VALUE"""),80.210792)</f>
        <v>80.210792</v>
      </c>
      <c r="F21531" s="4">
        <f>IFERROR(__xludf.DUMMYFUNCTION("""COMPUTED_VALUE"""),5339.0)</f>
        <v>5339</v>
      </c>
      <c r="G21531" s="4">
        <f>IFERROR(__xludf.DUMMYFUNCTION("""COMPUTED_VALUE"""),46.0)</f>
        <v>46</v>
      </c>
      <c r="H21531" s="4"/>
      <c r="I21531" s="4"/>
    </row>
    <row r="21532">
      <c r="A21532" s="4" t="str">
        <f>IFERROR(__xludf.DUMMYFUNCTION("""COMPUTED_VALUE"""),"cas_hmw")</f>
        <v>cas_hmw</v>
      </c>
      <c r="B21532" s="5">
        <f>IFERROR(__xludf.DUMMYFUNCTION("""COMPUTED_VALUE"""),44785.0)</f>
        <v>44785</v>
      </c>
      <c r="C21532" s="6">
        <f>IFERROR(__xludf.DUMMYFUNCTION("""COMPUTED_VALUE"""),0.7174768518525525)</f>
        <v>0.7174768519</v>
      </c>
      <c r="D21532" s="4">
        <f>IFERROR(__xludf.DUMMYFUNCTION("""COMPUTED_VALUE"""),13.010437)</f>
        <v>13.010437</v>
      </c>
      <c r="E21532" s="4">
        <f>IFERROR(__xludf.DUMMYFUNCTION("""COMPUTED_VALUE"""),80.216126)</f>
        <v>80.216126</v>
      </c>
      <c r="F21532" s="4">
        <f>IFERROR(__xludf.DUMMYFUNCTION("""COMPUTED_VALUE"""),805.0)</f>
        <v>805</v>
      </c>
      <c r="G21532" s="4">
        <f>IFERROR(__xludf.DUMMYFUNCTION("""COMPUTED_VALUE"""),42.0)</f>
        <v>42</v>
      </c>
      <c r="H21532" s="4"/>
      <c r="I21532" s="4"/>
    </row>
    <row r="21533">
      <c r="A21533" s="4" t="str">
        <f>IFERROR(__xludf.DUMMYFUNCTION("""COMPUTED_VALUE"""),"cas_hmw")</f>
        <v>cas_hmw</v>
      </c>
      <c r="B21533" s="5">
        <f>IFERROR(__xludf.DUMMYFUNCTION("""COMPUTED_VALUE"""),44785.0)</f>
        <v>44785</v>
      </c>
      <c r="C21533" s="6">
        <f>IFERROR(__xludf.DUMMYFUNCTION("""COMPUTED_VALUE"""),0.7175231481487572)</f>
        <v>0.7175231481</v>
      </c>
      <c r="D21533" s="4">
        <f>IFERROR(__xludf.DUMMYFUNCTION("""COMPUTED_VALUE"""),12.690946)</f>
        <v>12.690946</v>
      </c>
      <c r="E21533" s="4">
        <f>IFERROR(__xludf.DUMMYFUNCTION("""COMPUTED_VALUE"""),79.981147)</f>
        <v>79.981147</v>
      </c>
      <c r="F21533" s="4">
        <f>IFERROR(__xludf.DUMMYFUNCTION("""COMPUTED_VALUE"""),2846.0)</f>
        <v>2846</v>
      </c>
      <c r="G21533" s="4">
        <f>IFERROR(__xludf.DUMMYFUNCTION("""COMPUTED_VALUE"""),15.0)</f>
        <v>15</v>
      </c>
      <c r="H21533" s="4"/>
      <c r="I21533" s="4"/>
    </row>
    <row r="21534">
      <c r="A21534" s="4" t="str">
        <f>IFERROR(__xludf.DUMMYFUNCTION("""COMPUTED_VALUE"""),"cas_hmw")</f>
        <v>cas_hmw</v>
      </c>
      <c r="B21534" s="5">
        <f>IFERROR(__xludf.DUMMYFUNCTION("""COMPUTED_VALUE"""),44785.0)</f>
        <v>44785</v>
      </c>
      <c r="C21534" s="6">
        <f>IFERROR(__xludf.DUMMYFUNCTION("""COMPUTED_VALUE"""),0.7175578703718202)</f>
        <v>0.7175578704</v>
      </c>
      <c r="D21534" s="4">
        <f>IFERROR(__xludf.DUMMYFUNCTION("""COMPUTED_VALUE"""),13.011095)</f>
        <v>13.011095</v>
      </c>
      <c r="E21534" s="4">
        <f>IFERROR(__xludf.DUMMYFUNCTION("""COMPUTED_VALUE"""),80.217545)</f>
        <v>80.217545</v>
      </c>
      <c r="F21534" s="4">
        <f>IFERROR(__xludf.DUMMYFUNCTION("""COMPUTED_VALUE"""),805.0)</f>
        <v>805</v>
      </c>
      <c r="G21534" s="4">
        <f>IFERROR(__xludf.DUMMYFUNCTION("""COMPUTED_VALUE"""),38.0)</f>
        <v>38</v>
      </c>
      <c r="H21534" s="4"/>
      <c r="I21534" s="4"/>
    </row>
    <row r="21535">
      <c r="A21535" s="4" t="str">
        <f>IFERROR(__xludf.DUMMYFUNCTION("""COMPUTED_VALUE"""),"cas_hmw")</f>
        <v>cas_hmw</v>
      </c>
      <c r="B21535" s="5">
        <f>IFERROR(__xludf.DUMMYFUNCTION("""COMPUTED_VALUE"""),44785.0)</f>
        <v>44785</v>
      </c>
      <c r="C21535" s="6">
        <f>IFERROR(__xludf.DUMMYFUNCTION("""COMPUTED_VALUE"""),0.7177546296297805)</f>
        <v>0.7177546296</v>
      </c>
      <c r="D21535" s="4">
        <f>IFERROR(__xludf.DUMMYFUNCTION("""COMPUTED_VALUE"""),13.009687)</f>
        <v>13.009687</v>
      </c>
      <c r="E21535" s="4">
        <f>IFERROR(__xludf.DUMMYFUNCTION("""COMPUTED_VALUE"""),80.213489)</f>
        <v>80.213489</v>
      </c>
      <c r="F21535" s="4">
        <f>IFERROR(__xludf.DUMMYFUNCTION("""COMPUTED_VALUE"""),5339.0)</f>
        <v>5339</v>
      </c>
      <c r="G21535" s="4">
        <f>IFERROR(__xludf.DUMMYFUNCTION("""COMPUTED_VALUE"""),33.0)</f>
        <v>33</v>
      </c>
      <c r="H21535" s="4"/>
      <c r="I21535" s="4"/>
    </row>
    <row r="21536">
      <c r="A21536" s="4" t="str">
        <f>IFERROR(__xludf.DUMMYFUNCTION("""COMPUTED_VALUE"""),"cas_hmw")</f>
        <v>cas_hmw</v>
      </c>
      <c r="B21536" s="5">
        <f>IFERROR(__xludf.DUMMYFUNCTION("""COMPUTED_VALUE"""),44785.0)</f>
        <v>44785</v>
      </c>
      <c r="C21536" s="6">
        <f>IFERROR(__xludf.DUMMYFUNCTION("""COMPUTED_VALUE"""),0.7178356481490482)</f>
        <v>0.7178356481</v>
      </c>
      <c r="D21536" s="4">
        <f>IFERROR(__xludf.DUMMYFUNCTION("""COMPUTED_VALUE"""),13.010017)</f>
        <v>13.010017</v>
      </c>
      <c r="E21536" s="4">
        <f>IFERROR(__xludf.DUMMYFUNCTION("""COMPUTED_VALUE"""),80.214337)</f>
        <v>80.214337</v>
      </c>
      <c r="F21536" s="4">
        <f>IFERROR(__xludf.DUMMYFUNCTION("""COMPUTED_VALUE"""),5339.0)</f>
        <v>5339</v>
      </c>
      <c r="G21536" s="4">
        <f>IFERROR(__xludf.DUMMYFUNCTION("""COMPUTED_VALUE"""),36.0)</f>
        <v>36</v>
      </c>
      <c r="H21536" s="4"/>
      <c r="I21536" s="4"/>
    </row>
    <row r="21537">
      <c r="A21537" s="4" t="str">
        <f>IFERROR(__xludf.DUMMYFUNCTION("""COMPUTED_VALUE"""),"cas_hmw")</f>
        <v>cas_hmw</v>
      </c>
      <c r="B21537" s="5">
        <f>IFERROR(__xludf.DUMMYFUNCTION("""COMPUTED_VALUE"""),44785.0)</f>
        <v>44785</v>
      </c>
      <c r="C21537" s="6">
        <f>IFERROR(__xludf.DUMMYFUNCTION("""COMPUTED_VALUE"""),0.7180787037032133)</f>
        <v>0.7180787037</v>
      </c>
      <c r="D21537" s="4">
        <f>IFERROR(__xludf.DUMMYFUNCTION("""COMPUTED_VALUE"""),13.010505)</f>
        <v>13.010505</v>
      </c>
      <c r="E21537" s="4">
        <f>IFERROR(__xludf.DUMMYFUNCTION("""COMPUTED_VALUE"""),80.216185)</f>
        <v>80.216185</v>
      </c>
      <c r="F21537" s="4">
        <f>IFERROR(__xludf.DUMMYFUNCTION("""COMPUTED_VALUE"""),5339.0)</f>
        <v>5339</v>
      </c>
      <c r="G21537" s="4">
        <f>IFERROR(__xludf.DUMMYFUNCTION("""COMPUTED_VALUE"""),37.0)</f>
        <v>37</v>
      </c>
      <c r="H21537" s="4"/>
      <c r="I21537" s="4"/>
    </row>
    <row r="21538">
      <c r="A21538" s="4" t="str">
        <f>IFERROR(__xludf.DUMMYFUNCTION("""COMPUTED_VALUE"""),"cas_hmw")</f>
        <v>cas_hmw</v>
      </c>
      <c r="B21538" s="5">
        <f>IFERROR(__xludf.DUMMYFUNCTION("""COMPUTED_VALUE"""),44785.0)</f>
        <v>44785</v>
      </c>
      <c r="C21538" s="6">
        <f>IFERROR(__xludf.DUMMYFUNCTION("""COMPUTED_VALUE"""),0.7182407407417486)</f>
        <v>0.7182407407</v>
      </c>
      <c r="D21538" s="4">
        <f>IFERROR(__xludf.DUMMYFUNCTION("""COMPUTED_VALUE"""),13.010919)</f>
        <v>13.010919</v>
      </c>
      <c r="E21538" s="4">
        <f>IFERROR(__xludf.DUMMYFUNCTION("""COMPUTED_VALUE"""),80.21706)</f>
        <v>80.21706</v>
      </c>
      <c r="F21538" s="4">
        <f>IFERROR(__xludf.DUMMYFUNCTION("""COMPUTED_VALUE"""),5339.0)</f>
        <v>5339</v>
      </c>
      <c r="G21538" s="4">
        <f>IFERROR(__xludf.DUMMYFUNCTION("""COMPUTED_VALUE"""),42.0)</f>
        <v>42</v>
      </c>
      <c r="H21538" s="4"/>
      <c r="I21538" s="4"/>
    </row>
    <row r="21539">
      <c r="A21539" s="4" t="str">
        <f>IFERROR(__xludf.DUMMYFUNCTION("""COMPUTED_VALUE"""),"cas_hmw")</f>
        <v>cas_hmw</v>
      </c>
      <c r="B21539" s="5">
        <f>IFERROR(__xludf.DUMMYFUNCTION("""COMPUTED_VALUE"""),44785.0)</f>
        <v>44785</v>
      </c>
      <c r="C21539" s="6">
        <f>IFERROR(__xludf.DUMMYFUNCTION("""COMPUTED_VALUE"""),0.7183217592610163)</f>
        <v>0.7183217593</v>
      </c>
      <c r="D21539" s="4">
        <f>IFERROR(__xludf.DUMMYFUNCTION("""COMPUTED_VALUE"""),13.011338)</f>
        <v>13.011338</v>
      </c>
      <c r="E21539" s="4">
        <f>IFERROR(__xludf.DUMMYFUNCTION("""COMPUTED_VALUE"""),80.218046)</f>
        <v>80.218046</v>
      </c>
      <c r="F21539" s="4">
        <f>IFERROR(__xludf.DUMMYFUNCTION("""COMPUTED_VALUE"""),5339.0)</f>
        <v>5339</v>
      </c>
      <c r="G21539" s="4">
        <f>IFERROR(__xludf.DUMMYFUNCTION("""COMPUTED_VALUE"""),39.0)</f>
        <v>39</v>
      </c>
      <c r="H21539" s="4"/>
      <c r="I21539" s="4"/>
    </row>
    <row r="21540">
      <c r="A21540" s="4" t="str">
        <f>IFERROR(__xludf.DUMMYFUNCTION("""COMPUTED_VALUE"""),"cas_hmw")</f>
        <v>cas_hmw</v>
      </c>
      <c r="B21540" s="5">
        <f>IFERROR(__xludf.DUMMYFUNCTION("""COMPUTED_VALUE"""),44785.0)</f>
        <v>44785</v>
      </c>
      <c r="C21540" s="6">
        <f>IFERROR(__xludf.DUMMYFUNCTION("""COMPUTED_VALUE"""),0.7187268518500787)</f>
        <v>0.7187268519</v>
      </c>
      <c r="D21540" s="4">
        <f>IFERROR(__xludf.DUMMYFUNCTION("""COMPUTED_VALUE"""),13.01546)</f>
        <v>13.01546</v>
      </c>
      <c r="E21540" s="4">
        <f>IFERROR(__xludf.DUMMYFUNCTION("""COMPUTED_VALUE"""),80.225526)</f>
        <v>80.225526</v>
      </c>
      <c r="F21540" s="4">
        <f>IFERROR(__xludf.DUMMYFUNCTION("""COMPUTED_VALUE"""),805.0)</f>
        <v>805</v>
      </c>
      <c r="G21540" s="4">
        <f>IFERROR(__xludf.DUMMYFUNCTION("""COMPUTED_VALUE"""),16.0)</f>
        <v>16</v>
      </c>
      <c r="H21540" s="4"/>
      <c r="I21540" s="4"/>
    </row>
    <row r="21541">
      <c r="A21541" s="4" t="str">
        <f>IFERROR(__xludf.DUMMYFUNCTION("""COMPUTED_VALUE"""),"cas_hmw")</f>
        <v>cas_hmw</v>
      </c>
      <c r="B21541" s="5">
        <f>IFERROR(__xludf.DUMMYFUNCTION("""COMPUTED_VALUE"""),44785.0)</f>
        <v>44785</v>
      </c>
      <c r="C21541" s="6">
        <f>IFERROR(__xludf.DUMMYFUNCTION("""COMPUTED_VALUE"""),0.7189120370385353)</f>
        <v>0.718912037</v>
      </c>
      <c r="D21541" s="4">
        <f>IFERROR(__xludf.DUMMYFUNCTION("""COMPUTED_VALUE"""),13.014871)</f>
        <v>13.014871</v>
      </c>
      <c r="E21541" s="4">
        <f>IFERROR(__xludf.DUMMYFUNCTION("""COMPUTED_VALUE"""),80.225973)</f>
        <v>80.225973</v>
      </c>
      <c r="F21541" s="4">
        <f>IFERROR(__xludf.DUMMYFUNCTION("""COMPUTED_VALUE"""),805.0)</f>
        <v>805</v>
      </c>
      <c r="G21541" s="4">
        <f>IFERROR(__xludf.DUMMYFUNCTION("""COMPUTED_VALUE"""),19.0)</f>
        <v>19</v>
      </c>
      <c r="H21541" s="4"/>
      <c r="I21541" s="4"/>
    </row>
    <row r="21542">
      <c r="A21542" s="4" t="str">
        <f>IFERROR(__xludf.DUMMYFUNCTION("""COMPUTED_VALUE"""),"cas_hmw")</f>
        <v>cas_hmw</v>
      </c>
      <c r="B21542" s="5">
        <f>IFERROR(__xludf.DUMMYFUNCTION("""COMPUTED_VALUE"""),44785.0)</f>
        <v>44785</v>
      </c>
      <c r="C21542" s="6">
        <f>IFERROR(__xludf.DUMMYFUNCTION("""COMPUTED_VALUE"""),0.7189120370385353)</f>
        <v>0.718912037</v>
      </c>
      <c r="D21542" s="4">
        <f>IFERROR(__xludf.DUMMYFUNCTION("""COMPUTED_VALUE"""),13.014871)</f>
        <v>13.014871</v>
      </c>
      <c r="E21542" s="4">
        <f>IFERROR(__xludf.DUMMYFUNCTION("""COMPUTED_VALUE"""),80.225973)</f>
        <v>80.225973</v>
      </c>
      <c r="F21542" s="4">
        <f>IFERROR(__xludf.DUMMYFUNCTION("""COMPUTED_VALUE"""),805.0)</f>
        <v>805</v>
      </c>
      <c r="G21542" s="4">
        <f>IFERROR(__xludf.DUMMYFUNCTION("""COMPUTED_VALUE"""),19.0)</f>
        <v>19</v>
      </c>
      <c r="H21542" s="4"/>
      <c r="I21542" s="4"/>
    </row>
    <row r="21543">
      <c r="A21543" s="4" t="str">
        <f>IFERROR(__xludf.DUMMYFUNCTION("""COMPUTED_VALUE"""),"cas_hmw")</f>
        <v>cas_hmw</v>
      </c>
      <c r="B21543" s="5">
        <f>IFERROR(__xludf.DUMMYFUNCTION("""COMPUTED_VALUE"""),44785.0)</f>
        <v>44785</v>
      </c>
      <c r="C21543" s="6">
        <f>IFERROR(__xludf.DUMMYFUNCTION("""COMPUTED_VALUE"""),0.7192939814813144)</f>
        <v>0.7192939815</v>
      </c>
      <c r="D21543" s="4">
        <f>IFERROR(__xludf.DUMMYFUNCTION("""COMPUTED_VALUE"""),13.014399)</f>
        <v>13.014399</v>
      </c>
      <c r="E21543" s="4">
        <f>IFERROR(__xludf.DUMMYFUNCTION("""COMPUTED_VALUE"""),80.223876)</f>
        <v>80.223876</v>
      </c>
      <c r="F21543" s="4">
        <f>IFERROR(__xludf.DUMMYFUNCTION("""COMPUTED_VALUE"""),5339.0)</f>
        <v>5339</v>
      </c>
      <c r="G21543" s="4">
        <f>IFERROR(__xludf.DUMMYFUNCTION("""COMPUTED_VALUE"""),38.0)</f>
        <v>38</v>
      </c>
      <c r="H21543" s="4"/>
      <c r="I21543" s="4"/>
    </row>
    <row r="21544">
      <c r="A21544" s="4" t="str">
        <f>IFERROR(__xludf.DUMMYFUNCTION("""COMPUTED_VALUE"""),"cas_hmw")</f>
        <v>cas_hmw</v>
      </c>
      <c r="B21544" s="5">
        <f>IFERROR(__xludf.DUMMYFUNCTION("""COMPUTED_VALUE"""),44785.0)</f>
        <v>44785</v>
      </c>
      <c r="C21544" s="6">
        <f>IFERROR(__xludf.DUMMYFUNCTION("""COMPUTED_VALUE"""),0.7193750000005821)</f>
        <v>0.719375</v>
      </c>
      <c r="D21544" s="4">
        <f>IFERROR(__xludf.DUMMYFUNCTION("""COMPUTED_VALUE"""),13.012889)</f>
        <v>13.012889</v>
      </c>
      <c r="E21544" s="4">
        <f>IFERROR(__xludf.DUMMYFUNCTION("""COMPUTED_VALUE"""),80.226758)</f>
        <v>80.226758</v>
      </c>
      <c r="F21544" s="4">
        <f>IFERROR(__xludf.DUMMYFUNCTION("""COMPUTED_VALUE"""),805.0)</f>
        <v>805</v>
      </c>
      <c r="G21544" s="4">
        <f>IFERROR(__xludf.DUMMYFUNCTION("""COMPUTED_VALUE"""),28.0)</f>
        <v>28</v>
      </c>
      <c r="H21544" s="4"/>
      <c r="I21544" s="4"/>
    </row>
    <row r="21545">
      <c r="A21545" s="4" t="str">
        <f>IFERROR(__xludf.DUMMYFUNCTION("""COMPUTED_VALUE"""),"cas_hmw")</f>
        <v>cas_hmw</v>
      </c>
      <c r="B21545" s="5">
        <f>IFERROR(__xludf.DUMMYFUNCTION("""COMPUTED_VALUE"""),44785.0)</f>
        <v>44785</v>
      </c>
      <c r="C21545" s="6">
        <f>IFERROR(__xludf.DUMMYFUNCTION("""COMPUTED_VALUE"""),0.7195601851854008)</f>
        <v>0.7195601852</v>
      </c>
      <c r="D21545" s="4">
        <f>IFERROR(__xludf.DUMMYFUNCTION("""COMPUTED_VALUE"""),13.011806)</f>
        <v>13.011806</v>
      </c>
      <c r="E21545" s="4">
        <f>IFERROR(__xludf.DUMMYFUNCTION("""COMPUTED_VALUE"""),80.227216)</f>
        <v>80.227216</v>
      </c>
      <c r="F21545" s="4">
        <f>IFERROR(__xludf.DUMMYFUNCTION("""COMPUTED_VALUE"""),805.0)</f>
        <v>805</v>
      </c>
      <c r="G21545" s="4">
        <f>IFERROR(__xludf.DUMMYFUNCTION("""COMPUTED_VALUE"""),36.0)</f>
        <v>36</v>
      </c>
      <c r="H21545" s="4"/>
      <c r="I21545" s="4"/>
    </row>
    <row r="21546">
      <c r="A21546" s="4" t="str">
        <f>IFERROR(__xludf.DUMMYFUNCTION("""COMPUTED_VALUE"""),"cas_hmw")</f>
        <v>cas_hmw</v>
      </c>
      <c r="B21546" s="5">
        <f>IFERROR(__xludf.DUMMYFUNCTION("""COMPUTED_VALUE"""),44785.0)</f>
        <v>44785</v>
      </c>
      <c r="C21546" s="6">
        <f>IFERROR(__xludf.DUMMYFUNCTION("""COMPUTED_VALUE"""),0.7196990740740148)</f>
        <v>0.7196990741</v>
      </c>
      <c r="D21546" s="4">
        <f>IFERROR(__xludf.DUMMYFUNCTION("""COMPUTED_VALUE"""),13.010567)</f>
        <v>13.010567</v>
      </c>
      <c r="E21546" s="4">
        <f>IFERROR(__xludf.DUMMYFUNCTION("""COMPUTED_VALUE"""),80.227734)</f>
        <v>80.227734</v>
      </c>
      <c r="F21546" s="4">
        <f>IFERROR(__xludf.DUMMYFUNCTION("""COMPUTED_VALUE"""),805.0)</f>
        <v>805</v>
      </c>
      <c r="G21546" s="4">
        <f>IFERROR(__xludf.DUMMYFUNCTION("""COMPUTED_VALUE"""),29.0)</f>
        <v>29</v>
      </c>
      <c r="H21546" s="4"/>
      <c r="I21546" s="4"/>
    </row>
    <row r="21547">
      <c r="A21547" s="4" t="str">
        <f>IFERROR(__xludf.DUMMYFUNCTION("""COMPUTED_VALUE"""),"cas_hmw")</f>
        <v>cas_hmw</v>
      </c>
      <c r="B21547" s="5">
        <f>IFERROR(__xludf.DUMMYFUNCTION("""COMPUTED_VALUE"""),44785.0)</f>
        <v>44785</v>
      </c>
      <c r="C21547" s="6">
        <f>IFERROR(__xludf.DUMMYFUNCTION("""COMPUTED_VALUE"""),0.7197106481471565)</f>
        <v>0.7197106481</v>
      </c>
      <c r="D21547" s="4">
        <f>IFERROR(__xludf.DUMMYFUNCTION("""COMPUTED_VALUE"""),13.010567)</f>
        <v>13.010567</v>
      </c>
      <c r="E21547" s="4">
        <f>IFERROR(__xludf.DUMMYFUNCTION("""COMPUTED_VALUE"""),80.227734)</f>
        <v>80.227734</v>
      </c>
      <c r="F21547" s="4">
        <f>IFERROR(__xludf.DUMMYFUNCTION("""COMPUTED_VALUE"""),805.0)</f>
        <v>805</v>
      </c>
      <c r="G21547" s="4">
        <f>IFERROR(__xludf.DUMMYFUNCTION("""COMPUTED_VALUE"""),29.0)</f>
        <v>29</v>
      </c>
      <c r="H21547" s="4"/>
      <c r="I21547" s="4"/>
    </row>
    <row r="21548">
      <c r="A21548" s="4" t="str">
        <f>IFERROR(__xludf.DUMMYFUNCTION("""COMPUTED_VALUE"""),"cas_hmw")</f>
        <v>cas_hmw</v>
      </c>
      <c r="B21548" s="5">
        <f>IFERROR(__xludf.DUMMYFUNCTION("""COMPUTED_VALUE"""),44785.0)</f>
        <v>44785</v>
      </c>
      <c r="C21548" s="6">
        <f>IFERROR(__xludf.DUMMYFUNCTION("""COMPUTED_VALUE"""),0.7198032407395658)</f>
        <v>0.7198032407</v>
      </c>
      <c r="D21548" s="4">
        <f>IFERROR(__xludf.DUMMYFUNCTION("""COMPUTED_VALUE"""),13.019218)</f>
        <v>13.019218</v>
      </c>
      <c r="E21548" s="4">
        <f>IFERROR(__xludf.DUMMYFUNCTION("""COMPUTED_VALUE"""),80.224422)</f>
        <v>80.224422</v>
      </c>
      <c r="F21548" s="4">
        <f>IFERROR(__xludf.DUMMYFUNCTION("""COMPUTED_VALUE"""),5339.0)</f>
        <v>5339</v>
      </c>
      <c r="G21548" s="4">
        <f>IFERROR(__xludf.DUMMYFUNCTION("""COMPUTED_VALUE"""),38.0)</f>
        <v>38</v>
      </c>
      <c r="H21548" s="4"/>
      <c r="I21548" s="4"/>
    </row>
    <row r="21549">
      <c r="A21549" s="4" t="str">
        <f>IFERROR(__xludf.DUMMYFUNCTION("""COMPUTED_VALUE"""),"cas_hmw")</f>
        <v>cas_hmw</v>
      </c>
      <c r="B21549" s="5">
        <f>IFERROR(__xludf.DUMMYFUNCTION("""COMPUTED_VALUE"""),44785.0)</f>
        <v>44785</v>
      </c>
      <c r="C21549" s="6">
        <f>IFERROR(__xludf.DUMMYFUNCTION("""COMPUTED_VALUE"""),0.7202083333322662)</f>
        <v>0.7202083333</v>
      </c>
      <c r="D21549" s="4">
        <f>IFERROR(__xludf.DUMMYFUNCTION("""COMPUTED_VALUE"""),12.679855)</f>
        <v>12.679855</v>
      </c>
      <c r="E21549" s="4">
        <f>IFERROR(__xludf.DUMMYFUNCTION("""COMPUTED_VALUE"""),79.980945)</f>
        <v>79.980945</v>
      </c>
      <c r="F21549" s="4">
        <f>IFERROR(__xludf.DUMMYFUNCTION("""COMPUTED_VALUE"""),2846.0)</f>
        <v>2846</v>
      </c>
      <c r="G21549" s="4">
        <f>IFERROR(__xludf.DUMMYFUNCTION("""COMPUTED_VALUE"""),7.0)</f>
        <v>7</v>
      </c>
      <c r="H21549" s="4"/>
      <c r="I21549" s="4"/>
    </row>
    <row r="21550">
      <c r="A21550" s="4" t="str">
        <f>IFERROR(__xludf.DUMMYFUNCTION("""COMPUTED_VALUE"""),"cas_hmw")</f>
        <v>cas_hmw</v>
      </c>
      <c r="B21550" s="5">
        <f>IFERROR(__xludf.DUMMYFUNCTION("""COMPUTED_VALUE"""),44785.0)</f>
        <v>44785</v>
      </c>
      <c r="C21550" s="6">
        <f>IFERROR(__xludf.DUMMYFUNCTION("""COMPUTED_VALUE"""),0.7231828703697829)</f>
        <v>0.7231828704</v>
      </c>
      <c r="D21550" s="4">
        <f>IFERROR(__xludf.DUMMYFUNCTION("""COMPUTED_VALUE"""),13.027468)</f>
        <v>13.027468</v>
      </c>
      <c r="E21550" s="4">
        <f>IFERROR(__xludf.DUMMYFUNCTION("""COMPUTED_VALUE"""),80.234422)</f>
        <v>80.234422</v>
      </c>
      <c r="F21550" s="4">
        <f>IFERROR(__xludf.DUMMYFUNCTION("""COMPUTED_VALUE"""),5339.0)</f>
        <v>5339</v>
      </c>
      <c r="G21550" s="4">
        <f>IFERROR(__xludf.DUMMYFUNCTION("""COMPUTED_VALUE"""),31.0)</f>
        <v>31</v>
      </c>
      <c r="H21550" s="4"/>
      <c r="I21550" s="4"/>
    </row>
    <row r="21551">
      <c r="A21551" s="4" t="str">
        <f>IFERROR(__xludf.DUMMYFUNCTION("""COMPUTED_VALUE"""),"cas_hmw")</f>
        <v>cas_hmw</v>
      </c>
      <c r="B21551" s="5">
        <f>IFERROR(__xludf.DUMMYFUNCTION("""COMPUTED_VALUE"""),44785.0)</f>
        <v>44785</v>
      </c>
      <c r="C21551" s="6">
        <f>IFERROR(__xludf.DUMMYFUNCTION("""COMPUTED_VALUE"""),0.7232523148159089)</f>
        <v>0.7232523148</v>
      </c>
      <c r="D21551" s="4">
        <f>IFERROR(__xludf.DUMMYFUNCTION("""COMPUTED_VALUE"""),13.027468)</f>
        <v>13.027468</v>
      </c>
      <c r="E21551" s="4">
        <f>IFERROR(__xludf.DUMMYFUNCTION("""COMPUTED_VALUE"""),80.234422)</f>
        <v>80.234422</v>
      </c>
      <c r="F21551" s="4">
        <f>IFERROR(__xludf.DUMMYFUNCTION("""COMPUTED_VALUE"""),5339.0)</f>
        <v>5339</v>
      </c>
      <c r="G21551" s="4">
        <f>IFERROR(__xludf.DUMMYFUNCTION("""COMPUTED_VALUE"""),31.0)</f>
        <v>31</v>
      </c>
      <c r="H21551" s="4"/>
      <c r="I21551" s="4"/>
    </row>
    <row r="21552">
      <c r="A21552" s="4" t="str">
        <f>IFERROR(__xludf.DUMMYFUNCTION("""COMPUTED_VALUE"""),"cas_hmw")</f>
        <v>cas_hmw</v>
      </c>
      <c r="B21552" s="5">
        <f>IFERROR(__xludf.DUMMYFUNCTION("""COMPUTED_VALUE"""),44785.0)</f>
        <v>44785</v>
      </c>
      <c r="C21552" s="6">
        <f>IFERROR(__xludf.DUMMYFUNCTION("""COMPUTED_VALUE"""),0.7234953703700739)</f>
        <v>0.7234953704</v>
      </c>
      <c r="D21552" s="4">
        <f>IFERROR(__xludf.DUMMYFUNCTION("""COMPUTED_VALUE"""),13.029139)</f>
        <v>13.029139</v>
      </c>
      <c r="E21552" s="4">
        <f>IFERROR(__xludf.DUMMYFUNCTION("""COMPUTED_VALUE"""),80.236669)</f>
        <v>80.236669</v>
      </c>
      <c r="F21552" s="4">
        <f>IFERROR(__xludf.DUMMYFUNCTION("""COMPUTED_VALUE"""),5339.0)</f>
        <v>5339</v>
      </c>
      <c r="G21552" s="4">
        <f>IFERROR(__xludf.DUMMYFUNCTION("""COMPUTED_VALUE"""),57.0)</f>
        <v>57</v>
      </c>
      <c r="H21552" s="4"/>
      <c r="I21552" s="4"/>
    </row>
    <row r="21553">
      <c r="A21553" s="4" t="str">
        <f>IFERROR(__xludf.DUMMYFUNCTION("""COMPUTED_VALUE"""),"cas_hmw")</f>
        <v>cas_hmw</v>
      </c>
      <c r="B21553" s="5">
        <f>IFERROR(__xludf.DUMMYFUNCTION("""COMPUTED_VALUE"""),44785.0)</f>
        <v>44785</v>
      </c>
      <c r="C21553" s="6">
        <f>IFERROR(__xludf.DUMMYFUNCTION("""COMPUTED_VALUE"""),0.7247916666674428)</f>
        <v>0.7247916667</v>
      </c>
      <c r="D21553" s="4">
        <f>IFERROR(__xludf.DUMMYFUNCTION("""COMPUTED_VALUE"""),13.031345)</f>
        <v>13.031345</v>
      </c>
      <c r="E21553" s="4">
        <f>IFERROR(__xludf.DUMMYFUNCTION("""COMPUTED_VALUE"""),80.24022)</f>
        <v>80.24022</v>
      </c>
      <c r="F21553" s="4">
        <f>IFERROR(__xludf.DUMMYFUNCTION("""COMPUTED_VALUE"""),5339.0)</f>
        <v>5339</v>
      </c>
      <c r="G21553" s="4">
        <f>IFERROR(__xludf.DUMMYFUNCTION("""COMPUTED_VALUE"""),35.0)</f>
        <v>35</v>
      </c>
      <c r="H21553" s="4"/>
      <c r="I21553" s="4"/>
    </row>
    <row r="21554">
      <c r="A21554" s="4" t="str">
        <f>IFERROR(__xludf.DUMMYFUNCTION("""COMPUTED_VALUE"""),"cas_hmw")</f>
        <v>cas_hmw</v>
      </c>
      <c r="B21554" s="5">
        <f>IFERROR(__xludf.DUMMYFUNCTION("""COMPUTED_VALUE"""),44785.0)</f>
        <v>44785</v>
      </c>
      <c r="C21554" s="6">
        <f>IFERROR(__xludf.DUMMYFUNCTION("""COMPUTED_VALUE"""),0.7249884259254031)</f>
        <v>0.7249884259</v>
      </c>
      <c r="D21554" s="4">
        <f>IFERROR(__xludf.DUMMYFUNCTION("""COMPUTED_VALUE"""),13.031783)</f>
        <v>13.031783</v>
      </c>
      <c r="E21554" s="4">
        <f>IFERROR(__xludf.DUMMYFUNCTION("""COMPUTED_VALUE"""),80.241183)</f>
        <v>80.241183</v>
      </c>
      <c r="F21554" s="4">
        <f>IFERROR(__xludf.DUMMYFUNCTION("""COMPUTED_VALUE"""),5339.0)</f>
        <v>5339</v>
      </c>
      <c r="G21554" s="4">
        <f>IFERROR(__xludf.DUMMYFUNCTION("""COMPUTED_VALUE"""),47.0)</f>
        <v>47</v>
      </c>
      <c r="H21554" s="4"/>
      <c r="I21554" s="4"/>
    </row>
    <row r="21555">
      <c r="A21555" s="4" t="str">
        <f>IFERROR(__xludf.DUMMYFUNCTION("""COMPUTED_VALUE"""),"cas_hmw")</f>
        <v>cas_hmw</v>
      </c>
      <c r="B21555" s="5">
        <f>IFERROR(__xludf.DUMMYFUNCTION("""COMPUTED_VALUE"""),44785.0)</f>
        <v>44785</v>
      </c>
      <c r="C21555" s="6">
        <f>IFERROR(__xludf.DUMMYFUNCTION("""COMPUTED_VALUE"""),0.7253819444449618)</f>
        <v>0.7253819444</v>
      </c>
      <c r="D21555" s="4">
        <f>IFERROR(__xludf.DUMMYFUNCTION("""COMPUTED_VALUE"""),13.033274)</f>
        <v>13.033274</v>
      </c>
      <c r="E21555" s="4">
        <f>IFERROR(__xludf.DUMMYFUNCTION("""COMPUTED_VALUE"""),80.2435)</f>
        <v>80.2435</v>
      </c>
      <c r="F21555" s="4">
        <f>IFERROR(__xludf.DUMMYFUNCTION("""COMPUTED_VALUE"""),5339.0)</f>
        <v>5339</v>
      </c>
      <c r="G21555" s="4">
        <f>IFERROR(__xludf.DUMMYFUNCTION("""COMPUTED_VALUE"""),17.0)</f>
        <v>17</v>
      </c>
      <c r="H21555" s="4"/>
      <c r="I21555" s="4"/>
    </row>
    <row r="21556">
      <c r="A21556" s="4" t="str">
        <f>IFERROR(__xludf.DUMMYFUNCTION("""COMPUTED_VALUE"""),"cas_hmw")</f>
        <v>cas_hmw</v>
      </c>
      <c r="B21556" s="5">
        <f>IFERROR(__xludf.DUMMYFUNCTION("""COMPUTED_VALUE"""),44785.0)</f>
        <v>44785</v>
      </c>
      <c r="C21556" s="6">
        <f>IFERROR(__xludf.DUMMYFUNCTION("""COMPUTED_VALUE"""),0.7302430555573665)</f>
        <v>0.7302430556</v>
      </c>
      <c r="D21556" s="4">
        <f>IFERROR(__xludf.DUMMYFUNCTION("""COMPUTED_VALUE"""),13.006758)</f>
        <v>13.006758</v>
      </c>
      <c r="E21556" s="4">
        <f>IFERROR(__xludf.DUMMYFUNCTION("""COMPUTED_VALUE"""),80.251878)</f>
        <v>80.251878</v>
      </c>
      <c r="F21556" s="4">
        <f>IFERROR(__xludf.DUMMYFUNCTION("""COMPUTED_VALUE"""),805.0)</f>
        <v>805</v>
      </c>
      <c r="G21556" s="4">
        <f>IFERROR(__xludf.DUMMYFUNCTION("""COMPUTED_VALUE"""),26.0)</f>
        <v>26</v>
      </c>
      <c r="H21556" s="4"/>
      <c r="I21556" s="4"/>
    </row>
    <row r="21557">
      <c r="A21557" s="4" t="str">
        <f>IFERROR(__xludf.DUMMYFUNCTION("""COMPUTED_VALUE"""),"cas_hmw")</f>
        <v>cas_hmw</v>
      </c>
      <c r="B21557" s="5">
        <f>IFERROR(__xludf.DUMMYFUNCTION("""COMPUTED_VALUE"""),44785.0)</f>
        <v>44785</v>
      </c>
      <c r="C21557" s="6">
        <f>IFERROR(__xludf.DUMMYFUNCTION("""COMPUTED_VALUE"""),0.7307638888887595)</f>
        <v>0.7307638889</v>
      </c>
      <c r="D21557" s="4">
        <f>IFERROR(__xludf.DUMMYFUNCTION("""COMPUTED_VALUE"""),13.046108)</f>
        <v>13.046108</v>
      </c>
      <c r="E21557" s="4">
        <f>IFERROR(__xludf.DUMMYFUNCTION("""COMPUTED_VALUE"""),80.248195)</f>
        <v>80.248195</v>
      </c>
      <c r="F21557" s="4">
        <f>IFERROR(__xludf.DUMMYFUNCTION("""COMPUTED_VALUE"""),5339.0)</f>
        <v>5339</v>
      </c>
      <c r="G21557" s="4">
        <f>IFERROR(__xludf.DUMMYFUNCTION("""COMPUTED_VALUE"""),32.0)</f>
        <v>32</v>
      </c>
      <c r="H21557" s="4"/>
      <c r="I21557" s="4"/>
    </row>
    <row r="21558">
      <c r="A21558" s="4" t="str">
        <f>IFERROR(__xludf.DUMMYFUNCTION("""COMPUTED_VALUE"""),"cas_hmw")</f>
        <v>cas_hmw</v>
      </c>
      <c r="B21558" s="5">
        <f>IFERROR(__xludf.DUMMYFUNCTION("""COMPUTED_VALUE"""),44785.0)</f>
        <v>44785</v>
      </c>
      <c r="C21558" s="6">
        <f>IFERROR(__xludf.DUMMYFUNCTION("""COMPUTED_VALUE"""),0.7309259259272949)</f>
        <v>0.7309259259</v>
      </c>
      <c r="D21558" s="4">
        <f>IFERROR(__xludf.DUMMYFUNCTION("""COMPUTED_VALUE"""),13.046866)</f>
        <v>13.046866</v>
      </c>
      <c r="E21558" s="4">
        <f>IFERROR(__xludf.DUMMYFUNCTION("""COMPUTED_VALUE"""),80.248336)</f>
        <v>80.248336</v>
      </c>
      <c r="F21558" s="4">
        <f>IFERROR(__xludf.DUMMYFUNCTION("""COMPUTED_VALUE"""),5339.0)</f>
        <v>5339</v>
      </c>
      <c r="G21558" s="4">
        <f>IFERROR(__xludf.DUMMYFUNCTION("""COMPUTED_VALUE"""),27.0)</f>
        <v>27</v>
      </c>
      <c r="H21558" s="4"/>
      <c r="I21558" s="4"/>
    </row>
    <row r="21559">
      <c r="A21559" s="4" t="str">
        <f>IFERROR(__xludf.DUMMYFUNCTION("""COMPUTED_VALUE"""),"cas_hmw")</f>
        <v>cas_hmw</v>
      </c>
      <c r="B21559" s="5">
        <f>IFERROR(__xludf.DUMMYFUNCTION("""COMPUTED_VALUE"""),44785.0)</f>
        <v>44785</v>
      </c>
      <c r="C21559" s="6">
        <f>IFERROR(__xludf.DUMMYFUNCTION("""COMPUTED_VALUE"""),0.7310069444429246)</f>
        <v>0.7310069444</v>
      </c>
      <c r="D21559" s="4">
        <f>IFERROR(__xludf.DUMMYFUNCTION("""COMPUTED_VALUE"""),13.04755)</f>
        <v>13.04755</v>
      </c>
      <c r="E21559" s="4">
        <f>IFERROR(__xludf.DUMMYFUNCTION("""COMPUTED_VALUE"""),80.248728)</f>
        <v>80.248728</v>
      </c>
      <c r="F21559" s="4">
        <f>IFERROR(__xludf.DUMMYFUNCTION("""COMPUTED_VALUE"""),5339.0)</f>
        <v>5339</v>
      </c>
      <c r="G21559" s="4">
        <f>IFERROR(__xludf.DUMMYFUNCTION("""COMPUTED_VALUE"""),33.0)</f>
        <v>33</v>
      </c>
      <c r="H21559" s="4"/>
      <c r="I21559" s="4"/>
    </row>
    <row r="21560">
      <c r="A21560" s="4" t="str">
        <f>IFERROR(__xludf.DUMMYFUNCTION("""COMPUTED_VALUE"""),"cas_hmw")</f>
        <v>cas_hmw</v>
      </c>
      <c r="B21560" s="5">
        <f>IFERROR(__xludf.DUMMYFUNCTION("""COMPUTED_VALUE"""),44785.0)</f>
        <v>44785</v>
      </c>
      <c r="C21560" s="6">
        <f>IFERROR(__xludf.DUMMYFUNCTION("""COMPUTED_VALUE"""),0.7313888888893416)</f>
        <v>0.7313888889</v>
      </c>
      <c r="D21560" s="4">
        <f>IFERROR(__xludf.DUMMYFUNCTION("""COMPUTED_VALUE"""),13.04953)</f>
        <v>13.04953</v>
      </c>
      <c r="E21560" s="4">
        <f>IFERROR(__xludf.DUMMYFUNCTION("""COMPUTED_VALUE"""),80.24975)</f>
        <v>80.24975</v>
      </c>
      <c r="F21560" s="4">
        <f>IFERROR(__xludf.DUMMYFUNCTION("""COMPUTED_VALUE"""),5339.0)</f>
        <v>5339</v>
      </c>
      <c r="G21560" s="4">
        <f>IFERROR(__xludf.DUMMYFUNCTION("""COMPUTED_VALUE"""),23.0)</f>
        <v>23</v>
      </c>
      <c r="H21560" s="4"/>
      <c r="I21560" s="4"/>
    </row>
    <row r="21561">
      <c r="A21561" s="4" t="str">
        <f>IFERROR(__xludf.DUMMYFUNCTION("""COMPUTED_VALUE"""),"cas_hmw")</f>
        <v>cas_hmw</v>
      </c>
      <c r="B21561" s="5">
        <f>IFERROR(__xludf.DUMMYFUNCTION("""COMPUTED_VALUE"""),44785.0)</f>
        <v>44785</v>
      </c>
      <c r="C21561" s="6">
        <f>IFERROR(__xludf.DUMMYFUNCTION("""COMPUTED_VALUE"""),0.7315277777779556)</f>
        <v>0.7315277778</v>
      </c>
      <c r="D21561" s="4">
        <f>IFERROR(__xludf.DUMMYFUNCTION("""COMPUTED_VALUE"""),13.050245)</f>
        <v>13.050245</v>
      </c>
      <c r="E21561" s="4">
        <f>IFERROR(__xludf.DUMMYFUNCTION("""COMPUTED_VALUE"""),80.249861)</f>
        <v>80.249861</v>
      </c>
      <c r="F21561" s="4">
        <f>IFERROR(__xludf.DUMMYFUNCTION("""COMPUTED_VALUE"""),5339.0)</f>
        <v>5339</v>
      </c>
      <c r="G21561" s="4">
        <f>IFERROR(__xludf.DUMMYFUNCTION("""COMPUTED_VALUE"""),32.0)</f>
        <v>32</v>
      </c>
      <c r="H21561" s="4"/>
      <c r="I21561" s="4"/>
    </row>
    <row r="21562">
      <c r="A21562" s="4" t="str">
        <f>IFERROR(__xludf.DUMMYFUNCTION("""COMPUTED_VALUE"""),"cas_hmw")</f>
        <v>cas_hmw</v>
      </c>
      <c r="B21562" s="5">
        <f>IFERROR(__xludf.DUMMYFUNCTION("""COMPUTED_VALUE"""),44785.0)</f>
        <v>44785</v>
      </c>
      <c r="C21562" s="6">
        <f>IFERROR(__xludf.DUMMYFUNCTION("""COMPUTED_VALUE"""),0.7318171296283253)</f>
        <v>0.7318171296</v>
      </c>
      <c r="D21562" s="4">
        <f>IFERROR(__xludf.DUMMYFUNCTION("""COMPUTED_VALUE"""),13.052297)</f>
        <v>13.052297</v>
      </c>
      <c r="E21562" s="4">
        <f>IFERROR(__xludf.DUMMYFUNCTION("""COMPUTED_VALUE"""),80.250904)</f>
        <v>80.250904</v>
      </c>
      <c r="F21562" s="4">
        <f>IFERROR(__xludf.DUMMYFUNCTION("""COMPUTED_VALUE"""),5339.0)</f>
        <v>5339</v>
      </c>
      <c r="G21562" s="4">
        <f>IFERROR(__xludf.DUMMYFUNCTION("""COMPUTED_VALUE"""),39.0)</f>
        <v>39</v>
      </c>
      <c r="H21562" s="4"/>
      <c r="I21562" s="4"/>
    </row>
    <row r="21563">
      <c r="A21563" s="4" t="str">
        <f>IFERROR(__xludf.DUMMYFUNCTION("""COMPUTED_VALUE"""),"cas_hmw")</f>
        <v>cas_hmw</v>
      </c>
      <c r="B21563" s="5">
        <f>IFERROR(__xludf.DUMMYFUNCTION("""COMPUTED_VALUE"""),44785.0)</f>
        <v>44785</v>
      </c>
      <c r="C21563" s="6">
        <f>IFERROR(__xludf.DUMMYFUNCTION("""COMPUTED_VALUE"""),0.7325347222213168)</f>
        <v>0.7325347222</v>
      </c>
      <c r="D21563" s="4">
        <f>IFERROR(__xludf.DUMMYFUNCTION("""COMPUTED_VALUE"""),12.967327)</f>
        <v>12.967327</v>
      </c>
      <c r="E21563" s="4">
        <f>IFERROR(__xludf.DUMMYFUNCTION("""COMPUTED_VALUE"""),80.217469)</f>
        <v>80.217469</v>
      </c>
      <c r="F21563" s="4">
        <f>IFERROR(__xludf.DUMMYFUNCTION("""COMPUTED_VALUE"""),3143.0)</f>
        <v>3143</v>
      </c>
      <c r="G21563" s="4">
        <f>IFERROR(__xludf.DUMMYFUNCTION("""COMPUTED_VALUE"""),52.0)</f>
        <v>52</v>
      </c>
      <c r="H21563" s="4"/>
      <c r="I21563" s="4"/>
    </row>
    <row r="21564">
      <c r="A21564" s="4" t="str">
        <f>IFERROR(__xludf.DUMMYFUNCTION("""COMPUTED_VALUE"""),"cas_hmw")</f>
        <v>cas_hmw</v>
      </c>
      <c r="B21564" s="5">
        <f>IFERROR(__xludf.DUMMYFUNCTION("""COMPUTED_VALUE"""),44785.0)</f>
        <v>44785</v>
      </c>
      <c r="C21564" s="6">
        <f>IFERROR(__xludf.DUMMYFUNCTION("""COMPUTED_VALUE"""),0.7328935185178125)</f>
        <v>0.7328935185</v>
      </c>
      <c r="D21564" s="4">
        <f>IFERROR(__xludf.DUMMYFUNCTION("""COMPUTED_VALUE"""),13.009143)</f>
        <v>13.009143</v>
      </c>
      <c r="E21564" s="4">
        <f>IFERROR(__xludf.DUMMYFUNCTION("""COMPUTED_VALUE"""),80.259041)</f>
        <v>80.259041</v>
      </c>
      <c r="F21564" s="4">
        <f>IFERROR(__xludf.DUMMYFUNCTION("""COMPUTED_VALUE"""),805.0)</f>
        <v>805</v>
      </c>
      <c r="G21564" s="4">
        <f>IFERROR(__xludf.DUMMYFUNCTION("""COMPUTED_VALUE"""),21.0)</f>
        <v>21</v>
      </c>
      <c r="H21564" s="4"/>
      <c r="I21564" s="4"/>
    </row>
    <row r="21565">
      <c r="A21565" s="4" t="str">
        <f>IFERROR(__xludf.DUMMYFUNCTION("""COMPUTED_VALUE"""),"cas_hmw")</f>
        <v>cas_hmw</v>
      </c>
      <c r="B21565" s="5">
        <f>IFERROR(__xludf.DUMMYFUNCTION("""COMPUTED_VALUE"""),44785.0)</f>
        <v>44785</v>
      </c>
      <c r="C21565" s="6">
        <f>IFERROR(__xludf.DUMMYFUNCTION("""COMPUTED_VALUE"""),0.7335185185183946)</f>
        <v>0.7335185185</v>
      </c>
      <c r="D21565" s="4">
        <f>IFERROR(__xludf.DUMMYFUNCTION("""COMPUTED_VALUE"""),12.579149)</f>
        <v>12.579149</v>
      </c>
      <c r="E21565" s="4">
        <f>IFERROR(__xludf.DUMMYFUNCTION("""COMPUTED_VALUE"""),79.917999)</f>
        <v>79.917999</v>
      </c>
      <c r="F21565" s="4">
        <f>IFERROR(__xludf.DUMMYFUNCTION("""COMPUTED_VALUE"""),2846.0)</f>
        <v>2846</v>
      </c>
      <c r="G21565" s="4">
        <f>IFERROR(__xludf.DUMMYFUNCTION("""COMPUTED_VALUE"""),51.0)</f>
        <v>51</v>
      </c>
      <c r="H21565" s="4"/>
      <c r="I21565" s="4"/>
    </row>
    <row r="21566">
      <c r="A21566" s="4" t="str">
        <f>IFERROR(__xludf.DUMMYFUNCTION("""COMPUTED_VALUE"""),"cas_hmw")</f>
        <v>cas_hmw</v>
      </c>
      <c r="B21566" s="5">
        <f>IFERROR(__xludf.DUMMYFUNCTION("""COMPUTED_VALUE"""),44785.0)</f>
        <v>44785</v>
      </c>
      <c r="C21566" s="6">
        <f>IFERROR(__xludf.DUMMYFUNCTION("""COMPUTED_VALUE"""),0.7348263888889051)</f>
        <v>0.7348263889</v>
      </c>
      <c r="D21566" s="4">
        <f>IFERROR(__xludf.DUMMYFUNCTION("""COMPUTED_VALUE"""),12.975832)</f>
        <v>12.975832</v>
      </c>
      <c r="E21566" s="4">
        <f>IFERROR(__xludf.DUMMYFUNCTION("""COMPUTED_VALUE"""),80.221274)</f>
        <v>80.221274</v>
      </c>
      <c r="F21566" s="4">
        <f>IFERROR(__xludf.DUMMYFUNCTION("""COMPUTED_VALUE"""),3143.0)</f>
        <v>3143</v>
      </c>
      <c r="G21566" s="4">
        <f>IFERROR(__xludf.DUMMYFUNCTION("""COMPUTED_VALUE"""),7.0)</f>
        <v>7</v>
      </c>
      <c r="H21566" s="4"/>
      <c r="I21566" s="4"/>
    </row>
    <row r="21567">
      <c r="A21567" s="4" t="str">
        <f>IFERROR(__xludf.DUMMYFUNCTION("""COMPUTED_VALUE"""),"cas_hmw")</f>
        <v>cas_hmw</v>
      </c>
      <c r="B21567" s="5">
        <f>IFERROR(__xludf.DUMMYFUNCTION("""COMPUTED_VALUE"""),44785.0)</f>
        <v>44785</v>
      </c>
      <c r="C21567" s="6">
        <f>IFERROR(__xludf.DUMMYFUNCTION("""COMPUTED_VALUE"""),0.7353009259277314)</f>
        <v>0.7353009259</v>
      </c>
      <c r="D21567" s="4">
        <f>IFERROR(__xludf.DUMMYFUNCTION("""COMPUTED_VALUE"""),12.973959)</f>
        <v>12.973959</v>
      </c>
      <c r="E21567" s="4">
        <f>IFERROR(__xludf.DUMMYFUNCTION("""COMPUTED_VALUE"""),80.220309)</f>
        <v>80.220309</v>
      </c>
      <c r="F21567" s="4">
        <f>IFERROR(__xludf.DUMMYFUNCTION("""COMPUTED_VALUE"""),3143.0)</f>
        <v>3143</v>
      </c>
      <c r="G21567" s="4">
        <f>IFERROR(__xludf.DUMMYFUNCTION("""COMPUTED_VALUE"""),31.0)</f>
        <v>31</v>
      </c>
      <c r="H21567" s="4"/>
      <c r="I21567" s="4"/>
    </row>
    <row r="21568">
      <c r="A21568" s="4" t="str">
        <f>IFERROR(__xludf.DUMMYFUNCTION("""COMPUTED_VALUE"""),"cas_hmw")</f>
        <v>cas_hmw</v>
      </c>
      <c r="B21568" s="5">
        <f>IFERROR(__xludf.DUMMYFUNCTION("""COMPUTED_VALUE"""),44785.0)</f>
        <v>44785</v>
      </c>
      <c r="C21568" s="6">
        <f>IFERROR(__xludf.DUMMYFUNCTION("""COMPUTED_VALUE"""),0.7360879629632109)</f>
        <v>0.736087963</v>
      </c>
      <c r="D21568" s="4">
        <f>IFERROR(__xludf.DUMMYFUNCTION("""COMPUTED_VALUE"""),12.968519)</f>
        <v>12.968519</v>
      </c>
      <c r="E21568" s="4">
        <f>IFERROR(__xludf.DUMMYFUNCTION("""COMPUTED_VALUE"""),80.21804)</f>
        <v>80.21804</v>
      </c>
      <c r="F21568" s="4">
        <f>IFERROR(__xludf.DUMMYFUNCTION("""COMPUTED_VALUE"""),3143.0)</f>
        <v>3143</v>
      </c>
      <c r="G21568" s="4">
        <f>IFERROR(__xludf.DUMMYFUNCTION("""COMPUTED_VALUE"""),50.0)</f>
        <v>50</v>
      </c>
      <c r="H21568" s="4"/>
      <c r="I21568" s="4"/>
    </row>
    <row r="21569">
      <c r="A21569" s="4" t="str">
        <f>IFERROR(__xludf.DUMMYFUNCTION("""COMPUTED_VALUE"""),"cas_hmw")</f>
        <v>cas_hmw</v>
      </c>
      <c r="B21569" s="5">
        <f>IFERROR(__xludf.DUMMYFUNCTION("""COMPUTED_VALUE"""),44785.0)</f>
        <v>44785</v>
      </c>
      <c r="C21569" s="6">
        <f>IFERROR(__xludf.DUMMYFUNCTION("""COMPUTED_VALUE"""),0.7363078703710926)</f>
        <v>0.7363078704</v>
      </c>
      <c r="D21569" s="4">
        <f>IFERROR(__xludf.DUMMYFUNCTION("""COMPUTED_VALUE"""),12.966592)</f>
        <v>12.966592</v>
      </c>
      <c r="E21569" s="4">
        <f>IFERROR(__xludf.DUMMYFUNCTION("""COMPUTED_VALUE"""),80.217278)</f>
        <v>80.217278</v>
      </c>
      <c r="F21569" s="4">
        <f>IFERROR(__xludf.DUMMYFUNCTION("""COMPUTED_VALUE"""),3143.0)</f>
        <v>3143</v>
      </c>
      <c r="G21569" s="4">
        <f>IFERROR(__xludf.DUMMYFUNCTION("""COMPUTED_VALUE"""),51.0)</f>
        <v>51</v>
      </c>
      <c r="H21569" s="4"/>
      <c r="I21569" s="4"/>
    </row>
    <row r="21570">
      <c r="A21570" s="4" t="str">
        <f>IFERROR(__xludf.DUMMYFUNCTION("""COMPUTED_VALUE"""),"cas_hmw")</f>
        <v>cas_hmw</v>
      </c>
      <c r="B21570" s="5">
        <f>IFERROR(__xludf.DUMMYFUNCTION("""COMPUTED_VALUE"""),44785.0)</f>
        <v>44785</v>
      </c>
      <c r="C21570" s="6">
        <f>IFERROR(__xludf.DUMMYFUNCTION("""COMPUTED_VALUE"""),0.7363310185173759)</f>
        <v>0.7363310185</v>
      </c>
      <c r="D21570" s="4">
        <f>IFERROR(__xludf.DUMMYFUNCTION("""COMPUTED_VALUE"""),12.966592)</f>
        <v>12.966592</v>
      </c>
      <c r="E21570" s="4">
        <f>IFERROR(__xludf.DUMMYFUNCTION("""COMPUTED_VALUE"""),80.217278)</f>
        <v>80.217278</v>
      </c>
      <c r="F21570" s="4">
        <f>IFERROR(__xludf.DUMMYFUNCTION("""COMPUTED_VALUE"""),3143.0)</f>
        <v>3143</v>
      </c>
      <c r="G21570" s="4">
        <f>IFERROR(__xludf.DUMMYFUNCTION("""COMPUTED_VALUE"""),51.0)</f>
        <v>51</v>
      </c>
      <c r="H21570" s="4"/>
      <c r="I21570" s="4"/>
    </row>
    <row r="21571">
      <c r="A21571" s="4" t="str">
        <f>IFERROR(__xludf.DUMMYFUNCTION("""COMPUTED_VALUE"""),"cas_hmw")</f>
        <v>cas_hmw</v>
      </c>
      <c r="B21571" s="5">
        <f>IFERROR(__xludf.DUMMYFUNCTION("""COMPUTED_VALUE"""),44785.0)</f>
        <v>44785</v>
      </c>
      <c r="C21571" s="6">
        <f>IFERROR(__xludf.DUMMYFUNCTION("""COMPUTED_VALUE"""),0.7365624999983993)</f>
        <v>0.7365625</v>
      </c>
      <c r="D21571" s="4">
        <f>IFERROR(__xludf.DUMMYFUNCTION("""COMPUTED_VALUE"""),12.96343)</f>
        <v>12.96343</v>
      </c>
      <c r="E21571" s="4">
        <f>IFERROR(__xludf.DUMMYFUNCTION("""COMPUTED_VALUE"""),80.216015)</f>
        <v>80.216015</v>
      </c>
      <c r="F21571" s="4">
        <f>IFERROR(__xludf.DUMMYFUNCTION("""COMPUTED_VALUE"""),3143.0)</f>
        <v>3143</v>
      </c>
      <c r="G21571" s="4">
        <f>IFERROR(__xludf.DUMMYFUNCTION("""COMPUTED_VALUE"""),27.0)</f>
        <v>27</v>
      </c>
      <c r="H21571" s="4"/>
      <c r="I21571" s="4"/>
    </row>
    <row r="21572">
      <c r="A21572" s="4" t="str">
        <f>IFERROR(__xludf.DUMMYFUNCTION("""COMPUTED_VALUE"""),"cas_hmw")</f>
        <v>cas_hmw</v>
      </c>
      <c r="B21572" s="5">
        <f>IFERROR(__xludf.DUMMYFUNCTION("""COMPUTED_VALUE"""),44785.0)</f>
        <v>44785</v>
      </c>
      <c r="C21572" s="6">
        <f>IFERROR(__xludf.DUMMYFUNCTION("""COMPUTED_VALUE"""),0.7375694444453984)</f>
        <v>0.7375694444</v>
      </c>
      <c r="D21572" s="4">
        <f>IFERROR(__xludf.DUMMYFUNCTION("""COMPUTED_VALUE"""),12.534082)</f>
        <v>12.534082</v>
      </c>
      <c r="E21572" s="4">
        <f>IFERROR(__xludf.DUMMYFUNCTION("""COMPUTED_VALUE"""),79.901432)</f>
        <v>79.901432</v>
      </c>
      <c r="F21572" s="4">
        <f>IFERROR(__xludf.DUMMYFUNCTION("""COMPUTED_VALUE"""),2846.0)</f>
        <v>2846</v>
      </c>
      <c r="G21572" s="4">
        <f>IFERROR(__xludf.DUMMYFUNCTION("""COMPUTED_VALUE"""),58.0)</f>
        <v>58</v>
      </c>
      <c r="H21572" s="4"/>
      <c r="I21572" s="4"/>
    </row>
    <row r="21573">
      <c r="A21573" s="4" t="str">
        <f>IFERROR(__xludf.DUMMYFUNCTION("""COMPUTED_VALUE"""),"cas_hmw")</f>
        <v>cas_hmw</v>
      </c>
      <c r="B21573" s="5">
        <f>IFERROR(__xludf.DUMMYFUNCTION("""COMPUTED_VALUE"""),44785.0)</f>
        <v>44785</v>
      </c>
      <c r="C21573" s="6">
        <f>IFERROR(__xludf.DUMMYFUNCTION("""COMPUTED_VALUE"""),0.7376273148147448)</f>
        <v>0.7376273148</v>
      </c>
      <c r="D21573" s="4">
        <f>IFERROR(__xludf.DUMMYFUNCTION("""COMPUTED_VALUE"""),12.532762)</f>
        <v>12.532762</v>
      </c>
      <c r="E21573" s="4">
        <f>IFERROR(__xludf.DUMMYFUNCTION("""COMPUTED_VALUE"""),79.900898)</f>
        <v>79.900898</v>
      </c>
      <c r="F21573" s="4">
        <f>IFERROR(__xludf.DUMMYFUNCTION("""COMPUTED_VALUE"""),2846.0)</f>
        <v>2846</v>
      </c>
      <c r="G21573" s="4">
        <f>IFERROR(__xludf.DUMMYFUNCTION("""COMPUTED_VALUE"""),54.0)</f>
        <v>54</v>
      </c>
      <c r="H21573" s="4"/>
      <c r="I21573" s="4"/>
    </row>
    <row r="21574">
      <c r="A21574" s="4" t="str">
        <f>IFERROR(__xludf.DUMMYFUNCTION("""COMPUTED_VALUE"""),"cas_hmw")</f>
        <v>cas_hmw</v>
      </c>
      <c r="B21574" s="5">
        <f>IFERROR(__xludf.DUMMYFUNCTION("""COMPUTED_VALUE"""),44785.0)</f>
        <v>44785</v>
      </c>
      <c r="C21574" s="6">
        <f>IFERROR(__xludf.DUMMYFUNCTION("""COMPUTED_VALUE"""),0.7413888888877409)</f>
        <v>0.7413888889</v>
      </c>
      <c r="D21574" s="4">
        <f>IFERROR(__xludf.DUMMYFUNCTION("""COMPUTED_VALUE"""),12.948471)</f>
        <v>12.948471</v>
      </c>
      <c r="E21574" s="4">
        <f>IFERROR(__xludf.DUMMYFUNCTION("""COMPUTED_VALUE"""),80.198653)</f>
        <v>80.198653</v>
      </c>
      <c r="F21574" s="4">
        <f>IFERROR(__xludf.DUMMYFUNCTION("""COMPUTED_VALUE"""),3143.0)</f>
        <v>3143</v>
      </c>
      <c r="G21574" s="4">
        <f>IFERROR(__xludf.DUMMYFUNCTION("""COMPUTED_VALUE"""),27.0)</f>
        <v>27</v>
      </c>
      <c r="H21574" s="4"/>
      <c r="I21574" s="4"/>
    </row>
    <row r="21575">
      <c r="A21575" s="4" t="str">
        <f>IFERROR(__xludf.DUMMYFUNCTION("""COMPUTED_VALUE"""),"cas_hmw")</f>
        <v>cas_hmw</v>
      </c>
      <c r="B21575" s="5">
        <f>IFERROR(__xludf.DUMMYFUNCTION("""COMPUTED_VALUE"""),44785.0)</f>
        <v>44785</v>
      </c>
      <c r="C21575" s="6">
        <f>IFERROR(__xludf.DUMMYFUNCTION("""COMPUTED_VALUE"""),0.7430208333316841)</f>
        <v>0.7430208333</v>
      </c>
      <c r="D21575" s="4">
        <f>IFERROR(__xludf.DUMMYFUNCTION("""COMPUTED_VALUE"""),12.949009)</f>
        <v>12.949009</v>
      </c>
      <c r="E21575" s="4">
        <f>IFERROR(__xludf.DUMMYFUNCTION("""COMPUTED_VALUE"""),80.185147)</f>
        <v>80.185147</v>
      </c>
      <c r="F21575" s="4">
        <f>IFERROR(__xludf.DUMMYFUNCTION("""COMPUTED_VALUE"""),3143.0)</f>
        <v>3143</v>
      </c>
      <c r="G21575" s="4">
        <f>IFERROR(__xludf.DUMMYFUNCTION("""COMPUTED_VALUE"""),52.0)</f>
        <v>52</v>
      </c>
      <c r="H21575" s="4"/>
      <c r="I21575" s="4"/>
    </row>
    <row r="21576">
      <c r="A21576" s="4" t="str">
        <f>IFERROR(__xludf.DUMMYFUNCTION("""COMPUTED_VALUE"""),"cas_hmw")</f>
        <v>cas_hmw</v>
      </c>
      <c r="B21576" s="5">
        <f>IFERROR(__xludf.DUMMYFUNCTION("""COMPUTED_VALUE"""),44785.0)</f>
        <v>44785</v>
      </c>
      <c r="C21576" s="6">
        <f>IFERROR(__xludf.DUMMYFUNCTION("""COMPUTED_VALUE"""),0.7432523148163455)</f>
        <v>0.7432523148</v>
      </c>
      <c r="D21576" s="4">
        <f>IFERROR(__xludf.DUMMYFUNCTION("""COMPUTED_VALUE"""),12.949306)</f>
        <v>12.949306</v>
      </c>
      <c r="E21576" s="4">
        <f>IFERROR(__xludf.DUMMYFUNCTION("""COMPUTED_VALUE"""),80.182976)</f>
        <v>80.182976</v>
      </c>
      <c r="F21576" s="4">
        <f>IFERROR(__xludf.DUMMYFUNCTION("""COMPUTED_VALUE"""),3143.0)</f>
        <v>3143</v>
      </c>
      <c r="G21576" s="4">
        <f>IFERROR(__xludf.DUMMYFUNCTION("""COMPUTED_VALUE"""),55.0)</f>
        <v>55</v>
      </c>
      <c r="H21576" s="4"/>
      <c r="I21576" s="4"/>
    </row>
    <row r="21577">
      <c r="A21577" s="4" t="str">
        <f>IFERROR(__xludf.DUMMYFUNCTION("""COMPUTED_VALUE"""),"cas_hmw")</f>
        <v>cas_hmw</v>
      </c>
      <c r="B21577" s="5">
        <f>IFERROR(__xludf.DUMMYFUNCTION("""COMPUTED_VALUE"""),44785.0)</f>
        <v>44785</v>
      </c>
      <c r="C21577" s="6">
        <f>IFERROR(__xludf.DUMMYFUNCTION("""COMPUTED_VALUE"""),0.7433680555550382)</f>
        <v>0.7433680556</v>
      </c>
      <c r="D21577" s="4">
        <f>IFERROR(__xludf.DUMMYFUNCTION("""COMPUTED_VALUE"""),12.949717)</f>
        <v>12.949717</v>
      </c>
      <c r="E21577" s="4">
        <f>IFERROR(__xludf.DUMMYFUNCTION("""COMPUTED_VALUE"""),80.180854)</f>
        <v>80.180854</v>
      </c>
      <c r="F21577" s="4">
        <f>IFERROR(__xludf.DUMMYFUNCTION("""COMPUTED_VALUE"""),3143.0)</f>
        <v>3143</v>
      </c>
      <c r="G21577" s="4">
        <f>IFERROR(__xludf.DUMMYFUNCTION("""COMPUTED_VALUE"""),45.0)</f>
        <v>45</v>
      </c>
      <c r="H21577" s="4"/>
      <c r="I21577" s="4"/>
    </row>
    <row r="21578">
      <c r="A21578" s="4" t="str">
        <f>IFERROR(__xludf.DUMMYFUNCTION("""COMPUTED_VALUE"""),"cas_hmw")</f>
        <v>cas_hmw</v>
      </c>
      <c r="B21578" s="5">
        <f>IFERROR(__xludf.DUMMYFUNCTION("""COMPUTED_VALUE"""),44785.0)</f>
        <v>44785</v>
      </c>
      <c r="C21578" s="6">
        <f>IFERROR(__xludf.DUMMYFUNCTION("""COMPUTED_VALUE"""),0.7441319444442343)</f>
        <v>0.7441319444</v>
      </c>
      <c r="D21578" s="4">
        <f>IFERROR(__xludf.DUMMYFUNCTION("""COMPUTED_VALUE"""),12.951079)</f>
        <v>12.951079</v>
      </c>
      <c r="E21578" s="4">
        <f>IFERROR(__xludf.DUMMYFUNCTION("""COMPUTED_VALUE"""),80.174819)</f>
        <v>80.174819</v>
      </c>
      <c r="F21578" s="4">
        <f>IFERROR(__xludf.DUMMYFUNCTION("""COMPUTED_VALUE"""),3143.0)</f>
        <v>3143</v>
      </c>
      <c r="G21578" s="4">
        <f>IFERROR(__xludf.DUMMYFUNCTION("""COMPUTED_VALUE"""),0.0)</f>
        <v>0</v>
      </c>
      <c r="H21578" s="4"/>
      <c r="I21578" s="4"/>
    </row>
    <row r="21579">
      <c r="A21579" s="4" t="str">
        <f>IFERROR(__xludf.DUMMYFUNCTION("""COMPUTED_VALUE"""),"cas_hmw")</f>
        <v>cas_hmw</v>
      </c>
      <c r="B21579" s="5">
        <f>IFERROR(__xludf.DUMMYFUNCTION("""COMPUTED_VALUE"""),44785.0)</f>
        <v>44785</v>
      </c>
      <c r="C21579" s="6">
        <f>IFERROR(__xludf.DUMMYFUNCTION("""COMPUTED_VALUE"""),0.7442361111097853)</f>
        <v>0.7442361111</v>
      </c>
      <c r="D21579" s="4">
        <f>IFERROR(__xludf.DUMMYFUNCTION("""COMPUTED_VALUE"""),13.042823)</f>
        <v>13.042823</v>
      </c>
      <c r="E21579" s="4">
        <f>IFERROR(__xludf.DUMMYFUNCTION("""COMPUTED_VALUE"""),80.267864)</f>
        <v>80.267864</v>
      </c>
      <c r="F21579" s="4">
        <f>IFERROR(__xludf.DUMMYFUNCTION("""COMPUTED_VALUE"""),805.0)</f>
        <v>805</v>
      </c>
      <c r="G21579" s="4">
        <f>IFERROR(__xludf.DUMMYFUNCTION("""COMPUTED_VALUE"""),22.0)</f>
        <v>22</v>
      </c>
      <c r="H21579" s="4"/>
      <c r="I21579" s="4"/>
    </row>
    <row r="21580">
      <c r="A21580" s="4" t="str">
        <f>IFERROR(__xludf.DUMMYFUNCTION("""COMPUTED_VALUE"""),"cas_hmw")</f>
        <v>cas_hmw</v>
      </c>
      <c r="B21580" s="5">
        <f>IFERROR(__xludf.DUMMYFUNCTION("""COMPUTED_VALUE"""),44785.0)</f>
        <v>44785</v>
      </c>
      <c r="C21580" s="6">
        <f>IFERROR(__xludf.DUMMYFUNCTION("""COMPUTED_VALUE"""),0.7449652777795563)</f>
        <v>0.7449652778</v>
      </c>
      <c r="D21580" s="4">
        <f>IFERROR(__xludf.DUMMYFUNCTION("""COMPUTED_VALUE"""),12.951801)</f>
        <v>12.951801</v>
      </c>
      <c r="E21580" s="4">
        <f>IFERROR(__xludf.DUMMYFUNCTION("""COMPUTED_VALUE"""),80.171413)</f>
        <v>80.171413</v>
      </c>
      <c r="F21580" s="4">
        <f>IFERROR(__xludf.DUMMYFUNCTION("""COMPUTED_VALUE"""),3143.0)</f>
        <v>3143</v>
      </c>
      <c r="G21580" s="4">
        <f>IFERROR(__xludf.DUMMYFUNCTION("""COMPUTED_VALUE"""),9.0)</f>
        <v>9</v>
      </c>
      <c r="H21580" s="4"/>
      <c r="I21580" s="4"/>
    </row>
    <row r="21581">
      <c r="A21581" s="4" t="str">
        <f>IFERROR(__xludf.DUMMYFUNCTION("""COMPUTED_VALUE"""),"cas_hmw")</f>
        <v>cas_hmw</v>
      </c>
      <c r="B21581" s="5">
        <f>IFERROR(__xludf.DUMMYFUNCTION("""COMPUTED_VALUE"""),44785.0)</f>
        <v>44785</v>
      </c>
      <c r="C21581" s="6">
        <f>IFERROR(__xludf.DUMMYFUNCTION("""COMPUTED_VALUE"""),0.7451851851838001)</f>
        <v>0.7451851852</v>
      </c>
      <c r="D21581" s="4">
        <f>IFERROR(__xludf.DUMMYFUNCTION("""COMPUTED_VALUE"""),12.951946)</f>
        <v>12.951946</v>
      </c>
      <c r="E21581" s="4">
        <f>IFERROR(__xludf.DUMMYFUNCTION("""COMPUTED_VALUE"""),80.170587)</f>
        <v>80.170587</v>
      </c>
      <c r="F21581" s="4">
        <f>IFERROR(__xludf.DUMMYFUNCTION("""COMPUTED_VALUE"""),3143.0)</f>
        <v>3143</v>
      </c>
      <c r="G21581" s="4">
        <f>IFERROR(__xludf.DUMMYFUNCTION("""COMPUTED_VALUE"""),32.0)</f>
        <v>32</v>
      </c>
      <c r="H21581" s="4"/>
      <c r="I21581" s="4"/>
    </row>
    <row r="21582">
      <c r="A21582" s="4" t="str">
        <f>IFERROR(__xludf.DUMMYFUNCTION("""COMPUTED_VALUE"""),"cas_hmw")</f>
        <v>cas_hmw</v>
      </c>
      <c r="B21582" s="5">
        <f>IFERROR(__xludf.DUMMYFUNCTION("""COMPUTED_VALUE"""),44785.0)</f>
        <v>44785</v>
      </c>
      <c r="C21582" s="6">
        <f>IFERROR(__xludf.DUMMYFUNCTION("""COMPUTED_VALUE"""),0.7459143518535711)</f>
        <v>0.7459143519</v>
      </c>
      <c r="D21582" s="4">
        <f>IFERROR(__xludf.DUMMYFUNCTION("""COMPUTED_VALUE"""),12.953487)</f>
        <v>12.953487</v>
      </c>
      <c r="E21582" s="4">
        <f>IFERROR(__xludf.DUMMYFUNCTION("""COMPUTED_VALUE"""),80.163583)</f>
        <v>80.163583</v>
      </c>
      <c r="F21582" s="4">
        <f>IFERROR(__xludf.DUMMYFUNCTION("""COMPUTED_VALUE"""),3143.0)</f>
        <v>3143</v>
      </c>
      <c r="G21582" s="4">
        <f>IFERROR(__xludf.DUMMYFUNCTION("""COMPUTED_VALUE"""),48.0)</f>
        <v>48</v>
      </c>
      <c r="H21582" s="4"/>
      <c r="I21582" s="4"/>
    </row>
    <row r="21583">
      <c r="A21583" s="4" t="str">
        <f>IFERROR(__xludf.DUMMYFUNCTION("""COMPUTED_VALUE"""),"cas_hmw")</f>
        <v>cas_hmw</v>
      </c>
      <c r="B21583" s="5">
        <f>IFERROR(__xludf.DUMMYFUNCTION("""COMPUTED_VALUE"""),44785.0)</f>
        <v>44785</v>
      </c>
      <c r="C21583" s="6">
        <f>IFERROR(__xludf.DUMMYFUNCTION("""COMPUTED_VALUE"""),0.7467939814814599)</f>
        <v>0.7467939815</v>
      </c>
      <c r="D21583" s="4">
        <f>IFERROR(__xludf.DUMMYFUNCTION("""COMPUTED_VALUE"""),12.954909)</f>
        <v>12.954909</v>
      </c>
      <c r="E21583" s="4">
        <f>IFERROR(__xludf.DUMMYFUNCTION("""COMPUTED_VALUE"""),80.156791)</f>
        <v>80.156791</v>
      </c>
      <c r="F21583" s="4">
        <f>IFERROR(__xludf.DUMMYFUNCTION("""COMPUTED_VALUE"""),3143.0)</f>
        <v>3143</v>
      </c>
      <c r="G21583" s="4">
        <f>IFERROR(__xludf.DUMMYFUNCTION("""COMPUTED_VALUE"""),47.0)</f>
        <v>47</v>
      </c>
      <c r="H21583" s="4"/>
      <c r="I21583" s="4"/>
    </row>
    <row r="21584">
      <c r="A21584" s="4" t="str">
        <f>IFERROR(__xludf.DUMMYFUNCTION("""COMPUTED_VALUE"""),"cas_hmw")</f>
        <v>cas_hmw</v>
      </c>
      <c r="B21584" s="5">
        <f>IFERROR(__xludf.DUMMYFUNCTION("""COMPUTED_VALUE"""),44785.0)</f>
        <v>44785</v>
      </c>
      <c r="C21584" s="6">
        <f>IFERROR(__xludf.DUMMYFUNCTION("""COMPUTED_VALUE"""),0.7496296296303626)</f>
        <v>0.7496296296</v>
      </c>
      <c r="D21584" s="4">
        <f>IFERROR(__xludf.DUMMYFUNCTION("""COMPUTED_VALUE"""),12.956382)</f>
        <v>12.956382</v>
      </c>
      <c r="E21584" s="4">
        <f>IFERROR(__xludf.DUMMYFUNCTION("""COMPUTED_VALUE"""),80.143426)</f>
        <v>80.143426</v>
      </c>
      <c r="F21584" s="4">
        <f>IFERROR(__xludf.DUMMYFUNCTION("""COMPUTED_VALUE"""),3143.0)</f>
        <v>3143</v>
      </c>
      <c r="G21584" s="4">
        <f>IFERROR(__xludf.DUMMYFUNCTION("""COMPUTED_VALUE"""),7.0)</f>
        <v>7</v>
      </c>
      <c r="H21584" s="4"/>
      <c r="I21584" s="4"/>
    </row>
    <row r="21585">
      <c r="A21585" s="4" t="str">
        <f>IFERROR(__xludf.DUMMYFUNCTION("""COMPUTED_VALUE"""),"cas_hmw")</f>
        <v>cas_hmw</v>
      </c>
      <c r="B21585" s="5">
        <f>IFERROR(__xludf.DUMMYFUNCTION("""COMPUTED_VALUE"""),44785.0)</f>
        <v>44785</v>
      </c>
      <c r="C21585" s="6">
        <f>IFERROR(__xludf.DUMMYFUNCTION("""COMPUTED_VALUE"""),0.7496296296303626)</f>
        <v>0.7496296296</v>
      </c>
      <c r="D21585" s="4">
        <f>IFERROR(__xludf.DUMMYFUNCTION("""COMPUTED_VALUE"""),12.956382)</f>
        <v>12.956382</v>
      </c>
      <c r="E21585" s="4">
        <f>IFERROR(__xludf.DUMMYFUNCTION("""COMPUTED_VALUE"""),80.143426)</f>
        <v>80.143426</v>
      </c>
      <c r="F21585" s="4">
        <f>IFERROR(__xludf.DUMMYFUNCTION("""COMPUTED_VALUE"""),3143.0)</f>
        <v>3143</v>
      </c>
      <c r="G21585" s="4">
        <f>IFERROR(__xludf.DUMMYFUNCTION("""COMPUTED_VALUE"""),7.0)</f>
        <v>7</v>
      </c>
      <c r="H21585" s="4"/>
      <c r="I21585" s="4"/>
    </row>
    <row r="21586">
      <c r="A21586" s="4" t="str">
        <f>IFERROR(__xludf.DUMMYFUNCTION("""COMPUTED_VALUE"""),"cas_hmw")</f>
        <v>cas_hmw</v>
      </c>
      <c r="B21586" s="5">
        <f>IFERROR(__xludf.DUMMYFUNCTION("""COMPUTED_VALUE"""),44785.0)</f>
        <v>44785</v>
      </c>
      <c r="C21586" s="6">
        <f>IFERROR(__xludf.DUMMYFUNCTION("""COMPUTED_VALUE"""),0.749652777776646)</f>
        <v>0.7496527778</v>
      </c>
      <c r="D21586" s="4">
        <f>IFERROR(__xludf.DUMMYFUNCTION("""COMPUTED_VALUE"""),12.956382)</f>
        <v>12.956382</v>
      </c>
      <c r="E21586" s="4">
        <f>IFERROR(__xludf.DUMMYFUNCTION("""COMPUTED_VALUE"""),80.143426)</f>
        <v>80.143426</v>
      </c>
      <c r="F21586" s="4">
        <f>IFERROR(__xludf.DUMMYFUNCTION("""COMPUTED_VALUE"""),3143.0)</f>
        <v>3143</v>
      </c>
      <c r="G21586" s="4">
        <f>IFERROR(__xludf.DUMMYFUNCTION("""COMPUTED_VALUE"""),7.0)</f>
        <v>7</v>
      </c>
      <c r="H21586" s="4"/>
      <c r="I21586" s="4"/>
    </row>
    <row r="21587">
      <c r="A21587" s="4" t="str">
        <f>IFERROR(__xludf.DUMMYFUNCTION("""COMPUTED_VALUE"""),"cas_hmw")</f>
        <v>cas_hmw</v>
      </c>
      <c r="B21587" s="5">
        <f>IFERROR(__xludf.DUMMYFUNCTION("""COMPUTED_VALUE"""),44785.0)</f>
        <v>44785</v>
      </c>
      <c r="C21587" s="6">
        <f>IFERROR(__xludf.DUMMYFUNCTION("""COMPUTED_VALUE"""),0.749652777776646)</f>
        <v>0.7496527778</v>
      </c>
      <c r="D21587" s="4">
        <f>IFERROR(__xludf.DUMMYFUNCTION("""COMPUTED_VALUE"""),12.956382)</f>
        <v>12.956382</v>
      </c>
      <c r="E21587" s="4">
        <f>IFERROR(__xludf.DUMMYFUNCTION("""COMPUTED_VALUE"""),80.143426)</f>
        <v>80.143426</v>
      </c>
      <c r="F21587" s="4">
        <f>IFERROR(__xludf.DUMMYFUNCTION("""COMPUTED_VALUE"""),3143.0)</f>
        <v>3143</v>
      </c>
      <c r="G21587" s="4">
        <f>IFERROR(__xludf.DUMMYFUNCTION("""COMPUTED_VALUE"""),7.0)</f>
        <v>7</v>
      </c>
      <c r="H21587" s="4"/>
      <c r="I21587" s="4"/>
    </row>
    <row r="21588">
      <c r="A21588" s="4" t="str">
        <f>IFERROR(__xludf.DUMMYFUNCTION("""COMPUTED_VALUE"""),"cas_hmw")</f>
        <v>cas_hmw</v>
      </c>
      <c r="B21588" s="5">
        <f>IFERROR(__xludf.DUMMYFUNCTION("""COMPUTED_VALUE"""),44785.0)</f>
        <v>44785</v>
      </c>
      <c r="C21588" s="6">
        <f>IFERROR(__xludf.DUMMYFUNCTION("""COMPUTED_VALUE"""),0.7498495370382443)</f>
        <v>0.749849537</v>
      </c>
      <c r="D21588" s="4">
        <f>IFERROR(__xludf.DUMMYFUNCTION("""COMPUTED_VALUE"""),12.956006)</f>
        <v>12.956006</v>
      </c>
      <c r="E21588" s="4">
        <f>IFERROR(__xludf.DUMMYFUNCTION("""COMPUTED_VALUE"""),80.143172)</f>
        <v>80.143172</v>
      </c>
      <c r="F21588" s="4">
        <f>IFERROR(__xludf.DUMMYFUNCTION("""COMPUTED_VALUE"""),3143.0)</f>
        <v>3143</v>
      </c>
      <c r="G21588" s="4">
        <f>IFERROR(__xludf.DUMMYFUNCTION("""COMPUTED_VALUE"""),9.0)</f>
        <v>9</v>
      </c>
      <c r="H21588" s="4"/>
      <c r="I21588" s="4"/>
    </row>
    <row r="21589">
      <c r="A21589" s="4" t="str">
        <f>IFERROR(__xludf.DUMMYFUNCTION("""COMPUTED_VALUE"""),"cas_hmw")</f>
        <v>cas_hmw</v>
      </c>
      <c r="B21589" s="5">
        <f>IFERROR(__xludf.DUMMYFUNCTION("""COMPUTED_VALUE"""),44785.0)</f>
        <v>44785</v>
      </c>
      <c r="C21589" s="6">
        <f>IFERROR(__xludf.DUMMYFUNCTION("""COMPUTED_VALUE"""),0.7499537037037953)</f>
        <v>0.7499537037</v>
      </c>
      <c r="D21589" s="4">
        <f>IFERROR(__xludf.DUMMYFUNCTION("""COMPUTED_VALUE"""),12.955247)</f>
        <v>12.955247</v>
      </c>
      <c r="E21589" s="4">
        <f>IFERROR(__xludf.DUMMYFUNCTION("""COMPUTED_VALUE"""),80.142728)</f>
        <v>80.142728</v>
      </c>
      <c r="F21589" s="4">
        <f>IFERROR(__xludf.DUMMYFUNCTION("""COMPUTED_VALUE"""),3143.0)</f>
        <v>3143</v>
      </c>
      <c r="G21589" s="4">
        <f>IFERROR(__xludf.DUMMYFUNCTION("""COMPUTED_VALUE"""),27.0)</f>
        <v>27</v>
      </c>
      <c r="H21589" s="4"/>
      <c r="I21589" s="4"/>
    </row>
    <row r="21590">
      <c r="A21590" s="4" t="str">
        <f>IFERROR(__xludf.DUMMYFUNCTION("""COMPUTED_VALUE"""),"cas_hmw")</f>
        <v>cas_hmw</v>
      </c>
      <c r="B21590" s="5">
        <f>IFERROR(__xludf.DUMMYFUNCTION("""COMPUTED_VALUE"""),44785.0)</f>
        <v>44785</v>
      </c>
      <c r="C21590" s="6">
        <f>IFERROR(__xludf.DUMMYFUNCTION("""COMPUTED_VALUE"""),0.7510532407395658)</f>
        <v>0.7510532407</v>
      </c>
      <c r="D21590" s="4">
        <f>IFERROR(__xludf.DUMMYFUNCTION("""COMPUTED_VALUE"""),12.950772)</f>
        <v>12.950772</v>
      </c>
      <c r="E21590" s="4">
        <f>IFERROR(__xludf.DUMMYFUNCTION("""COMPUTED_VALUE"""),80.139885)</f>
        <v>80.139885</v>
      </c>
      <c r="F21590" s="4">
        <f>IFERROR(__xludf.DUMMYFUNCTION("""COMPUTED_VALUE"""),3143.0)</f>
        <v>3143</v>
      </c>
      <c r="G21590" s="4">
        <f>IFERROR(__xludf.DUMMYFUNCTION("""COMPUTED_VALUE"""),12.0)</f>
        <v>12</v>
      </c>
      <c r="H21590" s="4"/>
      <c r="I21590" s="4"/>
    </row>
    <row r="21591">
      <c r="A21591" s="4" t="str">
        <f>IFERROR(__xludf.DUMMYFUNCTION("""COMPUTED_VALUE"""),"cas_hmw")</f>
        <v>cas_hmw</v>
      </c>
      <c r="B21591" s="5">
        <f>IFERROR(__xludf.DUMMYFUNCTION("""COMPUTED_VALUE"""),44785.0)</f>
        <v>44785</v>
      </c>
      <c r="C21591" s="6">
        <f>IFERROR(__xludf.DUMMYFUNCTION("""COMPUTED_VALUE"""),0.7511689814818965)</f>
        <v>0.7511689815</v>
      </c>
      <c r="D21591" s="4">
        <f>IFERROR(__xludf.DUMMYFUNCTION("""COMPUTED_VALUE"""),12.950772)</f>
        <v>12.950772</v>
      </c>
      <c r="E21591" s="4">
        <f>IFERROR(__xludf.DUMMYFUNCTION("""COMPUTED_VALUE"""),80.139885)</f>
        <v>80.139885</v>
      </c>
      <c r="F21591" s="4">
        <f>IFERROR(__xludf.DUMMYFUNCTION("""COMPUTED_VALUE"""),3143.0)</f>
        <v>3143</v>
      </c>
      <c r="G21591" s="4">
        <f>IFERROR(__xludf.DUMMYFUNCTION("""COMPUTED_VALUE"""),12.0)</f>
        <v>12</v>
      </c>
      <c r="H21591" s="4"/>
      <c r="I21591" s="4"/>
    </row>
    <row r="21592">
      <c r="A21592" s="4" t="str">
        <f>IFERROR(__xludf.DUMMYFUNCTION("""COMPUTED_VALUE"""),"cas_hmw")</f>
        <v>cas_hmw</v>
      </c>
      <c r="B21592" s="5">
        <f>IFERROR(__xludf.DUMMYFUNCTION("""COMPUTED_VALUE"""),44785.0)</f>
        <v>44785</v>
      </c>
      <c r="C21592" s="6">
        <f>IFERROR(__xludf.DUMMYFUNCTION("""COMPUTED_VALUE"""),0.7512731481474475)</f>
        <v>0.7512731481</v>
      </c>
      <c r="D21592" s="4">
        <f>IFERROR(__xludf.DUMMYFUNCTION("""COMPUTED_VALUE"""),12.950001)</f>
        <v>12.950001</v>
      </c>
      <c r="E21592" s="4">
        <f>IFERROR(__xludf.DUMMYFUNCTION("""COMPUTED_VALUE"""),80.139293)</f>
        <v>80.139293</v>
      </c>
      <c r="F21592" s="4">
        <f>IFERROR(__xludf.DUMMYFUNCTION("""COMPUTED_VALUE"""),3143.0)</f>
        <v>3143</v>
      </c>
      <c r="G21592" s="4">
        <f>IFERROR(__xludf.DUMMYFUNCTION("""COMPUTED_VALUE"""),27.0)</f>
        <v>27</v>
      </c>
      <c r="H21592" s="4"/>
      <c r="I21592" s="4"/>
    </row>
    <row r="21593">
      <c r="A21593" s="4" t="str">
        <f>IFERROR(__xludf.DUMMYFUNCTION("""COMPUTED_VALUE"""),"cas_hmw")</f>
        <v>cas_hmw</v>
      </c>
      <c r="B21593" s="5">
        <f>IFERROR(__xludf.DUMMYFUNCTION("""COMPUTED_VALUE"""),44785.0)</f>
        <v>44785</v>
      </c>
      <c r="C21593" s="6">
        <f>IFERROR(__xludf.DUMMYFUNCTION("""COMPUTED_VALUE"""),0.7513194444436522)</f>
        <v>0.7513194444</v>
      </c>
      <c r="D21593" s="4">
        <f>IFERROR(__xludf.DUMMYFUNCTION("""COMPUTED_VALUE"""),12.950001)</f>
        <v>12.950001</v>
      </c>
      <c r="E21593" s="4">
        <f>IFERROR(__xludf.DUMMYFUNCTION("""COMPUTED_VALUE"""),80.139293)</f>
        <v>80.139293</v>
      </c>
      <c r="F21593" s="4">
        <f>IFERROR(__xludf.DUMMYFUNCTION("""COMPUTED_VALUE"""),3143.0)</f>
        <v>3143</v>
      </c>
      <c r="G21593" s="4">
        <f>IFERROR(__xludf.DUMMYFUNCTION("""COMPUTED_VALUE"""),27.0)</f>
        <v>27</v>
      </c>
      <c r="H21593" s="4"/>
      <c r="I21593" s="4"/>
    </row>
    <row r="21594">
      <c r="A21594" s="4" t="str">
        <f>IFERROR(__xludf.DUMMYFUNCTION("""COMPUTED_VALUE"""),"cas_hmw")</f>
        <v>cas_hmw</v>
      </c>
      <c r="B21594" s="5">
        <f>IFERROR(__xludf.DUMMYFUNCTION("""COMPUTED_VALUE"""),44785.0)</f>
        <v>44785</v>
      </c>
      <c r="C21594" s="6">
        <f>IFERROR(__xludf.DUMMYFUNCTION("""COMPUTED_VALUE"""),0.7513773148129985)</f>
        <v>0.7513773148</v>
      </c>
      <c r="D21594" s="4">
        <f>IFERROR(__xludf.DUMMYFUNCTION("""COMPUTED_VALUE"""),12.950001)</f>
        <v>12.950001</v>
      </c>
      <c r="E21594" s="4">
        <f>IFERROR(__xludf.DUMMYFUNCTION("""COMPUTED_VALUE"""),80.139293)</f>
        <v>80.139293</v>
      </c>
      <c r="F21594" s="4">
        <f>IFERROR(__xludf.DUMMYFUNCTION("""COMPUTED_VALUE"""),3143.0)</f>
        <v>3143</v>
      </c>
      <c r="G21594" s="4">
        <f>IFERROR(__xludf.DUMMYFUNCTION("""COMPUTED_VALUE"""),27.0)</f>
        <v>27</v>
      </c>
      <c r="H21594" s="4"/>
      <c r="I21594" s="4"/>
    </row>
    <row r="21595">
      <c r="A21595" s="4" t="str">
        <f>IFERROR(__xludf.DUMMYFUNCTION("""COMPUTED_VALUE"""),"cas_hmw")</f>
        <v>cas_hmw</v>
      </c>
      <c r="B21595" s="5">
        <f>IFERROR(__xludf.DUMMYFUNCTION("""COMPUTED_VALUE"""),44785.0)</f>
        <v>44785</v>
      </c>
      <c r="C21595" s="6">
        <f>IFERROR(__xludf.DUMMYFUNCTION("""COMPUTED_VALUE"""),0.7514236111128412)</f>
        <v>0.7514236111</v>
      </c>
      <c r="D21595" s="4">
        <f>IFERROR(__xludf.DUMMYFUNCTION("""COMPUTED_VALUE"""),13.065849)</f>
        <v>13.065849</v>
      </c>
      <c r="E21595" s="4">
        <f>IFERROR(__xludf.DUMMYFUNCTION("""COMPUTED_VALUE"""),80.267575)</f>
        <v>80.267575</v>
      </c>
      <c r="F21595" s="4">
        <f>IFERROR(__xludf.DUMMYFUNCTION("""COMPUTED_VALUE"""),805.0)</f>
        <v>805</v>
      </c>
      <c r="G21595" s="4">
        <f>IFERROR(__xludf.DUMMYFUNCTION("""COMPUTED_VALUE"""),13.0)</f>
        <v>13</v>
      </c>
      <c r="H21595" s="4"/>
      <c r="I21595" s="4"/>
    </row>
    <row r="21596">
      <c r="A21596" s="4" t="str">
        <f>IFERROR(__xludf.DUMMYFUNCTION("""COMPUTED_VALUE"""),"cas_hmw")</f>
        <v>cas_hmw</v>
      </c>
      <c r="B21596" s="5">
        <f>IFERROR(__xludf.DUMMYFUNCTION("""COMPUTED_VALUE"""),44785.0)</f>
        <v>44785</v>
      </c>
      <c r="C21596" s="6">
        <f>IFERROR(__xludf.DUMMYFUNCTION("""COMPUTED_VALUE"""),0.7514814814821875)</f>
        <v>0.7514814815</v>
      </c>
      <c r="D21596" s="4">
        <f>IFERROR(__xludf.DUMMYFUNCTION("""COMPUTED_VALUE"""),13.065849)</f>
        <v>13.065849</v>
      </c>
      <c r="E21596" s="4">
        <f>IFERROR(__xludf.DUMMYFUNCTION("""COMPUTED_VALUE"""),80.267575)</f>
        <v>80.267575</v>
      </c>
      <c r="F21596" s="4">
        <f>IFERROR(__xludf.DUMMYFUNCTION("""COMPUTED_VALUE"""),805.0)</f>
        <v>805</v>
      </c>
      <c r="G21596" s="4">
        <f>IFERROR(__xludf.DUMMYFUNCTION("""COMPUTED_VALUE"""),13.0)</f>
        <v>13</v>
      </c>
      <c r="H21596" s="4"/>
      <c r="I21596" s="4"/>
    </row>
    <row r="21597">
      <c r="A21597" s="4" t="str">
        <f>IFERROR(__xludf.DUMMYFUNCTION("""COMPUTED_VALUE"""),"cas_hmw")</f>
        <v>cas_hmw</v>
      </c>
      <c r="B21597" s="5">
        <f>IFERROR(__xludf.DUMMYFUNCTION("""COMPUTED_VALUE"""),44785.0)</f>
        <v>44785</v>
      </c>
      <c r="C21597" s="6">
        <f>IFERROR(__xludf.DUMMYFUNCTION("""COMPUTED_VALUE"""),0.7517245370363526)</f>
        <v>0.751724537</v>
      </c>
      <c r="D21597" s="4">
        <f>IFERROR(__xludf.DUMMYFUNCTION("""COMPUTED_VALUE"""),12.947386)</f>
        <v>12.947386</v>
      </c>
      <c r="E21597" s="4">
        <f>IFERROR(__xludf.DUMMYFUNCTION("""COMPUTED_VALUE"""),80.137251)</f>
        <v>80.137251</v>
      </c>
      <c r="F21597" s="4">
        <f>IFERROR(__xludf.DUMMYFUNCTION("""COMPUTED_VALUE"""),3143.0)</f>
        <v>3143</v>
      </c>
      <c r="G21597" s="4">
        <f>IFERROR(__xludf.DUMMYFUNCTION("""COMPUTED_VALUE"""),40.0)</f>
        <v>40</v>
      </c>
      <c r="H21597" s="4"/>
      <c r="I21597" s="4"/>
    </row>
    <row r="21598">
      <c r="A21598" s="4" t="str">
        <f>IFERROR(__xludf.DUMMYFUNCTION("""COMPUTED_VALUE"""),"cas_hmw")</f>
        <v>cas_hmw</v>
      </c>
      <c r="B21598" s="5">
        <f>IFERROR(__xludf.DUMMYFUNCTION("""COMPUTED_VALUE"""),44785.0)</f>
        <v>44785</v>
      </c>
      <c r="C21598" s="6">
        <f>IFERROR(__xludf.DUMMYFUNCTION("""COMPUTED_VALUE"""),0.7525231481486117)</f>
        <v>0.7525231481</v>
      </c>
      <c r="D21598" s="4">
        <f>IFERROR(__xludf.DUMMYFUNCTION("""COMPUTED_VALUE"""),12.941932)</f>
        <v>12.941932</v>
      </c>
      <c r="E21598" s="4">
        <f>IFERROR(__xludf.DUMMYFUNCTION("""COMPUTED_VALUE"""),80.132576)</f>
        <v>80.132576</v>
      </c>
      <c r="F21598" s="4">
        <f>IFERROR(__xludf.DUMMYFUNCTION("""COMPUTED_VALUE"""),3143.0)</f>
        <v>3143</v>
      </c>
      <c r="G21598" s="4">
        <f>IFERROR(__xludf.DUMMYFUNCTION("""COMPUTED_VALUE"""),32.0)</f>
        <v>32</v>
      </c>
      <c r="H21598" s="4"/>
      <c r="I21598" s="4"/>
    </row>
    <row r="21599">
      <c r="A21599" s="4" t="str">
        <f>IFERROR(__xludf.DUMMYFUNCTION("""COMPUTED_VALUE"""),"cas_hmw")</f>
        <v>cas_hmw</v>
      </c>
      <c r="B21599" s="5">
        <f>IFERROR(__xludf.DUMMYFUNCTION("""COMPUTED_VALUE"""),44785.0)</f>
        <v>44785</v>
      </c>
      <c r="C21599" s="6">
        <f>IFERROR(__xludf.DUMMYFUNCTION("""COMPUTED_VALUE"""),0.7527430555564933)</f>
        <v>0.7527430556</v>
      </c>
      <c r="D21599" s="4">
        <f>IFERROR(__xludf.DUMMYFUNCTION("""COMPUTED_VALUE"""),12.941085)</f>
        <v>12.941085</v>
      </c>
      <c r="E21599" s="4">
        <f>IFERROR(__xludf.DUMMYFUNCTION("""COMPUTED_VALUE"""),80.131698)</f>
        <v>80.131698</v>
      </c>
      <c r="F21599" s="4">
        <f>IFERROR(__xludf.DUMMYFUNCTION("""COMPUTED_VALUE"""),3143.0)</f>
        <v>3143</v>
      </c>
      <c r="G21599" s="4">
        <f>IFERROR(__xludf.DUMMYFUNCTION("""COMPUTED_VALUE"""),34.0)</f>
        <v>34</v>
      </c>
      <c r="H21599" s="4"/>
      <c r="I21599" s="4"/>
    </row>
    <row r="21600">
      <c r="A21600" s="4" t="str">
        <f>IFERROR(__xludf.DUMMYFUNCTION("""COMPUTED_VALUE"""),"cas_hmw")</f>
        <v>cas_hmw</v>
      </c>
      <c r="B21600" s="5">
        <f>IFERROR(__xludf.DUMMYFUNCTION("""COMPUTED_VALUE"""),44785.0)</f>
        <v>44785</v>
      </c>
      <c r="C21600" s="6">
        <f>IFERROR(__xludf.DUMMYFUNCTION("""COMPUTED_VALUE"""),0.7529398148144537)</f>
        <v>0.7529398148</v>
      </c>
      <c r="D21600" s="4">
        <f>IFERROR(__xludf.DUMMYFUNCTION("""COMPUTED_VALUE"""),12.938697)</f>
        <v>12.938697</v>
      </c>
      <c r="E21600" s="4">
        <f>IFERROR(__xludf.DUMMYFUNCTION("""COMPUTED_VALUE"""),80.129412)</f>
        <v>80.129412</v>
      </c>
      <c r="F21600" s="4">
        <f>IFERROR(__xludf.DUMMYFUNCTION("""COMPUTED_VALUE"""),3143.0)</f>
        <v>3143</v>
      </c>
      <c r="G21600" s="4">
        <f>IFERROR(__xludf.DUMMYFUNCTION("""COMPUTED_VALUE"""),51.0)</f>
        <v>51</v>
      </c>
      <c r="H21600" s="4"/>
      <c r="I21600" s="4"/>
    </row>
    <row r="21601">
      <c r="A21601" s="4" t="str">
        <f>IFERROR(__xludf.DUMMYFUNCTION("""COMPUTED_VALUE"""),"cas_hmw")</f>
        <v>cas_hmw</v>
      </c>
      <c r="B21601" s="5">
        <f>IFERROR(__xludf.DUMMYFUNCTION("""COMPUTED_VALUE"""),44785.0)</f>
        <v>44785</v>
      </c>
      <c r="C21601" s="6">
        <f>IFERROR(__xludf.DUMMYFUNCTION("""COMPUTED_VALUE"""),0.7534722222226264)</f>
        <v>0.7534722222</v>
      </c>
      <c r="D21601" s="4">
        <f>IFERROR(__xludf.DUMMYFUNCTION("""COMPUTED_VALUE"""),12.936551)</f>
        <v>12.936551</v>
      </c>
      <c r="E21601" s="4">
        <f>IFERROR(__xludf.DUMMYFUNCTION("""COMPUTED_VALUE"""),80.127635)</f>
        <v>80.127635</v>
      </c>
      <c r="F21601" s="4">
        <f>IFERROR(__xludf.DUMMYFUNCTION("""COMPUTED_VALUE"""),3143.0)</f>
        <v>3143</v>
      </c>
      <c r="G21601" s="4">
        <f>IFERROR(__xludf.DUMMYFUNCTION("""COMPUTED_VALUE"""),12.0)</f>
        <v>12</v>
      </c>
      <c r="H21601" s="4"/>
      <c r="I21601" s="4"/>
    </row>
    <row r="21602">
      <c r="A21602" s="4" t="str">
        <f>IFERROR(__xludf.DUMMYFUNCTION("""COMPUTED_VALUE"""),"cas_hmw")</f>
        <v>cas_hmw</v>
      </c>
      <c r="B21602" s="5">
        <f>IFERROR(__xludf.DUMMYFUNCTION("""COMPUTED_VALUE"""),44785.0)</f>
        <v>44785</v>
      </c>
      <c r="C21602" s="6">
        <f>IFERROR(__xludf.DUMMYFUNCTION("""COMPUTED_VALUE"""),0.7535416666651145)</f>
        <v>0.7535416667</v>
      </c>
      <c r="D21602" s="4">
        <f>IFERROR(__xludf.DUMMYFUNCTION("""COMPUTED_VALUE"""),12.935981)</f>
        <v>12.935981</v>
      </c>
      <c r="E21602" s="4">
        <f>IFERROR(__xludf.DUMMYFUNCTION("""COMPUTED_VALUE"""),80.127162)</f>
        <v>80.127162</v>
      </c>
      <c r="F21602" s="4">
        <f>IFERROR(__xludf.DUMMYFUNCTION("""COMPUTED_VALUE"""),3143.0)</f>
        <v>3143</v>
      </c>
      <c r="G21602" s="4">
        <f>IFERROR(__xludf.DUMMYFUNCTION("""COMPUTED_VALUE"""),16.0)</f>
        <v>16</v>
      </c>
      <c r="H21602" s="4"/>
      <c r="I21602" s="4"/>
    </row>
    <row r="21603">
      <c r="A21603" s="4" t="str">
        <f>IFERROR(__xludf.DUMMYFUNCTION("""COMPUTED_VALUE"""),"cas_hmw")</f>
        <v>cas_hmw</v>
      </c>
      <c r="B21603" s="5">
        <f>IFERROR(__xludf.DUMMYFUNCTION("""COMPUTED_VALUE"""),44785.0)</f>
        <v>44785</v>
      </c>
      <c r="C21603" s="6">
        <f>IFERROR(__xludf.DUMMYFUNCTION("""COMPUTED_VALUE"""),0.7535995370380988)</f>
        <v>0.753599537</v>
      </c>
      <c r="D21603" s="4">
        <f>IFERROR(__xludf.DUMMYFUNCTION("""COMPUTED_VALUE"""),12.935981)</f>
        <v>12.935981</v>
      </c>
      <c r="E21603" s="4">
        <f>IFERROR(__xludf.DUMMYFUNCTION("""COMPUTED_VALUE"""),80.127162)</f>
        <v>80.127162</v>
      </c>
      <c r="F21603" s="4">
        <f>IFERROR(__xludf.DUMMYFUNCTION("""COMPUTED_VALUE"""),3143.0)</f>
        <v>3143</v>
      </c>
      <c r="G21603" s="4">
        <f>IFERROR(__xludf.DUMMYFUNCTION("""COMPUTED_VALUE"""),16.0)</f>
        <v>16</v>
      </c>
      <c r="H21603" s="4"/>
      <c r="I21603" s="4"/>
    </row>
    <row r="21604">
      <c r="A21604" s="4" t="str">
        <f>IFERROR(__xludf.DUMMYFUNCTION("""COMPUTED_VALUE"""),"cas_hmw")</f>
        <v>cas_hmw</v>
      </c>
      <c r="B21604" s="5">
        <f>IFERROR(__xludf.DUMMYFUNCTION("""COMPUTED_VALUE"""),44785.0)</f>
        <v>44785</v>
      </c>
      <c r="C21604" s="6">
        <f>IFERROR(__xludf.DUMMYFUNCTION("""COMPUTED_VALUE"""),0.754953703704814)</f>
        <v>0.7549537037</v>
      </c>
      <c r="D21604" s="4">
        <f>IFERROR(__xludf.DUMMYFUNCTION("""COMPUTED_VALUE"""),12.931534)</f>
        <v>12.931534</v>
      </c>
      <c r="E21604" s="4">
        <f>IFERROR(__xludf.DUMMYFUNCTION("""COMPUTED_VALUE"""),80.122852)</f>
        <v>80.122852</v>
      </c>
      <c r="F21604" s="4">
        <f>IFERROR(__xludf.DUMMYFUNCTION("""COMPUTED_VALUE"""),3143.0)</f>
        <v>3143</v>
      </c>
      <c r="G21604" s="4">
        <f>IFERROR(__xludf.DUMMYFUNCTION("""COMPUTED_VALUE"""),11.0)</f>
        <v>11</v>
      </c>
      <c r="H21604" s="4"/>
      <c r="I21604" s="4"/>
    </row>
    <row r="21605">
      <c r="A21605" s="4" t="str">
        <f>IFERROR(__xludf.DUMMYFUNCTION("""COMPUTED_VALUE"""),"cas_hmw")</f>
        <v>cas_hmw</v>
      </c>
      <c r="B21605" s="5">
        <f>IFERROR(__xludf.DUMMYFUNCTION("""COMPUTED_VALUE"""),44785.0)</f>
        <v>44785</v>
      </c>
      <c r="C21605" s="6">
        <f>IFERROR(__xludf.DUMMYFUNCTION("""COMPUTED_VALUE"""),0.7550694444435067)</f>
        <v>0.7550694444</v>
      </c>
      <c r="D21605" s="4">
        <f>IFERROR(__xludf.DUMMYFUNCTION("""COMPUTED_VALUE"""),12.930846)</f>
        <v>12.930846</v>
      </c>
      <c r="E21605" s="4">
        <f>IFERROR(__xludf.DUMMYFUNCTION("""COMPUTED_VALUE"""),80.122128)</f>
        <v>80.122128</v>
      </c>
      <c r="F21605" s="4">
        <f>IFERROR(__xludf.DUMMYFUNCTION("""COMPUTED_VALUE"""),3143.0)</f>
        <v>3143</v>
      </c>
      <c r="G21605" s="4">
        <f>IFERROR(__xludf.DUMMYFUNCTION("""COMPUTED_VALUE"""),33.0)</f>
        <v>33</v>
      </c>
      <c r="H21605" s="4"/>
      <c r="I21605" s="4"/>
    </row>
    <row r="21606">
      <c r="A21606" s="4" t="str">
        <f>IFERROR(__xludf.DUMMYFUNCTION("""COMPUTED_VALUE"""),"cas_hmw")</f>
        <v>cas_hmw</v>
      </c>
      <c r="B21606" s="5">
        <f>IFERROR(__xludf.DUMMYFUNCTION("""COMPUTED_VALUE"""),44785.0)</f>
        <v>44785</v>
      </c>
      <c r="C21606" s="6">
        <f>IFERROR(__xludf.DUMMYFUNCTION("""COMPUTED_VALUE"""),0.7551504629627743)</f>
        <v>0.755150463</v>
      </c>
      <c r="D21606" s="4">
        <f>IFERROR(__xludf.DUMMYFUNCTION("""COMPUTED_VALUE"""),12.930846)</f>
        <v>12.930846</v>
      </c>
      <c r="E21606" s="4">
        <f>IFERROR(__xludf.DUMMYFUNCTION("""COMPUTED_VALUE"""),80.122128)</f>
        <v>80.122128</v>
      </c>
      <c r="F21606" s="4">
        <f>IFERROR(__xludf.DUMMYFUNCTION("""COMPUTED_VALUE"""),3143.0)</f>
        <v>3143</v>
      </c>
      <c r="G21606" s="4">
        <f>IFERROR(__xludf.DUMMYFUNCTION("""COMPUTED_VALUE"""),33.0)</f>
        <v>33</v>
      </c>
      <c r="H21606" s="4"/>
      <c r="I21606" s="4"/>
    </row>
    <row r="21607">
      <c r="A21607" s="4" t="str">
        <f>IFERROR(__xludf.DUMMYFUNCTION("""COMPUTED_VALUE"""),"cas_hmw")</f>
        <v>cas_hmw</v>
      </c>
      <c r="B21607" s="5">
        <f>IFERROR(__xludf.DUMMYFUNCTION("""COMPUTED_VALUE"""),44785.0)</f>
        <v>44785</v>
      </c>
      <c r="C21607" s="6">
        <f>IFERROR(__xludf.DUMMYFUNCTION("""COMPUTED_VALUE"""),0.755231481482042)</f>
        <v>0.7552314815</v>
      </c>
      <c r="D21607" s="4">
        <f>IFERROR(__xludf.DUMMYFUNCTION("""COMPUTED_VALUE"""),12.929759)</f>
        <v>12.929759</v>
      </c>
      <c r="E21607" s="4">
        <f>IFERROR(__xludf.DUMMYFUNCTION("""COMPUTED_VALUE"""),80.121032)</f>
        <v>80.121032</v>
      </c>
      <c r="F21607" s="4">
        <f>IFERROR(__xludf.DUMMYFUNCTION("""COMPUTED_VALUE"""),3143.0)</f>
        <v>3143</v>
      </c>
      <c r="G21607" s="4">
        <f>IFERROR(__xludf.DUMMYFUNCTION("""COMPUTED_VALUE"""),40.0)</f>
        <v>40</v>
      </c>
      <c r="H21607" s="4"/>
      <c r="I21607" s="4"/>
    </row>
    <row r="21608">
      <c r="A21608" s="4" t="str">
        <f>IFERROR(__xludf.DUMMYFUNCTION("""COMPUTED_VALUE"""),"cas_hmw")</f>
        <v>cas_hmw</v>
      </c>
      <c r="B21608" s="5">
        <f>IFERROR(__xludf.DUMMYFUNCTION("""COMPUTED_VALUE"""),44785.0)</f>
        <v>44785</v>
      </c>
      <c r="C21608" s="6">
        <f>IFERROR(__xludf.DUMMYFUNCTION("""COMPUTED_VALUE"""),0.7592013888897782)</f>
        <v>0.7592013889</v>
      </c>
      <c r="D21608" s="4">
        <f>IFERROR(__xludf.DUMMYFUNCTION("""COMPUTED_VALUE"""),12.915186)</f>
        <v>12.915186</v>
      </c>
      <c r="E21608" s="4">
        <f>IFERROR(__xludf.DUMMYFUNCTION("""COMPUTED_VALUE"""),80.103888)</f>
        <v>80.103888</v>
      </c>
      <c r="F21608" s="4">
        <f>IFERROR(__xludf.DUMMYFUNCTION("""COMPUTED_VALUE"""),3143.0)</f>
        <v>3143</v>
      </c>
      <c r="G21608" s="4">
        <f>IFERROR(__xludf.DUMMYFUNCTION("""COMPUTED_VALUE"""),55.0)</f>
        <v>55</v>
      </c>
      <c r="H21608" s="4"/>
      <c r="I21608" s="4"/>
    </row>
    <row r="21609">
      <c r="A21609" s="4" t="str">
        <f>IFERROR(__xludf.DUMMYFUNCTION("""COMPUTED_VALUE"""),"cas_hmw")</f>
        <v>cas_hmw</v>
      </c>
      <c r="B21609" s="5">
        <f>IFERROR(__xludf.DUMMYFUNCTION("""COMPUTED_VALUE"""),44785.0)</f>
        <v>44785</v>
      </c>
      <c r="C21609" s="6">
        <f>IFERROR(__xludf.DUMMYFUNCTION("""COMPUTED_VALUE"""),0.7594328703708015)</f>
        <v>0.7594328704</v>
      </c>
      <c r="D21609" s="4">
        <f>IFERROR(__xludf.DUMMYFUNCTION("""COMPUTED_VALUE"""),12.91374)</f>
        <v>12.91374</v>
      </c>
      <c r="E21609" s="4">
        <f>IFERROR(__xludf.DUMMYFUNCTION("""COMPUTED_VALUE"""),80.101811)</f>
        <v>80.101811</v>
      </c>
      <c r="F21609" s="4">
        <f>IFERROR(__xludf.DUMMYFUNCTION("""COMPUTED_VALUE"""),3143.0)</f>
        <v>3143</v>
      </c>
      <c r="G21609" s="4">
        <f>IFERROR(__xludf.DUMMYFUNCTION("""COMPUTED_VALUE"""),38.0)</f>
        <v>38</v>
      </c>
      <c r="H21609" s="4"/>
      <c r="I21609" s="4"/>
    </row>
    <row r="21610">
      <c r="A21610" s="4" t="str">
        <f>IFERROR(__xludf.DUMMYFUNCTION("""COMPUTED_VALUE"""),"cas_hmw")</f>
        <v>cas_hmw</v>
      </c>
      <c r="B21610" s="5">
        <f>IFERROR(__xludf.DUMMYFUNCTION("""COMPUTED_VALUE"""),44785.0)</f>
        <v>44785</v>
      </c>
      <c r="C21610" s="6">
        <f>IFERROR(__xludf.DUMMYFUNCTION("""COMPUTED_VALUE"""),0.7594560185170849)</f>
        <v>0.7594560185</v>
      </c>
      <c r="D21610" s="4">
        <f>IFERROR(__xludf.DUMMYFUNCTION("""COMPUTED_VALUE"""),12.91269)</f>
        <v>12.91269</v>
      </c>
      <c r="E21610" s="4">
        <f>IFERROR(__xludf.DUMMYFUNCTION("""COMPUTED_VALUE"""),80.101543)</f>
        <v>80.101543</v>
      </c>
      <c r="F21610" s="4">
        <f>IFERROR(__xludf.DUMMYFUNCTION("""COMPUTED_VALUE"""),3143.0)</f>
        <v>3143</v>
      </c>
      <c r="G21610" s="4">
        <f>IFERROR(__xludf.DUMMYFUNCTION("""COMPUTED_VALUE"""),46.0)</f>
        <v>46</v>
      </c>
      <c r="H21610" s="4"/>
      <c r="I21610" s="4"/>
    </row>
    <row r="21611">
      <c r="A21611" s="4" t="str">
        <f>IFERROR(__xludf.DUMMYFUNCTION("""COMPUTED_VALUE"""),"cas_hmw")</f>
        <v>cas_hmw</v>
      </c>
      <c r="B21611" s="5">
        <f>IFERROR(__xludf.DUMMYFUNCTION("""COMPUTED_VALUE"""),44785.0)</f>
        <v>44785</v>
      </c>
      <c r="C21611" s="6">
        <f>IFERROR(__xludf.DUMMYFUNCTION("""COMPUTED_VALUE"""),0.7603124999986903)</f>
        <v>0.7603125</v>
      </c>
      <c r="D21611" s="4">
        <f>IFERROR(__xludf.DUMMYFUNCTION("""COMPUTED_VALUE"""),12.908267)</f>
        <v>12.908267</v>
      </c>
      <c r="E21611" s="4">
        <f>IFERROR(__xludf.DUMMYFUNCTION("""COMPUTED_VALUE"""),80.097971)</f>
        <v>80.097971</v>
      </c>
      <c r="F21611" s="4">
        <f>IFERROR(__xludf.DUMMYFUNCTION("""COMPUTED_VALUE"""),3143.0)</f>
        <v>3143</v>
      </c>
      <c r="G21611" s="4">
        <f>IFERROR(__xludf.DUMMYFUNCTION("""COMPUTED_VALUE"""),29.0)</f>
        <v>29</v>
      </c>
      <c r="H21611" s="4"/>
      <c r="I21611" s="4"/>
    </row>
    <row r="21612">
      <c r="A21612" s="4" t="str">
        <f>IFERROR(__xludf.DUMMYFUNCTION("""COMPUTED_VALUE"""),"cas_hmw")</f>
        <v>cas_hmw</v>
      </c>
      <c r="B21612" s="5">
        <f>IFERROR(__xludf.DUMMYFUNCTION("""COMPUTED_VALUE"""),44785.0)</f>
        <v>44785</v>
      </c>
      <c r="C21612" s="6">
        <f>IFERROR(__xludf.DUMMYFUNCTION("""COMPUTED_VALUE"""),0.7618402777770825)</f>
        <v>0.7618402778</v>
      </c>
      <c r="D21612" s="4">
        <f>IFERROR(__xludf.DUMMYFUNCTION("""COMPUTED_VALUE"""),12.904951)</f>
        <v>12.904951</v>
      </c>
      <c r="E21612" s="4">
        <f>IFERROR(__xludf.DUMMYFUNCTION("""COMPUTED_VALUE"""),80.095423)</f>
        <v>80.095423</v>
      </c>
      <c r="F21612" s="4">
        <f>IFERROR(__xludf.DUMMYFUNCTION("""COMPUTED_VALUE"""),3143.0)</f>
        <v>3143</v>
      </c>
      <c r="G21612" s="4">
        <f>IFERROR(__xludf.DUMMYFUNCTION("""COMPUTED_VALUE"""),20.0)</f>
        <v>20</v>
      </c>
      <c r="H21612" s="4"/>
      <c r="I21612" s="4"/>
    </row>
    <row r="21613">
      <c r="A21613" s="4" t="str">
        <f>IFERROR(__xludf.DUMMYFUNCTION("""COMPUTED_VALUE"""),"cas_hmw")</f>
        <v>cas_hmw</v>
      </c>
      <c r="B21613" s="5">
        <f>IFERROR(__xludf.DUMMYFUNCTION("""COMPUTED_VALUE"""),44785.0)</f>
        <v>44785</v>
      </c>
      <c r="C21613" s="6">
        <f>IFERROR(__xludf.DUMMYFUNCTION("""COMPUTED_VALUE"""),0.7619097222232085)</f>
        <v>0.7619097222</v>
      </c>
      <c r="D21613" s="4">
        <f>IFERROR(__xludf.DUMMYFUNCTION("""COMPUTED_VALUE"""),12.904434)</f>
        <v>12.904434</v>
      </c>
      <c r="E21613" s="4">
        <f>IFERROR(__xludf.DUMMYFUNCTION("""COMPUTED_VALUE"""),80.095052)</f>
        <v>80.095052</v>
      </c>
      <c r="F21613" s="4">
        <f>IFERROR(__xludf.DUMMYFUNCTION("""COMPUTED_VALUE"""),3143.0)</f>
        <v>3143</v>
      </c>
      <c r="G21613" s="4">
        <f>IFERROR(__xludf.DUMMYFUNCTION("""COMPUTED_VALUE"""),29.0)</f>
        <v>29</v>
      </c>
      <c r="H21613" s="4"/>
      <c r="I21613" s="4"/>
    </row>
    <row r="21614">
      <c r="A21614" s="4" t="str">
        <f>IFERROR(__xludf.DUMMYFUNCTION("""COMPUTED_VALUE"""),"cas_hmw")</f>
        <v>cas_hmw</v>
      </c>
      <c r="B21614" s="5">
        <f>IFERROR(__xludf.DUMMYFUNCTION("""COMPUTED_VALUE"""),44785.0)</f>
        <v>44785</v>
      </c>
      <c r="C21614" s="6">
        <f>IFERROR(__xludf.DUMMYFUNCTION("""COMPUTED_VALUE"""),0.7619444444426335)</f>
        <v>0.7619444444</v>
      </c>
      <c r="D21614" s="4">
        <f>IFERROR(__xludf.DUMMYFUNCTION("""COMPUTED_VALUE"""),12.904434)</f>
        <v>12.904434</v>
      </c>
      <c r="E21614" s="4">
        <f>IFERROR(__xludf.DUMMYFUNCTION("""COMPUTED_VALUE"""),80.095052)</f>
        <v>80.095052</v>
      </c>
      <c r="F21614" s="4">
        <f>IFERROR(__xludf.DUMMYFUNCTION("""COMPUTED_VALUE"""),3143.0)</f>
        <v>3143</v>
      </c>
      <c r="G21614" s="4">
        <f>IFERROR(__xludf.DUMMYFUNCTION("""COMPUTED_VALUE"""),29.0)</f>
        <v>29</v>
      </c>
      <c r="H21614" s="4"/>
      <c r="I21614" s="4"/>
    </row>
    <row r="21615">
      <c r="A21615" s="4" t="str">
        <f>IFERROR(__xludf.DUMMYFUNCTION("""COMPUTED_VALUE"""),"cas_hmw")</f>
        <v>cas_hmw</v>
      </c>
      <c r="B21615" s="5">
        <f>IFERROR(__xludf.DUMMYFUNCTION("""COMPUTED_VALUE"""),44785.0)</f>
        <v>44785</v>
      </c>
      <c r="C21615" s="6">
        <f>IFERROR(__xludf.DUMMYFUNCTION("""COMPUTED_VALUE"""),0.7624652777776646)</f>
        <v>0.7624652778</v>
      </c>
      <c r="D21615" s="4">
        <f>IFERROR(__xludf.DUMMYFUNCTION("""COMPUTED_VALUE"""),12.900243)</f>
        <v>12.900243</v>
      </c>
      <c r="E21615" s="4">
        <f>IFERROR(__xludf.DUMMYFUNCTION("""COMPUTED_VALUE"""),80.091723)</f>
        <v>80.091723</v>
      </c>
      <c r="F21615" s="4">
        <f>IFERROR(__xludf.DUMMYFUNCTION("""COMPUTED_VALUE"""),3143.0)</f>
        <v>3143</v>
      </c>
      <c r="G21615" s="4">
        <f>IFERROR(__xludf.DUMMYFUNCTION("""COMPUTED_VALUE"""),51.0)</f>
        <v>51</v>
      </c>
      <c r="H21615" s="4"/>
      <c r="I21615" s="4"/>
    </row>
    <row r="21616">
      <c r="A21616" s="4" t="str">
        <f>IFERROR(__xludf.DUMMYFUNCTION("""COMPUTED_VALUE"""),"cas_hmw")</f>
        <v>cas_hmw</v>
      </c>
      <c r="B21616" s="5">
        <f>IFERROR(__xludf.DUMMYFUNCTION("""COMPUTED_VALUE"""),44785.0)</f>
        <v>44785</v>
      </c>
      <c r="C21616" s="6">
        <f>IFERROR(__xludf.DUMMYFUNCTION("""COMPUTED_VALUE"""),0.762696759258688)</f>
        <v>0.7626967593</v>
      </c>
      <c r="D21616" s="4">
        <f>IFERROR(__xludf.DUMMYFUNCTION("""COMPUTED_VALUE"""),12.898108)</f>
        <v>12.898108</v>
      </c>
      <c r="E21616" s="4">
        <f>IFERROR(__xludf.DUMMYFUNCTION("""COMPUTED_VALUE"""),80.090072)</f>
        <v>80.090072</v>
      </c>
      <c r="F21616" s="4">
        <f>IFERROR(__xludf.DUMMYFUNCTION("""COMPUTED_VALUE"""),3143.0)</f>
        <v>3143</v>
      </c>
      <c r="G21616" s="4">
        <f>IFERROR(__xludf.DUMMYFUNCTION("""COMPUTED_VALUE"""),56.0)</f>
        <v>56</v>
      </c>
      <c r="H21616" s="4"/>
      <c r="I21616" s="4"/>
    </row>
    <row r="21617">
      <c r="A21617" s="4" t="str">
        <f>IFERROR(__xludf.DUMMYFUNCTION("""COMPUTED_VALUE"""),"cas_hmw")</f>
        <v>cas_hmw</v>
      </c>
      <c r="B21617" s="5">
        <f>IFERROR(__xludf.DUMMYFUNCTION("""COMPUTED_VALUE"""),44785.0)</f>
        <v>44785</v>
      </c>
      <c r="C21617" s="6">
        <f>IFERROR(__xludf.DUMMYFUNCTION("""COMPUTED_VALUE"""),0.762939814816491)</f>
        <v>0.7629398148</v>
      </c>
      <c r="D21617" s="4">
        <f>IFERROR(__xludf.DUMMYFUNCTION("""COMPUTED_VALUE"""),12.896227)</f>
        <v>12.896227</v>
      </c>
      <c r="E21617" s="4">
        <f>IFERROR(__xludf.DUMMYFUNCTION("""COMPUTED_VALUE"""),80.088688)</f>
        <v>80.088688</v>
      </c>
      <c r="F21617" s="4">
        <f>IFERROR(__xludf.DUMMYFUNCTION("""COMPUTED_VALUE"""),3143.0)</f>
        <v>3143</v>
      </c>
      <c r="G21617" s="4">
        <f>IFERROR(__xludf.DUMMYFUNCTION("""COMPUTED_VALUE"""),47.0)</f>
        <v>47</v>
      </c>
      <c r="H21617" s="4"/>
      <c r="I21617" s="4"/>
    </row>
    <row r="21618">
      <c r="A21618" s="4" t="str">
        <f>IFERROR(__xludf.DUMMYFUNCTION("""COMPUTED_VALUE"""),"cas_hmw")</f>
        <v>cas_hmw</v>
      </c>
      <c r="B21618" s="5">
        <f>IFERROR(__xludf.DUMMYFUNCTION("""COMPUTED_VALUE"""),44785.0)</f>
        <v>44785</v>
      </c>
      <c r="C21618" s="6">
        <f>IFERROR(__xludf.DUMMYFUNCTION("""COMPUTED_VALUE"""),0.7631018518513883)</f>
        <v>0.7631018519</v>
      </c>
      <c r="D21618" s="4">
        <f>IFERROR(__xludf.DUMMYFUNCTION("""COMPUTED_VALUE"""),12.895206)</f>
        <v>12.895206</v>
      </c>
      <c r="E21618" s="4">
        <f>IFERROR(__xludf.DUMMYFUNCTION("""COMPUTED_VALUE"""),80.087918)</f>
        <v>80.087918</v>
      </c>
      <c r="F21618" s="4">
        <f>IFERROR(__xludf.DUMMYFUNCTION("""COMPUTED_VALUE"""),3143.0)</f>
        <v>3143</v>
      </c>
      <c r="G21618" s="4">
        <f>IFERROR(__xludf.DUMMYFUNCTION("""COMPUTED_VALUE"""),53.0)</f>
        <v>53</v>
      </c>
      <c r="H21618" s="4"/>
      <c r="I21618" s="4"/>
    </row>
    <row r="21619">
      <c r="A21619" s="4" t="str">
        <f>IFERROR(__xludf.DUMMYFUNCTION("""COMPUTED_VALUE"""),"cas_hmw")</f>
        <v>cas_hmw</v>
      </c>
      <c r="B21619" s="5">
        <f>IFERROR(__xludf.DUMMYFUNCTION("""COMPUTED_VALUE"""),44785.0)</f>
        <v>44785</v>
      </c>
      <c r="C21619" s="6">
        <f>IFERROR(__xludf.DUMMYFUNCTION("""COMPUTED_VALUE"""),0.7635879629633564)</f>
        <v>0.763587963</v>
      </c>
      <c r="D21619" s="4">
        <f>IFERROR(__xludf.DUMMYFUNCTION("""COMPUTED_VALUE"""),12.892241)</f>
        <v>12.892241</v>
      </c>
      <c r="E21619" s="4">
        <f>IFERROR(__xludf.DUMMYFUNCTION("""COMPUTED_VALUE"""),80.085712)</f>
        <v>80.085712</v>
      </c>
      <c r="F21619" s="4">
        <f>IFERROR(__xludf.DUMMYFUNCTION("""COMPUTED_VALUE"""),3143.0)</f>
        <v>3143</v>
      </c>
      <c r="G21619" s="4">
        <f>IFERROR(__xludf.DUMMYFUNCTION("""COMPUTED_VALUE"""),21.0)</f>
        <v>21</v>
      </c>
      <c r="H21619" s="4"/>
      <c r="I21619" s="4"/>
    </row>
    <row r="21620">
      <c r="A21620" s="4" t="str">
        <f>IFERROR(__xludf.DUMMYFUNCTION("""COMPUTED_VALUE"""),"cas_hmw")</f>
        <v>cas_hmw</v>
      </c>
      <c r="B21620" s="5">
        <f>IFERROR(__xludf.DUMMYFUNCTION("""COMPUTED_VALUE"""),44785.0)</f>
        <v>44785</v>
      </c>
      <c r="C21620" s="6">
        <f>IFERROR(__xludf.DUMMYFUNCTION("""COMPUTED_VALUE"""),0.7659953703696374)</f>
        <v>0.7659953704</v>
      </c>
      <c r="D21620" s="4">
        <f>IFERROR(__xludf.DUMMYFUNCTION("""COMPUTED_VALUE"""),13.063886)</f>
        <v>13.063886</v>
      </c>
      <c r="E21620" s="4">
        <f>IFERROR(__xludf.DUMMYFUNCTION("""COMPUTED_VALUE"""),80.247748)</f>
        <v>80.247748</v>
      </c>
      <c r="F21620" s="4">
        <f>IFERROR(__xludf.DUMMYFUNCTION("""COMPUTED_VALUE"""),5339.0)</f>
        <v>5339</v>
      </c>
      <c r="G21620" s="4">
        <f>IFERROR(__xludf.DUMMYFUNCTION("""COMPUTED_VALUE"""),25.0)</f>
        <v>25</v>
      </c>
      <c r="H21620" s="4"/>
      <c r="I21620" s="4"/>
    </row>
    <row r="21621">
      <c r="A21621" s="4" t="str">
        <f>IFERROR(__xludf.DUMMYFUNCTION("""COMPUTED_VALUE"""),"cas_hmw")</f>
        <v>cas_hmw</v>
      </c>
      <c r="B21621" s="5">
        <f>IFERROR(__xludf.DUMMYFUNCTION("""COMPUTED_VALUE"""),44785.0)</f>
        <v>44785</v>
      </c>
      <c r="C21621" s="6">
        <f>IFERROR(__xludf.DUMMYFUNCTION("""COMPUTED_VALUE"""),0.7662731481468654)</f>
        <v>0.7662731481</v>
      </c>
      <c r="D21621" s="4">
        <f>IFERROR(__xludf.DUMMYFUNCTION("""COMPUTED_VALUE"""),13.062386)</f>
        <v>13.062386</v>
      </c>
      <c r="E21621" s="4">
        <f>IFERROR(__xludf.DUMMYFUNCTION("""COMPUTED_VALUE"""),80.247674)</f>
        <v>80.247674</v>
      </c>
      <c r="F21621" s="4">
        <f>IFERROR(__xludf.DUMMYFUNCTION("""COMPUTED_VALUE"""),5339.0)</f>
        <v>5339</v>
      </c>
      <c r="G21621" s="4">
        <f>IFERROR(__xludf.DUMMYFUNCTION("""COMPUTED_VALUE"""),33.0)</f>
        <v>33</v>
      </c>
      <c r="H21621" s="4"/>
      <c r="I21621" s="4"/>
    </row>
    <row r="21622">
      <c r="A21622" s="4" t="str">
        <f>IFERROR(__xludf.DUMMYFUNCTION("""COMPUTED_VALUE"""),"cas_hmw")</f>
        <v>cas_hmw</v>
      </c>
      <c r="B21622" s="5">
        <f>IFERROR(__xludf.DUMMYFUNCTION("""COMPUTED_VALUE"""),44785.0)</f>
        <v>44785</v>
      </c>
      <c r="C21622" s="6">
        <f>IFERROR(__xludf.DUMMYFUNCTION("""COMPUTED_VALUE"""),0.7662847222236451)</f>
        <v>0.7662847222</v>
      </c>
      <c r="D21622" s="4">
        <f>IFERROR(__xludf.DUMMYFUNCTION("""COMPUTED_VALUE"""),13.062386)</f>
        <v>13.062386</v>
      </c>
      <c r="E21622" s="4">
        <f>IFERROR(__xludf.DUMMYFUNCTION("""COMPUTED_VALUE"""),80.247674)</f>
        <v>80.247674</v>
      </c>
      <c r="F21622" s="4">
        <f>IFERROR(__xludf.DUMMYFUNCTION("""COMPUTED_VALUE"""),5339.0)</f>
        <v>5339</v>
      </c>
      <c r="G21622" s="4">
        <f>IFERROR(__xludf.DUMMYFUNCTION("""COMPUTED_VALUE"""),33.0)</f>
        <v>33</v>
      </c>
      <c r="H21622" s="4"/>
      <c r="I21622" s="4"/>
    </row>
    <row r="21623">
      <c r="A21623" s="4" t="str">
        <f>IFERROR(__xludf.DUMMYFUNCTION("""COMPUTED_VALUE"""),"cas_hmw")</f>
        <v>cas_hmw</v>
      </c>
      <c r="B21623" s="5">
        <f>IFERROR(__xludf.DUMMYFUNCTION("""COMPUTED_VALUE"""),44785.0)</f>
        <v>44785</v>
      </c>
      <c r="C21623" s="6">
        <f>IFERROR(__xludf.DUMMYFUNCTION("""COMPUTED_VALUE"""),0.7668634259243845)</f>
        <v>0.7668634259</v>
      </c>
      <c r="D21623" s="4">
        <f>IFERROR(__xludf.DUMMYFUNCTION("""COMPUTED_VALUE"""),13.062031)</f>
        <v>13.062031</v>
      </c>
      <c r="E21623" s="4">
        <f>IFERROR(__xludf.DUMMYFUNCTION("""COMPUTED_VALUE"""),80.245446)</f>
        <v>80.245446</v>
      </c>
      <c r="F21623" s="4">
        <f>IFERROR(__xludf.DUMMYFUNCTION("""COMPUTED_VALUE"""),5339.0)</f>
        <v>5339</v>
      </c>
      <c r="G21623" s="4">
        <f>IFERROR(__xludf.DUMMYFUNCTION("""COMPUTED_VALUE"""),26.0)</f>
        <v>26</v>
      </c>
      <c r="H21623" s="4"/>
      <c r="I21623" s="4"/>
    </row>
    <row r="21624">
      <c r="A21624" s="4" t="str">
        <f>IFERROR(__xludf.DUMMYFUNCTION("""COMPUTED_VALUE"""),"cas_hmw")</f>
        <v>cas_hmw</v>
      </c>
      <c r="B21624" s="5">
        <f>IFERROR(__xludf.DUMMYFUNCTION("""COMPUTED_VALUE"""),44785.0)</f>
        <v>44785</v>
      </c>
      <c r="C21624" s="6">
        <f>IFERROR(__xludf.DUMMYFUNCTION("""COMPUTED_VALUE"""),0.7669212962973688)</f>
        <v>0.7669212963</v>
      </c>
      <c r="D21624" s="4">
        <f>IFERROR(__xludf.DUMMYFUNCTION("""COMPUTED_VALUE"""),12.878378)</f>
        <v>12.878378</v>
      </c>
      <c r="E21624" s="4">
        <f>IFERROR(__xludf.DUMMYFUNCTION("""COMPUTED_VALUE"""),80.082399)</f>
        <v>80.082399</v>
      </c>
      <c r="F21624" s="4">
        <f>IFERROR(__xludf.DUMMYFUNCTION("""COMPUTED_VALUE"""),3143.0)</f>
        <v>3143</v>
      </c>
      <c r="G21624" s="4">
        <f>IFERROR(__xludf.DUMMYFUNCTION("""COMPUTED_VALUE"""),36.0)</f>
        <v>36</v>
      </c>
      <c r="H21624" s="4"/>
      <c r="I21624" s="4"/>
    </row>
    <row r="21625">
      <c r="A21625" s="4" t="str">
        <f>IFERROR(__xludf.DUMMYFUNCTION("""COMPUTED_VALUE"""),"cas_hmw")</f>
        <v>cas_hmw</v>
      </c>
      <c r="B21625" s="5">
        <f>IFERROR(__xludf.DUMMYFUNCTION("""COMPUTED_VALUE"""),44785.0)</f>
        <v>44785</v>
      </c>
      <c r="C21625" s="6">
        <f>IFERROR(__xludf.DUMMYFUNCTION("""COMPUTED_VALUE"""),0.7723148148143082)</f>
        <v>0.7723148148</v>
      </c>
      <c r="D21625" s="4">
        <f>IFERROR(__xludf.DUMMYFUNCTION("""COMPUTED_VALUE"""),13.076526)</f>
        <v>13.076526</v>
      </c>
      <c r="E21625" s="4">
        <f>IFERROR(__xludf.DUMMYFUNCTION("""COMPUTED_VALUE"""),80.237964)</f>
        <v>80.237964</v>
      </c>
      <c r="F21625" s="4">
        <f>IFERROR(__xludf.DUMMYFUNCTION("""COMPUTED_VALUE"""),5339.0)</f>
        <v>5339</v>
      </c>
      <c r="G21625" s="4">
        <f>IFERROR(__xludf.DUMMYFUNCTION("""COMPUTED_VALUE"""),26.0)</f>
        <v>26</v>
      </c>
      <c r="H21625" s="4"/>
      <c r="I21625" s="4"/>
    </row>
    <row r="21626">
      <c r="A21626" s="4" t="str">
        <f>IFERROR(__xludf.DUMMYFUNCTION("""COMPUTED_VALUE"""),"cas_hmw")</f>
        <v>cas_hmw</v>
      </c>
      <c r="B21626" s="5">
        <f>IFERROR(__xludf.DUMMYFUNCTION("""COMPUTED_VALUE"""),44785.0)</f>
        <v>44785</v>
      </c>
      <c r="C21626" s="6">
        <f>IFERROR(__xludf.DUMMYFUNCTION("""COMPUTED_VALUE"""),0.7726273148145992)</f>
        <v>0.7726273148</v>
      </c>
      <c r="D21626" s="4">
        <f>IFERROR(__xludf.DUMMYFUNCTION("""COMPUTED_VALUE"""),13.076188)</f>
        <v>13.076188</v>
      </c>
      <c r="E21626" s="4">
        <f>IFERROR(__xludf.DUMMYFUNCTION("""COMPUTED_VALUE"""),80.236021)</f>
        <v>80.236021</v>
      </c>
      <c r="F21626" s="4">
        <f>IFERROR(__xludf.DUMMYFUNCTION("""COMPUTED_VALUE"""),5339.0)</f>
        <v>5339</v>
      </c>
      <c r="G21626" s="4">
        <f>IFERROR(__xludf.DUMMYFUNCTION("""COMPUTED_VALUE"""),44.0)</f>
        <v>44</v>
      </c>
      <c r="H21626" s="4"/>
      <c r="I21626" s="4"/>
    </row>
    <row r="21627">
      <c r="A21627" s="4" t="str">
        <f>IFERROR(__xludf.DUMMYFUNCTION("""COMPUTED_VALUE"""),"cas_hmw")</f>
        <v>cas_hmw</v>
      </c>
      <c r="B21627" s="5">
        <f>IFERROR(__xludf.DUMMYFUNCTION("""COMPUTED_VALUE"""),44785.0)</f>
        <v>44785</v>
      </c>
      <c r="C21627" s="6">
        <f>IFERROR(__xludf.DUMMYFUNCTION("""COMPUTED_VALUE"""),0.7792592592595611)</f>
        <v>0.7792592593</v>
      </c>
      <c r="D21627" s="4">
        <f>IFERROR(__xludf.DUMMYFUNCTION("""COMPUTED_VALUE"""),13.074038)</f>
        <v>13.074038</v>
      </c>
      <c r="E21627" s="4">
        <f>IFERROR(__xludf.DUMMYFUNCTION("""COMPUTED_VALUE"""),80.223886)</f>
        <v>80.223886</v>
      </c>
      <c r="F21627" s="4">
        <f>IFERROR(__xludf.DUMMYFUNCTION("""COMPUTED_VALUE"""),5339.0)</f>
        <v>5339</v>
      </c>
      <c r="G21627" s="4">
        <f>IFERROR(__xludf.DUMMYFUNCTION("""COMPUTED_VALUE"""),26.0)</f>
        <v>26</v>
      </c>
      <c r="H21627" s="4"/>
      <c r="I21627" s="4"/>
    </row>
    <row r="21628">
      <c r="A21628" s="4" t="str">
        <f>IFERROR(__xludf.DUMMYFUNCTION("""COMPUTED_VALUE"""),"cas_hmw")</f>
        <v>cas_hmw</v>
      </c>
      <c r="B21628" s="5">
        <f>IFERROR(__xludf.DUMMYFUNCTION("""COMPUTED_VALUE"""),44785.0)</f>
        <v>44785</v>
      </c>
      <c r="C21628" s="6">
        <f>IFERROR(__xludf.DUMMYFUNCTION("""COMPUTED_VALUE"""),0.7793171296289074)</f>
        <v>0.7793171296</v>
      </c>
      <c r="D21628" s="4">
        <f>IFERROR(__xludf.DUMMYFUNCTION("""COMPUTED_VALUE"""),13.074038)</f>
        <v>13.074038</v>
      </c>
      <c r="E21628" s="4">
        <f>IFERROR(__xludf.DUMMYFUNCTION("""COMPUTED_VALUE"""),80.223886)</f>
        <v>80.223886</v>
      </c>
      <c r="F21628" s="4">
        <f>IFERROR(__xludf.DUMMYFUNCTION("""COMPUTED_VALUE"""),5339.0)</f>
        <v>5339</v>
      </c>
      <c r="G21628" s="4">
        <f>IFERROR(__xludf.DUMMYFUNCTION("""COMPUTED_VALUE"""),26.0)</f>
        <v>26</v>
      </c>
      <c r="H21628" s="4"/>
      <c r="I21628" s="4"/>
    </row>
    <row r="21629">
      <c r="A21629" s="4" t="str">
        <f>IFERROR(__xludf.DUMMYFUNCTION("""COMPUTED_VALUE"""),"cas_hmw")</f>
        <v>cas_hmw</v>
      </c>
      <c r="B21629" s="5">
        <f>IFERROR(__xludf.DUMMYFUNCTION("""COMPUTED_VALUE"""),44785.0)</f>
        <v>44785</v>
      </c>
      <c r="C21629" s="6">
        <f>IFERROR(__xludf.DUMMYFUNCTION("""COMPUTED_VALUE"""),0.7819097222236451)</f>
        <v>0.7819097222</v>
      </c>
      <c r="D21629" s="4">
        <f>IFERROR(__xludf.DUMMYFUNCTION("""COMPUTED_VALUE"""),13.075412)</f>
        <v>13.075412</v>
      </c>
      <c r="E21629" s="4">
        <f>IFERROR(__xludf.DUMMYFUNCTION("""COMPUTED_VALUE"""),80.214518)</f>
        <v>80.214518</v>
      </c>
      <c r="F21629" s="4">
        <f>IFERROR(__xludf.DUMMYFUNCTION("""COMPUTED_VALUE"""),5339.0)</f>
        <v>5339</v>
      </c>
      <c r="G21629" s="4">
        <f>IFERROR(__xludf.DUMMYFUNCTION("""COMPUTED_VALUE"""),20.0)</f>
        <v>20</v>
      </c>
      <c r="H21629" s="4"/>
      <c r="I21629" s="4"/>
    </row>
    <row r="21630">
      <c r="A21630" s="4" t="str">
        <f>IFERROR(__xludf.DUMMYFUNCTION("""COMPUTED_VALUE"""),"cas_hmw")</f>
        <v>cas_hmw</v>
      </c>
      <c r="B21630" s="5">
        <f>IFERROR(__xludf.DUMMYFUNCTION("""COMPUTED_VALUE"""),44785.0)</f>
        <v>44785</v>
      </c>
      <c r="C21630" s="6">
        <f>IFERROR(__xludf.DUMMYFUNCTION("""COMPUTED_VALUE"""),0.7832175925941556)</f>
        <v>0.7832175926</v>
      </c>
      <c r="D21630" s="4">
        <f>IFERROR(__xludf.DUMMYFUNCTION("""COMPUTED_VALUE"""),13.077075)</f>
        <v>13.077075</v>
      </c>
      <c r="E21630" s="4">
        <f>IFERROR(__xludf.DUMMYFUNCTION("""COMPUTED_VALUE"""),80.210602)</f>
        <v>80.210602</v>
      </c>
      <c r="F21630" s="4">
        <f>IFERROR(__xludf.DUMMYFUNCTION("""COMPUTED_VALUE"""),5339.0)</f>
        <v>5339</v>
      </c>
      <c r="G21630" s="4">
        <f>IFERROR(__xludf.DUMMYFUNCTION("""COMPUTED_VALUE"""),21.0)</f>
        <v>21</v>
      </c>
      <c r="H21630" s="4"/>
      <c r="I21630" s="4"/>
    </row>
    <row r="21631">
      <c r="A21631" s="4" t="str">
        <f>IFERROR(__xludf.DUMMYFUNCTION("""COMPUTED_VALUE"""),"cas_hmw")</f>
        <v>cas_hmw</v>
      </c>
      <c r="B21631" s="5">
        <f>IFERROR(__xludf.DUMMYFUNCTION("""COMPUTED_VALUE"""),44785.0)</f>
        <v>44785</v>
      </c>
      <c r="C21631" s="6">
        <f>IFERROR(__xludf.DUMMYFUNCTION("""COMPUTED_VALUE"""),0.7832291666672972)</f>
        <v>0.7832291667</v>
      </c>
      <c r="D21631" s="4">
        <f>IFERROR(__xludf.DUMMYFUNCTION("""COMPUTED_VALUE"""),13.077075)</f>
        <v>13.077075</v>
      </c>
      <c r="E21631" s="4">
        <f>IFERROR(__xludf.DUMMYFUNCTION("""COMPUTED_VALUE"""),80.210602)</f>
        <v>80.210602</v>
      </c>
      <c r="F21631" s="4">
        <f>IFERROR(__xludf.DUMMYFUNCTION("""COMPUTED_VALUE"""),5339.0)</f>
        <v>5339</v>
      </c>
      <c r="G21631" s="4">
        <f>IFERROR(__xludf.DUMMYFUNCTION("""COMPUTED_VALUE"""),21.0)</f>
        <v>21</v>
      </c>
      <c r="H21631" s="4"/>
      <c r="I21631" s="4"/>
    </row>
    <row r="21632">
      <c r="A21632" s="4" t="str">
        <f>IFERROR(__xludf.DUMMYFUNCTION("""COMPUTED_VALUE"""),"cas_hmw")</f>
        <v>cas_hmw</v>
      </c>
      <c r="B21632" s="5">
        <f>IFERROR(__xludf.DUMMYFUNCTION("""COMPUTED_VALUE"""),44785.0)</f>
        <v>44785</v>
      </c>
      <c r="C21632" s="6">
        <f>IFERROR(__xludf.DUMMYFUNCTION("""COMPUTED_VALUE"""),0.7832523148135806)</f>
        <v>0.7832523148</v>
      </c>
      <c r="D21632" s="4">
        <f>IFERROR(__xludf.DUMMYFUNCTION("""COMPUTED_VALUE"""),13.077075)</f>
        <v>13.077075</v>
      </c>
      <c r="E21632" s="4">
        <f>IFERROR(__xludf.DUMMYFUNCTION("""COMPUTED_VALUE"""),80.210602)</f>
        <v>80.210602</v>
      </c>
      <c r="F21632" s="4">
        <f>IFERROR(__xludf.DUMMYFUNCTION("""COMPUTED_VALUE"""),5339.0)</f>
        <v>5339</v>
      </c>
      <c r="G21632" s="4">
        <f>IFERROR(__xludf.DUMMYFUNCTION("""COMPUTED_VALUE"""),21.0)</f>
        <v>21</v>
      </c>
      <c r="H21632" s="4"/>
      <c r="I21632" s="4"/>
    </row>
    <row r="21633">
      <c r="A21633" s="4" t="str">
        <f>IFERROR(__xludf.DUMMYFUNCTION("""COMPUTED_VALUE"""),"cas_hmw")</f>
        <v>cas_hmw</v>
      </c>
      <c r="B21633" s="5">
        <f>IFERROR(__xludf.DUMMYFUNCTION("""COMPUTED_VALUE"""),44785.0)</f>
        <v>44785</v>
      </c>
      <c r="C21633" s="6">
        <f>IFERROR(__xludf.DUMMYFUNCTION("""COMPUTED_VALUE"""),0.7832638888903602)</f>
        <v>0.7832638889</v>
      </c>
      <c r="D21633" s="4">
        <f>IFERROR(__xludf.DUMMYFUNCTION("""COMPUTED_VALUE"""),13.077075)</f>
        <v>13.077075</v>
      </c>
      <c r="E21633" s="4">
        <f>IFERROR(__xludf.DUMMYFUNCTION("""COMPUTED_VALUE"""),80.210602)</f>
        <v>80.210602</v>
      </c>
      <c r="F21633" s="4">
        <f>IFERROR(__xludf.DUMMYFUNCTION("""COMPUTED_VALUE"""),5339.0)</f>
        <v>5339</v>
      </c>
      <c r="G21633" s="4">
        <f>IFERROR(__xludf.DUMMYFUNCTION("""COMPUTED_VALUE"""),21.0)</f>
        <v>21</v>
      </c>
      <c r="H21633" s="4"/>
      <c r="I21633" s="4"/>
    </row>
    <row r="21634">
      <c r="A21634" s="4" t="str">
        <f>IFERROR(__xludf.DUMMYFUNCTION("""COMPUTED_VALUE"""),"cas_hmw")</f>
        <v>cas_hmw</v>
      </c>
      <c r="B21634" s="5">
        <f>IFERROR(__xludf.DUMMYFUNCTION("""COMPUTED_VALUE"""),44785.0)</f>
        <v>44785</v>
      </c>
      <c r="C21634" s="6">
        <f>IFERROR(__xludf.DUMMYFUNCTION("""COMPUTED_VALUE"""),0.783483796294604)</f>
        <v>0.7834837963</v>
      </c>
      <c r="D21634" s="4">
        <f>IFERROR(__xludf.DUMMYFUNCTION("""COMPUTED_VALUE"""),13.077177)</f>
        <v>13.077177</v>
      </c>
      <c r="E21634" s="4">
        <f>IFERROR(__xludf.DUMMYFUNCTION("""COMPUTED_VALUE"""),80.209204)</f>
        <v>80.209204</v>
      </c>
      <c r="F21634" s="4">
        <f>IFERROR(__xludf.DUMMYFUNCTION("""COMPUTED_VALUE"""),5339.0)</f>
        <v>5339</v>
      </c>
      <c r="G21634" s="4">
        <f>IFERROR(__xludf.DUMMYFUNCTION("""COMPUTED_VALUE"""),27.0)</f>
        <v>27</v>
      </c>
      <c r="H21634" s="4"/>
      <c r="I21634" s="4"/>
    </row>
    <row r="21635">
      <c r="A21635" s="4" t="str">
        <f>IFERROR(__xludf.DUMMYFUNCTION("""COMPUTED_VALUE"""),"cas_hmw")</f>
        <v>cas_hmw</v>
      </c>
      <c r="B21635" s="5">
        <f>IFERROR(__xludf.DUMMYFUNCTION("""COMPUTED_VALUE"""),44785.0)</f>
        <v>44785</v>
      </c>
      <c r="C21635" s="6">
        <f>IFERROR(__xludf.DUMMYFUNCTION("""COMPUTED_VALUE"""),0.7837499999986903)</f>
        <v>0.78375</v>
      </c>
      <c r="D21635" s="4">
        <f>IFERROR(__xludf.DUMMYFUNCTION("""COMPUTED_VALUE"""),13.077054)</f>
        <v>13.077054</v>
      </c>
      <c r="E21635" s="4">
        <f>IFERROR(__xludf.DUMMYFUNCTION("""COMPUTED_VALUE"""),80.207817)</f>
        <v>80.207817</v>
      </c>
      <c r="F21635" s="4">
        <f>IFERROR(__xludf.DUMMYFUNCTION("""COMPUTED_VALUE"""),5339.0)</f>
        <v>5339</v>
      </c>
      <c r="G21635" s="4">
        <f>IFERROR(__xludf.DUMMYFUNCTION("""COMPUTED_VALUE"""),25.0)</f>
        <v>25</v>
      </c>
      <c r="H21635" s="4"/>
      <c r="I21635" s="4"/>
    </row>
    <row r="21636">
      <c r="A21636" s="4" t="str">
        <f>IFERROR(__xludf.DUMMYFUNCTION("""COMPUTED_VALUE"""),"cas_hmw")</f>
        <v>cas_hmw</v>
      </c>
      <c r="B21636" s="5">
        <f>IFERROR(__xludf.DUMMYFUNCTION("""COMPUTED_VALUE"""),44785.0)</f>
        <v>44785</v>
      </c>
      <c r="C21636" s="6">
        <f>IFERROR(__xludf.DUMMYFUNCTION("""COMPUTED_VALUE"""),0.7840624999989814)</f>
        <v>0.7840625</v>
      </c>
      <c r="D21636" s="4">
        <f>IFERROR(__xludf.DUMMYFUNCTION("""COMPUTED_VALUE"""),13.076838)</f>
        <v>13.076838</v>
      </c>
      <c r="E21636" s="4">
        <f>IFERROR(__xludf.DUMMYFUNCTION("""COMPUTED_VALUE"""),80.20568)</f>
        <v>80.20568</v>
      </c>
      <c r="F21636" s="4">
        <f>IFERROR(__xludf.DUMMYFUNCTION("""COMPUTED_VALUE"""),5339.0)</f>
        <v>5339</v>
      </c>
      <c r="G21636" s="4">
        <f>IFERROR(__xludf.DUMMYFUNCTION("""COMPUTED_VALUE"""),25.0)</f>
        <v>25</v>
      </c>
      <c r="H21636" s="4"/>
      <c r="I21636" s="4"/>
    </row>
    <row r="21637">
      <c r="A21637" s="4" t="str">
        <f>IFERROR(__xludf.DUMMYFUNCTION("""COMPUTED_VALUE"""),"cas_hmw")</f>
        <v>cas_hmw</v>
      </c>
      <c r="B21637" s="5">
        <f>IFERROR(__xludf.DUMMYFUNCTION("""COMPUTED_VALUE"""),44785.0)</f>
        <v>44785</v>
      </c>
      <c r="C21637" s="6">
        <f>IFERROR(__xludf.DUMMYFUNCTION("""COMPUTED_VALUE"""),0.7840624999989814)</f>
        <v>0.7840625</v>
      </c>
      <c r="D21637" s="4">
        <f>IFERROR(__xludf.DUMMYFUNCTION("""COMPUTED_VALUE"""),13.076838)</f>
        <v>13.076838</v>
      </c>
      <c r="E21637" s="4">
        <f>IFERROR(__xludf.DUMMYFUNCTION("""COMPUTED_VALUE"""),80.20568)</f>
        <v>80.20568</v>
      </c>
      <c r="F21637" s="4">
        <f>IFERROR(__xludf.DUMMYFUNCTION("""COMPUTED_VALUE"""),5339.0)</f>
        <v>5339</v>
      </c>
      <c r="G21637" s="4">
        <f>IFERROR(__xludf.DUMMYFUNCTION("""COMPUTED_VALUE"""),25.0)</f>
        <v>25</v>
      </c>
      <c r="H21637" s="4"/>
      <c r="I21637" s="4"/>
    </row>
    <row r="21638">
      <c r="A21638" s="4" t="str">
        <f>IFERROR(__xludf.DUMMYFUNCTION("""COMPUTED_VALUE"""),"cas_hmw")</f>
        <v>cas_hmw</v>
      </c>
      <c r="B21638" s="5">
        <f>IFERROR(__xludf.DUMMYFUNCTION("""COMPUTED_VALUE"""),44785.0)</f>
        <v>44785</v>
      </c>
      <c r="C21638" s="6">
        <f>IFERROR(__xludf.DUMMYFUNCTION("""COMPUTED_VALUE"""),0.7855671296310902)</f>
        <v>0.7855671296</v>
      </c>
      <c r="D21638" s="4">
        <f>IFERROR(__xludf.DUMMYFUNCTION("""COMPUTED_VALUE"""),13.075975)</f>
        <v>13.075975</v>
      </c>
      <c r="E21638" s="4">
        <f>IFERROR(__xludf.DUMMYFUNCTION("""COMPUTED_VALUE"""),80.19891)</f>
        <v>80.19891</v>
      </c>
      <c r="F21638" s="4">
        <f>IFERROR(__xludf.DUMMYFUNCTION("""COMPUTED_VALUE"""),5339.0)</f>
        <v>5339</v>
      </c>
      <c r="G21638" s="4">
        <f>IFERROR(__xludf.DUMMYFUNCTION("""COMPUTED_VALUE"""),47.0)</f>
        <v>47</v>
      </c>
      <c r="H21638" s="4"/>
      <c r="I21638" s="4"/>
    </row>
    <row r="21639">
      <c r="A21639" s="4" t="str">
        <f>IFERROR(__xludf.DUMMYFUNCTION("""COMPUTED_VALUE"""),"cas_hmw")</f>
        <v>cas_hmw</v>
      </c>
      <c r="B21639" s="5">
        <f>IFERROR(__xludf.DUMMYFUNCTION("""COMPUTED_VALUE"""),44785.0)</f>
        <v>44785</v>
      </c>
      <c r="C21639" s="6">
        <f>IFERROR(__xludf.DUMMYFUNCTION("""COMPUTED_VALUE"""),0.7856597222234996)</f>
        <v>0.7856597222</v>
      </c>
      <c r="D21639" s="4">
        <f>IFERROR(__xludf.DUMMYFUNCTION("""COMPUTED_VALUE"""),13.075703)</f>
        <v>13.075703</v>
      </c>
      <c r="E21639" s="4">
        <f>IFERROR(__xludf.DUMMYFUNCTION("""COMPUTED_VALUE"""),80.197825)</f>
        <v>80.197825</v>
      </c>
      <c r="F21639" s="4">
        <f>IFERROR(__xludf.DUMMYFUNCTION("""COMPUTED_VALUE"""),5339.0)</f>
        <v>5339</v>
      </c>
      <c r="G21639" s="4">
        <f>IFERROR(__xludf.DUMMYFUNCTION("""COMPUTED_VALUE"""),32.0)</f>
        <v>32</v>
      </c>
      <c r="H21639" s="4"/>
      <c r="I21639" s="4"/>
    </row>
    <row r="21640">
      <c r="A21640" s="4" t="str">
        <f>IFERROR(__xludf.DUMMYFUNCTION("""COMPUTED_VALUE"""),"cas_hmw")</f>
        <v>cas_hmw</v>
      </c>
      <c r="B21640" s="5">
        <f>IFERROR(__xludf.DUMMYFUNCTION("""COMPUTED_VALUE"""),44785.0)</f>
        <v>44785</v>
      </c>
      <c r="C21640" s="6">
        <f>IFERROR(__xludf.DUMMYFUNCTION("""COMPUTED_VALUE"""),0.786307870370365)</f>
        <v>0.7863078704</v>
      </c>
      <c r="D21640" s="4">
        <f>IFERROR(__xludf.DUMMYFUNCTION("""COMPUTED_VALUE"""),13.075124)</f>
        <v>13.075124</v>
      </c>
      <c r="E21640" s="4">
        <f>IFERROR(__xludf.DUMMYFUNCTION("""COMPUTED_VALUE"""),80.195713)</f>
        <v>80.195713</v>
      </c>
      <c r="F21640" s="4">
        <f>IFERROR(__xludf.DUMMYFUNCTION("""COMPUTED_VALUE"""),5339.0)</f>
        <v>5339</v>
      </c>
      <c r="G21640" s="4">
        <f>IFERROR(__xludf.DUMMYFUNCTION("""COMPUTED_VALUE"""),16.0)</f>
        <v>16</v>
      </c>
      <c r="H21640" s="4"/>
      <c r="I21640" s="4"/>
    </row>
    <row r="21641">
      <c r="A21641" s="4" t="str">
        <f>IFERROR(__xludf.DUMMYFUNCTION("""COMPUTED_VALUE"""),"cas_hmw")</f>
        <v>cas_hmw</v>
      </c>
      <c r="B21641" s="5">
        <f>IFERROR(__xludf.DUMMYFUNCTION("""COMPUTED_VALUE"""),44785.0)</f>
        <v>44785</v>
      </c>
      <c r="C21641" s="6">
        <f>IFERROR(__xludf.DUMMYFUNCTION("""COMPUTED_VALUE"""),0.7875347222216078)</f>
        <v>0.7875347222</v>
      </c>
      <c r="D21641" s="4">
        <f>IFERROR(__xludf.DUMMYFUNCTION("""COMPUTED_VALUE"""),13.073562)</f>
        <v>13.073562</v>
      </c>
      <c r="E21641" s="4">
        <f>IFERROR(__xludf.DUMMYFUNCTION("""COMPUTED_VALUE"""),80.190446)</f>
        <v>80.190446</v>
      </c>
      <c r="F21641" s="4">
        <f>IFERROR(__xludf.DUMMYFUNCTION("""COMPUTED_VALUE"""),5339.0)</f>
        <v>5339</v>
      </c>
      <c r="G21641" s="4">
        <f>IFERROR(__xludf.DUMMYFUNCTION("""COMPUTED_VALUE"""),36.0)</f>
        <v>36</v>
      </c>
      <c r="H21641" s="4"/>
      <c r="I21641" s="4"/>
    </row>
    <row r="21642">
      <c r="A21642" s="4" t="str">
        <f>IFERROR(__xludf.DUMMYFUNCTION("""COMPUTED_VALUE"""),"cas_hmw")</f>
        <v>cas_hmw</v>
      </c>
      <c r="B21642" s="5">
        <f>IFERROR(__xludf.DUMMYFUNCTION("""COMPUTED_VALUE"""),44785.0)</f>
        <v>44785</v>
      </c>
      <c r="C21642" s="6">
        <f>IFERROR(__xludf.DUMMYFUNCTION("""COMPUTED_VALUE"""),0.7877893518525525)</f>
        <v>0.7877893519</v>
      </c>
      <c r="D21642" s="4">
        <f>IFERROR(__xludf.DUMMYFUNCTION("""COMPUTED_VALUE"""),13.072529)</f>
        <v>13.072529</v>
      </c>
      <c r="E21642" s="4">
        <f>IFERROR(__xludf.DUMMYFUNCTION("""COMPUTED_VALUE"""),80.188863)</f>
        <v>80.188863</v>
      </c>
      <c r="F21642" s="4">
        <f>IFERROR(__xludf.DUMMYFUNCTION("""COMPUTED_VALUE"""),5339.0)</f>
        <v>5339</v>
      </c>
      <c r="G21642" s="4">
        <f>IFERROR(__xludf.DUMMYFUNCTION("""COMPUTED_VALUE"""),42.0)</f>
        <v>42</v>
      </c>
      <c r="H21642" s="4"/>
      <c r="I21642" s="4"/>
    </row>
    <row r="21643">
      <c r="A21643" s="4" t="str">
        <f>IFERROR(__xludf.DUMMYFUNCTION("""COMPUTED_VALUE"""),"cas_hmw")</f>
        <v>cas_hmw</v>
      </c>
      <c r="B21643" s="5">
        <f>IFERROR(__xludf.DUMMYFUNCTION("""COMPUTED_VALUE"""),44785.0)</f>
        <v>44785</v>
      </c>
      <c r="C21643" s="6">
        <f>IFERROR(__xludf.DUMMYFUNCTION("""COMPUTED_VALUE"""),0.7905787037052505)</f>
        <v>0.7905787037</v>
      </c>
      <c r="D21643" s="4">
        <f>IFERROR(__xludf.DUMMYFUNCTION("""COMPUTED_VALUE"""),13.070152)</f>
        <v>13.070152</v>
      </c>
      <c r="E21643" s="4">
        <f>IFERROR(__xludf.DUMMYFUNCTION("""COMPUTED_VALUE"""),80.182321)</f>
        <v>80.182321</v>
      </c>
      <c r="F21643" s="4">
        <f>IFERROR(__xludf.DUMMYFUNCTION("""COMPUTED_VALUE"""),5339.0)</f>
        <v>5339</v>
      </c>
      <c r="G21643" s="4">
        <f>IFERROR(__xludf.DUMMYFUNCTION("""COMPUTED_VALUE"""),15.0)</f>
        <v>15</v>
      </c>
      <c r="H21643" s="4"/>
      <c r="I21643" s="4"/>
    </row>
    <row r="21644">
      <c r="A21644" s="4" t="str">
        <f>IFERROR(__xludf.DUMMYFUNCTION("""COMPUTED_VALUE"""),"cas_hmw")</f>
        <v>cas_hmw</v>
      </c>
      <c r="B21644" s="5">
        <f>IFERROR(__xludf.DUMMYFUNCTION("""COMPUTED_VALUE"""),44785.0)</f>
        <v>44785</v>
      </c>
      <c r="C21644" s="6">
        <f>IFERROR(__xludf.DUMMYFUNCTION("""COMPUTED_VALUE"""),0.7911111111097853)</f>
        <v>0.7911111111</v>
      </c>
      <c r="D21644" s="4">
        <f>IFERROR(__xludf.DUMMYFUNCTION("""COMPUTED_VALUE"""),13.067764)</f>
        <v>13.067764</v>
      </c>
      <c r="E21644" s="4">
        <f>IFERROR(__xludf.DUMMYFUNCTION("""COMPUTED_VALUE"""),80.178615)</f>
        <v>80.178615</v>
      </c>
      <c r="F21644" s="4">
        <f>IFERROR(__xludf.DUMMYFUNCTION("""COMPUTED_VALUE"""),5339.0)</f>
        <v>5339</v>
      </c>
      <c r="G21644" s="4">
        <f>IFERROR(__xludf.DUMMYFUNCTION("""COMPUTED_VALUE"""),40.0)</f>
        <v>40</v>
      </c>
      <c r="H21644" s="4"/>
      <c r="I21644" s="4"/>
    </row>
    <row r="21645">
      <c r="A21645" s="4" t="str">
        <f>IFERROR(__xludf.DUMMYFUNCTION("""COMPUTED_VALUE"""),"cas_hmw")</f>
        <v>cas_hmw</v>
      </c>
      <c r="B21645" s="5">
        <f>IFERROR(__xludf.DUMMYFUNCTION("""COMPUTED_VALUE"""),44785.0)</f>
        <v>44785</v>
      </c>
      <c r="C21645" s="6">
        <f>IFERROR(__xludf.DUMMYFUNCTION("""COMPUTED_VALUE"""),0.7913425925908086)</f>
        <v>0.7913425926</v>
      </c>
      <c r="D21645" s="4">
        <f>IFERROR(__xludf.DUMMYFUNCTION("""COMPUTED_VALUE"""),13.06741)</f>
        <v>13.06741</v>
      </c>
      <c r="E21645" s="4">
        <f>IFERROR(__xludf.DUMMYFUNCTION("""COMPUTED_VALUE"""),80.177278)</f>
        <v>80.177278</v>
      </c>
      <c r="F21645" s="4">
        <f>IFERROR(__xludf.DUMMYFUNCTION("""COMPUTED_VALUE"""),5339.0)</f>
        <v>5339</v>
      </c>
      <c r="G21645" s="4">
        <f>IFERROR(__xludf.DUMMYFUNCTION("""COMPUTED_VALUE"""),25.0)</f>
        <v>25</v>
      </c>
      <c r="H21645" s="4"/>
      <c r="I21645" s="4"/>
    </row>
    <row r="21646">
      <c r="A21646" s="4" t="str">
        <f>IFERROR(__xludf.DUMMYFUNCTION("""COMPUTED_VALUE"""),"cas_hmw")</f>
        <v>cas_hmw</v>
      </c>
      <c r="B21646" s="5">
        <f>IFERROR(__xludf.DUMMYFUNCTION("""COMPUTED_VALUE"""),44785.0)</f>
        <v>44785</v>
      </c>
      <c r="C21646" s="6">
        <f>IFERROR(__xludf.DUMMYFUNCTION("""COMPUTED_VALUE"""),0.7928009259267128)</f>
        <v>0.7928009259</v>
      </c>
      <c r="D21646" s="4">
        <f>IFERROR(__xludf.DUMMYFUNCTION("""COMPUTED_VALUE"""),13.064833)</f>
        <v>13.064833</v>
      </c>
      <c r="E21646" s="4">
        <f>IFERROR(__xludf.DUMMYFUNCTION("""COMPUTED_VALUE"""),80.172255)</f>
        <v>80.172255</v>
      </c>
      <c r="F21646" s="4">
        <f>IFERROR(__xludf.DUMMYFUNCTION("""COMPUTED_VALUE"""),5339.0)</f>
        <v>5339</v>
      </c>
      <c r="G21646" s="4">
        <f>IFERROR(__xludf.DUMMYFUNCTION("""COMPUTED_VALUE"""),33.0)</f>
        <v>33</v>
      </c>
      <c r="H21646" s="4"/>
      <c r="I21646" s="4"/>
    </row>
    <row r="21647">
      <c r="A21647" s="4" t="str">
        <f>IFERROR(__xludf.DUMMYFUNCTION("""COMPUTED_VALUE"""),"cas_hmw")</f>
        <v>cas_hmw</v>
      </c>
      <c r="B21647" s="5">
        <f>IFERROR(__xludf.DUMMYFUNCTION("""COMPUTED_VALUE"""),44785.0)</f>
        <v>44785</v>
      </c>
      <c r="C21647" s="6">
        <f>IFERROR(__xludf.DUMMYFUNCTION("""COMPUTED_VALUE"""),0.7931597222232085)</f>
        <v>0.7931597222</v>
      </c>
      <c r="D21647" s="4">
        <f>IFERROR(__xludf.DUMMYFUNCTION("""COMPUTED_VALUE"""),13.064103)</f>
        <v>13.064103</v>
      </c>
      <c r="E21647" s="4">
        <f>IFERROR(__xludf.DUMMYFUNCTION("""COMPUTED_VALUE"""),80.170674)</f>
        <v>80.170674</v>
      </c>
      <c r="F21647" s="4">
        <f>IFERROR(__xludf.DUMMYFUNCTION("""COMPUTED_VALUE"""),5339.0)</f>
        <v>5339</v>
      </c>
      <c r="G21647" s="4">
        <f>IFERROR(__xludf.DUMMYFUNCTION("""COMPUTED_VALUE"""),30.0)</f>
        <v>30</v>
      </c>
      <c r="H21647" s="4"/>
      <c r="I21647" s="4"/>
    </row>
    <row r="21648">
      <c r="A21648" s="4" t="str">
        <f>IFERROR(__xludf.DUMMYFUNCTION("""COMPUTED_VALUE"""),"cas_hmw")</f>
        <v>cas_hmw</v>
      </c>
      <c r="B21648" s="5">
        <f>IFERROR(__xludf.DUMMYFUNCTION("""COMPUTED_VALUE"""),44785.0)</f>
        <v>44785</v>
      </c>
      <c r="C21648" s="6">
        <f>IFERROR(__xludf.DUMMYFUNCTION("""COMPUTED_VALUE"""),0.7931828703694919)</f>
        <v>0.7931828704</v>
      </c>
      <c r="D21648" s="4">
        <f>IFERROR(__xludf.DUMMYFUNCTION("""COMPUTED_VALUE"""),13.064103)</f>
        <v>13.064103</v>
      </c>
      <c r="E21648" s="4">
        <f>IFERROR(__xludf.DUMMYFUNCTION("""COMPUTED_VALUE"""),80.170674)</f>
        <v>80.170674</v>
      </c>
      <c r="F21648" s="4">
        <f>IFERROR(__xludf.DUMMYFUNCTION("""COMPUTED_VALUE"""),5339.0)</f>
        <v>5339</v>
      </c>
      <c r="G21648" s="4">
        <f>IFERROR(__xludf.DUMMYFUNCTION("""COMPUTED_VALUE"""),30.0)</f>
        <v>30</v>
      </c>
      <c r="H21648" s="4"/>
      <c r="I21648" s="4"/>
    </row>
    <row r="21649">
      <c r="A21649" s="4" t="str">
        <f>IFERROR(__xludf.DUMMYFUNCTION("""COMPUTED_VALUE"""),"cas_hmw")</f>
        <v>cas_hmw</v>
      </c>
      <c r="B21649" s="5">
        <f>IFERROR(__xludf.DUMMYFUNCTION("""COMPUTED_VALUE"""),44785.0)</f>
        <v>44785</v>
      </c>
      <c r="C21649" s="6">
        <f>IFERROR(__xludf.DUMMYFUNCTION("""COMPUTED_VALUE"""),0.7980208333319752)</f>
        <v>0.7980208333</v>
      </c>
      <c r="D21649" s="4">
        <f>IFERROR(__xludf.DUMMYFUNCTION("""COMPUTED_VALUE"""),13.056245)</f>
        <v>13.056245</v>
      </c>
      <c r="E21649" s="4">
        <f>IFERROR(__xludf.DUMMYFUNCTION("""COMPUTED_VALUE"""),80.158755)</f>
        <v>80.158755</v>
      </c>
      <c r="F21649" s="4">
        <f>IFERROR(__xludf.DUMMYFUNCTION("""COMPUTED_VALUE"""),5339.0)</f>
        <v>5339</v>
      </c>
      <c r="G21649" s="4">
        <f>IFERROR(__xludf.DUMMYFUNCTION("""COMPUTED_VALUE"""),53.0)</f>
        <v>53</v>
      </c>
      <c r="H21649" s="4"/>
      <c r="I21649" s="4"/>
    </row>
    <row r="21650">
      <c r="A21650" s="4" t="str">
        <f>IFERROR(__xludf.DUMMYFUNCTION("""COMPUTED_VALUE"""),"cas_hmw")</f>
        <v>cas_hmw</v>
      </c>
      <c r="B21650" s="5">
        <f>IFERROR(__xludf.DUMMYFUNCTION("""COMPUTED_VALUE"""),44785.0)</f>
        <v>44785</v>
      </c>
      <c r="C21650" s="6">
        <f>IFERROR(__xludf.DUMMYFUNCTION("""COMPUTED_VALUE"""),0.818043981482333)</f>
        <v>0.8180439815</v>
      </c>
      <c r="D21650" s="4">
        <f>IFERROR(__xludf.DUMMYFUNCTION("""COMPUTED_VALUE"""),12.904524)</f>
        <v>12.904524</v>
      </c>
      <c r="E21650" s="4">
        <f>IFERROR(__xludf.DUMMYFUNCTION("""COMPUTED_VALUE"""),80.095146)</f>
        <v>80.095146</v>
      </c>
      <c r="F21650" s="4">
        <f>IFERROR(__xludf.DUMMYFUNCTION("""COMPUTED_VALUE"""),5339.0)</f>
        <v>5339</v>
      </c>
      <c r="G21650" s="4">
        <f>IFERROR(__xludf.DUMMYFUNCTION("""COMPUTED_VALUE"""),27.0)</f>
        <v>27</v>
      </c>
      <c r="H21650" s="4"/>
      <c r="I21650" s="4"/>
    </row>
    <row r="21651">
      <c r="A21651" s="4" t="str">
        <f>IFERROR(__xludf.DUMMYFUNCTION("""COMPUTED_VALUE"""),"cas_hmw")</f>
        <v>cas_hmw</v>
      </c>
      <c r="B21651" s="5">
        <f>IFERROR(__xludf.DUMMYFUNCTION("""COMPUTED_VALUE"""),44785.0)</f>
        <v>44785</v>
      </c>
      <c r="C21651" s="6">
        <f>IFERROR(__xludf.DUMMYFUNCTION("""COMPUTED_VALUE"""),0.818043981482333)</f>
        <v>0.8180439815</v>
      </c>
      <c r="D21651" s="4">
        <f>IFERROR(__xludf.DUMMYFUNCTION("""COMPUTED_VALUE"""),12.904524)</f>
        <v>12.904524</v>
      </c>
      <c r="E21651" s="4">
        <f>IFERROR(__xludf.DUMMYFUNCTION("""COMPUTED_VALUE"""),80.095146)</f>
        <v>80.095146</v>
      </c>
      <c r="F21651" s="4">
        <f>IFERROR(__xludf.DUMMYFUNCTION("""COMPUTED_VALUE"""),5339.0)</f>
        <v>5339</v>
      </c>
      <c r="G21651" s="4">
        <f>IFERROR(__xludf.DUMMYFUNCTION("""COMPUTED_VALUE"""),27.0)</f>
        <v>27</v>
      </c>
      <c r="H21651" s="4"/>
      <c r="I21651" s="4"/>
    </row>
    <row r="21652">
      <c r="A21652" s="4" t="str">
        <f>IFERROR(__xludf.DUMMYFUNCTION("""COMPUTED_VALUE"""),"cas_hmw")</f>
        <v>cas_hmw</v>
      </c>
      <c r="B21652" s="5">
        <f>IFERROR(__xludf.DUMMYFUNCTION("""COMPUTED_VALUE"""),44785.0)</f>
        <v>44785</v>
      </c>
      <c r="C21652" s="6">
        <f>IFERROR(__xludf.DUMMYFUNCTION("""COMPUTED_VALUE"""),0.8184722222213168)</f>
        <v>0.8184722222</v>
      </c>
      <c r="D21652" s="4">
        <f>IFERROR(__xludf.DUMMYFUNCTION("""COMPUTED_VALUE"""),12.902365)</f>
        <v>12.902365</v>
      </c>
      <c r="E21652" s="4">
        <f>IFERROR(__xludf.DUMMYFUNCTION("""COMPUTED_VALUE"""),80.093319)</f>
        <v>80.093319</v>
      </c>
      <c r="F21652" s="4">
        <f>IFERROR(__xludf.DUMMYFUNCTION("""COMPUTED_VALUE"""),5339.0)</f>
        <v>5339</v>
      </c>
      <c r="G21652" s="4">
        <f>IFERROR(__xludf.DUMMYFUNCTION("""COMPUTED_VALUE"""),44.0)</f>
        <v>44</v>
      </c>
      <c r="H21652" s="4"/>
      <c r="I21652" s="4"/>
    </row>
    <row r="21653">
      <c r="A21653" s="4" t="str">
        <f>IFERROR(__xludf.DUMMYFUNCTION("""COMPUTED_VALUE"""),"cas_hmw")</f>
        <v>cas_hmw</v>
      </c>
      <c r="B21653" s="5">
        <f>IFERROR(__xludf.DUMMYFUNCTION("""COMPUTED_VALUE"""),44785.0)</f>
        <v>44785</v>
      </c>
      <c r="C21653" s="6">
        <f>IFERROR(__xludf.DUMMYFUNCTION("""COMPUTED_VALUE"""),0.8186921296291985)</f>
        <v>0.8186921296</v>
      </c>
      <c r="D21653" s="4">
        <f>IFERROR(__xludf.DUMMYFUNCTION("""COMPUTED_VALUE"""),12.9004)</f>
        <v>12.9004</v>
      </c>
      <c r="E21653" s="4">
        <f>IFERROR(__xludf.DUMMYFUNCTION("""COMPUTED_VALUE"""),80.091858)</f>
        <v>80.091858</v>
      </c>
      <c r="F21653" s="4">
        <f>IFERROR(__xludf.DUMMYFUNCTION("""COMPUTED_VALUE"""),5339.0)</f>
        <v>5339</v>
      </c>
      <c r="G21653" s="4">
        <f>IFERROR(__xludf.DUMMYFUNCTION("""COMPUTED_VALUE"""),53.0)</f>
        <v>53</v>
      </c>
      <c r="H21653" s="4"/>
      <c r="I21653" s="4"/>
    </row>
    <row r="21654">
      <c r="A21654" s="4" t="str">
        <f>IFERROR(__xludf.DUMMYFUNCTION("""COMPUTED_VALUE"""),"cas_hmw")</f>
        <v>cas_hmw</v>
      </c>
      <c r="B21654" s="5">
        <f>IFERROR(__xludf.DUMMYFUNCTION("""COMPUTED_VALUE"""),44785.0)</f>
        <v>44785</v>
      </c>
      <c r="C21654" s="6">
        <f>IFERROR(__xludf.DUMMYFUNCTION("""COMPUTED_VALUE"""),0.8187731481484661)</f>
        <v>0.8187731481</v>
      </c>
      <c r="D21654" s="4">
        <f>IFERROR(__xludf.DUMMYFUNCTION("""COMPUTED_VALUE"""),12.899239)</f>
        <v>12.899239</v>
      </c>
      <c r="E21654" s="4">
        <f>IFERROR(__xludf.DUMMYFUNCTION("""COMPUTED_VALUE"""),80.091017)</f>
        <v>80.091017</v>
      </c>
      <c r="F21654" s="4">
        <f>IFERROR(__xludf.DUMMYFUNCTION("""COMPUTED_VALUE"""),5339.0)</f>
        <v>5339</v>
      </c>
      <c r="G21654" s="4">
        <f>IFERROR(__xludf.DUMMYFUNCTION("""COMPUTED_VALUE"""),60.0)</f>
        <v>60</v>
      </c>
      <c r="H21654" s="4"/>
      <c r="I21654" s="4"/>
    </row>
    <row r="21655">
      <c r="A21655" s="4" t="str">
        <f>IFERROR(__xludf.DUMMYFUNCTION("""COMPUTED_VALUE"""),"cas_hmw")</f>
        <v>cas_hmw</v>
      </c>
      <c r="B21655" s="5">
        <f>IFERROR(__xludf.DUMMYFUNCTION("""COMPUTED_VALUE"""),44785.0)</f>
        <v>44785</v>
      </c>
      <c r="C21655" s="6">
        <f>IFERROR(__xludf.DUMMYFUNCTION("""COMPUTED_VALUE"""),0.8189236111102218)</f>
        <v>0.8189236111</v>
      </c>
      <c r="D21655" s="4">
        <f>IFERROR(__xludf.DUMMYFUNCTION("""COMPUTED_VALUE"""),12.898125)</f>
        <v>12.898125</v>
      </c>
      <c r="E21655" s="4">
        <f>IFERROR(__xludf.DUMMYFUNCTION("""COMPUTED_VALUE"""),80.090141)</f>
        <v>80.090141</v>
      </c>
      <c r="F21655" s="4">
        <f>IFERROR(__xludf.DUMMYFUNCTION("""COMPUTED_VALUE"""),5339.0)</f>
        <v>5339</v>
      </c>
      <c r="G21655" s="4">
        <f>IFERROR(__xludf.DUMMYFUNCTION("""COMPUTED_VALUE"""),53.0)</f>
        <v>53</v>
      </c>
      <c r="H21655" s="4"/>
      <c r="I21655" s="4"/>
    </row>
    <row r="21656">
      <c r="A21656" s="4" t="str">
        <f>IFERROR(__xludf.DUMMYFUNCTION("""COMPUTED_VALUE"""),"cas_hmw")</f>
        <v>cas_hmw</v>
      </c>
      <c r="B21656" s="5">
        <f>IFERROR(__xludf.DUMMYFUNCTION("""COMPUTED_VALUE"""),44785.0)</f>
        <v>44785</v>
      </c>
      <c r="C21656" s="6">
        <f>IFERROR(__xludf.DUMMYFUNCTION("""COMPUTED_VALUE"""),0.8193981481490482)</f>
        <v>0.8193981481</v>
      </c>
      <c r="D21656" s="4">
        <f>IFERROR(__xludf.DUMMYFUNCTION("""COMPUTED_VALUE"""),12.894716)</f>
        <v>12.894716</v>
      </c>
      <c r="E21656" s="4">
        <f>IFERROR(__xludf.DUMMYFUNCTION("""COMPUTED_VALUE"""),80.087575)</f>
        <v>80.087575</v>
      </c>
      <c r="F21656" s="4">
        <f>IFERROR(__xludf.DUMMYFUNCTION("""COMPUTED_VALUE"""),5339.0)</f>
        <v>5339</v>
      </c>
      <c r="G21656" s="4">
        <f>IFERROR(__xludf.DUMMYFUNCTION("""COMPUTED_VALUE"""),50.0)</f>
        <v>50</v>
      </c>
      <c r="H21656" s="4"/>
      <c r="I21656" s="4"/>
    </row>
    <row r="21657">
      <c r="A21657" s="4" t="str">
        <f>IFERROR(__xludf.DUMMYFUNCTION("""COMPUTED_VALUE"""),"cas_hmw")</f>
        <v>cas_hmw</v>
      </c>
      <c r="B21657" s="5">
        <f>IFERROR(__xludf.DUMMYFUNCTION("""COMPUTED_VALUE"""),44785.0)</f>
        <v>44785</v>
      </c>
      <c r="C21657" s="6">
        <f>IFERROR(__xludf.DUMMYFUNCTION("""COMPUTED_VALUE"""),0.8195254629645206)</f>
        <v>0.819525463</v>
      </c>
      <c r="D21657" s="4">
        <f>IFERROR(__xludf.DUMMYFUNCTION("""COMPUTED_VALUE"""),12.893717)</f>
        <v>12.893717</v>
      </c>
      <c r="E21657" s="4">
        <f>IFERROR(__xludf.DUMMYFUNCTION("""COMPUTED_VALUE"""),80.086835)</f>
        <v>80.086835</v>
      </c>
      <c r="F21657" s="4">
        <f>IFERROR(__xludf.DUMMYFUNCTION("""COMPUTED_VALUE"""),5339.0)</f>
        <v>5339</v>
      </c>
      <c r="G21657" s="4">
        <f>IFERROR(__xludf.DUMMYFUNCTION("""COMPUTED_VALUE"""),45.0)</f>
        <v>45</v>
      </c>
      <c r="H21657" s="4"/>
      <c r="I21657" s="4"/>
    </row>
    <row r="21658">
      <c r="A21658" s="4" t="str">
        <f>IFERROR(__xludf.DUMMYFUNCTION("""COMPUTED_VALUE"""),"cas_hmw")</f>
        <v>cas_hmw</v>
      </c>
      <c r="B21658" s="5">
        <f>IFERROR(__xludf.DUMMYFUNCTION("""COMPUTED_VALUE"""),44785.0)</f>
        <v>44785</v>
      </c>
      <c r="C21658" s="6">
        <f>IFERROR(__xludf.DUMMYFUNCTION("""COMPUTED_VALUE"""),0.8198032407417486)</f>
        <v>0.8198032407</v>
      </c>
      <c r="D21658" s="4">
        <f>IFERROR(__xludf.DUMMYFUNCTION("""COMPUTED_VALUE"""),12.891865)</f>
        <v>12.891865</v>
      </c>
      <c r="E21658" s="4">
        <f>IFERROR(__xludf.DUMMYFUNCTION("""COMPUTED_VALUE"""),80.085493)</f>
        <v>80.085493</v>
      </c>
      <c r="F21658" s="4">
        <f>IFERROR(__xludf.DUMMYFUNCTION("""COMPUTED_VALUE"""),5339.0)</f>
        <v>5339</v>
      </c>
      <c r="G21658" s="4">
        <f>IFERROR(__xludf.DUMMYFUNCTION("""COMPUTED_VALUE"""),31.0)</f>
        <v>31</v>
      </c>
      <c r="H21658" s="4"/>
      <c r="I21658" s="4"/>
    </row>
    <row r="21659">
      <c r="A21659" s="4" t="str">
        <f>IFERROR(__xludf.DUMMYFUNCTION("""COMPUTED_VALUE"""),"cas_hmw")</f>
        <v>cas_hmw</v>
      </c>
      <c r="B21659" s="5">
        <f>IFERROR(__xludf.DUMMYFUNCTION("""COMPUTED_VALUE"""),44785.0)</f>
        <v>44785</v>
      </c>
      <c r="C21659" s="6">
        <f>IFERROR(__xludf.DUMMYFUNCTION("""COMPUTED_VALUE"""),0.82010416666526)</f>
        <v>0.8201041667</v>
      </c>
      <c r="D21659" s="4">
        <f>IFERROR(__xludf.DUMMYFUNCTION("""COMPUTED_VALUE"""),12.890381)</f>
        <v>12.890381</v>
      </c>
      <c r="E21659" s="4">
        <f>IFERROR(__xludf.DUMMYFUNCTION("""COMPUTED_VALUE"""),80.084807)</f>
        <v>80.084807</v>
      </c>
      <c r="F21659" s="4">
        <f>IFERROR(__xludf.DUMMYFUNCTION("""COMPUTED_VALUE"""),5339.0)</f>
        <v>5339</v>
      </c>
      <c r="G21659" s="4">
        <f>IFERROR(__xludf.DUMMYFUNCTION("""COMPUTED_VALUE"""),36.0)</f>
        <v>36</v>
      </c>
      <c r="H21659" s="4"/>
      <c r="I21659" s="4"/>
    </row>
    <row r="21660">
      <c r="A21660" s="4" t="str">
        <f>IFERROR(__xludf.DUMMYFUNCTION("""COMPUTED_VALUE"""),"cas_hmw")</f>
        <v>cas_hmw</v>
      </c>
      <c r="B21660" s="5">
        <f>IFERROR(__xludf.DUMMYFUNCTION("""COMPUTED_VALUE"""),44785.0)</f>
        <v>44785</v>
      </c>
      <c r="C21660" s="6">
        <f>IFERROR(__xludf.DUMMYFUNCTION("""COMPUTED_VALUE"""),0.8202199074075907)</f>
        <v>0.8202199074</v>
      </c>
      <c r="D21660" s="4">
        <f>IFERROR(__xludf.DUMMYFUNCTION("""COMPUTED_VALUE"""),12.889443)</f>
        <v>12.889443</v>
      </c>
      <c r="E21660" s="4">
        <f>IFERROR(__xludf.DUMMYFUNCTION("""COMPUTED_VALUE"""),80.084413)</f>
        <v>80.084413</v>
      </c>
      <c r="F21660" s="4">
        <f>IFERROR(__xludf.DUMMYFUNCTION("""COMPUTED_VALUE"""),5339.0)</f>
        <v>5339</v>
      </c>
      <c r="G21660" s="4">
        <f>IFERROR(__xludf.DUMMYFUNCTION("""COMPUTED_VALUE"""),43.0)</f>
        <v>43</v>
      </c>
      <c r="H21660" s="4"/>
      <c r="I21660" s="4"/>
    </row>
    <row r="21661">
      <c r="A21661" s="4" t="str">
        <f>IFERROR(__xludf.DUMMYFUNCTION("""COMPUTED_VALUE"""),"cas_hmw")</f>
        <v>cas_hmw</v>
      </c>
      <c r="B21661" s="5">
        <f>IFERROR(__xludf.DUMMYFUNCTION("""COMPUTED_VALUE"""),44785.0)</f>
        <v>44785</v>
      </c>
      <c r="C21661" s="6">
        <f>IFERROR(__xludf.DUMMYFUNCTION("""COMPUTED_VALUE"""),0.8202662037037953)</f>
        <v>0.8202662037</v>
      </c>
      <c r="D21661" s="4">
        <f>IFERROR(__xludf.DUMMYFUNCTION("""COMPUTED_VALUE"""),12.888411)</f>
        <v>12.888411</v>
      </c>
      <c r="E21661" s="4">
        <f>IFERROR(__xludf.DUMMYFUNCTION("""COMPUTED_VALUE"""),80.084014)</f>
        <v>80.084014</v>
      </c>
      <c r="F21661" s="4">
        <f>IFERROR(__xludf.DUMMYFUNCTION("""COMPUTED_VALUE"""),5339.0)</f>
        <v>5339</v>
      </c>
      <c r="G21661" s="4">
        <f>IFERROR(__xludf.DUMMYFUNCTION("""COMPUTED_VALUE"""),44.0)</f>
        <v>44</v>
      </c>
      <c r="H21661" s="4"/>
      <c r="I21661" s="4"/>
    </row>
    <row r="21662">
      <c r="A21662" s="4" t="str">
        <f>IFERROR(__xludf.DUMMYFUNCTION("""COMPUTED_VALUE"""),"cas_hmw")</f>
        <v>cas_hmw</v>
      </c>
      <c r="B21662" s="5">
        <f>IFERROR(__xludf.DUMMYFUNCTION("""COMPUTED_VALUE"""),44785.0)</f>
        <v>44785</v>
      </c>
      <c r="C21662" s="6">
        <f>IFERROR(__xludf.DUMMYFUNCTION("""COMPUTED_VALUE"""),0.8206712962964957)</f>
        <v>0.8206712963</v>
      </c>
      <c r="D21662" s="4">
        <f>IFERROR(__xludf.DUMMYFUNCTION("""COMPUTED_VALUE"""),12.885011)</f>
        <v>12.885011</v>
      </c>
      <c r="E21662" s="4">
        <f>IFERROR(__xludf.DUMMYFUNCTION("""COMPUTED_VALUE"""),80.082613)</f>
        <v>80.082613</v>
      </c>
      <c r="F21662" s="4">
        <f>IFERROR(__xludf.DUMMYFUNCTION("""COMPUTED_VALUE"""),5339.0)</f>
        <v>5339</v>
      </c>
      <c r="G21662" s="4">
        <f>IFERROR(__xludf.DUMMYFUNCTION("""COMPUTED_VALUE"""),54.0)</f>
        <v>54</v>
      </c>
      <c r="H21662" s="4"/>
      <c r="I21662" s="4"/>
    </row>
    <row r="21663">
      <c r="A21663" s="4" t="str">
        <f>IFERROR(__xludf.DUMMYFUNCTION("""COMPUTED_VALUE"""),"cas_hmw")</f>
        <v>cas_hmw</v>
      </c>
      <c r="B21663" s="5">
        <f>IFERROR(__xludf.DUMMYFUNCTION("""COMPUTED_VALUE"""),44785.0)</f>
        <v>44785</v>
      </c>
      <c r="C21663" s="6">
        <f>IFERROR(__xludf.DUMMYFUNCTION("""COMPUTED_VALUE"""),0.8211689814816054)</f>
        <v>0.8211689815</v>
      </c>
      <c r="D21663" s="4">
        <f>IFERROR(__xludf.DUMMYFUNCTION("""COMPUTED_VALUE"""),12.880622)</f>
        <v>12.880622</v>
      </c>
      <c r="E21663" s="4">
        <f>IFERROR(__xludf.DUMMYFUNCTION("""COMPUTED_VALUE"""),80.080912)</f>
        <v>80.080912</v>
      </c>
      <c r="F21663" s="4">
        <f>IFERROR(__xludf.DUMMYFUNCTION("""COMPUTED_VALUE"""),5339.0)</f>
        <v>5339</v>
      </c>
      <c r="G21663" s="4">
        <f>IFERROR(__xludf.DUMMYFUNCTION("""COMPUTED_VALUE"""),34.0)</f>
        <v>34</v>
      </c>
      <c r="H21663" s="4"/>
      <c r="I21663" s="4"/>
    </row>
    <row r="21664">
      <c r="A21664" s="4" t="str">
        <f>IFERROR(__xludf.DUMMYFUNCTION("""COMPUTED_VALUE"""),"cas_hmw")</f>
        <v>cas_hmw</v>
      </c>
      <c r="B21664" s="5">
        <f>IFERROR(__xludf.DUMMYFUNCTION("""COMPUTED_VALUE"""),44786.0)</f>
        <v>44786</v>
      </c>
      <c r="C21664" s="6">
        <f>IFERROR(__xludf.DUMMYFUNCTION("""COMPUTED_VALUE"""),0.2333217592604342)</f>
        <v>0.2333217593</v>
      </c>
      <c r="D21664" s="4">
        <f>IFERROR(__xludf.DUMMYFUNCTION("""COMPUTED_VALUE"""),12.830428)</f>
        <v>12.830428</v>
      </c>
      <c r="E21664" s="4">
        <f>IFERROR(__xludf.DUMMYFUNCTION("""COMPUTED_VALUE"""),80.045674)</f>
        <v>80.045674</v>
      </c>
      <c r="F21664" s="4">
        <f>IFERROR(__xludf.DUMMYFUNCTION("""COMPUTED_VALUE"""),3143.0)</f>
        <v>3143</v>
      </c>
      <c r="G21664" s="4">
        <f>IFERROR(__xludf.DUMMYFUNCTION("""COMPUTED_VALUE"""),59.0)</f>
        <v>59</v>
      </c>
      <c r="H21664" s="4"/>
      <c r="I21664" s="4"/>
    </row>
    <row r="21665">
      <c r="A21665" s="4" t="str">
        <f>IFERROR(__xludf.DUMMYFUNCTION("""COMPUTED_VALUE"""),"cas_hmw")</f>
        <v>cas_hmw</v>
      </c>
      <c r="B21665" s="5">
        <f>IFERROR(__xludf.DUMMYFUNCTION("""COMPUTED_VALUE"""),44787.0)</f>
        <v>44787</v>
      </c>
      <c r="C21665" s="6">
        <f>IFERROR(__xludf.DUMMYFUNCTION("""COMPUTED_VALUE"""),0.2836805555562023)</f>
        <v>0.2836805556</v>
      </c>
      <c r="D21665" s="4">
        <f>IFERROR(__xludf.DUMMYFUNCTION("""COMPUTED_VALUE"""),12.904151)</f>
        <v>12.904151</v>
      </c>
      <c r="E21665" s="4">
        <f>IFERROR(__xludf.DUMMYFUNCTION("""COMPUTED_VALUE"""),80.094473)</f>
        <v>80.094473</v>
      </c>
      <c r="F21665" s="4">
        <f>IFERROR(__xludf.DUMMYFUNCTION("""COMPUTED_VALUE"""),5339.0)</f>
        <v>5339</v>
      </c>
      <c r="G21665" s="4">
        <f>IFERROR(__xludf.DUMMYFUNCTION("""COMPUTED_VALUE"""),54.0)</f>
        <v>54</v>
      </c>
      <c r="H21665" s="4"/>
      <c r="I21665" s="4"/>
    </row>
    <row r="21666">
      <c r="A21666" s="4" t="str">
        <f>IFERROR(__xludf.DUMMYFUNCTION("""COMPUTED_VALUE"""),"cas_hmw")</f>
        <v>cas_hmw</v>
      </c>
      <c r="B21666" s="5">
        <f>IFERROR(__xludf.DUMMYFUNCTION("""COMPUTED_VALUE"""),44787.0)</f>
        <v>44787</v>
      </c>
      <c r="C21666" s="6">
        <f>IFERROR(__xludf.DUMMYFUNCTION("""COMPUTED_VALUE"""),0.28552083333488554)</f>
        <v>0.2855208333</v>
      </c>
      <c r="D21666" s="4">
        <f>IFERROR(__xludf.DUMMYFUNCTION("""COMPUTED_VALUE"""),12.917793)</f>
        <v>12.917793</v>
      </c>
      <c r="E21666" s="4">
        <f>IFERROR(__xludf.DUMMYFUNCTION("""COMPUTED_VALUE"""),80.108181)</f>
        <v>80.108181</v>
      </c>
      <c r="F21666" s="4">
        <f>IFERROR(__xludf.DUMMYFUNCTION("""COMPUTED_VALUE"""),5339.0)</f>
        <v>5339</v>
      </c>
      <c r="G21666" s="4">
        <f>IFERROR(__xludf.DUMMYFUNCTION("""COMPUTED_VALUE"""),37.0)</f>
        <v>37</v>
      </c>
      <c r="H21666" s="4"/>
      <c r="I21666" s="4"/>
    </row>
    <row r="21667">
      <c r="A21667" s="4" t="str">
        <f>IFERROR(__xludf.DUMMYFUNCTION("""COMPUTED_VALUE"""),"cas_hmw")</f>
        <v>cas_hmw</v>
      </c>
      <c r="B21667" s="5">
        <f>IFERROR(__xludf.DUMMYFUNCTION("""COMPUTED_VALUE"""),44787.0)</f>
        <v>44787</v>
      </c>
      <c r="C21667" s="6">
        <f>IFERROR(__xludf.DUMMYFUNCTION("""COMPUTED_VALUE"""),0.2857291666659876)</f>
        <v>0.2857291667</v>
      </c>
      <c r="D21667" s="4">
        <f>IFERROR(__xludf.DUMMYFUNCTION("""COMPUTED_VALUE"""),12.919124)</f>
        <v>12.919124</v>
      </c>
      <c r="E21667" s="4">
        <f>IFERROR(__xludf.DUMMYFUNCTION("""COMPUTED_VALUE"""),80.109814)</f>
        <v>80.109814</v>
      </c>
      <c r="F21667" s="4">
        <f>IFERROR(__xludf.DUMMYFUNCTION("""COMPUTED_VALUE"""),5339.0)</f>
        <v>5339</v>
      </c>
      <c r="G21667" s="4">
        <f>IFERROR(__xludf.DUMMYFUNCTION("""COMPUTED_VALUE"""),50.0)</f>
        <v>50</v>
      </c>
      <c r="H21667" s="4"/>
      <c r="I21667" s="4"/>
    </row>
    <row r="21668">
      <c r="A21668" s="4" t="str">
        <f>IFERROR(__xludf.DUMMYFUNCTION("""COMPUTED_VALUE"""),"cas_hmw")</f>
        <v>cas_hmw</v>
      </c>
      <c r="B21668" s="5">
        <f>IFERROR(__xludf.DUMMYFUNCTION("""COMPUTED_VALUE"""),44787.0)</f>
        <v>44787</v>
      </c>
      <c r="C21668" s="6">
        <f>IFERROR(__xludf.DUMMYFUNCTION("""COMPUTED_VALUE"""),0.28599537037007394)</f>
        <v>0.2859953704</v>
      </c>
      <c r="D21668" s="4">
        <f>IFERROR(__xludf.DUMMYFUNCTION("""COMPUTED_VALUE"""),12.920715)</f>
        <v>12.920715</v>
      </c>
      <c r="E21668" s="4">
        <f>IFERROR(__xludf.DUMMYFUNCTION("""COMPUTED_VALUE"""),80.111728)</f>
        <v>80.111728</v>
      </c>
      <c r="F21668" s="4">
        <f>IFERROR(__xludf.DUMMYFUNCTION("""COMPUTED_VALUE"""),5339.0)</f>
        <v>5339</v>
      </c>
      <c r="G21668" s="4">
        <f>IFERROR(__xludf.DUMMYFUNCTION("""COMPUTED_VALUE"""),46.0)</f>
        <v>46</v>
      </c>
      <c r="H21668" s="4"/>
      <c r="I21668" s="4"/>
    </row>
    <row r="21669">
      <c r="A21669" s="4" t="str">
        <f>IFERROR(__xludf.DUMMYFUNCTION("""COMPUTED_VALUE"""),"cas_hmw")</f>
        <v>cas_hmw</v>
      </c>
      <c r="B21669" s="5">
        <f>IFERROR(__xludf.DUMMYFUNCTION("""COMPUTED_VALUE"""),44787.0)</f>
        <v>44787</v>
      </c>
      <c r="C21669" s="6">
        <f>IFERROR(__xludf.DUMMYFUNCTION("""COMPUTED_VALUE"""),0.2901967592588335)</f>
        <v>0.2901967593</v>
      </c>
      <c r="D21669" s="4">
        <f>IFERROR(__xludf.DUMMYFUNCTION("""COMPUTED_VALUE"""),12.936153)</f>
        <v>12.936153</v>
      </c>
      <c r="E21669" s="4">
        <f>IFERROR(__xludf.DUMMYFUNCTION("""COMPUTED_VALUE"""),80.127103)</f>
        <v>80.127103</v>
      </c>
      <c r="F21669" s="4">
        <f>IFERROR(__xludf.DUMMYFUNCTION("""COMPUTED_VALUE"""),5339.0)</f>
        <v>5339</v>
      </c>
      <c r="G21669" s="4">
        <f>IFERROR(__xludf.DUMMYFUNCTION("""COMPUTED_VALUE"""),24.0)</f>
        <v>24</v>
      </c>
      <c r="H21669" s="4"/>
      <c r="I21669" s="4"/>
    </row>
    <row r="21670">
      <c r="A21670" s="4" t="str">
        <f>IFERROR(__xludf.DUMMYFUNCTION("""COMPUTED_VALUE"""),"cas_hmw")</f>
        <v>cas_hmw</v>
      </c>
      <c r="B21670" s="5">
        <f>IFERROR(__xludf.DUMMYFUNCTION("""COMPUTED_VALUE"""),44787.0)</f>
        <v>44787</v>
      </c>
      <c r="C21670" s="6">
        <f>IFERROR(__xludf.DUMMYFUNCTION("""COMPUTED_VALUE"""),0.29192129629518604)</f>
        <v>0.2919212963</v>
      </c>
      <c r="D21670" s="4">
        <f>IFERROR(__xludf.DUMMYFUNCTION("""COMPUTED_VALUE"""),12.947495)</f>
        <v>12.947495</v>
      </c>
      <c r="E21670" s="4">
        <f>IFERROR(__xludf.DUMMYFUNCTION("""COMPUTED_VALUE"""),80.137184)</f>
        <v>80.137184</v>
      </c>
      <c r="F21670" s="4">
        <f>IFERROR(__xludf.DUMMYFUNCTION("""COMPUTED_VALUE"""),5339.0)</f>
        <v>5339</v>
      </c>
      <c r="G21670" s="4">
        <f>IFERROR(__xludf.DUMMYFUNCTION("""COMPUTED_VALUE"""),54.0)</f>
        <v>54</v>
      </c>
      <c r="H21670" s="4"/>
      <c r="I21670" s="4"/>
    </row>
    <row r="21671">
      <c r="A21671" s="4" t="str">
        <f>IFERROR(__xludf.DUMMYFUNCTION("""COMPUTED_VALUE"""),"cas_hmw")</f>
        <v>cas_hmw</v>
      </c>
      <c r="B21671" s="5">
        <f>IFERROR(__xludf.DUMMYFUNCTION("""COMPUTED_VALUE"""),44787.0)</f>
        <v>44787</v>
      </c>
      <c r="C21671" s="6">
        <f>IFERROR(__xludf.DUMMYFUNCTION("""COMPUTED_VALUE"""),0.29221064814919373)</f>
        <v>0.2922106481</v>
      </c>
      <c r="D21671" s="4">
        <f>IFERROR(__xludf.DUMMYFUNCTION("""COMPUTED_VALUE"""),12.950614)</f>
        <v>12.950614</v>
      </c>
      <c r="E21671" s="4">
        <f>IFERROR(__xludf.DUMMYFUNCTION("""COMPUTED_VALUE"""),80.139577)</f>
        <v>80.139577</v>
      </c>
      <c r="F21671" s="4">
        <f>IFERROR(__xludf.DUMMYFUNCTION("""COMPUTED_VALUE"""),5339.0)</f>
        <v>5339</v>
      </c>
      <c r="G21671" s="4">
        <f>IFERROR(__xludf.DUMMYFUNCTION("""COMPUTED_VALUE"""),47.0)</f>
        <v>47</v>
      </c>
      <c r="H21671" s="4"/>
      <c r="I21671" s="4"/>
    </row>
    <row r="21672">
      <c r="A21672" s="4" t="str">
        <f>IFERROR(__xludf.DUMMYFUNCTION("""COMPUTED_VALUE"""),"cas_hmw")</f>
        <v>cas_hmw</v>
      </c>
      <c r="B21672" s="5">
        <f>IFERROR(__xludf.DUMMYFUNCTION("""COMPUTED_VALUE"""),44787.0)</f>
        <v>44787</v>
      </c>
      <c r="C21672" s="6">
        <f>IFERROR(__xludf.DUMMYFUNCTION("""COMPUTED_VALUE"""),0.294189814816491)</f>
        <v>0.2941898148</v>
      </c>
      <c r="D21672" s="4">
        <f>IFERROR(__xludf.DUMMYFUNCTION("""COMPUTED_VALUE"""),12.963262)</f>
        <v>12.963262</v>
      </c>
      <c r="E21672" s="4">
        <f>IFERROR(__xludf.DUMMYFUNCTION("""COMPUTED_VALUE"""),80.146905)</f>
        <v>80.146905</v>
      </c>
      <c r="F21672" s="4">
        <f>IFERROR(__xludf.DUMMYFUNCTION("""COMPUTED_VALUE"""),5339.0)</f>
        <v>5339</v>
      </c>
      <c r="G21672" s="4">
        <f>IFERROR(__xludf.DUMMYFUNCTION("""COMPUTED_VALUE"""),54.0)</f>
        <v>54</v>
      </c>
      <c r="H21672" s="4"/>
      <c r="I21672" s="4"/>
    </row>
    <row r="21673">
      <c r="A21673" s="4" t="str">
        <f>IFERROR(__xludf.DUMMYFUNCTION("""COMPUTED_VALUE"""),"cas_hmw")</f>
        <v>cas_hmw</v>
      </c>
      <c r="B21673" s="5">
        <f>IFERROR(__xludf.DUMMYFUNCTION("""COMPUTED_VALUE"""),44787.0)</f>
        <v>44787</v>
      </c>
      <c r="C21673" s="6">
        <f>IFERROR(__xludf.DUMMYFUNCTION("""COMPUTED_VALUE"""),0.296944444446126)</f>
        <v>0.2969444444</v>
      </c>
      <c r="D21673" s="4">
        <f>IFERROR(__xludf.DUMMYFUNCTION("""COMPUTED_VALUE"""),12.986139)</f>
        <v>12.986139</v>
      </c>
      <c r="E21673" s="4">
        <f>IFERROR(__xludf.DUMMYFUNCTION("""COMPUTED_VALUE"""),80.174193)</f>
        <v>80.174193</v>
      </c>
      <c r="F21673" s="4">
        <f>IFERROR(__xludf.DUMMYFUNCTION("""COMPUTED_VALUE"""),5339.0)</f>
        <v>5339</v>
      </c>
      <c r="G21673" s="4">
        <f>IFERROR(__xludf.DUMMYFUNCTION("""COMPUTED_VALUE"""),52.0)</f>
        <v>52</v>
      </c>
      <c r="H21673" s="4"/>
      <c r="I21673" s="4"/>
    </row>
    <row r="21674">
      <c r="A21674" s="4" t="str">
        <f>IFERROR(__xludf.DUMMYFUNCTION("""COMPUTED_VALUE"""),"cas_hmw")</f>
        <v>cas_hmw</v>
      </c>
      <c r="B21674" s="5">
        <f>IFERROR(__xludf.DUMMYFUNCTION("""COMPUTED_VALUE"""),44787.0)</f>
        <v>44787</v>
      </c>
      <c r="C21674" s="6">
        <f>IFERROR(__xludf.DUMMYFUNCTION("""COMPUTED_VALUE"""),0.29768518518540077)</f>
        <v>0.2976851852</v>
      </c>
      <c r="D21674" s="4">
        <f>IFERROR(__xludf.DUMMYFUNCTION("""COMPUTED_VALUE"""),12.99091)</f>
        <v>12.99091</v>
      </c>
      <c r="E21674" s="4">
        <f>IFERROR(__xludf.DUMMYFUNCTION("""COMPUTED_VALUE"""),80.180574)</f>
        <v>80.180574</v>
      </c>
      <c r="F21674" s="4">
        <f>IFERROR(__xludf.DUMMYFUNCTION("""COMPUTED_VALUE"""),5339.0)</f>
        <v>5339</v>
      </c>
      <c r="G21674" s="4">
        <f>IFERROR(__xludf.DUMMYFUNCTION("""COMPUTED_VALUE"""),49.0)</f>
        <v>49</v>
      </c>
      <c r="H21674" s="4"/>
      <c r="I21674" s="4"/>
    </row>
    <row r="21675">
      <c r="A21675" s="4" t="str">
        <f>IFERROR(__xludf.DUMMYFUNCTION("""COMPUTED_VALUE"""),"cas_hmw")</f>
        <v>cas_hmw</v>
      </c>
      <c r="B21675" s="5">
        <f>IFERROR(__xludf.DUMMYFUNCTION("""COMPUTED_VALUE"""),44787.0)</f>
        <v>44787</v>
      </c>
      <c r="C21675" s="6">
        <f>IFERROR(__xludf.DUMMYFUNCTION("""COMPUTED_VALUE"""),0.29787037037021946)</f>
        <v>0.2978703704</v>
      </c>
      <c r="D21675" s="4">
        <f>IFERROR(__xludf.DUMMYFUNCTION("""COMPUTED_VALUE"""),12.99091)</f>
        <v>12.99091</v>
      </c>
      <c r="E21675" s="4">
        <f>IFERROR(__xludf.DUMMYFUNCTION("""COMPUTED_VALUE"""),80.180574)</f>
        <v>80.180574</v>
      </c>
      <c r="F21675" s="4">
        <f>IFERROR(__xludf.DUMMYFUNCTION("""COMPUTED_VALUE"""),5339.0)</f>
        <v>5339</v>
      </c>
      <c r="G21675" s="4">
        <f>IFERROR(__xludf.DUMMYFUNCTION("""COMPUTED_VALUE"""),49.0)</f>
        <v>49</v>
      </c>
      <c r="H21675" s="4"/>
      <c r="I21675" s="4"/>
    </row>
    <row r="21676">
      <c r="A21676" s="4" t="str">
        <f>IFERROR(__xludf.DUMMYFUNCTION("""COMPUTED_VALUE"""),"cas_hmw")</f>
        <v>cas_hmw</v>
      </c>
      <c r="B21676" s="5">
        <f>IFERROR(__xludf.DUMMYFUNCTION("""COMPUTED_VALUE"""),44787.0)</f>
        <v>44787</v>
      </c>
      <c r="C21676" s="6">
        <f>IFERROR(__xludf.DUMMYFUNCTION("""COMPUTED_VALUE"""),0.29812500000116415)</f>
        <v>0.298125</v>
      </c>
      <c r="D21676" s="4">
        <f>IFERROR(__xludf.DUMMYFUNCTION("""COMPUTED_VALUE"""),12.99091)</f>
        <v>12.99091</v>
      </c>
      <c r="E21676" s="4">
        <f>IFERROR(__xludf.DUMMYFUNCTION("""COMPUTED_VALUE"""),80.180574)</f>
        <v>80.180574</v>
      </c>
      <c r="F21676" s="4">
        <f>IFERROR(__xludf.DUMMYFUNCTION("""COMPUTED_VALUE"""),5339.0)</f>
        <v>5339</v>
      </c>
      <c r="G21676" s="4">
        <f>IFERROR(__xludf.DUMMYFUNCTION("""COMPUTED_VALUE"""),49.0)</f>
        <v>49</v>
      </c>
      <c r="H21676" s="4"/>
      <c r="I21676" s="4"/>
    </row>
    <row r="21677">
      <c r="A21677" s="4" t="str">
        <f>IFERROR(__xludf.DUMMYFUNCTION("""COMPUTED_VALUE"""),"cas_hmw")</f>
        <v>cas_hmw</v>
      </c>
      <c r="B21677" s="5">
        <f>IFERROR(__xludf.DUMMYFUNCTION("""COMPUTED_VALUE"""),44787.0)</f>
        <v>44787</v>
      </c>
      <c r="C21677" s="6">
        <f>IFERROR(__xludf.DUMMYFUNCTION("""COMPUTED_VALUE"""),0.2982523148129985)</f>
        <v>0.2982523148</v>
      </c>
      <c r="D21677" s="4">
        <f>IFERROR(__xludf.DUMMYFUNCTION("""COMPUTED_VALUE"""),12.993982)</f>
        <v>12.993982</v>
      </c>
      <c r="E21677" s="4">
        <f>IFERROR(__xludf.DUMMYFUNCTION("""COMPUTED_VALUE"""),80.18527)</f>
        <v>80.18527</v>
      </c>
      <c r="F21677" s="4">
        <f>IFERROR(__xludf.DUMMYFUNCTION("""COMPUTED_VALUE"""),5339.0)</f>
        <v>5339</v>
      </c>
      <c r="G21677" s="4">
        <f>IFERROR(__xludf.DUMMYFUNCTION("""COMPUTED_VALUE"""),31.0)</f>
        <v>31</v>
      </c>
      <c r="H21677" s="4"/>
      <c r="I21677" s="4"/>
    </row>
    <row r="21678">
      <c r="A21678" s="4" t="str">
        <f>IFERROR(__xludf.DUMMYFUNCTION("""COMPUTED_VALUE"""),"cas_hmw")</f>
        <v>cas_hmw</v>
      </c>
      <c r="B21678" s="5">
        <f>IFERROR(__xludf.DUMMYFUNCTION("""COMPUTED_VALUE"""),44787.0)</f>
        <v>44787</v>
      </c>
      <c r="C21678" s="6">
        <f>IFERROR(__xludf.DUMMYFUNCTION("""COMPUTED_VALUE"""),0.2983217592591245)</f>
        <v>0.2983217593</v>
      </c>
      <c r="D21678" s="4">
        <f>IFERROR(__xludf.DUMMYFUNCTION("""COMPUTED_VALUE"""),12.993982)</f>
        <v>12.993982</v>
      </c>
      <c r="E21678" s="4">
        <f>IFERROR(__xludf.DUMMYFUNCTION("""COMPUTED_VALUE"""),80.18527)</f>
        <v>80.18527</v>
      </c>
      <c r="F21678" s="4">
        <f>IFERROR(__xludf.DUMMYFUNCTION("""COMPUTED_VALUE"""),5339.0)</f>
        <v>5339</v>
      </c>
      <c r="G21678" s="4">
        <f>IFERROR(__xludf.DUMMYFUNCTION("""COMPUTED_VALUE"""),31.0)</f>
        <v>31</v>
      </c>
      <c r="H21678" s="4"/>
      <c r="I21678" s="4"/>
    </row>
    <row r="21679">
      <c r="A21679" s="4" t="str">
        <f>IFERROR(__xludf.DUMMYFUNCTION("""COMPUTED_VALUE"""),"cas_hmw")</f>
        <v>cas_hmw</v>
      </c>
      <c r="B21679" s="5">
        <f>IFERROR(__xludf.DUMMYFUNCTION("""COMPUTED_VALUE"""),44787.0)</f>
        <v>44787</v>
      </c>
      <c r="C21679" s="6">
        <f>IFERROR(__xludf.DUMMYFUNCTION("""COMPUTED_VALUE"""),0.2984027777783922)</f>
        <v>0.2984027778</v>
      </c>
      <c r="D21679" s="4">
        <f>IFERROR(__xludf.DUMMYFUNCTION("""COMPUTED_VALUE"""),12.993982)</f>
        <v>12.993982</v>
      </c>
      <c r="E21679" s="4">
        <f>IFERROR(__xludf.DUMMYFUNCTION("""COMPUTED_VALUE"""),80.18527)</f>
        <v>80.18527</v>
      </c>
      <c r="F21679" s="4">
        <f>IFERROR(__xludf.DUMMYFUNCTION("""COMPUTED_VALUE"""),5339.0)</f>
        <v>5339</v>
      </c>
      <c r="G21679" s="4">
        <f>IFERROR(__xludf.DUMMYFUNCTION("""COMPUTED_VALUE"""),31.0)</f>
        <v>31</v>
      </c>
      <c r="H21679" s="4"/>
      <c r="I21679" s="4"/>
    </row>
    <row r="21680">
      <c r="A21680" s="4" t="str">
        <f>IFERROR(__xludf.DUMMYFUNCTION("""COMPUTED_VALUE"""),"cas_hmw")</f>
        <v>cas_hmw</v>
      </c>
      <c r="B21680" s="5">
        <f>IFERROR(__xludf.DUMMYFUNCTION("""COMPUTED_VALUE"""),44787.0)</f>
        <v>44787</v>
      </c>
      <c r="C21680" s="6">
        <f>IFERROR(__xludf.DUMMYFUNCTION("""COMPUTED_VALUE"""),0.29954861111036735)</f>
        <v>0.2995486111</v>
      </c>
      <c r="D21680" s="4">
        <f>IFERROR(__xludf.DUMMYFUNCTION("""COMPUTED_VALUE"""),13.001106)</f>
        <v>13.001106</v>
      </c>
      <c r="E21680" s="4">
        <f>IFERROR(__xludf.DUMMYFUNCTION("""COMPUTED_VALUE"""),80.195454)</f>
        <v>80.195454</v>
      </c>
      <c r="F21680" s="4">
        <f>IFERROR(__xludf.DUMMYFUNCTION("""COMPUTED_VALUE"""),5339.0)</f>
        <v>5339</v>
      </c>
      <c r="G21680" s="4">
        <f>IFERROR(__xludf.DUMMYFUNCTION("""COMPUTED_VALUE"""),53.0)</f>
        <v>53</v>
      </c>
      <c r="H21680" s="4"/>
      <c r="I21680" s="4"/>
    </row>
    <row r="21681">
      <c r="A21681" s="4" t="str">
        <f>IFERROR(__xludf.DUMMYFUNCTION("""COMPUTED_VALUE"""),"cas_hmw")</f>
        <v>cas_hmw</v>
      </c>
      <c r="B21681" s="5">
        <f>IFERROR(__xludf.DUMMYFUNCTION("""COMPUTED_VALUE"""),44787.0)</f>
        <v>44787</v>
      </c>
      <c r="C21681" s="6">
        <f>IFERROR(__xludf.DUMMYFUNCTION("""COMPUTED_VALUE"""),0.29968749999898137)</f>
        <v>0.2996875</v>
      </c>
      <c r="D21681" s="4">
        <f>IFERROR(__xludf.DUMMYFUNCTION("""COMPUTED_VALUE"""),13.002154)</f>
        <v>13.002154</v>
      </c>
      <c r="E21681" s="4">
        <f>IFERROR(__xludf.DUMMYFUNCTION("""COMPUTED_VALUE"""),80.197216)</f>
        <v>80.197216</v>
      </c>
      <c r="F21681" s="4">
        <f>IFERROR(__xludf.DUMMYFUNCTION("""COMPUTED_VALUE"""),5339.0)</f>
        <v>5339</v>
      </c>
      <c r="G21681" s="4">
        <f>IFERROR(__xludf.DUMMYFUNCTION("""COMPUTED_VALUE"""),46.0)</f>
        <v>46</v>
      </c>
      <c r="H21681" s="4"/>
      <c r="I21681" s="4"/>
    </row>
    <row r="21682">
      <c r="A21682" s="4" t="str">
        <f>IFERROR(__xludf.DUMMYFUNCTION("""COMPUTED_VALUE"""),"cas_hmw")</f>
        <v>cas_hmw</v>
      </c>
      <c r="B21682" s="5">
        <f>IFERROR(__xludf.DUMMYFUNCTION("""COMPUTED_VALUE"""),44787.0)</f>
        <v>44787</v>
      </c>
      <c r="C21682" s="6">
        <f>IFERROR(__xludf.DUMMYFUNCTION("""COMPUTED_VALUE"""),0.30074074074218515)</f>
        <v>0.3007407407</v>
      </c>
      <c r="D21682" s="4">
        <f>IFERROR(__xludf.DUMMYFUNCTION("""COMPUTED_VALUE"""),13.005103)</f>
        <v>13.005103</v>
      </c>
      <c r="E21682" s="4">
        <f>IFERROR(__xludf.DUMMYFUNCTION("""COMPUTED_VALUE"""),80.201435)</f>
        <v>80.201435</v>
      </c>
      <c r="F21682" s="4">
        <f>IFERROR(__xludf.DUMMYFUNCTION("""COMPUTED_VALUE"""),5339.0)</f>
        <v>5339</v>
      </c>
      <c r="G21682" s="4">
        <f>IFERROR(__xludf.DUMMYFUNCTION("""COMPUTED_VALUE"""),36.0)</f>
        <v>36</v>
      </c>
      <c r="H21682" s="4"/>
      <c r="I21682" s="4"/>
    </row>
    <row r="21683">
      <c r="A21683" s="4" t="str">
        <f>IFERROR(__xludf.DUMMYFUNCTION("""COMPUTED_VALUE"""),"cas_hmw")</f>
        <v>cas_hmw</v>
      </c>
      <c r="B21683" s="5">
        <f>IFERROR(__xludf.DUMMYFUNCTION("""COMPUTED_VALUE"""),44787.0)</f>
        <v>44787</v>
      </c>
      <c r="C21683" s="6">
        <f>IFERROR(__xludf.DUMMYFUNCTION("""COMPUTED_VALUE"""),0.30175925925868796)</f>
        <v>0.3017592593</v>
      </c>
      <c r="D21683" s="4">
        <f>IFERROR(__xludf.DUMMYFUNCTION("""COMPUTED_VALUE"""),13.007948)</f>
        <v>13.007948</v>
      </c>
      <c r="E21683" s="4">
        <f>IFERROR(__xludf.DUMMYFUNCTION("""COMPUTED_VALUE"""),80.207771)</f>
        <v>80.207771</v>
      </c>
      <c r="F21683" s="4">
        <f>IFERROR(__xludf.DUMMYFUNCTION("""COMPUTED_VALUE"""),5339.0)</f>
        <v>5339</v>
      </c>
      <c r="G21683" s="4">
        <f>IFERROR(__xludf.DUMMYFUNCTION("""COMPUTED_VALUE"""),57.0)</f>
        <v>57</v>
      </c>
      <c r="H21683" s="4"/>
      <c r="I21683" s="4"/>
    </row>
    <row r="21684">
      <c r="A21684" s="4" t="str">
        <f>IFERROR(__xludf.DUMMYFUNCTION("""COMPUTED_VALUE"""),"cas_hmw")</f>
        <v>cas_hmw</v>
      </c>
      <c r="B21684" s="5">
        <f>IFERROR(__xludf.DUMMYFUNCTION("""COMPUTED_VALUE"""),44787.0)</f>
        <v>44787</v>
      </c>
      <c r="C21684" s="6">
        <f>IFERROR(__xludf.DUMMYFUNCTION("""COMPUTED_VALUE"""),0.301863425924239)</f>
        <v>0.3018634259</v>
      </c>
      <c r="D21684" s="4">
        <f>IFERROR(__xludf.DUMMYFUNCTION("""COMPUTED_VALUE"""),13.008144)</f>
        <v>13.008144</v>
      </c>
      <c r="E21684" s="4">
        <f>IFERROR(__xludf.DUMMYFUNCTION("""COMPUTED_VALUE"""),80.209105)</f>
        <v>80.209105</v>
      </c>
      <c r="F21684" s="4">
        <f>IFERROR(__xludf.DUMMYFUNCTION("""COMPUTED_VALUE"""),5339.0)</f>
        <v>5339</v>
      </c>
      <c r="G21684" s="4">
        <f>IFERROR(__xludf.DUMMYFUNCTION("""COMPUTED_VALUE"""),48.0)</f>
        <v>48</v>
      </c>
      <c r="H21684" s="4"/>
      <c r="I21684" s="4"/>
    </row>
    <row r="21685">
      <c r="A21685" s="4" t="str">
        <f>IFERROR(__xludf.DUMMYFUNCTION("""COMPUTED_VALUE"""),"cas_hmw")</f>
        <v>cas_hmw</v>
      </c>
      <c r="B21685" s="5">
        <f>IFERROR(__xludf.DUMMYFUNCTION("""COMPUTED_VALUE"""),44787.0)</f>
        <v>44787</v>
      </c>
      <c r="C21685" s="6">
        <f>IFERROR(__xludf.DUMMYFUNCTION("""COMPUTED_VALUE"""),0.3018865740741603)</f>
        <v>0.3018865741</v>
      </c>
      <c r="D21685" s="4">
        <f>IFERROR(__xludf.DUMMYFUNCTION("""COMPUTED_VALUE"""),13.008144)</f>
        <v>13.008144</v>
      </c>
      <c r="E21685" s="4">
        <f>IFERROR(__xludf.DUMMYFUNCTION("""COMPUTED_VALUE"""),80.209105)</f>
        <v>80.209105</v>
      </c>
      <c r="F21685" s="4">
        <f>IFERROR(__xludf.DUMMYFUNCTION("""COMPUTED_VALUE"""),5339.0)</f>
        <v>5339</v>
      </c>
      <c r="G21685" s="4">
        <f>IFERROR(__xludf.DUMMYFUNCTION("""COMPUTED_VALUE"""),48.0)</f>
        <v>48</v>
      </c>
      <c r="H21685" s="4"/>
      <c r="I21685" s="4"/>
    </row>
    <row r="21686">
      <c r="A21686" s="4" t="str">
        <f>IFERROR(__xludf.DUMMYFUNCTION("""COMPUTED_VALUE"""),"cas_hmw")</f>
        <v>cas_hmw</v>
      </c>
      <c r="B21686" s="5">
        <f>IFERROR(__xludf.DUMMYFUNCTION("""COMPUTED_VALUE"""),44787.0)</f>
        <v>44787</v>
      </c>
      <c r="C21686" s="6">
        <f>IFERROR(__xludf.DUMMYFUNCTION("""COMPUTED_VALUE"""),0.30230324074000237)</f>
        <v>0.3023032407</v>
      </c>
      <c r="D21686" s="4">
        <f>IFERROR(__xludf.DUMMYFUNCTION("""COMPUTED_VALUE"""),13.009784)</f>
        <v>13.009784</v>
      </c>
      <c r="E21686" s="4">
        <f>IFERROR(__xludf.DUMMYFUNCTION("""COMPUTED_VALUE"""),80.213766)</f>
        <v>80.213766</v>
      </c>
      <c r="F21686" s="4">
        <f>IFERROR(__xludf.DUMMYFUNCTION("""COMPUTED_VALUE"""),5339.0)</f>
        <v>5339</v>
      </c>
      <c r="G21686" s="4">
        <f>IFERROR(__xludf.DUMMYFUNCTION("""COMPUTED_VALUE"""),49.0)</f>
        <v>49</v>
      </c>
      <c r="H21686" s="4"/>
      <c r="I21686" s="4"/>
    </row>
    <row r="21687">
      <c r="A21687" s="4" t="str">
        <f>IFERROR(__xludf.DUMMYFUNCTION("""COMPUTED_VALUE"""),"cas_hmw")</f>
        <v>cas_hmw</v>
      </c>
      <c r="B21687" s="5">
        <f>IFERROR(__xludf.DUMMYFUNCTION("""COMPUTED_VALUE"""),44787.0)</f>
        <v>44787</v>
      </c>
      <c r="C21687" s="6">
        <f>IFERROR(__xludf.DUMMYFUNCTION("""COMPUTED_VALUE"""),0.3028009259251121)</f>
        <v>0.3028009259</v>
      </c>
      <c r="D21687" s="4">
        <f>IFERROR(__xludf.DUMMYFUNCTION("""COMPUTED_VALUE"""),13.011291)</f>
        <v>13.011291</v>
      </c>
      <c r="E21687" s="4">
        <f>IFERROR(__xludf.DUMMYFUNCTION("""COMPUTED_VALUE"""),80.217987)</f>
        <v>80.217987</v>
      </c>
      <c r="F21687" s="4">
        <f>IFERROR(__xludf.DUMMYFUNCTION("""COMPUTED_VALUE"""),5339.0)</f>
        <v>5339</v>
      </c>
      <c r="G21687" s="4">
        <f>IFERROR(__xludf.DUMMYFUNCTION("""COMPUTED_VALUE"""),58.0)</f>
        <v>58</v>
      </c>
      <c r="H21687" s="4"/>
      <c r="I21687" s="4"/>
    </row>
    <row r="21688">
      <c r="A21688" s="4" t="str">
        <f>IFERROR(__xludf.DUMMYFUNCTION("""COMPUTED_VALUE"""),"cas_hmw")</f>
        <v>cas_hmw</v>
      </c>
      <c r="B21688" s="5">
        <f>IFERROR(__xludf.DUMMYFUNCTION("""COMPUTED_VALUE"""),44787.0)</f>
        <v>44787</v>
      </c>
      <c r="C21688" s="6">
        <f>IFERROR(__xludf.DUMMYFUNCTION("""COMPUTED_VALUE"""),0.30292824074058444)</f>
        <v>0.3029282407</v>
      </c>
      <c r="D21688" s="4">
        <f>IFERROR(__xludf.DUMMYFUNCTION("""COMPUTED_VALUE"""),13.011794)</f>
        <v>13.011794</v>
      </c>
      <c r="E21688" s="4">
        <f>IFERROR(__xludf.DUMMYFUNCTION("""COMPUTED_VALUE"""),80.219417)</f>
        <v>80.219417</v>
      </c>
      <c r="F21688" s="4">
        <f>IFERROR(__xludf.DUMMYFUNCTION("""COMPUTED_VALUE"""),5339.0)</f>
        <v>5339</v>
      </c>
      <c r="G21688" s="4">
        <f>IFERROR(__xludf.DUMMYFUNCTION("""COMPUTED_VALUE"""),58.0)</f>
        <v>58</v>
      </c>
      <c r="H21688" s="4"/>
      <c r="I21688" s="4"/>
    </row>
    <row r="21689">
      <c r="A21689" s="4" t="str">
        <f>IFERROR(__xludf.DUMMYFUNCTION("""COMPUTED_VALUE"""),"cas_hmw")</f>
        <v>cas_hmw</v>
      </c>
      <c r="B21689" s="5">
        <f>IFERROR(__xludf.DUMMYFUNCTION("""COMPUTED_VALUE"""),44787.0)</f>
        <v>44787</v>
      </c>
      <c r="C21689" s="6">
        <f>IFERROR(__xludf.DUMMYFUNCTION("""COMPUTED_VALUE"""),0.30299768518671044)</f>
        <v>0.3029976852</v>
      </c>
      <c r="D21689" s="4">
        <f>IFERROR(__xludf.DUMMYFUNCTION("""COMPUTED_VALUE"""),13.012275)</f>
        <v>13.012275</v>
      </c>
      <c r="E21689" s="4">
        <f>IFERROR(__xludf.DUMMYFUNCTION("""COMPUTED_VALUE"""),80.220814)</f>
        <v>80.220814</v>
      </c>
      <c r="F21689" s="4">
        <f>IFERROR(__xludf.DUMMYFUNCTION("""COMPUTED_VALUE"""),5339.0)</f>
        <v>5339</v>
      </c>
      <c r="G21689" s="4">
        <f>IFERROR(__xludf.DUMMYFUNCTION("""COMPUTED_VALUE"""),57.0)</f>
        <v>57</v>
      </c>
      <c r="H21689" s="4"/>
      <c r="I21689" s="4"/>
    </row>
    <row r="21690">
      <c r="A21690" s="4" t="str">
        <f>IFERROR(__xludf.DUMMYFUNCTION("""COMPUTED_VALUE"""),"cas_hmw")</f>
        <v>cas_hmw</v>
      </c>
      <c r="B21690" s="5">
        <f>IFERROR(__xludf.DUMMYFUNCTION("""COMPUTED_VALUE"""),44787.0)</f>
        <v>44787</v>
      </c>
      <c r="C21690" s="6">
        <f>IFERROR(__xludf.DUMMYFUNCTION("""COMPUTED_VALUE"""),0.30326388888715883)</f>
        <v>0.3032638889</v>
      </c>
      <c r="D21690" s="4">
        <f>IFERROR(__xludf.DUMMYFUNCTION("""COMPUTED_VALUE"""),13.01369)</f>
        <v>13.01369</v>
      </c>
      <c r="E21690" s="4">
        <f>IFERROR(__xludf.DUMMYFUNCTION("""COMPUTED_VALUE"""),80.222972)</f>
        <v>80.222972</v>
      </c>
      <c r="F21690" s="4">
        <f>IFERROR(__xludf.DUMMYFUNCTION("""COMPUTED_VALUE"""),5339.0)</f>
        <v>5339</v>
      </c>
      <c r="G21690" s="4">
        <f>IFERROR(__xludf.DUMMYFUNCTION("""COMPUTED_VALUE"""),50.0)</f>
        <v>50</v>
      </c>
      <c r="H21690" s="4"/>
      <c r="I21690" s="4"/>
    </row>
    <row r="21691">
      <c r="A21691" s="4" t="str">
        <f>IFERROR(__xludf.DUMMYFUNCTION("""COMPUTED_VALUE"""),"cas_hmw")</f>
        <v>cas_hmw</v>
      </c>
      <c r="B21691" s="5">
        <f>IFERROR(__xludf.DUMMYFUNCTION("""COMPUTED_VALUE"""),44787.0)</f>
        <v>44787</v>
      </c>
      <c r="C21691" s="6">
        <f>IFERROR(__xludf.DUMMYFUNCTION("""COMPUTED_VALUE"""),0.3033101851870015)</f>
        <v>0.3033101852</v>
      </c>
      <c r="D21691" s="4">
        <f>IFERROR(__xludf.DUMMYFUNCTION("""COMPUTED_VALUE"""),13.014449)</f>
        <v>13.014449</v>
      </c>
      <c r="E21691" s="4">
        <f>IFERROR(__xludf.DUMMYFUNCTION("""COMPUTED_VALUE"""),80.223875)</f>
        <v>80.223875</v>
      </c>
      <c r="F21691" s="4">
        <f>IFERROR(__xludf.DUMMYFUNCTION("""COMPUTED_VALUE"""),5339.0)</f>
        <v>5339</v>
      </c>
      <c r="G21691" s="4">
        <f>IFERROR(__xludf.DUMMYFUNCTION("""COMPUTED_VALUE"""),43.0)</f>
        <v>43</v>
      </c>
      <c r="H21691" s="4"/>
      <c r="I21691" s="4"/>
    </row>
    <row r="21692">
      <c r="A21692" s="4" t="str">
        <f>IFERROR(__xludf.DUMMYFUNCTION("""COMPUTED_VALUE"""),"cas_hmw")</f>
        <v>cas_hmw</v>
      </c>
      <c r="B21692" s="5">
        <f>IFERROR(__xludf.DUMMYFUNCTION("""COMPUTED_VALUE"""),44787.0)</f>
        <v>44787</v>
      </c>
      <c r="C21692" s="6">
        <f>IFERROR(__xludf.DUMMYFUNCTION("""COMPUTED_VALUE"""),0.3046064814807323)</f>
        <v>0.3046064815</v>
      </c>
      <c r="D21692" s="4">
        <f>IFERROR(__xludf.DUMMYFUNCTION("""COMPUTED_VALUE"""),13.02276)</f>
        <v>13.02276</v>
      </c>
      <c r="E21692" s="4">
        <f>IFERROR(__xludf.DUMMYFUNCTION("""COMPUTED_VALUE"""),80.226867)</f>
        <v>80.226867</v>
      </c>
      <c r="F21692" s="4">
        <f>IFERROR(__xludf.DUMMYFUNCTION("""COMPUTED_VALUE"""),5339.0)</f>
        <v>5339</v>
      </c>
      <c r="G21692" s="4">
        <f>IFERROR(__xludf.DUMMYFUNCTION("""COMPUTED_VALUE"""),56.0)</f>
        <v>56</v>
      </c>
      <c r="H21692" s="4"/>
      <c r="I21692" s="4"/>
    </row>
    <row r="21693">
      <c r="A21693" s="4" t="str">
        <f>IFERROR(__xludf.DUMMYFUNCTION("""COMPUTED_VALUE"""),"cas_hmw")</f>
        <v>cas_hmw</v>
      </c>
      <c r="B21693" s="5">
        <f>IFERROR(__xludf.DUMMYFUNCTION("""COMPUTED_VALUE"""),44787.0)</f>
        <v>44787</v>
      </c>
      <c r="C21693" s="6">
        <f>IFERROR(__xludf.DUMMYFUNCTION("""COMPUTED_VALUE"""),0.30498842592714936)</f>
        <v>0.3049884259</v>
      </c>
      <c r="D21693" s="4">
        <f>IFERROR(__xludf.DUMMYFUNCTION("""COMPUTED_VALUE"""),13.024769)</f>
        <v>13.024769</v>
      </c>
      <c r="E21693" s="4">
        <f>IFERROR(__xludf.DUMMYFUNCTION("""COMPUTED_VALUE"""),80.229023)</f>
        <v>80.229023</v>
      </c>
      <c r="F21693" s="4">
        <f>IFERROR(__xludf.DUMMYFUNCTION("""COMPUTED_VALUE"""),5339.0)</f>
        <v>5339</v>
      </c>
      <c r="G21693" s="4">
        <f>IFERROR(__xludf.DUMMYFUNCTION("""COMPUTED_VALUE"""),24.0)</f>
        <v>24</v>
      </c>
      <c r="H21693" s="4"/>
      <c r="I21693" s="4"/>
    </row>
    <row r="21694">
      <c r="A21694" s="4" t="str">
        <f>IFERROR(__xludf.DUMMYFUNCTION("""COMPUTED_VALUE"""),"cas_hmw")</f>
        <v>cas_hmw</v>
      </c>
      <c r="B21694" s="5">
        <f>IFERROR(__xludf.DUMMYFUNCTION("""COMPUTED_VALUE"""),44787.0)</f>
        <v>44787</v>
      </c>
      <c r="C21694" s="6">
        <f>IFERROR(__xludf.DUMMYFUNCTION("""COMPUTED_VALUE"""),0.3060995370360615)</f>
        <v>0.306099537</v>
      </c>
      <c r="D21694" s="4">
        <f>IFERROR(__xludf.DUMMYFUNCTION("""COMPUTED_VALUE"""),13.026033)</f>
        <v>13.026033</v>
      </c>
      <c r="E21694" s="4">
        <f>IFERROR(__xludf.DUMMYFUNCTION("""COMPUTED_VALUE"""),80.231355)</f>
        <v>80.231355</v>
      </c>
      <c r="F21694" s="4">
        <f>IFERROR(__xludf.DUMMYFUNCTION("""COMPUTED_VALUE"""),5339.0)</f>
        <v>5339</v>
      </c>
      <c r="G21694" s="4">
        <f>IFERROR(__xludf.DUMMYFUNCTION("""COMPUTED_VALUE"""),10.0)</f>
        <v>10</v>
      </c>
      <c r="H21694" s="4"/>
      <c r="I21694" s="4"/>
    </row>
    <row r="21695">
      <c r="A21695" s="4" t="str">
        <f>IFERROR(__xludf.DUMMYFUNCTION("""COMPUTED_VALUE"""),"cas_hmw")</f>
        <v>cas_hmw</v>
      </c>
      <c r="B21695" s="5">
        <f>IFERROR(__xludf.DUMMYFUNCTION("""COMPUTED_VALUE"""),44787.0)</f>
        <v>44787</v>
      </c>
      <c r="C21695" s="6">
        <f>IFERROR(__xludf.DUMMYFUNCTION("""COMPUTED_VALUE"""),0.3082870370380988)</f>
        <v>0.308287037</v>
      </c>
      <c r="D21695" s="4">
        <f>IFERROR(__xludf.DUMMYFUNCTION("""COMPUTED_VALUE"""),13.031867)</f>
        <v>13.031867</v>
      </c>
      <c r="E21695" s="4">
        <f>IFERROR(__xludf.DUMMYFUNCTION("""COMPUTED_VALUE"""),80.24133)</f>
        <v>80.24133</v>
      </c>
      <c r="F21695" s="4">
        <f>IFERROR(__xludf.DUMMYFUNCTION("""COMPUTED_VALUE"""),5339.0)</f>
        <v>5339</v>
      </c>
      <c r="G21695" s="4">
        <f>IFERROR(__xludf.DUMMYFUNCTION("""COMPUTED_VALUE"""),50.0)</f>
        <v>50</v>
      </c>
      <c r="H21695" s="4"/>
      <c r="I21695" s="4"/>
    </row>
    <row r="21696">
      <c r="A21696" s="4" t="str">
        <f>IFERROR(__xludf.DUMMYFUNCTION("""COMPUTED_VALUE"""),"cas_hmw")</f>
        <v>cas_hmw</v>
      </c>
      <c r="B21696" s="5">
        <f>IFERROR(__xludf.DUMMYFUNCTION("""COMPUTED_VALUE"""),44787.0)</f>
        <v>44787</v>
      </c>
      <c r="C21696" s="6">
        <f>IFERROR(__xludf.DUMMYFUNCTION("""COMPUTED_VALUE"""),0.3088310185194132)</f>
        <v>0.3088310185</v>
      </c>
      <c r="D21696" s="4">
        <f>IFERROR(__xludf.DUMMYFUNCTION("""COMPUTED_VALUE"""),13.035019)</f>
        <v>13.035019</v>
      </c>
      <c r="E21696" s="4">
        <f>IFERROR(__xludf.DUMMYFUNCTION("""COMPUTED_VALUE"""),80.245782)</f>
        <v>80.245782</v>
      </c>
      <c r="F21696" s="4">
        <f>IFERROR(__xludf.DUMMYFUNCTION("""COMPUTED_VALUE"""),5339.0)</f>
        <v>5339</v>
      </c>
      <c r="G21696" s="4">
        <f>IFERROR(__xludf.DUMMYFUNCTION("""COMPUTED_VALUE"""),45.0)</f>
        <v>45</v>
      </c>
      <c r="H21696" s="4"/>
      <c r="I21696" s="4"/>
    </row>
    <row r="21697">
      <c r="A21697" s="4" t="str">
        <f>IFERROR(__xludf.DUMMYFUNCTION("""COMPUTED_VALUE"""),"cas_hmw")</f>
        <v>cas_hmw</v>
      </c>
      <c r="B21697" s="5">
        <f>IFERROR(__xludf.DUMMYFUNCTION("""COMPUTED_VALUE"""),44787.0)</f>
        <v>44787</v>
      </c>
      <c r="C21697" s="6">
        <f>IFERROR(__xludf.DUMMYFUNCTION("""COMPUTED_VALUE"""),0.30884259259255487)</f>
        <v>0.3088425926</v>
      </c>
      <c r="D21697" s="4">
        <f>IFERROR(__xludf.DUMMYFUNCTION("""COMPUTED_VALUE"""),13.035019)</f>
        <v>13.035019</v>
      </c>
      <c r="E21697" s="4">
        <f>IFERROR(__xludf.DUMMYFUNCTION("""COMPUTED_VALUE"""),80.245782)</f>
        <v>80.245782</v>
      </c>
      <c r="F21697" s="4">
        <f>IFERROR(__xludf.DUMMYFUNCTION("""COMPUTED_VALUE"""),5339.0)</f>
        <v>5339</v>
      </c>
      <c r="G21697" s="4">
        <f>IFERROR(__xludf.DUMMYFUNCTION("""COMPUTED_VALUE"""),45.0)</f>
        <v>45</v>
      </c>
      <c r="H21697" s="4"/>
      <c r="I21697" s="4"/>
    </row>
    <row r="21698">
      <c r="A21698" s="4" t="str">
        <f>IFERROR(__xludf.DUMMYFUNCTION("""COMPUTED_VALUE"""),"cas_hmw")</f>
        <v>cas_hmw</v>
      </c>
      <c r="B21698" s="5">
        <f>IFERROR(__xludf.DUMMYFUNCTION("""COMPUTED_VALUE"""),44787.0)</f>
        <v>44787</v>
      </c>
      <c r="C21698" s="6">
        <f>IFERROR(__xludf.DUMMYFUNCTION("""COMPUTED_VALUE"""),0.3089004629619012)</f>
        <v>0.308900463</v>
      </c>
      <c r="D21698" s="4">
        <f>IFERROR(__xludf.DUMMYFUNCTION("""COMPUTED_VALUE"""),13.035019)</f>
        <v>13.035019</v>
      </c>
      <c r="E21698" s="4">
        <f>IFERROR(__xludf.DUMMYFUNCTION("""COMPUTED_VALUE"""),80.245782)</f>
        <v>80.245782</v>
      </c>
      <c r="F21698" s="4">
        <f>IFERROR(__xludf.DUMMYFUNCTION("""COMPUTED_VALUE"""),5339.0)</f>
        <v>5339</v>
      </c>
      <c r="G21698" s="4">
        <f>IFERROR(__xludf.DUMMYFUNCTION("""COMPUTED_VALUE"""),45.0)</f>
        <v>45</v>
      </c>
      <c r="H21698" s="4"/>
      <c r="I21698" s="4"/>
    </row>
    <row r="21699">
      <c r="A21699" s="4" t="str">
        <f>IFERROR(__xludf.DUMMYFUNCTION("""COMPUTED_VALUE"""),"cas_hmw")</f>
        <v>cas_hmw</v>
      </c>
      <c r="B21699" s="5">
        <f>IFERROR(__xludf.DUMMYFUNCTION("""COMPUTED_VALUE"""),44787.0)</f>
        <v>44787</v>
      </c>
      <c r="C21699" s="6">
        <f>IFERROR(__xludf.DUMMYFUNCTION("""COMPUTED_VALUE"""),0.3089699074080272)</f>
        <v>0.3089699074</v>
      </c>
      <c r="D21699" s="4">
        <f>IFERROR(__xludf.DUMMYFUNCTION("""COMPUTED_VALUE"""),13.035019)</f>
        <v>13.035019</v>
      </c>
      <c r="E21699" s="4">
        <f>IFERROR(__xludf.DUMMYFUNCTION("""COMPUTED_VALUE"""),80.245782)</f>
        <v>80.245782</v>
      </c>
      <c r="F21699" s="4">
        <f>IFERROR(__xludf.DUMMYFUNCTION("""COMPUTED_VALUE"""),5339.0)</f>
        <v>5339</v>
      </c>
      <c r="G21699" s="4">
        <f>IFERROR(__xludf.DUMMYFUNCTION("""COMPUTED_VALUE"""),45.0)</f>
        <v>45</v>
      </c>
      <c r="H21699" s="4"/>
      <c r="I21699" s="4"/>
    </row>
    <row r="21700">
      <c r="A21700" s="4" t="str">
        <f>IFERROR(__xludf.DUMMYFUNCTION("""COMPUTED_VALUE"""),"cas_hmw")</f>
        <v>cas_hmw</v>
      </c>
      <c r="B21700" s="5">
        <f>IFERROR(__xludf.DUMMYFUNCTION("""COMPUTED_VALUE"""),44787.0)</f>
        <v>44787</v>
      </c>
      <c r="C21700" s="6">
        <f>IFERROR(__xludf.DUMMYFUNCTION("""COMPUTED_VALUE"""),0.31026620370539604)</f>
        <v>0.3102662037</v>
      </c>
      <c r="D21700" s="4">
        <f>IFERROR(__xludf.DUMMYFUNCTION("""COMPUTED_VALUE"""),13.038923)</f>
        <v>13.038923</v>
      </c>
      <c r="E21700" s="4">
        <f>IFERROR(__xludf.DUMMYFUNCTION("""COMPUTED_VALUE"""),80.246878)</f>
        <v>80.246878</v>
      </c>
      <c r="F21700" s="4">
        <f>IFERROR(__xludf.DUMMYFUNCTION("""COMPUTED_VALUE"""),5339.0)</f>
        <v>5339</v>
      </c>
      <c r="G21700" s="4">
        <f>IFERROR(__xludf.DUMMYFUNCTION("""COMPUTED_VALUE"""),0.0)</f>
        <v>0</v>
      </c>
      <c r="H21700" s="4"/>
      <c r="I21700" s="4"/>
    </row>
    <row r="21701">
      <c r="A21701" s="4" t="str">
        <f>IFERROR(__xludf.DUMMYFUNCTION("""COMPUTED_VALUE"""),"cas_hmw")</f>
        <v>cas_hmw</v>
      </c>
      <c r="B21701" s="5">
        <f>IFERROR(__xludf.DUMMYFUNCTION("""COMPUTED_VALUE"""),44787.0)</f>
        <v>44787</v>
      </c>
      <c r="C21701" s="6">
        <f>IFERROR(__xludf.DUMMYFUNCTION("""COMPUTED_VALUE"""),0.3121643518534256)</f>
        <v>0.3121643519</v>
      </c>
      <c r="D21701" s="4">
        <f>IFERROR(__xludf.DUMMYFUNCTION("""COMPUTED_VALUE"""),13.053409)</f>
        <v>13.053409</v>
      </c>
      <c r="E21701" s="4">
        <f>IFERROR(__xludf.DUMMYFUNCTION("""COMPUTED_VALUE"""),80.252352)</f>
        <v>80.252352</v>
      </c>
      <c r="F21701" s="4">
        <f>IFERROR(__xludf.DUMMYFUNCTION("""COMPUTED_VALUE"""),5339.0)</f>
        <v>5339</v>
      </c>
      <c r="G21701" s="4">
        <f>IFERROR(__xludf.DUMMYFUNCTION("""COMPUTED_VALUE"""),61.0)</f>
        <v>61</v>
      </c>
      <c r="H21701" s="4"/>
      <c r="I21701" s="4"/>
    </row>
    <row r="21702">
      <c r="A21702" s="4" t="str">
        <f>IFERROR(__xludf.DUMMYFUNCTION("""COMPUTED_VALUE"""),"cas_hmw")</f>
        <v>cas_hmw</v>
      </c>
      <c r="B21702" s="5">
        <f>IFERROR(__xludf.DUMMYFUNCTION("""COMPUTED_VALUE"""),44787.0)</f>
        <v>44787</v>
      </c>
      <c r="C21702" s="6">
        <f>IFERROR(__xludf.DUMMYFUNCTION("""COMPUTED_VALUE"""),0.3191550925912452)</f>
        <v>0.3191550926</v>
      </c>
      <c r="D21702" s="4">
        <f>IFERROR(__xludf.DUMMYFUNCTION("""COMPUTED_VALUE"""),13.081832)</f>
        <v>13.081832</v>
      </c>
      <c r="E21702" s="4">
        <f>IFERROR(__xludf.DUMMYFUNCTION("""COMPUTED_VALUE"""),80.276184)</f>
        <v>80.276184</v>
      </c>
      <c r="F21702" s="4">
        <f>IFERROR(__xludf.DUMMYFUNCTION("""COMPUTED_VALUE"""),5339.0)</f>
        <v>5339</v>
      </c>
      <c r="G21702" s="4">
        <f>IFERROR(__xludf.DUMMYFUNCTION("""COMPUTED_VALUE"""),32.0)</f>
        <v>32</v>
      </c>
      <c r="H21702" s="4"/>
      <c r="I21702" s="4"/>
    </row>
    <row r="21703">
      <c r="A21703" s="4" t="str">
        <f>IFERROR(__xludf.DUMMYFUNCTION("""COMPUTED_VALUE"""),"cas_hmw")</f>
        <v>cas_hmw</v>
      </c>
      <c r="B21703" s="5">
        <f>IFERROR(__xludf.DUMMYFUNCTION("""COMPUTED_VALUE"""),44787.0)</f>
        <v>44787</v>
      </c>
      <c r="C21703" s="6">
        <f>IFERROR(__xludf.DUMMYFUNCTION("""COMPUTED_VALUE"""),0.3191898148143082)</f>
        <v>0.3191898148</v>
      </c>
      <c r="D21703" s="4">
        <f>IFERROR(__xludf.DUMMYFUNCTION("""COMPUTED_VALUE"""),13.081948)</f>
        <v>13.081948</v>
      </c>
      <c r="E21703" s="4">
        <f>IFERROR(__xludf.DUMMYFUNCTION("""COMPUTED_VALUE"""),80.277061)</f>
        <v>80.277061</v>
      </c>
      <c r="F21703" s="4">
        <f>IFERROR(__xludf.DUMMYFUNCTION("""COMPUTED_VALUE"""),5339.0)</f>
        <v>5339</v>
      </c>
      <c r="G21703" s="4">
        <f>IFERROR(__xludf.DUMMYFUNCTION("""COMPUTED_VALUE"""),34.0)</f>
        <v>34</v>
      </c>
      <c r="H21703" s="4"/>
      <c r="I21703" s="4"/>
    </row>
    <row r="21704">
      <c r="A21704" s="4" t="str">
        <f>IFERROR(__xludf.DUMMYFUNCTION("""COMPUTED_VALUE"""),"cas_hmw")</f>
        <v>cas_hmw</v>
      </c>
      <c r="B21704" s="5">
        <f>IFERROR(__xludf.DUMMYFUNCTION("""COMPUTED_VALUE"""),44787.0)</f>
        <v>44787</v>
      </c>
      <c r="C21704" s="6">
        <f>IFERROR(__xludf.DUMMYFUNCTION("""COMPUTED_VALUE"""),0.31920138888744987)</f>
        <v>0.3192013889</v>
      </c>
      <c r="D21704" s="4">
        <f>IFERROR(__xludf.DUMMYFUNCTION("""COMPUTED_VALUE"""),13.081948)</f>
        <v>13.081948</v>
      </c>
      <c r="E21704" s="4">
        <f>IFERROR(__xludf.DUMMYFUNCTION("""COMPUTED_VALUE"""),80.277061)</f>
        <v>80.277061</v>
      </c>
      <c r="F21704" s="4">
        <f>IFERROR(__xludf.DUMMYFUNCTION("""COMPUTED_VALUE"""),5339.0)</f>
        <v>5339</v>
      </c>
      <c r="G21704" s="4">
        <f>IFERROR(__xludf.DUMMYFUNCTION("""COMPUTED_VALUE"""),34.0)</f>
        <v>34</v>
      </c>
      <c r="H21704" s="4"/>
      <c r="I21704" s="4"/>
    </row>
    <row r="21705">
      <c r="A21705" s="4" t="str">
        <f>IFERROR(__xludf.DUMMYFUNCTION("""COMPUTED_VALUE"""),"cas_hmw")</f>
        <v>cas_hmw</v>
      </c>
      <c r="B21705" s="5">
        <f>IFERROR(__xludf.DUMMYFUNCTION("""COMPUTED_VALUE"""),44787.0)</f>
        <v>44787</v>
      </c>
      <c r="C21705" s="6">
        <f>IFERROR(__xludf.DUMMYFUNCTION("""COMPUTED_VALUE"""),0.31945601851839456)</f>
        <v>0.3194560185</v>
      </c>
      <c r="D21705" s="4">
        <f>IFERROR(__xludf.DUMMYFUNCTION("""COMPUTED_VALUE"""),13.082157)</f>
        <v>13.082157</v>
      </c>
      <c r="E21705" s="4">
        <f>IFERROR(__xludf.DUMMYFUNCTION("""COMPUTED_VALUE"""),80.278554)</f>
        <v>80.278554</v>
      </c>
      <c r="F21705" s="4">
        <f>IFERROR(__xludf.DUMMYFUNCTION("""COMPUTED_VALUE"""),5339.0)</f>
        <v>5339</v>
      </c>
      <c r="G21705" s="4">
        <f>IFERROR(__xludf.DUMMYFUNCTION("""COMPUTED_VALUE"""),29.0)</f>
        <v>29</v>
      </c>
      <c r="H21705" s="4"/>
      <c r="I21705" s="4"/>
    </row>
    <row r="21706">
      <c r="A21706" s="4" t="str">
        <f>IFERROR(__xludf.DUMMYFUNCTION("""COMPUTED_VALUE"""),"cas_hmw")</f>
        <v>cas_hmw</v>
      </c>
      <c r="B21706" s="5">
        <f>IFERROR(__xludf.DUMMYFUNCTION("""COMPUTED_VALUE"""),44787.0)</f>
        <v>44787</v>
      </c>
      <c r="C21706" s="6">
        <f>IFERROR(__xludf.DUMMYFUNCTION("""COMPUTED_VALUE"""),0.3195833333338669)</f>
        <v>0.3195833333</v>
      </c>
      <c r="D21706" s="4">
        <f>IFERROR(__xludf.DUMMYFUNCTION("""COMPUTED_VALUE"""),13.082199)</f>
        <v>13.082199</v>
      </c>
      <c r="E21706" s="4">
        <f>IFERROR(__xludf.DUMMYFUNCTION("""COMPUTED_VALUE"""),80.279366)</f>
        <v>80.279366</v>
      </c>
      <c r="F21706" s="4">
        <f>IFERROR(__xludf.DUMMYFUNCTION("""COMPUTED_VALUE"""),5339.0)</f>
        <v>5339</v>
      </c>
      <c r="G21706" s="4">
        <f>IFERROR(__xludf.DUMMYFUNCTION("""COMPUTED_VALUE"""),37.0)</f>
        <v>37</v>
      </c>
      <c r="H21706" s="4"/>
      <c r="I21706" s="4"/>
    </row>
    <row r="21707">
      <c r="A21707" s="4" t="str">
        <f>IFERROR(__xludf.DUMMYFUNCTION("""COMPUTED_VALUE"""),"cas_hmw")</f>
        <v>cas_hmw</v>
      </c>
      <c r="B21707" s="5">
        <f>IFERROR(__xludf.DUMMYFUNCTION("""COMPUTED_VALUE"""),44787.0)</f>
        <v>44787</v>
      </c>
      <c r="C21707" s="6">
        <f>IFERROR(__xludf.DUMMYFUNCTION("""COMPUTED_VALUE"""),0.328090277776937)</f>
        <v>0.3280902778</v>
      </c>
      <c r="D21707" s="4">
        <f>IFERROR(__xludf.DUMMYFUNCTION("""COMPUTED_VALUE"""),13.079309)</f>
        <v>13.079309</v>
      </c>
      <c r="E21707" s="4">
        <f>IFERROR(__xludf.DUMMYFUNCTION("""COMPUTED_VALUE"""),80.281877)</f>
        <v>80.281877</v>
      </c>
      <c r="F21707" s="4">
        <f>IFERROR(__xludf.DUMMYFUNCTION("""COMPUTED_VALUE"""),5339.0)</f>
        <v>5339</v>
      </c>
      <c r="G21707" s="4">
        <f>IFERROR(__xludf.DUMMYFUNCTION("""COMPUTED_VALUE"""),0.0)</f>
        <v>0</v>
      </c>
      <c r="H21707" s="4"/>
      <c r="I21707" s="4"/>
    </row>
    <row r="21708">
      <c r="A21708" s="4" t="str">
        <f>IFERROR(__xludf.DUMMYFUNCTION("""COMPUTED_VALUE"""),"cas_hmw")</f>
        <v>cas_hmw</v>
      </c>
      <c r="B21708" s="5">
        <f>IFERROR(__xludf.DUMMYFUNCTION("""COMPUTED_VALUE"""),44787.0)</f>
        <v>44787</v>
      </c>
      <c r="C21708" s="6">
        <f>IFERROR(__xludf.DUMMYFUNCTION("""COMPUTED_VALUE"""),0.48297453703708015)</f>
        <v>0.482974537</v>
      </c>
      <c r="D21708" s="4">
        <f>IFERROR(__xludf.DUMMYFUNCTION("""COMPUTED_VALUE"""),13.080686)</f>
        <v>13.080686</v>
      </c>
      <c r="E21708" s="4">
        <f>IFERROR(__xludf.DUMMYFUNCTION("""COMPUTED_VALUE"""),80.288376)</f>
        <v>80.288376</v>
      </c>
      <c r="F21708" s="4">
        <f>IFERROR(__xludf.DUMMYFUNCTION("""COMPUTED_VALUE"""),5339.0)</f>
        <v>5339</v>
      </c>
      <c r="G21708" s="4">
        <f>IFERROR(__xludf.DUMMYFUNCTION("""COMPUTED_VALUE"""),32.0)</f>
        <v>32</v>
      </c>
      <c r="H21708" s="4"/>
      <c r="I21708" s="4"/>
    </row>
    <row r="21709">
      <c r="A21709" s="4" t="str">
        <f>IFERROR(__xludf.DUMMYFUNCTION("""COMPUTED_VALUE"""),"cas_hmw")</f>
        <v>cas_hmw</v>
      </c>
      <c r="B21709" s="5">
        <f>IFERROR(__xludf.DUMMYFUNCTION("""COMPUTED_VALUE"""),44787.0)</f>
        <v>44787</v>
      </c>
      <c r="C21709" s="6">
        <f>IFERROR(__xludf.DUMMYFUNCTION("""COMPUTED_VALUE"""),0.4829861111102218)</f>
        <v>0.4829861111</v>
      </c>
      <c r="D21709" s="4">
        <f>IFERROR(__xludf.DUMMYFUNCTION("""COMPUTED_VALUE"""),13.080686)</f>
        <v>13.080686</v>
      </c>
      <c r="E21709" s="4">
        <f>IFERROR(__xludf.DUMMYFUNCTION("""COMPUTED_VALUE"""),80.288376)</f>
        <v>80.288376</v>
      </c>
      <c r="F21709" s="4">
        <f>IFERROR(__xludf.DUMMYFUNCTION("""COMPUTED_VALUE"""),5339.0)</f>
        <v>5339</v>
      </c>
      <c r="G21709" s="4">
        <f>IFERROR(__xludf.DUMMYFUNCTION("""COMPUTED_VALUE"""),32.0)</f>
        <v>32</v>
      </c>
      <c r="H21709" s="4"/>
      <c r="I21709" s="4"/>
    </row>
    <row r="21710">
      <c r="A21710" s="4" t="str">
        <f>IFERROR(__xludf.DUMMYFUNCTION("""COMPUTED_VALUE"""),"cas_hmw")</f>
        <v>cas_hmw</v>
      </c>
      <c r="B21710" s="5">
        <f>IFERROR(__xludf.DUMMYFUNCTION("""COMPUTED_VALUE"""),44787.0)</f>
        <v>44787</v>
      </c>
      <c r="C21710" s="6">
        <f>IFERROR(__xludf.DUMMYFUNCTION("""COMPUTED_VALUE"""),0.4831365740756155)</f>
        <v>0.4831365741</v>
      </c>
      <c r="D21710" s="4">
        <f>IFERROR(__xludf.DUMMYFUNCTION("""COMPUTED_VALUE"""),13.080007)</f>
        <v>13.080007</v>
      </c>
      <c r="E21710" s="4">
        <f>IFERROR(__xludf.DUMMYFUNCTION("""COMPUTED_VALUE"""),80.288198)</f>
        <v>80.288198</v>
      </c>
      <c r="F21710" s="4">
        <f>IFERROR(__xludf.DUMMYFUNCTION("""COMPUTED_VALUE"""),5339.0)</f>
        <v>5339</v>
      </c>
      <c r="G21710" s="4">
        <f>IFERROR(__xludf.DUMMYFUNCTION("""COMPUTED_VALUE"""),30.0)</f>
        <v>30</v>
      </c>
      <c r="H21710" s="4"/>
      <c r="I21710" s="4"/>
    </row>
    <row r="21711">
      <c r="A21711" s="4" t="str">
        <f>IFERROR(__xludf.DUMMYFUNCTION("""COMPUTED_VALUE"""),"cas_hmw")</f>
        <v>cas_hmw</v>
      </c>
      <c r="B21711" s="5">
        <f>IFERROR(__xludf.DUMMYFUNCTION("""COMPUTED_VALUE"""),44787.0)</f>
        <v>44787</v>
      </c>
      <c r="C21711" s="6">
        <f>IFERROR(__xludf.DUMMYFUNCTION("""COMPUTED_VALUE"""),0.4834259259259852)</f>
        <v>0.4834259259</v>
      </c>
      <c r="D21711" s="4">
        <f>IFERROR(__xludf.DUMMYFUNCTION("""COMPUTED_VALUE"""),13.076929)</f>
        <v>13.076929</v>
      </c>
      <c r="E21711" s="4">
        <f>IFERROR(__xludf.DUMMYFUNCTION("""COMPUTED_VALUE"""),80.287305)</f>
        <v>80.287305</v>
      </c>
      <c r="F21711" s="4">
        <f>IFERROR(__xludf.DUMMYFUNCTION("""COMPUTED_VALUE"""),5339.0)</f>
        <v>5339</v>
      </c>
      <c r="G21711" s="4">
        <f>IFERROR(__xludf.DUMMYFUNCTION("""COMPUTED_VALUE"""),50.0)</f>
        <v>50</v>
      </c>
      <c r="H21711" s="4"/>
      <c r="I21711" s="4"/>
    </row>
    <row r="21712">
      <c r="A21712" s="4" t="str">
        <f>IFERROR(__xludf.DUMMYFUNCTION("""COMPUTED_VALUE"""),"cas_hmw")</f>
        <v>cas_hmw</v>
      </c>
      <c r="B21712" s="5">
        <f>IFERROR(__xludf.DUMMYFUNCTION("""COMPUTED_VALUE"""),44787.0)</f>
        <v>44787</v>
      </c>
      <c r="C21712" s="6">
        <f>IFERROR(__xludf.DUMMYFUNCTION("""COMPUTED_VALUE"""),0.48351851851839456)</f>
        <v>0.4835185185</v>
      </c>
      <c r="D21712" s="4">
        <f>IFERROR(__xludf.DUMMYFUNCTION("""COMPUTED_VALUE"""),13.076929)</f>
        <v>13.076929</v>
      </c>
      <c r="E21712" s="4">
        <f>IFERROR(__xludf.DUMMYFUNCTION("""COMPUTED_VALUE"""),80.287305)</f>
        <v>80.287305</v>
      </c>
      <c r="F21712" s="4">
        <f>IFERROR(__xludf.DUMMYFUNCTION("""COMPUTED_VALUE"""),5339.0)</f>
        <v>5339</v>
      </c>
      <c r="G21712" s="4">
        <f>IFERROR(__xludf.DUMMYFUNCTION("""COMPUTED_VALUE"""),50.0)</f>
        <v>50</v>
      </c>
      <c r="H21712" s="4"/>
      <c r="I21712" s="4"/>
    </row>
    <row r="21713">
      <c r="A21713" s="4" t="str">
        <f>IFERROR(__xludf.DUMMYFUNCTION("""COMPUTED_VALUE"""),"cas_hmw")</f>
        <v>cas_hmw</v>
      </c>
      <c r="B21713" s="5">
        <f>IFERROR(__xludf.DUMMYFUNCTION("""COMPUTED_VALUE"""),44787.0)</f>
        <v>44787</v>
      </c>
      <c r="C21713" s="6">
        <f>IFERROR(__xludf.DUMMYFUNCTION("""COMPUTED_VALUE"""),0.4836574074070086)</f>
        <v>0.4836574074</v>
      </c>
      <c r="D21713" s="4">
        <f>IFERROR(__xludf.DUMMYFUNCTION("""COMPUTED_VALUE"""),13.075132)</f>
        <v>13.075132</v>
      </c>
      <c r="E21713" s="4">
        <f>IFERROR(__xludf.DUMMYFUNCTION("""COMPUTED_VALUE"""),80.286664)</f>
        <v>80.286664</v>
      </c>
      <c r="F21713" s="4">
        <f>IFERROR(__xludf.DUMMYFUNCTION("""COMPUTED_VALUE"""),5339.0)</f>
        <v>5339</v>
      </c>
      <c r="G21713" s="4">
        <f>IFERROR(__xludf.DUMMYFUNCTION("""COMPUTED_VALUE"""),42.0)</f>
        <v>42</v>
      </c>
      <c r="H21713" s="4"/>
      <c r="I21713" s="4"/>
    </row>
    <row r="21714">
      <c r="A21714" s="4" t="str">
        <f>IFERROR(__xludf.DUMMYFUNCTION("""COMPUTED_VALUE"""),"cas_hmw")</f>
        <v>cas_hmw</v>
      </c>
      <c r="B21714" s="5">
        <f>IFERROR(__xludf.DUMMYFUNCTION("""COMPUTED_VALUE"""),44787.0)</f>
        <v>44787</v>
      </c>
      <c r="C21714" s="6">
        <f>IFERROR(__xludf.DUMMYFUNCTION("""COMPUTED_VALUE"""),0.48366898148015025)</f>
        <v>0.4836689815</v>
      </c>
      <c r="D21714" s="4">
        <f>IFERROR(__xludf.DUMMYFUNCTION("""COMPUTED_VALUE"""),13.075132)</f>
        <v>13.075132</v>
      </c>
      <c r="E21714" s="4">
        <f>IFERROR(__xludf.DUMMYFUNCTION("""COMPUTED_VALUE"""),80.286664)</f>
        <v>80.286664</v>
      </c>
      <c r="F21714" s="4">
        <f>IFERROR(__xludf.DUMMYFUNCTION("""COMPUTED_VALUE"""),5339.0)</f>
        <v>5339</v>
      </c>
      <c r="G21714" s="4">
        <f>IFERROR(__xludf.DUMMYFUNCTION("""COMPUTED_VALUE"""),42.0)</f>
        <v>42</v>
      </c>
      <c r="H21714" s="4"/>
      <c r="I21714" s="4"/>
    </row>
    <row r="21715">
      <c r="A21715" s="4" t="str">
        <f>IFERROR(__xludf.DUMMYFUNCTION("""COMPUTED_VALUE"""),"cas_hmw")</f>
        <v>cas_hmw</v>
      </c>
      <c r="B21715" s="5">
        <f>IFERROR(__xludf.DUMMYFUNCTION("""COMPUTED_VALUE"""),44787.0)</f>
        <v>44787</v>
      </c>
      <c r="C21715" s="6">
        <f>IFERROR(__xludf.DUMMYFUNCTION("""COMPUTED_VALUE"""),0.4836921296300716)</f>
        <v>0.4836921296</v>
      </c>
      <c r="D21715" s="4">
        <f>IFERROR(__xludf.DUMMYFUNCTION("""COMPUTED_VALUE"""),13.075132)</f>
        <v>13.075132</v>
      </c>
      <c r="E21715" s="4">
        <f>IFERROR(__xludf.DUMMYFUNCTION("""COMPUTED_VALUE"""),80.286664)</f>
        <v>80.286664</v>
      </c>
      <c r="F21715" s="4">
        <f>IFERROR(__xludf.DUMMYFUNCTION("""COMPUTED_VALUE"""),5339.0)</f>
        <v>5339</v>
      </c>
      <c r="G21715" s="4">
        <f>IFERROR(__xludf.DUMMYFUNCTION("""COMPUTED_VALUE"""),42.0)</f>
        <v>42</v>
      </c>
      <c r="H21715" s="4"/>
      <c r="I21715" s="4"/>
    </row>
    <row r="21716">
      <c r="A21716" s="4" t="str">
        <f>IFERROR(__xludf.DUMMYFUNCTION("""COMPUTED_VALUE"""),"cas_hmw")</f>
        <v>cas_hmw</v>
      </c>
      <c r="B21716" s="5">
        <f>IFERROR(__xludf.DUMMYFUNCTION("""COMPUTED_VALUE"""),44787.0)</f>
        <v>44787</v>
      </c>
      <c r="C21716" s="6">
        <f>IFERROR(__xludf.DUMMYFUNCTION("""COMPUTED_VALUE"""),0.48392361111109494)</f>
        <v>0.4839236111</v>
      </c>
      <c r="D21716" s="4">
        <f>IFERROR(__xludf.DUMMYFUNCTION("""COMPUTED_VALUE"""),13.074034)</f>
        <v>13.074034</v>
      </c>
      <c r="E21716" s="4">
        <f>IFERROR(__xludf.DUMMYFUNCTION("""COMPUTED_VALUE"""),80.286098)</f>
        <v>80.286098</v>
      </c>
      <c r="F21716" s="4">
        <f>IFERROR(__xludf.DUMMYFUNCTION("""COMPUTED_VALUE"""),5339.0)</f>
        <v>5339</v>
      </c>
      <c r="G21716" s="4">
        <f>IFERROR(__xludf.DUMMYFUNCTION("""COMPUTED_VALUE"""),32.0)</f>
        <v>32</v>
      </c>
      <c r="H21716" s="4"/>
      <c r="I21716" s="4"/>
    </row>
    <row r="21717">
      <c r="A21717" s="4" t="str">
        <f>IFERROR(__xludf.DUMMYFUNCTION("""COMPUTED_VALUE"""),"cas_hmw")</f>
        <v>cas_hmw</v>
      </c>
      <c r="B21717" s="5">
        <f>IFERROR(__xludf.DUMMYFUNCTION("""COMPUTED_VALUE"""),44787.0)</f>
        <v>44787</v>
      </c>
      <c r="C21717" s="6">
        <f>IFERROR(__xludf.DUMMYFUNCTION("""COMPUTED_VALUE"""),0.48399305555722094)</f>
        <v>0.4839930556</v>
      </c>
      <c r="D21717" s="4">
        <f>IFERROR(__xludf.DUMMYFUNCTION("""COMPUTED_VALUE"""),13.072916)</f>
        <v>13.072916</v>
      </c>
      <c r="E21717" s="4">
        <f>IFERROR(__xludf.DUMMYFUNCTION("""COMPUTED_VALUE"""),80.285744)</f>
        <v>80.285744</v>
      </c>
      <c r="F21717" s="4">
        <f>IFERROR(__xludf.DUMMYFUNCTION("""COMPUTED_VALUE"""),5339.0)</f>
        <v>5339</v>
      </c>
      <c r="G21717" s="4">
        <f>IFERROR(__xludf.DUMMYFUNCTION("""COMPUTED_VALUE"""),33.0)</f>
        <v>33</v>
      </c>
      <c r="H21717" s="4"/>
      <c r="I21717" s="4"/>
    </row>
    <row r="21718">
      <c r="A21718" s="4" t="str">
        <f>IFERROR(__xludf.DUMMYFUNCTION("""COMPUTED_VALUE"""),"cas_hmw")</f>
        <v>cas_hmw</v>
      </c>
      <c r="B21718" s="5">
        <f>IFERROR(__xludf.DUMMYFUNCTION("""COMPUTED_VALUE"""),44787.0)</f>
        <v>44787</v>
      </c>
      <c r="C21718" s="6">
        <f>IFERROR(__xludf.DUMMYFUNCTION("""COMPUTED_VALUE"""),0.48468750000029104)</f>
        <v>0.4846875</v>
      </c>
      <c r="D21718" s="4">
        <f>IFERROR(__xludf.DUMMYFUNCTION("""COMPUTED_VALUE"""),13.067836)</f>
        <v>13.067836</v>
      </c>
      <c r="E21718" s="4">
        <f>IFERROR(__xludf.DUMMYFUNCTION("""COMPUTED_VALUE"""),80.284368)</f>
        <v>80.284368</v>
      </c>
      <c r="F21718" s="4">
        <f>IFERROR(__xludf.DUMMYFUNCTION("""COMPUTED_VALUE"""),5339.0)</f>
        <v>5339</v>
      </c>
      <c r="G21718" s="4">
        <f>IFERROR(__xludf.DUMMYFUNCTION("""COMPUTED_VALUE"""),28.0)</f>
        <v>28</v>
      </c>
      <c r="H21718" s="4"/>
      <c r="I21718" s="4"/>
    </row>
    <row r="21719">
      <c r="A21719" s="4" t="str">
        <f>IFERROR(__xludf.DUMMYFUNCTION("""COMPUTED_VALUE"""),"cas_hmw")</f>
        <v>cas_hmw</v>
      </c>
      <c r="B21719" s="5">
        <f>IFERROR(__xludf.DUMMYFUNCTION("""COMPUTED_VALUE"""),44787.0)</f>
        <v>44787</v>
      </c>
      <c r="C21719" s="6">
        <f>IFERROR(__xludf.DUMMYFUNCTION("""COMPUTED_VALUE"""),0.486817129629344)</f>
        <v>0.4868171296</v>
      </c>
      <c r="D21719" s="4">
        <f>IFERROR(__xludf.DUMMYFUNCTION("""COMPUTED_VALUE"""),13.04854)</f>
        <v>13.04854</v>
      </c>
      <c r="E21719" s="4">
        <f>IFERROR(__xludf.DUMMYFUNCTION("""COMPUTED_VALUE"""),80.280551)</f>
        <v>80.280551</v>
      </c>
      <c r="F21719" s="4">
        <f>IFERROR(__xludf.DUMMYFUNCTION("""COMPUTED_VALUE"""),5339.0)</f>
        <v>5339</v>
      </c>
      <c r="G21719" s="4">
        <f>IFERROR(__xludf.DUMMYFUNCTION("""COMPUTED_VALUE"""),46.0)</f>
        <v>46</v>
      </c>
      <c r="H21719" s="4"/>
      <c r="I21719" s="4"/>
    </row>
    <row r="21720">
      <c r="A21720" s="4" t="str">
        <f>IFERROR(__xludf.DUMMYFUNCTION("""COMPUTED_VALUE"""),"cas_hmw")</f>
        <v>cas_hmw</v>
      </c>
      <c r="B21720" s="5">
        <f>IFERROR(__xludf.DUMMYFUNCTION("""COMPUTED_VALUE"""),44787.0)</f>
        <v>44787</v>
      </c>
      <c r="C21720" s="6">
        <f>IFERROR(__xludf.DUMMYFUNCTION("""COMPUTED_VALUE"""),0.48810185185357113)</f>
        <v>0.4881018519</v>
      </c>
      <c r="D21720" s="4">
        <f>IFERROR(__xludf.DUMMYFUNCTION("""COMPUTED_VALUE"""),13.039984)</f>
        <v>13.039984</v>
      </c>
      <c r="E21720" s="4">
        <f>IFERROR(__xludf.DUMMYFUNCTION("""COMPUTED_VALUE"""),80.279148)</f>
        <v>80.279148</v>
      </c>
      <c r="F21720" s="4">
        <f>IFERROR(__xludf.DUMMYFUNCTION("""COMPUTED_VALUE"""),5339.0)</f>
        <v>5339</v>
      </c>
      <c r="G21720" s="4">
        <f>IFERROR(__xludf.DUMMYFUNCTION("""COMPUTED_VALUE"""),43.0)</f>
        <v>43</v>
      </c>
      <c r="H21720" s="4"/>
      <c r="I21720" s="4"/>
    </row>
    <row r="21721">
      <c r="A21721" s="4" t="str">
        <f>IFERROR(__xludf.DUMMYFUNCTION("""COMPUTED_VALUE"""),"cas_hmw")</f>
        <v>cas_hmw</v>
      </c>
      <c r="B21721" s="5">
        <f>IFERROR(__xludf.DUMMYFUNCTION("""COMPUTED_VALUE"""),44787.0)</f>
        <v>44787</v>
      </c>
      <c r="C21721" s="6">
        <f>IFERROR(__xludf.DUMMYFUNCTION("""COMPUTED_VALUE"""),0.48824074074218515)</f>
        <v>0.4882407407</v>
      </c>
      <c r="D21721" s="4">
        <f>IFERROR(__xludf.DUMMYFUNCTION("""COMPUTED_VALUE"""),13.038546)</f>
        <v>13.038546</v>
      </c>
      <c r="E21721" s="4">
        <f>IFERROR(__xludf.DUMMYFUNCTION("""COMPUTED_VALUE"""),80.278672)</f>
        <v>80.278672</v>
      </c>
      <c r="F21721" s="4">
        <f>IFERROR(__xludf.DUMMYFUNCTION("""COMPUTED_VALUE"""),5339.0)</f>
        <v>5339</v>
      </c>
      <c r="G21721" s="4">
        <f>IFERROR(__xludf.DUMMYFUNCTION("""COMPUTED_VALUE"""),33.0)</f>
        <v>33</v>
      </c>
      <c r="H21721" s="4"/>
      <c r="I21721" s="4"/>
    </row>
    <row r="21722">
      <c r="A21722" s="4" t="str">
        <f>IFERROR(__xludf.DUMMYFUNCTION("""COMPUTED_VALUE"""),"cas_hmw")</f>
        <v>cas_hmw</v>
      </c>
      <c r="B21722" s="5">
        <f>IFERROR(__xludf.DUMMYFUNCTION("""COMPUTED_VALUE"""),44787.0)</f>
        <v>44787</v>
      </c>
      <c r="C21722" s="6">
        <f>IFERROR(__xludf.DUMMYFUNCTION("""COMPUTED_VALUE"""),0.48932870370481396)</f>
        <v>0.4893287037</v>
      </c>
      <c r="D21722" s="4">
        <f>IFERROR(__xludf.DUMMYFUNCTION("""COMPUTED_VALUE"""),13.032411)</f>
        <v>13.032411</v>
      </c>
      <c r="E21722" s="4">
        <f>IFERROR(__xludf.DUMMYFUNCTION("""COMPUTED_VALUE"""),80.277525)</f>
        <v>80.277525</v>
      </c>
      <c r="F21722" s="4">
        <f>IFERROR(__xludf.DUMMYFUNCTION("""COMPUTED_VALUE"""),5339.0)</f>
        <v>5339</v>
      </c>
      <c r="G21722" s="4">
        <f>IFERROR(__xludf.DUMMYFUNCTION("""COMPUTED_VALUE"""),24.0)</f>
        <v>24</v>
      </c>
      <c r="H21722" s="4"/>
      <c r="I21722" s="4"/>
    </row>
    <row r="21723">
      <c r="A21723" s="4" t="str">
        <f>IFERROR(__xludf.DUMMYFUNCTION("""COMPUTED_VALUE"""),"cas_hmw")</f>
        <v>cas_hmw</v>
      </c>
      <c r="B21723" s="5">
        <f>IFERROR(__xludf.DUMMYFUNCTION("""COMPUTED_VALUE"""),44787.0)</f>
        <v>44787</v>
      </c>
      <c r="C21723" s="6">
        <f>IFERROR(__xludf.DUMMYFUNCTION("""COMPUTED_VALUE"""),0.4895254629627743)</f>
        <v>0.489525463</v>
      </c>
      <c r="D21723" s="4">
        <f>IFERROR(__xludf.DUMMYFUNCTION("""COMPUTED_VALUE"""),13.030748)</f>
        <v>13.030748</v>
      </c>
      <c r="E21723" s="4">
        <f>IFERROR(__xludf.DUMMYFUNCTION("""COMPUTED_VALUE"""),80.277206)</f>
        <v>80.277206</v>
      </c>
      <c r="F21723" s="4">
        <f>IFERROR(__xludf.DUMMYFUNCTION("""COMPUTED_VALUE"""),5339.0)</f>
        <v>5339</v>
      </c>
      <c r="G21723" s="4">
        <f>IFERROR(__xludf.DUMMYFUNCTION("""COMPUTED_VALUE"""),32.0)</f>
        <v>32</v>
      </c>
      <c r="H21723" s="4"/>
      <c r="I21723" s="4"/>
    </row>
    <row r="21724">
      <c r="A21724" s="4" t="str">
        <f>IFERROR(__xludf.DUMMYFUNCTION("""COMPUTED_VALUE"""),"cas_hmw")</f>
        <v>cas_hmw</v>
      </c>
      <c r="B21724" s="5">
        <f>IFERROR(__xludf.DUMMYFUNCTION("""COMPUTED_VALUE"""),44787.0)</f>
        <v>44787</v>
      </c>
      <c r="C21724" s="6">
        <f>IFERROR(__xludf.DUMMYFUNCTION("""COMPUTED_VALUE"""),0.4895254629627743)</f>
        <v>0.489525463</v>
      </c>
      <c r="D21724" s="4">
        <f>IFERROR(__xludf.DUMMYFUNCTION("""COMPUTED_VALUE"""),13.030748)</f>
        <v>13.030748</v>
      </c>
      <c r="E21724" s="4">
        <f>IFERROR(__xludf.DUMMYFUNCTION("""COMPUTED_VALUE"""),80.277206)</f>
        <v>80.277206</v>
      </c>
      <c r="F21724" s="4">
        <f>IFERROR(__xludf.DUMMYFUNCTION("""COMPUTED_VALUE"""),5339.0)</f>
        <v>5339</v>
      </c>
      <c r="G21724" s="4">
        <f>IFERROR(__xludf.DUMMYFUNCTION("""COMPUTED_VALUE"""),32.0)</f>
        <v>32</v>
      </c>
      <c r="H21724" s="4"/>
      <c r="I21724" s="4"/>
    </row>
    <row r="21725">
      <c r="A21725" s="4" t="str">
        <f>IFERROR(__xludf.DUMMYFUNCTION("""COMPUTED_VALUE"""),"cas_hmw")</f>
        <v>cas_hmw</v>
      </c>
      <c r="B21725" s="5">
        <f>IFERROR(__xludf.DUMMYFUNCTION("""COMPUTED_VALUE"""),44787.0)</f>
        <v>44787</v>
      </c>
      <c r="C21725" s="6">
        <f>IFERROR(__xludf.DUMMYFUNCTION("""COMPUTED_VALUE"""),0.4902662037020491)</f>
        <v>0.4902662037</v>
      </c>
      <c r="D21725" s="4">
        <f>IFERROR(__xludf.DUMMYFUNCTION("""COMPUTED_VALUE"""),13.025849)</f>
        <v>13.025849</v>
      </c>
      <c r="E21725" s="4">
        <f>IFERROR(__xludf.DUMMYFUNCTION("""COMPUTED_VALUE"""),80.2752)</f>
        <v>80.2752</v>
      </c>
      <c r="F21725" s="4">
        <f>IFERROR(__xludf.DUMMYFUNCTION("""COMPUTED_VALUE"""),5339.0)</f>
        <v>5339</v>
      </c>
      <c r="G21725" s="4">
        <f>IFERROR(__xludf.DUMMYFUNCTION("""COMPUTED_VALUE"""),37.0)</f>
        <v>37</v>
      </c>
      <c r="H21725" s="4"/>
      <c r="I21725" s="4"/>
    </row>
    <row r="21726">
      <c r="A21726" s="4" t="str">
        <f>IFERROR(__xludf.DUMMYFUNCTION("""COMPUTED_VALUE"""),"cas_hmw")</f>
        <v>cas_hmw</v>
      </c>
      <c r="B21726" s="5">
        <f>IFERROR(__xludf.DUMMYFUNCTION("""COMPUTED_VALUE"""),44787.0)</f>
        <v>44787</v>
      </c>
      <c r="C21726" s="6">
        <f>IFERROR(__xludf.DUMMYFUNCTION("""COMPUTED_VALUE"""),0.4912037037029222)</f>
        <v>0.4912037037</v>
      </c>
      <c r="D21726" s="4">
        <f>IFERROR(__xludf.DUMMYFUNCTION("""COMPUTED_VALUE"""),13.023994)</f>
        <v>13.023994</v>
      </c>
      <c r="E21726" s="4">
        <f>IFERROR(__xludf.DUMMYFUNCTION("""COMPUTED_VALUE"""),80.273913)</f>
        <v>80.273913</v>
      </c>
      <c r="F21726" s="4">
        <f>IFERROR(__xludf.DUMMYFUNCTION("""COMPUTED_VALUE"""),5339.0)</f>
        <v>5339</v>
      </c>
      <c r="G21726" s="4">
        <f>IFERROR(__xludf.DUMMYFUNCTION("""COMPUTED_VALUE"""),24.0)</f>
        <v>24</v>
      </c>
      <c r="H21726" s="4"/>
      <c r="I21726" s="4"/>
    </row>
    <row r="21727">
      <c r="A21727" s="4" t="str">
        <f>IFERROR(__xludf.DUMMYFUNCTION("""COMPUTED_VALUE"""),"cas_hmw")</f>
        <v>cas_hmw</v>
      </c>
      <c r="B21727" s="5">
        <f>IFERROR(__xludf.DUMMYFUNCTION("""COMPUTED_VALUE"""),44787.0)</f>
        <v>44787</v>
      </c>
      <c r="C21727" s="6">
        <f>IFERROR(__xludf.DUMMYFUNCTION("""COMPUTED_VALUE"""),0.49162037036876427)</f>
        <v>0.4916203704</v>
      </c>
      <c r="D21727" s="4">
        <f>IFERROR(__xludf.DUMMYFUNCTION("""COMPUTED_VALUE"""),13.021569)</f>
        <v>13.021569</v>
      </c>
      <c r="E21727" s="4">
        <f>IFERROR(__xludf.DUMMYFUNCTION("""COMPUTED_VALUE"""),80.270718)</f>
        <v>80.270718</v>
      </c>
      <c r="F21727" s="4">
        <f>IFERROR(__xludf.DUMMYFUNCTION("""COMPUTED_VALUE"""),5339.0)</f>
        <v>5339</v>
      </c>
      <c r="G21727" s="4">
        <f>IFERROR(__xludf.DUMMYFUNCTION("""COMPUTED_VALUE"""),37.0)</f>
        <v>37</v>
      </c>
      <c r="H21727" s="4"/>
      <c r="I21727" s="4"/>
    </row>
    <row r="21728">
      <c r="A21728" s="4" t="str">
        <f>IFERROR(__xludf.DUMMYFUNCTION("""COMPUTED_VALUE"""),"cas_hmw")</f>
        <v>cas_hmw</v>
      </c>
      <c r="B21728" s="5">
        <f>IFERROR(__xludf.DUMMYFUNCTION("""COMPUTED_VALUE"""),44787.0)</f>
        <v>44787</v>
      </c>
      <c r="C21728" s="6">
        <f>IFERROR(__xludf.DUMMYFUNCTION("""COMPUTED_VALUE"""),0.49180555555722094)</f>
        <v>0.4918055556</v>
      </c>
      <c r="D21728" s="4">
        <f>IFERROR(__xludf.DUMMYFUNCTION("""COMPUTED_VALUE"""),13.020576)</f>
        <v>13.020576</v>
      </c>
      <c r="E21728" s="4">
        <f>IFERROR(__xludf.DUMMYFUNCTION("""COMPUTED_VALUE"""),80.269504)</f>
        <v>80.269504</v>
      </c>
      <c r="F21728" s="4">
        <f>IFERROR(__xludf.DUMMYFUNCTION("""COMPUTED_VALUE"""),5339.0)</f>
        <v>5339</v>
      </c>
      <c r="G21728" s="4">
        <f>IFERROR(__xludf.DUMMYFUNCTION("""COMPUTED_VALUE"""),23.0)</f>
        <v>23</v>
      </c>
      <c r="H21728" s="4"/>
      <c r="I21728" s="4"/>
    </row>
    <row r="21729">
      <c r="A21729" s="4" t="str">
        <f>IFERROR(__xludf.DUMMYFUNCTION("""COMPUTED_VALUE"""),"cas_hmw")</f>
        <v>cas_hmw</v>
      </c>
      <c r="B21729" s="5">
        <f>IFERROR(__xludf.DUMMYFUNCTION("""COMPUTED_VALUE"""),44787.0)</f>
        <v>44787</v>
      </c>
      <c r="C21729" s="6">
        <f>IFERROR(__xludf.DUMMYFUNCTION("""COMPUTED_VALUE"""),0.49230324074233067)</f>
        <v>0.4923032407</v>
      </c>
      <c r="D21729" s="4">
        <f>IFERROR(__xludf.DUMMYFUNCTION("""COMPUTED_VALUE"""),13.01884)</f>
        <v>13.01884</v>
      </c>
      <c r="E21729" s="4">
        <f>IFERROR(__xludf.DUMMYFUNCTION("""COMPUTED_VALUE"""),80.267382)</f>
        <v>80.267382</v>
      </c>
      <c r="F21729" s="4">
        <f>IFERROR(__xludf.DUMMYFUNCTION("""COMPUTED_VALUE"""),5339.0)</f>
        <v>5339</v>
      </c>
      <c r="G21729" s="4">
        <f>IFERROR(__xludf.DUMMYFUNCTION("""COMPUTED_VALUE"""),26.0)</f>
        <v>26</v>
      </c>
      <c r="H21729" s="4"/>
      <c r="I21729" s="4"/>
    </row>
    <row r="21730">
      <c r="A21730" s="4" t="str">
        <f>IFERROR(__xludf.DUMMYFUNCTION("""COMPUTED_VALUE"""),"cas_hmw")</f>
        <v>cas_hmw</v>
      </c>
      <c r="B21730" s="5">
        <f>IFERROR(__xludf.DUMMYFUNCTION("""COMPUTED_VALUE"""),44787.0)</f>
        <v>44787</v>
      </c>
      <c r="C21730" s="6">
        <f>IFERROR(__xludf.DUMMYFUNCTION("""COMPUTED_VALUE"""),0.49231481481547235)</f>
        <v>0.4923148148</v>
      </c>
      <c r="D21730" s="4">
        <f>IFERROR(__xludf.DUMMYFUNCTION("""COMPUTED_VALUE"""),13.01884)</f>
        <v>13.01884</v>
      </c>
      <c r="E21730" s="4">
        <f>IFERROR(__xludf.DUMMYFUNCTION("""COMPUTED_VALUE"""),80.267382)</f>
        <v>80.267382</v>
      </c>
      <c r="F21730" s="4">
        <f>IFERROR(__xludf.DUMMYFUNCTION("""COMPUTED_VALUE"""),5339.0)</f>
        <v>5339</v>
      </c>
      <c r="G21730" s="4">
        <f>IFERROR(__xludf.DUMMYFUNCTION("""COMPUTED_VALUE"""),26.0)</f>
        <v>26</v>
      </c>
      <c r="H21730" s="4"/>
      <c r="I21730" s="4"/>
    </row>
    <row r="21731">
      <c r="A21731" s="4" t="str">
        <f>IFERROR(__xludf.DUMMYFUNCTION("""COMPUTED_VALUE"""),"cas_hmw")</f>
        <v>cas_hmw</v>
      </c>
      <c r="B21731" s="5">
        <f>IFERROR(__xludf.DUMMYFUNCTION("""COMPUTED_VALUE"""),44787.0)</f>
        <v>44787</v>
      </c>
      <c r="C21731" s="6">
        <f>IFERROR(__xludf.DUMMYFUNCTION("""COMPUTED_VALUE"""),0.49231481481547235)</f>
        <v>0.4923148148</v>
      </c>
      <c r="D21731" s="4">
        <f>IFERROR(__xludf.DUMMYFUNCTION("""COMPUTED_VALUE"""),13.01884)</f>
        <v>13.01884</v>
      </c>
      <c r="E21731" s="4">
        <f>IFERROR(__xludf.DUMMYFUNCTION("""COMPUTED_VALUE"""),80.267382)</f>
        <v>80.267382</v>
      </c>
      <c r="F21731" s="4">
        <f>IFERROR(__xludf.DUMMYFUNCTION("""COMPUTED_VALUE"""),5339.0)</f>
        <v>5339</v>
      </c>
      <c r="G21731" s="4">
        <f>IFERROR(__xludf.DUMMYFUNCTION("""COMPUTED_VALUE"""),26.0)</f>
        <v>26</v>
      </c>
      <c r="H21731" s="4"/>
      <c r="I21731" s="4"/>
    </row>
    <row r="21732">
      <c r="A21732" s="4" t="str">
        <f>IFERROR(__xludf.DUMMYFUNCTION("""COMPUTED_VALUE"""),"cas_hmw")</f>
        <v>cas_hmw</v>
      </c>
      <c r="B21732" s="5">
        <f>IFERROR(__xludf.DUMMYFUNCTION("""COMPUTED_VALUE"""),44787.0)</f>
        <v>44787</v>
      </c>
      <c r="C21732" s="6">
        <f>IFERROR(__xludf.DUMMYFUNCTION("""COMPUTED_VALUE"""),0.4923379629617557)</f>
        <v>0.492337963</v>
      </c>
      <c r="D21732" s="4">
        <f>IFERROR(__xludf.DUMMYFUNCTION("""COMPUTED_VALUE"""),13.01884)</f>
        <v>13.01884</v>
      </c>
      <c r="E21732" s="4">
        <f>IFERROR(__xludf.DUMMYFUNCTION("""COMPUTED_VALUE"""),80.267382)</f>
        <v>80.267382</v>
      </c>
      <c r="F21732" s="4">
        <f>IFERROR(__xludf.DUMMYFUNCTION("""COMPUTED_VALUE"""),5339.0)</f>
        <v>5339</v>
      </c>
      <c r="G21732" s="4">
        <f>IFERROR(__xludf.DUMMYFUNCTION("""COMPUTED_VALUE"""),26.0)</f>
        <v>26</v>
      </c>
      <c r="H21732" s="4"/>
      <c r="I21732" s="4"/>
    </row>
    <row r="21733">
      <c r="A21733" s="4" t="str">
        <f>IFERROR(__xludf.DUMMYFUNCTION("""COMPUTED_VALUE"""),"cas_hmw")</f>
        <v>cas_hmw</v>
      </c>
      <c r="B21733" s="5">
        <f>IFERROR(__xludf.DUMMYFUNCTION("""COMPUTED_VALUE"""),44787.0)</f>
        <v>44787</v>
      </c>
      <c r="C21733" s="6">
        <f>IFERROR(__xludf.DUMMYFUNCTION("""COMPUTED_VALUE"""),0.4923726851848187)</f>
        <v>0.4923726852</v>
      </c>
      <c r="D21733" s="4">
        <f>IFERROR(__xludf.DUMMYFUNCTION("""COMPUTED_VALUE"""),13.01884)</f>
        <v>13.01884</v>
      </c>
      <c r="E21733" s="4">
        <f>IFERROR(__xludf.DUMMYFUNCTION("""COMPUTED_VALUE"""),80.267382)</f>
        <v>80.267382</v>
      </c>
      <c r="F21733" s="4">
        <f>IFERROR(__xludf.DUMMYFUNCTION("""COMPUTED_VALUE"""),5339.0)</f>
        <v>5339</v>
      </c>
      <c r="G21733" s="4">
        <f>IFERROR(__xludf.DUMMYFUNCTION("""COMPUTED_VALUE"""),26.0)</f>
        <v>26</v>
      </c>
      <c r="H21733" s="4"/>
      <c r="I21733" s="4"/>
    </row>
    <row r="21734">
      <c r="A21734" s="4" t="str">
        <f>IFERROR(__xludf.DUMMYFUNCTION("""COMPUTED_VALUE"""),"cas_hmw")</f>
        <v>cas_hmw</v>
      </c>
      <c r="B21734" s="5">
        <f>IFERROR(__xludf.DUMMYFUNCTION("""COMPUTED_VALUE"""),44787.0)</f>
        <v>44787</v>
      </c>
      <c r="C21734" s="6">
        <f>IFERROR(__xludf.DUMMYFUNCTION("""COMPUTED_VALUE"""),0.49248842592714936)</f>
        <v>0.4924884259</v>
      </c>
      <c r="D21734" s="4">
        <f>IFERROR(__xludf.DUMMYFUNCTION("""COMPUTED_VALUE"""),13.018636)</f>
        <v>13.018636</v>
      </c>
      <c r="E21734" s="4">
        <f>IFERROR(__xludf.DUMMYFUNCTION("""COMPUTED_VALUE"""),80.266684)</f>
        <v>80.266684</v>
      </c>
      <c r="F21734" s="4">
        <f>IFERROR(__xludf.DUMMYFUNCTION("""COMPUTED_VALUE"""),5339.0)</f>
        <v>5339</v>
      </c>
      <c r="G21734" s="4">
        <f>IFERROR(__xludf.DUMMYFUNCTION("""COMPUTED_VALUE"""),29.0)</f>
        <v>29</v>
      </c>
      <c r="H21734" s="4"/>
      <c r="I21734" s="4"/>
    </row>
    <row r="21735">
      <c r="A21735" s="4" t="str">
        <f>IFERROR(__xludf.DUMMYFUNCTION("""COMPUTED_VALUE"""),"cas_hmw")</f>
        <v>cas_hmw</v>
      </c>
      <c r="B21735" s="5">
        <f>IFERROR(__xludf.DUMMYFUNCTION("""COMPUTED_VALUE"""),44787.0)</f>
        <v>44787</v>
      </c>
      <c r="C21735" s="6">
        <f>IFERROR(__xludf.DUMMYFUNCTION("""COMPUTED_VALUE"""),0.49250000000029104)</f>
        <v>0.4925</v>
      </c>
      <c r="D21735" s="4">
        <f>IFERROR(__xludf.DUMMYFUNCTION("""COMPUTED_VALUE"""),13.018636)</f>
        <v>13.018636</v>
      </c>
      <c r="E21735" s="4">
        <f>IFERROR(__xludf.DUMMYFUNCTION("""COMPUTED_VALUE"""),80.266684)</f>
        <v>80.266684</v>
      </c>
      <c r="F21735" s="4">
        <f>IFERROR(__xludf.DUMMYFUNCTION("""COMPUTED_VALUE"""),5339.0)</f>
        <v>5339</v>
      </c>
      <c r="G21735" s="4">
        <f>IFERROR(__xludf.DUMMYFUNCTION("""COMPUTED_VALUE"""),29.0)</f>
        <v>29</v>
      </c>
      <c r="H21735" s="4"/>
      <c r="I21735" s="4"/>
    </row>
    <row r="21736">
      <c r="A21736" s="4" t="str">
        <f>IFERROR(__xludf.DUMMYFUNCTION("""COMPUTED_VALUE"""),"cas_hmw")</f>
        <v>cas_hmw</v>
      </c>
      <c r="B21736" s="5">
        <f>IFERROR(__xludf.DUMMYFUNCTION("""COMPUTED_VALUE"""),44787.0)</f>
        <v>44787</v>
      </c>
      <c r="C21736" s="6">
        <f>IFERROR(__xludf.DUMMYFUNCTION("""COMPUTED_VALUE"""),0.4925115740734327)</f>
        <v>0.4925115741</v>
      </c>
      <c r="D21736" s="4">
        <f>IFERROR(__xludf.DUMMYFUNCTION("""COMPUTED_VALUE"""),13.018613)</f>
        <v>13.018613</v>
      </c>
      <c r="E21736" s="4">
        <f>IFERROR(__xludf.DUMMYFUNCTION("""COMPUTED_VALUE"""),80.265881)</f>
        <v>80.265881</v>
      </c>
      <c r="F21736" s="4">
        <f>IFERROR(__xludf.DUMMYFUNCTION("""COMPUTED_VALUE"""),5339.0)</f>
        <v>5339</v>
      </c>
      <c r="G21736" s="4">
        <f>IFERROR(__xludf.DUMMYFUNCTION("""COMPUTED_VALUE"""),27.0)</f>
        <v>27</v>
      </c>
      <c r="H21736" s="4"/>
      <c r="I21736" s="4"/>
    </row>
    <row r="21737">
      <c r="A21737" s="4" t="str">
        <f>IFERROR(__xludf.DUMMYFUNCTION("""COMPUTED_VALUE"""),"cas_hmw")</f>
        <v>cas_hmw</v>
      </c>
      <c r="B21737" s="5">
        <f>IFERROR(__xludf.DUMMYFUNCTION("""COMPUTED_VALUE"""),44787.0)</f>
        <v>44787</v>
      </c>
      <c r="C21737" s="6">
        <f>IFERROR(__xludf.DUMMYFUNCTION("""COMPUTED_VALUE"""),0.49299768518540077)</f>
        <v>0.4929976852</v>
      </c>
      <c r="D21737" s="4">
        <f>IFERROR(__xludf.DUMMYFUNCTION("""COMPUTED_VALUE"""),13.018918)</f>
        <v>13.018918</v>
      </c>
      <c r="E21737" s="4">
        <f>IFERROR(__xludf.DUMMYFUNCTION("""COMPUTED_VALUE"""),80.262947)</f>
        <v>80.262947</v>
      </c>
      <c r="F21737" s="4">
        <f>IFERROR(__xludf.DUMMYFUNCTION("""COMPUTED_VALUE"""),5339.0)</f>
        <v>5339</v>
      </c>
      <c r="G21737" s="4">
        <f>IFERROR(__xludf.DUMMYFUNCTION("""COMPUTED_VALUE"""),25.0)</f>
        <v>25</v>
      </c>
      <c r="H21737" s="4"/>
      <c r="I21737" s="4"/>
    </row>
    <row r="21738">
      <c r="A21738" s="4" t="str">
        <f>IFERROR(__xludf.DUMMYFUNCTION("""COMPUTED_VALUE"""),"cas_hmw")</f>
        <v>cas_hmw</v>
      </c>
      <c r="B21738" s="5">
        <f>IFERROR(__xludf.DUMMYFUNCTION("""COMPUTED_VALUE"""),44787.0)</f>
        <v>44787</v>
      </c>
      <c r="C21738" s="6">
        <f>IFERROR(__xludf.DUMMYFUNCTION("""COMPUTED_VALUE"""),0.4934953703705105)</f>
        <v>0.4934953704</v>
      </c>
      <c r="D21738" s="4">
        <f>IFERROR(__xludf.DUMMYFUNCTION("""COMPUTED_VALUE"""),13.017778)</f>
        <v>13.017778</v>
      </c>
      <c r="E21738" s="4">
        <f>IFERROR(__xludf.DUMMYFUNCTION("""COMPUTED_VALUE"""),80.260725)</f>
        <v>80.260725</v>
      </c>
      <c r="F21738" s="4">
        <f>IFERROR(__xludf.DUMMYFUNCTION("""COMPUTED_VALUE"""),5339.0)</f>
        <v>5339</v>
      </c>
      <c r="G21738" s="4">
        <f>IFERROR(__xludf.DUMMYFUNCTION("""COMPUTED_VALUE"""),27.0)</f>
        <v>27</v>
      </c>
      <c r="H21738" s="4"/>
      <c r="I21738" s="4"/>
    </row>
    <row r="21739">
      <c r="A21739" s="4" t="str">
        <f>IFERROR(__xludf.DUMMYFUNCTION("""COMPUTED_VALUE"""),"cas_hmw")</f>
        <v>cas_hmw</v>
      </c>
      <c r="B21739" s="5">
        <f>IFERROR(__xludf.DUMMYFUNCTION("""COMPUTED_VALUE"""),44787.0)</f>
        <v>44787</v>
      </c>
      <c r="C21739" s="6">
        <f>IFERROR(__xludf.DUMMYFUNCTION("""COMPUTED_VALUE"""),0.4946874999986903)</f>
        <v>0.4946875</v>
      </c>
      <c r="D21739" s="4">
        <f>IFERROR(__xludf.DUMMYFUNCTION("""COMPUTED_VALUE"""),13.00831)</f>
        <v>13.00831</v>
      </c>
      <c r="E21739" s="4">
        <f>IFERROR(__xludf.DUMMYFUNCTION("""COMPUTED_VALUE"""),80.259096)</f>
        <v>80.259096</v>
      </c>
      <c r="F21739" s="4">
        <f>IFERROR(__xludf.DUMMYFUNCTION("""COMPUTED_VALUE"""),5339.0)</f>
        <v>5339</v>
      </c>
      <c r="G21739" s="4">
        <f>IFERROR(__xludf.DUMMYFUNCTION("""COMPUTED_VALUE"""),42.0)</f>
        <v>42</v>
      </c>
      <c r="H21739" s="4"/>
      <c r="I21739" s="4"/>
    </row>
    <row r="21740">
      <c r="A21740" s="4" t="str">
        <f>IFERROR(__xludf.DUMMYFUNCTION("""COMPUTED_VALUE"""),"cas_hmw")</f>
        <v>cas_hmw</v>
      </c>
      <c r="B21740" s="5">
        <f>IFERROR(__xludf.DUMMYFUNCTION("""COMPUTED_VALUE"""),44787.0)</f>
        <v>44787</v>
      </c>
      <c r="C21740" s="6">
        <f>IFERROR(__xludf.DUMMYFUNCTION("""COMPUTED_VALUE"""),0.4961921296307992)</f>
        <v>0.4961921296</v>
      </c>
      <c r="D21740" s="4">
        <f>IFERROR(__xludf.DUMMYFUNCTION("""COMPUTED_VALUE"""),13.006516)</f>
        <v>13.006516</v>
      </c>
      <c r="E21740" s="4">
        <f>IFERROR(__xludf.DUMMYFUNCTION("""COMPUTED_VALUE"""),80.251955)</f>
        <v>80.251955</v>
      </c>
      <c r="F21740" s="4">
        <f>IFERROR(__xludf.DUMMYFUNCTION("""COMPUTED_VALUE"""),5339.0)</f>
        <v>5339</v>
      </c>
      <c r="G21740" s="4">
        <f>IFERROR(__xludf.DUMMYFUNCTION("""COMPUTED_VALUE"""),12.0)</f>
        <v>12</v>
      </c>
      <c r="H21740" s="4"/>
      <c r="I21740" s="4"/>
    </row>
    <row r="21741">
      <c r="A21741" s="4" t="str">
        <f>IFERROR(__xludf.DUMMYFUNCTION("""COMPUTED_VALUE"""),"cas_hmw")</f>
        <v>cas_hmw</v>
      </c>
      <c r="B21741" s="5">
        <f>IFERROR(__xludf.DUMMYFUNCTION("""COMPUTED_VALUE"""),44787.0)</f>
        <v>44787</v>
      </c>
      <c r="C21741" s="6">
        <f>IFERROR(__xludf.DUMMYFUNCTION("""COMPUTED_VALUE"""),0.4961921296307992)</f>
        <v>0.4961921296</v>
      </c>
      <c r="D21741" s="4">
        <f>IFERROR(__xludf.DUMMYFUNCTION("""COMPUTED_VALUE"""),13.006516)</f>
        <v>13.006516</v>
      </c>
      <c r="E21741" s="4">
        <f>IFERROR(__xludf.DUMMYFUNCTION("""COMPUTED_VALUE"""),80.251955)</f>
        <v>80.251955</v>
      </c>
      <c r="F21741" s="4">
        <f>IFERROR(__xludf.DUMMYFUNCTION("""COMPUTED_VALUE"""),5339.0)</f>
        <v>5339</v>
      </c>
      <c r="G21741" s="4">
        <f>IFERROR(__xludf.DUMMYFUNCTION("""COMPUTED_VALUE"""),12.0)</f>
        <v>12</v>
      </c>
      <c r="H21741" s="4"/>
      <c r="I21741" s="4"/>
    </row>
    <row r="21742">
      <c r="A21742" s="4" t="str">
        <f>IFERROR(__xludf.DUMMYFUNCTION("""COMPUTED_VALUE"""),"cas_hmw")</f>
        <v>cas_hmw</v>
      </c>
      <c r="B21742" s="5">
        <f>IFERROR(__xludf.DUMMYFUNCTION("""COMPUTED_VALUE"""),44787.0)</f>
        <v>44787</v>
      </c>
      <c r="C21742" s="6">
        <f>IFERROR(__xludf.DUMMYFUNCTION("""COMPUTED_VALUE"""),0.49620370370394085)</f>
        <v>0.4962037037</v>
      </c>
      <c r="D21742" s="4">
        <f>IFERROR(__xludf.DUMMYFUNCTION("""COMPUTED_VALUE"""),13.006516)</f>
        <v>13.006516</v>
      </c>
      <c r="E21742" s="4">
        <f>IFERROR(__xludf.DUMMYFUNCTION("""COMPUTED_VALUE"""),80.251955)</f>
        <v>80.251955</v>
      </c>
      <c r="F21742" s="4">
        <f>IFERROR(__xludf.DUMMYFUNCTION("""COMPUTED_VALUE"""),5339.0)</f>
        <v>5339</v>
      </c>
      <c r="G21742" s="4">
        <f>IFERROR(__xludf.DUMMYFUNCTION("""COMPUTED_VALUE"""),12.0)</f>
        <v>12</v>
      </c>
      <c r="H21742" s="4"/>
      <c r="I21742" s="4"/>
    </row>
    <row r="21743">
      <c r="A21743" s="4" t="str">
        <f>IFERROR(__xludf.DUMMYFUNCTION("""COMPUTED_VALUE"""),"cas_hmw")</f>
        <v>cas_hmw</v>
      </c>
      <c r="B21743" s="5">
        <f>IFERROR(__xludf.DUMMYFUNCTION("""COMPUTED_VALUE"""),44787.0)</f>
        <v>44787</v>
      </c>
      <c r="C21743" s="6">
        <f>IFERROR(__xludf.DUMMYFUNCTION("""COMPUTED_VALUE"""),0.4962268518502242)</f>
        <v>0.4962268519</v>
      </c>
      <c r="D21743" s="4">
        <f>IFERROR(__xludf.DUMMYFUNCTION("""COMPUTED_VALUE"""),13.006636)</f>
        <v>13.006636</v>
      </c>
      <c r="E21743" s="4">
        <f>IFERROR(__xludf.DUMMYFUNCTION("""COMPUTED_VALUE"""),80.251421)</f>
        <v>80.251421</v>
      </c>
      <c r="F21743" s="4">
        <f>IFERROR(__xludf.DUMMYFUNCTION("""COMPUTED_VALUE"""),5339.0)</f>
        <v>5339</v>
      </c>
      <c r="G21743" s="4">
        <f>IFERROR(__xludf.DUMMYFUNCTION("""COMPUTED_VALUE"""),26.0)</f>
        <v>26</v>
      </c>
      <c r="H21743" s="4"/>
      <c r="I21743" s="4"/>
    </row>
    <row r="21744">
      <c r="A21744" s="4" t="str">
        <f>IFERROR(__xludf.DUMMYFUNCTION("""COMPUTED_VALUE"""),"cas_hmw")</f>
        <v>cas_hmw</v>
      </c>
      <c r="B21744" s="5">
        <f>IFERROR(__xludf.DUMMYFUNCTION("""COMPUTED_VALUE"""),44787.0)</f>
        <v>44787</v>
      </c>
      <c r="C21744" s="6">
        <f>IFERROR(__xludf.DUMMYFUNCTION("""COMPUTED_VALUE"""),0.49623842592700385)</f>
        <v>0.4962384259</v>
      </c>
      <c r="D21744" s="4">
        <f>IFERROR(__xludf.DUMMYFUNCTION("""COMPUTED_VALUE"""),13.006636)</f>
        <v>13.006636</v>
      </c>
      <c r="E21744" s="4">
        <f>IFERROR(__xludf.DUMMYFUNCTION("""COMPUTED_VALUE"""),80.251421)</f>
        <v>80.251421</v>
      </c>
      <c r="F21744" s="4">
        <f>IFERROR(__xludf.DUMMYFUNCTION("""COMPUTED_VALUE"""),5339.0)</f>
        <v>5339</v>
      </c>
      <c r="G21744" s="4">
        <f>IFERROR(__xludf.DUMMYFUNCTION("""COMPUTED_VALUE"""),26.0)</f>
        <v>26</v>
      </c>
      <c r="H21744" s="4"/>
      <c r="I21744" s="4"/>
    </row>
    <row r="21745">
      <c r="A21745" s="4" t="str">
        <f>IFERROR(__xludf.DUMMYFUNCTION("""COMPUTED_VALUE"""),"cas_hmw")</f>
        <v>cas_hmw</v>
      </c>
      <c r="B21745" s="5">
        <f>IFERROR(__xludf.DUMMYFUNCTION("""COMPUTED_VALUE"""),44787.0)</f>
        <v>44787</v>
      </c>
      <c r="C21745" s="6">
        <f>IFERROR(__xludf.DUMMYFUNCTION("""COMPUTED_VALUE"""),0.4962500000001455)</f>
        <v>0.49625</v>
      </c>
      <c r="D21745" s="4">
        <f>IFERROR(__xludf.DUMMYFUNCTION("""COMPUTED_VALUE"""),13.006636)</f>
        <v>13.006636</v>
      </c>
      <c r="E21745" s="4">
        <f>IFERROR(__xludf.DUMMYFUNCTION("""COMPUTED_VALUE"""),80.251421)</f>
        <v>80.251421</v>
      </c>
      <c r="F21745" s="4">
        <f>IFERROR(__xludf.DUMMYFUNCTION("""COMPUTED_VALUE"""),5339.0)</f>
        <v>5339</v>
      </c>
      <c r="G21745" s="4">
        <f>IFERROR(__xludf.DUMMYFUNCTION("""COMPUTED_VALUE"""),26.0)</f>
        <v>26</v>
      </c>
      <c r="H21745" s="4"/>
      <c r="I21745" s="4"/>
    </row>
    <row r="21746">
      <c r="A21746" s="4" t="str">
        <f>IFERROR(__xludf.DUMMYFUNCTION("""COMPUTED_VALUE"""),"cas_hmw")</f>
        <v>cas_hmw</v>
      </c>
      <c r="B21746" s="5">
        <f>IFERROR(__xludf.DUMMYFUNCTION("""COMPUTED_VALUE"""),44787.0)</f>
        <v>44787</v>
      </c>
      <c r="C21746" s="6">
        <f>IFERROR(__xludf.DUMMYFUNCTION("""COMPUTED_VALUE"""),0.49649305555431056)</f>
        <v>0.4964930556</v>
      </c>
      <c r="D21746" s="4">
        <f>IFERROR(__xludf.DUMMYFUNCTION("""COMPUTED_VALUE"""),13.0067)</f>
        <v>13.0067</v>
      </c>
      <c r="E21746" s="4">
        <f>IFERROR(__xludf.DUMMYFUNCTION("""COMPUTED_VALUE"""),80.24981)</f>
        <v>80.24981</v>
      </c>
      <c r="F21746" s="4">
        <f>IFERROR(__xludf.DUMMYFUNCTION("""COMPUTED_VALUE"""),5339.0)</f>
        <v>5339</v>
      </c>
      <c r="G21746" s="4">
        <f>IFERROR(__xludf.DUMMYFUNCTION("""COMPUTED_VALUE"""),33.0)</f>
        <v>33</v>
      </c>
      <c r="H21746" s="4"/>
      <c r="I21746" s="4"/>
    </row>
    <row r="21747">
      <c r="A21747" s="4" t="str">
        <f>IFERROR(__xludf.DUMMYFUNCTION("""COMPUTED_VALUE"""),"cas_hmw")</f>
        <v>cas_hmw</v>
      </c>
      <c r="B21747" s="5">
        <f>IFERROR(__xludf.DUMMYFUNCTION("""COMPUTED_VALUE"""),44787.0)</f>
        <v>44787</v>
      </c>
      <c r="C21747" s="6">
        <f>IFERROR(__xludf.DUMMYFUNCTION("""COMPUTED_VALUE"""),0.49652777777737356)</f>
        <v>0.4965277778</v>
      </c>
      <c r="D21747" s="4">
        <f>IFERROR(__xludf.DUMMYFUNCTION("""COMPUTED_VALUE"""),13.0067)</f>
        <v>13.0067</v>
      </c>
      <c r="E21747" s="4">
        <f>IFERROR(__xludf.DUMMYFUNCTION("""COMPUTED_VALUE"""),80.24981)</f>
        <v>80.24981</v>
      </c>
      <c r="F21747" s="4">
        <f>IFERROR(__xludf.DUMMYFUNCTION("""COMPUTED_VALUE"""),5339.0)</f>
        <v>5339</v>
      </c>
      <c r="G21747" s="4">
        <f>IFERROR(__xludf.DUMMYFUNCTION("""COMPUTED_VALUE"""),33.0)</f>
        <v>33</v>
      </c>
      <c r="H21747" s="4"/>
      <c r="I21747" s="4"/>
    </row>
    <row r="21748">
      <c r="A21748" s="4" t="str">
        <f>IFERROR(__xludf.DUMMYFUNCTION("""COMPUTED_VALUE"""),"cas_hmw")</f>
        <v>cas_hmw</v>
      </c>
      <c r="B21748" s="5">
        <f>IFERROR(__xludf.DUMMYFUNCTION("""COMPUTED_VALUE"""),44787.0)</f>
        <v>44787</v>
      </c>
      <c r="C21748" s="6">
        <f>IFERROR(__xludf.DUMMYFUNCTION("""COMPUTED_VALUE"""),0.4992361111108039)</f>
        <v>0.4992361111</v>
      </c>
      <c r="D21748" s="4">
        <f>IFERROR(__xludf.DUMMYFUNCTION("""COMPUTED_VALUE"""),12.993656)</f>
        <v>12.993656</v>
      </c>
      <c r="E21748" s="4">
        <f>IFERROR(__xludf.DUMMYFUNCTION("""COMPUTED_VALUE"""),80.250004)</f>
        <v>80.250004</v>
      </c>
      <c r="F21748" s="4">
        <f>IFERROR(__xludf.DUMMYFUNCTION("""COMPUTED_VALUE"""),5339.0)</f>
        <v>5339</v>
      </c>
      <c r="G21748" s="4">
        <f>IFERROR(__xludf.DUMMYFUNCTION("""COMPUTED_VALUE"""),37.0)</f>
        <v>37</v>
      </c>
      <c r="H21748" s="4"/>
      <c r="I21748" s="4"/>
    </row>
    <row r="21749">
      <c r="A21749" s="4" t="str">
        <f>IFERROR(__xludf.DUMMYFUNCTION("""COMPUTED_VALUE"""),"cas_hmw")</f>
        <v>cas_hmw</v>
      </c>
      <c r="B21749" s="5">
        <f>IFERROR(__xludf.DUMMYFUNCTION("""COMPUTED_VALUE"""),44787.0)</f>
        <v>44787</v>
      </c>
      <c r="C21749" s="6">
        <f>IFERROR(__xludf.DUMMYFUNCTION("""COMPUTED_VALUE"""),0.4996412037035043)</f>
        <v>0.4996412037</v>
      </c>
      <c r="D21749" s="4">
        <f>IFERROR(__xludf.DUMMYFUNCTION("""COMPUTED_VALUE"""),12.990411)</f>
        <v>12.990411</v>
      </c>
      <c r="E21749" s="4">
        <f>IFERROR(__xludf.DUMMYFUNCTION("""COMPUTED_VALUE"""),80.250838)</f>
        <v>80.250838</v>
      </c>
      <c r="F21749" s="4">
        <f>IFERROR(__xludf.DUMMYFUNCTION("""COMPUTED_VALUE"""),5339.0)</f>
        <v>5339</v>
      </c>
      <c r="G21749" s="4">
        <f>IFERROR(__xludf.DUMMYFUNCTION("""COMPUTED_VALUE"""),40.0)</f>
        <v>40</v>
      </c>
      <c r="H21749" s="4"/>
      <c r="I21749" s="4"/>
    </row>
    <row r="21750">
      <c r="A21750" s="4" t="str">
        <f>IFERROR(__xludf.DUMMYFUNCTION("""COMPUTED_VALUE"""),"cas_hmw")</f>
        <v>cas_hmw</v>
      </c>
      <c r="B21750" s="5">
        <f>IFERROR(__xludf.DUMMYFUNCTION("""COMPUTED_VALUE"""),44787.0)</f>
        <v>44787</v>
      </c>
      <c r="C21750" s="6">
        <f>IFERROR(__xludf.DUMMYFUNCTION("""COMPUTED_VALUE"""),0.5018055555556202)</f>
        <v>0.5018055556</v>
      </c>
      <c r="D21750" s="4">
        <f>IFERROR(__xludf.DUMMYFUNCTION("""COMPUTED_VALUE"""),12.983177)</f>
        <v>12.983177</v>
      </c>
      <c r="E21750" s="4">
        <f>IFERROR(__xludf.DUMMYFUNCTION("""COMPUTED_VALUE"""),80.252637)</f>
        <v>80.252637</v>
      </c>
      <c r="F21750" s="4">
        <f>IFERROR(__xludf.DUMMYFUNCTION("""COMPUTED_VALUE"""),5339.0)</f>
        <v>5339</v>
      </c>
      <c r="G21750" s="4">
        <f>IFERROR(__xludf.DUMMYFUNCTION("""COMPUTED_VALUE"""),50.0)</f>
        <v>50</v>
      </c>
      <c r="H21750" s="4"/>
      <c r="I21750" s="4"/>
    </row>
    <row r="21751">
      <c r="A21751" s="4" t="str">
        <f>IFERROR(__xludf.DUMMYFUNCTION("""COMPUTED_VALUE"""),"cas_hmw")</f>
        <v>cas_hmw</v>
      </c>
      <c r="B21751" s="5">
        <f>IFERROR(__xludf.DUMMYFUNCTION("""COMPUTED_VALUE"""),44787.0)</f>
        <v>44787</v>
      </c>
      <c r="C21751" s="6">
        <f>IFERROR(__xludf.DUMMYFUNCTION("""COMPUTED_VALUE"""),0.5045601851852552)</f>
        <v>0.5045601852</v>
      </c>
      <c r="D21751" s="4">
        <f>IFERROR(__xludf.DUMMYFUNCTION("""COMPUTED_VALUE"""),12.981113)</f>
        <v>12.981113</v>
      </c>
      <c r="E21751" s="4">
        <f>IFERROR(__xludf.DUMMYFUNCTION("""COMPUTED_VALUE"""),80.23465)</f>
        <v>80.23465</v>
      </c>
      <c r="F21751" s="4">
        <f>IFERROR(__xludf.DUMMYFUNCTION("""COMPUTED_VALUE"""),5339.0)</f>
        <v>5339</v>
      </c>
      <c r="G21751" s="4">
        <f>IFERROR(__xludf.DUMMYFUNCTION("""COMPUTED_VALUE"""),51.0)</f>
        <v>51</v>
      </c>
      <c r="H21751" s="4"/>
      <c r="I21751" s="4"/>
    </row>
    <row r="21752">
      <c r="A21752" s="4" t="str">
        <f>IFERROR(__xludf.DUMMYFUNCTION("""COMPUTED_VALUE"""),"cas_hmw")</f>
        <v>cas_hmw</v>
      </c>
      <c r="B21752" s="5">
        <f>IFERROR(__xludf.DUMMYFUNCTION("""COMPUTED_VALUE"""),44787.0)</f>
        <v>44787</v>
      </c>
      <c r="C21752" s="6">
        <f>IFERROR(__xludf.DUMMYFUNCTION("""COMPUTED_VALUE"""),0.5057175925940101)</f>
        <v>0.5057175926</v>
      </c>
      <c r="D21752" s="4">
        <f>IFERROR(__xludf.DUMMYFUNCTION("""COMPUTED_VALUE"""),12.978772)</f>
        <v>12.978772</v>
      </c>
      <c r="E21752" s="4">
        <f>IFERROR(__xludf.DUMMYFUNCTION("""COMPUTED_VALUE"""),80.225988)</f>
        <v>80.225988</v>
      </c>
      <c r="F21752" s="4">
        <f>IFERROR(__xludf.DUMMYFUNCTION("""COMPUTED_VALUE"""),5339.0)</f>
        <v>5339</v>
      </c>
      <c r="G21752" s="4">
        <f>IFERROR(__xludf.DUMMYFUNCTION("""COMPUTED_VALUE"""),35.0)</f>
        <v>35</v>
      </c>
      <c r="H21752" s="4"/>
      <c r="I21752" s="4"/>
    </row>
    <row r="21753">
      <c r="A21753" s="4" t="str">
        <f>IFERROR(__xludf.DUMMYFUNCTION("""COMPUTED_VALUE"""),"cas_hmw")</f>
        <v>cas_hmw</v>
      </c>
      <c r="B21753" s="5">
        <f>IFERROR(__xludf.DUMMYFUNCTION("""COMPUTED_VALUE"""),44787.0)</f>
        <v>44787</v>
      </c>
      <c r="C21753" s="6">
        <f>IFERROR(__xludf.DUMMYFUNCTION("""COMPUTED_VALUE"""),0.5065393518525525)</f>
        <v>0.5065393519</v>
      </c>
      <c r="D21753" s="4">
        <f>IFERROR(__xludf.DUMMYFUNCTION("""COMPUTED_VALUE"""),12.975314)</f>
        <v>12.975314</v>
      </c>
      <c r="E21753" s="4">
        <f>IFERROR(__xludf.DUMMYFUNCTION("""COMPUTED_VALUE"""),80.220804)</f>
        <v>80.220804</v>
      </c>
      <c r="F21753" s="4">
        <f>IFERROR(__xludf.DUMMYFUNCTION("""COMPUTED_VALUE"""),5339.0)</f>
        <v>5339</v>
      </c>
      <c r="G21753" s="4">
        <f>IFERROR(__xludf.DUMMYFUNCTION("""COMPUTED_VALUE"""),36.0)</f>
        <v>36</v>
      </c>
      <c r="H21753" s="4"/>
      <c r="I21753" s="4"/>
    </row>
    <row r="21754">
      <c r="A21754" s="4" t="str">
        <f>IFERROR(__xludf.DUMMYFUNCTION("""COMPUTED_VALUE"""),"cas_hmw")</f>
        <v>cas_hmw</v>
      </c>
      <c r="B21754" s="5">
        <f>IFERROR(__xludf.DUMMYFUNCTION("""COMPUTED_VALUE"""),44787.0)</f>
        <v>44787</v>
      </c>
      <c r="C21754" s="6">
        <f>IFERROR(__xludf.DUMMYFUNCTION("""COMPUTED_VALUE"""),0.5066550925912452)</f>
        <v>0.5066550926</v>
      </c>
      <c r="D21754" s="4">
        <f>IFERROR(__xludf.DUMMYFUNCTION("""COMPUTED_VALUE"""),12.974643)</f>
        <v>12.974643</v>
      </c>
      <c r="E21754" s="4">
        <f>IFERROR(__xludf.DUMMYFUNCTION("""COMPUTED_VALUE"""),80.220513)</f>
        <v>80.220513</v>
      </c>
      <c r="F21754" s="4">
        <f>IFERROR(__xludf.DUMMYFUNCTION("""COMPUTED_VALUE"""),5339.0)</f>
        <v>5339</v>
      </c>
      <c r="G21754" s="4">
        <f>IFERROR(__xludf.DUMMYFUNCTION("""COMPUTED_VALUE"""),28.0)</f>
        <v>28</v>
      </c>
      <c r="H21754" s="4"/>
      <c r="I21754" s="4"/>
    </row>
    <row r="21755">
      <c r="A21755" s="4" t="str">
        <f>IFERROR(__xludf.DUMMYFUNCTION("""COMPUTED_VALUE"""),"cas_hmw")</f>
        <v>cas_hmw</v>
      </c>
      <c r="B21755" s="5">
        <f>IFERROR(__xludf.DUMMYFUNCTION("""COMPUTED_VALUE"""),44787.0)</f>
        <v>44787</v>
      </c>
      <c r="C21755" s="6">
        <f>IFERROR(__xludf.DUMMYFUNCTION("""COMPUTED_VALUE"""),0.5068518518528435)</f>
        <v>0.5068518519</v>
      </c>
      <c r="D21755" s="4">
        <f>IFERROR(__xludf.DUMMYFUNCTION("""COMPUTED_VALUE"""),12.973845)</f>
        <v>12.973845</v>
      </c>
      <c r="E21755" s="4">
        <f>IFERROR(__xludf.DUMMYFUNCTION("""COMPUTED_VALUE"""),80.220108)</f>
        <v>80.220108</v>
      </c>
      <c r="F21755" s="4">
        <f>IFERROR(__xludf.DUMMYFUNCTION("""COMPUTED_VALUE"""),5339.0)</f>
        <v>5339</v>
      </c>
      <c r="G21755" s="4">
        <f>IFERROR(__xludf.DUMMYFUNCTION("""COMPUTED_VALUE"""),41.0)</f>
        <v>41</v>
      </c>
      <c r="H21755" s="4"/>
      <c r="I21755" s="4"/>
    </row>
    <row r="21756">
      <c r="A21756" s="4" t="str">
        <f>IFERROR(__xludf.DUMMYFUNCTION("""COMPUTED_VALUE"""),"cas_hmw")</f>
        <v>cas_hmw</v>
      </c>
      <c r="B21756" s="5">
        <f>IFERROR(__xludf.DUMMYFUNCTION("""COMPUTED_VALUE"""),44787.0)</f>
        <v>44787</v>
      </c>
      <c r="C21756" s="6">
        <f>IFERROR(__xludf.DUMMYFUNCTION("""COMPUTED_VALUE"""),0.5073263888880319)</f>
        <v>0.5073263889</v>
      </c>
      <c r="D21756" s="4">
        <f>IFERROR(__xludf.DUMMYFUNCTION("""COMPUTED_VALUE"""),12.971003)</f>
        <v>12.971003</v>
      </c>
      <c r="E21756" s="4">
        <f>IFERROR(__xludf.DUMMYFUNCTION("""COMPUTED_VALUE"""),80.219034)</f>
        <v>80.219034</v>
      </c>
      <c r="F21756" s="4">
        <f>IFERROR(__xludf.DUMMYFUNCTION("""COMPUTED_VALUE"""),5339.0)</f>
        <v>5339</v>
      </c>
      <c r="G21756" s="4">
        <f>IFERROR(__xludf.DUMMYFUNCTION("""COMPUTED_VALUE"""),43.0)</f>
        <v>43</v>
      </c>
      <c r="H21756" s="4"/>
      <c r="I21756" s="4"/>
    </row>
    <row r="21757">
      <c r="A21757" s="4" t="str">
        <f>IFERROR(__xludf.DUMMYFUNCTION("""COMPUTED_VALUE"""),"cas_hmw")</f>
        <v>cas_hmw</v>
      </c>
      <c r="B21757" s="5">
        <f>IFERROR(__xludf.DUMMYFUNCTION("""COMPUTED_VALUE"""),44787.0)</f>
        <v>44787</v>
      </c>
      <c r="C21757" s="6">
        <f>IFERROR(__xludf.DUMMYFUNCTION("""COMPUTED_VALUE"""),0.5080787037040864)</f>
        <v>0.5080787037</v>
      </c>
      <c r="D21757" s="4">
        <f>IFERROR(__xludf.DUMMYFUNCTION("""COMPUTED_VALUE"""),12.964745)</f>
        <v>12.964745</v>
      </c>
      <c r="E21757" s="4">
        <f>IFERROR(__xludf.DUMMYFUNCTION("""COMPUTED_VALUE"""),80.216591)</f>
        <v>80.216591</v>
      </c>
      <c r="F21757" s="4">
        <f>IFERROR(__xludf.DUMMYFUNCTION("""COMPUTED_VALUE"""),5339.0)</f>
        <v>5339</v>
      </c>
      <c r="G21757" s="4">
        <f>IFERROR(__xludf.DUMMYFUNCTION("""COMPUTED_VALUE"""),39.0)</f>
        <v>39</v>
      </c>
      <c r="H21757" s="4"/>
      <c r="I21757" s="4"/>
    </row>
    <row r="21758">
      <c r="A21758" s="4" t="str">
        <f>IFERROR(__xludf.DUMMYFUNCTION("""COMPUTED_VALUE"""),"cas_hmw")</f>
        <v>cas_hmw</v>
      </c>
      <c r="B21758" s="5">
        <f>IFERROR(__xludf.DUMMYFUNCTION("""COMPUTED_VALUE"""),44787.0)</f>
        <v>44787</v>
      </c>
      <c r="C21758" s="6">
        <f>IFERROR(__xludf.DUMMYFUNCTION("""COMPUTED_VALUE"""),0.5088541666664241)</f>
        <v>0.5088541667</v>
      </c>
      <c r="D21758" s="4">
        <f>IFERROR(__xludf.DUMMYFUNCTION("""COMPUTED_VALUE"""),12.96062)</f>
        <v>12.96062</v>
      </c>
      <c r="E21758" s="4">
        <f>IFERROR(__xludf.DUMMYFUNCTION("""COMPUTED_VALUE"""),80.21491)</f>
        <v>80.21491</v>
      </c>
      <c r="F21758" s="4">
        <f>IFERROR(__xludf.DUMMYFUNCTION("""COMPUTED_VALUE"""),5339.0)</f>
        <v>5339</v>
      </c>
      <c r="G21758" s="4">
        <f>IFERROR(__xludf.DUMMYFUNCTION("""COMPUTED_VALUE"""),45.0)</f>
        <v>45</v>
      </c>
      <c r="H21758" s="4"/>
      <c r="I21758" s="4"/>
    </row>
    <row r="21759">
      <c r="A21759" s="4" t="str">
        <f>IFERROR(__xludf.DUMMYFUNCTION("""COMPUTED_VALUE"""),"cas_hmw")</f>
        <v>cas_hmw</v>
      </c>
      <c r="B21759" s="5">
        <f>IFERROR(__xludf.DUMMYFUNCTION("""COMPUTED_VALUE"""),44787.0)</f>
        <v>44787</v>
      </c>
      <c r="C21759" s="6">
        <f>IFERROR(__xludf.DUMMYFUNCTION("""COMPUTED_VALUE"""),0.5089467592588335)</f>
        <v>0.5089467593</v>
      </c>
      <c r="D21759" s="4">
        <f>IFERROR(__xludf.DUMMYFUNCTION("""COMPUTED_VALUE"""),12.959506)</f>
        <v>12.959506</v>
      </c>
      <c r="E21759" s="4">
        <f>IFERROR(__xludf.DUMMYFUNCTION("""COMPUTED_VALUE"""),80.214467)</f>
        <v>80.214467</v>
      </c>
      <c r="F21759" s="4">
        <f>IFERROR(__xludf.DUMMYFUNCTION("""COMPUTED_VALUE"""),5339.0)</f>
        <v>5339</v>
      </c>
      <c r="G21759" s="4">
        <f>IFERROR(__xludf.DUMMYFUNCTION("""COMPUTED_VALUE"""),48.0)</f>
        <v>48</v>
      </c>
      <c r="H21759" s="4"/>
      <c r="I21759" s="4"/>
    </row>
    <row r="21760">
      <c r="A21760" s="4" t="str">
        <f>IFERROR(__xludf.DUMMYFUNCTION("""COMPUTED_VALUE"""),"cas_hmw")</f>
        <v>cas_hmw</v>
      </c>
      <c r="B21760" s="5">
        <f>IFERROR(__xludf.DUMMYFUNCTION("""COMPUTED_VALUE"""),44787.0)</f>
        <v>44787</v>
      </c>
      <c r="C21760" s="6">
        <f>IFERROR(__xludf.DUMMYFUNCTION("""COMPUTED_VALUE"""),0.5093055555553292)</f>
        <v>0.5093055556</v>
      </c>
      <c r="D21760" s="4">
        <f>IFERROR(__xludf.DUMMYFUNCTION("""COMPUTED_VALUE"""),12.955885)</f>
        <v>12.955885</v>
      </c>
      <c r="E21760" s="4">
        <f>IFERROR(__xludf.DUMMYFUNCTION("""COMPUTED_VALUE"""),80.212977)</f>
        <v>80.212977</v>
      </c>
      <c r="F21760" s="4">
        <f>IFERROR(__xludf.DUMMYFUNCTION("""COMPUTED_VALUE"""),5339.0)</f>
        <v>5339</v>
      </c>
      <c r="G21760" s="4">
        <f>IFERROR(__xludf.DUMMYFUNCTION("""COMPUTED_VALUE"""),55.0)</f>
        <v>55</v>
      </c>
      <c r="H21760" s="4"/>
      <c r="I21760" s="4"/>
    </row>
    <row r="21761">
      <c r="A21761" s="4" t="str">
        <f>IFERROR(__xludf.DUMMYFUNCTION("""COMPUTED_VALUE"""),"cas_hmw")</f>
        <v>cas_hmw</v>
      </c>
      <c r="B21761" s="5">
        <f>IFERROR(__xludf.DUMMYFUNCTION("""COMPUTED_VALUE"""),44787.0)</f>
        <v>44787</v>
      </c>
      <c r="C21761" s="6">
        <f>IFERROR(__xludf.DUMMYFUNCTION("""COMPUTED_VALUE"""),0.5093634259246755)</f>
        <v>0.5093634259</v>
      </c>
      <c r="D21761" s="4">
        <f>IFERROR(__xludf.DUMMYFUNCTION("""COMPUTED_VALUE"""),12.955885)</f>
        <v>12.955885</v>
      </c>
      <c r="E21761" s="4">
        <f>IFERROR(__xludf.DUMMYFUNCTION("""COMPUTED_VALUE"""),80.212977)</f>
        <v>80.212977</v>
      </c>
      <c r="F21761" s="4">
        <f>IFERROR(__xludf.DUMMYFUNCTION("""COMPUTED_VALUE"""),5339.0)</f>
        <v>5339</v>
      </c>
      <c r="G21761" s="4">
        <f>IFERROR(__xludf.DUMMYFUNCTION("""COMPUTED_VALUE"""),55.0)</f>
        <v>55</v>
      </c>
      <c r="H21761" s="4"/>
      <c r="I21761" s="4"/>
    </row>
    <row r="21762">
      <c r="A21762" s="4" t="str">
        <f>IFERROR(__xludf.DUMMYFUNCTION("""COMPUTED_VALUE"""),"cas_hmw")</f>
        <v>cas_hmw</v>
      </c>
      <c r="B21762" s="5">
        <f>IFERROR(__xludf.DUMMYFUNCTION("""COMPUTED_VALUE"""),44787.0)</f>
        <v>44787</v>
      </c>
      <c r="C21762" s="6">
        <f>IFERROR(__xludf.DUMMYFUNCTION("""COMPUTED_VALUE"""),0.5093865740745969)</f>
        <v>0.5093865741</v>
      </c>
      <c r="D21762" s="4">
        <f>IFERROR(__xludf.DUMMYFUNCTION("""COMPUTED_VALUE"""),12.955885)</f>
        <v>12.955885</v>
      </c>
      <c r="E21762" s="4">
        <f>IFERROR(__xludf.DUMMYFUNCTION("""COMPUTED_VALUE"""),80.212977)</f>
        <v>80.212977</v>
      </c>
      <c r="F21762" s="4">
        <f>IFERROR(__xludf.DUMMYFUNCTION("""COMPUTED_VALUE"""),5339.0)</f>
        <v>5339</v>
      </c>
      <c r="G21762" s="4">
        <f>IFERROR(__xludf.DUMMYFUNCTION("""COMPUTED_VALUE"""),55.0)</f>
        <v>55</v>
      </c>
      <c r="H21762" s="4"/>
      <c r="I21762" s="4"/>
    </row>
    <row r="21763">
      <c r="A21763" s="4" t="str">
        <f>IFERROR(__xludf.DUMMYFUNCTION("""COMPUTED_VALUE"""),"cas_hmw")</f>
        <v>cas_hmw</v>
      </c>
      <c r="B21763" s="5">
        <f>IFERROR(__xludf.DUMMYFUNCTION("""COMPUTED_VALUE"""),44787.0)</f>
        <v>44787</v>
      </c>
      <c r="C21763" s="6">
        <f>IFERROR(__xludf.DUMMYFUNCTION("""COMPUTED_VALUE"""),0.5099652777789743)</f>
        <v>0.5099652778</v>
      </c>
      <c r="D21763" s="4">
        <f>IFERROR(__xludf.DUMMYFUNCTION("""COMPUTED_VALUE"""),12.950655)</f>
        <v>12.950655</v>
      </c>
      <c r="E21763" s="4">
        <f>IFERROR(__xludf.DUMMYFUNCTION("""COMPUTED_VALUE"""),80.21103)</f>
        <v>80.21103</v>
      </c>
      <c r="F21763" s="4">
        <f>IFERROR(__xludf.DUMMYFUNCTION("""COMPUTED_VALUE"""),5339.0)</f>
        <v>5339</v>
      </c>
      <c r="G21763" s="4">
        <f>IFERROR(__xludf.DUMMYFUNCTION("""COMPUTED_VALUE"""),52.0)</f>
        <v>52</v>
      </c>
      <c r="H21763" s="4"/>
      <c r="I21763" s="4"/>
    </row>
    <row r="21764">
      <c r="A21764" s="4" t="str">
        <f>IFERROR(__xludf.DUMMYFUNCTION("""COMPUTED_VALUE"""),"cas_hmw")</f>
        <v>cas_hmw</v>
      </c>
      <c r="B21764" s="5">
        <f>IFERROR(__xludf.DUMMYFUNCTION("""COMPUTED_VALUE"""),44787.0)</f>
        <v>44787</v>
      </c>
      <c r="C21764" s="6">
        <f>IFERROR(__xludf.DUMMYFUNCTION("""COMPUTED_VALUE"""),0.5112731481494848)</f>
        <v>0.5112731481</v>
      </c>
      <c r="D21764" s="4">
        <f>IFERROR(__xludf.DUMMYFUNCTION("""COMPUTED_VALUE"""),12.948619)</f>
        <v>12.948619</v>
      </c>
      <c r="E21764" s="4">
        <f>IFERROR(__xludf.DUMMYFUNCTION("""COMPUTED_VALUE"""),80.206927)</f>
        <v>80.206927</v>
      </c>
      <c r="F21764" s="4">
        <f>IFERROR(__xludf.DUMMYFUNCTION("""COMPUTED_VALUE"""),5339.0)</f>
        <v>5339</v>
      </c>
      <c r="G21764" s="4">
        <f>IFERROR(__xludf.DUMMYFUNCTION("""COMPUTED_VALUE"""),50.0)</f>
        <v>50</v>
      </c>
      <c r="H21764" s="4"/>
      <c r="I21764" s="4"/>
    </row>
    <row r="21765">
      <c r="A21765" s="4" t="str">
        <f>IFERROR(__xludf.DUMMYFUNCTION("""COMPUTED_VALUE"""),"cas_hmw")</f>
        <v>cas_hmw</v>
      </c>
      <c r="B21765" s="5">
        <f>IFERROR(__xludf.DUMMYFUNCTION("""COMPUTED_VALUE"""),44787.0)</f>
        <v>44787</v>
      </c>
      <c r="C21765" s="6">
        <f>IFERROR(__xludf.DUMMYFUNCTION("""COMPUTED_VALUE"""),0.512731481481751)</f>
        <v>0.5127314815</v>
      </c>
      <c r="D21765" s="4">
        <f>IFERROR(__xludf.DUMMYFUNCTION("""COMPUTED_VALUE"""),12.948475)</f>
        <v>12.948475</v>
      </c>
      <c r="E21765" s="4">
        <f>IFERROR(__xludf.DUMMYFUNCTION("""COMPUTED_VALUE"""),80.196873)</f>
        <v>80.196873</v>
      </c>
      <c r="F21765" s="4">
        <f>IFERROR(__xludf.DUMMYFUNCTION("""COMPUTED_VALUE"""),5339.0)</f>
        <v>5339</v>
      </c>
      <c r="G21765" s="4">
        <f>IFERROR(__xludf.DUMMYFUNCTION("""COMPUTED_VALUE"""),50.0)</f>
        <v>50</v>
      </c>
      <c r="H21765" s="4"/>
      <c r="I21765" s="4"/>
    </row>
    <row r="21766">
      <c r="A21766" s="4" t="str">
        <f>IFERROR(__xludf.DUMMYFUNCTION("""COMPUTED_VALUE"""),"cas_hmw")</f>
        <v>cas_hmw</v>
      </c>
      <c r="B21766" s="5">
        <f>IFERROR(__xludf.DUMMYFUNCTION("""COMPUTED_VALUE"""),44787.0)</f>
        <v>44787</v>
      </c>
      <c r="C21766" s="6">
        <f>IFERROR(__xludf.DUMMYFUNCTION("""COMPUTED_VALUE"""),0.512939814816491)</f>
        <v>0.5129398148</v>
      </c>
      <c r="D21766" s="4">
        <f>IFERROR(__xludf.DUMMYFUNCTION("""COMPUTED_VALUE"""),12.948501)</f>
        <v>12.948501</v>
      </c>
      <c r="E21766" s="4">
        <f>IFERROR(__xludf.DUMMYFUNCTION("""COMPUTED_VALUE"""),80.194357)</f>
        <v>80.194357</v>
      </c>
      <c r="F21766" s="4">
        <f>IFERROR(__xludf.DUMMYFUNCTION("""COMPUTED_VALUE"""),5339.0)</f>
        <v>5339</v>
      </c>
      <c r="G21766" s="4">
        <f>IFERROR(__xludf.DUMMYFUNCTION("""COMPUTED_VALUE"""),52.0)</f>
        <v>52</v>
      </c>
      <c r="H21766" s="4"/>
      <c r="I21766" s="4"/>
    </row>
    <row r="21767">
      <c r="A21767" s="4" t="str">
        <f>IFERROR(__xludf.DUMMYFUNCTION("""COMPUTED_VALUE"""),"cas_hmw")</f>
        <v>cas_hmw</v>
      </c>
      <c r="B21767" s="5">
        <f>IFERROR(__xludf.DUMMYFUNCTION("""COMPUTED_VALUE"""),44787.0)</f>
        <v>44787</v>
      </c>
      <c r="C21767" s="6">
        <f>IFERROR(__xludf.DUMMYFUNCTION("""COMPUTED_VALUE"""),0.5139814814829151)</f>
        <v>0.5139814815</v>
      </c>
      <c r="D21767" s="4">
        <f>IFERROR(__xludf.DUMMYFUNCTION("""COMPUTED_VALUE"""),12.949453)</f>
        <v>12.949453</v>
      </c>
      <c r="E21767" s="4">
        <f>IFERROR(__xludf.DUMMYFUNCTION("""COMPUTED_VALUE"""),80.18195)</f>
        <v>80.18195</v>
      </c>
      <c r="F21767" s="4">
        <f>IFERROR(__xludf.DUMMYFUNCTION("""COMPUTED_VALUE"""),5339.0)</f>
        <v>5339</v>
      </c>
      <c r="G21767" s="4">
        <f>IFERROR(__xludf.DUMMYFUNCTION("""COMPUTED_VALUE"""),55.0)</f>
        <v>55</v>
      </c>
      <c r="H21767" s="4"/>
      <c r="I21767" s="4"/>
    </row>
    <row r="21768">
      <c r="A21768" s="4" t="str">
        <f>IFERROR(__xludf.DUMMYFUNCTION("""COMPUTED_VALUE"""),"cas_hmw")</f>
        <v>cas_hmw</v>
      </c>
      <c r="B21768" s="5">
        <f>IFERROR(__xludf.DUMMYFUNCTION("""COMPUTED_VALUE"""),44787.0)</f>
        <v>44787</v>
      </c>
      <c r="C21768" s="6">
        <f>IFERROR(__xludf.DUMMYFUNCTION("""COMPUTED_VALUE"""),0.5144560185181035)</f>
        <v>0.5144560185</v>
      </c>
      <c r="D21768" s="4">
        <f>IFERROR(__xludf.DUMMYFUNCTION("""COMPUTED_VALUE"""),12.950567)</f>
        <v>12.950567</v>
      </c>
      <c r="E21768" s="4">
        <f>IFERROR(__xludf.DUMMYFUNCTION("""COMPUTED_VALUE"""),80.177126)</f>
        <v>80.177126</v>
      </c>
      <c r="F21768" s="4">
        <f>IFERROR(__xludf.DUMMYFUNCTION("""COMPUTED_VALUE"""),5339.0)</f>
        <v>5339</v>
      </c>
      <c r="G21768" s="4">
        <f>IFERROR(__xludf.DUMMYFUNCTION("""COMPUTED_VALUE"""),53.0)</f>
        <v>53</v>
      </c>
      <c r="H21768" s="4"/>
      <c r="I21768" s="4"/>
    </row>
    <row r="21769">
      <c r="A21769" s="4" t="str">
        <f>IFERROR(__xludf.DUMMYFUNCTION("""COMPUTED_VALUE"""),"cas_hmw")</f>
        <v>cas_hmw</v>
      </c>
      <c r="B21769" s="5">
        <f>IFERROR(__xludf.DUMMYFUNCTION("""COMPUTED_VALUE"""),44787.0)</f>
        <v>44787</v>
      </c>
      <c r="C21769" s="6">
        <f>IFERROR(__xludf.DUMMYFUNCTION("""COMPUTED_VALUE"""),0.5160532407389837)</f>
        <v>0.5160532407</v>
      </c>
      <c r="D21769" s="4">
        <f>IFERROR(__xludf.DUMMYFUNCTION("""COMPUTED_VALUE"""),12.954165)</f>
        <v>12.954165</v>
      </c>
      <c r="E21769" s="4">
        <f>IFERROR(__xludf.DUMMYFUNCTION("""COMPUTED_VALUE"""),80.160195)</f>
        <v>80.160195</v>
      </c>
      <c r="F21769" s="4">
        <f>IFERROR(__xludf.DUMMYFUNCTION("""COMPUTED_VALUE"""),5339.0)</f>
        <v>5339</v>
      </c>
      <c r="G21769" s="4">
        <f>IFERROR(__xludf.DUMMYFUNCTION("""COMPUTED_VALUE"""),55.0)</f>
        <v>55</v>
      </c>
      <c r="H21769" s="4"/>
      <c r="I21769" s="4"/>
    </row>
    <row r="21770">
      <c r="A21770" s="4" t="str">
        <f>IFERROR(__xludf.DUMMYFUNCTION("""COMPUTED_VALUE"""),"cas_hmw")</f>
        <v>cas_hmw</v>
      </c>
      <c r="B21770" s="5">
        <f>IFERROR(__xludf.DUMMYFUNCTION("""COMPUTED_VALUE"""),44787.0)</f>
        <v>44787</v>
      </c>
      <c r="C21770" s="6">
        <f>IFERROR(__xludf.DUMMYFUNCTION("""COMPUTED_VALUE"""),0.5160763888889051)</f>
        <v>0.5160763889</v>
      </c>
      <c r="D21770" s="4">
        <f>IFERROR(__xludf.DUMMYFUNCTION("""COMPUTED_VALUE"""),12.954165)</f>
        <v>12.954165</v>
      </c>
      <c r="E21770" s="4">
        <f>IFERROR(__xludf.DUMMYFUNCTION("""COMPUTED_VALUE"""),80.160195)</f>
        <v>80.160195</v>
      </c>
      <c r="F21770" s="4">
        <f>IFERROR(__xludf.DUMMYFUNCTION("""COMPUTED_VALUE"""),5339.0)</f>
        <v>5339</v>
      </c>
      <c r="G21770" s="4">
        <f>IFERROR(__xludf.DUMMYFUNCTION("""COMPUTED_VALUE"""),55.0)</f>
        <v>55</v>
      </c>
      <c r="H21770" s="4"/>
      <c r="I21770" s="4"/>
    </row>
    <row r="21771">
      <c r="A21771" s="4" t="str">
        <f>IFERROR(__xludf.DUMMYFUNCTION("""COMPUTED_VALUE"""),"cas_hmw")</f>
        <v>cas_hmw</v>
      </c>
      <c r="B21771" s="5">
        <f>IFERROR(__xludf.DUMMYFUNCTION("""COMPUTED_VALUE"""),44787.0)</f>
        <v>44787</v>
      </c>
      <c r="C21771" s="6">
        <f>IFERROR(__xludf.DUMMYFUNCTION("""COMPUTED_VALUE"""),0.5187268518529891)</f>
        <v>0.5187268519</v>
      </c>
      <c r="D21771" s="4">
        <f>IFERROR(__xludf.DUMMYFUNCTION("""COMPUTED_VALUE"""),12.955169)</f>
        <v>12.955169</v>
      </c>
      <c r="E21771" s="4">
        <f>IFERROR(__xludf.DUMMYFUNCTION("""COMPUTED_VALUE"""),80.142693)</f>
        <v>80.142693</v>
      </c>
      <c r="F21771" s="4">
        <f>IFERROR(__xludf.DUMMYFUNCTION("""COMPUTED_VALUE"""),5339.0)</f>
        <v>5339</v>
      </c>
      <c r="G21771" s="4">
        <f>IFERROR(__xludf.DUMMYFUNCTION("""COMPUTED_VALUE"""),36.0)</f>
        <v>36</v>
      </c>
      <c r="H21771" s="4"/>
      <c r="I21771" s="4"/>
    </row>
    <row r="21772">
      <c r="A21772" s="4" t="str">
        <f>IFERROR(__xludf.DUMMYFUNCTION("""COMPUTED_VALUE"""),"cas_hmw")</f>
        <v>cas_hmw</v>
      </c>
      <c r="B21772" s="5">
        <f>IFERROR(__xludf.DUMMYFUNCTION("""COMPUTED_VALUE"""),44787.0)</f>
        <v>44787</v>
      </c>
      <c r="C21772" s="6">
        <f>IFERROR(__xludf.DUMMYFUNCTION("""COMPUTED_VALUE"""),0.52113425925927)</f>
        <v>0.5211342593</v>
      </c>
      <c r="D21772" s="4">
        <f>IFERROR(__xludf.DUMMYFUNCTION("""COMPUTED_VALUE"""),12.950777)</f>
        <v>12.950777</v>
      </c>
      <c r="E21772" s="4">
        <f>IFERROR(__xludf.DUMMYFUNCTION("""COMPUTED_VALUE"""),80.139914)</f>
        <v>80.139914</v>
      </c>
      <c r="F21772" s="4">
        <f>IFERROR(__xludf.DUMMYFUNCTION("""COMPUTED_VALUE"""),5339.0)</f>
        <v>5339</v>
      </c>
      <c r="G21772" s="4">
        <f>IFERROR(__xludf.DUMMYFUNCTION("""COMPUTED_VALUE"""),21.0)</f>
        <v>21</v>
      </c>
      <c r="H21772" s="4"/>
      <c r="I21772" s="4"/>
    </row>
    <row r="21773">
      <c r="A21773" s="4" t="str">
        <f>IFERROR(__xludf.DUMMYFUNCTION("""COMPUTED_VALUE"""),"cas_hmw")</f>
        <v>cas_hmw</v>
      </c>
      <c r="B21773" s="5">
        <f>IFERROR(__xludf.DUMMYFUNCTION("""COMPUTED_VALUE"""),44787.0)</f>
        <v>44787</v>
      </c>
      <c r="C21773" s="6">
        <f>IFERROR(__xludf.DUMMYFUNCTION("""COMPUTED_VALUE"""),0.5212152777785377)</f>
        <v>0.5212152778</v>
      </c>
      <c r="D21773" s="4">
        <f>IFERROR(__xludf.DUMMYFUNCTION("""COMPUTED_VALUE"""),12.950777)</f>
        <v>12.950777</v>
      </c>
      <c r="E21773" s="4">
        <f>IFERROR(__xludf.DUMMYFUNCTION("""COMPUTED_VALUE"""),80.139914)</f>
        <v>80.139914</v>
      </c>
      <c r="F21773" s="4">
        <f>IFERROR(__xludf.DUMMYFUNCTION("""COMPUTED_VALUE"""),5339.0)</f>
        <v>5339</v>
      </c>
      <c r="G21773" s="4">
        <f>IFERROR(__xludf.DUMMYFUNCTION("""COMPUTED_VALUE"""),21.0)</f>
        <v>21</v>
      </c>
      <c r="H21773" s="4"/>
      <c r="I21773" s="4"/>
    </row>
    <row r="21774">
      <c r="A21774" s="4" t="str">
        <f>IFERROR(__xludf.DUMMYFUNCTION("""COMPUTED_VALUE"""),"cas_hmw")</f>
        <v>cas_hmw</v>
      </c>
      <c r="B21774" s="5">
        <f>IFERROR(__xludf.DUMMYFUNCTION("""COMPUTED_VALUE"""),44787.0)</f>
        <v>44787</v>
      </c>
      <c r="C21774" s="6">
        <f>IFERROR(__xludf.DUMMYFUNCTION("""COMPUTED_VALUE"""),0.5214814814826241)</f>
        <v>0.5214814815</v>
      </c>
      <c r="D21774" s="4">
        <f>IFERROR(__xludf.DUMMYFUNCTION("""COMPUTED_VALUE"""),12.949632)</f>
        <v>12.949632</v>
      </c>
      <c r="E21774" s="4">
        <f>IFERROR(__xludf.DUMMYFUNCTION("""COMPUTED_VALUE"""),80.13896)</f>
        <v>80.13896</v>
      </c>
      <c r="F21774" s="4">
        <f>IFERROR(__xludf.DUMMYFUNCTION("""COMPUTED_VALUE"""),5339.0)</f>
        <v>5339</v>
      </c>
      <c r="G21774" s="4">
        <f>IFERROR(__xludf.DUMMYFUNCTION("""COMPUTED_VALUE"""),49.0)</f>
        <v>49</v>
      </c>
      <c r="H21774" s="4"/>
      <c r="I21774" s="4"/>
    </row>
    <row r="21775">
      <c r="A21775" s="4" t="str">
        <f>IFERROR(__xludf.DUMMYFUNCTION("""COMPUTED_VALUE"""),"cas_hmw")</f>
        <v>cas_hmw</v>
      </c>
      <c r="B21775" s="5">
        <f>IFERROR(__xludf.DUMMYFUNCTION("""COMPUTED_VALUE"""),44787.0)</f>
        <v>44787</v>
      </c>
      <c r="C21775" s="6">
        <f>IFERROR(__xludf.DUMMYFUNCTION("""COMPUTED_VALUE"""),0.5220601851870015)</f>
        <v>0.5220601852</v>
      </c>
      <c r="D21775" s="4">
        <f>IFERROR(__xludf.DUMMYFUNCTION("""COMPUTED_VALUE"""),12.94311)</f>
        <v>12.94311</v>
      </c>
      <c r="E21775" s="4">
        <f>IFERROR(__xludf.DUMMYFUNCTION("""COMPUTED_VALUE"""),80.13383)</f>
        <v>80.13383</v>
      </c>
      <c r="F21775" s="4">
        <f>IFERROR(__xludf.DUMMYFUNCTION("""COMPUTED_VALUE"""),5339.0)</f>
        <v>5339</v>
      </c>
      <c r="G21775" s="4">
        <f>IFERROR(__xludf.DUMMYFUNCTION("""COMPUTED_VALUE"""),45.0)</f>
        <v>45</v>
      </c>
      <c r="H21775" s="4"/>
      <c r="I21775" s="4"/>
    </row>
    <row r="21776">
      <c r="A21776" s="4" t="str">
        <f>IFERROR(__xludf.DUMMYFUNCTION("""COMPUTED_VALUE"""),"cas_hmw")</f>
        <v>cas_hmw</v>
      </c>
      <c r="B21776" s="5">
        <f>IFERROR(__xludf.DUMMYFUNCTION("""COMPUTED_VALUE"""),44787.0)</f>
        <v>44787</v>
      </c>
      <c r="C21776" s="6">
        <f>IFERROR(__xludf.DUMMYFUNCTION("""COMPUTED_VALUE"""),0.5222337962950405)</f>
        <v>0.5222337963</v>
      </c>
      <c r="D21776" s="4">
        <f>IFERROR(__xludf.DUMMYFUNCTION("""COMPUTED_VALUE"""),12.942267)</f>
        <v>12.942267</v>
      </c>
      <c r="E21776" s="4">
        <f>IFERROR(__xludf.DUMMYFUNCTION("""COMPUTED_VALUE"""),80.132972)</f>
        <v>80.132972</v>
      </c>
      <c r="F21776" s="4">
        <f>IFERROR(__xludf.DUMMYFUNCTION("""COMPUTED_VALUE"""),5339.0)</f>
        <v>5339</v>
      </c>
      <c r="G21776" s="4">
        <f>IFERROR(__xludf.DUMMYFUNCTION("""COMPUTED_VALUE"""),48.0)</f>
        <v>48</v>
      </c>
      <c r="H21776" s="4"/>
      <c r="I21776" s="4"/>
    </row>
    <row r="21777">
      <c r="A21777" s="4" t="str">
        <f>IFERROR(__xludf.DUMMYFUNCTION("""COMPUTED_VALUE"""),"cas_hmw")</f>
        <v>cas_hmw</v>
      </c>
      <c r="B21777" s="5">
        <f>IFERROR(__xludf.DUMMYFUNCTION("""COMPUTED_VALUE"""),44787.0)</f>
        <v>44787</v>
      </c>
      <c r="C21777" s="6">
        <f>IFERROR(__xludf.DUMMYFUNCTION("""COMPUTED_VALUE"""),0.5223611111105129)</f>
        <v>0.5223611111</v>
      </c>
      <c r="D21777" s="4">
        <f>IFERROR(__xludf.DUMMYFUNCTION("""COMPUTED_VALUE"""),12.941362)</f>
        <v>12.941362</v>
      </c>
      <c r="E21777" s="4">
        <f>IFERROR(__xludf.DUMMYFUNCTION("""COMPUTED_VALUE"""),80.132054)</f>
        <v>80.132054</v>
      </c>
      <c r="F21777" s="4">
        <f>IFERROR(__xludf.DUMMYFUNCTION("""COMPUTED_VALUE"""),5339.0)</f>
        <v>5339</v>
      </c>
      <c r="G21777" s="4">
        <f>IFERROR(__xludf.DUMMYFUNCTION("""COMPUTED_VALUE"""),49.0)</f>
        <v>49</v>
      </c>
      <c r="H21777" s="4"/>
      <c r="I21777" s="4"/>
    </row>
    <row r="21778">
      <c r="A21778" s="4" t="str">
        <f>IFERROR(__xludf.DUMMYFUNCTION("""COMPUTED_VALUE"""),"cas_hmw")</f>
        <v>cas_hmw</v>
      </c>
      <c r="B21778" s="5">
        <f>IFERROR(__xludf.DUMMYFUNCTION("""COMPUTED_VALUE"""),44787.0)</f>
        <v>44787</v>
      </c>
      <c r="C21778" s="6">
        <f>IFERROR(__xludf.DUMMYFUNCTION("""COMPUTED_VALUE"""),0.5226851851839456)</f>
        <v>0.5226851852</v>
      </c>
      <c r="D21778" s="4">
        <f>IFERROR(__xludf.DUMMYFUNCTION("""COMPUTED_VALUE"""),12.938623)</f>
        <v>12.938623</v>
      </c>
      <c r="E21778" s="4">
        <f>IFERROR(__xludf.DUMMYFUNCTION("""COMPUTED_VALUE"""),80.129368)</f>
        <v>80.129368</v>
      </c>
      <c r="F21778" s="4">
        <f>IFERROR(__xludf.DUMMYFUNCTION("""COMPUTED_VALUE"""),5339.0)</f>
        <v>5339</v>
      </c>
      <c r="G21778" s="4">
        <f>IFERROR(__xludf.DUMMYFUNCTION("""COMPUTED_VALUE"""),51.0)</f>
        <v>51</v>
      </c>
      <c r="H21778" s="4"/>
      <c r="I21778" s="4"/>
    </row>
    <row r="21779">
      <c r="A21779" s="4" t="str">
        <f>IFERROR(__xludf.DUMMYFUNCTION("""COMPUTED_VALUE"""),"cas_hmw")</f>
        <v>cas_hmw</v>
      </c>
      <c r="B21779" s="5">
        <f>IFERROR(__xludf.DUMMYFUNCTION("""COMPUTED_VALUE"""),44787.0)</f>
        <v>44787</v>
      </c>
      <c r="C21779" s="6">
        <f>IFERROR(__xludf.DUMMYFUNCTION("""COMPUTED_VALUE"""),0.5227893518531346)</f>
        <v>0.5227893519</v>
      </c>
      <c r="D21779" s="4">
        <f>IFERROR(__xludf.DUMMYFUNCTION("""COMPUTED_VALUE"""),12.937633)</f>
        <v>12.937633</v>
      </c>
      <c r="E21779" s="4">
        <f>IFERROR(__xludf.DUMMYFUNCTION("""COMPUTED_VALUE"""),80.12854)</f>
        <v>80.12854</v>
      </c>
      <c r="F21779" s="4">
        <f>IFERROR(__xludf.DUMMYFUNCTION("""COMPUTED_VALUE"""),5339.0)</f>
        <v>5339</v>
      </c>
      <c r="G21779" s="4">
        <f>IFERROR(__xludf.DUMMYFUNCTION("""COMPUTED_VALUE"""),48.0)</f>
        <v>48</v>
      </c>
      <c r="H21779" s="4"/>
      <c r="I21779" s="4"/>
    </row>
    <row r="21780">
      <c r="A21780" s="4" t="str">
        <f>IFERROR(__xludf.DUMMYFUNCTION("""COMPUTED_VALUE"""),"cas_hmw")</f>
        <v>cas_hmw</v>
      </c>
      <c r="B21780" s="5">
        <f>IFERROR(__xludf.DUMMYFUNCTION("""COMPUTED_VALUE"""),44787.0)</f>
        <v>44787</v>
      </c>
      <c r="C21780" s="6">
        <f>IFERROR(__xludf.DUMMYFUNCTION("""COMPUTED_VALUE"""),0.5227893518531346)</f>
        <v>0.5227893519</v>
      </c>
      <c r="D21780" s="4">
        <f>IFERROR(__xludf.DUMMYFUNCTION("""COMPUTED_VALUE"""),12.937633)</f>
        <v>12.937633</v>
      </c>
      <c r="E21780" s="4">
        <f>IFERROR(__xludf.DUMMYFUNCTION("""COMPUTED_VALUE"""),80.12854)</f>
        <v>80.12854</v>
      </c>
      <c r="F21780" s="4">
        <f>IFERROR(__xludf.DUMMYFUNCTION("""COMPUTED_VALUE"""),5339.0)</f>
        <v>5339</v>
      </c>
      <c r="G21780" s="4">
        <f>IFERROR(__xludf.DUMMYFUNCTION("""COMPUTED_VALUE"""),48.0)</f>
        <v>48</v>
      </c>
      <c r="H21780" s="4"/>
      <c r="I21780" s="4"/>
    </row>
    <row r="21781">
      <c r="A21781" s="4" t="str">
        <f>IFERROR(__xludf.DUMMYFUNCTION("""COMPUTED_VALUE"""),"cas_hmw")</f>
        <v>cas_hmw</v>
      </c>
      <c r="B21781" s="5">
        <f>IFERROR(__xludf.DUMMYFUNCTION("""COMPUTED_VALUE"""),44787.0)</f>
        <v>44787</v>
      </c>
      <c r="C21781" s="6">
        <f>IFERROR(__xludf.DUMMYFUNCTION("""COMPUTED_VALUE"""),0.5228240740725596)</f>
        <v>0.5228240741</v>
      </c>
      <c r="D21781" s="4">
        <f>IFERROR(__xludf.DUMMYFUNCTION("""COMPUTED_VALUE"""),12.937633)</f>
        <v>12.937633</v>
      </c>
      <c r="E21781" s="4">
        <f>IFERROR(__xludf.DUMMYFUNCTION("""COMPUTED_VALUE"""),80.12854)</f>
        <v>80.12854</v>
      </c>
      <c r="F21781" s="4">
        <f>IFERROR(__xludf.DUMMYFUNCTION("""COMPUTED_VALUE"""),5339.0)</f>
        <v>5339</v>
      </c>
      <c r="G21781" s="4">
        <f>IFERROR(__xludf.DUMMYFUNCTION("""COMPUTED_VALUE"""),48.0)</f>
        <v>48</v>
      </c>
      <c r="H21781" s="4"/>
      <c r="I21781" s="4"/>
    </row>
    <row r="21782">
      <c r="A21782" s="4" t="str">
        <f>IFERROR(__xludf.DUMMYFUNCTION("""COMPUTED_VALUE"""),"cas_hmw")</f>
        <v>cas_hmw</v>
      </c>
      <c r="B21782" s="5">
        <f>IFERROR(__xludf.DUMMYFUNCTION("""COMPUTED_VALUE"""),44787.0)</f>
        <v>44787</v>
      </c>
      <c r="C21782" s="6">
        <f>IFERROR(__xludf.DUMMYFUNCTION("""COMPUTED_VALUE"""),0.5228472222224809)</f>
        <v>0.5228472222</v>
      </c>
      <c r="D21782" s="4">
        <f>IFERROR(__xludf.DUMMYFUNCTION("""COMPUTED_VALUE"""),12.936942)</f>
        <v>12.936942</v>
      </c>
      <c r="E21782" s="4">
        <f>IFERROR(__xludf.DUMMYFUNCTION("""COMPUTED_VALUE"""),80.127972)</f>
        <v>80.127972</v>
      </c>
      <c r="F21782" s="4">
        <f>IFERROR(__xludf.DUMMYFUNCTION("""COMPUTED_VALUE"""),5339.0)</f>
        <v>5339</v>
      </c>
      <c r="G21782" s="4">
        <f>IFERROR(__xludf.DUMMYFUNCTION("""COMPUTED_VALUE"""),26.0)</f>
        <v>26</v>
      </c>
      <c r="H21782" s="4"/>
      <c r="I21782" s="4"/>
    </row>
    <row r="21783">
      <c r="A21783" s="4" t="str">
        <f>IFERROR(__xludf.DUMMYFUNCTION("""COMPUTED_VALUE"""),"cas_hmw")</f>
        <v>cas_hmw</v>
      </c>
      <c r="B21783" s="5">
        <f>IFERROR(__xludf.DUMMYFUNCTION("""COMPUTED_VALUE"""),44787.0)</f>
        <v>44787</v>
      </c>
      <c r="C21783" s="6">
        <f>IFERROR(__xludf.DUMMYFUNCTION("""COMPUTED_VALUE"""),0.5228819444455439)</f>
        <v>0.5228819444</v>
      </c>
      <c r="D21783" s="4">
        <f>IFERROR(__xludf.DUMMYFUNCTION("""COMPUTED_VALUE"""),12.936942)</f>
        <v>12.936942</v>
      </c>
      <c r="E21783" s="4">
        <f>IFERROR(__xludf.DUMMYFUNCTION("""COMPUTED_VALUE"""),80.127972)</f>
        <v>80.127972</v>
      </c>
      <c r="F21783" s="4">
        <f>IFERROR(__xludf.DUMMYFUNCTION("""COMPUTED_VALUE"""),5339.0)</f>
        <v>5339</v>
      </c>
      <c r="G21783" s="4">
        <f>IFERROR(__xludf.DUMMYFUNCTION("""COMPUTED_VALUE"""),26.0)</f>
        <v>26</v>
      </c>
      <c r="H21783" s="4"/>
      <c r="I21783" s="4"/>
    </row>
    <row r="21784">
      <c r="A21784" s="4" t="str">
        <f>IFERROR(__xludf.DUMMYFUNCTION("""COMPUTED_VALUE"""),"cas_hmw")</f>
        <v>cas_hmw</v>
      </c>
      <c r="B21784" s="5">
        <f>IFERROR(__xludf.DUMMYFUNCTION("""COMPUTED_VALUE"""),44787.0)</f>
        <v>44787</v>
      </c>
      <c r="C21784" s="6">
        <f>IFERROR(__xludf.DUMMYFUNCTION("""COMPUTED_VALUE"""),0.5234837962962047)</f>
        <v>0.5234837963</v>
      </c>
      <c r="D21784" s="4">
        <f>IFERROR(__xludf.DUMMYFUNCTION("""COMPUTED_VALUE"""),12.933783)</f>
        <v>12.933783</v>
      </c>
      <c r="E21784" s="4">
        <f>IFERROR(__xludf.DUMMYFUNCTION("""COMPUTED_VALUE"""),80.125046)</f>
        <v>80.125046</v>
      </c>
      <c r="F21784" s="4">
        <f>IFERROR(__xludf.DUMMYFUNCTION("""COMPUTED_VALUE"""),5339.0)</f>
        <v>5339</v>
      </c>
      <c r="G21784" s="4">
        <f>IFERROR(__xludf.DUMMYFUNCTION("""COMPUTED_VALUE"""),44.0)</f>
        <v>44</v>
      </c>
      <c r="H21784" s="4"/>
      <c r="I21784" s="4"/>
    </row>
    <row r="21785">
      <c r="A21785" s="4" t="str">
        <f>IFERROR(__xludf.DUMMYFUNCTION("""COMPUTED_VALUE"""),"cas_hmw")</f>
        <v>cas_hmw</v>
      </c>
      <c r="B21785" s="5">
        <f>IFERROR(__xludf.DUMMYFUNCTION("""COMPUTED_VALUE"""),44787.0)</f>
        <v>44787</v>
      </c>
      <c r="C21785" s="6">
        <f>IFERROR(__xludf.DUMMYFUNCTION("""COMPUTED_VALUE"""),0.5244444444433611)</f>
        <v>0.5244444444</v>
      </c>
      <c r="D21785" s="4">
        <f>IFERROR(__xludf.DUMMYFUNCTION("""COMPUTED_VALUE"""),12.93136)</f>
        <v>12.93136</v>
      </c>
      <c r="E21785" s="4">
        <f>IFERROR(__xludf.DUMMYFUNCTION("""COMPUTED_VALUE"""),80.122622)</f>
        <v>80.122622</v>
      </c>
      <c r="F21785" s="4">
        <f>IFERROR(__xludf.DUMMYFUNCTION("""COMPUTED_VALUE"""),5339.0)</f>
        <v>5339</v>
      </c>
      <c r="G21785" s="4">
        <f>IFERROR(__xludf.DUMMYFUNCTION("""COMPUTED_VALUE"""),25.0)</f>
        <v>25</v>
      </c>
      <c r="H21785" s="4"/>
      <c r="I21785" s="4"/>
    </row>
    <row r="21786">
      <c r="A21786" s="4" t="str">
        <f>IFERROR(__xludf.DUMMYFUNCTION("""COMPUTED_VALUE"""),"cas_hmw")</f>
        <v>cas_hmw</v>
      </c>
      <c r="B21786" s="5">
        <f>IFERROR(__xludf.DUMMYFUNCTION("""COMPUTED_VALUE"""),44787.0)</f>
        <v>44787</v>
      </c>
      <c r="C21786" s="6">
        <f>IFERROR(__xludf.DUMMYFUNCTION("""COMPUTED_VALUE"""),0.5245717592588335)</f>
        <v>0.5245717593</v>
      </c>
      <c r="D21786" s="4">
        <f>IFERROR(__xludf.DUMMYFUNCTION("""COMPUTED_VALUE"""),12.930399)</f>
        <v>12.930399</v>
      </c>
      <c r="E21786" s="4">
        <f>IFERROR(__xludf.DUMMYFUNCTION("""COMPUTED_VALUE"""),80.121698)</f>
        <v>80.121698</v>
      </c>
      <c r="F21786" s="4">
        <f>IFERROR(__xludf.DUMMYFUNCTION("""COMPUTED_VALUE"""),5339.0)</f>
        <v>5339</v>
      </c>
      <c r="G21786" s="4">
        <f>IFERROR(__xludf.DUMMYFUNCTION("""COMPUTED_VALUE"""),39.0)</f>
        <v>39</v>
      </c>
      <c r="H21786" s="4"/>
      <c r="I21786" s="4"/>
    </row>
    <row r="21787">
      <c r="A21787" s="4" t="str">
        <f>IFERROR(__xludf.DUMMYFUNCTION("""COMPUTED_VALUE"""),"cas_hmw")</f>
        <v>cas_hmw</v>
      </c>
      <c r="B21787" s="5">
        <f>IFERROR(__xludf.DUMMYFUNCTION("""COMPUTED_VALUE"""),44787.0)</f>
        <v>44787</v>
      </c>
      <c r="C21787" s="6">
        <f>IFERROR(__xludf.DUMMYFUNCTION("""COMPUTED_VALUE"""),0.526087962964084)</f>
        <v>0.526087963</v>
      </c>
      <c r="D21787" s="4">
        <f>IFERROR(__xludf.DUMMYFUNCTION("""COMPUTED_VALUE"""),12.922145)</f>
        <v>12.922145</v>
      </c>
      <c r="E21787" s="4">
        <f>IFERROR(__xludf.DUMMYFUNCTION("""COMPUTED_VALUE"""),80.113377)</f>
        <v>80.113377</v>
      </c>
      <c r="F21787" s="4">
        <f>IFERROR(__xludf.DUMMYFUNCTION("""COMPUTED_VALUE"""),5339.0)</f>
        <v>5339</v>
      </c>
      <c r="G21787" s="4">
        <f>IFERROR(__xludf.DUMMYFUNCTION("""COMPUTED_VALUE"""),43.0)</f>
        <v>43</v>
      </c>
      <c r="H21787" s="4"/>
      <c r="I21787" s="4"/>
    </row>
    <row r="21788">
      <c r="A21788" s="4" t="str">
        <f>IFERROR(__xludf.DUMMYFUNCTION("""COMPUTED_VALUE"""),"cas_hmw")</f>
        <v>cas_hmw</v>
      </c>
      <c r="B21788" s="5">
        <f>IFERROR(__xludf.DUMMYFUNCTION("""COMPUTED_VALUE"""),44787.0)</f>
        <v>44787</v>
      </c>
      <c r="C21788" s="6">
        <f>IFERROR(__xludf.DUMMYFUNCTION("""COMPUTED_VALUE"""),0.5267708333340124)</f>
        <v>0.5267708333</v>
      </c>
      <c r="D21788" s="4">
        <f>IFERROR(__xludf.DUMMYFUNCTION("""COMPUTED_VALUE"""),12.917058)</f>
        <v>12.917058</v>
      </c>
      <c r="E21788" s="4">
        <f>IFERROR(__xludf.DUMMYFUNCTION("""COMPUTED_VALUE"""),80.107365)</f>
        <v>80.107365</v>
      </c>
      <c r="F21788" s="4">
        <f>IFERROR(__xludf.DUMMYFUNCTION("""COMPUTED_VALUE"""),5339.0)</f>
        <v>5339</v>
      </c>
      <c r="G21788" s="4">
        <f>IFERROR(__xludf.DUMMYFUNCTION("""COMPUTED_VALUE"""),0.0)</f>
        <v>0</v>
      </c>
      <c r="H21788" s="4"/>
      <c r="I21788" s="4"/>
    </row>
    <row r="21789">
      <c r="A21789" s="4" t="str">
        <f>IFERROR(__xludf.DUMMYFUNCTION("""COMPUTED_VALUE"""),"cas_hmw")</f>
        <v>cas_hmw</v>
      </c>
      <c r="B21789" s="5">
        <f>IFERROR(__xludf.DUMMYFUNCTION("""COMPUTED_VALUE"""),44787.0)</f>
        <v>44787</v>
      </c>
      <c r="C21789" s="6">
        <f>IFERROR(__xludf.DUMMYFUNCTION("""COMPUTED_VALUE"""),0.5308912037035043)</f>
        <v>0.5308912037</v>
      </c>
      <c r="D21789" s="4">
        <f>IFERROR(__xludf.DUMMYFUNCTION("""COMPUTED_VALUE"""),12.905055)</f>
        <v>12.905055</v>
      </c>
      <c r="E21789" s="4">
        <f>IFERROR(__xludf.DUMMYFUNCTION("""COMPUTED_VALUE"""),80.095538)</f>
        <v>80.095538</v>
      </c>
      <c r="F21789" s="4">
        <f>IFERROR(__xludf.DUMMYFUNCTION("""COMPUTED_VALUE"""),5339.0)</f>
        <v>5339</v>
      </c>
      <c r="G21789" s="4">
        <f>IFERROR(__xludf.DUMMYFUNCTION("""COMPUTED_VALUE"""),0.0)</f>
        <v>0</v>
      </c>
      <c r="H21789" s="4"/>
      <c r="I21789" s="4"/>
    </row>
    <row r="21790">
      <c r="A21790" s="4" t="str">
        <f>IFERROR(__xludf.DUMMYFUNCTION("""COMPUTED_VALUE"""),"cas_hmw")</f>
        <v>cas_hmw</v>
      </c>
      <c r="B21790" s="5">
        <f>IFERROR(__xludf.DUMMYFUNCTION("""COMPUTED_VALUE"""),44787.0)</f>
        <v>44787</v>
      </c>
      <c r="C21790" s="6">
        <f>IFERROR(__xludf.DUMMYFUNCTION("""COMPUTED_VALUE"""),0.5310185185189766)</f>
        <v>0.5310185185</v>
      </c>
      <c r="D21790" s="4">
        <f>IFERROR(__xludf.DUMMYFUNCTION("""COMPUTED_VALUE"""),12.904305)</f>
        <v>12.904305</v>
      </c>
      <c r="E21790" s="4">
        <f>IFERROR(__xludf.DUMMYFUNCTION("""COMPUTED_VALUE"""),80.09501)</f>
        <v>80.09501</v>
      </c>
      <c r="F21790" s="4">
        <f>IFERROR(__xludf.DUMMYFUNCTION("""COMPUTED_VALUE"""),5339.0)</f>
        <v>5339</v>
      </c>
      <c r="G21790" s="4">
        <f>IFERROR(__xludf.DUMMYFUNCTION("""COMPUTED_VALUE"""),33.0)</f>
        <v>33</v>
      </c>
      <c r="H21790" s="4"/>
      <c r="I21790" s="4"/>
    </row>
    <row r="21791">
      <c r="A21791" s="4" t="str">
        <f>IFERROR(__xludf.DUMMYFUNCTION("""COMPUTED_VALUE"""),"cas_hmw")</f>
        <v>cas_hmw</v>
      </c>
      <c r="B21791" s="5">
        <f>IFERROR(__xludf.DUMMYFUNCTION("""COMPUTED_VALUE"""),44787.0)</f>
        <v>44787</v>
      </c>
      <c r="C21791" s="6">
        <f>IFERROR(__xludf.DUMMYFUNCTION("""COMPUTED_VALUE"""),0.5318518518506608)</f>
        <v>0.5318518519</v>
      </c>
      <c r="D21791" s="4">
        <f>IFERROR(__xludf.DUMMYFUNCTION("""COMPUTED_VALUE"""),12.89828)</f>
        <v>12.89828</v>
      </c>
      <c r="E21791" s="4">
        <f>IFERROR(__xludf.DUMMYFUNCTION("""COMPUTED_VALUE"""),80.090226)</f>
        <v>80.090226</v>
      </c>
      <c r="F21791" s="4">
        <f>IFERROR(__xludf.DUMMYFUNCTION("""COMPUTED_VALUE"""),5339.0)</f>
        <v>5339</v>
      </c>
      <c r="G21791" s="4">
        <f>IFERROR(__xludf.DUMMYFUNCTION("""COMPUTED_VALUE"""),55.0)</f>
        <v>55</v>
      </c>
      <c r="H21791" s="4"/>
      <c r="I21791" s="4"/>
    </row>
    <row r="21792">
      <c r="A21792" s="4" t="str">
        <f>IFERROR(__xludf.DUMMYFUNCTION("""COMPUTED_VALUE"""),"cas_hmw")</f>
        <v>cas_hmw</v>
      </c>
      <c r="B21792" s="5">
        <f>IFERROR(__xludf.DUMMYFUNCTION("""COMPUTED_VALUE"""),44787.0)</f>
        <v>44787</v>
      </c>
      <c r="C21792" s="6">
        <f>IFERROR(__xludf.DUMMYFUNCTION("""COMPUTED_VALUE"""),0.5332060185173759)</f>
        <v>0.5332060185</v>
      </c>
      <c r="D21792" s="4">
        <f>IFERROR(__xludf.DUMMYFUNCTION("""COMPUTED_VALUE"""),12.885771)</f>
        <v>12.885771</v>
      </c>
      <c r="E21792" s="4">
        <f>IFERROR(__xludf.DUMMYFUNCTION("""COMPUTED_VALUE"""),80.082882)</f>
        <v>80.082882</v>
      </c>
      <c r="F21792" s="4">
        <f>IFERROR(__xludf.DUMMYFUNCTION("""COMPUTED_VALUE"""),5339.0)</f>
        <v>5339</v>
      </c>
      <c r="G21792" s="4">
        <f>IFERROR(__xludf.DUMMYFUNCTION("""COMPUTED_VALUE"""),58.0)</f>
        <v>58</v>
      </c>
      <c r="H21792" s="4"/>
      <c r="I21792" s="4"/>
    </row>
    <row r="21793">
      <c r="A21793" s="4" t="str">
        <f>IFERROR(__xludf.DUMMYFUNCTION("""COMPUTED_VALUE"""),"cas_hmw")</f>
        <v>cas_hmw</v>
      </c>
      <c r="B21793" s="5">
        <f>IFERROR(__xludf.DUMMYFUNCTION("""COMPUTED_VALUE"""),44787.0)</f>
        <v>44787</v>
      </c>
      <c r="C21793" s="6">
        <f>IFERROR(__xludf.DUMMYFUNCTION("""COMPUTED_VALUE"""),0.5358564814814599)</f>
        <v>0.5358564815</v>
      </c>
      <c r="D21793" s="4">
        <f>IFERROR(__xludf.DUMMYFUNCTION("""COMPUTED_VALUE"""),12.878412)</f>
        <v>12.878412</v>
      </c>
      <c r="E21793" s="4">
        <f>IFERROR(__xludf.DUMMYFUNCTION("""COMPUTED_VALUE"""),80.082284)</f>
        <v>80.082284</v>
      </c>
      <c r="F21793" s="4">
        <f>IFERROR(__xludf.DUMMYFUNCTION("""COMPUTED_VALUE"""),5339.0)</f>
        <v>5339</v>
      </c>
      <c r="G21793" s="4">
        <f>IFERROR(__xludf.DUMMYFUNCTION("""COMPUTED_VALUE"""),34.0)</f>
        <v>34</v>
      </c>
      <c r="H21793" s="4"/>
      <c r="I21793" s="4"/>
    </row>
    <row r="21794">
      <c r="A21794" s="4" t="str">
        <f>IFERROR(__xludf.DUMMYFUNCTION("""COMPUTED_VALUE"""),"cas_hmw")</f>
        <v>cas_hmw</v>
      </c>
      <c r="B21794" s="5">
        <f>IFERROR(__xludf.DUMMYFUNCTION("""COMPUTED_VALUE"""),44788.0)</f>
        <v>44788</v>
      </c>
      <c r="C21794" s="6">
        <f>IFERROR(__xludf.DUMMYFUNCTION("""COMPUTED_VALUE"""),0.23550925925883348)</f>
        <v>0.2355092593</v>
      </c>
      <c r="D21794" s="4">
        <f>IFERROR(__xludf.DUMMYFUNCTION("""COMPUTED_VALUE"""),12.876102)</f>
        <v>12.876102</v>
      </c>
      <c r="E21794" s="4">
        <f>IFERROR(__xludf.DUMMYFUNCTION("""COMPUTED_VALUE"""),80.07913)</f>
        <v>80.07913</v>
      </c>
      <c r="F21794" s="4">
        <f>IFERROR(__xludf.DUMMYFUNCTION("""COMPUTED_VALUE"""),3143.0)</f>
        <v>3143</v>
      </c>
      <c r="G21794" s="4">
        <f>IFERROR(__xludf.DUMMYFUNCTION("""COMPUTED_VALUE"""),52.0)</f>
        <v>52</v>
      </c>
      <c r="H21794" s="4"/>
      <c r="I21794" s="4"/>
    </row>
    <row r="21795">
      <c r="A21795" s="4" t="str">
        <f>IFERROR(__xludf.DUMMYFUNCTION("""COMPUTED_VALUE"""),"cas_hmw")</f>
        <v>cas_hmw</v>
      </c>
      <c r="B21795" s="5">
        <f>IFERROR(__xludf.DUMMYFUNCTION("""COMPUTED_VALUE"""),44788.0)</f>
        <v>44788</v>
      </c>
      <c r="C21795" s="6">
        <f>IFERROR(__xludf.DUMMYFUNCTION("""COMPUTED_VALUE"""),0.23584490740904585)</f>
        <v>0.2358449074</v>
      </c>
      <c r="D21795" s="4">
        <f>IFERROR(__xludf.DUMMYFUNCTION("""COMPUTED_VALUE"""),12.872466)</f>
        <v>12.872466</v>
      </c>
      <c r="E21795" s="4">
        <f>IFERROR(__xludf.DUMMYFUNCTION("""COMPUTED_VALUE"""),80.077571)</f>
        <v>80.077571</v>
      </c>
      <c r="F21795" s="4">
        <f>IFERROR(__xludf.DUMMYFUNCTION("""COMPUTED_VALUE"""),3143.0)</f>
        <v>3143</v>
      </c>
      <c r="G21795" s="4">
        <f>IFERROR(__xludf.DUMMYFUNCTION("""COMPUTED_VALUE"""),54.0)</f>
        <v>54</v>
      </c>
      <c r="H21795" s="4"/>
      <c r="I21795" s="4"/>
    </row>
    <row r="21796">
      <c r="A21796" s="4" t="str">
        <f>IFERROR(__xludf.DUMMYFUNCTION("""COMPUTED_VALUE"""),"cas_hmw")</f>
        <v>cas_hmw</v>
      </c>
      <c r="B21796" s="5">
        <f>IFERROR(__xludf.DUMMYFUNCTION("""COMPUTED_VALUE"""),44788.0)</f>
        <v>44788</v>
      </c>
      <c r="C21796" s="6">
        <f>IFERROR(__xludf.DUMMYFUNCTION("""COMPUTED_VALUE"""),0.24664351851970423)</f>
        <v>0.2466435185</v>
      </c>
      <c r="D21796" s="4">
        <f>IFERROR(__xludf.DUMMYFUNCTION("""COMPUTED_VALUE"""),12.932021)</f>
        <v>12.932021</v>
      </c>
      <c r="E21796" s="4">
        <f>IFERROR(__xludf.DUMMYFUNCTION("""COMPUTED_VALUE"""),80.123134)</f>
        <v>80.123134</v>
      </c>
      <c r="F21796" s="4">
        <f>IFERROR(__xludf.DUMMYFUNCTION("""COMPUTED_VALUE"""),5339.0)</f>
        <v>5339</v>
      </c>
      <c r="G21796" s="4">
        <f>IFERROR(__xludf.DUMMYFUNCTION("""COMPUTED_VALUE"""),32.0)</f>
        <v>32</v>
      </c>
      <c r="H21796" s="4"/>
      <c r="I21796" s="4"/>
    </row>
    <row r="21797">
      <c r="A21797" s="4" t="str">
        <f>IFERROR(__xludf.DUMMYFUNCTION("""COMPUTED_VALUE"""),"cas_hmw")</f>
        <v>cas_hmw</v>
      </c>
      <c r="B21797" s="5">
        <f>IFERROR(__xludf.DUMMYFUNCTION("""COMPUTED_VALUE"""),44788.0)</f>
        <v>44788</v>
      </c>
      <c r="C21797" s="6">
        <f>IFERROR(__xludf.DUMMYFUNCTION("""COMPUTED_VALUE"""),0.2542592592581059)</f>
        <v>0.2542592593</v>
      </c>
      <c r="D21797" s="4">
        <f>IFERROR(__xludf.DUMMYFUNCTION("""COMPUTED_VALUE"""),12.84133)</f>
        <v>12.84133</v>
      </c>
      <c r="E21797" s="4">
        <f>IFERROR(__xludf.DUMMYFUNCTION("""COMPUTED_VALUE"""),80.056821)</f>
        <v>80.056821</v>
      </c>
      <c r="F21797" s="4">
        <f>IFERROR(__xludf.DUMMYFUNCTION("""COMPUTED_VALUE"""),3143.0)</f>
        <v>3143</v>
      </c>
      <c r="G21797" s="4">
        <f>IFERROR(__xludf.DUMMYFUNCTION("""COMPUTED_VALUE"""),55.0)</f>
        <v>55</v>
      </c>
      <c r="H21797" s="4"/>
      <c r="I21797" s="4"/>
    </row>
    <row r="21798">
      <c r="A21798" s="4" t="str">
        <f>IFERROR(__xludf.DUMMYFUNCTION("""COMPUTED_VALUE"""),"cas_hmw")</f>
        <v>cas_hmw</v>
      </c>
      <c r="B21798" s="5">
        <f>IFERROR(__xludf.DUMMYFUNCTION("""COMPUTED_VALUE"""),44788.0)</f>
        <v>44788</v>
      </c>
      <c r="C21798" s="6">
        <f>IFERROR(__xludf.DUMMYFUNCTION("""COMPUTED_VALUE"""),0.25724537036876427)</f>
        <v>0.2572453704</v>
      </c>
      <c r="D21798" s="4">
        <f>IFERROR(__xludf.DUMMYFUNCTION("""COMPUTED_VALUE"""),12.865049)</f>
        <v>12.865049</v>
      </c>
      <c r="E21798" s="4">
        <f>IFERROR(__xludf.DUMMYFUNCTION("""COMPUTED_VALUE"""),80.074538)</f>
        <v>80.074538</v>
      </c>
      <c r="F21798" s="4">
        <f>IFERROR(__xludf.DUMMYFUNCTION("""COMPUTED_VALUE"""),3143.0)</f>
        <v>3143</v>
      </c>
      <c r="G21798" s="4">
        <f>IFERROR(__xludf.DUMMYFUNCTION("""COMPUTED_VALUE"""),59.0)</f>
        <v>59</v>
      </c>
      <c r="H21798" s="4"/>
      <c r="I21798" s="4"/>
    </row>
    <row r="21799">
      <c r="A21799" s="4" t="str">
        <f>IFERROR(__xludf.DUMMYFUNCTION("""COMPUTED_VALUE"""),"cas_hmw")</f>
        <v>cas_hmw</v>
      </c>
      <c r="B21799" s="5">
        <f>IFERROR(__xludf.DUMMYFUNCTION("""COMPUTED_VALUE"""),44788.0)</f>
        <v>44788</v>
      </c>
      <c r="C21799" s="6">
        <f>IFERROR(__xludf.DUMMYFUNCTION("""COMPUTED_VALUE"""),0.25760416666526)</f>
        <v>0.2576041667</v>
      </c>
      <c r="D21799" s="4">
        <f>IFERROR(__xludf.DUMMYFUNCTION("""COMPUTED_VALUE"""),12.869044)</f>
        <v>12.869044</v>
      </c>
      <c r="E21799" s="4">
        <f>IFERROR(__xludf.DUMMYFUNCTION("""COMPUTED_VALUE"""),80.076123)</f>
        <v>80.076123</v>
      </c>
      <c r="F21799" s="4">
        <f>IFERROR(__xludf.DUMMYFUNCTION("""COMPUTED_VALUE"""),3143.0)</f>
        <v>3143</v>
      </c>
      <c r="G21799" s="4">
        <f>IFERROR(__xludf.DUMMYFUNCTION("""COMPUTED_VALUE"""),58.0)</f>
        <v>58</v>
      </c>
      <c r="H21799" s="4"/>
      <c r="I21799" s="4"/>
    </row>
    <row r="21800">
      <c r="A21800" s="4" t="str">
        <f>IFERROR(__xludf.DUMMYFUNCTION("""COMPUTED_VALUE"""),"cas_hmw")</f>
        <v>cas_hmw</v>
      </c>
      <c r="B21800" s="5">
        <f>IFERROR(__xludf.DUMMYFUNCTION("""COMPUTED_VALUE"""),44788.0)</f>
        <v>44788</v>
      </c>
      <c r="C21800" s="6">
        <f>IFERROR(__xludf.DUMMYFUNCTION("""COMPUTED_VALUE"""),0.2581712962964957)</f>
        <v>0.2581712963</v>
      </c>
      <c r="D21800" s="4">
        <f>IFERROR(__xludf.DUMMYFUNCTION("""COMPUTED_VALUE"""),12.955986)</f>
        <v>12.955986</v>
      </c>
      <c r="E21800" s="4">
        <f>IFERROR(__xludf.DUMMYFUNCTION("""COMPUTED_VALUE"""),80.142971)</f>
        <v>80.142971</v>
      </c>
      <c r="F21800" s="4">
        <f>IFERROR(__xludf.DUMMYFUNCTION("""COMPUTED_VALUE"""),5339.0)</f>
        <v>5339</v>
      </c>
      <c r="G21800" s="4">
        <f>IFERROR(__xludf.DUMMYFUNCTION("""COMPUTED_VALUE"""),15.0)</f>
        <v>15</v>
      </c>
      <c r="H21800" s="4"/>
      <c r="I21800" s="4"/>
    </row>
    <row r="21801">
      <c r="A21801" s="4" t="str">
        <f>IFERROR(__xludf.DUMMYFUNCTION("""COMPUTED_VALUE"""),"cas_hmw")</f>
        <v>cas_hmw</v>
      </c>
      <c r="B21801" s="5">
        <f>IFERROR(__xludf.DUMMYFUNCTION("""COMPUTED_VALUE"""),44788.0)</f>
        <v>44788</v>
      </c>
      <c r="C21801" s="6">
        <f>IFERROR(__xludf.DUMMYFUNCTION("""COMPUTED_VALUE"""),0.2581828703696374)</f>
        <v>0.2581828704</v>
      </c>
      <c r="D21801" s="4">
        <f>IFERROR(__xludf.DUMMYFUNCTION("""COMPUTED_VALUE"""),12.955986)</f>
        <v>12.955986</v>
      </c>
      <c r="E21801" s="4">
        <f>IFERROR(__xludf.DUMMYFUNCTION("""COMPUTED_VALUE"""),80.142971)</f>
        <v>80.142971</v>
      </c>
      <c r="F21801" s="4">
        <f>IFERROR(__xludf.DUMMYFUNCTION("""COMPUTED_VALUE"""),5339.0)</f>
        <v>5339</v>
      </c>
      <c r="G21801" s="4">
        <f>IFERROR(__xludf.DUMMYFUNCTION("""COMPUTED_VALUE"""),15.0)</f>
        <v>15</v>
      </c>
      <c r="H21801" s="4"/>
      <c r="I21801" s="4"/>
    </row>
    <row r="21802">
      <c r="A21802" s="4" t="str">
        <f>IFERROR(__xludf.DUMMYFUNCTION("""COMPUTED_VALUE"""),"cas_hmw")</f>
        <v>cas_hmw</v>
      </c>
      <c r="B21802" s="5">
        <f>IFERROR(__xludf.DUMMYFUNCTION("""COMPUTED_VALUE"""),44788.0)</f>
        <v>44788</v>
      </c>
      <c r="C21802" s="6">
        <f>IFERROR(__xludf.DUMMYFUNCTION("""COMPUTED_VALUE"""),0.2591087962973688)</f>
        <v>0.2591087963</v>
      </c>
      <c r="D21802" s="4">
        <f>IFERROR(__xludf.DUMMYFUNCTION("""COMPUTED_VALUE"""),12.960918)</f>
        <v>12.960918</v>
      </c>
      <c r="E21802" s="4">
        <f>IFERROR(__xludf.DUMMYFUNCTION("""COMPUTED_VALUE"""),80.145647)</f>
        <v>80.145647</v>
      </c>
      <c r="F21802" s="4">
        <f>IFERROR(__xludf.DUMMYFUNCTION("""COMPUTED_VALUE"""),5339.0)</f>
        <v>5339</v>
      </c>
      <c r="G21802" s="4">
        <f>IFERROR(__xludf.DUMMYFUNCTION("""COMPUTED_VALUE"""),0.0)</f>
        <v>0</v>
      </c>
      <c r="H21802" s="4"/>
      <c r="I21802" s="4"/>
    </row>
    <row r="21803">
      <c r="A21803" s="4" t="str">
        <f>IFERROR(__xludf.DUMMYFUNCTION("""COMPUTED_VALUE"""),"cas_hmw")</f>
        <v>cas_hmw</v>
      </c>
      <c r="B21803" s="5">
        <f>IFERROR(__xludf.DUMMYFUNCTION("""COMPUTED_VALUE"""),44788.0)</f>
        <v>44788</v>
      </c>
      <c r="C21803" s="6">
        <f>IFERROR(__xludf.DUMMYFUNCTION("""COMPUTED_VALUE"""),0.2595138888900692)</f>
        <v>0.2595138889</v>
      </c>
      <c r="D21803" s="4">
        <f>IFERROR(__xludf.DUMMYFUNCTION("""COMPUTED_VALUE"""),12.961199)</f>
        <v>12.961199</v>
      </c>
      <c r="E21803" s="4">
        <f>IFERROR(__xludf.DUMMYFUNCTION("""COMPUTED_VALUE"""),80.145794)</f>
        <v>80.145794</v>
      </c>
      <c r="F21803" s="4">
        <f>IFERROR(__xludf.DUMMYFUNCTION("""COMPUTED_VALUE"""),5339.0)</f>
        <v>5339</v>
      </c>
      <c r="G21803" s="4">
        <f>IFERROR(__xludf.DUMMYFUNCTION("""COMPUTED_VALUE"""),22.0)</f>
        <v>22</v>
      </c>
      <c r="H21803" s="4"/>
      <c r="I21803" s="4"/>
    </row>
    <row r="21804">
      <c r="A21804" s="4" t="str">
        <f>IFERROR(__xludf.DUMMYFUNCTION("""COMPUTED_VALUE"""),"cas_hmw")</f>
        <v>cas_hmw</v>
      </c>
      <c r="B21804" s="5">
        <f>IFERROR(__xludf.DUMMYFUNCTION("""COMPUTED_VALUE"""),44788.0)</f>
        <v>44788</v>
      </c>
      <c r="C21804" s="6">
        <f>IFERROR(__xludf.DUMMYFUNCTION("""COMPUTED_VALUE"""),0.2595254629632109)</f>
        <v>0.259525463</v>
      </c>
      <c r="D21804" s="4">
        <f>IFERROR(__xludf.DUMMYFUNCTION("""COMPUTED_VALUE"""),12.963636)</f>
        <v>12.963636</v>
      </c>
      <c r="E21804" s="4">
        <f>IFERROR(__xludf.DUMMYFUNCTION("""COMPUTED_VALUE"""),80.147124)</f>
        <v>80.147124</v>
      </c>
      <c r="F21804" s="4">
        <f>IFERROR(__xludf.DUMMYFUNCTION("""COMPUTED_VALUE"""),5339.0)</f>
        <v>5339</v>
      </c>
      <c r="G21804" s="4">
        <f>IFERROR(__xludf.DUMMYFUNCTION("""COMPUTED_VALUE"""),49.0)</f>
        <v>49</v>
      </c>
      <c r="H21804" s="4"/>
      <c r="I21804" s="4"/>
    </row>
    <row r="21805">
      <c r="A21805" s="4" t="str">
        <f>IFERROR(__xludf.DUMMYFUNCTION("""COMPUTED_VALUE"""),"cas_hmw")</f>
        <v>cas_hmw</v>
      </c>
      <c r="B21805" s="5">
        <f>IFERROR(__xludf.DUMMYFUNCTION("""COMPUTED_VALUE"""),44788.0)</f>
        <v>44788</v>
      </c>
      <c r="C21805" s="6">
        <f>IFERROR(__xludf.DUMMYFUNCTION("""COMPUTED_VALUE"""),0.26067129629518604)</f>
        <v>0.2606712963</v>
      </c>
      <c r="D21805" s="4">
        <f>IFERROR(__xludf.DUMMYFUNCTION("""COMPUTED_VALUE"""),12.974759)</f>
        <v>12.974759</v>
      </c>
      <c r="E21805" s="4">
        <f>IFERROR(__xludf.DUMMYFUNCTION("""COMPUTED_VALUE"""),80.155205)</f>
        <v>80.155205</v>
      </c>
      <c r="F21805" s="4">
        <f>IFERROR(__xludf.DUMMYFUNCTION("""COMPUTED_VALUE"""),5339.0)</f>
        <v>5339</v>
      </c>
      <c r="G21805" s="4">
        <f>IFERROR(__xludf.DUMMYFUNCTION("""COMPUTED_VALUE"""),64.0)</f>
        <v>64</v>
      </c>
      <c r="H21805" s="4"/>
      <c r="I21805" s="4"/>
    </row>
    <row r="21806">
      <c r="A21806" s="4" t="str">
        <f>IFERROR(__xludf.DUMMYFUNCTION("""COMPUTED_VALUE"""),"cas_hmw")</f>
        <v>cas_hmw</v>
      </c>
      <c r="B21806" s="5">
        <f>IFERROR(__xludf.DUMMYFUNCTION("""COMPUTED_VALUE"""),44788.0)</f>
        <v>44788</v>
      </c>
      <c r="C21806" s="6">
        <f>IFERROR(__xludf.DUMMYFUNCTION("""COMPUTED_VALUE"""),0.2629976851858373)</f>
        <v>0.2629976852</v>
      </c>
      <c r="D21806" s="4">
        <f>IFERROR(__xludf.DUMMYFUNCTION("""COMPUTED_VALUE"""),12.989968)</f>
        <v>12.989968</v>
      </c>
      <c r="E21806" s="4">
        <f>IFERROR(__xludf.DUMMYFUNCTION("""COMPUTED_VALUE"""),80.179405)</f>
        <v>80.179405</v>
      </c>
      <c r="F21806" s="4">
        <f>IFERROR(__xludf.DUMMYFUNCTION("""COMPUTED_VALUE"""),5339.0)</f>
        <v>5339</v>
      </c>
      <c r="G21806" s="4">
        <f>IFERROR(__xludf.DUMMYFUNCTION("""COMPUTED_VALUE"""),55.0)</f>
        <v>55</v>
      </c>
      <c r="H21806" s="4"/>
      <c r="I21806" s="4"/>
    </row>
    <row r="21807">
      <c r="A21807" s="4" t="str">
        <f>IFERROR(__xludf.DUMMYFUNCTION("""COMPUTED_VALUE"""),"cas_hmw")</f>
        <v>cas_hmw</v>
      </c>
      <c r="B21807" s="5">
        <f>IFERROR(__xludf.DUMMYFUNCTION("""COMPUTED_VALUE"""),44788.0)</f>
        <v>44788</v>
      </c>
      <c r="C21807" s="6">
        <f>IFERROR(__xludf.DUMMYFUNCTION("""COMPUTED_VALUE"""),0.26437499999883585)</f>
        <v>0.264375</v>
      </c>
      <c r="D21807" s="4">
        <f>IFERROR(__xludf.DUMMYFUNCTION("""COMPUTED_VALUE"""),12.99594)</f>
        <v>12.99594</v>
      </c>
      <c r="E21807" s="4">
        <f>IFERROR(__xludf.DUMMYFUNCTION("""COMPUTED_VALUE"""),80.189104)</f>
        <v>80.189104</v>
      </c>
      <c r="F21807" s="4">
        <f>IFERROR(__xludf.DUMMYFUNCTION("""COMPUTED_VALUE"""),5339.0)</f>
        <v>5339</v>
      </c>
      <c r="G21807" s="4">
        <f>IFERROR(__xludf.DUMMYFUNCTION("""COMPUTED_VALUE"""),57.0)</f>
        <v>57</v>
      </c>
      <c r="H21807" s="4"/>
      <c r="I21807" s="4"/>
    </row>
    <row r="21808">
      <c r="A21808" s="4" t="str">
        <f>IFERROR(__xludf.DUMMYFUNCTION("""COMPUTED_VALUE"""),"cas_hmw")</f>
        <v>cas_hmw</v>
      </c>
      <c r="B21808" s="5">
        <f>IFERROR(__xludf.DUMMYFUNCTION("""COMPUTED_VALUE"""),44788.0)</f>
        <v>44788</v>
      </c>
      <c r="C21808" s="6">
        <f>IFERROR(__xludf.DUMMYFUNCTION("""COMPUTED_VALUE"""),0.2646527777760639)</f>
        <v>0.2646527778</v>
      </c>
      <c r="D21808" s="4">
        <f>IFERROR(__xludf.DUMMYFUNCTION("""COMPUTED_VALUE"""),12.997827)</f>
        <v>12.997827</v>
      </c>
      <c r="E21808" s="4">
        <f>IFERROR(__xludf.DUMMYFUNCTION("""COMPUTED_VALUE"""),80.191368)</f>
        <v>80.191368</v>
      </c>
      <c r="F21808" s="4">
        <f>IFERROR(__xludf.DUMMYFUNCTION("""COMPUTED_VALUE"""),5339.0)</f>
        <v>5339</v>
      </c>
      <c r="G21808" s="4">
        <f>IFERROR(__xludf.DUMMYFUNCTION("""COMPUTED_VALUE"""),56.0)</f>
        <v>56</v>
      </c>
      <c r="H21808" s="4"/>
      <c r="I21808" s="4"/>
    </row>
    <row r="21809">
      <c r="A21809" s="4" t="str">
        <f>IFERROR(__xludf.DUMMYFUNCTION("""COMPUTED_VALUE"""),"cas_hmw")</f>
        <v>cas_hmw</v>
      </c>
      <c r="B21809" s="5">
        <f>IFERROR(__xludf.DUMMYFUNCTION("""COMPUTED_VALUE"""),44788.0)</f>
        <v>44788</v>
      </c>
      <c r="C21809" s="6">
        <f>IFERROR(__xludf.DUMMYFUNCTION("""COMPUTED_VALUE"""),0.26480324074145756)</f>
        <v>0.2648032407</v>
      </c>
      <c r="D21809" s="4">
        <f>IFERROR(__xludf.DUMMYFUNCTION("""COMPUTED_VALUE"""),12.997827)</f>
        <v>12.997827</v>
      </c>
      <c r="E21809" s="4">
        <f>IFERROR(__xludf.DUMMYFUNCTION("""COMPUTED_VALUE"""),80.191368)</f>
        <v>80.191368</v>
      </c>
      <c r="F21809" s="4">
        <f>IFERROR(__xludf.DUMMYFUNCTION("""COMPUTED_VALUE"""),5339.0)</f>
        <v>5339</v>
      </c>
      <c r="G21809" s="4">
        <f>IFERROR(__xludf.DUMMYFUNCTION("""COMPUTED_VALUE"""),56.0)</f>
        <v>56</v>
      </c>
      <c r="H21809" s="4"/>
      <c r="I21809" s="4"/>
    </row>
    <row r="21810">
      <c r="A21810" s="4" t="str">
        <f>IFERROR(__xludf.DUMMYFUNCTION("""COMPUTED_VALUE"""),"cas_hmw")</f>
        <v>cas_hmw</v>
      </c>
      <c r="B21810" s="5">
        <f>IFERROR(__xludf.DUMMYFUNCTION("""COMPUTED_VALUE"""),44788.0)</f>
        <v>44788</v>
      </c>
      <c r="C21810" s="6">
        <f>IFERROR(__xludf.DUMMYFUNCTION("""COMPUTED_VALUE"""),0.26502314814933925)</f>
        <v>0.2650231481</v>
      </c>
      <c r="D21810" s="4">
        <f>IFERROR(__xludf.DUMMYFUNCTION("""COMPUTED_VALUE"""),13.001038)</f>
        <v>13.001038</v>
      </c>
      <c r="E21810" s="4">
        <f>IFERROR(__xludf.DUMMYFUNCTION("""COMPUTED_VALUE"""),80.195366)</f>
        <v>80.195366</v>
      </c>
      <c r="F21810" s="4">
        <f>IFERROR(__xludf.DUMMYFUNCTION("""COMPUTED_VALUE"""),5339.0)</f>
        <v>5339</v>
      </c>
      <c r="G21810" s="4">
        <f>IFERROR(__xludf.DUMMYFUNCTION("""COMPUTED_VALUE"""),41.0)</f>
        <v>41</v>
      </c>
      <c r="H21810" s="4"/>
      <c r="I21810" s="4"/>
    </row>
    <row r="21811">
      <c r="A21811" s="4" t="str">
        <f>IFERROR(__xludf.DUMMYFUNCTION("""COMPUTED_VALUE"""),"cas_hmw")</f>
        <v>cas_hmw</v>
      </c>
      <c r="B21811" s="5">
        <f>IFERROR(__xludf.DUMMYFUNCTION("""COMPUTED_VALUE"""),44788.0)</f>
        <v>44788</v>
      </c>
      <c r="C21811" s="6">
        <f>IFERROR(__xludf.DUMMYFUNCTION("""COMPUTED_VALUE"""),0.26739583333255723)</f>
        <v>0.2673958333</v>
      </c>
      <c r="D21811" s="4">
        <f>IFERROR(__xludf.DUMMYFUNCTION("""COMPUTED_VALUE"""),13.005673)</f>
        <v>13.005673</v>
      </c>
      <c r="E21811" s="4">
        <f>IFERROR(__xludf.DUMMYFUNCTION("""COMPUTED_VALUE"""),80.201984)</f>
        <v>80.201984</v>
      </c>
      <c r="F21811" s="4">
        <f>IFERROR(__xludf.DUMMYFUNCTION("""COMPUTED_VALUE"""),5339.0)</f>
        <v>5339</v>
      </c>
      <c r="G21811" s="4">
        <f>IFERROR(__xludf.DUMMYFUNCTION("""COMPUTED_VALUE"""),52.0)</f>
        <v>52</v>
      </c>
      <c r="H21811" s="4"/>
      <c r="I21811" s="4"/>
    </row>
    <row r="21812">
      <c r="A21812" s="4" t="str">
        <f>IFERROR(__xludf.DUMMYFUNCTION("""COMPUTED_VALUE"""),"cas_hmw")</f>
        <v>cas_hmw</v>
      </c>
      <c r="B21812" s="5">
        <f>IFERROR(__xludf.DUMMYFUNCTION("""COMPUTED_VALUE"""),44788.0)</f>
        <v>44788</v>
      </c>
      <c r="C21812" s="6">
        <f>IFERROR(__xludf.DUMMYFUNCTION("""COMPUTED_VALUE"""),0.26750000000174623)</f>
        <v>0.2675</v>
      </c>
      <c r="D21812" s="4">
        <f>IFERROR(__xludf.DUMMYFUNCTION("""COMPUTED_VALUE"""),13.006363)</f>
        <v>13.006363</v>
      </c>
      <c r="E21812" s="4">
        <f>IFERROR(__xludf.DUMMYFUNCTION("""COMPUTED_VALUE"""),80.203034)</f>
        <v>80.203034</v>
      </c>
      <c r="F21812" s="4">
        <f>IFERROR(__xludf.DUMMYFUNCTION("""COMPUTED_VALUE"""),5339.0)</f>
        <v>5339</v>
      </c>
      <c r="G21812" s="4">
        <f>IFERROR(__xludf.DUMMYFUNCTION("""COMPUTED_VALUE"""),46.0)</f>
        <v>46</v>
      </c>
      <c r="H21812" s="4"/>
      <c r="I21812" s="4"/>
    </row>
    <row r="21813">
      <c r="A21813" s="4" t="str">
        <f>IFERROR(__xludf.DUMMYFUNCTION("""COMPUTED_VALUE"""),"cas_hmw")</f>
        <v>cas_hmw</v>
      </c>
      <c r="B21813" s="5">
        <f>IFERROR(__xludf.DUMMYFUNCTION("""COMPUTED_VALUE"""),44788.0)</f>
        <v>44788</v>
      </c>
      <c r="C21813" s="6">
        <f>IFERROR(__xludf.DUMMYFUNCTION("""COMPUTED_VALUE"""),0.2683217592602887)</f>
        <v>0.2683217593</v>
      </c>
      <c r="D21813" s="4">
        <f>IFERROR(__xludf.DUMMYFUNCTION("""COMPUTED_VALUE"""),13.007896)</f>
        <v>13.007896</v>
      </c>
      <c r="E21813" s="4">
        <f>IFERROR(__xludf.DUMMYFUNCTION("""COMPUTED_VALUE"""),80.207429)</f>
        <v>80.207429</v>
      </c>
      <c r="F21813" s="4">
        <f>IFERROR(__xludf.DUMMYFUNCTION("""COMPUTED_VALUE"""),5339.0)</f>
        <v>5339</v>
      </c>
      <c r="G21813" s="4">
        <f>IFERROR(__xludf.DUMMYFUNCTION("""COMPUTED_VALUE"""),61.0)</f>
        <v>61</v>
      </c>
      <c r="H21813" s="4"/>
      <c r="I21813" s="4"/>
    </row>
    <row r="21814">
      <c r="A21814" s="4" t="str">
        <f>IFERROR(__xludf.DUMMYFUNCTION("""COMPUTED_VALUE"""),"cas_hmw")</f>
        <v>cas_hmw</v>
      </c>
      <c r="B21814" s="5">
        <f>IFERROR(__xludf.DUMMYFUNCTION("""COMPUTED_VALUE"""),44788.0)</f>
        <v>44788</v>
      </c>
      <c r="C21814" s="6">
        <f>IFERROR(__xludf.DUMMYFUNCTION("""COMPUTED_VALUE"""),0.26850694444510737)</f>
        <v>0.2685069444</v>
      </c>
      <c r="D21814" s="4">
        <f>IFERROR(__xludf.DUMMYFUNCTION("""COMPUTED_VALUE"""),13.008388)</f>
        <v>13.008388</v>
      </c>
      <c r="E21814" s="4">
        <f>IFERROR(__xludf.DUMMYFUNCTION("""COMPUTED_VALUE"""),80.21005)</f>
        <v>80.21005</v>
      </c>
      <c r="F21814" s="4">
        <f>IFERROR(__xludf.DUMMYFUNCTION("""COMPUTED_VALUE"""),5339.0)</f>
        <v>5339</v>
      </c>
      <c r="G21814" s="4">
        <f>IFERROR(__xludf.DUMMYFUNCTION("""COMPUTED_VALUE"""),53.0)</f>
        <v>53</v>
      </c>
      <c r="H21814" s="4"/>
      <c r="I21814" s="4"/>
    </row>
    <row r="21815">
      <c r="A21815" s="4" t="str">
        <f>IFERROR(__xludf.DUMMYFUNCTION("""COMPUTED_VALUE"""),"cas_hmw")</f>
        <v>cas_hmw</v>
      </c>
      <c r="B21815" s="5">
        <f>IFERROR(__xludf.DUMMYFUNCTION("""COMPUTED_VALUE"""),44788.0)</f>
        <v>44788</v>
      </c>
      <c r="C21815" s="6">
        <f>IFERROR(__xludf.DUMMYFUNCTION("""COMPUTED_VALUE"""),0.2688541666684614)</f>
        <v>0.2688541667</v>
      </c>
      <c r="D21815" s="4">
        <f>IFERROR(__xludf.DUMMYFUNCTION("""COMPUTED_VALUE"""),13.009768)</f>
        <v>13.009768</v>
      </c>
      <c r="E21815" s="4">
        <f>IFERROR(__xludf.DUMMYFUNCTION("""COMPUTED_VALUE"""),80.213714)</f>
        <v>80.213714</v>
      </c>
      <c r="F21815" s="4">
        <f>IFERROR(__xludf.DUMMYFUNCTION("""COMPUTED_VALUE"""),5339.0)</f>
        <v>5339</v>
      </c>
      <c r="G21815" s="4">
        <f>IFERROR(__xludf.DUMMYFUNCTION("""COMPUTED_VALUE"""),53.0)</f>
        <v>53</v>
      </c>
      <c r="H21815" s="4"/>
      <c r="I21815" s="4"/>
    </row>
    <row r="21816">
      <c r="A21816" s="4" t="str">
        <f>IFERROR(__xludf.DUMMYFUNCTION("""COMPUTED_VALUE"""),"cas_hmw")</f>
        <v>cas_hmw</v>
      </c>
      <c r="B21816" s="5">
        <f>IFERROR(__xludf.DUMMYFUNCTION("""COMPUTED_VALUE"""),44788.0)</f>
        <v>44788</v>
      </c>
      <c r="C21816" s="6">
        <f>IFERROR(__xludf.DUMMYFUNCTION("""COMPUTED_VALUE"""),0.2691087962957681)</f>
        <v>0.2691087963</v>
      </c>
      <c r="D21816" s="4">
        <f>IFERROR(__xludf.DUMMYFUNCTION("""COMPUTED_VALUE"""),13.010388)</f>
        <v>13.010388</v>
      </c>
      <c r="E21816" s="4">
        <f>IFERROR(__xludf.DUMMYFUNCTION("""COMPUTED_VALUE"""),80.216005)</f>
        <v>80.216005</v>
      </c>
      <c r="F21816" s="4">
        <f>IFERROR(__xludf.DUMMYFUNCTION("""COMPUTED_VALUE"""),5339.0)</f>
        <v>5339</v>
      </c>
      <c r="G21816" s="4">
        <f>IFERROR(__xludf.DUMMYFUNCTION("""COMPUTED_VALUE"""),44.0)</f>
        <v>44</v>
      </c>
      <c r="H21816" s="4"/>
      <c r="I21816" s="4"/>
    </row>
    <row r="21817">
      <c r="A21817" s="4" t="str">
        <f>IFERROR(__xludf.DUMMYFUNCTION("""COMPUTED_VALUE"""),"cas_hmw")</f>
        <v>cas_hmw</v>
      </c>
      <c r="B21817" s="5">
        <f>IFERROR(__xludf.DUMMYFUNCTION("""COMPUTED_VALUE"""),44788.0)</f>
        <v>44788</v>
      </c>
      <c r="C21817" s="6">
        <f>IFERROR(__xludf.DUMMYFUNCTION("""COMPUTED_VALUE"""),0.27079861111269565)</f>
        <v>0.2707986111</v>
      </c>
      <c r="D21817" s="4">
        <f>IFERROR(__xludf.DUMMYFUNCTION("""COMPUTED_VALUE"""),13.01871)</f>
        <v>13.01871</v>
      </c>
      <c r="E21817" s="4">
        <f>IFERROR(__xludf.DUMMYFUNCTION("""COMPUTED_VALUE"""),80.224462)</f>
        <v>80.224462</v>
      </c>
      <c r="F21817" s="4">
        <f>IFERROR(__xludf.DUMMYFUNCTION("""COMPUTED_VALUE"""),5339.0)</f>
        <v>5339</v>
      </c>
      <c r="G21817" s="4">
        <f>IFERROR(__xludf.DUMMYFUNCTION("""COMPUTED_VALUE"""),46.0)</f>
        <v>46</v>
      </c>
      <c r="H21817" s="4"/>
      <c r="I21817" s="4"/>
    </row>
    <row r="21818">
      <c r="A21818" s="4" t="str">
        <f>IFERROR(__xludf.DUMMYFUNCTION("""COMPUTED_VALUE"""),"cas_hmw")</f>
        <v>cas_hmw</v>
      </c>
      <c r="B21818" s="5">
        <f>IFERROR(__xludf.DUMMYFUNCTION("""COMPUTED_VALUE"""),44788.0)</f>
        <v>44788</v>
      </c>
      <c r="C21818" s="6">
        <f>IFERROR(__xludf.DUMMYFUNCTION("""COMPUTED_VALUE"""),0.27109953703620704)</f>
        <v>0.271099537</v>
      </c>
      <c r="D21818" s="4">
        <f>IFERROR(__xludf.DUMMYFUNCTION("""COMPUTED_VALUE"""),13.021339)</f>
        <v>13.021339</v>
      </c>
      <c r="E21818" s="4">
        <f>IFERROR(__xludf.DUMMYFUNCTION("""COMPUTED_VALUE"""),80.225716)</f>
        <v>80.225716</v>
      </c>
      <c r="F21818" s="4">
        <f>IFERROR(__xludf.DUMMYFUNCTION("""COMPUTED_VALUE"""),5339.0)</f>
        <v>5339</v>
      </c>
      <c r="G21818" s="4">
        <f>IFERROR(__xludf.DUMMYFUNCTION("""COMPUTED_VALUE"""),43.0)</f>
        <v>43</v>
      </c>
      <c r="H21818" s="4"/>
      <c r="I21818" s="4"/>
    </row>
    <row r="21819">
      <c r="A21819" s="4" t="str">
        <f>IFERROR(__xludf.DUMMYFUNCTION("""COMPUTED_VALUE"""),"cas_hmw")</f>
        <v>cas_hmw</v>
      </c>
      <c r="B21819" s="5">
        <f>IFERROR(__xludf.DUMMYFUNCTION("""COMPUTED_VALUE"""),44788.0)</f>
        <v>44788</v>
      </c>
      <c r="C21819" s="6">
        <f>IFERROR(__xludf.DUMMYFUNCTION("""COMPUTED_VALUE"""),0.27131944444408873)</f>
        <v>0.2713194444</v>
      </c>
      <c r="D21819" s="4">
        <f>IFERROR(__xludf.DUMMYFUNCTION("""COMPUTED_VALUE"""),13.023209)</f>
        <v>13.023209</v>
      </c>
      <c r="E21819" s="4">
        <f>IFERROR(__xludf.DUMMYFUNCTION("""COMPUTED_VALUE"""),80.227226)</f>
        <v>80.227226</v>
      </c>
      <c r="F21819" s="4">
        <f>IFERROR(__xludf.DUMMYFUNCTION("""COMPUTED_VALUE"""),5339.0)</f>
        <v>5339</v>
      </c>
      <c r="G21819" s="4">
        <f>IFERROR(__xludf.DUMMYFUNCTION("""COMPUTED_VALUE"""),50.0)</f>
        <v>50</v>
      </c>
      <c r="H21819" s="4"/>
      <c r="I21819" s="4"/>
    </row>
    <row r="21820">
      <c r="A21820" s="4" t="str">
        <f>IFERROR(__xludf.DUMMYFUNCTION("""COMPUTED_VALUE"""),"cas_hmw")</f>
        <v>cas_hmw</v>
      </c>
      <c r="B21820" s="5">
        <f>IFERROR(__xludf.DUMMYFUNCTION("""COMPUTED_VALUE"""),44788.0)</f>
        <v>44788</v>
      </c>
      <c r="C21820" s="6">
        <f>IFERROR(__xludf.DUMMYFUNCTION("""COMPUTED_VALUE"""),0.2715856481481751)</f>
        <v>0.2715856481</v>
      </c>
      <c r="D21820" s="4">
        <f>IFERROR(__xludf.DUMMYFUNCTION("""COMPUTED_VALUE"""),13.024796)</f>
        <v>13.024796</v>
      </c>
      <c r="E21820" s="4">
        <f>IFERROR(__xludf.DUMMYFUNCTION("""COMPUTED_VALUE"""),80.229096)</f>
        <v>80.229096</v>
      </c>
      <c r="F21820" s="4">
        <f>IFERROR(__xludf.DUMMYFUNCTION("""COMPUTED_VALUE"""),5339.0)</f>
        <v>5339</v>
      </c>
      <c r="G21820" s="4">
        <f>IFERROR(__xludf.DUMMYFUNCTION("""COMPUTED_VALUE"""),47.0)</f>
        <v>47</v>
      </c>
      <c r="H21820" s="4"/>
      <c r="I21820" s="4"/>
    </row>
    <row r="21821">
      <c r="A21821" s="4" t="str">
        <f>IFERROR(__xludf.DUMMYFUNCTION("""COMPUTED_VALUE"""),"cas_hmw")</f>
        <v>cas_hmw</v>
      </c>
      <c r="B21821" s="5">
        <f>IFERROR(__xludf.DUMMYFUNCTION("""COMPUTED_VALUE"""),44788.0)</f>
        <v>44788</v>
      </c>
      <c r="C21821" s="6">
        <f>IFERROR(__xludf.DUMMYFUNCTION("""COMPUTED_VALUE"""),0.2716087962980964)</f>
        <v>0.2716087963</v>
      </c>
      <c r="D21821" s="4">
        <f>IFERROR(__xludf.DUMMYFUNCTION("""COMPUTED_VALUE"""),13.024796)</f>
        <v>13.024796</v>
      </c>
      <c r="E21821" s="4">
        <f>IFERROR(__xludf.DUMMYFUNCTION("""COMPUTED_VALUE"""),80.229096)</f>
        <v>80.229096</v>
      </c>
      <c r="F21821" s="4">
        <f>IFERROR(__xludf.DUMMYFUNCTION("""COMPUTED_VALUE"""),5339.0)</f>
        <v>5339</v>
      </c>
      <c r="G21821" s="4">
        <f>IFERROR(__xludf.DUMMYFUNCTION("""COMPUTED_VALUE"""),47.0)</f>
        <v>47</v>
      </c>
      <c r="H21821" s="4"/>
      <c r="I21821" s="4"/>
    </row>
    <row r="21822">
      <c r="A21822" s="4" t="str">
        <f>IFERROR(__xludf.DUMMYFUNCTION("""COMPUTED_VALUE"""),"cas_hmw")</f>
        <v>cas_hmw</v>
      </c>
      <c r="B21822" s="5">
        <f>IFERROR(__xludf.DUMMYFUNCTION("""COMPUTED_VALUE"""),44788.0)</f>
        <v>44788</v>
      </c>
      <c r="C21822" s="6">
        <f>IFERROR(__xludf.DUMMYFUNCTION("""COMPUTED_VALUE"""),0.2723379629642295)</f>
        <v>0.272337963</v>
      </c>
      <c r="D21822" s="4">
        <f>IFERROR(__xludf.DUMMYFUNCTION("""COMPUTED_VALUE"""),13.027725)</f>
        <v>13.027725</v>
      </c>
      <c r="E21822" s="4">
        <f>IFERROR(__xludf.DUMMYFUNCTION("""COMPUTED_VALUE"""),80.23493)</f>
        <v>80.23493</v>
      </c>
      <c r="F21822" s="4">
        <f>IFERROR(__xludf.DUMMYFUNCTION("""COMPUTED_VALUE"""),5339.0)</f>
        <v>5339</v>
      </c>
      <c r="G21822" s="4">
        <f>IFERROR(__xludf.DUMMYFUNCTION("""COMPUTED_VALUE"""),46.0)</f>
        <v>46</v>
      </c>
      <c r="H21822" s="4"/>
      <c r="I21822" s="4"/>
    </row>
    <row r="21823">
      <c r="A21823" s="4" t="str">
        <f>IFERROR(__xludf.DUMMYFUNCTION("""COMPUTED_VALUE"""),"cas_hmw")</f>
        <v>cas_hmw</v>
      </c>
      <c r="B21823" s="5">
        <f>IFERROR(__xludf.DUMMYFUNCTION("""COMPUTED_VALUE"""),44788.0)</f>
        <v>44788</v>
      </c>
      <c r="C21823" s="6">
        <f>IFERROR(__xludf.DUMMYFUNCTION("""COMPUTED_VALUE"""),0.27261574074145756)</f>
        <v>0.2726157407</v>
      </c>
      <c r="D21823" s="4">
        <f>IFERROR(__xludf.DUMMYFUNCTION("""COMPUTED_VALUE"""),13.029424)</f>
        <v>13.029424</v>
      </c>
      <c r="E21823" s="4">
        <f>IFERROR(__xludf.DUMMYFUNCTION("""COMPUTED_VALUE"""),80.236976)</f>
        <v>80.236976</v>
      </c>
      <c r="F21823" s="4">
        <f>IFERROR(__xludf.DUMMYFUNCTION("""COMPUTED_VALUE"""),5339.0)</f>
        <v>5339</v>
      </c>
      <c r="G21823" s="4">
        <f>IFERROR(__xludf.DUMMYFUNCTION("""COMPUTED_VALUE"""),59.0)</f>
        <v>59</v>
      </c>
      <c r="H21823" s="4"/>
      <c r="I21823" s="4"/>
    </row>
    <row r="21824">
      <c r="A21824" s="4" t="str">
        <f>IFERROR(__xludf.DUMMYFUNCTION("""COMPUTED_VALUE"""),"cas_hmw")</f>
        <v>cas_hmw</v>
      </c>
      <c r="B21824" s="5">
        <f>IFERROR(__xludf.DUMMYFUNCTION("""COMPUTED_VALUE"""),44788.0)</f>
        <v>44788</v>
      </c>
      <c r="C21824" s="6">
        <f>IFERROR(__xludf.DUMMYFUNCTION("""COMPUTED_VALUE"""),0.27789351851970423)</f>
        <v>0.2778935185</v>
      </c>
      <c r="D21824" s="4">
        <f>IFERROR(__xludf.DUMMYFUNCTION("""COMPUTED_VALUE"""),12.912622)</f>
        <v>12.912622</v>
      </c>
      <c r="E21824" s="4">
        <f>IFERROR(__xludf.DUMMYFUNCTION("""COMPUTED_VALUE"""),80.101448)</f>
        <v>80.101448</v>
      </c>
      <c r="F21824" s="4">
        <f>IFERROR(__xludf.DUMMYFUNCTION("""COMPUTED_VALUE"""),3143.0)</f>
        <v>3143</v>
      </c>
      <c r="G21824" s="4">
        <f>IFERROR(__xludf.DUMMYFUNCTION("""COMPUTED_VALUE"""),43.0)</f>
        <v>43</v>
      </c>
      <c r="H21824" s="4"/>
      <c r="I21824" s="4"/>
    </row>
    <row r="21825">
      <c r="A21825" s="4" t="str">
        <f>IFERROR(__xludf.DUMMYFUNCTION("""COMPUTED_VALUE"""),"cas_hmw")</f>
        <v>cas_hmw</v>
      </c>
      <c r="B21825" s="5">
        <f>IFERROR(__xludf.DUMMYFUNCTION("""COMPUTED_VALUE"""),44788.0)</f>
        <v>44788</v>
      </c>
      <c r="C21825" s="6">
        <f>IFERROR(__xludf.DUMMYFUNCTION("""COMPUTED_VALUE"""),0.2779398148159089)</f>
        <v>0.2779398148</v>
      </c>
      <c r="D21825" s="4">
        <f>IFERROR(__xludf.DUMMYFUNCTION("""COMPUTED_VALUE"""),12.912622)</f>
        <v>12.912622</v>
      </c>
      <c r="E21825" s="4">
        <f>IFERROR(__xludf.DUMMYFUNCTION("""COMPUTED_VALUE"""),80.101448)</f>
        <v>80.101448</v>
      </c>
      <c r="F21825" s="4">
        <f>IFERROR(__xludf.DUMMYFUNCTION("""COMPUTED_VALUE"""),3143.0)</f>
        <v>3143</v>
      </c>
      <c r="G21825" s="4">
        <f>IFERROR(__xludf.DUMMYFUNCTION("""COMPUTED_VALUE"""),43.0)</f>
        <v>43</v>
      </c>
      <c r="H21825" s="4"/>
      <c r="I21825" s="4"/>
    </row>
    <row r="21826">
      <c r="A21826" s="4" t="str">
        <f>IFERROR(__xludf.DUMMYFUNCTION("""COMPUTED_VALUE"""),"cas_hmw")</f>
        <v>cas_hmw</v>
      </c>
      <c r="B21826" s="5">
        <f>IFERROR(__xludf.DUMMYFUNCTION("""COMPUTED_VALUE"""),44788.0)</f>
        <v>44788</v>
      </c>
      <c r="C21826" s="6">
        <f>IFERROR(__xludf.DUMMYFUNCTION("""COMPUTED_VALUE"""),0.28584490740831825)</f>
        <v>0.2858449074</v>
      </c>
      <c r="D21826" s="4">
        <f>IFERROR(__xludf.DUMMYFUNCTION("""COMPUTED_VALUE"""),13.056226)</f>
        <v>13.056226</v>
      </c>
      <c r="E21826" s="4">
        <f>IFERROR(__xludf.DUMMYFUNCTION("""COMPUTED_VALUE"""),80.248914)</f>
        <v>80.248914</v>
      </c>
      <c r="F21826" s="4">
        <f>IFERROR(__xludf.DUMMYFUNCTION("""COMPUTED_VALUE"""),5339.0)</f>
        <v>5339</v>
      </c>
      <c r="G21826" s="4">
        <f>IFERROR(__xludf.DUMMYFUNCTION("""COMPUTED_VALUE"""),37.0)</f>
        <v>37</v>
      </c>
      <c r="H21826" s="4"/>
      <c r="I21826" s="4"/>
    </row>
    <row r="21827">
      <c r="A21827" s="4" t="str">
        <f>IFERROR(__xludf.DUMMYFUNCTION("""COMPUTED_VALUE"""),"cas_hmw")</f>
        <v>cas_hmw</v>
      </c>
      <c r="B21827" s="5">
        <f>IFERROR(__xludf.DUMMYFUNCTION("""COMPUTED_VALUE"""),44788.0)</f>
        <v>44788</v>
      </c>
      <c r="C21827" s="6">
        <f>IFERROR(__xludf.DUMMYFUNCTION("""COMPUTED_VALUE"""),0.29402777777795563)</f>
        <v>0.2940277778</v>
      </c>
      <c r="D21827" s="4">
        <f>IFERROR(__xludf.DUMMYFUNCTION("""COMPUTED_VALUE"""),12.506144)</f>
        <v>12.506144</v>
      </c>
      <c r="E21827" s="4">
        <f>IFERROR(__xludf.DUMMYFUNCTION("""COMPUTED_VALUE"""),79.880048)</f>
        <v>79.880048</v>
      </c>
      <c r="F21827" s="4">
        <f>IFERROR(__xludf.DUMMYFUNCTION("""COMPUTED_VALUE"""),2846.0)</f>
        <v>2846</v>
      </c>
      <c r="G21827" s="4">
        <f>IFERROR(__xludf.DUMMYFUNCTION("""COMPUTED_VALUE"""),46.0)</f>
        <v>46</v>
      </c>
      <c r="H21827" s="4"/>
      <c r="I21827" s="4"/>
    </row>
    <row r="21828">
      <c r="A21828" s="4" t="str">
        <f>IFERROR(__xludf.DUMMYFUNCTION("""COMPUTED_VALUE"""),"cas_hmw")</f>
        <v>cas_hmw</v>
      </c>
      <c r="B21828" s="5">
        <f>IFERROR(__xludf.DUMMYFUNCTION("""COMPUTED_VALUE"""),44788.0)</f>
        <v>44788</v>
      </c>
      <c r="C21828" s="6">
        <f>IFERROR(__xludf.DUMMYFUNCTION("""COMPUTED_VALUE"""),0.2940393518510973)</f>
        <v>0.2940393519</v>
      </c>
      <c r="D21828" s="4">
        <f>IFERROR(__xludf.DUMMYFUNCTION("""COMPUTED_VALUE"""),12.508657)</f>
        <v>12.508657</v>
      </c>
      <c r="E21828" s="4">
        <f>IFERROR(__xludf.DUMMYFUNCTION("""COMPUTED_VALUE"""),79.88195)</f>
        <v>79.88195</v>
      </c>
      <c r="F21828" s="4">
        <f>IFERROR(__xludf.DUMMYFUNCTION("""COMPUTED_VALUE"""),2846.0)</f>
        <v>2846</v>
      </c>
      <c r="G21828" s="4">
        <f>IFERROR(__xludf.DUMMYFUNCTION("""COMPUTED_VALUE"""),37.0)</f>
        <v>37</v>
      </c>
      <c r="H21828" s="4"/>
      <c r="I21828" s="4"/>
    </row>
    <row r="21829">
      <c r="A21829" s="4" t="str">
        <f>IFERROR(__xludf.DUMMYFUNCTION("""COMPUTED_VALUE"""),"cas_hmw")</f>
        <v>cas_hmw</v>
      </c>
      <c r="B21829" s="5">
        <f>IFERROR(__xludf.DUMMYFUNCTION("""COMPUTED_VALUE"""),44788.0)</f>
        <v>44788</v>
      </c>
      <c r="C21829" s="6">
        <f>IFERROR(__xludf.DUMMYFUNCTION("""COMPUTED_VALUE"""),0.2945486111093487)</f>
        <v>0.2945486111</v>
      </c>
      <c r="D21829" s="4">
        <f>IFERROR(__xludf.DUMMYFUNCTION("""COMPUTED_VALUE"""),12.511535)</f>
        <v>12.511535</v>
      </c>
      <c r="E21829" s="4">
        <f>IFERROR(__xludf.DUMMYFUNCTION("""COMPUTED_VALUE"""),79.883248)</f>
        <v>79.883248</v>
      </c>
      <c r="F21829" s="4">
        <f>IFERROR(__xludf.DUMMYFUNCTION("""COMPUTED_VALUE"""),2846.0)</f>
        <v>2846</v>
      </c>
      <c r="G21829" s="4">
        <f>IFERROR(__xludf.DUMMYFUNCTION("""COMPUTED_VALUE"""),38.0)</f>
        <v>38</v>
      </c>
      <c r="H21829" s="4"/>
      <c r="I21829" s="4"/>
    </row>
    <row r="21830">
      <c r="A21830" s="4" t="str">
        <f>IFERROR(__xludf.DUMMYFUNCTION("""COMPUTED_VALUE"""),"cas_hmw")</f>
        <v>cas_hmw</v>
      </c>
      <c r="B21830" s="5">
        <f>IFERROR(__xludf.DUMMYFUNCTION("""COMPUTED_VALUE"""),44788.0)</f>
        <v>44788</v>
      </c>
      <c r="C21830" s="6">
        <f>IFERROR(__xludf.DUMMYFUNCTION("""COMPUTED_VALUE"""),0.2948842592595611)</f>
        <v>0.2948842593</v>
      </c>
      <c r="D21830" s="4">
        <f>IFERROR(__xludf.DUMMYFUNCTION("""COMPUTED_VALUE"""),12.513596)</f>
        <v>12.513596</v>
      </c>
      <c r="E21830" s="4">
        <f>IFERROR(__xludf.DUMMYFUNCTION("""COMPUTED_VALUE"""),79.884194)</f>
        <v>79.884194</v>
      </c>
      <c r="F21830" s="4">
        <f>IFERROR(__xludf.DUMMYFUNCTION("""COMPUTED_VALUE"""),2846.0)</f>
        <v>2846</v>
      </c>
      <c r="G21830" s="4">
        <f>IFERROR(__xludf.DUMMYFUNCTION("""COMPUTED_VALUE"""),44.0)</f>
        <v>44</v>
      </c>
      <c r="H21830" s="4"/>
      <c r="I21830" s="4"/>
    </row>
    <row r="21831">
      <c r="A21831" s="4" t="str">
        <f>IFERROR(__xludf.DUMMYFUNCTION("""COMPUTED_VALUE"""),"cas_hmw")</f>
        <v>cas_hmw</v>
      </c>
      <c r="B21831" s="5">
        <f>IFERROR(__xludf.DUMMYFUNCTION("""COMPUTED_VALUE"""),44788.0)</f>
        <v>44788</v>
      </c>
      <c r="C21831" s="6">
        <f>IFERROR(__xludf.DUMMYFUNCTION("""COMPUTED_VALUE"""),0.2951967592598521)</f>
        <v>0.2951967593</v>
      </c>
      <c r="D21831" s="4">
        <f>IFERROR(__xludf.DUMMYFUNCTION("""COMPUTED_VALUE"""),13.061972)</f>
        <v>13.061972</v>
      </c>
      <c r="E21831" s="4">
        <f>IFERROR(__xludf.DUMMYFUNCTION("""COMPUTED_VALUE"""),80.245946)</f>
        <v>80.245946</v>
      </c>
      <c r="F21831" s="4">
        <f>IFERROR(__xludf.DUMMYFUNCTION("""COMPUTED_VALUE"""),5339.0)</f>
        <v>5339</v>
      </c>
      <c r="G21831" s="4">
        <f>IFERROR(__xludf.DUMMYFUNCTION("""COMPUTED_VALUE"""),33.0)</f>
        <v>33</v>
      </c>
      <c r="H21831" s="4"/>
      <c r="I21831" s="4"/>
    </row>
    <row r="21832">
      <c r="A21832" s="4" t="str">
        <f>IFERROR(__xludf.DUMMYFUNCTION("""COMPUTED_VALUE"""),"cas_hmw")</f>
        <v>cas_hmw</v>
      </c>
      <c r="B21832" s="5">
        <f>IFERROR(__xludf.DUMMYFUNCTION("""COMPUTED_VALUE"""),44788.0)</f>
        <v>44788</v>
      </c>
      <c r="C21832" s="6">
        <f>IFERROR(__xludf.DUMMYFUNCTION("""COMPUTED_VALUE"""),0.2954629629639385)</f>
        <v>0.295462963</v>
      </c>
      <c r="D21832" s="4">
        <f>IFERROR(__xludf.DUMMYFUNCTION("""COMPUTED_VALUE"""),13.062761)</f>
        <v>13.062761</v>
      </c>
      <c r="E21832" s="4">
        <f>IFERROR(__xludf.DUMMYFUNCTION("""COMPUTED_VALUE"""),80.244775)</f>
        <v>80.244775</v>
      </c>
      <c r="F21832" s="4">
        <f>IFERROR(__xludf.DUMMYFUNCTION("""COMPUTED_VALUE"""),5339.0)</f>
        <v>5339</v>
      </c>
      <c r="G21832" s="4">
        <f>IFERROR(__xludf.DUMMYFUNCTION("""COMPUTED_VALUE"""),33.0)</f>
        <v>33</v>
      </c>
      <c r="H21832" s="4"/>
      <c r="I21832" s="4"/>
    </row>
    <row r="21833">
      <c r="A21833" s="4" t="str">
        <f>IFERROR(__xludf.DUMMYFUNCTION("""COMPUTED_VALUE"""),"cas_hmw")</f>
        <v>cas_hmw</v>
      </c>
      <c r="B21833" s="5">
        <f>IFERROR(__xludf.DUMMYFUNCTION("""COMPUTED_VALUE"""),44788.0)</f>
        <v>44788</v>
      </c>
      <c r="C21833" s="6">
        <f>IFERROR(__xludf.DUMMYFUNCTION("""COMPUTED_VALUE"""),0.29547453703708015)</f>
        <v>0.295474537</v>
      </c>
      <c r="D21833" s="4">
        <f>IFERROR(__xludf.DUMMYFUNCTION("""COMPUTED_VALUE"""),13.062761)</f>
        <v>13.062761</v>
      </c>
      <c r="E21833" s="4">
        <f>IFERROR(__xludf.DUMMYFUNCTION("""COMPUTED_VALUE"""),80.244775)</f>
        <v>80.244775</v>
      </c>
      <c r="F21833" s="4">
        <f>IFERROR(__xludf.DUMMYFUNCTION("""COMPUTED_VALUE"""),5339.0)</f>
        <v>5339</v>
      </c>
      <c r="G21833" s="4">
        <f>IFERROR(__xludf.DUMMYFUNCTION("""COMPUTED_VALUE"""),33.0)</f>
        <v>33</v>
      </c>
      <c r="H21833" s="4"/>
      <c r="I21833" s="4"/>
    </row>
    <row r="21834">
      <c r="A21834" s="4" t="str">
        <f>IFERROR(__xludf.DUMMYFUNCTION("""COMPUTED_VALUE"""),"cas_hmw")</f>
        <v>cas_hmw</v>
      </c>
      <c r="B21834" s="5">
        <f>IFERROR(__xludf.DUMMYFUNCTION("""COMPUTED_VALUE"""),44788.0)</f>
        <v>44788</v>
      </c>
      <c r="C21834" s="6">
        <f>IFERROR(__xludf.DUMMYFUNCTION("""COMPUTED_VALUE"""),0.29644675926101627)</f>
        <v>0.2964467593</v>
      </c>
      <c r="D21834" s="4">
        <f>IFERROR(__xludf.DUMMYFUNCTION("""COMPUTED_VALUE"""),13.066642)</f>
        <v>13.066642</v>
      </c>
      <c r="E21834" s="4">
        <f>IFERROR(__xludf.DUMMYFUNCTION("""COMPUTED_VALUE"""),80.245966)</f>
        <v>80.245966</v>
      </c>
      <c r="F21834" s="4">
        <f>IFERROR(__xludf.DUMMYFUNCTION("""COMPUTED_VALUE"""),5339.0)</f>
        <v>5339</v>
      </c>
      <c r="G21834" s="4">
        <f>IFERROR(__xludf.DUMMYFUNCTION("""COMPUTED_VALUE"""),33.0)</f>
        <v>33</v>
      </c>
      <c r="H21834" s="4"/>
      <c r="I21834" s="4"/>
    </row>
    <row r="21835">
      <c r="A21835" s="4" t="str">
        <f>IFERROR(__xludf.DUMMYFUNCTION("""COMPUTED_VALUE"""),"cas_hmw")</f>
        <v>cas_hmw</v>
      </c>
      <c r="B21835" s="5">
        <f>IFERROR(__xludf.DUMMYFUNCTION("""COMPUTED_VALUE"""),44788.0)</f>
        <v>44788</v>
      </c>
      <c r="C21835" s="6">
        <f>IFERROR(__xludf.DUMMYFUNCTION("""COMPUTED_VALUE"""),0.29660879629591363)</f>
        <v>0.2966087963</v>
      </c>
      <c r="D21835" s="4">
        <f>IFERROR(__xludf.DUMMYFUNCTION("""COMPUTED_VALUE"""),13.0675)</f>
        <v>13.0675</v>
      </c>
      <c r="E21835" s="4">
        <f>IFERROR(__xludf.DUMMYFUNCTION("""COMPUTED_VALUE"""),80.246354)</f>
        <v>80.246354</v>
      </c>
      <c r="F21835" s="4">
        <f>IFERROR(__xludf.DUMMYFUNCTION("""COMPUTED_VALUE"""),5339.0)</f>
        <v>5339</v>
      </c>
      <c r="G21835" s="4">
        <f>IFERROR(__xludf.DUMMYFUNCTION("""COMPUTED_VALUE"""),33.0)</f>
        <v>33</v>
      </c>
      <c r="H21835" s="4"/>
      <c r="I21835" s="4"/>
    </row>
    <row r="21836">
      <c r="A21836" s="4" t="str">
        <f>IFERROR(__xludf.DUMMYFUNCTION("""COMPUTED_VALUE"""),"cas_hmw")</f>
        <v>cas_hmw</v>
      </c>
      <c r="B21836" s="5">
        <f>IFERROR(__xludf.DUMMYFUNCTION("""COMPUTED_VALUE"""),44788.0)</f>
        <v>44788</v>
      </c>
      <c r="C21836" s="6">
        <f>IFERROR(__xludf.DUMMYFUNCTION("""COMPUTED_VALUE"""),0.2966203703690553)</f>
        <v>0.2966203704</v>
      </c>
      <c r="D21836" s="4">
        <f>IFERROR(__xludf.DUMMYFUNCTION("""COMPUTED_VALUE"""),13.0675)</f>
        <v>13.0675</v>
      </c>
      <c r="E21836" s="4">
        <f>IFERROR(__xludf.DUMMYFUNCTION("""COMPUTED_VALUE"""),80.246354)</f>
        <v>80.246354</v>
      </c>
      <c r="F21836" s="4">
        <f>IFERROR(__xludf.DUMMYFUNCTION("""COMPUTED_VALUE"""),5339.0)</f>
        <v>5339</v>
      </c>
      <c r="G21836" s="4">
        <f>IFERROR(__xludf.DUMMYFUNCTION("""COMPUTED_VALUE"""),33.0)</f>
        <v>33</v>
      </c>
      <c r="H21836" s="4"/>
      <c r="I21836" s="4"/>
    </row>
    <row r="21837">
      <c r="A21837" s="4" t="str">
        <f>IFERROR(__xludf.DUMMYFUNCTION("""COMPUTED_VALUE"""),"cas_hmw")</f>
        <v>cas_hmw</v>
      </c>
      <c r="B21837" s="5">
        <f>IFERROR(__xludf.DUMMYFUNCTION("""COMPUTED_VALUE"""),44788.0)</f>
        <v>44788</v>
      </c>
      <c r="C21837" s="6">
        <f>IFERROR(__xludf.DUMMYFUNCTION("""COMPUTED_VALUE"""),0.3007986111115315)</f>
        <v>0.3007986111</v>
      </c>
      <c r="D21837" s="4">
        <f>IFERROR(__xludf.DUMMYFUNCTION("""COMPUTED_VALUE"""),13.066064)</f>
        <v>13.066064</v>
      </c>
      <c r="E21837" s="4">
        <f>IFERROR(__xludf.DUMMYFUNCTION("""COMPUTED_VALUE"""),80.243749)</f>
        <v>80.243749</v>
      </c>
      <c r="F21837" s="4">
        <f>IFERROR(__xludf.DUMMYFUNCTION("""COMPUTED_VALUE"""),805.0)</f>
        <v>805</v>
      </c>
      <c r="G21837" s="4">
        <f>IFERROR(__xludf.DUMMYFUNCTION("""COMPUTED_VALUE"""),16.0)</f>
        <v>16</v>
      </c>
      <c r="H21837" s="4"/>
      <c r="I21837" s="4"/>
    </row>
    <row r="21838">
      <c r="A21838" s="4" t="str">
        <f>IFERROR(__xludf.DUMMYFUNCTION("""COMPUTED_VALUE"""),"cas_hmw")</f>
        <v>cas_hmw</v>
      </c>
      <c r="B21838" s="5">
        <f>IFERROR(__xludf.DUMMYFUNCTION("""COMPUTED_VALUE"""),44788.0)</f>
        <v>44788</v>
      </c>
      <c r="C21838" s="6">
        <f>IFERROR(__xludf.DUMMYFUNCTION("""COMPUTED_VALUE"""),0.30369212962978054)</f>
        <v>0.3036921296</v>
      </c>
      <c r="D21838" s="4">
        <f>IFERROR(__xludf.DUMMYFUNCTION("""COMPUTED_VALUE"""),13.068212)</f>
        <v>13.068212</v>
      </c>
      <c r="E21838" s="4">
        <f>IFERROR(__xludf.DUMMYFUNCTION("""COMPUTED_VALUE"""),80.27017)</f>
        <v>80.27017</v>
      </c>
      <c r="F21838" s="4">
        <f>IFERROR(__xludf.DUMMYFUNCTION("""COMPUTED_VALUE"""),5339.0)</f>
        <v>5339</v>
      </c>
      <c r="G21838" s="4">
        <f>IFERROR(__xludf.DUMMYFUNCTION("""COMPUTED_VALUE"""),31.0)</f>
        <v>31</v>
      </c>
      <c r="H21838" s="4"/>
      <c r="I21838" s="4"/>
    </row>
    <row r="21839">
      <c r="A21839" s="4" t="str">
        <f>IFERROR(__xludf.DUMMYFUNCTION("""COMPUTED_VALUE"""),"cas_hmw")</f>
        <v>cas_hmw</v>
      </c>
      <c r="B21839" s="5">
        <f>IFERROR(__xludf.DUMMYFUNCTION("""COMPUTED_VALUE"""),44788.0)</f>
        <v>44788</v>
      </c>
      <c r="C21839" s="6">
        <f>IFERROR(__xludf.DUMMYFUNCTION("""COMPUTED_VALUE"""),0.30369212962978054)</f>
        <v>0.3036921296</v>
      </c>
      <c r="D21839" s="4">
        <f>IFERROR(__xludf.DUMMYFUNCTION("""COMPUTED_VALUE"""),13.068212)</f>
        <v>13.068212</v>
      </c>
      <c r="E21839" s="4">
        <f>IFERROR(__xludf.DUMMYFUNCTION("""COMPUTED_VALUE"""),80.27017)</f>
        <v>80.27017</v>
      </c>
      <c r="F21839" s="4">
        <f>IFERROR(__xludf.DUMMYFUNCTION("""COMPUTED_VALUE"""),5339.0)</f>
        <v>5339</v>
      </c>
      <c r="G21839" s="4">
        <f>IFERROR(__xludf.DUMMYFUNCTION("""COMPUTED_VALUE"""),31.0)</f>
        <v>31</v>
      </c>
      <c r="H21839" s="4"/>
      <c r="I21839" s="4"/>
    </row>
    <row r="21840">
      <c r="A21840" s="4" t="str">
        <f>IFERROR(__xludf.DUMMYFUNCTION("""COMPUTED_VALUE"""),"cas_hmw")</f>
        <v>cas_hmw</v>
      </c>
      <c r="B21840" s="5">
        <f>IFERROR(__xludf.DUMMYFUNCTION("""COMPUTED_VALUE"""),44788.0)</f>
        <v>44788</v>
      </c>
      <c r="C21840" s="6">
        <f>IFERROR(__xludf.DUMMYFUNCTION("""COMPUTED_VALUE"""),0.3037037037029222)</f>
        <v>0.3037037037</v>
      </c>
      <c r="D21840" s="4">
        <f>IFERROR(__xludf.DUMMYFUNCTION("""COMPUTED_VALUE"""),13.068212)</f>
        <v>13.068212</v>
      </c>
      <c r="E21840" s="4">
        <f>IFERROR(__xludf.DUMMYFUNCTION("""COMPUTED_VALUE"""),80.27017)</f>
        <v>80.27017</v>
      </c>
      <c r="F21840" s="4">
        <f>IFERROR(__xludf.DUMMYFUNCTION("""COMPUTED_VALUE"""),5339.0)</f>
        <v>5339</v>
      </c>
      <c r="G21840" s="4">
        <f>IFERROR(__xludf.DUMMYFUNCTION("""COMPUTED_VALUE"""),31.0)</f>
        <v>31</v>
      </c>
      <c r="H21840" s="4"/>
      <c r="I21840" s="4"/>
    </row>
    <row r="21841">
      <c r="A21841" s="4" t="str">
        <f>IFERROR(__xludf.DUMMYFUNCTION("""COMPUTED_VALUE"""),"cas_hmw")</f>
        <v>cas_hmw</v>
      </c>
      <c r="B21841" s="5">
        <f>IFERROR(__xludf.DUMMYFUNCTION("""COMPUTED_VALUE"""),44788.0)</f>
        <v>44788</v>
      </c>
      <c r="C21841" s="6">
        <f>IFERROR(__xludf.DUMMYFUNCTION("""COMPUTED_VALUE"""),0.3040740740725596)</f>
        <v>0.3040740741</v>
      </c>
      <c r="D21841" s="4">
        <f>IFERROR(__xludf.DUMMYFUNCTION("""COMPUTED_VALUE"""),13.068227)</f>
        <v>13.068227</v>
      </c>
      <c r="E21841" s="4">
        <f>IFERROR(__xludf.DUMMYFUNCTION("""COMPUTED_VALUE"""),80.272104)</f>
        <v>80.272104</v>
      </c>
      <c r="F21841" s="4">
        <f>IFERROR(__xludf.DUMMYFUNCTION("""COMPUTED_VALUE"""),5339.0)</f>
        <v>5339</v>
      </c>
      <c r="G21841" s="4">
        <f>IFERROR(__xludf.DUMMYFUNCTION("""COMPUTED_VALUE"""),27.0)</f>
        <v>27</v>
      </c>
      <c r="H21841" s="4"/>
      <c r="I21841" s="4"/>
    </row>
    <row r="21842">
      <c r="A21842" s="4" t="str">
        <f>IFERROR(__xludf.DUMMYFUNCTION("""COMPUTED_VALUE"""),"cas_hmw")</f>
        <v>cas_hmw</v>
      </c>
      <c r="B21842" s="5">
        <f>IFERROR(__xludf.DUMMYFUNCTION("""COMPUTED_VALUE"""),44788.0)</f>
        <v>44788</v>
      </c>
      <c r="C21842" s="6">
        <f>IFERROR(__xludf.DUMMYFUNCTION("""COMPUTED_VALUE"""),0.30677083333284827)</f>
        <v>0.3067708333</v>
      </c>
      <c r="D21842" s="4">
        <f>IFERROR(__xludf.DUMMYFUNCTION("""COMPUTED_VALUE"""),13.066128)</f>
        <v>13.066128</v>
      </c>
      <c r="E21842" s="4">
        <f>IFERROR(__xludf.DUMMYFUNCTION("""COMPUTED_VALUE"""),80.268182)</f>
        <v>80.268182</v>
      </c>
      <c r="F21842" s="4">
        <f>IFERROR(__xludf.DUMMYFUNCTION("""COMPUTED_VALUE"""),805.0)</f>
        <v>805</v>
      </c>
      <c r="G21842" s="4">
        <f>IFERROR(__xludf.DUMMYFUNCTION("""COMPUTED_VALUE"""),34.0)</f>
        <v>34</v>
      </c>
      <c r="H21842" s="4"/>
      <c r="I21842" s="4"/>
    </row>
    <row r="21843">
      <c r="A21843" s="4" t="str">
        <f>IFERROR(__xludf.DUMMYFUNCTION("""COMPUTED_VALUE"""),"cas_hmw")</f>
        <v>cas_hmw</v>
      </c>
      <c r="B21843" s="5">
        <f>IFERROR(__xludf.DUMMYFUNCTION("""COMPUTED_VALUE"""),44788.0)</f>
        <v>44788</v>
      </c>
      <c r="C21843" s="6">
        <f>IFERROR(__xludf.DUMMYFUNCTION("""COMPUTED_VALUE"""),0.30678240740598994)</f>
        <v>0.3067824074</v>
      </c>
      <c r="D21843" s="4">
        <f>IFERROR(__xludf.DUMMYFUNCTION("""COMPUTED_VALUE"""),13.066128)</f>
        <v>13.066128</v>
      </c>
      <c r="E21843" s="4">
        <f>IFERROR(__xludf.DUMMYFUNCTION("""COMPUTED_VALUE"""),80.268182)</f>
        <v>80.268182</v>
      </c>
      <c r="F21843" s="4">
        <f>IFERROR(__xludf.DUMMYFUNCTION("""COMPUTED_VALUE"""),805.0)</f>
        <v>805</v>
      </c>
      <c r="G21843" s="4">
        <f>IFERROR(__xludf.DUMMYFUNCTION("""COMPUTED_VALUE"""),34.0)</f>
        <v>34</v>
      </c>
      <c r="H21843" s="4"/>
      <c r="I21843" s="4"/>
    </row>
    <row r="21844">
      <c r="A21844" s="4" t="str">
        <f>IFERROR(__xludf.DUMMYFUNCTION("""COMPUTED_VALUE"""),"cas_hmw")</f>
        <v>cas_hmw</v>
      </c>
      <c r="B21844" s="5">
        <f>IFERROR(__xludf.DUMMYFUNCTION("""COMPUTED_VALUE"""),44788.0)</f>
        <v>44788</v>
      </c>
      <c r="C21844" s="6">
        <f>IFERROR(__xludf.DUMMYFUNCTION("""COMPUTED_VALUE"""),0.3129398148157634)</f>
        <v>0.3129398148</v>
      </c>
      <c r="D21844" s="4">
        <f>IFERROR(__xludf.DUMMYFUNCTION("""COMPUTED_VALUE"""),13.051669)</f>
        <v>13.051669</v>
      </c>
      <c r="E21844" s="4">
        <f>IFERROR(__xludf.DUMMYFUNCTION("""COMPUTED_VALUE"""),80.250389)</f>
        <v>80.250389</v>
      </c>
      <c r="F21844" s="4">
        <f>IFERROR(__xludf.DUMMYFUNCTION("""COMPUTED_VALUE"""),5339.0)</f>
        <v>5339</v>
      </c>
      <c r="G21844" s="4">
        <f>IFERROR(__xludf.DUMMYFUNCTION("""COMPUTED_VALUE"""),24.0)</f>
        <v>24</v>
      </c>
      <c r="H21844" s="4"/>
      <c r="I21844" s="4"/>
    </row>
    <row r="21845">
      <c r="A21845" s="4" t="str">
        <f>IFERROR(__xludf.DUMMYFUNCTION("""COMPUTED_VALUE"""),"cas_hmw")</f>
        <v>cas_hmw</v>
      </c>
      <c r="B21845" s="5">
        <f>IFERROR(__xludf.DUMMYFUNCTION("""COMPUTED_VALUE"""),44788.0)</f>
        <v>44788</v>
      </c>
      <c r="C21845" s="6">
        <f>IFERROR(__xludf.DUMMYFUNCTION("""COMPUTED_VALUE"""),0.31295138888890506)</f>
        <v>0.3129513889</v>
      </c>
      <c r="D21845" s="4">
        <f>IFERROR(__xludf.DUMMYFUNCTION("""COMPUTED_VALUE"""),13.051669)</f>
        <v>13.051669</v>
      </c>
      <c r="E21845" s="4">
        <f>IFERROR(__xludf.DUMMYFUNCTION("""COMPUTED_VALUE"""),80.250389)</f>
        <v>80.250389</v>
      </c>
      <c r="F21845" s="4">
        <f>IFERROR(__xludf.DUMMYFUNCTION("""COMPUTED_VALUE"""),5339.0)</f>
        <v>5339</v>
      </c>
      <c r="G21845" s="4">
        <f>IFERROR(__xludf.DUMMYFUNCTION("""COMPUTED_VALUE"""),24.0)</f>
        <v>24</v>
      </c>
      <c r="H21845" s="4"/>
      <c r="I21845" s="4"/>
    </row>
    <row r="21846">
      <c r="A21846" s="4" t="str">
        <f>IFERROR(__xludf.DUMMYFUNCTION("""COMPUTED_VALUE"""),"cas_hmw")</f>
        <v>cas_hmw</v>
      </c>
      <c r="B21846" s="5">
        <f>IFERROR(__xludf.DUMMYFUNCTION("""COMPUTED_VALUE"""),44788.0)</f>
        <v>44788</v>
      </c>
      <c r="C21846" s="6">
        <f>IFERROR(__xludf.DUMMYFUNCTION("""COMPUTED_VALUE"""),0.31393518518598285)</f>
        <v>0.3139351852</v>
      </c>
      <c r="D21846" s="4">
        <f>IFERROR(__xludf.DUMMYFUNCTION("""COMPUTED_VALUE"""),13.044322)</f>
        <v>13.044322</v>
      </c>
      <c r="E21846" s="4">
        <f>IFERROR(__xludf.DUMMYFUNCTION("""COMPUTED_VALUE"""),80.266998)</f>
        <v>80.266998</v>
      </c>
      <c r="F21846" s="4">
        <f>IFERROR(__xludf.DUMMYFUNCTION("""COMPUTED_VALUE"""),805.0)</f>
        <v>805</v>
      </c>
      <c r="G21846" s="4">
        <f>IFERROR(__xludf.DUMMYFUNCTION("""COMPUTED_VALUE"""),36.0)</f>
        <v>36</v>
      </c>
      <c r="H21846" s="4"/>
      <c r="I21846" s="4"/>
    </row>
    <row r="21847">
      <c r="A21847" s="4" t="str">
        <f>IFERROR(__xludf.DUMMYFUNCTION("""COMPUTED_VALUE"""),"cas_hmw")</f>
        <v>cas_hmw</v>
      </c>
      <c r="B21847" s="5">
        <f>IFERROR(__xludf.DUMMYFUNCTION("""COMPUTED_VALUE"""),44788.0)</f>
        <v>44788</v>
      </c>
      <c r="C21847" s="6">
        <f>IFERROR(__xludf.DUMMYFUNCTION("""COMPUTED_VALUE"""),0.31564814814919373)</f>
        <v>0.3156481481</v>
      </c>
      <c r="D21847" s="4">
        <f>IFERROR(__xludf.DUMMYFUNCTION("""COMPUTED_VALUE"""),12.655957)</f>
        <v>12.655957</v>
      </c>
      <c r="E21847" s="4">
        <f>IFERROR(__xludf.DUMMYFUNCTION("""COMPUTED_VALUE"""),79.952991)</f>
        <v>79.952991</v>
      </c>
      <c r="F21847" s="4">
        <f>IFERROR(__xludf.DUMMYFUNCTION("""COMPUTED_VALUE"""),2846.0)</f>
        <v>2846</v>
      </c>
      <c r="G21847" s="4">
        <f>IFERROR(__xludf.DUMMYFUNCTION("""COMPUTED_VALUE"""),56.0)</f>
        <v>56</v>
      </c>
      <c r="H21847" s="4"/>
      <c r="I21847" s="4"/>
    </row>
    <row r="21848">
      <c r="A21848" s="4" t="str">
        <f>IFERROR(__xludf.DUMMYFUNCTION("""COMPUTED_VALUE"""),"cas_hmw")</f>
        <v>cas_hmw</v>
      </c>
      <c r="B21848" s="5">
        <f>IFERROR(__xludf.DUMMYFUNCTION("""COMPUTED_VALUE"""),44788.0)</f>
        <v>44788</v>
      </c>
      <c r="C21848" s="6">
        <f>IFERROR(__xludf.DUMMYFUNCTION("""COMPUTED_VALUE"""),0.31677083333488554)</f>
        <v>0.3167708333</v>
      </c>
      <c r="D21848" s="4">
        <f>IFERROR(__xludf.DUMMYFUNCTION("""COMPUTED_VALUE"""),13.03089)</f>
        <v>13.03089</v>
      </c>
      <c r="E21848" s="4">
        <f>IFERROR(__xludf.DUMMYFUNCTION("""COMPUTED_VALUE"""),80.266849)</f>
        <v>80.266849</v>
      </c>
      <c r="F21848" s="4">
        <f>IFERROR(__xludf.DUMMYFUNCTION("""COMPUTED_VALUE"""),805.0)</f>
        <v>805</v>
      </c>
      <c r="G21848" s="4">
        <f>IFERROR(__xludf.DUMMYFUNCTION("""COMPUTED_VALUE"""),29.0)</f>
        <v>29</v>
      </c>
      <c r="H21848" s="4"/>
      <c r="I21848" s="4"/>
    </row>
    <row r="21849">
      <c r="A21849" s="4" t="str">
        <f>IFERROR(__xludf.DUMMYFUNCTION("""COMPUTED_VALUE"""),"cas_hmw")</f>
        <v>cas_hmw</v>
      </c>
      <c r="B21849" s="5">
        <f>IFERROR(__xludf.DUMMYFUNCTION("""COMPUTED_VALUE"""),44788.0)</f>
        <v>44788</v>
      </c>
      <c r="C21849" s="6">
        <f>IFERROR(__xludf.DUMMYFUNCTION("""COMPUTED_VALUE"""),0.31677083333488554)</f>
        <v>0.3167708333</v>
      </c>
      <c r="D21849" s="4">
        <f>IFERROR(__xludf.DUMMYFUNCTION("""COMPUTED_VALUE"""),13.03089)</f>
        <v>13.03089</v>
      </c>
      <c r="E21849" s="4">
        <f>IFERROR(__xludf.DUMMYFUNCTION("""COMPUTED_VALUE"""),80.266849)</f>
        <v>80.266849</v>
      </c>
      <c r="F21849" s="4">
        <f>IFERROR(__xludf.DUMMYFUNCTION("""COMPUTED_VALUE"""),805.0)</f>
        <v>805</v>
      </c>
      <c r="G21849" s="4">
        <f>IFERROR(__xludf.DUMMYFUNCTION("""COMPUTED_VALUE"""),29.0)</f>
        <v>29</v>
      </c>
      <c r="H21849" s="4"/>
      <c r="I21849" s="4"/>
    </row>
    <row r="21850">
      <c r="A21850" s="4" t="str">
        <f>IFERROR(__xludf.DUMMYFUNCTION("""COMPUTED_VALUE"""),"cas_hmw")</f>
        <v>cas_hmw</v>
      </c>
      <c r="B21850" s="5">
        <f>IFERROR(__xludf.DUMMYFUNCTION("""COMPUTED_VALUE"""),44788.0)</f>
        <v>44788</v>
      </c>
      <c r="C21850" s="6">
        <f>IFERROR(__xludf.DUMMYFUNCTION("""COMPUTED_VALUE"""),0.3181365740747424)</f>
        <v>0.3181365741</v>
      </c>
      <c r="D21850" s="4">
        <f>IFERROR(__xludf.DUMMYFUNCTION("""COMPUTED_VALUE"""),13.030897)</f>
        <v>13.030897</v>
      </c>
      <c r="E21850" s="4">
        <f>IFERROR(__xludf.DUMMYFUNCTION("""COMPUTED_VALUE"""),80.23953)</f>
        <v>80.23953</v>
      </c>
      <c r="F21850" s="4">
        <f>IFERROR(__xludf.DUMMYFUNCTION("""COMPUTED_VALUE"""),5339.0)</f>
        <v>5339</v>
      </c>
      <c r="G21850" s="4">
        <f>IFERROR(__xludf.DUMMYFUNCTION("""COMPUTED_VALUE"""),31.0)</f>
        <v>31</v>
      </c>
      <c r="H21850" s="4"/>
      <c r="I21850" s="4"/>
    </row>
    <row r="21851">
      <c r="A21851" s="4" t="str">
        <f>IFERROR(__xludf.DUMMYFUNCTION("""COMPUTED_VALUE"""),"cas_hmw")</f>
        <v>cas_hmw</v>
      </c>
      <c r="B21851" s="5">
        <f>IFERROR(__xludf.DUMMYFUNCTION("""COMPUTED_VALUE"""),44788.0)</f>
        <v>44788</v>
      </c>
      <c r="C21851" s="6">
        <f>IFERROR(__xludf.DUMMYFUNCTION("""COMPUTED_VALUE"""),0.31935185185284354)</f>
        <v>0.3193518519</v>
      </c>
      <c r="D21851" s="4">
        <f>IFERROR(__xludf.DUMMYFUNCTION("""COMPUTED_VALUE"""),13.026231)</f>
        <v>13.026231</v>
      </c>
      <c r="E21851" s="4">
        <f>IFERROR(__xludf.DUMMYFUNCTION("""COMPUTED_VALUE"""),80.232313)</f>
        <v>80.232313</v>
      </c>
      <c r="F21851" s="4">
        <f>IFERROR(__xludf.DUMMYFUNCTION("""COMPUTED_VALUE"""),5339.0)</f>
        <v>5339</v>
      </c>
      <c r="G21851" s="4">
        <f>IFERROR(__xludf.DUMMYFUNCTION("""COMPUTED_VALUE"""),27.0)</f>
        <v>27</v>
      </c>
      <c r="H21851" s="4"/>
      <c r="I21851" s="4"/>
    </row>
    <row r="21852">
      <c r="A21852" s="4" t="str">
        <f>IFERROR(__xludf.DUMMYFUNCTION("""COMPUTED_VALUE"""),"cas_hmw")</f>
        <v>cas_hmw</v>
      </c>
      <c r="B21852" s="5">
        <f>IFERROR(__xludf.DUMMYFUNCTION("""COMPUTED_VALUE"""),44788.0)</f>
        <v>44788</v>
      </c>
      <c r="C21852" s="6">
        <f>IFERROR(__xludf.DUMMYFUNCTION("""COMPUTED_VALUE"""),0.3193634259259852)</f>
        <v>0.3193634259</v>
      </c>
      <c r="D21852" s="4">
        <f>IFERROR(__xludf.DUMMYFUNCTION("""COMPUTED_VALUE"""),13.026054)</f>
        <v>13.026054</v>
      </c>
      <c r="E21852" s="4">
        <f>IFERROR(__xludf.DUMMYFUNCTION("""COMPUTED_VALUE"""),80.231689)</f>
        <v>80.231689</v>
      </c>
      <c r="F21852" s="4">
        <f>IFERROR(__xludf.DUMMYFUNCTION("""COMPUTED_VALUE"""),5339.0)</f>
        <v>5339</v>
      </c>
      <c r="G21852" s="4">
        <f>IFERROR(__xludf.DUMMYFUNCTION("""COMPUTED_VALUE"""),26.0)</f>
        <v>26</v>
      </c>
      <c r="H21852" s="4"/>
      <c r="I21852" s="4"/>
    </row>
    <row r="21853">
      <c r="A21853" s="4" t="str">
        <f>IFERROR(__xludf.DUMMYFUNCTION("""COMPUTED_VALUE"""),"cas_hmw")</f>
        <v>cas_hmw</v>
      </c>
      <c r="B21853" s="5">
        <f>IFERROR(__xludf.DUMMYFUNCTION("""COMPUTED_VALUE"""),44788.0)</f>
        <v>44788</v>
      </c>
      <c r="C21853" s="6">
        <f>IFERROR(__xludf.DUMMYFUNCTION("""COMPUTED_VALUE"""),0.31938657407226856)</f>
        <v>0.3193865741</v>
      </c>
      <c r="D21853" s="4">
        <f>IFERROR(__xludf.DUMMYFUNCTION("""COMPUTED_VALUE"""),13.026054)</f>
        <v>13.026054</v>
      </c>
      <c r="E21853" s="4">
        <f>IFERROR(__xludf.DUMMYFUNCTION("""COMPUTED_VALUE"""),80.231689)</f>
        <v>80.231689</v>
      </c>
      <c r="F21853" s="4">
        <f>IFERROR(__xludf.DUMMYFUNCTION("""COMPUTED_VALUE"""),5339.0)</f>
        <v>5339</v>
      </c>
      <c r="G21853" s="4">
        <f>IFERROR(__xludf.DUMMYFUNCTION("""COMPUTED_VALUE"""),26.0)</f>
        <v>26</v>
      </c>
      <c r="H21853" s="4"/>
      <c r="I21853" s="4"/>
    </row>
    <row r="21854">
      <c r="A21854" s="4" t="str">
        <f>IFERROR(__xludf.DUMMYFUNCTION("""COMPUTED_VALUE"""),"cas_hmw")</f>
        <v>cas_hmw</v>
      </c>
      <c r="B21854" s="5">
        <f>IFERROR(__xludf.DUMMYFUNCTION("""COMPUTED_VALUE"""),44788.0)</f>
        <v>44788</v>
      </c>
      <c r="C21854" s="6">
        <f>IFERROR(__xludf.DUMMYFUNCTION("""COMPUTED_VALUE"""),0.3200925925921183)</f>
        <v>0.3200925926</v>
      </c>
      <c r="D21854" s="4">
        <f>IFERROR(__xludf.DUMMYFUNCTION("""COMPUTED_VALUE"""),13.018945)</f>
        <v>13.018945</v>
      </c>
      <c r="E21854" s="4">
        <f>IFERROR(__xludf.DUMMYFUNCTION("""COMPUTED_VALUE"""),80.262752)</f>
        <v>80.262752</v>
      </c>
      <c r="F21854" s="4">
        <f>IFERROR(__xludf.DUMMYFUNCTION("""COMPUTED_VALUE"""),805.0)</f>
        <v>805</v>
      </c>
      <c r="G21854" s="4">
        <f>IFERROR(__xludf.DUMMYFUNCTION("""COMPUTED_VALUE"""),23.0)</f>
        <v>23</v>
      </c>
      <c r="H21854" s="4"/>
      <c r="I21854" s="4"/>
    </row>
    <row r="21855">
      <c r="A21855" s="4" t="str">
        <f>IFERROR(__xludf.DUMMYFUNCTION("""COMPUTED_VALUE"""),"cas_hmw")</f>
        <v>cas_hmw</v>
      </c>
      <c r="B21855" s="5">
        <f>IFERROR(__xludf.DUMMYFUNCTION("""COMPUTED_VALUE"""),44788.0)</f>
        <v>44788</v>
      </c>
      <c r="C21855" s="6">
        <f>IFERROR(__xludf.DUMMYFUNCTION("""COMPUTED_VALUE"""),0.32018518518452765)</f>
        <v>0.3201851852</v>
      </c>
      <c r="D21855" s="4">
        <f>IFERROR(__xludf.DUMMYFUNCTION("""COMPUTED_VALUE"""),13.018945)</f>
        <v>13.018945</v>
      </c>
      <c r="E21855" s="4">
        <f>IFERROR(__xludf.DUMMYFUNCTION("""COMPUTED_VALUE"""),80.262752)</f>
        <v>80.262752</v>
      </c>
      <c r="F21855" s="4">
        <f>IFERROR(__xludf.DUMMYFUNCTION("""COMPUTED_VALUE"""),805.0)</f>
        <v>805</v>
      </c>
      <c r="G21855" s="4">
        <f>IFERROR(__xludf.DUMMYFUNCTION("""COMPUTED_VALUE"""),23.0)</f>
        <v>23</v>
      </c>
      <c r="H21855" s="4"/>
      <c r="I21855" s="4"/>
    </row>
    <row r="21856">
      <c r="A21856" s="4" t="str">
        <f>IFERROR(__xludf.DUMMYFUNCTION("""COMPUTED_VALUE"""),"cas_hmw")</f>
        <v>cas_hmw</v>
      </c>
      <c r="B21856" s="5">
        <f>IFERROR(__xludf.DUMMYFUNCTION("""COMPUTED_VALUE"""),44788.0)</f>
        <v>44788</v>
      </c>
      <c r="C21856" s="6">
        <f>IFERROR(__xludf.DUMMYFUNCTION("""COMPUTED_VALUE"""),0.3203356481499213)</f>
        <v>0.3203356481</v>
      </c>
      <c r="D21856" s="4">
        <f>IFERROR(__xludf.DUMMYFUNCTION("""COMPUTED_VALUE"""),13.018538)</f>
        <v>13.018538</v>
      </c>
      <c r="E21856" s="4">
        <f>IFERROR(__xludf.DUMMYFUNCTION("""COMPUTED_VALUE"""),80.261217)</f>
        <v>80.261217</v>
      </c>
      <c r="F21856" s="4">
        <f>IFERROR(__xludf.DUMMYFUNCTION("""COMPUTED_VALUE"""),805.0)</f>
        <v>805</v>
      </c>
      <c r="G21856" s="4">
        <f>IFERROR(__xludf.DUMMYFUNCTION("""COMPUTED_VALUE"""),28.0)</f>
        <v>28</v>
      </c>
      <c r="H21856" s="4"/>
      <c r="I21856" s="4"/>
    </row>
    <row r="21857">
      <c r="A21857" s="4" t="str">
        <f>IFERROR(__xludf.DUMMYFUNCTION("""COMPUTED_VALUE"""),"cas_hmw")</f>
        <v>cas_hmw</v>
      </c>
      <c r="B21857" s="5">
        <f>IFERROR(__xludf.DUMMYFUNCTION("""COMPUTED_VALUE"""),44788.0)</f>
        <v>44788</v>
      </c>
      <c r="C21857" s="6">
        <f>IFERROR(__xludf.DUMMYFUNCTION("""COMPUTED_VALUE"""),0.32061342592714936)</f>
        <v>0.3206134259</v>
      </c>
      <c r="D21857" s="4">
        <f>IFERROR(__xludf.DUMMYFUNCTION("""COMPUTED_VALUE"""),12.970801)</f>
        <v>12.970801</v>
      </c>
      <c r="E21857" s="4">
        <f>IFERROR(__xludf.DUMMYFUNCTION("""COMPUTED_VALUE"""),80.218956)</f>
        <v>80.218956</v>
      </c>
      <c r="F21857" s="4">
        <f>IFERROR(__xludf.DUMMYFUNCTION("""COMPUTED_VALUE"""),3143.0)</f>
        <v>3143</v>
      </c>
      <c r="G21857" s="4">
        <f>IFERROR(__xludf.DUMMYFUNCTION("""COMPUTED_VALUE"""),42.0)</f>
        <v>42</v>
      </c>
      <c r="H21857" s="4"/>
      <c r="I21857" s="4"/>
    </row>
    <row r="21858">
      <c r="A21858" s="4" t="str">
        <f>IFERROR(__xludf.DUMMYFUNCTION("""COMPUTED_VALUE"""),"cas_hmw")</f>
        <v>cas_hmw</v>
      </c>
      <c r="B21858" s="5">
        <f>IFERROR(__xludf.DUMMYFUNCTION("""COMPUTED_VALUE"""),44788.0)</f>
        <v>44788</v>
      </c>
      <c r="C21858" s="6">
        <f>IFERROR(__xludf.DUMMYFUNCTION("""COMPUTED_VALUE"""),0.32079861111196806)</f>
        <v>0.3207986111</v>
      </c>
      <c r="D21858" s="4">
        <f>IFERROR(__xludf.DUMMYFUNCTION("""COMPUTED_VALUE"""),13.017802)</f>
        <v>13.017802</v>
      </c>
      <c r="E21858" s="4">
        <f>IFERROR(__xludf.DUMMYFUNCTION("""COMPUTED_VALUE"""),80.260788)</f>
        <v>80.260788</v>
      </c>
      <c r="F21858" s="4">
        <f>IFERROR(__xludf.DUMMYFUNCTION("""COMPUTED_VALUE"""),805.0)</f>
        <v>805</v>
      </c>
      <c r="G21858" s="4">
        <f>IFERROR(__xludf.DUMMYFUNCTION("""COMPUTED_VALUE"""),0.0)</f>
        <v>0</v>
      </c>
      <c r="H21858" s="4"/>
      <c r="I21858" s="4"/>
    </row>
    <row r="21859">
      <c r="A21859" s="4" t="str">
        <f>IFERROR(__xludf.DUMMYFUNCTION("""COMPUTED_VALUE"""),"cas_hmw")</f>
        <v>cas_hmw</v>
      </c>
      <c r="B21859" s="5">
        <f>IFERROR(__xludf.DUMMYFUNCTION("""COMPUTED_VALUE"""),44788.0)</f>
        <v>44788</v>
      </c>
      <c r="C21859" s="6">
        <f>IFERROR(__xludf.DUMMYFUNCTION("""COMPUTED_VALUE"""),0.32081018518510973)</f>
        <v>0.3208101852</v>
      </c>
      <c r="D21859" s="4">
        <f>IFERROR(__xludf.DUMMYFUNCTION("""COMPUTED_VALUE"""),13.017802)</f>
        <v>13.017802</v>
      </c>
      <c r="E21859" s="4">
        <f>IFERROR(__xludf.DUMMYFUNCTION("""COMPUTED_VALUE"""),80.260788)</f>
        <v>80.260788</v>
      </c>
      <c r="F21859" s="4">
        <f>IFERROR(__xludf.DUMMYFUNCTION("""COMPUTED_VALUE"""),805.0)</f>
        <v>805</v>
      </c>
      <c r="G21859" s="4">
        <f>IFERROR(__xludf.DUMMYFUNCTION("""COMPUTED_VALUE"""),0.0)</f>
        <v>0</v>
      </c>
      <c r="H21859" s="4"/>
      <c r="I21859" s="4"/>
    </row>
    <row r="21860">
      <c r="A21860" s="4" t="str">
        <f>IFERROR(__xludf.DUMMYFUNCTION("""COMPUTED_VALUE"""),"cas_hmw")</f>
        <v>cas_hmw</v>
      </c>
      <c r="B21860" s="5">
        <f>IFERROR(__xludf.DUMMYFUNCTION("""COMPUTED_VALUE"""),44788.0)</f>
        <v>44788</v>
      </c>
      <c r="C21860" s="6">
        <f>IFERROR(__xludf.DUMMYFUNCTION("""COMPUTED_VALUE"""),0.3210416666661331)</f>
        <v>0.3210416667</v>
      </c>
      <c r="D21860" s="4">
        <f>IFERROR(__xludf.DUMMYFUNCTION("""COMPUTED_VALUE"""),12.967923)</f>
        <v>12.967923</v>
      </c>
      <c r="E21860" s="4">
        <f>IFERROR(__xludf.DUMMYFUNCTION("""COMPUTED_VALUE"""),80.217822)</f>
        <v>80.217822</v>
      </c>
      <c r="F21860" s="4">
        <f>IFERROR(__xludf.DUMMYFUNCTION("""COMPUTED_VALUE"""),3143.0)</f>
        <v>3143</v>
      </c>
      <c r="G21860" s="4">
        <f>IFERROR(__xludf.DUMMYFUNCTION("""COMPUTED_VALUE"""),35.0)</f>
        <v>35</v>
      </c>
      <c r="H21860" s="4"/>
      <c r="I21860" s="4"/>
    </row>
    <row r="21861">
      <c r="A21861" s="4" t="str">
        <f>IFERROR(__xludf.DUMMYFUNCTION("""COMPUTED_VALUE"""),"cas_hmw")</f>
        <v>cas_hmw</v>
      </c>
      <c r="B21861" s="5">
        <f>IFERROR(__xludf.DUMMYFUNCTION("""COMPUTED_VALUE"""),44788.0)</f>
        <v>44788</v>
      </c>
      <c r="C21861" s="6">
        <f>IFERROR(__xludf.DUMMYFUNCTION("""COMPUTED_VALUE"""),0.3210763888891961)</f>
        <v>0.3210763889</v>
      </c>
      <c r="D21861" s="4">
        <f>IFERROR(__xludf.DUMMYFUNCTION("""COMPUTED_VALUE"""),13.020615)</f>
        <v>13.020615</v>
      </c>
      <c r="E21861" s="4">
        <f>IFERROR(__xludf.DUMMYFUNCTION("""COMPUTED_VALUE"""),80.225298)</f>
        <v>80.225298</v>
      </c>
      <c r="F21861" s="4">
        <f>IFERROR(__xludf.DUMMYFUNCTION("""COMPUTED_VALUE"""),5339.0)</f>
        <v>5339</v>
      </c>
      <c r="G21861" s="4">
        <f>IFERROR(__xludf.DUMMYFUNCTION("""COMPUTED_VALUE"""),51.0)</f>
        <v>51</v>
      </c>
      <c r="H21861" s="4"/>
      <c r="I21861" s="4"/>
    </row>
    <row r="21862">
      <c r="A21862" s="4" t="str">
        <f>IFERROR(__xludf.DUMMYFUNCTION("""COMPUTED_VALUE"""),"cas_hmw")</f>
        <v>cas_hmw</v>
      </c>
      <c r="B21862" s="5">
        <f>IFERROR(__xludf.DUMMYFUNCTION("""COMPUTED_VALUE"""),44788.0)</f>
        <v>44788</v>
      </c>
      <c r="C21862" s="6">
        <f>IFERROR(__xludf.DUMMYFUNCTION("""COMPUTED_VALUE"""),0.3211458333316841)</f>
        <v>0.3211458333</v>
      </c>
      <c r="D21862" s="4">
        <f>IFERROR(__xludf.DUMMYFUNCTION("""COMPUTED_VALUE"""),12.96694)</f>
        <v>12.96694</v>
      </c>
      <c r="E21862" s="4">
        <f>IFERROR(__xludf.DUMMYFUNCTION("""COMPUTED_VALUE"""),80.217461)</f>
        <v>80.217461</v>
      </c>
      <c r="F21862" s="4">
        <f>IFERROR(__xludf.DUMMYFUNCTION("""COMPUTED_VALUE"""),3143.0)</f>
        <v>3143</v>
      </c>
      <c r="G21862" s="4">
        <f>IFERROR(__xludf.DUMMYFUNCTION("""COMPUTED_VALUE"""),47.0)</f>
        <v>47</v>
      </c>
      <c r="H21862" s="4"/>
      <c r="I21862" s="4"/>
    </row>
    <row r="21863">
      <c r="A21863" s="4" t="str">
        <f>IFERROR(__xludf.DUMMYFUNCTION("""COMPUTED_VALUE"""),"cas_hmw")</f>
        <v>cas_hmw</v>
      </c>
      <c r="B21863" s="5">
        <f>IFERROR(__xludf.DUMMYFUNCTION("""COMPUTED_VALUE"""),44788.0)</f>
        <v>44788</v>
      </c>
      <c r="C21863" s="6">
        <f>IFERROR(__xludf.DUMMYFUNCTION("""COMPUTED_VALUE"""),0.32116898148160544)</f>
        <v>0.3211689815</v>
      </c>
      <c r="D21863" s="4">
        <f>IFERROR(__xludf.DUMMYFUNCTION("""COMPUTED_VALUE"""),13.019718)</f>
        <v>13.019718</v>
      </c>
      <c r="E21863" s="4">
        <f>IFERROR(__xludf.DUMMYFUNCTION("""COMPUTED_VALUE"""),80.224643)</f>
        <v>80.224643</v>
      </c>
      <c r="F21863" s="4">
        <f>IFERROR(__xludf.DUMMYFUNCTION("""COMPUTED_VALUE"""),5339.0)</f>
        <v>5339</v>
      </c>
      <c r="G21863" s="4">
        <f>IFERROR(__xludf.DUMMYFUNCTION("""COMPUTED_VALUE"""),39.0)</f>
        <v>39</v>
      </c>
      <c r="H21863" s="4"/>
      <c r="I21863" s="4"/>
    </row>
    <row r="21864">
      <c r="A21864" s="4" t="str">
        <f>IFERROR(__xludf.DUMMYFUNCTION("""COMPUTED_VALUE"""),"cas_hmw")</f>
        <v>cas_hmw</v>
      </c>
      <c r="B21864" s="5">
        <f>IFERROR(__xludf.DUMMYFUNCTION("""COMPUTED_VALUE"""),44788.0)</f>
        <v>44788</v>
      </c>
      <c r="C21864" s="6">
        <f>IFERROR(__xludf.DUMMYFUNCTION("""COMPUTED_VALUE"""),0.32137731481634546)</f>
        <v>0.3213773148</v>
      </c>
      <c r="D21864" s="4">
        <f>IFERROR(__xludf.DUMMYFUNCTION("""COMPUTED_VALUE"""),12.964752)</f>
        <v>12.964752</v>
      </c>
      <c r="E21864" s="4">
        <f>IFERROR(__xludf.DUMMYFUNCTION("""COMPUTED_VALUE"""),80.216539)</f>
        <v>80.216539</v>
      </c>
      <c r="F21864" s="4">
        <f>IFERROR(__xludf.DUMMYFUNCTION("""COMPUTED_VALUE"""),3143.0)</f>
        <v>3143</v>
      </c>
      <c r="G21864" s="4">
        <f>IFERROR(__xludf.DUMMYFUNCTION("""COMPUTED_VALUE"""),48.0)</f>
        <v>48</v>
      </c>
      <c r="H21864" s="4"/>
      <c r="I21864" s="4"/>
    </row>
    <row r="21865">
      <c r="A21865" s="4" t="str">
        <f>IFERROR(__xludf.DUMMYFUNCTION("""COMPUTED_VALUE"""),"cas_hmw")</f>
        <v>cas_hmw</v>
      </c>
      <c r="B21865" s="5">
        <f>IFERROR(__xludf.DUMMYFUNCTION("""COMPUTED_VALUE"""),44788.0)</f>
        <v>44788</v>
      </c>
      <c r="C21865" s="6">
        <f>IFERROR(__xludf.DUMMYFUNCTION("""COMPUTED_VALUE"""),0.32164351851679385)</f>
        <v>0.3216435185</v>
      </c>
      <c r="D21865" s="4">
        <f>IFERROR(__xludf.DUMMYFUNCTION("""COMPUTED_VALUE"""),13.01565)</f>
        <v>13.01565</v>
      </c>
      <c r="E21865" s="4">
        <f>IFERROR(__xludf.DUMMYFUNCTION("""COMPUTED_VALUE"""),80.225744)</f>
        <v>80.225744</v>
      </c>
      <c r="F21865" s="4">
        <f>IFERROR(__xludf.DUMMYFUNCTION("""COMPUTED_VALUE"""),5339.0)</f>
        <v>5339</v>
      </c>
      <c r="G21865" s="4">
        <f>IFERROR(__xludf.DUMMYFUNCTION("""COMPUTED_VALUE"""),30.0)</f>
        <v>30</v>
      </c>
      <c r="H21865" s="4"/>
      <c r="I21865" s="4"/>
    </row>
    <row r="21866">
      <c r="A21866" s="4" t="str">
        <f>IFERROR(__xludf.DUMMYFUNCTION("""COMPUTED_VALUE"""),"cas_hmw")</f>
        <v>cas_hmw</v>
      </c>
      <c r="B21866" s="5">
        <f>IFERROR(__xludf.DUMMYFUNCTION("""COMPUTED_VALUE"""),44788.0)</f>
        <v>44788</v>
      </c>
      <c r="C21866" s="6">
        <f>IFERROR(__xludf.DUMMYFUNCTION("""COMPUTED_VALUE"""),0.3222106481480296)</f>
        <v>0.3222106481</v>
      </c>
      <c r="D21866" s="4">
        <f>IFERROR(__xludf.DUMMYFUNCTION("""COMPUTED_VALUE"""),13.010903)</f>
        <v>13.010903</v>
      </c>
      <c r="E21866" s="4">
        <f>IFERROR(__xludf.DUMMYFUNCTION("""COMPUTED_VALUE"""),80.227578)</f>
        <v>80.227578</v>
      </c>
      <c r="F21866" s="4">
        <f>IFERROR(__xludf.DUMMYFUNCTION("""COMPUTED_VALUE"""),5339.0)</f>
        <v>5339</v>
      </c>
      <c r="G21866" s="4">
        <f>IFERROR(__xludf.DUMMYFUNCTION("""COMPUTED_VALUE"""),47.0)</f>
        <v>47</v>
      </c>
      <c r="H21866" s="4"/>
      <c r="I21866" s="4"/>
    </row>
    <row r="21867">
      <c r="A21867" s="4" t="str">
        <f>IFERROR(__xludf.DUMMYFUNCTION("""COMPUTED_VALUE"""),"cas_hmw")</f>
        <v>cas_hmw</v>
      </c>
      <c r="B21867" s="5">
        <f>IFERROR(__xludf.DUMMYFUNCTION("""COMPUTED_VALUE"""),44788.0)</f>
        <v>44788</v>
      </c>
      <c r="C21867" s="6">
        <f>IFERROR(__xludf.DUMMYFUNCTION("""COMPUTED_VALUE"""),0.3224537037021946)</f>
        <v>0.3224537037</v>
      </c>
      <c r="D21867" s="4">
        <f>IFERROR(__xludf.DUMMYFUNCTION("""COMPUTED_VALUE"""),13.007232)</f>
        <v>13.007232</v>
      </c>
      <c r="E21867" s="4">
        <f>IFERROR(__xludf.DUMMYFUNCTION("""COMPUTED_VALUE"""),80.258862)</f>
        <v>80.258862</v>
      </c>
      <c r="F21867" s="4">
        <f>IFERROR(__xludf.DUMMYFUNCTION("""COMPUTED_VALUE"""),805.0)</f>
        <v>805</v>
      </c>
      <c r="G21867" s="4">
        <f>IFERROR(__xludf.DUMMYFUNCTION("""COMPUTED_VALUE"""),4.0)</f>
        <v>4</v>
      </c>
      <c r="H21867" s="4"/>
      <c r="I21867" s="4"/>
    </row>
    <row r="21868">
      <c r="A21868" s="4" t="str">
        <f>IFERROR(__xludf.DUMMYFUNCTION("""COMPUTED_VALUE"""),"cas_hmw")</f>
        <v>cas_hmw</v>
      </c>
      <c r="B21868" s="5">
        <f>IFERROR(__xludf.DUMMYFUNCTION("""COMPUTED_VALUE"""),44788.0)</f>
        <v>44788</v>
      </c>
      <c r="C21868" s="6">
        <f>IFERROR(__xludf.DUMMYFUNCTION("""COMPUTED_VALUE"""),0.32246527777897427)</f>
        <v>0.3224652778</v>
      </c>
      <c r="D21868" s="4">
        <f>IFERROR(__xludf.DUMMYFUNCTION("""COMPUTED_VALUE"""),13.007232)</f>
        <v>13.007232</v>
      </c>
      <c r="E21868" s="4">
        <f>IFERROR(__xludf.DUMMYFUNCTION("""COMPUTED_VALUE"""),80.258862)</f>
        <v>80.258862</v>
      </c>
      <c r="F21868" s="4">
        <f>IFERROR(__xludf.DUMMYFUNCTION("""COMPUTED_VALUE"""),805.0)</f>
        <v>805</v>
      </c>
      <c r="G21868" s="4">
        <f>IFERROR(__xludf.DUMMYFUNCTION("""COMPUTED_VALUE"""),4.0)</f>
        <v>4</v>
      </c>
      <c r="H21868" s="4"/>
      <c r="I21868" s="4"/>
    </row>
    <row r="21869">
      <c r="A21869" s="4" t="str">
        <f>IFERROR(__xludf.DUMMYFUNCTION("""COMPUTED_VALUE"""),"cas_hmw")</f>
        <v>cas_hmw</v>
      </c>
      <c r="B21869" s="5">
        <f>IFERROR(__xludf.DUMMYFUNCTION("""COMPUTED_VALUE"""),44788.0)</f>
        <v>44788</v>
      </c>
      <c r="C21869" s="6">
        <f>IFERROR(__xludf.DUMMYFUNCTION("""COMPUTED_VALUE"""),0.32337962962992606)</f>
        <v>0.3233796296</v>
      </c>
      <c r="D21869" s="4">
        <f>IFERROR(__xludf.DUMMYFUNCTION("""COMPUTED_VALUE"""),13.012044)</f>
        <v>13.012044</v>
      </c>
      <c r="E21869" s="4">
        <f>IFERROR(__xludf.DUMMYFUNCTION("""COMPUTED_VALUE"""),80.22086)</f>
        <v>80.22086</v>
      </c>
      <c r="F21869" s="4">
        <f>IFERROR(__xludf.DUMMYFUNCTION("""COMPUTED_VALUE"""),5339.0)</f>
        <v>5339</v>
      </c>
      <c r="G21869" s="4">
        <f>IFERROR(__xludf.DUMMYFUNCTION("""COMPUTED_VALUE"""),29.0)</f>
        <v>29</v>
      </c>
      <c r="H21869" s="4"/>
      <c r="I21869" s="4"/>
    </row>
    <row r="21870">
      <c r="A21870" s="4" t="str">
        <f>IFERROR(__xludf.DUMMYFUNCTION("""COMPUTED_VALUE"""),"cas_hmw")</f>
        <v>cas_hmw</v>
      </c>
      <c r="B21870" s="5">
        <f>IFERROR(__xludf.DUMMYFUNCTION("""COMPUTED_VALUE"""),44788.0)</f>
        <v>44788</v>
      </c>
      <c r="C21870" s="6">
        <f>IFERROR(__xludf.DUMMYFUNCTION("""COMPUTED_VALUE"""),0.3234837962954771)</f>
        <v>0.3234837963</v>
      </c>
      <c r="D21870" s="4">
        <f>IFERROR(__xludf.DUMMYFUNCTION("""COMPUTED_VALUE"""),13.011812)</f>
        <v>13.011812</v>
      </c>
      <c r="E21870" s="4">
        <f>IFERROR(__xludf.DUMMYFUNCTION("""COMPUTED_VALUE"""),80.219978)</f>
        <v>80.219978</v>
      </c>
      <c r="F21870" s="4">
        <f>IFERROR(__xludf.DUMMYFUNCTION("""COMPUTED_VALUE"""),5339.0)</f>
        <v>5339</v>
      </c>
      <c r="G21870" s="4">
        <f>IFERROR(__xludf.DUMMYFUNCTION("""COMPUTED_VALUE"""),39.0)</f>
        <v>39</v>
      </c>
      <c r="H21870" s="4"/>
      <c r="I21870" s="4"/>
    </row>
    <row r="21871">
      <c r="A21871" s="4" t="str">
        <f>IFERROR(__xludf.DUMMYFUNCTION("""COMPUTED_VALUE"""),"cas_hmw")</f>
        <v>cas_hmw</v>
      </c>
      <c r="B21871" s="5">
        <f>IFERROR(__xludf.DUMMYFUNCTION("""COMPUTED_VALUE"""),44788.0)</f>
        <v>44788</v>
      </c>
      <c r="C21871" s="6">
        <f>IFERROR(__xludf.DUMMYFUNCTION("""COMPUTED_VALUE"""),0.3236226851840911)</f>
        <v>0.3236226852</v>
      </c>
      <c r="D21871" s="4">
        <f>IFERROR(__xludf.DUMMYFUNCTION("""COMPUTED_VALUE"""),13.011509)</f>
        <v>13.011509</v>
      </c>
      <c r="E21871" s="4">
        <f>IFERROR(__xludf.DUMMYFUNCTION("""COMPUTED_VALUE"""),80.21898)</f>
        <v>80.21898</v>
      </c>
      <c r="F21871" s="4">
        <f>IFERROR(__xludf.DUMMYFUNCTION("""COMPUTED_VALUE"""),5339.0)</f>
        <v>5339</v>
      </c>
      <c r="G21871" s="4">
        <f>IFERROR(__xludf.DUMMYFUNCTION("""COMPUTED_VALUE"""),39.0)</f>
        <v>39</v>
      </c>
      <c r="H21871" s="4"/>
      <c r="I21871" s="4"/>
    </row>
    <row r="21872">
      <c r="A21872" s="4" t="str">
        <f>IFERROR(__xludf.DUMMYFUNCTION("""COMPUTED_VALUE"""),"cas_hmw")</f>
        <v>cas_hmw</v>
      </c>
      <c r="B21872" s="5">
        <f>IFERROR(__xludf.DUMMYFUNCTION("""COMPUTED_VALUE"""),44788.0)</f>
        <v>44788</v>
      </c>
      <c r="C21872" s="6">
        <f>IFERROR(__xludf.DUMMYFUNCTION("""COMPUTED_VALUE"""),0.3268055555563478)</f>
        <v>0.3268055556</v>
      </c>
      <c r="D21872" s="4">
        <f>IFERROR(__xludf.DUMMYFUNCTION("""COMPUTED_VALUE"""),13.007064)</f>
        <v>13.007064</v>
      </c>
      <c r="E21872" s="4">
        <f>IFERROR(__xludf.DUMMYFUNCTION("""COMPUTED_VALUE"""),80.238784)</f>
        <v>80.238784</v>
      </c>
      <c r="F21872" s="4">
        <f>IFERROR(__xludf.DUMMYFUNCTION("""COMPUTED_VALUE"""),805.0)</f>
        <v>805</v>
      </c>
      <c r="G21872" s="4">
        <f>IFERROR(__xludf.DUMMYFUNCTION("""COMPUTED_VALUE"""),37.0)</f>
        <v>37</v>
      </c>
      <c r="H21872" s="4"/>
      <c r="I21872" s="4"/>
    </row>
    <row r="21873">
      <c r="A21873" s="4" t="str">
        <f>IFERROR(__xludf.DUMMYFUNCTION("""COMPUTED_VALUE"""),"cas_hmw")</f>
        <v>cas_hmw</v>
      </c>
      <c r="B21873" s="5">
        <f>IFERROR(__xludf.DUMMYFUNCTION("""COMPUTED_VALUE"""),44788.0)</f>
        <v>44788</v>
      </c>
      <c r="C21873" s="6">
        <f>IFERROR(__xludf.DUMMYFUNCTION("""COMPUTED_VALUE"""),0.3269675925912452)</f>
        <v>0.3269675926</v>
      </c>
      <c r="D21873" s="4">
        <f>IFERROR(__xludf.DUMMYFUNCTION("""COMPUTED_VALUE"""),13.007064)</f>
        <v>13.007064</v>
      </c>
      <c r="E21873" s="4">
        <f>IFERROR(__xludf.DUMMYFUNCTION("""COMPUTED_VALUE"""),80.238784)</f>
        <v>80.238784</v>
      </c>
      <c r="F21873" s="4">
        <f>IFERROR(__xludf.DUMMYFUNCTION("""COMPUTED_VALUE"""),805.0)</f>
        <v>805</v>
      </c>
      <c r="G21873" s="4">
        <f>IFERROR(__xludf.DUMMYFUNCTION("""COMPUTED_VALUE"""),37.0)</f>
        <v>37</v>
      </c>
      <c r="H21873" s="4"/>
      <c r="I21873" s="4"/>
    </row>
    <row r="21874">
      <c r="A21874" s="4" t="str">
        <f>IFERROR(__xludf.DUMMYFUNCTION("""COMPUTED_VALUE"""),"cas_hmw")</f>
        <v>cas_hmw</v>
      </c>
      <c r="B21874" s="5">
        <f>IFERROR(__xludf.DUMMYFUNCTION("""COMPUTED_VALUE"""),44788.0)</f>
        <v>44788</v>
      </c>
      <c r="C21874" s="6">
        <f>IFERROR(__xludf.DUMMYFUNCTION("""COMPUTED_VALUE"""),0.32833333333474)</f>
        <v>0.3283333333</v>
      </c>
      <c r="D21874" s="4">
        <f>IFERROR(__xludf.DUMMYFUNCTION("""COMPUTED_VALUE"""),13.009924)</f>
        <v>13.009924</v>
      </c>
      <c r="E21874" s="4">
        <f>IFERROR(__xludf.DUMMYFUNCTION("""COMPUTED_VALUE"""),80.22656)</f>
        <v>80.22656</v>
      </c>
      <c r="F21874" s="4">
        <f>IFERROR(__xludf.DUMMYFUNCTION("""COMPUTED_VALUE"""),805.0)</f>
        <v>805</v>
      </c>
      <c r="G21874" s="4">
        <f>IFERROR(__xludf.DUMMYFUNCTION("""COMPUTED_VALUE"""),46.0)</f>
        <v>46</v>
      </c>
      <c r="H21874" s="4"/>
      <c r="I21874" s="4"/>
    </row>
    <row r="21875">
      <c r="A21875" s="4" t="str">
        <f>IFERROR(__xludf.DUMMYFUNCTION("""COMPUTED_VALUE"""),"cas_hmw")</f>
        <v>cas_hmw</v>
      </c>
      <c r="B21875" s="5">
        <f>IFERROR(__xludf.DUMMYFUNCTION("""COMPUTED_VALUE"""),44788.0)</f>
        <v>44788</v>
      </c>
      <c r="C21875" s="6">
        <f>IFERROR(__xludf.DUMMYFUNCTION("""COMPUTED_VALUE"""),0.3284490740734327)</f>
        <v>0.3284490741</v>
      </c>
      <c r="D21875" s="4">
        <f>IFERROR(__xludf.DUMMYFUNCTION("""COMPUTED_VALUE"""),13.009924)</f>
        <v>13.009924</v>
      </c>
      <c r="E21875" s="4">
        <f>IFERROR(__xludf.DUMMYFUNCTION("""COMPUTED_VALUE"""),80.22656)</f>
        <v>80.22656</v>
      </c>
      <c r="F21875" s="4">
        <f>IFERROR(__xludf.DUMMYFUNCTION("""COMPUTED_VALUE"""),805.0)</f>
        <v>805</v>
      </c>
      <c r="G21875" s="4">
        <f>IFERROR(__xludf.DUMMYFUNCTION("""COMPUTED_VALUE"""),46.0)</f>
        <v>46</v>
      </c>
      <c r="H21875" s="4"/>
      <c r="I21875" s="4"/>
    </row>
    <row r="21876">
      <c r="A21876" s="4" t="str">
        <f>IFERROR(__xludf.DUMMYFUNCTION("""COMPUTED_VALUE"""),"cas_hmw")</f>
        <v>cas_hmw</v>
      </c>
      <c r="B21876" s="5">
        <f>IFERROR(__xludf.DUMMYFUNCTION("""COMPUTED_VALUE"""),44788.0)</f>
        <v>44788</v>
      </c>
      <c r="C21876" s="6">
        <f>IFERROR(__xludf.DUMMYFUNCTION("""COMPUTED_VALUE"""),0.32861111111196806)</f>
        <v>0.3286111111</v>
      </c>
      <c r="D21876" s="4">
        <f>IFERROR(__xludf.DUMMYFUNCTION("""COMPUTED_VALUE"""),13.010719)</f>
        <v>13.010719</v>
      </c>
      <c r="E21876" s="4">
        <f>IFERROR(__xludf.DUMMYFUNCTION("""COMPUTED_VALUE"""),80.224853)</f>
        <v>80.224853</v>
      </c>
      <c r="F21876" s="4">
        <f>IFERROR(__xludf.DUMMYFUNCTION("""COMPUTED_VALUE"""),805.0)</f>
        <v>805</v>
      </c>
      <c r="G21876" s="4">
        <f>IFERROR(__xludf.DUMMYFUNCTION("""COMPUTED_VALUE"""),43.0)</f>
        <v>43</v>
      </c>
      <c r="H21876" s="4"/>
      <c r="I21876" s="4"/>
    </row>
    <row r="21877">
      <c r="A21877" s="4" t="str">
        <f>IFERROR(__xludf.DUMMYFUNCTION("""COMPUTED_VALUE"""),"cas_hmw")</f>
        <v>cas_hmw</v>
      </c>
      <c r="B21877" s="5">
        <f>IFERROR(__xludf.DUMMYFUNCTION("""COMPUTED_VALUE"""),44788.0)</f>
        <v>44788</v>
      </c>
      <c r="C21877" s="6">
        <f>IFERROR(__xludf.DUMMYFUNCTION("""COMPUTED_VALUE"""),0.32872685185066075)</f>
        <v>0.3287268519</v>
      </c>
      <c r="D21877" s="4">
        <f>IFERROR(__xludf.DUMMYFUNCTION("""COMPUTED_VALUE"""),13.011374)</f>
        <v>13.011374</v>
      </c>
      <c r="E21877" s="4">
        <f>IFERROR(__xludf.DUMMYFUNCTION("""COMPUTED_VALUE"""),80.223248)</f>
        <v>80.223248</v>
      </c>
      <c r="F21877" s="4">
        <f>IFERROR(__xludf.DUMMYFUNCTION("""COMPUTED_VALUE"""),805.0)</f>
        <v>805</v>
      </c>
      <c r="G21877" s="4">
        <f>IFERROR(__xludf.DUMMYFUNCTION("""COMPUTED_VALUE"""),35.0)</f>
        <v>35</v>
      </c>
      <c r="H21877" s="4"/>
      <c r="I21877" s="4"/>
    </row>
    <row r="21878">
      <c r="A21878" s="4" t="str">
        <f>IFERROR(__xludf.DUMMYFUNCTION("""COMPUTED_VALUE"""),"cas_hmw")</f>
        <v>cas_hmw</v>
      </c>
      <c r="B21878" s="5">
        <f>IFERROR(__xludf.DUMMYFUNCTION("""COMPUTED_VALUE"""),44788.0)</f>
        <v>44788</v>
      </c>
      <c r="C21878" s="6">
        <f>IFERROR(__xludf.DUMMYFUNCTION("""COMPUTED_VALUE"""),0.3288194444430701)</f>
        <v>0.3288194444</v>
      </c>
      <c r="D21878" s="4">
        <f>IFERROR(__xludf.DUMMYFUNCTION("""COMPUTED_VALUE"""),13.011374)</f>
        <v>13.011374</v>
      </c>
      <c r="E21878" s="4">
        <f>IFERROR(__xludf.DUMMYFUNCTION("""COMPUTED_VALUE"""),80.223248)</f>
        <v>80.223248</v>
      </c>
      <c r="F21878" s="4">
        <f>IFERROR(__xludf.DUMMYFUNCTION("""COMPUTED_VALUE"""),805.0)</f>
        <v>805</v>
      </c>
      <c r="G21878" s="4">
        <f>IFERROR(__xludf.DUMMYFUNCTION("""COMPUTED_VALUE"""),35.0)</f>
        <v>35</v>
      </c>
      <c r="H21878" s="4"/>
      <c r="I21878" s="4"/>
    </row>
    <row r="21879">
      <c r="A21879" s="4" t="str">
        <f>IFERROR(__xludf.DUMMYFUNCTION("""COMPUTED_VALUE"""),"cas_hmw")</f>
        <v>cas_hmw</v>
      </c>
      <c r="B21879" s="5">
        <f>IFERROR(__xludf.DUMMYFUNCTION("""COMPUTED_VALUE"""),44788.0)</f>
        <v>44788</v>
      </c>
      <c r="C21879" s="6">
        <f>IFERROR(__xludf.DUMMYFUNCTION("""COMPUTED_VALUE"""),0.3292939814818965)</f>
        <v>0.3292939815</v>
      </c>
      <c r="D21879" s="4">
        <f>IFERROR(__xludf.DUMMYFUNCTION("""COMPUTED_VALUE"""),13.011679)</f>
        <v>13.011679</v>
      </c>
      <c r="E21879" s="4">
        <f>IFERROR(__xludf.DUMMYFUNCTION("""COMPUTED_VALUE"""),80.219486)</f>
        <v>80.219486</v>
      </c>
      <c r="F21879" s="4">
        <f>IFERROR(__xludf.DUMMYFUNCTION("""COMPUTED_VALUE"""),805.0)</f>
        <v>805</v>
      </c>
      <c r="G21879" s="4">
        <f>IFERROR(__xludf.DUMMYFUNCTION("""COMPUTED_VALUE"""),38.0)</f>
        <v>38</v>
      </c>
      <c r="H21879" s="4"/>
      <c r="I21879" s="4"/>
    </row>
    <row r="21880">
      <c r="A21880" s="4" t="str">
        <f>IFERROR(__xludf.DUMMYFUNCTION("""COMPUTED_VALUE"""),"cas_hmw")</f>
        <v>cas_hmw</v>
      </c>
      <c r="B21880" s="5">
        <f>IFERROR(__xludf.DUMMYFUNCTION("""COMPUTED_VALUE"""),44788.0)</f>
        <v>44788</v>
      </c>
      <c r="C21880" s="6">
        <f>IFERROR(__xludf.DUMMYFUNCTION("""COMPUTED_VALUE"""),0.3295138888897782)</f>
        <v>0.3295138889</v>
      </c>
      <c r="D21880" s="4">
        <f>IFERROR(__xludf.DUMMYFUNCTION("""COMPUTED_VALUE"""),12.686303)</f>
        <v>12.686303</v>
      </c>
      <c r="E21880" s="4">
        <f>IFERROR(__xludf.DUMMYFUNCTION("""COMPUTED_VALUE"""),79.983403)</f>
        <v>79.983403</v>
      </c>
      <c r="F21880" s="4">
        <f>IFERROR(__xludf.DUMMYFUNCTION("""COMPUTED_VALUE"""),2846.0)</f>
        <v>2846</v>
      </c>
      <c r="G21880" s="4">
        <f>IFERROR(__xludf.DUMMYFUNCTION("""COMPUTED_VALUE"""),11.0)</f>
        <v>11</v>
      </c>
      <c r="H21880" s="4"/>
      <c r="I21880" s="4"/>
    </row>
    <row r="21881">
      <c r="A21881" s="4" t="str">
        <f>IFERROR(__xludf.DUMMYFUNCTION("""COMPUTED_VALUE"""),"cas_hmw")</f>
        <v>cas_hmw</v>
      </c>
      <c r="B21881" s="5">
        <f>IFERROR(__xludf.DUMMYFUNCTION("""COMPUTED_VALUE"""),44788.0)</f>
        <v>44788</v>
      </c>
      <c r="C21881" s="6">
        <f>IFERROR(__xludf.DUMMYFUNCTION("""COMPUTED_VALUE"""),0.3295370370360615)</f>
        <v>0.329537037</v>
      </c>
      <c r="D21881" s="4">
        <f>IFERROR(__xludf.DUMMYFUNCTION("""COMPUTED_VALUE"""),13.011212)</f>
        <v>13.011212</v>
      </c>
      <c r="E21881" s="4">
        <f>IFERROR(__xludf.DUMMYFUNCTION("""COMPUTED_VALUE"""),80.218039)</f>
        <v>80.218039</v>
      </c>
      <c r="F21881" s="4">
        <f>IFERROR(__xludf.DUMMYFUNCTION("""COMPUTED_VALUE"""),805.0)</f>
        <v>805</v>
      </c>
      <c r="G21881" s="4">
        <f>IFERROR(__xludf.DUMMYFUNCTION("""COMPUTED_VALUE"""),31.0)</f>
        <v>31</v>
      </c>
      <c r="H21881" s="4"/>
      <c r="I21881" s="4"/>
    </row>
    <row r="21882">
      <c r="A21882" s="4" t="str">
        <f>IFERROR(__xludf.DUMMYFUNCTION("""COMPUTED_VALUE"""),"cas_hmw")</f>
        <v>cas_hmw</v>
      </c>
      <c r="B21882" s="5">
        <f>IFERROR(__xludf.DUMMYFUNCTION("""COMPUTED_VALUE"""),44788.0)</f>
        <v>44788</v>
      </c>
      <c r="C21882" s="6">
        <f>IFERROR(__xludf.DUMMYFUNCTION("""COMPUTED_VALUE"""),0.32969907407459687)</f>
        <v>0.3296990741</v>
      </c>
      <c r="D21882" s="4">
        <f>IFERROR(__xludf.DUMMYFUNCTION("""COMPUTED_VALUE"""),13.010703)</f>
        <v>13.010703</v>
      </c>
      <c r="E21882" s="4">
        <f>IFERROR(__xludf.DUMMYFUNCTION("""COMPUTED_VALUE"""),80.21676)</f>
        <v>80.21676</v>
      </c>
      <c r="F21882" s="4">
        <f>IFERROR(__xludf.DUMMYFUNCTION("""COMPUTED_VALUE"""),805.0)</f>
        <v>805</v>
      </c>
      <c r="G21882" s="4">
        <f>IFERROR(__xludf.DUMMYFUNCTION("""COMPUTED_VALUE"""),34.0)</f>
        <v>34</v>
      </c>
      <c r="H21882" s="4"/>
      <c r="I21882" s="4"/>
    </row>
    <row r="21883">
      <c r="A21883" s="4" t="str">
        <f>IFERROR(__xludf.DUMMYFUNCTION("""COMPUTED_VALUE"""),"cas_hmw")</f>
        <v>cas_hmw</v>
      </c>
      <c r="B21883" s="5">
        <f>IFERROR(__xludf.DUMMYFUNCTION("""COMPUTED_VALUE"""),44788.0)</f>
        <v>44788</v>
      </c>
      <c r="C21883" s="6">
        <f>IFERROR(__xludf.DUMMYFUNCTION("""COMPUTED_VALUE"""),0.33042824074072996)</f>
        <v>0.3304282407</v>
      </c>
      <c r="D21883" s="4">
        <f>IFERROR(__xludf.DUMMYFUNCTION("""COMPUTED_VALUE"""),13.008287)</f>
        <v>13.008287</v>
      </c>
      <c r="E21883" s="4">
        <f>IFERROR(__xludf.DUMMYFUNCTION("""COMPUTED_VALUE"""),80.209909)</f>
        <v>80.209909</v>
      </c>
      <c r="F21883" s="4">
        <f>IFERROR(__xludf.DUMMYFUNCTION("""COMPUTED_VALUE"""),805.0)</f>
        <v>805</v>
      </c>
      <c r="G21883" s="4">
        <f>IFERROR(__xludf.DUMMYFUNCTION("""COMPUTED_VALUE"""),45.0)</f>
        <v>45</v>
      </c>
      <c r="H21883" s="4"/>
      <c r="I21883" s="4"/>
    </row>
    <row r="21884">
      <c r="A21884" s="4" t="str">
        <f>IFERROR(__xludf.DUMMYFUNCTION("""COMPUTED_VALUE"""),"cas_hmw")</f>
        <v>cas_hmw</v>
      </c>
      <c r="B21884" s="5">
        <f>IFERROR(__xludf.DUMMYFUNCTION("""COMPUTED_VALUE"""),44788.0)</f>
        <v>44788</v>
      </c>
      <c r="C21884" s="6">
        <f>IFERROR(__xludf.DUMMYFUNCTION("""COMPUTED_VALUE"""),0.33141203703780775)</f>
        <v>0.331412037</v>
      </c>
      <c r="D21884" s="4">
        <f>IFERROR(__xludf.DUMMYFUNCTION("""COMPUTED_VALUE"""),12.954147)</f>
        <v>12.954147</v>
      </c>
      <c r="E21884" s="4">
        <f>IFERROR(__xludf.DUMMYFUNCTION("""COMPUTED_VALUE"""),80.186749)</f>
        <v>80.186749</v>
      </c>
      <c r="F21884" s="4">
        <f>IFERROR(__xludf.DUMMYFUNCTION("""COMPUTED_VALUE"""),3143.0)</f>
        <v>3143</v>
      </c>
      <c r="G21884" s="4">
        <f>IFERROR(__xludf.DUMMYFUNCTION("""COMPUTED_VALUE"""),39.0)</f>
        <v>39</v>
      </c>
      <c r="H21884" s="4"/>
      <c r="I21884" s="4"/>
    </row>
    <row r="21885">
      <c r="A21885" s="4" t="str">
        <f>IFERROR(__xludf.DUMMYFUNCTION("""COMPUTED_VALUE"""),"cas_hmw")</f>
        <v>cas_hmw</v>
      </c>
      <c r="B21885" s="5">
        <f>IFERROR(__xludf.DUMMYFUNCTION("""COMPUTED_VALUE"""),44788.0)</f>
        <v>44788</v>
      </c>
      <c r="C21885" s="6">
        <f>IFERROR(__xludf.DUMMYFUNCTION("""COMPUTED_VALUE"""),0.33224537036949187)</f>
        <v>0.3322453704</v>
      </c>
      <c r="D21885" s="4">
        <f>IFERROR(__xludf.DUMMYFUNCTION("""COMPUTED_VALUE"""),13.001686)</f>
        <v>13.001686</v>
      </c>
      <c r="E21885" s="4">
        <f>IFERROR(__xludf.DUMMYFUNCTION("""COMPUTED_VALUE"""),80.19642)</f>
        <v>80.19642</v>
      </c>
      <c r="F21885" s="4">
        <f>IFERROR(__xludf.DUMMYFUNCTION("""COMPUTED_VALUE"""),805.0)</f>
        <v>805</v>
      </c>
      <c r="G21885" s="4">
        <f>IFERROR(__xludf.DUMMYFUNCTION("""COMPUTED_VALUE"""),43.0)</f>
        <v>43</v>
      </c>
      <c r="H21885" s="4"/>
      <c r="I21885" s="4"/>
    </row>
    <row r="21886">
      <c r="A21886" s="4" t="str">
        <f>IFERROR(__xludf.DUMMYFUNCTION("""COMPUTED_VALUE"""),"cas_hmw")</f>
        <v>cas_hmw</v>
      </c>
      <c r="B21886" s="5">
        <f>IFERROR(__xludf.DUMMYFUNCTION("""COMPUTED_VALUE"""),44788.0)</f>
        <v>44788</v>
      </c>
      <c r="C21886" s="6">
        <f>IFERROR(__xludf.DUMMYFUNCTION("""COMPUTED_VALUE"""),0.3323726851849642)</f>
        <v>0.3323726852</v>
      </c>
      <c r="D21886" s="4">
        <f>IFERROR(__xludf.DUMMYFUNCTION("""COMPUTED_VALUE"""),13.001686)</f>
        <v>13.001686</v>
      </c>
      <c r="E21886" s="4">
        <f>IFERROR(__xludf.DUMMYFUNCTION("""COMPUTED_VALUE"""),80.19642)</f>
        <v>80.19642</v>
      </c>
      <c r="F21886" s="4">
        <f>IFERROR(__xludf.DUMMYFUNCTION("""COMPUTED_VALUE"""),805.0)</f>
        <v>805</v>
      </c>
      <c r="G21886" s="4">
        <f>IFERROR(__xludf.DUMMYFUNCTION("""COMPUTED_VALUE"""),43.0)</f>
        <v>43</v>
      </c>
      <c r="H21886" s="4"/>
      <c r="I21886" s="4"/>
    </row>
    <row r="21887">
      <c r="A21887" s="4" t="str">
        <f>IFERROR(__xludf.DUMMYFUNCTION("""COMPUTED_VALUE"""),"cas_hmw")</f>
        <v>cas_hmw</v>
      </c>
      <c r="B21887" s="5">
        <f>IFERROR(__xludf.DUMMYFUNCTION("""COMPUTED_VALUE"""),44788.0)</f>
        <v>44788</v>
      </c>
      <c r="C21887" s="6">
        <f>IFERROR(__xludf.DUMMYFUNCTION("""COMPUTED_VALUE"""),0.3335069444437977)</f>
        <v>0.3335069444</v>
      </c>
      <c r="D21887" s="4">
        <f>IFERROR(__xludf.DUMMYFUNCTION("""COMPUTED_VALUE"""),12.995145)</f>
        <v>12.995145</v>
      </c>
      <c r="E21887" s="4">
        <f>IFERROR(__xludf.DUMMYFUNCTION("""COMPUTED_VALUE"""),80.187873)</f>
        <v>80.187873</v>
      </c>
      <c r="F21887" s="4">
        <f>IFERROR(__xludf.DUMMYFUNCTION("""COMPUTED_VALUE"""),805.0)</f>
        <v>805</v>
      </c>
      <c r="G21887" s="4">
        <f>IFERROR(__xludf.DUMMYFUNCTION("""COMPUTED_VALUE"""),36.0)</f>
        <v>36</v>
      </c>
      <c r="H21887" s="4"/>
      <c r="I21887" s="4"/>
    </row>
    <row r="21888">
      <c r="A21888" s="4" t="str">
        <f>IFERROR(__xludf.DUMMYFUNCTION("""COMPUTED_VALUE"""),"cas_hmw")</f>
        <v>cas_hmw</v>
      </c>
      <c r="B21888" s="5">
        <f>IFERROR(__xludf.DUMMYFUNCTION("""COMPUTED_VALUE"""),44788.0)</f>
        <v>44788</v>
      </c>
      <c r="C21888" s="6">
        <f>IFERROR(__xludf.DUMMYFUNCTION("""COMPUTED_VALUE"""),0.33378472222102573)</f>
        <v>0.3337847222</v>
      </c>
      <c r="D21888" s="4">
        <f>IFERROR(__xludf.DUMMYFUNCTION("""COMPUTED_VALUE"""),12.944927)</f>
        <v>12.944927</v>
      </c>
      <c r="E21888" s="4">
        <f>IFERROR(__xludf.DUMMYFUNCTION("""COMPUTED_VALUE"""),80.183127)</f>
        <v>80.183127</v>
      </c>
      <c r="F21888" s="4">
        <f>IFERROR(__xludf.DUMMYFUNCTION("""COMPUTED_VALUE"""),3143.0)</f>
        <v>3143</v>
      </c>
      <c r="G21888" s="4">
        <f>IFERROR(__xludf.DUMMYFUNCTION("""COMPUTED_VALUE"""),27.0)</f>
        <v>27</v>
      </c>
      <c r="H21888" s="4"/>
      <c r="I21888" s="4"/>
    </row>
    <row r="21889">
      <c r="A21889" s="4" t="str">
        <f>IFERROR(__xludf.DUMMYFUNCTION("""COMPUTED_VALUE"""),"cas_hmw")</f>
        <v>cas_hmw</v>
      </c>
      <c r="B21889" s="5">
        <f>IFERROR(__xludf.DUMMYFUNCTION("""COMPUTED_VALUE"""),44788.0)</f>
        <v>44788</v>
      </c>
      <c r="C21889" s="6">
        <f>IFERROR(__xludf.DUMMYFUNCTION("""COMPUTED_VALUE"""),0.3339004629633564)</f>
        <v>0.333900463</v>
      </c>
      <c r="D21889" s="4">
        <f>IFERROR(__xludf.DUMMYFUNCTION("""COMPUTED_VALUE"""),12.993987)</f>
        <v>12.993987</v>
      </c>
      <c r="E21889" s="4">
        <f>IFERROR(__xludf.DUMMYFUNCTION("""COMPUTED_VALUE"""),80.18561)</f>
        <v>80.18561</v>
      </c>
      <c r="F21889" s="4">
        <f>IFERROR(__xludf.DUMMYFUNCTION("""COMPUTED_VALUE"""),805.0)</f>
        <v>805</v>
      </c>
      <c r="G21889" s="4">
        <f>IFERROR(__xludf.DUMMYFUNCTION("""COMPUTED_VALUE"""),25.0)</f>
        <v>25</v>
      </c>
      <c r="H21889" s="4"/>
      <c r="I21889" s="4"/>
    </row>
    <row r="21890">
      <c r="A21890" s="4" t="str">
        <f>IFERROR(__xludf.DUMMYFUNCTION("""COMPUTED_VALUE"""),"cas_hmw")</f>
        <v>cas_hmw</v>
      </c>
      <c r="B21890" s="5">
        <f>IFERROR(__xludf.DUMMYFUNCTION("""COMPUTED_VALUE"""),44788.0)</f>
        <v>44788</v>
      </c>
      <c r="C21890" s="6">
        <f>IFERROR(__xludf.DUMMYFUNCTION("""COMPUTED_VALUE"""),0.3340162037020491)</f>
        <v>0.3340162037</v>
      </c>
      <c r="D21890" s="4">
        <f>IFERROR(__xludf.DUMMYFUNCTION("""COMPUTED_VALUE"""),12.993195)</f>
        <v>12.993195</v>
      </c>
      <c r="E21890" s="4">
        <f>IFERROR(__xludf.DUMMYFUNCTION("""COMPUTED_VALUE"""),80.184134)</f>
        <v>80.184134</v>
      </c>
      <c r="F21890" s="4">
        <f>IFERROR(__xludf.DUMMYFUNCTION("""COMPUTED_VALUE"""),805.0)</f>
        <v>805</v>
      </c>
      <c r="G21890" s="4">
        <f>IFERROR(__xludf.DUMMYFUNCTION("""COMPUTED_VALUE"""),47.0)</f>
        <v>47</v>
      </c>
      <c r="H21890" s="4"/>
      <c r="I21890" s="4"/>
    </row>
    <row r="21891">
      <c r="A21891" s="4" t="str">
        <f>IFERROR(__xludf.DUMMYFUNCTION("""COMPUTED_VALUE"""),"cas_hmw")</f>
        <v>cas_hmw</v>
      </c>
      <c r="B21891" s="5">
        <f>IFERROR(__xludf.DUMMYFUNCTION("""COMPUTED_VALUE"""),44788.0)</f>
        <v>44788</v>
      </c>
      <c r="C21891" s="6">
        <f>IFERROR(__xludf.DUMMYFUNCTION("""COMPUTED_VALUE"""),0.3340509259251121)</f>
        <v>0.3340509259</v>
      </c>
      <c r="D21891" s="4">
        <f>IFERROR(__xludf.DUMMYFUNCTION("""COMPUTED_VALUE"""),12.943752)</f>
        <v>12.943752</v>
      </c>
      <c r="E21891" s="4">
        <f>IFERROR(__xludf.DUMMYFUNCTION("""COMPUTED_VALUE"""),80.183024)</f>
        <v>80.183024</v>
      </c>
      <c r="F21891" s="4">
        <f>IFERROR(__xludf.DUMMYFUNCTION("""COMPUTED_VALUE"""),3143.0)</f>
        <v>3143</v>
      </c>
      <c r="G21891" s="4">
        <f>IFERROR(__xludf.DUMMYFUNCTION("""COMPUTED_VALUE"""),22.0)</f>
        <v>22</v>
      </c>
      <c r="H21891" s="4"/>
      <c r="I21891" s="4"/>
    </row>
    <row r="21892">
      <c r="A21892" s="4" t="str">
        <f>IFERROR(__xludf.DUMMYFUNCTION("""COMPUTED_VALUE"""),"cas_hmw")</f>
        <v>cas_hmw</v>
      </c>
      <c r="B21892" s="5">
        <f>IFERROR(__xludf.DUMMYFUNCTION("""COMPUTED_VALUE"""),44788.0)</f>
        <v>44788</v>
      </c>
      <c r="C21892" s="6">
        <f>IFERROR(__xludf.DUMMYFUNCTION("""COMPUTED_VALUE"""),0.3341898148137261)</f>
        <v>0.3341898148</v>
      </c>
      <c r="D21892" s="4">
        <f>IFERROR(__xludf.DUMMYFUNCTION("""COMPUTED_VALUE"""),12.992342)</f>
        <v>12.992342</v>
      </c>
      <c r="E21892" s="4">
        <f>IFERROR(__xludf.DUMMYFUNCTION("""COMPUTED_VALUE"""),80.182628)</f>
        <v>80.182628</v>
      </c>
      <c r="F21892" s="4">
        <f>IFERROR(__xludf.DUMMYFUNCTION("""COMPUTED_VALUE"""),805.0)</f>
        <v>805</v>
      </c>
      <c r="G21892" s="4">
        <f>IFERROR(__xludf.DUMMYFUNCTION("""COMPUTED_VALUE"""),46.0)</f>
        <v>46</v>
      </c>
      <c r="H21892" s="4"/>
      <c r="I21892" s="4"/>
    </row>
    <row r="21893">
      <c r="A21893" s="4" t="str">
        <f>IFERROR(__xludf.DUMMYFUNCTION("""COMPUTED_VALUE"""),"cas_hmw")</f>
        <v>cas_hmw</v>
      </c>
      <c r="B21893" s="5">
        <f>IFERROR(__xludf.DUMMYFUNCTION("""COMPUTED_VALUE"""),44788.0)</f>
        <v>44788</v>
      </c>
      <c r="C21893" s="6">
        <f>IFERROR(__xludf.DUMMYFUNCTION("""COMPUTED_VALUE"""),0.33526620370321325)</f>
        <v>0.3352662037</v>
      </c>
      <c r="D21893" s="4">
        <f>IFERROR(__xludf.DUMMYFUNCTION("""COMPUTED_VALUE"""),12.938519)</f>
        <v>12.938519</v>
      </c>
      <c r="E21893" s="4">
        <f>IFERROR(__xludf.DUMMYFUNCTION("""COMPUTED_VALUE"""),80.182398)</f>
        <v>80.182398</v>
      </c>
      <c r="F21893" s="4">
        <f>IFERROR(__xludf.DUMMYFUNCTION("""COMPUTED_VALUE"""),3143.0)</f>
        <v>3143</v>
      </c>
      <c r="G21893" s="4">
        <f>IFERROR(__xludf.DUMMYFUNCTION("""COMPUTED_VALUE"""),29.0)</f>
        <v>29</v>
      </c>
      <c r="H21893" s="4"/>
      <c r="I21893" s="4"/>
    </row>
    <row r="21894">
      <c r="A21894" s="4" t="str">
        <f>IFERROR(__xludf.DUMMYFUNCTION("""COMPUTED_VALUE"""),"cas_hmw")</f>
        <v>cas_hmw</v>
      </c>
      <c r="B21894" s="5">
        <f>IFERROR(__xludf.DUMMYFUNCTION("""COMPUTED_VALUE"""),44788.0)</f>
        <v>44788</v>
      </c>
      <c r="C21894" s="6">
        <f>IFERROR(__xludf.DUMMYFUNCTION("""COMPUTED_VALUE"""),0.33530092592627625)</f>
        <v>0.3353009259</v>
      </c>
      <c r="D21894" s="4">
        <f>IFERROR(__xludf.DUMMYFUNCTION("""COMPUTED_VALUE"""),12.938519)</f>
        <v>12.938519</v>
      </c>
      <c r="E21894" s="4">
        <f>IFERROR(__xludf.DUMMYFUNCTION("""COMPUTED_VALUE"""),80.182398)</f>
        <v>80.182398</v>
      </c>
      <c r="F21894" s="4">
        <f>IFERROR(__xludf.DUMMYFUNCTION("""COMPUTED_VALUE"""),3143.0)</f>
        <v>3143</v>
      </c>
      <c r="G21894" s="4">
        <f>IFERROR(__xludf.DUMMYFUNCTION("""COMPUTED_VALUE"""),29.0)</f>
        <v>29</v>
      </c>
      <c r="H21894" s="4"/>
      <c r="I21894" s="4"/>
    </row>
    <row r="21895">
      <c r="A21895" s="4" t="str">
        <f>IFERROR(__xludf.DUMMYFUNCTION("""COMPUTED_VALUE"""),"cas_hmw")</f>
        <v>cas_hmw</v>
      </c>
      <c r="B21895" s="5">
        <f>IFERROR(__xludf.DUMMYFUNCTION("""COMPUTED_VALUE"""),44788.0)</f>
        <v>44788</v>
      </c>
      <c r="C21895" s="6">
        <f>IFERROR(__xludf.DUMMYFUNCTION("""COMPUTED_VALUE"""),0.33530092592627625)</f>
        <v>0.3353009259</v>
      </c>
      <c r="D21895" s="4">
        <f>IFERROR(__xludf.DUMMYFUNCTION("""COMPUTED_VALUE"""),12.938519)</f>
        <v>12.938519</v>
      </c>
      <c r="E21895" s="4">
        <f>IFERROR(__xludf.DUMMYFUNCTION("""COMPUTED_VALUE"""),80.182398)</f>
        <v>80.182398</v>
      </c>
      <c r="F21895" s="4">
        <f>IFERROR(__xludf.DUMMYFUNCTION("""COMPUTED_VALUE"""),3143.0)</f>
        <v>3143</v>
      </c>
      <c r="G21895" s="4">
        <f>IFERROR(__xludf.DUMMYFUNCTION("""COMPUTED_VALUE"""),29.0)</f>
        <v>29</v>
      </c>
      <c r="H21895" s="4"/>
      <c r="I21895" s="4"/>
    </row>
    <row r="21896">
      <c r="A21896" s="4" t="str">
        <f>IFERROR(__xludf.DUMMYFUNCTION("""COMPUTED_VALUE"""),"cas_hmw")</f>
        <v>cas_hmw</v>
      </c>
      <c r="B21896" s="5">
        <f>IFERROR(__xludf.DUMMYFUNCTION("""COMPUTED_VALUE"""),44788.0)</f>
        <v>44788</v>
      </c>
      <c r="C21896" s="6">
        <f>IFERROR(__xludf.DUMMYFUNCTION("""COMPUTED_VALUE"""),0.33540509259182727)</f>
        <v>0.3354050926</v>
      </c>
      <c r="D21896" s="4">
        <f>IFERROR(__xludf.DUMMYFUNCTION("""COMPUTED_VALUE"""),12.989382)</f>
        <v>12.989382</v>
      </c>
      <c r="E21896" s="4">
        <f>IFERROR(__xludf.DUMMYFUNCTION("""COMPUTED_VALUE"""),80.178949)</f>
        <v>80.178949</v>
      </c>
      <c r="F21896" s="4">
        <f>IFERROR(__xludf.DUMMYFUNCTION("""COMPUTED_VALUE"""),805.0)</f>
        <v>805</v>
      </c>
      <c r="G21896" s="4">
        <f>IFERROR(__xludf.DUMMYFUNCTION("""COMPUTED_VALUE"""),31.0)</f>
        <v>31</v>
      </c>
      <c r="H21896" s="4"/>
      <c r="I21896" s="4"/>
    </row>
    <row r="21897">
      <c r="A21897" s="4" t="str">
        <f>IFERROR(__xludf.DUMMYFUNCTION("""COMPUTED_VALUE"""),"cas_hmw")</f>
        <v>cas_hmw</v>
      </c>
      <c r="B21897" s="5">
        <f>IFERROR(__xludf.DUMMYFUNCTION("""COMPUTED_VALUE"""),44788.0)</f>
        <v>44788</v>
      </c>
      <c r="C21897" s="6">
        <f>IFERROR(__xludf.DUMMYFUNCTION("""COMPUTED_VALUE"""),0.33543981481489027)</f>
        <v>0.3354398148</v>
      </c>
      <c r="D21897" s="4">
        <f>IFERROR(__xludf.DUMMYFUNCTION("""COMPUTED_VALUE"""),12.988411)</f>
        <v>12.988411</v>
      </c>
      <c r="E21897" s="4">
        <f>IFERROR(__xludf.DUMMYFUNCTION("""COMPUTED_VALUE"""),80.177666)</f>
        <v>80.177666</v>
      </c>
      <c r="F21897" s="4">
        <f>IFERROR(__xludf.DUMMYFUNCTION("""COMPUTED_VALUE"""),805.0)</f>
        <v>805</v>
      </c>
      <c r="G21897" s="4">
        <f>IFERROR(__xludf.DUMMYFUNCTION("""COMPUTED_VALUE"""),40.0)</f>
        <v>40</v>
      </c>
      <c r="H21897" s="4"/>
      <c r="I21897" s="4"/>
    </row>
    <row r="21898">
      <c r="A21898" s="4" t="str">
        <f>IFERROR(__xludf.DUMMYFUNCTION("""COMPUTED_VALUE"""),"cas_hmw")</f>
        <v>cas_hmw</v>
      </c>
      <c r="B21898" s="5">
        <f>IFERROR(__xludf.DUMMYFUNCTION("""COMPUTED_VALUE"""),44788.0)</f>
        <v>44788</v>
      </c>
      <c r="C21898" s="6">
        <f>IFERROR(__xludf.DUMMYFUNCTION("""COMPUTED_VALUE"""),0.335868055553874)</f>
        <v>0.3358680556</v>
      </c>
      <c r="D21898" s="4">
        <f>IFERROR(__xludf.DUMMYFUNCTION("""COMPUTED_VALUE"""),12.986729)</f>
        <v>12.986729</v>
      </c>
      <c r="E21898" s="4">
        <f>IFERROR(__xludf.DUMMYFUNCTION("""COMPUTED_VALUE"""),80.175447)</f>
        <v>80.175447</v>
      </c>
      <c r="F21898" s="4">
        <f>IFERROR(__xludf.DUMMYFUNCTION("""COMPUTED_VALUE"""),805.0)</f>
        <v>805</v>
      </c>
      <c r="G21898" s="4">
        <f>IFERROR(__xludf.DUMMYFUNCTION("""COMPUTED_VALUE"""),18.0)</f>
        <v>18</v>
      </c>
      <c r="H21898" s="4"/>
      <c r="I21898" s="4"/>
    </row>
    <row r="21899">
      <c r="A21899" s="4" t="str">
        <f>IFERROR(__xludf.DUMMYFUNCTION("""COMPUTED_VALUE"""),"cas_hmw")</f>
        <v>cas_hmw</v>
      </c>
      <c r="B21899" s="5">
        <f>IFERROR(__xludf.DUMMYFUNCTION("""COMPUTED_VALUE"""),44788.0)</f>
        <v>44788</v>
      </c>
      <c r="C21899" s="6">
        <f>IFERROR(__xludf.DUMMYFUNCTION("""COMPUTED_VALUE"""),0.33614583333474)</f>
        <v>0.3361458333</v>
      </c>
      <c r="D21899" s="4">
        <f>IFERROR(__xludf.DUMMYFUNCTION("""COMPUTED_VALUE"""),12.986172)</f>
        <v>12.986172</v>
      </c>
      <c r="E21899" s="4">
        <f>IFERROR(__xludf.DUMMYFUNCTION("""COMPUTED_VALUE"""),80.17451)</f>
        <v>80.17451</v>
      </c>
      <c r="F21899" s="4">
        <f>IFERROR(__xludf.DUMMYFUNCTION("""COMPUTED_VALUE"""),805.0)</f>
        <v>805</v>
      </c>
      <c r="G21899" s="4">
        <f>IFERROR(__xludf.DUMMYFUNCTION("""COMPUTED_VALUE"""),30.0)</f>
        <v>30</v>
      </c>
      <c r="H21899" s="4"/>
      <c r="I21899" s="4"/>
    </row>
    <row r="21900">
      <c r="A21900" s="4" t="str">
        <f>IFERROR(__xludf.DUMMYFUNCTION("""COMPUTED_VALUE"""),"cas_hmw")</f>
        <v>cas_hmw</v>
      </c>
      <c r="B21900" s="5">
        <f>IFERROR(__xludf.DUMMYFUNCTION("""COMPUTED_VALUE"""),44788.0)</f>
        <v>44788</v>
      </c>
      <c r="C21900" s="6">
        <f>IFERROR(__xludf.DUMMYFUNCTION("""COMPUTED_VALUE"""),0.3362731481465744)</f>
        <v>0.3362731481</v>
      </c>
      <c r="D21900" s="4">
        <f>IFERROR(__xludf.DUMMYFUNCTION("""COMPUTED_VALUE"""),12.985337)</f>
        <v>12.985337</v>
      </c>
      <c r="E21900" s="4">
        <f>IFERROR(__xludf.DUMMYFUNCTION("""COMPUTED_VALUE"""),80.17329)</f>
        <v>80.17329</v>
      </c>
      <c r="F21900" s="4">
        <f>IFERROR(__xludf.DUMMYFUNCTION("""COMPUTED_VALUE"""),805.0)</f>
        <v>805</v>
      </c>
      <c r="G21900" s="4">
        <f>IFERROR(__xludf.DUMMYFUNCTION("""COMPUTED_VALUE"""),40.0)</f>
        <v>40</v>
      </c>
      <c r="H21900" s="4"/>
      <c r="I21900" s="4"/>
    </row>
    <row r="21901">
      <c r="A21901" s="4" t="str">
        <f>IFERROR(__xludf.DUMMYFUNCTION("""COMPUTED_VALUE"""),"cas_hmw")</f>
        <v>cas_hmw</v>
      </c>
      <c r="B21901" s="5">
        <f>IFERROR(__xludf.DUMMYFUNCTION("""COMPUTED_VALUE"""),44788.0)</f>
        <v>44788</v>
      </c>
      <c r="C21901" s="6">
        <f>IFERROR(__xludf.DUMMYFUNCTION("""COMPUTED_VALUE"""),0.33645833333503106)</f>
        <v>0.3364583333</v>
      </c>
      <c r="D21901" s="4">
        <f>IFERROR(__xludf.DUMMYFUNCTION("""COMPUTED_VALUE"""),12.984478)</f>
        <v>12.984478</v>
      </c>
      <c r="E21901" s="4">
        <f>IFERROR(__xludf.DUMMYFUNCTION("""COMPUTED_VALUE"""),80.171899)</f>
        <v>80.171899</v>
      </c>
      <c r="F21901" s="4">
        <f>IFERROR(__xludf.DUMMYFUNCTION("""COMPUTED_VALUE"""),805.0)</f>
        <v>805</v>
      </c>
      <c r="G21901" s="4">
        <f>IFERROR(__xludf.DUMMYFUNCTION("""COMPUTED_VALUE"""),36.0)</f>
        <v>36</v>
      </c>
      <c r="H21901" s="4"/>
      <c r="I21901" s="4"/>
    </row>
    <row r="21902">
      <c r="A21902" s="4" t="str">
        <f>IFERROR(__xludf.DUMMYFUNCTION("""COMPUTED_VALUE"""),"cas_hmw")</f>
        <v>cas_hmw</v>
      </c>
      <c r="B21902" s="5">
        <f>IFERROR(__xludf.DUMMYFUNCTION("""COMPUTED_VALUE"""),44788.0)</f>
        <v>44788</v>
      </c>
      <c r="C21902" s="6">
        <f>IFERROR(__xludf.DUMMYFUNCTION("""COMPUTED_VALUE"""),0.3364930555544561)</f>
        <v>0.3364930556</v>
      </c>
      <c r="D21902" s="4">
        <f>IFERROR(__xludf.DUMMYFUNCTION("""COMPUTED_VALUE"""),12.984478)</f>
        <v>12.984478</v>
      </c>
      <c r="E21902" s="4">
        <f>IFERROR(__xludf.DUMMYFUNCTION("""COMPUTED_VALUE"""),80.171899)</f>
        <v>80.171899</v>
      </c>
      <c r="F21902" s="4">
        <f>IFERROR(__xludf.DUMMYFUNCTION("""COMPUTED_VALUE"""),805.0)</f>
        <v>805</v>
      </c>
      <c r="G21902" s="4">
        <f>IFERROR(__xludf.DUMMYFUNCTION("""COMPUTED_VALUE"""),36.0)</f>
        <v>36</v>
      </c>
      <c r="H21902" s="4"/>
      <c r="I21902" s="4"/>
    </row>
    <row r="21903">
      <c r="A21903" s="4" t="str">
        <f>IFERROR(__xludf.DUMMYFUNCTION("""COMPUTED_VALUE"""),"cas_hmw")</f>
        <v>cas_hmw</v>
      </c>
      <c r="B21903" s="5">
        <f>IFERROR(__xludf.DUMMYFUNCTION("""COMPUTED_VALUE"""),44788.0)</f>
        <v>44788</v>
      </c>
      <c r="C21903" s="6">
        <f>IFERROR(__xludf.DUMMYFUNCTION("""COMPUTED_VALUE"""),0.3365856481468654)</f>
        <v>0.3365856481</v>
      </c>
      <c r="D21903" s="4">
        <f>IFERROR(__xludf.DUMMYFUNCTION("""COMPUTED_VALUE"""),12.983707)</f>
        <v>12.983707</v>
      </c>
      <c r="E21903" s="4">
        <f>IFERROR(__xludf.DUMMYFUNCTION("""COMPUTED_VALUE"""),80.170604)</f>
        <v>80.170604</v>
      </c>
      <c r="F21903" s="4">
        <f>IFERROR(__xludf.DUMMYFUNCTION("""COMPUTED_VALUE"""),805.0)</f>
        <v>805</v>
      </c>
      <c r="G21903" s="4">
        <f>IFERROR(__xludf.DUMMYFUNCTION("""COMPUTED_VALUE"""),41.0)</f>
        <v>41</v>
      </c>
      <c r="H21903" s="4"/>
      <c r="I21903" s="4"/>
    </row>
    <row r="21904">
      <c r="A21904" s="4" t="str">
        <f>IFERROR(__xludf.DUMMYFUNCTION("""COMPUTED_VALUE"""),"cas_hmw")</f>
        <v>cas_hmw</v>
      </c>
      <c r="B21904" s="5">
        <f>IFERROR(__xludf.DUMMYFUNCTION("""COMPUTED_VALUE"""),44788.0)</f>
        <v>44788</v>
      </c>
      <c r="C21904" s="6">
        <f>IFERROR(__xludf.DUMMYFUNCTION("""COMPUTED_VALUE"""),0.3366666666661331)</f>
        <v>0.3366666667</v>
      </c>
      <c r="D21904" s="4">
        <f>IFERROR(__xludf.DUMMYFUNCTION("""COMPUTED_VALUE"""),12.983707)</f>
        <v>12.983707</v>
      </c>
      <c r="E21904" s="4">
        <f>IFERROR(__xludf.DUMMYFUNCTION("""COMPUTED_VALUE"""),80.170604)</f>
        <v>80.170604</v>
      </c>
      <c r="F21904" s="4">
        <f>IFERROR(__xludf.DUMMYFUNCTION("""COMPUTED_VALUE"""),805.0)</f>
        <v>805</v>
      </c>
      <c r="G21904" s="4">
        <f>IFERROR(__xludf.DUMMYFUNCTION("""COMPUTED_VALUE"""),41.0)</f>
        <v>41</v>
      </c>
      <c r="H21904" s="4"/>
      <c r="I21904" s="4"/>
    </row>
    <row r="21905">
      <c r="A21905" s="4" t="str">
        <f>IFERROR(__xludf.DUMMYFUNCTION("""COMPUTED_VALUE"""),"cas_hmw")</f>
        <v>cas_hmw</v>
      </c>
      <c r="B21905" s="5">
        <f>IFERROR(__xludf.DUMMYFUNCTION("""COMPUTED_VALUE"""),44788.0)</f>
        <v>44788</v>
      </c>
      <c r="C21905" s="6">
        <f>IFERROR(__xludf.DUMMYFUNCTION("""COMPUTED_VALUE"""),0.33708333333197515)</f>
        <v>0.3370833333</v>
      </c>
      <c r="D21905" s="4">
        <f>IFERROR(__xludf.DUMMYFUNCTION("""COMPUTED_VALUE"""),12.980838)</f>
        <v>12.980838</v>
      </c>
      <c r="E21905" s="4">
        <f>IFERROR(__xludf.DUMMYFUNCTION("""COMPUTED_VALUE"""),80.165774)</f>
        <v>80.165774</v>
      </c>
      <c r="F21905" s="4">
        <f>IFERROR(__xludf.DUMMYFUNCTION("""COMPUTED_VALUE"""),805.0)</f>
        <v>805</v>
      </c>
      <c r="G21905" s="4">
        <f>IFERROR(__xludf.DUMMYFUNCTION("""COMPUTED_VALUE"""),51.0)</f>
        <v>51</v>
      </c>
      <c r="H21905" s="4"/>
      <c r="I21905" s="4"/>
    </row>
    <row r="21906">
      <c r="A21906" s="4" t="str">
        <f>IFERROR(__xludf.DUMMYFUNCTION("""COMPUTED_VALUE"""),"cas_hmw")</f>
        <v>cas_hmw</v>
      </c>
      <c r="B21906" s="5">
        <f>IFERROR(__xludf.DUMMYFUNCTION("""COMPUTED_VALUE"""),44788.0)</f>
        <v>44788</v>
      </c>
      <c r="C21906" s="6">
        <f>IFERROR(__xludf.DUMMYFUNCTION("""COMPUTED_VALUE"""),0.3375000000014552)</f>
        <v>0.3375</v>
      </c>
      <c r="D21906" s="4">
        <f>IFERROR(__xludf.DUMMYFUNCTION("""COMPUTED_VALUE"""),12.928593)</f>
        <v>12.928593</v>
      </c>
      <c r="E21906" s="4">
        <f>IFERROR(__xludf.DUMMYFUNCTION("""COMPUTED_VALUE"""),80.182052)</f>
        <v>80.182052</v>
      </c>
      <c r="F21906" s="4">
        <f>IFERROR(__xludf.DUMMYFUNCTION("""COMPUTED_VALUE"""),3143.0)</f>
        <v>3143</v>
      </c>
      <c r="G21906" s="4">
        <f>IFERROR(__xludf.DUMMYFUNCTION("""COMPUTED_VALUE"""),21.0)</f>
        <v>21</v>
      </c>
      <c r="H21906" s="4"/>
      <c r="I21906" s="4"/>
    </row>
    <row r="21907">
      <c r="A21907" s="4" t="str">
        <f>IFERROR(__xludf.DUMMYFUNCTION("""COMPUTED_VALUE"""),"cas_hmw")</f>
        <v>cas_hmw</v>
      </c>
      <c r="B21907" s="5">
        <f>IFERROR(__xludf.DUMMYFUNCTION("""COMPUTED_VALUE"""),44788.0)</f>
        <v>44788</v>
      </c>
      <c r="C21907" s="6">
        <f>IFERROR(__xludf.DUMMYFUNCTION("""COMPUTED_VALUE"""),0.3376504629632109)</f>
        <v>0.337650463</v>
      </c>
      <c r="D21907" s="4">
        <f>IFERROR(__xludf.DUMMYFUNCTION("""COMPUTED_VALUE"""),12.928593)</f>
        <v>12.928593</v>
      </c>
      <c r="E21907" s="4">
        <f>IFERROR(__xludf.DUMMYFUNCTION("""COMPUTED_VALUE"""),80.182052)</f>
        <v>80.182052</v>
      </c>
      <c r="F21907" s="4">
        <f>IFERROR(__xludf.DUMMYFUNCTION("""COMPUTED_VALUE"""),3143.0)</f>
        <v>3143</v>
      </c>
      <c r="G21907" s="4">
        <f>IFERROR(__xludf.DUMMYFUNCTION("""COMPUTED_VALUE"""),21.0)</f>
        <v>21</v>
      </c>
      <c r="H21907" s="4"/>
      <c r="I21907" s="4"/>
    </row>
    <row r="21908">
      <c r="A21908" s="4" t="str">
        <f>IFERROR(__xludf.DUMMYFUNCTION("""COMPUTED_VALUE"""),"cas_hmw")</f>
        <v>cas_hmw</v>
      </c>
      <c r="B21908" s="5">
        <f>IFERROR(__xludf.DUMMYFUNCTION("""COMPUTED_VALUE"""),44788.0)</f>
        <v>44788</v>
      </c>
      <c r="C21908" s="6">
        <f>IFERROR(__xludf.DUMMYFUNCTION("""COMPUTED_VALUE"""),0.338587962964084)</f>
        <v>0.338587963</v>
      </c>
      <c r="D21908" s="4">
        <f>IFERROR(__xludf.DUMMYFUNCTION("""COMPUTED_VALUE"""),12.974507)</f>
        <v>12.974507</v>
      </c>
      <c r="E21908" s="4">
        <f>IFERROR(__xludf.DUMMYFUNCTION("""COMPUTED_VALUE"""),80.154955)</f>
        <v>80.154955</v>
      </c>
      <c r="F21908" s="4">
        <f>IFERROR(__xludf.DUMMYFUNCTION("""COMPUTED_VALUE"""),805.0)</f>
        <v>805</v>
      </c>
      <c r="G21908" s="4">
        <f>IFERROR(__xludf.DUMMYFUNCTION("""COMPUTED_VALUE"""),52.0)</f>
        <v>52</v>
      </c>
      <c r="H21908" s="4"/>
      <c r="I21908" s="4"/>
    </row>
    <row r="21909">
      <c r="A21909" s="4" t="str">
        <f>IFERROR(__xludf.DUMMYFUNCTION("""COMPUTED_VALUE"""),"cas_hmw")</f>
        <v>cas_hmw</v>
      </c>
      <c r="B21909" s="5">
        <f>IFERROR(__xludf.DUMMYFUNCTION("""COMPUTED_VALUE"""),44788.0)</f>
        <v>44788</v>
      </c>
      <c r="C21909" s="6">
        <f>IFERROR(__xludf.DUMMYFUNCTION("""COMPUTED_VALUE"""),0.3389930555567844)</f>
        <v>0.3389930556</v>
      </c>
      <c r="D21909" s="4">
        <f>IFERROR(__xludf.DUMMYFUNCTION("""COMPUTED_VALUE"""),12.972464)</f>
        <v>12.972464</v>
      </c>
      <c r="E21909" s="4">
        <f>IFERROR(__xludf.DUMMYFUNCTION("""COMPUTED_VALUE"""),80.151918)</f>
        <v>80.151918</v>
      </c>
      <c r="F21909" s="4">
        <f>IFERROR(__xludf.DUMMYFUNCTION("""COMPUTED_VALUE"""),805.0)</f>
        <v>805</v>
      </c>
      <c r="G21909" s="4">
        <f>IFERROR(__xludf.DUMMYFUNCTION("""COMPUTED_VALUE"""),45.0)</f>
        <v>45</v>
      </c>
      <c r="H21909" s="4"/>
      <c r="I21909" s="4"/>
    </row>
    <row r="21910">
      <c r="A21910" s="4" t="str">
        <f>IFERROR(__xludf.DUMMYFUNCTION("""COMPUTED_VALUE"""),"cas_hmw")</f>
        <v>cas_hmw</v>
      </c>
      <c r="B21910" s="5">
        <f>IFERROR(__xludf.DUMMYFUNCTION("""COMPUTED_VALUE"""),44788.0)</f>
        <v>44788</v>
      </c>
      <c r="C21910" s="6">
        <f>IFERROR(__xludf.DUMMYFUNCTION("""COMPUTED_VALUE"""),0.33937499999956344)</f>
        <v>0.339375</v>
      </c>
      <c r="D21910" s="4">
        <f>IFERROR(__xludf.DUMMYFUNCTION("""COMPUTED_VALUE"""),12.970198)</f>
        <v>12.970198</v>
      </c>
      <c r="E21910" s="4">
        <f>IFERROR(__xludf.DUMMYFUNCTION("""COMPUTED_VALUE"""),80.15051)</f>
        <v>80.15051</v>
      </c>
      <c r="F21910" s="4">
        <f>IFERROR(__xludf.DUMMYFUNCTION("""COMPUTED_VALUE"""),805.0)</f>
        <v>805</v>
      </c>
      <c r="G21910" s="4">
        <f>IFERROR(__xludf.DUMMYFUNCTION("""COMPUTED_VALUE"""),0.0)</f>
        <v>0</v>
      </c>
      <c r="H21910" s="4"/>
      <c r="I21910" s="4"/>
    </row>
    <row r="21911">
      <c r="A21911" s="4" t="str">
        <f>IFERROR(__xludf.DUMMYFUNCTION("""COMPUTED_VALUE"""),"cas_hmw")</f>
        <v>cas_hmw</v>
      </c>
      <c r="B21911" s="5">
        <f>IFERROR(__xludf.DUMMYFUNCTION("""COMPUTED_VALUE"""),44788.0)</f>
        <v>44788</v>
      </c>
      <c r="C21911" s="6">
        <f>IFERROR(__xludf.DUMMYFUNCTION("""COMPUTED_VALUE"""),0.3395023148150358)</f>
        <v>0.3395023148</v>
      </c>
      <c r="D21911" s="4">
        <f>IFERROR(__xludf.DUMMYFUNCTION("""COMPUTED_VALUE"""),12.969587)</f>
        <v>12.969587</v>
      </c>
      <c r="E21911" s="4">
        <f>IFERROR(__xludf.DUMMYFUNCTION("""COMPUTED_VALUE"""),80.150235)</f>
        <v>80.150235</v>
      </c>
      <c r="F21911" s="4">
        <f>IFERROR(__xludf.DUMMYFUNCTION("""COMPUTED_VALUE"""),805.0)</f>
        <v>805</v>
      </c>
      <c r="G21911" s="4">
        <f>IFERROR(__xludf.DUMMYFUNCTION("""COMPUTED_VALUE"""),30.0)</f>
        <v>30</v>
      </c>
      <c r="H21911" s="4"/>
      <c r="I21911" s="4"/>
    </row>
    <row r="21912">
      <c r="A21912" s="4" t="str">
        <f>IFERROR(__xludf.DUMMYFUNCTION("""COMPUTED_VALUE"""),"cas_hmw")</f>
        <v>cas_hmw</v>
      </c>
      <c r="B21912" s="5">
        <f>IFERROR(__xludf.DUMMYFUNCTION("""COMPUTED_VALUE"""),44788.0)</f>
        <v>44788</v>
      </c>
      <c r="C21912" s="6">
        <f>IFERROR(__xludf.DUMMYFUNCTION("""COMPUTED_VALUE"""),0.33959490740744513)</f>
        <v>0.3395949074</v>
      </c>
      <c r="D21912" s="4">
        <f>IFERROR(__xludf.DUMMYFUNCTION("""COMPUTED_VALUE"""),12.969587)</f>
        <v>12.969587</v>
      </c>
      <c r="E21912" s="4">
        <f>IFERROR(__xludf.DUMMYFUNCTION("""COMPUTED_VALUE"""),80.150235)</f>
        <v>80.150235</v>
      </c>
      <c r="F21912" s="4">
        <f>IFERROR(__xludf.DUMMYFUNCTION("""COMPUTED_VALUE"""),805.0)</f>
        <v>805</v>
      </c>
      <c r="G21912" s="4">
        <f>IFERROR(__xludf.DUMMYFUNCTION("""COMPUTED_VALUE"""),30.0)</f>
        <v>30</v>
      </c>
      <c r="H21912" s="4"/>
      <c r="I21912" s="4"/>
    </row>
    <row r="21913">
      <c r="A21913" s="4" t="str">
        <f>IFERROR(__xludf.DUMMYFUNCTION("""COMPUTED_VALUE"""),"cas_hmw")</f>
        <v>cas_hmw</v>
      </c>
      <c r="B21913" s="5">
        <f>IFERROR(__xludf.DUMMYFUNCTION("""COMPUTED_VALUE"""),44788.0)</f>
        <v>44788</v>
      </c>
      <c r="C21913" s="6">
        <f>IFERROR(__xludf.DUMMYFUNCTION("""COMPUTED_VALUE"""),0.3398726851846732)</f>
        <v>0.3398726852</v>
      </c>
      <c r="D21913" s="4">
        <f>IFERROR(__xludf.DUMMYFUNCTION("""COMPUTED_VALUE"""),12.920067)</f>
        <v>12.920067</v>
      </c>
      <c r="E21913" s="4">
        <f>IFERROR(__xludf.DUMMYFUNCTION("""COMPUTED_VALUE"""),80.183455)</f>
        <v>80.183455</v>
      </c>
      <c r="F21913" s="4">
        <f>IFERROR(__xludf.DUMMYFUNCTION("""COMPUTED_VALUE"""),3143.0)</f>
        <v>3143</v>
      </c>
      <c r="G21913" s="4">
        <f>IFERROR(__xludf.DUMMYFUNCTION("""COMPUTED_VALUE"""),17.0)</f>
        <v>17</v>
      </c>
      <c r="H21913" s="4"/>
      <c r="I21913" s="4"/>
    </row>
    <row r="21914">
      <c r="A21914" s="4" t="str">
        <f>IFERROR(__xludf.DUMMYFUNCTION("""COMPUTED_VALUE"""),"cas_hmw")</f>
        <v>cas_hmw</v>
      </c>
      <c r="B21914" s="5">
        <f>IFERROR(__xludf.DUMMYFUNCTION("""COMPUTED_VALUE"""),44788.0)</f>
        <v>44788</v>
      </c>
      <c r="C21914" s="6">
        <f>IFERROR(__xludf.DUMMYFUNCTION("""COMPUTED_VALUE"""),0.3415740740747424)</f>
        <v>0.3415740741</v>
      </c>
      <c r="D21914" s="4">
        <f>IFERROR(__xludf.DUMMYFUNCTION("""COMPUTED_VALUE"""),12.961313)</f>
        <v>12.961313</v>
      </c>
      <c r="E21914" s="4">
        <f>IFERROR(__xludf.DUMMYFUNCTION("""COMPUTED_VALUE"""),80.145972)</f>
        <v>80.145972</v>
      </c>
      <c r="F21914" s="4">
        <f>IFERROR(__xludf.DUMMYFUNCTION("""COMPUTED_VALUE"""),805.0)</f>
        <v>805</v>
      </c>
      <c r="G21914" s="4">
        <f>IFERROR(__xludf.DUMMYFUNCTION("""COMPUTED_VALUE"""),13.0)</f>
        <v>13</v>
      </c>
      <c r="H21914" s="4"/>
      <c r="I21914" s="4"/>
    </row>
    <row r="21915">
      <c r="A21915" s="4" t="str">
        <f>IFERROR(__xludf.DUMMYFUNCTION("""COMPUTED_VALUE"""),"cas_hmw")</f>
        <v>cas_hmw</v>
      </c>
      <c r="B21915" s="5">
        <f>IFERROR(__xludf.DUMMYFUNCTION("""COMPUTED_VALUE"""),44788.0)</f>
        <v>44788</v>
      </c>
      <c r="C21915" s="6">
        <f>IFERROR(__xludf.DUMMYFUNCTION("""COMPUTED_VALUE"""),0.3418287037020491)</f>
        <v>0.3418287037</v>
      </c>
      <c r="D21915" s="4">
        <f>IFERROR(__xludf.DUMMYFUNCTION("""COMPUTED_VALUE"""),12.960312)</f>
        <v>12.960312</v>
      </c>
      <c r="E21915" s="4">
        <f>IFERROR(__xludf.DUMMYFUNCTION("""COMPUTED_VALUE"""),80.145447)</f>
        <v>80.145447</v>
      </c>
      <c r="F21915" s="4">
        <f>IFERROR(__xludf.DUMMYFUNCTION("""COMPUTED_VALUE"""),805.0)</f>
        <v>805</v>
      </c>
      <c r="G21915" s="4">
        <f>IFERROR(__xludf.DUMMYFUNCTION("""COMPUTED_VALUE"""),38.0)</f>
        <v>38</v>
      </c>
      <c r="H21915" s="4"/>
      <c r="I21915" s="4"/>
    </row>
    <row r="21916">
      <c r="A21916" s="4" t="str">
        <f>IFERROR(__xludf.DUMMYFUNCTION("""COMPUTED_VALUE"""),"cas_hmw")</f>
        <v>cas_hmw</v>
      </c>
      <c r="B21916" s="5">
        <f>IFERROR(__xludf.DUMMYFUNCTION("""COMPUTED_VALUE"""),44788.0)</f>
        <v>44788</v>
      </c>
      <c r="C21916" s="6">
        <f>IFERROR(__xludf.DUMMYFUNCTION("""COMPUTED_VALUE"""),0.3424652777794108)</f>
        <v>0.3424652778</v>
      </c>
      <c r="D21916" s="4">
        <f>IFERROR(__xludf.DUMMYFUNCTION("""COMPUTED_VALUE"""),12.955169)</f>
        <v>12.955169</v>
      </c>
      <c r="E21916" s="4">
        <f>IFERROR(__xludf.DUMMYFUNCTION("""COMPUTED_VALUE"""),80.142787)</f>
        <v>80.142787</v>
      </c>
      <c r="F21916" s="4">
        <f>IFERROR(__xludf.DUMMYFUNCTION("""COMPUTED_VALUE"""),805.0)</f>
        <v>805</v>
      </c>
      <c r="G21916" s="4">
        <f>IFERROR(__xludf.DUMMYFUNCTION("""COMPUTED_VALUE"""),36.0)</f>
        <v>36</v>
      </c>
      <c r="H21916" s="4"/>
      <c r="I21916" s="4"/>
    </row>
    <row r="21917">
      <c r="A21917" s="4" t="str">
        <f>IFERROR(__xludf.DUMMYFUNCTION("""COMPUTED_VALUE"""),"cas_hmw")</f>
        <v>cas_hmw</v>
      </c>
      <c r="B21917" s="5">
        <f>IFERROR(__xludf.DUMMYFUNCTION("""COMPUTED_VALUE"""),44788.0)</f>
        <v>44788</v>
      </c>
      <c r="C21917" s="6">
        <f>IFERROR(__xludf.DUMMYFUNCTION("""COMPUTED_VALUE"""),0.34348379629591363)</f>
        <v>0.3434837963</v>
      </c>
      <c r="D21917" s="4">
        <f>IFERROR(__xludf.DUMMYFUNCTION("""COMPUTED_VALUE"""),12.951007)</f>
        <v>12.951007</v>
      </c>
      <c r="E21917" s="4">
        <f>IFERROR(__xludf.DUMMYFUNCTION("""COMPUTED_VALUE"""),80.140073)</f>
        <v>80.140073</v>
      </c>
      <c r="F21917" s="4">
        <f>IFERROR(__xludf.DUMMYFUNCTION("""COMPUTED_VALUE"""),805.0)</f>
        <v>805</v>
      </c>
      <c r="G21917" s="4">
        <f>IFERROR(__xludf.DUMMYFUNCTION("""COMPUTED_VALUE"""),0.0)</f>
        <v>0</v>
      </c>
      <c r="H21917" s="4"/>
      <c r="I21917" s="4"/>
    </row>
    <row r="21918">
      <c r="A21918" s="4" t="str">
        <f>IFERROR(__xludf.DUMMYFUNCTION("""COMPUTED_VALUE"""),"cas_hmw")</f>
        <v>cas_hmw</v>
      </c>
      <c r="B21918" s="5">
        <f>IFERROR(__xludf.DUMMYFUNCTION("""COMPUTED_VALUE"""),44788.0)</f>
        <v>44788</v>
      </c>
      <c r="C21918" s="6">
        <f>IFERROR(__xludf.DUMMYFUNCTION("""COMPUTED_VALUE"""),0.3436689814807323)</f>
        <v>0.3436689815</v>
      </c>
      <c r="D21918" s="4">
        <f>IFERROR(__xludf.DUMMYFUNCTION("""COMPUTED_VALUE"""),12.950784)</f>
        <v>12.950784</v>
      </c>
      <c r="E21918" s="4">
        <f>IFERROR(__xludf.DUMMYFUNCTION("""COMPUTED_VALUE"""),80.139927)</f>
        <v>80.139927</v>
      </c>
      <c r="F21918" s="4">
        <f>IFERROR(__xludf.DUMMYFUNCTION("""COMPUTED_VALUE"""),805.0)</f>
        <v>805</v>
      </c>
      <c r="G21918" s="4">
        <f>IFERROR(__xludf.DUMMYFUNCTION("""COMPUTED_VALUE"""),18.0)</f>
        <v>18</v>
      </c>
      <c r="H21918" s="4"/>
      <c r="I21918" s="4"/>
    </row>
    <row r="21919">
      <c r="A21919" s="4" t="str">
        <f>IFERROR(__xludf.DUMMYFUNCTION("""COMPUTED_VALUE"""),"cas_hmw")</f>
        <v>cas_hmw</v>
      </c>
      <c r="B21919" s="5">
        <f>IFERROR(__xludf.DUMMYFUNCTION("""COMPUTED_VALUE"""),44788.0)</f>
        <v>44788</v>
      </c>
      <c r="C21919" s="6">
        <f>IFERROR(__xludf.DUMMYFUNCTION("""COMPUTED_VALUE"""),0.3437731481499213)</f>
        <v>0.3437731481</v>
      </c>
      <c r="D21919" s="4">
        <f>IFERROR(__xludf.DUMMYFUNCTION("""COMPUTED_VALUE"""),12.949675)</f>
        <v>12.949675</v>
      </c>
      <c r="E21919" s="4">
        <f>IFERROR(__xludf.DUMMYFUNCTION("""COMPUTED_VALUE"""),80.139056)</f>
        <v>80.139056</v>
      </c>
      <c r="F21919" s="4">
        <f>IFERROR(__xludf.DUMMYFUNCTION("""COMPUTED_VALUE"""),805.0)</f>
        <v>805</v>
      </c>
      <c r="G21919" s="4">
        <f>IFERROR(__xludf.DUMMYFUNCTION("""COMPUTED_VALUE"""),44.0)</f>
        <v>44</v>
      </c>
      <c r="H21919" s="4"/>
      <c r="I21919" s="4"/>
    </row>
    <row r="21920">
      <c r="A21920" s="4" t="str">
        <f>IFERROR(__xludf.DUMMYFUNCTION("""COMPUTED_VALUE"""),"cas_hmw")</f>
        <v>cas_hmw</v>
      </c>
      <c r="B21920" s="5">
        <f>IFERROR(__xludf.DUMMYFUNCTION("""COMPUTED_VALUE"""),44788.0)</f>
        <v>44788</v>
      </c>
      <c r="C21920" s="6">
        <f>IFERROR(__xludf.DUMMYFUNCTION("""COMPUTED_VALUE"""),0.3442245370388264)</f>
        <v>0.344224537</v>
      </c>
      <c r="D21920" s="4">
        <f>IFERROR(__xludf.DUMMYFUNCTION("""COMPUTED_VALUE"""),12.947328)</f>
        <v>12.947328</v>
      </c>
      <c r="E21920" s="4">
        <f>IFERROR(__xludf.DUMMYFUNCTION("""COMPUTED_VALUE"""),80.137241)</f>
        <v>80.137241</v>
      </c>
      <c r="F21920" s="4">
        <f>IFERROR(__xludf.DUMMYFUNCTION("""COMPUTED_VALUE"""),805.0)</f>
        <v>805</v>
      </c>
      <c r="G21920" s="4">
        <f>IFERROR(__xludf.DUMMYFUNCTION("""COMPUTED_VALUE"""),0.0)</f>
        <v>0</v>
      </c>
      <c r="H21920" s="4"/>
      <c r="I21920" s="4"/>
    </row>
    <row r="21921">
      <c r="A21921" s="4" t="str">
        <f>IFERROR(__xludf.DUMMYFUNCTION("""COMPUTED_VALUE"""),"cas_hmw")</f>
        <v>cas_hmw</v>
      </c>
      <c r="B21921" s="5">
        <f>IFERROR(__xludf.DUMMYFUNCTION("""COMPUTED_VALUE"""),44788.0)</f>
        <v>44788</v>
      </c>
      <c r="C21921" s="6">
        <f>IFERROR(__xludf.DUMMYFUNCTION("""COMPUTED_VALUE"""),0.34475694444336114)</f>
        <v>0.3447569444</v>
      </c>
      <c r="D21921" s="4">
        <f>IFERROR(__xludf.DUMMYFUNCTION("""COMPUTED_VALUE"""),12.944125)</f>
        <v>12.944125</v>
      </c>
      <c r="E21921" s="4">
        <f>IFERROR(__xludf.DUMMYFUNCTION("""COMPUTED_VALUE"""),80.134724)</f>
        <v>80.134724</v>
      </c>
      <c r="F21921" s="4">
        <f>IFERROR(__xludf.DUMMYFUNCTION("""COMPUTED_VALUE"""),805.0)</f>
        <v>805</v>
      </c>
      <c r="G21921" s="4">
        <f>IFERROR(__xludf.DUMMYFUNCTION("""COMPUTED_VALUE"""),47.0)</f>
        <v>47</v>
      </c>
      <c r="H21921" s="4"/>
      <c r="I21921" s="4"/>
    </row>
    <row r="21922">
      <c r="A21922" s="4" t="str">
        <f>IFERROR(__xludf.DUMMYFUNCTION("""COMPUTED_VALUE"""),"cas_hmw")</f>
        <v>cas_hmw</v>
      </c>
      <c r="B21922" s="5">
        <f>IFERROR(__xludf.DUMMYFUNCTION("""COMPUTED_VALUE"""),44788.0)</f>
        <v>44788</v>
      </c>
      <c r="C21922" s="6">
        <f>IFERROR(__xludf.DUMMYFUNCTION("""COMPUTED_VALUE"""),0.34478009259328246)</f>
        <v>0.3447800926</v>
      </c>
      <c r="D21922" s="4">
        <f>IFERROR(__xludf.DUMMYFUNCTION("""COMPUTED_VALUE"""),12.922509)</f>
        <v>12.922509</v>
      </c>
      <c r="E21922" s="4">
        <f>IFERROR(__xludf.DUMMYFUNCTION("""COMPUTED_VALUE"""),80.14752)</f>
        <v>80.14752</v>
      </c>
      <c r="F21922" s="4">
        <f>IFERROR(__xludf.DUMMYFUNCTION("""COMPUTED_VALUE"""),3143.0)</f>
        <v>3143</v>
      </c>
      <c r="G21922" s="4">
        <f>IFERROR(__xludf.DUMMYFUNCTION("""COMPUTED_VALUE"""),18.0)</f>
        <v>18</v>
      </c>
      <c r="H21922" s="4"/>
      <c r="I21922" s="4"/>
    </row>
    <row r="21923">
      <c r="A21923" s="4" t="str">
        <f>IFERROR(__xludf.DUMMYFUNCTION("""COMPUTED_VALUE"""),"cas_hmw")</f>
        <v>cas_hmw</v>
      </c>
      <c r="B21923" s="5">
        <f>IFERROR(__xludf.DUMMYFUNCTION("""COMPUTED_VALUE"""),44788.0)</f>
        <v>44788</v>
      </c>
      <c r="C21923" s="6">
        <f>IFERROR(__xludf.DUMMYFUNCTION("""COMPUTED_VALUE"""),0.3450231481474475)</f>
        <v>0.3450231481</v>
      </c>
      <c r="D21923" s="4">
        <f>IFERROR(__xludf.DUMMYFUNCTION("""COMPUTED_VALUE"""),12.941634)</f>
        <v>12.941634</v>
      </c>
      <c r="E21923" s="4">
        <f>IFERROR(__xludf.DUMMYFUNCTION("""COMPUTED_VALUE"""),80.132335)</f>
        <v>80.132335</v>
      </c>
      <c r="F21923" s="4">
        <f>IFERROR(__xludf.DUMMYFUNCTION("""COMPUTED_VALUE"""),805.0)</f>
        <v>805</v>
      </c>
      <c r="G21923" s="4">
        <f>IFERROR(__xludf.DUMMYFUNCTION("""COMPUTED_VALUE"""),41.0)</f>
        <v>41</v>
      </c>
      <c r="H21923" s="4"/>
      <c r="I21923" s="4"/>
    </row>
    <row r="21924">
      <c r="A21924" s="4" t="str">
        <f>IFERROR(__xludf.DUMMYFUNCTION("""COMPUTED_VALUE"""),"cas_hmw")</f>
        <v>cas_hmw</v>
      </c>
      <c r="B21924" s="5">
        <f>IFERROR(__xludf.DUMMYFUNCTION("""COMPUTED_VALUE"""),44788.0)</f>
        <v>44788</v>
      </c>
      <c r="C21924" s="6">
        <f>IFERROR(__xludf.DUMMYFUNCTION("""COMPUTED_VALUE"""),0.3450578703705105)</f>
        <v>0.3450578704</v>
      </c>
      <c r="D21924" s="4">
        <f>IFERROR(__xludf.DUMMYFUNCTION("""COMPUTED_VALUE"""),12.941634)</f>
        <v>12.941634</v>
      </c>
      <c r="E21924" s="4">
        <f>IFERROR(__xludf.DUMMYFUNCTION("""COMPUTED_VALUE"""),80.132335)</f>
        <v>80.132335</v>
      </c>
      <c r="F21924" s="4">
        <f>IFERROR(__xludf.DUMMYFUNCTION("""COMPUTED_VALUE"""),805.0)</f>
        <v>805</v>
      </c>
      <c r="G21924" s="4">
        <f>IFERROR(__xludf.DUMMYFUNCTION("""COMPUTED_VALUE"""),41.0)</f>
        <v>41</v>
      </c>
      <c r="H21924" s="4"/>
      <c r="I21924" s="4"/>
    </row>
    <row r="21925">
      <c r="A21925" s="4" t="str">
        <f>IFERROR(__xludf.DUMMYFUNCTION("""COMPUTED_VALUE"""),"cas_hmw")</f>
        <v>cas_hmw</v>
      </c>
      <c r="B21925" s="5">
        <f>IFERROR(__xludf.DUMMYFUNCTION("""COMPUTED_VALUE"""),44788.0)</f>
        <v>44788</v>
      </c>
      <c r="C21925" s="6">
        <f>IFERROR(__xludf.DUMMYFUNCTION("""COMPUTED_VALUE"""),0.34525462962847087)</f>
        <v>0.3452546296</v>
      </c>
      <c r="D21925" s="4">
        <f>IFERROR(__xludf.DUMMYFUNCTION("""COMPUTED_VALUE"""),12.940479)</f>
        <v>12.940479</v>
      </c>
      <c r="E21925" s="4">
        <f>IFERROR(__xludf.DUMMYFUNCTION("""COMPUTED_VALUE"""),80.131124)</f>
        <v>80.131124</v>
      </c>
      <c r="F21925" s="4">
        <f>IFERROR(__xludf.DUMMYFUNCTION("""COMPUTED_VALUE"""),805.0)</f>
        <v>805</v>
      </c>
      <c r="G21925" s="4">
        <f>IFERROR(__xludf.DUMMYFUNCTION("""COMPUTED_VALUE"""),45.0)</f>
        <v>45</v>
      </c>
      <c r="H21925" s="4"/>
      <c r="I21925" s="4"/>
    </row>
    <row r="21926">
      <c r="A21926" s="4" t="str">
        <f>IFERROR(__xludf.DUMMYFUNCTION("""COMPUTED_VALUE"""),"cas_hmw")</f>
        <v>cas_hmw</v>
      </c>
      <c r="B21926" s="5">
        <f>IFERROR(__xludf.DUMMYFUNCTION("""COMPUTED_VALUE"""),44788.0)</f>
        <v>44788</v>
      </c>
      <c r="C21926" s="6">
        <f>IFERROR(__xludf.DUMMYFUNCTION("""COMPUTED_VALUE"""),0.3457407407404389)</f>
        <v>0.3457407407</v>
      </c>
      <c r="D21926" s="4">
        <f>IFERROR(__xludf.DUMMYFUNCTION("""COMPUTED_VALUE"""),12.937569)</f>
        <v>12.937569</v>
      </c>
      <c r="E21926" s="4">
        <f>IFERROR(__xludf.DUMMYFUNCTION("""COMPUTED_VALUE"""),80.12846)</f>
        <v>80.12846</v>
      </c>
      <c r="F21926" s="4">
        <f>IFERROR(__xludf.DUMMYFUNCTION("""COMPUTED_VALUE"""),805.0)</f>
        <v>805</v>
      </c>
      <c r="G21926" s="4">
        <f>IFERROR(__xludf.DUMMYFUNCTION("""COMPUTED_VALUE"""),16.0)</f>
        <v>16</v>
      </c>
      <c r="H21926" s="4"/>
      <c r="I21926" s="4"/>
    </row>
    <row r="21927">
      <c r="A21927" s="4" t="str">
        <f>IFERROR(__xludf.DUMMYFUNCTION("""COMPUTED_VALUE"""),"cas_hmw")</f>
        <v>cas_hmw</v>
      </c>
      <c r="B21927" s="5">
        <f>IFERROR(__xludf.DUMMYFUNCTION("""COMPUTED_VALUE"""),44788.0)</f>
        <v>44788</v>
      </c>
      <c r="C21927" s="6">
        <f>IFERROR(__xludf.DUMMYFUNCTION("""COMPUTED_VALUE"""),0.3459374999983993)</f>
        <v>0.3459375</v>
      </c>
      <c r="D21927" s="4">
        <f>IFERROR(__xludf.DUMMYFUNCTION("""COMPUTED_VALUE"""),12.936959)</f>
        <v>12.936959</v>
      </c>
      <c r="E21927" s="4">
        <f>IFERROR(__xludf.DUMMYFUNCTION("""COMPUTED_VALUE"""),80.127908)</f>
        <v>80.127908</v>
      </c>
      <c r="F21927" s="4">
        <f>IFERROR(__xludf.DUMMYFUNCTION("""COMPUTED_VALUE"""),805.0)</f>
        <v>805</v>
      </c>
      <c r="G21927" s="4">
        <f>IFERROR(__xludf.DUMMYFUNCTION("""COMPUTED_VALUE"""),32.0)</f>
        <v>32</v>
      </c>
      <c r="H21927" s="4"/>
      <c r="I21927" s="4"/>
    </row>
    <row r="21928">
      <c r="A21928" s="4" t="str">
        <f>IFERROR(__xludf.DUMMYFUNCTION("""COMPUTED_VALUE"""),"cas_hmw")</f>
        <v>cas_hmw</v>
      </c>
      <c r="B21928" s="5">
        <f>IFERROR(__xludf.DUMMYFUNCTION("""COMPUTED_VALUE"""),44788.0)</f>
        <v>44788</v>
      </c>
      <c r="C21928" s="6">
        <f>IFERROR(__xludf.DUMMYFUNCTION("""COMPUTED_VALUE"""),0.34598379629460396)</f>
        <v>0.3459837963</v>
      </c>
      <c r="D21928" s="4">
        <f>IFERROR(__xludf.DUMMYFUNCTION("""COMPUTED_VALUE"""),12.936959)</f>
        <v>12.936959</v>
      </c>
      <c r="E21928" s="4">
        <f>IFERROR(__xludf.DUMMYFUNCTION("""COMPUTED_VALUE"""),80.127908)</f>
        <v>80.127908</v>
      </c>
      <c r="F21928" s="4">
        <f>IFERROR(__xludf.DUMMYFUNCTION("""COMPUTED_VALUE"""),805.0)</f>
        <v>805</v>
      </c>
      <c r="G21928" s="4">
        <f>IFERROR(__xludf.DUMMYFUNCTION("""COMPUTED_VALUE"""),32.0)</f>
        <v>32</v>
      </c>
      <c r="H21928" s="4"/>
      <c r="I21928" s="4"/>
    </row>
    <row r="21929">
      <c r="A21929" s="4" t="str">
        <f>IFERROR(__xludf.DUMMYFUNCTION("""COMPUTED_VALUE"""),"cas_hmw")</f>
        <v>cas_hmw</v>
      </c>
      <c r="B21929" s="5">
        <f>IFERROR(__xludf.DUMMYFUNCTION("""COMPUTED_VALUE"""),44788.0)</f>
        <v>44788</v>
      </c>
      <c r="C21929" s="6">
        <f>IFERROR(__xludf.DUMMYFUNCTION("""COMPUTED_VALUE"""),0.3459953703713836)</f>
        <v>0.3459953704</v>
      </c>
      <c r="D21929" s="4">
        <f>IFERROR(__xludf.DUMMYFUNCTION("""COMPUTED_VALUE"""),12.936959)</f>
        <v>12.936959</v>
      </c>
      <c r="E21929" s="4">
        <f>IFERROR(__xludf.DUMMYFUNCTION("""COMPUTED_VALUE"""),80.127908)</f>
        <v>80.127908</v>
      </c>
      <c r="F21929" s="4">
        <f>IFERROR(__xludf.DUMMYFUNCTION("""COMPUTED_VALUE"""),805.0)</f>
        <v>805</v>
      </c>
      <c r="G21929" s="4">
        <f>IFERROR(__xludf.DUMMYFUNCTION("""COMPUTED_VALUE"""),32.0)</f>
        <v>32</v>
      </c>
      <c r="H21929" s="4"/>
      <c r="I21929" s="4"/>
    </row>
    <row r="21930">
      <c r="A21930" s="4" t="str">
        <f>IFERROR(__xludf.DUMMYFUNCTION("""COMPUTED_VALUE"""),"cas_hmw")</f>
        <v>cas_hmw</v>
      </c>
      <c r="B21930" s="5">
        <f>IFERROR(__xludf.DUMMYFUNCTION("""COMPUTED_VALUE"""),44788.0)</f>
        <v>44788</v>
      </c>
      <c r="C21930" s="6">
        <f>IFERROR(__xludf.DUMMYFUNCTION("""COMPUTED_VALUE"""),0.3460416666675883)</f>
        <v>0.3460416667</v>
      </c>
      <c r="D21930" s="4">
        <f>IFERROR(__xludf.DUMMYFUNCTION("""COMPUTED_VALUE"""),12.922417)</f>
        <v>12.922417</v>
      </c>
      <c r="E21930" s="4">
        <f>IFERROR(__xludf.DUMMYFUNCTION("""COMPUTED_VALUE"""),80.142304)</f>
        <v>80.142304</v>
      </c>
      <c r="F21930" s="4">
        <f>IFERROR(__xludf.DUMMYFUNCTION("""COMPUTED_VALUE"""),3143.0)</f>
        <v>3143</v>
      </c>
      <c r="G21930" s="4">
        <f>IFERROR(__xludf.DUMMYFUNCTION("""COMPUTED_VALUE"""),6.0)</f>
        <v>6</v>
      </c>
      <c r="H21930" s="4"/>
      <c r="I21930" s="4"/>
    </row>
    <row r="21931">
      <c r="A21931" s="4" t="str">
        <f>IFERROR(__xludf.DUMMYFUNCTION("""COMPUTED_VALUE"""),"cas_hmw")</f>
        <v>cas_hmw</v>
      </c>
      <c r="B21931" s="5">
        <f>IFERROR(__xludf.DUMMYFUNCTION("""COMPUTED_VALUE"""),44788.0)</f>
        <v>44788</v>
      </c>
      <c r="C21931" s="6">
        <f>IFERROR(__xludf.DUMMYFUNCTION("""COMPUTED_VALUE"""),0.3463194444448163)</f>
        <v>0.3463194444</v>
      </c>
      <c r="D21931" s="4">
        <f>IFERROR(__xludf.DUMMYFUNCTION("""COMPUTED_VALUE"""),12.934426)</f>
        <v>12.934426</v>
      </c>
      <c r="E21931" s="4">
        <f>IFERROR(__xludf.DUMMYFUNCTION("""COMPUTED_VALUE"""),80.12566)</f>
        <v>80.12566</v>
      </c>
      <c r="F21931" s="4">
        <f>IFERROR(__xludf.DUMMYFUNCTION("""COMPUTED_VALUE"""),805.0)</f>
        <v>805</v>
      </c>
      <c r="G21931" s="4">
        <f>IFERROR(__xludf.DUMMYFUNCTION("""COMPUTED_VALUE"""),44.0)</f>
        <v>44</v>
      </c>
      <c r="H21931" s="4"/>
      <c r="I21931" s="4"/>
    </row>
    <row r="21932">
      <c r="A21932" s="4" t="str">
        <f>IFERROR(__xludf.DUMMYFUNCTION("""COMPUTED_VALUE"""),"cas_hmw")</f>
        <v>cas_hmw</v>
      </c>
      <c r="B21932" s="5">
        <f>IFERROR(__xludf.DUMMYFUNCTION("""COMPUTED_VALUE"""),44788.0)</f>
        <v>44788</v>
      </c>
      <c r="C21932" s="6">
        <f>IFERROR(__xludf.DUMMYFUNCTION("""COMPUTED_VALUE"""),0.3467361111106584)</f>
        <v>0.3467361111</v>
      </c>
      <c r="D21932" s="4">
        <f>IFERROR(__xludf.DUMMYFUNCTION("""COMPUTED_VALUE"""),12.93201)</f>
        <v>12.93201</v>
      </c>
      <c r="E21932" s="4">
        <f>IFERROR(__xludf.DUMMYFUNCTION("""COMPUTED_VALUE"""),80.123338)</f>
        <v>80.123338</v>
      </c>
      <c r="F21932" s="4">
        <f>IFERROR(__xludf.DUMMYFUNCTION("""COMPUTED_VALUE"""),805.0)</f>
        <v>805</v>
      </c>
      <c r="G21932" s="4">
        <f>IFERROR(__xludf.DUMMYFUNCTION("""COMPUTED_VALUE"""),31.0)</f>
        <v>31</v>
      </c>
      <c r="H21932" s="4"/>
      <c r="I21932" s="4"/>
    </row>
    <row r="21933">
      <c r="A21933" s="4" t="str">
        <f>IFERROR(__xludf.DUMMYFUNCTION("""COMPUTED_VALUE"""),"cas_hmw")</f>
        <v>cas_hmw</v>
      </c>
      <c r="B21933" s="5">
        <f>IFERROR(__xludf.DUMMYFUNCTION("""COMPUTED_VALUE"""),44788.0)</f>
        <v>44788</v>
      </c>
      <c r="C21933" s="6">
        <f>IFERROR(__xludf.DUMMYFUNCTION("""COMPUTED_VALUE"""),0.34783564814642887)</f>
        <v>0.3478356481</v>
      </c>
      <c r="D21933" s="4">
        <f>IFERROR(__xludf.DUMMYFUNCTION("""COMPUTED_VALUE"""),12.926821)</f>
        <v>12.926821</v>
      </c>
      <c r="E21933" s="4">
        <f>IFERROR(__xludf.DUMMYFUNCTION("""COMPUTED_VALUE"""),80.118077)</f>
        <v>80.118077</v>
      </c>
      <c r="F21933" s="4">
        <f>IFERROR(__xludf.DUMMYFUNCTION("""COMPUTED_VALUE"""),805.0)</f>
        <v>805</v>
      </c>
      <c r="G21933" s="4">
        <f>IFERROR(__xludf.DUMMYFUNCTION("""COMPUTED_VALUE"""),10.0)</f>
        <v>10</v>
      </c>
      <c r="H21933" s="4"/>
      <c r="I21933" s="4"/>
    </row>
    <row r="21934">
      <c r="A21934" s="4" t="str">
        <f>IFERROR(__xludf.DUMMYFUNCTION("""COMPUTED_VALUE"""),"cas_hmw")</f>
        <v>cas_hmw</v>
      </c>
      <c r="B21934" s="5">
        <f>IFERROR(__xludf.DUMMYFUNCTION("""COMPUTED_VALUE"""),44788.0)</f>
        <v>44788</v>
      </c>
      <c r="C21934" s="6">
        <f>IFERROR(__xludf.DUMMYFUNCTION("""COMPUTED_VALUE"""),0.3485763888893416)</f>
        <v>0.3485763889</v>
      </c>
      <c r="D21934" s="4">
        <f>IFERROR(__xludf.DUMMYFUNCTION("""COMPUTED_VALUE"""),12.923422)</f>
        <v>12.923422</v>
      </c>
      <c r="E21934" s="4">
        <f>IFERROR(__xludf.DUMMYFUNCTION("""COMPUTED_VALUE"""),80.114629)</f>
        <v>80.114629</v>
      </c>
      <c r="F21934" s="4">
        <f>IFERROR(__xludf.DUMMYFUNCTION("""COMPUTED_VALUE"""),805.0)</f>
        <v>805</v>
      </c>
      <c r="G21934" s="4">
        <f>IFERROR(__xludf.DUMMYFUNCTION("""COMPUTED_VALUE"""),15.0)</f>
        <v>15</v>
      </c>
      <c r="H21934" s="4"/>
      <c r="I21934" s="4"/>
    </row>
    <row r="21935">
      <c r="A21935" s="4" t="str">
        <f>IFERROR(__xludf.DUMMYFUNCTION("""COMPUTED_VALUE"""),"cas_hmw")</f>
        <v>cas_hmw</v>
      </c>
      <c r="B21935" s="5">
        <f>IFERROR(__xludf.DUMMYFUNCTION("""COMPUTED_VALUE"""),44788.0)</f>
        <v>44788</v>
      </c>
      <c r="C21935" s="6">
        <f>IFERROR(__xludf.DUMMYFUNCTION("""COMPUTED_VALUE"""),0.349016203705105)</f>
        <v>0.3490162037</v>
      </c>
      <c r="D21935" s="4">
        <f>IFERROR(__xludf.DUMMYFUNCTION("""COMPUTED_VALUE"""),12.922294)</f>
        <v>12.922294</v>
      </c>
      <c r="E21935" s="4">
        <f>IFERROR(__xludf.DUMMYFUNCTION("""COMPUTED_VALUE"""),80.113494)</f>
        <v>80.113494</v>
      </c>
      <c r="F21935" s="4">
        <f>IFERROR(__xludf.DUMMYFUNCTION("""COMPUTED_VALUE"""),805.0)</f>
        <v>805</v>
      </c>
      <c r="G21935" s="4">
        <f>IFERROR(__xludf.DUMMYFUNCTION("""COMPUTED_VALUE"""),41.0)</f>
        <v>41</v>
      </c>
      <c r="H21935" s="4"/>
      <c r="I21935" s="4"/>
    </row>
    <row r="21936">
      <c r="A21936" s="4" t="str">
        <f>IFERROR(__xludf.DUMMYFUNCTION("""COMPUTED_VALUE"""),"cas_hmw")</f>
        <v>cas_hmw</v>
      </c>
      <c r="B21936" s="5">
        <f>IFERROR(__xludf.DUMMYFUNCTION("""COMPUTED_VALUE"""),44788.0)</f>
        <v>44788</v>
      </c>
      <c r="C21936" s="6">
        <f>IFERROR(__xludf.DUMMYFUNCTION("""COMPUTED_VALUE"""),0.3493055555554747)</f>
        <v>0.3493055556</v>
      </c>
      <c r="D21936" s="4">
        <f>IFERROR(__xludf.DUMMYFUNCTION("""COMPUTED_VALUE"""),12.92118)</f>
        <v>12.92118</v>
      </c>
      <c r="E21936" s="4">
        <f>IFERROR(__xludf.DUMMYFUNCTION("""COMPUTED_VALUE"""),80.11235)</f>
        <v>80.11235</v>
      </c>
      <c r="F21936" s="4">
        <f>IFERROR(__xludf.DUMMYFUNCTION("""COMPUTED_VALUE"""),805.0)</f>
        <v>805</v>
      </c>
      <c r="G21936" s="4">
        <f>IFERROR(__xludf.DUMMYFUNCTION("""COMPUTED_VALUE"""),38.0)</f>
        <v>38</v>
      </c>
      <c r="H21936" s="4"/>
      <c r="I21936" s="4"/>
    </row>
    <row r="21937">
      <c r="A21937" s="4" t="str">
        <f>IFERROR(__xludf.DUMMYFUNCTION("""COMPUTED_VALUE"""),"cas_hmw")</f>
        <v>cas_hmw</v>
      </c>
      <c r="B21937" s="5">
        <f>IFERROR(__xludf.DUMMYFUNCTION("""COMPUTED_VALUE"""),44788.0)</f>
        <v>44788</v>
      </c>
      <c r="C21937" s="6">
        <f>IFERROR(__xludf.DUMMYFUNCTION("""COMPUTED_VALUE"""),0.3493402777785377)</f>
        <v>0.3493402778</v>
      </c>
      <c r="D21937" s="4">
        <f>IFERROR(__xludf.DUMMYFUNCTION("""COMPUTED_VALUE"""),12.919866)</f>
        <v>12.919866</v>
      </c>
      <c r="E21937" s="4">
        <f>IFERROR(__xludf.DUMMYFUNCTION("""COMPUTED_VALUE"""),80.110959)</f>
        <v>80.110959</v>
      </c>
      <c r="F21937" s="4">
        <f>IFERROR(__xludf.DUMMYFUNCTION("""COMPUTED_VALUE"""),805.0)</f>
        <v>805</v>
      </c>
      <c r="G21937" s="4">
        <f>IFERROR(__xludf.DUMMYFUNCTION("""COMPUTED_VALUE"""),54.0)</f>
        <v>54</v>
      </c>
      <c r="H21937" s="4"/>
      <c r="I21937" s="4"/>
    </row>
    <row r="21938">
      <c r="A21938" s="4" t="str">
        <f>IFERROR(__xludf.DUMMYFUNCTION("""COMPUTED_VALUE"""),"cas_hmw")</f>
        <v>cas_hmw</v>
      </c>
      <c r="B21938" s="5">
        <f>IFERROR(__xludf.DUMMYFUNCTION("""COMPUTED_VALUE"""),44788.0)</f>
        <v>44788</v>
      </c>
      <c r="C21938" s="6">
        <f>IFERROR(__xludf.DUMMYFUNCTION("""COMPUTED_VALUE"""),0.3495601851864194)</f>
        <v>0.3495601852</v>
      </c>
      <c r="D21938" s="4">
        <f>IFERROR(__xludf.DUMMYFUNCTION("""COMPUTED_VALUE"""),12.92289)</f>
        <v>12.92289</v>
      </c>
      <c r="E21938" s="4">
        <f>IFERROR(__xludf.DUMMYFUNCTION("""COMPUTED_VALUE"""),80.127152)</f>
        <v>80.127152</v>
      </c>
      <c r="F21938" s="4">
        <f>IFERROR(__xludf.DUMMYFUNCTION("""COMPUTED_VALUE"""),3143.0)</f>
        <v>3143</v>
      </c>
      <c r="G21938" s="4">
        <f>IFERROR(__xludf.DUMMYFUNCTION("""COMPUTED_VALUE"""),23.0)</f>
        <v>23</v>
      </c>
      <c r="H21938" s="4"/>
      <c r="I21938" s="4"/>
    </row>
    <row r="21939">
      <c r="A21939" s="4" t="str">
        <f>IFERROR(__xludf.DUMMYFUNCTION("""COMPUTED_VALUE"""),"cas_hmw")</f>
        <v>cas_hmw</v>
      </c>
      <c r="B21939" s="5">
        <f>IFERROR(__xludf.DUMMYFUNCTION("""COMPUTED_VALUE"""),44788.0)</f>
        <v>44788</v>
      </c>
      <c r="C21939" s="6">
        <f>IFERROR(__xludf.DUMMYFUNCTION("""COMPUTED_VALUE"""),0.3497337962980964)</f>
        <v>0.3497337963</v>
      </c>
      <c r="D21939" s="4">
        <f>IFERROR(__xludf.DUMMYFUNCTION("""COMPUTED_VALUE"""),12.922961)</f>
        <v>12.922961</v>
      </c>
      <c r="E21939" s="4">
        <f>IFERROR(__xludf.DUMMYFUNCTION("""COMPUTED_VALUE"""),80.126029)</f>
        <v>80.126029</v>
      </c>
      <c r="F21939" s="4">
        <f>IFERROR(__xludf.DUMMYFUNCTION("""COMPUTED_VALUE"""),3143.0)</f>
        <v>3143</v>
      </c>
      <c r="G21939" s="4">
        <f>IFERROR(__xludf.DUMMYFUNCTION("""COMPUTED_VALUE"""),18.0)</f>
        <v>18</v>
      </c>
      <c r="H21939" s="4"/>
      <c r="I21939" s="4"/>
    </row>
    <row r="21940">
      <c r="A21940" s="4" t="str">
        <f>IFERROR(__xludf.DUMMYFUNCTION("""COMPUTED_VALUE"""),"cas_hmw")</f>
        <v>cas_hmw</v>
      </c>
      <c r="B21940" s="5">
        <f>IFERROR(__xludf.DUMMYFUNCTION("""COMPUTED_VALUE"""),44788.0)</f>
        <v>44788</v>
      </c>
      <c r="C21940" s="6">
        <f>IFERROR(__xludf.DUMMYFUNCTION("""COMPUTED_VALUE"""),0.3502777777794108)</f>
        <v>0.3502777778</v>
      </c>
      <c r="D21940" s="4">
        <f>IFERROR(__xludf.DUMMYFUNCTION("""COMPUTED_VALUE"""),12.923216)</f>
        <v>12.923216</v>
      </c>
      <c r="E21940" s="4">
        <f>IFERROR(__xludf.DUMMYFUNCTION("""COMPUTED_VALUE"""),80.121251)</f>
        <v>80.121251</v>
      </c>
      <c r="F21940" s="4">
        <f>IFERROR(__xludf.DUMMYFUNCTION("""COMPUTED_VALUE"""),3143.0)</f>
        <v>3143</v>
      </c>
      <c r="G21940" s="4">
        <f>IFERROR(__xludf.DUMMYFUNCTION("""COMPUTED_VALUE"""),42.0)</f>
        <v>42</v>
      </c>
      <c r="H21940" s="4"/>
      <c r="I21940" s="4"/>
    </row>
    <row r="21941">
      <c r="A21941" s="4" t="str">
        <f>IFERROR(__xludf.DUMMYFUNCTION("""COMPUTED_VALUE"""),"cas_hmw")</f>
        <v>cas_hmw</v>
      </c>
      <c r="B21941" s="5">
        <f>IFERROR(__xludf.DUMMYFUNCTION("""COMPUTED_VALUE"""),44788.0)</f>
        <v>44788</v>
      </c>
      <c r="C21941" s="6">
        <f>IFERROR(__xludf.DUMMYFUNCTION("""COMPUTED_VALUE"""),0.3503703703718202)</f>
        <v>0.3503703704</v>
      </c>
      <c r="D21941" s="4">
        <f>IFERROR(__xludf.DUMMYFUNCTION("""COMPUTED_VALUE"""),12.916332)</f>
        <v>12.916332</v>
      </c>
      <c r="E21941" s="4">
        <f>IFERROR(__xludf.DUMMYFUNCTION("""COMPUTED_VALUE"""),80.106072)</f>
        <v>80.106072</v>
      </c>
      <c r="F21941" s="4">
        <f>IFERROR(__xludf.DUMMYFUNCTION("""COMPUTED_VALUE"""),805.0)</f>
        <v>805</v>
      </c>
      <c r="G21941" s="4">
        <f>IFERROR(__xludf.DUMMYFUNCTION("""COMPUTED_VALUE"""),33.0)</f>
        <v>33</v>
      </c>
      <c r="H21941" s="4"/>
      <c r="I21941" s="4"/>
    </row>
    <row r="21942">
      <c r="A21942" s="4" t="str">
        <f>IFERROR(__xludf.DUMMYFUNCTION("""COMPUTED_VALUE"""),"cas_hmw")</f>
        <v>cas_hmw</v>
      </c>
      <c r="B21942" s="5">
        <f>IFERROR(__xludf.DUMMYFUNCTION("""COMPUTED_VALUE"""),44788.0)</f>
        <v>44788</v>
      </c>
      <c r="C21942" s="6">
        <f>IFERROR(__xludf.DUMMYFUNCTION("""COMPUTED_VALUE"""),0.35071759259153623)</f>
        <v>0.3507175926</v>
      </c>
      <c r="D21942" s="4">
        <f>IFERROR(__xludf.DUMMYFUNCTION("""COMPUTED_VALUE"""),12.914216)</f>
        <v>12.914216</v>
      </c>
      <c r="E21942" s="4">
        <f>IFERROR(__xludf.DUMMYFUNCTION("""COMPUTED_VALUE"""),80.102342)</f>
        <v>80.102342</v>
      </c>
      <c r="F21942" s="4">
        <f>IFERROR(__xludf.DUMMYFUNCTION("""COMPUTED_VALUE"""),805.0)</f>
        <v>805</v>
      </c>
      <c r="G21942" s="4">
        <f>IFERROR(__xludf.DUMMYFUNCTION("""COMPUTED_VALUE"""),57.0)</f>
        <v>57</v>
      </c>
      <c r="H21942" s="4"/>
      <c r="I21942" s="4"/>
    </row>
    <row r="21943">
      <c r="A21943" s="4" t="str">
        <f>IFERROR(__xludf.DUMMYFUNCTION("""COMPUTED_VALUE"""),"cas_hmw")</f>
        <v>cas_hmw</v>
      </c>
      <c r="B21943" s="5">
        <f>IFERROR(__xludf.DUMMYFUNCTION("""COMPUTED_VALUE"""),44788.0)</f>
        <v>44788</v>
      </c>
      <c r="C21943" s="6">
        <f>IFERROR(__xludf.DUMMYFUNCTION("""COMPUTED_VALUE"""),0.351493055553874)</f>
        <v>0.3514930556</v>
      </c>
      <c r="D21943" s="4">
        <f>IFERROR(__xludf.DUMMYFUNCTION("""COMPUTED_VALUE"""),12.909081)</f>
        <v>12.909081</v>
      </c>
      <c r="E21943" s="4">
        <f>IFERROR(__xludf.DUMMYFUNCTION("""COMPUTED_VALUE"""),80.09889)</f>
        <v>80.09889</v>
      </c>
      <c r="F21943" s="4">
        <f>IFERROR(__xludf.DUMMYFUNCTION("""COMPUTED_VALUE"""),805.0)</f>
        <v>805</v>
      </c>
      <c r="G21943" s="4">
        <f>IFERROR(__xludf.DUMMYFUNCTION("""COMPUTED_VALUE"""),0.0)</f>
        <v>0</v>
      </c>
      <c r="H21943" s="4"/>
      <c r="I21943" s="4"/>
    </row>
    <row r="21944">
      <c r="A21944" s="4" t="str">
        <f>IFERROR(__xludf.DUMMYFUNCTION("""COMPUTED_VALUE"""),"cas_hmw")</f>
        <v>cas_hmw</v>
      </c>
      <c r="B21944" s="5">
        <f>IFERROR(__xludf.DUMMYFUNCTION("""COMPUTED_VALUE"""),44788.0)</f>
        <v>44788</v>
      </c>
      <c r="C21944" s="6">
        <f>IFERROR(__xludf.DUMMYFUNCTION("""COMPUTED_VALUE"""),0.351666666665551)</f>
        <v>0.3516666667</v>
      </c>
      <c r="D21944" s="4">
        <f>IFERROR(__xludf.DUMMYFUNCTION("""COMPUTED_VALUE"""),12.909018)</f>
        <v>12.909018</v>
      </c>
      <c r="E21944" s="4">
        <f>IFERROR(__xludf.DUMMYFUNCTION("""COMPUTED_VALUE"""),80.0988)</f>
        <v>80.0988</v>
      </c>
      <c r="F21944" s="4">
        <f>IFERROR(__xludf.DUMMYFUNCTION("""COMPUTED_VALUE"""),805.0)</f>
        <v>805</v>
      </c>
      <c r="G21944" s="4">
        <f>IFERROR(__xludf.DUMMYFUNCTION("""COMPUTED_VALUE"""),9.0)</f>
        <v>9</v>
      </c>
      <c r="H21944" s="4"/>
      <c r="I21944" s="4"/>
    </row>
    <row r="21945">
      <c r="A21945" s="4" t="str">
        <f>IFERROR(__xludf.DUMMYFUNCTION("""COMPUTED_VALUE"""),"cas_hmw")</f>
        <v>cas_hmw</v>
      </c>
      <c r="B21945" s="5">
        <f>IFERROR(__xludf.DUMMYFUNCTION("""COMPUTED_VALUE"""),44788.0)</f>
        <v>44788</v>
      </c>
      <c r="C21945" s="6">
        <f>IFERROR(__xludf.DUMMYFUNCTION("""COMPUTED_VALUE"""),0.35168981481547235)</f>
        <v>0.3516898148</v>
      </c>
      <c r="D21945" s="4">
        <f>IFERROR(__xludf.DUMMYFUNCTION("""COMPUTED_VALUE"""),12.909018)</f>
        <v>12.909018</v>
      </c>
      <c r="E21945" s="4">
        <f>IFERROR(__xludf.DUMMYFUNCTION("""COMPUTED_VALUE"""),80.0988)</f>
        <v>80.0988</v>
      </c>
      <c r="F21945" s="4">
        <f>IFERROR(__xludf.DUMMYFUNCTION("""COMPUTED_VALUE"""),805.0)</f>
        <v>805</v>
      </c>
      <c r="G21945" s="4">
        <f>IFERROR(__xludf.DUMMYFUNCTION("""COMPUTED_VALUE"""),9.0)</f>
        <v>9</v>
      </c>
      <c r="H21945" s="4"/>
      <c r="I21945" s="4"/>
    </row>
    <row r="21946">
      <c r="A21946" s="4" t="str">
        <f>IFERROR(__xludf.DUMMYFUNCTION("""COMPUTED_VALUE"""),"cas_hmw")</f>
        <v>cas_hmw</v>
      </c>
      <c r="B21946" s="5">
        <f>IFERROR(__xludf.DUMMYFUNCTION("""COMPUTED_VALUE"""),44788.0)</f>
        <v>44788</v>
      </c>
      <c r="C21946" s="6">
        <f>IFERROR(__xludf.DUMMYFUNCTION("""COMPUTED_VALUE"""),0.3521759259274404)</f>
        <v>0.3521759259</v>
      </c>
      <c r="D21946" s="4">
        <f>IFERROR(__xludf.DUMMYFUNCTION("""COMPUTED_VALUE"""),12.907004)</f>
        <v>12.907004</v>
      </c>
      <c r="E21946" s="4">
        <f>IFERROR(__xludf.DUMMYFUNCTION("""COMPUTED_VALUE"""),80.096912)</f>
        <v>80.096912</v>
      </c>
      <c r="F21946" s="4">
        <f>IFERROR(__xludf.DUMMYFUNCTION("""COMPUTED_VALUE"""),805.0)</f>
        <v>805</v>
      </c>
      <c r="G21946" s="4">
        <f>IFERROR(__xludf.DUMMYFUNCTION("""COMPUTED_VALUE"""),48.0)</f>
        <v>48</v>
      </c>
      <c r="H21946" s="4"/>
      <c r="I21946" s="4"/>
    </row>
    <row r="21947">
      <c r="A21947" s="4" t="str">
        <f>IFERROR(__xludf.DUMMYFUNCTION("""COMPUTED_VALUE"""),"cas_hmw")</f>
        <v>cas_hmw</v>
      </c>
      <c r="B21947" s="5">
        <f>IFERROR(__xludf.DUMMYFUNCTION("""COMPUTED_VALUE"""),44788.0)</f>
        <v>44788</v>
      </c>
      <c r="C21947" s="6">
        <f>IFERROR(__xludf.DUMMYFUNCTION("""COMPUTED_VALUE"""),0.3532291666670062)</f>
        <v>0.3532291667</v>
      </c>
      <c r="D21947" s="4">
        <f>IFERROR(__xludf.DUMMYFUNCTION("""COMPUTED_VALUE"""),12.913341)</f>
        <v>12.913341</v>
      </c>
      <c r="E21947" s="4">
        <f>IFERROR(__xludf.DUMMYFUNCTION("""COMPUTED_VALUE"""),80.101637)</f>
        <v>80.101637</v>
      </c>
      <c r="F21947" s="4">
        <f>IFERROR(__xludf.DUMMYFUNCTION("""COMPUTED_VALUE"""),3143.0)</f>
        <v>3143</v>
      </c>
      <c r="G21947" s="4">
        <f>IFERROR(__xludf.DUMMYFUNCTION("""COMPUTED_VALUE"""),41.0)</f>
        <v>41</v>
      </c>
      <c r="H21947" s="4"/>
      <c r="I21947" s="4"/>
    </row>
    <row r="21948">
      <c r="A21948" s="4" t="str">
        <f>IFERROR(__xludf.DUMMYFUNCTION("""COMPUTED_VALUE"""),"cas_hmw")</f>
        <v>cas_hmw</v>
      </c>
      <c r="B21948" s="5">
        <f>IFERROR(__xludf.DUMMYFUNCTION("""COMPUTED_VALUE"""),44788.0)</f>
        <v>44788</v>
      </c>
      <c r="C21948" s="6">
        <f>IFERROR(__xludf.DUMMYFUNCTION("""COMPUTED_VALUE"""),0.3533101851862739)</f>
        <v>0.3533101852</v>
      </c>
      <c r="D21948" s="4">
        <f>IFERROR(__xludf.DUMMYFUNCTION("""COMPUTED_VALUE"""),12.912554)</f>
        <v>12.912554</v>
      </c>
      <c r="E21948" s="4">
        <f>IFERROR(__xludf.DUMMYFUNCTION("""COMPUTED_VALUE"""),80.101568)</f>
        <v>80.101568</v>
      </c>
      <c r="F21948" s="4">
        <f>IFERROR(__xludf.DUMMYFUNCTION("""COMPUTED_VALUE"""),3143.0)</f>
        <v>3143</v>
      </c>
      <c r="G21948" s="4">
        <f>IFERROR(__xludf.DUMMYFUNCTION("""COMPUTED_VALUE"""),11.0)</f>
        <v>11</v>
      </c>
      <c r="H21948" s="4"/>
      <c r="I21948" s="4"/>
    </row>
    <row r="21949">
      <c r="A21949" s="4" t="str">
        <f>IFERROR(__xludf.DUMMYFUNCTION("""COMPUTED_VALUE"""),"cas_hmw")</f>
        <v>cas_hmw</v>
      </c>
      <c r="B21949" s="5">
        <f>IFERROR(__xludf.DUMMYFUNCTION("""COMPUTED_VALUE"""),44788.0)</f>
        <v>44788</v>
      </c>
      <c r="C21949" s="6">
        <f>IFERROR(__xludf.DUMMYFUNCTION("""COMPUTED_VALUE"""),0.3534606481480296)</f>
        <v>0.3534606481</v>
      </c>
      <c r="D21949" s="4">
        <f>IFERROR(__xludf.DUMMYFUNCTION("""COMPUTED_VALUE"""),12.897847)</f>
        <v>12.897847</v>
      </c>
      <c r="E21949" s="4">
        <f>IFERROR(__xludf.DUMMYFUNCTION("""COMPUTED_VALUE"""),80.090023)</f>
        <v>80.090023</v>
      </c>
      <c r="F21949" s="4">
        <f>IFERROR(__xludf.DUMMYFUNCTION("""COMPUTED_VALUE"""),805.0)</f>
        <v>805</v>
      </c>
      <c r="G21949" s="4">
        <f>IFERROR(__xludf.DUMMYFUNCTION("""COMPUTED_VALUE"""),11.0)</f>
        <v>11</v>
      </c>
      <c r="H21949" s="4"/>
      <c r="I21949" s="4"/>
    </row>
    <row r="21950">
      <c r="A21950" s="4" t="str">
        <f>IFERROR(__xludf.DUMMYFUNCTION("""COMPUTED_VALUE"""),"cas_hmw")</f>
        <v>cas_hmw</v>
      </c>
      <c r="B21950" s="5">
        <f>IFERROR(__xludf.DUMMYFUNCTION("""COMPUTED_VALUE"""),44788.0)</f>
        <v>44788</v>
      </c>
      <c r="C21950" s="6">
        <f>IFERROR(__xludf.DUMMYFUNCTION("""COMPUTED_VALUE"""),0.3534606481480296)</f>
        <v>0.3534606481</v>
      </c>
      <c r="D21950" s="4">
        <f>IFERROR(__xludf.DUMMYFUNCTION("""COMPUTED_VALUE"""),12.897847)</f>
        <v>12.897847</v>
      </c>
      <c r="E21950" s="4">
        <f>IFERROR(__xludf.DUMMYFUNCTION("""COMPUTED_VALUE"""),80.090023)</f>
        <v>80.090023</v>
      </c>
      <c r="F21950" s="4">
        <f>IFERROR(__xludf.DUMMYFUNCTION("""COMPUTED_VALUE"""),805.0)</f>
        <v>805</v>
      </c>
      <c r="G21950" s="4">
        <f>IFERROR(__xludf.DUMMYFUNCTION("""COMPUTED_VALUE"""),11.0)</f>
        <v>11</v>
      </c>
      <c r="H21950" s="4"/>
      <c r="I21950" s="4"/>
    </row>
    <row r="21951">
      <c r="A21951" s="4" t="str">
        <f>IFERROR(__xludf.DUMMYFUNCTION("""COMPUTED_VALUE"""),"cas_hmw")</f>
        <v>cas_hmw</v>
      </c>
      <c r="B21951" s="5">
        <f>IFERROR(__xludf.DUMMYFUNCTION("""COMPUTED_VALUE"""),44788.0)</f>
        <v>44788</v>
      </c>
      <c r="C21951" s="6">
        <f>IFERROR(__xludf.DUMMYFUNCTION("""COMPUTED_VALUE"""),0.3534837962979509)</f>
        <v>0.3534837963</v>
      </c>
      <c r="D21951" s="4">
        <f>IFERROR(__xludf.DUMMYFUNCTION("""COMPUTED_VALUE"""),12.897847)</f>
        <v>12.897847</v>
      </c>
      <c r="E21951" s="4">
        <f>IFERROR(__xludf.DUMMYFUNCTION("""COMPUTED_VALUE"""),80.090023)</f>
        <v>80.090023</v>
      </c>
      <c r="F21951" s="4">
        <f>IFERROR(__xludf.DUMMYFUNCTION("""COMPUTED_VALUE"""),805.0)</f>
        <v>805</v>
      </c>
      <c r="G21951" s="4">
        <f>IFERROR(__xludf.DUMMYFUNCTION("""COMPUTED_VALUE"""),11.0)</f>
        <v>11</v>
      </c>
      <c r="H21951" s="4"/>
      <c r="I21951" s="4"/>
    </row>
    <row r="21952">
      <c r="A21952" s="4" t="str">
        <f>IFERROR(__xludf.DUMMYFUNCTION("""COMPUTED_VALUE"""),"cas_hmw")</f>
        <v>cas_hmw</v>
      </c>
      <c r="B21952" s="5">
        <f>IFERROR(__xludf.DUMMYFUNCTION("""COMPUTED_VALUE"""),44788.0)</f>
        <v>44788</v>
      </c>
      <c r="C21952" s="6">
        <f>IFERROR(__xludf.DUMMYFUNCTION("""COMPUTED_VALUE"""),0.3534837962979509)</f>
        <v>0.3534837963</v>
      </c>
      <c r="D21952" s="4">
        <f>IFERROR(__xludf.DUMMYFUNCTION("""COMPUTED_VALUE"""),12.897847)</f>
        <v>12.897847</v>
      </c>
      <c r="E21952" s="4">
        <f>IFERROR(__xludf.DUMMYFUNCTION("""COMPUTED_VALUE"""),80.090023)</f>
        <v>80.090023</v>
      </c>
      <c r="F21952" s="4">
        <f>IFERROR(__xludf.DUMMYFUNCTION("""COMPUTED_VALUE"""),805.0)</f>
        <v>805</v>
      </c>
      <c r="G21952" s="4">
        <f>IFERROR(__xludf.DUMMYFUNCTION("""COMPUTED_VALUE"""),11.0)</f>
        <v>11</v>
      </c>
      <c r="H21952" s="4"/>
      <c r="I21952" s="4"/>
    </row>
    <row r="21953">
      <c r="A21953" s="4" t="str">
        <f>IFERROR(__xludf.DUMMYFUNCTION("""COMPUTED_VALUE"""),"cas_hmw")</f>
        <v>cas_hmw</v>
      </c>
      <c r="B21953" s="5">
        <f>IFERROR(__xludf.DUMMYFUNCTION("""COMPUTED_VALUE"""),44788.0)</f>
        <v>44788</v>
      </c>
      <c r="C21953" s="6">
        <f>IFERROR(__xludf.DUMMYFUNCTION("""COMPUTED_VALUE"""),0.3534953703710926)</f>
        <v>0.3534953704</v>
      </c>
      <c r="D21953" s="4">
        <f>IFERROR(__xludf.DUMMYFUNCTION("""COMPUTED_VALUE"""),12.897847)</f>
        <v>12.897847</v>
      </c>
      <c r="E21953" s="4">
        <f>IFERROR(__xludf.DUMMYFUNCTION("""COMPUTED_VALUE"""),80.090023)</f>
        <v>80.090023</v>
      </c>
      <c r="F21953" s="4">
        <f>IFERROR(__xludf.DUMMYFUNCTION("""COMPUTED_VALUE"""),805.0)</f>
        <v>805</v>
      </c>
      <c r="G21953" s="4">
        <f>IFERROR(__xludf.DUMMYFUNCTION("""COMPUTED_VALUE"""),11.0)</f>
        <v>11</v>
      </c>
      <c r="H21953" s="4"/>
      <c r="I21953" s="4"/>
    </row>
    <row r="21954">
      <c r="A21954" s="4" t="str">
        <f>IFERROR(__xludf.DUMMYFUNCTION("""COMPUTED_VALUE"""),"cas_hmw")</f>
        <v>cas_hmw</v>
      </c>
      <c r="B21954" s="5">
        <f>IFERROR(__xludf.DUMMYFUNCTION("""COMPUTED_VALUE"""),44788.0)</f>
        <v>44788</v>
      </c>
      <c r="C21954" s="6">
        <f>IFERROR(__xludf.DUMMYFUNCTION("""COMPUTED_VALUE"""),0.3535879629635019)</f>
        <v>0.353587963</v>
      </c>
      <c r="D21954" s="4">
        <f>IFERROR(__xludf.DUMMYFUNCTION("""COMPUTED_VALUE"""),12.897633)</f>
        <v>12.897633</v>
      </c>
      <c r="E21954" s="4">
        <f>IFERROR(__xludf.DUMMYFUNCTION("""COMPUTED_VALUE"""),80.08981)</f>
        <v>80.08981</v>
      </c>
      <c r="F21954" s="4">
        <f>IFERROR(__xludf.DUMMYFUNCTION("""COMPUTED_VALUE"""),805.0)</f>
        <v>805</v>
      </c>
      <c r="G21954" s="4">
        <f>IFERROR(__xludf.DUMMYFUNCTION("""COMPUTED_VALUE"""),6.0)</f>
        <v>6</v>
      </c>
      <c r="H21954" s="4"/>
      <c r="I21954" s="4"/>
    </row>
    <row r="21955">
      <c r="A21955" s="4" t="str">
        <f>IFERROR(__xludf.DUMMYFUNCTION("""COMPUTED_VALUE"""),"cas_hmw")</f>
        <v>cas_hmw</v>
      </c>
      <c r="B21955" s="5">
        <f>IFERROR(__xludf.DUMMYFUNCTION("""COMPUTED_VALUE"""),44788.0)</f>
        <v>44788</v>
      </c>
      <c r="C21955" s="6">
        <f>IFERROR(__xludf.DUMMYFUNCTION("""COMPUTED_VALUE"""),0.354039351852407)</f>
        <v>0.3540393519</v>
      </c>
      <c r="D21955" s="4">
        <f>IFERROR(__xludf.DUMMYFUNCTION("""COMPUTED_VALUE"""),12.896804)</f>
        <v>12.896804</v>
      </c>
      <c r="E21955" s="4">
        <f>IFERROR(__xludf.DUMMYFUNCTION("""COMPUTED_VALUE"""),80.089153)</f>
        <v>80.089153</v>
      </c>
      <c r="F21955" s="4">
        <f>IFERROR(__xludf.DUMMYFUNCTION("""COMPUTED_VALUE"""),805.0)</f>
        <v>805</v>
      </c>
      <c r="G21955" s="4">
        <f>IFERROR(__xludf.DUMMYFUNCTION("""COMPUTED_VALUE"""),30.0)</f>
        <v>30</v>
      </c>
      <c r="H21955" s="4"/>
      <c r="I21955" s="4"/>
    </row>
    <row r="21956">
      <c r="A21956" s="4" t="str">
        <f>IFERROR(__xludf.DUMMYFUNCTION("""COMPUTED_VALUE"""),"cas_hmw")</f>
        <v>cas_hmw</v>
      </c>
      <c r="B21956" s="5">
        <f>IFERROR(__xludf.DUMMYFUNCTION("""COMPUTED_VALUE"""),44788.0)</f>
        <v>44788</v>
      </c>
      <c r="C21956" s="6">
        <f>IFERROR(__xludf.DUMMYFUNCTION("""COMPUTED_VALUE"""),0.35442129629518604)</f>
        <v>0.3544212963</v>
      </c>
      <c r="D21956" s="4">
        <f>IFERROR(__xludf.DUMMYFUNCTION("""COMPUTED_VALUE"""),12.894125)</f>
        <v>12.894125</v>
      </c>
      <c r="E21956" s="4">
        <f>IFERROR(__xludf.DUMMYFUNCTION("""COMPUTED_VALUE"""),80.087148)</f>
        <v>80.087148</v>
      </c>
      <c r="F21956" s="4">
        <f>IFERROR(__xludf.DUMMYFUNCTION("""COMPUTED_VALUE"""),805.0)</f>
        <v>805</v>
      </c>
      <c r="G21956" s="4">
        <f>IFERROR(__xludf.DUMMYFUNCTION("""COMPUTED_VALUE"""),47.0)</f>
        <v>47</v>
      </c>
      <c r="H21956" s="4"/>
      <c r="I21956" s="4"/>
    </row>
    <row r="21957">
      <c r="A21957" s="4" t="str">
        <f>IFERROR(__xludf.DUMMYFUNCTION("""COMPUTED_VALUE"""),"cas_hmw")</f>
        <v>cas_hmw</v>
      </c>
      <c r="B21957" s="5">
        <f>IFERROR(__xludf.DUMMYFUNCTION("""COMPUTED_VALUE"""),44788.0)</f>
        <v>44788</v>
      </c>
      <c r="C21957" s="6">
        <f>IFERROR(__xludf.DUMMYFUNCTION("""COMPUTED_VALUE"""),0.3548958333340124)</f>
        <v>0.3548958333</v>
      </c>
      <c r="D21957" s="4">
        <f>IFERROR(__xludf.DUMMYFUNCTION("""COMPUTED_VALUE"""),12.889208)</f>
        <v>12.889208</v>
      </c>
      <c r="E21957" s="4">
        <f>IFERROR(__xludf.DUMMYFUNCTION("""COMPUTED_VALUE"""),80.084308)</f>
        <v>80.084308</v>
      </c>
      <c r="F21957" s="4">
        <f>IFERROR(__xludf.DUMMYFUNCTION("""COMPUTED_VALUE"""),805.0)</f>
        <v>805</v>
      </c>
      <c r="G21957" s="4">
        <f>IFERROR(__xludf.DUMMYFUNCTION("""COMPUTED_VALUE"""),46.0)</f>
        <v>46</v>
      </c>
      <c r="H21957" s="4"/>
      <c r="I21957" s="4"/>
    </row>
    <row r="21958">
      <c r="A21958" s="4" t="str">
        <f>IFERROR(__xludf.DUMMYFUNCTION("""COMPUTED_VALUE"""),"cas_hmw")</f>
        <v>cas_hmw</v>
      </c>
      <c r="B21958" s="5">
        <f>IFERROR(__xludf.DUMMYFUNCTION("""COMPUTED_VALUE"""),44788.0)</f>
        <v>44788</v>
      </c>
      <c r="C21958" s="6">
        <f>IFERROR(__xludf.DUMMYFUNCTION("""COMPUTED_VALUE"""),0.35535879629605915)</f>
        <v>0.3553587963</v>
      </c>
      <c r="D21958" s="4">
        <f>IFERROR(__xludf.DUMMYFUNCTION("""COMPUTED_VALUE"""),12.734101)</f>
        <v>12.734101</v>
      </c>
      <c r="E21958" s="4">
        <f>IFERROR(__xludf.DUMMYFUNCTION("""COMPUTED_VALUE"""),79.984399)</f>
        <v>79.984399</v>
      </c>
      <c r="F21958" s="4">
        <f>IFERROR(__xludf.DUMMYFUNCTION("""COMPUTED_VALUE"""),2846.0)</f>
        <v>2846</v>
      </c>
      <c r="G21958" s="4">
        <f>IFERROR(__xludf.DUMMYFUNCTION("""COMPUTED_VALUE"""),17.0)</f>
        <v>17</v>
      </c>
      <c r="H21958" s="4"/>
      <c r="I21958" s="4"/>
    </row>
    <row r="21959">
      <c r="A21959" s="4" t="str">
        <f>IFERROR(__xludf.DUMMYFUNCTION("""COMPUTED_VALUE"""),"cas_hmw")</f>
        <v>cas_hmw</v>
      </c>
      <c r="B21959" s="5">
        <f>IFERROR(__xludf.DUMMYFUNCTION("""COMPUTED_VALUE"""),44788.0)</f>
        <v>44788</v>
      </c>
      <c r="C21959" s="6">
        <f>IFERROR(__xludf.DUMMYFUNCTION("""COMPUTED_VALUE"""),0.3554398148153268)</f>
        <v>0.3554398148</v>
      </c>
      <c r="D21959" s="4">
        <f>IFERROR(__xludf.DUMMYFUNCTION("""COMPUTED_VALUE"""),12.906392)</f>
        <v>12.906392</v>
      </c>
      <c r="E21959" s="4">
        <f>IFERROR(__xludf.DUMMYFUNCTION("""COMPUTED_VALUE"""),80.096494)</f>
        <v>80.096494</v>
      </c>
      <c r="F21959" s="4">
        <f>IFERROR(__xludf.DUMMYFUNCTION("""COMPUTED_VALUE"""),3143.0)</f>
        <v>3143</v>
      </c>
      <c r="G21959" s="4">
        <f>IFERROR(__xludf.DUMMYFUNCTION("""COMPUTED_VALUE"""),4.0)</f>
        <v>4</v>
      </c>
      <c r="H21959" s="4"/>
      <c r="I21959" s="4"/>
    </row>
    <row r="21960">
      <c r="A21960" s="4" t="str">
        <f>IFERROR(__xludf.DUMMYFUNCTION("""COMPUTED_VALUE"""),"cas_hmw")</f>
        <v>cas_hmw</v>
      </c>
      <c r="B21960" s="5">
        <f>IFERROR(__xludf.DUMMYFUNCTION("""COMPUTED_VALUE"""),44788.0)</f>
        <v>44788</v>
      </c>
      <c r="C21960" s="6">
        <f>IFERROR(__xludf.DUMMYFUNCTION("""COMPUTED_VALUE"""),0.35699074074000237)</f>
        <v>0.3569907407</v>
      </c>
      <c r="D21960" s="4">
        <f>IFERROR(__xludf.DUMMYFUNCTION("""COMPUTED_VALUE"""),12.897458)</f>
        <v>12.897458</v>
      </c>
      <c r="E21960" s="4">
        <f>IFERROR(__xludf.DUMMYFUNCTION("""COMPUTED_VALUE"""),80.089558)</f>
        <v>80.089558</v>
      </c>
      <c r="F21960" s="4">
        <f>IFERROR(__xludf.DUMMYFUNCTION("""COMPUTED_VALUE"""),3143.0)</f>
        <v>3143</v>
      </c>
      <c r="G21960" s="4">
        <f>IFERROR(__xludf.DUMMYFUNCTION("""COMPUTED_VALUE"""),18.0)</f>
        <v>18</v>
      </c>
      <c r="H21960" s="4"/>
      <c r="I21960" s="4"/>
    </row>
    <row r="21961">
      <c r="A21961" s="4" t="str">
        <f>IFERROR(__xludf.DUMMYFUNCTION("""COMPUTED_VALUE"""),"cas_hmw")</f>
        <v>cas_hmw</v>
      </c>
      <c r="B21961" s="5">
        <f>IFERROR(__xludf.DUMMYFUNCTION("""COMPUTED_VALUE"""),44788.0)</f>
        <v>44788</v>
      </c>
      <c r="C21961" s="6">
        <f>IFERROR(__xludf.DUMMYFUNCTION("""COMPUTED_VALUE"""),0.35797453703708015)</f>
        <v>0.357974537</v>
      </c>
      <c r="D21961" s="4">
        <f>IFERROR(__xludf.DUMMYFUNCTION("""COMPUTED_VALUE"""),12.891298)</f>
        <v>12.891298</v>
      </c>
      <c r="E21961" s="4">
        <f>IFERROR(__xludf.DUMMYFUNCTION("""COMPUTED_VALUE"""),80.085164)</f>
        <v>80.085164</v>
      </c>
      <c r="F21961" s="4">
        <f>IFERROR(__xludf.DUMMYFUNCTION("""COMPUTED_VALUE"""),3143.0)</f>
        <v>3143</v>
      </c>
      <c r="G21961" s="4">
        <f>IFERROR(__xludf.DUMMYFUNCTION("""COMPUTED_VALUE"""),46.0)</f>
        <v>46</v>
      </c>
      <c r="H21961" s="4"/>
      <c r="I21961" s="4"/>
    </row>
    <row r="21962">
      <c r="A21962" s="4" t="str">
        <f>IFERROR(__xludf.DUMMYFUNCTION("""COMPUTED_VALUE"""),"cas_hmw")</f>
        <v>cas_hmw</v>
      </c>
      <c r="B21962" s="5">
        <f>IFERROR(__xludf.DUMMYFUNCTION("""COMPUTED_VALUE"""),44788.0)</f>
        <v>44788</v>
      </c>
      <c r="C21962" s="6">
        <f>IFERROR(__xludf.DUMMYFUNCTION("""COMPUTED_VALUE"""),0.35812499999883585)</f>
        <v>0.358125</v>
      </c>
      <c r="D21962" s="4">
        <f>IFERROR(__xludf.DUMMYFUNCTION("""COMPUTED_VALUE"""),12.889353)</f>
        <v>12.889353</v>
      </c>
      <c r="E21962" s="4">
        <f>IFERROR(__xludf.DUMMYFUNCTION("""COMPUTED_VALUE"""),80.084334)</f>
        <v>80.084334</v>
      </c>
      <c r="F21962" s="4">
        <f>IFERROR(__xludf.DUMMYFUNCTION("""COMPUTED_VALUE"""),3143.0)</f>
        <v>3143</v>
      </c>
      <c r="G21962" s="4">
        <f>IFERROR(__xludf.DUMMYFUNCTION("""COMPUTED_VALUE"""),59.0)</f>
        <v>59</v>
      </c>
      <c r="H21962" s="4"/>
      <c r="I21962" s="4"/>
    </row>
    <row r="21963">
      <c r="A21963" s="4" t="str">
        <f>IFERROR(__xludf.DUMMYFUNCTION("""COMPUTED_VALUE"""),"cas_hmw")</f>
        <v>cas_hmw</v>
      </c>
      <c r="B21963" s="5">
        <f>IFERROR(__xludf.DUMMYFUNCTION("""COMPUTED_VALUE"""),44788.0)</f>
        <v>44788</v>
      </c>
      <c r="C21963" s="6">
        <f>IFERROR(__xludf.DUMMYFUNCTION("""COMPUTED_VALUE"""),0.35812499999883585)</f>
        <v>0.358125</v>
      </c>
      <c r="D21963" s="4">
        <f>IFERROR(__xludf.DUMMYFUNCTION("""COMPUTED_VALUE"""),12.889353)</f>
        <v>12.889353</v>
      </c>
      <c r="E21963" s="4">
        <f>IFERROR(__xludf.DUMMYFUNCTION("""COMPUTED_VALUE"""),80.084334)</f>
        <v>80.084334</v>
      </c>
      <c r="F21963" s="4">
        <f>IFERROR(__xludf.DUMMYFUNCTION("""COMPUTED_VALUE"""),3143.0)</f>
        <v>3143</v>
      </c>
      <c r="G21963" s="4">
        <f>IFERROR(__xludf.DUMMYFUNCTION("""COMPUTED_VALUE"""),59.0)</f>
        <v>59</v>
      </c>
      <c r="H21963" s="4"/>
      <c r="I21963" s="4"/>
    </row>
    <row r="21964">
      <c r="A21964" s="4" t="str">
        <f>IFERROR(__xludf.DUMMYFUNCTION("""COMPUTED_VALUE"""),"cas_hmw")</f>
        <v>cas_hmw</v>
      </c>
      <c r="B21964" s="5">
        <f>IFERROR(__xludf.DUMMYFUNCTION("""COMPUTED_VALUE"""),44788.0)</f>
        <v>44788</v>
      </c>
      <c r="C21964" s="6">
        <f>IFERROR(__xludf.DUMMYFUNCTION("""COMPUTED_VALUE"""),0.3623148148144537)</f>
        <v>0.3623148148</v>
      </c>
      <c r="D21964" s="4">
        <f>IFERROR(__xludf.DUMMYFUNCTION("""COMPUTED_VALUE"""),12.751542)</f>
        <v>12.751542</v>
      </c>
      <c r="E21964" s="4">
        <f>IFERROR(__xludf.DUMMYFUNCTION("""COMPUTED_VALUE"""),79.998902)</f>
        <v>79.998902</v>
      </c>
      <c r="F21964" s="4">
        <f>IFERROR(__xludf.DUMMYFUNCTION("""COMPUTED_VALUE"""),2846.0)</f>
        <v>2846</v>
      </c>
      <c r="G21964" s="4">
        <f>IFERROR(__xludf.DUMMYFUNCTION("""COMPUTED_VALUE"""),58.0)</f>
        <v>58</v>
      </c>
      <c r="H21964" s="4"/>
      <c r="I21964" s="4"/>
    </row>
    <row r="21965">
      <c r="A21965" s="4" t="str">
        <f>IFERROR(__xludf.DUMMYFUNCTION("""COMPUTED_VALUE"""),"cas_hmw")</f>
        <v>cas_hmw</v>
      </c>
      <c r="B21965" s="5">
        <f>IFERROR(__xludf.DUMMYFUNCTION("""COMPUTED_VALUE"""),44788.0)</f>
        <v>44788</v>
      </c>
      <c r="C21965" s="6">
        <f>IFERROR(__xludf.DUMMYFUNCTION("""COMPUTED_VALUE"""),0.3626851851840911)</f>
        <v>0.3626851852</v>
      </c>
      <c r="D21965" s="4">
        <f>IFERROR(__xludf.DUMMYFUNCTION("""COMPUTED_VALUE"""),12.757244)</f>
        <v>12.757244</v>
      </c>
      <c r="E21965" s="4">
        <f>IFERROR(__xludf.DUMMYFUNCTION("""COMPUTED_VALUE"""),80.002284)</f>
        <v>80.002284</v>
      </c>
      <c r="F21965" s="4">
        <f>IFERROR(__xludf.DUMMYFUNCTION("""COMPUTED_VALUE"""),2846.0)</f>
        <v>2846</v>
      </c>
      <c r="G21965" s="4">
        <f>IFERROR(__xludf.DUMMYFUNCTION("""COMPUTED_VALUE"""),56.0)</f>
        <v>56</v>
      </c>
      <c r="H21965" s="4"/>
      <c r="I21965" s="4"/>
    </row>
    <row r="21966">
      <c r="A21966" s="4" t="str">
        <f>IFERROR(__xludf.DUMMYFUNCTION("""COMPUTED_VALUE"""),"cas_hmw")</f>
        <v>cas_hmw</v>
      </c>
      <c r="B21966" s="5">
        <f>IFERROR(__xludf.DUMMYFUNCTION("""COMPUTED_VALUE"""),44788.0)</f>
        <v>44788</v>
      </c>
      <c r="C21966" s="6">
        <f>IFERROR(__xludf.DUMMYFUNCTION("""COMPUTED_VALUE"""),0.3637037037042319)</f>
        <v>0.3637037037</v>
      </c>
      <c r="D21966" s="4">
        <f>IFERROR(__xludf.DUMMYFUNCTION("""COMPUTED_VALUE"""),12.762899)</f>
        <v>12.762899</v>
      </c>
      <c r="E21966" s="4">
        <f>IFERROR(__xludf.DUMMYFUNCTION("""COMPUTED_VALUE"""),80.003893)</f>
        <v>80.003893</v>
      </c>
      <c r="F21966" s="4">
        <f>IFERROR(__xludf.DUMMYFUNCTION("""COMPUTED_VALUE"""),2846.0)</f>
        <v>2846</v>
      </c>
      <c r="G21966" s="4">
        <f>IFERROR(__xludf.DUMMYFUNCTION("""COMPUTED_VALUE"""),23.0)</f>
        <v>23</v>
      </c>
      <c r="H21966" s="4"/>
      <c r="I21966" s="4"/>
    </row>
    <row r="21967">
      <c r="A21967" s="4" t="str">
        <f>IFERROR(__xludf.DUMMYFUNCTION("""COMPUTED_VALUE"""),"cas_hmw")</f>
        <v>cas_hmw</v>
      </c>
      <c r="B21967" s="5">
        <f>IFERROR(__xludf.DUMMYFUNCTION("""COMPUTED_VALUE"""),44788.0)</f>
        <v>44788</v>
      </c>
      <c r="C21967" s="6">
        <f>IFERROR(__xludf.DUMMYFUNCTION("""COMPUTED_VALUE"""),0.3640509259275859)</f>
        <v>0.3640509259</v>
      </c>
      <c r="D21967" s="4">
        <f>IFERROR(__xludf.DUMMYFUNCTION("""COMPUTED_VALUE"""),12.763712)</f>
        <v>12.763712</v>
      </c>
      <c r="E21967" s="4">
        <f>IFERROR(__xludf.DUMMYFUNCTION("""COMPUTED_VALUE"""),80.004211)</f>
        <v>80.004211</v>
      </c>
      <c r="F21967" s="4">
        <f>IFERROR(__xludf.DUMMYFUNCTION("""COMPUTED_VALUE"""),2846.0)</f>
        <v>2846</v>
      </c>
      <c r="G21967" s="4">
        <f>IFERROR(__xludf.DUMMYFUNCTION("""COMPUTED_VALUE"""),42.0)</f>
        <v>42</v>
      </c>
      <c r="H21967" s="4"/>
      <c r="I21967" s="4"/>
    </row>
    <row r="21968">
      <c r="A21968" s="4" t="str">
        <f>IFERROR(__xludf.DUMMYFUNCTION("""COMPUTED_VALUE"""),"cas_hmw")</f>
        <v>cas_hmw</v>
      </c>
      <c r="B21968" s="5">
        <f>IFERROR(__xludf.DUMMYFUNCTION("""COMPUTED_VALUE"""),44788.0)</f>
        <v>44788</v>
      </c>
      <c r="C21968" s="6">
        <f>IFERROR(__xludf.DUMMYFUNCTION("""COMPUTED_VALUE"""),0.36480324074000237)</f>
        <v>0.3648032407</v>
      </c>
      <c r="D21968" s="4">
        <f>IFERROR(__xludf.DUMMYFUNCTION("""COMPUTED_VALUE"""),12.772412)</f>
        <v>12.772412</v>
      </c>
      <c r="E21968" s="4">
        <f>IFERROR(__xludf.DUMMYFUNCTION("""COMPUTED_VALUE"""),80.008203)</f>
        <v>80.008203</v>
      </c>
      <c r="F21968" s="4">
        <f>IFERROR(__xludf.DUMMYFUNCTION("""COMPUTED_VALUE"""),2846.0)</f>
        <v>2846</v>
      </c>
      <c r="G21968" s="4">
        <f>IFERROR(__xludf.DUMMYFUNCTION("""COMPUTED_VALUE"""),52.0)</f>
        <v>52</v>
      </c>
      <c r="H21968" s="4"/>
      <c r="I21968" s="4"/>
    </row>
    <row r="21969">
      <c r="A21969" s="4" t="str">
        <f>IFERROR(__xludf.DUMMYFUNCTION("""COMPUTED_VALUE"""),"cas_hmw")</f>
        <v>cas_hmw</v>
      </c>
      <c r="B21969" s="5">
        <f>IFERROR(__xludf.DUMMYFUNCTION("""COMPUTED_VALUE"""),44788.0)</f>
        <v>44788</v>
      </c>
      <c r="C21969" s="6">
        <f>IFERROR(__xludf.DUMMYFUNCTION("""COMPUTED_VALUE"""),0.3657407407408755)</f>
        <v>0.3657407407</v>
      </c>
      <c r="D21969" s="4">
        <f>IFERROR(__xludf.DUMMYFUNCTION("""COMPUTED_VALUE"""),12.782995)</f>
        <v>12.782995</v>
      </c>
      <c r="E21969" s="4">
        <f>IFERROR(__xludf.DUMMYFUNCTION("""COMPUTED_VALUE"""),80.012957)</f>
        <v>80.012957</v>
      </c>
      <c r="F21969" s="4">
        <f>IFERROR(__xludf.DUMMYFUNCTION("""COMPUTED_VALUE"""),2846.0)</f>
        <v>2846</v>
      </c>
      <c r="G21969" s="4">
        <f>IFERROR(__xludf.DUMMYFUNCTION("""COMPUTED_VALUE"""),57.0)</f>
        <v>57</v>
      </c>
      <c r="H21969" s="4"/>
      <c r="I21969" s="4"/>
    </row>
    <row r="21970">
      <c r="A21970" s="4" t="str">
        <f>IFERROR(__xludf.DUMMYFUNCTION("""COMPUTED_VALUE"""),"cas_hmw")</f>
        <v>cas_hmw</v>
      </c>
      <c r="B21970" s="5">
        <f>IFERROR(__xludf.DUMMYFUNCTION("""COMPUTED_VALUE"""),44788.0)</f>
        <v>44788</v>
      </c>
      <c r="C21970" s="6">
        <f>IFERROR(__xludf.DUMMYFUNCTION("""COMPUTED_VALUE"""),0.3683912037049595)</f>
        <v>0.3683912037</v>
      </c>
      <c r="D21970" s="4">
        <f>IFERROR(__xludf.DUMMYFUNCTION("""COMPUTED_VALUE"""),12.805491)</f>
        <v>12.805491</v>
      </c>
      <c r="E21970" s="4">
        <f>IFERROR(__xludf.DUMMYFUNCTION("""COMPUTED_VALUE"""),80.026891)</f>
        <v>80.026891</v>
      </c>
      <c r="F21970" s="4">
        <f>IFERROR(__xludf.DUMMYFUNCTION("""COMPUTED_VALUE"""),2846.0)</f>
        <v>2846</v>
      </c>
      <c r="G21970" s="4">
        <f>IFERROR(__xludf.DUMMYFUNCTION("""COMPUTED_VALUE"""),58.0)</f>
        <v>58</v>
      </c>
      <c r="H21970" s="4"/>
      <c r="I21970" s="4"/>
    </row>
    <row r="21971">
      <c r="A21971" s="4" t="str">
        <f>IFERROR(__xludf.DUMMYFUNCTION("""COMPUTED_VALUE"""),"cas_hmw")</f>
        <v>cas_hmw</v>
      </c>
      <c r="B21971" s="5">
        <f>IFERROR(__xludf.DUMMYFUNCTION("""COMPUTED_VALUE"""),44788.0)</f>
        <v>44788</v>
      </c>
      <c r="C21971" s="6">
        <f>IFERROR(__xludf.DUMMYFUNCTION("""COMPUTED_VALUE"""),0.36840277777810115)</f>
        <v>0.3684027778</v>
      </c>
      <c r="D21971" s="4">
        <f>IFERROR(__xludf.DUMMYFUNCTION("""COMPUTED_VALUE"""),12.808099)</f>
        <v>12.808099</v>
      </c>
      <c r="E21971" s="4">
        <f>IFERROR(__xludf.DUMMYFUNCTION("""COMPUTED_VALUE"""),80.028513)</f>
        <v>80.028513</v>
      </c>
      <c r="F21971" s="4">
        <f>IFERROR(__xludf.DUMMYFUNCTION("""COMPUTED_VALUE"""),2846.0)</f>
        <v>2846</v>
      </c>
      <c r="G21971" s="4">
        <f>IFERROR(__xludf.DUMMYFUNCTION("""COMPUTED_VALUE"""),22.0)</f>
        <v>22</v>
      </c>
      <c r="H21971" s="4"/>
      <c r="I21971" s="4"/>
    </row>
    <row r="21972">
      <c r="A21972" s="4" t="str">
        <f>IFERROR(__xludf.DUMMYFUNCTION("""COMPUTED_VALUE"""),"cas_hmw")</f>
        <v>cas_hmw</v>
      </c>
      <c r="B21972" s="5">
        <f>IFERROR(__xludf.DUMMYFUNCTION("""COMPUTED_VALUE"""),44788.0)</f>
        <v>44788</v>
      </c>
      <c r="C21972" s="6">
        <f>IFERROR(__xludf.DUMMYFUNCTION("""COMPUTED_VALUE"""),0.37185185185080627)</f>
        <v>0.3718518519</v>
      </c>
      <c r="D21972" s="4">
        <f>IFERROR(__xludf.DUMMYFUNCTION("""COMPUTED_VALUE"""),12.832854)</f>
        <v>12.832854</v>
      </c>
      <c r="E21972" s="4">
        <f>IFERROR(__xludf.DUMMYFUNCTION("""COMPUTED_VALUE"""),80.047897)</f>
        <v>80.047897</v>
      </c>
      <c r="F21972" s="4">
        <f>IFERROR(__xludf.DUMMYFUNCTION("""COMPUTED_VALUE"""),2846.0)</f>
        <v>2846</v>
      </c>
      <c r="G21972" s="4">
        <f>IFERROR(__xludf.DUMMYFUNCTION("""COMPUTED_VALUE"""),48.0)</f>
        <v>48</v>
      </c>
      <c r="H21972" s="4"/>
      <c r="I21972" s="4"/>
    </row>
    <row r="21973">
      <c r="A21973" s="4" t="str">
        <f>IFERROR(__xludf.DUMMYFUNCTION("""COMPUTED_VALUE"""),"cas_hmw")</f>
        <v>cas_hmw</v>
      </c>
      <c r="B21973" s="5">
        <f>IFERROR(__xludf.DUMMYFUNCTION("""COMPUTED_VALUE"""),44788.0)</f>
        <v>44788</v>
      </c>
      <c r="C21973" s="6">
        <f>IFERROR(__xludf.DUMMYFUNCTION("""COMPUTED_VALUE"""),0.37326388889050577)</f>
        <v>0.3732638889</v>
      </c>
      <c r="D21973" s="4">
        <f>IFERROR(__xludf.DUMMYFUNCTION("""COMPUTED_VALUE"""),12.840754)</f>
        <v>12.840754</v>
      </c>
      <c r="E21973" s="4">
        <f>IFERROR(__xludf.DUMMYFUNCTION("""COMPUTED_VALUE"""),80.056103)</f>
        <v>80.056103</v>
      </c>
      <c r="F21973" s="4">
        <f>IFERROR(__xludf.DUMMYFUNCTION("""COMPUTED_VALUE"""),2846.0)</f>
        <v>2846</v>
      </c>
      <c r="G21973" s="4">
        <f>IFERROR(__xludf.DUMMYFUNCTION("""COMPUTED_VALUE"""),10.0)</f>
        <v>10</v>
      </c>
      <c r="H21973" s="4"/>
      <c r="I21973" s="4"/>
    </row>
    <row r="21974">
      <c r="A21974" s="4" t="str">
        <f>IFERROR(__xludf.DUMMYFUNCTION("""COMPUTED_VALUE"""),"cas_hmw")</f>
        <v>cas_hmw</v>
      </c>
      <c r="B21974" s="5">
        <f>IFERROR(__xludf.DUMMYFUNCTION("""COMPUTED_VALUE"""),44788.0)</f>
        <v>44788</v>
      </c>
      <c r="C21974" s="6">
        <f>IFERROR(__xludf.DUMMYFUNCTION("""COMPUTED_VALUE"""),0.37505787036934635)</f>
        <v>0.3750578704</v>
      </c>
      <c r="D21974" s="4">
        <f>IFERROR(__xludf.DUMMYFUNCTION("""COMPUTED_VALUE"""),12.849474)</f>
        <v>12.849474</v>
      </c>
      <c r="E21974" s="4">
        <f>IFERROR(__xludf.DUMMYFUNCTION("""COMPUTED_VALUE"""),80.064219)</f>
        <v>80.064219</v>
      </c>
      <c r="F21974" s="4">
        <f>IFERROR(__xludf.DUMMYFUNCTION("""COMPUTED_VALUE"""),2846.0)</f>
        <v>2846</v>
      </c>
      <c r="G21974" s="4">
        <f>IFERROR(__xludf.DUMMYFUNCTION("""COMPUTED_VALUE"""),43.0)</f>
        <v>43</v>
      </c>
      <c r="H21974" s="4"/>
      <c r="I21974" s="4"/>
    </row>
    <row r="21975">
      <c r="A21975" s="4" t="str">
        <f>IFERROR(__xludf.DUMMYFUNCTION("""COMPUTED_VALUE"""),"cas_hmw")</f>
        <v>cas_hmw</v>
      </c>
      <c r="B21975" s="5">
        <f>IFERROR(__xludf.DUMMYFUNCTION("""COMPUTED_VALUE"""),44788.0)</f>
        <v>44788</v>
      </c>
      <c r="C21975" s="6">
        <f>IFERROR(__xludf.DUMMYFUNCTION("""COMPUTED_VALUE"""),0.3755787037043774)</f>
        <v>0.3755787037</v>
      </c>
      <c r="D21975" s="4">
        <f>IFERROR(__xludf.DUMMYFUNCTION("""COMPUTED_VALUE"""),12.852788)</f>
        <v>12.852788</v>
      </c>
      <c r="E21975" s="4">
        <f>IFERROR(__xludf.DUMMYFUNCTION("""COMPUTED_VALUE"""),80.066635)</f>
        <v>80.066635</v>
      </c>
      <c r="F21975" s="4">
        <f>IFERROR(__xludf.DUMMYFUNCTION("""COMPUTED_VALUE"""),2846.0)</f>
        <v>2846</v>
      </c>
      <c r="G21975" s="4">
        <f>IFERROR(__xludf.DUMMYFUNCTION("""COMPUTED_VALUE"""),49.0)</f>
        <v>49</v>
      </c>
      <c r="H21975" s="4"/>
      <c r="I21975" s="4"/>
    </row>
    <row r="21976">
      <c r="A21976" s="4" t="str">
        <f>IFERROR(__xludf.DUMMYFUNCTION("""COMPUTED_VALUE"""),"cas_hmw")</f>
        <v>cas_hmw</v>
      </c>
      <c r="B21976" s="5">
        <f>IFERROR(__xludf.DUMMYFUNCTION("""COMPUTED_VALUE"""),44788.0)</f>
        <v>44788</v>
      </c>
      <c r="C21976" s="6">
        <f>IFERROR(__xludf.DUMMYFUNCTION("""COMPUTED_VALUE"""),0.3756250000005821)</f>
        <v>0.375625</v>
      </c>
      <c r="D21976" s="4">
        <f>IFERROR(__xludf.DUMMYFUNCTION("""COMPUTED_VALUE"""),12.853779)</f>
        <v>12.853779</v>
      </c>
      <c r="E21976" s="4">
        <f>IFERROR(__xludf.DUMMYFUNCTION("""COMPUTED_VALUE"""),80.067378)</f>
        <v>80.067378</v>
      </c>
      <c r="F21976" s="4">
        <f>IFERROR(__xludf.DUMMYFUNCTION("""COMPUTED_VALUE"""),2846.0)</f>
        <v>2846</v>
      </c>
      <c r="G21976" s="4">
        <f>IFERROR(__xludf.DUMMYFUNCTION("""COMPUTED_VALUE"""),51.0)</f>
        <v>51</v>
      </c>
      <c r="H21976" s="4"/>
      <c r="I21976" s="4"/>
    </row>
    <row r="21977">
      <c r="A21977" s="4" t="str">
        <f>IFERROR(__xludf.DUMMYFUNCTION("""COMPUTED_VALUE"""),"cas_hmw")</f>
        <v>cas_hmw</v>
      </c>
      <c r="B21977" s="5">
        <f>IFERROR(__xludf.DUMMYFUNCTION("""COMPUTED_VALUE"""),44788.0)</f>
        <v>44788</v>
      </c>
      <c r="C21977" s="6">
        <f>IFERROR(__xludf.DUMMYFUNCTION("""COMPUTED_VALUE"""),0.37650462962847087)</f>
        <v>0.3765046296</v>
      </c>
      <c r="D21977" s="4">
        <f>IFERROR(__xludf.DUMMYFUNCTION("""COMPUTED_VALUE"""),12.86034)</f>
        <v>12.86034</v>
      </c>
      <c r="E21977" s="4">
        <f>IFERROR(__xludf.DUMMYFUNCTION("""COMPUTED_VALUE"""),80.072312)</f>
        <v>80.072312</v>
      </c>
      <c r="F21977" s="4">
        <f>IFERROR(__xludf.DUMMYFUNCTION("""COMPUTED_VALUE"""),2846.0)</f>
        <v>2846</v>
      </c>
      <c r="G21977" s="4">
        <f>IFERROR(__xludf.DUMMYFUNCTION("""COMPUTED_VALUE"""),28.0)</f>
        <v>28</v>
      </c>
      <c r="H21977" s="4"/>
      <c r="I21977" s="4"/>
    </row>
    <row r="21978">
      <c r="A21978" s="4" t="str">
        <f>IFERROR(__xludf.DUMMYFUNCTION("""COMPUTED_VALUE"""),"cas_hmw")</f>
        <v>cas_hmw</v>
      </c>
      <c r="B21978" s="5">
        <f>IFERROR(__xludf.DUMMYFUNCTION("""COMPUTED_VALUE"""),44788.0)</f>
        <v>44788</v>
      </c>
      <c r="C21978" s="6">
        <f>IFERROR(__xludf.DUMMYFUNCTION("""COMPUTED_VALUE"""),0.37733796296379296)</f>
        <v>0.377337963</v>
      </c>
      <c r="D21978" s="4">
        <f>IFERROR(__xludf.DUMMYFUNCTION("""COMPUTED_VALUE"""),12.867917)</f>
        <v>12.867917</v>
      </c>
      <c r="E21978" s="4">
        <f>IFERROR(__xludf.DUMMYFUNCTION("""COMPUTED_VALUE"""),80.075589)</f>
        <v>80.075589</v>
      </c>
      <c r="F21978" s="4">
        <f>IFERROR(__xludf.DUMMYFUNCTION("""COMPUTED_VALUE"""),2846.0)</f>
        <v>2846</v>
      </c>
      <c r="G21978" s="4">
        <f>IFERROR(__xludf.DUMMYFUNCTION("""COMPUTED_VALUE"""),40.0)</f>
        <v>40</v>
      </c>
      <c r="H21978" s="4"/>
      <c r="I21978" s="4"/>
    </row>
    <row r="21979">
      <c r="A21979" s="4" t="str">
        <f>IFERROR(__xludf.DUMMYFUNCTION("""COMPUTED_VALUE"""),"cas_hmw")</f>
        <v>cas_hmw</v>
      </c>
      <c r="B21979" s="5">
        <f>IFERROR(__xludf.DUMMYFUNCTION("""COMPUTED_VALUE"""),44788.0)</f>
        <v>44788</v>
      </c>
      <c r="C21979" s="6">
        <f>IFERROR(__xludf.DUMMYFUNCTION("""COMPUTED_VALUE"""),0.37755787037167465)</f>
        <v>0.3775578704</v>
      </c>
      <c r="D21979" s="4">
        <f>IFERROR(__xludf.DUMMYFUNCTION("""COMPUTED_VALUE"""),12.867917)</f>
        <v>12.867917</v>
      </c>
      <c r="E21979" s="4">
        <f>IFERROR(__xludf.DUMMYFUNCTION("""COMPUTED_VALUE"""),80.075589)</f>
        <v>80.075589</v>
      </c>
      <c r="F21979" s="4">
        <f>IFERROR(__xludf.DUMMYFUNCTION("""COMPUTED_VALUE"""),2846.0)</f>
        <v>2846</v>
      </c>
      <c r="G21979" s="4">
        <f>IFERROR(__xludf.DUMMYFUNCTION("""COMPUTED_VALUE"""),40.0)</f>
        <v>40</v>
      </c>
      <c r="H21979" s="4"/>
      <c r="I21979" s="4"/>
    </row>
    <row r="21980">
      <c r="A21980" s="4" t="str">
        <f>IFERROR(__xludf.DUMMYFUNCTION("""COMPUTED_VALUE"""),"cas_hmw")</f>
        <v>cas_hmw</v>
      </c>
      <c r="B21980" s="5">
        <f>IFERROR(__xludf.DUMMYFUNCTION("""COMPUTED_VALUE"""),44788.0)</f>
        <v>44788</v>
      </c>
      <c r="C21980" s="6">
        <f>IFERROR(__xludf.DUMMYFUNCTION("""COMPUTED_VALUE"""),0.3777662037027767)</f>
        <v>0.3777662037</v>
      </c>
      <c r="D21980" s="4">
        <f>IFERROR(__xludf.DUMMYFUNCTION("""COMPUTED_VALUE"""),12.871367)</f>
        <v>12.871367</v>
      </c>
      <c r="E21980" s="4">
        <f>IFERROR(__xludf.DUMMYFUNCTION("""COMPUTED_VALUE"""),80.076954)</f>
        <v>80.076954</v>
      </c>
      <c r="F21980" s="4">
        <f>IFERROR(__xludf.DUMMYFUNCTION("""COMPUTED_VALUE"""),2846.0)</f>
        <v>2846</v>
      </c>
      <c r="G21980" s="4">
        <f>IFERROR(__xludf.DUMMYFUNCTION("""COMPUTED_VALUE"""),52.0)</f>
        <v>52</v>
      </c>
      <c r="H21980" s="4"/>
      <c r="I21980" s="4"/>
    </row>
    <row r="21981">
      <c r="A21981" s="4" t="str">
        <f>IFERROR(__xludf.DUMMYFUNCTION("""COMPUTED_VALUE"""),"cas_hmw")</f>
        <v>cas_hmw</v>
      </c>
      <c r="B21981" s="5">
        <f>IFERROR(__xludf.DUMMYFUNCTION("""COMPUTED_VALUE"""),44788.0)</f>
        <v>44788</v>
      </c>
      <c r="C21981" s="6">
        <f>IFERROR(__xludf.DUMMYFUNCTION("""COMPUTED_VALUE"""),0.3779398148144537)</f>
        <v>0.3779398148</v>
      </c>
      <c r="D21981" s="4">
        <f>IFERROR(__xludf.DUMMYFUNCTION("""COMPUTED_VALUE"""),12.872563)</f>
        <v>12.872563</v>
      </c>
      <c r="E21981" s="4">
        <f>IFERROR(__xludf.DUMMYFUNCTION("""COMPUTED_VALUE"""),80.077412)</f>
        <v>80.077412</v>
      </c>
      <c r="F21981" s="4">
        <f>IFERROR(__xludf.DUMMYFUNCTION("""COMPUTED_VALUE"""),2846.0)</f>
        <v>2846</v>
      </c>
      <c r="G21981" s="4">
        <f>IFERROR(__xludf.DUMMYFUNCTION("""COMPUTED_VALUE"""),54.0)</f>
        <v>54</v>
      </c>
      <c r="H21981" s="4"/>
      <c r="I21981" s="4"/>
    </row>
    <row r="21982">
      <c r="A21982" s="4" t="str">
        <f>IFERROR(__xludf.DUMMYFUNCTION("""COMPUTED_VALUE"""),"cas_hmw")</f>
        <v>cas_hmw</v>
      </c>
      <c r="B21982" s="5">
        <f>IFERROR(__xludf.DUMMYFUNCTION("""COMPUTED_VALUE"""),44788.0)</f>
        <v>44788</v>
      </c>
      <c r="C21982" s="6">
        <f>IFERROR(__xludf.DUMMYFUNCTION("""COMPUTED_VALUE"""),0.6905787037030677)</f>
        <v>0.6905787037</v>
      </c>
      <c r="D21982" s="4">
        <f>IFERROR(__xludf.DUMMYFUNCTION("""COMPUTED_VALUE"""),12.881097)</f>
        <v>12.881097</v>
      </c>
      <c r="E21982" s="4">
        <f>IFERROR(__xludf.DUMMYFUNCTION("""COMPUTED_VALUE"""),80.080613)</f>
        <v>80.080613</v>
      </c>
      <c r="F21982" s="4">
        <f>IFERROR(__xludf.DUMMYFUNCTION("""COMPUTED_VALUE"""),805.0)</f>
        <v>805</v>
      </c>
      <c r="G21982" s="4">
        <f>IFERROR(__xludf.DUMMYFUNCTION("""COMPUTED_VALUE"""),25.0)</f>
        <v>25</v>
      </c>
      <c r="H21982" s="4"/>
      <c r="I21982" s="4"/>
    </row>
    <row r="21983">
      <c r="A21983" s="4" t="str">
        <f>IFERROR(__xludf.DUMMYFUNCTION("""COMPUTED_VALUE"""),"cas_hmw")</f>
        <v>cas_hmw</v>
      </c>
      <c r="B21983" s="5">
        <f>IFERROR(__xludf.DUMMYFUNCTION("""COMPUTED_VALUE"""),44788.0)</f>
        <v>44788</v>
      </c>
      <c r="C21983" s="6">
        <f>IFERROR(__xludf.DUMMYFUNCTION("""COMPUTED_VALUE"""),0.6911226851843821)</f>
        <v>0.6911226852</v>
      </c>
      <c r="D21983" s="4">
        <f>IFERROR(__xludf.DUMMYFUNCTION("""COMPUTED_VALUE"""),12.885823)</f>
        <v>12.885823</v>
      </c>
      <c r="E21983" s="4">
        <f>IFERROR(__xludf.DUMMYFUNCTION("""COMPUTED_VALUE"""),80.082727)</f>
        <v>80.082727</v>
      </c>
      <c r="F21983" s="4">
        <f>IFERROR(__xludf.DUMMYFUNCTION("""COMPUTED_VALUE"""),805.0)</f>
        <v>805</v>
      </c>
      <c r="G21983" s="4">
        <f>IFERROR(__xludf.DUMMYFUNCTION("""COMPUTED_VALUE"""),46.0)</f>
        <v>46</v>
      </c>
      <c r="H21983" s="4"/>
      <c r="I21983" s="4"/>
    </row>
    <row r="21984">
      <c r="A21984" s="4" t="str">
        <f>IFERROR(__xludf.DUMMYFUNCTION("""COMPUTED_VALUE"""),"cas_hmw")</f>
        <v>cas_hmw</v>
      </c>
      <c r="B21984" s="5">
        <f>IFERROR(__xludf.DUMMYFUNCTION("""COMPUTED_VALUE"""),44788.0)</f>
        <v>44788</v>
      </c>
      <c r="C21984" s="6">
        <f>IFERROR(__xludf.DUMMYFUNCTION("""COMPUTED_VALUE"""),0.6915625000001455)</f>
        <v>0.6915625</v>
      </c>
      <c r="D21984" s="4">
        <f>IFERROR(__xludf.DUMMYFUNCTION("""COMPUTED_VALUE"""),12.889185)</f>
        <v>12.889185</v>
      </c>
      <c r="E21984" s="4">
        <f>IFERROR(__xludf.DUMMYFUNCTION("""COMPUTED_VALUE"""),80.084134)</f>
        <v>80.084134</v>
      </c>
      <c r="F21984" s="4">
        <f>IFERROR(__xludf.DUMMYFUNCTION("""COMPUTED_VALUE"""),805.0)</f>
        <v>805</v>
      </c>
      <c r="G21984" s="4">
        <f>IFERROR(__xludf.DUMMYFUNCTION("""COMPUTED_VALUE"""),42.0)</f>
        <v>42</v>
      </c>
      <c r="H21984" s="4"/>
      <c r="I21984" s="4"/>
    </row>
    <row r="21985">
      <c r="A21985" s="4" t="str">
        <f>IFERROR(__xludf.DUMMYFUNCTION("""COMPUTED_VALUE"""),"cas_hmw")</f>
        <v>cas_hmw</v>
      </c>
      <c r="B21985" s="5">
        <f>IFERROR(__xludf.DUMMYFUNCTION("""COMPUTED_VALUE"""),44788.0)</f>
        <v>44788</v>
      </c>
      <c r="C21985" s="6">
        <f>IFERROR(__xludf.DUMMYFUNCTION("""COMPUTED_VALUE"""),0.6917939814811689)</f>
        <v>0.6917939815</v>
      </c>
      <c r="D21985" s="4">
        <f>IFERROR(__xludf.DUMMYFUNCTION("""COMPUTED_VALUE"""),12.890158)</f>
        <v>12.890158</v>
      </c>
      <c r="E21985" s="4">
        <f>IFERROR(__xludf.DUMMYFUNCTION("""COMPUTED_VALUE"""),80.084543)</f>
        <v>80.084543</v>
      </c>
      <c r="F21985" s="4">
        <f>IFERROR(__xludf.DUMMYFUNCTION("""COMPUTED_VALUE"""),5339.0)</f>
        <v>5339</v>
      </c>
      <c r="G21985" s="4">
        <f>IFERROR(__xludf.DUMMYFUNCTION("""COMPUTED_VALUE"""),45.0)</f>
        <v>45</v>
      </c>
      <c r="H21985" s="4"/>
      <c r="I21985" s="4"/>
    </row>
    <row r="21986">
      <c r="A21986" s="4" t="str">
        <f>IFERROR(__xludf.DUMMYFUNCTION("""COMPUTED_VALUE"""),"cas_hmw")</f>
        <v>cas_hmw</v>
      </c>
      <c r="B21986" s="5">
        <f>IFERROR(__xludf.DUMMYFUNCTION("""COMPUTED_VALUE"""),44788.0)</f>
        <v>44788</v>
      </c>
      <c r="C21986" s="6">
        <f>IFERROR(__xludf.DUMMYFUNCTION("""COMPUTED_VALUE"""),0.6918287037042319)</f>
        <v>0.6918287037</v>
      </c>
      <c r="D21986" s="4">
        <f>IFERROR(__xludf.DUMMYFUNCTION("""COMPUTED_VALUE"""),12.892135)</f>
        <v>12.892135</v>
      </c>
      <c r="E21986" s="4">
        <f>IFERROR(__xludf.DUMMYFUNCTION("""COMPUTED_VALUE"""),80.08545)</f>
        <v>80.08545</v>
      </c>
      <c r="F21986" s="4">
        <f>IFERROR(__xludf.DUMMYFUNCTION("""COMPUTED_VALUE"""),805.0)</f>
        <v>805</v>
      </c>
      <c r="G21986" s="4">
        <f>IFERROR(__xludf.DUMMYFUNCTION("""COMPUTED_VALUE"""),49.0)</f>
        <v>49</v>
      </c>
      <c r="H21986" s="4"/>
      <c r="I21986" s="4"/>
    </row>
    <row r="21987">
      <c r="A21987" s="4" t="str">
        <f>IFERROR(__xludf.DUMMYFUNCTION("""COMPUTED_VALUE"""),"cas_hmw")</f>
        <v>cas_hmw</v>
      </c>
      <c r="B21987" s="5">
        <f>IFERROR(__xludf.DUMMYFUNCTION("""COMPUTED_VALUE"""),44788.0)</f>
        <v>44788</v>
      </c>
      <c r="C21987" s="6">
        <f>IFERROR(__xludf.DUMMYFUNCTION("""COMPUTED_VALUE"""),0.6921412037045229)</f>
        <v>0.6921412037</v>
      </c>
      <c r="D21987" s="4">
        <f>IFERROR(__xludf.DUMMYFUNCTION("""COMPUTED_VALUE"""),12.893858)</f>
        <v>12.893858</v>
      </c>
      <c r="E21987" s="4">
        <f>IFERROR(__xludf.DUMMYFUNCTION("""COMPUTED_VALUE"""),80.086741)</f>
        <v>80.086741</v>
      </c>
      <c r="F21987" s="4">
        <f>IFERROR(__xludf.DUMMYFUNCTION("""COMPUTED_VALUE"""),805.0)</f>
        <v>805</v>
      </c>
      <c r="G21987" s="4">
        <f>IFERROR(__xludf.DUMMYFUNCTION("""COMPUTED_VALUE"""),52.0)</f>
        <v>52</v>
      </c>
      <c r="H21987" s="4"/>
      <c r="I21987" s="4"/>
    </row>
    <row r="21988">
      <c r="A21988" s="4" t="str">
        <f>IFERROR(__xludf.DUMMYFUNCTION("""COMPUTED_VALUE"""),"cas_hmw")</f>
        <v>cas_hmw</v>
      </c>
      <c r="B21988" s="5">
        <f>IFERROR(__xludf.DUMMYFUNCTION("""COMPUTED_VALUE"""),44788.0)</f>
        <v>44788</v>
      </c>
      <c r="C21988" s="6">
        <f>IFERROR(__xludf.DUMMYFUNCTION("""COMPUTED_VALUE"""),0.6921990740738693)</f>
        <v>0.6921990741</v>
      </c>
      <c r="D21988" s="4">
        <f>IFERROR(__xludf.DUMMYFUNCTION("""COMPUTED_VALUE"""),12.893498)</f>
        <v>12.893498</v>
      </c>
      <c r="E21988" s="4">
        <f>IFERROR(__xludf.DUMMYFUNCTION("""COMPUTED_VALUE"""),80.08645)</f>
        <v>80.08645</v>
      </c>
      <c r="F21988" s="4">
        <f>IFERROR(__xludf.DUMMYFUNCTION("""COMPUTED_VALUE"""),5339.0)</f>
        <v>5339</v>
      </c>
      <c r="G21988" s="4">
        <f>IFERROR(__xludf.DUMMYFUNCTION("""COMPUTED_VALUE"""),56.0)</f>
        <v>56</v>
      </c>
      <c r="H21988" s="4"/>
      <c r="I21988" s="4"/>
    </row>
    <row r="21989">
      <c r="A21989" s="4" t="str">
        <f>IFERROR(__xludf.DUMMYFUNCTION("""COMPUTED_VALUE"""),"cas_hmw")</f>
        <v>cas_hmw</v>
      </c>
      <c r="B21989" s="5">
        <f>IFERROR(__xludf.DUMMYFUNCTION("""COMPUTED_VALUE"""),44788.0)</f>
        <v>44788</v>
      </c>
      <c r="C21989" s="6">
        <f>IFERROR(__xludf.DUMMYFUNCTION("""COMPUTED_VALUE"""),0.6922222222237906)</f>
        <v>0.6922222222</v>
      </c>
      <c r="D21989" s="4">
        <f>IFERROR(__xludf.DUMMYFUNCTION("""COMPUTED_VALUE"""),12.854899)</f>
        <v>12.854899</v>
      </c>
      <c r="E21989" s="4">
        <f>IFERROR(__xludf.DUMMYFUNCTION("""COMPUTED_VALUE"""),80.068408)</f>
        <v>80.068408</v>
      </c>
      <c r="F21989" s="4">
        <f>IFERROR(__xludf.DUMMYFUNCTION("""COMPUTED_VALUE"""),2846.0)</f>
        <v>2846</v>
      </c>
      <c r="G21989" s="4">
        <f>IFERROR(__xludf.DUMMYFUNCTION("""COMPUTED_VALUE"""),57.0)</f>
        <v>57</v>
      </c>
      <c r="H21989" s="4"/>
      <c r="I21989" s="4"/>
    </row>
    <row r="21990">
      <c r="A21990" s="4" t="str">
        <f>IFERROR(__xludf.DUMMYFUNCTION("""COMPUTED_VALUE"""),"cas_hmw")</f>
        <v>cas_hmw</v>
      </c>
      <c r="B21990" s="5">
        <f>IFERROR(__xludf.DUMMYFUNCTION("""COMPUTED_VALUE"""),44788.0)</f>
        <v>44788</v>
      </c>
      <c r="C21990" s="6">
        <f>IFERROR(__xludf.DUMMYFUNCTION("""COMPUTED_VALUE"""),0.692349537035625)</f>
        <v>0.692349537</v>
      </c>
      <c r="D21990" s="4">
        <f>IFERROR(__xludf.DUMMYFUNCTION("""COMPUTED_VALUE"""),12.897283)</f>
        <v>12.897283</v>
      </c>
      <c r="E21990" s="4">
        <f>IFERROR(__xludf.DUMMYFUNCTION("""COMPUTED_VALUE"""),80.089293)</f>
        <v>80.089293</v>
      </c>
      <c r="F21990" s="4">
        <f>IFERROR(__xludf.DUMMYFUNCTION("""COMPUTED_VALUE"""),805.0)</f>
        <v>805</v>
      </c>
      <c r="G21990" s="4">
        <f>IFERROR(__xludf.DUMMYFUNCTION("""COMPUTED_VALUE"""),50.0)</f>
        <v>50</v>
      </c>
      <c r="H21990" s="4"/>
      <c r="I21990" s="4"/>
    </row>
    <row r="21991">
      <c r="A21991" s="4" t="str">
        <f>IFERROR(__xludf.DUMMYFUNCTION("""COMPUTED_VALUE"""),"cas_hmw")</f>
        <v>cas_hmw</v>
      </c>
      <c r="B21991" s="5">
        <f>IFERROR(__xludf.DUMMYFUNCTION("""COMPUTED_VALUE"""),44788.0)</f>
        <v>44788</v>
      </c>
      <c r="C21991" s="6">
        <f>IFERROR(__xludf.DUMMYFUNCTION("""COMPUTED_VALUE"""),0.6926504629627743)</f>
        <v>0.692650463</v>
      </c>
      <c r="D21991" s="4">
        <f>IFERROR(__xludf.DUMMYFUNCTION("""COMPUTED_VALUE"""),12.851717)</f>
        <v>12.851717</v>
      </c>
      <c r="E21991" s="4">
        <f>IFERROR(__xludf.DUMMYFUNCTION("""COMPUTED_VALUE"""),80.066071)</f>
        <v>80.066071</v>
      </c>
      <c r="F21991" s="4">
        <f>IFERROR(__xludf.DUMMYFUNCTION("""COMPUTED_VALUE"""),2846.0)</f>
        <v>2846</v>
      </c>
      <c r="G21991" s="4">
        <f>IFERROR(__xludf.DUMMYFUNCTION("""COMPUTED_VALUE"""),51.0)</f>
        <v>51</v>
      </c>
      <c r="H21991" s="4"/>
      <c r="I21991" s="4"/>
    </row>
    <row r="21992">
      <c r="A21992" s="4" t="str">
        <f>IFERROR(__xludf.DUMMYFUNCTION("""COMPUTED_VALUE"""),"cas_hmw")</f>
        <v>cas_hmw</v>
      </c>
      <c r="B21992" s="5">
        <f>IFERROR(__xludf.DUMMYFUNCTION("""COMPUTED_VALUE"""),44788.0)</f>
        <v>44788</v>
      </c>
      <c r="C21992" s="6">
        <f>IFERROR(__xludf.DUMMYFUNCTION("""COMPUTED_VALUE"""),0.692905092593719)</f>
        <v>0.6929050926</v>
      </c>
      <c r="D21992" s="4">
        <f>IFERROR(__xludf.DUMMYFUNCTION("""COMPUTED_VALUE"""),12.90199)</f>
        <v>12.90199</v>
      </c>
      <c r="E21992" s="4">
        <f>IFERROR(__xludf.DUMMYFUNCTION("""COMPUTED_VALUE"""),80.092845)</f>
        <v>80.092845</v>
      </c>
      <c r="F21992" s="4">
        <f>IFERROR(__xludf.DUMMYFUNCTION("""COMPUTED_VALUE"""),805.0)</f>
        <v>805</v>
      </c>
      <c r="G21992" s="4">
        <f>IFERROR(__xludf.DUMMYFUNCTION("""COMPUTED_VALUE"""),53.0)</f>
        <v>53</v>
      </c>
      <c r="H21992" s="4"/>
      <c r="I21992" s="4"/>
    </row>
    <row r="21993">
      <c r="A21993" s="4" t="str">
        <f>IFERROR(__xludf.DUMMYFUNCTION("""COMPUTED_VALUE"""),"cas_hmw")</f>
        <v>cas_hmw</v>
      </c>
      <c r="B21993" s="5">
        <f>IFERROR(__xludf.DUMMYFUNCTION("""COMPUTED_VALUE"""),44788.0)</f>
        <v>44788</v>
      </c>
      <c r="C21993" s="6">
        <f>IFERROR(__xludf.DUMMYFUNCTION("""COMPUTED_VALUE"""),0.6929976851861284)</f>
        <v>0.6929976852</v>
      </c>
      <c r="D21993" s="4">
        <f>IFERROR(__xludf.DUMMYFUNCTION("""COMPUTED_VALUE"""),12.90199)</f>
        <v>12.90199</v>
      </c>
      <c r="E21993" s="4">
        <f>IFERROR(__xludf.DUMMYFUNCTION("""COMPUTED_VALUE"""),80.092845)</f>
        <v>80.092845</v>
      </c>
      <c r="F21993" s="4">
        <f>IFERROR(__xludf.DUMMYFUNCTION("""COMPUTED_VALUE"""),805.0)</f>
        <v>805</v>
      </c>
      <c r="G21993" s="4">
        <f>IFERROR(__xludf.DUMMYFUNCTION("""COMPUTED_VALUE"""),53.0)</f>
        <v>53</v>
      </c>
      <c r="H21993" s="4"/>
      <c r="I21993" s="4"/>
    </row>
    <row r="21994">
      <c r="A21994" s="4" t="str">
        <f>IFERROR(__xludf.DUMMYFUNCTION("""COMPUTED_VALUE"""),"cas_hmw")</f>
        <v>cas_hmw</v>
      </c>
      <c r="B21994" s="5">
        <f>IFERROR(__xludf.DUMMYFUNCTION("""COMPUTED_VALUE"""),44788.0)</f>
        <v>44788</v>
      </c>
      <c r="C21994" s="6">
        <f>IFERROR(__xludf.DUMMYFUNCTION("""COMPUTED_VALUE"""),0.6930555555554747)</f>
        <v>0.6930555556</v>
      </c>
      <c r="D21994" s="4">
        <f>IFERROR(__xludf.DUMMYFUNCTION("""COMPUTED_VALUE"""),12.846706)</f>
        <v>12.846706</v>
      </c>
      <c r="E21994" s="4">
        <f>IFERROR(__xludf.DUMMYFUNCTION("""COMPUTED_VALUE"""),80.062458)</f>
        <v>80.062458</v>
      </c>
      <c r="F21994" s="4">
        <f>IFERROR(__xludf.DUMMYFUNCTION("""COMPUTED_VALUE"""),2846.0)</f>
        <v>2846</v>
      </c>
      <c r="G21994" s="4">
        <f>IFERROR(__xludf.DUMMYFUNCTION("""COMPUTED_VALUE"""),42.0)</f>
        <v>42</v>
      </c>
      <c r="H21994" s="4"/>
      <c r="I21994" s="4"/>
    </row>
    <row r="21995">
      <c r="A21995" s="4" t="str">
        <f>IFERROR(__xludf.DUMMYFUNCTION("""COMPUTED_VALUE"""),"cas_hmw")</f>
        <v>cas_hmw</v>
      </c>
      <c r="B21995" s="5">
        <f>IFERROR(__xludf.DUMMYFUNCTION("""COMPUTED_VALUE"""),44788.0)</f>
        <v>44788</v>
      </c>
      <c r="C21995" s="6">
        <f>IFERROR(__xludf.DUMMYFUNCTION("""COMPUTED_VALUE"""),0.6933333333327028)</f>
        <v>0.6933333333</v>
      </c>
      <c r="D21995" s="4">
        <f>IFERROR(__xludf.DUMMYFUNCTION("""COMPUTED_VALUE"""),12.903542)</f>
        <v>12.903542</v>
      </c>
      <c r="E21995" s="4">
        <f>IFERROR(__xludf.DUMMYFUNCTION("""COMPUTED_VALUE"""),80.094156)</f>
        <v>80.094156</v>
      </c>
      <c r="F21995" s="4">
        <f>IFERROR(__xludf.DUMMYFUNCTION("""COMPUTED_VALUE"""),5339.0)</f>
        <v>5339</v>
      </c>
      <c r="G21995" s="4">
        <f>IFERROR(__xludf.DUMMYFUNCTION("""COMPUTED_VALUE"""),50.0)</f>
        <v>50</v>
      </c>
      <c r="H21995" s="4"/>
      <c r="I21995" s="4"/>
    </row>
    <row r="21996">
      <c r="A21996" s="4" t="str">
        <f>IFERROR(__xludf.DUMMYFUNCTION("""COMPUTED_VALUE"""),"cas_hmw")</f>
        <v>cas_hmw</v>
      </c>
      <c r="B21996" s="5">
        <f>IFERROR(__xludf.DUMMYFUNCTION("""COMPUTED_VALUE"""),44788.0)</f>
        <v>44788</v>
      </c>
      <c r="C21996" s="6">
        <f>IFERROR(__xludf.DUMMYFUNCTION("""COMPUTED_VALUE"""),0.6939814814832062)</f>
        <v>0.6939814815</v>
      </c>
      <c r="D21996" s="4">
        <f>IFERROR(__xludf.DUMMYFUNCTION("""COMPUTED_VALUE"""),12.908901)</f>
        <v>12.908901</v>
      </c>
      <c r="E21996" s="4">
        <f>IFERROR(__xludf.DUMMYFUNCTION("""COMPUTED_VALUE"""),80.098274)</f>
        <v>80.098274</v>
      </c>
      <c r="F21996" s="4">
        <f>IFERROR(__xludf.DUMMYFUNCTION("""COMPUTED_VALUE"""),805.0)</f>
        <v>805</v>
      </c>
      <c r="G21996" s="4">
        <f>IFERROR(__xludf.DUMMYFUNCTION("""COMPUTED_VALUE"""),0.0)</f>
        <v>0</v>
      </c>
      <c r="H21996" s="4"/>
      <c r="I21996" s="4"/>
    </row>
    <row r="21997">
      <c r="A21997" s="4" t="str">
        <f>IFERROR(__xludf.DUMMYFUNCTION("""COMPUTED_VALUE"""),"cas_hmw")</f>
        <v>cas_hmw</v>
      </c>
      <c r="B21997" s="5">
        <f>IFERROR(__xludf.DUMMYFUNCTION("""COMPUTED_VALUE"""),44788.0)</f>
        <v>44788</v>
      </c>
      <c r="C21997" s="6">
        <f>IFERROR(__xludf.DUMMYFUNCTION("""COMPUTED_VALUE"""),0.6939814814832062)</f>
        <v>0.6939814815</v>
      </c>
      <c r="D21997" s="4">
        <f>IFERROR(__xludf.DUMMYFUNCTION("""COMPUTED_VALUE"""),12.908901)</f>
        <v>12.908901</v>
      </c>
      <c r="E21997" s="4">
        <f>IFERROR(__xludf.DUMMYFUNCTION("""COMPUTED_VALUE"""),80.098274)</f>
        <v>80.098274</v>
      </c>
      <c r="F21997" s="4">
        <f>IFERROR(__xludf.DUMMYFUNCTION("""COMPUTED_VALUE"""),805.0)</f>
        <v>805</v>
      </c>
      <c r="G21997" s="4">
        <f>IFERROR(__xludf.DUMMYFUNCTION("""COMPUTED_VALUE"""),0.0)</f>
        <v>0</v>
      </c>
      <c r="H21997" s="4"/>
      <c r="I21997" s="4"/>
    </row>
    <row r="21998">
      <c r="A21998" s="4" t="str">
        <f>IFERROR(__xludf.DUMMYFUNCTION("""COMPUTED_VALUE"""),"cas_hmw")</f>
        <v>cas_hmw</v>
      </c>
      <c r="B21998" s="5">
        <f>IFERROR(__xludf.DUMMYFUNCTION("""COMPUTED_VALUE"""),44788.0)</f>
        <v>44788</v>
      </c>
      <c r="C21998" s="6">
        <f>IFERROR(__xludf.DUMMYFUNCTION("""COMPUTED_VALUE"""),0.6941782407411665)</f>
        <v>0.6941782407</v>
      </c>
      <c r="D21998" s="4">
        <f>IFERROR(__xludf.DUMMYFUNCTION("""COMPUTED_VALUE"""),12.909498)</f>
        <v>12.909498</v>
      </c>
      <c r="E21998" s="4">
        <f>IFERROR(__xludf.DUMMYFUNCTION("""COMPUTED_VALUE"""),80.099151)</f>
        <v>80.099151</v>
      </c>
      <c r="F21998" s="4">
        <f>IFERROR(__xludf.DUMMYFUNCTION("""COMPUTED_VALUE"""),805.0)</f>
        <v>805</v>
      </c>
      <c r="G21998" s="4">
        <f>IFERROR(__xludf.DUMMYFUNCTION("""COMPUTED_VALUE"""),28.0)</f>
        <v>28</v>
      </c>
      <c r="H21998" s="4"/>
      <c r="I21998" s="4"/>
    </row>
    <row r="21999">
      <c r="A21999" s="4" t="str">
        <f>IFERROR(__xludf.DUMMYFUNCTION("""COMPUTED_VALUE"""),"cas_hmw")</f>
        <v>cas_hmw</v>
      </c>
      <c r="B21999" s="5">
        <f>IFERROR(__xludf.DUMMYFUNCTION("""COMPUTED_VALUE"""),44788.0)</f>
        <v>44788</v>
      </c>
      <c r="C21999" s="6">
        <f>IFERROR(__xludf.DUMMYFUNCTION("""COMPUTED_VALUE"""),0.6947569444455439)</f>
        <v>0.6947569444</v>
      </c>
      <c r="D21999" s="4">
        <f>IFERROR(__xludf.DUMMYFUNCTION("""COMPUTED_VALUE"""),12.842138)</f>
        <v>12.842138</v>
      </c>
      <c r="E21999" s="4">
        <f>IFERROR(__xludf.DUMMYFUNCTION("""COMPUTED_VALUE"""),80.057962)</f>
        <v>80.057962</v>
      </c>
      <c r="F21999" s="4">
        <f>IFERROR(__xludf.DUMMYFUNCTION("""COMPUTED_VALUE"""),2846.0)</f>
        <v>2846</v>
      </c>
      <c r="G21999" s="4">
        <f>IFERROR(__xludf.DUMMYFUNCTION("""COMPUTED_VALUE"""),48.0)</f>
        <v>48</v>
      </c>
      <c r="H21999" s="4"/>
      <c r="I21999" s="4"/>
    </row>
    <row r="22000">
      <c r="A22000" s="4" t="str">
        <f>IFERROR(__xludf.DUMMYFUNCTION("""COMPUTED_VALUE"""),"cas_hmw")</f>
        <v>cas_hmw</v>
      </c>
      <c r="B22000" s="5">
        <f>IFERROR(__xludf.DUMMYFUNCTION("""COMPUTED_VALUE"""),44788.0)</f>
        <v>44788</v>
      </c>
      <c r="C22000" s="6">
        <f>IFERROR(__xludf.DUMMYFUNCTION("""COMPUTED_VALUE"""),0.6951157407420396)</f>
        <v>0.6951157407</v>
      </c>
      <c r="D22000" s="4">
        <f>IFERROR(__xludf.DUMMYFUNCTION("""COMPUTED_VALUE"""),12.839102)</f>
        <v>12.839102</v>
      </c>
      <c r="E22000" s="4">
        <f>IFERROR(__xludf.DUMMYFUNCTION("""COMPUTED_VALUE"""),80.05471)</f>
        <v>80.05471</v>
      </c>
      <c r="F22000" s="4">
        <f>IFERROR(__xludf.DUMMYFUNCTION("""COMPUTED_VALUE"""),2846.0)</f>
        <v>2846</v>
      </c>
      <c r="G22000" s="4">
        <f>IFERROR(__xludf.DUMMYFUNCTION("""COMPUTED_VALUE"""),52.0)</f>
        <v>52</v>
      </c>
      <c r="H22000" s="4"/>
      <c r="I22000" s="4"/>
    </row>
    <row r="22001">
      <c r="A22001" s="4" t="str">
        <f>IFERROR(__xludf.DUMMYFUNCTION("""COMPUTED_VALUE"""),"cas_hmw")</f>
        <v>cas_hmw</v>
      </c>
      <c r="B22001" s="5">
        <f>IFERROR(__xludf.DUMMYFUNCTION("""COMPUTED_VALUE"""),44788.0)</f>
        <v>44788</v>
      </c>
      <c r="C22001" s="6">
        <f>IFERROR(__xludf.DUMMYFUNCTION("""COMPUTED_VALUE"""),0.6952199074075907)</f>
        <v>0.6952199074</v>
      </c>
      <c r="D22001" s="4">
        <f>IFERROR(__xludf.DUMMYFUNCTION("""COMPUTED_VALUE"""),12.911555)</f>
        <v>12.911555</v>
      </c>
      <c r="E22001" s="4">
        <f>IFERROR(__xludf.DUMMYFUNCTION("""COMPUTED_VALUE"""),80.101312)</f>
        <v>80.101312</v>
      </c>
      <c r="F22001" s="4">
        <f>IFERROR(__xludf.DUMMYFUNCTION("""COMPUTED_VALUE"""),5339.0)</f>
        <v>5339</v>
      </c>
      <c r="G22001" s="4">
        <f>IFERROR(__xludf.DUMMYFUNCTION("""COMPUTED_VALUE"""),17.0)</f>
        <v>17</v>
      </c>
      <c r="H22001" s="4"/>
      <c r="I22001" s="4"/>
    </row>
    <row r="22002">
      <c r="A22002" s="4" t="str">
        <f>IFERROR(__xludf.DUMMYFUNCTION("""COMPUTED_VALUE"""),"cas_hmw")</f>
        <v>cas_hmw</v>
      </c>
      <c r="B22002" s="5">
        <f>IFERROR(__xludf.DUMMYFUNCTION("""COMPUTED_VALUE"""),44788.0)</f>
        <v>44788</v>
      </c>
      <c r="C22002" s="6">
        <f>IFERROR(__xludf.DUMMYFUNCTION("""COMPUTED_VALUE"""),0.6952314814807323)</f>
        <v>0.6952314815</v>
      </c>
      <c r="D22002" s="4">
        <f>IFERROR(__xludf.DUMMYFUNCTION("""COMPUTED_VALUE"""),12.911555)</f>
        <v>12.911555</v>
      </c>
      <c r="E22002" s="4">
        <f>IFERROR(__xludf.DUMMYFUNCTION("""COMPUTED_VALUE"""),80.101312)</f>
        <v>80.101312</v>
      </c>
      <c r="F22002" s="4">
        <f>IFERROR(__xludf.DUMMYFUNCTION("""COMPUTED_VALUE"""),5339.0)</f>
        <v>5339</v>
      </c>
      <c r="G22002" s="4">
        <f>IFERROR(__xludf.DUMMYFUNCTION("""COMPUTED_VALUE"""),17.0)</f>
        <v>17</v>
      </c>
      <c r="H22002" s="4"/>
      <c r="I22002" s="4"/>
    </row>
    <row r="22003">
      <c r="A22003" s="4" t="str">
        <f>IFERROR(__xludf.DUMMYFUNCTION("""COMPUTED_VALUE"""),"cas_hmw")</f>
        <v>cas_hmw</v>
      </c>
      <c r="B22003" s="5">
        <f>IFERROR(__xludf.DUMMYFUNCTION("""COMPUTED_VALUE"""),44788.0)</f>
        <v>44788</v>
      </c>
      <c r="C22003" s="6">
        <f>IFERROR(__xludf.DUMMYFUNCTION("""COMPUTED_VALUE"""),0.6952314814807323)</f>
        <v>0.6952314815</v>
      </c>
      <c r="D22003" s="4">
        <f>IFERROR(__xludf.DUMMYFUNCTION("""COMPUTED_VALUE"""),12.911555)</f>
        <v>12.911555</v>
      </c>
      <c r="E22003" s="4">
        <f>IFERROR(__xludf.DUMMYFUNCTION("""COMPUTED_VALUE"""),80.101312)</f>
        <v>80.101312</v>
      </c>
      <c r="F22003" s="4">
        <f>IFERROR(__xludf.DUMMYFUNCTION("""COMPUTED_VALUE"""),5339.0)</f>
        <v>5339</v>
      </c>
      <c r="G22003" s="4">
        <f>IFERROR(__xludf.DUMMYFUNCTION("""COMPUTED_VALUE"""),17.0)</f>
        <v>17</v>
      </c>
      <c r="H22003" s="4"/>
      <c r="I22003" s="4"/>
    </row>
    <row r="22004">
      <c r="A22004" s="4" t="str">
        <f>IFERROR(__xludf.DUMMYFUNCTION("""COMPUTED_VALUE"""),"cas_hmw")</f>
        <v>cas_hmw</v>
      </c>
      <c r="B22004" s="5">
        <f>IFERROR(__xludf.DUMMYFUNCTION("""COMPUTED_VALUE"""),44788.0)</f>
        <v>44788</v>
      </c>
      <c r="C22004" s="6">
        <f>IFERROR(__xludf.DUMMYFUNCTION("""COMPUTED_VALUE"""),0.6957638888889051)</f>
        <v>0.6957638889</v>
      </c>
      <c r="D22004" s="4">
        <f>IFERROR(__xludf.DUMMYFUNCTION("""COMPUTED_VALUE"""),12.915648)</f>
        <v>12.915648</v>
      </c>
      <c r="E22004" s="4">
        <f>IFERROR(__xludf.DUMMYFUNCTION("""COMPUTED_VALUE"""),80.103444)</f>
        <v>80.103444</v>
      </c>
      <c r="F22004" s="4">
        <f>IFERROR(__xludf.DUMMYFUNCTION("""COMPUTED_VALUE"""),5339.0)</f>
        <v>5339</v>
      </c>
      <c r="G22004" s="4">
        <f>IFERROR(__xludf.DUMMYFUNCTION("""COMPUTED_VALUE"""),53.0)</f>
        <v>53</v>
      </c>
      <c r="H22004" s="4"/>
      <c r="I22004" s="4"/>
    </row>
    <row r="22005">
      <c r="A22005" s="4" t="str">
        <f>IFERROR(__xludf.DUMMYFUNCTION("""COMPUTED_VALUE"""),"cas_hmw")</f>
        <v>cas_hmw</v>
      </c>
      <c r="B22005" s="5">
        <f>IFERROR(__xludf.DUMMYFUNCTION("""COMPUTED_VALUE"""),44788.0)</f>
        <v>44788</v>
      </c>
      <c r="C22005" s="6">
        <f>IFERROR(__xludf.DUMMYFUNCTION("""COMPUTED_VALUE"""),0.6959606481468654)</f>
        <v>0.6959606481</v>
      </c>
      <c r="D22005" s="4">
        <f>IFERROR(__xludf.DUMMYFUNCTION("""COMPUTED_VALUE"""),12.917051)</f>
        <v>12.917051</v>
      </c>
      <c r="E22005" s="4">
        <f>IFERROR(__xludf.DUMMYFUNCTION("""COMPUTED_VALUE"""),80.107157)</f>
        <v>80.107157</v>
      </c>
      <c r="F22005" s="4">
        <f>IFERROR(__xludf.DUMMYFUNCTION("""COMPUTED_VALUE"""),805.0)</f>
        <v>805</v>
      </c>
      <c r="G22005" s="4">
        <f>IFERROR(__xludf.DUMMYFUNCTION("""COMPUTED_VALUE"""),21.0)</f>
        <v>21</v>
      </c>
      <c r="H22005" s="4"/>
      <c r="I22005" s="4"/>
    </row>
    <row r="22006">
      <c r="A22006" s="4" t="str">
        <f>IFERROR(__xludf.DUMMYFUNCTION("""COMPUTED_VALUE"""),"cas_hmw")</f>
        <v>cas_hmw</v>
      </c>
      <c r="B22006" s="5">
        <f>IFERROR(__xludf.DUMMYFUNCTION("""COMPUTED_VALUE"""),44788.0)</f>
        <v>44788</v>
      </c>
      <c r="C22006" s="6">
        <f>IFERROR(__xludf.DUMMYFUNCTION("""COMPUTED_VALUE"""),0.6960069444430701)</f>
        <v>0.6960069444</v>
      </c>
      <c r="D22006" s="4">
        <f>IFERROR(__xludf.DUMMYFUNCTION("""COMPUTED_VALUE"""),12.917932)</f>
        <v>12.917932</v>
      </c>
      <c r="E22006" s="4">
        <f>IFERROR(__xludf.DUMMYFUNCTION("""COMPUTED_VALUE"""),80.108412)</f>
        <v>80.108412</v>
      </c>
      <c r="F22006" s="4">
        <f>IFERROR(__xludf.DUMMYFUNCTION("""COMPUTED_VALUE"""),805.0)</f>
        <v>805</v>
      </c>
      <c r="G22006" s="4">
        <f>IFERROR(__xludf.DUMMYFUNCTION("""COMPUTED_VALUE"""),53.0)</f>
        <v>53</v>
      </c>
      <c r="H22006" s="4"/>
      <c r="I22006" s="4"/>
    </row>
    <row r="22007">
      <c r="A22007" s="4" t="str">
        <f>IFERROR(__xludf.DUMMYFUNCTION("""COMPUTED_VALUE"""),"cas_hmw")</f>
        <v>cas_hmw</v>
      </c>
      <c r="B22007" s="5">
        <f>IFERROR(__xludf.DUMMYFUNCTION("""COMPUTED_VALUE"""),44788.0)</f>
        <v>44788</v>
      </c>
      <c r="C22007" s="6">
        <f>IFERROR(__xludf.DUMMYFUNCTION("""COMPUTED_VALUE"""),0.6966203703705105)</f>
        <v>0.6966203704</v>
      </c>
      <c r="D22007" s="4">
        <f>IFERROR(__xludf.DUMMYFUNCTION("""COMPUTED_VALUE"""),12.828146)</f>
        <v>12.828146</v>
      </c>
      <c r="E22007" s="4">
        <f>IFERROR(__xludf.DUMMYFUNCTION("""COMPUTED_VALUE"""),80.043234)</f>
        <v>80.043234</v>
      </c>
      <c r="F22007" s="4">
        <f>IFERROR(__xludf.DUMMYFUNCTION("""COMPUTED_VALUE"""),2846.0)</f>
        <v>2846</v>
      </c>
      <c r="G22007" s="4">
        <f>IFERROR(__xludf.DUMMYFUNCTION("""COMPUTED_VALUE"""),52.0)</f>
        <v>52</v>
      </c>
      <c r="H22007" s="4"/>
      <c r="I22007" s="4"/>
    </row>
    <row r="22008">
      <c r="A22008" s="4" t="str">
        <f>IFERROR(__xludf.DUMMYFUNCTION("""COMPUTED_VALUE"""),"cas_hmw")</f>
        <v>cas_hmw</v>
      </c>
      <c r="B22008" s="5">
        <f>IFERROR(__xludf.DUMMYFUNCTION("""COMPUTED_VALUE"""),44788.0)</f>
        <v>44788</v>
      </c>
      <c r="C22008" s="6">
        <f>IFERROR(__xludf.DUMMYFUNCTION("""COMPUTED_VALUE"""),0.6969907407401479)</f>
        <v>0.6969907407</v>
      </c>
      <c r="D22008" s="4">
        <f>IFERROR(__xludf.DUMMYFUNCTION("""COMPUTED_VALUE"""),12.824789)</f>
        <v>12.824789</v>
      </c>
      <c r="E22008" s="4">
        <f>IFERROR(__xludf.DUMMYFUNCTION("""COMPUTED_VALUE"""),80.040218)</f>
        <v>80.040218</v>
      </c>
      <c r="F22008" s="4">
        <f>IFERROR(__xludf.DUMMYFUNCTION("""COMPUTED_VALUE"""),2846.0)</f>
        <v>2846</v>
      </c>
      <c r="G22008" s="4">
        <f>IFERROR(__xludf.DUMMYFUNCTION("""COMPUTED_VALUE"""),57.0)</f>
        <v>57</v>
      </c>
      <c r="H22008" s="4"/>
      <c r="I22008" s="4"/>
    </row>
    <row r="22009">
      <c r="A22009" s="4" t="str">
        <f>IFERROR(__xludf.DUMMYFUNCTION("""COMPUTED_VALUE"""),"cas_hmw")</f>
        <v>cas_hmw</v>
      </c>
      <c r="B22009" s="5">
        <f>IFERROR(__xludf.DUMMYFUNCTION("""COMPUTED_VALUE"""),44788.0)</f>
        <v>44788</v>
      </c>
      <c r="C22009" s="6">
        <f>IFERROR(__xludf.DUMMYFUNCTION("""COMPUTED_VALUE"""),0.6970486111094942)</f>
        <v>0.6970486111</v>
      </c>
      <c r="D22009" s="4">
        <f>IFERROR(__xludf.DUMMYFUNCTION("""COMPUTED_VALUE"""),12.91761)</f>
        <v>12.91761</v>
      </c>
      <c r="E22009" s="4">
        <f>IFERROR(__xludf.DUMMYFUNCTION("""COMPUTED_VALUE"""),80.10799)</f>
        <v>80.10799</v>
      </c>
      <c r="F22009" s="4">
        <f>IFERROR(__xludf.DUMMYFUNCTION("""COMPUTED_VALUE"""),5339.0)</f>
        <v>5339</v>
      </c>
      <c r="G22009" s="4">
        <f>IFERROR(__xludf.DUMMYFUNCTION("""COMPUTED_VALUE"""),43.0)</f>
        <v>43</v>
      </c>
      <c r="H22009" s="4"/>
      <c r="I22009" s="4"/>
    </row>
    <row r="22010">
      <c r="A22010" s="4" t="str">
        <f>IFERROR(__xludf.DUMMYFUNCTION("""COMPUTED_VALUE"""),"cas_hmw")</f>
        <v>cas_hmw</v>
      </c>
      <c r="B22010" s="5">
        <f>IFERROR(__xludf.DUMMYFUNCTION("""COMPUTED_VALUE"""),44788.0)</f>
        <v>44788</v>
      </c>
      <c r="C22010" s="6">
        <f>IFERROR(__xludf.DUMMYFUNCTION("""COMPUTED_VALUE"""),0.6970833333325572)</f>
        <v>0.6970833333</v>
      </c>
      <c r="D22010" s="4">
        <f>IFERROR(__xludf.DUMMYFUNCTION("""COMPUTED_VALUE"""),12.923239)</f>
        <v>12.923239</v>
      </c>
      <c r="E22010" s="4">
        <f>IFERROR(__xludf.DUMMYFUNCTION("""COMPUTED_VALUE"""),80.114302)</f>
        <v>80.114302</v>
      </c>
      <c r="F22010" s="4">
        <f>IFERROR(__xludf.DUMMYFUNCTION("""COMPUTED_VALUE"""),805.0)</f>
        <v>805</v>
      </c>
      <c r="G22010" s="4">
        <f>IFERROR(__xludf.DUMMYFUNCTION("""COMPUTED_VALUE"""),21.0)</f>
        <v>21</v>
      </c>
      <c r="H22010" s="4"/>
      <c r="I22010" s="4"/>
    </row>
    <row r="22011">
      <c r="A22011" s="4" t="str">
        <f>IFERROR(__xludf.DUMMYFUNCTION("""COMPUTED_VALUE"""),"cas_hmw")</f>
        <v>cas_hmw</v>
      </c>
      <c r="B22011" s="5">
        <f>IFERROR(__xludf.DUMMYFUNCTION("""COMPUTED_VALUE"""),44788.0)</f>
        <v>44788</v>
      </c>
      <c r="C22011" s="6">
        <f>IFERROR(__xludf.DUMMYFUNCTION("""COMPUTED_VALUE"""),0.6971990740748879)</f>
        <v>0.6971990741</v>
      </c>
      <c r="D22011" s="4">
        <f>IFERROR(__xludf.DUMMYFUNCTION("""COMPUTED_VALUE"""),12.924266)</f>
        <v>12.924266</v>
      </c>
      <c r="E22011" s="4">
        <f>IFERROR(__xludf.DUMMYFUNCTION("""COMPUTED_VALUE"""),80.115306)</f>
        <v>80.115306</v>
      </c>
      <c r="F22011" s="4">
        <f>IFERROR(__xludf.DUMMYFUNCTION("""COMPUTED_VALUE"""),805.0)</f>
        <v>805</v>
      </c>
      <c r="G22011" s="4">
        <f>IFERROR(__xludf.DUMMYFUNCTION("""COMPUTED_VALUE"""),49.0)</f>
        <v>49</v>
      </c>
      <c r="H22011" s="4"/>
      <c r="I22011" s="4"/>
    </row>
    <row r="22012">
      <c r="A22012" s="4" t="str">
        <f>IFERROR(__xludf.DUMMYFUNCTION("""COMPUTED_VALUE"""),"cas_hmw")</f>
        <v>cas_hmw</v>
      </c>
      <c r="B22012" s="5">
        <f>IFERROR(__xludf.DUMMYFUNCTION("""COMPUTED_VALUE"""),44788.0)</f>
        <v>44788</v>
      </c>
      <c r="C22012" s="6">
        <f>IFERROR(__xludf.DUMMYFUNCTION("""COMPUTED_VALUE"""),0.6975578703713836)</f>
        <v>0.6975578704</v>
      </c>
      <c r="D22012" s="4">
        <f>IFERROR(__xludf.DUMMYFUNCTION("""COMPUTED_VALUE"""),12.926855)</f>
        <v>12.926855</v>
      </c>
      <c r="E22012" s="4">
        <f>IFERROR(__xludf.DUMMYFUNCTION("""COMPUTED_VALUE"""),80.117928)</f>
        <v>80.117928</v>
      </c>
      <c r="F22012" s="4">
        <f>IFERROR(__xludf.DUMMYFUNCTION("""COMPUTED_VALUE"""),805.0)</f>
        <v>805</v>
      </c>
      <c r="G22012" s="4">
        <f>IFERROR(__xludf.DUMMYFUNCTION("""COMPUTED_VALUE"""),28.0)</f>
        <v>28</v>
      </c>
      <c r="H22012" s="4"/>
      <c r="I22012" s="4"/>
    </row>
    <row r="22013">
      <c r="A22013" s="4" t="str">
        <f>IFERROR(__xludf.DUMMYFUNCTION("""COMPUTED_VALUE"""),"cas_hmw")</f>
        <v>cas_hmw</v>
      </c>
      <c r="B22013" s="5">
        <f>IFERROR(__xludf.DUMMYFUNCTION("""COMPUTED_VALUE"""),44788.0)</f>
        <v>44788</v>
      </c>
      <c r="C22013" s="6">
        <f>IFERROR(__xludf.DUMMYFUNCTION("""COMPUTED_VALUE"""),0.6977430555562023)</f>
        <v>0.6977430556</v>
      </c>
      <c r="D22013" s="4">
        <f>IFERROR(__xludf.DUMMYFUNCTION("""COMPUTED_VALUE"""),12.819204)</f>
        <v>12.819204</v>
      </c>
      <c r="E22013" s="4">
        <f>IFERROR(__xludf.DUMMYFUNCTION("""COMPUTED_VALUE"""),80.036259)</f>
        <v>80.036259</v>
      </c>
      <c r="F22013" s="4">
        <f>IFERROR(__xludf.DUMMYFUNCTION("""COMPUTED_VALUE"""),2846.0)</f>
        <v>2846</v>
      </c>
      <c r="G22013" s="4">
        <f>IFERROR(__xludf.DUMMYFUNCTION("""COMPUTED_VALUE"""),38.0)</f>
        <v>38</v>
      </c>
      <c r="H22013" s="4"/>
      <c r="I22013" s="4"/>
    </row>
    <row r="22014">
      <c r="A22014" s="4" t="str">
        <f>IFERROR(__xludf.DUMMYFUNCTION("""COMPUTED_VALUE"""),"cas_hmw")</f>
        <v>cas_hmw</v>
      </c>
      <c r="B22014" s="5">
        <f>IFERROR(__xludf.DUMMYFUNCTION("""COMPUTED_VALUE"""),44788.0)</f>
        <v>44788</v>
      </c>
      <c r="C22014" s="6">
        <f>IFERROR(__xludf.DUMMYFUNCTION("""COMPUTED_VALUE"""),0.698101851852698)</f>
        <v>0.6981018519</v>
      </c>
      <c r="D22014" s="4">
        <f>IFERROR(__xludf.DUMMYFUNCTION("""COMPUTED_VALUE"""),12.816044)</f>
        <v>12.816044</v>
      </c>
      <c r="E22014" s="4">
        <f>IFERROR(__xludf.DUMMYFUNCTION("""COMPUTED_VALUE"""),80.034017)</f>
        <v>80.034017</v>
      </c>
      <c r="F22014" s="4">
        <f>IFERROR(__xludf.DUMMYFUNCTION("""COMPUTED_VALUE"""),2846.0)</f>
        <v>2846</v>
      </c>
      <c r="G22014" s="4">
        <f>IFERROR(__xludf.DUMMYFUNCTION("""COMPUTED_VALUE"""),59.0)</f>
        <v>59</v>
      </c>
      <c r="H22014" s="4"/>
      <c r="I22014" s="4"/>
    </row>
    <row r="22015">
      <c r="A22015" s="4" t="str">
        <f>IFERROR(__xludf.DUMMYFUNCTION("""COMPUTED_VALUE"""),"cas_hmw")</f>
        <v>cas_hmw</v>
      </c>
      <c r="B22015" s="5">
        <f>IFERROR(__xludf.DUMMYFUNCTION("""COMPUTED_VALUE"""),44788.0)</f>
        <v>44788</v>
      </c>
      <c r="C22015" s="6">
        <f>IFERROR(__xludf.DUMMYFUNCTION("""COMPUTED_VALUE"""),0.698275462964375)</f>
        <v>0.698275463</v>
      </c>
      <c r="D22015" s="4">
        <f>IFERROR(__xludf.DUMMYFUNCTION("""COMPUTED_VALUE"""),12.81413)</f>
        <v>12.81413</v>
      </c>
      <c r="E22015" s="4">
        <f>IFERROR(__xludf.DUMMYFUNCTION("""COMPUTED_VALUE"""),80.032658)</f>
        <v>80.032658</v>
      </c>
      <c r="F22015" s="4">
        <f>IFERROR(__xludf.DUMMYFUNCTION("""COMPUTED_VALUE"""),2846.0)</f>
        <v>2846</v>
      </c>
      <c r="G22015" s="4">
        <f>IFERROR(__xludf.DUMMYFUNCTION("""COMPUTED_VALUE"""),57.0)</f>
        <v>57</v>
      </c>
      <c r="H22015" s="4"/>
      <c r="I22015" s="4"/>
    </row>
    <row r="22016">
      <c r="A22016" s="4" t="str">
        <f>IFERROR(__xludf.DUMMYFUNCTION("""COMPUTED_VALUE"""),"cas_hmw")</f>
        <v>cas_hmw</v>
      </c>
      <c r="B22016" s="5">
        <f>IFERROR(__xludf.DUMMYFUNCTION("""COMPUTED_VALUE"""),44788.0)</f>
        <v>44788</v>
      </c>
      <c r="C22016" s="6">
        <f>IFERROR(__xludf.DUMMYFUNCTION("""COMPUTED_VALUE"""),0.6983217592605797)</f>
        <v>0.6983217593</v>
      </c>
      <c r="D22016" s="4">
        <f>IFERROR(__xludf.DUMMYFUNCTION("""COMPUTED_VALUE"""),12.925728)</f>
        <v>12.925728</v>
      </c>
      <c r="E22016" s="4">
        <f>IFERROR(__xludf.DUMMYFUNCTION("""COMPUTED_VALUE"""),80.116826)</f>
        <v>80.116826</v>
      </c>
      <c r="F22016" s="4">
        <f>IFERROR(__xludf.DUMMYFUNCTION("""COMPUTED_VALUE"""),5339.0)</f>
        <v>5339</v>
      </c>
      <c r="G22016" s="4">
        <f>IFERROR(__xludf.DUMMYFUNCTION("""COMPUTED_VALUE"""),58.0)</f>
        <v>58</v>
      </c>
      <c r="H22016" s="4"/>
      <c r="I22016" s="4"/>
    </row>
    <row r="22017">
      <c r="A22017" s="4" t="str">
        <f>IFERROR(__xludf.DUMMYFUNCTION("""COMPUTED_VALUE"""),"cas_hmw")</f>
        <v>cas_hmw</v>
      </c>
      <c r="B22017" s="5">
        <f>IFERROR(__xludf.DUMMYFUNCTION("""COMPUTED_VALUE"""),44788.0)</f>
        <v>44788</v>
      </c>
      <c r="C22017" s="6">
        <f>IFERROR(__xludf.DUMMYFUNCTION("""COMPUTED_VALUE"""),0.6983564814800047)</f>
        <v>0.6983564815</v>
      </c>
      <c r="D22017" s="4">
        <f>IFERROR(__xludf.DUMMYFUNCTION("""COMPUTED_VALUE"""),12.929756)</f>
        <v>12.929756</v>
      </c>
      <c r="E22017" s="4">
        <f>IFERROR(__xludf.DUMMYFUNCTION("""COMPUTED_VALUE"""),80.120827)</f>
        <v>80.120827</v>
      </c>
      <c r="F22017" s="4">
        <f>IFERROR(__xludf.DUMMYFUNCTION("""COMPUTED_VALUE"""),805.0)</f>
        <v>805</v>
      </c>
      <c r="G22017" s="4">
        <f>IFERROR(__xludf.DUMMYFUNCTION("""COMPUTED_VALUE"""),1.0)</f>
        <v>1</v>
      </c>
      <c r="H22017" s="4"/>
      <c r="I22017" s="4"/>
    </row>
    <row r="22018">
      <c r="A22018" s="4" t="str">
        <f>IFERROR(__xludf.DUMMYFUNCTION("""COMPUTED_VALUE"""),"cas_hmw")</f>
        <v>cas_hmw</v>
      </c>
      <c r="B22018" s="5">
        <f>IFERROR(__xludf.DUMMYFUNCTION("""COMPUTED_VALUE"""),44788.0)</f>
        <v>44788</v>
      </c>
      <c r="C22018" s="6">
        <f>IFERROR(__xludf.DUMMYFUNCTION("""COMPUTED_VALUE"""),0.6983564814800047)</f>
        <v>0.6983564815</v>
      </c>
      <c r="D22018" s="4">
        <f>IFERROR(__xludf.DUMMYFUNCTION("""COMPUTED_VALUE"""),12.929756)</f>
        <v>12.929756</v>
      </c>
      <c r="E22018" s="4">
        <f>IFERROR(__xludf.DUMMYFUNCTION("""COMPUTED_VALUE"""),80.120827)</f>
        <v>80.120827</v>
      </c>
      <c r="F22018" s="4">
        <f>IFERROR(__xludf.DUMMYFUNCTION("""COMPUTED_VALUE"""),805.0)</f>
        <v>805</v>
      </c>
      <c r="G22018" s="4">
        <f>IFERROR(__xludf.DUMMYFUNCTION("""COMPUTED_VALUE"""),1.0)</f>
        <v>1</v>
      </c>
      <c r="H22018" s="4"/>
      <c r="I22018" s="4"/>
    </row>
    <row r="22019">
      <c r="A22019" s="4" t="str">
        <f>IFERROR(__xludf.DUMMYFUNCTION("""COMPUTED_VALUE"""),"cas_hmw")</f>
        <v>cas_hmw</v>
      </c>
      <c r="B22019" s="5">
        <f>IFERROR(__xludf.DUMMYFUNCTION("""COMPUTED_VALUE"""),44788.0)</f>
        <v>44788</v>
      </c>
      <c r="C22019" s="6">
        <f>IFERROR(__xludf.DUMMYFUNCTION("""COMPUTED_VALUE"""),0.6985069444453984)</f>
        <v>0.6985069444</v>
      </c>
      <c r="D22019" s="4">
        <f>IFERROR(__xludf.DUMMYFUNCTION("""COMPUTED_VALUE"""),12.93)</f>
        <v>12.93</v>
      </c>
      <c r="E22019" s="4">
        <f>IFERROR(__xludf.DUMMYFUNCTION("""COMPUTED_VALUE"""),80.121057)</f>
        <v>80.121057</v>
      </c>
      <c r="F22019" s="4">
        <f>IFERROR(__xludf.DUMMYFUNCTION("""COMPUTED_VALUE"""),805.0)</f>
        <v>805</v>
      </c>
      <c r="G22019" s="4">
        <f>IFERROR(__xludf.DUMMYFUNCTION("""COMPUTED_VALUE"""),14.0)</f>
        <v>14</v>
      </c>
      <c r="H22019" s="4"/>
      <c r="I22019" s="4"/>
    </row>
    <row r="22020">
      <c r="A22020" s="4" t="str">
        <f>IFERROR(__xludf.DUMMYFUNCTION("""COMPUTED_VALUE"""),"cas_hmw")</f>
        <v>cas_hmw</v>
      </c>
      <c r="B22020" s="5">
        <f>IFERROR(__xludf.DUMMYFUNCTION("""COMPUTED_VALUE"""),44788.0)</f>
        <v>44788</v>
      </c>
      <c r="C22020" s="6">
        <f>IFERROR(__xludf.DUMMYFUNCTION("""COMPUTED_VALUE"""),0.6989004629613191)</f>
        <v>0.698900463</v>
      </c>
      <c r="D22020" s="4">
        <f>IFERROR(__xludf.DUMMYFUNCTION("""COMPUTED_VALUE"""),12.92811)</f>
        <v>12.92811</v>
      </c>
      <c r="E22020" s="4">
        <f>IFERROR(__xludf.DUMMYFUNCTION("""COMPUTED_VALUE"""),80.119169)</f>
        <v>80.119169</v>
      </c>
      <c r="F22020" s="4">
        <f>IFERROR(__xludf.DUMMYFUNCTION("""COMPUTED_VALUE"""),5339.0)</f>
        <v>5339</v>
      </c>
      <c r="G22020" s="4">
        <f>IFERROR(__xludf.DUMMYFUNCTION("""COMPUTED_VALUE"""),33.0)</f>
        <v>33</v>
      </c>
      <c r="H22020" s="4"/>
      <c r="I22020" s="4"/>
    </row>
    <row r="22021">
      <c r="A22021" s="4" t="str">
        <f>IFERROR(__xludf.DUMMYFUNCTION("""COMPUTED_VALUE"""),"cas_hmw")</f>
        <v>cas_hmw</v>
      </c>
      <c r="B22021" s="5">
        <f>IFERROR(__xludf.DUMMYFUNCTION("""COMPUTED_VALUE"""),44788.0)</f>
        <v>44788</v>
      </c>
      <c r="C22021" s="6">
        <f>IFERROR(__xludf.DUMMYFUNCTION("""COMPUTED_VALUE"""),0.6991319444459805)</f>
        <v>0.6991319444</v>
      </c>
      <c r="D22021" s="4">
        <f>IFERROR(__xludf.DUMMYFUNCTION("""COMPUTED_VALUE"""),12.932466)</f>
        <v>12.932466</v>
      </c>
      <c r="E22021" s="4">
        <f>IFERROR(__xludf.DUMMYFUNCTION("""COMPUTED_VALUE"""),80.123551)</f>
        <v>80.123551</v>
      </c>
      <c r="F22021" s="4">
        <f>IFERROR(__xludf.DUMMYFUNCTION("""COMPUTED_VALUE"""),805.0)</f>
        <v>805</v>
      </c>
      <c r="G22021" s="4">
        <f>IFERROR(__xludf.DUMMYFUNCTION("""COMPUTED_VALUE"""),43.0)</f>
        <v>43</v>
      </c>
      <c r="H22021" s="4"/>
      <c r="I22021" s="4"/>
    </row>
    <row r="22022">
      <c r="A22022" s="4" t="str">
        <f>IFERROR(__xludf.DUMMYFUNCTION("""COMPUTED_VALUE"""),"cas_hmw")</f>
        <v>cas_hmw</v>
      </c>
      <c r="B22022" s="5">
        <f>IFERROR(__xludf.DUMMYFUNCTION("""COMPUTED_VALUE"""),44788.0)</f>
        <v>44788</v>
      </c>
      <c r="C22022" s="6">
        <f>IFERROR(__xludf.DUMMYFUNCTION("""COMPUTED_VALUE"""),0.7002546296280343)</f>
        <v>0.7002546296</v>
      </c>
      <c r="D22022" s="4">
        <f>IFERROR(__xludf.DUMMYFUNCTION("""COMPUTED_VALUE"""),12.932235)</f>
        <v>12.932235</v>
      </c>
      <c r="E22022" s="4">
        <f>IFERROR(__xludf.DUMMYFUNCTION("""COMPUTED_VALUE"""),80.123358)</f>
        <v>80.123358</v>
      </c>
      <c r="F22022" s="4">
        <f>IFERROR(__xludf.DUMMYFUNCTION("""COMPUTED_VALUE"""),5339.0)</f>
        <v>5339</v>
      </c>
      <c r="G22022" s="4">
        <f>IFERROR(__xludf.DUMMYFUNCTION("""COMPUTED_VALUE"""),30.0)</f>
        <v>30</v>
      </c>
      <c r="H22022" s="4"/>
      <c r="I22022" s="4"/>
    </row>
    <row r="22023">
      <c r="A22023" s="4" t="str">
        <f>IFERROR(__xludf.DUMMYFUNCTION("""COMPUTED_VALUE"""),"cas_hmw")</f>
        <v>cas_hmw</v>
      </c>
      <c r="B22023" s="5">
        <f>IFERROR(__xludf.DUMMYFUNCTION("""COMPUTED_VALUE"""),44788.0)</f>
        <v>44788</v>
      </c>
      <c r="C22023" s="6">
        <f>IFERROR(__xludf.DUMMYFUNCTION("""COMPUTED_VALUE"""),0.7005671296283253)</f>
        <v>0.7005671296</v>
      </c>
      <c r="D22023" s="4">
        <f>IFERROR(__xludf.DUMMYFUNCTION("""COMPUTED_VALUE"""),12.936618)</f>
        <v>12.936618</v>
      </c>
      <c r="E22023" s="4">
        <f>IFERROR(__xludf.DUMMYFUNCTION("""COMPUTED_VALUE"""),80.127416)</f>
        <v>80.127416</v>
      </c>
      <c r="F22023" s="4">
        <f>IFERROR(__xludf.DUMMYFUNCTION("""COMPUTED_VALUE"""),805.0)</f>
        <v>805</v>
      </c>
      <c r="G22023" s="4">
        <f>IFERROR(__xludf.DUMMYFUNCTION("""COMPUTED_VALUE"""),24.0)</f>
        <v>24</v>
      </c>
      <c r="H22023" s="4"/>
      <c r="I22023" s="4"/>
    </row>
    <row r="22024">
      <c r="A22024" s="4" t="str">
        <f>IFERROR(__xludf.DUMMYFUNCTION("""COMPUTED_VALUE"""),"cas_hmw")</f>
        <v>cas_hmw</v>
      </c>
      <c r="B22024" s="5">
        <f>IFERROR(__xludf.DUMMYFUNCTION("""COMPUTED_VALUE"""),44788.0)</f>
        <v>44788</v>
      </c>
      <c r="C22024" s="6">
        <f>IFERROR(__xludf.DUMMYFUNCTION("""COMPUTED_VALUE"""),0.70061342592453)</f>
        <v>0.7006134259</v>
      </c>
      <c r="D22024" s="4">
        <f>IFERROR(__xludf.DUMMYFUNCTION("""COMPUTED_VALUE"""),12.93776)</f>
        <v>12.93776</v>
      </c>
      <c r="E22024" s="4">
        <f>IFERROR(__xludf.DUMMYFUNCTION("""COMPUTED_VALUE"""),80.128448)</f>
        <v>80.128448</v>
      </c>
      <c r="F22024" s="4">
        <f>IFERROR(__xludf.DUMMYFUNCTION("""COMPUTED_VALUE"""),805.0)</f>
        <v>805</v>
      </c>
      <c r="G22024" s="4">
        <f>IFERROR(__xludf.DUMMYFUNCTION("""COMPUTED_VALUE"""),51.0)</f>
        <v>51</v>
      </c>
      <c r="H22024" s="4"/>
      <c r="I22024" s="4"/>
    </row>
    <row r="22025">
      <c r="A22025" s="4" t="str">
        <f>IFERROR(__xludf.DUMMYFUNCTION("""COMPUTED_VALUE"""),"cas_hmw")</f>
        <v>cas_hmw</v>
      </c>
      <c r="B22025" s="5">
        <f>IFERROR(__xludf.DUMMYFUNCTION("""COMPUTED_VALUE"""),44788.0)</f>
        <v>44788</v>
      </c>
      <c r="C22025" s="6">
        <f>IFERROR(__xludf.DUMMYFUNCTION("""COMPUTED_VALUE"""),0.7009722222210257)</f>
        <v>0.7009722222</v>
      </c>
      <c r="D22025" s="4">
        <f>IFERROR(__xludf.DUMMYFUNCTION("""COMPUTED_VALUE"""),12.941143)</f>
        <v>12.941143</v>
      </c>
      <c r="E22025" s="4">
        <f>IFERROR(__xludf.DUMMYFUNCTION("""COMPUTED_VALUE"""),80.131613)</f>
        <v>80.131613</v>
      </c>
      <c r="F22025" s="4">
        <f>IFERROR(__xludf.DUMMYFUNCTION("""COMPUTED_VALUE"""),805.0)</f>
        <v>805</v>
      </c>
      <c r="G22025" s="4">
        <f>IFERROR(__xludf.DUMMYFUNCTION("""COMPUTED_VALUE"""),58.0)</f>
        <v>58</v>
      </c>
      <c r="H22025" s="4"/>
      <c r="I22025" s="4"/>
    </row>
    <row r="22026">
      <c r="A22026" s="4" t="str">
        <f>IFERROR(__xludf.DUMMYFUNCTION("""COMPUTED_VALUE"""),"cas_hmw")</f>
        <v>cas_hmw</v>
      </c>
      <c r="B22026" s="5">
        <f>IFERROR(__xludf.DUMMYFUNCTION("""COMPUTED_VALUE"""),44788.0)</f>
        <v>44788</v>
      </c>
      <c r="C22026" s="6">
        <f>IFERROR(__xludf.DUMMYFUNCTION("""COMPUTED_VALUE"""),0.7012731481481751)</f>
        <v>0.7012731481</v>
      </c>
      <c r="D22026" s="4">
        <f>IFERROR(__xludf.DUMMYFUNCTION("""COMPUTED_VALUE"""),12.942703)</f>
        <v>12.942703</v>
      </c>
      <c r="E22026" s="4">
        <f>IFERROR(__xludf.DUMMYFUNCTION("""COMPUTED_VALUE"""),80.133228)</f>
        <v>80.133228</v>
      </c>
      <c r="F22026" s="4">
        <f>IFERROR(__xludf.DUMMYFUNCTION("""COMPUTED_VALUE"""),805.0)</f>
        <v>805</v>
      </c>
      <c r="G22026" s="4">
        <f>IFERROR(__xludf.DUMMYFUNCTION("""COMPUTED_VALUE"""),45.0)</f>
        <v>45</v>
      </c>
      <c r="H22026" s="4"/>
      <c r="I22026" s="4"/>
    </row>
    <row r="22027">
      <c r="A22027" s="4" t="str">
        <f>IFERROR(__xludf.DUMMYFUNCTION("""COMPUTED_VALUE"""),"cas_hmw")</f>
        <v>cas_hmw</v>
      </c>
      <c r="B22027" s="5">
        <f>IFERROR(__xludf.DUMMYFUNCTION("""COMPUTED_VALUE"""),44788.0)</f>
        <v>44788</v>
      </c>
      <c r="C22027" s="6">
        <f>IFERROR(__xludf.DUMMYFUNCTION("""COMPUTED_VALUE"""),0.7016666666677338)</f>
        <v>0.7016666667</v>
      </c>
      <c r="D22027" s="4">
        <f>IFERROR(__xludf.DUMMYFUNCTION("""COMPUTED_VALUE"""),12.936232)</f>
        <v>12.936232</v>
      </c>
      <c r="E22027" s="4">
        <f>IFERROR(__xludf.DUMMYFUNCTION("""COMPUTED_VALUE"""),80.127165)</f>
        <v>80.127165</v>
      </c>
      <c r="F22027" s="4">
        <f>IFERROR(__xludf.DUMMYFUNCTION("""COMPUTED_VALUE"""),5339.0)</f>
        <v>5339</v>
      </c>
      <c r="G22027" s="4">
        <f>IFERROR(__xludf.DUMMYFUNCTION("""COMPUTED_VALUE"""),28.0)</f>
        <v>28</v>
      </c>
      <c r="H22027" s="4"/>
      <c r="I22027" s="4"/>
    </row>
    <row r="22028">
      <c r="A22028" s="4" t="str">
        <f>IFERROR(__xludf.DUMMYFUNCTION("""COMPUTED_VALUE"""),"cas_hmw")</f>
        <v>cas_hmw</v>
      </c>
      <c r="B22028" s="5">
        <f>IFERROR(__xludf.DUMMYFUNCTION("""COMPUTED_VALUE"""),44788.0)</f>
        <v>44788</v>
      </c>
      <c r="C22028" s="6">
        <f>IFERROR(__xludf.DUMMYFUNCTION("""COMPUTED_VALUE"""),0.7017129629639385)</f>
        <v>0.701712963</v>
      </c>
      <c r="D22028" s="4">
        <f>IFERROR(__xludf.DUMMYFUNCTION("""COMPUTED_VALUE"""),12.946724)</f>
        <v>12.946724</v>
      </c>
      <c r="E22028" s="4">
        <f>IFERROR(__xludf.DUMMYFUNCTION("""COMPUTED_VALUE"""),80.136582)</f>
        <v>80.136582</v>
      </c>
      <c r="F22028" s="4">
        <f>IFERROR(__xludf.DUMMYFUNCTION("""COMPUTED_VALUE"""),805.0)</f>
        <v>805</v>
      </c>
      <c r="G22028" s="4">
        <f>IFERROR(__xludf.DUMMYFUNCTION("""COMPUTED_VALUE"""),51.0)</f>
        <v>51</v>
      </c>
      <c r="H22028" s="4"/>
      <c r="I22028" s="4"/>
    </row>
    <row r="22029">
      <c r="A22029" s="4" t="str">
        <f>IFERROR(__xludf.DUMMYFUNCTION("""COMPUTED_VALUE"""),"cas_hmw")</f>
        <v>cas_hmw</v>
      </c>
      <c r="B22029" s="5">
        <f>IFERROR(__xludf.DUMMYFUNCTION("""COMPUTED_VALUE"""),44788.0)</f>
        <v>44788</v>
      </c>
      <c r="C22029" s="6">
        <f>IFERROR(__xludf.DUMMYFUNCTION("""COMPUTED_VALUE"""),0.7017939814832062)</f>
        <v>0.7017939815</v>
      </c>
      <c r="D22029" s="4">
        <f>IFERROR(__xludf.DUMMYFUNCTION("""COMPUTED_VALUE"""),12.946724)</f>
        <v>12.946724</v>
      </c>
      <c r="E22029" s="4">
        <f>IFERROR(__xludf.DUMMYFUNCTION("""COMPUTED_VALUE"""),80.136582)</f>
        <v>80.136582</v>
      </c>
      <c r="F22029" s="4">
        <f>IFERROR(__xludf.DUMMYFUNCTION("""COMPUTED_VALUE"""),805.0)</f>
        <v>805</v>
      </c>
      <c r="G22029" s="4">
        <f>IFERROR(__xludf.DUMMYFUNCTION("""COMPUTED_VALUE"""),51.0)</f>
        <v>51</v>
      </c>
      <c r="H22029" s="4"/>
      <c r="I22029" s="4"/>
    </row>
    <row r="22030">
      <c r="A22030" s="4" t="str">
        <f>IFERROR(__xludf.DUMMYFUNCTION("""COMPUTED_VALUE"""),"cas_hmw")</f>
        <v>cas_hmw</v>
      </c>
      <c r="B22030" s="5">
        <f>IFERROR(__xludf.DUMMYFUNCTION("""COMPUTED_VALUE"""),44788.0)</f>
        <v>44788</v>
      </c>
      <c r="C22030" s="6">
        <f>IFERROR(__xludf.DUMMYFUNCTION("""COMPUTED_VALUE"""),0.7024074074070086)</f>
        <v>0.7024074074</v>
      </c>
      <c r="D22030" s="4">
        <f>IFERROR(__xludf.DUMMYFUNCTION("""COMPUTED_VALUE"""),12.772456)</f>
        <v>12.772456</v>
      </c>
      <c r="E22030" s="4">
        <f>IFERROR(__xludf.DUMMYFUNCTION("""COMPUTED_VALUE"""),80.008442)</f>
        <v>80.008442</v>
      </c>
      <c r="F22030" s="4">
        <f>IFERROR(__xludf.DUMMYFUNCTION("""COMPUTED_VALUE"""),2846.0)</f>
        <v>2846</v>
      </c>
      <c r="G22030" s="4">
        <f>IFERROR(__xludf.DUMMYFUNCTION("""COMPUTED_VALUE"""),57.0)</f>
        <v>57</v>
      </c>
      <c r="H22030" s="4"/>
      <c r="I22030" s="4"/>
    </row>
    <row r="22031">
      <c r="A22031" s="4" t="str">
        <f>IFERROR(__xludf.DUMMYFUNCTION("""COMPUTED_VALUE"""),"cas_hmw")</f>
        <v>cas_hmw</v>
      </c>
      <c r="B22031" s="5">
        <f>IFERROR(__xludf.DUMMYFUNCTION("""COMPUTED_VALUE"""),44788.0)</f>
        <v>44788</v>
      </c>
      <c r="C22031" s="6">
        <f>IFERROR(__xludf.DUMMYFUNCTION("""COMPUTED_VALUE"""),0.7024999999994179)</f>
        <v>0.7025</v>
      </c>
      <c r="D22031" s="4">
        <f>IFERROR(__xludf.DUMMYFUNCTION("""COMPUTED_VALUE"""),12.77039)</f>
        <v>12.77039</v>
      </c>
      <c r="E22031" s="4">
        <f>IFERROR(__xludf.DUMMYFUNCTION("""COMPUTED_VALUE"""),80.007491)</f>
        <v>80.007491</v>
      </c>
      <c r="F22031" s="4">
        <f>IFERROR(__xludf.DUMMYFUNCTION("""COMPUTED_VALUE"""),2846.0)</f>
        <v>2846</v>
      </c>
      <c r="G22031" s="4">
        <f>IFERROR(__xludf.DUMMYFUNCTION("""COMPUTED_VALUE"""),53.0)</f>
        <v>53</v>
      </c>
      <c r="H22031" s="4"/>
      <c r="I22031" s="4"/>
    </row>
    <row r="22032">
      <c r="A22032" s="4" t="str">
        <f>IFERROR(__xludf.DUMMYFUNCTION("""COMPUTED_VALUE"""),"cas_hmw")</f>
        <v>cas_hmw</v>
      </c>
      <c r="B22032" s="5">
        <f>IFERROR(__xludf.DUMMYFUNCTION("""COMPUTED_VALUE"""),44788.0)</f>
        <v>44788</v>
      </c>
      <c r="C22032" s="6">
        <f>IFERROR(__xludf.DUMMYFUNCTION("""COMPUTED_VALUE"""),0.7030324074075907)</f>
        <v>0.7030324074</v>
      </c>
      <c r="D22032" s="4">
        <f>IFERROR(__xludf.DUMMYFUNCTION("""COMPUTED_VALUE"""),12.947783)</f>
        <v>12.947783</v>
      </c>
      <c r="E22032" s="4">
        <f>IFERROR(__xludf.DUMMYFUNCTION("""COMPUTED_VALUE"""),80.137382)</f>
        <v>80.137382</v>
      </c>
      <c r="F22032" s="4">
        <f>IFERROR(__xludf.DUMMYFUNCTION("""COMPUTED_VALUE"""),5339.0)</f>
        <v>5339</v>
      </c>
      <c r="G22032" s="4">
        <f>IFERROR(__xludf.DUMMYFUNCTION("""COMPUTED_VALUE"""),43.0)</f>
        <v>43</v>
      </c>
      <c r="H22032" s="4"/>
      <c r="I22032" s="4"/>
    </row>
    <row r="22033">
      <c r="A22033" s="4" t="str">
        <f>IFERROR(__xludf.DUMMYFUNCTION("""COMPUTED_VALUE"""),"cas_hmw")</f>
        <v>cas_hmw</v>
      </c>
      <c r="B22033" s="5">
        <f>IFERROR(__xludf.DUMMYFUNCTION("""COMPUTED_VALUE"""),44788.0)</f>
        <v>44788</v>
      </c>
      <c r="C22033" s="6">
        <f>IFERROR(__xludf.DUMMYFUNCTION("""COMPUTED_VALUE"""),0.7031712962962047)</f>
        <v>0.7031712963</v>
      </c>
      <c r="D22033" s="4">
        <f>IFERROR(__xludf.DUMMYFUNCTION("""COMPUTED_VALUE"""),12.952131)</f>
        <v>12.952131</v>
      </c>
      <c r="E22033" s="4">
        <f>IFERROR(__xludf.DUMMYFUNCTION("""COMPUTED_VALUE"""),80.14071)</f>
        <v>80.14071</v>
      </c>
      <c r="F22033" s="4">
        <f>IFERROR(__xludf.DUMMYFUNCTION("""COMPUTED_VALUE"""),805.0)</f>
        <v>805</v>
      </c>
      <c r="G22033" s="4">
        <f>IFERROR(__xludf.DUMMYFUNCTION("""COMPUTED_VALUE"""),32.0)</f>
        <v>32</v>
      </c>
      <c r="H22033" s="4"/>
      <c r="I22033" s="4"/>
    </row>
    <row r="22034">
      <c r="A22034" s="4" t="str">
        <f>IFERROR(__xludf.DUMMYFUNCTION("""COMPUTED_VALUE"""),"cas_hmw")</f>
        <v>cas_hmw</v>
      </c>
      <c r="B22034" s="5">
        <f>IFERROR(__xludf.DUMMYFUNCTION("""COMPUTED_VALUE"""),44788.0)</f>
        <v>44788</v>
      </c>
      <c r="C22034" s="6">
        <f>IFERROR(__xludf.DUMMYFUNCTION("""COMPUTED_VALUE"""),0.703368055554165)</f>
        <v>0.7033680556</v>
      </c>
      <c r="D22034" s="4">
        <f>IFERROR(__xludf.DUMMYFUNCTION("""COMPUTED_VALUE"""),12.953576)</f>
        <v>12.953576</v>
      </c>
      <c r="E22034" s="4">
        <f>IFERROR(__xludf.DUMMYFUNCTION("""COMPUTED_VALUE"""),80.141698)</f>
        <v>80.141698</v>
      </c>
      <c r="F22034" s="4">
        <f>IFERROR(__xludf.DUMMYFUNCTION("""COMPUTED_VALUE"""),805.0)</f>
        <v>805</v>
      </c>
      <c r="G22034" s="4">
        <f>IFERROR(__xludf.DUMMYFUNCTION("""COMPUTED_VALUE"""),53.0)</f>
        <v>53</v>
      </c>
      <c r="H22034" s="4"/>
      <c r="I22034" s="4"/>
    </row>
    <row r="22035">
      <c r="A22035" s="4" t="str">
        <f>IFERROR(__xludf.DUMMYFUNCTION("""COMPUTED_VALUE"""),"cas_hmw")</f>
        <v>cas_hmw</v>
      </c>
      <c r="B22035" s="5">
        <f>IFERROR(__xludf.DUMMYFUNCTION("""COMPUTED_VALUE"""),44788.0)</f>
        <v>44788</v>
      </c>
      <c r="C22035" s="6">
        <f>IFERROR(__xludf.DUMMYFUNCTION("""COMPUTED_VALUE"""),0.7047685185170849)</f>
        <v>0.7047685185</v>
      </c>
      <c r="D22035" s="4">
        <f>IFERROR(__xludf.DUMMYFUNCTION("""COMPUTED_VALUE"""),12.960518)</f>
        <v>12.960518</v>
      </c>
      <c r="E22035" s="4">
        <f>IFERROR(__xludf.DUMMYFUNCTION("""COMPUTED_VALUE"""),80.145205)</f>
        <v>80.145205</v>
      </c>
      <c r="F22035" s="4">
        <f>IFERROR(__xludf.DUMMYFUNCTION("""COMPUTED_VALUE"""),805.0)</f>
        <v>805</v>
      </c>
      <c r="G22035" s="4">
        <f>IFERROR(__xludf.DUMMYFUNCTION("""COMPUTED_VALUE"""),21.0)</f>
        <v>21</v>
      </c>
      <c r="H22035" s="4"/>
      <c r="I22035" s="4"/>
    </row>
    <row r="22036">
      <c r="A22036" s="4" t="str">
        <f>IFERROR(__xludf.DUMMYFUNCTION("""COMPUTED_VALUE"""),"cas_hmw")</f>
        <v>cas_hmw</v>
      </c>
      <c r="B22036" s="5">
        <f>IFERROR(__xludf.DUMMYFUNCTION("""COMPUTED_VALUE"""),44788.0)</f>
        <v>44788</v>
      </c>
      <c r="C22036" s="6">
        <f>IFERROR(__xludf.DUMMYFUNCTION("""COMPUTED_VALUE"""),0.7049305555556202)</f>
        <v>0.7049305556</v>
      </c>
      <c r="D22036" s="4">
        <f>IFERROR(__xludf.DUMMYFUNCTION("""COMPUTED_VALUE"""),12.96193)</f>
        <v>12.96193</v>
      </c>
      <c r="E22036" s="4">
        <f>IFERROR(__xludf.DUMMYFUNCTION("""COMPUTED_VALUE"""),80.146016)</f>
        <v>80.146016</v>
      </c>
      <c r="F22036" s="4">
        <f>IFERROR(__xludf.DUMMYFUNCTION("""COMPUTED_VALUE"""),805.0)</f>
        <v>805</v>
      </c>
      <c r="G22036" s="4">
        <f>IFERROR(__xludf.DUMMYFUNCTION("""COMPUTED_VALUE"""),54.0)</f>
        <v>54</v>
      </c>
      <c r="H22036" s="4"/>
      <c r="I22036" s="4"/>
    </row>
    <row r="22037">
      <c r="A22037" s="4" t="str">
        <f>IFERROR(__xludf.DUMMYFUNCTION("""COMPUTED_VALUE"""),"cas_hmw")</f>
        <v>cas_hmw</v>
      </c>
      <c r="B22037" s="5">
        <f>IFERROR(__xludf.DUMMYFUNCTION("""COMPUTED_VALUE"""),44788.0)</f>
        <v>44788</v>
      </c>
      <c r="C22037" s="6">
        <f>IFERROR(__xludf.DUMMYFUNCTION("""COMPUTED_VALUE"""),0.7052430555559113)</f>
        <v>0.7052430556</v>
      </c>
      <c r="D22037" s="4">
        <f>IFERROR(__xludf.DUMMYFUNCTION("""COMPUTED_VALUE"""),12.956362)</f>
        <v>12.956362</v>
      </c>
      <c r="E22037" s="4">
        <f>IFERROR(__xludf.DUMMYFUNCTION("""COMPUTED_VALUE"""),80.143212)</f>
        <v>80.143212</v>
      </c>
      <c r="F22037" s="4">
        <f>IFERROR(__xludf.DUMMYFUNCTION("""COMPUTED_VALUE"""),5339.0)</f>
        <v>5339</v>
      </c>
      <c r="G22037" s="4">
        <f>IFERROR(__xludf.DUMMYFUNCTION("""COMPUTED_VALUE"""),21.0)</f>
        <v>21</v>
      </c>
      <c r="H22037" s="4"/>
      <c r="I22037" s="4"/>
    </row>
    <row r="22038">
      <c r="A22038" s="4" t="str">
        <f>IFERROR(__xludf.DUMMYFUNCTION("""COMPUTED_VALUE"""),"cas_hmw")</f>
        <v>cas_hmw</v>
      </c>
      <c r="B22038" s="5">
        <f>IFERROR(__xludf.DUMMYFUNCTION("""COMPUTED_VALUE"""),44788.0)</f>
        <v>44788</v>
      </c>
      <c r="C22038" s="6">
        <f>IFERROR(__xludf.DUMMYFUNCTION("""COMPUTED_VALUE"""),0.7052662037021946)</f>
        <v>0.7052662037</v>
      </c>
      <c r="D22038" s="4">
        <f>IFERROR(__xludf.DUMMYFUNCTION("""COMPUTED_VALUE"""),12.956956)</f>
        <v>12.956956</v>
      </c>
      <c r="E22038" s="4">
        <f>IFERROR(__xludf.DUMMYFUNCTION("""COMPUTED_VALUE"""),80.143521)</f>
        <v>80.143521</v>
      </c>
      <c r="F22038" s="4">
        <f>IFERROR(__xludf.DUMMYFUNCTION("""COMPUTED_VALUE"""),5339.0)</f>
        <v>5339</v>
      </c>
      <c r="G22038" s="4">
        <f>IFERROR(__xludf.DUMMYFUNCTION("""COMPUTED_VALUE"""),26.0)</f>
        <v>26</v>
      </c>
      <c r="H22038" s="4"/>
      <c r="I22038" s="4"/>
    </row>
    <row r="22039">
      <c r="A22039" s="4" t="str">
        <f>IFERROR(__xludf.DUMMYFUNCTION("""COMPUTED_VALUE"""),"cas_hmw")</f>
        <v>cas_hmw</v>
      </c>
      <c r="B22039" s="5">
        <f>IFERROR(__xludf.DUMMYFUNCTION("""COMPUTED_VALUE"""),44788.0)</f>
        <v>44788</v>
      </c>
      <c r="C22039" s="6">
        <f>IFERROR(__xludf.DUMMYFUNCTION("""COMPUTED_VALUE"""),0.7062499999992724)</f>
        <v>0.70625</v>
      </c>
      <c r="D22039" s="4">
        <f>IFERROR(__xludf.DUMMYFUNCTION("""COMPUTED_VALUE"""),12.973508)</f>
        <v>12.973508</v>
      </c>
      <c r="E22039" s="4">
        <f>IFERROR(__xludf.DUMMYFUNCTION("""COMPUTED_VALUE"""),80.153351)</f>
        <v>80.153351</v>
      </c>
      <c r="F22039" s="4">
        <f>IFERROR(__xludf.DUMMYFUNCTION("""COMPUTED_VALUE"""),805.0)</f>
        <v>805</v>
      </c>
      <c r="G22039" s="4">
        <f>IFERROR(__xludf.DUMMYFUNCTION("""COMPUTED_VALUE"""),58.0)</f>
        <v>58</v>
      </c>
      <c r="H22039" s="4"/>
      <c r="I22039" s="4"/>
    </row>
    <row r="22040">
      <c r="A22040" s="4" t="str">
        <f>IFERROR(__xludf.DUMMYFUNCTION("""COMPUTED_VALUE"""),"cas_hmw")</f>
        <v>cas_hmw</v>
      </c>
      <c r="B22040" s="5">
        <f>IFERROR(__xludf.DUMMYFUNCTION("""COMPUTED_VALUE"""),44788.0)</f>
        <v>44788</v>
      </c>
      <c r="C22040" s="6">
        <f>IFERROR(__xludf.DUMMYFUNCTION("""COMPUTED_VALUE"""),0.7067129629613191)</f>
        <v>0.706712963</v>
      </c>
      <c r="D22040" s="4">
        <f>IFERROR(__xludf.DUMMYFUNCTION("""COMPUTED_VALUE"""),12.733166)</f>
        <v>12.733166</v>
      </c>
      <c r="E22040" s="4">
        <f>IFERROR(__xludf.DUMMYFUNCTION("""COMPUTED_VALUE"""),79.98372)</f>
        <v>79.98372</v>
      </c>
      <c r="F22040" s="4">
        <f>IFERROR(__xludf.DUMMYFUNCTION("""COMPUTED_VALUE"""),2846.0)</f>
        <v>2846</v>
      </c>
      <c r="G22040" s="4">
        <f>IFERROR(__xludf.DUMMYFUNCTION("""COMPUTED_VALUE"""),55.0)</f>
        <v>55</v>
      </c>
      <c r="H22040" s="4"/>
      <c r="I22040" s="4"/>
    </row>
    <row r="22041">
      <c r="A22041" s="4" t="str">
        <f>IFERROR(__xludf.DUMMYFUNCTION("""COMPUTED_VALUE"""),"cas_hmw")</f>
        <v>cas_hmw</v>
      </c>
      <c r="B22041" s="5">
        <f>IFERROR(__xludf.DUMMYFUNCTION("""COMPUTED_VALUE"""),44788.0)</f>
        <v>44788</v>
      </c>
      <c r="C22041" s="6">
        <f>IFERROR(__xludf.DUMMYFUNCTION("""COMPUTED_VALUE"""),0.7071643518502242)</f>
        <v>0.7071643519</v>
      </c>
      <c r="D22041" s="4">
        <f>IFERROR(__xludf.DUMMYFUNCTION("""COMPUTED_VALUE"""),12.731095)</f>
        <v>12.731095</v>
      </c>
      <c r="E22041" s="4">
        <f>IFERROR(__xludf.DUMMYFUNCTION("""COMPUTED_VALUE"""),79.983065)</f>
        <v>79.983065</v>
      </c>
      <c r="F22041" s="4">
        <f>IFERROR(__xludf.DUMMYFUNCTION("""COMPUTED_VALUE"""),2846.0)</f>
        <v>2846</v>
      </c>
      <c r="G22041" s="4">
        <f>IFERROR(__xludf.DUMMYFUNCTION("""COMPUTED_VALUE"""),57.0)</f>
        <v>57</v>
      </c>
      <c r="H22041" s="4"/>
      <c r="I22041" s="4"/>
    </row>
    <row r="22042">
      <c r="A22042" s="4" t="str">
        <f>IFERROR(__xludf.DUMMYFUNCTION("""COMPUTED_VALUE"""),"cas_hmw")</f>
        <v>cas_hmw</v>
      </c>
      <c r="B22042" s="5">
        <f>IFERROR(__xludf.DUMMYFUNCTION("""COMPUTED_VALUE"""),44788.0)</f>
        <v>44788</v>
      </c>
      <c r="C22042" s="6">
        <f>IFERROR(__xludf.DUMMYFUNCTION("""COMPUTED_VALUE"""),0.7073726851849642)</f>
        <v>0.7073726852</v>
      </c>
      <c r="D22042" s="4">
        <f>IFERROR(__xludf.DUMMYFUNCTION("""COMPUTED_VALUE"""),12.96478)</f>
        <v>12.96478</v>
      </c>
      <c r="E22042" s="4">
        <f>IFERROR(__xludf.DUMMYFUNCTION("""COMPUTED_VALUE"""),80.147769)</f>
        <v>80.147769</v>
      </c>
      <c r="F22042" s="4">
        <f>IFERROR(__xludf.DUMMYFUNCTION("""COMPUTED_VALUE"""),5339.0)</f>
        <v>5339</v>
      </c>
      <c r="G22042" s="4">
        <f>IFERROR(__xludf.DUMMYFUNCTION("""COMPUTED_VALUE"""),47.0)</f>
        <v>47</v>
      </c>
      <c r="H22042" s="4"/>
      <c r="I22042" s="4"/>
    </row>
    <row r="22043">
      <c r="A22043" s="4" t="str">
        <f>IFERROR(__xludf.DUMMYFUNCTION("""COMPUTED_VALUE"""),"cas_hmw")</f>
        <v>cas_hmw</v>
      </c>
      <c r="B22043" s="5">
        <f>IFERROR(__xludf.DUMMYFUNCTION("""COMPUTED_VALUE"""),44788.0)</f>
        <v>44788</v>
      </c>
      <c r="C22043" s="6">
        <f>IFERROR(__xludf.DUMMYFUNCTION("""COMPUTED_VALUE"""),0.7077546296313812)</f>
        <v>0.7077546296</v>
      </c>
      <c r="D22043" s="4">
        <f>IFERROR(__xludf.DUMMYFUNCTION("""COMPUTED_VALUE"""),12.967682)</f>
        <v>12.967682</v>
      </c>
      <c r="E22043" s="4">
        <f>IFERROR(__xludf.DUMMYFUNCTION("""COMPUTED_VALUE"""),80.149261)</f>
        <v>80.149261</v>
      </c>
      <c r="F22043" s="4">
        <f>IFERROR(__xludf.DUMMYFUNCTION("""COMPUTED_VALUE"""),5339.0)</f>
        <v>5339</v>
      </c>
      <c r="G22043" s="4">
        <f>IFERROR(__xludf.DUMMYFUNCTION("""COMPUTED_VALUE"""),42.0)</f>
        <v>42</v>
      </c>
      <c r="H22043" s="4"/>
      <c r="I22043" s="4"/>
    </row>
    <row r="22044">
      <c r="A22044" s="4" t="str">
        <f>IFERROR(__xludf.DUMMYFUNCTION("""COMPUTED_VALUE"""),"cas_hmw")</f>
        <v>cas_hmw</v>
      </c>
      <c r="B22044" s="5">
        <f>IFERROR(__xludf.DUMMYFUNCTION("""COMPUTED_VALUE"""),44788.0)</f>
        <v>44788</v>
      </c>
      <c r="C22044" s="6">
        <f>IFERROR(__xludf.DUMMYFUNCTION("""COMPUTED_VALUE"""),0.7077546296313812)</f>
        <v>0.7077546296</v>
      </c>
      <c r="D22044" s="4">
        <f>IFERROR(__xludf.DUMMYFUNCTION("""COMPUTED_VALUE"""),12.983134)</f>
        <v>12.983134</v>
      </c>
      <c r="E22044" s="4">
        <f>IFERROR(__xludf.DUMMYFUNCTION("""COMPUTED_VALUE"""),80.169384)</f>
        <v>80.169384</v>
      </c>
      <c r="F22044" s="4">
        <f>IFERROR(__xludf.DUMMYFUNCTION("""COMPUTED_VALUE"""),805.0)</f>
        <v>805</v>
      </c>
      <c r="G22044" s="4">
        <f>IFERROR(__xludf.DUMMYFUNCTION("""COMPUTED_VALUE"""),58.0)</f>
        <v>58</v>
      </c>
      <c r="H22044" s="4"/>
      <c r="I22044" s="4"/>
    </row>
    <row r="22045">
      <c r="A22045" s="4" t="str">
        <f>IFERROR(__xludf.DUMMYFUNCTION("""COMPUTED_VALUE"""),"cas_hmw")</f>
        <v>cas_hmw</v>
      </c>
      <c r="B22045" s="5">
        <f>IFERROR(__xludf.DUMMYFUNCTION("""COMPUTED_VALUE"""),44788.0)</f>
        <v>44788</v>
      </c>
      <c r="C22045" s="6">
        <f>IFERROR(__xludf.DUMMYFUNCTION("""COMPUTED_VALUE"""),0.7081944444435067)</f>
        <v>0.7081944444</v>
      </c>
      <c r="D22045" s="4">
        <f>IFERROR(__xludf.DUMMYFUNCTION("""COMPUTED_VALUE"""),12.985284)</f>
        <v>12.985284</v>
      </c>
      <c r="E22045" s="4">
        <f>IFERROR(__xludf.DUMMYFUNCTION("""COMPUTED_VALUE"""),80.172944)</f>
        <v>80.172944</v>
      </c>
      <c r="F22045" s="4">
        <f>IFERROR(__xludf.DUMMYFUNCTION("""COMPUTED_VALUE"""),805.0)</f>
        <v>805</v>
      </c>
      <c r="G22045" s="4">
        <f>IFERROR(__xludf.DUMMYFUNCTION("""COMPUTED_VALUE"""),42.0)</f>
        <v>42</v>
      </c>
      <c r="H22045" s="4"/>
      <c r="I22045" s="4"/>
    </row>
    <row r="22046">
      <c r="A22046" s="4" t="str">
        <f>IFERROR(__xludf.DUMMYFUNCTION("""COMPUTED_VALUE"""),"cas_hmw")</f>
        <v>cas_hmw</v>
      </c>
      <c r="B22046" s="5">
        <f>IFERROR(__xludf.DUMMYFUNCTION("""COMPUTED_VALUE"""),44788.0)</f>
        <v>44788</v>
      </c>
      <c r="C22046" s="6">
        <f>IFERROR(__xludf.DUMMYFUNCTION("""COMPUTED_VALUE"""),0.7084722222207347)</f>
        <v>0.7084722222</v>
      </c>
      <c r="D22046" s="4">
        <f>IFERROR(__xludf.DUMMYFUNCTION("""COMPUTED_VALUE"""),12.974989)</f>
        <v>12.974989</v>
      </c>
      <c r="E22046" s="4">
        <f>IFERROR(__xludf.DUMMYFUNCTION("""COMPUTED_VALUE"""),80.155526)</f>
        <v>80.155526</v>
      </c>
      <c r="F22046" s="4">
        <f>IFERROR(__xludf.DUMMYFUNCTION("""COMPUTED_VALUE"""),5339.0)</f>
        <v>5339</v>
      </c>
      <c r="G22046" s="4">
        <f>IFERROR(__xludf.DUMMYFUNCTION("""COMPUTED_VALUE"""),55.0)</f>
        <v>55</v>
      </c>
      <c r="H22046" s="4"/>
      <c r="I22046" s="4"/>
    </row>
    <row r="22047">
      <c r="A22047" s="4" t="str">
        <f>IFERROR(__xludf.DUMMYFUNCTION("""COMPUTED_VALUE"""),"cas_hmw")</f>
        <v>cas_hmw</v>
      </c>
      <c r="B22047" s="5">
        <f>IFERROR(__xludf.DUMMYFUNCTION("""COMPUTED_VALUE"""),44788.0)</f>
        <v>44788</v>
      </c>
      <c r="C22047" s="6">
        <f>IFERROR(__xludf.DUMMYFUNCTION("""COMPUTED_VALUE"""),0.7088310185172304)</f>
        <v>0.7088310185</v>
      </c>
      <c r="D22047" s="4">
        <f>IFERROR(__xludf.DUMMYFUNCTION("""COMPUTED_VALUE"""),12.977274)</f>
        <v>12.977274</v>
      </c>
      <c r="E22047" s="4">
        <f>IFERROR(__xludf.DUMMYFUNCTION("""COMPUTED_VALUE"""),80.158917)</f>
        <v>80.158917</v>
      </c>
      <c r="F22047" s="4">
        <f>IFERROR(__xludf.DUMMYFUNCTION("""COMPUTED_VALUE"""),5339.0)</f>
        <v>5339</v>
      </c>
      <c r="G22047" s="4">
        <f>IFERROR(__xludf.DUMMYFUNCTION("""COMPUTED_VALUE"""),51.0)</f>
        <v>51</v>
      </c>
      <c r="H22047" s="4"/>
      <c r="I22047" s="4"/>
    </row>
    <row r="22048">
      <c r="A22048" s="4" t="str">
        <f>IFERROR(__xludf.DUMMYFUNCTION("""COMPUTED_VALUE"""),"cas_hmw")</f>
        <v>cas_hmw</v>
      </c>
      <c r="B22048" s="5">
        <f>IFERROR(__xludf.DUMMYFUNCTION("""COMPUTED_VALUE"""),44788.0)</f>
        <v>44788</v>
      </c>
      <c r="C22048" s="6">
        <f>IFERROR(__xludf.DUMMYFUNCTION("""COMPUTED_VALUE"""),0.7088773148134351)</f>
        <v>0.7088773148</v>
      </c>
      <c r="D22048" s="4">
        <f>IFERROR(__xludf.DUMMYFUNCTION("""COMPUTED_VALUE"""),12.989902)</f>
        <v>12.989902</v>
      </c>
      <c r="E22048" s="4">
        <f>IFERROR(__xludf.DUMMYFUNCTION("""COMPUTED_VALUE"""),80.179254)</f>
        <v>80.179254</v>
      </c>
      <c r="F22048" s="4">
        <f>IFERROR(__xludf.DUMMYFUNCTION("""COMPUTED_VALUE"""),805.0)</f>
        <v>805</v>
      </c>
      <c r="G22048" s="4">
        <f>IFERROR(__xludf.DUMMYFUNCTION("""COMPUTED_VALUE"""),43.0)</f>
        <v>43</v>
      </c>
      <c r="H22048" s="4"/>
      <c r="I22048" s="4"/>
    </row>
    <row r="22049">
      <c r="A22049" s="4" t="str">
        <f>IFERROR(__xludf.DUMMYFUNCTION("""COMPUTED_VALUE"""),"cas_hmw")</f>
        <v>cas_hmw</v>
      </c>
      <c r="B22049" s="5">
        <f>IFERROR(__xludf.DUMMYFUNCTION("""COMPUTED_VALUE"""),44788.0)</f>
        <v>44788</v>
      </c>
      <c r="C22049" s="6">
        <f>IFERROR(__xludf.DUMMYFUNCTION("""COMPUTED_VALUE"""),0.7090740740750334)</f>
        <v>0.7090740741</v>
      </c>
      <c r="D22049" s="4">
        <f>IFERROR(__xludf.DUMMYFUNCTION("""COMPUTED_VALUE"""),12.978766)</f>
        <v>12.978766</v>
      </c>
      <c r="E22049" s="4">
        <f>IFERROR(__xludf.DUMMYFUNCTION("""COMPUTED_VALUE"""),80.161039)</f>
        <v>80.161039</v>
      </c>
      <c r="F22049" s="4">
        <f>IFERROR(__xludf.DUMMYFUNCTION("""COMPUTED_VALUE"""),5339.0)</f>
        <v>5339</v>
      </c>
      <c r="G22049" s="4">
        <f>IFERROR(__xludf.DUMMYFUNCTION("""COMPUTED_VALUE"""),48.0)</f>
        <v>48</v>
      </c>
      <c r="H22049" s="4"/>
      <c r="I22049" s="4"/>
    </row>
    <row r="22050">
      <c r="A22050" s="4" t="str">
        <f>IFERROR(__xludf.DUMMYFUNCTION("""COMPUTED_VALUE"""),"cas_hmw")</f>
        <v>cas_hmw</v>
      </c>
      <c r="B22050" s="5">
        <f>IFERROR(__xludf.DUMMYFUNCTION("""COMPUTED_VALUE"""),44788.0)</f>
        <v>44788</v>
      </c>
      <c r="C22050" s="6">
        <f>IFERROR(__xludf.DUMMYFUNCTION("""COMPUTED_VALUE"""),0.7091550925943011)</f>
        <v>0.7091550926</v>
      </c>
      <c r="D22050" s="4">
        <f>IFERROR(__xludf.DUMMYFUNCTION("""COMPUTED_VALUE"""),12.991149)</f>
        <v>12.991149</v>
      </c>
      <c r="E22050" s="4">
        <f>IFERROR(__xludf.DUMMYFUNCTION("""COMPUTED_VALUE"""),80.180864)</f>
        <v>80.180864</v>
      </c>
      <c r="F22050" s="4">
        <f>IFERROR(__xludf.DUMMYFUNCTION("""COMPUTED_VALUE"""),805.0)</f>
        <v>805</v>
      </c>
      <c r="G22050" s="4">
        <f>IFERROR(__xludf.DUMMYFUNCTION("""COMPUTED_VALUE"""),54.0)</f>
        <v>54</v>
      </c>
      <c r="H22050" s="4"/>
      <c r="I22050" s="4"/>
    </row>
    <row r="22051">
      <c r="A22051" s="4" t="str">
        <f>IFERROR(__xludf.DUMMYFUNCTION("""COMPUTED_VALUE"""),"cas_hmw")</f>
        <v>cas_hmw</v>
      </c>
      <c r="B22051" s="5">
        <f>IFERROR(__xludf.DUMMYFUNCTION("""COMPUTED_VALUE"""),44788.0)</f>
        <v>44788</v>
      </c>
      <c r="C22051" s="6">
        <f>IFERROR(__xludf.DUMMYFUNCTION("""COMPUTED_VALUE"""),0.7094328703715291)</f>
        <v>0.7094328704</v>
      </c>
      <c r="D22051" s="4">
        <f>IFERROR(__xludf.DUMMYFUNCTION("""COMPUTED_VALUE"""),12.724024)</f>
        <v>12.724024</v>
      </c>
      <c r="E22051" s="4">
        <f>IFERROR(__xludf.DUMMYFUNCTION("""COMPUTED_VALUE"""),79.982148)</f>
        <v>79.982148</v>
      </c>
      <c r="F22051" s="4">
        <f>IFERROR(__xludf.DUMMYFUNCTION("""COMPUTED_VALUE"""),2846.0)</f>
        <v>2846</v>
      </c>
      <c r="G22051" s="4">
        <f>IFERROR(__xludf.DUMMYFUNCTION("""COMPUTED_VALUE"""),0.0)</f>
        <v>0</v>
      </c>
      <c r="H22051" s="4"/>
      <c r="I22051" s="4"/>
    </row>
    <row r="22052">
      <c r="A22052" s="4" t="str">
        <f>IFERROR(__xludf.DUMMYFUNCTION("""COMPUTED_VALUE"""),"cas_hmw")</f>
        <v>cas_hmw</v>
      </c>
      <c r="B22052" s="5">
        <f>IFERROR(__xludf.DUMMYFUNCTION("""COMPUTED_VALUE"""),44788.0)</f>
        <v>44788</v>
      </c>
      <c r="C22052" s="6">
        <f>IFERROR(__xludf.DUMMYFUNCTION("""COMPUTED_VALUE"""),0.7094675925909542)</f>
        <v>0.7094675926</v>
      </c>
      <c r="D22052" s="4">
        <f>IFERROR(__xludf.DUMMYFUNCTION("""COMPUTED_VALUE"""),12.980353)</f>
        <v>12.980353</v>
      </c>
      <c r="E22052" s="4">
        <f>IFERROR(__xludf.DUMMYFUNCTION("""COMPUTED_VALUE"""),80.164276)</f>
        <v>80.164276</v>
      </c>
      <c r="F22052" s="4">
        <f>IFERROR(__xludf.DUMMYFUNCTION("""COMPUTED_VALUE"""),5339.0)</f>
        <v>5339</v>
      </c>
      <c r="G22052" s="4">
        <f>IFERROR(__xludf.DUMMYFUNCTION("""COMPUTED_VALUE"""),53.0)</f>
        <v>53</v>
      </c>
      <c r="H22052" s="4"/>
      <c r="I22052" s="4"/>
    </row>
    <row r="22053">
      <c r="A22053" s="4" t="str">
        <f>IFERROR(__xludf.DUMMYFUNCTION("""COMPUTED_VALUE"""),"cas_hmw")</f>
        <v>cas_hmw</v>
      </c>
      <c r="B22053" s="5">
        <f>IFERROR(__xludf.DUMMYFUNCTION("""COMPUTED_VALUE"""),44788.0)</f>
        <v>44788</v>
      </c>
      <c r="C22053" s="6">
        <f>IFERROR(__xludf.DUMMYFUNCTION("""COMPUTED_VALUE"""),0.7095023148140172)</f>
        <v>0.7095023148</v>
      </c>
      <c r="D22053" s="4">
        <f>IFERROR(__xludf.DUMMYFUNCTION("""COMPUTED_VALUE"""),12.980353)</f>
        <v>12.980353</v>
      </c>
      <c r="E22053" s="4">
        <f>IFERROR(__xludf.DUMMYFUNCTION("""COMPUTED_VALUE"""),80.164276)</f>
        <v>80.164276</v>
      </c>
      <c r="F22053" s="4">
        <f>IFERROR(__xludf.DUMMYFUNCTION("""COMPUTED_VALUE"""),5339.0)</f>
        <v>5339</v>
      </c>
      <c r="G22053" s="4">
        <f>IFERROR(__xludf.DUMMYFUNCTION("""COMPUTED_VALUE"""),53.0)</f>
        <v>53</v>
      </c>
      <c r="H22053" s="4"/>
      <c r="I22053" s="4"/>
    </row>
    <row r="22054">
      <c r="A22054" s="4" t="str">
        <f>IFERROR(__xludf.DUMMYFUNCTION("""COMPUTED_VALUE"""),"cas_hmw")</f>
        <v>cas_hmw</v>
      </c>
      <c r="B22054" s="5">
        <f>IFERROR(__xludf.DUMMYFUNCTION("""COMPUTED_VALUE"""),44788.0)</f>
        <v>44788</v>
      </c>
      <c r="C22054" s="6">
        <f>IFERROR(__xludf.DUMMYFUNCTION("""COMPUTED_VALUE"""),0.7097453703718202)</f>
        <v>0.7097453704</v>
      </c>
      <c r="D22054" s="4">
        <f>IFERROR(__xludf.DUMMYFUNCTION("""COMPUTED_VALUE"""),12.982335)</f>
        <v>12.982335</v>
      </c>
      <c r="E22054" s="4">
        <f>IFERROR(__xludf.DUMMYFUNCTION("""COMPUTED_VALUE"""),80.168058)</f>
        <v>80.168058</v>
      </c>
      <c r="F22054" s="4">
        <f>IFERROR(__xludf.DUMMYFUNCTION("""COMPUTED_VALUE"""),5339.0)</f>
        <v>5339</v>
      </c>
      <c r="G22054" s="4">
        <f>IFERROR(__xludf.DUMMYFUNCTION("""COMPUTED_VALUE"""),59.0)</f>
        <v>59</v>
      </c>
      <c r="H22054" s="4"/>
      <c r="I22054" s="4"/>
    </row>
    <row r="22055">
      <c r="A22055" s="4" t="str">
        <f>IFERROR(__xludf.DUMMYFUNCTION("""COMPUTED_VALUE"""),"cas_hmw")</f>
        <v>cas_hmw</v>
      </c>
      <c r="B22055" s="5">
        <f>IFERROR(__xludf.DUMMYFUNCTION("""COMPUTED_VALUE"""),44788.0)</f>
        <v>44788</v>
      </c>
      <c r="C22055" s="6">
        <f>IFERROR(__xludf.DUMMYFUNCTION("""COMPUTED_VALUE"""),0.7097569444449618)</f>
        <v>0.7097569444</v>
      </c>
      <c r="D22055" s="4">
        <f>IFERROR(__xludf.DUMMYFUNCTION("""COMPUTED_VALUE"""),12.993626)</f>
        <v>12.993626</v>
      </c>
      <c r="E22055" s="4">
        <f>IFERROR(__xludf.DUMMYFUNCTION("""COMPUTED_VALUE"""),80.184733)</f>
        <v>80.184733</v>
      </c>
      <c r="F22055" s="4">
        <f>IFERROR(__xludf.DUMMYFUNCTION("""COMPUTED_VALUE"""),805.0)</f>
        <v>805</v>
      </c>
      <c r="G22055" s="4">
        <f>IFERROR(__xludf.DUMMYFUNCTION("""COMPUTED_VALUE"""),16.0)</f>
        <v>16</v>
      </c>
      <c r="H22055" s="4"/>
      <c r="I22055" s="4"/>
    </row>
    <row r="22056">
      <c r="A22056" s="4" t="str">
        <f>IFERROR(__xludf.DUMMYFUNCTION("""COMPUTED_VALUE"""),"cas_hmw")</f>
        <v>cas_hmw</v>
      </c>
      <c r="B22056" s="5">
        <f>IFERROR(__xludf.DUMMYFUNCTION("""COMPUTED_VALUE"""),44788.0)</f>
        <v>44788</v>
      </c>
      <c r="C22056" s="6">
        <f>IFERROR(__xludf.DUMMYFUNCTION("""COMPUTED_VALUE"""),0.7097569444449618)</f>
        <v>0.7097569444</v>
      </c>
      <c r="D22056" s="4">
        <f>IFERROR(__xludf.DUMMYFUNCTION("""COMPUTED_VALUE"""),12.993626)</f>
        <v>12.993626</v>
      </c>
      <c r="E22056" s="4">
        <f>IFERROR(__xludf.DUMMYFUNCTION("""COMPUTED_VALUE"""),80.184733)</f>
        <v>80.184733</v>
      </c>
      <c r="F22056" s="4">
        <f>IFERROR(__xludf.DUMMYFUNCTION("""COMPUTED_VALUE"""),805.0)</f>
        <v>805</v>
      </c>
      <c r="G22056" s="4">
        <f>IFERROR(__xludf.DUMMYFUNCTION("""COMPUTED_VALUE"""),16.0)</f>
        <v>16</v>
      </c>
      <c r="H22056" s="4"/>
      <c r="I22056" s="4"/>
    </row>
    <row r="22057">
      <c r="A22057" s="4" t="str">
        <f>IFERROR(__xludf.DUMMYFUNCTION("""COMPUTED_VALUE"""),"cas_hmw")</f>
        <v>cas_hmw</v>
      </c>
      <c r="B22057" s="5">
        <f>IFERROR(__xludf.DUMMYFUNCTION("""COMPUTED_VALUE"""),44788.0)</f>
        <v>44788</v>
      </c>
      <c r="C22057" s="6">
        <f>IFERROR(__xludf.DUMMYFUNCTION("""COMPUTED_VALUE"""),0.7097569444449618)</f>
        <v>0.7097569444</v>
      </c>
      <c r="D22057" s="4">
        <f>IFERROR(__xludf.DUMMYFUNCTION("""COMPUTED_VALUE"""),12.993626)</f>
        <v>12.993626</v>
      </c>
      <c r="E22057" s="4">
        <f>IFERROR(__xludf.DUMMYFUNCTION("""COMPUTED_VALUE"""),80.184733)</f>
        <v>80.184733</v>
      </c>
      <c r="F22057" s="4">
        <f>IFERROR(__xludf.DUMMYFUNCTION("""COMPUTED_VALUE"""),805.0)</f>
        <v>805</v>
      </c>
      <c r="G22057" s="4">
        <f>IFERROR(__xludf.DUMMYFUNCTION("""COMPUTED_VALUE"""),16.0)</f>
        <v>16</v>
      </c>
      <c r="H22057" s="4"/>
      <c r="I22057" s="4"/>
    </row>
    <row r="22058">
      <c r="A22058" s="4" t="str">
        <f>IFERROR(__xludf.DUMMYFUNCTION("""COMPUTED_VALUE"""),"cas_hmw")</f>
        <v>cas_hmw</v>
      </c>
      <c r="B22058" s="5">
        <f>IFERROR(__xludf.DUMMYFUNCTION("""COMPUTED_VALUE"""),44788.0)</f>
        <v>44788</v>
      </c>
      <c r="C22058" s="6">
        <f>IFERROR(__xludf.DUMMYFUNCTION("""COMPUTED_VALUE"""),0.7099884259259852)</f>
        <v>0.7099884259</v>
      </c>
      <c r="D22058" s="4">
        <f>IFERROR(__xludf.DUMMYFUNCTION("""COMPUTED_VALUE"""),12.993978)</f>
        <v>12.993978</v>
      </c>
      <c r="E22058" s="4">
        <f>IFERROR(__xludf.DUMMYFUNCTION("""COMPUTED_VALUE"""),80.18535)</f>
        <v>80.18535</v>
      </c>
      <c r="F22058" s="4">
        <f>IFERROR(__xludf.DUMMYFUNCTION("""COMPUTED_VALUE"""),805.0)</f>
        <v>805</v>
      </c>
      <c r="G22058" s="4">
        <f>IFERROR(__xludf.DUMMYFUNCTION("""COMPUTED_VALUE"""),24.0)</f>
        <v>24</v>
      </c>
      <c r="H22058" s="4"/>
      <c r="I22058" s="4"/>
    </row>
    <row r="22059">
      <c r="A22059" s="4" t="str">
        <f>IFERROR(__xludf.DUMMYFUNCTION("""COMPUTED_VALUE"""),"cas_hmw")</f>
        <v>cas_hmw</v>
      </c>
      <c r="B22059" s="5">
        <f>IFERROR(__xludf.DUMMYFUNCTION("""COMPUTED_VALUE"""),44788.0)</f>
        <v>44788</v>
      </c>
      <c r="C22059" s="6">
        <f>IFERROR(__xludf.DUMMYFUNCTION("""COMPUTED_VALUE"""),0.7106018518534256)</f>
        <v>0.7106018519</v>
      </c>
      <c r="D22059" s="4">
        <f>IFERROR(__xludf.DUMMYFUNCTION("""COMPUTED_VALUE"""),12.995697)</f>
        <v>12.995697</v>
      </c>
      <c r="E22059" s="4">
        <f>IFERROR(__xludf.DUMMYFUNCTION("""COMPUTED_VALUE"""),80.188663)</f>
        <v>80.188663</v>
      </c>
      <c r="F22059" s="4">
        <f>IFERROR(__xludf.DUMMYFUNCTION("""COMPUTED_VALUE"""),805.0)</f>
        <v>805</v>
      </c>
      <c r="G22059" s="4">
        <f>IFERROR(__xludf.DUMMYFUNCTION("""COMPUTED_VALUE"""),11.0)</f>
        <v>11</v>
      </c>
      <c r="H22059" s="4"/>
      <c r="I22059" s="4"/>
    </row>
    <row r="22060">
      <c r="A22060" s="4" t="str">
        <f>IFERROR(__xludf.DUMMYFUNCTION("""COMPUTED_VALUE"""),"cas_hmw")</f>
        <v>cas_hmw</v>
      </c>
      <c r="B22060" s="5">
        <f>IFERROR(__xludf.DUMMYFUNCTION("""COMPUTED_VALUE"""),44788.0)</f>
        <v>44788</v>
      </c>
      <c r="C22060" s="6">
        <f>IFERROR(__xludf.DUMMYFUNCTION("""COMPUTED_VALUE"""),0.710694444445835)</f>
        <v>0.7106944444</v>
      </c>
      <c r="D22060" s="4">
        <f>IFERROR(__xludf.DUMMYFUNCTION("""COMPUTED_VALUE"""),12.986682)</f>
        <v>12.986682</v>
      </c>
      <c r="E22060" s="4">
        <f>IFERROR(__xludf.DUMMYFUNCTION("""COMPUTED_VALUE"""),80.174996)</f>
        <v>80.174996</v>
      </c>
      <c r="F22060" s="4">
        <f>IFERROR(__xludf.DUMMYFUNCTION("""COMPUTED_VALUE"""),5339.0)</f>
        <v>5339</v>
      </c>
      <c r="G22060" s="4">
        <f>IFERROR(__xludf.DUMMYFUNCTION("""COMPUTED_VALUE"""),34.0)</f>
        <v>34</v>
      </c>
      <c r="H22060" s="4"/>
      <c r="I22060" s="4"/>
    </row>
    <row r="22061">
      <c r="A22061" s="4" t="str">
        <f>IFERROR(__xludf.DUMMYFUNCTION("""COMPUTED_VALUE"""),"cas_hmw")</f>
        <v>cas_hmw</v>
      </c>
      <c r="B22061" s="5">
        <f>IFERROR(__xludf.DUMMYFUNCTION("""COMPUTED_VALUE"""),44788.0)</f>
        <v>44788</v>
      </c>
      <c r="C22061" s="6">
        <f>IFERROR(__xludf.DUMMYFUNCTION("""COMPUTED_VALUE"""),0.7107523148151813)</f>
        <v>0.7107523148</v>
      </c>
      <c r="D22061" s="4">
        <f>IFERROR(__xludf.DUMMYFUNCTION("""COMPUTED_VALUE"""),12.986682)</f>
        <v>12.986682</v>
      </c>
      <c r="E22061" s="4">
        <f>IFERROR(__xludf.DUMMYFUNCTION("""COMPUTED_VALUE"""),80.174996)</f>
        <v>80.174996</v>
      </c>
      <c r="F22061" s="4">
        <f>IFERROR(__xludf.DUMMYFUNCTION("""COMPUTED_VALUE"""),5339.0)</f>
        <v>5339</v>
      </c>
      <c r="G22061" s="4">
        <f>IFERROR(__xludf.DUMMYFUNCTION("""COMPUTED_VALUE"""),34.0)</f>
        <v>34</v>
      </c>
      <c r="H22061" s="4"/>
      <c r="I22061" s="4"/>
    </row>
    <row r="22062">
      <c r="A22062" s="4" t="str">
        <f>IFERROR(__xludf.DUMMYFUNCTION("""COMPUTED_VALUE"""),"cas_hmw")</f>
        <v>cas_hmw</v>
      </c>
      <c r="B22062" s="5">
        <f>IFERROR(__xludf.DUMMYFUNCTION("""COMPUTED_VALUE"""),44788.0)</f>
        <v>44788</v>
      </c>
      <c r="C22062" s="6">
        <f>IFERROR(__xludf.DUMMYFUNCTION("""COMPUTED_VALUE"""),0.710868055553874)</f>
        <v>0.7108680556</v>
      </c>
      <c r="D22062" s="4">
        <f>IFERROR(__xludf.DUMMYFUNCTION("""COMPUTED_VALUE"""),12.987251)</f>
        <v>12.987251</v>
      </c>
      <c r="E22062" s="4">
        <f>IFERROR(__xludf.DUMMYFUNCTION("""COMPUTED_VALUE"""),80.175806)</f>
        <v>80.175806</v>
      </c>
      <c r="F22062" s="4">
        <f>IFERROR(__xludf.DUMMYFUNCTION("""COMPUTED_VALUE"""),5339.0)</f>
        <v>5339</v>
      </c>
      <c r="G22062" s="4">
        <f>IFERROR(__xludf.DUMMYFUNCTION("""COMPUTED_VALUE"""),42.0)</f>
        <v>42</v>
      </c>
      <c r="H22062" s="4"/>
      <c r="I22062" s="4"/>
    </row>
    <row r="22063">
      <c r="A22063" s="4" t="str">
        <f>IFERROR(__xludf.DUMMYFUNCTION("""COMPUTED_VALUE"""),"cas_hmw")</f>
        <v>cas_hmw</v>
      </c>
      <c r="B22063" s="5">
        <f>IFERROR(__xludf.DUMMYFUNCTION("""COMPUTED_VALUE"""),44788.0)</f>
        <v>44788</v>
      </c>
      <c r="C22063" s="6">
        <f>IFERROR(__xludf.DUMMYFUNCTION("""COMPUTED_VALUE"""),0.7110879629617557)</f>
        <v>0.711087963</v>
      </c>
      <c r="D22063" s="4">
        <f>IFERROR(__xludf.DUMMYFUNCTION("""COMPUTED_VALUE"""),12.99805)</f>
        <v>12.99805</v>
      </c>
      <c r="E22063" s="4">
        <f>IFERROR(__xludf.DUMMYFUNCTION("""COMPUTED_VALUE"""),80.191645)</f>
        <v>80.191645</v>
      </c>
      <c r="F22063" s="4">
        <f>IFERROR(__xludf.DUMMYFUNCTION("""COMPUTED_VALUE"""),805.0)</f>
        <v>805</v>
      </c>
      <c r="G22063" s="4">
        <f>IFERROR(__xludf.DUMMYFUNCTION("""COMPUTED_VALUE"""),50.0)</f>
        <v>50</v>
      </c>
      <c r="H22063" s="4"/>
      <c r="I22063" s="4"/>
    </row>
    <row r="22064">
      <c r="A22064" s="4" t="str">
        <f>IFERROR(__xludf.DUMMYFUNCTION("""COMPUTED_VALUE"""),"cas_hmw")</f>
        <v>cas_hmw</v>
      </c>
      <c r="B22064" s="5">
        <f>IFERROR(__xludf.DUMMYFUNCTION("""COMPUTED_VALUE"""),44788.0)</f>
        <v>44788</v>
      </c>
      <c r="C22064" s="6">
        <f>IFERROR(__xludf.DUMMYFUNCTION("""COMPUTED_VALUE"""),0.7112384259271494)</f>
        <v>0.7112384259</v>
      </c>
      <c r="D22064" s="4">
        <f>IFERROR(__xludf.DUMMYFUNCTION("""COMPUTED_VALUE"""),12.99928)</f>
        <v>12.99928</v>
      </c>
      <c r="E22064" s="4">
        <f>IFERROR(__xludf.DUMMYFUNCTION("""COMPUTED_VALUE"""),80.193141)</f>
        <v>80.193141</v>
      </c>
      <c r="F22064" s="4">
        <f>IFERROR(__xludf.DUMMYFUNCTION("""COMPUTED_VALUE"""),805.0)</f>
        <v>805</v>
      </c>
      <c r="G22064" s="4">
        <f>IFERROR(__xludf.DUMMYFUNCTION("""COMPUTED_VALUE"""),40.0)</f>
        <v>40</v>
      </c>
      <c r="H22064" s="4"/>
      <c r="I22064" s="4"/>
    </row>
    <row r="22065">
      <c r="A22065" s="4" t="str">
        <f>IFERROR(__xludf.DUMMYFUNCTION("""COMPUTED_VALUE"""),"cas_hmw")</f>
        <v>cas_hmw</v>
      </c>
      <c r="B22065" s="5">
        <f>IFERROR(__xludf.DUMMYFUNCTION("""COMPUTED_VALUE"""),44788.0)</f>
        <v>44788</v>
      </c>
      <c r="C22065" s="6">
        <f>IFERROR(__xludf.DUMMYFUNCTION("""COMPUTED_VALUE"""),0.7113541666658421)</f>
        <v>0.7113541667</v>
      </c>
      <c r="D22065" s="4">
        <f>IFERROR(__xludf.DUMMYFUNCTION("""COMPUTED_VALUE"""),12.989901)</f>
        <v>12.989901</v>
      </c>
      <c r="E22065" s="4">
        <f>IFERROR(__xludf.DUMMYFUNCTION("""COMPUTED_VALUE"""),80.179322)</f>
        <v>80.179322</v>
      </c>
      <c r="F22065" s="4">
        <f>IFERROR(__xludf.DUMMYFUNCTION("""COMPUTED_VALUE"""),5339.0)</f>
        <v>5339</v>
      </c>
      <c r="G22065" s="4">
        <f>IFERROR(__xludf.DUMMYFUNCTION("""COMPUTED_VALUE"""),34.0)</f>
        <v>34</v>
      </c>
      <c r="H22065" s="4"/>
      <c r="I22065" s="4"/>
    </row>
    <row r="22066">
      <c r="A22066" s="4" t="str">
        <f>IFERROR(__xludf.DUMMYFUNCTION("""COMPUTED_VALUE"""),"cas_hmw")</f>
        <v>cas_hmw</v>
      </c>
      <c r="B22066" s="5">
        <f>IFERROR(__xludf.DUMMYFUNCTION("""COMPUTED_VALUE"""),44788.0)</f>
        <v>44788</v>
      </c>
      <c r="C22066" s="6">
        <f>IFERROR(__xludf.DUMMYFUNCTION("""COMPUTED_VALUE"""),0.7115162037043774)</f>
        <v>0.7115162037</v>
      </c>
      <c r="D22066" s="4">
        <f>IFERROR(__xludf.DUMMYFUNCTION("""COMPUTED_VALUE"""),12.990492)</f>
        <v>12.990492</v>
      </c>
      <c r="E22066" s="4">
        <f>IFERROR(__xludf.DUMMYFUNCTION("""COMPUTED_VALUE"""),80.180099)</f>
        <v>80.180099</v>
      </c>
      <c r="F22066" s="4">
        <f>IFERROR(__xludf.DUMMYFUNCTION("""COMPUTED_VALUE"""),5339.0)</f>
        <v>5339</v>
      </c>
      <c r="G22066" s="4">
        <f>IFERROR(__xludf.DUMMYFUNCTION("""COMPUTED_VALUE"""),40.0)</f>
        <v>40</v>
      </c>
      <c r="H22066" s="4"/>
      <c r="I22066" s="4"/>
    </row>
    <row r="22067">
      <c r="A22067" s="4" t="str">
        <f>IFERROR(__xludf.DUMMYFUNCTION("""COMPUTED_VALUE"""),"cas_hmw")</f>
        <v>cas_hmw</v>
      </c>
      <c r="B22067" s="5">
        <f>IFERROR(__xludf.DUMMYFUNCTION("""COMPUTED_VALUE"""),44788.0)</f>
        <v>44788</v>
      </c>
      <c r="C22067" s="6">
        <f>IFERROR(__xludf.DUMMYFUNCTION("""COMPUTED_VALUE"""),0.7117476851854008)</f>
        <v>0.7117476852</v>
      </c>
      <c r="D22067" s="4">
        <f>IFERROR(__xludf.DUMMYFUNCTION("""COMPUTED_VALUE"""),12.708538)</f>
        <v>12.708538</v>
      </c>
      <c r="E22067" s="4">
        <f>IFERROR(__xludf.DUMMYFUNCTION("""COMPUTED_VALUE"""),79.977172)</f>
        <v>79.977172</v>
      </c>
      <c r="F22067" s="4">
        <f>IFERROR(__xludf.DUMMYFUNCTION("""COMPUTED_VALUE"""),2846.0)</f>
        <v>2846</v>
      </c>
      <c r="G22067" s="4">
        <f>IFERROR(__xludf.DUMMYFUNCTION("""COMPUTED_VALUE"""),42.0)</f>
        <v>42</v>
      </c>
      <c r="H22067" s="4"/>
      <c r="I22067" s="4"/>
    </row>
    <row r="22068">
      <c r="A22068" s="4" t="str">
        <f>IFERROR(__xludf.DUMMYFUNCTION("""COMPUTED_VALUE"""),"cas_hmw")</f>
        <v>cas_hmw</v>
      </c>
      <c r="B22068" s="5">
        <f>IFERROR(__xludf.DUMMYFUNCTION("""COMPUTED_VALUE"""),44788.0)</f>
        <v>44788</v>
      </c>
      <c r="C22068" s="6">
        <f>IFERROR(__xludf.DUMMYFUNCTION("""COMPUTED_VALUE"""),0.7118634259277314)</f>
        <v>0.7118634259</v>
      </c>
      <c r="D22068" s="4">
        <f>IFERROR(__xludf.DUMMYFUNCTION("""COMPUTED_VALUE"""),13.0012)</f>
        <v>13.0012</v>
      </c>
      <c r="E22068" s="4">
        <f>IFERROR(__xludf.DUMMYFUNCTION("""COMPUTED_VALUE"""),80.195517)</f>
        <v>80.195517</v>
      </c>
      <c r="F22068" s="4">
        <f>IFERROR(__xludf.DUMMYFUNCTION("""COMPUTED_VALUE"""),805.0)</f>
        <v>805</v>
      </c>
      <c r="G22068" s="4">
        <f>IFERROR(__xludf.DUMMYFUNCTION("""COMPUTED_VALUE"""),21.0)</f>
        <v>21</v>
      </c>
      <c r="H22068" s="4"/>
      <c r="I22068" s="4"/>
    </row>
    <row r="22069">
      <c r="A22069" s="4" t="str">
        <f>IFERROR(__xludf.DUMMYFUNCTION("""COMPUTED_VALUE"""),"cas_hmw")</f>
        <v>cas_hmw</v>
      </c>
      <c r="B22069" s="5">
        <f>IFERROR(__xludf.DUMMYFUNCTION("""COMPUTED_VALUE"""),44788.0)</f>
        <v>44788</v>
      </c>
      <c r="C22069" s="6">
        <f>IFERROR(__xludf.DUMMYFUNCTION("""COMPUTED_VALUE"""),0.7119328703702195)</f>
        <v>0.7119328704</v>
      </c>
      <c r="D22069" s="4">
        <f>IFERROR(__xludf.DUMMYFUNCTION("""COMPUTED_VALUE"""),13.0012)</f>
        <v>13.0012</v>
      </c>
      <c r="E22069" s="4">
        <f>IFERROR(__xludf.DUMMYFUNCTION("""COMPUTED_VALUE"""),80.195517)</f>
        <v>80.195517</v>
      </c>
      <c r="F22069" s="4">
        <f>IFERROR(__xludf.DUMMYFUNCTION("""COMPUTED_VALUE"""),805.0)</f>
        <v>805</v>
      </c>
      <c r="G22069" s="4">
        <f>IFERROR(__xludf.DUMMYFUNCTION("""COMPUTED_VALUE"""),21.0)</f>
        <v>21</v>
      </c>
      <c r="H22069" s="4"/>
      <c r="I22069" s="4"/>
    </row>
    <row r="22070">
      <c r="A22070" s="4" t="str">
        <f>IFERROR(__xludf.DUMMYFUNCTION("""COMPUTED_VALUE"""),"cas_hmw")</f>
        <v>cas_hmw</v>
      </c>
      <c r="B22070" s="5">
        <f>IFERROR(__xludf.DUMMYFUNCTION("""COMPUTED_VALUE"""),44788.0)</f>
        <v>44788</v>
      </c>
      <c r="C22070" s="6">
        <f>IFERROR(__xludf.DUMMYFUNCTION("""COMPUTED_VALUE"""),0.7119560185201408)</f>
        <v>0.7119560185</v>
      </c>
      <c r="D22070" s="4">
        <f>IFERROR(__xludf.DUMMYFUNCTION("""COMPUTED_VALUE"""),13.0012)</f>
        <v>13.0012</v>
      </c>
      <c r="E22070" s="4">
        <f>IFERROR(__xludf.DUMMYFUNCTION("""COMPUTED_VALUE"""),80.195517)</f>
        <v>80.195517</v>
      </c>
      <c r="F22070" s="4">
        <f>IFERROR(__xludf.DUMMYFUNCTION("""COMPUTED_VALUE"""),805.0)</f>
        <v>805</v>
      </c>
      <c r="G22070" s="4">
        <f>IFERROR(__xludf.DUMMYFUNCTION("""COMPUTED_VALUE"""),21.0)</f>
        <v>21</v>
      </c>
      <c r="H22070" s="4"/>
      <c r="I22070" s="4"/>
    </row>
    <row r="22071">
      <c r="A22071" s="4" t="str">
        <f>IFERROR(__xludf.DUMMYFUNCTION("""COMPUTED_VALUE"""),"cas_hmw")</f>
        <v>cas_hmw</v>
      </c>
      <c r="B22071" s="5">
        <f>IFERROR(__xludf.DUMMYFUNCTION("""COMPUTED_VALUE"""),44788.0)</f>
        <v>44788</v>
      </c>
      <c r="C22071" s="6">
        <f>IFERROR(__xludf.DUMMYFUNCTION("""COMPUTED_VALUE"""),0.7119675925932825)</f>
        <v>0.7119675926</v>
      </c>
      <c r="D22071" s="4">
        <f>IFERROR(__xludf.DUMMYFUNCTION("""COMPUTED_VALUE"""),12.993468)</f>
        <v>12.993468</v>
      </c>
      <c r="E22071" s="4">
        <f>IFERROR(__xludf.DUMMYFUNCTION("""COMPUTED_VALUE"""),80.184452)</f>
        <v>80.184452</v>
      </c>
      <c r="F22071" s="4">
        <f>IFERROR(__xludf.DUMMYFUNCTION("""COMPUTED_VALUE"""),5339.0)</f>
        <v>5339</v>
      </c>
      <c r="G22071" s="4">
        <f>IFERROR(__xludf.DUMMYFUNCTION("""COMPUTED_VALUE"""),44.0)</f>
        <v>44</v>
      </c>
      <c r="H22071" s="4"/>
      <c r="I22071" s="4"/>
    </row>
    <row r="22072">
      <c r="A22072" s="4" t="str">
        <f>IFERROR(__xludf.DUMMYFUNCTION("""COMPUTED_VALUE"""),"cas_hmw")</f>
        <v>cas_hmw</v>
      </c>
      <c r="B22072" s="5">
        <f>IFERROR(__xludf.DUMMYFUNCTION("""COMPUTED_VALUE"""),44788.0)</f>
        <v>44788</v>
      </c>
      <c r="C22072" s="6">
        <f>IFERROR(__xludf.DUMMYFUNCTION("""COMPUTED_VALUE"""),0.7119791666664241)</f>
        <v>0.7119791667</v>
      </c>
      <c r="D22072" s="4">
        <f>IFERROR(__xludf.DUMMYFUNCTION("""COMPUTED_VALUE"""),12.993468)</f>
        <v>12.993468</v>
      </c>
      <c r="E22072" s="4">
        <f>IFERROR(__xludf.DUMMYFUNCTION("""COMPUTED_VALUE"""),80.184452)</f>
        <v>80.184452</v>
      </c>
      <c r="F22072" s="4">
        <f>IFERROR(__xludf.DUMMYFUNCTION("""COMPUTED_VALUE"""),5339.0)</f>
        <v>5339</v>
      </c>
      <c r="G22072" s="4">
        <f>IFERROR(__xludf.DUMMYFUNCTION("""COMPUTED_VALUE"""),44.0)</f>
        <v>44</v>
      </c>
      <c r="H22072" s="4"/>
      <c r="I22072" s="4"/>
    </row>
    <row r="22073">
      <c r="A22073" s="4" t="str">
        <f>IFERROR(__xludf.DUMMYFUNCTION("""COMPUTED_VALUE"""),"cas_hmw")</f>
        <v>cas_hmw</v>
      </c>
      <c r="B22073" s="5">
        <f>IFERROR(__xludf.DUMMYFUNCTION("""COMPUTED_VALUE"""),44788.0)</f>
        <v>44788</v>
      </c>
      <c r="C22073" s="6">
        <f>IFERROR(__xludf.DUMMYFUNCTION("""COMPUTED_VALUE"""),0.7121527777781012)</f>
        <v>0.7121527778</v>
      </c>
      <c r="D22073" s="4">
        <f>IFERROR(__xludf.DUMMYFUNCTION("""COMPUTED_VALUE"""),13.001919)</f>
        <v>13.001919</v>
      </c>
      <c r="E22073" s="4">
        <f>IFERROR(__xludf.DUMMYFUNCTION("""COMPUTED_VALUE"""),80.19644)</f>
        <v>80.19644</v>
      </c>
      <c r="F22073" s="4">
        <f>IFERROR(__xludf.DUMMYFUNCTION("""COMPUTED_VALUE"""),805.0)</f>
        <v>805</v>
      </c>
      <c r="G22073" s="4">
        <f>IFERROR(__xludf.DUMMYFUNCTION("""COMPUTED_VALUE"""),39.0)</f>
        <v>39</v>
      </c>
      <c r="H22073" s="4"/>
      <c r="I22073" s="4"/>
    </row>
    <row r="22074">
      <c r="A22074" s="4" t="str">
        <f>IFERROR(__xludf.DUMMYFUNCTION("""COMPUTED_VALUE"""),"cas_hmw")</f>
        <v>cas_hmw</v>
      </c>
      <c r="B22074" s="5">
        <f>IFERROR(__xludf.DUMMYFUNCTION("""COMPUTED_VALUE"""),44788.0)</f>
        <v>44788</v>
      </c>
      <c r="C22074" s="6">
        <f>IFERROR(__xludf.DUMMYFUNCTION("""COMPUTED_VALUE"""),0.7122106481474475)</f>
        <v>0.7122106481</v>
      </c>
      <c r="D22074" s="4">
        <f>IFERROR(__xludf.DUMMYFUNCTION("""COMPUTED_VALUE"""),13.001972)</f>
        <v>13.001972</v>
      </c>
      <c r="E22074" s="4">
        <f>IFERROR(__xludf.DUMMYFUNCTION("""COMPUTED_VALUE"""),80.198292)</f>
        <v>80.198292</v>
      </c>
      <c r="F22074" s="4">
        <f>IFERROR(__xludf.DUMMYFUNCTION("""COMPUTED_VALUE"""),805.0)</f>
        <v>805</v>
      </c>
      <c r="G22074" s="4">
        <f>IFERROR(__xludf.DUMMYFUNCTION("""COMPUTED_VALUE"""),46.0)</f>
        <v>46</v>
      </c>
      <c r="H22074" s="4"/>
      <c r="I22074" s="4"/>
    </row>
    <row r="22075">
      <c r="A22075" s="4" t="str">
        <f>IFERROR(__xludf.DUMMYFUNCTION("""COMPUTED_VALUE"""),"cas_hmw")</f>
        <v>cas_hmw</v>
      </c>
      <c r="B22075" s="5">
        <f>IFERROR(__xludf.DUMMYFUNCTION("""COMPUTED_VALUE"""),44788.0)</f>
        <v>44788</v>
      </c>
      <c r="C22075" s="6">
        <f>IFERROR(__xludf.DUMMYFUNCTION("""COMPUTED_VALUE"""),0.7124305555553292)</f>
        <v>0.7124305556</v>
      </c>
      <c r="D22075" s="4">
        <f>IFERROR(__xludf.DUMMYFUNCTION("""COMPUTED_VALUE"""),13.002036)</f>
        <v>13.002036</v>
      </c>
      <c r="E22075" s="4">
        <f>IFERROR(__xludf.DUMMYFUNCTION("""COMPUTED_VALUE"""),80.200023)</f>
        <v>80.200023</v>
      </c>
      <c r="F22075" s="4">
        <f>IFERROR(__xludf.DUMMYFUNCTION("""COMPUTED_VALUE"""),805.0)</f>
        <v>805</v>
      </c>
      <c r="G22075" s="4">
        <f>IFERROR(__xludf.DUMMYFUNCTION("""COMPUTED_VALUE"""),40.0)</f>
        <v>40</v>
      </c>
      <c r="H22075" s="4"/>
      <c r="I22075" s="4"/>
    </row>
    <row r="22076">
      <c r="A22076" s="4" t="str">
        <f>IFERROR(__xludf.DUMMYFUNCTION("""COMPUTED_VALUE"""),"cas_hmw")</f>
        <v>cas_hmw</v>
      </c>
      <c r="B22076" s="5">
        <f>IFERROR(__xludf.DUMMYFUNCTION("""COMPUTED_VALUE"""),44788.0)</f>
        <v>44788</v>
      </c>
      <c r="C22076" s="6">
        <f>IFERROR(__xludf.DUMMYFUNCTION("""COMPUTED_VALUE"""),0.7125115740745969)</f>
        <v>0.7125115741</v>
      </c>
      <c r="D22076" s="4">
        <f>IFERROR(__xludf.DUMMYFUNCTION("""COMPUTED_VALUE"""),12.995373)</f>
        <v>12.995373</v>
      </c>
      <c r="E22076" s="4">
        <f>IFERROR(__xludf.DUMMYFUNCTION("""COMPUTED_VALUE"""),80.18812)</f>
        <v>80.18812</v>
      </c>
      <c r="F22076" s="4">
        <f>IFERROR(__xludf.DUMMYFUNCTION("""COMPUTED_VALUE"""),5339.0)</f>
        <v>5339</v>
      </c>
      <c r="G22076" s="4">
        <f>IFERROR(__xludf.DUMMYFUNCTION("""COMPUTED_VALUE"""),51.0)</f>
        <v>51</v>
      </c>
      <c r="H22076" s="4"/>
      <c r="I22076" s="4"/>
    </row>
    <row r="22077">
      <c r="A22077" s="4" t="str">
        <f>IFERROR(__xludf.DUMMYFUNCTION("""COMPUTED_VALUE"""),"cas_hmw")</f>
        <v>cas_hmw</v>
      </c>
      <c r="B22077" s="5">
        <f>IFERROR(__xludf.DUMMYFUNCTION("""COMPUTED_VALUE"""),44788.0)</f>
        <v>44788</v>
      </c>
      <c r="C22077" s="6">
        <f>IFERROR(__xludf.DUMMYFUNCTION("""COMPUTED_VALUE"""),0.7126851851862739)</f>
        <v>0.7126851852</v>
      </c>
      <c r="D22077" s="4">
        <f>IFERROR(__xludf.DUMMYFUNCTION("""COMPUTED_VALUE"""),12.99602)</f>
        <v>12.99602</v>
      </c>
      <c r="E22077" s="4">
        <f>IFERROR(__xludf.DUMMYFUNCTION("""COMPUTED_VALUE"""),80.189194)</f>
        <v>80.189194</v>
      </c>
      <c r="F22077" s="4">
        <f>IFERROR(__xludf.DUMMYFUNCTION("""COMPUTED_VALUE"""),5339.0)</f>
        <v>5339</v>
      </c>
      <c r="G22077" s="4">
        <f>IFERROR(__xludf.DUMMYFUNCTION("""COMPUTED_VALUE"""),39.0)</f>
        <v>39</v>
      </c>
      <c r="H22077" s="4"/>
      <c r="I22077" s="4"/>
    </row>
    <row r="22078">
      <c r="A22078" s="4" t="str">
        <f>IFERROR(__xludf.DUMMYFUNCTION("""COMPUTED_VALUE"""),"cas_hmw")</f>
        <v>cas_hmw</v>
      </c>
      <c r="B22078" s="5">
        <f>IFERROR(__xludf.DUMMYFUNCTION("""COMPUTED_VALUE"""),44788.0)</f>
        <v>44788</v>
      </c>
      <c r="C22078" s="6">
        <f>IFERROR(__xludf.DUMMYFUNCTION("""COMPUTED_VALUE"""),0.7128356481480296)</f>
        <v>0.7128356481</v>
      </c>
      <c r="D22078" s="4">
        <f>IFERROR(__xludf.DUMMYFUNCTION("""COMPUTED_VALUE"""),13.005147)</f>
        <v>13.005147</v>
      </c>
      <c r="E22078" s="4">
        <f>IFERROR(__xludf.DUMMYFUNCTION("""COMPUTED_VALUE"""),80.201424)</f>
        <v>80.201424</v>
      </c>
      <c r="F22078" s="4">
        <f>IFERROR(__xludf.DUMMYFUNCTION("""COMPUTED_VALUE"""),805.0)</f>
        <v>805</v>
      </c>
      <c r="G22078" s="4">
        <f>IFERROR(__xludf.DUMMYFUNCTION("""COMPUTED_VALUE"""),45.0)</f>
        <v>45</v>
      </c>
      <c r="H22078" s="4"/>
      <c r="I22078" s="4"/>
    </row>
    <row r="22079">
      <c r="A22079" s="4" t="str">
        <f>IFERROR(__xludf.DUMMYFUNCTION("""COMPUTED_VALUE"""),"cas_hmw")</f>
        <v>cas_hmw</v>
      </c>
      <c r="B22079" s="5">
        <f>IFERROR(__xludf.DUMMYFUNCTION("""COMPUTED_VALUE"""),44788.0)</f>
        <v>44788</v>
      </c>
      <c r="C22079" s="6">
        <f>IFERROR(__xludf.DUMMYFUNCTION("""COMPUTED_VALUE"""),0.7128587962979509)</f>
        <v>0.7128587963</v>
      </c>
      <c r="D22079" s="4">
        <f>IFERROR(__xludf.DUMMYFUNCTION("""COMPUTED_VALUE"""),12.9971)</f>
        <v>12.9971</v>
      </c>
      <c r="E22079" s="4">
        <f>IFERROR(__xludf.DUMMYFUNCTION("""COMPUTED_VALUE"""),80.190447)</f>
        <v>80.190447</v>
      </c>
      <c r="F22079" s="4">
        <f>IFERROR(__xludf.DUMMYFUNCTION("""COMPUTED_VALUE"""),5339.0)</f>
        <v>5339</v>
      </c>
      <c r="G22079" s="4">
        <f>IFERROR(__xludf.DUMMYFUNCTION("""COMPUTED_VALUE"""),41.0)</f>
        <v>41</v>
      </c>
      <c r="H22079" s="4"/>
      <c r="I22079" s="4"/>
    </row>
    <row r="22080">
      <c r="A22080" s="4" t="str">
        <f>IFERROR(__xludf.DUMMYFUNCTION("""COMPUTED_VALUE"""),"cas_hmw")</f>
        <v>cas_hmw</v>
      </c>
      <c r="B22080" s="5">
        <f>IFERROR(__xludf.DUMMYFUNCTION("""COMPUTED_VALUE"""),44788.0)</f>
        <v>44788</v>
      </c>
      <c r="C22080" s="6">
        <f>IFERROR(__xludf.DUMMYFUNCTION("""COMPUTED_VALUE"""),0.713275462963793)</f>
        <v>0.713275463</v>
      </c>
      <c r="D22080" s="4">
        <f>IFERROR(__xludf.DUMMYFUNCTION("""COMPUTED_VALUE"""),12.999996)</f>
        <v>12.999996</v>
      </c>
      <c r="E22080" s="4">
        <f>IFERROR(__xludf.DUMMYFUNCTION("""COMPUTED_VALUE"""),80.19407)</f>
        <v>80.19407</v>
      </c>
      <c r="F22080" s="4">
        <f>IFERROR(__xludf.DUMMYFUNCTION("""COMPUTED_VALUE"""),5339.0)</f>
        <v>5339</v>
      </c>
      <c r="G22080" s="4">
        <f>IFERROR(__xludf.DUMMYFUNCTION("""COMPUTED_VALUE"""),39.0)</f>
        <v>39</v>
      </c>
      <c r="H22080" s="4"/>
      <c r="I22080" s="4"/>
    </row>
    <row r="22081">
      <c r="A22081" s="4" t="str">
        <f>IFERROR(__xludf.DUMMYFUNCTION("""COMPUTED_VALUE"""),"cas_hmw")</f>
        <v>cas_hmw</v>
      </c>
      <c r="B22081" s="5">
        <f>IFERROR(__xludf.DUMMYFUNCTION("""COMPUTED_VALUE"""),44788.0)</f>
        <v>44788</v>
      </c>
      <c r="C22081" s="6">
        <f>IFERROR(__xludf.DUMMYFUNCTION("""COMPUTED_VALUE"""),0.7135648148141627)</f>
        <v>0.7135648148</v>
      </c>
      <c r="D22081" s="4">
        <f>IFERROR(__xludf.DUMMYFUNCTION("""COMPUTED_VALUE"""),13.007625)</f>
        <v>13.007625</v>
      </c>
      <c r="E22081" s="4">
        <f>IFERROR(__xludf.DUMMYFUNCTION("""COMPUTED_VALUE"""),80.204149)</f>
        <v>80.204149</v>
      </c>
      <c r="F22081" s="4">
        <f>IFERROR(__xludf.DUMMYFUNCTION("""COMPUTED_VALUE"""),805.0)</f>
        <v>805</v>
      </c>
      <c r="G22081" s="4">
        <f>IFERROR(__xludf.DUMMYFUNCTION("""COMPUTED_VALUE"""),55.0)</f>
        <v>55</v>
      </c>
      <c r="H22081" s="4"/>
      <c r="I22081" s="4"/>
    </row>
    <row r="22082">
      <c r="A22082" s="4" t="str">
        <f>IFERROR(__xludf.DUMMYFUNCTION("""COMPUTED_VALUE"""),"cas_hmw")</f>
        <v>cas_hmw</v>
      </c>
      <c r="B22082" s="5">
        <f>IFERROR(__xludf.DUMMYFUNCTION("""COMPUTED_VALUE"""),44788.0)</f>
        <v>44788</v>
      </c>
      <c r="C22082" s="6">
        <f>IFERROR(__xludf.DUMMYFUNCTION("""COMPUTED_VALUE"""),0.7139351851838001)</f>
        <v>0.7139351852</v>
      </c>
      <c r="D22082" s="4">
        <f>IFERROR(__xludf.DUMMYFUNCTION("""COMPUTED_VALUE"""),13.001298)</f>
        <v>13.001298</v>
      </c>
      <c r="E22082" s="4">
        <f>IFERROR(__xludf.DUMMYFUNCTION("""COMPUTED_VALUE"""),80.195611)</f>
        <v>80.195611</v>
      </c>
      <c r="F22082" s="4">
        <f>IFERROR(__xludf.DUMMYFUNCTION("""COMPUTED_VALUE"""),5339.0)</f>
        <v>5339</v>
      </c>
      <c r="G22082" s="4">
        <f>IFERROR(__xludf.DUMMYFUNCTION("""COMPUTED_VALUE"""),16.0)</f>
        <v>16</v>
      </c>
      <c r="H22082" s="4"/>
      <c r="I22082" s="4"/>
    </row>
    <row r="22083">
      <c r="A22083" s="4" t="str">
        <f>IFERROR(__xludf.DUMMYFUNCTION("""COMPUTED_VALUE"""),"cas_hmw")</f>
        <v>cas_hmw</v>
      </c>
      <c r="B22083" s="5">
        <f>IFERROR(__xludf.DUMMYFUNCTION("""COMPUTED_VALUE"""),44788.0)</f>
        <v>44788</v>
      </c>
      <c r="C22083" s="6">
        <f>IFERROR(__xludf.DUMMYFUNCTION("""COMPUTED_VALUE"""),0.7142129629646661)</f>
        <v>0.714212963</v>
      </c>
      <c r="D22083" s="4">
        <f>IFERROR(__xludf.DUMMYFUNCTION("""COMPUTED_VALUE"""),13.008296)</f>
        <v>13.008296</v>
      </c>
      <c r="E22083" s="4">
        <f>IFERROR(__xludf.DUMMYFUNCTION("""COMPUTED_VALUE"""),80.209751)</f>
        <v>80.209751</v>
      </c>
      <c r="F22083" s="4">
        <f>IFERROR(__xludf.DUMMYFUNCTION("""COMPUTED_VALUE"""),805.0)</f>
        <v>805</v>
      </c>
      <c r="G22083" s="4">
        <f>IFERROR(__xludf.DUMMYFUNCTION("""COMPUTED_VALUE"""),41.0)</f>
        <v>41</v>
      </c>
      <c r="H22083" s="4"/>
      <c r="I22083" s="4"/>
    </row>
    <row r="22084">
      <c r="A22084" s="4" t="str">
        <f>IFERROR(__xludf.DUMMYFUNCTION("""COMPUTED_VALUE"""),"cas_hmw")</f>
        <v>cas_hmw</v>
      </c>
      <c r="B22084" s="5">
        <f>IFERROR(__xludf.DUMMYFUNCTION("""COMPUTED_VALUE"""),44788.0)</f>
        <v>44788</v>
      </c>
      <c r="C22084" s="6">
        <f>IFERROR(__xludf.DUMMYFUNCTION("""COMPUTED_VALUE"""),0.7142939814802958)</f>
        <v>0.7142939815</v>
      </c>
      <c r="D22084" s="4">
        <f>IFERROR(__xludf.DUMMYFUNCTION("""COMPUTED_VALUE"""),12.697236)</f>
        <v>12.697236</v>
      </c>
      <c r="E22084" s="4">
        <f>IFERROR(__xludf.DUMMYFUNCTION("""COMPUTED_VALUE"""),79.972871)</f>
        <v>79.972871</v>
      </c>
      <c r="F22084" s="4">
        <f>IFERROR(__xludf.DUMMYFUNCTION("""COMPUTED_VALUE"""),2846.0)</f>
        <v>2846</v>
      </c>
      <c r="G22084" s="4">
        <f>IFERROR(__xludf.DUMMYFUNCTION("""COMPUTED_VALUE"""),14.0)</f>
        <v>14</v>
      </c>
      <c r="H22084" s="4"/>
      <c r="I22084" s="4"/>
    </row>
    <row r="22085">
      <c r="A22085" s="4" t="str">
        <f>IFERROR(__xludf.DUMMYFUNCTION("""COMPUTED_VALUE"""),"cas_hmw")</f>
        <v>cas_hmw</v>
      </c>
      <c r="B22085" s="5">
        <f>IFERROR(__xludf.DUMMYFUNCTION("""COMPUTED_VALUE"""),44788.0)</f>
        <v>44788</v>
      </c>
      <c r="C22085" s="6">
        <f>IFERROR(__xludf.DUMMYFUNCTION("""COMPUTED_VALUE"""),0.7143402777765004)</f>
        <v>0.7143402778</v>
      </c>
      <c r="D22085" s="4">
        <f>IFERROR(__xludf.DUMMYFUNCTION("""COMPUTED_VALUE"""),13.001804)</f>
        <v>13.001804</v>
      </c>
      <c r="E22085" s="4">
        <f>IFERROR(__xludf.DUMMYFUNCTION("""COMPUTED_VALUE"""),80.199254)</f>
        <v>80.199254</v>
      </c>
      <c r="F22085" s="4">
        <f>IFERROR(__xludf.DUMMYFUNCTION("""COMPUTED_VALUE"""),5339.0)</f>
        <v>5339</v>
      </c>
      <c r="G22085" s="4">
        <f>IFERROR(__xludf.DUMMYFUNCTION("""COMPUTED_VALUE"""),52.0)</f>
        <v>52</v>
      </c>
      <c r="H22085" s="4"/>
      <c r="I22085" s="4"/>
    </row>
    <row r="22086">
      <c r="A22086" s="4" t="str">
        <f>IFERROR(__xludf.DUMMYFUNCTION("""COMPUTED_VALUE"""),"cas_hmw")</f>
        <v>cas_hmw</v>
      </c>
      <c r="B22086" s="5">
        <f>IFERROR(__xludf.DUMMYFUNCTION("""COMPUTED_VALUE"""),44788.0)</f>
        <v>44788</v>
      </c>
      <c r="C22086" s="6">
        <f>IFERROR(__xludf.DUMMYFUNCTION("""COMPUTED_VALUE"""),0.7146874999998545)</f>
        <v>0.7146875</v>
      </c>
      <c r="D22086" s="4">
        <f>IFERROR(__xludf.DUMMYFUNCTION("""COMPUTED_VALUE"""),13.010137)</f>
        <v>13.010137</v>
      </c>
      <c r="E22086" s="4">
        <f>IFERROR(__xludf.DUMMYFUNCTION("""COMPUTED_VALUE"""),80.214724)</f>
        <v>80.214724</v>
      </c>
      <c r="F22086" s="4">
        <f>IFERROR(__xludf.DUMMYFUNCTION("""COMPUTED_VALUE"""),805.0)</f>
        <v>805</v>
      </c>
      <c r="G22086" s="4">
        <f>IFERROR(__xludf.DUMMYFUNCTION("""COMPUTED_VALUE"""),28.0)</f>
        <v>28</v>
      </c>
      <c r="H22086" s="4"/>
      <c r="I22086" s="4"/>
    </row>
    <row r="22087">
      <c r="A22087" s="4" t="str">
        <f>IFERROR(__xludf.DUMMYFUNCTION("""COMPUTED_VALUE"""),"cas_hmw")</f>
        <v>cas_hmw</v>
      </c>
      <c r="B22087" s="5">
        <f>IFERROR(__xludf.DUMMYFUNCTION("""COMPUTED_VALUE"""),44788.0)</f>
        <v>44788</v>
      </c>
      <c r="C22087" s="6">
        <f>IFERROR(__xludf.DUMMYFUNCTION("""COMPUTED_VALUE"""),0.7147106481497758)</f>
        <v>0.7147106481</v>
      </c>
      <c r="D22087" s="4">
        <f>IFERROR(__xludf.DUMMYFUNCTION("""COMPUTED_VALUE"""),13.010137)</f>
        <v>13.010137</v>
      </c>
      <c r="E22087" s="4">
        <f>IFERROR(__xludf.DUMMYFUNCTION("""COMPUTED_VALUE"""),80.214724)</f>
        <v>80.214724</v>
      </c>
      <c r="F22087" s="4">
        <f>IFERROR(__xludf.DUMMYFUNCTION("""COMPUTED_VALUE"""),805.0)</f>
        <v>805</v>
      </c>
      <c r="G22087" s="4">
        <f>IFERROR(__xludf.DUMMYFUNCTION("""COMPUTED_VALUE"""),28.0)</f>
        <v>28</v>
      </c>
      <c r="H22087" s="4"/>
      <c r="I22087" s="4"/>
    </row>
    <row r="22088">
      <c r="A22088" s="4" t="str">
        <f>IFERROR(__xludf.DUMMYFUNCTION("""COMPUTED_VALUE"""),"cas_hmw")</f>
        <v>cas_hmw</v>
      </c>
      <c r="B22088" s="5">
        <f>IFERROR(__xludf.DUMMYFUNCTION("""COMPUTED_VALUE"""),44788.0)</f>
        <v>44788</v>
      </c>
      <c r="C22088" s="6">
        <f>IFERROR(__xludf.DUMMYFUNCTION("""COMPUTED_VALUE"""),0.7150810185194132)</f>
        <v>0.7150810185</v>
      </c>
      <c r="D22088" s="4">
        <f>IFERROR(__xludf.DUMMYFUNCTION("""COMPUTED_VALUE"""),13.011072)</f>
        <v>13.011072</v>
      </c>
      <c r="E22088" s="4">
        <f>IFERROR(__xludf.DUMMYFUNCTION("""COMPUTED_VALUE"""),80.217482)</f>
        <v>80.217482</v>
      </c>
      <c r="F22088" s="4">
        <f>IFERROR(__xludf.DUMMYFUNCTION("""COMPUTED_VALUE"""),805.0)</f>
        <v>805</v>
      </c>
      <c r="G22088" s="4">
        <f>IFERROR(__xludf.DUMMYFUNCTION("""COMPUTED_VALUE"""),35.0)</f>
        <v>35</v>
      </c>
      <c r="H22088" s="4"/>
      <c r="I22088" s="4"/>
    </row>
    <row r="22089">
      <c r="A22089" s="4" t="str">
        <f>IFERROR(__xludf.DUMMYFUNCTION("""COMPUTED_VALUE"""),"cas_hmw")</f>
        <v>cas_hmw</v>
      </c>
      <c r="B22089" s="5">
        <f>IFERROR(__xludf.DUMMYFUNCTION("""COMPUTED_VALUE"""),44788.0)</f>
        <v>44788</v>
      </c>
      <c r="C22089" s="6">
        <f>IFERROR(__xludf.DUMMYFUNCTION("""COMPUTED_VALUE"""),0.7151967592581059)</f>
        <v>0.7151967593</v>
      </c>
      <c r="D22089" s="4">
        <f>IFERROR(__xludf.DUMMYFUNCTION("""COMPUTED_VALUE"""),13.011657)</f>
        <v>13.011657</v>
      </c>
      <c r="E22089" s="4">
        <f>IFERROR(__xludf.DUMMYFUNCTION("""COMPUTED_VALUE"""),80.219066)</f>
        <v>80.219066</v>
      </c>
      <c r="F22089" s="4">
        <f>IFERROR(__xludf.DUMMYFUNCTION("""COMPUTED_VALUE"""),805.0)</f>
        <v>805</v>
      </c>
      <c r="G22089" s="4">
        <f>IFERROR(__xludf.DUMMYFUNCTION("""COMPUTED_VALUE"""),43.0)</f>
        <v>43</v>
      </c>
      <c r="H22089" s="4"/>
      <c r="I22089" s="4"/>
    </row>
    <row r="22090">
      <c r="A22090" s="4" t="str">
        <f>IFERROR(__xludf.DUMMYFUNCTION("""COMPUTED_VALUE"""),"cas_hmw")</f>
        <v>cas_hmw</v>
      </c>
      <c r="B22090" s="5">
        <f>IFERROR(__xludf.DUMMYFUNCTION("""COMPUTED_VALUE"""),44788.0)</f>
        <v>44788</v>
      </c>
      <c r="C22090" s="6">
        <f>IFERROR(__xludf.DUMMYFUNCTION("""COMPUTED_VALUE"""),0.7155208333315386)</f>
        <v>0.7155208333</v>
      </c>
      <c r="D22090" s="4">
        <f>IFERROR(__xludf.DUMMYFUNCTION("""COMPUTED_VALUE"""),13.012248)</f>
        <v>13.012248</v>
      </c>
      <c r="E22090" s="4">
        <f>IFERROR(__xludf.DUMMYFUNCTION("""COMPUTED_VALUE"""),80.220804)</f>
        <v>80.220804</v>
      </c>
      <c r="F22090" s="4">
        <f>IFERROR(__xludf.DUMMYFUNCTION("""COMPUTED_VALUE"""),805.0)</f>
        <v>805</v>
      </c>
      <c r="G22090" s="4">
        <f>IFERROR(__xludf.DUMMYFUNCTION("""COMPUTED_VALUE"""),33.0)</f>
        <v>33</v>
      </c>
      <c r="H22090" s="4"/>
      <c r="I22090" s="4"/>
    </row>
    <row r="22091">
      <c r="A22091" s="4" t="str">
        <f>IFERROR(__xludf.DUMMYFUNCTION("""COMPUTED_VALUE"""),"cas_hmw")</f>
        <v>cas_hmw</v>
      </c>
      <c r="B22091" s="5">
        <f>IFERROR(__xludf.DUMMYFUNCTION("""COMPUTED_VALUE"""),44788.0)</f>
        <v>44788</v>
      </c>
      <c r="C22091" s="6">
        <f>IFERROR(__xludf.DUMMYFUNCTION("""COMPUTED_VALUE"""),0.716064814816491)</f>
        <v>0.7160648148</v>
      </c>
      <c r="D22091" s="4">
        <f>IFERROR(__xludf.DUMMYFUNCTION("""COMPUTED_VALUE"""),13.009265)</f>
        <v>13.009265</v>
      </c>
      <c r="E22091" s="4">
        <f>IFERROR(__xludf.DUMMYFUNCTION("""COMPUTED_VALUE"""),80.21247)</f>
        <v>80.21247</v>
      </c>
      <c r="F22091" s="4">
        <f>IFERROR(__xludf.DUMMYFUNCTION("""COMPUTED_VALUE"""),5339.0)</f>
        <v>5339</v>
      </c>
      <c r="G22091" s="4">
        <f>IFERROR(__xludf.DUMMYFUNCTION("""COMPUTED_VALUE"""),44.0)</f>
        <v>44</v>
      </c>
      <c r="H22091" s="4"/>
      <c r="I22091" s="4"/>
    </row>
    <row r="22092">
      <c r="A22092" s="4" t="str">
        <f>IFERROR(__xludf.DUMMYFUNCTION("""COMPUTED_VALUE"""),"cas_hmw")</f>
        <v>cas_hmw</v>
      </c>
      <c r="B22092" s="5">
        <f>IFERROR(__xludf.DUMMYFUNCTION("""COMPUTED_VALUE"""),44788.0)</f>
        <v>44788</v>
      </c>
      <c r="C22092" s="6">
        <f>IFERROR(__xludf.DUMMYFUNCTION("""COMPUTED_VALUE"""),0.7162962962975143)</f>
        <v>0.7162962963</v>
      </c>
      <c r="D22092" s="4">
        <f>IFERROR(__xludf.DUMMYFUNCTION("""COMPUTED_VALUE"""),13.009822)</f>
        <v>13.009822</v>
      </c>
      <c r="E22092" s="4">
        <f>IFERROR(__xludf.DUMMYFUNCTION("""COMPUTED_VALUE"""),80.213936)</f>
        <v>80.213936</v>
      </c>
      <c r="F22092" s="4">
        <f>IFERROR(__xludf.DUMMYFUNCTION("""COMPUTED_VALUE"""),5339.0)</f>
        <v>5339</v>
      </c>
      <c r="G22092" s="4">
        <f>IFERROR(__xludf.DUMMYFUNCTION("""COMPUTED_VALUE"""),39.0)</f>
        <v>39</v>
      </c>
      <c r="H22092" s="4"/>
      <c r="I22092" s="4"/>
    </row>
    <row r="22093">
      <c r="A22093" s="4" t="str">
        <f>IFERROR(__xludf.DUMMYFUNCTION("""COMPUTED_VALUE"""),"cas_hmw")</f>
        <v>cas_hmw</v>
      </c>
      <c r="B22093" s="5">
        <f>IFERROR(__xludf.DUMMYFUNCTION("""COMPUTED_VALUE"""),44788.0)</f>
        <v>44788</v>
      </c>
      <c r="C22093" s="6">
        <f>IFERROR(__xludf.DUMMYFUNCTION("""COMPUTED_VALUE"""),0.7166435185172304)</f>
        <v>0.7166435185</v>
      </c>
      <c r="D22093" s="4">
        <f>IFERROR(__xludf.DUMMYFUNCTION("""COMPUTED_VALUE"""),13.014938)</f>
        <v>13.014938</v>
      </c>
      <c r="E22093" s="4">
        <f>IFERROR(__xludf.DUMMYFUNCTION("""COMPUTED_VALUE"""),80.225929)</f>
        <v>80.225929</v>
      </c>
      <c r="F22093" s="4">
        <f>IFERROR(__xludf.DUMMYFUNCTION("""COMPUTED_VALUE"""),805.0)</f>
        <v>805</v>
      </c>
      <c r="G22093" s="4">
        <f>IFERROR(__xludf.DUMMYFUNCTION("""COMPUTED_VALUE"""),33.0)</f>
        <v>33</v>
      </c>
      <c r="H22093" s="4"/>
      <c r="I22093" s="4"/>
    </row>
    <row r="22094">
      <c r="A22094" s="4" t="str">
        <f>IFERROR(__xludf.DUMMYFUNCTION("""COMPUTED_VALUE"""),"cas_hmw")</f>
        <v>cas_hmw</v>
      </c>
      <c r="B22094" s="5">
        <f>IFERROR(__xludf.DUMMYFUNCTION("""COMPUTED_VALUE"""),44788.0)</f>
        <v>44788</v>
      </c>
      <c r="C22094" s="6">
        <f>IFERROR(__xludf.DUMMYFUNCTION("""COMPUTED_VALUE"""),0.7166898148134351)</f>
        <v>0.7166898148</v>
      </c>
      <c r="D22094" s="4">
        <f>IFERROR(__xludf.DUMMYFUNCTION("""COMPUTED_VALUE"""),13.010726)</f>
        <v>13.010726</v>
      </c>
      <c r="E22094" s="4">
        <f>IFERROR(__xludf.DUMMYFUNCTION("""COMPUTED_VALUE"""),80.216731)</f>
        <v>80.216731</v>
      </c>
      <c r="F22094" s="4">
        <f>IFERROR(__xludf.DUMMYFUNCTION("""COMPUTED_VALUE"""),5339.0)</f>
        <v>5339</v>
      </c>
      <c r="G22094" s="4">
        <f>IFERROR(__xludf.DUMMYFUNCTION("""COMPUTED_VALUE"""),34.0)</f>
        <v>34</v>
      </c>
      <c r="H22094" s="4"/>
      <c r="I22094" s="4"/>
    </row>
    <row r="22095">
      <c r="A22095" s="4" t="str">
        <f>IFERROR(__xludf.DUMMYFUNCTION("""COMPUTED_VALUE"""),"cas_hmw")</f>
        <v>cas_hmw</v>
      </c>
      <c r="B22095" s="5">
        <f>IFERROR(__xludf.DUMMYFUNCTION("""COMPUTED_VALUE"""),44788.0)</f>
        <v>44788</v>
      </c>
      <c r="C22095" s="6">
        <f>IFERROR(__xludf.DUMMYFUNCTION("""COMPUTED_VALUE"""),0.7167592592595611)</f>
        <v>0.7167592593</v>
      </c>
      <c r="D22095" s="4">
        <f>IFERROR(__xludf.DUMMYFUNCTION("""COMPUTED_VALUE"""),13.013544)</f>
        <v>13.013544</v>
      </c>
      <c r="E22095" s="4">
        <f>IFERROR(__xludf.DUMMYFUNCTION("""COMPUTED_VALUE"""),80.22651)</f>
        <v>80.22651</v>
      </c>
      <c r="F22095" s="4">
        <f>IFERROR(__xludf.DUMMYFUNCTION("""COMPUTED_VALUE"""),805.0)</f>
        <v>805</v>
      </c>
      <c r="G22095" s="4">
        <f>IFERROR(__xludf.DUMMYFUNCTION("""COMPUTED_VALUE"""),34.0)</f>
        <v>34</v>
      </c>
      <c r="H22095" s="4"/>
      <c r="I22095" s="4"/>
    </row>
    <row r="22096">
      <c r="A22096" s="4" t="str">
        <f>IFERROR(__xludf.DUMMYFUNCTION("""COMPUTED_VALUE"""),"cas_hmw")</f>
        <v>cas_hmw</v>
      </c>
      <c r="B22096" s="5">
        <f>IFERROR(__xludf.DUMMYFUNCTION("""COMPUTED_VALUE"""),44788.0)</f>
        <v>44788</v>
      </c>
      <c r="C22096" s="6">
        <f>IFERROR(__xludf.DUMMYFUNCTION("""COMPUTED_VALUE"""),0.7168865740750334)</f>
        <v>0.7168865741</v>
      </c>
      <c r="D22096" s="4">
        <f>IFERROR(__xludf.DUMMYFUNCTION("""COMPUTED_VALUE"""),13.011316)</f>
        <v>13.011316</v>
      </c>
      <c r="E22096" s="4">
        <f>IFERROR(__xludf.DUMMYFUNCTION("""COMPUTED_VALUE"""),80.218119)</f>
        <v>80.218119</v>
      </c>
      <c r="F22096" s="4">
        <f>IFERROR(__xludf.DUMMYFUNCTION("""COMPUTED_VALUE"""),5339.0)</f>
        <v>5339</v>
      </c>
      <c r="G22096" s="4">
        <f>IFERROR(__xludf.DUMMYFUNCTION("""COMPUTED_VALUE"""),40.0)</f>
        <v>40</v>
      </c>
      <c r="H22096" s="4"/>
      <c r="I22096" s="4"/>
    </row>
    <row r="22097">
      <c r="A22097" s="4" t="str">
        <f>IFERROR(__xludf.DUMMYFUNCTION("""COMPUTED_VALUE"""),"cas_hmw")</f>
        <v>cas_hmw</v>
      </c>
      <c r="B22097" s="5">
        <f>IFERROR(__xludf.DUMMYFUNCTION("""COMPUTED_VALUE"""),44788.0)</f>
        <v>44788</v>
      </c>
      <c r="C22097" s="6">
        <f>IFERROR(__xludf.DUMMYFUNCTION("""COMPUTED_VALUE"""),0.7172685185178125)</f>
        <v>0.7172685185</v>
      </c>
      <c r="D22097" s="4">
        <f>IFERROR(__xludf.DUMMYFUNCTION("""COMPUTED_VALUE"""),13.012257)</f>
        <v>13.012257</v>
      </c>
      <c r="E22097" s="4">
        <f>IFERROR(__xludf.DUMMYFUNCTION("""COMPUTED_VALUE"""),80.220773)</f>
        <v>80.220773</v>
      </c>
      <c r="F22097" s="4">
        <f>IFERROR(__xludf.DUMMYFUNCTION("""COMPUTED_VALUE"""),5339.0)</f>
        <v>5339</v>
      </c>
      <c r="G22097" s="4">
        <f>IFERROR(__xludf.DUMMYFUNCTION("""COMPUTED_VALUE"""),30.0)</f>
        <v>30</v>
      </c>
      <c r="H22097" s="4"/>
      <c r="I22097" s="4"/>
    </row>
    <row r="22098">
      <c r="A22098" s="4" t="str">
        <f>IFERROR(__xludf.DUMMYFUNCTION("""COMPUTED_VALUE"""),"cas_hmw")</f>
        <v>cas_hmw</v>
      </c>
      <c r="B22098" s="5">
        <f>IFERROR(__xludf.DUMMYFUNCTION("""COMPUTED_VALUE"""),44788.0)</f>
        <v>44788</v>
      </c>
      <c r="C22098" s="6">
        <f>IFERROR(__xludf.DUMMYFUNCTION("""COMPUTED_VALUE"""),0.7174189814832062)</f>
        <v>0.7174189815</v>
      </c>
      <c r="D22098" s="4">
        <f>IFERROR(__xludf.DUMMYFUNCTION("""COMPUTED_VALUE"""),13.013)</f>
        <v>13.013</v>
      </c>
      <c r="E22098" s="4">
        <f>IFERROR(__xludf.DUMMYFUNCTION("""COMPUTED_VALUE"""),80.222166)</f>
        <v>80.222166</v>
      </c>
      <c r="F22098" s="4">
        <f>IFERROR(__xludf.DUMMYFUNCTION("""COMPUTED_VALUE"""),5339.0)</f>
        <v>5339</v>
      </c>
      <c r="G22098" s="4">
        <f>IFERROR(__xludf.DUMMYFUNCTION("""COMPUTED_VALUE"""),38.0)</f>
        <v>38</v>
      </c>
      <c r="H22098" s="4"/>
      <c r="I22098" s="4"/>
    </row>
    <row r="22099">
      <c r="A22099" s="4" t="str">
        <f>IFERROR(__xludf.DUMMYFUNCTION("""COMPUTED_VALUE"""),"cas_hmw")</f>
        <v>cas_hmw</v>
      </c>
      <c r="B22099" s="5">
        <f>IFERROR(__xludf.DUMMYFUNCTION("""COMPUTED_VALUE"""),44788.0)</f>
        <v>44788</v>
      </c>
      <c r="C22099" s="6">
        <f>IFERROR(__xludf.DUMMYFUNCTION("""COMPUTED_VALUE"""),0.7175115740756155)</f>
        <v>0.7175115741</v>
      </c>
      <c r="D22099" s="4">
        <f>IFERROR(__xludf.DUMMYFUNCTION("""COMPUTED_VALUE"""),13.008768)</f>
        <v>13.008768</v>
      </c>
      <c r="E22099" s="4">
        <f>IFERROR(__xludf.DUMMYFUNCTION("""COMPUTED_VALUE"""),80.2306)</f>
        <v>80.2306</v>
      </c>
      <c r="F22099" s="4">
        <f>IFERROR(__xludf.DUMMYFUNCTION("""COMPUTED_VALUE"""),805.0)</f>
        <v>805</v>
      </c>
      <c r="G22099" s="4">
        <f>IFERROR(__xludf.DUMMYFUNCTION("""COMPUTED_VALUE"""),54.0)</f>
        <v>54</v>
      </c>
      <c r="H22099" s="4"/>
      <c r="I22099" s="4"/>
    </row>
    <row r="22100">
      <c r="A22100" s="4" t="str">
        <f>IFERROR(__xludf.DUMMYFUNCTION("""COMPUTED_VALUE"""),"cas_hmw")</f>
        <v>cas_hmw</v>
      </c>
      <c r="B22100" s="5">
        <f>IFERROR(__xludf.DUMMYFUNCTION("""COMPUTED_VALUE"""),44788.0)</f>
        <v>44788</v>
      </c>
      <c r="C22100" s="6">
        <f>IFERROR(__xludf.DUMMYFUNCTION("""COMPUTED_VALUE"""),0.7178587962953316)</f>
        <v>0.7178587963</v>
      </c>
      <c r="D22100" s="4">
        <f>IFERROR(__xludf.DUMMYFUNCTION("""COMPUTED_VALUE"""),13.01489)</f>
        <v>13.01489</v>
      </c>
      <c r="E22100" s="4">
        <f>IFERROR(__xludf.DUMMYFUNCTION("""COMPUTED_VALUE"""),80.224338)</f>
        <v>80.224338</v>
      </c>
      <c r="F22100" s="4">
        <f>IFERROR(__xludf.DUMMYFUNCTION("""COMPUTED_VALUE"""),5339.0)</f>
        <v>5339</v>
      </c>
      <c r="G22100" s="4">
        <f>IFERROR(__xludf.DUMMYFUNCTION("""COMPUTED_VALUE"""),25.0)</f>
        <v>25</v>
      </c>
      <c r="H22100" s="4"/>
      <c r="I22100" s="4"/>
    </row>
    <row r="22101">
      <c r="A22101" s="4" t="str">
        <f>IFERROR(__xludf.DUMMYFUNCTION("""COMPUTED_VALUE"""),"cas_hmw")</f>
        <v>cas_hmw</v>
      </c>
      <c r="B22101" s="5">
        <f>IFERROR(__xludf.DUMMYFUNCTION("""COMPUTED_VALUE"""),44788.0)</f>
        <v>44788</v>
      </c>
      <c r="C22101" s="6">
        <f>IFERROR(__xludf.DUMMYFUNCTION("""COMPUTED_VALUE"""),0.7178703703721112)</f>
        <v>0.7178703704</v>
      </c>
      <c r="D22101" s="4">
        <f>IFERROR(__xludf.DUMMYFUNCTION("""COMPUTED_VALUE"""),13.01489)</f>
        <v>13.01489</v>
      </c>
      <c r="E22101" s="4">
        <f>IFERROR(__xludf.DUMMYFUNCTION("""COMPUTED_VALUE"""),80.224338)</f>
        <v>80.224338</v>
      </c>
      <c r="F22101" s="4">
        <f>IFERROR(__xludf.DUMMYFUNCTION("""COMPUTED_VALUE"""),5339.0)</f>
        <v>5339</v>
      </c>
      <c r="G22101" s="4">
        <f>IFERROR(__xludf.DUMMYFUNCTION("""COMPUTED_VALUE"""),25.0)</f>
        <v>25</v>
      </c>
      <c r="H22101" s="4"/>
      <c r="I22101" s="4"/>
    </row>
    <row r="22102">
      <c r="A22102" s="4" t="str">
        <f>IFERROR(__xludf.DUMMYFUNCTION("""COMPUTED_VALUE"""),"cas_hmw")</f>
        <v>cas_hmw</v>
      </c>
      <c r="B22102" s="5">
        <f>IFERROR(__xludf.DUMMYFUNCTION("""COMPUTED_VALUE"""),44788.0)</f>
        <v>44788</v>
      </c>
      <c r="C22102" s="6">
        <f>IFERROR(__xludf.DUMMYFUNCTION("""COMPUTED_VALUE"""),0.7182638888880319)</f>
        <v>0.7182638889</v>
      </c>
      <c r="D22102" s="4">
        <f>IFERROR(__xludf.DUMMYFUNCTION("""COMPUTED_VALUE"""),13.007866)</f>
        <v>13.007866</v>
      </c>
      <c r="E22102" s="4">
        <f>IFERROR(__xludf.DUMMYFUNCTION("""COMPUTED_VALUE"""),80.235284)</f>
        <v>80.235284</v>
      </c>
      <c r="F22102" s="4">
        <f>IFERROR(__xludf.DUMMYFUNCTION("""COMPUTED_VALUE"""),805.0)</f>
        <v>805</v>
      </c>
      <c r="G22102" s="4">
        <f>IFERROR(__xludf.DUMMYFUNCTION("""COMPUTED_VALUE"""),27.0)</f>
        <v>27</v>
      </c>
      <c r="H22102" s="4"/>
      <c r="I22102" s="4"/>
    </row>
    <row r="22103">
      <c r="A22103" s="4" t="str">
        <f>IFERROR(__xludf.DUMMYFUNCTION("""COMPUTED_VALUE"""),"cas_hmw")</f>
        <v>cas_hmw</v>
      </c>
      <c r="B22103" s="5">
        <f>IFERROR(__xludf.DUMMYFUNCTION("""COMPUTED_VALUE"""),44788.0)</f>
        <v>44788</v>
      </c>
      <c r="C22103" s="6">
        <f>IFERROR(__xludf.DUMMYFUNCTION("""COMPUTED_VALUE"""),0.7182870370379533)</f>
        <v>0.718287037</v>
      </c>
      <c r="D22103" s="4">
        <f>IFERROR(__xludf.DUMMYFUNCTION("""COMPUTED_VALUE"""),13.018085)</f>
        <v>13.018085</v>
      </c>
      <c r="E22103" s="4">
        <f>IFERROR(__xludf.DUMMYFUNCTION("""COMPUTED_VALUE"""),80.224726)</f>
        <v>80.224726</v>
      </c>
      <c r="F22103" s="4">
        <f>IFERROR(__xludf.DUMMYFUNCTION("""COMPUTED_VALUE"""),5339.0)</f>
        <v>5339</v>
      </c>
      <c r="G22103" s="4">
        <f>IFERROR(__xludf.DUMMYFUNCTION("""COMPUTED_VALUE"""),40.0)</f>
        <v>40</v>
      </c>
      <c r="H22103" s="4"/>
      <c r="I22103" s="4"/>
    </row>
    <row r="22104">
      <c r="A22104" s="4" t="str">
        <f>IFERROR(__xludf.DUMMYFUNCTION("""COMPUTED_VALUE"""),"cas_hmw")</f>
        <v>cas_hmw</v>
      </c>
      <c r="B22104" s="5">
        <f>IFERROR(__xludf.DUMMYFUNCTION("""COMPUTED_VALUE"""),44788.0)</f>
        <v>44788</v>
      </c>
      <c r="C22104" s="6">
        <f>IFERROR(__xludf.DUMMYFUNCTION("""COMPUTED_VALUE"""),0.7190046296309447)</f>
        <v>0.7190046296</v>
      </c>
      <c r="D22104" s="4">
        <f>IFERROR(__xludf.DUMMYFUNCTION("""COMPUTED_VALUE"""),13.020084)</f>
        <v>13.020084</v>
      </c>
      <c r="E22104" s="4">
        <f>IFERROR(__xludf.DUMMYFUNCTION("""COMPUTED_VALUE"""),80.224798)</f>
        <v>80.224798</v>
      </c>
      <c r="F22104" s="4">
        <f>IFERROR(__xludf.DUMMYFUNCTION("""COMPUTED_VALUE"""),5339.0)</f>
        <v>5339</v>
      </c>
      <c r="G22104" s="4">
        <f>IFERROR(__xludf.DUMMYFUNCTION("""COMPUTED_VALUE"""),25.0)</f>
        <v>25</v>
      </c>
      <c r="H22104" s="4"/>
      <c r="I22104" s="4"/>
    </row>
    <row r="22105">
      <c r="A22105" s="4" t="str">
        <f>IFERROR(__xludf.DUMMYFUNCTION("""COMPUTED_VALUE"""),"cas_hmw")</f>
        <v>cas_hmw</v>
      </c>
      <c r="B22105" s="5">
        <f>IFERROR(__xludf.DUMMYFUNCTION("""COMPUTED_VALUE"""),44788.0)</f>
        <v>44788</v>
      </c>
      <c r="C22105" s="6">
        <f>IFERROR(__xludf.DUMMYFUNCTION("""COMPUTED_VALUE"""),0.7190740740734327)</f>
        <v>0.7190740741</v>
      </c>
      <c r="D22105" s="4">
        <f>IFERROR(__xludf.DUMMYFUNCTION("""COMPUTED_VALUE"""),13.007016)</f>
        <v>13.007016</v>
      </c>
      <c r="E22105" s="4">
        <f>IFERROR(__xludf.DUMMYFUNCTION("""COMPUTED_VALUE"""),80.239554)</f>
        <v>80.239554</v>
      </c>
      <c r="F22105" s="4">
        <f>IFERROR(__xludf.DUMMYFUNCTION("""COMPUTED_VALUE"""),805.0)</f>
        <v>805</v>
      </c>
      <c r="G22105" s="4">
        <f>IFERROR(__xludf.DUMMYFUNCTION("""COMPUTED_VALUE"""),24.0)</f>
        <v>24</v>
      </c>
      <c r="H22105" s="4"/>
      <c r="I22105" s="4"/>
    </row>
    <row r="22106">
      <c r="A22106" s="4" t="str">
        <f>IFERROR(__xludf.DUMMYFUNCTION("""COMPUTED_VALUE"""),"cas_hmw")</f>
        <v>cas_hmw</v>
      </c>
      <c r="B22106" s="5">
        <f>IFERROR(__xludf.DUMMYFUNCTION("""COMPUTED_VALUE"""),44788.0)</f>
        <v>44788</v>
      </c>
      <c r="C22106" s="6">
        <f>IFERROR(__xludf.DUMMYFUNCTION("""COMPUTED_VALUE"""),0.7193865740737238)</f>
        <v>0.7193865741</v>
      </c>
      <c r="D22106" s="4">
        <f>IFERROR(__xludf.DUMMYFUNCTION("""COMPUTED_VALUE"""),13.021881)</f>
        <v>13.021881</v>
      </c>
      <c r="E22106" s="4">
        <f>IFERROR(__xludf.DUMMYFUNCTION("""COMPUTED_VALUE"""),80.226118)</f>
        <v>80.226118</v>
      </c>
      <c r="F22106" s="4">
        <f>IFERROR(__xludf.DUMMYFUNCTION("""COMPUTED_VALUE"""),5339.0)</f>
        <v>5339</v>
      </c>
      <c r="G22106" s="4">
        <f>IFERROR(__xludf.DUMMYFUNCTION("""COMPUTED_VALUE"""),27.0)</f>
        <v>27</v>
      </c>
      <c r="H22106" s="4"/>
      <c r="I22106" s="4"/>
    </row>
    <row r="22107">
      <c r="A22107" s="4" t="str">
        <f>IFERROR(__xludf.DUMMYFUNCTION("""COMPUTED_VALUE"""),"cas_hmw")</f>
        <v>cas_hmw</v>
      </c>
      <c r="B22107" s="5">
        <f>IFERROR(__xludf.DUMMYFUNCTION("""COMPUTED_VALUE"""),44788.0)</f>
        <v>44788</v>
      </c>
      <c r="C22107" s="6">
        <f>IFERROR(__xludf.DUMMYFUNCTION("""COMPUTED_VALUE"""),0.7195138888891961)</f>
        <v>0.7195138889</v>
      </c>
      <c r="D22107" s="4">
        <f>IFERROR(__xludf.DUMMYFUNCTION("""COMPUTED_VALUE"""),13.006695)</f>
        <v>13.006695</v>
      </c>
      <c r="E22107" s="4">
        <f>IFERROR(__xludf.DUMMYFUNCTION("""COMPUTED_VALUE"""),80.242892)</f>
        <v>80.242892</v>
      </c>
      <c r="F22107" s="4">
        <f>IFERROR(__xludf.DUMMYFUNCTION("""COMPUTED_VALUE"""),805.0)</f>
        <v>805</v>
      </c>
      <c r="G22107" s="4">
        <f>IFERROR(__xludf.DUMMYFUNCTION("""COMPUTED_VALUE"""),30.0)</f>
        <v>30</v>
      </c>
      <c r="H22107" s="4"/>
      <c r="I22107" s="4"/>
    </row>
    <row r="22108">
      <c r="A22108" s="4" t="str">
        <f>IFERROR(__xludf.DUMMYFUNCTION("""COMPUTED_VALUE"""),"cas_hmw")</f>
        <v>cas_hmw</v>
      </c>
      <c r="B22108" s="5">
        <f>IFERROR(__xludf.DUMMYFUNCTION("""COMPUTED_VALUE"""),44788.0)</f>
        <v>44788</v>
      </c>
      <c r="C22108" s="6">
        <f>IFERROR(__xludf.DUMMYFUNCTION("""COMPUTED_VALUE"""),0.7195254629623378)</f>
        <v>0.719525463</v>
      </c>
      <c r="D22108" s="4">
        <f>IFERROR(__xludf.DUMMYFUNCTION("""COMPUTED_VALUE"""),13.006695)</f>
        <v>13.006695</v>
      </c>
      <c r="E22108" s="4">
        <f>IFERROR(__xludf.DUMMYFUNCTION("""COMPUTED_VALUE"""),80.242892)</f>
        <v>80.242892</v>
      </c>
      <c r="F22108" s="4">
        <f>IFERROR(__xludf.DUMMYFUNCTION("""COMPUTED_VALUE"""),805.0)</f>
        <v>805</v>
      </c>
      <c r="G22108" s="4">
        <f>IFERROR(__xludf.DUMMYFUNCTION("""COMPUTED_VALUE"""),30.0)</f>
        <v>30</v>
      </c>
      <c r="H22108" s="4"/>
      <c r="I22108" s="4"/>
    </row>
    <row r="22109">
      <c r="A22109" s="4" t="str">
        <f>IFERROR(__xludf.DUMMYFUNCTION("""COMPUTED_VALUE"""),"cas_hmw")</f>
        <v>cas_hmw</v>
      </c>
      <c r="B22109" s="5">
        <f>IFERROR(__xludf.DUMMYFUNCTION("""COMPUTED_VALUE"""),44788.0)</f>
        <v>44788</v>
      </c>
      <c r="C22109" s="6">
        <f>IFERROR(__xludf.DUMMYFUNCTION("""COMPUTED_VALUE"""),0.7195486111122591)</f>
        <v>0.7195486111</v>
      </c>
      <c r="D22109" s="4">
        <f>IFERROR(__xludf.DUMMYFUNCTION("""COMPUTED_VALUE"""),13.022986)</f>
        <v>13.022986</v>
      </c>
      <c r="E22109" s="4">
        <f>IFERROR(__xludf.DUMMYFUNCTION("""COMPUTED_VALUE"""),80.227062)</f>
        <v>80.227062</v>
      </c>
      <c r="F22109" s="4">
        <f>IFERROR(__xludf.DUMMYFUNCTION("""COMPUTED_VALUE"""),5339.0)</f>
        <v>5339</v>
      </c>
      <c r="G22109" s="4">
        <f>IFERROR(__xludf.DUMMYFUNCTION("""COMPUTED_VALUE"""),41.0)</f>
        <v>41</v>
      </c>
      <c r="H22109" s="4"/>
      <c r="I22109" s="4"/>
    </row>
    <row r="22110">
      <c r="A22110" s="4" t="str">
        <f>IFERROR(__xludf.DUMMYFUNCTION("""COMPUTED_VALUE"""),"cas_hmw")</f>
        <v>cas_hmw</v>
      </c>
      <c r="B22110" s="5">
        <f>IFERROR(__xludf.DUMMYFUNCTION("""COMPUTED_VALUE"""),44788.0)</f>
        <v>44788</v>
      </c>
      <c r="C22110" s="6">
        <f>IFERROR(__xludf.DUMMYFUNCTION("""COMPUTED_VALUE"""),0.7195833333316841)</f>
        <v>0.7195833333</v>
      </c>
      <c r="D22110" s="4">
        <f>IFERROR(__xludf.DUMMYFUNCTION("""COMPUTED_VALUE"""),13.006695)</f>
        <v>13.006695</v>
      </c>
      <c r="E22110" s="4">
        <f>IFERROR(__xludf.DUMMYFUNCTION("""COMPUTED_VALUE"""),80.242892)</f>
        <v>80.242892</v>
      </c>
      <c r="F22110" s="4">
        <f>IFERROR(__xludf.DUMMYFUNCTION("""COMPUTED_VALUE"""),805.0)</f>
        <v>805</v>
      </c>
      <c r="G22110" s="4">
        <f>IFERROR(__xludf.DUMMYFUNCTION("""COMPUTED_VALUE"""),30.0)</f>
        <v>30</v>
      </c>
      <c r="H22110" s="4"/>
      <c r="I22110" s="4"/>
    </row>
    <row r="22111">
      <c r="A22111" s="4" t="str">
        <f>IFERROR(__xludf.DUMMYFUNCTION("""COMPUTED_VALUE"""),"cas_hmw")</f>
        <v>cas_hmw</v>
      </c>
      <c r="B22111" s="5">
        <f>IFERROR(__xludf.DUMMYFUNCTION("""COMPUTED_VALUE"""),44788.0)</f>
        <v>44788</v>
      </c>
      <c r="C22111" s="6">
        <f>IFERROR(__xludf.DUMMYFUNCTION("""COMPUTED_VALUE"""),0.7196064814816054)</f>
        <v>0.7196064815</v>
      </c>
      <c r="D22111" s="4">
        <f>IFERROR(__xludf.DUMMYFUNCTION("""COMPUTED_VALUE"""),13.006695)</f>
        <v>13.006695</v>
      </c>
      <c r="E22111" s="4">
        <f>IFERROR(__xludf.DUMMYFUNCTION("""COMPUTED_VALUE"""),80.242892)</f>
        <v>80.242892</v>
      </c>
      <c r="F22111" s="4">
        <f>IFERROR(__xludf.DUMMYFUNCTION("""COMPUTED_VALUE"""),805.0)</f>
        <v>805</v>
      </c>
      <c r="G22111" s="4">
        <f>IFERROR(__xludf.DUMMYFUNCTION("""COMPUTED_VALUE"""),30.0)</f>
        <v>30</v>
      </c>
      <c r="H22111" s="4"/>
      <c r="I22111" s="4"/>
    </row>
    <row r="22112">
      <c r="A22112" s="4" t="str">
        <f>IFERROR(__xludf.DUMMYFUNCTION("""COMPUTED_VALUE"""),"cas_hmw")</f>
        <v>cas_hmw</v>
      </c>
      <c r="B22112" s="5">
        <f>IFERROR(__xludf.DUMMYFUNCTION("""COMPUTED_VALUE"""),44788.0)</f>
        <v>44788</v>
      </c>
      <c r="C22112" s="6">
        <f>IFERROR(__xludf.DUMMYFUNCTION("""COMPUTED_VALUE"""),0.7196064814816054)</f>
        <v>0.7196064815</v>
      </c>
      <c r="D22112" s="4">
        <f>IFERROR(__xludf.DUMMYFUNCTION("""COMPUTED_VALUE"""),13.006695)</f>
        <v>13.006695</v>
      </c>
      <c r="E22112" s="4">
        <f>IFERROR(__xludf.DUMMYFUNCTION("""COMPUTED_VALUE"""),80.242892)</f>
        <v>80.242892</v>
      </c>
      <c r="F22112" s="4">
        <f>IFERROR(__xludf.DUMMYFUNCTION("""COMPUTED_VALUE"""),805.0)</f>
        <v>805</v>
      </c>
      <c r="G22112" s="4">
        <f>IFERROR(__xludf.DUMMYFUNCTION("""COMPUTED_VALUE"""),30.0)</f>
        <v>30</v>
      </c>
      <c r="H22112" s="4"/>
      <c r="I22112" s="4"/>
    </row>
    <row r="22113">
      <c r="A22113" s="4" t="str">
        <f>IFERROR(__xludf.DUMMYFUNCTION("""COMPUTED_VALUE"""),"cas_hmw")</f>
        <v>cas_hmw</v>
      </c>
      <c r="B22113" s="5">
        <f>IFERROR(__xludf.DUMMYFUNCTION("""COMPUTED_VALUE"""),44788.0)</f>
        <v>44788</v>
      </c>
      <c r="C22113" s="6">
        <f>IFERROR(__xludf.DUMMYFUNCTION("""COMPUTED_VALUE"""),0.7203935185170849)</f>
        <v>0.7203935185</v>
      </c>
      <c r="D22113" s="4">
        <f>IFERROR(__xludf.DUMMYFUNCTION("""COMPUTED_VALUE"""),13.02417)</f>
        <v>13.02417</v>
      </c>
      <c r="E22113" s="4">
        <f>IFERROR(__xludf.DUMMYFUNCTION("""COMPUTED_VALUE"""),80.228293)</f>
        <v>80.228293</v>
      </c>
      <c r="F22113" s="4">
        <f>IFERROR(__xludf.DUMMYFUNCTION("""COMPUTED_VALUE"""),5339.0)</f>
        <v>5339</v>
      </c>
      <c r="G22113" s="4">
        <f>IFERROR(__xludf.DUMMYFUNCTION("""COMPUTED_VALUE"""),5.0)</f>
        <v>5</v>
      </c>
      <c r="H22113" s="4"/>
      <c r="I22113" s="4"/>
    </row>
    <row r="22114">
      <c r="A22114" s="4" t="str">
        <f>IFERROR(__xludf.DUMMYFUNCTION("""COMPUTED_VALUE"""),"cas_hmw")</f>
        <v>cas_hmw</v>
      </c>
      <c r="B22114" s="5">
        <f>IFERROR(__xludf.DUMMYFUNCTION("""COMPUTED_VALUE"""),44788.0)</f>
        <v>44788</v>
      </c>
      <c r="C22114" s="6">
        <f>IFERROR(__xludf.DUMMYFUNCTION("""COMPUTED_VALUE"""),0.7205439814824786)</f>
        <v>0.7205439815</v>
      </c>
      <c r="D22114" s="4">
        <f>IFERROR(__xludf.DUMMYFUNCTION("""COMPUTED_VALUE"""),13.024751)</f>
        <v>13.024751</v>
      </c>
      <c r="E22114" s="4">
        <f>IFERROR(__xludf.DUMMYFUNCTION("""COMPUTED_VALUE"""),80.229068)</f>
        <v>80.229068</v>
      </c>
      <c r="F22114" s="4">
        <f>IFERROR(__xludf.DUMMYFUNCTION("""COMPUTED_VALUE"""),5339.0)</f>
        <v>5339</v>
      </c>
      <c r="G22114" s="4">
        <f>IFERROR(__xludf.DUMMYFUNCTION("""COMPUTED_VALUE"""),32.0)</f>
        <v>32</v>
      </c>
      <c r="H22114" s="4"/>
      <c r="I22114" s="4"/>
    </row>
    <row r="22115">
      <c r="A22115" s="4" t="str">
        <f>IFERROR(__xludf.DUMMYFUNCTION("""COMPUTED_VALUE"""),"cas_hmw")</f>
        <v>cas_hmw</v>
      </c>
      <c r="B22115" s="5">
        <f>IFERROR(__xludf.DUMMYFUNCTION("""COMPUTED_VALUE"""),44788.0)</f>
        <v>44788</v>
      </c>
      <c r="C22115" s="6">
        <f>IFERROR(__xludf.DUMMYFUNCTION("""COMPUTED_VALUE"""),0.7210763888906513)</f>
        <v>0.7210763889</v>
      </c>
      <c r="D22115" s="4">
        <f>IFERROR(__xludf.DUMMYFUNCTION("""COMPUTED_VALUE"""),13.00678)</f>
        <v>13.00678</v>
      </c>
      <c r="E22115" s="4">
        <f>IFERROR(__xludf.DUMMYFUNCTION("""COMPUTED_VALUE"""),80.248284)</f>
        <v>80.248284</v>
      </c>
      <c r="F22115" s="4">
        <f>IFERROR(__xludf.DUMMYFUNCTION("""COMPUTED_VALUE"""),805.0)</f>
        <v>805</v>
      </c>
      <c r="G22115" s="4">
        <f>IFERROR(__xludf.DUMMYFUNCTION("""COMPUTED_VALUE"""),31.0)</f>
        <v>31</v>
      </c>
      <c r="H22115" s="4"/>
      <c r="I22115" s="4"/>
    </row>
    <row r="22116">
      <c r="A22116" s="4" t="str">
        <f>IFERROR(__xludf.DUMMYFUNCTION("""COMPUTED_VALUE"""),"cas_hmw")</f>
        <v>cas_hmw</v>
      </c>
      <c r="B22116" s="5">
        <f>IFERROR(__xludf.DUMMYFUNCTION("""COMPUTED_VALUE"""),44788.0)</f>
        <v>44788</v>
      </c>
      <c r="C22116" s="6">
        <f>IFERROR(__xludf.DUMMYFUNCTION("""COMPUTED_VALUE"""),0.7211458333331393)</f>
        <v>0.7211458333</v>
      </c>
      <c r="D22116" s="4">
        <f>IFERROR(__xludf.DUMMYFUNCTION("""COMPUTED_VALUE"""),13.00678)</f>
        <v>13.00678</v>
      </c>
      <c r="E22116" s="4">
        <f>IFERROR(__xludf.DUMMYFUNCTION("""COMPUTED_VALUE"""),80.248284)</f>
        <v>80.248284</v>
      </c>
      <c r="F22116" s="4">
        <f>IFERROR(__xludf.DUMMYFUNCTION("""COMPUTED_VALUE"""),805.0)</f>
        <v>805</v>
      </c>
      <c r="G22116" s="4">
        <f>IFERROR(__xludf.DUMMYFUNCTION("""COMPUTED_VALUE"""),31.0)</f>
        <v>31</v>
      </c>
      <c r="H22116" s="4"/>
      <c r="I22116" s="4"/>
    </row>
    <row r="22117">
      <c r="A22117" s="4" t="str">
        <f>IFERROR(__xludf.DUMMYFUNCTION("""COMPUTED_VALUE"""),"cas_hmw")</f>
        <v>cas_hmw</v>
      </c>
      <c r="B22117" s="5">
        <f>IFERROR(__xludf.DUMMYFUNCTION("""COMPUTED_VALUE"""),44788.0)</f>
        <v>44788</v>
      </c>
      <c r="C22117" s="6">
        <f>IFERROR(__xludf.DUMMYFUNCTION("""COMPUTED_VALUE"""),0.721157407406281)</f>
        <v>0.7211574074</v>
      </c>
      <c r="D22117" s="4">
        <f>IFERROR(__xludf.DUMMYFUNCTION("""COMPUTED_VALUE"""),13.026029)</f>
        <v>13.026029</v>
      </c>
      <c r="E22117" s="4">
        <f>IFERROR(__xludf.DUMMYFUNCTION("""COMPUTED_VALUE"""),80.231324)</f>
        <v>80.231324</v>
      </c>
      <c r="F22117" s="4">
        <f>IFERROR(__xludf.DUMMYFUNCTION("""COMPUTED_VALUE"""),5339.0)</f>
        <v>5339</v>
      </c>
      <c r="G22117" s="4">
        <f>IFERROR(__xludf.DUMMYFUNCTION("""COMPUTED_VALUE"""),24.0)</f>
        <v>24</v>
      </c>
      <c r="H22117" s="4"/>
      <c r="I22117" s="4"/>
    </row>
    <row r="22118">
      <c r="A22118" s="4" t="str">
        <f>IFERROR(__xludf.DUMMYFUNCTION("""COMPUTED_VALUE"""),"cas_hmw")</f>
        <v>cas_hmw</v>
      </c>
      <c r="B22118" s="5">
        <f>IFERROR(__xludf.DUMMYFUNCTION("""COMPUTED_VALUE"""),44788.0)</f>
        <v>44788</v>
      </c>
      <c r="C22118" s="6">
        <f>IFERROR(__xludf.DUMMYFUNCTION("""COMPUTED_VALUE"""),0.7218749999992724)</f>
        <v>0.721875</v>
      </c>
      <c r="D22118" s="4">
        <f>IFERROR(__xludf.DUMMYFUNCTION("""COMPUTED_VALUE"""),13.006862)</f>
        <v>13.006862</v>
      </c>
      <c r="E22118" s="4">
        <f>IFERROR(__xludf.DUMMYFUNCTION("""COMPUTED_VALUE"""),80.25143)</f>
        <v>80.25143</v>
      </c>
      <c r="F22118" s="4">
        <f>IFERROR(__xludf.DUMMYFUNCTION("""COMPUTED_VALUE"""),805.0)</f>
        <v>805</v>
      </c>
      <c r="G22118" s="4">
        <f>IFERROR(__xludf.DUMMYFUNCTION("""COMPUTED_VALUE"""),16.0)</f>
        <v>16</v>
      </c>
      <c r="H22118" s="4"/>
      <c r="I22118" s="4"/>
    </row>
    <row r="22119">
      <c r="A22119" s="4" t="str">
        <f>IFERROR(__xludf.DUMMYFUNCTION("""COMPUTED_VALUE"""),"cas_hmw")</f>
        <v>cas_hmw</v>
      </c>
      <c r="B22119" s="5">
        <f>IFERROR(__xludf.DUMMYFUNCTION("""COMPUTED_VALUE"""),44788.0)</f>
        <v>44788</v>
      </c>
      <c r="C22119" s="6">
        <f>IFERROR(__xludf.DUMMYFUNCTION("""COMPUTED_VALUE"""),0.7221412037033588)</f>
        <v>0.7221412037</v>
      </c>
      <c r="D22119" s="4">
        <f>IFERROR(__xludf.DUMMYFUNCTION("""COMPUTED_VALUE"""),13.006606)</f>
        <v>13.006606</v>
      </c>
      <c r="E22119" s="4">
        <f>IFERROR(__xludf.DUMMYFUNCTION("""COMPUTED_VALUE"""),80.254622)</f>
        <v>80.254622</v>
      </c>
      <c r="F22119" s="4">
        <f>IFERROR(__xludf.DUMMYFUNCTION("""COMPUTED_VALUE"""),805.0)</f>
        <v>805</v>
      </c>
      <c r="G22119" s="4">
        <f>IFERROR(__xludf.DUMMYFUNCTION("""COMPUTED_VALUE"""),48.0)</f>
        <v>48</v>
      </c>
      <c r="H22119" s="4"/>
      <c r="I22119" s="4"/>
    </row>
    <row r="22120">
      <c r="A22120" s="4" t="str">
        <f>IFERROR(__xludf.DUMMYFUNCTION("""COMPUTED_VALUE"""),"cas_hmw")</f>
        <v>cas_hmw</v>
      </c>
      <c r="B22120" s="5">
        <f>IFERROR(__xludf.DUMMYFUNCTION("""COMPUTED_VALUE"""),44788.0)</f>
        <v>44788</v>
      </c>
      <c r="C22120" s="6">
        <f>IFERROR(__xludf.DUMMYFUNCTION("""COMPUTED_VALUE"""),0.7232986111121136)</f>
        <v>0.7232986111</v>
      </c>
      <c r="D22120" s="4">
        <f>IFERROR(__xludf.DUMMYFUNCTION("""COMPUTED_VALUE"""),13.031061)</f>
        <v>13.031061</v>
      </c>
      <c r="E22120" s="4">
        <f>IFERROR(__xludf.DUMMYFUNCTION("""COMPUTED_VALUE"""),80.239599)</f>
        <v>80.239599</v>
      </c>
      <c r="F22120" s="4">
        <f>IFERROR(__xludf.DUMMYFUNCTION("""COMPUTED_VALUE"""),5339.0)</f>
        <v>5339</v>
      </c>
      <c r="G22120" s="4">
        <f>IFERROR(__xludf.DUMMYFUNCTION("""COMPUTED_VALUE"""),30.0)</f>
        <v>30</v>
      </c>
      <c r="H22120" s="4"/>
      <c r="I22120" s="4"/>
    </row>
    <row r="22121">
      <c r="A22121" s="4" t="str">
        <f>IFERROR(__xludf.DUMMYFUNCTION("""COMPUTED_VALUE"""),"cas_hmw")</f>
        <v>cas_hmw</v>
      </c>
      <c r="B22121" s="5">
        <f>IFERROR(__xludf.DUMMYFUNCTION("""COMPUTED_VALUE"""),44788.0)</f>
        <v>44788</v>
      </c>
      <c r="C22121" s="6">
        <f>IFERROR(__xludf.DUMMYFUNCTION("""COMPUTED_VALUE"""),0.7245717592595611)</f>
        <v>0.7245717593</v>
      </c>
      <c r="D22121" s="4">
        <f>IFERROR(__xludf.DUMMYFUNCTION("""COMPUTED_VALUE"""),13.009325)</f>
        <v>13.009325</v>
      </c>
      <c r="E22121" s="4">
        <f>IFERROR(__xludf.DUMMYFUNCTION("""COMPUTED_VALUE"""),80.259029)</f>
        <v>80.259029</v>
      </c>
      <c r="F22121" s="4">
        <f>IFERROR(__xludf.DUMMYFUNCTION("""COMPUTED_VALUE"""),805.0)</f>
        <v>805</v>
      </c>
      <c r="G22121" s="4">
        <f>IFERROR(__xludf.DUMMYFUNCTION("""COMPUTED_VALUE"""),29.0)</f>
        <v>29</v>
      </c>
      <c r="H22121" s="4"/>
      <c r="I22121" s="4"/>
    </row>
    <row r="22122">
      <c r="A22122" s="4" t="str">
        <f>IFERROR(__xludf.DUMMYFUNCTION("""COMPUTED_VALUE"""),"cas_hmw")</f>
        <v>cas_hmw</v>
      </c>
      <c r="B22122" s="5">
        <f>IFERROR(__xludf.DUMMYFUNCTION("""COMPUTED_VALUE"""),44788.0)</f>
        <v>44788</v>
      </c>
      <c r="C22122" s="6">
        <f>IFERROR(__xludf.DUMMYFUNCTION("""COMPUTED_VALUE"""),0.7254050925912452)</f>
        <v>0.7254050926</v>
      </c>
      <c r="D22122" s="4">
        <f>IFERROR(__xludf.DUMMYFUNCTION("""COMPUTED_VALUE"""),13.016252)</f>
        <v>13.016252</v>
      </c>
      <c r="E22122" s="4">
        <f>IFERROR(__xludf.DUMMYFUNCTION("""COMPUTED_VALUE"""),80.259607)</f>
        <v>80.259607</v>
      </c>
      <c r="F22122" s="4">
        <f>IFERROR(__xludf.DUMMYFUNCTION("""COMPUTED_VALUE"""),805.0)</f>
        <v>805</v>
      </c>
      <c r="G22122" s="4">
        <f>IFERROR(__xludf.DUMMYFUNCTION("""COMPUTED_VALUE"""),31.0)</f>
        <v>31</v>
      </c>
      <c r="H22122" s="4"/>
      <c r="I22122" s="4"/>
    </row>
    <row r="22123">
      <c r="A22123" s="4" t="str">
        <f>IFERROR(__xludf.DUMMYFUNCTION("""COMPUTED_VALUE"""),"cas_hmw")</f>
        <v>cas_hmw</v>
      </c>
      <c r="B22123" s="5">
        <f>IFERROR(__xludf.DUMMYFUNCTION("""COMPUTED_VALUE"""),44788.0)</f>
        <v>44788</v>
      </c>
      <c r="C22123" s="6">
        <f>IFERROR(__xludf.DUMMYFUNCTION("""COMPUTED_VALUE"""),0.7254050925912452)</f>
        <v>0.7254050926</v>
      </c>
      <c r="D22123" s="4">
        <f>IFERROR(__xludf.DUMMYFUNCTION("""COMPUTED_VALUE"""),13.016252)</f>
        <v>13.016252</v>
      </c>
      <c r="E22123" s="4">
        <f>IFERROR(__xludf.DUMMYFUNCTION("""COMPUTED_VALUE"""),80.259607)</f>
        <v>80.259607</v>
      </c>
      <c r="F22123" s="4">
        <f>IFERROR(__xludf.DUMMYFUNCTION("""COMPUTED_VALUE"""),805.0)</f>
        <v>805</v>
      </c>
      <c r="G22123" s="4">
        <f>IFERROR(__xludf.DUMMYFUNCTION("""COMPUTED_VALUE"""),31.0)</f>
        <v>31</v>
      </c>
      <c r="H22123" s="4"/>
      <c r="I22123" s="4"/>
    </row>
    <row r="22124">
      <c r="A22124" s="4" t="str">
        <f>IFERROR(__xludf.DUMMYFUNCTION("""COMPUTED_VALUE"""),"cas_hmw")</f>
        <v>cas_hmw</v>
      </c>
      <c r="B22124" s="5">
        <f>IFERROR(__xludf.DUMMYFUNCTION("""COMPUTED_VALUE"""),44788.0)</f>
        <v>44788</v>
      </c>
      <c r="C22124" s="6">
        <f>IFERROR(__xludf.DUMMYFUNCTION("""COMPUTED_VALUE"""),0.7254282407411665)</f>
        <v>0.7254282407</v>
      </c>
      <c r="D22124" s="4">
        <f>IFERROR(__xludf.DUMMYFUNCTION("""COMPUTED_VALUE"""),13.016252)</f>
        <v>13.016252</v>
      </c>
      <c r="E22124" s="4">
        <f>IFERROR(__xludf.DUMMYFUNCTION("""COMPUTED_VALUE"""),80.259607)</f>
        <v>80.259607</v>
      </c>
      <c r="F22124" s="4">
        <f>IFERROR(__xludf.DUMMYFUNCTION("""COMPUTED_VALUE"""),805.0)</f>
        <v>805</v>
      </c>
      <c r="G22124" s="4">
        <f>IFERROR(__xludf.DUMMYFUNCTION("""COMPUTED_VALUE"""),31.0)</f>
        <v>31</v>
      </c>
      <c r="H22124" s="4"/>
      <c r="I22124" s="4"/>
    </row>
    <row r="22125">
      <c r="A22125" s="4" t="str">
        <f>IFERROR(__xludf.DUMMYFUNCTION("""COMPUTED_VALUE"""),"cas_hmw")</f>
        <v>cas_hmw</v>
      </c>
      <c r="B22125" s="5">
        <f>IFERROR(__xludf.DUMMYFUNCTION("""COMPUTED_VALUE"""),44788.0)</f>
        <v>44788</v>
      </c>
      <c r="C22125" s="6">
        <f>IFERROR(__xludf.DUMMYFUNCTION("""COMPUTED_VALUE"""),0.7284837962979509)</f>
        <v>0.7284837963</v>
      </c>
      <c r="D22125" s="4">
        <f>IFERROR(__xludf.DUMMYFUNCTION("""COMPUTED_VALUE"""),13.042022)</f>
        <v>13.042022</v>
      </c>
      <c r="E22125" s="4">
        <f>IFERROR(__xludf.DUMMYFUNCTION("""COMPUTED_VALUE"""),80.247382)</f>
        <v>80.247382</v>
      </c>
      <c r="F22125" s="4">
        <f>IFERROR(__xludf.DUMMYFUNCTION("""COMPUTED_VALUE"""),5339.0)</f>
        <v>5339</v>
      </c>
      <c r="G22125" s="4">
        <f>IFERROR(__xludf.DUMMYFUNCTION("""COMPUTED_VALUE"""),19.0)</f>
        <v>19</v>
      </c>
      <c r="H22125" s="4"/>
      <c r="I22125" s="4"/>
    </row>
    <row r="22126">
      <c r="A22126" s="4" t="str">
        <f>IFERROR(__xludf.DUMMYFUNCTION("""COMPUTED_VALUE"""),"cas_hmw")</f>
        <v>cas_hmw</v>
      </c>
      <c r="B22126" s="5">
        <f>IFERROR(__xludf.DUMMYFUNCTION("""COMPUTED_VALUE"""),44788.0)</f>
        <v>44788</v>
      </c>
      <c r="C22126" s="6">
        <f>IFERROR(__xludf.DUMMYFUNCTION("""COMPUTED_VALUE"""),0.7285300925941556)</f>
        <v>0.7285300926</v>
      </c>
      <c r="D22126" s="4">
        <f>IFERROR(__xludf.DUMMYFUNCTION("""COMPUTED_VALUE"""),13.042022)</f>
        <v>13.042022</v>
      </c>
      <c r="E22126" s="4">
        <f>IFERROR(__xludf.DUMMYFUNCTION("""COMPUTED_VALUE"""),80.247382)</f>
        <v>80.247382</v>
      </c>
      <c r="F22126" s="4">
        <f>IFERROR(__xludf.DUMMYFUNCTION("""COMPUTED_VALUE"""),5339.0)</f>
        <v>5339</v>
      </c>
      <c r="G22126" s="4">
        <f>IFERROR(__xludf.DUMMYFUNCTION("""COMPUTED_VALUE"""),19.0)</f>
        <v>19</v>
      </c>
      <c r="H22126" s="4"/>
      <c r="I22126" s="4"/>
    </row>
    <row r="22127">
      <c r="A22127" s="4" t="str">
        <f>IFERROR(__xludf.DUMMYFUNCTION("""COMPUTED_VALUE"""),"cas_hmw")</f>
        <v>cas_hmw</v>
      </c>
      <c r="B22127" s="5">
        <f>IFERROR(__xludf.DUMMYFUNCTION("""COMPUTED_VALUE"""),44788.0)</f>
        <v>44788</v>
      </c>
      <c r="C22127" s="6">
        <f>IFERROR(__xludf.DUMMYFUNCTION("""COMPUTED_VALUE"""),0.7291666666678793)</f>
        <v>0.7291666667</v>
      </c>
      <c r="D22127" s="4">
        <f>IFERROR(__xludf.DUMMYFUNCTION("""COMPUTED_VALUE"""),13.044657)</f>
        <v>13.044657</v>
      </c>
      <c r="E22127" s="4">
        <f>IFERROR(__xludf.DUMMYFUNCTION("""COMPUTED_VALUE"""),80.247902)</f>
        <v>80.247902</v>
      </c>
      <c r="F22127" s="4">
        <f>IFERROR(__xludf.DUMMYFUNCTION("""COMPUTED_VALUE"""),5339.0)</f>
        <v>5339</v>
      </c>
      <c r="G22127" s="4">
        <f>IFERROR(__xludf.DUMMYFUNCTION("""COMPUTED_VALUE"""),0.0)</f>
        <v>0</v>
      </c>
      <c r="H22127" s="4"/>
      <c r="I22127" s="4"/>
    </row>
    <row r="22128">
      <c r="A22128" s="4" t="str">
        <f>IFERROR(__xludf.DUMMYFUNCTION("""COMPUTED_VALUE"""),"cas_hmw")</f>
        <v>cas_hmw</v>
      </c>
      <c r="B22128" s="5">
        <f>IFERROR(__xludf.DUMMYFUNCTION("""COMPUTED_VALUE"""),44788.0)</f>
        <v>44788</v>
      </c>
      <c r="C22128" s="6">
        <f>IFERROR(__xludf.DUMMYFUNCTION("""COMPUTED_VALUE"""),0.7293402777795563)</f>
        <v>0.7293402778</v>
      </c>
      <c r="D22128" s="4">
        <f>IFERROR(__xludf.DUMMYFUNCTION("""COMPUTED_VALUE"""),13.045336)</f>
        <v>13.045336</v>
      </c>
      <c r="E22128" s="4">
        <f>IFERROR(__xludf.DUMMYFUNCTION("""COMPUTED_VALUE"""),80.248036)</f>
        <v>80.248036</v>
      </c>
      <c r="F22128" s="4">
        <f>IFERROR(__xludf.DUMMYFUNCTION("""COMPUTED_VALUE"""),5339.0)</f>
        <v>5339</v>
      </c>
      <c r="G22128" s="4">
        <f>IFERROR(__xludf.DUMMYFUNCTION("""COMPUTED_VALUE"""),26.0)</f>
        <v>26</v>
      </c>
      <c r="H22128" s="4"/>
      <c r="I22128" s="4"/>
    </row>
    <row r="22129">
      <c r="A22129" s="4" t="str">
        <f>IFERROR(__xludf.DUMMYFUNCTION("""COMPUTED_VALUE"""),"cas_hmw")</f>
        <v>cas_hmw</v>
      </c>
      <c r="B22129" s="5">
        <f>IFERROR(__xludf.DUMMYFUNCTION("""COMPUTED_VALUE"""),44788.0)</f>
        <v>44788</v>
      </c>
      <c r="C22129" s="6">
        <f>IFERROR(__xludf.DUMMYFUNCTION("""COMPUTED_VALUE"""),0.7293634259258397)</f>
        <v>0.7293634259</v>
      </c>
      <c r="D22129" s="4">
        <f>IFERROR(__xludf.DUMMYFUNCTION("""COMPUTED_VALUE"""),13.045336)</f>
        <v>13.045336</v>
      </c>
      <c r="E22129" s="4">
        <f>IFERROR(__xludf.DUMMYFUNCTION("""COMPUTED_VALUE"""),80.248036)</f>
        <v>80.248036</v>
      </c>
      <c r="F22129" s="4">
        <f>IFERROR(__xludf.DUMMYFUNCTION("""COMPUTED_VALUE"""),5339.0)</f>
        <v>5339</v>
      </c>
      <c r="G22129" s="4">
        <f>IFERROR(__xludf.DUMMYFUNCTION("""COMPUTED_VALUE"""),26.0)</f>
        <v>26</v>
      </c>
      <c r="H22129" s="4"/>
      <c r="I22129" s="4"/>
    </row>
    <row r="22130">
      <c r="A22130" s="4" t="str">
        <f>IFERROR(__xludf.DUMMYFUNCTION("""COMPUTED_VALUE"""),"cas_hmw")</f>
        <v>cas_hmw</v>
      </c>
      <c r="B22130" s="5">
        <f>IFERROR(__xludf.DUMMYFUNCTION("""COMPUTED_VALUE"""),44788.0)</f>
        <v>44788</v>
      </c>
      <c r="C22130" s="6">
        <f>IFERROR(__xludf.DUMMYFUNCTION("""COMPUTED_VALUE"""),0.7295949074068631)</f>
        <v>0.7295949074</v>
      </c>
      <c r="D22130" s="4">
        <f>IFERROR(__xludf.DUMMYFUNCTION("""COMPUTED_VALUE"""),13.046572)</f>
        <v>13.046572</v>
      </c>
      <c r="E22130" s="4">
        <f>IFERROR(__xludf.DUMMYFUNCTION("""COMPUTED_VALUE"""),80.248285)</f>
        <v>80.248285</v>
      </c>
      <c r="F22130" s="4">
        <f>IFERROR(__xludf.DUMMYFUNCTION("""COMPUTED_VALUE"""),5339.0)</f>
        <v>5339</v>
      </c>
      <c r="G22130" s="4">
        <f>IFERROR(__xludf.DUMMYFUNCTION("""COMPUTED_VALUE"""),29.0)</f>
        <v>29</v>
      </c>
      <c r="H22130" s="4"/>
      <c r="I22130" s="4"/>
    </row>
    <row r="22131">
      <c r="A22131" s="4" t="str">
        <f>IFERROR(__xludf.DUMMYFUNCTION("""COMPUTED_VALUE"""),"cas_hmw")</f>
        <v>cas_hmw</v>
      </c>
      <c r="B22131" s="5">
        <f>IFERROR(__xludf.DUMMYFUNCTION("""COMPUTED_VALUE"""),44788.0)</f>
        <v>44788</v>
      </c>
      <c r="C22131" s="6">
        <f>IFERROR(__xludf.DUMMYFUNCTION("""COMPUTED_VALUE"""),0.7310879629621923)</f>
        <v>0.731087963</v>
      </c>
      <c r="D22131" s="4">
        <f>IFERROR(__xludf.DUMMYFUNCTION("""COMPUTED_VALUE"""),13.05487)</f>
        <v>13.05487</v>
      </c>
      <c r="E22131" s="4">
        <f>IFERROR(__xludf.DUMMYFUNCTION("""COMPUTED_VALUE"""),80.25435)</f>
        <v>80.25435</v>
      </c>
      <c r="F22131" s="4">
        <f>IFERROR(__xludf.DUMMYFUNCTION("""COMPUTED_VALUE"""),5339.0)</f>
        <v>5339</v>
      </c>
      <c r="G22131" s="4">
        <f>IFERROR(__xludf.DUMMYFUNCTION("""COMPUTED_VALUE"""),18.0)</f>
        <v>18</v>
      </c>
      <c r="H22131" s="4"/>
      <c r="I22131" s="4"/>
    </row>
    <row r="22132">
      <c r="A22132" s="4" t="str">
        <f>IFERROR(__xludf.DUMMYFUNCTION("""COMPUTED_VALUE"""),"cas_hmw")</f>
        <v>cas_hmw</v>
      </c>
      <c r="B22132" s="5">
        <f>IFERROR(__xludf.DUMMYFUNCTION("""COMPUTED_VALUE"""),44788.0)</f>
        <v>44788</v>
      </c>
      <c r="C22132" s="6">
        <f>IFERROR(__xludf.DUMMYFUNCTION("""COMPUTED_VALUE"""),0.7311805555546016)</f>
        <v>0.7311805556</v>
      </c>
      <c r="D22132" s="4">
        <f>IFERROR(__xludf.DUMMYFUNCTION("""COMPUTED_VALUE"""),13.05487)</f>
        <v>13.05487</v>
      </c>
      <c r="E22132" s="4">
        <f>IFERROR(__xludf.DUMMYFUNCTION("""COMPUTED_VALUE"""),80.25435)</f>
        <v>80.25435</v>
      </c>
      <c r="F22132" s="4">
        <f>IFERROR(__xludf.DUMMYFUNCTION("""COMPUTED_VALUE"""),5339.0)</f>
        <v>5339</v>
      </c>
      <c r="G22132" s="4">
        <f>IFERROR(__xludf.DUMMYFUNCTION("""COMPUTED_VALUE"""),18.0)</f>
        <v>18</v>
      </c>
      <c r="H22132" s="4"/>
      <c r="I22132" s="4"/>
    </row>
    <row r="22133">
      <c r="A22133" s="4" t="str">
        <f>IFERROR(__xludf.DUMMYFUNCTION("""COMPUTED_VALUE"""),"cas_hmw")</f>
        <v>cas_hmw</v>
      </c>
      <c r="B22133" s="5">
        <f>IFERROR(__xludf.DUMMYFUNCTION("""COMPUTED_VALUE"""),44788.0)</f>
        <v>44788</v>
      </c>
      <c r="C22133" s="6">
        <f>IFERROR(__xludf.DUMMYFUNCTION("""COMPUTED_VALUE"""),0.7363078703710926)</f>
        <v>0.7363078704</v>
      </c>
      <c r="D22133" s="4">
        <f>IFERROR(__xludf.DUMMYFUNCTION("""COMPUTED_VALUE"""),12.537808)</f>
        <v>12.537808</v>
      </c>
      <c r="E22133" s="4">
        <f>IFERROR(__xludf.DUMMYFUNCTION("""COMPUTED_VALUE"""),79.903669)</f>
        <v>79.903669</v>
      </c>
      <c r="F22133" s="4">
        <f>IFERROR(__xludf.DUMMYFUNCTION("""COMPUTED_VALUE"""),2846.0)</f>
        <v>2846</v>
      </c>
      <c r="G22133" s="4">
        <f>IFERROR(__xludf.DUMMYFUNCTION("""COMPUTED_VALUE"""),58.0)</f>
        <v>58</v>
      </c>
      <c r="H22133" s="4"/>
      <c r="I22133" s="4"/>
    </row>
    <row r="22134">
      <c r="A22134" s="4" t="str">
        <f>IFERROR(__xludf.DUMMYFUNCTION("""COMPUTED_VALUE"""),"cas_hmw")</f>
        <v>cas_hmw</v>
      </c>
      <c r="B22134" s="5">
        <f>IFERROR(__xludf.DUMMYFUNCTION("""COMPUTED_VALUE"""),44788.0)</f>
        <v>44788</v>
      </c>
      <c r="C22134" s="6">
        <f>IFERROR(__xludf.DUMMYFUNCTION("""COMPUTED_VALUE"""),0.7364236111097853)</f>
        <v>0.7364236111</v>
      </c>
      <c r="D22134" s="4">
        <f>IFERROR(__xludf.DUMMYFUNCTION("""COMPUTED_VALUE"""),12.536564)</f>
        <v>12.536564</v>
      </c>
      <c r="E22134" s="4">
        <f>IFERROR(__xludf.DUMMYFUNCTION("""COMPUTED_VALUE"""),79.902892)</f>
        <v>79.902892</v>
      </c>
      <c r="F22134" s="4">
        <f>IFERROR(__xludf.DUMMYFUNCTION("""COMPUTED_VALUE"""),2846.0)</f>
        <v>2846</v>
      </c>
      <c r="G22134" s="4">
        <f>IFERROR(__xludf.DUMMYFUNCTION("""COMPUTED_VALUE"""),59.0)</f>
        <v>59</v>
      </c>
      <c r="H22134" s="4"/>
      <c r="I22134" s="4"/>
    </row>
    <row r="22135">
      <c r="A22135" s="4" t="str">
        <f>IFERROR(__xludf.DUMMYFUNCTION("""COMPUTED_VALUE"""),"cas_hmw")</f>
        <v>cas_hmw</v>
      </c>
      <c r="B22135" s="5">
        <f>IFERROR(__xludf.DUMMYFUNCTION("""COMPUTED_VALUE"""),44788.0)</f>
        <v>44788</v>
      </c>
      <c r="C22135" s="6">
        <f>IFERROR(__xludf.DUMMYFUNCTION("""COMPUTED_VALUE"""),0.7388078703697829)</f>
        <v>0.7388078704</v>
      </c>
      <c r="D22135" s="4">
        <f>IFERROR(__xludf.DUMMYFUNCTION("""COMPUTED_VALUE"""),13.057534)</f>
        <v>13.057534</v>
      </c>
      <c r="E22135" s="4">
        <f>IFERROR(__xludf.DUMMYFUNCTION("""COMPUTED_VALUE"""),80.264946)</f>
        <v>80.264946</v>
      </c>
      <c r="F22135" s="4">
        <f>IFERROR(__xludf.DUMMYFUNCTION("""COMPUTED_VALUE"""),805.0)</f>
        <v>805</v>
      </c>
      <c r="G22135" s="4">
        <f>IFERROR(__xludf.DUMMYFUNCTION("""COMPUTED_VALUE"""),35.0)</f>
        <v>35</v>
      </c>
      <c r="H22135" s="4"/>
      <c r="I22135" s="4"/>
    </row>
    <row r="22136">
      <c r="A22136" s="4" t="str">
        <f>IFERROR(__xludf.DUMMYFUNCTION("""COMPUTED_VALUE"""),"cas_hmw")</f>
        <v>cas_hmw</v>
      </c>
      <c r="B22136" s="5">
        <f>IFERROR(__xludf.DUMMYFUNCTION("""COMPUTED_VALUE"""),44788.0)</f>
        <v>44788</v>
      </c>
      <c r="C22136" s="6">
        <f>IFERROR(__xludf.DUMMYFUNCTION("""COMPUTED_VALUE"""),0.7414583333338669)</f>
        <v>0.7414583333</v>
      </c>
      <c r="D22136" s="4">
        <f>IFERROR(__xludf.DUMMYFUNCTION("""COMPUTED_VALUE"""),12.508026)</f>
        <v>12.508026</v>
      </c>
      <c r="E22136" s="4">
        <f>IFERROR(__xludf.DUMMYFUNCTION("""COMPUTED_VALUE"""),79.88186)</f>
        <v>79.88186</v>
      </c>
      <c r="F22136" s="4">
        <f>IFERROR(__xludf.DUMMYFUNCTION("""COMPUTED_VALUE"""),2846.0)</f>
        <v>2846</v>
      </c>
      <c r="G22136" s="4">
        <f>IFERROR(__xludf.DUMMYFUNCTION("""COMPUTED_VALUE"""),42.0)</f>
        <v>42</v>
      </c>
      <c r="H22136" s="4"/>
      <c r="I22136" s="4"/>
    </row>
    <row r="22137">
      <c r="A22137" s="4" t="str">
        <f>IFERROR(__xludf.DUMMYFUNCTION("""COMPUTED_VALUE"""),"cas_hmw")</f>
        <v>cas_hmw</v>
      </c>
      <c r="B22137" s="5">
        <f>IFERROR(__xludf.DUMMYFUNCTION("""COMPUTED_VALUE"""),44788.0)</f>
        <v>44788</v>
      </c>
      <c r="C22137" s="6">
        <f>IFERROR(__xludf.DUMMYFUNCTION("""COMPUTED_VALUE"""),0.7416435185186856)</f>
        <v>0.7416435185</v>
      </c>
      <c r="D22137" s="4">
        <f>IFERROR(__xludf.DUMMYFUNCTION("""COMPUTED_VALUE"""),13.068173)</f>
        <v>13.068173</v>
      </c>
      <c r="E22137" s="4">
        <f>IFERROR(__xludf.DUMMYFUNCTION("""COMPUTED_VALUE"""),80.271732)</f>
        <v>80.271732</v>
      </c>
      <c r="F22137" s="4">
        <f>IFERROR(__xludf.DUMMYFUNCTION("""COMPUTED_VALUE"""),5339.0)</f>
        <v>5339</v>
      </c>
      <c r="G22137" s="4">
        <f>IFERROR(__xludf.DUMMYFUNCTION("""COMPUTED_VALUE"""),0.0)</f>
        <v>0</v>
      </c>
      <c r="H22137" s="4"/>
      <c r="I22137" s="4"/>
    </row>
    <row r="22138">
      <c r="A22138" s="4" t="str">
        <f>IFERROR(__xludf.DUMMYFUNCTION("""COMPUTED_VALUE"""),"cas_hmw")</f>
        <v>cas_hmw</v>
      </c>
      <c r="B22138" s="5">
        <f>IFERROR(__xludf.DUMMYFUNCTION("""COMPUTED_VALUE"""),44788.0)</f>
        <v>44788</v>
      </c>
      <c r="C22138" s="6">
        <f>IFERROR(__xludf.DUMMYFUNCTION("""COMPUTED_VALUE"""),0.7418518518534256)</f>
        <v>0.7418518519</v>
      </c>
      <c r="D22138" s="4">
        <f>IFERROR(__xludf.DUMMYFUNCTION("""COMPUTED_VALUE"""),13.067075)</f>
        <v>13.067075</v>
      </c>
      <c r="E22138" s="4">
        <f>IFERROR(__xludf.DUMMYFUNCTION("""COMPUTED_VALUE"""),80.270237)</f>
        <v>80.270237</v>
      </c>
      <c r="F22138" s="4">
        <f>IFERROR(__xludf.DUMMYFUNCTION("""COMPUTED_VALUE"""),5339.0)</f>
        <v>5339</v>
      </c>
      <c r="G22138" s="4">
        <f>IFERROR(__xludf.DUMMYFUNCTION("""COMPUTED_VALUE"""),30.0)</f>
        <v>30</v>
      </c>
      <c r="H22138" s="4"/>
      <c r="I22138" s="4"/>
    </row>
    <row r="22139">
      <c r="A22139" s="4" t="str">
        <f>IFERROR(__xludf.DUMMYFUNCTION("""COMPUTED_VALUE"""),"cas_hmw")</f>
        <v>cas_hmw</v>
      </c>
      <c r="B22139" s="5">
        <f>IFERROR(__xludf.DUMMYFUNCTION("""COMPUTED_VALUE"""),44788.0)</f>
        <v>44788</v>
      </c>
      <c r="C22139" s="6">
        <f>IFERROR(__xludf.DUMMYFUNCTION("""COMPUTED_VALUE"""),0.7418634259265673)</f>
        <v>0.7418634259</v>
      </c>
      <c r="D22139" s="4">
        <f>IFERROR(__xludf.DUMMYFUNCTION("""COMPUTED_VALUE"""),13.067986)</f>
        <v>13.067986</v>
      </c>
      <c r="E22139" s="4">
        <f>IFERROR(__xludf.DUMMYFUNCTION("""COMPUTED_VALUE"""),80.271253)</f>
        <v>80.271253</v>
      </c>
      <c r="F22139" s="4">
        <f>IFERROR(__xludf.DUMMYFUNCTION("""COMPUTED_VALUE"""),5339.0)</f>
        <v>5339</v>
      </c>
      <c r="G22139" s="4">
        <f>IFERROR(__xludf.DUMMYFUNCTION("""COMPUTED_VALUE"""),26.0)</f>
        <v>26</v>
      </c>
      <c r="H22139" s="4"/>
      <c r="I22139" s="4"/>
    </row>
    <row r="22140">
      <c r="A22140" s="4" t="str">
        <f>IFERROR(__xludf.DUMMYFUNCTION("""COMPUTED_VALUE"""),"cas_hmw")</f>
        <v>cas_hmw</v>
      </c>
      <c r="B22140" s="5">
        <f>IFERROR(__xludf.DUMMYFUNCTION("""COMPUTED_VALUE"""),44788.0)</f>
        <v>44788</v>
      </c>
      <c r="C22140" s="6">
        <f>IFERROR(__xludf.DUMMYFUNCTION("""COMPUTED_VALUE"""),0.7418634259265673)</f>
        <v>0.7418634259</v>
      </c>
      <c r="D22140" s="4">
        <f>IFERROR(__xludf.DUMMYFUNCTION("""COMPUTED_VALUE"""),13.067075)</f>
        <v>13.067075</v>
      </c>
      <c r="E22140" s="4">
        <f>IFERROR(__xludf.DUMMYFUNCTION("""COMPUTED_VALUE"""),80.270237)</f>
        <v>80.270237</v>
      </c>
      <c r="F22140" s="4">
        <f>IFERROR(__xludf.DUMMYFUNCTION("""COMPUTED_VALUE"""),5339.0)</f>
        <v>5339</v>
      </c>
      <c r="G22140" s="4">
        <f>IFERROR(__xludf.DUMMYFUNCTION("""COMPUTED_VALUE"""),30.0)</f>
        <v>30</v>
      </c>
      <c r="H22140" s="4"/>
      <c r="I22140" s="4"/>
    </row>
    <row r="22141">
      <c r="A22141" s="4" t="str">
        <f>IFERROR(__xludf.DUMMYFUNCTION("""COMPUTED_VALUE"""),"cas_hmw")</f>
        <v>cas_hmw</v>
      </c>
      <c r="B22141" s="5">
        <f>IFERROR(__xludf.DUMMYFUNCTION("""COMPUTED_VALUE"""),44788.0)</f>
        <v>44788</v>
      </c>
      <c r="C22141" s="6">
        <f>IFERROR(__xludf.DUMMYFUNCTION("""COMPUTED_VALUE"""),0.7418634259265673)</f>
        <v>0.7418634259</v>
      </c>
      <c r="D22141" s="4">
        <f>IFERROR(__xludf.DUMMYFUNCTION("""COMPUTED_VALUE"""),13.067986)</f>
        <v>13.067986</v>
      </c>
      <c r="E22141" s="4">
        <f>IFERROR(__xludf.DUMMYFUNCTION("""COMPUTED_VALUE"""),80.271253)</f>
        <v>80.271253</v>
      </c>
      <c r="F22141" s="4">
        <f>IFERROR(__xludf.DUMMYFUNCTION("""COMPUTED_VALUE"""),5339.0)</f>
        <v>5339</v>
      </c>
      <c r="G22141" s="4">
        <f>IFERROR(__xludf.DUMMYFUNCTION("""COMPUTED_VALUE"""),26.0)</f>
        <v>26</v>
      </c>
      <c r="H22141" s="4"/>
      <c r="I22141" s="4"/>
    </row>
    <row r="22142">
      <c r="A22142" s="4" t="str">
        <f>IFERROR(__xludf.DUMMYFUNCTION("""COMPUTED_VALUE"""),"cas_hmw")</f>
        <v>cas_hmw</v>
      </c>
      <c r="B22142" s="5">
        <f>IFERROR(__xludf.DUMMYFUNCTION("""COMPUTED_VALUE"""),44788.0)</f>
        <v>44788</v>
      </c>
      <c r="C22142" s="6">
        <f>IFERROR(__xludf.DUMMYFUNCTION("""COMPUTED_VALUE"""),0.7418634259265673)</f>
        <v>0.7418634259</v>
      </c>
      <c r="D22142" s="4">
        <f>IFERROR(__xludf.DUMMYFUNCTION("""COMPUTED_VALUE"""),13.067075)</f>
        <v>13.067075</v>
      </c>
      <c r="E22142" s="4">
        <f>IFERROR(__xludf.DUMMYFUNCTION("""COMPUTED_VALUE"""),80.270237)</f>
        <v>80.270237</v>
      </c>
      <c r="F22142" s="4">
        <f>IFERROR(__xludf.DUMMYFUNCTION("""COMPUTED_VALUE"""),5339.0)</f>
        <v>5339</v>
      </c>
      <c r="G22142" s="4">
        <f>IFERROR(__xludf.DUMMYFUNCTION("""COMPUTED_VALUE"""),30.0)</f>
        <v>30</v>
      </c>
      <c r="H22142" s="4"/>
      <c r="I22142" s="4"/>
    </row>
    <row r="22143">
      <c r="A22143" s="4" t="str">
        <f>IFERROR(__xludf.DUMMYFUNCTION("""COMPUTED_VALUE"""),"cas_hmw")</f>
        <v>cas_hmw</v>
      </c>
      <c r="B22143" s="5">
        <f>IFERROR(__xludf.DUMMYFUNCTION("""COMPUTED_VALUE"""),44788.0)</f>
        <v>44788</v>
      </c>
      <c r="C22143" s="6">
        <f>IFERROR(__xludf.DUMMYFUNCTION("""COMPUTED_VALUE"""),0.7418634259265673)</f>
        <v>0.7418634259</v>
      </c>
      <c r="D22143" s="4">
        <f>IFERROR(__xludf.DUMMYFUNCTION("""COMPUTED_VALUE"""),13.067075)</f>
        <v>13.067075</v>
      </c>
      <c r="E22143" s="4">
        <f>IFERROR(__xludf.DUMMYFUNCTION("""COMPUTED_VALUE"""),80.270237)</f>
        <v>80.270237</v>
      </c>
      <c r="F22143" s="4">
        <f>IFERROR(__xludf.DUMMYFUNCTION("""COMPUTED_VALUE"""),5339.0)</f>
        <v>5339</v>
      </c>
      <c r="G22143" s="4">
        <f>IFERROR(__xludf.DUMMYFUNCTION("""COMPUTED_VALUE"""),30.0)</f>
        <v>30</v>
      </c>
      <c r="H22143" s="4"/>
      <c r="I22143" s="4"/>
    </row>
    <row r="22144">
      <c r="A22144" s="4" t="str">
        <f>IFERROR(__xludf.DUMMYFUNCTION("""COMPUTED_VALUE"""),"cas_hmw")</f>
        <v>cas_hmw</v>
      </c>
      <c r="B22144" s="5">
        <f>IFERROR(__xludf.DUMMYFUNCTION("""COMPUTED_VALUE"""),44788.0)</f>
        <v>44788</v>
      </c>
      <c r="C22144" s="6">
        <f>IFERROR(__xludf.DUMMYFUNCTION("""COMPUTED_VALUE"""),0.742361111111677)</f>
        <v>0.7423611111</v>
      </c>
      <c r="D22144" s="4">
        <f>IFERROR(__xludf.DUMMYFUNCTION("""COMPUTED_VALUE"""),13.066684)</f>
        <v>13.066684</v>
      </c>
      <c r="E22144" s="4">
        <f>IFERROR(__xludf.DUMMYFUNCTION("""COMPUTED_VALUE"""),80.268422)</f>
        <v>80.268422</v>
      </c>
      <c r="F22144" s="4">
        <f>IFERROR(__xludf.DUMMYFUNCTION("""COMPUTED_VALUE"""),5339.0)</f>
        <v>5339</v>
      </c>
      <c r="G22144" s="4">
        <f>IFERROR(__xludf.DUMMYFUNCTION("""COMPUTED_VALUE"""),10.0)</f>
        <v>10</v>
      </c>
      <c r="H22144" s="4"/>
      <c r="I22144" s="4"/>
    </row>
    <row r="22145">
      <c r="A22145" s="4" t="str">
        <f>IFERROR(__xludf.DUMMYFUNCTION("""COMPUTED_VALUE"""),"cas_hmw")</f>
        <v>cas_hmw</v>
      </c>
      <c r="B22145" s="5">
        <f>IFERROR(__xludf.DUMMYFUNCTION("""COMPUTED_VALUE"""),44788.0)</f>
        <v>44788</v>
      </c>
      <c r="C22145" s="6">
        <f>IFERROR(__xludf.DUMMYFUNCTION("""COMPUTED_VALUE"""),0.7470486111124046)</f>
        <v>0.7470486111</v>
      </c>
      <c r="D22145" s="4">
        <f>IFERROR(__xludf.DUMMYFUNCTION("""COMPUTED_VALUE"""),13.068188)</f>
        <v>13.068188</v>
      </c>
      <c r="E22145" s="4">
        <f>IFERROR(__xludf.DUMMYFUNCTION("""COMPUTED_VALUE"""),80.252602)</f>
        <v>80.252602</v>
      </c>
      <c r="F22145" s="4">
        <f>IFERROR(__xludf.DUMMYFUNCTION("""COMPUTED_VALUE"""),805.0)</f>
        <v>805</v>
      </c>
      <c r="G22145" s="4">
        <f>IFERROR(__xludf.DUMMYFUNCTION("""COMPUTED_VALUE"""),26.0)</f>
        <v>26</v>
      </c>
      <c r="H22145" s="4"/>
      <c r="I22145" s="4"/>
    </row>
    <row r="22146">
      <c r="A22146" s="4" t="str">
        <f>IFERROR(__xludf.DUMMYFUNCTION("""COMPUTED_VALUE"""),"cas_hmw")</f>
        <v>cas_hmw</v>
      </c>
      <c r="B22146" s="5">
        <f>IFERROR(__xludf.DUMMYFUNCTION("""COMPUTED_VALUE"""),44789.0)</f>
        <v>44789</v>
      </c>
      <c r="C22146" s="6">
        <f>IFERROR(__xludf.DUMMYFUNCTION("""COMPUTED_VALUE"""),0.2708101851858373)</f>
        <v>0.2708101852</v>
      </c>
      <c r="D22146" s="4">
        <f>IFERROR(__xludf.DUMMYFUNCTION("""COMPUTED_VALUE"""),12.901522)</f>
        <v>12.901522</v>
      </c>
      <c r="E22146" s="4">
        <f>IFERROR(__xludf.DUMMYFUNCTION("""COMPUTED_VALUE"""),80.092487)</f>
        <v>80.092487</v>
      </c>
      <c r="F22146" s="4">
        <f>IFERROR(__xludf.DUMMYFUNCTION("""COMPUTED_VALUE"""),3143.0)</f>
        <v>3143</v>
      </c>
      <c r="G22146" s="4">
        <f>IFERROR(__xludf.DUMMYFUNCTION("""COMPUTED_VALUE"""),56.0)</f>
        <v>56</v>
      </c>
      <c r="H22146" s="4"/>
      <c r="I22146" s="4"/>
    </row>
    <row r="22147">
      <c r="A22147" s="4" t="str">
        <f>IFERROR(__xludf.DUMMYFUNCTION("""COMPUTED_VALUE"""),"cas_hmw")</f>
        <v>cas_hmw</v>
      </c>
      <c r="B22147" s="5">
        <f>IFERROR(__xludf.DUMMYFUNCTION("""COMPUTED_VALUE"""),44789.0)</f>
        <v>44789</v>
      </c>
      <c r="C22147" s="6">
        <f>IFERROR(__xludf.DUMMYFUNCTION("""COMPUTED_VALUE"""),0.2709375000013097)</f>
        <v>0.2709375</v>
      </c>
      <c r="D22147" s="4">
        <f>IFERROR(__xludf.DUMMYFUNCTION("""COMPUTED_VALUE"""),12.902627)</f>
        <v>12.902627</v>
      </c>
      <c r="E22147" s="4">
        <f>IFERROR(__xludf.DUMMYFUNCTION("""COMPUTED_VALUE"""),80.093302)</f>
        <v>80.093302</v>
      </c>
      <c r="F22147" s="4">
        <f>IFERROR(__xludf.DUMMYFUNCTION("""COMPUTED_VALUE"""),3143.0)</f>
        <v>3143</v>
      </c>
      <c r="G22147" s="4">
        <f>IFERROR(__xludf.DUMMYFUNCTION("""COMPUTED_VALUE"""),47.0)</f>
        <v>47</v>
      </c>
      <c r="H22147" s="4"/>
      <c r="I22147" s="4"/>
    </row>
    <row r="22148">
      <c r="A22148" s="4" t="str">
        <f>IFERROR(__xludf.DUMMYFUNCTION("""COMPUTED_VALUE"""),"cas_hmw")</f>
        <v>cas_hmw</v>
      </c>
      <c r="B22148" s="5">
        <f>IFERROR(__xludf.DUMMYFUNCTION("""COMPUTED_VALUE"""),44789.0)</f>
        <v>44789</v>
      </c>
      <c r="C22148" s="6">
        <f>IFERROR(__xludf.DUMMYFUNCTION("""COMPUTED_VALUE"""),0.27109953703620704)</f>
        <v>0.271099537</v>
      </c>
      <c r="D22148" s="4">
        <f>IFERROR(__xludf.DUMMYFUNCTION("""COMPUTED_VALUE"""),12.904302)</f>
        <v>12.904302</v>
      </c>
      <c r="E22148" s="4">
        <f>IFERROR(__xludf.DUMMYFUNCTION("""COMPUTED_VALUE"""),80.094578)</f>
        <v>80.094578</v>
      </c>
      <c r="F22148" s="4">
        <f>IFERROR(__xludf.DUMMYFUNCTION("""COMPUTED_VALUE"""),3143.0)</f>
        <v>3143</v>
      </c>
      <c r="G22148" s="4">
        <f>IFERROR(__xludf.DUMMYFUNCTION("""COMPUTED_VALUE"""),36.0)</f>
        <v>36</v>
      </c>
      <c r="H22148" s="4"/>
      <c r="I22148" s="4"/>
    </row>
    <row r="22149">
      <c r="A22149" s="4" t="str">
        <f>IFERROR(__xludf.DUMMYFUNCTION("""COMPUTED_VALUE"""),"cas_hmw")</f>
        <v>cas_hmw</v>
      </c>
      <c r="B22149" s="5">
        <f>IFERROR(__xludf.DUMMYFUNCTION("""COMPUTED_VALUE"""),44789.0)</f>
        <v>44789</v>
      </c>
      <c r="C22149" s="6">
        <f>IFERROR(__xludf.DUMMYFUNCTION("""COMPUTED_VALUE"""),0.27782407407357823)</f>
        <v>0.2778240741</v>
      </c>
      <c r="D22149" s="4">
        <f>IFERROR(__xludf.DUMMYFUNCTION("""COMPUTED_VALUE"""),12.929023)</f>
        <v>12.929023</v>
      </c>
      <c r="E22149" s="4">
        <f>IFERROR(__xludf.DUMMYFUNCTION("""COMPUTED_VALUE"""),80.120089)</f>
        <v>80.120089</v>
      </c>
      <c r="F22149" s="4">
        <f>IFERROR(__xludf.DUMMYFUNCTION("""COMPUTED_VALUE"""),3143.0)</f>
        <v>3143</v>
      </c>
      <c r="G22149" s="4">
        <f>IFERROR(__xludf.DUMMYFUNCTION("""COMPUTED_VALUE"""),42.0)</f>
        <v>42</v>
      </c>
      <c r="H22149" s="4"/>
      <c r="I22149" s="4"/>
    </row>
    <row r="22150">
      <c r="A22150" s="4" t="str">
        <f>IFERROR(__xludf.DUMMYFUNCTION("""COMPUTED_VALUE"""),"cas_hmw")</f>
        <v>cas_hmw</v>
      </c>
      <c r="B22150" s="5">
        <f>IFERROR(__xludf.DUMMYFUNCTION("""COMPUTED_VALUE"""),44789.0)</f>
        <v>44789</v>
      </c>
      <c r="C22150" s="6">
        <f>IFERROR(__xludf.DUMMYFUNCTION("""COMPUTED_VALUE"""),0.278460648147302)</f>
        <v>0.2784606481</v>
      </c>
      <c r="D22150" s="4">
        <f>IFERROR(__xludf.DUMMYFUNCTION("""COMPUTED_VALUE"""),12.930085)</f>
        <v>12.930085</v>
      </c>
      <c r="E22150" s="4">
        <f>IFERROR(__xludf.DUMMYFUNCTION("""COMPUTED_VALUE"""),80.121138)</f>
        <v>80.121138</v>
      </c>
      <c r="F22150" s="4">
        <f>IFERROR(__xludf.DUMMYFUNCTION("""COMPUTED_VALUE"""),3143.0)</f>
        <v>3143</v>
      </c>
      <c r="G22150" s="4">
        <f>IFERROR(__xludf.DUMMYFUNCTION("""COMPUTED_VALUE"""),19.0)</f>
        <v>19</v>
      </c>
      <c r="H22150" s="4"/>
      <c r="I22150" s="4"/>
    </row>
    <row r="22151">
      <c r="A22151" s="4" t="str">
        <f>IFERROR(__xludf.DUMMYFUNCTION("""COMPUTED_VALUE"""),"cas_hmw")</f>
        <v>cas_hmw</v>
      </c>
      <c r="B22151" s="5">
        <f>IFERROR(__xludf.DUMMYFUNCTION("""COMPUTED_VALUE"""),44789.0)</f>
        <v>44789</v>
      </c>
      <c r="C22151" s="6">
        <f>IFERROR(__xludf.DUMMYFUNCTION("""COMPUTED_VALUE"""),0.2785185185202863)</f>
        <v>0.2785185185</v>
      </c>
      <c r="D22151" s="4">
        <f>IFERROR(__xludf.DUMMYFUNCTION("""COMPUTED_VALUE"""),12.930491)</f>
        <v>12.930491</v>
      </c>
      <c r="E22151" s="4">
        <f>IFERROR(__xludf.DUMMYFUNCTION("""COMPUTED_VALUE"""),80.121567)</f>
        <v>80.121567</v>
      </c>
      <c r="F22151" s="4">
        <f>IFERROR(__xludf.DUMMYFUNCTION("""COMPUTED_VALUE"""),3143.0)</f>
        <v>3143</v>
      </c>
      <c r="G22151" s="4">
        <f>IFERROR(__xludf.DUMMYFUNCTION("""COMPUTED_VALUE"""),34.0)</f>
        <v>34</v>
      </c>
      <c r="H22151" s="4"/>
      <c r="I22151" s="4"/>
    </row>
    <row r="22152">
      <c r="A22152" s="4" t="str">
        <f>IFERROR(__xludf.DUMMYFUNCTION("""COMPUTED_VALUE"""),"cas_hmw")</f>
        <v>cas_hmw</v>
      </c>
      <c r="B22152" s="5">
        <f>IFERROR(__xludf.DUMMYFUNCTION("""COMPUTED_VALUE"""),44789.0)</f>
        <v>44789</v>
      </c>
      <c r="C22152" s="6">
        <f>IFERROR(__xludf.DUMMYFUNCTION("""COMPUTED_VALUE"""),0.2793171296289074)</f>
        <v>0.2793171296</v>
      </c>
      <c r="D22152" s="4">
        <f>IFERROR(__xludf.DUMMYFUNCTION("""COMPUTED_VALUE"""),12.932401)</f>
        <v>12.932401</v>
      </c>
      <c r="E22152" s="4">
        <f>IFERROR(__xludf.DUMMYFUNCTION("""COMPUTED_VALUE"""),80.123514)</f>
        <v>80.123514</v>
      </c>
      <c r="F22152" s="4">
        <f>IFERROR(__xludf.DUMMYFUNCTION("""COMPUTED_VALUE"""),3143.0)</f>
        <v>3143</v>
      </c>
      <c r="G22152" s="4">
        <f>IFERROR(__xludf.DUMMYFUNCTION("""COMPUTED_VALUE"""),28.0)</f>
        <v>28</v>
      </c>
      <c r="H22152" s="4"/>
      <c r="I22152" s="4"/>
    </row>
    <row r="22153">
      <c r="A22153" s="4" t="str">
        <f>IFERROR(__xludf.DUMMYFUNCTION("""COMPUTED_VALUE"""),"cas_hmw")</f>
        <v>cas_hmw</v>
      </c>
      <c r="B22153" s="5">
        <f>IFERROR(__xludf.DUMMYFUNCTION("""COMPUTED_VALUE"""),44789.0)</f>
        <v>44789</v>
      </c>
      <c r="C22153" s="6">
        <f>IFERROR(__xludf.DUMMYFUNCTION("""COMPUTED_VALUE"""),0.27940972222131677)</f>
        <v>0.2794097222</v>
      </c>
      <c r="D22153" s="4">
        <f>IFERROR(__xludf.DUMMYFUNCTION("""COMPUTED_VALUE"""),12.933059)</f>
        <v>12.933059</v>
      </c>
      <c r="E22153" s="4">
        <f>IFERROR(__xludf.DUMMYFUNCTION("""COMPUTED_VALUE"""),80.124133)</f>
        <v>80.124133</v>
      </c>
      <c r="F22153" s="4">
        <f>IFERROR(__xludf.DUMMYFUNCTION("""COMPUTED_VALUE"""),3143.0)</f>
        <v>3143</v>
      </c>
      <c r="G22153" s="4">
        <f>IFERROR(__xludf.DUMMYFUNCTION("""COMPUTED_VALUE"""),39.0)</f>
        <v>39</v>
      </c>
      <c r="H22153" s="4"/>
      <c r="I22153" s="4"/>
    </row>
    <row r="22154">
      <c r="A22154" s="4" t="str">
        <f>IFERROR(__xludf.DUMMYFUNCTION("""COMPUTED_VALUE"""),"cas_hmw")</f>
        <v>cas_hmw</v>
      </c>
      <c r="B22154" s="5">
        <f>IFERROR(__xludf.DUMMYFUNCTION("""COMPUTED_VALUE"""),44789.0)</f>
        <v>44789</v>
      </c>
      <c r="C22154" s="6">
        <f>IFERROR(__xludf.DUMMYFUNCTION("""COMPUTED_VALUE"""),0.27944444444437977)</f>
        <v>0.2794444444</v>
      </c>
      <c r="D22154" s="4">
        <f>IFERROR(__xludf.DUMMYFUNCTION("""COMPUTED_VALUE"""),12.933059)</f>
        <v>12.933059</v>
      </c>
      <c r="E22154" s="4">
        <f>IFERROR(__xludf.DUMMYFUNCTION("""COMPUTED_VALUE"""),80.124133)</f>
        <v>80.124133</v>
      </c>
      <c r="F22154" s="4">
        <f>IFERROR(__xludf.DUMMYFUNCTION("""COMPUTED_VALUE"""),3143.0)</f>
        <v>3143</v>
      </c>
      <c r="G22154" s="4">
        <f>IFERROR(__xludf.DUMMYFUNCTION("""COMPUTED_VALUE"""),39.0)</f>
        <v>39</v>
      </c>
      <c r="H22154" s="4"/>
      <c r="I22154" s="4"/>
    </row>
    <row r="22155">
      <c r="A22155" s="4" t="str">
        <f>IFERROR(__xludf.DUMMYFUNCTION("""COMPUTED_VALUE"""),"cas_hmw")</f>
        <v>cas_hmw</v>
      </c>
      <c r="B22155" s="5">
        <f>IFERROR(__xludf.DUMMYFUNCTION("""COMPUTED_VALUE"""),44789.0)</f>
        <v>44789</v>
      </c>
      <c r="C22155" s="6">
        <f>IFERROR(__xludf.DUMMYFUNCTION("""COMPUTED_VALUE"""),0.28018518518365454)</f>
        <v>0.2801851852</v>
      </c>
      <c r="D22155" s="4">
        <f>IFERROR(__xludf.DUMMYFUNCTION("""COMPUTED_VALUE"""),12.937708)</f>
        <v>12.937708</v>
      </c>
      <c r="E22155" s="4">
        <f>IFERROR(__xludf.DUMMYFUNCTION("""COMPUTED_VALUE"""),80.128388)</f>
        <v>80.128388</v>
      </c>
      <c r="F22155" s="4">
        <f>IFERROR(__xludf.DUMMYFUNCTION("""COMPUTED_VALUE"""),3143.0)</f>
        <v>3143</v>
      </c>
      <c r="G22155" s="4">
        <f>IFERROR(__xludf.DUMMYFUNCTION("""COMPUTED_VALUE"""),48.0)</f>
        <v>48</v>
      </c>
      <c r="H22155" s="4"/>
      <c r="I22155" s="4"/>
    </row>
    <row r="22156">
      <c r="A22156" s="4" t="str">
        <f>IFERROR(__xludf.DUMMYFUNCTION("""COMPUTED_VALUE"""),"cas_hmw")</f>
        <v>cas_hmw</v>
      </c>
      <c r="B22156" s="5">
        <f>IFERROR(__xludf.DUMMYFUNCTION("""COMPUTED_VALUE"""),44789.0)</f>
        <v>44789</v>
      </c>
      <c r="C22156" s="6">
        <f>IFERROR(__xludf.DUMMYFUNCTION("""COMPUTED_VALUE"""),0.28057870370321325)</f>
        <v>0.2805787037</v>
      </c>
      <c r="D22156" s="4">
        <f>IFERROR(__xludf.DUMMYFUNCTION("""COMPUTED_VALUE"""),12.941869)</f>
        <v>12.941869</v>
      </c>
      <c r="E22156" s="4">
        <f>IFERROR(__xludf.DUMMYFUNCTION("""COMPUTED_VALUE"""),80.132404)</f>
        <v>80.132404</v>
      </c>
      <c r="F22156" s="4">
        <f>IFERROR(__xludf.DUMMYFUNCTION("""COMPUTED_VALUE"""),3143.0)</f>
        <v>3143</v>
      </c>
      <c r="G22156" s="4">
        <f>IFERROR(__xludf.DUMMYFUNCTION("""COMPUTED_VALUE"""),58.0)</f>
        <v>58</v>
      </c>
      <c r="H22156" s="4"/>
      <c r="I22156" s="4"/>
    </row>
    <row r="22157">
      <c r="A22157" s="4" t="str">
        <f>IFERROR(__xludf.DUMMYFUNCTION("""COMPUTED_VALUE"""),"cas_hmw")</f>
        <v>cas_hmw</v>
      </c>
      <c r="B22157" s="5">
        <f>IFERROR(__xludf.DUMMYFUNCTION("""COMPUTED_VALUE"""),44789.0)</f>
        <v>44789</v>
      </c>
      <c r="C22157" s="6">
        <f>IFERROR(__xludf.DUMMYFUNCTION("""COMPUTED_VALUE"""),0.28068287036876427)</f>
        <v>0.2806828704</v>
      </c>
      <c r="D22157" s="4">
        <f>IFERROR(__xludf.DUMMYFUNCTION("""COMPUTED_VALUE"""),12.942822)</f>
        <v>12.942822</v>
      </c>
      <c r="E22157" s="4">
        <f>IFERROR(__xludf.DUMMYFUNCTION("""COMPUTED_VALUE"""),80.133388)</f>
        <v>80.133388</v>
      </c>
      <c r="F22157" s="4">
        <f>IFERROR(__xludf.DUMMYFUNCTION("""COMPUTED_VALUE"""),3143.0)</f>
        <v>3143</v>
      </c>
      <c r="G22157" s="4">
        <f>IFERROR(__xludf.DUMMYFUNCTION("""COMPUTED_VALUE"""),51.0)</f>
        <v>51</v>
      </c>
      <c r="H22157" s="4"/>
      <c r="I22157" s="4"/>
    </row>
    <row r="22158">
      <c r="A22158" s="4" t="str">
        <f>IFERROR(__xludf.DUMMYFUNCTION("""COMPUTED_VALUE"""),"cas_hmw")</f>
        <v>cas_hmw</v>
      </c>
      <c r="B22158" s="5">
        <f>IFERROR(__xludf.DUMMYFUNCTION("""COMPUTED_VALUE"""),44789.0)</f>
        <v>44789</v>
      </c>
      <c r="C22158" s="6">
        <f>IFERROR(__xludf.DUMMYFUNCTION("""COMPUTED_VALUE"""),0.28145833333474)</f>
        <v>0.2814583333</v>
      </c>
      <c r="D22158" s="4">
        <f>IFERROR(__xludf.DUMMYFUNCTION("""COMPUTED_VALUE"""),12.949585)</f>
        <v>12.949585</v>
      </c>
      <c r="E22158" s="4">
        <f>IFERROR(__xludf.DUMMYFUNCTION("""COMPUTED_VALUE"""),80.138756)</f>
        <v>80.138756</v>
      </c>
      <c r="F22158" s="4">
        <f>IFERROR(__xludf.DUMMYFUNCTION("""COMPUTED_VALUE"""),3143.0)</f>
        <v>3143</v>
      </c>
      <c r="G22158" s="4">
        <f>IFERROR(__xludf.DUMMYFUNCTION("""COMPUTED_VALUE"""),57.0)</f>
        <v>57</v>
      </c>
      <c r="H22158" s="4"/>
      <c r="I22158" s="4"/>
    </row>
    <row r="22159">
      <c r="A22159" s="4" t="str">
        <f>IFERROR(__xludf.DUMMYFUNCTION("""COMPUTED_VALUE"""),"cas_hmw")</f>
        <v>cas_hmw</v>
      </c>
      <c r="B22159" s="5">
        <f>IFERROR(__xludf.DUMMYFUNCTION("""COMPUTED_VALUE"""),44789.0)</f>
        <v>44789</v>
      </c>
      <c r="C22159" s="6">
        <f>IFERROR(__xludf.DUMMYFUNCTION("""COMPUTED_VALUE"""),0.28202546296233777)</f>
        <v>0.282025463</v>
      </c>
      <c r="D22159" s="4">
        <f>IFERROR(__xludf.DUMMYFUNCTION("""COMPUTED_VALUE"""),12.954128)</f>
        <v>12.954128</v>
      </c>
      <c r="E22159" s="4">
        <f>IFERROR(__xludf.DUMMYFUNCTION("""COMPUTED_VALUE"""),80.142005)</f>
        <v>80.142005</v>
      </c>
      <c r="F22159" s="4">
        <f>IFERROR(__xludf.DUMMYFUNCTION("""COMPUTED_VALUE"""),3143.0)</f>
        <v>3143</v>
      </c>
      <c r="G22159" s="4">
        <f>IFERROR(__xludf.DUMMYFUNCTION("""COMPUTED_VALUE"""),50.0)</f>
        <v>50</v>
      </c>
      <c r="H22159" s="4"/>
      <c r="I22159" s="4"/>
    </row>
    <row r="22160">
      <c r="A22160" s="4" t="str">
        <f>IFERROR(__xludf.DUMMYFUNCTION("""COMPUTED_VALUE"""),"cas_hmw")</f>
        <v>cas_hmw</v>
      </c>
      <c r="B22160" s="5">
        <f>IFERROR(__xludf.DUMMYFUNCTION("""COMPUTED_VALUE"""),44789.0)</f>
        <v>44789</v>
      </c>
      <c r="C22160" s="6">
        <f>IFERROR(__xludf.DUMMYFUNCTION("""COMPUTED_VALUE"""),0.28268518518598285)</f>
        <v>0.2826851852</v>
      </c>
      <c r="D22160" s="4">
        <f>IFERROR(__xludf.DUMMYFUNCTION("""COMPUTED_VALUE"""),12.957849)</f>
        <v>12.957849</v>
      </c>
      <c r="E22160" s="4">
        <f>IFERROR(__xludf.DUMMYFUNCTION("""COMPUTED_VALUE"""),80.143837)</f>
        <v>80.143837</v>
      </c>
      <c r="F22160" s="4">
        <f>IFERROR(__xludf.DUMMYFUNCTION("""COMPUTED_VALUE"""),3143.0)</f>
        <v>3143</v>
      </c>
      <c r="G22160" s="4">
        <f>IFERROR(__xludf.DUMMYFUNCTION("""COMPUTED_VALUE"""),31.0)</f>
        <v>31</v>
      </c>
      <c r="H22160" s="4"/>
      <c r="I22160" s="4"/>
    </row>
    <row r="22161">
      <c r="A22161" s="4" t="str">
        <f>IFERROR(__xludf.DUMMYFUNCTION("""COMPUTED_VALUE"""),"cas_hmw")</f>
        <v>cas_hmw</v>
      </c>
      <c r="B22161" s="5">
        <f>IFERROR(__xludf.DUMMYFUNCTION("""COMPUTED_VALUE"""),44789.0)</f>
        <v>44789</v>
      </c>
      <c r="C22161" s="6">
        <f>IFERROR(__xludf.DUMMYFUNCTION("""COMPUTED_VALUE"""),0.2845138888878864)</f>
        <v>0.2845138889</v>
      </c>
      <c r="D22161" s="4">
        <f>IFERROR(__xludf.DUMMYFUNCTION("""COMPUTED_VALUE"""),12.954739)</f>
        <v>12.954739</v>
      </c>
      <c r="E22161" s="4">
        <f>IFERROR(__xludf.DUMMYFUNCTION("""COMPUTED_VALUE"""),80.157982)</f>
        <v>80.157982</v>
      </c>
      <c r="F22161" s="4">
        <f>IFERROR(__xludf.DUMMYFUNCTION("""COMPUTED_VALUE"""),3143.0)</f>
        <v>3143</v>
      </c>
      <c r="G22161" s="4">
        <f>IFERROR(__xludf.DUMMYFUNCTION("""COMPUTED_VALUE"""),52.0)</f>
        <v>52</v>
      </c>
      <c r="H22161" s="4"/>
      <c r="I22161" s="4"/>
    </row>
    <row r="22162">
      <c r="A22162" s="4" t="str">
        <f>IFERROR(__xludf.DUMMYFUNCTION("""COMPUTED_VALUE"""),"cas_hmw")</f>
        <v>cas_hmw</v>
      </c>
      <c r="B22162" s="5">
        <f>IFERROR(__xludf.DUMMYFUNCTION("""COMPUTED_VALUE"""),44789.0)</f>
        <v>44789</v>
      </c>
      <c r="C22162" s="6">
        <f>IFERROR(__xludf.DUMMYFUNCTION("""COMPUTED_VALUE"""),0.28497685185357113)</f>
        <v>0.2849768519</v>
      </c>
      <c r="D22162" s="4">
        <f>IFERROR(__xludf.DUMMYFUNCTION("""COMPUTED_VALUE"""),12.953607)</f>
        <v>12.953607</v>
      </c>
      <c r="E22162" s="4">
        <f>IFERROR(__xludf.DUMMYFUNCTION("""COMPUTED_VALUE"""),80.163419)</f>
        <v>80.163419</v>
      </c>
      <c r="F22162" s="4">
        <f>IFERROR(__xludf.DUMMYFUNCTION("""COMPUTED_VALUE"""),3143.0)</f>
        <v>3143</v>
      </c>
      <c r="G22162" s="4">
        <f>IFERROR(__xludf.DUMMYFUNCTION("""COMPUTED_VALUE"""),58.0)</f>
        <v>58</v>
      </c>
      <c r="H22162" s="4"/>
      <c r="I22162" s="4"/>
    </row>
    <row r="22163">
      <c r="A22163" s="4" t="str">
        <f>IFERROR(__xludf.DUMMYFUNCTION("""COMPUTED_VALUE"""),"cas_hmw")</f>
        <v>cas_hmw</v>
      </c>
      <c r="B22163" s="5">
        <f>IFERROR(__xludf.DUMMYFUNCTION("""COMPUTED_VALUE"""),44789.0)</f>
        <v>44789</v>
      </c>
      <c r="C22163" s="6">
        <f>IFERROR(__xludf.DUMMYFUNCTION("""COMPUTED_VALUE"""),0.2855671296310902)</f>
        <v>0.2855671296</v>
      </c>
      <c r="D22163" s="4">
        <f>IFERROR(__xludf.DUMMYFUNCTION("""COMPUTED_VALUE"""),12.443244)</f>
        <v>12.443244</v>
      </c>
      <c r="E22163" s="4">
        <f>IFERROR(__xludf.DUMMYFUNCTION("""COMPUTED_VALUE"""),79.837267)</f>
        <v>79.837267</v>
      </c>
      <c r="F22163" s="4">
        <f>IFERROR(__xludf.DUMMYFUNCTION("""COMPUTED_VALUE"""),2846.0)</f>
        <v>2846</v>
      </c>
      <c r="G22163" s="4">
        <f>IFERROR(__xludf.DUMMYFUNCTION("""COMPUTED_VALUE"""),44.0)</f>
        <v>44</v>
      </c>
      <c r="H22163" s="4"/>
      <c r="I22163" s="4"/>
    </row>
    <row r="22164">
      <c r="A22164" s="4" t="str">
        <f>IFERROR(__xludf.DUMMYFUNCTION("""COMPUTED_VALUE"""),"cas_hmw")</f>
        <v>cas_hmw</v>
      </c>
      <c r="B22164" s="5">
        <f>IFERROR(__xludf.DUMMYFUNCTION("""COMPUTED_VALUE"""),44789.0)</f>
        <v>44789</v>
      </c>
      <c r="C22164" s="6">
        <f>IFERROR(__xludf.DUMMYFUNCTION("""COMPUTED_VALUE"""),0.29141203703693463)</f>
        <v>0.291412037</v>
      </c>
      <c r="D22164" s="4">
        <f>IFERROR(__xludf.DUMMYFUNCTION("""COMPUTED_VALUE"""),12.499728)</f>
        <v>12.499728</v>
      </c>
      <c r="E22164" s="4">
        <f>IFERROR(__xludf.DUMMYFUNCTION("""COMPUTED_VALUE"""),79.874951)</f>
        <v>79.874951</v>
      </c>
      <c r="F22164" s="4">
        <f>IFERROR(__xludf.DUMMYFUNCTION("""COMPUTED_VALUE"""),2846.0)</f>
        <v>2846</v>
      </c>
      <c r="G22164" s="4">
        <f>IFERROR(__xludf.DUMMYFUNCTION("""COMPUTED_VALUE"""),51.0)</f>
        <v>51</v>
      </c>
      <c r="H22164" s="4"/>
      <c r="I22164" s="4"/>
    </row>
    <row r="22165">
      <c r="A22165" s="4" t="str">
        <f>IFERROR(__xludf.DUMMYFUNCTION("""COMPUTED_VALUE"""),"cas_hmw")</f>
        <v>cas_hmw</v>
      </c>
      <c r="B22165" s="5">
        <f>IFERROR(__xludf.DUMMYFUNCTION("""COMPUTED_VALUE"""),44789.0)</f>
        <v>44789</v>
      </c>
      <c r="C22165" s="6">
        <f>IFERROR(__xludf.DUMMYFUNCTION("""COMPUTED_VALUE"""),0.2928472222229175)</f>
        <v>0.2928472222</v>
      </c>
      <c r="D22165" s="4">
        <f>IFERROR(__xludf.DUMMYFUNCTION("""COMPUTED_VALUE"""),12.9728)</f>
        <v>12.9728</v>
      </c>
      <c r="E22165" s="4">
        <f>IFERROR(__xludf.DUMMYFUNCTION("""COMPUTED_VALUE"""),80.219599)</f>
        <v>80.219599</v>
      </c>
      <c r="F22165" s="4">
        <f>IFERROR(__xludf.DUMMYFUNCTION("""COMPUTED_VALUE"""),3143.0)</f>
        <v>3143</v>
      </c>
      <c r="G22165" s="4">
        <f>IFERROR(__xludf.DUMMYFUNCTION("""COMPUTED_VALUE"""),48.0)</f>
        <v>48</v>
      </c>
      <c r="H22165" s="4"/>
      <c r="I22165" s="4"/>
    </row>
    <row r="22166">
      <c r="A22166" s="4" t="str">
        <f>IFERROR(__xludf.DUMMYFUNCTION("""COMPUTED_VALUE"""),"cas_hmw")</f>
        <v>cas_hmw</v>
      </c>
      <c r="B22166" s="5">
        <f>IFERROR(__xludf.DUMMYFUNCTION("""COMPUTED_VALUE"""),44789.0)</f>
        <v>44789</v>
      </c>
      <c r="C22166" s="6">
        <f>IFERROR(__xludf.DUMMYFUNCTION("""COMPUTED_VALUE"""),0.3027314814826241)</f>
        <v>0.3027314815</v>
      </c>
      <c r="D22166" s="4">
        <f>IFERROR(__xludf.DUMMYFUNCTION("""COMPUTED_VALUE"""),13.066046)</f>
        <v>13.066046</v>
      </c>
      <c r="E22166" s="4">
        <f>IFERROR(__xludf.DUMMYFUNCTION("""COMPUTED_VALUE"""),80.267789)</f>
        <v>80.267789</v>
      </c>
      <c r="F22166" s="4">
        <f>IFERROR(__xludf.DUMMYFUNCTION("""COMPUTED_VALUE"""),805.0)</f>
        <v>805</v>
      </c>
      <c r="G22166" s="4">
        <f>IFERROR(__xludf.DUMMYFUNCTION("""COMPUTED_VALUE"""),40.0)</f>
        <v>40</v>
      </c>
      <c r="H22166" s="4"/>
      <c r="I22166" s="4"/>
    </row>
    <row r="22167">
      <c r="A22167" s="4" t="str">
        <f>IFERROR(__xludf.DUMMYFUNCTION("""COMPUTED_VALUE"""),"cas_hmw")</f>
        <v>cas_hmw</v>
      </c>
      <c r="B22167" s="5">
        <f>IFERROR(__xludf.DUMMYFUNCTION("""COMPUTED_VALUE"""),44789.0)</f>
        <v>44789</v>
      </c>
      <c r="C22167" s="6">
        <f>IFERROR(__xludf.DUMMYFUNCTION("""COMPUTED_VALUE"""),0.3027546296289074)</f>
        <v>0.3027546296</v>
      </c>
      <c r="D22167" s="4">
        <f>IFERROR(__xludf.DUMMYFUNCTION("""COMPUTED_VALUE"""),13.066046)</f>
        <v>13.066046</v>
      </c>
      <c r="E22167" s="4">
        <f>IFERROR(__xludf.DUMMYFUNCTION("""COMPUTED_VALUE"""),80.267789)</f>
        <v>80.267789</v>
      </c>
      <c r="F22167" s="4">
        <f>IFERROR(__xludf.DUMMYFUNCTION("""COMPUTED_VALUE"""),805.0)</f>
        <v>805</v>
      </c>
      <c r="G22167" s="4">
        <f>IFERROR(__xludf.DUMMYFUNCTION("""COMPUTED_VALUE"""),40.0)</f>
        <v>40</v>
      </c>
      <c r="H22167" s="4"/>
      <c r="I22167" s="4"/>
    </row>
    <row r="22168">
      <c r="A22168" s="4" t="str">
        <f>IFERROR(__xludf.DUMMYFUNCTION("""COMPUTED_VALUE"""),"cas_hmw")</f>
        <v>cas_hmw</v>
      </c>
      <c r="B22168" s="5">
        <f>IFERROR(__xludf.DUMMYFUNCTION("""COMPUTED_VALUE"""),44789.0)</f>
        <v>44789</v>
      </c>
      <c r="C22168" s="6">
        <f>IFERROR(__xludf.DUMMYFUNCTION("""COMPUTED_VALUE"""),0.3060069444436522)</f>
        <v>0.3060069444</v>
      </c>
      <c r="D22168" s="4">
        <f>IFERROR(__xludf.DUMMYFUNCTION("""COMPUTED_VALUE"""),12.57685)</f>
        <v>12.57685</v>
      </c>
      <c r="E22168" s="4">
        <f>IFERROR(__xludf.DUMMYFUNCTION("""COMPUTED_VALUE"""),79.917137)</f>
        <v>79.917137</v>
      </c>
      <c r="F22168" s="4">
        <f>IFERROR(__xludf.DUMMYFUNCTION("""COMPUTED_VALUE"""),2846.0)</f>
        <v>2846</v>
      </c>
      <c r="G22168" s="4">
        <f>IFERROR(__xludf.DUMMYFUNCTION("""COMPUTED_VALUE"""),58.0)</f>
        <v>58</v>
      </c>
      <c r="H22168" s="4"/>
      <c r="I22168" s="4"/>
    </row>
    <row r="22169">
      <c r="A22169" s="4" t="str">
        <f>IFERROR(__xludf.DUMMYFUNCTION("""COMPUTED_VALUE"""),"cas_hmw")</f>
        <v>cas_hmw</v>
      </c>
      <c r="B22169" s="5">
        <f>IFERROR(__xludf.DUMMYFUNCTION("""COMPUTED_VALUE"""),44789.0)</f>
        <v>44789</v>
      </c>
      <c r="C22169" s="6">
        <f>IFERROR(__xludf.DUMMYFUNCTION("""COMPUTED_VALUE"""),0.3086921296307992)</f>
        <v>0.3086921296</v>
      </c>
      <c r="D22169" s="4">
        <f>IFERROR(__xludf.DUMMYFUNCTION("""COMPUTED_VALUE"""),13.057067)</f>
        <v>13.057067</v>
      </c>
      <c r="E22169" s="4">
        <f>IFERROR(__xludf.DUMMYFUNCTION("""COMPUTED_VALUE"""),80.26485)</f>
        <v>80.26485</v>
      </c>
      <c r="F22169" s="4">
        <f>IFERROR(__xludf.DUMMYFUNCTION("""COMPUTED_VALUE"""),805.0)</f>
        <v>805</v>
      </c>
      <c r="G22169" s="4">
        <f>IFERROR(__xludf.DUMMYFUNCTION("""COMPUTED_VALUE"""),35.0)</f>
        <v>35</v>
      </c>
      <c r="H22169" s="4"/>
      <c r="I22169" s="4"/>
    </row>
    <row r="22170">
      <c r="A22170" s="4" t="str">
        <f>IFERROR(__xludf.DUMMYFUNCTION("""COMPUTED_VALUE"""),"cas_hmw")</f>
        <v>cas_hmw</v>
      </c>
      <c r="B22170" s="5">
        <f>IFERROR(__xludf.DUMMYFUNCTION("""COMPUTED_VALUE"""),44789.0)</f>
        <v>44789</v>
      </c>
      <c r="C22170" s="6">
        <f>IFERROR(__xludf.DUMMYFUNCTION("""COMPUTED_VALUE"""),0.31179398148015025)</f>
        <v>0.3117939815</v>
      </c>
      <c r="D22170" s="4">
        <f>IFERROR(__xludf.DUMMYFUNCTION("""COMPUTED_VALUE"""),13.043031)</f>
        <v>13.043031</v>
      </c>
      <c r="E22170" s="4">
        <f>IFERROR(__xludf.DUMMYFUNCTION("""COMPUTED_VALUE"""),80.267774)</f>
        <v>80.267774</v>
      </c>
      <c r="F22170" s="4">
        <f>IFERROR(__xludf.DUMMYFUNCTION("""COMPUTED_VALUE"""),805.0)</f>
        <v>805</v>
      </c>
      <c r="G22170" s="4">
        <f>IFERROR(__xludf.DUMMYFUNCTION("""COMPUTED_VALUE"""),37.0)</f>
        <v>37</v>
      </c>
      <c r="H22170" s="4"/>
      <c r="I22170" s="4"/>
    </row>
    <row r="22171">
      <c r="A22171" s="4" t="str">
        <f>IFERROR(__xludf.DUMMYFUNCTION("""COMPUTED_VALUE"""),"cas_hmw")</f>
        <v>cas_hmw</v>
      </c>
      <c r="B22171" s="5">
        <f>IFERROR(__xludf.DUMMYFUNCTION("""COMPUTED_VALUE"""),44789.0)</f>
        <v>44789</v>
      </c>
      <c r="C22171" s="6">
        <f>IFERROR(__xludf.DUMMYFUNCTION("""COMPUTED_VALUE"""),0.312604166665551)</f>
        <v>0.3126041667</v>
      </c>
      <c r="D22171" s="4">
        <f>IFERROR(__xludf.DUMMYFUNCTION("""COMPUTED_VALUE"""),13.052854)</f>
        <v>13.052854</v>
      </c>
      <c r="E22171" s="4">
        <f>IFERROR(__xludf.DUMMYFUNCTION("""COMPUTED_VALUE"""),80.251736)</f>
        <v>80.251736</v>
      </c>
      <c r="F22171" s="4">
        <f>IFERROR(__xludf.DUMMYFUNCTION("""COMPUTED_VALUE"""),5339.0)</f>
        <v>5339</v>
      </c>
      <c r="G22171" s="4">
        <f>IFERROR(__xludf.DUMMYFUNCTION("""COMPUTED_VALUE"""),43.0)</f>
        <v>43</v>
      </c>
      <c r="H22171" s="4"/>
      <c r="I22171" s="4"/>
    </row>
    <row r="22172">
      <c r="A22172" s="4" t="str">
        <f>IFERROR(__xludf.DUMMYFUNCTION("""COMPUTED_VALUE"""),"cas_hmw")</f>
        <v>cas_hmw</v>
      </c>
      <c r="B22172" s="5">
        <f>IFERROR(__xludf.DUMMYFUNCTION("""COMPUTED_VALUE"""),44789.0)</f>
        <v>44789</v>
      </c>
      <c r="C22172" s="6">
        <f>IFERROR(__xludf.DUMMYFUNCTION("""COMPUTED_VALUE"""),0.31302083333503106)</f>
        <v>0.3130208333</v>
      </c>
      <c r="D22172" s="4">
        <f>IFERROR(__xludf.DUMMYFUNCTION("""COMPUTED_VALUE"""),13.050322)</f>
        <v>13.050322</v>
      </c>
      <c r="E22172" s="4">
        <f>IFERROR(__xludf.DUMMYFUNCTION("""COMPUTED_VALUE"""),80.249948)</f>
        <v>80.249948</v>
      </c>
      <c r="F22172" s="4">
        <f>IFERROR(__xludf.DUMMYFUNCTION("""COMPUTED_VALUE"""),5339.0)</f>
        <v>5339</v>
      </c>
      <c r="G22172" s="4">
        <f>IFERROR(__xludf.DUMMYFUNCTION("""COMPUTED_VALUE"""),47.0)</f>
        <v>47</v>
      </c>
      <c r="H22172" s="4"/>
      <c r="I22172" s="4"/>
    </row>
    <row r="22173">
      <c r="A22173" s="4" t="str">
        <f>IFERROR(__xludf.DUMMYFUNCTION("""COMPUTED_VALUE"""),"cas_hmw")</f>
        <v>cas_hmw</v>
      </c>
      <c r="B22173" s="5">
        <f>IFERROR(__xludf.DUMMYFUNCTION("""COMPUTED_VALUE"""),44789.0)</f>
        <v>44789</v>
      </c>
      <c r="C22173" s="6">
        <f>IFERROR(__xludf.DUMMYFUNCTION("""COMPUTED_VALUE"""),0.31313657407372375)</f>
        <v>0.3131365741</v>
      </c>
      <c r="D22173" s="4">
        <f>IFERROR(__xludf.DUMMYFUNCTION("""COMPUTED_VALUE"""),13.048368)</f>
        <v>13.048368</v>
      </c>
      <c r="E22173" s="4">
        <f>IFERROR(__xludf.DUMMYFUNCTION("""COMPUTED_VALUE"""),80.249601)</f>
        <v>80.249601</v>
      </c>
      <c r="F22173" s="4">
        <f>IFERROR(__xludf.DUMMYFUNCTION("""COMPUTED_VALUE"""),5339.0)</f>
        <v>5339</v>
      </c>
      <c r="G22173" s="4">
        <f>IFERROR(__xludf.DUMMYFUNCTION("""COMPUTED_VALUE"""),26.0)</f>
        <v>26</v>
      </c>
      <c r="H22173" s="4"/>
      <c r="I22173" s="4"/>
    </row>
    <row r="22174">
      <c r="A22174" s="4" t="str">
        <f>IFERROR(__xludf.DUMMYFUNCTION("""COMPUTED_VALUE"""),"cas_hmw")</f>
        <v>cas_hmw</v>
      </c>
      <c r="B22174" s="5">
        <f>IFERROR(__xludf.DUMMYFUNCTION("""COMPUTED_VALUE"""),44789.0)</f>
        <v>44789</v>
      </c>
      <c r="C22174" s="6">
        <f>IFERROR(__xludf.DUMMYFUNCTION("""COMPUTED_VALUE"""),0.3138425925935735)</f>
        <v>0.3138425926</v>
      </c>
      <c r="D22174" s="4">
        <f>IFERROR(__xludf.DUMMYFUNCTION("""COMPUTED_VALUE"""),12.657191)</f>
        <v>12.657191</v>
      </c>
      <c r="E22174" s="4">
        <f>IFERROR(__xludf.DUMMYFUNCTION("""COMPUTED_VALUE"""),79.948194)</f>
        <v>79.948194</v>
      </c>
      <c r="F22174" s="4">
        <f>IFERROR(__xludf.DUMMYFUNCTION("""COMPUTED_VALUE"""),2846.0)</f>
        <v>2846</v>
      </c>
      <c r="G22174" s="4">
        <f>IFERROR(__xludf.DUMMYFUNCTION("""COMPUTED_VALUE"""),56.0)</f>
        <v>56</v>
      </c>
      <c r="H22174" s="4"/>
      <c r="I22174" s="4"/>
    </row>
    <row r="22175">
      <c r="A22175" s="4" t="str">
        <f>IFERROR(__xludf.DUMMYFUNCTION("""COMPUTED_VALUE"""),"cas_hmw")</f>
        <v>cas_hmw</v>
      </c>
      <c r="B22175" s="5">
        <f>IFERROR(__xludf.DUMMYFUNCTION("""COMPUTED_VALUE"""),44789.0)</f>
        <v>44789</v>
      </c>
      <c r="C22175" s="6">
        <f>IFERROR(__xludf.DUMMYFUNCTION("""COMPUTED_VALUE"""),0.31546296296437504)</f>
        <v>0.315462963</v>
      </c>
      <c r="D22175" s="4">
        <f>IFERROR(__xludf.DUMMYFUNCTION("""COMPUTED_VALUE"""),12.659942)</f>
        <v>12.659942</v>
      </c>
      <c r="E22175" s="4">
        <f>IFERROR(__xludf.DUMMYFUNCTION("""COMPUTED_VALUE"""),79.964321)</f>
        <v>79.964321</v>
      </c>
      <c r="F22175" s="4">
        <f>IFERROR(__xludf.DUMMYFUNCTION("""COMPUTED_VALUE"""),2846.0)</f>
        <v>2846</v>
      </c>
      <c r="G22175" s="4">
        <f>IFERROR(__xludf.DUMMYFUNCTION("""COMPUTED_VALUE"""),38.0)</f>
        <v>38</v>
      </c>
      <c r="H22175" s="4"/>
      <c r="I22175" s="4"/>
    </row>
    <row r="22176">
      <c r="A22176" s="4" t="str">
        <f>IFERROR(__xludf.DUMMYFUNCTION("""COMPUTED_VALUE"""),"cas_hmw")</f>
        <v>cas_hmw</v>
      </c>
      <c r="B22176" s="5">
        <f>IFERROR(__xludf.DUMMYFUNCTION("""COMPUTED_VALUE"""),44789.0)</f>
        <v>44789</v>
      </c>
      <c r="C22176" s="6">
        <f>IFERROR(__xludf.DUMMYFUNCTION("""COMPUTED_VALUE"""),0.3156712962954771)</f>
        <v>0.3156712963</v>
      </c>
      <c r="D22176" s="4">
        <f>IFERROR(__xludf.DUMMYFUNCTION("""COMPUTED_VALUE"""),12.659942)</f>
        <v>12.659942</v>
      </c>
      <c r="E22176" s="4">
        <f>IFERROR(__xludf.DUMMYFUNCTION("""COMPUTED_VALUE"""),79.964321)</f>
        <v>79.964321</v>
      </c>
      <c r="F22176" s="4">
        <f>IFERROR(__xludf.DUMMYFUNCTION("""COMPUTED_VALUE"""),2846.0)</f>
        <v>2846</v>
      </c>
      <c r="G22176" s="4">
        <f>IFERROR(__xludf.DUMMYFUNCTION("""COMPUTED_VALUE"""),38.0)</f>
        <v>38</v>
      </c>
      <c r="H22176" s="4"/>
      <c r="I22176" s="4"/>
    </row>
    <row r="22177">
      <c r="A22177" s="4" t="str">
        <f>IFERROR(__xludf.DUMMYFUNCTION("""COMPUTED_VALUE"""),"cas_hmw")</f>
        <v>cas_hmw</v>
      </c>
      <c r="B22177" s="5">
        <f>IFERROR(__xludf.DUMMYFUNCTION("""COMPUTED_VALUE"""),44789.0)</f>
        <v>44789</v>
      </c>
      <c r="C22177" s="6">
        <f>IFERROR(__xludf.DUMMYFUNCTION("""COMPUTED_VALUE"""),0.31575231481474475)</f>
        <v>0.3157523148</v>
      </c>
      <c r="D22177" s="4">
        <f>IFERROR(__xludf.DUMMYFUNCTION("""COMPUTED_VALUE"""),13.03964)</f>
        <v>13.03964</v>
      </c>
      <c r="E22177" s="4">
        <f>IFERROR(__xludf.DUMMYFUNCTION("""COMPUTED_VALUE"""),80.247093)</f>
        <v>80.247093</v>
      </c>
      <c r="F22177" s="4">
        <f>IFERROR(__xludf.DUMMYFUNCTION("""COMPUTED_VALUE"""),5339.0)</f>
        <v>5339</v>
      </c>
      <c r="G22177" s="4">
        <f>IFERROR(__xludf.DUMMYFUNCTION("""COMPUTED_VALUE"""),26.0)</f>
        <v>26</v>
      </c>
      <c r="H22177" s="4"/>
      <c r="I22177" s="4"/>
    </row>
    <row r="22178">
      <c r="A22178" s="4" t="str">
        <f>IFERROR(__xludf.DUMMYFUNCTION("""COMPUTED_VALUE"""),"cas_hmw")</f>
        <v>cas_hmw</v>
      </c>
      <c r="B22178" s="5">
        <f>IFERROR(__xludf.DUMMYFUNCTION("""COMPUTED_VALUE"""),44789.0)</f>
        <v>44789</v>
      </c>
      <c r="C22178" s="6">
        <f>IFERROR(__xludf.DUMMYFUNCTION("""COMPUTED_VALUE"""),0.3167592592581059)</f>
        <v>0.3167592593</v>
      </c>
      <c r="D22178" s="4">
        <f>IFERROR(__xludf.DUMMYFUNCTION("""COMPUTED_VALUE"""),13.035514)</f>
        <v>13.035514</v>
      </c>
      <c r="E22178" s="4">
        <f>IFERROR(__xludf.DUMMYFUNCTION("""COMPUTED_VALUE"""),80.246204)</f>
        <v>80.246204</v>
      </c>
      <c r="F22178" s="4">
        <f>IFERROR(__xludf.DUMMYFUNCTION("""COMPUTED_VALUE"""),5339.0)</f>
        <v>5339</v>
      </c>
      <c r="G22178" s="4">
        <f>IFERROR(__xludf.DUMMYFUNCTION("""COMPUTED_VALUE"""),20.0)</f>
        <v>20</v>
      </c>
      <c r="H22178" s="4"/>
      <c r="I22178" s="4"/>
    </row>
    <row r="22179">
      <c r="A22179" s="4" t="str">
        <f>IFERROR(__xludf.DUMMYFUNCTION("""COMPUTED_VALUE"""),"cas_hmw")</f>
        <v>cas_hmw</v>
      </c>
      <c r="B22179" s="5">
        <f>IFERROR(__xludf.DUMMYFUNCTION("""COMPUTED_VALUE"""),44789.0)</f>
        <v>44789</v>
      </c>
      <c r="C22179" s="6">
        <f>IFERROR(__xludf.DUMMYFUNCTION("""COMPUTED_VALUE"""),0.31677083333488554)</f>
        <v>0.3167708333</v>
      </c>
      <c r="D22179" s="4">
        <f>IFERROR(__xludf.DUMMYFUNCTION("""COMPUTED_VALUE"""),13.035514)</f>
        <v>13.035514</v>
      </c>
      <c r="E22179" s="4">
        <f>IFERROR(__xludf.DUMMYFUNCTION("""COMPUTED_VALUE"""),80.246204)</f>
        <v>80.246204</v>
      </c>
      <c r="F22179" s="4">
        <f>IFERROR(__xludf.DUMMYFUNCTION("""COMPUTED_VALUE"""),5339.0)</f>
        <v>5339</v>
      </c>
      <c r="G22179" s="4">
        <f>IFERROR(__xludf.DUMMYFUNCTION("""COMPUTED_VALUE"""),20.0)</f>
        <v>20</v>
      </c>
      <c r="H22179" s="4"/>
      <c r="I22179" s="4"/>
    </row>
    <row r="22180">
      <c r="A22180" s="4" t="str">
        <f>IFERROR(__xludf.DUMMYFUNCTION("""COMPUTED_VALUE"""),"cas_hmw")</f>
        <v>cas_hmw</v>
      </c>
      <c r="B22180" s="5">
        <f>IFERROR(__xludf.DUMMYFUNCTION("""COMPUTED_VALUE"""),44789.0)</f>
        <v>44789</v>
      </c>
      <c r="C22180" s="6">
        <f>IFERROR(__xludf.DUMMYFUNCTION("""COMPUTED_VALUE"""),0.31690972222349956)</f>
        <v>0.3169097222</v>
      </c>
      <c r="D22180" s="4">
        <f>IFERROR(__xludf.DUMMYFUNCTION("""COMPUTED_VALUE"""),13.034874)</f>
        <v>13.034874</v>
      </c>
      <c r="E22180" s="4">
        <f>IFERROR(__xludf.DUMMYFUNCTION("""COMPUTED_VALUE"""),80.245899)</f>
        <v>80.245899</v>
      </c>
      <c r="F22180" s="4">
        <f>IFERROR(__xludf.DUMMYFUNCTION("""COMPUTED_VALUE"""),5339.0)</f>
        <v>5339</v>
      </c>
      <c r="G22180" s="4">
        <f>IFERROR(__xludf.DUMMYFUNCTION("""COMPUTED_VALUE"""),33.0)</f>
        <v>33</v>
      </c>
      <c r="H22180" s="4"/>
      <c r="I22180" s="4"/>
    </row>
    <row r="22181">
      <c r="A22181" s="4" t="str">
        <f>IFERROR(__xludf.DUMMYFUNCTION("""COMPUTED_VALUE"""),"cas_hmw")</f>
        <v>cas_hmw</v>
      </c>
      <c r="B22181" s="5">
        <f>IFERROR(__xludf.DUMMYFUNCTION("""COMPUTED_VALUE"""),44789.0)</f>
        <v>44789</v>
      </c>
      <c r="C22181" s="6">
        <f>IFERROR(__xludf.DUMMYFUNCTION("""COMPUTED_VALUE"""),0.31712962963138125)</f>
        <v>0.3171296296</v>
      </c>
      <c r="D22181" s="4">
        <f>IFERROR(__xludf.DUMMYFUNCTION("""COMPUTED_VALUE"""),13.033566)</f>
        <v>13.033566</v>
      </c>
      <c r="E22181" s="4">
        <f>IFERROR(__xludf.DUMMYFUNCTION("""COMPUTED_VALUE"""),80.244152)</f>
        <v>80.244152</v>
      </c>
      <c r="F22181" s="4">
        <f>IFERROR(__xludf.DUMMYFUNCTION("""COMPUTED_VALUE"""),5339.0)</f>
        <v>5339</v>
      </c>
      <c r="G22181" s="4">
        <f>IFERROR(__xludf.DUMMYFUNCTION("""COMPUTED_VALUE"""),45.0)</f>
        <v>45</v>
      </c>
      <c r="H22181" s="4"/>
      <c r="I22181" s="4"/>
    </row>
    <row r="22182">
      <c r="A22182" s="4" t="str">
        <f>IFERROR(__xludf.DUMMYFUNCTION("""COMPUTED_VALUE"""),"cas_hmw")</f>
        <v>cas_hmw</v>
      </c>
      <c r="B22182" s="5">
        <f>IFERROR(__xludf.DUMMYFUNCTION("""COMPUTED_VALUE"""),44789.0)</f>
        <v>44789</v>
      </c>
      <c r="C22182" s="6">
        <f>IFERROR(__xludf.DUMMYFUNCTION("""COMPUTED_VALUE"""),0.31778935185138835)</f>
        <v>0.3177893519</v>
      </c>
      <c r="D22182" s="4">
        <f>IFERROR(__xludf.DUMMYFUNCTION("""COMPUTED_VALUE"""),12.674818)</f>
        <v>12.674818</v>
      </c>
      <c r="E22182" s="4">
        <f>IFERROR(__xludf.DUMMYFUNCTION("""COMPUTED_VALUE"""),79.977207)</f>
        <v>79.977207</v>
      </c>
      <c r="F22182" s="4">
        <f>IFERROR(__xludf.DUMMYFUNCTION("""COMPUTED_VALUE"""),2846.0)</f>
        <v>2846</v>
      </c>
      <c r="G22182" s="4">
        <f>IFERROR(__xludf.DUMMYFUNCTION("""COMPUTED_VALUE"""),36.0)</f>
        <v>36</v>
      </c>
      <c r="H22182" s="4"/>
      <c r="I22182" s="4"/>
    </row>
    <row r="22183">
      <c r="A22183" s="4" t="str">
        <f>IFERROR(__xludf.DUMMYFUNCTION("""COMPUTED_VALUE"""),"cas_hmw")</f>
        <v>cas_hmw</v>
      </c>
      <c r="B22183" s="5">
        <f>IFERROR(__xludf.DUMMYFUNCTION("""COMPUTED_VALUE"""),44789.0)</f>
        <v>44789</v>
      </c>
      <c r="C22183" s="6">
        <f>IFERROR(__xludf.DUMMYFUNCTION("""COMPUTED_VALUE"""),0.3181018518516794)</f>
        <v>0.3181018519</v>
      </c>
      <c r="D22183" s="4">
        <f>IFERROR(__xludf.DUMMYFUNCTION("""COMPUTED_VALUE"""),12.674818)</f>
        <v>12.674818</v>
      </c>
      <c r="E22183" s="4">
        <f>IFERROR(__xludf.DUMMYFUNCTION("""COMPUTED_VALUE"""),79.977207)</f>
        <v>79.977207</v>
      </c>
      <c r="F22183" s="4">
        <f>IFERROR(__xludf.DUMMYFUNCTION("""COMPUTED_VALUE"""),2846.0)</f>
        <v>2846</v>
      </c>
      <c r="G22183" s="4">
        <f>IFERROR(__xludf.DUMMYFUNCTION("""COMPUTED_VALUE"""),36.0)</f>
        <v>36</v>
      </c>
      <c r="H22183" s="4"/>
      <c r="I22183" s="4"/>
    </row>
    <row r="22184">
      <c r="A22184" s="4" t="str">
        <f>IFERROR(__xludf.DUMMYFUNCTION("""COMPUTED_VALUE"""),"cas_hmw")</f>
        <v>cas_hmw</v>
      </c>
      <c r="B22184" s="5">
        <f>IFERROR(__xludf.DUMMYFUNCTION("""COMPUTED_VALUE"""),44789.0)</f>
        <v>44789</v>
      </c>
      <c r="C22184" s="6">
        <f>IFERROR(__xludf.DUMMYFUNCTION("""COMPUTED_VALUE"""),0.3183217592595611)</f>
        <v>0.3183217593</v>
      </c>
      <c r="D22184" s="4">
        <f>IFERROR(__xludf.DUMMYFUNCTION("""COMPUTED_VALUE"""),13.030713)</f>
        <v>13.030713</v>
      </c>
      <c r="E22184" s="4">
        <f>IFERROR(__xludf.DUMMYFUNCTION("""COMPUTED_VALUE"""),80.239245)</f>
        <v>80.239245</v>
      </c>
      <c r="F22184" s="4">
        <f>IFERROR(__xludf.DUMMYFUNCTION("""COMPUTED_VALUE"""),5339.0)</f>
        <v>5339</v>
      </c>
      <c r="G22184" s="4">
        <f>IFERROR(__xludf.DUMMYFUNCTION("""COMPUTED_VALUE"""),35.0)</f>
        <v>35</v>
      </c>
      <c r="H22184" s="4"/>
      <c r="I22184" s="4"/>
    </row>
    <row r="22185">
      <c r="A22185" s="4" t="str">
        <f>IFERROR(__xludf.DUMMYFUNCTION("""COMPUTED_VALUE"""),"cas_hmw")</f>
        <v>cas_hmw</v>
      </c>
      <c r="B22185" s="5">
        <f>IFERROR(__xludf.DUMMYFUNCTION("""COMPUTED_VALUE"""),44789.0)</f>
        <v>44789</v>
      </c>
      <c r="C22185" s="6">
        <f>IFERROR(__xludf.DUMMYFUNCTION("""COMPUTED_VALUE"""),0.3191898148143082)</f>
        <v>0.3191898148</v>
      </c>
      <c r="D22185" s="4">
        <f>IFERROR(__xludf.DUMMYFUNCTION("""COMPUTED_VALUE"""),13.026535)</f>
        <v>13.026535</v>
      </c>
      <c r="E22185" s="4">
        <f>IFERROR(__xludf.DUMMYFUNCTION("""COMPUTED_VALUE"""),80.233065)</f>
        <v>80.233065</v>
      </c>
      <c r="F22185" s="4">
        <f>IFERROR(__xludf.DUMMYFUNCTION("""COMPUTED_VALUE"""),5339.0)</f>
        <v>5339</v>
      </c>
      <c r="G22185" s="4">
        <f>IFERROR(__xludf.DUMMYFUNCTION("""COMPUTED_VALUE"""),22.0)</f>
        <v>22</v>
      </c>
      <c r="H22185" s="4"/>
      <c r="I22185" s="4"/>
    </row>
    <row r="22186">
      <c r="A22186" s="4" t="str">
        <f>IFERROR(__xludf.DUMMYFUNCTION("""COMPUTED_VALUE"""),"cas_hmw")</f>
        <v>cas_hmw</v>
      </c>
      <c r="B22186" s="5">
        <f>IFERROR(__xludf.DUMMYFUNCTION("""COMPUTED_VALUE"""),44789.0)</f>
        <v>44789</v>
      </c>
      <c r="C22186" s="6">
        <f>IFERROR(__xludf.DUMMYFUNCTION("""COMPUTED_VALUE"""),0.31928240740671754)</f>
        <v>0.3192824074</v>
      </c>
      <c r="D22186" s="4">
        <f>IFERROR(__xludf.DUMMYFUNCTION("""COMPUTED_VALUE"""),13.026258)</f>
        <v>13.026258</v>
      </c>
      <c r="E22186" s="4">
        <f>IFERROR(__xludf.DUMMYFUNCTION("""COMPUTED_VALUE"""),80.232431)</f>
        <v>80.232431</v>
      </c>
      <c r="F22186" s="4">
        <f>IFERROR(__xludf.DUMMYFUNCTION("""COMPUTED_VALUE"""),5339.0)</f>
        <v>5339</v>
      </c>
      <c r="G22186" s="4">
        <f>IFERROR(__xludf.DUMMYFUNCTION("""COMPUTED_VALUE"""),31.0)</f>
        <v>31</v>
      </c>
      <c r="H22186" s="4"/>
      <c r="I22186" s="4"/>
    </row>
    <row r="22187">
      <c r="A22187" s="4" t="str">
        <f>IFERROR(__xludf.DUMMYFUNCTION("""COMPUTED_VALUE"""),"cas_hmw")</f>
        <v>cas_hmw</v>
      </c>
      <c r="B22187" s="5">
        <f>IFERROR(__xludf.DUMMYFUNCTION("""COMPUTED_VALUE"""),44789.0)</f>
        <v>44789</v>
      </c>
      <c r="C22187" s="6">
        <f>IFERROR(__xludf.DUMMYFUNCTION("""COMPUTED_VALUE"""),0.3197222222224809)</f>
        <v>0.3197222222</v>
      </c>
      <c r="D22187" s="4">
        <f>IFERROR(__xludf.DUMMYFUNCTION("""COMPUTED_VALUE"""),13.025315)</f>
        <v>13.025315</v>
      </c>
      <c r="E22187" s="4">
        <f>IFERROR(__xludf.DUMMYFUNCTION("""COMPUTED_VALUE"""),80.229926)</f>
        <v>80.229926</v>
      </c>
      <c r="F22187" s="4">
        <f>IFERROR(__xludf.DUMMYFUNCTION("""COMPUTED_VALUE"""),5339.0)</f>
        <v>5339</v>
      </c>
      <c r="G22187" s="4">
        <f>IFERROR(__xludf.DUMMYFUNCTION("""COMPUTED_VALUE"""),45.0)</f>
        <v>45</v>
      </c>
      <c r="H22187" s="4"/>
      <c r="I22187" s="4"/>
    </row>
    <row r="22188">
      <c r="A22188" s="4" t="str">
        <f>IFERROR(__xludf.DUMMYFUNCTION("""COMPUTED_VALUE"""),"cas_hmw")</f>
        <v>cas_hmw</v>
      </c>
      <c r="B22188" s="5">
        <f>IFERROR(__xludf.DUMMYFUNCTION("""COMPUTED_VALUE"""),44789.0)</f>
        <v>44789</v>
      </c>
      <c r="C22188" s="6">
        <f>IFERROR(__xludf.DUMMYFUNCTION("""COMPUTED_VALUE"""),0.31978009259182727)</f>
        <v>0.3197800926</v>
      </c>
      <c r="D22188" s="4">
        <f>IFERROR(__xludf.DUMMYFUNCTION("""COMPUTED_VALUE"""),13.024672)</f>
        <v>13.024672</v>
      </c>
      <c r="E22188" s="4">
        <f>IFERROR(__xludf.DUMMYFUNCTION("""COMPUTED_VALUE"""),80.229148)</f>
        <v>80.229148</v>
      </c>
      <c r="F22188" s="4">
        <f>IFERROR(__xludf.DUMMYFUNCTION("""COMPUTED_VALUE"""),5339.0)</f>
        <v>5339</v>
      </c>
      <c r="G22188" s="4">
        <f>IFERROR(__xludf.DUMMYFUNCTION("""COMPUTED_VALUE"""),31.0)</f>
        <v>31</v>
      </c>
      <c r="H22188" s="4"/>
      <c r="I22188" s="4"/>
    </row>
    <row r="22189">
      <c r="A22189" s="4" t="str">
        <f>IFERROR(__xludf.DUMMYFUNCTION("""COMPUTED_VALUE"""),"cas_hmw")</f>
        <v>cas_hmw</v>
      </c>
      <c r="B22189" s="5">
        <f>IFERROR(__xludf.DUMMYFUNCTION("""COMPUTED_VALUE"""),44789.0)</f>
        <v>44789</v>
      </c>
      <c r="C22189" s="6">
        <f>IFERROR(__xludf.DUMMYFUNCTION("""COMPUTED_VALUE"""),0.3202893518500787)</f>
        <v>0.3202893519</v>
      </c>
      <c r="D22189" s="4">
        <f>IFERROR(__xludf.DUMMYFUNCTION("""COMPUTED_VALUE"""),12.679827)</f>
        <v>12.679827</v>
      </c>
      <c r="E22189" s="4">
        <f>IFERROR(__xludf.DUMMYFUNCTION("""COMPUTED_VALUE"""),79.980758)</f>
        <v>79.980758</v>
      </c>
      <c r="F22189" s="4">
        <f>IFERROR(__xludf.DUMMYFUNCTION("""COMPUTED_VALUE"""),2846.0)</f>
        <v>2846</v>
      </c>
      <c r="G22189" s="4">
        <f>IFERROR(__xludf.DUMMYFUNCTION("""COMPUTED_VALUE"""),10.0)</f>
        <v>10</v>
      </c>
      <c r="H22189" s="4"/>
      <c r="I22189" s="4"/>
    </row>
    <row r="22190">
      <c r="A22190" s="4" t="str">
        <f>IFERROR(__xludf.DUMMYFUNCTION("""COMPUTED_VALUE"""),"cas_hmw")</f>
        <v>cas_hmw</v>
      </c>
      <c r="B22190" s="5">
        <f>IFERROR(__xludf.DUMMYFUNCTION("""COMPUTED_VALUE"""),44789.0)</f>
        <v>44789</v>
      </c>
      <c r="C22190" s="6">
        <f>IFERROR(__xludf.DUMMYFUNCTION("""COMPUTED_VALUE"""),0.3203009259268583)</f>
        <v>0.3203009259</v>
      </c>
      <c r="D22190" s="4">
        <f>IFERROR(__xludf.DUMMYFUNCTION("""COMPUTED_VALUE"""),12.679827)</f>
        <v>12.679827</v>
      </c>
      <c r="E22190" s="4">
        <f>IFERROR(__xludf.DUMMYFUNCTION("""COMPUTED_VALUE"""),79.980758)</f>
        <v>79.980758</v>
      </c>
      <c r="F22190" s="4">
        <f>IFERROR(__xludf.DUMMYFUNCTION("""COMPUTED_VALUE"""),2846.0)</f>
        <v>2846</v>
      </c>
      <c r="G22190" s="4">
        <f>IFERROR(__xludf.DUMMYFUNCTION("""COMPUTED_VALUE"""),10.0)</f>
        <v>10</v>
      </c>
      <c r="H22190" s="4"/>
      <c r="I22190" s="4"/>
    </row>
    <row r="22191">
      <c r="A22191" s="4" t="str">
        <f>IFERROR(__xludf.DUMMYFUNCTION("""COMPUTED_VALUE"""),"cas_hmw")</f>
        <v>cas_hmw</v>
      </c>
      <c r="B22191" s="5">
        <f>IFERROR(__xludf.DUMMYFUNCTION("""COMPUTED_VALUE"""),44789.0)</f>
        <v>44789</v>
      </c>
      <c r="C22191" s="6">
        <f>IFERROR(__xludf.DUMMYFUNCTION("""COMPUTED_VALUE"""),0.3203356481499213)</f>
        <v>0.3203356481</v>
      </c>
      <c r="D22191" s="4">
        <f>IFERROR(__xludf.DUMMYFUNCTION("""COMPUTED_VALUE"""),13.022843)</f>
        <v>13.022843</v>
      </c>
      <c r="E22191" s="4">
        <f>IFERROR(__xludf.DUMMYFUNCTION("""COMPUTED_VALUE"""),80.227044)</f>
        <v>80.227044</v>
      </c>
      <c r="F22191" s="4">
        <f>IFERROR(__xludf.DUMMYFUNCTION("""COMPUTED_VALUE"""),5339.0)</f>
        <v>5339</v>
      </c>
      <c r="G22191" s="4">
        <f>IFERROR(__xludf.DUMMYFUNCTION("""COMPUTED_VALUE"""),46.0)</f>
        <v>46</v>
      </c>
      <c r="H22191" s="4"/>
      <c r="I22191" s="4"/>
    </row>
    <row r="22192">
      <c r="A22192" s="4" t="str">
        <f>IFERROR(__xludf.DUMMYFUNCTION("""COMPUTED_VALUE"""),"cas_hmw")</f>
        <v>cas_hmw</v>
      </c>
      <c r="B22192" s="5">
        <f>IFERROR(__xludf.DUMMYFUNCTION("""COMPUTED_VALUE"""),44789.0)</f>
        <v>44789</v>
      </c>
      <c r="C22192" s="6">
        <f>IFERROR(__xludf.DUMMYFUNCTION("""COMPUTED_VALUE"""),0.3221412037019036)</f>
        <v>0.3221412037</v>
      </c>
      <c r="D22192" s="4">
        <f>IFERROR(__xludf.DUMMYFUNCTION("""COMPUTED_VALUE"""),13.010979)</f>
        <v>13.010979</v>
      </c>
      <c r="E22192" s="4">
        <f>IFERROR(__xludf.DUMMYFUNCTION("""COMPUTED_VALUE"""),80.224353)</f>
        <v>80.224353</v>
      </c>
      <c r="F22192" s="4">
        <f>IFERROR(__xludf.DUMMYFUNCTION("""COMPUTED_VALUE"""),5339.0)</f>
        <v>5339</v>
      </c>
      <c r="G22192" s="4">
        <f>IFERROR(__xludf.DUMMYFUNCTION("""COMPUTED_VALUE"""),44.0)</f>
        <v>44</v>
      </c>
      <c r="H22192" s="4"/>
      <c r="I22192" s="4"/>
    </row>
    <row r="22193">
      <c r="A22193" s="4" t="str">
        <f>IFERROR(__xludf.DUMMYFUNCTION("""COMPUTED_VALUE"""),"cas_hmw")</f>
        <v>cas_hmw</v>
      </c>
      <c r="B22193" s="5">
        <f>IFERROR(__xludf.DUMMYFUNCTION("""COMPUTED_VALUE"""),44789.0)</f>
        <v>44789</v>
      </c>
      <c r="C22193" s="6">
        <f>IFERROR(__xludf.DUMMYFUNCTION("""COMPUTED_VALUE"""),0.3228819444448163)</f>
        <v>0.3228819444</v>
      </c>
      <c r="D22193" s="4">
        <f>IFERROR(__xludf.DUMMYFUNCTION("""COMPUTED_VALUE"""),13.010631)</f>
        <v>13.010631</v>
      </c>
      <c r="E22193" s="4">
        <f>IFERROR(__xludf.DUMMYFUNCTION("""COMPUTED_VALUE"""),80.216687)</f>
        <v>80.216687</v>
      </c>
      <c r="F22193" s="4">
        <f>IFERROR(__xludf.DUMMYFUNCTION("""COMPUTED_VALUE"""),5339.0)</f>
        <v>5339</v>
      </c>
      <c r="G22193" s="4">
        <f>IFERROR(__xludf.DUMMYFUNCTION("""COMPUTED_VALUE"""),45.0)</f>
        <v>45</v>
      </c>
      <c r="H22193" s="4"/>
      <c r="I22193" s="4"/>
    </row>
    <row r="22194">
      <c r="A22194" s="4" t="str">
        <f>IFERROR(__xludf.DUMMYFUNCTION("""COMPUTED_VALUE"""),"cas_hmw")</f>
        <v>cas_hmw</v>
      </c>
      <c r="B22194" s="5">
        <f>IFERROR(__xludf.DUMMYFUNCTION("""COMPUTED_VALUE"""),44789.0)</f>
        <v>44789</v>
      </c>
      <c r="C22194" s="6">
        <f>IFERROR(__xludf.DUMMYFUNCTION("""COMPUTED_VALUE"""),0.3235185185185401)</f>
        <v>0.3235185185</v>
      </c>
      <c r="D22194" s="4">
        <f>IFERROR(__xludf.DUMMYFUNCTION("""COMPUTED_VALUE"""),12.697597)</f>
        <v>12.697597</v>
      </c>
      <c r="E22194" s="4">
        <f>IFERROR(__xludf.DUMMYFUNCTION("""COMPUTED_VALUE"""),79.975557)</f>
        <v>79.975557</v>
      </c>
      <c r="F22194" s="4">
        <f>IFERROR(__xludf.DUMMYFUNCTION("""COMPUTED_VALUE"""),2846.0)</f>
        <v>2846</v>
      </c>
      <c r="G22194" s="4">
        <f>IFERROR(__xludf.DUMMYFUNCTION("""COMPUTED_VALUE"""),35.0)</f>
        <v>35</v>
      </c>
      <c r="H22194" s="4"/>
      <c r="I22194" s="4"/>
    </row>
    <row r="22195">
      <c r="A22195" s="4" t="str">
        <f>IFERROR(__xludf.DUMMYFUNCTION("""COMPUTED_VALUE"""),"cas_hmw")</f>
        <v>cas_hmw</v>
      </c>
      <c r="B22195" s="5">
        <f>IFERROR(__xludf.DUMMYFUNCTION("""COMPUTED_VALUE"""),44789.0)</f>
        <v>44789</v>
      </c>
      <c r="C22195" s="6">
        <f>IFERROR(__xludf.DUMMYFUNCTION("""COMPUTED_VALUE"""),0.32390046296131914)</f>
        <v>0.323900463</v>
      </c>
      <c r="D22195" s="4">
        <f>IFERROR(__xludf.DUMMYFUNCTION("""COMPUTED_VALUE"""),13.007885)</f>
        <v>13.007885</v>
      </c>
      <c r="E22195" s="4">
        <f>IFERROR(__xludf.DUMMYFUNCTION("""COMPUTED_VALUE"""),80.20806)</f>
        <v>80.20806</v>
      </c>
      <c r="F22195" s="4">
        <f>IFERROR(__xludf.DUMMYFUNCTION("""COMPUTED_VALUE"""),5339.0)</f>
        <v>5339</v>
      </c>
      <c r="G22195" s="4">
        <f>IFERROR(__xludf.DUMMYFUNCTION("""COMPUTED_VALUE"""),47.0)</f>
        <v>47</v>
      </c>
      <c r="H22195" s="4"/>
      <c r="I22195" s="4"/>
    </row>
    <row r="22196">
      <c r="A22196" s="4" t="str">
        <f>IFERROR(__xludf.DUMMYFUNCTION("""COMPUTED_VALUE"""),"cas_hmw")</f>
        <v>cas_hmw</v>
      </c>
      <c r="B22196" s="5">
        <f>IFERROR(__xludf.DUMMYFUNCTION("""COMPUTED_VALUE"""),44789.0)</f>
        <v>44789</v>
      </c>
      <c r="C22196" s="6">
        <f>IFERROR(__xludf.DUMMYFUNCTION("""COMPUTED_VALUE"""),0.3243171296307992)</f>
        <v>0.3243171296</v>
      </c>
      <c r="D22196" s="4">
        <f>IFERROR(__xludf.DUMMYFUNCTION("""COMPUTED_VALUE"""),13.0067)</f>
        <v>13.0067</v>
      </c>
      <c r="E22196" s="4">
        <f>IFERROR(__xludf.DUMMYFUNCTION("""COMPUTED_VALUE"""),80.251346)</f>
        <v>80.251346</v>
      </c>
      <c r="F22196" s="4">
        <f>IFERROR(__xludf.DUMMYFUNCTION("""COMPUTED_VALUE"""),805.0)</f>
        <v>805</v>
      </c>
      <c r="G22196" s="4">
        <f>IFERROR(__xludf.DUMMYFUNCTION("""COMPUTED_VALUE"""),25.0)</f>
        <v>25</v>
      </c>
      <c r="H22196" s="4"/>
      <c r="I22196" s="4"/>
    </row>
    <row r="22197">
      <c r="A22197" s="4" t="str">
        <f>IFERROR(__xludf.DUMMYFUNCTION("""COMPUTED_VALUE"""),"cas_hmw")</f>
        <v>cas_hmw</v>
      </c>
      <c r="B22197" s="5">
        <f>IFERROR(__xludf.DUMMYFUNCTION("""COMPUTED_VALUE"""),44789.0)</f>
        <v>44789</v>
      </c>
      <c r="C22197" s="6">
        <f>IFERROR(__xludf.DUMMYFUNCTION("""COMPUTED_VALUE"""),0.3247569444429246)</f>
        <v>0.3247569444</v>
      </c>
      <c r="D22197" s="4">
        <f>IFERROR(__xludf.DUMMYFUNCTION("""COMPUTED_VALUE"""),13.003762)</f>
        <v>13.003762</v>
      </c>
      <c r="E22197" s="4">
        <f>IFERROR(__xludf.DUMMYFUNCTION("""COMPUTED_VALUE"""),80.201025)</f>
        <v>80.201025</v>
      </c>
      <c r="F22197" s="4">
        <f>IFERROR(__xludf.DUMMYFUNCTION("""COMPUTED_VALUE"""),5339.0)</f>
        <v>5339</v>
      </c>
      <c r="G22197" s="4">
        <f>IFERROR(__xludf.DUMMYFUNCTION("""COMPUTED_VALUE"""),48.0)</f>
        <v>48</v>
      </c>
      <c r="H22197" s="4"/>
      <c r="I22197" s="4"/>
    </row>
    <row r="22198">
      <c r="A22198" s="4" t="str">
        <f>IFERROR(__xludf.DUMMYFUNCTION("""COMPUTED_VALUE"""),"cas_hmw")</f>
        <v>cas_hmw</v>
      </c>
      <c r="B22198" s="5">
        <f>IFERROR(__xludf.DUMMYFUNCTION("""COMPUTED_VALUE"""),44789.0)</f>
        <v>44789</v>
      </c>
      <c r="C22198" s="6">
        <f>IFERROR(__xludf.DUMMYFUNCTION("""COMPUTED_VALUE"""),0.32490740740831825)</f>
        <v>0.3249074074</v>
      </c>
      <c r="D22198" s="4">
        <f>IFERROR(__xludf.DUMMYFUNCTION("""COMPUTED_VALUE"""),13.002587)</f>
        <v>13.002587</v>
      </c>
      <c r="E22198" s="4">
        <f>IFERROR(__xludf.DUMMYFUNCTION("""COMPUTED_VALUE"""),80.200702)</f>
        <v>80.200702</v>
      </c>
      <c r="F22198" s="4">
        <f>IFERROR(__xludf.DUMMYFUNCTION("""COMPUTED_VALUE"""),5339.0)</f>
        <v>5339</v>
      </c>
      <c r="G22198" s="4">
        <f>IFERROR(__xludf.DUMMYFUNCTION("""COMPUTED_VALUE"""),47.0)</f>
        <v>47</v>
      </c>
      <c r="H22198" s="4"/>
      <c r="I22198" s="4"/>
    </row>
    <row r="22199">
      <c r="A22199" s="4" t="str">
        <f>IFERROR(__xludf.DUMMYFUNCTION("""COMPUTED_VALUE"""),"cas_hmw")</f>
        <v>cas_hmw</v>
      </c>
      <c r="B22199" s="5">
        <f>IFERROR(__xludf.DUMMYFUNCTION("""COMPUTED_VALUE"""),44789.0)</f>
        <v>44789</v>
      </c>
      <c r="C22199" s="6">
        <f>IFERROR(__xludf.DUMMYFUNCTION("""COMPUTED_VALUE"""),0.3261689814826241)</f>
        <v>0.3261689815</v>
      </c>
      <c r="D22199" s="4">
        <f>IFERROR(__xludf.DUMMYFUNCTION("""COMPUTED_VALUE"""),12.699924)</f>
        <v>12.699924</v>
      </c>
      <c r="E22199" s="4">
        <f>IFERROR(__xludf.DUMMYFUNCTION("""COMPUTED_VALUE"""),79.968366)</f>
        <v>79.968366</v>
      </c>
      <c r="F22199" s="4">
        <f>IFERROR(__xludf.DUMMYFUNCTION("""COMPUTED_VALUE"""),2846.0)</f>
        <v>2846</v>
      </c>
      <c r="G22199" s="4">
        <f>IFERROR(__xludf.DUMMYFUNCTION("""COMPUTED_VALUE"""),0.0)</f>
        <v>0</v>
      </c>
      <c r="H22199" s="4"/>
      <c r="I22199" s="4"/>
    </row>
    <row r="22200">
      <c r="A22200" s="4" t="str">
        <f>IFERROR(__xludf.DUMMYFUNCTION("""COMPUTED_VALUE"""),"cas_hmw")</f>
        <v>cas_hmw</v>
      </c>
      <c r="B22200" s="5">
        <f>IFERROR(__xludf.DUMMYFUNCTION("""COMPUTED_VALUE"""),44789.0)</f>
        <v>44789</v>
      </c>
      <c r="C22200" s="6">
        <f>IFERROR(__xludf.DUMMYFUNCTION("""COMPUTED_VALUE"""),0.3262962962980964)</f>
        <v>0.3262962963</v>
      </c>
      <c r="D22200" s="4">
        <f>IFERROR(__xludf.DUMMYFUNCTION("""COMPUTED_VALUE"""),12.705221)</f>
        <v>12.705221</v>
      </c>
      <c r="E22200" s="4">
        <f>IFERROR(__xludf.DUMMYFUNCTION("""COMPUTED_VALUE"""),79.973987)</f>
        <v>79.973987</v>
      </c>
      <c r="F22200" s="4">
        <f>IFERROR(__xludf.DUMMYFUNCTION("""COMPUTED_VALUE"""),2846.0)</f>
        <v>2846</v>
      </c>
      <c r="G22200" s="4">
        <f>IFERROR(__xludf.DUMMYFUNCTION("""COMPUTED_VALUE"""),47.0)</f>
        <v>47</v>
      </c>
      <c r="H22200" s="4"/>
      <c r="I22200" s="4"/>
    </row>
    <row r="22201">
      <c r="A22201" s="4" t="str">
        <f>IFERROR(__xludf.DUMMYFUNCTION("""COMPUTED_VALUE"""),"cas_hmw")</f>
        <v>cas_hmw</v>
      </c>
      <c r="B22201" s="5">
        <f>IFERROR(__xludf.DUMMYFUNCTION("""COMPUTED_VALUE"""),44789.0)</f>
        <v>44789</v>
      </c>
      <c r="C22201" s="6">
        <f>IFERROR(__xludf.DUMMYFUNCTION("""COMPUTED_VALUE"""),0.3264930555560568)</f>
        <v>0.3264930556</v>
      </c>
      <c r="D22201" s="4">
        <f>IFERROR(__xludf.DUMMYFUNCTION("""COMPUTED_VALUE"""),13.006641)</f>
        <v>13.006641</v>
      </c>
      <c r="E22201" s="4">
        <f>IFERROR(__xludf.DUMMYFUNCTION("""COMPUTED_VALUE"""),80.245737)</f>
        <v>80.245737</v>
      </c>
      <c r="F22201" s="4">
        <f>IFERROR(__xludf.DUMMYFUNCTION("""COMPUTED_VALUE"""),805.0)</f>
        <v>805</v>
      </c>
      <c r="G22201" s="4">
        <f>IFERROR(__xludf.DUMMYFUNCTION("""COMPUTED_VALUE"""),32.0)</f>
        <v>32</v>
      </c>
      <c r="H22201" s="4"/>
      <c r="I22201" s="4"/>
    </row>
    <row r="22202">
      <c r="A22202" s="4" t="str">
        <f>IFERROR(__xludf.DUMMYFUNCTION("""COMPUTED_VALUE"""),"cas_hmw")</f>
        <v>cas_hmw</v>
      </c>
      <c r="B22202" s="5">
        <f>IFERROR(__xludf.DUMMYFUNCTION("""COMPUTED_VALUE"""),44789.0)</f>
        <v>44789</v>
      </c>
      <c r="C22202" s="6">
        <f>IFERROR(__xludf.DUMMYFUNCTION("""COMPUTED_VALUE"""),0.32651620370234014)</f>
        <v>0.3265162037</v>
      </c>
      <c r="D22202" s="4">
        <f>IFERROR(__xludf.DUMMYFUNCTION("""COMPUTED_VALUE"""),12.995944)</f>
        <v>12.995944</v>
      </c>
      <c r="E22202" s="4">
        <f>IFERROR(__xludf.DUMMYFUNCTION("""COMPUTED_VALUE"""),80.189278)</f>
        <v>80.189278</v>
      </c>
      <c r="F22202" s="4">
        <f>IFERROR(__xludf.DUMMYFUNCTION("""COMPUTED_VALUE"""),5339.0)</f>
        <v>5339</v>
      </c>
      <c r="G22202" s="4">
        <f>IFERROR(__xludf.DUMMYFUNCTION("""COMPUTED_VALUE"""),29.0)</f>
        <v>29</v>
      </c>
      <c r="H22202" s="4"/>
      <c r="I22202" s="4"/>
    </row>
    <row r="22203">
      <c r="A22203" s="4" t="str">
        <f>IFERROR(__xludf.DUMMYFUNCTION("""COMPUTED_VALUE"""),"cas_hmw")</f>
        <v>cas_hmw</v>
      </c>
      <c r="B22203" s="5">
        <f>IFERROR(__xludf.DUMMYFUNCTION("""COMPUTED_VALUE"""),44789.0)</f>
        <v>44789</v>
      </c>
      <c r="C22203" s="6">
        <f>IFERROR(__xludf.DUMMYFUNCTION("""COMPUTED_VALUE"""),0.3266319444446708)</f>
        <v>0.3266319444</v>
      </c>
      <c r="D22203" s="4">
        <f>IFERROR(__xludf.DUMMYFUNCTION("""COMPUTED_VALUE"""),12.706)</f>
        <v>12.706</v>
      </c>
      <c r="E22203" s="4">
        <f>IFERROR(__xludf.DUMMYFUNCTION("""COMPUTED_VALUE"""),79.975005)</f>
        <v>79.975005</v>
      </c>
      <c r="F22203" s="4">
        <f>IFERROR(__xludf.DUMMYFUNCTION("""COMPUTED_VALUE"""),2846.0)</f>
        <v>2846</v>
      </c>
      <c r="G22203" s="4">
        <f>IFERROR(__xludf.DUMMYFUNCTION("""COMPUTED_VALUE"""),55.0)</f>
        <v>55</v>
      </c>
      <c r="H22203" s="4"/>
      <c r="I22203" s="4"/>
    </row>
    <row r="22204">
      <c r="A22204" s="4" t="str">
        <f>IFERROR(__xludf.DUMMYFUNCTION("""COMPUTED_VALUE"""),"cas_hmw")</f>
        <v>cas_hmw</v>
      </c>
      <c r="B22204" s="5">
        <f>IFERROR(__xludf.DUMMYFUNCTION("""COMPUTED_VALUE"""),44789.0)</f>
        <v>44789</v>
      </c>
      <c r="C22204" s="6">
        <f>IFERROR(__xludf.DUMMYFUNCTION("""COMPUTED_VALUE"""),0.3267129629639385)</f>
        <v>0.326712963</v>
      </c>
      <c r="D22204" s="4">
        <f>IFERROR(__xludf.DUMMYFUNCTION("""COMPUTED_VALUE"""),12.994861)</f>
        <v>12.994861</v>
      </c>
      <c r="E22204" s="4">
        <f>IFERROR(__xludf.DUMMYFUNCTION("""COMPUTED_VALUE"""),80.187311)</f>
        <v>80.187311</v>
      </c>
      <c r="F22204" s="4">
        <f>IFERROR(__xludf.DUMMYFUNCTION("""COMPUTED_VALUE"""),5339.0)</f>
        <v>5339</v>
      </c>
      <c r="G22204" s="4">
        <f>IFERROR(__xludf.DUMMYFUNCTION("""COMPUTED_VALUE"""),51.0)</f>
        <v>51</v>
      </c>
      <c r="H22204" s="4"/>
      <c r="I22204" s="4"/>
    </row>
    <row r="22205">
      <c r="A22205" s="4" t="str">
        <f>IFERROR(__xludf.DUMMYFUNCTION("""COMPUTED_VALUE"""),"cas_hmw")</f>
        <v>cas_hmw</v>
      </c>
      <c r="B22205" s="5">
        <f>IFERROR(__xludf.DUMMYFUNCTION("""COMPUTED_VALUE"""),44789.0)</f>
        <v>44789</v>
      </c>
      <c r="C22205" s="6">
        <f>IFERROR(__xludf.DUMMYFUNCTION("""COMPUTED_VALUE"""),0.32711805555663886)</f>
        <v>0.3271180556</v>
      </c>
      <c r="D22205" s="4">
        <f>IFERROR(__xludf.DUMMYFUNCTION("""COMPUTED_VALUE"""),12.994132)</f>
        <v>12.994132</v>
      </c>
      <c r="E22205" s="4">
        <f>IFERROR(__xludf.DUMMYFUNCTION("""COMPUTED_VALUE"""),80.185907)</f>
        <v>80.185907</v>
      </c>
      <c r="F22205" s="4">
        <f>IFERROR(__xludf.DUMMYFUNCTION("""COMPUTED_VALUE"""),5339.0)</f>
        <v>5339</v>
      </c>
      <c r="G22205" s="4">
        <f>IFERROR(__xludf.DUMMYFUNCTION("""COMPUTED_VALUE"""),12.0)</f>
        <v>12</v>
      </c>
      <c r="H22205" s="4"/>
      <c r="I22205" s="4"/>
    </row>
    <row r="22206">
      <c r="A22206" s="4" t="str">
        <f>IFERROR(__xludf.DUMMYFUNCTION("""COMPUTED_VALUE"""),"cas_hmw")</f>
        <v>cas_hmw</v>
      </c>
      <c r="B22206" s="5">
        <f>IFERROR(__xludf.DUMMYFUNCTION("""COMPUTED_VALUE"""),44789.0)</f>
        <v>44789</v>
      </c>
      <c r="C22206" s="6">
        <f>IFERROR(__xludf.DUMMYFUNCTION("""COMPUTED_VALUE"""),0.3271759259259852)</f>
        <v>0.3271759259</v>
      </c>
      <c r="D22206" s="4">
        <f>IFERROR(__xludf.DUMMYFUNCTION("""COMPUTED_VALUE"""),13.006645)</f>
        <v>13.006645</v>
      </c>
      <c r="E22206" s="4">
        <f>IFERROR(__xludf.DUMMYFUNCTION("""COMPUTED_VALUE"""),80.241624)</f>
        <v>80.241624</v>
      </c>
      <c r="F22206" s="4">
        <f>IFERROR(__xludf.DUMMYFUNCTION("""COMPUTED_VALUE"""),805.0)</f>
        <v>805</v>
      </c>
      <c r="G22206" s="4">
        <f>IFERROR(__xludf.DUMMYFUNCTION("""COMPUTED_VALUE"""),34.0)</f>
        <v>34</v>
      </c>
      <c r="H22206" s="4"/>
      <c r="I22206" s="4"/>
    </row>
    <row r="22207">
      <c r="A22207" s="4" t="str">
        <f>IFERROR(__xludf.DUMMYFUNCTION("""COMPUTED_VALUE"""),"cas_hmw")</f>
        <v>cas_hmw</v>
      </c>
      <c r="B22207" s="5">
        <f>IFERROR(__xludf.DUMMYFUNCTION("""COMPUTED_VALUE"""),44789.0)</f>
        <v>44789</v>
      </c>
      <c r="C22207" s="6">
        <f>IFERROR(__xludf.DUMMYFUNCTION("""COMPUTED_VALUE"""),0.3273611111108039)</f>
        <v>0.3273611111</v>
      </c>
      <c r="D22207" s="4">
        <f>IFERROR(__xludf.DUMMYFUNCTION("""COMPUTED_VALUE"""),13.006903)</f>
        <v>13.006903</v>
      </c>
      <c r="E22207" s="4">
        <f>IFERROR(__xludf.DUMMYFUNCTION("""COMPUTED_VALUE"""),80.239932)</f>
        <v>80.239932</v>
      </c>
      <c r="F22207" s="4">
        <f>IFERROR(__xludf.DUMMYFUNCTION("""COMPUTED_VALUE"""),805.0)</f>
        <v>805</v>
      </c>
      <c r="G22207" s="4">
        <f>IFERROR(__xludf.DUMMYFUNCTION("""COMPUTED_VALUE"""),34.0)</f>
        <v>34</v>
      </c>
      <c r="H22207" s="4"/>
      <c r="I22207" s="4"/>
    </row>
    <row r="22208">
      <c r="A22208" s="4" t="str">
        <f>IFERROR(__xludf.DUMMYFUNCTION("""COMPUTED_VALUE"""),"cas_hmw")</f>
        <v>cas_hmw</v>
      </c>
      <c r="B22208" s="5">
        <f>IFERROR(__xludf.DUMMYFUNCTION("""COMPUTED_VALUE"""),44789.0)</f>
        <v>44789</v>
      </c>
      <c r="C22208" s="6">
        <f>IFERROR(__xludf.DUMMYFUNCTION("""COMPUTED_VALUE"""),0.32762731481489027)</f>
        <v>0.3276273148</v>
      </c>
      <c r="D22208" s="4">
        <f>IFERROR(__xludf.DUMMYFUNCTION("""COMPUTED_VALUE"""),12.992064)</f>
        <v>12.992064</v>
      </c>
      <c r="E22208" s="4">
        <f>IFERROR(__xludf.DUMMYFUNCTION("""COMPUTED_VALUE"""),80.182288)</f>
        <v>80.182288</v>
      </c>
      <c r="F22208" s="4">
        <f>IFERROR(__xludf.DUMMYFUNCTION("""COMPUTED_VALUE"""),5339.0)</f>
        <v>5339</v>
      </c>
      <c r="G22208" s="4">
        <f>IFERROR(__xludf.DUMMYFUNCTION("""COMPUTED_VALUE"""),54.0)</f>
        <v>54</v>
      </c>
      <c r="H22208" s="4"/>
      <c r="I22208" s="4"/>
    </row>
    <row r="22209">
      <c r="A22209" s="4" t="str">
        <f>IFERROR(__xludf.DUMMYFUNCTION("""COMPUTED_VALUE"""),"cas_hmw")</f>
        <v>cas_hmw</v>
      </c>
      <c r="B22209" s="5">
        <f>IFERROR(__xludf.DUMMYFUNCTION("""COMPUTED_VALUE"""),44789.0)</f>
        <v>44789</v>
      </c>
      <c r="C22209" s="6">
        <f>IFERROR(__xludf.DUMMYFUNCTION("""COMPUTED_VALUE"""),0.3281712962962047)</f>
        <v>0.3281712963</v>
      </c>
      <c r="D22209" s="4">
        <f>IFERROR(__xludf.DUMMYFUNCTION("""COMPUTED_VALUE"""),13.00794)</f>
        <v>13.00794</v>
      </c>
      <c r="E22209" s="4">
        <f>IFERROR(__xludf.DUMMYFUNCTION("""COMPUTED_VALUE"""),80.234541)</f>
        <v>80.234541</v>
      </c>
      <c r="F22209" s="4">
        <f>IFERROR(__xludf.DUMMYFUNCTION("""COMPUTED_VALUE"""),805.0)</f>
        <v>805</v>
      </c>
      <c r="G22209" s="4">
        <f>IFERROR(__xludf.DUMMYFUNCTION("""COMPUTED_VALUE"""),34.0)</f>
        <v>34</v>
      </c>
      <c r="H22209" s="4"/>
      <c r="I22209" s="4"/>
    </row>
    <row r="22210">
      <c r="A22210" s="4" t="str">
        <f>IFERROR(__xludf.DUMMYFUNCTION("""COMPUTED_VALUE"""),"cas_hmw")</f>
        <v>cas_hmw</v>
      </c>
      <c r="B22210" s="5">
        <f>IFERROR(__xludf.DUMMYFUNCTION("""COMPUTED_VALUE"""),44789.0)</f>
        <v>44789</v>
      </c>
      <c r="C22210" s="6">
        <f>IFERROR(__xludf.DUMMYFUNCTION("""COMPUTED_VALUE"""),0.3289930555547471)</f>
        <v>0.3289930556</v>
      </c>
      <c r="D22210" s="4">
        <f>IFERROR(__xludf.DUMMYFUNCTION("""COMPUTED_VALUE"""),12.983951)</f>
        <v>12.983951</v>
      </c>
      <c r="E22210" s="4">
        <f>IFERROR(__xludf.DUMMYFUNCTION("""COMPUTED_VALUE"""),80.171006)</f>
        <v>80.171006</v>
      </c>
      <c r="F22210" s="4">
        <f>IFERROR(__xludf.DUMMYFUNCTION("""COMPUTED_VALUE"""),5339.0)</f>
        <v>5339</v>
      </c>
      <c r="G22210" s="4">
        <f>IFERROR(__xludf.DUMMYFUNCTION("""COMPUTED_VALUE"""),42.0)</f>
        <v>42</v>
      </c>
      <c r="H22210" s="4"/>
      <c r="I22210" s="4"/>
    </row>
    <row r="22211">
      <c r="A22211" s="4" t="str">
        <f>IFERROR(__xludf.DUMMYFUNCTION("""COMPUTED_VALUE"""),"cas_hmw")</f>
        <v>cas_hmw</v>
      </c>
      <c r="B22211" s="5">
        <f>IFERROR(__xludf.DUMMYFUNCTION("""COMPUTED_VALUE"""),44789.0)</f>
        <v>44789</v>
      </c>
      <c r="C22211" s="6">
        <f>IFERROR(__xludf.DUMMYFUNCTION("""COMPUTED_VALUE"""),0.32915509259328246)</f>
        <v>0.3291550926</v>
      </c>
      <c r="D22211" s="4">
        <f>IFERROR(__xludf.DUMMYFUNCTION("""COMPUTED_VALUE"""),13.010545)</f>
        <v>13.010545</v>
      </c>
      <c r="E22211" s="4">
        <f>IFERROR(__xludf.DUMMYFUNCTION("""COMPUTED_VALUE"""),80.225333)</f>
        <v>80.225333</v>
      </c>
      <c r="F22211" s="4">
        <f>IFERROR(__xludf.DUMMYFUNCTION("""COMPUTED_VALUE"""),805.0)</f>
        <v>805</v>
      </c>
      <c r="G22211" s="4">
        <f>IFERROR(__xludf.DUMMYFUNCTION("""COMPUTED_VALUE"""),51.0)</f>
        <v>51</v>
      </c>
      <c r="H22211" s="4"/>
      <c r="I22211" s="4"/>
    </row>
    <row r="22212">
      <c r="A22212" s="4" t="str">
        <f>IFERROR(__xludf.DUMMYFUNCTION("""COMPUTED_VALUE"""),"cas_hmw")</f>
        <v>cas_hmw</v>
      </c>
      <c r="B22212" s="5">
        <f>IFERROR(__xludf.DUMMYFUNCTION("""COMPUTED_VALUE"""),44789.0)</f>
        <v>44789</v>
      </c>
      <c r="C22212" s="6">
        <f>IFERROR(__xludf.DUMMYFUNCTION("""COMPUTED_VALUE"""),0.32920138888948713)</f>
        <v>0.3292013889</v>
      </c>
      <c r="D22212" s="4">
        <f>IFERROR(__xludf.DUMMYFUNCTION("""COMPUTED_VALUE"""),12.726303)</f>
        <v>12.726303</v>
      </c>
      <c r="E22212" s="4">
        <f>IFERROR(__xludf.DUMMYFUNCTION("""COMPUTED_VALUE"""),79.982308)</f>
        <v>79.982308</v>
      </c>
      <c r="F22212" s="4">
        <f>IFERROR(__xludf.DUMMYFUNCTION("""COMPUTED_VALUE"""),2846.0)</f>
        <v>2846</v>
      </c>
      <c r="G22212" s="4">
        <f>IFERROR(__xludf.DUMMYFUNCTION("""COMPUTED_VALUE"""),47.0)</f>
        <v>47</v>
      </c>
      <c r="H22212" s="4"/>
      <c r="I22212" s="4"/>
    </row>
    <row r="22213">
      <c r="A22213" s="4" t="str">
        <f>IFERROR(__xludf.DUMMYFUNCTION("""COMPUTED_VALUE"""),"cas_hmw")</f>
        <v>cas_hmw</v>
      </c>
      <c r="B22213" s="5">
        <f>IFERROR(__xludf.DUMMYFUNCTION("""COMPUTED_VALUE"""),44789.0)</f>
        <v>44789</v>
      </c>
      <c r="C22213" s="6">
        <f>IFERROR(__xludf.DUMMYFUNCTION("""COMPUTED_VALUE"""),0.3294328703705105)</f>
        <v>0.3294328704</v>
      </c>
      <c r="D22213" s="4">
        <f>IFERROR(__xludf.DUMMYFUNCTION("""COMPUTED_VALUE"""),12.982246)</f>
        <v>12.982246</v>
      </c>
      <c r="E22213" s="4">
        <f>IFERROR(__xludf.DUMMYFUNCTION("""COMPUTED_VALUE"""),80.1682)</f>
        <v>80.1682</v>
      </c>
      <c r="F22213" s="4">
        <f>IFERROR(__xludf.DUMMYFUNCTION("""COMPUTED_VALUE"""),5339.0)</f>
        <v>5339</v>
      </c>
      <c r="G22213" s="4">
        <f>IFERROR(__xludf.DUMMYFUNCTION("""COMPUTED_VALUE"""),48.0)</f>
        <v>48</v>
      </c>
      <c r="H22213" s="4"/>
      <c r="I22213" s="4"/>
    </row>
    <row r="22214">
      <c r="A22214" s="4" t="str">
        <f>IFERROR(__xludf.DUMMYFUNCTION("""COMPUTED_VALUE"""),"cas_hmw")</f>
        <v>cas_hmw</v>
      </c>
      <c r="B22214" s="5">
        <f>IFERROR(__xludf.DUMMYFUNCTION("""COMPUTED_VALUE"""),44789.0)</f>
        <v>44789</v>
      </c>
      <c r="C22214" s="6">
        <f>IFERROR(__xludf.DUMMYFUNCTION("""COMPUTED_VALUE"""),0.3295833333322662)</f>
        <v>0.3295833333</v>
      </c>
      <c r="D22214" s="4">
        <f>IFERROR(__xludf.DUMMYFUNCTION("""COMPUTED_VALUE"""),12.731602)</f>
        <v>12.731602</v>
      </c>
      <c r="E22214" s="4">
        <f>IFERROR(__xludf.DUMMYFUNCTION("""COMPUTED_VALUE"""),79.982831)</f>
        <v>79.982831</v>
      </c>
      <c r="F22214" s="4">
        <f>IFERROR(__xludf.DUMMYFUNCTION("""COMPUTED_VALUE"""),2846.0)</f>
        <v>2846</v>
      </c>
      <c r="G22214" s="4">
        <f>IFERROR(__xludf.DUMMYFUNCTION("""COMPUTED_VALUE"""),51.0)</f>
        <v>51</v>
      </c>
      <c r="H22214" s="4"/>
      <c r="I22214" s="4"/>
    </row>
    <row r="22215">
      <c r="A22215" s="4" t="str">
        <f>IFERROR(__xludf.DUMMYFUNCTION("""COMPUTED_VALUE"""),"cas_hmw")</f>
        <v>cas_hmw</v>
      </c>
      <c r="B22215" s="5">
        <f>IFERROR(__xludf.DUMMYFUNCTION("""COMPUTED_VALUE"""),44789.0)</f>
        <v>44789</v>
      </c>
      <c r="C22215" s="6">
        <f>IFERROR(__xludf.DUMMYFUNCTION("""COMPUTED_VALUE"""),0.33064814814861165)</f>
        <v>0.3306481481</v>
      </c>
      <c r="D22215" s="4">
        <f>IFERROR(__xludf.DUMMYFUNCTION("""COMPUTED_VALUE"""),13.010069)</f>
        <v>13.010069</v>
      </c>
      <c r="E22215" s="4">
        <f>IFERROR(__xludf.DUMMYFUNCTION("""COMPUTED_VALUE"""),80.214869)</f>
        <v>80.214869</v>
      </c>
      <c r="F22215" s="4">
        <f>IFERROR(__xludf.DUMMYFUNCTION("""COMPUTED_VALUE"""),805.0)</f>
        <v>805</v>
      </c>
      <c r="G22215" s="4">
        <f>IFERROR(__xludf.DUMMYFUNCTION("""COMPUTED_VALUE"""),58.0)</f>
        <v>58</v>
      </c>
      <c r="H22215" s="4"/>
      <c r="I22215" s="4"/>
    </row>
    <row r="22216">
      <c r="A22216" s="4" t="str">
        <f>IFERROR(__xludf.DUMMYFUNCTION("""COMPUTED_VALUE"""),"cas_hmw")</f>
        <v>cas_hmw</v>
      </c>
      <c r="B22216" s="5">
        <f>IFERROR(__xludf.DUMMYFUNCTION("""COMPUTED_VALUE"""),44789.0)</f>
        <v>44789</v>
      </c>
      <c r="C22216" s="6">
        <f>IFERROR(__xludf.DUMMYFUNCTION("""COMPUTED_VALUE"""),0.3308564814797137)</f>
        <v>0.3308564815</v>
      </c>
      <c r="D22216" s="4">
        <f>IFERROR(__xludf.DUMMYFUNCTION("""COMPUTED_VALUE"""),12.977289)</f>
        <v>12.977289</v>
      </c>
      <c r="E22216" s="4">
        <f>IFERROR(__xludf.DUMMYFUNCTION("""COMPUTED_VALUE"""),80.159073)</f>
        <v>80.159073</v>
      </c>
      <c r="F22216" s="4">
        <f>IFERROR(__xludf.DUMMYFUNCTION("""COMPUTED_VALUE"""),5339.0)</f>
        <v>5339</v>
      </c>
      <c r="G22216" s="4">
        <f>IFERROR(__xludf.DUMMYFUNCTION("""COMPUTED_VALUE"""),45.0)</f>
        <v>45</v>
      </c>
      <c r="H22216" s="4"/>
      <c r="I22216" s="4"/>
    </row>
    <row r="22217">
      <c r="A22217" s="4" t="str">
        <f>IFERROR(__xludf.DUMMYFUNCTION("""COMPUTED_VALUE"""),"cas_hmw")</f>
        <v>cas_hmw</v>
      </c>
      <c r="B22217" s="5">
        <f>IFERROR(__xludf.DUMMYFUNCTION("""COMPUTED_VALUE"""),44789.0)</f>
        <v>44789</v>
      </c>
      <c r="C22217" s="6">
        <f>IFERROR(__xludf.DUMMYFUNCTION("""COMPUTED_VALUE"""),0.3313888888878864)</f>
        <v>0.3313888889</v>
      </c>
      <c r="D22217" s="4">
        <f>IFERROR(__xludf.DUMMYFUNCTION("""COMPUTED_VALUE"""),13.007778)</f>
        <v>13.007778</v>
      </c>
      <c r="E22217" s="4">
        <f>IFERROR(__xludf.DUMMYFUNCTION("""COMPUTED_VALUE"""),80.207448)</f>
        <v>80.207448</v>
      </c>
      <c r="F22217" s="4">
        <f>IFERROR(__xludf.DUMMYFUNCTION("""COMPUTED_VALUE"""),805.0)</f>
        <v>805</v>
      </c>
      <c r="G22217" s="4">
        <f>IFERROR(__xludf.DUMMYFUNCTION("""COMPUTED_VALUE"""),56.0)</f>
        <v>56</v>
      </c>
      <c r="H22217" s="4"/>
      <c r="I22217" s="4"/>
    </row>
    <row r="22218">
      <c r="A22218" s="4" t="str">
        <f>IFERROR(__xludf.DUMMYFUNCTION("""COMPUTED_VALUE"""),"cas_hmw")</f>
        <v>cas_hmw</v>
      </c>
      <c r="B22218" s="5">
        <f>IFERROR(__xludf.DUMMYFUNCTION("""COMPUTED_VALUE"""),44789.0)</f>
        <v>44789</v>
      </c>
      <c r="C22218" s="6">
        <f>IFERROR(__xludf.DUMMYFUNCTION("""COMPUTED_VALUE"""),0.33232638888875954)</f>
        <v>0.3323263889</v>
      </c>
      <c r="D22218" s="4">
        <f>IFERROR(__xludf.DUMMYFUNCTION("""COMPUTED_VALUE"""),13.003728)</f>
        <v>13.003728</v>
      </c>
      <c r="E22218" s="4">
        <f>IFERROR(__xludf.DUMMYFUNCTION("""COMPUTED_VALUE"""),80.201052)</f>
        <v>80.201052</v>
      </c>
      <c r="F22218" s="4">
        <f>IFERROR(__xludf.DUMMYFUNCTION("""COMPUTED_VALUE"""),805.0)</f>
        <v>805</v>
      </c>
      <c r="G22218" s="4">
        <f>IFERROR(__xludf.DUMMYFUNCTION("""COMPUTED_VALUE"""),34.0)</f>
        <v>34</v>
      </c>
      <c r="H22218" s="4"/>
      <c r="I22218" s="4"/>
    </row>
    <row r="22219">
      <c r="A22219" s="4" t="str">
        <f>IFERROR(__xludf.DUMMYFUNCTION("""COMPUTED_VALUE"""),"cas_hmw")</f>
        <v>cas_hmw</v>
      </c>
      <c r="B22219" s="5">
        <f>IFERROR(__xludf.DUMMYFUNCTION("""COMPUTED_VALUE"""),44789.0)</f>
        <v>44789</v>
      </c>
      <c r="C22219" s="6">
        <f>IFERROR(__xludf.DUMMYFUNCTION("""COMPUTED_VALUE"""),0.3331712962972233)</f>
        <v>0.3331712963</v>
      </c>
      <c r="D22219" s="4">
        <f>IFERROR(__xludf.DUMMYFUNCTION("""COMPUTED_VALUE"""),12.964895)</f>
        <v>12.964895</v>
      </c>
      <c r="E22219" s="4">
        <f>IFERROR(__xludf.DUMMYFUNCTION("""COMPUTED_VALUE"""),80.147979)</f>
        <v>80.147979</v>
      </c>
      <c r="F22219" s="4">
        <f>IFERROR(__xludf.DUMMYFUNCTION("""COMPUTED_VALUE"""),5339.0)</f>
        <v>5339</v>
      </c>
      <c r="G22219" s="4">
        <f>IFERROR(__xludf.DUMMYFUNCTION("""COMPUTED_VALUE"""),32.0)</f>
        <v>32</v>
      </c>
      <c r="H22219" s="4"/>
      <c r="I22219" s="4"/>
    </row>
    <row r="22220">
      <c r="A22220" s="4" t="str">
        <f>IFERROR(__xludf.DUMMYFUNCTION("""COMPUTED_VALUE"""),"cas_hmw")</f>
        <v>cas_hmw</v>
      </c>
      <c r="B22220" s="5">
        <f>IFERROR(__xludf.DUMMYFUNCTION("""COMPUTED_VALUE"""),44789.0)</f>
        <v>44789</v>
      </c>
      <c r="C22220" s="6">
        <f>IFERROR(__xludf.DUMMYFUNCTION("""COMPUTED_VALUE"""),0.33319444444350665)</f>
        <v>0.3331944444</v>
      </c>
      <c r="D22220" s="4">
        <f>IFERROR(__xludf.DUMMYFUNCTION("""COMPUTED_VALUE"""),12.75771)</f>
        <v>12.75771</v>
      </c>
      <c r="E22220" s="4">
        <f>IFERROR(__xludf.DUMMYFUNCTION("""COMPUTED_VALUE"""),80.00245)</f>
        <v>80.00245</v>
      </c>
      <c r="F22220" s="4">
        <f>IFERROR(__xludf.DUMMYFUNCTION("""COMPUTED_VALUE"""),2846.0)</f>
        <v>2846</v>
      </c>
      <c r="G22220" s="4">
        <f>IFERROR(__xludf.DUMMYFUNCTION("""COMPUTED_VALUE"""),53.0)</f>
        <v>53</v>
      </c>
      <c r="H22220" s="4"/>
      <c r="I22220" s="4"/>
    </row>
    <row r="22221">
      <c r="A22221" s="4" t="str">
        <f>IFERROR(__xludf.DUMMYFUNCTION("""COMPUTED_VALUE"""),"cas_hmw")</f>
        <v>cas_hmw</v>
      </c>
      <c r="B22221" s="5">
        <f>IFERROR(__xludf.DUMMYFUNCTION("""COMPUTED_VALUE"""),44789.0)</f>
        <v>44789</v>
      </c>
      <c r="C22221" s="6">
        <f>IFERROR(__xludf.DUMMYFUNCTION("""COMPUTED_VALUE"""),0.33326388888963265)</f>
        <v>0.3332638889</v>
      </c>
      <c r="D22221" s="4">
        <f>IFERROR(__xludf.DUMMYFUNCTION("""COMPUTED_VALUE"""),12.964895)</f>
        <v>12.964895</v>
      </c>
      <c r="E22221" s="4">
        <f>IFERROR(__xludf.DUMMYFUNCTION("""COMPUTED_VALUE"""),80.147979)</f>
        <v>80.147979</v>
      </c>
      <c r="F22221" s="4">
        <f>IFERROR(__xludf.DUMMYFUNCTION("""COMPUTED_VALUE"""),5339.0)</f>
        <v>5339</v>
      </c>
      <c r="G22221" s="4">
        <f>IFERROR(__xludf.DUMMYFUNCTION("""COMPUTED_VALUE"""),32.0)</f>
        <v>32</v>
      </c>
      <c r="H22221" s="4"/>
      <c r="I22221" s="4"/>
    </row>
    <row r="22222">
      <c r="A22222" s="4" t="str">
        <f>IFERROR(__xludf.DUMMYFUNCTION("""COMPUTED_VALUE"""),"cas_hmw")</f>
        <v>cas_hmw</v>
      </c>
      <c r="B22222" s="5">
        <f>IFERROR(__xludf.DUMMYFUNCTION("""COMPUTED_VALUE"""),44789.0)</f>
        <v>44789</v>
      </c>
      <c r="C22222" s="6">
        <f>IFERROR(__xludf.DUMMYFUNCTION("""COMPUTED_VALUE"""),0.33342592592453)</f>
        <v>0.3334259259</v>
      </c>
      <c r="D22222" s="4">
        <f>IFERROR(__xludf.DUMMYFUNCTION("""COMPUTED_VALUE"""),13.000984)</f>
        <v>13.000984</v>
      </c>
      <c r="E22222" s="4">
        <f>IFERROR(__xludf.DUMMYFUNCTION("""COMPUTED_VALUE"""),80.195527)</f>
        <v>80.195527</v>
      </c>
      <c r="F22222" s="4">
        <f>IFERROR(__xludf.DUMMYFUNCTION("""COMPUTED_VALUE"""),805.0)</f>
        <v>805</v>
      </c>
      <c r="G22222" s="4">
        <f>IFERROR(__xludf.DUMMYFUNCTION("""COMPUTED_VALUE"""),35.0)</f>
        <v>35</v>
      </c>
      <c r="H22222" s="4"/>
      <c r="I22222" s="4"/>
    </row>
    <row r="22223">
      <c r="A22223" s="4" t="str">
        <f>IFERROR(__xludf.DUMMYFUNCTION("""COMPUTED_VALUE"""),"cas_hmw")</f>
        <v>cas_hmw</v>
      </c>
      <c r="B22223" s="5">
        <f>IFERROR(__xludf.DUMMYFUNCTION("""COMPUTED_VALUE"""),44789.0)</f>
        <v>44789</v>
      </c>
      <c r="C22223" s="6">
        <f>IFERROR(__xludf.DUMMYFUNCTION("""COMPUTED_VALUE"""),0.33344907407445135)</f>
        <v>0.3334490741</v>
      </c>
      <c r="D22223" s="4">
        <f>IFERROR(__xludf.DUMMYFUNCTION("""COMPUTED_VALUE"""),13.000984)</f>
        <v>13.000984</v>
      </c>
      <c r="E22223" s="4">
        <f>IFERROR(__xludf.DUMMYFUNCTION("""COMPUTED_VALUE"""),80.195527)</f>
        <v>80.195527</v>
      </c>
      <c r="F22223" s="4">
        <f>IFERROR(__xludf.DUMMYFUNCTION("""COMPUTED_VALUE"""),805.0)</f>
        <v>805</v>
      </c>
      <c r="G22223" s="4">
        <f>IFERROR(__xludf.DUMMYFUNCTION("""COMPUTED_VALUE"""),35.0)</f>
        <v>35</v>
      </c>
      <c r="H22223" s="4"/>
      <c r="I22223" s="4"/>
    </row>
    <row r="22224">
      <c r="A22224" s="4" t="str">
        <f>IFERROR(__xludf.DUMMYFUNCTION("""COMPUTED_VALUE"""),"cas_hmw")</f>
        <v>cas_hmw</v>
      </c>
      <c r="B22224" s="5">
        <f>IFERROR(__xludf.DUMMYFUNCTION("""COMPUTED_VALUE"""),44789.0)</f>
        <v>44789</v>
      </c>
      <c r="C22224" s="6">
        <f>IFERROR(__xludf.DUMMYFUNCTION("""COMPUTED_VALUE"""),0.333460648147593)</f>
        <v>0.3334606481</v>
      </c>
      <c r="D22224" s="4">
        <f>IFERROR(__xludf.DUMMYFUNCTION("""COMPUTED_VALUE"""),13.000984)</f>
        <v>13.000984</v>
      </c>
      <c r="E22224" s="4">
        <f>IFERROR(__xludf.DUMMYFUNCTION("""COMPUTED_VALUE"""),80.195527)</f>
        <v>80.195527</v>
      </c>
      <c r="F22224" s="4">
        <f>IFERROR(__xludf.DUMMYFUNCTION("""COMPUTED_VALUE"""),805.0)</f>
        <v>805</v>
      </c>
      <c r="G22224" s="4">
        <f>IFERROR(__xludf.DUMMYFUNCTION("""COMPUTED_VALUE"""),35.0)</f>
        <v>35</v>
      </c>
      <c r="H22224" s="4"/>
      <c r="I22224" s="4"/>
    </row>
    <row r="22225">
      <c r="A22225" s="4" t="str">
        <f>IFERROR(__xludf.DUMMYFUNCTION("""COMPUTED_VALUE"""),"cas_hmw")</f>
        <v>cas_hmw</v>
      </c>
      <c r="B22225" s="5">
        <f>IFERROR(__xludf.DUMMYFUNCTION("""COMPUTED_VALUE"""),44789.0)</f>
        <v>44789</v>
      </c>
      <c r="C22225" s="6">
        <f>IFERROR(__xludf.DUMMYFUNCTION("""COMPUTED_VALUE"""),0.3334722222207347)</f>
        <v>0.3334722222</v>
      </c>
      <c r="D22225" s="4">
        <f>IFERROR(__xludf.DUMMYFUNCTION("""COMPUTED_VALUE"""),13.000984)</f>
        <v>13.000984</v>
      </c>
      <c r="E22225" s="4">
        <f>IFERROR(__xludf.DUMMYFUNCTION("""COMPUTED_VALUE"""),80.195527)</f>
        <v>80.195527</v>
      </c>
      <c r="F22225" s="4">
        <f>IFERROR(__xludf.DUMMYFUNCTION("""COMPUTED_VALUE"""),805.0)</f>
        <v>805</v>
      </c>
      <c r="G22225" s="4">
        <f>IFERROR(__xludf.DUMMYFUNCTION("""COMPUTED_VALUE"""),35.0)</f>
        <v>35</v>
      </c>
      <c r="H22225" s="4"/>
      <c r="I22225" s="4"/>
    </row>
    <row r="22226">
      <c r="A22226" s="4" t="str">
        <f>IFERROR(__xludf.DUMMYFUNCTION("""COMPUTED_VALUE"""),"cas_hmw")</f>
        <v>cas_hmw</v>
      </c>
      <c r="B22226" s="5">
        <f>IFERROR(__xludf.DUMMYFUNCTION("""COMPUTED_VALUE"""),44789.0)</f>
        <v>44789</v>
      </c>
      <c r="C22226" s="6">
        <f>IFERROR(__xludf.DUMMYFUNCTION("""COMPUTED_VALUE"""),0.3336111111093487)</f>
        <v>0.3336111111</v>
      </c>
      <c r="D22226" s="4">
        <f>IFERROR(__xludf.DUMMYFUNCTION("""COMPUTED_VALUE"""),12.999989)</f>
        <v>12.999989</v>
      </c>
      <c r="E22226" s="4">
        <f>IFERROR(__xludf.DUMMYFUNCTION("""COMPUTED_VALUE"""),80.194242)</f>
        <v>80.194242</v>
      </c>
      <c r="F22226" s="4">
        <f>IFERROR(__xludf.DUMMYFUNCTION("""COMPUTED_VALUE"""),805.0)</f>
        <v>805</v>
      </c>
      <c r="G22226" s="4">
        <f>IFERROR(__xludf.DUMMYFUNCTION("""COMPUTED_VALUE"""),35.0)</f>
        <v>35</v>
      </c>
      <c r="H22226" s="4"/>
      <c r="I22226" s="4"/>
    </row>
    <row r="22227">
      <c r="A22227" s="4" t="str">
        <f>IFERROR(__xludf.DUMMYFUNCTION("""COMPUTED_VALUE"""),"cas_hmw")</f>
        <v>cas_hmw</v>
      </c>
      <c r="B22227" s="5">
        <f>IFERROR(__xludf.DUMMYFUNCTION("""COMPUTED_VALUE"""),44789.0)</f>
        <v>44789</v>
      </c>
      <c r="C22227" s="6">
        <f>IFERROR(__xludf.DUMMYFUNCTION("""COMPUTED_VALUE"""),0.33384259259401006)</f>
        <v>0.3338425926</v>
      </c>
      <c r="D22227" s="4">
        <f>IFERROR(__xludf.DUMMYFUNCTION("""COMPUTED_VALUE"""),12.998786)</f>
        <v>12.998786</v>
      </c>
      <c r="E22227" s="4">
        <f>IFERROR(__xludf.DUMMYFUNCTION("""COMPUTED_VALUE"""),80.192675)</f>
        <v>80.192675</v>
      </c>
      <c r="F22227" s="4">
        <f>IFERROR(__xludf.DUMMYFUNCTION("""COMPUTED_VALUE"""),805.0)</f>
        <v>805</v>
      </c>
      <c r="G22227" s="4">
        <f>IFERROR(__xludf.DUMMYFUNCTION("""COMPUTED_VALUE"""),40.0)</f>
        <v>40</v>
      </c>
      <c r="H22227" s="4"/>
      <c r="I22227" s="4"/>
    </row>
    <row r="22228">
      <c r="A22228" s="4" t="str">
        <f>IFERROR(__xludf.DUMMYFUNCTION("""COMPUTED_VALUE"""),"cas_hmw")</f>
        <v>cas_hmw</v>
      </c>
      <c r="B22228" s="5">
        <f>IFERROR(__xludf.DUMMYFUNCTION("""COMPUTED_VALUE"""),44789.0)</f>
        <v>44789</v>
      </c>
      <c r="C22228" s="6">
        <f>IFERROR(__xludf.DUMMYFUNCTION("""COMPUTED_VALUE"""),0.33413194444437977)</f>
        <v>0.3341319444</v>
      </c>
      <c r="D22228" s="4">
        <f>IFERROR(__xludf.DUMMYFUNCTION("""COMPUTED_VALUE"""),12.99732)</f>
        <v>12.99732</v>
      </c>
      <c r="E22228" s="4">
        <f>IFERROR(__xludf.DUMMYFUNCTION("""COMPUTED_VALUE"""),80.190824)</f>
        <v>80.190824</v>
      </c>
      <c r="F22228" s="4">
        <f>IFERROR(__xludf.DUMMYFUNCTION("""COMPUTED_VALUE"""),805.0)</f>
        <v>805</v>
      </c>
      <c r="G22228" s="4">
        <f>IFERROR(__xludf.DUMMYFUNCTION("""COMPUTED_VALUE"""),52.0)</f>
        <v>52</v>
      </c>
      <c r="H22228" s="4"/>
      <c r="I22228" s="4"/>
    </row>
    <row r="22229">
      <c r="A22229" s="4" t="str">
        <f>IFERROR(__xludf.DUMMYFUNCTION("""COMPUTED_VALUE"""),"cas_hmw")</f>
        <v>cas_hmw</v>
      </c>
      <c r="B22229" s="5">
        <f>IFERROR(__xludf.DUMMYFUNCTION("""COMPUTED_VALUE"""),44789.0)</f>
        <v>44789</v>
      </c>
      <c r="C22229" s="6">
        <f>IFERROR(__xludf.DUMMYFUNCTION("""COMPUTED_VALUE"""),0.3344097222216078)</f>
        <v>0.3344097222</v>
      </c>
      <c r="D22229" s="4">
        <f>IFERROR(__xludf.DUMMYFUNCTION("""COMPUTED_VALUE"""),12.995114)</f>
        <v>12.995114</v>
      </c>
      <c r="E22229" s="4">
        <f>IFERROR(__xludf.DUMMYFUNCTION("""COMPUTED_VALUE"""),80.187811)</f>
        <v>80.187811</v>
      </c>
      <c r="F22229" s="4">
        <f>IFERROR(__xludf.DUMMYFUNCTION("""COMPUTED_VALUE"""),805.0)</f>
        <v>805</v>
      </c>
      <c r="G22229" s="4">
        <f>IFERROR(__xludf.DUMMYFUNCTION("""COMPUTED_VALUE"""),49.0)</f>
        <v>49</v>
      </c>
      <c r="H22229" s="4"/>
      <c r="I22229" s="4"/>
    </row>
    <row r="22230">
      <c r="A22230" s="4" t="str">
        <f>IFERROR(__xludf.DUMMYFUNCTION("""COMPUTED_VALUE"""),"cas_hmw")</f>
        <v>cas_hmw</v>
      </c>
      <c r="B22230" s="5">
        <f>IFERROR(__xludf.DUMMYFUNCTION("""COMPUTED_VALUE"""),44789.0)</f>
        <v>44789</v>
      </c>
      <c r="C22230" s="6">
        <f>IFERROR(__xludf.DUMMYFUNCTION("""COMPUTED_VALUE"""),0.3345254629639385)</f>
        <v>0.334525463</v>
      </c>
      <c r="D22230" s="4">
        <f>IFERROR(__xludf.DUMMYFUNCTION("""COMPUTED_VALUE"""),12.994657)</f>
        <v>12.994657</v>
      </c>
      <c r="E22230" s="4">
        <f>IFERROR(__xludf.DUMMYFUNCTION("""COMPUTED_VALUE"""),80.186895)</f>
        <v>80.186895</v>
      </c>
      <c r="F22230" s="4">
        <f>IFERROR(__xludf.DUMMYFUNCTION("""COMPUTED_VALUE"""),805.0)</f>
        <v>805</v>
      </c>
      <c r="G22230" s="4">
        <f>IFERROR(__xludf.DUMMYFUNCTION("""COMPUTED_VALUE"""),34.0)</f>
        <v>34</v>
      </c>
      <c r="H22230" s="4"/>
      <c r="I22230" s="4"/>
    </row>
    <row r="22231">
      <c r="A22231" s="4" t="str">
        <f>IFERROR(__xludf.DUMMYFUNCTION("""COMPUTED_VALUE"""),"cas_hmw")</f>
        <v>cas_hmw</v>
      </c>
      <c r="B22231" s="5">
        <f>IFERROR(__xludf.DUMMYFUNCTION("""COMPUTED_VALUE"""),44789.0)</f>
        <v>44789</v>
      </c>
      <c r="C22231" s="6">
        <f>IFERROR(__xludf.DUMMYFUNCTION("""COMPUTED_VALUE"""),0.33482638888744987)</f>
        <v>0.3348263889</v>
      </c>
      <c r="D22231" s="4">
        <f>IFERROR(__xludf.DUMMYFUNCTION("""COMPUTED_VALUE"""),12.954958)</f>
        <v>12.954958</v>
      </c>
      <c r="E22231" s="4">
        <f>IFERROR(__xludf.DUMMYFUNCTION("""COMPUTED_VALUE"""),80.142599)</f>
        <v>80.142599</v>
      </c>
      <c r="F22231" s="4">
        <f>IFERROR(__xludf.DUMMYFUNCTION("""COMPUTED_VALUE"""),5339.0)</f>
        <v>5339</v>
      </c>
      <c r="G22231" s="4">
        <f>IFERROR(__xludf.DUMMYFUNCTION("""COMPUTED_VALUE"""),35.0)</f>
        <v>35</v>
      </c>
      <c r="H22231" s="4"/>
      <c r="I22231" s="4"/>
    </row>
    <row r="22232">
      <c r="A22232" s="4" t="str">
        <f>IFERROR(__xludf.DUMMYFUNCTION("""COMPUTED_VALUE"""),"cas_hmw")</f>
        <v>cas_hmw</v>
      </c>
      <c r="B22232" s="5">
        <f>IFERROR(__xludf.DUMMYFUNCTION("""COMPUTED_VALUE"""),44789.0)</f>
        <v>44789</v>
      </c>
      <c r="C22232" s="6">
        <f>IFERROR(__xludf.DUMMYFUNCTION("""COMPUTED_VALUE"""),0.33489583333357587)</f>
        <v>0.3348958333</v>
      </c>
      <c r="D22232" s="4">
        <f>IFERROR(__xludf.DUMMYFUNCTION("""COMPUTED_VALUE"""),12.954066)</f>
        <v>12.954066</v>
      </c>
      <c r="E22232" s="4">
        <f>IFERROR(__xludf.DUMMYFUNCTION("""COMPUTED_VALUE"""),80.142111)</f>
        <v>80.142111</v>
      </c>
      <c r="F22232" s="4">
        <f>IFERROR(__xludf.DUMMYFUNCTION("""COMPUTED_VALUE"""),5339.0)</f>
        <v>5339</v>
      </c>
      <c r="G22232" s="4">
        <f>IFERROR(__xludf.DUMMYFUNCTION("""COMPUTED_VALUE"""),39.0)</f>
        <v>39</v>
      </c>
      <c r="H22232" s="4"/>
      <c r="I22232" s="4"/>
    </row>
    <row r="22233">
      <c r="A22233" s="4" t="str">
        <f>IFERROR(__xludf.DUMMYFUNCTION("""COMPUTED_VALUE"""),"cas_hmw")</f>
        <v>cas_hmw</v>
      </c>
      <c r="B22233" s="5">
        <f>IFERROR(__xludf.DUMMYFUNCTION("""COMPUTED_VALUE"""),44789.0)</f>
        <v>44789</v>
      </c>
      <c r="C22233" s="6">
        <f>IFERROR(__xludf.DUMMYFUNCTION("""COMPUTED_VALUE"""),0.3350231481490482)</f>
        <v>0.3350231481</v>
      </c>
      <c r="D22233" s="4">
        <f>IFERROR(__xludf.DUMMYFUNCTION("""COMPUTED_VALUE"""),12.953188)</f>
        <v>12.953188</v>
      </c>
      <c r="E22233" s="4">
        <f>IFERROR(__xludf.DUMMYFUNCTION("""COMPUTED_VALUE"""),80.141625)</f>
        <v>80.141625</v>
      </c>
      <c r="F22233" s="4">
        <f>IFERROR(__xludf.DUMMYFUNCTION("""COMPUTED_VALUE"""),5339.0)</f>
        <v>5339</v>
      </c>
      <c r="G22233" s="4">
        <f>IFERROR(__xludf.DUMMYFUNCTION("""COMPUTED_VALUE"""),38.0)</f>
        <v>38</v>
      </c>
      <c r="H22233" s="4"/>
      <c r="I22233" s="4"/>
    </row>
    <row r="22234">
      <c r="A22234" s="4" t="str">
        <f>IFERROR(__xludf.DUMMYFUNCTION("""COMPUTED_VALUE"""),"cas_hmw")</f>
        <v>cas_hmw</v>
      </c>
      <c r="B22234" s="5">
        <f>IFERROR(__xludf.DUMMYFUNCTION("""COMPUTED_VALUE"""),44789.0)</f>
        <v>44789</v>
      </c>
      <c r="C22234" s="6">
        <f>IFERROR(__xludf.DUMMYFUNCTION("""COMPUTED_VALUE"""),0.3350347222221899)</f>
        <v>0.3350347222</v>
      </c>
      <c r="D22234" s="4">
        <f>IFERROR(__xludf.DUMMYFUNCTION("""COMPUTED_VALUE"""),12.774533)</f>
        <v>12.774533</v>
      </c>
      <c r="E22234" s="4">
        <f>IFERROR(__xludf.DUMMYFUNCTION("""COMPUTED_VALUE"""),80.009208)</f>
        <v>80.009208</v>
      </c>
      <c r="F22234" s="4">
        <f>IFERROR(__xludf.DUMMYFUNCTION("""COMPUTED_VALUE"""),2846.0)</f>
        <v>2846</v>
      </c>
      <c r="G22234" s="4">
        <f>IFERROR(__xludf.DUMMYFUNCTION("""COMPUTED_VALUE"""),58.0)</f>
        <v>58</v>
      </c>
      <c r="H22234" s="4"/>
      <c r="I22234" s="4"/>
    </row>
    <row r="22235">
      <c r="A22235" s="4" t="str">
        <f>IFERROR(__xludf.DUMMYFUNCTION("""COMPUTED_VALUE"""),"cas_hmw")</f>
        <v>cas_hmw</v>
      </c>
      <c r="B22235" s="5">
        <f>IFERROR(__xludf.DUMMYFUNCTION("""COMPUTED_VALUE"""),44789.0)</f>
        <v>44789</v>
      </c>
      <c r="C22235" s="6">
        <f>IFERROR(__xludf.DUMMYFUNCTION("""COMPUTED_VALUE"""),0.33550925926101627)</f>
        <v>0.3355092593</v>
      </c>
      <c r="D22235" s="4">
        <f>IFERROR(__xludf.DUMMYFUNCTION("""COMPUTED_VALUE"""),12.99383)</f>
        <v>12.99383</v>
      </c>
      <c r="E22235" s="4">
        <f>IFERROR(__xludf.DUMMYFUNCTION("""COMPUTED_VALUE"""),80.185211)</f>
        <v>80.185211</v>
      </c>
      <c r="F22235" s="4">
        <f>IFERROR(__xludf.DUMMYFUNCTION("""COMPUTED_VALUE"""),805.0)</f>
        <v>805</v>
      </c>
      <c r="G22235" s="4">
        <f>IFERROR(__xludf.DUMMYFUNCTION("""COMPUTED_VALUE"""),32.0)</f>
        <v>32</v>
      </c>
      <c r="H22235" s="4"/>
      <c r="I22235" s="4"/>
    </row>
    <row r="22236">
      <c r="A22236" s="4" t="str">
        <f>IFERROR(__xludf.DUMMYFUNCTION("""COMPUTED_VALUE"""),"cas_hmw")</f>
        <v>cas_hmw</v>
      </c>
      <c r="B22236" s="5">
        <f>IFERROR(__xludf.DUMMYFUNCTION("""COMPUTED_VALUE"""),44789.0)</f>
        <v>44789</v>
      </c>
      <c r="C22236" s="6">
        <f>IFERROR(__xludf.DUMMYFUNCTION("""COMPUTED_VALUE"""),0.3356134259265673)</f>
        <v>0.3356134259</v>
      </c>
      <c r="D22236" s="4">
        <f>IFERROR(__xludf.DUMMYFUNCTION("""COMPUTED_VALUE"""),12.950465)</f>
        <v>12.950465</v>
      </c>
      <c r="E22236" s="4">
        <f>IFERROR(__xludf.DUMMYFUNCTION("""COMPUTED_VALUE"""),80.139678)</f>
        <v>80.139678</v>
      </c>
      <c r="F22236" s="4">
        <f>IFERROR(__xludf.DUMMYFUNCTION("""COMPUTED_VALUE"""),5339.0)</f>
        <v>5339</v>
      </c>
      <c r="G22236" s="4">
        <f>IFERROR(__xludf.DUMMYFUNCTION("""COMPUTED_VALUE"""),20.0)</f>
        <v>20</v>
      </c>
      <c r="H22236" s="4"/>
      <c r="I22236" s="4"/>
    </row>
    <row r="22237">
      <c r="A22237" s="4" t="str">
        <f>IFERROR(__xludf.DUMMYFUNCTION("""COMPUTED_VALUE"""),"cas_hmw")</f>
        <v>cas_hmw</v>
      </c>
      <c r="B22237" s="5">
        <f>IFERROR(__xludf.DUMMYFUNCTION("""COMPUTED_VALUE"""),44789.0)</f>
        <v>44789</v>
      </c>
      <c r="C22237" s="6">
        <f>IFERROR(__xludf.DUMMYFUNCTION("""COMPUTED_VALUE"""),0.33562499999970896)</f>
        <v>0.335625</v>
      </c>
      <c r="D22237" s="4">
        <f>IFERROR(__xludf.DUMMYFUNCTION("""COMPUTED_VALUE"""),12.950465)</f>
        <v>12.950465</v>
      </c>
      <c r="E22237" s="4">
        <f>IFERROR(__xludf.DUMMYFUNCTION("""COMPUTED_VALUE"""),80.139678)</f>
        <v>80.139678</v>
      </c>
      <c r="F22237" s="4">
        <f>IFERROR(__xludf.DUMMYFUNCTION("""COMPUTED_VALUE"""),5339.0)</f>
        <v>5339</v>
      </c>
      <c r="G22237" s="4">
        <f>IFERROR(__xludf.DUMMYFUNCTION("""COMPUTED_VALUE"""),20.0)</f>
        <v>20</v>
      </c>
      <c r="H22237" s="4"/>
      <c r="I22237" s="4"/>
    </row>
    <row r="22238">
      <c r="A22238" s="4" t="str">
        <f>IFERROR(__xludf.DUMMYFUNCTION("""COMPUTED_VALUE"""),"cas_hmw")</f>
        <v>cas_hmw</v>
      </c>
      <c r="B22238" s="5">
        <f>IFERROR(__xludf.DUMMYFUNCTION("""COMPUTED_VALUE"""),44789.0)</f>
        <v>44789</v>
      </c>
      <c r="C22238" s="6">
        <f>IFERROR(__xludf.DUMMYFUNCTION("""COMPUTED_VALUE"""),0.3361226851848187)</f>
        <v>0.3361226852</v>
      </c>
      <c r="D22238" s="4">
        <f>IFERROR(__xludf.DUMMYFUNCTION("""COMPUTED_VALUE"""),12.947157)</f>
        <v>12.947157</v>
      </c>
      <c r="E22238" s="4">
        <f>IFERROR(__xludf.DUMMYFUNCTION("""COMPUTED_VALUE"""),80.137071)</f>
        <v>80.137071</v>
      </c>
      <c r="F22238" s="4">
        <f>IFERROR(__xludf.DUMMYFUNCTION("""COMPUTED_VALUE"""),5339.0)</f>
        <v>5339</v>
      </c>
      <c r="G22238" s="4">
        <f>IFERROR(__xludf.DUMMYFUNCTION("""COMPUTED_VALUE"""),50.0)</f>
        <v>50</v>
      </c>
      <c r="H22238" s="4"/>
      <c r="I22238" s="4"/>
    </row>
    <row r="22239">
      <c r="A22239" s="4" t="str">
        <f>IFERROR(__xludf.DUMMYFUNCTION("""COMPUTED_VALUE"""),"cas_hmw")</f>
        <v>cas_hmw</v>
      </c>
      <c r="B22239" s="5">
        <f>IFERROR(__xludf.DUMMYFUNCTION("""COMPUTED_VALUE"""),44789.0)</f>
        <v>44789</v>
      </c>
      <c r="C22239" s="6">
        <f>IFERROR(__xludf.DUMMYFUNCTION("""COMPUTED_VALUE"""),0.3361574074078817)</f>
        <v>0.3361574074</v>
      </c>
      <c r="D22239" s="4">
        <f>IFERROR(__xludf.DUMMYFUNCTION("""COMPUTED_VALUE"""),12.989192)</f>
        <v>12.989192</v>
      </c>
      <c r="E22239" s="4">
        <f>IFERROR(__xludf.DUMMYFUNCTION("""COMPUTED_VALUE"""),80.178646)</f>
        <v>80.178646</v>
      </c>
      <c r="F22239" s="4">
        <f>IFERROR(__xludf.DUMMYFUNCTION("""COMPUTED_VALUE"""),805.0)</f>
        <v>805</v>
      </c>
      <c r="G22239" s="4">
        <f>IFERROR(__xludf.DUMMYFUNCTION("""COMPUTED_VALUE"""),50.0)</f>
        <v>50</v>
      </c>
      <c r="H22239" s="4"/>
      <c r="I22239" s="4"/>
    </row>
    <row r="22240">
      <c r="A22240" s="4" t="str">
        <f>IFERROR(__xludf.DUMMYFUNCTION("""COMPUTED_VALUE"""),"cas_hmw")</f>
        <v>cas_hmw</v>
      </c>
      <c r="B22240" s="5">
        <f>IFERROR(__xludf.DUMMYFUNCTION("""COMPUTED_VALUE"""),44789.0)</f>
        <v>44789</v>
      </c>
      <c r="C22240" s="6">
        <f>IFERROR(__xludf.DUMMYFUNCTION("""COMPUTED_VALUE"""),0.33625000000029104)</f>
        <v>0.33625</v>
      </c>
      <c r="D22240" s="4">
        <f>IFERROR(__xludf.DUMMYFUNCTION("""COMPUTED_VALUE"""),12.989192)</f>
        <v>12.989192</v>
      </c>
      <c r="E22240" s="4">
        <f>IFERROR(__xludf.DUMMYFUNCTION("""COMPUTED_VALUE"""),80.178646)</f>
        <v>80.178646</v>
      </c>
      <c r="F22240" s="4">
        <f>IFERROR(__xludf.DUMMYFUNCTION("""COMPUTED_VALUE"""),805.0)</f>
        <v>805</v>
      </c>
      <c r="G22240" s="4">
        <f>IFERROR(__xludf.DUMMYFUNCTION("""COMPUTED_VALUE"""),50.0)</f>
        <v>50</v>
      </c>
      <c r="H22240" s="4"/>
      <c r="I22240" s="4"/>
    </row>
    <row r="22241">
      <c r="A22241" s="4" t="str">
        <f>IFERROR(__xludf.DUMMYFUNCTION("""COMPUTED_VALUE"""),"cas_hmw")</f>
        <v>cas_hmw</v>
      </c>
      <c r="B22241" s="5">
        <f>IFERROR(__xludf.DUMMYFUNCTION("""COMPUTED_VALUE"""),44789.0)</f>
        <v>44789</v>
      </c>
      <c r="C22241" s="6">
        <f>IFERROR(__xludf.DUMMYFUNCTION("""COMPUTED_VALUE"""),0.3363773148157634)</f>
        <v>0.3363773148</v>
      </c>
      <c r="D22241" s="4">
        <f>IFERROR(__xludf.DUMMYFUNCTION("""COMPUTED_VALUE"""),12.987891)</f>
        <v>12.987891</v>
      </c>
      <c r="E22241" s="4">
        <f>IFERROR(__xludf.DUMMYFUNCTION("""COMPUTED_VALUE"""),80.176883)</f>
        <v>80.176883</v>
      </c>
      <c r="F22241" s="4">
        <f>IFERROR(__xludf.DUMMYFUNCTION("""COMPUTED_VALUE"""),805.0)</f>
        <v>805</v>
      </c>
      <c r="G22241" s="4">
        <f>IFERROR(__xludf.DUMMYFUNCTION("""COMPUTED_VALUE"""),37.0)</f>
        <v>37</v>
      </c>
      <c r="H22241" s="4"/>
      <c r="I22241" s="4"/>
    </row>
    <row r="22242">
      <c r="A22242" s="4" t="str">
        <f>IFERROR(__xludf.DUMMYFUNCTION("""COMPUTED_VALUE"""),"cas_hmw")</f>
        <v>cas_hmw</v>
      </c>
      <c r="B22242" s="5">
        <f>IFERROR(__xludf.DUMMYFUNCTION("""COMPUTED_VALUE"""),44789.0)</f>
        <v>44789</v>
      </c>
      <c r="C22242" s="6">
        <f>IFERROR(__xludf.DUMMYFUNCTION("""COMPUTED_VALUE"""),0.33646990740817273)</f>
        <v>0.3364699074</v>
      </c>
      <c r="D22242" s="4">
        <f>IFERROR(__xludf.DUMMYFUNCTION("""COMPUTED_VALUE"""),12.987891)</f>
        <v>12.987891</v>
      </c>
      <c r="E22242" s="4">
        <f>IFERROR(__xludf.DUMMYFUNCTION("""COMPUTED_VALUE"""),80.176883)</f>
        <v>80.176883</v>
      </c>
      <c r="F22242" s="4">
        <f>IFERROR(__xludf.DUMMYFUNCTION("""COMPUTED_VALUE"""),805.0)</f>
        <v>805</v>
      </c>
      <c r="G22242" s="4">
        <f>IFERROR(__xludf.DUMMYFUNCTION("""COMPUTED_VALUE"""),37.0)</f>
        <v>37</v>
      </c>
      <c r="H22242" s="4"/>
      <c r="I22242" s="4"/>
    </row>
    <row r="22243">
      <c r="A22243" s="4" t="str">
        <f>IFERROR(__xludf.DUMMYFUNCTION("""COMPUTED_VALUE"""),"cas_hmw")</f>
        <v>cas_hmw</v>
      </c>
      <c r="B22243" s="5">
        <f>IFERROR(__xludf.DUMMYFUNCTION("""COMPUTED_VALUE"""),44789.0)</f>
        <v>44789</v>
      </c>
      <c r="C22243" s="6">
        <f>IFERROR(__xludf.DUMMYFUNCTION("""COMPUTED_VALUE"""),0.3366203703699284)</f>
        <v>0.3366203704</v>
      </c>
      <c r="D22243" s="4">
        <f>IFERROR(__xludf.DUMMYFUNCTION("""COMPUTED_VALUE"""),12.943268)</f>
        <v>12.943268</v>
      </c>
      <c r="E22243" s="4">
        <f>IFERROR(__xludf.DUMMYFUNCTION("""COMPUTED_VALUE"""),80.133977)</f>
        <v>80.133977</v>
      </c>
      <c r="F22243" s="4">
        <f>IFERROR(__xludf.DUMMYFUNCTION("""COMPUTED_VALUE"""),5339.0)</f>
        <v>5339</v>
      </c>
      <c r="G22243" s="4">
        <f>IFERROR(__xludf.DUMMYFUNCTION("""COMPUTED_VALUE"""),50.0)</f>
        <v>50</v>
      </c>
      <c r="H22243" s="4"/>
      <c r="I22243" s="4"/>
    </row>
    <row r="22244">
      <c r="A22244" s="4" t="str">
        <f>IFERROR(__xludf.DUMMYFUNCTION("""COMPUTED_VALUE"""),"cas_hmw")</f>
        <v>cas_hmw</v>
      </c>
      <c r="B22244" s="5">
        <f>IFERROR(__xludf.DUMMYFUNCTION("""COMPUTED_VALUE"""),44789.0)</f>
        <v>44789</v>
      </c>
      <c r="C22244" s="6">
        <f>IFERROR(__xludf.DUMMYFUNCTION("""COMPUTED_VALUE"""),0.3366550925929914)</f>
        <v>0.3366550926</v>
      </c>
      <c r="D22244" s="4">
        <f>IFERROR(__xludf.DUMMYFUNCTION("""COMPUTED_VALUE"""),12.94242)</f>
        <v>12.94242</v>
      </c>
      <c r="E22244" s="4">
        <f>IFERROR(__xludf.DUMMYFUNCTION("""COMPUTED_VALUE"""),80.133114)</f>
        <v>80.133114</v>
      </c>
      <c r="F22244" s="4">
        <f>IFERROR(__xludf.DUMMYFUNCTION("""COMPUTED_VALUE"""),5339.0)</f>
        <v>5339</v>
      </c>
      <c r="G22244" s="4">
        <f>IFERROR(__xludf.DUMMYFUNCTION("""COMPUTED_VALUE"""),41.0)</f>
        <v>41</v>
      </c>
      <c r="H22244" s="4"/>
      <c r="I22244" s="4"/>
    </row>
    <row r="22245">
      <c r="A22245" s="4" t="str">
        <f>IFERROR(__xludf.DUMMYFUNCTION("""COMPUTED_VALUE"""),"cas_hmw")</f>
        <v>cas_hmw</v>
      </c>
      <c r="B22245" s="5">
        <f>IFERROR(__xludf.DUMMYFUNCTION("""COMPUTED_VALUE"""),44789.0)</f>
        <v>44789</v>
      </c>
      <c r="C22245" s="6">
        <f>IFERROR(__xludf.DUMMYFUNCTION("""COMPUTED_VALUE"""),0.33715277777810115)</f>
        <v>0.3371527778</v>
      </c>
      <c r="D22245" s="4">
        <f>IFERROR(__xludf.DUMMYFUNCTION("""COMPUTED_VALUE"""),12.986546)</f>
        <v>12.986546</v>
      </c>
      <c r="E22245" s="4">
        <f>IFERROR(__xludf.DUMMYFUNCTION("""COMPUTED_VALUE"""),80.174994)</f>
        <v>80.174994</v>
      </c>
      <c r="F22245" s="4">
        <f>IFERROR(__xludf.DUMMYFUNCTION("""COMPUTED_VALUE"""),805.0)</f>
        <v>805</v>
      </c>
      <c r="G22245" s="4">
        <f>IFERROR(__xludf.DUMMYFUNCTION("""COMPUTED_VALUE"""),20.0)</f>
        <v>20</v>
      </c>
      <c r="H22245" s="4"/>
      <c r="I22245" s="4"/>
    </row>
    <row r="22246">
      <c r="A22246" s="4" t="str">
        <f>IFERROR(__xludf.DUMMYFUNCTION("""COMPUTED_VALUE"""),"cas_hmw")</f>
        <v>cas_hmw</v>
      </c>
      <c r="B22246" s="5">
        <f>IFERROR(__xludf.DUMMYFUNCTION("""COMPUTED_VALUE"""),44789.0)</f>
        <v>44789</v>
      </c>
      <c r="C22246" s="6">
        <f>IFERROR(__xludf.DUMMYFUNCTION("""COMPUTED_VALUE"""),0.33733796296291985)</f>
        <v>0.337337963</v>
      </c>
      <c r="D22246" s="4">
        <f>IFERROR(__xludf.DUMMYFUNCTION("""COMPUTED_VALUE"""),12.938716)</f>
        <v>12.938716</v>
      </c>
      <c r="E22246" s="4">
        <f>IFERROR(__xludf.DUMMYFUNCTION("""COMPUTED_VALUE"""),80.129432)</f>
        <v>80.129432</v>
      </c>
      <c r="F22246" s="4">
        <f>IFERROR(__xludf.DUMMYFUNCTION("""COMPUTED_VALUE"""),5339.0)</f>
        <v>5339</v>
      </c>
      <c r="G22246" s="4">
        <f>IFERROR(__xludf.DUMMYFUNCTION("""COMPUTED_VALUE"""),33.0)</f>
        <v>33</v>
      </c>
      <c r="H22246" s="4"/>
      <c r="I22246" s="4"/>
    </row>
    <row r="22247">
      <c r="A22247" s="4" t="str">
        <f>IFERROR(__xludf.DUMMYFUNCTION("""COMPUTED_VALUE"""),"cas_hmw")</f>
        <v>cas_hmw</v>
      </c>
      <c r="B22247" s="5">
        <f>IFERROR(__xludf.DUMMYFUNCTION("""COMPUTED_VALUE"""),44789.0)</f>
        <v>44789</v>
      </c>
      <c r="C22247" s="6">
        <f>IFERROR(__xludf.DUMMYFUNCTION("""COMPUTED_VALUE"""),0.3376041666670062)</f>
        <v>0.3376041667</v>
      </c>
      <c r="D22247" s="4">
        <f>IFERROR(__xludf.DUMMYFUNCTION("""COMPUTED_VALUE"""),12.984028)</f>
        <v>12.984028</v>
      </c>
      <c r="E22247" s="4">
        <f>IFERROR(__xludf.DUMMYFUNCTION("""COMPUTED_VALUE"""),80.171142)</f>
        <v>80.171142</v>
      </c>
      <c r="F22247" s="4">
        <f>IFERROR(__xludf.DUMMYFUNCTION("""COMPUTED_VALUE"""),805.0)</f>
        <v>805</v>
      </c>
      <c r="G22247" s="4">
        <f>IFERROR(__xludf.DUMMYFUNCTION("""COMPUTED_VALUE"""),58.0)</f>
        <v>58</v>
      </c>
      <c r="H22247" s="4"/>
      <c r="I22247" s="4"/>
    </row>
    <row r="22248">
      <c r="A22248" s="4" t="str">
        <f>IFERROR(__xludf.DUMMYFUNCTION("""COMPUTED_VALUE"""),"cas_hmw")</f>
        <v>cas_hmw</v>
      </c>
      <c r="B22248" s="5">
        <f>IFERROR(__xludf.DUMMYFUNCTION("""COMPUTED_VALUE"""),44789.0)</f>
        <v>44789</v>
      </c>
      <c r="C22248" s="6">
        <f>IFERROR(__xludf.DUMMYFUNCTION("""COMPUTED_VALUE"""),0.3379976851865649)</f>
        <v>0.3379976852</v>
      </c>
      <c r="D22248" s="4">
        <f>IFERROR(__xludf.DUMMYFUNCTION("""COMPUTED_VALUE"""),12.981737)</f>
        <v>12.981737</v>
      </c>
      <c r="E22248" s="4">
        <f>IFERROR(__xludf.DUMMYFUNCTION("""COMPUTED_VALUE"""),80.167325)</f>
        <v>80.167325</v>
      </c>
      <c r="F22248" s="4">
        <f>IFERROR(__xludf.DUMMYFUNCTION("""COMPUTED_VALUE"""),805.0)</f>
        <v>805</v>
      </c>
      <c r="G22248" s="4">
        <f>IFERROR(__xludf.DUMMYFUNCTION("""COMPUTED_VALUE"""),58.0)</f>
        <v>58</v>
      </c>
      <c r="H22248" s="4"/>
      <c r="I22248" s="4"/>
    </row>
    <row r="22249">
      <c r="A22249" s="4" t="str">
        <f>IFERROR(__xludf.DUMMYFUNCTION("""COMPUTED_VALUE"""),"cas_hmw")</f>
        <v>cas_hmw</v>
      </c>
      <c r="B22249" s="5">
        <f>IFERROR(__xludf.DUMMYFUNCTION("""COMPUTED_VALUE"""),44789.0)</f>
        <v>44789</v>
      </c>
      <c r="C22249" s="6">
        <f>IFERROR(__xludf.DUMMYFUNCTION("""COMPUTED_VALUE"""),0.3383333333331393)</f>
        <v>0.3383333333</v>
      </c>
      <c r="D22249" s="4">
        <f>IFERROR(__xludf.DUMMYFUNCTION("""COMPUTED_VALUE"""),12.979999)</f>
        <v>12.979999</v>
      </c>
      <c r="E22249" s="4">
        <f>IFERROR(__xludf.DUMMYFUNCTION("""COMPUTED_VALUE"""),80.163418)</f>
        <v>80.163418</v>
      </c>
      <c r="F22249" s="4">
        <f>IFERROR(__xludf.DUMMYFUNCTION("""COMPUTED_VALUE"""),805.0)</f>
        <v>805</v>
      </c>
      <c r="G22249" s="4">
        <f>IFERROR(__xludf.DUMMYFUNCTION("""COMPUTED_VALUE"""),54.0)</f>
        <v>54</v>
      </c>
      <c r="H22249" s="4"/>
      <c r="I22249" s="4"/>
    </row>
    <row r="22250">
      <c r="A22250" s="4" t="str">
        <f>IFERROR(__xludf.DUMMYFUNCTION("""COMPUTED_VALUE"""),"cas_hmw")</f>
        <v>cas_hmw</v>
      </c>
      <c r="B22250" s="5">
        <f>IFERROR(__xludf.DUMMYFUNCTION("""COMPUTED_VALUE"""),44789.0)</f>
        <v>44789</v>
      </c>
      <c r="C22250" s="6">
        <f>IFERROR(__xludf.DUMMYFUNCTION("""COMPUTED_VALUE"""),0.3387037037027767)</f>
        <v>0.3387037037</v>
      </c>
      <c r="D22250" s="4">
        <f>IFERROR(__xludf.DUMMYFUNCTION("""COMPUTED_VALUE"""),12.976892)</f>
        <v>12.976892</v>
      </c>
      <c r="E22250" s="4">
        <f>IFERROR(__xludf.DUMMYFUNCTION("""COMPUTED_VALUE"""),80.158498)</f>
        <v>80.158498</v>
      </c>
      <c r="F22250" s="4">
        <f>IFERROR(__xludf.DUMMYFUNCTION("""COMPUTED_VALUE"""),805.0)</f>
        <v>805</v>
      </c>
      <c r="G22250" s="4">
        <f>IFERROR(__xludf.DUMMYFUNCTION("""COMPUTED_VALUE"""),58.0)</f>
        <v>58</v>
      </c>
      <c r="H22250" s="4"/>
      <c r="I22250" s="4"/>
    </row>
    <row r="22251">
      <c r="A22251" s="4" t="str">
        <f>IFERROR(__xludf.DUMMYFUNCTION("""COMPUTED_VALUE"""),"cas_hmw")</f>
        <v>cas_hmw</v>
      </c>
      <c r="B22251" s="5">
        <f>IFERROR(__xludf.DUMMYFUNCTION("""COMPUTED_VALUE"""),44789.0)</f>
        <v>44789</v>
      </c>
      <c r="C22251" s="6">
        <f>IFERROR(__xludf.DUMMYFUNCTION("""COMPUTED_VALUE"""),0.3388425925913907)</f>
        <v>0.3388425926</v>
      </c>
      <c r="D22251" s="4">
        <f>IFERROR(__xludf.DUMMYFUNCTION("""COMPUTED_VALUE"""),12.976121)</f>
        <v>12.976121</v>
      </c>
      <c r="E22251" s="4">
        <f>IFERROR(__xludf.DUMMYFUNCTION("""COMPUTED_VALUE"""),80.157248)</f>
        <v>80.157248</v>
      </c>
      <c r="F22251" s="4">
        <f>IFERROR(__xludf.DUMMYFUNCTION("""COMPUTED_VALUE"""),805.0)</f>
        <v>805</v>
      </c>
      <c r="G22251" s="4">
        <f>IFERROR(__xludf.DUMMYFUNCTION("""COMPUTED_VALUE"""),58.0)</f>
        <v>58</v>
      </c>
      <c r="H22251" s="4"/>
      <c r="I22251" s="4"/>
    </row>
    <row r="22252">
      <c r="A22252" s="4" t="str">
        <f>IFERROR(__xludf.DUMMYFUNCTION("""COMPUTED_VALUE"""),"cas_hmw")</f>
        <v>cas_hmw</v>
      </c>
      <c r="B22252" s="5">
        <f>IFERROR(__xludf.DUMMYFUNCTION("""COMPUTED_VALUE"""),44789.0)</f>
        <v>44789</v>
      </c>
      <c r="C22252" s="6">
        <f>IFERROR(__xludf.DUMMYFUNCTION("""COMPUTED_VALUE"""),0.3390624999992724)</f>
        <v>0.3390625</v>
      </c>
      <c r="D22252" s="4">
        <f>IFERROR(__xludf.DUMMYFUNCTION("""COMPUTED_VALUE"""),12.975424)</f>
        <v>12.975424</v>
      </c>
      <c r="E22252" s="4">
        <f>IFERROR(__xludf.DUMMYFUNCTION("""COMPUTED_VALUE"""),80.156245)</f>
        <v>80.156245</v>
      </c>
      <c r="F22252" s="4">
        <f>IFERROR(__xludf.DUMMYFUNCTION("""COMPUTED_VALUE"""),805.0)</f>
        <v>805</v>
      </c>
      <c r="G22252" s="4">
        <f>IFERROR(__xludf.DUMMYFUNCTION("""COMPUTED_VALUE"""),44.0)</f>
        <v>44</v>
      </c>
      <c r="H22252" s="4"/>
      <c r="I22252" s="4"/>
    </row>
    <row r="22253">
      <c r="A22253" s="4" t="str">
        <f>IFERROR(__xludf.DUMMYFUNCTION("""COMPUTED_VALUE"""),"cas_hmw")</f>
        <v>cas_hmw</v>
      </c>
      <c r="B22253" s="5">
        <f>IFERROR(__xludf.DUMMYFUNCTION("""COMPUTED_VALUE"""),44789.0)</f>
        <v>44789</v>
      </c>
      <c r="C22253" s="6">
        <f>IFERROR(__xludf.DUMMYFUNCTION("""COMPUTED_VALUE"""),0.3390740740724141)</f>
        <v>0.3390740741</v>
      </c>
      <c r="D22253" s="4">
        <f>IFERROR(__xludf.DUMMYFUNCTION("""COMPUTED_VALUE"""),12.975424)</f>
        <v>12.975424</v>
      </c>
      <c r="E22253" s="4">
        <f>IFERROR(__xludf.DUMMYFUNCTION("""COMPUTED_VALUE"""),80.156245)</f>
        <v>80.156245</v>
      </c>
      <c r="F22253" s="4">
        <f>IFERROR(__xludf.DUMMYFUNCTION("""COMPUTED_VALUE"""),805.0)</f>
        <v>805</v>
      </c>
      <c r="G22253" s="4">
        <f>IFERROR(__xludf.DUMMYFUNCTION("""COMPUTED_VALUE"""),44.0)</f>
        <v>44</v>
      </c>
      <c r="H22253" s="4"/>
      <c r="I22253" s="4"/>
    </row>
    <row r="22254">
      <c r="A22254" s="4" t="str">
        <f>IFERROR(__xludf.DUMMYFUNCTION("""COMPUTED_VALUE"""),"cas_hmw")</f>
        <v>cas_hmw</v>
      </c>
      <c r="B22254" s="5">
        <f>IFERROR(__xludf.DUMMYFUNCTION("""COMPUTED_VALUE"""),44789.0)</f>
        <v>44789</v>
      </c>
      <c r="C22254" s="6">
        <f>IFERROR(__xludf.DUMMYFUNCTION("""COMPUTED_VALUE"""),0.33925925926087075)</f>
        <v>0.3392592593</v>
      </c>
      <c r="D22254" s="4">
        <f>IFERROR(__xludf.DUMMYFUNCTION("""COMPUTED_VALUE"""),12.974458)</f>
        <v>12.974458</v>
      </c>
      <c r="E22254" s="4">
        <f>IFERROR(__xludf.DUMMYFUNCTION("""COMPUTED_VALUE"""),80.15494)</f>
        <v>80.15494</v>
      </c>
      <c r="F22254" s="4">
        <f>IFERROR(__xludf.DUMMYFUNCTION("""COMPUTED_VALUE"""),805.0)</f>
        <v>805</v>
      </c>
      <c r="G22254" s="4">
        <f>IFERROR(__xludf.DUMMYFUNCTION("""COMPUTED_VALUE"""),26.0)</f>
        <v>26</v>
      </c>
      <c r="H22254" s="4"/>
      <c r="I22254" s="4"/>
    </row>
    <row r="22255">
      <c r="A22255" s="4" t="str">
        <f>IFERROR(__xludf.DUMMYFUNCTION("""COMPUTED_VALUE"""),"cas_hmw")</f>
        <v>cas_hmw</v>
      </c>
      <c r="B22255" s="5">
        <f>IFERROR(__xludf.DUMMYFUNCTION("""COMPUTED_VALUE"""),44789.0)</f>
        <v>44789</v>
      </c>
      <c r="C22255" s="6">
        <f>IFERROR(__xludf.DUMMYFUNCTION("""COMPUTED_VALUE"""),0.3393055555570754)</f>
        <v>0.3393055556</v>
      </c>
      <c r="D22255" s="4">
        <f>IFERROR(__xludf.DUMMYFUNCTION("""COMPUTED_VALUE"""),12.974075)</f>
        <v>12.974075</v>
      </c>
      <c r="E22255" s="4">
        <f>IFERROR(__xludf.DUMMYFUNCTION("""COMPUTED_VALUE"""),80.154364)</f>
        <v>80.154364</v>
      </c>
      <c r="F22255" s="4">
        <f>IFERROR(__xludf.DUMMYFUNCTION("""COMPUTED_VALUE"""),805.0)</f>
        <v>805</v>
      </c>
      <c r="G22255" s="4">
        <f>IFERROR(__xludf.DUMMYFUNCTION("""COMPUTED_VALUE"""),30.0)</f>
        <v>30</v>
      </c>
      <c r="H22255" s="4"/>
      <c r="I22255" s="4"/>
    </row>
    <row r="22256">
      <c r="A22256" s="4" t="str">
        <f>IFERROR(__xludf.DUMMYFUNCTION("""COMPUTED_VALUE"""),"cas_hmw")</f>
        <v>cas_hmw</v>
      </c>
      <c r="B22256" s="5">
        <f>IFERROR(__xludf.DUMMYFUNCTION("""COMPUTED_VALUE"""),44789.0)</f>
        <v>44789</v>
      </c>
      <c r="C22256" s="6">
        <f>IFERROR(__xludf.DUMMYFUNCTION("""COMPUTED_VALUE"""),0.3397916666654055)</f>
        <v>0.3397916667</v>
      </c>
      <c r="D22256" s="4">
        <f>IFERROR(__xludf.DUMMYFUNCTION("""COMPUTED_VALUE"""),12.971799)</f>
        <v>12.971799</v>
      </c>
      <c r="E22256" s="4">
        <f>IFERROR(__xludf.DUMMYFUNCTION("""COMPUTED_VALUE"""),80.151342)</f>
        <v>80.151342</v>
      </c>
      <c r="F22256" s="4">
        <f>IFERROR(__xludf.DUMMYFUNCTION("""COMPUTED_VALUE"""),805.0)</f>
        <v>805</v>
      </c>
      <c r="G22256" s="4">
        <f>IFERROR(__xludf.DUMMYFUNCTION("""COMPUTED_VALUE"""),25.0)</f>
        <v>25</v>
      </c>
      <c r="H22256" s="4"/>
      <c r="I22256" s="4"/>
    </row>
    <row r="22257">
      <c r="A22257" s="4" t="str">
        <f>IFERROR(__xludf.DUMMYFUNCTION("""COMPUTED_VALUE"""),"cas_hmw")</f>
        <v>cas_hmw</v>
      </c>
      <c r="B22257" s="5">
        <f>IFERROR(__xludf.DUMMYFUNCTION("""COMPUTED_VALUE"""),44789.0)</f>
        <v>44789</v>
      </c>
      <c r="C22257" s="6">
        <f>IFERROR(__xludf.DUMMYFUNCTION("""COMPUTED_VALUE"""),0.3401851851849642)</f>
        <v>0.3401851852</v>
      </c>
      <c r="D22257" s="4">
        <f>IFERROR(__xludf.DUMMYFUNCTION("""COMPUTED_VALUE"""),12.969414)</f>
        <v>12.969414</v>
      </c>
      <c r="E22257" s="4">
        <f>IFERROR(__xludf.DUMMYFUNCTION("""COMPUTED_VALUE"""),80.150148)</f>
        <v>80.150148</v>
      </c>
      <c r="F22257" s="4">
        <f>IFERROR(__xludf.DUMMYFUNCTION("""COMPUTED_VALUE"""),805.0)</f>
        <v>805</v>
      </c>
      <c r="G22257" s="4">
        <f>IFERROR(__xludf.DUMMYFUNCTION("""COMPUTED_VALUE"""),37.0)</f>
        <v>37</v>
      </c>
      <c r="H22257" s="4"/>
      <c r="I22257" s="4"/>
    </row>
    <row r="22258">
      <c r="A22258" s="4" t="str">
        <f>IFERROR(__xludf.DUMMYFUNCTION("""COMPUTED_VALUE"""),"cas_hmw")</f>
        <v>cas_hmw</v>
      </c>
      <c r="B22258" s="5">
        <f>IFERROR(__xludf.DUMMYFUNCTION("""COMPUTED_VALUE"""),44789.0)</f>
        <v>44789</v>
      </c>
      <c r="C22258" s="6">
        <f>IFERROR(__xludf.DUMMYFUNCTION("""COMPUTED_VALUE"""),0.3402546296310902)</f>
        <v>0.3402546296</v>
      </c>
      <c r="D22258" s="4">
        <f>IFERROR(__xludf.DUMMYFUNCTION("""COMPUTED_VALUE"""),12.828652)</f>
        <v>12.828652</v>
      </c>
      <c r="E22258" s="4">
        <f>IFERROR(__xludf.DUMMYFUNCTION("""COMPUTED_VALUE"""),80.043471)</f>
        <v>80.043471</v>
      </c>
      <c r="F22258" s="4">
        <f>IFERROR(__xludf.DUMMYFUNCTION("""COMPUTED_VALUE"""),2846.0)</f>
        <v>2846</v>
      </c>
      <c r="G22258" s="4">
        <f>IFERROR(__xludf.DUMMYFUNCTION("""COMPUTED_VALUE"""),58.0)</f>
        <v>58</v>
      </c>
      <c r="H22258" s="4"/>
      <c r="I22258" s="4"/>
    </row>
    <row r="22259">
      <c r="A22259" s="4" t="str">
        <f>IFERROR(__xludf.DUMMYFUNCTION("""COMPUTED_VALUE"""),"cas_hmw")</f>
        <v>cas_hmw</v>
      </c>
      <c r="B22259" s="5">
        <f>IFERROR(__xludf.DUMMYFUNCTION("""COMPUTED_VALUE"""),44789.0)</f>
        <v>44789</v>
      </c>
      <c r="C22259" s="6">
        <f>IFERROR(__xludf.DUMMYFUNCTION("""COMPUTED_VALUE"""),0.34032407407357823)</f>
        <v>0.3403240741</v>
      </c>
      <c r="D22259" s="4">
        <f>IFERROR(__xludf.DUMMYFUNCTION("""COMPUTED_VALUE"""),12.921522)</f>
        <v>12.921522</v>
      </c>
      <c r="E22259" s="4">
        <f>IFERROR(__xludf.DUMMYFUNCTION("""COMPUTED_VALUE"""),80.11273)</f>
        <v>80.11273</v>
      </c>
      <c r="F22259" s="4">
        <f>IFERROR(__xludf.DUMMYFUNCTION("""COMPUTED_VALUE"""),5339.0)</f>
        <v>5339</v>
      </c>
      <c r="G22259" s="4">
        <f>IFERROR(__xludf.DUMMYFUNCTION("""COMPUTED_VALUE"""),51.0)</f>
        <v>51</v>
      </c>
      <c r="H22259" s="4"/>
      <c r="I22259" s="4"/>
    </row>
    <row r="22260">
      <c r="A22260" s="4" t="str">
        <f>IFERROR(__xludf.DUMMYFUNCTION("""COMPUTED_VALUE"""),"cas_hmw")</f>
        <v>cas_hmw</v>
      </c>
      <c r="B22260" s="5">
        <f>IFERROR(__xludf.DUMMYFUNCTION("""COMPUTED_VALUE"""),44789.0)</f>
        <v>44789</v>
      </c>
      <c r="C22260" s="6">
        <f>IFERROR(__xludf.DUMMYFUNCTION("""COMPUTED_VALUE"""),0.34075231481619994)</f>
        <v>0.3407523148</v>
      </c>
      <c r="D22260" s="4">
        <f>IFERROR(__xludf.DUMMYFUNCTION("""COMPUTED_VALUE"""),12.966364)</f>
        <v>12.966364</v>
      </c>
      <c r="E22260" s="4">
        <f>IFERROR(__xludf.DUMMYFUNCTION("""COMPUTED_VALUE"""),80.148764)</f>
        <v>80.148764</v>
      </c>
      <c r="F22260" s="4">
        <f>IFERROR(__xludf.DUMMYFUNCTION("""COMPUTED_VALUE"""),805.0)</f>
        <v>805</v>
      </c>
      <c r="G22260" s="4">
        <f>IFERROR(__xludf.DUMMYFUNCTION("""COMPUTED_VALUE"""),28.0)</f>
        <v>28</v>
      </c>
      <c r="H22260" s="4"/>
      <c r="I22260" s="4"/>
    </row>
    <row r="22261">
      <c r="A22261" s="4" t="str">
        <f>IFERROR(__xludf.DUMMYFUNCTION("""COMPUTED_VALUE"""),"cas_hmw")</f>
        <v>cas_hmw</v>
      </c>
      <c r="B22261" s="5">
        <f>IFERROR(__xludf.DUMMYFUNCTION("""COMPUTED_VALUE"""),44789.0)</f>
        <v>44789</v>
      </c>
      <c r="C22261" s="6">
        <f>IFERROR(__xludf.DUMMYFUNCTION("""COMPUTED_VALUE"""),0.3409143518510973)</f>
        <v>0.3409143519</v>
      </c>
      <c r="D22261" s="4">
        <f>IFERROR(__xludf.DUMMYFUNCTION("""COMPUTED_VALUE"""),12.964637)</f>
        <v>12.964637</v>
      </c>
      <c r="E22261" s="4">
        <f>IFERROR(__xludf.DUMMYFUNCTION("""COMPUTED_VALUE"""),80.147835)</f>
        <v>80.147835</v>
      </c>
      <c r="F22261" s="4">
        <f>IFERROR(__xludf.DUMMYFUNCTION("""COMPUTED_VALUE"""),805.0)</f>
        <v>805</v>
      </c>
      <c r="G22261" s="4">
        <f>IFERROR(__xludf.DUMMYFUNCTION("""COMPUTED_VALUE"""),43.0)</f>
        <v>43</v>
      </c>
      <c r="H22261" s="4"/>
      <c r="I22261" s="4"/>
    </row>
    <row r="22262">
      <c r="A22262" s="4" t="str">
        <f>IFERROR(__xludf.DUMMYFUNCTION("""COMPUTED_VALUE"""),"cas_hmw")</f>
        <v>cas_hmw</v>
      </c>
      <c r="B22262" s="5">
        <f>IFERROR(__xludf.DUMMYFUNCTION("""COMPUTED_VALUE"""),44789.0)</f>
        <v>44789</v>
      </c>
      <c r="C22262" s="6">
        <f>IFERROR(__xludf.DUMMYFUNCTION("""COMPUTED_VALUE"""),0.3414583333324117)</f>
        <v>0.3414583333</v>
      </c>
      <c r="D22262" s="4">
        <f>IFERROR(__xludf.DUMMYFUNCTION("""COMPUTED_VALUE"""),12.959736)</f>
        <v>12.959736</v>
      </c>
      <c r="E22262" s="4">
        <f>IFERROR(__xludf.DUMMYFUNCTION("""COMPUTED_VALUE"""),80.145154)</f>
        <v>80.145154</v>
      </c>
      <c r="F22262" s="4">
        <f>IFERROR(__xludf.DUMMYFUNCTION("""COMPUTED_VALUE"""),805.0)</f>
        <v>805</v>
      </c>
      <c r="G22262" s="4">
        <f>IFERROR(__xludf.DUMMYFUNCTION("""COMPUTED_VALUE"""),51.0)</f>
        <v>51</v>
      </c>
      <c r="H22262" s="4"/>
      <c r="I22262" s="4"/>
    </row>
    <row r="22263">
      <c r="A22263" s="4" t="str">
        <f>IFERROR(__xludf.DUMMYFUNCTION("""COMPUTED_VALUE"""),"cas_hmw")</f>
        <v>cas_hmw</v>
      </c>
      <c r="B22263" s="5">
        <f>IFERROR(__xludf.DUMMYFUNCTION("""COMPUTED_VALUE"""),44789.0)</f>
        <v>44789</v>
      </c>
      <c r="C22263" s="6">
        <f>IFERROR(__xludf.DUMMYFUNCTION("""COMPUTED_VALUE"""),0.3416087962978054)</f>
        <v>0.3416087963</v>
      </c>
      <c r="D22263" s="4">
        <f>IFERROR(__xludf.DUMMYFUNCTION("""COMPUTED_VALUE"""),12.957816)</f>
        <v>12.957816</v>
      </c>
      <c r="E22263" s="4">
        <f>IFERROR(__xludf.DUMMYFUNCTION("""COMPUTED_VALUE"""),80.144092)</f>
        <v>80.144092</v>
      </c>
      <c r="F22263" s="4">
        <f>IFERROR(__xludf.DUMMYFUNCTION("""COMPUTED_VALUE"""),805.0)</f>
        <v>805</v>
      </c>
      <c r="G22263" s="4">
        <f>IFERROR(__xludf.DUMMYFUNCTION("""COMPUTED_VALUE"""),32.0)</f>
        <v>32</v>
      </c>
      <c r="H22263" s="4"/>
      <c r="I22263" s="4"/>
    </row>
    <row r="22264">
      <c r="A22264" s="4" t="str">
        <f>IFERROR(__xludf.DUMMYFUNCTION("""COMPUTED_VALUE"""),"cas_hmw")</f>
        <v>cas_hmw</v>
      </c>
      <c r="B22264" s="5">
        <f>IFERROR(__xludf.DUMMYFUNCTION("""COMPUTED_VALUE"""),44789.0)</f>
        <v>44789</v>
      </c>
      <c r="C22264" s="6">
        <f>IFERROR(__xludf.DUMMYFUNCTION("""COMPUTED_VALUE"""),0.34165509259401006)</f>
        <v>0.3416550926</v>
      </c>
      <c r="D22264" s="4">
        <f>IFERROR(__xludf.DUMMYFUNCTION("""COMPUTED_VALUE"""),12.922091)</f>
        <v>12.922091</v>
      </c>
      <c r="E22264" s="4">
        <f>IFERROR(__xludf.DUMMYFUNCTION("""COMPUTED_VALUE"""),80.16389)</f>
        <v>80.16389</v>
      </c>
      <c r="F22264" s="4">
        <f>IFERROR(__xludf.DUMMYFUNCTION("""COMPUTED_VALUE"""),3143.0)</f>
        <v>3143</v>
      </c>
      <c r="G22264" s="4">
        <f>IFERROR(__xludf.DUMMYFUNCTION("""COMPUTED_VALUE"""),33.0)</f>
        <v>33</v>
      </c>
      <c r="H22264" s="4"/>
      <c r="I22264" s="4"/>
    </row>
    <row r="22265">
      <c r="A22265" s="4" t="str">
        <f>IFERROR(__xludf.DUMMYFUNCTION("""COMPUTED_VALUE"""),"cas_hmw")</f>
        <v>cas_hmw</v>
      </c>
      <c r="B22265" s="5">
        <f>IFERROR(__xludf.DUMMYFUNCTION("""COMPUTED_VALUE"""),44789.0)</f>
        <v>44789</v>
      </c>
      <c r="C22265" s="6">
        <f>IFERROR(__xludf.DUMMYFUNCTION("""COMPUTED_VALUE"""),0.34165509259401006)</f>
        <v>0.3416550926</v>
      </c>
      <c r="D22265" s="4">
        <f>IFERROR(__xludf.DUMMYFUNCTION("""COMPUTED_VALUE"""),12.912605)</f>
        <v>12.912605</v>
      </c>
      <c r="E22265" s="4">
        <f>IFERROR(__xludf.DUMMYFUNCTION("""COMPUTED_VALUE"""),80.101549)</f>
        <v>80.101549</v>
      </c>
      <c r="F22265" s="4">
        <f>IFERROR(__xludf.DUMMYFUNCTION("""COMPUTED_VALUE"""),5339.0)</f>
        <v>5339</v>
      </c>
      <c r="G22265" s="4">
        <f>IFERROR(__xludf.DUMMYFUNCTION("""COMPUTED_VALUE"""),34.0)</f>
        <v>34</v>
      </c>
      <c r="H22265" s="4"/>
      <c r="I22265" s="4"/>
    </row>
    <row r="22266">
      <c r="A22266" s="4" t="str">
        <f>IFERROR(__xludf.DUMMYFUNCTION("""COMPUTED_VALUE"""),"cas_hmw")</f>
        <v>cas_hmw</v>
      </c>
      <c r="B22266" s="5">
        <f>IFERROR(__xludf.DUMMYFUNCTION("""COMPUTED_VALUE"""),44789.0)</f>
        <v>44789</v>
      </c>
      <c r="C22266" s="6">
        <f>IFERROR(__xludf.DUMMYFUNCTION("""COMPUTED_VALUE"""),0.3420486111099308)</f>
        <v>0.3420486111</v>
      </c>
      <c r="D22266" s="4">
        <f>IFERROR(__xludf.DUMMYFUNCTION("""COMPUTED_VALUE"""),12.955732)</f>
        <v>12.955732</v>
      </c>
      <c r="E22266" s="4">
        <f>IFERROR(__xludf.DUMMYFUNCTION("""COMPUTED_VALUE"""),80.143023)</f>
        <v>80.143023</v>
      </c>
      <c r="F22266" s="4">
        <f>IFERROR(__xludf.DUMMYFUNCTION("""COMPUTED_VALUE"""),805.0)</f>
        <v>805</v>
      </c>
      <c r="G22266" s="4">
        <f>IFERROR(__xludf.DUMMYFUNCTION("""COMPUTED_VALUE"""),39.0)</f>
        <v>39</v>
      </c>
      <c r="H22266" s="4"/>
      <c r="I22266" s="4"/>
    </row>
    <row r="22267">
      <c r="A22267" s="4" t="str">
        <f>IFERROR(__xludf.DUMMYFUNCTION("""COMPUTED_VALUE"""),"cas_hmw")</f>
        <v>cas_hmw</v>
      </c>
      <c r="B22267" s="5">
        <f>IFERROR(__xludf.DUMMYFUNCTION("""COMPUTED_VALUE"""),44789.0)</f>
        <v>44789</v>
      </c>
      <c r="C22267" s="6">
        <f>IFERROR(__xludf.DUMMYFUNCTION("""COMPUTED_VALUE"""),0.3422685185178125)</f>
        <v>0.3422685185</v>
      </c>
      <c r="D22267" s="4">
        <f>IFERROR(__xludf.DUMMYFUNCTION("""COMPUTED_VALUE"""),12.90904)</f>
        <v>12.90904</v>
      </c>
      <c r="E22267" s="4">
        <f>IFERROR(__xludf.DUMMYFUNCTION("""COMPUTED_VALUE"""),80.098834)</f>
        <v>80.098834</v>
      </c>
      <c r="F22267" s="4">
        <f>IFERROR(__xludf.DUMMYFUNCTION("""COMPUTED_VALUE"""),5339.0)</f>
        <v>5339</v>
      </c>
      <c r="G22267" s="4">
        <f>IFERROR(__xludf.DUMMYFUNCTION("""COMPUTED_VALUE"""),31.0)</f>
        <v>31</v>
      </c>
      <c r="H22267" s="4"/>
      <c r="I22267" s="4"/>
    </row>
    <row r="22268">
      <c r="A22268" s="4" t="str">
        <f>IFERROR(__xludf.DUMMYFUNCTION("""COMPUTED_VALUE"""),"cas_hmw")</f>
        <v>cas_hmw</v>
      </c>
      <c r="B22268" s="5">
        <f>IFERROR(__xludf.DUMMYFUNCTION("""COMPUTED_VALUE"""),44789.0)</f>
        <v>44789</v>
      </c>
      <c r="C22268" s="6">
        <f>IFERROR(__xludf.DUMMYFUNCTION("""COMPUTED_VALUE"""),0.34232638888715883)</f>
        <v>0.3423263889</v>
      </c>
      <c r="D22268" s="4">
        <f>IFERROR(__xludf.DUMMYFUNCTION("""COMPUTED_VALUE"""),12.90861)</f>
        <v>12.90861</v>
      </c>
      <c r="E22268" s="4">
        <f>IFERROR(__xludf.DUMMYFUNCTION("""COMPUTED_VALUE"""),80.098281)</f>
        <v>80.098281</v>
      </c>
      <c r="F22268" s="4">
        <f>IFERROR(__xludf.DUMMYFUNCTION("""COMPUTED_VALUE"""),5339.0)</f>
        <v>5339</v>
      </c>
      <c r="G22268" s="4">
        <f>IFERROR(__xludf.DUMMYFUNCTION("""COMPUTED_VALUE"""),30.0)</f>
        <v>30</v>
      </c>
      <c r="H22268" s="4"/>
      <c r="I22268" s="4"/>
    </row>
    <row r="22269">
      <c r="A22269" s="4" t="str">
        <f>IFERROR(__xludf.DUMMYFUNCTION("""COMPUTED_VALUE"""),"cas_hmw")</f>
        <v>cas_hmw</v>
      </c>
      <c r="B22269" s="5">
        <f>IFERROR(__xludf.DUMMYFUNCTION("""COMPUTED_VALUE"""),44789.0)</f>
        <v>44789</v>
      </c>
      <c r="C22269" s="6">
        <f>IFERROR(__xludf.DUMMYFUNCTION("""COMPUTED_VALUE"""),0.3423379629639385)</f>
        <v>0.342337963</v>
      </c>
      <c r="D22269" s="4">
        <f>IFERROR(__xludf.DUMMYFUNCTION("""COMPUTED_VALUE"""),12.90861)</f>
        <v>12.90861</v>
      </c>
      <c r="E22269" s="4">
        <f>IFERROR(__xludf.DUMMYFUNCTION("""COMPUTED_VALUE"""),80.098281)</f>
        <v>80.098281</v>
      </c>
      <c r="F22269" s="4">
        <f>IFERROR(__xludf.DUMMYFUNCTION("""COMPUTED_VALUE"""),5339.0)</f>
        <v>5339</v>
      </c>
      <c r="G22269" s="4">
        <f>IFERROR(__xludf.DUMMYFUNCTION("""COMPUTED_VALUE"""),30.0)</f>
        <v>30</v>
      </c>
      <c r="H22269" s="4"/>
      <c r="I22269" s="4"/>
    </row>
    <row r="22270">
      <c r="A22270" s="4" t="str">
        <f>IFERROR(__xludf.DUMMYFUNCTION("""COMPUTED_VALUE"""),"cas_hmw")</f>
        <v>cas_hmw</v>
      </c>
      <c r="B22270" s="5">
        <f>IFERROR(__xludf.DUMMYFUNCTION("""COMPUTED_VALUE"""),44789.0)</f>
        <v>44789</v>
      </c>
      <c r="C22270" s="6">
        <f>IFERROR(__xludf.DUMMYFUNCTION("""COMPUTED_VALUE"""),0.34268518518365454)</f>
        <v>0.3426851852</v>
      </c>
      <c r="D22270" s="4">
        <f>IFERROR(__xludf.DUMMYFUNCTION("""COMPUTED_VALUE"""),12.842059)</f>
        <v>12.842059</v>
      </c>
      <c r="E22270" s="4">
        <f>IFERROR(__xludf.DUMMYFUNCTION("""COMPUTED_VALUE"""),80.057546)</f>
        <v>80.057546</v>
      </c>
      <c r="F22270" s="4">
        <f>IFERROR(__xludf.DUMMYFUNCTION("""COMPUTED_VALUE"""),2846.0)</f>
        <v>2846</v>
      </c>
      <c r="G22270" s="4">
        <f>IFERROR(__xludf.DUMMYFUNCTION("""COMPUTED_VALUE"""),49.0)</f>
        <v>49</v>
      </c>
      <c r="H22270" s="4"/>
      <c r="I22270" s="4"/>
    </row>
    <row r="22271">
      <c r="A22271" s="4" t="str">
        <f>IFERROR(__xludf.DUMMYFUNCTION("""COMPUTED_VALUE"""),"cas_hmw")</f>
        <v>cas_hmw</v>
      </c>
      <c r="B22271" s="5">
        <f>IFERROR(__xludf.DUMMYFUNCTION("""COMPUTED_VALUE"""),44789.0)</f>
        <v>44789</v>
      </c>
      <c r="C22271" s="6">
        <f>IFERROR(__xludf.DUMMYFUNCTION("""COMPUTED_VALUE"""),0.34311342592627625)</f>
        <v>0.3431134259</v>
      </c>
      <c r="D22271" s="4">
        <f>IFERROR(__xludf.DUMMYFUNCTION("""COMPUTED_VALUE"""),12.922714)</f>
        <v>12.922714</v>
      </c>
      <c r="E22271" s="4">
        <f>IFERROR(__xludf.DUMMYFUNCTION("""COMPUTED_VALUE"""),80.152154)</f>
        <v>80.152154</v>
      </c>
      <c r="F22271" s="4">
        <f>IFERROR(__xludf.DUMMYFUNCTION("""COMPUTED_VALUE"""),3143.0)</f>
        <v>3143</v>
      </c>
      <c r="G22271" s="4">
        <f>IFERROR(__xludf.DUMMYFUNCTION("""COMPUTED_VALUE"""),0.0)</f>
        <v>0</v>
      </c>
      <c r="H22271" s="4"/>
      <c r="I22271" s="4"/>
    </row>
    <row r="22272">
      <c r="A22272" s="4" t="str">
        <f>IFERROR(__xludf.DUMMYFUNCTION("""COMPUTED_VALUE"""),"cas_hmw")</f>
        <v>cas_hmw</v>
      </c>
      <c r="B22272" s="5">
        <f>IFERROR(__xludf.DUMMYFUNCTION("""COMPUTED_VALUE"""),44789.0)</f>
        <v>44789</v>
      </c>
      <c r="C22272" s="6">
        <f>IFERROR(__xludf.DUMMYFUNCTION("""COMPUTED_VALUE"""),0.34322916666496894)</f>
        <v>0.3432291667</v>
      </c>
      <c r="D22272" s="4">
        <f>IFERROR(__xludf.DUMMYFUNCTION("""COMPUTED_VALUE"""),12.950256)</f>
        <v>12.950256</v>
      </c>
      <c r="E22272" s="4">
        <f>IFERROR(__xludf.DUMMYFUNCTION("""COMPUTED_VALUE"""),80.139449)</f>
        <v>80.139449</v>
      </c>
      <c r="F22272" s="4">
        <f>IFERROR(__xludf.DUMMYFUNCTION("""COMPUTED_VALUE"""),805.0)</f>
        <v>805</v>
      </c>
      <c r="G22272" s="4">
        <f>IFERROR(__xludf.DUMMYFUNCTION("""COMPUTED_VALUE"""),32.0)</f>
        <v>32</v>
      </c>
      <c r="H22272" s="4"/>
      <c r="I22272" s="4"/>
    </row>
    <row r="22273">
      <c r="A22273" s="4" t="str">
        <f>IFERROR(__xludf.DUMMYFUNCTION("""COMPUTED_VALUE"""),"cas_hmw")</f>
        <v>cas_hmw</v>
      </c>
      <c r="B22273" s="5">
        <f>IFERROR(__xludf.DUMMYFUNCTION("""COMPUTED_VALUE"""),44789.0)</f>
        <v>44789</v>
      </c>
      <c r="C22273" s="6">
        <f>IFERROR(__xludf.DUMMYFUNCTION("""COMPUTED_VALUE"""),0.3434606481496303)</f>
        <v>0.3434606481</v>
      </c>
      <c r="D22273" s="4">
        <f>IFERROR(__xludf.DUMMYFUNCTION("""COMPUTED_VALUE"""),12.948682)</f>
        <v>12.948682</v>
      </c>
      <c r="E22273" s="4">
        <f>IFERROR(__xludf.DUMMYFUNCTION("""COMPUTED_VALUE"""),80.138168)</f>
        <v>80.138168</v>
      </c>
      <c r="F22273" s="4">
        <f>IFERROR(__xludf.DUMMYFUNCTION("""COMPUTED_VALUE"""),805.0)</f>
        <v>805</v>
      </c>
      <c r="G22273" s="4">
        <f>IFERROR(__xludf.DUMMYFUNCTION("""COMPUTED_VALUE"""),40.0)</f>
        <v>40</v>
      </c>
      <c r="H22273" s="4"/>
      <c r="I22273" s="4"/>
    </row>
    <row r="22274">
      <c r="A22274" s="4" t="str">
        <f>IFERROR(__xludf.DUMMYFUNCTION("""COMPUTED_VALUE"""),"cas_hmw")</f>
        <v>cas_hmw</v>
      </c>
      <c r="B22274" s="5">
        <f>IFERROR(__xludf.DUMMYFUNCTION("""COMPUTED_VALUE"""),44789.0)</f>
        <v>44789</v>
      </c>
      <c r="C22274" s="6">
        <f>IFERROR(__xludf.DUMMYFUNCTION("""COMPUTED_VALUE"""),0.3439699074078817)</f>
        <v>0.3439699074</v>
      </c>
      <c r="D22274" s="4">
        <f>IFERROR(__xludf.DUMMYFUNCTION("""COMPUTED_VALUE"""),12.94556)</f>
        <v>12.94556</v>
      </c>
      <c r="E22274" s="4">
        <f>IFERROR(__xludf.DUMMYFUNCTION("""COMPUTED_VALUE"""),80.135865)</f>
        <v>80.135865</v>
      </c>
      <c r="F22274" s="4">
        <f>IFERROR(__xludf.DUMMYFUNCTION("""COMPUTED_VALUE"""),805.0)</f>
        <v>805</v>
      </c>
      <c r="G22274" s="4">
        <f>IFERROR(__xludf.DUMMYFUNCTION("""COMPUTED_VALUE"""),49.0)</f>
        <v>49</v>
      </c>
      <c r="H22274" s="4"/>
      <c r="I22274" s="4"/>
    </row>
    <row r="22275">
      <c r="A22275" s="4" t="str">
        <f>IFERROR(__xludf.DUMMYFUNCTION("""COMPUTED_VALUE"""),"cas_hmw")</f>
        <v>cas_hmw</v>
      </c>
      <c r="B22275" s="5">
        <f>IFERROR(__xludf.DUMMYFUNCTION("""COMPUTED_VALUE"""),44789.0)</f>
        <v>44789</v>
      </c>
      <c r="C22275" s="6">
        <f>IFERROR(__xludf.DUMMYFUNCTION("""COMPUTED_VALUE"""),0.3439699074078817)</f>
        <v>0.3439699074</v>
      </c>
      <c r="D22275" s="4">
        <f>IFERROR(__xludf.DUMMYFUNCTION("""COMPUTED_VALUE"""),12.94556)</f>
        <v>12.94556</v>
      </c>
      <c r="E22275" s="4">
        <f>IFERROR(__xludf.DUMMYFUNCTION("""COMPUTED_VALUE"""),80.135865)</f>
        <v>80.135865</v>
      </c>
      <c r="F22275" s="4">
        <f>IFERROR(__xludf.DUMMYFUNCTION("""COMPUTED_VALUE"""),805.0)</f>
        <v>805</v>
      </c>
      <c r="G22275" s="4">
        <f>IFERROR(__xludf.DUMMYFUNCTION("""COMPUTED_VALUE"""),49.0)</f>
        <v>49</v>
      </c>
      <c r="H22275" s="4"/>
      <c r="I22275" s="4"/>
    </row>
    <row r="22276">
      <c r="A22276" s="4" t="str">
        <f>IFERROR(__xludf.DUMMYFUNCTION("""COMPUTED_VALUE"""),"cas_hmw")</f>
        <v>cas_hmw</v>
      </c>
      <c r="B22276" s="5">
        <f>IFERROR(__xludf.DUMMYFUNCTION("""COMPUTED_VALUE"""),44789.0)</f>
        <v>44789</v>
      </c>
      <c r="C22276" s="6">
        <f>IFERROR(__xludf.DUMMYFUNCTION("""COMPUTED_VALUE"""),0.34398148148102337)</f>
        <v>0.3439814815</v>
      </c>
      <c r="D22276" s="4">
        <f>IFERROR(__xludf.DUMMYFUNCTION("""COMPUTED_VALUE"""),12.94556)</f>
        <v>12.94556</v>
      </c>
      <c r="E22276" s="4">
        <f>IFERROR(__xludf.DUMMYFUNCTION("""COMPUTED_VALUE"""),80.135865)</f>
        <v>80.135865</v>
      </c>
      <c r="F22276" s="4">
        <f>IFERROR(__xludf.DUMMYFUNCTION("""COMPUTED_VALUE"""),805.0)</f>
        <v>805</v>
      </c>
      <c r="G22276" s="4">
        <f>IFERROR(__xludf.DUMMYFUNCTION("""COMPUTED_VALUE"""),49.0)</f>
        <v>49</v>
      </c>
      <c r="H22276" s="4"/>
      <c r="I22276" s="4"/>
    </row>
    <row r="22277">
      <c r="A22277" s="4" t="str">
        <f>IFERROR(__xludf.DUMMYFUNCTION("""COMPUTED_VALUE"""),"cas_hmw")</f>
        <v>cas_hmw</v>
      </c>
      <c r="B22277" s="5">
        <f>IFERROR(__xludf.DUMMYFUNCTION("""COMPUTED_VALUE"""),44789.0)</f>
        <v>44789</v>
      </c>
      <c r="C22277" s="6">
        <f>IFERROR(__xludf.DUMMYFUNCTION("""COMPUTED_VALUE"""),0.34409722222335404)</f>
        <v>0.3440972222</v>
      </c>
      <c r="D22277" s="4">
        <f>IFERROR(__xludf.DUMMYFUNCTION("""COMPUTED_VALUE"""),12.846427)</f>
        <v>12.846427</v>
      </c>
      <c r="E22277" s="4">
        <f>IFERROR(__xludf.DUMMYFUNCTION("""COMPUTED_VALUE"""),80.061959)</f>
        <v>80.061959</v>
      </c>
      <c r="F22277" s="4">
        <f>IFERROR(__xludf.DUMMYFUNCTION("""COMPUTED_VALUE"""),2846.0)</f>
        <v>2846</v>
      </c>
      <c r="G22277" s="4">
        <f>IFERROR(__xludf.DUMMYFUNCTION("""COMPUTED_VALUE"""),48.0)</f>
        <v>48</v>
      </c>
      <c r="H22277" s="4"/>
      <c r="I22277" s="4"/>
    </row>
    <row r="22278">
      <c r="A22278" s="4" t="str">
        <f>IFERROR(__xludf.DUMMYFUNCTION("""COMPUTED_VALUE"""),"cas_hmw")</f>
        <v>cas_hmw</v>
      </c>
      <c r="B22278" s="5">
        <f>IFERROR(__xludf.DUMMYFUNCTION("""COMPUTED_VALUE"""),44789.0)</f>
        <v>44789</v>
      </c>
      <c r="C22278" s="6">
        <f>IFERROR(__xludf.DUMMYFUNCTION("""COMPUTED_VALUE"""),0.3441435185195587)</f>
        <v>0.3441435185</v>
      </c>
      <c r="D22278" s="4">
        <f>IFERROR(__xludf.DUMMYFUNCTION("""COMPUTED_VALUE"""),12.922528)</f>
        <v>12.922528</v>
      </c>
      <c r="E22278" s="4">
        <f>IFERROR(__xludf.DUMMYFUNCTION("""COMPUTED_VALUE"""),80.147759)</f>
        <v>80.147759</v>
      </c>
      <c r="F22278" s="4">
        <f>IFERROR(__xludf.DUMMYFUNCTION("""COMPUTED_VALUE"""),3143.0)</f>
        <v>3143</v>
      </c>
      <c r="G22278" s="4">
        <f>IFERROR(__xludf.DUMMYFUNCTION("""COMPUTED_VALUE"""),0.0)</f>
        <v>0</v>
      </c>
      <c r="H22278" s="4"/>
      <c r="I22278" s="4"/>
    </row>
    <row r="22279">
      <c r="A22279" s="4" t="str">
        <f>IFERROR(__xludf.DUMMYFUNCTION("""COMPUTED_VALUE"""),"cas_hmw")</f>
        <v>cas_hmw</v>
      </c>
      <c r="B22279" s="5">
        <f>IFERROR(__xludf.DUMMYFUNCTION("""COMPUTED_VALUE"""),44789.0)</f>
        <v>44789</v>
      </c>
      <c r="C22279" s="6">
        <f>IFERROR(__xludf.DUMMYFUNCTION("""COMPUTED_VALUE"""),0.34421296296204673)</f>
        <v>0.344212963</v>
      </c>
      <c r="D22279" s="4">
        <f>IFERROR(__xludf.DUMMYFUNCTION("""COMPUTED_VALUE"""),12.900888)</f>
        <v>12.900888</v>
      </c>
      <c r="E22279" s="4">
        <f>IFERROR(__xludf.DUMMYFUNCTION("""COMPUTED_VALUE"""),80.092185)</f>
        <v>80.092185</v>
      </c>
      <c r="F22279" s="4">
        <f>IFERROR(__xludf.DUMMYFUNCTION("""COMPUTED_VALUE"""),5339.0)</f>
        <v>5339</v>
      </c>
      <c r="G22279" s="4">
        <f>IFERROR(__xludf.DUMMYFUNCTION("""COMPUTED_VALUE"""),41.0)</f>
        <v>41</v>
      </c>
      <c r="H22279" s="4"/>
      <c r="I22279" s="4"/>
    </row>
    <row r="22280">
      <c r="A22280" s="4" t="str">
        <f>IFERROR(__xludf.DUMMYFUNCTION("""COMPUTED_VALUE"""),"cas_hmw")</f>
        <v>cas_hmw</v>
      </c>
      <c r="B22280" s="5">
        <f>IFERROR(__xludf.DUMMYFUNCTION("""COMPUTED_VALUE"""),44789.0)</f>
        <v>44789</v>
      </c>
      <c r="C22280" s="6">
        <f>IFERROR(__xludf.DUMMYFUNCTION("""COMPUTED_VALUE"""),0.3443402777775191)</f>
        <v>0.3443402778</v>
      </c>
      <c r="D22280" s="4">
        <f>IFERROR(__xludf.DUMMYFUNCTION("""COMPUTED_VALUE"""),12.922535)</f>
        <v>12.922535</v>
      </c>
      <c r="E22280" s="4">
        <f>IFERROR(__xludf.DUMMYFUNCTION("""COMPUTED_VALUE"""),80.147221)</f>
        <v>80.147221</v>
      </c>
      <c r="F22280" s="4">
        <f>IFERROR(__xludf.DUMMYFUNCTION("""COMPUTED_VALUE"""),3143.0)</f>
        <v>3143</v>
      </c>
      <c r="G22280" s="4">
        <f>IFERROR(__xludf.DUMMYFUNCTION("""COMPUTED_VALUE"""),27.0)</f>
        <v>27</v>
      </c>
      <c r="H22280" s="4"/>
      <c r="I22280" s="4"/>
    </row>
    <row r="22281">
      <c r="A22281" s="4" t="str">
        <f>IFERROR(__xludf.DUMMYFUNCTION("""COMPUTED_VALUE"""),"cas_hmw")</f>
        <v>cas_hmw</v>
      </c>
      <c r="B22281" s="5">
        <f>IFERROR(__xludf.DUMMYFUNCTION("""COMPUTED_VALUE"""),44789.0)</f>
        <v>44789</v>
      </c>
      <c r="C22281" s="6">
        <f>IFERROR(__xludf.DUMMYFUNCTION("""COMPUTED_VALUE"""),0.34445601851984975)</f>
        <v>0.3444560185</v>
      </c>
      <c r="D22281" s="4">
        <f>IFERROR(__xludf.DUMMYFUNCTION("""COMPUTED_VALUE"""),12.898961)</f>
        <v>12.898961</v>
      </c>
      <c r="E22281" s="4">
        <f>IFERROR(__xludf.DUMMYFUNCTION("""COMPUTED_VALUE"""),80.090732)</f>
        <v>80.090732</v>
      </c>
      <c r="F22281" s="4">
        <f>IFERROR(__xludf.DUMMYFUNCTION("""COMPUTED_VALUE"""),5339.0)</f>
        <v>5339</v>
      </c>
      <c r="G22281" s="4">
        <f>IFERROR(__xludf.DUMMYFUNCTION("""COMPUTED_VALUE"""),48.0)</f>
        <v>48</v>
      </c>
      <c r="H22281" s="4"/>
      <c r="I22281" s="4"/>
    </row>
    <row r="22282">
      <c r="A22282" s="4" t="str">
        <f>IFERROR(__xludf.DUMMYFUNCTION("""COMPUTED_VALUE"""),"cas_hmw")</f>
        <v>cas_hmw</v>
      </c>
      <c r="B22282" s="5">
        <f>IFERROR(__xludf.DUMMYFUNCTION("""COMPUTED_VALUE"""),44789.0)</f>
        <v>44789</v>
      </c>
      <c r="C22282" s="6">
        <f>IFERROR(__xludf.DUMMYFUNCTION("""COMPUTED_VALUE"""),0.3449189814818965)</f>
        <v>0.3449189815</v>
      </c>
      <c r="D22282" s="4">
        <f>IFERROR(__xludf.DUMMYFUNCTION("""COMPUTED_VALUE"""),12.942371)</f>
        <v>12.942371</v>
      </c>
      <c r="E22282" s="4">
        <f>IFERROR(__xludf.DUMMYFUNCTION("""COMPUTED_VALUE"""),80.133163)</f>
        <v>80.133163</v>
      </c>
      <c r="F22282" s="4">
        <f>IFERROR(__xludf.DUMMYFUNCTION("""COMPUTED_VALUE"""),805.0)</f>
        <v>805</v>
      </c>
      <c r="G22282" s="4">
        <f>IFERROR(__xludf.DUMMYFUNCTION("""COMPUTED_VALUE"""),20.0)</f>
        <v>20</v>
      </c>
      <c r="H22282" s="4"/>
      <c r="I22282" s="4"/>
    </row>
    <row r="22283">
      <c r="A22283" s="4" t="str">
        <f>IFERROR(__xludf.DUMMYFUNCTION("""COMPUTED_VALUE"""),"cas_hmw")</f>
        <v>cas_hmw</v>
      </c>
      <c r="B22283" s="5">
        <f>IFERROR(__xludf.DUMMYFUNCTION("""COMPUTED_VALUE"""),44789.0)</f>
        <v>44789</v>
      </c>
      <c r="C22283" s="6">
        <f>IFERROR(__xludf.DUMMYFUNCTION("""COMPUTED_VALUE"""),0.3451388888897782)</f>
        <v>0.3451388889</v>
      </c>
      <c r="D22283" s="4">
        <f>IFERROR(__xludf.DUMMYFUNCTION("""COMPUTED_VALUE"""),12.896443)</f>
        <v>12.896443</v>
      </c>
      <c r="E22283" s="4">
        <f>IFERROR(__xludf.DUMMYFUNCTION("""COMPUTED_VALUE"""),80.088849)</f>
        <v>80.088849</v>
      </c>
      <c r="F22283" s="4">
        <f>IFERROR(__xludf.DUMMYFUNCTION("""COMPUTED_VALUE"""),5339.0)</f>
        <v>5339</v>
      </c>
      <c r="G22283" s="4">
        <f>IFERROR(__xludf.DUMMYFUNCTION("""COMPUTED_VALUE"""),21.0)</f>
        <v>21</v>
      </c>
      <c r="H22283" s="4"/>
      <c r="I22283" s="4"/>
    </row>
    <row r="22284">
      <c r="A22284" s="4" t="str">
        <f>IFERROR(__xludf.DUMMYFUNCTION("""COMPUTED_VALUE"""),"cas_hmw")</f>
        <v>cas_hmw</v>
      </c>
      <c r="B22284" s="5">
        <f>IFERROR(__xludf.DUMMYFUNCTION("""COMPUTED_VALUE"""),44789.0)</f>
        <v>44789</v>
      </c>
      <c r="C22284" s="6">
        <f>IFERROR(__xludf.DUMMYFUNCTION("""COMPUTED_VALUE"""),0.3452777777783922)</f>
        <v>0.3452777778</v>
      </c>
      <c r="D22284" s="4">
        <f>IFERROR(__xludf.DUMMYFUNCTION("""COMPUTED_VALUE"""),12.940481)</f>
        <v>12.940481</v>
      </c>
      <c r="E22284" s="4">
        <f>IFERROR(__xludf.DUMMYFUNCTION("""COMPUTED_VALUE"""),80.131096)</f>
        <v>80.131096</v>
      </c>
      <c r="F22284" s="4">
        <f>IFERROR(__xludf.DUMMYFUNCTION("""COMPUTED_VALUE"""),805.0)</f>
        <v>805</v>
      </c>
      <c r="G22284" s="4">
        <f>IFERROR(__xludf.DUMMYFUNCTION("""COMPUTED_VALUE"""),46.0)</f>
        <v>46</v>
      </c>
      <c r="H22284" s="4"/>
      <c r="I22284" s="4"/>
    </row>
    <row r="22285">
      <c r="A22285" s="4" t="str">
        <f>IFERROR(__xludf.DUMMYFUNCTION("""COMPUTED_VALUE"""),"cas_hmw")</f>
        <v>cas_hmw</v>
      </c>
      <c r="B22285" s="5">
        <f>IFERROR(__xludf.DUMMYFUNCTION("""COMPUTED_VALUE"""),44789.0)</f>
        <v>44789</v>
      </c>
      <c r="C22285" s="6">
        <f>IFERROR(__xludf.DUMMYFUNCTION("""COMPUTED_VALUE"""),0.34620370370248565)</f>
        <v>0.3462037037</v>
      </c>
      <c r="D22285" s="4">
        <f>IFERROR(__xludf.DUMMYFUNCTION("""COMPUTED_VALUE"""),12.936162)</f>
        <v>12.936162</v>
      </c>
      <c r="E22285" s="4">
        <f>IFERROR(__xludf.DUMMYFUNCTION("""COMPUTED_VALUE"""),80.127318)</f>
        <v>80.127318</v>
      </c>
      <c r="F22285" s="4">
        <f>IFERROR(__xludf.DUMMYFUNCTION("""COMPUTED_VALUE"""),805.0)</f>
        <v>805</v>
      </c>
      <c r="G22285" s="4">
        <f>IFERROR(__xludf.DUMMYFUNCTION("""COMPUTED_VALUE"""),9.0)</f>
        <v>9</v>
      </c>
      <c r="H22285" s="4"/>
      <c r="I22285" s="4"/>
    </row>
    <row r="22286">
      <c r="A22286" s="4" t="str">
        <f>IFERROR(__xludf.DUMMYFUNCTION("""COMPUTED_VALUE"""),"cas_hmw")</f>
        <v>cas_hmw</v>
      </c>
      <c r="B22286" s="5">
        <f>IFERROR(__xludf.DUMMYFUNCTION("""COMPUTED_VALUE"""),44789.0)</f>
        <v>44789</v>
      </c>
      <c r="C22286" s="6">
        <f>IFERROR(__xludf.DUMMYFUNCTION("""COMPUTED_VALUE"""),0.3465162037027767)</f>
        <v>0.3465162037</v>
      </c>
      <c r="D22286" s="4">
        <f>IFERROR(__xludf.DUMMYFUNCTION("""COMPUTED_VALUE"""),12.93389)</f>
        <v>12.93389</v>
      </c>
      <c r="E22286" s="4">
        <f>IFERROR(__xludf.DUMMYFUNCTION("""COMPUTED_VALUE"""),80.125152)</f>
        <v>80.125152</v>
      </c>
      <c r="F22286" s="4">
        <f>IFERROR(__xludf.DUMMYFUNCTION("""COMPUTED_VALUE"""),805.0)</f>
        <v>805</v>
      </c>
      <c r="G22286" s="4">
        <f>IFERROR(__xludf.DUMMYFUNCTION("""COMPUTED_VALUE"""),57.0)</f>
        <v>57</v>
      </c>
      <c r="H22286" s="4"/>
      <c r="I22286" s="4"/>
    </row>
    <row r="22287">
      <c r="A22287" s="4" t="str">
        <f>IFERROR(__xludf.DUMMYFUNCTION("""COMPUTED_VALUE"""),"cas_hmw")</f>
        <v>cas_hmw</v>
      </c>
      <c r="B22287" s="5">
        <f>IFERROR(__xludf.DUMMYFUNCTION("""COMPUTED_VALUE"""),44789.0)</f>
        <v>44789</v>
      </c>
      <c r="C22287" s="6">
        <f>IFERROR(__xludf.DUMMYFUNCTION("""COMPUTED_VALUE"""),0.34682870370306773)</f>
        <v>0.3468287037</v>
      </c>
      <c r="D22287" s="4">
        <f>IFERROR(__xludf.DUMMYFUNCTION("""COMPUTED_VALUE"""),12.93075)</f>
        <v>12.93075</v>
      </c>
      <c r="E22287" s="4">
        <f>IFERROR(__xludf.DUMMYFUNCTION("""COMPUTED_VALUE"""),80.122058)</f>
        <v>80.122058</v>
      </c>
      <c r="F22287" s="4">
        <f>IFERROR(__xludf.DUMMYFUNCTION("""COMPUTED_VALUE"""),805.0)</f>
        <v>805</v>
      </c>
      <c r="G22287" s="4">
        <f>IFERROR(__xludf.DUMMYFUNCTION("""COMPUTED_VALUE"""),46.0)</f>
        <v>46</v>
      </c>
      <c r="H22287" s="4"/>
      <c r="I22287" s="4"/>
    </row>
    <row r="22288">
      <c r="A22288" s="4" t="str">
        <f>IFERROR(__xludf.DUMMYFUNCTION("""COMPUTED_VALUE"""),"cas_hmw")</f>
        <v>cas_hmw</v>
      </c>
      <c r="B22288" s="5">
        <f>IFERROR(__xludf.DUMMYFUNCTION("""COMPUTED_VALUE"""),44789.0)</f>
        <v>44789</v>
      </c>
      <c r="C22288" s="6">
        <f>IFERROR(__xludf.DUMMYFUNCTION("""COMPUTED_VALUE"""),0.3471296296302171)</f>
        <v>0.3471296296</v>
      </c>
      <c r="D22288" s="4">
        <f>IFERROR(__xludf.DUMMYFUNCTION("""COMPUTED_VALUE"""),12.866048)</f>
        <v>12.866048</v>
      </c>
      <c r="E22288" s="4">
        <f>IFERROR(__xludf.DUMMYFUNCTION("""COMPUTED_VALUE"""),80.074853)</f>
        <v>80.074853</v>
      </c>
      <c r="F22288" s="4">
        <f>IFERROR(__xludf.DUMMYFUNCTION("""COMPUTED_VALUE"""),2846.0)</f>
        <v>2846</v>
      </c>
      <c r="G22288" s="4">
        <f>IFERROR(__xludf.DUMMYFUNCTION("""COMPUTED_VALUE"""),45.0)</f>
        <v>45</v>
      </c>
      <c r="H22288" s="4"/>
      <c r="I22288" s="4"/>
    </row>
    <row r="22289">
      <c r="A22289" s="4" t="str">
        <f>IFERROR(__xludf.DUMMYFUNCTION("""COMPUTED_VALUE"""),"cas_hmw")</f>
        <v>cas_hmw</v>
      </c>
      <c r="B22289" s="5">
        <f>IFERROR(__xludf.DUMMYFUNCTION("""COMPUTED_VALUE"""),44789.0)</f>
        <v>44789</v>
      </c>
      <c r="C22289" s="6">
        <f>IFERROR(__xludf.DUMMYFUNCTION("""COMPUTED_VALUE"""),0.3472453703689098)</f>
        <v>0.3472453704</v>
      </c>
      <c r="D22289" s="4">
        <f>IFERROR(__xludf.DUMMYFUNCTION("""COMPUTED_VALUE"""),12.928181)</f>
        <v>12.928181</v>
      </c>
      <c r="E22289" s="4">
        <f>IFERROR(__xludf.DUMMYFUNCTION("""COMPUTED_VALUE"""),80.119401)</f>
        <v>80.119401</v>
      </c>
      <c r="F22289" s="4">
        <f>IFERROR(__xludf.DUMMYFUNCTION("""COMPUTED_VALUE"""),805.0)</f>
        <v>805</v>
      </c>
      <c r="G22289" s="4">
        <f>IFERROR(__xludf.DUMMYFUNCTION("""COMPUTED_VALUE"""),53.0)</f>
        <v>53</v>
      </c>
      <c r="H22289" s="4"/>
      <c r="I22289" s="4"/>
    </row>
    <row r="22290">
      <c r="A22290" s="4" t="str">
        <f>IFERROR(__xludf.DUMMYFUNCTION("""COMPUTED_VALUE"""),"cas_hmw")</f>
        <v>cas_hmw</v>
      </c>
      <c r="B22290" s="5">
        <f>IFERROR(__xludf.DUMMYFUNCTION("""COMPUTED_VALUE"""),44789.0)</f>
        <v>44789</v>
      </c>
      <c r="C22290" s="6">
        <f>IFERROR(__xludf.DUMMYFUNCTION("""COMPUTED_VALUE"""),0.3473148148150358)</f>
        <v>0.3473148148</v>
      </c>
      <c r="D22290" s="4">
        <f>IFERROR(__xludf.DUMMYFUNCTION("""COMPUTED_VALUE"""),12.928181)</f>
        <v>12.928181</v>
      </c>
      <c r="E22290" s="4">
        <f>IFERROR(__xludf.DUMMYFUNCTION("""COMPUTED_VALUE"""),80.119401)</f>
        <v>80.119401</v>
      </c>
      <c r="F22290" s="4">
        <f>IFERROR(__xludf.DUMMYFUNCTION("""COMPUTED_VALUE"""),805.0)</f>
        <v>805</v>
      </c>
      <c r="G22290" s="4">
        <f>IFERROR(__xludf.DUMMYFUNCTION("""COMPUTED_VALUE"""),53.0)</f>
        <v>53</v>
      </c>
      <c r="H22290" s="4"/>
      <c r="I22290" s="4"/>
    </row>
    <row r="22291">
      <c r="A22291" s="4" t="str">
        <f>IFERROR(__xludf.DUMMYFUNCTION("""COMPUTED_VALUE"""),"cas_hmw")</f>
        <v>cas_hmw</v>
      </c>
      <c r="B22291" s="5">
        <f>IFERROR(__xludf.DUMMYFUNCTION("""COMPUTED_VALUE"""),44789.0)</f>
        <v>44789</v>
      </c>
      <c r="C22291" s="6">
        <f>IFERROR(__xludf.DUMMYFUNCTION("""COMPUTED_VALUE"""),0.34758101851912215)</f>
        <v>0.3475810185</v>
      </c>
      <c r="D22291" s="4">
        <f>IFERROR(__xludf.DUMMYFUNCTION("""COMPUTED_VALUE"""),12.878726)</f>
        <v>12.878726</v>
      </c>
      <c r="E22291" s="4">
        <f>IFERROR(__xludf.DUMMYFUNCTION("""COMPUTED_VALUE"""),80.081463)</f>
        <v>80.081463</v>
      </c>
      <c r="F22291" s="4">
        <f>IFERROR(__xludf.DUMMYFUNCTION("""COMPUTED_VALUE"""),5339.0)</f>
        <v>5339</v>
      </c>
      <c r="G22291" s="4">
        <f>IFERROR(__xludf.DUMMYFUNCTION("""COMPUTED_VALUE"""),25.0)</f>
        <v>25</v>
      </c>
      <c r="H22291" s="4"/>
      <c r="I22291" s="4"/>
    </row>
    <row r="22292">
      <c r="A22292" s="4" t="str">
        <f>IFERROR(__xludf.DUMMYFUNCTION("""COMPUTED_VALUE"""),"cas_hmw")</f>
        <v>cas_hmw</v>
      </c>
      <c r="B22292" s="5">
        <f>IFERROR(__xludf.DUMMYFUNCTION("""COMPUTED_VALUE"""),44789.0)</f>
        <v>44789</v>
      </c>
      <c r="C22292" s="6">
        <f>IFERROR(__xludf.DUMMYFUNCTION("""COMPUTED_VALUE"""),0.3475925925922638)</f>
        <v>0.3475925926</v>
      </c>
      <c r="D22292" s="4">
        <f>IFERROR(__xludf.DUMMYFUNCTION("""COMPUTED_VALUE"""),12.878726)</f>
        <v>12.878726</v>
      </c>
      <c r="E22292" s="4">
        <f>IFERROR(__xludf.DUMMYFUNCTION("""COMPUTED_VALUE"""),80.081463)</f>
        <v>80.081463</v>
      </c>
      <c r="F22292" s="4">
        <f>IFERROR(__xludf.DUMMYFUNCTION("""COMPUTED_VALUE"""),5339.0)</f>
        <v>5339</v>
      </c>
      <c r="G22292" s="4">
        <f>IFERROR(__xludf.DUMMYFUNCTION("""COMPUTED_VALUE"""),25.0)</f>
        <v>25</v>
      </c>
      <c r="H22292" s="4"/>
      <c r="I22292" s="4"/>
    </row>
    <row r="22293">
      <c r="A22293" s="4" t="str">
        <f>IFERROR(__xludf.DUMMYFUNCTION("""COMPUTED_VALUE"""),"cas_hmw")</f>
        <v>cas_hmw</v>
      </c>
      <c r="B22293" s="5">
        <f>IFERROR(__xludf.DUMMYFUNCTION("""COMPUTED_VALUE"""),44789.0)</f>
        <v>44789</v>
      </c>
      <c r="C22293" s="6">
        <f>IFERROR(__xludf.DUMMYFUNCTION("""COMPUTED_VALUE"""),0.3477199074077362)</f>
        <v>0.3477199074</v>
      </c>
      <c r="D22293" s="4">
        <f>IFERROR(__xludf.DUMMYFUNCTION("""COMPUTED_VALUE"""),12.873588)</f>
        <v>12.873588</v>
      </c>
      <c r="E22293" s="4">
        <f>IFERROR(__xludf.DUMMYFUNCTION("""COMPUTED_VALUE"""),80.077802)</f>
        <v>80.077802</v>
      </c>
      <c r="F22293" s="4">
        <f>IFERROR(__xludf.DUMMYFUNCTION("""COMPUTED_VALUE"""),2846.0)</f>
        <v>2846</v>
      </c>
      <c r="G22293" s="4">
        <f>IFERROR(__xludf.DUMMYFUNCTION("""COMPUTED_VALUE"""),48.0)</f>
        <v>48</v>
      </c>
      <c r="H22293" s="4"/>
      <c r="I22293" s="4"/>
    </row>
    <row r="22294">
      <c r="A22294" s="4" t="str">
        <f>IFERROR(__xludf.DUMMYFUNCTION("""COMPUTED_VALUE"""),"cas_hmw")</f>
        <v>cas_hmw</v>
      </c>
      <c r="B22294" s="5">
        <f>IFERROR(__xludf.DUMMYFUNCTION("""COMPUTED_VALUE"""),44789.0)</f>
        <v>44789</v>
      </c>
      <c r="C22294" s="6">
        <f>IFERROR(__xludf.DUMMYFUNCTION("""COMPUTED_VALUE"""),0.34791666666569654)</f>
        <v>0.3479166667</v>
      </c>
      <c r="D22294" s="4">
        <f>IFERROR(__xludf.DUMMYFUNCTION("""COMPUTED_VALUE"""),12.92344)</f>
        <v>12.92344</v>
      </c>
      <c r="E22294" s="4">
        <f>IFERROR(__xludf.DUMMYFUNCTION("""COMPUTED_VALUE"""),80.114658)</f>
        <v>80.114658</v>
      </c>
      <c r="F22294" s="4">
        <f>IFERROR(__xludf.DUMMYFUNCTION("""COMPUTED_VALUE"""),805.0)</f>
        <v>805</v>
      </c>
      <c r="G22294" s="4">
        <f>IFERROR(__xludf.DUMMYFUNCTION("""COMPUTED_VALUE"""),51.0)</f>
        <v>51</v>
      </c>
      <c r="H22294" s="4"/>
      <c r="I22294" s="4"/>
    </row>
    <row r="22295">
      <c r="A22295" s="4" t="str">
        <f>IFERROR(__xludf.DUMMYFUNCTION("""COMPUTED_VALUE"""),"cas_hmw")</f>
        <v>cas_hmw</v>
      </c>
      <c r="B22295" s="5">
        <f>IFERROR(__xludf.DUMMYFUNCTION("""COMPUTED_VALUE"""),44789.0)</f>
        <v>44789</v>
      </c>
      <c r="C22295" s="6">
        <f>IFERROR(__xludf.DUMMYFUNCTION("""COMPUTED_VALUE"""),0.3480787037042319)</f>
        <v>0.3480787037</v>
      </c>
      <c r="D22295" s="4">
        <f>IFERROR(__xludf.DUMMYFUNCTION("""COMPUTED_VALUE"""),12.921613)</f>
        <v>12.921613</v>
      </c>
      <c r="E22295" s="4">
        <f>IFERROR(__xludf.DUMMYFUNCTION("""COMPUTED_VALUE"""),80.112831)</f>
        <v>80.112831</v>
      </c>
      <c r="F22295" s="4">
        <f>IFERROR(__xludf.DUMMYFUNCTION("""COMPUTED_VALUE"""),805.0)</f>
        <v>805</v>
      </c>
      <c r="G22295" s="4">
        <f>IFERROR(__xludf.DUMMYFUNCTION("""COMPUTED_VALUE"""),51.0)</f>
        <v>51</v>
      </c>
      <c r="H22295" s="4"/>
      <c r="I22295" s="4"/>
    </row>
    <row r="22296">
      <c r="A22296" s="4" t="str">
        <f>IFERROR(__xludf.DUMMYFUNCTION("""COMPUTED_VALUE"""),"cas_hmw")</f>
        <v>cas_hmw</v>
      </c>
      <c r="B22296" s="5">
        <f>IFERROR(__xludf.DUMMYFUNCTION("""COMPUTED_VALUE"""),44789.0)</f>
        <v>44789</v>
      </c>
      <c r="C22296" s="6">
        <f>IFERROR(__xludf.DUMMYFUNCTION("""COMPUTED_VALUE"""),0.3482638888890506)</f>
        <v>0.3482638889</v>
      </c>
      <c r="D22296" s="4">
        <f>IFERROR(__xludf.DUMMYFUNCTION("""COMPUTED_VALUE"""),12.920955)</f>
        <v>12.920955</v>
      </c>
      <c r="E22296" s="4">
        <f>IFERROR(__xludf.DUMMYFUNCTION("""COMPUTED_VALUE"""),80.11217)</f>
        <v>80.11217</v>
      </c>
      <c r="F22296" s="4">
        <f>IFERROR(__xludf.DUMMYFUNCTION("""COMPUTED_VALUE"""),805.0)</f>
        <v>805</v>
      </c>
      <c r="G22296" s="4">
        <f>IFERROR(__xludf.DUMMYFUNCTION("""COMPUTED_VALUE"""),36.0)</f>
        <v>36</v>
      </c>
      <c r="H22296" s="4"/>
      <c r="I22296" s="4"/>
    </row>
    <row r="22297">
      <c r="A22297" s="4" t="str">
        <f>IFERROR(__xludf.DUMMYFUNCTION("""COMPUTED_VALUE"""),"cas_hmw")</f>
        <v>cas_hmw</v>
      </c>
      <c r="B22297" s="5">
        <f>IFERROR(__xludf.DUMMYFUNCTION("""COMPUTED_VALUE"""),44789.0)</f>
        <v>44789</v>
      </c>
      <c r="C22297" s="6">
        <f>IFERROR(__xludf.DUMMYFUNCTION("""COMPUTED_VALUE"""),0.3503935185181035)</f>
        <v>0.3503935185</v>
      </c>
      <c r="D22297" s="4">
        <f>IFERROR(__xludf.DUMMYFUNCTION("""COMPUTED_VALUE"""),12.923306)</f>
        <v>12.923306</v>
      </c>
      <c r="E22297" s="4">
        <f>IFERROR(__xludf.DUMMYFUNCTION("""COMPUTED_VALUE"""),80.119877)</f>
        <v>80.119877</v>
      </c>
      <c r="F22297" s="4">
        <f>IFERROR(__xludf.DUMMYFUNCTION("""COMPUTED_VALUE"""),3143.0)</f>
        <v>3143</v>
      </c>
      <c r="G22297" s="4">
        <f>IFERROR(__xludf.DUMMYFUNCTION("""COMPUTED_VALUE"""),43.0)</f>
        <v>43</v>
      </c>
      <c r="H22297" s="4"/>
      <c r="I22297" s="4"/>
    </row>
    <row r="22298">
      <c r="A22298" s="4" t="str">
        <f>IFERROR(__xludf.DUMMYFUNCTION("""COMPUTED_VALUE"""),"cas_hmw")</f>
        <v>cas_hmw</v>
      </c>
      <c r="B22298" s="5">
        <f>IFERROR(__xludf.DUMMYFUNCTION("""COMPUTED_VALUE"""),44789.0)</f>
        <v>44789</v>
      </c>
      <c r="C22298" s="6">
        <f>IFERROR(__xludf.DUMMYFUNCTION("""COMPUTED_VALUE"""),0.35078703703766223)</f>
        <v>0.350787037</v>
      </c>
      <c r="D22298" s="4">
        <f>IFERROR(__xludf.DUMMYFUNCTION("""COMPUTED_VALUE"""),12.90663)</f>
        <v>12.90663</v>
      </c>
      <c r="E22298" s="4">
        <f>IFERROR(__xludf.DUMMYFUNCTION("""COMPUTED_VALUE"""),80.096674)</f>
        <v>80.096674</v>
      </c>
      <c r="F22298" s="4">
        <f>IFERROR(__xludf.DUMMYFUNCTION("""COMPUTED_VALUE"""),805.0)</f>
        <v>805</v>
      </c>
      <c r="G22298" s="4">
        <f>IFERROR(__xludf.DUMMYFUNCTION("""COMPUTED_VALUE"""),22.0)</f>
        <v>22</v>
      </c>
      <c r="H22298" s="4"/>
      <c r="I22298" s="4"/>
    </row>
    <row r="22299">
      <c r="A22299" s="4" t="str">
        <f>IFERROR(__xludf.DUMMYFUNCTION("""COMPUTED_VALUE"""),"cas_hmw")</f>
        <v>cas_hmw</v>
      </c>
      <c r="B22299" s="5">
        <f>IFERROR(__xludf.DUMMYFUNCTION("""COMPUTED_VALUE"""),44789.0)</f>
        <v>44789</v>
      </c>
      <c r="C22299" s="6">
        <f>IFERROR(__xludf.DUMMYFUNCTION("""COMPUTED_VALUE"""),0.3508101851839456)</f>
        <v>0.3508101852</v>
      </c>
      <c r="D22299" s="4">
        <f>IFERROR(__xludf.DUMMYFUNCTION("""COMPUTED_VALUE"""),12.90663)</f>
        <v>12.90663</v>
      </c>
      <c r="E22299" s="4">
        <f>IFERROR(__xludf.DUMMYFUNCTION("""COMPUTED_VALUE"""),80.096674)</f>
        <v>80.096674</v>
      </c>
      <c r="F22299" s="4">
        <f>IFERROR(__xludf.DUMMYFUNCTION("""COMPUTED_VALUE"""),805.0)</f>
        <v>805</v>
      </c>
      <c r="G22299" s="4">
        <f>IFERROR(__xludf.DUMMYFUNCTION("""COMPUTED_VALUE"""),22.0)</f>
        <v>22</v>
      </c>
      <c r="H22299" s="4"/>
      <c r="I22299" s="4"/>
    </row>
    <row r="22300">
      <c r="A22300" s="4" t="str">
        <f>IFERROR(__xludf.DUMMYFUNCTION("""COMPUTED_VALUE"""),"cas_hmw")</f>
        <v>cas_hmw</v>
      </c>
      <c r="B22300" s="5">
        <f>IFERROR(__xludf.DUMMYFUNCTION("""COMPUTED_VALUE"""),44789.0)</f>
        <v>44789</v>
      </c>
      <c r="C22300" s="6">
        <f>IFERROR(__xludf.DUMMYFUNCTION("""COMPUTED_VALUE"""),0.35187500000029104)</f>
        <v>0.351875</v>
      </c>
      <c r="D22300" s="4">
        <f>IFERROR(__xludf.DUMMYFUNCTION("""COMPUTED_VALUE"""),12.901862)</f>
        <v>12.901862</v>
      </c>
      <c r="E22300" s="4">
        <f>IFERROR(__xludf.DUMMYFUNCTION("""COMPUTED_VALUE"""),80.092967)</f>
        <v>80.092967</v>
      </c>
      <c r="F22300" s="4">
        <f>IFERROR(__xludf.DUMMYFUNCTION("""COMPUTED_VALUE"""),805.0)</f>
        <v>805</v>
      </c>
      <c r="G22300" s="4">
        <f>IFERROR(__xludf.DUMMYFUNCTION("""COMPUTED_VALUE"""),40.0)</f>
        <v>40</v>
      </c>
      <c r="H22300" s="4"/>
      <c r="I22300" s="4"/>
    </row>
    <row r="22301">
      <c r="A22301" s="4" t="str">
        <f>IFERROR(__xludf.DUMMYFUNCTION("""COMPUTED_VALUE"""),"cas_hmw")</f>
        <v>cas_hmw</v>
      </c>
      <c r="B22301" s="5">
        <f>IFERROR(__xludf.DUMMYFUNCTION("""COMPUTED_VALUE"""),44789.0)</f>
        <v>44789</v>
      </c>
      <c r="C22301" s="6">
        <f>IFERROR(__xludf.DUMMYFUNCTION("""COMPUTED_VALUE"""),0.35199074073898373)</f>
        <v>0.3519907407</v>
      </c>
      <c r="D22301" s="4">
        <f>IFERROR(__xludf.DUMMYFUNCTION("""COMPUTED_VALUE"""),12.899855)</f>
        <v>12.899855</v>
      </c>
      <c r="E22301" s="4">
        <f>IFERROR(__xludf.DUMMYFUNCTION("""COMPUTED_VALUE"""),80.091456)</f>
        <v>80.091456</v>
      </c>
      <c r="F22301" s="4">
        <f>IFERROR(__xludf.DUMMYFUNCTION("""COMPUTED_VALUE"""),805.0)</f>
        <v>805</v>
      </c>
      <c r="G22301" s="4">
        <f>IFERROR(__xludf.DUMMYFUNCTION("""COMPUTED_VALUE"""),55.0)</f>
        <v>55</v>
      </c>
      <c r="H22301" s="4"/>
      <c r="I22301" s="4"/>
    </row>
    <row r="22302">
      <c r="A22302" s="4" t="str">
        <f>IFERROR(__xludf.DUMMYFUNCTION("""COMPUTED_VALUE"""),"cas_hmw")</f>
        <v>cas_hmw</v>
      </c>
      <c r="B22302" s="5">
        <f>IFERROR(__xludf.DUMMYFUNCTION("""COMPUTED_VALUE"""),44789.0)</f>
        <v>44789</v>
      </c>
      <c r="C22302" s="6">
        <f>IFERROR(__xludf.DUMMYFUNCTION("""COMPUTED_VALUE"""),0.3534953703710926)</f>
        <v>0.3534953704</v>
      </c>
      <c r="D22302" s="4">
        <f>IFERROR(__xludf.DUMMYFUNCTION("""COMPUTED_VALUE"""),12.884656)</f>
        <v>12.884656</v>
      </c>
      <c r="E22302" s="4">
        <f>IFERROR(__xludf.DUMMYFUNCTION("""COMPUTED_VALUE"""),80.082424)</f>
        <v>80.082424</v>
      </c>
      <c r="F22302" s="4">
        <f>IFERROR(__xludf.DUMMYFUNCTION("""COMPUTED_VALUE"""),805.0)</f>
        <v>805</v>
      </c>
      <c r="G22302" s="4">
        <f>IFERROR(__xludf.DUMMYFUNCTION("""COMPUTED_VALUE"""),44.0)</f>
        <v>44</v>
      </c>
      <c r="H22302" s="4"/>
      <c r="I22302" s="4"/>
    </row>
    <row r="22303">
      <c r="A22303" s="4" t="str">
        <f>IFERROR(__xludf.DUMMYFUNCTION("""COMPUTED_VALUE"""),"cas_hmw")</f>
        <v>cas_hmw</v>
      </c>
      <c r="B22303" s="5">
        <f>IFERROR(__xludf.DUMMYFUNCTION("""COMPUTED_VALUE"""),44789.0)</f>
        <v>44789</v>
      </c>
      <c r="C22303" s="6">
        <f>IFERROR(__xludf.DUMMYFUNCTION("""COMPUTED_VALUE"""),0.3535300925941556)</f>
        <v>0.3535300926</v>
      </c>
      <c r="D22303" s="4">
        <f>IFERROR(__xludf.DUMMYFUNCTION("""COMPUTED_VALUE"""),12.884656)</f>
        <v>12.884656</v>
      </c>
      <c r="E22303" s="4">
        <f>IFERROR(__xludf.DUMMYFUNCTION("""COMPUTED_VALUE"""),80.082424)</f>
        <v>80.082424</v>
      </c>
      <c r="F22303" s="4">
        <f>IFERROR(__xludf.DUMMYFUNCTION("""COMPUTED_VALUE"""),805.0)</f>
        <v>805</v>
      </c>
      <c r="G22303" s="4">
        <f>IFERROR(__xludf.DUMMYFUNCTION("""COMPUTED_VALUE"""),44.0)</f>
        <v>44</v>
      </c>
      <c r="H22303" s="4"/>
      <c r="I22303" s="4"/>
    </row>
    <row r="22304">
      <c r="A22304" s="4" t="str">
        <f>IFERROR(__xludf.DUMMYFUNCTION("""COMPUTED_VALUE"""),"cas_hmw")</f>
        <v>cas_hmw</v>
      </c>
      <c r="B22304" s="5">
        <f>IFERROR(__xludf.DUMMYFUNCTION("""COMPUTED_VALUE"""),44789.0)</f>
        <v>44789</v>
      </c>
      <c r="C22304" s="6">
        <f>IFERROR(__xludf.DUMMYFUNCTION("""COMPUTED_VALUE"""),0.35384259259080864)</f>
        <v>0.3538425926</v>
      </c>
      <c r="D22304" s="4">
        <f>IFERROR(__xludf.DUMMYFUNCTION("""COMPUTED_VALUE"""),12.909269)</f>
        <v>12.909269</v>
      </c>
      <c r="E22304" s="4">
        <f>IFERROR(__xludf.DUMMYFUNCTION("""COMPUTED_VALUE"""),80.099207)</f>
        <v>80.099207</v>
      </c>
      <c r="F22304" s="4">
        <f>IFERROR(__xludf.DUMMYFUNCTION("""COMPUTED_VALUE"""),3143.0)</f>
        <v>3143</v>
      </c>
      <c r="G22304" s="4">
        <f>IFERROR(__xludf.DUMMYFUNCTION("""COMPUTED_VALUE"""),22.0)</f>
        <v>22</v>
      </c>
      <c r="H22304" s="4"/>
      <c r="I22304" s="4"/>
    </row>
    <row r="22305">
      <c r="A22305" s="4" t="str">
        <f>IFERROR(__xludf.DUMMYFUNCTION("""COMPUTED_VALUE"""),"cas_hmw")</f>
        <v>cas_hmw</v>
      </c>
      <c r="B22305" s="5">
        <f>IFERROR(__xludf.DUMMYFUNCTION("""COMPUTED_VALUE"""),44789.0)</f>
        <v>44789</v>
      </c>
      <c r="C22305" s="6">
        <f>IFERROR(__xludf.DUMMYFUNCTION("""COMPUTED_VALUE"""),0.35405092592554865)</f>
        <v>0.3540509259</v>
      </c>
      <c r="D22305" s="4">
        <f>IFERROR(__xludf.DUMMYFUNCTION("""COMPUTED_VALUE"""),12.908422)</f>
        <v>12.908422</v>
      </c>
      <c r="E22305" s="4">
        <f>IFERROR(__xludf.DUMMYFUNCTION("""COMPUTED_VALUE"""),80.098136)</f>
        <v>80.098136</v>
      </c>
      <c r="F22305" s="4">
        <f>IFERROR(__xludf.DUMMYFUNCTION("""COMPUTED_VALUE"""),3143.0)</f>
        <v>3143</v>
      </c>
      <c r="G22305" s="4">
        <f>IFERROR(__xludf.DUMMYFUNCTION("""COMPUTED_VALUE"""),38.0)</f>
        <v>38</v>
      </c>
      <c r="H22305" s="4"/>
      <c r="I22305" s="4"/>
    </row>
    <row r="22306">
      <c r="A22306" s="4" t="str">
        <f>IFERROR(__xludf.DUMMYFUNCTION("""COMPUTED_VALUE"""),"cas_hmw")</f>
        <v>cas_hmw</v>
      </c>
      <c r="B22306" s="5">
        <f>IFERROR(__xludf.DUMMYFUNCTION("""COMPUTED_VALUE"""),44789.0)</f>
        <v>44789</v>
      </c>
      <c r="C22306" s="6">
        <f>IFERROR(__xludf.DUMMYFUNCTION("""COMPUTED_VALUE"""),0.3540624999986903)</f>
        <v>0.3540625</v>
      </c>
      <c r="D22306" s="4">
        <f>IFERROR(__xludf.DUMMYFUNCTION("""COMPUTED_VALUE"""),12.908422)</f>
        <v>12.908422</v>
      </c>
      <c r="E22306" s="4">
        <f>IFERROR(__xludf.DUMMYFUNCTION("""COMPUTED_VALUE"""),80.098136)</f>
        <v>80.098136</v>
      </c>
      <c r="F22306" s="4">
        <f>IFERROR(__xludf.DUMMYFUNCTION("""COMPUTED_VALUE"""),3143.0)</f>
        <v>3143</v>
      </c>
      <c r="G22306" s="4">
        <f>IFERROR(__xludf.DUMMYFUNCTION("""COMPUTED_VALUE"""),38.0)</f>
        <v>38</v>
      </c>
      <c r="H22306" s="4"/>
      <c r="I22306" s="4"/>
    </row>
    <row r="22307">
      <c r="A22307" s="4" t="str">
        <f>IFERROR(__xludf.DUMMYFUNCTION("""COMPUTED_VALUE"""),"cas_hmw")</f>
        <v>cas_hmw</v>
      </c>
      <c r="B22307" s="5">
        <f>IFERROR(__xludf.DUMMYFUNCTION("""COMPUTED_VALUE"""),44789.0)</f>
        <v>44789</v>
      </c>
      <c r="C22307" s="6">
        <f>IFERROR(__xludf.DUMMYFUNCTION("""COMPUTED_VALUE"""),0.3540624999986903)</f>
        <v>0.3540625</v>
      </c>
      <c r="D22307" s="4">
        <f>IFERROR(__xludf.DUMMYFUNCTION("""COMPUTED_VALUE"""),12.880457)</f>
        <v>12.880457</v>
      </c>
      <c r="E22307" s="4">
        <f>IFERROR(__xludf.DUMMYFUNCTION("""COMPUTED_VALUE"""),80.08084)</f>
        <v>80.08084</v>
      </c>
      <c r="F22307" s="4">
        <f>IFERROR(__xludf.DUMMYFUNCTION("""COMPUTED_VALUE"""),805.0)</f>
        <v>805</v>
      </c>
      <c r="G22307" s="4">
        <f>IFERROR(__xludf.DUMMYFUNCTION("""COMPUTED_VALUE"""),46.0)</f>
        <v>46</v>
      </c>
      <c r="H22307" s="4"/>
      <c r="I22307" s="4"/>
    </row>
    <row r="22308">
      <c r="A22308" s="4" t="str">
        <f>IFERROR(__xludf.DUMMYFUNCTION("""COMPUTED_VALUE"""),"cas_hmw")</f>
        <v>cas_hmw</v>
      </c>
      <c r="B22308" s="5">
        <f>IFERROR(__xludf.DUMMYFUNCTION("""COMPUTED_VALUE"""),44789.0)</f>
        <v>44789</v>
      </c>
      <c r="C22308" s="6">
        <f>IFERROR(__xludf.DUMMYFUNCTION("""COMPUTED_VALUE"""),0.35459490740686306)</f>
        <v>0.3545949074</v>
      </c>
      <c r="D22308" s="4">
        <f>IFERROR(__xludf.DUMMYFUNCTION("""COMPUTED_VALUE"""),12.905635)</f>
        <v>12.905635</v>
      </c>
      <c r="E22308" s="4">
        <f>IFERROR(__xludf.DUMMYFUNCTION("""COMPUTED_VALUE"""),80.095909)</f>
        <v>80.095909</v>
      </c>
      <c r="F22308" s="4">
        <f>IFERROR(__xludf.DUMMYFUNCTION("""COMPUTED_VALUE"""),3143.0)</f>
        <v>3143</v>
      </c>
      <c r="G22308" s="4">
        <f>IFERROR(__xludf.DUMMYFUNCTION("""COMPUTED_VALUE"""),29.0)</f>
        <v>29</v>
      </c>
      <c r="H22308" s="4"/>
      <c r="I22308" s="4"/>
    </row>
    <row r="22309">
      <c r="A22309" s="4" t="str">
        <f>IFERROR(__xludf.DUMMYFUNCTION("""COMPUTED_VALUE"""),"cas_hmw")</f>
        <v>cas_hmw</v>
      </c>
      <c r="B22309" s="5">
        <f>IFERROR(__xludf.DUMMYFUNCTION("""COMPUTED_VALUE"""),44789.0)</f>
        <v>44789</v>
      </c>
      <c r="C22309" s="6">
        <f>IFERROR(__xludf.DUMMYFUNCTION("""COMPUTED_VALUE"""),0.3547685185185401)</f>
        <v>0.3547685185</v>
      </c>
      <c r="D22309" s="4">
        <f>IFERROR(__xludf.DUMMYFUNCTION("""COMPUTED_VALUE"""),12.90392)</f>
        <v>12.90392</v>
      </c>
      <c r="E22309" s="4">
        <f>IFERROR(__xludf.DUMMYFUNCTION("""COMPUTED_VALUE"""),80.094591)</f>
        <v>80.094591</v>
      </c>
      <c r="F22309" s="4">
        <f>IFERROR(__xludf.DUMMYFUNCTION("""COMPUTED_VALUE"""),3143.0)</f>
        <v>3143</v>
      </c>
      <c r="G22309" s="4">
        <f>IFERROR(__xludf.DUMMYFUNCTION("""COMPUTED_VALUE"""),42.0)</f>
        <v>42</v>
      </c>
      <c r="H22309" s="4"/>
      <c r="I22309" s="4"/>
    </row>
    <row r="22310">
      <c r="A22310" s="4" t="str">
        <f>IFERROR(__xludf.DUMMYFUNCTION("""COMPUTED_VALUE"""),"cas_hmw")</f>
        <v>cas_hmw</v>
      </c>
      <c r="B22310" s="5">
        <f>IFERROR(__xludf.DUMMYFUNCTION("""COMPUTED_VALUE"""),44789.0)</f>
        <v>44789</v>
      </c>
      <c r="C22310" s="6">
        <f>IFERROR(__xludf.DUMMYFUNCTION("""COMPUTED_VALUE"""),0.35518518518438214)</f>
        <v>0.3551851852</v>
      </c>
      <c r="D22310" s="4">
        <f>IFERROR(__xludf.DUMMYFUNCTION("""COMPUTED_VALUE"""),12.87855)</f>
        <v>12.87855</v>
      </c>
      <c r="E22310" s="4">
        <f>IFERROR(__xludf.DUMMYFUNCTION("""COMPUTED_VALUE"""),80.081902)</f>
        <v>80.081902</v>
      </c>
      <c r="F22310" s="4">
        <f>IFERROR(__xludf.DUMMYFUNCTION("""COMPUTED_VALUE"""),805.0)</f>
        <v>805</v>
      </c>
      <c r="G22310" s="4">
        <f>IFERROR(__xludf.DUMMYFUNCTION("""COMPUTED_VALUE"""),41.0)</f>
        <v>41</v>
      </c>
      <c r="H22310" s="4"/>
      <c r="I22310" s="4"/>
    </row>
    <row r="22311">
      <c r="A22311" s="4" t="str">
        <f>IFERROR(__xludf.DUMMYFUNCTION("""COMPUTED_VALUE"""),"cas_hmw")</f>
        <v>cas_hmw</v>
      </c>
      <c r="B22311" s="5">
        <f>IFERROR(__xludf.DUMMYFUNCTION("""COMPUTED_VALUE"""),44789.0)</f>
        <v>44789</v>
      </c>
      <c r="C22311" s="6">
        <f>IFERROR(__xludf.DUMMYFUNCTION("""COMPUTED_VALUE"""),0.3552662037036498)</f>
        <v>0.3552662037</v>
      </c>
      <c r="D22311" s="4">
        <f>IFERROR(__xludf.DUMMYFUNCTION("""COMPUTED_VALUE"""),12.878223)</f>
        <v>12.878223</v>
      </c>
      <c r="E22311" s="4">
        <f>IFERROR(__xludf.DUMMYFUNCTION("""COMPUTED_VALUE"""),80.082906)</f>
        <v>80.082906</v>
      </c>
      <c r="F22311" s="4">
        <f>IFERROR(__xludf.DUMMYFUNCTION("""COMPUTED_VALUE"""),805.0)</f>
        <v>805</v>
      </c>
      <c r="G22311" s="4">
        <f>IFERROR(__xludf.DUMMYFUNCTION("""COMPUTED_VALUE"""),35.0)</f>
        <v>35</v>
      </c>
      <c r="H22311" s="4"/>
      <c r="I22311" s="4"/>
    </row>
    <row r="22312">
      <c r="A22312" s="4" t="str">
        <f>IFERROR(__xludf.DUMMYFUNCTION("""COMPUTED_VALUE"""),"cas_hmw")</f>
        <v>cas_hmw</v>
      </c>
      <c r="B22312" s="5">
        <f>IFERROR(__xludf.DUMMYFUNCTION("""COMPUTED_VALUE"""),44789.0)</f>
        <v>44789</v>
      </c>
      <c r="C22312" s="6">
        <f>IFERROR(__xludf.DUMMYFUNCTION("""COMPUTED_VALUE"""),0.3567824074089003)</f>
        <v>0.3567824074</v>
      </c>
      <c r="D22312" s="4">
        <f>IFERROR(__xludf.DUMMYFUNCTION("""COMPUTED_VALUE"""),12.88583)</f>
        <v>12.88583</v>
      </c>
      <c r="E22312" s="4">
        <f>IFERROR(__xludf.DUMMYFUNCTION("""COMPUTED_VALUE"""),80.082923)</f>
        <v>80.082923</v>
      </c>
      <c r="F22312" s="4">
        <f>IFERROR(__xludf.DUMMYFUNCTION("""COMPUTED_VALUE"""),3143.0)</f>
        <v>3143</v>
      </c>
      <c r="G22312" s="4">
        <f>IFERROR(__xludf.DUMMYFUNCTION("""COMPUTED_VALUE"""),55.0)</f>
        <v>55</v>
      </c>
      <c r="H22312" s="4"/>
      <c r="I22312" s="4"/>
    </row>
    <row r="22313">
      <c r="A22313" s="4" t="str">
        <f>IFERROR(__xludf.DUMMYFUNCTION("""COMPUTED_VALUE"""),"cas_hmw")</f>
        <v>cas_hmw</v>
      </c>
      <c r="B22313" s="5">
        <f>IFERROR(__xludf.DUMMYFUNCTION("""COMPUTED_VALUE"""),44789.0)</f>
        <v>44789</v>
      </c>
      <c r="C22313" s="6">
        <f>IFERROR(__xludf.DUMMYFUNCTION("""COMPUTED_VALUE"""),0.6885879629626288)</f>
        <v>0.688587963</v>
      </c>
      <c r="D22313" s="4">
        <f>IFERROR(__xludf.DUMMYFUNCTION("""COMPUTED_VALUE"""),12.877729)</f>
        <v>12.877729</v>
      </c>
      <c r="E22313" s="4">
        <f>IFERROR(__xludf.DUMMYFUNCTION("""COMPUTED_VALUE"""),80.08403)</f>
        <v>80.08403</v>
      </c>
      <c r="F22313" s="4">
        <f>IFERROR(__xludf.DUMMYFUNCTION("""COMPUTED_VALUE"""),805.0)</f>
        <v>805</v>
      </c>
      <c r="G22313" s="4">
        <f>IFERROR(__xludf.DUMMYFUNCTION("""COMPUTED_VALUE"""),38.0)</f>
        <v>38</v>
      </c>
      <c r="H22313" s="4"/>
      <c r="I22313" s="4"/>
    </row>
    <row r="22314">
      <c r="A22314" s="4" t="str">
        <f>IFERROR(__xludf.DUMMYFUNCTION("""COMPUTED_VALUE"""),"cas_hmw")</f>
        <v>cas_hmw</v>
      </c>
      <c r="B22314" s="5">
        <f>IFERROR(__xludf.DUMMYFUNCTION("""COMPUTED_VALUE"""),44789.0)</f>
        <v>44789</v>
      </c>
      <c r="C22314" s="6">
        <f>IFERROR(__xludf.DUMMYFUNCTION("""COMPUTED_VALUE"""),0.6905439814800047)</f>
        <v>0.6905439815</v>
      </c>
      <c r="D22314" s="4">
        <f>IFERROR(__xludf.DUMMYFUNCTION("""COMPUTED_VALUE"""),12.881397)</f>
        <v>12.881397</v>
      </c>
      <c r="E22314" s="4">
        <f>IFERROR(__xludf.DUMMYFUNCTION("""COMPUTED_VALUE"""),80.080695)</f>
        <v>80.080695</v>
      </c>
      <c r="F22314" s="4">
        <f>IFERROR(__xludf.DUMMYFUNCTION("""COMPUTED_VALUE"""),805.0)</f>
        <v>805</v>
      </c>
      <c r="G22314" s="4">
        <f>IFERROR(__xludf.DUMMYFUNCTION("""COMPUTED_VALUE"""),24.0)</f>
        <v>24</v>
      </c>
      <c r="H22314" s="4"/>
      <c r="I22314" s="4"/>
    </row>
    <row r="22315">
      <c r="A22315" s="4" t="str">
        <f>IFERROR(__xludf.DUMMYFUNCTION("""COMPUTED_VALUE"""),"cas_hmw")</f>
        <v>cas_hmw</v>
      </c>
      <c r="B22315" s="5">
        <f>IFERROR(__xludf.DUMMYFUNCTION("""COMPUTED_VALUE"""),44789.0)</f>
        <v>44789</v>
      </c>
      <c r="C22315" s="6">
        <f>IFERROR(__xludf.DUMMYFUNCTION("""COMPUTED_VALUE"""),0.6905902777762094)</f>
        <v>0.6905902778</v>
      </c>
      <c r="D22315" s="4">
        <f>IFERROR(__xludf.DUMMYFUNCTION("""COMPUTED_VALUE"""),12.882137)</f>
        <v>12.882137</v>
      </c>
      <c r="E22315" s="4">
        <f>IFERROR(__xludf.DUMMYFUNCTION("""COMPUTED_VALUE"""),80.080989)</f>
        <v>80.080989</v>
      </c>
      <c r="F22315" s="4">
        <f>IFERROR(__xludf.DUMMYFUNCTION("""COMPUTED_VALUE"""),805.0)</f>
        <v>805</v>
      </c>
      <c r="G22315" s="4">
        <f>IFERROR(__xludf.DUMMYFUNCTION("""COMPUTED_VALUE"""),31.0)</f>
        <v>31</v>
      </c>
      <c r="H22315" s="4"/>
      <c r="I22315" s="4"/>
    </row>
    <row r="22316">
      <c r="A22316" s="4" t="str">
        <f>IFERROR(__xludf.DUMMYFUNCTION("""COMPUTED_VALUE"""),"cas_hmw")</f>
        <v>cas_hmw</v>
      </c>
      <c r="B22316" s="5">
        <f>IFERROR(__xludf.DUMMYFUNCTION("""COMPUTED_VALUE"""),44789.0)</f>
        <v>44789</v>
      </c>
      <c r="C22316" s="6">
        <f>IFERROR(__xludf.DUMMYFUNCTION("""COMPUTED_VALUE"""),0.6906018518529891)</f>
        <v>0.6906018519</v>
      </c>
      <c r="D22316" s="4">
        <f>IFERROR(__xludf.DUMMYFUNCTION("""COMPUTED_VALUE"""),12.882137)</f>
        <v>12.882137</v>
      </c>
      <c r="E22316" s="4">
        <f>IFERROR(__xludf.DUMMYFUNCTION("""COMPUTED_VALUE"""),80.080989)</f>
        <v>80.080989</v>
      </c>
      <c r="F22316" s="4">
        <f>IFERROR(__xludf.DUMMYFUNCTION("""COMPUTED_VALUE"""),805.0)</f>
        <v>805</v>
      </c>
      <c r="G22316" s="4">
        <f>IFERROR(__xludf.DUMMYFUNCTION("""COMPUTED_VALUE"""),31.0)</f>
        <v>31</v>
      </c>
      <c r="H22316" s="4"/>
      <c r="I22316" s="4"/>
    </row>
    <row r="22317">
      <c r="A22317" s="4" t="str">
        <f>IFERROR(__xludf.DUMMYFUNCTION("""COMPUTED_VALUE"""),"cas_hmw")</f>
        <v>cas_hmw</v>
      </c>
      <c r="B22317" s="5">
        <f>IFERROR(__xludf.DUMMYFUNCTION("""COMPUTED_VALUE"""),44789.0)</f>
        <v>44789</v>
      </c>
      <c r="C22317" s="6">
        <f>IFERROR(__xludf.DUMMYFUNCTION("""COMPUTED_VALUE"""),0.6908564814802958)</f>
        <v>0.6908564815</v>
      </c>
      <c r="D22317" s="4">
        <f>IFERROR(__xludf.DUMMYFUNCTION("""COMPUTED_VALUE"""),12.883701)</f>
        <v>12.883701</v>
      </c>
      <c r="E22317" s="4">
        <f>IFERROR(__xludf.DUMMYFUNCTION("""COMPUTED_VALUE"""),80.081572)</f>
        <v>80.081572</v>
      </c>
      <c r="F22317" s="4">
        <f>IFERROR(__xludf.DUMMYFUNCTION("""COMPUTED_VALUE"""),805.0)</f>
        <v>805</v>
      </c>
      <c r="G22317" s="4">
        <f>IFERROR(__xludf.DUMMYFUNCTION("""COMPUTED_VALUE"""),39.0)</f>
        <v>39</v>
      </c>
      <c r="H22317" s="4"/>
      <c r="I22317" s="4"/>
    </row>
    <row r="22318">
      <c r="A22318" s="4" t="str">
        <f>IFERROR(__xludf.DUMMYFUNCTION("""COMPUTED_VALUE"""),"cas_hmw")</f>
        <v>cas_hmw</v>
      </c>
      <c r="B22318" s="5">
        <f>IFERROR(__xludf.DUMMYFUNCTION("""COMPUTED_VALUE"""),44789.0)</f>
        <v>44789</v>
      </c>
      <c r="C22318" s="6">
        <f>IFERROR(__xludf.DUMMYFUNCTION("""COMPUTED_VALUE"""),0.6909027777765004)</f>
        <v>0.6909027778</v>
      </c>
      <c r="D22318" s="4">
        <f>IFERROR(__xludf.DUMMYFUNCTION("""COMPUTED_VALUE"""),12.881532)</f>
        <v>12.881532</v>
      </c>
      <c r="E22318" s="4">
        <f>IFERROR(__xludf.DUMMYFUNCTION("""COMPUTED_VALUE"""),80.080722)</f>
        <v>80.080722</v>
      </c>
      <c r="F22318" s="4">
        <f>IFERROR(__xludf.DUMMYFUNCTION("""COMPUTED_VALUE"""),3143.0)</f>
        <v>3143</v>
      </c>
      <c r="G22318" s="4">
        <f>IFERROR(__xludf.DUMMYFUNCTION("""COMPUTED_VALUE"""),32.0)</f>
        <v>32</v>
      </c>
      <c r="H22318" s="4"/>
      <c r="I22318" s="4"/>
    </row>
    <row r="22319">
      <c r="A22319" s="4" t="str">
        <f>IFERROR(__xludf.DUMMYFUNCTION("""COMPUTED_VALUE"""),"cas_hmw")</f>
        <v>cas_hmw</v>
      </c>
      <c r="B22319" s="5">
        <f>IFERROR(__xludf.DUMMYFUNCTION("""COMPUTED_VALUE"""),44789.0)</f>
        <v>44789</v>
      </c>
      <c r="C22319" s="6">
        <f>IFERROR(__xludf.DUMMYFUNCTION("""COMPUTED_VALUE"""),0.6910879629613191)</f>
        <v>0.691087963</v>
      </c>
      <c r="D22319" s="4">
        <f>IFERROR(__xludf.DUMMYFUNCTION("""COMPUTED_VALUE"""),12.882888)</f>
        <v>12.882888</v>
      </c>
      <c r="E22319" s="4">
        <f>IFERROR(__xludf.DUMMYFUNCTION("""COMPUTED_VALUE"""),80.081239)</f>
        <v>80.081239</v>
      </c>
      <c r="F22319" s="4">
        <f>IFERROR(__xludf.DUMMYFUNCTION("""COMPUTED_VALUE"""),3143.0)</f>
        <v>3143</v>
      </c>
      <c r="G22319" s="4">
        <f>IFERROR(__xludf.DUMMYFUNCTION("""COMPUTED_VALUE"""),38.0)</f>
        <v>38</v>
      </c>
      <c r="H22319" s="4"/>
      <c r="I22319" s="4"/>
    </row>
    <row r="22320">
      <c r="A22320" s="4" t="str">
        <f>IFERROR(__xludf.DUMMYFUNCTION("""COMPUTED_VALUE"""),"cas_hmw")</f>
        <v>cas_hmw</v>
      </c>
      <c r="B22320" s="5">
        <f>IFERROR(__xludf.DUMMYFUNCTION("""COMPUTED_VALUE"""),44789.0)</f>
        <v>44789</v>
      </c>
      <c r="C22320" s="6">
        <f>IFERROR(__xludf.DUMMYFUNCTION("""COMPUTED_VALUE"""),0.6910995370380988)</f>
        <v>0.691099537</v>
      </c>
      <c r="D22320" s="4">
        <f>IFERROR(__xludf.DUMMYFUNCTION("""COMPUTED_VALUE"""),12.882888)</f>
        <v>12.882888</v>
      </c>
      <c r="E22320" s="4">
        <f>IFERROR(__xludf.DUMMYFUNCTION("""COMPUTED_VALUE"""),80.081239)</f>
        <v>80.081239</v>
      </c>
      <c r="F22320" s="4">
        <f>IFERROR(__xludf.DUMMYFUNCTION("""COMPUTED_VALUE"""),3143.0)</f>
        <v>3143</v>
      </c>
      <c r="G22320" s="4">
        <f>IFERROR(__xludf.DUMMYFUNCTION("""COMPUTED_VALUE"""),38.0)</f>
        <v>38</v>
      </c>
      <c r="H22320" s="4"/>
      <c r="I22320" s="4"/>
    </row>
    <row r="22321">
      <c r="A22321" s="4" t="str">
        <f>IFERROR(__xludf.DUMMYFUNCTION("""COMPUTED_VALUE"""),"cas_hmw")</f>
        <v>cas_hmw</v>
      </c>
      <c r="B22321" s="5">
        <f>IFERROR(__xludf.DUMMYFUNCTION("""COMPUTED_VALUE"""),44789.0)</f>
        <v>44789</v>
      </c>
      <c r="C22321" s="6">
        <f>IFERROR(__xludf.DUMMYFUNCTION("""COMPUTED_VALUE"""),0.6913888888884685)</f>
        <v>0.6913888889</v>
      </c>
      <c r="D22321" s="4">
        <f>IFERROR(__xludf.DUMMYFUNCTION("""COMPUTED_VALUE"""),12.889161)</f>
        <v>12.889161</v>
      </c>
      <c r="E22321" s="4">
        <f>IFERROR(__xludf.DUMMYFUNCTION("""COMPUTED_VALUE"""),80.084168)</f>
        <v>80.084168</v>
      </c>
      <c r="F22321" s="4">
        <f>IFERROR(__xludf.DUMMYFUNCTION("""COMPUTED_VALUE"""),805.0)</f>
        <v>805</v>
      </c>
      <c r="G22321" s="4">
        <f>IFERROR(__xludf.DUMMYFUNCTION("""COMPUTED_VALUE"""),56.0)</f>
        <v>56</v>
      </c>
      <c r="H22321" s="4"/>
      <c r="I22321" s="4"/>
    </row>
    <row r="22322">
      <c r="A22322" s="4" t="str">
        <f>IFERROR(__xludf.DUMMYFUNCTION("""COMPUTED_VALUE"""),"cas_hmw")</f>
        <v>cas_hmw</v>
      </c>
      <c r="B22322" s="5">
        <f>IFERROR(__xludf.DUMMYFUNCTION("""COMPUTED_VALUE"""),44789.0)</f>
        <v>44789</v>
      </c>
      <c r="C22322" s="6">
        <f>IFERROR(__xludf.DUMMYFUNCTION("""COMPUTED_VALUE"""),0.6916319444426335)</f>
        <v>0.6916319444</v>
      </c>
      <c r="D22322" s="4">
        <f>IFERROR(__xludf.DUMMYFUNCTION("""COMPUTED_VALUE"""),12.88985)</f>
        <v>12.88985</v>
      </c>
      <c r="E22322" s="4">
        <f>IFERROR(__xludf.DUMMYFUNCTION("""COMPUTED_VALUE"""),80.084431)</f>
        <v>80.084431</v>
      </c>
      <c r="F22322" s="4">
        <f>IFERROR(__xludf.DUMMYFUNCTION("""COMPUTED_VALUE"""),5339.0)</f>
        <v>5339</v>
      </c>
      <c r="G22322" s="4">
        <f>IFERROR(__xludf.DUMMYFUNCTION("""COMPUTED_VALUE"""),52.0)</f>
        <v>52</v>
      </c>
      <c r="H22322" s="4"/>
      <c r="I22322" s="4"/>
    </row>
    <row r="22323">
      <c r="A22323" s="4" t="str">
        <f>IFERROR(__xludf.DUMMYFUNCTION("""COMPUTED_VALUE"""),"cas_hmw")</f>
        <v>cas_hmw</v>
      </c>
      <c r="B22323" s="5">
        <f>IFERROR(__xludf.DUMMYFUNCTION("""COMPUTED_VALUE"""),44789.0)</f>
        <v>44789</v>
      </c>
      <c r="C22323" s="6">
        <f>IFERROR(__xludf.DUMMYFUNCTION("""COMPUTED_VALUE"""),0.6919212962966412)</f>
        <v>0.6919212963</v>
      </c>
      <c r="D22323" s="4">
        <f>IFERROR(__xludf.DUMMYFUNCTION("""COMPUTED_VALUE"""),12.877804)</f>
        <v>12.877804</v>
      </c>
      <c r="E22323" s="4">
        <f>IFERROR(__xludf.DUMMYFUNCTION("""COMPUTED_VALUE"""),80.079827)</f>
        <v>80.079827</v>
      </c>
      <c r="F22323" s="4">
        <f>IFERROR(__xludf.DUMMYFUNCTION("""COMPUTED_VALUE"""),2846.0)</f>
        <v>2846</v>
      </c>
      <c r="G22323" s="4">
        <f>IFERROR(__xludf.DUMMYFUNCTION("""COMPUTED_VALUE"""),27.0)</f>
        <v>27</v>
      </c>
      <c r="H22323" s="4"/>
      <c r="I22323" s="4"/>
    </row>
    <row r="22324">
      <c r="A22324" s="4" t="str">
        <f>IFERROR(__xludf.DUMMYFUNCTION("""COMPUTED_VALUE"""),"cas_hmw")</f>
        <v>cas_hmw</v>
      </c>
      <c r="B22324" s="5">
        <f>IFERROR(__xludf.DUMMYFUNCTION("""COMPUTED_VALUE"""),44789.0)</f>
        <v>44789</v>
      </c>
      <c r="C22324" s="6">
        <f>IFERROR(__xludf.DUMMYFUNCTION("""COMPUTED_VALUE"""),0.6920717592583969)</f>
        <v>0.6920717593</v>
      </c>
      <c r="D22324" s="4">
        <f>IFERROR(__xludf.DUMMYFUNCTION("""COMPUTED_VALUE"""),12.892836)</f>
        <v>12.892836</v>
      </c>
      <c r="E22324" s="4">
        <f>IFERROR(__xludf.DUMMYFUNCTION("""COMPUTED_VALUE"""),80.085975)</f>
        <v>80.085975</v>
      </c>
      <c r="F22324" s="4">
        <f>IFERROR(__xludf.DUMMYFUNCTION("""COMPUTED_VALUE"""),3143.0)</f>
        <v>3143</v>
      </c>
      <c r="G22324" s="4">
        <f>IFERROR(__xludf.DUMMYFUNCTION("""COMPUTED_VALUE"""),36.0)</f>
        <v>36</v>
      </c>
      <c r="H22324" s="4"/>
      <c r="I22324" s="4"/>
    </row>
    <row r="22325">
      <c r="A22325" s="4" t="str">
        <f>IFERROR(__xludf.DUMMYFUNCTION("""COMPUTED_VALUE"""),"cas_hmw")</f>
        <v>cas_hmw</v>
      </c>
      <c r="B22325" s="5">
        <f>IFERROR(__xludf.DUMMYFUNCTION("""COMPUTED_VALUE"""),44789.0)</f>
        <v>44789</v>
      </c>
      <c r="C22325" s="6">
        <f>IFERROR(__xludf.DUMMYFUNCTION("""COMPUTED_VALUE"""),0.6921990740738693)</f>
        <v>0.6921990741</v>
      </c>
      <c r="D22325" s="4">
        <f>IFERROR(__xludf.DUMMYFUNCTION("""COMPUTED_VALUE"""),12.894978)</f>
        <v>12.894978</v>
      </c>
      <c r="E22325" s="4">
        <f>IFERROR(__xludf.DUMMYFUNCTION("""COMPUTED_VALUE"""),80.087588)</f>
        <v>80.087588</v>
      </c>
      <c r="F22325" s="4">
        <f>IFERROR(__xludf.DUMMYFUNCTION("""COMPUTED_VALUE"""),5339.0)</f>
        <v>5339</v>
      </c>
      <c r="G22325" s="4">
        <f>IFERROR(__xludf.DUMMYFUNCTION("""COMPUTED_VALUE"""),49.0)</f>
        <v>49</v>
      </c>
      <c r="H22325" s="4"/>
      <c r="I22325" s="4"/>
    </row>
    <row r="22326">
      <c r="A22326" s="4" t="str">
        <f>IFERROR(__xludf.DUMMYFUNCTION("""COMPUTED_VALUE"""),"cas_hmw")</f>
        <v>cas_hmw</v>
      </c>
      <c r="B22326" s="5">
        <f>IFERROR(__xludf.DUMMYFUNCTION("""COMPUTED_VALUE"""),44789.0)</f>
        <v>44789</v>
      </c>
      <c r="C22326" s="6">
        <f>IFERROR(__xludf.DUMMYFUNCTION("""COMPUTED_VALUE"""),0.6923263888893416)</f>
        <v>0.6923263889</v>
      </c>
      <c r="D22326" s="4">
        <f>IFERROR(__xludf.DUMMYFUNCTION("""COMPUTED_VALUE"""),12.894283)</f>
        <v>12.894283</v>
      </c>
      <c r="E22326" s="4">
        <f>IFERROR(__xludf.DUMMYFUNCTION("""COMPUTED_VALUE"""),80.087092)</f>
        <v>80.087092</v>
      </c>
      <c r="F22326" s="4">
        <f>IFERROR(__xludf.DUMMYFUNCTION("""COMPUTED_VALUE"""),3143.0)</f>
        <v>3143</v>
      </c>
      <c r="G22326" s="4">
        <f>IFERROR(__xludf.DUMMYFUNCTION("""COMPUTED_VALUE"""),46.0)</f>
        <v>46</v>
      </c>
      <c r="H22326" s="4"/>
      <c r="I22326" s="4"/>
    </row>
    <row r="22327">
      <c r="A22327" s="4" t="str">
        <f>IFERROR(__xludf.DUMMYFUNCTION("""COMPUTED_VALUE"""),"cas_hmw")</f>
        <v>cas_hmw</v>
      </c>
      <c r="B22327" s="5">
        <f>IFERROR(__xludf.DUMMYFUNCTION("""COMPUTED_VALUE"""),44789.0)</f>
        <v>44789</v>
      </c>
      <c r="C22327" s="6">
        <f>IFERROR(__xludf.DUMMYFUNCTION("""COMPUTED_VALUE"""),0.6926504629627743)</f>
        <v>0.692650463</v>
      </c>
      <c r="D22327" s="4">
        <f>IFERROR(__xludf.DUMMYFUNCTION("""COMPUTED_VALUE"""),12.902206)</f>
        <v>12.902206</v>
      </c>
      <c r="E22327" s="4">
        <f>IFERROR(__xludf.DUMMYFUNCTION("""COMPUTED_VALUE"""),80.093065)</f>
        <v>80.093065</v>
      </c>
      <c r="F22327" s="4">
        <f>IFERROR(__xludf.DUMMYFUNCTION("""COMPUTED_VALUE"""),805.0)</f>
        <v>805</v>
      </c>
      <c r="G22327" s="4">
        <f>IFERROR(__xludf.DUMMYFUNCTION("""COMPUTED_VALUE"""),49.0)</f>
        <v>49</v>
      </c>
      <c r="H22327" s="4"/>
      <c r="I22327" s="4"/>
    </row>
    <row r="22328">
      <c r="A22328" s="4" t="str">
        <f>IFERROR(__xludf.DUMMYFUNCTION("""COMPUTED_VALUE"""),"cas_hmw")</f>
        <v>cas_hmw</v>
      </c>
      <c r="B22328" s="5">
        <f>IFERROR(__xludf.DUMMYFUNCTION("""COMPUTED_VALUE"""),44789.0)</f>
        <v>44789</v>
      </c>
      <c r="C22328" s="6">
        <f>IFERROR(__xludf.DUMMYFUNCTION("""COMPUTED_VALUE"""),0.6926851851858373)</f>
        <v>0.6926851852</v>
      </c>
      <c r="D22328" s="4">
        <f>IFERROR(__xludf.DUMMYFUNCTION("""COMPUTED_VALUE"""),12.902206)</f>
        <v>12.902206</v>
      </c>
      <c r="E22328" s="4">
        <f>IFERROR(__xludf.DUMMYFUNCTION("""COMPUTED_VALUE"""),80.093065)</f>
        <v>80.093065</v>
      </c>
      <c r="F22328" s="4">
        <f>IFERROR(__xludf.DUMMYFUNCTION("""COMPUTED_VALUE"""),805.0)</f>
        <v>805</v>
      </c>
      <c r="G22328" s="4">
        <f>IFERROR(__xludf.DUMMYFUNCTION("""COMPUTED_VALUE"""),49.0)</f>
        <v>49</v>
      </c>
      <c r="H22328" s="4"/>
      <c r="I22328" s="4"/>
    </row>
    <row r="22329">
      <c r="A22329" s="4" t="str">
        <f>IFERROR(__xludf.DUMMYFUNCTION("""COMPUTED_VALUE"""),"cas_hmw")</f>
        <v>cas_hmw</v>
      </c>
      <c r="B22329" s="5">
        <f>IFERROR(__xludf.DUMMYFUNCTION("""COMPUTED_VALUE"""),44789.0)</f>
        <v>44789</v>
      </c>
      <c r="C22329" s="6">
        <f>IFERROR(__xludf.DUMMYFUNCTION("""COMPUTED_VALUE"""),0.6930208333324117)</f>
        <v>0.6930208333</v>
      </c>
      <c r="D22329" s="4">
        <f>IFERROR(__xludf.DUMMYFUNCTION("""COMPUTED_VALUE"""),12.901262)</f>
        <v>12.901262</v>
      </c>
      <c r="E22329" s="4">
        <f>IFERROR(__xludf.DUMMYFUNCTION("""COMPUTED_VALUE"""),80.092271)</f>
        <v>80.092271</v>
      </c>
      <c r="F22329" s="4">
        <f>IFERROR(__xludf.DUMMYFUNCTION("""COMPUTED_VALUE"""),3143.0)</f>
        <v>3143</v>
      </c>
      <c r="G22329" s="4">
        <f>IFERROR(__xludf.DUMMYFUNCTION("""COMPUTED_VALUE"""),56.0)</f>
        <v>56</v>
      </c>
      <c r="H22329" s="4"/>
      <c r="I22329" s="4"/>
    </row>
    <row r="22330">
      <c r="A22330" s="4" t="str">
        <f>IFERROR(__xludf.DUMMYFUNCTION("""COMPUTED_VALUE"""),"cas_hmw")</f>
        <v>cas_hmw</v>
      </c>
      <c r="B22330" s="5">
        <f>IFERROR(__xludf.DUMMYFUNCTION("""COMPUTED_VALUE"""),44789.0)</f>
        <v>44789</v>
      </c>
      <c r="C22330" s="6">
        <f>IFERROR(__xludf.DUMMYFUNCTION("""COMPUTED_VALUE"""),0.6931712962978054)</f>
        <v>0.6931712963</v>
      </c>
      <c r="D22330" s="4">
        <f>IFERROR(__xludf.DUMMYFUNCTION("""COMPUTED_VALUE"""),12.901262)</f>
        <v>12.901262</v>
      </c>
      <c r="E22330" s="4">
        <f>IFERROR(__xludf.DUMMYFUNCTION("""COMPUTED_VALUE"""),80.092271)</f>
        <v>80.092271</v>
      </c>
      <c r="F22330" s="4">
        <f>IFERROR(__xludf.DUMMYFUNCTION("""COMPUTED_VALUE"""),3143.0)</f>
        <v>3143</v>
      </c>
      <c r="G22330" s="4">
        <f>IFERROR(__xludf.DUMMYFUNCTION("""COMPUTED_VALUE"""),56.0)</f>
        <v>56</v>
      </c>
      <c r="H22330" s="4"/>
      <c r="I22330" s="4"/>
    </row>
    <row r="22331">
      <c r="A22331" s="4" t="str">
        <f>IFERROR(__xludf.DUMMYFUNCTION("""COMPUTED_VALUE"""),"cas_hmw")</f>
        <v>cas_hmw</v>
      </c>
      <c r="B22331" s="5">
        <f>IFERROR(__xludf.DUMMYFUNCTION("""COMPUTED_VALUE"""),44789.0)</f>
        <v>44789</v>
      </c>
      <c r="C22331" s="6">
        <f>IFERROR(__xludf.DUMMYFUNCTION("""COMPUTED_VALUE"""),0.6932407407402934)</f>
        <v>0.6932407407</v>
      </c>
      <c r="D22331" s="4">
        <f>IFERROR(__xludf.DUMMYFUNCTION("""COMPUTED_VALUE"""),12.902944)</f>
        <v>12.902944</v>
      </c>
      <c r="E22331" s="4">
        <f>IFERROR(__xludf.DUMMYFUNCTION("""COMPUTED_VALUE"""),80.09354)</f>
        <v>80.09354</v>
      </c>
      <c r="F22331" s="4">
        <f>IFERROR(__xludf.DUMMYFUNCTION("""COMPUTED_VALUE"""),3143.0)</f>
        <v>3143</v>
      </c>
      <c r="G22331" s="4">
        <f>IFERROR(__xludf.DUMMYFUNCTION("""COMPUTED_VALUE"""),47.0)</f>
        <v>47</v>
      </c>
      <c r="H22331" s="4"/>
      <c r="I22331" s="4"/>
    </row>
    <row r="22332">
      <c r="A22332" s="4" t="str">
        <f>IFERROR(__xludf.DUMMYFUNCTION("""COMPUTED_VALUE"""),"cas_hmw")</f>
        <v>cas_hmw</v>
      </c>
      <c r="B22332" s="5">
        <f>IFERROR(__xludf.DUMMYFUNCTION("""COMPUTED_VALUE"""),44789.0)</f>
        <v>44789</v>
      </c>
      <c r="C22332" s="6">
        <f>IFERROR(__xludf.DUMMYFUNCTION("""COMPUTED_VALUE"""),0.6933449074058444)</f>
        <v>0.6933449074</v>
      </c>
      <c r="D22332" s="4">
        <f>IFERROR(__xludf.DUMMYFUNCTION("""COMPUTED_VALUE"""),12.905548)</f>
        <v>12.905548</v>
      </c>
      <c r="E22332" s="4">
        <f>IFERROR(__xludf.DUMMYFUNCTION("""COMPUTED_VALUE"""),80.095682)</f>
        <v>80.095682</v>
      </c>
      <c r="F22332" s="4">
        <f>IFERROR(__xludf.DUMMYFUNCTION("""COMPUTED_VALUE"""),5339.0)</f>
        <v>5339</v>
      </c>
      <c r="G22332" s="4">
        <f>IFERROR(__xludf.DUMMYFUNCTION("""COMPUTED_VALUE"""),41.0)</f>
        <v>41</v>
      </c>
      <c r="H22332" s="4"/>
      <c r="I22332" s="4"/>
    </row>
    <row r="22333">
      <c r="A22333" s="4" t="str">
        <f>IFERROR(__xludf.DUMMYFUNCTION("""COMPUTED_VALUE"""),"cas_hmw")</f>
        <v>cas_hmw</v>
      </c>
      <c r="B22333" s="5">
        <f>IFERROR(__xludf.DUMMYFUNCTION("""COMPUTED_VALUE"""),44789.0)</f>
        <v>44789</v>
      </c>
      <c r="C22333" s="6">
        <f>IFERROR(__xludf.DUMMYFUNCTION("""COMPUTED_VALUE"""),0.6939699074064265)</f>
        <v>0.6939699074</v>
      </c>
      <c r="D22333" s="4">
        <f>IFERROR(__xludf.DUMMYFUNCTION("""COMPUTED_VALUE"""),12.911669)</f>
        <v>12.911669</v>
      </c>
      <c r="E22333" s="4">
        <f>IFERROR(__xludf.DUMMYFUNCTION("""COMPUTED_VALUE"""),80.101341)</f>
        <v>80.101341</v>
      </c>
      <c r="F22333" s="4">
        <f>IFERROR(__xludf.DUMMYFUNCTION("""COMPUTED_VALUE"""),805.0)</f>
        <v>805</v>
      </c>
      <c r="G22333" s="4">
        <f>IFERROR(__xludf.DUMMYFUNCTION("""COMPUTED_VALUE"""),22.0)</f>
        <v>22</v>
      </c>
      <c r="H22333" s="4"/>
      <c r="I22333" s="4"/>
    </row>
    <row r="22334">
      <c r="A22334" s="4" t="str">
        <f>IFERROR(__xludf.DUMMYFUNCTION("""COMPUTED_VALUE"""),"cas_hmw")</f>
        <v>cas_hmw</v>
      </c>
      <c r="B22334" s="5">
        <f>IFERROR(__xludf.DUMMYFUNCTION("""COMPUTED_VALUE"""),44789.0)</f>
        <v>44789</v>
      </c>
      <c r="C22334" s="6">
        <f>IFERROR(__xludf.DUMMYFUNCTION("""COMPUTED_VALUE"""),0.6940509259256942)</f>
        <v>0.6940509259</v>
      </c>
      <c r="D22334" s="4">
        <f>IFERROR(__xludf.DUMMYFUNCTION("""COMPUTED_VALUE"""),12.912446)</f>
        <v>12.912446</v>
      </c>
      <c r="E22334" s="4">
        <f>IFERROR(__xludf.DUMMYFUNCTION("""COMPUTED_VALUE"""),80.101427)</f>
        <v>80.101427</v>
      </c>
      <c r="F22334" s="4">
        <f>IFERROR(__xludf.DUMMYFUNCTION("""COMPUTED_VALUE"""),805.0)</f>
        <v>805</v>
      </c>
      <c r="G22334" s="4">
        <f>IFERROR(__xludf.DUMMYFUNCTION("""COMPUTED_VALUE"""),38.0)</f>
        <v>38</v>
      </c>
      <c r="H22334" s="4"/>
      <c r="I22334" s="4"/>
    </row>
    <row r="22335">
      <c r="A22335" s="4" t="str">
        <f>IFERROR(__xludf.DUMMYFUNCTION("""COMPUTED_VALUE"""),"cas_hmw")</f>
        <v>cas_hmw</v>
      </c>
      <c r="B22335" s="5">
        <f>IFERROR(__xludf.DUMMYFUNCTION("""COMPUTED_VALUE"""),44789.0)</f>
        <v>44789</v>
      </c>
      <c r="C22335" s="6">
        <f>IFERROR(__xludf.DUMMYFUNCTION("""COMPUTED_VALUE"""),0.6942476851836545)</f>
        <v>0.6942476852</v>
      </c>
      <c r="D22335" s="4">
        <f>IFERROR(__xludf.DUMMYFUNCTION("""COMPUTED_VALUE"""),12.913546)</f>
        <v>12.913546</v>
      </c>
      <c r="E22335" s="4">
        <f>IFERROR(__xludf.DUMMYFUNCTION("""COMPUTED_VALUE"""),80.101536)</f>
        <v>80.101536</v>
      </c>
      <c r="F22335" s="4">
        <f>IFERROR(__xludf.DUMMYFUNCTION("""COMPUTED_VALUE"""),805.0)</f>
        <v>805</v>
      </c>
      <c r="G22335" s="4">
        <f>IFERROR(__xludf.DUMMYFUNCTION("""COMPUTED_VALUE"""),42.0)</f>
        <v>42</v>
      </c>
      <c r="H22335" s="4"/>
      <c r="I22335" s="4"/>
    </row>
    <row r="22336">
      <c r="A22336" s="4" t="str">
        <f>IFERROR(__xludf.DUMMYFUNCTION("""COMPUTED_VALUE"""),"cas_hmw")</f>
        <v>cas_hmw</v>
      </c>
      <c r="B22336" s="5">
        <f>IFERROR(__xludf.DUMMYFUNCTION("""COMPUTED_VALUE"""),44789.0)</f>
        <v>44789</v>
      </c>
      <c r="C22336" s="6">
        <f>IFERROR(__xludf.DUMMYFUNCTION("""COMPUTED_VALUE"""),0.6943865740722686)</f>
        <v>0.6943865741</v>
      </c>
      <c r="D22336" s="4">
        <f>IFERROR(__xludf.DUMMYFUNCTION("""COMPUTED_VALUE"""),12.915491)</f>
        <v>12.915491</v>
      </c>
      <c r="E22336" s="4">
        <f>IFERROR(__xludf.DUMMYFUNCTION("""COMPUTED_VALUE"""),80.102754)</f>
        <v>80.102754</v>
      </c>
      <c r="F22336" s="4">
        <f>IFERROR(__xludf.DUMMYFUNCTION("""COMPUTED_VALUE"""),805.0)</f>
        <v>805</v>
      </c>
      <c r="G22336" s="4">
        <f>IFERROR(__xludf.DUMMYFUNCTION("""COMPUTED_VALUE"""),53.0)</f>
        <v>53</v>
      </c>
      <c r="H22336" s="4"/>
      <c r="I22336" s="4"/>
    </row>
    <row r="22337">
      <c r="A22337" s="4" t="str">
        <f>IFERROR(__xludf.DUMMYFUNCTION("""COMPUTED_VALUE"""),"cas_hmw")</f>
        <v>cas_hmw</v>
      </c>
      <c r="B22337" s="5">
        <f>IFERROR(__xludf.DUMMYFUNCTION("""COMPUTED_VALUE"""),44789.0)</f>
        <v>44789</v>
      </c>
      <c r="C22337" s="6">
        <f>IFERROR(__xludf.DUMMYFUNCTION("""COMPUTED_VALUE"""),0.6946296296300716)</f>
        <v>0.6946296296</v>
      </c>
      <c r="D22337" s="4">
        <f>IFERROR(__xludf.DUMMYFUNCTION("""COMPUTED_VALUE"""),12.911531)</f>
        <v>12.911531</v>
      </c>
      <c r="E22337" s="4">
        <f>IFERROR(__xludf.DUMMYFUNCTION("""COMPUTED_VALUE"""),80.101326)</f>
        <v>80.101326</v>
      </c>
      <c r="F22337" s="4">
        <f>IFERROR(__xludf.DUMMYFUNCTION("""COMPUTED_VALUE"""),5339.0)</f>
        <v>5339</v>
      </c>
      <c r="G22337" s="4">
        <f>IFERROR(__xludf.DUMMYFUNCTION("""COMPUTED_VALUE"""),33.0)</f>
        <v>33</v>
      </c>
      <c r="H22337" s="4"/>
      <c r="I22337" s="4"/>
    </row>
    <row r="22338">
      <c r="A22338" s="4" t="str">
        <f>IFERROR(__xludf.DUMMYFUNCTION("""COMPUTED_VALUE"""),"cas_hmw")</f>
        <v>cas_hmw</v>
      </c>
      <c r="B22338" s="5">
        <f>IFERROR(__xludf.DUMMYFUNCTION("""COMPUTED_VALUE"""),44789.0)</f>
        <v>44789</v>
      </c>
      <c r="C22338" s="6">
        <f>IFERROR(__xludf.DUMMYFUNCTION("""COMPUTED_VALUE"""),0.6948495370379533)</f>
        <v>0.694849537</v>
      </c>
      <c r="D22338" s="4">
        <f>IFERROR(__xludf.DUMMYFUNCTION("""COMPUTED_VALUE"""),12.917514)</f>
        <v>12.917514</v>
      </c>
      <c r="E22338" s="4">
        <f>IFERROR(__xludf.DUMMYFUNCTION("""COMPUTED_VALUE"""),80.107941)</f>
        <v>80.107941</v>
      </c>
      <c r="F22338" s="4">
        <f>IFERROR(__xludf.DUMMYFUNCTION("""COMPUTED_VALUE"""),805.0)</f>
        <v>805</v>
      </c>
      <c r="G22338" s="4">
        <f>IFERROR(__xludf.DUMMYFUNCTION("""COMPUTED_VALUE"""),34.0)</f>
        <v>34</v>
      </c>
      <c r="H22338" s="4"/>
      <c r="I22338" s="4"/>
    </row>
    <row r="22339">
      <c r="A22339" s="4" t="str">
        <f>IFERROR(__xludf.DUMMYFUNCTION("""COMPUTED_VALUE"""),"cas_hmw")</f>
        <v>cas_hmw</v>
      </c>
      <c r="B22339" s="5">
        <f>IFERROR(__xludf.DUMMYFUNCTION("""COMPUTED_VALUE"""),44789.0)</f>
        <v>44789</v>
      </c>
      <c r="C22339" s="6">
        <f>IFERROR(__xludf.DUMMYFUNCTION("""COMPUTED_VALUE"""),0.6950462962959136)</f>
        <v>0.6950462963</v>
      </c>
      <c r="D22339" s="4">
        <f>IFERROR(__xludf.DUMMYFUNCTION("""COMPUTED_VALUE"""),12.914656)</f>
        <v>12.914656</v>
      </c>
      <c r="E22339" s="4">
        <f>IFERROR(__xludf.DUMMYFUNCTION("""COMPUTED_VALUE"""),80.101853)</f>
        <v>80.101853</v>
      </c>
      <c r="F22339" s="4">
        <f>IFERROR(__xludf.DUMMYFUNCTION("""COMPUTED_VALUE"""),5339.0)</f>
        <v>5339</v>
      </c>
      <c r="G22339" s="4">
        <f>IFERROR(__xludf.DUMMYFUNCTION("""COMPUTED_VALUE"""),50.0)</f>
        <v>50</v>
      </c>
      <c r="H22339" s="4"/>
      <c r="I22339" s="4"/>
    </row>
    <row r="22340">
      <c r="A22340" s="4" t="str">
        <f>IFERROR(__xludf.DUMMYFUNCTION("""COMPUTED_VALUE"""),"cas_hmw")</f>
        <v>cas_hmw</v>
      </c>
      <c r="B22340" s="5">
        <f>IFERROR(__xludf.DUMMYFUNCTION("""COMPUTED_VALUE"""),44789.0)</f>
        <v>44789</v>
      </c>
      <c r="C22340" s="6">
        <f>IFERROR(__xludf.DUMMYFUNCTION("""COMPUTED_VALUE"""),0.6952314814807323)</f>
        <v>0.6952314815</v>
      </c>
      <c r="D22340" s="4">
        <f>IFERROR(__xludf.DUMMYFUNCTION("""COMPUTED_VALUE"""),12.919389)</f>
        <v>12.919389</v>
      </c>
      <c r="E22340" s="4">
        <f>IFERROR(__xludf.DUMMYFUNCTION("""COMPUTED_VALUE"""),80.110239)</f>
        <v>80.110239</v>
      </c>
      <c r="F22340" s="4">
        <f>IFERROR(__xludf.DUMMYFUNCTION("""COMPUTED_VALUE"""),805.0)</f>
        <v>805</v>
      </c>
      <c r="G22340" s="4">
        <f>IFERROR(__xludf.DUMMYFUNCTION("""COMPUTED_VALUE"""),34.0)</f>
        <v>34</v>
      </c>
      <c r="H22340" s="4"/>
      <c r="I22340" s="4"/>
    </row>
    <row r="22341">
      <c r="A22341" s="4" t="str">
        <f>IFERROR(__xludf.DUMMYFUNCTION("""COMPUTED_VALUE"""),"cas_hmw")</f>
        <v>cas_hmw</v>
      </c>
      <c r="B22341" s="5">
        <f>IFERROR(__xludf.DUMMYFUNCTION("""COMPUTED_VALUE"""),44789.0)</f>
        <v>44789</v>
      </c>
      <c r="C22341" s="6">
        <f>IFERROR(__xludf.DUMMYFUNCTION("""COMPUTED_VALUE"""),0.695451388888614)</f>
        <v>0.6954513889</v>
      </c>
      <c r="D22341" s="4">
        <f>IFERROR(__xludf.DUMMYFUNCTION("""COMPUTED_VALUE"""),12.916874)</f>
        <v>12.916874</v>
      </c>
      <c r="E22341" s="4">
        <f>IFERROR(__xludf.DUMMYFUNCTION("""COMPUTED_VALUE"""),80.106834)</f>
        <v>80.106834</v>
      </c>
      <c r="F22341" s="4">
        <f>IFERROR(__xludf.DUMMYFUNCTION("""COMPUTED_VALUE"""),3143.0)</f>
        <v>3143</v>
      </c>
      <c r="G22341" s="4">
        <f>IFERROR(__xludf.DUMMYFUNCTION("""COMPUTED_VALUE"""),18.0)</f>
        <v>18</v>
      </c>
      <c r="H22341" s="4"/>
      <c r="I22341" s="4"/>
    </row>
    <row r="22342">
      <c r="A22342" s="4" t="str">
        <f>IFERROR(__xludf.DUMMYFUNCTION("""COMPUTED_VALUE"""),"cas_hmw")</f>
        <v>cas_hmw</v>
      </c>
      <c r="B22342" s="5">
        <f>IFERROR(__xludf.DUMMYFUNCTION("""COMPUTED_VALUE"""),44789.0)</f>
        <v>44789</v>
      </c>
      <c r="C22342" s="6">
        <f>IFERROR(__xludf.DUMMYFUNCTION("""COMPUTED_VALUE"""),0.6954745370385353)</f>
        <v>0.695474537</v>
      </c>
      <c r="D22342" s="4">
        <f>IFERROR(__xludf.DUMMYFUNCTION("""COMPUTED_VALUE"""),12.916874)</f>
        <v>12.916874</v>
      </c>
      <c r="E22342" s="4">
        <f>IFERROR(__xludf.DUMMYFUNCTION("""COMPUTED_VALUE"""),80.106834)</f>
        <v>80.106834</v>
      </c>
      <c r="F22342" s="4">
        <f>IFERROR(__xludf.DUMMYFUNCTION("""COMPUTED_VALUE"""),3143.0)</f>
        <v>3143</v>
      </c>
      <c r="G22342" s="4">
        <f>IFERROR(__xludf.DUMMYFUNCTION("""COMPUTED_VALUE"""),18.0)</f>
        <v>18</v>
      </c>
      <c r="H22342" s="4"/>
      <c r="I22342" s="4"/>
    </row>
    <row r="22343">
      <c r="A22343" s="4" t="str">
        <f>IFERROR(__xludf.DUMMYFUNCTION("""COMPUTED_VALUE"""),"cas_hmw")</f>
        <v>cas_hmw</v>
      </c>
      <c r="B22343" s="5">
        <f>IFERROR(__xludf.DUMMYFUNCTION("""COMPUTED_VALUE"""),44789.0)</f>
        <v>44789</v>
      </c>
      <c r="C22343" s="6">
        <f>IFERROR(__xludf.DUMMYFUNCTION("""COMPUTED_VALUE"""),0.6958796296312357)</f>
        <v>0.6958796296</v>
      </c>
      <c r="D22343" s="4">
        <f>IFERROR(__xludf.DUMMYFUNCTION("""COMPUTED_VALUE"""),12.91854)</f>
        <v>12.91854</v>
      </c>
      <c r="E22343" s="4">
        <f>IFERROR(__xludf.DUMMYFUNCTION("""COMPUTED_VALUE"""),80.109112)</f>
        <v>80.109112</v>
      </c>
      <c r="F22343" s="4">
        <f>IFERROR(__xludf.DUMMYFUNCTION("""COMPUTED_VALUE"""),3143.0)</f>
        <v>3143</v>
      </c>
      <c r="G22343" s="4">
        <f>IFERROR(__xludf.DUMMYFUNCTION("""COMPUTED_VALUE"""),49.0)</f>
        <v>49</v>
      </c>
      <c r="H22343" s="4"/>
      <c r="I22343" s="4"/>
    </row>
    <row r="22344">
      <c r="A22344" s="4" t="str">
        <f>IFERROR(__xludf.DUMMYFUNCTION("""COMPUTED_VALUE"""),"cas_hmw")</f>
        <v>cas_hmw</v>
      </c>
      <c r="B22344" s="5">
        <f>IFERROR(__xludf.DUMMYFUNCTION("""COMPUTED_VALUE"""),44789.0)</f>
        <v>44789</v>
      </c>
      <c r="C22344" s="6">
        <f>IFERROR(__xludf.DUMMYFUNCTION("""COMPUTED_VALUE"""),0.6959027777775191)</f>
        <v>0.6959027778</v>
      </c>
      <c r="D22344" s="4">
        <f>IFERROR(__xludf.DUMMYFUNCTION("""COMPUTED_VALUE"""),12.91854)</f>
        <v>12.91854</v>
      </c>
      <c r="E22344" s="4">
        <f>IFERROR(__xludf.DUMMYFUNCTION("""COMPUTED_VALUE"""),80.109112)</f>
        <v>80.109112</v>
      </c>
      <c r="F22344" s="4">
        <f>IFERROR(__xludf.DUMMYFUNCTION("""COMPUTED_VALUE"""),3143.0)</f>
        <v>3143</v>
      </c>
      <c r="G22344" s="4">
        <f>IFERROR(__xludf.DUMMYFUNCTION("""COMPUTED_VALUE"""),49.0)</f>
        <v>49</v>
      </c>
      <c r="H22344" s="4"/>
      <c r="I22344" s="4"/>
    </row>
    <row r="22345">
      <c r="A22345" s="4" t="str">
        <f>IFERROR(__xludf.DUMMYFUNCTION("""COMPUTED_VALUE"""),"cas_hmw")</f>
        <v>cas_hmw</v>
      </c>
      <c r="B22345" s="5">
        <f>IFERROR(__xludf.DUMMYFUNCTION("""COMPUTED_VALUE"""),44789.0)</f>
        <v>44789</v>
      </c>
      <c r="C22345" s="6">
        <f>IFERROR(__xludf.DUMMYFUNCTION("""COMPUTED_VALUE"""),0.6959837962967867)</f>
        <v>0.6959837963</v>
      </c>
      <c r="D22345" s="4">
        <f>IFERROR(__xludf.DUMMYFUNCTION("""COMPUTED_VALUE"""),12.923024)</f>
        <v>12.923024</v>
      </c>
      <c r="E22345" s="4">
        <f>IFERROR(__xludf.DUMMYFUNCTION("""COMPUTED_VALUE"""),80.114128)</f>
        <v>80.114128</v>
      </c>
      <c r="F22345" s="4">
        <f>IFERROR(__xludf.DUMMYFUNCTION("""COMPUTED_VALUE"""),805.0)</f>
        <v>805</v>
      </c>
      <c r="G22345" s="4">
        <f>IFERROR(__xludf.DUMMYFUNCTION("""COMPUTED_VALUE"""),0.0)</f>
        <v>0</v>
      </c>
      <c r="H22345" s="4"/>
      <c r="I22345" s="4"/>
    </row>
    <row r="22346">
      <c r="A22346" s="4" t="str">
        <f>IFERROR(__xludf.DUMMYFUNCTION("""COMPUTED_VALUE"""),"cas_hmw")</f>
        <v>cas_hmw</v>
      </c>
      <c r="B22346" s="5">
        <f>IFERROR(__xludf.DUMMYFUNCTION("""COMPUTED_VALUE"""),44789.0)</f>
        <v>44789</v>
      </c>
      <c r="C22346" s="6">
        <f>IFERROR(__xludf.DUMMYFUNCTION("""COMPUTED_VALUE"""),0.6960879629623378)</f>
        <v>0.696087963</v>
      </c>
      <c r="D22346" s="4">
        <f>IFERROR(__xludf.DUMMYFUNCTION("""COMPUTED_VALUE"""),12.919067)</f>
        <v>12.919067</v>
      </c>
      <c r="E22346" s="4">
        <f>IFERROR(__xludf.DUMMYFUNCTION("""COMPUTED_VALUE"""),80.109835)</f>
        <v>80.109835</v>
      </c>
      <c r="F22346" s="4">
        <f>IFERROR(__xludf.DUMMYFUNCTION("""COMPUTED_VALUE"""),5339.0)</f>
        <v>5339</v>
      </c>
      <c r="G22346" s="4">
        <f>IFERROR(__xludf.DUMMYFUNCTION("""COMPUTED_VALUE"""),37.0)</f>
        <v>37</v>
      </c>
      <c r="H22346" s="4"/>
      <c r="I22346" s="4"/>
    </row>
    <row r="22347">
      <c r="A22347" s="4" t="str">
        <f>IFERROR(__xludf.DUMMYFUNCTION("""COMPUTED_VALUE"""),"cas_hmw")</f>
        <v>cas_hmw</v>
      </c>
      <c r="B22347" s="5">
        <f>IFERROR(__xludf.DUMMYFUNCTION("""COMPUTED_VALUE"""),44789.0)</f>
        <v>44789</v>
      </c>
      <c r="C22347" s="6">
        <f>IFERROR(__xludf.DUMMYFUNCTION("""COMPUTED_VALUE"""),0.6967013888897782)</f>
        <v>0.6967013889</v>
      </c>
      <c r="D22347" s="4">
        <f>IFERROR(__xludf.DUMMYFUNCTION("""COMPUTED_VALUE"""),12.922935)</f>
        <v>12.922935</v>
      </c>
      <c r="E22347" s="4">
        <f>IFERROR(__xludf.DUMMYFUNCTION("""COMPUTED_VALUE"""),80.113816)</f>
        <v>80.113816</v>
      </c>
      <c r="F22347" s="4">
        <f>IFERROR(__xludf.DUMMYFUNCTION("""COMPUTED_VALUE"""),3143.0)</f>
        <v>3143</v>
      </c>
      <c r="G22347" s="4">
        <f>IFERROR(__xludf.DUMMYFUNCTION("""COMPUTED_VALUE"""),38.0)</f>
        <v>38</v>
      </c>
      <c r="H22347" s="4"/>
      <c r="I22347" s="4"/>
    </row>
    <row r="22348">
      <c r="A22348" s="4" t="str">
        <f>IFERROR(__xludf.DUMMYFUNCTION("""COMPUTED_VALUE"""),"cas_hmw")</f>
        <v>cas_hmw</v>
      </c>
      <c r="B22348" s="5">
        <f>IFERROR(__xludf.DUMMYFUNCTION("""COMPUTED_VALUE"""),44789.0)</f>
        <v>44789</v>
      </c>
      <c r="C22348" s="6">
        <f>IFERROR(__xludf.DUMMYFUNCTION("""COMPUTED_VALUE"""),0.6967245370360615)</f>
        <v>0.696724537</v>
      </c>
      <c r="D22348" s="4">
        <f>IFERROR(__xludf.DUMMYFUNCTION("""COMPUTED_VALUE"""),12.923993)</f>
        <v>12.923993</v>
      </c>
      <c r="E22348" s="4">
        <f>IFERROR(__xludf.DUMMYFUNCTION("""COMPUTED_VALUE"""),80.114858)</f>
        <v>80.114858</v>
      </c>
      <c r="F22348" s="4">
        <f>IFERROR(__xludf.DUMMYFUNCTION("""COMPUTED_VALUE"""),3143.0)</f>
        <v>3143</v>
      </c>
      <c r="G22348" s="4">
        <f>IFERROR(__xludf.DUMMYFUNCTION("""COMPUTED_VALUE"""),10.0)</f>
        <v>10</v>
      </c>
      <c r="H22348" s="4"/>
      <c r="I22348" s="4"/>
    </row>
    <row r="22349">
      <c r="A22349" s="4" t="str">
        <f>IFERROR(__xludf.DUMMYFUNCTION("""COMPUTED_VALUE"""),"cas_hmw")</f>
        <v>cas_hmw</v>
      </c>
      <c r="B22349" s="5">
        <f>IFERROR(__xludf.DUMMYFUNCTION("""COMPUTED_VALUE"""),44789.0)</f>
        <v>44789</v>
      </c>
      <c r="C22349" s="6">
        <f>IFERROR(__xludf.DUMMYFUNCTION("""COMPUTED_VALUE"""),0.6967592592591245)</f>
        <v>0.6967592593</v>
      </c>
      <c r="D22349" s="4">
        <f>IFERROR(__xludf.DUMMYFUNCTION("""COMPUTED_VALUE"""),12.927678)</f>
        <v>12.927678</v>
      </c>
      <c r="E22349" s="4">
        <f>IFERROR(__xludf.DUMMYFUNCTION("""COMPUTED_VALUE"""),80.118808)</f>
        <v>80.118808</v>
      </c>
      <c r="F22349" s="4">
        <f>IFERROR(__xludf.DUMMYFUNCTION("""COMPUTED_VALUE"""),805.0)</f>
        <v>805</v>
      </c>
      <c r="G22349" s="4">
        <f>IFERROR(__xludf.DUMMYFUNCTION("""COMPUTED_VALUE"""),25.0)</f>
        <v>25</v>
      </c>
      <c r="H22349" s="4"/>
      <c r="I22349" s="4"/>
    </row>
    <row r="22350">
      <c r="A22350" s="4" t="str">
        <f>IFERROR(__xludf.DUMMYFUNCTION("""COMPUTED_VALUE"""),"cas_hmw")</f>
        <v>cas_hmw</v>
      </c>
      <c r="B22350" s="5">
        <f>IFERROR(__xludf.DUMMYFUNCTION("""COMPUTED_VALUE"""),44789.0)</f>
        <v>44789</v>
      </c>
      <c r="C22350" s="6">
        <f>IFERROR(__xludf.DUMMYFUNCTION("""COMPUTED_VALUE"""),0.6968518518515339)</f>
        <v>0.6968518519</v>
      </c>
      <c r="D22350" s="4">
        <f>IFERROR(__xludf.DUMMYFUNCTION("""COMPUTED_VALUE"""),12.924029)</f>
        <v>12.924029</v>
      </c>
      <c r="E22350" s="4">
        <f>IFERROR(__xludf.DUMMYFUNCTION("""COMPUTED_VALUE"""),80.114893)</f>
        <v>80.114893</v>
      </c>
      <c r="F22350" s="4">
        <f>IFERROR(__xludf.DUMMYFUNCTION("""COMPUTED_VALUE"""),3143.0)</f>
        <v>3143</v>
      </c>
      <c r="G22350" s="4">
        <f>IFERROR(__xludf.DUMMYFUNCTION("""COMPUTED_VALUE"""),0.0)</f>
        <v>0</v>
      </c>
      <c r="H22350" s="4"/>
      <c r="I22350" s="4"/>
    </row>
    <row r="22351">
      <c r="A22351" s="4" t="str">
        <f>IFERROR(__xludf.DUMMYFUNCTION("""COMPUTED_VALUE"""),"cas_hmw")</f>
        <v>cas_hmw</v>
      </c>
      <c r="B22351" s="5">
        <f>IFERROR(__xludf.DUMMYFUNCTION("""COMPUTED_VALUE"""),44789.0)</f>
        <v>44789</v>
      </c>
      <c r="C22351" s="6">
        <f>IFERROR(__xludf.DUMMYFUNCTION("""COMPUTED_VALUE"""),0.6972800925941556)</f>
        <v>0.6972800926</v>
      </c>
      <c r="D22351" s="4">
        <f>IFERROR(__xludf.DUMMYFUNCTION("""COMPUTED_VALUE"""),12.929924)</f>
        <v>12.929924</v>
      </c>
      <c r="E22351" s="4">
        <f>IFERROR(__xludf.DUMMYFUNCTION("""COMPUTED_VALUE"""),80.120988)</f>
        <v>80.120988</v>
      </c>
      <c r="F22351" s="4">
        <f>IFERROR(__xludf.DUMMYFUNCTION("""COMPUTED_VALUE"""),805.0)</f>
        <v>805</v>
      </c>
      <c r="G22351" s="4">
        <f>IFERROR(__xludf.DUMMYFUNCTION("""COMPUTED_VALUE"""),20.0)</f>
        <v>20</v>
      </c>
      <c r="H22351" s="4"/>
      <c r="I22351" s="4"/>
    </row>
    <row r="22352">
      <c r="A22352" s="4" t="str">
        <f>IFERROR(__xludf.DUMMYFUNCTION("""COMPUTED_VALUE"""),"cas_hmw")</f>
        <v>cas_hmw</v>
      </c>
      <c r="B22352" s="5">
        <f>IFERROR(__xludf.DUMMYFUNCTION("""COMPUTED_VALUE"""),44789.0)</f>
        <v>44789</v>
      </c>
      <c r="C22352" s="6">
        <f>IFERROR(__xludf.DUMMYFUNCTION("""COMPUTED_VALUE"""),0.6972916666672972)</f>
        <v>0.6972916667</v>
      </c>
      <c r="D22352" s="4">
        <f>IFERROR(__xludf.DUMMYFUNCTION("""COMPUTED_VALUE"""),12.929924)</f>
        <v>12.929924</v>
      </c>
      <c r="E22352" s="4">
        <f>IFERROR(__xludf.DUMMYFUNCTION("""COMPUTED_VALUE"""),80.120988)</f>
        <v>80.120988</v>
      </c>
      <c r="F22352" s="4">
        <f>IFERROR(__xludf.DUMMYFUNCTION("""COMPUTED_VALUE"""),805.0)</f>
        <v>805</v>
      </c>
      <c r="G22352" s="4">
        <f>IFERROR(__xludf.DUMMYFUNCTION("""COMPUTED_VALUE"""),20.0)</f>
        <v>20</v>
      </c>
      <c r="H22352" s="4"/>
      <c r="I22352" s="4"/>
    </row>
    <row r="22353">
      <c r="A22353" s="4" t="str">
        <f>IFERROR(__xludf.DUMMYFUNCTION("""COMPUTED_VALUE"""),"cas_hmw")</f>
        <v>cas_hmw</v>
      </c>
      <c r="B22353" s="5">
        <f>IFERROR(__xludf.DUMMYFUNCTION("""COMPUTED_VALUE"""),44789.0)</f>
        <v>44789</v>
      </c>
      <c r="C22353" s="6">
        <f>IFERROR(__xludf.DUMMYFUNCTION("""COMPUTED_VALUE"""),0.6974884259252576)</f>
        <v>0.6974884259</v>
      </c>
      <c r="D22353" s="4">
        <f>IFERROR(__xludf.DUMMYFUNCTION("""COMPUTED_VALUE"""),12.930447)</f>
        <v>12.930447</v>
      </c>
      <c r="E22353" s="4">
        <f>IFERROR(__xludf.DUMMYFUNCTION("""COMPUTED_VALUE"""),80.121541)</f>
        <v>80.121541</v>
      </c>
      <c r="F22353" s="4">
        <f>IFERROR(__xludf.DUMMYFUNCTION("""COMPUTED_VALUE"""),805.0)</f>
        <v>805</v>
      </c>
      <c r="G22353" s="4">
        <f>IFERROR(__xludf.DUMMYFUNCTION("""COMPUTED_VALUE"""),38.0)</f>
        <v>38</v>
      </c>
      <c r="H22353" s="4"/>
      <c r="I22353" s="4"/>
    </row>
    <row r="22354">
      <c r="A22354" s="4" t="str">
        <f>IFERROR(__xludf.DUMMYFUNCTION("""COMPUTED_VALUE"""),"cas_hmw")</f>
        <v>cas_hmw</v>
      </c>
      <c r="B22354" s="5">
        <f>IFERROR(__xludf.DUMMYFUNCTION("""COMPUTED_VALUE"""),44789.0)</f>
        <v>44789</v>
      </c>
      <c r="C22354" s="6">
        <f>IFERROR(__xludf.DUMMYFUNCTION("""COMPUTED_VALUE"""),0.6980902777795563)</f>
        <v>0.6980902778</v>
      </c>
      <c r="D22354" s="4">
        <f>IFERROR(__xludf.DUMMYFUNCTION("""COMPUTED_VALUE"""),12.849353)</f>
        <v>12.849353</v>
      </c>
      <c r="E22354" s="4">
        <f>IFERROR(__xludf.DUMMYFUNCTION("""COMPUTED_VALUE"""),80.064495)</f>
        <v>80.064495</v>
      </c>
      <c r="F22354" s="4">
        <f>IFERROR(__xludf.DUMMYFUNCTION("""COMPUTED_VALUE"""),2846.0)</f>
        <v>2846</v>
      </c>
      <c r="G22354" s="4">
        <f>IFERROR(__xludf.DUMMYFUNCTION("""COMPUTED_VALUE"""),40.0)</f>
        <v>40</v>
      </c>
      <c r="H22354" s="4"/>
      <c r="I22354" s="4"/>
    </row>
    <row r="22355">
      <c r="A22355" s="4" t="str">
        <f>IFERROR(__xludf.DUMMYFUNCTION("""COMPUTED_VALUE"""),"cas_hmw")</f>
        <v>cas_hmw</v>
      </c>
      <c r="B22355" s="5">
        <f>IFERROR(__xludf.DUMMYFUNCTION("""COMPUTED_VALUE"""),44789.0)</f>
        <v>44789</v>
      </c>
      <c r="C22355" s="6">
        <f>IFERROR(__xludf.DUMMYFUNCTION("""COMPUTED_VALUE"""),0.6982291666681704)</f>
        <v>0.6982291667</v>
      </c>
      <c r="D22355" s="4">
        <f>IFERROR(__xludf.DUMMYFUNCTION("""COMPUTED_VALUE"""),12.923227)</f>
        <v>12.923227</v>
      </c>
      <c r="E22355" s="4">
        <f>IFERROR(__xludf.DUMMYFUNCTION("""COMPUTED_VALUE"""),80.122138)</f>
        <v>80.122138</v>
      </c>
      <c r="F22355" s="4">
        <f>IFERROR(__xludf.DUMMYFUNCTION("""COMPUTED_VALUE"""),3143.0)</f>
        <v>3143</v>
      </c>
      <c r="G22355" s="4">
        <f>IFERROR(__xludf.DUMMYFUNCTION("""COMPUTED_VALUE"""),43.0)</f>
        <v>43</v>
      </c>
      <c r="H22355" s="4"/>
      <c r="I22355" s="4"/>
    </row>
    <row r="22356">
      <c r="A22356" s="4" t="str">
        <f>IFERROR(__xludf.DUMMYFUNCTION("""COMPUTED_VALUE"""),"cas_hmw")</f>
        <v>cas_hmw</v>
      </c>
      <c r="B22356" s="5">
        <f>IFERROR(__xludf.DUMMYFUNCTION("""COMPUTED_VALUE"""),44789.0)</f>
        <v>44789</v>
      </c>
      <c r="C22356" s="6">
        <f>IFERROR(__xludf.DUMMYFUNCTION("""COMPUTED_VALUE"""),0.6982986111106584)</f>
        <v>0.6982986111</v>
      </c>
      <c r="D22356" s="4">
        <f>IFERROR(__xludf.DUMMYFUNCTION("""COMPUTED_VALUE"""),12.933119)</f>
        <v>12.933119</v>
      </c>
      <c r="E22356" s="4">
        <f>IFERROR(__xludf.DUMMYFUNCTION("""COMPUTED_VALUE"""),80.12417)</f>
        <v>80.12417</v>
      </c>
      <c r="F22356" s="4">
        <f>IFERROR(__xludf.DUMMYFUNCTION("""COMPUTED_VALUE"""),805.0)</f>
        <v>805</v>
      </c>
      <c r="G22356" s="4">
        <f>IFERROR(__xludf.DUMMYFUNCTION("""COMPUTED_VALUE"""),42.0)</f>
        <v>42</v>
      </c>
      <c r="H22356" s="4"/>
      <c r="I22356" s="4"/>
    </row>
    <row r="22357">
      <c r="A22357" s="4" t="str">
        <f>IFERROR(__xludf.DUMMYFUNCTION("""COMPUTED_VALUE"""),"cas_hmw")</f>
        <v>cas_hmw</v>
      </c>
      <c r="B22357" s="5">
        <f>IFERROR(__xludf.DUMMYFUNCTION("""COMPUTED_VALUE"""),44789.0)</f>
        <v>44789</v>
      </c>
      <c r="C22357" s="6">
        <f>IFERROR(__xludf.DUMMYFUNCTION("""COMPUTED_VALUE"""),0.6983449074068631)</f>
        <v>0.6983449074</v>
      </c>
      <c r="D22357" s="4">
        <f>IFERROR(__xludf.DUMMYFUNCTION("""COMPUTED_VALUE"""),12.848442)</f>
        <v>12.848442</v>
      </c>
      <c r="E22357" s="4">
        <f>IFERROR(__xludf.DUMMYFUNCTION("""COMPUTED_VALUE"""),80.06381)</f>
        <v>80.06381</v>
      </c>
      <c r="F22357" s="4">
        <f>IFERROR(__xludf.DUMMYFUNCTION("""COMPUTED_VALUE"""),2846.0)</f>
        <v>2846</v>
      </c>
      <c r="G22357" s="4">
        <f>IFERROR(__xludf.DUMMYFUNCTION("""COMPUTED_VALUE"""),46.0)</f>
        <v>46</v>
      </c>
      <c r="H22357" s="4"/>
      <c r="I22357" s="4"/>
    </row>
    <row r="22358">
      <c r="A22358" s="4" t="str">
        <f>IFERROR(__xludf.DUMMYFUNCTION("""COMPUTED_VALUE"""),"cas_hmw")</f>
        <v>cas_hmw</v>
      </c>
      <c r="B22358" s="5">
        <f>IFERROR(__xludf.DUMMYFUNCTION("""COMPUTED_VALUE"""),44789.0)</f>
        <v>44789</v>
      </c>
      <c r="C22358" s="6">
        <f>IFERROR(__xludf.DUMMYFUNCTION("""COMPUTED_VALUE"""),0.6987731481494848)</f>
        <v>0.6987731481</v>
      </c>
      <c r="D22358" s="4">
        <f>IFERROR(__xludf.DUMMYFUNCTION("""COMPUTED_VALUE"""),12.935695)</f>
        <v>12.935695</v>
      </c>
      <c r="E22358" s="4">
        <f>IFERROR(__xludf.DUMMYFUNCTION("""COMPUTED_VALUE"""),80.126568)</f>
        <v>80.126568</v>
      </c>
      <c r="F22358" s="4">
        <f>IFERROR(__xludf.DUMMYFUNCTION("""COMPUTED_VALUE"""),805.0)</f>
        <v>805</v>
      </c>
      <c r="G22358" s="4">
        <f>IFERROR(__xludf.DUMMYFUNCTION("""COMPUTED_VALUE"""),15.0)</f>
        <v>15</v>
      </c>
      <c r="H22358" s="4"/>
      <c r="I22358" s="4"/>
    </row>
    <row r="22359">
      <c r="A22359" s="4" t="str">
        <f>IFERROR(__xludf.DUMMYFUNCTION("""COMPUTED_VALUE"""),"cas_hmw")</f>
        <v>cas_hmw</v>
      </c>
      <c r="B22359" s="5">
        <f>IFERROR(__xludf.DUMMYFUNCTION("""COMPUTED_VALUE"""),44789.0)</f>
        <v>44789</v>
      </c>
      <c r="C22359" s="6">
        <f>IFERROR(__xludf.DUMMYFUNCTION("""COMPUTED_VALUE"""),0.6987847222226264)</f>
        <v>0.6987847222</v>
      </c>
      <c r="D22359" s="4">
        <f>IFERROR(__xludf.DUMMYFUNCTION("""COMPUTED_VALUE"""),12.935986)</f>
        <v>12.935986</v>
      </c>
      <c r="E22359" s="4">
        <f>IFERROR(__xludf.DUMMYFUNCTION("""COMPUTED_VALUE"""),80.126852)</f>
        <v>80.126852</v>
      </c>
      <c r="F22359" s="4">
        <f>IFERROR(__xludf.DUMMYFUNCTION("""COMPUTED_VALUE"""),805.0)</f>
        <v>805</v>
      </c>
      <c r="G22359" s="4">
        <f>IFERROR(__xludf.DUMMYFUNCTION("""COMPUTED_VALUE"""),21.0)</f>
        <v>21</v>
      </c>
      <c r="H22359" s="4"/>
      <c r="I22359" s="4"/>
    </row>
    <row r="22360">
      <c r="A22360" s="4" t="str">
        <f>IFERROR(__xludf.DUMMYFUNCTION("""COMPUTED_VALUE"""),"cas_hmw")</f>
        <v>cas_hmw</v>
      </c>
      <c r="B22360" s="5">
        <f>IFERROR(__xludf.DUMMYFUNCTION("""COMPUTED_VALUE"""),44789.0)</f>
        <v>44789</v>
      </c>
      <c r="C22360" s="6">
        <f>IFERROR(__xludf.DUMMYFUNCTION("""COMPUTED_VALUE"""),0.6987847222226264)</f>
        <v>0.6987847222</v>
      </c>
      <c r="D22360" s="4">
        <f>IFERROR(__xludf.DUMMYFUNCTION("""COMPUTED_VALUE"""),12.935986)</f>
        <v>12.935986</v>
      </c>
      <c r="E22360" s="4">
        <f>IFERROR(__xludf.DUMMYFUNCTION("""COMPUTED_VALUE"""),80.126852)</f>
        <v>80.126852</v>
      </c>
      <c r="F22360" s="4">
        <f>IFERROR(__xludf.DUMMYFUNCTION("""COMPUTED_VALUE"""),805.0)</f>
        <v>805</v>
      </c>
      <c r="G22360" s="4">
        <f>IFERROR(__xludf.DUMMYFUNCTION("""COMPUTED_VALUE"""),21.0)</f>
        <v>21</v>
      </c>
      <c r="H22360" s="4"/>
      <c r="I22360" s="4"/>
    </row>
    <row r="22361">
      <c r="A22361" s="4" t="str">
        <f>IFERROR(__xludf.DUMMYFUNCTION("""COMPUTED_VALUE"""),"cas_hmw")</f>
        <v>cas_hmw</v>
      </c>
      <c r="B22361" s="5">
        <f>IFERROR(__xludf.DUMMYFUNCTION("""COMPUTED_VALUE"""),44789.0)</f>
        <v>44789</v>
      </c>
      <c r="C22361" s="6">
        <f>IFERROR(__xludf.DUMMYFUNCTION("""COMPUTED_VALUE"""),0.6987962962957681)</f>
        <v>0.6987962963</v>
      </c>
      <c r="D22361" s="4">
        <f>IFERROR(__xludf.DUMMYFUNCTION("""COMPUTED_VALUE"""),12.935986)</f>
        <v>12.935986</v>
      </c>
      <c r="E22361" s="4">
        <f>IFERROR(__xludf.DUMMYFUNCTION("""COMPUTED_VALUE"""),80.126852)</f>
        <v>80.126852</v>
      </c>
      <c r="F22361" s="4">
        <f>IFERROR(__xludf.DUMMYFUNCTION("""COMPUTED_VALUE"""),805.0)</f>
        <v>805</v>
      </c>
      <c r="G22361" s="4">
        <f>IFERROR(__xludf.DUMMYFUNCTION("""COMPUTED_VALUE"""),21.0)</f>
        <v>21</v>
      </c>
      <c r="H22361" s="4"/>
      <c r="I22361" s="4"/>
    </row>
    <row r="22362">
      <c r="A22362" s="4" t="str">
        <f>IFERROR(__xludf.DUMMYFUNCTION("""COMPUTED_VALUE"""),"cas_hmw")</f>
        <v>cas_hmw</v>
      </c>
      <c r="B22362" s="5">
        <f>IFERROR(__xludf.DUMMYFUNCTION("""COMPUTED_VALUE"""),44789.0)</f>
        <v>44789</v>
      </c>
      <c r="C22362" s="6">
        <f>IFERROR(__xludf.DUMMYFUNCTION("""COMPUTED_VALUE"""),0.6988888888881775)</f>
        <v>0.6988888889</v>
      </c>
      <c r="D22362" s="4">
        <f>IFERROR(__xludf.DUMMYFUNCTION("""COMPUTED_VALUE"""),12.935986)</f>
        <v>12.935986</v>
      </c>
      <c r="E22362" s="4">
        <f>IFERROR(__xludf.DUMMYFUNCTION("""COMPUTED_VALUE"""),80.126852)</f>
        <v>80.126852</v>
      </c>
      <c r="F22362" s="4">
        <f>IFERROR(__xludf.DUMMYFUNCTION("""COMPUTED_VALUE"""),805.0)</f>
        <v>805</v>
      </c>
      <c r="G22362" s="4">
        <f>IFERROR(__xludf.DUMMYFUNCTION("""COMPUTED_VALUE"""),21.0)</f>
        <v>21</v>
      </c>
      <c r="H22362" s="4"/>
      <c r="I22362" s="4"/>
    </row>
    <row r="22363">
      <c r="A22363" s="4" t="str">
        <f>IFERROR(__xludf.DUMMYFUNCTION("""COMPUTED_VALUE"""),"cas_hmw")</f>
        <v>cas_hmw</v>
      </c>
      <c r="B22363" s="5">
        <f>IFERROR(__xludf.DUMMYFUNCTION("""COMPUTED_VALUE"""),44789.0)</f>
        <v>44789</v>
      </c>
      <c r="C22363" s="6">
        <f>IFERROR(__xludf.DUMMYFUNCTION("""COMPUTED_VALUE"""),0.6990740740729962)</f>
        <v>0.6990740741</v>
      </c>
      <c r="D22363" s="4">
        <f>IFERROR(__xludf.DUMMYFUNCTION("""COMPUTED_VALUE"""),12.937111)</f>
        <v>12.937111</v>
      </c>
      <c r="E22363" s="4">
        <f>IFERROR(__xludf.DUMMYFUNCTION("""COMPUTED_VALUE"""),80.127848)</f>
        <v>80.127848</v>
      </c>
      <c r="F22363" s="4">
        <f>IFERROR(__xludf.DUMMYFUNCTION("""COMPUTED_VALUE"""),805.0)</f>
        <v>805</v>
      </c>
      <c r="G22363" s="4">
        <f>IFERROR(__xludf.DUMMYFUNCTION("""COMPUTED_VALUE"""),40.0)</f>
        <v>40</v>
      </c>
      <c r="H22363" s="4"/>
      <c r="I22363" s="4"/>
    </row>
    <row r="22364">
      <c r="A22364" s="4" t="str">
        <f>IFERROR(__xludf.DUMMYFUNCTION("""COMPUTED_VALUE"""),"cas_hmw")</f>
        <v>cas_hmw</v>
      </c>
      <c r="B22364" s="5">
        <f>IFERROR(__xludf.DUMMYFUNCTION("""COMPUTED_VALUE"""),44789.0)</f>
        <v>44789</v>
      </c>
      <c r="C22364" s="6">
        <f>IFERROR(__xludf.DUMMYFUNCTION("""COMPUTED_VALUE"""),0.6992592592578148)</f>
        <v>0.6992592593</v>
      </c>
      <c r="D22364" s="4">
        <f>IFERROR(__xludf.DUMMYFUNCTION("""COMPUTED_VALUE"""),12.938882)</f>
        <v>12.938882</v>
      </c>
      <c r="E22364" s="4">
        <f>IFERROR(__xludf.DUMMYFUNCTION("""COMPUTED_VALUE"""),80.129441)</f>
        <v>80.129441</v>
      </c>
      <c r="F22364" s="4">
        <f>IFERROR(__xludf.DUMMYFUNCTION("""COMPUTED_VALUE"""),805.0)</f>
        <v>805</v>
      </c>
      <c r="G22364" s="4">
        <f>IFERROR(__xludf.DUMMYFUNCTION("""COMPUTED_VALUE"""),54.0)</f>
        <v>54</v>
      </c>
      <c r="H22364" s="4"/>
      <c r="I22364" s="4"/>
    </row>
    <row r="22365">
      <c r="A22365" s="4" t="str">
        <f>IFERROR(__xludf.DUMMYFUNCTION("""COMPUTED_VALUE"""),"cas_hmw")</f>
        <v>cas_hmw</v>
      </c>
      <c r="B22365" s="5">
        <f>IFERROR(__xludf.DUMMYFUNCTION("""COMPUTED_VALUE"""),44789.0)</f>
        <v>44789</v>
      </c>
      <c r="C22365" s="6">
        <f>IFERROR(__xludf.DUMMYFUNCTION("""COMPUTED_VALUE"""),0.6994444444426335)</f>
        <v>0.6994444444</v>
      </c>
      <c r="D22365" s="4">
        <f>IFERROR(__xludf.DUMMYFUNCTION("""COMPUTED_VALUE"""),12.93986)</f>
        <v>12.93986</v>
      </c>
      <c r="E22365" s="4">
        <f>IFERROR(__xludf.DUMMYFUNCTION("""COMPUTED_VALUE"""),80.130325)</f>
        <v>80.130325</v>
      </c>
      <c r="F22365" s="4">
        <f>IFERROR(__xludf.DUMMYFUNCTION("""COMPUTED_VALUE"""),805.0)</f>
        <v>805</v>
      </c>
      <c r="G22365" s="4">
        <f>IFERROR(__xludf.DUMMYFUNCTION("""COMPUTED_VALUE"""),51.0)</f>
        <v>51</v>
      </c>
      <c r="H22365" s="4"/>
      <c r="I22365" s="4"/>
    </row>
    <row r="22366">
      <c r="A22366" s="4" t="str">
        <f>IFERROR(__xludf.DUMMYFUNCTION("""COMPUTED_VALUE"""),"cas_hmw")</f>
        <v>cas_hmw</v>
      </c>
      <c r="B22366" s="5">
        <f>IFERROR(__xludf.DUMMYFUNCTION("""COMPUTED_VALUE"""),44789.0)</f>
        <v>44789</v>
      </c>
      <c r="C22366" s="6">
        <f>IFERROR(__xludf.DUMMYFUNCTION("""COMPUTED_VALUE"""),0.7003472222204437)</f>
        <v>0.7003472222</v>
      </c>
      <c r="D22366" s="4">
        <f>IFERROR(__xludf.DUMMYFUNCTION("""COMPUTED_VALUE"""),12.943612)</f>
        <v>12.943612</v>
      </c>
      <c r="E22366" s="4">
        <f>IFERROR(__xludf.DUMMYFUNCTION("""COMPUTED_VALUE"""),80.134149)</f>
        <v>80.134149</v>
      </c>
      <c r="F22366" s="4">
        <f>IFERROR(__xludf.DUMMYFUNCTION("""COMPUTED_VALUE"""),805.0)</f>
        <v>805</v>
      </c>
      <c r="G22366" s="4">
        <f>IFERROR(__xludf.DUMMYFUNCTION("""COMPUTED_VALUE"""),35.0)</f>
        <v>35</v>
      </c>
      <c r="H22366" s="4"/>
      <c r="I22366" s="4"/>
    </row>
    <row r="22367">
      <c r="A22367" s="4" t="str">
        <f>IFERROR(__xludf.DUMMYFUNCTION("""COMPUTED_VALUE"""),"cas_hmw")</f>
        <v>cas_hmw</v>
      </c>
      <c r="B22367" s="5">
        <f>IFERROR(__xludf.DUMMYFUNCTION("""COMPUTED_VALUE"""),44789.0)</f>
        <v>44789</v>
      </c>
      <c r="C22367" s="6">
        <f>IFERROR(__xludf.DUMMYFUNCTION("""COMPUTED_VALUE"""),0.7007060185169394)</f>
        <v>0.7007060185</v>
      </c>
      <c r="D22367" s="4">
        <f>IFERROR(__xludf.DUMMYFUNCTION("""COMPUTED_VALUE"""),12.946357)</f>
        <v>12.946357</v>
      </c>
      <c r="E22367" s="4">
        <f>IFERROR(__xludf.DUMMYFUNCTION("""COMPUTED_VALUE"""),80.13632)</f>
        <v>80.13632</v>
      </c>
      <c r="F22367" s="4">
        <f>IFERROR(__xludf.DUMMYFUNCTION("""COMPUTED_VALUE"""),805.0)</f>
        <v>805</v>
      </c>
      <c r="G22367" s="4">
        <f>IFERROR(__xludf.DUMMYFUNCTION("""COMPUTED_VALUE"""),56.0)</f>
        <v>56</v>
      </c>
      <c r="H22367" s="4"/>
      <c r="I22367" s="4"/>
    </row>
    <row r="22368">
      <c r="A22368" s="4" t="str">
        <f>IFERROR(__xludf.DUMMYFUNCTION("""COMPUTED_VALUE"""),"cas_hmw")</f>
        <v>cas_hmw</v>
      </c>
      <c r="B22368" s="5">
        <f>IFERROR(__xludf.DUMMYFUNCTION("""COMPUTED_VALUE"""),44789.0)</f>
        <v>44789</v>
      </c>
      <c r="C22368" s="6">
        <f>IFERROR(__xludf.DUMMYFUNCTION("""COMPUTED_VALUE"""),0.700717592593719)</f>
        <v>0.7007175926</v>
      </c>
      <c r="D22368" s="4">
        <f>IFERROR(__xludf.DUMMYFUNCTION("""COMPUTED_VALUE"""),12.946357)</f>
        <v>12.946357</v>
      </c>
      <c r="E22368" s="4">
        <f>IFERROR(__xludf.DUMMYFUNCTION("""COMPUTED_VALUE"""),80.13632)</f>
        <v>80.13632</v>
      </c>
      <c r="F22368" s="4">
        <f>IFERROR(__xludf.DUMMYFUNCTION("""COMPUTED_VALUE"""),805.0)</f>
        <v>805</v>
      </c>
      <c r="G22368" s="4">
        <f>IFERROR(__xludf.DUMMYFUNCTION("""COMPUTED_VALUE"""),56.0)</f>
        <v>56</v>
      </c>
      <c r="H22368" s="4"/>
      <c r="I22368" s="4"/>
    </row>
    <row r="22369">
      <c r="A22369" s="4" t="str">
        <f>IFERROR(__xludf.DUMMYFUNCTION("""COMPUTED_VALUE"""),"cas_hmw")</f>
        <v>cas_hmw</v>
      </c>
      <c r="B22369" s="5">
        <f>IFERROR(__xludf.DUMMYFUNCTION("""COMPUTED_VALUE"""),44789.0)</f>
        <v>44789</v>
      </c>
      <c r="C22369" s="6">
        <f>IFERROR(__xludf.DUMMYFUNCTION("""COMPUTED_VALUE"""),0.7008333333324117)</f>
        <v>0.7008333333</v>
      </c>
      <c r="D22369" s="4">
        <f>IFERROR(__xludf.DUMMYFUNCTION("""COMPUTED_VALUE"""),12.947447)</f>
        <v>12.947447</v>
      </c>
      <c r="E22369" s="4">
        <f>IFERROR(__xludf.DUMMYFUNCTION("""COMPUTED_VALUE"""),80.137164)</f>
        <v>80.137164</v>
      </c>
      <c r="F22369" s="4">
        <f>IFERROR(__xludf.DUMMYFUNCTION("""COMPUTED_VALUE"""),805.0)</f>
        <v>805</v>
      </c>
      <c r="G22369" s="4">
        <f>IFERROR(__xludf.DUMMYFUNCTION("""COMPUTED_VALUE"""),51.0)</f>
        <v>51</v>
      </c>
      <c r="H22369" s="4"/>
      <c r="I22369" s="4"/>
    </row>
    <row r="22370">
      <c r="A22370" s="4" t="str">
        <f>IFERROR(__xludf.DUMMYFUNCTION("""COMPUTED_VALUE"""),"cas_hmw")</f>
        <v>cas_hmw</v>
      </c>
      <c r="B22370" s="5">
        <f>IFERROR(__xludf.DUMMYFUNCTION("""COMPUTED_VALUE"""),44789.0)</f>
        <v>44789</v>
      </c>
      <c r="C22370" s="6">
        <f>IFERROR(__xludf.DUMMYFUNCTION("""COMPUTED_VALUE"""),0.7010995370364981)</f>
        <v>0.701099537</v>
      </c>
      <c r="D22370" s="4">
        <f>IFERROR(__xludf.DUMMYFUNCTION("""COMPUTED_VALUE"""),12.950858)</f>
        <v>12.950858</v>
      </c>
      <c r="E22370" s="4">
        <f>IFERROR(__xludf.DUMMYFUNCTION("""COMPUTED_VALUE"""),80.139777)</f>
        <v>80.139777</v>
      </c>
      <c r="F22370" s="4">
        <f>IFERROR(__xludf.DUMMYFUNCTION("""COMPUTED_VALUE"""),805.0)</f>
        <v>805</v>
      </c>
      <c r="G22370" s="4">
        <f>IFERROR(__xludf.DUMMYFUNCTION("""COMPUTED_VALUE"""),52.0)</f>
        <v>52</v>
      </c>
      <c r="H22370" s="4"/>
      <c r="I22370" s="4"/>
    </row>
    <row r="22371">
      <c r="A22371" s="4" t="str">
        <f>IFERROR(__xludf.DUMMYFUNCTION("""COMPUTED_VALUE"""),"cas_hmw")</f>
        <v>cas_hmw</v>
      </c>
      <c r="B22371" s="5">
        <f>IFERROR(__xludf.DUMMYFUNCTION("""COMPUTED_VALUE"""),44789.0)</f>
        <v>44789</v>
      </c>
      <c r="C22371" s="6">
        <f>IFERROR(__xludf.DUMMYFUNCTION("""COMPUTED_VALUE"""),0.7011805555557657)</f>
        <v>0.7011805556</v>
      </c>
      <c r="D22371" s="4">
        <f>IFERROR(__xludf.DUMMYFUNCTION("""COMPUTED_VALUE"""),12.830018)</f>
        <v>12.830018</v>
      </c>
      <c r="E22371" s="4">
        <f>IFERROR(__xludf.DUMMYFUNCTION("""COMPUTED_VALUE"""),80.045227)</f>
        <v>80.045227</v>
      </c>
      <c r="F22371" s="4">
        <f>IFERROR(__xludf.DUMMYFUNCTION("""COMPUTED_VALUE"""),2846.0)</f>
        <v>2846</v>
      </c>
      <c r="G22371" s="4">
        <f>IFERROR(__xludf.DUMMYFUNCTION("""COMPUTED_VALUE"""),29.0)</f>
        <v>29</v>
      </c>
      <c r="H22371" s="4"/>
      <c r="I22371" s="4"/>
    </row>
    <row r="22372">
      <c r="A22372" s="4" t="str">
        <f>IFERROR(__xludf.DUMMYFUNCTION("""COMPUTED_VALUE"""),"cas_hmw")</f>
        <v>cas_hmw</v>
      </c>
      <c r="B22372" s="5">
        <f>IFERROR(__xludf.DUMMYFUNCTION("""COMPUTED_VALUE"""),44789.0)</f>
        <v>44789</v>
      </c>
      <c r="C22372" s="6">
        <f>IFERROR(__xludf.DUMMYFUNCTION("""COMPUTED_VALUE"""),0.7012268518519704)</f>
        <v>0.7012268519</v>
      </c>
      <c r="D22372" s="4">
        <f>IFERROR(__xludf.DUMMYFUNCTION("""COMPUTED_VALUE"""),12.942496)</f>
        <v>12.942496</v>
      </c>
      <c r="E22372" s="4">
        <f>IFERROR(__xludf.DUMMYFUNCTION("""COMPUTED_VALUE"""),80.133061)</f>
        <v>80.133061</v>
      </c>
      <c r="F22372" s="4">
        <f>IFERROR(__xludf.DUMMYFUNCTION("""COMPUTED_VALUE"""),5339.0)</f>
        <v>5339</v>
      </c>
      <c r="G22372" s="4">
        <f>IFERROR(__xludf.DUMMYFUNCTION("""COMPUTED_VALUE"""),56.0)</f>
        <v>56</v>
      </c>
      <c r="H22372" s="4"/>
      <c r="I22372" s="4"/>
    </row>
    <row r="22373">
      <c r="A22373" s="4" t="str">
        <f>IFERROR(__xludf.DUMMYFUNCTION("""COMPUTED_VALUE"""),"cas_hmw")</f>
        <v>cas_hmw</v>
      </c>
      <c r="B22373" s="5">
        <f>IFERROR(__xludf.DUMMYFUNCTION("""COMPUTED_VALUE"""),44789.0)</f>
        <v>44789</v>
      </c>
      <c r="C22373" s="6">
        <f>IFERROR(__xludf.DUMMYFUNCTION("""COMPUTED_VALUE"""),0.7014351851867104)</f>
        <v>0.7014351852</v>
      </c>
      <c r="D22373" s="4">
        <f>IFERROR(__xludf.DUMMYFUNCTION("""COMPUTED_VALUE"""),12.94444)</f>
        <v>12.94444</v>
      </c>
      <c r="E22373" s="4">
        <f>IFERROR(__xludf.DUMMYFUNCTION("""COMPUTED_VALUE"""),80.134874)</f>
        <v>80.134874</v>
      </c>
      <c r="F22373" s="4">
        <f>IFERROR(__xludf.DUMMYFUNCTION("""COMPUTED_VALUE"""),5339.0)</f>
        <v>5339</v>
      </c>
      <c r="G22373" s="4">
        <f>IFERROR(__xludf.DUMMYFUNCTION("""COMPUTED_VALUE"""),52.0)</f>
        <v>52</v>
      </c>
      <c r="H22373" s="4"/>
      <c r="I22373" s="4"/>
    </row>
    <row r="22374">
      <c r="A22374" s="4" t="str">
        <f>IFERROR(__xludf.DUMMYFUNCTION("""COMPUTED_VALUE"""),"cas_hmw")</f>
        <v>cas_hmw</v>
      </c>
      <c r="B22374" s="5">
        <f>IFERROR(__xludf.DUMMYFUNCTION("""COMPUTED_VALUE"""),44789.0)</f>
        <v>44789</v>
      </c>
      <c r="C22374" s="6">
        <f>IFERROR(__xludf.DUMMYFUNCTION("""COMPUTED_VALUE"""),0.7014467592598521)</f>
        <v>0.7014467593</v>
      </c>
      <c r="D22374" s="4">
        <f>IFERROR(__xludf.DUMMYFUNCTION("""COMPUTED_VALUE"""),12.922448)</f>
        <v>12.922448</v>
      </c>
      <c r="E22374" s="4">
        <f>IFERROR(__xludf.DUMMYFUNCTION("""COMPUTED_VALUE"""),80.138662)</f>
        <v>80.138662</v>
      </c>
      <c r="F22374" s="4">
        <f>IFERROR(__xludf.DUMMYFUNCTION("""COMPUTED_VALUE"""),3143.0)</f>
        <v>3143</v>
      </c>
      <c r="G22374" s="4">
        <f>IFERROR(__xludf.DUMMYFUNCTION("""COMPUTED_VALUE"""),32.0)</f>
        <v>32</v>
      </c>
      <c r="H22374" s="4"/>
      <c r="I22374" s="4"/>
    </row>
    <row r="22375">
      <c r="A22375" s="4" t="str">
        <f>IFERROR(__xludf.DUMMYFUNCTION("""COMPUTED_VALUE"""),"cas_hmw")</f>
        <v>cas_hmw</v>
      </c>
      <c r="B22375" s="5">
        <f>IFERROR(__xludf.DUMMYFUNCTION("""COMPUTED_VALUE"""),44789.0)</f>
        <v>44789</v>
      </c>
      <c r="C22375" s="6">
        <f>IFERROR(__xludf.DUMMYFUNCTION("""COMPUTED_VALUE"""),0.7014699074061355)</f>
        <v>0.7014699074</v>
      </c>
      <c r="D22375" s="4">
        <f>IFERROR(__xludf.DUMMYFUNCTION("""COMPUTED_VALUE"""),12.922462)</f>
        <v>12.922462</v>
      </c>
      <c r="E22375" s="4">
        <f>IFERROR(__xludf.DUMMYFUNCTION("""COMPUTED_VALUE"""),80.140307)</f>
        <v>80.140307</v>
      </c>
      <c r="F22375" s="4">
        <f>IFERROR(__xludf.DUMMYFUNCTION("""COMPUTED_VALUE"""),3143.0)</f>
        <v>3143</v>
      </c>
      <c r="G22375" s="4">
        <f>IFERROR(__xludf.DUMMYFUNCTION("""COMPUTED_VALUE"""),26.0)</f>
        <v>26</v>
      </c>
      <c r="H22375" s="4"/>
      <c r="I22375" s="4"/>
    </row>
    <row r="22376">
      <c r="A22376" s="4" t="str">
        <f>IFERROR(__xludf.DUMMYFUNCTION("""COMPUTED_VALUE"""),"cas_hmw")</f>
        <v>cas_hmw</v>
      </c>
      <c r="B22376" s="5">
        <f>IFERROR(__xludf.DUMMYFUNCTION("""COMPUTED_VALUE"""),44789.0)</f>
        <v>44789</v>
      </c>
      <c r="C22376" s="6">
        <f>IFERROR(__xludf.DUMMYFUNCTION("""COMPUTED_VALUE"""),0.7015393518522615)</f>
        <v>0.7015393519</v>
      </c>
      <c r="D22376" s="4">
        <f>IFERROR(__xludf.DUMMYFUNCTION("""COMPUTED_VALUE"""),12.952614)</f>
        <v>12.952614</v>
      </c>
      <c r="E22376" s="4">
        <f>IFERROR(__xludf.DUMMYFUNCTION("""COMPUTED_VALUE"""),80.141127)</f>
        <v>80.141127</v>
      </c>
      <c r="F22376" s="4">
        <f>IFERROR(__xludf.DUMMYFUNCTION("""COMPUTED_VALUE"""),805.0)</f>
        <v>805</v>
      </c>
      <c r="G22376" s="4">
        <f>IFERROR(__xludf.DUMMYFUNCTION("""COMPUTED_VALUE"""),37.0)</f>
        <v>37</v>
      </c>
      <c r="H22376" s="4"/>
      <c r="I22376" s="4"/>
    </row>
    <row r="22377">
      <c r="A22377" s="4" t="str">
        <f>IFERROR(__xludf.DUMMYFUNCTION("""COMPUTED_VALUE"""),"cas_hmw")</f>
        <v>cas_hmw</v>
      </c>
      <c r="B22377" s="5">
        <f>IFERROR(__xludf.DUMMYFUNCTION("""COMPUTED_VALUE"""),44789.0)</f>
        <v>44789</v>
      </c>
      <c r="C22377" s="6">
        <f>IFERROR(__xludf.DUMMYFUNCTION("""COMPUTED_VALUE"""),0.7016782407408755)</f>
        <v>0.7016782407</v>
      </c>
      <c r="D22377" s="4">
        <f>IFERROR(__xludf.DUMMYFUNCTION("""COMPUTED_VALUE"""),12.954405)</f>
        <v>12.954405</v>
      </c>
      <c r="E22377" s="4">
        <f>IFERROR(__xludf.DUMMYFUNCTION("""COMPUTED_VALUE"""),80.142147)</f>
        <v>80.142147</v>
      </c>
      <c r="F22377" s="4">
        <f>IFERROR(__xludf.DUMMYFUNCTION("""COMPUTED_VALUE"""),805.0)</f>
        <v>805</v>
      </c>
      <c r="G22377" s="4">
        <f>IFERROR(__xludf.DUMMYFUNCTION("""COMPUTED_VALUE"""),40.0)</f>
        <v>40</v>
      </c>
      <c r="H22377" s="4"/>
      <c r="I22377" s="4"/>
    </row>
    <row r="22378">
      <c r="A22378" s="4" t="str">
        <f>IFERROR(__xludf.DUMMYFUNCTION("""COMPUTED_VALUE"""),"cas_hmw")</f>
        <v>cas_hmw</v>
      </c>
      <c r="B22378" s="5">
        <f>IFERROR(__xludf.DUMMYFUNCTION("""COMPUTED_VALUE"""),44789.0)</f>
        <v>44789</v>
      </c>
      <c r="C22378" s="6">
        <f>IFERROR(__xludf.DUMMYFUNCTION("""COMPUTED_VALUE"""),0.7017708333332848)</f>
        <v>0.7017708333</v>
      </c>
      <c r="D22378" s="4">
        <f>IFERROR(__xludf.DUMMYFUNCTION("""COMPUTED_VALUE"""),12.954405)</f>
        <v>12.954405</v>
      </c>
      <c r="E22378" s="4">
        <f>IFERROR(__xludf.DUMMYFUNCTION("""COMPUTED_VALUE"""),80.142147)</f>
        <v>80.142147</v>
      </c>
      <c r="F22378" s="4">
        <f>IFERROR(__xludf.DUMMYFUNCTION("""COMPUTED_VALUE"""),805.0)</f>
        <v>805</v>
      </c>
      <c r="G22378" s="4">
        <f>IFERROR(__xludf.DUMMYFUNCTION("""COMPUTED_VALUE"""),40.0)</f>
        <v>40</v>
      </c>
      <c r="H22378" s="4"/>
      <c r="I22378" s="4"/>
    </row>
    <row r="22379">
      <c r="A22379" s="4" t="str">
        <f>IFERROR(__xludf.DUMMYFUNCTION("""COMPUTED_VALUE"""),"cas_hmw")</f>
        <v>cas_hmw</v>
      </c>
      <c r="B22379" s="5">
        <f>IFERROR(__xludf.DUMMYFUNCTION("""COMPUTED_VALUE"""),44789.0)</f>
        <v>44789</v>
      </c>
      <c r="C22379" s="6">
        <f>IFERROR(__xludf.DUMMYFUNCTION("""COMPUTED_VALUE"""),0.7019791666680248)</f>
        <v>0.7019791667</v>
      </c>
      <c r="D22379" s="4">
        <f>IFERROR(__xludf.DUMMYFUNCTION("""COMPUTED_VALUE"""),12.92252)</f>
        <v>12.92252</v>
      </c>
      <c r="E22379" s="4">
        <f>IFERROR(__xludf.DUMMYFUNCTION("""COMPUTED_VALUE"""),80.142695)</f>
        <v>80.142695</v>
      </c>
      <c r="F22379" s="4">
        <f>IFERROR(__xludf.DUMMYFUNCTION("""COMPUTED_VALUE"""),3143.0)</f>
        <v>3143</v>
      </c>
      <c r="G22379" s="4">
        <f>IFERROR(__xludf.DUMMYFUNCTION("""COMPUTED_VALUE"""),19.0)</f>
        <v>19</v>
      </c>
      <c r="H22379" s="4"/>
      <c r="I22379" s="4"/>
    </row>
    <row r="22380">
      <c r="A22380" s="4" t="str">
        <f>IFERROR(__xludf.DUMMYFUNCTION("""COMPUTED_VALUE"""),"cas_hmw")</f>
        <v>cas_hmw</v>
      </c>
      <c r="B22380" s="5">
        <f>IFERROR(__xludf.DUMMYFUNCTION("""COMPUTED_VALUE"""),44789.0)</f>
        <v>44789</v>
      </c>
      <c r="C22380" s="6">
        <f>IFERROR(__xludf.DUMMYFUNCTION("""COMPUTED_VALUE"""),0.7021180555566389)</f>
        <v>0.7021180556</v>
      </c>
      <c r="D22380" s="4">
        <f>IFERROR(__xludf.DUMMYFUNCTION("""COMPUTED_VALUE"""),12.950345)</f>
        <v>12.950345</v>
      </c>
      <c r="E22380" s="4">
        <f>IFERROR(__xludf.DUMMYFUNCTION("""COMPUTED_VALUE"""),80.139371)</f>
        <v>80.139371</v>
      </c>
      <c r="F22380" s="4">
        <f>IFERROR(__xludf.DUMMYFUNCTION("""COMPUTED_VALUE"""),5339.0)</f>
        <v>5339</v>
      </c>
      <c r="G22380" s="4">
        <f>IFERROR(__xludf.DUMMYFUNCTION("""COMPUTED_VALUE"""),44.0)</f>
        <v>44</v>
      </c>
      <c r="H22380" s="4"/>
      <c r="I22380" s="4"/>
    </row>
    <row r="22381">
      <c r="A22381" s="4" t="str">
        <f>IFERROR(__xludf.DUMMYFUNCTION("""COMPUTED_VALUE"""),"cas_hmw")</f>
        <v>cas_hmw</v>
      </c>
      <c r="B22381" s="5">
        <f>IFERROR(__xludf.DUMMYFUNCTION("""COMPUTED_VALUE"""),44789.0)</f>
        <v>44789</v>
      </c>
      <c r="C22381" s="6">
        <f>IFERROR(__xludf.DUMMYFUNCTION("""COMPUTED_VALUE"""),0.7023032407414576)</f>
        <v>0.7023032407</v>
      </c>
      <c r="D22381" s="4">
        <f>IFERROR(__xludf.DUMMYFUNCTION("""COMPUTED_VALUE"""),12.957372)</f>
        <v>12.957372</v>
      </c>
      <c r="E22381" s="4">
        <f>IFERROR(__xludf.DUMMYFUNCTION("""COMPUTED_VALUE"""),80.143732)</f>
        <v>80.143732</v>
      </c>
      <c r="F22381" s="4">
        <f>IFERROR(__xludf.DUMMYFUNCTION("""COMPUTED_VALUE"""),805.0)</f>
        <v>805</v>
      </c>
      <c r="G22381" s="4">
        <f>IFERROR(__xludf.DUMMYFUNCTION("""COMPUTED_VALUE"""),34.0)</f>
        <v>34</v>
      </c>
      <c r="H22381" s="4"/>
      <c r="I22381" s="4"/>
    </row>
    <row r="22382">
      <c r="A22382" s="4" t="str">
        <f>IFERROR(__xludf.DUMMYFUNCTION("""COMPUTED_VALUE"""),"cas_hmw")</f>
        <v>cas_hmw</v>
      </c>
      <c r="B22382" s="5">
        <f>IFERROR(__xludf.DUMMYFUNCTION("""COMPUTED_VALUE"""),44789.0)</f>
        <v>44789</v>
      </c>
      <c r="C22382" s="6">
        <f>IFERROR(__xludf.DUMMYFUNCTION("""COMPUTED_VALUE"""),0.7024074074070086)</f>
        <v>0.7024074074</v>
      </c>
      <c r="D22382" s="4">
        <f>IFERROR(__xludf.DUMMYFUNCTION("""COMPUTED_VALUE"""),12.95809)</f>
        <v>12.95809</v>
      </c>
      <c r="E22382" s="4">
        <f>IFERROR(__xludf.DUMMYFUNCTION("""COMPUTED_VALUE"""),80.144061)</f>
        <v>80.144061</v>
      </c>
      <c r="F22382" s="4">
        <f>IFERROR(__xludf.DUMMYFUNCTION("""COMPUTED_VALUE"""),805.0)</f>
        <v>805</v>
      </c>
      <c r="G22382" s="4">
        <f>IFERROR(__xludf.DUMMYFUNCTION("""COMPUTED_VALUE"""),25.0)</f>
        <v>25</v>
      </c>
      <c r="H22382" s="4"/>
      <c r="I22382" s="4"/>
    </row>
    <row r="22383">
      <c r="A22383" s="4" t="str">
        <f>IFERROR(__xludf.DUMMYFUNCTION("""COMPUTED_VALUE"""),"cas_hmw")</f>
        <v>cas_hmw</v>
      </c>
      <c r="B22383" s="5">
        <f>IFERROR(__xludf.DUMMYFUNCTION("""COMPUTED_VALUE"""),44789.0)</f>
        <v>44789</v>
      </c>
      <c r="C22383" s="6">
        <f>IFERROR(__xludf.DUMMYFUNCTION("""COMPUTED_VALUE"""),0.7025462962956226)</f>
        <v>0.7025462963</v>
      </c>
      <c r="D22383" s="4">
        <f>IFERROR(__xludf.DUMMYFUNCTION("""COMPUTED_VALUE"""),12.958722)</f>
        <v>12.958722</v>
      </c>
      <c r="E22383" s="4">
        <f>IFERROR(__xludf.DUMMYFUNCTION("""COMPUTED_VALUE"""),80.144312)</f>
        <v>80.144312</v>
      </c>
      <c r="F22383" s="4">
        <f>IFERROR(__xludf.DUMMYFUNCTION("""COMPUTED_VALUE"""),805.0)</f>
        <v>805</v>
      </c>
      <c r="G22383" s="4">
        <f>IFERROR(__xludf.DUMMYFUNCTION("""COMPUTED_VALUE"""),31.0)</f>
        <v>31</v>
      </c>
      <c r="H22383" s="4"/>
      <c r="I22383" s="4"/>
    </row>
    <row r="22384">
      <c r="A22384" s="4" t="str">
        <f>IFERROR(__xludf.DUMMYFUNCTION("""COMPUTED_VALUE"""),"cas_hmw")</f>
        <v>cas_hmw</v>
      </c>
      <c r="B22384" s="5">
        <f>IFERROR(__xludf.DUMMYFUNCTION("""COMPUTED_VALUE"""),44789.0)</f>
        <v>44789</v>
      </c>
      <c r="C22384" s="6">
        <f>IFERROR(__xludf.DUMMYFUNCTION("""COMPUTED_VALUE"""),0.7025462962956226)</f>
        <v>0.7025462963</v>
      </c>
      <c r="D22384" s="4">
        <f>IFERROR(__xludf.DUMMYFUNCTION("""COMPUTED_VALUE"""),12.958722)</f>
        <v>12.958722</v>
      </c>
      <c r="E22384" s="4">
        <f>IFERROR(__xludf.DUMMYFUNCTION("""COMPUTED_VALUE"""),80.144312)</f>
        <v>80.144312</v>
      </c>
      <c r="F22384" s="4">
        <f>IFERROR(__xludf.DUMMYFUNCTION("""COMPUTED_VALUE"""),805.0)</f>
        <v>805</v>
      </c>
      <c r="G22384" s="4">
        <f>IFERROR(__xludf.DUMMYFUNCTION("""COMPUTED_VALUE"""),31.0)</f>
        <v>31</v>
      </c>
      <c r="H22384" s="4"/>
      <c r="I22384" s="4"/>
    </row>
    <row r="22385">
      <c r="A22385" s="4" t="str">
        <f>IFERROR(__xludf.DUMMYFUNCTION("""COMPUTED_VALUE"""),"cas_hmw")</f>
        <v>cas_hmw</v>
      </c>
      <c r="B22385" s="5">
        <f>IFERROR(__xludf.DUMMYFUNCTION("""COMPUTED_VALUE"""),44789.0)</f>
        <v>44789</v>
      </c>
      <c r="C22385" s="6">
        <f>IFERROR(__xludf.DUMMYFUNCTION("""COMPUTED_VALUE"""),0.703020833334449)</f>
        <v>0.7030208333</v>
      </c>
      <c r="D22385" s="4">
        <f>IFERROR(__xludf.DUMMYFUNCTION("""COMPUTED_VALUE"""),12.922662)</f>
        <v>12.922662</v>
      </c>
      <c r="E22385" s="4">
        <f>IFERROR(__xludf.DUMMYFUNCTION("""COMPUTED_VALUE"""),80.148339)</f>
        <v>80.148339</v>
      </c>
      <c r="F22385" s="4">
        <f>IFERROR(__xludf.DUMMYFUNCTION("""COMPUTED_VALUE"""),3143.0)</f>
        <v>3143</v>
      </c>
      <c r="G22385" s="4">
        <f>IFERROR(__xludf.DUMMYFUNCTION("""COMPUTED_VALUE"""),26.0)</f>
        <v>26</v>
      </c>
      <c r="H22385" s="4"/>
      <c r="I22385" s="4"/>
    </row>
    <row r="22386">
      <c r="A22386" s="4" t="str">
        <f>IFERROR(__xludf.DUMMYFUNCTION("""COMPUTED_VALUE"""),"cas_hmw")</f>
        <v>cas_hmw</v>
      </c>
      <c r="B22386" s="5">
        <f>IFERROR(__xludf.DUMMYFUNCTION("""COMPUTED_VALUE"""),44789.0)</f>
        <v>44789</v>
      </c>
      <c r="C22386" s="6">
        <f>IFERROR(__xludf.DUMMYFUNCTION("""COMPUTED_VALUE"""),0.7031481481499213)</f>
        <v>0.7031481481</v>
      </c>
      <c r="D22386" s="4">
        <f>IFERROR(__xludf.DUMMYFUNCTION("""COMPUTED_VALUE"""),12.922662)</f>
        <v>12.922662</v>
      </c>
      <c r="E22386" s="4">
        <f>IFERROR(__xludf.DUMMYFUNCTION("""COMPUTED_VALUE"""),80.148339)</f>
        <v>80.148339</v>
      </c>
      <c r="F22386" s="4">
        <f>IFERROR(__xludf.DUMMYFUNCTION("""COMPUTED_VALUE"""),3143.0)</f>
        <v>3143</v>
      </c>
      <c r="G22386" s="4">
        <f>IFERROR(__xludf.DUMMYFUNCTION("""COMPUTED_VALUE"""),26.0)</f>
        <v>26</v>
      </c>
      <c r="H22386" s="4"/>
      <c r="I22386" s="4"/>
    </row>
    <row r="22387">
      <c r="A22387" s="4" t="str">
        <f>IFERROR(__xludf.DUMMYFUNCTION("""COMPUTED_VALUE"""),"cas_hmw")</f>
        <v>cas_hmw</v>
      </c>
      <c r="B22387" s="5">
        <f>IFERROR(__xludf.DUMMYFUNCTION("""COMPUTED_VALUE"""),44789.0)</f>
        <v>44789</v>
      </c>
      <c r="C22387" s="6">
        <f>IFERROR(__xludf.DUMMYFUNCTION("""COMPUTED_VALUE"""),0.7032060185192677)</f>
        <v>0.7032060185</v>
      </c>
      <c r="D22387" s="4">
        <f>IFERROR(__xludf.DUMMYFUNCTION("""COMPUTED_VALUE"""),12.922703)</f>
        <v>12.922703</v>
      </c>
      <c r="E22387" s="4">
        <f>IFERROR(__xludf.DUMMYFUNCTION("""COMPUTED_VALUE"""),80.149943)</f>
        <v>80.149943</v>
      </c>
      <c r="F22387" s="4">
        <f>IFERROR(__xludf.DUMMYFUNCTION("""COMPUTED_VALUE"""),3143.0)</f>
        <v>3143</v>
      </c>
      <c r="G22387" s="4">
        <f>IFERROR(__xludf.DUMMYFUNCTION("""COMPUTED_VALUE"""),36.0)</f>
        <v>36</v>
      </c>
      <c r="H22387" s="4"/>
      <c r="I22387" s="4"/>
    </row>
    <row r="22388">
      <c r="A22388" s="4" t="str">
        <f>IFERROR(__xludf.DUMMYFUNCTION("""COMPUTED_VALUE"""),"cas_hmw")</f>
        <v>cas_hmw</v>
      </c>
      <c r="B22388" s="5">
        <f>IFERROR(__xludf.DUMMYFUNCTION("""COMPUTED_VALUE"""),44789.0)</f>
        <v>44789</v>
      </c>
      <c r="C22388" s="6">
        <f>IFERROR(__xludf.DUMMYFUNCTION("""COMPUTED_VALUE"""),0.7033101851848187)</f>
        <v>0.7033101852</v>
      </c>
      <c r="D22388" s="4">
        <f>IFERROR(__xludf.DUMMYFUNCTION("""COMPUTED_VALUE"""),12.963112)</f>
        <v>12.963112</v>
      </c>
      <c r="E22388" s="4">
        <f>IFERROR(__xludf.DUMMYFUNCTION("""COMPUTED_VALUE"""),80.146677)</f>
        <v>80.146677</v>
      </c>
      <c r="F22388" s="4">
        <f>IFERROR(__xludf.DUMMYFUNCTION("""COMPUTED_VALUE"""),805.0)</f>
        <v>805</v>
      </c>
      <c r="G22388" s="4">
        <f>IFERROR(__xludf.DUMMYFUNCTION("""COMPUTED_VALUE"""),51.0)</f>
        <v>51</v>
      </c>
      <c r="H22388" s="4"/>
      <c r="I22388" s="4"/>
    </row>
    <row r="22389">
      <c r="A22389" s="4" t="str">
        <f>IFERROR(__xludf.DUMMYFUNCTION("""COMPUTED_VALUE"""),"cas_hmw")</f>
        <v>cas_hmw</v>
      </c>
      <c r="B22389" s="5">
        <f>IFERROR(__xludf.DUMMYFUNCTION("""COMPUTED_VALUE"""),44789.0)</f>
        <v>44789</v>
      </c>
      <c r="C22389" s="6">
        <f>IFERROR(__xludf.DUMMYFUNCTION("""COMPUTED_VALUE"""),0.7035300925927004)</f>
        <v>0.7035300926</v>
      </c>
      <c r="D22389" s="4">
        <f>IFERROR(__xludf.DUMMYFUNCTION("""COMPUTED_VALUE"""),12.92275)</f>
        <v>12.92275</v>
      </c>
      <c r="E22389" s="4">
        <f>IFERROR(__xludf.DUMMYFUNCTION("""COMPUTED_VALUE"""),80.151306)</f>
        <v>80.151306</v>
      </c>
      <c r="F22389" s="4">
        <f>IFERROR(__xludf.DUMMYFUNCTION("""COMPUTED_VALUE"""),3143.0)</f>
        <v>3143</v>
      </c>
      <c r="G22389" s="4">
        <f>IFERROR(__xludf.DUMMYFUNCTION("""COMPUTED_VALUE"""),30.0)</f>
        <v>30</v>
      </c>
      <c r="H22389" s="4"/>
      <c r="I22389" s="4"/>
    </row>
    <row r="22390">
      <c r="A22390" s="4" t="str">
        <f>IFERROR(__xludf.DUMMYFUNCTION("""COMPUTED_VALUE"""),"cas_hmw")</f>
        <v>cas_hmw</v>
      </c>
      <c r="B22390" s="5">
        <f>IFERROR(__xludf.DUMMYFUNCTION("""COMPUTED_VALUE"""),44789.0)</f>
        <v>44789</v>
      </c>
      <c r="C22390" s="6">
        <f>IFERROR(__xludf.DUMMYFUNCTION("""COMPUTED_VALUE"""),0.7038194444430701)</f>
        <v>0.7038194444</v>
      </c>
      <c r="D22390" s="4">
        <f>IFERROR(__xludf.DUMMYFUNCTION("""COMPUTED_VALUE"""),12.802736)</f>
        <v>12.802736</v>
      </c>
      <c r="E22390" s="4">
        <f>IFERROR(__xludf.DUMMYFUNCTION("""COMPUTED_VALUE"""),80.025352)</f>
        <v>80.025352</v>
      </c>
      <c r="F22390" s="4">
        <f>IFERROR(__xludf.DUMMYFUNCTION("""COMPUTED_VALUE"""),2846.0)</f>
        <v>2846</v>
      </c>
      <c r="G22390" s="4">
        <f>IFERROR(__xludf.DUMMYFUNCTION("""COMPUTED_VALUE"""),52.0)</f>
        <v>52</v>
      </c>
      <c r="H22390" s="4"/>
      <c r="I22390" s="4"/>
    </row>
    <row r="22391">
      <c r="A22391" s="4" t="str">
        <f>IFERROR(__xludf.DUMMYFUNCTION("""COMPUTED_VALUE"""),"cas_hmw")</f>
        <v>cas_hmw</v>
      </c>
      <c r="B22391" s="5">
        <f>IFERROR(__xludf.DUMMYFUNCTION("""COMPUTED_VALUE"""),44789.0)</f>
        <v>44789</v>
      </c>
      <c r="C22391" s="6">
        <f>IFERROR(__xludf.DUMMYFUNCTION("""COMPUTED_VALUE"""),0.7039004629623378)</f>
        <v>0.703900463</v>
      </c>
      <c r="D22391" s="4">
        <f>IFERROR(__xludf.DUMMYFUNCTION("""COMPUTED_VALUE"""),12.802736)</f>
        <v>12.802736</v>
      </c>
      <c r="E22391" s="4">
        <f>IFERROR(__xludf.DUMMYFUNCTION("""COMPUTED_VALUE"""),80.025352)</f>
        <v>80.025352</v>
      </c>
      <c r="F22391" s="4">
        <f>IFERROR(__xludf.DUMMYFUNCTION("""COMPUTED_VALUE"""),2846.0)</f>
        <v>2846</v>
      </c>
      <c r="G22391" s="4">
        <f>IFERROR(__xludf.DUMMYFUNCTION("""COMPUTED_VALUE"""),52.0)</f>
        <v>52</v>
      </c>
      <c r="H22391" s="4"/>
      <c r="I22391" s="4"/>
    </row>
    <row r="22392">
      <c r="A22392" s="4" t="str">
        <f>IFERROR(__xludf.DUMMYFUNCTION("""COMPUTED_VALUE"""),"cas_hmw")</f>
        <v>cas_hmw</v>
      </c>
      <c r="B22392" s="5">
        <f>IFERROR(__xludf.DUMMYFUNCTION("""COMPUTED_VALUE"""),44789.0)</f>
        <v>44789</v>
      </c>
      <c r="C22392" s="6">
        <f>IFERROR(__xludf.DUMMYFUNCTION("""COMPUTED_VALUE"""),0.7042592592588335)</f>
        <v>0.7042592593</v>
      </c>
      <c r="D22392" s="4">
        <f>IFERROR(__xludf.DUMMYFUNCTION("""COMPUTED_VALUE"""),12.923541)</f>
        <v>12.923541</v>
      </c>
      <c r="E22392" s="4">
        <f>IFERROR(__xludf.DUMMYFUNCTION("""COMPUTED_VALUE"""),80.158213)</f>
        <v>80.158213</v>
      </c>
      <c r="F22392" s="4">
        <f>IFERROR(__xludf.DUMMYFUNCTION("""COMPUTED_VALUE"""),3143.0)</f>
        <v>3143</v>
      </c>
      <c r="G22392" s="4">
        <f>IFERROR(__xludf.DUMMYFUNCTION("""COMPUTED_VALUE"""),55.0)</f>
        <v>55</v>
      </c>
      <c r="H22392" s="4"/>
      <c r="I22392" s="4"/>
    </row>
    <row r="22393">
      <c r="A22393" s="4" t="str">
        <f>IFERROR(__xludf.DUMMYFUNCTION("""COMPUTED_VALUE"""),"cas_hmw")</f>
        <v>cas_hmw</v>
      </c>
      <c r="B22393" s="5">
        <f>IFERROR(__xludf.DUMMYFUNCTION("""COMPUTED_VALUE"""),44789.0)</f>
        <v>44789</v>
      </c>
      <c r="C22393" s="6">
        <f>IFERROR(__xludf.DUMMYFUNCTION("""COMPUTED_VALUE"""),0.7047106481477385)</f>
        <v>0.7047106481</v>
      </c>
      <c r="D22393" s="4">
        <f>IFERROR(__xludf.DUMMYFUNCTION("""COMPUTED_VALUE"""),12.975724)</f>
        <v>12.975724</v>
      </c>
      <c r="E22393" s="4">
        <f>IFERROR(__xludf.DUMMYFUNCTION("""COMPUTED_VALUE"""),80.156592)</f>
        <v>80.156592</v>
      </c>
      <c r="F22393" s="4">
        <f>IFERROR(__xludf.DUMMYFUNCTION("""COMPUTED_VALUE"""),805.0)</f>
        <v>805</v>
      </c>
      <c r="G22393" s="4">
        <f>IFERROR(__xludf.DUMMYFUNCTION("""COMPUTED_VALUE"""),36.0)</f>
        <v>36</v>
      </c>
      <c r="H22393" s="4"/>
      <c r="I22393" s="4"/>
    </row>
    <row r="22394">
      <c r="A22394" s="4" t="str">
        <f>IFERROR(__xludf.DUMMYFUNCTION("""COMPUTED_VALUE"""),"cas_hmw")</f>
        <v>cas_hmw</v>
      </c>
      <c r="B22394" s="5">
        <f>IFERROR(__xludf.DUMMYFUNCTION("""COMPUTED_VALUE"""),44789.0)</f>
        <v>44789</v>
      </c>
      <c r="C22394" s="6">
        <f>IFERROR(__xludf.DUMMYFUNCTION("""COMPUTED_VALUE"""),0.7047916666670062)</f>
        <v>0.7047916667</v>
      </c>
      <c r="D22394" s="4">
        <f>IFERROR(__xludf.DUMMYFUNCTION("""COMPUTED_VALUE"""),12.975724)</f>
        <v>12.975724</v>
      </c>
      <c r="E22394" s="4">
        <f>IFERROR(__xludf.DUMMYFUNCTION("""COMPUTED_VALUE"""),80.156592)</f>
        <v>80.156592</v>
      </c>
      <c r="F22394" s="4">
        <f>IFERROR(__xludf.DUMMYFUNCTION("""COMPUTED_VALUE"""),805.0)</f>
        <v>805</v>
      </c>
      <c r="G22394" s="4">
        <f>IFERROR(__xludf.DUMMYFUNCTION("""COMPUTED_VALUE"""),36.0)</f>
        <v>36</v>
      </c>
      <c r="H22394" s="4"/>
      <c r="I22394" s="4"/>
    </row>
    <row r="22395">
      <c r="A22395" s="4" t="str">
        <f>IFERROR(__xludf.DUMMYFUNCTION("""COMPUTED_VALUE"""),"cas_hmw")</f>
        <v>cas_hmw</v>
      </c>
      <c r="B22395" s="5">
        <f>IFERROR(__xludf.DUMMYFUNCTION("""COMPUTED_VALUE"""),44789.0)</f>
        <v>44789</v>
      </c>
      <c r="C22395" s="6">
        <f>IFERROR(__xludf.DUMMYFUNCTION("""COMPUTED_VALUE"""),0.7050000000017462)</f>
        <v>0.705</v>
      </c>
      <c r="D22395" s="4">
        <f>IFERROR(__xludf.DUMMYFUNCTION("""COMPUTED_VALUE"""),12.976914)</f>
        <v>12.976914</v>
      </c>
      <c r="E22395" s="4">
        <f>IFERROR(__xludf.DUMMYFUNCTION("""COMPUTED_VALUE"""),80.158388)</f>
        <v>80.158388</v>
      </c>
      <c r="F22395" s="4">
        <f>IFERROR(__xludf.DUMMYFUNCTION("""COMPUTED_VALUE"""),805.0)</f>
        <v>805</v>
      </c>
      <c r="G22395" s="4">
        <f>IFERROR(__xludf.DUMMYFUNCTION("""COMPUTED_VALUE"""),49.0)</f>
        <v>49</v>
      </c>
      <c r="H22395" s="4"/>
      <c r="I22395" s="4"/>
    </row>
    <row r="22396">
      <c r="A22396" s="4" t="str">
        <f>IFERROR(__xludf.DUMMYFUNCTION("""COMPUTED_VALUE"""),"cas_hmw")</f>
        <v>cas_hmw</v>
      </c>
      <c r="B22396" s="5">
        <f>IFERROR(__xludf.DUMMYFUNCTION("""COMPUTED_VALUE"""),44789.0)</f>
        <v>44789</v>
      </c>
      <c r="C22396" s="6">
        <f>IFERROR(__xludf.DUMMYFUNCTION("""COMPUTED_VALUE"""),0.7054745370369346)</f>
        <v>0.705474537</v>
      </c>
      <c r="D22396" s="4">
        <f>IFERROR(__xludf.DUMMYFUNCTION("""COMPUTED_VALUE"""),12.980001)</f>
        <v>12.980001</v>
      </c>
      <c r="E22396" s="4">
        <f>IFERROR(__xludf.DUMMYFUNCTION("""COMPUTED_VALUE"""),80.163122)</f>
        <v>80.163122</v>
      </c>
      <c r="F22396" s="4">
        <f>IFERROR(__xludf.DUMMYFUNCTION("""COMPUTED_VALUE"""),805.0)</f>
        <v>805</v>
      </c>
      <c r="G22396" s="4">
        <f>IFERROR(__xludf.DUMMYFUNCTION("""COMPUTED_VALUE"""),54.0)</f>
        <v>54</v>
      </c>
      <c r="H22396" s="4"/>
      <c r="I22396" s="4"/>
    </row>
    <row r="22397">
      <c r="A22397" s="4" t="str">
        <f>IFERROR(__xludf.DUMMYFUNCTION("""COMPUTED_VALUE"""),"cas_hmw")</f>
        <v>cas_hmw</v>
      </c>
      <c r="B22397" s="5">
        <f>IFERROR(__xludf.DUMMYFUNCTION("""COMPUTED_VALUE"""),44789.0)</f>
        <v>44789</v>
      </c>
      <c r="C22397" s="6">
        <f>IFERROR(__xludf.DUMMYFUNCTION("""COMPUTED_VALUE"""),0.7056249999986903)</f>
        <v>0.705625</v>
      </c>
      <c r="D22397" s="4">
        <f>IFERROR(__xludf.DUMMYFUNCTION("""COMPUTED_VALUE"""),12.981002)</f>
        <v>12.981002</v>
      </c>
      <c r="E22397" s="4">
        <f>IFERROR(__xludf.DUMMYFUNCTION("""COMPUTED_VALUE"""),80.165819)</f>
        <v>80.165819</v>
      </c>
      <c r="F22397" s="4">
        <f>IFERROR(__xludf.DUMMYFUNCTION("""COMPUTED_VALUE"""),805.0)</f>
        <v>805</v>
      </c>
      <c r="G22397" s="4">
        <f>IFERROR(__xludf.DUMMYFUNCTION("""COMPUTED_VALUE"""),54.0)</f>
        <v>54</v>
      </c>
      <c r="H22397" s="4"/>
      <c r="I22397" s="4"/>
    </row>
    <row r="22398">
      <c r="A22398" s="4" t="str">
        <f>IFERROR(__xludf.DUMMYFUNCTION("""COMPUTED_VALUE"""),"cas_hmw")</f>
        <v>cas_hmw</v>
      </c>
      <c r="B22398" s="5">
        <f>IFERROR(__xludf.DUMMYFUNCTION("""COMPUTED_VALUE"""),44789.0)</f>
        <v>44789</v>
      </c>
      <c r="C22398" s="6">
        <f>IFERROR(__xludf.DUMMYFUNCTION("""COMPUTED_VALUE"""),0.7056481481486117)</f>
        <v>0.7056481481</v>
      </c>
      <c r="D22398" s="4">
        <f>IFERROR(__xludf.DUMMYFUNCTION("""COMPUTED_VALUE"""),12.919539)</f>
        <v>12.919539</v>
      </c>
      <c r="E22398" s="4">
        <f>IFERROR(__xludf.DUMMYFUNCTION("""COMPUTED_VALUE"""),80.172307)</f>
        <v>80.172307</v>
      </c>
      <c r="F22398" s="4">
        <f>IFERROR(__xludf.DUMMYFUNCTION("""COMPUTED_VALUE"""),3143.0)</f>
        <v>3143</v>
      </c>
      <c r="G22398" s="4">
        <f>IFERROR(__xludf.DUMMYFUNCTION("""COMPUTED_VALUE"""),51.0)</f>
        <v>51</v>
      </c>
      <c r="H22398" s="4"/>
      <c r="I22398" s="4"/>
    </row>
    <row r="22399">
      <c r="A22399" s="4" t="str">
        <f>IFERROR(__xludf.DUMMYFUNCTION("""COMPUTED_VALUE"""),"cas_hmw")</f>
        <v>cas_hmw</v>
      </c>
      <c r="B22399" s="5">
        <f>IFERROR(__xludf.DUMMYFUNCTION("""COMPUTED_VALUE"""),44789.0)</f>
        <v>44789</v>
      </c>
      <c r="C22399" s="6">
        <f>IFERROR(__xludf.DUMMYFUNCTION("""COMPUTED_VALUE"""),0.705740740741021)</f>
        <v>0.7057407407</v>
      </c>
      <c r="D22399" s="4">
        <f>IFERROR(__xludf.DUMMYFUNCTION("""COMPUTED_VALUE"""),12.981689)</f>
        <v>12.981689</v>
      </c>
      <c r="E22399" s="4">
        <f>IFERROR(__xludf.DUMMYFUNCTION("""COMPUTED_VALUE"""),80.167021)</f>
        <v>80.167021</v>
      </c>
      <c r="F22399" s="4">
        <f>IFERROR(__xludf.DUMMYFUNCTION("""COMPUTED_VALUE"""),805.0)</f>
        <v>805</v>
      </c>
      <c r="G22399" s="4">
        <f>IFERROR(__xludf.DUMMYFUNCTION("""COMPUTED_VALUE"""),55.0)</f>
        <v>55</v>
      </c>
      <c r="H22399" s="4"/>
      <c r="I22399" s="4"/>
    </row>
    <row r="22400">
      <c r="A22400" s="4" t="str">
        <f>IFERROR(__xludf.DUMMYFUNCTION("""COMPUTED_VALUE"""),"cas_hmw")</f>
        <v>cas_hmw</v>
      </c>
      <c r="B22400" s="5">
        <f>IFERROR(__xludf.DUMMYFUNCTION("""COMPUTED_VALUE"""),44789.0)</f>
        <v>44789</v>
      </c>
      <c r="C22400" s="6">
        <f>IFERROR(__xludf.DUMMYFUNCTION("""COMPUTED_VALUE"""),0.7061574074068631)</f>
        <v>0.7061574074</v>
      </c>
      <c r="D22400" s="4">
        <f>IFERROR(__xludf.DUMMYFUNCTION("""COMPUTED_VALUE"""),12.91826)</f>
        <v>12.91826</v>
      </c>
      <c r="E22400" s="4">
        <f>IFERROR(__xludf.DUMMYFUNCTION("""COMPUTED_VALUE"""),80.177791)</f>
        <v>80.177791</v>
      </c>
      <c r="F22400" s="4">
        <f>IFERROR(__xludf.DUMMYFUNCTION("""COMPUTED_VALUE"""),3143.0)</f>
        <v>3143</v>
      </c>
      <c r="G22400" s="4">
        <f>IFERROR(__xludf.DUMMYFUNCTION("""COMPUTED_VALUE"""),34.0)</f>
        <v>34</v>
      </c>
      <c r="H22400" s="4"/>
      <c r="I22400" s="4"/>
    </row>
    <row r="22401">
      <c r="A22401" s="4" t="str">
        <f>IFERROR(__xludf.DUMMYFUNCTION("""COMPUTED_VALUE"""),"cas_hmw")</f>
        <v>cas_hmw</v>
      </c>
      <c r="B22401" s="5">
        <f>IFERROR(__xludf.DUMMYFUNCTION("""COMPUTED_VALUE"""),44789.0)</f>
        <v>44789</v>
      </c>
      <c r="C22401" s="6">
        <f>IFERROR(__xludf.DUMMYFUNCTION("""COMPUTED_VALUE"""),0.7066782407418941)</f>
        <v>0.7066782407</v>
      </c>
      <c r="D22401" s="4">
        <f>IFERROR(__xludf.DUMMYFUNCTION("""COMPUTED_VALUE"""),12.919465)</f>
        <v>12.919465</v>
      </c>
      <c r="E22401" s="4">
        <f>IFERROR(__xludf.DUMMYFUNCTION("""COMPUTED_VALUE"""),80.180652)</f>
        <v>80.180652</v>
      </c>
      <c r="F22401" s="4">
        <f>IFERROR(__xludf.DUMMYFUNCTION("""COMPUTED_VALUE"""),3143.0)</f>
        <v>3143</v>
      </c>
      <c r="G22401" s="4">
        <f>IFERROR(__xludf.DUMMYFUNCTION("""COMPUTED_VALUE"""),34.0)</f>
        <v>34</v>
      </c>
      <c r="H22401" s="4"/>
      <c r="I22401" s="4"/>
    </row>
    <row r="22402">
      <c r="A22402" s="4" t="str">
        <f>IFERROR(__xludf.DUMMYFUNCTION("""COMPUTED_VALUE"""),"cas_hmw")</f>
        <v>cas_hmw</v>
      </c>
      <c r="B22402" s="5">
        <f>IFERROR(__xludf.DUMMYFUNCTION("""COMPUTED_VALUE"""),44789.0)</f>
        <v>44789</v>
      </c>
      <c r="C22402" s="6">
        <f>IFERROR(__xludf.DUMMYFUNCTION("""COMPUTED_VALUE"""),0.7067592592575238)</f>
        <v>0.7067592593</v>
      </c>
      <c r="D22402" s="4">
        <f>IFERROR(__xludf.DUMMYFUNCTION("""COMPUTED_VALUE"""),12.919854)</f>
        <v>12.919854</v>
      </c>
      <c r="E22402" s="4">
        <f>IFERROR(__xludf.DUMMYFUNCTION("""COMPUTED_VALUE"""),80.182411)</f>
        <v>80.182411</v>
      </c>
      <c r="F22402" s="4">
        <f>IFERROR(__xludf.DUMMYFUNCTION("""COMPUTED_VALUE"""),3143.0)</f>
        <v>3143</v>
      </c>
      <c r="G22402" s="4">
        <f>IFERROR(__xludf.DUMMYFUNCTION("""COMPUTED_VALUE"""),46.0)</f>
        <v>46</v>
      </c>
      <c r="H22402" s="4"/>
      <c r="I22402" s="4"/>
    </row>
    <row r="22403">
      <c r="A22403" s="4" t="str">
        <f>IFERROR(__xludf.DUMMYFUNCTION("""COMPUTED_VALUE"""),"cas_hmw")</f>
        <v>cas_hmw</v>
      </c>
      <c r="B22403" s="5">
        <f>IFERROR(__xludf.DUMMYFUNCTION("""COMPUTED_VALUE"""),44789.0)</f>
        <v>44789</v>
      </c>
      <c r="C22403" s="6">
        <f>IFERROR(__xludf.DUMMYFUNCTION("""COMPUTED_VALUE"""),0.7069907407421852)</f>
        <v>0.7069907407</v>
      </c>
      <c r="D22403" s="4">
        <f>IFERROR(__xludf.DUMMYFUNCTION("""COMPUTED_VALUE"""),12.985888)</f>
        <v>12.985888</v>
      </c>
      <c r="E22403" s="4">
        <f>IFERROR(__xludf.DUMMYFUNCTION("""COMPUTED_VALUE"""),80.173848)</f>
        <v>80.173848</v>
      </c>
      <c r="F22403" s="4">
        <f>IFERROR(__xludf.DUMMYFUNCTION("""COMPUTED_VALUE"""),805.0)</f>
        <v>805</v>
      </c>
      <c r="G22403" s="4">
        <f>IFERROR(__xludf.DUMMYFUNCTION("""COMPUTED_VALUE"""),23.0)</f>
        <v>23</v>
      </c>
      <c r="H22403" s="4"/>
      <c r="I22403" s="4"/>
    </row>
    <row r="22404">
      <c r="A22404" s="4" t="str">
        <f>IFERROR(__xludf.DUMMYFUNCTION("""COMPUTED_VALUE"""),"cas_hmw")</f>
        <v>cas_hmw</v>
      </c>
      <c r="B22404" s="5">
        <f>IFERROR(__xludf.DUMMYFUNCTION("""COMPUTED_VALUE"""),44789.0)</f>
        <v>44789</v>
      </c>
      <c r="C22404" s="6">
        <f>IFERROR(__xludf.DUMMYFUNCTION("""COMPUTED_VALUE"""),0.7070023148153268)</f>
        <v>0.7070023148</v>
      </c>
      <c r="D22404" s="4">
        <f>IFERROR(__xludf.DUMMYFUNCTION("""COMPUTED_VALUE"""),12.98627)</f>
        <v>12.98627</v>
      </c>
      <c r="E22404" s="4">
        <f>IFERROR(__xludf.DUMMYFUNCTION("""COMPUTED_VALUE"""),80.174398)</f>
        <v>80.174398</v>
      </c>
      <c r="F22404" s="4">
        <f>IFERROR(__xludf.DUMMYFUNCTION("""COMPUTED_VALUE"""),805.0)</f>
        <v>805</v>
      </c>
      <c r="G22404" s="4">
        <f>IFERROR(__xludf.DUMMYFUNCTION("""COMPUTED_VALUE"""),27.0)</f>
        <v>27</v>
      </c>
      <c r="H22404" s="4"/>
      <c r="I22404" s="4"/>
    </row>
    <row r="22405">
      <c r="A22405" s="4" t="str">
        <f>IFERROR(__xludf.DUMMYFUNCTION("""COMPUTED_VALUE"""),"cas_hmw")</f>
        <v>cas_hmw</v>
      </c>
      <c r="B22405" s="5">
        <f>IFERROR(__xludf.DUMMYFUNCTION("""COMPUTED_VALUE"""),44789.0)</f>
        <v>44789</v>
      </c>
      <c r="C22405" s="6">
        <f>IFERROR(__xludf.DUMMYFUNCTION("""COMPUTED_VALUE"""),0.7070138888884685)</f>
        <v>0.7070138889</v>
      </c>
      <c r="D22405" s="4">
        <f>IFERROR(__xludf.DUMMYFUNCTION("""COMPUTED_VALUE"""),12.98627)</f>
        <v>12.98627</v>
      </c>
      <c r="E22405" s="4">
        <f>IFERROR(__xludf.DUMMYFUNCTION("""COMPUTED_VALUE"""),80.174398)</f>
        <v>80.174398</v>
      </c>
      <c r="F22405" s="4">
        <f>IFERROR(__xludf.DUMMYFUNCTION("""COMPUTED_VALUE"""),805.0)</f>
        <v>805</v>
      </c>
      <c r="G22405" s="4">
        <f>IFERROR(__xludf.DUMMYFUNCTION("""COMPUTED_VALUE"""),27.0)</f>
        <v>27</v>
      </c>
      <c r="H22405" s="4"/>
      <c r="I22405" s="4"/>
    </row>
    <row r="22406">
      <c r="A22406" s="4" t="str">
        <f>IFERROR(__xludf.DUMMYFUNCTION("""COMPUTED_VALUE"""),"cas_hmw")</f>
        <v>cas_hmw</v>
      </c>
      <c r="B22406" s="5">
        <f>IFERROR(__xludf.DUMMYFUNCTION("""COMPUTED_VALUE"""),44789.0)</f>
        <v>44789</v>
      </c>
      <c r="C22406" s="6">
        <f>IFERROR(__xludf.DUMMYFUNCTION("""COMPUTED_VALUE"""),0.7077199074083182)</f>
        <v>0.7077199074</v>
      </c>
      <c r="D22406" s="4">
        <f>IFERROR(__xludf.DUMMYFUNCTION("""COMPUTED_VALUE"""),12.987631)</f>
        <v>12.987631</v>
      </c>
      <c r="E22406" s="4">
        <f>IFERROR(__xludf.DUMMYFUNCTION("""COMPUTED_VALUE"""),80.176378)</f>
        <v>80.176378</v>
      </c>
      <c r="F22406" s="4">
        <f>IFERROR(__xludf.DUMMYFUNCTION("""COMPUTED_VALUE"""),805.0)</f>
        <v>805</v>
      </c>
      <c r="G22406" s="4">
        <f>IFERROR(__xludf.DUMMYFUNCTION("""COMPUTED_VALUE"""),13.0)</f>
        <v>13</v>
      </c>
      <c r="H22406" s="4"/>
      <c r="I22406" s="4"/>
    </row>
    <row r="22407">
      <c r="A22407" s="4" t="str">
        <f>IFERROR(__xludf.DUMMYFUNCTION("""COMPUTED_VALUE"""),"cas_hmw")</f>
        <v>cas_hmw</v>
      </c>
      <c r="B22407" s="5">
        <f>IFERROR(__xludf.DUMMYFUNCTION("""COMPUTED_VALUE"""),44789.0)</f>
        <v>44789</v>
      </c>
      <c r="C22407" s="6">
        <f>IFERROR(__xludf.DUMMYFUNCTION("""COMPUTED_VALUE"""),0.7077199074083182)</f>
        <v>0.7077199074</v>
      </c>
      <c r="D22407" s="4">
        <f>IFERROR(__xludf.DUMMYFUNCTION("""COMPUTED_VALUE"""),12.987631)</f>
        <v>12.987631</v>
      </c>
      <c r="E22407" s="4">
        <f>IFERROR(__xludf.DUMMYFUNCTION("""COMPUTED_VALUE"""),80.176378)</f>
        <v>80.176378</v>
      </c>
      <c r="F22407" s="4">
        <f>IFERROR(__xludf.DUMMYFUNCTION("""COMPUTED_VALUE"""),805.0)</f>
        <v>805</v>
      </c>
      <c r="G22407" s="4">
        <f>IFERROR(__xludf.DUMMYFUNCTION("""COMPUTED_VALUE"""),13.0)</f>
        <v>13</v>
      </c>
      <c r="H22407" s="4"/>
      <c r="I22407" s="4"/>
    </row>
    <row r="22408">
      <c r="A22408" s="4" t="str">
        <f>IFERROR(__xludf.DUMMYFUNCTION("""COMPUTED_VALUE"""),"cas_hmw")</f>
        <v>cas_hmw</v>
      </c>
      <c r="B22408" s="5">
        <f>IFERROR(__xludf.DUMMYFUNCTION("""COMPUTED_VALUE"""),44789.0)</f>
        <v>44789</v>
      </c>
      <c r="C22408" s="6">
        <f>IFERROR(__xludf.DUMMYFUNCTION("""COMPUTED_VALUE"""),0.7083333333321207)</f>
        <v>0.7083333333</v>
      </c>
      <c r="D22408" s="4">
        <f>IFERROR(__xludf.DUMMYFUNCTION("""COMPUTED_VALUE"""),12.761942)</f>
        <v>12.761942</v>
      </c>
      <c r="E22408" s="4">
        <f>IFERROR(__xludf.DUMMYFUNCTION("""COMPUTED_VALUE"""),80.003829)</f>
        <v>80.003829</v>
      </c>
      <c r="F22408" s="4">
        <f>IFERROR(__xludf.DUMMYFUNCTION("""COMPUTED_VALUE"""),2846.0)</f>
        <v>2846</v>
      </c>
      <c r="G22408" s="4">
        <f>IFERROR(__xludf.DUMMYFUNCTION("""COMPUTED_VALUE"""),56.0)</f>
        <v>56</v>
      </c>
      <c r="H22408" s="4"/>
      <c r="I22408" s="4"/>
    </row>
    <row r="22409">
      <c r="A22409" s="4" t="str">
        <f>IFERROR(__xludf.DUMMYFUNCTION("""COMPUTED_VALUE"""),"cas_hmw")</f>
        <v>cas_hmw</v>
      </c>
      <c r="B22409" s="5">
        <f>IFERROR(__xludf.DUMMYFUNCTION("""COMPUTED_VALUE"""),44789.0)</f>
        <v>44789</v>
      </c>
      <c r="C22409" s="6">
        <f>IFERROR(__xludf.DUMMYFUNCTION("""COMPUTED_VALUE"""),0.7084027777782467)</f>
        <v>0.7084027778</v>
      </c>
      <c r="D22409" s="4">
        <f>IFERROR(__xludf.DUMMYFUNCTION("""COMPUTED_VALUE"""),12.990016)</f>
        <v>12.990016</v>
      </c>
      <c r="E22409" s="4">
        <f>IFERROR(__xludf.DUMMYFUNCTION("""COMPUTED_VALUE"""),80.1795)</f>
        <v>80.1795</v>
      </c>
      <c r="F22409" s="4">
        <f>IFERROR(__xludf.DUMMYFUNCTION("""COMPUTED_VALUE"""),805.0)</f>
        <v>805</v>
      </c>
      <c r="G22409" s="4">
        <f>IFERROR(__xludf.DUMMYFUNCTION("""COMPUTED_VALUE"""),39.0)</f>
        <v>39</v>
      </c>
      <c r="H22409" s="4"/>
      <c r="I22409" s="4"/>
    </row>
    <row r="22410">
      <c r="A22410" s="4" t="str">
        <f>IFERROR(__xludf.DUMMYFUNCTION("""COMPUTED_VALUE"""),"cas_hmw")</f>
        <v>cas_hmw</v>
      </c>
      <c r="B22410" s="5">
        <f>IFERROR(__xludf.DUMMYFUNCTION("""COMPUTED_VALUE"""),44789.0)</f>
        <v>44789</v>
      </c>
      <c r="C22410" s="6">
        <f>IFERROR(__xludf.DUMMYFUNCTION("""COMPUTED_VALUE"""),0.7103240740725596)</f>
        <v>0.7103240741</v>
      </c>
      <c r="D22410" s="4">
        <f>IFERROR(__xludf.DUMMYFUNCTION("""COMPUTED_VALUE"""),12.996148)</f>
        <v>12.996148</v>
      </c>
      <c r="E22410" s="4">
        <f>IFERROR(__xludf.DUMMYFUNCTION("""COMPUTED_VALUE"""),80.189401)</f>
        <v>80.189401</v>
      </c>
      <c r="F22410" s="4">
        <f>IFERROR(__xludf.DUMMYFUNCTION("""COMPUTED_VALUE"""),805.0)</f>
        <v>805</v>
      </c>
      <c r="G22410" s="4">
        <f>IFERROR(__xludf.DUMMYFUNCTION("""COMPUTED_VALUE"""),31.0)</f>
        <v>31</v>
      </c>
      <c r="H22410" s="4"/>
      <c r="I22410" s="4"/>
    </row>
    <row r="22411">
      <c r="A22411" s="4" t="str">
        <f>IFERROR(__xludf.DUMMYFUNCTION("""COMPUTED_VALUE"""),"cas_hmw")</f>
        <v>cas_hmw</v>
      </c>
      <c r="B22411" s="5">
        <f>IFERROR(__xludf.DUMMYFUNCTION("""COMPUTED_VALUE"""),44789.0)</f>
        <v>44789</v>
      </c>
      <c r="C22411" s="6">
        <f>IFERROR(__xludf.DUMMYFUNCTION("""COMPUTED_VALUE"""),0.7105439814804413)</f>
        <v>0.7105439815</v>
      </c>
      <c r="D22411" s="4">
        <f>IFERROR(__xludf.DUMMYFUNCTION("""COMPUTED_VALUE"""),12.984459)</f>
        <v>12.984459</v>
      </c>
      <c r="E22411" s="4">
        <f>IFERROR(__xludf.DUMMYFUNCTION("""COMPUTED_VALUE"""),80.171708)</f>
        <v>80.171708</v>
      </c>
      <c r="F22411" s="4">
        <f>IFERROR(__xludf.DUMMYFUNCTION("""COMPUTED_VALUE"""),5339.0)</f>
        <v>5339</v>
      </c>
      <c r="G22411" s="4">
        <f>IFERROR(__xludf.DUMMYFUNCTION("""COMPUTED_VALUE"""),40.0)</f>
        <v>40</v>
      </c>
      <c r="H22411" s="4"/>
      <c r="I22411" s="4"/>
    </row>
    <row r="22412">
      <c r="A22412" s="4" t="str">
        <f>IFERROR(__xludf.DUMMYFUNCTION("""COMPUTED_VALUE"""),"cas_hmw")</f>
        <v>cas_hmw</v>
      </c>
      <c r="B22412" s="5">
        <f>IFERROR(__xludf.DUMMYFUNCTION("""COMPUTED_VALUE"""),44789.0)</f>
        <v>44789</v>
      </c>
      <c r="C22412" s="6">
        <f>IFERROR(__xludf.DUMMYFUNCTION("""COMPUTED_VALUE"""),0.710694444445835)</f>
        <v>0.7106944444</v>
      </c>
      <c r="D22412" s="4">
        <f>IFERROR(__xludf.DUMMYFUNCTION("""COMPUTED_VALUE"""),12.985264)</f>
        <v>12.985264</v>
      </c>
      <c r="E22412" s="4">
        <f>IFERROR(__xludf.DUMMYFUNCTION("""COMPUTED_VALUE"""),80.172927)</f>
        <v>80.172927</v>
      </c>
      <c r="F22412" s="4">
        <f>IFERROR(__xludf.DUMMYFUNCTION("""COMPUTED_VALUE"""),5339.0)</f>
        <v>5339</v>
      </c>
      <c r="G22412" s="4">
        <f>IFERROR(__xludf.DUMMYFUNCTION("""COMPUTED_VALUE"""),25.0)</f>
        <v>25</v>
      </c>
      <c r="H22412" s="4"/>
      <c r="I22412" s="4"/>
    </row>
    <row r="22413">
      <c r="A22413" s="4" t="str">
        <f>IFERROR(__xludf.DUMMYFUNCTION("""COMPUTED_VALUE"""),"cas_hmw")</f>
        <v>cas_hmw</v>
      </c>
      <c r="B22413" s="5">
        <f>IFERROR(__xludf.DUMMYFUNCTION("""COMPUTED_VALUE"""),44789.0)</f>
        <v>44789</v>
      </c>
      <c r="C22413" s="6">
        <f>IFERROR(__xludf.DUMMYFUNCTION("""COMPUTED_VALUE"""),0.7107060185189766)</f>
        <v>0.7107060185</v>
      </c>
      <c r="D22413" s="4">
        <f>IFERROR(__xludf.DUMMYFUNCTION("""COMPUTED_VALUE"""),12.985264)</f>
        <v>12.985264</v>
      </c>
      <c r="E22413" s="4">
        <f>IFERROR(__xludf.DUMMYFUNCTION("""COMPUTED_VALUE"""),80.172927)</f>
        <v>80.172927</v>
      </c>
      <c r="F22413" s="4">
        <f>IFERROR(__xludf.DUMMYFUNCTION("""COMPUTED_VALUE"""),5339.0)</f>
        <v>5339</v>
      </c>
      <c r="G22413" s="4">
        <f>IFERROR(__xludf.DUMMYFUNCTION("""COMPUTED_VALUE"""),25.0)</f>
        <v>25</v>
      </c>
      <c r="H22413" s="4"/>
      <c r="I22413" s="4"/>
    </row>
    <row r="22414">
      <c r="A22414" s="4" t="str">
        <f>IFERROR(__xludf.DUMMYFUNCTION("""COMPUTED_VALUE"""),"cas_hmw")</f>
        <v>cas_hmw</v>
      </c>
      <c r="B22414" s="5">
        <f>IFERROR(__xludf.DUMMYFUNCTION("""COMPUTED_VALUE"""),44789.0)</f>
        <v>44789</v>
      </c>
      <c r="C22414" s="6">
        <f>IFERROR(__xludf.DUMMYFUNCTION("""COMPUTED_VALUE"""),0.7107523148151813)</f>
        <v>0.7107523148</v>
      </c>
      <c r="D22414" s="4">
        <f>IFERROR(__xludf.DUMMYFUNCTION("""COMPUTED_VALUE"""),12.999)</f>
        <v>12.999</v>
      </c>
      <c r="E22414" s="4">
        <f>IFERROR(__xludf.DUMMYFUNCTION("""COMPUTED_VALUE"""),80.19286)</f>
        <v>80.19286</v>
      </c>
      <c r="F22414" s="4">
        <f>IFERROR(__xludf.DUMMYFUNCTION("""COMPUTED_VALUE"""),805.0)</f>
        <v>805</v>
      </c>
      <c r="G22414" s="4">
        <f>IFERROR(__xludf.DUMMYFUNCTION("""COMPUTED_VALUE"""),49.0)</f>
        <v>49</v>
      </c>
      <c r="H22414" s="4"/>
      <c r="I22414" s="4"/>
    </row>
    <row r="22415">
      <c r="A22415" s="4" t="str">
        <f>IFERROR(__xludf.DUMMYFUNCTION("""COMPUTED_VALUE"""),"cas_hmw")</f>
        <v>cas_hmw</v>
      </c>
      <c r="B22415" s="5">
        <f>IFERROR(__xludf.DUMMYFUNCTION("""COMPUTED_VALUE"""),44789.0)</f>
        <v>44789</v>
      </c>
      <c r="C22415" s="6">
        <f>IFERROR(__xludf.DUMMYFUNCTION("""COMPUTED_VALUE"""),0.7108449074075907)</f>
        <v>0.7108449074</v>
      </c>
      <c r="D22415" s="4">
        <f>IFERROR(__xludf.DUMMYFUNCTION("""COMPUTED_VALUE"""),12.999792)</f>
        <v>12.999792</v>
      </c>
      <c r="E22415" s="4">
        <f>IFERROR(__xludf.DUMMYFUNCTION("""COMPUTED_VALUE"""),80.193809)</f>
        <v>80.193809</v>
      </c>
      <c r="F22415" s="4">
        <f>IFERROR(__xludf.DUMMYFUNCTION("""COMPUTED_VALUE"""),805.0)</f>
        <v>805</v>
      </c>
      <c r="G22415" s="4">
        <f>IFERROR(__xludf.DUMMYFUNCTION("""COMPUTED_VALUE"""),43.0)</f>
        <v>43</v>
      </c>
      <c r="H22415" s="4"/>
      <c r="I22415" s="4"/>
    </row>
    <row r="22416">
      <c r="A22416" s="4" t="str">
        <f>IFERROR(__xludf.DUMMYFUNCTION("""COMPUTED_VALUE"""),"cas_hmw")</f>
        <v>cas_hmw</v>
      </c>
      <c r="B22416" s="5">
        <f>IFERROR(__xludf.DUMMYFUNCTION("""COMPUTED_VALUE"""),44789.0)</f>
        <v>44789</v>
      </c>
      <c r="C22416" s="6">
        <f>IFERROR(__xludf.DUMMYFUNCTION("""COMPUTED_VALUE"""),0.7109259259268583)</f>
        <v>0.7109259259</v>
      </c>
      <c r="D22416" s="4">
        <f>IFERROR(__xludf.DUMMYFUNCTION("""COMPUTED_VALUE"""),12.999792)</f>
        <v>12.999792</v>
      </c>
      <c r="E22416" s="4">
        <f>IFERROR(__xludf.DUMMYFUNCTION("""COMPUTED_VALUE"""),80.193809)</f>
        <v>80.193809</v>
      </c>
      <c r="F22416" s="4">
        <f>IFERROR(__xludf.DUMMYFUNCTION("""COMPUTED_VALUE"""),805.0)</f>
        <v>805</v>
      </c>
      <c r="G22416" s="4">
        <f>IFERROR(__xludf.DUMMYFUNCTION("""COMPUTED_VALUE"""),43.0)</f>
        <v>43</v>
      </c>
      <c r="H22416" s="4"/>
      <c r="I22416" s="4"/>
    </row>
    <row r="22417">
      <c r="A22417" s="4" t="str">
        <f>IFERROR(__xludf.DUMMYFUNCTION("""COMPUTED_VALUE"""),"cas_hmw")</f>
        <v>cas_hmw</v>
      </c>
      <c r="B22417" s="5">
        <f>IFERROR(__xludf.DUMMYFUNCTION("""COMPUTED_VALUE"""),44789.0)</f>
        <v>44789</v>
      </c>
      <c r="C22417" s="6">
        <f>IFERROR(__xludf.DUMMYFUNCTION("""COMPUTED_VALUE"""),0.7111574074078817)</f>
        <v>0.7111574074</v>
      </c>
      <c r="D22417" s="4">
        <f>IFERROR(__xludf.DUMMYFUNCTION("""COMPUTED_VALUE"""),13.001126)</f>
        <v>13.001126</v>
      </c>
      <c r="E22417" s="4">
        <f>IFERROR(__xludf.DUMMYFUNCTION("""COMPUTED_VALUE"""),80.195497)</f>
        <v>80.195497</v>
      </c>
      <c r="F22417" s="4">
        <f>IFERROR(__xludf.DUMMYFUNCTION("""COMPUTED_VALUE"""),805.0)</f>
        <v>805</v>
      </c>
      <c r="G22417" s="4">
        <f>IFERROR(__xludf.DUMMYFUNCTION("""COMPUTED_VALUE"""),30.0)</f>
        <v>30</v>
      </c>
      <c r="H22417" s="4"/>
      <c r="I22417" s="4"/>
    </row>
    <row r="22418">
      <c r="A22418" s="4" t="str">
        <f>IFERROR(__xludf.DUMMYFUNCTION("""COMPUTED_VALUE"""),"cas_hmw")</f>
        <v>cas_hmw</v>
      </c>
      <c r="B22418" s="5">
        <f>IFERROR(__xludf.DUMMYFUNCTION("""COMPUTED_VALUE"""),44789.0)</f>
        <v>44789</v>
      </c>
      <c r="C22418" s="6">
        <f>IFERROR(__xludf.DUMMYFUNCTION("""COMPUTED_VALUE"""),0.7111574074078817)</f>
        <v>0.7111574074</v>
      </c>
      <c r="D22418" s="4">
        <f>IFERROR(__xludf.DUMMYFUNCTION("""COMPUTED_VALUE"""),13.001126)</f>
        <v>13.001126</v>
      </c>
      <c r="E22418" s="4">
        <f>IFERROR(__xludf.DUMMYFUNCTION("""COMPUTED_VALUE"""),80.195497)</f>
        <v>80.195497</v>
      </c>
      <c r="F22418" s="4">
        <f>IFERROR(__xludf.DUMMYFUNCTION("""COMPUTED_VALUE"""),805.0)</f>
        <v>805</v>
      </c>
      <c r="G22418" s="4">
        <f>IFERROR(__xludf.DUMMYFUNCTION("""COMPUTED_VALUE"""),30.0)</f>
        <v>30</v>
      </c>
      <c r="H22418" s="4"/>
      <c r="I22418" s="4"/>
    </row>
    <row r="22419">
      <c r="A22419" s="4" t="str">
        <f>IFERROR(__xludf.DUMMYFUNCTION("""COMPUTED_VALUE"""),"cas_hmw")</f>
        <v>cas_hmw</v>
      </c>
      <c r="B22419" s="5">
        <f>IFERROR(__xludf.DUMMYFUNCTION("""COMPUTED_VALUE"""),44789.0)</f>
        <v>44789</v>
      </c>
      <c r="C22419" s="6">
        <f>IFERROR(__xludf.DUMMYFUNCTION("""COMPUTED_VALUE"""),0.7111689814810234)</f>
        <v>0.7111689815</v>
      </c>
      <c r="D22419" s="4">
        <f>IFERROR(__xludf.DUMMYFUNCTION("""COMPUTED_VALUE"""),13.001546)</f>
        <v>13.001546</v>
      </c>
      <c r="E22419" s="4">
        <f>IFERROR(__xludf.DUMMYFUNCTION("""COMPUTED_VALUE"""),80.195983)</f>
        <v>80.195983</v>
      </c>
      <c r="F22419" s="4">
        <f>IFERROR(__xludf.DUMMYFUNCTION("""COMPUTED_VALUE"""),805.0)</f>
        <v>805</v>
      </c>
      <c r="G22419" s="4">
        <f>IFERROR(__xludf.DUMMYFUNCTION("""COMPUTED_VALUE"""),26.0)</f>
        <v>26</v>
      </c>
      <c r="H22419" s="4"/>
      <c r="I22419" s="4"/>
    </row>
    <row r="22420">
      <c r="A22420" s="4" t="str">
        <f>IFERROR(__xludf.DUMMYFUNCTION("""COMPUTED_VALUE"""),"cas_hmw")</f>
        <v>cas_hmw</v>
      </c>
      <c r="B22420" s="5">
        <f>IFERROR(__xludf.DUMMYFUNCTION("""COMPUTED_VALUE"""),44789.0)</f>
        <v>44789</v>
      </c>
      <c r="C22420" s="6">
        <f>IFERROR(__xludf.DUMMYFUNCTION("""COMPUTED_VALUE"""),0.7112268518503697)</f>
        <v>0.7112268519</v>
      </c>
      <c r="D22420" s="4">
        <f>IFERROR(__xludf.DUMMYFUNCTION("""COMPUTED_VALUE"""),12.735107)</f>
        <v>12.735107</v>
      </c>
      <c r="E22420" s="4">
        <f>IFERROR(__xludf.DUMMYFUNCTION("""COMPUTED_VALUE"""),79.986202)</f>
        <v>79.986202</v>
      </c>
      <c r="F22420" s="4">
        <f>IFERROR(__xludf.DUMMYFUNCTION("""COMPUTED_VALUE"""),2846.0)</f>
        <v>2846</v>
      </c>
      <c r="G22420" s="4">
        <f>IFERROR(__xludf.DUMMYFUNCTION("""COMPUTED_VALUE"""),58.0)</f>
        <v>58</v>
      </c>
      <c r="H22420" s="4"/>
      <c r="I22420" s="4"/>
    </row>
    <row r="22421">
      <c r="A22421" s="4" t="str">
        <f>IFERROR(__xludf.DUMMYFUNCTION("""COMPUTED_VALUE"""),"cas_hmw")</f>
        <v>cas_hmw</v>
      </c>
      <c r="B22421" s="5">
        <f>IFERROR(__xludf.DUMMYFUNCTION("""COMPUTED_VALUE"""),44789.0)</f>
        <v>44789</v>
      </c>
      <c r="C22421" s="6">
        <f>IFERROR(__xludf.DUMMYFUNCTION("""COMPUTED_VALUE"""),0.7112731481465744)</f>
        <v>0.7112731481</v>
      </c>
      <c r="D22421" s="4">
        <f>IFERROR(__xludf.DUMMYFUNCTION("""COMPUTED_VALUE"""),13.001546)</f>
        <v>13.001546</v>
      </c>
      <c r="E22421" s="4">
        <f>IFERROR(__xludf.DUMMYFUNCTION("""COMPUTED_VALUE"""),80.195983)</f>
        <v>80.195983</v>
      </c>
      <c r="F22421" s="4">
        <f>IFERROR(__xludf.DUMMYFUNCTION("""COMPUTED_VALUE"""),805.0)</f>
        <v>805</v>
      </c>
      <c r="G22421" s="4">
        <f>IFERROR(__xludf.DUMMYFUNCTION("""COMPUTED_VALUE"""),26.0)</f>
        <v>26</v>
      </c>
      <c r="H22421" s="4"/>
      <c r="I22421" s="4"/>
    </row>
    <row r="22422">
      <c r="A22422" s="4" t="str">
        <f>IFERROR(__xludf.DUMMYFUNCTION("""COMPUTED_VALUE"""),"cas_hmw")</f>
        <v>cas_hmw</v>
      </c>
      <c r="B22422" s="5">
        <f>IFERROR(__xludf.DUMMYFUNCTION("""COMPUTED_VALUE"""),44789.0)</f>
        <v>44789</v>
      </c>
      <c r="C22422" s="6">
        <f>IFERROR(__xludf.DUMMYFUNCTION("""COMPUTED_VALUE"""),0.7113657407389837)</f>
        <v>0.7113657407</v>
      </c>
      <c r="D22422" s="4">
        <f>IFERROR(__xludf.DUMMYFUNCTION("""COMPUTED_VALUE"""),13.001969)</f>
        <v>13.001969</v>
      </c>
      <c r="E22422" s="4">
        <f>IFERROR(__xludf.DUMMYFUNCTION("""COMPUTED_VALUE"""),80.196604)</f>
        <v>80.196604</v>
      </c>
      <c r="F22422" s="4">
        <f>IFERROR(__xludf.DUMMYFUNCTION("""COMPUTED_VALUE"""),805.0)</f>
        <v>805</v>
      </c>
      <c r="G22422" s="4">
        <f>IFERROR(__xludf.DUMMYFUNCTION("""COMPUTED_VALUE"""),31.0)</f>
        <v>31</v>
      </c>
      <c r="H22422" s="4"/>
      <c r="I22422" s="4"/>
    </row>
    <row r="22423">
      <c r="A22423" s="4" t="str">
        <f>IFERROR(__xludf.DUMMYFUNCTION("""COMPUTED_VALUE"""),"cas_hmw")</f>
        <v>cas_hmw</v>
      </c>
      <c r="B22423" s="5">
        <f>IFERROR(__xludf.DUMMYFUNCTION("""COMPUTED_VALUE"""),44789.0)</f>
        <v>44789</v>
      </c>
      <c r="C22423" s="6">
        <f>IFERROR(__xludf.DUMMYFUNCTION("""COMPUTED_VALUE"""),0.7114120370388264)</f>
        <v>0.711412037</v>
      </c>
      <c r="D22423" s="4">
        <f>IFERROR(__xludf.DUMMYFUNCTION("""COMPUTED_VALUE"""),12.73219)</f>
        <v>12.73219</v>
      </c>
      <c r="E22423" s="4">
        <f>IFERROR(__xludf.DUMMYFUNCTION("""COMPUTED_VALUE"""),79.983243)</f>
        <v>79.983243</v>
      </c>
      <c r="F22423" s="4">
        <f>IFERROR(__xludf.DUMMYFUNCTION("""COMPUTED_VALUE"""),2846.0)</f>
        <v>2846</v>
      </c>
      <c r="G22423" s="4">
        <f>IFERROR(__xludf.DUMMYFUNCTION("""COMPUTED_VALUE"""),50.0)</f>
        <v>50</v>
      </c>
      <c r="H22423" s="4"/>
      <c r="I22423" s="4"/>
    </row>
    <row r="22424">
      <c r="A22424" s="4" t="str">
        <f>IFERROR(__xludf.DUMMYFUNCTION("""COMPUTED_VALUE"""),"cas_hmw")</f>
        <v>cas_hmw</v>
      </c>
      <c r="B22424" s="5">
        <f>IFERROR(__xludf.DUMMYFUNCTION("""COMPUTED_VALUE"""),44789.0)</f>
        <v>44789</v>
      </c>
      <c r="C22424" s="6">
        <f>IFERROR(__xludf.DUMMYFUNCTION("""COMPUTED_VALUE"""),0.7115393518506608)</f>
        <v>0.7115393519</v>
      </c>
      <c r="D22424" s="4">
        <f>IFERROR(__xludf.DUMMYFUNCTION("""COMPUTED_VALUE"""),13.00189)</f>
        <v>13.00189</v>
      </c>
      <c r="E22424" s="4">
        <f>IFERROR(__xludf.DUMMYFUNCTION("""COMPUTED_VALUE"""),80.198648)</f>
        <v>80.198648</v>
      </c>
      <c r="F22424" s="4">
        <f>IFERROR(__xludf.DUMMYFUNCTION("""COMPUTED_VALUE"""),805.0)</f>
        <v>805</v>
      </c>
      <c r="G22424" s="4">
        <f>IFERROR(__xludf.DUMMYFUNCTION("""COMPUTED_VALUE"""),46.0)</f>
        <v>46</v>
      </c>
      <c r="H22424" s="4"/>
      <c r="I22424" s="4"/>
    </row>
    <row r="22425">
      <c r="A22425" s="4" t="str">
        <f>IFERROR(__xludf.DUMMYFUNCTION("""COMPUTED_VALUE"""),"cas_hmw")</f>
        <v>cas_hmw</v>
      </c>
      <c r="B22425" s="5">
        <f>IFERROR(__xludf.DUMMYFUNCTION("""COMPUTED_VALUE"""),44789.0)</f>
        <v>44789</v>
      </c>
      <c r="C22425" s="6">
        <f>IFERROR(__xludf.DUMMYFUNCTION("""COMPUTED_VALUE"""),0.7118055555547471)</f>
        <v>0.7118055556</v>
      </c>
      <c r="D22425" s="4">
        <f>IFERROR(__xludf.DUMMYFUNCTION("""COMPUTED_VALUE"""),13.002802)</f>
        <v>13.002802</v>
      </c>
      <c r="E22425" s="4">
        <f>IFERROR(__xludf.DUMMYFUNCTION("""COMPUTED_VALUE"""),80.200672)</f>
        <v>80.200672</v>
      </c>
      <c r="F22425" s="4">
        <f>IFERROR(__xludf.DUMMYFUNCTION("""COMPUTED_VALUE"""),805.0)</f>
        <v>805</v>
      </c>
      <c r="G22425" s="4">
        <f>IFERROR(__xludf.DUMMYFUNCTION("""COMPUTED_VALUE"""),46.0)</f>
        <v>46</v>
      </c>
      <c r="H22425" s="4"/>
      <c r="I22425" s="4"/>
    </row>
    <row r="22426">
      <c r="A22426" s="4" t="str">
        <f>IFERROR(__xludf.DUMMYFUNCTION("""COMPUTED_VALUE"""),"cas_hmw")</f>
        <v>cas_hmw</v>
      </c>
      <c r="B22426" s="5">
        <f>IFERROR(__xludf.DUMMYFUNCTION("""COMPUTED_VALUE"""),44789.0)</f>
        <v>44789</v>
      </c>
      <c r="C22426" s="6">
        <f>IFERROR(__xludf.DUMMYFUNCTION("""COMPUTED_VALUE"""),0.7121527777781012)</f>
        <v>0.7121527778</v>
      </c>
      <c r="D22426" s="4">
        <f>IFERROR(__xludf.DUMMYFUNCTION("""COMPUTED_VALUE"""),13.006012)</f>
        <v>13.006012</v>
      </c>
      <c r="E22426" s="4">
        <f>IFERROR(__xludf.DUMMYFUNCTION("""COMPUTED_VALUE"""),80.202526)</f>
        <v>80.202526</v>
      </c>
      <c r="F22426" s="4">
        <f>IFERROR(__xludf.DUMMYFUNCTION("""COMPUTED_VALUE"""),805.0)</f>
        <v>805</v>
      </c>
      <c r="G22426" s="4">
        <f>IFERROR(__xludf.DUMMYFUNCTION("""COMPUTED_VALUE"""),53.0)</f>
        <v>53</v>
      </c>
      <c r="H22426" s="4"/>
      <c r="I22426" s="4"/>
    </row>
    <row r="22427">
      <c r="A22427" s="4" t="str">
        <f>IFERROR(__xludf.DUMMYFUNCTION("""COMPUTED_VALUE"""),"cas_hmw")</f>
        <v>cas_hmw</v>
      </c>
      <c r="B22427" s="5">
        <f>IFERROR(__xludf.DUMMYFUNCTION("""COMPUTED_VALUE"""),44789.0)</f>
        <v>44789</v>
      </c>
      <c r="C22427" s="6">
        <f>IFERROR(__xludf.DUMMYFUNCTION("""COMPUTED_VALUE"""),0.7123263888897782)</f>
        <v>0.7123263889</v>
      </c>
      <c r="D22427" s="4">
        <f>IFERROR(__xludf.DUMMYFUNCTION("""COMPUTED_VALUE"""),13.007879)</f>
        <v>13.007879</v>
      </c>
      <c r="E22427" s="4">
        <f>IFERROR(__xludf.DUMMYFUNCTION("""COMPUTED_VALUE"""),80.203685)</f>
        <v>80.203685</v>
      </c>
      <c r="F22427" s="4">
        <f>IFERROR(__xludf.DUMMYFUNCTION("""COMPUTED_VALUE"""),805.0)</f>
        <v>805</v>
      </c>
      <c r="G22427" s="4">
        <f>IFERROR(__xludf.DUMMYFUNCTION("""COMPUTED_VALUE"""),40.0)</f>
        <v>40</v>
      </c>
      <c r="H22427" s="4"/>
      <c r="I22427" s="4"/>
    </row>
    <row r="22428">
      <c r="A22428" s="4" t="str">
        <f>IFERROR(__xludf.DUMMYFUNCTION("""COMPUTED_VALUE"""),"cas_hmw")</f>
        <v>cas_hmw</v>
      </c>
      <c r="B22428" s="5">
        <f>IFERROR(__xludf.DUMMYFUNCTION("""COMPUTED_VALUE"""),44789.0)</f>
        <v>44789</v>
      </c>
      <c r="C22428" s="6">
        <f>IFERROR(__xludf.DUMMYFUNCTION("""COMPUTED_VALUE"""),0.7124074074090458)</f>
        <v>0.7124074074</v>
      </c>
      <c r="D22428" s="4">
        <f>IFERROR(__xludf.DUMMYFUNCTION("""COMPUTED_VALUE"""),12.724146)</f>
        <v>12.724146</v>
      </c>
      <c r="E22428" s="4">
        <f>IFERROR(__xludf.DUMMYFUNCTION("""COMPUTED_VALUE"""),79.982066)</f>
        <v>79.982066</v>
      </c>
      <c r="F22428" s="4">
        <f>IFERROR(__xludf.DUMMYFUNCTION("""COMPUTED_VALUE"""),2846.0)</f>
        <v>2846</v>
      </c>
      <c r="G22428" s="4">
        <f>IFERROR(__xludf.DUMMYFUNCTION("""COMPUTED_VALUE"""),12.0)</f>
        <v>12</v>
      </c>
      <c r="H22428" s="4"/>
      <c r="I22428" s="4"/>
    </row>
    <row r="22429">
      <c r="A22429" s="4" t="str">
        <f>IFERROR(__xludf.DUMMYFUNCTION("""COMPUTED_VALUE"""),"cas_hmw")</f>
        <v>cas_hmw</v>
      </c>
      <c r="B22429" s="5">
        <f>IFERROR(__xludf.DUMMYFUNCTION("""COMPUTED_VALUE"""),44789.0)</f>
        <v>44789</v>
      </c>
      <c r="C22429" s="6">
        <f>IFERROR(__xludf.DUMMYFUNCTION("""COMPUTED_VALUE"""),0.7125231481477385)</f>
        <v>0.7125231481</v>
      </c>
      <c r="D22429" s="4">
        <f>IFERROR(__xludf.DUMMYFUNCTION("""COMPUTED_VALUE"""),12.724146)</f>
        <v>12.724146</v>
      </c>
      <c r="E22429" s="4">
        <f>IFERROR(__xludf.DUMMYFUNCTION("""COMPUTED_VALUE"""),79.982066)</f>
        <v>79.982066</v>
      </c>
      <c r="F22429" s="4">
        <f>IFERROR(__xludf.DUMMYFUNCTION("""COMPUTED_VALUE"""),2846.0)</f>
        <v>2846</v>
      </c>
      <c r="G22429" s="4">
        <f>IFERROR(__xludf.DUMMYFUNCTION("""COMPUTED_VALUE"""),12.0)</f>
        <v>12</v>
      </c>
      <c r="H22429" s="4"/>
      <c r="I22429" s="4"/>
    </row>
    <row r="22430">
      <c r="A22430" s="4" t="str">
        <f>IFERROR(__xludf.DUMMYFUNCTION("""COMPUTED_VALUE"""),"cas_hmw")</f>
        <v>cas_hmw</v>
      </c>
      <c r="B22430" s="5">
        <f>IFERROR(__xludf.DUMMYFUNCTION("""COMPUTED_VALUE"""),44789.0)</f>
        <v>44789</v>
      </c>
      <c r="C22430" s="6">
        <f>IFERROR(__xludf.DUMMYFUNCTION("""COMPUTED_VALUE"""),0.7130324074059899)</f>
        <v>0.7130324074</v>
      </c>
      <c r="D22430" s="4">
        <f>IFERROR(__xludf.DUMMYFUNCTION("""COMPUTED_VALUE"""),13.008024)</f>
        <v>13.008024</v>
      </c>
      <c r="E22430" s="4">
        <f>IFERROR(__xludf.DUMMYFUNCTION("""COMPUTED_VALUE"""),80.208545)</f>
        <v>80.208545</v>
      </c>
      <c r="F22430" s="4">
        <f>IFERROR(__xludf.DUMMYFUNCTION("""COMPUTED_VALUE"""),805.0)</f>
        <v>805</v>
      </c>
      <c r="G22430" s="4">
        <f>IFERROR(__xludf.DUMMYFUNCTION("""COMPUTED_VALUE"""),56.0)</f>
        <v>56</v>
      </c>
      <c r="H22430" s="4"/>
      <c r="I22430" s="4"/>
    </row>
    <row r="22431">
      <c r="A22431" s="4" t="str">
        <f>IFERROR(__xludf.DUMMYFUNCTION("""COMPUTED_VALUE"""),"cas_hmw")</f>
        <v>cas_hmw</v>
      </c>
      <c r="B22431" s="5">
        <f>IFERROR(__xludf.DUMMYFUNCTION("""COMPUTED_VALUE"""),44789.0)</f>
        <v>44789</v>
      </c>
      <c r="C22431" s="6">
        <f>IFERROR(__xludf.DUMMYFUNCTION("""COMPUTED_VALUE"""),0.7132638888906513)</f>
        <v>0.7132638889</v>
      </c>
      <c r="D22431" s="4">
        <f>IFERROR(__xludf.DUMMYFUNCTION("""COMPUTED_VALUE"""),13.008703)</f>
        <v>13.008703</v>
      </c>
      <c r="E22431" s="4">
        <f>IFERROR(__xludf.DUMMYFUNCTION("""COMPUTED_VALUE"""),80.210965)</f>
        <v>80.210965</v>
      </c>
      <c r="F22431" s="4">
        <f>IFERROR(__xludf.DUMMYFUNCTION("""COMPUTED_VALUE"""),805.0)</f>
        <v>805</v>
      </c>
      <c r="G22431" s="4">
        <f>IFERROR(__xludf.DUMMYFUNCTION("""COMPUTED_VALUE"""),51.0)</f>
        <v>51</v>
      </c>
      <c r="H22431" s="4"/>
      <c r="I22431" s="4"/>
    </row>
    <row r="22432">
      <c r="A22432" s="4" t="str">
        <f>IFERROR(__xludf.DUMMYFUNCTION("""COMPUTED_VALUE"""),"cas_hmw")</f>
        <v>cas_hmw</v>
      </c>
      <c r="B22432" s="5">
        <f>IFERROR(__xludf.DUMMYFUNCTION("""COMPUTED_VALUE"""),44789.0)</f>
        <v>44789</v>
      </c>
      <c r="C22432" s="6">
        <f>IFERROR(__xludf.DUMMYFUNCTION("""COMPUTED_VALUE"""),0.71344907407547)</f>
        <v>0.7134490741</v>
      </c>
      <c r="D22432" s="4">
        <f>IFERROR(__xludf.DUMMYFUNCTION("""COMPUTED_VALUE"""),13.009078)</f>
        <v>13.009078</v>
      </c>
      <c r="E22432" s="4">
        <f>IFERROR(__xludf.DUMMYFUNCTION("""COMPUTED_VALUE"""),80.211992)</f>
        <v>80.211992</v>
      </c>
      <c r="F22432" s="4">
        <f>IFERROR(__xludf.DUMMYFUNCTION("""COMPUTED_VALUE"""),805.0)</f>
        <v>805</v>
      </c>
      <c r="G22432" s="4">
        <f>IFERROR(__xludf.DUMMYFUNCTION("""COMPUTED_VALUE"""),39.0)</f>
        <v>39</v>
      </c>
      <c r="H22432" s="4"/>
      <c r="I22432" s="4"/>
    </row>
    <row r="22433">
      <c r="A22433" s="4" t="str">
        <f>IFERROR(__xludf.DUMMYFUNCTION("""COMPUTED_VALUE"""),"cas_hmw")</f>
        <v>cas_hmw</v>
      </c>
      <c r="B22433" s="5">
        <f>IFERROR(__xludf.DUMMYFUNCTION("""COMPUTED_VALUE"""),44789.0)</f>
        <v>44789</v>
      </c>
      <c r="C22433" s="6">
        <f>IFERROR(__xludf.DUMMYFUNCTION("""COMPUTED_VALUE"""),0.7138194444451074)</f>
        <v>0.7138194444</v>
      </c>
      <c r="D22433" s="4">
        <f>IFERROR(__xludf.DUMMYFUNCTION("""COMPUTED_VALUE"""),13.010159)</f>
        <v>13.010159</v>
      </c>
      <c r="E22433" s="4">
        <f>IFERROR(__xludf.DUMMYFUNCTION("""COMPUTED_VALUE"""),80.214967)</f>
        <v>80.214967</v>
      </c>
      <c r="F22433" s="4">
        <f>IFERROR(__xludf.DUMMYFUNCTION("""COMPUTED_VALUE"""),805.0)</f>
        <v>805</v>
      </c>
      <c r="G22433" s="4">
        <f>IFERROR(__xludf.DUMMYFUNCTION("""COMPUTED_VALUE"""),45.0)</f>
        <v>45</v>
      </c>
      <c r="H22433" s="4"/>
      <c r="I22433" s="4"/>
    </row>
    <row r="22434">
      <c r="A22434" s="4" t="str">
        <f>IFERROR(__xludf.DUMMYFUNCTION("""COMPUTED_VALUE"""),"cas_hmw")</f>
        <v>cas_hmw</v>
      </c>
      <c r="B22434" s="5">
        <f>IFERROR(__xludf.DUMMYFUNCTION("""COMPUTED_VALUE"""),44789.0)</f>
        <v>44789</v>
      </c>
      <c r="C22434" s="6">
        <f>IFERROR(__xludf.DUMMYFUNCTION("""COMPUTED_VALUE"""),0.7141203703686188)</f>
        <v>0.7141203704</v>
      </c>
      <c r="D22434" s="4">
        <f>IFERROR(__xludf.DUMMYFUNCTION("""COMPUTED_VALUE"""),13.011374)</f>
        <v>13.011374</v>
      </c>
      <c r="E22434" s="4">
        <f>IFERROR(__xludf.DUMMYFUNCTION("""COMPUTED_VALUE"""),80.218243)</f>
        <v>80.218243</v>
      </c>
      <c r="F22434" s="4">
        <f>IFERROR(__xludf.DUMMYFUNCTION("""COMPUTED_VALUE"""),805.0)</f>
        <v>805</v>
      </c>
      <c r="G22434" s="4">
        <f>IFERROR(__xludf.DUMMYFUNCTION("""COMPUTED_VALUE"""),34.0)</f>
        <v>34</v>
      </c>
      <c r="H22434" s="4"/>
      <c r="I22434" s="4"/>
    </row>
    <row r="22435">
      <c r="A22435" s="4" t="str">
        <f>IFERROR(__xludf.DUMMYFUNCTION("""COMPUTED_VALUE"""),"cas_hmw")</f>
        <v>cas_hmw</v>
      </c>
      <c r="B22435" s="5">
        <f>IFERROR(__xludf.DUMMYFUNCTION("""COMPUTED_VALUE"""),44789.0)</f>
        <v>44789</v>
      </c>
      <c r="C22435" s="6">
        <f>IFERROR(__xludf.DUMMYFUNCTION("""COMPUTED_VALUE"""),0.7145601851843821)</f>
        <v>0.7145601852</v>
      </c>
      <c r="D22435" s="4">
        <f>IFERROR(__xludf.DUMMYFUNCTION("""COMPUTED_VALUE"""),13.01276)</f>
        <v>13.01276</v>
      </c>
      <c r="E22435" s="4">
        <f>IFERROR(__xludf.DUMMYFUNCTION("""COMPUTED_VALUE"""),80.22192)</f>
        <v>80.22192</v>
      </c>
      <c r="F22435" s="4">
        <f>IFERROR(__xludf.DUMMYFUNCTION("""COMPUTED_VALUE"""),805.0)</f>
        <v>805</v>
      </c>
      <c r="G22435" s="4">
        <f>IFERROR(__xludf.DUMMYFUNCTION("""COMPUTED_VALUE"""),32.0)</f>
        <v>32</v>
      </c>
      <c r="H22435" s="4"/>
      <c r="I22435" s="4"/>
    </row>
    <row r="22436">
      <c r="A22436" s="4" t="str">
        <f>IFERROR(__xludf.DUMMYFUNCTION("""COMPUTED_VALUE"""),"cas_hmw")</f>
        <v>cas_hmw</v>
      </c>
      <c r="B22436" s="5">
        <f>IFERROR(__xludf.DUMMYFUNCTION("""COMPUTED_VALUE"""),44789.0)</f>
        <v>44789</v>
      </c>
      <c r="C22436" s="6">
        <f>IFERROR(__xludf.DUMMYFUNCTION("""COMPUTED_VALUE"""),0.7146412037036498)</f>
        <v>0.7146412037</v>
      </c>
      <c r="D22436" s="4">
        <f>IFERROR(__xludf.DUMMYFUNCTION("""COMPUTED_VALUE"""),13.013337)</f>
        <v>13.013337</v>
      </c>
      <c r="E22436" s="4">
        <f>IFERROR(__xludf.DUMMYFUNCTION("""COMPUTED_VALUE"""),80.222631)</f>
        <v>80.222631</v>
      </c>
      <c r="F22436" s="4">
        <f>IFERROR(__xludf.DUMMYFUNCTION("""COMPUTED_VALUE"""),805.0)</f>
        <v>805</v>
      </c>
      <c r="G22436" s="4">
        <f>IFERROR(__xludf.DUMMYFUNCTION("""COMPUTED_VALUE"""),41.0)</f>
        <v>41</v>
      </c>
      <c r="H22436" s="4"/>
      <c r="I22436" s="4"/>
    </row>
    <row r="22437">
      <c r="A22437" s="4" t="str">
        <f>IFERROR(__xludf.DUMMYFUNCTION("""COMPUTED_VALUE"""),"cas_hmw")</f>
        <v>cas_hmw</v>
      </c>
      <c r="B22437" s="5">
        <f>IFERROR(__xludf.DUMMYFUNCTION("""COMPUTED_VALUE"""),44789.0)</f>
        <v>44789</v>
      </c>
      <c r="C22437" s="6">
        <f>IFERROR(__xludf.DUMMYFUNCTION("""COMPUTED_VALUE"""),0.7147569444459805)</f>
        <v>0.7147569444</v>
      </c>
      <c r="D22437" s="4">
        <f>IFERROR(__xludf.DUMMYFUNCTION("""COMPUTED_VALUE"""),12.998436)</f>
        <v>12.998436</v>
      </c>
      <c r="E22437" s="4">
        <f>IFERROR(__xludf.DUMMYFUNCTION("""COMPUTED_VALUE"""),80.192088)</f>
        <v>80.192088</v>
      </c>
      <c r="F22437" s="4">
        <f>IFERROR(__xludf.DUMMYFUNCTION("""COMPUTED_VALUE"""),5339.0)</f>
        <v>5339</v>
      </c>
      <c r="G22437" s="4">
        <f>IFERROR(__xludf.DUMMYFUNCTION("""COMPUTED_VALUE"""),37.0)</f>
        <v>37</v>
      </c>
      <c r="H22437" s="4"/>
      <c r="I22437" s="4"/>
    </row>
    <row r="22438">
      <c r="A22438" s="4" t="str">
        <f>IFERROR(__xludf.DUMMYFUNCTION("""COMPUTED_VALUE"""),"cas_hmw")</f>
        <v>cas_hmw</v>
      </c>
      <c r="B22438" s="5">
        <f>IFERROR(__xludf.DUMMYFUNCTION("""COMPUTED_VALUE"""),44789.0)</f>
        <v>44789</v>
      </c>
      <c r="C22438" s="6">
        <f>IFERROR(__xludf.DUMMYFUNCTION("""COMPUTED_VALUE"""),0.7148726851846732)</f>
        <v>0.7148726852</v>
      </c>
      <c r="D22438" s="4">
        <f>IFERROR(__xludf.DUMMYFUNCTION("""COMPUTED_VALUE"""),13.01466)</f>
        <v>13.01466</v>
      </c>
      <c r="E22438" s="4">
        <f>IFERROR(__xludf.DUMMYFUNCTION("""COMPUTED_VALUE"""),80.224251)</f>
        <v>80.224251</v>
      </c>
      <c r="F22438" s="4">
        <f>IFERROR(__xludf.DUMMYFUNCTION("""COMPUTED_VALUE"""),805.0)</f>
        <v>805</v>
      </c>
      <c r="G22438" s="4">
        <f>IFERROR(__xludf.DUMMYFUNCTION("""COMPUTED_VALUE"""),37.0)</f>
        <v>37</v>
      </c>
      <c r="H22438" s="4"/>
      <c r="I22438" s="4"/>
    </row>
    <row r="22439">
      <c r="A22439" s="4" t="str">
        <f>IFERROR(__xludf.DUMMYFUNCTION("""COMPUTED_VALUE"""),"cas_hmw")</f>
        <v>cas_hmw</v>
      </c>
      <c r="B22439" s="5">
        <f>IFERROR(__xludf.DUMMYFUNCTION("""COMPUTED_VALUE"""),44789.0)</f>
        <v>44789</v>
      </c>
      <c r="C22439" s="6">
        <f>IFERROR(__xludf.DUMMYFUNCTION("""COMPUTED_VALUE"""),0.7148958333345945)</f>
        <v>0.7148958333</v>
      </c>
      <c r="D22439" s="4">
        <f>IFERROR(__xludf.DUMMYFUNCTION("""COMPUTED_VALUE"""),13.01466)</f>
        <v>13.01466</v>
      </c>
      <c r="E22439" s="4">
        <f>IFERROR(__xludf.DUMMYFUNCTION("""COMPUTED_VALUE"""),80.224251)</f>
        <v>80.224251</v>
      </c>
      <c r="F22439" s="4">
        <f>IFERROR(__xludf.DUMMYFUNCTION("""COMPUTED_VALUE"""),805.0)</f>
        <v>805</v>
      </c>
      <c r="G22439" s="4">
        <f>IFERROR(__xludf.DUMMYFUNCTION("""COMPUTED_VALUE"""),37.0)</f>
        <v>37</v>
      </c>
      <c r="H22439" s="4"/>
      <c r="I22439" s="4"/>
    </row>
    <row r="22440">
      <c r="A22440" s="4" t="str">
        <f>IFERROR(__xludf.DUMMYFUNCTION("""COMPUTED_VALUE"""),"cas_hmw")</f>
        <v>cas_hmw</v>
      </c>
      <c r="B22440" s="5">
        <f>IFERROR(__xludf.DUMMYFUNCTION("""COMPUTED_VALUE"""),44789.0)</f>
        <v>44789</v>
      </c>
      <c r="C22440" s="6">
        <f>IFERROR(__xludf.DUMMYFUNCTION("""COMPUTED_VALUE"""),0.7153009259272949)</f>
        <v>0.7153009259</v>
      </c>
      <c r="D22440" s="4">
        <f>IFERROR(__xludf.DUMMYFUNCTION("""COMPUTED_VALUE"""),13.000714)</f>
        <v>13.000714</v>
      </c>
      <c r="E22440" s="4">
        <f>IFERROR(__xludf.DUMMYFUNCTION("""COMPUTED_VALUE"""),80.194976)</f>
        <v>80.194976</v>
      </c>
      <c r="F22440" s="4">
        <f>IFERROR(__xludf.DUMMYFUNCTION("""COMPUTED_VALUE"""),5339.0)</f>
        <v>5339</v>
      </c>
      <c r="G22440" s="4">
        <f>IFERROR(__xludf.DUMMYFUNCTION("""COMPUTED_VALUE"""),36.0)</f>
        <v>36</v>
      </c>
      <c r="H22440" s="4"/>
      <c r="I22440" s="4"/>
    </row>
    <row r="22441">
      <c r="A22441" s="4" t="str">
        <f>IFERROR(__xludf.DUMMYFUNCTION("""COMPUTED_VALUE"""),"cas_hmw")</f>
        <v>cas_hmw</v>
      </c>
      <c r="B22441" s="5">
        <f>IFERROR(__xludf.DUMMYFUNCTION("""COMPUTED_VALUE"""),44789.0)</f>
        <v>44789</v>
      </c>
      <c r="C22441" s="6">
        <f>IFERROR(__xludf.DUMMYFUNCTION("""COMPUTED_VALUE"""),0.7153356481467199)</f>
        <v>0.7153356481</v>
      </c>
      <c r="D22441" s="4">
        <f>IFERROR(__xludf.DUMMYFUNCTION("""COMPUTED_VALUE"""),13.001267)</f>
        <v>13.001267</v>
      </c>
      <c r="E22441" s="4">
        <f>IFERROR(__xludf.DUMMYFUNCTION("""COMPUTED_VALUE"""),80.19564)</f>
        <v>80.19564</v>
      </c>
      <c r="F22441" s="4">
        <f>IFERROR(__xludf.DUMMYFUNCTION("""COMPUTED_VALUE"""),5339.0)</f>
        <v>5339</v>
      </c>
      <c r="G22441" s="4">
        <f>IFERROR(__xludf.DUMMYFUNCTION("""COMPUTED_VALUE"""),31.0)</f>
        <v>31</v>
      </c>
      <c r="H22441" s="4"/>
      <c r="I22441" s="4"/>
    </row>
    <row r="22442">
      <c r="A22442" s="4" t="str">
        <f>IFERROR(__xludf.DUMMYFUNCTION("""COMPUTED_VALUE"""),"cas_hmw")</f>
        <v>cas_hmw</v>
      </c>
      <c r="B22442" s="5">
        <f>IFERROR(__xludf.DUMMYFUNCTION("""COMPUTED_VALUE"""),44789.0)</f>
        <v>44789</v>
      </c>
      <c r="C22442" s="6">
        <f>IFERROR(__xludf.DUMMYFUNCTION("""COMPUTED_VALUE"""),0.7153819444429246)</f>
        <v>0.7153819444</v>
      </c>
      <c r="D22442" s="4">
        <f>IFERROR(__xludf.DUMMYFUNCTION("""COMPUTED_VALUE"""),12.951657)</f>
        <v>12.951657</v>
      </c>
      <c r="E22442" s="4">
        <f>IFERROR(__xludf.DUMMYFUNCTION("""COMPUTED_VALUE"""),80.18602)</f>
        <v>80.18602</v>
      </c>
      <c r="F22442" s="4">
        <f>IFERROR(__xludf.DUMMYFUNCTION("""COMPUTED_VALUE"""),3143.0)</f>
        <v>3143</v>
      </c>
      <c r="G22442" s="4">
        <f>IFERROR(__xludf.DUMMYFUNCTION("""COMPUTED_VALUE"""),24.0)</f>
        <v>24</v>
      </c>
      <c r="H22442" s="4"/>
      <c r="I22442" s="4"/>
    </row>
    <row r="22443">
      <c r="A22443" s="4" t="str">
        <f>IFERROR(__xludf.DUMMYFUNCTION("""COMPUTED_VALUE"""),"cas_hmw")</f>
        <v>cas_hmw</v>
      </c>
      <c r="B22443" s="5">
        <f>IFERROR(__xludf.DUMMYFUNCTION("""COMPUTED_VALUE"""),44789.0)</f>
        <v>44789</v>
      </c>
      <c r="C22443" s="6">
        <f>IFERROR(__xludf.DUMMYFUNCTION("""COMPUTED_VALUE"""),0.7154050925928459)</f>
        <v>0.7154050926</v>
      </c>
      <c r="D22443" s="4">
        <f>IFERROR(__xludf.DUMMYFUNCTION("""COMPUTED_VALUE"""),12.951657)</f>
        <v>12.951657</v>
      </c>
      <c r="E22443" s="4">
        <f>IFERROR(__xludf.DUMMYFUNCTION("""COMPUTED_VALUE"""),80.18602)</f>
        <v>80.18602</v>
      </c>
      <c r="F22443" s="4">
        <f>IFERROR(__xludf.DUMMYFUNCTION("""COMPUTED_VALUE"""),3143.0)</f>
        <v>3143</v>
      </c>
      <c r="G22443" s="4">
        <f>IFERROR(__xludf.DUMMYFUNCTION("""COMPUTED_VALUE"""),24.0)</f>
        <v>24</v>
      </c>
      <c r="H22443" s="4"/>
      <c r="I22443" s="4"/>
    </row>
    <row r="22444">
      <c r="A22444" s="4" t="str">
        <f>IFERROR(__xludf.DUMMYFUNCTION("""COMPUTED_VALUE"""),"cas_hmw")</f>
        <v>cas_hmw</v>
      </c>
      <c r="B22444" s="5">
        <f>IFERROR(__xludf.DUMMYFUNCTION("""COMPUTED_VALUE"""),44789.0)</f>
        <v>44789</v>
      </c>
      <c r="C22444" s="6">
        <f>IFERROR(__xludf.DUMMYFUNCTION("""COMPUTED_VALUE"""),0.7155208333315386)</f>
        <v>0.7155208333</v>
      </c>
      <c r="D22444" s="4">
        <f>IFERROR(__xludf.DUMMYFUNCTION("""COMPUTED_VALUE"""),13.001789)</f>
        <v>13.001789</v>
      </c>
      <c r="E22444" s="4">
        <f>IFERROR(__xludf.DUMMYFUNCTION("""COMPUTED_VALUE"""),80.196281)</f>
        <v>80.196281</v>
      </c>
      <c r="F22444" s="4">
        <f>IFERROR(__xludf.DUMMYFUNCTION("""COMPUTED_VALUE"""),5339.0)</f>
        <v>5339</v>
      </c>
      <c r="G22444" s="4">
        <f>IFERROR(__xludf.DUMMYFUNCTION("""COMPUTED_VALUE"""),34.0)</f>
        <v>34</v>
      </c>
      <c r="H22444" s="4"/>
      <c r="I22444" s="4"/>
    </row>
    <row r="22445">
      <c r="A22445" s="4" t="str">
        <f>IFERROR(__xludf.DUMMYFUNCTION("""COMPUTED_VALUE"""),"cas_hmw")</f>
        <v>cas_hmw</v>
      </c>
      <c r="B22445" s="5">
        <f>IFERROR(__xludf.DUMMYFUNCTION("""COMPUTED_VALUE"""),44789.0)</f>
        <v>44789</v>
      </c>
      <c r="C22445" s="6">
        <f>IFERROR(__xludf.DUMMYFUNCTION("""COMPUTED_VALUE"""),0.7155787037045229)</f>
        <v>0.7155787037</v>
      </c>
      <c r="D22445" s="4">
        <f>IFERROR(__xludf.DUMMYFUNCTION("""COMPUTED_VALUE"""),13.002143)</f>
        <v>13.002143</v>
      </c>
      <c r="E22445" s="4">
        <f>IFERROR(__xludf.DUMMYFUNCTION("""COMPUTED_VALUE"""),80.197059)</f>
        <v>80.197059</v>
      </c>
      <c r="F22445" s="4">
        <f>IFERROR(__xludf.DUMMYFUNCTION("""COMPUTED_VALUE"""),5339.0)</f>
        <v>5339</v>
      </c>
      <c r="G22445" s="4">
        <f>IFERROR(__xludf.DUMMYFUNCTION("""COMPUTED_VALUE"""),35.0)</f>
        <v>35</v>
      </c>
      <c r="H22445" s="4"/>
      <c r="I22445" s="4"/>
    </row>
    <row r="22446">
      <c r="A22446" s="4" t="str">
        <f>IFERROR(__xludf.DUMMYFUNCTION("""COMPUTED_VALUE"""),"cas_hmw")</f>
        <v>cas_hmw</v>
      </c>
      <c r="B22446" s="5">
        <f>IFERROR(__xludf.DUMMYFUNCTION("""COMPUTED_VALUE"""),44789.0)</f>
        <v>44789</v>
      </c>
      <c r="C22446" s="6">
        <f>IFERROR(__xludf.DUMMYFUNCTION("""COMPUTED_VALUE"""),0.715925925924239)</f>
        <v>0.7159259259</v>
      </c>
      <c r="D22446" s="4">
        <f>IFERROR(__xludf.DUMMYFUNCTION("""COMPUTED_VALUE"""),13.010746)</f>
        <v>13.010746</v>
      </c>
      <c r="E22446" s="4">
        <f>IFERROR(__xludf.DUMMYFUNCTION("""COMPUTED_VALUE"""),80.227715)</f>
        <v>80.227715</v>
      </c>
      <c r="F22446" s="4">
        <f>IFERROR(__xludf.DUMMYFUNCTION("""COMPUTED_VALUE"""),805.0)</f>
        <v>805</v>
      </c>
      <c r="G22446" s="4">
        <f>IFERROR(__xludf.DUMMYFUNCTION("""COMPUTED_VALUE"""),44.0)</f>
        <v>44</v>
      </c>
      <c r="H22446" s="4"/>
      <c r="I22446" s="4"/>
    </row>
    <row r="22447">
      <c r="A22447" s="4" t="str">
        <f>IFERROR(__xludf.DUMMYFUNCTION("""COMPUTED_VALUE"""),"cas_hmw")</f>
        <v>cas_hmw</v>
      </c>
      <c r="B22447" s="5">
        <f>IFERROR(__xludf.DUMMYFUNCTION("""COMPUTED_VALUE"""),44789.0)</f>
        <v>44789</v>
      </c>
      <c r="C22447" s="6">
        <f>IFERROR(__xludf.DUMMYFUNCTION("""COMPUTED_VALUE"""),0.7174537037026312)</f>
        <v>0.7174537037</v>
      </c>
      <c r="D22447" s="4">
        <f>IFERROR(__xludf.DUMMYFUNCTION("""COMPUTED_VALUE"""),13.007858)</f>
        <v>13.007858</v>
      </c>
      <c r="E22447" s="4">
        <f>IFERROR(__xludf.DUMMYFUNCTION("""COMPUTED_VALUE"""),80.207148)</f>
        <v>80.207148</v>
      </c>
      <c r="F22447" s="4">
        <f>IFERROR(__xludf.DUMMYFUNCTION("""COMPUTED_VALUE"""),5339.0)</f>
        <v>5339</v>
      </c>
      <c r="G22447" s="4">
        <f>IFERROR(__xludf.DUMMYFUNCTION("""COMPUTED_VALUE"""),41.0)</f>
        <v>41</v>
      </c>
      <c r="H22447" s="4"/>
      <c r="I22447" s="4"/>
    </row>
    <row r="22448">
      <c r="A22448" s="4" t="str">
        <f>IFERROR(__xludf.DUMMYFUNCTION("""COMPUTED_VALUE"""),"cas_hmw")</f>
        <v>cas_hmw</v>
      </c>
      <c r="B22448" s="5">
        <f>IFERROR(__xludf.DUMMYFUNCTION("""COMPUTED_VALUE"""),44789.0)</f>
        <v>44789</v>
      </c>
      <c r="C22448" s="6">
        <f>IFERROR(__xludf.DUMMYFUNCTION("""COMPUTED_VALUE"""),0.7184606481496303)</f>
        <v>0.7184606481</v>
      </c>
      <c r="D22448" s="4">
        <f>IFERROR(__xludf.DUMMYFUNCTION("""COMPUTED_VALUE"""),13.009745)</f>
        <v>13.009745</v>
      </c>
      <c r="E22448" s="4">
        <f>IFERROR(__xludf.DUMMYFUNCTION("""COMPUTED_VALUE"""),80.213743)</f>
        <v>80.213743</v>
      </c>
      <c r="F22448" s="4">
        <f>IFERROR(__xludf.DUMMYFUNCTION("""COMPUTED_VALUE"""),5339.0)</f>
        <v>5339</v>
      </c>
      <c r="G22448" s="4">
        <f>IFERROR(__xludf.DUMMYFUNCTION("""COMPUTED_VALUE"""),26.0)</f>
        <v>26</v>
      </c>
      <c r="H22448" s="4"/>
      <c r="I22448" s="4"/>
    </row>
    <row r="22449">
      <c r="A22449" s="4" t="str">
        <f>IFERROR(__xludf.DUMMYFUNCTION("""COMPUTED_VALUE"""),"cas_hmw")</f>
        <v>cas_hmw</v>
      </c>
      <c r="B22449" s="5">
        <f>IFERROR(__xludf.DUMMYFUNCTION("""COMPUTED_VALUE"""),44789.0)</f>
        <v>44789</v>
      </c>
      <c r="C22449" s="6">
        <f>IFERROR(__xludf.DUMMYFUNCTION("""COMPUTED_VALUE"""),0.7184606481496303)</f>
        <v>0.7184606481</v>
      </c>
      <c r="D22449" s="4">
        <f>IFERROR(__xludf.DUMMYFUNCTION("""COMPUTED_VALUE"""),13.009493)</f>
        <v>13.009493</v>
      </c>
      <c r="E22449" s="4">
        <f>IFERROR(__xludf.DUMMYFUNCTION("""COMPUTED_VALUE"""),80.213136)</f>
        <v>80.213136</v>
      </c>
      <c r="F22449" s="4">
        <f>IFERROR(__xludf.DUMMYFUNCTION("""COMPUTED_VALUE"""),5339.0)</f>
        <v>5339</v>
      </c>
      <c r="G22449" s="4">
        <f>IFERROR(__xludf.DUMMYFUNCTION("""COMPUTED_VALUE"""),21.0)</f>
        <v>21</v>
      </c>
      <c r="H22449" s="4"/>
      <c r="I22449" s="4"/>
    </row>
    <row r="22450">
      <c r="A22450" s="4" t="str">
        <f>IFERROR(__xludf.DUMMYFUNCTION("""COMPUTED_VALUE"""),"cas_hmw")</f>
        <v>cas_hmw</v>
      </c>
      <c r="B22450" s="5">
        <f>IFERROR(__xludf.DUMMYFUNCTION("""COMPUTED_VALUE"""),44789.0)</f>
        <v>44789</v>
      </c>
      <c r="C22450" s="6">
        <f>IFERROR(__xludf.DUMMYFUNCTION("""COMPUTED_VALUE"""),0.718472222222772)</f>
        <v>0.7184722222</v>
      </c>
      <c r="D22450" s="4">
        <f>IFERROR(__xludf.DUMMYFUNCTION("""COMPUTED_VALUE"""),13.009745)</f>
        <v>13.009745</v>
      </c>
      <c r="E22450" s="4">
        <f>IFERROR(__xludf.DUMMYFUNCTION("""COMPUTED_VALUE"""),80.213743)</f>
        <v>80.213743</v>
      </c>
      <c r="F22450" s="4">
        <f>IFERROR(__xludf.DUMMYFUNCTION("""COMPUTED_VALUE"""),5339.0)</f>
        <v>5339</v>
      </c>
      <c r="G22450" s="4">
        <f>IFERROR(__xludf.DUMMYFUNCTION("""COMPUTED_VALUE"""),26.0)</f>
        <v>26</v>
      </c>
      <c r="H22450" s="4"/>
      <c r="I22450" s="4"/>
    </row>
    <row r="22451">
      <c r="A22451" s="4" t="str">
        <f>IFERROR(__xludf.DUMMYFUNCTION("""COMPUTED_VALUE"""),"cas_hmw")</f>
        <v>cas_hmw</v>
      </c>
      <c r="B22451" s="5">
        <f>IFERROR(__xludf.DUMMYFUNCTION("""COMPUTED_VALUE"""),44789.0)</f>
        <v>44789</v>
      </c>
      <c r="C22451" s="6">
        <f>IFERROR(__xludf.DUMMYFUNCTION("""COMPUTED_VALUE"""),0.7188773148154723)</f>
        <v>0.7188773148</v>
      </c>
      <c r="D22451" s="4">
        <f>IFERROR(__xludf.DUMMYFUNCTION("""COMPUTED_VALUE"""),13.010474)</f>
        <v>13.010474</v>
      </c>
      <c r="E22451" s="4">
        <f>IFERROR(__xludf.DUMMYFUNCTION("""COMPUTED_VALUE"""),80.216194)</f>
        <v>80.216194</v>
      </c>
      <c r="F22451" s="4">
        <f>IFERROR(__xludf.DUMMYFUNCTION("""COMPUTED_VALUE"""),5339.0)</f>
        <v>5339</v>
      </c>
      <c r="G22451" s="4">
        <f>IFERROR(__xludf.DUMMYFUNCTION("""COMPUTED_VALUE"""),39.0)</f>
        <v>39</v>
      </c>
      <c r="H22451" s="4"/>
      <c r="I22451" s="4"/>
    </row>
    <row r="22452">
      <c r="A22452" s="4" t="str">
        <f>IFERROR(__xludf.DUMMYFUNCTION("""COMPUTED_VALUE"""),"cas_hmw")</f>
        <v>cas_hmw</v>
      </c>
      <c r="B22452" s="5">
        <f>IFERROR(__xludf.DUMMYFUNCTION("""COMPUTED_VALUE"""),44789.0)</f>
        <v>44789</v>
      </c>
      <c r="C22452" s="6">
        <f>IFERROR(__xludf.DUMMYFUNCTION("""COMPUTED_VALUE"""),0.7207870370366436)</f>
        <v>0.720787037</v>
      </c>
      <c r="D22452" s="4">
        <f>IFERROR(__xludf.DUMMYFUNCTION("""COMPUTED_VALUE"""),13.006786)</f>
        <v>13.006786</v>
      </c>
      <c r="E22452" s="4">
        <f>IFERROR(__xludf.DUMMYFUNCTION("""COMPUTED_VALUE"""),80.240662)</f>
        <v>80.240662</v>
      </c>
      <c r="F22452" s="4">
        <f>IFERROR(__xludf.DUMMYFUNCTION("""COMPUTED_VALUE"""),805.0)</f>
        <v>805</v>
      </c>
      <c r="G22452" s="4">
        <f>IFERROR(__xludf.DUMMYFUNCTION("""COMPUTED_VALUE"""),32.0)</f>
        <v>32</v>
      </c>
      <c r="H22452" s="4"/>
      <c r="I22452" s="4"/>
    </row>
    <row r="22453">
      <c r="A22453" s="4" t="str">
        <f>IFERROR(__xludf.DUMMYFUNCTION("""COMPUTED_VALUE"""),"cas_hmw")</f>
        <v>cas_hmw</v>
      </c>
      <c r="B22453" s="5">
        <f>IFERROR(__xludf.DUMMYFUNCTION("""COMPUTED_VALUE"""),44789.0)</f>
        <v>44789</v>
      </c>
      <c r="C22453" s="6">
        <f>IFERROR(__xludf.DUMMYFUNCTION("""COMPUTED_VALUE"""),0.7212731481486117)</f>
        <v>0.7212731481</v>
      </c>
      <c r="D22453" s="4">
        <f>IFERROR(__xludf.DUMMYFUNCTION("""COMPUTED_VALUE"""),13.021626)</f>
        <v>13.021626</v>
      </c>
      <c r="E22453" s="4">
        <f>IFERROR(__xludf.DUMMYFUNCTION("""COMPUTED_VALUE"""),80.225947)</f>
        <v>80.225947</v>
      </c>
      <c r="F22453" s="4">
        <f>IFERROR(__xludf.DUMMYFUNCTION("""COMPUTED_VALUE"""),5339.0)</f>
        <v>5339</v>
      </c>
      <c r="G22453" s="4">
        <f>IFERROR(__xludf.DUMMYFUNCTION("""COMPUTED_VALUE"""),32.0)</f>
        <v>32</v>
      </c>
      <c r="H22453" s="4"/>
      <c r="I22453" s="4"/>
    </row>
    <row r="22454">
      <c r="A22454" s="4" t="str">
        <f>IFERROR(__xludf.DUMMYFUNCTION("""COMPUTED_VALUE"""),"cas_hmw")</f>
        <v>cas_hmw</v>
      </c>
      <c r="B22454" s="5">
        <f>IFERROR(__xludf.DUMMYFUNCTION("""COMPUTED_VALUE"""),44789.0)</f>
        <v>44789</v>
      </c>
      <c r="C22454" s="6">
        <f>IFERROR(__xludf.DUMMYFUNCTION("""COMPUTED_VALUE"""),0.7214814814797137)</f>
        <v>0.7214814815</v>
      </c>
      <c r="D22454" s="4">
        <f>IFERROR(__xludf.DUMMYFUNCTION("""COMPUTED_VALUE"""),13.022824)</f>
        <v>13.022824</v>
      </c>
      <c r="E22454" s="4">
        <f>IFERROR(__xludf.DUMMYFUNCTION("""COMPUTED_VALUE"""),80.226943)</f>
        <v>80.226943</v>
      </c>
      <c r="F22454" s="4">
        <f>IFERROR(__xludf.DUMMYFUNCTION("""COMPUTED_VALUE"""),5339.0)</f>
        <v>5339</v>
      </c>
      <c r="G22454" s="4">
        <f>IFERROR(__xludf.DUMMYFUNCTION("""COMPUTED_VALUE"""),36.0)</f>
        <v>36</v>
      </c>
      <c r="H22454" s="4"/>
      <c r="I22454" s="4"/>
    </row>
    <row r="22455">
      <c r="A22455" s="4" t="str">
        <f>IFERROR(__xludf.DUMMYFUNCTION("""COMPUTED_VALUE"""),"cas_hmw")</f>
        <v>cas_hmw</v>
      </c>
      <c r="B22455" s="5">
        <f>IFERROR(__xludf.DUMMYFUNCTION("""COMPUTED_VALUE"""),44789.0)</f>
        <v>44789</v>
      </c>
      <c r="C22455" s="6">
        <f>IFERROR(__xludf.DUMMYFUNCTION("""COMPUTED_VALUE"""),0.7221180555570754)</f>
        <v>0.7221180556</v>
      </c>
      <c r="D22455" s="4">
        <f>IFERROR(__xludf.DUMMYFUNCTION("""COMPUTED_VALUE"""),13.024533)</f>
        <v>13.024533</v>
      </c>
      <c r="E22455" s="4">
        <f>IFERROR(__xludf.DUMMYFUNCTION("""COMPUTED_VALUE"""),80.228778)</f>
        <v>80.228778</v>
      </c>
      <c r="F22455" s="4">
        <f>IFERROR(__xludf.DUMMYFUNCTION("""COMPUTED_VALUE"""),5339.0)</f>
        <v>5339</v>
      </c>
      <c r="G22455" s="4">
        <f>IFERROR(__xludf.DUMMYFUNCTION("""COMPUTED_VALUE"""),26.0)</f>
        <v>26</v>
      </c>
      <c r="H22455" s="4"/>
      <c r="I22455" s="4"/>
    </row>
    <row r="22456">
      <c r="A22456" s="4" t="str">
        <f>IFERROR(__xludf.DUMMYFUNCTION("""COMPUTED_VALUE"""),"cas_hmw")</f>
        <v>cas_hmw</v>
      </c>
      <c r="B22456" s="5">
        <f>IFERROR(__xludf.DUMMYFUNCTION("""COMPUTED_VALUE"""),44789.0)</f>
        <v>44789</v>
      </c>
      <c r="C22456" s="6">
        <f>IFERROR(__xludf.DUMMYFUNCTION("""COMPUTED_VALUE"""),0.7233333333315386)</f>
        <v>0.7233333333</v>
      </c>
      <c r="D22456" s="4">
        <f>IFERROR(__xludf.DUMMYFUNCTION("""COMPUTED_VALUE"""),13.026286)</f>
        <v>13.026286</v>
      </c>
      <c r="E22456" s="4">
        <f>IFERROR(__xludf.DUMMYFUNCTION("""COMPUTED_VALUE"""),80.232326)</f>
        <v>80.232326</v>
      </c>
      <c r="F22456" s="4">
        <f>IFERROR(__xludf.DUMMYFUNCTION("""COMPUTED_VALUE"""),5339.0)</f>
        <v>5339</v>
      </c>
      <c r="G22456" s="4">
        <f>IFERROR(__xludf.DUMMYFUNCTION("""COMPUTED_VALUE"""),32.0)</f>
        <v>32</v>
      </c>
      <c r="H22456" s="4"/>
      <c r="I22456" s="4"/>
    </row>
    <row r="22457">
      <c r="A22457" s="4" t="str">
        <f>IFERROR(__xludf.DUMMYFUNCTION("""COMPUTED_VALUE"""),"cas_hmw")</f>
        <v>cas_hmw</v>
      </c>
      <c r="B22457" s="5">
        <f>IFERROR(__xludf.DUMMYFUNCTION("""COMPUTED_VALUE"""),44789.0)</f>
        <v>44789</v>
      </c>
      <c r="C22457" s="6">
        <f>IFERROR(__xludf.DUMMYFUNCTION("""COMPUTED_VALUE"""),0.7233333333315386)</f>
        <v>0.7233333333</v>
      </c>
      <c r="D22457" s="4">
        <f>IFERROR(__xludf.DUMMYFUNCTION("""COMPUTED_VALUE"""),13.026286)</f>
        <v>13.026286</v>
      </c>
      <c r="E22457" s="4">
        <f>IFERROR(__xludf.DUMMYFUNCTION("""COMPUTED_VALUE"""),80.232326)</f>
        <v>80.232326</v>
      </c>
      <c r="F22457" s="4">
        <f>IFERROR(__xludf.DUMMYFUNCTION("""COMPUTED_VALUE"""),5339.0)</f>
        <v>5339</v>
      </c>
      <c r="G22457" s="4">
        <f>IFERROR(__xludf.DUMMYFUNCTION("""COMPUTED_VALUE"""),32.0)</f>
        <v>32</v>
      </c>
      <c r="H22457" s="4"/>
      <c r="I22457" s="4"/>
    </row>
    <row r="22458">
      <c r="A22458" s="4" t="str">
        <f>IFERROR(__xludf.DUMMYFUNCTION("""COMPUTED_VALUE"""),"cas_hmw")</f>
        <v>cas_hmw</v>
      </c>
      <c r="B22458" s="5">
        <f>IFERROR(__xludf.DUMMYFUNCTION("""COMPUTED_VALUE"""),44789.0)</f>
        <v>44789</v>
      </c>
      <c r="C22458" s="6">
        <f>IFERROR(__xludf.DUMMYFUNCTION("""COMPUTED_VALUE"""),0.7233449074083182)</f>
        <v>0.7233449074</v>
      </c>
      <c r="D22458" s="4">
        <f>IFERROR(__xludf.DUMMYFUNCTION("""COMPUTED_VALUE"""),13.026286)</f>
        <v>13.026286</v>
      </c>
      <c r="E22458" s="4">
        <f>IFERROR(__xludf.DUMMYFUNCTION("""COMPUTED_VALUE"""),80.232326)</f>
        <v>80.232326</v>
      </c>
      <c r="F22458" s="4">
        <f>IFERROR(__xludf.DUMMYFUNCTION("""COMPUTED_VALUE"""),5339.0)</f>
        <v>5339</v>
      </c>
      <c r="G22458" s="4">
        <f>IFERROR(__xludf.DUMMYFUNCTION("""COMPUTED_VALUE"""),32.0)</f>
        <v>32</v>
      </c>
      <c r="H22458" s="4"/>
      <c r="I22458" s="4"/>
    </row>
    <row r="22459">
      <c r="A22459" s="4" t="str">
        <f>IFERROR(__xludf.DUMMYFUNCTION("""COMPUTED_VALUE"""),"cas_hmw")</f>
        <v>cas_hmw</v>
      </c>
      <c r="B22459" s="5">
        <f>IFERROR(__xludf.DUMMYFUNCTION("""COMPUTED_VALUE"""),44789.0)</f>
        <v>44789</v>
      </c>
      <c r="C22459" s="6">
        <f>IFERROR(__xludf.DUMMYFUNCTION("""COMPUTED_VALUE"""),0.7234953703700739)</f>
        <v>0.7234953704</v>
      </c>
      <c r="D22459" s="4">
        <f>IFERROR(__xludf.DUMMYFUNCTION("""COMPUTED_VALUE"""),13.02659)</f>
        <v>13.02659</v>
      </c>
      <c r="E22459" s="4">
        <f>IFERROR(__xludf.DUMMYFUNCTION("""COMPUTED_VALUE"""),80.233017)</f>
        <v>80.233017</v>
      </c>
      <c r="F22459" s="4">
        <f>IFERROR(__xludf.DUMMYFUNCTION("""COMPUTED_VALUE"""),5339.0)</f>
        <v>5339</v>
      </c>
      <c r="G22459" s="4">
        <f>IFERROR(__xludf.DUMMYFUNCTION("""COMPUTED_VALUE"""),29.0)</f>
        <v>29</v>
      </c>
      <c r="H22459" s="4"/>
      <c r="I22459" s="4"/>
    </row>
    <row r="22460">
      <c r="A22460" s="4" t="str">
        <f>IFERROR(__xludf.DUMMYFUNCTION("""COMPUTED_VALUE"""),"cas_hmw")</f>
        <v>cas_hmw</v>
      </c>
      <c r="B22460" s="5">
        <f>IFERROR(__xludf.DUMMYFUNCTION("""COMPUTED_VALUE"""),44789.0)</f>
        <v>44789</v>
      </c>
      <c r="C22460" s="6">
        <f>IFERROR(__xludf.DUMMYFUNCTION("""COMPUTED_VALUE"""),0.7236574074086093)</f>
        <v>0.7236574074</v>
      </c>
      <c r="D22460" s="4">
        <f>IFERROR(__xludf.DUMMYFUNCTION("""COMPUTED_VALUE"""),13.027479)</f>
        <v>13.027479</v>
      </c>
      <c r="E22460" s="4">
        <f>IFERROR(__xludf.DUMMYFUNCTION("""COMPUTED_VALUE"""),80.234452)</f>
        <v>80.234452</v>
      </c>
      <c r="F22460" s="4">
        <f>IFERROR(__xludf.DUMMYFUNCTION("""COMPUTED_VALUE"""),5339.0)</f>
        <v>5339</v>
      </c>
      <c r="G22460" s="4">
        <f>IFERROR(__xludf.DUMMYFUNCTION("""COMPUTED_VALUE"""),35.0)</f>
        <v>35</v>
      </c>
      <c r="H22460" s="4"/>
      <c r="I22460" s="4"/>
    </row>
    <row r="22461">
      <c r="A22461" s="4" t="str">
        <f>IFERROR(__xludf.DUMMYFUNCTION("""COMPUTED_VALUE"""),"cas_hmw")</f>
        <v>cas_hmw</v>
      </c>
      <c r="B22461" s="5">
        <f>IFERROR(__xludf.DUMMYFUNCTION("""COMPUTED_VALUE"""),44789.0)</f>
        <v>44789</v>
      </c>
      <c r="C22461" s="6">
        <f>IFERROR(__xludf.DUMMYFUNCTION("""COMPUTED_VALUE"""),0.7248379629636474)</f>
        <v>0.724837963</v>
      </c>
      <c r="D22461" s="4">
        <f>IFERROR(__xludf.DUMMYFUNCTION("""COMPUTED_VALUE"""),13.006626)</f>
        <v>13.006626</v>
      </c>
      <c r="E22461" s="4">
        <f>IFERROR(__xludf.DUMMYFUNCTION("""COMPUTED_VALUE"""),80.252401)</f>
        <v>80.252401</v>
      </c>
      <c r="F22461" s="4">
        <f>IFERROR(__xludf.DUMMYFUNCTION("""COMPUTED_VALUE"""),805.0)</f>
        <v>805</v>
      </c>
      <c r="G22461" s="4">
        <f>IFERROR(__xludf.DUMMYFUNCTION("""COMPUTED_VALUE"""),32.0)</f>
        <v>32</v>
      </c>
      <c r="H22461" s="4"/>
      <c r="I22461" s="4"/>
    </row>
    <row r="22462">
      <c r="A22462" s="4" t="str">
        <f>IFERROR(__xludf.DUMMYFUNCTION("""COMPUTED_VALUE"""),"cas_hmw")</f>
        <v>cas_hmw</v>
      </c>
      <c r="B22462" s="5">
        <f>IFERROR(__xludf.DUMMYFUNCTION("""COMPUTED_VALUE"""),44789.0)</f>
        <v>44789</v>
      </c>
      <c r="C22462" s="6">
        <f>IFERROR(__xludf.DUMMYFUNCTION("""COMPUTED_VALUE"""),0.7249768518522615)</f>
        <v>0.7249768519</v>
      </c>
      <c r="D22462" s="4">
        <f>IFERROR(__xludf.DUMMYFUNCTION("""COMPUTED_VALUE"""),12.963881)</f>
        <v>12.963881</v>
      </c>
      <c r="E22462" s="4">
        <f>IFERROR(__xludf.DUMMYFUNCTION("""COMPUTED_VALUE"""),80.214571)</f>
        <v>80.214571</v>
      </c>
      <c r="F22462" s="4">
        <f>IFERROR(__xludf.DUMMYFUNCTION("""COMPUTED_VALUE"""),3143.0)</f>
        <v>3143</v>
      </c>
      <c r="G22462" s="4">
        <f>IFERROR(__xludf.DUMMYFUNCTION("""COMPUTED_VALUE"""),31.0)</f>
        <v>31</v>
      </c>
      <c r="H22462" s="4"/>
      <c r="I22462" s="4"/>
    </row>
    <row r="22463">
      <c r="A22463" s="4" t="str">
        <f>IFERROR(__xludf.DUMMYFUNCTION("""COMPUTED_VALUE"""),"cas_hmw")</f>
        <v>cas_hmw</v>
      </c>
      <c r="B22463" s="5">
        <f>IFERROR(__xludf.DUMMYFUNCTION("""COMPUTED_VALUE"""),44789.0)</f>
        <v>44789</v>
      </c>
      <c r="C22463" s="6">
        <f>IFERROR(__xludf.DUMMYFUNCTION("""COMPUTED_VALUE"""),0.7252777777794108)</f>
        <v>0.7252777778</v>
      </c>
      <c r="D22463" s="4">
        <f>IFERROR(__xludf.DUMMYFUNCTION("""COMPUTED_VALUE"""),13.006575)</f>
        <v>13.006575</v>
      </c>
      <c r="E22463" s="4">
        <f>IFERROR(__xludf.DUMMYFUNCTION("""COMPUTED_VALUE"""),80.254854)</f>
        <v>80.254854</v>
      </c>
      <c r="F22463" s="4">
        <f>IFERROR(__xludf.DUMMYFUNCTION("""COMPUTED_VALUE"""),805.0)</f>
        <v>805</v>
      </c>
      <c r="G22463" s="4">
        <f>IFERROR(__xludf.DUMMYFUNCTION("""COMPUTED_VALUE"""),31.0)</f>
        <v>31</v>
      </c>
      <c r="H22463" s="4"/>
      <c r="I22463" s="4"/>
    </row>
    <row r="22464">
      <c r="A22464" s="4" t="str">
        <f>IFERROR(__xludf.DUMMYFUNCTION("""COMPUTED_VALUE"""),"cas_hmw")</f>
        <v>cas_hmw</v>
      </c>
      <c r="B22464" s="5">
        <f>IFERROR(__xludf.DUMMYFUNCTION("""COMPUTED_VALUE"""),44789.0)</f>
        <v>44789</v>
      </c>
      <c r="C22464" s="6">
        <f>IFERROR(__xludf.DUMMYFUNCTION("""COMPUTED_VALUE"""),0.7255208333335759)</f>
        <v>0.7255208333</v>
      </c>
      <c r="D22464" s="4">
        <f>IFERROR(__xludf.DUMMYFUNCTION("""COMPUTED_VALUE"""),12.965729)</f>
        <v>12.965729</v>
      </c>
      <c r="E22464" s="4">
        <f>IFERROR(__xludf.DUMMYFUNCTION("""COMPUTED_VALUE"""),80.216824)</f>
        <v>80.216824</v>
      </c>
      <c r="F22464" s="4">
        <f>IFERROR(__xludf.DUMMYFUNCTION("""COMPUTED_VALUE"""),3143.0)</f>
        <v>3143</v>
      </c>
      <c r="G22464" s="4">
        <f>IFERROR(__xludf.DUMMYFUNCTION("""COMPUTED_VALUE"""),47.0)</f>
        <v>47</v>
      </c>
      <c r="H22464" s="4"/>
      <c r="I22464" s="4"/>
    </row>
    <row r="22465">
      <c r="A22465" s="4" t="str">
        <f>IFERROR(__xludf.DUMMYFUNCTION("""COMPUTED_VALUE"""),"cas_hmw")</f>
        <v>cas_hmw</v>
      </c>
      <c r="B22465" s="5">
        <f>IFERROR(__xludf.DUMMYFUNCTION("""COMPUTED_VALUE"""),44789.0)</f>
        <v>44789</v>
      </c>
      <c r="C22465" s="6">
        <f>IFERROR(__xludf.DUMMYFUNCTION("""COMPUTED_VALUE"""),0.7264814814807323)</f>
        <v>0.7264814815</v>
      </c>
      <c r="D22465" s="4">
        <f>IFERROR(__xludf.DUMMYFUNCTION("""COMPUTED_VALUE"""),13.031427)</f>
        <v>13.031427</v>
      </c>
      <c r="E22465" s="4">
        <f>IFERROR(__xludf.DUMMYFUNCTION("""COMPUTED_VALUE"""),80.240415)</f>
        <v>80.240415</v>
      </c>
      <c r="F22465" s="4">
        <f>IFERROR(__xludf.DUMMYFUNCTION("""COMPUTED_VALUE"""),5339.0)</f>
        <v>5339</v>
      </c>
      <c r="G22465" s="4">
        <f>IFERROR(__xludf.DUMMYFUNCTION("""COMPUTED_VALUE"""),40.0)</f>
        <v>40</v>
      </c>
      <c r="H22465" s="4"/>
      <c r="I22465" s="4"/>
    </row>
    <row r="22466">
      <c r="A22466" s="4" t="str">
        <f>IFERROR(__xludf.DUMMYFUNCTION("""COMPUTED_VALUE"""),"cas_hmw")</f>
        <v>cas_hmw</v>
      </c>
      <c r="B22466" s="5">
        <f>IFERROR(__xludf.DUMMYFUNCTION("""COMPUTED_VALUE"""),44789.0)</f>
        <v>44789</v>
      </c>
      <c r="C22466" s="6">
        <f>IFERROR(__xludf.DUMMYFUNCTION("""COMPUTED_VALUE"""),0.7266435185192677)</f>
        <v>0.7266435185</v>
      </c>
      <c r="D22466" s="4">
        <f>IFERROR(__xludf.DUMMYFUNCTION("""COMPUTED_VALUE"""),13.031921)</f>
        <v>13.031921</v>
      </c>
      <c r="E22466" s="4">
        <f>IFERROR(__xludf.DUMMYFUNCTION("""COMPUTED_VALUE"""),80.241516)</f>
        <v>80.241516</v>
      </c>
      <c r="F22466" s="4">
        <f>IFERROR(__xludf.DUMMYFUNCTION("""COMPUTED_VALUE"""),5339.0)</f>
        <v>5339</v>
      </c>
      <c r="G22466" s="4">
        <f>IFERROR(__xludf.DUMMYFUNCTION("""COMPUTED_VALUE"""),48.0)</f>
        <v>48</v>
      </c>
      <c r="H22466" s="4"/>
      <c r="I22466" s="4"/>
    </row>
    <row r="22467">
      <c r="A22467" s="4" t="str">
        <f>IFERROR(__xludf.DUMMYFUNCTION("""COMPUTED_VALUE"""),"cas_hmw")</f>
        <v>cas_hmw</v>
      </c>
      <c r="B22467" s="5">
        <f>IFERROR(__xludf.DUMMYFUNCTION("""COMPUTED_VALUE"""),44789.0)</f>
        <v>44789</v>
      </c>
      <c r="C22467" s="6">
        <f>IFERROR(__xludf.DUMMYFUNCTION("""COMPUTED_VALUE"""),0.7271180555544561)</f>
        <v>0.7271180556</v>
      </c>
      <c r="D22467" s="4">
        <f>IFERROR(__xludf.DUMMYFUNCTION("""COMPUTED_VALUE"""),13.034069)</f>
        <v>13.034069</v>
      </c>
      <c r="E22467" s="4">
        <f>IFERROR(__xludf.DUMMYFUNCTION("""COMPUTED_VALUE"""),80.244584)</f>
        <v>80.244584</v>
      </c>
      <c r="F22467" s="4">
        <f>IFERROR(__xludf.DUMMYFUNCTION("""COMPUTED_VALUE"""),5339.0)</f>
        <v>5339</v>
      </c>
      <c r="G22467" s="4">
        <f>IFERROR(__xludf.DUMMYFUNCTION("""COMPUTED_VALUE"""),22.0)</f>
        <v>22</v>
      </c>
      <c r="H22467" s="4"/>
      <c r="I22467" s="4"/>
    </row>
    <row r="22468">
      <c r="A22468" s="4" t="str">
        <f>IFERROR(__xludf.DUMMYFUNCTION("""COMPUTED_VALUE"""),"cas_hmw")</f>
        <v>cas_hmw</v>
      </c>
      <c r="B22468" s="5">
        <f>IFERROR(__xludf.DUMMYFUNCTION("""COMPUTED_VALUE"""),44789.0)</f>
        <v>44789</v>
      </c>
      <c r="C22468" s="6">
        <f>IFERROR(__xludf.DUMMYFUNCTION("""COMPUTED_VALUE"""),0.7271990740737238)</f>
        <v>0.7271990741</v>
      </c>
      <c r="D22468" s="4">
        <f>IFERROR(__xludf.DUMMYFUNCTION("""COMPUTED_VALUE"""),13.009208)</f>
        <v>13.009208</v>
      </c>
      <c r="E22468" s="4">
        <f>IFERROR(__xludf.DUMMYFUNCTION("""COMPUTED_VALUE"""),80.259033)</f>
        <v>80.259033</v>
      </c>
      <c r="F22468" s="4">
        <f>IFERROR(__xludf.DUMMYFUNCTION("""COMPUTED_VALUE"""),805.0)</f>
        <v>805</v>
      </c>
      <c r="G22468" s="4">
        <f>IFERROR(__xludf.DUMMYFUNCTION("""COMPUTED_VALUE"""),29.0)</f>
        <v>29</v>
      </c>
      <c r="H22468" s="4"/>
      <c r="I22468" s="4"/>
    </row>
    <row r="22469">
      <c r="A22469" s="4" t="str">
        <f>IFERROR(__xludf.DUMMYFUNCTION("""COMPUTED_VALUE"""),"cas_hmw")</f>
        <v>cas_hmw</v>
      </c>
      <c r="B22469" s="5">
        <f>IFERROR(__xludf.DUMMYFUNCTION("""COMPUTED_VALUE"""),44789.0)</f>
        <v>44789</v>
      </c>
      <c r="C22469" s="6">
        <f>IFERROR(__xludf.DUMMYFUNCTION("""COMPUTED_VALUE"""),0.7273032407392748)</f>
        <v>0.7273032407</v>
      </c>
      <c r="D22469" s="4">
        <f>IFERROR(__xludf.DUMMYFUNCTION("""COMPUTED_VALUE"""),13.0102)</f>
        <v>13.0102</v>
      </c>
      <c r="E22469" s="4">
        <f>IFERROR(__xludf.DUMMYFUNCTION("""COMPUTED_VALUE"""),80.25903)</f>
        <v>80.25903</v>
      </c>
      <c r="F22469" s="4">
        <f>IFERROR(__xludf.DUMMYFUNCTION("""COMPUTED_VALUE"""),805.0)</f>
        <v>805</v>
      </c>
      <c r="G22469" s="4">
        <f>IFERROR(__xludf.DUMMYFUNCTION("""COMPUTED_VALUE"""),45.0)</f>
        <v>45</v>
      </c>
      <c r="H22469" s="4"/>
      <c r="I22469" s="4"/>
    </row>
    <row r="22470">
      <c r="A22470" s="4" t="str">
        <f>IFERROR(__xludf.DUMMYFUNCTION("""COMPUTED_VALUE"""),"cas_hmw")</f>
        <v>cas_hmw</v>
      </c>
      <c r="B22470" s="5">
        <f>IFERROR(__xludf.DUMMYFUNCTION("""COMPUTED_VALUE"""),44789.0)</f>
        <v>44789</v>
      </c>
      <c r="C22470" s="6">
        <f>IFERROR(__xludf.DUMMYFUNCTION("""COMPUTED_VALUE"""),0.7277199074087548)</f>
        <v>0.7277199074</v>
      </c>
      <c r="D22470" s="4">
        <f>IFERROR(__xludf.DUMMYFUNCTION("""COMPUTED_VALUE"""),12.975967)</f>
        <v>12.975967</v>
      </c>
      <c r="E22470" s="4">
        <f>IFERROR(__xludf.DUMMYFUNCTION("""COMPUTED_VALUE"""),80.221116)</f>
        <v>80.221116</v>
      </c>
      <c r="F22470" s="4">
        <f>IFERROR(__xludf.DUMMYFUNCTION("""COMPUTED_VALUE"""),3143.0)</f>
        <v>3143</v>
      </c>
      <c r="G22470" s="4">
        <f>IFERROR(__xludf.DUMMYFUNCTION("""COMPUTED_VALUE"""),20.0)</f>
        <v>20</v>
      </c>
      <c r="H22470" s="4"/>
      <c r="I22470" s="4"/>
    </row>
    <row r="22471">
      <c r="A22471" s="4" t="str">
        <f>IFERROR(__xludf.DUMMYFUNCTION("""COMPUTED_VALUE"""),"cas_hmw")</f>
        <v>cas_hmw</v>
      </c>
      <c r="B22471" s="5">
        <f>IFERROR(__xludf.DUMMYFUNCTION("""COMPUTED_VALUE"""),44789.0)</f>
        <v>44789</v>
      </c>
      <c r="C22471" s="6">
        <f>IFERROR(__xludf.DUMMYFUNCTION("""COMPUTED_VALUE"""),0.7279629629629198)</f>
        <v>0.727962963</v>
      </c>
      <c r="D22471" s="4">
        <f>IFERROR(__xludf.DUMMYFUNCTION("""COMPUTED_VALUE"""),13.016514)</f>
        <v>13.016514</v>
      </c>
      <c r="E22471" s="4">
        <f>IFERROR(__xludf.DUMMYFUNCTION("""COMPUTED_VALUE"""),80.259774)</f>
        <v>80.259774</v>
      </c>
      <c r="F22471" s="4">
        <f>IFERROR(__xludf.DUMMYFUNCTION("""COMPUTED_VALUE"""),805.0)</f>
        <v>805</v>
      </c>
      <c r="G22471" s="4">
        <f>IFERROR(__xludf.DUMMYFUNCTION("""COMPUTED_VALUE"""),31.0)</f>
        <v>31</v>
      </c>
      <c r="H22471" s="4"/>
      <c r="I22471" s="4"/>
    </row>
    <row r="22472">
      <c r="A22472" s="4" t="str">
        <f>IFERROR(__xludf.DUMMYFUNCTION("""COMPUTED_VALUE"""),"cas_hmw")</f>
        <v>cas_hmw</v>
      </c>
      <c r="B22472" s="5">
        <f>IFERROR(__xludf.DUMMYFUNCTION("""COMPUTED_VALUE"""),44789.0)</f>
        <v>44789</v>
      </c>
      <c r="C22472" s="6">
        <f>IFERROR(__xludf.DUMMYFUNCTION("""COMPUTED_VALUE"""),0.7279745370360615)</f>
        <v>0.727974537</v>
      </c>
      <c r="D22472" s="4">
        <f>IFERROR(__xludf.DUMMYFUNCTION("""COMPUTED_VALUE"""),13.016514)</f>
        <v>13.016514</v>
      </c>
      <c r="E22472" s="4">
        <f>IFERROR(__xludf.DUMMYFUNCTION("""COMPUTED_VALUE"""),80.259774)</f>
        <v>80.259774</v>
      </c>
      <c r="F22472" s="4">
        <f>IFERROR(__xludf.DUMMYFUNCTION("""COMPUTED_VALUE"""),805.0)</f>
        <v>805</v>
      </c>
      <c r="G22472" s="4">
        <f>IFERROR(__xludf.DUMMYFUNCTION("""COMPUTED_VALUE"""),31.0)</f>
        <v>31</v>
      </c>
      <c r="H22472" s="4"/>
      <c r="I22472" s="4"/>
    </row>
    <row r="22473">
      <c r="A22473" s="4" t="str">
        <f>IFERROR(__xludf.DUMMYFUNCTION("""COMPUTED_VALUE"""),"cas_hmw")</f>
        <v>cas_hmw</v>
      </c>
      <c r="B22473" s="5">
        <f>IFERROR(__xludf.DUMMYFUNCTION("""COMPUTED_VALUE"""),44789.0)</f>
        <v>44789</v>
      </c>
      <c r="C22473" s="6">
        <f>IFERROR(__xludf.DUMMYFUNCTION("""COMPUTED_VALUE"""),0.7281712962976599)</f>
        <v>0.7281712963</v>
      </c>
      <c r="D22473" s="4">
        <f>IFERROR(__xludf.DUMMYFUNCTION("""COMPUTED_VALUE"""),12.977324)</f>
        <v>12.977324</v>
      </c>
      <c r="E22473" s="4">
        <f>IFERROR(__xludf.DUMMYFUNCTION("""COMPUTED_VALUE"""),80.223323)</f>
        <v>80.223323</v>
      </c>
      <c r="F22473" s="4">
        <f>IFERROR(__xludf.DUMMYFUNCTION("""COMPUTED_VALUE"""),3143.0)</f>
        <v>3143</v>
      </c>
      <c r="G22473" s="4">
        <f>IFERROR(__xludf.DUMMYFUNCTION("""COMPUTED_VALUE"""),23.0)</f>
        <v>23</v>
      </c>
      <c r="H22473" s="4"/>
      <c r="I22473" s="4"/>
    </row>
    <row r="22474">
      <c r="A22474" s="4" t="str">
        <f>IFERROR(__xludf.DUMMYFUNCTION("""COMPUTED_VALUE"""),"cas_hmw")</f>
        <v>cas_hmw</v>
      </c>
      <c r="B22474" s="5">
        <f>IFERROR(__xludf.DUMMYFUNCTION("""COMPUTED_VALUE"""),44789.0)</f>
        <v>44789</v>
      </c>
      <c r="C22474" s="6">
        <f>IFERROR(__xludf.DUMMYFUNCTION("""COMPUTED_VALUE"""),0.7281944444439432)</f>
        <v>0.7281944444</v>
      </c>
      <c r="D22474" s="4">
        <f>IFERROR(__xludf.DUMMYFUNCTION("""COMPUTED_VALUE"""),12.977324)</f>
        <v>12.977324</v>
      </c>
      <c r="E22474" s="4">
        <f>IFERROR(__xludf.DUMMYFUNCTION("""COMPUTED_VALUE"""),80.223323)</f>
        <v>80.223323</v>
      </c>
      <c r="F22474" s="4">
        <f>IFERROR(__xludf.DUMMYFUNCTION("""COMPUTED_VALUE"""),3143.0)</f>
        <v>3143</v>
      </c>
      <c r="G22474" s="4">
        <f>IFERROR(__xludf.DUMMYFUNCTION("""COMPUTED_VALUE"""),23.0)</f>
        <v>23</v>
      </c>
      <c r="H22474" s="4"/>
      <c r="I22474" s="4"/>
    </row>
    <row r="22475">
      <c r="A22475" s="4" t="str">
        <f>IFERROR(__xludf.DUMMYFUNCTION("""COMPUTED_VALUE"""),"cas_hmw")</f>
        <v>cas_hmw</v>
      </c>
      <c r="B22475" s="5">
        <f>IFERROR(__xludf.DUMMYFUNCTION("""COMPUTED_VALUE"""),44789.0)</f>
        <v>44789</v>
      </c>
      <c r="C22475" s="6">
        <f>IFERROR(__xludf.DUMMYFUNCTION("""COMPUTED_VALUE"""),0.7282175925938645)</f>
        <v>0.7282175926</v>
      </c>
      <c r="D22475" s="4">
        <f>IFERROR(__xludf.DUMMYFUNCTION("""COMPUTED_VALUE"""),12.977324)</f>
        <v>12.977324</v>
      </c>
      <c r="E22475" s="4">
        <f>IFERROR(__xludf.DUMMYFUNCTION("""COMPUTED_VALUE"""),80.223323)</f>
        <v>80.223323</v>
      </c>
      <c r="F22475" s="4">
        <f>IFERROR(__xludf.DUMMYFUNCTION("""COMPUTED_VALUE"""),3143.0)</f>
        <v>3143</v>
      </c>
      <c r="G22475" s="4">
        <f>IFERROR(__xludf.DUMMYFUNCTION("""COMPUTED_VALUE"""),23.0)</f>
        <v>23</v>
      </c>
      <c r="H22475" s="4"/>
      <c r="I22475" s="4"/>
    </row>
    <row r="22476">
      <c r="A22476" s="4" t="str">
        <f>IFERROR(__xludf.DUMMYFUNCTION("""COMPUTED_VALUE"""),"cas_hmw")</f>
        <v>cas_hmw</v>
      </c>
      <c r="B22476" s="5">
        <f>IFERROR(__xludf.DUMMYFUNCTION("""COMPUTED_VALUE"""),44789.0)</f>
        <v>44789</v>
      </c>
      <c r="C22476" s="6">
        <f>IFERROR(__xludf.DUMMYFUNCTION("""COMPUTED_VALUE"""),0.7285416666672972)</f>
        <v>0.7285416667</v>
      </c>
      <c r="D22476" s="4">
        <f>IFERROR(__xludf.DUMMYFUNCTION("""COMPUTED_VALUE"""),12.97846)</f>
        <v>12.97846</v>
      </c>
      <c r="E22476" s="4">
        <f>IFERROR(__xludf.DUMMYFUNCTION("""COMPUTED_VALUE"""),80.225131)</f>
        <v>80.225131</v>
      </c>
      <c r="F22476" s="4">
        <f>IFERROR(__xludf.DUMMYFUNCTION("""COMPUTED_VALUE"""),3143.0)</f>
        <v>3143</v>
      </c>
      <c r="G22476" s="4">
        <f>IFERROR(__xludf.DUMMYFUNCTION("""COMPUTED_VALUE"""),17.0)</f>
        <v>17</v>
      </c>
      <c r="H22476" s="4"/>
      <c r="I22476" s="4"/>
    </row>
    <row r="22477">
      <c r="A22477" s="4" t="str">
        <f>IFERROR(__xludf.DUMMYFUNCTION("""COMPUTED_VALUE"""),"cas_hmw")</f>
        <v>cas_hmw</v>
      </c>
      <c r="B22477" s="5">
        <f>IFERROR(__xludf.DUMMYFUNCTION("""COMPUTED_VALUE"""),44789.0)</f>
        <v>44789</v>
      </c>
      <c r="C22477" s="6">
        <f>IFERROR(__xludf.DUMMYFUNCTION("""COMPUTED_VALUE"""),0.7285532407404389)</f>
        <v>0.7285532407</v>
      </c>
      <c r="D22477" s="4">
        <f>IFERROR(__xludf.DUMMYFUNCTION("""COMPUTED_VALUE"""),12.97846)</f>
        <v>12.97846</v>
      </c>
      <c r="E22477" s="4">
        <f>IFERROR(__xludf.DUMMYFUNCTION("""COMPUTED_VALUE"""),80.225131)</f>
        <v>80.225131</v>
      </c>
      <c r="F22477" s="4">
        <f>IFERROR(__xludf.DUMMYFUNCTION("""COMPUTED_VALUE"""),3143.0)</f>
        <v>3143</v>
      </c>
      <c r="G22477" s="4">
        <f>IFERROR(__xludf.DUMMYFUNCTION("""COMPUTED_VALUE"""),17.0)</f>
        <v>17</v>
      </c>
      <c r="H22477" s="4"/>
      <c r="I22477" s="4"/>
    </row>
    <row r="22478">
      <c r="A22478" s="4" t="str">
        <f>IFERROR(__xludf.DUMMYFUNCTION("""COMPUTED_VALUE"""),"cas_hmw")</f>
        <v>cas_hmw</v>
      </c>
      <c r="B22478" s="5">
        <f>IFERROR(__xludf.DUMMYFUNCTION("""COMPUTED_VALUE"""),44789.0)</f>
        <v>44789</v>
      </c>
      <c r="C22478" s="6">
        <f>IFERROR(__xludf.DUMMYFUNCTION("""COMPUTED_VALUE"""),0.7288194444445253)</f>
        <v>0.7288194444</v>
      </c>
      <c r="D22478" s="4">
        <f>IFERROR(__xludf.DUMMYFUNCTION("""COMPUTED_VALUE"""),13.041871)</f>
        <v>13.041871</v>
      </c>
      <c r="E22478" s="4">
        <f>IFERROR(__xludf.DUMMYFUNCTION("""COMPUTED_VALUE"""),80.247389)</f>
        <v>80.247389</v>
      </c>
      <c r="F22478" s="4">
        <f>IFERROR(__xludf.DUMMYFUNCTION("""COMPUTED_VALUE"""),5339.0)</f>
        <v>5339</v>
      </c>
      <c r="G22478" s="4">
        <f>IFERROR(__xludf.DUMMYFUNCTION("""COMPUTED_VALUE"""),26.0)</f>
        <v>26</v>
      </c>
      <c r="H22478" s="4"/>
      <c r="I22478" s="4"/>
    </row>
    <row r="22479">
      <c r="A22479" s="4" t="str">
        <f>IFERROR(__xludf.DUMMYFUNCTION("""COMPUTED_VALUE"""),"cas_hmw")</f>
        <v>cas_hmw</v>
      </c>
      <c r="B22479" s="5">
        <f>IFERROR(__xludf.DUMMYFUNCTION("""COMPUTED_VALUE"""),44789.0)</f>
        <v>44789</v>
      </c>
      <c r="C22479" s="6">
        <f>IFERROR(__xludf.DUMMYFUNCTION("""COMPUTED_VALUE"""),0.728831018517667)</f>
        <v>0.7288310185</v>
      </c>
      <c r="D22479" s="4">
        <f>IFERROR(__xludf.DUMMYFUNCTION("""COMPUTED_VALUE"""),13.041871)</f>
        <v>13.041871</v>
      </c>
      <c r="E22479" s="4">
        <f>IFERROR(__xludf.DUMMYFUNCTION("""COMPUTED_VALUE"""),80.247389)</f>
        <v>80.247389</v>
      </c>
      <c r="F22479" s="4">
        <f>IFERROR(__xludf.DUMMYFUNCTION("""COMPUTED_VALUE"""),5339.0)</f>
        <v>5339</v>
      </c>
      <c r="G22479" s="4">
        <f>IFERROR(__xludf.DUMMYFUNCTION("""COMPUTED_VALUE"""),26.0)</f>
        <v>26</v>
      </c>
      <c r="H22479" s="4"/>
      <c r="I22479" s="4"/>
    </row>
    <row r="22480">
      <c r="A22480" s="4" t="str">
        <f>IFERROR(__xludf.DUMMYFUNCTION("""COMPUTED_VALUE"""),"cas_hmw")</f>
        <v>cas_hmw</v>
      </c>
      <c r="B22480" s="5">
        <f>IFERROR(__xludf.DUMMYFUNCTION("""COMPUTED_VALUE"""),44789.0)</f>
        <v>44789</v>
      </c>
      <c r="C22480" s="6">
        <f>IFERROR(__xludf.DUMMYFUNCTION("""COMPUTED_VALUE"""),0.72886574074073)</f>
        <v>0.7288657407</v>
      </c>
      <c r="D22480" s="4">
        <f>IFERROR(__xludf.DUMMYFUNCTION("""COMPUTED_VALUE"""),13.042515)</f>
        <v>13.042515</v>
      </c>
      <c r="E22480" s="4">
        <f>IFERROR(__xludf.DUMMYFUNCTION("""COMPUTED_VALUE"""),80.247494)</f>
        <v>80.247494</v>
      </c>
      <c r="F22480" s="4">
        <f>IFERROR(__xludf.DUMMYFUNCTION("""COMPUTED_VALUE"""),5339.0)</f>
        <v>5339</v>
      </c>
      <c r="G22480" s="4">
        <f>IFERROR(__xludf.DUMMYFUNCTION("""COMPUTED_VALUE"""),29.0)</f>
        <v>29</v>
      </c>
      <c r="H22480" s="4"/>
      <c r="I22480" s="4"/>
    </row>
    <row r="22481">
      <c r="A22481" s="4" t="str">
        <f>IFERROR(__xludf.DUMMYFUNCTION("""COMPUTED_VALUE"""),"cas_hmw")</f>
        <v>cas_hmw</v>
      </c>
      <c r="B22481" s="5">
        <f>IFERROR(__xludf.DUMMYFUNCTION("""COMPUTED_VALUE"""),44789.0)</f>
        <v>44789</v>
      </c>
      <c r="C22481" s="6">
        <f>IFERROR(__xludf.DUMMYFUNCTION("""COMPUTED_VALUE"""),0.7289930555562023)</f>
        <v>0.7289930556</v>
      </c>
      <c r="D22481" s="4">
        <f>IFERROR(__xludf.DUMMYFUNCTION("""COMPUTED_VALUE"""),13.043348)</f>
        <v>13.043348</v>
      </c>
      <c r="E22481" s="4">
        <f>IFERROR(__xludf.DUMMYFUNCTION("""COMPUTED_VALUE"""),80.247676)</f>
        <v>80.247676</v>
      </c>
      <c r="F22481" s="4">
        <f>IFERROR(__xludf.DUMMYFUNCTION("""COMPUTED_VALUE"""),5339.0)</f>
        <v>5339</v>
      </c>
      <c r="G22481" s="4">
        <f>IFERROR(__xludf.DUMMYFUNCTION("""COMPUTED_VALUE"""),36.0)</f>
        <v>36</v>
      </c>
      <c r="H22481" s="4"/>
      <c r="I22481" s="4"/>
    </row>
    <row r="22482">
      <c r="A22482" s="4" t="str">
        <f>IFERROR(__xludf.DUMMYFUNCTION("""COMPUTED_VALUE"""),"cas_hmw")</f>
        <v>cas_hmw</v>
      </c>
      <c r="B22482" s="5">
        <f>IFERROR(__xludf.DUMMYFUNCTION("""COMPUTED_VALUE"""),44789.0)</f>
        <v>44789</v>
      </c>
      <c r="C22482" s="6">
        <f>IFERROR(__xludf.DUMMYFUNCTION("""COMPUTED_VALUE"""),0.7295023148144537)</f>
        <v>0.7295023148</v>
      </c>
      <c r="D22482" s="4">
        <f>IFERROR(__xludf.DUMMYFUNCTION("""COMPUTED_VALUE"""),13.021444)</f>
        <v>13.021444</v>
      </c>
      <c r="E22482" s="4">
        <f>IFERROR(__xludf.DUMMYFUNCTION("""COMPUTED_VALUE"""),80.263037)</f>
        <v>80.263037</v>
      </c>
      <c r="F22482" s="4">
        <f>IFERROR(__xludf.DUMMYFUNCTION("""COMPUTED_VALUE"""),805.0)</f>
        <v>805</v>
      </c>
      <c r="G22482" s="4">
        <f>IFERROR(__xludf.DUMMYFUNCTION("""COMPUTED_VALUE"""),14.0)</f>
        <v>14</v>
      </c>
      <c r="H22482" s="4"/>
      <c r="I22482" s="4"/>
    </row>
    <row r="22483">
      <c r="A22483" s="4" t="str">
        <f>IFERROR(__xludf.DUMMYFUNCTION("""COMPUTED_VALUE"""),"cas_hmw")</f>
        <v>cas_hmw</v>
      </c>
      <c r="B22483" s="5">
        <f>IFERROR(__xludf.DUMMYFUNCTION("""COMPUTED_VALUE"""),44789.0)</f>
        <v>44789</v>
      </c>
      <c r="C22483" s="6">
        <f>IFERROR(__xludf.DUMMYFUNCTION("""COMPUTED_VALUE"""),0.7299189814802958)</f>
        <v>0.7299189815</v>
      </c>
      <c r="D22483" s="4">
        <f>IFERROR(__xludf.DUMMYFUNCTION("""COMPUTED_VALUE"""),13.044619)</f>
        <v>13.044619</v>
      </c>
      <c r="E22483" s="4">
        <f>IFERROR(__xludf.DUMMYFUNCTION("""COMPUTED_VALUE"""),80.247905)</f>
        <v>80.247905</v>
      </c>
      <c r="F22483" s="4">
        <f>IFERROR(__xludf.DUMMYFUNCTION("""COMPUTED_VALUE"""),5339.0)</f>
        <v>5339</v>
      </c>
      <c r="G22483" s="4">
        <f>IFERROR(__xludf.DUMMYFUNCTION("""COMPUTED_VALUE"""),8.0)</f>
        <v>8</v>
      </c>
      <c r="H22483" s="4"/>
      <c r="I22483" s="4"/>
    </row>
    <row r="22484">
      <c r="A22484" s="4" t="str">
        <f>IFERROR(__xludf.DUMMYFUNCTION("""COMPUTED_VALUE"""),"cas_hmw")</f>
        <v>cas_hmw</v>
      </c>
      <c r="B22484" s="5">
        <f>IFERROR(__xludf.DUMMYFUNCTION("""COMPUTED_VALUE"""),44789.0)</f>
        <v>44789</v>
      </c>
      <c r="C22484" s="6">
        <f>IFERROR(__xludf.DUMMYFUNCTION("""COMPUTED_VALUE"""),0.7300347222226264)</f>
        <v>0.7300347222</v>
      </c>
      <c r="D22484" s="4">
        <f>IFERROR(__xludf.DUMMYFUNCTION("""COMPUTED_VALUE"""),13.044619)</f>
        <v>13.044619</v>
      </c>
      <c r="E22484" s="4">
        <f>IFERROR(__xludf.DUMMYFUNCTION("""COMPUTED_VALUE"""),80.247905)</f>
        <v>80.247905</v>
      </c>
      <c r="F22484" s="4">
        <f>IFERROR(__xludf.DUMMYFUNCTION("""COMPUTED_VALUE"""),5339.0)</f>
        <v>5339</v>
      </c>
      <c r="G22484" s="4">
        <f>IFERROR(__xludf.DUMMYFUNCTION("""COMPUTED_VALUE"""),8.0)</f>
        <v>8</v>
      </c>
      <c r="H22484" s="4"/>
      <c r="I22484" s="4"/>
    </row>
    <row r="22485">
      <c r="A22485" s="4" t="str">
        <f>IFERROR(__xludf.DUMMYFUNCTION("""COMPUTED_VALUE"""),"cas_hmw")</f>
        <v>cas_hmw</v>
      </c>
      <c r="B22485" s="5">
        <f>IFERROR(__xludf.DUMMYFUNCTION("""COMPUTED_VALUE"""),44789.0)</f>
        <v>44789</v>
      </c>
      <c r="C22485" s="6">
        <f>IFERROR(__xludf.DUMMYFUNCTION("""COMPUTED_VALUE"""),0.7300694444456894)</f>
        <v>0.7300694444</v>
      </c>
      <c r="D22485" s="4">
        <f>IFERROR(__xludf.DUMMYFUNCTION("""COMPUTED_VALUE"""),13.046894)</f>
        <v>13.046894</v>
      </c>
      <c r="E22485" s="4">
        <f>IFERROR(__xludf.DUMMYFUNCTION("""COMPUTED_VALUE"""),80.248362)</f>
        <v>80.248362</v>
      </c>
      <c r="F22485" s="4">
        <f>IFERROR(__xludf.DUMMYFUNCTION("""COMPUTED_VALUE"""),5339.0)</f>
        <v>5339</v>
      </c>
      <c r="G22485" s="4">
        <f>IFERROR(__xludf.DUMMYFUNCTION("""COMPUTED_VALUE"""),29.0)</f>
        <v>29</v>
      </c>
      <c r="H22485" s="4"/>
      <c r="I22485" s="4"/>
    </row>
    <row r="22486">
      <c r="A22486" s="4" t="str">
        <f>IFERROR(__xludf.DUMMYFUNCTION("""COMPUTED_VALUE"""),"cas_hmw")</f>
        <v>cas_hmw</v>
      </c>
      <c r="B22486" s="5">
        <f>IFERROR(__xludf.DUMMYFUNCTION("""COMPUTED_VALUE"""),44789.0)</f>
        <v>44789</v>
      </c>
      <c r="C22486" s="6">
        <f>IFERROR(__xludf.DUMMYFUNCTION("""COMPUTED_VALUE"""),0.7301388888881775)</f>
        <v>0.7301388889</v>
      </c>
      <c r="D22486" s="4">
        <f>IFERROR(__xludf.DUMMYFUNCTION("""COMPUTED_VALUE"""),13.047641)</f>
        <v>13.047641</v>
      </c>
      <c r="E22486" s="4">
        <f>IFERROR(__xludf.DUMMYFUNCTION("""COMPUTED_VALUE"""),80.248834)</f>
        <v>80.248834</v>
      </c>
      <c r="F22486" s="4">
        <f>IFERROR(__xludf.DUMMYFUNCTION("""COMPUTED_VALUE"""),5339.0)</f>
        <v>5339</v>
      </c>
      <c r="G22486" s="4">
        <f>IFERROR(__xludf.DUMMYFUNCTION("""COMPUTED_VALUE"""),37.0)</f>
        <v>37</v>
      </c>
      <c r="H22486" s="4"/>
      <c r="I22486" s="4"/>
    </row>
    <row r="22487">
      <c r="A22487" s="4" t="str">
        <f>IFERROR(__xludf.DUMMYFUNCTION("""COMPUTED_VALUE"""),"cas_hmw")</f>
        <v>cas_hmw</v>
      </c>
      <c r="B22487" s="5">
        <f>IFERROR(__xludf.DUMMYFUNCTION("""COMPUTED_VALUE"""),44789.0)</f>
        <v>44789</v>
      </c>
      <c r="C22487" s="6">
        <f>IFERROR(__xludf.DUMMYFUNCTION("""COMPUTED_VALUE"""),0.7306365740732872)</f>
        <v>0.7306365741</v>
      </c>
      <c r="D22487" s="4">
        <f>IFERROR(__xludf.DUMMYFUNCTION("""COMPUTED_VALUE"""),13.049725)</f>
        <v>13.049725</v>
      </c>
      <c r="E22487" s="4">
        <f>IFERROR(__xludf.DUMMYFUNCTION("""COMPUTED_VALUE"""),80.249774)</f>
        <v>80.249774</v>
      </c>
      <c r="F22487" s="4">
        <f>IFERROR(__xludf.DUMMYFUNCTION("""COMPUTED_VALUE"""),5339.0)</f>
        <v>5339</v>
      </c>
      <c r="G22487" s="4">
        <f>IFERROR(__xludf.DUMMYFUNCTION("""COMPUTED_VALUE"""),28.0)</f>
        <v>28</v>
      </c>
      <c r="H22487" s="4"/>
      <c r="I22487" s="4"/>
    </row>
    <row r="22488">
      <c r="A22488" s="4" t="str">
        <f>IFERROR(__xludf.DUMMYFUNCTION("""COMPUTED_VALUE"""),"cas_hmw")</f>
        <v>cas_hmw</v>
      </c>
      <c r="B22488" s="5">
        <f>IFERROR(__xludf.DUMMYFUNCTION("""COMPUTED_VALUE"""),44789.0)</f>
        <v>44789</v>
      </c>
      <c r="C22488" s="6">
        <f>IFERROR(__xludf.DUMMYFUNCTION("""COMPUTED_VALUE"""),0.7312037037045229)</f>
        <v>0.7312037037</v>
      </c>
      <c r="D22488" s="4">
        <f>IFERROR(__xludf.DUMMYFUNCTION("""COMPUTED_VALUE"""),13.052533)</f>
        <v>13.052533</v>
      </c>
      <c r="E22488" s="4">
        <f>IFERROR(__xludf.DUMMYFUNCTION("""COMPUTED_VALUE"""),80.25123)</f>
        <v>80.25123</v>
      </c>
      <c r="F22488" s="4">
        <f>IFERROR(__xludf.DUMMYFUNCTION("""COMPUTED_VALUE"""),5339.0)</f>
        <v>5339</v>
      </c>
      <c r="G22488" s="4">
        <f>IFERROR(__xludf.DUMMYFUNCTION("""COMPUTED_VALUE"""),32.0)</f>
        <v>32</v>
      </c>
      <c r="H22488" s="4"/>
      <c r="I22488" s="4"/>
    </row>
    <row r="22489">
      <c r="A22489" s="4" t="str">
        <f>IFERROR(__xludf.DUMMYFUNCTION("""COMPUTED_VALUE"""),"cas_hmw")</f>
        <v>cas_hmw</v>
      </c>
      <c r="B22489" s="5">
        <f>IFERROR(__xludf.DUMMYFUNCTION("""COMPUTED_VALUE"""),44789.0)</f>
        <v>44789</v>
      </c>
      <c r="C22489" s="6">
        <f>IFERROR(__xludf.DUMMYFUNCTION("""COMPUTED_VALUE"""),0.7329513888871588)</f>
        <v>0.7329513889</v>
      </c>
      <c r="D22489" s="4">
        <f>IFERROR(__xludf.DUMMYFUNCTION("""COMPUTED_VALUE"""),13.056432)</f>
        <v>13.056432</v>
      </c>
      <c r="E22489" s="4">
        <f>IFERROR(__xludf.DUMMYFUNCTION("""COMPUTED_VALUE"""),80.256436)</f>
        <v>80.256436</v>
      </c>
      <c r="F22489" s="4">
        <f>IFERROR(__xludf.DUMMYFUNCTION("""COMPUTED_VALUE"""),5339.0)</f>
        <v>5339</v>
      </c>
      <c r="G22489" s="4">
        <f>IFERROR(__xludf.DUMMYFUNCTION("""COMPUTED_VALUE"""),22.0)</f>
        <v>22</v>
      </c>
      <c r="H22489" s="4"/>
      <c r="I22489" s="4"/>
    </row>
    <row r="22490">
      <c r="A22490" s="4" t="str">
        <f>IFERROR(__xludf.DUMMYFUNCTION("""COMPUTED_VALUE"""),"cas_hmw")</f>
        <v>cas_hmw</v>
      </c>
      <c r="B22490" s="5">
        <f>IFERROR(__xludf.DUMMYFUNCTION("""COMPUTED_VALUE"""),44789.0)</f>
        <v>44789</v>
      </c>
      <c r="C22490" s="6">
        <f>IFERROR(__xludf.DUMMYFUNCTION("""COMPUTED_VALUE"""),0.7329629629639385)</f>
        <v>0.732962963</v>
      </c>
      <c r="D22490" s="4">
        <f>IFERROR(__xludf.DUMMYFUNCTION("""COMPUTED_VALUE"""),13.056432)</f>
        <v>13.056432</v>
      </c>
      <c r="E22490" s="4">
        <f>IFERROR(__xludf.DUMMYFUNCTION("""COMPUTED_VALUE"""),80.256436)</f>
        <v>80.256436</v>
      </c>
      <c r="F22490" s="4">
        <f>IFERROR(__xludf.DUMMYFUNCTION("""COMPUTED_VALUE"""),5339.0)</f>
        <v>5339</v>
      </c>
      <c r="G22490" s="4">
        <f>IFERROR(__xludf.DUMMYFUNCTION("""COMPUTED_VALUE"""),22.0)</f>
        <v>22</v>
      </c>
      <c r="H22490" s="4"/>
      <c r="I22490" s="4"/>
    </row>
    <row r="22491">
      <c r="A22491" s="4" t="str">
        <f>IFERROR(__xludf.DUMMYFUNCTION("""COMPUTED_VALUE"""),"cas_hmw")</f>
        <v>cas_hmw</v>
      </c>
      <c r="B22491" s="5">
        <f>IFERROR(__xludf.DUMMYFUNCTION("""COMPUTED_VALUE"""),44789.0)</f>
        <v>44789</v>
      </c>
      <c r="C22491" s="6">
        <f>IFERROR(__xludf.DUMMYFUNCTION("""COMPUTED_VALUE"""),0.7329629629639385)</f>
        <v>0.732962963</v>
      </c>
      <c r="D22491" s="4">
        <f>IFERROR(__xludf.DUMMYFUNCTION("""COMPUTED_VALUE"""),13.056432)</f>
        <v>13.056432</v>
      </c>
      <c r="E22491" s="4">
        <f>IFERROR(__xludf.DUMMYFUNCTION("""COMPUTED_VALUE"""),80.256436)</f>
        <v>80.256436</v>
      </c>
      <c r="F22491" s="4">
        <f>IFERROR(__xludf.DUMMYFUNCTION("""COMPUTED_VALUE"""),5339.0)</f>
        <v>5339</v>
      </c>
      <c r="G22491" s="4">
        <f>IFERROR(__xludf.DUMMYFUNCTION("""COMPUTED_VALUE"""),22.0)</f>
        <v>22</v>
      </c>
      <c r="H22491" s="4"/>
      <c r="I22491" s="4"/>
    </row>
    <row r="22492">
      <c r="A22492" s="4" t="str">
        <f>IFERROR(__xludf.DUMMYFUNCTION("""COMPUTED_VALUE"""),"cas_hmw")</f>
        <v>cas_hmw</v>
      </c>
      <c r="B22492" s="5">
        <f>IFERROR(__xludf.DUMMYFUNCTION("""COMPUTED_VALUE"""),44789.0)</f>
        <v>44789</v>
      </c>
      <c r="C22492" s="6">
        <f>IFERROR(__xludf.DUMMYFUNCTION("""COMPUTED_VALUE"""),0.7332754629642295)</f>
        <v>0.733275463</v>
      </c>
      <c r="D22492" s="4">
        <f>IFERROR(__xludf.DUMMYFUNCTION("""COMPUTED_VALUE"""),13.03192)</f>
        <v>13.03192</v>
      </c>
      <c r="E22492" s="4">
        <f>IFERROR(__xludf.DUMMYFUNCTION("""COMPUTED_VALUE"""),80.267123)</f>
        <v>80.267123</v>
      </c>
      <c r="F22492" s="4">
        <f>IFERROR(__xludf.DUMMYFUNCTION("""COMPUTED_VALUE"""),805.0)</f>
        <v>805</v>
      </c>
      <c r="G22492" s="4">
        <f>IFERROR(__xludf.DUMMYFUNCTION("""COMPUTED_VALUE"""),33.0)</f>
        <v>33</v>
      </c>
      <c r="H22492" s="4"/>
      <c r="I22492" s="4"/>
    </row>
    <row r="22493">
      <c r="A22493" s="4" t="str">
        <f>IFERROR(__xludf.DUMMYFUNCTION("""COMPUTED_VALUE"""),"cas_hmw")</f>
        <v>cas_hmw</v>
      </c>
      <c r="B22493" s="5">
        <f>IFERROR(__xludf.DUMMYFUNCTION("""COMPUTED_VALUE"""),44789.0)</f>
        <v>44789</v>
      </c>
      <c r="C22493" s="6">
        <f>IFERROR(__xludf.DUMMYFUNCTION("""COMPUTED_VALUE"""),0.7342939814807323)</f>
        <v>0.7342939815</v>
      </c>
      <c r="D22493" s="4">
        <f>IFERROR(__xludf.DUMMYFUNCTION("""COMPUTED_VALUE"""),12.58667)</f>
        <v>12.58667</v>
      </c>
      <c r="E22493" s="4">
        <f>IFERROR(__xludf.DUMMYFUNCTION("""COMPUTED_VALUE"""),79.919536)</f>
        <v>79.919536</v>
      </c>
      <c r="F22493" s="4">
        <f>IFERROR(__xludf.DUMMYFUNCTION("""COMPUTED_VALUE"""),2846.0)</f>
        <v>2846</v>
      </c>
      <c r="G22493" s="4">
        <f>IFERROR(__xludf.DUMMYFUNCTION("""COMPUTED_VALUE"""),46.0)</f>
        <v>46</v>
      </c>
      <c r="H22493" s="4"/>
      <c r="I22493" s="4"/>
    </row>
    <row r="22494">
      <c r="A22494" s="4" t="str">
        <f>IFERROR(__xludf.DUMMYFUNCTION("""COMPUTED_VALUE"""),"cas_hmw")</f>
        <v>cas_hmw</v>
      </c>
      <c r="B22494" s="5">
        <f>IFERROR(__xludf.DUMMYFUNCTION("""COMPUTED_VALUE"""),44789.0)</f>
        <v>44789</v>
      </c>
      <c r="C22494" s="6">
        <f>IFERROR(__xludf.DUMMYFUNCTION("""COMPUTED_VALUE"""),0.7344212962962047)</f>
        <v>0.7344212963</v>
      </c>
      <c r="D22494" s="4">
        <f>IFERROR(__xludf.DUMMYFUNCTION("""COMPUTED_VALUE"""),12.58667)</f>
        <v>12.58667</v>
      </c>
      <c r="E22494" s="4">
        <f>IFERROR(__xludf.DUMMYFUNCTION("""COMPUTED_VALUE"""),79.919536)</f>
        <v>79.919536</v>
      </c>
      <c r="F22494" s="4">
        <f>IFERROR(__xludf.DUMMYFUNCTION("""COMPUTED_VALUE"""),2846.0)</f>
        <v>2846</v>
      </c>
      <c r="G22494" s="4">
        <f>IFERROR(__xludf.DUMMYFUNCTION("""COMPUTED_VALUE"""),46.0)</f>
        <v>46</v>
      </c>
      <c r="H22494" s="4"/>
      <c r="I22494" s="4"/>
    </row>
    <row r="22495">
      <c r="A22495" s="4" t="str">
        <f>IFERROR(__xludf.DUMMYFUNCTION("""COMPUTED_VALUE"""),"cas_hmw")</f>
        <v>cas_hmw</v>
      </c>
      <c r="B22495" s="5">
        <f>IFERROR(__xludf.DUMMYFUNCTION("""COMPUTED_VALUE"""),44789.0)</f>
        <v>44789</v>
      </c>
      <c r="C22495" s="6">
        <f>IFERROR(__xludf.DUMMYFUNCTION("""COMPUTED_VALUE"""),0.7351273148160544)</f>
        <v>0.7351273148</v>
      </c>
      <c r="D22495" s="4">
        <f>IFERROR(__xludf.DUMMYFUNCTION("""COMPUTED_VALUE"""),13.053992)</f>
        <v>13.053992</v>
      </c>
      <c r="E22495" s="4">
        <f>IFERROR(__xludf.DUMMYFUNCTION("""COMPUTED_VALUE"""),80.263087)</f>
        <v>80.263087</v>
      </c>
      <c r="F22495" s="4">
        <f>IFERROR(__xludf.DUMMYFUNCTION("""COMPUTED_VALUE"""),5339.0)</f>
        <v>5339</v>
      </c>
      <c r="G22495" s="4">
        <f>IFERROR(__xludf.DUMMYFUNCTION("""COMPUTED_VALUE"""),28.0)</f>
        <v>28</v>
      </c>
      <c r="H22495" s="4"/>
      <c r="I22495" s="4"/>
    </row>
    <row r="22496">
      <c r="A22496" s="4" t="str">
        <f>IFERROR(__xludf.DUMMYFUNCTION("""COMPUTED_VALUE"""),"cas_hmw")</f>
        <v>cas_hmw</v>
      </c>
      <c r="B22496" s="5">
        <f>IFERROR(__xludf.DUMMYFUNCTION("""COMPUTED_VALUE"""),44789.0)</f>
        <v>44789</v>
      </c>
      <c r="C22496" s="6">
        <f>IFERROR(__xludf.DUMMYFUNCTION("""COMPUTED_VALUE"""),0.7351620370354794)</f>
        <v>0.735162037</v>
      </c>
      <c r="D22496" s="4">
        <f>IFERROR(__xludf.DUMMYFUNCTION("""COMPUTED_VALUE"""),13.053992)</f>
        <v>13.053992</v>
      </c>
      <c r="E22496" s="4">
        <f>IFERROR(__xludf.DUMMYFUNCTION("""COMPUTED_VALUE"""),80.263087)</f>
        <v>80.263087</v>
      </c>
      <c r="F22496" s="4">
        <f>IFERROR(__xludf.DUMMYFUNCTION("""COMPUTED_VALUE"""),5339.0)</f>
        <v>5339</v>
      </c>
      <c r="G22496" s="4">
        <f>IFERROR(__xludf.DUMMYFUNCTION("""COMPUTED_VALUE"""),28.0)</f>
        <v>28</v>
      </c>
      <c r="H22496" s="4"/>
      <c r="I22496" s="4"/>
    </row>
    <row r="22497">
      <c r="A22497" s="4" t="str">
        <f>IFERROR(__xludf.DUMMYFUNCTION("""COMPUTED_VALUE"""),"cas_hmw")</f>
        <v>cas_hmw</v>
      </c>
      <c r="B22497" s="5">
        <f>IFERROR(__xludf.DUMMYFUNCTION("""COMPUTED_VALUE"""),44789.0)</f>
        <v>44789</v>
      </c>
      <c r="C22497" s="6">
        <f>IFERROR(__xludf.DUMMYFUNCTION("""COMPUTED_VALUE"""),0.7351736111122591)</f>
        <v>0.7351736111</v>
      </c>
      <c r="D22497" s="4">
        <f>IFERROR(__xludf.DUMMYFUNCTION("""COMPUTED_VALUE"""),13.053992)</f>
        <v>13.053992</v>
      </c>
      <c r="E22497" s="4">
        <f>IFERROR(__xludf.DUMMYFUNCTION("""COMPUTED_VALUE"""),80.263087)</f>
        <v>80.263087</v>
      </c>
      <c r="F22497" s="4">
        <f>IFERROR(__xludf.DUMMYFUNCTION("""COMPUTED_VALUE"""),5339.0)</f>
        <v>5339</v>
      </c>
      <c r="G22497" s="4">
        <f>IFERROR(__xludf.DUMMYFUNCTION("""COMPUTED_VALUE"""),28.0)</f>
        <v>28</v>
      </c>
      <c r="H22497" s="4"/>
      <c r="I22497" s="4"/>
    </row>
    <row r="22498">
      <c r="A22498" s="4" t="str">
        <f>IFERROR(__xludf.DUMMYFUNCTION("""COMPUTED_VALUE"""),"cas_hmw")</f>
        <v>cas_hmw</v>
      </c>
      <c r="B22498" s="5">
        <f>IFERROR(__xludf.DUMMYFUNCTION("""COMPUTED_VALUE"""),44789.0)</f>
        <v>44789</v>
      </c>
      <c r="C22498" s="6">
        <f>IFERROR(__xludf.DUMMYFUNCTION("""COMPUTED_VALUE"""),0.7351967592585424)</f>
        <v>0.7351967593</v>
      </c>
      <c r="D22498" s="4">
        <f>IFERROR(__xludf.DUMMYFUNCTION("""COMPUTED_VALUE"""),13.053992)</f>
        <v>13.053992</v>
      </c>
      <c r="E22498" s="4">
        <f>IFERROR(__xludf.DUMMYFUNCTION("""COMPUTED_VALUE"""),80.263087)</f>
        <v>80.263087</v>
      </c>
      <c r="F22498" s="4">
        <f>IFERROR(__xludf.DUMMYFUNCTION("""COMPUTED_VALUE"""),5339.0)</f>
        <v>5339</v>
      </c>
      <c r="G22498" s="4">
        <f>IFERROR(__xludf.DUMMYFUNCTION("""COMPUTED_VALUE"""),28.0)</f>
        <v>28</v>
      </c>
      <c r="H22498" s="4"/>
      <c r="I22498" s="4"/>
    </row>
    <row r="22499">
      <c r="A22499" s="4" t="str">
        <f>IFERROR(__xludf.DUMMYFUNCTION("""COMPUTED_VALUE"""),"cas_hmw")</f>
        <v>cas_hmw</v>
      </c>
      <c r="B22499" s="5">
        <f>IFERROR(__xludf.DUMMYFUNCTION("""COMPUTED_VALUE"""),44789.0)</f>
        <v>44789</v>
      </c>
      <c r="C22499" s="6">
        <f>IFERROR(__xludf.DUMMYFUNCTION("""COMPUTED_VALUE"""),0.7352083333316841)</f>
        <v>0.7352083333</v>
      </c>
      <c r="D22499" s="4">
        <f>IFERROR(__xludf.DUMMYFUNCTION("""COMPUTED_VALUE"""),13.053992)</f>
        <v>13.053992</v>
      </c>
      <c r="E22499" s="4">
        <f>IFERROR(__xludf.DUMMYFUNCTION("""COMPUTED_VALUE"""),80.263087)</f>
        <v>80.263087</v>
      </c>
      <c r="F22499" s="4">
        <f>IFERROR(__xludf.DUMMYFUNCTION("""COMPUTED_VALUE"""),5339.0)</f>
        <v>5339</v>
      </c>
      <c r="G22499" s="4">
        <f>IFERROR(__xludf.DUMMYFUNCTION("""COMPUTED_VALUE"""),28.0)</f>
        <v>28</v>
      </c>
      <c r="H22499" s="4"/>
      <c r="I22499" s="4"/>
    </row>
    <row r="22500">
      <c r="A22500" s="4" t="str">
        <f>IFERROR(__xludf.DUMMYFUNCTION("""COMPUTED_VALUE"""),"cas_hmw")</f>
        <v>cas_hmw</v>
      </c>
      <c r="B22500" s="5">
        <f>IFERROR(__xludf.DUMMYFUNCTION("""COMPUTED_VALUE"""),44789.0)</f>
        <v>44789</v>
      </c>
      <c r="C22500" s="6">
        <f>IFERROR(__xludf.DUMMYFUNCTION("""COMPUTED_VALUE"""),0.7432754629626288)</f>
        <v>0.743275463</v>
      </c>
      <c r="D22500" s="4">
        <f>IFERROR(__xludf.DUMMYFUNCTION("""COMPUTED_VALUE"""),13.067483)</f>
        <v>13.067483</v>
      </c>
      <c r="E22500" s="4">
        <f>IFERROR(__xludf.DUMMYFUNCTION("""COMPUTED_VALUE"""),80.270682)</f>
        <v>80.270682</v>
      </c>
      <c r="F22500" s="4">
        <f>IFERROR(__xludf.DUMMYFUNCTION("""COMPUTED_VALUE"""),5339.0)</f>
        <v>5339</v>
      </c>
      <c r="G22500" s="4">
        <f>IFERROR(__xludf.DUMMYFUNCTION("""COMPUTED_VALUE"""),34.0)</f>
        <v>34</v>
      </c>
      <c r="H22500" s="4"/>
      <c r="I22500" s="4"/>
    </row>
    <row r="22501">
      <c r="A22501" s="4" t="str">
        <f>IFERROR(__xludf.DUMMYFUNCTION("""COMPUTED_VALUE"""),"cas_hmw")</f>
        <v>cas_hmw</v>
      </c>
      <c r="B22501" s="5">
        <f>IFERROR(__xludf.DUMMYFUNCTION("""COMPUTED_VALUE"""),44789.0)</f>
        <v>44789</v>
      </c>
      <c r="C22501" s="6">
        <f>IFERROR(__xludf.DUMMYFUNCTION("""COMPUTED_VALUE"""),0.7432754629626288)</f>
        <v>0.743275463</v>
      </c>
      <c r="D22501" s="4">
        <f>IFERROR(__xludf.DUMMYFUNCTION("""COMPUTED_VALUE"""),13.067483)</f>
        <v>13.067483</v>
      </c>
      <c r="E22501" s="4">
        <f>IFERROR(__xludf.DUMMYFUNCTION("""COMPUTED_VALUE"""),80.270682)</f>
        <v>80.270682</v>
      </c>
      <c r="F22501" s="4">
        <f>IFERROR(__xludf.DUMMYFUNCTION("""COMPUTED_VALUE"""),5339.0)</f>
        <v>5339</v>
      </c>
      <c r="G22501" s="4">
        <f>IFERROR(__xludf.DUMMYFUNCTION("""COMPUTED_VALUE"""),34.0)</f>
        <v>34</v>
      </c>
      <c r="H22501" s="4"/>
      <c r="I22501" s="4"/>
    </row>
    <row r="22502">
      <c r="A22502" s="4" t="str">
        <f>IFERROR(__xludf.DUMMYFUNCTION("""COMPUTED_VALUE"""),"cas_hmw")</f>
        <v>cas_hmw</v>
      </c>
      <c r="B22502" s="5">
        <f>IFERROR(__xludf.DUMMYFUNCTION("""COMPUTED_VALUE"""),44789.0)</f>
        <v>44789</v>
      </c>
      <c r="C22502" s="6">
        <f>IFERROR(__xludf.DUMMYFUNCTION("""COMPUTED_VALUE"""),0.7432870370357705)</f>
        <v>0.743287037</v>
      </c>
      <c r="D22502" s="4">
        <f>IFERROR(__xludf.DUMMYFUNCTION("""COMPUTED_VALUE"""),13.067483)</f>
        <v>13.067483</v>
      </c>
      <c r="E22502" s="4">
        <f>IFERROR(__xludf.DUMMYFUNCTION("""COMPUTED_VALUE"""),80.270682)</f>
        <v>80.270682</v>
      </c>
      <c r="F22502" s="4">
        <f>IFERROR(__xludf.DUMMYFUNCTION("""COMPUTED_VALUE"""),5339.0)</f>
        <v>5339</v>
      </c>
      <c r="G22502" s="4">
        <f>IFERROR(__xludf.DUMMYFUNCTION("""COMPUTED_VALUE"""),34.0)</f>
        <v>34</v>
      </c>
      <c r="H22502" s="4"/>
      <c r="I22502" s="4"/>
    </row>
    <row r="22503">
      <c r="A22503" s="4" t="str">
        <f>IFERROR(__xludf.DUMMYFUNCTION("""COMPUTED_VALUE"""),"cas_hmw")</f>
        <v>cas_hmw</v>
      </c>
      <c r="B22503" s="5">
        <f>IFERROR(__xludf.DUMMYFUNCTION("""COMPUTED_VALUE"""),44789.0)</f>
        <v>44789</v>
      </c>
      <c r="C22503" s="6">
        <f>IFERROR(__xludf.DUMMYFUNCTION("""COMPUTED_VALUE"""),0.7447916666678793)</f>
        <v>0.7447916667</v>
      </c>
      <c r="D22503" s="4">
        <f>IFERROR(__xludf.DUMMYFUNCTION("""COMPUTED_VALUE"""),13.06876)</f>
        <v>13.06876</v>
      </c>
      <c r="E22503" s="4">
        <f>IFERROR(__xludf.DUMMYFUNCTION("""COMPUTED_VALUE"""),80.267773)</f>
        <v>80.267773</v>
      </c>
      <c r="F22503" s="4">
        <f>IFERROR(__xludf.DUMMYFUNCTION("""COMPUTED_VALUE"""),5339.0)</f>
        <v>5339</v>
      </c>
      <c r="G22503" s="4">
        <f>IFERROR(__xludf.DUMMYFUNCTION("""COMPUTED_VALUE"""),13.0)</f>
        <v>13</v>
      </c>
      <c r="H22503" s="4"/>
      <c r="I22503" s="4"/>
    </row>
    <row r="22504">
      <c r="A22504" s="4" t="str">
        <f>IFERROR(__xludf.DUMMYFUNCTION("""COMPUTED_VALUE"""),"cas_hmw")</f>
        <v>cas_hmw</v>
      </c>
      <c r="B22504" s="5">
        <f>IFERROR(__xludf.DUMMYFUNCTION("""COMPUTED_VALUE"""),44789.0)</f>
        <v>44789</v>
      </c>
      <c r="C22504" s="6">
        <f>IFERROR(__xludf.DUMMYFUNCTION("""COMPUTED_VALUE"""),0.7450347222220444)</f>
        <v>0.7450347222</v>
      </c>
      <c r="D22504" s="4">
        <f>IFERROR(__xludf.DUMMYFUNCTION("""COMPUTED_VALUE"""),13.066608)</f>
        <v>13.066608</v>
      </c>
      <c r="E22504" s="4">
        <f>IFERROR(__xludf.DUMMYFUNCTION("""COMPUTED_VALUE"""),80.268358)</f>
        <v>80.268358</v>
      </c>
      <c r="F22504" s="4">
        <f>IFERROR(__xludf.DUMMYFUNCTION("""COMPUTED_VALUE"""),805.0)</f>
        <v>805</v>
      </c>
      <c r="G22504" s="4">
        <f>IFERROR(__xludf.DUMMYFUNCTION("""COMPUTED_VALUE"""),8.0)</f>
        <v>8</v>
      </c>
      <c r="H22504" s="4"/>
      <c r="I22504" s="4"/>
    </row>
    <row r="22505">
      <c r="A22505" s="4" t="str">
        <f>IFERROR(__xludf.DUMMYFUNCTION("""COMPUTED_VALUE"""),"cas_hmw")</f>
        <v>cas_hmw</v>
      </c>
      <c r="B22505" s="5">
        <f>IFERROR(__xludf.DUMMYFUNCTION("""COMPUTED_VALUE"""),44789.0)</f>
        <v>44789</v>
      </c>
      <c r="C22505" s="6">
        <f>IFERROR(__xludf.DUMMYFUNCTION("""COMPUTED_VALUE"""),0.7509027777778101)</f>
        <v>0.7509027778</v>
      </c>
      <c r="D22505" s="4">
        <f>IFERROR(__xludf.DUMMYFUNCTION("""COMPUTED_VALUE"""),13.065663)</f>
        <v>13.065663</v>
      </c>
      <c r="E22505" s="4">
        <f>IFERROR(__xludf.DUMMYFUNCTION("""COMPUTED_VALUE"""),80.247749)</f>
        <v>80.247749</v>
      </c>
      <c r="F22505" s="4">
        <f>IFERROR(__xludf.DUMMYFUNCTION("""COMPUTED_VALUE"""),5339.0)</f>
        <v>5339</v>
      </c>
      <c r="G22505" s="4">
        <f>IFERROR(__xludf.DUMMYFUNCTION("""COMPUTED_VALUE"""),32.0)</f>
        <v>32</v>
      </c>
      <c r="H22505" s="4"/>
      <c r="I22505" s="4"/>
    </row>
    <row r="22506">
      <c r="A22506" s="4" t="str">
        <f>IFERROR(__xludf.DUMMYFUNCTION("""COMPUTED_VALUE"""),"cas_hmw")</f>
        <v>cas_hmw</v>
      </c>
      <c r="B22506" s="5">
        <f>IFERROR(__xludf.DUMMYFUNCTION("""COMPUTED_VALUE"""),44790.0)</f>
        <v>44790</v>
      </c>
      <c r="C22506" s="6">
        <f>IFERROR(__xludf.DUMMYFUNCTION("""COMPUTED_VALUE"""),0.28545138888875954)</f>
        <v>0.2854513889</v>
      </c>
      <c r="D22506" s="4">
        <f>IFERROR(__xludf.DUMMYFUNCTION("""COMPUTED_VALUE"""),12.441142)</f>
        <v>12.441142</v>
      </c>
      <c r="E22506" s="4">
        <f>IFERROR(__xludf.DUMMYFUNCTION("""COMPUTED_VALUE"""),79.836296)</f>
        <v>79.836296</v>
      </c>
      <c r="F22506" s="4">
        <f>IFERROR(__xludf.DUMMYFUNCTION("""COMPUTED_VALUE"""),2846.0)</f>
        <v>2846</v>
      </c>
      <c r="G22506" s="4">
        <f>IFERROR(__xludf.DUMMYFUNCTION("""COMPUTED_VALUE"""),47.0)</f>
        <v>47</v>
      </c>
      <c r="H22506" s="4"/>
      <c r="I22506" s="4"/>
    </row>
    <row r="22507">
      <c r="A22507" s="4" t="str">
        <f>IFERROR(__xludf.DUMMYFUNCTION("""COMPUTED_VALUE"""),"cas_hmw")</f>
        <v>cas_hmw</v>
      </c>
      <c r="B22507" s="5">
        <f>IFERROR(__xludf.DUMMYFUNCTION("""COMPUTED_VALUE"""),44790.0)</f>
        <v>44790</v>
      </c>
      <c r="C22507" s="6">
        <f>IFERROR(__xludf.DUMMYFUNCTION("""COMPUTED_VALUE"""),0.2939004629624833)</f>
        <v>0.293900463</v>
      </c>
      <c r="D22507" s="4">
        <f>IFERROR(__xludf.DUMMYFUNCTION("""COMPUTED_VALUE"""),12.516216)</f>
        <v>12.516216</v>
      </c>
      <c r="E22507" s="4">
        <f>IFERROR(__xludf.DUMMYFUNCTION("""COMPUTED_VALUE"""),79.888438)</f>
        <v>79.888438</v>
      </c>
      <c r="F22507" s="4">
        <f>IFERROR(__xludf.DUMMYFUNCTION("""COMPUTED_VALUE"""),2846.0)</f>
        <v>2846</v>
      </c>
      <c r="G22507" s="4">
        <f>IFERROR(__xludf.DUMMYFUNCTION("""COMPUTED_VALUE"""),40.0)</f>
        <v>40</v>
      </c>
      <c r="H22507" s="4"/>
      <c r="I22507" s="4"/>
    </row>
    <row r="22508">
      <c r="A22508" s="4" t="str">
        <f>IFERROR(__xludf.DUMMYFUNCTION("""COMPUTED_VALUE"""),"cas_hmw")</f>
        <v>cas_hmw</v>
      </c>
      <c r="B22508" s="5">
        <f>IFERROR(__xludf.DUMMYFUNCTION("""COMPUTED_VALUE"""),44790.0)</f>
        <v>44790</v>
      </c>
      <c r="C22508" s="6">
        <f>IFERROR(__xludf.DUMMYFUNCTION("""COMPUTED_VALUE"""),0.2981134259243845)</f>
        <v>0.2981134259</v>
      </c>
      <c r="D22508" s="4">
        <f>IFERROR(__xludf.DUMMYFUNCTION("""COMPUTED_VALUE"""),13.06351)</f>
        <v>13.06351</v>
      </c>
      <c r="E22508" s="4">
        <f>IFERROR(__xludf.DUMMYFUNCTION("""COMPUTED_VALUE"""),80.247746)</f>
        <v>80.247746</v>
      </c>
      <c r="F22508" s="4">
        <f>IFERROR(__xludf.DUMMYFUNCTION("""COMPUTED_VALUE"""),805.0)</f>
        <v>805</v>
      </c>
      <c r="G22508" s="4">
        <f>IFERROR(__xludf.DUMMYFUNCTION("""COMPUTED_VALUE"""),43.0)</f>
        <v>43</v>
      </c>
      <c r="H22508" s="4"/>
      <c r="I22508" s="4"/>
    </row>
    <row r="22509">
      <c r="A22509" s="4" t="str">
        <f>IFERROR(__xludf.DUMMYFUNCTION("""COMPUTED_VALUE"""),"cas_hmw")</f>
        <v>cas_hmw</v>
      </c>
      <c r="B22509" s="5">
        <f>IFERROR(__xludf.DUMMYFUNCTION("""COMPUTED_VALUE"""),44790.0)</f>
        <v>44790</v>
      </c>
      <c r="C22509" s="6">
        <f>IFERROR(__xludf.DUMMYFUNCTION("""COMPUTED_VALUE"""),0.29972222222204437)</f>
        <v>0.2997222222</v>
      </c>
      <c r="D22509" s="4">
        <f>IFERROR(__xludf.DUMMYFUNCTION("""COMPUTED_VALUE"""),13.067321)</f>
        <v>13.067321</v>
      </c>
      <c r="E22509" s="4">
        <f>IFERROR(__xludf.DUMMYFUNCTION("""COMPUTED_VALUE"""),80.246284)</f>
        <v>80.246284</v>
      </c>
      <c r="F22509" s="4">
        <f>IFERROR(__xludf.DUMMYFUNCTION("""COMPUTED_VALUE"""),805.0)</f>
        <v>805</v>
      </c>
      <c r="G22509" s="4">
        <f>IFERROR(__xludf.DUMMYFUNCTION("""COMPUTED_VALUE"""),52.0)</f>
        <v>52</v>
      </c>
      <c r="H22509" s="4"/>
      <c r="I22509" s="4"/>
    </row>
    <row r="22510">
      <c r="A22510" s="4" t="str">
        <f>IFERROR(__xludf.DUMMYFUNCTION("""COMPUTED_VALUE"""),"cas_hmw")</f>
        <v>cas_hmw</v>
      </c>
      <c r="B22510" s="5">
        <f>IFERROR(__xludf.DUMMYFUNCTION("""COMPUTED_VALUE"""),44790.0)</f>
        <v>44790</v>
      </c>
      <c r="C22510" s="6">
        <f>IFERROR(__xludf.DUMMYFUNCTION("""COMPUTED_VALUE"""),0.30107638888875954)</f>
        <v>0.3010763889</v>
      </c>
      <c r="D22510" s="4">
        <f>IFERROR(__xludf.DUMMYFUNCTION("""COMPUTED_VALUE"""),13.067634)</f>
        <v>13.067634</v>
      </c>
      <c r="E22510" s="4">
        <f>IFERROR(__xludf.DUMMYFUNCTION("""COMPUTED_VALUE"""),80.254966)</f>
        <v>80.254966</v>
      </c>
      <c r="F22510" s="4">
        <f>IFERROR(__xludf.DUMMYFUNCTION("""COMPUTED_VALUE"""),805.0)</f>
        <v>805</v>
      </c>
      <c r="G22510" s="4">
        <f>IFERROR(__xludf.DUMMYFUNCTION("""COMPUTED_VALUE"""),42.0)</f>
        <v>42</v>
      </c>
      <c r="H22510" s="4"/>
      <c r="I22510" s="4"/>
    </row>
    <row r="22511">
      <c r="A22511" s="4" t="str">
        <f>IFERROR(__xludf.DUMMYFUNCTION("""COMPUTED_VALUE"""),"cas_hmw")</f>
        <v>cas_hmw</v>
      </c>
      <c r="B22511" s="5">
        <f>IFERROR(__xludf.DUMMYFUNCTION("""COMPUTED_VALUE"""),44790.0)</f>
        <v>44790</v>
      </c>
      <c r="C22511" s="6">
        <f>IFERROR(__xludf.DUMMYFUNCTION("""COMPUTED_VALUE"""),0.30109953703868086)</f>
        <v>0.301099537</v>
      </c>
      <c r="D22511" s="4">
        <f>IFERROR(__xludf.DUMMYFUNCTION("""COMPUTED_VALUE"""),13.068484)</f>
        <v>13.068484</v>
      </c>
      <c r="E22511" s="4">
        <f>IFERROR(__xludf.DUMMYFUNCTION("""COMPUTED_VALUE"""),80.255734)</f>
        <v>80.255734</v>
      </c>
      <c r="F22511" s="4">
        <f>IFERROR(__xludf.DUMMYFUNCTION("""COMPUTED_VALUE"""),805.0)</f>
        <v>805</v>
      </c>
      <c r="G22511" s="4">
        <f>IFERROR(__xludf.DUMMYFUNCTION("""COMPUTED_VALUE"""),32.0)</f>
        <v>32</v>
      </c>
      <c r="H22511" s="4"/>
      <c r="I22511" s="4"/>
    </row>
    <row r="22512">
      <c r="A22512" s="4" t="str">
        <f>IFERROR(__xludf.DUMMYFUNCTION("""COMPUTED_VALUE"""),"cas_hmw")</f>
        <v>cas_hmw</v>
      </c>
      <c r="B22512" s="5">
        <f>IFERROR(__xludf.DUMMYFUNCTION("""COMPUTED_VALUE"""),44790.0)</f>
        <v>44790</v>
      </c>
      <c r="C22512" s="6">
        <f>IFERROR(__xludf.DUMMYFUNCTION("""COMPUTED_VALUE"""),0.30109953703868086)</f>
        <v>0.301099537</v>
      </c>
      <c r="D22512" s="4">
        <f>IFERROR(__xludf.DUMMYFUNCTION("""COMPUTED_VALUE"""),13.068484)</f>
        <v>13.068484</v>
      </c>
      <c r="E22512" s="4">
        <f>IFERROR(__xludf.DUMMYFUNCTION("""COMPUTED_VALUE"""),80.255734)</f>
        <v>80.255734</v>
      </c>
      <c r="F22512" s="4">
        <f>IFERROR(__xludf.DUMMYFUNCTION("""COMPUTED_VALUE"""),805.0)</f>
        <v>805</v>
      </c>
      <c r="G22512" s="4">
        <f>IFERROR(__xludf.DUMMYFUNCTION("""COMPUTED_VALUE"""),32.0)</f>
        <v>32</v>
      </c>
      <c r="H22512" s="4"/>
      <c r="I22512" s="4"/>
    </row>
    <row r="22513">
      <c r="A22513" s="4" t="str">
        <f>IFERROR(__xludf.DUMMYFUNCTION("""COMPUTED_VALUE"""),"cas_hmw")</f>
        <v>cas_hmw</v>
      </c>
      <c r="B22513" s="5">
        <f>IFERROR(__xludf.DUMMYFUNCTION("""COMPUTED_VALUE"""),44790.0)</f>
        <v>44790</v>
      </c>
      <c r="C22513" s="6">
        <f>IFERROR(__xludf.DUMMYFUNCTION("""COMPUTED_VALUE"""),0.30109953703868086)</f>
        <v>0.301099537</v>
      </c>
      <c r="D22513" s="4">
        <f>IFERROR(__xludf.DUMMYFUNCTION("""COMPUTED_VALUE"""),13.068484)</f>
        <v>13.068484</v>
      </c>
      <c r="E22513" s="4">
        <f>IFERROR(__xludf.DUMMYFUNCTION("""COMPUTED_VALUE"""),80.255734)</f>
        <v>80.255734</v>
      </c>
      <c r="F22513" s="4">
        <f>IFERROR(__xludf.DUMMYFUNCTION("""COMPUTED_VALUE"""),805.0)</f>
        <v>805</v>
      </c>
      <c r="G22513" s="4">
        <f>IFERROR(__xludf.DUMMYFUNCTION("""COMPUTED_VALUE"""),32.0)</f>
        <v>32</v>
      </c>
      <c r="H22513" s="4"/>
      <c r="I22513" s="4"/>
    </row>
    <row r="22514">
      <c r="A22514" s="4" t="str">
        <f>IFERROR(__xludf.DUMMYFUNCTION("""COMPUTED_VALUE"""),"cas_hmw")</f>
        <v>cas_hmw</v>
      </c>
      <c r="B22514" s="5">
        <f>IFERROR(__xludf.DUMMYFUNCTION("""COMPUTED_VALUE"""),44790.0)</f>
        <v>44790</v>
      </c>
      <c r="C22514" s="6">
        <f>IFERROR(__xludf.DUMMYFUNCTION("""COMPUTED_VALUE"""),0.3011342592581059)</f>
        <v>0.3011342593</v>
      </c>
      <c r="D22514" s="4">
        <f>IFERROR(__xludf.DUMMYFUNCTION("""COMPUTED_VALUE"""),13.068484)</f>
        <v>13.068484</v>
      </c>
      <c r="E22514" s="4">
        <f>IFERROR(__xludf.DUMMYFUNCTION("""COMPUTED_VALUE"""),80.255734)</f>
        <v>80.255734</v>
      </c>
      <c r="F22514" s="4">
        <f>IFERROR(__xludf.DUMMYFUNCTION("""COMPUTED_VALUE"""),805.0)</f>
        <v>805</v>
      </c>
      <c r="G22514" s="4">
        <f>IFERROR(__xludf.DUMMYFUNCTION("""COMPUTED_VALUE"""),32.0)</f>
        <v>32</v>
      </c>
      <c r="H22514" s="4"/>
      <c r="I22514" s="4"/>
    </row>
    <row r="22515">
      <c r="A22515" s="4" t="str">
        <f>IFERROR(__xludf.DUMMYFUNCTION("""COMPUTED_VALUE"""),"cas_hmw")</f>
        <v>cas_hmw</v>
      </c>
      <c r="B22515" s="5">
        <f>IFERROR(__xludf.DUMMYFUNCTION("""COMPUTED_VALUE"""),44790.0)</f>
        <v>44790</v>
      </c>
      <c r="C22515" s="6">
        <f>IFERROR(__xludf.DUMMYFUNCTION("""COMPUTED_VALUE"""),0.3129745370388264)</f>
        <v>0.312974537</v>
      </c>
      <c r="D22515" s="4">
        <f>IFERROR(__xludf.DUMMYFUNCTION("""COMPUTED_VALUE"""),12.657732)</f>
        <v>12.657732</v>
      </c>
      <c r="E22515" s="4">
        <f>IFERROR(__xludf.DUMMYFUNCTION("""COMPUTED_VALUE"""),79.941402)</f>
        <v>79.941402</v>
      </c>
      <c r="F22515" s="4">
        <f>IFERROR(__xludf.DUMMYFUNCTION("""COMPUTED_VALUE"""),2846.0)</f>
        <v>2846</v>
      </c>
      <c r="G22515" s="4">
        <f>IFERROR(__xludf.DUMMYFUNCTION("""COMPUTED_VALUE"""),47.0)</f>
        <v>47</v>
      </c>
      <c r="H22515" s="4"/>
      <c r="I22515" s="4"/>
    </row>
    <row r="22516">
      <c r="A22516" s="4" t="str">
        <f>IFERROR(__xludf.DUMMYFUNCTION("""COMPUTED_VALUE"""),"cas_hmw")</f>
        <v>cas_hmw</v>
      </c>
      <c r="B22516" s="5">
        <f>IFERROR(__xludf.DUMMYFUNCTION("""COMPUTED_VALUE"""),44790.0)</f>
        <v>44790</v>
      </c>
      <c r="C22516" s="6">
        <f>IFERROR(__xludf.DUMMYFUNCTION("""COMPUTED_VALUE"""),0.31303240740817273)</f>
        <v>0.3130324074</v>
      </c>
      <c r="D22516" s="4">
        <f>IFERROR(__xludf.DUMMYFUNCTION("""COMPUTED_VALUE"""),13.053304)</f>
        <v>13.053304</v>
      </c>
      <c r="E22516" s="4">
        <f>IFERROR(__xludf.DUMMYFUNCTION("""COMPUTED_VALUE"""),80.252368)</f>
        <v>80.252368</v>
      </c>
      <c r="F22516" s="4">
        <f>IFERROR(__xludf.DUMMYFUNCTION("""COMPUTED_VALUE"""),5339.0)</f>
        <v>5339</v>
      </c>
      <c r="G22516" s="4">
        <f>IFERROR(__xludf.DUMMYFUNCTION("""COMPUTED_VALUE"""),40.0)</f>
        <v>40</v>
      </c>
      <c r="H22516" s="4"/>
      <c r="I22516" s="4"/>
    </row>
    <row r="22517">
      <c r="A22517" s="4" t="str">
        <f>IFERROR(__xludf.DUMMYFUNCTION("""COMPUTED_VALUE"""),"cas_hmw")</f>
        <v>cas_hmw</v>
      </c>
      <c r="B22517" s="5">
        <f>IFERROR(__xludf.DUMMYFUNCTION("""COMPUTED_VALUE"""),44790.0)</f>
        <v>44790</v>
      </c>
      <c r="C22517" s="6">
        <f>IFERROR(__xludf.DUMMYFUNCTION("""COMPUTED_VALUE"""),0.31342592592773144)</f>
        <v>0.3134259259</v>
      </c>
      <c r="D22517" s="4">
        <f>IFERROR(__xludf.DUMMYFUNCTION("""COMPUTED_VALUE"""),12.657651)</f>
        <v>12.657651</v>
      </c>
      <c r="E22517" s="4">
        <f>IFERROR(__xludf.DUMMYFUNCTION("""COMPUTED_VALUE"""),79.946708)</f>
        <v>79.946708</v>
      </c>
      <c r="F22517" s="4">
        <f>IFERROR(__xludf.DUMMYFUNCTION("""COMPUTED_VALUE"""),2846.0)</f>
        <v>2846</v>
      </c>
      <c r="G22517" s="4">
        <f>IFERROR(__xludf.DUMMYFUNCTION("""COMPUTED_VALUE"""),50.0)</f>
        <v>50</v>
      </c>
      <c r="H22517" s="4"/>
      <c r="I22517" s="4"/>
    </row>
    <row r="22518">
      <c r="A22518" s="4" t="str">
        <f>IFERROR(__xludf.DUMMYFUNCTION("""COMPUTED_VALUE"""),"cas_hmw")</f>
        <v>cas_hmw</v>
      </c>
      <c r="B22518" s="5">
        <f>IFERROR(__xludf.DUMMYFUNCTION("""COMPUTED_VALUE"""),44790.0)</f>
        <v>44790</v>
      </c>
      <c r="C22518" s="6">
        <f>IFERROR(__xludf.DUMMYFUNCTION("""COMPUTED_VALUE"""),0.3136689814818965)</f>
        <v>0.3136689815</v>
      </c>
      <c r="D22518" s="4">
        <f>IFERROR(__xludf.DUMMYFUNCTION("""COMPUTED_VALUE"""),12.656882)</f>
        <v>12.656882</v>
      </c>
      <c r="E22518" s="4">
        <f>IFERROR(__xludf.DUMMYFUNCTION("""COMPUTED_VALUE"""),79.949364)</f>
        <v>79.949364</v>
      </c>
      <c r="F22518" s="4">
        <f>IFERROR(__xludf.DUMMYFUNCTION("""COMPUTED_VALUE"""),2846.0)</f>
        <v>2846</v>
      </c>
      <c r="G22518" s="4">
        <f>IFERROR(__xludf.DUMMYFUNCTION("""COMPUTED_VALUE"""),51.0)</f>
        <v>51</v>
      </c>
      <c r="H22518" s="4"/>
      <c r="I22518" s="4"/>
    </row>
    <row r="22519">
      <c r="A22519" s="4" t="str">
        <f>IFERROR(__xludf.DUMMYFUNCTION("""COMPUTED_VALUE"""),"cas_hmw")</f>
        <v>cas_hmw</v>
      </c>
      <c r="B22519" s="5">
        <f>IFERROR(__xludf.DUMMYFUNCTION("""COMPUTED_VALUE"""),44790.0)</f>
        <v>44790</v>
      </c>
      <c r="C22519" s="6">
        <f>IFERROR(__xludf.DUMMYFUNCTION("""COMPUTED_VALUE"""),0.31371527777810115)</f>
        <v>0.3137152778</v>
      </c>
      <c r="D22519" s="4">
        <f>IFERROR(__xludf.DUMMYFUNCTION("""COMPUTED_VALUE"""),12.656882)</f>
        <v>12.656882</v>
      </c>
      <c r="E22519" s="4">
        <f>IFERROR(__xludf.DUMMYFUNCTION("""COMPUTED_VALUE"""),79.949364)</f>
        <v>79.949364</v>
      </c>
      <c r="F22519" s="4">
        <f>IFERROR(__xludf.DUMMYFUNCTION("""COMPUTED_VALUE"""),2846.0)</f>
        <v>2846</v>
      </c>
      <c r="G22519" s="4">
        <f>IFERROR(__xludf.DUMMYFUNCTION("""COMPUTED_VALUE"""),51.0)</f>
        <v>51</v>
      </c>
      <c r="H22519" s="4"/>
      <c r="I22519" s="4"/>
    </row>
    <row r="22520">
      <c r="A22520" s="4" t="str">
        <f>IFERROR(__xludf.DUMMYFUNCTION("""COMPUTED_VALUE"""),"cas_hmw")</f>
        <v>cas_hmw</v>
      </c>
      <c r="B22520" s="5">
        <f>IFERROR(__xludf.DUMMYFUNCTION("""COMPUTED_VALUE"""),44790.0)</f>
        <v>44790</v>
      </c>
      <c r="C22520" s="6">
        <f>IFERROR(__xludf.DUMMYFUNCTION("""COMPUTED_VALUE"""),0.3162847222229175)</f>
        <v>0.3162847222</v>
      </c>
      <c r="D22520" s="4">
        <f>IFERROR(__xludf.DUMMYFUNCTION("""COMPUTED_VALUE"""),12.663697)</f>
        <v>12.663697</v>
      </c>
      <c r="E22520" s="4">
        <f>IFERROR(__xludf.DUMMYFUNCTION("""COMPUTED_VALUE"""),79.968255)</f>
        <v>79.968255</v>
      </c>
      <c r="F22520" s="4">
        <f>IFERROR(__xludf.DUMMYFUNCTION("""COMPUTED_VALUE"""),2846.0)</f>
        <v>2846</v>
      </c>
      <c r="G22520" s="4">
        <f>IFERROR(__xludf.DUMMYFUNCTION("""COMPUTED_VALUE"""),52.0)</f>
        <v>52</v>
      </c>
      <c r="H22520" s="4"/>
      <c r="I22520" s="4"/>
    </row>
    <row r="22521">
      <c r="A22521" s="4" t="str">
        <f>IFERROR(__xludf.DUMMYFUNCTION("""COMPUTED_VALUE"""),"cas_hmw")</f>
        <v>cas_hmw</v>
      </c>
      <c r="B22521" s="5">
        <f>IFERROR(__xludf.DUMMYFUNCTION("""COMPUTED_VALUE"""),44790.0)</f>
        <v>44790</v>
      </c>
      <c r="C22521" s="6">
        <f>IFERROR(__xludf.DUMMYFUNCTION("""COMPUTED_VALUE"""),0.3171759259275859)</f>
        <v>0.3171759259</v>
      </c>
      <c r="D22521" s="4">
        <f>IFERROR(__xludf.DUMMYFUNCTION("""COMPUTED_VALUE"""),12.670988)</f>
        <v>12.670988</v>
      </c>
      <c r="E22521" s="4">
        <f>IFERROR(__xludf.DUMMYFUNCTION("""COMPUTED_VALUE"""),79.975922)</f>
        <v>79.975922</v>
      </c>
      <c r="F22521" s="4">
        <f>IFERROR(__xludf.DUMMYFUNCTION("""COMPUTED_VALUE"""),2846.0)</f>
        <v>2846</v>
      </c>
      <c r="G22521" s="4">
        <f>IFERROR(__xludf.DUMMYFUNCTION("""COMPUTED_VALUE"""),33.0)</f>
        <v>33</v>
      </c>
      <c r="H22521" s="4"/>
      <c r="I22521" s="4"/>
    </row>
    <row r="22522">
      <c r="A22522" s="4" t="str">
        <f>IFERROR(__xludf.DUMMYFUNCTION("""COMPUTED_VALUE"""),"cas_hmw")</f>
        <v>cas_hmw</v>
      </c>
      <c r="B22522" s="5">
        <f>IFERROR(__xludf.DUMMYFUNCTION("""COMPUTED_VALUE"""),44790.0)</f>
        <v>44790</v>
      </c>
      <c r="C22522" s="6">
        <f>IFERROR(__xludf.DUMMYFUNCTION("""COMPUTED_VALUE"""),0.31743055555489263)</f>
        <v>0.3174305556</v>
      </c>
      <c r="D22522" s="4">
        <f>IFERROR(__xludf.DUMMYFUNCTION("""COMPUTED_VALUE"""),13.03398)</f>
        <v>13.03398</v>
      </c>
      <c r="E22522" s="4">
        <f>IFERROR(__xludf.DUMMYFUNCTION("""COMPUTED_VALUE"""),80.244608)</f>
        <v>80.244608</v>
      </c>
      <c r="F22522" s="4">
        <f>IFERROR(__xludf.DUMMYFUNCTION("""COMPUTED_VALUE"""),5339.0)</f>
        <v>5339</v>
      </c>
      <c r="G22522" s="4">
        <f>IFERROR(__xludf.DUMMYFUNCTION("""COMPUTED_VALUE"""),36.0)</f>
        <v>36</v>
      </c>
      <c r="H22522" s="4"/>
      <c r="I22522" s="4"/>
    </row>
    <row r="22523">
      <c r="A22523" s="4" t="str">
        <f>IFERROR(__xludf.DUMMYFUNCTION("""COMPUTED_VALUE"""),"cas_hmw")</f>
        <v>cas_hmw</v>
      </c>
      <c r="B22523" s="5">
        <f>IFERROR(__xludf.DUMMYFUNCTION("""COMPUTED_VALUE"""),44790.0)</f>
        <v>44790</v>
      </c>
      <c r="C22523" s="6">
        <f>IFERROR(__xludf.DUMMYFUNCTION("""COMPUTED_VALUE"""),0.3174421296280343)</f>
        <v>0.3174421296</v>
      </c>
      <c r="D22523" s="4">
        <f>IFERROR(__xludf.DUMMYFUNCTION("""COMPUTED_VALUE"""),13.03398)</f>
        <v>13.03398</v>
      </c>
      <c r="E22523" s="4">
        <f>IFERROR(__xludf.DUMMYFUNCTION("""COMPUTED_VALUE"""),80.244608)</f>
        <v>80.244608</v>
      </c>
      <c r="F22523" s="4">
        <f>IFERROR(__xludf.DUMMYFUNCTION("""COMPUTED_VALUE"""),5339.0)</f>
        <v>5339</v>
      </c>
      <c r="G22523" s="4">
        <f>IFERROR(__xludf.DUMMYFUNCTION("""COMPUTED_VALUE"""),36.0)</f>
        <v>36</v>
      </c>
      <c r="H22523" s="4"/>
      <c r="I22523" s="4"/>
    </row>
    <row r="22524">
      <c r="A22524" s="4" t="str">
        <f>IFERROR(__xludf.DUMMYFUNCTION("""COMPUTED_VALUE"""),"cas_hmw")</f>
        <v>cas_hmw</v>
      </c>
      <c r="B22524" s="5">
        <f>IFERROR(__xludf.DUMMYFUNCTION("""COMPUTED_VALUE"""),44790.0)</f>
        <v>44790</v>
      </c>
      <c r="C22524" s="6">
        <f>IFERROR(__xludf.DUMMYFUNCTION("""COMPUTED_VALUE"""),0.31814814814788406)</f>
        <v>0.3181481481</v>
      </c>
      <c r="D22524" s="4">
        <f>IFERROR(__xludf.DUMMYFUNCTION("""COMPUTED_VALUE"""),13.031204)</f>
        <v>13.031204</v>
      </c>
      <c r="E22524" s="4">
        <f>IFERROR(__xludf.DUMMYFUNCTION("""COMPUTED_VALUE"""),80.240174)</f>
        <v>80.240174</v>
      </c>
      <c r="F22524" s="4">
        <f>IFERROR(__xludf.DUMMYFUNCTION("""COMPUTED_VALUE"""),5339.0)</f>
        <v>5339</v>
      </c>
      <c r="G22524" s="4">
        <f>IFERROR(__xludf.DUMMYFUNCTION("""COMPUTED_VALUE"""),28.0)</f>
        <v>28</v>
      </c>
      <c r="H22524" s="4"/>
      <c r="I22524" s="4"/>
    </row>
    <row r="22525">
      <c r="A22525" s="4" t="str">
        <f>IFERROR(__xludf.DUMMYFUNCTION("""COMPUTED_VALUE"""),"cas_hmw")</f>
        <v>cas_hmw</v>
      </c>
      <c r="B22525" s="5">
        <f>IFERROR(__xludf.DUMMYFUNCTION("""COMPUTED_VALUE"""),44790.0)</f>
        <v>44790</v>
      </c>
      <c r="C22525" s="6">
        <f>IFERROR(__xludf.DUMMYFUNCTION("""COMPUTED_VALUE"""),0.3181712962978054)</f>
        <v>0.3181712963</v>
      </c>
      <c r="D22525" s="4">
        <f>IFERROR(__xludf.DUMMYFUNCTION("""COMPUTED_VALUE"""),13.031204)</f>
        <v>13.031204</v>
      </c>
      <c r="E22525" s="4">
        <f>IFERROR(__xludf.DUMMYFUNCTION("""COMPUTED_VALUE"""),80.240174)</f>
        <v>80.240174</v>
      </c>
      <c r="F22525" s="4">
        <f>IFERROR(__xludf.DUMMYFUNCTION("""COMPUTED_VALUE"""),5339.0)</f>
        <v>5339</v>
      </c>
      <c r="G22525" s="4">
        <f>IFERROR(__xludf.DUMMYFUNCTION("""COMPUTED_VALUE"""),28.0)</f>
        <v>28</v>
      </c>
      <c r="H22525" s="4"/>
      <c r="I22525" s="4"/>
    </row>
    <row r="22526">
      <c r="A22526" s="4" t="str">
        <f>IFERROR(__xludf.DUMMYFUNCTION("""COMPUTED_VALUE"""),"cas_hmw")</f>
        <v>cas_hmw</v>
      </c>
      <c r="B22526" s="5">
        <f>IFERROR(__xludf.DUMMYFUNCTION("""COMPUTED_VALUE"""),44790.0)</f>
        <v>44790</v>
      </c>
      <c r="C22526" s="6">
        <f>IFERROR(__xludf.DUMMYFUNCTION("""COMPUTED_VALUE"""),0.3190046296294895)</f>
        <v>0.3190046296</v>
      </c>
      <c r="D22526" s="4">
        <f>IFERROR(__xludf.DUMMYFUNCTION("""COMPUTED_VALUE"""),13.027123)</f>
        <v>13.027123</v>
      </c>
      <c r="E22526" s="4">
        <f>IFERROR(__xludf.DUMMYFUNCTION("""COMPUTED_VALUE"""),80.233977)</f>
        <v>80.233977</v>
      </c>
      <c r="F22526" s="4">
        <f>IFERROR(__xludf.DUMMYFUNCTION("""COMPUTED_VALUE"""),5339.0)</f>
        <v>5339</v>
      </c>
      <c r="G22526" s="4">
        <f>IFERROR(__xludf.DUMMYFUNCTION("""COMPUTED_VALUE"""),43.0)</f>
        <v>43</v>
      </c>
      <c r="H22526" s="4"/>
      <c r="I22526" s="4"/>
    </row>
    <row r="22527">
      <c r="A22527" s="4" t="str">
        <f>IFERROR(__xludf.DUMMYFUNCTION("""COMPUTED_VALUE"""),"cas_hmw")</f>
        <v>cas_hmw</v>
      </c>
      <c r="B22527" s="5">
        <f>IFERROR(__xludf.DUMMYFUNCTION("""COMPUTED_VALUE"""),44790.0)</f>
        <v>44790</v>
      </c>
      <c r="C22527" s="6">
        <f>IFERROR(__xludf.DUMMYFUNCTION("""COMPUTED_VALUE"""),0.31931712962978054)</f>
        <v>0.3193171296</v>
      </c>
      <c r="D22527" s="4">
        <f>IFERROR(__xludf.DUMMYFUNCTION("""COMPUTED_VALUE"""),13.026082)</f>
        <v>13.026082</v>
      </c>
      <c r="E22527" s="4">
        <f>IFERROR(__xludf.DUMMYFUNCTION("""COMPUTED_VALUE"""),80.231687)</f>
        <v>80.231687</v>
      </c>
      <c r="F22527" s="4">
        <f>IFERROR(__xludf.DUMMYFUNCTION("""COMPUTED_VALUE"""),5339.0)</f>
        <v>5339</v>
      </c>
      <c r="G22527" s="4">
        <f>IFERROR(__xludf.DUMMYFUNCTION("""COMPUTED_VALUE"""),23.0)</f>
        <v>23</v>
      </c>
      <c r="H22527" s="4"/>
      <c r="I22527" s="4"/>
    </row>
    <row r="22528">
      <c r="A22528" s="4" t="str">
        <f>IFERROR(__xludf.DUMMYFUNCTION("""COMPUTED_VALUE"""),"cas_hmw")</f>
        <v>cas_hmw</v>
      </c>
      <c r="B22528" s="5">
        <f>IFERROR(__xludf.DUMMYFUNCTION("""COMPUTED_VALUE"""),44790.0)</f>
        <v>44790</v>
      </c>
      <c r="C22528" s="6">
        <f>IFERROR(__xludf.DUMMYFUNCTION("""COMPUTED_VALUE"""),0.31950231481459923)</f>
        <v>0.3195023148</v>
      </c>
      <c r="D22528" s="4">
        <f>IFERROR(__xludf.DUMMYFUNCTION("""COMPUTED_VALUE"""),13.025911)</f>
        <v>13.025911</v>
      </c>
      <c r="E22528" s="4">
        <f>IFERROR(__xludf.DUMMYFUNCTION("""COMPUTED_VALUE"""),80.230976)</f>
        <v>80.230976</v>
      </c>
      <c r="F22528" s="4">
        <f>IFERROR(__xludf.DUMMYFUNCTION("""COMPUTED_VALUE"""),5339.0)</f>
        <v>5339</v>
      </c>
      <c r="G22528" s="4">
        <f>IFERROR(__xludf.DUMMYFUNCTION("""COMPUTED_VALUE"""),33.0)</f>
        <v>33</v>
      </c>
      <c r="H22528" s="4"/>
      <c r="I22528" s="4"/>
    </row>
    <row r="22529">
      <c r="A22529" s="4" t="str">
        <f>IFERROR(__xludf.DUMMYFUNCTION("""COMPUTED_VALUE"""),"cas_hmw")</f>
        <v>cas_hmw</v>
      </c>
      <c r="B22529" s="5">
        <f>IFERROR(__xludf.DUMMYFUNCTION("""COMPUTED_VALUE"""),44790.0)</f>
        <v>44790</v>
      </c>
      <c r="C22529" s="6">
        <f>IFERROR(__xludf.DUMMYFUNCTION("""COMPUTED_VALUE"""),0.32010416666526)</f>
        <v>0.3201041667</v>
      </c>
      <c r="D22529" s="4">
        <f>IFERROR(__xludf.DUMMYFUNCTION("""COMPUTED_VALUE"""),13.021408)</f>
        <v>13.021408</v>
      </c>
      <c r="E22529" s="4">
        <f>IFERROR(__xludf.DUMMYFUNCTION("""COMPUTED_VALUE"""),80.225836)</f>
        <v>80.225836</v>
      </c>
      <c r="F22529" s="4">
        <f>IFERROR(__xludf.DUMMYFUNCTION("""COMPUTED_VALUE"""),5339.0)</f>
        <v>5339</v>
      </c>
      <c r="G22529" s="4">
        <f>IFERROR(__xludf.DUMMYFUNCTION("""COMPUTED_VALUE"""),44.0)</f>
        <v>44</v>
      </c>
      <c r="H22529" s="4"/>
      <c r="I22529" s="4"/>
    </row>
    <row r="22530">
      <c r="A22530" s="4" t="str">
        <f>IFERROR(__xludf.DUMMYFUNCTION("""COMPUTED_VALUE"""),"cas_hmw")</f>
        <v>cas_hmw</v>
      </c>
      <c r="B22530" s="5">
        <f>IFERROR(__xludf.DUMMYFUNCTION("""COMPUTED_VALUE"""),44790.0)</f>
        <v>44790</v>
      </c>
      <c r="C22530" s="6">
        <f>IFERROR(__xludf.DUMMYFUNCTION("""COMPUTED_VALUE"""),0.320416666665551)</f>
        <v>0.3204166667</v>
      </c>
      <c r="D22530" s="4">
        <f>IFERROR(__xludf.DUMMYFUNCTION("""COMPUTED_VALUE"""),13.020177)</f>
        <v>13.020177</v>
      </c>
      <c r="E22530" s="4">
        <f>IFERROR(__xludf.DUMMYFUNCTION("""COMPUTED_VALUE"""),80.224921)</f>
        <v>80.224921</v>
      </c>
      <c r="F22530" s="4">
        <f>IFERROR(__xludf.DUMMYFUNCTION("""COMPUTED_VALUE"""),5339.0)</f>
        <v>5339</v>
      </c>
      <c r="G22530" s="4">
        <f>IFERROR(__xludf.DUMMYFUNCTION("""COMPUTED_VALUE"""),20.0)</f>
        <v>20</v>
      </c>
      <c r="H22530" s="4"/>
      <c r="I22530" s="4"/>
    </row>
    <row r="22531">
      <c r="A22531" s="4" t="str">
        <f>IFERROR(__xludf.DUMMYFUNCTION("""COMPUTED_VALUE"""),"cas_hmw")</f>
        <v>cas_hmw</v>
      </c>
      <c r="B22531" s="5">
        <f>IFERROR(__xludf.DUMMYFUNCTION("""COMPUTED_VALUE"""),44790.0)</f>
        <v>44790</v>
      </c>
      <c r="C22531" s="6">
        <f>IFERROR(__xludf.DUMMYFUNCTION("""COMPUTED_VALUE"""),0.32050925925796037)</f>
        <v>0.3205092593</v>
      </c>
      <c r="D22531" s="4">
        <f>IFERROR(__xludf.DUMMYFUNCTION("""COMPUTED_VALUE"""),13.019687)</f>
        <v>13.019687</v>
      </c>
      <c r="E22531" s="4">
        <f>IFERROR(__xludf.DUMMYFUNCTION("""COMPUTED_VALUE"""),80.224604)</f>
        <v>80.224604</v>
      </c>
      <c r="F22531" s="4">
        <f>IFERROR(__xludf.DUMMYFUNCTION("""COMPUTED_VALUE"""),5339.0)</f>
        <v>5339</v>
      </c>
      <c r="G22531" s="4">
        <f>IFERROR(__xludf.DUMMYFUNCTION("""COMPUTED_VALUE"""),28.0)</f>
        <v>28</v>
      </c>
      <c r="H22531" s="4"/>
      <c r="I22531" s="4"/>
    </row>
    <row r="22532">
      <c r="A22532" s="4" t="str">
        <f>IFERROR(__xludf.DUMMYFUNCTION("""COMPUTED_VALUE"""),"cas_hmw")</f>
        <v>cas_hmw</v>
      </c>
      <c r="B22532" s="5">
        <f>IFERROR(__xludf.DUMMYFUNCTION("""COMPUTED_VALUE"""),44790.0)</f>
        <v>44790</v>
      </c>
      <c r="C22532" s="6">
        <f>IFERROR(__xludf.DUMMYFUNCTION("""COMPUTED_VALUE"""),0.32050925925796037)</f>
        <v>0.3205092593</v>
      </c>
      <c r="D22532" s="4">
        <f>IFERROR(__xludf.DUMMYFUNCTION("""COMPUTED_VALUE"""),13.019687)</f>
        <v>13.019687</v>
      </c>
      <c r="E22532" s="4">
        <f>IFERROR(__xludf.DUMMYFUNCTION("""COMPUTED_VALUE"""),80.224604)</f>
        <v>80.224604</v>
      </c>
      <c r="F22532" s="4">
        <f>IFERROR(__xludf.DUMMYFUNCTION("""COMPUTED_VALUE"""),5339.0)</f>
        <v>5339</v>
      </c>
      <c r="G22532" s="4">
        <f>IFERROR(__xludf.DUMMYFUNCTION("""COMPUTED_VALUE"""),28.0)</f>
        <v>28</v>
      </c>
      <c r="H22532" s="4"/>
      <c r="I22532" s="4"/>
    </row>
    <row r="22533">
      <c r="A22533" s="4" t="str">
        <f>IFERROR(__xludf.DUMMYFUNCTION("""COMPUTED_VALUE"""),"cas_hmw")</f>
        <v>cas_hmw</v>
      </c>
      <c r="B22533" s="5">
        <f>IFERROR(__xludf.DUMMYFUNCTION("""COMPUTED_VALUE"""),44790.0)</f>
        <v>44790</v>
      </c>
      <c r="C22533" s="6">
        <f>IFERROR(__xludf.DUMMYFUNCTION("""COMPUTED_VALUE"""),0.3205324074078817)</f>
        <v>0.3205324074</v>
      </c>
      <c r="D22533" s="4">
        <f>IFERROR(__xludf.DUMMYFUNCTION("""COMPUTED_VALUE"""),13.019687)</f>
        <v>13.019687</v>
      </c>
      <c r="E22533" s="4">
        <f>IFERROR(__xludf.DUMMYFUNCTION("""COMPUTED_VALUE"""),80.224604)</f>
        <v>80.224604</v>
      </c>
      <c r="F22533" s="4">
        <f>IFERROR(__xludf.DUMMYFUNCTION("""COMPUTED_VALUE"""),5339.0)</f>
        <v>5339</v>
      </c>
      <c r="G22533" s="4">
        <f>IFERROR(__xludf.DUMMYFUNCTION("""COMPUTED_VALUE"""),28.0)</f>
        <v>28</v>
      </c>
      <c r="H22533" s="4"/>
      <c r="I22533" s="4"/>
    </row>
    <row r="22534">
      <c r="A22534" s="4" t="str">
        <f>IFERROR(__xludf.DUMMYFUNCTION("""COMPUTED_VALUE"""),"cas_hmw")</f>
        <v>cas_hmw</v>
      </c>
      <c r="B22534" s="5">
        <f>IFERROR(__xludf.DUMMYFUNCTION("""COMPUTED_VALUE"""),44790.0)</f>
        <v>44790</v>
      </c>
      <c r="C22534" s="6">
        <f>IFERROR(__xludf.DUMMYFUNCTION("""COMPUTED_VALUE"""),0.3205671296309447)</f>
        <v>0.3205671296</v>
      </c>
      <c r="D22534" s="4">
        <f>IFERROR(__xludf.DUMMYFUNCTION("""COMPUTED_VALUE"""),13.019018)</f>
        <v>13.019018</v>
      </c>
      <c r="E22534" s="4">
        <f>IFERROR(__xludf.DUMMYFUNCTION("""COMPUTED_VALUE"""),80.224495)</f>
        <v>80.224495</v>
      </c>
      <c r="F22534" s="4">
        <f>IFERROR(__xludf.DUMMYFUNCTION("""COMPUTED_VALUE"""),5339.0)</f>
        <v>5339</v>
      </c>
      <c r="G22534" s="4">
        <f>IFERROR(__xludf.DUMMYFUNCTION("""COMPUTED_VALUE"""),30.0)</f>
        <v>30</v>
      </c>
      <c r="H22534" s="4"/>
      <c r="I22534" s="4"/>
    </row>
    <row r="22535">
      <c r="A22535" s="4" t="str">
        <f>IFERROR(__xludf.DUMMYFUNCTION("""COMPUTED_VALUE"""),"cas_hmw")</f>
        <v>cas_hmw</v>
      </c>
      <c r="B22535" s="5">
        <f>IFERROR(__xludf.DUMMYFUNCTION("""COMPUTED_VALUE"""),44790.0)</f>
        <v>44790</v>
      </c>
      <c r="C22535" s="6">
        <f>IFERROR(__xludf.DUMMYFUNCTION("""COMPUTED_VALUE"""),0.32062500000029104)</f>
        <v>0.320625</v>
      </c>
      <c r="D22535" s="4">
        <f>IFERROR(__xludf.DUMMYFUNCTION("""COMPUTED_VALUE"""),13.019018)</f>
        <v>13.019018</v>
      </c>
      <c r="E22535" s="4">
        <f>IFERROR(__xludf.DUMMYFUNCTION("""COMPUTED_VALUE"""),80.224495)</f>
        <v>80.224495</v>
      </c>
      <c r="F22535" s="4">
        <f>IFERROR(__xludf.DUMMYFUNCTION("""COMPUTED_VALUE"""),5339.0)</f>
        <v>5339</v>
      </c>
      <c r="G22535" s="4">
        <f>IFERROR(__xludf.DUMMYFUNCTION("""COMPUTED_VALUE"""),30.0)</f>
        <v>30</v>
      </c>
      <c r="H22535" s="4"/>
      <c r="I22535" s="4"/>
    </row>
    <row r="22536">
      <c r="A22536" s="4" t="str">
        <f>IFERROR(__xludf.DUMMYFUNCTION("""COMPUTED_VALUE"""),"cas_hmw")</f>
        <v>cas_hmw</v>
      </c>
      <c r="B22536" s="5">
        <f>IFERROR(__xludf.DUMMYFUNCTION("""COMPUTED_VALUE"""),44790.0)</f>
        <v>44790</v>
      </c>
      <c r="C22536" s="6">
        <f>IFERROR(__xludf.DUMMYFUNCTION("""COMPUTED_VALUE"""),0.3207523148157634)</f>
        <v>0.3207523148</v>
      </c>
      <c r="D22536" s="4">
        <f>IFERROR(__xludf.DUMMYFUNCTION("""COMPUTED_VALUE"""),12.686023)</f>
        <v>12.686023</v>
      </c>
      <c r="E22536" s="4">
        <f>IFERROR(__xludf.DUMMYFUNCTION("""COMPUTED_VALUE"""),79.983462)</f>
        <v>79.983462</v>
      </c>
      <c r="F22536" s="4">
        <f>IFERROR(__xludf.DUMMYFUNCTION("""COMPUTED_VALUE"""),2846.0)</f>
        <v>2846</v>
      </c>
      <c r="G22536" s="4">
        <f>IFERROR(__xludf.DUMMYFUNCTION("""COMPUTED_VALUE"""),33.0)</f>
        <v>33</v>
      </c>
      <c r="H22536" s="4"/>
      <c r="I22536" s="4"/>
    </row>
    <row r="22537">
      <c r="A22537" s="4" t="str">
        <f>IFERROR(__xludf.DUMMYFUNCTION("""COMPUTED_VALUE"""),"cas_hmw")</f>
        <v>cas_hmw</v>
      </c>
      <c r="B22537" s="5">
        <f>IFERROR(__xludf.DUMMYFUNCTION("""COMPUTED_VALUE"""),44790.0)</f>
        <v>44790</v>
      </c>
      <c r="C22537" s="6">
        <f>IFERROR(__xludf.DUMMYFUNCTION("""COMPUTED_VALUE"""),0.32120370370466844)</f>
        <v>0.3212037037</v>
      </c>
      <c r="D22537" s="4">
        <f>IFERROR(__xludf.DUMMYFUNCTION("""COMPUTED_VALUE"""),13.014536)</f>
        <v>13.014536</v>
      </c>
      <c r="E22537" s="4">
        <f>IFERROR(__xludf.DUMMYFUNCTION("""COMPUTED_VALUE"""),80.22619)</f>
        <v>80.22619</v>
      </c>
      <c r="F22537" s="4">
        <f>IFERROR(__xludf.DUMMYFUNCTION("""COMPUTED_VALUE"""),5339.0)</f>
        <v>5339</v>
      </c>
      <c r="G22537" s="4">
        <f>IFERROR(__xludf.DUMMYFUNCTION("""COMPUTED_VALUE"""),40.0)</f>
        <v>40</v>
      </c>
      <c r="H22537" s="4"/>
      <c r="I22537" s="4"/>
    </row>
    <row r="22538">
      <c r="A22538" s="4" t="str">
        <f>IFERROR(__xludf.DUMMYFUNCTION("""COMPUTED_VALUE"""),"cas_hmw")</f>
        <v>cas_hmw</v>
      </c>
      <c r="B22538" s="5">
        <f>IFERROR(__xludf.DUMMYFUNCTION("""COMPUTED_VALUE"""),44790.0)</f>
        <v>44790</v>
      </c>
      <c r="C22538" s="6">
        <f>IFERROR(__xludf.DUMMYFUNCTION("""COMPUTED_VALUE"""),0.3218402777783922)</f>
        <v>0.3218402778</v>
      </c>
      <c r="D22538" s="4">
        <f>IFERROR(__xludf.DUMMYFUNCTION("""COMPUTED_VALUE"""),13.011414)</f>
        <v>13.011414</v>
      </c>
      <c r="E22538" s="4">
        <f>IFERROR(__xludf.DUMMYFUNCTION("""COMPUTED_VALUE"""),80.259232)</f>
        <v>80.259232</v>
      </c>
      <c r="F22538" s="4">
        <f>IFERROR(__xludf.DUMMYFUNCTION("""COMPUTED_VALUE"""),805.0)</f>
        <v>805</v>
      </c>
      <c r="G22538" s="4">
        <f>IFERROR(__xludf.DUMMYFUNCTION("""COMPUTED_VALUE"""),31.0)</f>
        <v>31</v>
      </c>
      <c r="H22538" s="4"/>
      <c r="I22538" s="4"/>
    </row>
    <row r="22539">
      <c r="A22539" s="4" t="str">
        <f>IFERROR(__xludf.DUMMYFUNCTION("""COMPUTED_VALUE"""),"cas_hmw")</f>
        <v>cas_hmw</v>
      </c>
      <c r="B22539" s="5">
        <f>IFERROR(__xludf.DUMMYFUNCTION("""COMPUTED_VALUE"""),44790.0)</f>
        <v>44790</v>
      </c>
      <c r="C22539" s="6">
        <f>IFERROR(__xludf.DUMMYFUNCTION("""COMPUTED_VALUE"""),0.3219907407401479)</f>
        <v>0.3219907407</v>
      </c>
      <c r="D22539" s="4">
        <f>IFERROR(__xludf.DUMMYFUNCTION("""COMPUTED_VALUE"""),13.010173)</f>
        <v>13.010173</v>
      </c>
      <c r="E22539" s="4">
        <f>IFERROR(__xludf.DUMMYFUNCTION("""COMPUTED_VALUE"""),80.226225)</f>
        <v>80.226225</v>
      </c>
      <c r="F22539" s="4">
        <f>IFERROR(__xludf.DUMMYFUNCTION("""COMPUTED_VALUE"""),5339.0)</f>
        <v>5339</v>
      </c>
      <c r="G22539" s="4">
        <f>IFERROR(__xludf.DUMMYFUNCTION("""COMPUTED_VALUE"""),43.0)</f>
        <v>43</v>
      </c>
      <c r="H22539" s="4"/>
      <c r="I22539" s="4"/>
    </row>
    <row r="22540">
      <c r="A22540" s="4" t="str">
        <f>IFERROR(__xludf.DUMMYFUNCTION("""COMPUTED_VALUE"""),"cas_hmw")</f>
        <v>cas_hmw</v>
      </c>
      <c r="B22540" s="5">
        <f>IFERROR(__xludf.DUMMYFUNCTION("""COMPUTED_VALUE"""),44790.0)</f>
        <v>44790</v>
      </c>
      <c r="C22540" s="6">
        <f>IFERROR(__xludf.DUMMYFUNCTION("""COMPUTED_VALUE"""),0.3224189814827696)</f>
        <v>0.3224189815</v>
      </c>
      <c r="D22540" s="4">
        <f>IFERROR(__xludf.DUMMYFUNCTION("""COMPUTED_VALUE"""),13.011524)</f>
        <v>13.011524</v>
      </c>
      <c r="E22540" s="4">
        <f>IFERROR(__xludf.DUMMYFUNCTION("""COMPUTED_VALUE"""),80.22292)</f>
        <v>80.22292</v>
      </c>
      <c r="F22540" s="4">
        <f>IFERROR(__xludf.DUMMYFUNCTION("""COMPUTED_VALUE"""),5339.0)</f>
        <v>5339</v>
      </c>
      <c r="G22540" s="4">
        <f>IFERROR(__xludf.DUMMYFUNCTION("""COMPUTED_VALUE"""),34.0)</f>
        <v>34</v>
      </c>
      <c r="H22540" s="4"/>
      <c r="I22540" s="4"/>
    </row>
    <row r="22541">
      <c r="A22541" s="4" t="str">
        <f>IFERROR(__xludf.DUMMYFUNCTION("""COMPUTED_VALUE"""),"cas_hmw")</f>
        <v>cas_hmw</v>
      </c>
      <c r="B22541" s="5">
        <f>IFERROR(__xludf.DUMMYFUNCTION("""COMPUTED_VALUE"""),44790.0)</f>
        <v>44790</v>
      </c>
      <c r="C22541" s="6">
        <f>IFERROR(__xludf.DUMMYFUNCTION("""COMPUTED_VALUE"""),0.32246527777897427)</f>
        <v>0.3224652778</v>
      </c>
      <c r="D22541" s="4">
        <f>IFERROR(__xludf.DUMMYFUNCTION("""COMPUTED_VALUE"""),13.011524)</f>
        <v>13.011524</v>
      </c>
      <c r="E22541" s="4">
        <f>IFERROR(__xludf.DUMMYFUNCTION("""COMPUTED_VALUE"""),80.22292)</f>
        <v>80.22292</v>
      </c>
      <c r="F22541" s="4">
        <f>IFERROR(__xludf.DUMMYFUNCTION("""COMPUTED_VALUE"""),5339.0)</f>
        <v>5339</v>
      </c>
      <c r="G22541" s="4">
        <f>IFERROR(__xludf.DUMMYFUNCTION("""COMPUTED_VALUE"""),34.0)</f>
        <v>34</v>
      </c>
      <c r="H22541" s="4"/>
      <c r="I22541" s="4"/>
    </row>
    <row r="22542">
      <c r="A22542" s="4" t="str">
        <f>IFERROR(__xludf.DUMMYFUNCTION("""COMPUTED_VALUE"""),"cas_hmw")</f>
        <v>cas_hmw</v>
      </c>
      <c r="B22542" s="5">
        <f>IFERROR(__xludf.DUMMYFUNCTION("""COMPUTED_VALUE"""),44790.0)</f>
        <v>44790</v>
      </c>
      <c r="C22542" s="6">
        <f>IFERROR(__xludf.DUMMYFUNCTION("""COMPUTED_VALUE"""),0.322962962964084)</f>
        <v>0.322962963</v>
      </c>
      <c r="D22542" s="4">
        <f>IFERROR(__xludf.DUMMYFUNCTION("""COMPUTED_VALUE"""),13.011903)</f>
        <v>13.011903</v>
      </c>
      <c r="E22542" s="4">
        <f>IFERROR(__xludf.DUMMYFUNCTION("""COMPUTED_VALUE"""),80.220248)</f>
        <v>80.220248</v>
      </c>
      <c r="F22542" s="4">
        <f>IFERROR(__xludf.DUMMYFUNCTION("""COMPUTED_VALUE"""),5339.0)</f>
        <v>5339</v>
      </c>
      <c r="G22542" s="4">
        <f>IFERROR(__xludf.DUMMYFUNCTION("""COMPUTED_VALUE"""),37.0)</f>
        <v>37</v>
      </c>
      <c r="H22542" s="4"/>
      <c r="I22542" s="4"/>
    </row>
    <row r="22543">
      <c r="A22543" s="4" t="str">
        <f>IFERROR(__xludf.DUMMYFUNCTION("""COMPUTED_VALUE"""),"cas_hmw")</f>
        <v>cas_hmw</v>
      </c>
      <c r="B22543" s="5">
        <f>IFERROR(__xludf.DUMMYFUNCTION("""COMPUTED_VALUE"""),44790.0)</f>
        <v>44790</v>
      </c>
      <c r="C22543" s="6">
        <f>IFERROR(__xludf.DUMMYFUNCTION("""COMPUTED_VALUE"""),0.3229745370372257)</f>
        <v>0.322974537</v>
      </c>
      <c r="D22543" s="4">
        <f>IFERROR(__xludf.DUMMYFUNCTION("""COMPUTED_VALUE"""),13.011903)</f>
        <v>13.011903</v>
      </c>
      <c r="E22543" s="4">
        <f>IFERROR(__xludf.DUMMYFUNCTION("""COMPUTED_VALUE"""),80.220248)</f>
        <v>80.220248</v>
      </c>
      <c r="F22543" s="4">
        <f>IFERROR(__xludf.DUMMYFUNCTION("""COMPUTED_VALUE"""),5339.0)</f>
        <v>5339</v>
      </c>
      <c r="G22543" s="4">
        <f>IFERROR(__xludf.DUMMYFUNCTION("""COMPUTED_VALUE"""),37.0)</f>
        <v>37</v>
      </c>
      <c r="H22543" s="4"/>
      <c r="I22543" s="4"/>
    </row>
    <row r="22544">
      <c r="A22544" s="4" t="str">
        <f>IFERROR(__xludf.DUMMYFUNCTION("""COMPUTED_VALUE"""),"cas_hmw")</f>
        <v>cas_hmw</v>
      </c>
      <c r="B22544" s="5">
        <f>IFERROR(__xludf.DUMMYFUNCTION("""COMPUTED_VALUE"""),44790.0)</f>
        <v>44790</v>
      </c>
      <c r="C22544" s="6">
        <f>IFERROR(__xludf.DUMMYFUNCTION("""COMPUTED_VALUE"""),0.3229745370372257)</f>
        <v>0.322974537</v>
      </c>
      <c r="D22544" s="4">
        <f>IFERROR(__xludf.DUMMYFUNCTION("""COMPUTED_VALUE"""),13.007216)</f>
        <v>13.007216</v>
      </c>
      <c r="E22544" s="4">
        <f>IFERROR(__xludf.DUMMYFUNCTION("""COMPUTED_VALUE"""),80.258839)</f>
        <v>80.258839</v>
      </c>
      <c r="F22544" s="4">
        <f>IFERROR(__xludf.DUMMYFUNCTION("""COMPUTED_VALUE"""),805.0)</f>
        <v>805</v>
      </c>
      <c r="G22544" s="4">
        <f>IFERROR(__xludf.DUMMYFUNCTION("""COMPUTED_VALUE"""),16.0)</f>
        <v>16</v>
      </c>
      <c r="H22544" s="4"/>
      <c r="I22544" s="4"/>
    </row>
    <row r="22545">
      <c r="A22545" s="4" t="str">
        <f>IFERROR(__xludf.DUMMYFUNCTION("""COMPUTED_VALUE"""),"cas_hmw")</f>
        <v>cas_hmw</v>
      </c>
      <c r="B22545" s="5">
        <f>IFERROR(__xludf.DUMMYFUNCTION("""COMPUTED_VALUE"""),44790.0)</f>
        <v>44790</v>
      </c>
      <c r="C22545" s="6">
        <f>IFERROR(__xludf.DUMMYFUNCTION("""COMPUTED_VALUE"""),0.3229745370372257)</f>
        <v>0.322974537</v>
      </c>
      <c r="D22545" s="4">
        <f>IFERROR(__xludf.DUMMYFUNCTION("""COMPUTED_VALUE"""),13.007216)</f>
        <v>13.007216</v>
      </c>
      <c r="E22545" s="4">
        <f>IFERROR(__xludf.DUMMYFUNCTION("""COMPUTED_VALUE"""),80.258839)</f>
        <v>80.258839</v>
      </c>
      <c r="F22545" s="4">
        <f>IFERROR(__xludf.DUMMYFUNCTION("""COMPUTED_VALUE"""),805.0)</f>
        <v>805</v>
      </c>
      <c r="G22545" s="4">
        <f>IFERROR(__xludf.DUMMYFUNCTION("""COMPUTED_VALUE"""),16.0)</f>
        <v>16</v>
      </c>
      <c r="H22545" s="4"/>
      <c r="I22545" s="4"/>
    </row>
    <row r="22546">
      <c r="A22546" s="4" t="str">
        <f>IFERROR(__xludf.DUMMYFUNCTION("""COMPUTED_VALUE"""),"cas_hmw")</f>
        <v>cas_hmw</v>
      </c>
      <c r="B22546" s="5">
        <f>IFERROR(__xludf.DUMMYFUNCTION("""COMPUTED_VALUE"""),44790.0)</f>
        <v>44790</v>
      </c>
      <c r="C22546" s="6">
        <f>IFERROR(__xludf.DUMMYFUNCTION("""COMPUTED_VALUE"""),0.322997685183509)</f>
        <v>0.3229976852</v>
      </c>
      <c r="D22546" s="4">
        <f>IFERROR(__xludf.DUMMYFUNCTION("""COMPUTED_VALUE"""),13.006942)</f>
        <v>13.006942</v>
      </c>
      <c r="E22546" s="4">
        <f>IFERROR(__xludf.DUMMYFUNCTION("""COMPUTED_VALUE"""),80.258281)</f>
        <v>80.258281</v>
      </c>
      <c r="F22546" s="4">
        <f>IFERROR(__xludf.DUMMYFUNCTION("""COMPUTED_VALUE"""),805.0)</f>
        <v>805</v>
      </c>
      <c r="G22546" s="4">
        <f>IFERROR(__xludf.DUMMYFUNCTION("""COMPUTED_VALUE"""),27.0)</f>
        <v>27</v>
      </c>
      <c r="H22546" s="4"/>
      <c r="I22546" s="4"/>
    </row>
    <row r="22547">
      <c r="A22547" s="4" t="str">
        <f>IFERROR(__xludf.DUMMYFUNCTION("""COMPUTED_VALUE"""),"cas_hmw")</f>
        <v>cas_hmw</v>
      </c>
      <c r="B22547" s="5">
        <f>IFERROR(__xludf.DUMMYFUNCTION("""COMPUTED_VALUE"""),44790.0)</f>
        <v>44790</v>
      </c>
      <c r="C22547" s="6">
        <f>IFERROR(__xludf.DUMMYFUNCTION("""COMPUTED_VALUE"""),0.3235185185185401)</f>
        <v>0.3235185185</v>
      </c>
      <c r="D22547" s="4">
        <f>IFERROR(__xludf.DUMMYFUNCTION("""COMPUTED_VALUE"""),13.006498)</f>
        <v>13.006498</v>
      </c>
      <c r="E22547" s="4">
        <f>IFERROR(__xludf.DUMMYFUNCTION("""COMPUTED_VALUE"""),80.255168)</f>
        <v>80.255168</v>
      </c>
      <c r="F22547" s="4">
        <f>IFERROR(__xludf.DUMMYFUNCTION("""COMPUTED_VALUE"""),805.0)</f>
        <v>805</v>
      </c>
      <c r="G22547" s="4">
        <f>IFERROR(__xludf.DUMMYFUNCTION("""COMPUTED_VALUE"""),30.0)</f>
        <v>30</v>
      </c>
      <c r="H22547" s="4"/>
      <c r="I22547" s="4"/>
    </row>
    <row r="22548">
      <c r="A22548" s="4" t="str">
        <f>IFERROR(__xludf.DUMMYFUNCTION("""COMPUTED_VALUE"""),"cas_hmw")</f>
        <v>cas_hmw</v>
      </c>
      <c r="B22548" s="5">
        <f>IFERROR(__xludf.DUMMYFUNCTION("""COMPUTED_VALUE"""),44790.0)</f>
        <v>44790</v>
      </c>
      <c r="C22548" s="6">
        <f>IFERROR(__xludf.DUMMYFUNCTION("""COMPUTED_VALUE"""),0.3242013888884685)</f>
        <v>0.3242013889</v>
      </c>
      <c r="D22548" s="4">
        <f>IFERROR(__xludf.DUMMYFUNCTION("""COMPUTED_VALUE"""),12.697616)</f>
        <v>12.697616</v>
      </c>
      <c r="E22548" s="4">
        <f>IFERROR(__xludf.DUMMYFUNCTION("""COMPUTED_VALUE"""),79.975622)</f>
        <v>79.975622</v>
      </c>
      <c r="F22548" s="4">
        <f>IFERROR(__xludf.DUMMYFUNCTION("""COMPUTED_VALUE"""),2846.0)</f>
        <v>2846</v>
      </c>
      <c r="G22548" s="4">
        <f>IFERROR(__xludf.DUMMYFUNCTION("""COMPUTED_VALUE"""),21.0)</f>
        <v>21</v>
      </c>
      <c r="H22548" s="4"/>
      <c r="I22548" s="4"/>
    </row>
    <row r="22549">
      <c r="A22549" s="4" t="str">
        <f>IFERROR(__xludf.DUMMYFUNCTION("""COMPUTED_VALUE"""),"cas_hmw")</f>
        <v>cas_hmw</v>
      </c>
      <c r="B22549" s="5">
        <f>IFERROR(__xludf.DUMMYFUNCTION("""COMPUTED_VALUE"""),44790.0)</f>
        <v>44790</v>
      </c>
      <c r="C22549" s="6">
        <f>IFERROR(__xludf.DUMMYFUNCTION("""COMPUTED_VALUE"""),0.3243750000001455)</f>
        <v>0.324375</v>
      </c>
      <c r="D22549" s="4">
        <f>IFERROR(__xludf.DUMMYFUNCTION("""COMPUTED_VALUE"""),13.007894)</f>
        <v>13.007894</v>
      </c>
      <c r="E22549" s="4">
        <f>IFERROR(__xludf.DUMMYFUNCTION("""COMPUTED_VALUE"""),80.207841)</f>
        <v>80.207841</v>
      </c>
      <c r="F22549" s="4">
        <f>IFERROR(__xludf.DUMMYFUNCTION("""COMPUTED_VALUE"""),5339.0)</f>
        <v>5339</v>
      </c>
      <c r="G22549" s="4">
        <f>IFERROR(__xludf.DUMMYFUNCTION("""COMPUTED_VALUE"""),46.0)</f>
        <v>46</v>
      </c>
      <c r="H22549" s="4"/>
      <c r="I22549" s="4"/>
    </row>
    <row r="22550">
      <c r="A22550" s="4" t="str">
        <f>IFERROR(__xludf.DUMMYFUNCTION("""COMPUTED_VALUE"""),"cas_hmw")</f>
        <v>cas_hmw</v>
      </c>
      <c r="B22550" s="5">
        <f>IFERROR(__xludf.DUMMYFUNCTION("""COMPUTED_VALUE"""),44790.0)</f>
        <v>44790</v>
      </c>
      <c r="C22550" s="6">
        <f>IFERROR(__xludf.DUMMYFUNCTION("""COMPUTED_VALUE"""),0.3252199074086093)</f>
        <v>0.3252199074</v>
      </c>
      <c r="D22550" s="4">
        <f>IFERROR(__xludf.DUMMYFUNCTION("""COMPUTED_VALUE"""),13.006736)</f>
        <v>13.006736</v>
      </c>
      <c r="E22550" s="4">
        <f>IFERROR(__xludf.DUMMYFUNCTION("""COMPUTED_VALUE"""),80.249259)</f>
        <v>80.249259</v>
      </c>
      <c r="F22550" s="4">
        <f>IFERROR(__xludf.DUMMYFUNCTION("""COMPUTED_VALUE"""),805.0)</f>
        <v>805</v>
      </c>
      <c r="G22550" s="4">
        <f>IFERROR(__xludf.DUMMYFUNCTION("""COMPUTED_VALUE"""),44.0)</f>
        <v>44</v>
      </c>
      <c r="H22550" s="4"/>
      <c r="I22550" s="4"/>
    </row>
    <row r="22551">
      <c r="A22551" s="4" t="str">
        <f>IFERROR(__xludf.DUMMYFUNCTION("""COMPUTED_VALUE"""),"cas_hmw")</f>
        <v>cas_hmw</v>
      </c>
      <c r="B22551" s="5">
        <f>IFERROR(__xludf.DUMMYFUNCTION("""COMPUTED_VALUE"""),44790.0)</f>
        <v>44790</v>
      </c>
      <c r="C22551" s="6">
        <f>IFERROR(__xludf.DUMMYFUNCTION("""COMPUTED_VALUE"""),0.325439814816491)</f>
        <v>0.3254398148</v>
      </c>
      <c r="D22551" s="4">
        <f>IFERROR(__xludf.DUMMYFUNCTION("""COMPUTED_VALUE"""),13.002039)</f>
        <v>13.002039</v>
      </c>
      <c r="E22551" s="4">
        <f>IFERROR(__xludf.DUMMYFUNCTION("""COMPUTED_VALUE"""),80.200258)</f>
        <v>80.200258</v>
      </c>
      <c r="F22551" s="4">
        <f>IFERROR(__xludf.DUMMYFUNCTION("""COMPUTED_VALUE"""),5339.0)</f>
        <v>5339</v>
      </c>
      <c r="G22551" s="4">
        <f>IFERROR(__xludf.DUMMYFUNCTION("""COMPUTED_VALUE"""),40.0)</f>
        <v>40</v>
      </c>
      <c r="H22551" s="4"/>
      <c r="I22551" s="4"/>
    </row>
    <row r="22552">
      <c r="A22552" s="4" t="str">
        <f>IFERROR(__xludf.DUMMYFUNCTION("""COMPUTED_VALUE"""),"cas_hmw")</f>
        <v>cas_hmw</v>
      </c>
      <c r="B22552" s="5">
        <f>IFERROR(__xludf.DUMMYFUNCTION("""COMPUTED_VALUE"""),44790.0)</f>
        <v>44790</v>
      </c>
      <c r="C22552" s="6">
        <f>IFERROR(__xludf.DUMMYFUNCTION("""COMPUTED_VALUE"""),0.3267476851870015)</f>
        <v>0.3267476852</v>
      </c>
      <c r="D22552" s="4">
        <f>IFERROR(__xludf.DUMMYFUNCTION("""COMPUTED_VALUE"""),13.006659)</f>
        <v>13.006659</v>
      </c>
      <c r="E22552" s="4">
        <f>IFERROR(__xludf.DUMMYFUNCTION("""COMPUTED_VALUE"""),80.244621)</f>
        <v>80.244621</v>
      </c>
      <c r="F22552" s="4">
        <f>IFERROR(__xludf.DUMMYFUNCTION("""COMPUTED_VALUE"""),805.0)</f>
        <v>805</v>
      </c>
      <c r="G22552" s="4">
        <f>IFERROR(__xludf.DUMMYFUNCTION("""COMPUTED_VALUE"""),53.0)</f>
        <v>53</v>
      </c>
      <c r="H22552" s="4"/>
      <c r="I22552" s="4"/>
    </row>
    <row r="22553">
      <c r="A22553" s="4" t="str">
        <f>IFERROR(__xludf.DUMMYFUNCTION("""COMPUTED_VALUE"""),"cas_hmw")</f>
        <v>cas_hmw</v>
      </c>
      <c r="B22553" s="5">
        <f>IFERROR(__xludf.DUMMYFUNCTION("""COMPUTED_VALUE"""),44790.0)</f>
        <v>44790</v>
      </c>
      <c r="C22553" s="6">
        <f>IFERROR(__xludf.DUMMYFUNCTION("""COMPUTED_VALUE"""),0.3277314814804413)</f>
        <v>0.3277314815</v>
      </c>
      <c r="D22553" s="4">
        <f>IFERROR(__xludf.DUMMYFUNCTION("""COMPUTED_VALUE"""),13.007184)</f>
        <v>13.007184</v>
      </c>
      <c r="E22553" s="4">
        <f>IFERROR(__xludf.DUMMYFUNCTION("""COMPUTED_VALUE"""),80.238256)</f>
        <v>80.238256</v>
      </c>
      <c r="F22553" s="4">
        <f>IFERROR(__xludf.DUMMYFUNCTION("""COMPUTED_VALUE"""),805.0)</f>
        <v>805</v>
      </c>
      <c r="G22553" s="4">
        <f>IFERROR(__xludf.DUMMYFUNCTION("""COMPUTED_VALUE"""),35.0)</f>
        <v>35</v>
      </c>
      <c r="H22553" s="4"/>
      <c r="I22553" s="4"/>
    </row>
    <row r="22554">
      <c r="A22554" s="4" t="str">
        <f>IFERROR(__xludf.DUMMYFUNCTION("""COMPUTED_VALUE"""),"cas_hmw")</f>
        <v>cas_hmw</v>
      </c>
      <c r="B22554" s="5">
        <f>IFERROR(__xludf.DUMMYFUNCTION("""COMPUTED_VALUE"""),44790.0)</f>
        <v>44790</v>
      </c>
      <c r="C22554" s="6">
        <f>IFERROR(__xludf.DUMMYFUNCTION("""COMPUTED_VALUE"""),0.32930555555503815)</f>
        <v>0.3293055556</v>
      </c>
      <c r="D22554" s="4">
        <f>IFERROR(__xludf.DUMMYFUNCTION("""COMPUTED_VALUE"""),12.708653)</f>
        <v>12.708653</v>
      </c>
      <c r="E22554" s="4">
        <f>IFERROR(__xludf.DUMMYFUNCTION("""COMPUTED_VALUE"""),79.97706)</f>
        <v>79.97706</v>
      </c>
      <c r="F22554" s="4">
        <f>IFERROR(__xludf.DUMMYFUNCTION("""COMPUTED_VALUE"""),2846.0)</f>
        <v>2846</v>
      </c>
      <c r="G22554" s="4">
        <f>IFERROR(__xludf.DUMMYFUNCTION("""COMPUTED_VALUE"""),58.0)</f>
        <v>58</v>
      </c>
      <c r="H22554" s="4"/>
      <c r="I22554" s="4"/>
    </row>
    <row r="22555">
      <c r="A22555" s="4" t="str">
        <f>IFERROR(__xludf.DUMMYFUNCTION("""COMPUTED_VALUE"""),"cas_hmw")</f>
        <v>cas_hmw</v>
      </c>
      <c r="B22555" s="5">
        <f>IFERROR(__xludf.DUMMYFUNCTION("""COMPUTED_VALUE"""),44790.0)</f>
        <v>44790</v>
      </c>
      <c r="C22555" s="6">
        <f>IFERROR(__xludf.DUMMYFUNCTION("""COMPUTED_VALUE"""),0.3293634259243845)</f>
        <v>0.3293634259</v>
      </c>
      <c r="D22555" s="4">
        <f>IFERROR(__xludf.DUMMYFUNCTION("""COMPUTED_VALUE"""),13.01157)</f>
        <v>13.01157</v>
      </c>
      <c r="E22555" s="4">
        <f>IFERROR(__xludf.DUMMYFUNCTION("""COMPUTED_VALUE"""),80.222818)</f>
        <v>80.222818</v>
      </c>
      <c r="F22555" s="4">
        <f>IFERROR(__xludf.DUMMYFUNCTION("""COMPUTED_VALUE"""),805.0)</f>
        <v>805</v>
      </c>
      <c r="G22555" s="4">
        <f>IFERROR(__xludf.DUMMYFUNCTION("""COMPUTED_VALUE"""),38.0)</f>
        <v>38</v>
      </c>
      <c r="H22555" s="4"/>
      <c r="I22555" s="4"/>
    </row>
    <row r="22556">
      <c r="A22556" s="4" t="str">
        <f>IFERROR(__xludf.DUMMYFUNCTION("""COMPUTED_VALUE"""),"cas_hmw")</f>
        <v>cas_hmw</v>
      </c>
      <c r="B22556" s="5">
        <f>IFERROR(__xludf.DUMMYFUNCTION("""COMPUTED_VALUE"""),44790.0)</f>
        <v>44790</v>
      </c>
      <c r="C22556" s="6">
        <f>IFERROR(__xludf.DUMMYFUNCTION("""COMPUTED_VALUE"""),0.3293634259243845)</f>
        <v>0.3293634259</v>
      </c>
      <c r="D22556" s="4">
        <f>IFERROR(__xludf.DUMMYFUNCTION("""COMPUTED_VALUE"""),13.01157)</f>
        <v>13.01157</v>
      </c>
      <c r="E22556" s="4">
        <f>IFERROR(__xludf.DUMMYFUNCTION("""COMPUTED_VALUE"""),80.222818)</f>
        <v>80.222818</v>
      </c>
      <c r="F22556" s="4">
        <f>IFERROR(__xludf.DUMMYFUNCTION("""COMPUTED_VALUE"""),805.0)</f>
        <v>805</v>
      </c>
      <c r="G22556" s="4">
        <f>IFERROR(__xludf.DUMMYFUNCTION("""COMPUTED_VALUE"""),38.0)</f>
        <v>38</v>
      </c>
      <c r="H22556" s="4"/>
      <c r="I22556" s="4"/>
    </row>
    <row r="22557">
      <c r="A22557" s="4" t="str">
        <f>IFERROR(__xludf.DUMMYFUNCTION("""COMPUTED_VALUE"""),"cas_hmw")</f>
        <v>cas_hmw</v>
      </c>
      <c r="B22557" s="5">
        <f>IFERROR(__xludf.DUMMYFUNCTION("""COMPUTED_VALUE"""),44790.0)</f>
        <v>44790</v>
      </c>
      <c r="C22557" s="6">
        <f>IFERROR(__xludf.DUMMYFUNCTION("""COMPUTED_VALUE"""),0.32967592592467554)</f>
        <v>0.3296759259</v>
      </c>
      <c r="D22557" s="4">
        <f>IFERROR(__xludf.DUMMYFUNCTION("""COMPUTED_VALUE"""),12.988727)</f>
        <v>12.988727</v>
      </c>
      <c r="E22557" s="4">
        <f>IFERROR(__xludf.DUMMYFUNCTION("""COMPUTED_VALUE"""),80.177969)</f>
        <v>80.177969</v>
      </c>
      <c r="F22557" s="4">
        <f>IFERROR(__xludf.DUMMYFUNCTION("""COMPUTED_VALUE"""),5339.0)</f>
        <v>5339</v>
      </c>
      <c r="G22557" s="4">
        <f>IFERROR(__xludf.DUMMYFUNCTION("""COMPUTED_VALUE"""),37.0)</f>
        <v>37</v>
      </c>
      <c r="H22557" s="4"/>
      <c r="I22557" s="4"/>
    </row>
    <row r="22558">
      <c r="A22558" s="4" t="str">
        <f>IFERROR(__xludf.DUMMYFUNCTION("""COMPUTED_VALUE"""),"cas_hmw")</f>
        <v>cas_hmw</v>
      </c>
      <c r="B22558" s="5">
        <f>IFERROR(__xludf.DUMMYFUNCTION("""COMPUTED_VALUE"""),44790.0)</f>
        <v>44790</v>
      </c>
      <c r="C22558" s="6">
        <f>IFERROR(__xludf.DUMMYFUNCTION("""COMPUTED_VALUE"""),0.3297685185170849)</f>
        <v>0.3297685185</v>
      </c>
      <c r="D22558" s="4">
        <f>IFERROR(__xludf.DUMMYFUNCTION("""COMPUTED_VALUE"""),12.988197)</f>
        <v>12.988197</v>
      </c>
      <c r="E22558" s="4">
        <f>IFERROR(__xludf.DUMMYFUNCTION("""COMPUTED_VALUE"""),80.177231)</f>
        <v>80.177231</v>
      </c>
      <c r="F22558" s="4">
        <f>IFERROR(__xludf.DUMMYFUNCTION("""COMPUTED_VALUE"""),5339.0)</f>
        <v>5339</v>
      </c>
      <c r="G22558" s="4">
        <f>IFERROR(__xludf.DUMMYFUNCTION("""COMPUTED_VALUE"""),35.0)</f>
        <v>35</v>
      </c>
      <c r="H22558" s="4"/>
      <c r="I22558" s="4"/>
    </row>
    <row r="22559">
      <c r="A22559" s="4" t="str">
        <f>IFERROR(__xludf.DUMMYFUNCTION("""COMPUTED_VALUE"""),"cas_hmw")</f>
        <v>cas_hmw</v>
      </c>
      <c r="B22559" s="5">
        <f>IFERROR(__xludf.DUMMYFUNCTION("""COMPUTED_VALUE"""),44790.0)</f>
        <v>44790</v>
      </c>
      <c r="C22559" s="6">
        <f>IFERROR(__xludf.DUMMYFUNCTION("""COMPUTED_VALUE"""),0.3299537037019036)</f>
        <v>0.3299537037</v>
      </c>
      <c r="D22559" s="4">
        <f>IFERROR(__xludf.DUMMYFUNCTION("""COMPUTED_VALUE"""),12.987206)</f>
        <v>12.987206</v>
      </c>
      <c r="E22559" s="4">
        <f>IFERROR(__xludf.DUMMYFUNCTION("""COMPUTED_VALUE"""),80.17583)</f>
        <v>80.17583</v>
      </c>
      <c r="F22559" s="4">
        <f>IFERROR(__xludf.DUMMYFUNCTION("""COMPUTED_VALUE"""),5339.0)</f>
        <v>5339</v>
      </c>
      <c r="G22559" s="4">
        <f>IFERROR(__xludf.DUMMYFUNCTION("""COMPUTED_VALUE"""),38.0)</f>
        <v>38</v>
      </c>
      <c r="H22559" s="4"/>
      <c r="I22559" s="4"/>
    </row>
    <row r="22560">
      <c r="A22560" s="4" t="str">
        <f>IFERROR(__xludf.DUMMYFUNCTION("""COMPUTED_VALUE"""),"cas_hmw")</f>
        <v>cas_hmw</v>
      </c>
      <c r="B22560" s="5">
        <f>IFERROR(__xludf.DUMMYFUNCTION("""COMPUTED_VALUE"""),44790.0)</f>
        <v>44790</v>
      </c>
      <c r="C22560" s="6">
        <f>IFERROR(__xludf.DUMMYFUNCTION("""COMPUTED_VALUE"""),0.33017361110978527)</f>
        <v>0.3301736111</v>
      </c>
      <c r="D22560" s="4">
        <f>IFERROR(__xludf.DUMMYFUNCTION("""COMPUTED_VALUE"""),13.01032)</f>
        <v>13.01032</v>
      </c>
      <c r="E22560" s="4">
        <f>IFERROR(__xludf.DUMMYFUNCTION("""COMPUTED_VALUE"""),80.215984)</f>
        <v>80.215984</v>
      </c>
      <c r="F22560" s="4">
        <f>IFERROR(__xludf.DUMMYFUNCTION("""COMPUTED_VALUE"""),805.0)</f>
        <v>805</v>
      </c>
      <c r="G22560" s="4">
        <f>IFERROR(__xludf.DUMMYFUNCTION("""COMPUTED_VALUE"""),42.0)</f>
        <v>42</v>
      </c>
      <c r="H22560" s="4"/>
      <c r="I22560" s="4"/>
    </row>
    <row r="22561">
      <c r="A22561" s="4" t="str">
        <f>IFERROR(__xludf.DUMMYFUNCTION("""COMPUTED_VALUE"""),"cas_hmw")</f>
        <v>cas_hmw</v>
      </c>
      <c r="B22561" s="5">
        <f>IFERROR(__xludf.DUMMYFUNCTION("""COMPUTED_VALUE"""),44790.0)</f>
        <v>44790</v>
      </c>
      <c r="C22561" s="6">
        <f>IFERROR(__xludf.DUMMYFUNCTION("""COMPUTED_VALUE"""),0.33049768518685596)</f>
        <v>0.3304976852</v>
      </c>
      <c r="D22561" s="4">
        <f>IFERROR(__xludf.DUMMYFUNCTION("""COMPUTED_VALUE"""),13.009645)</f>
        <v>13.009645</v>
      </c>
      <c r="E22561" s="4">
        <f>IFERROR(__xludf.DUMMYFUNCTION("""COMPUTED_VALUE"""),80.213534)</f>
        <v>80.213534</v>
      </c>
      <c r="F22561" s="4">
        <f>IFERROR(__xludf.DUMMYFUNCTION("""COMPUTED_VALUE"""),805.0)</f>
        <v>805</v>
      </c>
      <c r="G22561" s="4">
        <f>IFERROR(__xludf.DUMMYFUNCTION("""COMPUTED_VALUE"""),53.0)</f>
        <v>53</v>
      </c>
      <c r="H22561" s="4"/>
      <c r="I22561" s="4"/>
    </row>
    <row r="22562">
      <c r="A22562" s="4" t="str">
        <f>IFERROR(__xludf.DUMMYFUNCTION("""COMPUTED_VALUE"""),"cas_hmw")</f>
        <v>cas_hmw</v>
      </c>
      <c r="B22562" s="5">
        <f>IFERROR(__xludf.DUMMYFUNCTION("""COMPUTED_VALUE"""),44790.0)</f>
        <v>44790</v>
      </c>
      <c r="C22562" s="6">
        <f>IFERROR(__xludf.DUMMYFUNCTION("""COMPUTED_VALUE"""),0.33049768518685596)</f>
        <v>0.3304976852</v>
      </c>
      <c r="D22562" s="4">
        <f>IFERROR(__xludf.DUMMYFUNCTION("""COMPUTED_VALUE"""),13.009645)</f>
        <v>13.009645</v>
      </c>
      <c r="E22562" s="4">
        <f>IFERROR(__xludf.DUMMYFUNCTION("""COMPUTED_VALUE"""),80.213534)</f>
        <v>80.213534</v>
      </c>
      <c r="F22562" s="4">
        <f>IFERROR(__xludf.DUMMYFUNCTION("""COMPUTED_VALUE"""),805.0)</f>
        <v>805</v>
      </c>
      <c r="G22562" s="4">
        <f>IFERROR(__xludf.DUMMYFUNCTION("""COMPUTED_VALUE"""),53.0)</f>
        <v>53</v>
      </c>
      <c r="H22562" s="4"/>
      <c r="I22562" s="4"/>
    </row>
    <row r="22563">
      <c r="A22563" s="4" t="str">
        <f>IFERROR(__xludf.DUMMYFUNCTION("""COMPUTED_VALUE"""),"cas_hmw")</f>
        <v>cas_hmw</v>
      </c>
      <c r="B22563" s="5">
        <f>IFERROR(__xludf.DUMMYFUNCTION("""COMPUTED_VALUE"""),44790.0)</f>
        <v>44790</v>
      </c>
      <c r="C22563" s="6">
        <f>IFERROR(__xludf.DUMMYFUNCTION("""COMPUTED_VALUE"""),0.33049768518685596)</f>
        <v>0.3304976852</v>
      </c>
      <c r="D22563" s="4">
        <f>IFERROR(__xludf.DUMMYFUNCTION("""COMPUTED_VALUE"""),13.009645)</f>
        <v>13.009645</v>
      </c>
      <c r="E22563" s="4">
        <f>IFERROR(__xludf.DUMMYFUNCTION("""COMPUTED_VALUE"""),80.213534)</f>
        <v>80.213534</v>
      </c>
      <c r="F22563" s="4">
        <f>IFERROR(__xludf.DUMMYFUNCTION("""COMPUTED_VALUE"""),805.0)</f>
        <v>805</v>
      </c>
      <c r="G22563" s="4">
        <f>IFERROR(__xludf.DUMMYFUNCTION("""COMPUTED_VALUE"""),53.0)</f>
        <v>53</v>
      </c>
      <c r="H22563" s="4"/>
      <c r="I22563" s="4"/>
    </row>
    <row r="22564">
      <c r="A22564" s="4" t="str">
        <f>IFERROR(__xludf.DUMMYFUNCTION("""COMPUTED_VALUE"""),"cas_hmw")</f>
        <v>cas_hmw</v>
      </c>
      <c r="B22564" s="5">
        <f>IFERROR(__xludf.DUMMYFUNCTION("""COMPUTED_VALUE"""),44790.0)</f>
        <v>44790</v>
      </c>
      <c r="C22564" s="6">
        <f>IFERROR(__xludf.DUMMYFUNCTION("""COMPUTED_VALUE"""),0.33054398148306063)</f>
        <v>0.3305439815</v>
      </c>
      <c r="D22564" s="4">
        <f>IFERROR(__xludf.DUMMYFUNCTION("""COMPUTED_VALUE"""),12.984045)</f>
        <v>12.984045</v>
      </c>
      <c r="E22564" s="4">
        <f>IFERROR(__xludf.DUMMYFUNCTION("""COMPUTED_VALUE"""),80.171098)</f>
        <v>80.171098</v>
      </c>
      <c r="F22564" s="4">
        <f>IFERROR(__xludf.DUMMYFUNCTION("""COMPUTED_VALUE"""),5339.0)</f>
        <v>5339</v>
      </c>
      <c r="G22564" s="4">
        <f>IFERROR(__xludf.DUMMYFUNCTION("""COMPUTED_VALUE"""),48.0)</f>
        <v>48</v>
      </c>
      <c r="H22564" s="4"/>
      <c r="I22564" s="4"/>
    </row>
    <row r="22565">
      <c r="A22565" s="4" t="str">
        <f>IFERROR(__xludf.DUMMYFUNCTION("""COMPUTED_VALUE"""),"cas_hmw")</f>
        <v>cas_hmw</v>
      </c>
      <c r="B22565" s="5">
        <f>IFERROR(__xludf.DUMMYFUNCTION("""COMPUTED_VALUE"""),44790.0)</f>
        <v>44790</v>
      </c>
      <c r="C22565" s="6">
        <f>IFERROR(__xludf.DUMMYFUNCTION("""COMPUTED_VALUE"""),0.330914351852698)</f>
        <v>0.3309143519</v>
      </c>
      <c r="D22565" s="4">
        <f>IFERROR(__xludf.DUMMYFUNCTION("""COMPUTED_VALUE"""),13.008388)</f>
        <v>13.008388</v>
      </c>
      <c r="E22565" s="4">
        <f>IFERROR(__xludf.DUMMYFUNCTION("""COMPUTED_VALUE"""),80.210252)</f>
        <v>80.210252</v>
      </c>
      <c r="F22565" s="4">
        <f>IFERROR(__xludf.DUMMYFUNCTION("""COMPUTED_VALUE"""),805.0)</f>
        <v>805</v>
      </c>
      <c r="G22565" s="4">
        <f>IFERROR(__xludf.DUMMYFUNCTION("""COMPUTED_VALUE"""),44.0)</f>
        <v>44</v>
      </c>
      <c r="H22565" s="4"/>
      <c r="I22565" s="4"/>
    </row>
    <row r="22566">
      <c r="A22566" s="4" t="str">
        <f>IFERROR(__xludf.DUMMYFUNCTION("""COMPUTED_VALUE"""),"cas_hmw")</f>
        <v>cas_hmw</v>
      </c>
      <c r="B22566" s="5">
        <f>IFERROR(__xludf.DUMMYFUNCTION("""COMPUTED_VALUE"""),44790.0)</f>
        <v>44790</v>
      </c>
      <c r="C22566" s="6">
        <f>IFERROR(__xludf.DUMMYFUNCTION("""COMPUTED_VALUE"""),0.3309953703719657)</f>
        <v>0.3309953704</v>
      </c>
      <c r="D22566" s="4">
        <f>IFERROR(__xludf.DUMMYFUNCTION("""COMPUTED_VALUE"""),13.008106)</f>
        <v>13.008106</v>
      </c>
      <c r="E22566" s="4">
        <f>IFERROR(__xludf.DUMMYFUNCTION("""COMPUTED_VALUE"""),80.209289)</f>
        <v>80.209289</v>
      </c>
      <c r="F22566" s="4">
        <f>IFERROR(__xludf.DUMMYFUNCTION("""COMPUTED_VALUE"""),805.0)</f>
        <v>805</v>
      </c>
      <c r="G22566" s="4">
        <f>IFERROR(__xludf.DUMMYFUNCTION("""COMPUTED_VALUE"""),0.0)</f>
        <v>0</v>
      </c>
      <c r="H22566" s="4"/>
      <c r="I22566" s="4"/>
    </row>
    <row r="22567">
      <c r="A22567" s="4" t="str">
        <f>IFERROR(__xludf.DUMMYFUNCTION("""COMPUTED_VALUE"""),"cas_hmw")</f>
        <v>cas_hmw</v>
      </c>
      <c r="B22567" s="5">
        <f>IFERROR(__xludf.DUMMYFUNCTION("""COMPUTED_VALUE"""),44790.0)</f>
        <v>44790</v>
      </c>
      <c r="C22567" s="6">
        <f>IFERROR(__xludf.DUMMYFUNCTION("""COMPUTED_VALUE"""),0.33148148148029577)</f>
        <v>0.3314814815</v>
      </c>
      <c r="D22567" s="4">
        <f>IFERROR(__xludf.DUMMYFUNCTION("""COMPUTED_VALUE"""),12.954691)</f>
        <v>12.954691</v>
      </c>
      <c r="E22567" s="4">
        <f>IFERROR(__xludf.DUMMYFUNCTION("""COMPUTED_VALUE"""),80.186834)</f>
        <v>80.186834</v>
      </c>
      <c r="F22567" s="4">
        <f>IFERROR(__xludf.DUMMYFUNCTION("""COMPUTED_VALUE"""),3143.0)</f>
        <v>3143</v>
      </c>
      <c r="G22567" s="4">
        <f>IFERROR(__xludf.DUMMYFUNCTION("""COMPUTED_VALUE"""),30.0)</f>
        <v>30</v>
      </c>
      <c r="H22567" s="4"/>
      <c r="I22567" s="4"/>
    </row>
    <row r="22568">
      <c r="A22568" s="4" t="str">
        <f>IFERROR(__xludf.DUMMYFUNCTION("""COMPUTED_VALUE"""),"cas_hmw")</f>
        <v>cas_hmw</v>
      </c>
      <c r="B22568" s="5">
        <f>IFERROR(__xludf.DUMMYFUNCTION("""COMPUTED_VALUE"""),44790.0)</f>
        <v>44790</v>
      </c>
      <c r="C22568" s="6">
        <f>IFERROR(__xludf.DUMMYFUNCTION("""COMPUTED_VALUE"""),0.33156249999956344)</f>
        <v>0.3315625</v>
      </c>
      <c r="D22568" s="4">
        <f>IFERROR(__xludf.DUMMYFUNCTION("""COMPUTED_VALUE"""),13.006799)</f>
        <v>13.006799</v>
      </c>
      <c r="E22568" s="4">
        <f>IFERROR(__xludf.DUMMYFUNCTION("""COMPUTED_VALUE"""),80.204064)</f>
        <v>80.204064</v>
      </c>
      <c r="F22568" s="4">
        <f>IFERROR(__xludf.DUMMYFUNCTION("""COMPUTED_VALUE"""),805.0)</f>
        <v>805</v>
      </c>
      <c r="G22568" s="4">
        <f>IFERROR(__xludf.DUMMYFUNCTION("""COMPUTED_VALUE"""),49.0)</f>
        <v>49</v>
      </c>
      <c r="H22568" s="4"/>
      <c r="I22568" s="4"/>
    </row>
    <row r="22569">
      <c r="A22569" s="4" t="str">
        <f>IFERROR(__xludf.DUMMYFUNCTION("""COMPUTED_VALUE"""),"cas_hmw")</f>
        <v>cas_hmw</v>
      </c>
      <c r="B22569" s="5">
        <f>IFERROR(__xludf.DUMMYFUNCTION("""COMPUTED_VALUE"""),44790.0)</f>
        <v>44790</v>
      </c>
      <c r="C22569" s="6">
        <f>IFERROR(__xludf.DUMMYFUNCTION("""COMPUTED_VALUE"""),0.3320486111115315)</f>
        <v>0.3320486111</v>
      </c>
      <c r="D22569" s="4">
        <f>IFERROR(__xludf.DUMMYFUNCTION("""COMPUTED_VALUE"""),12.979116)</f>
        <v>12.979116</v>
      </c>
      <c r="E22569" s="4">
        <f>IFERROR(__xludf.DUMMYFUNCTION("""COMPUTED_VALUE"""),80.161765)</f>
        <v>80.161765</v>
      </c>
      <c r="F22569" s="4">
        <f>IFERROR(__xludf.DUMMYFUNCTION("""COMPUTED_VALUE"""),5339.0)</f>
        <v>5339</v>
      </c>
      <c r="G22569" s="4">
        <f>IFERROR(__xludf.DUMMYFUNCTION("""COMPUTED_VALUE"""),46.0)</f>
        <v>46</v>
      </c>
      <c r="H22569" s="4"/>
      <c r="I22569" s="4"/>
    </row>
    <row r="22570">
      <c r="A22570" s="4" t="str">
        <f>IFERROR(__xludf.DUMMYFUNCTION("""COMPUTED_VALUE"""),"cas_hmw")</f>
        <v>cas_hmw</v>
      </c>
      <c r="B22570" s="5">
        <f>IFERROR(__xludf.DUMMYFUNCTION("""COMPUTED_VALUE"""),44790.0)</f>
        <v>44790</v>
      </c>
      <c r="C22570" s="6">
        <f>IFERROR(__xludf.DUMMYFUNCTION("""COMPUTED_VALUE"""),0.33225694444263354)</f>
        <v>0.3322569444</v>
      </c>
      <c r="D22570" s="4">
        <f>IFERROR(__xludf.DUMMYFUNCTION("""COMPUTED_VALUE"""),12.733517)</f>
        <v>12.733517</v>
      </c>
      <c r="E22570" s="4">
        <f>IFERROR(__xludf.DUMMYFUNCTION("""COMPUTED_VALUE"""),79.983654)</f>
        <v>79.983654</v>
      </c>
      <c r="F22570" s="4">
        <f>IFERROR(__xludf.DUMMYFUNCTION("""COMPUTED_VALUE"""),2846.0)</f>
        <v>2846</v>
      </c>
      <c r="G22570" s="4">
        <f>IFERROR(__xludf.DUMMYFUNCTION("""COMPUTED_VALUE"""),50.0)</f>
        <v>50</v>
      </c>
      <c r="H22570" s="4"/>
      <c r="I22570" s="4"/>
    </row>
    <row r="22571">
      <c r="A22571" s="4" t="str">
        <f>IFERROR(__xludf.DUMMYFUNCTION("""COMPUTED_VALUE"""),"cas_hmw")</f>
        <v>cas_hmw</v>
      </c>
      <c r="B22571" s="5">
        <f>IFERROR(__xludf.DUMMYFUNCTION("""COMPUTED_VALUE"""),44790.0)</f>
        <v>44790</v>
      </c>
      <c r="C22571" s="6">
        <f>IFERROR(__xludf.DUMMYFUNCTION("""COMPUTED_VALUE"""),0.3323379629619012)</f>
        <v>0.332337963</v>
      </c>
      <c r="D22571" s="4">
        <f>IFERROR(__xludf.DUMMYFUNCTION("""COMPUTED_VALUE"""),13.001741)</f>
        <v>13.001741</v>
      </c>
      <c r="E22571" s="4">
        <f>IFERROR(__xludf.DUMMYFUNCTION("""COMPUTED_VALUE"""),80.199272)</f>
        <v>80.199272</v>
      </c>
      <c r="F22571" s="4">
        <f>IFERROR(__xludf.DUMMYFUNCTION("""COMPUTED_VALUE"""),805.0)</f>
        <v>805</v>
      </c>
      <c r="G22571" s="4">
        <f>IFERROR(__xludf.DUMMYFUNCTION("""COMPUTED_VALUE"""),54.0)</f>
        <v>54</v>
      </c>
      <c r="H22571" s="4"/>
      <c r="I22571" s="4"/>
    </row>
    <row r="22572">
      <c r="A22572" s="4" t="str">
        <f>IFERROR(__xludf.DUMMYFUNCTION("""COMPUTED_VALUE"""),"cas_hmw")</f>
        <v>cas_hmw</v>
      </c>
      <c r="B22572" s="5">
        <f>IFERROR(__xludf.DUMMYFUNCTION("""COMPUTED_VALUE"""),44790.0)</f>
        <v>44790</v>
      </c>
      <c r="C22572" s="6">
        <f>IFERROR(__xludf.DUMMYFUNCTION("""COMPUTED_VALUE"""),0.3324074074080272)</f>
        <v>0.3324074074</v>
      </c>
      <c r="D22572" s="4">
        <f>IFERROR(__xludf.DUMMYFUNCTION("""COMPUTED_VALUE"""),13.001947)</f>
        <v>13.001947</v>
      </c>
      <c r="E22572" s="4">
        <f>IFERROR(__xludf.DUMMYFUNCTION("""COMPUTED_VALUE"""),80.197899)</f>
        <v>80.197899</v>
      </c>
      <c r="F22572" s="4">
        <f>IFERROR(__xludf.DUMMYFUNCTION("""COMPUTED_VALUE"""),805.0)</f>
        <v>805</v>
      </c>
      <c r="G22572" s="4">
        <f>IFERROR(__xludf.DUMMYFUNCTION("""COMPUTED_VALUE"""),53.0)</f>
        <v>53</v>
      </c>
      <c r="H22572" s="4"/>
      <c r="I22572" s="4"/>
    </row>
    <row r="22573">
      <c r="A22573" s="4" t="str">
        <f>IFERROR(__xludf.DUMMYFUNCTION("""COMPUTED_VALUE"""),"cas_hmw")</f>
        <v>cas_hmw</v>
      </c>
      <c r="B22573" s="5">
        <f>IFERROR(__xludf.DUMMYFUNCTION("""COMPUTED_VALUE"""),44790.0)</f>
        <v>44790</v>
      </c>
      <c r="C22573" s="6">
        <f>IFERROR(__xludf.DUMMYFUNCTION("""COMPUTED_VALUE"""),0.33247685185051523)</f>
        <v>0.3324768519</v>
      </c>
      <c r="D22573" s="4">
        <f>IFERROR(__xludf.DUMMYFUNCTION("""COMPUTED_VALUE"""),13.001834)</f>
        <v>13.001834</v>
      </c>
      <c r="E22573" s="4">
        <f>IFERROR(__xludf.DUMMYFUNCTION("""COMPUTED_VALUE"""),80.196694)</f>
        <v>80.196694</v>
      </c>
      <c r="F22573" s="4">
        <f>IFERROR(__xludf.DUMMYFUNCTION("""COMPUTED_VALUE"""),805.0)</f>
        <v>805</v>
      </c>
      <c r="G22573" s="4">
        <f>IFERROR(__xludf.DUMMYFUNCTION("""COMPUTED_VALUE"""),42.0)</f>
        <v>42</v>
      </c>
      <c r="H22573" s="4"/>
      <c r="I22573" s="4"/>
    </row>
    <row r="22574">
      <c r="A22574" s="4" t="str">
        <f>IFERROR(__xludf.DUMMYFUNCTION("""COMPUTED_VALUE"""),"cas_hmw")</f>
        <v>cas_hmw</v>
      </c>
      <c r="B22574" s="5">
        <f>IFERROR(__xludf.DUMMYFUNCTION("""COMPUTED_VALUE"""),44790.0)</f>
        <v>44790</v>
      </c>
      <c r="C22574" s="6">
        <f>IFERROR(__xludf.DUMMYFUNCTION("""COMPUTED_VALUE"""),0.33307870370481396)</f>
        <v>0.3330787037</v>
      </c>
      <c r="D22574" s="4">
        <f>IFERROR(__xludf.DUMMYFUNCTION("""COMPUTED_VALUE"""),12.972147)</f>
        <v>12.972147</v>
      </c>
      <c r="E22574" s="4">
        <f>IFERROR(__xludf.DUMMYFUNCTION("""COMPUTED_VALUE"""),80.15159)</f>
        <v>80.15159</v>
      </c>
      <c r="F22574" s="4">
        <f>IFERROR(__xludf.DUMMYFUNCTION("""COMPUTED_VALUE"""),5339.0)</f>
        <v>5339</v>
      </c>
      <c r="G22574" s="4">
        <f>IFERROR(__xludf.DUMMYFUNCTION("""COMPUTED_VALUE"""),43.0)</f>
        <v>43</v>
      </c>
      <c r="H22574" s="4"/>
      <c r="I22574" s="4"/>
    </row>
    <row r="22575">
      <c r="A22575" s="4" t="str">
        <f>IFERROR(__xludf.DUMMYFUNCTION("""COMPUTED_VALUE"""),"cas_hmw")</f>
        <v>cas_hmw</v>
      </c>
      <c r="B22575" s="5">
        <f>IFERROR(__xludf.DUMMYFUNCTION("""COMPUTED_VALUE"""),44790.0)</f>
        <v>44790</v>
      </c>
      <c r="C22575" s="6">
        <f>IFERROR(__xludf.DUMMYFUNCTION("""COMPUTED_VALUE"""),0.3331018518510973)</f>
        <v>0.3331018519</v>
      </c>
      <c r="D22575" s="4">
        <f>IFERROR(__xludf.DUMMYFUNCTION("""COMPUTED_VALUE"""),12.972147)</f>
        <v>12.972147</v>
      </c>
      <c r="E22575" s="4">
        <f>IFERROR(__xludf.DUMMYFUNCTION("""COMPUTED_VALUE"""),80.15159)</f>
        <v>80.15159</v>
      </c>
      <c r="F22575" s="4">
        <f>IFERROR(__xludf.DUMMYFUNCTION("""COMPUTED_VALUE"""),5339.0)</f>
        <v>5339</v>
      </c>
      <c r="G22575" s="4">
        <f>IFERROR(__xludf.DUMMYFUNCTION("""COMPUTED_VALUE"""),43.0)</f>
        <v>43</v>
      </c>
      <c r="H22575" s="4"/>
      <c r="I22575" s="4"/>
    </row>
    <row r="22576">
      <c r="A22576" s="4" t="str">
        <f>IFERROR(__xludf.DUMMYFUNCTION("""COMPUTED_VALUE"""),"cas_hmw")</f>
        <v>cas_hmw</v>
      </c>
      <c r="B22576" s="5">
        <f>IFERROR(__xludf.DUMMYFUNCTION("""COMPUTED_VALUE"""),44790.0)</f>
        <v>44790</v>
      </c>
      <c r="C22576" s="6">
        <f>IFERROR(__xludf.DUMMYFUNCTION("""COMPUTED_VALUE"""),0.3331365740741603)</f>
        <v>0.3331365741</v>
      </c>
      <c r="D22576" s="4">
        <f>IFERROR(__xludf.DUMMYFUNCTION("""COMPUTED_VALUE"""),12.972147)</f>
        <v>12.972147</v>
      </c>
      <c r="E22576" s="4">
        <f>IFERROR(__xludf.DUMMYFUNCTION("""COMPUTED_VALUE"""),80.15159)</f>
        <v>80.15159</v>
      </c>
      <c r="F22576" s="4">
        <f>IFERROR(__xludf.DUMMYFUNCTION("""COMPUTED_VALUE"""),5339.0)</f>
        <v>5339</v>
      </c>
      <c r="G22576" s="4">
        <f>IFERROR(__xludf.DUMMYFUNCTION("""COMPUTED_VALUE"""),43.0)</f>
        <v>43</v>
      </c>
      <c r="H22576" s="4"/>
      <c r="I22576" s="4"/>
    </row>
    <row r="22577">
      <c r="A22577" s="4" t="str">
        <f>IFERROR(__xludf.DUMMYFUNCTION("""COMPUTED_VALUE"""),"cas_hmw")</f>
        <v>cas_hmw</v>
      </c>
      <c r="B22577" s="5">
        <f>IFERROR(__xludf.DUMMYFUNCTION("""COMPUTED_VALUE"""),44790.0)</f>
        <v>44790</v>
      </c>
      <c r="C22577" s="6">
        <f>IFERROR(__xludf.DUMMYFUNCTION("""COMPUTED_VALUE"""),0.33373842592482106)</f>
        <v>0.3337384259</v>
      </c>
      <c r="D22577" s="4">
        <f>IFERROR(__xludf.DUMMYFUNCTION("""COMPUTED_VALUE"""),12.967564)</f>
        <v>12.967564</v>
      </c>
      <c r="E22577" s="4">
        <f>IFERROR(__xludf.DUMMYFUNCTION("""COMPUTED_VALUE"""),80.14925)</f>
        <v>80.14925</v>
      </c>
      <c r="F22577" s="4">
        <f>IFERROR(__xludf.DUMMYFUNCTION("""COMPUTED_VALUE"""),5339.0)</f>
        <v>5339</v>
      </c>
      <c r="G22577" s="4">
        <f>IFERROR(__xludf.DUMMYFUNCTION("""COMPUTED_VALUE"""),41.0)</f>
        <v>41</v>
      </c>
      <c r="H22577" s="4"/>
      <c r="I22577" s="4"/>
    </row>
    <row r="22578">
      <c r="A22578" s="4" t="str">
        <f>IFERROR(__xludf.DUMMYFUNCTION("""COMPUTED_VALUE"""),"cas_hmw")</f>
        <v>cas_hmw</v>
      </c>
      <c r="B22578" s="5">
        <f>IFERROR(__xludf.DUMMYFUNCTION("""COMPUTED_VALUE"""),44790.0)</f>
        <v>44790</v>
      </c>
      <c r="C22578" s="6">
        <f>IFERROR(__xludf.DUMMYFUNCTION("""COMPUTED_VALUE"""),0.33377314814788406)</f>
        <v>0.3337731481</v>
      </c>
      <c r="D22578" s="4">
        <f>IFERROR(__xludf.DUMMYFUNCTION("""COMPUTED_VALUE"""),12.966607)</f>
        <v>12.966607</v>
      </c>
      <c r="E22578" s="4">
        <f>IFERROR(__xludf.DUMMYFUNCTION("""COMPUTED_VALUE"""),80.14884)</f>
        <v>80.14884</v>
      </c>
      <c r="F22578" s="4">
        <f>IFERROR(__xludf.DUMMYFUNCTION("""COMPUTED_VALUE"""),5339.0)</f>
        <v>5339</v>
      </c>
      <c r="G22578" s="4">
        <f>IFERROR(__xludf.DUMMYFUNCTION("""COMPUTED_VALUE"""),34.0)</f>
        <v>34</v>
      </c>
      <c r="H22578" s="4"/>
      <c r="I22578" s="4"/>
    </row>
    <row r="22579">
      <c r="A22579" s="4" t="str">
        <f>IFERROR(__xludf.DUMMYFUNCTION("""COMPUTED_VALUE"""),"cas_hmw")</f>
        <v>cas_hmw</v>
      </c>
      <c r="B22579" s="5">
        <f>IFERROR(__xludf.DUMMYFUNCTION("""COMPUTED_VALUE"""),44790.0)</f>
        <v>44790</v>
      </c>
      <c r="C22579" s="6">
        <f>IFERROR(__xludf.DUMMYFUNCTION("""COMPUTED_VALUE"""),0.3339120370364981)</f>
        <v>0.333912037</v>
      </c>
      <c r="D22579" s="4">
        <f>IFERROR(__xludf.DUMMYFUNCTION("""COMPUTED_VALUE"""),12.965935)</f>
        <v>12.965935</v>
      </c>
      <c r="E22579" s="4">
        <f>IFERROR(__xludf.DUMMYFUNCTION("""COMPUTED_VALUE"""),80.148496)</f>
        <v>80.148496</v>
      </c>
      <c r="F22579" s="4">
        <f>IFERROR(__xludf.DUMMYFUNCTION("""COMPUTED_VALUE"""),5339.0)</f>
        <v>5339</v>
      </c>
      <c r="G22579" s="4">
        <f>IFERROR(__xludf.DUMMYFUNCTION("""COMPUTED_VALUE"""),33.0)</f>
        <v>33</v>
      </c>
      <c r="H22579" s="4"/>
      <c r="I22579" s="4"/>
    </row>
    <row r="22580">
      <c r="A22580" s="4" t="str">
        <f>IFERROR(__xludf.DUMMYFUNCTION("""COMPUTED_VALUE"""),"cas_hmw")</f>
        <v>cas_hmw</v>
      </c>
      <c r="B22580" s="5">
        <f>IFERROR(__xludf.DUMMYFUNCTION("""COMPUTED_VALUE"""),44790.0)</f>
        <v>44790</v>
      </c>
      <c r="C22580" s="6">
        <f>IFERROR(__xludf.DUMMYFUNCTION("""COMPUTED_VALUE"""),0.3339467592595611)</f>
        <v>0.3339467593</v>
      </c>
      <c r="D22580" s="4">
        <f>IFERROR(__xludf.DUMMYFUNCTION("""COMPUTED_VALUE"""),12.965935)</f>
        <v>12.965935</v>
      </c>
      <c r="E22580" s="4">
        <f>IFERROR(__xludf.DUMMYFUNCTION("""COMPUTED_VALUE"""),80.148496)</f>
        <v>80.148496</v>
      </c>
      <c r="F22580" s="4">
        <f>IFERROR(__xludf.DUMMYFUNCTION("""COMPUTED_VALUE"""),5339.0)</f>
        <v>5339</v>
      </c>
      <c r="G22580" s="4">
        <f>IFERROR(__xludf.DUMMYFUNCTION("""COMPUTED_VALUE"""),33.0)</f>
        <v>33</v>
      </c>
      <c r="H22580" s="4"/>
      <c r="I22580" s="4"/>
    </row>
    <row r="22581">
      <c r="A22581" s="4" t="str">
        <f>IFERROR(__xludf.DUMMYFUNCTION("""COMPUTED_VALUE"""),"cas_hmw")</f>
        <v>cas_hmw</v>
      </c>
      <c r="B22581" s="5">
        <f>IFERROR(__xludf.DUMMYFUNCTION("""COMPUTED_VALUE"""),44790.0)</f>
        <v>44790</v>
      </c>
      <c r="C22581" s="6">
        <f>IFERROR(__xludf.DUMMYFUNCTION("""COMPUTED_VALUE"""),0.33413194444437977)</f>
        <v>0.3341319444</v>
      </c>
      <c r="D22581" s="4">
        <f>IFERROR(__xludf.DUMMYFUNCTION("""COMPUTED_VALUE"""),12.995792)</f>
        <v>12.995792</v>
      </c>
      <c r="E22581" s="4">
        <f>IFERROR(__xludf.DUMMYFUNCTION("""COMPUTED_VALUE"""),80.189009)</f>
        <v>80.189009</v>
      </c>
      <c r="F22581" s="4">
        <f>IFERROR(__xludf.DUMMYFUNCTION("""COMPUTED_VALUE"""),805.0)</f>
        <v>805</v>
      </c>
      <c r="G22581" s="4">
        <f>IFERROR(__xludf.DUMMYFUNCTION("""COMPUTED_VALUE"""),34.0)</f>
        <v>34</v>
      </c>
      <c r="H22581" s="4"/>
      <c r="I22581" s="4"/>
    </row>
    <row r="22582">
      <c r="A22582" s="4" t="str">
        <f>IFERROR(__xludf.DUMMYFUNCTION("""COMPUTED_VALUE"""),"cas_hmw")</f>
        <v>cas_hmw</v>
      </c>
      <c r="B22582" s="5">
        <f>IFERROR(__xludf.DUMMYFUNCTION("""COMPUTED_VALUE"""),44790.0)</f>
        <v>44790</v>
      </c>
      <c r="C22582" s="6">
        <f>IFERROR(__xludf.DUMMYFUNCTION("""COMPUTED_VALUE"""),0.3346643518525525)</f>
        <v>0.3346643519</v>
      </c>
      <c r="D22582" s="4">
        <f>IFERROR(__xludf.DUMMYFUNCTION("""COMPUTED_VALUE"""),12.943766)</f>
        <v>12.943766</v>
      </c>
      <c r="E22582" s="4">
        <f>IFERROR(__xludf.DUMMYFUNCTION("""COMPUTED_VALUE"""),80.18304)</f>
        <v>80.18304</v>
      </c>
      <c r="F22582" s="4">
        <f>IFERROR(__xludf.DUMMYFUNCTION("""COMPUTED_VALUE"""),3143.0)</f>
        <v>3143</v>
      </c>
      <c r="G22582" s="4">
        <f>IFERROR(__xludf.DUMMYFUNCTION("""COMPUTED_VALUE"""),11.0)</f>
        <v>11</v>
      </c>
      <c r="H22582" s="4"/>
      <c r="I22582" s="4"/>
    </row>
    <row r="22583">
      <c r="A22583" s="4" t="str">
        <f>IFERROR(__xludf.DUMMYFUNCTION("""COMPUTED_VALUE"""),"cas_hmw")</f>
        <v>cas_hmw</v>
      </c>
      <c r="B22583" s="5">
        <f>IFERROR(__xludf.DUMMYFUNCTION("""COMPUTED_VALUE"""),44790.0)</f>
        <v>44790</v>
      </c>
      <c r="C22583" s="6">
        <f>IFERROR(__xludf.DUMMYFUNCTION("""COMPUTED_VALUE"""),0.33482638888744987)</f>
        <v>0.3348263889</v>
      </c>
      <c r="D22583" s="4">
        <f>IFERROR(__xludf.DUMMYFUNCTION("""COMPUTED_VALUE"""),12.993915)</f>
        <v>12.993915</v>
      </c>
      <c r="E22583" s="4">
        <f>IFERROR(__xludf.DUMMYFUNCTION("""COMPUTED_VALUE"""),80.185395)</f>
        <v>80.185395</v>
      </c>
      <c r="F22583" s="4">
        <f>IFERROR(__xludf.DUMMYFUNCTION("""COMPUTED_VALUE"""),805.0)</f>
        <v>805</v>
      </c>
      <c r="G22583" s="4">
        <f>IFERROR(__xludf.DUMMYFUNCTION("""COMPUTED_VALUE"""),28.0)</f>
        <v>28</v>
      </c>
      <c r="H22583" s="4"/>
      <c r="I22583" s="4"/>
    </row>
    <row r="22584">
      <c r="A22584" s="4" t="str">
        <f>IFERROR(__xludf.DUMMYFUNCTION("""COMPUTED_VALUE"""),"cas_hmw")</f>
        <v>cas_hmw</v>
      </c>
      <c r="B22584" s="5">
        <f>IFERROR(__xludf.DUMMYFUNCTION("""COMPUTED_VALUE"""),44790.0)</f>
        <v>44790</v>
      </c>
      <c r="C22584" s="6">
        <f>IFERROR(__xludf.DUMMYFUNCTION("""COMPUTED_VALUE"""),0.33508101851839456)</f>
        <v>0.3350810185</v>
      </c>
      <c r="D22584" s="4">
        <f>IFERROR(__xludf.DUMMYFUNCTION("""COMPUTED_VALUE"""),12.992966)</f>
        <v>12.992966</v>
      </c>
      <c r="E22584" s="4">
        <f>IFERROR(__xludf.DUMMYFUNCTION("""COMPUTED_VALUE"""),80.183655)</f>
        <v>80.183655</v>
      </c>
      <c r="F22584" s="4">
        <f>IFERROR(__xludf.DUMMYFUNCTION("""COMPUTED_VALUE"""),805.0)</f>
        <v>805</v>
      </c>
      <c r="G22584" s="4">
        <f>IFERROR(__xludf.DUMMYFUNCTION("""COMPUTED_VALUE"""),46.0)</f>
        <v>46</v>
      </c>
      <c r="H22584" s="4"/>
      <c r="I22584" s="4"/>
    </row>
    <row r="22585">
      <c r="A22585" s="4" t="str">
        <f>IFERROR(__xludf.DUMMYFUNCTION("""COMPUTED_VALUE"""),"cas_hmw")</f>
        <v>cas_hmw</v>
      </c>
      <c r="B22585" s="5">
        <f>IFERROR(__xludf.DUMMYFUNCTION("""COMPUTED_VALUE"""),44790.0)</f>
        <v>44790</v>
      </c>
      <c r="C22585" s="6">
        <f>IFERROR(__xludf.DUMMYFUNCTION("""COMPUTED_VALUE"""),0.33570601851897663)</f>
        <v>0.3357060185</v>
      </c>
      <c r="D22585" s="4">
        <f>IFERROR(__xludf.DUMMYFUNCTION("""COMPUTED_VALUE"""),12.952874)</f>
        <v>12.952874</v>
      </c>
      <c r="E22585" s="4">
        <f>IFERROR(__xludf.DUMMYFUNCTION("""COMPUTED_VALUE"""),80.141406)</f>
        <v>80.141406</v>
      </c>
      <c r="F22585" s="4">
        <f>IFERROR(__xludf.DUMMYFUNCTION("""COMPUTED_VALUE"""),5339.0)</f>
        <v>5339</v>
      </c>
      <c r="G22585" s="4">
        <f>IFERROR(__xludf.DUMMYFUNCTION("""COMPUTED_VALUE"""),21.0)</f>
        <v>21</v>
      </c>
      <c r="H22585" s="4"/>
      <c r="I22585" s="4"/>
    </row>
    <row r="22586">
      <c r="A22586" s="4" t="str">
        <f>IFERROR(__xludf.DUMMYFUNCTION("""COMPUTED_VALUE"""),"cas_hmw")</f>
        <v>cas_hmw</v>
      </c>
      <c r="B22586" s="5">
        <f>IFERROR(__xludf.DUMMYFUNCTION("""COMPUTED_VALUE"""),44790.0)</f>
        <v>44790</v>
      </c>
      <c r="C22586" s="6">
        <f>IFERROR(__xludf.DUMMYFUNCTION("""COMPUTED_VALUE"""),0.33572916666526)</f>
        <v>0.3357291667</v>
      </c>
      <c r="D22586" s="4">
        <f>IFERROR(__xludf.DUMMYFUNCTION("""COMPUTED_VALUE"""),12.95237)</f>
        <v>12.95237</v>
      </c>
      <c r="E22586" s="4">
        <f>IFERROR(__xludf.DUMMYFUNCTION("""COMPUTED_VALUE"""),80.141035)</f>
        <v>80.141035</v>
      </c>
      <c r="F22586" s="4">
        <f>IFERROR(__xludf.DUMMYFUNCTION("""COMPUTED_VALUE"""),5339.0)</f>
        <v>5339</v>
      </c>
      <c r="G22586" s="4">
        <f>IFERROR(__xludf.DUMMYFUNCTION("""COMPUTED_VALUE"""),29.0)</f>
        <v>29</v>
      </c>
      <c r="H22586" s="4"/>
      <c r="I22586" s="4"/>
    </row>
    <row r="22587">
      <c r="A22587" s="4" t="str">
        <f>IFERROR(__xludf.DUMMYFUNCTION("""COMPUTED_VALUE"""),"cas_hmw")</f>
        <v>cas_hmw</v>
      </c>
      <c r="B22587" s="5">
        <f>IFERROR(__xludf.DUMMYFUNCTION("""COMPUTED_VALUE"""),44790.0)</f>
        <v>44790</v>
      </c>
      <c r="C22587" s="6">
        <f>IFERROR(__xludf.DUMMYFUNCTION("""COMPUTED_VALUE"""),0.33584490740759065)</f>
        <v>0.3358449074</v>
      </c>
      <c r="D22587" s="4">
        <f>IFERROR(__xludf.DUMMYFUNCTION("""COMPUTED_VALUE"""),12.951743)</f>
        <v>12.951743</v>
      </c>
      <c r="E22587" s="4">
        <f>IFERROR(__xludf.DUMMYFUNCTION("""COMPUTED_VALUE"""),80.14055)</f>
        <v>80.14055</v>
      </c>
      <c r="F22587" s="4">
        <f>IFERROR(__xludf.DUMMYFUNCTION("""COMPUTED_VALUE"""),5339.0)</f>
        <v>5339</v>
      </c>
      <c r="G22587" s="4">
        <f>IFERROR(__xludf.DUMMYFUNCTION("""COMPUTED_VALUE"""),34.0)</f>
        <v>34</v>
      </c>
      <c r="H22587" s="4"/>
      <c r="I22587" s="4"/>
    </row>
    <row r="22588">
      <c r="A22588" s="4" t="str">
        <f>IFERROR(__xludf.DUMMYFUNCTION("""COMPUTED_VALUE"""),"cas_hmw")</f>
        <v>cas_hmw</v>
      </c>
      <c r="B22588" s="5">
        <f>IFERROR(__xludf.DUMMYFUNCTION("""COMPUTED_VALUE"""),44790.0)</f>
        <v>44790</v>
      </c>
      <c r="C22588" s="6">
        <f>IFERROR(__xludf.DUMMYFUNCTION("""COMPUTED_VALUE"""),0.33603009259240935)</f>
        <v>0.3360300926</v>
      </c>
      <c r="D22588" s="4">
        <f>IFERROR(__xludf.DUMMYFUNCTION("""COMPUTED_VALUE"""),12.988516)</f>
        <v>12.988516</v>
      </c>
      <c r="E22588" s="4">
        <f>IFERROR(__xludf.DUMMYFUNCTION("""COMPUTED_VALUE"""),80.177686)</f>
        <v>80.177686</v>
      </c>
      <c r="F22588" s="4">
        <f>IFERROR(__xludf.DUMMYFUNCTION("""COMPUTED_VALUE"""),805.0)</f>
        <v>805</v>
      </c>
      <c r="G22588" s="4">
        <f>IFERROR(__xludf.DUMMYFUNCTION("""COMPUTED_VALUE"""),52.0)</f>
        <v>52</v>
      </c>
      <c r="H22588" s="4"/>
      <c r="I22588" s="4"/>
    </row>
    <row r="22589">
      <c r="A22589" s="4" t="str">
        <f>IFERROR(__xludf.DUMMYFUNCTION("""COMPUTED_VALUE"""),"cas_hmw")</f>
        <v>cas_hmw</v>
      </c>
      <c r="B22589" s="5">
        <f>IFERROR(__xludf.DUMMYFUNCTION("""COMPUTED_VALUE"""),44790.0)</f>
        <v>44790</v>
      </c>
      <c r="C22589" s="6">
        <f>IFERROR(__xludf.DUMMYFUNCTION("""COMPUTED_VALUE"""),0.33628472222335404)</f>
        <v>0.3362847222</v>
      </c>
      <c r="D22589" s="4">
        <f>IFERROR(__xludf.DUMMYFUNCTION("""COMPUTED_VALUE"""),12.950808)</f>
        <v>12.950808</v>
      </c>
      <c r="E22589" s="4">
        <f>IFERROR(__xludf.DUMMYFUNCTION("""COMPUTED_VALUE"""),80.139856)</f>
        <v>80.139856</v>
      </c>
      <c r="F22589" s="4">
        <f>IFERROR(__xludf.DUMMYFUNCTION("""COMPUTED_VALUE"""),5339.0)</f>
        <v>5339</v>
      </c>
      <c r="G22589" s="4">
        <f>IFERROR(__xludf.DUMMYFUNCTION("""COMPUTED_VALUE"""),12.0)</f>
        <v>12</v>
      </c>
      <c r="H22589" s="4"/>
      <c r="I22589" s="4"/>
    </row>
    <row r="22590">
      <c r="A22590" s="4" t="str">
        <f>IFERROR(__xludf.DUMMYFUNCTION("""COMPUTED_VALUE"""),"cas_hmw")</f>
        <v>cas_hmw</v>
      </c>
      <c r="B22590" s="5">
        <f>IFERROR(__xludf.DUMMYFUNCTION("""COMPUTED_VALUE"""),44790.0)</f>
        <v>44790</v>
      </c>
      <c r="C22590" s="6">
        <f>IFERROR(__xludf.DUMMYFUNCTION("""COMPUTED_VALUE"""),0.33628472222335404)</f>
        <v>0.3362847222</v>
      </c>
      <c r="D22590" s="4">
        <f>IFERROR(__xludf.DUMMYFUNCTION("""COMPUTED_VALUE"""),12.763079)</f>
        <v>12.763079</v>
      </c>
      <c r="E22590" s="4">
        <f>IFERROR(__xludf.DUMMYFUNCTION("""COMPUTED_VALUE"""),80.003992)</f>
        <v>80.003992</v>
      </c>
      <c r="F22590" s="4">
        <f>IFERROR(__xludf.DUMMYFUNCTION("""COMPUTED_VALUE"""),2846.0)</f>
        <v>2846</v>
      </c>
      <c r="G22590" s="4">
        <f>IFERROR(__xludf.DUMMYFUNCTION("""COMPUTED_VALUE"""),21.0)</f>
        <v>21</v>
      </c>
      <c r="H22590" s="4"/>
      <c r="I22590" s="4"/>
    </row>
    <row r="22591">
      <c r="A22591" s="4" t="str">
        <f>IFERROR(__xludf.DUMMYFUNCTION("""COMPUTED_VALUE"""),"cas_hmw")</f>
        <v>cas_hmw</v>
      </c>
      <c r="B22591" s="5">
        <f>IFERROR(__xludf.DUMMYFUNCTION("""COMPUTED_VALUE"""),44790.0)</f>
        <v>44790</v>
      </c>
      <c r="C22591" s="6">
        <f>IFERROR(__xludf.DUMMYFUNCTION("""COMPUTED_VALUE"""),0.3362962962964957)</f>
        <v>0.3362962963</v>
      </c>
      <c r="D22591" s="4">
        <f>IFERROR(__xludf.DUMMYFUNCTION("""COMPUTED_VALUE"""),12.763079)</f>
        <v>12.763079</v>
      </c>
      <c r="E22591" s="4">
        <f>IFERROR(__xludf.DUMMYFUNCTION("""COMPUTED_VALUE"""),80.003992)</f>
        <v>80.003992</v>
      </c>
      <c r="F22591" s="4">
        <f>IFERROR(__xludf.DUMMYFUNCTION("""COMPUTED_VALUE"""),2846.0)</f>
        <v>2846</v>
      </c>
      <c r="G22591" s="4">
        <f>IFERROR(__xludf.DUMMYFUNCTION("""COMPUTED_VALUE"""),21.0)</f>
        <v>21</v>
      </c>
      <c r="H22591" s="4"/>
      <c r="I22591" s="4"/>
    </row>
    <row r="22592">
      <c r="A22592" s="4" t="str">
        <f>IFERROR(__xludf.DUMMYFUNCTION("""COMPUTED_VALUE"""),"cas_hmw")</f>
        <v>cas_hmw</v>
      </c>
      <c r="B22592" s="5">
        <f>IFERROR(__xludf.DUMMYFUNCTION("""COMPUTED_VALUE"""),44790.0)</f>
        <v>44790</v>
      </c>
      <c r="C22592" s="6">
        <f>IFERROR(__xludf.DUMMYFUNCTION("""COMPUTED_VALUE"""),0.33635416666584206)</f>
        <v>0.3363541667</v>
      </c>
      <c r="D22592" s="4">
        <f>IFERROR(__xludf.DUMMYFUNCTION("""COMPUTED_VALUE"""),12.986103)</f>
        <v>12.986103</v>
      </c>
      <c r="E22592" s="4">
        <f>IFERROR(__xludf.DUMMYFUNCTION("""COMPUTED_VALUE"""),80.174282)</f>
        <v>80.174282</v>
      </c>
      <c r="F22592" s="4">
        <f>IFERROR(__xludf.DUMMYFUNCTION("""COMPUTED_VALUE"""),805.0)</f>
        <v>805</v>
      </c>
      <c r="G22592" s="4">
        <f>IFERROR(__xludf.DUMMYFUNCTION("""COMPUTED_VALUE"""),56.0)</f>
        <v>56</v>
      </c>
      <c r="H22592" s="4"/>
      <c r="I22592" s="4"/>
    </row>
    <row r="22593">
      <c r="A22593" s="4" t="str">
        <f>IFERROR(__xludf.DUMMYFUNCTION("""COMPUTED_VALUE"""),"cas_hmw")</f>
        <v>cas_hmw</v>
      </c>
      <c r="B22593" s="5">
        <f>IFERROR(__xludf.DUMMYFUNCTION("""COMPUTED_VALUE"""),44790.0)</f>
        <v>44790</v>
      </c>
      <c r="C22593" s="6">
        <f>IFERROR(__xludf.DUMMYFUNCTION("""COMPUTED_VALUE"""),0.3365509259274404)</f>
        <v>0.3365509259</v>
      </c>
      <c r="D22593" s="4">
        <f>IFERROR(__xludf.DUMMYFUNCTION("""COMPUTED_VALUE"""),12.984449)</f>
        <v>12.984449</v>
      </c>
      <c r="E22593" s="4">
        <f>IFERROR(__xludf.DUMMYFUNCTION("""COMPUTED_VALUE"""),80.171836)</f>
        <v>80.171836</v>
      </c>
      <c r="F22593" s="4">
        <f>IFERROR(__xludf.DUMMYFUNCTION("""COMPUTED_VALUE"""),805.0)</f>
        <v>805</v>
      </c>
      <c r="G22593" s="4">
        <f>IFERROR(__xludf.DUMMYFUNCTION("""COMPUTED_VALUE"""),58.0)</f>
        <v>58</v>
      </c>
      <c r="H22593" s="4"/>
      <c r="I22593" s="4"/>
    </row>
    <row r="22594">
      <c r="A22594" s="4" t="str">
        <f>IFERROR(__xludf.DUMMYFUNCTION("""COMPUTED_VALUE"""),"cas_hmw")</f>
        <v>cas_hmw</v>
      </c>
      <c r="B22594" s="5">
        <f>IFERROR(__xludf.DUMMYFUNCTION("""COMPUTED_VALUE"""),44790.0)</f>
        <v>44790</v>
      </c>
      <c r="C22594" s="6">
        <f>IFERROR(__xludf.DUMMYFUNCTION("""COMPUTED_VALUE"""),0.33693287037021946)</f>
        <v>0.3369328704</v>
      </c>
      <c r="D22594" s="4">
        <f>IFERROR(__xludf.DUMMYFUNCTION("""COMPUTED_VALUE"""),12.76891)</f>
        <v>12.76891</v>
      </c>
      <c r="E22594" s="4">
        <f>IFERROR(__xludf.DUMMYFUNCTION("""COMPUTED_VALUE"""),80.006563)</f>
        <v>80.006563</v>
      </c>
      <c r="F22594" s="4">
        <f>IFERROR(__xludf.DUMMYFUNCTION("""COMPUTED_VALUE"""),2846.0)</f>
        <v>2846</v>
      </c>
      <c r="G22594" s="4">
        <f>IFERROR(__xludf.DUMMYFUNCTION("""COMPUTED_VALUE"""),52.0)</f>
        <v>52</v>
      </c>
      <c r="H22594" s="4"/>
      <c r="I22594" s="4"/>
    </row>
    <row r="22595">
      <c r="A22595" s="4" t="str">
        <f>IFERROR(__xludf.DUMMYFUNCTION("""COMPUTED_VALUE"""),"cas_hmw")</f>
        <v>cas_hmw</v>
      </c>
      <c r="B22595" s="5">
        <f>IFERROR(__xludf.DUMMYFUNCTION("""COMPUTED_VALUE"""),44790.0)</f>
        <v>44790</v>
      </c>
      <c r="C22595" s="6">
        <f>IFERROR(__xludf.DUMMYFUNCTION("""COMPUTED_VALUE"""),0.33711805555503815)</f>
        <v>0.3371180556</v>
      </c>
      <c r="D22595" s="4">
        <f>IFERROR(__xludf.DUMMYFUNCTION("""COMPUTED_VALUE"""),12.980884)</f>
        <v>12.980884</v>
      </c>
      <c r="E22595" s="4">
        <f>IFERROR(__xludf.DUMMYFUNCTION("""COMPUTED_VALUE"""),80.165847)</f>
        <v>80.165847</v>
      </c>
      <c r="F22595" s="4">
        <f>IFERROR(__xludf.DUMMYFUNCTION("""COMPUTED_VALUE"""),805.0)</f>
        <v>805</v>
      </c>
      <c r="G22595" s="4">
        <f>IFERROR(__xludf.DUMMYFUNCTION("""COMPUTED_VALUE"""),49.0)</f>
        <v>49</v>
      </c>
      <c r="H22595" s="4"/>
      <c r="I22595" s="4"/>
    </row>
    <row r="22596">
      <c r="A22596" s="4" t="str">
        <f>IFERROR(__xludf.DUMMYFUNCTION("""COMPUTED_VALUE"""),"cas_hmw")</f>
        <v>cas_hmw</v>
      </c>
      <c r="B22596" s="5">
        <f>IFERROR(__xludf.DUMMYFUNCTION("""COMPUTED_VALUE"""),44790.0)</f>
        <v>44790</v>
      </c>
      <c r="C22596" s="6">
        <f>IFERROR(__xludf.DUMMYFUNCTION("""COMPUTED_VALUE"""),0.33730324073985685)</f>
        <v>0.3373032407</v>
      </c>
      <c r="D22596" s="4">
        <f>IFERROR(__xludf.DUMMYFUNCTION("""COMPUTED_VALUE"""),12.944058)</f>
        <v>12.944058</v>
      </c>
      <c r="E22596" s="4">
        <f>IFERROR(__xludf.DUMMYFUNCTION("""COMPUTED_VALUE"""),80.134652)</f>
        <v>80.134652</v>
      </c>
      <c r="F22596" s="4">
        <f>IFERROR(__xludf.DUMMYFUNCTION("""COMPUTED_VALUE"""),5339.0)</f>
        <v>5339</v>
      </c>
      <c r="G22596" s="4">
        <f>IFERROR(__xludf.DUMMYFUNCTION("""COMPUTED_VALUE"""),34.0)</f>
        <v>34</v>
      </c>
      <c r="H22596" s="4"/>
      <c r="I22596" s="4"/>
    </row>
    <row r="22597">
      <c r="A22597" s="4" t="str">
        <f>IFERROR(__xludf.DUMMYFUNCTION("""COMPUTED_VALUE"""),"cas_hmw")</f>
        <v>cas_hmw</v>
      </c>
      <c r="B22597" s="5">
        <f>IFERROR(__xludf.DUMMYFUNCTION("""COMPUTED_VALUE"""),44790.0)</f>
        <v>44790</v>
      </c>
      <c r="C22597" s="6">
        <f>IFERROR(__xludf.DUMMYFUNCTION("""COMPUTED_VALUE"""),0.33791666666729725)</f>
        <v>0.3379166667</v>
      </c>
      <c r="D22597" s="4">
        <f>IFERROR(__xludf.DUMMYFUNCTION("""COMPUTED_VALUE"""),12.979635)</f>
        <v>12.979635</v>
      </c>
      <c r="E22597" s="4">
        <f>IFERROR(__xludf.DUMMYFUNCTION("""COMPUTED_VALUE"""),80.16244)</f>
        <v>80.16244</v>
      </c>
      <c r="F22597" s="4">
        <f>IFERROR(__xludf.DUMMYFUNCTION("""COMPUTED_VALUE"""),805.0)</f>
        <v>805</v>
      </c>
      <c r="G22597" s="4">
        <f>IFERROR(__xludf.DUMMYFUNCTION("""COMPUTED_VALUE"""),35.0)</f>
        <v>35</v>
      </c>
      <c r="H22597" s="4"/>
      <c r="I22597" s="4"/>
    </row>
    <row r="22598">
      <c r="A22598" s="4" t="str">
        <f>IFERROR(__xludf.DUMMYFUNCTION("""COMPUTED_VALUE"""),"cas_hmw")</f>
        <v>cas_hmw</v>
      </c>
      <c r="B22598" s="5">
        <f>IFERROR(__xludf.DUMMYFUNCTION("""COMPUTED_VALUE"""),44790.0)</f>
        <v>44790</v>
      </c>
      <c r="C22598" s="6">
        <f>IFERROR(__xludf.DUMMYFUNCTION("""COMPUTED_VALUE"""),0.33802083333284827)</f>
        <v>0.3380208333</v>
      </c>
      <c r="D22598" s="4">
        <f>IFERROR(__xludf.DUMMYFUNCTION("""COMPUTED_VALUE"""),12.941453)</f>
        <v>12.941453</v>
      </c>
      <c r="E22598" s="4">
        <f>IFERROR(__xludf.DUMMYFUNCTION("""COMPUTED_VALUE"""),80.132154)</f>
        <v>80.132154</v>
      </c>
      <c r="F22598" s="4">
        <f>IFERROR(__xludf.DUMMYFUNCTION("""COMPUTED_VALUE"""),5339.0)</f>
        <v>5339</v>
      </c>
      <c r="G22598" s="4">
        <f>IFERROR(__xludf.DUMMYFUNCTION("""COMPUTED_VALUE"""),37.0)</f>
        <v>37</v>
      </c>
      <c r="H22598" s="4"/>
      <c r="I22598" s="4"/>
    </row>
    <row r="22599">
      <c r="A22599" s="4" t="str">
        <f>IFERROR(__xludf.DUMMYFUNCTION("""COMPUTED_VALUE"""),"cas_hmw")</f>
        <v>cas_hmw</v>
      </c>
      <c r="B22599" s="5">
        <f>IFERROR(__xludf.DUMMYFUNCTION("""COMPUTED_VALUE"""),44790.0)</f>
        <v>44790</v>
      </c>
      <c r="C22599" s="6">
        <f>IFERROR(__xludf.DUMMYFUNCTION("""COMPUTED_VALUE"""),0.3381134259252576)</f>
        <v>0.3381134259</v>
      </c>
      <c r="D22599" s="4">
        <f>IFERROR(__xludf.DUMMYFUNCTION("""COMPUTED_VALUE"""),12.979062)</f>
        <v>12.979062</v>
      </c>
      <c r="E22599" s="4">
        <f>IFERROR(__xludf.DUMMYFUNCTION("""COMPUTED_VALUE"""),80.16157)</f>
        <v>80.16157</v>
      </c>
      <c r="F22599" s="4">
        <f>IFERROR(__xludf.DUMMYFUNCTION("""COMPUTED_VALUE"""),805.0)</f>
        <v>805</v>
      </c>
      <c r="G22599" s="4">
        <f>IFERROR(__xludf.DUMMYFUNCTION("""COMPUTED_VALUE"""),45.0)</f>
        <v>45</v>
      </c>
      <c r="H22599" s="4"/>
      <c r="I22599" s="4"/>
    </row>
    <row r="22600">
      <c r="A22600" s="4" t="str">
        <f>IFERROR(__xludf.DUMMYFUNCTION("""COMPUTED_VALUE"""),"cas_hmw")</f>
        <v>cas_hmw</v>
      </c>
      <c r="B22600" s="5">
        <f>IFERROR(__xludf.DUMMYFUNCTION("""COMPUTED_VALUE"""),44790.0)</f>
        <v>44790</v>
      </c>
      <c r="C22600" s="6">
        <f>IFERROR(__xludf.DUMMYFUNCTION("""COMPUTED_VALUE"""),0.33813657407517894)</f>
        <v>0.3381365741</v>
      </c>
      <c r="D22600" s="4">
        <f>IFERROR(__xludf.DUMMYFUNCTION("""COMPUTED_VALUE"""),12.940792)</f>
        <v>12.940792</v>
      </c>
      <c r="E22600" s="4">
        <f>IFERROR(__xludf.DUMMYFUNCTION("""COMPUTED_VALUE"""),80.131478)</f>
        <v>80.131478</v>
      </c>
      <c r="F22600" s="4">
        <f>IFERROR(__xludf.DUMMYFUNCTION("""COMPUTED_VALUE"""),5339.0)</f>
        <v>5339</v>
      </c>
      <c r="G22600" s="4">
        <f>IFERROR(__xludf.DUMMYFUNCTION("""COMPUTED_VALUE"""),39.0)</f>
        <v>39</v>
      </c>
      <c r="H22600" s="4"/>
      <c r="I22600" s="4"/>
    </row>
    <row r="22601">
      <c r="A22601" s="4" t="str">
        <f>IFERROR(__xludf.DUMMYFUNCTION("""COMPUTED_VALUE"""),"cas_hmw")</f>
        <v>cas_hmw</v>
      </c>
      <c r="B22601" s="5">
        <f>IFERROR(__xludf.DUMMYFUNCTION("""COMPUTED_VALUE"""),44790.0)</f>
        <v>44790</v>
      </c>
      <c r="C22601" s="6">
        <f>IFERROR(__xludf.DUMMYFUNCTION("""COMPUTED_VALUE"""),0.33817129629460396)</f>
        <v>0.3381712963</v>
      </c>
      <c r="D22601" s="4">
        <f>IFERROR(__xludf.DUMMYFUNCTION("""COMPUTED_VALUE"""),12.940095)</f>
        <v>12.940095</v>
      </c>
      <c r="E22601" s="4">
        <f>IFERROR(__xludf.DUMMYFUNCTION("""COMPUTED_VALUE"""),80.130728)</f>
        <v>80.130728</v>
      </c>
      <c r="F22601" s="4">
        <f>IFERROR(__xludf.DUMMYFUNCTION("""COMPUTED_VALUE"""),5339.0)</f>
        <v>5339</v>
      </c>
      <c r="G22601" s="4">
        <f>IFERROR(__xludf.DUMMYFUNCTION("""COMPUTED_VALUE"""),39.0)</f>
        <v>39</v>
      </c>
      <c r="H22601" s="4"/>
      <c r="I22601" s="4"/>
    </row>
    <row r="22602">
      <c r="A22602" s="4" t="str">
        <f>IFERROR(__xludf.DUMMYFUNCTION("""COMPUTED_VALUE"""),"cas_hmw")</f>
        <v>cas_hmw</v>
      </c>
      <c r="B22602" s="5">
        <f>IFERROR(__xludf.DUMMYFUNCTION("""COMPUTED_VALUE"""),44790.0)</f>
        <v>44790</v>
      </c>
      <c r="C22602" s="6">
        <f>IFERROR(__xludf.DUMMYFUNCTION("""COMPUTED_VALUE"""),0.3385995370372257)</f>
        <v>0.338599537</v>
      </c>
      <c r="D22602" s="4">
        <f>IFERROR(__xludf.DUMMYFUNCTION("""COMPUTED_VALUE"""),12.975921)</f>
        <v>12.975921</v>
      </c>
      <c r="E22602" s="4">
        <f>IFERROR(__xludf.DUMMYFUNCTION("""COMPUTED_VALUE"""),80.15694)</f>
        <v>80.15694</v>
      </c>
      <c r="F22602" s="4">
        <f>IFERROR(__xludf.DUMMYFUNCTION("""COMPUTED_VALUE"""),805.0)</f>
        <v>805</v>
      </c>
      <c r="G22602" s="4">
        <f>IFERROR(__xludf.DUMMYFUNCTION("""COMPUTED_VALUE"""),57.0)</f>
        <v>57</v>
      </c>
      <c r="H22602" s="4"/>
      <c r="I22602" s="4"/>
    </row>
    <row r="22603">
      <c r="A22603" s="4" t="str">
        <f>IFERROR(__xludf.DUMMYFUNCTION("""COMPUTED_VALUE"""),"cas_hmw")</f>
        <v>cas_hmw</v>
      </c>
      <c r="B22603" s="5">
        <f>IFERROR(__xludf.DUMMYFUNCTION("""COMPUTED_VALUE"""),44790.0)</f>
        <v>44790</v>
      </c>
      <c r="C22603" s="6">
        <f>IFERROR(__xludf.DUMMYFUNCTION("""COMPUTED_VALUE"""),0.33878472222204437)</f>
        <v>0.3387847222</v>
      </c>
      <c r="D22603" s="4">
        <f>IFERROR(__xludf.DUMMYFUNCTION("""COMPUTED_VALUE"""),12.974616)</f>
        <v>12.974616</v>
      </c>
      <c r="E22603" s="4">
        <f>IFERROR(__xludf.DUMMYFUNCTION("""COMPUTED_VALUE"""),80.155112)</f>
        <v>80.155112</v>
      </c>
      <c r="F22603" s="4">
        <f>IFERROR(__xludf.DUMMYFUNCTION("""COMPUTED_VALUE"""),805.0)</f>
        <v>805</v>
      </c>
      <c r="G22603" s="4">
        <f>IFERROR(__xludf.DUMMYFUNCTION("""COMPUTED_VALUE"""),32.0)</f>
        <v>32</v>
      </c>
      <c r="H22603" s="4"/>
      <c r="I22603" s="4"/>
    </row>
    <row r="22604">
      <c r="A22604" s="4" t="str">
        <f>IFERROR(__xludf.DUMMYFUNCTION("""COMPUTED_VALUE"""),"cas_hmw")</f>
        <v>cas_hmw</v>
      </c>
      <c r="B22604" s="5">
        <f>IFERROR(__xludf.DUMMYFUNCTION("""COMPUTED_VALUE"""),44790.0)</f>
        <v>44790</v>
      </c>
      <c r="C22604" s="6">
        <f>IFERROR(__xludf.DUMMYFUNCTION("""COMPUTED_VALUE"""),0.3390277777762094)</f>
        <v>0.3390277778</v>
      </c>
      <c r="D22604" s="4">
        <f>IFERROR(__xludf.DUMMYFUNCTION("""COMPUTED_VALUE"""),12.97349)</f>
        <v>12.97349</v>
      </c>
      <c r="E22604" s="4">
        <f>IFERROR(__xludf.DUMMYFUNCTION("""COMPUTED_VALUE"""),80.153442)</f>
        <v>80.153442</v>
      </c>
      <c r="F22604" s="4">
        <f>IFERROR(__xludf.DUMMYFUNCTION("""COMPUTED_VALUE"""),805.0)</f>
        <v>805</v>
      </c>
      <c r="G22604" s="4">
        <f>IFERROR(__xludf.DUMMYFUNCTION("""COMPUTED_VALUE"""),46.0)</f>
        <v>46</v>
      </c>
      <c r="H22604" s="4"/>
      <c r="I22604" s="4"/>
    </row>
    <row r="22605">
      <c r="A22605" s="4" t="str">
        <f>IFERROR(__xludf.DUMMYFUNCTION("""COMPUTED_VALUE"""),"cas_hmw")</f>
        <v>cas_hmw</v>
      </c>
      <c r="B22605" s="5">
        <f>IFERROR(__xludf.DUMMYFUNCTION("""COMPUTED_VALUE"""),44790.0)</f>
        <v>44790</v>
      </c>
      <c r="C22605" s="6">
        <f>IFERROR(__xludf.DUMMYFUNCTION("""COMPUTED_VALUE"""),0.33934027777650044)</f>
        <v>0.3393402778</v>
      </c>
      <c r="D22605" s="4">
        <f>IFERROR(__xludf.DUMMYFUNCTION("""COMPUTED_VALUE"""),12.97162)</f>
        <v>12.97162</v>
      </c>
      <c r="E22605" s="4">
        <f>IFERROR(__xludf.DUMMYFUNCTION("""COMPUTED_VALUE"""),80.151205)</f>
        <v>80.151205</v>
      </c>
      <c r="F22605" s="4">
        <f>IFERROR(__xludf.DUMMYFUNCTION("""COMPUTED_VALUE"""),805.0)</f>
        <v>805</v>
      </c>
      <c r="G22605" s="4">
        <f>IFERROR(__xludf.DUMMYFUNCTION("""COMPUTED_VALUE"""),28.0)</f>
        <v>28</v>
      </c>
      <c r="H22605" s="4"/>
      <c r="I22605" s="4"/>
    </row>
    <row r="22606">
      <c r="A22606" s="4" t="str">
        <f>IFERROR(__xludf.DUMMYFUNCTION("""COMPUTED_VALUE"""),"cas_hmw")</f>
        <v>cas_hmw</v>
      </c>
      <c r="B22606" s="5">
        <f>IFERROR(__xludf.DUMMYFUNCTION("""COMPUTED_VALUE"""),44790.0)</f>
        <v>44790</v>
      </c>
      <c r="C22606" s="6">
        <f>IFERROR(__xludf.DUMMYFUNCTION("""COMPUTED_VALUE"""),0.3393518518532801)</f>
        <v>0.3393518519</v>
      </c>
      <c r="D22606" s="4">
        <f>IFERROR(__xludf.DUMMYFUNCTION("""COMPUTED_VALUE"""),12.935668)</f>
        <v>12.935668</v>
      </c>
      <c r="E22606" s="4">
        <f>IFERROR(__xludf.DUMMYFUNCTION("""COMPUTED_VALUE"""),80.126824)</f>
        <v>80.126824</v>
      </c>
      <c r="F22606" s="4">
        <f>IFERROR(__xludf.DUMMYFUNCTION("""COMPUTED_VALUE"""),5339.0)</f>
        <v>5339</v>
      </c>
      <c r="G22606" s="4">
        <f>IFERROR(__xludf.DUMMYFUNCTION("""COMPUTED_VALUE"""),26.0)</f>
        <v>26</v>
      </c>
      <c r="H22606" s="4"/>
      <c r="I22606" s="4"/>
    </row>
    <row r="22607">
      <c r="A22607" s="4" t="str">
        <f>IFERROR(__xludf.DUMMYFUNCTION("""COMPUTED_VALUE"""),"cas_hmw")</f>
        <v>cas_hmw</v>
      </c>
      <c r="B22607" s="5">
        <f>IFERROR(__xludf.DUMMYFUNCTION("""COMPUTED_VALUE"""),44790.0)</f>
        <v>44790</v>
      </c>
      <c r="C22607" s="6">
        <f>IFERROR(__xludf.DUMMYFUNCTION("""COMPUTED_VALUE"""),0.33937499999956344)</f>
        <v>0.339375</v>
      </c>
      <c r="D22607" s="4">
        <f>IFERROR(__xludf.DUMMYFUNCTION("""COMPUTED_VALUE"""),12.935668)</f>
        <v>12.935668</v>
      </c>
      <c r="E22607" s="4">
        <f>IFERROR(__xludf.DUMMYFUNCTION("""COMPUTED_VALUE"""),80.126824)</f>
        <v>80.126824</v>
      </c>
      <c r="F22607" s="4">
        <f>IFERROR(__xludf.DUMMYFUNCTION("""COMPUTED_VALUE"""),5339.0)</f>
        <v>5339</v>
      </c>
      <c r="G22607" s="4">
        <f>IFERROR(__xludf.DUMMYFUNCTION("""COMPUTED_VALUE"""),26.0)</f>
        <v>26</v>
      </c>
      <c r="H22607" s="4"/>
      <c r="I22607" s="4"/>
    </row>
    <row r="22608">
      <c r="A22608" s="4" t="str">
        <f>IFERROR(__xludf.DUMMYFUNCTION("""COMPUTED_VALUE"""),"cas_hmw")</f>
        <v>cas_hmw</v>
      </c>
      <c r="B22608" s="5">
        <f>IFERROR(__xludf.DUMMYFUNCTION("""COMPUTED_VALUE"""),44790.0)</f>
        <v>44790</v>
      </c>
      <c r="C22608" s="6">
        <f>IFERROR(__xludf.DUMMYFUNCTION("""COMPUTED_VALUE"""),0.3395023148150358)</f>
        <v>0.3395023148</v>
      </c>
      <c r="D22608" s="4">
        <f>IFERROR(__xludf.DUMMYFUNCTION("""COMPUTED_VALUE"""),12.935057)</f>
        <v>12.935057</v>
      </c>
      <c r="E22608" s="4">
        <f>IFERROR(__xludf.DUMMYFUNCTION("""COMPUTED_VALUE"""),80.126251)</f>
        <v>80.126251</v>
      </c>
      <c r="F22608" s="4">
        <f>IFERROR(__xludf.DUMMYFUNCTION("""COMPUTED_VALUE"""),5339.0)</f>
        <v>5339</v>
      </c>
      <c r="G22608" s="4">
        <f>IFERROR(__xludf.DUMMYFUNCTION("""COMPUTED_VALUE"""),38.0)</f>
        <v>38</v>
      </c>
      <c r="H22608" s="4"/>
      <c r="I22608" s="4"/>
    </row>
    <row r="22609">
      <c r="A22609" s="4" t="str">
        <f>IFERROR(__xludf.DUMMYFUNCTION("""COMPUTED_VALUE"""),"cas_hmw")</f>
        <v>cas_hmw</v>
      </c>
      <c r="B22609" s="5">
        <f>IFERROR(__xludf.DUMMYFUNCTION("""COMPUTED_VALUE"""),44790.0)</f>
        <v>44790</v>
      </c>
      <c r="C22609" s="6">
        <f>IFERROR(__xludf.DUMMYFUNCTION("""COMPUTED_VALUE"""),0.3396064814805868)</f>
        <v>0.3396064815</v>
      </c>
      <c r="D22609" s="4">
        <f>IFERROR(__xludf.DUMMYFUNCTION("""COMPUTED_VALUE"""),12.96999)</f>
        <v>12.96999</v>
      </c>
      <c r="E22609" s="4">
        <f>IFERROR(__xludf.DUMMYFUNCTION("""COMPUTED_VALUE"""),80.150427)</f>
        <v>80.150427</v>
      </c>
      <c r="F22609" s="4">
        <f>IFERROR(__xludf.DUMMYFUNCTION("""COMPUTED_VALUE"""),805.0)</f>
        <v>805</v>
      </c>
      <c r="G22609" s="4">
        <f>IFERROR(__xludf.DUMMYFUNCTION("""COMPUTED_VALUE"""),30.0)</f>
        <v>30</v>
      </c>
      <c r="H22609" s="4"/>
      <c r="I22609" s="4"/>
    </row>
    <row r="22610">
      <c r="A22610" s="4" t="str">
        <f>IFERROR(__xludf.DUMMYFUNCTION("""COMPUTED_VALUE"""),"cas_hmw")</f>
        <v>cas_hmw</v>
      </c>
      <c r="B22610" s="5">
        <f>IFERROR(__xludf.DUMMYFUNCTION("""COMPUTED_VALUE"""),44790.0)</f>
        <v>44790</v>
      </c>
      <c r="C22610" s="6">
        <f>IFERROR(__xludf.DUMMYFUNCTION("""COMPUTED_VALUE"""),0.33976851851912215)</f>
        <v>0.3397685185</v>
      </c>
      <c r="D22610" s="4">
        <f>IFERROR(__xludf.DUMMYFUNCTION("""COMPUTED_VALUE"""),12.968288)</f>
        <v>12.968288</v>
      </c>
      <c r="E22610" s="4">
        <f>IFERROR(__xludf.DUMMYFUNCTION("""COMPUTED_VALUE"""),80.149644)</f>
        <v>80.149644</v>
      </c>
      <c r="F22610" s="4">
        <f>IFERROR(__xludf.DUMMYFUNCTION("""COMPUTED_VALUE"""),805.0)</f>
        <v>805</v>
      </c>
      <c r="G22610" s="4">
        <f>IFERROR(__xludf.DUMMYFUNCTION("""COMPUTED_VALUE"""),29.0)</f>
        <v>29</v>
      </c>
      <c r="H22610" s="4"/>
      <c r="I22610" s="4"/>
    </row>
    <row r="22611">
      <c r="A22611" s="4" t="str">
        <f>IFERROR(__xludf.DUMMYFUNCTION("""COMPUTED_VALUE"""),"cas_hmw")</f>
        <v>cas_hmw</v>
      </c>
      <c r="B22611" s="5">
        <f>IFERROR(__xludf.DUMMYFUNCTION("""COMPUTED_VALUE"""),44790.0)</f>
        <v>44790</v>
      </c>
      <c r="C22611" s="6">
        <f>IFERROR(__xludf.DUMMYFUNCTION("""COMPUTED_VALUE"""),0.3398379629616102)</f>
        <v>0.339837963</v>
      </c>
      <c r="D22611" s="4">
        <f>IFERROR(__xludf.DUMMYFUNCTION("""COMPUTED_VALUE"""),12.932655)</f>
        <v>12.932655</v>
      </c>
      <c r="E22611" s="4">
        <f>IFERROR(__xludf.DUMMYFUNCTION("""COMPUTED_VALUE"""),80.123938)</f>
        <v>80.123938</v>
      </c>
      <c r="F22611" s="4">
        <f>IFERROR(__xludf.DUMMYFUNCTION("""COMPUTED_VALUE"""),5339.0)</f>
        <v>5339</v>
      </c>
      <c r="G22611" s="4">
        <f>IFERROR(__xludf.DUMMYFUNCTION("""COMPUTED_VALUE"""),45.0)</f>
        <v>45</v>
      </c>
      <c r="H22611" s="4"/>
      <c r="I22611" s="4"/>
    </row>
    <row r="22612">
      <c r="A22612" s="4" t="str">
        <f>IFERROR(__xludf.DUMMYFUNCTION("""COMPUTED_VALUE"""),"cas_hmw")</f>
        <v>cas_hmw</v>
      </c>
      <c r="B22612" s="5">
        <f>IFERROR(__xludf.DUMMYFUNCTION("""COMPUTED_VALUE"""),44790.0)</f>
        <v>44790</v>
      </c>
      <c r="C22612" s="6">
        <f>IFERROR(__xludf.DUMMYFUNCTION("""COMPUTED_VALUE"""),0.33995370370394085)</f>
        <v>0.3399537037</v>
      </c>
      <c r="D22612" s="4">
        <f>IFERROR(__xludf.DUMMYFUNCTION("""COMPUTED_VALUE"""),12.797796)</f>
        <v>12.797796</v>
      </c>
      <c r="E22612" s="4">
        <f>IFERROR(__xludf.DUMMYFUNCTION("""COMPUTED_VALUE"""),80.021842)</f>
        <v>80.021842</v>
      </c>
      <c r="F22612" s="4">
        <f>IFERROR(__xludf.DUMMYFUNCTION("""COMPUTED_VALUE"""),2846.0)</f>
        <v>2846</v>
      </c>
      <c r="G22612" s="4">
        <f>IFERROR(__xludf.DUMMYFUNCTION("""COMPUTED_VALUE"""),49.0)</f>
        <v>49</v>
      </c>
      <c r="H22612" s="4"/>
      <c r="I22612" s="4"/>
    </row>
    <row r="22613">
      <c r="A22613" s="4" t="str">
        <f>IFERROR(__xludf.DUMMYFUNCTION("""COMPUTED_VALUE"""),"cas_hmw")</f>
        <v>cas_hmw</v>
      </c>
      <c r="B22613" s="5">
        <f>IFERROR(__xludf.DUMMYFUNCTION("""COMPUTED_VALUE"""),44790.0)</f>
        <v>44790</v>
      </c>
      <c r="C22613" s="6">
        <f>IFERROR(__xludf.DUMMYFUNCTION("""COMPUTED_VALUE"""),0.34035879629664123)</f>
        <v>0.3403587963</v>
      </c>
      <c r="D22613" s="4">
        <f>IFERROR(__xludf.DUMMYFUNCTION("""COMPUTED_VALUE"""),12.965614)</f>
        <v>12.965614</v>
      </c>
      <c r="E22613" s="4">
        <f>IFERROR(__xludf.DUMMYFUNCTION("""COMPUTED_VALUE"""),80.148365)</f>
        <v>80.148365</v>
      </c>
      <c r="F22613" s="4">
        <f>IFERROR(__xludf.DUMMYFUNCTION("""COMPUTED_VALUE"""),805.0)</f>
        <v>805</v>
      </c>
      <c r="G22613" s="4">
        <f>IFERROR(__xludf.DUMMYFUNCTION("""COMPUTED_VALUE"""),43.0)</f>
        <v>43</v>
      </c>
      <c r="H22613" s="4"/>
      <c r="I22613" s="4"/>
    </row>
    <row r="22614">
      <c r="A22614" s="4" t="str">
        <f>IFERROR(__xludf.DUMMYFUNCTION("""COMPUTED_VALUE"""),"cas_hmw")</f>
        <v>cas_hmw</v>
      </c>
      <c r="B22614" s="5">
        <f>IFERROR(__xludf.DUMMYFUNCTION("""COMPUTED_VALUE"""),44790.0)</f>
        <v>44790</v>
      </c>
      <c r="C22614" s="6">
        <f>IFERROR(__xludf.DUMMYFUNCTION("""COMPUTED_VALUE"""),0.34068287037007394)</f>
        <v>0.3406828704</v>
      </c>
      <c r="D22614" s="4">
        <f>IFERROR(__xludf.DUMMYFUNCTION("""COMPUTED_VALUE"""),12.963626)</f>
        <v>12.963626</v>
      </c>
      <c r="E22614" s="4">
        <f>IFERROR(__xludf.DUMMYFUNCTION("""COMPUTED_VALUE"""),80.147273)</f>
        <v>80.147273</v>
      </c>
      <c r="F22614" s="4">
        <f>IFERROR(__xludf.DUMMYFUNCTION("""COMPUTED_VALUE"""),805.0)</f>
        <v>805</v>
      </c>
      <c r="G22614" s="4">
        <f>IFERROR(__xludf.DUMMYFUNCTION("""COMPUTED_VALUE"""),48.0)</f>
        <v>48</v>
      </c>
      <c r="H22614" s="4"/>
      <c r="I22614" s="4"/>
    </row>
    <row r="22615">
      <c r="A22615" s="4" t="str">
        <f>IFERROR(__xludf.DUMMYFUNCTION("""COMPUTED_VALUE"""),"cas_hmw")</f>
        <v>cas_hmw</v>
      </c>
      <c r="B22615" s="5">
        <f>IFERROR(__xludf.DUMMYFUNCTION("""COMPUTED_VALUE"""),44790.0)</f>
        <v>44790</v>
      </c>
      <c r="C22615" s="6">
        <f>IFERROR(__xludf.DUMMYFUNCTION("""COMPUTED_VALUE"""),0.34071759259313694)</f>
        <v>0.3407175926</v>
      </c>
      <c r="D22615" s="4">
        <f>IFERROR(__xludf.DUMMYFUNCTION("""COMPUTED_VALUE"""),12.962443)</f>
        <v>12.962443</v>
      </c>
      <c r="E22615" s="4">
        <f>IFERROR(__xludf.DUMMYFUNCTION("""COMPUTED_VALUE"""),80.146622)</f>
        <v>80.146622</v>
      </c>
      <c r="F22615" s="4">
        <f>IFERROR(__xludf.DUMMYFUNCTION("""COMPUTED_VALUE"""),805.0)</f>
        <v>805</v>
      </c>
      <c r="G22615" s="4">
        <f>IFERROR(__xludf.DUMMYFUNCTION("""COMPUTED_VALUE"""),50.0)</f>
        <v>50</v>
      </c>
      <c r="H22615" s="4"/>
      <c r="I22615" s="4"/>
    </row>
    <row r="22616">
      <c r="A22616" s="4" t="str">
        <f>IFERROR(__xludf.DUMMYFUNCTION("""COMPUTED_VALUE"""),"cas_hmw")</f>
        <v>cas_hmw</v>
      </c>
      <c r="B22616" s="5">
        <f>IFERROR(__xludf.DUMMYFUNCTION("""COMPUTED_VALUE"""),44790.0)</f>
        <v>44790</v>
      </c>
      <c r="C22616" s="6">
        <f>IFERROR(__xludf.DUMMYFUNCTION("""COMPUTED_VALUE"""),0.3412500000013097)</f>
        <v>0.34125</v>
      </c>
      <c r="D22616" s="4">
        <f>IFERROR(__xludf.DUMMYFUNCTION("""COMPUTED_VALUE"""),12.922009)</f>
        <v>12.922009</v>
      </c>
      <c r="E22616" s="4">
        <f>IFERROR(__xludf.DUMMYFUNCTION("""COMPUTED_VALUE"""),80.113186)</f>
        <v>80.113186</v>
      </c>
      <c r="F22616" s="4">
        <f>IFERROR(__xludf.DUMMYFUNCTION("""COMPUTED_VALUE"""),5339.0)</f>
        <v>5339</v>
      </c>
      <c r="G22616" s="4">
        <f>IFERROR(__xludf.DUMMYFUNCTION("""COMPUTED_VALUE"""),58.0)</f>
        <v>58</v>
      </c>
      <c r="H22616" s="4"/>
      <c r="I22616" s="4"/>
    </row>
    <row r="22617">
      <c r="A22617" s="4" t="str">
        <f>IFERROR(__xludf.DUMMYFUNCTION("""COMPUTED_VALUE"""),"cas_hmw")</f>
        <v>cas_hmw</v>
      </c>
      <c r="B22617" s="5">
        <f>IFERROR(__xludf.DUMMYFUNCTION("""COMPUTED_VALUE"""),44790.0)</f>
        <v>44790</v>
      </c>
      <c r="C22617" s="6">
        <f>IFERROR(__xludf.DUMMYFUNCTION("""COMPUTED_VALUE"""),0.34140046296306537)</f>
        <v>0.341400463</v>
      </c>
      <c r="D22617" s="4">
        <f>IFERROR(__xludf.DUMMYFUNCTION("""COMPUTED_VALUE"""),12.81169)</f>
        <v>12.81169</v>
      </c>
      <c r="E22617" s="4">
        <f>IFERROR(__xludf.DUMMYFUNCTION("""COMPUTED_VALUE"""),80.030907)</f>
        <v>80.030907</v>
      </c>
      <c r="F22617" s="4">
        <f>IFERROR(__xludf.DUMMYFUNCTION("""COMPUTED_VALUE"""),2846.0)</f>
        <v>2846</v>
      </c>
      <c r="G22617" s="4">
        <f>IFERROR(__xludf.DUMMYFUNCTION("""COMPUTED_VALUE"""),56.0)</f>
        <v>56</v>
      </c>
      <c r="H22617" s="4"/>
      <c r="I22617" s="4"/>
    </row>
    <row r="22618">
      <c r="A22618" s="4" t="str">
        <f>IFERROR(__xludf.DUMMYFUNCTION("""COMPUTED_VALUE"""),"cas_hmw")</f>
        <v>cas_hmw</v>
      </c>
      <c r="B22618" s="5">
        <f>IFERROR(__xludf.DUMMYFUNCTION("""COMPUTED_VALUE"""),44790.0)</f>
        <v>44790</v>
      </c>
      <c r="C22618" s="6">
        <f>IFERROR(__xludf.DUMMYFUNCTION("""COMPUTED_VALUE"""),0.34170138889021473)</f>
        <v>0.3417013889</v>
      </c>
      <c r="D22618" s="4">
        <f>IFERROR(__xludf.DUMMYFUNCTION("""COMPUTED_VALUE"""),12.955742)</f>
        <v>12.955742</v>
      </c>
      <c r="E22618" s="4">
        <f>IFERROR(__xludf.DUMMYFUNCTION("""COMPUTED_VALUE"""),80.143076)</f>
        <v>80.143076</v>
      </c>
      <c r="F22618" s="4">
        <f>IFERROR(__xludf.DUMMYFUNCTION("""COMPUTED_VALUE"""),805.0)</f>
        <v>805</v>
      </c>
      <c r="G22618" s="4">
        <f>IFERROR(__xludf.DUMMYFUNCTION("""COMPUTED_VALUE"""),19.0)</f>
        <v>19</v>
      </c>
      <c r="H22618" s="4"/>
      <c r="I22618" s="4"/>
    </row>
    <row r="22619">
      <c r="A22619" s="4" t="str">
        <f>IFERROR(__xludf.DUMMYFUNCTION("""COMPUTED_VALUE"""),"cas_hmw")</f>
        <v>cas_hmw</v>
      </c>
      <c r="B22619" s="5">
        <f>IFERROR(__xludf.DUMMYFUNCTION("""COMPUTED_VALUE"""),44790.0)</f>
        <v>44790</v>
      </c>
      <c r="C22619" s="6">
        <f>IFERROR(__xludf.DUMMYFUNCTION("""COMPUTED_VALUE"""),0.3418171296289074)</f>
        <v>0.3418171296</v>
      </c>
      <c r="D22619" s="4">
        <f>IFERROR(__xludf.DUMMYFUNCTION("""COMPUTED_VALUE"""),12.917576)</f>
        <v>12.917576</v>
      </c>
      <c r="E22619" s="4">
        <f>IFERROR(__xludf.DUMMYFUNCTION("""COMPUTED_VALUE"""),80.108134)</f>
        <v>80.108134</v>
      </c>
      <c r="F22619" s="4">
        <f>IFERROR(__xludf.DUMMYFUNCTION("""COMPUTED_VALUE"""),5339.0)</f>
        <v>5339</v>
      </c>
      <c r="G22619" s="4">
        <f>IFERROR(__xludf.DUMMYFUNCTION("""COMPUTED_VALUE"""),57.0)</f>
        <v>57</v>
      </c>
      <c r="H22619" s="4"/>
      <c r="I22619" s="4"/>
    </row>
    <row r="22620">
      <c r="A22620" s="4" t="str">
        <f>IFERROR(__xludf.DUMMYFUNCTION("""COMPUTED_VALUE"""),"cas_hmw")</f>
        <v>cas_hmw</v>
      </c>
      <c r="B22620" s="5">
        <f>IFERROR(__xludf.DUMMYFUNCTION("""COMPUTED_VALUE"""),44790.0)</f>
        <v>44790</v>
      </c>
      <c r="C22620" s="6">
        <f>IFERROR(__xludf.DUMMYFUNCTION("""COMPUTED_VALUE"""),0.34202546296364744)</f>
        <v>0.342025463</v>
      </c>
      <c r="D22620" s="4">
        <f>IFERROR(__xludf.DUMMYFUNCTION("""COMPUTED_VALUE"""),12.817119)</f>
        <v>12.817119</v>
      </c>
      <c r="E22620" s="4">
        <f>IFERROR(__xludf.DUMMYFUNCTION("""COMPUTED_VALUE"""),80.034579)</f>
        <v>80.034579</v>
      </c>
      <c r="F22620" s="4">
        <f>IFERROR(__xludf.DUMMYFUNCTION("""COMPUTED_VALUE"""),2846.0)</f>
        <v>2846</v>
      </c>
      <c r="G22620" s="4">
        <f>IFERROR(__xludf.DUMMYFUNCTION("""COMPUTED_VALUE"""),53.0)</f>
        <v>53</v>
      </c>
      <c r="H22620" s="4"/>
      <c r="I22620" s="4"/>
    </row>
    <row r="22621">
      <c r="A22621" s="4" t="str">
        <f>IFERROR(__xludf.DUMMYFUNCTION("""COMPUTED_VALUE"""),"cas_hmw")</f>
        <v>cas_hmw</v>
      </c>
      <c r="B22621" s="5">
        <f>IFERROR(__xludf.DUMMYFUNCTION("""COMPUTED_VALUE"""),44790.0)</f>
        <v>44790</v>
      </c>
      <c r="C22621" s="6">
        <f>IFERROR(__xludf.DUMMYFUNCTION("""COMPUTED_VALUE"""),0.3424768518525525)</f>
        <v>0.3424768519</v>
      </c>
      <c r="D22621" s="4">
        <f>IFERROR(__xludf.DUMMYFUNCTION("""COMPUTED_VALUE"""),12.952083)</f>
        <v>12.952083</v>
      </c>
      <c r="E22621" s="4">
        <f>IFERROR(__xludf.DUMMYFUNCTION("""COMPUTED_VALUE"""),80.140873)</f>
        <v>80.140873</v>
      </c>
      <c r="F22621" s="4">
        <f>IFERROR(__xludf.DUMMYFUNCTION("""COMPUTED_VALUE"""),805.0)</f>
        <v>805</v>
      </c>
      <c r="G22621" s="4">
        <f>IFERROR(__xludf.DUMMYFUNCTION("""COMPUTED_VALUE"""),26.0)</f>
        <v>26</v>
      </c>
      <c r="H22621" s="4"/>
      <c r="I22621" s="4"/>
    </row>
    <row r="22622">
      <c r="A22622" s="4" t="str">
        <f>IFERROR(__xludf.DUMMYFUNCTION("""COMPUTED_VALUE"""),"cas_hmw")</f>
        <v>cas_hmw</v>
      </c>
      <c r="B22622" s="5">
        <f>IFERROR(__xludf.DUMMYFUNCTION("""COMPUTED_VALUE"""),44790.0)</f>
        <v>44790</v>
      </c>
      <c r="C22622" s="6">
        <f>IFERROR(__xludf.DUMMYFUNCTION("""COMPUTED_VALUE"""),0.3425115740756155)</f>
        <v>0.3425115741</v>
      </c>
      <c r="D22622" s="4">
        <f>IFERROR(__xludf.DUMMYFUNCTION("""COMPUTED_VALUE"""),12.952083)</f>
        <v>12.952083</v>
      </c>
      <c r="E22622" s="4">
        <f>IFERROR(__xludf.DUMMYFUNCTION("""COMPUTED_VALUE"""),80.140873)</f>
        <v>80.140873</v>
      </c>
      <c r="F22622" s="4">
        <f>IFERROR(__xludf.DUMMYFUNCTION("""COMPUTED_VALUE"""),805.0)</f>
        <v>805</v>
      </c>
      <c r="G22622" s="4">
        <f>IFERROR(__xludf.DUMMYFUNCTION("""COMPUTED_VALUE"""),26.0)</f>
        <v>26</v>
      </c>
      <c r="H22622" s="4"/>
      <c r="I22622" s="4"/>
    </row>
    <row r="22623">
      <c r="A22623" s="4" t="str">
        <f>IFERROR(__xludf.DUMMYFUNCTION("""COMPUTED_VALUE"""),"cas_hmw")</f>
        <v>cas_hmw</v>
      </c>
      <c r="B22623" s="5">
        <f>IFERROR(__xludf.DUMMYFUNCTION("""COMPUTED_VALUE"""),44790.0)</f>
        <v>44790</v>
      </c>
      <c r="C22623" s="6">
        <f>IFERROR(__xludf.DUMMYFUNCTION("""COMPUTED_VALUE"""),0.34297453703766223)</f>
        <v>0.342974537</v>
      </c>
      <c r="D22623" s="4">
        <f>IFERROR(__xludf.DUMMYFUNCTION("""COMPUTED_VALUE"""),12.825279)</f>
        <v>12.825279</v>
      </c>
      <c r="E22623" s="4">
        <f>IFERROR(__xludf.DUMMYFUNCTION("""COMPUTED_VALUE"""),80.040334)</f>
        <v>80.040334</v>
      </c>
      <c r="F22623" s="4">
        <f>IFERROR(__xludf.DUMMYFUNCTION("""COMPUTED_VALUE"""),2846.0)</f>
        <v>2846</v>
      </c>
      <c r="G22623" s="4">
        <f>IFERROR(__xludf.DUMMYFUNCTION("""COMPUTED_VALUE"""),52.0)</f>
        <v>52</v>
      </c>
      <c r="H22623" s="4"/>
      <c r="I22623" s="4"/>
    </row>
    <row r="22624">
      <c r="A22624" s="4" t="str">
        <f>IFERROR(__xludf.DUMMYFUNCTION("""COMPUTED_VALUE"""),"cas_hmw")</f>
        <v>cas_hmw</v>
      </c>
      <c r="B22624" s="5">
        <f>IFERROR(__xludf.DUMMYFUNCTION("""COMPUTED_VALUE"""),44790.0)</f>
        <v>44790</v>
      </c>
      <c r="C22624" s="6">
        <f>IFERROR(__xludf.DUMMYFUNCTION("""COMPUTED_VALUE"""),0.34340277777664596)</f>
        <v>0.3434027778</v>
      </c>
      <c r="D22624" s="4">
        <f>IFERROR(__xludf.DUMMYFUNCTION("""COMPUTED_VALUE"""),12.944712)</f>
        <v>12.944712</v>
      </c>
      <c r="E22624" s="4">
        <f>IFERROR(__xludf.DUMMYFUNCTION("""COMPUTED_VALUE"""),80.135154)</f>
        <v>80.135154</v>
      </c>
      <c r="F22624" s="4">
        <f>IFERROR(__xludf.DUMMYFUNCTION("""COMPUTED_VALUE"""),805.0)</f>
        <v>805</v>
      </c>
      <c r="G22624" s="4">
        <f>IFERROR(__xludf.DUMMYFUNCTION("""COMPUTED_VALUE"""),55.0)</f>
        <v>55</v>
      </c>
      <c r="H22624" s="4"/>
      <c r="I22624" s="4"/>
    </row>
    <row r="22625">
      <c r="A22625" s="4" t="str">
        <f>IFERROR(__xludf.DUMMYFUNCTION("""COMPUTED_VALUE"""),"cas_hmw")</f>
        <v>cas_hmw</v>
      </c>
      <c r="B22625" s="5">
        <f>IFERROR(__xludf.DUMMYFUNCTION("""COMPUTED_VALUE"""),44790.0)</f>
        <v>44790</v>
      </c>
      <c r="C22625" s="6">
        <f>IFERROR(__xludf.DUMMYFUNCTION("""COMPUTED_VALUE"""),0.34355324074203963)</f>
        <v>0.3435532407</v>
      </c>
      <c r="D22625" s="4">
        <f>IFERROR(__xludf.DUMMYFUNCTION("""COMPUTED_VALUE"""),12.907372)</f>
        <v>12.907372</v>
      </c>
      <c r="E22625" s="4">
        <f>IFERROR(__xludf.DUMMYFUNCTION("""COMPUTED_VALUE"""),80.09726)</f>
        <v>80.09726</v>
      </c>
      <c r="F22625" s="4">
        <f>IFERROR(__xludf.DUMMYFUNCTION("""COMPUTED_VALUE"""),5339.0)</f>
        <v>5339</v>
      </c>
      <c r="G22625" s="4">
        <f>IFERROR(__xludf.DUMMYFUNCTION("""COMPUTED_VALUE"""),39.0)</f>
        <v>39</v>
      </c>
      <c r="H22625" s="4"/>
      <c r="I22625" s="4"/>
    </row>
    <row r="22626">
      <c r="A22626" s="4" t="str">
        <f>IFERROR(__xludf.DUMMYFUNCTION("""COMPUTED_VALUE"""),"cas_hmw")</f>
        <v>cas_hmw</v>
      </c>
      <c r="B22626" s="5">
        <f>IFERROR(__xludf.DUMMYFUNCTION("""COMPUTED_VALUE"""),44790.0)</f>
        <v>44790</v>
      </c>
      <c r="C22626" s="6">
        <f>IFERROR(__xludf.DUMMYFUNCTION("""COMPUTED_VALUE"""),0.3435648148151813)</f>
        <v>0.3435648148</v>
      </c>
      <c r="D22626" s="4">
        <f>IFERROR(__xludf.DUMMYFUNCTION("""COMPUTED_VALUE"""),12.907372)</f>
        <v>12.907372</v>
      </c>
      <c r="E22626" s="4">
        <f>IFERROR(__xludf.DUMMYFUNCTION("""COMPUTED_VALUE"""),80.09726)</f>
        <v>80.09726</v>
      </c>
      <c r="F22626" s="4">
        <f>IFERROR(__xludf.DUMMYFUNCTION("""COMPUTED_VALUE"""),5339.0)</f>
        <v>5339</v>
      </c>
      <c r="G22626" s="4">
        <f>IFERROR(__xludf.DUMMYFUNCTION("""COMPUTED_VALUE"""),39.0)</f>
        <v>39</v>
      </c>
      <c r="H22626" s="4"/>
      <c r="I22626" s="4"/>
    </row>
    <row r="22627">
      <c r="A22627" s="4" t="str">
        <f>IFERROR(__xludf.DUMMYFUNCTION("""COMPUTED_VALUE"""),"cas_hmw")</f>
        <v>cas_hmw</v>
      </c>
      <c r="B22627" s="5">
        <f>IFERROR(__xludf.DUMMYFUNCTION("""COMPUTED_VALUE"""),44790.0)</f>
        <v>44790</v>
      </c>
      <c r="C22627" s="6">
        <f>IFERROR(__xludf.DUMMYFUNCTION("""COMPUTED_VALUE"""),0.34427083333503106)</f>
        <v>0.3442708333</v>
      </c>
      <c r="D22627" s="4">
        <f>IFERROR(__xludf.DUMMYFUNCTION("""COMPUTED_VALUE"""),12.835527)</f>
        <v>12.835527</v>
      </c>
      <c r="E22627" s="4">
        <f>IFERROR(__xludf.DUMMYFUNCTION("""COMPUTED_VALUE"""),80.05077)</f>
        <v>80.05077</v>
      </c>
      <c r="F22627" s="4">
        <f>IFERROR(__xludf.DUMMYFUNCTION("""COMPUTED_VALUE"""),2846.0)</f>
        <v>2846</v>
      </c>
      <c r="G22627" s="4">
        <f>IFERROR(__xludf.DUMMYFUNCTION("""COMPUTED_VALUE"""),55.0)</f>
        <v>55</v>
      </c>
      <c r="H22627" s="4"/>
      <c r="I22627" s="4"/>
    </row>
    <row r="22628">
      <c r="A22628" s="4" t="str">
        <f>IFERROR(__xludf.DUMMYFUNCTION("""COMPUTED_VALUE"""),"cas_hmw")</f>
        <v>cas_hmw</v>
      </c>
      <c r="B22628" s="5">
        <f>IFERROR(__xludf.DUMMYFUNCTION("""COMPUTED_VALUE"""),44790.0)</f>
        <v>44790</v>
      </c>
      <c r="C22628" s="6">
        <f>IFERROR(__xludf.DUMMYFUNCTION("""COMPUTED_VALUE"""),0.34428240740817273)</f>
        <v>0.3442824074</v>
      </c>
      <c r="D22628" s="4">
        <f>IFERROR(__xludf.DUMMYFUNCTION("""COMPUTED_VALUE"""),12.939931)</f>
        <v>12.939931</v>
      </c>
      <c r="E22628" s="4">
        <f>IFERROR(__xludf.DUMMYFUNCTION("""COMPUTED_VALUE"""),80.130525)</f>
        <v>80.130525</v>
      </c>
      <c r="F22628" s="4">
        <f>IFERROR(__xludf.DUMMYFUNCTION("""COMPUTED_VALUE"""),805.0)</f>
        <v>805</v>
      </c>
      <c r="G22628" s="4">
        <f>IFERROR(__xludf.DUMMYFUNCTION("""COMPUTED_VALUE"""),46.0)</f>
        <v>46</v>
      </c>
      <c r="H22628" s="4"/>
      <c r="I22628" s="4"/>
    </row>
    <row r="22629">
      <c r="A22629" s="4" t="str">
        <f>IFERROR(__xludf.DUMMYFUNCTION("""COMPUTED_VALUE"""),"cas_hmw")</f>
        <v>cas_hmw</v>
      </c>
      <c r="B22629" s="5">
        <f>IFERROR(__xludf.DUMMYFUNCTION("""COMPUTED_VALUE"""),44790.0)</f>
        <v>44790</v>
      </c>
      <c r="C22629" s="6">
        <f>IFERROR(__xludf.DUMMYFUNCTION("""COMPUTED_VALUE"""),0.3444675925929914)</f>
        <v>0.3444675926</v>
      </c>
      <c r="D22629" s="4">
        <f>IFERROR(__xludf.DUMMYFUNCTION("""COMPUTED_VALUE"""),12.835527)</f>
        <v>12.835527</v>
      </c>
      <c r="E22629" s="4">
        <f>IFERROR(__xludf.DUMMYFUNCTION("""COMPUTED_VALUE"""),80.05077)</f>
        <v>80.05077</v>
      </c>
      <c r="F22629" s="4">
        <f>IFERROR(__xludf.DUMMYFUNCTION("""COMPUTED_VALUE"""),2846.0)</f>
        <v>2846</v>
      </c>
      <c r="G22629" s="4">
        <f>IFERROR(__xludf.DUMMYFUNCTION("""COMPUTED_VALUE"""),55.0)</f>
        <v>55</v>
      </c>
      <c r="H22629" s="4"/>
      <c r="I22629" s="4"/>
    </row>
    <row r="22630">
      <c r="A22630" s="4" t="str">
        <f>IFERROR(__xludf.DUMMYFUNCTION("""COMPUTED_VALUE"""),"cas_hmw")</f>
        <v>cas_hmw</v>
      </c>
      <c r="B22630" s="5">
        <f>IFERROR(__xludf.DUMMYFUNCTION("""COMPUTED_VALUE"""),44790.0)</f>
        <v>44790</v>
      </c>
      <c r="C22630" s="6">
        <f>IFERROR(__xludf.DUMMYFUNCTION("""COMPUTED_VALUE"""),0.3445023148160544)</f>
        <v>0.3445023148</v>
      </c>
      <c r="D22630" s="4">
        <f>IFERROR(__xludf.DUMMYFUNCTION("""COMPUTED_VALUE"""),12.922683)</f>
        <v>12.922683</v>
      </c>
      <c r="E22630" s="4">
        <f>IFERROR(__xludf.DUMMYFUNCTION("""COMPUTED_VALUE"""),80.151853)</f>
        <v>80.151853</v>
      </c>
      <c r="F22630" s="4">
        <f>IFERROR(__xludf.DUMMYFUNCTION("""COMPUTED_VALUE"""),3143.0)</f>
        <v>3143</v>
      </c>
      <c r="G22630" s="4">
        <f>IFERROR(__xludf.DUMMYFUNCTION("""COMPUTED_VALUE"""),20.0)</f>
        <v>20</v>
      </c>
      <c r="H22630" s="4"/>
      <c r="I22630" s="4"/>
    </row>
    <row r="22631">
      <c r="A22631" s="4" t="str">
        <f>IFERROR(__xludf.DUMMYFUNCTION("""COMPUTED_VALUE"""),"cas_hmw")</f>
        <v>cas_hmw</v>
      </c>
      <c r="B22631" s="5">
        <f>IFERROR(__xludf.DUMMYFUNCTION("""COMPUTED_VALUE"""),44790.0)</f>
        <v>44790</v>
      </c>
      <c r="C22631" s="6">
        <f>IFERROR(__xludf.DUMMYFUNCTION("""COMPUTED_VALUE"""),0.3446643518509518)</f>
        <v>0.3446643519</v>
      </c>
      <c r="D22631" s="4">
        <f>IFERROR(__xludf.DUMMYFUNCTION("""COMPUTED_VALUE"""),12.922646)</f>
        <v>12.922646</v>
      </c>
      <c r="E22631" s="4">
        <f>IFERROR(__xludf.DUMMYFUNCTION("""COMPUTED_VALUE"""),80.150294)</f>
        <v>80.150294</v>
      </c>
      <c r="F22631" s="4">
        <f>IFERROR(__xludf.DUMMYFUNCTION("""COMPUTED_VALUE"""),3143.0)</f>
        <v>3143</v>
      </c>
      <c r="G22631" s="4">
        <f>IFERROR(__xludf.DUMMYFUNCTION("""COMPUTED_VALUE"""),46.0)</f>
        <v>46</v>
      </c>
      <c r="H22631" s="4"/>
      <c r="I22631" s="4"/>
    </row>
    <row r="22632">
      <c r="A22632" s="4" t="str">
        <f>IFERROR(__xludf.DUMMYFUNCTION("""COMPUTED_VALUE"""),"cas_hmw")</f>
        <v>cas_hmw</v>
      </c>
      <c r="B22632" s="5">
        <f>IFERROR(__xludf.DUMMYFUNCTION("""COMPUTED_VALUE"""),44790.0)</f>
        <v>44790</v>
      </c>
      <c r="C22632" s="6">
        <f>IFERROR(__xludf.DUMMYFUNCTION("""COMPUTED_VALUE"""),0.34478009259328246)</f>
        <v>0.3447800926</v>
      </c>
      <c r="D22632" s="4">
        <f>IFERROR(__xludf.DUMMYFUNCTION("""COMPUTED_VALUE"""),12.936414)</f>
        <v>12.936414</v>
      </c>
      <c r="E22632" s="4">
        <f>IFERROR(__xludf.DUMMYFUNCTION("""COMPUTED_VALUE"""),80.1275)</f>
        <v>80.1275</v>
      </c>
      <c r="F22632" s="4">
        <f>IFERROR(__xludf.DUMMYFUNCTION("""COMPUTED_VALUE"""),805.0)</f>
        <v>805</v>
      </c>
      <c r="G22632" s="4">
        <f>IFERROR(__xludf.DUMMYFUNCTION("""COMPUTED_VALUE"""),42.0)</f>
        <v>42</v>
      </c>
      <c r="H22632" s="4"/>
      <c r="I22632" s="4"/>
    </row>
    <row r="22633">
      <c r="A22633" s="4" t="str">
        <f>IFERROR(__xludf.DUMMYFUNCTION("""COMPUTED_VALUE"""),"cas_hmw")</f>
        <v>cas_hmw</v>
      </c>
      <c r="B22633" s="5">
        <f>IFERROR(__xludf.DUMMYFUNCTION("""COMPUTED_VALUE"""),44790.0)</f>
        <v>44790</v>
      </c>
      <c r="C22633" s="6">
        <f>IFERROR(__xludf.DUMMYFUNCTION("""COMPUTED_VALUE"""),0.3450231481474475)</f>
        <v>0.3450231481</v>
      </c>
      <c r="D22633" s="4">
        <f>IFERROR(__xludf.DUMMYFUNCTION("""COMPUTED_VALUE"""),12.934889)</f>
        <v>12.934889</v>
      </c>
      <c r="E22633" s="4">
        <f>IFERROR(__xludf.DUMMYFUNCTION("""COMPUTED_VALUE"""),80.126107)</f>
        <v>80.126107</v>
      </c>
      <c r="F22633" s="4">
        <f>IFERROR(__xludf.DUMMYFUNCTION("""COMPUTED_VALUE"""),805.0)</f>
        <v>805</v>
      </c>
      <c r="G22633" s="4">
        <f>IFERROR(__xludf.DUMMYFUNCTION("""COMPUTED_VALUE"""),43.0)</f>
        <v>43</v>
      </c>
      <c r="H22633" s="4"/>
      <c r="I22633" s="4"/>
    </row>
    <row r="22634">
      <c r="A22634" s="4" t="str">
        <f>IFERROR(__xludf.DUMMYFUNCTION("""COMPUTED_VALUE"""),"cas_hmw")</f>
        <v>cas_hmw</v>
      </c>
      <c r="B22634" s="5">
        <f>IFERROR(__xludf.DUMMYFUNCTION("""COMPUTED_VALUE"""),44790.0)</f>
        <v>44790</v>
      </c>
      <c r="C22634" s="6">
        <f>IFERROR(__xludf.DUMMYFUNCTION("""COMPUTED_VALUE"""),0.34528935185153387)</f>
        <v>0.3452893519</v>
      </c>
      <c r="D22634" s="4">
        <f>IFERROR(__xludf.DUMMYFUNCTION("""COMPUTED_VALUE"""),12.933426)</f>
        <v>12.933426</v>
      </c>
      <c r="E22634" s="4">
        <f>IFERROR(__xludf.DUMMYFUNCTION("""COMPUTED_VALUE"""),80.124701)</f>
        <v>80.124701</v>
      </c>
      <c r="F22634" s="4">
        <f>IFERROR(__xludf.DUMMYFUNCTION("""COMPUTED_VALUE"""),805.0)</f>
        <v>805</v>
      </c>
      <c r="G22634" s="4">
        <f>IFERROR(__xludf.DUMMYFUNCTION("""COMPUTED_VALUE"""),48.0)</f>
        <v>48</v>
      </c>
      <c r="H22634" s="4"/>
      <c r="I22634" s="4"/>
    </row>
    <row r="22635">
      <c r="A22635" s="4" t="str">
        <f>IFERROR(__xludf.DUMMYFUNCTION("""COMPUTED_VALUE"""),"cas_hmw")</f>
        <v>cas_hmw</v>
      </c>
      <c r="B22635" s="5">
        <f>IFERROR(__xludf.DUMMYFUNCTION("""COMPUTED_VALUE"""),44790.0)</f>
        <v>44790</v>
      </c>
      <c r="C22635" s="6">
        <f>IFERROR(__xludf.DUMMYFUNCTION("""COMPUTED_VALUE"""),0.3457175925941556)</f>
        <v>0.3457175926</v>
      </c>
      <c r="D22635" s="4">
        <f>IFERROR(__xludf.DUMMYFUNCTION("""COMPUTED_VALUE"""),12.896406)</f>
        <v>12.896406</v>
      </c>
      <c r="E22635" s="4">
        <f>IFERROR(__xludf.DUMMYFUNCTION("""COMPUTED_VALUE"""),80.088813)</f>
        <v>80.088813</v>
      </c>
      <c r="F22635" s="4">
        <f>IFERROR(__xludf.DUMMYFUNCTION("""COMPUTED_VALUE"""),5339.0)</f>
        <v>5339</v>
      </c>
      <c r="G22635" s="4">
        <f>IFERROR(__xludf.DUMMYFUNCTION("""COMPUTED_VALUE"""),34.0)</f>
        <v>34</v>
      </c>
      <c r="H22635" s="4"/>
      <c r="I22635" s="4"/>
    </row>
    <row r="22636">
      <c r="A22636" s="4" t="str">
        <f>IFERROR(__xludf.DUMMYFUNCTION("""COMPUTED_VALUE"""),"cas_hmw")</f>
        <v>cas_hmw</v>
      </c>
      <c r="B22636" s="5">
        <f>IFERROR(__xludf.DUMMYFUNCTION("""COMPUTED_VALUE"""),44790.0)</f>
        <v>44790</v>
      </c>
      <c r="C22636" s="6">
        <f>IFERROR(__xludf.DUMMYFUNCTION("""COMPUTED_VALUE"""),0.3457754629635019)</f>
        <v>0.345775463</v>
      </c>
      <c r="D22636" s="4">
        <f>IFERROR(__xludf.DUMMYFUNCTION("""COMPUTED_VALUE"""),12.931109)</f>
        <v>12.931109</v>
      </c>
      <c r="E22636" s="4">
        <f>IFERROR(__xludf.DUMMYFUNCTION("""COMPUTED_VALUE"""),80.122326)</f>
        <v>80.122326</v>
      </c>
      <c r="F22636" s="4">
        <f>IFERROR(__xludf.DUMMYFUNCTION("""COMPUTED_VALUE"""),805.0)</f>
        <v>805</v>
      </c>
      <c r="G22636" s="4">
        <f>IFERROR(__xludf.DUMMYFUNCTION("""COMPUTED_VALUE"""),33.0)</f>
        <v>33</v>
      </c>
      <c r="H22636" s="4"/>
      <c r="I22636" s="4"/>
    </row>
    <row r="22637">
      <c r="A22637" s="4" t="str">
        <f>IFERROR(__xludf.DUMMYFUNCTION("""COMPUTED_VALUE"""),"cas_hmw")</f>
        <v>cas_hmw</v>
      </c>
      <c r="B22637" s="5">
        <f>IFERROR(__xludf.DUMMYFUNCTION("""COMPUTED_VALUE"""),44790.0)</f>
        <v>44790</v>
      </c>
      <c r="C22637" s="6">
        <f>IFERROR(__xludf.DUMMYFUNCTION("""COMPUTED_VALUE"""),0.3459374999983993)</f>
        <v>0.3459375</v>
      </c>
      <c r="D22637" s="4">
        <f>IFERROR(__xludf.DUMMYFUNCTION("""COMPUTED_VALUE"""),12.929681)</f>
        <v>12.929681</v>
      </c>
      <c r="E22637" s="4">
        <f>IFERROR(__xludf.DUMMYFUNCTION("""COMPUTED_VALUE"""),80.120931)</f>
        <v>80.120931</v>
      </c>
      <c r="F22637" s="4">
        <f>IFERROR(__xludf.DUMMYFUNCTION("""COMPUTED_VALUE"""),805.0)</f>
        <v>805</v>
      </c>
      <c r="G22637" s="4">
        <f>IFERROR(__xludf.DUMMYFUNCTION("""COMPUTED_VALUE"""),45.0)</f>
        <v>45</v>
      </c>
      <c r="H22637" s="4"/>
      <c r="I22637" s="4"/>
    </row>
    <row r="22638">
      <c r="A22638" s="4" t="str">
        <f>IFERROR(__xludf.DUMMYFUNCTION("""COMPUTED_VALUE"""),"cas_hmw")</f>
        <v>cas_hmw</v>
      </c>
      <c r="B22638" s="5">
        <f>IFERROR(__xludf.DUMMYFUNCTION("""COMPUTED_VALUE"""),44790.0)</f>
        <v>44790</v>
      </c>
      <c r="C22638" s="6">
        <f>IFERROR(__xludf.DUMMYFUNCTION("""COMPUTED_VALUE"""),0.3461111111100763)</f>
        <v>0.3461111111</v>
      </c>
      <c r="D22638" s="4">
        <f>IFERROR(__xludf.DUMMYFUNCTION("""COMPUTED_VALUE"""),12.893914)</f>
        <v>12.893914</v>
      </c>
      <c r="E22638" s="4">
        <f>IFERROR(__xludf.DUMMYFUNCTION("""COMPUTED_VALUE"""),80.086956)</f>
        <v>80.086956</v>
      </c>
      <c r="F22638" s="4">
        <f>IFERROR(__xludf.DUMMYFUNCTION("""COMPUTED_VALUE"""),5339.0)</f>
        <v>5339</v>
      </c>
      <c r="G22638" s="4">
        <f>IFERROR(__xludf.DUMMYFUNCTION("""COMPUTED_VALUE"""),48.0)</f>
        <v>48</v>
      </c>
      <c r="H22638" s="4"/>
      <c r="I22638" s="4"/>
    </row>
    <row r="22639">
      <c r="A22639" s="4" t="str">
        <f>IFERROR(__xludf.DUMMYFUNCTION("""COMPUTED_VALUE"""),"cas_hmw")</f>
        <v>cas_hmw</v>
      </c>
      <c r="B22639" s="5">
        <f>IFERROR(__xludf.DUMMYFUNCTION("""COMPUTED_VALUE"""),44790.0)</f>
        <v>44790</v>
      </c>
      <c r="C22639" s="6">
        <f>IFERROR(__xludf.DUMMYFUNCTION("""COMPUTED_VALUE"""),0.346400462964084)</f>
        <v>0.346400463</v>
      </c>
      <c r="D22639" s="4">
        <f>IFERROR(__xludf.DUMMYFUNCTION("""COMPUTED_VALUE"""),12.926356)</f>
        <v>12.926356</v>
      </c>
      <c r="E22639" s="4">
        <f>IFERROR(__xludf.DUMMYFUNCTION("""COMPUTED_VALUE"""),80.117548)</f>
        <v>80.117548</v>
      </c>
      <c r="F22639" s="4">
        <f>IFERROR(__xludf.DUMMYFUNCTION("""COMPUTED_VALUE"""),805.0)</f>
        <v>805</v>
      </c>
      <c r="G22639" s="4">
        <f>IFERROR(__xludf.DUMMYFUNCTION("""COMPUTED_VALUE"""),43.0)</f>
        <v>43</v>
      </c>
      <c r="H22639" s="4"/>
      <c r="I22639" s="4"/>
    </row>
    <row r="22640">
      <c r="A22640" s="4" t="str">
        <f>IFERROR(__xludf.DUMMYFUNCTION("""COMPUTED_VALUE"""),"cas_hmw")</f>
        <v>cas_hmw</v>
      </c>
      <c r="B22640" s="5">
        <f>IFERROR(__xludf.DUMMYFUNCTION("""COMPUTED_VALUE"""),44790.0)</f>
        <v>44790</v>
      </c>
      <c r="C22640" s="6">
        <f>IFERROR(__xludf.DUMMYFUNCTION("""COMPUTED_VALUE"""),0.34666666666817036)</f>
        <v>0.3466666667</v>
      </c>
      <c r="D22640" s="4">
        <f>IFERROR(__xludf.DUMMYFUNCTION("""COMPUTED_VALUE"""),12.849316)</f>
        <v>12.849316</v>
      </c>
      <c r="E22640" s="4">
        <f>IFERROR(__xludf.DUMMYFUNCTION("""COMPUTED_VALUE"""),80.06417)</f>
        <v>80.06417</v>
      </c>
      <c r="F22640" s="4">
        <f>IFERROR(__xludf.DUMMYFUNCTION("""COMPUTED_VALUE"""),2846.0)</f>
        <v>2846</v>
      </c>
      <c r="G22640" s="4">
        <f>IFERROR(__xludf.DUMMYFUNCTION("""COMPUTED_VALUE"""),56.0)</f>
        <v>56</v>
      </c>
      <c r="H22640" s="4"/>
      <c r="I22640" s="4"/>
    </row>
    <row r="22641">
      <c r="A22641" s="4" t="str">
        <f>IFERROR(__xludf.DUMMYFUNCTION("""COMPUTED_VALUE"""),"cas_hmw")</f>
        <v>cas_hmw</v>
      </c>
      <c r="B22641" s="5">
        <f>IFERROR(__xludf.DUMMYFUNCTION("""COMPUTED_VALUE"""),44790.0)</f>
        <v>44790</v>
      </c>
      <c r="C22641" s="6">
        <f>IFERROR(__xludf.DUMMYFUNCTION("""COMPUTED_VALUE"""),0.3469791666684614)</f>
        <v>0.3469791667</v>
      </c>
      <c r="D22641" s="4">
        <f>IFERROR(__xludf.DUMMYFUNCTION("""COMPUTED_VALUE"""),12.885557)</f>
        <v>12.885557</v>
      </c>
      <c r="E22641" s="4">
        <f>IFERROR(__xludf.DUMMYFUNCTION("""COMPUTED_VALUE"""),80.08281)</f>
        <v>80.08281</v>
      </c>
      <c r="F22641" s="4">
        <f>IFERROR(__xludf.DUMMYFUNCTION("""COMPUTED_VALUE"""),5339.0)</f>
        <v>5339</v>
      </c>
      <c r="G22641" s="4">
        <f>IFERROR(__xludf.DUMMYFUNCTION("""COMPUTED_VALUE"""),34.0)</f>
        <v>34</v>
      </c>
      <c r="H22641" s="4"/>
      <c r="I22641" s="4"/>
    </row>
    <row r="22642">
      <c r="A22642" s="4" t="str">
        <f>IFERROR(__xludf.DUMMYFUNCTION("""COMPUTED_VALUE"""),"cas_hmw")</f>
        <v>cas_hmw</v>
      </c>
      <c r="B22642" s="5">
        <f>IFERROR(__xludf.DUMMYFUNCTION("""COMPUTED_VALUE"""),44790.0)</f>
        <v>44790</v>
      </c>
      <c r="C22642" s="6">
        <f>IFERROR(__xludf.DUMMYFUNCTION("""COMPUTED_VALUE"""),0.3470138888878864)</f>
        <v>0.3470138889</v>
      </c>
      <c r="D22642" s="4">
        <f>IFERROR(__xludf.DUMMYFUNCTION("""COMPUTED_VALUE"""),12.885557)</f>
        <v>12.885557</v>
      </c>
      <c r="E22642" s="4">
        <f>IFERROR(__xludf.DUMMYFUNCTION("""COMPUTED_VALUE"""),80.08281)</f>
        <v>80.08281</v>
      </c>
      <c r="F22642" s="4">
        <f>IFERROR(__xludf.DUMMYFUNCTION("""COMPUTED_VALUE"""),5339.0)</f>
        <v>5339</v>
      </c>
      <c r="G22642" s="4">
        <f>IFERROR(__xludf.DUMMYFUNCTION("""COMPUTED_VALUE"""),34.0)</f>
        <v>34</v>
      </c>
      <c r="H22642" s="4"/>
      <c r="I22642" s="4"/>
    </row>
    <row r="22643">
      <c r="A22643" s="4" t="str">
        <f>IFERROR(__xludf.DUMMYFUNCTION("""COMPUTED_VALUE"""),"cas_hmw")</f>
        <v>cas_hmw</v>
      </c>
      <c r="B22643" s="5">
        <f>IFERROR(__xludf.DUMMYFUNCTION("""COMPUTED_VALUE"""),44790.0)</f>
        <v>44790</v>
      </c>
      <c r="C22643" s="6">
        <f>IFERROR(__xludf.DUMMYFUNCTION("""COMPUTED_VALUE"""),0.3476388888884685)</f>
        <v>0.3476388889</v>
      </c>
      <c r="D22643" s="4">
        <f>IFERROR(__xludf.DUMMYFUNCTION("""COMPUTED_VALUE"""),12.922511)</f>
        <v>12.922511</v>
      </c>
      <c r="E22643" s="4">
        <f>IFERROR(__xludf.DUMMYFUNCTION("""COMPUTED_VALUE"""),80.13718)</f>
        <v>80.13718</v>
      </c>
      <c r="F22643" s="4">
        <f>IFERROR(__xludf.DUMMYFUNCTION("""COMPUTED_VALUE"""),3143.0)</f>
        <v>3143</v>
      </c>
      <c r="G22643" s="4">
        <f>IFERROR(__xludf.DUMMYFUNCTION("""COMPUTED_VALUE"""),17.0)</f>
        <v>17</v>
      </c>
      <c r="H22643" s="4"/>
      <c r="I22643" s="4"/>
    </row>
    <row r="22644">
      <c r="A22644" s="4" t="str">
        <f>IFERROR(__xludf.DUMMYFUNCTION("""COMPUTED_VALUE"""),"cas_hmw")</f>
        <v>cas_hmw</v>
      </c>
      <c r="B22644" s="5">
        <f>IFERROR(__xludf.DUMMYFUNCTION("""COMPUTED_VALUE"""),44790.0)</f>
        <v>44790</v>
      </c>
      <c r="C22644" s="6">
        <f>IFERROR(__xludf.DUMMYFUNCTION("""COMPUTED_VALUE"""),0.3477199074077362)</f>
        <v>0.3477199074</v>
      </c>
      <c r="D22644" s="4">
        <f>IFERROR(__xludf.DUMMYFUNCTION("""COMPUTED_VALUE"""),12.922529)</f>
        <v>12.922529</v>
      </c>
      <c r="E22644" s="4">
        <f>IFERROR(__xludf.DUMMYFUNCTION("""COMPUTED_VALUE"""),80.136681)</f>
        <v>80.136681</v>
      </c>
      <c r="F22644" s="4">
        <f>IFERROR(__xludf.DUMMYFUNCTION("""COMPUTED_VALUE"""),3143.0)</f>
        <v>3143</v>
      </c>
      <c r="G22644" s="4">
        <f>IFERROR(__xludf.DUMMYFUNCTION("""COMPUTED_VALUE"""),23.0)</f>
        <v>23</v>
      </c>
      <c r="H22644" s="4"/>
      <c r="I22644" s="4"/>
    </row>
    <row r="22645">
      <c r="A22645" s="4" t="str">
        <f>IFERROR(__xludf.DUMMYFUNCTION("""COMPUTED_VALUE"""),"cas_hmw")</f>
        <v>cas_hmw</v>
      </c>
      <c r="B22645" s="5">
        <f>IFERROR(__xludf.DUMMYFUNCTION("""COMPUTED_VALUE"""),44790.0)</f>
        <v>44790</v>
      </c>
      <c r="C22645" s="6">
        <f>IFERROR(__xludf.DUMMYFUNCTION("""COMPUTED_VALUE"""),0.3485763888893416)</f>
        <v>0.3485763889</v>
      </c>
      <c r="D22645" s="4">
        <f>IFERROR(__xludf.DUMMYFUNCTION("""COMPUTED_VALUE"""),12.922715)</f>
        <v>12.922715</v>
      </c>
      <c r="E22645" s="4">
        <f>IFERROR(__xludf.DUMMYFUNCTION("""COMPUTED_VALUE"""),80.131609)</f>
        <v>80.131609</v>
      </c>
      <c r="F22645" s="4">
        <f>IFERROR(__xludf.DUMMYFUNCTION("""COMPUTED_VALUE"""),3143.0)</f>
        <v>3143</v>
      </c>
      <c r="G22645" s="4">
        <f>IFERROR(__xludf.DUMMYFUNCTION("""COMPUTED_VALUE"""),40.0)</f>
        <v>40</v>
      </c>
      <c r="H22645" s="4"/>
      <c r="I22645" s="4"/>
    </row>
    <row r="22646">
      <c r="A22646" s="4" t="str">
        <f>IFERROR(__xludf.DUMMYFUNCTION("""COMPUTED_VALUE"""),"cas_hmw")</f>
        <v>cas_hmw</v>
      </c>
      <c r="B22646" s="5">
        <f>IFERROR(__xludf.DUMMYFUNCTION("""COMPUTED_VALUE"""),44790.0)</f>
        <v>44790</v>
      </c>
      <c r="C22646" s="6">
        <f>IFERROR(__xludf.DUMMYFUNCTION("""COMPUTED_VALUE"""),0.34888888888963265)</f>
        <v>0.3488888889</v>
      </c>
      <c r="D22646" s="4">
        <f>IFERROR(__xludf.DUMMYFUNCTION("""COMPUTED_VALUE"""),12.878055)</f>
        <v>12.878055</v>
      </c>
      <c r="E22646" s="4">
        <f>IFERROR(__xludf.DUMMYFUNCTION("""COMPUTED_VALUE"""),80.083372)</f>
        <v>80.083372</v>
      </c>
      <c r="F22646" s="4">
        <f>IFERROR(__xludf.DUMMYFUNCTION("""COMPUTED_VALUE"""),5339.0)</f>
        <v>5339</v>
      </c>
      <c r="G22646" s="4">
        <f>IFERROR(__xludf.DUMMYFUNCTION("""COMPUTED_VALUE"""),37.0)</f>
        <v>37</v>
      </c>
      <c r="H22646" s="4"/>
      <c r="I22646" s="4"/>
    </row>
    <row r="22647">
      <c r="A22647" s="4" t="str">
        <f>IFERROR(__xludf.DUMMYFUNCTION("""COMPUTED_VALUE"""),"cas_hmw")</f>
        <v>cas_hmw</v>
      </c>
      <c r="B22647" s="5">
        <f>IFERROR(__xludf.DUMMYFUNCTION("""COMPUTED_VALUE"""),44790.0)</f>
        <v>44790</v>
      </c>
      <c r="C22647" s="6">
        <f>IFERROR(__xludf.DUMMYFUNCTION("""COMPUTED_VALUE"""),0.348912037035916)</f>
        <v>0.348912037</v>
      </c>
      <c r="D22647" s="4">
        <f>IFERROR(__xludf.DUMMYFUNCTION("""COMPUTED_VALUE"""),12.878055)</f>
        <v>12.878055</v>
      </c>
      <c r="E22647" s="4">
        <f>IFERROR(__xludf.DUMMYFUNCTION("""COMPUTED_VALUE"""),80.083372)</f>
        <v>80.083372</v>
      </c>
      <c r="F22647" s="4">
        <f>IFERROR(__xludf.DUMMYFUNCTION("""COMPUTED_VALUE"""),5339.0)</f>
        <v>5339</v>
      </c>
      <c r="G22647" s="4">
        <f>IFERROR(__xludf.DUMMYFUNCTION("""COMPUTED_VALUE"""),37.0)</f>
        <v>37</v>
      </c>
      <c r="H22647" s="4"/>
      <c r="I22647" s="4"/>
    </row>
    <row r="22648">
      <c r="A22648" s="4" t="str">
        <f>IFERROR(__xludf.DUMMYFUNCTION("""COMPUTED_VALUE"""),"cas_hmw")</f>
        <v>cas_hmw</v>
      </c>
      <c r="B22648" s="5">
        <f>IFERROR(__xludf.DUMMYFUNCTION("""COMPUTED_VALUE"""),44790.0)</f>
        <v>44790</v>
      </c>
      <c r="C22648" s="6">
        <f>IFERROR(__xludf.DUMMYFUNCTION("""COMPUTED_VALUE"""),0.3494560185172304)</f>
        <v>0.3494560185</v>
      </c>
      <c r="D22648" s="4">
        <f>IFERROR(__xludf.DUMMYFUNCTION("""COMPUTED_VALUE"""),12.907997)</f>
        <v>12.907997</v>
      </c>
      <c r="E22648" s="4">
        <f>IFERROR(__xludf.DUMMYFUNCTION("""COMPUTED_VALUE"""),80.097708)</f>
        <v>80.097708</v>
      </c>
      <c r="F22648" s="4">
        <f>IFERROR(__xludf.DUMMYFUNCTION("""COMPUTED_VALUE"""),805.0)</f>
        <v>805</v>
      </c>
      <c r="G22648" s="4">
        <f>IFERROR(__xludf.DUMMYFUNCTION("""COMPUTED_VALUE"""),44.0)</f>
        <v>44</v>
      </c>
      <c r="H22648" s="4"/>
      <c r="I22648" s="4"/>
    </row>
    <row r="22649">
      <c r="A22649" s="4" t="str">
        <f>IFERROR(__xludf.DUMMYFUNCTION("""COMPUTED_VALUE"""),"cas_hmw")</f>
        <v>cas_hmw</v>
      </c>
      <c r="B22649" s="5">
        <f>IFERROR(__xludf.DUMMYFUNCTION("""COMPUTED_VALUE"""),44790.0)</f>
        <v>44790</v>
      </c>
      <c r="C22649" s="6">
        <f>IFERROR(__xludf.DUMMYFUNCTION("""COMPUTED_VALUE"""),0.3497337962980964)</f>
        <v>0.3497337963</v>
      </c>
      <c r="D22649" s="4">
        <f>IFERROR(__xludf.DUMMYFUNCTION("""COMPUTED_VALUE"""),12.874556)</f>
        <v>12.874556</v>
      </c>
      <c r="E22649" s="4">
        <f>IFERROR(__xludf.DUMMYFUNCTION("""COMPUTED_VALUE"""),80.078214)</f>
        <v>80.078214</v>
      </c>
      <c r="F22649" s="4">
        <f>IFERROR(__xludf.DUMMYFUNCTION("""COMPUTED_VALUE"""),2846.0)</f>
        <v>2846</v>
      </c>
      <c r="G22649" s="4">
        <f>IFERROR(__xludf.DUMMYFUNCTION("""COMPUTED_VALUE"""),54.0)</f>
        <v>54</v>
      </c>
      <c r="H22649" s="4"/>
      <c r="I22649" s="4"/>
    </row>
    <row r="22650">
      <c r="A22650" s="4" t="str">
        <f>IFERROR(__xludf.DUMMYFUNCTION("""COMPUTED_VALUE"""),"cas_hmw")</f>
        <v>cas_hmw</v>
      </c>
      <c r="B22650" s="5">
        <f>IFERROR(__xludf.DUMMYFUNCTION("""COMPUTED_VALUE"""),44790.0)</f>
        <v>44790</v>
      </c>
      <c r="C22650" s="6">
        <f>IFERROR(__xludf.DUMMYFUNCTION("""COMPUTED_VALUE"""),0.3498148148137261)</f>
        <v>0.3498148148</v>
      </c>
      <c r="D22650" s="4">
        <f>IFERROR(__xludf.DUMMYFUNCTION("""COMPUTED_VALUE"""),12.875788)</f>
        <v>12.875788</v>
      </c>
      <c r="E22650" s="4">
        <f>IFERROR(__xludf.DUMMYFUNCTION("""COMPUTED_VALUE"""),80.078654)</f>
        <v>80.078654</v>
      </c>
      <c r="F22650" s="4">
        <f>IFERROR(__xludf.DUMMYFUNCTION("""COMPUTED_VALUE"""),2846.0)</f>
        <v>2846</v>
      </c>
      <c r="G22650" s="4">
        <f>IFERROR(__xludf.DUMMYFUNCTION("""COMPUTED_VALUE"""),45.0)</f>
        <v>45</v>
      </c>
      <c r="H22650" s="4"/>
      <c r="I22650" s="4"/>
    </row>
    <row r="22651">
      <c r="A22651" s="4" t="str">
        <f>IFERROR(__xludf.DUMMYFUNCTION("""COMPUTED_VALUE"""),"cas_hmw")</f>
        <v>cas_hmw</v>
      </c>
      <c r="B22651" s="5">
        <f>IFERROR(__xludf.DUMMYFUNCTION("""COMPUTED_VALUE"""),44790.0)</f>
        <v>44790</v>
      </c>
      <c r="C22651" s="6">
        <f>IFERROR(__xludf.DUMMYFUNCTION("""COMPUTED_VALUE"""),0.34983796296364744)</f>
        <v>0.349837963</v>
      </c>
      <c r="D22651" s="4">
        <f>IFERROR(__xludf.DUMMYFUNCTION("""COMPUTED_VALUE"""),12.905117)</f>
        <v>12.905117</v>
      </c>
      <c r="E22651" s="4">
        <f>IFERROR(__xludf.DUMMYFUNCTION("""COMPUTED_VALUE"""),80.095539)</f>
        <v>80.095539</v>
      </c>
      <c r="F22651" s="4">
        <f>IFERROR(__xludf.DUMMYFUNCTION("""COMPUTED_VALUE"""),805.0)</f>
        <v>805</v>
      </c>
      <c r="G22651" s="4">
        <f>IFERROR(__xludf.DUMMYFUNCTION("""COMPUTED_VALUE"""),36.0)</f>
        <v>36</v>
      </c>
      <c r="H22651" s="4"/>
      <c r="I22651" s="4"/>
    </row>
    <row r="22652">
      <c r="A22652" s="4" t="str">
        <f>IFERROR(__xludf.DUMMYFUNCTION("""COMPUTED_VALUE"""),"cas_hmw")</f>
        <v>cas_hmw</v>
      </c>
      <c r="B22652" s="5">
        <f>IFERROR(__xludf.DUMMYFUNCTION("""COMPUTED_VALUE"""),44790.0)</f>
        <v>44790</v>
      </c>
      <c r="C22652" s="6">
        <f>IFERROR(__xludf.DUMMYFUNCTION("""COMPUTED_VALUE"""),0.3498495370367891)</f>
        <v>0.349849537</v>
      </c>
      <c r="D22652" s="4">
        <f>IFERROR(__xludf.DUMMYFUNCTION("""COMPUTED_VALUE"""),12.905117)</f>
        <v>12.905117</v>
      </c>
      <c r="E22652" s="4">
        <f>IFERROR(__xludf.DUMMYFUNCTION("""COMPUTED_VALUE"""),80.095539)</f>
        <v>80.095539</v>
      </c>
      <c r="F22652" s="4">
        <f>IFERROR(__xludf.DUMMYFUNCTION("""COMPUTED_VALUE"""),805.0)</f>
        <v>805</v>
      </c>
      <c r="G22652" s="4">
        <f>IFERROR(__xludf.DUMMYFUNCTION("""COMPUTED_VALUE"""),36.0)</f>
        <v>36</v>
      </c>
      <c r="H22652" s="4"/>
      <c r="I22652" s="4"/>
    </row>
    <row r="22653">
      <c r="A22653" s="4" t="str">
        <f>IFERROR(__xludf.DUMMYFUNCTION("""COMPUTED_VALUE"""),"cas_hmw")</f>
        <v>cas_hmw</v>
      </c>
      <c r="B22653" s="5">
        <f>IFERROR(__xludf.DUMMYFUNCTION("""COMPUTED_VALUE"""),44790.0)</f>
        <v>44790</v>
      </c>
      <c r="C22653" s="6">
        <f>IFERROR(__xludf.DUMMYFUNCTION("""COMPUTED_VALUE"""),0.3498958333329938)</f>
        <v>0.3498958333</v>
      </c>
      <c r="D22653" s="4">
        <f>IFERROR(__xludf.DUMMYFUNCTION("""COMPUTED_VALUE"""),12.922965)</f>
        <v>12.922965</v>
      </c>
      <c r="E22653" s="4">
        <f>IFERROR(__xludf.DUMMYFUNCTION("""COMPUTED_VALUE"""),80.125859)</f>
        <v>80.125859</v>
      </c>
      <c r="F22653" s="4">
        <f>IFERROR(__xludf.DUMMYFUNCTION("""COMPUTED_VALUE"""),3143.0)</f>
        <v>3143</v>
      </c>
      <c r="G22653" s="4">
        <f>IFERROR(__xludf.DUMMYFUNCTION("""COMPUTED_VALUE"""),30.0)</f>
        <v>30</v>
      </c>
      <c r="H22653" s="4"/>
      <c r="I22653" s="4"/>
    </row>
    <row r="22654">
      <c r="A22654" s="4" t="str">
        <f>IFERROR(__xludf.DUMMYFUNCTION("""COMPUTED_VALUE"""),"cas_hmw")</f>
        <v>cas_hmw</v>
      </c>
      <c r="B22654" s="5">
        <f>IFERROR(__xludf.DUMMYFUNCTION("""COMPUTED_VALUE"""),44790.0)</f>
        <v>44790</v>
      </c>
      <c r="C22654" s="6">
        <f>IFERROR(__xludf.DUMMYFUNCTION("""COMPUTED_VALUE"""),0.35055555555663886)</f>
        <v>0.3505555556</v>
      </c>
      <c r="D22654" s="4">
        <f>IFERROR(__xludf.DUMMYFUNCTION("""COMPUTED_VALUE"""),12.899834)</f>
        <v>12.899834</v>
      </c>
      <c r="E22654" s="4">
        <f>IFERROR(__xludf.DUMMYFUNCTION("""COMPUTED_VALUE"""),80.091476)</f>
        <v>80.091476</v>
      </c>
      <c r="F22654" s="4">
        <f>IFERROR(__xludf.DUMMYFUNCTION("""COMPUTED_VALUE"""),805.0)</f>
        <v>805</v>
      </c>
      <c r="G22654" s="4">
        <f>IFERROR(__xludf.DUMMYFUNCTION("""COMPUTED_VALUE"""),56.0)</f>
        <v>56</v>
      </c>
      <c r="H22654" s="4"/>
      <c r="I22654" s="4"/>
    </row>
    <row r="22655">
      <c r="A22655" s="4" t="str">
        <f>IFERROR(__xludf.DUMMYFUNCTION("""COMPUTED_VALUE"""),"cas_hmw")</f>
        <v>cas_hmw</v>
      </c>
      <c r="B22655" s="5">
        <f>IFERROR(__xludf.DUMMYFUNCTION("""COMPUTED_VALUE"""),44790.0)</f>
        <v>44790</v>
      </c>
      <c r="C22655" s="6">
        <f>IFERROR(__xludf.DUMMYFUNCTION("""COMPUTED_VALUE"""),0.35078703703766223)</f>
        <v>0.350787037</v>
      </c>
      <c r="D22655" s="4">
        <f>IFERROR(__xludf.DUMMYFUNCTION("""COMPUTED_VALUE"""),12.923649)</f>
        <v>12.923649</v>
      </c>
      <c r="E22655" s="4">
        <f>IFERROR(__xludf.DUMMYFUNCTION("""COMPUTED_VALUE"""),80.117387)</f>
        <v>80.117387</v>
      </c>
      <c r="F22655" s="4">
        <f>IFERROR(__xludf.DUMMYFUNCTION("""COMPUTED_VALUE"""),3143.0)</f>
        <v>3143</v>
      </c>
      <c r="G22655" s="4">
        <f>IFERROR(__xludf.DUMMYFUNCTION("""COMPUTED_VALUE"""),46.0)</f>
        <v>46</v>
      </c>
      <c r="H22655" s="4"/>
      <c r="I22655" s="4"/>
    </row>
    <row r="22656">
      <c r="A22656" s="4" t="str">
        <f>IFERROR(__xludf.DUMMYFUNCTION("""COMPUTED_VALUE"""),"cas_hmw")</f>
        <v>cas_hmw</v>
      </c>
      <c r="B22656" s="5">
        <f>IFERROR(__xludf.DUMMYFUNCTION("""COMPUTED_VALUE"""),44790.0)</f>
        <v>44790</v>
      </c>
      <c r="C22656" s="6">
        <f>IFERROR(__xludf.DUMMYFUNCTION("""COMPUTED_VALUE"""),0.3507986111108039)</f>
        <v>0.3507986111</v>
      </c>
      <c r="D22656" s="4">
        <f>IFERROR(__xludf.DUMMYFUNCTION("""COMPUTED_VALUE"""),12.923649)</f>
        <v>12.923649</v>
      </c>
      <c r="E22656" s="4">
        <f>IFERROR(__xludf.DUMMYFUNCTION("""COMPUTED_VALUE"""),80.117387)</f>
        <v>80.117387</v>
      </c>
      <c r="F22656" s="4">
        <f>IFERROR(__xludf.DUMMYFUNCTION("""COMPUTED_VALUE"""),3143.0)</f>
        <v>3143</v>
      </c>
      <c r="G22656" s="4">
        <f>IFERROR(__xludf.DUMMYFUNCTION("""COMPUTED_VALUE"""),46.0)</f>
        <v>46</v>
      </c>
      <c r="H22656" s="4"/>
      <c r="I22656" s="4"/>
    </row>
    <row r="22657">
      <c r="A22657" s="4" t="str">
        <f>IFERROR(__xludf.DUMMYFUNCTION("""COMPUTED_VALUE"""),"cas_hmw")</f>
        <v>cas_hmw</v>
      </c>
      <c r="B22657" s="5">
        <f>IFERROR(__xludf.DUMMYFUNCTION("""COMPUTED_VALUE"""),44790.0)</f>
        <v>44790</v>
      </c>
      <c r="C22657" s="6">
        <f>IFERROR(__xludf.DUMMYFUNCTION("""COMPUTED_VALUE"""),0.35209490740817273)</f>
        <v>0.3520949074</v>
      </c>
      <c r="D22657" s="4">
        <f>IFERROR(__xludf.DUMMYFUNCTION("""COMPUTED_VALUE"""),12.884783)</f>
        <v>12.884783</v>
      </c>
      <c r="E22657" s="4">
        <f>IFERROR(__xludf.DUMMYFUNCTION("""COMPUTED_VALUE"""),80.0825)</f>
        <v>80.0825</v>
      </c>
      <c r="F22657" s="4">
        <f>IFERROR(__xludf.DUMMYFUNCTION("""COMPUTED_VALUE"""),805.0)</f>
        <v>805</v>
      </c>
      <c r="G22657" s="4">
        <f>IFERROR(__xludf.DUMMYFUNCTION("""COMPUTED_VALUE"""),56.0)</f>
        <v>56</v>
      </c>
      <c r="H22657" s="4"/>
      <c r="I22657" s="4"/>
    </row>
    <row r="22658">
      <c r="A22658" s="4" t="str">
        <f>IFERROR(__xludf.DUMMYFUNCTION("""COMPUTED_VALUE"""),"cas_hmw")</f>
        <v>cas_hmw</v>
      </c>
      <c r="B22658" s="5">
        <f>IFERROR(__xludf.DUMMYFUNCTION("""COMPUTED_VALUE"""),44790.0)</f>
        <v>44790</v>
      </c>
      <c r="C22658" s="6">
        <f>IFERROR(__xludf.DUMMYFUNCTION("""COMPUTED_VALUE"""),0.3527314814818965)</f>
        <v>0.3527314815</v>
      </c>
      <c r="D22658" s="4">
        <f>IFERROR(__xludf.DUMMYFUNCTION("""COMPUTED_VALUE"""),12.881204)</f>
        <v>12.881204</v>
      </c>
      <c r="E22658" s="4">
        <f>IFERROR(__xludf.DUMMYFUNCTION("""COMPUTED_VALUE"""),80.08116)</f>
        <v>80.08116</v>
      </c>
      <c r="F22658" s="4">
        <f>IFERROR(__xludf.DUMMYFUNCTION("""COMPUTED_VALUE"""),805.0)</f>
        <v>805</v>
      </c>
      <c r="G22658" s="4">
        <f>IFERROR(__xludf.DUMMYFUNCTION("""COMPUTED_VALUE"""),22.0)</f>
        <v>22</v>
      </c>
      <c r="H22658" s="4"/>
      <c r="I22658" s="4"/>
    </row>
    <row r="22659">
      <c r="A22659" s="4" t="str">
        <f>IFERROR(__xludf.DUMMYFUNCTION("""COMPUTED_VALUE"""),"cas_hmw")</f>
        <v>cas_hmw</v>
      </c>
      <c r="B22659" s="5">
        <f>IFERROR(__xludf.DUMMYFUNCTION("""COMPUTED_VALUE"""),44790.0)</f>
        <v>44790</v>
      </c>
      <c r="C22659" s="6">
        <f>IFERROR(__xludf.DUMMYFUNCTION("""COMPUTED_VALUE"""),0.3529398148129985)</f>
        <v>0.3529398148</v>
      </c>
      <c r="D22659" s="4">
        <f>IFERROR(__xludf.DUMMYFUNCTION("""COMPUTED_VALUE"""),12.914876)</f>
        <v>12.914876</v>
      </c>
      <c r="E22659" s="4">
        <f>IFERROR(__xludf.DUMMYFUNCTION("""COMPUTED_VALUE"""),80.103247)</f>
        <v>80.103247</v>
      </c>
      <c r="F22659" s="4">
        <f>IFERROR(__xludf.DUMMYFUNCTION("""COMPUTED_VALUE"""),3143.0)</f>
        <v>3143</v>
      </c>
      <c r="G22659" s="4">
        <f>IFERROR(__xludf.DUMMYFUNCTION("""COMPUTED_VALUE"""),55.0)</f>
        <v>55</v>
      </c>
      <c r="H22659" s="4"/>
      <c r="I22659" s="4"/>
    </row>
    <row r="22660">
      <c r="A22660" s="4" t="str">
        <f>IFERROR(__xludf.DUMMYFUNCTION("""COMPUTED_VALUE"""),"cas_hmw")</f>
        <v>cas_hmw</v>
      </c>
      <c r="B22660" s="5">
        <f>IFERROR(__xludf.DUMMYFUNCTION("""COMPUTED_VALUE"""),44790.0)</f>
        <v>44790</v>
      </c>
      <c r="C22660" s="6">
        <f>IFERROR(__xludf.DUMMYFUNCTION("""COMPUTED_VALUE"""),0.35314814814773854)</f>
        <v>0.3531481481</v>
      </c>
      <c r="D22660" s="4">
        <f>IFERROR(__xludf.DUMMYFUNCTION("""COMPUTED_VALUE"""),12.879092)</f>
        <v>12.879092</v>
      </c>
      <c r="E22660" s="4">
        <f>IFERROR(__xludf.DUMMYFUNCTION("""COMPUTED_VALUE"""),80.080408)</f>
        <v>80.080408</v>
      </c>
      <c r="F22660" s="4">
        <f>IFERROR(__xludf.DUMMYFUNCTION("""COMPUTED_VALUE"""),805.0)</f>
        <v>805</v>
      </c>
      <c r="G22660" s="4">
        <f>IFERROR(__xludf.DUMMYFUNCTION("""COMPUTED_VALUE"""),8.0)</f>
        <v>8</v>
      </c>
      <c r="H22660" s="4"/>
      <c r="I22660" s="4"/>
    </row>
    <row r="22661">
      <c r="A22661" s="4" t="str">
        <f>IFERROR(__xludf.DUMMYFUNCTION("""COMPUTED_VALUE"""),"cas_hmw")</f>
        <v>cas_hmw</v>
      </c>
      <c r="B22661" s="5">
        <f>IFERROR(__xludf.DUMMYFUNCTION("""COMPUTED_VALUE"""),44790.0)</f>
        <v>44790</v>
      </c>
      <c r="C22661" s="6">
        <f>IFERROR(__xludf.DUMMYFUNCTION("""COMPUTED_VALUE"""),0.6913425925922638)</f>
        <v>0.6913425926</v>
      </c>
      <c r="D22661" s="4">
        <f>IFERROR(__xludf.DUMMYFUNCTION("""COMPUTED_VALUE"""),12.883856)</f>
        <v>12.883856</v>
      </c>
      <c r="E22661" s="4">
        <f>IFERROR(__xludf.DUMMYFUNCTION("""COMPUTED_VALUE"""),80.081652)</f>
        <v>80.081652</v>
      </c>
      <c r="F22661" s="4">
        <f>IFERROR(__xludf.DUMMYFUNCTION("""COMPUTED_VALUE"""),805.0)</f>
        <v>805</v>
      </c>
      <c r="G22661" s="4">
        <f>IFERROR(__xludf.DUMMYFUNCTION("""COMPUTED_VALUE"""),43.0)</f>
        <v>43</v>
      </c>
      <c r="H22661" s="4"/>
      <c r="I22661" s="4"/>
    </row>
    <row r="22662">
      <c r="A22662" s="4" t="str">
        <f>IFERROR(__xludf.DUMMYFUNCTION("""COMPUTED_VALUE"""),"cas_hmw")</f>
        <v>cas_hmw</v>
      </c>
      <c r="B22662" s="5">
        <f>IFERROR(__xludf.DUMMYFUNCTION("""COMPUTED_VALUE"""),44790.0)</f>
        <v>44790</v>
      </c>
      <c r="C22662" s="6">
        <f>IFERROR(__xludf.DUMMYFUNCTION("""COMPUTED_VALUE"""),0.6913888888884685)</f>
        <v>0.6913888889</v>
      </c>
      <c r="D22662" s="4">
        <f>IFERROR(__xludf.DUMMYFUNCTION("""COMPUTED_VALUE"""),12.884224)</f>
        <v>12.884224</v>
      </c>
      <c r="E22662" s="4">
        <f>IFERROR(__xludf.DUMMYFUNCTION("""COMPUTED_VALUE"""),80.081834)</f>
        <v>80.081834</v>
      </c>
      <c r="F22662" s="4">
        <f>IFERROR(__xludf.DUMMYFUNCTION("""COMPUTED_VALUE"""),5339.0)</f>
        <v>5339</v>
      </c>
      <c r="G22662" s="4">
        <f>IFERROR(__xludf.DUMMYFUNCTION("""COMPUTED_VALUE"""),39.0)</f>
        <v>39</v>
      </c>
      <c r="H22662" s="4"/>
      <c r="I22662" s="4"/>
    </row>
    <row r="22663">
      <c r="A22663" s="4" t="str">
        <f>IFERROR(__xludf.DUMMYFUNCTION("""COMPUTED_VALUE"""),"cas_hmw")</f>
        <v>cas_hmw</v>
      </c>
      <c r="B22663" s="5">
        <f>IFERROR(__xludf.DUMMYFUNCTION("""COMPUTED_VALUE"""),44790.0)</f>
        <v>44790</v>
      </c>
      <c r="C22663" s="6">
        <f>IFERROR(__xludf.DUMMYFUNCTION("""COMPUTED_VALUE"""),0.6915509259270038)</f>
        <v>0.6915509259</v>
      </c>
      <c r="D22663" s="4">
        <f>IFERROR(__xludf.DUMMYFUNCTION("""COMPUTED_VALUE"""),12.88474)</f>
        <v>12.88474</v>
      </c>
      <c r="E22663" s="4">
        <f>IFERROR(__xludf.DUMMYFUNCTION("""COMPUTED_VALUE"""),80.082028)</f>
        <v>80.082028</v>
      </c>
      <c r="F22663" s="4">
        <f>IFERROR(__xludf.DUMMYFUNCTION("""COMPUTED_VALUE"""),805.0)</f>
        <v>805</v>
      </c>
      <c r="G22663" s="4">
        <f>IFERROR(__xludf.DUMMYFUNCTION("""COMPUTED_VALUE"""),40.0)</f>
        <v>40</v>
      </c>
      <c r="H22663" s="4"/>
      <c r="I22663" s="4"/>
    </row>
    <row r="22664">
      <c r="A22664" s="4" t="str">
        <f>IFERROR(__xludf.DUMMYFUNCTION("""COMPUTED_VALUE"""),"cas_hmw")</f>
        <v>cas_hmw</v>
      </c>
      <c r="B22664" s="5">
        <f>IFERROR(__xludf.DUMMYFUNCTION("""COMPUTED_VALUE"""),44790.0)</f>
        <v>44790</v>
      </c>
      <c r="C22664" s="6">
        <f>IFERROR(__xludf.DUMMYFUNCTION("""COMPUTED_VALUE"""),0.6921412037045229)</f>
        <v>0.6921412037</v>
      </c>
      <c r="D22664" s="4">
        <f>IFERROR(__xludf.DUMMYFUNCTION("""COMPUTED_VALUE"""),12.881719)</f>
        <v>12.881719</v>
      </c>
      <c r="E22664" s="4">
        <f>IFERROR(__xludf.DUMMYFUNCTION("""COMPUTED_VALUE"""),80.080815)</f>
        <v>80.080815</v>
      </c>
      <c r="F22664" s="4">
        <f>IFERROR(__xludf.DUMMYFUNCTION("""COMPUTED_VALUE"""),3143.0)</f>
        <v>3143</v>
      </c>
      <c r="G22664" s="4">
        <f>IFERROR(__xludf.DUMMYFUNCTION("""COMPUTED_VALUE"""),26.0)</f>
        <v>26</v>
      </c>
      <c r="H22664" s="4"/>
      <c r="I22664" s="4"/>
    </row>
    <row r="22665">
      <c r="A22665" s="4" t="str">
        <f>IFERROR(__xludf.DUMMYFUNCTION("""COMPUTED_VALUE"""),"cas_hmw")</f>
        <v>cas_hmw</v>
      </c>
      <c r="B22665" s="5">
        <f>IFERROR(__xludf.DUMMYFUNCTION("""COMPUTED_VALUE"""),44790.0)</f>
        <v>44790</v>
      </c>
      <c r="C22665" s="6">
        <f>IFERROR(__xludf.DUMMYFUNCTION("""COMPUTED_VALUE"""),0.692349537035625)</f>
        <v>0.692349537</v>
      </c>
      <c r="D22665" s="4">
        <f>IFERROR(__xludf.DUMMYFUNCTION("""COMPUTED_VALUE"""),12.88323)</f>
        <v>12.88323</v>
      </c>
      <c r="E22665" s="4">
        <f>IFERROR(__xludf.DUMMYFUNCTION("""COMPUTED_VALUE"""),80.08141)</f>
        <v>80.08141</v>
      </c>
      <c r="F22665" s="4">
        <f>IFERROR(__xludf.DUMMYFUNCTION("""COMPUTED_VALUE"""),3143.0)</f>
        <v>3143</v>
      </c>
      <c r="G22665" s="4">
        <f>IFERROR(__xludf.DUMMYFUNCTION("""COMPUTED_VALUE"""),39.0)</f>
        <v>39</v>
      </c>
      <c r="H22665" s="4"/>
      <c r="I22665" s="4"/>
    </row>
    <row r="22666">
      <c r="A22666" s="4" t="str">
        <f>IFERROR(__xludf.DUMMYFUNCTION("""COMPUTED_VALUE"""),"cas_hmw")</f>
        <v>cas_hmw</v>
      </c>
      <c r="B22666" s="5">
        <f>IFERROR(__xludf.DUMMYFUNCTION("""COMPUTED_VALUE"""),44790.0)</f>
        <v>44790</v>
      </c>
      <c r="C22666" s="6">
        <f>IFERROR(__xludf.DUMMYFUNCTION("""COMPUTED_VALUE"""),0.692453703704814)</f>
        <v>0.6924537037</v>
      </c>
      <c r="D22666" s="4">
        <f>IFERROR(__xludf.DUMMYFUNCTION("""COMPUTED_VALUE"""),12.894862)</f>
        <v>12.894862</v>
      </c>
      <c r="E22666" s="4">
        <f>IFERROR(__xludf.DUMMYFUNCTION("""COMPUTED_VALUE"""),80.087506)</f>
        <v>80.087506</v>
      </c>
      <c r="F22666" s="4">
        <f>IFERROR(__xludf.DUMMYFUNCTION("""COMPUTED_VALUE"""),5339.0)</f>
        <v>5339</v>
      </c>
      <c r="G22666" s="4">
        <f>IFERROR(__xludf.DUMMYFUNCTION("""COMPUTED_VALUE"""),58.0)</f>
        <v>58</v>
      </c>
      <c r="H22666" s="4"/>
      <c r="I22666" s="4"/>
    </row>
    <row r="22667">
      <c r="A22667" s="4" t="str">
        <f>IFERROR(__xludf.DUMMYFUNCTION("""COMPUTED_VALUE"""),"cas_hmw")</f>
        <v>cas_hmw</v>
      </c>
      <c r="B22667" s="5">
        <f>IFERROR(__xludf.DUMMYFUNCTION("""COMPUTED_VALUE"""),44790.0)</f>
        <v>44790</v>
      </c>
      <c r="C22667" s="6">
        <f>IFERROR(__xludf.DUMMYFUNCTION("""COMPUTED_VALUE"""),0.69300925925927)</f>
        <v>0.6930092593</v>
      </c>
      <c r="D22667" s="4">
        <f>IFERROR(__xludf.DUMMYFUNCTION("""COMPUTED_VALUE"""),12.900253)</f>
        <v>12.900253</v>
      </c>
      <c r="E22667" s="4">
        <f>IFERROR(__xludf.DUMMYFUNCTION("""COMPUTED_VALUE"""),80.091537)</f>
        <v>80.091537</v>
      </c>
      <c r="F22667" s="4">
        <f>IFERROR(__xludf.DUMMYFUNCTION("""COMPUTED_VALUE"""),805.0)</f>
        <v>805</v>
      </c>
      <c r="G22667" s="4">
        <f>IFERROR(__xludf.DUMMYFUNCTION("""COMPUTED_VALUE"""),57.0)</f>
        <v>57</v>
      </c>
      <c r="H22667" s="4"/>
      <c r="I22667" s="4"/>
    </row>
    <row r="22668">
      <c r="A22668" s="4" t="str">
        <f>IFERROR(__xludf.DUMMYFUNCTION("""COMPUTED_VALUE"""),"cas_hmw")</f>
        <v>cas_hmw</v>
      </c>
      <c r="B22668" s="5">
        <f>IFERROR(__xludf.DUMMYFUNCTION("""COMPUTED_VALUE"""),44790.0)</f>
        <v>44790</v>
      </c>
      <c r="C22668" s="6">
        <f>IFERROR(__xludf.DUMMYFUNCTION("""COMPUTED_VALUE"""),0.6931712962978054)</f>
        <v>0.6931712963</v>
      </c>
      <c r="D22668" s="4">
        <f>IFERROR(__xludf.DUMMYFUNCTION("""COMPUTED_VALUE"""),12.901335)</f>
        <v>12.901335</v>
      </c>
      <c r="E22668" s="4">
        <f>IFERROR(__xludf.DUMMYFUNCTION("""COMPUTED_VALUE"""),80.092328)</f>
        <v>80.092328</v>
      </c>
      <c r="F22668" s="4">
        <f>IFERROR(__xludf.DUMMYFUNCTION("""COMPUTED_VALUE"""),805.0)</f>
        <v>805</v>
      </c>
      <c r="G22668" s="4">
        <f>IFERROR(__xludf.DUMMYFUNCTION("""COMPUTED_VALUE"""),41.0)</f>
        <v>41</v>
      </c>
      <c r="H22668" s="4"/>
      <c r="I22668" s="4"/>
    </row>
    <row r="22669">
      <c r="A22669" s="4" t="str">
        <f>IFERROR(__xludf.DUMMYFUNCTION("""COMPUTED_VALUE"""),"cas_hmw")</f>
        <v>cas_hmw</v>
      </c>
      <c r="B22669" s="5">
        <f>IFERROR(__xludf.DUMMYFUNCTION("""COMPUTED_VALUE"""),44790.0)</f>
        <v>44790</v>
      </c>
      <c r="C22669" s="6">
        <f>IFERROR(__xludf.DUMMYFUNCTION("""COMPUTED_VALUE"""),0.6933101851864194)</f>
        <v>0.6933101852</v>
      </c>
      <c r="D22669" s="4">
        <f>IFERROR(__xludf.DUMMYFUNCTION("""COMPUTED_VALUE"""),12.902846)</f>
        <v>12.902846</v>
      </c>
      <c r="E22669" s="4">
        <f>IFERROR(__xludf.DUMMYFUNCTION("""COMPUTED_VALUE"""),80.093565)</f>
        <v>80.093565</v>
      </c>
      <c r="F22669" s="4">
        <f>IFERROR(__xludf.DUMMYFUNCTION("""COMPUTED_VALUE"""),805.0)</f>
        <v>805</v>
      </c>
      <c r="G22669" s="4">
        <f>IFERROR(__xludf.DUMMYFUNCTION("""COMPUTED_VALUE"""),34.0)</f>
        <v>34</v>
      </c>
      <c r="H22669" s="4"/>
      <c r="I22669" s="4"/>
    </row>
    <row r="22670">
      <c r="A22670" s="4" t="str">
        <f>IFERROR(__xludf.DUMMYFUNCTION("""COMPUTED_VALUE"""),"cas_hmw")</f>
        <v>cas_hmw</v>
      </c>
      <c r="B22670" s="5">
        <f>IFERROR(__xludf.DUMMYFUNCTION("""COMPUTED_VALUE"""),44790.0)</f>
        <v>44790</v>
      </c>
      <c r="C22670" s="6">
        <f>IFERROR(__xludf.DUMMYFUNCTION("""COMPUTED_VALUE"""),0.6933217592595611)</f>
        <v>0.6933217593</v>
      </c>
      <c r="D22670" s="4">
        <f>IFERROR(__xludf.DUMMYFUNCTION("""COMPUTED_VALUE"""),12.902612)</f>
        <v>12.902612</v>
      </c>
      <c r="E22670" s="4">
        <f>IFERROR(__xludf.DUMMYFUNCTION("""COMPUTED_VALUE"""),80.093348)</f>
        <v>80.093348</v>
      </c>
      <c r="F22670" s="4">
        <f>IFERROR(__xludf.DUMMYFUNCTION("""COMPUTED_VALUE"""),5339.0)</f>
        <v>5339</v>
      </c>
      <c r="G22670" s="4">
        <f>IFERROR(__xludf.DUMMYFUNCTION("""COMPUTED_VALUE"""),36.0)</f>
        <v>36</v>
      </c>
      <c r="H22670" s="4"/>
      <c r="I22670" s="4"/>
    </row>
    <row r="22671">
      <c r="A22671" s="4" t="str">
        <f>IFERROR(__xludf.DUMMYFUNCTION("""COMPUTED_VALUE"""),"cas_hmw")</f>
        <v>cas_hmw</v>
      </c>
      <c r="B22671" s="5">
        <f>IFERROR(__xludf.DUMMYFUNCTION("""COMPUTED_VALUE"""),44790.0)</f>
        <v>44790</v>
      </c>
      <c r="C22671" s="6">
        <f>IFERROR(__xludf.DUMMYFUNCTION("""COMPUTED_VALUE"""),0.6933680555557657)</f>
        <v>0.6933680556</v>
      </c>
      <c r="D22671" s="4">
        <f>IFERROR(__xludf.DUMMYFUNCTION("""COMPUTED_VALUE"""),12.893806)</f>
        <v>12.893806</v>
      </c>
      <c r="E22671" s="4">
        <f>IFERROR(__xludf.DUMMYFUNCTION("""COMPUTED_VALUE"""),80.086704)</f>
        <v>80.086704</v>
      </c>
      <c r="F22671" s="4">
        <f>IFERROR(__xludf.DUMMYFUNCTION("""COMPUTED_VALUE"""),3143.0)</f>
        <v>3143</v>
      </c>
      <c r="G22671" s="4">
        <f>IFERROR(__xludf.DUMMYFUNCTION("""COMPUTED_VALUE"""),57.0)</f>
        <v>57</v>
      </c>
      <c r="H22671" s="4"/>
      <c r="I22671" s="4"/>
    </row>
    <row r="22672">
      <c r="A22672" s="4" t="str">
        <f>IFERROR(__xludf.DUMMYFUNCTION("""COMPUTED_VALUE"""),"cas_hmw")</f>
        <v>cas_hmw</v>
      </c>
      <c r="B22672" s="5">
        <f>IFERROR(__xludf.DUMMYFUNCTION("""COMPUTED_VALUE"""),44790.0)</f>
        <v>44790</v>
      </c>
      <c r="C22672" s="6">
        <f>IFERROR(__xludf.DUMMYFUNCTION("""COMPUTED_VALUE"""),0.6934374999982538)</f>
        <v>0.6934375</v>
      </c>
      <c r="D22672" s="4">
        <f>IFERROR(__xludf.DUMMYFUNCTION("""COMPUTED_VALUE"""),12.903623)</f>
        <v>12.903623</v>
      </c>
      <c r="E22672" s="4">
        <f>IFERROR(__xludf.DUMMYFUNCTION("""COMPUTED_VALUE"""),80.094219)</f>
        <v>80.094219</v>
      </c>
      <c r="F22672" s="4">
        <f>IFERROR(__xludf.DUMMYFUNCTION("""COMPUTED_VALUE"""),805.0)</f>
        <v>805</v>
      </c>
      <c r="G22672" s="4">
        <f>IFERROR(__xludf.DUMMYFUNCTION("""COMPUTED_VALUE"""),46.0)</f>
        <v>46</v>
      </c>
      <c r="H22672" s="4"/>
      <c r="I22672" s="4"/>
    </row>
    <row r="22673">
      <c r="A22673" s="4" t="str">
        <f>IFERROR(__xludf.DUMMYFUNCTION("""COMPUTED_VALUE"""),"cas_hmw")</f>
        <v>cas_hmw</v>
      </c>
      <c r="B22673" s="5">
        <f>IFERROR(__xludf.DUMMYFUNCTION("""COMPUTED_VALUE"""),44790.0)</f>
        <v>44790</v>
      </c>
      <c r="C22673" s="6">
        <f>IFERROR(__xludf.DUMMYFUNCTION("""COMPUTED_VALUE"""),0.6935185185175214)</f>
        <v>0.6935185185</v>
      </c>
      <c r="D22673" s="4">
        <f>IFERROR(__xludf.DUMMYFUNCTION("""COMPUTED_VALUE"""),12.904076)</f>
        <v>12.904076</v>
      </c>
      <c r="E22673" s="4">
        <f>IFERROR(__xludf.DUMMYFUNCTION("""COMPUTED_VALUE"""),80.094541)</f>
        <v>80.094541</v>
      </c>
      <c r="F22673" s="4">
        <f>IFERROR(__xludf.DUMMYFUNCTION("""COMPUTED_VALUE"""),5339.0)</f>
        <v>5339</v>
      </c>
      <c r="G22673" s="4">
        <f>IFERROR(__xludf.DUMMYFUNCTION("""COMPUTED_VALUE"""),43.0)</f>
        <v>43</v>
      </c>
      <c r="H22673" s="4"/>
      <c r="I22673" s="4"/>
    </row>
    <row r="22674">
      <c r="A22674" s="4" t="str">
        <f>IFERROR(__xludf.DUMMYFUNCTION("""COMPUTED_VALUE"""),"cas_hmw")</f>
        <v>cas_hmw</v>
      </c>
      <c r="B22674" s="5">
        <f>IFERROR(__xludf.DUMMYFUNCTION("""COMPUTED_VALUE"""),44790.0)</f>
        <v>44790</v>
      </c>
      <c r="C22674" s="6">
        <f>IFERROR(__xludf.DUMMYFUNCTION("""COMPUTED_VALUE"""),0.6936689814829151)</f>
        <v>0.6936689815</v>
      </c>
      <c r="D22674" s="4">
        <f>IFERROR(__xludf.DUMMYFUNCTION("""COMPUTED_VALUE"""),12.904897)</f>
        <v>12.904897</v>
      </c>
      <c r="E22674" s="4">
        <f>IFERROR(__xludf.DUMMYFUNCTION("""COMPUTED_VALUE"""),80.095197)</f>
        <v>80.095197</v>
      </c>
      <c r="F22674" s="4">
        <f>IFERROR(__xludf.DUMMYFUNCTION("""COMPUTED_VALUE"""),5339.0)</f>
        <v>5339</v>
      </c>
      <c r="G22674" s="4">
        <f>IFERROR(__xludf.DUMMYFUNCTION("""COMPUTED_VALUE"""),37.0)</f>
        <v>37</v>
      </c>
      <c r="H22674" s="4"/>
      <c r="I22674" s="4"/>
    </row>
    <row r="22675">
      <c r="A22675" s="4" t="str">
        <f>IFERROR(__xludf.DUMMYFUNCTION("""COMPUTED_VALUE"""),"cas_hmw")</f>
        <v>cas_hmw</v>
      </c>
      <c r="B22675" s="5">
        <f>IFERROR(__xludf.DUMMYFUNCTION("""COMPUTED_VALUE"""),44790.0)</f>
        <v>44790</v>
      </c>
      <c r="C22675" s="6">
        <f>IFERROR(__xludf.DUMMYFUNCTION("""COMPUTED_VALUE"""),0.6937731481484661)</f>
        <v>0.6937731481</v>
      </c>
      <c r="D22675" s="4">
        <f>IFERROR(__xludf.DUMMYFUNCTION("""COMPUTED_VALUE"""),12.859417)</f>
        <v>12.859417</v>
      </c>
      <c r="E22675" s="4">
        <f>IFERROR(__xludf.DUMMYFUNCTION("""COMPUTED_VALUE"""),80.071928)</f>
        <v>80.071928</v>
      </c>
      <c r="F22675" s="4">
        <f>IFERROR(__xludf.DUMMYFUNCTION("""COMPUTED_VALUE"""),2846.0)</f>
        <v>2846</v>
      </c>
      <c r="G22675" s="4">
        <f>IFERROR(__xludf.DUMMYFUNCTION("""COMPUTED_VALUE"""),43.0)</f>
        <v>43</v>
      </c>
      <c r="H22675" s="4"/>
      <c r="I22675" s="4"/>
    </row>
    <row r="22676">
      <c r="A22676" s="4" t="str">
        <f>IFERROR(__xludf.DUMMYFUNCTION("""COMPUTED_VALUE"""),"cas_hmw")</f>
        <v>cas_hmw</v>
      </c>
      <c r="B22676" s="5">
        <f>IFERROR(__xludf.DUMMYFUNCTION("""COMPUTED_VALUE"""),44790.0)</f>
        <v>44790</v>
      </c>
      <c r="C22676" s="6">
        <f>IFERROR(__xludf.DUMMYFUNCTION("""COMPUTED_VALUE"""),0.6946412037032133)</f>
        <v>0.6946412037</v>
      </c>
      <c r="D22676" s="4">
        <f>IFERROR(__xludf.DUMMYFUNCTION("""COMPUTED_VALUE"""),12.851149)</f>
        <v>12.851149</v>
      </c>
      <c r="E22676" s="4">
        <f>IFERROR(__xludf.DUMMYFUNCTION("""COMPUTED_VALUE"""),80.065786)</f>
        <v>80.065786</v>
      </c>
      <c r="F22676" s="4">
        <f>IFERROR(__xludf.DUMMYFUNCTION("""COMPUTED_VALUE"""),2846.0)</f>
        <v>2846</v>
      </c>
      <c r="G22676" s="4">
        <f>IFERROR(__xludf.DUMMYFUNCTION("""COMPUTED_VALUE"""),36.0)</f>
        <v>36</v>
      </c>
      <c r="H22676" s="4"/>
      <c r="I22676" s="4"/>
    </row>
    <row r="22677">
      <c r="A22677" s="4" t="str">
        <f>IFERROR(__xludf.DUMMYFUNCTION("""COMPUTED_VALUE"""),"cas_hmw")</f>
        <v>cas_hmw</v>
      </c>
      <c r="B22677" s="5">
        <f>IFERROR(__xludf.DUMMYFUNCTION("""COMPUTED_VALUE"""),44790.0)</f>
        <v>44790</v>
      </c>
      <c r="C22677" s="6">
        <f>IFERROR(__xludf.DUMMYFUNCTION("""COMPUTED_VALUE"""),0.6948379629611736)</f>
        <v>0.694837963</v>
      </c>
      <c r="D22677" s="4">
        <f>IFERROR(__xludf.DUMMYFUNCTION("""COMPUTED_VALUE"""),12.905598)</f>
        <v>12.905598</v>
      </c>
      <c r="E22677" s="4">
        <f>IFERROR(__xludf.DUMMYFUNCTION("""COMPUTED_VALUE"""),80.09554)</f>
        <v>80.09554</v>
      </c>
      <c r="F22677" s="4">
        <f>IFERROR(__xludf.DUMMYFUNCTION("""COMPUTED_VALUE"""),3143.0)</f>
        <v>3143</v>
      </c>
      <c r="G22677" s="4">
        <f>IFERROR(__xludf.DUMMYFUNCTION("""COMPUTED_VALUE"""),42.0)</f>
        <v>42</v>
      </c>
      <c r="H22677" s="4"/>
      <c r="I22677" s="4"/>
    </row>
    <row r="22678">
      <c r="A22678" s="4" t="str">
        <f>IFERROR(__xludf.DUMMYFUNCTION("""COMPUTED_VALUE"""),"cas_hmw")</f>
        <v>cas_hmw</v>
      </c>
      <c r="B22678" s="5">
        <f>IFERROR(__xludf.DUMMYFUNCTION("""COMPUTED_VALUE"""),44790.0)</f>
        <v>44790</v>
      </c>
      <c r="C22678" s="6">
        <f>IFERROR(__xludf.DUMMYFUNCTION("""COMPUTED_VALUE"""),0.6951967592576693)</f>
        <v>0.6951967593</v>
      </c>
      <c r="D22678" s="4">
        <f>IFERROR(__xludf.DUMMYFUNCTION("""COMPUTED_VALUE"""),12.908441)</f>
        <v>12.908441</v>
      </c>
      <c r="E22678" s="4">
        <f>IFERROR(__xludf.DUMMYFUNCTION("""COMPUTED_VALUE"""),80.097731)</f>
        <v>80.097731</v>
      </c>
      <c r="F22678" s="4">
        <f>IFERROR(__xludf.DUMMYFUNCTION("""COMPUTED_VALUE"""),3143.0)</f>
        <v>3143</v>
      </c>
      <c r="G22678" s="4">
        <f>IFERROR(__xludf.DUMMYFUNCTION("""COMPUTED_VALUE"""),54.0)</f>
        <v>54</v>
      </c>
      <c r="H22678" s="4"/>
      <c r="I22678" s="4"/>
    </row>
    <row r="22679">
      <c r="A22679" s="4" t="str">
        <f>IFERROR(__xludf.DUMMYFUNCTION("""COMPUTED_VALUE"""),"cas_hmw")</f>
        <v>cas_hmw</v>
      </c>
      <c r="B22679" s="5">
        <f>IFERROR(__xludf.DUMMYFUNCTION("""COMPUTED_VALUE"""),44790.0)</f>
        <v>44790</v>
      </c>
      <c r="C22679" s="6">
        <f>IFERROR(__xludf.DUMMYFUNCTION("""COMPUTED_VALUE"""),0.6952662037037953)</f>
        <v>0.6952662037</v>
      </c>
      <c r="D22679" s="4">
        <f>IFERROR(__xludf.DUMMYFUNCTION("""COMPUTED_VALUE"""),12.846791)</f>
        <v>12.846791</v>
      </c>
      <c r="E22679" s="4">
        <f>IFERROR(__xludf.DUMMYFUNCTION("""COMPUTED_VALUE"""),80.062587)</f>
        <v>80.062587</v>
      </c>
      <c r="F22679" s="4">
        <f>IFERROR(__xludf.DUMMYFUNCTION("""COMPUTED_VALUE"""),2846.0)</f>
        <v>2846</v>
      </c>
      <c r="G22679" s="4">
        <f>IFERROR(__xludf.DUMMYFUNCTION("""COMPUTED_VALUE"""),46.0)</f>
        <v>46</v>
      </c>
      <c r="H22679" s="4"/>
      <c r="I22679" s="4"/>
    </row>
    <row r="22680">
      <c r="A22680" s="4" t="str">
        <f>IFERROR(__xludf.DUMMYFUNCTION("""COMPUTED_VALUE"""),"cas_hmw")</f>
        <v>cas_hmw</v>
      </c>
      <c r="B22680" s="5">
        <f>IFERROR(__xludf.DUMMYFUNCTION("""COMPUTED_VALUE"""),44790.0)</f>
        <v>44790</v>
      </c>
      <c r="C22680" s="6">
        <f>IFERROR(__xludf.DUMMYFUNCTION("""COMPUTED_VALUE"""),0.6954282407423307)</f>
        <v>0.6954282407</v>
      </c>
      <c r="D22680" s="4">
        <f>IFERROR(__xludf.DUMMYFUNCTION("""COMPUTED_VALUE"""),12.909821)</f>
        <v>12.909821</v>
      </c>
      <c r="E22680" s="4">
        <f>IFERROR(__xludf.DUMMYFUNCTION("""COMPUTED_VALUE"""),80.099748)</f>
        <v>80.099748</v>
      </c>
      <c r="F22680" s="4">
        <f>IFERROR(__xludf.DUMMYFUNCTION("""COMPUTED_VALUE"""),3143.0)</f>
        <v>3143</v>
      </c>
      <c r="G22680" s="4">
        <f>IFERROR(__xludf.DUMMYFUNCTION("""COMPUTED_VALUE"""),56.0)</f>
        <v>56</v>
      </c>
      <c r="H22680" s="4"/>
      <c r="I22680" s="4"/>
    </row>
    <row r="22681">
      <c r="A22681" s="4" t="str">
        <f>IFERROR(__xludf.DUMMYFUNCTION("""COMPUTED_VALUE"""),"cas_hmw")</f>
        <v>cas_hmw</v>
      </c>
      <c r="B22681" s="5">
        <f>IFERROR(__xludf.DUMMYFUNCTION("""COMPUTED_VALUE"""),44790.0)</f>
        <v>44790</v>
      </c>
      <c r="C22681" s="6">
        <f>IFERROR(__xludf.DUMMYFUNCTION("""COMPUTED_VALUE"""),0.6958217592582514)</f>
        <v>0.6958217593</v>
      </c>
      <c r="D22681" s="4">
        <f>IFERROR(__xludf.DUMMYFUNCTION("""COMPUTED_VALUE"""),12.912028)</f>
        <v>12.912028</v>
      </c>
      <c r="E22681" s="4">
        <f>IFERROR(__xludf.DUMMYFUNCTION("""COMPUTED_VALUE"""),80.101413)</f>
        <v>80.101413</v>
      </c>
      <c r="F22681" s="4">
        <f>IFERROR(__xludf.DUMMYFUNCTION("""COMPUTED_VALUE"""),3143.0)</f>
        <v>3143</v>
      </c>
      <c r="G22681" s="4">
        <f>IFERROR(__xludf.DUMMYFUNCTION("""COMPUTED_VALUE"""),27.0)</f>
        <v>27</v>
      </c>
      <c r="H22681" s="4"/>
      <c r="I22681" s="4"/>
    </row>
    <row r="22682">
      <c r="A22682" s="4" t="str">
        <f>IFERROR(__xludf.DUMMYFUNCTION("""COMPUTED_VALUE"""),"cas_hmw")</f>
        <v>cas_hmw</v>
      </c>
      <c r="B22682" s="5">
        <f>IFERROR(__xludf.DUMMYFUNCTION("""COMPUTED_VALUE"""),44790.0)</f>
        <v>44790</v>
      </c>
      <c r="C22682" s="6">
        <f>IFERROR(__xludf.DUMMYFUNCTION("""COMPUTED_VALUE"""),0.6960069444430701)</f>
        <v>0.6960069444</v>
      </c>
      <c r="D22682" s="4">
        <f>IFERROR(__xludf.DUMMYFUNCTION("""COMPUTED_VALUE"""),12.913235)</f>
        <v>12.913235</v>
      </c>
      <c r="E22682" s="4">
        <f>IFERROR(__xludf.DUMMYFUNCTION("""COMPUTED_VALUE"""),80.101503)</f>
        <v>80.101503</v>
      </c>
      <c r="F22682" s="4">
        <f>IFERROR(__xludf.DUMMYFUNCTION("""COMPUTED_VALUE"""),805.0)</f>
        <v>805</v>
      </c>
      <c r="G22682" s="4">
        <f>IFERROR(__xludf.DUMMYFUNCTION("""COMPUTED_VALUE"""),45.0)</f>
        <v>45</v>
      </c>
      <c r="H22682" s="4"/>
      <c r="I22682" s="4"/>
    </row>
    <row r="22683">
      <c r="A22683" s="4" t="str">
        <f>IFERROR(__xludf.DUMMYFUNCTION("""COMPUTED_VALUE"""),"cas_hmw")</f>
        <v>cas_hmw</v>
      </c>
      <c r="B22683" s="5">
        <f>IFERROR(__xludf.DUMMYFUNCTION("""COMPUTED_VALUE"""),44790.0)</f>
        <v>44790</v>
      </c>
      <c r="C22683" s="6">
        <f>IFERROR(__xludf.DUMMYFUNCTION("""COMPUTED_VALUE"""),0.6960648148160544)</f>
        <v>0.6960648148</v>
      </c>
      <c r="D22683" s="4">
        <f>IFERROR(__xludf.DUMMYFUNCTION("""COMPUTED_VALUE"""),12.914257)</f>
        <v>12.914257</v>
      </c>
      <c r="E22683" s="4">
        <f>IFERROR(__xludf.DUMMYFUNCTION("""COMPUTED_VALUE"""),80.101679)</f>
        <v>80.101679</v>
      </c>
      <c r="F22683" s="4">
        <f>IFERROR(__xludf.DUMMYFUNCTION("""COMPUTED_VALUE"""),3143.0)</f>
        <v>3143</v>
      </c>
      <c r="G22683" s="4">
        <f>IFERROR(__xludf.DUMMYFUNCTION("""COMPUTED_VALUE"""),52.0)</f>
        <v>52</v>
      </c>
      <c r="H22683" s="4"/>
      <c r="I22683" s="4"/>
    </row>
    <row r="22684">
      <c r="A22684" s="4" t="str">
        <f>IFERROR(__xludf.DUMMYFUNCTION("""COMPUTED_VALUE"""),"cas_hmw")</f>
        <v>cas_hmw</v>
      </c>
      <c r="B22684" s="5">
        <f>IFERROR(__xludf.DUMMYFUNCTION("""COMPUTED_VALUE"""),44790.0)</f>
        <v>44790</v>
      </c>
      <c r="C22684" s="6">
        <f>IFERROR(__xludf.DUMMYFUNCTION("""COMPUTED_VALUE"""),0.6962268518509518)</f>
        <v>0.6962268519</v>
      </c>
      <c r="D22684" s="4">
        <f>IFERROR(__xludf.DUMMYFUNCTION("""COMPUTED_VALUE"""),12.91261)</f>
        <v>12.91261</v>
      </c>
      <c r="E22684" s="4">
        <f>IFERROR(__xludf.DUMMYFUNCTION("""COMPUTED_VALUE"""),80.101415)</f>
        <v>80.101415</v>
      </c>
      <c r="F22684" s="4">
        <f>IFERROR(__xludf.DUMMYFUNCTION("""COMPUTED_VALUE"""),5339.0)</f>
        <v>5339</v>
      </c>
      <c r="G22684" s="4">
        <f>IFERROR(__xludf.DUMMYFUNCTION("""COMPUTED_VALUE"""),36.0)</f>
        <v>36</v>
      </c>
      <c r="H22684" s="4"/>
      <c r="I22684" s="4"/>
    </row>
    <row r="22685">
      <c r="A22685" s="4" t="str">
        <f>IFERROR(__xludf.DUMMYFUNCTION("""COMPUTED_VALUE"""),"cas_hmw")</f>
        <v>cas_hmw</v>
      </c>
      <c r="B22685" s="5">
        <f>IFERROR(__xludf.DUMMYFUNCTION("""COMPUTED_VALUE"""),44790.0)</f>
        <v>44790</v>
      </c>
      <c r="C22685" s="6">
        <f>IFERROR(__xludf.DUMMYFUNCTION("""COMPUTED_VALUE"""),0.6968287037052505)</f>
        <v>0.6968287037</v>
      </c>
      <c r="D22685" s="4">
        <f>IFERROR(__xludf.DUMMYFUNCTION("""COMPUTED_VALUE"""),12.843447)</f>
        <v>12.843447</v>
      </c>
      <c r="E22685" s="4">
        <f>IFERROR(__xludf.DUMMYFUNCTION("""COMPUTED_VALUE"""),80.059419)</f>
        <v>80.059419</v>
      </c>
      <c r="F22685" s="4">
        <f>IFERROR(__xludf.DUMMYFUNCTION("""COMPUTED_VALUE"""),2846.0)</f>
        <v>2846</v>
      </c>
      <c r="G22685" s="4">
        <f>IFERROR(__xludf.DUMMYFUNCTION("""COMPUTED_VALUE"""),24.0)</f>
        <v>24</v>
      </c>
      <c r="H22685" s="4"/>
      <c r="I22685" s="4"/>
    </row>
    <row r="22686">
      <c r="A22686" s="4" t="str">
        <f>IFERROR(__xludf.DUMMYFUNCTION("""COMPUTED_VALUE"""),"cas_hmw")</f>
        <v>cas_hmw</v>
      </c>
      <c r="B22686" s="5">
        <f>IFERROR(__xludf.DUMMYFUNCTION("""COMPUTED_VALUE"""),44790.0)</f>
        <v>44790</v>
      </c>
      <c r="C22686" s="6">
        <f>IFERROR(__xludf.DUMMYFUNCTION("""COMPUTED_VALUE"""),0.6968865740745969)</f>
        <v>0.6968865741</v>
      </c>
      <c r="D22686" s="4">
        <f>IFERROR(__xludf.DUMMYFUNCTION("""COMPUTED_VALUE"""),12.916741)</f>
        <v>12.916741</v>
      </c>
      <c r="E22686" s="4">
        <f>IFERROR(__xludf.DUMMYFUNCTION("""COMPUTED_VALUE"""),80.106528)</f>
        <v>80.106528</v>
      </c>
      <c r="F22686" s="4">
        <f>IFERROR(__xludf.DUMMYFUNCTION("""COMPUTED_VALUE"""),5339.0)</f>
        <v>5339</v>
      </c>
      <c r="G22686" s="4">
        <f>IFERROR(__xludf.DUMMYFUNCTION("""COMPUTED_VALUE"""),32.0)</f>
        <v>32</v>
      </c>
      <c r="H22686" s="4"/>
      <c r="I22686" s="4"/>
    </row>
    <row r="22687">
      <c r="A22687" s="4" t="str">
        <f>IFERROR(__xludf.DUMMYFUNCTION("""COMPUTED_VALUE"""),"cas_hmw")</f>
        <v>cas_hmw</v>
      </c>
      <c r="B22687" s="5">
        <f>IFERROR(__xludf.DUMMYFUNCTION("""COMPUTED_VALUE"""),44790.0)</f>
        <v>44790</v>
      </c>
      <c r="C22687" s="6">
        <f>IFERROR(__xludf.DUMMYFUNCTION("""COMPUTED_VALUE"""),0.6968865740745969)</f>
        <v>0.6968865741</v>
      </c>
      <c r="D22687" s="4">
        <f>IFERROR(__xludf.DUMMYFUNCTION("""COMPUTED_VALUE"""),12.916741)</f>
        <v>12.916741</v>
      </c>
      <c r="E22687" s="4">
        <f>IFERROR(__xludf.DUMMYFUNCTION("""COMPUTED_VALUE"""),80.106528)</f>
        <v>80.106528</v>
      </c>
      <c r="F22687" s="4">
        <f>IFERROR(__xludf.DUMMYFUNCTION("""COMPUTED_VALUE"""),5339.0)</f>
        <v>5339</v>
      </c>
      <c r="G22687" s="4">
        <f>IFERROR(__xludf.DUMMYFUNCTION("""COMPUTED_VALUE"""),32.0)</f>
        <v>32</v>
      </c>
      <c r="H22687" s="4"/>
      <c r="I22687" s="4"/>
    </row>
    <row r="22688">
      <c r="A22688" s="4" t="str">
        <f>IFERROR(__xludf.DUMMYFUNCTION("""COMPUTED_VALUE"""),"cas_hmw")</f>
        <v>cas_hmw</v>
      </c>
      <c r="B22688" s="5">
        <f>IFERROR(__xludf.DUMMYFUNCTION("""COMPUTED_VALUE"""),44790.0)</f>
        <v>44790</v>
      </c>
      <c r="C22688" s="6">
        <f>IFERROR(__xludf.DUMMYFUNCTION("""COMPUTED_VALUE"""),0.6970486111094942)</f>
        <v>0.6970486111</v>
      </c>
      <c r="D22688" s="4">
        <f>IFERROR(__xludf.DUMMYFUNCTION("""COMPUTED_VALUE"""),12.917104)</f>
        <v>12.917104</v>
      </c>
      <c r="E22688" s="4">
        <f>IFERROR(__xludf.DUMMYFUNCTION("""COMPUTED_VALUE"""),80.107174)</f>
        <v>80.107174</v>
      </c>
      <c r="F22688" s="4">
        <f>IFERROR(__xludf.DUMMYFUNCTION("""COMPUTED_VALUE"""),5339.0)</f>
        <v>5339</v>
      </c>
      <c r="G22688" s="4">
        <f>IFERROR(__xludf.DUMMYFUNCTION("""COMPUTED_VALUE"""),30.0)</f>
        <v>30</v>
      </c>
      <c r="H22688" s="4"/>
      <c r="I22688" s="4"/>
    </row>
    <row r="22689">
      <c r="A22689" s="4" t="str">
        <f>IFERROR(__xludf.DUMMYFUNCTION("""COMPUTED_VALUE"""),"cas_hmw")</f>
        <v>cas_hmw</v>
      </c>
      <c r="B22689" s="5">
        <f>IFERROR(__xludf.DUMMYFUNCTION("""COMPUTED_VALUE"""),44790.0)</f>
        <v>44790</v>
      </c>
      <c r="C22689" s="6">
        <f>IFERROR(__xludf.DUMMYFUNCTION("""COMPUTED_VALUE"""),0.6971643518518249)</f>
        <v>0.6971643519</v>
      </c>
      <c r="D22689" s="4">
        <f>IFERROR(__xludf.DUMMYFUNCTION("""COMPUTED_VALUE"""),12.918584)</f>
        <v>12.918584</v>
      </c>
      <c r="E22689" s="4">
        <f>IFERROR(__xludf.DUMMYFUNCTION("""COMPUTED_VALUE"""),80.109219)</f>
        <v>80.109219</v>
      </c>
      <c r="F22689" s="4">
        <f>IFERROR(__xludf.DUMMYFUNCTION("""COMPUTED_VALUE"""),3143.0)</f>
        <v>3143</v>
      </c>
      <c r="G22689" s="4">
        <f>IFERROR(__xludf.DUMMYFUNCTION("""COMPUTED_VALUE"""),46.0)</f>
        <v>46</v>
      </c>
      <c r="H22689" s="4"/>
      <c r="I22689" s="4"/>
    </row>
    <row r="22690">
      <c r="A22690" s="4" t="str">
        <f>IFERROR(__xludf.DUMMYFUNCTION("""COMPUTED_VALUE"""),"cas_hmw")</f>
        <v>cas_hmw</v>
      </c>
      <c r="B22690" s="5">
        <f>IFERROR(__xludf.DUMMYFUNCTION("""COMPUTED_VALUE"""),44790.0)</f>
        <v>44790</v>
      </c>
      <c r="C22690" s="6">
        <f>IFERROR(__xludf.DUMMYFUNCTION("""COMPUTED_VALUE"""),0.6972453703710926)</f>
        <v>0.6972453704</v>
      </c>
      <c r="D22690" s="4">
        <f>IFERROR(__xludf.DUMMYFUNCTION("""COMPUTED_VALUE"""),12.919374)</f>
        <v>12.919374</v>
      </c>
      <c r="E22690" s="4">
        <f>IFERROR(__xludf.DUMMYFUNCTION("""COMPUTED_VALUE"""),80.110158)</f>
        <v>80.110158</v>
      </c>
      <c r="F22690" s="4">
        <f>IFERROR(__xludf.DUMMYFUNCTION("""COMPUTED_VALUE"""),3143.0)</f>
        <v>3143</v>
      </c>
      <c r="G22690" s="4">
        <f>IFERROR(__xludf.DUMMYFUNCTION("""COMPUTED_VALUE"""),44.0)</f>
        <v>44</v>
      </c>
      <c r="H22690" s="4"/>
      <c r="I22690" s="4"/>
    </row>
    <row r="22691">
      <c r="A22691" s="4" t="str">
        <f>IFERROR(__xludf.DUMMYFUNCTION("""COMPUTED_VALUE"""),"cas_hmw")</f>
        <v>cas_hmw</v>
      </c>
      <c r="B22691" s="5">
        <f>IFERROR(__xludf.DUMMYFUNCTION("""COMPUTED_VALUE"""),44790.0)</f>
        <v>44790</v>
      </c>
      <c r="C22691" s="6">
        <f>IFERROR(__xludf.DUMMYFUNCTION("""COMPUTED_VALUE"""),0.6973032407404389)</f>
        <v>0.6973032407</v>
      </c>
      <c r="D22691" s="4">
        <f>IFERROR(__xludf.DUMMYFUNCTION("""COMPUTED_VALUE"""),12.920113)</f>
        <v>12.920113</v>
      </c>
      <c r="E22691" s="4">
        <f>IFERROR(__xludf.DUMMYFUNCTION("""COMPUTED_VALUE"""),80.111019)</f>
        <v>80.111019</v>
      </c>
      <c r="F22691" s="4">
        <f>IFERROR(__xludf.DUMMYFUNCTION("""COMPUTED_VALUE"""),3143.0)</f>
        <v>3143</v>
      </c>
      <c r="G22691" s="4">
        <f>IFERROR(__xludf.DUMMYFUNCTION("""COMPUTED_VALUE"""),48.0)</f>
        <v>48</v>
      </c>
      <c r="H22691" s="4"/>
      <c r="I22691" s="4"/>
    </row>
    <row r="22692">
      <c r="A22692" s="4" t="str">
        <f>IFERROR(__xludf.DUMMYFUNCTION("""COMPUTED_VALUE"""),"cas_hmw")</f>
        <v>cas_hmw</v>
      </c>
      <c r="B22692" s="5">
        <f>IFERROR(__xludf.DUMMYFUNCTION("""COMPUTED_VALUE"""),44790.0)</f>
        <v>44790</v>
      </c>
      <c r="C22692" s="6">
        <f>IFERROR(__xludf.DUMMYFUNCTION("""COMPUTED_VALUE"""),0.6973379629635019)</f>
        <v>0.697337963</v>
      </c>
      <c r="D22692" s="4">
        <f>IFERROR(__xludf.DUMMYFUNCTION("""COMPUTED_VALUE"""),12.840517)</f>
        <v>12.840517</v>
      </c>
      <c r="E22692" s="4">
        <f>IFERROR(__xludf.DUMMYFUNCTION("""COMPUTED_VALUE"""),80.056338)</f>
        <v>80.056338</v>
      </c>
      <c r="F22692" s="4">
        <f>IFERROR(__xludf.DUMMYFUNCTION("""COMPUTED_VALUE"""),2846.0)</f>
        <v>2846</v>
      </c>
      <c r="G22692" s="4">
        <f>IFERROR(__xludf.DUMMYFUNCTION("""COMPUTED_VALUE"""),34.0)</f>
        <v>34</v>
      </c>
      <c r="H22692" s="4"/>
      <c r="I22692" s="4"/>
    </row>
    <row r="22693">
      <c r="A22693" s="4" t="str">
        <f>IFERROR(__xludf.DUMMYFUNCTION("""COMPUTED_VALUE"""),"cas_hmw")</f>
        <v>cas_hmw</v>
      </c>
      <c r="B22693" s="5">
        <f>IFERROR(__xludf.DUMMYFUNCTION("""COMPUTED_VALUE"""),44790.0)</f>
        <v>44790</v>
      </c>
      <c r="C22693" s="6">
        <f>IFERROR(__xludf.DUMMYFUNCTION("""COMPUTED_VALUE"""),0.6973842592597066)</f>
        <v>0.6973842593</v>
      </c>
      <c r="D22693" s="4">
        <f>IFERROR(__xludf.DUMMYFUNCTION("""COMPUTED_VALUE"""),12.918883)</f>
        <v>12.918883</v>
      </c>
      <c r="E22693" s="4">
        <f>IFERROR(__xludf.DUMMYFUNCTION("""COMPUTED_VALUE"""),80.109599)</f>
        <v>80.109599</v>
      </c>
      <c r="F22693" s="4">
        <f>IFERROR(__xludf.DUMMYFUNCTION("""COMPUTED_VALUE"""),805.0)</f>
        <v>805</v>
      </c>
      <c r="G22693" s="4">
        <f>IFERROR(__xludf.DUMMYFUNCTION("""COMPUTED_VALUE"""),48.0)</f>
        <v>48</v>
      </c>
      <c r="H22693" s="4"/>
      <c r="I22693" s="4"/>
    </row>
    <row r="22694">
      <c r="A22694" s="4" t="str">
        <f>IFERROR(__xludf.DUMMYFUNCTION("""COMPUTED_VALUE"""),"cas_hmw")</f>
        <v>cas_hmw</v>
      </c>
      <c r="B22694" s="5">
        <f>IFERROR(__xludf.DUMMYFUNCTION("""COMPUTED_VALUE"""),44790.0)</f>
        <v>44790</v>
      </c>
      <c r="C22694" s="6">
        <f>IFERROR(__xludf.DUMMYFUNCTION("""COMPUTED_VALUE"""),0.6973958333328483)</f>
        <v>0.6973958333</v>
      </c>
      <c r="D22694" s="4">
        <f>IFERROR(__xludf.DUMMYFUNCTION("""COMPUTED_VALUE"""),12.919045)</f>
        <v>12.919045</v>
      </c>
      <c r="E22694" s="4">
        <f>IFERROR(__xludf.DUMMYFUNCTION("""COMPUTED_VALUE"""),80.109728)</f>
        <v>80.109728</v>
      </c>
      <c r="F22694" s="4">
        <f>IFERROR(__xludf.DUMMYFUNCTION("""COMPUTED_VALUE"""),5339.0)</f>
        <v>5339</v>
      </c>
      <c r="G22694" s="4">
        <f>IFERROR(__xludf.DUMMYFUNCTION("""COMPUTED_VALUE"""),45.0)</f>
        <v>45</v>
      </c>
      <c r="H22694" s="4"/>
      <c r="I22694" s="4"/>
    </row>
    <row r="22695">
      <c r="A22695" s="4" t="str">
        <f>IFERROR(__xludf.DUMMYFUNCTION("""COMPUTED_VALUE"""),"cas_hmw")</f>
        <v>cas_hmw</v>
      </c>
      <c r="B22695" s="5">
        <f>IFERROR(__xludf.DUMMYFUNCTION("""COMPUTED_VALUE"""),44790.0)</f>
        <v>44790</v>
      </c>
      <c r="C22695" s="6">
        <f>IFERROR(__xludf.DUMMYFUNCTION("""COMPUTED_VALUE"""),0.6974074074059899)</f>
        <v>0.6974074074</v>
      </c>
      <c r="D22695" s="4">
        <f>IFERROR(__xludf.DUMMYFUNCTION("""COMPUTED_VALUE"""),12.838859)</f>
        <v>12.838859</v>
      </c>
      <c r="E22695" s="4">
        <f>IFERROR(__xludf.DUMMYFUNCTION("""COMPUTED_VALUE"""),80.054598)</f>
        <v>80.054598</v>
      </c>
      <c r="F22695" s="4">
        <f>IFERROR(__xludf.DUMMYFUNCTION("""COMPUTED_VALUE"""),2846.0)</f>
        <v>2846</v>
      </c>
      <c r="G22695" s="4">
        <f>IFERROR(__xludf.DUMMYFUNCTION("""COMPUTED_VALUE"""),47.0)</f>
        <v>47</v>
      </c>
      <c r="H22695" s="4"/>
      <c r="I22695" s="4"/>
    </row>
    <row r="22696">
      <c r="A22696" s="4" t="str">
        <f>IFERROR(__xludf.DUMMYFUNCTION("""COMPUTED_VALUE"""),"cas_hmw")</f>
        <v>cas_hmw</v>
      </c>
      <c r="B22696" s="5">
        <f>IFERROR(__xludf.DUMMYFUNCTION("""COMPUTED_VALUE"""),44790.0)</f>
        <v>44790</v>
      </c>
      <c r="C22696" s="6">
        <f>IFERROR(__xludf.DUMMYFUNCTION("""COMPUTED_VALUE"""),0.6981597222220444)</f>
        <v>0.6981597222</v>
      </c>
      <c r="D22696" s="4">
        <f>IFERROR(__xludf.DUMMYFUNCTION("""COMPUTED_VALUE"""),12.923551)</f>
        <v>12.923551</v>
      </c>
      <c r="E22696" s="4">
        <f>IFERROR(__xludf.DUMMYFUNCTION("""COMPUTED_VALUE"""),80.114575)</f>
        <v>80.114575</v>
      </c>
      <c r="F22696" s="4">
        <f>IFERROR(__xludf.DUMMYFUNCTION("""COMPUTED_VALUE"""),805.0)</f>
        <v>805</v>
      </c>
      <c r="G22696" s="4">
        <f>IFERROR(__xludf.DUMMYFUNCTION("""COMPUTED_VALUE"""),20.0)</f>
        <v>20</v>
      </c>
      <c r="H22696" s="4"/>
      <c r="I22696" s="4"/>
    </row>
    <row r="22697">
      <c r="A22697" s="4" t="str">
        <f>IFERROR(__xludf.DUMMYFUNCTION("""COMPUTED_VALUE"""),"cas_hmw")</f>
        <v>cas_hmw</v>
      </c>
      <c r="B22697" s="5">
        <f>IFERROR(__xludf.DUMMYFUNCTION("""COMPUTED_VALUE"""),44790.0)</f>
        <v>44790</v>
      </c>
      <c r="C22697" s="6">
        <f>IFERROR(__xludf.DUMMYFUNCTION("""COMPUTED_VALUE"""),0.6981944444451074)</f>
        <v>0.6981944444</v>
      </c>
      <c r="D22697" s="4">
        <f>IFERROR(__xludf.DUMMYFUNCTION("""COMPUTED_VALUE"""),12.923378)</f>
        <v>12.923378</v>
      </c>
      <c r="E22697" s="4">
        <f>IFERROR(__xludf.DUMMYFUNCTION("""COMPUTED_VALUE"""),80.114442)</f>
        <v>80.114442</v>
      </c>
      <c r="F22697" s="4">
        <f>IFERROR(__xludf.DUMMYFUNCTION("""COMPUTED_VALUE"""),5339.0)</f>
        <v>5339</v>
      </c>
      <c r="G22697" s="4">
        <f>IFERROR(__xludf.DUMMYFUNCTION("""COMPUTED_VALUE"""),34.0)</f>
        <v>34</v>
      </c>
      <c r="H22697" s="4"/>
      <c r="I22697" s="4"/>
    </row>
    <row r="22698">
      <c r="A22698" s="4" t="str">
        <f>IFERROR(__xludf.DUMMYFUNCTION("""COMPUTED_VALUE"""),"cas_hmw")</f>
        <v>cas_hmw</v>
      </c>
      <c r="B22698" s="5">
        <f>IFERROR(__xludf.DUMMYFUNCTION("""COMPUTED_VALUE"""),44790.0)</f>
        <v>44790</v>
      </c>
      <c r="C22698" s="6">
        <f>IFERROR(__xludf.DUMMYFUNCTION("""COMPUTED_VALUE"""),0.698206018518249)</f>
        <v>0.6982060185</v>
      </c>
      <c r="D22698" s="4">
        <f>IFERROR(__xludf.DUMMYFUNCTION("""COMPUTED_VALUE"""),12.924022)</f>
        <v>12.924022</v>
      </c>
      <c r="E22698" s="4">
        <f>IFERROR(__xludf.DUMMYFUNCTION("""COMPUTED_VALUE"""),80.115045)</f>
        <v>80.115045</v>
      </c>
      <c r="F22698" s="4">
        <f>IFERROR(__xludf.DUMMYFUNCTION("""COMPUTED_VALUE"""),805.0)</f>
        <v>805</v>
      </c>
      <c r="G22698" s="4">
        <f>IFERROR(__xludf.DUMMYFUNCTION("""COMPUTED_VALUE"""),33.0)</f>
        <v>33</v>
      </c>
      <c r="H22698" s="4"/>
      <c r="I22698" s="4"/>
    </row>
    <row r="22699">
      <c r="A22699" s="4" t="str">
        <f>IFERROR(__xludf.DUMMYFUNCTION("""COMPUTED_VALUE"""),"cas_hmw")</f>
        <v>cas_hmw</v>
      </c>
      <c r="B22699" s="5">
        <f>IFERROR(__xludf.DUMMYFUNCTION("""COMPUTED_VALUE"""),44790.0)</f>
        <v>44790</v>
      </c>
      <c r="C22699" s="6">
        <f>IFERROR(__xludf.DUMMYFUNCTION("""COMPUTED_VALUE"""),0.6982870370375167)</f>
        <v>0.698287037</v>
      </c>
      <c r="D22699" s="4">
        <f>IFERROR(__xludf.DUMMYFUNCTION("""COMPUTED_VALUE"""),12.924693)</f>
        <v>12.924693</v>
      </c>
      <c r="E22699" s="4">
        <f>IFERROR(__xludf.DUMMYFUNCTION("""COMPUTED_VALUE"""),80.115739)</f>
        <v>80.115739</v>
      </c>
      <c r="F22699" s="4">
        <f>IFERROR(__xludf.DUMMYFUNCTION("""COMPUTED_VALUE"""),805.0)</f>
        <v>805</v>
      </c>
      <c r="G22699" s="4">
        <f>IFERROR(__xludf.DUMMYFUNCTION("""COMPUTED_VALUE"""),37.0)</f>
        <v>37</v>
      </c>
      <c r="H22699" s="4"/>
      <c r="I22699" s="4"/>
    </row>
    <row r="22700">
      <c r="A22700" s="4" t="str">
        <f>IFERROR(__xludf.DUMMYFUNCTION("""COMPUTED_VALUE"""),"cas_hmw")</f>
        <v>cas_hmw</v>
      </c>
      <c r="B22700" s="5">
        <f>IFERROR(__xludf.DUMMYFUNCTION("""COMPUTED_VALUE"""),44790.0)</f>
        <v>44790</v>
      </c>
      <c r="C22700" s="6">
        <f>IFERROR(__xludf.DUMMYFUNCTION("""COMPUTED_VALUE"""),0.6990509259267128)</f>
        <v>0.6990509259</v>
      </c>
      <c r="D22700" s="4">
        <f>IFERROR(__xludf.DUMMYFUNCTION("""COMPUTED_VALUE"""),12.827318)</f>
        <v>12.827318</v>
      </c>
      <c r="E22700" s="4">
        <f>IFERROR(__xludf.DUMMYFUNCTION("""COMPUTED_VALUE"""),80.042404)</f>
        <v>80.042404</v>
      </c>
      <c r="F22700" s="4">
        <f>IFERROR(__xludf.DUMMYFUNCTION("""COMPUTED_VALUE"""),2846.0)</f>
        <v>2846</v>
      </c>
      <c r="G22700" s="4">
        <f>IFERROR(__xludf.DUMMYFUNCTION("""COMPUTED_VALUE"""),57.0)</f>
        <v>57</v>
      </c>
      <c r="H22700" s="4"/>
      <c r="I22700" s="4"/>
    </row>
    <row r="22701">
      <c r="A22701" s="4" t="str">
        <f>IFERROR(__xludf.DUMMYFUNCTION("""COMPUTED_VALUE"""),"cas_hmw")</f>
        <v>cas_hmw</v>
      </c>
      <c r="B22701" s="5">
        <f>IFERROR(__xludf.DUMMYFUNCTION("""COMPUTED_VALUE"""),44790.0)</f>
        <v>44790</v>
      </c>
      <c r="C22701" s="6">
        <f>IFERROR(__xludf.DUMMYFUNCTION("""COMPUTED_VALUE"""),0.6992476851846732)</f>
        <v>0.6992476852</v>
      </c>
      <c r="D22701" s="4">
        <f>IFERROR(__xludf.DUMMYFUNCTION("""COMPUTED_VALUE"""),12.82411)</f>
        <v>12.82411</v>
      </c>
      <c r="E22701" s="4">
        <f>IFERROR(__xludf.DUMMYFUNCTION("""COMPUTED_VALUE"""),80.039775)</f>
        <v>80.039775</v>
      </c>
      <c r="F22701" s="4">
        <f>IFERROR(__xludf.DUMMYFUNCTION("""COMPUTED_VALUE"""),2846.0)</f>
        <v>2846</v>
      </c>
      <c r="G22701" s="4">
        <f>IFERROR(__xludf.DUMMYFUNCTION("""COMPUTED_VALUE"""),58.0)</f>
        <v>58</v>
      </c>
      <c r="H22701" s="4"/>
      <c r="I22701" s="4"/>
    </row>
    <row r="22702">
      <c r="A22702" s="4" t="str">
        <f>IFERROR(__xludf.DUMMYFUNCTION("""COMPUTED_VALUE"""),"cas_hmw")</f>
        <v>cas_hmw</v>
      </c>
      <c r="B22702" s="5">
        <f>IFERROR(__xludf.DUMMYFUNCTION("""COMPUTED_VALUE"""),44790.0)</f>
        <v>44790</v>
      </c>
      <c r="C22702" s="6">
        <f>IFERROR(__xludf.DUMMYFUNCTION("""COMPUTED_VALUE"""),0.7005555555551837)</f>
        <v>0.7005555556</v>
      </c>
      <c r="D22702" s="4">
        <f>IFERROR(__xludf.DUMMYFUNCTION("""COMPUTED_VALUE"""),12.818714)</f>
        <v>12.818714</v>
      </c>
      <c r="E22702" s="4">
        <f>IFERROR(__xludf.DUMMYFUNCTION("""COMPUTED_VALUE"""),80.03596)</f>
        <v>80.03596</v>
      </c>
      <c r="F22702" s="4">
        <f>IFERROR(__xludf.DUMMYFUNCTION("""COMPUTED_VALUE"""),2846.0)</f>
        <v>2846</v>
      </c>
      <c r="G22702" s="4">
        <f>IFERROR(__xludf.DUMMYFUNCTION("""COMPUTED_VALUE"""),49.0)</f>
        <v>49</v>
      </c>
      <c r="H22702" s="4"/>
      <c r="I22702" s="4"/>
    </row>
    <row r="22703">
      <c r="A22703" s="4" t="str">
        <f>IFERROR(__xludf.DUMMYFUNCTION("""COMPUTED_VALUE"""),"cas_hmw")</f>
        <v>cas_hmw</v>
      </c>
      <c r="B22703" s="5">
        <f>IFERROR(__xludf.DUMMYFUNCTION("""COMPUTED_VALUE"""),44790.0)</f>
        <v>44790</v>
      </c>
      <c r="C22703" s="6">
        <f>IFERROR(__xludf.DUMMYFUNCTION("""COMPUTED_VALUE"""),0.700752314813144)</f>
        <v>0.7007523148</v>
      </c>
      <c r="D22703" s="4">
        <f>IFERROR(__xludf.DUMMYFUNCTION("""COMPUTED_VALUE"""),12.922875)</f>
        <v>12.922875</v>
      </c>
      <c r="E22703" s="4">
        <f>IFERROR(__xludf.DUMMYFUNCTION("""COMPUTED_VALUE"""),80.129258)</f>
        <v>80.129258</v>
      </c>
      <c r="F22703" s="4">
        <f>IFERROR(__xludf.DUMMYFUNCTION("""COMPUTED_VALUE"""),3143.0)</f>
        <v>3143</v>
      </c>
      <c r="G22703" s="4">
        <f>IFERROR(__xludf.DUMMYFUNCTION("""COMPUTED_VALUE"""),36.0)</f>
        <v>36</v>
      </c>
      <c r="H22703" s="4"/>
      <c r="I22703" s="4"/>
    </row>
    <row r="22704">
      <c r="A22704" s="4" t="str">
        <f>IFERROR(__xludf.DUMMYFUNCTION("""COMPUTED_VALUE"""),"cas_hmw")</f>
        <v>cas_hmw</v>
      </c>
      <c r="B22704" s="5">
        <f>IFERROR(__xludf.DUMMYFUNCTION("""COMPUTED_VALUE"""),44790.0)</f>
        <v>44790</v>
      </c>
      <c r="C22704" s="6">
        <f>IFERROR(__xludf.DUMMYFUNCTION("""COMPUTED_VALUE"""),0.7007754629630654)</f>
        <v>0.700775463</v>
      </c>
      <c r="D22704" s="4">
        <f>IFERROR(__xludf.DUMMYFUNCTION("""COMPUTED_VALUE"""),12.922875)</f>
        <v>12.922875</v>
      </c>
      <c r="E22704" s="4">
        <f>IFERROR(__xludf.DUMMYFUNCTION("""COMPUTED_VALUE"""),80.129258)</f>
        <v>80.129258</v>
      </c>
      <c r="F22704" s="4">
        <f>IFERROR(__xludf.DUMMYFUNCTION("""COMPUTED_VALUE"""),3143.0)</f>
        <v>3143</v>
      </c>
      <c r="G22704" s="4">
        <f>IFERROR(__xludf.DUMMYFUNCTION("""COMPUTED_VALUE"""),36.0)</f>
        <v>36</v>
      </c>
      <c r="H22704" s="4"/>
      <c r="I22704" s="4"/>
    </row>
    <row r="22705">
      <c r="A22705" s="4" t="str">
        <f>IFERROR(__xludf.DUMMYFUNCTION("""COMPUTED_VALUE"""),"cas_hmw")</f>
        <v>cas_hmw</v>
      </c>
      <c r="B22705" s="5">
        <f>IFERROR(__xludf.DUMMYFUNCTION("""COMPUTED_VALUE"""),44790.0)</f>
        <v>44790</v>
      </c>
      <c r="C22705" s="6">
        <f>IFERROR(__xludf.DUMMYFUNCTION("""COMPUTED_VALUE"""),0.700787037036207)</f>
        <v>0.700787037</v>
      </c>
      <c r="D22705" s="4">
        <f>IFERROR(__xludf.DUMMYFUNCTION("""COMPUTED_VALUE"""),12.922875)</f>
        <v>12.922875</v>
      </c>
      <c r="E22705" s="4">
        <f>IFERROR(__xludf.DUMMYFUNCTION("""COMPUTED_VALUE"""),80.129258)</f>
        <v>80.129258</v>
      </c>
      <c r="F22705" s="4">
        <f>IFERROR(__xludf.DUMMYFUNCTION("""COMPUTED_VALUE"""),3143.0)</f>
        <v>3143</v>
      </c>
      <c r="G22705" s="4">
        <f>IFERROR(__xludf.DUMMYFUNCTION("""COMPUTED_VALUE"""),36.0)</f>
        <v>36</v>
      </c>
      <c r="H22705" s="4"/>
      <c r="I22705" s="4"/>
    </row>
    <row r="22706">
      <c r="A22706" s="4" t="str">
        <f>IFERROR(__xludf.DUMMYFUNCTION("""COMPUTED_VALUE"""),"cas_hmw")</f>
        <v>cas_hmw</v>
      </c>
      <c r="B22706" s="5">
        <f>IFERROR(__xludf.DUMMYFUNCTION("""COMPUTED_VALUE"""),44790.0)</f>
        <v>44790</v>
      </c>
      <c r="C22706" s="6">
        <f>IFERROR(__xludf.DUMMYFUNCTION("""COMPUTED_VALUE"""),0.7008680555554747)</f>
        <v>0.7008680556</v>
      </c>
      <c r="D22706" s="4">
        <f>IFERROR(__xludf.DUMMYFUNCTION("""COMPUTED_VALUE"""),12.922841)</f>
        <v>12.922841</v>
      </c>
      <c r="E22706" s="4">
        <f>IFERROR(__xludf.DUMMYFUNCTION("""COMPUTED_VALUE"""),80.130047)</f>
        <v>80.130047</v>
      </c>
      <c r="F22706" s="4">
        <f>IFERROR(__xludf.DUMMYFUNCTION("""COMPUTED_VALUE"""),3143.0)</f>
        <v>3143</v>
      </c>
      <c r="G22706" s="4">
        <f>IFERROR(__xludf.DUMMYFUNCTION("""COMPUTED_VALUE"""),29.0)</f>
        <v>29</v>
      </c>
      <c r="H22706" s="4"/>
      <c r="I22706" s="4"/>
    </row>
    <row r="22707">
      <c r="A22707" s="4" t="str">
        <f>IFERROR(__xludf.DUMMYFUNCTION("""COMPUTED_VALUE"""),"cas_hmw")</f>
        <v>cas_hmw</v>
      </c>
      <c r="B22707" s="5">
        <f>IFERROR(__xludf.DUMMYFUNCTION("""COMPUTED_VALUE"""),44790.0)</f>
        <v>44790</v>
      </c>
      <c r="C22707" s="6">
        <f>IFERROR(__xludf.DUMMYFUNCTION("""COMPUTED_VALUE"""),0.7009027777785377)</f>
        <v>0.7009027778</v>
      </c>
      <c r="D22707" s="4">
        <f>IFERROR(__xludf.DUMMYFUNCTION("""COMPUTED_VALUE"""),12.922841)</f>
        <v>12.922841</v>
      </c>
      <c r="E22707" s="4">
        <f>IFERROR(__xludf.DUMMYFUNCTION("""COMPUTED_VALUE"""),80.130047)</f>
        <v>80.130047</v>
      </c>
      <c r="F22707" s="4">
        <f>IFERROR(__xludf.DUMMYFUNCTION("""COMPUTED_VALUE"""),3143.0)</f>
        <v>3143</v>
      </c>
      <c r="G22707" s="4">
        <f>IFERROR(__xludf.DUMMYFUNCTION("""COMPUTED_VALUE"""),29.0)</f>
        <v>29</v>
      </c>
      <c r="H22707" s="4"/>
      <c r="I22707" s="4"/>
    </row>
    <row r="22708">
      <c r="A22708" s="4" t="str">
        <f>IFERROR(__xludf.DUMMYFUNCTION("""COMPUTED_VALUE"""),"cas_hmw")</f>
        <v>cas_hmw</v>
      </c>
      <c r="B22708" s="5">
        <f>IFERROR(__xludf.DUMMYFUNCTION("""COMPUTED_VALUE"""),44790.0)</f>
        <v>44790</v>
      </c>
      <c r="C22708" s="6">
        <f>IFERROR(__xludf.DUMMYFUNCTION("""COMPUTED_VALUE"""),0.7009490740747424)</f>
        <v>0.7009490741</v>
      </c>
      <c r="D22708" s="4">
        <f>IFERROR(__xludf.DUMMYFUNCTION("""COMPUTED_VALUE"""),12.922837)</f>
        <v>12.922837</v>
      </c>
      <c r="E22708" s="4">
        <f>IFERROR(__xludf.DUMMYFUNCTION("""COMPUTED_VALUE"""),80.13089)</f>
        <v>80.13089</v>
      </c>
      <c r="F22708" s="4">
        <f>IFERROR(__xludf.DUMMYFUNCTION("""COMPUTED_VALUE"""),3143.0)</f>
        <v>3143</v>
      </c>
      <c r="G22708" s="4">
        <f>IFERROR(__xludf.DUMMYFUNCTION("""COMPUTED_VALUE"""),28.0)</f>
        <v>28</v>
      </c>
      <c r="H22708" s="4"/>
      <c r="I22708" s="4"/>
    </row>
    <row r="22709">
      <c r="A22709" s="4" t="str">
        <f>IFERROR(__xludf.DUMMYFUNCTION("""COMPUTED_VALUE"""),"cas_hmw")</f>
        <v>cas_hmw</v>
      </c>
      <c r="B22709" s="5">
        <f>IFERROR(__xludf.DUMMYFUNCTION("""COMPUTED_VALUE"""),44790.0)</f>
        <v>44790</v>
      </c>
      <c r="C22709" s="6">
        <f>IFERROR(__xludf.DUMMYFUNCTION("""COMPUTED_VALUE"""),0.7012847222213168)</f>
        <v>0.7012847222</v>
      </c>
      <c r="D22709" s="4">
        <f>IFERROR(__xludf.DUMMYFUNCTION("""COMPUTED_VALUE"""),12.805885)</f>
        <v>12.805885</v>
      </c>
      <c r="E22709" s="4">
        <f>IFERROR(__xludf.DUMMYFUNCTION("""COMPUTED_VALUE"""),80.027373)</f>
        <v>80.027373</v>
      </c>
      <c r="F22709" s="4">
        <f>IFERROR(__xludf.DUMMYFUNCTION("""COMPUTED_VALUE"""),2846.0)</f>
        <v>2846</v>
      </c>
      <c r="G22709" s="4">
        <f>IFERROR(__xludf.DUMMYFUNCTION("""COMPUTED_VALUE"""),58.0)</f>
        <v>58</v>
      </c>
      <c r="H22709" s="4"/>
      <c r="I22709" s="4"/>
    </row>
    <row r="22710">
      <c r="A22710" s="4" t="str">
        <f>IFERROR(__xludf.DUMMYFUNCTION("""COMPUTED_VALUE"""),"cas_hmw")</f>
        <v>cas_hmw</v>
      </c>
      <c r="B22710" s="5">
        <f>IFERROR(__xludf.DUMMYFUNCTION("""COMPUTED_VALUE"""),44790.0)</f>
        <v>44790</v>
      </c>
      <c r="C22710" s="6">
        <f>IFERROR(__xludf.DUMMYFUNCTION("""COMPUTED_VALUE"""),0.7015162037023401)</f>
        <v>0.7015162037</v>
      </c>
      <c r="D22710" s="4">
        <f>IFERROR(__xludf.DUMMYFUNCTION("""COMPUTED_VALUE"""),12.927397)</f>
        <v>12.927397</v>
      </c>
      <c r="E22710" s="4">
        <f>IFERROR(__xludf.DUMMYFUNCTION("""COMPUTED_VALUE"""),80.118489)</f>
        <v>80.118489</v>
      </c>
      <c r="F22710" s="4">
        <f>IFERROR(__xludf.DUMMYFUNCTION("""COMPUTED_VALUE"""),805.0)</f>
        <v>805</v>
      </c>
      <c r="G22710" s="4">
        <f>IFERROR(__xludf.DUMMYFUNCTION("""COMPUTED_VALUE"""),30.0)</f>
        <v>30</v>
      </c>
      <c r="H22710" s="4"/>
      <c r="I22710" s="4"/>
    </row>
    <row r="22711">
      <c r="A22711" s="4" t="str">
        <f>IFERROR(__xludf.DUMMYFUNCTION("""COMPUTED_VALUE"""),"cas_hmw")</f>
        <v>cas_hmw</v>
      </c>
      <c r="B22711" s="5">
        <f>IFERROR(__xludf.DUMMYFUNCTION("""COMPUTED_VALUE"""),44790.0)</f>
        <v>44790</v>
      </c>
      <c r="C22711" s="6">
        <f>IFERROR(__xludf.DUMMYFUNCTION("""COMPUTED_VALUE"""),0.7019097222218988)</f>
        <v>0.7019097222</v>
      </c>
      <c r="D22711" s="4">
        <f>IFERROR(__xludf.DUMMYFUNCTION("""COMPUTED_VALUE"""),12.929968)</f>
        <v>12.929968</v>
      </c>
      <c r="E22711" s="4">
        <f>IFERROR(__xludf.DUMMYFUNCTION("""COMPUTED_VALUE"""),80.121074)</f>
        <v>80.121074</v>
      </c>
      <c r="F22711" s="4">
        <f>IFERROR(__xludf.DUMMYFUNCTION("""COMPUTED_VALUE"""),805.0)</f>
        <v>805</v>
      </c>
      <c r="G22711" s="4">
        <f>IFERROR(__xludf.DUMMYFUNCTION("""COMPUTED_VALUE"""),20.0)</f>
        <v>20</v>
      </c>
      <c r="H22711" s="4"/>
      <c r="I22711" s="4"/>
    </row>
    <row r="22712">
      <c r="A22712" s="4" t="str">
        <f>IFERROR(__xludf.DUMMYFUNCTION("""COMPUTED_VALUE"""),"cas_hmw")</f>
        <v>cas_hmw</v>
      </c>
      <c r="B22712" s="5">
        <f>IFERROR(__xludf.DUMMYFUNCTION("""COMPUTED_VALUE"""),44790.0)</f>
        <v>44790</v>
      </c>
      <c r="C22712" s="6">
        <f>IFERROR(__xludf.DUMMYFUNCTION("""COMPUTED_VALUE"""),0.7019212962950405)</f>
        <v>0.7019212963</v>
      </c>
      <c r="D22712" s="4">
        <f>IFERROR(__xludf.DUMMYFUNCTION("""COMPUTED_VALUE"""),12.929968)</f>
        <v>12.929968</v>
      </c>
      <c r="E22712" s="4">
        <f>IFERROR(__xludf.DUMMYFUNCTION("""COMPUTED_VALUE"""),80.121074)</f>
        <v>80.121074</v>
      </c>
      <c r="F22712" s="4">
        <f>IFERROR(__xludf.DUMMYFUNCTION("""COMPUTED_VALUE"""),805.0)</f>
        <v>805</v>
      </c>
      <c r="G22712" s="4">
        <f>IFERROR(__xludf.DUMMYFUNCTION("""COMPUTED_VALUE"""),20.0)</f>
        <v>20</v>
      </c>
      <c r="H22712" s="4"/>
      <c r="I22712" s="4"/>
    </row>
    <row r="22713">
      <c r="A22713" s="4" t="str">
        <f>IFERROR(__xludf.DUMMYFUNCTION("""COMPUTED_VALUE"""),"cas_hmw")</f>
        <v>cas_hmw</v>
      </c>
      <c r="B22713" s="5">
        <f>IFERROR(__xludf.DUMMYFUNCTION("""COMPUTED_VALUE"""),44790.0)</f>
        <v>44790</v>
      </c>
      <c r="C22713" s="6">
        <f>IFERROR(__xludf.DUMMYFUNCTION("""COMPUTED_VALUE"""),0.7020486111105129)</f>
        <v>0.7020486111</v>
      </c>
      <c r="D22713" s="4">
        <f>IFERROR(__xludf.DUMMYFUNCTION("""COMPUTED_VALUE"""),12.927887)</f>
        <v>12.927887</v>
      </c>
      <c r="E22713" s="4">
        <f>IFERROR(__xludf.DUMMYFUNCTION("""COMPUTED_VALUE"""),80.11899)</f>
        <v>80.11899</v>
      </c>
      <c r="F22713" s="4">
        <f>IFERROR(__xludf.DUMMYFUNCTION("""COMPUTED_VALUE"""),5339.0)</f>
        <v>5339</v>
      </c>
      <c r="G22713" s="4">
        <f>IFERROR(__xludf.DUMMYFUNCTION("""COMPUTED_VALUE"""),34.0)</f>
        <v>34</v>
      </c>
      <c r="H22713" s="4"/>
      <c r="I22713" s="4"/>
    </row>
    <row r="22714">
      <c r="A22714" s="4" t="str">
        <f>IFERROR(__xludf.DUMMYFUNCTION("""COMPUTED_VALUE"""),"cas_hmw")</f>
        <v>cas_hmw</v>
      </c>
      <c r="B22714" s="5">
        <f>IFERROR(__xludf.DUMMYFUNCTION("""COMPUTED_VALUE"""),44790.0)</f>
        <v>44790</v>
      </c>
      <c r="C22714" s="6">
        <f>IFERROR(__xludf.DUMMYFUNCTION("""COMPUTED_VALUE"""),0.7021296296297805)</f>
        <v>0.7021296296</v>
      </c>
      <c r="D22714" s="4">
        <f>IFERROR(__xludf.DUMMYFUNCTION("""COMPUTED_VALUE"""),12.796249)</f>
        <v>12.796249</v>
      </c>
      <c r="E22714" s="4">
        <f>IFERROR(__xludf.DUMMYFUNCTION("""COMPUTED_VALUE"""),80.02109)</f>
        <v>80.02109</v>
      </c>
      <c r="F22714" s="4">
        <f>IFERROR(__xludf.DUMMYFUNCTION("""COMPUTED_VALUE"""),2846.0)</f>
        <v>2846</v>
      </c>
      <c r="G22714" s="4">
        <f>IFERROR(__xludf.DUMMYFUNCTION("""COMPUTED_VALUE"""),36.0)</f>
        <v>36</v>
      </c>
      <c r="H22714" s="4"/>
      <c r="I22714" s="4"/>
    </row>
    <row r="22715">
      <c r="A22715" s="4" t="str">
        <f>IFERROR(__xludf.DUMMYFUNCTION("""COMPUTED_VALUE"""),"cas_hmw")</f>
        <v>cas_hmw</v>
      </c>
      <c r="B22715" s="5">
        <f>IFERROR(__xludf.DUMMYFUNCTION("""COMPUTED_VALUE"""),44790.0)</f>
        <v>44790</v>
      </c>
      <c r="C22715" s="6">
        <f>IFERROR(__xludf.DUMMYFUNCTION("""COMPUTED_VALUE"""),0.7021990740722686)</f>
        <v>0.7021990741</v>
      </c>
      <c r="D22715" s="4">
        <f>IFERROR(__xludf.DUMMYFUNCTION("""COMPUTED_VALUE"""),12.928988)</f>
        <v>12.928988</v>
      </c>
      <c r="E22715" s="4">
        <f>IFERROR(__xludf.DUMMYFUNCTION("""COMPUTED_VALUE"""),80.120098)</f>
        <v>80.120098</v>
      </c>
      <c r="F22715" s="4">
        <f>IFERROR(__xludf.DUMMYFUNCTION("""COMPUTED_VALUE"""),5339.0)</f>
        <v>5339</v>
      </c>
      <c r="G22715" s="4">
        <f>IFERROR(__xludf.DUMMYFUNCTION("""COMPUTED_VALUE"""),26.0)</f>
        <v>26</v>
      </c>
      <c r="H22715" s="4"/>
      <c r="I22715" s="4"/>
    </row>
    <row r="22716">
      <c r="A22716" s="4" t="str">
        <f>IFERROR(__xludf.DUMMYFUNCTION("""COMPUTED_VALUE"""),"cas_hmw")</f>
        <v>cas_hmw</v>
      </c>
      <c r="B22716" s="5">
        <f>IFERROR(__xludf.DUMMYFUNCTION("""COMPUTED_VALUE"""),44790.0)</f>
        <v>44790</v>
      </c>
      <c r="C22716" s="6">
        <f>IFERROR(__xludf.DUMMYFUNCTION("""COMPUTED_VALUE"""),0.7023842592607252)</f>
        <v>0.7023842593</v>
      </c>
      <c r="D22716" s="4">
        <f>IFERROR(__xludf.DUMMYFUNCTION("""COMPUTED_VALUE"""),12.932438)</f>
        <v>12.932438</v>
      </c>
      <c r="E22716" s="4">
        <f>IFERROR(__xludf.DUMMYFUNCTION("""COMPUTED_VALUE"""),80.123568)</f>
        <v>80.123568</v>
      </c>
      <c r="F22716" s="4">
        <f>IFERROR(__xludf.DUMMYFUNCTION("""COMPUTED_VALUE"""),805.0)</f>
        <v>805</v>
      </c>
      <c r="G22716" s="4">
        <f>IFERROR(__xludf.DUMMYFUNCTION("""COMPUTED_VALUE"""),37.0)</f>
        <v>37</v>
      </c>
      <c r="H22716" s="4"/>
      <c r="I22716" s="4"/>
    </row>
    <row r="22717">
      <c r="A22717" s="4" t="str">
        <f>IFERROR(__xludf.DUMMYFUNCTION("""COMPUTED_VALUE"""),"cas_hmw")</f>
        <v>cas_hmw</v>
      </c>
      <c r="B22717" s="5">
        <f>IFERROR(__xludf.DUMMYFUNCTION("""COMPUTED_VALUE"""),44790.0)</f>
        <v>44790</v>
      </c>
      <c r="C22717" s="6">
        <f>IFERROR(__xludf.DUMMYFUNCTION("""COMPUTED_VALUE"""),0.7024189814801503)</f>
        <v>0.7024189815</v>
      </c>
      <c r="D22717" s="4">
        <f>IFERROR(__xludf.DUMMYFUNCTION("""COMPUTED_VALUE"""),12.922436)</f>
        <v>12.922436</v>
      </c>
      <c r="E22717" s="4">
        <f>IFERROR(__xludf.DUMMYFUNCTION("""COMPUTED_VALUE"""),80.13907)</f>
        <v>80.13907</v>
      </c>
      <c r="F22717" s="4">
        <f>IFERROR(__xludf.DUMMYFUNCTION("""COMPUTED_VALUE"""),3143.0)</f>
        <v>3143</v>
      </c>
      <c r="G22717" s="4">
        <f>IFERROR(__xludf.DUMMYFUNCTION("""COMPUTED_VALUE"""),37.0)</f>
        <v>37</v>
      </c>
      <c r="H22717" s="4"/>
      <c r="I22717" s="4"/>
    </row>
    <row r="22718">
      <c r="A22718" s="4" t="str">
        <f>IFERROR(__xludf.DUMMYFUNCTION("""COMPUTED_VALUE"""),"cas_hmw")</f>
        <v>cas_hmw</v>
      </c>
      <c r="B22718" s="5">
        <f>IFERROR(__xludf.DUMMYFUNCTION("""COMPUTED_VALUE"""),44790.0)</f>
        <v>44790</v>
      </c>
      <c r="C22718" s="6">
        <f>IFERROR(__xludf.DUMMYFUNCTION("""COMPUTED_VALUE"""),0.7024305555569299)</f>
        <v>0.7024305556</v>
      </c>
      <c r="D22718" s="4">
        <f>IFERROR(__xludf.DUMMYFUNCTION("""COMPUTED_VALUE"""),12.922436)</f>
        <v>12.922436</v>
      </c>
      <c r="E22718" s="4">
        <f>IFERROR(__xludf.DUMMYFUNCTION("""COMPUTED_VALUE"""),80.13907)</f>
        <v>80.13907</v>
      </c>
      <c r="F22718" s="4">
        <f>IFERROR(__xludf.DUMMYFUNCTION("""COMPUTED_VALUE"""),3143.0)</f>
        <v>3143</v>
      </c>
      <c r="G22718" s="4">
        <f>IFERROR(__xludf.DUMMYFUNCTION("""COMPUTED_VALUE"""),37.0)</f>
        <v>37</v>
      </c>
      <c r="H22718" s="4"/>
      <c r="I22718" s="4"/>
    </row>
    <row r="22719">
      <c r="A22719" s="4" t="str">
        <f>IFERROR(__xludf.DUMMYFUNCTION("""COMPUTED_VALUE"""),"cas_hmw")</f>
        <v>cas_hmw</v>
      </c>
      <c r="B22719" s="5">
        <f>IFERROR(__xludf.DUMMYFUNCTION("""COMPUTED_VALUE"""),44790.0)</f>
        <v>44790</v>
      </c>
      <c r="C22719" s="6">
        <f>IFERROR(__xludf.DUMMYFUNCTION("""COMPUTED_VALUE"""),0.7028703703690553)</f>
        <v>0.7028703704</v>
      </c>
      <c r="D22719" s="4">
        <f>IFERROR(__xludf.DUMMYFUNCTION("""COMPUTED_VALUE"""),12.929968)</f>
        <v>12.929968</v>
      </c>
      <c r="E22719" s="4">
        <f>IFERROR(__xludf.DUMMYFUNCTION("""COMPUTED_VALUE"""),80.121054)</f>
        <v>80.121054</v>
      </c>
      <c r="F22719" s="4">
        <f>IFERROR(__xludf.DUMMYFUNCTION("""COMPUTED_VALUE"""),5339.0)</f>
        <v>5339</v>
      </c>
      <c r="G22719" s="4">
        <f>IFERROR(__xludf.DUMMYFUNCTION("""COMPUTED_VALUE"""),14.0)</f>
        <v>14</v>
      </c>
      <c r="H22719" s="4"/>
      <c r="I22719" s="4"/>
    </row>
    <row r="22720">
      <c r="A22720" s="4" t="str">
        <f>IFERROR(__xludf.DUMMYFUNCTION("""COMPUTED_VALUE"""),"cas_hmw")</f>
        <v>cas_hmw</v>
      </c>
      <c r="B22720" s="5">
        <f>IFERROR(__xludf.DUMMYFUNCTION("""COMPUTED_VALUE"""),44790.0)</f>
        <v>44790</v>
      </c>
      <c r="C22720" s="6">
        <f>IFERROR(__xludf.DUMMYFUNCTION("""COMPUTED_VALUE"""),0.7029398148151813)</f>
        <v>0.7029398148</v>
      </c>
      <c r="D22720" s="4">
        <f>IFERROR(__xludf.DUMMYFUNCTION("""COMPUTED_VALUE"""),12.930414)</f>
        <v>12.930414</v>
      </c>
      <c r="E22720" s="4">
        <f>IFERROR(__xludf.DUMMYFUNCTION("""COMPUTED_VALUE"""),80.121494)</f>
        <v>80.121494</v>
      </c>
      <c r="F22720" s="4">
        <f>IFERROR(__xludf.DUMMYFUNCTION("""COMPUTED_VALUE"""),5339.0)</f>
        <v>5339</v>
      </c>
      <c r="G22720" s="4">
        <f>IFERROR(__xludf.DUMMYFUNCTION("""COMPUTED_VALUE"""),32.0)</f>
        <v>32</v>
      </c>
      <c r="H22720" s="4"/>
      <c r="I22720" s="4"/>
    </row>
    <row r="22721">
      <c r="A22721" s="4" t="str">
        <f>IFERROR(__xludf.DUMMYFUNCTION("""COMPUTED_VALUE"""),"cas_hmw")</f>
        <v>cas_hmw</v>
      </c>
      <c r="B22721" s="5">
        <f>IFERROR(__xludf.DUMMYFUNCTION("""COMPUTED_VALUE"""),44790.0)</f>
        <v>44790</v>
      </c>
      <c r="C22721" s="6">
        <f>IFERROR(__xludf.DUMMYFUNCTION("""COMPUTED_VALUE"""),0.7029398148151813)</f>
        <v>0.7029398148</v>
      </c>
      <c r="D22721" s="4">
        <f>IFERROR(__xludf.DUMMYFUNCTION("""COMPUTED_VALUE"""),12.930414)</f>
        <v>12.930414</v>
      </c>
      <c r="E22721" s="4">
        <f>IFERROR(__xludf.DUMMYFUNCTION("""COMPUTED_VALUE"""),80.121494)</f>
        <v>80.121494</v>
      </c>
      <c r="F22721" s="4">
        <f>IFERROR(__xludf.DUMMYFUNCTION("""COMPUTED_VALUE"""),5339.0)</f>
        <v>5339</v>
      </c>
      <c r="G22721" s="4">
        <f>IFERROR(__xludf.DUMMYFUNCTION("""COMPUTED_VALUE"""),32.0)</f>
        <v>32</v>
      </c>
      <c r="H22721" s="4"/>
      <c r="I22721" s="4"/>
    </row>
    <row r="22722">
      <c r="A22722" s="4" t="str">
        <f>IFERROR(__xludf.DUMMYFUNCTION("""COMPUTED_VALUE"""),"cas_hmw")</f>
        <v>cas_hmw</v>
      </c>
      <c r="B22722" s="5">
        <f>IFERROR(__xludf.DUMMYFUNCTION("""COMPUTED_VALUE"""),44790.0)</f>
        <v>44790</v>
      </c>
      <c r="C22722" s="6">
        <f>IFERROR(__xludf.DUMMYFUNCTION("""COMPUTED_VALUE"""),0.7032523148154723)</f>
        <v>0.7032523148</v>
      </c>
      <c r="D22722" s="4">
        <f>IFERROR(__xludf.DUMMYFUNCTION("""COMPUTED_VALUE"""),12.932742)</f>
        <v>12.932742</v>
      </c>
      <c r="E22722" s="4">
        <f>IFERROR(__xludf.DUMMYFUNCTION("""COMPUTED_VALUE"""),80.123836)</f>
        <v>80.123836</v>
      </c>
      <c r="F22722" s="4">
        <f>IFERROR(__xludf.DUMMYFUNCTION("""COMPUTED_VALUE"""),5339.0)</f>
        <v>5339</v>
      </c>
      <c r="G22722" s="4">
        <f>IFERROR(__xludf.DUMMYFUNCTION("""COMPUTED_VALUE"""),50.0)</f>
        <v>50</v>
      </c>
      <c r="H22722" s="4"/>
      <c r="I22722" s="4"/>
    </row>
    <row r="22723">
      <c r="A22723" s="4" t="str">
        <f>IFERROR(__xludf.DUMMYFUNCTION("""COMPUTED_VALUE"""),"cas_hmw")</f>
        <v>cas_hmw</v>
      </c>
      <c r="B22723" s="5">
        <f>IFERROR(__xludf.DUMMYFUNCTION("""COMPUTED_VALUE"""),44790.0)</f>
        <v>44790</v>
      </c>
      <c r="C22723" s="6">
        <f>IFERROR(__xludf.DUMMYFUNCTION("""COMPUTED_VALUE"""),0.7033564814810234)</f>
        <v>0.7033564815</v>
      </c>
      <c r="D22723" s="4">
        <f>IFERROR(__xludf.DUMMYFUNCTION("""COMPUTED_VALUE"""),12.922548)</f>
        <v>12.922548</v>
      </c>
      <c r="E22723" s="4">
        <f>IFERROR(__xludf.DUMMYFUNCTION("""COMPUTED_VALUE"""),80.143414)</f>
        <v>80.143414</v>
      </c>
      <c r="F22723" s="4">
        <f>IFERROR(__xludf.DUMMYFUNCTION("""COMPUTED_VALUE"""),3143.0)</f>
        <v>3143</v>
      </c>
      <c r="G22723" s="4">
        <f>IFERROR(__xludf.DUMMYFUNCTION("""COMPUTED_VALUE"""),24.0)</f>
        <v>24</v>
      </c>
      <c r="H22723" s="4"/>
      <c r="I22723" s="4"/>
    </row>
    <row r="22724">
      <c r="A22724" s="4" t="str">
        <f>IFERROR(__xludf.DUMMYFUNCTION("""COMPUTED_VALUE"""),"cas_hmw")</f>
        <v>cas_hmw</v>
      </c>
      <c r="B22724" s="5">
        <f>IFERROR(__xludf.DUMMYFUNCTION("""COMPUTED_VALUE"""),44790.0)</f>
        <v>44790</v>
      </c>
      <c r="C22724" s="6">
        <f>IFERROR(__xludf.DUMMYFUNCTION("""COMPUTED_VALUE"""),0.703402777777228)</f>
        <v>0.7034027778</v>
      </c>
      <c r="D22724" s="4">
        <f>IFERROR(__xludf.DUMMYFUNCTION("""COMPUTED_VALUE"""),12.933557)</f>
        <v>12.933557</v>
      </c>
      <c r="E22724" s="4">
        <f>IFERROR(__xludf.DUMMYFUNCTION("""COMPUTED_VALUE"""),80.124667)</f>
        <v>80.124667</v>
      </c>
      <c r="F22724" s="4">
        <f>IFERROR(__xludf.DUMMYFUNCTION("""COMPUTED_VALUE"""),5339.0)</f>
        <v>5339</v>
      </c>
      <c r="G22724" s="4">
        <f>IFERROR(__xludf.DUMMYFUNCTION("""COMPUTED_VALUE"""),44.0)</f>
        <v>44</v>
      </c>
      <c r="H22724" s="4"/>
      <c r="I22724" s="4"/>
    </row>
    <row r="22725">
      <c r="A22725" s="4" t="str">
        <f>IFERROR(__xludf.DUMMYFUNCTION("""COMPUTED_VALUE"""),"cas_hmw")</f>
        <v>cas_hmw</v>
      </c>
      <c r="B22725" s="5">
        <f>IFERROR(__xludf.DUMMYFUNCTION("""COMPUTED_VALUE"""),44790.0)</f>
        <v>44790</v>
      </c>
      <c r="C22725" s="6">
        <f>IFERROR(__xludf.DUMMYFUNCTION("""COMPUTED_VALUE"""),0.7044560185167938)</f>
        <v>0.7044560185</v>
      </c>
      <c r="D22725" s="4">
        <f>IFERROR(__xludf.DUMMYFUNCTION("""COMPUTED_VALUE"""),12.937809)</f>
        <v>12.937809</v>
      </c>
      <c r="E22725" s="4">
        <f>IFERROR(__xludf.DUMMYFUNCTION("""COMPUTED_VALUE"""),80.128532)</f>
        <v>80.128532</v>
      </c>
      <c r="F22725" s="4">
        <f>IFERROR(__xludf.DUMMYFUNCTION("""COMPUTED_VALUE"""),805.0)</f>
        <v>805</v>
      </c>
      <c r="G22725" s="4">
        <f>IFERROR(__xludf.DUMMYFUNCTION("""COMPUTED_VALUE"""),39.0)</f>
        <v>39</v>
      </c>
      <c r="H22725" s="4"/>
      <c r="I22725" s="4"/>
    </row>
    <row r="22726">
      <c r="A22726" s="4" t="str">
        <f>IFERROR(__xludf.DUMMYFUNCTION("""COMPUTED_VALUE"""),"cas_hmw")</f>
        <v>cas_hmw</v>
      </c>
      <c r="B22726" s="5">
        <f>IFERROR(__xludf.DUMMYFUNCTION("""COMPUTED_VALUE"""),44790.0)</f>
        <v>44790</v>
      </c>
      <c r="C22726" s="6">
        <f>IFERROR(__xludf.DUMMYFUNCTION("""COMPUTED_VALUE"""),0.7046296296284709)</f>
        <v>0.7046296296</v>
      </c>
      <c r="D22726" s="4">
        <f>IFERROR(__xludf.DUMMYFUNCTION("""COMPUTED_VALUE"""),12.936816)</f>
        <v>12.936816</v>
      </c>
      <c r="E22726" s="4">
        <f>IFERROR(__xludf.DUMMYFUNCTION("""COMPUTED_VALUE"""),80.127669)</f>
        <v>80.127669</v>
      </c>
      <c r="F22726" s="4">
        <f>IFERROR(__xludf.DUMMYFUNCTION("""COMPUTED_VALUE"""),5339.0)</f>
        <v>5339</v>
      </c>
      <c r="G22726" s="4">
        <f>IFERROR(__xludf.DUMMYFUNCTION("""COMPUTED_VALUE"""),32.0)</f>
        <v>32</v>
      </c>
      <c r="H22726" s="4"/>
      <c r="I22726" s="4"/>
    </row>
    <row r="22727">
      <c r="A22727" s="4" t="str">
        <f>IFERROR(__xludf.DUMMYFUNCTION("""COMPUTED_VALUE"""),"cas_hmw")</f>
        <v>cas_hmw</v>
      </c>
      <c r="B22727" s="5">
        <f>IFERROR(__xludf.DUMMYFUNCTION("""COMPUTED_VALUE"""),44790.0)</f>
        <v>44790</v>
      </c>
      <c r="C22727" s="6">
        <f>IFERROR(__xludf.DUMMYFUNCTION("""COMPUTED_VALUE"""),0.7046527777783922)</f>
        <v>0.7046527778</v>
      </c>
      <c r="D22727" s="4">
        <f>IFERROR(__xludf.DUMMYFUNCTION("""COMPUTED_VALUE"""),12.93949)</f>
        <v>12.93949</v>
      </c>
      <c r="E22727" s="4">
        <f>IFERROR(__xludf.DUMMYFUNCTION("""COMPUTED_VALUE"""),80.12999)</f>
        <v>80.12999</v>
      </c>
      <c r="F22727" s="4">
        <f>IFERROR(__xludf.DUMMYFUNCTION("""COMPUTED_VALUE"""),805.0)</f>
        <v>805</v>
      </c>
      <c r="G22727" s="4">
        <f>IFERROR(__xludf.DUMMYFUNCTION("""COMPUTED_VALUE"""),50.0)</f>
        <v>50</v>
      </c>
      <c r="H22727" s="4"/>
      <c r="I22727" s="4"/>
    </row>
    <row r="22728">
      <c r="A22728" s="4" t="str">
        <f>IFERROR(__xludf.DUMMYFUNCTION("""COMPUTED_VALUE"""),"cas_hmw")</f>
        <v>cas_hmw</v>
      </c>
      <c r="B22728" s="5">
        <f>IFERROR(__xludf.DUMMYFUNCTION("""COMPUTED_VALUE"""),44790.0)</f>
        <v>44790</v>
      </c>
      <c r="C22728" s="6">
        <f>IFERROR(__xludf.DUMMYFUNCTION("""COMPUTED_VALUE"""),0.7046875000014552)</f>
        <v>0.7046875</v>
      </c>
      <c r="D22728" s="4">
        <f>IFERROR(__xludf.DUMMYFUNCTION("""COMPUTED_VALUE"""),12.93949)</f>
        <v>12.93949</v>
      </c>
      <c r="E22728" s="4">
        <f>IFERROR(__xludf.DUMMYFUNCTION("""COMPUTED_VALUE"""),80.12999)</f>
        <v>80.12999</v>
      </c>
      <c r="F22728" s="4">
        <f>IFERROR(__xludf.DUMMYFUNCTION("""COMPUTED_VALUE"""),805.0)</f>
        <v>805</v>
      </c>
      <c r="G22728" s="4">
        <f>IFERROR(__xludf.DUMMYFUNCTION("""COMPUTED_VALUE"""),50.0)</f>
        <v>50</v>
      </c>
      <c r="H22728" s="4"/>
      <c r="I22728" s="4"/>
    </row>
    <row r="22729">
      <c r="A22729" s="4" t="str">
        <f>IFERROR(__xludf.DUMMYFUNCTION("""COMPUTED_VALUE"""),"cas_hmw")</f>
        <v>cas_hmw</v>
      </c>
      <c r="B22729" s="5">
        <f>IFERROR(__xludf.DUMMYFUNCTION("""COMPUTED_VALUE"""),44790.0)</f>
        <v>44790</v>
      </c>
      <c r="C22729" s="6">
        <f>IFERROR(__xludf.DUMMYFUNCTION("""COMPUTED_VALUE"""),0.7047222222208802)</f>
        <v>0.7047222222</v>
      </c>
      <c r="D22729" s="4">
        <f>IFERROR(__xludf.DUMMYFUNCTION("""COMPUTED_VALUE"""),12.93949)</f>
        <v>12.93949</v>
      </c>
      <c r="E22729" s="4">
        <f>IFERROR(__xludf.DUMMYFUNCTION("""COMPUTED_VALUE"""),80.12999)</f>
        <v>80.12999</v>
      </c>
      <c r="F22729" s="4">
        <f>IFERROR(__xludf.DUMMYFUNCTION("""COMPUTED_VALUE"""),805.0)</f>
        <v>805</v>
      </c>
      <c r="G22729" s="4">
        <f>IFERROR(__xludf.DUMMYFUNCTION("""COMPUTED_VALUE"""),50.0)</f>
        <v>50</v>
      </c>
      <c r="H22729" s="4"/>
      <c r="I22729" s="4"/>
    </row>
    <row r="22730">
      <c r="A22730" s="4" t="str">
        <f>IFERROR(__xludf.DUMMYFUNCTION("""COMPUTED_VALUE"""),"cas_hmw")</f>
        <v>cas_hmw</v>
      </c>
      <c r="B22730" s="5">
        <f>IFERROR(__xludf.DUMMYFUNCTION("""COMPUTED_VALUE"""),44790.0)</f>
        <v>44790</v>
      </c>
      <c r="C22730" s="6">
        <f>IFERROR(__xludf.DUMMYFUNCTION("""COMPUTED_VALUE"""),0.7050347222211713)</f>
        <v>0.7050347222</v>
      </c>
      <c r="D22730" s="4">
        <f>IFERROR(__xludf.DUMMYFUNCTION("""COMPUTED_VALUE"""),12.93916)</f>
        <v>12.93916</v>
      </c>
      <c r="E22730" s="4">
        <f>IFERROR(__xludf.DUMMYFUNCTION("""COMPUTED_VALUE"""),80.129705)</f>
        <v>80.129705</v>
      </c>
      <c r="F22730" s="4">
        <f>IFERROR(__xludf.DUMMYFUNCTION("""COMPUTED_VALUE"""),5339.0)</f>
        <v>5339</v>
      </c>
      <c r="G22730" s="4">
        <f>IFERROR(__xludf.DUMMYFUNCTION("""COMPUTED_VALUE"""),49.0)</f>
        <v>49</v>
      </c>
      <c r="H22730" s="4"/>
      <c r="I22730" s="4"/>
    </row>
    <row r="22731">
      <c r="A22731" s="4" t="str">
        <f>IFERROR(__xludf.DUMMYFUNCTION("""COMPUTED_VALUE"""),"cas_hmw")</f>
        <v>cas_hmw</v>
      </c>
      <c r="B22731" s="5">
        <f>IFERROR(__xludf.DUMMYFUNCTION("""COMPUTED_VALUE"""),44790.0)</f>
        <v>44790</v>
      </c>
      <c r="C22731" s="6">
        <f>IFERROR(__xludf.DUMMYFUNCTION("""COMPUTED_VALUE"""),0.7053819444445253)</f>
        <v>0.7053819444</v>
      </c>
      <c r="D22731" s="4">
        <f>IFERROR(__xludf.DUMMYFUNCTION("""COMPUTED_VALUE"""),12.767076)</f>
        <v>12.767076</v>
      </c>
      <c r="E22731" s="4">
        <f>IFERROR(__xludf.DUMMYFUNCTION("""COMPUTED_VALUE"""),80.005862)</f>
        <v>80.005862</v>
      </c>
      <c r="F22731" s="4">
        <f>IFERROR(__xludf.DUMMYFUNCTION("""COMPUTED_VALUE"""),2846.0)</f>
        <v>2846</v>
      </c>
      <c r="G22731" s="4">
        <f>IFERROR(__xludf.DUMMYFUNCTION("""COMPUTED_VALUE"""),57.0)</f>
        <v>57</v>
      </c>
      <c r="H22731" s="4"/>
      <c r="I22731" s="4"/>
    </row>
    <row r="22732">
      <c r="A22732" s="4" t="str">
        <f>IFERROR(__xludf.DUMMYFUNCTION("""COMPUTED_VALUE"""),"cas_hmw")</f>
        <v>cas_hmw</v>
      </c>
      <c r="B22732" s="5">
        <f>IFERROR(__xludf.DUMMYFUNCTION("""COMPUTED_VALUE"""),44790.0)</f>
        <v>44790</v>
      </c>
      <c r="C22732" s="6">
        <f>IFERROR(__xludf.DUMMYFUNCTION("""COMPUTED_VALUE"""),0.7055092592599976)</f>
        <v>0.7055092593</v>
      </c>
      <c r="D22732" s="4">
        <f>IFERROR(__xludf.DUMMYFUNCTION("""COMPUTED_VALUE"""),12.76315)</f>
        <v>12.76315</v>
      </c>
      <c r="E22732" s="4">
        <f>IFERROR(__xludf.DUMMYFUNCTION("""COMPUTED_VALUE"""),80.004205)</f>
        <v>80.004205</v>
      </c>
      <c r="F22732" s="4">
        <f>IFERROR(__xludf.DUMMYFUNCTION("""COMPUTED_VALUE"""),2846.0)</f>
        <v>2846</v>
      </c>
      <c r="G22732" s="4">
        <f>IFERROR(__xludf.DUMMYFUNCTION("""COMPUTED_VALUE"""),49.0)</f>
        <v>49</v>
      </c>
      <c r="H22732" s="4"/>
      <c r="I22732" s="4"/>
    </row>
    <row r="22733">
      <c r="A22733" s="4" t="str">
        <f>IFERROR(__xludf.DUMMYFUNCTION("""COMPUTED_VALUE"""),"cas_hmw")</f>
        <v>cas_hmw</v>
      </c>
      <c r="B22733" s="5">
        <f>IFERROR(__xludf.DUMMYFUNCTION("""COMPUTED_VALUE"""),44790.0)</f>
        <v>44790</v>
      </c>
      <c r="C22733" s="6">
        <f>IFERROR(__xludf.DUMMYFUNCTION("""COMPUTED_VALUE"""),0.705775462964084)</f>
        <v>0.705775463</v>
      </c>
      <c r="D22733" s="4">
        <f>IFERROR(__xludf.DUMMYFUNCTION("""COMPUTED_VALUE"""),12.946012)</f>
        <v>12.946012</v>
      </c>
      <c r="E22733" s="4">
        <f>IFERROR(__xludf.DUMMYFUNCTION("""COMPUTED_VALUE"""),80.136065)</f>
        <v>80.136065</v>
      </c>
      <c r="F22733" s="4">
        <f>IFERROR(__xludf.DUMMYFUNCTION("""COMPUTED_VALUE"""),805.0)</f>
        <v>805</v>
      </c>
      <c r="G22733" s="4">
        <f>IFERROR(__xludf.DUMMYFUNCTION("""COMPUTED_VALUE"""),54.0)</f>
        <v>54</v>
      </c>
      <c r="H22733" s="4"/>
      <c r="I22733" s="4"/>
    </row>
    <row r="22734">
      <c r="A22734" s="4" t="str">
        <f>IFERROR(__xludf.DUMMYFUNCTION("""COMPUTED_VALUE"""),"cas_hmw")</f>
        <v>cas_hmw</v>
      </c>
      <c r="B22734" s="5">
        <f>IFERROR(__xludf.DUMMYFUNCTION("""COMPUTED_VALUE"""),44790.0)</f>
        <v>44790</v>
      </c>
      <c r="C22734" s="6">
        <f>IFERROR(__xludf.DUMMYFUNCTION("""COMPUTED_VALUE"""),0.705775462964084)</f>
        <v>0.705775463</v>
      </c>
      <c r="D22734" s="4">
        <f>IFERROR(__xludf.DUMMYFUNCTION("""COMPUTED_VALUE"""),12.943552)</f>
        <v>12.943552</v>
      </c>
      <c r="E22734" s="4">
        <f>IFERROR(__xludf.DUMMYFUNCTION("""COMPUTED_VALUE"""),80.134117)</f>
        <v>80.134117</v>
      </c>
      <c r="F22734" s="4">
        <f>IFERROR(__xludf.DUMMYFUNCTION("""COMPUTED_VALUE"""),805.0)</f>
        <v>805</v>
      </c>
      <c r="G22734" s="4">
        <f>IFERROR(__xludf.DUMMYFUNCTION("""COMPUTED_VALUE"""),34.0)</f>
        <v>34</v>
      </c>
      <c r="H22734" s="4"/>
      <c r="I22734" s="4"/>
    </row>
    <row r="22735">
      <c r="A22735" s="4" t="str">
        <f>IFERROR(__xludf.DUMMYFUNCTION("""COMPUTED_VALUE"""),"cas_hmw")</f>
        <v>cas_hmw</v>
      </c>
      <c r="B22735" s="5">
        <f>IFERROR(__xludf.DUMMYFUNCTION("""COMPUTED_VALUE"""),44790.0)</f>
        <v>44790</v>
      </c>
      <c r="C22735" s="6">
        <f>IFERROR(__xludf.DUMMYFUNCTION("""COMPUTED_VALUE"""),0.705810185183509)</f>
        <v>0.7058101852</v>
      </c>
      <c r="D22735" s="4">
        <f>IFERROR(__xludf.DUMMYFUNCTION("""COMPUTED_VALUE"""),12.943371)</f>
        <v>12.943371</v>
      </c>
      <c r="E22735" s="4">
        <f>IFERROR(__xludf.DUMMYFUNCTION("""COMPUTED_VALUE"""),80.133941)</f>
        <v>80.133941</v>
      </c>
      <c r="F22735" s="4">
        <f>IFERROR(__xludf.DUMMYFUNCTION("""COMPUTED_VALUE"""),5339.0)</f>
        <v>5339</v>
      </c>
      <c r="G22735" s="4">
        <f>IFERROR(__xludf.DUMMYFUNCTION("""COMPUTED_VALUE"""),34.0)</f>
        <v>34</v>
      </c>
      <c r="H22735" s="4"/>
      <c r="I22735" s="4"/>
    </row>
    <row r="22736">
      <c r="A22736" s="4" t="str">
        <f>IFERROR(__xludf.DUMMYFUNCTION("""COMPUTED_VALUE"""),"cas_hmw")</f>
        <v>cas_hmw</v>
      </c>
      <c r="B22736" s="5">
        <f>IFERROR(__xludf.DUMMYFUNCTION("""COMPUTED_VALUE"""),44790.0)</f>
        <v>44790</v>
      </c>
      <c r="C22736" s="6">
        <f>IFERROR(__xludf.DUMMYFUNCTION("""COMPUTED_VALUE"""),0.7059259259258397)</f>
        <v>0.7059259259</v>
      </c>
      <c r="D22736" s="4">
        <f>IFERROR(__xludf.DUMMYFUNCTION("""COMPUTED_VALUE"""),12.92351)</f>
        <v>12.92351</v>
      </c>
      <c r="E22736" s="4">
        <f>IFERROR(__xludf.DUMMYFUNCTION("""COMPUTED_VALUE"""),80.158701)</f>
        <v>80.158701</v>
      </c>
      <c r="F22736" s="4">
        <f>IFERROR(__xludf.DUMMYFUNCTION("""COMPUTED_VALUE"""),3143.0)</f>
        <v>3143</v>
      </c>
      <c r="G22736" s="4">
        <f>IFERROR(__xludf.DUMMYFUNCTION("""COMPUTED_VALUE"""),53.0)</f>
        <v>53</v>
      </c>
      <c r="H22736" s="4"/>
      <c r="I22736" s="4"/>
    </row>
    <row r="22737">
      <c r="A22737" s="4" t="str">
        <f>IFERROR(__xludf.DUMMYFUNCTION("""COMPUTED_VALUE"""),"cas_hmw")</f>
        <v>cas_hmw</v>
      </c>
      <c r="B22737" s="5">
        <f>IFERROR(__xludf.DUMMYFUNCTION("""COMPUTED_VALUE"""),44790.0)</f>
        <v>44790</v>
      </c>
      <c r="C22737" s="6">
        <f>IFERROR(__xludf.DUMMYFUNCTION("""COMPUTED_VALUE"""),0.7061805555567844)</f>
        <v>0.7061805556</v>
      </c>
      <c r="D22737" s="4">
        <f>IFERROR(__xludf.DUMMYFUNCTION("""COMPUTED_VALUE"""),12.945821)</f>
        <v>12.945821</v>
      </c>
      <c r="E22737" s="4">
        <f>IFERROR(__xludf.DUMMYFUNCTION("""COMPUTED_VALUE"""),80.135936)</f>
        <v>80.135936</v>
      </c>
      <c r="F22737" s="4">
        <f>IFERROR(__xludf.DUMMYFUNCTION("""COMPUTED_VALUE"""),5339.0)</f>
        <v>5339</v>
      </c>
      <c r="G22737" s="4">
        <f>IFERROR(__xludf.DUMMYFUNCTION("""COMPUTED_VALUE"""),42.0)</f>
        <v>42</v>
      </c>
      <c r="H22737" s="4"/>
      <c r="I22737" s="4"/>
    </row>
    <row r="22738">
      <c r="A22738" s="4" t="str">
        <f>IFERROR(__xludf.DUMMYFUNCTION("""COMPUTED_VALUE"""),"cas_hmw")</f>
        <v>cas_hmw</v>
      </c>
      <c r="B22738" s="5">
        <f>IFERROR(__xludf.DUMMYFUNCTION("""COMPUTED_VALUE"""),44790.0)</f>
        <v>44790</v>
      </c>
      <c r="C22738" s="6">
        <f>IFERROR(__xludf.DUMMYFUNCTION("""COMPUTED_VALUE"""),0.7064814814802958)</f>
        <v>0.7064814815</v>
      </c>
      <c r="D22738" s="4">
        <f>IFERROR(__xludf.DUMMYFUNCTION("""COMPUTED_VALUE"""),12.948022)</f>
        <v>12.948022</v>
      </c>
      <c r="E22738" s="4">
        <f>IFERROR(__xludf.DUMMYFUNCTION("""COMPUTED_VALUE"""),80.137543)</f>
        <v>80.137543</v>
      </c>
      <c r="F22738" s="4">
        <f>IFERROR(__xludf.DUMMYFUNCTION("""COMPUTED_VALUE"""),5339.0)</f>
        <v>5339</v>
      </c>
      <c r="G22738" s="4">
        <f>IFERROR(__xludf.DUMMYFUNCTION("""COMPUTED_VALUE"""),36.0)</f>
        <v>36</v>
      </c>
      <c r="H22738" s="4"/>
      <c r="I22738" s="4"/>
    </row>
    <row r="22739">
      <c r="A22739" s="4" t="str">
        <f>IFERROR(__xludf.DUMMYFUNCTION("""COMPUTED_VALUE"""),"cas_hmw")</f>
        <v>cas_hmw</v>
      </c>
      <c r="B22739" s="5">
        <f>IFERROR(__xludf.DUMMYFUNCTION("""COMPUTED_VALUE"""),44790.0)</f>
        <v>44790</v>
      </c>
      <c r="C22739" s="6">
        <f>IFERROR(__xludf.DUMMYFUNCTION("""COMPUTED_VALUE"""),0.7072222222232085)</f>
        <v>0.7072222222</v>
      </c>
      <c r="D22739" s="4">
        <f>IFERROR(__xludf.DUMMYFUNCTION("""COMPUTED_VALUE"""),12.953525)</f>
        <v>12.953525</v>
      </c>
      <c r="E22739" s="4">
        <f>IFERROR(__xludf.DUMMYFUNCTION("""COMPUTED_VALUE"""),80.141656)</f>
        <v>80.141656</v>
      </c>
      <c r="F22739" s="4">
        <f>IFERROR(__xludf.DUMMYFUNCTION("""COMPUTED_VALUE"""),805.0)</f>
        <v>805</v>
      </c>
      <c r="G22739" s="4">
        <f>IFERROR(__xludf.DUMMYFUNCTION("""COMPUTED_VALUE"""),37.0)</f>
        <v>37</v>
      </c>
      <c r="H22739" s="4"/>
      <c r="I22739" s="4"/>
    </row>
    <row r="22740">
      <c r="A22740" s="4" t="str">
        <f>IFERROR(__xludf.DUMMYFUNCTION("""COMPUTED_VALUE"""),"cas_hmw")</f>
        <v>cas_hmw</v>
      </c>
      <c r="B22740" s="5">
        <f>IFERROR(__xludf.DUMMYFUNCTION("""COMPUTED_VALUE"""),44790.0)</f>
        <v>44790</v>
      </c>
      <c r="C22740" s="6">
        <f>IFERROR(__xludf.DUMMYFUNCTION("""COMPUTED_VALUE"""),0.7072453703694919)</f>
        <v>0.7072453704</v>
      </c>
      <c r="D22740" s="4">
        <f>IFERROR(__xludf.DUMMYFUNCTION("""COMPUTED_VALUE"""),12.953525)</f>
        <v>12.953525</v>
      </c>
      <c r="E22740" s="4">
        <f>IFERROR(__xludf.DUMMYFUNCTION("""COMPUTED_VALUE"""),80.141656)</f>
        <v>80.141656</v>
      </c>
      <c r="F22740" s="4">
        <f>IFERROR(__xludf.DUMMYFUNCTION("""COMPUTED_VALUE"""),805.0)</f>
        <v>805</v>
      </c>
      <c r="G22740" s="4">
        <f>IFERROR(__xludf.DUMMYFUNCTION("""COMPUTED_VALUE"""),37.0)</f>
        <v>37</v>
      </c>
      <c r="H22740" s="4"/>
      <c r="I22740" s="4"/>
    </row>
    <row r="22741">
      <c r="A22741" s="4" t="str">
        <f>IFERROR(__xludf.DUMMYFUNCTION("""COMPUTED_VALUE"""),"cas_hmw")</f>
        <v>cas_hmw</v>
      </c>
      <c r="B22741" s="5">
        <f>IFERROR(__xludf.DUMMYFUNCTION("""COMPUTED_VALUE"""),44790.0)</f>
        <v>44790</v>
      </c>
      <c r="C22741" s="6">
        <f>IFERROR(__xludf.DUMMYFUNCTION("""COMPUTED_VALUE"""),0.7073379629619012)</f>
        <v>0.707337963</v>
      </c>
      <c r="D22741" s="4">
        <f>IFERROR(__xludf.DUMMYFUNCTION("""COMPUTED_VALUE"""),12.919817)</f>
        <v>12.919817</v>
      </c>
      <c r="E22741" s="4">
        <f>IFERROR(__xludf.DUMMYFUNCTION("""COMPUTED_VALUE"""),80.171377)</f>
        <v>80.171377</v>
      </c>
      <c r="F22741" s="4">
        <f>IFERROR(__xludf.DUMMYFUNCTION("""COMPUTED_VALUE"""),3143.0)</f>
        <v>3143</v>
      </c>
      <c r="G22741" s="4">
        <f>IFERROR(__xludf.DUMMYFUNCTION("""COMPUTED_VALUE"""),35.0)</f>
        <v>35</v>
      </c>
      <c r="H22741" s="4"/>
      <c r="I22741" s="4"/>
    </row>
    <row r="22742">
      <c r="A22742" s="4" t="str">
        <f>IFERROR(__xludf.DUMMYFUNCTION("""COMPUTED_VALUE"""),"cas_hmw")</f>
        <v>cas_hmw</v>
      </c>
      <c r="B22742" s="5">
        <f>IFERROR(__xludf.DUMMYFUNCTION("""COMPUTED_VALUE"""),44790.0)</f>
        <v>44790</v>
      </c>
      <c r="C22742" s="6">
        <f>IFERROR(__xludf.DUMMYFUNCTION("""COMPUTED_VALUE"""),0.7074305555543106)</f>
        <v>0.7074305556</v>
      </c>
      <c r="D22742" s="4">
        <f>IFERROR(__xludf.DUMMYFUNCTION("""COMPUTED_VALUE"""),12.955187)</f>
        <v>12.955187</v>
      </c>
      <c r="E22742" s="4">
        <f>IFERROR(__xludf.DUMMYFUNCTION("""COMPUTED_VALUE"""),80.142474)</f>
        <v>80.142474</v>
      </c>
      <c r="F22742" s="4">
        <f>IFERROR(__xludf.DUMMYFUNCTION("""COMPUTED_VALUE"""),805.0)</f>
        <v>805</v>
      </c>
      <c r="G22742" s="4">
        <f>IFERROR(__xludf.DUMMYFUNCTION("""COMPUTED_VALUE"""),31.0)</f>
        <v>31</v>
      </c>
      <c r="H22742" s="4"/>
      <c r="I22742" s="4"/>
    </row>
    <row r="22743">
      <c r="A22743" s="4" t="str">
        <f>IFERROR(__xludf.DUMMYFUNCTION("""COMPUTED_VALUE"""),"cas_hmw")</f>
        <v>cas_hmw</v>
      </c>
      <c r="B22743" s="5">
        <f>IFERROR(__xludf.DUMMYFUNCTION("""COMPUTED_VALUE"""),44790.0)</f>
        <v>44790</v>
      </c>
      <c r="C22743" s="6">
        <f>IFERROR(__xludf.DUMMYFUNCTION("""COMPUTED_VALUE"""),0.7075578703697829)</f>
        <v>0.7075578704</v>
      </c>
      <c r="D22743" s="4">
        <f>IFERROR(__xludf.DUMMYFUNCTION("""COMPUTED_VALUE"""),12.919284)</f>
        <v>12.919284</v>
      </c>
      <c r="E22743" s="4">
        <f>IFERROR(__xludf.DUMMYFUNCTION("""COMPUTED_VALUE"""),80.173236)</f>
        <v>80.173236</v>
      </c>
      <c r="F22743" s="4">
        <f>IFERROR(__xludf.DUMMYFUNCTION("""COMPUTED_VALUE"""),3143.0)</f>
        <v>3143</v>
      </c>
      <c r="G22743" s="4">
        <f>IFERROR(__xludf.DUMMYFUNCTION("""COMPUTED_VALUE"""),44.0)</f>
        <v>44</v>
      </c>
      <c r="H22743" s="4"/>
      <c r="I22743" s="4"/>
    </row>
    <row r="22744">
      <c r="A22744" s="4" t="str">
        <f>IFERROR(__xludf.DUMMYFUNCTION("""COMPUTED_VALUE"""),"cas_hmw")</f>
        <v>cas_hmw</v>
      </c>
      <c r="B22744" s="5">
        <f>IFERROR(__xludf.DUMMYFUNCTION("""COMPUTED_VALUE"""),44790.0)</f>
        <v>44790</v>
      </c>
      <c r="C22744" s="6">
        <f>IFERROR(__xludf.DUMMYFUNCTION("""COMPUTED_VALUE"""),0.708113425924239)</f>
        <v>0.7081134259</v>
      </c>
      <c r="D22744" s="4">
        <f>IFERROR(__xludf.DUMMYFUNCTION("""COMPUTED_VALUE"""),12.918294)</f>
        <v>12.918294</v>
      </c>
      <c r="E22744" s="4">
        <f>IFERROR(__xludf.DUMMYFUNCTION("""COMPUTED_VALUE"""),80.177872)</f>
        <v>80.177872</v>
      </c>
      <c r="F22744" s="4">
        <f>IFERROR(__xludf.DUMMYFUNCTION("""COMPUTED_VALUE"""),3143.0)</f>
        <v>3143</v>
      </c>
      <c r="G22744" s="4">
        <f>IFERROR(__xludf.DUMMYFUNCTION("""COMPUTED_VALUE"""),34.0)</f>
        <v>34</v>
      </c>
      <c r="H22744" s="4"/>
      <c r="I22744" s="4"/>
    </row>
    <row r="22745">
      <c r="A22745" s="4" t="str">
        <f>IFERROR(__xludf.DUMMYFUNCTION("""COMPUTED_VALUE"""),"cas_hmw")</f>
        <v>cas_hmw</v>
      </c>
      <c r="B22745" s="5">
        <f>IFERROR(__xludf.DUMMYFUNCTION("""COMPUTED_VALUE"""),44790.0)</f>
        <v>44790</v>
      </c>
      <c r="C22745" s="6">
        <f>IFERROR(__xludf.DUMMYFUNCTION("""COMPUTED_VALUE"""),0.7087384259248211)</f>
        <v>0.7087384259</v>
      </c>
      <c r="D22745" s="4">
        <f>IFERROR(__xludf.DUMMYFUNCTION("""COMPUTED_VALUE"""),12.919883)</f>
        <v>12.919883</v>
      </c>
      <c r="E22745" s="4">
        <f>IFERROR(__xludf.DUMMYFUNCTION("""COMPUTED_VALUE"""),80.182442)</f>
        <v>80.182442</v>
      </c>
      <c r="F22745" s="4">
        <f>IFERROR(__xludf.DUMMYFUNCTION("""COMPUTED_VALUE"""),3143.0)</f>
        <v>3143</v>
      </c>
      <c r="G22745" s="4">
        <f>IFERROR(__xludf.DUMMYFUNCTION("""COMPUTED_VALUE"""),17.0)</f>
        <v>17</v>
      </c>
      <c r="H22745" s="4"/>
      <c r="I22745" s="4"/>
    </row>
    <row r="22746">
      <c r="A22746" s="4" t="str">
        <f>IFERROR(__xludf.DUMMYFUNCTION("""COMPUTED_VALUE"""),"cas_hmw")</f>
        <v>cas_hmw</v>
      </c>
      <c r="B22746" s="5">
        <f>IFERROR(__xludf.DUMMYFUNCTION("""COMPUTED_VALUE"""),44790.0)</f>
        <v>44790</v>
      </c>
      <c r="C22746" s="6">
        <f>IFERROR(__xludf.DUMMYFUNCTION("""COMPUTED_VALUE"""),0.7088194444440887)</f>
        <v>0.7088194444</v>
      </c>
      <c r="D22746" s="4">
        <f>IFERROR(__xludf.DUMMYFUNCTION("""COMPUTED_VALUE"""),12.920007)</f>
        <v>12.920007</v>
      </c>
      <c r="E22746" s="4">
        <f>IFERROR(__xludf.DUMMYFUNCTION("""COMPUTED_VALUE"""),80.183052)</f>
        <v>80.183052</v>
      </c>
      <c r="F22746" s="4">
        <f>IFERROR(__xludf.DUMMYFUNCTION("""COMPUTED_VALUE"""),3143.0)</f>
        <v>3143</v>
      </c>
      <c r="G22746" s="4">
        <f>IFERROR(__xludf.DUMMYFUNCTION("""COMPUTED_VALUE"""),34.0)</f>
        <v>34</v>
      </c>
      <c r="H22746" s="4"/>
      <c r="I22746" s="4"/>
    </row>
    <row r="22747">
      <c r="A22747" s="4" t="str">
        <f>IFERROR(__xludf.DUMMYFUNCTION("""COMPUTED_VALUE"""),"cas_hmw")</f>
        <v>cas_hmw</v>
      </c>
      <c r="B22747" s="5">
        <f>IFERROR(__xludf.DUMMYFUNCTION("""COMPUTED_VALUE"""),44790.0)</f>
        <v>44790</v>
      </c>
      <c r="C22747" s="6">
        <f>IFERROR(__xludf.DUMMYFUNCTION("""COMPUTED_VALUE"""),0.7089467592595611)</f>
        <v>0.7089467593</v>
      </c>
      <c r="D22747" s="4">
        <f>IFERROR(__xludf.DUMMYFUNCTION("""COMPUTED_VALUE"""),12.958742)</f>
        <v>12.958742</v>
      </c>
      <c r="E22747" s="4">
        <f>IFERROR(__xludf.DUMMYFUNCTION("""COMPUTED_VALUE"""),80.144313)</f>
        <v>80.144313</v>
      </c>
      <c r="F22747" s="4">
        <f>IFERROR(__xludf.DUMMYFUNCTION("""COMPUTED_VALUE"""),805.0)</f>
        <v>805</v>
      </c>
      <c r="G22747" s="4">
        <f>IFERROR(__xludf.DUMMYFUNCTION("""COMPUTED_VALUE"""),30.0)</f>
        <v>30</v>
      </c>
      <c r="H22747" s="4"/>
      <c r="I22747" s="4"/>
    </row>
    <row r="22748">
      <c r="A22748" s="4" t="str">
        <f>IFERROR(__xludf.DUMMYFUNCTION("""COMPUTED_VALUE"""),"cas_hmw")</f>
        <v>cas_hmw</v>
      </c>
      <c r="B22748" s="5">
        <f>IFERROR(__xludf.DUMMYFUNCTION("""COMPUTED_VALUE"""),44790.0)</f>
        <v>44790</v>
      </c>
      <c r="C22748" s="6">
        <f>IFERROR(__xludf.DUMMYFUNCTION("""COMPUTED_VALUE"""),0.7103819444455439)</f>
        <v>0.7103819444</v>
      </c>
      <c r="D22748" s="4">
        <f>IFERROR(__xludf.DUMMYFUNCTION("""COMPUTED_VALUE"""),12.966577)</f>
        <v>12.966577</v>
      </c>
      <c r="E22748" s="4">
        <f>IFERROR(__xludf.DUMMYFUNCTION("""COMPUTED_VALUE"""),80.148709)</f>
        <v>80.148709</v>
      </c>
      <c r="F22748" s="4">
        <f>IFERROR(__xludf.DUMMYFUNCTION("""COMPUTED_VALUE"""),805.0)</f>
        <v>805</v>
      </c>
      <c r="G22748" s="4">
        <f>IFERROR(__xludf.DUMMYFUNCTION("""COMPUTED_VALUE"""),53.0)</f>
        <v>53</v>
      </c>
      <c r="H22748" s="4"/>
      <c r="I22748" s="4"/>
    </row>
    <row r="22749">
      <c r="A22749" s="4" t="str">
        <f>IFERROR(__xludf.DUMMYFUNCTION("""COMPUTED_VALUE"""),"cas_hmw")</f>
        <v>cas_hmw</v>
      </c>
      <c r="B22749" s="5">
        <f>IFERROR(__xludf.DUMMYFUNCTION("""COMPUTED_VALUE"""),44790.0)</f>
        <v>44790</v>
      </c>
      <c r="C22749" s="6">
        <f>IFERROR(__xludf.DUMMYFUNCTION("""COMPUTED_VALUE"""),0.710590277776646)</f>
        <v>0.7105902778</v>
      </c>
      <c r="D22749" s="4">
        <f>IFERROR(__xludf.DUMMYFUNCTION("""COMPUTED_VALUE"""),12.927105)</f>
        <v>12.927105</v>
      </c>
      <c r="E22749" s="4">
        <f>IFERROR(__xludf.DUMMYFUNCTION("""COMPUTED_VALUE"""),80.182348)</f>
        <v>80.182348</v>
      </c>
      <c r="F22749" s="4">
        <f>IFERROR(__xludf.DUMMYFUNCTION("""COMPUTED_VALUE"""),3143.0)</f>
        <v>3143</v>
      </c>
      <c r="G22749" s="4">
        <f>IFERROR(__xludf.DUMMYFUNCTION("""COMPUTED_VALUE"""),31.0)</f>
        <v>31</v>
      </c>
      <c r="H22749" s="4"/>
      <c r="I22749" s="4"/>
    </row>
    <row r="22750">
      <c r="A22750" s="4" t="str">
        <f>IFERROR(__xludf.DUMMYFUNCTION("""COMPUTED_VALUE"""),"cas_hmw")</f>
        <v>cas_hmw</v>
      </c>
      <c r="B22750" s="5">
        <f>IFERROR(__xludf.DUMMYFUNCTION("""COMPUTED_VALUE"""),44790.0)</f>
        <v>44790</v>
      </c>
      <c r="C22750" s="6">
        <f>IFERROR(__xludf.DUMMYFUNCTION("""COMPUTED_VALUE"""),0.7114814814813144)</f>
        <v>0.7114814815</v>
      </c>
      <c r="D22750" s="4">
        <f>IFERROR(__xludf.DUMMYFUNCTION("""COMPUTED_VALUE"""),12.961738)</f>
        <v>12.961738</v>
      </c>
      <c r="E22750" s="4">
        <f>IFERROR(__xludf.DUMMYFUNCTION("""COMPUTED_VALUE"""),80.146064)</f>
        <v>80.146064</v>
      </c>
      <c r="F22750" s="4">
        <f>IFERROR(__xludf.DUMMYFUNCTION("""COMPUTED_VALUE"""),5339.0)</f>
        <v>5339</v>
      </c>
      <c r="G22750" s="4">
        <f>IFERROR(__xludf.DUMMYFUNCTION("""COMPUTED_VALUE"""),34.0)</f>
        <v>34</v>
      </c>
      <c r="H22750" s="4"/>
      <c r="I22750" s="4"/>
    </row>
    <row r="22751">
      <c r="A22751" s="4" t="str">
        <f>IFERROR(__xludf.DUMMYFUNCTION("""COMPUTED_VALUE"""),"cas_hmw")</f>
        <v>cas_hmw</v>
      </c>
      <c r="B22751" s="5">
        <f>IFERROR(__xludf.DUMMYFUNCTION("""COMPUTED_VALUE"""),44790.0)</f>
        <v>44790</v>
      </c>
      <c r="C22751" s="6">
        <f>IFERROR(__xludf.DUMMYFUNCTION("""COMPUTED_VALUE"""),0.7117939814816054)</f>
        <v>0.7117939815</v>
      </c>
      <c r="D22751" s="4">
        <f>IFERROR(__xludf.DUMMYFUNCTION("""COMPUTED_VALUE"""),12.963293)</f>
        <v>12.963293</v>
      </c>
      <c r="E22751" s="4">
        <f>IFERROR(__xludf.DUMMYFUNCTION("""COMPUTED_VALUE"""),80.146937)</f>
        <v>80.146937</v>
      </c>
      <c r="F22751" s="4">
        <f>IFERROR(__xludf.DUMMYFUNCTION("""COMPUTED_VALUE"""),5339.0)</f>
        <v>5339</v>
      </c>
      <c r="G22751" s="4">
        <f>IFERROR(__xludf.DUMMYFUNCTION("""COMPUTED_VALUE"""),43.0)</f>
        <v>43</v>
      </c>
      <c r="H22751" s="4"/>
      <c r="I22751" s="4"/>
    </row>
    <row r="22752">
      <c r="A22752" s="4" t="str">
        <f>IFERROR(__xludf.DUMMYFUNCTION("""COMPUTED_VALUE"""),"cas_hmw")</f>
        <v>cas_hmw</v>
      </c>
      <c r="B22752" s="5">
        <f>IFERROR(__xludf.DUMMYFUNCTION("""COMPUTED_VALUE"""),44790.0)</f>
        <v>44790</v>
      </c>
      <c r="C22752" s="6">
        <f>IFERROR(__xludf.DUMMYFUNCTION("""COMPUTED_VALUE"""),0.7118750000008731)</f>
        <v>0.711875</v>
      </c>
      <c r="D22752" s="4">
        <f>IFERROR(__xludf.DUMMYFUNCTION("""COMPUTED_VALUE"""),12.724104)</f>
        <v>12.724104</v>
      </c>
      <c r="E22752" s="4">
        <f>IFERROR(__xludf.DUMMYFUNCTION("""COMPUTED_VALUE"""),79.982172)</f>
        <v>79.982172</v>
      </c>
      <c r="F22752" s="4">
        <f>IFERROR(__xludf.DUMMYFUNCTION("""COMPUTED_VALUE"""),2846.0)</f>
        <v>2846</v>
      </c>
      <c r="G22752" s="4">
        <f>IFERROR(__xludf.DUMMYFUNCTION("""COMPUTED_VALUE"""),0.0)</f>
        <v>0</v>
      </c>
      <c r="H22752" s="4"/>
      <c r="I22752" s="4"/>
    </row>
    <row r="22753">
      <c r="A22753" s="4" t="str">
        <f>IFERROR(__xludf.DUMMYFUNCTION("""COMPUTED_VALUE"""),"cas_hmw")</f>
        <v>cas_hmw</v>
      </c>
      <c r="B22753" s="5">
        <f>IFERROR(__xludf.DUMMYFUNCTION("""COMPUTED_VALUE"""),44790.0)</f>
        <v>44790</v>
      </c>
      <c r="C22753" s="6">
        <f>IFERROR(__xludf.DUMMYFUNCTION("""COMPUTED_VALUE"""),0.7129050925941556)</f>
        <v>0.7129050926</v>
      </c>
      <c r="D22753" s="4">
        <f>IFERROR(__xludf.DUMMYFUNCTION("""COMPUTED_VALUE"""),12.974517)</f>
        <v>12.974517</v>
      </c>
      <c r="E22753" s="4">
        <f>IFERROR(__xludf.DUMMYFUNCTION("""COMPUTED_VALUE"""),80.154827)</f>
        <v>80.154827</v>
      </c>
      <c r="F22753" s="4">
        <f>IFERROR(__xludf.DUMMYFUNCTION("""COMPUTED_VALUE"""),5339.0)</f>
        <v>5339</v>
      </c>
      <c r="G22753" s="4">
        <f>IFERROR(__xludf.DUMMYFUNCTION("""COMPUTED_VALUE"""),64.0)</f>
        <v>64</v>
      </c>
      <c r="H22753" s="4"/>
      <c r="I22753" s="4"/>
    </row>
    <row r="22754">
      <c r="A22754" s="4" t="str">
        <f>IFERROR(__xludf.DUMMYFUNCTION("""COMPUTED_VALUE"""),"cas_hmw")</f>
        <v>cas_hmw</v>
      </c>
      <c r="B22754" s="5">
        <f>IFERROR(__xludf.DUMMYFUNCTION("""COMPUTED_VALUE"""),44790.0)</f>
        <v>44790</v>
      </c>
      <c r="C22754" s="6">
        <f>IFERROR(__xludf.DUMMYFUNCTION("""COMPUTED_VALUE"""),0.7129861111097853)</f>
        <v>0.7129861111</v>
      </c>
      <c r="D22754" s="4">
        <f>IFERROR(__xludf.DUMMYFUNCTION("""COMPUTED_VALUE"""),12.975302)</f>
        <v>12.975302</v>
      </c>
      <c r="E22754" s="4">
        <f>IFERROR(__xludf.DUMMYFUNCTION("""COMPUTED_VALUE"""),80.155891)</f>
        <v>80.155891</v>
      </c>
      <c r="F22754" s="4">
        <f>IFERROR(__xludf.DUMMYFUNCTION("""COMPUTED_VALUE"""),5339.0)</f>
        <v>5339</v>
      </c>
      <c r="G22754" s="4">
        <f>IFERROR(__xludf.DUMMYFUNCTION("""COMPUTED_VALUE"""),43.0)</f>
        <v>43</v>
      </c>
      <c r="H22754" s="4"/>
      <c r="I22754" s="4"/>
    </row>
    <row r="22755">
      <c r="A22755" s="4" t="str">
        <f>IFERROR(__xludf.DUMMYFUNCTION("""COMPUTED_VALUE"""),"cas_hmw")</f>
        <v>cas_hmw</v>
      </c>
      <c r="B22755" s="5">
        <f>IFERROR(__xludf.DUMMYFUNCTION("""COMPUTED_VALUE"""),44790.0)</f>
        <v>44790</v>
      </c>
      <c r="C22755" s="6">
        <f>IFERROR(__xludf.DUMMYFUNCTION("""COMPUTED_VALUE"""),0.7132986111100763)</f>
        <v>0.7132986111</v>
      </c>
      <c r="D22755" s="4">
        <f>IFERROR(__xludf.DUMMYFUNCTION("""COMPUTED_VALUE"""),12.987286)</f>
        <v>12.987286</v>
      </c>
      <c r="E22755" s="4">
        <f>IFERROR(__xludf.DUMMYFUNCTION("""COMPUTED_VALUE"""),80.175821)</f>
        <v>80.175821</v>
      </c>
      <c r="F22755" s="4">
        <f>IFERROR(__xludf.DUMMYFUNCTION("""COMPUTED_VALUE"""),805.0)</f>
        <v>805</v>
      </c>
      <c r="G22755" s="4">
        <f>IFERROR(__xludf.DUMMYFUNCTION("""COMPUTED_VALUE"""),39.0)</f>
        <v>39</v>
      </c>
      <c r="H22755" s="4"/>
      <c r="I22755" s="4"/>
    </row>
    <row r="22756">
      <c r="A22756" s="4" t="str">
        <f>IFERROR(__xludf.DUMMYFUNCTION("""COMPUTED_VALUE"""),"cas_hmw")</f>
        <v>cas_hmw</v>
      </c>
      <c r="B22756" s="5">
        <f>IFERROR(__xludf.DUMMYFUNCTION("""COMPUTED_VALUE"""),44790.0)</f>
        <v>44790</v>
      </c>
      <c r="C22756" s="6">
        <f>IFERROR(__xludf.DUMMYFUNCTION("""COMPUTED_VALUE"""),0.7133912037024857)</f>
        <v>0.7133912037</v>
      </c>
      <c r="D22756" s="4">
        <f>IFERROR(__xludf.DUMMYFUNCTION("""COMPUTED_VALUE"""),12.987286)</f>
        <v>12.987286</v>
      </c>
      <c r="E22756" s="4">
        <f>IFERROR(__xludf.DUMMYFUNCTION("""COMPUTED_VALUE"""),80.175821)</f>
        <v>80.175821</v>
      </c>
      <c r="F22756" s="4">
        <f>IFERROR(__xludf.DUMMYFUNCTION("""COMPUTED_VALUE"""),805.0)</f>
        <v>805</v>
      </c>
      <c r="G22756" s="4">
        <f>IFERROR(__xludf.DUMMYFUNCTION("""COMPUTED_VALUE"""),39.0)</f>
        <v>39</v>
      </c>
      <c r="H22756" s="4"/>
      <c r="I22756" s="4"/>
    </row>
    <row r="22757">
      <c r="A22757" s="4" t="str">
        <f>IFERROR(__xludf.DUMMYFUNCTION("""COMPUTED_VALUE"""),"cas_hmw")</f>
        <v>cas_hmw</v>
      </c>
      <c r="B22757" s="5">
        <f>IFERROR(__xludf.DUMMYFUNCTION("""COMPUTED_VALUE"""),44790.0)</f>
        <v>44790</v>
      </c>
      <c r="C22757" s="6">
        <f>IFERROR(__xludf.DUMMYFUNCTION("""COMPUTED_VALUE"""),0.7135416666678793)</f>
        <v>0.7135416667</v>
      </c>
      <c r="D22757" s="4">
        <f>IFERROR(__xludf.DUMMYFUNCTION("""COMPUTED_VALUE"""),12.988036)</f>
        <v>12.988036</v>
      </c>
      <c r="E22757" s="4">
        <f>IFERROR(__xludf.DUMMYFUNCTION("""COMPUTED_VALUE"""),80.176853)</f>
        <v>80.176853</v>
      </c>
      <c r="F22757" s="4">
        <f>IFERROR(__xludf.DUMMYFUNCTION("""COMPUTED_VALUE"""),805.0)</f>
        <v>805</v>
      </c>
      <c r="G22757" s="4">
        <f>IFERROR(__xludf.DUMMYFUNCTION("""COMPUTED_VALUE"""),37.0)</f>
        <v>37</v>
      </c>
      <c r="H22757" s="4"/>
      <c r="I22757" s="4"/>
    </row>
    <row r="22758">
      <c r="A22758" s="4" t="str">
        <f>IFERROR(__xludf.DUMMYFUNCTION("""COMPUTED_VALUE"""),"cas_hmw")</f>
        <v>cas_hmw</v>
      </c>
      <c r="B22758" s="5">
        <f>IFERROR(__xludf.DUMMYFUNCTION("""COMPUTED_VALUE"""),44790.0)</f>
        <v>44790</v>
      </c>
      <c r="C22758" s="6">
        <f>IFERROR(__xludf.DUMMYFUNCTION("""COMPUTED_VALUE"""),0.7145601851843821)</f>
        <v>0.7145601852</v>
      </c>
      <c r="D22758" s="4">
        <f>IFERROR(__xludf.DUMMYFUNCTION("""COMPUTED_VALUE"""),12.992503)</f>
        <v>12.992503</v>
      </c>
      <c r="E22758" s="4">
        <f>IFERROR(__xludf.DUMMYFUNCTION("""COMPUTED_VALUE"""),80.182704)</f>
        <v>80.182704</v>
      </c>
      <c r="F22758" s="4">
        <f>IFERROR(__xludf.DUMMYFUNCTION("""COMPUTED_VALUE"""),805.0)</f>
        <v>805</v>
      </c>
      <c r="G22758" s="4">
        <f>IFERROR(__xludf.DUMMYFUNCTION("""COMPUTED_VALUE"""),57.0)</f>
        <v>57</v>
      </c>
      <c r="H22758" s="4"/>
      <c r="I22758" s="4"/>
    </row>
    <row r="22759">
      <c r="A22759" s="4" t="str">
        <f>IFERROR(__xludf.DUMMYFUNCTION("""COMPUTED_VALUE"""),"cas_hmw")</f>
        <v>cas_hmw</v>
      </c>
      <c r="B22759" s="5">
        <f>IFERROR(__xludf.DUMMYFUNCTION("""COMPUTED_VALUE"""),44790.0)</f>
        <v>44790</v>
      </c>
      <c r="C22759" s="6">
        <f>IFERROR(__xludf.DUMMYFUNCTION("""COMPUTED_VALUE"""),0.7145949074074451)</f>
        <v>0.7145949074</v>
      </c>
      <c r="D22759" s="4">
        <f>IFERROR(__xludf.DUMMYFUNCTION("""COMPUTED_VALUE"""),12.985268)</f>
        <v>12.985268</v>
      </c>
      <c r="E22759" s="4">
        <f>IFERROR(__xludf.DUMMYFUNCTION("""COMPUTED_VALUE"""),80.172917)</f>
        <v>80.172917</v>
      </c>
      <c r="F22759" s="4">
        <f>IFERROR(__xludf.DUMMYFUNCTION("""COMPUTED_VALUE"""),5339.0)</f>
        <v>5339</v>
      </c>
      <c r="G22759" s="4">
        <f>IFERROR(__xludf.DUMMYFUNCTION("""COMPUTED_VALUE"""),38.0)</f>
        <v>38</v>
      </c>
      <c r="H22759" s="4"/>
      <c r="I22759" s="4"/>
    </row>
    <row r="22760">
      <c r="A22760" s="4" t="str">
        <f>IFERROR(__xludf.DUMMYFUNCTION("""COMPUTED_VALUE"""),"cas_hmw")</f>
        <v>cas_hmw</v>
      </c>
      <c r="B22760" s="5">
        <f>IFERROR(__xludf.DUMMYFUNCTION("""COMPUTED_VALUE"""),44790.0)</f>
        <v>44790</v>
      </c>
      <c r="C22760" s="6">
        <f>IFERROR(__xludf.DUMMYFUNCTION("""COMPUTED_VALUE"""),0.7149189814808778)</f>
        <v>0.7149189815</v>
      </c>
      <c r="D22760" s="4">
        <f>IFERROR(__xludf.DUMMYFUNCTION("""COMPUTED_VALUE"""),12.993774)</f>
        <v>12.993774</v>
      </c>
      <c r="E22760" s="4">
        <f>IFERROR(__xludf.DUMMYFUNCTION("""COMPUTED_VALUE"""),80.184886)</f>
        <v>80.184886</v>
      </c>
      <c r="F22760" s="4">
        <f>IFERROR(__xludf.DUMMYFUNCTION("""COMPUTED_VALUE"""),805.0)</f>
        <v>805</v>
      </c>
      <c r="G22760" s="4">
        <f>IFERROR(__xludf.DUMMYFUNCTION("""COMPUTED_VALUE"""),24.0)</f>
        <v>24</v>
      </c>
      <c r="H22760" s="4"/>
      <c r="I22760" s="4"/>
    </row>
    <row r="22761">
      <c r="A22761" s="4" t="str">
        <f>IFERROR(__xludf.DUMMYFUNCTION("""COMPUTED_VALUE"""),"cas_hmw")</f>
        <v>cas_hmw</v>
      </c>
      <c r="B22761" s="5">
        <f>IFERROR(__xludf.DUMMYFUNCTION("""COMPUTED_VALUE"""),44790.0)</f>
        <v>44790</v>
      </c>
      <c r="C22761" s="6">
        <f>IFERROR(__xludf.DUMMYFUNCTION("""COMPUTED_VALUE"""),0.7149421296307992)</f>
        <v>0.7149421296</v>
      </c>
      <c r="D22761" s="4">
        <f>IFERROR(__xludf.DUMMYFUNCTION("""COMPUTED_VALUE"""),12.99405)</f>
        <v>12.99405</v>
      </c>
      <c r="E22761" s="4">
        <f>IFERROR(__xludf.DUMMYFUNCTION("""COMPUTED_VALUE"""),80.18541)</f>
        <v>80.18541</v>
      </c>
      <c r="F22761" s="4">
        <f>IFERROR(__xludf.DUMMYFUNCTION("""COMPUTED_VALUE"""),805.0)</f>
        <v>805</v>
      </c>
      <c r="G22761" s="4">
        <f>IFERROR(__xludf.DUMMYFUNCTION("""COMPUTED_VALUE"""),27.0)</f>
        <v>27</v>
      </c>
      <c r="H22761" s="4"/>
      <c r="I22761" s="4"/>
    </row>
    <row r="22762">
      <c r="A22762" s="4" t="str">
        <f>IFERROR(__xludf.DUMMYFUNCTION("""COMPUTED_VALUE"""),"cas_hmw")</f>
        <v>cas_hmw</v>
      </c>
      <c r="B22762" s="5">
        <f>IFERROR(__xludf.DUMMYFUNCTION("""COMPUTED_VALUE"""),44790.0)</f>
        <v>44790</v>
      </c>
      <c r="C22762" s="6">
        <f>IFERROR(__xludf.DUMMYFUNCTION("""COMPUTED_VALUE"""),0.7150462962963502)</f>
        <v>0.7150462963</v>
      </c>
      <c r="D22762" s="4">
        <f>IFERROR(__xludf.DUMMYFUNCTION("""COMPUTED_VALUE"""),12.99405)</f>
        <v>12.99405</v>
      </c>
      <c r="E22762" s="4">
        <f>IFERROR(__xludf.DUMMYFUNCTION("""COMPUTED_VALUE"""),80.18541)</f>
        <v>80.18541</v>
      </c>
      <c r="F22762" s="4">
        <f>IFERROR(__xludf.DUMMYFUNCTION("""COMPUTED_VALUE"""),805.0)</f>
        <v>805</v>
      </c>
      <c r="G22762" s="4">
        <f>IFERROR(__xludf.DUMMYFUNCTION("""COMPUTED_VALUE"""),27.0)</f>
        <v>27</v>
      </c>
      <c r="H22762" s="4"/>
      <c r="I22762" s="4"/>
    </row>
    <row r="22763">
      <c r="A22763" s="4" t="str">
        <f>IFERROR(__xludf.DUMMYFUNCTION("""COMPUTED_VALUE"""),"cas_hmw")</f>
        <v>cas_hmw</v>
      </c>
      <c r="B22763" s="5">
        <f>IFERROR(__xludf.DUMMYFUNCTION("""COMPUTED_VALUE"""),44790.0)</f>
        <v>44790</v>
      </c>
      <c r="C22763" s="6">
        <f>IFERROR(__xludf.DUMMYFUNCTION("""COMPUTED_VALUE"""),0.7150810185194132)</f>
        <v>0.7150810185</v>
      </c>
      <c r="D22763" s="4">
        <f>IFERROR(__xludf.DUMMYFUNCTION("""COMPUTED_VALUE"""),12.994514)</f>
        <v>12.994514</v>
      </c>
      <c r="E22763" s="4">
        <f>IFERROR(__xludf.DUMMYFUNCTION("""COMPUTED_VALUE"""),80.186241)</f>
        <v>80.186241</v>
      </c>
      <c r="F22763" s="4">
        <f>IFERROR(__xludf.DUMMYFUNCTION("""COMPUTED_VALUE"""),805.0)</f>
        <v>805</v>
      </c>
      <c r="G22763" s="4">
        <f>IFERROR(__xludf.DUMMYFUNCTION("""COMPUTED_VALUE"""),43.0)</f>
        <v>43</v>
      </c>
      <c r="H22763" s="4"/>
      <c r="I22763" s="4"/>
    </row>
    <row r="22764">
      <c r="A22764" s="4" t="str">
        <f>IFERROR(__xludf.DUMMYFUNCTION("""COMPUTED_VALUE"""),"cas_hmw")</f>
        <v>cas_hmw</v>
      </c>
      <c r="B22764" s="5">
        <f>IFERROR(__xludf.DUMMYFUNCTION("""COMPUTED_VALUE"""),44790.0)</f>
        <v>44790</v>
      </c>
      <c r="C22764" s="6">
        <f>IFERROR(__xludf.DUMMYFUNCTION("""COMPUTED_VALUE"""),0.7152777777773736)</f>
        <v>0.7152777778</v>
      </c>
      <c r="D22764" s="4">
        <f>IFERROR(__xludf.DUMMYFUNCTION("""COMPUTED_VALUE"""),12.995096)</f>
        <v>12.995096</v>
      </c>
      <c r="E22764" s="4">
        <f>IFERROR(__xludf.DUMMYFUNCTION("""COMPUTED_VALUE"""),80.187328)</f>
        <v>80.187328</v>
      </c>
      <c r="F22764" s="4">
        <f>IFERROR(__xludf.DUMMYFUNCTION("""COMPUTED_VALUE"""),805.0)</f>
        <v>805</v>
      </c>
      <c r="G22764" s="4">
        <f>IFERROR(__xludf.DUMMYFUNCTION("""COMPUTED_VALUE"""),47.0)</f>
        <v>47</v>
      </c>
      <c r="H22764" s="4"/>
      <c r="I22764" s="4"/>
    </row>
    <row r="22765">
      <c r="A22765" s="4" t="str">
        <f>IFERROR(__xludf.DUMMYFUNCTION("""COMPUTED_VALUE"""),"cas_hmw")</f>
        <v>cas_hmw</v>
      </c>
      <c r="B22765" s="5">
        <f>IFERROR(__xludf.DUMMYFUNCTION("""COMPUTED_VALUE"""),44790.0)</f>
        <v>44790</v>
      </c>
      <c r="C22765" s="6">
        <f>IFERROR(__xludf.DUMMYFUNCTION("""COMPUTED_VALUE"""),0.7154976851852552)</f>
        <v>0.7154976852</v>
      </c>
      <c r="D22765" s="4">
        <f>IFERROR(__xludf.DUMMYFUNCTION("""COMPUTED_VALUE"""),12.995792)</f>
        <v>12.995792</v>
      </c>
      <c r="E22765" s="4">
        <f>IFERROR(__xludf.DUMMYFUNCTION("""COMPUTED_VALUE"""),80.188697)</f>
        <v>80.188697</v>
      </c>
      <c r="F22765" s="4">
        <f>IFERROR(__xludf.DUMMYFUNCTION("""COMPUTED_VALUE"""),805.0)</f>
        <v>805</v>
      </c>
      <c r="G22765" s="4">
        <f>IFERROR(__xludf.DUMMYFUNCTION("""COMPUTED_VALUE"""),18.0)</f>
        <v>18</v>
      </c>
      <c r="H22765" s="4"/>
      <c r="I22765" s="4"/>
    </row>
    <row r="22766">
      <c r="A22766" s="4" t="str">
        <f>IFERROR(__xludf.DUMMYFUNCTION("""COMPUTED_VALUE"""),"cas_hmw")</f>
        <v>cas_hmw</v>
      </c>
      <c r="B22766" s="5">
        <f>IFERROR(__xludf.DUMMYFUNCTION("""COMPUTED_VALUE"""),44790.0)</f>
        <v>44790</v>
      </c>
      <c r="C22766" s="6">
        <f>IFERROR(__xludf.DUMMYFUNCTION("""COMPUTED_VALUE"""),0.7155092592583969)</f>
        <v>0.7155092593</v>
      </c>
      <c r="D22766" s="4">
        <f>IFERROR(__xludf.DUMMYFUNCTION("""COMPUTED_VALUE"""),12.995792)</f>
        <v>12.995792</v>
      </c>
      <c r="E22766" s="4">
        <f>IFERROR(__xludf.DUMMYFUNCTION("""COMPUTED_VALUE"""),80.188697)</f>
        <v>80.188697</v>
      </c>
      <c r="F22766" s="4">
        <f>IFERROR(__xludf.DUMMYFUNCTION("""COMPUTED_VALUE"""),805.0)</f>
        <v>805</v>
      </c>
      <c r="G22766" s="4">
        <f>IFERROR(__xludf.DUMMYFUNCTION("""COMPUTED_VALUE"""),18.0)</f>
        <v>18</v>
      </c>
      <c r="H22766" s="4"/>
      <c r="I22766" s="4"/>
    </row>
    <row r="22767">
      <c r="A22767" s="4" t="str">
        <f>IFERROR(__xludf.DUMMYFUNCTION("""COMPUTED_VALUE"""),"cas_hmw")</f>
        <v>cas_hmw</v>
      </c>
      <c r="B22767" s="5">
        <f>IFERROR(__xludf.DUMMYFUNCTION("""COMPUTED_VALUE"""),44790.0)</f>
        <v>44790</v>
      </c>
      <c r="C22767" s="6">
        <f>IFERROR(__xludf.DUMMYFUNCTION("""COMPUTED_VALUE"""),0.7155208333315386)</f>
        <v>0.7155208333</v>
      </c>
      <c r="D22767" s="4">
        <f>IFERROR(__xludf.DUMMYFUNCTION("""COMPUTED_VALUE"""),12.995792)</f>
        <v>12.995792</v>
      </c>
      <c r="E22767" s="4">
        <f>IFERROR(__xludf.DUMMYFUNCTION("""COMPUTED_VALUE"""),80.188697)</f>
        <v>80.188697</v>
      </c>
      <c r="F22767" s="4">
        <f>IFERROR(__xludf.DUMMYFUNCTION("""COMPUTED_VALUE"""),805.0)</f>
        <v>805</v>
      </c>
      <c r="G22767" s="4">
        <f>IFERROR(__xludf.DUMMYFUNCTION("""COMPUTED_VALUE"""),18.0)</f>
        <v>18</v>
      </c>
      <c r="H22767" s="4"/>
      <c r="I22767" s="4"/>
    </row>
    <row r="22768">
      <c r="A22768" s="4" t="str">
        <f>IFERROR(__xludf.DUMMYFUNCTION("""COMPUTED_VALUE"""),"cas_hmw")</f>
        <v>cas_hmw</v>
      </c>
      <c r="B22768" s="5">
        <f>IFERROR(__xludf.DUMMYFUNCTION("""COMPUTED_VALUE"""),44790.0)</f>
        <v>44790</v>
      </c>
      <c r="C22768" s="6">
        <f>IFERROR(__xludf.DUMMYFUNCTION("""COMPUTED_VALUE"""),0.7155208333315386)</f>
        <v>0.7155208333</v>
      </c>
      <c r="D22768" s="4">
        <f>IFERROR(__xludf.DUMMYFUNCTION("""COMPUTED_VALUE"""),12.995792)</f>
        <v>12.995792</v>
      </c>
      <c r="E22768" s="4">
        <f>IFERROR(__xludf.DUMMYFUNCTION("""COMPUTED_VALUE"""),80.188697)</f>
        <v>80.188697</v>
      </c>
      <c r="F22768" s="4">
        <f>IFERROR(__xludf.DUMMYFUNCTION("""COMPUTED_VALUE"""),805.0)</f>
        <v>805</v>
      </c>
      <c r="G22768" s="4">
        <f>IFERROR(__xludf.DUMMYFUNCTION("""COMPUTED_VALUE"""),18.0)</f>
        <v>18</v>
      </c>
      <c r="H22768" s="4"/>
      <c r="I22768" s="4"/>
    </row>
    <row r="22769">
      <c r="A22769" s="4" t="str">
        <f>IFERROR(__xludf.DUMMYFUNCTION("""COMPUTED_VALUE"""),"cas_hmw")</f>
        <v>cas_hmw</v>
      </c>
      <c r="B22769" s="5">
        <f>IFERROR(__xludf.DUMMYFUNCTION("""COMPUTED_VALUE"""),44790.0)</f>
        <v>44790</v>
      </c>
      <c r="C22769" s="6">
        <f>IFERROR(__xludf.DUMMYFUNCTION("""COMPUTED_VALUE"""),0.7155671296313812)</f>
        <v>0.7155671296</v>
      </c>
      <c r="D22769" s="4">
        <f>IFERROR(__xludf.DUMMYFUNCTION("""COMPUTED_VALUE"""),12.996105)</f>
        <v>12.996105</v>
      </c>
      <c r="E22769" s="4">
        <f>IFERROR(__xludf.DUMMYFUNCTION("""COMPUTED_VALUE"""),80.189164)</f>
        <v>80.189164</v>
      </c>
      <c r="F22769" s="4">
        <f>IFERROR(__xludf.DUMMYFUNCTION("""COMPUTED_VALUE"""),805.0)</f>
        <v>805</v>
      </c>
      <c r="G22769" s="4">
        <f>IFERROR(__xludf.DUMMYFUNCTION("""COMPUTED_VALUE"""),27.0)</f>
        <v>27</v>
      </c>
      <c r="H22769" s="4"/>
      <c r="I22769" s="4"/>
    </row>
    <row r="22770">
      <c r="A22770" s="4" t="str">
        <f>IFERROR(__xludf.DUMMYFUNCTION("""COMPUTED_VALUE"""),"cas_hmw")</f>
        <v>cas_hmw</v>
      </c>
      <c r="B22770" s="5">
        <f>IFERROR(__xludf.DUMMYFUNCTION("""COMPUTED_VALUE"""),44790.0)</f>
        <v>44790</v>
      </c>
      <c r="C22770" s="6">
        <f>IFERROR(__xludf.DUMMYFUNCTION("""COMPUTED_VALUE"""),0.7156481481470109)</f>
        <v>0.7156481481</v>
      </c>
      <c r="D22770" s="4">
        <f>IFERROR(__xludf.DUMMYFUNCTION("""COMPUTED_VALUE"""),12.996572)</f>
        <v>12.996572</v>
      </c>
      <c r="E22770" s="4">
        <f>IFERROR(__xludf.DUMMYFUNCTION("""COMPUTED_VALUE"""),80.189768)</f>
        <v>80.189768</v>
      </c>
      <c r="F22770" s="4">
        <f>IFERROR(__xludf.DUMMYFUNCTION("""COMPUTED_VALUE"""),805.0)</f>
        <v>805</v>
      </c>
      <c r="G22770" s="4">
        <f>IFERROR(__xludf.DUMMYFUNCTION("""COMPUTED_VALUE"""),32.0)</f>
        <v>32</v>
      </c>
      <c r="H22770" s="4"/>
      <c r="I22770" s="4"/>
    </row>
    <row r="22771">
      <c r="A22771" s="4" t="str">
        <f>IFERROR(__xludf.DUMMYFUNCTION("""COMPUTED_VALUE"""),"cas_hmw")</f>
        <v>cas_hmw</v>
      </c>
      <c r="B22771" s="5">
        <f>IFERROR(__xludf.DUMMYFUNCTION("""COMPUTED_VALUE"""),44790.0)</f>
        <v>44790</v>
      </c>
      <c r="C22771" s="6">
        <f>IFERROR(__xludf.DUMMYFUNCTION("""COMPUTED_VALUE"""),0.7157291666662786)</f>
        <v>0.7157291667</v>
      </c>
      <c r="D22771" s="4">
        <f>IFERROR(__xludf.DUMMYFUNCTION("""COMPUTED_VALUE"""),12.996572)</f>
        <v>12.996572</v>
      </c>
      <c r="E22771" s="4">
        <f>IFERROR(__xludf.DUMMYFUNCTION("""COMPUTED_VALUE"""),80.189768)</f>
        <v>80.189768</v>
      </c>
      <c r="F22771" s="4">
        <f>IFERROR(__xludf.DUMMYFUNCTION("""COMPUTED_VALUE"""),805.0)</f>
        <v>805</v>
      </c>
      <c r="G22771" s="4">
        <f>IFERROR(__xludf.DUMMYFUNCTION("""COMPUTED_VALUE"""),32.0)</f>
        <v>32</v>
      </c>
      <c r="H22771" s="4"/>
      <c r="I22771" s="4"/>
    </row>
    <row r="22772">
      <c r="A22772" s="4" t="str">
        <f>IFERROR(__xludf.DUMMYFUNCTION("""COMPUTED_VALUE"""),"cas_hmw")</f>
        <v>cas_hmw</v>
      </c>
      <c r="B22772" s="5">
        <f>IFERROR(__xludf.DUMMYFUNCTION("""COMPUTED_VALUE"""),44790.0)</f>
        <v>44790</v>
      </c>
      <c r="C22772" s="6">
        <f>IFERROR(__xludf.DUMMYFUNCTION("""COMPUTED_VALUE"""),0.715891203704814)</f>
        <v>0.7158912037</v>
      </c>
      <c r="D22772" s="4">
        <f>IFERROR(__xludf.DUMMYFUNCTION("""COMPUTED_VALUE"""),12.997391)</f>
        <v>12.997391</v>
      </c>
      <c r="E22772" s="4">
        <f>IFERROR(__xludf.DUMMYFUNCTION("""COMPUTED_VALUE"""),80.190736)</f>
        <v>80.190736</v>
      </c>
      <c r="F22772" s="4">
        <f>IFERROR(__xludf.DUMMYFUNCTION("""COMPUTED_VALUE"""),805.0)</f>
        <v>805</v>
      </c>
      <c r="G22772" s="4">
        <f>IFERROR(__xludf.DUMMYFUNCTION("""COMPUTED_VALUE"""),42.0)</f>
        <v>42</v>
      </c>
      <c r="H22772" s="4"/>
      <c r="I22772" s="4"/>
    </row>
    <row r="22773">
      <c r="A22773" s="4" t="str">
        <f>IFERROR(__xludf.DUMMYFUNCTION("""COMPUTED_VALUE"""),"cas_hmw")</f>
        <v>cas_hmw</v>
      </c>
      <c r="B22773" s="5">
        <f>IFERROR(__xludf.DUMMYFUNCTION("""COMPUTED_VALUE"""),44790.0)</f>
        <v>44790</v>
      </c>
      <c r="C22773" s="6">
        <f>IFERROR(__xludf.DUMMYFUNCTION("""COMPUTED_VALUE"""),0.715925925924239)</f>
        <v>0.7159259259</v>
      </c>
      <c r="D22773" s="4">
        <f>IFERROR(__xludf.DUMMYFUNCTION("""COMPUTED_VALUE"""),12.997391)</f>
        <v>12.997391</v>
      </c>
      <c r="E22773" s="4">
        <f>IFERROR(__xludf.DUMMYFUNCTION("""COMPUTED_VALUE"""),80.190736)</f>
        <v>80.190736</v>
      </c>
      <c r="F22773" s="4">
        <f>IFERROR(__xludf.DUMMYFUNCTION("""COMPUTED_VALUE"""),805.0)</f>
        <v>805</v>
      </c>
      <c r="G22773" s="4">
        <f>IFERROR(__xludf.DUMMYFUNCTION("""COMPUTED_VALUE"""),42.0)</f>
        <v>42</v>
      </c>
      <c r="H22773" s="4"/>
      <c r="I22773" s="4"/>
    </row>
    <row r="22774">
      <c r="A22774" s="4" t="str">
        <f>IFERROR(__xludf.DUMMYFUNCTION("""COMPUTED_VALUE"""),"cas_hmw")</f>
        <v>cas_hmw</v>
      </c>
      <c r="B22774" s="5">
        <f>IFERROR(__xludf.DUMMYFUNCTION("""COMPUTED_VALUE"""),44790.0)</f>
        <v>44790</v>
      </c>
      <c r="C22774" s="6">
        <f>IFERROR(__xludf.DUMMYFUNCTION("""COMPUTED_VALUE"""),0.7167013888902147)</f>
        <v>0.7167013889</v>
      </c>
      <c r="D22774" s="4">
        <f>IFERROR(__xludf.DUMMYFUNCTION("""COMPUTED_VALUE"""),13.001364)</f>
        <v>13.001364</v>
      </c>
      <c r="E22774" s="4">
        <f>IFERROR(__xludf.DUMMYFUNCTION("""COMPUTED_VALUE"""),80.195733)</f>
        <v>80.195733</v>
      </c>
      <c r="F22774" s="4">
        <f>IFERROR(__xludf.DUMMYFUNCTION("""COMPUTED_VALUE"""),805.0)</f>
        <v>805</v>
      </c>
      <c r="G22774" s="4">
        <f>IFERROR(__xludf.DUMMYFUNCTION("""COMPUTED_VALUE"""),34.0)</f>
        <v>34</v>
      </c>
      <c r="H22774" s="4"/>
      <c r="I22774" s="4"/>
    </row>
    <row r="22775">
      <c r="A22775" s="4" t="str">
        <f>IFERROR(__xludf.DUMMYFUNCTION("""COMPUTED_VALUE"""),"cas_hmw")</f>
        <v>cas_hmw</v>
      </c>
      <c r="B22775" s="5">
        <f>IFERROR(__xludf.DUMMYFUNCTION("""COMPUTED_VALUE"""),44790.0)</f>
        <v>44790</v>
      </c>
      <c r="C22775" s="6">
        <f>IFERROR(__xludf.DUMMYFUNCTION("""COMPUTED_VALUE"""),0.7168749999982538)</f>
        <v>0.716875</v>
      </c>
      <c r="D22775" s="4">
        <f>IFERROR(__xludf.DUMMYFUNCTION("""COMPUTED_VALUE"""),13.002078)</f>
        <v>13.002078</v>
      </c>
      <c r="E22775" s="4">
        <f>IFERROR(__xludf.DUMMYFUNCTION("""COMPUTED_VALUE"""),80.197693)</f>
        <v>80.197693</v>
      </c>
      <c r="F22775" s="4">
        <f>IFERROR(__xludf.DUMMYFUNCTION("""COMPUTED_VALUE"""),805.0)</f>
        <v>805</v>
      </c>
      <c r="G22775" s="4">
        <f>IFERROR(__xludf.DUMMYFUNCTION("""COMPUTED_VALUE"""),50.0)</f>
        <v>50</v>
      </c>
      <c r="H22775" s="4"/>
      <c r="I22775" s="4"/>
    </row>
    <row r="22776">
      <c r="A22776" s="4" t="str">
        <f>IFERROR(__xludf.DUMMYFUNCTION("""COMPUTED_VALUE"""),"cas_hmw")</f>
        <v>cas_hmw</v>
      </c>
      <c r="B22776" s="5">
        <f>IFERROR(__xludf.DUMMYFUNCTION("""COMPUTED_VALUE"""),44790.0)</f>
        <v>44790</v>
      </c>
      <c r="C22776" s="6">
        <f>IFERROR(__xludf.DUMMYFUNCTION("""COMPUTED_VALUE"""),0.7171180555560568)</f>
        <v>0.7171180556</v>
      </c>
      <c r="D22776" s="4">
        <f>IFERROR(__xludf.DUMMYFUNCTION("""COMPUTED_VALUE"""),13.002003)</f>
        <v>13.002003</v>
      </c>
      <c r="E22776" s="4">
        <f>IFERROR(__xludf.DUMMYFUNCTION("""COMPUTED_VALUE"""),80.200001)</f>
        <v>80.200001</v>
      </c>
      <c r="F22776" s="4">
        <f>IFERROR(__xludf.DUMMYFUNCTION("""COMPUTED_VALUE"""),805.0)</f>
        <v>805</v>
      </c>
      <c r="G22776" s="4">
        <f>IFERROR(__xludf.DUMMYFUNCTION("""COMPUTED_VALUE"""),45.0)</f>
        <v>45</v>
      </c>
      <c r="H22776" s="4"/>
      <c r="I22776" s="4"/>
    </row>
    <row r="22777">
      <c r="A22777" s="4" t="str">
        <f>IFERROR(__xludf.DUMMYFUNCTION("""COMPUTED_VALUE"""),"cas_hmw")</f>
        <v>cas_hmw</v>
      </c>
      <c r="B22777" s="5">
        <f>IFERROR(__xludf.DUMMYFUNCTION("""COMPUTED_VALUE"""),44790.0)</f>
        <v>44790</v>
      </c>
      <c r="C22777" s="6">
        <f>IFERROR(__xludf.DUMMYFUNCTION("""COMPUTED_VALUE"""),0.7172337962947495)</f>
        <v>0.7172337963</v>
      </c>
      <c r="D22777" s="4">
        <f>IFERROR(__xludf.DUMMYFUNCTION("""COMPUTED_VALUE"""),13.002869)</f>
        <v>13.002869</v>
      </c>
      <c r="E22777" s="4">
        <f>IFERROR(__xludf.DUMMYFUNCTION("""COMPUTED_VALUE"""),80.200648)</f>
        <v>80.200648</v>
      </c>
      <c r="F22777" s="4">
        <f>IFERROR(__xludf.DUMMYFUNCTION("""COMPUTED_VALUE"""),805.0)</f>
        <v>805</v>
      </c>
      <c r="G22777" s="4">
        <f>IFERROR(__xludf.DUMMYFUNCTION("""COMPUTED_VALUE"""),34.0)</f>
        <v>34</v>
      </c>
      <c r="H22777" s="4"/>
      <c r="I22777" s="4"/>
    </row>
    <row r="22778">
      <c r="A22778" s="4" t="str">
        <f>IFERROR(__xludf.DUMMYFUNCTION("""COMPUTED_VALUE"""),"cas_hmw")</f>
        <v>cas_hmw</v>
      </c>
      <c r="B22778" s="5">
        <f>IFERROR(__xludf.DUMMYFUNCTION("""COMPUTED_VALUE"""),44790.0)</f>
        <v>44790</v>
      </c>
      <c r="C22778" s="6">
        <f>IFERROR(__xludf.DUMMYFUNCTION("""COMPUTED_VALUE"""),0.7173958333332848)</f>
        <v>0.7173958333</v>
      </c>
      <c r="D22778" s="4">
        <f>IFERROR(__xludf.DUMMYFUNCTION("""COMPUTED_VALUE"""),13.003802)</f>
        <v>13.003802</v>
      </c>
      <c r="E22778" s="4">
        <f>IFERROR(__xludf.DUMMYFUNCTION("""COMPUTED_VALUE"""),80.200921)</f>
        <v>80.200921</v>
      </c>
      <c r="F22778" s="4">
        <f>IFERROR(__xludf.DUMMYFUNCTION("""COMPUTED_VALUE"""),805.0)</f>
        <v>805</v>
      </c>
      <c r="G22778" s="4">
        <f>IFERROR(__xludf.DUMMYFUNCTION("""COMPUTED_VALUE"""),41.0)</f>
        <v>41</v>
      </c>
      <c r="H22778" s="4"/>
      <c r="I22778" s="4"/>
    </row>
    <row r="22779">
      <c r="A22779" s="4" t="str">
        <f>IFERROR(__xludf.DUMMYFUNCTION("""COMPUTED_VALUE"""),"cas_hmw")</f>
        <v>cas_hmw</v>
      </c>
      <c r="B22779" s="5">
        <f>IFERROR(__xludf.DUMMYFUNCTION("""COMPUTED_VALUE"""),44790.0)</f>
        <v>44790</v>
      </c>
      <c r="C22779" s="6">
        <f>IFERROR(__xludf.DUMMYFUNCTION("""COMPUTED_VALUE"""),0.7174768518525525)</f>
        <v>0.7174768519</v>
      </c>
      <c r="D22779" s="4">
        <f>IFERROR(__xludf.DUMMYFUNCTION("""COMPUTED_VALUE"""),13.004765)</f>
        <v>13.004765</v>
      </c>
      <c r="E22779" s="4">
        <f>IFERROR(__xludf.DUMMYFUNCTION("""COMPUTED_VALUE"""),80.201217)</f>
        <v>80.201217</v>
      </c>
      <c r="F22779" s="4">
        <f>IFERROR(__xludf.DUMMYFUNCTION("""COMPUTED_VALUE"""),805.0)</f>
        <v>805</v>
      </c>
      <c r="G22779" s="4">
        <f>IFERROR(__xludf.DUMMYFUNCTION("""COMPUTED_VALUE"""),39.0)</f>
        <v>39</v>
      </c>
      <c r="H22779" s="4"/>
      <c r="I22779" s="4"/>
    </row>
    <row r="22780">
      <c r="A22780" s="4" t="str">
        <f>IFERROR(__xludf.DUMMYFUNCTION("""COMPUTED_VALUE"""),"cas_hmw")</f>
        <v>cas_hmw</v>
      </c>
      <c r="B22780" s="5">
        <f>IFERROR(__xludf.DUMMYFUNCTION("""COMPUTED_VALUE"""),44790.0)</f>
        <v>44790</v>
      </c>
      <c r="C22780" s="6">
        <f>IFERROR(__xludf.DUMMYFUNCTION("""COMPUTED_VALUE"""),0.7177546296297805)</f>
        <v>0.7177546296</v>
      </c>
      <c r="D22780" s="4">
        <f>IFERROR(__xludf.DUMMYFUNCTION("""COMPUTED_VALUE"""),13.006991)</f>
        <v>13.006991</v>
      </c>
      <c r="E22780" s="4">
        <f>IFERROR(__xludf.DUMMYFUNCTION("""COMPUTED_VALUE"""),80.203461)</f>
        <v>80.203461</v>
      </c>
      <c r="F22780" s="4">
        <f>IFERROR(__xludf.DUMMYFUNCTION("""COMPUTED_VALUE"""),805.0)</f>
        <v>805</v>
      </c>
      <c r="G22780" s="4">
        <f>IFERROR(__xludf.DUMMYFUNCTION("""COMPUTED_VALUE"""),0.0)</f>
        <v>0</v>
      </c>
      <c r="H22780" s="4"/>
      <c r="I22780" s="4"/>
    </row>
    <row r="22781">
      <c r="A22781" s="4" t="str">
        <f>IFERROR(__xludf.DUMMYFUNCTION("""COMPUTED_VALUE"""),"cas_hmw")</f>
        <v>cas_hmw</v>
      </c>
      <c r="B22781" s="5">
        <f>IFERROR(__xludf.DUMMYFUNCTION("""COMPUTED_VALUE"""),44790.0)</f>
        <v>44790</v>
      </c>
      <c r="C22781" s="6">
        <f>IFERROR(__xludf.DUMMYFUNCTION("""COMPUTED_VALUE"""),0.7178356481490482)</f>
        <v>0.7178356481</v>
      </c>
      <c r="D22781" s="4">
        <f>IFERROR(__xludf.DUMMYFUNCTION("""COMPUTED_VALUE"""),13.006991)</f>
        <v>13.006991</v>
      </c>
      <c r="E22781" s="4">
        <f>IFERROR(__xludf.DUMMYFUNCTION("""COMPUTED_VALUE"""),80.203461)</f>
        <v>80.203461</v>
      </c>
      <c r="F22781" s="4">
        <f>IFERROR(__xludf.DUMMYFUNCTION("""COMPUTED_VALUE"""),805.0)</f>
        <v>805</v>
      </c>
      <c r="G22781" s="4">
        <f>IFERROR(__xludf.DUMMYFUNCTION("""COMPUTED_VALUE"""),0.0)</f>
        <v>0</v>
      </c>
      <c r="H22781" s="4"/>
      <c r="I22781" s="4"/>
    </row>
    <row r="22782">
      <c r="A22782" s="4" t="str">
        <f>IFERROR(__xludf.DUMMYFUNCTION("""COMPUTED_VALUE"""),"cas_hmw")</f>
        <v>cas_hmw</v>
      </c>
      <c r="B22782" s="5">
        <f>IFERROR(__xludf.DUMMYFUNCTION("""COMPUTED_VALUE"""),44790.0)</f>
        <v>44790</v>
      </c>
      <c r="C22782" s="6">
        <f>IFERROR(__xludf.DUMMYFUNCTION("""COMPUTED_VALUE"""),0.7178472222221899)</f>
        <v>0.7178472222</v>
      </c>
      <c r="D22782" s="4">
        <f>IFERROR(__xludf.DUMMYFUNCTION("""COMPUTED_VALUE"""),13.006991)</f>
        <v>13.006991</v>
      </c>
      <c r="E22782" s="4">
        <f>IFERROR(__xludf.DUMMYFUNCTION("""COMPUTED_VALUE"""),80.203461)</f>
        <v>80.203461</v>
      </c>
      <c r="F22782" s="4">
        <f>IFERROR(__xludf.DUMMYFUNCTION("""COMPUTED_VALUE"""),805.0)</f>
        <v>805</v>
      </c>
      <c r="G22782" s="4">
        <f>IFERROR(__xludf.DUMMYFUNCTION("""COMPUTED_VALUE"""),0.0)</f>
        <v>0</v>
      </c>
      <c r="H22782" s="4"/>
      <c r="I22782" s="4"/>
    </row>
    <row r="22783">
      <c r="A22783" s="4" t="str">
        <f>IFERROR(__xludf.DUMMYFUNCTION("""COMPUTED_VALUE"""),"cas_hmw")</f>
        <v>cas_hmw</v>
      </c>
      <c r="B22783" s="5">
        <f>IFERROR(__xludf.DUMMYFUNCTION("""COMPUTED_VALUE"""),44790.0)</f>
        <v>44790</v>
      </c>
      <c r="C22783" s="6">
        <f>IFERROR(__xludf.DUMMYFUNCTION("""COMPUTED_VALUE"""),0.7178587962953316)</f>
        <v>0.7178587963</v>
      </c>
      <c r="D22783" s="4">
        <f>IFERROR(__xludf.DUMMYFUNCTION("""COMPUTED_VALUE"""),13.006991)</f>
        <v>13.006991</v>
      </c>
      <c r="E22783" s="4">
        <f>IFERROR(__xludf.DUMMYFUNCTION("""COMPUTED_VALUE"""),80.203461)</f>
        <v>80.203461</v>
      </c>
      <c r="F22783" s="4">
        <f>IFERROR(__xludf.DUMMYFUNCTION("""COMPUTED_VALUE"""),805.0)</f>
        <v>805</v>
      </c>
      <c r="G22783" s="4">
        <f>IFERROR(__xludf.DUMMYFUNCTION("""COMPUTED_VALUE"""),0.0)</f>
        <v>0</v>
      </c>
      <c r="H22783" s="4"/>
      <c r="I22783" s="4"/>
    </row>
    <row r="22784">
      <c r="A22784" s="4" t="str">
        <f>IFERROR(__xludf.DUMMYFUNCTION("""COMPUTED_VALUE"""),"cas_hmw")</f>
        <v>cas_hmw</v>
      </c>
      <c r="B22784" s="5">
        <f>IFERROR(__xludf.DUMMYFUNCTION("""COMPUTED_VALUE"""),44790.0)</f>
        <v>44790</v>
      </c>
      <c r="C22784" s="6">
        <f>IFERROR(__xludf.DUMMYFUNCTION("""COMPUTED_VALUE"""),0.7178819444452529)</f>
        <v>0.7178819444</v>
      </c>
      <c r="D22784" s="4">
        <f>IFERROR(__xludf.DUMMYFUNCTION("""COMPUTED_VALUE"""),13.007921)</f>
        <v>13.007921</v>
      </c>
      <c r="E22784" s="4">
        <f>IFERROR(__xludf.DUMMYFUNCTION("""COMPUTED_VALUE"""),80.203686)</f>
        <v>80.203686</v>
      </c>
      <c r="F22784" s="4">
        <f>IFERROR(__xludf.DUMMYFUNCTION("""COMPUTED_VALUE"""),805.0)</f>
        <v>805</v>
      </c>
      <c r="G22784" s="4">
        <f>IFERROR(__xludf.DUMMYFUNCTION("""COMPUTED_VALUE"""),28.0)</f>
        <v>28</v>
      </c>
      <c r="H22784" s="4"/>
      <c r="I22784" s="4"/>
    </row>
    <row r="22785">
      <c r="A22785" s="4" t="str">
        <f>IFERROR(__xludf.DUMMYFUNCTION("""COMPUTED_VALUE"""),"cas_hmw")</f>
        <v>cas_hmw</v>
      </c>
      <c r="B22785" s="5">
        <f>IFERROR(__xludf.DUMMYFUNCTION("""COMPUTED_VALUE"""),44790.0)</f>
        <v>44790</v>
      </c>
      <c r="C22785" s="6">
        <f>IFERROR(__xludf.DUMMYFUNCTION("""COMPUTED_VALUE"""),0.7185532407420396)</f>
        <v>0.7185532407</v>
      </c>
      <c r="D22785" s="4">
        <f>IFERROR(__xludf.DUMMYFUNCTION("""COMPUTED_VALUE"""),13.00784)</f>
        <v>13.00784</v>
      </c>
      <c r="E22785" s="4">
        <f>IFERROR(__xludf.DUMMYFUNCTION("""COMPUTED_VALUE"""),80.206968)</f>
        <v>80.206968</v>
      </c>
      <c r="F22785" s="4">
        <f>IFERROR(__xludf.DUMMYFUNCTION("""COMPUTED_VALUE"""),805.0)</f>
        <v>805</v>
      </c>
      <c r="G22785" s="4">
        <f>IFERROR(__xludf.DUMMYFUNCTION("""COMPUTED_VALUE"""),55.0)</f>
        <v>55</v>
      </c>
      <c r="H22785" s="4"/>
      <c r="I22785" s="4"/>
    </row>
    <row r="22786">
      <c r="A22786" s="4" t="str">
        <f>IFERROR(__xludf.DUMMYFUNCTION("""COMPUTED_VALUE"""),"cas_hmw")</f>
        <v>cas_hmw</v>
      </c>
      <c r="B22786" s="5">
        <f>IFERROR(__xludf.DUMMYFUNCTION("""COMPUTED_VALUE"""),44790.0)</f>
        <v>44790</v>
      </c>
      <c r="C22786" s="6">
        <f>IFERROR(__xludf.DUMMYFUNCTION("""COMPUTED_VALUE"""),0.7188773148154723)</f>
        <v>0.7188773148</v>
      </c>
      <c r="D22786" s="4">
        <f>IFERROR(__xludf.DUMMYFUNCTION("""COMPUTED_VALUE"""),13.008559)</f>
        <v>13.008559</v>
      </c>
      <c r="E22786" s="4">
        <f>IFERROR(__xludf.DUMMYFUNCTION("""COMPUTED_VALUE"""),80.210388)</f>
        <v>80.210388</v>
      </c>
      <c r="F22786" s="4">
        <f>IFERROR(__xludf.DUMMYFUNCTION("""COMPUTED_VALUE"""),805.0)</f>
        <v>805</v>
      </c>
      <c r="G22786" s="4">
        <f>IFERROR(__xludf.DUMMYFUNCTION("""COMPUTED_VALUE"""),55.0)</f>
        <v>55</v>
      </c>
      <c r="H22786" s="4"/>
      <c r="I22786" s="4"/>
    </row>
    <row r="22787">
      <c r="A22787" s="4" t="str">
        <f>IFERROR(__xludf.DUMMYFUNCTION("""COMPUTED_VALUE"""),"cas_hmw")</f>
        <v>cas_hmw</v>
      </c>
      <c r="B22787" s="5">
        <f>IFERROR(__xludf.DUMMYFUNCTION("""COMPUTED_VALUE"""),44790.0)</f>
        <v>44790</v>
      </c>
      <c r="C22787" s="6">
        <f>IFERROR(__xludf.DUMMYFUNCTION("""COMPUTED_VALUE"""),0.7191666666658421)</f>
        <v>0.7191666667</v>
      </c>
      <c r="D22787" s="4">
        <f>IFERROR(__xludf.DUMMYFUNCTION("""COMPUTED_VALUE"""),13.009832)</f>
        <v>13.009832</v>
      </c>
      <c r="E22787" s="4">
        <f>IFERROR(__xludf.DUMMYFUNCTION("""COMPUTED_VALUE"""),80.213885)</f>
        <v>80.213885</v>
      </c>
      <c r="F22787" s="4">
        <f>IFERROR(__xludf.DUMMYFUNCTION("""COMPUTED_VALUE"""),805.0)</f>
        <v>805</v>
      </c>
      <c r="G22787" s="4">
        <f>IFERROR(__xludf.DUMMYFUNCTION("""COMPUTED_VALUE"""),47.0)</f>
        <v>47</v>
      </c>
      <c r="H22787" s="4"/>
      <c r="I22787" s="4"/>
    </row>
    <row r="22788">
      <c r="A22788" s="4" t="str">
        <f>IFERROR(__xludf.DUMMYFUNCTION("""COMPUTED_VALUE"""),"cas_hmw")</f>
        <v>cas_hmw</v>
      </c>
      <c r="B22788" s="5">
        <f>IFERROR(__xludf.DUMMYFUNCTION("""COMPUTED_VALUE"""),44790.0)</f>
        <v>44790</v>
      </c>
      <c r="C22788" s="6">
        <f>IFERROR(__xludf.DUMMYFUNCTION("""COMPUTED_VALUE"""),0.7195717592585424)</f>
        <v>0.7195717593</v>
      </c>
      <c r="D22788" s="4">
        <f>IFERROR(__xludf.DUMMYFUNCTION("""COMPUTED_VALUE"""),13.00473)</f>
        <v>13.00473</v>
      </c>
      <c r="E22788" s="4">
        <f>IFERROR(__xludf.DUMMYFUNCTION("""COMPUTED_VALUE"""),80.201202)</f>
        <v>80.201202</v>
      </c>
      <c r="F22788" s="4">
        <f>IFERROR(__xludf.DUMMYFUNCTION("""COMPUTED_VALUE"""),5339.0)</f>
        <v>5339</v>
      </c>
      <c r="G22788" s="4">
        <f>IFERROR(__xludf.DUMMYFUNCTION("""COMPUTED_VALUE"""),47.0)</f>
        <v>47</v>
      </c>
      <c r="H22788" s="4"/>
      <c r="I22788" s="4"/>
    </row>
    <row r="22789">
      <c r="A22789" s="4" t="str">
        <f>IFERROR(__xludf.DUMMYFUNCTION("""COMPUTED_VALUE"""),"cas_hmw")</f>
        <v>cas_hmw</v>
      </c>
      <c r="B22789" s="5">
        <f>IFERROR(__xludf.DUMMYFUNCTION("""COMPUTED_VALUE"""),44790.0)</f>
        <v>44790</v>
      </c>
      <c r="C22789" s="6">
        <f>IFERROR(__xludf.DUMMYFUNCTION("""COMPUTED_VALUE"""),0.7197222222239361)</f>
        <v>0.7197222222</v>
      </c>
      <c r="D22789" s="4">
        <f>IFERROR(__xludf.DUMMYFUNCTION("""COMPUTED_VALUE"""),13.011111)</f>
        <v>13.011111</v>
      </c>
      <c r="E22789" s="4">
        <f>IFERROR(__xludf.DUMMYFUNCTION("""COMPUTED_VALUE"""),80.217518)</f>
        <v>80.217518</v>
      </c>
      <c r="F22789" s="4">
        <f>IFERROR(__xludf.DUMMYFUNCTION("""COMPUTED_VALUE"""),805.0)</f>
        <v>805</v>
      </c>
      <c r="G22789" s="4">
        <f>IFERROR(__xludf.DUMMYFUNCTION("""COMPUTED_VALUE"""),38.0)</f>
        <v>38</v>
      </c>
      <c r="H22789" s="4"/>
      <c r="I22789" s="4"/>
    </row>
    <row r="22790">
      <c r="A22790" s="4" t="str">
        <f>IFERROR(__xludf.DUMMYFUNCTION("""COMPUTED_VALUE"""),"cas_hmw")</f>
        <v>cas_hmw</v>
      </c>
      <c r="B22790" s="5">
        <f>IFERROR(__xludf.DUMMYFUNCTION("""COMPUTED_VALUE"""),44790.0)</f>
        <v>44790</v>
      </c>
      <c r="C22790" s="6">
        <f>IFERROR(__xludf.DUMMYFUNCTION("""COMPUTED_VALUE"""),0.7199189814818965)</f>
        <v>0.7199189815</v>
      </c>
      <c r="D22790" s="4">
        <f>IFERROR(__xludf.DUMMYFUNCTION("""COMPUTED_VALUE"""),13.006381)</f>
        <v>13.006381</v>
      </c>
      <c r="E22790" s="4">
        <f>IFERROR(__xludf.DUMMYFUNCTION("""COMPUTED_VALUE"""),80.203062)</f>
        <v>80.203062</v>
      </c>
      <c r="F22790" s="4">
        <f>IFERROR(__xludf.DUMMYFUNCTION("""COMPUTED_VALUE"""),5339.0)</f>
        <v>5339</v>
      </c>
      <c r="G22790" s="4">
        <f>IFERROR(__xludf.DUMMYFUNCTION("""COMPUTED_VALUE"""),47.0)</f>
        <v>47</v>
      </c>
      <c r="H22790" s="4"/>
      <c r="I22790" s="4"/>
    </row>
    <row r="22791">
      <c r="A22791" s="4" t="str">
        <f>IFERROR(__xludf.DUMMYFUNCTION("""COMPUTED_VALUE"""),"cas_hmw")</f>
        <v>cas_hmw</v>
      </c>
      <c r="B22791" s="5">
        <f>IFERROR(__xludf.DUMMYFUNCTION("""COMPUTED_VALUE"""),44790.0)</f>
        <v>44790</v>
      </c>
      <c r="C22791" s="6">
        <f>IFERROR(__xludf.DUMMYFUNCTION("""COMPUTED_VALUE"""),0.7201388888897782)</f>
        <v>0.7201388889</v>
      </c>
      <c r="D22791" s="4">
        <f>IFERROR(__xludf.DUMMYFUNCTION("""COMPUTED_VALUE"""),13.008407)</f>
        <v>13.008407</v>
      </c>
      <c r="E22791" s="4">
        <f>IFERROR(__xludf.DUMMYFUNCTION("""COMPUTED_VALUE"""),80.202934)</f>
        <v>80.202934</v>
      </c>
      <c r="F22791" s="4">
        <f>IFERROR(__xludf.DUMMYFUNCTION("""COMPUTED_VALUE"""),5339.0)</f>
        <v>5339</v>
      </c>
      <c r="G22791" s="4">
        <f>IFERROR(__xludf.DUMMYFUNCTION("""COMPUTED_VALUE"""),33.0)</f>
        <v>33</v>
      </c>
      <c r="H22791" s="4"/>
      <c r="I22791" s="4"/>
    </row>
    <row r="22792">
      <c r="A22792" s="4" t="str">
        <f>IFERROR(__xludf.DUMMYFUNCTION("""COMPUTED_VALUE"""),"cas_hmw")</f>
        <v>cas_hmw</v>
      </c>
      <c r="B22792" s="5">
        <f>IFERROR(__xludf.DUMMYFUNCTION("""COMPUTED_VALUE"""),44790.0)</f>
        <v>44790</v>
      </c>
      <c r="C22792" s="6">
        <f>IFERROR(__xludf.DUMMYFUNCTION("""COMPUTED_VALUE"""),0.7208796296290529)</f>
        <v>0.7208796296</v>
      </c>
      <c r="D22792" s="4">
        <f>IFERROR(__xludf.DUMMYFUNCTION("""COMPUTED_VALUE"""),13.008075)</f>
        <v>13.008075</v>
      </c>
      <c r="E22792" s="4">
        <f>IFERROR(__xludf.DUMMYFUNCTION("""COMPUTED_VALUE"""),80.20889)</f>
        <v>80.20889</v>
      </c>
      <c r="F22792" s="4">
        <f>IFERROR(__xludf.DUMMYFUNCTION("""COMPUTED_VALUE"""),5339.0)</f>
        <v>5339</v>
      </c>
      <c r="G22792" s="4">
        <f>IFERROR(__xludf.DUMMYFUNCTION("""COMPUTED_VALUE"""),39.0)</f>
        <v>39</v>
      </c>
      <c r="H22792" s="4"/>
      <c r="I22792" s="4"/>
    </row>
    <row r="22793">
      <c r="A22793" s="4" t="str">
        <f>IFERROR(__xludf.DUMMYFUNCTION("""COMPUTED_VALUE"""),"cas_hmw")</f>
        <v>cas_hmw</v>
      </c>
      <c r="B22793" s="5">
        <f>IFERROR(__xludf.DUMMYFUNCTION("""COMPUTED_VALUE"""),44790.0)</f>
        <v>44790</v>
      </c>
      <c r="C22793" s="6">
        <f>IFERROR(__xludf.DUMMYFUNCTION("""COMPUTED_VALUE"""),0.7209606481483206)</f>
        <v>0.7209606481</v>
      </c>
      <c r="D22793" s="4">
        <f>IFERROR(__xludf.DUMMYFUNCTION("""COMPUTED_VALUE"""),13.008307)</f>
        <v>13.008307</v>
      </c>
      <c r="E22793" s="4">
        <f>IFERROR(__xludf.DUMMYFUNCTION("""COMPUTED_VALUE"""),80.209882)</f>
        <v>80.209882</v>
      </c>
      <c r="F22793" s="4">
        <f>IFERROR(__xludf.DUMMYFUNCTION("""COMPUTED_VALUE"""),5339.0)</f>
        <v>5339</v>
      </c>
      <c r="G22793" s="4">
        <f>IFERROR(__xludf.DUMMYFUNCTION("""COMPUTED_VALUE"""),38.0)</f>
        <v>38</v>
      </c>
      <c r="H22793" s="4"/>
      <c r="I22793" s="4"/>
    </row>
    <row r="22794">
      <c r="A22794" s="4" t="str">
        <f>IFERROR(__xludf.DUMMYFUNCTION("""COMPUTED_VALUE"""),"cas_hmw")</f>
        <v>cas_hmw</v>
      </c>
      <c r="B22794" s="5">
        <f>IFERROR(__xludf.DUMMYFUNCTION("""COMPUTED_VALUE"""),44790.0)</f>
        <v>44790</v>
      </c>
      <c r="C22794" s="6">
        <f>IFERROR(__xludf.DUMMYFUNCTION("""COMPUTED_VALUE"""),0.720983796294604)</f>
        <v>0.7209837963</v>
      </c>
      <c r="D22794" s="4">
        <f>IFERROR(__xludf.DUMMYFUNCTION("""COMPUTED_VALUE"""),13.015211)</f>
        <v>13.015211</v>
      </c>
      <c r="E22794" s="4">
        <f>IFERROR(__xludf.DUMMYFUNCTION("""COMPUTED_VALUE"""),80.224863)</f>
        <v>80.224863</v>
      </c>
      <c r="F22794" s="4">
        <f>IFERROR(__xludf.DUMMYFUNCTION("""COMPUTED_VALUE"""),805.0)</f>
        <v>805</v>
      </c>
      <c r="G22794" s="4">
        <f>IFERROR(__xludf.DUMMYFUNCTION("""COMPUTED_VALUE"""),23.0)</f>
        <v>23</v>
      </c>
      <c r="H22794" s="4"/>
      <c r="I22794" s="4"/>
    </row>
    <row r="22795">
      <c r="A22795" s="4" t="str">
        <f>IFERROR(__xludf.DUMMYFUNCTION("""COMPUTED_VALUE"""),"cas_hmw")</f>
        <v>cas_hmw</v>
      </c>
      <c r="B22795" s="5">
        <f>IFERROR(__xludf.DUMMYFUNCTION("""COMPUTED_VALUE"""),44790.0)</f>
        <v>44790</v>
      </c>
      <c r="C22795" s="6">
        <f>IFERROR(__xludf.DUMMYFUNCTION("""COMPUTED_VALUE"""),0.7210300925908086)</f>
        <v>0.7210300926</v>
      </c>
      <c r="D22795" s="4">
        <f>IFERROR(__xludf.DUMMYFUNCTION("""COMPUTED_VALUE"""),13.008307)</f>
        <v>13.008307</v>
      </c>
      <c r="E22795" s="4">
        <f>IFERROR(__xludf.DUMMYFUNCTION("""COMPUTED_VALUE"""),80.209882)</f>
        <v>80.209882</v>
      </c>
      <c r="F22795" s="4">
        <f>IFERROR(__xludf.DUMMYFUNCTION("""COMPUTED_VALUE"""),5339.0)</f>
        <v>5339</v>
      </c>
      <c r="G22795" s="4">
        <f>IFERROR(__xludf.DUMMYFUNCTION("""COMPUTED_VALUE"""),38.0)</f>
        <v>38</v>
      </c>
      <c r="H22795" s="4"/>
      <c r="I22795" s="4"/>
    </row>
    <row r="22796">
      <c r="A22796" s="4" t="str">
        <f>IFERROR(__xludf.DUMMYFUNCTION("""COMPUTED_VALUE"""),"cas_hmw")</f>
        <v>cas_hmw</v>
      </c>
      <c r="B22796" s="5">
        <f>IFERROR(__xludf.DUMMYFUNCTION("""COMPUTED_VALUE"""),44790.0)</f>
        <v>44790</v>
      </c>
      <c r="C22796" s="6">
        <f>IFERROR(__xludf.DUMMYFUNCTION("""COMPUTED_VALUE"""),0.721226851852407)</f>
        <v>0.7212268519</v>
      </c>
      <c r="D22796" s="4">
        <f>IFERROR(__xludf.DUMMYFUNCTION("""COMPUTED_VALUE"""),13.009115)</f>
        <v>13.009115</v>
      </c>
      <c r="E22796" s="4">
        <f>IFERROR(__xludf.DUMMYFUNCTION("""COMPUTED_VALUE"""),80.21199)</f>
        <v>80.21199</v>
      </c>
      <c r="F22796" s="4">
        <f>IFERROR(__xludf.DUMMYFUNCTION("""COMPUTED_VALUE"""),5339.0)</f>
        <v>5339</v>
      </c>
      <c r="G22796" s="4">
        <f>IFERROR(__xludf.DUMMYFUNCTION("""COMPUTED_VALUE"""),46.0)</f>
        <v>46</v>
      </c>
      <c r="H22796" s="4"/>
      <c r="I22796" s="4"/>
    </row>
    <row r="22797">
      <c r="A22797" s="4" t="str">
        <f>IFERROR(__xludf.DUMMYFUNCTION("""COMPUTED_VALUE"""),"cas_hmw")</f>
        <v>cas_hmw</v>
      </c>
      <c r="B22797" s="5">
        <f>IFERROR(__xludf.DUMMYFUNCTION("""COMPUTED_VALUE"""),44790.0)</f>
        <v>44790</v>
      </c>
      <c r="C22797" s="6">
        <f>IFERROR(__xludf.DUMMYFUNCTION("""COMPUTED_VALUE"""),0.7213425925910997)</f>
        <v>0.7213425926</v>
      </c>
      <c r="D22797" s="4">
        <f>IFERROR(__xludf.DUMMYFUNCTION("""COMPUTED_VALUE"""),13.013269)</f>
        <v>13.013269</v>
      </c>
      <c r="E22797" s="4">
        <f>IFERROR(__xludf.DUMMYFUNCTION("""COMPUTED_VALUE"""),80.226673)</f>
        <v>80.226673</v>
      </c>
      <c r="F22797" s="4">
        <f>IFERROR(__xludf.DUMMYFUNCTION("""COMPUTED_VALUE"""),805.0)</f>
        <v>805</v>
      </c>
      <c r="G22797" s="4">
        <f>IFERROR(__xludf.DUMMYFUNCTION("""COMPUTED_VALUE"""),43.0)</f>
        <v>43</v>
      </c>
      <c r="H22797" s="4"/>
      <c r="I22797" s="4"/>
    </row>
    <row r="22798">
      <c r="A22798" s="4" t="str">
        <f>IFERROR(__xludf.DUMMYFUNCTION("""COMPUTED_VALUE"""),"cas_hmw")</f>
        <v>cas_hmw</v>
      </c>
      <c r="B22798" s="5">
        <f>IFERROR(__xludf.DUMMYFUNCTION("""COMPUTED_VALUE"""),44790.0)</f>
        <v>44790</v>
      </c>
      <c r="C22798" s="6">
        <f>IFERROR(__xludf.DUMMYFUNCTION("""COMPUTED_VALUE"""),0.721504629629635)</f>
        <v>0.7215046296</v>
      </c>
      <c r="D22798" s="4">
        <f>IFERROR(__xludf.DUMMYFUNCTION("""COMPUTED_VALUE"""),13.011337)</f>
        <v>13.011337</v>
      </c>
      <c r="E22798" s="4">
        <f>IFERROR(__xludf.DUMMYFUNCTION("""COMPUTED_VALUE"""),80.227448)</f>
        <v>80.227448</v>
      </c>
      <c r="F22798" s="4">
        <f>IFERROR(__xludf.DUMMYFUNCTION("""COMPUTED_VALUE"""),805.0)</f>
        <v>805</v>
      </c>
      <c r="G22798" s="4">
        <f>IFERROR(__xludf.DUMMYFUNCTION("""COMPUTED_VALUE"""),41.0)</f>
        <v>41</v>
      </c>
      <c r="H22798" s="4"/>
      <c r="I22798" s="4"/>
    </row>
    <row r="22799">
      <c r="A22799" s="4" t="str">
        <f>IFERROR(__xludf.DUMMYFUNCTION("""COMPUTED_VALUE"""),"cas_hmw")</f>
        <v>cas_hmw</v>
      </c>
      <c r="B22799" s="5">
        <f>IFERROR(__xludf.DUMMYFUNCTION("""COMPUTED_VALUE"""),44790.0)</f>
        <v>44790</v>
      </c>
      <c r="C22799" s="6">
        <f>IFERROR(__xludf.DUMMYFUNCTION("""COMPUTED_VALUE"""),0.7217824074068631)</f>
        <v>0.7217824074</v>
      </c>
      <c r="D22799" s="4">
        <f>IFERROR(__xludf.DUMMYFUNCTION("""COMPUTED_VALUE"""),13.00952)</f>
        <v>13.00952</v>
      </c>
      <c r="E22799" s="4">
        <f>IFERROR(__xludf.DUMMYFUNCTION("""COMPUTED_VALUE"""),80.228185)</f>
        <v>80.228185</v>
      </c>
      <c r="F22799" s="4">
        <f>IFERROR(__xludf.DUMMYFUNCTION("""COMPUTED_VALUE"""),805.0)</f>
        <v>805</v>
      </c>
      <c r="G22799" s="4">
        <f>IFERROR(__xludf.DUMMYFUNCTION("""COMPUTED_VALUE"""),33.0)</f>
        <v>33</v>
      </c>
      <c r="H22799" s="4"/>
      <c r="I22799" s="4"/>
    </row>
    <row r="22800">
      <c r="A22800" s="4" t="str">
        <f>IFERROR(__xludf.DUMMYFUNCTION("""COMPUTED_VALUE"""),"cas_hmw")</f>
        <v>cas_hmw</v>
      </c>
      <c r="B22800" s="5">
        <f>IFERROR(__xludf.DUMMYFUNCTION("""COMPUTED_VALUE"""),44790.0)</f>
        <v>44790</v>
      </c>
      <c r="C22800" s="6">
        <f>IFERROR(__xludf.DUMMYFUNCTION("""COMPUTED_VALUE"""),0.7218865740724141)</f>
        <v>0.7218865741</v>
      </c>
      <c r="D22800" s="4">
        <f>IFERROR(__xludf.DUMMYFUNCTION("""COMPUTED_VALUE"""),13.00913)</f>
        <v>13.00913</v>
      </c>
      <c r="E22800" s="4">
        <f>IFERROR(__xludf.DUMMYFUNCTION("""COMPUTED_VALUE"""),80.228838)</f>
        <v>80.228838</v>
      </c>
      <c r="F22800" s="4">
        <f>IFERROR(__xludf.DUMMYFUNCTION("""COMPUTED_VALUE"""),805.0)</f>
        <v>805</v>
      </c>
      <c r="G22800" s="4">
        <f>IFERROR(__xludf.DUMMYFUNCTION("""COMPUTED_VALUE"""),35.0)</f>
        <v>35</v>
      </c>
      <c r="H22800" s="4"/>
      <c r="I22800" s="4"/>
    </row>
    <row r="22801">
      <c r="A22801" s="4" t="str">
        <f>IFERROR(__xludf.DUMMYFUNCTION("""COMPUTED_VALUE"""),"cas_hmw")</f>
        <v>cas_hmw</v>
      </c>
      <c r="B22801" s="5">
        <f>IFERROR(__xludf.DUMMYFUNCTION("""COMPUTED_VALUE"""),44790.0)</f>
        <v>44790</v>
      </c>
      <c r="C22801" s="6">
        <f>IFERROR(__xludf.DUMMYFUNCTION("""COMPUTED_VALUE"""),0.7218865740724141)</f>
        <v>0.7218865741</v>
      </c>
      <c r="D22801" s="4">
        <f>IFERROR(__xludf.DUMMYFUNCTION("""COMPUTED_VALUE"""),13.011255)</f>
        <v>13.011255</v>
      </c>
      <c r="E22801" s="4">
        <f>IFERROR(__xludf.DUMMYFUNCTION("""COMPUTED_VALUE"""),80.21791)</f>
        <v>80.21791</v>
      </c>
      <c r="F22801" s="4">
        <f>IFERROR(__xludf.DUMMYFUNCTION("""COMPUTED_VALUE"""),5339.0)</f>
        <v>5339</v>
      </c>
      <c r="G22801" s="4">
        <f>IFERROR(__xludf.DUMMYFUNCTION("""COMPUTED_VALUE"""),42.0)</f>
        <v>42</v>
      </c>
      <c r="H22801" s="4"/>
      <c r="I22801" s="4"/>
    </row>
    <row r="22802">
      <c r="A22802" s="4" t="str">
        <f>IFERROR(__xludf.DUMMYFUNCTION("""COMPUTED_VALUE"""),"cas_hmw")</f>
        <v>cas_hmw</v>
      </c>
      <c r="B22802" s="5">
        <f>IFERROR(__xludf.DUMMYFUNCTION("""COMPUTED_VALUE"""),44790.0)</f>
        <v>44790</v>
      </c>
      <c r="C22802" s="6">
        <f>IFERROR(__xludf.DUMMYFUNCTION("""COMPUTED_VALUE"""),0.7220023148147448)</f>
        <v>0.7220023148</v>
      </c>
      <c r="D22802" s="4">
        <f>IFERROR(__xludf.DUMMYFUNCTION("""COMPUTED_VALUE"""),13.011634)</f>
        <v>13.011634</v>
      </c>
      <c r="E22802" s="4">
        <f>IFERROR(__xludf.DUMMYFUNCTION("""COMPUTED_VALUE"""),80.218918)</f>
        <v>80.218918</v>
      </c>
      <c r="F22802" s="4">
        <f>IFERROR(__xludf.DUMMYFUNCTION("""COMPUTED_VALUE"""),5339.0)</f>
        <v>5339</v>
      </c>
      <c r="G22802" s="4">
        <f>IFERROR(__xludf.DUMMYFUNCTION("""COMPUTED_VALUE"""),41.0)</f>
        <v>41</v>
      </c>
      <c r="H22802" s="4"/>
      <c r="I22802" s="4"/>
    </row>
    <row r="22803">
      <c r="A22803" s="4" t="str">
        <f>IFERROR(__xludf.DUMMYFUNCTION("""COMPUTED_VALUE"""),"cas_hmw")</f>
        <v>cas_hmw</v>
      </c>
      <c r="B22803" s="5">
        <f>IFERROR(__xludf.DUMMYFUNCTION("""COMPUTED_VALUE"""),44790.0)</f>
        <v>44790</v>
      </c>
      <c r="C22803" s="6">
        <f>IFERROR(__xludf.DUMMYFUNCTION("""COMPUTED_VALUE"""),0.7221180555570754)</f>
        <v>0.7221180556</v>
      </c>
      <c r="D22803" s="4">
        <f>IFERROR(__xludf.DUMMYFUNCTION("""COMPUTED_VALUE"""),13.01194)</f>
        <v>13.01194</v>
      </c>
      <c r="E22803" s="4">
        <f>IFERROR(__xludf.DUMMYFUNCTION("""COMPUTED_VALUE"""),80.219853)</f>
        <v>80.219853</v>
      </c>
      <c r="F22803" s="4">
        <f>IFERROR(__xludf.DUMMYFUNCTION("""COMPUTED_VALUE"""),5339.0)</f>
        <v>5339</v>
      </c>
      <c r="G22803" s="4">
        <f>IFERROR(__xludf.DUMMYFUNCTION("""COMPUTED_VALUE"""),37.0)</f>
        <v>37</v>
      </c>
      <c r="H22803" s="4"/>
      <c r="I22803" s="4"/>
    </row>
    <row r="22804">
      <c r="A22804" s="4" t="str">
        <f>IFERROR(__xludf.DUMMYFUNCTION("""COMPUTED_VALUE"""),"cas_hmw")</f>
        <v>cas_hmw</v>
      </c>
      <c r="B22804" s="5">
        <f>IFERROR(__xludf.DUMMYFUNCTION("""COMPUTED_VALUE"""),44790.0)</f>
        <v>44790</v>
      </c>
      <c r="C22804" s="6">
        <f>IFERROR(__xludf.DUMMYFUNCTION("""COMPUTED_VALUE"""),0.7223611111112405)</f>
        <v>0.7223611111</v>
      </c>
      <c r="D22804" s="4">
        <f>IFERROR(__xludf.DUMMYFUNCTION("""COMPUTED_VALUE"""),13.008411)</f>
        <v>13.008411</v>
      </c>
      <c r="E22804" s="4">
        <f>IFERROR(__xludf.DUMMYFUNCTION("""COMPUTED_VALUE"""),80.232579)</f>
        <v>80.232579</v>
      </c>
      <c r="F22804" s="4">
        <f>IFERROR(__xludf.DUMMYFUNCTION("""COMPUTED_VALUE"""),805.0)</f>
        <v>805</v>
      </c>
      <c r="G22804" s="4">
        <f>IFERROR(__xludf.DUMMYFUNCTION("""COMPUTED_VALUE"""),42.0)</f>
        <v>42</v>
      </c>
      <c r="H22804" s="4"/>
      <c r="I22804" s="4"/>
    </row>
    <row r="22805">
      <c r="A22805" s="4" t="str">
        <f>IFERROR(__xludf.DUMMYFUNCTION("""COMPUTED_VALUE"""),"cas_hmw")</f>
        <v>cas_hmw</v>
      </c>
      <c r="B22805" s="5">
        <f>IFERROR(__xludf.DUMMYFUNCTION("""COMPUTED_VALUE"""),44790.0)</f>
        <v>44790</v>
      </c>
      <c r="C22805" s="6">
        <f>IFERROR(__xludf.DUMMYFUNCTION("""COMPUTED_VALUE"""),0.7223842592575238)</f>
        <v>0.7223842593</v>
      </c>
      <c r="D22805" s="4">
        <f>IFERROR(__xludf.DUMMYFUNCTION("""COMPUTED_VALUE"""),13.008224)</f>
        <v>13.008224</v>
      </c>
      <c r="E22805" s="4">
        <f>IFERROR(__xludf.DUMMYFUNCTION("""COMPUTED_VALUE"""),80.233534)</f>
        <v>80.233534</v>
      </c>
      <c r="F22805" s="4">
        <f>IFERROR(__xludf.DUMMYFUNCTION("""COMPUTED_VALUE"""),805.0)</f>
        <v>805</v>
      </c>
      <c r="G22805" s="4">
        <f>IFERROR(__xludf.DUMMYFUNCTION("""COMPUTED_VALUE"""),30.0)</f>
        <v>30</v>
      </c>
      <c r="H22805" s="4"/>
      <c r="I22805" s="4"/>
    </row>
    <row r="22806">
      <c r="A22806" s="4" t="str">
        <f>IFERROR(__xludf.DUMMYFUNCTION("""COMPUTED_VALUE"""),"cas_hmw")</f>
        <v>cas_hmw</v>
      </c>
      <c r="B22806" s="5">
        <f>IFERROR(__xludf.DUMMYFUNCTION("""COMPUTED_VALUE"""),44790.0)</f>
        <v>44790</v>
      </c>
      <c r="C22806" s="6">
        <f>IFERROR(__xludf.DUMMYFUNCTION("""COMPUTED_VALUE"""),0.7223842592575238)</f>
        <v>0.7223842593</v>
      </c>
      <c r="D22806" s="4">
        <f>IFERROR(__xludf.DUMMYFUNCTION("""COMPUTED_VALUE"""),13.008224)</f>
        <v>13.008224</v>
      </c>
      <c r="E22806" s="4">
        <f>IFERROR(__xludf.DUMMYFUNCTION("""COMPUTED_VALUE"""),80.233534)</f>
        <v>80.233534</v>
      </c>
      <c r="F22806" s="4">
        <f>IFERROR(__xludf.DUMMYFUNCTION("""COMPUTED_VALUE"""),805.0)</f>
        <v>805</v>
      </c>
      <c r="G22806" s="4">
        <f>IFERROR(__xludf.DUMMYFUNCTION("""COMPUTED_VALUE"""),30.0)</f>
        <v>30</v>
      </c>
      <c r="H22806" s="4"/>
      <c r="I22806" s="4"/>
    </row>
    <row r="22807">
      <c r="A22807" s="4" t="str">
        <f>IFERROR(__xludf.DUMMYFUNCTION("""COMPUTED_VALUE"""),"cas_hmw")</f>
        <v>cas_hmw</v>
      </c>
      <c r="B22807" s="5">
        <f>IFERROR(__xludf.DUMMYFUNCTION("""COMPUTED_VALUE"""),44790.0)</f>
        <v>44790</v>
      </c>
      <c r="C22807" s="6">
        <f>IFERROR(__xludf.DUMMYFUNCTION("""COMPUTED_VALUE"""),0.7223958333343035)</f>
        <v>0.7223958333</v>
      </c>
      <c r="D22807" s="4">
        <f>IFERROR(__xludf.DUMMYFUNCTION("""COMPUTED_VALUE"""),13.008224)</f>
        <v>13.008224</v>
      </c>
      <c r="E22807" s="4">
        <f>IFERROR(__xludf.DUMMYFUNCTION("""COMPUTED_VALUE"""),80.233534)</f>
        <v>80.233534</v>
      </c>
      <c r="F22807" s="4">
        <f>IFERROR(__xludf.DUMMYFUNCTION("""COMPUTED_VALUE"""),805.0)</f>
        <v>805</v>
      </c>
      <c r="G22807" s="4">
        <f>IFERROR(__xludf.DUMMYFUNCTION("""COMPUTED_VALUE"""),30.0)</f>
        <v>30</v>
      </c>
      <c r="H22807" s="4"/>
      <c r="I22807" s="4"/>
    </row>
    <row r="22808">
      <c r="A22808" s="4" t="str">
        <f>IFERROR(__xludf.DUMMYFUNCTION("""COMPUTED_VALUE"""),"cas_hmw")</f>
        <v>cas_hmw</v>
      </c>
      <c r="B22808" s="5">
        <f>IFERROR(__xludf.DUMMYFUNCTION("""COMPUTED_VALUE"""),44790.0)</f>
        <v>44790</v>
      </c>
      <c r="C22808" s="6">
        <f>IFERROR(__xludf.DUMMYFUNCTION("""COMPUTED_VALUE"""),0.7224768518535711)</f>
        <v>0.7224768519</v>
      </c>
      <c r="D22808" s="4">
        <f>IFERROR(__xludf.DUMMYFUNCTION("""COMPUTED_VALUE"""),13.008224)</f>
        <v>13.008224</v>
      </c>
      <c r="E22808" s="4">
        <f>IFERROR(__xludf.DUMMYFUNCTION("""COMPUTED_VALUE"""),80.233534)</f>
        <v>80.233534</v>
      </c>
      <c r="F22808" s="4">
        <f>IFERROR(__xludf.DUMMYFUNCTION("""COMPUTED_VALUE"""),805.0)</f>
        <v>805</v>
      </c>
      <c r="G22808" s="4">
        <f>IFERROR(__xludf.DUMMYFUNCTION("""COMPUTED_VALUE"""),30.0)</f>
        <v>30</v>
      </c>
      <c r="H22808" s="4"/>
      <c r="I22808" s="4"/>
    </row>
    <row r="22809">
      <c r="A22809" s="4" t="str">
        <f>IFERROR(__xludf.DUMMYFUNCTION("""COMPUTED_VALUE"""),"cas_hmw")</f>
        <v>cas_hmw</v>
      </c>
      <c r="B22809" s="5">
        <f>IFERROR(__xludf.DUMMYFUNCTION("""COMPUTED_VALUE"""),44790.0)</f>
        <v>44790</v>
      </c>
      <c r="C22809" s="6">
        <f>IFERROR(__xludf.DUMMYFUNCTION("""COMPUTED_VALUE"""),0.7227199074077362)</f>
        <v>0.7227199074</v>
      </c>
      <c r="D22809" s="4">
        <f>IFERROR(__xludf.DUMMYFUNCTION("""COMPUTED_VALUE"""),13.008001)</f>
        <v>13.008001</v>
      </c>
      <c r="E22809" s="4">
        <f>IFERROR(__xludf.DUMMYFUNCTION("""COMPUTED_VALUE"""),80.234792)</f>
        <v>80.234792</v>
      </c>
      <c r="F22809" s="4">
        <f>IFERROR(__xludf.DUMMYFUNCTION("""COMPUTED_VALUE"""),805.0)</f>
        <v>805</v>
      </c>
      <c r="G22809" s="4">
        <f>IFERROR(__xludf.DUMMYFUNCTION("""COMPUTED_VALUE"""),20.0)</f>
        <v>20</v>
      </c>
      <c r="H22809" s="4"/>
      <c r="I22809" s="4"/>
    </row>
    <row r="22810">
      <c r="A22810" s="4" t="str">
        <f>IFERROR(__xludf.DUMMYFUNCTION("""COMPUTED_VALUE"""),"cas_hmw")</f>
        <v>cas_hmw</v>
      </c>
      <c r="B22810" s="5">
        <f>IFERROR(__xludf.DUMMYFUNCTION("""COMPUTED_VALUE"""),44790.0)</f>
        <v>44790</v>
      </c>
      <c r="C22810" s="6">
        <f>IFERROR(__xludf.DUMMYFUNCTION("""COMPUTED_VALUE"""),0.7227314814808778)</f>
        <v>0.7227314815</v>
      </c>
      <c r="D22810" s="4">
        <f>IFERROR(__xludf.DUMMYFUNCTION("""COMPUTED_VALUE"""),13.007873)</f>
        <v>13.007873</v>
      </c>
      <c r="E22810" s="4">
        <f>IFERROR(__xludf.DUMMYFUNCTION("""COMPUTED_VALUE"""),80.235418)</f>
        <v>80.235418</v>
      </c>
      <c r="F22810" s="4">
        <f>IFERROR(__xludf.DUMMYFUNCTION("""COMPUTED_VALUE"""),805.0)</f>
        <v>805</v>
      </c>
      <c r="G22810" s="4">
        <f>IFERROR(__xludf.DUMMYFUNCTION("""COMPUTED_VALUE"""),27.0)</f>
        <v>27</v>
      </c>
      <c r="H22810" s="4"/>
      <c r="I22810" s="4"/>
    </row>
    <row r="22811">
      <c r="A22811" s="4" t="str">
        <f>IFERROR(__xludf.DUMMYFUNCTION("""COMPUTED_VALUE"""),"cas_hmw")</f>
        <v>cas_hmw</v>
      </c>
      <c r="B22811" s="5">
        <f>IFERROR(__xludf.DUMMYFUNCTION("""COMPUTED_VALUE"""),44790.0)</f>
        <v>44790</v>
      </c>
      <c r="C22811" s="6">
        <f>IFERROR(__xludf.DUMMYFUNCTION("""COMPUTED_VALUE"""),0.7230324074080272)</f>
        <v>0.7230324074</v>
      </c>
      <c r="D22811" s="4">
        <f>IFERROR(__xludf.DUMMYFUNCTION("""COMPUTED_VALUE"""),13.015506)</f>
        <v>13.015506</v>
      </c>
      <c r="E22811" s="4">
        <f>IFERROR(__xludf.DUMMYFUNCTION("""COMPUTED_VALUE"""),80.225066)</f>
        <v>80.225066</v>
      </c>
      <c r="F22811" s="4">
        <f>IFERROR(__xludf.DUMMYFUNCTION("""COMPUTED_VALUE"""),5339.0)</f>
        <v>5339</v>
      </c>
      <c r="G22811" s="4">
        <f>IFERROR(__xludf.DUMMYFUNCTION("""COMPUTED_VALUE"""),37.0)</f>
        <v>37</v>
      </c>
      <c r="H22811" s="4"/>
      <c r="I22811" s="4"/>
    </row>
    <row r="22812">
      <c r="A22812" s="4" t="str">
        <f>IFERROR(__xludf.DUMMYFUNCTION("""COMPUTED_VALUE"""),"cas_hmw")</f>
        <v>cas_hmw</v>
      </c>
      <c r="B22812" s="5">
        <f>IFERROR(__xludf.DUMMYFUNCTION("""COMPUTED_VALUE"""),44790.0)</f>
        <v>44790</v>
      </c>
      <c r="C22812" s="6">
        <f>IFERROR(__xludf.DUMMYFUNCTION("""COMPUTED_VALUE"""),0.7236111111124046)</f>
        <v>0.7236111111</v>
      </c>
      <c r="D22812" s="4">
        <f>IFERROR(__xludf.DUMMYFUNCTION("""COMPUTED_VALUE"""),13.020173)</f>
        <v>13.020173</v>
      </c>
      <c r="E22812" s="4">
        <f>IFERROR(__xludf.DUMMYFUNCTION("""COMPUTED_VALUE"""),80.224865)</f>
        <v>80.224865</v>
      </c>
      <c r="F22812" s="4">
        <f>IFERROR(__xludf.DUMMYFUNCTION("""COMPUTED_VALUE"""),5339.0)</f>
        <v>5339</v>
      </c>
      <c r="G22812" s="4">
        <f>IFERROR(__xludf.DUMMYFUNCTION("""COMPUTED_VALUE"""),26.0)</f>
        <v>26</v>
      </c>
      <c r="H22812" s="4"/>
      <c r="I22812" s="4"/>
    </row>
    <row r="22813">
      <c r="A22813" s="4" t="str">
        <f>IFERROR(__xludf.DUMMYFUNCTION("""COMPUTED_VALUE"""),"cas_hmw")</f>
        <v>cas_hmw</v>
      </c>
      <c r="B22813" s="5">
        <f>IFERROR(__xludf.DUMMYFUNCTION("""COMPUTED_VALUE"""),44790.0)</f>
        <v>44790</v>
      </c>
      <c r="C22813" s="6">
        <f>IFERROR(__xludf.DUMMYFUNCTION("""COMPUTED_VALUE"""),0.7236111111124046)</f>
        <v>0.7236111111</v>
      </c>
      <c r="D22813" s="4">
        <f>IFERROR(__xludf.DUMMYFUNCTION("""COMPUTED_VALUE"""),13.020173)</f>
        <v>13.020173</v>
      </c>
      <c r="E22813" s="4">
        <f>IFERROR(__xludf.DUMMYFUNCTION("""COMPUTED_VALUE"""),80.224865)</f>
        <v>80.224865</v>
      </c>
      <c r="F22813" s="4">
        <f>IFERROR(__xludf.DUMMYFUNCTION("""COMPUTED_VALUE"""),5339.0)</f>
        <v>5339</v>
      </c>
      <c r="G22813" s="4">
        <f>IFERROR(__xludf.DUMMYFUNCTION("""COMPUTED_VALUE"""),26.0)</f>
        <v>26</v>
      </c>
      <c r="H22813" s="4"/>
      <c r="I22813" s="4"/>
    </row>
    <row r="22814">
      <c r="A22814" s="4" t="str">
        <f>IFERROR(__xludf.DUMMYFUNCTION("""COMPUTED_VALUE"""),"cas_hmw")</f>
        <v>cas_hmw</v>
      </c>
      <c r="B22814" s="5">
        <f>IFERROR(__xludf.DUMMYFUNCTION("""COMPUTED_VALUE"""),44790.0)</f>
        <v>44790</v>
      </c>
      <c r="C22814" s="6">
        <f>IFERROR(__xludf.DUMMYFUNCTION("""COMPUTED_VALUE"""),0.7238194444435067)</f>
        <v>0.7238194444</v>
      </c>
      <c r="D22814" s="4">
        <f>IFERROR(__xludf.DUMMYFUNCTION("""COMPUTED_VALUE"""),13.020816)</f>
        <v>13.020816</v>
      </c>
      <c r="E22814" s="4">
        <f>IFERROR(__xludf.DUMMYFUNCTION("""COMPUTED_VALUE"""),80.225346)</f>
        <v>80.225346</v>
      </c>
      <c r="F22814" s="4">
        <f>IFERROR(__xludf.DUMMYFUNCTION("""COMPUTED_VALUE"""),5339.0)</f>
        <v>5339</v>
      </c>
      <c r="G22814" s="4">
        <f>IFERROR(__xludf.DUMMYFUNCTION("""COMPUTED_VALUE"""),35.0)</f>
        <v>35</v>
      </c>
      <c r="H22814" s="4"/>
      <c r="I22814" s="4"/>
    </row>
    <row r="22815">
      <c r="A22815" s="4" t="str">
        <f>IFERROR(__xludf.DUMMYFUNCTION("""COMPUTED_VALUE"""),"cas_hmw")</f>
        <v>cas_hmw</v>
      </c>
      <c r="B22815" s="5">
        <f>IFERROR(__xludf.DUMMYFUNCTION("""COMPUTED_VALUE"""),44790.0)</f>
        <v>44790</v>
      </c>
      <c r="C22815" s="6">
        <f>IFERROR(__xludf.DUMMYFUNCTION("""COMPUTED_VALUE"""),0.7238657407397113)</f>
        <v>0.7238657407</v>
      </c>
      <c r="D22815" s="4">
        <f>IFERROR(__xludf.DUMMYFUNCTION("""COMPUTED_VALUE"""),13.021485)</f>
        <v>13.021485</v>
      </c>
      <c r="E22815" s="4">
        <f>IFERROR(__xludf.DUMMYFUNCTION("""COMPUTED_VALUE"""),80.225816)</f>
        <v>80.225816</v>
      </c>
      <c r="F22815" s="4">
        <f>IFERROR(__xludf.DUMMYFUNCTION("""COMPUTED_VALUE"""),5339.0)</f>
        <v>5339</v>
      </c>
      <c r="G22815" s="4">
        <f>IFERROR(__xludf.DUMMYFUNCTION("""COMPUTED_VALUE"""),30.0)</f>
        <v>30</v>
      </c>
      <c r="H22815" s="4"/>
      <c r="I22815" s="4"/>
    </row>
    <row r="22816">
      <c r="A22816" s="4" t="str">
        <f>IFERROR(__xludf.DUMMYFUNCTION("""COMPUTED_VALUE"""),"cas_hmw")</f>
        <v>cas_hmw</v>
      </c>
      <c r="B22816" s="5">
        <f>IFERROR(__xludf.DUMMYFUNCTION("""COMPUTED_VALUE"""),44790.0)</f>
        <v>44790</v>
      </c>
      <c r="C22816" s="6">
        <f>IFERROR(__xludf.DUMMYFUNCTION("""COMPUTED_VALUE"""),0.7242824074091914)</f>
        <v>0.7242824074</v>
      </c>
      <c r="D22816" s="4">
        <f>IFERROR(__xludf.DUMMYFUNCTION("""COMPUTED_VALUE"""),13.023895)</f>
        <v>13.023895</v>
      </c>
      <c r="E22816" s="4">
        <f>IFERROR(__xludf.DUMMYFUNCTION("""COMPUTED_VALUE"""),80.22796)</f>
        <v>80.22796</v>
      </c>
      <c r="F22816" s="4">
        <f>IFERROR(__xludf.DUMMYFUNCTION("""COMPUTED_VALUE"""),5339.0)</f>
        <v>5339</v>
      </c>
      <c r="G22816" s="4">
        <f>IFERROR(__xludf.DUMMYFUNCTION("""COMPUTED_VALUE"""),33.0)</f>
        <v>33</v>
      </c>
      <c r="H22816" s="4"/>
      <c r="I22816" s="4"/>
    </row>
    <row r="22817">
      <c r="A22817" s="4" t="str">
        <f>IFERROR(__xludf.DUMMYFUNCTION("""COMPUTED_VALUE"""),"cas_hmw")</f>
        <v>cas_hmw</v>
      </c>
      <c r="B22817" s="5">
        <f>IFERROR(__xludf.DUMMYFUNCTION("""COMPUTED_VALUE"""),44790.0)</f>
        <v>44790</v>
      </c>
      <c r="C22817" s="6">
        <f>IFERROR(__xludf.DUMMYFUNCTION("""COMPUTED_VALUE"""),0.7268171296309447)</f>
        <v>0.7268171296</v>
      </c>
      <c r="D22817" s="4">
        <f>IFERROR(__xludf.DUMMYFUNCTION("""COMPUTED_VALUE"""),13.026236)</f>
        <v>13.026236</v>
      </c>
      <c r="E22817" s="4">
        <f>IFERROR(__xludf.DUMMYFUNCTION("""COMPUTED_VALUE"""),80.232217)</f>
        <v>80.232217</v>
      </c>
      <c r="F22817" s="4">
        <f>IFERROR(__xludf.DUMMYFUNCTION("""COMPUTED_VALUE"""),5339.0)</f>
        <v>5339</v>
      </c>
      <c r="G22817" s="4">
        <f>IFERROR(__xludf.DUMMYFUNCTION("""COMPUTED_VALUE"""),26.0)</f>
        <v>26</v>
      </c>
      <c r="H22817" s="4"/>
      <c r="I22817" s="4"/>
    </row>
    <row r="22818">
      <c r="A22818" s="4" t="str">
        <f>IFERROR(__xludf.DUMMYFUNCTION("""COMPUTED_VALUE"""),"cas_hmw")</f>
        <v>cas_hmw</v>
      </c>
      <c r="B22818" s="5">
        <f>IFERROR(__xludf.DUMMYFUNCTION("""COMPUTED_VALUE"""),44790.0)</f>
        <v>44790</v>
      </c>
      <c r="C22818" s="6">
        <f>IFERROR(__xludf.DUMMYFUNCTION("""COMPUTED_VALUE"""),0.7273611111122591)</f>
        <v>0.7273611111</v>
      </c>
      <c r="D22818" s="4">
        <f>IFERROR(__xludf.DUMMYFUNCTION("""COMPUTED_VALUE"""),13.02952)</f>
        <v>13.02952</v>
      </c>
      <c r="E22818" s="4">
        <f>IFERROR(__xludf.DUMMYFUNCTION("""COMPUTED_VALUE"""),80.237102)</f>
        <v>80.237102</v>
      </c>
      <c r="F22818" s="4">
        <f>IFERROR(__xludf.DUMMYFUNCTION("""COMPUTED_VALUE"""),5339.0)</f>
        <v>5339</v>
      </c>
      <c r="G22818" s="4">
        <f>IFERROR(__xludf.DUMMYFUNCTION("""COMPUTED_VALUE"""),42.0)</f>
        <v>42</v>
      </c>
      <c r="H22818" s="4"/>
      <c r="I22818" s="4"/>
    </row>
    <row r="22819">
      <c r="A22819" s="4" t="str">
        <f>IFERROR(__xludf.DUMMYFUNCTION("""COMPUTED_VALUE"""),"cas_hmw")</f>
        <v>cas_hmw</v>
      </c>
      <c r="B22819" s="5">
        <f>IFERROR(__xludf.DUMMYFUNCTION("""COMPUTED_VALUE"""),44790.0)</f>
        <v>44790</v>
      </c>
      <c r="C22819" s="6">
        <f>IFERROR(__xludf.DUMMYFUNCTION("""COMPUTED_VALUE"""),0.7274652777778101)</f>
        <v>0.7274652778</v>
      </c>
      <c r="D22819" s="4">
        <f>IFERROR(__xludf.DUMMYFUNCTION("""COMPUTED_VALUE"""),13.02952)</f>
        <v>13.02952</v>
      </c>
      <c r="E22819" s="4">
        <f>IFERROR(__xludf.DUMMYFUNCTION("""COMPUTED_VALUE"""),80.237102)</f>
        <v>80.237102</v>
      </c>
      <c r="F22819" s="4">
        <f>IFERROR(__xludf.DUMMYFUNCTION("""COMPUTED_VALUE"""),5339.0)</f>
        <v>5339</v>
      </c>
      <c r="G22819" s="4">
        <f>IFERROR(__xludf.DUMMYFUNCTION("""COMPUTED_VALUE"""),42.0)</f>
        <v>42</v>
      </c>
      <c r="H22819" s="4"/>
      <c r="I22819" s="4"/>
    </row>
    <row r="22820">
      <c r="A22820" s="4" t="str">
        <f>IFERROR(__xludf.DUMMYFUNCTION("""COMPUTED_VALUE"""),"cas_hmw")</f>
        <v>cas_hmw</v>
      </c>
      <c r="B22820" s="5">
        <f>IFERROR(__xludf.DUMMYFUNCTION("""COMPUTED_VALUE"""),44790.0)</f>
        <v>44790</v>
      </c>
      <c r="C22820" s="6">
        <f>IFERROR(__xludf.DUMMYFUNCTION("""COMPUTED_VALUE"""),0.7275000000008731)</f>
        <v>0.7275</v>
      </c>
      <c r="D22820" s="4">
        <f>IFERROR(__xludf.DUMMYFUNCTION("""COMPUTED_VALUE"""),13.030101)</f>
        <v>13.030101</v>
      </c>
      <c r="E22820" s="4">
        <f>IFERROR(__xludf.DUMMYFUNCTION("""COMPUTED_VALUE"""),80.237919)</f>
        <v>80.237919</v>
      </c>
      <c r="F22820" s="4">
        <f>IFERROR(__xludf.DUMMYFUNCTION("""COMPUTED_VALUE"""),5339.0)</f>
        <v>5339</v>
      </c>
      <c r="G22820" s="4">
        <f>IFERROR(__xludf.DUMMYFUNCTION("""COMPUTED_VALUE"""),36.0)</f>
        <v>36</v>
      </c>
      <c r="H22820" s="4"/>
      <c r="I22820" s="4"/>
    </row>
    <row r="22821">
      <c r="A22821" s="4" t="str">
        <f>IFERROR(__xludf.DUMMYFUNCTION("""COMPUTED_VALUE"""),"cas_hmw")</f>
        <v>cas_hmw</v>
      </c>
      <c r="B22821" s="5">
        <f>IFERROR(__xludf.DUMMYFUNCTION("""COMPUTED_VALUE"""),44790.0)</f>
        <v>44790</v>
      </c>
      <c r="C22821" s="6">
        <f>IFERROR(__xludf.DUMMYFUNCTION("""COMPUTED_VALUE"""),0.7279166666667152)</f>
        <v>0.7279166667</v>
      </c>
      <c r="D22821" s="4">
        <f>IFERROR(__xludf.DUMMYFUNCTION("""COMPUTED_VALUE"""),13.006798)</f>
        <v>13.006798</v>
      </c>
      <c r="E22821" s="4">
        <f>IFERROR(__xludf.DUMMYFUNCTION("""COMPUTED_VALUE"""),80.248465)</f>
        <v>80.248465</v>
      </c>
      <c r="F22821" s="4">
        <f>IFERROR(__xludf.DUMMYFUNCTION("""COMPUTED_VALUE"""),805.0)</f>
        <v>805</v>
      </c>
      <c r="G22821" s="4">
        <f>IFERROR(__xludf.DUMMYFUNCTION("""COMPUTED_VALUE"""),32.0)</f>
        <v>32</v>
      </c>
      <c r="H22821" s="4"/>
      <c r="I22821" s="4"/>
    </row>
    <row r="22822">
      <c r="A22822" s="4" t="str">
        <f>IFERROR(__xludf.DUMMYFUNCTION("""COMPUTED_VALUE"""),"cas_hmw")</f>
        <v>cas_hmw</v>
      </c>
      <c r="B22822" s="5">
        <f>IFERROR(__xludf.DUMMYFUNCTION("""COMPUTED_VALUE"""),44790.0)</f>
        <v>44790</v>
      </c>
      <c r="C22822" s="6">
        <f>IFERROR(__xludf.DUMMYFUNCTION("""COMPUTED_VALUE"""),0.7288078703713836)</f>
        <v>0.7288078704</v>
      </c>
      <c r="D22822" s="4">
        <f>IFERROR(__xludf.DUMMYFUNCTION("""COMPUTED_VALUE"""),13.031283)</f>
        <v>13.031283</v>
      </c>
      <c r="E22822" s="4">
        <f>IFERROR(__xludf.DUMMYFUNCTION("""COMPUTED_VALUE"""),80.240003)</f>
        <v>80.240003</v>
      </c>
      <c r="F22822" s="4">
        <f>IFERROR(__xludf.DUMMYFUNCTION("""COMPUTED_VALUE"""),5339.0)</f>
        <v>5339</v>
      </c>
      <c r="G22822" s="4">
        <f>IFERROR(__xludf.DUMMYFUNCTION("""COMPUTED_VALUE"""),32.0)</f>
        <v>32</v>
      </c>
      <c r="H22822" s="4"/>
      <c r="I22822" s="4"/>
    </row>
    <row r="22823">
      <c r="A22823" s="4" t="str">
        <f>IFERROR(__xludf.DUMMYFUNCTION("""COMPUTED_VALUE"""),"cas_hmw")</f>
        <v>cas_hmw</v>
      </c>
      <c r="B22823" s="5">
        <f>IFERROR(__xludf.DUMMYFUNCTION("""COMPUTED_VALUE"""),44790.0)</f>
        <v>44790</v>
      </c>
      <c r="C22823" s="6">
        <f>IFERROR(__xludf.DUMMYFUNCTION("""COMPUTED_VALUE"""),0.7288888888906513)</f>
        <v>0.7288888889</v>
      </c>
      <c r="D22823" s="4">
        <f>IFERROR(__xludf.DUMMYFUNCTION("""COMPUTED_VALUE"""),13.031644)</f>
        <v>13.031644</v>
      </c>
      <c r="E22823" s="4">
        <f>IFERROR(__xludf.DUMMYFUNCTION("""COMPUTED_VALUE"""),80.240799)</f>
        <v>80.240799</v>
      </c>
      <c r="F22823" s="4">
        <f>IFERROR(__xludf.DUMMYFUNCTION("""COMPUTED_VALUE"""),5339.0)</f>
        <v>5339</v>
      </c>
      <c r="G22823" s="4">
        <f>IFERROR(__xludf.DUMMYFUNCTION("""COMPUTED_VALUE"""),29.0)</f>
        <v>29</v>
      </c>
      <c r="H22823" s="4"/>
      <c r="I22823" s="4"/>
    </row>
    <row r="22824">
      <c r="A22824" s="4" t="str">
        <f>IFERROR(__xludf.DUMMYFUNCTION("""COMPUTED_VALUE"""),"cas_hmw")</f>
        <v>cas_hmw</v>
      </c>
      <c r="B22824" s="5">
        <f>IFERROR(__xludf.DUMMYFUNCTION("""COMPUTED_VALUE"""),44790.0)</f>
        <v>44790</v>
      </c>
      <c r="C22824" s="6">
        <f>IFERROR(__xludf.DUMMYFUNCTION("""COMPUTED_VALUE"""),0.7291203703716747)</f>
        <v>0.7291203704</v>
      </c>
      <c r="D22824" s="4">
        <f>IFERROR(__xludf.DUMMYFUNCTION("""COMPUTED_VALUE"""),13.032373)</f>
        <v>13.032373</v>
      </c>
      <c r="E22824" s="4">
        <f>IFERROR(__xludf.DUMMYFUNCTION("""COMPUTED_VALUE"""),80.242258)</f>
        <v>80.242258</v>
      </c>
      <c r="F22824" s="4">
        <f>IFERROR(__xludf.DUMMYFUNCTION("""COMPUTED_VALUE"""),5339.0)</f>
        <v>5339</v>
      </c>
      <c r="G22824" s="4">
        <f>IFERROR(__xludf.DUMMYFUNCTION("""COMPUTED_VALUE"""),38.0)</f>
        <v>38</v>
      </c>
      <c r="H22824" s="4"/>
      <c r="I22824" s="4"/>
    </row>
    <row r="22825">
      <c r="A22825" s="4" t="str">
        <f>IFERROR(__xludf.DUMMYFUNCTION("""COMPUTED_VALUE"""),"cas_hmw")</f>
        <v>cas_hmw</v>
      </c>
      <c r="B22825" s="5">
        <f>IFERROR(__xludf.DUMMYFUNCTION("""COMPUTED_VALUE"""),44790.0)</f>
        <v>44790</v>
      </c>
      <c r="C22825" s="6">
        <f>IFERROR(__xludf.DUMMYFUNCTION("""COMPUTED_VALUE"""),0.7294444444451074)</f>
        <v>0.7294444444</v>
      </c>
      <c r="D22825" s="4">
        <f>IFERROR(__xludf.DUMMYFUNCTION("""COMPUTED_VALUE"""),13.033664)</f>
        <v>13.033664</v>
      </c>
      <c r="E22825" s="4">
        <f>IFERROR(__xludf.DUMMYFUNCTION("""COMPUTED_VALUE"""),80.244072)</f>
        <v>80.244072</v>
      </c>
      <c r="F22825" s="4">
        <f>IFERROR(__xludf.DUMMYFUNCTION("""COMPUTED_VALUE"""),5339.0)</f>
        <v>5339</v>
      </c>
      <c r="G22825" s="4">
        <f>IFERROR(__xludf.DUMMYFUNCTION("""COMPUTED_VALUE"""),26.0)</f>
        <v>26</v>
      </c>
      <c r="H22825" s="4"/>
      <c r="I22825" s="4"/>
    </row>
    <row r="22826">
      <c r="A22826" s="4" t="str">
        <f>IFERROR(__xludf.DUMMYFUNCTION("""COMPUTED_VALUE"""),"cas_hmw")</f>
        <v>cas_hmw</v>
      </c>
      <c r="B22826" s="5">
        <f>IFERROR(__xludf.DUMMYFUNCTION("""COMPUTED_VALUE"""),44790.0)</f>
        <v>44790</v>
      </c>
      <c r="C22826" s="6">
        <f>IFERROR(__xludf.DUMMYFUNCTION("""COMPUTED_VALUE"""),0.729490740741312)</f>
        <v>0.7294907407</v>
      </c>
      <c r="D22826" s="4">
        <f>IFERROR(__xludf.DUMMYFUNCTION("""COMPUTED_VALUE"""),13.006651)</f>
        <v>13.006651</v>
      </c>
      <c r="E22826" s="4">
        <f>IFERROR(__xludf.DUMMYFUNCTION("""COMPUTED_VALUE"""),80.255759)</f>
        <v>80.255759</v>
      </c>
      <c r="F22826" s="4">
        <f>IFERROR(__xludf.DUMMYFUNCTION("""COMPUTED_VALUE"""),805.0)</f>
        <v>805</v>
      </c>
      <c r="G22826" s="4">
        <f>IFERROR(__xludf.DUMMYFUNCTION("""COMPUTED_VALUE"""),54.0)</f>
        <v>54</v>
      </c>
      <c r="H22826" s="4"/>
      <c r="I22826" s="4"/>
    </row>
    <row r="22827">
      <c r="A22827" s="4" t="str">
        <f>IFERROR(__xludf.DUMMYFUNCTION("""COMPUTED_VALUE"""),"cas_hmw")</f>
        <v>cas_hmw</v>
      </c>
      <c r="B22827" s="5">
        <f>IFERROR(__xludf.DUMMYFUNCTION("""COMPUTED_VALUE"""),44790.0)</f>
        <v>44790</v>
      </c>
      <c r="C22827" s="6">
        <f>IFERROR(__xludf.DUMMYFUNCTION("""COMPUTED_VALUE"""),0.7299074074071541)</f>
        <v>0.7299074074</v>
      </c>
      <c r="D22827" s="4">
        <f>IFERROR(__xludf.DUMMYFUNCTION("""COMPUTED_VALUE"""),13.035687)</f>
        <v>13.035687</v>
      </c>
      <c r="E22827" s="4">
        <f>IFERROR(__xludf.DUMMYFUNCTION("""COMPUTED_VALUE"""),80.246053)</f>
        <v>80.246053</v>
      </c>
      <c r="F22827" s="4">
        <f>IFERROR(__xludf.DUMMYFUNCTION("""COMPUTED_VALUE"""),5339.0)</f>
        <v>5339</v>
      </c>
      <c r="G22827" s="4">
        <f>IFERROR(__xludf.DUMMYFUNCTION("""COMPUTED_VALUE"""),34.0)</f>
        <v>34</v>
      </c>
      <c r="H22827" s="4"/>
      <c r="I22827" s="4"/>
    </row>
    <row r="22828">
      <c r="A22828" s="4" t="str">
        <f>IFERROR(__xludf.DUMMYFUNCTION("""COMPUTED_VALUE"""),"cas_hmw")</f>
        <v>cas_hmw</v>
      </c>
      <c r="B22828" s="5">
        <f>IFERROR(__xludf.DUMMYFUNCTION("""COMPUTED_VALUE"""),44790.0)</f>
        <v>44790</v>
      </c>
      <c r="C22828" s="6">
        <f>IFERROR(__xludf.DUMMYFUNCTION("""COMPUTED_VALUE"""),0.7299537037033588)</f>
        <v>0.7299537037</v>
      </c>
      <c r="D22828" s="4">
        <f>IFERROR(__xludf.DUMMYFUNCTION("""COMPUTED_VALUE"""),12.615353)</f>
        <v>12.615353</v>
      </c>
      <c r="E22828" s="4">
        <f>IFERROR(__xludf.DUMMYFUNCTION("""COMPUTED_VALUE"""),79.925831)</f>
        <v>79.925831</v>
      </c>
      <c r="F22828" s="4">
        <f>IFERROR(__xludf.DUMMYFUNCTION("""COMPUTED_VALUE"""),2846.0)</f>
        <v>2846</v>
      </c>
      <c r="G22828" s="4">
        <f>IFERROR(__xludf.DUMMYFUNCTION("""COMPUTED_VALUE"""),54.0)</f>
        <v>54</v>
      </c>
      <c r="H22828" s="4"/>
      <c r="I22828" s="4"/>
    </row>
    <row r="22829">
      <c r="A22829" s="4" t="str">
        <f>IFERROR(__xludf.DUMMYFUNCTION("""COMPUTED_VALUE"""),"cas_hmw")</f>
        <v>cas_hmw</v>
      </c>
      <c r="B22829" s="5">
        <f>IFERROR(__xludf.DUMMYFUNCTION("""COMPUTED_VALUE"""),44790.0)</f>
        <v>44790</v>
      </c>
      <c r="C22829" s="6">
        <f>IFERROR(__xludf.DUMMYFUNCTION("""COMPUTED_VALUE"""),0.7299999999995634)</f>
        <v>0.73</v>
      </c>
      <c r="D22829" s="4">
        <f>IFERROR(__xludf.DUMMYFUNCTION("""COMPUTED_VALUE"""),13.036594)</f>
        <v>13.036594</v>
      </c>
      <c r="E22829" s="4">
        <f>IFERROR(__xludf.DUMMYFUNCTION("""COMPUTED_VALUE"""),80.246298)</f>
        <v>80.246298</v>
      </c>
      <c r="F22829" s="4">
        <f>IFERROR(__xludf.DUMMYFUNCTION("""COMPUTED_VALUE"""),5339.0)</f>
        <v>5339</v>
      </c>
      <c r="G22829" s="4">
        <f>IFERROR(__xludf.DUMMYFUNCTION("""COMPUTED_VALUE"""),36.0)</f>
        <v>36</v>
      </c>
      <c r="H22829" s="4"/>
      <c r="I22829" s="4"/>
    </row>
    <row r="22830">
      <c r="A22830" s="4" t="str">
        <f>IFERROR(__xludf.DUMMYFUNCTION("""COMPUTED_VALUE"""),"cas_hmw")</f>
        <v>cas_hmw</v>
      </c>
      <c r="B22830" s="5">
        <f>IFERROR(__xludf.DUMMYFUNCTION("""COMPUTED_VALUE"""),44790.0)</f>
        <v>44790</v>
      </c>
      <c r="C22830" s="6">
        <f>IFERROR(__xludf.DUMMYFUNCTION("""COMPUTED_VALUE"""),0.7301388888881775)</f>
        <v>0.7301388889</v>
      </c>
      <c r="D22830" s="4">
        <f>IFERROR(__xludf.DUMMYFUNCTION("""COMPUTED_VALUE"""),12.611565)</f>
        <v>12.611565</v>
      </c>
      <c r="E22830" s="4">
        <f>IFERROR(__xludf.DUMMYFUNCTION("""COMPUTED_VALUE"""),79.92369)</f>
        <v>79.92369</v>
      </c>
      <c r="F22830" s="4">
        <f>IFERROR(__xludf.DUMMYFUNCTION("""COMPUTED_VALUE"""),2846.0)</f>
        <v>2846</v>
      </c>
      <c r="G22830" s="4">
        <f>IFERROR(__xludf.DUMMYFUNCTION("""COMPUTED_VALUE"""),58.0)</f>
        <v>58</v>
      </c>
      <c r="H22830" s="4"/>
      <c r="I22830" s="4"/>
    </row>
    <row r="22831">
      <c r="A22831" s="4" t="str">
        <f>IFERROR(__xludf.DUMMYFUNCTION("""COMPUTED_VALUE"""),"cas_hmw")</f>
        <v>cas_hmw</v>
      </c>
      <c r="B22831" s="5">
        <f>IFERROR(__xludf.DUMMYFUNCTION("""COMPUTED_VALUE"""),44790.0)</f>
        <v>44790</v>
      </c>
      <c r="C22831" s="6">
        <f>IFERROR(__xludf.DUMMYFUNCTION("""COMPUTED_VALUE"""),0.7306481481464289)</f>
        <v>0.7306481481</v>
      </c>
      <c r="D22831" s="4">
        <f>IFERROR(__xludf.DUMMYFUNCTION("""COMPUTED_VALUE"""),12.605388)</f>
        <v>12.605388</v>
      </c>
      <c r="E22831" s="4">
        <f>IFERROR(__xludf.DUMMYFUNCTION("""COMPUTED_VALUE"""),79.920776)</f>
        <v>79.920776</v>
      </c>
      <c r="F22831" s="4">
        <f>IFERROR(__xludf.DUMMYFUNCTION("""COMPUTED_VALUE"""),2846.0)</f>
        <v>2846</v>
      </c>
      <c r="G22831" s="4">
        <f>IFERROR(__xludf.DUMMYFUNCTION("""COMPUTED_VALUE"""),38.0)</f>
        <v>38</v>
      </c>
      <c r="H22831" s="4"/>
      <c r="I22831" s="4"/>
    </row>
    <row r="22832">
      <c r="A22832" s="4" t="str">
        <f>IFERROR(__xludf.DUMMYFUNCTION("""COMPUTED_VALUE"""),"cas_hmw")</f>
        <v>cas_hmw</v>
      </c>
      <c r="B22832" s="5">
        <f>IFERROR(__xludf.DUMMYFUNCTION("""COMPUTED_VALUE"""),44790.0)</f>
        <v>44790</v>
      </c>
      <c r="C22832" s="6">
        <f>IFERROR(__xludf.DUMMYFUNCTION("""COMPUTED_VALUE"""),0.7306944444426335)</f>
        <v>0.7306944444</v>
      </c>
      <c r="D22832" s="4">
        <f>IFERROR(__xludf.DUMMYFUNCTION("""COMPUTED_VALUE"""),13.038126)</f>
        <v>13.038126</v>
      </c>
      <c r="E22832" s="4">
        <f>IFERROR(__xludf.DUMMYFUNCTION("""COMPUTED_VALUE"""),80.246632)</f>
        <v>80.246632</v>
      </c>
      <c r="F22832" s="4">
        <f>IFERROR(__xludf.DUMMYFUNCTION("""COMPUTED_VALUE"""),5339.0)</f>
        <v>5339</v>
      </c>
      <c r="G22832" s="4">
        <f>IFERROR(__xludf.DUMMYFUNCTION("""COMPUTED_VALUE"""),22.0)</f>
        <v>22</v>
      </c>
      <c r="H22832" s="4"/>
      <c r="I22832" s="4"/>
    </row>
    <row r="22833">
      <c r="A22833" s="4" t="str">
        <f>IFERROR(__xludf.DUMMYFUNCTION("""COMPUTED_VALUE"""),"cas_hmw")</f>
        <v>cas_hmw</v>
      </c>
      <c r="B22833" s="5">
        <f>IFERROR(__xludf.DUMMYFUNCTION("""COMPUTED_VALUE"""),44790.0)</f>
        <v>44790</v>
      </c>
      <c r="C22833" s="6">
        <f>IFERROR(__xludf.DUMMYFUNCTION("""COMPUTED_VALUE"""),0.7307060185194132)</f>
        <v>0.7307060185</v>
      </c>
      <c r="D22833" s="4">
        <f>IFERROR(__xludf.DUMMYFUNCTION("""COMPUTED_VALUE"""),13.038126)</f>
        <v>13.038126</v>
      </c>
      <c r="E22833" s="4">
        <f>IFERROR(__xludf.DUMMYFUNCTION("""COMPUTED_VALUE"""),80.246632)</f>
        <v>80.246632</v>
      </c>
      <c r="F22833" s="4">
        <f>IFERROR(__xludf.DUMMYFUNCTION("""COMPUTED_VALUE"""),5339.0)</f>
        <v>5339</v>
      </c>
      <c r="G22833" s="4">
        <f>IFERROR(__xludf.DUMMYFUNCTION("""COMPUTED_VALUE"""),22.0)</f>
        <v>22</v>
      </c>
      <c r="H22833" s="4"/>
      <c r="I22833" s="4"/>
    </row>
    <row r="22834">
      <c r="A22834" s="4" t="str">
        <f>IFERROR(__xludf.DUMMYFUNCTION("""COMPUTED_VALUE"""),"cas_hmw")</f>
        <v>cas_hmw</v>
      </c>
      <c r="B22834" s="5">
        <f>IFERROR(__xludf.DUMMYFUNCTION("""COMPUTED_VALUE"""),44790.0)</f>
        <v>44790</v>
      </c>
      <c r="C22834" s="6">
        <f>IFERROR(__xludf.DUMMYFUNCTION("""COMPUTED_VALUE"""),0.7309027777773736)</f>
        <v>0.7309027778</v>
      </c>
      <c r="D22834" s="4">
        <f>IFERROR(__xludf.DUMMYFUNCTION("""COMPUTED_VALUE"""),12.603115)</f>
        <v>12.603115</v>
      </c>
      <c r="E22834" s="4">
        <f>IFERROR(__xludf.DUMMYFUNCTION("""COMPUTED_VALUE"""),79.9203)</f>
        <v>79.9203</v>
      </c>
      <c r="F22834" s="4">
        <f>IFERROR(__xludf.DUMMYFUNCTION("""COMPUTED_VALUE"""),2846.0)</f>
        <v>2846</v>
      </c>
      <c r="G22834" s="4">
        <f>IFERROR(__xludf.DUMMYFUNCTION("""COMPUTED_VALUE"""),50.0)</f>
        <v>50</v>
      </c>
      <c r="H22834" s="4"/>
      <c r="I22834" s="4"/>
    </row>
    <row r="22835">
      <c r="A22835" s="4" t="str">
        <f>IFERROR(__xludf.DUMMYFUNCTION("""COMPUTED_VALUE"""),"cas_hmw")</f>
        <v>cas_hmw</v>
      </c>
      <c r="B22835" s="5">
        <f>IFERROR(__xludf.DUMMYFUNCTION("""COMPUTED_VALUE"""),44790.0)</f>
        <v>44790</v>
      </c>
      <c r="C22835" s="6">
        <f>IFERROR(__xludf.DUMMYFUNCTION("""COMPUTED_VALUE"""),0.7312500000007276)</f>
        <v>0.73125</v>
      </c>
      <c r="D22835" s="4">
        <f>IFERROR(__xludf.DUMMYFUNCTION("""COMPUTED_VALUE"""),12.599915)</f>
        <v>12.599915</v>
      </c>
      <c r="E22835" s="4">
        <f>IFERROR(__xludf.DUMMYFUNCTION("""COMPUTED_VALUE"""),79.920006)</f>
        <v>79.920006</v>
      </c>
      <c r="F22835" s="4">
        <f>IFERROR(__xludf.DUMMYFUNCTION("""COMPUTED_VALUE"""),2846.0)</f>
        <v>2846</v>
      </c>
      <c r="G22835" s="4">
        <f>IFERROR(__xludf.DUMMYFUNCTION("""COMPUTED_VALUE"""),40.0)</f>
        <v>40</v>
      </c>
      <c r="H22835" s="4"/>
      <c r="I22835" s="4"/>
    </row>
    <row r="22836">
      <c r="A22836" s="4" t="str">
        <f>IFERROR(__xludf.DUMMYFUNCTION("""COMPUTED_VALUE"""),"cas_hmw")</f>
        <v>cas_hmw</v>
      </c>
      <c r="B22836" s="5">
        <f>IFERROR(__xludf.DUMMYFUNCTION("""COMPUTED_VALUE"""),44790.0)</f>
        <v>44790</v>
      </c>
      <c r="C22836" s="6">
        <f>IFERROR(__xludf.DUMMYFUNCTION("""COMPUTED_VALUE"""),0.7315393518510973)</f>
        <v>0.7315393519</v>
      </c>
      <c r="D22836" s="4">
        <f>IFERROR(__xludf.DUMMYFUNCTION("""COMPUTED_VALUE"""),13.016446)</f>
        <v>13.016446</v>
      </c>
      <c r="E22836" s="4">
        <f>IFERROR(__xludf.DUMMYFUNCTION("""COMPUTED_VALUE"""),80.259725)</f>
        <v>80.259725</v>
      </c>
      <c r="F22836" s="4">
        <f>IFERROR(__xludf.DUMMYFUNCTION("""COMPUTED_VALUE"""),805.0)</f>
        <v>805</v>
      </c>
      <c r="G22836" s="4">
        <f>IFERROR(__xludf.DUMMYFUNCTION("""COMPUTED_VALUE"""),34.0)</f>
        <v>34</v>
      </c>
      <c r="H22836" s="4"/>
      <c r="I22836" s="4"/>
    </row>
    <row r="22837">
      <c r="A22837" s="4" t="str">
        <f>IFERROR(__xludf.DUMMYFUNCTION("""COMPUTED_VALUE"""),"cas_hmw")</f>
        <v>cas_hmw</v>
      </c>
      <c r="B22837" s="5">
        <f>IFERROR(__xludf.DUMMYFUNCTION("""COMPUTED_VALUE"""),44790.0)</f>
        <v>44790</v>
      </c>
      <c r="C22837" s="6">
        <f>IFERROR(__xludf.DUMMYFUNCTION("""COMPUTED_VALUE"""),0.7315972222204437)</f>
        <v>0.7315972222</v>
      </c>
      <c r="D22837" s="4">
        <f>IFERROR(__xludf.DUMMYFUNCTION("""COMPUTED_VALUE"""),12.599915)</f>
        <v>12.599915</v>
      </c>
      <c r="E22837" s="4">
        <f>IFERROR(__xludf.DUMMYFUNCTION("""COMPUTED_VALUE"""),79.920006)</f>
        <v>79.920006</v>
      </c>
      <c r="F22837" s="4">
        <f>IFERROR(__xludf.DUMMYFUNCTION("""COMPUTED_VALUE"""),2846.0)</f>
        <v>2846</v>
      </c>
      <c r="G22837" s="4">
        <f>IFERROR(__xludf.DUMMYFUNCTION("""COMPUTED_VALUE"""),40.0)</f>
        <v>40</v>
      </c>
      <c r="H22837" s="4"/>
      <c r="I22837" s="4"/>
    </row>
    <row r="22838">
      <c r="A22838" s="4" t="str">
        <f>IFERROR(__xludf.DUMMYFUNCTION("""COMPUTED_VALUE"""),"cas_hmw")</f>
        <v>cas_hmw</v>
      </c>
      <c r="B22838" s="5">
        <f>IFERROR(__xludf.DUMMYFUNCTION("""COMPUTED_VALUE"""),44790.0)</f>
        <v>44790</v>
      </c>
      <c r="C22838" s="6">
        <f>IFERROR(__xludf.DUMMYFUNCTION("""COMPUTED_VALUE"""),0.7316087962972233)</f>
        <v>0.7316087963</v>
      </c>
      <c r="D22838" s="4">
        <f>IFERROR(__xludf.DUMMYFUNCTION("""COMPUTED_VALUE"""),12.599915)</f>
        <v>12.599915</v>
      </c>
      <c r="E22838" s="4">
        <f>IFERROR(__xludf.DUMMYFUNCTION("""COMPUTED_VALUE"""),79.920006)</f>
        <v>79.920006</v>
      </c>
      <c r="F22838" s="4">
        <f>IFERROR(__xludf.DUMMYFUNCTION("""COMPUTED_VALUE"""),2846.0)</f>
        <v>2846</v>
      </c>
      <c r="G22838" s="4">
        <f>IFERROR(__xludf.DUMMYFUNCTION("""COMPUTED_VALUE"""),40.0)</f>
        <v>40</v>
      </c>
      <c r="H22838" s="4"/>
      <c r="I22838" s="4"/>
    </row>
    <row r="22839">
      <c r="A22839" s="4" t="str">
        <f>IFERROR(__xludf.DUMMYFUNCTION("""COMPUTED_VALUE"""),"cas_hmw")</f>
        <v>cas_hmw</v>
      </c>
      <c r="B22839" s="5">
        <f>IFERROR(__xludf.DUMMYFUNCTION("""COMPUTED_VALUE"""),44790.0)</f>
        <v>44790</v>
      </c>
      <c r="C22839" s="6">
        <f>IFERROR(__xludf.DUMMYFUNCTION("""COMPUTED_VALUE"""),0.731620370370365)</f>
        <v>0.7316203704</v>
      </c>
      <c r="D22839" s="4">
        <f>IFERROR(__xludf.DUMMYFUNCTION("""COMPUTED_VALUE"""),13.016446)</f>
        <v>13.016446</v>
      </c>
      <c r="E22839" s="4">
        <f>IFERROR(__xludf.DUMMYFUNCTION("""COMPUTED_VALUE"""),80.259725)</f>
        <v>80.259725</v>
      </c>
      <c r="F22839" s="4">
        <f>IFERROR(__xludf.DUMMYFUNCTION("""COMPUTED_VALUE"""),805.0)</f>
        <v>805</v>
      </c>
      <c r="G22839" s="4">
        <f>IFERROR(__xludf.DUMMYFUNCTION("""COMPUTED_VALUE"""),34.0)</f>
        <v>34</v>
      </c>
      <c r="H22839" s="4"/>
      <c r="I22839" s="4"/>
    </row>
    <row r="22840">
      <c r="A22840" s="4" t="str">
        <f>IFERROR(__xludf.DUMMYFUNCTION("""COMPUTED_VALUE"""),"cas_hmw")</f>
        <v>cas_hmw</v>
      </c>
      <c r="B22840" s="5">
        <f>IFERROR(__xludf.DUMMYFUNCTION("""COMPUTED_VALUE"""),44790.0)</f>
        <v>44790</v>
      </c>
      <c r="C22840" s="6">
        <f>IFERROR(__xludf.DUMMYFUNCTION("""COMPUTED_VALUE"""),0.731620370370365)</f>
        <v>0.7316203704</v>
      </c>
      <c r="D22840" s="4">
        <f>IFERROR(__xludf.DUMMYFUNCTION("""COMPUTED_VALUE"""),12.596489)</f>
        <v>12.596489</v>
      </c>
      <c r="E22840" s="4">
        <f>IFERROR(__xludf.DUMMYFUNCTION("""COMPUTED_VALUE"""),79.919619)</f>
        <v>79.919619</v>
      </c>
      <c r="F22840" s="4">
        <f>IFERROR(__xludf.DUMMYFUNCTION("""COMPUTED_VALUE"""),2846.0)</f>
        <v>2846</v>
      </c>
      <c r="G22840" s="4">
        <f>IFERROR(__xludf.DUMMYFUNCTION("""COMPUTED_VALUE"""),56.0)</f>
        <v>56</v>
      </c>
      <c r="H22840" s="4"/>
      <c r="I22840" s="4"/>
    </row>
    <row r="22841">
      <c r="A22841" s="4" t="str">
        <f>IFERROR(__xludf.DUMMYFUNCTION("""COMPUTED_VALUE"""),"cas_hmw")</f>
        <v>cas_hmw</v>
      </c>
      <c r="B22841" s="5">
        <f>IFERROR(__xludf.DUMMYFUNCTION("""COMPUTED_VALUE"""),44790.0)</f>
        <v>44790</v>
      </c>
      <c r="C22841" s="6">
        <f>IFERROR(__xludf.DUMMYFUNCTION("""COMPUTED_VALUE"""),0.7317708333321207)</f>
        <v>0.7317708333</v>
      </c>
      <c r="D22841" s="4">
        <f>IFERROR(__xludf.DUMMYFUNCTION("""COMPUTED_VALUE"""),13.042376)</f>
        <v>13.042376</v>
      </c>
      <c r="E22841" s="4">
        <f>IFERROR(__xludf.DUMMYFUNCTION("""COMPUTED_VALUE"""),80.247433)</f>
        <v>80.247433</v>
      </c>
      <c r="F22841" s="4">
        <f>IFERROR(__xludf.DUMMYFUNCTION("""COMPUTED_VALUE"""),5339.0)</f>
        <v>5339</v>
      </c>
      <c r="G22841" s="4">
        <f>IFERROR(__xludf.DUMMYFUNCTION("""COMPUTED_VALUE"""),13.0)</f>
        <v>13</v>
      </c>
      <c r="H22841" s="4"/>
      <c r="I22841" s="4"/>
    </row>
    <row r="22842">
      <c r="A22842" s="4" t="str">
        <f>IFERROR(__xludf.DUMMYFUNCTION("""COMPUTED_VALUE"""),"cas_hmw")</f>
        <v>cas_hmw</v>
      </c>
      <c r="B22842" s="5">
        <f>IFERROR(__xludf.DUMMYFUNCTION("""COMPUTED_VALUE"""),44790.0)</f>
        <v>44790</v>
      </c>
      <c r="C22842" s="6">
        <f>IFERROR(__xludf.DUMMYFUNCTION("""COMPUTED_VALUE"""),0.7317824074089003)</f>
        <v>0.7317824074</v>
      </c>
      <c r="D22842" s="4">
        <f>IFERROR(__xludf.DUMMYFUNCTION("""COMPUTED_VALUE"""),13.042376)</f>
        <v>13.042376</v>
      </c>
      <c r="E22842" s="4">
        <f>IFERROR(__xludf.DUMMYFUNCTION("""COMPUTED_VALUE"""),80.247433)</f>
        <v>80.247433</v>
      </c>
      <c r="F22842" s="4">
        <f>IFERROR(__xludf.DUMMYFUNCTION("""COMPUTED_VALUE"""),5339.0)</f>
        <v>5339</v>
      </c>
      <c r="G22842" s="4">
        <f>IFERROR(__xludf.DUMMYFUNCTION("""COMPUTED_VALUE"""),13.0)</f>
        <v>13</v>
      </c>
      <c r="H22842" s="4"/>
      <c r="I22842" s="4"/>
    </row>
    <row r="22843">
      <c r="A22843" s="4" t="str">
        <f>IFERROR(__xludf.DUMMYFUNCTION("""COMPUTED_VALUE"""),"cas_hmw")</f>
        <v>cas_hmw</v>
      </c>
      <c r="B22843" s="5">
        <f>IFERROR(__xludf.DUMMYFUNCTION("""COMPUTED_VALUE"""),44790.0)</f>
        <v>44790</v>
      </c>
      <c r="C22843" s="6">
        <f>IFERROR(__xludf.DUMMYFUNCTION("""COMPUTED_VALUE"""),0.7317824074089003)</f>
        <v>0.7317824074</v>
      </c>
      <c r="D22843" s="4">
        <f>IFERROR(__xludf.DUMMYFUNCTION("""COMPUTED_VALUE"""),13.042376)</f>
        <v>13.042376</v>
      </c>
      <c r="E22843" s="4">
        <f>IFERROR(__xludf.DUMMYFUNCTION("""COMPUTED_VALUE"""),80.247433)</f>
        <v>80.247433</v>
      </c>
      <c r="F22843" s="4">
        <f>IFERROR(__xludf.DUMMYFUNCTION("""COMPUTED_VALUE"""),5339.0)</f>
        <v>5339</v>
      </c>
      <c r="G22843" s="4">
        <f>IFERROR(__xludf.DUMMYFUNCTION("""COMPUTED_VALUE"""),13.0)</f>
        <v>13</v>
      </c>
      <c r="H22843" s="4"/>
      <c r="I22843" s="4"/>
    </row>
    <row r="22844">
      <c r="A22844" s="4" t="str">
        <f>IFERROR(__xludf.DUMMYFUNCTION("""COMPUTED_VALUE"""),"cas_hmw")</f>
        <v>cas_hmw</v>
      </c>
      <c r="B22844" s="5">
        <f>IFERROR(__xludf.DUMMYFUNCTION("""COMPUTED_VALUE"""),44790.0)</f>
        <v>44790</v>
      </c>
      <c r="C22844" s="6">
        <f>IFERROR(__xludf.DUMMYFUNCTION("""COMPUTED_VALUE"""),0.7318171296283253)</f>
        <v>0.7318171296</v>
      </c>
      <c r="D22844" s="4">
        <f>IFERROR(__xludf.DUMMYFUNCTION("""COMPUTED_VALUE"""),13.042376)</f>
        <v>13.042376</v>
      </c>
      <c r="E22844" s="4">
        <f>IFERROR(__xludf.DUMMYFUNCTION("""COMPUTED_VALUE"""),80.247433)</f>
        <v>80.247433</v>
      </c>
      <c r="F22844" s="4">
        <f>IFERROR(__xludf.DUMMYFUNCTION("""COMPUTED_VALUE"""),5339.0)</f>
        <v>5339</v>
      </c>
      <c r="G22844" s="4">
        <f>IFERROR(__xludf.DUMMYFUNCTION("""COMPUTED_VALUE"""),13.0)</f>
        <v>13</v>
      </c>
      <c r="H22844" s="4"/>
      <c r="I22844" s="4"/>
    </row>
    <row r="22845">
      <c r="A22845" s="4" t="str">
        <f>IFERROR(__xludf.DUMMYFUNCTION("""COMPUTED_VALUE"""),"cas_hmw")</f>
        <v>cas_hmw</v>
      </c>
      <c r="B22845" s="5">
        <f>IFERROR(__xludf.DUMMYFUNCTION("""COMPUTED_VALUE"""),44790.0)</f>
        <v>44790</v>
      </c>
      <c r="C22845" s="6">
        <f>IFERROR(__xludf.DUMMYFUNCTION("""COMPUTED_VALUE"""),0.732002314813144)</f>
        <v>0.7320023148</v>
      </c>
      <c r="D22845" s="4">
        <f>IFERROR(__xludf.DUMMYFUNCTION("""COMPUTED_VALUE"""),13.043767)</f>
        <v>13.043767</v>
      </c>
      <c r="E22845" s="4">
        <f>IFERROR(__xludf.DUMMYFUNCTION("""COMPUTED_VALUE"""),80.247741)</f>
        <v>80.247741</v>
      </c>
      <c r="F22845" s="4">
        <f>IFERROR(__xludf.DUMMYFUNCTION("""COMPUTED_VALUE"""),5339.0)</f>
        <v>5339</v>
      </c>
      <c r="G22845" s="4">
        <f>IFERROR(__xludf.DUMMYFUNCTION("""COMPUTED_VALUE"""),39.0)</f>
        <v>39</v>
      </c>
      <c r="H22845" s="4"/>
      <c r="I22845" s="4"/>
    </row>
    <row r="22846">
      <c r="A22846" s="4" t="str">
        <f>IFERROR(__xludf.DUMMYFUNCTION("""COMPUTED_VALUE"""),"cas_hmw")</f>
        <v>cas_hmw</v>
      </c>
      <c r="B22846" s="5">
        <f>IFERROR(__xludf.DUMMYFUNCTION("""COMPUTED_VALUE"""),44790.0)</f>
        <v>44790</v>
      </c>
      <c r="C22846" s="6">
        <f>IFERROR(__xludf.DUMMYFUNCTION("""COMPUTED_VALUE"""),0.7320254629630654)</f>
        <v>0.732025463</v>
      </c>
      <c r="D22846" s="4">
        <f>IFERROR(__xludf.DUMMYFUNCTION("""COMPUTED_VALUE"""),13.043767)</f>
        <v>13.043767</v>
      </c>
      <c r="E22846" s="4">
        <f>IFERROR(__xludf.DUMMYFUNCTION("""COMPUTED_VALUE"""),80.247741)</f>
        <v>80.247741</v>
      </c>
      <c r="F22846" s="4">
        <f>IFERROR(__xludf.DUMMYFUNCTION("""COMPUTED_VALUE"""),5339.0)</f>
        <v>5339</v>
      </c>
      <c r="G22846" s="4">
        <f>IFERROR(__xludf.DUMMYFUNCTION("""COMPUTED_VALUE"""),39.0)</f>
        <v>39</v>
      </c>
      <c r="H22846" s="4"/>
      <c r="I22846" s="4"/>
    </row>
    <row r="22847">
      <c r="A22847" s="4" t="str">
        <f>IFERROR(__xludf.DUMMYFUNCTION("""COMPUTED_VALUE"""),"cas_hmw")</f>
        <v>cas_hmw</v>
      </c>
      <c r="B22847" s="5">
        <f>IFERROR(__xludf.DUMMYFUNCTION("""COMPUTED_VALUE"""),44790.0)</f>
        <v>44790</v>
      </c>
      <c r="C22847" s="6">
        <f>IFERROR(__xludf.DUMMYFUNCTION("""COMPUTED_VALUE"""),0.7324999999982538)</f>
        <v>0.7325</v>
      </c>
      <c r="D22847" s="4">
        <f>IFERROR(__xludf.DUMMYFUNCTION("""COMPUTED_VALUE"""),13.046513)</f>
        <v>13.046513</v>
      </c>
      <c r="E22847" s="4">
        <f>IFERROR(__xludf.DUMMYFUNCTION("""COMPUTED_VALUE"""),80.248303)</f>
        <v>80.248303</v>
      </c>
      <c r="F22847" s="4">
        <f>IFERROR(__xludf.DUMMYFUNCTION("""COMPUTED_VALUE"""),5339.0)</f>
        <v>5339</v>
      </c>
      <c r="G22847" s="4">
        <f>IFERROR(__xludf.DUMMYFUNCTION("""COMPUTED_VALUE"""),12.0)</f>
        <v>12</v>
      </c>
      <c r="H22847" s="4"/>
      <c r="I22847" s="4"/>
    </row>
    <row r="22848">
      <c r="A22848" s="4" t="str">
        <f>IFERROR(__xludf.DUMMYFUNCTION("""COMPUTED_VALUE"""),"cas_hmw")</f>
        <v>cas_hmw</v>
      </c>
      <c r="B22848" s="5">
        <f>IFERROR(__xludf.DUMMYFUNCTION("""COMPUTED_VALUE"""),44790.0)</f>
        <v>44790</v>
      </c>
      <c r="C22848" s="6">
        <f>IFERROR(__xludf.DUMMYFUNCTION("""COMPUTED_VALUE"""),0.7325115740750334)</f>
        <v>0.7325115741</v>
      </c>
      <c r="D22848" s="4">
        <f>IFERROR(__xludf.DUMMYFUNCTION("""COMPUTED_VALUE"""),13.046513)</f>
        <v>13.046513</v>
      </c>
      <c r="E22848" s="4">
        <f>IFERROR(__xludf.DUMMYFUNCTION("""COMPUTED_VALUE"""),80.248303)</f>
        <v>80.248303</v>
      </c>
      <c r="F22848" s="4">
        <f>IFERROR(__xludf.DUMMYFUNCTION("""COMPUTED_VALUE"""),5339.0)</f>
        <v>5339</v>
      </c>
      <c r="G22848" s="4">
        <f>IFERROR(__xludf.DUMMYFUNCTION("""COMPUTED_VALUE"""),12.0)</f>
        <v>12</v>
      </c>
      <c r="H22848" s="4"/>
      <c r="I22848" s="4"/>
    </row>
    <row r="22849">
      <c r="A22849" s="4" t="str">
        <f>IFERROR(__xludf.DUMMYFUNCTION("""COMPUTED_VALUE"""),"cas_hmw")</f>
        <v>cas_hmw</v>
      </c>
      <c r="B22849" s="5">
        <f>IFERROR(__xludf.DUMMYFUNCTION("""COMPUTED_VALUE"""),44790.0)</f>
        <v>44790</v>
      </c>
      <c r="C22849" s="6">
        <f>IFERROR(__xludf.DUMMYFUNCTION("""COMPUTED_VALUE"""),0.7325231481481751)</f>
        <v>0.7325231481</v>
      </c>
      <c r="D22849" s="4">
        <f>IFERROR(__xludf.DUMMYFUNCTION("""COMPUTED_VALUE"""),13.046995)</f>
        <v>13.046995</v>
      </c>
      <c r="E22849" s="4">
        <f>IFERROR(__xludf.DUMMYFUNCTION("""COMPUTED_VALUE"""),80.248417)</f>
        <v>80.248417</v>
      </c>
      <c r="F22849" s="4">
        <f>IFERROR(__xludf.DUMMYFUNCTION("""COMPUTED_VALUE"""),5339.0)</f>
        <v>5339</v>
      </c>
      <c r="G22849" s="4">
        <f>IFERROR(__xludf.DUMMYFUNCTION("""COMPUTED_VALUE"""),27.0)</f>
        <v>27</v>
      </c>
      <c r="H22849" s="4"/>
      <c r="I22849" s="4"/>
    </row>
    <row r="22850">
      <c r="A22850" s="4" t="str">
        <f>IFERROR(__xludf.DUMMYFUNCTION("""COMPUTED_VALUE"""),"cas_hmw")</f>
        <v>cas_hmw</v>
      </c>
      <c r="B22850" s="5">
        <f>IFERROR(__xludf.DUMMYFUNCTION("""COMPUTED_VALUE"""),44790.0)</f>
        <v>44790</v>
      </c>
      <c r="C22850" s="6">
        <f>IFERROR(__xludf.DUMMYFUNCTION("""COMPUTED_VALUE"""),0.7326157407405844)</f>
        <v>0.7326157407</v>
      </c>
      <c r="D22850" s="4">
        <f>IFERROR(__xludf.DUMMYFUNCTION("""COMPUTED_VALUE"""),12.583462)</f>
        <v>12.583462</v>
      </c>
      <c r="E22850" s="4">
        <f>IFERROR(__xludf.DUMMYFUNCTION("""COMPUTED_VALUE"""),79.919276)</f>
        <v>79.919276</v>
      </c>
      <c r="F22850" s="4">
        <f>IFERROR(__xludf.DUMMYFUNCTION("""COMPUTED_VALUE"""),2846.0)</f>
        <v>2846</v>
      </c>
      <c r="G22850" s="4">
        <f>IFERROR(__xludf.DUMMYFUNCTION("""COMPUTED_VALUE"""),57.0)</f>
        <v>57</v>
      </c>
      <c r="H22850" s="4"/>
      <c r="I22850" s="4"/>
    </row>
    <row r="22851">
      <c r="A22851" s="4" t="str">
        <f>IFERROR(__xludf.DUMMYFUNCTION("""COMPUTED_VALUE"""),"cas_hmw")</f>
        <v>cas_hmw</v>
      </c>
      <c r="B22851" s="5">
        <f>IFERROR(__xludf.DUMMYFUNCTION("""COMPUTED_VALUE"""),44790.0)</f>
        <v>44790</v>
      </c>
      <c r="C22851" s="6">
        <f>IFERROR(__xludf.DUMMYFUNCTION("""COMPUTED_VALUE"""),0.7329745370370802)</f>
        <v>0.732974537</v>
      </c>
      <c r="D22851" s="4">
        <f>IFERROR(__xludf.DUMMYFUNCTION("""COMPUTED_VALUE"""),13.046995)</f>
        <v>13.046995</v>
      </c>
      <c r="E22851" s="4">
        <f>IFERROR(__xludf.DUMMYFUNCTION("""COMPUTED_VALUE"""),80.248417)</f>
        <v>80.248417</v>
      </c>
      <c r="F22851" s="4">
        <f>IFERROR(__xludf.DUMMYFUNCTION("""COMPUTED_VALUE"""),5339.0)</f>
        <v>5339</v>
      </c>
      <c r="G22851" s="4">
        <f>IFERROR(__xludf.DUMMYFUNCTION("""COMPUTED_VALUE"""),27.0)</f>
        <v>27</v>
      </c>
      <c r="H22851" s="4"/>
      <c r="I22851" s="4"/>
    </row>
    <row r="22852">
      <c r="A22852" s="4" t="str">
        <f>IFERROR(__xludf.DUMMYFUNCTION("""COMPUTED_VALUE"""),"cas_hmw")</f>
        <v>cas_hmw</v>
      </c>
      <c r="B22852" s="5">
        <f>IFERROR(__xludf.DUMMYFUNCTION("""COMPUTED_VALUE"""),44790.0)</f>
        <v>44790</v>
      </c>
      <c r="C22852" s="6">
        <f>IFERROR(__xludf.DUMMYFUNCTION("""COMPUTED_VALUE"""),0.7331249999988358)</f>
        <v>0.733125</v>
      </c>
      <c r="D22852" s="4">
        <f>IFERROR(__xludf.DUMMYFUNCTION("""COMPUTED_VALUE"""),13.022252)</f>
        <v>13.022252</v>
      </c>
      <c r="E22852" s="4">
        <f>IFERROR(__xludf.DUMMYFUNCTION("""COMPUTED_VALUE"""),80.263385)</f>
        <v>80.263385</v>
      </c>
      <c r="F22852" s="4">
        <f>IFERROR(__xludf.DUMMYFUNCTION("""COMPUTED_VALUE"""),805.0)</f>
        <v>805</v>
      </c>
      <c r="G22852" s="4">
        <f>IFERROR(__xludf.DUMMYFUNCTION("""COMPUTED_VALUE"""),36.0)</f>
        <v>36</v>
      </c>
      <c r="H22852" s="4"/>
      <c r="I22852" s="4"/>
    </row>
    <row r="22853">
      <c r="A22853" s="4" t="str">
        <f>IFERROR(__xludf.DUMMYFUNCTION("""COMPUTED_VALUE"""),"cas_hmw")</f>
        <v>cas_hmw</v>
      </c>
      <c r="B22853" s="5">
        <f>IFERROR(__xludf.DUMMYFUNCTION("""COMPUTED_VALUE"""),44790.0)</f>
        <v>44790</v>
      </c>
      <c r="C22853" s="6">
        <f>IFERROR(__xludf.DUMMYFUNCTION("""COMPUTED_VALUE"""),0.7331712962950405)</f>
        <v>0.7331712963</v>
      </c>
      <c r="D22853" s="4">
        <f>IFERROR(__xludf.DUMMYFUNCTION("""COMPUTED_VALUE"""),13.051665)</f>
        <v>13.051665</v>
      </c>
      <c r="E22853" s="4">
        <f>IFERROR(__xludf.DUMMYFUNCTION("""COMPUTED_VALUE"""),80.250311)</f>
        <v>80.250311</v>
      </c>
      <c r="F22853" s="4">
        <f>IFERROR(__xludf.DUMMYFUNCTION("""COMPUTED_VALUE"""),5339.0)</f>
        <v>5339</v>
      </c>
      <c r="G22853" s="4">
        <f>IFERROR(__xludf.DUMMYFUNCTION("""COMPUTED_VALUE"""),41.0)</f>
        <v>41</v>
      </c>
      <c r="H22853" s="4"/>
      <c r="I22853" s="4"/>
    </row>
    <row r="22854">
      <c r="A22854" s="4" t="str">
        <f>IFERROR(__xludf.DUMMYFUNCTION("""COMPUTED_VALUE"""),"cas_hmw")</f>
        <v>cas_hmw</v>
      </c>
      <c r="B22854" s="5">
        <f>IFERROR(__xludf.DUMMYFUNCTION("""COMPUTED_VALUE"""),44790.0)</f>
        <v>44790</v>
      </c>
      <c r="C22854" s="6">
        <f>IFERROR(__xludf.DUMMYFUNCTION("""COMPUTED_VALUE"""),0.7353819444433611)</f>
        <v>0.7353819444</v>
      </c>
      <c r="D22854" s="4">
        <f>IFERROR(__xludf.DUMMYFUNCTION("""COMPUTED_VALUE"""),13.055417)</f>
        <v>13.055417</v>
      </c>
      <c r="E22854" s="4">
        <f>IFERROR(__xludf.DUMMYFUNCTION("""COMPUTED_VALUE"""),80.255073)</f>
        <v>80.255073</v>
      </c>
      <c r="F22854" s="4">
        <f>IFERROR(__xludf.DUMMYFUNCTION("""COMPUTED_VALUE"""),5339.0)</f>
        <v>5339</v>
      </c>
      <c r="G22854" s="4">
        <f>IFERROR(__xludf.DUMMYFUNCTION("""COMPUTED_VALUE"""),18.0)</f>
        <v>18</v>
      </c>
      <c r="H22854" s="4"/>
      <c r="I22854" s="4"/>
    </row>
    <row r="22855">
      <c r="A22855" s="4" t="str">
        <f>IFERROR(__xludf.DUMMYFUNCTION("""COMPUTED_VALUE"""),"cas_hmw")</f>
        <v>cas_hmw</v>
      </c>
      <c r="B22855" s="5">
        <f>IFERROR(__xludf.DUMMYFUNCTION("""COMPUTED_VALUE"""),44790.0)</f>
        <v>44790</v>
      </c>
      <c r="C22855" s="6">
        <f>IFERROR(__xludf.DUMMYFUNCTION("""COMPUTED_VALUE"""),0.7353935185201408)</f>
        <v>0.7353935185</v>
      </c>
      <c r="D22855" s="4">
        <f>IFERROR(__xludf.DUMMYFUNCTION("""COMPUTED_VALUE"""),13.055417)</f>
        <v>13.055417</v>
      </c>
      <c r="E22855" s="4">
        <f>IFERROR(__xludf.DUMMYFUNCTION("""COMPUTED_VALUE"""),80.255073)</f>
        <v>80.255073</v>
      </c>
      <c r="F22855" s="4">
        <f>IFERROR(__xludf.DUMMYFUNCTION("""COMPUTED_VALUE"""),5339.0)</f>
        <v>5339</v>
      </c>
      <c r="G22855" s="4">
        <f>IFERROR(__xludf.DUMMYFUNCTION("""COMPUTED_VALUE"""),18.0)</f>
        <v>18</v>
      </c>
      <c r="H22855" s="4"/>
      <c r="I22855" s="4"/>
    </row>
    <row r="22856">
      <c r="A22856" s="4" t="str">
        <f>IFERROR(__xludf.DUMMYFUNCTION("""COMPUTED_VALUE"""),"cas_hmw")</f>
        <v>cas_hmw</v>
      </c>
      <c r="B22856" s="5">
        <f>IFERROR(__xludf.DUMMYFUNCTION("""COMPUTED_VALUE"""),44790.0)</f>
        <v>44790</v>
      </c>
      <c r="C22856" s="6">
        <f>IFERROR(__xludf.DUMMYFUNCTION("""COMPUTED_VALUE"""),0.7356597222205892)</f>
        <v>0.7356597222</v>
      </c>
      <c r="D22856" s="4">
        <f>IFERROR(__xludf.DUMMYFUNCTION("""COMPUTED_VALUE"""),13.055758)</f>
        <v>13.055758</v>
      </c>
      <c r="E22856" s="4">
        <f>IFERROR(__xludf.DUMMYFUNCTION("""COMPUTED_VALUE"""),80.255555)</f>
        <v>80.255555</v>
      </c>
      <c r="F22856" s="4">
        <f>IFERROR(__xludf.DUMMYFUNCTION("""COMPUTED_VALUE"""),5339.0)</f>
        <v>5339</v>
      </c>
      <c r="G22856" s="4">
        <f>IFERROR(__xludf.DUMMYFUNCTION("""COMPUTED_VALUE"""),28.0)</f>
        <v>28</v>
      </c>
      <c r="H22856" s="4"/>
      <c r="I22856" s="4"/>
    </row>
    <row r="22857">
      <c r="A22857" s="4" t="str">
        <f>IFERROR(__xludf.DUMMYFUNCTION("""COMPUTED_VALUE"""),"cas_hmw")</f>
        <v>cas_hmw</v>
      </c>
      <c r="B22857" s="5">
        <f>IFERROR(__xludf.DUMMYFUNCTION("""COMPUTED_VALUE"""),44790.0)</f>
        <v>44790</v>
      </c>
      <c r="C22857" s="6">
        <f>IFERROR(__xludf.DUMMYFUNCTION("""COMPUTED_VALUE"""),0.7356712962973688)</f>
        <v>0.7356712963</v>
      </c>
      <c r="D22857" s="4">
        <f>IFERROR(__xludf.DUMMYFUNCTION("""COMPUTED_VALUE"""),13.05675)</f>
        <v>13.05675</v>
      </c>
      <c r="E22857" s="4">
        <f>IFERROR(__xludf.DUMMYFUNCTION("""COMPUTED_VALUE"""),80.256693)</f>
        <v>80.256693</v>
      </c>
      <c r="F22857" s="4">
        <f>IFERROR(__xludf.DUMMYFUNCTION("""COMPUTED_VALUE"""),5339.0)</f>
        <v>5339</v>
      </c>
      <c r="G22857" s="4">
        <f>IFERROR(__xludf.DUMMYFUNCTION("""COMPUTED_VALUE"""),25.0)</f>
        <v>25</v>
      </c>
      <c r="H22857" s="4"/>
      <c r="I22857" s="4"/>
    </row>
    <row r="22858">
      <c r="A22858" s="4" t="str">
        <f>IFERROR(__xludf.DUMMYFUNCTION("""COMPUTED_VALUE"""),"cas_hmw")</f>
        <v>cas_hmw</v>
      </c>
      <c r="B22858" s="5">
        <f>IFERROR(__xludf.DUMMYFUNCTION("""COMPUTED_VALUE"""),44790.0)</f>
        <v>44790</v>
      </c>
      <c r="C22858" s="6">
        <f>IFERROR(__xludf.DUMMYFUNCTION("""COMPUTED_VALUE"""),0.7360995370363526)</f>
        <v>0.736099537</v>
      </c>
      <c r="D22858" s="4">
        <f>IFERROR(__xludf.DUMMYFUNCTION("""COMPUTED_VALUE"""),12.968523)</f>
        <v>12.968523</v>
      </c>
      <c r="E22858" s="4">
        <f>IFERROR(__xludf.DUMMYFUNCTION("""COMPUTED_VALUE"""),80.218063)</f>
        <v>80.218063</v>
      </c>
      <c r="F22858" s="4">
        <f>IFERROR(__xludf.DUMMYFUNCTION("""COMPUTED_VALUE"""),3143.0)</f>
        <v>3143</v>
      </c>
      <c r="G22858" s="4">
        <f>IFERROR(__xludf.DUMMYFUNCTION("""COMPUTED_VALUE"""),46.0)</f>
        <v>46</v>
      </c>
      <c r="H22858" s="4"/>
      <c r="I22858" s="4"/>
    </row>
    <row r="22859">
      <c r="A22859" s="4" t="str">
        <f>IFERROR(__xludf.DUMMYFUNCTION("""COMPUTED_VALUE"""),"cas_hmw")</f>
        <v>cas_hmw</v>
      </c>
      <c r="B22859" s="5">
        <f>IFERROR(__xludf.DUMMYFUNCTION("""COMPUTED_VALUE"""),44790.0)</f>
        <v>44790</v>
      </c>
      <c r="C22859" s="6">
        <f>IFERROR(__xludf.DUMMYFUNCTION("""COMPUTED_VALUE"""),0.7362384259249666)</f>
        <v>0.7362384259</v>
      </c>
      <c r="D22859" s="4">
        <f>IFERROR(__xludf.DUMMYFUNCTION("""COMPUTED_VALUE"""),12.967657)</f>
        <v>12.967657</v>
      </c>
      <c r="E22859" s="4">
        <f>IFERROR(__xludf.DUMMYFUNCTION("""COMPUTED_VALUE"""),80.217702)</f>
        <v>80.217702</v>
      </c>
      <c r="F22859" s="4">
        <f>IFERROR(__xludf.DUMMYFUNCTION("""COMPUTED_VALUE"""),3143.0)</f>
        <v>3143</v>
      </c>
      <c r="G22859" s="4">
        <f>IFERROR(__xludf.DUMMYFUNCTION("""COMPUTED_VALUE"""),35.0)</f>
        <v>35</v>
      </c>
      <c r="H22859" s="4"/>
      <c r="I22859" s="4"/>
    </row>
    <row r="22860">
      <c r="A22860" s="4" t="str">
        <f>IFERROR(__xludf.DUMMYFUNCTION("""COMPUTED_VALUE"""),"cas_hmw")</f>
        <v>cas_hmw</v>
      </c>
      <c r="B22860" s="5">
        <f>IFERROR(__xludf.DUMMYFUNCTION("""COMPUTED_VALUE"""),44790.0)</f>
        <v>44790</v>
      </c>
      <c r="C22860" s="6">
        <f>IFERROR(__xludf.DUMMYFUNCTION("""COMPUTED_VALUE"""),0.7362500000017462)</f>
        <v>0.73625</v>
      </c>
      <c r="D22860" s="4">
        <f>IFERROR(__xludf.DUMMYFUNCTION("""COMPUTED_VALUE"""),12.967657)</f>
        <v>12.967657</v>
      </c>
      <c r="E22860" s="4">
        <f>IFERROR(__xludf.DUMMYFUNCTION("""COMPUTED_VALUE"""),80.217702)</f>
        <v>80.217702</v>
      </c>
      <c r="F22860" s="4">
        <f>IFERROR(__xludf.DUMMYFUNCTION("""COMPUTED_VALUE"""),3143.0)</f>
        <v>3143</v>
      </c>
      <c r="G22860" s="4">
        <f>IFERROR(__xludf.DUMMYFUNCTION("""COMPUTED_VALUE"""),35.0)</f>
        <v>35</v>
      </c>
      <c r="H22860" s="4"/>
      <c r="I22860" s="4"/>
    </row>
    <row r="22861">
      <c r="A22861" s="4" t="str">
        <f>IFERROR(__xludf.DUMMYFUNCTION("""COMPUTED_VALUE"""),"cas_hmw")</f>
        <v>cas_hmw</v>
      </c>
      <c r="B22861" s="5">
        <f>IFERROR(__xludf.DUMMYFUNCTION("""COMPUTED_VALUE"""),44790.0)</f>
        <v>44790</v>
      </c>
      <c r="C22861" s="6">
        <f>IFERROR(__xludf.DUMMYFUNCTION("""COMPUTED_VALUE"""),0.7364467592597066)</f>
        <v>0.7364467593</v>
      </c>
      <c r="D22861" s="4">
        <f>IFERROR(__xludf.DUMMYFUNCTION("""COMPUTED_VALUE"""),12.966189)</f>
        <v>12.966189</v>
      </c>
      <c r="E22861" s="4">
        <f>IFERROR(__xludf.DUMMYFUNCTION("""COMPUTED_VALUE"""),80.217127)</f>
        <v>80.217127</v>
      </c>
      <c r="F22861" s="4">
        <f>IFERROR(__xludf.DUMMYFUNCTION("""COMPUTED_VALUE"""),3143.0)</f>
        <v>3143</v>
      </c>
      <c r="G22861" s="4">
        <f>IFERROR(__xludf.DUMMYFUNCTION("""COMPUTED_VALUE"""),41.0)</f>
        <v>41</v>
      </c>
      <c r="H22861" s="4"/>
      <c r="I22861" s="4"/>
    </row>
    <row r="22862">
      <c r="A22862" s="4" t="str">
        <f>IFERROR(__xludf.DUMMYFUNCTION("""COMPUTED_VALUE"""),"cas_hmw")</f>
        <v>cas_hmw</v>
      </c>
      <c r="B22862" s="5">
        <f>IFERROR(__xludf.DUMMYFUNCTION("""COMPUTED_VALUE"""),44790.0)</f>
        <v>44790</v>
      </c>
      <c r="C22862" s="6">
        <f>IFERROR(__xludf.DUMMYFUNCTION("""COMPUTED_VALUE"""),0.7367361111100763)</f>
        <v>0.7367361111</v>
      </c>
      <c r="D22862" s="4">
        <f>IFERROR(__xludf.DUMMYFUNCTION("""COMPUTED_VALUE"""),12.536014)</f>
        <v>12.536014</v>
      </c>
      <c r="E22862" s="4">
        <f>IFERROR(__xludf.DUMMYFUNCTION("""COMPUTED_VALUE"""),79.902542)</f>
        <v>79.902542</v>
      </c>
      <c r="F22862" s="4">
        <f>IFERROR(__xludf.DUMMYFUNCTION("""COMPUTED_VALUE"""),2846.0)</f>
        <v>2846</v>
      </c>
      <c r="G22862" s="4">
        <f>IFERROR(__xludf.DUMMYFUNCTION("""COMPUTED_VALUE"""),56.0)</f>
        <v>56</v>
      </c>
      <c r="H22862" s="4"/>
      <c r="I22862" s="4"/>
    </row>
    <row r="22863">
      <c r="A22863" s="4" t="str">
        <f>IFERROR(__xludf.DUMMYFUNCTION("""COMPUTED_VALUE"""),"cas_hmw")</f>
        <v>cas_hmw</v>
      </c>
      <c r="B22863" s="5">
        <f>IFERROR(__xludf.DUMMYFUNCTION("""COMPUTED_VALUE"""),44790.0)</f>
        <v>44790</v>
      </c>
      <c r="C22863" s="6">
        <f>IFERROR(__xludf.DUMMYFUNCTION("""COMPUTED_VALUE"""),0.73688657407547)</f>
        <v>0.7368865741</v>
      </c>
      <c r="D22863" s="4">
        <f>IFERROR(__xludf.DUMMYFUNCTION("""COMPUTED_VALUE"""),12.963286)</f>
        <v>12.963286</v>
      </c>
      <c r="E22863" s="4">
        <f>IFERROR(__xludf.DUMMYFUNCTION("""COMPUTED_VALUE"""),80.21595)</f>
        <v>80.21595</v>
      </c>
      <c r="F22863" s="4">
        <f>IFERROR(__xludf.DUMMYFUNCTION("""COMPUTED_VALUE"""),3143.0)</f>
        <v>3143</v>
      </c>
      <c r="G22863" s="4">
        <f>IFERROR(__xludf.DUMMYFUNCTION("""COMPUTED_VALUE"""),33.0)</f>
        <v>33</v>
      </c>
      <c r="H22863" s="4"/>
      <c r="I22863" s="4"/>
    </row>
    <row r="22864">
      <c r="A22864" s="4" t="str">
        <f>IFERROR(__xludf.DUMMYFUNCTION("""COMPUTED_VALUE"""),"cas_hmw")</f>
        <v>cas_hmw</v>
      </c>
      <c r="B22864" s="5">
        <f>IFERROR(__xludf.DUMMYFUNCTION("""COMPUTED_VALUE"""),44790.0)</f>
        <v>44790</v>
      </c>
      <c r="C22864" s="6">
        <f>IFERROR(__xludf.DUMMYFUNCTION("""COMPUTED_VALUE"""),0.736921296294895)</f>
        <v>0.7369212963</v>
      </c>
      <c r="D22864" s="4">
        <f>IFERROR(__xludf.DUMMYFUNCTION("""COMPUTED_VALUE"""),12.963286)</f>
        <v>12.963286</v>
      </c>
      <c r="E22864" s="4">
        <f>IFERROR(__xludf.DUMMYFUNCTION("""COMPUTED_VALUE"""),80.21595)</f>
        <v>80.21595</v>
      </c>
      <c r="F22864" s="4">
        <f>IFERROR(__xludf.DUMMYFUNCTION("""COMPUTED_VALUE"""),3143.0)</f>
        <v>3143</v>
      </c>
      <c r="G22864" s="4">
        <f>IFERROR(__xludf.DUMMYFUNCTION("""COMPUTED_VALUE"""),33.0)</f>
        <v>33</v>
      </c>
      <c r="H22864" s="4"/>
      <c r="I22864" s="4"/>
    </row>
    <row r="22865">
      <c r="A22865" s="4" t="str">
        <f>IFERROR(__xludf.DUMMYFUNCTION("""COMPUTED_VALUE"""),"cas_hmw")</f>
        <v>cas_hmw</v>
      </c>
      <c r="B22865" s="5">
        <f>IFERROR(__xludf.DUMMYFUNCTION("""COMPUTED_VALUE"""),44790.0)</f>
        <v>44790</v>
      </c>
      <c r="C22865" s="6">
        <f>IFERROR(__xludf.DUMMYFUNCTION("""COMPUTED_VALUE"""),0.7369791666678793)</f>
        <v>0.7369791667</v>
      </c>
      <c r="D22865" s="4">
        <f>IFERROR(__xludf.DUMMYFUNCTION("""COMPUTED_VALUE"""),12.962387)</f>
        <v>12.962387</v>
      </c>
      <c r="E22865" s="4">
        <f>IFERROR(__xludf.DUMMYFUNCTION("""COMPUTED_VALUE"""),80.215538)</f>
        <v>80.215538</v>
      </c>
      <c r="F22865" s="4">
        <f>IFERROR(__xludf.DUMMYFUNCTION("""COMPUTED_VALUE"""),3143.0)</f>
        <v>3143</v>
      </c>
      <c r="G22865" s="4">
        <f>IFERROR(__xludf.DUMMYFUNCTION("""COMPUTED_VALUE"""),42.0)</f>
        <v>42</v>
      </c>
      <c r="H22865" s="4"/>
      <c r="I22865" s="4"/>
    </row>
    <row r="22866">
      <c r="A22866" s="4" t="str">
        <f>IFERROR(__xludf.DUMMYFUNCTION("""COMPUTED_VALUE"""),"cas_hmw")</f>
        <v>cas_hmw</v>
      </c>
      <c r="B22866" s="5">
        <f>IFERROR(__xludf.DUMMYFUNCTION("""COMPUTED_VALUE"""),44790.0)</f>
        <v>44790</v>
      </c>
      <c r="C22866" s="6">
        <f>IFERROR(__xludf.DUMMYFUNCTION("""COMPUTED_VALUE"""),0.7370717592602887)</f>
        <v>0.7370717593</v>
      </c>
      <c r="D22866" s="4">
        <f>IFERROR(__xludf.DUMMYFUNCTION("""COMPUTED_VALUE"""),12.962387)</f>
        <v>12.962387</v>
      </c>
      <c r="E22866" s="4">
        <f>IFERROR(__xludf.DUMMYFUNCTION("""COMPUTED_VALUE"""),80.215538)</f>
        <v>80.215538</v>
      </c>
      <c r="F22866" s="4">
        <f>IFERROR(__xludf.DUMMYFUNCTION("""COMPUTED_VALUE"""),3143.0)</f>
        <v>3143</v>
      </c>
      <c r="G22866" s="4">
        <f>IFERROR(__xludf.DUMMYFUNCTION("""COMPUTED_VALUE"""),42.0)</f>
        <v>42</v>
      </c>
      <c r="H22866" s="4"/>
      <c r="I22866" s="4"/>
    </row>
    <row r="22867">
      <c r="A22867" s="4" t="str">
        <f>IFERROR(__xludf.DUMMYFUNCTION("""COMPUTED_VALUE"""),"cas_hmw")</f>
        <v>cas_hmw</v>
      </c>
      <c r="B22867" s="5">
        <f>IFERROR(__xludf.DUMMYFUNCTION("""COMPUTED_VALUE"""),44790.0)</f>
        <v>44790</v>
      </c>
      <c r="C22867" s="6">
        <f>IFERROR(__xludf.DUMMYFUNCTION("""COMPUTED_VALUE"""),0.7371412037027767)</f>
        <v>0.7371412037</v>
      </c>
      <c r="D22867" s="4">
        <f>IFERROR(__xludf.DUMMYFUNCTION("""COMPUTED_VALUE"""),12.961288)</f>
        <v>12.961288</v>
      </c>
      <c r="E22867" s="4">
        <f>IFERROR(__xludf.DUMMYFUNCTION("""COMPUTED_VALUE"""),80.215108)</f>
        <v>80.215108</v>
      </c>
      <c r="F22867" s="4">
        <f>IFERROR(__xludf.DUMMYFUNCTION("""COMPUTED_VALUE"""),3143.0)</f>
        <v>3143</v>
      </c>
      <c r="G22867" s="4">
        <f>IFERROR(__xludf.DUMMYFUNCTION("""COMPUTED_VALUE"""),50.0)</f>
        <v>50</v>
      </c>
      <c r="H22867" s="4"/>
      <c r="I22867" s="4"/>
    </row>
    <row r="22868">
      <c r="A22868" s="4" t="str">
        <f>IFERROR(__xludf.DUMMYFUNCTION("""COMPUTED_VALUE"""),"cas_hmw")</f>
        <v>cas_hmw</v>
      </c>
      <c r="B22868" s="5">
        <f>IFERROR(__xludf.DUMMYFUNCTION("""COMPUTED_VALUE"""),44790.0)</f>
        <v>44790</v>
      </c>
      <c r="C22868" s="6">
        <f>IFERROR(__xludf.DUMMYFUNCTION("""COMPUTED_VALUE"""),0.7371759259258397)</f>
        <v>0.7371759259</v>
      </c>
      <c r="D22868" s="4">
        <f>IFERROR(__xludf.DUMMYFUNCTION("""COMPUTED_VALUE"""),12.961288)</f>
        <v>12.961288</v>
      </c>
      <c r="E22868" s="4">
        <f>IFERROR(__xludf.DUMMYFUNCTION("""COMPUTED_VALUE"""),80.215108)</f>
        <v>80.215108</v>
      </c>
      <c r="F22868" s="4">
        <f>IFERROR(__xludf.DUMMYFUNCTION("""COMPUTED_VALUE"""),3143.0)</f>
        <v>3143</v>
      </c>
      <c r="G22868" s="4">
        <f>IFERROR(__xludf.DUMMYFUNCTION("""COMPUTED_VALUE"""),50.0)</f>
        <v>50</v>
      </c>
      <c r="H22868" s="4"/>
      <c r="I22868" s="4"/>
    </row>
    <row r="22869">
      <c r="A22869" s="4" t="str">
        <f>IFERROR(__xludf.DUMMYFUNCTION("""COMPUTED_VALUE"""),"cas_hmw")</f>
        <v>cas_hmw</v>
      </c>
      <c r="B22869" s="5">
        <f>IFERROR(__xludf.DUMMYFUNCTION("""COMPUTED_VALUE"""),44790.0)</f>
        <v>44790</v>
      </c>
      <c r="C22869" s="6">
        <f>IFERROR(__xludf.DUMMYFUNCTION("""COMPUTED_VALUE"""),0.7373495370375167)</f>
        <v>0.737349537</v>
      </c>
      <c r="D22869" s="4">
        <f>IFERROR(__xludf.DUMMYFUNCTION("""COMPUTED_VALUE"""),12.530794)</f>
        <v>12.530794</v>
      </c>
      <c r="E22869" s="4">
        <f>IFERROR(__xludf.DUMMYFUNCTION("""COMPUTED_VALUE"""),79.899967)</f>
        <v>79.899967</v>
      </c>
      <c r="F22869" s="4">
        <f>IFERROR(__xludf.DUMMYFUNCTION("""COMPUTED_VALUE"""),2846.0)</f>
        <v>2846</v>
      </c>
      <c r="G22869" s="4">
        <f>IFERROR(__xludf.DUMMYFUNCTION("""COMPUTED_VALUE"""),56.0)</f>
        <v>56</v>
      </c>
      <c r="H22869" s="4"/>
      <c r="I22869" s="4"/>
    </row>
    <row r="22870">
      <c r="A22870" s="4" t="str">
        <f>IFERROR(__xludf.DUMMYFUNCTION("""COMPUTED_VALUE"""),"cas_hmw")</f>
        <v>cas_hmw</v>
      </c>
      <c r="B22870" s="5">
        <f>IFERROR(__xludf.DUMMYFUNCTION("""COMPUTED_VALUE"""),44790.0)</f>
        <v>44790</v>
      </c>
      <c r="C22870" s="6">
        <f>IFERROR(__xludf.DUMMYFUNCTION("""COMPUTED_VALUE"""),0.7380324074074451)</f>
        <v>0.7380324074</v>
      </c>
      <c r="D22870" s="4">
        <f>IFERROR(__xludf.DUMMYFUNCTION("""COMPUTED_VALUE"""),12.525024)</f>
        <v>12.525024</v>
      </c>
      <c r="E22870" s="4">
        <f>IFERROR(__xludf.DUMMYFUNCTION("""COMPUTED_VALUE"""),79.897114)</f>
        <v>79.897114</v>
      </c>
      <c r="F22870" s="4">
        <f>IFERROR(__xludf.DUMMYFUNCTION("""COMPUTED_VALUE"""),2846.0)</f>
        <v>2846</v>
      </c>
      <c r="G22870" s="4">
        <f>IFERROR(__xludf.DUMMYFUNCTION("""COMPUTED_VALUE"""),53.0)</f>
        <v>53</v>
      </c>
      <c r="H22870" s="4"/>
      <c r="I22870" s="4"/>
    </row>
    <row r="22871">
      <c r="A22871" s="4" t="str">
        <f>IFERROR(__xludf.DUMMYFUNCTION("""COMPUTED_VALUE"""),"cas_hmw")</f>
        <v>cas_hmw</v>
      </c>
      <c r="B22871" s="5">
        <f>IFERROR(__xludf.DUMMYFUNCTION("""COMPUTED_VALUE"""),44790.0)</f>
        <v>44790</v>
      </c>
      <c r="C22871" s="6">
        <f>IFERROR(__xludf.DUMMYFUNCTION("""COMPUTED_VALUE"""),0.7381249999998545)</f>
        <v>0.738125</v>
      </c>
      <c r="D22871" s="4">
        <f>IFERROR(__xludf.DUMMYFUNCTION("""COMPUTED_VALUE"""),12.955357)</f>
        <v>12.955357</v>
      </c>
      <c r="E22871" s="4">
        <f>IFERROR(__xludf.DUMMYFUNCTION("""COMPUTED_VALUE"""),80.212753)</f>
        <v>80.212753</v>
      </c>
      <c r="F22871" s="4">
        <f>IFERROR(__xludf.DUMMYFUNCTION("""COMPUTED_VALUE"""),3143.0)</f>
        <v>3143</v>
      </c>
      <c r="G22871" s="4">
        <f>IFERROR(__xludf.DUMMYFUNCTION("""COMPUTED_VALUE"""),43.0)</f>
        <v>43</v>
      </c>
      <c r="H22871" s="4"/>
      <c r="I22871" s="4"/>
    </row>
    <row r="22872">
      <c r="A22872" s="4" t="str">
        <f>IFERROR(__xludf.DUMMYFUNCTION("""COMPUTED_VALUE"""),"cas_hmw")</f>
        <v>cas_hmw</v>
      </c>
      <c r="B22872" s="5">
        <f>IFERROR(__xludf.DUMMYFUNCTION("""COMPUTED_VALUE"""),44790.0)</f>
        <v>44790</v>
      </c>
      <c r="C22872" s="6">
        <f>IFERROR(__xludf.DUMMYFUNCTION("""COMPUTED_VALUE"""),0.7384259259270038)</f>
        <v>0.7384259259</v>
      </c>
      <c r="D22872" s="4">
        <f>IFERROR(__xludf.DUMMYFUNCTION("""COMPUTED_VALUE"""),12.953553)</f>
        <v>12.953553</v>
      </c>
      <c r="E22872" s="4">
        <f>IFERROR(__xludf.DUMMYFUNCTION("""COMPUTED_VALUE"""),80.212095)</f>
        <v>80.212095</v>
      </c>
      <c r="F22872" s="4">
        <f>IFERROR(__xludf.DUMMYFUNCTION("""COMPUTED_VALUE"""),3143.0)</f>
        <v>3143</v>
      </c>
      <c r="G22872" s="4">
        <f>IFERROR(__xludf.DUMMYFUNCTION("""COMPUTED_VALUE"""),23.0)</f>
        <v>23</v>
      </c>
      <c r="H22872" s="4"/>
      <c r="I22872" s="4"/>
    </row>
    <row r="22873">
      <c r="A22873" s="4" t="str">
        <f>IFERROR(__xludf.DUMMYFUNCTION("""COMPUTED_VALUE"""),"cas_hmw")</f>
        <v>cas_hmw</v>
      </c>
      <c r="B22873" s="5">
        <f>IFERROR(__xludf.DUMMYFUNCTION("""COMPUTED_VALUE"""),44790.0)</f>
        <v>44790</v>
      </c>
      <c r="C22873" s="6">
        <f>IFERROR(__xludf.DUMMYFUNCTION("""COMPUTED_VALUE"""),0.7409490740756155)</f>
        <v>0.7409490741</v>
      </c>
      <c r="D22873" s="4">
        <f>IFERROR(__xludf.DUMMYFUNCTION("""COMPUTED_VALUE"""),13.03982)</f>
        <v>13.03982</v>
      </c>
      <c r="E22873" s="4">
        <f>IFERROR(__xludf.DUMMYFUNCTION("""COMPUTED_VALUE"""),80.267808)</f>
        <v>80.267808</v>
      </c>
      <c r="F22873" s="4">
        <f>IFERROR(__xludf.DUMMYFUNCTION("""COMPUTED_VALUE"""),805.0)</f>
        <v>805</v>
      </c>
      <c r="G22873" s="4">
        <f>IFERROR(__xludf.DUMMYFUNCTION("""COMPUTED_VALUE"""),6.0)</f>
        <v>6</v>
      </c>
      <c r="H22873" s="4"/>
      <c r="I22873" s="4"/>
    </row>
    <row r="22874">
      <c r="A22874" s="4" t="str">
        <f>IFERROR(__xludf.DUMMYFUNCTION("""COMPUTED_VALUE"""),"cas_hmw")</f>
        <v>cas_hmw</v>
      </c>
      <c r="B22874" s="5">
        <f>IFERROR(__xludf.DUMMYFUNCTION("""COMPUTED_VALUE"""),44790.0)</f>
        <v>44790</v>
      </c>
      <c r="C22874" s="6">
        <f>IFERROR(__xludf.DUMMYFUNCTION("""COMPUTED_VALUE"""),0.742256944446126)</f>
        <v>0.7422569444</v>
      </c>
      <c r="D22874" s="4">
        <f>IFERROR(__xludf.DUMMYFUNCTION("""COMPUTED_VALUE"""),12.948665)</f>
        <v>12.948665</v>
      </c>
      <c r="E22874" s="4">
        <f>IFERROR(__xludf.DUMMYFUNCTION("""COMPUTED_VALUE"""),80.206339)</f>
        <v>80.206339</v>
      </c>
      <c r="F22874" s="4">
        <f>IFERROR(__xludf.DUMMYFUNCTION("""COMPUTED_VALUE"""),3143.0)</f>
        <v>3143</v>
      </c>
      <c r="G22874" s="4">
        <f>IFERROR(__xludf.DUMMYFUNCTION("""COMPUTED_VALUE"""),13.0)</f>
        <v>13</v>
      </c>
      <c r="H22874" s="4"/>
      <c r="I22874" s="4"/>
    </row>
    <row r="22875">
      <c r="A22875" s="4" t="str">
        <f>IFERROR(__xludf.DUMMYFUNCTION("""COMPUTED_VALUE"""),"cas_hmw")</f>
        <v>cas_hmw</v>
      </c>
      <c r="B22875" s="5">
        <f>IFERROR(__xludf.DUMMYFUNCTION("""COMPUTED_VALUE"""),44790.0)</f>
        <v>44790</v>
      </c>
      <c r="C22875" s="6">
        <f>IFERROR(__xludf.DUMMYFUNCTION("""COMPUTED_VALUE"""),0.7422685185192677)</f>
        <v>0.7422685185</v>
      </c>
      <c r="D22875" s="4">
        <f>IFERROR(__xludf.DUMMYFUNCTION("""COMPUTED_VALUE"""),12.948665)</f>
        <v>12.948665</v>
      </c>
      <c r="E22875" s="4">
        <f>IFERROR(__xludf.DUMMYFUNCTION("""COMPUTED_VALUE"""),80.206339)</f>
        <v>80.206339</v>
      </c>
      <c r="F22875" s="4">
        <f>IFERROR(__xludf.DUMMYFUNCTION("""COMPUTED_VALUE"""),3143.0)</f>
        <v>3143</v>
      </c>
      <c r="G22875" s="4">
        <f>IFERROR(__xludf.DUMMYFUNCTION("""COMPUTED_VALUE"""),13.0)</f>
        <v>13</v>
      </c>
      <c r="H22875" s="4"/>
      <c r="I22875" s="4"/>
    </row>
    <row r="22876">
      <c r="A22876" s="4" t="str">
        <f>IFERROR(__xludf.DUMMYFUNCTION("""COMPUTED_VALUE"""),"cas_hmw")</f>
        <v>cas_hmw</v>
      </c>
      <c r="B22876" s="5">
        <f>IFERROR(__xludf.DUMMYFUNCTION("""COMPUTED_VALUE"""),44790.0)</f>
        <v>44790</v>
      </c>
      <c r="C22876" s="6">
        <f>IFERROR(__xludf.DUMMYFUNCTION("""COMPUTED_VALUE"""),0.7423148148154723)</f>
        <v>0.7423148148</v>
      </c>
      <c r="D22876" s="4">
        <f>IFERROR(__xludf.DUMMYFUNCTION("""COMPUTED_VALUE"""),12.948679)</f>
        <v>12.948679</v>
      </c>
      <c r="E22876" s="4">
        <f>IFERROR(__xludf.DUMMYFUNCTION("""COMPUTED_VALUE"""),80.205801)</f>
        <v>80.205801</v>
      </c>
      <c r="F22876" s="4">
        <f>IFERROR(__xludf.DUMMYFUNCTION("""COMPUTED_VALUE"""),3143.0)</f>
        <v>3143</v>
      </c>
      <c r="G22876" s="4">
        <f>IFERROR(__xludf.DUMMYFUNCTION("""COMPUTED_VALUE"""),27.0)</f>
        <v>27</v>
      </c>
      <c r="H22876" s="4"/>
      <c r="I22876" s="4"/>
    </row>
    <row r="22877">
      <c r="A22877" s="4" t="str">
        <f>IFERROR(__xludf.DUMMYFUNCTION("""COMPUTED_VALUE"""),"cas_hmw")</f>
        <v>cas_hmw</v>
      </c>
      <c r="B22877" s="5">
        <f>IFERROR(__xludf.DUMMYFUNCTION("""COMPUTED_VALUE"""),44790.0)</f>
        <v>44790</v>
      </c>
      <c r="C22877" s="6">
        <f>IFERROR(__xludf.DUMMYFUNCTION("""COMPUTED_VALUE"""),0.742534722223354)</f>
        <v>0.7425347222</v>
      </c>
      <c r="D22877" s="4">
        <f>IFERROR(__xludf.DUMMYFUNCTION("""COMPUTED_VALUE"""),12.94866)</f>
        <v>12.94866</v>
      </c>
      <c r="E22877" s="4">
        <f>IFERROR(__xludf.DUMMYFUNCTION("""COMPUTED_VALUE"""),80.203779)</f>
        <v>80.203779</v>
      </c>
      <c r="F22877" s="4">
        <f>IFERROR(__xludf.DUMMYFUNCTION("""COMPUTED_VALUE"""),3143.0)</f>
        <v>3143</v>
      </c>
      <c r="G22877" s="4">
        <f>IFERROR(__xludf.DUMMYFUNCTION("""COMPUTED_VALUE"""),47.0)</f>
        <v>47</v>
      </c>
      <c r="H22877" s="4"/>
      <c r="I22877" s="4"/>
    </row>
    <row r="22878">
      <c r="A22878" s="4" t="str">
        <f>IFERROR(__xludf.DUMMYFUNCTION("""COMPUTED_VALUE"""),"cas_hmw")</f>
        <v>cas_hmw</v>
      </c>
      <c r="B22878" s="5">
        <f>IFERROR(__xludf.DUMMYFUNCTION("""COMPUTED_VALUE"""),44790.0)</f>
        <v>44790</v>
      </c>
      <c r="C22878" s="6">
        <f>IFERROR(__xludf.DUMMYFUNCTION("""COMPUTED_VALUE"""),0.7431250000008731)</f>
        <v>0.743125</v>
      </c>
      <c r="D22878" s="4">
        <f>IFERROR(__xludf.DUMMYFUNCTION("""COMPUTED_VALUE"""),13.049368)</f>
        <v>13.049368</v>
      </c>
      <c r="E22878" s="4">
        <f>IFERROR(__xludf.DUMMYFUNCTION("""COMPUTED_VALUE"""),80.264036)</f>
        <v>80.264036</v>
      </c>
      <c r="F22878" s="4">
        <f>IFERROR(__xludf.DUMMYFUNCTION("""COMPUTED_VALUE"""),805.0)</f>
        <v>805</v>
      </c>
      <c r="G22878" s="4">
        <f>IFERROR(__xludf.DUMMYFUNCTION("""COMPUTED_VALUE"""),28.0)</f>
        <v>28</v>
      </c>
      <c r="H22878" s="4"/>
      <c r="I22878" s="4"/>
    </row>
    <row r="22879">
      <c r="A22879" s="4" t="str">
        <f>IFERROR(__xludf.DUMMYFUNCTION("""COMPUTED_VALUE"""),"cas_hmw")</f>
        <v>cas_hmw</v>
      </c>
      <c r="B22879" s="5">
        <f>IFERROR(__xludf.DUMMYFUNCTION("""COMPUTED_VALUE"""),44790.0)</f>
        <v>44790</v>
      </c>
      <c r="C22879" s="6">
        <f>IFERROR(__xludf.DUMMYFUNCTION("""COMPUTED_VALUE"""),0.7443749999983993)</f>
        <v>0.744375</v>
      </c>
      <c r="D22879" s="4">
        <f>IFERROR(__xludf.DUMMYFUNCTION("""COMPUTED_VALUE"""),13.06729)</f>
        <v>13.06729</v>
      </c>
      <c r="E22879" s="4">
        <f>IFERROR(__xludf.DUMMYFUNCTION("""COMPUTED_VALUE"""),80.273069)</f>
        <v>80.273069</v>
      </c>
      <c r="F22879" s="4">
        <f>IFERROR(__xludf.DUMMYFUNCTION("""COMPUTED_VALUE"""),5339.0)</f>
        <v>5339</v>
      </c>
      <c r="G22879" s="4">
        <f>IFERROR(__xludf.DUMMYFUNCTION("""COMPUTED_VALUE"""),39.0)</f>
        <v>39</v>
      </c>
      <c r="H22879" s="4"/>
      <c r="I22879" s="4"/>
    </row>
    <row r="22880">
      <c r="A22880" s="4" t="str">
        <f>IFERROR(__xludf.DUMMYFUNCTION("""COMPUTED_VALUE"""),"cas_hmw")</f>
        <v>cas_hmw</v>
      </c>
      <c r="B22880" s="5">
        <f>IFERROR(__xludf.DUMMYFUNCTION("""COMPUTED_VALUE"""),44790.0)</f>
        <v>44790</v>
      </c>
      <c r="C22880" s="6">
        <f>IFERROR(__xludf.DUMMYFUNCTION("""COMPUTED_VALUE"""),0.745011574075761)</f>
        <v>0.7450115741</v>
      </c>
      <c r="D22880" s="4">
        <f>IFERROR(__xludf.DUMMYFUNCTION("""COMPUTED_VALUE"""),13.067782)</f>
        <v>13.067782</v>
      </c>
      <c r="E22880" s="4">
        <f>IFERROR(__xludf.DUMMYFUNCTION("""COMPUTED_VALUE"""),80.270995)</f>
        <v>80.270995</v>
      </c>
      <c r="F22880" s="4">
        <f>IFERROR(__xludf.DUMMYFUNCTION("""COMPUTED_VALUE"""),5339.0)</f>
        <v>5339</v>
      </c>
      <c r="G22880" s="4">
        <f>IFERROR(__xludf.DUMMYFUNCTION("""COMPUTED_VALUE"""),31.0)</f>
        <v>31</v>
      </c>
      <c r="H22880" s="4"/>
      <c r="I22880" s="4"/>
    </row>
    <row r="22881">
      <c r="A22881" s="4" t="str">
        <f>IFERROR(__xludf.DUMMYFUNCTION("""COMPUTED_VALUE"""),"cas_hmw")</f>
        <v>cas_hmw</v>
      </c>
      <c r="B22881" s="5">
        <f>IFERROR(__xludf.DUMMYFUNCTION("""COMPUTED_VALUE"""),44790.0)</f>
        <v>44790</v>
      </c>
      <c r="C22881" s="6">
        <f>IFERROR(__xludf.DUMMYFUNCTION("""COMPUTED_VALUE"""),0.747731481482333)</f>
        <v>0.7477314815</v>
      </c>
      <c r="D22881" s="4">
        <f>IFERROR(__xludf.DUMMYFUNCTION("""COMPUTED_VALUE"""),12.948568)</f>
        <v>12.948568</v>
      </c>
      <c r="E22881" s="4">
        <f>IFERROR(__xludf.DUMMYFUNCTION("""COMPUTED_VALUE"""),80.191944)</f>
        <v>80.191944</v>
      </c>
      <c r="F22881" s="4">
        <f>IFERROR(__xludf.DUMMYFUNCTION("""COMPUTED_VALUE"""),3143.0)</f>
        <v>3143</v>
      </c>
      <c r="G22881" s="4">
        <f>IFERROR(__xludf.DUMMYFUNCTION("""COMPUTED_VALUE"""),49.0)</f>
        <v>49</v>
      </c>
      <c r="H22881" s="4"/>
      <c r="I22881" s="4"/>
    </row>
    <row r="22882">
      <c r="A22882" s="4" t="str">
        <f>IFERROR(__xludf.DUMMYFUNCTION("""COMPUTED_VALUE"""),"cas_hmw")</f>
        <v>cas_hmw</v>
      </c>
      <c r="B22882" s="5">
        <f>IFERROR(__xludf.DUMMYFUNCTION("""COMPUTED_VALUE"""),44790.0)</f>
        <v>44790</v>
      </c>
      <c r="C22882" s="6">
        <f>IFERROR(__xludf.DUMMYFUNCTION("""COMPUTED_VALUE"""),0.7517129629632109)</f>
        <v>0.751712963</v>
      </c>
      <c r="D22882" s="4">
        <f>IFERROR(__xludf.DUMMYFUNCTION("""COMPUTED_VALUE"""),13.066872)</f>
        <v>13.066872</v>
      </c>
      <c r="E22882" s="4">
        <f>IFERROR(__xludf.DUMMYFUNCTION("""COMPUTED_VALUE"""),80.254355)</f>
        <v>80.254355</v>
      </c>
      <c r="F22882" s="4">
        <f>IFERROR(__xludf.DUMMYFUNCTION("""COMPUTED_VALUE"""),5339.0)</f>
        <v>5339</v>
      </c>
      <c r="G22882" s="4">
        <f>IFERROR(__xludf.DUMMYFUNCTION("""COMPUTED_VALUE"""),17.0)</f>
        <v>17</v>
      </c>
      <c r="H22882" s="4"/>
      <c r="I22882" s="4"/>
    </row>
    <row r="22883">
      <c r="A22883" s="4" t="str">
        <f>IFERROR(__xludf.DUMMYFUNCTION("""COMPUTED_VALUE"""),"cas_hmw")</f>
        <v>cas_hmw</v>
      </c>
      <c r="B22883" s="5">
        <f>IFERROR(__xludf.DUMMYFUNCTION("""COMPUTED_VALUE"""),44790.0)</f>
        <v>44790</v>
      </c>
      <c r="C22883" s="6">
        <f>IFERROR(__xludf.DUMMYFUNCTION("""COMPUTED_VALUE"""),0.7517245370363526)</f>
        <v>0.751724537</v>
      </c>
      <c r="D22883" s="4">
        <f>IFERROR(__xludf.DUMMYFUNCTION("""COMPUTED_VALUE"""),13.066872)</f>
        <v>13.066872</v>
      </c>
      <c r="E22883" s="4">
        <f>IFERROR(__xludf.DUMMYFUNCTION("""COMPUTED_VALUE"""),80.254355)</f>
        <v>80.254355</v>
      </c>
      <c r="F22883" s="4">
        <f>IFERROR(__xludf.DUMMYFUNCTION("""COMPUTED_VALUE"""),5339.0)</f>
        <v>5339</v>
      </c>
      <c r="G22883" s="4">
        <f>IFERROR(__xludf.DUMMYFUNCTION("""COMPUTED_VALUE"""),17.0)</f>
        <v>17</v>
      </c>
      <c r="H22883" s="4"/>
      <c r="I22883" s="4"/>
    </row>
    <row r="22884">
      <c r="A22884" s="4" t="str">
        <f>IFERROR(__xludf.DUMMYFUNCTION("""COMPUTED_VALUE"""),"cas_hmw")</f>
        <v>cas_hmw</v>
      </c>
      <c r="B22884" s="5">
        <f>IFERROR(__xludf.DUMMYFUNCTION("""COMPUTED_VALUE"""),44790.0)</f>
        <v>44790</v>
      </c>
      <c r="C22884" s="6">
        <f>IFERROR(__xludf.DUMMYFUNCTION("""COMPUTED_VALUE"""),0.7520833333328483)</f>
        <v>0.7520833333</v>
      </c>
      <c r="D22884" s="4">
        <f>IFERROR(__xludf.DUMMYFUNCTION("""COMPUTED_VALUE"""),13.067022)</f>
        <v>13.067022</v>
      </c>
      <c r="E22884" s="4">
        <f>IFERROR(__xludf.DUMMYFUNCTION("""COMPUTED_VALUE"""),80.253883)</f>
        <v>80.253883</v>
      </c>
      <c r="F22884" s="4">
        <f>IFERROR(__xludf.DUMMYFUNCTION("""COMPUTED_VALUE"""),5339.0)</f>
        <v>5339</v>
      </c>
      <c r="G22884" s="4">
        <f>IFERROR(__xludf.DUMMYFUNCTION("""COMPUTED_VALUE"""),29.0)</f>
        <v>29</v>
      </c>
      <c r="H22884" s="4"/>
      <c r="I22884" s="4"/>
    </row>
    <row r="22885">
      <c r="A22885" s="4" t="str">
        <f>IFERROR(__xludf.DUMMYFUNCTION("""COMPUTED_VALUE"""),"cas_hmw")</f>
        <v>cas_hmw</v>
      </c>
      <c r="B22885" s="5">
        <f>IFERROR(__xludf.DUMMYFUNCTION("""COMPUTED_VALUE"""),44790.0)</f>
        <v>44790</v>
      </c>
      <c r="C22885" s="6">
        <f>IFERROR(__xludf.DUMMYFUNCTION("""COMPUTED_VALUE"""),0.7533333333340124)</f>
        <v>0.7533333333</v>
      </c>
      <c r="D22885" s="4">
        <f>IFERROR(__xludf.DUMMYFUNCTION("""COMPUTED_VALUE"""),13.067353)</f>
        <v>13.067353</v>
      </c>
      <c r="E22885" s="4">
        <f>IFERROR(__xludf.DUMMYFUNCTION("""COMPUTED_VALUE"""),80.254868)</f>
        <v>80.254868</v>
      </c>
      <c r="F22885" s="4">
        <f>IFERROR(__xludf.DUMMYFUNCTION("""COMPUTED_VALUE"""),805.0)</f>
        <v>805</v>
      </c>
      <c r="G22885" s="4">
        <f>IFERROR(__xludf.DUMMYFUNCTION("""COMPUTED_VALUE"""),27.0)</f>
        <v>27</v>
      </c>
      <c r="H22885" s="4"/>
      <c r="I22885" s="4"/>
    </row>
    <row r="22886">
      <c r="A22886" s="4" t="str">
        <f>IFERROR(__xludf.DUMMYFUNCTION("""COMPUTED_VALUE"""),"cas_hmw")</f>
        <v>cas_hmw</v>
      </c>
      <c r="B22886" s="5">
        <f>IFERROR(__xludf.DUMMYFUNCTION("""COMPUTED_VALUE"""),44790.0)</f>
        <v>44790</v>
      </c>
      <c r="C22886" s="6">
        <f>IFERROR(__xludf.DUMMYFUNCTION("""COMPUTED_VALUE"""),0.7542245370386809)</f>
        <v>0.754224537</v>
      </c>
      <c r="D22886" s="4">
        <f>IFERROR(__xludf.DUMMYFUNCTION("""COMPUTED_VALUE"""),12.953934)</f>
        <v>12.953934</v>
      </c>
      <c r="E22886" s="4">
        <f>IFERROR(__xludf.DUMMYFUNCTION("""COMPUTED_VALUE"""),80.161319)</f>
        <v>80.161319</v>
      </c>
      <c r="F22886" s="4">
        <f>IFERROR(__xludf.DUMMYFUNCTION("""COMPUTED_VALUE"""),3143.0)</f>
        <v>3143</v>
      </c>
      <c r="G22886" s="4">
        <f>IFERROR(__xludf.DUMMYFUNCTION("""COMPUTED_VALUE"""),50.0)</f>
        <v>50</v>
      </c>
      <c r="H22886" s="4"/>
      <c r="I22886" s="4"/>
    </row>
    <row r="22887">
      <c r="A22887" s="4" t="str">
        <f>IFERROR(__xludf.DUMMYFUNCTION("""COMPUTED_VALUE"""),"cas_hmw")</f>
        <v>cas_hmw</v>
      </c>
      <c r="B22887" s="5">
        <f>IFERROR(__xludf.DUMMYFUNCTION("""COMPUTED_VALUE"""),44790.0)</f>
        <v>44790</v>
      </c>
      <c r="C22887" s="6">
        <f>IFERROR(__xludf.DUMMYFUNCTION("""COMPUTED_VALUE"""),0.754884259258688)</f>
        <v>0.7548842593</v>
      </c>
      <c r="D22887" s="4">
        <f>IFERROR(__xludf.DUMMYFUNCTION("""COMPUTED_VALUE"""),12.954612)</f>
        <v>12.954612</v>
      </c>
      <c r="E22887" s="4">
        <f>IFERROR(__xludf.DUMMYFUNCTION("""COMPUTED_VALUE"""),80.158115)</f>
        <v>80.158115</v>
      </c>
      <c r="F22887" s="4">
        <f>IFERROR(__xludf.DUMMYFUNCTION("""COMPUTED_VALUE"""),3143.0)</f>
        <v>3143</v>
      </c>
      <c r="G22887" s="4">
        <f>IFERROR(__xludf.DUMMYFUNCTION("""COMPUTED_VALUE"""),35.0)</f>
        <v>35</v>
      </c>
      <c r="H22887" s="4"/>
      <c r="I22887" s="4"/>
    </row>
    <row r="22888">
      <c r="A22888" s="4" t="str">
        <f>IFERROR(__xludf.DUMMYFUNCTION("""COMPUTED_VALUE"""),"cas_hmw")</f>
        <v>cas_hmw</v>
      </c>
      <c r="B22888" s="5">
        <f>IFERROR(__xludf.DUMMYFUNCTION("""COMPUTED_VALUE"""),44790.0)</f>
        <v>44790</v>
      </c>
      <c r="C22888" s="6">
        <f>IFERROR(__xludf.DUMMYFUNCTION("""COMPUTED_VALUE"""),0.7551388888896327)</f>
        <v>0.7551388889</v>
      </c>
      <c r="D22888" s="4">
        <f>IFERROR(__xludf.DUMMYFUNCTION("""COMPUTED_VALUE"""),12.955393)</f>
        <v>12.955393</v>
      </c>
      <c r="E22888" s="4">
        <f>IFERROR(__xludf.DUMMYFUNCTION("""COMPUTED_VALUE"""),80.154592)</f>
        <v>80.154592</v>
      </c>
      <c r="F22888" s="4">
        <f>IFERROR(__xludf.DUMMYFUNCTION("""COMPUTED_VALUE"""),3143.0)</f>
        <v>3143</v>
      </c>
      <c r="G22888" s="4">
        <f>IFERROR(__xludf.DUMMYFUNCTION("""COMPUTED_VALUE"""),52.0)</f>
        <v>52</v>
      </c>
      <c r="H22888" s="4"/>
      <c r="I22888" s="4"/>
    </row>
    <row r="22889">
      <c r="A22889" s="4" t="str">
        <f>IFERROR(__xludf.DUMMYFUNCTION("""COMPUTED_VALUE"""),"cas_hmw")</f>
        <v>cas_hmw</v>
      </c>
      <c r="B22889" s="5">
        <f>IFERROR(__xludf.DUMMYFUNCTION("""COMPUTED_VALUE"""),44790.0)</f>
        <v>44790</v>
      </c>
      <c r="C22889" s="6">
        <f>IFERROR(__xludf.DUMMYFUNCTION("""COMPUTED_VALUE"""),0.755474537036207)</f>
        <v>0.755474537</v>
      </c>
      <c r="D22889" s="4">
        <f>IFERROR(__xludf.DUMMYFUNCTION("""COMPUTED_VALUE"""),13.067795)</f>
        <v>13.067795</v>
      </c>
      <c r="E22889" s="4">
        <f>IFERROR(__xludf.DUMMYFUNCTION("""COMPUTED_VALUE"""),80.248148)</f>
        <v>80.248148</v>
      </c>
      <c r="F22889" s="4">
        <f>IFERROR(__xludf.DUMMYFUNCTION("""COMPUTED_VALUE"""),805.0)</f>
        <v>805</v>
      </c>
      <c r="G22889" s="4">
        <f>IFERROR(__xludf.DUMMYFUNCTION("""COMPUTED_VALUE"""),24.0)</f>
        <v>24</v>
      </c>
      <c r="H22889" s="4"/>
      <c r="I22889" s="4"/>
    </row>
    <row r="22890">
      <c r="A22890" s="4" t="str">
        <f>IFERROR(__xludf.DUMMYFUNCTION("""COMPUTED_VALUE"""),"cas_hmw")</f>
        <v>cas_hmw</v>
      </c>
      <c r="B22890" s="5">
        <f>IFERROR(__xludf.DUMMYFUNCTION("""COMPUTED_VALUE"""),44790.0)</f>
        <v>44790</v>
      </c>
      <c r="C22890" s="6">
        <f>IFERROR(__xludf.DUMMYFUNCTION("""COMPUTED_VALUE"""),0.7554861111093487)</f>
        <v>0.7554861111</v>
      </c>
      <c r="D22890" s="4">
        <f>IFERROR(__xludf.DUMMYFUNCTION("""COMPUTED_VALUE"""),13.067795)</f>
        <v>13.067795</v>
      </c>
      <c r="E22890" s="4">
        <f>IFERROR(__xludf.DUMMYFUNCTION("""COMPUTED_VALUE"""),80.248148)</f>
        <v>80.248148</v>
      </c>
      <c r="F22890" s="4">
        <f>IFERROR(__xludf.DUMMYFUNCTION("""COMPUTED_VALUE"""),805.0)</f>
        <v>805</v>
      </c>
      <c r="G22890" s="4">
        <f>IFERROR(__xludf.DUMMYFUNCTION("""COMPUTED_VALUE"""),24.0)</f>
        <v>24</v>
      </c>
      <c r="H22890" s="4"/>
      <c r="I22890" s="4"/>
    </row>
    <row r="22891">
      <c r="A22891" s="4" t="str">
        <f>IFERROR(__xludf.DUMMYFUNCTION("""COMPUTED_VALUE"""),"cas_hmw")</f>
        <v>cas_hmw</v>
      </c>
      <c r="B22891" s="5">
        <f>IFERROR(__xludf.DUMMYFUNCTION("""COMPUTED_VALUE"""),44790.0)</f>
        <v>44790</v>
      </c>
      <c r="C22891" s="6">
        <f>IFERROR(__xludf.DUMMYFUNCTION("""COMPUTED_VALUE"""),0.7554976851861284)</f>
        <v>0.7554976852</v>
      </c>
      <c r="D22891" s="4">
        <f>IFERROR(__xludf.DUMMYFUNCTION("""COMPUTED_VALUE"""),13.067343)</f>
        <v>13.067343</v>
      </c>
      <c r="E22891" s="4">
        <f>IFERROR(__xludf.DUMMYFUNCTION("""COMPUTED_VALUE"""),80.24792)</f>
        <v>80.24792</v>
      </c>
      <c r="F22891" s="4">
        <f>IFERROR(__xludf.DUMMYFUNCTION("""COMPUTED_VALUE"""),805.0)</f>
        <v>805</v>
      </c>
      <c r="G22891" s="4">
        <f>IFERROR(__xludf.DUMMYFUNCTION("""COMPUTED_VALUE"""),28.0)</f>
        <v>28</v>
      </c>
      <c r="H22891" s="4"/>
      <c r="I22891" s="4"/>
    </row>
    <row r="22892">
      <c r="A22892" s="4" t="str">
        <f>IFERROR(__xludf.DUMMYFUNCTION("""COMPUTED_VALUE"""),"cas_hmw")</f>
        <v>cas_hmw</v>
      </c>
      <c r="B22892" s="5">
        <f>IFERROR(__xludf.DUMMYFUNCTION("""COMPUTED_VALUE"""),44790.0)</f>
        <v>44790</v>
      </c>
      <c r="C22892" s="6">
        <f>IFERROR(__xludf.DUMMYFUNCTION("""COMPUTED_VALUE"""),0.7554976851861284)</f>
        <v>0.7554976852</v>
      </c>
      <c r="D22892" s="4">
        <f>IFERROR(__xludf.DUMMYFUNCTION("""COMPUTED_VALUE"""),13.067795)</f>
        <v>13.067795</v>
      </c>
      <c r="E22892" s="4">
        <f>IFERROR(__xludf.DUMMYFUNCTION("""COMPUTED_VALUE"""),80.248148)</f>
        <v>80.248148</v>
      </c>
      <c r="F22892" s="4">
        <f>IFERROR(__xludf.DUMMYFUNCTION("""COMPUTED_VALUE"""),805.0)</f>
        <v>805</v>
      </c>
      <c r="G22892" s="4">
        <f>IFERROR(__xludf.DUMMYFUNCTION("""COMPUTED_VALUE"""),24.0)</f>
        <v>24</v>
      </c>
      <c r="H22892" s="4"/>
      <c r="I22892" s="4"/>
    </row>
    <row r="22893">
      <c r="A22893" s="4" t="str">
        <f>IFERROR(__xludf.DUMMYFUNCTION("""COMPUTED_VALUE"""),"cas_hmw")</f>
        <v>cas_hmw</v>
      </c>
      <c r="B22893" s="5">
        <f>IFERROR(__xludf.DUMMYFUNCTION("""COMPUTED_VALUE"""),44790.0)</f>
        <v>44790</v>
      </c>
      <c r="C22893" s="6">
        <f>IFERROR(__xludf.DUMMYFUNCTION("""COMPUTED_VALUE"""),0.755543981482333)</f>
        <v>0.7555439815</v>
      </c>
      <c r="D22893" s="4">
        <f>IFERROR(__xludf.DUMMYFUNCTION("""COMPUTED_VALUE"""),13.067343)</f>
        <v>13.067343</v>
      </c>
      <c r="E22893" s="4">
        <f>IFERROR(__xludf.DUMMYFUNCTION("""COMPUTED_VALUE"""),80.24792)</f>
        <v>80.24792</v>
      </c>
      <c r="F22893" s="4">
        <f>IFERROR(__xludf.DUMMYFUNCTION("""COMPUTED_VALUE"""),805.0)</f>
        <v>805</v>
      </c>
      <c r="G22893" s="4">
        <f>IFERROR(__xludf.DUMMYFUNCTION("""COMPUTED_VALUE"""),28.0)</f>
        <v>28</v>
      </c>
      <c r="H22893" s="4"/>
      <c r="I22893" s="4"/>
    </row>
    <row r="22894">
      <c r="A22894" s="4" t="str">
        <f>IFERROR(__xludf.DUMMYFUNCTION("""COMPUTED_VALUE"""),"cas_hmw")</f>
        <v>cas_hmw</v>
      </c>
      <c r="B22894" s="5">
        <f>IFERROR(__xludf.DUMMYFUNCTION("""COMPUTED_VALUE"""),44790.0)</f>
        <v>44790</v>
      </c>
      <c r="C22894" s="6">
        <f>IFERROR(__xludf.DUMMYFUNCTION("""COMPUTED_VALUE"""),0.7557175925940101)</f>
        <v>0.7557175926</v>
      </c>
      <c r="D22894" s="4">
        <f>IFERROR(__xludf.DUMMYFUNCTION("""COMPUTED_VALUE"""),12.95946)</f>
        <v>12.95946</v>
      </c>
      <c r="E22894" s="4">
        <f>IFERROR(__xludf.DUMMYFUNCTION("""COMPUTED_VALUE"""),80.149481)</f>
        <v>80.149481</v>
      </c>
      <c r="F22894" s="4">
        <f>IFERROR(__xludf.DUMMYFUNCTION("""COMPUTED_VALUE"""),3143.0)</f>
        <v>3143</v>
      </c>
      <c r="G22894" s="4">
        <f>IFERROR(__xludf.DUMMYFUNCTION("""COMPUTED_VALUE"""),42.0)</f>
        <v>42</v>
      </c>
      <c r="H22894" s="4"/>
      <c r="I22894" s="4"/>
    </row>
    <row r="22895">
      <c r="A22895" s="4" t="str">
        <f>IFERROR(__xludf.DUMMYFUNCTION("""COMPUTED_VALUE"""),"cas_hmw")</f>
        <v>cas_hmw</v>
      </c>
      <c r="B22895" s="5">
        <f>IFERROR(__xludf.DUMMYFUNCTION("""COMPUTED_VALUE"""),44790.0)</f>
        <v>44790</v>
      </c>
      <c r="C22895" s="6">
        <f>IFERROR(__xludf.DUMMYFUNCTION("""COMPUTED_VALUE"""),0.7557870370364981)</f>
        <v>0.755787037</v>
      </c>
      <c r="D22895" s="4">
        <f>IFERROR(__xludf.DUMMYFUNCTION("""COMPUTED_VALUE"""),12.95946)</f>
        <v>12.95946</v>
      </c>
      <c r="E22895" s="4">
        <f>IFERROR(__xludf.DUMMYFUNCTION("""COMPUTED_VALUE"""),80.149481)</f>
        <v>80.149481</v>
      </c>
      <c r="F22895" s="4">
        <f>IFERROR(__xludf.DUMMYFUNCTION("""COMPUTED_VALUE"""),3143.0)</f>
        <v>3143</v>
      </c>
      <c r="G22895" s="4">
        <f>IFERROR(__xludf.DUMMYFUNCTION("""COMPUTED_VALUE"""),42.0)</f>
        <v>42</v>
      </c>
      <c r="H22895" s="4"/>
      <c r="I22895" s="4"/>
    </row>
    <row r="22896">
      <c r="A22896" s="4" t="str">
        <f>IFERROR(__xludf.DUMMYFUNCTION("""COMPUTED_VALUE"""),"cas_hmw")</f>
        <v>cas_hmw</v>
      </c>
      <c r="B22896" s="5">
        <f>IFERROR(__xludf.DUMMYFUNCTION("""COMPUTED_VALUE"""),44790.0)</f>
        <v>44790</v>
      </c>
      <c r="C22896" s="6">
        <f>IFERROR(__xludf.DUMMYFUNCTION("""COMPUTED_VALUE"""),0.7559027777788287)</f>
        <v>0.7559027778</v>
      </c>
      <c r="D22896" s="4">
        <f>IFERROR(__xludf.DUMMYFUNCTION("""COMPUTED_VALUE"""),12.959724)</f>
        <v>12.959724</v>
      </c>
      <c r="E22896" s="4">
        <f>IFERROR(__xludf.DUMMYFUNCTION("""COMPUTED_VALUE"""),80.148497)</f>
        <v>80.148497</v>
      </c>
      <c r="F22896" s="4">
        <f>IFERROR(__xludf.DUMMYFUNCTION("""COMPUTED_VALUE"""),3143.0)</f>
        <v>3143</v>
      </c>
      <c r="G22896" s="4">
        <f>IFERROR(__xludf.DUMMYFUNCTION("""COMPUTED_VALUE"""),36.0)</f>
        <v>36</v>
      </c>
      <c r="H22896" s="4"/>
      <c r="I22896" s="4"/>
    </row>
    <row r="22897">
      <c r="A22897" s="4" t="str">
        <f>IFERROR(__xludf.DUMMYFUNCTION("""COMPUTED_VALUE"""),"cas_hmw")</f>
        <v>cas_hmw</v>
      </c>
      <c r="B22897" s="5">
        <f>IFERROR(__xludf.DUMMYFUNCTION("""COMPUTED_VALUE"""),44790.0)</f>
        <v>44790</v>
      </c>
      <c r="C22897" s="6">
        <f>IFERROR(__xludf.DUMMYFUNCTION("""COMPUTED_VALUE"""),0.7563310185178125)</f>
        <v>0.7563310185</v>
      </c>
      <c r="D22897" s="4">
        <f>IFERROR(__xludf.DUMMYFUNCTION("""COMPUTED_VALUE"""),12.960129)</f>
        <v>12.960129</v>
      </c>
      <c r="E22897" s="4">
        <f>IFERROR(__xludf.DUMMYFUNCTION("""COMPUTED_VALUE"""),80.145417)</f>
        <v>80.145417</v>
      </c>
      <c r="F22897" s="4">
        <f>IFERROR(__xludf.DUMMYFUNCTION("""COMPUTED_VALUE"""),3143.0)</f>
        <v>3143</v>
      </c>
      <c r="G22897" s="4">
        <f>IFERROR(__xludf.DUMMYFUNCTION("""COMPUTED_VALUE"""),25.0)</f>
        <v>25</v>
      </c>
      <c r="H22897" s="4"/>
      <c r="I22897" s="4"/>
    </row>
    <row r="22898">
      <c r="A22898" s="4" t="str">
        <f>IFERROR(__xludf.DUMMYFUNCTION("""COMPUTED_VALUE"""),"cas_hmw")</f>
        <v>cas_hmw</v>
      </c>
      <c r="B22898" s="5">
        <f>IFERROR(__xludf.DUMMYFUNCTION("""COMPUTED_VALUE"""),44790.0)</f>
        <v>44790</v>
      </c>
      <c r="C22898" s="6">
        <f>IFERROR(__xludf.DUMMYFUNCTION("""COMPUTED_VALUE"""),0.7566435185181035)</f>
        <v>0.7566435185</v>
      </c>
      <c r="D22898" s="4">
        <f>IFERROR(__xludf.DUMMYFUNCTION("""COMPUTED_VALUE"""),12.957821)</f>
        <v>12.957821</v>
      </c>
      <c r="E22898" s="4">
        <f>IFERROR(__xludf.DUMMYFUNCTION("""COMPUTED_VALUE"""),80.144152)</f>
        <v>80.144152</v>
      </c>
      <c r="F22898" s="4">
        <f>IFERROR(__xludf.DUMMYFUNCTION("""COMPUTED_VALUE"""),3143.0)</f>
        <v>3143</v>
      </c>
      <c r="G22898" s="4">
        <f>IFERROR(__xludf.DUMMYFUNCTION("""COMPUTED_VALUE"""),31.0)</f>
        <v>31</v>
      </c>
      <c r="H22898" s="4"/>
      <c r="I22898" s="4"/>
    </row>
    <row r="22899">
      <c r="A22899" s="4" t="str">
        <f>IFERROR(__xludf.DUMMYFUNCTION("""COMPUTED_VALUE"""),"cas_hmw")</f>
        <v>cas_hmw</v>
      </c>
      <c r="B22899" s="5">
        <f>IFERROR(__xludf.DUMMYFUNCTION("""COMPUTED_VALUE"""),44790.0)</f>
        <v>44790</v>
      </c>
      <c r="C22899" s="6">
        <f>IFERROR(__xludf.DUMMYFUNCTION("""COMPUTED_VALUE"""),0.7567361111105129)</f>
        <v>0.7567361111</v>
      </c>
      <c r="D22899" s="4">
        <f>IFERROR(__xludf.DUMMYFUNCTION("""COMPUTED_VALUE"""),12.957821)</f>
        <v>12.957821</v>
      </c>
      <c r="E22899" s="4">
        <f>IFERROR(__xludf.DUMMYFUNCTION("""COMPUTED_VALUE"""),80.144152)</f>
        <v>80.144152</v>
      </c>
      <c r="F22899" s="4">
        <f>IFERROR(__xludf.DUMMYFUNCTION("""COMPUTED_VALUE"""),3143.0)</f>
        <v>3143</v>
      </c>
      <c r="G22899" s="4">
        <f>IFERROR(__xludf.DUMMYFUNCTION("""COMPUTED_VALUE"""),31.0)</f>
        <v>31</v>
      </c>
      <c r="H22899" s="4"/>
      <c r="I22899" s="4"/>
    </row>
    <row r="22900">
      <c r="A22900" s="4" t="str">
        <f>IFERROR(__xludf.DUMMYFUNCTION("""COMPUTED_VALUE"""),"cas_hmw")</f>
        <v>cas_hmw</v>
      </c>
      <c r="B22900" s="5">
        <f>IFERROR(__xludf.DUMMYFUNCTION("""COMPUTED_VALUE"""),44790.0)</f>
        <v>44790</v>
      </c>
      <c r="C22900" s="6">
        <f>IFERROR(__xludf.DUMMYFUNCTION("""COMPUTED_VALUE"""),0.7568171296297805)</f>
        <v>0.7568171296</v>
      </c>
      <c r="D22900" s="4">
        <f>IFERROR(__xludf.DUMMYFUNCTION("""COMPUTED_VALUE"""),12.957114)</f>
        <v>12.957114</v>
      </c>
      <c r="E22900" s="4">
        <f>IFERROR(__xludf.DUMMYFUNCTION("""COMPUTED_VALUE"""),80.143762)</f>
        <v>80.143762</v>
      </c>
      <c r="F22900" s="4">
        <f>IFERROR(__xludf.DUMMYFUNCTION("""COMPUTED_VALUE"""),3143.0)</f>
        <v>3143</v>
      </c>
      <c r="G22900" s="4">
        <f>IFERROR(__xludf.DUMMYFUNCTION("""COMPUTED_VALUE"""),31.0)</f>
        <v>31</v>
      </c>
      <c r="H22900" s="4"/>
      <c r="I22900" s="4"/>
    </row>
    <row r="22901">
      <c r="A22901" s="4" t="str">
        <f>IFERROR(__xludf.DUMMYFUNCTION("""COMPUTED_VALUE"""),"cas_hmw")</f>
        <v>cas_hmw</v>
      </c>
      <c r="B22901" s="5">
        <f>IFERROR(__xludf.DUMMYFUNCTION("""COMPUTED_VALUE"""),44790.0)</f>
        <v>44790</v>
      </c>
      <c r="C22901" s="6">
        <f>IFERROR(__xludf.DUMMYFUNCTION("""COMPUTED_VALUE"""),0.757534722222772)</f>
        <v>0.7575347222</v>
      </c>
      <c r="D22901" s="4">
        <f>IFERROR(__xludf.DUMMYFUNCTION("""COMPUTED_VALUE"""),12.955585)</f>
        <v>12.955585</v>
      </c>
      <c r="E22901" s="4">
        <f>IFERROR(__xludf.DUMMYFUNCTION("""COMPUTED_VALUE"""),80.142926)</f>
        <v>80.142926</v>
      </c>
      <c r="F22901" s="4">
        <f>IFERROR(__xludf.DUMMYFUNCTION("""COMPUTED_VALUE"""),3143.0)</f>
        <v>3143</v>
      </c>
      <c r="G22901" s="4">
        <f>IFERROR(__xludf.DUMMYFUNCTION("""COMPUTED_VALUE"""),36.0)</f>
        <v>36</v>
      </c>
      <c r="H22901" s="4"/>
      <c r="I22901" s="4"/>
    </row>
    <row r="22902">
      <c r="A22902" s="4" t="str">
        <f>IFERROR(__xludf.DUMMYFUNCTION("""COMPUTED_VALUE"""),"cas_hmw")</f>
        <v>cas_hmw</v>
      </c>
      <c r="B22902" s="5">
        <f>IFERROR(__xludf.DUMMYFUNCTION("""COMPUTED_VALUE"""),44790.0)</f>
        <v>44790</v>
      </c>
      <c r="C22902" s="6">
        <f>IFERROR(__xludf.DUMMYFUNCTION("""COMPUTED_VALUE"""),0.7577314814807323)</f>
        <v>0.7577314815</v>
      </c>
      <c r="D22902" s="4">
        <f>IFERROR(__xludf.DUMMYFUNCTION("""COMPUTED_VALUE"""),12.953692)</f>
        <v>12.953692</v>
      </c>
      <c r="E22902" s="4">
        <f>IFERROR(__xludf.DUMMYFUNCTION("""COMPUTED_VALUE"""),80.141933)</f>
        <v>80.141933</v>
      </c>
      <c r="F22902" s="4">
        <f>IFERROR(__xludf.DUMMYFUNCTION("""COMPUTED_VALUE"""),3143.0)</f>
        <v>3143</v>
      </c>
      <c r="G22902" s="4">
        <f>IFERROR(__xludf.DUMMYFUNCTION("""COMPUTED_VALUE"""),34.0)</f>
        <v>34</v>
      </c>
      <c r="H22902" s="4"/>
      <c r="I22902" s="4"/>
    </row>
    <row r="22903">
      <c r="A22903" s="4" t="str">
        <f>IFERROR(__xludf.DUMMYFUNCTION("""COMPUTED_VALUE"""),"cas_hmw")</f>
        <v>cas_hmw</v>
      </c>
      <c r="B22903" s="5">
        <f>IFERROR(__xludf.DUMMYFUNCTION("""COMPUTED_VALUE"""),44790.0)</f>
        <v>44790</v>
      </c>
      <c r="C22903" s="6">
        <f>IFERROR(__xludf.DUMMYFUNCTION("""COMPUTED_VALUE"""),0.7603472222217533)</f>
        <v>0.7603472222</v>
      </c>
      <c r="D22903" s="4">
        <f>IFERROR(__xludf.DUMMYFUNCTION("""COMPUTED_VALUE"""),12.944517)</f>
        <v>12.944517</v>
      </c>
      <c r="E22903" s="4">
        <f>IFERROR(__xludf.DUMMYFUNCTION("""COMPUTED_VALUE"""),80.134999)</f>
        <v>80.134999</v>
      </c>
      <c r="F22903" s="4">
        <f>IFERROR(__xludf.DUMMYFUNCTION("""COMPUTED_VALUE"""),3143.0)</f>
        <v>3143</v>
      </c>
      <c r="G22903" s="4">
        <f>IFERROR(__xludf.DUMMYFUNCTION("""COMPUTED_VALUE"""),36.0)</f>
        <v>36</v>
      </c>
      <c r="H22903" s="4"/>
      <c r="I22903" s="4"/>
    </row>
    <row r="22904">
      <c r="A22904" s="4" t="str">
        <f>IFERROR(__xludf.DUMMYFUNCTION("""COMPUTED_VALUE"""),"cas_hmw")</f>
        <v>cas_hmw</v>
      </c>
      <c r="B22904" s="5">
        <f>IFERROR(__xludf.DUMMYFUNCTION("""COMPUTED_VALUE"""),44790.0)</f>
        <v>44790</v>
      </c>
      <c r="C22904" s="6">
        <f>IFERROR(__xludf.DUMMYFUNCTION("""COMPUTED_VALUE"""),0.7615509259267128)</f>
        <v>0.7615509259</v>
      </c>
      <c r="D22904" s="4">
        <f>IFERROR(__xludf.DUMMYFUNCTION("""COMPUTED_VALUE"""),12.940468)</f>
        <v>12.940468</v>
      </c>
      <c r="E22904" s="4">
        <f>IFERROR(__xludf.DUMMYFUNCTION("""COMPUTED_VALUE"""),80.131057)</f>
        <v>80.131057</v>
      </c>
      <c r="F22904" s="4">
        <f>IFERROR(__xludf.DUMMYFUNCTION("""COMPUTED_VALUE"""),3143.0)</f>
        <v>3143</v>
      </c>
      <c r="G22904" s="4">
        <f>IFERROR(__xludf.DUMMYFUNCTION("""COMPUTED_VALUE"""),48.0)</f>
        <v>48</v>
      </c>
      <c r="H22904" s="4"/>
      <c r="I22904" s="4"/>
    </row>
    <row r="22905">
      <c r="A22905" s="4" t="str">
        <f>IFERROR(__xludf.DUMMYFUNCTION("""COMPUTED_VALUE"""),"cas_hmw")</f>
        <v>cas_hmw</v>
      </c>
      <c r="B22905" s="5">
        <f>IFERROR(__xludf.DUMMYFUNCTION("""COMPUTED_VALUE"""),44790.0)</f>
        <v>44790</v>
      </c>
      <c r="C22905" s="6">
        <f>IFERROR(__xludf.DUMMYFUNCTION("""COMPUTED_VALUE"""),0.7615856481497758)</f>
        <v>0.7615856481</v>
      </c>
      <c r="D22905" s="4">
        <f>IFERROR(__xludf.DUMMYFUNCTION("""COMPUTED_VALUE"""),12.940468)</f>
        <v>12.940468</v>
      </c>
      <c r="E22905" s="4">
        <f>IFERROR(__xludf.DUMMYFUNCTION("""COMPUTED_VALUE"""),80.131057)</f>
        <v>80.131057</v>
      </c>
      <c r="F22905" s="4">
        <f>IFERROR(__xludf.DUMMYFUNCTION("""COMPUTED_VALUE"""),3143.0)</f>
        <v>3143</v>
      </c>
      <c r="G22905" s="4">
        <f>IFERROR(__xludf.DUMMYFUNCTION("""COMPUTED_VALUE"""),48.0)</f>
        <v>48</v>
      </c>
      <c r="H22905" s="4"/>
      <c r="I22905" s="4"/>
    </row>
    <row r="22906">
      <c r="A22906" s="4" t="str">
        <f>IFERROR(__xludf.DUMMYFUNCTION("""COMPUTED_VALUE"""),"cas_hmw")</f>
        <v>cas_hmw</v>
      </c>
      <c r="B22906" s="5">
        <f>IFERROR(__xludf.DUMMYFUNCTION("""COMPUTED_VALUE"""),44790.0)</f>
        <v>44790</v>
      </c>
      <c r="C22906" s="6">
        <f>IFERROR(__xludf.DUMMYFUNCTION("""COMPUTED_VALUE"""),0.7631365740744513)</f>
        <v>0.7631365741</v>
      </c>
      <c r="D22906" s="4">
        <f>IFERROR(__xludf.DUMMYFUNCTION("""COMPUTED_VALUE"""),12.935398)</f>
        <v>12.935398</v>
      </c>
      <c r="E22906" s="4">
        <f>IFERROR(__xludf.DUMMYFUNCTION("""COMPUTED_VALUE"""),80.12654)</f>
        <v>80.12654</v>
      </c>
      <c r="F22906" s="4">
        <f>IFERROR(__xludf.DUMMYFUNCTION("""COMPUTED_VALUE"""),3143.0)</f>
        <v>3143</v>
      </c>
      <c r="G22906" s="4">
        <f>IFERROR(__xludf.DUMMYFUNCTION("""COMPUTED_VALUE"""),33.0)</f>
        <v>33</v>
      </c>
      <c r="H22906" s="4"/>
      <c r="I22906" s="4"/>
    </row>
    <row r="22907">
      <c r="A22907" s="4" t="str">
        <f>IFERROR(__xludf.DUMMYFUNCTION("""COMPUTED_VALUE"""),"cas_hmw")</f>
        <v>cas_hmw</v>
      </c>
      <c r="B22907" s="5">
        <f>IFERROR(__xludf.DUMMYFUNCTION("""COMPUTED_VALUE"""),44790.0)</f>
        <v>44790</v>
      </c>
      <c r="C22907" s="6">
        <f>IFERROR(__xludf.DUMMYFUNCTION("""COMPUTED_VALUE"""),0.7635300925940101)</f>
        <v>0.7635300926</v>
      </c>
      <c r="D22907" s="4">
        <f>IFERROR(__xludf.DUMMYFUNCTION("""COMPUTED_VALUE"""),12.93371)</f>
        <v>12.93371</v>
      </c>
      <c r="E22907" s="4">
        <f>IFERROR(__xludf.DUMMYFUNCTION("""COMPUTED_VALUE"""),80.124945)</f>
        <v>80.124945</v>
      </c>
      <c r="F22907" s="4">
        <f>IFERROR(__xludf.DUMMYFUNCTION("""COMPUTED_VALUE"""),3143.0)</f>
        <v>3143</v>
      </c>
      <c r="G22907" s="4">
        <f>IFERROR(__xludf.DUMMYFUNCTION("""COMPUTED_VALUE"""),41.0)</f>
        <v>41</v>
      </c>
      <c r="H22907" s="4"/>
      <c r="I22907" s="4"/>
    </row>
    <row r="22908">
      <c r="A22908" s="4" t="str">
        <f>IFERROR(__xludf.DUMMYFUNCTION("""COMPUTED_VALUE"""),"cas_hmw")</f>
        <v>cas_hmw</v>
      </c>
      <c r="B22908" s="5">
        <f>IFERROR(__xludf.DUMMYFUNCTION("""COMPUTED_VALUE"""),44790.0)</f>
        <v>44790</v>
      </c>
      <c r="C22908" s="6">
        <f>IFERROR(__xludf.DUMMYFUNCTION("""COMPUTED_VALUE"""),0.7635300925940101)</f>
        <v>0.7635300926</v>
      </c>
      <c r="D22908" s="4">
        <f>IFERROR(__xludf.DUMMYFUNCTION("""COMPUTED_VALUE"""),12.93371)</f>
        <v>12.93371</v>
      </c>
      <c r="E22908" s="4">
        <f>IFERROR(__xludf.DUMMYFUNCTION("""COMPUTED_VALUE"""),80.124945)</f>
        <v>80.124945</v>
      </c>
      <c r="F22908" s="4">
        <f>IFERROR(__xludf.DUMMYFUNCTION("""COMPUTED_VALUE"""),3143.0)</f>
        <v>3143</v>
      </c>
      <c r="G22908" s="4">
        <f>IFERROR(__xludf.DUMMYFUNCTION("""COMPUTED_VALUE"""),41.0)</f>
        <v>41</v>
      </c>
      <c r="H22908" s="4"/>
      <c r="I22908" s="4"/>
    </row>
    <row r="22909">
      <c r="A22909" s="4" t="str">
        <f>IFERROR(__xludf.DUMMYFUNCTION("""COMPUTED_VALUE"""),"cas_hmw")</f>
        <v>cas_hmw</v>
      </c>
      <c r="B22909" s="5">
        <f>IFERROR(__xludf.DUMMYFUNCTION("""COMPUTED_VALUE"""),44790.0)</f>
        <v>44790</v>
      </c>
      <c r="C22909" s="6">
        <f>IFERROR(__xludf.DUMMYFUNCTION("""COMPUTED_VALUE"""),0.7648611111108039)</f>
        <v>0.7648611111</v>
      </c>
      <c r="D22909" s="4">
        <f>IFERROR(__xludf.DUMMYFUNCTION("""COMPUTED_VALUE"""),12.929716)</f>
        <v>12.929716</v>
      </c>
      <c r="E22909" s="4">
        <f>IFERROR(__xludf.DUMMYFUNCTION("""COMPUTED_VALUE"""),80.120983)</f>
        <v>80.120983</v>
      </c>
      <c r="F22909" s="4">
        <f>IFERROR(__xludf.DUMMYFUNCTION("""COMPUTED_VALUE"""),3143.0)</f>
        <v>3143</v>
      </c>
      <c r="G22909" s="4">
        <f>IFERROR(__xludf.DUMMYFUNCTION("""COMPUTED_VALUE"""),34.0)</f>
        <v>34</v>
      </c>
      <c r="H22909" s="4"/>
      <c r="I22909" s="4"/>
    </row>
    <row r="22910">
      <c r="A22910" s="4" t="str">
        <f>IFERROR(__xludf.DUMMYFUNCTION("""COMPUTED_VALUE"""),"cas_hmw")</f>
        <v>cas_hmw</v>
      </c>
      <c r="B22910" s="5">
        <f>IFERROR(__xludf.DUMMYFUNCTION("""COMPUTED_VALUE"""),44790.0)</f>
        <v>44790</v>
      </c>
      <c r="C22910" s="6">
        <f>IFERROR(__xludf.DUMMYFUNCTION("""COMPUTED_VALUE"""),0.7650231481493392)</f>
        <v>0.7650231481</v>
      </c>
      <c r="D22910" s="4">
        <f>IFERROR(__xludf.DUMMYFUNCTION("""COMPUTED_VALUE"""),12.92835)</f>
        <v>12.92835</v>
      </c>
      <c r="E22910" s="4">
        <f>IFERROR(__xludf.DUMMYFUNCTION("""COMPUTED_VALUE"""),80.119594)</f>
        <v>80.119594</v>
      </c>
      <c r="F22910" s="4">
        <f>IFERROR(__xludf.DUMMYFUNCTION("""COMPUTED_VALUE"""),3143.0)</f>
        <v>3143</v>
      </c>
      <c r="G22910" s="4">
        <f>IFERROR(__xludf.DUMMYFUNCTION("""COMPUTED_VALUE"""),47.0)</f>
        <v>47</v>
      </c>
      <c r="H22910" s="4"/>
      <c r="I22910" s="4"/>
    </row>
    <row r="22911">
      <c r="A22911" s="4" t="str">
        <f>IFERROR(__xludf.DUMMYFUNCTION("""COMPUTED_VALUE"""),"cas_hmw")</f>
        <v>cas_hmw</v>
      </c>
      <c r="B22911" s="5">
        <f>IFERROR(__xludf.DUMMYFUNCTION("""COMPUTED_VALUE"""),44790.0)</f>
        <v>44790</v>
      </c>
      <c r="C22911" s="6">
        <f>IFERROR(__xludf.DUMMYFUNCTION("""COMPUTED_VALUE"""),0.765763888888614)</f>
        <v>0.7657638889</v>
      </c>
      <c r="D22911" s="4">
        <f>IFERROR(__xludf.DUMMYFUNCTION("""COMPUTED_VALUE"""),12.925873)</f>
        <v>12.925873</v>
      </c>
      <c r="E22911" s="4">
        <f>IFERROR(__xludf.DUMMYFUNCTION("""COMPUTED_VALUE"""),80.117081)</f>
        <v>80.117081</v>
      </c>
      <c r="F22911" s="4">
        <f>IFERROR(__xludf.DUMMYFUNCTION("""COMPUTED_VALUE"""),3143.0)</f>
        <v>3143</v>
      </c>
      <c r="G22911" s="4">
        <f>IFERROR(__xludf.DUMMYFUNCTION("""COMPUTED_VALUE"""),40.0)</f>
        <v>40</v>
      </c>
      <c r="H22911" s="4"/>
      <c r="I22911" s="4"/>
    </row>
    <row r="22912">
      <c r="A22912" s="4" t="str">
        <f>IFERROR(__xludf.DUMMYFUNCTION("""COMPUTED_VALUE"""),"cas_hmw")</f>
        <v>cas_hmw</v>
      </c>
      <c r="B22912" s="5">
        <f>IFERROR(__xludf.DUMMYFUNCTION("""COMPUTED_VALUE"""),44790.0)</f>
        <v>44790</v>
      </c>
      <c r="C22912" s="6">
        <f>IFERROR(__xludf.DUMMYFUNCTION("""COMPUTED_VALUE"""),0.7661458333350311)</f>
        <v>0.7661458333</v>
      </c>
      <c r="D22912" s="4">
        <f>IFERROR(__xludf.DUMMYFUNCTION("""COMPUTED_VALUE"""),12.922677)</f>
        <v>12.922677</v>
      </c>
      <c r="E22912" s="4">
        <f>IFERROR(__xludf.DUMMYFUNCTION("""COMPUTED_VALUE"""),80.11388)</f>
        <v>80.11388</v>
      </c>
      <c r="F22912" s="4">
        <f>IFERROR(__xludf.DUMMYFUNCTION("""COMPUTED_VALUE"""),3143.0)</f>
        <v>3143</v>
      </c>
      <c r="G22912" s="4">
        <f>IFERROR(__xludf.DUMMYFUNCTION("""COMPUTED_VALUE"""),43.0)</f>
        <v>43</v>
      </c>
      <c r="H22912" s="4"/>
      <c r="I22912" s="4"/>
    </row>
    <row r="22913">
      <c r="A22913" s="4" t="str">
        <f>IFERROR(__xludf.DUMMYFUNCTION("""COMPUTED_VALUE"""),"cas_hmw")</f>
        <v>cas_hmw</v>
      </c>
      <c r="B22913" s="5">
        <f>IFERROR(__xludf.DUMMYFUNCTION("""COMPUTED_VALUE"""),44790.0)</f>
        <v>44790</v>
      </c>
      <c r="C22913" s="6">
        <f>IFERROR(__xludf.DUMMYFUNCTION("""COMPUTED_VALUE"""),0.7669791666667152)</f>
        <v>0.7669791667</v>
      </c>
      <c r="D22913" s="4">
        <f>IFERROR(__xludf.DUMMYFUNCTION("""COMPUTED_VALUE"""),12.9172)</f>
        <v>12.9172</v>
      </c>
      <c r="E22913" s="4">
        <f>IFERROR(__xludf.DUMMYFUNCTION("""COMPUTED_VALUE"""),80.107574)</f>
        <v>80.107574</v>
      </c>
      <c r="F22913" s="4">
        <f>IFERROR(__xludf.DUMMYFUNCTION("""COMPUTED_VALUE"""),3143.0)</f>
        <v>3143</v>
      </c>
      <c r="G22913" s="4">
        <f>IFERROR(__xludf.DUMMYFUNCTION("""COMPUTED_VALUE"""),35.0)</f>
        <v>35</v>
      </c>
      <c r="H22913" s="4"/>
      <c r="I22913" s="4"/>
    </row>
    <row r="22914">
      <c r="A22914" s="4" t="str">
        <f>IFERROR(__xludf.DUMMYFUNCTION("""COMPUTED_VALUE"""),"cas_hmw")</f>
        <v>cas_hmw</v>
      </c>
      <c r="B22914" s="5">
        <f>IFERROR(__xludf.DUMMYFUNCTION("""COMPUTED_VALUE"""),44790.0)</f>
        <v>44790</v>
      </c>
      <c r="C22914" s="6">
        <f>IFERROR(__xludf.DUMMYFUNCTION("""COMPUTED_VALUE"""),0.7671064814821875)</f>
        <v>0.7671064815</v>
      </c>
      <c r="D22914" s="4">
        <f>IFERROR(__xludf.DUMMYFUNCTION("""COMPUTED_VALUE"""),12.916826)</f>
        <v>12.916826</v>
      </c>
      <c r="E22914" s="4">
        <f>IFERROR(__xludf.DUMMYFUNCTION("""COMPUTED_VALUE"""),80.106888)</f>
        <v>80.106888</v>
      </c>
      <c r="F22914" s="4">
        <f>IFERROR(__xludf.DUMMYFUNCTION("""COMPUTED_VALUE"""),3143.0)</f>
        <v>3143</v>
      </c>
      <c r="G22914" s="4">
        <f>IFERROR(__xludf.DUMMYFUNCTION("""COMPUTED_VALUE"""),31.0)</f>
        <v>31</v>
      </c>
      <c r="H22914" s="4"/>
      <c r="I22914" s="4"/>
    </row>
    <row r="22915">
      <c r="A22915" s="4" t="str">
        <f>IFERROR(__xludf.DUMMYFUNCTION("""COMPUTED_VALUE"""),"cas_hmw")</f>
        <v>cas_hmw</v>
      </c>
      <c r="B22915" s="5">
        <f>IFERROR(__xludf.DUMMYFUNCTION("""COMPUTED_VALUE"""),44790.0)</f>
        <v>44790</v>
      </c>
      <c r="C22915" s="6">
        <f>IFERROR(__xludf.DUMMYFUNCTION("""COMPUTED_VALUE"""),0.7674537037019036)</f>
        <v>0.7674537037</v>
      </c>
      <c r="D22915" s="4">
        <f>IFERROR(__xludf.DUMMYFUNCTION("""COMPUTED_VALUE"""),12.915432)</f>
        <v>12.915432</v>
      </c>
      <c r="E22915" s="4">
        <f>IFERROR(__xludf.DUMMYFUNCTION("""COMPUTED_VALUE"""),80.104314)</f>
        <v>80.104314</v>
      </c>
      <c r="F22915" s="4">
        <f>IFERROR(__xludf.DUMMYFUNCTION("""COMPUTED_VALUE"""),3143.0)</f>
        <v>3143</v>
      </c>
      <c r="G22915" s="4">
        <f>IFERROR(__xludf.DUMMYFUNCTION("""COMPUTED_VALUE"""),41.0)</f>
        <v>41</v>
      </c>
      <c r="H22915" s="4"/>
      <c r="I22915" s="4"/>
    </row>
    <row r="22916">
      <c r="A22916" s="4" t="str">
        <f>IFERROR(__xludf.DUMMYFUNCTION("""COMPUTED_VALUE"""),"cas_hmw")</f>
        <v>cas_hmw</v>
      </c>
      <c r="B22916" s="5">
        <f>IFERROR(__xludf.DUMMYFUNCTION("""COMPUTED_VALUE"""),44790.0)</f>
        <v>44790</v>
      </c>
      <c r="C22916" s="6">
        <f>IFERROR(__xludf.DUMMYFUNCTION("""COMPUTED_VALUE"""),0.7683217592602887)</f>
        <v>0.7683217593</v>
      </c>
      <c r="D22916" s="4">
        <f>IFERROR(__xludf.DUMMYFUNCTION("""COMPUTED_VALUE"""),12.910421)</f>
        <v>12.910421</v>
      </c>
      <c r="E22916" s="4">
        <f>IFERROR(__xludf.DUMMYFUNCTION("""COMPUTED_VALUE"""),80.101032)</f>
        <v>80.101032</v>
      </c>
      <c r="F22916" s="4">
        <f>IFERROR(__xludf.DUMMYFUNCTION("""COMPUTED_VALUE"""),3143.0)</f>
        <v>3143</v>
      </c>
      <c r="G22916" s="4">
        <f>IFERROR(__xludf.DUMMYFUNCTION("""COMPUTED_VALUE"""),48.0)</f>
        <v>48</v>
      </c>
      <c r="H22916" s="4"/>
      <c r="I22916" s="4"/>
    </row>
    <row r="22917">
      <c r="A22917" s="4" t="str">
        <f>IFERROR(__xludf.DUMMYFUNCTION("""COMPUTED_VALUE"""),"cas_hmw")</f>
        <v>cas_hmw</v>
      </c>
      <c r="B22917" s="5">
        <f>IFERROR(__xludf.DUMMYFUNCTION("""COMPUTED_VALUE"""),44790.0)</f>
        <v>44790</v>
      </c>
      <c r="C22917" s="6">
        <f>IFERROR(__xludf.DUMMYFUNCTION("""COMPUTED_VALUE"""),0.7699421296310902)</f>
        <v>0.7699421296</v>
      </c>
      <c r="D22917" s="4">
        <f>IFERROR(__xludf.DUMMYFUNCTION("""COMPUTED_VALUE"""),12.905473)</f>
        <v>12.905473</v>
      </c>
      <c r="E22917" s="4">
        <f>IFERROR(__xludf.DUMMYFUNCTION("""COMPUTED_VALUE"""),80.095791)</f>
        <v>80.095791</v>
      </c>
      <c r="F22917" s="4">
        <f>IFERROR(__xludf.DUMMYFUNCTION("""COMPUTED_VALUE"""),3143.0)</f>
        <v>3143</v>
      </c>
      <c r="G22917" s="4">
        <f>IFERROR(__xludf.DUMMYFUNCTION("""COMPUTED_VALUE"""),22.0)</f>
        <v>22</v>
      </c>
      <c r="H22917" s="4"/>
      <c r="I22917" s="4"/>
    </row>
    <row r="22918">
      <c r="A22918" s="4" t="str">
        <f>IFERROR(__xludf.DUMMYFUNCTION("""COMPUTED_VALUE"""),"cas_hmw")</f>
        <v>cas_hmw</v>
      </c>
      <c r="B22918" s="5">
        <f>IFERROR(__xludf.DUMMYFUNCTION("""COMPUTED_VALUE"""),44790.0)</f>
        <v>44790</v>
      </c>
      <c r="C22918" s="6">
        <f>IFERROR(__xludf.DUMMYFUNCTION("""COMPUTED_VALUE"""),0.7699652777773736)</f>
        <v>0.7699652778</v>
      </c>
      <c r="D22918" s="4">
        <f>IFERROR(__xludf.DUMMYFUNCTION("""COMPUTED_VALUE"""),12.905014)</f>
        <v>12.905014</v>
      </c>
      <c r="E22918" s="4">
        <f>IFERROR(__xludf.DUMMYFUNCTION("""COMPUTED_VALUE"""),80.095457)</f>
        <v>80.095457</v>
      </c>
      <c r="F22918" s="4">
        <f>IFERROR(__xludf.DUMMYFUNCTION("""COMPUTED_VALUE"""),3143.0)</f>
        <v>3143</v>
      </c>
      <c r="G22918" s="4">
        <f>IFERROR(__xludf.DUMMYFUNCTION("""COMPUTED_VALUE"""),25.0)</f>
        <v>25</v>
      </c>
      <c r="H22918" s="4"/>
      <c r="I22918" s="4"/>
    </row>
    <row r="22919">
      <c r="A22919" s="4" t="str">
        <f>IFERROR(__xludf.DUMMYFUNCTION("""COMPUTED_VALUE"""),"cas_hmw")</f>
        <v>cas_hmw</v>
      </c>
      <c r="B22919" s="5">
        <f>IFERROR(__xludf.DUMMYFUNCTION("""COMPUTED_VALUE"""),44790.0)</f>
        <v>44790</v>
      </c>
      <c r="C22919" s="6">
        <f>IFERROR(__xludf.DUMMYFUNCTION("""COMPUTED_VALUE"""),0.7700925925928459)</f>
        <v>0.7700925926</v>
      </c>
      <c r="D22919" s="4">
        <f>IFERROR(__xludf.DUMMYFUNCTION("""COMPUTED_VALUE"""),12.904382)</f>
        <v>12.904382</v>
      </c>
      <c r="E22919" s="4">
        <f>IFERROR(__xludf.DUMMYFUNCTION("""COMPUTED_VALUE"""),80.094998)</f>
        <v>80.094998</v>
      </c>
      <c r="F22919" s="4">
        <f>IFERROR(__xludf.DUMMYFUNCTION("""COMPUTED_VALUE"""),3143.0)</f>
        <v>3143</v>
      </c>
      <c r="G22919" s="4">
        <f>IFERROR(__xludf.DUMMYFUNCTION("""COMPUTED_VALUE"""),36.0)</f>
        <v>36</v>
      </c>
      <c r="H22919" s="4"/>
      <c r="I22919" s="4"/>
    </row>
    <row r="22920">
      <c r="A22920" s="4" t="str">
        <f>IFERROR(__xludf.DUMMYFUNCTION("""COMPUTED_VALUE"""),"cas_hmw")</f>
        <v>cas_hmw</v>
      </c>
      <c r="B22920" s="5">
        <f>IFERROR(__xludf.DUMMYFUNCTION("""COMPUTED_VALUE"""),44790.0)</f>
        <v>44790</v>
      </c>
      <c r="C22920" s="6">
        <f>IFERROR(__xludf.DUMMYFUNCTION("""COMPUTED_VALUE"""),0.7702083333315386)</f>
        <v>0.7702083333</v>
      </c>
      <c r="D22920" s="4">
        <f>IFERROR(__xludf.DUMMYFUNCTION("""COMPUTED_VALUE"""),12.903745)</f>
        <v>12.903745</v>
      </c>
      <c r="E22920" s="4">
        <f>IFERROR(__xludf.DUMMYFUNCTION("""COMPUTED_VALUE"""),80.094446)</f>
        <v>80.094446</v>
      </c>
      <c r="F22920" s="4">
        <f>IFERROR(__xludf.DUMMYFUNCTION("""COMPUTED_VALUE"""),3143.0)</f>
        <v>3143</v>
      </c>
      <c r="G22920" s="4">
        <f>IFERROR(__xludf.DUMMYFUNCTION("""COMPUTED_VALUE"""),28.0)</f>
        <v>28</v>
      </c>
      <c r="H22920" s="4"/>
      <c r="I22920" s="4"/>
    </row>
    <row r="22921">
      <c r="A22921" s="4" t="str">
        <f>IFERROR(__xludf.DUMMYFUNCTION("""COMPUTED_VALUE"""),"cas_hmw")</f>
        <v>cas_hmw</v>
      </c>
      <c r="B22921" s="5">
        <f>IFERROR(__xludf.DUMMYFUNCTION("""COMPUTED_VALUE"""),44790.0)</f>
        <v>44790</v>
      </c>
      <c r="C22921" s="6">
        <f>IFERROR(__xludf.DUMMYFUNCTION("""COMPUTED_VALUE"""),0.7702083333315386)</f>
        <v>0.7702083333</v>
      </c>
      <c r="D22921" s="4">
        <f>IFERROR(__xludf.DUMMYFUNCTION("""COMPUTED_VALUE"""),12.903745)</f>
        <v>12.903745</v>
      </c>
      <c r="E22921" s="4">
        <f>IFERROR(__xludf.DUMMYFUNCTION("""COMPUTED_VALUE"""),80.094446)</f>
        <v>80.094446</v>
      </c>
      <c r="F22921" s="4">
        <f>IFERROR(__xludf.DUMMYFUNCTION("""COMPUTED_VALUE"""),3143.0)</f>
        <v>3143</v>
      </c>
      <c r="G22921" s="4">
        <f>IFERROR(__xludf.DUMMYFUNCTION("""COMPUTED_VALUE"""),28.0)</f>
        <v>28</v>
      </c>
      <c r="H22921" s="4"/>
      <c r="I22921" s="4"/>
    </row>
    <row r="22922">
      <c r="A22922" s="4" t="str">
        <f>IFERROR(__xludf.DUMMYFUNCTION("""COMPUTED_VALUE"""),"cas_hmw")</f>
        <v>cas_hmw</v>
      </c>
      <c r="B22922" s="5">
        <f>IFERROR(__xludf.DUMMYFUNCTION("""COMPUTED_VALUE"""),44790.0)</f>
        <v>44790</v>
      </c>
      <c r="C22922" s="6">
        <f>IFERROR(__xludf.DUMMYFUNCTION("""COMPUTED_VALUE"""),0.7702314814814599)</f>
        <v>0.7702314815</v>
      </c>
      <c r="D22922" s="4">
        <f>IFERROR(__xludf.DUMMYFUNCTION("""COMPUTED_VALUE"""),12.903745)</f>
        <v>12.903745</v>
      </c>
      <c r="E22922" s="4">
        <f>IFERROR(__xludf.DUMMYFUNCTION("""COMPUTED_VALUE"""),80.094446)</f>
        <v>80.094446</v>
      </c>
      <c r="F22922" s="4">
        <f>IFERROR(__xludf.DUMMYFUNCTION("""COMPUTED_VALUE"""),3143.0)</f>
        <v>3143</v>
      </c>
      <c r="G22922" s="4">
        <f>IFERROR(__xludf.DUMMYFUNCTION("""COMPUTED_VALUE"""),28.0)</f>
        <v>28</v>
      </c>
      <c r="H22922" s="4"/>
      <c r="I22922" s="4"/>
    </row>
    <row r="22923">
      <c r="A22923" s="4" t="str">
        <f>IFERROR(__xludf.DUMMYFUNCTION("""COMPUTED_VALUE"""),"cas_hmw")</f>
        <v>cas_hmw</v>
      </c>
      <c r="B22923" s="5">
        <f>IFERROR(__xludf.DUMMYFUNCTION("""COMPUTED_VALUE"""),44790.0)</f>
        <v>44790</v>
      </c>
      <c r="C22923" s="6">
        <f>IFERROR(__xludf.DUMMYFUNCTION("""COMPUTED_VALUE"""),0.770613425924239)</f>
        <v>0.7706134259</v>
      </c>
      <c r="D22923" s="4">
        <f>IFERROR(__xludf.DUMMYFUNCTION("""COMPUTED_VALUE"""),12.901569)</f>
        <v>12.901569</v>
      </c>
      <c r="E22923" s="4">
        <f>IFERROR(__xludf.DUMMYFUNCTION("""COMPUTED_VALUE"""),80.092686)</f>
        <v>80.092686</v>
      </c>
      <c r="F22923" s="4">
        <f>IFERROR(__xludf.DUMMYFUNCTION("""COMPUTED_VALUE"""),3143.0)</f>
        <v>3143</v>
      </c>
      <c r="G22923" s="4">
        <f>IFERROR(__xludf.DUMMYFUNCTION("""COMPUTED_VALUE"""),48.0)</f>
        <v>48</v>
      </c>
      <c r="H22923" s="4"/>
      <c r="I22923" s="4"/>
    </row>
    <row r="22924">
      <c r="A22924" s="4" t="str">
        <f>IFERROR(__xludf.DUMMYFUNCTION("""COMPUTED_VALUE"""),"cas_hmw")</f>
        <v>cas_hmw</v>
      </c>
      <c r="B22924" s="5">
        <f>IFERROR(__xludf.DUMMYFUNCTION("""COMPUTED_VALUE"""),44790.0)</f>
        <v>44790</v>
      </c>
      <c r="C22924" s="6">
        <f>IFERROR(__xludf.DUMMYFUNCTION("""COMPUTED_VALUE"""),0.7725115740722686)</f>
        <v>0.7725115741</v>
      </c>
      <c r="D22924" s="4">
        <f>IFERROR(__xludf.DUMMYFUNCTION("""COMPUTED_VALUE"""),12.884057)</f>
        <v>12.884057</v>
      </c>
      <c r="E22924" s="4">
        <f>IFERROR(__xludf.DUMMYFUNCTION("""COMPUTED_VALUE"""),80.082266)</f>
        <v>80.082266</v>
      </c>
      <c r="F22924" s="4">
        <f>IFERROR(__xludf.DUMMYFUNCTION("""COMPUTED_VALUE"""),3143.0)</f>
        <v>3143</v>
      </c>
      <c r="G22924" s="4">
        <f>IFERROR(__xludf.DUMMYFUNCTION("""COMPUTED_VALUE"""),36.0)</f>
        <v>36</v>
      </c>
      <c r="H22924" s="4"/>
      <c r="I22924" s="4"/>
    </row>
    <row r="22925">
      <c r="A22925" s="4" t="str">
        <f>IFERROR(__xludf.DUMMYFUNCTION("""COMPUTED_VALUE"""),"cas_hmw")</f>
        <v>cas_hmw</v>
      </c>
      <c r="B22925" s="5">
        <f>IFERROR(__xludf.DUMMYFUNCTION("""COMPUTED_VALUE"""),44791.0)</f>
        <v>44791</v>
      </c>
      <c r="C22925" s="6">
        <f>IFERROR(__xludf.DUMMYFUNCTION("""COMPUTED_VALUE"""),0.27043981481619994)</f>
        <v>0.2704398148</v>
      </c>
      <c r="D22925" s="4">
        <f>IFERROR(__xludf.DUMMYFUNCTION("""COMPUTED_VALUE"""),12.900585)</f>
        <v>12.900585</v>
      </c>
      <c r="E22925" s="4">
        <f>IFERROR(__xludf.DUMMYFUNCTION("""COMPUTED_VALUE"""),80.091827)</f>
        <v>80.091827</v>
      </c>
      <c r="F22925" s="4">
        <f>IFERROR(__xludf.DUMMYFUNCTION("""COMPUTED_VALUE"""),3143.0)</f>
        <v>3143</v>
      </c>
      <c r="G22925" s="4">
        <f>IFERROR(__xludf.DUMMYFUNCTION("""COMPUTED_VALUE"""),55.0)</f>
        <v>55</v>
      </c>
      <c r="H22925" s="4"/>
      <c r="I22925" s="4"/>
    </row>
    <row r="22926">
      <c r="A22926" s="4" t="str">
        <f>IFERROR(__xludf.DUMMYFUNCTION("""COMPUTED_VALUE"""),"cas_hmw")</f>
        <v>cas_hmw</v>
      </c>
      <c r="B22926" s="5">
        <f>IFERROR(__xludf.DUMMYFUNCTION("""COMPUTED_VALUE"""),44791.0)</f>
        <v>44791</v>
      </c>
      <c r="C22926" s="6">
        <f>IFERROR(__xludf.DUMMYFUNCTION("""COMPUTED_VALUE"""),0.270752314816491)</f>
        <v>0.2707523148</v>
      </c>
      <c r="D22926" s="4">
        <f>IFERROR(__xludf.DUMMYFUNCTION("""COMPUTED_VALUE"""),12.90279)</f>
        <v>12.90279</v>
      </c>
      <c r="E22926" s="4">
        <f>IFERROR(__xludf.DUMMYFUNCTION("""COMPUTED_VALUE"""),80.093437)</f>
        <v>80.093437</v>
      </c>
      <c r="F22926" s="4">
        <f>IFERROR(__xludf.DUMMYFUNCTION("""COMPUTED_VALUE"""),3143.0)</f>
        <v>3143</v>
      </c>
      <c r="G22926" s="4">
        <f>IFERROR(__xludf.DUMMYFUNCTION("""COMPUTED_VALUE"""),50.0)</f>
        <v>50</v>
      </c>
      <c r="H22926" s="4"/>
      <c r="I22926" s="4"/>
    </row>
    <row r="22927">
      <c r="A22927" s="4" t="str">
        <f>IFERROR(__xludf.DUMMYFUNCTION("""COMPUTED_VALUE"""),"cas_hmw")</f>
        <v>cas_hmw</v>
      </c>
      <c r="B22927" s="5">
        <f>IFERROR(__xludf.DUMMYFUNCTION("""COMPUTED_VALUE"""),44791.0)</f>
        <v>44791</v>
      </c>
      <c r="C22927" s="6">
        <f>IFERROR(__xludf.DUMMYFUNCTION("""COMPUTED_VALUE"""),0.2715393518519704)</f>
        <v>0.2715393519</v>
      </c>
      <c r="D22927" s="4">
        <f>IFERROR(__xludf.DUMMYFUNCTION("""COMPUTED_VALUE"""),12.909677)</f>
        <v>12.909677</v>
      </c>
      <c r="E22927" s="4">
        <f>IFERROR(__xludf.DUMMYFUNCTION("""COMPUTED_VALUE"""),80.099376)</f>
        <v>80.099376</v>
      </c>
      <c r="F22927" s="4">
        <f>IFERROR(__xludf.DUMMYFUNCTION("""COMPUTED_VALUE"""),3143.0)</f>
        <v>3143</v>
      </c>
      <c r="G22927" s="4">
        <f>IFERROR(__xludf.DUMMYFUNCTION("""COMPUTED_VALUE"""),48.0)</f>
        <v>48</v>
      </c>
      <c r="H22927" s="4"/>
      <c r="I22927" s="4"/>
    </row>
    <row r="22928">
      <c r="A22928" s="4" t="str">
        <f>IFERROR(__xludf.DUMMYFUNCTION("""COMPUTED_VALUE"""),"cas_hmw")</f>
        <v>cas_hmw</v>
      </c>
      <c r="B22928" s="5">
        <f>IFERROR(__xludf.DUMMYFUNCTION("""COMPUTED_VALUE"""),44791.0)</f>
        <v>44791</v>
      </c>
      <c r="C22928" s="6">
        <f>IFERROR(__xludf.DUMMYFUNCTION("""COMPUTED_VALUE"""),0.2756481481483206)</f>
        <v>0.2756481481</v>
      </c>
      <c r="D22928" s="4">
        <f>IFERROR(__xludf.DUMMYFUNCTION("""COMPUTED_VALUE"""),12.928575)</f>
        <v>12.928575</v>
      </c>
      <c r="E22928" s="4">
        <f>IFERROR(__xludf.DUMMYFUNCTION("""COMPUTED_VALUE"""),80.119677)</f>
        <v>80.119677</v>
      </c>
      <c r="F22928" s="4">
        <f>IFERROR(__xludf.DUMMYFUNCTION("""COMPUTED_VALUE"""),3143.0)</f>
        <v>3143</v>
      </c>
      <c r="G22928" s="4">
        <f>IFERROR(__xludf.DUMMYFUNCTION("""COMPUTED_VALUE"""),34.0)</f>
        <v>34</v>
      </c>
      <c r="H22928" s="4"/>
      <c r="I22928" s="4"/>
    </row>
    <row r="22929">
      <c r="A22929" s="4" t="str">
        <f>IFERROR(__xludf.DUMMYFUNCTION("""COMPUTED_VALUE"""),"cas_hmw")</f>
        <v>cas_hmw</v>
      </c>
      <c r="B22929" s="5">
        <f>IFERROR(__xludf.DUMMYFUNCTION("""COMPUTED_VALUE"""),44791.0)</f>
        <v>44791</v>
      </c>
      <c r="C22929" s="6">
        <f>IFERROR(__xludf.DUMMYFUNCTION("""COMPUTED_VALUE"""),0.27982638888715883)</f>
        <v>0.2798263889</v>
      </c>
      <c r="D22929" s="4">
        <f>IFERROR(__xludf.DUMMYFUNCTION("""COMPUTED_VALUE"""),12.95317)</f>
        <v>12.95317</v>
      </c>
      <c r="E22929" s="4">
        <f>IFERROR(__xludf.DUMMYFUNCTION("""COMPUTED_VALUE"""),80.141492)</f>
        <v>80.141492</v>
      </c>
      <c r="F22929" s="4">
        <f>IFERROR(__xludf.DUMMYFUNCTION("""COMPUTED_VALUE"""),3143.0)</f>
        <v>3143</v>
      </c>
      <c r="G22929" s="4">
        <f>IFERROR(__xludf.DUMMYFUNCTION("""COMPUTED_VALUE"""),50.0)</f>
        <v>50</v>
      </c>
      <c r="H22929" s="4"/>
      <c r="I22929" s="4"/>
    </row>
    <row r="22930">
      <c r="A22930" s="4" t="str">
        <f>IFERROR(__xludf.DUMMYFUNCTION("""COMPUTED_VALUE"""),"cas_hmw")</f>
        <v>cas_hmw</v>
      </c>
      <c r="B22930" s="5">
        <f>IFERROR(__xludf.DUMMYFUNCTION("""COMPUTED_VALUE"""),44791.0)</f>
        <v>44791</v>
      </c>
      <c r="C22930" s="6">
        <f>IFERROR(__xludf.DUMMYFUNCTION("""COMPUTED_VALUE"""),0.28086805555722094)</f>
        <v>0.2808680556</v>
      </c>
      <c r="D22930" s="4">
        <f>IFERROR(__xludf.DUMMYFUNCTION("""COMPUTED_VALUE"""),12.958062)</f>
        <v>12.958062</v>
      </c>
      <c r="E22930" s="4">
        <f>IFERROR(__xludf.DUMMYFUNCTION("""COMPUTED_VALUE"""),80.144035)</f>
        <v>80.144035</v>
      </c>
      <c r="F22930" s="4">
        <f>IFERROR(__xludf.DUMMYFUNCTION("""COMPUTED_VALUE"""),3143.0)</f>
        <v>3143</v>
      </c>
      <c r="G22930" s="4">
        <f>IFERROR(__xludf.DUMMYFUNCTION("""COMPUTED_VALUE"""),37.0)</f>
        <v>37</v>
      </c>
      <c r="H22930" s="4"/>
      <c r="I22930" s="4"/>
    </row>
    <row r="22931">
      <c r="A22931" s="4" t="str">
        <f>IFERROR(__xludf.DUMMYFUNCTION("""COMPUTED_VALUE"""),"cas_hmw")</f>
        <v>cas_hmw</v>
      </c>
      <c r="B22931" s="5">
        <f>IFERROR(__xludf.DUMMYFUNCTION("""COMPUTED_VALUE"""),44791.0)</f>
        <v>44791</v>
      </c>
      <c r="C22931" s="6">
        <f>IFERROR(__xludf.DUMMYFUNCTION("""COMPUTED_VALUE"""),0.2920833333337214)</f>
        <v>0.2920833333</v>
      </c>
      <c r="D22931" s="4">
        <f>IFERROR(__xludf.DUMMYFUNCTION("""COMPUTED_VALUE"""),12.975849)</f>
        <v>12.975849</v>
      </c>
      <c r="E22931" s="4">
        <f>IFERROR(__xludf.DUMMYFUNCTION("""COMPUTED_VALUE"""),80.221046)</f>
        <v>80.221046</v>
      </c>
      <c r="F22931" s="4">
        <f>IFERROR(__xludf.DUMMYFUNCTION("""COMPUTED_VALUE"""),3143.0)</f>
        <v>3143</v>
      </c>
      <c r="G22931" s="4">
        <f>IFERROR(__xludf.DUMMYFUNCTION("""COMPUTED_VALUE"""),0.0)</f>
        <v>0</v>
      </c>
      <c r="H22931" s="4"/>
      <c r="I22931" s="4"/>
    </row>
    <row r="22932">
      <c r="A22932" s="4" t="str">
        <f>IFERROR(__xludf.DUMMYFUNCTION("""COMPUTED_VALUE"""),"cas_hmw")</f>
        <v>cas_hmw</v>
      </c>
      <c r="B22932" s="5">
        <f>IFERROR(__xludf.DUMMYFUNCTION("""COMPUTED_VALUE"""),44791.0)</f>
        <v>44791</v>
      </c>
      <c r="C22932" s="6">
        <f>IFERROR(__xludf.DUMMYFUNCTION("""COMPUTED_VALUE"""),0.2924421296302171)</f>
        <v>0.2924421296</v>
      </c>
      <c r="D22932" s="4">
        <f>IFERROR(__xludf.DUMMYFUNCTION("""COMPUTED_VALUE"""),12.975931)</f>
        <v>12.975931</v>
      </c>
      <c r="E22932" s="4">
        <f>IFERROR(__xludf.DUMMYFUNCTION("""COMPUTED_VALUE"""),80.221132)</f>
        <v>80.221132</v>
      </c>
      <c r="F22932" s="4">
        <f>IFERROR(__xludf.DUMMYFUNCTION("""COMPUTED_VALUE"""),3143.0)</f>
        <v>3143</v>
      </c>
      <c r="G22932" s="4">
        <f>IFERROR(__xludf.DUMMYFUNCTION("""COMPUTED_VALUE"""),15.0)</f>
        <v>15</v>
      </c>
      <c r="H22932" s="4"/>
      <c r="I22932" s="4"/>
    </row>
    <row r="22933">
      <c r="A22933" s="4" t="str">
        <f>IFERROR(__xludf.DUMMYFUNCTION("""COMPUTED_VALUE"""),"cas_hmw")</f>
        <v>cas_hmw</v>
      </c>
      <c r="B22933" s="5">
        <f>IFERROR(__xludf.DUMMYFUNCTION("""COMPUTED_VALUE"""),44791.0)</f>
        <v>44791</v>
      </c>
      <c r="C22933" s="6">
        <f>IFERROR(__xludf.DUMMYFUNCTION("""COMPUTED_VALUE"""),0.29252314814948477)</f>
        <v>0.2925231481</v>
      </c>
      <c r="D22933" s="4">
        <f>IFERROR(__xludf.DUMMYFUNCTION("""COMPUTED_VALUE"""),12.975931)</f>
        <v>12.975931</v>
      </c>
      <c r="E22933" s="4">
        <f>IFERROR(__xludf.DUMMYFUNCTION("""COMPUTED_VALUE"""),80.221132)</f>
        <v>80.221132</v>
      </c>
      <c r="F22933" s="4">
        <f>IFERROR(__xludf.DUMMYFUNCTION("""COMPUTED_VALUE"""),3143.0)</f>
        <v>3143</v>
      </c>
      <c r="G22933" s="4">
        <f>IFERROR(__xludf.DUMMYFUNCTION("""COMPUTED_VALUE"""),15.0)</f>
        <v>15</v>
      </c>
      <c r="H22933" s="4"/>
      <c r="I22933" s="4"/>
    </row>
    <row r="22934">
      <c r="A22934" s="4" t="str">
        <f>IFERROR(__xludf.DUMMYFUNCTION("""COMPUTED_VALUE"""),"cas_hmw")</f>
        <v>cas_hmw</v>
      </c>
      <c r="B22934" s="5">
        <f>IFERROR(__xludf.DUMMYFUNCTION("""COMPUTED_VALUE"""),44791.0)</f>
        <v>44791</v>
      </c>
      <c r="C22934" s="6">
        <f>IFERROR(__xludf.DUMMYFUNCTION("""COMPUTED_VALUE"""),0.30493055555416504)</f>
        <v>0.3049305556</v>
      </c>
      <c r="D22934" s="4">
        <f>IFERROR(__xludf.DUMMYFUNCTION("""COMPUTED_VALUE"""),12.56521)</f>
        <v>12.56521</v>
      </c>
      <c r="E22934" s="4">
        <f>IFERROR(__xludf.DUMMYFUNCTION("""COMPUTED_VALUE"""),79.914228)</f>
        <v>79.914228</v>
      </c>
      <c r="F22934" s="4">
        <f>IFERROR(__xludf.DUMMYFUNCTION("""COMPUTED_VALUE"""),2846.0)</f>
        <v>2846</v>
      </c>
      <c r="G22934" s="4">
        <f>IFERROR(__xludf.DUMMYFUNCTION("""COMPUTED_VALUE"""),53.0)</f>
        <v>53</v>
      </c>
      <c r="H22934" s="4"/>
      <c r="I22934" s="4"/>
    </row>
    <row r="22935">
      <c r="A22935" s="4" t="str">
        <f>IFERROR(__xludf.DUMMYFUNCTION("""COMPUTED_VALUE"""),"cas_hmw")</f>
        <v>cas_hmw</v>
      </c>
      <c r="B22935" s="5">
        <f>IFERROR(__xludf.DUMMYFUNCTION("""COMPUTED_VALUE"""),44791.0)</f>
        <v>44791</v>
      </c>
      <c r="C22935" s="6">
        <f>IFERROR(__xludf.DUMMYFUNCTION("""COMPUTED_VALUE"""),0.312604166665551)</f>
        <v>0.3126041667</v>
      </c>
      <c r="D22935" s="4">
        <f>IFERROR(__xludf.DUMMYFUNCTION("""COMPUTED_VALUE"""),13.050826)</f>
        <v>13.050826</v>
      </c>
      <c r="E22935" s="4">
        <f>IFERROR(__xludf.DUMMYFUNCTION("""COMPUTED_VALUE"""),80.250062)</f>
        <v>80.250062</v>
      </c>
      <c r="F22935" s="4">
        <f>IFERROR(__xludf.DUMMYFUNCTION("""COMPUTED_VALUE"""),5339.0)</f>
        <v>5339</v>
      </c>
      <c r="G22935" s="4">
        <f>IFERROR(__xludf.DUMMYFUNCTION("""COMPUTED_VALUE"""),51.0)</f>
        <v>51</v>
      </c>
      <c r="H22935" s="4"/>
      <c r="I22935" s="4"/>
    </row>
    <row r="22936">
      <c r="A22936" s="4" t="str">
        <f>IFERROR(__xludf.DUMMYFUNCTION("""COMPUTED_VALUE"""),"cas_hmw")</f>
        <v>cas_hmw</v>
      </c>
      <c r="B22936" s="5">
        <f>IFERROR(__xludf.DUMMYFUNCTION("""COMPUTED_VALUE"""),44791.0)</f>
        <v>44791</v>
      </c>
      <c r="C22936" s="6">
        <f>IFERROR(__xludf.DUMMYFUNCTION("""COMPUTED_VALUE"""),0.3130092592582514)</f>
        <v>0.3130092593</v>
      </c>
      <c r="D22936" s="4">
        <f>IFERROR(__xludf.DUMMYFUNCTION("""COMPUTED_VALUE"""),12.653602)</f>
        <v>12.653602</v>
      </c>
      <c r="E22936" s="4">
        <f>IFERROR(__xludf.DUMMYFUNCTION("""COMPUTED_VALUE"""),79.940041)</f>
        <v>79.940041</v>
      </c>
      <c r="F22936" s="4">
        <f>IFERROR(__xludf.DUMMYFUNCTION("""COMPUTED_VALUE"""),2846.0)</f>
        <v>2846</v>
      </c>
      <c r="G22936" s="4">
        <f>IFERROR(__xludf.DUMMYFUNCTION("""COMPUTED_VALUE"""),55.0)</f>
        <v>55</v>
      </c>
      <c r="H22936" s="4"/>
      <c r="I22936" s="4"/>
    </row>
    <row r="22937">
      <c r="A22937" s="4" t="str">
        <f>IFERROR(__xludf.DUMMYFUNCTION("""COMPUTED_VALUE"""),"cas_hmw")</f>
        <v>cas_hmw</v>
      </c>
      <c r="B22937" s="5">
        <f>IFERROR(__xludf.DUMMYFUNCTION("""COMPUTED_VALUE"""),44791.0)</f>
        <v>44791</v>
      </c>
      <c r="C22937" s="6">
        <f>IFERROR(__xludf.DUMMYFUNCTION("""COMPUTED_VALUE"""),0.3136226851856918)</f>
        <v>0.3136226852</v>
      </c>
      <c r="D22937" s="4">
        <f>IFERROR(__xludf.DUMMYFUNCTION("""COMPUTED_VALUE"""),13.041787)</f>
        <v>13.041787</v>
      </c>
      <c r="E22937" s="4">
        <f>IFERROR(__xludf.DUMMYFUNCTION("""COMPUTED_VALUE"""),80.247449)</f>
        <v>80.247449</v>
      </c>
      <c r="F22937" s="4">
        <f>IFERROR(__xludf.DUMMYFUNCTION("""COMPUTED_VALUE"""),5339.0)</f>
        <v>5339</v>
      </c>
      <c r="G22937" s="4">
        <f>IFERROR(__xludf.DUMMYFUNCTION("""COMPUTED_VALUE"""),28.0)</f>
        <v>28</v>
      </c>
      <c r="H22937" s="4"/>
      <c r="I22937" s="4"/>
    </row>
    <row r="22938">
      <c r="A22938" s="4" t="str">
        <f>IFERROR(__xludf.DUMMYFUNCTION("""COMPUTED_VALUE"""),"cas_hmw")</f>
        <v>cas_hmw</v>
      </c>
      <c r="B22938" s="5">
        <f>IFERROR(__xludf.DUMMYFUNCTION("""COMPUTED_VALUE"""),44791.0)</f>
        <v>44791</v>
      </c>
      <c r="C22938" s="6">
        <f>IFERROR(__xludf.DUMMYFUNCTION("""COMPUTED_VALUE"""),0.3142476851862739)</f>
        <v>0.3142476852</v>
      </c>
      <c r="D22938" s="4">
        <f>IFERROR(__xludf.DUMMYFUNCTION("""COMPUTED_VALUE"""),12.656186)</f>
        <v>12.656186</v>
      </c>
      <c r="E22938" s="4">
        <f>IFERROR(__xludf.DUMMYFUNCTION("""COMPUTED_VALUE"""),79.951702)</f>
        <v>79.951702</v>
      </c>
      <c r="F22938" s="4">
        <f>IFERROR(__xludf.DUMMYFUNCTION("""COMPUTED_VALUE"""),2846.0)</f>
        <v>2846</v>
      </c>
      <c r="G22938" s="4">
        <f>IFERROR(__xludf.DUMMYFUNCTION("""COMPUTED_VALUE"""),54.0)</f>
        <v>54</v>
      </c>
      <c r="H22938" s="4"/>
      <c r="I22938" s="4"/>
    </row>
    <row r="22939">
      <c r="A22939" s="4" t="str">
        <f>IFERROR(__xludf.DUMMYFUNCTION("""COMPUTED_VALUE"""),"cas_hmw")</f>
        <v>cas_hmw</v>
      </c>
      <c r="B22939" s="5">
        <f>IFERROR(__xludf.DUMMYFUNCTION("""COMPUTED_VALUE"""),44791.0)</f>
        <v>44791</v>
      </c>
      <c r="C22939" s="6">
        <f>IFERROR(__xludf.DUMMYFUNCTION("""COMPUTED_VALUE"""),0.31648148148087785)</f>
        <v>0.3164814815</v>
      </c>
      <c r="D22939" s="4">
        <f>IFERROR(__xludf.DUMMYFUNCTION("""COMPUTED_VALUE"""),13.029469)</f>
        <v>13.029469</v>
      </c>
      <c r="E22939" s="4">
        <f>IFERROR(__xludf.DUMMYFUNCTION("""COMPUTED_VALUE"""),80.237143)</f>
        <v>80.237143</v>
      </c>
      <c r="F22939" s="4">
        <f>IFERROR(__xludf.DUMMYFUNCTION("""COMPUTED_VALUE"""),5339.0)</f>
        <v>5339</v>
      </c>
      <c r="G22939" s="4">
        <f>IFERROR(__xludf.DUMMYFUNCTION("""COMPUTED_VALUE"""),27.0)</f>
        <v>27</v>
      </c>
      <c r="H22939" s="4"/>
      <c r="I22939" s="4"/>
    </row>
    <row r="22940">
      <c r="A22940" s="4" t="str">
        <f>IFERROR(__xludf.DUMMYFUNCTION("""COMPUTED_VALUE"""),"cas_hmw")</f>
        <v>cas_hmw</v>
      </c>
      <c r="B22940" s="5">
        <f>IFERROR(__xludf.DUMMYFUNCTION("""COMPUTED_VALUE"""),44791.0)</f>
        <v>44791</v>
      </c>
      <c r="C22940" s="6">
        <f>IFERROR(__xludf.DUMMYFUNCTION("""COMPUTED_VALUE"""),0.317696759258979)</f>
        <v>0.3176967593</v>
      </c>
      <c r="D22940" s="4">
        <f>IFERROR(__xludf.DUMMYFUNCTION("""COMPUTED_VALUE"""),13.026266)</f>
        <v>13.026266</v>
      </c>
      <c r="E22940" s="4">
        <f>IFERROR(__xludf.DUMMYFUNCTION("""COMPUTED_VALUE"""),80.232416)</f>
        <v>80.232416</v>
      </c>
      <c r="F22940" s="4">
        <f>IFERROR(__xludf.DUMMYFUNCTION("""COMPUTED_VALUE"""),5339.0)</f>
        <v>5339</v>
      </c>
      <c r="G22940" s="4">
        <f>IFERROR(__xludf.DUMMYFUNCTION("""COMPUTED_VALUE"""),34.0)</f>
        <v>34</v>
      </c>
      <c r="H22940" s="4"/>
      <c r="I22940" s="4"/>
    </row>
    <row r="22941">
      <c r="A22941" s="4" t="str">
        <f>IFERROR(__xludf.DUMMYFUNCTION("""COMPUTED_VALUE"""),"cas_hmw")</f>
        <v>cas_hmw</v>
      </c>
      <c r="B22941" s="5">
        <f>IFERROR(__xludf.DUMMYFUNCTION("""COMPUTED_VALUE"""),44791.0)</f>
        <v>44791</v>
      </c>
      <c r="C22941" s="6">
        <f>IFERROR(__xludf.DUMMYFUNCTION("""COMPUTED_VALUE"""),0.3197569444455439)</f>
        <v>0.3197569444</v>
      </c>
      <c r="D22941" s="4">
        <f>IFERROR(__xludf.DUMMYFUNCTION("""COMPUTED_VALUE"""),13.013505)</f>
        <v>13.013505</v>
      </c>
      <c r="E22941" s="4">
        <f>IFERROR(__xludf.DUMMYFUNCTION("""COMPUTED_VALUE"""),80.226557)</f>
        <v>80.226557</v>
      </c>
      <c r="F22941" s="4">
        <f>IFERROR(__xludf.DUMMYFUNCTION("""COMPUTED_VALUE"""),5339.0)</f>
        <v>5339</v>
      </c>
      <c r="G22941" s="4">
        <f>IFERROR(__xludf.DUMMYFUNCTION("""COMPUTED_VALUE"""),50.0)</f>
        <v>50</v>
      </c>
      <c r="H22941" s="4"/>
      <c r="I22941" s="4"/>
    </row>
    <row r="22942">
      <c r="A22942" s="4" t="str">
        <f>IFERROR(__xludf.DUMMYFUNCTION("""COMPUTED_VALUE"""),"cas_hmw")</f>
        <v>cas_hmw</v>
      </c>
      <c r="B22942" s="5">
        <f>IFERROR(__xludf.DUMMYFUNCTION("""COMPUTED_VALUE"""),44791.0)</f>
        <v>44791</v>
      </c>
      <c r="C22942" s="6">
        <f>IFERROR(__xludf.DUMMYFUNCTION("""COMPUTED_VALUE"""),0.3206828703696374)</f>
        <v>0.3206828704</v>
      </c>
      <c r="D22942" s="4">
        <f>IFERROR(__xludf.DUMMYFUNCTION("""COMPUTED_VALUE"""),13.010706)</f>
        <v>13.010706</v>
      </c>
      <c r="E22942" s="4">
        <f>IFERROR(__xludf.DUMMYFUNCTION("""COMPUTED_VALUE"""),80.225003)</f>
        <v>80.225003</v>
      </c>
      <c r="F22942" s="4">
        <f>IFERROR(__xludf.DUMMYFUNCTION("""COMPUTED_VALUE"""),5339.0)</f>
        <v>5339</v>
      </c>
      <c r="G22942" s="4">
        <f>IFERROR(__xludf.DUMMYFUNCTION("""COMPUTED_VALUE"""),22.0)</f>
        <v>22</v>
      </c>
      <c r="H22942" s="4"/>
      <c r="I22942" s="4"/>
    </row>
    <row r="22943">
      <c r="A22943" s="4" t="str">
        <f>IFERROR(__xludf.DUMMYFUNCTION("""COMPUTED_VALUE"""),"cas_hmw")</f>
        <v>cas_hmw</v>
      </c>
      <c r="B22943" s="5">
        <f>IFERROR(__xludf.DUMMYFUNCTION("""COMPUTED_VALUE"""),44791.0)</f>
        <v>44791</v>
      </c>
      <c r="C22943" s="6">
        <f>IFERROR(__xludf.DUMMYFUNCTION("""COMPUTED_VALUE"""),0.32116898148160544)</f>
        <v>0.3211689815</v>
      </c>
      <c r="D22943" s="4">
        <f>IFERROR(__xludf.DUMMYFUNCTION("""COMPUTED_VALUE"""),13.011279)</f>
        <v>13.011279</v>
      </c>
      <c r="E22943" s="4">
        <f>IFERROR(__xludf.DUMMYFUNCTION("""COMPUTED_VALUE"""),80.22363)</f>
        <v>80.22363</v>
      </c>
      <c r="F22943" s="4">
        <f>IFERROR(__xludf.DUMMYFUNCTION("""COMPUTED_VALUE"""),5339.0)</f>
        <v>5339</v>
      </c>
      <c r="G22943" s="4">
        <f>IFERROR(__xludf.DUMMYFUNCTION("""COMPUTED_VALUE"""),11.0)</f>
        <v>11</v>
      </c>
      <c r="H22943" s="4"/>
      <c r="I22943" s="4"/>
    </row>
    <row r="22944">
      <c r="A22944" s="4" t="str">
        <f>IFERROR(__xludf.DUMMYFUNCTION("""COMPUTED_VALUE"""),"cas_hmw")</f>
        <v>cas_hmw</v>
      </c>
      <c r="B22944" s="5">
        <f>IFERROR(__xludf.DUMMYFUNCTION("""COMPUTED_VALUE"""),44791.0)</f>
        <v>44791</v>
      </c>
      <c r="C22944" s="6">
        <f>IFERROR(__xludf.DUMMYFUNCTION("""COMPUTED_VALUE"""),0.3211805555547471)</f>
        <v>0.3211805556</v>
      </c>
      <c r="D22944" s="4">
        <f>IFERROR(__xludf.DUMMYFUNCTION("""COMPUTED_VALUE"""),13.011279)</f>
        <v>13.011279</v>
      </c>
      <c r="E22944" s="4">
        <f>IFERROR(__xludf.DUMMYFUNCTION("""COMPUTED_VALUE"""),80.22363)</f>
        <v>80.22363</v>
      </c>
      <c r="F22944" s="4">
        <f>IFERROR(__xludf.DUMMYFUNCTION("""COMPUTED_VALUE"""),5339.0)</f>
        <v>5339</v>
      </c>
      <c r="G22944" s="4">
        <f>IFERROR(__xludf.DUMMYFUNCTION("""COMPUTED_VALUE"""),11.0)</f>
        <v>11</v>
      </c>
      <c r="H22944" s="4"/>
      <c r="I22944" s="4"/>
    </row>
    <row r="22945">
      <c r="A22945" s="4" t="str">
        <f>IFERROR(__xludf.DUMMYFUNCTION("""COMPUTED_VALUE"""),"cas_hmw")</f>
        <v>cas_hmw</v>
      </c>
      <c r="B22945" s="5">
        <f>IFERROR(__xludf.DUMMYFUNCTION("""COMPUTED_VALUE"""),44791.0)</f>
        <v>44791</v>
      </c>
      <c r="C22945" s="6">
        <f>IFERROR(__xludf.DUMMYFUNCTION("""COMPUTED_VALUE"""),0.3212615740740148)</f>
        <v>0.3212615741</v>
      </c>
      <c r="D22945" s="4">
        <f>IFERROR(__xludf.DUMMYFUNCTION("""COMPUTED_VALUE"""),12.685924)</f>
        <v>12.685924</v>
      </c>
      <c r="E22945" s="4">
        <f>IFERROR(__xludf.DUMMYFUNCTION("""COMPUTED_VALUE"""),79.983483)</f>
        <v>79.983483</v>
      </c>
      <c r="F22945" s="4">
        <f>IFERROR(__xludf.DUMMYFUNCTION("""COMPUTED_VALUE"""),2846.0)</f>
        <v>2846</v>
      </c>
      <c r="G22945" s="4">
        <f>IFERROR(__xludf.DUMMYFUNCTION("""COMPUTED_VALUE"""),30.0)</f>
        <v>30</v>
      </c>
      <c r="H22945" s="4"/>
      <c r="I22945" s="4"/>
    </row>
    <row r="22946">
      <c r="A22946" s="4" t="str">
        <f>IFERROR(__xludf.DUMMYFUNCTION("""COMPUTED_VALUE"""),"cas_hmw")</f>
        <v>cas_hmw</v>
      </c>
      <c r="B22946" s="5">
        <f>IFERROR(__xludf.DUMMYFUNCTION("""COMPUTED_VALUE"""),44791.0)</f>
        <v>44791</v>
      </c>
      <c r="C22946" s="6">
        <f>IFERROR(__xludf.DUMMYFUNCTION("""COMPUTED_VALUE"""),0.32246527777897427)</f>
        <v>0.3224652778</v>
      </c>
      <c r="D22946" s="4">
        <f>IFERROR(__xludf.DUMMYFUNCTION("""COMPUTED_VALUE"""),13.009428)</f>
        <v>13.009428</v>
      </c>
      <c r="E22946" s="4">
        <f>IFERROR(__xludf.DUMMYFUNCTION("""COMPUTED_VALUE"""),80.213026)</f>
        <v>80.213026</v>
      </c>
      <c r="F22946" s="4">
        <f>IFERROR(__xludf.DUMMYFUNCTION("""COMPUTED_VALUE"""),5339.0)</f>
        <v>5339</v>
      </c>
      <c r="G22946" s="4">
        <f>IFERROR(__xludf.DUMMYFUNCTION("""COMPUTED_VALUE"""),49.0)</f>
        <v>49</v>
      </c>
      <c r="H22946" s="4"/>
      <c r="I22946" s="4"/>
    </row>
    <row r="22947">
      <c r="A22947" s="4" t="str">
        <f>IFERROR(__xludf.DUMMYFUNCTION("""COMPUTED_VALUE"""),"cas_hmw")</f>
        <v>cas_hmw</v>
      </c>
      <c r="B22947" s="5">
        <f>IFERROR(__xludf.DUMMYFUNCTION("""COMPUTED_VALUE"""),44791.0)</f>
        <v>44791</v>
      </c>
      <c r="C22947" s="6">
        <f>IFERROR(__xludf.DUMMYFUNCTION("""COMPUTED_VALUE"""),0.322893518517958)</f>
        <v>0.3228935185</v>
      </c>
      <c r="D22947" s="4">
        <f>IFERROR(__xludf.DUMMYFUNCTION("""COMPUTED_VALUE"""),13.008)</f>
        <v>13.008</v>
      </c>
      <c r="E22947" s="4">
        <f>IFERROR(__xludf.DUMMYFUNCTION("""COMPUTED_VALUE"""),80.208564)</f>
        <v>80.208564</v>
      </c>
      <c r="F22947" s="4">
        <f>IFERROR(__xludf.DUMMYFUNCTION("""COMPUTED_VALUE"""),5339.0)</f>
        <v>5339</v>
      </c>
      <c r="G22947" s="4">
        <f>IFERROR(__xludf.DUMMYFUNCTION("""COMPUTED_VALUE"""),46.0)</f>
        <v>46</v>
      </c>
      <c r="H22947" s="4"/>
      <c r="I22947" s="4"/>
    </row>
    <row r="22948">
      <c r="A22948" s="4" t="str">
        <f>IFERROR(__xludf.DUMMYFUNCTION("""COMPUTED_VALUE"""),"cas_hmw")</f>
        <v>cas_hmw</v>
      </c>
      <c r="B22948" s="5">
        <f>IFERROR(__xludf.DUMMYFUNCTION("""COMPUTED_VALUE"""),44791.0)</f>
        <v>44791</v>
      </c>
      <c r="C22948" s="6">
        <f>IFERROR(__xludf.DUMMYFUNCTION("""COMPUTED_VALUE"""),0.32302083333343035)</f>
        <v>0.3230208333</v>
      </c>
      <c r="D22948" s="4">
        <f>IFERROR(__xludf.DUMMYFUNCTION("""COMPUTED_VALUE"""),13.007814)</f>
        <v>13.007814</v>
      </c>
      <c r="E22948" s="4">
        <f>IFERROR(__xludf.DUMMYFUNCTION("""COMPUTED_VALUE"""),80.207446)</f>
        <v>80.207446</v>
      </c>
      <c r="F22948" s="4">
        <f>IFERROR(__xludf.DUMMYFUNCTION("""COMPUTED_VALUE"""),5339.0)</f>
        <v>5339</v>
      </c>
      <c r="G22948" s="4">
        <f>IFERROR(__xludf.DUMMYFUNCTION("""COMPUTED_VALUE"""),40.0)</f>
        <v>40</v>
      </c>
      <c r="H22948" s="4"/>
      <c r="I22948" s="4"/>
    </row>
    <row r="22949">
      <c r="A22949" s="4" t="str">
        <f>IFERROR(__xludf.DUMMYFUNCTION("""COMPUTED_VALUE"""),"cas_hmw")</f>
        <v>cas_hmw</v>
      </c>
      <c r="B22949" s="5">
        <f>IFERROR(__xludf.DUMMYFUNCTION("""COMPUTED_VALUE"""),44791.0)</f>
        <v>44791</v>
      </c>
      <c r="C22949" s="6">
        <f>IFERROR(__xludf.DUMMYFUNCTION("""COMPUTED_VALUE"""),0.3232986111106584)</f>
        <v>0.3232986111</v>
      </c>
      <c r="D22949" s="4">
        <f>IFERROR(__xludf.DUMMYFUNCTION("""COMPUTED_VALUE"""),13.007062)</f>
        <v>13.007062</v>
      </c>
      <c r="E22949" s="4">
        <f>IFERROR(__xludf.DUMMYFUNCTION("""COMPUTED_VALUE"""),80.204566)</f>
        <v>80.204566</v>
      </c>
      <c r="F22949" s="4">
        <f>IFERROR(__xludf.DUMMYFUNCTION("""COMPUTED_VALUE"""),5339.0)</f>
        <v>5339</v>
      </c>
      <c r="G22949" s="4">
        <f>IFERROR(__xludf.DUMMYFUNCTION("""COMPUTED_VALUE"""),42.0)</f>
        <v>42</v>
      </c>
      <c r="H22949" s="4"/>
      <c r="I22949" s="4"/>
    </row>
    <row r="22950">
      <c r="A22950" s="4" t="str">
        <f>IFERROR(__xludf.DUMMYFUNCTION("""COMPUTED_VALUE"""),"cas_hmw")</f>
        <v>cas_hmw</v>
      </c>
      <c r="B22950" s="5">
        <f>IFERROR(__xludf.DUMMYFUNCTION("""COMPUTED_VALUE"""),44791.0)</f>
        <v>44791</v>
      </c>
      <c r="C22950" s="6">
        <f>IFERROR(__xludf.DUMMYFUNCTION("""COMPUTED_VALUE"""),0.32346064814919373)</f>
        <v>0.3234606481</v>
      </c>
      <c r="D22950" s="4">
        <f>IFERROR(__xludf.DUMMYFUNCTION("""COMPUTED_VALUE"""),13.006533)</f>
        <v>13.006533</v>
      </c>
      <c r="E22950" s="4">
        <f>IFERROR(__xludf.DUMMYFUNCTION("""COMPUTED_VALUE"""),80.203722)</f>
        <v>80.203722</v>
      </c>
      <c r="F22950" s="4">
        <f>IFERROR(__xludf.DUMMYFUNCTION("""COMPUTED_VALUE"""),5339.0)</f>
        <v>5339</v>
      </c>
      <c r="G22950" s="4">
        <f>IFERROR(__xludf.DUMMYFUNCTION("""COMPUTED_VALUE"""),39.0)</f>
        <v>39</v>
      </c>
      <c r="H22950" s="4"/>
      <c r="I22950" s="4"/>
    </row>
    <row r="22951">
      <c r="A22951" s="4" t="str">
        <f>IFERROR(__xludf.DUMMYFUNCTION("""COMPUTED_VALUE"""),"cas_hmw")</f>
        <v>cas_hmw</v>
      </c>
      <c r="B22951" s="5">
        <f>IFERROR(__xludf.DUMMYFUNCTION("""COMPUTED_VALUE"""),44791.0)</f>
        <v>44791</v>
      </c>
      <c r="C22951" s="6">
        <f>IFERROR(__xludf.DUMMYFUNCTION("""COMPUTED_VALUE"""),0.32377314814948477)</f>
        <v>0.3237731481</v>
      </c>
      <c r="D22951" s="4">
        <f>IFERROR(__xludf.DUMMYFUNCTION("""COMPUTED_VALUE"""),13.005062)</f>
        <v>13.005062</v>
      </c>
      <c r="E22951" s="4">
        <f>IFERROR(__xludf.DUMMYFUNCTION("""COMPUTED_VALUE"""),80.201602)</f>
        <v>80.201602</v>
      </c>
      <c r="F22951" s="4">
        <f>IFERROR(__xludf.DUMMYFUNCTION("""COMPUTED_VALUE"""),5339.0)</f>
        <v>5339</v>
      </c>
      <c r="G22951" s="4">
        <f>IFERROR(__xludf.DUMMYFUNCTION("""COMPUTED_VALUE"""),40.0)</f>
        <v>40</v>
      </c>
      <c r="H22951" s="4"/>
      <c r="I22951" s="4"/>
    </row>
    <row r="22952">
      <c r="A22952" s="4" t="str">
        <f>IFERROR(__xludf.DUMMYFUNCTION("""COMPUTED_VALUE"""),"cas_hmw")</f>
        <v>cas_hmw</v>
      </c>
      <c r="B22952" s="5">
        <f>IFERROR(__xludf.DUMMYFUNCTION("""COMPUTED_VALUE"""),44791.0)</f>
        <v>44791</v>
      </c>
      <c r="C22952" s="6">
        <f>IFERROR(__xludf.DUMMYFUNCTION("""COMPUTED_VALUE"""),0.3237962962957681)</f>
        <v>0.3237962963</v>
      </c>
      <c r="D22952" s="4">
        <f>IFERROR(__xludf.DUMMYFUNCTION("""COMPUTED_VALUE"""),12.693931)</f>
        <v>12.693931</v>
      </c>
      <c r="E22952" s="4">
        <f>IFERROR(__xludf.DUMMYFUNCTION("""COMPUTED_VALUE"""),79.97903)</f>
        <v>79.97903</v>
      </c>
      <c r="F22952" s="4">
        <f>IFERROR(__xludf.DUMMYFUNCTION("""COMPUTED_VALUE"""),2846.0)</f>
        <v>2846</v>
      </c>
      <c r="G22952" s="4">
        <f>IFERROR(__xludf.DUMMYFUNCTION("""COMPUTED_VALUE"""),21.0)</f>
        <v>21</v>
      </c>
      <c r="H22952" s="4"/>
      <c r="I22952" s="4"/>
    </row>
    <row r="22953">
      <c r="A22953" s="4" t="str">
        <f>IFERROR(__xludf.DUMMYFUNCTION("""COMPUTED_VALUE"""),"cas_hmw")</f>
        <v>cas_hmw</v>
      </c>
      <c r="B22953" s="5">
        <f>IFERROR(__xludf.DUMMYFUNCTION("""COMPUTED_VALUE"""),44791.0)</f>
        <v>44791</v>
      </c>
      <c r="C22953" s="6">
        <f>IFERROR(__xludf.DUMMYFUNCTION("""COMPUTED_VALUE"""),0.3241666666654055)</f>
        <v>0.3241666667</v>
      </c>
      <c r="D22953" s="4">
        <f>IFERROR(__xludf.DUMMYFUNCTION("""COMPUTED_VALUE"""),13.002724)</f>
        <v>13.002724</v>
      </c>
      <c r="E22953" s="4">
        <f>IFERROR(__xludf.DUMMYFUNCTION("""COMPUTED_VALUE"""),80.20076)</f>
        <v>80.20076</v>
      </c>
      <c r="F22953" s="4">
        <f>IFERROR(__xludf.DUMMYFUNCTION("""COMPUTED_VALUE"""),5339.0)</f>
        <v>5339</v>
      </c>
      <c r="G22953" s="4">
        <f>IFERROR(__xludf.DUMMYFUNCTION("""COMPUTED_VALUE"""),42.0)</f>
        <v>42</v>
      </c>
      <c r="H22953" s="4"/>
      <c r="I22953" s="4"/>
    </row>
    <row r="22954">
      <c r="A22954" s="4" t="str">
        <f>IFERROR(__xludf.DUMMYFUNCTION("""COMPUTED_VALUE"""),"cas_hmw")</f>
        <v>cas_hmw</v>
      </c>
      <c r="B22954" s="5">
        <f>IFERROR(__xludf.DUMMYFUNCTION("""COMPUTED_VALUE"""),44791.0)</f>
        <v>44791</v>
      </c>
      <c r="C22954" s="6">
        <f>IFERROR(__xludf.DUMMYFUNCTION("""COMPUTED_VALUE"""),0.32458333333488554)</f>
        <v>0.3245833333</v>
      </c>
      <c r="D22954" s="4">
        <f>IFERROR(__xludf.DUMMYFUNCTION("""COMPUTED_VALUE"""),12.695596)</f>
        <v>12.695596</v>
      </c>
      <c r="E22954" s="4">
        <f>IFERROR(__xludf.DUMMYFUNCTION("""COMPUTED_VALUE"""),79.977815)</f>
        <v>79.977815</v>
      </c>
      <c r="F22954" s="4">
        <f>IFERROR(__xludf.DUMMYFUNCTION("""COMPUTED_VALUE"""),2846.0)</f>
        <v>2846</v>
      </c>
      <c r="G22954" s="4">
        <f>IFERROR(__xludf.DUMMYFUNCTION("""COMPUTED_VALUE"""),30.0)</f>
        <v>30</v>
      </c>
      <c r="H22954" s="4"/>
      <c r="I22954" s="4"/>
    </row>
    <row r="22955">
      <c r="A22955" s="4" t="str">
        <f>IFERROR(__xludf.DUMMYFUNCTION("""COMPUTED_VALUE"""),"cas_hmw")</f>
        <v>cas_hmw</v>
      </c>
      <c r="B22955" s="5">
        <f>IFERROR(__xludf.DUMMYFUNCTION("""COMPUTED_VALUE"""),44791.0)</f>
        <v>44791</v>
      </c>
      <c r="C22955" s="6">
        <f>IFERROR(__xludf.DUMMYFUNCTION("""COMPUTED_VALUE"""),0.32516203703562496)</f>
        <v>0.325162037</v>
      </c>
      <c r="D22955" s="4">
        <f>IFERROR(__xludf.DUMMYFUNCTION("""COMPUTED_VALUE"""),12.964795)</f>
        <v>12.964795</v>
      </c>
      <c r="E22955" s="4">
        <f>IFERROR(__xludf.DUMMYFUNCTION("""COMPUTED_VALUE"""),80.197713)</f>
        <v>80.197713</v>
      </c>
      <c r="F22955" s="4">
        <f>IFERROR(__xludf.DUMMYFUNCTION("""COMPUTED_VALUE"""),3143.0)</f>
        <v>3143</v>
      </c>
      <c r="G22955" s="4">
        <f>IFERROR(__xludf.DUMMYFUNCTION("""COMPUTED_VALUE"""),32.0)</f>
        <v>32</v>
      </c>
      <c r="H22955" s="4"/>
      <c r="I22955" s="4"/>
    </row>
    <row r="22956">
      <c r="A22956" s="4" t="str">
        <f>IFERROR(__xludf.DUMMYFUNCTION("""COMPUTED_VALUE"""),"cas_hmw")</f>
        <v>cas_hmw</v>
      </c>
      <c r="B22956" s="5">
        <f>IFERROR(__xludf.DUMMYFUNCTION("""COMPUTED_VALUE"""),44791.0)</f>
        <v>44791</v>
      </c>
      <c r="C22956" s="6">
        <f>IFERROR(__xludf.DUMMYFUNCTION("""COMPUTED_VALUE"""),0.3252893518510973)</f>
        <v>0.3252893519</v>
      </c>
      <c r="D22956" s="4">
        <f>IFERROR(__xludf.DUMMYFUNCTION("""COMPUTED_VALUE"""),12.99947)</f>
        <v>12.99947</v>
      </c>
      <c r="E22956" s="4">
        <f>IFERROR(__xludf.DUMMYFUNCTION("""COMPUTED_VALUE"""),80.193599)</f>
        <v>80.193599</v>
      </c>
      <c r="F22956" s="4">
        <f>IFERROR(__xludf.DUMMYFUNCTION("""COMPUTED_VALUE"""),5339.0)</f>
        <v>5339</v>
      </c>
      <c r="G22956" s="4">
        <f>IFERROR(__xludf.DUMMYFUNCTION("""COMPUTED_VALUE"""),43.0)</f>
        <v>43</v>
      </c>
      <c r="H22956" s="4"/>
      <c r="I22956" s="4"/>
    </row>
    <row r="22957">
      <c r="A22957" s="4" t="str">
        <f>IFERROR(__xludf.DUMMYFUNCTION("""COMPUTED_VALUE"""),"cas_hmw")</f>
        <v>cas_hmw</v>
      </c>
      <c r="B22957" s="5">
        <f>IFERROR(__xludf.DUMMYFUNCTION("""COMPUTED_VALUE"""),44791.0)</f>
        <v>44791</v>
      </c>
      <c r="C22957" s="6">
        <f>IFERROR(__xludf.DUMMYFUNCTION("""COMPUTED_VALUE"""),0.32563657407445135)</f>
        <v>0.3256365741</v>
      </c>
      <c r="D22957" s="4">
        <f>IFERROR(__xludf.DUMMYFUNCTION("""COMPUTED_VALUE"""),12.697177)</f>
        <v>12.697177</v>
      </c>
      <c r="E22957" s="4">
        <f>IFERROR(__xludf.DUMMYFUNCTION("""COMPUTED_VALUE"""),79.972624)</f>
        <v>79.972624</v>
      </c>
      <c r="F22957" s="4">
        <f>IFERROR(__xludf.DUMMYFUNCTION("""COMPUTED_VALUE"""),2846.0)</f>
        <v>2846</v>
      </c>
      <c r="G22957" s="4">
        <f>IFERROR(__xludf.DUMMYFUNCTION("""COMPUTED_VALUE"""),9.0)</f>
        <v>9</v>
      </c>
      <c r="H22957" s="4"/>
      <c r="I22957" s="4"/>
    </row>
    <row r="22958">
      <c r="A22958" s="4" t="str">
        <f>IFERROR(__xludf.DUMMYFUNCTION("""COMPUTED_VALUE"""),"cas_hmw")</f>
        <v>cas_hmw</v>
      </c>
      <c r="B22958" s="5">
        <f>IFERROR(__xludf.DUMMYFUNCTION("""COMPUTED_VALUE"""),44791.0)</f>
        <v>44791</v>
      </c>
      <c r="C22958" s="6">
        <f>IFERROR(__xludf.DUMMYFUNCTION("""COMPUTED_VALUE"""),0.3285995370388264)</f>
        <v>0.328599537</v>
      </c>
      <c r="D22958" s="4">
        <f>IFERROR(__xludf.DUMMYFUNCTION("""COMPUTED_VALUE"""),12.989501)</f>
        <v>12.989501</v>
      </c>
      <c r="E22958" s="4">
        <f>IFERROR(__xludf.DUMMYFUNCTION("""COMPUTED_VALUE"""),80.178979)</f>
        <v>80.178979</v>
      </c>
      <c r="F22958" s="4">
        <f>IFERROR(__xludf.DUMMYFUNCTION("""COMPUTED_VALUE"""),5339.0)</f>
        <v>5339</v>
      </c>
      <c r="G22958" s="4">
        <f>IFERROR(__xludf.DUMMYFUNCTION("""COMPUTED_VALUE"""),22.0)</f>
        <v>22</v>
      </c>
      <c r="H22958" s="4"/>
      <c r="I22958" s="4"/>
    </row>
    <row r="22959">
      <c r="A22959" s="4" t="str">
        <f>IFERROR(__xludf.DUMMYFUNCTION("""COMPUTED_VALUE"""),"cas_hmw")</f>
        <v>cas_hmw</v>
      </c>
      <c r="B22959" s="5">
        <f>IFERROR(__xludf.DUMMYFUNCTION("""COMPUTED_VALUE"""),44791.0)</f>
        <v>44791</v>
      </c>
      <c r="C22959" s="6">
        <f>IFERROR(__xludf.DUMMYFUNCTION("""COMPUTED_VALUE"""),0.3287500000005821)</f>
        <v>0.32875</v>
      </c>
      <c r="D22959" s="4">
        <f>IFERROR(__xludf.DUMMYFUNCTION("""COMPUTED_VALUE"""),12.988278)</f>
        <v>12.988278</v>
      </c>
      <c r="E22959" s="4">
        <f>IFERROR(__xludf.DUMMYFUNCTION("""COMPUTED_VALUE"""),80.177377)</f>
        <v>80.177377</v>
      </c>
      <c r="F22959" s="4">
        <f>IFERROR(__xludf.DUMMYFUNCTION("""COMPUTED_VALUE"""),5339.0)</f>
        <v>5339</v>
      </c>
      <c r="G22959" s="4">
        <f>IFERROR(__xludf.DUMMYFUNCTION("""COMPUTED_VALUE"""),48.0)</f>
        <v>48</v>
      </c>
      <c r="H22959" s="4"/>
      <c r="I22959" s="4"/>
    </row>
    <row r="22960">
      <c r="A22960" s="4" t="str">
        <f>IFERROR(__xludf.DUMMYFUNCTION("""COMPUTED_VALUE"""),"cas_hmw")</f>
        <v>cas_hmw</v>
      </c>
      <c r="B22960" s="5">
        <f>IFERROR(__xludf.DUMMYFUNCTION("""COMPUTED_VALUE"""),44791.0)</f>
        <v>44791</v>
      </c>
      <c r="C22960" s="6">
        <f>IFERROR(__xludf.DUMMYFUNCTION("""COMPUTED_VALUE"""),0.3294675925935735)</f>
        <v>0.3294675926</v>
      </c>
      <c r="D22960" s="4">
        <f>IFERROR(__xludf.DUMMYFUNCTION("""COMPUTED_VALUE"""),12.986099)</f>
        <v>12.986099</v>
      </c>
      <c r="E22960" s="4">
        <f>IFERROR(__xludf.DUMMYFUNCTION("""COMPUTED_VALUE"""),80.174302)</f>
        <v>80.174302</v>
      </c>
      <c r="F22960" s="4">
        <f>IFERROR(__xludf.DUMMYFUNCTION("""COMPUTED_VALUE"""),5339.0)</f>
        <v>5339</v>
      </c>
      <c r="G22960" s="4">
        <f>IFERROR(__xludf.DUMMYFUNCTION("""COMPUTED_VALUE"""),36.0)</f>
        <v>36</v>
      </c>
      <c r="H22960" s="4"/>
      <c r="I22960" s="4"/>
    </row>
    <row r="22961">
      <c r="A22961" s="4" t="str">
        <f>IFERROR(__xludf.DUMMYFUNCTION("""COMPUTED_VALUE"""),"cas_hmw")</f>
        <v>cas_hmw</v>
      </c>
      <c r="B22961" s="5">
        <f>IFERROR(__xludf.DUMMYFUNCTION("""COMPUTED_VALUE"""),44791.0)</f>
        <v>44791</v>
      </c>
      <c r="C22961" s="6">
        <f>IFERROR(__xludf.DUMMYFUNCTION("""COMPUTED_VALUE"""),0.3307175925910997)</f>
        <v>0.3307175926</v>
      </c>
      <c r="D22961" s="4">
        <f>IFERROR(__xludf.DUMMYFUNCTION("""COMPUTED_VALUE"""),12.736318)</f>
        <v>12.736318</v>
      </c>
      <c r="E22961" s="4">
        <f>IFERROR(__xludf.DUMMYFUNCTION("""COMPUTED_VALUE"""),79.987044)</f>
        <v>79.987044</v>
      </c>
      <c r="F22961" s="4">
        <f>IFERROR(__xludf.DUMMYFUNCTION("""COMPUTED_VALUE"""),2846.0)</f>
        <v>2846</v>
      </c>
      <c r="G22961" s="4">
        <f>IFERROR(__xludf.DUMMYFUNCTION("""COMPUTED_VALUE"""),60.0)</f>
        <v>60</v>
      </c>
      <c r="H22961" s="4"/>
      <c r="I22961" s="4"/>
    </row>
    <row r="22962">
      <c r="A22962" s="4" t="str">
        <f>IFERROR(__xludf.DUMMYFUNCTION("""COMPUTED_VALUE"""),"cas_hmw")</f>
        <v>cas_hmw</v>
      </c>
      <c r="B22962" s="5">
        <f>IFERROR(__xludf.DUMMYFUNCTION("""COMPUTED_VALUE"""),44791.0)</f>
        <v>44791</v>
      </c>
      <c r="C22962" s="6">
        <f>IFERROR(__xludf.DUMMYFUNCTION("""COMPUTED_VALUE"""),0.3317939814805868)</f>
        <v>0.3317939815</v>
      </c>
      <c r="D22962" s="4">
        <f>IFERROR(__xludf.DUMMYFUNCTION("""COMPUTED_VALUE"""),12.972857)</f>
        <v>12.972857</v>
      </c>
      <c r="E22962" s="4">
        <f>IFERROR(__xludf.DUMMYFUNCTION("""COMPUTED_VALUE"""),80.152436)</f>
        <v>80.152436</v>
      </c>
      <c r="F22962" s="4">
        <f>IFERROR(__xludf.DUMMYFUNCTION("""COMPUTED_VALUE"""),5339.0)</f>
        <v>5339</v>
      </c>
      <c r="G22962" s="4">
        <f>IFERROR(__xludf.DUMMYFUNCTION("""COMPUTED_VALUE"""),48.0)</f>
        <v>48</v>
      </c>
      <c r="H22962" s="4"/>
      <c r="I22962" s="4"/>
    </row>
    <row r="22963">
      <c r="A22963" s="4" t="str">
        <f>IFERROR(__xludf.DUMMYFUNCTION("""COMPUTED_VALUE"""),"cas_hmw")</f>
        <v>cas_hmw</v>
      </c>
      <c r="B22963" s="5">
        <f>IFERROR(__xludf.DUMMYFUNCTION("""COMPUTED_VALUE"""),44791.0)</f>
        <v>44791</v>
      </c>
      <c r="C22963" s="6">
        <f>IFERROR(__xludf.DUMMYFUNCTION("""COMPUTED_VALUE"""),0.33358796296306537)</f>
        <v>0.333587963</v>
      </c>
      <c r="D22963" s="4">
        <f>IFERROR(__xludf.DUMMYFUNCTION("""COMPUTED_VALUE"""),12.756644)</f>
        <v>12.756644</v>
      </c>
      <c r="E22963" s="4">
        <f>IFERROR(__xludf.DUMMYFUNCTION("""COMPUTED_VALUE"""),80.002088)</f>
        <v>80.002088</v>
      </c>
      <c r="F22963" s="4">
        <f>IFERROR(__xludf.DUMMYFUNCTION("""COMPUTED_VALUE"""),2846.0)</f>
        <v>2846</v>
      </c>
      <c r="G22963" s="4">
        <f>IFERROR(__xludf.DUMMYFUNCTION("""COMPUTED_VALUE"""),57.0)</f>
        <v>57</v>
      </c>
      <c r="H22963" s="4"/>
      <c r="I22963" s="4"/>
    </row>
    <row r="22964">
      <c r="A22964" s="4" t="str">
        <f>IFERROR(__xludf.DUMMYFUNCTION("""COMPUTED_VALUE"""),"cas_hmw")</f>
        <v>cas_hmw</v>
      </c>
      <c r="B22964" s="5">
        <f>IFERROR(__xludf.DUMMYFUNCTION("""COMPUTED_VALUE"""),44791.0)</f>
        <v>44791</v>
      </c>
      <c r="C22964" s="6">
        <f>IFERROR(__xludf.DUMMYFUNCTION("""COMPUTED_VALUE"""),0.3348495370373712)</f>
        <v>0.334849537</v>
      </c>
      <c r="D22964" s="4">
        <f>IFERROR(__xludf.DUMMYFUNCTION("""COMPUTED_VALUE"""),12.944994)</f>
        <v>12.944994</v>
      </c>
      <c r="E22964" s="4">
        <f>IFERROR(__xludf.DUMMYFUNCTION("""COMPUTED_VALUE"""),80.183122)</f>
        <v>80.183122</v>
      </c>
      <c r="F22964" s="4">
        <f>IFERROR(__xludf.DUMMYFUNCTION("""COMPUTED_VALUE"""),3143.0)</f>
        <v>3143</v>
      </c>
      <c r="G22964" s="4">
        <f>IFERROR(__xludf.DUMMYFUNCTION("""COMPUTED_VALUE"""),26.0)</f>
        <v>26</v>
      </c>
      <c r="H22964" s="4"/>
      <c r="I22964" s="4"/>
    </row>
    <row r="22965">
      <c r="A22965" s="4" t="str">
        <f>IFERROR(__xludf.DUMMYFUNCTION("""COMPUTED_VALUE"""),"cas_hmw")</f>
        <v>cas_hmw</v>
      </c>
      <c r="B22965" s="5">
        <f>IFERROR(__xludf.DUMMYFUNCTION("""COMPUTED_VALUE"""),44791.0)</f>
        <v>44791</v>
      </c>
      <c r="C22965" s="6">
        <f>IFERROR(__xludf.DUMMYFUNCTION("""COMPUTED_VALUE"""),0.3349652777760639)</f>
        <v>0.3349652778</v>
      </c>
      <c r="D22965" s="4">
        <f>IFERROR(__xludf.DUMMYFUNCTION("""COMPUTED_VALUE"""),12.955183)</f>
        <v>12.955183</v>
      </c>
      <c r="E22965" s="4">
        <f>IFERROR(__xludf.DUMMYFUNCTION("""COMPUTED_VALUE"""),80.142679)</f>
        <v>80.142679</v>
      </c>
      <c r="F22965" s="4">
        <f>IFERROR(__xludf.DUMMYFUNCTION("""COMPUTED_VALUE"""),5339.0)</f>
        <v>5339</v>
      </c>
      <c r="G22965" s="4">
        <f>IFERROR(__xludf.DUMMYFUNCTION("""COMPUTED_VALUE"""),30.0)</f>
        <v>30</v>
      </c>
      <c r="H22965" s="4"/>
      <c r="I22965" s="4"/>
    </row>
    <row r="22966">
      <c r="A22966" s="4" t="str">
        <f>IFERROR(__xludf.DUMMYFUNCTION("""COMPUTED_VALUE"""),"cas_hmw")</f>
        <v>cas_hmw</v>
      </c>
      <c r="B22966" s="5">
        <f>IFERROR(__xludf.DUMMYFUNCTION("""COMPUTED_VALUE"""),44791.0)</f>
        <v>44791</v>
      </c>
      <c r="C22966" s="6">
        <f>IFERROR(__xludf.DUMMYFUNCTION("""COMPUTED_VALUE"""),0.3353935185186856)</f>
        <v>0.3353935185</v>
      </c>
      <c r="D22966" s="4">
        <f>IFERROR(__xludf.DUMMYFUNCTION("""COMPUTED_VALUE"""),12.952812)</f>
        <v>12.952812</v>
      </c>
      <c r="E22966" s="4">
        <f>IFERROR(__xludf.DUMMYFUNCTION("""COMPUTED_VALUE"""),80.141369)</f>
        <v>80.141369</v>
      </c>
      <c r="F22966" s="4">
        <f>IFERROR(__xludf.DUMMYFUNCTION("""COMPUTED_VALUE"""),5339.0)</f>
        <v>5339</v>
      </c>
      <c r="G22966" s="4">
        <f>IFERROR(__xludf.DUMMYFUNCTION("""COMPUTED_VALUE"""),14.0)</f>
        <v>14</v>
      </c>
      <c r="H22966" s="4"/>
      <c r="I22966" s="4"/>
    </row>
    <row r="22967">
      <c r="A22967" s="4" t="str">
        <f>IFERROR(__xludf.DUMMYFUNCTION("""COMPUTED_VALUE"""),"cas_hmw")</f>
        <v>cas_hmw</v>
      </c>
      <c r="B22967" s="5">
        <f>IFERROR(__xludf.DUMMYFUNCTION("""COMPUTED_VALUE"""),44791.0)</f>
        <v>44791</v>
      </c>
      <c r="C22967" s="6">
        <f>IFERROR(__xludf.DUMMYFUNCTION("""COMPUTED_VALUE"""),0.33540509259182727)</f>
        <v>0.3354050926</v>
      </c>
      <c r="D22967" s="4">
        <f>IFERROR(__xludf.DUMMYFUNCTION("""COMPUTED_VALUE"""),12.952812)</f>
        <v>12.952812</v>
      </c>
      <c r="E22967" s="4">
        <f>IFERROR(__xludf.DUMMYFUNCTION("""COMPUTED_VALUE"""),80.141369)</f>
        <v>80.141369</v>
      </c>
      <c r="F22967" s="4">
        <f>IFERROR(__xludf.DUMMYFUNCTION("""COMPUTED_VALUE"""),5339.0)</f>
        <v>5339</v>
      </c>
      <c r="G22967" s="4">
        <f>IFERROR(__xludf.DUMMYFUNCTION("""COMPUTED_VALUE"""),14.0)</f>
        <v>14</v>
      </c>
      <c r="H22967" s="4"/>
      <c r="I22967" s="4"/>
    </row>
    <row r="22968">
      <c r="A22968" s="4" t="str">
        <f>IFERROR(__xludf.DUMMYFUNCTION("""COMPUTED_VALUE"""),"cas_hmw")</f>
        <v>cas_hmw</v>
      </c>
      <c r="B22968" s="5">
        <f>IFERROR(__xludf.DUMMYFUNCTION("""COMPUTED_VALUE"""),44791.0)</f>
        <v>44791</v>
      </c>
      <c r="C22968" s="6">
        <f>IFERROR(__xludf.DUMMYFUNCTION("""COMPUTED_VALUE"""),0.3355439814804413)</f>
        <v>0.3355439815</v>
      </c>
      <c r="D22968" s="4">
        <f>IFERROR(__xludf.DUMMYFUNCTION("""COMPUTED_VALUE"""),12.952339)</f>
        <v>12.952339</v>
      </c>
      <c r="E22968" s="4">
        <f>IFERROR(__xludf.DUMMYFUNCTION("""COMPUTED_VALUE"""),80.141011)</f>
        <v>80.141011</v>
      </c>
      <c r="F22968" s="4">
        <f>IFERROR(__xludf.DUMMYFUNCTION("""COMPUTED_VALUE"""),5339.0)</f>
        <v>5339</v>
      </c>
      <c r="G22968" s="4">
        <f>IFERROR(__xludf.DUMMYFUNCTION("""COMPUTED_VALUE"""),27.0)</f>
        <v>27</v>
      </c>
      <c r="H22968" s="4"/>
      <c r="I22968" s="4"/>
    </row>
    <row r="22969">
      <c r="A22969" s="4" t="str">
        <f>IFERROR(__xludf.DUMMYFUNCTION("""COMPUTED_VALUE"""),"cas_hmw")</f>
        <v>cas_hmw</v>
      </c>
      <c r="B22969" s="5">
        <f>IFERROR(__xludf.DUMMYFUNCTION("""COMPUTED_VALUE"""),44791.0)</f>
        <v>44791</v>
      </c>
      <c r="C22969" s="6">
        <f>IFERROR(__xludf.DUMMYFUNCTION("""COMPUTED_VALUE"""),0.33605324074233067)</f>
        <v>0.3360532407</v>
      </c>
      <c r="D22969" s="4">
        <f>IFERROR(__xludf.DUMMYFUNCTION("""COMPUTED_VALUE"""),12.781749)</f>
        <v>12.781749</v>
      </c>
      <c r="E22969" s="4">
        <f>IFERROR(__xludf.DUMMYFUNCTION("""COMPUTED_VALUE"""),80.012444)</f>
        <v>80.012444</v>
      </c>
      <c r="F22969" s="4">
        <f>IFERROR(__xludf.DUMMYFUNCTION("""COMPUTED_VALUE"""),2846.0)</f>
        <v>2846</v>
      </c>
      <c r="G22969" s="4">
        <f>IFERROR(__xludf.DUMMYFUNCTION("""COMPUTED_VALUE"""),58.0)</f>
        <v>58</v>
      </c>
      <c r="H22969" s="4"/>
      <c r="I22969" s="4"/>
    </row>
    <row r="22970">
      <c r="A22970" s="4" t="str">
        <f>IFERROR(__xludf.DUMMYFUNCTION("""COMPUTED_VALUE"""),"cas_hmw")</f>
        <v>cas_hmw</v>
      </c>
      <c r="B22970" s="5">
        <f>IFERROR(__xludf.DUMMYFUNCTION("""COMPUTED_VALUE"""),44791.0)</f>
        <v>44791</v>
      </c>
      <c r="C22970" s="6">
        <f>IFERROR(__xludf.DUMMYFUNCTION("""COMPUTED_VALUE"""),0.3363078703696374)</f>
        <v>0.3363078704</v>
      </c>
      <c r="D22970" s="4">
        <f>IFERROR(__xludf.DUMMYFUNCTION("""COMPUTED_VALUE"""),12.946947)</f>
        <v>12.946947</v>
      </c>
      <c r="E22970" s="4">
        <f>IFERROR(__xludf.DUMMYFUNCTION("""COMPUTED_VALUE"""),80.136883)</f>
        <v>80.136883</v>
      </c>
      <c r="F22970" s="4">
        <f>IFERROR(__xludf.DUMMYFUNCTION("""COMPUTED_VALUE"""),5339.0)</f>
        <v>5339</v>
      </c>
      <c r="G22970" s="4">
        <f>IFERROR(__xludf.DUMMYFUNCTION("""COMPUTED_VALUE"""),35.0)</f>
        <v>35</v>
      </c>
      <c r="H22970" s="4"/>
      <c r="I22970" s="4"/>
    </row>
    <row r="22971">
      <c r="A22971" s="4" t="str">
        <f>IFERROR(__xludf.DUMMYFUNCTION("""COMPUTED_VALUE"""),"cas_hmw")</f>
        <v>cas_hmw</v>
      </c>
      <c r="B22971" s="5">
        <f>IFERROR(__xludf.DUMMYFUNCTION("""COMPUTED_VALUE"""),44791.0)</f>
        <v>44791</v>
      </c>
      <c r="C22971" s="6">
        <f>IFERROR(__xludf.DUMMYFUNCTION("""COMPUTED_VALUE"""),0.33664351851984975)</f>
        <v>0.3366435185</v>
      </c>
      <c r="D22971" s="4">
        <f>IFERROR(__xludf.DUMMYFUNCTION("""COMPUTED_VALUE"""),12.944516)</f>
        <v>12.944516</v>
      </c>
      <c r="E22971" s="4">
        <f>IFERROR(__xludf.DUMMYFUNCTION("""COMPUTED_VALUE"""),80.135021)</f>
        <v>80.135021</v>
      </c>
      <c r="F22971" s="4">
        <f>IFERROR(__xludf.DUMMYFUNCTION("""COMPUTED_VALUE"""),5339.0)</f>
        <v>5339</v>
      </c>
      <c r="G22971" s="4">
        <f>IFERROR(__xludf.DUMMYFUNCTION("""COMPUTED_VALUE"""),54.0)</f>
        <v>54</v>
      </c>
      <c r="H22971" s="4"/>
      <c r="I22971" s="4"/>
    </row>
    <row r="22972">
      <c r="A22972" s="4" t="str">
        <f>IFERROR(__xludf.DUMMYFUNCTION("""COMPUTED_VALUE"""),"cas_hmw")</f>
        <v>cas_hmw</v>
      </c>
      <c r="B22972" s="5">
        <f>IFERROR(__xludf.DUMMYFUNCTION("""COMPUTED_VALUE"""),44791.0)</f>
        <v>44791</v>
      </c>
      <c r="C22972" s="6">
        <f>IFERROR(__xludf.DUMMYFUNCTION("""COMPUTED_VALUE"""),0.3371296296281798)</f>
        <v>0.3371296296</v>
      </c>
      <c r="D22972" s="4">
        <f>IFERROR(__xludf.DUMMYFUNCTION("""COMPUTED_VALUE"""),12.942579)</f>
        <v>12.942579</v>
      </c>
      <c r="E22972" s="4">
        <f>IFERROR(__xludf.DUMMYFUNCTION("""COMPUTED_VALUE"""),80.133398)</f>
        <v>80.133398</v>
      </c>
      <c r="F22972" s="4">
        <f>IFERROR(__xludf.DUMMYFUNCTION("""COMPUTED_VALUE"""),5339.0)</f>
        <v>5339</v>
      </c>
      <c r="G22972" s="4">
        <f>IFERROR(__xludf.DUMMYFUNCTION("""COMPUTED_VALUE"""),11.0)</f>
        <v>11</v>
      </c>
      <c r="H22972" s="4"/>
      <c r="I22972" s="4"/>
    </row>
    <row r="22973">
      <c r="A22973" s="4" t="str">
        <f>IFERROR(__xludf.DUMMYFUNCTION("""COMPUTED_VALUE"""),"cas_hmw")</f>
        <v>cas_hmw</v>
      </c>
      <c r="B22973" s="5">
        <f>IFERROR(__xludf.DUMMYFUNCTION("""COMPUTED_VALUE"""),44791.0)</f>
        <v>44791</v>
      </c>
      <c r="C22973" s="6">
        <f>IFERROR(__xludf.DUMMYFUNCTION("""COMPUTED_VALUE"""),0.3371412037049595)</f>
        <v>0.3371412037</v>
      </c>
      <c r="D22973" s="4">
        <f>IFERROR(__xludf.DUMMYFUNCTION("""COMPUTED_VALUE"""),12.942579)</f>
        <v>12.942579</v>
      </c>
      <c r="E22973" s="4">
        <f>IFERROR(__xludf.DUMMYFUNCTION("""COMPUTED_VALUE"""),80.133398)</f>
        <v>80.133398</v>
      </c>
      <c r="F22973" s="4">
        <f>IFERROR(__xludf.DUMMYFUNCTION("""COMPUTED_VALUE"""),5339.0)</f>
        <v>5339</v>
      </c>
      <c r="G22973" s="4">
        <f>IFERROR(__xludf.DUMMYFUNCTION("""COMPUTED_VALUE"""),11.0)</f>
        <v>11</v>
      </c>
      <c r="H22973" s="4"/>
      <c r="I22973" s="4"/>
    </row>
    <row r="22974">
      <c r="A22974" s="4" t="str">
        <f>IFERROR(__xludf.DUMMYFUNCTION("""COMPUTED_VALUE"""),"cas_hmw")</f>
        <v>cas_hmw</v>
      </c>
      <c r="B22974" s="5">
        <f>IFERROR(__xludf.DUMMYFUNCTION("""COMPUTED_VALUE"""),44791.0)</f>
        <v>44791</v>
      </c>
      <c r="C22974" s="6">
        <f>IFERROR(__xludf.DUMMYFUNCTION("""COMPUTED_VALUE"""),0.3371412037049595)</f>
        <v>0.3371412037</v>
      </c>
      <c r="D22974" s="4">
        <f>IFERROR(__xludf.DUMMYFUNCTION("""COMPUTED_VALUE"""),12.942579)</f>
        <v>12.942579</v>
      </c>
      <c r="E22974" s="4">
        <f>IFERROR(__xludf.DUMMYFUNCTION("""COMPUTED_VALUE"""),80.133398)</f>
        <v>80.133398</v>
      </c>
      <c r="F22974" s="4">
        <f>IFERROR(__xludf.DUMMYFUNCTION("""COMPUTED_VALUE"""),5339.0)</f>
        <v>5339</v>
      </c>
      <c r="G22974" s="4">
        <f>IFERROR(__xludf.DUMMYFUNCTION("""COMPUTED_VALUE"""),11.0)</f>
        <v>11</v>
      </c>
      <c r="H22974" s="4"/>
      <c r="I22974" s="4"/>
    </row>
    <row r="22975">
      <c r="A22975" s="4" t="str">
        <f>IFERROR(__xludf.DUMMYFUNCTION("""COMPUTED_VALUE"""),"cas_hmw")</f>
        <v>cas_hmw</v>
      </c>
      <c r="B22975" s="5">
        <f>IFERROR(__xludf.DUMMYFUNCTION("""COMPUTED_VALUE"""),44791.0)</f>
        <v>44791</v>
      </c>
      <c r="C22975" s="6">
        <f>IFERROR(__xludf.DUMMYFUNCTION("""COMPUTED_VALUE"""),0.33715277777810115)</f>
        <v>0.3371527778</v>
      </c>
      <c r="D22975" s="4">
        <f>IFERROR(__xludf.DUMMYFUNCTION("""COMPUTED_VALUE"""),12.942579)</f>
        <v>12.942579</v>
      </c>
      <c r="E22975" s="4">
        <f>IFERROR(__xludf.DUMMYFUNCTION("""COMPUTED_VALUE"""),80.133398)</f>
        <v>80.133398</v>
      </c>
      <c r="F22975" s="4">
        <f>IFERROR(__xludf.DUMMYFUNCTION("""COMPUTED_VALUE"""),5339.0)</f>
        <v>5339</v>
      </c>
      <c r="G22975" s="4">
        <f>IFERROR(__xludf.DUMMYFUNCTION("""COMPUTED_VALUE"""),11.0)</f>
        <v>11</v>
      </c>
      <c r="H22975" s="4"/>
      <c r="I22975" s="4"/>
    </row>
    <row r="22976">
      <c r="A22976" s="4" t="str">
        <f>IFERROR(__xludf.DUMMYFUNCTION("""COMPUTED_VALUE"""),"cas_hmw")</f>
        <v>cas_hmw</v>
      </c>
      <c r="B22976" s="5">
        <f>IFERROR(__xludf.DUMMYFUNCTION("""COMPUTED_VALUE"""),44791.0)</f>
        <v>44791</v>
      </c>
      <c r="C22976" s="6">
        <f>IFERROR(__xludf.DUMMYFUNCTION("""COMPUTED_VALUE"""),0.3371643518512428)</f>
        <v>0.3371643519</v>
      </c>
      <c r="D22976" s="4">
        <f>IFERROR(__xludf.DUMMYFUNCTION("""COMPUTED_VALUE"""),12.942579)</f>
        <v>12.942579</v>
      </c>
      <c r="E22976" s="4">
        <f>IFERROR(__xludf.DUMMYFUNCTION("""COMPUTED_VALUE"""),80.133398)</f>
        <v>80.133398</v>
      </c>
      <c r="F22976" s="4">
        <f>IFERROR(__xludf.DUMMYFUNCTION("""COMPUTED_VALUE"""),5339.0)</f>
        <v>5339</v>
      </c>
      <c r="G22976" s="4">
        <f>IFERROR(__xludf.DUMMYFUNCTION("""COMPUTED_VALUE"""),11.0)</f>
        <v>11</v>
      </c>
      <c r="H22976" s="4"/>
      <c r="I22976" s="4"/>
    </row>
    <row r="22977">
      <c r="A22977" s="4" t="str">
        <f>IFERROR(__xludf.DUMMYFUNCTION("""COMPUTED_VALUE"""),"cas_hmw")</f>
        <v>cas_hmw</v>
      </c>
      <c r="B22977" s="5">
        <f>IFERROR(__xludf.DUMMYFUNCTION("""COMPUTED_VALUE"""),44791.0)</f>
        <v>44791</v>
      </c>
      <c r="C22977" s="6">
        <f>IFERROR(__xludf.DUMMYFUNCTION("""COMPUTED_VALUE"""),0.3371759259243845)</f>
        <v>0.3371759259</v>
      </c>
      <c r="D22977" s="4">
        <f>IFERROR(__xludf.DUMMYFUNCTION("""COMPUTED_VALUE"""),12.94218)</f>
        <v>12.94218</v>
      </c>
      <c r="E22977" s="4">
        <f>IFERROR(__xludf.DUMMYFUNCTION("""COMPUTED_VALUE"""),80.132957)</f>
        <v>80.132957</v>
      </c>
      <c r="F22977" s="4">
        <f>IFERROR(__xludf.DUMMYFUNCTION("""COMPUTED_VALUE"""),5339.0)</f>
        <v>5339</v>
      </c>
      <c r="G22977" s="4">
        <f>IFERROR(__xludf.DUMMYFUNCTION("""COMPUTED_VALUE"""),28.0)</f>
        <v>28</v>
      </c>
      <c r="H22977" s="4"/>
      <c r="I22977" s="4"/>
    </row>
    <row r="22978">
      <c r="A22978" s="4" t="str">
        <f>IFERROR(__xludf.DUMMYFUNCTION("""COMPUTED_VALUE"""),"cas_hmw")</f>
        <v>cas_hmw</v>
      </c>
      <c r="B22978" s="5">
        <f>IFERROR(__xludf.DUMMYFUNCTION("""COMPUTED_VALUE"""),44791.0)</f>
        <v>44791</v>
      </c>
      <c r="C22978" s="6">
        <f>IFERROR(__xludf.DUMMYFUNCTION("""COMPUTED_VALUE"""),0.3372800925935735)</f>
        <v>0.3372800926</v>
      </c>
      <c r="D22978" s="4">
        <f>IFERROR(__xludf.DUMMYFUNCTION("""COMPUTED_VALUE"""),12.94218)</f>
        <v>12.94218</v>
      </c>
      <c r="E22978" s="4">
        <f>IFERROR(__xludf.DUMMYFUNCTION("""COMPUTED_VALUE"""),80.132957)</f>
        <v>80.132957</v>
      </c>
      <c r="F22978" s="4">
        <f>IFERROR(__xludf.DUMMYFUNCTION("""COMPUTED_VALUE"""),5339.0)</f>
        <v>5339</v>
      </c>
      <c r="G22978" s="4">
        <f>IFERROR(__xludf.DUMMYFUNCTION("""COMPUTED_VALUE"""),28.0)</f>
        <v>28</v>
      </c>
      <c r="H22978" s="4"/>
      <c r="I22978" s="4"/>
    </row>
    <row r="22979">
      <c r="A22979" s="4" t="str">
        <f>IFERROR(__xludf.DUMMYFUNCTION("""COMPUTED_VALUE"""),"cas_hmw")</f>
        <v>cas_hmw</v>
      </c>
      <c r="B22979" s="5">
        <f>IFERROR(__xludf.DUMMYFUNCTION("""COMPUTED_VALUE"""),44791.0)</f>
        <v>44791</v>
      </c>
      <c r="C22979" s="6">
        <f>IFERROR(__xludf.DUMMYFUNCTION("""COMPUTED_VALUE"""),0.3374537037052505)</f>
        <v>0.3374537037</v>
      </c>
      <c r="D22979" s="4">
        <f>IFERROR(__xludf.DUMMYFUNCTION("""COMPUTED_VALUE"""),12.940948)</f>
        <v>12.940948</v>
      </c>
      <c r="E22979" s="4">
        <f>IFERROR(__xludf.DUMMYFUNCTION("""COMPUTED_VALUE"""),80.131645)</f>
        <v>80.131645</v>
      </c>
      <c r="F22979" s="4">
        <f>IFERROR(__xludf.DUMMYFUNCTION("""COMPUTED_VALUE"""),5339.0)</f>
        <v>5339</v>
      </c>
      <c r="G22979" s="4">
        <f>IFERROR(__xludf.DUMMYFUNCTION("""COMPUTED_VALUE"""),41.0)</f>
        <v>41</v>
      </c>
      <c r="H22979" s="4"/>
      <c r="I22979" s="4"/>
    </row>
    <row r="22980">
      <c r="A22980" s="4" t="str">
        <f>IFERROR(__xludf.DUMMYFUNCTION("""COMPUTED_VALUE"""),"cas_hmw")</f>
        <v>cas_hmw</v>
      </c>
      <c r="B22980" s="5">
        <f>IFERROR(__xludf.DUMMYFUNCTION("""COMPUTED_VALUE"""),44791.0)</f>
        <v>44791</v>
      </c>
      <c r="C22980" s="6">
        <f>IFERROR(__xludf.DUMMYFUNCTION("""COMPUTED_VALUE"""),0.33798611110978527)</f>
        <v>0.3379861111</v>
      </c>
      <c r="D22980" s="4">
        <f>IFERROR(__xludf.DUMMYFUNCTION("""COMPUTED_VALUE"""),12.805761)</f>
        <v>12.805761</v>
      </c>
      <c r="E22980" s="4">
        <f>IFERROR(__xludf.DUMMYFUNCTION("""COMPUTED_VALUE"""),80.027087)</f>
        <v>80.027087</v>
      </c>
      <c r="F22980" s="4">
        <f>IFERROR(__xludf.DUMMYFUNCTION("""COMPUTED_VALUE"""),2846.0)</f>
        <v>2846</v>
      </c>
      <c r="G22980" s="4">
        <f>IFERROR(__xludf.DUMMYFUNCTION("""COMPUTED_VALUE"""),58.0)</f>
        <v>58</v>
      </c>
      <c r="H22980" s="4"/>
      <c r="I22980" s="4"/>
    </row>
    <row r="22981">
      <c r="A22981" s="4" t="str">
        <f>IFERROR(__xludf.DUMMYFUNCTION("""COMPUTED_VALUE"""),"cas_hmw")</f>
        <v>cas_hmw</v>
      </c>
      <c r="B22981" s="5">
        <f>IFERROR(__xludf.DUMMYFUNCTION("""COMPUTED_VALUE"""),44791.0)</f>
        <v>44791</v>
      </c>
      <c r="C22981" s="6">
        <f>IFERROR(__xludf.DUMMYFUNCTION("""COMPUTED_VALUE"""),0.3390740740724141)</f>
        <v>0.3390740741</v>
      </c>
      <c r="D22981" s="4">
        <f>IFERROR(__xludf.DUMMYFUNCTION("""COMPUTED_VALUE"""),12.925549)</f>
        <v>12.925549</v>
      </c>
      <c r="E22981" s="4">
        <f>IFERROR(__xludf.DUMMYFUNCTION("""COMPUTED_VALUE"""),80.182688)</f>
        <v>80.182688</v>
      </c>
      <c r="F22981" s="4">
        <f>IFERROR(__xludf.DUMMYFUNCTION("""COMPUTED_VALUE"""),3143.0)</f>
        <v>3143</v>
      </c>
      <c r="G22981" s="4">
        <f>IFERROR(__xludf.DUMMYFUNCTION("""COMPUTED_VALUE"""),26.0)</f>
        <v>26</v>
      </c>
      <c r="H22981" s="4"/>
      <c r="I22981" s="4"/>
    </row>
    <row r="22982">
      <c r="A22982" s="4" t="str">
        <f>IFERROR(__xludf.DUMMYFUNCTION("""COMPUTED_VALUE"""),"cas_hmw")</f>
        <v>cas_hmw</v>
      </c>
      <c r="B22982" s="5">
        <f>IFERROR(__xludf.DUMMYFUNCTION("""COMPUTED_VALUE"""),44791.0)</f>
        <v>44791</v>
      </c>
      <c r="C22982" s="6">
        <f>IFERROR(__xludf.DUMMYFUNCTION("""COMPUTED_VALUE"""),0.3390972222223354)</f>
        <v>0.3390972222</v>
      </c>
      <c r="D22982" s="4">
        <f>IFERROR(__xludf.DUMMYFUNCTION("""COMPUTED_VALUE"""),12.930206)</f>
        <v>12.930206</v>
      </c>
      <c r="E22982" s="4">
        <f>IFERROR(__xludf.DUMMYFUNCTION("""COMPUTED_VALUE"""),80.121498)</f>
        <v>80.121498</v>
      </c>
      <c r="F22982" s="4">
        <f>IFERROR(__xludf.DUMMYFUNCTION("""COMPUTED_VALUE"""),5339.0)</f>
        <v>5339</v>
      </c>
      <c r="G22982" s="4">
        <f>IFERROR(__xludf.DUMMYFUNCTION("""COMPUTED_VALUE"""),44.0)</f>
        <v>44</v>
      </c>
      <c r="H22982" s="4"/>
      <c r="I22982" s="4"/>
    </row>
    <row r="22983">
      <c r="A22983" s="4" t="str">
        <f>IFERROR(__xludf.DUMMYFUNCTION("""COMPUTED_VALUE"""),"cas_hmw")</f>
        <v>cas_hmw</v>
      </c>
      <c r="B22983" s="5">
        <f>IFERROR(__xludf.DUMMYFUNCTION("""COMPUTED_VALUE"""),44791.0)</f>
        <v>44791</v>
      </c>
      <c r="C22983" s="6">
        <f>IFERROR(__xludf.DUMMYFUNCTION("""COMPUTED_VALUE"""),0.3390972222223354)</f>
        <v>0.3390972222</v>
      </c>
      <c r="D22983" s="4">
        <f>IFERROR(__xludf.DUMMYFUNCTION("""COMPUTED_VALUE"""),12.925549)</f>
        <v>12.925549</v>
      </c>
      <c r="E22983" s="4">
        <f>IFERROR(__xludf.DUMMYFUNCTION("""COMPUTED_VALUE"""),80.182688)</f>
        <v>80.182688</v>
      </c>
      <c r="F22983" s="4">
        <f>IFERROR(__xludf.DUMMYFUNCTION("""COMPUTED_VALUE"""),3143.0)</f>
        <v>3143</v>
      </c>
      <c r="G22983" s="4">
        <f>IFERROR(__xludf.DUMMYFUNCTION("""COMPUTED_VALUE"""),26.0)</f>
        <v>26</v>
      </c>
      <c r="H22983" s="4"/>
      <c r="I22983" s="4"/>
    </row>
    <row r="22984">
      <c r="A22984" s="4" t="str">
        <f>IFERROR(__xludf.DUMMYFUNCTION("""COMPUTED_VALUE"""),"cas_hmw")</f>
        <v>cas_hmw</v>
      </c>
      <c r="B22984" s="5">
        <f>IFERROR(__xludf.DUMMYFUNCTION("""COMPUTED_VALUE"""),44791.0)</f>
        <v>44791</v>
      </c>
      <c r="C22984" s="6">
        <f>IFERROR(__xludf.DUMMYFUNCTION("""COMPUTED_VALUE"""),0.3402199074080272)</f>
        <v>0.3402199074</v>
      </c>
      <c r="D22984" s="4">
        <f>IFERROR(__xludf.DUMMYFUNCTION("""COMPUTED_VALUE"""),12.921401)</f>
        <v>12.921401</v>
      </c>
      <c r="E22984" s="4">
        <f>IFERROR(__xludf.DUMMYFUNCTION("""COMPUTED_VALUE"""),80.112584)</f>
        <v>80.112584</v>
      </c>
      <c r="F22984" s="4">
        <f>IFERROR(__xludf.DUMMYFUNCTION("""COMPUTED_VALUE"""),5339.0)</f>
        <v>5339</v>
      </c>
      <c r="G22984" s="4">
        <f>IFERROR(__xludf.DUMMYFUNCTION("""COMPUTED_VALUE"""),43.0)</f>
        <v>43</v>
      </c>
      <c r="H22984" s="4"/>
      <c r="I22984" s="4"/>
    </row>
    <row r="22985">
      <c r="A22985" s="4" t="str">
        <f>IFERROR(__xludf.DUMMYFUNCTION("""COMPUTED_VALUE"""),"cas_hmw")</f>
        <v>cas_hmw</v>
      </c>
      <c r="B22985" s="5">
        <f>IFERROR(__xludf.DUMMYFUNCTION("""COMPUTED_VALUE"""),44791.0)</f>
        <v>44791</v>
      </c>
      <c r="C22985" s="6">
        <f>IFERROR(__xludf.DUMMYFUNCTION("""COMPUTED_VALUE"""),0.34046296296219225)</f>
        <v>0.340462963</v>
      </c>
      <c r="D22985" s="4">
        <f>IFERROR(__xludf.DUMMYFUNCTION("""COMPUTED_VALUE"""),12.919738)</f>
        <v>12.919738</v>
      </c>
      <c r="E22985" s="4">
        <f>IFERROR(__xludf.DUMMYFUNCTION("""COMPUTED_VALUE"""),80.110798)</f>
        <v>80.110798</v>
      </c>
      <c r="F22985" s="4">
        <f>IFERROR(__xludf.DUMMYFUNCTION("""COMPUTED_VALUE"""),5339.0)</f>
        <v>5339</v>
      </c>
      <c r="G22985" s="4">
        <f>IFERROR(__xludf.DUMMYFUNCTION("""COMPUTED_VALUE"""),55.0)</f>
        <v>55</v>
      </c>
      <c r="H22985" s="4"/>
      <c r="I22985" s="4"/>
    </row>
    <row r="22986">
      <c r="A22986" s="4" t="str">
        <f>IFERROR(__xludf.DUMMYFUNCTION("""COMPUTED_VALUE"""),"cas_hmw")</f>
        <v>cas_hmw</v>
      </c>
      <c r="B22986" s="5">
        <f>IFERROR(__xludf.DUMMYFUNCTION("""COMPUTED_VALUE"""),44791.0)</f>
        <v>44791</v>
      </c>
      <c r="C22986" s="6">
        <f>IFERROR(__xludf.DUMMYFUNCTION("""COMPUTED_VALUE"""),0.34089120370481396)</f>
        <v>0.3408912037</v>
      </c>
      <c r="D22986" s="4">
        <f>IFERROR(__xludf.DUMMYFUNCTION("""COMPUTED_VALUE"""),12.916604)</f>
        <v>12.916604</v>
      </c>
      <c r="E22986" s="4">
        <f>IFERROR(__xludf.DUMMYFUNCTION("""COMPUTED_VALUE"""),80.106464)</f>
        <v>80.106464</v>
      </c>
      <c r="F22986" s="4">
        <f>IFERROR(__xludf.DUMMYFUNCTION("""COMPUTED_VALUE"""),5339.0)</f>
        <v>5339</v>
      </c>
      <c r="G22986" s="4">
        <f>IFERROR(__xludf.DUMMYFUNCTION("""COMPUTED_VALUE"""),48.0)</f>
        <v>48</v>
      </c>
      <c r="H22986" s="4"/>
      <c r="I22986" s="4"/>
    </row>
    <row r="22987">
      <c r="A22987" s="4" t="str">
        <f>IFERROR(__xludf.DUMMYFUNCTION("""COMPUTED_VALUE"""),"cas_hmw")</f>
        <v>cas_hmw</v>
      </c>
      <c r="B22987" s="5">
        <f>IFERROR(__xludf.DUMMYFUNCTION("""COMPUTED_VALUE"""),44791.0)</f>
        <v>44791</v>
      </c>
      <c r="C22987" s="6">
        <f>IFERROR(__xludf.DUMMYFUNCTION("""COMPUTED_VALUE"""),0.3415046296286164)</f>
        <v>0.3415046296</v>
      </c>
      <c r="D22987" s="4">
        <f>IFERROR(__xludf.DUMMYFUNCTION("""COMPUTED_VALUE"""),12.913228)</f>
        <v>12.913228</v>
      </c>
      <c r="E22987" s="4">
        <f>IFERROR(__xludf.DUMMYFUNCTION("""COMPUTED_VALUE"""),80.101621)</f>
        <v>80.101621</v>
      </c>
      <c r="F22987" s="4">
        <f>IFERROR(__xludf.DUMMYFUNCTION("""COMPUTED_VALUE"""),5339.0)</f>
        <v>5339</v>
      </c>
      <c r="G22987" s="4">
        <f>IFERROR(__xludf.DUMMYFUNCTION("""COMPUTED_VALUE"""),41.0)</f>
        <v>41</v>
      </c>
      <c r="H22987" s="4"/>
      <c r="I22987" s="4"/>
    </row>
    <row r="22988">
      <c r="A22988" s="4" t="str">
        <f>IFERROR(__xludf.DUMMYFUNCTION("""COMPUTED_VALUE"""),"cas_hmw")</f>
        <v>cas_hmw</v>
      </c>
      <c r="B22988" s="5">
        <f>IFERROR(__xludf.DUMMYFUNCTION("""COMPUTED_VALUE"""),44791.0)</f>
        <v>44791</v>
      </c>
      <c r="C22988" s="6">
        <f>IFERROR(__xludf.DUMMYFUNCTION("""COMPUTED_VALUE"""),0.34162037037094706)</f>
        <v>0.3416203704</v>
      </c>
      <c r="D22988" s="4">
        <f>IFERROR(__xludf.DUMMYFUNCTION("""COMPUTED_VALUE"""),12.918303)</f>
        <v>12.918303</v>
      </c>
      <c r="E22988" s="4">
        <f>IFERROR(__xludf.DUMMYFUNCTION("""COMPUTED_VALUE"""),80.178164)</f>
        <v>80.178164</v>
      </c>
      <c r="F22988" s="4">
        <f>IFERROR(__xludf.DUMMYFUNCTION("""COMPUTED_VALUE"""),3143.0)</f>
        <v>3143</v>
      </c>
      <c r="G22988" s="4">
        <f>IFERROR(__xludf.DUMMYFUNCTION("""COMPUTED_VALUE"""),43.0)</f>
        <v>43</v>
      </c>
      <c r="H22988" s="4"/>
      <c r="I22988" s="4"/>
    </row>
    <row r="22989">
      <c r="A22989" s="4" t="str">
        <f>IFERROR(__xludf.DUMMYFUNCTION("""COMPUTED_VALUE"""),"cas_hmw")</f>
        <v>cas_hmw</v>
      </c>
      <c r="B22989" s="5">
        <f>IFERROR(__xludf.DUMMYFUNCTION("""COMPUTED_VALUE"""),44791.0)</f>
        <v>44791</v>
      </c>
      <c r="C22989" s="6">
        <f>IFERROR(__xludf.DUMMYFUNCTION("""COMPUTED_VALUE"""),0.34195601851752144)</f>
        <v>0.3419560185</v>
      </c>
      <c r="D22989" s="4">
        <f>IFERROR(__xludf.DUMMYFUNCTION("""COMPUTED_VALUE"""),12.836981)</f>
        <v>12.836981</v>
      </c>
      <c r="E22989" s="4">
        <f>IFERROR(__xludf.DUMMYFUNCTION("""COMPUTED_VALUE"""),80.052287)</f>
        <v>80.052287</v>
      </c>
      <c r="F22989" s="4">
        <f>IFERROR(__xludf.DUMMYFUNCTION("""COMPUTED_VALUE"""),2846.0)</f>
        <v>2846</v>
      </c>
      <c r="G22989" s="4">
        <f>IFERROR(__xludf.DUMMYFUNCTION("""COMPUTED_VALUE"""),58.0)</f>
        <v>58</v>
      </c>
      <c r="H22989" s="4"/>
      <c r="I22989" s="4"/>
    </row>
    <row r="22990">
      <c r="A22990" s="4" t="str">
        <f>IFERROR(__xludf.DUMMYFUNCTION("""COMPUTED_VALUE"""),"cas_hmw")</f>
        <v>cas_hmw</v>
      </c>
      <c r="B22990" s="5">
        <f>IFERROR(__xludf.DUMMYFUNCTION("""COMPUTED_VALUE"""),44791.0)</f>
        <v>44791</v>
      </c>
      <c r="C22990" s="6">
        <f>IFERROR(__xludf.DUMMYFUNCTION("""COMPUTED_VALUE"""),0.34325231481489027)</f>
        <v>0.3432523148</v>
      </c>
      <c r="D22990" s="4">
        <f>IFERROR(__xludf.DUMMYFUNCTION("""COMPUTED_VALUE"""),12.906603)</f>
        <v>12.906603</v>
      </c>
      <c r="E22990" s="4">
        <f>IFERROR(__xludf.DUMMYFUNCTION("""COMPUTED_VALUE"""),80.096666)</f>
        <v>80.096666</v>
      </c>
      <c r="F22990" s="4">
        <f>IFERROR(__xludf.DUMMYFUNCTION("""COMPUTED_VALUE"""),5339.0)</f>
        <v>5339</v>
      </c>
      <c r="G22990" s="4">
        <f>IFERROR(__xludf.DUMMYFUNCTION("""COMPUTED_VALUE"""),19.0)</f>
        <v>19</v>
      </c>
      <c r="H22990" s="4"/>
      <c r="I22990" s="4"/>
    </row>
    <row r="22991">
      <c r="A22991" s="4" t="str">
        <f>IFERROR(__xludf.DUMMYFUNCTION("""COMPUTED_VALUE"""),"cas_hmw")</f>
        <v>cas_hmw</v>
      </c>
      <c r="B22991" s="5">
        <f>IFERROR(__xludf.DUMMYFUNCTION("""COMPUTED_VALUE"""),44791.0)</f>
        <v>44791</v>
      </c>
      <c r="C22991" s="6">
        <f>IFERROR(__xludf.DUMMYFUNCTION("""COMPUTED_VALUE"""),0.34326388888803194)</f>
        <v>0.3432638889</v>
      </c>
      <c r="D22991" s="4">
        <f>IFERROR(__xludf.DUMMYFUNCTION("""COMPUTED_VALUE"""),12.906603)</f>
        <v>12.906603</v>
      </c>
      <c r="E22991" s="4">
        <f>IFERROR(__xludf.DUMMYFUNCTION("""COMPUTED_VALUE"""),80.096666)</f>
        <v>80.096666</v>
      </c>
      <c r="F22991" s="4">
        <f>IFERROR(__xludf.DUMMYFUNCTION("""COMPUTED_VALUE"""),5339.0)</f>
        <v>5339</v>
      </c>
      <c r="G22991" s="4">
        <f>IFERROR(__xludf.DUMMYFUNCTION("""COMPUTED_VALUE"""),19.0)</f>
        <v>19</v>
      </c>
      <c r="H22991" s="4"/>
      <c r="I22991" s="4"/>
    </row>
    <row r="22992">
      <c r="A22992" s="4" t="str">
        <f>IFERROR(__xludf.DUMMYFUNCTION("""COMPUTED_VALUE"""),"cas_hmw")</f>
        <v>cas_hmw</v>
      </c>
      <c r="B22992" s="5">
        <f>IFERROR(__xludf.DUMMYFUNCTION("""COMPUTED_VALUE"""),44791.0)</f>
        <v>44791</v>
      </c>
      <c r="C22992" s="6">
        <f>IFERROR(__xludf.DUMMYFUNCTION("""COMPUTED_VALUE"""),0.3433449074072996)</f>
        <v>0.3433449074</v>
      </c>
      <c r="D22992" s="4">
        <f>IFERROR(__xludf.DUMMYFUNCTION("""COMPUTED_VALUE"""),12.84587)</f>
        <v>12.84587</v>
      </c>
      <c r="E22992" s="4">
        <f>IFERROR(__xludf.DUMMYFUNCTION("""COMPUTED_VALUE"""),80.061466)</f>
        <v>80.061466</v>
      </c>
      <c r="F22992" s="4">
        <f>IFERROR(__xludf.DUMMYFUNCTION("""COMPUTED_VALUE"""),2846.0)</f>
        <v>2846</v>
      </c>
      <c r="G22992" s="4">
        <f>IFERROR(__xludf.DUMMYFUNCTION("""COMPUTED_VALUE"""),0.0)</f>
        <v>0</v>
      </c>
      <c r="H22992" s="4"/>
      <c r="I22992" s="4"/>
    </row>
    <row r="22993">
      <c r="A22993" s="4" t="str">
        <f>IFERROR(__xludf.DUMMYFUNCTION("""COMPUTED_VALUE"""),"cas_hmw")</f>
        <v>cas_hmw</v>
      </c>
      <c r="B22993" s="5">
        <f>IFERROR(__xludf.DUMMYFUNCTION("""COMPUTED_VALUE"""),44791.0)</f>
        <v>44791</v>
      </c>
      <c r="C22993" s="6">
        <f>IFERROR(__xludf.DUMMYFUNCTION("""COMPUTED_VALUE"""),0.3441550925927004)</f>
        <v>0.3441550926</v>
      </c>
      <c r="D22993" s="4">
        <f>IFERROR(__xludf.DUMMYFUNCTION("""COMPUTED_VALUE"""),12.849974)</f>
        <v>12.849974</v>
      </c>
      <c r="E22993" s="4">
        <f>IFERROR(__xludf.DUMMYFUNCTION("""COMPUTED_VALUE"""),80.064627)</f>
        <v>80.064627</v>
      </c>
      <c r="F22993" s="4">
        <f>IFERROR(__xludf.DUMMYFUNCTION("""COMPUTED_VALUE"""),2846.0)</f>
        <v>2846</v>
      </c>
      <c r="G22993" s="4">
        <f>IFERROR(__xludf.DUMMYFUNCTION("""COMPUTED_VALUE"""),0.0)</f>
        <v>0</v>
      </c>
      <c r="H22993" s="4"/>
      <c r="I22993" s="4"/>
    </row>
    <row r="22994">
      <c r="A22994" s="4" t="str">
        <f>IFERROR(__xludf.DUMMYFUNCTION("""COMPUTED_VALUE"""),"cas_hmw")</f>
        <v>cas_hmw</v>
      </c>
      <c r="B22994" s="5">
        <f>IFERROR(__xludf.DUMMYFUNCTION("""COMPUTED_VALUE"""),44791.0)</f>
        <v>44791</v>
      </c>
      <c r="C22994" s="6">
        <f>IFERROR(__xludf.DUMMYFUNCTION("""COMPUTED_VALUE"""),0.3443055555544561)</f>
        <v>0.3443055556</v>
      </c>
      <c r="D22994" s="4">
        <f>IFERROR(__xludf.DUMMYFUNCTION("""COMPUTED_VALUE"""),12.849995)</f>
        <v>12.849995</v>
      </c>
      <c r="E22994" s="4">
        <f>IFERROR(__xludf.DUMMYFUNCTION("""COMPUTED_VALUE"""),80.06462)</f>
        <v>80.06462</v>
      </c>
      <c r="F22994" s="4">
        <f>IFERROR(__xludf.DUMMYFUNCTION("""COMPUTED_VALUE"""),2846.0)</f>
        <v>2846</v>
      </c>
      <c r="G22994" s="4">
        <f>IFERROR(__xludf.DUMMYFUNCTION("""COMPUTED_VALUE"""),6.0)</f>
        <v>6</v>
      </c>
      <c r="H22994" s="4"/>
      <c r="I22994" s="4"/>
    </row>
    <row r="22995">
      <c r="A22995" s="4" t="str">
        <f>IFERROR(__xludf.DUMMYFUNCTION("""COMPUTED_VALUE"""),"cas_hmw")</f>
        <v>cas_hmw</v>
      </c>
      <c r="B22995" s="5">
        <f>IFERROR(__xludf.DUMMYFUNCTION("""COMPUTED_VALUE"""),44791.0)</f>
        <v>44791</v>
      </c>
      <c r="C22995" s="6">
        <f>IFERROR(__xludf.DUMMYFUNCTION("""COMPUTED_VALUE"""),0.34496527777810115)</f>
        <v>0.3449652778</v>
      </c>
      <c r="D22995" s="4">
        <f>IFERROR(__xludf.DUMMYFUNCTION("""COMPUTED_VALUE"""),12.898491)</f>
        <v>12.898491</v>
      </c>
      <c r="E22995" s="4">
        <f>IFERROR(__xludf.DUMMYFUNCTION("""COMPUTED_VALUE"""),80.09037)</f>
        <v>80.09037</v>
      </c>
      <c r="F22995" s="4">
        <f>IFERROR(__xludf.DUMMYFUNCTION("""COMPUTED_VALUE"""),5339.0)</f>
        <v>5339</v>
      </c>
      <c r="G22995" s="4">
        <f>IFERROR(__xludf.DUMMYFUNCTION("""COMPUTED_VALUE"""),58.0)</f>
        <v>58</v>
      </c>
      <c r="H22995" s="4"/>
      <c r="I22995" s="4"/>
    </row>
    <row r="22996">
      <c r="A22996" s="4" t="str">
        <f>IFERROR(__xludf.DUMMYFUNCTION("""COMPUTED_VALUE"""),"cas_hmw")</f>
        <v>cas_hmw</v>
      </c>
      <c r="B22996" s="5">
        <f>IFERROR(__xludf.DUMMYFUNCTION("""COMPUTED_VALUE"""),44791.0)</f>
        <v>44791</v>
      </c>
      <c r="C22996" s="6">
        <f>IFERROR(__xludf.DUMMYFUNCTION("""COMPUTED_VALUE"""),0.3456018518518249)</f>
        <v>0.3456018519</v>
      </c>
      <c r="D22996" s="4">
        <f>IFERROR(__xludf.DUMMYFUNCTION("""COMPUTED_VALUE"""),12.893755)</f>
        <v>12.893755</v>
      </c>
      <c r="E22996" s="4">
        <f>IFERROR(__xludf.DUMMYFUNCTION("""COMPUTED_VALUE"""),80.086857)</f>
        <v>80.086857</v>
      </c>
      <c r="F22996" s="4">
        <f>IFERROR(__xludf.DUMMYFUNCTION("""COMPUTED_VALUE"""),5339.0)</f>
        <v>5339</v>
      </c>
      <c r="G22996" s="4">
        <f>IFERROR(__xludf.DUMMYFUNCTION("""COMPUTED_VALUE"""),53.0)</f>
        <v>53</v>
      </c>
      <c r="H22996" s="4"/>
      <c r="I22996" s="4"/>
    </row>
    <row r="22997">
      <c r="A22997" s="4" t="str">
        <f>IFERROR(__xludf.DUMMYFUNCTION("""COMPUTED_VALUE"""),"cas_hmw")</f>
        <v>cas_hmw</v>
      </c>
      <c r="B22997" s="5">
        <f>IFERROR(__xludf.DUMMYFUNCTION("""COMPUTED_VALUE"""),44791.0)</f>
        <v>44791</v>
      </c>
      <c r="C22997" s="6">
        <f>IFERROR(__xludf.DUMMYFUNCTION("""COMPUTED_VALUE"""),0.3457175925941556)</f>
        <v>0.3457175926</v>
      </c>
      <c r="D22997" s="4">
        <f>IFERROR(__xludf.DUMMYFUNCTION("""COMPUTED_VALUE"""),12.922555)</f>
        <v>12.922555</v>
      </c>
      <c r="E22997" s="4">
        <f>IFERROR(__xludf.DUMMYFUNCTION("""COMPUTED_VALUE"""),80.145807)</f>
        <v>80.145807</v>
      </c>
      <c r="F22997" s="4">
        <f>IFERROR(__xludf.DUMMYFUNCTION("""COMPUTED_VALUE"""),3143.0)</f>
        <v>3143</v>
      </c>
      <c r="G22997" s="4">
        <f>IFERROR(__xludf.DUMMYFUNCTION("""COMPUTED_VALUE"""),37.0)</f>
        <v>37</v>
      </c>
      <c r="H22997" s="4"/>
      <c r="I22997" s="4"/>
    </row>
    <row r="22998">
      <c r="A22998" s="4" t="str">
        <f>IFERROR(__xludf.DUMMYFUNCTION("""COMPUTED_VALUE"""),"cas_hmw")</f>
        <v>cas_hmw</v>
      </c>
      <c r="B22998" s="5">
        <f>IFERROR(__xludf.DUMMYFUNCTION("""COMPUTED_VALUE"""),44791.0)</f>
        <v>44791</v>
      </c>
      <c r="C22998" s="6">
        <f>IFERROR(__xludf.DUMMYFUNCTION("""COMPUTED_VALUE"""),0.3462847222217533)</f>
        <v>0.3462847222</v>
      </c>
      <c r="D22998" s="4">
        <f>IFERROR(__xludf.DUMMYFUNCTION("""COMPUTED_VALUE"""),12.887029)</f>
        <v>12.887029</v>
      </c>
      <c r="E22998" s="4">
        <f>IFERROR(__xludf.DUMMYFUNCTION("""COMPUTED_VALUE"""),80.083407)</f>
        <v>80.083407</v>
      </c>
      <c r="F22998" s="4">
        <f>IFERROR(__xludf.DUMMYFUNCTION("""COMPUTED_VALUE"""),5339.0)</f>
        <v>5339</v>
      </c>
      <c r="G22998" s="4">
        <f>IFERROR(__xludf.DUMMYFUNCTION("""COMPUTED_VALUE"""),57.0)</f>
        <v>57</v>
      </c>
      <c r="H22998" s="4"/>
      <c r="I22998" s="4"/>
    </row>
    <row r="22999">
      <c r="A22999" s="4" t="str">
        <f>IFERROR(__xludf.DUMMYFUNCTION("""COMPUTED_VALUE"""),"cas_hmw")</f>
        <v>cas_hmw</v>
      </c>
      <c r="B22999" s="5">
        <f>IFERROR(__xludf.DUMMYFUNCTION("""COMPUTED_VALUE"""),44791.0)</f>
        <v>44791</v>
      </c>
      <c r="C22999" s="6">
        <f>IFERROR(__xludf.DUMMYFUNCTION("""COMPUTED_VALUE"""),0.34652777777955635)</f>
        <v>0.3465277778</v>
      </c>
      <c r="D22999" s="4">
        <f>IFERROR(__xludf.DUMMYFUNCTION("""COMPUTED_VALUE"""),12.922408)</f>
        <v>12.922408</v>
      </c>
      <c r="E22999" s="4">
        <f>IFERROR(__xludf.DUMMYFUNCTION("""COMPUTED_VALUE"""),80.141776)</f>
        <v>80.141776</v>
      </c>
      <c r="F22999" s="4">
        <f>IFERROR(__xludf.DUMMYFUNCTION("""COMPUTED_VALUE"""),3143.0)</f>
        <v>3143</v>
      </c>
      <c r="G22999" s="4">
        <f>IFERROR(__xludf.DUMMYFUNCTION("""COMPUTED_VALUE"""),21.0)</f>
        <v>21</v>
      </c>
      <c r="H22999" s="4"/>
      <c r="I22999" s="4"/>
    </row>
    <row r="23000">
      <c r="A23000" s="4" t="str">
        <f>IFERROR(__xludf.DUMMYFUNCTION("""COMPUTED_VALUE"""),"cas_hmw")</f>
        <v>cas_hmw</v>
      </c>
      <c r="B23000" s="5">
        <f>IFERROR(__xludf.DUMMYFUNCTION("""COMPUTED_VALUE"""),44791.0)</f>
        <v>44791</v>
      </c>
      <c r="C23000" s="6">
        <f>IFERROR(__xludf.DUMMYFUNCTION("""COMPUTED_VALUE"""),0.3466203703719657)</f>
        <v>0.3466203704</v>
      </c>
      <c r="D23000" s="4">
        <f>IFERROR(__xludf.DUMMYFUNCTION("""COMPUTED_VALUE"""),12.922396)</f>
        <v>12.922396</v>
      </c>
      <c r="E23000" s="4">
        <f>IFERROR(__xludf.DUMMYFUNCTION("""COMPUTED_VALUE"""),80.141064)</f>
        <v>80.141064</v>
      </c>
      <c r="F23000" s="4">
        <f>IFERROR(__xludf.DUMMYFUNCTION("""COMPUTED_VALUE"""),3143.0)</f>
        <v>3143</v>
      </c>
      <c r="G23000" s="4">
        <f>IFERROR(__xludf.DUMMYFUNCTION("""COMPUTED_VALUE"""),29.0)</f>
        <v>29</v>
      </c>
      <c r="H23000" s="4"/>
      <c r="I23000" s="4"/>
    </row>
    <row r="23001">
      <c r="A23001" s="4" t="str">
        <f>IFERROR(__xludf.DUMMYFUNCTION("""COMPUTED_VALUE"""),"cas_hmw")</f>
        <v>cas_hmw</v>
      </c>
      <c r="B23001" s="5">
        <f>IFERROR(__xludf.DUMMYFUNCTION("""COMPUTED_VALUE"""),44791.0)</f>
        <v>44791</v>
      </c>
      <c r="C23001" s="6">
        <f>IFERROR(__xludf.DUMMYFUNCTION("""COMPUTED_VALUE"""),0.34663194444510737)</f>
        <v>0.3466319444</v>
      </c>
      <c r="D23001" s="4">
        <f>IFERROR(__xludf.DUMMYFUNCTION("""COMPUTED_VALUE"""),12.883352)</f>
        <v>12.883352</v>
      </c>
      <c r="E23001" s="4">
        <f>IFERROR(__xludf.DUMMYFUNCTION("""COMPUTED_VALUE"""),80.082052)</f>
        <v>80.082052</v>
      </c>
      <c r="F23001" s="4">
        <f>IFERROR(__xludf.DUMMYFUNCTION("""COMPUTED_VALUE"""),5339.0)</f>
        <v>5339</v>
      </c>
      <c r="G23001" s="4">
        <f>IFERROR(__xludf.DUMMYFUNCTION("""COMPUTED_VALUE"""),45.0)</f>
        <v>45</v>
      </c>
      <c r="H23001" s="4"/>
      <c r="I23001" s="4"/>
    </row>
    <row r="23002">
      <c r="A23002" s="4" t="str">
        <f>IFERROR(__xludf.DUMMYFUNCTION("""COMPUTED_VALUE"""),"cas_hmw")</f>
        <v>cas_hmw</v>
      </c>
      <c r="B23002" s="5">
        <f>IFERROR(__xludf.DUMMYFUNCTION("""COMPUTED_VALUE"""),44791.0)</f>
        <v>44791</v>
      </c>
      <c r="C23002" s="6">
        <f>IFERROR(__xludf.DUMMYFUNCTION("""COMPUTED_VALUE"""),0.34678240740686306)</f>
        <v>0.3467824074</v>
      </c>
      <c r="D23002" s="4">
        <f>IFERROR(__xludf.DUMMYFUNCTION("""COMPUTED_VALUE"""),12.881433)</f>
        <v>12.881433</v>
      </c>
      <c r="E23002" s="4">
        <f>IFERROR(__xludf.DUMMYFUNCTION("""COMPUTED_VALUE"""),80.081283)</f>
        <v>80.081283</v>
      </c>
      <c r="F23002" s="4">
        <f>IFERROR(__xludf.DUMMYFUNCTION("""COMPUTED_VALUE"""),5339.0)</f>
        <v>5339</v>
      </c>
      <c r="G23002" s="4">
        <f>IFERROR(__xludf.DUMMYFUNCTION("""COMPUTED_VALUE"""),39.0)</f>
        <v>39</v>
      </c>
      <c r="H23002" s="4"/>
      <c r="I23002" s="4"/>
    </row>
    <row r="23003">
      <c r="A23003" s="4" t="str">
        <f>IFERROR(__xludf.DUMMYFUNCTION("""COMPUTED_VALUE"""),"cas_hmw")</f>
        <v>cas_hmw</v>
      </c>
      <c r="B23003" s="5">
        <f>IFERROR(__xludf.DUMMYFUNCTION("""COMPUTED_VALUE"""),44791.0)</f>
        <v>44791</v>
      </c>
      <c r="C23003" s="6">
        <f>IFERROR(__xludf.DUMMYFUNCTION("""COMPUTED_VALUE"""),0.34733796296131914)</f>
        <v>0.347337963</v>
      </c>
      <c r="D23003" s="4">
        <f>IFERROR(__xludf.DUMMYFUNCTION("""COMPUTED_VALUE"""),12.876241)</f>
        <v>12.876241</v>
      </c>
      <c r="E23003" s="4">
        <f>IFERROR(__xludf.DUMMYFUNCTION("""COMPUTED_VALUE"""),80.07883)</f>
        <v>80.07883</v>
      </c>
      <c r="F23003" s="4">
        <f>IFERROR(__xludf.DUMMYFUNCTION("""COMPUTED_VALUE"""),2846.0)</f>
        <v>2846</v>
      </c>
      <c r="G23003" s="4">
        <f>IFERROR(__xludf.DUMMYFUNCTION("""COMPUTED_VALUE"""),57.0)</f>
        <v>57</v>
      </c>
      <c r="H23003" s="4"/>
      <c r="I23003" s="4"/>
    </row>
    <row r="23004">
      <c r="A23004" s="4" t="str">
        <f>IFERROR(__xludf.DUMMYFUNCTION("""COMPUTED_VALUE"""),"cas_hmw")</f>
        <v>cas_hmw</v>
      </c>
      <c r="B23004" s="5">
        <f>IFERROR(__xludf.DUMMYFUNCTION("""COMPUTED_VALUE"""),44791.0)</f>
        <v>44791</v>
      </c>
      <c r="C23004" s="6">
        <f>IFERROR(__xludf.DUMMYFUNCTION("""COMPUTED_VALUE"""),0.3481481481467199)</f>
        <v>0.3481481481</v>
      </c>
      <c r="D23004" s="4">
        <f>IFERROR(__xludf.DUMMYFUNCTION("""COMPUTED_VALUE"""),12.922575)</f>
        <v>12.922575</v>
      </c>
      <c r="E23004" s="4">
        <f>IFERROR(__xludf.DUMMYFUNCTION("""COMPUTED_VALUE"""),80.134356)</f>
        <v>80.134356</v>
      </c>
      <c r="F23004" s="4">
        <f>IFERROR(__xludf.DUMMYFUNCTION("""COMPUTED_VALUE"""),3143.0)</f>
        <v>3143</v>
      </c>
      <c r="G23004" s="4">
        <f>IFERROR(__xludf.DUMMYFUNCTION("""COMPUTED_VALUE"""),24.0)</f>
        <v>24</v>
      </c>
      <c r="H23004" s="4"/>
      <c r="I23004" s="4"/>
    </row>
    <row r="23005">
      <c r="A23005" s="4" t="str">
        <f>IFERROR(__xludf.DUMMYFUNCTION("""COMPUTED_VALUE"""),"cas_hmw")</f>
        <v>cas_hmw</v>
      </c>
      <c r="B23005" s="5">
        <f>IFERROR(__xludf.DUMMYFUNCTION("""COMPUTED_VALUE"""),44791.0)</f>
        <v>44791</v>
      </c>
      <c r="C23005" s="6">
        <f>IFERROR(__xludf.DUMMYFUNCTION("""COMPUTED_VALUE"""),0.3508796296300716)</f>
        <v>0.3508796296</v>
      </c>
      <c r="D23005" s="4">
        <f>IFERROR(__xludf.DUMMYFUNCTION("""COMPUTED_VALUE"""),12.923469)</f>
        <v>12.923469</v>
      </c>
      <c r="E23005" s="4">
        <f>IFERROR(__xludf.DUMMYFUNCTION("""COMPUTED_VALUE"""),80.118121)</f>
        <v>80.118121</v>
      </c>
      <c r="F23005" s="4">
        <f>IFERROR(__xludf.DUMMYFUNCTION("""COMPUTED_VALUE"""),3143.0)</f>
        <v>3143</v>
      </c>
      <c r="G23005" s="4">
        <f>IFERROR(__xludf.DUMMYFUNCTION("""COMPUTED_VALUE"""),44.0)</f>
        <v>44</v>
      </c>
      <c r="H23005" s="4"/>
      <c r="I23005" s="4"/>
    </row>
    <row r="23006">
      <c r="A23006" s="4" t="str">
        <f>IFERROR(__xludf.DUMMYFUNCTION("""COMPUTED_VALUE"""),"cas_hmw")</f>
        <v>cas_hmw</v>
      </c>
      <c r="B23006" s="5">
        <f>IFERROR(__xludf.DUMMYFUNCTION("""COMPUTED_VALUE"""),44791.0)</f>
        <v>44791</v>
      </c>
      <c r="C23006" s="6">
        <f>IFERROR(__xludf.DUMMYFUNCTION("""COMPUTED_VALUE"""),0.3530092592591245)</f>
        <v>0.3530092593</v>
      </c>
      <c r="D23006" s="4">
        <f>IFERROR(__xludf.DUMMYFUNCTION("""COMPUTED_VALUE"""),12.914172)</f>
        <v>12.914172</v>
      </c>
      <c r="E23006" s="4">
        <f>IFERROR(__xludf.DUMMYFUNCTION("""COMPUTED_VALUE"""),80.102294)</f>
        <v>80.102294</v>
      </c>
      <c r="F23006" s="4">
        <f>IFERROR(__xludf.DUMMYFUNCTION("""COMPUTED_VALUE"""),3143.0)</f>
        <v>3143</v>
      </c>
      <c r="G23006" s="4">
        <f>IFERROR(__xludf.DUMMYFUNCTION("""COMPUTED_VALUE"""),56.0)</f>
        <v>56</v>
      </c>
      <c r="H23006" s="4"/>
      <c r="I23006" s="4"/>
    </row>
    <row r="23007">
      <c r="A23007" s="4" t="str">
        <f>IFERROR(__xludf.DUMMYFUNCTION("""COMPUTED_VALUE"""),"cas_hmw")</f>
        <v>cas_hmw</v>
      </c>
      <c r="B23007" s="5">
        <f>IFERROR(__xludf.DUMMYFUNCTION("""COMPUTED_VALUE"""),44791.0)</f>
        <v>44791</v>
      </c>
      <c r="C23007" s="6">
        <f>IFERROR(__xludf.DUMMYFUNCTION("""COMPUTED_VALUE"""),0.3530902777783922)</f>
        <v>0.3530902778</v>
      </c>
      <c r="D23007" s="4">
        <f>IFERROR(__xludf.DUMMYFUNCTION("""COMPUTED_VALUE"""),12.914172)</f>
        <v>12.914172</v>
      </c>
      <c r="E23007" s="4">
        <f>IFERROR(__xludf.DUMMYFUNCTION("""COMPUTED_VALUE"""),80.102294)</f>
        <v>80.102294</v>
      </c>
      <c r="F23007" s="4">
        <f>IFERROR(__xludf.DUMMYFUNCTION("""COMPUTED_VALUE"""),3143.0)</f>
        <v>3143</v>
      </c>
      <c r="G23007" s="4">
        <f>IFERROR(__xludf.DUMMYFUNCTION("""COMPUTED_VALUE"""),56.0)</f>
        <v>56</v>
      </c>
      <c r="H23007" s="4"/>
      <c r="I23007" s="4"/>
    </row>
    <row r="23008">
      <c r="A23008" s="4" t="str">
        <f>IFERROR(__xludf.DUMMYFUNCTION("""COMPUTED_VALUE"""),"cas_hmw")</f>
        <v>cas_hmw</v>
      </c>
      <c r="B23008" s="5">
        <f>IFERROR(__xludf.DUMMYFUNCTION("""COMPUTED_VALUE"""),44791.0)</f>
        <v>44791</v>
      </c>
      <c r="C23008" s="6">
        <f>IFERROR(__xludf.DUMMYFUNCTION("""COMPUTED_VALUE"""),0.35310185185153387)</f>
        <v>0.3531018519</v>
      </c>
      <c r="D23008" s="4">
        <f>IFERROR(__xludf.DUMMYFUNCTION("""COMPUTED_VALUE"""),12.912454)</f>
        <v>12.912454</v>
      </c>
      <c r="E23008" s="4">
        <f>IFERROR(__xludf.DUMMYFUNCTION("""COMPUTED_VALUE"""),80.101542)</f>
        <v>80.101542</v>
      </c>
      <c r="F23008" s="4">
        <f>IFERROR(__xludf.DUMMYFUNCTION("""COMPUTED_VALUE"""),3143.0)</f>
        <v>3143</v>
      </c>
      <c r="G23008" s="4">
        <f>IFERROR(__xludf.DUMMYFUNCTION("""COMPUTED_VALUE"""),47.0)</f>
        <v>47</v>
      </c>
      <c r="H23008" s="4"/>
      <c r="I23008" s="4"/>
    </row>
    <row r="23009">
      <c r="A23009" s="4" t="str">
        <f>IFERROR(__xludf.DUMMYFUNCTION("""COMPUTED_VALUE"""),"cas_hmw")</f>
        <v>cas_hmw</v>
      </c>
      <c r="B23009" s="5">
        <f>IFERROR(__xludf.DUMMYFUNCTION("""COMPUTED_VALUE"""),44791.0)</f>
        <v>44791</v>
      </c>
      <c r="C23009" s="6">
        <f>IFERROR(__xludf.DUMMYFUNCTION("""COMPUTED_VALUE"""),0.354247685183509)</f>
        <v>0.3542476852</v>
      </c>
      <c r="D23009" s="4">
        <f>IFERROR(__xludf.DUMMYFUNCTION("""COMPUTED_VALUE"""),12.907393)</f>
        <v>12.907393</v>
      </c>
      <c r="E23009" s="4">
        <f>IFERROR(__xludf.DUMMYFUNCTION("""COMPUTED_VALUE"""),80.097273)</f>
        <v>80.097273</v>
      </c>
      <c r="F23009" s="4">
        <f>IFERROR(__xludf.DUMMYFUNCTION("""COMPUTED_VALUE"""),3143.0)</f>
        <v>3143</v>
      </c>
      <c r="G23009" s="4">
        <f>IFERROR(__xludf.DUMMYFUNCTION("""COMPUTED_VALUE"""),48.0)</f>
        <v>48</v>
      </c>
      <c r="H23009" s="4"/>
      <c r="I23009" s="4"/>
    </row>
    <row r="23010">
      <c r="A23010" s="4" t="str">
        <f>IFERROR(__xludf.DUMMYFUNCTION("""COMPUTED_VALUE"""),"cas_hmw")</f>
        <v>cas_hmw</v>
      </c>
      <c r="B23010" s="5">
        <f>IFERROR(__xludf.DUMMYFUNCTION("""COMPUTED_VALUE"""),44791.0)</f>
        <v>44791</v>
      </c>
      <c r="C23010" s="6">
        <f>IFERROR(__xludf.DUMMYFUNCTION("""COMPUTED_VALUE"""),0.3542939814797137)</f>
        <v>0.3542939815</v>
      </c>
      <c r="D23010" s="4">
        <f>IFERROR(__xludf.DUMMYFUNCTION("""COMPUTED_VALUE"""),12.907393)</f>
        <v>12.907393</v>
      </c>
      <c r="E23010" s="4">
        <f>IFERROR(__xludf.DUMMYFUNCTION("""COMPUTED_VALUE"""),80.097273)</f>
        <v>80.097273</v>
      </c>
      <c r="F23010" s="4">
        <f>IFERROR(__xludf.DUMMYFUNCTION("""COMPUTED_VALUE"""),3143.0)</f>
        <v>3143</v>
      </c>
      <c r="G23010" s="4">
        <f>IFERROR(__xludf.DUMMYFUNCTION("""COMPUTED_VALUE"""),48.0)</f>
        <v>48</v>
      </c>
      <c r="H23010" s="4"/>
      <c r="I23010" s="4"/>
    </row>
    <row r="23011">
      <c r="A23011" s="4" t="str">
        <f>IFERROR(__xludf.DUMMYFUNCTION("""COMPUTED_VALUE"""),"cas_hmw")</f>
        <v>cas_hmw</v>
      </c>
      <c r="B23011" s="5">
        <f>IFERROR(__xludf.DUMMYFUNCTION("""COMPUTED_VALUE"""),44791.0)</f>
        <v>44791</v>
      </c>
      <c r="C23011" s="6">
        <f>IFERROR(__xludf.DUMMYFUNCTION("""COMPUTED_VALUE"""),0.690219907406572)</f>
        <v>0.6902199074</v>
      </c>
      <c r="D23011" s="4">
        <f>IFERROR(__xludf.DUMMYFUNCTION("""COMPUTED_VALUE"""),12.882047)</f>
        <v>12.882047</v>
      </c>
      <c r="E23011" s="4">
        <f>IFERROR(__xludf.DUMMYFUNCTION("""COMPUTED_VALUE"""),80.080967)</f>
        <v>80.080967</v>
      </c>
      <c r="F23011" s="4">
        <f>IFERROR(__xludf.DUMMYFUNCTION("""COMPUTED_VALUE"""),5339.0)</f>
        <v>5339</v>
      </c>
      <c r="G23011" s="4">
        <f>IFERROR(__xludf.DUMMYFUNCTION("""COMPUTED_VALUE"""),42.0)</f>
        <v>42</v>
      </c>
      <c r="H23011" s="4"/>
      <c r="I23011" s="4"/>
    </row>
    <row r="23012">
      <c r="A23012" s="4" t="str">
        <f>IFERROR(__xludf.DUMMYFUNCTION("""COMPUTED_VALUE"""),"cas_hmw")</f>
        <v>cas_hmw</v>
      </c>
      <c r="B23012" s="5">
        <f>IFERROR(__xludf.DUMMYFUNCTION("""COMPUTED_VALUE"""),44791.0)</f>
        <v>44791</v>
      </c>
      <c r="C23012" s="6">
        <f>IFERROR(__xludf.DUMMYFUNCTION("""COMPUTED_VALUE"""),0.6904166666681704)</f>
        <v>0.6904166667</v>
      </c>
      <c r="D23012" s="4">
        <f>IFERROR(__xludf.DUMMYFUNCTION("""COMPUTED_VALUE"""),12.883035)</f>
        <v>12.883035</v>
      </c>
      <c r="E23012" s="4">
        <f>IFERROR(__xludf.DUMMYFUNCTION("""COMPUTED_VALUE"""),80.081376)</f>
        <v>80.081376</v>
      </c>
      <c r="F23012" s="4">
        <f>IFERROR(__xludf.DUMMYFUNCTION("""COMPUTED_VALUE"""),5339.0)</f>
        <v>5339</v>
      </c>
      <c r="G23012" s="4">
        <f>IFERROR(__xludf.DUMMYFUNCTION("""COMPUTED_VALUE"""),42.0)</f>
        <v>42</v>
      </c>
      <c r="H23012" s="4"/>
      <c r="I23012" s="4"/>
    </row>
    <row r="23013">
      <c r="A23013" s="4" t="str">
        <f>IFERROR(__xludf.DUMMYFUNCTION("""COMPUTED_VALUE"""),"cas_hmw")</f>
        <v>cas_hmw</v>
      </c>
      <c r="B23013" s="5">
        <f>IFERROR(__xludf.DUMMYFUNCTION("""COMPUTED_VALUE"""),44791.0)</f>
        <v>44791</v>
      </c>
      <c r="C23013" s="6">
        <f>IFERROR(__xludf.DUMMYFUNCTION("""COMPUTED_VALUE"""),0.6908449074071541)</f>
        <v>0.6908449074</v>
      </c>
      <c r="D23013" s="4">
        <f>IFERROR(__xludf.DUMMYFUNCTION("""COMPUTED_VALUE"""),12.886802)</f>
        <v>12.886802</v>
      </c>
      <c r="E23013" s="4">
        <f>IFERROR(__xludf.DUMMYFUNCTION("""COMPUTED_VALUE"""),80.083181)</f>
        <v>80.083181</v>
      </c>
      <c r="F23013" s="4">
        <f>IFERROR(__xludf.DUMMYFUNCTION("""COMPUTED_VALUE"""),5339.0)</f>
        <v>5339</v>
      </c>
      <c r="G23013" s="4">
        <f>IFERROR(__xludf.DUMMYFUNCTION("""COMPUTED_VALUE"""),41.0)</f>
        <v>41</v>
      </c>
      <c r="H23013" s="4"/>
      <c r="I23013" s="4"/>
    </row>
    <row r="23014">
      <c r="A23014" s="4" t="str">
        <f>IFERROR(__xludf.DUMMYFUNCTION("""COMPUTED_VALUE"""),"cas_hmw")</f>
        <v>cas_hmw</v>
      </c>
      <c r="B23014" s="5">
        <f>IFERROR(__xludf.DUMMYFUNCTION("""COMPUTED_VALUE"""),44791.0)</f>
        <v>44791</v>
      </c>
      <c r="C23014" s="6">
        <f>IFERROR(__xludf.DUMMYFUNCTION("""COMPUTED_VALUE"""),0.6909606481494848)</f>
        <v>0.6909606481</v>
      </c>
      <c r="D23014" s="4">
        <f>IFERROR(__xludf.DUMMYFUNCTION("""COMPUTED_VALUE"""),12.88772)</f>
        <v>12.88772</v>
      </c>
      <c r="E23014" s="4">
        <f>IFERROR(__xludf.DUMMYFUNCTION("""COMPUTED_VALUE"""),80.083567)</f>
        <v>80.083567</v>
      </c>
      <c r="F23014" s="4">
        <f>IFERROR(__xludf.DUMMYFUNCTION("""COMPUTED_VALUE"""),5339.0)</f>
        <v>5339</v>
      </c>
      <c r="G23014" s="4">
        <f>IFERROR(__xludf.DUMMYFUNCTION("""COMPUTED_VALUE"""),39.0)</f>
        <v>39</v>
      </c>
      <c r="H23014" s="4"/>
      <c r="I23014" s="4"/>
    </row>
    <row r="23015">
      <c r="A23015" s="4" t="str">
        <f>IFERROR(__xludf.DUMMYFUNCTION("""COMPUTED_VALUE"""),"cas_hmw")</f>
        <v>cas_hmw</v>
      </c>
      <c r="B23015" s="5">
        <f>IFERROR(__xludf.DUMMYFUNCTION("""COMPUTED_VALUE"""),44791.0)</f>
        <v>44791</v>
      </c>
      <c r="C23015" s="6">
        <f>IFERROR(__xludf.DUMMYFUNCTION("""COMPUTED_VALUE"""),0.6912499999998545)</f>
        <v>0.69125</v>
      </c>
      <c r="D23015" s="4">
        <f>IFERROR(__xludf.DUMMYFUNCTION("""COMPUTED_VALUE"""),12.88955)</f>
        <v>12.88955</v>
      </c>
      <c r="E23015" s="4">
        <f>IFERROR(__xludf.DUMMYFUNCTION("""COMPUTED_VALUE"""),80.084289)</f>
        <v>80.084289</v>
      </c>
      <c r="F23015" s="4">
        <f>IFERROR(__xludf.DUMMYFUNCTION("""COMPUTED_VALUE"""),5339.0)</f>
        <v>5339</v>
      </c>
      <c r="G23015" s="4">
        <f>IFERROR(__xludf.DUMMYFUNCTION("""COMPUTED_VALUE"""),45.0)</f>
        <v>45</v>
      </c>
      <c r="H23015" s="4"/>
      <c r="I23015" s="4"/>
    </row>
    <row r="23016">
      <c r="A23016" s="4" t="str">
        <f>IFERROR(__xludf.DUMMYFUNCTION("""COMPUTED_VALUE"""),"cas_hmw")</f>
        <v>cas_hmw</v>
      </c>
      <c r="B23016" s="5">
        <f>IFERROR(__xludf.DUMMYFUNCTION("""COMPUTED_VALUE"""),44791.0)</f>
        <v>44791</v>
      </c>
      <c r="C23016" s="6">
        <f>IFERROR(__xludf.DUMMYFUNCTION("""COMPUTED_VALUE"""),0.6913425925922638)</f>
        <v>0.6913425926</v>
      </c>
      <c r="D23016" s="4">
        <f>IFERROR(__xludf.DUMMYFUNCTION("""COMPUTED_VALUE"""),12.864084)</f>
        <v>12.864084</v>
      </c>
      <c r="E23016" s="4">
        <f>IFERROR(__xludf.DUMMYFUNCTION("""COMPUTED_VALUE"""),80.074394)</f>
        <v>80.074394</v>
      </c>
      <c r="F23016" s="4">
        <f>IFERROR(__xludf.DUMMYFUNCTION("""COMPUTED_VALUE"""),2846.0)</f>
        <v>2846</v>
      </c>
      <c r="G23016" s="4">
        <f>IFERROR(__xludf.DUMMYFUNCTION("""COMPUTED_VALUE"""),33.0)</f>
        <v>33</v>
      </c>
      <c r="H23016" s="4"/>
      <c r="I23016" s="4"/>
    </row>
    <row r="23017">
      <c r="A23017" s="4" t="str">
        <f>IFERROR(__xludf.DUMMYFUNCTION("""COMPUTED_VALUE"""),"cas_hmw")</f>
        <v>cas_hmw</v>
      </c>
      <c r="B23017" s="5">
        <f>IFERROR(__xludf.DUMMYFUNCTION("""COMPUTED_VALUE"""),44791.0)</f>
        <v>44791</v>
      </c>
      <c r="C23017" s="6">
        <f>IFERROR(__xludf.DUMMYFUNCTION("""COMPUTED_VALUE"""),0.6914351851846732)</f>
        <v>0.6914351852</v>
      </c>
      <c r="D23017" s="4">
        <f>IFERROR(__xludf.DUMMYFUNCTION("""COMPUTED_VALUE"""),12.864084)</f>
        <v>12.864084</v>
      </c>
      <c r="E23017" s="4">
        <f>IFERROR(__xludf.DUMMYFUNCTION("""COMPUTED_VALUE"""),80.074394)</f>
        <v>80.074394</v>
      </c>
      <c r="F23017" s="4">
        <f>IFERROR(__xludf.DUMMYFUNCTION("""COMPUTED_VALUE"""),2846.0)</f>
        <v>2846</v>
      </c>
      <c r="G23017" s="4">
        <f>IFERROR(__xludf.DUMMYFUNCTION("""COMPUTED_VALUE"""),33.0)</f>
        <v>33</v>
      </c>
      <c r="H23017" s="4"/>
      <c r="I23017" s="4"/>
    </row>
    <row r="23018">
      <c r="A23018" s="4" t="str">
        <f>IFERROR(__xludf.DUMMYFUNCTION("""COMPUTED_VALUE"""),"cas_hmw")</f>
        <v>cas_hmw</v>
      </c>
      <c r="B23018" s="5">
        <f>IFERROR(__xludf.DUMMYFUNCTION("""COMPUTED_VALUE"""),44791.0)</f>
        <v>44791</v>
      </c>
      <c r="C23018" s="6">
        <f>IFERROR(__xludf.DUMMYFUNCTION("""COMPUTED_VALUE"""),0.6916898148156179)</f>
        <v>0.6916898148</v>
      </c>
      <c r="D23018" s="4">
        <f>IFERROR(__xludf.DUMMYFUNCTION("""COMPUTED_VALUE"""),12.894444)</f>
        <v>12.894444</v>
      </c>
      <c r="E23018" s="4">
        <f>IFERROR(__xludf.DUMMYFUNCTION("""COMPUTED_VALUE"""),80.0872)</f>
        <v>80.0872</v>
      </c>
      <c r="F23018" s="4">
        <f>IFERROR(__xludf.DUMMYFUNCTION("""COMPUTED_VALUE"""),5339.0)</f>
        <v>5339</v>
      </c>
      <c r="G23018" s="4">
        <f>IFERROR(__xludf.DUMMYFUNCTION("""COMPUTED_VALUE"""),54.0)</f>
        <v>54</v>
      </c>
      <c r="H23018" s="4"/>
      <c r="I23018" s="4"/>
    </row>
    <row r="23019">
      <c r="A23019" s="4" t="str">
        <f>IFERROR(__xludf.DUMMYFUNCTION("""COMPUTED_VALUE"""),"cas_hmw")</f>
        <v>cas_hmw</v>
      </c>
      <c r="B23019" s="5">
        <f>IFERROR(__xludf.DUMMYFUNCTION("""COMPUTED_VALUE"""),44791.0)</f>
        <v>44791</v>
      </c>
      <c r="C23019" s="6">
        <f>IFERROR(__xludf.DUMMYFUNCTION("""COMPUTED_VALUE"""),0.6922222222237906)</f>
        <v>0.6922222222</v>
      </c>
      <c r="D23019" s="4">
        <f>IFERROR(__xludf.DUMMYFUNCTION("""COMPUTED_VALUE"""),12.859442)</f>
        <v>12.859442</v>
      </c>
      <c r="E23019" s="4">
        <f>IFERROR(__xludf.DUMMYFUNCTION("""COMPUTED_VALUE"""),80.071969)</f>
        <v>80.071969</v>
      </c>
      <c r="F23019" s="4">
        <f>IFERROR(__xludf.DUMMYFUNCTION("""COMPUTED_VALUE"""),2846.0)</f>
        <v>2846</v>
      </c>
      <c r="G23019" s="4">
        <f>IFERROR(__xludf.DUMMYFUNCTION("""COMPUTED_VALUE"""),35.0)</f>
        <v>35</v>
      </c>
      <c r="H23019" s="4"/>
      <c r="I23019" s="4"/>
    </row>
    <row r="23020">
      <c r="A23020" s="4" t="str">
        <f>IFERROR(__xludf.DUMMYFUNCTION("""COMPUTED_VALUE"""),"cas_hmw")</f>
        <v>cas_hmw</v>
      </c>
      <c r="B23020" s="5">
        <f>IFERROR(__xludf.DUMMYFUNCTION("""COMPUTED_VALUE"""),44791.0)</f>
        <v>44791</v>
      </c>
      <c r="C23020" s="6">
        <f>IFERROR(__xludf.DUMMYFUNCTION("""COMPUTED_VALUE"""),0.6927083333321207)</f>
        <v>0.6927083333</v>
      </c>
      <c r="D23020" s="4">
        <f>IFERROR(__xludf.DUMMYFUNCTION("""COMPUTED_VALUE"""),12.901431)</f>
        <v>12.901431</v>
      </c>
      <c r="E23020" s="4">
        <f>IFERROR(__xludf.DUMMYFUNCTION("""COMPUTED_VALUE"""),80.092438)</f>
        <v>80.092438</v>
      </c>
      <c r="F23020" s="4">
        <f>IFERROR(__xludf.DUMMYFUNCTION("""COMPUTED_VALUE"""),3143.0)</f>
        <v>3143</v>
      </c>
      <c r="G23020" s="4">
        <f>IFERROR(__xludf.DUMMYFUNCTION("""COMPUTED_VALUE"""),58.0)</f>
        <v>58</v>
      </c>
      <c r="H23020" s="4"/>
      <c r="I23020" s="4"/>
    </row>
    <row r="23021">
      <c r="A23021" s="4" t="str">
        <f>IFERROR(__xludf.DUMMYFUNCTION("""COMPUTED_VALUE"""),"cas_hmw")</f>
        <v>cas_hmw</v>
      </c>
      <c r="B23021" s="5">
        <f>IFERROR(__xludf.DUMMYFUNCTION("""COMPUTED_VALUE"""),44791.0)</f>
        <v>44791</v>
      </c>
      <c r="C23021" s="6">
        <f>IFERROR(__xludf.DUMMYFUNCTION("""COMPUTED_VALUE"""),0.69280092592453)</f>
        <v>0.6928009259</v>
      </c>
      <c r="D23021" s="4">
        <f>IFERROR(__xludf.DUMMYFUNCTION("""COMPUTED_VALUE"""),12.902536)</f>
        <v>12.902536</v>
      </c>
      <c r="E23021" s="4">
        <f>IFERROR(__xludf.DUMMYFUNCTION("""COMPUTED_VALUE"""),80.09325)</f>
        <v>80.09325</v>
      </c>
      <c r="F23021" s="4">
        <f>IFERROR(__xludf.DUMMYFUNCTION("""COMPUTED_VALUE"""),3143.0)</f>
        <v>3143</v>
      </c>
      <c r="G23021" s="4">
        <f>IFERROR(__xludf.DUMMYFUNCTION("""COMPUTED_VALUE"""),49.0)</f>
        <v>49</v>
      </c>
      <c r="H23021" s="4"/>
      <c r="I23021" s="4"/>
    </row>
    <row r="23022">
      <c r="A23022" s="4" t="str">
        <f>IFERROR(__xludf.DUMMYFUNCTION("""COMPUTED_VALUE"""),"cas_hmw")</f>
        <v>cas_hmw</v>
      </c>
      <c r="B23022" s="5">
        <f>IFERROR(__xludf.DUMMYFUNCTION("""COMPUTED_VALUE"""),44791.0)</f>
        <v>44791</v>
      </c>
      <c r="C23022" s="6">
        <f>IFERROR(__xludf.DUMMYFUNCTION("""COMPUTED_VALUE"""),0.69300925925927)</f>
        <v>0.6930092593</v>
      </c>
      <c r="D23022" s="4">
        <f>IFERROR(__xludf.DUMMYFUNCTION("""COMPUTED_VALUE"""),12.852)</f>
        <v>12.852</v>
      </c>
      <c r="E23022" s="4">
        <f>IFERROR(__xludf.DUMMYFUNCTION("""COMPUTED_VALUE"""),80.066328)</f>
        <v>80.066328</v>
      </c>
      <c r="F23022" s="4">
        <f>IFERROR(__xludf.DUMMYFUNCTION("""COMPUTED_VALUE"""),2846.0)</f>
        <v>2846</v>
      </c>
      <c r="G23022" s="4">
        <f>IFERROR(__xludf.DUMMYFUNCTION("""COMPUTED_VALUE"""),58.0)</f>
        <v>58</v>
      </c>
      <c r="H23022" s="4"/>
      <c r="I23022" s="4"/>
    </row>
    <row r="23023">
      <c r="A23023" s="4" t="str">
        <f>IFERROR(__xludf.DUMMYFUNCTION("""COMPUTED_VALUE"""),"cas_hmw")</f>
        <v>cas_hmw</v>
      </c>
      <c r="B23023" s="5">
        <f>IFERROR(__xludf.DUMMYFUNCTION("""COMPUTED_VALUE"""),44791.0)</f>
        <v>44791</v>
      </c>
      <c r="C23023" s="6">
        <f>IFERROR(__xludf.DUMMYFUNCTION("""COMPUTED_VALUE"""),0.6932638888902147)</f>
        <v>0.6932638889</v>
      </c>
      <c r="D23023" s="4">
        <f>IFERROR(__xludf.DUMMYFUNCTION("""COMPUTED_VALUE"""),12.906432)</f>
        <v>12.906432</v>
      </c>
      <c r="E23023" s="4">
        <f>IFERROR(__xludf.DUMMYFUNCTION("""COMPUTED_VALUE"""),80.096136)</f>
        <v>80.096136</v>
      </c>
      <c r="F23023" s="4">
        <f>IFERROR(__xludf.DUMMYFUNCTION("""COMPUTED_VALUE"""),3143.0)</f>
        <v>3143</v>
      </c>
      <c r="G23023" s="4">
        <f>IFERROR(__xludf.DUMMYFUNCTION("""COMPUTED_VALUE"""),54.0)</f>
        <v>54</v>
      </c>
      <c r="H23023" s="4"/>
      <c r="I23023" s="4"/>
    </row>
    <row r="23024">
      <c r="A23024" s="4" t="str">
        <f>IFERROR(__xludf.DUMMYFUNCTION("""COMPUTED_VALUE"""),"cas_hmw")</f>
        <v>cas_hmw</v>
      </c>
      <c r="B23024" s="5">
        <f>IFERROR(__xludf.DUMMYFUNCTION("""COMPUTED_VALUE"""),44791.0)</f>
        <v>44791</v>
      </c>
      <c r="C23024" s="6">
        <f>IFERROR(__xludf.DUMMYFUNCTION("""COMPUTED_VALUE"""),0.6938657407408755)</f>
        <v>0.6938657407</v>
      </c>
      <c r="D23024" s="4">
        <f>IFERROR(__xludf.DUMMYFUNCTION("""COMPUTED_VALUE"""),12.909683)</f>
        <v>12.909683</v>
      </c>
      <c r="E23024" s="4">
        <f>IFERROR(__xludf.DUMMYFUNCTION("""COMPUTED_VALUE"""),80.099541)</f>
        <v>80.099541</v>
      </c>
      <c r="F23024" s="4">
        <f>IFERROR(__xludf.DUMMYFUNCTION("""COMPUTED_VALUE"""),5339.0)</f>
        <v>5339</v>
      </c>
      <c r="G23024" s="4">
        <f>IFERROR(__xludf.DUMMYFUNCTION("""COMPUTED_VALUE"""),33.0)</f>
        <v>33</v>
      </c>
      <c r="H23024" s="4"/>
      <c r="I23024" s="4"/>
    </row>
    <row r="23025">
      <c r="A23025" s="4" t="str">
        <f>IFERROR(__xludf.DUMMYFUNCTION("""COMPUTED_VALUE"""),"cas_hmw")</f>
        <v>cas_hmw</v>
      </c>
      <c r="B23025" s="5">
        <f>IFERROR(__xludf.DUMMYFUNCTION("""COMPUTED_VALUE"""),44791.0)</f>
        <v>44791</v>
      </c>
      <c r="C23025" s="6">
        <f>IFERROR(__xludf.DUMMYFUNCTION("""COMPUTED_VALUE"""),0.6940740740756155)</f>
        <v>0.6940740741</v>
      </c>
      <c r="D23025" s="4">
        <f>IFERROR(__xludf.DUMMYFUNCTION("""COMPUTED_VALUE"""),12.846089)</f>
        <v>12.846089</v>
      </c>
      <c r="E23025" s="4">
        <f>IFERROR(__xludf.DUMMYFUNCTION("""COMPUTED_VALUE"""),80.062057)</f>
        <v>80.062057</v>
      </c>
      <c r="F23025" s="4">
        <f>IFERROR(__xludf.DUMMYFUNCTION("""COMPUTED_VALUE"""),2846.0)</f>
        <v>2846</v>
      </c>
      <c r="G23025" s="4">
        <f>IFERROR(__xludf.DUMMYFUNCTION("""COMPUTED_VALUE"""),20.0)</f>
        <v>20</v>
      </c>
      <c r="H23025" s="4"/>
      <c r="I23025" s="4"/>
    </row>
    <row r="23026">
      <c r="A23026" s="4" t="str">
        <f>IFERROR(__xludf.DUMMYFUNCTION("""COMPUTED_VALUE"""),"cas_hmw")</f>
        <v>cas_hmw</v>
      </c>
      <c r="B23026" s="5">
        <f>IFERROR(__xludf.DUMMYFUNCTION("""COMPUTED_VALUE"""),44791.0)</f>
        <v>44791</v>
      </c>
      <c r="C23026" s="6">
        <f>IFERROR(__xludf.DUMMYFUNCTION("""COMPUTED_VALUE"""),0.6940972222218988)</f>
        <v>0.6940972222</v>
      </c>
      <c r="D23026" s="4">
        <f>IFERROR(__xludf.DUMMYFUNCTION("""COMPUTED_VALUE"""),12.910581)</f>
        <v>12.910581</v>
      </c>
      <c r="E23026" s="4">
        <f>IFERROR(__xludf.DUMMYFUNCTION("""COMPUTED_VALUE"""),80.10083)</f>
        <v>80.10083</v>
      </c>
      <c r="F23026" s="4">
        <f>IFERROR(__xludf.DUMMYFUNCTION("""COMPUTED_VALUE"""),5339.0)</f>
        <v>5339</v>
      </c>
      <c r="G23026" s="4">
        <f>IFERROR(__xludf.DUMMYFUNCTION("""COMPUTED_VALUE"""),33.0)</f>
        <v>33</v>
      </c>
      <c r="H23026" s="4"/>
      <c r="I23026" s="4"/>
    </row>
    <row r="23027">
      <c r="A23027" s="4" t="str">
        <f>IFERROR(__xludf.DUMMYFUNCTION("""COMPUTED_VALUE"""),"cas_hmw")</f>
        <v>cas_hmw</v>
      </c>
      <c r="B23027" s="5">
        <f>IFERROR(__xludf.DUMMYFUNCTION("""COMPUTED_VALUE"""),44791.0)</f>
        <v>44791</v>
      </c>
      <c r="C23027" s="6">
        <f>IFERROR(__xludf.DUMMYFUNCTION("""COMPUTED_VALUE"""),0.6940972222218988)</f>
        <v>0.6940972222</v>
      </c>
      <c r="D23027" s="4">
        <f>IFERROR(__xludf.DUMMYFUNCTION("""COMPUTED_VALUE"""),12.910581)</f>
        <v>12.910581</v>
      </c>
      <c r="E23027" s="4">
        <f>IFERROR(__xludf.DUMMYFUNCTION("""COMPUTED_VALUE"""),80.10083)</f>
        <v>80.10083</v>
      </c>
      <c r="F23027" s="4">
        <f>IFERROR(__xludf.DUMMYFUNCTION("""COMPUTED_VALUE"""),5339.0)</f>
        <v>5339</v>
      </c>
      <c r="G23027" s="4">
        <f>IFERROR(__xludf.DUMMYFUNCTION("""COMPUTED_VALUE"""),33.0)</f>
        <v>33</v>
      </c>
      <c r="H23027" s="4"/>
      <c r="I23027" s="4"/>
    </row>
    <row r="23028">
      <c r="A23028" s="4" t="str">
        <f>IFERROR(__xludf.DUMMYFUNCTION("""COMPUTED_VALUE"""),"cas_hmw")</f>
        <v>cas_hmw</v>
      </c>
      <c r="B23028" s="5">
        <f>IFERROR(__xludf.DUMMYFUNCTION("""COMPUTED_VALUE"""),44791.0)</f>
        <v>44791</v>
      </c>
      <c r="C23028" s="6">
        <f>IFERROR(__xludf.DUMMYFUNCTION("""COMPUTED_VALUE"""),0.6943055555566389)</f>
        <v>0.6943055556</v>
      </c>
      <c r="D23028" s="4">
        <f>IFERROR(__xludf.DUMMYFUNCTION("""COMPUTED_VALUE"""),12.908399)</f>
        <v>12.908399</v>
      </c>
      <c r="E23028" s="4">
        <f>IFERROR(__xludf.DUMMYFUNCTION("""COMPUTED_VALUE"""),80.097663)</f>
        <v>80.097663</v>
      </c>
      <c r="F23028" s="4">
        <f>IFERROR(__xludf.DUMMYFUNCTION("""COMPUTED_VALUE"""),3143.0)</f>
        <v>3143</v>
      </c>
      <c r="G23028" s="4">
        <f>IFERROR(__xludf.DUMMYFUNCTION("""COMPUTED_VALUE"""),0.0)</f>
        <v>0</v>
      </c>
      <c r="H23028" s="4"/>
      <c r="I23028" s="4"/>
    </row>
    <row r="23029">
      <c r="A23029" s="4" t="str">
        <f>IFERROR(__xludf.DUMMYFUNCTION("""COMPUTED_VALUE"""),"cas_hmw")</f>
        <v>cas_hmw</v>
      </c>
      <c r="B23029" s="5">
        <f>IFERROR(__xludf.DUMMYFUNCTION("""COMPUTED_VALUE"""),44791.0)</f>
        <v>44791</v>
      </c>
      <c r="C23029" s="6">
        <f>IFERROR(__xludf.DUMMYFUNCTION("""COMPUTED_VALUE"""),0.6945949074070086)</f>
        <v>0.6945949074</v>
      </c>
      <c r="D23029" s="4">
        <f>IFERROR(__xludf.DUMMYFUNCTION("""COMPUTED_VALUE"""),12.912778)</f>
        <v>12.912778</v>
      </c>
      <c r="E23029" s="4">
        <f>IFERROR(__xludf.DUMMYFUNCTION("""COMPUTED_VALUE"""),80.10143)</f>
        <v>80.10143</v>
      </c>
      <c r="F23029" s="4">
        <f>IFERROR(__xludf.DUMMYFUNCTION("""COMPUTED_VALUE"""),5339.0)</f>
        <v>5339</v>
      </c>
      <c r="G23029" s="4">
        <f>IFERROR(__xludf.DUMMYFUNCTION("""COMPUTED_VALUE"""),41.0)</f>
        <v>41</v>
      </c>
      <c r="H23029" s="4"/>
      <c r="I23029" s="4"/>
    </row>
    <row r="23030">
      <c r="A23030" s="4" t="str">
        <f>IFERROR(__xludf.DUMMYFUNCTION("""COMPUTED_VALUE"""),"cas_hmw")</f>
        <v>cas_hmw</v>
      </c>
      <c r="B23030" s="5">
        <f>IFERROR(__xludf.DUMMYFUNCTION("""COMPUTED_VALUE"""),44791.0)</f>
        <v>44791</v>
      </c>
      <c r="C23030" s="6">
        <f>IFERROR(__xludf.DUMMYFUNCTION("""COMPUTED_VALUE"""),0.6946759259262762)</f>
        <v>0.6946759259</v>
      </c>
      <c r="D23030" s="4">
        <f>IFERROR(__xludf.DUMMYFUNCTION("""COMPUTED_VALUE"""),12.915252)</f>
        <v>12.915252</v>
      </c>
      <c r="E23030" s="4">
        <f>IFERROR(__xludf.DUMMYFUNCTION("""COMPUTED_VALUE"""),80.102324)</f>
        <v>80.102324</v>
      </c>
      <c r="F23030" s="4">
        <f>IFERROR(__xludf.DUMMYFUNCTION("""COMPUTED_VALUE"""),3143.0)</f>
        <v>3143</v>
      </c>
      <c r="G23030" s="4">
        <f>IFERROR(__xludf.DUMMYFUNCTION("""COMPUTED_VALUE"""),55.0)</f>
        <v>55</v>
      </c>
      <c r="H23030" s="4"/>
      <c r="I23030" s="4"/>
    </row>
    <row r="23031">
      <c r="A23031" s="4" t="str">
        <f>IFERROR(__xludf.DUMMYFUNCTION("""COMPUTED_VALUE"""),"cas_hmw")</f>
        <v>cas_hmw</v>
      </c>
      <c r="B23031" s="5">
        <f>IFERROR(__xludf.DUMMYFUNCTION("""COMPUTED_VALUE"""),44791.0)</f>
        <v>44791</v>
      </c>
      <c r="C23031" s="6">
        <f>IFERROR(__xludf.DUMMYFUNCTION("""COMPUTED_VALUE"""),0.6948611111110949)</f>
        <v>0.6948611111</v>
      </c>
      <c r="D23031" s="4">
        <f>IFERROR(__xludf.DUMMYFUNCTION("""COMPUTED_VALUE"""),12.915665)</f>
        <v>12.915665</v>
      </c>
      <c r="E23031" s="4">
        <f>IFERROR(__xludf.DUMMYFUNCTION("""COMPUTED_VALUE"""),80.103289)</f>
        <v>80.103289</v>
      </c>
      <c r="F23031" s="4">
        <f>IFERROR(__xludf.DUMMYFUNCTION("""COMPUTED_VALUE"""),5339.0)</f>
        <v>5339</v>
      </c>
      <c r="G23031" s="4">
        <f>IFERROR(__xludf.DUMMYFUNCTION("""COMPUTED_VALUE"""),48.0)</f>
        <v>48</v>
      </c>
      <c r="H23031" s="4"/>
      <c r="I23031" s="4"/>
    </row>
    <row r="23032">
      <c r="A23032" s="4" t="str">
        <f>IFERROR(__xludf.DUMMYFUNCTION("""COMPUTED_VALUE"""),"cas_hmw")</f>
        <v>cas_hmw</v>
      </c>
      <c r="B23032" s="5">
        <f>IFERROR(__xludf.DUMMYFUNCTION("""COMPUTED_VALUE"""),44791.0)</f>
        <v>44791</v>
      </c>
      <c r="C23032" s="6">
        <f>IFERROR(__xludf.DUMMYFUNCTION("""COMPUTED_VALUE"""),0.6953240740731417)</f>
        <v>0.6953240741</v>
      </c>
      <c r="D23032" s="4">
        <f>IFERROR(__xludf.DUMMYFUNCTION("""COMPUTED_VALUE"""),12.918699)</f>
        <v>12.918699</v>
      </c>
      <c r="E23032" s="4">
        <f>IFERROR(__xludf.DUMMYFUNCTION("""COMPUTED_VALUE"""),80.10939)</f>
        <v>80.10939</v>
      </c>
      <c r="F23032" s="4">
        <f>IFERROR(__xludf.DUMMYFUNCTION("""COMPUTED_VALUE"""),3143.0)</f>
        <v>3143</v>
      </c>
      <c r="G23032" s="4">
        <f>IFERROR(__xludf.DUMMYFUNCTION("""COMPUTED_VALUE"""),50.0)</f>
        <v>50</v>
      </c>
      <c r="H23032" s="4"/>
      <c r="I23032" s="4"/>
    </row>
    <row r="23033">
      <c r="A23033" s="4" t="str">
        <f>IFERROR(__xludf.DUMMYFUNCTION("""COMPUTED_VALUE"""),"cas_hmw")</f>
        <v>cas_hmw</v>
      </c>
      <c r="B23033" s="5">
        <f>IFERROR(__xludf.DUMMYFUNCTION("""COMPUTED_VALUE"""),44791.0)</f>
        <v>44791</v>
      </c>
      <c r="C23033" s="6">
        <f>IFERROR(__xludf.DUMMYFUNCTION("""COMPUTED_VALUE"""),0.6954745370385353)</f>
        <v>0.695474537</v>
      </c>
      <c r="D23033" s="4">
        <f>IFERROR(__xludf.DUMMYFUNCTION("""COMPUTED_VALUE"""),12.840283)</f>
        <v>12.840283</v>
      </c>
      <c r="E23033" s="4">
        <f>IFERROR(__xludf.DUMMYFUNCTION("""COMPUTED_VALUE"""),80.05603)</f>
        <v>80.05603</v>
      </c>
      <c r="F23033" s="4">
        <f>IFERROR(__xludf.DUMMYFUNCTION("""COMPUTED_VALUE"""),2846.0)</f>
        <v>2846</v>
      </c>
      <c r="G23033" s="4">
        <f>IFERROR(__xludf.DUMMYFUNCTION("""COMPUTED_VALUE"""),34.0)</f>
        <v>34</v>
      </c>
      <c r="H23033" s="4"/>
      <c r="I23033" s="4"/>
    </row>
    <row r="23034">
      <c r="A23034" s="4" t="str">
        <f>IFERROR(__xludf.DUMMYFUNCTION("""COMPUTED_VALUE"""),"cas_hmw")</f>
        <v>cas_hmw</v>
      </c>
      <c r="B23034" s="5">
        <f>IFERROR(__xludf.DUMMYFUNCTION("""COMPUTED_VALUE"""),44791.0)</f>
        <v>44791</v>
      </c>
      <c r="C23034" s="6">
        <f>IFERROR(__xludf.DUMMYFUNCTION("""COMPUTED_VALUE"""),0.6955439814810234)</f>
        <v>0.6955439815</v>
      </c>
      <c r="D23034" s="4">
        <f>IFERROR(__xludf.DUMMYFUNCTION("""COMPUTED_VALUE"""),12.840283)</f>
        <v>12.840283</v>
      </c>
      <c r="E23034" s="4">
        <f>IFERROR(__xludf.DUMMYFUNCTION("""COMPUTED_VALUE"""),80.05603)</f>
        <v>80.05603</v>
      </c>
      <c r="F23034" s="4">
        <f>IFERROR(__xludf.DUMMYFUNCTION("""COMPUTED_VALUE"""),2846.0)</f>
        <v>2846</v>
      </c>
      <c r="G23034" s="4">
        <f>IFERROR(__xludf.DUMMYFUNCTION("""COMPUTED_VALUE"""),34.0)</f>
        <v>34</v>
      </c>
      <c r="H23034" s="4"/>
      <c r="I23034" s="4"/>
    </row>
    <row r="23035">
      <c r="A23035" s="4" t="str">
        <f>IFERROR(__xludf.DUMMYFUNCTION("""COMPUTED_VALUE"""),"cas_hmw")</f>
        <v>cas_hmw</v>
      </c>
      <c r="B23035" s="5">
        <f>IFERROR(__xludf.DUMMYFUNCTION("""COMPUTED_VALUE"""),44791.0)</f>
        <v>44791</v>
      </c>
      <c r="C23035" s="6">
        <f>IFERROR(__xludf.DUMMYFUNCTION("""COMPUTED_VALUE"""),0.6956018518503697)</f>
        <v>0.6956018519</v>
      </c>
      <c r="D23035" s="4">
        <f>IFERROR(__xludf.DUMMYFUNCTION("""COMPUTED_VALUE"""),12.92032)</f>
        <v>12.92032</v>
      </c>
      <c r="E23035" s="4">
        <f>IFERROR(__xludf.DUMMYFUNCTION("""COMPUTED_VALUE"""),80.111279)</f>
        <v>80.111279</v>
      </c>
      <c r="F23035" s="4">
        <f>IFERROR(__xludf.DUMMYFUNCTION("""COMPUTED_VALUE"""),3143.0)</f>
        <v>3143</v>
      </c>
      <c r="G23035" s="4">
        <f>IFERROR(__xludf.DUMMYFUNCTION("""COMPUTED_VALUE"""),49.0)</f>
        <v>49</v>
      </c>
      <c r="H23035" s="4"/>
      <c r="I23035" s="4"/>
    </row>
    <row r="23036">
      <c r="A23036" s="4" t="str">
        <f>IFERROR(__xludf.DUMMYFUNCTION("""COMPUTED_VALUE"""),"cas_hmw")</f>
        <v>cas_hmw</v>
      </c>
      <c r="B23036" s="5">
        <f>IFERROR(__xludf.DUMMYFUNCTION("""COMPUTED_VALUE"""),44791.0)</f>
        <v>44791</v>
      </c>
      <c r="C23036" s="6">
        <f>IFERROR(__xludf.DUMMYFUNCTION("""COMPUTED_VALUE"""),0.6957407407389837)</f>
        <v>0.6957407407</v>
      </c>
      <c r="D23036" s="4">
        <f>IFERROR(__xludf.DUMMYFUNCTION("""COMPUTED_VALUE"""),12.917665)</f>
        <v>12.917665</v>
      </c>
      <c r="E23036" s="4">
        <f>IFERROR(__xludf.DUMMYFUNCTION("""COMPUTED_VALUE"""),80.10811)</f>
        <v>80.10811</v>
      </c>
      <c r="F23036" s="4">
        <f>IFERROR(__xludf.DUMMYFUNCTION("""COMPUTED_VALUE"""),5339.0)</f>
        <v>5339</v>
      </c>
      <c r="G23036" s="4">
        <f>IFERROR(__xludf.DUMMYFUNCTION("""COMPUTED_VALUE"""),46.0)</f>
        <v>46</v>
      </c>
      <c r="H23036" s="4"/>
      <c r="I23036" s="4"/>
    </row>
    <row r="23037">
      <c r="A23037" s="4" t="str">
        <f>IFERROR(__xludf.DUMMYFUNCTION("""COMPUTED_VALUE"""),"cas_hmw")</f>
        <v>cas_hmw</v>
      </c>
      <c r="B23037" s="5">
        <f>IFERROR(__xludf.DUMMYFUNCTION("""COMPUTED_VALUE"""),44791.0)</f>
        <v>44791</v>
      </c>
      <c r="C23037" s="6">
        <f>IFERROR(__xludf.DUMMYFUNCTION("""COMPUTED_VALUE"""),0.6958564814813144)</f>
        <v>0.6958564815</v>
      </c>
      <c r="D23037" s="4">
        <f>IFERROR(__xludf.DUMMYFUNCTION("""COMPUTED_VALUE"""),12.922872)</f>
        <v>12.922872</v>
      </c>
      <c r="E23037" s="4">
        <f>IFERROR(__xludf.DUMMYFUNCTION("""COMPUTED_VALUE"""),80.113777)</f>
        <v>80.113777</v>
      </c>
      <c r="F23037" s="4">
        <f>IFERROR(__xludf.DUMMYFUNCTION("""COMPUTED_VALUE"""),3143.0)</f>
        <v>3143</v>
      </c>
      <c r="G23037" s="4">
        <f>IFERROR(__xludf.DUMMYFUNCTION("""COMPUTED_VALUE"""),43.0)</f>
        <v>43</v>
      </c>
      <c r="H23037" s="4"/>
      <c r="I23037" s="4"/>
    </row>
    <row r="23038">
      <c r="A23038" s="4" t="str">
        <f>IFERROR(__xludf.DUMMYFUNCTION("""COMPUTED_VALUE"""),"cas_hmw")</f>
        <v>cas_hmw</v>
      </c>
      <c r="B23038" s="5">
        <f>IFERROR(__xludf.DUMMYFUNCTION("""COMPUTED_VALUE"""),44791.0)</f>
        <v>44791</v>
      </c>
      <c r="C23038" s="6">
        <f>IFERROR(__xludf.DUMMYFUNCTION("""COMPUTED_VALUE"""),0.6978009259255487)</f>
        <v>0.6978009259</v>
      </c>
      <c r="D23038" s="4">
        <f>IFERROR(__xludf.DUMMYFUNCTION("""COMPUTED_VALUE"""),12.9231)</f>
        <v>12.9231</v>
      </c>
      <c r="E23038" s="4">
        <f>IFERROR(__xludf.DUMMYFUNCTION("""COMPUTED_VALUE"""),80.125177)</f>
        <v>80.125177</v>
      </c>
      <c r="F23038" s="4">
        <f>IFERROR(__xludf.DUMMYFUNCTION("""COMPUTED_VALUE"""),3143.0)</f>
        <v>3143</v>
      </c>
      <c r="G23038" s="4">
        <f>IFERROR(__xludf.DUMMYFUNCTION("""COMPUTED_VALUE"""),49.0)</f>
        <v>49</v>
      </c>
      <c r="H23038" s="4"/>
      <c r="I23038" s="4"/>
    </row>
    <row r="23039">
      <c r="A23039" s="4" t="str">
        <f>IFERROR(__xludf.DUMMYFUNCTION("""COMPUTED_VALUE"""),"cas_hmw")</f>
        <v>cas_hmw</v>
      </c>
      <c r="B23039" s="5">
        <f>IFERROR(__xludf.DUMMYFUNCTION("""COMPUTED_VALUE"""),44791.0)</f>
        <v>44791</v>
      </c>
      <c r="C23039" s="6">
        <f>IFERROR(__xludf.DUMMYFUNCTION("""COMPUTED_VALUE"""),0.6983680555567844)</f>
        <v>0.6983680556</v>
      </c>
      <c r="D23039" s="4">
        <f>IFERROR(__xludf.DUMMYFUNCTION("""COMPUTED_VALUE"""),12.922937)</f>
        <v>12.922937</v>
      </c>
      <c r="E23039" s="4">
        <f>IFERROR(__xludf.DUMMYFUNCTION("""COMPUTED_VALUE"""),80.128343)</f>
        <v>80.128343</v>
      </c>
      <c r="F23039" s="4">
        <f>IFERROR(__xludf.DUMMYFUNCTION("""COMPUTED_VALUE"""),3143.0)</f>
        <v>3143</v>
      </c>
      <c r="G23039" s="4">
        <f>IFERROR(__xludf.DUMMYFUNCTION("""COMPUTED_VALUE"""),32.0)</f>
        <v>32</v>
      </c>
      <c r="H23039" s="4"/>
      <c r="I23039" s="4"/>
    </row>
    <row r="23040">
      <c r="A23040" s="4" t="str">
        <f>IFERROR(__xludf.DUMMYFUNCTION("""COMPUTED_VALUE"""),"cas_hmw")</f>
        <v>cas_hmw</v>
      </c>
      <c r="B23040" s="5">
        <f>IFERROR(__xludf.DUMMYFUNCTION("""COMPUTED_VALUE"""),44791.0)</f>
        <v>44791</v>
      </c>
      <c r="C23040" s="6">
        <f>IFERROR(__xludf.DUMMYFUNCTION("""COMPUTED_VALUE"""),0.6997685185197042)</f>
        <v>0.6997685185</v>
      </c>
      <c r="D23040" s="4">
        <f>IFERROR(__xludf.DUMMYFUNCTION("""COMPUTED_VALUE"""),12.930658)</f>
        <v>12.930658</v>
      </c>
      <c r="E23040" s="4">
        <f>IFERROR(__xludf.DUMMYFUNCTION("""COMPUTED_VALUE"""),80.121789)</f>
        <v>80.121789</v>
      </c>
      <c r="F23040" s="4">
        <f>IFERROR(__xludf.DUMMYFUNCTION("""COMPUTED_VALUE"""),5339.0)</f>
        <v>5339</v>
      </c>
      <c r="G23040" s="4">
        <f>IFERROR(__xludf.DUMMYFUNCTION("""COMPUTED_VALUE"""),38.0)</f>
        <v>38</v>
      </c>
      <c r="H23040" s="4"/>
      <c r="I23040" s="4"/>
    </row>
    <row r="23041">
      <c r="A23041" s="4" t="str">
        <f>IFERROR(__xludf.DUMMYFUNCTION("""COMPUTED_VALUE"""),"cas_hmw")</f>
        <v>cas_hmw</v>
      </c>
      <c r="B23041" s="5">
        <f>IFERROR(__xludf.DUMMYFUNCTION("""COMPUTED_VALUE"""),44791.0)</f>
        <v>44791</v>
      </c>
      <c r="C23041" s="6">
        <f>IFERROR(__xludf.DUMMYFUNCTION("""COMPUTED_VALUE"""),0.7016898148140172)</f>
        <v>0.7016898148</v>
      </c>
      <c r="D23041" s="4">
        <f>IFERROR(__xludf.DUMMYFUNCTION("""COMPUTED_VALUE"""),12.940651)</f>
        <v>12.940651</v>
      </c>
      <c r="E23041" s="4">
        <f>IFERROR(__xludf.DUMMYFUNCTION("""COMPUTED_VALUE"""),80.13115)</f>
        <v>80.13115</v>
      </c>
      <c r="F23041" s="4">
        <f>IFERROR(__xludf.DUMMYFUNCTION("""COMPUTED_VALUE"""),5339.0)</f>
        <v>5339</v>
      </c>
      <c r="G23041" s="4">
        <f>IFERROR(__xludf.DUMMYFUNCTION("""COMPUTED_VALUE"""),50.0)</f>
        <v>50</v>
      </c>
      <c r="H23041" s="4"/>
      <c r="I23041" s="4"/>
    </row>
    <row r="23042">
      <c r="A23042" s="4" t="str">
        <f>IFERROR(__xludf.DUMMYFUNCTION("""COMPUTED_VALUE"""),"cas_hmw")</f>
        <v>cas_hmw</v>
      </c>
      <c r="B23042" s="5">
        <f>IFERROR(__xludf.DUMMYFUNCTION("""COMPUTED_VALUE"""),44791.0)</f>
        <v>44791</v>
      </c>
      <c r="C23042" s="6">
        <f>IFERROR(__xludf.DUMMYFUNCTION("""COMPUTED_VALUE"""),0.7023379629645206)</f>
        <v>0.702337963</v>
      </c>
      <c r="D23042" s="4">
        <f>IFERROR(__xludf.DUMMYFUNCTION("""COMPUTED_VALUE"""),12.94293)</f>
        <v>12.94293</v>
      </c>
      <c r="E23042" s="4">
        <f>IFERROR(__xludf.DUMMYFUNCTION("""COMPUTED_VALUE"""),80.133468)</f>
        <v>80.133468</v>
      </c>
      <c r="F23042" s="4">
        <f>IFERROR(__xludf.DUMMYFUNCTION("""COMPUTED_VALUE"""),5339.0)</f>
        <v>5339</v>
      </c>
      <c r="G23042" s="4">
        <f>IFERROR(__xludf.DUMMYFUNCTION("""COMPUTED_VALUE"""),26.0)</f>
        <v>26</v>
      </c>
      <c r="H23042" s="4"/>
      <c r="I23042" s="4"/>
    </row>
    <row r="23043">
      <c r="A23043" s="4" t="str">
        <f>IFERROR(__xludf.DUMMYFUNCTION("""COMPUTED_VALUE"""),"cas_hmw")</f>
        <v>cas_hmw</v>
      </c>
      <c r="B23043" s="5">
        <f>IFERROR(__xludf.DUMMYFUNCTION("""COMPUTED_VALUE"""),44791.0)</f>
        <v>44791</v>
      </c>
      <c r="C23043" s="6">
        <f>IFERROR(__xludf.DUMMYFUNCTION("""COMPUTED_VALUE"""),0.7023495370376622)</f>
        <v>0.702349537</v>
      </c>
      <c r="D23043" s="4">
        <f>IFERROR(__xludf.DUMMYFUNCTION("""COMPUTED_VALUE"""),12.94293)</f>
        <v>12.94293</v>
      </c>
      <c r="E23043" s="4">
        <f>IFERROR(__xludf.DUMMYFUNCTION("""COMPUTED_VALUE"""),80.133468)</f>
        <v>80.133468</v>
      </c>
      <c r="F23043" s="4">
        <f>IFERROR(__xludf.DUMMYFUNCTION("""COMPUTED_VALUE"""),5339.0)</f>
        <v>5339</v>
      </c>
      <c r="G23043" s="4">
        <f>IFERROR(__xludf.DUMMYFUNCTION("""COMPUTED_VALUE"""),26.0)</f>
        <v>26</v>
      </c>
      <c r="H23043" s="4"/>
      <c r="I23043" s="4"/>
    </row>
    <row r="23044">
      <c r="A23044" s="4" t="str">
        <f>IFERROR(__xludf.DUMMYFUNCTION("""COMPUTED_VALUE"""),"cas_hmw")</f>
        <v>cas_hmw</v>
      </c>
      <c r="B23044" s="5">
        <f>IFERROR(__xludf.DUMMYFUNCTION("""COMPUTED_VALUE"""),44791.0)</f>
        <v>44791</v>
      </c>
      <c r="C23044" s="6">
        <f>IFERROR(__xludf.DUMMYFUNCTION("""COMPUTED_VALUE"""),0.7024189814801503)</f>
        <v>0.7024189815</v>
      </c>
      <c r="D23044" s="4">
        <f>IFERROR(__xludf.DUMMYFUNCTION("""COMPUTED_VALUE"""),12.770705)</f>
        <v>12.770705</v>
      </c>
      <c r="E23044" s="4">
        <f>IFERROR(__xludf.DUMMYFUNCTION("""COMPUTED_VALUE"""),80.007638)</f>
        <v>80.007638</v>
      </c>
      <c r="F23044" s="4">
        <f>IFERROR(__xludf.DUMMYFUNCTION("""COMPUTED_VALUE"""),2846.0)</f>
        <v>2846</v>
      </c>
      <c r="G23044" s="4">
        <f>IFERROR(__xludf.DUMMYFUNCTION("""COMPUTED_VALUE"""),37.0)</f>
        <v>37</v>
      </c>
      <c r="H23044" s="4"/>
      <c r="I23044" s="4"/>
    </row>
    <row r="23045">
      <c r="A23045" s="4" t="str">
        <f>IFERROR(__xludf.DUMMYFUNCTION("""COMPUTED_VALUE"""),"cas_hmw")</f>
        <v>cas_hmw</v>
      </c>
      <c r="B23045" s="5">
        <f>IFERROR(__xludf.DUMMYFUNCTION("""COMPUTED_VALUE"""),44791.0)</f>
        <v>44791</v>
      </c>
      <c r="C23045" s="6">
        <f>IFERROR(__xludf.DUMMYFUNCTION("""COMPUTED_VALUE"""),0.7024537037032133)</f>
        <v>0.7024537037</v>
      </c>
      <c r="D23045" s="4">
        <f>IFERROR(__xludf.DUMMYFUNCTION("""COMPUTED_VALUE"""),12.770705)</f>
        <v>12.770705</v>
      </c>
      <c r="E23045" s="4">
        <f>IFERROR(__xludf.DUMMYFUNCTION("""COMPUTED_VALUE"""),80.007638)</f>
        <v>80.007638</v>
      </c>
      <c r="F23045" s="4">
        <f>IFERROR(__xludf.DUMMYFUNCTION("""COMPUTED_VALUE"""),2846.0)</f>
        <v>2846</v>
      </c>
      <c r="G23045" s="4">
        <f>IFERROR(__xludf.DUMMYFUNCTION("""COMPUTED_VALUE"""),37.0)</f>
        <v>37</v>
      </c>
      <c r="H23045" s="4"/>
      <c r="I23045" s="4"/>
    </row>
    <row r="23046">
      <c r="A23046" s="4" t="str">
        <f>IFERROR(__xludf.DUMMYFUNCTION("""COMPUTED_VALUE"""),"cas_hmw")</f>
        <v>cas_hmw</v>
      </c>
      <c r="B23046" s="5">
        <f>IFERROR(__xludf.DUMMYFUNCTION("""COMPUTED_VALUE"""),44791.0)</f>
        <v>44791</v>
      </c>
      <c r="C23046" s="6">
        <f>IFERROR(__xludf.DUMMYFUNCTION("""COMPUTED_VALUE"""),0.7034953703696374)</f>
        <v>0.7034953704</v>
      </c>
      <c r="D23046" s="4">
        <f>IFERROR(__xludf.DUMMYFUNCTION("""COMPUTED_VALUE"""),12.950273)</f>
        <v>12.950273</v>
      </c>
      <c r="E23046" s="4">
        <f>IFERROR(__xludf.DUMMYFUNCTION("""COMPUTED_VALUE"""),80.139311)</f>
        <v>80.139311</v>
      </c>
      <c r="F23046" s="4">
        <f>IFERROR(__xludf.DUMMYFUNCTION("""COMPUTED_VALUE"""),5339.0)</f>
        <v>5339</v>
      </c>
      <c r="G23046" s="4">
        <f>IFERROR(__xludf.DUMMYFUNCTION("""COMPUTED_VALUE"""),16.0)</f>
        <v>16</v>
      </c>
      <c r="H23046" s="4"/>
      <c r="I23046" s="4"/>
    </row>
    <row r="23047">
      <c r="A23047" s="4" t="str">
        <f>IFERROR(__xludf.DUMMYFUNCTION("""COMPUTED_VALUE"""),"cas_hmw")</f>
        <v>cas_hmw</v>
      </c>
      <c r="B23047" s="5">
        <f>IFERROR(__xludf.DUMMYFUNCTION("""COMPUTED_VALUE"""),44791.0)</f>
        <v>44791</v>
      </c>
      <c r="C23047" s="6">
        <f>IFERROR(__xludf.DUMMYFUNCTION("""COMPUTED_VALUE"""),0.7039467592585424)</f>
        <v>0.7039467593</v>
      </c>
      <c r="D23047" s="4">
        <f>IFERROR(__xludf.DUMMYFUNCTION("""COMPUTED_VALUE"""),12.95285)</f>
        <v>12.95285</v>
      </c>
      <c r="E23047" s="4">
        <f>IFERROR(__xludf.DUMMYFUNCTION("""COMPUTED_VALUE"""),80.141251)</f>
        <v>80.141251</v>
      </c>
      <c r="F23047" s="4">
        <f>IFERROR(__xludf.DUMMYFUNCTION("""COMPUTED_VALUE"""),5339.0)</f>
        <v>5339</v>
      </c>
      <c r="G23047" s="4">
        <f>IFERROR(__xludf.DUMMYFUNCTION("""COMPUTED_VALUE"""),34.0)</f>
        <v>34</v>
      </c>
      <c r="H23047" s="4"/>
      <c r="I23047" s="4"/>
    </row>
    <row r="23048">
      <c r="A23048" s="4" t="str">
        <f>IFERROR(__xludf.DUMMYFUNCTION("""COMPUTED_VALUE"""),"cas_hmw")</f>
        <v>cas_hmw</v>
      </c>
      <c r="B23048" s="5">
        <f>IFERROR(__xludf.DUMMYFUNCTION("""COMPUTED_VALUE"""),44791.0)</f>
        <v>44791</v>
      </c>
      <c r="C23048" s="6">
        <f>IFERROR(__xludf.DUMMYFUNCTION("""COMPUTED_VALUE"""),0.7042129629626288)</f>
        <v>0.704212963</v>
      </c>
      <c r="D23048" s="4">
        <f>IFERROR(__xludf.DUMMYFUNCTION("""COMPUTED_VALUE"""),12.954488)</f>
        <v>12.954488</v>
      </c>
      <c r="E23048" s="4">
        <f>IFERROR(__xludf.DUMMYFUNCTION("""COMPUTED_VALUE"""),80.142191)</f>
        <v>80.142191</v>
      </c>
      <c r="F23048" s="4">
        <f>IFERROR(__xludf.DUMMYFUNCTION("""COMPUTED_VALUE"""),5339.0)</f>
        <v>5339</v>
      </c>
      <c r="G23048" s="4">
        <f>IFERROR(__xludf.DUMMYFUNCTION("""COMPUTED_VALUE"""),36.0)</f>
        <v>36</v>
      </c>
      <c r="H23048" s="4"/>
      <c r="I23048" s="4"/>
    </row>
    <row r="23049">
      <c r="A23049" s="4" t="str">
        <f>IFERROR(__xludf.DUMMYFUNCTION("""COMPUTED_VALUE"""),"cas_hmw")</f>
        <v>cas_hmw</v>
      </c>
      <c r="B23049" s="5">
        <f>IFERROR(__xludf.DUMMYFUNCTION("""COMPUTED_VALUE"""),44791.0)</f>
        <v>44791</v>
      </c>
      <c r="C23049" s="6">
        <f>IFERROR(__xludf.DUMMYFUNCTION("""COMPUTED_VALUE"""),0.7042476851856918)</f>
        <v>0.7042476852</v>
      </c>
      <c r="D23049" s="4">
        <f>IFERROR(__xludf.DUMMYFUNCTION("""COMPUTED_VALUE"""),12.755462)</f>
        <v>12.755462</v>
      </c>
      <c r="E23049" s="4">
        <f>IFERROR(__xludf.DUMMYFUNCTION("""COMPUTED_VALUE"""),80.001663)</f>
        <v>80.001663</v>
      </c>
      <c r="F23049" s="4">
        <f>IFERROR(__xludf.DUMMYFUNCTION("""COMPUTED_VALUE"""),2846.0)</f>
        <v>2846</v>
      </c>
      <c r="G23049" s="4">
        <f>IFERROR(__xludf.DUMMYFUNCTION("""COMPUTED_VALUE"""),58.0)</f>
        <v>58</v>
      </c>
      <c r="H23049" s="4"/>
      <c r="I23049" s="4"/>
    </row>
    <row r="23050">
      <c r="A23050" s="4" t="str">
        <f>IFERROR(__xludf.DUMMYFUNCTION("""COMPUTED_VALUE"""),"cas_hmw")</f>
        <v>cas_hmw</v>
      </c>
      <c r="B23050" s="5">
        <f>IFERROR(__xludf.DUMMYFUNCTION("""COMPUTED_VALUE"""),44791.0)</f>
        <v>44791</v>
      </c>
      <c r="C23050" s="6">
        <f>IFERROR(__xludf.DUMMYFUNCTION("""COMPUTED_VALUE"""),0.7045601851859828)</f>
        <v>0.7045601852</v>
      </c>
      <c r="D23050" s="4">
        <f>IFERROR(__xludf.DUMMYFUNCTION("""COMPUTED_VALUE"""),12.956148)</f>
        <v>12.956148</v>
      </c>
      <c r="E23050" s="4">
        <f>IFERROR(__xludf.DUMMYFUNCTION("""COMPUTED_VALUE"""),80.143079)</f>
        <v>80.143079</v>
      </c>
      <c r="F23050" s="4">
        <f>IFERROR(__xludf.DUMMYFUNCTION("""COMPUTED_VALUE"""),5339.0)</f>
        <v>5339</v>
      </c>
      <c r="G23050" s="4">
        <f>IFERROR(__xludf.DUMMYFUNCTION("""COMPUTED_VALUE"""),6.0)</f>
        <v>6</v>
      </c>
      <c r="H23050" s="4"/>
      <c r="I23050" s="4"/>
    </row>
    <row r="23051">
      <c r="A23051" s="4" t="str">
        <f>IFERROR(__xludf.DUMMYFUNCTION("""COMPUTED_VALUE"""),"cas_hmw")</f>
        <v>cas_hmw</v>
      </c>
      <c r="B23051" s="5">
        <f>IFERROR(__xludf.DUMMYFUNCTION("""COMPUTED_VALUE"""),44791.0)</f>
        <v>44791</v>
      </c>
      <c r="C23051" s="6">
        <f>IFERROR(__xludf.DUMMYFUNCTION("""COMPUTED_VALUE"""),0.7045833333322662)</f>
        <v>0.7045833333</v>
      </c>
      <c r="D23051" s="4">
        <f>IFERROR(__xludf.DUMMYFUNCTION("""COMPUTED_VALUE"""),12.956519)</f>
        <v>12.956519</v>
      </c>
      <c r="E23051" s="4">
        <f>IFERROR(__xludf.DUMMYFUNCTION("""COMPUTED_VALUE"""),80.143296)</f>
        <v>80.143296</v>
      </c>
      <c r="F23051" s="4">
        <f>IFERROR(__xludf.DUMMYFUNCTION("""COMPUTED_VALUE"""),5339.0)</f>
        <v>5339</v>
      </c>
      <c r="G23051" s="4">
        <f>IFERROR(__xludf.DUMMYFUNCTION("""COMPUTED_VALUE"""),25.0)</f>
        <v>25</v>
      </c>
      <c r="H23051" s="4"/>
      <c r="I23051" s="4"/>
    </row>
    <row r="23052">
      <c r="A23052" s="4" t="str">
        <f>IFERROR(__xludf.DUMMYFUNCTION("""COMPUTED_VALUE"""),"cas_hmw")</f>
        <v>cas_hmw</v>
      </c>
      <c r="B23052" s="5">
        <f>IFERROR(__xludf.DUMMYFUNCTION("""COMPUTED_VALUE"""),44791.0)</f>
        <v>44791</v>
      </c>
      <c r="C23052" s="6">
        <f>IFERROR(__xludf.DUMMYFUNCTION("""COMPUTED_VALUE"""),0.7048958333325572)</f>
        <v>0.7048958333</v>
      </c>
      <c r="D23052" s="4">
        <f>IFERROR(__xludf.DUMMYFUNCTION("""COMPUTED_VALUE"""),12.918268)</f>
        <v>12.918268</v>
      </c>
      <c r="E23052" s="4">
        <f>IFERROR(__xludf.DUMMYFUNCTION("""COMPUTED_VALUE"""),80.177728)</f>
        <v>80.177728</v>
      </c>
      <c r="F23052" s="4">
        <f>IFERROR(__xludf.DUMMYFUNCTION("""COMPUTED_VALUE"""),3143.0)</f>
        <v>3143</v>
      </c>
      <c r="G23052" s="4">
        <f>IFERROR(__xludf.DUMMYFUNCTION("""COMPUTED_VALUE"""),39.0)</f>
        <v>39</v>
      </c>
      <c r="H23052" s="4"/>
      <c r="I23052" s="4"/>
    </row>
    <row r="23053">
      <c r="A23053" s="4" t="str">
        <f>IFERROR(__xludf.DUMMYFUNCTION("""COMPUTED_VALUE"""),"cas_hmw")</f>
        <v>cas_hmw</v>
      </c>
      <c r="B23053" s="5">
        <f>IFERROR(__xludf.DUMMYFUNCTION("""COMPUTED_VALUE"""),44791.0)</f>
        <v>44791</v>
      </c>
      <c r="C23053" s="6">
        <f>IFERROR(__xludf.DUMMYFUNCTION("""COMPUTED_VALUE"""),0.7049884259249666)</f>
        <v>0.7049884259</v>
      </c>
      <c r="D23053" s="4">
        <f>IFERROR(__xludf.DUMMYFUNCTION("""COMPUTED_VALUE"""),12.918656)</f>
        <v>12.918656</v>
      </c>
      <c r="E23053" s="4">
        <f>IFERROR(__xludf.DUMMYFUNCTION("""COMPUTED_VALUE"""),80.178544)</f>
        <v>80.178544</v>
      </c>
      <c r="F23053" s="4">
        <f>IFERROR(__xludf.DUMMYFUNCTION("""COMPUTED_VALUE"""),3143.0)</f>
        <v>3143</v>
      </c>
      <c r="G23053" s="4">
        <f>IFERROR(__xludf.DUMMYFUNCTION("""COMPUTED_VALUE"""),33.0)</f>
        <v>33</v>
      </c>
      <c r="H23053" s="4"/>
      <c r="I23053" s="4"/>
    </row>
    <row r="23054">
      <c r="A23054" s="4" t="str">
        <f>IFERROR(__xludf.DUMMYFUNCTION("""COMPUTED_VALUE"""),"cas_hmw")</f>
        <v>cas_hmw</v>
      </c>
      <c r="B23054" s="5">
        <f>IFERROR(__xludf.DUMMYFUNCTION("""COMPUTED_VALUE"""),44791.0)</f>
        <v>44791</v>
      </c>
      <c r="C23054" s="6">
        <f>IFERROR(__xludf.DUMMYFUNCTION("""COMPUTED_VALUE"""),0.7055092592599976)</f>
        <v>0.7055092593</v>
      </c>
      <c r="D23054" s="4">
        <f>IFERROR(__xludf.DUMMYFUNCTION("""COMPUTED_VALUE"""),12.919768)</f>
        <v>12.919768</v>
      </c>
      <c r="E23054" s="4">
        <f>IFERROR(__xludf.DUMMYFUNCTION("""COMPUTED_VALUE"""),80.182037)</f>
        <v>80.182037</v>
      </c>
      <c r="F23054" s="4">
        <f>IFERROR(__xludf.DUMMYFUNCTION("""COMPUTED_VALUE"""),3143.0)</f>
        <v>3143</v>
      </c>
      <c r="G23054" s="4">
        <f>IFERROR(__xludf.DUMMYFUNCTION("""COMPUTED_VALUE"""),39.0)</f>
        <v>39</v>
      </c>
      <c r="H23054" s="4"/>
      <c r="I23054" s="4"/>
    </row>
    <row r="23055">
      <c r="A23055" s="4" t="str">
        <f>IFERROR(__xludf.DUMMYFUNCTION("""COMPUTED_VALUE"""),"cas_hmw")</f>
        <v>cas_hmw</v>
      </c>
      <c r="B23055" s="5">
        <f>IFERROR(__xludf.DUMMYFUNCTION("""COMPUTED_VALUE"""),44791.0)</f>
        <v>44791</v>
      </c>
      <c r="C23055" s="6">
        <f>IFERROR(__xludf.DUMMYFUNCTION("""COMPUTED_VALUE"""),0.7067361111112405)</f>
        <v>0.7067361111</v>
      </c>
      <c r="D23055" s="4">
        <f>IFERROR(__xludf.DUMMYFUNCTION("""COMPUTED_VALUE"""),12.961304)</f>
        <v>12.961304</v>
      </c>
      <c r="E23055" s="4">
        <f>IFERROR(__xludf.DUMMYFUNCTION("""COMPUTED_VALUE"""),80.14583)</f>
        <v>80.14583</v>
      </c>
      <c r="F23055" s="4">
        <f>IFERROR(__xludf.DUMMYFUNCTION("""COMPUTED_VALUE"""),5339.0)</f>
        <v>5339</v>
      </c>
      <c r="G23055" s="4">
        <f>IFERROR(__xludf.DUMMYFUNCTION("""COMPUTED_VALUE"""),25.0)</f>
        <v>25</v>
      </c>
      <c r="H23055" s="4"/>
      <c r="I23055" s="4"/>
    </row>
    <row r="23056">
      <c r="A23056" s="4" t="str">
        <f>IFERROR(__xludf.DUMMYFUNCTION("""COMPUTED_VALUE"""),"cas_hmw")</f>
        <v>cas_hmw</v>
      </c>
      <c r="B23056" s="5">
        <f>IFERROR(__xludf.DUMMYFUNCTION("""COMPUTED_VALUE"""),44791.0)</f>
        <v>44791</v>
      </c>
      <c r="C23056" s="6">
        <f>IFERROR(__xludf.DUMMYFUNCTION("""COMPUTED_VALUE"""),0.7068981481497758)</f>
        <v>0.7068981481</v>
      </c>
      <c r="D23056" s="4">
        <f>IFERROR(__xludf.DUMMYFUNCTION("""COMPUTED_VALUE"""),12.962066)</f>
        <v>12.962066</v>
      </c>
      <c r="E23056" s="4">
        <f>IFERROR(__xludf.DUMMYFUNCTION("""COMPUTED_VALUE"""),80.14624)</f>
        <v>80.14624</v>
      </c>
      <c r="F23056" s="4">
        <f>IFERROR(__xludf.DUMMYFUNCTION("""COMPUTED_VALUE"""),5339.0)</f>
        <v>5339</v>
      </c>
      <c r="G23056" s="4">
        <f>IFERROR(__xludf.DUMMYFUNCTION("""COMPUTED_VALUE"""),37.0)</f>
        <v>37</v>
      </c>
      <c r="H23056" s="4"/>
      <c r="I23056" s="4"/>
    </row>
    <row r="23057">
      <c r="A23057" s="4" t="str">
        <f>IFERROR(__xludf.DUMMYFUNCTION("""COMPUTED_VALUE"""),"cas_hmw")</f>
        <v>cas_hmw</v>
      </c>
      <c r="B23057" s="5">
        <f>IFERROR(__xludf.DUMMYFUNCTION("""COMPUTED_VALUE"""),44791.0)</f>
        <v>44791</v>
      </c>
      <c r="C23057" s="6">
        <f>IFERROR(__xludf.DUMMYFUNCTION("""COMPUTED_VALUE"""),0.7080208333318296)</f>
        <v>0.7080208333</v>
      </c>
      <c r="D23057" s="4">
        <f>IFERROR(__xludf.DUMMYFUNCTION("""COMPUTED_VALUE"""),12.971975)</f>
        <v>12.971975</v>
      </c>
      <c r="E23057" s="4">
        <f>IFERROR(__xludf.DUMMYFUNCTION("""COMPUTED_VALUE"""),80.151362)</f>
        <v>80.151362</v>
      </c>
      <c r="F23057" s="4">
        <f>IFERROR(__xludf.DUMMYFUNCTION("""COMPUTED_VALUE"""),5339.0)</f>
        <v>5339</v>
      </c>
      <c r="G23057" s="4">
        <f>IFERROR(__xludf.DUMMYFUNCTION("""COMPUTED_VALUE"""),56.0)</f>
        <v>56</v>
      </c>
      <c r="H23057" s="4"/>
      <c r="I23057" s="4"/>
    </row>
    <row r="23058">
      <c r="A23058" s="4" t="str">
        <f>IFERROR(__xludf.DUMMYFUNCTION("""COMPUTED_VALUE"""),"cas_hmw")</f>
        <v>cas_hmw</v>
      </c>
      <c r="B23058" s="5">
        <f>IFERROR(__xludf.DUMMYFUNCTION("""COMPUTED_VALUE"""),44791.0)</f>
        <v>44791</v>
      </c>
      <c r="C23058" s="6">
        <f>IFERROR(__xludf.DUMMYFUNCTION("""COMPUTED_VALUE"""),0.7082291666665697)</f>
        <v>0.7082291667</v>
      </c>
      <c r="D23058" s="4">
        <f>IFERROR(__xludf.DUMMYFUNCTION("""COMPUTED_VALUE"""),12.974498)</f>
        <v>12.974498</v>
      </c>
      <c r="E23058" s="4">
        <f>IFERROR(__xludf.DUMMYFUNCTION("""COMPUTED_VALUE"""),80.154805)</f>
        <v>80.154805</v>
      </c>
      <c r="F23058" s="4">
        <f>IFERROR(__xludf.DUMMYFUNCTION("""COMPUTED_VALUE"""),5339.0)</f>
        <v>5339</v>
      </c>
      <c r="G23058" s="4">
        <f>IFERROR(__xludf.DUMMYFUNCTION("""COMPUTED_VALUE"""),60.0)</f>
        <v>60</v>
      </c>
      <c r="H23058" s="4"/>
      <c r="I23058" s="4"/>
    </row>
    <row r="23059">
      <c r="A23059" s="4" t="str">
        <f>IFERROR(__xludf.DUMMYFUNCTION("""COMPUTED_VALUE"""),"cas_hmw")</f>
        <v>cas_hmw</v>
      </c>
      <c r="B23059" s="5">
        <f>IFERROR(__xludf.DUMMYFUNCTION("""COMPUTED_VALUE"""),44791.0)</f>
        <v>44791</v>
      </c>
      <c r="C23059" s="6">
        <f>IFERROR(__xludf.DUMMYFUNCTION("""COMPUTED_VALUE"""),0.7084375000013097)</f>
        <v>0.7084375</v>
      </c>
      <c r="D23059" s="4">
        <f>IFERROR(__xludf.DUMMYFUNCTION("""COMPUTED_VALUE"""),12.975783)</f>
        <v>12.975783</v>
      </c>
      <c r="E23059" s="4">
        <f>IFERROR(__xludf.DUMMYFUNCTION("""COMPUTED_VALUE"""),80.156629)</f>
        <v>80.156629</v>
      </c>
      <c r="F23059" s="4">
        <f>IFERROR(__xludf.DUMMYFUNCTION("""COMPUTED_VALUE"""),5339.0)</f>
        <v>5339</v>
      </c>
      <c r="G23059" s="4">
        <f>IFERROR(__xludf.DUMMYFUNCTION("""COMPUTED_VALUE"""),45.0)</f>
        <v>45</v>
      </c>
      <c r="H23059" s="4"/>
      <c r="I23059" s="4"/>
    </row>
    <row r="23060">
      <c r="A23060" s="4" t="str">
        <f>IFERROR(__xludf.DUMMYFUNCTION("""COMPUTED_VALUE"""),"cas_hmw")</f>
        <v>cas_hmw</v>
      </c>
      <c r="B23060" s="5">
        <f>IFERROR(__xludf.DUMMYFUNCTION("""COMPUTED_VALUE"""),44791.0)</f>
        <v>44791</v>
      </c>
      <c r="C23060" s="6">
        <f>IFERROR(__xludf.DUMMYFUNCTION("""COMPUTED_VALUE"""),0.710902777776937)</f>
        <v>0.7109027778</v>
      </c>
      <c r="D23060" s="4">
        <f>IFERROR(__xludf.DUMMYFUNCTION("""COMPUTED_VALUE"""),12.987067)</f>
        <v>12.987067</v>
      </c>
      <c r="E23060" s="4">
        <f>IFERROR(__xludf.DUMMYFUNCTION("""COMPUTED_VALUE"""),80.17553)</f>
        <v>80.17553</v>
      </c>
      <c r="F23060" s="4">
        <f>IFERROR(__xludf.DUMMYFUNCTION("""COMPUTED_VALUE"""),5339.0)</f>
        <v>5339</v>
      </c>
      <c r="G23060" s="4">
        <f>IFERROR(__xludf.DUMMYFUNCTION("""COMPUTED_VALUE"""),37.0)</f>
        <v>37</v>
      </c>
      <c r="H23060" s="4"/>
      <c r="I23060" s="4"/>
    </row>
    <row r="23061">
      <c r="A23061" s="4" t="str">
        <f>IFERROR(__xludf.DUMMYFUNCTION("""COMPUTED_VALUE"""),"cas_hmw")</f>
        <v>cas_hmw</v>
      </c>
      <c r="B23061" s="5">
        <f>IFERROR(__xludf.DUMMYFUNCTION("""COMPUTED_VALUE"""),44791.0)</f>
        <v>44791</v>
      </c>
      <c r="C23061" s="6">
        <f>IFERROR(__xludf.DUMMYFUNCTION("""COMPUTED_VALUE"""),0.7114236111119681)</f>
        <v>0.7114236111</v>
      </c>
      <c r="D23061" s="4">
        <f>IFERROR(__xludf.DUMMYFUNCTION("""COMPUTED_VALUE"""),12.991089)</f>
        <v>12.991089</v>
      </c>
      <c r="E23061" s="4">
        <f>IFERROR(__xludf.DUMMYFUNCTION("""COMPUTED_VALUE"""),80.180794)</f>
        <v>80.180794</v>
      </c>
      <c r="F23061" s="4">
        <f>IFERROR(__xludf.DUMMYFUNCTION("""COMPUTED_VALUE"""),5339.0)</f>
        <v>5339</v>
      </c>
      <c r="G23061" s="4">
        <f>IFERROR(__xludf.DUMMYFUNCTION("""COMPUTED_VALUE"""),40.0)</f>
        <v>40</v>
      </c>
      <c r="H23061" s="4"/>
      <c r="I23061" s="4"/>
    </row>
    <row r="23062">
      <c r="A23062" s="4" t="str">
        <f>IFERROR(__xludf.DUMMYFUNCTION("""COMPUTED_VALUE"""),"cas_hmw")</f>
        <v>cas_hmw</v>
      </c>
      <c r="B23062" s="5">
        <f>IFERROR(__xludf.DUMMYFUNCTION("""COMPUTED_VALUE"""),44791.0)</f>
        <v>44791</v>
      </c>
      <c r="C23062" s="6">
        <f>IFERROR(__xludf.DUMMYFUNCTION("""COMPUTED_VALUE"""),0.7123379629629198)</f>
        <v>0.712337963</v>
      </c>
      <c r="D23062" s="4">
        <f>IFERROR(__xludf.DUMMYFUNCTION("""COMPUTED_VALUE"""),12.697269)</f>
        <v>12.697269</v>
      </c>
      <c r="E23062" s="4">
        <f>IFERROR(__xludf.DUMMYFUNCTION("""COMPUTED_VALUE"""),79.972842)</f>
        <v>79.972842</v>
      </c>
      <c r="F23062" s="4">
        <f>IFERROR(__xludf.DUMMYFUNCTION("""COMPUTED_VALUE"""),2846.0)</f>
        <v>2846</v>
      </c>
      <c r="G23062" s="4">
        <f>IFERROR(__xludf.DUMMYFUNCTION("""COMPUTED_VALUE"""),14.0)</f>
        <v>14</v>
      </c>
      <c r="H23062" s="4"/>
      <c r="I23062" s="4"/>
    </row>
    <row r="23063">
      <c r="A23063" s="4" t="str">
        <f>IFERROR(__xludf.DUMMYFUNCTION("""COMPUTED_VALUE"""),"cas_hmw")</f>
        <v>cas_hmw</v>
      </c>
      <c r="B23063" s="5">
        <f>IFERROR(__xludf.DUMMYFUNCTION("""COMPUTED_VALUE"""),44791.0)</f>
        <v>44791</v>
      </c>
      <c r="C23063" s="6">
        <f>IFERROR(__xludf.DUMMYFUNCTION("""COMPUTED_VALUE"""),0.7129282407404389)</f>
        <v>0.7129282407</v>
      </c>
      <c r="D23063" s="4">
        <f>IFERROR(__xludf.DUMMYFUNCTION("""COMPUTED_VALUE"""),12.994036)</f>
        <v>12.994036</v>
      </c>
      <c r="E23063" s="4">
        <f>IFERROR(__xludf.DUMMYFUNCTION("""COMPUTED_VALUE"""),80.185481)</f>
        <v>80.185481</v>
      </c>
      <c r="F23063" s="4">
        <f>IFERROR(__xludf.DUMMYFUNCTION("""COMPUTED_VALUE"""),5339.0)</f>
        <v>5339</v>
      </c>
      <c r="G23063" s="4">
        <f>IFERROR(__xludf.DUMMYFUNCTION("""COMPUTED_VALUE"""),25.0)</f>
        <v>25</v>
      </c>
      <c r="H23063" s="4"/>
      <c r="I23063" s="4"/>
    </row>
    <row r="23064">
      <c r="A23064" s="4" t="str">
        <f>IFERROR(__xludf.DUMMYFUNCTION("""COMPUTED_VALUE"""),"cas_hmw")</f>
        <v>cas_hmw</v>
      </c>
      <c r="B23064" s="5">
        <f>IFERROR(__xludf.DUMMYFUNCTION("""COMPUTED_VALUE"""),44791.0)</f>
        <v>44791</v>
      </c>
      <c r="C23064" s="6">
        <f>IFERROR(__xludf.DUMMYFUNCTION("""COMPUTED_VALUE"""),0.713275462963793)</f>
        <v>0.713275463</v>
      </c>
      <c r="D23064" s="4">
        <f>IFERROR(__xludf.DUMMYFUNCTION("""COMPUTED_VALUE"""),12.995371)</f>
        <v>12.995371</v>
      </c>
      <c r="E23064" s="4">
        <f>IFERROR(__xludf.DUMMYFUNCTION("""COMPUTED_VALUE"""),80.188068)</f>
        <v>80.188068</v>
      </c>
      <c r="F23064" s="4">
        <f>IFERROR(__xludf.DUMMYFUNCTION("""COMPUTED_VALUE"""),5339.0)</f>
        <v>5339</v>
      </c>
      <c r="G23064" s="4">
        <f>IFERROR(__xludf.DUMMYFUNCTION("""COMPUTED_VALUE"""),47.0)</f>
        <v>47</v>
      </c>
      <c r="H23064" s="4"/>
      <c r="I23064" s="4"/>
    </row>
    <row r="23065">
      <c r="A23065" s="4" t="str">
        <f>IFERROR(__xludf.DUMMYFUNCTION("""COMPUTED_VALUE"""),"cas_hmw")</f>
        <v>cas_hmw</v>
      </c>
      <c r="B23065" s="5">
        <f>IFERROR(__xludf.DUMMYFUNCTION("""COMPUTED_VALUE"""),44791.0)</f>
        <v>44791</v>
      </c>
      <c r="C23065" s="6">
        <f>IFERROR(__xludf.DUMMYFUNCTION("""COMPUTED_VALUE"""),0.7134259259255487)</f>
        <v>0.7134259259</v>
      </c>
      <c r="D23065" s="4">
        <f>IFERROR(__xludf.DUMMYFUNCTION("""COMPUTED_VALUE"""),12.694219)</f>
        <v>12.694219</v>
      </c>
      <c r="E23065" s="4">
        <f>IFERROR(__xludf.DUMMYFUNCTION("""COMPUTED_VALUE"""),79.97874)</f>
        <v>79.97874</v>
      </c>
      <c r="F23065" s="4">
        <f>IFERROR(__xludf.DUMMYFUNCTION("""COMPUTED_VALUE"""),2846.0)</f>
        <v>2846</v>
      </c>
      <c r="G23065" s="4">
        <f>IFERROR(__xludf.DUMMYFUNCTION("""COMPUTED_VALUE"""),27.0)</f>
        <v>27</v>
      </c>
      <c r="H23065" s="4"/>
      <c r="I23065" s="4"/>
    </row>
    <row r="23066">
      <c r="A23066" s="4" t="str">
        <f>IFERROR(__xludf.DUMMYFUNCTION("""COMPUTED_VALUE"""),"cas_hmw")</f>
        <v>cas_hmw</v>
      </c>
      <c r="B23066" s="5">
        <f>IFERROR(__xludf.DUMMYFUNCTION("""COMPUTED_VALUE"""),44791.0)</f>
        <v>44791</v>
      </c>
      <c r="C23066" s="6">
        <f>IFERROR(__xludf.DUMMYFUNCTION("""COMPUTED_VALUE"""),0.7146296296305081)</f>
        <v>0.7146296296</v>
      </c>
      <c r="D23066" s="4">
        <f>IFERROR(__xludf.DUMMYFUNCTION("""COMPUTED_VALUE"""),12.689493)</f>
        <v>12.689493</v>
      </c>
      <c r="E23066" s="4">
        <f>IFERROR(__xludf.DUMMYFUNCTION("""COMPUTED_VALUE"""),79.982392)</f>
        <v>79.982392</v>
      </c>
      <c r="F23066" s="4">
        <f>IFERROR(__xludf.DUMMYFUNCTION("""COMPUTED_VALUE"""),2846.0)</f>
        <v>2846</v>
      </c>
      <c r="G23066" s="4">
        <f>IFERROR(__xludf.DUMMYFUNCTION("""COMPUTED_VALUE"""),29.0)</f>
        <v>29</v>
      </c>
      <c r="H23066" s="4"/>
      <c r="I23066" s="4"/>
    </row>
    <row r="23067">
      <c r="A23067" s="4" t="str">
        <f>IFERROR(__xludf.DUMMYFUNCTION("""COMPUTED_VALUE"""),"cas_hmw")</f>
        <v>cas_hmw</v>
      </c>
      <c r="B23067" s="5">
        <f>IFERROR(__xludf.DUMMYFUNCTION("""COMPUTED_VALUE"""),44791.0)</f>
        <v>44791</v>
      </c>
      <c r="C23067" s="6">
        <f>IFERROR(__xludf.DUMMYFUNCTION("""COMPUTED_VALUE"""),0.7150694444426335)</f>
        <v>0.7150694444</v>
      </c>
      <c r="D23067" s="4">
        <f>IFERROR(__xludf.DUMMYFUNCTION("""COMPUTED_VALUE"""),13.002899)</f>
        <v>13.002899</v>
      </c>
      <c r="E23067" s="4">
        <f>IFERROR(__xludf.DUMMYFUNCTION("""COMPUTED_VALUE"""),80.200667)</f>
        <v>80.200667</v>
      </c>
      <c r="F23067" s="4">
        <f>IFERROR(__xludf.DUMMYFUNCTION("""COMPUTED_VALUE"""),5339.0)</f>
        <v>5339</v>
      </c>
      <c r="G23067" s="4">
        <f>IFERROR(__xludf.DUMMYFUNCTION("""COMPUTED_VALUE"""),52.0)</f>
        <v>52</v>
      </c>
      <c r="H23067" s="4"/>
      <c r="I23067" s="4"/>
    </row>
    <row r="23068">
      <c r="A23068" s="4" t="str">
        <f>IFERROR(__xludf.DUMMYFUNCTION("""COMPUTED_VALUE"""),"cas_hmw")</f>
        <v>cas_hmw</v>
      </c>
      <c r="B23068" s="5">
        <f>IFERROR(__xludf.DUMMYFUNCTION("""COMPUTED_VALUE"""),44791.0)</f>
        <v>44791</v>
      </c>
      <c r="C23068" s="6">
        <f>IFERROR(__xludf.DUMMYFUNCTION("""COMPUTED_VALUE"""),0.7151504629619012)</f>
        <v>0.715150463</v>
      </c>
      <c r="D23068" s="4">
        <f>IFERROR(__xludf.DUMMYFUNCTION("""COMPUTED_VALUE"""),13.004034)</f>
        <v>13.004034</v>
      </c>
      <c r="E23068" s="4">
        <f>IFERROR(__xludf.DUMMYFUNCTION("""COMPUTED_VALUE"""),80.200986)</f>
        <v>80.200986</v>
      </c>
      <c r="F23068" s="4">
        <f>IFERROR(__xludf.DUMMYFUNCTION("""COMPUTED_VALUE"""),5339.0)</f>
        <v>5339</v>
      </c>
      <c r="G23068" s="4">
        <f>IFERROR(__xludf.DUMMYFUNCTION("""COMPUTED_VALUE"""),37.0)</f>
        <v>37</v>
      </c>
      <c r="H23068" s="4"/>
      <c r="I23068" s="4"/>
    </row>
    <row r="23069">
      <c r="A23069" s="4" t="str">
        <f>IFERROR(__xludf.DUMMYFUNCTION("""COMPUTED_VALUE"""),"cas_hmw")</f>
        <v>cas_hmw</v>
      </c>
      <c r="B23069" s="5">
        <f>IFERROR(__xludf.DUMMYFUNCTION("""COMPUTED_VALUE"""),44791.0)</f>
        <v>44791</v>
      </c>
      <c r="C23069" s="6">
        <f>IFERROR(__xludf.DUMMYFUNCTION("""COMPUTED_VALUE"""),0.7153240740735782)</f>
        <v>0.7153240741</v>
      </c>
      <c r="D23069" s="4">
        <f>IFERROR(__xludf.DUMMYFUNCTION("""COMPUTED_VALUE"""),13.004687)</f>
        <v>13.004687</v>
      </c>
      <c r="E23069" s="4">
        <f>IFERROR(__xludf.DUMMYFUNCTION("""COMPUTED_VALUE"""),80.20117)</f>
        <v>80.20117</v>
      </c>
      <c r="F23069" s="4">
        <f>IFERROR(__xludf.DUMMYFUNCTION("""COMPUTED_VALUE"""),5339.0)</f>
        <v>5339</v>
      </c>
      <c r="G23069" s="4">
        <f>IFERROR(__xludf.DUMMYFUNCTION("""COMPUTED_VALUE"""),27.0)</f>
        <v>27</v>
      </c>
      <c r="H23069" s="4"/>
      <c r="I23069" s="4"/>
    </row>
    <row r="23070">
      <c r="A23070" s="4" t="str">
        <f>IFERROR(__xludf.DUMMYFUNCTION("""COMPUTED_VALUE"""),"cas_hmw")</f>
        <v>cas_hmw</v>
      </c>
      <c r="B23070" s="5">
        <f>IFERROR(__xludf.DUMMYFUNCTION("""COMPUTED_VALUE"""),44791.0)</f>
        <v>44791</v>
      </c>
      <c r="C23070" s="6">
        <f>IFERROR(__xludf.DUMMYFUNCTION("""COMPUTED_VALUE"""),0.7154282407391293)</f>
        <v>0.7154282407</v>
      </c>
      <c r="D23070" s="4">
        <f>IFERROR(__xludf.DUMMYFUNCTION("""COMPUTED_VALUE"""),13.005493)</f>
        <v>13.005493</v>
      </c>
      <c r="E23070" s="4">
        <f>IFERROR(__xludf.DUMMYFUNCTION("""COMPUTED_VALUE"""),80.201685)</f>
        <v>80.201685</v>
      </c>
      <c r="F23070" s="4">
        <f>IFERROR(__xludf.DUMMYFUNCTION("""COMPUTED_VALUE"""),5339.0)</f>
        <v>5339</v>
      </c>
      <c r="G23070" s="4">
        <f>IFERROR(__xludf.DUMMYFUNCTION("""COMPUTED_VALUE"""),45.0)</f>
        <v>45</v>
      </c>
      <c r="H23070" s="4"/>
      <c r="I23070" s="4"/>
    </row>
    <row r="23071">
      <c r="A23071" s="4" t="str">
        <f>IFERROR(__xludf.DUMMYFUNCTION("""COMPUTED_VALUE"""),"cas_hmw")</f>
        <v>cas_hmw</v>
      </c>
      <c r="B23071" s="5">
        <f>IFERROR(__xludf.DUMMYFUNCTION("""COMPUTED_VALUE"""),44791.0)</f>
        <v>44791</v>
      </c>
      <c r="C23071" s="6">
        <f>IFERROR(__xludf.DUMMYFUNCTION("""COMPUTED_VALUE"""),0.7155092592583969)</f>
        <v>0.7155092593</v>
      </c>
      <c r="D23071" s="4">
        <f>IFERROR(__xludf.DUMMYFUNCTION("""COMPUTED_VALUE"""),13.006052)</f>
        <v>13.006052</v>
      </c>
      <c r="E23071" s="4">
        <f>IFERROR(__xludf.DUMMYFUNCTION("""COMPUTED_VALUE"""),80.202581)</f>
        <v>80.202581</v>
      </c>
      <c r="F23071" s="4">
        <f>IFERROR(__xludf.DUMMYFUNCTION("""COMPUTED_VALUE"""),5339.0)</f>
        <v>5339</v>
      </c>
      <c r="G23071" s="4">
        <f>IFERROR(__xludf.DUMMYFUNCTION("""COMPUTED_VALUE"""),33.0)</f>
        <v>33</v>
      </c>
      <c r="H23071" s="4"/>
      <c r="I23071" s="4"/>
    </row>
    <row r="23072">
      <c r="A23072" s="4" t="str">
        <f>IFERROR(__xludf.DUMMYFUNCTION("""COMPUTED_VALUE"""),"cas_hmw")</f>
        <v>cas_hmw</v>
      </c>
      <c r="B23072" s="5">
        <f>IFERROR(__xludf.DUMMYFUNCTION("""COMPUTED_VALUE"""),44791.0)</f>
        <v>44791</v>
      </c>
      <c r="C23072" s="6">
        <f>IFERROR(__xludf.DUMMYFUNCTION("""COMPUTED_VALUE"""),0.7156828703700739)</f>
        <v>0.7156828704</v>
      </c>
      <c r="D23072" s="4">
        <f>IFERROR(__xludf.DUMMYFUNCTION("""COMPUTED_VALUE"""),13.006588)</f>
        <v>13.006588</v>
      </c>
      <c r="E23072" s="4">
        <f>IFERROR(__xludf.DUMMYFUNCTION("""COMPUTED_VALUE"""),80.203203)</f>
        <v>80.203203</v>
      </c>
      <c r="F23072" s="4">
        <f>IFERROR(__xludf.DUMMYFUNCTION("""COMPUTED_VALUE"""),5339.0)</f>
        <v>5339</v>
      </c>
      <c r="G23072" s="4">
        <f>IFERROR(__xludf.DUMMYFUNCTION("""COMPUTED_VALUE"""),33.0)</f>
        <v>33</v>
      </c>
      <c r="H23072" s="4"/>
      <c r="I23072" s="4"/>
    </row>
    <row r="23073">
      <c r="A23073" s="4" t="str">
        <f>IFERROR(__xludf.DUMMYFUNCTION("""COMPUTED_VALUE"""),"cas_hmw")</f>
        <v>cas_hmw</v>
      </c>
      <c r="B23073" s="5">
        <f>IFERROR(__xludf.DUMMYFUNCTION("""COMPUTED_VALUE"""),44791.0)</f>
        <v>44791</v>
      </c>
      <c r="C23073" s="6">
        <f>IFERROR(__xludf.DUMMYFUNCTION("""COMPUTED_VALUE"""),0.716412037036207)</f>
        <v>0.716412037</v>
      </c>
      <c r="D23073" s="4">
        <f>IFERROR(__xludf.DUMMYFUNCTION("""COMPUTED_VALUE"""),13.007711)</f>
        <v>13.007711</v>
      </c>
      <c r="E23073" s="4">
        <f>IFERROR(__xludf.DUMMYFUNCTION("""COMPUTED_VALUE"""),80.206131)</f>
        <v>80.206131</v>
      </c>
      <c r="F23073" s="4">
        <f>IFERROR(__xludf.DUMMYFUNCTION("""COMPUTED_VALUE"""),5339.0)</f>
        <v>5339</v>
      </c>
      <c r="G23073" s="4">
        <f>IFERROR(__xludf.DUMMYFUNCTION("""COMPUTED_VALUE"""),61.0)</f>
        <v>61</v>
      </c>
      <c r="H23073" s="4"/>
      <c r="I23073" s="4"/>
    </row>
    <row r="23074">
      <c r="A23074" s="4" t="str">
        <f>IFERROR(__xludf.DUMMYFUNCTION("""COMPUTED_VALUE"""),"cas_hmw")</f>
        <v>cas_hmw</v>
      </c>
      <c r="B23074" s="5">
        <f>IFERROR(__xludf.DUMMYFUNCTION("""COMPUTED_VALUE"""),44791.0)</f>
        <v>44791</v>
      </c>
      <c r="C23074" s="6">
        <f>IFERROR(__xludf.DUMMYFUNCTION("""COMPUTED_VALUE"""),0.7165277777785377)</f>
        <v>0.7165277778</v>
      </c>
      <c r="D23074" s="4">
        <f>IFERROR(__xludf.DUMMYFUNCTION("""COMPUTED_VALUE"""),13.007905)</f>
        <v>13.007905</v>
      </c>
      <c r="E23074" s="4">
        <f>IFERROR(__xludf.DUMMYFUNCTION("""COMPUTED_VALUE"""),80.207494)</f>
        <v>80.207494</v>
      </c>
      <c r="F23074" s="4">
        <f>IFERROR(__xludf.DUMMYFUNCTION("""COMPUTED_VALUE"""),5339.0)</f>
        <v>5339</v>
      </c>
      <c r="G23074" s="4">
        <f>IFERROR(__xludf.DUMMYFUNCTION("""COMPUTED_VALUE"""),40.0)</f>
        <v>40</v>
      </c>
      <c r="H23074" s="4"/>
      <c r="I23074" s="4"/>
    </row>
    <row r="23075">
      <c r="A23075" s="4" t="str">
        <f>IFERROR(__xludf.DUMMYFUNCTION("""COMPUTED_VALUE"""),"cas_hmw")</f>
        <v>cas_hmw</v>
      </c>
      <c r="B23075" s="5">
        <f>IFERROR(__xludf.DUMMYFUNCTION("""COMPUTED_VALUE"""),44791.0)</f>
        <v>44791</v>
      </c>
      <c r="C23075" s="6">
        <f>IFERROR(__xludf.DUMMYFUNCTION("""COMPUTED_VALUE"""),0.7167824074058444)</f>
        <v>0.7167824074</v>
      </c>
      <c r="D23075" s="4">
        <f>IFERROR(__xludf.DUMMYFUNCTION("""COMPUTED_VALUE"""),13.008464)</f>
        <v>13.008464</v>
      </c>
      <c r="E23075" s="4">
        <f>IFERROR(__xludf.DUMMYFUNCTION("""COMPUTED_VALUE"""),80.210323)</f>
        <v>80.210323</v>
      </c>
      <c r="F23075" s="4">
        <f>IFERROR(__xludf.DUMMYFUNCTION("""COMPUTED_VALUE"""),5339.0)</f>
        <v>5339</v>
      </c>
      <c r="G23075" s="4">
        <f>IFERROR(__xludf.DUMMYFUNCTION("""COMPUTED_VALUE"""),45.0)</f>
        <v>45</v>
      </c>
      <c r="H23075" s="4"/>
      <c r="I23075" s="4"/>
    </row>
    <row r="23076">
      <c r="A23076" s="4" t="str">
        <f>IFERROR(__xludf.DUMMYFUNCTION("""COMPUTED_VALUE"""),"cas_hmw")</f>
        <v>cas_hmw</v>
      </c>
      <c r="B23076" s="5">
        <f>IFERROR(__xludf.DUMMYFUNCTION("""COMPUTED_VALUE"""),44791.0)</f>
        <v>44791</v>
      </c>
      <c r="C23076" s="6">
        <f>IFERROR(__xludf.DUMMYFUNCTION("""COMPUTED_VALUE"""),0.7169791666674428)</f>
        <v>0.7169791667</v>
      </c>
      <c r="D23076" s="4">
        <f>IFERROR(__xludf.DUMMYFUNCTION("""COMPUTED_VALUE"""),13.008836)</f>
        <v>13.008836</v>
      </c>
      <c r="E23076" s="4">
        <f>IFERROR(__xludf.DUMMYFUNCTION("""COMPUTED_VALUE"""),80.211307)</f>
        <v>80.211307</v>
      </c>
      <c r="F23076" s="4">
        <f>IFERROR(__xludf.DUMMYFUNCTION("""COMPUTED_VALUE"""),5339.0)</f>
        <v>5339</v>
      </c>
      <c r="G23076" s="4">
        <f>IFERROR(__xludf.DUMMYFUNCTION("""COMPUTED_VALUE"""),38.0)</f>
        <v>38</v>
      </c>
      <c r="H23076" s="4"/>
      <c r="I23076" s="4"/>
    </row>
    <row r="23077">
      <c r="A23077" s="4" t="str">
        <f>IFERROR(__xludf.DUMMYFUNCTION("""COMPUTED_VALUE"""),"cas_hmw")</f>
        <v>cas_hmw</v>
      </c>
      <c r="B23077" s="5">
        <f>IFERROR(__xludf.DUMMYFUNCTION("""COMPUTED_VALUE"""),44791.0)</f>
        <v>44791</v>
      </c>
      <c r="C23077" s="6">
        <f>IFERROR(__xludf.DUMMYFUNCTION("""COMPUTED_VALUE"""),0.7171990740753245)</f>
        <v>0.7171990741</v>
      </c>
      <c r="D23077" s="4">
        <f>IFERROR(__xludf.DUMMYFUNCTION("""COMPUTED_VALUE"""),13.00954)</f>
        <v>13.00954</v>
      </c>
      <c r="E23077" s="4">
        <f>IFERROR(__xludf.DUMMYFUNCTION("""COMPUTED_VALUE"""),80.213198)</f>
        <v>80.213198</v>
      </c>
      <c r="F23077" s="4">
        <f>IFERROR(__xludf.DUMMYFUNCTION("""COMPUTED_VALUE"""),5339.0)</f>
        <v>5339</v>
      </c>
      <c r="G23077" s="4">
        <f>IFERROR(__xludf.DUMMYFUNCTION("""COMPUTED_VALUE"""),39.0)</f>
        <v>39</v>
      </c>
      <c r="H23077" s="4"/>
      <c r="I23077" s="4"/>
    </row>
    <row r="23078">
      <c r="A23078" s="4" t="str">
        <f>IFERROR(__xludf.DUMMYFUNCTION("""COMPUTED_VALUE"""),"cas_hmw")</f>
        <v>cas_hmw</v>
      </c>
      <c r="B23078" s="5">
        <f>IFERROR(__xludf.DUMMYFUNCTION("""COMPUTED_VALUE"""),44791.0)</f>
        <v>44791</v>
      </c>
      <c r="C23078" s="6">
        <f>IFERROR(__xludf.DUMMYFUNCTION("""COMPUTED_VALUE"""),0.7175694444449618)</f>
        <v>0.7175694444</v>
      </c>
      <c r="D23078" s="4">
        <f>IFERROR(__xludf.DUMMYFUNCTION("""COMPUTED_VALUE"""),13.010445)</f>
        <v>13.010445</v>
      </c>
      <c r="E23078" s="4">
        <f>IFERROR(__xludf.DUMMYFUNCTION("""COMPUTED_VALUE"""),80.216089)</f>
        <v>80.216089</v>
      </c>
      <c r="F23078" s="4">
        <f>IFERROR(__xludf.DUMMYFUNCTION("""COMPUTED_VALUE"""),5339.0)</f>
        <v>5339</v>
      </c>
      <c r="G23078" s="4">
        <f>IFERROR(__xludf.DUMMYFUNCTION("""COMPUTED_VALUE"""),45.0)</f>
        <v>45</v>
      </c>
      <c r="H23078" s="4"/>
      <c r="I23078" s="4"/>
    </row>
    <row r="23079">
      <c r="A23079" s="4" t="str">
        <f>IFERROR(__xludf.DUMMYFUNCTION("""COMPUTED_VALUE"""),"cas_hmw")</f>
        <v>cas_hmw</v>
      </c>
      <c r="B23079" s="5">
        <f>IFERROR(__xludf.DUMMYFUNCTION("""COMPUTED_VALUE"""),44791.0)</f>
        <v>44791</v>
      </c>
      <c r="C23079" s="6">
        <f>IFERROR(__xludf.DUMMYFUNCTION("""COMPUTED_VALUE"""),0.7183912037035043)</f>
        <v>0.7183912037</v>
      </c>
      <c r="D23079" s="4">
        <f>IFERROR(__xludf.DUMMYFUNCTION("""COMPUTED_VALUE"""),13.013674)</f>
        <v>13.013674</v>
      </c>
      <c r="E23079" s="4">
        <f>IFERROR(__xludf.DUMMYFUNCTION("""COMPUTED_VALUE"""),80.222934)</f>
        <v>80.222934</v>
      </c>
      <c r="F23079" s="4">
        <f>IFERROR(__xludf.DUMMYFUNCTION("""COMPUTED_VALUE"""),5339.0)</f>
        <v>5339</v>
      </c>
      <c r="G23079" s="4">
        <f>IFERROR(__xludf.DUMMYFUNCTION("""COMPUTED_VALUE"""),34.0)</f>
        <v>34</v>
      </c>
      <c r="H23079" s="4"/>
      <c r="I23079" s="4"/>
    </row>
    <row r="23080">
      <c r="A23080" s="4" t="str">
        <f>IFERROR(__xludf.DUMMYFUNCTION("""COMPUTED_VALUE"""),"cas_hmw")</f>
        <v>cas_hmw</v>
      </c>
      <c r="B23080" s="5">
        <f>IFERROR(__xludf.DUMMYFUNCTION("""COMPUTED_VALUE"""),44791.0)</f>
        <v>44791</v>
      </c>
      <c r="C23080" s="6">
        <f>IFERROR(__xludf.DUMMYFUNCTION("""COMPUTED_VALUE"""),0.7190856481465744)</f>
        <v>0.7190856481</v>
      </c>
      <c r="D23080" s="4">
        <f>IFERROR(__xludf.DUMMYFUNCTION("""COMPUTED_VALUE"""),13.015738)</f>
        <v>13.015738</v>
      </c>
      <c r="E23080" s="4">
        <f>IFERROR(__xludf.DUMMYFUNCTION("""COMPUTED_VALUE"""),80.225223)</f>
        <v>80.225223</v>
      </c>
      <c r="F23080" s="4">
        <f>IFERROR(__xludf.DUMMYFUNCTION("""COMPUTED_VALUE"""),5339.0)</f>
        <v>5339</v>
      </c>
      <c r="G23080" s="4">
        <f>IFERROR(__xludf.DUMMYFUNCTION("""COMPUTED_VALUE"""),31.0)</f>
        <v>31</v>
      </c>
      <c r="H23080" s="4"/>
      <c r="I23080" s="4"/>
    </row>
    <row r="23081">
      <c r="A23081" s="4" t="str">
        <f>IFERROR(__xludf.DUMMYFUNCTION("""COMPUTED_VALUE"""),"cas_hmw")</f>
        <v>cas_hmw</v>
      </c>
      <c r="B23081" s="5">
        <f>IFERROR(__xludf.DUMMYFUNCTION("""COMPUTED_VALUE"""),44791.0)</f>
        <v>44791</v>
      </c>
      <c r="C23081" s="6">
        <f>IFERROR(__xludf.DUMMYFUNCTION("""COMPUTED_VALUE"""),0.7199768518512428)</f>
        <v>0.7199768519</v>
      </c>
      <c r="D23081" s="4">
        <f>IFERROR(__xludf.DUMMYFUNCTION("""COMPUTED_VALUE"""),13.019913)</f>
        <v>13.019913</v>
      </c>
      <c r="E23081" s="4">
        <f>IFERROR(__xludf.DUMMYFUNCTION("""COMPUTED_VALUE"""),80.224597)</f>
        <v>80.224597</v>
      </c>
      <c r="F23081" s="4">
        <f>IFERROR(__xludf.DUMMYFUNCTION("""COMPUTED_VALUE"""),5339.0)</f>
        <v>5339</v>
      </c>
      <c r="G23081" s="4">
        <f>IFERROR(__xludf.DUMMYFUNCTION("""COMPUTED_VALUE"""),21.0)</f>
        <v>21</v>
      </c>
      <c r="H23081" s="4"/>
      <c r="I23081" s="4"/>
    </row>
    <row r="23082">
      <c r="A23082" s="4" t="str">
        <f>IFERROR(__xludf.DUMMYFUNCTION("""COMPUTED_VALUE"""),"cas_hmw")</f>
        <v>cas_hmw</v>
      </c>
      <c r="B23082" s="5">
        <f>IFERROR(__xludf.DUMMYFUNCTION("""COMPUTED_VALUE"""),44791.0)</f>
        <v>44791</v>
      </c>
      <c r="C23082" s="6">
        <f>IFERROR(__xludf.DUMMYFUNCTION("""COMPUTED_VALUE"""),0.7200810185167938)</f>
        <v>0.7200810185</v>
      </c>
      <c r="D23082" s="4">
        <f>IFERROR(__xludf.DUMMYFUNCTION("""COMPUTED_VALUE"""),13.020432)</f>
        <v>13.020432</v>
      </c>
      <c r="E23082" s="4">
        <f>IFERROR(__xludf.DUMMYFUNCTION("""COMPUTED_VALUE"""),80.224987)</f>
        <v>80.224987</v>
      </c>
      <c r="F23082" s="4">
        <f>IFERROR(__xludf.DUMMYFUNCTION("""COMPUTED_VALUE"""),5339.0)</f>
        <v>5339</v>
      </c>
      <c r="G23082" s="4">
        <f>IFERROR(__xludf.DUMMYFUNCTION("""COMPUTED_VALUE"""),30.0)</f>
        <v>30</v>
      </c>
      <c r="H23082" s="4"/>
      <c r="I23082" s="4"/>
    </row>
    <row r="23083">
      <c r="A23083" s="4" t="str">
        <f>IFERROR(__xludf.DUMMYFUNCTION("""COMPUTED_VALUE"""),"cas_hmw")</f>
        <v>cas_hmw</v>
      </c>
      <c r="B23083" s="5">
        <f>IFERROR(__xludf.DUMMYFUNCTION("""COMPUTED_VALUE"""),44791.0)</f>
        <v>44791</v>
      </c>
      <c r="C23083" s="6">
        <f>IFERROR(__xludf.DUMMYFUNCTION("""COMPUTED_VALUE"""),0.7200925925935735)</f>
        <v>0.7200925926</v>
      </c>
      <c r="D23083" s="4">
        <f>IFERROR(__xludf.DUMMYFUNCTION("""COMPUTED_VALUE"""),13.020432)</f>
        <v>13.020432</v>
      </c>
      <c r="E23083" s="4">
        <f>IFERROR(__xludf.DUMMYFUNCTION("""COMPUTED_VALUE"""),80.224987)</f>
        <v>80.224987</v>
      </c>
      <c r="F23083" s="4">
        <f>IFERROR(__xludf.DUMMYFUNCTION("""COMPUTED_VALUE"""),5339.0)</f>
        <v>5339</v>
      </c>
      <c r="G23083" s="4">
        <f>IFERROR(__xludf.DUMMYFUNCTION("""COMPUTED_VALUE"""),30.0)</f>
        <v>30</v>
      </c>
      <c r="H23083" s="4"/>
      <c r="I23083" s="4"/>
    </row>
    <row r="23084">
      <c r="A23084" s="4" t="str">
        <f>IFERROR(__xludf.DUMMYFUNCTION("""COMPUTED_VALUE"""),"cas_hmw")</f>
        <v>cas_hmw</v>
      </c>
      <c r="B23084" s="5">
        <f>IFERROR(__xludf.DUMMYFUNCTION("""COMPUTED_VALUE"""),44791.0)</f>
        <v>44791</v>
      </c>
      <c r="C23084" s="6">
        <f>IFERROR(__xludf.DUMMYFUNCTION("""COMPUTED_VALUE"""),0.7225347222229175)</f>
        <v>0.7225347222</v>
      </c>
      <c r="D23084" s="4">
        <f>IFERROR(__xludf.DUMMYFUNCTION("""COMPUTED_VALUE"""),13.026478)</f>
        <v>13.026478</v>
      </c>
      <c r="E23084" s="4">
        <f>IFERROR(__xludf.DUMMYFUNCTION("""COMPUTED_VALUE"""),80.232723)</f>
        <v>80.232723</v>
      </c>
      <c r="F23084" s="4">
        <f>IFERROR(__xludf.DUMMYFUNCTION("""COMPUTED_VALUE"""),5339.0)</f>
        <v>5339</v>
      </c>
      <c r="G23084" s="4">
        <f>IFERROR(__xludf.DUMMYFUNCTION("""COMPUTED_VALUE"""),20.0)</f>
        <v>20</v>
      </c>
      <c r="H23084" s="4"/>
      <c r="I23084" s="4"/>
    </row>
    <row r="23085">
      <c r="A23085" s="4" t="str">
        <f>IFERROR(__xludf.DUMMYFUNCTION("""COMPUTED_VALUE"""),"cas_hmw")</f>
        <v>cas_hmw</v>
      </c>
      <c r="B23085" s="5">
        <f>IFERROR(__xludf.DUMMYFUNCTION("""COMPUTED_VALUE"""),44791.0)</f>
        <v>44791</v>
      </c>
      <c r="C23085" s="6">
        <f>IFERROR(__xludf.DUMMYFUNCTION("""COMPUTED_VALUE"""),0.7227430555540195)</f>
        <v>0.7227430556</v>
      </c>
      <c r="D23085" s="4">
        <f>IFERROR(__xludf.DUMMYFUNCTION("""COMPUTED_VALUE"""),13.027107)</f>
        <v>13.027107</v>
      </c>
      <c r="E23085" s="4">
        <f>IFERROR(__xludf.DUMMYFUNCTION("""COMPUTED_VALUE"""),80.233811)</f>
        <v>80.233811</v>
      </c>
      <c r="F23085" s="4">
        <f>IFERROR(__xludf.DUMMYFUNCTION("""COMPUTED_VALUE"""),5339.0)</f>
        <v>5339</v>
      </c>
      <c r="G23085" s="4">
        <f>IFERROR(__xludf.DUMMYFUNCTION("""COMPUTED_VALUE"""),30.0)</f>
        <v>30</v>
      </c>
      <c r="H23085" s="4"/>
      <c r="I23085" s="4"/>
    </row>
    <row r="23086">
      <c r="A23086" s="4" t="str">
        <f>IFERROR(__xludf.DUMMYFUNCTION("""COMPUTED_VALUE"""),"cas_hmw")</f>
        <v>cas_hmw</v>
      </c>
      <c r="B23086" s="5">
        <f>IFERROR(__xludf.DUMMYFUNCTION("""COMPUTED_VALUE"""),44791.0)</f>
        <v>44791</v>
      </c>
      <c r="C23086" s="6">
        <f>IFERROR(__xludf.DUMMYFUNCTION("""COMPUTED_VALUE"""),0.7231597222234996)</f>
        <v>0.7231597222</v>
      </c>
      <c r="D23086" s="4">
        <f>IFERROR(__xludf.DUMMYFUNCTION("""COMPUTED_VALUE"""),13.028558)</f>
        <v>13.028558</v>
      </c>
      <c r="E23086" s="4">
        <f>IFERROR(__xludf.DUMMYFUNCTION("""COMPUTED_VALUE"""),80.23597)</f>
        <v>80.23597</v>
      </c>
      <c r="F23086" s="4">
        <f>IFERROR(__xludf.DUMMYFUNCTION("""COMPUTED_VALUE"""),5339.0)</f>
        <v>5339</v>
      </c>
      <c r="G23086" s="4">
        <f>IFERROR(__xludf.DUMMYFUNCTION("""COMPUTED_VALUE"""),29.0)</f>
        <v>29</v>
      </c>
      <c r="H23086" s="4"/>
      <c r="I23086" s="4"/>
    </row>
    <row r="23087">
      <c r="A23087" s="4" t="str">
        <f>IFERROR(__xludf.DUMMYFUNCTION("""COMPUTED_VALUE"""),"cas_hmw")</f>
        <v>cas_hmw</v>
      </c>
      <c r="B23087" s="5">
        <f>IFERROR(__xludf.DUMMYFUNCTION("""COMPUTED_VALUE"""),44791.0)</f>
        <v>44791</v>
      </c>
      <c r="C23087" s="6">
        <f>IFERROR(__xludf.DUMMYFUNCTION("""COMPUTED_VALUE"""),0.7232407407391293)</f>
        <v>0.7232407407</v>
      </c>
      <c r="D23087" s="4">
        <f>IFERROR(__xludf.DUMMYFUNCTION("""COMPUTED_VALUE"""),13.028558)</f>
        <v>13.028558</v>
      </c>
      <c r="E23087" s="4">
        <f>IFERROR(__xludf.DUMMYFUNCTION("""COMPUTED_VALUE"""),80.23597)</f>
        <v>80.23597</v>
      </c>
      <c r="F23087" s="4">
        <f>IFERROR(__xludf.DUMMYFUNCTION("""COMPUTED_VALUE"""),5339.0)</f>
        <v>5339</v>
      </c>
      <c r="G23087" s="4">
        <f>IFERROR(__xludf.DUMMYFUNCTION("""COMPUTED_VALUE"""),29.0)</f>
        <v>29</v>
      </c>
      <c r="H23087" s="4"/>
      <c r="I23087" s="4"/>
    </row>
    <row r="23088">
      <c r="A23088" s="4" t="str">
        <f>IFERROR(__xludf.DUMMYFUNCTION("""COMPUTED_VALUE"""),"cas_hmw")</f>
        <v>cas_hmw</v>
      </c>
      <c r="B23088" s="5">
        <f>IFERROR(__xludf.DUMMYFUNCTION("""COMPUTED_VALUE"""),44791.0)</f>
        <v>44791</v>
      </c>
      <c r="C23088" s="6">
        <f>IFERROR(__xludf.DUMMYFUNCTION("""COMPUTED_VALUE"""),0.7241087962975143)</f>
        <v>0.7241087963</v>
      </c>
      <c r="D23088" s="4">
        <f>IFERROR(__xludf.DUMMYFUNCTION("""COMPUTED_VALUE"""),13.030264)</f>
        <v>13.030264</v>
      </c>
      <c r="E23088" s="4">
        <f>IFERROR(__xludf.DUMMYFUNCTION("""COMPUTED_VALUE"""),80.238216)</f>
        <v>80.238216</v>
      </c>
      <c r="F23088" s="4">
        <f>IFERROR(__xludf.DUMMYFUNCTION("""COMPUTED_VALUE"""),5339.0)</f>
        <v>5339</v>
      </c>
      <c r="G23088" s="4">
        <f>IFERROR(__xludf.DUMMYFUNCTION("""COMPUTED_VALUE"""),25.0)</f>
        <v>25</v>
      </c>
      <c r="H23088" s="4"/>
      <c r="I23088" s="4"/>
    </row>
    <row r="23089">
      <c r="A23089" s="4" t="str">
        <f>IFERROR(__xludf.DUMMYFUNCTION("""COMPUTED_VALUE"""),"cas_hmw")</f>
        <v>cas_hmw</v>
      </c>
      <c r="B23089" s="5">
        <f>IFERROR(__xludf.DUMMYFUNCTION("""COMPUTED_VALUE"""),44791.0)</f>
        <v>44791</v>
      </c>
      <c r="C23089" s="6">
        <f>IFERROR(__xludf.DUMMYFUNCTION("""COMPUTED_VALUE"""),0.7247222222213168)</f>
        <v>0.7247222222</v>
      </c>
      <c r="D23089" s="4">
        <f>IFERROR(__xludf.DUMMYFUNCTION("""COMPUTED_VALUE"""),13.031842)</f>
        <v>13.031842</v>
      </c>
      <c r="E23089" s="4">
        <f>IFERROR(__xludf.DUMMYFUNCTION("""COMPUTED_VALUE"""),80.241189)</f>
        <v>80.241189</v>
      </c>
      <c r="F23089" s="4">
        <f>IFERROR(__xludf.DUMMYFUNCTION("""COMPUTED_VALUE"""),5339.0)</f>
        <v>5339</v>
      </c>
      <c r="G23089" s="4">
        <f>IFERROR(__xludf.DUMMYFUNCTION("""COMPUTED_VALUE"""),36.0)</f>
        <v>36</v>
      </c>
      <c r="H23089" s="4"/>
      <c r="I23089" s="4"/>
    </row>
    <row r="23090">
      <c r="A23090" s="4" t="str">
        <f>IFERROR(__xludf.DUMMYFUNCTION("""COMPUTED_VALUE"""),"cas_hmw")</f>
        <v>cas_hmw</v>
      </c>
      <c r="B23090" s="5">
        <f>IFERROR(__xludf.DUMMYFUNCTION("""COMPUTED_VALUE"""),44791.0)</f>
        <v>44791</v>
      </c>
      <c r="C23090" s="6">
        <f>IFERROR(__xludf.DUMMYFUNCTION("""COMPUTED_VALUE"""),0.7248263888905058)</f>
        <v>0.7248263889</v>
      </c>
      <c r="D23090" s="4">
        <f>IFERROR(__xludf.DUMMYFUNCTION("""COMPUTED_VALUE"""),13.032248)</f>
        <v>13.032248</v>
      </c>
      <c r="E23090" s="4">
        <f>IFERROR(__xludf.DUMMYFUNCTION("""COMPUTED_VALUE"""),80.24204)</f>
        <v>80.24204</v>
      </c>
      <c r="F23090" s="4">
        <f>IFERROR(__xludf.DUMMYFUNCTION("""COMPUTED_VALUE"""),5339.0)</f>
        <v>5339</v>
      </c>
      <c r="G23090" s="4">
        <f>IFERROR(__xludf.DUMMYFUNCTION("""COMPUTED_VALUE"""),34.0)</f>
        <v>34</v>
      </c>
      <c r="H23090" s="4"/>
      <c r="I23090" s="4"/>
    </row>
    <row r="23091">
      <c r="A23091" s="4" t="str">
        <f>IFERROR(__xludf.DUMMYFUNCTION("""COMPUTED_VALUE"""),"cas_hmw")</f>
        <v>cas_hmw</v>
      </c>
      <c r="B23091" s="5">
        <f>IFERROR(__xludf.DUMMYFUNCTION("""COMPUTED_VALUE"""),44791.0)</f>
        <v>44791</v>
      </c>
      <c r="C23091" s="6">
        <f>IFERROR(__xludf.DUMMYFUNCTION("""COMPUTED_VALUE"""),0.7250694444446708)</f>
        <v>0.7250694444</v>
      </c>
      <c r="D23091" s="4">
        <f>IFERROR(__xludf.DUMMYFUNCTION("""COMPUTED_VALUE"""),12.963882)</f>
        <v>12.963882</v>
      </c>
      <c r="E23091" s="4">
        <f>IFERROR(__xludf.DUMMYFUNCTION("""COMPUTED_VALUE"""),80.214519)</f>
        <v>80.214519</v>
      </c>
      <c r="F23091" s="4">
        <f>IFERROR(__xludf.DUMMYFUNCTION("""COMPUTED_VALUE"""),3143.0)</f>
        <v>3143</v>
      </c>
      <c r="G23091" s="4">
        <f>IFERROR(__xludf.DUMMYFUNCTION("""COMPUTED_VALUE"""),22.0)</f>
        <v>22</v>
      </c>
      <c r="H23091" s="4"/>
      <c r="I23091" s="4"/>
    </row>
    <row r="23092">
      <c r="A23092" s="4" t="str">
        <f>IFERROR(__xludf.DUMMYFUNCTION("""COMPUTED_VALUE"""),"cas_hmw")</f>
        <v>cas_hmw</v>
      </c>
      <c r="B23092" s="5">
        <f>IFERROR(__xludf.DUMMYFUNCTION("""COMPUTED_VALUE"""),44791.0)</f>
        <v>44791</v>
      </c>
      <c r="C23092" s="6">
        <f>IFERROR(__xludf.DUMMYFUNCTION("""COMPUTED_VALUE"""),0.7250694444446708)</f>
        <v>0.7250694444</v>
      </c>
      <c r="D23092" s="4">
        <f>IFERROR(__xludf.DUMMYFUNCTION("""COMPUTED_VALUE"""),12.963882)</f>
        <v>12.963882</v>
      </c>
      <c r="E23092" s="4">
        <f>IFERROR(__xludf.DUMMYFUNCTION("""COMPUTED_VALUE"""),80.214519)</f>
        <v>80.214519</v>
      </c>
      <c r="F23092" s="4">
        <f>IFERROR(__xludf.DUMMYFUNCTION("""COMPUTED_VALUE"""),3143.0)</f>
        <v>3143</v>
      </c>
      <c r="G23092" s="4">
        <f>IFERROR(__xludf.DUMMYFUNCTION("""COMPUTED_VALUE"""),22.0)</f>
        <v>22</v>
      </c>
      <c r="H23092" s="4"/>
      <c r="I23092" s="4"/>
    </row>
    <row r="23093">
      <c r="A23093" s="4" t="str">
        <f>IFERROR(__xludf.DUMMYFUNCTION("""COMPUTED_VALUE"""),"cas_hmw")</f>
        <v>cas_hmw</v>
      </c>
      <c r="B23093" s="5">
        <f>IFERROR(__xludf.DUMMYFUNCTION("""COMPUTED_VALUE"""),44791.0)</f>
        <v>44791</v>
      </c>
      <c r="C23093" s="6">
        <f>IFERROR(__xludf.DUMMYFUNCTION("""COMPUTED_VALUE"""),0.7255092592604342)</f>
        <v>0.7255092593</v>
      </c>
      <c r="D23093" s="4">
        <f>IFERROR(__xludf.DUMMYFUNCTION("""COMPUTED_VALUE"""),13.034031)</f>
        <v>13.034031</v>
      </c>
      <c r="E23093" s="4">
        <f>IFERROR(__xludf.DUMMYFUNCTION("""COMPUTED_VALUE"""),80.244572)</f>
        <v>80.244572</v>
      </c>
      <c r="F23093" s="4">
        <f>IFERROR(__xludf.DUMMYFUNCTION("""COMPUTED_VALUE"""),5339.0)</f>
        <v>5339</v>
      </c>
      <c r="G23093" s="4">
        <f>IFERROR(__xludf.DUMMYFUNCTION("""COMPUTED_VALUE"""),30.0)</f>
        <v>30</v>
      </c>
      <c r="H23093" s="4"/>
      <c r="I23093" s="4"/>
    </row>
    <row r="23094">
      <c r="A23094" s="4" t="str">
        <f>IFERROR(__xludf.DUMMYFUNCTION("""COMPUTED_VALUE"""),"cas_hmw")</f>
        <v>cas_hmw</v>
      </c>
      <c r="B23094" s="5">
        <f>IFERROR(__xludf.DUMMYFUNCTION("""COMPUTED_VALUE"""),44791.0)</f>
        <v>44791</v>
      </c>
      <c r="C23094" s="6">
        <f>IFERROR(__xludf.DUMMYFUNCTION("""COMPUTED_VALUE"""),0.7255671296297805)</f>
        <v>0.7255671296</v>
      </c>
      <c r="D23094" s="4">
        <f>IFERROR(__xludf.DUMMYFUNCTION("""COMPUTED_VALUE"""),13.034031)</f>
        <v>13.034031</v>
      </c>
      <c r="E23094" s="4">
        <f>IFERROR(__xludf.DUMMYFUNCTION("""COMPUTED_VALUE"""),80.244572)</f>
        <v>80.244572</v>
      </c>
      <c r="F23094" s="4">
        <f>IFERROR(__xludf.DUMMYFUNCTION("""COMPUTED_VALUE"""),5339.0)</f>
        <v>5339</v>
      </c>
      <c r="G23094" s="4">
        <f>IFERROR(__xludf.DUMMYFUNCTION("""COMPUTED_VALUE"""),30.0)</f>
        <v>30</v>
      </c>
      <c r="H23094" s="4"/>
      <c r="I23094" s="4"/>
    </row>
    <row r="23095">
      <c r="A23095" s="4" t="str">
        <f>IFERROR(__xludf.DUMMYFUNCTION("""COMPUTED_VALUE"""),"cas_hmw")</f>
        <v>cas_hmw</v>
      </c>
      <c r="B23095" s="5">
        <f>IFERROR(__xludf.DUMMYFUNCTION("""COMPUTED_VALUE"""),44791.0)</f>
        <v>44791</v>
      </c>
      <c r="C23095" s="6">
        <f>IFERROR(__xludf.DUMMYFUNCTION("""COMPUTED_VALUE"""),0.7256481481490482)</f>
        <v>0.7256481481</v>
      </c>
      <c r="D23095" s="4">
        <f>IFERROR(__xludf.DUMMYFUNCTION("""COMPUTED_VALUE"""),12.965061)</f>
        <v>12.965061</v>
      </c>
      <c r="E23095" s="4">
        <f>IFERROR(__xludf.DUMMYFUNCTION("""COMPUTED_VALUE"""),80.216576)</f>
        <v>80.216576</v>
      </c>
      <c r="F23095" s="4">
        <f>IFERROR(__xludf.DUMMYFUNCTION("""COMPUTED_VALUE"""),3143.0)</f>
        <v>3143</v>
      </c>
      <c r="G23095" s="4">
        <f>IFERROR(__xludf.DUMMYFUNCTION("""COMPUTED_VALUE"""),44.0)</f>
        <v>44</v>
      </c>
      <c r="H23095" s="4"/>
      <c r="I23095" s="4"/>
    </row>
    <row r="23096">
      <c r="A23096" s="4" t="str">
        <f>IFERROR(__xludf.DUMMYFUNCTION("""COMPUTED_VALUE"""),"cas_hmw")</f>
        <v>cas_hmw</v>
      </c>
      <c r="B23096" s="5">
        <f>IFERROR(__xludf.DUMMYFUNCTION("""COMPUTED_VALUE"""),44791.0)</f>
        <v>44791</v>
      </c>
      <c r="C23096" s="6">
        <f>IFERROR(__xludf.DUMMYFUNCTION("""COMPUTED_VALUE"""),0.7256944444452529)</f>
        <v>0.7256944444</v>
      </c>
      <c r="D23096" s="4">
        <f>IFERROR(__xludf.DUMMYFUNCTION("""COMPUTED_VALUE"""),12.966136)</f>
        <v>12.966136</v>
      </c>
      <c r="E23096" s="4">
        <f>IFERROR(__xludf.DUMMYFUNCTION("""COMPUTED_VALUE"""),80.216991)</f>
        <v>80.216991</v>
      </c>
      <c r="F23096" s="4">
        <f>IFERROR(__xludf.DUMMYFUNCTION("""COMPUTED_VALUE"""),3143.0)</f>
        <v>3143</v>
      </c>
      <c r="G23096" s="4">
        <f>IFERROR(__xludf.DUMMYFUNCTION("""COMPUTED_VALUE"""),46.0)</f>
        <v>46</v>
      </c>
      <c r="H23096" s="4"/>
      <c r="I23096" s="4"/>
    </row>
    <row r="23097">
      <c r="A23097" s="4" t="str">
        <f>IFERROR(__xludf.DUMMYFUNCTION("""COMPUTED_VALUE"""),"cas_hmw")</f>
        <v>cas_hmw</v>
      </c>
      <c r="B23097" s="5">
        <f>IFERROR(__xludf.DUMMYFUNCTION("""COMPUTED_VALUE"""),44791.0)</f>
        <v>44791</v>
      </c>
      <c r="C23097" s="6">
        <f>IFERROR(__xludf.DUMMYFUNCTION("""COMPUTED_VALUE"""),0.7259837962956226)</f>
        <v>0.7259837963</v>
      </c>
      <c r="D23097" s="4">
        <f>IFERROR(__xludf.DUMMYFUNCTION("""COMPUTED_VALUE"""),13.036319)</f>
        <v>13.036319</v>
      </c>
      <c r="E23097" s="4">
        <f>IFERROR(__xludf.DUMMYFUNCTION("""COMPUTED_VALUE"""),80.246238)</f>
        <v>80.246238</v>
      </c>
      <c r="F23097" s="4">
        <f>IFERROR(__xludf.DUMMYFUNCTION("""COMPUTED_VALUE"""),5339.0)</f>
        <v>5339</v>
      </c>
      <c r="G23097" s="4">
        <f>IFERROR(__xludf.DUMMYFUNCTION("""COMPUTED_VALUE"""),40.0)</f>
        <v>40</v>
      </c>
      <c r="H23097" s="4"/>
      <c r="I23097" s="4"/>
    </row>
    <row r="23098">
      <c r="A23098" s="4" t="str">
        <f>IFERROR(__xludf.DUMMYFUNCTION("""COMPUTED_VALUE"""),"cas_hmw")</f>
        <v>cas_hmw</v>
      </c>
      <c r="B23098" s="5">
        <f>IFERROR(__xludf.DUMMYFUNCTION("""COMPUTED_VALUE"""),44791.0)</f>
        <v>44791</v>
      </c>
      <c r="C23098" s="6">
        <f>IFERROR(__xludf.DUMMYFUNCTION("""COMPUTED_VALUE"""),0.7279976851859828)</f>
        <v>0.7279976852</v>
      </c>
      <c r="D23098" s="4">
        <f>IFERROR(__xludf.DUMMYFUNCTION("""COMPUTED_VALUE"""),12.976951)</f>
        <v>12.976951</v>
      </c>
      <c r="E23098" s="4">
        <f>IFERROR(__xludf.DUMMYFUNCTION("""COMPUTED_VALUE"""),80.222713)</f>
        <v>80.222713</v>
      </c>
      <c r="F23098" s="4">
        <f>IFERROR(__xludf.DUMMYFUNCTION("""COMPUTED_VALUE"""),3143.0)</f>
        <v>3143</v>
      </c>
      <c r="G23098" s="4">
        <f>IFERROR(__xludf.DUMMYFUNCTION("""COMPUTED_VALUE"""),41.0)</f>
        <v>41</v>
      </c>
      <c r="H23098" s="4"/>
      <c r="I23098" s="4"/>
    </row>
    <row r="23099">
      <c r="A23099" s="4" t="str">
        <f>IFERROR(__xludf.DUMMYFUNCTION("""COMPUTED_VALUE"""),"cas_hmw")</f>
        <v>cas_hmw</v>
      </c>
      <c r="B23099" s="5">
        <f>IFERROR(__xludf.DUMMYFUNCTION("""COMPUTED_VALUE"""),44791.0)</f>
        <v>44791</v>
      </c>
      <c r="C23099" s="6">
        <f>IFERROR(__xludf.DUMMYFUNCTION("""COMPUTED_VALUE"""),0.7281712962976599)</f>
        <v>0.7281712963</v>
      </c>
      <c r="D23099" s="4">
        <f>IFERROR(__xludf.DUMMYFUNCTION("""COMPUTED_VALUE"""),12.977542)</f>
        <v>12.977542</v>
      </c>
      <c r="E23099" s="4">
        <f>IFERROR(__xludf.DUMMYFUNCTION("""COMPUTED_VALUE"""),80.223642)</f>
        <v>80.223642</v>
      </c>
      <c r="F23099" s="4">
        <f>IFERROR(__xludf.DUMMYFUNCTION("""COMPUTED_VALUE"""),3143.0)</f>
        <v>3143</v>
      </c>
      <c r="G23099" s="4">
        <f>IFERROR(__xludf.DUMMYFUNCTION("""COMPUTED_VALUE"""),39.0)</f>
        <v>39</v>
      </c>
      <c r="H23099" s="4"/>
      <c r="I23099" s="4"/>
    </row>
    <row r="23100">
      <c r="A23100" s="4" t="str">
        <f>IFERROR(__xludf.DUMMYFUNCTION("""COMPUTED_VALUE"""),"cas_hmw")</f>
        <v>cas_hmw</v>
      </c>
      <c r="B23100" s="5">
        <f>IFERROR(__xludf.DUMMYFUNCTION("""COMPUTED_VALUE"""),44791.0)</f>
        <v>44791</v>
      </c>
      <c r="C23100" s="6">
        <f>IFERROR(__xludf.DUMMYFUNCTION("""COMPUTED_VALUE"""),0.7294791666681704)</f>
        <v>0.7294791667</v>
      </c>
      <c r="D23100" s="4">
        <f>IFERROR(__xludf.DUMMYFUNCTION("""COMPUTED_VALUE"""),12.97929)</f>
        <v>12.97929</v>
      </c>
      <c r="E23100" s="4">
        <f>IFERROR(__xludf.DUMMYFUNCTION("""COMPUTED_VALUE"""),80.226445)</f>
        <v>80.226445</v>
      </c>
      <c r="F23100" s="4">
        <f>IFERROR(__xludf.DUMMYFUNCTION("""COMPUTED_VALUE"""),3143.0)</f>
        <v>3143</v>
      </c>
      <c r="G23100" s="4">
        <f>IFERROR(__xludf.DUMMYFUNCTION("""COMPUTED_VALUE"""),0.0)</f>
        <v>0</v>
      </c>
      <c r="H23100" s="4"/>
      <c r="I23100" s="4"/>
    </row>
    <row r="23101">
      <c r="A23101" s="4" t="str">
        <f>IFERROR(__xludf.DUMMYFUNCTION("""COMPUTED_VALUE"""),"cas_hmw")</f>
        <v>cas_hmw</v>
      </c>
      <c r="B23101" s="5">
        <f>IFERROR(__xludf.DUMMYFUNCTION("""COMPUTED_VALUE"""),44791.0)</f>
        <v>44791</v>
      </c>
      <c r="C23101" s="6">
        <f>IFERROR(__xludf.DUMMYFUNCTION("""COMPUTED_VALUE"""),0.7295370370375167)</f>
        <v>0.729537037</v>
      </c>
      <c r="D23101" s="4">
        <f>IFERROR(__xludf.DUMMYFUNCTION("""COMPUTED_VALUE"""),12.9794)</f>
        <v>12.9794</v>
      </c>
      <c r="E23101" s="4">
        <f>IFERROR(__xludf.DUMMYFUNCTION("""COMPUTED_VALUE"""),80.226731)</f>
        <v>80.226731</v>
      </c>
      <c r="F23101" s="4">
        <f>IFERROR(__xludf.DUMMYFUNCTION("""COMPUTED_VALUE"""),3143.0)</f>
        <v>3143</v>
      </c>
      <c r="G23101" s="4">
        <f>IFERROR(__xludf.DUMMYFUNCTION("""COMPUTED_VALUE"""),22.0)</f>
        <v>22</v>
      </c>
      <c r="H23101" s="4"/>
      <c r="I23101" s="4"/>
    </row>
    <row r="23102">
      <c r="A23102" s="4" t="str">
        <f>IFERROR(__xludf.DUMMYFUNCTION("""COMPUTED_VALUE"""),"cas_hmw")</f>
        <v>cas_hmw</v>
      </c>
      <c r="B23102" s="5">
        <f>IFERROR(__xludf.DUMMYFUNCTION("""COMPUTED_VALUE"""),44791.0)</f>
        <v>44791</v>
      </c>
      <c r="C23102" s="6">
        <f>IFERROR(__xludf.DUMMYFUNCTION("""COMPUTED_VALUE"""),0.7303124999998545)</f>
        <v>0.7303125</v>
      </c>
      <c r="D23102" s="4">
        <f>IFERROR(__xludf.DUMMYFUNCTION("""COMPUTED_VALUE"""),13.039503)</f>
        <v>13.039503</v>
      </c>
      <c r="E23102" s="4">
        <f>IFERROR(__xludf.DUMMYFUNCTION("""COMPUTED_VALUE"""),80.246973)</f>
        <v>80.246973</v>
      </c>
      <c r="F23102" s="4">
        <f>IFERROR(__xludf.DUMMYFUNCTION("""COMPUTED_VALUE"""),5339.0)</f>
        <v>5339</v>
      </c>
      <c r="G23102" s="4">
        <f>IFERROR(__xludf.DUMMYFUNCTION("""COMPUTED_VALUE"""),23.0)</f>
        <v>23</v>
      </c>
      <c r="H23102" s="4"/>
      <c r="I23102" s="4"/>
    </row>
    <row r="23103">
      <c r="A23103" s="4" t="str">
        <f>IFERROR(__xludf.DUMMYFUNCTION("""COMPUTED_VALUE"""),"cas_hmw")</f>
        <v>cas_hmw</v>
      </c>
      <c r="B23103" s="5">
        <f>IFERROR(__xludf.DUMMYFUNCTION("""COMPUTED_VALUE"""),44791.0)</f>
        <v>44791</v>
      </c>
      <c r="C23103" s="6">
        <f>IFERROR(__xludf.DUMMYFUNCTION("""COMPUTED_VALUE"""),0.7309375000004366)</f>
        <v>0.7309375</v>
      </c>
      <c r="D23103" s="4">
        <f>IFERROR(__xludf.DUMMYFUNCTION("""COMPUTED_VALUE"""),13.043356)</f>
        <v>13.043356</v>
      </c>
      <c r="E23103" s="4">
        <f>IFERROR(__xludf.DUMMYFUNCTION("""COMPUTED_VALUE"""),80.247654)</f>
        <v>80.247654</v>
      </c>
      <c r="F23103" s="4">
        <f>IFERROR(__xludf.DUMMYFUNCTION("""COMPUTED_VALUE"""),5339.0)</f>
        <v>5339</v>
      </c>
      <c r="G23103" s="4">
        <f>IFERROR(__xludf.DUMMYFUNCTION("""COMPUTED_VALUE"""),24.0)</f>
        <v>24</v>
      </c>
      <c r="H23103" s="4"/>
      <c r="I23103" s="4"/>
    </row>
    <row r="23104">
      <c r="A23104" s="4" t="str">
        <f>IFERROR(__xludf.DUMMYFUNCTION("""COMPUTED_VALUE"""),"cas_hmw")</f>
        <v>cas_hmw</v>
      </c>
      <c r="B23104" s="5">
        <f>IFERROR(__xludf.DUMMYFUNCTION("""COMPUTED_VALUE"""),44791.0)</f>
        <v>44791</v>
      </c>
      <c r="C23104" s="6">
        <f>IFERROR(__xludf.DUMMYFUNCTION("""COMPUTED_VALUE"""),0.7310995370353339)</f>
        <v>0.731099537</v>
      </c>
      <c r="D23104" s="4">
        <f>IFERROR(__xludf.DUMMYFUNCTION("""COMPUTED_VALUE"""),13.04409)</f>
        <v>13.04409</v>
      </c>
      <c r="E23104" s="4">
        <f>IFERROR(__xludf.DUMMYFUNCTION("""COMPUTED_VALUE"""),80.247788)</f>
        <v>80.247788</v>
      </c>
      <c r="F23104" s="4">
        <f>IFERROR(__xludf.DUMMYFUNCTION("""COMPUTED_VALUE"""),5339.0)</f>
        <v>5339</v>
      </c>
      <c r="G23104" s="4">
        <f>IFERROR(__xludf.DUMMYFUNCTION("""COMPUTED_VALUE"""),31.0)</f>
        <v>31</v>
      </c>
      <c r="H23104" s="4"/>
      <c r="I23104" s="4"/>
    </row>
    <row r="23105">
      <c r="A23105" s="4" t="str">
        <f>IFERROR(__xludf.DUMMYFUNCTION("""COMPUTED_VALUE"""),"cas_hmw")</f>
        <v>cas_hmw</v>
      </c>
      <c r="B23105" s="5">
        <f>IFERROR(__xludf.DUMMYFUNCTION("""COMPUTED_VALUE"""),44791.0)</f>
        <v>44791</v>
      </c>
      <c r="C23105" s="6">
        <f>IFERROR(__xludf.DUMMYFUNCTION("""COMPUTED_VALUE"""),0.7317129629627743)</f>
        <v>0.731712963</v>
      </c>
      <c r="D23105" s="4">
        <f>IFERROR(__xludf.DUMMYFUNCTION("""COMPUTED_VALUE"""),13.045675)</f>
        <v>13.045675</v>
      </c>
      <c r="E23105" s="4">
        <f>IFERROR(__xludf.DUMMYFUNCTION("""COMPUTED_VALUE"""),80.248131)</f>
        <v>80.248131</v>
      </c>
      <c r="F23105" s="4">
        <f>IFERROR(__xludf.DUMMYFUNCTION("""COMPUTED_VALUE"""),5339.0)</f>
        <v>5339</v>
      </c>
      <c r="G23105" s="4">
        <f>IFERROR(__xludf.DUMMYFUNCTION("""COMPUTED_VALUE"""),25.0)</f>
        <v>25</v>
      </c>
      <c r="H23105" s="4"/>
      <c r="I23105" s="4"/>
    </row>
    <row r="23106">
      <c r="A23106" s="4" t="str">
        <f>IFERROR(__xludf.DUMMYFUNCTION("""COMPUTED_VALUE"""),"cas_hmw")</f>
        <v>cas_hmw</v>
      </c>
      <c r="B23106" s="5">
        <f>IFERROR(__xludf.DUMMYFUNCTION("""COMPUTED_VALUE"""),44791.0)</f>
        <v>44791</v>
      </c>
      <c r="C23106" s="6">
        <f>IFERROR(__xludf.DUMMYFUNCTION("""COMPUTED_VALUE"""),0.7318055555551837)</f>
        <v>0.7318055556</v>
      </c>
      <c r="D23106" s="4">
        <f>IFERROR(__xludf.DUMMYFUNCTION("""COMPUTED_VALUE"""),13.045675)</f>
        <v>13.045675</v>
      </c>
      <c r="E23106" s="4">
        <f>IFERROR(__xludf.DUMMYFUNCTION("""COMPUTED_VALUE"""),80.248131)</f>
        <v>80.248131</v>
      </c>
      <c r="F23106" s="4">
        <f>IFERROR(__xludf.DUMMYFUNCTION("""COMPUTED_VALUE"""),5339.0)</f>
        <v>5339</v>
      </c>
      <c r="G23106" s="4">
        <f>IFERROR(__xludf.DUMMYFUNCTION("""COMPUTED_VALUE"""),25.0)</f>
        <v>25</v>
      </c>
      <c r="H23106" s="4"/>
      <c r="I23106" s="4"/>
    </row>
    <row r="23107">
      <c r="A23107" s="4" t="str">
        <f>IFERROR(__xludf.DUMMYFUNCTION("""COMPUTED_VALUE"""),"cas_hmw")</f>
        <v>cas_hmw</v>
      </c>
      <c r="B23107" s="5">
        <f>IFERROR(__xludf.DUMMYFUNCTION("""COMPUTED_VALUE"""),44791.0)</f>
        <v>44791</v>
      </c>
      <c r="C23107" s="6">
        <f>IFERROR(__xludf.DUMMYFUNCTION("""COMPUTED_VALUE"""),0.7328935185178125)</f>
        <v>0.7328935185</v>
      </c>
      <c r="D23107" s="4">
        <f>IFERROR(__xludf.DUMMYFUNCTION("""COMPUTED_VALUE"""),13.052513)</f>
        <v>13.052513</v>
      </c>
      <c r="E23107" s="4">
        <f>IFERROR(__xludf.DUMMYFUNCTION("""COMPUTED_VALUE"""),80.251195)</f>
        <v>80.251195</v>
      </c>
      <c r="F23107" s="4">
        <f>IFERROR(__xludf.DUMMYFUNCTION("""COMPUTED_VALUE"""),5339.0)</f>
        <v>5339</v>
      </c>
      <c r="G23107" s="4">
        <f>IFERROR(__xludf.DUMMYFUNCTION("""COMPUTED_VALUE"""),48.0)</f>
        <v>48</v>
      </c>
      <c r="H23107" s="4"/>
      <c r="I23107" s="4"/>
    </row>
    <row r="23108">
      <c r="A23108" s="4" t="str">
        <f>IFERROR(__xludf.DUMMYFUNCTION("""COMPUTED_VALUE"""),"cas_hmw")</f>
        <v>cas_hmw</v>
      </c>
      <c r="B23108" s="5">
        <f>IFERROR(__xludf.DUMMYFUNCTION("""COMPUTED_VALUE"""),44791.0)</f>
        <v>44791</v>
      </c>
      <c r="C23108" s="6">
        <f>IFERROR(__xludf.DUMMYFUNCTION("""COMPUTED_VALUE"""),0.7347337962964957)</f>
        <v>0.7347337963</v>
      </c>
      <c r="D23108" s="4">
        <f>IFERROR(__xludf.DUMMYFUNCTION("""COMPUTED_VALUE"""),12.527838)</f>
        <v>12.527838</v>
      </c>
      <c r="E23108" s="4">
        <f>IFERROR(__xludf.DUMMYFUNCTION("""COMPUTED_VALUE"""),79.898449)</f>
        <v>79.898449</v>
      </c>
      <c r="F23108" s="4">
        <f>IFERROR(__xludf.DUMMYFUNCTION("""COMPUTED_VALUE"""),2846.0)</f>
        <v>2846</v>
      </c>
      <c r="G23108" s="4">
        <f>IFERROR(__xludf.DUMMYFUNCTION("""COMPUTED_VALUE"""),57.0)</f>
        <v>57</v>
      </c>
      <c r="H23108" s="4"/>
      <c r="I23108" s="4"/>
    </row>
    <row r="23109">
      <c r="A23109" s="4" t="str">
        <f>IFERROR(__xludf.DUMMYFUNCTION("""COMPUTED_VALUE"""),"cas_hmw")</f>
        <v>cas_hmw</v>
      </c>
      <c r="B23109" s="5">
        <f>IFERROR(__xludf.DUMMYFUNCTION("""COMPUTED_VALUE"""),44791.0)</f>
        <v>44791</v>
      </c>
      <c r="C23109" s="6">
        <f>IFERROR(__xludf.DUMMYFUNCTION("""COMPUTED_VALUE"""),0.7358449074090458)</f>
        <v>0.7358449074</v>
      </c>
      <c r="D23109" s="4">
        <f>IFERROR(__xludf.DUMMYFUNCTION("""COMPUTED_VALUE"""),13.054048)</f>
        <v>13.054048</v>
      </c>
      <c r="E23109" s="4">
        <f>IFERROR(__xludf.DUMMYFUNCTION("""COMPUTED_VALUE"""),80.262496)</f>
        <v>80.262496</v>
      </c>
      <c r="F23109" s="4">
        <f>IFERROR(__xludf.DUMMYFUNCTION("""COMPUTED_VALUE"""),5339.0)</f>
        <v>5339</v>
      </c>
      <c r="G23109" s="4">
        <f>IFERROR(__xludf.DUMMYFUNCTION("""COMPUTED_VALUE"""),33.0)</f>
        <v>33</v>
      </c>
      <c r="H23109" s="4"/>
      <c r="I23109" s="4"/>
    </row>
    <row r="23110">
      <c r="A23110" s="4" t="str">
        <f>IFERROR(__xludf.DUMMYFUNCTION("""COMPUTED_VALUE"""),"cas_hmw")</f>
        <v>cas_hmw</v>
      </c>
      <c r="B23110" s="5">
        <f>IFERROR(__xludf.DUMMYFUNCTION("""COMPUTED_VALUE"""),44791.0)</f>
        <v>44791</v>
      </c>
      <c r="C23110" s="6">
        <f>IFERROR(__xludf.DUMMYFUNCTION("""COMPUTED_VALUE"""),0.7359143518515339)</f>
        <v>0.7359143519</v>
      </c>
      <c r="D23110" s="4">
        <f>IFERROR(__xludf.DUMMYFUNCTION("""COMPUTED_VALUE"""),13.053971)</f>
        <v>13.053971</v>
      </c>
      <c r="E23110" s="4">
        <f>IFERROR(__xludf.DUMMYFUNCTION("""COMPUTED_VALUE"""),80.263327)</f>
        <v>80.263327</v>
      </c>
      <c r="F23110" s="4">
        <f>IFERROR(__xludf.DUMMYFUNCTION("""COMPUTED_VALUE"""),5339.0)</f>
        <v>5339</v>
      </c>
      <c r="G23110" s="4">
        <f>IFERROR(__xludf.DUMMYFUNCTION("""COMPUTED_VALUE"""),31.0)</f>
        <v>31</v>
      </c>
      <c r="H23110" s="4"/>
      <c r="I23110" s="4"/>
    </row>
    <row r="23111">
      <c r="A23111" s="4" t="str">
        <f>IFERROR(__xludf.DUMMYFUNCTION("""COMPUTED_VALUE"""),"cas_hmw")</f>
        <v>cas_hmw</v>
      </c>
      <c r="B23111" s="5">
        <f>IFERROR(__xludf.DUMMYFUNCTION("""COMPUTED_VALUE"""),44791.0)</f>
        <v>44791</v>
      </c>
      <c r="C23111" s="6">
        <f>IFERROR(__xludf.DUMMYFUNCTION("""COMPUTED_VALUE"""),0.7362500000017462)</f>
        <v>0.73625</v>
      </c>
      <c r="D23111" s="4">
        <f>IFERROR(__xludf.DUMMYFUNCTION("""COMPUTED_VALUE"""),13.053735)</f>
        <v>13.053735</v>
      </c>
      <c r="E23111" s="4">
        <f>IFERROR(__xludf.DUMMYFUNCTION("""COMPUTED_VALUE"""),80.265908)</f>
        <v>80.265908</v>
      </c>
      <c r="F23111" s="4">
        <f>IFERROR(__xludf.DUMMYFUNCTION("""COMPUTED_VALUE"""),5339.0)</f>
        <v>5339</v>
      </c>
      <c r="G23111" s="4">
        <f>IFERROR(__xludf.DUMMYFUNCTION("""COMPUTED_VALUE"""),43.0)</f>
        <v>43</v>
      </c>
      <c r="H23111" s="4"/>
      <c r="I23111" s="4"/>
    </row>
    <row r="23112">
      <c r="A23112" s="4" t="str">
        <f>IFERROR(__xludf.DUMMYFUNCTION("""COMPUTED_VALUE"""),"cas_hmw")</f>
        <v>cas_hmw</v>
      </c>
      <c r="B23112" s="5">
        <f>IFERROR(__xludf.DUMMYFUNCTION("""COMPUTED_VALUE"""),44791.0)</f>
        <v>44791</v>
      </c>
      <c r="C23112" s="6">
        <f>IFERROR(__xludf.DUMMYFUNCTION("""COMPUTED_VALUE"""),0.7362731481480296)</f>
        <v>0.7362731481</v>
      </c>
      <c r="D23112" s="4">
        <f>IFERROR(__xludf.DUMMYFUNCTION("""COMPUTED_VALUE"""),13.053735)</f>
        <v>13.053735</v>
      </c>
      <c r="E23112" s="4">
        <f>IFERROR(__xludf.DUMMYFUNCTION("""COMPUTED_VALUE"""),80.265908)</f>
        <v>80.265908</v>
      </c>
      <c r="F23112" s="4">
        <f>IFERROR(__xludf.DUMMYFUNCTION("""COMPUTED_VALUE"""),5339.0)</f>
        <v>5339</v>
      </c>
      <c r="G23112" s="4">
        <f>IFERROR(__xludf.DUMMYFUNCTION("""COMPUTED_VALUE"""),43.0)</f>
        <v>43</v>
      </c>
      <c r="H23112" s="4"/>
      <c r="I23112" s="4"/>
    </row>
    <row r="23113">
      <c r="A23113" s="4" t="str">
        <f>IFERROR(__xludf.DUMMYFUNCTION("""COMPUTED_VALUE"""),"cas_hmw")</f>
        <v>cas_hmw</v>
      </c>
      <c r="B23113" s="5">
        <f>IFERROR(__xludf.DUMMYFUNCTION("""COMPUTED_VALUE"""),44791.0)</f>
        <v>44791</v>
      </c>
      <c r="C23113" s="6">
        <f>IFERROR(__xludf.DUMMYFUNCTION("""COMPUTED_VALUE"""),0.7367245370369346)</f>
        <v>0.736724537</v>
      </c>
      <c r="D23113" s="4">
        <f>IFERROR(__xludf.DUMMYFUNCTION("""COMPUTED_VALUE"""),12.514288)</f>
        <v>12.514288</v>
      </c>
      <c r="E23113" s="4">
        <f>IFERROR(__xludf.DUMMYFUNCTION("""COMPUTED_VALUE"""),79.888176)</f>
        <v>79.888176</v>
      </c>
      <c r="F23113" s="4">
        <f>IFERROR(__xludf.DUMMYFUNCTION("""COMPUTED_VALUE"""),2846.0)</f>
        <v>2846</v>
      </c>
      <c r="G23113" s="4">
        <f>IFERROR(__xludf.DUMMYFUNCTION("""COMPUTED_VALUE"""),8.0)</f>
        <v>8</v>
      </c>
      <c r="H23113" s="4"/>
      <c r="I23113" s="4"/>
    </row>
    <row r="23114">
      <c r="A23114" s="4" t="str">
        <f>IFERROR(__xludf.DUMMYFUNCTION("""COMPUTED_VALUE"""),"cas_hmw")</f>
        <v>cas_hmw</v>
      </c>
      <c r="B23114" s="5">
        <f>IFERROR(__xludf.DUMMYFUNCTION("""COMPUTED_VALUE"""),44791.0)</f>
        <v>44791</v>
      </c>
      <c r="C23114" s="6">
        <f>IFERROR(__xludf.DUMMYFUNCTION("""COMPUTED_VALUE"""),0.7391203703700739)</f>
        <v>0.7391203704</v>
      </c>
      <c r="D23114" s="4">
        <f>IFERROR(__xludf.DUMMYFUNCTION("""COMPUTED_VALUE"""),12.508737)</f>
        <v>12.508737</v>
      </c>
      <c r="E23114" s="4">
        <f>IFERROR(__xludf.DUMMYFUNCTION("""COMPUTED_VALUE"""),79.882742)</f>
        <v>79.882742</v>
      </c>
      <c r="F23114" s="4">
        <f>IFERROR(__xludf.DUMMYFUNCTION("""COMPUTED_VALUE"""),2846.0)</f>
        <v>2846</v>
      </c>
      <c r="G23114" s="4">
        <f>IFERROR(__xludf.DUMMYFUNCTION("""COMPUTED_VALUE"""),23.0)</f>
        <v>23</v>
      </c>
      <c r="H23114" s="4"/>
      <c r="I23114" s="4"/>
    </row>
    <row r="23115">
      <c r="A23115" s="4" t="str">
        <f>IFERROR(__xludf.DUMMYFUNCTION("""COMPUTED_VALUE"""),"cas_hmw")</f>
        <v>cas_hmw</v>
      </c>
      <c r="B23115" s="5">
        <f>IFERROR(__xludf.DUMMYFUNCTION("""COMPUTED_VALUE"""),44791.0)</f>
        <v>44791</v>
      </c>
      <c r="C23115" s="6">
        <f>IFERROR(__xludf.DUMMYFUNCTION("""COMPUTED_VALUE"""),0.7391203703700739)</f>
        <v>0.7391203704</v>
      </c>
      <c r="D23115" s="4">
        <f>IFERROR(__xludf.DUMMYFUNCTION("""COMPUTED_VALUE"""),12.508737)</f>
        <v>12.508737</v>
      </c>
      <c r="E23115" s="4">
        <f>IFERROR(__xludf.DUMMYFUNCTION("""COMPUTED_VALUE"""),79.882742)</f>
        <v>79.882742</v>
      </c>
      <c r="F23115" s="4">
        <f>IFERROR(__xludf.DUMMYFUNCTION("""COMPUTED_VALUE"""),2846.0)</f>
        <v>2846</v>
      </c>
      <c r="G23115" s="4">
        <f>IFERROR(__xludf.DUMMYFUNCTION("""COMPUTED_VALUE"""),23.0)</f>
        <v>23</v>
      </c>
      <c r="H23115" s="4"/>
      <c r="I23115" s="4"/>
    </row>
    <row r="23116">
      <c r="A23116" s="4" t="str">
        <f>IFERROR(__xludf.DUMMYFUNCTION("""COMPUTED_VALUE"""),"cas_hmw")</f>
        <v>cas_hmw</v>
      </c>
      <c r="B23116" s="5">
        <f>IFERROR(__xludf.DUMMYFUNCTION("""COMPUTED_VALUE"""),44791.0)</f>
        <v>44791</v>
      </c>
      <c r="C23116" s="6">
        <f>IFERROR(__xludf.DUMMYFUNCTION("""COMPUTED_VALUE"""),0.7395486111126957)</f>
        <v>0.7395486111</v>
      </c>
      <c r="D23116" s="4">
        <f>IFERROR(__xludf.DUMMYFUNCTION("""COMPUTED_VALUE"""),12.506502)</f>
        <v>12.506502</v>
      </c>
      <c r="E23116" s="4">
        <f>IFERROR(__xludf.DUMMYFUNCTION("""COMPUTED_VALUE"""),79.880629)</f>
        <v>79.880629</v>
      </c>
      <c r="F23116" s="4">
        <f>IFERROR(__xludf.DUMMYFUNCTION("""COMPUTED_VALUE"""),2846.0)</f>
        <v>2846</v>
      </c>
      <c r="G23116" s="4">
        <f>IFERROR(__xludf.DUMMYFUNCTION("""COMPUTED_VALUE"""),16.0)</f>
        <v>16</v>
      </c>
      <c r="H23116" s="4"/>
      <c r="I23116" s="4"/>
    </row>
    <row r="23117">
      <c r="A23117" s="4" t="str">
        <f>IFERROR(__xludf.DUMMYFUNCTION("""COMPUTED_VALUE"""),"cas_hmw")</f>
        <v>cas_hmw</v>
      </c>
      <c r="B23117" s="5">
        <f>IFERROR(__xludf.DUMMYFUNCTION("""COMPUTED_VALUE"""),44791.0)</f>
        <v>44791</v>
      </c>
      <c r="C23117" s="6">
        <f>IFERROR(__xludf.DUMMYFUNCTION("""COMPUTED_VALUE"""),0.7428935185198497)</f>
        <v>0.7428935185</v>
      </c>
      <c r="D23117" s="4">
        <f>IFERROR(__xludf.DUMMYFUNCTION("""COMPUTED_VALUE"""),12.479943)</f>
        <v>12.479943</v>
      </c>
      <c r="E23117" s="4">
        <f>IFERROR(__xludf.DUMMYFUNCTION("""COMPUTED_VALUE"""),79.860292)</f>
        <v>79.860292</v>
      </c>
      <c r="F23117" s="4">
        <f>IFERROR(__xludf.DUMMYFUNCTION("""COMPUTED_VALUE"""),2846.0)</f>
        <v>2846</v>
      </c>
      <c r="G23117" s="4">
        <f>IFERROR(__xludf.DUMMYFUNCTION("""COMPUTED_VALUE"""),54.0)</f>
        <v>54</v>
      </c>
      <c r="H23117" s="4"/>
      <c r="I23117" s="4"/>
    </row>
    <row r="23118">
      <c r="A23118" s="4" t="str">
        <f>IFERROR(__xludf.DUMMYFUNCTION("""COMPUTED_VALUE"""),"cas_hmw")</f>
        <v>cas_hmw</v>
      </c>
      <c r="B23118" s="5">
        <f>IFERROR(__xludf.DUMMYFUNCTION("""COMPUTED_VALUE"""),44791.0)</f>
        <v>44791</v>
      </c>
      <c r="C23118" s="6">
        <f>IFERROR(__xludf.DUMMYFUNCTION("""COMPUTED_VALUE"""),0.7478240740747424)</f>
        <v>0.7478240741</v>
      </c>
      <c r="D23118" s="4">
        <f>IFERROR(__xludf.DUMMYFUNCTION("""COMPUTED_VALUE"""),13.072174)</f>
        <v>13.072174</v>
      </c>
      <c r="E23118" s="4">
        <f>IFERROR(__xludf.DUMMYFUNCTION("""COMPUTED_VALUE"""),80.263949)</f>
        <v>80.263949</v>
      </c>
      <c r="F23118" s="4">
        <f>IFERROR(__xludf.DUMMYFUNCTION("""COMPUTED_VALUE"""),5339.0)</f>
        <v>5339</v>
      </c>
      <c r="G23118" s="4">
        <f>IFERROR(__xludf.DUMMYFUNCTION("""COMPUTED_VALUE"""),30.0)</f>
        <v>30</v>
      </c>
      <c r="H23118" s="4"/>
      <c r="I23118" s="4"/>
    </row>
    <row r="23119">
      <c r="A23119" s="4" t="str">
        <f>IFERROR(__xludf.DUMMYFUNCTION("""COMPUTED_VALUE"""),"cas_hmw")</f>
        <v>cas_hmw</v>
      </c>
      <c r="B23119" s="5">
        <f>IFERROR(__xludf.DUMMYFUNCTION("""COMPUTED_VALUE"""),44791.0)</f>
        <v>44791</v>
      </c>
      <c r="C23119" s="6">
        <f>IFERROR(__xludf.DUMMYFUNCTION("""COMPUTED_VALUE"""),0.7478240740747424)</f>
        <v>0.7478240741</v>
      </c>
      <c r="D23119" s="4">
        <f>IFERROR(__xludf.DUMMYFUNCTION("""COMPUTED_VALUE"""),13.072174)</f>
        <v>13.072174</v>
      </c>
      <c r="E23119" s="4">
        <f>IFERROR(__xludf.DUMMYFUNCTION("""COMPUTED_VALUE"""),80.263949)</f>
        <v>80.263949</v>
      </c>
      <c r="F23119" s="4">
        <f>IFERROR(__xludf.DUMMYFUNCTION("""COMPUTED_VALUE"""),5339.0)</f>
        <v>5339</v>
      </c>
      <c r="G23119" s="4">
        <f>IFERROR(__xludf.DUMMYFUNCTION("""COMPUTED_VALUE"""),30.0)</f>
        <v>30</v>
      </c>
      <c r="H23119" s="4"/>
      <c r="I23119" s="4"/>
    </row>
    <row r="23120">
      <c r="A23120" s="4" t="str">
        <f>IFERROR(__xludf.DUMMYFUNCTION("""COMPUTED_VALUE"""),"cas_hmw")</f>
        <v>cas_hmw</v>
      </c>
      <c r="B23120" s="5">
        <f>IFERROR(__xludf.DUMMYFUNCTION("""COMPUTED_VALUE"""),44791.0)</f>
        <v>44791</v>
      </c>
      <c r="C23120" s="6">
        <f>IFERROR(__xludf.DUMMYFUNCTION("""COMPUTED_VALUE"""),0.7489467592604342)</f>
        <v>0.7489467593</v>
      </c>
      <c r="D23120" s="4">
        <f>IFERROR(__xludf.DUMMYFUNCTION("""COMPUTED_VALUE"""),13.0718)</f>
        <v>13.0718</v>
      </c>
      <c r="E23120" s="4">
        <f>IFERROR(__xludf.DUMMYFUNCTION("""COMPUTED_VALUE"""),80.259353)</f>
        <v>80.259353</v>
      </c>
      <c r="F23120" s="4">
        <f>IFERROR(__xludf.DUMMYFUNCTION("""COMPUTED_VALUE"""),5339.0)</f>
        <v>5339</v>
      </c>
      <c r="G23120" s="4">
        <f>IFERROR(__xludf.DUMMYFUNCTION("""COMPUTED_VALUE"""),27.0)</f>
        <v>27</v>
      </c>
      <c r="H23120" s="4"/>
      <c r="I23120" s="4"/>
    </row>
    <row r="23121">
      <c r="A23121" s="4" t="str">
        <f>IFERROR(__xludf.DUMMYFUNCTION("""COMPUTED_VALUE"""),"cas_hmw")</f>
        <v>cas_hmw</v>
      </c>
      <c r="B23121" s="5">
        <f>IFERROR(__xludf.DUMMYFUNCTION("""COMPUTED_VALUE"""),44791.0)</f>
        <v>44791</v>
      </c>
      <c r="C23121" s="6">
        <f>IFERROR(__xludf.DUMMYFUNCTION("""COMPUTED_VALUE"""),0.7509259259277314)</f>
        <v>0.7509259259</v>
      </c>
      <c r="D23121" s="4">
        <f>IFERROR(__xludf.DUMMYFUNCTION("""COMPUTED_VALUE"""),13.068057)</f>
        <v>13.068057</v>
      </c>
      <c r="E23121" s="4">
        <f>IFERROR(__xludf.DUMMYFUNCTION("""COMPUTED_VALUE"""),80.253112)</f>
        <v>80.253112</v>
      </c>
      <c r="F23121" s="4">
        <f>IFERROR(__xludf.DUMMYFUNCTION("""COMPUTED_VALUE"""),5339.0)</f>
        <v>5339</v>
      </c>
      <c r="G23121" s="4">
        <f>IFERROR(__xludf.DUMMYFUNCTION("""COMPUTED_VALUE"""),27.0)</f>
        <v>27</v>
      </c>
      <c r="H23121" s="4"/>
      <c r="I23121" s="4"/>
    </row>
    <row r="23122">
      <c r="A23122" s="4" t="str">
        <f>IFERROR(__xludf.DUMMYFUNCTION("""COMPUTED_VALUE"""),"cas_hmw")</f>
        <v>cas_hmw</v>
      </c>
      <c r="B23122" s="5">
        <f>IFERROR(__xludf.DUMMYFUNCTION("""COMPUTED_VALUE"""),44791.0)</f>
        <v>44791</v>
      </c>
      <c r="C23122" s="6">
        <f>IFERROR(__xludf.DUMMYFUNCTION("""COMPUTED_VALUE"""),0.7510185185201408)</f>
        <v>0.7510185185</v>
      </c>
      <c r="D23122" s="4">
        <f>IFERROR(__xludf.DUMMYFUNCTION("""COMPUTED_VALUE"""),13.068057)</f>
        <v>13.068057</v>
      </c>
      <c r="E23122" s="4">
        <f>IFERROR(__xludf.DUMMYFUNCTION("""COMPUTED_VALUE"""),80.253112)</f>
        <v>80.253112</v>
      </c>
      <c r="F23122" s="4">
        <f>IFERROR(__xludf.DUMMYFUNCTION("""COMPUTED_VALUE"""),5339.0)</f>
        <v>5339</v>
      </c>
      <c r="G23122" s="4">
        <f>IFERROR(__xludf.DUMMYFUNCTION("""COMPUTED_VALUE"""),27.0)</f>
        <v>27</v>
      </c>
      <c r="H23122" s="4"/>
      <c r="I23122" s="4"/>
    </row>
    <row r="23123">
      <c r="A23123" s="4" t="str">
        <f>IFERROR(__xludf.DUMMYFUNCTION("""COMPUTED_VALUE"""),"cas_hmw")</f>
        <v>cas_hmw</v>
      </c>
      <c r="B23123" s="5">
        <f>IFERROR(__xludf.DUMMYFUNCTION("""COMPUTED_VALUE"""),44792.0)</f>
        <v>44792</v>
      </c>
      <c r="C23123" s="6">
        <f>IFERROR(__xludf.DUMMYFUNCTION("""COMPUTED_VALUE"""),0.2937500000007276)</f>
        <v>0.29375</v>
      </c>
      <c r="D23123" s="4">
        <f>IFERROR(__xludf.DUMMYFUNCTION("""COMPUTED_VALUE"""),12.511196)</f>
        <v>12.511196</v>
      </c>
      <c r="E23123" s="4">
        <f>IFERROR(__xludf.DUMMYFUNCTION("""COMPUTED_VALUE"""),79.883115)</f>
        <v>79.883115</v>
      </c>
      <c r="F23123" s="4">
        <f>IFERROR(__xludf.DUMMYFUNCTION("""COMPUTED_VALUE"""),2846.0)</f>
        <v>2846</v>
      </c>
      <c r="G23123" s="4">
        <f>IFERROR(__xludf.DUMMYFUNCTION("""COMPUTED_VALUE"""),51.0)</f>
        <v>51</v>
      </c>
      <c r="H23123" s="4"/>
      <c r="I23123" s="4"/>
    </row>
    <row r="23124">
      <c r="A23124" s="4" t="str">
        <f>IFERROR(__xludf.DUMMYFUNCTION("""COMPUTED_VALUE"""),"cas_hmw")</f>
        <v>cas_hmw</v>
      </c>
      <c r="B23124" s="5">
        <f>IFERROR(__xludf.DUMMYFUNCTION("""COMPUTED_VALUE"""),44792.0)</f>
        <v>44792</v>
      </c>
      <c r="C23124" s="6">
        <f>IFERROR(__xludf.DUMMYFUNCTION("""COMPUTED_VALUE"""),0.2961921296300716)</f>
        <v>0.2961921296</v>
      </c>
      <c r="D23124" s="4">
        <f>IFERROR(__xludf.DUMMYFUNCTION("""COMPUTED_VALUE"""),12.51025)</f>
        <v>12.51025</v>
      </c>
      <c r="E23124" s="4">
        <f>IFERROR(__xludf.DUMMYFUNCTION("""COMPUTED_VALUE"""),79.885073)</f>
        <v>79.885073</v>
      </c>
      <c r="F23124" s="4">
        <f>IFERROR(__xludf.DUMMYFUNCTION("""COMPUTED_VALUE"""),2846.0)</f>
        <v>2846</v>
      </c>
      <c r="G23124" s="4">
        <f>IFERROR(__xludf.DUMMYFUNCTION("""COMPUTED_VALUE"""),11.0)</f>
        <v>11</v>
      </c>
      <c r="H23124" s="4"/>
      <c r="I23124" s="4"/>
    </row>
    <row r="23125">
      <c r="A23125" s="4" t="str">
        <f>IFERROR(__xludf.DUMMYFUNCTION("""COMPUTED_VALUE"""),"cas_hmw")</f>
        <v>cas_hmw</v>
      </c>
      <c r="B23125" s="5">
        <f>IFERROR(__xludf.DUMMYFUNCTION("""COMPUTED_VALUE"""),44792.0)</f>
        <v>44792</v>
      </c>
      <c r="C23125" s="6">
        <f>IFERROR(__xludf.DUMMYFUNCTION("""COMPUTED_VALUE"""),0.30111111111182254)</f>
        <v>0.3011111111</v>
      </c>
      <c r="D23125" s="4">
        <f>IFERROR(__xludf.DUMMYFUNCTION("""COMPUTED_VALUE"""),13.069635)</f>
        <v>13.069635</v>
      </c>
      <c r="E23125" s="4">
        <f>IFERROR(__xludf.DUMMYFUNCTION("""COMPUTED_VALUE"""),80.257002)</f>
        <v>80.257002</v>
      </c>
      <c r="F23125" s="4">
        <f>IFERROR(__xludf.DUMMYFUNCTION("""COMPUTED_VALUE"""),5339.0)</f>
        <v>5339</v>
      </c>
      <c r="G23125" s="4">
        <f>IFERROR(__xludf.DUMMYFUNCTION("""COMPUTED_VALUE"""),38.0)</f>
        <v>38</v>
      </c>
      <c r="H23125" s="4"/>
      <c r="I23125" s="4"/>
    </row>
    <row r="23126">
      <c r="A23126" s="4" t="str">
        <f>IFERROR(__xludf.DUMMYFUNCTION("""COMPUTED_VALUE"""),"cas_hmw")</f>
        <v>cas_hmw</v>
      </c>
      <c r="B23126" s="5">
        <f>IFERROR(__xludf.DUMMYFUNCTION("""COMPUTED_VALUE"""),44792.0)</f>
        <v>44792</v>
      </c>
      <c r="C23126" s="6">
        <f>IFERROR(__xludf.DUMMYFUNCTION("""COMPUTED_VALUE"""),0.30907407407357823)</f>
        <v>0.3090740741</v>
      </c>
      <c r="D23126" s="4">
        <f>IFERROR(__xludf.DUMMYFUNCTION("""COMPUTED_VALUE"""),12.611716)</f>
        <v>12.611716</v>
      </c>
      <c r="E23126" s="4">
        <f>IFERROR(__xludf.DUMMYFUNCTION("""COMPUTED_VALUE"""),79.92355)</f>
        <v>79.92355</v>
      </c>
      <c r="F23126" s="4">
        <f>IFERROR(__xludf.DUMMYFUNCTION("""COMPUTED_VALUE"""),2846.0)</f>
        <v>2846</v>
      </c>
      <c r="G23126" s="4">
        <f>IFERROR(__xludf.DUMMYFUNCTION("""COMPUTED_VALUE"""),58.0)</f>
        <v>58</v>
      </c>
      <c r="H23126" s="4"/>
      <c r="I23126" s="4"/>
    </row>
    <row r="23127">
      <c r="A23127" s="4" t="str">
        <f>IFERROR(__xludf.DUMMYFUNCTION("""COMPUTED_VALUE"""),"cas_hmw")</f>
        <v>cas_hmw</v>
      </c>
      <c r="B23127" s="5">
        <f>IFERROR(__xludf.DUMMYFUNCTION("""COMPUTED_VALUE"""),44792.0)</f>
        <v>44792</v>
      </c>
      <c r="C23127" s="6">
        <f>IFERROR(__xludf.DUMMYFUNCTION("""COMPUTED_VALUE"""),0.3096296296280343)</f>
        <v>0.3096296296</v>
      </c>
      <c r="D23127" s="4">
        <f>IFERROR(__xludf.DUMMYFUNCTION("""COMPUTED_VALUE"""),13.053547)</f>
        <v>13.053547</v>
      </c>
      <c r="E23127" s="4">
        <f>IFERROR(__xludf.DUMMYFUNCTION("""COMPUTED_VALUE"""),80.267839)</f>
        <v>80.267839</v>
      </c>
      <c r="F23127" s="4">
        <f>IFERROR(__xludf.DUMMYFUNCTION("""COMPUTED_VALUE"""),5339.0)</f>
        <v>5339</v>
      </c>
      <c r="G23127" s="4">
        <f>IFERROR(__xludf.DUMMYFUNCTION("""COMPUTED_VALUE"""),27.0)</f>
        <v>27</v>
      </c>
      <c r="H23127" s="4"/>
      <c r="I23127" s="4"/>
    </row>
    <row r="23128">
      <c r="A23128" s="4" t="str">
        <f>IFERROR(__xludf.DUMMYFUNCTION("""COMPUTED_VALUE"""),"cas_hmw")</f>
        <v>cas_hmw</v>
      </c>
      <c r="B23128" s="5">
        <f>IFERROR(__xludf.DUMMYFUNCTION("""COMPUTED_VALUE"""),44792.0)</f>
        <v>44792</v>
      </c>
      <c r="C23128" s="6">
        <f>IFERROR(__xludf.DUMMYFUNCTION("""COMPUTED_VALUE"""),0.31055555555576575)</f>
        <v>0.3105555556</v>
      </c>
      <c r="D23128" s="4">
        <f>IFERROR(__xludf.DUMMYFUNCTION("""COMPUTED_VALUE"""),13.054041)</f>
        <v>13.054041</v>
      </c>
      <c r="E23128" s="4">
        <f>IFERROR(__xludf.DUMMYFUNCTION("""COMPUTED_VALUE"""),80.262229)</f>
        <v>80.262229</v>
      </c>
      <c r="F23128" s="4">
        <f>IFERROR(__xludf.DUMMYFUNCTION("""COMPUTED_VALUE"""),5339.0)</f>
        <v>5339</v>
      </c>
      <c r="G23128" s="4">
        <f>IFERROR(__xludf.DUMMYFUNCTION("""COMPUTED_VALUE"""),37.0)</f>
        <v>37</v>
      </c>
      <c r="H23128" s="4"/>
      <c r="I23128" s="4"/>
    </row>
    <row r="23129">
      <c r="A23129" s="4" t="str">
        <f>IFERROR(__xludf.DUMMYFUNCTION("""COMPUTED_VALUE"""),"cas_hmw")</f>
        <v>cas_hmw</v>
      </c>
      <c r="B23129" s="5">
        <f>IFERROR(__xludf.DUMMYFUNCTION("""COMPUTED_VALUE"""),44792.0)</f>
        <v>44792</v>
      </c>
      <c r="C23129" s="6">
        <f>IFERROR(__xludf.DUMMYFUNCTION("""COMPUTED_VALUE"""),0.3130787037043774)</f>
        <v>0.3130787037</v>
      </c>
      <c r="D23129" s="4">
        <f>IFERROR(__xludf.DUMMYFUNCTION("""COMPUTED_VALUE"""),12.651761)</f>
        <v>12.651761</v>
      </c>
      <c r="E23129" s="4">
        <f>IFERROR(__xludf.DUMMYFUNCTION("""COMPUTED_VALUE"""),79.940255)</f>
        <v>79.940255</v>
      </c>
      <c r="F23129" s="4">
        <f>IFERROR(__xludf.DUMMYFUNCTION("""COMPUTED_VALUE"""),2846.0)</f>
        <v>2846</v>
      </c>
      <c r="G23129" s="4">
        <f>IFERROR(__xludf.DUMMYFUNCTION("""COMPUTED_VALUE"""),57.0)</f>
        <v>57</v>
      </c>
      <c r="H23129" s="4"/>
      <c r="I23129" s="4"/>
    </row>
    <row r="23130">
      <c r="A23130" s="4" t="str">
        <f>IFERROR(__xludf.DUMMYFUNCTION("""COMPUTED_VALUE"""),"cas_hmw")</f>
        <v>cas_hmw</v>
      </c>
      <c r="B23130" s="5">
        <f>IFERROR(__xludf.DUMMYFUNCTION("""COMPUTED_VALUE"""),44792.0)</f>
        <v>44792</v>
      </c>
      <c r="C23130" s="6">
        <f>IFERROR(__xludf.DUMMYFUNCTION("""COMPUTED_VALUE"""),0.3133333333316841)</f>
        <v>0.3133333333</v>
      </c>
      <c r="D23130" s="4">
        <f>IFERROR(__xludf.DUMMYFUNCTION("""COMPUTED_VALUE"""),12.657299)</f>
        <v>12.657299</v>
      </c>
      <c r="E23130" s="4">
        <f>IFERROR(__xludf.DUMMYFUNCTION("""COMPUTED_VALUE"""),79.940931)</f>
        <v>79.940931</v>
      </c>
      <c r="F23130" s="4">
        <f>IFERROR(__xludf.DUMMYFUNCTION("""COMPUTED_VALUE"""),2846.0)</f>
        <v>2846</v>
      </c>
      <c r="G23130" s="4">
        <f>IFERROR(__xludf.DUMMYFUNCTION("""COMPUTED_VALUE"""),56.0)</f>
        <v>56</v>
      </c>
      <c r="H23130" s="4"/>
      <c r="I23130" s="4"/>
    </row>
    <row r="23131">
      <c r="A23131" s="4" t="str">
        <f>IFERROR(__xludf.DUMMYFUNCTION("""COMPUTED_VALUE"""),"cas_hmw")</f>
        <v>cas_hmw</v>
      </c>
      <c r="B23131" s="5">
        <f>IFERROR(__xludf.DUMMYFUNCTION("""COMPUTED_VALUE"""),44792.0)</f>
        <v>44792</v>
      </c>
      <c r="C23131" s="6">
        <f>IFERROR(__xludf.DUMMYFUNCTION("""COMPUTED_VALUE"""),0.31342592592773144)</f>
        <v>0.3134259259</v>
      </c>
      <c r="D23131" s="4">
        <f>IFERROR(__xludf.DUMMYFUNCTION("""COMPUTED_VALUE"""),12.658134)</f>
        <v>12.658134</v>
      </c>
      <c r="E23131" s="4">
        <f>IFERROR(__xludf.DUMMYFUNCTION("""COMPUTED_VALUE"""),79.942077)</f>
        <v>79.942077</v>
      </c>
      <c r="F23131" s="4">
        <f>IFERROR(__xludf.DUMMYFUNCTION("""COMPUTED_VALUE"""),2846.0)</f>
        <v>2846</v>
      </c>
      <c r="G23131" s="4">
        <f>IFERROR(__xludf.DUMMYFUNCTION("""COMPUTED_VALUE"""),55.0)</f>
        <v>55</v>
      </c>
      <c r="H23131" s="4"/>
      <c r="I23131" s="4"/>
    </row>
    <row r="23132">
      <c r="A23132" s="4" t="str">
        <f>IFERROR(__xludf.DUMMYFUNCTION("""COMPUTED_VALUE"""),"cas_hmw")</f>
        <v>cas_hmw</v>
      </c>
      <c r="B23132" s="5">
        <f>IFERROR(__xludf.DUMMYFUNCTION("""COMPUTED_VALUE"""),44792.0)</f>
        <v>44792</v>
      </c>
      <c r="C23132" s="6">
        <f>IFERROR(__xludf.DUMMYFUNCTION("""COMPUTED_VALUE"""),0.3141319444439432)</f>
        <v>0.3141319444</v>
      </c>
      <c r="D23132" s="4">
        <f>IFERROR(__xludf.DUMMYFUNCTION("""COMPUTED_VALUE"""),12.657491)</f>
        <v>12.657491</v>
      </c>
      <c r="E23132" s="4">
        <f>IFERROR(__xludf.DUMMYFUNCTION("""COMPUTED_VALUE"""),79.94722)</f>
        <v>79.94722</v>
      </c>
      <c r="F23132" s="4">
        <f>IFERROR(__xludf.DUMMYFUNCTION("""COMPUTED_VALUE"""),2846.0)</f>
        <v>2846</v>
      </c>
      <c r="G23132" s="4">
        <f>IFERROR(__xludf.DUMMYFUNCTION("""COMPUTED_VALUE"""),42.0)</f>
        <v>42</v>
      </c>
      <c r="H23132" s="4"/>
      <c r="I23132" s="4"/>
    </row>
    <row r="23133">
      <c r="A23133" s="4" t="str">
        <f>IFERROR(__xludf.DUMMYFUNCTION("""COMPUTED_VALUE"""),"cas_hmw")</f>
        <v>cas_hmw</v>
      </c>
      <c r="B23133" s="5">
        <f>IFERROR(__xludf.DUMMYFUNCTION("""COMPUTED_VALUE"""),44792.0)</f>
        <v>44792</v>
      </c>
      <c r="C23133" s="6">
        <f>IFERROR(__xludf.DUMMYFUNCTION("""COMPUTED_VALUE"""),0.3148263888906513)</f>
        <v>0.3148263889</v>
      </c>
      <c r="D23133" s="4">
        <f>IFERROR(__xludf.DUMMYFUNCTION("""COMPUTED_VALUE"""),12.656001)</f>
        <v>12.656001</v>
      </c>
      <c r="E23133" s="4">
        <f>IFERROR(__xludf.DUMMYFUNCTION("""COMPUTED_VALUE"""),79.953147)</f>
        <v>79.953147</v>
      </c>
      <c r="F23133" s="4">
        <f>IFERROR(__xludf.DUMMYFUNCTION("""COMPUTED_VALUE"""),2846.0)</f>
        <v>2846</v>
      </c>
      <c r="G23133" s="4">
        <f>IFERROR(__xludf.DUMMYFUNCTION("""COMPUTED_VALUE"""),59.0)</f>
        <v>59</v>
      </c>
      <c r="H23133" s="4"/>
      <c r="I23133" s="4"/>
    </row>
    <row r="23134">
      <c r="A23134" s="4" t="str">
        <f>IFERROR(__xludf.DUMMYFUNCTION("""COMPUTED_VALUE"""),"cas_hmw")</f>
        <v>cas_hmw</v>
      </c>
      <c r="B23134" s="5">
        <f>IFERROR(__xludf.DUMMYFUNCTION("""COMPUTED_VALUE"""),44792.0)</f>
        <v>44792</v>
      </c>
      <c r="C23134" s="6">
        <f>IFERROR(__xludf.DUMMYFUNCTION("""COMPUTED_VALUE"""),0.3159490740727051)</f>
        <v>0.3159490741</v>
      </c>
      <c r="D23134" s="4">
        <f>IFERROR(__xludf.DUMMYFUNCTION("""COMPUTED_VALUE"""),12.659875)</f>
        <v>12.659875</v>
      </c>
      <c r="E23134" s="4">
        <f>IFERROR(__xludf.DUMMYFUNCTION("""COMPUTED_VALUE"""),79.964166)</f>
        <v>79.964166</v>
      </c>
      <c r="F23134" s="4">
        <f>IFERROR(__xludf.DUMMYFUNCTION("""COMPUTED_VALUE"""),2846.0)</f>
        <v>2846</v>
      </c>
      <c r="G23134" s="4">
        <f>IFERROR(__xludf.DUMMYFUNCTION("""COMPUTED_VALUE"""),57.0)</f>
        <v>57</v>
      </c>
      <c r="H23134" s="4"/>
      <c r="I23134" s="4"/>
    </row>
    <row r="23135">
      <c r="A23135" s="4" t="str">
        <f>IFERROR(__xludf.DUMMYFUNCTION("""COMPUTED_VALUE"""),"cas_hmw")</f>
        <v>cas_hmw</v>
      </c>
      <c r="B23135" s="5">
        <f>IFERROR(__xludf.DUMMYFUNCTION("""COMPUTED_VALUE"""),44792.0)</f>
        <v>44792</v>
      </c>
      <c r="C23135" s="6">
        <f>IFERROR(__xludf.DUMMYFUNCTION("""COMPUTED_VALUE"""),0.3162384259267128)</f>
        <v>0.3162384259</v>
      </c>
      <c r="D23135" s="4">
        <f>IFERROR(__xludf.DUMMYFUNCTION("""COMPUTED_VALUE"""),13.033593)</f>
        <v>13.033593</v>
      </c>
      <c r="E23135" s="4">
        <f>IFERROR(__xludf.DUMMYFUNCTION("""COMPUTED_VALUE"""),80.244105)</f>
        <v>80.244105</v>
      </c>
      <c r="F23135" s="4">
        <f>IFERROR(__xludf.DUMMYFUNCTION("""COMPUTED_VALUE"""),5339.0)</f>
        <v>5339</v>
      </c>
      <c r="G23135" s="4">
        <f>IFERROR(__xludf.DUMMYFUNCTION("""COMPUTED_VALUE"""),39.0)</f>
        <v>39</v>
      </c>
      <c r="H23135" s="4"/>
      <c r="I23135" s="4"/>
    </row>
    <row r="23136">
      <c r="A23136" s="4" t="str">
        <f>IFERROR(__xludf.DUMMYFUNCTION("""COMPUTED_VALUE"""),"cas_hmw")</f>
        <v>cas_hmw</v>
      </c>
      <c r="B23136" s="5">
        <f>IFERROR(__xludf.DUMMYFUNCTION("""COMPUTED_VALUE"""),44792.0)</f>
        <v>44792</v>
      </c>
      <c r="C23136" s="6">
        <f>IFERROR(__xludf.DUMMYFUNCTION("""COMPUTED_VALUE"""),0.3163425925922638)</f>
        <v>0.3163425926</v>
      </c>
      <c r="D23136" s="4">
        <f>IFERROR(__xludf.DUMMYFUNCTION("""COMPUTED_VALUE"""),13.03303)</f>
        <v>13.03303</v>
      </c>
      <c r="E23136" s="4">
        <f>IFERROR(__xludf.DUMMYFUNCTION("""COMPUTED_VALUE"""),80.243374)</f>
        <v>80.243374</v>
      </c>
      <c r="F23136" s="4">
        <f>IFERROR(__xludf.DUMMYFUNCTION("""COMPUTED_VALUE"""),5339.0)</f>
        <v>5339</v>
      </c>
      <c r="G23136" s="4">
        <f>IFERROR(__xludf.DUMMYFUNCTION("""COMPUTED_VALUE"""),36.0)</f>
        <v>36</v>
      </c>
      <c r="H23136" s="4"/>
      <c r="I23136" s="4"/>
    </row>
    <row r="23137">
      <c r="A23137" s="4" t="str">
        <f>IFERROR(__xludf.DUMMYFUNCTION("""COMPUTED_VALUE"""),"cas_hmw")</f>
        <v>cas_hmw</v>
      </c>
      <c r="B23137" s="5">
        <f>IFERROR(__xludf.DUMMYFUNCTION("""COMPUTED_VALUE"""),44792.0)</f>
        <v>44792</v>
      </c>
      <c r="C23137" s="6">
        <f>IFERROR(__xludf.DUMMYFUNCTION("""COMPUTED_VALUE"""),0.3163773148153268)</f>
        <v>0.3163773148</v>
      </c>
      <c r="D23137" s="4">
        <f>IFERROR(__xludf.DUMMYFUNCTION("""COMPUTED_VALUE"""),13.03303)</f>
        <v>13.03303</v>
      </c>
      <c r="E23137" s="4">
        <f>IFERROR(__xludf.DUMMYFUNCTION("""COMPUTED_VALUE"""),80.243374)</f>
        <v>80.243374</v>
      </c>
      <c r="F23137" s="4">
        <f>IFERROR(__xludf.DUMMYFUNCTION("""COMPUTED_VALUE"""),5339.0)</f>
        <v>5339</v>
      </c>
      <c r="G23137" s="4">
        <f>IFERROR(__xludf.DUMMYFUNCTION("""COMPUTED_VALUE"""),36.0)</f>
        <v>36</v>
      </c>
      <c r="H23137" s="4"/>
      <c r="I23137" s="4"/>
    </row>
    <row r="23138">
      <c r="A23138" s="4" t="str">
        <f>IFERROR(__xludf.DUMMYFUNCTION("""COMPUTED_VALUE"""),"cas_hmw")</f>
        <v>cas_hmw</v>
      </c>
      <c r="B23138" s="5">
        <f>IFERROR(__xludf.DUMMYFUNCTION("""COMPUTED_VALUE"""),44792.0)</f>
        <v>44792</v>
      </c>
      <c r="C23138" s="6">
        <f>IFERROR(__xludf.DUMMYFUNCTION("""COMPUTED_VALUE"""),0.3187499999985448)</f>
        <v>0.31875</v>
      </c>
      <c r="D23138" s="4">
        <f>IFERROR(__xludf.DUMMYFUNCTION("""COMPUTED_VALUE"""),12.678246)</f>
        <v>12.678246</v>
      </c>
      <c r="E23138" s="4">
        <f>IFERROR(__xludf.DUMMYFUNCTION("""COMPUTED_VALUE"""),79.979773)</f>
        <v>79.979773</v>
      </c>
      <c r="F23138" s="4">
        <f>IFERROR(__xludf.DUMMYFUNCTION("""COMPUTED_VALUE"""),2846.0)</f>
        <v>2846</v>
      </c>
      <c r="G23138" s="4">
        <f>IFERROR(__xludf.DUMMYFUNCTION("""COMPUTED_VALUE"""),26.0)</f>
        <v>26</v>
      </c>
      <c r="H23138" s="4"/>
      <c r="I23138" s="4"/>
    </row>
    <row r="23139">
      <c r="A23139" s="4" t="str">
        <f>IFERROR(__xludf.DUMMYFUNCTION("""COMPUTED_VALUE"""),"cas_hmw")</f>
        <v>cas_hmw</v>
      </c>
      <c r="B23139" s="5">
        <f>IFERROR(__xludf.DUMMYFUNCTION("""COMPUTED_VALUE"""),44792.0)</f>
        <v>44792</v>
      </c>
      <c r="C23139" s="6">
        <f>IFERROR(__xludf.DUMMYFUNCTION("""COMPUTED_VALUE"""),0.31891203703708015)</f>
        <v>0.318912037</v>
      </c>
      <c r="D23139" s="4">
        <f>IFERROR(__xludf.DUMMYFUNCTION("""COMPUTED_VALUE"""),13.028802)</f>
        <v>13.028802</v>
      </c>
      <c r="E23139" s="4">
        <f>IFERROR(__xludf.DUMMYFUNCTION("""COMPUTED_VALUE"""),80.236473)</f>
        <v>80.236473</v>
      </c>
      <c r="F23139" s="4">
        <f>IFERROR(__xludf.DUMMYFUNCTION("""COMPUTED_VALUE"""),5339.0)</f>
        <v>5339</v>
      </c>
      <c r="G23139" s="4">
        <f>IFERROR(__xludf.DUMMYFUNCTION("""COMPUTED_VALUE"""),41.0)</f>
        <v>41</v>
      </c>
      <c r="H23139" s="4"/>
      <c r="I23139" s="4"/>
    </row>
    <row r="23140">
      <c r="A23140" s="4" t="str">
        <f>IFERROR(__xludf.DUMMYFUNCTION("""COMPUTED_VALUE"""),"cas_hmw")</f>
        <v>cas_hmw</v>
      </c>
      <c r="B23140" s="5">
        <f>IFERROR(__xludf.DUMMYFUNCTION("""COMPUTED_VALUE"""),44792.0)</f>
        <v>44792</v>
      </c>
      <c r="C23140" s="6">
        <f>IFERROR(__xludf.DUMMYFUNCTION("""COMPUTED_VALUE"""),0.31894675926014315)</f>
        <v>0.3189467593</v>
      </c>
      <c r="D23140" s="4">
        <f>IFERROR(__xludf.DUMMYFUNCTION("""COMPUTED_VALUE"""),13.028802)</f>
        <v>13.028802</v>
      </c>
      <c r="E23140" s="4">
        <f>IFERROR(__xludf.DUMMYFUNCTION("""COMPUTED_VALUE"""),80.236473)</f>
        <v>80.236473</v>
      </c>
      <c r="F23140" s="4">
        <f>IFERROR(__xludf.DUMMYFUNCTION("""COMPUTED_VALUE"""),5339.0)</f>
        <v>5339</v>
      </c>
      <c r="G23140" s="4">
        <f>IFERROR(__xludf.DUMMYFUNCTION("""COMPUTED_VALUE"""),41.0)</f>
        <v>41</v>
      </c>
      <c r="H23140" s="4"/>
      <c r="I23140" s="4"/>
    </row>
    <row r="23141">
      <c r="A23141" s="4" t="str">
        <f>IFERROR(__xludf.DUMMYFUNCTION("""COMPUTED_VALUE"""),"cas_hmw")</f>
        <v>cas_hmw</v>
      </c>
      <c r="B23141" s="5">
        <f>IFERROR(__xludf.DUMMYFUNCTION("""COMPUTED_VALUE"""),44792.0)</f>
        <v>44792</v>
      </c>
      <c r="C23141" s="6">
        <f>IFERROR(__xludf.DUMMYFUNCTION("""COMPUTED_VALUE"""),0.3190162037026312)</f>
        <v>0.3190162037</v>
      </c>
      <c r="D23141" s="4">
        <f>IFERROR(__xludf.DUMMYFUNCTION("""COMPUTED_VALUE"""),13.028155)</f>
        <v>13.028155</v>
      </c>
      <c r="E23141" s="4">
        <f>IFERROR(__xludf.DUMMYFUNCTION("""COMPUTED_VALUE"""),80.235756)</f>
        <v>80.235756</v>
      </c>
      <c r="F23141" s="4">
        <f>IFERROR(__xludf.DUMMYFUNCTION("""COMPUTED_VALUE"""),5339.0)</f>
        <v>5339</v>
      </c>
      <c r="G23141" s="4">
        <f>IFERROR(__xludf.DUMMYFUNCTION("""COMPUTED_VALUE"""),33.0)</f>
        <v>33</v>
      </c>
      <c r="H23141" s="4"/>
      <c r="I23141" s="4"/>
    </row>
    <row r="23142">
      <c r="A23142" s="4" t="str">
        <f>IFERROR(__xludf.DUMMYFUNCTION("""COMPUTED_VALUE"""),"cas_hmw")</f>
        <v>cas_hmw</v>
      </c>
      <c r="B23142" s="5">
        <f>IFERROR(__xludf.DUMMYFUNCTION("""COMPUTED_VALUE"""),44792.0)</f>
        <v>44792</v>
      </c>
      <c r="C23142" s="6">
        <f>IFERROR(__xludf.DUMMYFUNCTION("""COMPUTED_VALUE"""),0.31913194444496185)</f>
        <v>0.3191319444</v>
      </c>
      <c r="D23142" s="4">
        <f>IFERROR(__xludf.DUMMYFUNCTION("""COMPUTED_VALUE"""),13.027643)</f>
        <v>13.027643</v>
      </c>
      <c r="E23142" s="4">
        <f>IFERROR(__xludf.DUMMYFUNCTION("""COMPUTED_VALUE"""),80.234988)</f>
        <v>80.234988</v>
      </c>
      <c r="F23142" s="4">
        <f>IFERROR(__xludf.DUMMYFUNCTION("""COMPUTED_VALUE"""),5339.0)</f>
        <v>5339</v>
      </c>
      <c r="G23142" s="4">
        <f>IFERROR(__xludf.DUMMYFUNCTION("""COMPUTED_VALUE"""),40.0)</f>
        <v>40</v>
      </c>
      <c r="H23142" s="4"/>
      <c r="I23142" s="4"/>
    </row>
    <row r="23143">
      <c r="A23143" s="4" t="str">
        <f>IFERROR(__xludf.DUMMYFUNCTION("""COMPUTED_VALUE"""),"cas_hmw")</f>
        <v>cas_hmw</v>
      </c>
      <c r="B23143" s="5">
        <f>IFERROR(__xludf.DUMMYFUNCTION("""COMPUTED_VALUE"""),44792.0)</f>
        <v>44792</v>
      </c>
      <c r="C23143" s="6">
        <f>IFERROR(__xludf.DUMMYFUNCTION("""COMPUTED_VALUE"""),0.32131944444336114)</f>
        <v>0.3213194444</v>
      </c>
      <c r="D23143" s="4">
        <f>IFERROR(__xludf.DUMMYFUNCTION("""COMPUTED_VALUE"""),13.020931)</f>
        <v>13.020931</v>
      </c>
      <c r="E23143" s="4">
        <f>IFERROR(__xludf.DUMMYFUNCTION("""COMPUTED_VALUE"""),80.225559)</f>
        <v>80.225559</v>
      </c>
      <c r="F23143" s="4">
        <f>IFERROR(__xludf.DUMMYFUNCTION("""COMPUTED_VALUE"""),5339.0)</f>
        <v>5339</v>
      </c>
      <c r="G23143" s="4">
        <f>IFERROR(__xludf.DUMMYFUNCTION("""COMPUTED_VALUE"""),36.0)</f>
        <v>36</v>
      </c>
      <c r="H23143" s="4"/>
      <c r="I23143" s="4"/>
    </row>
    <row r="23144">
      <c r="A23144" s="4" t="str">
        <f>IFERROR(__xludf.DUMMYFUNCTION("""COMPUTED_VALUE"""),"cas_hmw")</f>
        <v>cas_hmw</v>
      </c>
      <c r="B23144" s="5">
        <f>IFERROR(__xludf.DUMMYFUNCTION("""COMPUTED_VALUE"""),44792.0)</f>
        <v>44792</v>
      </c>
      <c r="C23144" s="6">
        <f>IFERROR(__xludf.DUMMYFUNCTION("""COMPUTED_VALUE"""),0.32259259259080864)</f>
        <v>0.3225925926</v>
      </c>
      <c r="D23144" s="4">
        <f>IFERROR(__xludf.DUMMYFUNCTION("""COMPUTED_VALUE"""),13.012977)</f>
        <v>13.012977</v>
      </c>
      <c r="E23144" s="4">
        <f>IFERROR(__xludf.DUMMYFUNCTION("""COMPUTED_VALUE"""),80.226815)</f>
        <v>80.226815</v>
      </c>
      <c r="F23144" s="4">
        <f>IFERROR(__xludf.DUMMYFUNCTION("""COMPUTED_VALUE"""),5339.0)</f>
        <v>5339</v>
      </c>
      <c r="G23144" s="4">
        <f>IFERROR(__xludf.DUMMYFUNCTION("""COMPUTED_VALUE"""),39.0)</f>
        <v>39</v>
      </c>
      <c r="H23144" s="4"/>
      <c r="I23144" s="4"/>
    </row>
    <row r="23145">
      <c r="A23145" s="4" t="str">
        <f>IFERROR(__xludf.DUMMYFUNCTION("""COMPUTED_VALUE"""),"cas_hmw")</f>
        <v>cas_hmw</v>
      </c>
      <c r="B23145" s="5">
        <f>IFERROR(__xludf.DUMMYFUNCTION("""COMPUTED_VALUE"""),44792.0)</f>
        <v>44792</v>
      </c>
      <c r="C23145" s="6">
        <f>IFERROR(__xludf.DUMMYFUNCTION("""COMPUTED_VALUE"""),0.32429398148087785)</f>
        <v>0.3242939815</v>
      </c>
      <c r="D23145" s="4">
        <f>IFERROR(__xludf.DUMMYFUNCTION("""COMPUTED_VALUE"""),13.012028)</f>
        <v>13.012028</v>
      </c>
      <c r="E23145" s="4">
        <f>IFERROR(__xludf.DUMMYFUNCTION("""COMPUTED_VALUE"""),80.221836)</f>
        <v>80.221836</v>
      </c>
      <c r="F23145" s="4">
        <f>IFERROR(__xludf.DUMMYFUNCTION("""COMPUTED_VALUE"""),5339.0)</f>
        <v>5339</v>
      </c>
      <c r="G23145" s="4">
        <f>IFERROR(__xludf.DUMMYFUNCTION("""COMPUTED_VALUE"""),43.0)</f>
        <v>43</v>
      </c>
      <c r="H23145" s="4"/>
      <c r="I23145" s="4"/>
    </row>
    <row r="23146">
      <c r="A23146" s="4" t="str">
        <f>IFERROR(__xludf.DUMMYFUNCTION("""COMPUTED_VALUE"""),"cas_hmw")</f>
        <v>cas_hmw</v>
      </c>
      <c r="B23146" s="5">
        <f>IFERROR(__xludf.DUMMYFUNCTION("""COMPUTED_VALUE"""),44792.0)</f>
        <v>44792</v>
      </c>
      <c r="C23146" s="6">
        <f>IFERROR(__xludf.DUMMYFUNCTION("""COMPUTED_VALUE"""),0.32450231481561786)</f>
        <v>0.3245023148</v>
      </c>
      <c r="D23146" s="4">
        <f>IFERROR(__xludf.DUMMYFUNCTION("""COMPUTED_VALUE"""),13.011858)</f>
        <v>13.011858</v>
      </c>
      <c r="E23146" s="4">
        <f>IFERROR(__xludf.DUMMYFUNCTION("""COMPUTED_VALUE"""),80.220004)</f>
        <v>80.220004</v>
      </c>
      <c r="F23146" s="4">
        <f>IFERROR(__xludf.DUMMYFUNCTION("""COMPUTED_VALUE"""),5339.0)</f>
        <v>5339</v>
      </c>
      <c r="G23146" s="4">
        <f>IFERROR(__xludf.DUMMYFUNCTION("""COMPUTED_VALUE"""),39.0)</f>
        <v>39</v>
      </c>
      <c r="H23146" s="4"/>
      <c r="I23146" s="4"/>
    </row>
    <row r="23147">
      <c r="A23147" s="4" t="str">
        <f>IFERROR(__xludf.DUMMYFUNCTION("""COMPUTED_VALUE"""),"cas_hmw")</f>
        <v>cas_hmw</v>
      </c>
      <c r="B23147" s="5">
        <f>IFERROR(__xludf.DUMMYFUNCTION("""COMPUTED_VALUE"""),44792.0)</f>
        <v>44792</v>
      </c>
      <c r="C23147" s="6">
        <f>IFERROR(__xludf.DUMMYFUNCTION("""COMPUTED_VALUE"""),0.3252546296280343)</f>
        <v>0.3252546296</v>
      </c>
      <c r="D23147" s="4">
        <f>IFERROR(__xludf.DUMMYFUNCTION("""COMPUTED_VALUE"""),13.008874)</f>
        <v>13.008874</v>
      </c>
      <c r="E23147" s="4">
        <f>IFERROR(__xludf.DUMMYFUNCTION("""COMPUTED_VALUE"""),80.211514)</f>
        <v>80.211514</v>
      </c>
      <c r="F23147" s="4">
        <f>IFERROR(__xludf.DUMMYFUNCTION("""COMPUTED_VALUE"""),5339.0)</f>
        <v>5339</v>
      </c>
      <c r="G23147" s="4">
        <f>IFERROR(__xludf.DUMMYFUNCTION("""COMPUTED_VALUE"""),38.0)</f>
        <v>38</v>
      </c>
      <c r="H23147" s="4"/>
      <c r="I23147" s="4"/>
    </row>
    <row r="23148">
      <c r="A23148" s="4" t="str">
        <f>IFERROR(__xludf.DUMMYFUNCTION("""COMPUTED_VALUE"""),"cas_hmw")</f>
        <v>cas_hmw</v>
      </c>
      <c r="B23148" s="5">
        <f>IFERROR(__xludf.DUMMYFUNCTION("""COMPUTED_VALUE"""),44792.0)</f>
        <v>44792</v>
      </c>
      <c r="C23148" s="6">
        <f>IFERROR(__xludf.DUMMYFUNCTION("""COMPUTED_VALUE"""),0.3260879629633564)</f>
        <v>0.326087963</v>
      </c>
      <c r="D23148" s="4">
        <f>IFERROR(__xludf.DUMMYFUNCTION("""COMPUTED_VALUE"""),13.007649)</f>
        <v>13.007649</v>
      </c>
      <c r="E23148" s="4">
        <f>IFERROR(__xludf.DUMMYFUNCTION("""COMPUTED_VALUE"""),80.206666)</f>
        <v>80.206666</v>
      </c>
      <c r="F23148" s="4">
        <f>IFERROR(__xludf.DUMMYFUNCTION("""COMPUTED_VALUE"""),5339.0)</f>
        <v>5339</v>
      </c>
      <c r="G23148" s="4">
        <f>IFERROR(__xludf.DUMMYFUNCTION("""COMPUTED_VALUE"""),38.0)</f>
        <v>38</v>
      </c>
      <c r="H23148" s="4"/>
      <c r="I23148" s="4"/>
    </row>
    <row r="23149">
      <c r="A23149" s="4" t="str">
        <f>IFERROR(__xludf.DUMMYFUNCTION("""COMPUTED_VALUE"""),"cas_hmw")</f>
        <v>cas_hmw</v>
      </c>
      <c r="B23149" s="5">
        <f>IFERROR(__xludf.DUMMYFUNCTION("""COMPUTED_VALUE"""),44792.0)</f>
        <v>44792</v>
      </c>
      <c r="C23149" s="6">
        <f>IFERROR(__xludf.DUMMYFUNCTION("""COMPUTED_VALUE"""),0.3267708333332848)</f>
        <v>0.3267708333</v>
      </c>
      <c r="D23149" s="4">
        <f>IFERROR(__xludf.DUMMYFUNCTION("""COMPUTED_VALUE"""),13.004448)</f>
        <v>13.004448</v>
      </c>
      <c r="E23149" s="4">
        <f>IFERROR(__xludf.DUMMYFUNCTION("""COMPUTED_VALUE"""),80.201236)</f>
        <v>80.201236</v>
      </c>
      <c r="F23149" s="4">
        <f>IFERROR(__xludf.DUMMYFUNCTION("""COMPUTED_VALUE"""),5339.0)</f>
        <v>5339</v>
      </c>
      <c r="G23149" s="4">
        <f>IFERROR(__xludf.DUMMYFUNCTION("""COMPUTED_VALUE"""),48.0)</f>
        <v>48</v>
      </c>
      <c r="H23149" s="4"/>
      <c r="I23149" s="4"/>
    </row>
    <row r="23150">
      <c r="A23150" s="4" t="str">
        <f>IFERROR(__xludf.DUMMYFUNCTION("""COMPUTED_VALUE"""),"cas_hmw")</f>
        <v>cas_hmw</v>
      </c>
      <c r="B23150" s="5">
        <f>IFERROR(__xludf.DUMMYFUNCTION("""COMPUTED_VALUE"""),44792.0)</f>
        <v>44792</v>
      </c>
      <c r="C23150" s="6">
        <f>IFERROR(__xludf.DUMMYFUNCTION("""COMPUTED_VALUE"""),0.32697916666802485)</f>
        <v>0.3269791667</v>
      </c>
      <c r="D23150" s="4">
        <f>IFERROR(__xludf.DUMMYFUNCTION("""COMPUTED_VALUE"""),13.002391)</f>
        <v>13.002391</v>
      </c>
      <c r="E23150" s="4">
        <f>IFERROR(__xludf.DUMMYFUNCTION("""COMPUTED_VALUE"""),80.200602)</f>
        <v>80.200602</v>
      </c>
      <c r="F23150" s="4">
        <f>IFERROR(__xludf.DUMMYFUNCTION("""COMPUTED_VALUE"""),5339.0)</f>
        <v>5339</v>
      </c>
      <c r="G23150" s="4">
        <f>IFERROR(__xludf.DUMMYFUNCTION("""COMPUTED_VALUE"""),29.0)</f>
        <v>29</v>
      </c>
      <c r="H23150" s="4"/>
      <c r="I23150" s="4"/>
    </row>
    <row r="23151">
      <c r="A23151" s="4" t="str">
        <f>IFERROR(__xludf.DUMMYFUNCTION("""COMPUTED_VALUE"""),"cas_hmw")</f>
        <v>cas_hmw</v>
      </c>
      <c r="B23151" s="5">
        <f>IFERROR(__xludf.DUMMYFUNCTION("""COMPUTED_VALUE"""),44792.0)</f>
        <v>44792</v>
      </c>
      <c r="C23151" s="6">
        <f>IFERROR(__xludf.DUMMYFUNCTION("""COMPUTED_VALUE"""),0.32709490740671754)</f>
        <v>0.3270949074</v>
      </c>
      <c r="D23151" s="4">
        <f>IFERROR(__xludf.DUMMYFUNCTION("""COMPUTED_VALUE"""),13.001874)</f>
        <v>13.001874</v>
      </c>
      <c r="E23151" s="4">
        <f>IFERROR(__xludf.DUMMYFUNCTION("""COMPUTED_VALUE"""),80.199976)</f>
        <v>80.199976</v>
      </c>
      <c r="F23151" s="4">
        <f>IFERROR(__xludf.DUMMYFUNCTION("""COMPUTED_VALUE"""),5339.0)</f>
        <v>5339</v>
      </c>
      <c r="G23151" s="4">
        <f>IFERROR(__xludf.DUMMYFUNCTION("""COMPUTED_VALUE"""),37.0)</f>
        <v>37</v>
      </c>
      <c r="H23151" s="4"/>
      <c r="I23151" s="4"/>
    </row>
    <row r="23152">
      <c r="A23152" s="4" t="str">
        <f>IFERROR(__xludf.DUMMYFUNCTION("""COMPUTED_VALUE"""),"cas_hmw")</f>
        <v>cas_hmw</v>
      </c>
      <c r="B23152" s="5">
        <f>IFERROR(__xludf.DUMMYFUNCTION("""COMPUTED_VALUE"""),44792.0)</f>
        <v>44792</v>
      </c>
      <c r="C23152" s="6">
        <f>IFERROR(__xludf.DUMMYFUNCTION("""COMPUTED_VALUE"""),0.32755787036876427)</f>
        <v>0.3275578704</v>
      </c>
      <c r="D23152" s="4">
        <f>IFERROR(__xludf.DUMMYFUNCTION("""COMPUTED_VALUE"""),12.721087)</f>
        <v>12.721087</v>
      </c>
      <c r="E23152" s="4">
        <f>IFERROR(__xludf.DUMMYFUNCTION("""COMPUTED_VALUE"""),79.981195)</f>
        <v>79.981195</v>
      </c>
      <c r="F23152" s="4">
        <f>IFERROR(__xludf.DUMMYFUNCTION("""COMPUTED_VALUE"""),2846.0)</f>
        <v>2846</v>
      </c>
      <c r="G23152" s="4">
        <f>IFERROR(__xludf.DUMMYFUNCTION("""COMPUTED_VALUE"""),47.0)</f>
        <v>47</v>
      </c>
      <c r="H23152" s="4"/>
      <c r="I23152" s="4"/>
    </row>
    <row r="23153">
      <c r="A23153" s="4" t="str">
        <f>IFERROR(__xludf.DUMMYFUNCTION("""COMPUTED_VALUE"""),"cas_hmw")</f>
        <v>cas_hmw</v>
      </c>
      <c r="B23153" s="5">
        <f>IFERROR(__xludf.DUMMYFUNCTION("""COMPUTED_VALUE"""),44792.0)</f>
        <v>44792</v>
      </c>
      <c r="C23153" s="6">
        <f>IFERROR(__xludf.DUMMYFUNCTION("""COMPUTED_VALUE"""),0.3278356481496303)</f>
        <v>0.3278356481</v>
      </c>
      <c r="D23153" s="4">
        <f>IFERROR(__xludf.DUMMYFUNCTION("""COMPUTED_VALUE"""),12.999178)</f>
        <v>12.999178</v>
      </c>
      <c r="E23153" s="4">
        <f>IFERROR(__xludf.DUMMYFUNCTION("""COMPUTED_VALUE"""),80.193243)</f>
        <v>80.193243</v>
      </c>
      <c r="F23153" s="4">
        <f>IFERROR(__xludf.DUMMYFUNCTION("""COMPUTED_VALUE"""),5339.0)</f>
        <v>5339</v>
      </c>
      <c r="G23153" s="4">
        <f>IFERROR(__xludf.DUMMYFUNCTION("""COMPUTED_VALUE"""),53.0)</f>
        <v>53</v>
      </c>
      <c r="H23153" s="4"/>
      <c r="I23153" s="4"/>
    </row>
    <row r="23154">
      <c r="A23154" s="4" t="str">
        <f>IFERROR(__xludf.DUMMYFUNCTION("""COMPUTED_VALUE"""),"cas_hmw")</f>
        <v>cas_hmw</v>
      </c>
      <c r="B23154" s="5">
        <f>IFERROR(__xludf.DUMMYFUNCTION("""COMPUTED_VALUE"""),44792.0)</f>
        <v>44792</v>
      </c>
      <c r="C23154" s="6">
        <f>IFERROR(__xludf.DUMMYFUNCTION("""COMPUTED_VALUE"""),0.3282060185192677)</f>
        <v>0.3282060185</v>
      </c>
      <c r="D23154" s="4">
        <f>IFERROR(__xludf.DUMMYFUNCTION("""COMPUTED_VALUE"""),12.997507)</f>
        <v>12.997507</v>
      </c>
      <c r="E23154" s="4">
        <f>IFERROR(__xludf.DUMMYFUNCTION("""COMPUTED_VALUE"""),80.191095)</f>
        <v>80.191095</v>
      </c>
      <c r="F23154" s="4">
        <f>IFERROR(__xludf.DUMMYFUNCTION("""COMPUTED_VALUE"""),5339.0)</f>
        <v>5339</v>
      </c>
      <c r="G23154" s="4">
        <f>IFERROR(__xludf.DUMMYFUNCTION("""COMPUTED_VALUE"""),56.0)</f>
        <v>56</v>
      </c>
      <c r="H23154" s="4"/>
      <c r="I23154" s="4"/>
    </row>
    <row r="23155">
      <c r="A23155" s="4" t="str">
        <f>IFERROR(__xludf.DUMMYFUNCTION("""COMPUTED_VALUE"""),"cas_hmw")</f>
        <v>cas_hmw</v>
      </c>
      <c r="B23155" s="5">
        <f>IFERROR(__xludf.DUMMYFUNCTION("""COMPUTED_VALUE"""),44792.0)</f>
        <v>44792</v>
      </c>
      <c r="C23155" s="6">
        <f>IFERROR(__xludf.DUMMYFUNCTION("""COMPUTED_VALUE"""),0.32894675925854244)</f>
        <v>0.3289467593</v>
      </c>
      <c r="D23155" s="4">
        <f>IFERROR(__xludf.DUMMYFUNCTION("""COMPUTED_VALUE"""),12.994162)</f>
        <v>12.994162</v>
      </c>
      <c r="E23155" s="4">
        <f>IFERROR(__xludf.DUMMYFUNCTION("""COMPUTED_VALUE"""),80.185849)</f>
        <v>80.185849</v>
      </c>
      <c r="F23155" s="4">
        <f>IFERROR(__xludf.DUMMYFUNCTION("""COMPUTED_VALUE"""),5339.0)</f>
        <v>5339</v>
      </c>
      <c r="G23155" s="4">
        <f>IFERROR(__xludf.DUMMYFUNCTION("""COMPUTED_VALUE"""),31.0)</f>
        <v>31</v>
      </c>
      <c r="H23155" s="4"/>
      <c r="I23155" s="4"/>
    </row>
    <row r="23156">
      <c r="A23156" s="4" t="str">
        <f>IFERROR(__xludf.DUMMYFUNCTION("""COMPUTED_VALUE"""),"cas_hmw")</f>
        <v>cas_hmw</v>
      </c>
      <c r="B23156" s="5">
        <f>IFERROR(__xludf.DUMMYFUNCTION("""COMPUTED_VALUE"""),44792.0)</f>
        <v>44792</v>
      </c>
      <c r="C23156" s="6">
        <f>IFERROR(__xludf.DUMMYFUNCTION("""COMPUTED_VALUE"""),0.3294675925935735)</f>
        <v>0.3294675926</v>
      </c>
      <c r="D23156" s="4">
        <f>IFERROR(__xludf.DUMMYFUNCTION("""COMPUTED_VALUE"""),12.991574)</f>
        <v>12.991574</v>
      </c>
      <c r="E23156" s="4">
        <f>IFERROR(__xludf.DUMMYFUNCTION("""COMPUTED_VALUE"""),80.181623)</f>
        <v>80.181623</v>
      </c>
      <c r="F23156" s="4">
        <f>IFERROR(__xludf.DUMMYFUNCTION("""COMPUTED_VALUE"""),5339.0)</f>
        <v>5339</v>
      </c>
      <c r="G23156" s="4">
        <f>IFERROR(__xludf.DUMMYFUNCTION("""COMPUTED_VALUE"""),54.0)</f>
        <v>54</v>
      </c>
      <c r="H23156" s="4"/>
      <c r="I23156" s="4"/>
    </row>
    <row r="23157">
      <c r="A23157" s="4" t="str">
        <f>IFERROR(__xludf.DUMMYFUNCTION("""COMPUTED_VALUE"""),"cas_hmw")</f>
        <v>cas_hmw</v>
      </c>
      <c r="B23157" s="5">
        <f>IFERROR(__xludf.DUMMYFUNCTION("""COMPUTED_VALUE"""),44792.0)</f>
        <v>44792</v>
      </c>
      <c r="C23157" s="6">
        <f>IFERROR(__xludf.DUMMYFUNCTION("""COMPUTED_VALUE"""),0.3295370370360615)</f>
        <v>0.329537037</v>
      </c>
      <c r="D23157" s="4">
        <f>IFERROR(__xludf.DUMMYFUNCTION("""COMPUTED_VALUE"""),12.731235)</f>
        <v>12.731235</v>
      </c>
      <c r="E23157" s="4">
        <f>IFERROR(__xludf.DUMMYFUNCTION("""COMPUTED_VALUE"""),79.982784)</f>
        <v>79.982784</v>
      </c>
      <c r="F23157" s="4">
        <f>IFERROR(__xludf.DUMMYFUNCTION("""COMPUTED_VALUE"""),2846.0)</f>
        <v>2846</v>
      </c>
      <c r="G23157" s="4">
        <f>IFERROR(__xludf.DUMMYFUNCTION("""COMPUTED_VALUE"""),42.0)</f>
        <v>42</v>
      </c>
      <c r="H23157" s="4"/>
      <c r="I23157" s="4"/>
    </row>
    <row r="23158">
      <c r="A23158" s="4" t="str">
        <f>IFERROR(__xludf.DUMMYFUNCTION("""COMPUTED_VALUE"""),"cas_hmw")</f>
        <v>cas_hmw</v>
      </c>
      <c r="B23158" s="5">
        <f>IFERROR(__xludf.DUMMYFUNCTION("""COMPUTED_VALUE"""),44792.0)</f>
        <v>44792</v>
      </c>
      <c r="C23158" s="6">
        <f>IFERROR(__xludf.DUMMYFUNCTION("""COMPUTED_VALUE"""),0.33137731481474475)</f>
        <v>0.3313773148</v>
      </c>
      <c r="D23158" s="4">
        <f>IFERROR(__xludf.DUMMYFUNCTION("""COMPUTED_VALUE"""),12.984347)</f>
        <v>12.984347</v>
      </c>
      <c r="E23158" s="4">
        <f>IFERROR(__xludf.DUMMYFUNCTION("""COMPUTED_VALUE"""),80.171631)</f>
        <v>80.171631</v>
      </c>
      <c r="F23158" s="4">
        <f>IFERROR(__xludf.DUMMYFUNCTION("""COMPUTED_VALUE"""),5339.0)</f>
        <v>5339</v>
      </c>
      <c r="G23158" s="4">
        <f>IFERROR(__xludf.DUMMYFUNCTION("""COMPUTED_VALUE"""),50.0)</f>
        <v>50</v>
      </c>
      <c r="H23158" s="4"/>
      <c r="I23158" s="4"/>
    </row>
    <row r="23159">
      <c r="A23159" s="4" t="str">
        <f>IFERROR(__xludf.DUMMYFUNCTION("""COMPUTED_VALUE"""),"cas_hmw")</f>
        <v>cas_hmw</v>
      </c>
      <c r="B23159" s="5">
        <f>IFERROR(__xludf.DUMMYFUNCTION("""COMPUTED_VALUE"""),44792.0)</f>
        <v>44792</v>
      </c>
      <c r="C23159" s="6">
        <f>IFERROR(__xludf.DUMMYFUNCTION("""COMPUTED_VALUE"""),0.33152777777650044)</f>
        <v>0.3315277778</v>
      </c>
      <c r="D23159" s="4">
        <f>IFERROR(__xludf.DUMMYFUNCTION("""COMPUTED_VALUE"""),12.983786)</f>
        <v>12.983786</v>
      </c>
      <c r="E23159" s="4">
        <f>IFERROR(__xludf.DUMMYFUNCTION("""COMPUTED_VALUE"""),80.170693)</f>
        <v>80.170693</v>
      </c>
      <c r="F23159" s="4">
        <f>IFERROR(__xludf.DUMMYFUNCTION("""COMPUTED_VALUE"""),5339.0)</f>
        <v>5339</v>
      </c>
      <c r="G23159" s="4">
        <f>IFERROR(__xludf.DUMMYFUNCTION("""COMPUTED_VALUE"""),37.0)</f>
        <v>37</v>
      </c>
      <c r="H23159" s="4"/>
      <c r="I23159" s="4"/>
    </row>
    <row r="23160">
      <c r="A23160" s="4" t="str">
        <f>IFERROR(__xludf.DUMMYFUNCTION("""COMPUTED_VALUE"""),"cas_hmw")</f>
        <v>cas_hmw</v>
      </c>
      <c r="B23160" s="5">
        <f>IFERROR(__xludf.DUMMYFUNCTION("""COMPUTED_VALUE"""),44792.0)</f>
        <v>44792</v>
      </c>
      <c r="C23160" s="6">
        <f>IFERROR(__xludf.DUMMYFUNCTION("""COMPUTED_VALUE"""),0.3332407407397113)</f>
        <v>0.3332407407</v>
      </c>
      <c r="D23160" s="4">
        <f>IFERROR(__xludf.DUMMYFUNCTION("""COMPUTED_VALUE"""),12.763597)</f>
        <v>12.763597</v>
      </c>
      <c r="E23160" s="4">
        <f>IFERROR(__xludf.DUMMYFUNCTION("""COMPUTED_VALUE"""),80.004186)</f>
        <v>80.004186</v>
      </c>
      <c r="F23160" s="4">
        <f>IFERROR(__xludf.DUMMYFUNCTION("""COMPUTED_VALUE"""),2846.0)</f>
        <v>2846</v>
      </c>
      <c r="G23160" s="4">
        <f>IFERROR(__xludf.DUMMYFUNCTION("""COMPUTED_VALUE"""),47.0)</f>
        <v>47</v>
      </c>
      <c r="H23160" s="4"/>
      <c r="I23160" s="4"/>
    </row>
    <row r="23161">
      <c r="A23161" s="4" t="str">
        <f>IFERROR(__xludf.DUMMYFUNCTION("""COMPUTED_VALUE"""),"cas_hmw")</f>
        <v>cas_hmw</v>
      </c>
      <c r="B23161" s="5">
        <f>IFERROR(__xludf.DUMMYFUNCTION("""COMPUTED_VALUE"""),44792.0)</f>
        <v>44792</v>
      </c>
      <c r="C23161" s="6">
        <f>IFERROR(__xludf.DUMMYFUNCTION("""COMPUTED_VALUE"""),0.333495370370656)</f>
        <v>0.3334953704</v>
      </c>
      <c r="D23161" s="4">
        <f>IFERROR(__xludf.DUMMYFUNCTION("""COMPUTED_VALUE"""),12.947267)</f>
        <v>12.947267</v>
      </c>
      <c r="E23161" s="4">
        <f>IFERROR(__xludf.DUMMYFUNCTION("""COMPUTED_VALUE"""),80.184531)</f>
        <v>80.184531</v>
      </c>
      <c r="F23161" s="4">
        <f>IFERROR(__xludf.DUMMYFUNCTION("""COMPUTED_VALUE"""),3143.0)</f>
        <v>3143</v>
      </c>
      <c r="G23161" s="4">
        <f>IFERROR(__xludf.DUMMYFUNCTION("""COMPUTED_VALUE"""),34.0)</f>
        <v>34</v>
      </c>
      <c r="H23161" s="4"/>
      <c r="I23161" s="4"/>
    </row>
    <row r="23162">
      <c r="A23162" s="4" t="str">
        <f>IFERROR(__xludf.DUMMYFUNCTION("""COMPUTED_VALUE"""),"cas_hmw")</f>
        <v>cas_hmw</v>
      </c>
      <c r="B23162" s="5">
        <f>IFERROR(__xludf.DUMMYFUNCTION("""COMPUTED_VALUE"""),44792.0)</f>
        <v>44792</v>
      </c>
      <c r="C23162" s="6">
        <f>IFERROR(__xludf.DUMMYFUNCTION("""COMPUTED_VALUE"""),0.3336805555554747)</f>
        <v>0.3336805556</v>
      </c>
      <c r="D23162" s="4">
        <f>IFERROR(__xludf.DUMMYFUNCTION("""COMPUTED_VALUE"""),12.972498)</f>
        <v>12.972498</v>
      </c>
      <c r="E23162" s="4">
        <f>IFERROR(__xludf.DUMMYFUNCTION("""COMPUTED_VALUE"""),80.151982)</f>
        <v>80.151982</v>
      </c>
      <c r="F23162" s="4">
        <f>IFERROR(__xludf.DUMMYFUNCTION("""COMPUTED_VALUE"""),5339.0)</f>
        <v>5339</v>
      </c>
      <c r="G23162" s="4">
        <f>IFERROR(__xludf.DUMMYFUNCTION("""COMPUTED_VALUE"""),42.0)</f>
        <v>42</v>
      </c>
      <c r="H23162" s="4"/>
      <c r="I23162" s="4"/>
    </row>
    <row r="23163">
      <c r="A23163" s="4" t="str">
        <f>IFERROR(__xludf.DUMMYFUNCTION("""COMPUTED_VALUE"""),"cas_hmw")</f>
        <v>cas_hmw</v>
      </c>
      <c r="B23163" s="5">
        <f>IFERROR(__xludf.DUMMYFUNCTION("""COMPUTED_VALUE"""),44792.0)</f>
        <v>44792</v>
      </c>
      <c r="C23163" s="6">
        <f>IFERROR(__xludf.DUMMYFUNCTION("""COMPUTED_VALUE"""),0.3346180555563478)</f>
        <v>0.3346180556</v>
      </c>
      <c r="D23163" s="4">
        <f>IFERROR(__xludf.DUMMYFUNCTION("""COMPUTED_VALUE"""),12.966325)</f>
        <v>12.966325</v>
      </c>
      <c r="E23163" s="4">
        <f>IFERROR(__xludf.DUMMYFUNCTION("""COMPUTED_VALUE"""),80.148646)</f>
        <v>80.148646</v>
      </c>
      <c r="F23163" s="4">
        <f>IFERROR(__xludf.DUMMYFUNCTION("""COMPUTED_VALUE"""),5339.0)</f>
        <v>5339</v>
      </c>
      <c r="G23163" s="4">
        <f>IFERROR(__xludf.DUMMYFUNCTION("""COMPUTED_VALUE"""),33.0)</f>
        <v>33</v>
      </c>
      <c r="H23163" s="4"/>
      <c r="I23163" s="4"/>
    </row>
    <row r="23164">
      <c r="A23164" s="4" t="str">
        <f>IFERROR(__xludf.DUMMYFUNCTION("""COMPUTED_VALUE"""),"cas_hmw")</f>
        <v>cas_hmw</v>
      </c>
      <c r="B23164" s="5">
        <f>IFERROR(__xludf.DUMMYFUNCTION("""COMPUTED_VALUE"""),44792.0)</f>
        <v>44792</v>
      </c>
      <c r="C23164" s="6">
        <f>IFERROR(__xludf.DUMMYFUNCTION("""COMPUTED_VALUE"""),0.3356018518534256)</f>
        <v>0.3356018519</v>
      </c>
      <c r="D23164" s="4">
        <f>IFERROR(__xludf.DUMMYFUNCTION("""COMPUTED_VALUE"""),12.961075)</f>
        <v>12.961075</v>
      </c>
      <c r="E23164" s="4">
        <f>IFERROR(__xludf.DUMMYFUNCTION("""COMPUTED_VALUE"""),80.145852)</f>
        <v>80.145852</v>
      </c>
      <c r="F23164" s="4">
        <f>IFERROR(__xludf.DUMMYFUNCTION("""COMPUTED_VALUE"""),5339.0)</f>
        <v>5339</v>
      </c>
      <c r="G23164" s="4">
        <f>IFERROR(__xludf.DUMMYFUNCTION("""COMPUTED_VALUE"""),29.0)</f>
        <v>29</v>
      </c>
      <c r="H23164" s="4"/>
      <c r="I23164" s="4"/>
    </row>
    <row r="23165">
      <c r="A23165" s="4" t="str">
        <f>IFERROR(__xludf.DUMMYFUNCTION("""COMPUTED_VALUE"""),"cas_hmw")</f>
        <v>cas_hmw</v>
      </c>
      <c r="B23165" s="5">
        <f>IFERROR(__xludf.DUMMYFUNCTION("""COMPUTED_VALUE"""),44792.0)</f>
        <v>44792</v>
      </c>
      <c r="C23165" s="6">
        <f>IFERROR(__xludf.DUMMYFUNCTION("""COMPUTED_VALUE"""),0.33616898148102337)</f>
        <v>0.3361689815</v>
      </c>
      <c r="D23165" s="4">
        <f>IFERROR(__xludf.DUMMYFUNCTION("""COMPUTED_VALUE"""),12.956392)</f>
        <v>12.956392</v>
      </c>
      <c r="E23165" s="4">
        <f>IFERROR(__xludf.DUMMYFUNCTION("""COMPUTED_VALUE"""),80.143352)</f>
        <v>80.143352</v>
      </c>
      <c r="F23165" s="4">
        <f>IFERROR(__xludf.DUMMYFUNCTION("""COMPUTED_VALUE"""),5339.0)</f>
        <v>5339</v>
      </c>
      <c r="G23165" s="4">
        <f>IFERROR(__xludf.DUMMYFUNCTION("""COMPUTED_VALUE"""),30.0)</f>
        <v>30</v>
      </c>
      <c r="H23165" s="4"/>
      <c r="I23165" s="4"/>
    </row>
    <row r="23166">
      <c r="A23166" s="4" t="str">
        <f>IFERROR(__xludf.DUMMYFUNCTION("""COMPUTED_VALUE"""),"cas_hmw")</f>
        <v>cas_hmw</v>
      </c>
      <c r="B23166" s="5">
        <f>IFERROR(__xludf.DUMMYFUNCTION("""COMPUTED_VALUE"""),44792.0)</f>
        <v>44792</v>
      </c>
      <c r="C23166" s="6">
        <f>IFERROR(__xludf.DUMMYFUNCTION("""COMPUTED_VALUE"""),0.3362615740734327)</f>
        <v>0.3362615741</v>
      </c>
      <c r="D23166" s="4">
        <f>IFERROR(__xludf.DUMMYFUNCTION("""COMPUTED_VALUE"""),12.955655)</f>
        <v>12.955655</v>
      </c>
      <c r="E23166" s="4">
        <f>IFERROR(__xludf.DUMMYFUNCTION("""COMPUTED_VALUE"""),80.142935)</f>
        <v>80.142935</v>
      </c>
      <c r="F23166" s="4">
        <f>IFERROR(__xludf.DUMMYFUNCTION("""COMPUTED_VALUE"""),5339.0)</f>
        <v>5339</v>
      </c>
      <c r="G23166" s="4">
        <f>IFERROR(__xludf.DUMMYFUNCTION("""COMPUTED_VALUE"""),34.0)</f>
        <v>34</v>
      </c>
      <c r="H23166" s="4"/>
      <c r="I23166" s="4"/>
    </row>
    <row r="23167">
      <c r="A23167" s="4" t="str">
        <f>IFERROR(__xludf.DUMMYFUNCTION("""COMPUTED_VALUE"""),"cas_hmw")</f>
        <v>cas_hmw</v>
      </c>
      <c r="B23167" s="5">
        <f>IFERROR(__xludf.DUMMYFUNCTION("""COMPUTED_VALUE"""),44792.0)</f>
        <v>44792</v>
      </c>
      <c r="C23167" s="6">
        <f>IFERROR(__xludf.DUMMYFUNCTION("""COMPUTED_VALUE"""),0.33694444444336114)</f>
        <v>0.3369444444</v>
      </c>
      <c r="D23167" s="4">
        <f>IFERROR(__xludf.DUMMYFUNCTION("""COMPUTED_VALUE"""),12.806823)</f>
        <v>12.806823</v>
      </c>
      <c r="E23167" s="4">
        <f>IFERROR(__xludf.DUMMYFUNCTION("""COMPUTED_VALUE"""),80.027778)</f>
        <v>80.027778</v>
      </c>
      <c r="F23167" s="4">
        <f>IFERROR(__xludf.DUMMYFUNCTION("""COMPUTED_VALUE"""),2846.0)</f>
        <v>2846</v>
      </c>
      <c r="G23167" s="4">
        <f>IFERROR(__xludf.DUMMYFUNCTION("""COMPUTED_VALUE"""),55.0)</f>
        <v>55</v>
      </c>
      <c r="H23167" s="4"/>
      <c r="I23167" s="4"/>
    </row>
    <row r="23168">
      <c r="A23168" s="4" t="str">
        <f>IFERROR(__xludf.DUMMYFUNCTION("""COMPUTED_VALUE"""),"cas_hmw")</f>
        <v>cas_hmw</v>
      </c>
      <c r="B23168" s="5">
        <f>IFERROR(__xludf.DUMMYFUNCTION("""COMPUTED_VALUE"""),44792.0)</f>
        <v>44792</v>
      </c>
      <c r="C23168" s="6">
        <f>IFERROR(__xludf.DUMMYFUNCTION("""COMPUTED_VALUE"""),0.3375000000014552)</f>
        <v>0.3375</v>
      </c>
      <c r="D23168" s="4">
        <f>IFERROR(__xludf.DUMMYFUNCTION("""COMPUTED_VALUE"""),12.950918)</f>
        <v>12.950918</v>
      </c>
      <c r="E23168" s="4">
        <f>IFERROR(__xludf.DUMMYFUNCTION("""COMPUTED_VALUE"""),80.139937)</f>
        <v>80.139937</v>
      </c>
      <c r="F23168" s="4">
        <f>IFERROR(__xludf.DUMMYFUNCTION("""COMPUTED_VALUE"""),5339.0)</f>
        <v>5339</v>
      </c>
      <c r="G23168" s="4">
        <f>IFERROR(__xludf.DUMMYFUNCTION("""COMPUTED_VALUE"""),0.0)</f>
        <v>0</v>
      </c>
      <c r="H23168" s="4"/>
      <c r="I23168" s="4"/>
    </row>
    <row r="23169">
      <c r="A23169" s="4" t="str">
        <f>IFERROR(__xludf.DUMMYFUNCTION("""COMPUTED_VALUE"""),"cas_hmw")</f>
        <v>cas_hmw</v>
      </c>
      <c r="B23169" s="5">
        <f>IFERROR(__xludf.DUMMYFUNCTION("""COMPUTED_VALUE"""),44792.0)</f>
        <v>44792</v>
      </c>
      <c r="C23169" s="6">
        <f>IFERROR(__xludf.DUMMYFUNCTION("""COMPUTED_VALUE"""),0.3375810185170849)</f>
        <v>0.3375810185</v>
      </c>
      <c r="D23169" s="4">
        <f>IFERROR(__xludf.DUMMYFUNCTION("""COMPUTED_VALUE"""),12.812865)</f>
        <v>12.812865</v>
      </c>
      <c r="E23169" s="4">
        <f>IFERROR(__xludf.DUMMYFUNCTION("""COMPUTED_VALUE"""),80.031686)</f>
        <v>80.031686</v>
      </c>
      <c r="F23169" s="4">
        <f>IFERROR(__xludf.DUMMYFUNCTION("""COMPUTED_VALUE"""),2846.0)</f>
        <v>2846</v>
      </c>
      <c r="G23169" s="4">
        <f>IFERROR(__xludf.DUMMYFUNCTION("""COMPUTED_VALUE"""),57.0)</f>
        <v>57</v>
      </c>
      <c r="H23169" s="4"/>
      <c r="I23169" s="4"/>
    </row>
    <row r="23170">
      <c r="A23170" s="4" t="str">
        <f>IFERROR(__xludf.DUMMYFUNCTION("""COMPUTED_VALUE"""),"cas_hmw")</f>
        <v>cas_hmw</v>
      </c>
      <c r="B23170" s="5">
        <f>IFERROR(__xludf.DUMMYFUNCTION("""COMPUTED_VALUE"""),44792.0)</f>
        <v>44792</v>
      </c>
      <c r="C23170" s="6">
        <f>IFERROR(__xludf.DUMMYFUNCTION("""COMPUTED_VALUE"""),0.33766203703635256)</f>
        <v>0.337662037</v>
      </c>
      <c r="D23170" s="4">
        <f>IFERROR(__xludf.DUMMYFUNCTION("""COMPUTED_VALUE"""),12.950001)</f>
        <v>12.950001</v>
      </c>
      <c r="E23170" s="4">
        <f>IFERROR(__xludf.DUMMYFUNCTION("""COMPUTED_VALUE"""),80.139209)</f>
        <v>80.139209</v>
      </c>
      <c r="F23170" s="4">
        <f>IFERROR(__xludf.DUMMYFUNCTION("""COMPUTED_VALUE"""),5339.0)</f>
        <v>5339</v>
      </c>
      <c r="G23170" s="4">
        <f>IFERROR(__xludf.DUMMYFUNCTION("""COMPUTED_VALUE"""),29.0)</f>
        <v>29</v>
      </c>
      <c r="H23170" s="4"/>
      <c r="I23170" s="4"/>
    </row>
    <row r="23171">
      <c r="A23171" s="4" t="str">
        <f>IFERROR(__xludf.DUMMYFUNCTION("""COMPUTED_VALUE"""),"cas_hmw")</f>
        <v>cas_hmw</v>
      </c>
      <c r="B23171" s="5">
        <f>IFERROR(__xludf.DUMMYFUNCTION("""COMPUTED_VALUE"""),44792.0)</f>
        <v>44792</v>
      </c>
      <c r="C23171" s="6">
        <f>IFERROR(__xludf.DUMMYFUNCTION("""COMPUTED_VALUE"""),0.33813657407517894)</f>
        <v>0.3381365741</v>
      </c>
      <c r="D23171" s="4">
        <f>IFERROR(__xludf.DUMMYFUNCTION("""COMPUTED_VALUE"""),12.925522)</f>
        <v>12.925522</v>
      </c>
      <c r="E23171" s="4">
        <f>IFERROR(__xludf.DUMMYFUNCTION("""COMPUTED_VALUE"""),80.182678)</f>
        <v>80.182678</v>
      </c>
      <c r="F23171" s="4">
        <f>IFERROR(__xludf.DUMMYFUNCTION("""COMPUTED_VALUE"""),3143.0)</f>
        <v>3143</v>
      </c>
      <c r="G23171" s="4">
        <f>IFERROR(__xludf.DUMMYFUNCTION("""COMPUTED_VALUE"""),26.0)</f>
        <v>26</v>
      </c>
      <c r="H23171" s="4"/>
      <c r="I23171" s="4"/>
    </row>
    <row r="23172">
      <c r="A23172" s="4" t="str">
        <f>IFERROR(__xludf.DUMMYFUNCTION("""COMPUTED_VALUE"""),"cas_hmw")</f>
        <v>cas_hmw</v>
      </c>
      <c r="B23172" s="5">
        <f>IFERROR(__xludf.DUMMYFUNCTION("""COMPUTED_VALUE"""),44792.0)</f>
        <v>44792</v>
      </c>
      <c r="C23172" s="6">
        <f>IFERROR(__xludf.DUMMYFUNCTION("""COMPUTED_VALUE"""),0.33893518518380006)</f>
        <v>0.3389351852</v>
      </c>
      <c r="D23172" s="4">
        <f>IFERROR(__xludf.DUMMYFUNCTION("""COMPUTED_VALUE"""),12.942694)</f>
        <v>12.942694</v>
      </c>
      <c r="E23172" s="4">
        <f>IFERROR(__xludf.DUMMYFUNCTION("""COMPUTED_VALUE"""),80.133384)</f>
        <v>80.133384</v>
      </c>
      <c r="F23172" s="4">
        <f>IFERROR(__xludf.DUMMYFUNCTION("""COMPUTED_VALUE"""),5339.0)</f>
        <v>5339</v>
      </c>
      <c r="G23172" s="4">
        <f>IFERROR(__xludf.DUMMYFUNCTION("""COMPUTED_VALUE"""),8.0)</f>
        <v>8</v>
      </c>
      <c r="H23172" s="4"/>
      <c r="I23172" s="4"/>
    </row>
    <row r="23173">
      <c r="A23173" s="4" t="str">
        <f>IFERROR(__xludf.DUMMYFUNCTION("""COMPUTED_VALUE"""),"cas_hmw")</f>
        <v>cas_hmw</v>
      </c>
      <c r="B23173" s="5">
        <f>IFERROR(__xludf.DUMMYFUNCTION("""COMPUTED_VALUE"""),44792.0)</f>
        <v>44792</v>
      </c>
      <c r="C23173" s="6">
        <f>IFERROR(__xludf.DUMMYFUNCTION("""COMPUTED_VALUE"""),0.33915509259168175)</f>
        <v>0.3391550926</v>
      </c>
      <c r="D23173" s="4">
        <f>IFERROR(__xludf.DUMMYFUNCTION("""COMPUTED_VALUE"""),12.829106)</f>
        <v>12.829106</v>
      </c>
      <c r="E23173" s="4">
        <f>IFERROR(__xludf.DUMMYFUNCTION("""COMPUTED_VALUE"""),80.043926)</f>
        <v>80.043926</v>
      </c>
      <c r="F23173" s="4">
        <f>IFERROR(__xludf.DUMMYFUNCTION("""COMPUTED_VALUE"""),2846.0)</f>
        <v>2846</v>
      </c>
      <c r="G23173" s="4">
        <f>IFERROR(__xludf.DUMMYFUNCTION("""COMPUTED_VALUE"""),57.0)</f>
        <v>57</v>
      </c>
      <c r="H23173" s="4"/>
      <c r="I23173" s="4"/>
    </row>
    <row r="23174">
      <c r="A23174" s="4" t="str">
        <f>IFERROR(__xludf.DUMMYFUNCTION("""COMPUTED_VALUE"""),"cas_hmw")</f>
        <v>cas_hmw</v>
      </c>
      <c r="B23174" s="5">
        <f>IFERROR(__xludf.DUMMYFUNCTION("""COMPUTED_VALUE"""),44792.0)</f>
        <v>44792</v>
      </c>
      <c r="C23174" s="6">
        <f>IFERROR(__xludf.DUMMYFUNCTION("""COMPUTED_VALUE"""),0.34013888888875954)</f>
        <v>0.3401388889</v>
      </c>
      <c r="D23174" s="4">
        <f>IFERROR(__xludf.DUMMYFUNCTION("""COMPUTED_VALUE"""),12.91943)</f>
        <v>12.91943</v>
      </c>
      <c r="E23174" s="4">
        <f>IFERROR(__xludf.DUMMYFUNCTION("""COMPUTED_VALUE"""),80.180651)</f>
        <v>80.180651</v>
      </c>
      <c r="F23174" s="4">
        <f>IFERROR(__xludf.DUMMYFUNCTION("""COMPUTED_VALUE"""),3143.0)</f>
        <v>3143</v>
      </c>
      <c r="G23174" s="4">
        <f>IFERROR(__xludf.DUMMYFUNCTION("""COMPUTED_VALUE"""),48.0)</f>
        <v>48</v>
      </c>
      <c r="H23174" s="4"/>
      <c r="I23174" s="4"/>
    </row>
    <row r="23175">
      <c r="A23175" s="4" t="str">
        <f>IFERROR(__xludf.DUMMYFUNCTION("""COMPUTED_VALUE"""),"cas_hmw")</f>
        <v>cas_hmw</v>
      </c>
      <c r="B23175" s="5">
        <f>IFERROR(__xludf.DUMMYFUNCTION("""COMPUTED_VALUE"""),44792.0)</f>
        <v>44792</v>
      </c>
      <c r="C23175" s="6">
        <f>IFERROR(__xludf.DUMMYFUNCTION("""COMPUTED_VALUE"""),0.3404513888890506)</f>
        <v>0.3404513889</v>
      </c>
      <c r="D23175" s="4">
        <f>IFERROR(__xludf.DUMMYFUNCTION("""COMPUTED_VALUE"""),12.838977)</f>
        <v>12.838977</v>
      </c>
      <c r="E23175" s="4">
        <f>IFERROR(__xludf.DUMMYFUNCTION("""COMPUTED_VALUE"""),80.054321)</f>
        <v>80.054321</v>
      </c>
      <c r="F23175" s="4">
        <f>IFERROR(__xludf.DUMMYFUNCTION("""COMPUTED_VALUE"""),2846.0)</f>
        <v>2846</v>
      </c>
      <c r="G23175" s="4">
        <f>IFERROR(__xludf.DUMMYFUNCTION("""COMPUTED_VALUE"""),58.0)</f>
        <v>58</v>
      </c>
      <c r="H23175" s="4"/>
      <c r="I23175" s="4"/>
    </row>
    <row r="23176">
      <c r="A23176" s="4" t="str">
        <f>IFERROR(__xludf.DUMMYFUNCTION("""COMPUTED_VALUE"""),"cas_hmw")</f>
        <v>cas_hmw</v>
      </c>
      <c r="B23176" s="5">
        <f>IFERROR(__xludf.DUMMYFUNCTION("""COMPUTED_VALUE"""),44792.0)</f>
        <v>44792</v>
      </c>
      <c r="C23176" s="6">
        <f>IFERROR(__xludf.DUMMYFUNCTION("""COMPUTED_VALUE"""),0.3405208333315386)</f>
        <v>0.3405208333</v>
      </c>
      <c r="D23176" s="4">
        <f>IFERROR(__xludf.DUMMYFUNCTION("""COMPUTED_VALUE"""),12.918431)</f>
        <v>12.918431</v>
      </c>
      <c r="E23176" s="4">
        <f>IFERROR(__xludf.DUMMYFUNCTION("""COMPUTED_VALUE"""),80.176318)</f>
        <v>80.176318</v>
      </c>
      <c r="F23176" s="4">
        <f>IFERROR(__xludf.DUMMYFUNCTION("""COMPUTED_VALUE"""),3143.0)</f>
        <v>3143</v>
      </c>
      <c r="G23176" s="4">
        <f>IFERROR(__xludf.DUMMYFUNCTION("""COMPUTED_VALUE"""),49.0)</f>
        <v>49</v>
      </c>
      <c r="H23176" s="4"/>
      <c r="I23176" s="4"/>
    </row>
    <row r="23177">
      <c r="A23177" s="4" t="str">
        <f>IFERROR(__xludf.DUMMYFUNCTION("""COMPUTED_VALUE"""),"cas_hmw")</f>
        <v>cas_hmw</v>
      </c>
      <c r="B23177" s="5">
        <f>IFERROR(__xludf.DUMMYFUNCTION("""COMPUTED_VALUE"""),44792.0)</f>
        <v>44792</v>
      </c>
      <c r="C23177" s="6">
        <f>IFERROR(__xludf.DUMMYFUNCTION("""COMPUTED_VALUE"""),0.34123842592453)</f>
        <v>0.3412384259</v>
      </c>
      <c r="D23177" s="4">
        <f>IFERROR(__xludf.DUMMYFUNCTION("""COMPUTED_VALUE"""),12.842513)</f>
        <v>12.842513</v>
      </c>
      <c r="E23177" s="4">
        <f>IFERROR(__xludf.DUMMYFUNCTION("""COMPUTED_VALUE"""),80.058047)</f>
        <v>80.058047</v>
      </c>
      <c r="F23177" s="4">
        <f>IFERROR(__xludf.DUMMYFUNCTION("""COMPUTED_VALUE"""),2846.0)</f>
        <v>2846</v>
      </c>
      <c r="G23177" s="4">
        <f>IFERROR(__xludf.DUMMYFUNCTION("""COMPUTED_VALUE"""),48.0)</f>
        <v>48</v>
      </c>
      <c r="H23177" s="4"/>
      <c r="I23177" s="4"/>
    </row>
    <row r="23178">
      <c r="A23178" s="4" t="str">
        <f>IFERROR(__xludf.DUMMYFUNCTION("""COMPUTED_VALUE"""),"cas_hmw")</f>
        <v>cas_hmw</v>
      </c>
      <c r="B23178" s="5">
        <f>IFERROR(__xludf.DUMMYFUNCTION("""COMPUTED_VALUE"""),44792.0)</f>
        <v>44792</v>
      </c>
      <c r="C23178" s="6">
        <f>IFERROR(__xludf.DUMMYFUNCTION("""COMPUTED_VALUE"""),0.3413194444437977)</f>
        <v>0.3413194444</v>
      </c>
      <c r="D23178" s="4">
        <f>IFERROR(__xludf.DUMMYFUNCTION("""COMPUTED_VALUE"""),12.927834)</f>
        <v>12.927834</v>
      </c>
      <c r="E23178" s="4">
        <f>IFERROR(__xludf.DUMMYFUNCTION("""COMPUTED_VALUE"""),80.119014)</f>
        <v>80.119014</v>
      </c>
      <c r="F23178" s="4">
        <f>IFERROR(__xludf.DUMMYFUNCTION("""COMPUTED_VALUE"""),5339.0)</f>
        <v>5339</v>
      </c>
      <c r="G23178" s="4">
        <f>IFERROR(__xludf.DUMMYFUNCTION("""COMPUTED_VALUE"""),47.0)</f>
        <v>47</v>
      </c>
      <c r="H23178" s="4"/>
      <c r="I23178" s="4"/>
    </row>
    <row r="23179">
      <c r="A23179" s="4" t="str">
        <f>IFERROR(__xludf.DUMMYFUNCTION("""COMPUTED_VALUE"""),"cas_hmw")</f>
        <v>cas_hmw</v>
      </c>
      <c r="B23179" s="5">
        <f>IFERROR(__xludf.DUMMYFUNCTION("""COMPUTED_VALUE"""),44792.0)</f>
        <v>44792</v>
      </c>
      <c r="C23179" s="6">
        <f>IFERROR(__xludf.DUMMYFUNCTION("""COMPUTED_VALUE"""),0.3416435185172304)</f>
        <v>0.3416435185</v>
      </c>
      <c r="D23179" s="4">
        <f>IFERROR(__xludf.DUMMYFUNCTION("""COMPUTED_VALUE"""),12.921698)</f>
        <v>12.921698</v>
      </c>
      <c r="E23179" s="4">
        <f>IFERROR(__xludf.DUMMYFUNCTION("""COMPUTED_VALUE"""),80.165058)</f>
        <v>80.165058</v>
      </c>
      <c r="F23179" s="4">
        <f>IFERROR(__xludf.DUMMYFUNCTION("""COMPUTED_VALUE"""),3143.0)</f>
        <v>3143</v>
      </c>
      <c r="G23179" s="4">
        <f>IFERROR(__xludf.DUMMYFUNCTION("""COMPUTED_VALUE"""),39.0)</f>
        <v>39</v>
      </c>
      <c r="H23179" s="4"/>
      <c r="I23179" s="4"/>
    </row>
    <row r="23180">
      <c r="A23180" s="4" t="str">
        <f>IFERROR(__xludf.DUMMYFUNCTION("""COMPUTED_VALUE"""),"cas_hmw")</f>
        <v>cas_hmw</v>
      </c>
      <c r="B23180" s="5">
        <f>IFERROR(__xludf.DUMMYFUNCTION("""COMPUTED_VALUE"""),44792.0)</f>
        <v>44792</v>
      </c>
      <c r="C23180" s="6">
        <f>IFERROR(__xludf.DUMMYFUNCTION("""COMPUTED_VALUE"""),0.34166666666715173)</f>
        <v>0.3416666667</v>
      </c>
      <c r="D23180" s="4">
        <f>IFERROR(__xludf.DUMMYFUNCTION("""COMPUTED_VALUE"""),12.921698)</f>
        <v>12.921698</v>
      </c>
      <c r="E23180" s="4">
        <f>IFERROR(__xludf.DUMMYFUNCTION("""COMPUTED_VALUE"""),80.165058)</f>
        <v>80.165058</v>
      </c>
      <c r="F23180" s="4">
        <f>IFERROR(__xludf.DUMMYFUNCTION("""COMPUTED_VALUE"""),3143.0)</f>
        <v>3143</v>
      </c>
      <c r="G23180" s="4">
        <f>IFERROR(__xludf.DUMMYFUNCTION("""COMPUTED_VALUE"""),39.0)</f>
        <v>39</v>
      </c>
      <c r="H23180" s="4"/>
      <c r="I23180" s="4"/>
    </row>
    <row r="23181">
      <c r="A23181" s="4" t="str">
        <f>IFERROR(__xludf.DUMMYFUNCTION("""COMPUTED_VALUE"""),"cas_hmw")</f>
        <v>cas_hmw</v>
      </c>
      <c r="B23181" s="5">
        <f>IFERROR(__xludf.DUMMYFUNCTION("""COMPUTED_VALUE"""),44792.0)</f>
        <v>44792</v>
      </c>
      <c r="C23181" s="6">
        <f>IFERROR(__xludf.DUMMYFUNCTION("""COMPUTED_VALUE"""),0.34216435185226146)</f>
        <v>0.3421643519</v>
      </c>
      <c r="D23181" s="4">
        <f>IFERROR(__xludf.DUMMYFUNCTION("""COMPUTED_VALUE"""),12.921529)</f>
        <v>12.921529</v>
      </c>
      <c r="E23181" s="4">
        <f>IFERROR(__xludf.DUMMYFUNCTION("""COMPUTED_VALUE"""),80.112698)</f>
        <v>80.112698</v>
      </c>
      <c r="F23181" s="4">
        <f>IFERROR(__xludf.DUMMYFUNCTION("""COMPUTED_VALUE"""),5339.0)</f>
        <v>5339</v>
      </c>
      <c r="G23181" s="4">
        <f>IFERROR(__xludf.DUMMYFUNCTION("""COMPUTED_VALUE"""),36.0)</f>
        <v>36</v>
      </c>
      <c r="H23181" s="4"/>
      <c r="I23181" s="4"/>
    </row>
    <row r="23182">
      <c r="A23182" s="4" t="str">
        <f>IFERROR(__xludf.DUMMYFUNCTION("""COMPUTED_VALUE"""),"cas_hmw")</f>
        <v>cas_hmw</v>
      </c>
      <c r="B23182" s="5">
        <f>IFERROR(__xludf.DUMMYFUNCTION("""COMPUTED_VALUE"""),44792.0)</f>
        <v>44792</v>
      </c>
      <c r="C23182" s="6">
        <f>IFERROR(__xludf.DUMMYFUNCTION("""COMPUTED_VALUE"""),0.3424074074064265)</f>
        <v>0.3424074074</v>
      </c>
      <c r="D23182" s="4">
        <f>IFERROR(__xludf.DUMMYFUNCTION("""COMPUTED_VALUE"""),12.920251)</f>
        <v>12.920251</v>
      </c>
      <c r="E23182" s="4">
        <f>IFERROR(__xludf.DUMMYFUNCTION("""COMPUTED_VALUE"""),80.111352)</f>
        <v>80.111352</v>
      </c>
      <c r="F23182" s="4">
        <f>IFERROR(__xludf.DUMMYFUNCTION("""COMPUTED_VALUE"""),5339.0)</f>
        <v>5339</v>
      </c>
      <c r="G23182" s="4">
        <f>IFERROR(__xludf.DUMMYFUNCTION("""COMPUTED_VALUE"""),47.0)</f>
        <v>47</v>
      </c>
      <c r="H23182" s="4"/>
      <c r="I23182" s="4"/>
    </row>
    <row r="23183">
      <c r="A23183" s="4" t="str">
        <f>IFERROR(__xludf.DUMMYFUNCTION("""COMPUTED_VALUE"""),"cas_hmw")</f>
        <v>cas_hmw</v>
      </c>
      <c r="B23183" s="5">
        <f>IFERROR(__xludf.DUMMYFUNCTION("""COMPUTED_VALUE"""),44792.0)</f>
        <v>44792</v>
      </c>
      <c r="C23183" s="6">
        <f>IFERROR(__xludf.DUMMYFUNCTION("""COMPUTED_VALUE"""),0.34275462962978054)</f>
        <v>0.3427546296</v>
      </c>
      <c r="D23183" s="4">
        <f>IFERROR(__xludf.DUMMYFUNCTION("""COMPUTED_VALUE"""),12.917629)</f>
        <v>12.917629</v>
      </c>
      <c r="E23183" s="4">
        <f>IFERROR(__xludf.DUMMYFUNCTION("""COMPUTED_VALUE"""),80.108122)</f>
        <v>80.108122</v>
      </c>
      <c r="F23183" s="4">
        <f>IFERROR(__xludf.DUMMYFUNCTION("""COMPUTED_VALUE"""),5339.0)</f>
        <v>5339</v>
      </c>
      <c r="G23183" s="4">
        <f>IFERROR(__xludf.DUMMYFUNCTION("""COMPUTED_VALUE"""),51.0)</f>
        <v>51</v>
      </c>
      <c r="H23183" s="4"/>
      <c r="I23183" s="4"/>
    </row>
    <row r="23184">
      <c r="A23184" s="4" t="str">
        <f>IFERROR(__xludf.DUMMYFUNCTION("""COMPUTED_VALUE"""),"cas_hmw")</f>
        <v>cas_hmw</v>
      </c>
      <c r="B23184" s="5">
        <f>IFERROR(__xludf.DUMMYFUNCTION("""COMPUTED_VALUE"""),44792.0)</f>
        <v>44792</v>
      </c>
      <c r="C23184" s="6">
        <f>IFERROR(__xludf.DUMMYFUNCTION("""COMPUTED_VALUE"""),0.3432407407417486)</f>
        <v>0.3432407407</v>
      </c>
      <c r="D23184" s="4">
        <f>IFERROR(__xludf.DUMMYFUNCTION("""COMPUTED_VALUE"""),12.91701)</f>
        <v>12.91701</v>
      </c>
      <c r="E23184" s="4">
        <f>IFERROR(__xludf.DUMMYFUNCTION("""COMPUTED_VALUE"""),80.107242)</f>
        <v>80.107242</v>
      </c>
      <c r="F23184" s="4">
        <f>IFERROR(__xludf.DUMMYFUNCTION("""COMPUTED_VALUE"""),5339.0)</f>
        <v>5339</v>
      </c>
      <c r="G23184" s="4">
        <f>IFERROR(__xludf.DUMMYFUNCTION("""COMPUTED_VALUE"""),3.0)</f>
        <v>3</v>
      </c>
      <c r="H23184" s="4"/>
      <c r="I23184" s="4"/>
    </row>
    <row r="23185">
      <c r="A23185" s="4" t="str">
        <f>IFERROR(__xludf.DUMMYFUNCTION("""COMPUTED_VALUE"""),"cas_hmw")</f>
        <v>cas_hmw</v>
      </c>
      <c r="B23185" s="5">
        <f>IFERROR(__xludf.DUMMYFUNCTION("""COMPUTED_VALUE"""),44792.0)</f>
        <v>44792</v>
      </c>
      <c r="C23185" s="6">
        <f>IFERROR(__xludf.DUMMYFUNCTION("""COMPUTED_VALUE"""),0.3440393518503697)</f>
        <v>0.3440393519</v>
      </c>
      <c r="D23185" s="4">
        <f>IFERROR(__xludf.DUMMYFUNCTION("""COMPUTED_VALUE"""),12.911962)</f>
        <v>12.911962</v>
      </c>
      <c r="E23185" s="4">
        <f>IFERROR(__xludf.DUMMYFUNCTION("""COMPUTED_VALUE"""),80.101469)</f>
        <v>80.101469</v>
      </c>
      <c r="F23185" s="4">
        <f>IFERROR(__xludf.DUMMYFUNCTION("""COMPUTED_VALUE"""),5339.0)</f>
        <v>5339</v>
      </c>
      <c r="G23185" s="4">
        <f>IFERROR(__xludf.DUMMYFUNCTION("""COMPUTED_VALUE"""),51.0)</f>
        <v>51</v>
      </c>
      <c r="H23185" s="4"/>
      <c r="I23185" s="4"/>
    </row>
    <row r="23186">
      <c r="A23186" s="4" t="str">
        <f>IFERROR(__xludf.DUMMYFUNCTION("""COMPUTED_VALUE"""),"cas_hmw")</f>
        <v>cas_hmw</v>
      </c>
      <c r="B23186" s="5">
        <f>IFERROR(__xludf.DUMMYFUNCTION("""COMPUTED_VALUE"""),44792.0)</f>
        <v>44792</v>
      </c>
      <c r="C23186" s="6">
        <f>IFERROR(__xludf.DUMMYFUNCTION("""COMPUTED_VALUE"""),0.34427083333503106)</f>
        <v>0.3442708333</v>
      </c>
      <c r="D23186" s="4">
        <f>IFERROR(__xludf.DUMMYFUNCTION("""COMPUTED_VALUE"""),12.922671)</f>
        <v>12.922671</v>
      </c>
      <c r="E23186" s="4">
        <f>IFERROR(__xludf.DUMMYFUNCTION("""COMPUTED_VALUE"""),80.151549)</f>
        <v>80.151549</v>
      </c>
      <c r="F23186" s="4">
        <f>IFERROR(__xludf.DUMMYFUNCTION("""COMPUTED_VALUE"""),3143.0)</f>
        <v>3143</v>
      </c>
      <c r="G23186" s="4">
        <f>IFERROR(__xludf.DUMMYFUNCTION("""COMPUTED_VALUE"""),24.0)</f>
        <v>24</v>
      </c>
      <c r="H23186" s="4"/>
      <c r="I23186" s="4"/>
    </row>
    <row r="23187">
      <c r="A23187" s="4" t="str">
        <f>IFERROR(__xludf.DUMMYFUNCTION("""COMPUTED_VALUE"""),"cas_hmw")</f>
        <v>cas_hmw</v>
      </c>
      <c r="B23187" s="5">
        <f>IFERROR(__xludf.DUMMYFUNCTION("""COMPUTED_VALUE"""),44792.0)</f>
        <v>44792</v>
      </c>
      <c r="C23187" s="6">
        <f>IFERROR(__xludf.DUMMYFUNCTION("""COMPUTED_VALUE"""),0.3442939814813144)</f>
        <v>0.3442939815</v>
      </c>
      <c r="D23187" s="4">
        <f>IFERROR(__xludf.DUMMYFUNCTION("""COMPUTED_VALUE"""),12.909706)</f>
        <v>12.909706</v>
      </c>
      <c r="E23187" s="4">
        <f>IFERROR(__xludf.DUMMYFUNCTION("""COMPUTED_VALUE"""),80.100121)</f>
        <v>80.100121</v>
      </c>
      <c r="F23187" s="4">
        <f>IFERROR(__xludf.DUMMYFUNCTION("""COMPUTED_VALUE"""),5339.0)</f>
        <v>5339</v>
      </c>
      <c r="G23187" s="4">
        <f>IFERROR(__xludf.DUMMYFUNCTION("""COMPUTED_VALUE"""),48.0)</f>
        <v>48</v>
      </c>
      <c r="H23187" s="4"/>
      <c r="I23187" s="4"/>
    </row>
    <row r="23188">
      <c r="A23188" s="4" t="str">
        <f>IFERROR(__xludf.DUMMYFUNCTION("""COMPUTED_VALUE"""),"cas_hmw")</f>
        <v>cas_hmw</v>
      </c>
      <c r="B23188" s="5">
        <f>IFERROR(__xludf.DUMMYFUNCTION("""COMPUTED_VALUE"""),44792.0)</f>
        <v>44792</v>
      </c>
      <c r="C23188" s="6">
        <f>IFERROR(__xludf.DUMMYFUNCTION("""COMPUTED_VALUE"""),0.3446875000008731)</f>
        <v>0.3446875</v>
      </c>
      <c r="D23188" s="4">
        <f>IFERROR(__xludf.DUMMYFUNCTION("""COMPUTED_VALUE"""),12.852195)</f>
        <v>12.852195</v>
      </c>
      <c r="E23188" s="4">
        <f>IFERROR(__xludf.DUMMYFUNCTION("""COMPUTED_VALUE"""),80.066218)</f>
        <v>80.066218</v>
      </c>
      <c r="F23188" s="4">
        <f>IFERROR(__xludf.DUMMYFUNCTION("""COMPUTED_VALUE"""),2846.0)</f>
        <v>2846</v>
      </c>
      <c r="G23188" s="4">
        <f>IFERROR(__xludf.DUMMYFUNCTION("""COMPUTED_VALUE"""),42.0)</f>
        <v>42</v>
      </c>
      <c r="H23188" s="4"/>
      <c r="I23188" s="4"/>
    </row>
    <row r="23189">
      <c r="A23189" s="4" t="str">
        <f>IFERROR(__xludf.DUMMYFUNCTION("""COMPUTED_VALUE"""),"cas_hmw")</f>
        <v>cas_hmw</v>
      </c>
      <c r="B23189" s="5">
        <f>IFERROR(__xludf.DUMMYFUNCTION("""COMPUTED_VALUE"""),44792.0)</f>
        <v>44792</v>
      </c>
      <c r="C23189" s="6">
        <f>IFERROR(__xludf.DUMMYFUNCTION("""COMPUTED_VALUE"""),0.3449074074087548)</f>
        <v>0.3449074074</v>
      </c>
      <c r="D23189" s="4">
        <f>IFERROR(__xludf.DUMMYFUNCTION("""COMPUTED_VALUE"""),12.907408)</f>
        <v>12.907408</v>
      </c>
      <c r="E23189" s="4">
        <f>IFERROR(__xludf.DUMMYFUNCTION("""COMPUTED_VALUE"""),80.097324)</f>
        <v>80.097324</v>
      </c>
      <c r="F23189" s="4">
        <f>IFERROR(__xludf.DUMMYFUNCTION("""COMPUTED_VALUE"""),5339.0)</f>
        <v>5339</v>
      </c>
      <c r="G23189" s="4">
        <f>IFERROR(__xludf.DUMMYFUNCTION("""COMPUTED_VALUE"""),39.0)</f>
        <v>39</v>
      </c>
      <c r="H23189" s="4"/>
      <c r="I23189" s="4"/>
    </row>
    <row r="23190">
      <c r="A23190" s="4" t="str">
        <f>IFERROR(__xludf.DUMMYFUNCTION("""COMPUTED_VALUE"""),"cas_hmw")</f>
        <v>cas_hmw</v>
      </c>
      <c r="B23190" s="5">
        <f>IFERROR(__xludf.DUMMYFUNCTION("""COMPUTED_VALUE"""),44792.0)</f>
        <v>44792</v>
      </c>
      <c r="C23190" s="6">
        <f>IFERROR(__xludf.DUMMYFUNCTION("""COMPUTED_VALUE"""),0.3450231481474475)</f>
        <v>0.3450231481</v>
      </c>
      <c r="D23190" s="4">
        <f>IFERROR(__xludf.DUMMYFUNCTION("""COMPUTED_VALUE"""),12.906344)</f>
        <v>12.906344</v>
      </c>
      <c r="E23190" s="4">
        <f>IFERROR(__xludf.DUMMYFUNCTION("""COMPUTED_VALUE"""),80.096469)</f>
        <v>80.096469</v>
      </c>
      <c r="F23190" s="4">
        <f>IFERROR(__xludf.DUMMYFUNCTION("""COMPUTED_VALUE"""),5339.0)</f>
        <v>5339</v>
      </c>
      <c r="G23190" s="4">
        <f>IFERROR(__xludf.DUMMYFUNCTION("""COMPUTED_VALUE"""),32.0)</f>
        <v>32</v>
      </c>
      <c r="H23190" s="4"/>
      <c r="I23190" s="4"/>
    </row>
    <row r="23191">
      <c r="A23191" s="4" t="str">
        <f>IFERROR(__xludf.DUMMYFUNCTION("""COMPUTED_VALUE"""),"cas_hmw")</f>
        <v>cas_hmw</v>
      </c>
      <c r="B23191" s="5">
        <f>IFERROR(__xludf.DUMMYFUNCTION("""COMPUTED_VALUE"""),44792.0)</f>
        <v>44792</v>
      </c>
      <c r="C23191" s="6">
        <f>IFERROR(__xludf.DUMMYFUNCTION("""COMPUTED_VALUE"""),0.34548611110949423)</f>
        <v>0.3454861111</v>
      </c>
      <c r="D23191" s="4">
        <f>IFERROR(__xludf.DUMMYFUNCTION("""COMPUTED_VALUE"""),12.871387)</f>
        <v>12.871387</v>
      </c>
      <c r="E23191" s="4">
        <f>IFERROR(__xludf.DUMMYFUNCTION("""COMPUTED_VALUE"""),80.076993)</f>
        <v>80.076993</v>
      </c>
      <c r="F23191" s="4">
        <f>IFERROR(__xludf.DUMMYFUNCTION("""COMPUTED_VALUE"""),2846.0)</f>
        <v>2846</v>
      </c>
      <c r="G23191" s="4">
        <f>IFERROR(__xludf.DUMMYFUNCTION("""COMPUTED_VALUE"""),58.0)</f>
        <v>58</v>
      </c>
      <c r="H23191" s="4"/>
      <c r="I23191" s="4"/>
    </row>
    <row r="23192">
      <c r="A23192" s="4" t="str">
        <f>IFERROR(__xludf.DUMMYFUNCTION("""COMPUTED_VALUE"""),"cas_hmw")</f>
        <v>cas_hmw</v>
      </c>
      <c r="B23192" s="5">
        <f>IFERROR(__xludf.DUMMYFUNCTION("""COMPUTED_VALUE"""),44792.0)</f>
        <v>44792</v>
      </c>
      <c r="C23192" s="6">
        <f>IFERROR(__xludf.DUMMYFUNCTION("""COMPUTED_VALUE"""),0.34586805555591127)</f>
        <v>0.3458680556</v>
      </c>
      <c r="D23192" s="4">
        <f>IFERROR(__xludf.DUMMYFUNCTION("""COMPUTED_VALUE"""),12.871387)</f>
        <v>12.871387</v>
      </c>
      <c r="E23192" s="4">
        <f>IFERROR(__xludf.DUMMYFUNCTION("""COMPUTED_VALUE"""),80.076993)</f>
        <v>80.076993</v>
      </c>
      <c r="F23192" s="4">
        <f>IFERROR(__xludf.DUMMYFUNCTION("""COMPUTED_VALUE"""),2846.0)</f>
        <v>2846</v>
      </c>
      <c r="G23192" s="4">
        <f>IFERROR(__xludf.DUMMYFUNCTION("""COMPUTED_VALUE"""),58.0)</f>
        <v>58</v>
      </c>
      <c r="H23192" s="4"/>
      <c r="I23192" s="4"/>
    </row>
    <row r="23193">
      <c r="A23193" s="4" t="str">
        <f>IFERROR(__xludf.DUMMYFUNCTION("""COMPUTED_VALUE"""),"cas_hmw")</f>
        <v>cas_hmw</v>
      </c>
      <c r="B23193" s="5">
        <f>IFERROR(__xludf.DUMMYFUNCTION("""COMPUTED_VALUE"""),44792.0)</f>
        <v>44792</v>
      </c>
      <c r="C23193" s="6">
        <f>IFERROR(__xludf.DUMMYFUNCTION("""COMPUTED_VALUE"""),0.34721064814948477)</f>
        <v>0.3472106481</v>
      </c>
      <c r="D23193" s="4">
        <f>IFERROR(__xludf.DUMMYFUNCTION("""COMPUTED_VALUE"""),12.878867)</f>
        <v>12.878867</v>
      </c>
      <c r="E23193" s="4">
        <f>IFERROR(__xludf.DUMMYFUNCTION("""COMPUTED_VALUE"""),80.081088)</f>
        <v>80.081088</v>
      </c>
      <c r="F23193" s="4">
        <f>IFERROR(__xludf.DUMMYFUNCTION("""COMPUTED_VALUE"""),2846.0)</f>
        <v>2846</v>
      </c>
      <c r="G23193" s="4">
        <f>IFERROR(__xludf.DUMMYFUNCTION("""COMPUTED_VALUE"""),25.0)</f>
        <v>25</v>
      </c>
      <c r="H23193" s="4"/>
      <c r="I23193" s="4"/>
    </row>
    <row r="23194">
      <c r="A23194" s="4" t="str">
        <f>IFERROR(__xludf.DUMMYFUNCTION("""COMPUTED_VALUE"""),"cas_hmw")</f>
        <v>cas_hmw</v>
      </c>
      <c r="B23194" s="5">
        <f>IFERROR(__xludf.DUMMYFUNCTION("""COMPUTED_VALUE"""),44792.0)</f>
        <v>44792</v>
      </c>
      <c r="C23194" s="6">
        <f>IFERROR(__xludf.DUMMYFUNCTION("""COMPUTED_VALUE"""),0.3482291666659876)</f>
        <v>0.3482291667</v>
      </c>
      <c r="D23194" s="4">
        <f>IFERROR(__xludf.DUMMYFUNCTION("""COMPUTED_VALUE"""),12.92275)</f>
        <v>12.92275</v>
      </c>
      <c r="E23194" s="4">
        <f>IFERROR(__xludf.DUMMYFUNCTION("""COMPUTED_VALUE"""),80.130685)</f>
        <v>80.130685</v>
      </c>
      <c r="F23194" s="4">
        <f>IFERROR(__xludf.DUMMYFUNCTION("""COMPUTED_VALUE"""),3143.0)</f>
        <v>3143</v>
      </c>
      <c r="G23194" s="4">
        <f>IFERROR(__xludf.DUMMYFUNCTION("""COMPUTED_VALUE"""),51.0)</f>
        <v>51</v>
      </c>
      <c r="H23194" s="4"/>
      <c r="I23194" s="4"/>
    </row>
    <row r="23195">
      <c r="A23195" s="4" t="str">
        <f>IFERROR(__xludf.DUMMYFUNCTION("""COMPUTED_VALUE"""),"cas_hmw")</f>
        <v>cas_hmw</v>
      </c>
      <c r="B23195" s="5">
        <f>IFERROR(__xludf.DUMMYFUNCTION("""COMPUTED_VALUE"""),44792.0)</f>
        <v>44792</v>
      </c>
      <c r="C23195" s="6">
        <f>IFERROR(__xludf.DUMMYFUNCTION("""COMPUTED_VALUE"""),0.3489699074089003)</f>
        <v>0.3489699074</v>
      </c>
      <c r="D23195" s="4">
        <f>IFERROR(__xludf.DUMMYFUNCTION("""COMPUTED_VALUE"""),12.922874)</f>
        <v>12.922874</v>
      </c>
      <c r="E23195" s="4">
        <f>IFERROR(__xludf.DUMMYFUNCTION("""COMPUTED_VALUE"""),80.127183)</f>
        <v>80.127183</v>
      </c>
      <c r="F23195" s="4">
        <f>IFERROR(__xludf.DUMMYFUNCTION("""COMPUTED_VALUE"""),3143.0)</f>
        <v>3143</v>
      </c>
      <c r="G23195" s="4">
        <f>IFERROR(__xludf.DUMMYFUNCTION("""COMPUTED_VALUE"""),17.0)</f>
        <v>17</v>
      </c>
      <c r="H23195" s="4"/>
      <c r="I23195" s="4"/>
    </row>
    <row r="23196">
      <c r="A23196" s="4" t="str">
        <f>IFERROR(__xludf.DUMMYFUNCTION("""COMPUTED_VALUE"""),"cas_hmw")</f>
        <v>cas_hmw</v>
      </c>
      <c r="B23196" s="5">
        <f>IFERROR(__xludf.DUMMYFUNCTION("""COMPUTED_VALUE"""),44792.0)</f>
        <v>44792</v>
      </c>
      <c r="C23196" s="6">
        <f>IFERROR(__xludf.DUMMYFUNCTION("""COMPUTED_VALUE"""),0.3500694444446708)</f>
        <v>0.3500694444</v>
      </c>
      <c r="D23196" s="4">
        <f>IFERROR(__xludf.DUMMYFUNCTION("""COMPUTED_VALUE"""),12.923471)</f>
        <v>12.923471</v>
      </c>
      <c r="E23196" s="4">
        <f>IFERROR(__xludf.DUMMYFUNCTION("""COMPUTED_VALUE"""),80.118094)</f>
        <v>80.118094</v>
      </c>
      <c r="F23196" s="4">
        <f>IFERROR(__xludf.DUMMYFUNCTION("""COMPUTED_VALUE"""),3143.0)</f>
        <v>3143</v>
      </c>
      <c r="G23196" s="4">
        <f>IFERROR(__xludf.DUMMYFUNCTION("""COMPUTED_VALUE"""),38.0)</f>
        <v>38</v>
      </c>
      <c r="H23196" s="4"/>
      <c r="I23196" s="4"/>
    </row>
    <row r="23197">
      <c r="A23197" s="4" t="str">
        <f>IFERROR(__xludf.DUMMYFUNCTION("""COMPUTED_VALUE"""),"cas_hmw")</f>
        <v>cas_hmw</v>
      </c>
      <c r="B23197" s="5">
        <f>IFERROR(__xludf.DUMMYFUNCTION("""COMPUTED_VALUE"""),44792.0)</f>
        <v>44792</v>
      </c>
      <c r="C23197" s="6">
        <f>IFERROR(__xludf.DUMMYFUNCTION("""COMPUTED_VALUE"""),0.3525115740740148)</f>
        <v>0.3525115741</v>
      </c>
      <c r="D23197" s="4">
        <f>IFERROR(__xludf.DUMMYFUNCTION("""COMPUTED_VALUE"""),12.914219)</f>
        <v>12.914219</v>
      </c>
      <c r="E23197" s="4">
        <f>IFERROR(__xludf.DUMMYFUNCTION("""COMPUTED_VALUE"""),80.102332)</f>
        <v>80.102332</v>
      </c>
      <c r="F23197" s="4">
        <f>IFERROR(__xludf.DUMMYFUNCTION("""COMPUTED_VALUE"""),3143.0)</f>
        <v>3143</v>
      </c>
      <c r="G23197" s="4">
        <f>IFERROR(__xludf.DUMMYFUNCTION("""COMPUTED_VALUE"""),33.0)</f>
        <v>33</v>
      </c>
      <c r="H23197" s="4"/>
      <c r="I23197" s="4"/>
    </row>
    <row r="23198">
      <c r="A23198" s="4" t="str">
        <f>IFERROR(__xludf.DUMMYFUNCTION("""COMPUTED_VALUE"""),"cas_hmw")</f>
        <v>cas_hmw</v>
      </c>
      <c r="B23198" s="5">
        <f>IFERROR(__xludf.DUMMYFUNCTION("""COMPUTED_VALUE"""),44792.0)</f>
        <v>44792</v>
      </c>
      <c r="C23198" s="6">
        <f>IFERROR(__xludf.DUMMYFUNCTION("""COMPUTED_VALUE"""),0.3525347222239361)</f>
        <v>0.3525347222</v>
      </c>
      <c r="D23198" s="4">
        <f>IFERROR(__xludf.DUMMYFUNCTION("""COMPUTED_VALUE"""),12.914219)</f>
        <v>12.914219</v>
      </c>
      <c r="E23198" s="4">
        <f>IFERROR(__xludf.DUMMYFUNCTION("""COMPUTED_VALUE"""),80.102332)</f>
        <v>80.102332</v>
      </c>
      <c r="F23198" s="4">
        <f>IFERROR(__xludf.DUMMYFUNCTION("""COMPUTED_VALUE"""),3143.0)</f>
        <v>3143</v>
      </c>
      <c r="G23198" s="4">
        <f>IFERROR(__xludf.DUMMYFUNCTION("""COMPUTED_VALUE"""),33.0)</f>
        <v>33</v>
      </c>
      <c r="H23198" s="4"/>
      <c r="I23198" s="4"/>
    </row>
    <row r="23199">
      <c r="A23199" s="4" t="str">
        <f>IFERROR(__xludf.DUMMYFUNCTION("""COMPUTED_VALUE"""),"cas_hmw")</f>
        <v>cas_hmw</v>
      </c>
      <c r="B23199" s="5">
        <f>IFERROR(__xludf.DUMMYFUNCTION("""COMPUTED_VALUE"""),44792.0)</f>
        <v>44792</v>
      </c>
      <c r="C23199" s="6">
        <f>IFERROR(__xludf.DUMMYFUNCTION("""COMPUTED_VALUE"""),0.3526504629626288)</f>
        <v>0.352650463</v>
      </c>
      <c r="D23199" s="4">
        <f>IFERROR(__xludf.DUMMYFUNCTION("""COMPUTED_VALUE"""),12.913561)</f>
        <v>12.913561</v>
      </c>
      <c r="E23199" s="4">
        <f>IFERROR(__xludf.DUMMYFUNCTION("""COMPUTED_VALUE"""),80.101717)</f>
        <v>80.101717</v>
      </c>
      <c r="F23199" s="4">
        <f>IFERROR(__xludf.DUMMYFUNCTION("""COMPUTED_VALUE"""),3143.0)</f>
        <v>3143</v>
      </c>
      <c r="G23199" s="4">
        <f>IFERROR(__xludf.DUMMYFUNCTION("""COMPUTED_VALUE"""),33.0)</f>
        <v>33</v>
      </c>
      <c r="H23199" s="4"/>
      <c r="I23199" s="4"/>
    </row>
    <row r="23200">
      <c r="A23200" s="4" t="str">
        <f>IFERROR(__xludf.DUMMYFUNCTION("""COMPUTED_VALUE"""),"cas_hmw")</f>
        <v>cas_hmw</v>
      </c>
      <c r="B23200" s="5">
        <f>IFERROR(__xludf.DUMMYFUNCTION("""COMPUTED_VALUE"""),44792.0)</f>
        <v>44792</v>
      </c>
      <c r="C23200" s="6">
        <f>IFERROR(__xludf.DUMMYFUNCTION("""COMPUTED_VALUE"""),0.3527546296281798)</f>
        <v>0.3527546296</v>
      </c>
      <c r="D23200" s="4">
        <f>IFERROR(__xludf.DUMMYFUNCTION("""COMPUTED_VALUE"""),12.912741)</f>
        <v>12.912741</v>
      </c>
      <c r="E23200" s="4">
        <f>IFERROR(__xludf.DUMMYFUNCTION("""COMPUTED_VALUE"""),80.101579)</f>
        <v>80.101579</v>
      </c>
      <c r="F23200" s="4">
        <f>IFERROR(__xludf.DUMMYFUNCTION("""COMPUTED_VALUE"""),3143.0)</f>
        <v>3143</v>
      </c>
      <c r="G23200" s="4">
        <f>IFERROR(__xludf.DUMMYFUNCTION("""COMPUTED_VALUE"""),30.0)</f>
        <v>30</v>
      </c>
      <c r="H23200" s="4"/>
      <c r="I23200" s="4"/>
    </row>
    <row r="23201">
      <c r="A23201" s="4" t="str">
        <f>IFERROR(__xludf.DUMMYFUNCTION("""COMPUTED_VALUE"""),"cas_hmw")</f>
        <v>cas_hmw</v>
      </c>
      <c r="B23201" s="5">
        <f>IFERROR(__xludf.DUMMYFUNCTION("""COMPUTED_VALUE"""),44792.0)</f>
        <v>44792</v>
      </c>
      <c r="C23201" s="6">
        <f>IFERROR(__xludf.DUMMYFUNCTION("""COMPUTED_VALUE"""),0.3528587962973688)</f>
        <v>0.3528587963</v>
      </c>
      <c r="D23201" s="4">
        <f>IFERROR(__xludf.DUMMYFUNCTION("""COMPUTED_VALUE"""),12.912056)</f>
        <v>12.912056</v>
      </c>
      <c r="E23201" s="4">
        <f>IFERROR(__xludf.DUMMYFUNCTION("""COMPUTED_VALUE"""),80.101504)</f>
        <v>80.101504</v>
      </c>
      <c r="F23201" s="4">
        <f>IFERROR(__xludf.DUMMYFUNCTION("""COMPUTED_VALUE"""),3143.0)</f>
        <v>3143</v>
      </c>
      <c r="G23201" s="4">
        <f>IFERROR(__xludf.DUMMYFUNCTION("""COMPUTED_VALUE"""),26.0)</f>
        <v>26</v>
      </c>
      <c r="H23201" s="4"/>
      <c r="I23201" s="4"/>
    </row>
    <row r="23202">
      <c r="A23202" s="4" t="str">
        <f>IFERROR(__xludf.DUMMYFUNCTION("""COMPUTED_VALUE"""),"cas_hmw")</f>
        <v>cas_hmw</v>
      </c>
      <c r="B23202" s="5">
        <f>IFERROR(__xludf.DUMMYFUNCTION("""COMPUTED_VALUE"""),44792.0)</f>
        <v>44792</v>
      </c>
      <c r="C23202" s="6">
        <f>IFERROR(__xludf.DUMMYFUNCTION("""COMPUTED_VALUE"""),0.35325231481328956)</f>
        <v>0.3532523148</v>
      </c>
      <c r="D23202" s="4">
        <f>IFERROR(__xludf.DUMMYFUNCTION("""COMPUTED_VALUE"""),12.909502)</f>
        <v>12.909502</v>
      </c>
      <c r="E23202" s="4">
        <f>IFERROR(__xludf.DUMMYFUNCTION("""COMPUTED_VALUE"""),80.099697)</f>
        <v>80.099697</v>
      </c>
      <c r="F23202" s="4">
        <f>IFERROR(__xludf.DUMMYFUNCTION("""COMPUTED_VALUE"""),3143.0)</f>
        <v>3143</v>
      </c>
      <c r="G23202" s="4">
        <f>IFERROR(__xludf.DUMMYFUNCTION("""COMPUTED_VALUE"""),49.0)</f>
        <v>49</v>
      </c>
      <c r="H23202" s="4"/>
      <c r="I23202" s="4"/>
    </row>
    <row r="23203">
      <c r="A23203" s="4" t="str">
        <f>IFERROR(__xludf.DUMMYFUNCTION("""COMPUTED_VALUE"""),"cas_hmw")</f>
        <v>cas_hmw</v>
      </c>
      <c r="B23203" s="5">
        <f>IFERROR(__xludf.DUMMYFUNCTION("""COMPUTED_VALUE"""),44792.0)</f>
        <v>44792</v>
      </c>
      <c r="C23203" s="6">
        <f>IFERROR(__xludf.DUMMYFUNCTION("""COMPUTED_VALUE"""),0.3532638888900692)</f>
        <v>0.3532638889</v>
      </c>
      <c r="D23203" s="4">
        <f>IFERROR(__xludf.DUMMYFUNCTION("""COMPUTED_VALUE"""),12.909118)</f>
        <v>12.909118</v>
      </c>
      <c r="E23203" s="4">
        <f>IFERROR(__xludf.DUMMYFUNCTION("""COMPUTED_VALUE"""),80.098924)</f>
        <v>80.098924</v>
      </c>
      <c r="F23203" s="4">
        <f>IFERROR(__xludf.DUMMYFUNCTION("""COMPUTED_VALUE"""),3143.0)</f>
        <v>3143</v>
      </c>
      <c r="G23203" s="4">
        <f>IFERROR(__xludf.DUMMYFUNCTION("""COMPUTED_VALUE"""),23.0)</f>
        <v>23</v>
      </c>
      <c r="H23203" s="4"/>
      <c r="I23203" s="4"/>
    </row>
    <row r="23204">
      <c r="A23204" s="4" t="str">
        <f>IFERROR(__xludf.DUMMYFUNCTION("""COMPUTED_VALUE"""),"cas_hmw")</f>
        <v>cas_hmw</v>
      </c>
      <c r="B23204" s="5">
        <f>IFERROR(__xludf.DUMMYFUNCTION("""COMPUTED_VALUE"""),44792.0)</f>
        <v>44792</v>
      </c>
      <c r="C23204" s="6">
        <f>IFERROR(__xludf.DUMMYFUNCTION("""COMPUTED_VALUE"""),0.40876157407547)</f>
        <v>0.4087615741</v>
      </c>
      <c r="D23204" s="4">
        <f>IFERROR(__xludf.DUMMYFUNCTION("""COMPUTED_VALUE"""),12.915504)</f>
        <v>12.915504</v>
      </c>
      <c r="E23204" s="4">
        <f>IFERROR(__xludf.DUMMYFUNCTION("""COMPUTED_VALUE"""),80.102744)</f>
        <v>80.102744</v>
      </c>
      <c r="F23204" s="4">
        <f>IFERROR(__xludf.DUMMYFUNCTION("""COMPUTED_VALUE"""),3143.0)</f>
        <v>3143</v>
      </c>
      <c r="G23204" s="4">
        <f>IFERROR(__xludf.DUMMYFUNCTION("""COMPUTED_VALUE"""),54.0)</f>
        <v>54</v>
      </c>
      <c r="H23204" s="4"/>
      <c r="I23204" s="4"/>
    </row>
    <row r="23205">
      <c r="A23205" s="4" t="str">
        <f>IFERROR(__xludf.DUMMYFUNCTION("""COMPUTED_VALUE"""),"cas_hmw")</f>
        <v>cas_hmw</v>
      </c>
      <c r="B23205" s="5">
        <f>IFERROR(__xludf.DUMMYFUNCTION("""COMPUTED_VALUE"""),44792.0)</f>
        <v>44792</v>
      </c>
      <c r="C23205" s="6">
        <f>IFERROR(__xludf.DUMMYFUNCTION("""COMPUTED_VALUE"""),0.4094791666684614)</f>
        <v>0.4094791667</v>
      </c>
      <c r="D23205" s="4">
        <f>IFERROR(__xludf.DUMMYFUNCTION("""COMPUTED_VALUE"""),12.917858)</f>
        <v>12.917858</v>
      </c>
      <c r="E23205" s="4">
        <f>IFERROR(__xludf.DUMMYFUNCTION("""COMPUTED_VALUE"""),80.108306)</f>
        <v>80.108306</v>
      </c>
      <c r="F23205" s="4">
        <f>IFERROR(__xludf.DUMMYFUNCTION("""COMPUTED_VALUE"""),3143.0)</f>
        <v>3143</v>
      </c>
      <c r="G23205" s="4">
        <f>IFERROR(__xludf.DUMMYFUNCTION("""COMPUTED_VALUE"""),42.0)</f>
        <v>42</v>
      </c>
      <c r="H23205" s="4"/>
      <c r="I23205" s="4"/>
    </row>
    <row r="23206">
      <c r="A23206" s="4" t="str">
        <f>IFERROR(__xludf.DUMMYFUNCTION("""COMPUTED_VALUE"""),"cas_hmw")</f>
        <v>cas_hmw</v>
      </c>
      <c r="B23206" s="5">
        <f>IFERROR(__xludf.DUMMYFUNCTION("""COMPUTED_VALUE"""),44792.0)</f>
        <v>44792</v>
      </c>
      <c r="C23206" s="6">
        <f>IFERROR(__xludf.DUMMYFUNCTION("""COMPUTED_VALUE"""),0.41172453703620704)</f>
        <v>0.411724537</v>
      </c>
      <c r="D23206" s="4">
        <f>IFERROR(__xludf.DUMMYFUNCTION("""COMPUTED_VALUE"""),12.929369)</f>
        <v>12.929369</v>
      </c>
      <c r="E23206" s="4">
        <f>IFERROR(__xludf.DUMMYFUNCTION("""COMPUTED_VALUE"""),80.120388)</f>
        <v>80.120388</v>
      </c>
      <c r="F23206" s="4">
        <f>IFERROR(__xludf.DUMMYFUNCTION("""COMPUTED_VALUE"""),3143.0)</f>
        <v>3143</v>
      </c>
      <c r="G23206" s="4">
        <f>IFERROR(__xludf.DUMMYFUNCTION("""COMPUTED_VALUE"""),37.0)</f>
        <v>37</v>
      </c>
      <c r="H23206" s="4"/>
      <c r="I23206" s="4"/>
    </row>
    <row r="23207">
      <c r="A23207" s="4" t="str">
        <f>IFERROR(__xludf.DUMMYFUNCTION("""COMPUTED_VALUE"""),"cas_hmw")</f>
        <v>cas_hmw</v>
      </c>
      <c r="B23207" s="5">
        <f>IFERROR(__xludf.DUMMYFUNCTION("""COMPUTED_VALUE"""),44792.0)</f>
        <v>44792</v>
      </c>
      <c r="C23207" s="6">
        <f>IFERROR(__xludf.DUMMYFUNCTION("""COMPUTED_VALUE"""),0.41186342592482106)</f>
        <v>0.4118634259</v>
      </c>
      <c r="D23207" s="4">
        <f>IFERROR(__xludf.DUMMYFUNCTION("""COMPUTED_VALUE"""),12.929987)</f>
        <v>12.929987</v>
      </c>
      <c r="E23207" s="4">
        <f>IFERROR(__xludf.DUMMYFUNCTION("""COMPUTED_VALUE"""),80.120977)</f>
        <v>80.120977</v>
      </c>
      <c r="F23207" s="4">
        <f>IFERROR(__xludf.DUMMYFUNCTION("""COMPUTED_VALUE"""),3143.0)</f>
        <v>3143</v>
      </c>
      <c r="G23207" s="4">
        <f>IFERROR(__xludf.DUMMYFUNCTION("""COMPUTED_VALUE"""),29.0)</f>
        <v>29</v>
      </c>
      <c r="H23207" s="4"/>
      <c r="I23207" s="4"/>
    </row>
    <row r="23208">
      <c r="A23208" s="4" t="str">
        <f>IFERROR(__xludf.DUMMYFUNCTION("""COMPUTED_VALUE"""),"cas_hmw")</f>
        <v>cas_hmw</v>
      </c>
      <c r="B23208" s="5">
        <f>IFERROR(__xludf.DUMMYFUNCTION("""COMPUTED_VALUE"""),44792.0)</f>
        <v>44792</v>
      </c>
      <c r="C23208" s="6">
        <f>IFERROR(__xludf.DUMMYFUNCTION("""COMPUTED_VALUE"""),0.4125347222216078)</f>
        <v>0.4125347222</v>
      </c>
      <c r="D23208" s="4">
        <f>IFERROR(__xludf.DUMMYFUNCTION("""COMPUTED_VALUE"""),12.93416)</f>
        <v>12.93416</v>
      </c>
      <c r="E23208" s="4">
        <f>IFERROR(__xludf.DUMMYFUNCTION("""COMPUTED_VALUE"""),80.125192)</f>
        <v>80.125192</v>
      </c>
      <c r="F23208" s="4">
        <f>IFERROR(__xludf.DUMMYFUNCTION("""COMPUTED_VALUE"""),3143.0)</f>
        <v>3143</v>
      </c>
      <c r="G23208" s="4">
        <f>IFERROR(__xludf.DUMMYFUNCTION("""COMPUTED_VALUE"""),45.0)</f>
        <v>45</v>
      </c>
      <c r="H23208" s="4"/>
      <c r="I23208" s="4"/>
    </row>
    <row r="23209">
      <c r="A23209" s="4" t="str">
        <f>IFERROR(__xludf.DUMMYFUNCTION("""COMPUTED_VALUE"""),"cas_hmw")</f>
        <v>cas_hmw</v>
      </c>
      <c r="B23209" s="5">
        <f>IFERROR(__xludf.DUMMYFUNCTION("""COMPUTED_VALUE"""),44792.0)</f>
        <v>44792</v>
      </c>
      <c r="C23209" s="6">
        <f>IFERROR(__xludf.DUMMYFUNCTION("""COMPUTED_VALUE"""),0.4186111111121136)</f>
        <v>0.4186111111</v>
      </c>
      <c r="D23209" s="4">
        <f>IFERROR(__xludf.DUMMYFUNCTION("""COMPUTED_VALUE"""),12.94341)</f>
        <v>12.94341</v>
      </c>
      <c r="E23209" s="4">
        <f>IFERROR(__xludf.DUMMYFUNCTION("""COMPUTED_VALUE"""),80.133917)</f>
        <v>80.133917</v>
      </c>
      <c r="F23209" s="4">
        <f>IFERROR(__xludf.DUMMYFUNCTION("""COMPUTED_VALUE"""),3143.0)</f>
        <v>3143</v>
      </c>
      <c r="G23209" s="4">
        <f>IFERROR(__xludf.DUMMYFUNCTION("""COMPUTED_VALUE"""),34.0)</f>
        <v>34</v>
      </c>
      <c r="H23209" s="4"/>
      <c r="I23209" s="4"/>
    </row>
    <row r="23210">
      <c r="A23210" s="4" t="str">
        <f>IFERROR(__xludf.DUMMYFUNCTION("""COMPUTED_VALUE"""),"cas_hmw")</f>
        <v>cas_hmw</v>
      </c>
      <c r="B23210" s="5">
        <f>IFERROR(__xludf.DUMMYFUNCTION("""COMPUTED_VALUE"""),44792.0)</f>
        <v>44792</v>
      </c>
      <c r="C23210" s="6">
        <f>IFERROR(__xludf.DUMMYFUNCTION("""COMPUTED_VALUE"""),0.421840277776937)</f>
        <v>0.4218402778</v>
      </c>
      <c r="D23210" s="4">
        <f>IFERROR(__xludf.DUMMYFUNCTION("""COMPUTED_VALUE"""),12.933029)</f>
        <v>12.933029</v>
      </c>
      <c r="E23210" s="4">
        <f>IFERROR(__xludf.DUMMYFUNCTION("""COMPUTED_VALUE"""),80.124303)</f>
        <v>80.124303</v>
      </c>
      <c r="F23210" s="4">
        <f>IFERROR(__xludf.DUMMYFUNCTION("""COMPUTED_VALUE"""),3143.0)</f>
        <v>3143</v>
      </c>
      <c r="G23210" s="4">
        <f>IFERROR(__xludf.DUMMYFUNCTION("""COMPUTED_VALUE"""),38.0)</f>
        <v>38</v>
      </c>
      <c r="H23210" s="4"/>
      <c r="I23210" s="4"/>
    </row>
    <row r="23211">
      <c r="A23211" s="4" t="str">
        <f>IFERROR(__xludf.DUMMYFUNCTION("""COMPUTED_VALUE"""),"cas_hmw")</f>
        <v>cas_hmw</v>
      </c>
      <c r="B23211" s="5">
        <f>IFERROR(__xludf.DUMMYFUNCTION("""COMPUTED_VALUE"""),44792.0)</f>
        <v>44792</v>
      </c>
      <c r="C23211" s="6">
        <f>IFERROR(__xludf.DUMMYFUNCTION("""COMPUTED_VALUE"""),0.421875)</f>
        <v>0.421875</v>
      </c>
      <c r="D23211" s="4">
        <f>IFERROR(__xludf.DUMMYFUNCTION("""COMPUTED_VALUE"""),12.932367)</f>
        <v>12.932367</v>
      </c>
      <c r="E23211" s="4">
        <f>IFERROR(__xludf.DUMMYFUNCTION("""COMPUTED_VALUE"""),80.123647)</f>
        <v>80.123647</v>
      </c>
      <c r="F23211" s="4">
        <f>IFERROR(__xludf.DUMMYFUNCTION("""COMPUTED_VALUE"""),3143.0)</f>
        <v>3143</v>
      </c>
      <c r="G23211" s="4">
        <f>IFERROR(__xludf.DUMMYFUNCTION("""COMPUTED_VALUE"""),31.0)</f>
        <v>31</v>
      </c>
      <c r="H23211" s="4"/>
      <c r="I23211" s="4"/>
    </row>
    <row r="23212">
      <c r="A23212" s="4" t="str">
        <f>IFERROR(__xludf.DUMMYFUNCTION("""COMPUTED_VALUE"""),"cas_hmw")</f>
        <v>cas_hmw</v>
      </c>
      <c r="B23212" s="5">
        <f>IFERROR(__xludf.DUMMYFUNCTION("""COMPUTED_VALUE"""),44792.0)</f>
        <v>44792</v>
      </c>
      <c r="C23212" s="6">
        <f>IFERROR(__xludf.DUMMYFUNCTION("""COMPUTED_VALUE"""),0.4262384259272949)</f>
        <v>0.4262384259</v>
      </c>
      <c r="D23212" s="4">
        <f>IFERROR(__xludf.DUMMYFUNCTION("""COMPUTED_VALUE"""),12.908879)</f>
        <v>12.908879</v>
      </c>
      <c r="E23212" s="4">
        <f>IFERROR(__xludf.DUMMYFUNCTION("""COMPUTED_VALUE"""),80.098572)</f>
        <v>80.098572</v>
      </c>
      <c r="F23212" s="4">
        <f>IFERROR(__xludf.DUMMYFUNCTION("""COMPUTED_VALUE"""),3143.0)</f>
        <v>3143</v>
      </c>
      <c r="G23212" s="4">
        <f>IFERROR(__xludf.DUMMYFUNCTION("""COMPUTED_VALUE"""),23.0)</f>
        <v>23</v>
      </c>
      <c r="H23212" s="4"/>
      <c r="I23212" s="4"/>
    </row>
    <row r="23213">
      <c r="A23213" s="4" t="str">
        <f>IFERROR(__xludf.DUMMYFUNCTION("""COMPUTED_VALUE"""),"cas_hmw")</f>
        <v>cas_hmw</v>
      </c>
      <c r="B23213" s="5">
        <f>IFERROR(__xludf.DUMMYFUNCTION("""COMPUTED_VALUE"""),44792.0)</f>
        <v>44792</v>
      </c>
      <c r="C23213" s="6">
        <f>IFERROR(__xludf.DUMMYFUNCTION("""COMPUTED_VALUE"""),0.4292939814804413)</f>
        <v>0.4292939815</v>
      </c>
      <c r="D23213" s="4">
        <f>IFERROR(__xludf.DUMMYFUNCTION("""COMPUTED_VALUE"""),12.894649)</f>
        <v>12.894649</v>
      </c>
      <c r="E23213" s="4">
        <f>IFERROR(__xludf.DUMMYFUNCTION("""COMPUTED_VALUE"""),80.087521)</f>
        <v>80.087521</v>
      </c>
      <c r="F23213" s="4">
        <f>IFERROR(__xludf.DUMMYFUNCTION("""COMPUTED_VALUE"""),3143.0)</f>
        <v>3143</v>
      </c>
      <c r="G23213" s="4">
        <f>IFERROR(__xludf.DUMMYFUNCTION("""COMPUTED_VALUE"""),41.0)</f>
        <v>41</v>
      </c>
      <c r="H23213" s="4"/>
      <c r="I23213" s="4"/>
    </row>
    <row r="23214">
      <c r="A23214" s="4" t="str">
        <f>IFERROR(__xludf.DUMMYFUNCTION("""COMPUTED_VALUE"""),"cas_hmw")</f>
        <v>cas_hmw</v>
      </c>
      <c r="B23214" s="5">
        <f>IFERROR(__xludf.DUMMYFUNCTION("""COMPUTED_VALUE"""),44792.0)</f>
        <v>44792</v>
      </c>
      <c r="C23214" s="6">
        <f>IFERROR(__xludf.DUMMYFUNCTION("""COMPUTED_VALUE"""),0.43086805555503815)</f>
        <v>0.4308680556</v>
      </c>
      <c r="D23214" s="4">
        <f>IFERROR(__xludf.DUMMYFUNCTION("""COMPUTED_VALUE"""),12.880597)</f>
        <v>12.880597</v>
      </c>
      <c r="E23214" s="4">
        <f>IFERROR(__xludf.DUMMYFUNCTION("""COMPUTED_VALUE"""),80.080904)</f>
        <v>80.080904</v>
      </c>
      <c r="F23214" s="4">
        <f>IFERROR(__xludf.DUMMYFUNCTION("""COMPUTED_VALUE"""),3143.0)</f>
        <v>3143</v>
      </c>
      <c r="G23214" s="4">
        <f>IFERROR(__xludf.DUMMYFUNCTION("""COMPUTED_VALUE"""),30.0)</f>
        <v>30</v>
      </c>
      <c r="H23214" s="4"/>
      <c r="I23214" s="4"/>
    </row>
    <row r="23215">
      <c r="A23215" s="4" t="str">
        <f>IFERROR(__xludf.DUMMYFUNCTION("""COMPUTED_VALUE"""),"cas_hmw")</f>
        <v>cas_hmw</v>
      </c>
      <c r="B23215" s="5">
        <f>IFERROR(__xludf.DUMMYFUNCTION("""COMPUTED_VALUE"""),44792.0)</f>
        <v>44792</v>
      </c>
      <c r="C23215" s="6">
        <f>IFERROR(__xludf.DUMMYFUNCTION("""COMPUTED_VALUE"""),0.6915162037039408)</f>
        <v>0.6915162037</v>
      </c>
      <c r="D23215" s="4">
        <f>IFERROR(__xludf.DUMMYFUNCTION("""COMPUTED_VALUE"""),12.877111)</f>
        <v>12.877111</v>
      </c>
      <c r="E23215" s="4">
        <f>IFERROR(__xludf.DUMMYFUNCTION("""COMPUTED_VALUE"""),80.079529)</f>
        <v>80.079529</v>
      </c>
      <c r="F23215" s="4">
        <f>IFERROR(__xludf.DUMMYFUNCTION("""COMPUTED_VALUE"""),2846.0)</f>
        <v>2846</v>
      </c>
      <c r="G23215" s="4">
        <f>IFERROR(__xludf.DUMMYFUNCTION("""COMPUTED_VALUE"""),49.0)</f>
        <v>49</v>
      </c>
      <c r="H23215" s="4"/>
      <c r="I23215" s="4"/>
    </row>
    <row r="23216">
      <c r="A23216" s="4" t="str">
        <f>IFERROR(__xludf.DUMMYFUNCTION("""COMPUTED_VALUE"""),"cas_hmw")</f>
        <v>cas_hmw</v>
      </c>
      <c r="B23216" s="5">
        <f>IFERROR(__xludf.DUMMYFUNCTION("""COMPUTED_VALUE"""),44792.0)</f>
        <v>44792</v>
      </c>
      <c r="C23216" s="6">
        <f>IFERROR(__xludf.DUMMYFUNCTION("""COMPUTED_VALUE"""),0.6920254629621923)</f>
        <v>0.692025463</v>
      </c>
      <c r="D23216" s="4">
        <f>IFERROR(__xludf.DUMMYFUNCTION("""COMPUTED_VALUE"""),12.881273)</f>
        <v>12.881273</v>
      </c>
      <c r="E23216" s="4">
        <f>IFERROR(__xludf.DUMMYFUNCTION("""COMPUTED_VALUE"""),80.080671)</f>
        <v>80.080671</v>
      </c>
      <c r="F23216" s="4">
        <f>IFERROR(__xludf.DUMMYFUNCTION("""COMPUTED_VALUE"""),3143.0)</f>
        <v>3143</v>
      </c>
      <c r="G23216" s="4">
        <f>IFERROR(__xludf.DUMMYFUNCTION("""COMPUTED_VALUE"""),10.0)</f>
        <v>10</v>
      </c>
      <c r="H23216" s="4"/>
      <c r="I23216" s="4"/>
    </row>
    <row r="23217">
      <c r="A23217" s="4" t="str">
        <f>IFERROR(__xludf.DUMMYFUNCTION("""COMPUTED_VALUE"""),"cas_hmw")</f>
        <v>cas_hmw</v>
      </c>
      <c r="B23217" s="5">
        <f>IFERROR(__xludf.DUMMYFUNCTION("""COMPUTED_VALUE"""),44792.0)</f>
        <v>44792</v>
      </c>
      <c r="C23217" s="6">
        <f>IFERROR(__xludf.DUMMYFUNCTION("""COMPUTED_VALUE"""),0.6921990740738693)</f>
        <v>0.6921990741</v>
      </c>
      <c r="D23217" s="4">
        <f>IFERROR(__xludf.DUMMYFUNCTION("""COMPUTED_VALUE"""),12.882554)</f>
        <v>12.882554</v>
      </c>
      <c r="E23217" s="4">
        <f>IFERROR(__xludf.DUMMYFUNCTION("""COMPUTED_VALUE"""),80.081146)</f>
        <v>80.081146</v>
      </c>
      <c r="F23217" s="4">
        <f>IFERROR(__xludf.DUMMYFUNCTION("""COMPUTED_VALUE"""),3143.0)</f>
        <v>3143</v>
      </c>
      <c r="G23217" s="4">
        <f>IFERROR(__xludf.DUMMYFUNCTION("""COMPUTED_VALUE"""),42.0)</f>
        <v>42</v>
      </c>
      <c r="H23217" s="4"/>
      <c r="I23217" s="4"/>
    </row>
    <row r="23218">
      <c r="A23218" s="4" t="str">
        <f>IFERROR(__xludf.DUMMYFUNCTION("""COMPUTED_VALUE"""),"cas_hmw")</f>
        <v>cas_hmw</v>
      </c>
      <c r="B23218" s="5">
        <f>IFERROR(__xludf.DUMMYFUNCTION("""COMPUTED_VALUE"""),44792.0)</f>
        <v>44792</v>
      </c>
      <c r="C23218" s="6">
        <f>IFERROR(__xludf.DUMMYFUNCTION("""COMPUTED_VALUE"""),0.692557870370365)</f>
        <v>0.6925578704</v>
      </c>
      <c r="D23218" s="4">
        <f>IFERROR(__xludf.DUMMYFUNCTION("""COMPUTED_VALUE"""),12.863905)</f>
        <v>12.863905</v>
      </c>
      <c r="E23218" s="4">
        <f>IFERROR(__xludf.DUMMYFUNCTION("""COMPUTED_VALUE"""),80.074342)</f>
        <v>80.074342</v>
      </c>
      <c r="F23218" s="4">
        <f>IFERROR(__xludf.DUMMYFUNCTION("""COMPUTED_VALUE"""),2846.0)</f>
        <v>2846</v>
      </c>
      <c r="G23218" s="4">
        <f>IFERROR(__xludf.DUMMYFUNCTION("""COMPUTED_VALUE"""),51.0)</f>
        <v>51</v>
      </c>
      <c r="H23218" s="4"/>
      <c r="I23218" s="4"/>
    </row>
    <row r="23219">
      <c r="A23219" s="4" t="str">
        <f>IFERROR(__xludf.DUMMYFUNCTION("""COMPUTED_VALUE"""),"cas_hmw")</f>
        <v>cas_hmw</v>
      </c>
      <c r="B23219" s="5">
        <f>IFERROR(__xludf.DUMMYFUNCTION("""COMPUTED_VALUE"""),44792.0)</f>
        <v>44792</v>
      </c>
      <c r="C23219" s="6">
        <f>IFERROR(__xludf.DUMMYFUNCTION("""COMPUTED_VALUE"""),0.6926851851858373)</f>
        <v>0.6926851852</v>
      </c>
      <c r="D23219" s="4">
        <f>IFERROR(__xludf.DUMMYFUNCTION("""COMPUTED_VALUE"""),12.88529)</f>
        <v>12.88529</v>
      </c>
      <c r="E23219" s="4">
        <f>IFERROR(__xludf.DUMMYFUNCTION("""COMPUTED_VALUE"""),80.08243)</f>
        <v>80.08243</v>
      </c>
      <c r="F23219" s="4">
        <f>IFERROR(__xludf.DUMMYFUNCTION("""COMPUTED_VALUE"""),3143.0)</f>
        <v>3143</v>
      </c>
      <c r="G23219" s="4">
        <f>IFERROR(__xludf.DUMMYFUNCTION("""COMPUTED_VALUE"""),41.0)</f>
        <v>41</v>
      </c>
      <c r="H23219" s="4"/>
      <c r="I23219" s="4"/>
    </row>
    <row r="23220">
      <c r="A23220" s="4" t="str">
        <f>IFERROR(__xludf.DUMMYFUNCTION("""COMPUTED_VALUE"""),"cas_hmw")</f>
        <v>cas_hmw</v>
      </c>
      <c r="B23220" s="5">
        <f>IFERROR(__xludf.DUMMYFUNCTION("""COMPUTED_VALUE"""),44792.0)</f>
        <v>44792</v>
      </c>
      <c r="C23220" s="6">
        <f>IFERROR(__xludf.DUMMYFUNCTION("""COMPUTED_VALUE"""),0.6929629629630654)</f>
        <v>0.692962963</v>
      </c>
      <c r="D23220" s="4">
        <f>IFERROR(__xludf.DUMMYFUNCTION("""COMPUTED_VALUE"""),12.894047)</f>
        <v>12.894047</v>
      </c>
      <c r="E23220" s="4">
        <f>IFERROR(__xludf.DUMMYFUNCTION("""COMPUTED_VALUE"""),80.086884)</f>
        <v>80.086884</v>
      </c>
      <c r="F23220" s="4">
        <f>IFERROR(__xludf.DUMMYFUNCTION("""COMPUTED_VALUE"""),5339.0)</f>
        <v>5339</v>
      </c>
      <c r="G23220" s="4">
        <f>IFERROR(__xludf.DUMMYFUNCTION("""COMPUTED_VALUE"""),58.0)</f>
        <v>58</v>
      </c>
      <c r="H23220" s="4"/>
      <c r="I23220" s="4"/>
    </row>
    <row r="23221">
      <c r="A23221" s="4" t="str">
        <f>IFERROR(__xludf.DUMMYFUNCTION("""COMPUTED_VALUE"""),"cas_hmw")</f>
        <v>cas_hmw</v>
      </c>
      <c r="B23221" s="5">
        <f>IFERROR(__xludf.DUMMYFUNCTION("""COMPUTED_VALUE"""),44792.0)</f>
        <v>44792</v>
      </c>
      <c r="C23221" s="6">
        <f>IFERROR(__xludf.DUMMYFUNCTION("""COMPUTED_VALUE"""),0.6930671296286164)</f>
        <v>0.6930671296</v>
      </c>
      <c r="D23221" s="4">
        <f>IFERROR(__xludf.DUMMYFUNCTION("""COMPUTED_VALUE"""),12.895193)</f>
        <v>12.895193</v>
      </c>
      <c r="E23221" s="4">
        <f>IFERROR(__xludf.DUMMYFUNCTION("""COMPUTED_VALUE"""),80.087759)</f>
        <v>80.087759</v>
      </c>
      <c r="F23221" s="4">
        <f>IFERROR(__xludf.DUMMYFUNCTION("""COMPUTED_VALUE"""),5339.0)</f>
        <v>5339</v>
      </c>
      <c r="G23221" s="4">
        <f>IFERROR(__xludf.DUMMYFUNCTION("""COMPUTED_VALUE"""),54.0)</f>
        <v>54</v>
      </c>
      <c r="H23221" s="4"/>
      <c r="I23221" s="4"/>
    </row>
    <row r="23222">
      <c r="A23222" s="4" t="str">
        <f>IFERROR(__xludf.DUMMYFUNCTION("""COMPUTED_VALUE"""),"cas_hmw")</f>
        <v>cas_hmw</v>
      </c>
      <c r="B23222" s="5">
        <f>IFERROR(__xludf.DUMMYFUNCTION("""COMPUTED_VALUE"""),44792.0)</f>
        <v>44792</v>
      </c>
      <c r="C23222" s="6">
        <f>IFERROR(__xludf.DUMMYFUNCTION("""COMPUTED_VALUE"""),0.6930671296286164)</f>
        <v>0.6930671296</v>
      </c>
      <c r="D23222" s="4">
        <f>IFERROR(__xludf.DUMMYFUNCTION("""COMPUTED_VALUE"""),12.888563)</f>
        <v>12.888563</v>
      </c>
      <c r="E23222" s="4">
        <f>IFERROR(__xludf.DUMMYFUNCTION("""COMPUTED_VALUE"""),80.083911)</f>
        <v>80.083911</v>
      </c>
      <c r="F23222" s="4">
        <f>IFERROR(__xludf.DUMMYFUNCTION("""COMPUTED_VALUE"""),3143.0)</f>
        <v>3143</v>
      </c>
      <c r="G23222" s="4">
        <f>IFERROR(__xludf.DUMMYFUNCTION("""COMPUTED_VALUE"""),45.0)</f>
        <v>45</v>
      </c>
      <c r="H23222" s="4"/>
      <c r="I23222" s="4"/>
    </row>
    <row r="23223">
      <c r="A23223" s="4" t="str">
        <f>IFERROR(__xludf.DUMMYFUNCTION("""COMPUTED_VALUE"""),"cas_hmw")</f>
        <v>cas_hmw</v>
      </c>
      <c r="B23223" s="5">
        <f>IFERROR(__xludf.DUMMYFUNCTION("""COMPUTED_VALUE"""),44792.0)</f>
        <v>44792</v>
      </c>
      <c r="C23223" s="6">
        <f>IFERROR(__xludf.DUMMYFUNCTION("""COMPUTED_VALUE"""),0.6932870370364981)</f>
        <v>0.693287037</v>
      </c>
      <c r="D23223" s="4">
        <f>IFERROR(__xludf.DUMMYFUNCTION("""COMPUTED_VALUE"""),12.897236)</f>
        <v>12.897236</v>
      </c>
      <c r="E23223" s="4">
        <f>IFERROR(__xludf.DUMMYFUNCTION("""COMPUTED_VALUE"""),80.089272)</f>
        <v>80.089272</v>
      </c>
      <c r="F23223" s="4">
        <f>IFERROR(__xludf.DUMMYFUNCTION("""COMPUTED_VALUE"""),5339.0)</f>
        <v>5339</v>
      </c>
      <c r="G23223" s="4">
        <f>IFERROR(__xludf.DUMMYFUNCTION("""COMPUTED_VALUE"""),54.0)</f>
        <v>54</v>
      </c>
      <c r="H23223" s="4"/>
      <c r="I23223" s="4"/>
    </row>
    <row r="23224">
      <c r="A23224" s="4" t="str">
        <f>IFERROR(__xludf.DUMMYFUNCTION("""COMPUTED_VALUE"""),"cas_hmw")</f>
        <v>cas_hmw</v>
      </c>
      <c r="B23224" s="5">
        <f>IFERROR(__xludf.DUMMYFUNCTION("""COMPUTED_VALUE"""),44792.0)</f>
        <v>44792</v>
      </c>
      <c r="C23224" s="6">
        <f>IFERROR(__xludf.DUMMYFUNCTION("""COMPUTED_VALUE"""),0.6938773148140172)</f>
        <v>0.6938773148</v>
      </c>
      <c r="D23224" s="4">
        <f>IFERROR(__xludf.DUMMYFUNCTION("""COMPUTED_VALUE"""),12.856401)</f>
        <v>12.856401</v>
      </c>
      <c r="E23224" s="4">
        <f>IFERROR(__xludf.DUMMYFUNCTION("""COMPUTED_VALUE"""),80.069633)</f>
        <v>80.069633</v>
      </c>
      <c r="F23224" s="4">
        <f>IFERROR(__xludf.DUMMYFUNCTION("""COMPUTED_VALUE"""),2846.0)</f>
        <v>2846</v>
      </c>
      <c r="G23224" s="4">
        <f>IFERROR(__xludf.DUMMYFUNCTION("""COMPUTED_VALUE"""),48.0)</f>
        <v>48</v>
      </c>
      <c r="H23224" s="4"/>
      <c r="I23224" s="4"/>
    </row>
    <row r="23225">
      <c r="A23225" s="4" t="str">
        <f>IFERROR(__xludf.DUMMYFUNCTION("""COMPUTED_VALUE"""),"cas_hmw")</f>
        <v>cas_hmw</v>
      </c>
      <c r="B23225" s="5">
        <f>IFERROR(__xludf.DUMMYFUNCTION("""COMPUTED_VALUE"""),44792.0)</f>
        <v>44792</v>
      </c>
      <c r="C23225" s="6">
        <f>IFERROR(__xludf.DUMMYFUNCTION("""COMPUTED_VALUE"""),0.6947916666649689)</f>
        <v>0.6947916667</v>
      </c>
      <c r="D23225" s="4">
        <f>IFERROR(__xludf.DUMMYFUNCTION("""COMPUTED_VALUE"""),12.909143)</f>
        <v>12.909143</v>
      </c>
      <c r="E23225" s="4">
        <f>IFERROR(__xludf.DUMMYFUNCTION("""COMPUTED_VALUE"""),80.098646)</f>
        <v>80.098646</v>
      </c>
      <c r="F23225" s="4">
        <f>IFERROR(__xludf.DUMMYFUNCTION("""COMPUTED_VALUE"""),5339.0)</f>
        <v>5339</v>
      </c>
      <c r="G23225" s="4">
        <f>IFERROR(__xludf.DUMMYFUNCTION("""COMPUTED_VALUE"""),22.0)</f>
        <v>22</v>
      </c>
      <c r="H23225" s="4"/>
      <c r="I23225" s="4"/>
    </row>
    <row r="23226">
      <c r="A23226" s="4" t="str">
        <f>IFERROR(__xludf.DUMMYFUNCTION("""COMPUTED_VALUE"""),"cas_hmw")</f>
        <v>cas_hmw</v>
      </c>
      <c r="B23226" s="5">
        <f>IFERROR(__xludf.DUMMYFUNCTION("""COMPUTED_VALUE"""),44792.0)</f>
        <v>44792</v>
      </c>
      <c r="C23226" s="6">
        <f>IFERROR(__xludf.DUMMYFUNCTION("""COMPUTED_VALUE"""),0.6948032407417486)</f>
        <v>0.6948032407</v>
      </c>
      <c r="D23226" s="4">
        <f>IFERROR(__xludf.DUMMYFUNCTION("""COMPUTED_VALUE"""),12.909143)</f>
        <v>12.909143</v>
      </c>
      <c r="E23226" s="4">
        <f>IFERROR(__xludf.DUMMYFUNCTION("""COMPUTED_VALUE"""),80.098646)</f>
        <v>80.098646</v>
      </c>
      <c r="F23226" s="4">
        <f>IFERROR(__xludf.DUMMYFUNCTION("""COMPUTED_VALUE"""),5339.0)</f>
        <v>5339</v>
      </c>
      <c r="G23226" s="4">
        <f>IFERROR(__xludf.DUMMYFUNCTION("""COMPUTED_VALUE"""),22.0)</f>
        <v>22</v>
      </c>
      <c r="H23226" s="4"/>
      <c r="I23226" s="4"/>
    </row>
    <row r="23227">
      <c r="A23227" s="4" t="str">
        <f>IFERROR(__xludf.DUMMYFUNCTION("""COMPUTED_VALUE"""),"cas_hmw")</f>
        <v>cas_hmw</v>
      </c>
      <c r="B23227" s="5">
        <f>IFERROR(__xludf.DUMMYFUNCTION("""COMPUTED_VALUE"""),44792.0)</f>
        <v>44792</v>
      </c>
      <c r="C23227" s="6">
        <f>IFERROR(__xludf.DUMMYFUNCTION("""COMPUTED_VALUE"""),0.6948379629611736)</f>
        <v>0.694837963</v>
      </c>
      <c r="D23227" s="4">
        <f>IFERROR(__xludf.DUMMYFUNCTION("""COMPUTED_VALUE"""),12.909143)</f>
        <v>12.909143</v>
      </c>
      <c r="E23227" s="4">
        <f>IFERROR(__xludf.DUMMYFUNCTION("""COMPUTED_VALUE"""),80.098646)</f>
        <v>80.098646</v>
      </c>
      <c r="F23227" s="4">
        <f>IFERROR(__xludf.DUMMYFUNCTION("""COMPUTED_VALUE"""),5339.0)</f>
        <v>5339</v>
      </c>
      <c r="G23227" s="4">
        <f>IFERROR(__xludf.DUMMYFUNCTION("""COMPUTED_VALUE"""),22.0)</f>
        <v>22</v>
      </c>
      <c r="H23227" s="4"/>
      <c r="I23227" s="4"/>
    </row>
    <row r="23228">
      <c r="A23228" s="4" t="str">
        <f>IFERROR(__xludf.DUMMYFUNCTION("""COMPUTED_VALUE"""),"cas_hmw")</f>
        <v>cas_hmw</v>
      </c>
      <c r="B23228" s="5">
        <f>IFERROR(__xludf.DUMMYFUNCTION("""COMPUTED_VALUE"""),44792.0)</f>
        <v>44792</v>
      </c>
      <c r="C23228" s="6">
        <f>IFERROR(__xludf.DUMMYFUNCTION("""COMPUTED_VALUE"""),0.69552083333474)</f>
        <v>0.6955208333</v>
      </c>
      <c r="D23228" s="4">
        <f>IFERROR(__xludf.DUMMYFUNCTION("""COMPUTED_VALUE"""),12.912482)</f>
        <v>12.912482</v>
      </c>
      <c r="E23228" s="4">
        <f>IFERROR(__xludf.DUMMYFUNCTION("""COMPUTED_VALUE"""),80.101427)</f>
        <v>80.101427</v>
      </c>
      <c r="F23228" s="4">
        <f>IFERROR(__xludf.DUMMYFUNCTION("""COMPUTED_VALUE"""),5339.0)</f>
        <v>5339</v>
      </c>
      <c r="G23228" s="4">
        <f>IFERROR(__xludf.DUMMYFUNCTION("""COMPUTED_VALUE"""),40.0)</f>
        <v>40</v>
      </c>
      <c r="H23228" s="4"/>
      <c r="I23228" s="4"/>
    </row>
    <row r="23229">
      <c r="A23229" s="4" t="str">
        <f>IFERROR(__xludf.DUMMYFUNCTION("""COMPUTED_VALUE"""),"cas_hmw")</f>
        <v>cas_hmw</v>
      </c>
      <c r="B23229" s="5">
        <f>IFERROR(__xludf.DUMMYFUNCTION("""COMPUTED_VALUE"""),44792.0)</f>
        <v>44792</v>
      </c>
      <c r="C23229" s="6">
        <f>IFERROR(__xludf.DUMMYFUNCTION("""COMPUTED_VALUE"""),0.695625000000291)</f>
        <v>0.695625</v>
      </c>
      <c r="D23229" s="4">
        <f>IFERROR(__xludf.DUMMYFUNCTION("""COMPUTED_VALUE"""),12.9137)</f>
        <v>12.9137</v>
      </c>
      <c r="E23229" s="4">
        <f>IFERROR(__xludf.DUMMYFUNCTION("""COMPUTED_VALUE"""),80.101556)</f>
        <v>80.101556</v>
      </c>
      <c r="F23229" s="4">
        <f>IFERROR(__xludf.DUMMYFUNCTION("""COMPUTED_VALUE"""),5339.0)</f>
        <v>5339</v>
      </c>
      <c r="G23229" s="4">
        <f>IFERROR(__xludf.DUMMYFUNCTION("""COMPUTED_VALUE"""),53.0)</f>
        <v>53</v>
      </c>
      <c r="H23229" s="4"/>
      <c r="I23229" s="4"/>
    </row>
    <row r="23230">
      <c r="A23230" s="4" t="str">
        <f>IFERROR(__xludf.DUMMYFUNCTION("""COMPUTED_VALUE"""),"cas_hmw")</f>
        <v>cas_hmw</v>
      </c>
      <c r="B23230" s="5">
        <f>IFERROR(__xludf.DUMMYFUNCTION("""COMPUTED_VALUE"""),44792.0)</f>
        <v>44792</v>
      </c>
      <c r="C23230" s="6">
        <f>IFERROR(__xludf.DUMMYFUNCTION("""COMPUTED_VALUE"""),0.6970833333325572)</f>
        <v>0.6970833333</v>
      </c>
      <c r="D23230" s="4">
        <f>IFERROR(__xludf.DUMMYFUNCTION("""COMPUTED_VALUE"""),12.920214)</f>
        <v>12.920214</v>
      </c>
      <c r="E23230" s="4">
        <f>IFERROR(__xludf.DUMMYFUNCTION("""COMPUTED_VALUE"""),80.11114)</f>
        <v>80.11114</v>
      </c>
      <c r="F23230" s="4">
        <f>IFERROR(__xludf.DUMMYFUNCTION("""COMPUTED_VALUE"""),3143.0)</f>
        <v>3143</v>
      </c>
      <c r="G23230" s="4">
        <f>IFERROR(__xludf.DUMMYFUNCTION("""COMPUTED_VALUE"""),36.0)</f>
        <v>36</v>
      </c>
      <c r="H23230" s="4"/>
      <c r="I23230" s="4"/>
    </row>
    <row r="23231">
      <c r="A23231" s="4" t="str">
        <f>IFERROR(__xludf.DUMMYFUNCTION("""COMPUTED_VALUE"""),"cas_hmw")</f>
        <v>cas_hmw</v>
      </c>
      <c r="B23231" s="5">
        <f>IFERROR(__xludf.DUMMYFUNCTION("""COMPUTED_VALUE"""),44792.0)</f>
        <v>44792</v>
      </c>
      <c r="C23231" s="6">
        <f>IFERROR(__xludf.DUMMYFUNCTION("""COMPUTED_VALUE"""),0.6970949074056989)</f>
        <v>0.6970949074</v>
      </c>
      <c r="D23231" s="4">
        <f>IFERROR(__xludf.DUMMYFUNCTION("""COMPUTED_VALUE"""),12.920214)</f>
        <v>12.920214</v>
      </c>
      <c r="E23231" s="4">
        <f>IFERROR(__xludf.DUMMYFUNCTION("""COMPUTED_VALUE"""),80.11114)</f>
        <v>80.11114</v>
      </c>
      <c r="F23231" s="4">
        <f>IFERROR(__xludf.DUMMYFUNCTION("""COMPUTED_VALUE"""),3143.0)</f>
        <v>3143</v>
      </c>
      <c r="G23231" s="4">
        <f>IFERROR(__xludf.DUMMYFUNCTION("""COMPUTED_VALUE"""),36.0)</f>
        <v>36</v>
      </c>
      <c r="H23231" s="4"/>
      <c r="I23231" s="4"/>
    </row>
    <row r="23232">
      <c r="A23232" s="4" t="str">
        <f>IFERROR(__xludf.DUMMYFUNCTION("""COMPUTED_VALUE"""),"cas_hmw")</f>
        <v>cas_hmw</v>
      </c>
      <c r="B23232" s="5">
        <f>IFERROR(__xludf.DUMMYFUNCTION("""COMPUTED_VALUE"""),44792.0)</f>
        <v>44792</v>
      </c>
      <c r="C23232" s="6">
        <f>IFERROR(__xludf.DUMMYFUNCTION("""COMPUTED_VALUE"""),0.6971064814824786)</f>
        <v>0.6971064815</v>
      </c>
      <c r="D23232" s="4">
        <f>IFERROR(__xludf.DUMMYFUNCTION("""COMPUTED_VALUE"""),12.920214)</f>
        <v>12.920214</v>
      </c>
      <c r="E23232" s="4">
        <f>IFERROR(__xludf.DUMMYFUNCTION("""COMPUTED_VALUE"""),80.11114)</f>
        <v>80.11114</v>
      </c>
      <c r="F23232" s="4">
        <f>IFERROR(__xludf.DUMMYFUNCTION("""COMPUTED_VALUE"""),3143.0)</f>
        <v>3143</v>
      </c>
      <c r="G23232" s="4">
        <f>IFERROR(__xludf.DUMMYFUNCTION("""COMPUTED_VALUE"""),36.0)</f>
        <v>36</v>
      </c>
      <c r="H23232" s="4"/>
      <c r="I23232" s="4"/>
    </row>
    <row r="23233">
      <c r="A23233" s="4" t="str">
        <f>IFERROR(__xludf.DUMMYFUNCTION("""COMPUTED_VALUE"""),"cas_hmw")</f>
        <v>cas_hmw</v>
      </c>
      <c r="B23233" s="5">
        <f>IFERROR(__xludf.DUMMYFUNCTION("""COMPUTED_VALUE"""),44792.0)</f>
        <v>44792</v>
      </c>
      <c r="C23233" s="6">
        <f>IFERROR(__xludf.DUMMYFUNCTION("""COMPUTED_VALUE"""),0.6971180555556202)</f>
        <v>0.6971180556</v>
      </c>
      <c r="D23233" s="4">
        <f>IFERROR(__xludf.DUMMYFUNCTION("""COMPUTED_VALUE"""),12.920214)</f>
        <v>12.920214</v>
      </c>
      <c r="E23233" s="4">
        <f>IFERROR(__xludf.DUMMYFUNCTION("""COMPUTED_VALUE"""),80.11114)</f>
        <v>80.11114</v>
      </c>
      <c r="F23233" s="4">
        <f>IFERROR(__xludf.DUMMYFUNCTION("""COMPUTED_VALUE"""),3143.0)</f>
        <v>3143</v>
      </c>
      <c r="G23233" s="4">
        <f>IFERROR(__xludf.DUMMYFUNCTION("""COMPUTED_VALUE"""),36.0)</f>
        <v>36</v>
      </c>
      <c r="H23233" s="4"/>
      <c r="I23233" s="4"/>
    </row>
    <row r="23234">
      <c r="A23234" s="4" t="str">
        <f>IFERROR(__xludf.DUMMYFUNCTION("""COMPUTED_VALUE"""),"cas_hmw")</f>
        <v>cas_hmw</v>
      </c>
      <c r="B23234" s="5">
        <f>IFERROR(__xludf.DUMMYFUNCTION("""COMPUTED_VALUE"""),44792.0)</f>
        <v>44792</v>
      </c>
      <c r="C23234" s="6">
        <f>IFERROR(__xludf.DUMMYFUNCTION("""COMPUTED_VALUE"""),0.6971180555556202)</f>
        <v>0.6971180556</v>
      </c>
      <c r="D23234" s="4">
        <f>IFERROR(__xludf.DUMMYFUNCTION("""COMPUTED_VALUE"""),12.920214)</f>
        <v>12.920214</v>
      </c>
      <c r="E23234" s="4">
        <f>IFERROR(__xludf.DUMMYFUNCTION("""COMPUTED_VALUE"""),80.11114)</f>
        <v>80.11114</v>
      </c>
      <c r="F23234" s="4">
        <f>IFERROR(__xludf.DUMMYFUNCTION("""COMPUTED_VALUE"""),3143.0)</f>
        <v>3143</v>
      </c>
      <c r="G23234" s="4">
        <f>IFERROR(__xludf.DUMMYFUNCTION("""COMPUTED_VALUE"""),36.0)</f>
        <v>36</v>
      </c>
      <c r="H23234" s="4"/>
      <c r="I23234" s="4"/>
    </row>
    <row r="23235">
      <c r="A23235" s="4" t="str">
        <f>IFERROR(__xludf.DUMMYFUNCTION("""COMPUTED_VALUE"""),"cas_hmw")</f>
        <v>cas_hmw</v>
      </c>
      <c r="B23235" s="5">
        <f>IFERROR(__xludf.DUMMYFUNCTION("""COMPUTED_VALUE"""),44792.0)</f>
        <v>44792</v>
      </c>
      <c r="C23235" s="6">
        <f>IFERROR(__xludf.DUMMYFUNCTION("""COMPUTED_VALUE"""),0.6971180555556202)</f>
        <v>0.6971180556</v>
      </c>
      <c r="D23235" s="4">
        <f>IFERROR(__xludf.DUMMYFUNCTION("""COMPUTED_VALUE"""),12.920214)</f>
        <v>12.920214</v>
      </c>
      <c r="E23235" s="4">
        <f>IFERROR(__xludf.DUMMYFUNCTION("""COMPUTED_VALUE"""),80.11114)</f>
        <v>80.11114</v>
      </c>
      <c r="F23235" s="4">
        <f>IFERROR(__xludf.DUMMYFUNCTION("""COMPUTED_VALUE"""),3143.0)</f>
        <v>3143</v>
      </c>
      <c r="G23235" s="4">
        <f>IFERROR(__xludf.DUMMYFUNCTION("""COMPUTED_VALUE"""),36.0)</f>
        <v>36</v>
      </c>
      <c r="H23235" s="4"/>
      <c r="I23235" s="4"/>
    </row>
    <row r="23236">
      <c r="A23236" s="4" t="str">
        <f>IFERROR(__xludf.DUMMYFUNCTION("""COMPUTED_VALUE"""),"cas_hmw")</f>
        <v>cas_hmw</v>
      </c>
      <c r="B23236" s="5">
        <f>IFERROR(__xludf.DUMMYFUNCTION("""COMPUTED_VALUE"""),44792.0)</f>
        <v>44792</v>
      </c>
      <c r="C23236" s="6">
        <f>IFERROR(__xludf.DUMMYFUNCTION("""COMPUTED_VALUE"""),0.6971990740748879)</f>
        <v>0.6971990741</v>
      </c>
      <c r="D23236" s="4">
        <f>IFERROR(__xludf.DUMMYFUNCTION("""COMPUTED_VALUE"""),12.923273)</f>
        <v>12.923273</v>
      </c>
      <c r="E23236" s="4">
        <f>IFERROR(__xludf.DUMMYFUNCTION("""COMPUTED_VALUE"""),80.114334)</f>
        <v>80.114334</v>
      </c>
      <c r="F23236" s="4">
        <f>IFERROR(__xludf.DUMMYFUNCTION("""COMPUTED_VALUE"""),5339.0)</f>
        <v>5339</v>
      </c>
      <c r="G23236" s="4">
        <f>IFERROR(__xludf.DUMMYFUNCTION("""COMPUTED_VALUE"""),40.0)</f>
        <v>40</v>
      </c>
      <c r="H23236" s="4"/>
      <c r="I23236" s="4"/>
    </row>
    <row r="23237">
      <c r="A23237" s="4" t="str">
        <f>IFERROR(__xludf.DUMMYFUNCTION("""COMPUTED_VALUE"""),"cas_hmw")</f>
        <v>cas_hmw</v>
      </c>
      <c r="B23237" s="5">
        <f>IFERROR(__xludf.DUMMYFUNCTION("""COMPUTED_VALUE"""),44792.0)</f>
        <v>44792</v>
      </c>
      <c r="C23237" s="6">
        <f>IFERROR(__xludf.DUMMYFUNCTION("""COMPUTED_VALUE"""),0.6974884259252576)</f>
        <v>0.6974884259</v>
      </c>
      <c r="D23237" s="4">
        <f>IFERROR(__xludf.DUMMYFUNCTION("""COMPUTED_VALUE"""),12.924768)</f>
        <v>12.924768</v>
      </c>
      <c r="E23237" s="4">
        <f>IFERROR(__xludf.DUMMYFUNCTION("""COMPUTED_VALUE"""),80.115858)</f>
        <v>80.115858</v>
      </c>
      <c r="F23237" s="4">
        <f>IFERROR(__xludf.DUMMYFUNCTION("""COMPUTED_VALUE"""),5339.0)</f>
        <v>5339</v>
      </c>
      <c r="G23237" s="4">
        <f>IFERROR(__xludf.DUMMYFUNCTION("""COMPUTED_VALUE"""),50.0)</f>
        <v>50</v>
      </c>
      <c r="H23237" s="4"/>
      <c r="I23237" s="4"/>
    </row>
    <row r="23238">
      <c r="A23238" s="4" t="str">
        <f>IFERROR(__xludf.DUMMYFUNCTION("""COMPUTED_VALUE"""),"cas_hmw")</f>
        <v>cas_hmw</v>
      </c>
      <c r="B23238" s="5">
        <f>IFERROR(__xludf.DUMMYFUNCTION("""COMPUTED_VALUE"""),44792.0)</f>
        <v>44792</v>
      </c>
      <c r="C23238" s="6">
        <f>IFERROR(__xludf.DUMMYFUNCTION("""COMPUTED_VALUE"""),0.697754629629344)</f>
        <v>0.6977546296</v>
      </c>
      <c r="D23238" s="4">
        <f>IFERROR(__xludf.DUMMYFUNCTION("""COMPUTED_VALUE"""),12.840681)</f>
        <v>12.840681</v>
      </c>
      <c r="E23238" s="4">
        <f>IFERROR(__xludf.DUMMYFUNCTION("""COMPUTED_VALUE"""),80.056479)</f>
        <v>80.056479</v>
      </c>
      <c r="F23238" s="4">
        <f>IFERROR(__xludf.DUMMYFUNCTION("""COMPUTED_VALUE"""),2846.0)</f>
        <v>2846</v>
      </c>
      <c r="G23238" s="4">
        <f>IFERROR(__xludf.DUMMYFUNCTION("""COMPUTED_VALUE"""),22.0)</f>
        <v>22</v>
      </c>
      <c r="H23238" s="4"/>
      <c r="I23238" s="4"/>
    </row>
    <row r="23239">
      <c r="A23239" s="4" t="str">
        <f>IFERROR(__xludf.DUMMYFUNCTION("""COMPUTED_VALUE"""),"cas_hmw")</f>
        <v>cas_hmw</v>
      </c>
      <c r="B23239" s="5">
        <f>IFERROR(__xludf.DUMMYFUNCTION("""COMPUTED_VALUE"""),44792.0)</f>
        <v>44792</v>
      </c>
      <c r="C23239" s="6">
        <f>IFERROR(__xludf.DUMMYFUNCTION("""COMPUTED_VALUE"""),0.697962962964084)</f>
        <v>0.697962963</v>
      </c>
      <c r="D23239" s="4">
        <f>IFERROR(__xludf.DUMMYFUNCTION("""COMPUTED_VALUE"""),12.838898)</f>
        <v>12.838898</v>
      </c>
      <c r="E23239" s="4">
        <f>IFERROR(__xludf.DUMMYFUNCTION("""COMPUTED_VALUE"""),80.054585)</f>
        <v>80.054585</v>
      </c>
      <c r="F23239" s="4">
        <f>IFERROR(__xludf.DUMMYFUNCTION("""COMPUTED_VALUE"""),2846.0)</f>
        <v>2846</v>
      </c>
      <c r="G23239" s="4">
        <f>IFERROR(__xludf.DUMMYFUNCTION("""COMPUTED_VALUE"""),48.0)</f>
        <v>48</v>
      </c>
      <c r="H23239" s="4"/>
      <c r="I23239" s="4"/>
    </row>
    <row r="23240">
      <c r="A23240" s="4" t="str">
        <f>IFERROR(__xludf.DUMMYFUNCTION("""COMPUTED_VALUE"""),"cas_hmw")</f>
        <v>cas_hmw</v>
      </c>
      <c r="B23240" s="5">
        <f>IFERROR(__xludf.DUMMYFUNCTION("""COMPUTED_VALUE"""),44792.0)</f>
        <v>44792</v>
      </c>
      <c r="C23240" s="6">
        <f>IFERROR(__xludf.DUMMYFUNCTION("""COMPUTED_VALUE"""),0.6987152777765004)</f>
        <v>0.6987152778</v>
      </c>
      <c r="D23240" s="4">
        <f>IFERROR(__xludf.DUMMYFUNCTION("""COMPUTED_VALUE"""),12.928019)</f>
        <v>12.928019</v>
      </c>
      <c r="E23240" s="4">
        <f>IFERROR(__xludf.DUMMYFUNCTION("""COMPUTED_VALUE"""),80.11907)</f>
        <v>80.11907</v>
      </c>
      <c r="F23240" s="4">
        <f>IFERROR(__xludf.DUMMYFUNCTION("""COMPUTED_VALUE"""),5339.0)</f>
        <v>5339</v>
      </c>
      <c r="G23240" s="4">
        <f>IFERROR(__xludf.DUMMYFUNCTION("""COMPUTED_VALUE"""),24.0)</f>
        <v>24</v>
      </c>
      <c r="H23240" s="4"/>
      <c r="I23240" s="4"/>
    </row>
    <row r="23241">
      <c r="A23241" s="4" t="str">
        <f>IFERROR(__xludf.DUMMYFUNCTION("""COMPUTED_VALUE"""),"cas_hmw")</f>
        <v>cas_hmw</v>
      </c>
      <c r="B23241" s="5">
        <f>IFERROR(__xludf.DUMMYFUNCTION("""COMPUTED_VALUE"""),44792.0)</f>
        <v>44792</v>
      </c>
      <c r="C23241" s="6">
        <f>IFERROR(__xludf.DUMMYFUNCTION("""COMPUTED_VALUE"""),0.6987384259264218)</f>
        <v>0.6987384259</v>
      </c>
      <c r="D23241" s="4">
        <f>IFERROR(__xludf.DUMMYFUNCTION("""COMPUTED_VALUE"""),12.928019)</f>
        <v>12.928019</v>
      </c>
      <c r="E23241" s="4">
        <f>IFERROR(__xludf.DUMMYFUNCTION("""COMPUTED_VALUE"""),80.11907)</f>
        <v>80.11907</v>
      </c>
      <c r="F23241" s="4">
        <f>IFERROR(__xludf.DUMMYFUNCTION("""COMPUTED_VALUE"""),5339.0)</f>
        <v>5339</v>
      </c>
      <c r="G23241" s="4">
        <f>IFERROR(__xludf.DUMMYFUNCTION("""COMPUTED_VALUE"""),24.0)</f>
        <v>24</v>
      </c>
      <c r="H23241" s="4"/>
      <c r="I23241" s="4"/>
    </row>
    <row r="23242">
      <c r="A23242" s="4" t="str">
        <f>IFERROR(__xludf.DUMMYFUNCTION("""COMPUTED_VALUE"""),"cas_hmw")</f>
        <v>cas_hmw</v>
      </c>
      <c r="B23242" s="5">
        <f>IFERROR(__xludf.DUMMYFUNCTION("""COMPUTED_VALUE"""),44792.0)</f>
        <v>44792</v>
      </c>
      <c r="C23242" s="6">
        <f>IFERROR(__xludf.DUMMYFUNCTION("""COMPUTED_VALUE"""),0.6989930555573665)</f>
        <v>0.6989930556</v>
      </c>
      <c r="D23242" s="4">
        <f>IFERROR(__xludf.DUMMYFUNCTION("""COMPUTED_VALUE"""),12.929268)</f>
        <v>12.929268</v>
      </c>
      <c r="E23242" s="4">
        <f>IFERROR(__xludf.DUMMYFUNCTION("""COMPUTED_VALUE"""),80.120368)</f>
        <v>80.120368</v>
      </c>
      <c r="F23242" s="4">
        <f>IFERROR(__xludf.DUMMYFUNCTION("""COMPUTED_VALUE"""),5339.0)</f>
        <v>5339</v>
      </c>
      <c r="G23242" s="4">
        <f>IFERROR(__xludf.DUMMYFUNCTION("""COMPUTED_VALUE"""),41.0)</f>
        <v>41</v>
      </c>
      <c r="H23242" s="4"/>
      <c r="I23242" s="4"/>
    </row>
    <row r="23243">
      <c r="A23243" s="4" t="str">
        <f>IFERROR(__xludf.DUMMYFUNCTION("""COMPUTED_VALUE"""),"cas_hmw")</f>
        <v>cas_hmw</v>
      </c>
      <c r="B23243" s="5">
        <f>IFERROR(__xludf.DUMMYFUNCTION("""COMPUTED_VALUE"""),44792.0)</f>
        <v>44792</v>
      </c>
      <c r="C23243" s="6">
        <f>IFERROR(__xludf.DUMMYFUNCTION("""COMPUTED_VALUE"""),0.6991666666654055)</f>
        <v>0.6991666667</v>
      </c>
      <c r="D23243" s="4">
        <f>IFERROR(__xludf.DUMMYFUNCTION("""COMPUTED_VALUE"""),12.930534)</f>
        <v>12.930534</v>
      </c>
      <c r="E23243" s="4">
        <f>IFERROR(__xludf.DUMMYFUNCTION("""COMPUTED_VALUE"""),80.121647)</f>
        <v>80.121647</v>
      </c>
      <c r="F23243" s="4">
        <f>IFERROR(__xludf.DUMMYFUNCTION("""COMPUTED_VALUE"""),5339.0)</f>
        <v>5339</v>
      </c>
      <c r="G23243" s="4">
        <f>IFERROR(__xludf.DUMMYFUNCTION("""COMPUTED_VALUE"""),32.0)</f>
        <v>32</v>
      </c>
      <c r="H23243" s="4"/>
      <c r="I23243" s="4"/>
    </row>
    <row r="23244">
      <c r="A23244" s="4" t="str">
        <f>IFERROR(__xludf.DUMMYFUNCTION("""COMPUTED_VALUE"""),"cas_hmw")</f>
        <v>cas_hmw</v>
      </c>
      <c r="B23244" s="5">
        <f>IFERROR(__xludf.DUMMYFUNCTION("""COMPUTED_VALUE"""),44792.0)</f>
        <v>44792</v>
      </c>
      <c r="C23244" s="6">
        <f>IFERROR(__xludf.DUMMYFUNCTION("""COMPUTED_VALUE"""),0.6995717592581059)</f>
        <v>0.6995717593</v>
      </c>
      <c r="D23244" s="4">
        <f>IFERROR(__xludf.DUMMYFUNCTION("""COMPUTED_VALUE"""),12.932243)</f>
        <v>12.932243</v>
      </c>
      <c r="E23244" s="4">
        <f>IFERROR(__xludf.DUMMYFUNCTION("""COMPUTED_VALUE"""),80.123351)</f>
        <v>80.123351</v>
      </c>
      <c r="F23244" s="4">
        <f>IFERROR(__xludf.DUMMYFUNCTION("""COMPUTED_VALUE"""),5339.0)</f>
        <v>5339</v>
      </c>
      <c r="G23244" s="4">
        <f>IFERROR(__xludf.DUMMYFUNCTION("""COMPUTED_VALUE"""),33.0)</f>
        <v>33</v>
      </c>
      <c r="H23244" s="4"/>
      <c r="I23244" s="4"/>
    </row>
    <row r="23245">
      <c r="A23245" s="4" t="str">
        <f>IFERROR(__xludf.DUMMYFUNCTION("""COMPUTED_VALUE"""),"cas_hmw")</f>
        <v>cas_hmw</v>
      </c>
      <c r="B23245" s="5">
        <f>IFERROR(__xludf.DUMMYFUNCTION("""COMPUTED_VALUE"""),44792.0)</f>
        <v>44792</v>
      </c>
      <c r="C23245" s="6">
        <f>IFERROR(__xludf.DUMMYFUNCTION("""COMPUTED_VALUE"""),0.6998611111121136)</f>
        <v>0.6998611111</v>
      </c>
      <c r="D23245" s="4">
        <f>IFERROR(__xludf.DUMMYFUNCTION("""COMPUTED_VALUE"""),12.934216)</f>
        <v>12.934216</v>
      </c>
      <c r="E23245" s="4">
        <f>IFERROR(__xludf.DUMMYFUNCTION("""COMPUTED_VALUE"""),80.125342)</f>
        <v>80.125342</v>
      </c>
      <c r="F23245" s="4">
        <f>IFERROR(__xludf.DUMMYFUNCTION("""COMPUTED_VALUE"""),5339.0)</f>
        <v>5339</v>
      </c>
      <c r="G23245" s="4">
        <f>IFERROR(__xludf.DUMMYFUNCTION("""COMPUTED_VALUE"""),32.0)</f>
        <v>32</v>
      </c>
      <c r="H23245" s="4"/>
      <c r="I23245" s="4"/>
    </row>
    <row r="23246">
      <c r="A23246" s="4" t="str">
        <f>IFERROR(__xludf.DUMMYFUNCTION("""COMPUTED_VALUE"""),"cas_hmw")</f>
        <v>cas_hmw</v>
      </c>
      <c r="B23246" s="5">
        <f>IFERROR(__xludf.DUMMYFUNCTION("""COMPUTED_VALUE"""),44792.0)</f>
        <v>44792</v>
      </c>
      <c r="C23246" s="6">
        <f>IFERROR(__xludf.DUMMYFUNCTION("""COMPUTED_VALUE"""),0.6998726851852552)</f>
        <v>0.6998726852</v>
      </c>
      <c r="D23246" s="4">
        <f>IFERROR(__xludf.DUMMYFUNCTION("""COMPUTED_VALUE"""),12.934216)</f>
        <v>12.934216</v>
      </c>
      <c r="E23246" s="4">
        <f>IFERROR(__xludf.DUMMYFUNCTION("""COMPUTED_VALUE"""),80.125342)</f>
        <v>80.125342</v>
      </c>
      <c r="F23246" s="4">
        <f>IFERROR(__xludf.DUMMYFUNCTION("""COMPUTED_VALUE"""),5339.0)</f>
        <v>5339</v>
      </c>
      <c r="G23246" s="4">
        <f>IFERROR(__xludf.DUMMYFUNCTION("""COMPUTED_VALUE"""),32.0)</f>
        <v>32</v>
      </c>
      <c r="H23246" s="4"/>
      <c r="I23246" s="4"/>
    </row>
    <row r="23247">
      <c r="A23247" s="4" t="str">
        <f>IFERROR(__xludf.DUMMYFUNCTION("""COMPUTED_VALUE"""),"cas_hmw")</f>
        <v>cas_hmw</v>
      </c>
      <c r="B23247" s="5">
        <f>IFERROR(__xludf.DUMMYFUNCTION("""COMPUTED_VALUE"""),44792.0)</f>
        <v>44792</v>
      </c>
      <c r="C23247" s="6">
        <f>IFERROR(__xludf.DUMMYFUNCTION("""COMPUTED_VALUE"""),0.7008333333324117)</f>
        <v>0.7008333333</v>
      </c>
      <c r="D23247" s="4">
        <f>IFERROR(__xludf.DUMMYFUNCTION("""COMPUTED_VALUE"""),12.936326)</f>
        <v>12.936326</v>
      </c>
      <c r="E23247" s="4">
        <f>IFERROR(__xludf.DUMMYFUNCTION("""COMPUTED_VALUE"""),80.127223)</f>
        <v>80.127223</v>
      </c>
      <c r="F23247" s="4">
        <f>IFERROR(__xludf.DUMMYFUNCTION("""COMPUTED_VALUE"""),5339.0)</f>
        <v>5339</v>
      </c>
      <c r="G23247" s="4">
        <f>IFERROR(__xludf.DUMMYFUNCTION("""COMPUTED_VALUE"""),17.0)</f>
        <v>17</v>
      </c>
      <c r="H23247" s="4"/>
      <c r="I23247" s="4"/>
    </row>
    <row r="23248">
      <c r="A23248" s="4" t="str">
        <f>IFERROR(__xludf.DUMMYFUNCTION("""COMPUTED_VALUE"""),"cas_hmw")</f>
        <v>cas_hmw</v>
      </c>
      <c r="B23248" s="5">
        <f>IFERROR(__xludf.DUMMYFUNCTION("""COMPUTED_VALUE"""),44792.0)</f>
        <v>44792</v>
      </c>
      <c r="C23248" s="6">
        <f>IFERROR(__xludf.DUMMYFUNCTION("""COMPUTED_VALUE"""),0.700856481482333)</f>
        <v>0.7008564815</v>
      </c>
      <c r="D23248" s="4">
        <f>IFERROR(__xludf.DUMMYFUNCTION("""COMPUTED_VALUE"""),12.936326)</f>
        <v>12.936326</v>
      </c>
      <c r="E23248" s="4">
        <f>IFERROR(__xludf.DUMMYFUNCTION("""COMPUTED_VALUE"""),80.127223)</f>
        <v>80.127223</v>
      </c>
      <c r="F23248" s="4">
        <f>IFERROR(__xludf.DUMMYFUNCTION("""COMPUTED_VALUE"""),5339.0)</f>
        <v>5339</v>
      </c>
      <c r="G23248" s="4">
        <f>IFERROR(__xludf.DUMMYFUNCTION("""COMPUTED_VALUE"""),17.0)</f>
        <v>17</v>
      </c>
      <c r="H23248" s="4"/>
      <c r="I23248" s="4"/>
    </row>
    <row r="23249">
      <c r="A23249" s="4" t="str">
        <f>IFERROR(__xludf.DUMMYFUNCTION("""COMPUTED_VALUE"""),"cas_hmw")</f>
        <v>cas_hmw</v>
      </c>
      <c r="B23249" s="5">
        <f>IFERROR(__xludf.DUMMYFUNCTION("""COMPUTED_VALUE"""),44792.0)</f>
        <v>44792</v>
      </c>
      <c r="C23249" s="6">
        <f>IFERROR(__xludf.DUMMYFUNCTION("""COMPUTED_VALUE"""),0.7009027777785377)</f>
        <v>0.7009027778</v>
      </c>
      <c r="D23249" s="4">
        <f>IFERROR(__xludf.DUMMYFUNCTION("""COMPUTED_VALUE"""),12.936809)</f>
        <v>12.936809</v>
      </c>
      <c r="E23249" s="4">
        <f>IFERROR(__xludf.DUMMYFUNCTION("""COMPUTED_VALUE"""),80.127637)</f>
        <v>80.127637</v>
      </c>
      <c r="F23249" s="4">
        <f>IFERROR(__xludf.DUMMYFUNCTION("""COMPUTED_VALUE"""),5339.0)</f>
        <v>5339</v>
      </c>
      <c r="G23249" s="4">
        <f>IFERROR(__xludf.DUMMYFUNCTION("""COMPUTED_VALUE"""),35.0)</f>
        <v>35</v>
      </c>
      <c r="H23249" s="4"/>
      <c r="I23249" s="4"/>
    </row>
    <row r="23250">
      <c r="A23250" s="4" t="str">
        <f>IFERROR(__xludf.DUMMYFUNCTION("""COMPUTED_VALUE"""),"cas_hmw")</f>
        <v>cas_hmw</v>
      </c>
      <c r="B23250" s="5">
        <f>IFERROR(__xludf.DUMMYFUNCTION("""COMPUTED_VALUE"""),44792.0)</f>
        <v>44792</v>
      </c>
      <c r="C23250" s="6">
        <f>IFERROR(__xludf.DUMMYFUNCTION("""COMPUTED_VALUE"""),0.7010763888902147)</f>
        <v>0.7010763889</v>
      </c>
      <c r="D23250" s="4">
        <f>IFERROR(__xludf.DUMMYFUNCTION("""COMPUTED_VALUE"""),12.937518)</f>
        <v>12.937518</v>
      </c>
      <c r="E23250" s="4">
        <f>IFERROR(__xludf.DUMMYFUNCTION("""COMPUTED_VALUE"""),80.128254)</f>
        <v>80.128254</v>
      </c>
      <c r="F23250" s="4">
        <f>IFERROR(__xludf.DUMMYFUNCTION("""COMPUTED_VALUE"""),5339.0)</f>
        <v>5339</v>
      </c>
      <c r="G23250" s="4">
        <f>IFERROR(__xludf.DUMMYFUNCTION("""COMPUTED_VALUE"""),38.0)</f>
        <v>38</v>
      </c>
      <c r="H23250" s="4"/>
      <c r="I23250" s="4"/>
    </row>
    <row r="23251">
      <c r="A23251" s="4" t="str">
        <f>IFERROR(__xludf.DUMMYFUNCTION("""COMPUTED_VALUE"""),"cas_hmw")</f>
        <v>cas_hmw</v>
      </c>
      <c r="B23251" s="5">
        <f>IFERROR(__xludf.DUMMYFUNCTION("""COMPUTED_VALUE"""),44792.0)</f>
        <v>44792</v>
      </c>
      <c r="C23251" s="6">
        <f>IFERROR(__xludf.DUMMYFUNCTION("""COMPUTED_VALUE"""),0.7012152777788287)</f>
        <v>0.7012152778</v>
      </c>
      <c r="D23251" s="4">
        <f>IFERROR(__xludf.DUMMYFUNCTION("""COMPUTED_VALUE"""),12.922803)</f>
        <v>12.922803</v>
      </c>
      <c r="E23251" s="4">
        <f>IFERROR(__xludf.DUMMYFUNCTION("""COMPUTED_VALUE"""),80.130582)</f>
        <v>80.130582</v>
      </c>
      <c r="F23251" s="4">
        <f>IFERROR(__xludf.DUMMYFUNCTION("""COMPUTED_VALUE"""),3143.0)</f>
        <v>3143</v>
      </c>
      <c r="G23251" s="4">
        <f>IFERROR(__xludf.DUMMYFUNCTION("""COMPUTED_VALUE"""),38.0)</f>
        <v>38</v>
      </c>
      <c r="H23251" s="4"/>
      <c r="I23251" s="4"/>
    </row>
    <row r="23252">
      <c r="A23252" s="4" t="str">
        <f>IFERROR(__xludf.DUMMYFUNCTION("""COMPUTED_VALUE"""),"cas_hmw")</f>
        <v>cas_hmw</v>
      </c>
      <c r="B23252" s="5">
        <f>IFERROR(__xludf.DUMMYFUNCTION("""COMPUTED_VALUE"""),44792.0)</f>
        <v>44792</v>
      </c>
      <c r="C23252" s="6">
        <f>IFERROR(__xludf.DUMMYFUNCTION("""COMPUTED_VALUE"""),0.7014004629636474)</f>
        <v>0.701400463</v>
      </c>
      <c r="D23252" s="4">
        <f>IFERROR(__xludf.DUMMYFUNCTION("""COMPUTED_VALUE"""),12.940283)</f>
        <v>12.940283</v>
      </c>
      <c r="E23252" s="4">
        <f>IFERROR(__xludf.DUMMYFUNCTION("""COMPUTED_VALUE"""),80.130758)</f>
        <v>80.130758</v>
      </c>
      <c r="F23252" s="4">
        <f>IFERROR(__xludf.DUMMYFUNCTION("""COMPUTED_VALUE"""),5339.0)</f>
        <v>5339</v>
      </c>
      <c r="G23252" s="4">
        <f>IFERROR(__xludf.DUMMYFUNCTION("""COMPUTED_VALUE"""),53.0)</f>
        <v>53</v>
      </c>
      <c r="H23252" s="4"/>
      <c r="I23252" s="4"/>
    </row>
    <row r="23253">
      <c r="A23253" s="4" t="str">
        <f>IFERROR(__xludf.DUMMYFUNCTION("""COMPUTED_VALUE"""),"cas_hmw")</f>
        <v>cas_hmw</v>
      </c>
      <c r="B23253" s="5">
        <f>IFERROR(__xludf.DUMMYFUNCTION("""COMPUTED_VALUE"""),44792.0)</f>
        <v>44792</v>
      </c>
      <c r="C23253" s="6">
        <f>IFERROR(__xludf.DUMMYFUNCTION("""COMPUTED_VALUE"""),0.7014351851867104)</f>
        <v>0.7014351852</v>
      </c>
      <c r="D23253" s="4">
        <f>IFERROR(__xludf.DUMMYFUNCTION("""COMPUTED_VALUE"""),12.940283)</f>
        <v>12.940283</v>
      </c>
      <c r="E23253" s="4">
        <f>IFERROR(__xludf.DUMMYFUNCTION("""COMPUTED_VALUE"""),80.130758)</f>
        <v>80.130758</v>
      </c>
      <c r="F23253" s="4">
        <f>IFERROR(__xludf.DUMMYFUNCTION("""COMPUTED_VALUE"""),5339.0)</f>
        <v>5339</v>
      </c>
      <c r="G23253" s="4">
        <f>IFERROR(__xludf.DUMMYFUNCTION("""COMPUTED_VALUE"""),53.0)</f>
        <v>53</v>
      </c>
      <c r="H23253" s="4"/>
      <c r="I23253" s="4"/>
    </row>
    <row r="23254">
      <c r="A23254" s="4" t="str">
        <f>IFERROR(__xludf.DUMMYFUNCTION("""COMPUTED_VALUE"""),"cas_hmw")</f>
        <v>cas_hmw</v>
      </c>
      <c r="B23254" s="5">
        <f>IFERROR(__xludf.DUMMYFUNCTION("""COMPUTED_VALUE"""),44792.0)</f>
        <v>44792</v>
      </c>
      <c r="C23254" s="6">
        <f>IFERROR(__xludf.DUMMYFUNCTION("""COMPUTED_VALUE"""),0.7014699074061355)</f>
        <v>0.7014699074</v>
      </c>
      <c r="D23254" s="4">
        <f>IFERROR(__xludf.DUMMYFUNCTION("""COMPUTED_VALUE"""),12.941206)</f>
        <v>12.941206</v>
      </c>
      <c r="E23254" s="4">
        <f>IFERROR(__xludf.DUMMYFUNCTION("""COMPUTED_VALUE"""),80.131703)</f>
        <v>80.131703</v>
      </c>
      <c r="F23254" s="4">
        <f>IFERROR(__xludf.DUMMYFUNCTION("""COMPUTED_VALUE"""),5339.0)</f>
        <v>5339</v>
      </c>
      <c r="G23254" s="4">
        <f>IFERROR(__xludf.DUMMYFUNCTION("""COMPUTED_VALUE"""),49.0)</f>
        <v>49</v>
      </c>
      <c r="H23254" s="4"/>
      <c r="I23254" s="4"/>
    </row>
    <row r="23255">
      <c r="A23255" s="4" t="str">
        <f>IFERROR(__xludf.DUMMYFUNCTION("""COMPUTED_VALUE"""),"cas_hmw")</f>
        <v>cas_hmw</v>
      </c>
      <c r="B23255" s="5">
        <f>IFERROR(__xludf.DUMMYFUNCTION("""COMPUTED_VALUE"""),44792.0)</f>
        <v>44792</v>
      </c>
      <c r="C23255" s="6">
        <f>IFERROR(__xludf.DUMMYFUNCTION("""COMPUTED_VALUE"""),0.7014814814829151)</f>
        <v>0.7014814815</v>
      </c>
      <c r="D23255" s="4">
        <f>IFERROR(__xludf.DUMMYFUNCTION("""COMPUTED_VALUE"""),12.941206)</f>
        <v>12.941206</v>
      </c>
      <c r="E23255" s="4">
        <f>IFERROR(__xludf.DUMMYFUNCTION("""COMPUTED_VALUE"""),80.131703)</f>
        <v>80.131703</v>
      </c>
      <c r="F23255" s="4">
        <f>IFERROR(__xludf.DUMMYFUNCTION("""COMPUTED_VALUE"""),5339.0)</f>
        <v>5339</v>
      </c>
      <c r="G23255" s="4">
        <f>IFERROR(__xludf.DUMMYFUNCTION("""COMPUTED_VALUE"""),49.0)</f>
        <v>49</v>
      </c>
      <c r="H23255" s="4"/>
      <c r="I23255" s="4"/>
    </row>
    <row r="23256">
      <c r="A23256" s="4" t="str">
        <f>IFERROR(__xludf.DUMMYFUNCTION("""COMPUTED_VALUE"""),"cas_hmw")</f>
        <v>cas_hmw</v>
      </c>
      <c r="B23256" s="5">
        <f>IFERROR(__xludf.DUMMYFUNCTION("""COMPUTED_VALUE"""),44792.0)</f>
        <v>44792</v>
      </c>
      <c r="C23256" s="6">
        <f>IFERROR(__xludf.DUMMYFUNCTION("""COMPUTED_VALUE"""),0.7016319444446708)</f>
        <v>0.7016319444</v>
      </c>
      <c r="D23256" s="4">
        <f>IFERROR(__xludf.DUMMYFUNCTION("""COMPUTED_VALUE"""),12.941945)</f>
        <v>12.941945</v>
      </c>
      <c r="E23256" s="4">
        <f>IFERROR(__xludf.DUMMYFUNCTION("""COMPUTED_VALUE"""),80.132467)</f>
        <v>80.132467</v>
      </c>
      <c r="F23256" s="4">
        <f>IFERROR(__xludf.DUMMYFUNCTION("""COMPUTED_VALUE"""),5339.0)</f>
        <v>5339</v>
      </c>
      <c r="G23256" s="4">
        <f>IFERROR(__xludf.DUMMYFUNCTION("""COMPUTED_VALUE"""),40.0)</f>
        <v>40</v>
      </c>
      <c r="H23256" s="4"/>
      <c r="I23256" s="4"/>
    </row>
    <row r="23257">
      <c r="A23257" s="4" t="str">
        <f>IFERROR(__xludf.DUMMYFUNCTION("""COMPUTED_VALUE"""),"cas_hmw")</f>
        <v>cas_hmw</v>
      </c>
      <c r="B23257" s="5">
        <f>IFERROR(__xludf.DUMMYFUNCTION("""COMPUTED_VALUE"""),44792.0)</f>
        <v>44792</v>
      </c>
      <c r="C23257" s="6">
        <f>IFERROR(__xludf.DUMMYFUNCTION("""COMPUTED_VALUE"""),0.7016550925909542)</f>
        <v>0.7016550926</v>
      </c>
      <c r="D23257" s="4">
        <f>IFERROR(__xludf.DUMMYFUNCTION("""COMPUTED_VALUE"""),12.941945)</f>
        <v>12.941945</v>
      </c>
      <c r="E23257" s="4">
        <f>IFERROR(__xludf.DUMMYFUNCTION("""COMPUTED_VALUE"""),80.132467)</f>
        <v>80.132467</v>
      </c>
      <c r="F23257" s="4">
        <f>IFERROR(__xludf.DUMMYFUNCTION("""COMPUTED_VALUE"""),5339.0)</f>
        <v>5339</v>
      </c>
      <c r="G23257" s="4">
        <f>IFERROR(__xludf.DUMMYFUNCTION("""COMPUTED_VALUE"""),40.0)</f>
        <v>40</v>
      </c>
      <c r="H23257" s="4"/>
      <c r="I23257" s="4"/>
    </row>
    <row r="23258">
      <c r="A23258" s="4" t="str">
        <f>IFERROR(__xludf.DUMMYFUNCTION("""COMPUTED_VALUE"""),"cas_hmw")</f>
        <v>cas_hmw</v>
      </c>
      <c r="B23258" s="5">
        <f>IFERROR(__xludf.DUMMYFUNCTION("""COMPUTED_VALUE"""),44792.0)</f>
        <v>44792</v>
      </c>
      <c r="C23258" s="6">
        <f>IFERROR(__xludf.DUMMYFUNCTION("""COMPUTED_VALUE"""),0.7018171296294895)</f>
        <v>0.7018171296</v>
      </c>
      <c r="D23258" s="4">
        <f>IFERROR(__xludf.DUMMYFUNCTION("""COMPUTED_VALUE"""),12.943094)</f>
        <v>12.943094</v>
      </c>
      <c r="E23258" s="4">
        <f>IFERROR(__xludf.DUMMYFUNCTION("""COMPUTED_VALUE"""),80.133652)</f>
        <v>80.133652</v>
      </c>
      <c r="F23258" s="4">
        <f>IFERROR(__xludf.DUMMYFUNCTION("""COMPUTED_VALUE"""),5339.0)</f>
        <v>5339</v>
      </c>
      <c r="G23258" s="4">
        <f>IFERROR(__xludf.DUMMYFUNCTION("""COMPUTED_VALUE"""),26.0)</f>
        <v>26</v>
      </c>
      <c r="H23258" s="4"/>
      <c r="I23258" s="4"/>
    </row>
    <row r="23259">
      <c r="A23259" s="4" t="str">
        <f>IFERROR(__xludf.DUMMYFUNCTION("""COMPUTED_VALUE"""),"cas_hmw")</f>
        <v>cas_hmw</v>
      </c>
      <c r="B23259" s="5">
        <f>IFERROR(__xludf.DUMMYFUNCTION("""COMPUTED_VALUE"""),44792.0)</f>
        <v>44792</v>
      </c>
      <c r="C23259" s="6">
        <f>IFERROR(__xludf.DUMMYFUNCTION("""COMPUTED_VALUE"""),0.7018171296294895)</f>
        <v>0.7018171296</v>
      </c>
      <c r="D23259" s="4">
        <f>IFERROR(__xludf.DUMMYFUNCTION("""COMPUTED_VALUE"""),12.943094)</f>
        <v>12.943094</v>
      </c>
      <c r="E23259" s="4">
        <f>IFERROR(__xludf.DUMMYFUNCTION("""COMPUTED_VALUE"""),80.133652)</f>
        <v>80.133652</v>
      </c>
      <c r="F23259" s="4">
        <f>IFERROR(__xludf.DUMMYFUNCTION("""COMPUTED_VALUE"""),5339.0)</f>
        <v>5339</v>
      </c>
      <c r="G23259" s="4">
        <f>IFERROR(__xludf.DUMMYFUNCTION("""COMPUTED_VALUE"""),26.0)</f>
        <v>26</v>
      </c>
      <c r="H23259" s="4"/>
      <c r="I23259" s="4"/>
    </row>
    <row r="23260">
      <c r="A23260" s="4" t="str">
        <f>IFERROR(__xludf.DUMMYFUNCTION("""COMPUTED_VALUE"""),"cas_hmw")</f>
        <v>cas_hmw</v>
      </c>
      <c r="B23260" s="5">
        <f>IFERROR(__xludf.DUMMYFUNCTION("""COMPUTED_VALUE"""),44792.0)</f>
        <v>44792</v>
      </c>
      <c r="C23260" s="6">
        <f>IFERROR(__xludf.DUMMYFUNCTION("""COMPUTED_VALUE"""),0.7018287037026312)</f>
        <v>0.7018287037</v>
      </c>
      <c r="D23260" s="4">
        <f>IFERROR(__xludf.DUMMYFUNCTION("""COMPUTED_VALUE"""),12.943094)</f>
        <v>12.943094</v>
      </c>
      <c r="E23260" s="4">
        <f>IFERROR(__xludf.DUMMYFUNCTION("""COMPUTED_VALUE"""),80.133652)</f>
        <v>80.133652</v>
      </c>
      <c r="F23260" s="4">
        <f>IFERROR(__xludf.DUMMYFUNCTION("""COMPUTED_VALUE"""),5339.0)</f>
        <v>5339</v>
      </c>
      <c r="G23260" s="4">
        <f>IFERROR(__xludf.DUMMYFUNCTION("""COMPUTED_VALUE"""),26.0)</f>
        <v>26</v>
      </c>
      <c r="H23260" s="4"/>
      <c r="I23260" s="4"/>
    </row>
    <row r="23261">
      <c r="A23261" s="4" t="str">
        <f>IFERROR(__xludf.DUMMYFUNCTION("""COMPUTED_VALUE"""),"cas_hmw")</f>
        <v>cas_hmw</v>
      </c>
      <c r="B23261" s="5">
        <f>IFERROR(__xludf.DUMMYFUNCTION("""COMPUTED_VALUE"""),44792.0)</f>
        <v>44792</v>
      </c>
      <c r="C23261" s="6">
        <f>IFERROR(__xludf.DUMMYFUNCTION("""COMPUTED_VALUE"""),0.7018518518525525)</f>
        <v>0.7018518519</v>
      </c>
      <c r="D23261" s="4">
        <f>IFERROR(__xludf.DUMMYFUNCTION("""COMPUTED_VALUE"""),12.943094)</f>
        <v>12.943094</v>
      </c>
      <c r="E23261" s="4">
        <f>IFERROR(__xludf.DUMMYFUNCTION("""COMPUTED_VALUE"""),80.133652)</f>
        <v>80.133652</v>
      </c>
      <c r="F23261" s="4">
        <f>IFERROR(__xludf.DUMMYFUNCTION("""COMPUTED_VALUE"""),5339.0)</f>
        <v>5339</v>
      </c>
      <c r="G23261" s="4">
        <f>IFERROR(__xludf.DUMMYFUNCTION("""COMPUTED_VALUE"""),26.0)</f>
        <v>26</v>
      </c>
      <c r="H23261" s="4"/>
      <c r="I23261" s="4"/>
    </row>
    <row r="23262">
      <c r="A23262" s="4" t="str">
        <f>IFERROR(__xludf.DUMMYFUNCTION("""COMPUTED_VALUE"""),"cas_hmw")</f>
        <v>cas_hmw</v>
      </c>
      <c r="B23262" s="5">
        <f>IFERROR(__xludf.DUMMYFUNCTION("""COMPUTED_VALUE"""),44792.0)</f>
        <v>44792</v>
      </c>
      <c r="C23262" s="6">
        <f>IFERROR(__xludf.DUMMYFUNCTION("""COMPUTED_VALUE"""),0.7018749999988358)</f>
        <v>0.701875</v>
      </c>
      <c r="D23262" s="4">
        <f>IFERROR(__xludf.DUMMYFUNCTION("""COMPUTED_VALUE"""),12.943094)</f>
        <v>12.943094</v>
      </c>
      <c r="E23262" s="4">
        <f>IFERROR(__xludf.DUMMYFUNCTION("""COMPUTED_VALUE"""),80.133652)</f>
        <v>80.133652</v>
      </c>
      <c r="F23262" s="4">
        <f>IFERROR(__xludf.DUMMYFUNCTION("""COMPUTED_VALUE"""),5339.0)</f>
        <v>5339</v>
      </c>
      <c r="G23262" s="4">
        <f>IFERROR(__xludf.DUMMYFUNCTION("""COMPUTED_VALUE"""),26.0)</f>
        <v>26</v>
      </c>
      <c r="H23262" s="4"/>
      <c r="I23262" s="4"/>
    </row>
    <row r="23263">
      <c r="A23263" s="4" t="str">
        <f>IFERROR(__xludf.DUMMYFUNCTION("""COMPUTED_VALUE"""),"cas_hmw")</f>
        <v>cas_hmw</v>
      </c>
      <c r="B23263" s="5">
        <f>IFERROR(__xludf.DUMMYFUNCTION("""COMPUTED_VALUE"""),44792.0)</f>
        <v>44792</v>
      </c>
      <c r="C23263" s="6">
        <f>IFERROR(__xludf.DUMMYFUNCTION("""COMPUTED_VALUE"""),0.7019212962950405)</f>
        <v>0.7019212963</v>
      </c>
      <c r="D23263" s="4">
        <f>IFERROR(__xludf.DUMMYFUNCTION("""COMPUTED_VALUE"""),12.943622)</f>
        <v>12.943622</v>
      </c>
      <c r="E23263" s="4">
        <f>IFERROR(__xludf.DUMMYFUNCTION("""COMPUTED_VALUE"""),80.134175)</f>
        <v>80.134175</v>
      </c>
      <c r="F23263" s="4">
        <f>IFERROR(__xludf.DUMMYFUNCTION("""COMPUTED_VALUE"""),5339.0)</f>
        <v>5339</v>
      </c>
      <c r="G23263" s="4">
        <f>IFERROR(__xludf.DUMMYFUNCTION("""COMPUTED_VALUE"""),33.0)</f>
        <v>33</v>
      </c>
      <c r="H23263" s="4"/>
      <c r="I23263" s="4"/>
    </row>
    <row r="23264">
      <c r="A23264" s="4" t="str">
        <f>IFERROR(__xludf.DUMMYFUNCTION("""COMPUTED_VALUE"""),"cas_hmw")</f>
        <v>cas_hmw</v>
      </c>
      <c r="B23264" s="5">
        <f>IFERROR(__xludf.DUMMYFUNCTION("""COMPUTED_VALUE"""),44792.0)</f>
        <v>44792</v>
      </c>
      <c r="C23264" s="6">
        <f>IFERROR(__xludf.DUMMYFUNCTION("""COMPUTED_VALUE"""),0.7019328703718202)</f>
        <v>0.7019328704</v>
      </c>
      <c r="D23264" s="4">
        <f>IFERROR(__xludf.DUMMYFUNCTION("""COMPUTED_VALUE"""),12.943622)</f>
        <v>12.943622</v>
      </c>
      <c r="E23264" s="4">
        <f>IFERROR(__xludf.DUMMYFUNCTION("""COMPUTED_VALUE"""),80.134175)</f>
        <v>80.134175</v>
      </c>
      <c r="F23264" s="4">
        <f>IFERROR(__xludf.DUMMYFUNCTION("""COMPUTED_VALUE"""),5339.0)</f>
        <v>5339</v>
      </c>
      <c r="G23264" s="4">
        <f>IFERROR(__xludf.DUMMYFUNCTION("""COMPUTED_VALUE"""),33.0)</f>
        <v>33</v>
      </c>
      <c r="H23264" s="4"/>
      <c r="I23264" s="4"/>
    </row>
    <row r="23265">
      <c r="A23265" s="4" t="str">
        <f>IFERROR(__xludf.DUMMYFUNCTION("""COMPUTED_VALUE"""),"cas_hmw")</f>
        <v>cas_hmw</v>
      </c>
      <c r="B23265" s="5">
        <f>IFERROR(__xludf.DUMMYFUNCTION("""COMPUTED_VALUE"""),44792.0)</f>
        <v>44792</v>
      </c>
      <c r="C23265" s="6">
        <f>IFERROR(__xludf.DUMMYFUNCTION("""COMPUTED_VALUE"""),0.7019328703718202)</f>
        <v>0.7019328704</v>
      </c>
      <c r="D23265" s="4">
        <f>IFERROR(__xludf.DUMMYFUNCTION("""COMPUTED_VALUE"""),12.943622)</f>
        <v>12.943622</v>
      </c>
      <c r="E23265" s="4">
        <f>IFERROR(__xludf.DUMMYFUNCTION("""COMPUTED_VALUE"""),80.134175)</f>
        <v>80.134175</v>
      </c>
      <c r="F23265" s="4">
        <f>IFERROR(__xludf.DUMMYFUNCTION("""COMPUTED_VALUE"""),5339.0)</f>
        <v>5339</v>
      </c>
      <c r="G23265" s="4">
        <f>IFERROR(__xludf.DUMMYFUNCTION("""COMPUTED_VALUE"""),33.0)</f>
        <v>33</v>
      </c>
      <c r="H23265" s="4"/>
      <c r="I23265" s="4"/>
    </row>
    <row r="23266">
      <c r="A23266" s="4" t="str">
        <f>IFERROR(__xludf.DUMMYFUNCTION("""COMPUTED_VALUE"""),"cas_hmw")</f>
        <v>cas_hmw</v>
      </c>
      <c r="B23266" s="5">
        <f>IFERROR(__xludf.DUMMYFUNCTION("""COMPUTED_VALUE"""),44792.0)</f>
        <v>44792</v>
      </c>
      <c r="C23266" s="6">
        <f>IFERROR(__xludf.DUMMYFUNCTION("""COMPUTED_VALUE"""),0.7019675925912452)</f>
        <v>0.7019675926</v>
      </c>
      <c r="D23266" s="4">
        <f>IFERROR(__xludf.DUMMYFUNCTION("""COMPUTED_VALUE"""),12.943622)</f>
        <v>12.943622</v>
      </c>
      <c r="E23266" s="4">
        <f>IFERROR(__xludf.DUMMYFUNCTION("""COMPUTED_VALUE"""),80.134175)</f>
        <v>80.134175</v>
      </c>
      <c r="F23266" s="4">
        <f>IFERROR(__xludf.DUMMYFUNCTION("""COMPUTED_VALUE"""),5339.0)</f>
        <v>5339</v>
      </c>
      <c r="G23266" s="4">
        <f>IFERROR(__xludf.DUMMYFUNCTION("""COMPUTED_VALUE"""),33.0)</f>
        <v>33</v>
      </c>
      <c r="H23266" s="4"/>
      <c r="I23266" s="4"/>
    </row>
    <row r="23267">
      <c r="A23267" s="4" t="str">
        <f>IFERROR(__xludf.DUMMYFUNCTION("""COMPUTED_VALUE"""),"cas_hmw")</f>
        <v>cas_hmw</v>
      </c>
      <c r="B23267" s="5">
        <f>IFERROR(__xludf.DUMMYFUNCTION("""COMPUTED_VALUE"""),44792.0)</f>
        <v>44792</v>
      </c>
      <c r="C23267" s="6">
        <f>IFERROR(__xludf.DUMMYFUNCTION("""COMPUTED_VALUE"""),0.7020717592604342)</f>
        <v>0.7020717593</v>
      </c>
      <c r="D23267" s="4">
        <f>IFERROR(__xludf.DUMMYFUNCTION("""COMPUTED_VALUE"""),12.944345)</f>
        <v>12.944345</v>
      </c>
      <c r="E23267" s="4">
        <f>IFERROR(__xludf.DUMMYFUNCTION("""COMPUTED_VALUE"""),80.134777)</f>
        <v>80.134777</v>
      </c>
      <c r="F23267" s="4">
        <f>IFERROR(__xludf.DUMMYFUNCTION("""COMPUTED_VALUE"""),5339.0)</f>
        <v>5339</v>
      </c>
      <c r="G23267" s="4">
        <f>IFERROR(__xludf.DUMMYFUNCTION("""COMPUTED_VALUE"""),38.0)</f>
        <v>38</v>
      </c>
      <c r="H23267" s="4"/>
      <c r="I23267" s="4"/>
    </row>
    <row r="23268">
      <c r="A23268" s="4" t="str">
        <f>IFERROR(__xludf.DUMMYFUNCTION("""COMPUTED_VALUE"""),"cas_hmw")</f>
        <v>cas_hmw</v>
      </c>
      <c r="B23268" s="5">
        <f>IFERROR(__xludf.DUMMYFUNCTION("""COMPUTED_VALUE"""),44792.0)</f>
        <v>44792</v>
      </c>
      <c r="C23268" s="6">
        <f>IFERROR(__xludf.DUMMYFUNCTION("""COMPUTED_VALUE"""),0.7021180555566389)</f>
        <v>0.7021180556</v>
      </c>
      <c r="D23268" s="4">
        <f>IFERROR(__xludf.DUMMYFUNCTION("""COMPUTED_VALUE"""),12.944345)</f>
        <v>12.944345</v>
      </c>
      <c r="E23268" s="4">
        <f>IFERROR(__xludf.DUMMYFUNCTION("""COMPUTED_VALUE"""),80.134777)</f>
        <v>80.134777</v>
      </c>
      <c r="F23268" s="4">
        <f>IFERROR(__xludf.DUMMYFUNCTION("""COMPUTED_VALUE"""),5339.0)</f>
        <v>5339</v>
      </c>
      <c r="G23268" s="4">
        <f>IFERROR(__xludf.DUMMYFUNCTION("""COMPUTED_VALUE"""),38.0)</f>
        <v>38</v>
      </c>
      <c r="H23268" s="4"/>
      <c r="I23268" s="4"/>
    </row>
    <row r="23269">
      <c r="A23269" s="4" t="str">
        <f>IFERROR(__xludf.DUMMYFUNCTION("""COMPUTED_VALUE"""),"cas_hmw")</f>
        <v>cas_hmw</v>
      </c>
      <c r="B23269" s="5">
        <f>IFERROR(__xludf.DUMMYFUNCTION("""COMPUTED_VALUE"""),44792.0)</f>
        <v>44792</v>
      </c>
      <c r="C23269" s="6">
        <f>IFERROR(__xludf.DUMMYFUNCTION("""COMPUTED_VALUE"""),0.7023495370376622)</f>
        <v>0.702349537</v>
      </c>
      <c r="D23269" s="4">
        <f>IFERROR(__xludf.DUMMYFUNCTION("""COMPUTED_VALUE"""),12.94603)</f>
        <v>12.94603</v>
      </c>
      <c r="E23269" s="4">
        <f>IFERROR(__xludf.DUMMYFUNCTION("""COMPUTED_VALUE"""),80.13605)</f>
        <v>80.13605</v>
      </c>
      <c r="F23269" s="4">
        <f>IFERROR(__xludf.DUMMYFUNCTION("""COMPUTED_VALUE"""),5339.0)</f>
        <v>5339</v>
      </c>
      <c r="G23269" s="4">
        <f>IFERROR(__xludf.DUMMYFUNCTION("""COMPUTED_VALUE"""),41.0)</f>
        <v>41</v>
      </c>
      <c r="H23269" s="4"/>
      <c r="I23269" s="4"/>
    </row>
    <row r="23270">
      <c r="A23270" s="4" t="str">
        <f>IFERROR(__xludf.DUMMYFUNCTION("""COMPUTED_VALUE"""),"cas_hmw")</f>
        <v>cas_hmw</v>
      </c>
      <c r="B23270" s="5">
        <f>IFERROR(__xludf.DUMMYFUNCTION("""COMPUTED_VALUE"""),44792.0)</f>
        <v>44792</v>
      </c>
      <c r="C23270" s="6">
        <f>IFERROR(__xludf.DUMMYFUNCTION("""COMPUTED_VALUE"""),0.7023611111108039)</f>
        <v>0.7023611111</v>
      </c>
      <c r="D23270" s="4">
        <f>IFERROR(__xludf.DUMMYFUNCTION("""COMPUTED_VALUE"""),12.805195)</f>
        <v>12.805195</v>
      </c>
      <c r="E23270" s="4">
        <f>IFERROR(__xludf.DUMMYFUNCTION("""COMPUTED_VALUE"""),80.026944)</f>
        <v>80.026944</v>
      </c>
      <c r="F23270" s="4">
        <f>IFERROR(__xludf.DUMMYFUNCTION("""COMPUTED_VALUE"""),2846.0)</f>
        <v>2846</v>
      </c>
      <c r="G23270" s="4">
        <f>IFERROR(__xludf.DUMMYFUNCTION("""COMPUTED_VALUE"""),59.0)</f>
        <v>59</v>
      </c>
      <c r="H23270" s="4"/>
      <c r="I23270" s="4"/>
    </row>
    <row r="23271">
      <c r="A23271" s="4" t="str">
        <f>IFERROR(__xludf.DUMMYFUNCTION("""COMPUTED_VALUE"""),"cas_hmw")</f>
        <v>cas_hmw</v>
      </c>
      <c r="B23271" s="5">
        <f>IFERROR(__xludf.DUMMYFUNCTION("""COMPUTED_VALUE"""),44792.0)</f>
        <v>44792</v>
      </c>
      <c r="C23271" s="6">
        <f>IFERROR(__xludf.DUMMYFUNCTION("""COMPUTED_VALUE"""),0.7025925925918273)</f>
        <v>0.7025925926</v>
      </c>
      <c r="D23271" s="4">
        <f>IFERROR(__xludf.DUMMYFUNCTION("""COMPUTED_VALUE"""),12.947765)</f>
        <v>12.947765</v>
      </c>
      <c r="E23271" s="4">
        <f>IFERROR(__xludf.DUMMYFUNCTION("""COMPUTED_VALUE"""),80.137328)</f>
        <v>80.137328</v>
      </c>
      <c r="F23271" s="4">
        <f>IFERROR(__xludf.DUMMYFUNCTION("""COMPUTED_VALUE"""),5339.0)</f>
        <v>5339</v>
      </c>
      <c r="G23271" s="4">
        <f>IFERROR(__xludf.DUMMYFUNCTION("""COMPUTED_VALUE"""),46.0)</f>
        <v>46</v>
      </c>
      <c r="H23271" s="4"/>
      <c r="I23271" s="4"/>
    </row>
    <row r="23272">
      <c r="A23272" s="4" t="str">
        <f>IFERROR(__xludf.DUMMYFUNCTION("""COMPUTED_VALUE"""),"cas_hmw")</f>
        <v>cas_hmw</v>
      </c>
      <c r="B23272" s="5">
        <f>IFERROR(__xludf.DUMMYFUNCTION("""COMPUTED_VALUE"""),44792.0)</f>
        <v>44792</v>
      </c>
      <c r="C23272" s="6">
        <f>IFERROR(__xludf.DUMMYFUNCTION("""COMPUTED_VALUE"""),0.7026273148148903)</f>
        <v>0.7026273148</v>
      </c>
      <c r="D23272" s="4">
        <f>IFERROR(__xludf.DUMMYFUNCTION("""COMPUTED_VALUE"""),12.948804)</f>
        <v>12.948804</v>
      </c>
      <c r="E23272" s="4">
        <f>IFERROR(__xludf.DUMMYFUNCTION("""COMPUTED_VALUE"""),80.138081)</f>
        <v>80.138081</v>
      </c>
      <c r="F23272" s="4">
        <f>IFERROR(__xludf.DUMMYFUNCTION("""COMPUTED_VALUE"""),5339.0)</f>
        <v>5339</v>
      </c>
      <c r="G23272" s="4">
        <f>IFERROR(__xludf.DUMMYFUNCTION("""COMPUTED_VALUE"""),48.0)</f>
        <v>48</v>
      </c>
      <c r="H23272" s="4"/>
      <c r="I23272" s="4"/>
    </row>
    <row r="23273">
      <c r="A23273" s="4" t="str">
        <f>IFERROR(__xludf.DUMMYFUNCTION("""COMPUTED_VALUE"""),"cas_hmw")</f>
        <v>cas_hmw</v>
      </c>
      <c r="B23273" s="5">
        <f>IFERROR(__xludf.DUMMYFUNCTION("""COMPUTED_VALUE"""),44792.0)</f>
        <v>44792</v>
      </c>
      <c r="C23273" s="6">
        <f>IFERROR(__xludf.DUMMYFUNCTION("""COMPUTED_VALUE"""),0.7026967592610163)</f>
        <v>0.7026967593</v>
      </c>
      <c r="D23273" s="4">
        <f>IFERROR(__xludf.DUMMYFUNCTION("""COMPUTED_VALUE"""),12.800947)</f>
        <v>12.800947</v>
      </c>
      <c r="E23273" s="4">
        <f>IFERROR(__xludf.DUMMYFUNCTION("""COMPUTED_VALUE"""),80.024172)</f>
        <v>80.024172</v>
      </c>
      <c r="F23273" s="4">
        <f>IFERROR(__xludf.DUMMYFUNCTION("""COMPUTED_VALUE"""),2846.0)</f>
        <v>2846</v>
      </c>
      <c r="G23273" s="4">
        <f>IFERROR(__xludf.DUMMYFUNCTION("""COMPUTED_VALUE"""),49.0)</f>
        <v>49</v>
      </c>
      <c r="H23273" s="4"/>
      <c r="I23273" s="4"/>
    </row>
    <row r="23274">
      <c r="A23274" s="4" t="str">
        <f>IFERROR(__xludf.DUMMYFUNCTION("""COMPUTED_VALUE"""),"cas_hmw")</f>
        <v>cas_hmw</v>
      </c>
      <c r="B23274" s="5">
        <f>IFERROR(__xludf.DUMMYFUNCTION("""COMPUTED_VALUE"""),44792.0)</f>
        <v>44792</v>
      </c>
      <c r="C23274" s="6">
        <f>IFERROR(__xludf.DUMMYFUNCTION("""COMPUTED_VALUE"""),0.702777777776646)</f>
        <v>0.7027777778</v>
      </c>
      <c r="D23274" s="4">
        <f>IFERROR(__xludf.DUMMYFUNCTION("""COMPUTED_VALUE"""),12.79984)</f>
        <v>12.79984</v>
      </c>
      <c r="E23274" s="4">
        <f>IFERROR(__xludf.DUMMYFUNCTION("""COMPUTED_VALUE"""),80.023447)</f>
        <v>80.023447</v>
      </c>
      <c r="F23274" s="4">
        <f>IFERROR(__xludf.DUMMYFUNCTION("""COMPUTED_VALUE"""),2846.0)</f>
        <v>2846</v>
      </c>
      <c r="G23274" s="4">
        <f>IFERROR(__xludf.DUMMYFUNCTION("""COMPUTED_VALUE"""),53.0)</f>
        <v>53</v>
      </c>
      <c r="H23274" s="4"/>
      <c r="I23274" s="4"/>
    </row>
    <row r="23275">
      <c r="A23275" s="4" t="str">
        <f>IFERROR(__xludf.DUMMYFUNCTION("""COMPUTED_VALUE"""),"cas_hmw")</f>
        <v>cas_hmw</v>
      </c>
      <c r="B23275" s="5">
        <f>IFERROR(__xludf.DUMMYFUNCTION("""COMPUTED_VALUE"""),44792.0)</f>
        <v>44792</v>
      </c>
      <c r="C23275" s="6">
        <f>IFERROR(__xludf.DUMMYFUNCTION("""COMPUTED_VALUE"""),0.7029976851845277)</f>
        <v>0.7029976852</v>
      </c>
      <c r="D23275" s="4">
        <f>IFERROR(__xludf.DUMMYFUNCTION("""COMPUTED_VALUE"""),12.951287)</f>
        <v>12.951287</v>
      </c>
      <c r="E23275" s="4">
        <f>IFERROR(__xludf.DUMMYFUNCTION("""COMPUTED_VALUE"""),80.140099)</f>
        <v>80.140099</v>
      </c>
      <c r="F23275" s="4">
        <f>IFERROR(__xludf.DUMMYFUNCTION("""COMPUTED_VALUE"""),5339.0)</f>
        <v>5339</v>
      </c>
      <c r="G23275" s="4">
        <f>IFERROR(__xludf.DUMMYFUNCTION("""COMPUTED_VALUE"""),20.0)</f>
        <v>20</v>
      </c>
      <c r="H23275" s="4"/>
      <c r="I23275" s="4"/>
    </row>
    <row r="23276">
      <c r="A23276" s="4" t="str">
        <f>IFERROR(__xludf.DUMMYFUNCTION("""COMPUTED_VALUE"""),"cas_hmw")</f>
        <v>cas_hmw</v>
      </c>
      <c r="B23276" s="5">
        <f>IFERROR(__xludf.DUMMYFUNCTION("""COMPUTED_VALUE"""),44792.0)</f>
        <v>44792</v>
      </c>
      <c r="C23276" s="6">
        <f>IFERROR(__xludf.DUMMYFUNCTION("""COMPUTED_VALUE"""),0.703159722223063)</f>
        <v>0.7031597222</v>
      </c>
      <c r="D23276" s="4">
        <f>IFERROR(__xludf.DUMMYFUNCTION("""COMPUTED_VALUE"""),12.951805)</f>
        <v>12.951805</v>
      </c>
      <c r="E23276" s="4">
        <f>IFERROR(__xludf.DUMMYFUNCTION("""COMPUTED_VALUE"""),80.140494)</f>
        <v>80.140494</v>
      </c>
      <c r="F23276" s="4">
        <f>IFERROR(__xludf.DUMMYFUNCTION("""COMPUTED_VALUE"""),5339.0)</f>
        <v>5339</v>
      </c>
      <c r="G23276" s="4">
        <f>IFERROR(__xludf.DUMMYFUNCTION("""COMPUTED_VALUE"""),27.0)</f>
        <v>27</v>
      </c>
      <c r="H23276" s="4"/>
      <c r="I23276" s="4"/>
    </row>
    <row r="23277">
      <c r="A23277" s="4" t="str">
        <f>IFERROR(__xludf.DUMMYFUNCTION("""COMPUTED_VALUE"""),"cas_hmw")</f>
        <v>cas_hmw</v>
      </c>
      <c r="B23277" s="5">
        <f>IFERROR(__xludf.DUMMYFUNCTION("""COMPUTED_VALUE"""),44792.0)</f>
        <v>44792</v>
      </c>
      <c r="C23277" s="6">
        <f>IFERROR(__xludf.DUMMYFUNCTION("""COMPUTED_VALUE"""),0.7031712962962047)</f>
        <v>0.7031712963</v>
      </c>
      <c r="D23277" s="4">
        <f>IFERROR(__xludf.DUMMYFUNCTION("""COMPUTED_VALUE"""),12.922407)</f>
        <v>12.922407</v>
      </c>
      <c r="E23277" s="4">
        <f>IFERROR(__xludf.DUMMYFUNCTION("""COMPUTED_VALUE"""),80.139556)</f>
        <v>80.139556</v>
      </c>
      <c r="F23277" s="4">
        <f>IFERROR(__xludf.DUMMYFUNCTION("""COMPUTED_VALUE"""),3143.0)</f>
        <v>3143</v>
      </c>
      <c r="G23277" s="4">
        <f>IFERROR(__xludf.DUMMYFUNCTION("""COMPUTED_VALUE"""),32.0)</f>
        <v>32</v>
      </c>
      <c r="H23277" s="4"/>
      <c r="I23277" s="4"/>
    </row>
    <row r="23278">
      <c r="A23278" s="4" t="str">
        <f>IFERROR(__xludf.DUMMYFUNCTION("""COMPUTED_VALUE"""),"cas_hmw")</f>
        <v>cas_hmw</v>
      </c>
      <c r="B23278" s="5">
        <f>IFERROR(__xludf.DUMMYFUNCTION("""COMPUTED_VALUE"""),44792.0)</f>
        <v>44792</v>
      </c>
      <c r="C23278" s="6">
        <f>IFERROR(__xludf.DUMMYFUNCTION("""COMPUTED_VALUE"""),0.7033449074078817)</f>
        <v>0.7033449074</v>
      </c>
      <c r="D23278" s="4">
        <f>IFERROR(__xludf.DUMMYFUNCTION("""COMPUTED_VALUE"""),12.922438)</f>
        <v>12.922438</v>
      </c>
      <c r="E23278" s="4">
        <f>IFERROR(__xludf.DUMMYFUNCTION("""COMPUTED_VALUE"""),80.140246)</f>
        <v>80.140246</v>
      </c>
      <c r="F23278" s="4">
        <f>IFERROR(__xludf.DUMMYFUNCTION("""COMPUTED_VALUE"""),3143.0)</f>
        <v>3143</v>
      </c>
      <c r="G23278" s="4">
        <f>IFERROR(__xludf.DUMMYFUNCTION("""COMPUTED_VALUE"""),20.0)</f>
        <v>20</v>
      </c>
      <c r="H23278" s="4"/>
      <c r="I23278" s="4"/>
    </row>
    <row r="23279">
      <c r="A23279" s="4" t="str">
        <f>IFERROR(__xludf.DUMMYFUNCTION("""COMPUTED_VALUE"""),"cas_hmw")</f>
        <v>cas_hmw</v>
      </c>
      <c r="B23279" s="5">
        <f>IFERROR(__xludf.DUMMYFUNCTION("""COMPUTED_VALUE"""),44792.0)</f>
        <v>44792</v>
      </c>
      <c r="C23279" s="6">
        <f>IFERROR(__xludf.DUMMYFUNCTION("""COMPUTED_VALUE"""),0.7033564814810234)</f>
        <v>0.7033564815</v>
      </c>
      <c r="D23279" s="4">
        <f>IFERROR(__xludf.DUMMYFUNCTION("""COMPUTED_VALUE"""),12.922438)</f>
        <v>12.922438</v>
      </c>
      <c r="E23279" s="4">
        <f>IFERROR(__xludf.DUMMYFUNCTION("""COMPUTED_VALUE"""),80.140246)</f>
        <v>80.140246</v>
      </c>
      <c r="F23279" s="4">
        <f>IFERROR(__xludf.DUMMYFUNCTION("""COMPUTED_VALUE"""),3143.0)</f>
        <v>3143</v>
      </c>
      <c r="G23279" s="4">
        <f>IFERROR(__xludf.DUMMYFUNCTION("""COMPUTED_VALUE"""),20.0)</f>
        <v>20</v>
      </c>
      <c r="H23279" s="4"/>
      <c r="I23279" s="4"/>
    </row>
    <row r="23280">
      <c r="A23280" s="4" t="str">
        <f>IFERROR(__xludf.DUMMYFUNCTION("""COMPUTED_VALUE"""),"cas_hmw")</f>
        <v>cas_hmw</v>
      </c>
      <c r="B23280" s="5">
        <f>IFERROR(__xludf.DUMMYFUNCTION("""COMPUTED_VALUE"""),44792.0)</f>
        <v>44792</v>
      </c>
      <c r="C23280" s="6">
        <f>IFERROR(__xludf.DUMMYFUNCTION("""COMPUTED_VALUE"""),0.7035300925927004)</f>
        <v>0.7035300926</v>
      </c>
      <c r="D23280" s="4">
        <f>IFERROR(__xludf.DUMMYFUNCTION("""COMPUTED_VALUE"""),12.92244)</f>
        <v>12.92244</v>
      </c>
      <c r="E23280" s="4">
        <f>IFERROR(__xludf.DUMMYFUNCTION("""COMPUTED_VALUE"""),80.141727)</f>
        <v>80.141727</v>
      </c>
      <c r="F23280" s="4">
        <f>IFERROR(__xludf.DUMMYFUNCTION("""COMPUTED_VALUE"""),3143.0)</f>
        <v>3143</v>
      </c>
      <c r="G23280" s="4">
        <f>IFERROR(__xludf.DUMMYFUNCTION("""COMPUTED_VALUE"""),38.0)</f>
        <v>38</v>
      </c>
      <c r="H23280" s="4"/>
      <c r="I23280" s="4"/>
    </row>
    <row r="23281">
      <c r="A23281" s="4" t="str">
        <f>IFERROR(__xludf.DUMMYFUNCTION("""COMPUTED_VALUE"""),"cas_hmw")</f>
        <v>cas_hmw</v>
      </c>
      <c r="B23281" s="5">
        <f>IFERROR(__xludf.DUMMYFUNCTION("""COMPUTED_VALUE"""),44792.0)</f>
        <v>44792</v>
      </c>
      <c r="C23281" s="6">
        <f>IFERROR(__xludf.DUMMYFUNCTION("""COMPUTED_VALUE"""),0.7039467592585424)</f>
        <v>0.7039467593</v>
      </c>
      <c r="D23281" s="4">
        <f>IFERROR(__xludf.DUMMYFUNCTION("""COMPUTED_VALUE"""),12.922517)</f>
        <v>12.922517</v>
      </c>
      <c r="E23281" s="4">
        <f>IFERROR(__xludf.DUMMYFUNCTION("""COMPUTED_VALUE"""),80.143597)</f>
        <v>80.143597</v>
      </c>
      <c r="F23281" s="4">
        <f>IFERROR(__xludf.DUMMYFUNCTION("""COMPUTED_VALUE"""),3143.0)</f>
        <v>3143</v>
      </c>
      <c r="G23281" s="4">
        <f>IFERROR(__xludf.DUMMYFUNCTION("""COMPUTED_VALUE"""),33.0)</f>
        <v>33</v>
      </c>
      <c r="H23281" s="4"/>
      <c r="I23281" s="4"/>
    </row>
    <row r="23282">
      <c r="A23282" s="4" t="str">
        <f>IFERROR(__xludf.DUMMYFUNCTION("""COMPUTED_VALUE"""),"cas_hmw")</f>
        <v>cas_hmw</v>
      </c>
      <c r="B23282" s="5">
        <f>IFERROR(__xludf.DUMMYFUNCTION("""COMPUTED_VALUE"""),44792.0)</f>
        <v>44792</v>
      </c>
      <c r="C23282" s="6">
        <f>IFERROR(__xludf.DUMMYFUNCTION("""COMPUTED_VALUE"""),0.7047106481477385)</f>
        <v>0.7047106481</v>
      </c>
      <c r="D23282" s="4">
        <f>IFERROR(__xludf.DUMMYFUNCTION("""COMPUTED_VALUE"""),12.957624)</f>
        <v>12.957624</v>
      </c>
      <c r="E23282" s="4">
        <f>IFERROR(__xludf.DUMMYFUNCTION("""COMPUTED_VALUE"""),80.143824)</f>
        <v>80.143824</v>
      </c>
      <c r="F23282" s="4">
        <f>IFERROR(__xludf.DUMMYFUNCTION("""COMPUTED_VALUE"""),5339.0)</f>
        <v>5339</v>
      </c>
      <c r="G23282" s="4">
        <f>IFERROR(__xludf.DUMMYFUNCTION("""COMPUTED_VALUE"""),33.0)</f>
        <v>33</v>
      </c>
      <c r="H23282" s="4"/>
      <c r="I23282" s="4"/>
    </row>
    <row r="23283">
      <c r="A23283" s="4" t="str">
        <f>IFERROR(__xludf.DUMMYFUNCTION("""COMPUTED_VALUE"""),"cas_hmw")</f>
        <v>cas_hmw</v>
      </c>
      <c r="B23283" s="5">
        <f>IFERROR(__xludf.DUMMYFUNCTION("""COMPUTED_VALUE"""),44792.0)</f>
        <v>44792</v>
      </c>
      <c r="C23283" s="6">
        <f>IFERROR(__xludf.DUMMYFUNCTION("""COMPUTED_VALUE"""),0.7048611111094942)</f>
        <v>0.7048611111</v>
      </c>
      <c r="D23283" s="4">
        <f>IFERROR(__xludf.DUMMYFUNCTION("""COMPUTED_VALUE"""),12.922662)</f>
        <v>12.922662</v>
      </c>
      <c r="E23283" s="4">
        <f>IFERROR(__xludf.DUMMYFUNCTION("""COMPUTED_VALUE"""),80.148902)</f>
        <v>80.148902</v>
      </c>
      <c r="F23283" s="4">
        <f>IFERROR(__xludf.DUMMYFUNCTION("""COMPUTED_VALUE"""),3143.0)</f>
        <v>3143</v>
      </c>
      <c r="G23283" s="4">
        <f>IFERROR(__xludf.DUMMYFUNCTION("""COMPUTED_VALUE"""),37.0)</f>
        <v>37</v>
      </c>
      <c r="H23283" s="4"/>
      <c r="I23283" s="4"/>
    </row>
    <row r="23284">
      <c r="A23284" s="4" t="str">
        <f>IFERROR(__xludf.DUMMYFUNCTION("""COMPUTED_VALUE"""),"cas_hmw")</f>
        <v>cas_hmw</v>
      </c>
      <c r="B23284" s="5">
        <f>IFERROR(__xludf.DUMMYFUNCTION("""COMPUTED_VALUE"""),44792.0)</f>
        <v>44792</v>
      </c>
      <c r="C23284" s="6">
        <f>IFERROR(__xludf.DUMMYFUNCTION("""COMPUTED_VALUE"""),0.7053356481483206)</f>
        <v>0.7053356481</v>
      </c>
      <c r="D23284" s="4">
        <f>IFERROR(__xludf.DUMMYFUNCTION("""COMPUTED_VALUE"""),12.773204)</f>
        <v>12.773204</v>
      </c>
      <c r="E23284" s="4">
        <f>IFERROR(__xludf.DUMMYFUNCTION("""COMPUTED_VALUE"""),80.00881)</f>
        <v>80.00881</v>
      </c>
      <c r="F23284" s="4">
        <f>IFERROR(__xludf.DUMMYFUNCTION("""COMPUTED_VALUE"""),2846.0)</f>
        <v>2846</v>
      </c>
      <c r="G23284" s="4">
        <f>IFERROR(__xludf.DUMMYFUNCTION("""COMPUTED_VALUE"""),57.0)</f>
        <v>57</v>
      </c>
      <c r="H23284" s="4"/>
      <c r="I23284" s="4"/>
    </row>
    <row r="23285">
      <c r="A23285" s="4" t="str">
        <f>IFERROR(__xludf.DUMMYFUNCTION("""COMPUTED_VALUE"""),"cas_hmw")</f>
        <v>cas_hmw</v>
      </c>
      <c r="B23285" s="5">
        <f>IFERROR(__xludf.DUMMYFUNCTION("""COMPUTED_VALUE"""),44792.0)</f>
        <v>44792</v>
      </c>
      <c r="C23285" s="6">
        <f>IFERROR(__xludf.DUMMYFUNCTION("""COMPUTED_VALUE"""),0.7054513888906513)</f>
        <v>0.7054513889</v>
      </c>
      <c r="D23285" s="4">
        <f>IFERROR(__xludf.DUMMYFUNCTION("""COMPUTED_VALUE"""),12.773204)</f>
        <v>12.773204</v>
      </c>
      <c r="E23285" s="4">
        <f>IFERROR(__xludf.DUMMYFUNCTION("""COMPUTED_VALUE"""),80.00881)</f>
        <v>80.00881</v>
      </c>
      <c r="F23285" s="4">
        <f>IFERROR(__xludf.DUMMYFUNCTION("""COMPUTED_VALUE"""),2846.0)</f>
        <v>2846</v>
      </c>
      <c r="G23285" s="4">
        <f>IFERROR(__xludf.DUMMYFUNCTION("""COMPUTED_VALUE"""),57.0)</f>
        <v>57</v>
      </c>
      <c r="H23285" s="4"/>
      <c r="I23285" s="4"/>
    </row>
    <row r="23286">
      <c r="A23286" s="4" t="str">
        <f>IFERROR(__xludf.DUMMYFUNCTION("""COMPUTED_VALUE"""),"cas_hmw")</f>
        <v>cas_hmw</v>
      </c>
      <c r="B23286" s="5">
        <f>IFERROR(__xludf.DUMMYFUNCTION("""COMPUTED_VALUE"""),44792.0)</f>
        <v>44792</v>
      </c>
      <c r="C23286" s="6">
        <f>IFERROR(__xludf.DUMMYFUNCTION("""COMPUTED_VALUE"""),0.705497685186856)</f>
        <v>0.7054976852</v>
      </c>
      <c r="D23286" s="4">
        <f>IFERROR(__xludf.DUMMYFUNCTION("""COMPUTED_VALUE"""),12.770561)</f>
        <v>12.770561</v>
      </c>
      <c r="E23286" s="4">
        <f>IFERROR(__xludf.DUMMYFUNCTION("""COMPUTED_VALUE"""),80.007596)</f>
        <v>80.007596</v>
      </c>
      <c r="F23286" s="4">
        <f>IFERROR(__xludf.DUMMYFUNCTION("""COMPUTED_VALUE"""),2846.0)</f>
        <v>2846</v>
      </c>
      <c r="G23286" s="4">
        <f>IFERROR(__xludf.DUMMYFUNCTION("""COMPUTED_VALUE"""),54.0)</f>
        <v>54</v>
      </c>
      <c r="H23286" s="4"/>
      <c r="I23286" s="4"/>
    </row>
    <row r="23287">
      <c r="A23287" s="4" t="str">
        <f>IFERROR(__xludf.DUMMYFUNCTION("""COMPUTED_VALUE"""),"cas_hmw")</f>
        <v>cas_hmw</v>
      </c>
      <c r="B23287" s="5">
        <f>IFERROR(__xludf.DUMMYFUNCTION("""COMPUTED_VALUE"""),44792.0)</f>
        <v>44792</v>
      </c>
      <c r="C23287" s="6">
        <f>IFERROR(__xludf.DUMMYFUNCTION("""COMPUTED_VALUE"""),0.7055555555562023)</f>
        <v>0.7055555556</v>
      </c>
      <c r="D23287" s="4">
        <f>IFERROR(__xludf.DUMMYFUNCTION("""COMPUTED_VALUE"""),12.961276)</f>
        <v>12.961276</v>
      </c>
      <c r="E23287" s="4">
        <f>IFERROR(__xludf.DUMMYFUNCTION("""COMPUTED_VALUE"""),80.145668)</f>
        <v>80.145668</v>
      </c>
      <c r="F23287" s="4">
        <f>IFERROR(__xludf.DUMMYFUNCTION("""COMPUTED_VALUE"""),5339.0)</f>
        <v>5339</v>
      </c>
      <c r="G23287" s="4">
        <f>IFERROR(__xludf.DUMMYFUNCTION("""COMPUTED_VALUE"""),41.0)</f>
        <v>41</v>
      </c>
      <c r="H23287" s="4"/>
      <c r="I23287" s="4"/>
    </row>
    <row r="23288">
      <c r="A23288" s="4" t="str">
        <f>IFERROR(__xludf.DUMMYFUNCTION("""COMPUTED_VALUE"""),"cas_hmw")</f>
        <v>cas_hmw</v>
      </c>
      <c r="B23288" s="5">
        <f>IFERROR(__xludf.DUMMYFUNCTION("""COMPUTED_VALUE"""),44792.0)</f>
        <v>44792</v>
      </c>
      <c r="C23288" s="6">
        <f>IFERROR(__xludf.DUMMYFUNCTION("""COMPUTED_VALUE"""),0.7057291666678793)</f>
        <v>0.7057291667</v>
      </c>
      <c r="D23288" s="4">
        <f>IFERROR(__xludf.DUMMYFUNCTION("""COMPUTED_VALUE"""),12.769372)</f>
        <v>12.769372</v>
      </c>
      <c r="E23288" s="4">
        <f>IFERROR(__xludf.DUMMYFUNCTION("""COMPUTED_VALUE"""),80.007046)</f>
        <v>80.007046</v>
      </c>
      <c r="F23288" s="4">
        <f>IFERROR(__xludf.DUMMYFUNCTION("""COMPUTED_VALUE"""),2846.0)</f>
        <v>2846</v>
      </c>
      <c r="G23288" s="4">
        <f>IFERROR(__xludf.DUMMYFUNCTION("""COMPUTED_VALUE"""),49.0)</f>
        <v>49</v>
      </c>
      <c r="H23288" s="4"/>
      <c r="I23288" s="4"/>
    </row>
    <row r="23289">
      <c r="A23289" s="4" t="str">
        <f>IFERROR(__xludf.DUMMYFUNCTION("""COMPUTED_VALUE"""),"cas_hmw")</f>
        <v>cas_hmw</v>
      </c>
      <c r="B23289" s="5">
        <f>IFERROR(__xludf.DUMMYFUNCTION("""COMPUTED_VALUE"""),44792.0)</f>
        <v>44792</v>
      </c>
      <c r="C23289" s="6">
        <f>IFERROR(__xludf.DUMMYFUNCTION("""COMPUTED_VALUE"""),0.705879629629635)</f>
        <v>0.7058796296</v>
      </c>
      <c r="D23289" s="4">
        <f>IFERROR(__xludf.DUMMYFUNCTION("""COMPUTED_VALUE"""),12.765686)</f>
        <v>12.765686</v>
      </c>
      <c r="E23289" s="4">
        <f>IFERROR(__xludf.DUMMYFUNCTION("""COMPUTED_VALUE"""),80.005311)</f>
        <v>80.005311</v>
      </c>
      <c r="F23289" s="4">
        <f>IFERROR(__xludf.DUMMYFUNCTION("""COMPUTED_VALUE"""),2846.0)</f>
        <v>2846</v>
      </c>
      <c r="G23289" s="4">
        <f>IFERROR(__xludf.DUMMYFUNCTION("""COMPUTED_VALUE"""),54.0)</f>
        <v>54</v>
      </c>
      <c r="H23289" s="4"/>
      <c r="I23289" s="4"/>
    </row>
    <row r="23290">
      <c r="A23290" s="4" t="str">
        <f>IFERROR(__xludf.DUMMYFUNCTION("""COMPUTED_VALUE"""),"cas_hmw")</f>
        <v>cas_hmw</v>
      </c>
      <c r="B23290" s="5">
        <f>IFERROR(__xludf.DUMMYFUNCTION("""COMPUTED_VALUE"""),44792.0)</f>
        <v>44792</v>
      </c>
      <c r="C23290" s="6">
        <f>IFERROR(__xludf.DUMMYFUNCTION("""COMPUTED_VALUE"""),0.706087962964375)</f>
        <v>0.706087963</v>
      </c>
      <c r="D23290" s="4">
        <f>IFERROR(__xludf.DUMMYFUNCTION("""COMPUTED_VALUE"""),12.764414)</f>
        <v>12.764414</v>
      </c>
      <c r="E23290" s="4">
        <f>IFERROR(__xludf.DUMMYFUNCTION("""COMPUTED_VALUE"""),80.004772)</f>
        <v>80.004772</v>
      </c>
      <c r="F23290" s="4">
        <f>IFERROR(__xludf.DUMMYFUNCTION("""COMPUTED_VALUE"""),2846.0)</f>
        <v>2846</v>
      </c>
      <c r="G23290" s="4">
        <f>IFERROR(__xludf.DUMMYFUNCTION("""COMPUTED_VALUE"""),53.0)</f>
        <v>53</v>
      </c>
      <c r="H23290" s="4"/>
      <c r="I23290" s="4"/>
    </row>
    <row r="23291">
      <c r="A23291" s="4" t="str">
        <f>IFERROR(__xludf.DUMMYFUNCTION("""COMPUTED_VALUE"""),"cas_hmw")</f>
        <v>cas_hmw</v>
      </c>
      <c r="B23291" s="5">
        <f>IFERROR(__xludf.DUMMYFUNCTION("""COMPUTED_VALUE"""),44792.0)</f>
        <v>44792</v>
      </c>
      <c r="C23291" s="6">
        <f>IFERROR(__xludf.DUMMYFUNCTION("""COMPUTED_VALUE"""),0.7061921296299261)</f>
        <v>0.7061921296</v>
      </c>
      <c r="D23291" s="4">
        <f>IFERROR(__xludf.DUMMYFUNCTION("""COMPUTED_VALUE"""),12.966474)</f>
        <v>12.966474</v>
      </c>
      <c r="E23291" s="4">
        <f>IFERROR(__xludf.DUMMYFUNCTION("""COMPUTED_VALUE"""),80.148642)</f>
        <v>80.148642</v>
      </c>
      <c r="F23291" s="4">
        <f>IFERROR(__xludf.DUMMYFUNCTION("""COMPUTED_VALUE"""),5339.0)</f>
        <v>5339</v>
      </c>
      <c r="G23291" s="4">
        <f>IFERROR(__xludf.DUMMYFUNCTION("""COMPUTED_VALUE"""),42.0)</f>
        <v>42</v>
      </c>
      <c r="H23291" s="4"/>
      <c r="I23291" s="4"/>
    </row>
    <row r="23292">
      <c r="A23292" s="4" t="str">
        <f>IFERROR(__xludf.DUMMYFUNCTION("""COMPUTED_VALUE"""),"cas_hmw")</f>
        <v>cas_hmw</v>
      </c>
      <c r="B23292" s="5">
        <f>IFERROR(__xludf.DUMMYFUNCTION("""COMPUTED_VALUE"""),44792.0)</f>
        <v>44792</v>
      </c>
      <c r="C23292" s="6">
        <f>IFERROR(__xludf.DUMMYFUNCTION("""COMPUTED_VALUE"""),0.7062268518529891)</f>
        <v>0.7062268519</v>
      </c>
      <c r="D23292" s="4">
        <f>IFERROR(__xludf.DUMMYFUNCTION("""COMPUTED_VALUE"""),12.966474)</f>
        <v>12.966474</v>
      </c>
      <c r="E23292" s="4">
        <f>IFERROR(__xludf.DUMMYFUNCTION("""COMPUTED_VALUE"""),80.148642)</f>
        <v>80.148642</v>
      </c>
      <c r="F23292" s="4">
        <f>IFERROR(__xludf.DUMMYFUNCTION("""COMPUTED_VALUE"""),5339.0)</f>
        <v>5339</v>
      </c>
      <c r="G23292" s="4">
        <f>IFERROR(__xludf.DUMMYFUNCTION("""COMPUTED_VALUE"""),42.0)</f>
        <v>42</v>
      </c>
      <c r="H23292" s="4"/>
      <c r="I23292" s="4"/>
    </row>
    <row r="23293">
      <c r="A23293" s="4" t="str">
        <f>IFERROR(__xludf.DUMMYFUNCTION("""COMPUTED_VALUE"""),"cas_hmw")</f>
        <v>cas_hmw</v>
      </c>
      <c r="B23293" s="5">
        <f>IFERROR(__xludf.DUMMYFUNCTION("""COMPUTED_VALUE"""),44792.0)</f>
        <v>44792</v>
      </c>
      <c r="C23293" s="6">
        <f>IFERROR(__xludf.DUMMYFUNCTION("""COMPUTED_VALUE"""),0.7064004629646661)</f>
        <v>0.706400463</v>
      </c>
      <c r="D23293" s="4">
        <f>IFERROR(__xludf.DUMMYFUNCTION("""COMPUTED_VALUE"""),12.967374)</f>
        <v>12.967374</v>
      </c>
      <c r="E23293" s="4">
        <f>IFERROR(__xludf.DUMMYFUNCTION("""COMPUTED_VALUE"""),80.149078)</f>
        <v>80.149078</v>
      </c>
      <c r="F23293" s="4">
        <f>IFERROR(__xludf.DUMMYFUNCTION("""COMPUTED_VALUE"""),5339.0)</f>
        <v>5339</v>
      </c>
      <c r="G23293" s="4">
        <f>IFERROR(__xludf.DUMMYFUNCTION("""COMPUTED_VALUE"""),42.0)</f>
        <v>42</v>
      </c>
      <c r="H23293" s="4"/>
      <c r="I23293" s="4"/>
    </row>
    <row r="23294">
      <c r="A23294" s="4" t="str">
        <f>IFERROR(__xludf.DUMMYFUNCTION("""COMPUTED_VALUE"""),"cas_hmw")</f>
        <v>cas_hmw</v>
      </c>
      <c r="B23294" s="5">
        <f>IFERROR(__xludf.DUMMYFUNCTION("""COMPUTED_VALUE"""),44792.0)</f>
        <v>44792</v>
      </c>
      <c r="C23294" s="6">
        <f>IFERROR(__xludf.DUMMYFUNCTION("""COMPUTED_VALUE"""),0.7065162037033588)</f>
        <v>0.7065162037</v>
      </c>
      <c r="D23294" s="4">
        <f>IFERROR(__xludf.DUMMYFUNCTION("""COMPUTED_VALUE"""),12.968514)</f>
        <v>12.968514</v>
      </c>
      <c r="E23294" s="4">
        <f>IFERROR(__xludf.DUMMYFUNCTION("""COMPUTED_VALUE"""),80.14961)</f>
        <v>80.14961</v>
      </c>
      <c r="F23294" s="4">
        <f>IFERROR(__xludf.DUMMYFUNCTION("""COMPUTED_VALUE"""),5339.0)</f>
        <v>5339</v>
      </c>
      <c r="G23294" s="4">
        <f>IFERROR(__xludf.DUMMYFUNCTION("""COMPUTED_VALUE"""),50.0)</f>
        <v>50</v>
      </c>
      <c r="H23294" s="4"/>
      <c r="I23294" s="4"/>
    </row>
    <row r="23295">
      <c r="A23295" s="4" t="str">
        <f>IFERROR(__xludf.DUMMYFUNCTION("""COMPUTED_VALUE"""),"cas_hmw")</f>
        <v>cas_hmw</v>
      </c>
      <c r="B23295" s="5">
        <f>IFERROR(__xludf.DUMMYFUNCTION("""COMPUTED_VALUE"""),44792.0)</f>
        <v>44792</v>
      </c>
      <c r="C23295" s="6">
        <f>IFERROR(__xludf.DUMMYFUNCTION("""COMPUTED_VALUE"""),0.7065740740727051)</f>
        <v>0.7065740741</v>
      </c>
      <c r="D23295" s="4">
        <f>IFERROR(__xludf.DUMMYFUNCTION("""COMPUTED_VALUE"""),12.923688)</f>
        <v>12.923688</v>
      </c>
      <c r="E23295" s="4">
        <f>IFERROR(__xludf.DUMMYFUNCTION("""COMPUTED_VALUE"""),80.156516)</f>
        <v>80.156516</v>
      </c>
      <c r="F23295" s="4">
        <f>IFERROR(__xludf.DUMMYFUNCTION("""COMPUTED_VALUE"""),3143.0)</f>
        <v>3143</v>
      </c>
      <c r="G23295" s="4">
        <f>IFERROR(__xludf.DUMMYFUNCTION("""COMPUTED_VALUE"""),46.0)</f>
        <v>46</v>
      </c>
      <c r="H23295" s="4"/>
      <c r="I23295" s="4"/>
    </row>
    <row r="23296">
      <c r="A23296" s="4" t="str">
        <f>IFERROR(__xludf.DUMMYFUNCTION("""COMPUTED_VALUE"""),"cas_hmw")</f>
        <v>cas_hmw</v>
      </c>
      <c r="B23296" s="5">
        <f>IFERROR(__xludf.DUMMYFUNCTION("""COMPUTED_VALUE"""),44792.0)</f>
        <v>44792</v>
      </c>
      <c r="C23296" s="6">
        <f>IFERROR(__xludf.DUMMYFUNCTION("""COMPUTED_VALUE"""),0.7068171296305081)</f>
        <v>0.7068171296</v>
      </c>
      <c r="D23296" s="4">
        <f>IFERROR(__xludf.DUMMYFUNCTION("""COMPUTED_VALUE"""),12.971875)</f>
        <v>12.971875</v>
      </c>
      <c r="E23296" s="4">
        <f>IFERROR(__xludf.DUMMYFUNCTION("""COMPUTED_VALUE"""),80.151244)</f>
        <v>80.151244</v>
      </c>
      <c r="F23296" s="4">
        <f>IFERROR(__xludf.DUMMYFUNCTION("""COMPUTED_VALUE"""),5339.0)</f>
        <v>5339</v>
      </c>
      <c r="G23296" s="4">
        <f>IFERROR(__xludf.DUMMYFUNCTION("""COMPUTED_VALUE"""),54.0)</f>
        <v>54</v>
      </c>
      <c r="H23296" s="4"/>
      <c r="I23296" s="4"/>
    </row>
    <row r="23297">
      <c r="A23297" s="4" t="str">
        <f>IFERROR(__xludf.DUMMYFUNCTION("""COMPUTED_VALUE"""),"cas_hmw")</f>
        <v>cas_hmw</v>
      </c>
      <c r="B23297" s="5">
        <f>IFERROR(__xludf.DUMMYFUNCTION("""COMPUTED_VALUE"""),44792.0)</f>
        <v>44792</v>
      </c>
      <c r="C23297" s="6">
        <f>IFERROR(__xludf.DUMMYFUNCTION("""COMPUTED_VALUE"""),0.7068171296305081)</f>
        <v>0.7068171296</v>
      </c>
      <c r="D23297" s="4">
        <f>IFERROR(__xludf.DUMMYFUNCTION("""COMPUTED_VALUE"""),12.92348)</f>
        <v>12.92348</v>
      </c>
      <c r="E23297" s="4">
        <f>IFERROR(__xludf.DUMMYFUNCTION("""COMPUTED_VALUE"""),80.15888)</f>
        <v>80.15888</v>
      </c>
      <c r="F23297" s="4">
        <f>IFERROR(__xludf.DUMMYFUNCTION("""COMPUTED_VALUE"""),3143.0)</f>
        <v>3143</v>
      </c>
      <c r="G23297" s="4">
        <f>IFERROR(__xludf.DUMMYFUNCTION("""COMPUTED_VALUE"""),44.0)</f>
        <v>44</v>
      </c>
      <c r="H23297" s="4"/>
      <c r="I23297" s="4"/>
    </row>
    <row r="23298">
      <c r="A23298" s="4" t="str">
        <f>IFERROR(__xludf.DUMMYFUNCTION("""COMPUTED_VALUE"""),"cas_hmw")</f>
        <v>cas_hmw</v>
      </c>
      <c r="B23298" s="5">
        <f>IFERROR(__xludf.DUMMYFUNCTION("""COMPUTED_VALUE"""),44792.0)</f>
        <v>44792</v>
      </c>
      <c r="C23298" s="6">
        <f>IFERROR(__xludf.DUMMYFUNCTION("""COMPUTED_VALUE"""),0.7068981481497758)</f>
        <v>0.7068981481</v>
      </c>
      <c r="D23298" s="4">
        <f>IFERROR(__xludf.DUMMYFUNCTION("""COMPUTED_VALUE"""),12.972776)</f>
        <v>12.972776</v>
      </c>
      <c r="E23298" s="4">
        <f>IFERROR(__xludf.DUMMYFUNCTION("""COMPUTED_VALUE"""),80.152209)</f>
        <v>80.152209</v>
      </c>
      <c r="F23298" s="4">
        <f>IFERROR(__xludf.DUMMYFUNCTION("""COMPUTED_VALUE"""),5339.0)</f>
        <v>5339</v>
      </c>
      <c r="G23298" s="4">
        <f>IFERROR(__xludf.DUMMYFUNCTION("""COMPUTED_VALUE"""),52.0)</f>
        <v>52</v>
      </c>
      <c r="H23298" s="4"/>
      <c r="I23298" s="4"/>
    </row>
    <row r="23299">
      <c r="A23299" s="4" t="str">
        <f>IFERROR(__xludf.DUMMYFUNCTION("""COMPUTED_VALUE"""),"cas_hmw")</f>
        <v>cas_hmw</v>
      </c>
      <c r="B23299" s="5">
        <f>IFERROR(__xludf.DUMMYFUNCTION("""COMPUTED_VALUE"""),44792.0)</f>
        <v>44792</v>
      </c>
      <c r="C23299" s="6">
        <f>IFERROR(__xludf.DUMMYFUNCTION("""COMPUTED_VALUE"""),0.7070370370383898)</f>
        <v>0.707037037</v>
      </c>
      <c r="D23299" s="4">
        <f>IFERROR(__xludf.DUMMYFUNCTION("""COMPUTED_VALUE"""),12.973476)</f>
        <v>12.973476</v>
      </c>
      <c r="E23299" s="4">
        <f>IFERROR(__xludf.DUMMYFUNCTION("""COMPUTED_VALUE"""),80.153279)</f>
        <v>80.153279</v>
      </c>
      <c r="F23299" s="4">
        <f>IFERROR(__xludf.DUMMYFUNCTION("""COMPUTED_VALUE"""),5339.0)</f>
        <v>5339</v>
      </c>
      <c r="G23299" s="4">
        <f>IFERROR(__xludf.DUMMYFUNCTION("""COMPUTED_VALUE"""),48.0)</f>
        <v>48</v>
      </c>
      <c r="H23299" s="4"/>
      <c r="I23299" s="4"/>
    </row>
    <row r="23300">
      <c r="A23300" s="4" t="str">
        <f>IFERROR(__xludf.DUMMYFUNCTION("""COMPUTED_VALUE"""),"cas_hmw")</f>
        <v>cas_hmw</v>
      </c>
      <c r="B23300" s="5">
        <f>IFERROR(__xludf.DUMMYFUNCTION("""COMPUTED_VALUE"""),44792.0)</f>
        <v>44792</v>
      </c>
      <c r="C23300" s="6">
        <f>IFERROR(__xludf.DUMMYFUNCTION("""COMPUTED_VALUE"""),0.7071990740732872)</f>
        <v>0.7071990741</v>
      </c>
      <c r="D23300" s="4">
        <f>IFERROR(__xludf.DUMMYFUNCTION("""COMPUTED_VALUE"""),12.974101)</f>
        <v>12.974101</v>
      </c>
      <c r="E23300" s="4">
        <f>IFERROR(__xludf.DUMMYFUNCTION("""COMPUTED_VALUE"""),80.154236)</f>
        <v>80.154236</v>
      </c>
      <c r="F23300" s="4">
        <f>IFERROR(__xludf.DUMMYFUNCTION("""COMPUTED_VALUE"""),5339.0)</f>
        <v>5339</v>
      </c>
      <c r="G23300" s="4">
        <f>IFERROR(__xludf.DUMMYFUNCTION("""COMPUTED_VALUE"""),42.0)</f>
        <v>42</v>
      </c>
      <c r="H23300" s="4"/>
      <c r="I23300" s="4"/>
    </row>
    <row r="23301">
      <c r="A23301" s="4" t="str">
        <f>IFERROR(__xludf.DUMMYFUNCTION("""COMPUTED_VALUE"""),"cas_hmw")</f>
        <v>cas_hmw</v>
      </c>
      <c r="B23301" s="5">
        <f>IFERROR(__xludf.DUMMYFUNCTION("""COMPUTED_VALUE"""),44792.0)</f>
        <v>44792</v>
      </c>
      <c r="C23301" s="6">
        <f>IFERROR(__xludf.DUMMYFUNCTION("""COMPUTED_VALUE"""),0.7077430555546016)</f>
        <v>0.7077430556</v>
      </c>
      <c r="D23301" s="4">
        <f>IFERROR(__xludf.DUMMYFUNCTION("""COMPUTED_VALUE"""),12.97764)</f>
        <v>12.97764</v>
      </c>
      <c r="E23301" s="4">
        <f>IFERROR(__xludf.DUMMYFUNCTION("""COMPUTED_VALUE"""),80.159422)</f>
        <v>80.159422</v>
      </c>
      <c r="F23301" s="4">
        <f>IFERROR(__xludf.DUMMYFUNCTION("""COMPUTED_VALUE"""),5339.0)</f>
        <v>5339</v>
      </c>
      <c r="G23301" s="4">
        <f>IFERROR(__xludf.DUMMYFUNCTION("""COMPUTED_VALUE"""),55.0)</f>
        <v>55</v>
      </c>
      <c r="H23301" s="4"/>
      <c r="I23301" s="4"/>
    </row>
    <row r="23302">
      <c r="A23302" s="4" t="str">
        <f>IFERROR(__xludf.DUMMYFUNCTION("""COMPUTED_VALUE"""),"cas_hmw")</f>
        <v>cas_hmw</v>
      </c>
      <c r="B23302" s="5">
        <f>IFERROR(__xludf.DUMMYFUNCTION("""COMPUTED_VALUE"""),44792.0)</f>
        <v>44792</v>
      </c>
      <c r="C23302" s="6">
        <f>IFERROR(__xludf.DUMMYFUNCTION("""COMPUTED_VALUE"""),0.7082407407397113)</f>
        <v>0.7082407407</v>
      </c>
      <c r="D23302" s="4">
        <f>IFERROR(__xludf.DUMMYFUNCTION("""COMPUTED_VALUE"""),12.980202)</f>
        <v>12.980202</v>
      </c>
      <c r="E23302" s="4">
        <f>IFERROR(__xludf.DUMMYFUNCTION("""COMPUTED_VALUE"""),80.163698)</f>
        <v>80.163698</v>
      </c>
      <c r="F23302" s="4">
        <f>IFERROR(__xludf.DUMMYFUNCTION("""COMPUTED_VALUE"""),5339.0)</f>
        <v>5339</v>
      </c>
      <c r="G23302" s="4">
        <f>IFERROR(__xludf.DUMMYFUNCTION("""COMPUTED_VALUE"""),47.0)</f>
        <v>47</v>
      </c>
      <c r="H23302" s="4"/>
      <c r="I23302" s="4"/>
    </row>
    <row r="23303">
      <c r="A23303" s="4" t="str">
        <f>IFERROR(__xludf.DUMMYFUNCTION("""COMPUTED_VALUE"""),"cas_hmw")</f>
        <v>cas_hmw</v>
      </c>
      <c r="B23303" s="5">
        <f>IFERROR(__xludf.DUMMYFUNCTION("""COMPUTED_VALUE"""),44792.0)</f>
        <v>44792</v>
      </c>
      <c r="C23303" s="6">
        <f>IFERROR(__xludf.DUMMYFUNCTION("""COMPUTED_VALUE"""),0.7084143518513883)</f>
        <v>0.7084143519</v>
      </c>
      <c r="D23303" s="4">
        <f>IFERROR(__xludf.DUMMYFUNCTION("""COMPUTED_VALUE"""),12.919835)</f>
        <v>12.919835</v>
      </c>
      <c r="E23303" s="4">
        <f>IFERROR(__xludf.DUMMYFUNCTION("""COMPUTED_VALUE"""),80.171288)</f>
        <v>80.171288</v>
      </c>
      <c r="F23303" s="4">
        <f>IFERROR(__xludf.DUMMYFUNCTION("""COMPUTED_VALUE"""),3143.0)</f>
        <v>3143</v>
      </c>
      <c r="G23303" s="4">
        <f>IFERROR(__xludf.DUMMYFUNCTION("""COMPUTED_VALUE"""),32.0)</f>
        <v>32</v>
      </c>
      <c r="H23303" s="4"/>
      <c r="I23303" s="4"/>
    </row>
    <row r="23304">
      <c r="A23304" s="4" t="str">
        <f>IFERROR(__xludf.DUMMYFUNCTION("""COMPUTED_VALUE"""),"cas_hmw")</f>
        <v>cas_hmw</v>
      </c>
      <c r="B23304" s="5">
        <f>IFERROR(__xludf.DUMMYFUNCTION("""COMPUTED_VALUE"""),44792.0)</f>
        <v>44792</v>
      </c>
      <c r="C23304" s="6">
        <f>IFERROR(__xludf.DUMMYFUNCTION("""COMPUTED_VALUE"""),0.7093055555560568)</f>
        <v>0.7093055556</v>
      </c>
      <c r="D23304" s="4">
        <f>IFERROR(__xludf.DUMMYFUNCTION("""COMPUTED_VALUE"""),12.986111)</f>
        <v>12.986111</v>
      </c>
      <c r="E23304" s="4">
        <f>IFERROR(__xludf.DUMMYFUNCTION("""COMPUTED_VALUE"""),80.174177)</f>
        <v>80.174177</v>
      </c>
      <c r="F23304" s="4">
        <f>IFERROR(__xludf.DUMMYFUNCTION("""COMPUTED_VALUE"""),5339.0)</f>
        <v>5339</v>
      </c>
      <c r="G23304" s="4">
        <f>IFERROR(__xludf.DUMMYFUNCTION("""COMPUTED_VALUE"""),24.0)</f>
        <v>24</v>
      </c>
      <c r="H23304" s="4"/>
      <c r="I23304" s="4"/>
    </row>
    <row r="23305">
      <c r="A23305" s="4" t="str">
        <f>IFERROR(__xludf.DUMMYFUNCTION("""COMPUTED_VALUE"""),"cas_hmw")</f>
        <v>cas_hmw</v>
      </c>
      <c r="B23305" s="5">
        <f>IFERROR(__xludf.DUMMYFUNCTION("""COMPUTED_VALUE"""),44792.0)</f>
        <v>44792</v>
      </c>
      <c r="C23305" s="6">
        <f>IFERROR(__xludf.DUMMYFUNCTION("""COMPUTED_VALUE"""),0.7093865740753245)</f>
        <v>0.7093865741</v>
      </c>
      <c r="D23305" s="4">
        <f>IFERROR(__xludf.DUMMYFUNCTION("""COMPUTED_VALUE"""),12.986576)</f>
        <v>12.986576</v>
      </c>
      <c r="E23305" s="4">
        <f>IFERROR(__xludf.DUMMYFUNCTION("""COMPUTED_VALUE"""),80.174871)</f>
        <v>80.174871</v>
      </c>
      <c r="F23305" s="4">
        <f>IFERROR(__xludf.DUMMYFUNCTION("""COMPUTED_VALUE"""),5339.0)</f>
        <v>5339</v>
      </c>
      <c r="G23305" s="4">
        <f>IFERROR(__xludf.DUMMYFUNCTION("""COMPUTED_VALUE"""),38.0)</f>
        <v>38</v>
      </c>
      <c r="H23305" s="4"/>
      <c r="I23305" s="4"/>
    </row>
    <row r="23306">
      <c r="A23306" s="4" t="str">
        <f>IFERROR(__xludf.DUMMYFUNCTION("""COMPUTED_VALUE"""),"cas_hmw")</f>
        <v>cas_hmw</v>
      </c>
      <c r="B23306" s="5">
        <f>IFERROR(__xludf.DUMMYFUNCTION("""COMPUTED_VALUE"""),44792.0)</f>
        <v>44792</v>
      </c>
      <c r="C23306" s="6">
        <f>IFERROR(__xludf.DUMMYFUNCTION("""COMPUTED_VALUE"""),0.7096180555563478)</f>
        <v>0.7096180556</v>
      </c>
      <c r="D23306" s="4">
        <f>IFERROR(__xludf.DUMMYFUNCTION("""COMPUTED_VALUE"""),12.74824)</f>
        <v>12.74824</v>
      </c>
      <c r="E23306" s="4">
        <f>IFERROR(__xludf.DUMMYFUNCTION("""COMPUTED_VALUE"""),79.996617)</f>
        <v>79.996617</v>
      </c>
      <c r="F23306" s="4">
        <f>IFERROR(__xludf.DUMMYFUNCTION("""COMPUTED_VALUE"""),2846.0)</f>
        <v>2846</v>
      </c>
      <c r="G23306" s="4">
        <f>IFERROR(__xludf.DUMMYFUNCTION("""COMPUTED_VALUE"""),58.0)</f>
        <v>58</v>
      </c>
      <c r="H23306" s="4"/>
      <c r="I23306" s="4"/>
    </row>
    <row r="23307">
      <c r="A23307" s="4" t="str">
        <f>IFERROR(__xludf.DUMMYFUNCTION("""COMPUTED_VALUE"""),"cas_hmw")</f>
        <v>cas_hmw</v>
      </c>
      <c r="B23307" s="5">
        <f>IFERROR(__xludf.DUMMYFUNCTION("""COMPUTED_VALUE"""),44792.0)</f>
        <v>44792</v>
      </c>
      <c r="C23307" s="6">
        <f>IFERROR(__xludf.DUMMYFUNCTION("""COMPUTED_VALUE"""),0.7106134259265673)</f>
        <v>0.7106134259</v>
      </c>
      <c r="D23307" s="4">
        <f>IFERROR(__xludf.DUMMYFUNCTION("""COMPUTED_VALUE"""),12.992368)</f>
        <v>12.992368</v>
      </c>
      <c r="E23307" s="4">
        <f>IFERROR(__xludf.DUMMYFUNCTION("""COMPUTED_VALUE"""),80.182565)</f>
        <v>80.182565</v>
      </c>
      <c r="F23307" s="4">
        <f>IFERROR(__xludf.DUMMYFUNCTION("""COMPUTED_VALUE"""),5339.0)</f>
        <v>5339</v>
      </c>
      <c r="G23307" s="4">
        <f>IFERROR(__xludf.DUMMYFUNCTION("""COMPUTED_VALUE"""),45.0)</f>
        <v>45</v>
      </c>
      <c r="H23307" s="4"/>
      <c r="I23307" s="4"/>
    </row>
    <row r="23308">
      <c r="A23308" s="4" t="str">
        <f>IFERROR(__xludf.DUMMYFUNCTION("""COMPUTED_VALUE"""),"cas_hmw")</f>
        <v>cas_hmw</v>
      </c>
      <c r="B23308" s="5">
        <f>IFERROR(__xludf.DUMMYFUNCTION("""COMPUTED_VALUE"""),44792.0)</f>
        <v>44792</v>
      </c>
      <c r="C23308" s="6">
        <f>IFERROR(__xludf.DUMMYFUNCTION("""COMPUTED_VALUE"""),0.7119675925932825)</f>
        <v>0.7119675926</v>
      </c>
      <c r="D23308" s="4">
        <f>IFERROR(__xludf.DUMMYFUNCTION("""COMPUTED_VALUE"""),12.99592)</f>
        <v>12.99592</v>
      </c>
      <c r="E23308" s="4">
        <f>IFERROR(__xludf.DUMMYFUNCTION("""COMPUTED_VALUE"""),80.189084)</f>
        <v>80.189084</v>
      </c>
      <c r="F23308" s="4">
        <f>IFERROR(__xludf.DUMMYFUNCTION("""COMPUTED_VALUE"""),5339.0)</f>
        <v>5339</v>
      </c>
      <c r="G23308" s="4">
        <f>IFERROR(__xludf.DUMMYFUNCTION("""COMPUTED_VALUE"""),23.0)</f>
        <v>23</v>
      </c>
      <c r="H23308" s="4"/>
      <c r="I23308" s="4"/>
    </row>
    <row r="23309">
      <c r="A23309" s="4" t="str">
        <f>IFERROR(__xludf.DUMMYFUNCTION("""COMPUTED_VALUE"""),"cas_hmw")</f>
        <v>cas_hmw</v>
      </c>
      <c r="B23309" s="5">
        <f>IFERROR(__xludf.DUMMYFUNCTION("""COMPUTED_VALUE"""),44792.0)</f>
        <v>44792</v>
      </c>
      <c r="C23309" s="6">
        <f>IFERROR(__xludf.DUMMYFUNCTION("""COMPUTED_VALUE"""),0.7121412037049595)</f>
        <v>0.7121412037</v>
      </c>
      <c r="D23309" s="4">
        <f>IFERROR(__xludf.DUMMYFUNCTION("""COMPUTED_VALUE"""),12.996936)</f>
        <v>12.996936</v>
      </c>
      <c r="E23309" s="4">
        <f>IFERROR(__xludf.DUMMYFUNCTION("""COMPUTED_VALUE"""),80.190254)</f>
        <v>80.190254</v>
      </c>
      <c r="F23309" s="4">
        <f>IFERROR(__xludf.DUMMYFUNCTION("""COMPUTED_VALUE"""),5339.0)</f>
        <v>5339</v>
      </c>
      <c r="G23309" s="4">
        <f>IFERROR(__xludf.DUMMYFUNCTION("""COMPUTED_VALUE"""),32.0)</f>
        <v>32</v>
      </c>
      <c r="H23309" s="4"/>
      <c r="I23309" s="4"/>
    </row>
    <row r="23310">
      <c r="A23310" s="4" t="str">
        <f>IFERROR(__xludf.DUMMYFUNCTION("""COMPUTED_VALUE"""),"cas_hmw")</f>
        <v>cas_hmw</v>
      </c>
      <c r="B23310" s="5">
        <f>IFERROR(__xludf.DUMMYFUNCTION("""COMPUTED_VALUE"""),44792.0)</f>
        <v>44792</v>
      </c>
      <c r="C23310" s="6">
        <f>IFERROR(__xludf.DUMMYFUNCTION("""COMPUTED_VALUE"""),0.7122337962973688)</f>
        <v>0.7122337963</v>
      </c>
      <c r="D23310" s="4">
        <f>IFERROR(__xludf.DUMMYFUNCTION("""COMPUTED_VALUE"""),12.72611)</f>
        <v>12.72611</v>
      </c>
      <c r="E23310" s="4">
        <f>IFERROR(__xludf.DUMMYFUNCTION("""COMPUTED_VALUE"""),79.982487)</f>
        <v>79.982487</v>
      </c>
      <c r="F23310" s="4">
        <f>IFERROR(__xludf.DUMMYFUNCTION("""COMPUTED_VALUE"""),2846.0)</f>
        <v>2846</v>
      </c>
      <c r="G23310" s="4">
        <f>IFERROR(__xludf.DUMMYFUNCTION("""COMPUTED_VALUE"""),54.0)</f>
        <v>54</v>
      </c>
      <c r="H23310" s="4"/>
      <c r="I23310" s="4"/>
    </row>
    <row r="23311">
      <c r="A23311" s="4" t="str">
        <f>IFERROR(__xludf.DUMMYFUNCTION("""COMPUTED_VALUE"""),"cas_hmw")</f>
        <v>cas_hmw</v>
      </c>
      <c r="B23311" s="5">
        <f>IFERROR(__xludf.DUMMYFUNCTION("""COMPUTED_VALUE"""),44792.0)</f>
        <v>44792</v>
      </c>
      <c r="C23311" s="6">
        <f>IFERROR(__xludf.DUMMYFUNCTION("""COMPUTED_VALUE"""),0.7124652777783922)</f>
        <v>0.7124652778</v>
      </c>
      <c r="D23311" s="4">
        <f>IFERROR(__xludf.DUMMYFUNCTION("""COMPUTED_VALUE"""),12.99851)</f>
        <v>12.99851</v>
      </c>
      <c r="E23311" s="4">
        <f>IFERROR(__xludf.DUMMYFUNCTION("""COMPUTED_VALUE"""),80.192233)</f>
        <v>80.192233</v>
      </c>
      <c r="F23311" s="4">
        <f>IFERROR(__xludf.DUMMYFUNCTION("""COMPUTED_VALUE"""),5339.0)</f>
        <v>5339</v>
      </c>
      <c r="G23311" s="4">
        <f>IFERROR(__xludf.DUMMYFUNCTION("""COMPUTED_VALUE"""),28.0)</f>
        <v>28</v>
      </c>
      <c r="H23311" s="4"/>
      <c r="I23311" s="4"/>
    </row>
    <row r="23312">
      <c r="A23312" s="4" t="str">
        <f>IFERROR(__xludf.DUMMYFUNCTION("""COMPUTED_VALUE"""),"cas_hmw")</f>
        <v>cas_hmw</v>
      </c>
      <c r="B23312" s="5">
        <f>IFERROR(__xludf.DUMMYFUNCTION("""COMPUTED_VALUE"""),44792.0)</f>
        <v>44792</v>
      </c>
      <c r="C23312" s="6">
        <f>IFERROR(__xludf.DUMMYFUNCTION("""COMPUTED_VALUE"""),0.7128703703710926)</f>
        <v>0.7128703704</v>
      </c>
      <c r="D23312" s="4">
        <f>IFERROR(__xludf.DUMMYFUNCTION("""COMPUTED_VALUE"""),13.000344)</f>
        <v>13.000344</v>
      </c>
      <c r="E23312" s="4">
        <f>IFERROR(__xludf.DUMMYFUNCTION("""COMPUTED_VALUE"""),80.194455)</f>
        <v>80.194455</v>
      </c>
      <c r="F23312" s="4">
        <f>IFERROR(__xludf.DUMMYFUNCTION("""COMPUTED_VALUE"""),5339.0)</f>
        <v>5339</v>
      </c>
      <c r="G23312" s="4">
        <f>IFERROR(__xludf.DUMMYFUNCTION("""COMPUTED_VALUE"""),48.0)</f>
        <v>48</v>
      </c>
      <c r="H23312" s="4"/>
      <c r="I23312" s="4"/>
    </row>
    <row r="23313">
      <c r="A23313" s="4" t="str">
        <f>IFERROR(__xludf.DUMMYFUNCTION("""COMPUTED_VALUE"""),"cas_hmw")</f>
        <v>cas_hmw</v>
      </c>
      <c r="B23313" s="5">
        <f>IFERROR(__xludf.DUMMYFUNCTION("""COMPUTED_VALUE"""),44792.0)</f>
        <v>44792</v>
      </c>
      <c r="C23313" s="6">
        <f>IFERROR(__xludf.DUMMYFUNCTION("""COMPUTED_VALUE"""),0.7138541666681704)</f>
        <v>0.7138541667</v>
      </c>
      <c r="D23313" s="4">
        <f>IFERROR(__xludf.DUMMYFUNCTION("""COMPUTED_VALUE"""),13.002253)</f>
        <v>13.002253</v>
      </c>
      <c r="E23313" s="4">
        <f>IFERROR(__xludf.DUMMYFUNCTION("""COMPUTED_VALUE"""),80.200344)</f>
        <v>80.200344</v>
      </c>
      <c r="F23313" s="4">
        <f>IFERROR(__xludf.DUMMYFUNCTION("""COMPUTED_VALUE"""),5339.0)</f>
        <v>5339</v>
      </c>
      <c r="G23313" s="4">
        <f>IFERROR(__xludf.DUMMYFUNCTION("""COMPUTED_VALUE"""),49.0)</f>
        <v>49</v>
      </c>
      <c r="H23313" s="4"/>
      <c r="I23313" s="4"/>
    </row>
    <row r="23314">
      <c r="A23314" s="4" t="str">
        <f>IFERROR(__xludf.DUMMYFUNCTION("""COMPUTED_VALUE"""),"cas_hmw")</f>
        <v>cas_hmw</v>
      </c>
      <c r="B23314" s="5">
        <f>IFERROR(__xludf.DUMMYFUNCTION("""COMPUTED_VALUE"""),44792.0)</f>
        <v>44792</v>
      </c>
      <c r="C23314" s="6">
        <f>IFERROR(__xludf.DUMMYFUNCTION("""COMPUTED_VALUE"""),0.7141898148147448)</f>
        <v>0.7141898148</v>
      </c>
      <c r="D23314" s="4">
        <f>IFERROR(__xludf.DUMMYFUNCTION("""COMPUTED_VALUE"""),13.0057)</f>
        <v>13.0057</v>
      </c>
      <c r="E23314" s="4">
        <f>IFERROR(__xludf.DUMMYFUNCTION("""COMPUTED_VALUE"""),80.201972)</f>
        <v>80.201972</v>
      </c>
      <c r="F23314" s="4">
        <f>IFERROR(__xludf.DUMMYFUNCTION("""COMPUTED_VALUE"""),5339.0)</f>
        <v>5339</v>
      </c>
      <c r="G23314" s="4">
        <f>IFERROR(__xludf.DUMMYFUNCTION("""COMPUTED_VALUE"""),52.0)</f>
        <v>52</v>
      </c>
      <c r="H23314" s="4"/>
      <c r="I23314" s="4"/>
    </row>
    <row r="23315">
      <c r="A23315" s="4" t="str">
        <f>IFERROR(__xludf.DUMMYFUNCTION("""COMPUTED_VALUE"""),"cas_hmw")</f>
        <v>cas_hmw</v>
      </c>
      <c r="B23315" s="5">
        <f>IFERROR(__xludf.DUMMYFUNCTION("""COMPUTED_VALUE"""),44792.0)</f>
        <v>44792</v>
      </c>
      <c r="C23315" s="6">
        <f>IFERROR(__xludf.DUMMYFUNCTION("""COMPUTED_VALUE"""),0.7142708333340124)</f>
        <v>0.7142708333</v>
      </c>
      <c r="D23315" s="4">
        <f>IFERROR(__xludf.DUMMYFUNCTION("""COMPUTED_VALUE"""),13.0057)</f>
        <v>13.0057</v>
      </c>
      <c r="E23315" s="4">
        <f>IFERROR(__xludf.DUMMYFUNCTION("""COMPUTED_VALUE"""),80.201972)</f>
        <v>80.201972</v>
      </c>
      <c r="F23315" s="4">
        <f>IFERROR(__xludf.DUMMYFUNCTION("""COMPUTED_VALUE"""),5339.0)</f>
        <v>5339</v>
      </c>
      <c r="G23315" s="4">
        <f>IFERROR(__xludf.DUMMYFUNCTION("""COMPUTED_VALUE"""),52.0)</f>
        <v>52</v>
      </c>
      <c r="H23315" s="4"/>
      <c r="I23315" s="4"/>
    </row>
    <row r="23316">
      <c r="A23316" s="4" t="str">
        <f>IFERROR(__xludf.DUMMYFUNCTION("""COMPUTED_VALUE"""),"cas_hmw")</f>
        <v>cas_hmw</v>
      </c>
      <c r="B23316" s="5">
        <f>IFERROR(__xludf.DUMMYFUNCTION("""COMPUTED_VALUE"""),44792.0)</f>
        <v>44792</v>
      </c>
      <c r="C23316" s="6">
        <f>IFERROR(__xludf.DUMMYFUNCTION("""COMPUTED_VALUE"""),0.7145717592575238)</f>
        <v>0.7145717593</v>
      </c>
      <c r="D23316" s="4">
        <f>IFERROR(__xludf.DUMMYFUNCTION("""COMPUTED_VALUE"""),13.007385)</f>
        <v>13.007385</v>
      </c>
      <c r="E23316" s="4">
        <f>IFERROR(__xludf.DUMMYFUNCTION("""COMPUTED_VALUE"""),80.203617)</f>
        <v>80.203617</v>
      </c>
      <c r="F23316" s="4">
        <f>IFERROR(__xludf.DUMMYFUNCTION("""COMPUTED_VALUE"""),5339.0)</f>
        <v>5339</v>
      </c>
      <c r="G23316" s="4">
        <f>IFERROR(__xludf.DUMMYFUNCTION("""COMPUTED_VALUE"""),33.0)</f>
        <v>33</v>
      </c>
      <c r="H23316" s="4"/>
      <c r="I23316" s="4"/>
    </row>
    <row r="23317">
      <c r="A23317" s="4" t="str">
        <f>IFERROR(__xludf.DUMMYFUNCTION("""COMPUTED_VALUE"""),"cas_hmw")</f>
        <v>cas_hmw</v>
      </c>
      <c r="B23317" s="5">
        <f>IFERROR(__xludf.DUMMYFUNCTION("""COMPUTED_VALUE"""),44792.0)</f>
        <v>44792</v>
      </c>
      <c r="C23317" s="6">
        <f>IFERROR(__xludf.DUMMYFUNCTION("""COMPUTED_VALUE"""),0.7149305555540195)</f>
        <v>0.7149305556</v>
      </c>
      <c r="D23317" s="4">
        <f>IFERROR(__xludf.DUMMYFUNCTION("""COMPUTED_VALUE"""),13.00759)</f>
        <v>13.00759</v>
      </c>
      <c r="E23317" s="4">
        <f>IFERROR(__xludf.DUMMYFUNCTION("""COMPUTED_VALUE"""),80.202949)</f>
        <v>80.202949</v>
      </c>
      <c r="F23317" s="4">
        <f>IFERROR(__xludf.DUMMYFUNCTION("""COMPUTED_VALUE"""),5339.0)</f>
        <v>5339</v>
      </c>
      <c r="G23317" s="4">
        <f>IFERROR(__xludf.DUMMYFUNCTION("""COMPUTED_VALUE"""),35.0)</f>
        <v>35</v>
      </c>
      <c r="H23317" s="4"/>
      <c r="I23317" s="4"/>
    </row>
    <row r="23318">
      <c r="A23318" s="4" t="str">
        <f>IFERROR(__xludf.DUMMYFUNCTION("""COMPUTED_VALUE"""),"cas_hmw")</f>
        <v>cas_hmw</v>
      </c>
      <c r="B23318" s="5">
        <f>IFERROR(__xludf.DUMMYFUNCTION("""COMPUTED_VALUE"""),44792.0)</f>
        <v>44792</v>
      </c>
      <c r="C23318" s="6">
        <f>IFERROR(__xludf.DUMMYFUNCTION("""COMPUTED_VALUE"""),0.7159490740741603)</f>
        <v>0.7159490741</v>
      </c>
      <c r="D23318" s="4">
        <f>IFERROR(__xludf.DUMMYFUNCTION("""COMPUTED_VALUE"""),13.009291)</f>
        <v>13.009291</v>
      </c>
      <c r="E23318" s="4">
        <f>IFERROR(__xludf.DUMMYFUNCTION("""COMPUTED_VALUE"""),80.2125)</f>
        <v>80.2125</v>
      </c>
      <c r="F23318" s="4">
        <f>IFERROR(__xludf.DUMMYFUNCTION("""COMPUTED_VALUE"""),5339.0)</f>
        <v>5339</v>
      </c>
      <c r="G23318" s="4">
        <f>IFERROR(__xludf.DUMMYFUNCTION("""COMPUTED_VALUE"""),36.0)</f>
        <v>36</v>
      </c>
      <c r="H23318" s="4"/>
      <c r="I23318" s="4"/>
    </row>
    <row r="23319">
      <c r="A23319" s="4" t="str">
        <f>IFERROR(__xludf.DUMMYFUNCTION("""COMPUTED_VALUE"""),"cas_hmw")</f>
        <v>cas_hmw</v>
      </c>
      <c r="B23319" s="5">
        <f>IFERROR(__xludf.DUMMYFUNCTION("""COMPUTED_VALUE"""),44792.0)</f>
        <v>44792</v>
      </c>
      <c r="C23319" s="6">
        <f>IFERROR(__xludf.DUMMYFUNCTION("""COMPUTED_VALUE"""),0.716168981482042)</f>
        <v>0.7161689815</v>
      </c>
      <c r="D23319" s="4">
        <f>IFERROR(__xludf.DUMMYFUNCTION("""COMPUTED_VALUE"""),13.009876)</f>
        <v>13.009876</v>
      </c>
      <c r="E23319" s="4">
        <f>IFERROR(__xludf.DUMMYFUNCTION("""COMPUTED_VALUE"""),80.213992)</f>
        <v>80.213992</v>
      </c>
      <c r="F23319" s="4">
        <f>IFERROR(__xludf.DUMMYFUNCTION("""COMPUTED_VALUE"""),5339.0)</f>
        <v>5339</v>
      </c>
      <c r="G23319" s="4">
        <f>IFERROR(__xludf.DUMMYFUNCTION("""COMPUTED_VALUE"""),34.0)</f>
        <v>34</v>
      </c>
      <c r="H23319" s="4"/>
      <c r="I23319" s="4"/>
    </row>
    <row r="23320">
      <c r="A23320" s="4" t="str">
        <f>IFERROR(__xludf.DUMMYFUNCTION("""COMPUTED_VALUE"""),"cas_hmw")</f>
        <v>cas_hmw</v>
      </c>
      <c r="B23320" s="5">
        <f>IFERROR(__xludf.DUMMYFUNCTION("""COMPUTED_VALUE"""),44792.0)</f>
        <v>44792</v>
      </c>
      <c r="C23320" s="6">
        <f>IFERROR(__xludf.DUMMYFUNCTION("""COMPUTED_VALUE"""),0.7169097222213168)</f>
        <v>0.7169097222</v>
      </c>
      <c r="D23320" s="4">
        <f>IFERROR(__xludf.DUMMYFUNCTION("""COMPUTED_VALUE"""),13.010599)</f>
        <v>13.010599</v>
      </c>
      <c r="E23320" s="4">
        <f>IFERROR(__xludf.DUMMYFUNCTION("""COMPUTED_VALUE"""),80.216388)</f>
        <v>80.216388</v>
      </c>
      <c r="F23320" s="4">
        <f>IFERROR(__xludf.DUMMYFUNCTION("""COMPUTED_VALUE"""),5339.0)</f>
        <v>5339</v>
      </c>
      <c r="G23320" s="4">
        <f>IFERROR(__xludf.DUMMYFUNCTION("""COMPUTED_VALUE"""),41.0)</f>
        <v>41</v>
      </c>
      <c r="H23320" s="4"/>
      <c r="I23320" s="4"/>
    </row>
    <row r="23321">
      <c r="A23321" s="4" t="str">
        <f>IFERROR(__xludf.DUMMYFUNCTION("""COMPUTED_VALUE"""),"cas_hmw")</f>
        <v>cas_hmw</v>
      </c>
      <c r="B23321" s="5">
        <f>IFERROR(__xludf.DUMMYFUNCTION("""COMPUTED_VALUE"""),44792.0)</f>
        <v>44792</v>
      </c>
      <c r="C23321" s="6">
        <f>IFERROR(__xludf.DUMMYFUNCTION("""COMPUTED_VALUE"""),0.7169097222213168)</f>
        <v>0.7169097222</v>
      </c>
      <c r="D23321" s="4">
        <f>IFERROR(__xludf.DUMMYFUNCTION("""COMPUTED_VALUE"""),13.011651)</f>
        <v>13.011651</v>
      </c>
      <c r="E23321" s="4">
        <f>IFERROR(__xludf.DUMMYFUNCTION("""COMPUTED_VALUE"""),80.219035)</f>
        <v>80.219035</v>
      </c>
      <c r="F23321" s="4">
        <f>IFERROR(__xludf.DUMMYFUNCTION("""COMPUTED_VALUE"""),5339.0)</f>
        <v>5339</v>
      </c>
      <c r="G23321" s="4">
        <f>IFERROR(__xludf.DUMMYFUNCTION("""COMPUTED_VALUE"""),44.0)</f>
        <v>44</v>
      </c>
      <c r="H23321" s="4"/>
      <c r="I23321" s="4"/>
    </row>
    <row r="23322">
      <c r="A23322" s="4" t="str">
        <f>IFERROR(__xludf.DUMMYFUNCTION("""COMPUTED_VALUE"""),"cas_hmw")</f>
        <v>cas_hmw</v>
      </c>
      <c r="B23322" s="5">
        <f>IFERROR(__xludf.DUMMYFUNCTION("""COMPUTED_VALUE"""),44792.0)</f>
        <v>44792</v>
      </c>
      <c r="C23322" s="6">
        <f>IFERROR(__xludf.DUMMYFUNCTION("""COMPUTED_VALUE"""),0.7169444444443798)</f>
        <v>0.7169444444</v>
      </c>
      <c r="D23322" s="4">
        <f>IFERROR(__xludf.DUMMYFUNCTION("""COMPUTED_VALUE"""),12.947613)</f>
        <v>12.947613</v>
      </c>
      <c r="E23322" s="4">
        <f>IFERROR(__xludf.DUMMYFUNCTION("""COMPUTED_VALUE"""),80.184574)</f>
        <v>80.184574</v>
      </c>
      <c r="F23322" s="4">
        <f>IFERROR(__xludf.DUMMYFUNCTION("""COMPUTED_VALUE"""),3143.0)</f>
        <v>3143</v>
      </c>
      <c r="G23322" s="4">
        <f>IFERROR(__xludf.DUMMYFUNCTION("""COMPUTED_VALUE"""),30.0)</f>
        <v>30</v>
      </c>
      <c r="H23322" s="4"/>
      <c r="I23322" s="4"/>
    </row>
    <row r="23323">
      <c r="A23323" s="4" t="str">
        <f>IFERROR(__xludf.DUMMYFUNCTION("""COMPUTED_VALUE"""),"cas_hmw")</f>
        <v>cas_hmw</v>
      </c>
      <c r="B23323" s="5">
        <f>IFERROR(__xludf.DUMMYFUNCTION("""COMPUTED_VALUE"""),44792.0)</f>
        <v>44792</v>
      </c>
      <c r="C23323" s="6">
        <f>IFERROR(__xludf.DUMMYFUNCTION("""COMPUTED_VALUE"""),0.7169560185175214)</f>
        <v>0.7169560185</v>
      </c>
      <c r="D23323" s="4">
        <f>IFERROR(__xludf.DUMMYFUNCTION("""COMPUTED_VALUE"""),12.947613)</f>
        <v>12.947613</v>
      </c>
      <c r="E23323" s="4">
        <f>IFERROR(__xludf.DUMMYFUNCTION("""COMPUTED_VALUE"""),80.184574)</f>
        <v>80.184574</v>
      </c>
      <c r="F23323" s="4">
        <f>IFERROR(__xludf.DUMMYFUNCTION("""COMPUTED_VALUE"""),3143.0)</f>
        <v>3143</v>
      </c>
      <c r="G23323" s="4">
        <f>IFERROR(__xludf.DUMMYFUNCTION("""COMPUTED_VALUE"""),30.0)</f>
        <v>30</v>
      </c>
      <c r="H23323" s="4"/>
      <c r="I23323" s="4"/>
    </row>
    <row r="23324">
      <c r="A23324" s="4" t="str">
        <f>IFERROR(__xludf.DUMMYFUNCTION("""COMPUTED_VALUE"""),"cas_hmw")</f>
        <v>cas_hmw</v>
      </c>
      <c r="B23324" s="5">
        <f>IFERROR(__xludf.DUMMYFUNCTION("""COMPUTED_VALUE"""),44792.0)</f>
        <v>44792</v>
      </c>
      <c r="C23324" s="6">
        <f>IFERROR(__xludf.DUMMYFUNCTION("""COMPUTED_VALUE"""),0.7169675925943011)</f>
        <v>0.7169675926</v>
      </c>
      <c r="D23324" s="4">
        <f>IFERROR(__xludf.DUMMYFUNCTION("""COMPUTED_VALUE"""),12.947613)</f>
        <v>12.947613</v>
      </c>
      <c r="E23324" s="4">
        <f>IFERROR(__xludf.DUMMYFUNCTION("""COMPUTED_VALUE"""),80.184574)</f>
        <v>80.184574</v>
      </c>
      <c r="F23324" s="4">
        <f>IFERROR(__xludf.DUMMYFUNCTION("""COMPUTED_VALUE"""),3143.0)</f>
        <v>3143</v>
      </c>
      <c r="G23324" s="4">
        <f>IFERROR(__xludf.DUMMYFUNCTION("""COMPUTED_VALUE"""),30.0)</f>
        <v>30</v>
      </c>
      <c r="H23324" s="4"/>
      <c r="I23324" s="4"/>
    </row>
    <row r="23325">
      <c r="A23325" s="4" t="str">
        <f>IFERROR(__xludf.DUMMYFUNCTION("""COMPUTED_VALUE"""),"cas_hmw")</f>
        <v>cas_hmw</v>
      </c>
      <c r="B23325" s="5">
        <f>IFERROR(__xludf.DUMMYFUNCTION("""COMPUTED_VALUE"""),44792.0)</f>
        <v>44792</v>
      </c>
      <c r="C23325" s="6">
        <f>IFERROR(__xludf.DUMMYFUNCTION("""COMPUTED_VALUE"""),0.7169791666674428)</f>
        <v>0.7169791667</v>
      </c>
      <c r="D23325" s="4">
        <f>IFERROR(__xludf.DUMMYFUNCTION("""COMPUTED_VALUE"""),12.947613)</f>
        <v>12.947613</v>
      </c>
      <c r="E23325" s="4">
        <f>IFERROR(__xludf.DUMMYFUNCTION("""COMPUTED_VALUE"""),80.184574)</f>
        <v>80.184574</v>
      </c>
      <c r="F23325" s="4">
        <f>IFERROR(__xludf.DUMMYFUNCTION("""COMPUTED_VALUE"""),3143.0)</f>
        <v>3143</v>
      </c>
      <c r="G23325" s="4">
        <f>IFERROR(__xludf.DUMMYFUNCTION("""COMPUTED_VALUE"""),30.0)</f>
        <v>30</v>
      </c>
      <c r="H23325" s="4"/>
      <c r="I23325" s="4"/>
    </row>
    <row r="23326">
      <c r="A23326" s="4" t="str">
        <f>IFERROR(__xludf.DUMMYFUNCTION("""COMPUTED_VALUE"""),"cas_hmw")</f>
        <v>cas_hmw</v>
      </c>
      <c r="B23326" s="5">
        <f>IFERROR(__xludf.DUMMYFUNCTION("""COMPUTED_VALUE"""),44792.0)</f>
        <v>44792</v>
      </c>
      <c r="C23326" s="6">
        <f>IFERROR(__xludf.DUMMYFUNCTION("""COMPUTED_VALUE"""),0.7170601851867104)</f>
        <v>0.7170601852</v>
      </c>
      <c r="D23326" s="4">
        <f>IFERROR(__xludf.DUMMYFUNCTION("""COMPUTED_VALUE"""),13.012028)</f>
        <v>13.012028</v>
      </c>
      <c r="E23326" s="4">
        <f>IFERROR(__xludf.DUMMYFUNCTION("""COMPUTED_VALUE"""),80.220171)</f>
        <v>80.220171</v>
      </c>
      <c r="F23326" s="4">
        <f>IFERROR(__xludf.DUMMYFUNCTION("""COMPUTED_VALUE"""),5339.0)</f>
        <v>5339</v>
      </c>
      <c r="G23326" s="4">
        <f>IFERROR(__xludf.DUMMYFUNCTION("""COMPUTED_VALUE"""),45.0)</f>
        <v>45</v>
      </c>
      <c r="H23326" s="4"/>
      <c r="I23326" s="4"/>
    </row>
    <row r="23327">
      <c r="A23327" s="4" t="str">
        <f>IFERROR(__xludf.DUMMYFUNCTION("""COMPUTED_VALUE"""),"cas_hmw")</f>
        <v>cas_hmw</v>
      </c>
      <c r="B23327" s="5">
        <f>IFERROR(__xludf.DUMMYFUNCTION("""COMPUTED_VALUE"""),44792.0)</f>
        <v>44792</v>
      </c>
      <c r="C23327" s="6">
        <f>IFERROR(__xludf.DUMMYFUNCTION("""COMPUTED_VALUE"""),0.7174189814832062)</f>
        <v>0.7174189815</v>
      </c>
      <c r="D23327" s="4">
        <f>IFERROR(__xludf.DUMMYFUNCTION("""COMPUTED_VALUE"""),12.697806)</f>
        <v>12.697806</v>
      </c>
      <c r="E23327" s="4">
        <f>IFERROR(__xludf.DUMMYFUNCTION("""COMPUTED_VALUE"""),79.971242)</f>
        <v>79.971242</v>
      </c>
      <c r="F23327" s="4">
        <f>IFERROR(__xludf.DUMMYFUNCTION("""COMPUTED_VALUE"""),2846.0)</f>
        <v>2846</v>
      </c>
      <c r="G23327" s="4">
        <f>IFERROR(__xludf.DUMMYFUNCTION("""COMPUTED_VALUE"""),29.0)</f>
        <v>29</v>
      </c>
      <c r="H23327" s="4"/>
      <c r="I23327" s="4"/>
    </row>
    <row r="23328">
      <c r="A23328" s="4" t="str">
        <f>IFERROR(__xludf.DUMMYFUNCTION("""COMPUTED_VALUE"""),"cas_hmw")</f>
        <v>cas_hmw</v>
      </c>
      <c r="B23328" s="5">
        <f>IFERROR(__xludf.DUMMYFUNCTION("""COMPUTED_VALUE"""),44792.0)</f>
        <v>44792</v>
      </c>
      <c r="C23328" s="6">
        <f>IFERROR(__xludf.DUMMYFUNCTION("""COMPUTED_VALUE"""),0.7181018518531346)</f>
        <v>0.7181018519</v>
      </c>
      <c r="D23328" s="4">
        <f>IFERROR(__xludf.DUMMYFUNCTION("""COMPUTED_VALUE"""),13.015374)</f>
        <v>13.015374</v>
      </c>
      <c r="E23328" s="4">
        <f>IFERROR(__xludf.DUMMYFUNCTION("""COMPUTED_VALUE"""),80.224911)</f>
        <v>80.224911</v>
      </c>
      <c r="F23328" s="4">
        <f>IFERROR(__xludf.DUMMYFUNCTION("""COMPUTED_VALUE"""),5339.0)</f>
        <v>5339</v>
      </c>
      <c r="G23328" s="4">
        <f>IFERROR(__xludf.DUMMYFUNCTION("""COMPUTED_VALUE"""),24.0)</f>
        <v>24</v>
      </c>
      <c r="H23328" s="4"/>
      <c r="I23328" s="4"/>
    </row>
    <row r="23329">
      <c r="A23329" s="4" t="str">
        <f>IFERROR(__xludf.DUMMYFUNCTION("""COMPUTED_VALUE"""),"cas_hmw")</f>
        <v>cas_hmw</v>
      </c>
      <c r="B23329" s="5">
        <f>IFERROR(__xludf.DUMMYFUNCTION("""COMPUTED_VALUE"""),44792.0)</f>
        <v>44792</v>
      </c>
      <c r="C23329" s="6">
        <f>IFERROR(__xludf.DUMMYFUNCTION("""COMPUTED_VALUE"""),0.7182407407417486)</f>
        <v>0.7182407407</v>
      </c>
      <c r="D23329" s="4">
        <f>IFERROR(__xludf.DUMMYFUNCTION("""COMPUTED_VALUE"""),13.016736)</f>
        <v>13.016736</v>
      </c>
      <c r="E23329" s="4">
        <f>IFERROR(__xludf.DUMMYFUNCTION("""COMPUTED_VALUE"""),80.225262)</f>
        <v>80.225262</v>
      </c>
      <c r="F23329" s="4">
        <f>IFERROR(__xludf.DUMMYFUNCTION("""COMPUTED_VALUE"""),5339.0)</f>
        <v>5339</v>
      </c>
      <c r="G23329" s="4">
        <f>IFERROR(__xludf.DUMMYFUNCTION("""COMPUTED_VALUE"""),34.0)</f>
        <v>34</v>
      </c>
      <c r="H23329" s="4"/>
      <c r="I23329" s="4"/>
    </row>
    <row r="23330">
      <c r="A23330" s="4" t="str">
        <f>IFERROR(__xludf.DUMMYFUNCTION("""COMPUTED_VALUE"""),"cas_hmw")</f>
        <v>cas_hmw</v>
      </c>
      <c r="B23330" s="5">
        <f>IFERROR(__xludf.DUMMYFUNCTION("""COMPUTED_VALUE"""),44792.0)</f>
        <v>44792</v>
      </c>
      <c r="C23330" s="6">
        <f>IFERROR(__xludf.DUMMYFUNCTION("""COMPUTED_VALUE"""),0.7183796296303626)</f>
        <v>0.7183796296</v>
      </c>
      <c r="D23330" s="4">
        <f>IFERROR(__xludf.DUMMYFUNCTION("""COMPUTED_VALUE"""),13.017742)</f>
        <v>13.017742</v>
      </c>
      <c r="E23330" s="4">
        <f>IFERROR(__xludf.DUMMYFUNCTION("""COMPUTED_VALUE"""),80.224859)</f>
        <v>80.224859</v>
      </c>
      <c r="F23330" s="4">
        <f>IFERROR(__xludf.DUMMYFUNCTION("""COMPUTED_VALUE"""),5339.0)</f>
        <v>5339</v>
      </c>
      <c r="G23330" s="4">
        <f>IFERROR(__xludf.DUMMYFUNCTION("""COMPUTED_VALUE"""),49.0)</f>
        <v>49</v>
      </c>
      <c r="H23330" s="4"/>
      <c r="I23330" s="4"/>
    </row>
    <row r="23331">
      <c r="A23331" s="4" t="str">
        <f>IFERROR(__xludf.DUMMYFUNCTION("""COMPUTED_VALUE"""),"cas_hmw")</f>
        <v>cas_hmw</v>
      </c>
      <c r="B23331" s="5">
        <f>IFERROR(__xludf.DUMMYFUNCTION("""COMPUTED_VALUE"""),44792.0)</f>
        <v>44792</v>
      </c>
      <c r="C23331" s="6">
        <f>IFERROR(__xludf.DUMMYFUNCTION("""COMPUTED_VALUE"""),0.7195601851854008)</f>
        <v>0.7195601852</v>
      </c>
      <c r="D23331" s="4">
        <f>IFERROR(__xludf.DUMMYFUNCTION("""COMPUTED_VALUE"""),13.023163)</f>
        <v>13.023163</v>
      </c>
      <c r="E23331" s="4">
        <f>IFERROR(__xludf.DUMMYFUNCTION("""COMPUTED_VALUE"""),80.227189)</f>
        <v>80.227189</v>
      </c>
      <c r="F23331" s="4">
        <f>IFERROR(__xludf.DUMMYFUNCTION("""COMPUTED_VALUE"""),5339.0)</f>
        <v>5339</v>
      </c>
      <c r="G23331" s="4">
        <f>IFERROR(__xludf.DUMMYFUNCTION("""COMPUTED_VALUE"""),41.0)</f>
        <v>41</v>
      </c>
      <c r="H23331" s="4"/>
      <c r="I23331" s="4"/>
    </row>
    <row r="23332">
      <c r="A23332" s="4" t="str">
        <f>IFERROR(__xludf.DUMMYFUNCTION("""COMPUTED_VALUE"""),"cas_hmw")</f>
        <v>cas_hmw</v>
      </c>
      <c r="B23332" s="5">
        <f>IFERROR(__xludf.DUMMYFUNCTION("""COMPUTED_VALUE"""),44792.0)</f>
        <v>44792</v>
      </c>
      <c r="C23332" s="6">
        <f>IFERROR(__xludf.DUMMYFUNCTION("""COMPUTED_VALUE"""),0.7197916666664241)</f>
        <v>0.7197916667</v>
      </c>
      <c r="D23332" s="4">
        <f>IFERROR(__xludf.DUMMYFUNCTION("""COMPUTED_VALUE"""),13.024362)</f>
        <v>13.024362</v>
      </c>
      <c r="E23332" s="4">
        <f>IFERROR(__xludf.DUMMYFUNCTION("""COMPUTED_VALUE"""),80.228544)</f>
        <v>80.228544</v>
      </c>
      <c r="F23332" s="4">
        <f>IFERROR(__xludf.DUMMYFUNCTION("""COMPUTED_VALUE"""),5339.0)</f>
        <v>5339</v>
      </c>
      <c r="G23332" s="4">
        <f>IFERROR(__xludf.DUMMYFUNCTION("""COMPUTED_VALUE"""),36.0)</f>
        <v>36</v>
      </c>
      <c r="H23332" s="4"/>
      <c r="I23332" s="4"/>
    </row>
    <row r="23333">
      <c r="A23333" s="4" t="str">
        <f>IFERROR(__xludf.DUMMYFUNCTION("""COMPUTED_VALUE"""),"cas_hmw")</f>
        <v>cas_hmw</v>
      </c>
      <c r="B23333" s="5">
        <f>IFERROR(__xludf.DUMMYFUNCTION("""COMPUTED_VALUE"""),44792.0)</f>
        <v>44792</v>
      </c>
      <c r="C23333" s="6">
        <f>IFERROR(__xludf.DUMMYFUNCTION("""COMPUTED_VALUE"""),0.7198148148163455)</f>
        <v>0.7198148148</v>
      </c>
      <c r="D23333" s="4">
        <f>IFERROR(__xludf.DUMMYFUNCTION("""COMPUTED_VALUE"""),12.692307)</f>
        <v>12.692307</v>
      </c>
      <c r="E23333" s="4">
        <f>IFERROR(__xludf.DUMMYFUNCTION("""COMPUTED_VALUE"""),79.980057)</f>
        <v>79.980057</v>
      </c>
      <c r="F23333" s="4">
        <f>IFERROR(__xludf.DUMMYFUNCTION("""COMPUTED_VALUE"""),2846.0)</f>
        <v>2846</v>
      </c>
      <c r="G23333" s="4">
        <f>IFERROR(__xludf.DUMMYFUNCTION("""COMPUTED_VALUE"""),43.0)</f>
        <v>43</v>
      </c>
      <c r="H23333" s="4"/>
      <c r="I23333" s="4"/>
    </row>
    <row r="23334">
      <c r="A23334" s="4" t="str">
        <f>IFERROR(__xludf.DUMMYFUNCTION("""COMPUTED_VALUE"""),"cas_hmw")</f>
        <v>cas_hmw</v>
      </c>
      <c r="B23334" s="5">
        <f>IFERROR(__xludf.DUMMYFUNCTION("""COMPUTED_VALUE"""),44792.0)</f>
        <v>44792</v>
      </c>
      <c r="C23334" s="6">
        <f>IFERROR(__xludf.DUMMYFUNCTION("""COMPUTED_VALUE"""),0.7201736111128412)</f>
        <v>0.7201736111</v>
      </c>
      <c r="D23334" s="4">
        <f>IFERROR(__xludf.DUMMYFUNCTION("""COMPUTED_VALUE"""),12.689764)</f>
        <v>12.689764</v>
      </c>
      <c r="E23334" s="4">
        <f>IFERROR(__xludf.DUMMYFUNCTION("""COMPUTED_VALUE"""),79.982288)</f>
        <v>79.982288</v>
      </c>
      <c r="F23334" s="4">
        <f>IFERROR(__xludf.DUMMYFUNCTION("""COMPUTED_VALUE"""),2846.0)</f>
        <v>2846</v>
      </c>
      <c r="G23334" s="4">
        <f>IFERROR(__xludf.DUMMYFUNCTION("""COMPUTED_VALUE"""),38.0)</f>
        <v>38</v>
      </c>
      <c r="H23334" s="4"/>
      <c r="I23334" s="4"/>
    </row>
    <row r="23335">
      <c r="A23335" s="4" t="str">
        <f>IFERROR(__xludf.DUMMYFUNCTION("""COMPUTED_VALUE"""),"cas_hmw")</f>
        <v>cas_hmw</v>
      </c>
      <c r="B23335" s="5">
        <f>IFERROR(__xludf.DUMMYFUNCTION("""COMPUTED_VALUE"""),44792.0)</f>
        <v>44792</v>
      </c>
      <c r="C23335" s="6">
        <f>IFERROR(__xludf.DUMMYFUNCTION("""COMPUTED_VALUE"""),0.721018518517667)</f>
        <v>0.7210185185</v>
      </c>
      <c r="D23335" s="4">
        <f>IFERROR(__xludf.DUMMYFUNCTION("""COMPUTED_VALUE"""),13.026836)</f>
        <v>13.026836</v>
      </c>
      <c r="E23335" s="4">
        <f>IFERROR(__xludf.DUMMYFUNCTION("""COMPUTED_VALUE"""),80.233421)</f>
        <v>80.233421</v>
      </c>
      <c r="F23335" s="4">
        <f>IFERROR(__xludf.DUMMYFUNCTION("""COMPUTED_VALUE"""),5339.0)</f>
        <v>5339</v>
      </c>
      <c r="G23335" s="4">
        <f>IFERROR(__xludf.DUMMYFUNCTION("""COMPUTED_VALUE"""),46.0)</f>
        <v>46</v>
      </c>
      <c r="H23335" s="4"/>
      <c r="I23335" s="4"/>
    </row>
    <row r="23336">
      <c r="A23336" s="4" t="str">
        <f>IFERROR(__xludf.DUMMYFUNCTION("""COMPUTED_VALUE"""),"cas_hmw")</f>
        <v>cas_hmw</v>
      </c>
      <c r="B23336" s="5">
        <f>IFERROR(__xludf.DUMMYFUNCTION("""COMPUTED_VALUE"""),44792.0)</f>
        <v>44792</v>
      </c>
      <c r="C23336" s="6">
        <f>IFERROR(__xludf.DUMMYFUNCTION("""COMPUTED_VALUE"""),0.721226851852407)</f>
        <v>0.7212268519</v>
      </c>
      <c r="D23336" s="4">
        <f>IFERROR(__xludf.DUMMYFUNCTION("""COMPUTED_VALUE"""),13.027467)</f>
        <v>13.027467</v>
      </c>
      <c r="E23336" s="4">
        <f>IFERROR(__xludf.DUMMYFUNCTION("""COMPUTED_VALUE"""),80.234448)</f>
        <v>80.234448</v>
      </c>
      <c r="F23336" s="4">
        <f>IFERROR(__xludf.DUMMYFUNCTION("""COMPUTED_VALUE"""),5339.0)</f>
        <v>5339</v>
      </c>
      <c r="G23336" s="4">
        <f>IFERROR(__xludf.DUMMYFUNCTION("""COMPUTED_VALUE"""),42.0)</f>
        <v>42</v>
      </c>
      <c r="H23336" s="4"/>
      <c r="I23336" s="4"/>
    </row>
    <row r="23337">
      <c r="A23337" s="4" t="str">
        <f>IFERROR(__xludf.DUMMYFUNCTION("""COMPUTED_VALUE"""),"cas_hmw")</f>
        <v>cas_hmw</v>
      </c>
      <c r="B23337" s="5">
        <f>IFERROR(__xludf.DUMMYFUNCTION("""COMPUTED_VALUE"""),44792.0)</f>
        <v>44792</v>
      </c>
      <c r="C23337" s="6">
        <f>IFERROR(__xludf.DUMMYFUNCTION("""COMPUTED_VALUE"""),0.7216550925913907)</f>
        <v>0.7216550926</v>
      </c>
      <c r="D23337" s="4">
        <f>IFERROR(__xludf.DUMMYFUNCTION("""COMPUTED_VALUE"""),13.029285)</f>
        <v>13.029285</v>
      </c>
      <c r="E23337" s="4">
        <f>IFERROR(__xludf.DUMMYFUNCTION("""COMPUTED_VALUE"""),80.236797)</f>
        <v>80.236797</v>
      </c>
      <c r="F23337" s="4">
        <f>IFERROR(__xludf.DUMMYFUNCTION("""COMPUTED_VALUE"""),5339.0)</f>
        <v>5339</v>
      </c>
      <c r="G23337" s="4">
        <f>IFERROR(__xludf.DUMMYFUNCTION("""COMPUTED_VALUE"""),40.0)</f>
        <v>40</v>
      </c>
      <c r="H23337" s="4"/>
      <c r="I23337" s="4"/>
    </row>
    <row r="23338">
      <c r="A23338" s="4" t="str">
        <f>IFERROR(__xludf.DUMMYFUNCTION("""COMPUTED_VALUE"""),"cas_hmw")</f>
        <v>cas_hmw</v>
      </c>
      <c r="B23338" s="5">
        <f>IFERROR(__xludf.DUMMYFUNCTION("""COMPUTED_VALUE"""),44792.0)</f>
        <v>44792</v>
      </c>
      <c r="C23338" s="6">
        <f>IFERROR(__xludf.DUMMYFUNCTION("""COMPUTED_VALUE"""),0.7217361111106584)</f>
        <v>0.7217361111</v>
      </c>
      <c r="D23338" s="4">
        <f>IFERROR(__xludf.DUMMYFUNCTION("""COMPUTED_VALUE"""),13.029886)</f>
        <v>13.029886</v>
      </c>
      <c r="E23338" s="4">
        <f>IFERROR(__xludf.DUMMYFUNCTION("""COMPUTED_VALUE"""),80.237547)</f>
        <v>80.237547</v>
      </c>
      <c r="F23338" s="4">
        <f>IFERROR(__xludf.DUMMYFUNCTION("""COMPUTED_VALUE"""),5339.0)</f>
        <v>5339</v>
      </c>
      <c r="G23338" s="4">
        <f>IFERROR(__xludf.DUMMYFUNCTION("""COMPUTED_VALUE"""),31.0)</f>
        <v>31</v>
      </c>
      <c r="H23338" s="4"/>
      <c r="I23338" s="4"/>
    </row>
    <row r="23339">
      <c r="A23339" s="4" t="str">
        <f>IFERROR(__xludf.DUMMYFUNCTION("""COMPUTED_VALUE"""),"cas_hmw")</f>
        <v>cas_hmw</v>
      </c>
      <c r="B23339" s="5">
        <f>IFERROR(__xludf.DUMMYFUNCTION("""COMPUTED_VALUE"""),44792.0)</f>
        <v>44792</v>
      </c>
      <c r="C23339" s="6">
        <f>IFERROR(__xludf.DUMMYFUNCTION("""COMPUTED_VALUE"""),0.7227199074077362)</f>
        <v>0.7227199074</v>
      </c>
      <c r="D23339" s="4">
        <f>IFERROR(__xludf.DUMMYFUNCTION("""COMPUTED_VALUE"""),12.965698)</f>
        <v>12.965698</v>
      </c>
      <c r="E23339" s="4">
        <f>IFERROR(__xludf.DUMMYFUNCTION("""COMPUTED_VALUE"""),80.19011)</f>
        <v>80.19011</v>
      </c>
      <c r="F23339" s="4">
        <f>IFERROR(__xludf.DUMMYFUNCTION("""COMPUTED_VALUE"""),3143.0)</f>
        <v>3143</v>
      </c>
      <c r="G23339" s="4">
        <f>IFERROR(__xludf.DUMMYFUNCTION("""COMPUTED_VALUE"""),33.0)</f>
        <v>33</v>
      </c>
      <c r="H23339" s="4"/>
      <c r="I23339" s="4"/>
    </row>
    <row r="23340">
      <c r="A23340" s="4" t="str">
        <f>IFERROR(__xludf.DUMMYFUNCTION("""COMPUTED_VALUE"""),"cas_hmw")</f>
        <v>cas_hmw</v>
      </c>
      <c r="B23340" s="5">
        <f>IFERROR(__xludf.DUMMYFUNCTION("""COMPUTED_VALUE"""),44792.0)</f>
        <v>44792</v>
      </c>
      <c r="C23340" s="6">
        <f>IFERROR(__xludf.DUMMYFUNCTION("""COMPUTED_VALUE"""),0.723912037035916)</f>
        <v>0.723912037</v>
      </c>
      <c r="D23340" s="4">
        <f>IFERROR(__xludf.DUMMYFUNCTION("""COMPUTED_VALUE"""),12.673979)</f>
        <v>12.673979</v>
      </c>
      <c r="E23340" s="4">
        <f>IFERROR(__xludf.DUMMYFUNCTION("""COMPUTED_VALUE"""),79.976761)</f>
        <v>79.976761</v>
      </c>
      <c r="F23340" s="4">
        <f>IFERROR(__xludf.DUMMYFUNCTION("""COMPUTED_VALUE"""),2846.0)</f>
        <v>2846</v>
      </c>
      <c r="G23340" s="4">
        <f>IFERROR(__xludf.DUMMYFUNCTION("""COMPUTED_VALUE"""),22.0)</f>
        <v>22</v>
      </c>
      <c r="H23340" s="4"/>
      <c r="I23340" s="4"/>
    </row>
    <row r="23341">
      <c r="A23341" s="4" t="str">
        <f>IFERROR(__xludf.DUMMYFUNCTION("""COMPUTED_VALUE"""),"cas_hmw")</f>
        <v>cas_hmw</v>
      </c>
      <c r="B23341" s="5">
        <f>IFERROR(__xludf.DUMMYFUNCTION("""COMPUTED_VALUE"""),44792.0)</f>
        <v>44792</v>
      </c>
      <c r="C23341" s="6">
        <f>IFERROR(__xludf.DUMMYFUNCTION("""COMPUTED_VALUE"""),0.7247453703712381)</f>
        <v>0.7247453704</v>
      </c>
      <c r="D23341" s="4">
        <f>IFERROR(__xludf.DUMMYFUNCTION("""COMPUTED_VALUE"""),13.036147)</f>
        <v>13.036147</v>
      </c>
      <c r="E23341" s="4">
        <f>IFERROR(__xludf.DUMMYFUNCTION("""COMPUTED_VALUE"""),80.246172)</f>
        <v>80.246172</v>
      </c>
      <c r="F23341" s="4">
        <f>IFERROR(__xludf.DUMMYFUNCTION("""COMPUTED_VALUE"""),5339.0)</f>
        <v>5339</v>
      </c>
      <c r="G23341" s="4">
        <f>IFERROR(__xludf.DUMMYFUNCTION("""COMPUTED_VALUE"""),38.0)</f>
        <v>38</v>
      </c>
      <c r="H23341" s="4"/>
      <c r="I23341" s="4"/>
    </row>
    <row r="23342">
      <c r="A23342" s="4" t="str">
        <f>IFERROR(__xludf.DUMMYFUNCTION("""COMPUTED_VALUE"""),"cas_hmw")</f>
        <v>cas_hmw</v>
      </c>
      <c r="B23342" s="5">
        <f>IFERROR(__xludf.DUMMYFUNCTION("""COMPUTED_VALUE"""),44792.0)</f>
        <v>44792</v>
      </c>
      <c r="C23342" s="6">
        <f>IFERROR(__xludf.DUMMYFUNCTION("""COMPUTED_VALUE"""),0.726736111111677)</f>
        <v>0.7267361111</v>
      </c>
      <c r="D23342" s="4">
        <f>IFERROR(__xludf.DUMMYFUNCTION("""COMPUTED_VALUE"""),12.657022)</f>
        <v>12.657022</v>
      </c>
      <c r="E23342" s="4">
        <f>IFERROR(__xludf.DUMMYFUNCTION("""COMPUTED_VALUE"""),79.956801)</f>
        <v>79.956801</v>
      </c>
      <c r="F23342" s="4">
        <f>IFERROR(__xludf.DUMMYFUNCTION("""COMPUTED_VALUE"""),2846.0)</f>
        <v>2846</v>
      </c>
      <c r="G23342" s="4">
        <f>IFERROR(__xludf.DUMMYFUNCTION("""COMPUTED_VALUE"""),39.0)</f>
        <v>39</v>
      </c>
      <c r="H23342" s="4"/>
      <c r="I23342" s="4"/>
    </row>
    <row r="23343">
      <c r="A23343" s="4" t="str">
        <f>IFERROR(__xludf.DUMMYFUNCTION("""COMPUTED_VALUE"""),"cas_hmw")</f>
        <v>cas_hmw</v>
      </c>
      <c r="B23343" s="5">
        <f>IFERROR(__xludf.DUMMYFUNCTION("""COMPUTED_VALUE"""),44792.0)</f>
        <v>44792</v>
      </c>
      <c r="C23343" s="6">
        <f>IFERROR(__xludf.DUMMYFUNCTION("""COMPUTED_VALUE"""),0.7270949074081727)</f>
        <v>0.7270949074</v>
      </c>
      <c r="D23343" s="4">
        <f>IFERROR(__xludf.DUMMYFUNCTION("""COMPUTED_VALUE"""),12.656002)</f>
        <v>12.656002</v>
      </c>
      <c r="E23343" s="4">
        <f>IFERROR(__xludf.DUMMYFUNCTION("""COMPUTED_VALUE"""),79.951354)</f>
        <v>79.951354</v>
      </c>
      <c r="F23343" s="4">
        <f>IFERROR(__xludf.DUMMYFUNCTION("""COMPUTED_VALUE"""),2846.0)</f>
        <v>2846</v>
      </c>
      <c r="G23343" s="4">
        <f>IFERROR(__xludf.DUMMYFUNCTION("""COMPUTED_VALUE"""),35.0)</f>
        <v>35</v>
      </c>
      <c r="H23343" s="4"/>
      <c r="I23343" s="4"/>
    </row>
    <row r="23344">
      <c r="A23344" s="4" t="str">
        <f>IFERROR(__xludf.DUMMYFUNCTION("""COMPUTED_VALUE"""),"cas_hmw")</f>
        <v>cas_hmw</v>
      </c>
      <c r="B23344" s="5">
        <f>IFERROR(__xludf.DUMMYFUNCTION("""COMPUTED_VALUE"""),44792.0)</f>
        <v>44792</v>
      </c>
      <c r="C23344" s="6">
        <f>IFERROR(__xludf.DUMMYFUNCTION("""COMPUTED_VALUE"""),0.7271180555544561)</f>
        <v>0.7271180556</v>
      </c>
      <c r="D23344" s="4">
        <f>IFERROR(__xludf.DUMMYFUNCTION("""COMPUTED_VALUE"""),12.656002)</f>
        <v>12.656002</v>
      </c>
      <c r="E23344" s="4">
        <f>IFERROR(__xludf.DUMMYFUNCTION("""COMPUTED_VALUE"""),79.951354)</f>
        <v>79.951354</v>
      </c>
      <c r="F23344" s="4">
        <f>IFERROR(__xludf.DUMMYFUNCTION("""COMPUTED_VALUE"""),2846.0)</f>
        <v>2846</v>
      </c>
      <c r="G23344" s="4">
        <f>IFERROR(__xludf.DUMMYFUNCTION("""COMPUTED_VALUE"""),35.0)</f>
        <v>35</v>
      </c>
      <c r="H23344" s="4"/>
      <c r="I23344" s="4"/>
    </row>
    <row r="23345">
      <c r="A23345" s="4" t="str">
        <f>IFERROR(__xludf.DUMMYFUNCTION("""COMPUTED_VALUE"""),"cas_hmw")</f>
        <v>cas_hmw</v>
      </c>
      <c r="B23345" s="5">
        <f>IFERROR(__xludf.DUMMYFUNCTION("""COMPUTED_VALUE"""),44792.0)</f>
        <v>44792</v>
      </c>
      <c r="C23345" s="6">
        <f>IFERROR(__xludf.DUMMYFUNCTION("""COMPUTED_VALUE"""),0.7288773148138716)</f>
        <v>0.7288773148</v>
      </c>
      <c r="D23345" s="4">
        <f>IFERROR(__xludf.DUMMYFUNCTION("""COMPUTED_VALUE"""),12.655037)</f>
        <v>12.655037</v>
      </c>
      <c r="E23345" s="4">
        <f>IFERROR(__xludf.DUMMYFUNCTION("""COMPUTED_VALUE"""),79.942011)</f>
        <v>79.942011</v>
      </c>
      <c r="F23345" s="4">
        <f>IFERROR(__xludf.DUMMYFUNCTION("""COMPUTED_VALUE"""),2846.0)</f>
        <v>2846</v>
      </c>
      <c r="G23345" s="4">
        <f>IFERROR(__xludf.DUMMYFUNCTION("""COMPUTED_VALUE"""),58.0)</f>
        <v>58</v>
      </c>
      <c r="H23345" s="4"/>
      <c r="I23345" s="4"/>
    </row>
    <row r="23346">
      <c r="A23346" s="4" t="str">
        <f>IFERROR(__xludf.DUMMYFUNCTION("""COMPUTED_VALUE"""),"cas_hmw")</f>
        <v>cas_hmw</v>
      </c>
      <c r="B23346" s="5">
        <f>IFERROR(__xludf.DUMMYFUNCTION("""COMPUTED_VALUE"""),44792.0)</f>
        <v>44792</v>
      </c>
      <c r="C23346" s="6">
        <f>IFERROR(__xludf.DUMMYFUNCTION("""COMPUTED_VALUE"""),0.7289814814830606)</f>
        <v>0.7289814815</v>
      </c>
      <c r="D23346" s="4">
        <f>IFERROR(__xludf.DUMMYFUNCTION("""COMPUTED_VALUE"""),12.655037)</f>
        <v>12.655037</v>
      </c>
      <c r="E23346" s="4">
        <f>IFERROR(__xludf.DUMMYFUNCTION("""COMPUTED_VALUE"""),79.942011)</f>
        <v>79.942011</v>
      </c>
      <c r="F23346" s="4">
        <f>IFERROR(__xludf.DUMMYFUNCTION("""COMPUTED_VALUE"""),2846.0)</f>
        <v>2846</v>
      </c>
      <c r="G23346" s="4">
        <f>IFERROR(__xludf.DUMMYFUNCTION("""COMPUTED_VALUE"""),58.0)</f>
        <v>58</v>
      </c>
      <c r="H23346" s="4"/>
      <c r="I23346" s="4"/>
    </row>
    <row r="23347">
      <c r="A23347" s="4" t="str">
        <f>IFERROR(__xludf.DUMMYFUNCTION("""COMPUTED_VALUE"""),"cas_hmw")</f>
        <v>cas_hmw</v>
      </c>
      <c r="B23347" s="5">
        <f>IFERROR(__xludf.DUMMYFUNCTION("""COMPUTED_VALUE"""),44792.0)</f>
        <v>44792</v>
      </c>
      <c r="C23347" s="6">
        <f>IFERROR(__xludf.DUMMYFUNCTION("""COMPUTED_VALUE"""),0.729004629629344)</f>
        <v>0.7290046296</v>
      </c>
      <c r="D23347" s="4">
        <f>IFERROR(__xludf.DUMMYFUNCTION("""COMPUTED_VALUE"""),13.049893)</f>
        <v>13.049893</v>
      </c>
      <c r="E23347" s="4">
        <f>IFERROR(__xludf.DUMMYFUNCTION("""COMPUTED_VALUE"""),80.249754)</f>
        <v>80.249754</v>
      </c>
      <c r="F23347" s="4">
        <f>IFERROR(__xludf.DUMMYFUNCTION("""COMPUTED_VALUE"""),5339.0)</f>
        <v>5339</v>
      </c>
      <c r="G23347" s="4">
        <f>IFERROR(__xludf.DUMMYFUNCTION("""COMPUTED_VALUE"""),24.0)</f>
        <v>24</v>
      </c>
      <c r="H23347" s="4"/>
      <c r="I23347" s="4"/>
    </row>
    <row r="23348">
      <c r="A23348" s="4" t="str">
        <f>IFERROR(__xludf.DUMMYFUNCTION("""COMPUTED_VALUE"""),"cas_hmw")</f>
        <v>cas_hmw</v>
      </c>
      <c r="B23348" s="5">
        <f>IFERROR(__xludf.DUMMYFUNCTION("""COMPUTED_VALUE"""),44792.0)</f>
        <v>44792</v>
      </c>
      <c r="C23348" s="6">
        <f>IFERROR(__xludf.DUMMYFUNCTION("""COMPUTED_VALUE"""),0.7290162037024857)</f>
        <v>0.7290162037</v>
      </c>
      <c r="D23348" s="4">
        <f>IFERROR(__xludf.DUMMYFUNCTION("""COMPUTED_VALUE"""),13.049893)</f>
        <v>13.049893</v>
      </c>
      <c r="E23348" s="4">
        <f>IFERROR(__xludf.DUMMYFUNCTION("""COMPUTED_VALUE"""),80.249754)</f>
        <v>80.249754</v>
      </c>
      <c r="F23348" s="4">
        <f>IFERROR(__xludf.DUMMYFUNCTION("""COMPUTED_VALUE"""),5339.0)</f>
        <v>5339</v>
      </c>
      <c r="G23348" s="4">
        <f>IFERROR(__xludf.DUMMYFUNCTION("""COMPUTED_VALUE"""),24.0)</f>
        <v>24</v>
      </c>
      <c r="H23348" s="4"/>
      <c r="I23348" s="4"/>
    </row>
    <row r="23349">
      <c r="A23349" s="4" t="str">
        <f>IFERROR(__xludf.DUMMYFUNCTION("""COMPUTED_VALUE"""),"cas_hmw")</f>
        <v>cas_hmw</v>
      </c>
      <c r="B23349" s="5">
        <f>IFERROR(__xludf.DUMMYFUNCTION("""COMPUTED_VALUE"""),44792.0)</f>
        <v>44792</v>
      </c>
      <c r="C23349" s="6">
        <f>IFERROR(__xludf.DUMMYFUNCTION("""COMPUTED_VALUE"""),0.7290856481486117)</f>
        <v>0.7290856481</v>
      </c>
      <c r="D23349" s="4">
        <f>IFERROR(__xludf.DUMMYFUNCTION("""COMPUTED_VALUE"""),12.656479)</f>
        <v>12.656479</v>
      </c>
      <c r="E23349" s="4">
        <f>IFERROR(__xludf.DUMMYFUNCTION("""COMPUTED_VALUE"""),79.942001)</f>
        <v>79.942001</v>
      </c>
      <c r="F23349" s="4">
        <f>IFERROR(__xludf.DUMMYFUNCTION("""COMPUTED_VALUE"""),2846.0)</f>
        <v>2846</v>
      </c>
      <c r="G23349" s="4">
        <f>IFERROR(__xludf.DUMMYFUNCTION("""COMPUTED_VALUE"""),57.0)</f>
        <v>57</v>
      </c>
      <c r="H23349" s="4"/>
      <c r="I23349" s="4"/>
    </row>
    <row r="23350">
      <c r="A23350" s="4" t="str">
        <f>IFERROR(__xludf.DUMMYFUNCTION("""COMPUTED_VALUE"""),"cas_hmw")</f>
        <v>cas_hmw</v>
      </c>
      <c r="B23350" s="5">
        <f>IFERROR(__xludf.DUMMYFUNCTION("""COMPUTED_VALUE"""),44792.0)</f>
        <v>44792</v>
      </c>
      <c r="C23350" s="6">
        <f>IFERROR(__xludf.DUMMYFUNCTION("""COMPUTED_VALUE"""),0.729282407406572)</f>
        <v>0.7292824074</v>
      </c>
      <c r="D23350" s="4">
        <f>IFERROR(__xludf.DUMMYFUNCTION("""COMPUTED_VALUE"""),13.051324)</f>
        <v>13.051324</v>
      </c>
      <c r="E23350" s="4">
        <f>IFERROR(__xludf.DUMMYFUNCTION("""COMPUTED_VALUE"""),80.250116)</f>
        <v>80.250116</v>
      </c>
      <c r="F23350" s="4">
        <f>IFERROR(__xludf.DUMMYFUNCTION("""COMPUTED_VALUE"""),5339.0)</f>
        <v>5339</v>
      </c>
      <c r="G23350" s="4">
        <f>IFERROR(__xludf.DUMMYFUNCTION("""COMPUTED_VALUE"""),36.0)</f>
        <v>36</v>
      </c>
      <c r="H23350" s="4"/>
      <c r="I23350" s="4"/>
    </row>
    <row r="23351">
      <c r="A23351" s="4" t="str">
        <f>IFERROR(__xludf.DUMMYFUNCTION("""COMPUTED_VALUE"""),"cas_hmw")</f>
        <v>cas_hmw</v>
      </c>
      <c r="B23351" s="5">
        <f>IFERROR(__xludf.DUMMYFUNCTION("""COMPUTED_VALUE"""),44792.0)</f>
        <v>44792</v>
      </c>
      <c r="C23351" s="6">
        <f>IFERROR(__xludf.DUMMYFUNCTION("""COMPUTED_VALUE"""),0.7293634259258397)</f>
        <v>0.7293634259</v>
      </c>
      <c r="D23351" s="4">
        <f>IFERROR(__xludf.DUMMYFUNCTION("""COMPUTED_VALUE"""),12.960614)</f>
        <v>12.960614</v>
      </c>
      <c r="E23351" s="4">
        <f>IFERROR(__xludf.DUMMYFUNCTION("""COMPUTED_VALUE"""),80.214839)</f>
        <v>80.214839</v>
      </c>
      <c r="F23351" s="4">
        <f>IFERROR(__xludf.DUMMYFUNCTION("""COMPUTED_VALUE"""),3143.0)</f>
        <v>3143</v>
      </c>
      <c r="G23351" s="4">
        <f>IFERROR(__xludf.DUMMYFUNCTION("""COMPUTED_VALUE"""),0.0)</f>
        <v>0</v>
      </c>
      <c r="H23351" s="4"/>
      <c r="I23351" s="4"/>
    </row>
    <row r="23352">
      <c r="A23352" s="4" t="str">
        <f>IFERROR(__xludf.DUMMYFUNCTION("""COMPUTED_VALUE"""),"cas_hmw")</f>
        <v>cas_hmw</v>
      </c>
      <c r="B23352" s="5">
        <f>IFERROR(__xludf.DUMMYFUNCTION("""COMPUTED_VALUE"""),44792.0)</f>
        <v>44792</v>
      </c>
      <c r="C23352" s="6">
        <f>IFERROR(__xludf.DUMMYFUNCTION("""COMPUTED_VALUE"""),0.729386574075761)</f>
        <v>0.7293865741</v>
      </c>
      <c r="D23352" s="4">
        <f>IFERROR(__xludf.DUMMYFUNCTION("""COMPUTED_VALUE"""),12.95934)</f>
        <v>12.95934</v>
      </c>
      <c r="E23352" s="4">
        <f>IFERROR(__xludf.DUMMYFUNCTION("""COMPUTED_VALUE"""),80.214328)</f>
        <v>80.214328</v>
      </c>
      <c r="F23352" s="4">
        <f>IFERROR(__xludf.DUMMYFUNCTION("""COMPUTED_VALUE"""),3143.0)</f>
        <v>3143</v>
      </c>
      <c r="G23352" s="4">
        <f>IFERROR(__xludf.DUMMYFUNCTION("""COMPUTED_VALUE"""),0.0)</f>
        <v>0</v>
      </c>
      <c r="H23352" s="4"/>
      <c r="I23352" s="4"/>
    </row>
    <row r="23353">
      <c r="A23353" s="4" t="str">
        <f>IFERROR(__xludf.DUMMYFUNCTION("""COMPUTED_VALUE"""),"cas_hmw")</f>
        <v>cas_hmw</v>
      </c>
      <c r="B23353" s="5">
        <f>IFERROR(__xludf.DUMMYFUNCTION("""COMPUTED_VALUE"""),44792.0)</f>
        <v>44792</v>
      </c>
      <c r="C23353" s="6">
        <f>IFERROR(__xludf.DUMMYFUNCTION("""COMPUTED_VALUE"""),0.7294444444451074)</f>
        <v>0.7294444444</v>
      </c>
      <c r="D23353" s="4">
        <f>IFERROR(__xludf.DUMMYFUNCTION("""COMPUTED_VALUE"""),13.052054)</f>
        <v>13.052054</v>
      </c>
      <c r="E23353" s="4">
        <f>IFERROR(__xludf.DUMMYFUNCTION("""COMPUTED_VALUE"""),80.250629)</f>
        <v>80.250629</v>
      </c>
      <c r="F23353" s="4">
        <f>IFERROR(__xludf.DUMMYFUNCTION("""COMPUTED_VALUE"""),5339.0)</f>
        <v>5339</v>
      </c>
      <c r="G23353" s="4">
        <f>IFERROR(__xludf.DUMMYFUNCTION("""COMPUTED_VALUE"""),29.0)</f>
        <v>29</v>
      </c>
      <c r="H23353" s="4"/>
      <c r="I23353" s="4"/>
    </row>
    <row r="23354">
      <c r="A23354" s="4" t="str">
        <f>IFERROR(__xludf.DUMMYFUNCTION("""COMPUTED_VALUE"""),"cas_hmw")</f>
        <v>cas_hmw</v>
      </c>
      <c r="B23354" s="5">
        <f>IFERROR(__xludf.DUMMYFUNCTION("""COMPUTED_VALUE"""),44792.0)</f>
        <v>44792</v>
      </c>
      <c r="C23354" s="6">
        <f>IFERROR(__xludf.DUMMYFUNCTION("""COMPUTED_VALUE"""),0.7295138888875954)</f>
        <v>0.7295138889</v>
      </c>
      <c r="D23354" s="4">
        <f>IFERROR(__xludf.DUMMYFUNCTION("""COMPUTED_VALUE"""),12.95934)</f>
        <v>12.95934</v>
      </c>
      <c r="E23354" s="4">
        <f>IFERROR(__xludf.DUMMYFUNCTION("""COMPUTED_VALUE"""),80.214328)</f>
        <v>80.214328</v>
      </c>
      <c r="F23354" s="4">
        <f>IFERROR(__xludf.DUMMYFUNCTION("""COMPUTED_VALUE"""),3143.0)</f>
        <v>3143</v>
      </c>
      <c r="G23354" s="4">
        <f>IFERROR(__xludf.DUMMYFUNCTION("""COMPUTED_VALUE"""),0.0)</f>
        <v>0</v>
      </c>
      <c r="H23354" s="4"/>
      <c r="I23354" s="4"/>
    </row>
    <row r="23355">
      <c r="A23355" s="4" t="str">
        <f>IFERROR(__xludf.DUMMYFUNCTION("""COMPUTED_VALUE"""),"cas_hmw")</f>
        <v>cas_hmw</v>
      </c>
      <c r="B23355" s="5">
        <f>IFERROR(__xludf.DUMMYFUNCTION("""COMPUTED_VALUE"""),44792.0)</f>
        <v>44792</v>
      </c>
      <c r="C23355" s="6">
        <f>IFERROR(__xludf.DUMMYFUNCTION("""COMPUTED_VALUE"""),0.7297453703686188)</f>
        <v>0.7297453704</v>
      </c>
      <c r="D23355" s="4">
        <f>IFERROR(__xludf.DUMMYFUNCTION("""COMPUTED_VALUE"""),13.053633)</f>
        <v>13.053633</v>
      </c>
      <c r="E23355" s="4">
        <f>IFERROR(__xludf.DUMMYFUNCTION("""COMPUTED_VALUE"""),80.25269)</f>
        <v>80.25269</v>
      </c>
      <c r="F23355" s="4">
        <f>IFERROR(__xludf.DUMMYFUNCTION("""COMPUTED_VALUE"""),5339.0)</f>
        <v>5339</v>
      </c>
      <c r="G23355" s="4">
        <f>IFERROR(__xludf.DUMMYFUNCTION("""COMPUTED_VALUE"""),25.0)</f>
        <v>25</v>
      </c>
      <c r="H23355" s="4"/>
      <c r="I23355" s="4"/>
    </row>
    <row r="23356">
      <c r="A23356" s="4" t="str">
        <f>IFERROR(__xludf.DUMMYFUNCTION("""COMPUTED_VALUE"""),"cas_hmw")</f>
        <v>cas_hmw</v>
      </c>
      <c r="B23356" s="5">
        <f>IFERROR(__xludf.DUMMYFUNCTION("""COMPUTED_VALUE"""),44792.0)</f>
        <v>44792</v>
      </c>
      <c r="C23356" s="6">
        <f>IFERROR(__xludf.DUMMYFUNCTION("""COMPUTED_VALUE"""),0.7332754629642295)</f>
        <v>0.733275463</v>
      </c>
      <c r="D23356" s="4">
        <f>IFERROR(__xludf.DUMMYFUNCTION("""COMPUTED_VALUE"""),13.053726)</f>
        <v>13.053726</v>
      </c>
      <c r="E23356" s="4">
        <f>IFERROR(__xludf.DUMMYFUNCTION("""COMPUTED_VALUE"""),80.265989)</f>
        <v>80.265989</v>
      </c>
      <c r="F23356" s="4">
        <f>IFERROR(__xludf.DUMMYFUNCTION("""COMPUTED_VALUE"""),5339.0)</f>
        <v>5339</v>
      </c>
      <c r="G23356" s="4">
        <f>IFERROR(__xludf.DUMMYFUNCTION("""COMPUTED_VALUE"""),33.0)</f>
        <v>33</v>
      </c>
      <c r="H23356" s="4"/>
      <c r="I23356" s="4"/>
    </row>
    <row r="23357">
      <c r="A23357" s="4" t="str">
        <f>IFERROR(__xludf.DUMMYFUNCTION("""COMPUTED_VALUE"""),"cas_hmw")</f>
        <v>cas_hmw</v>
      </c>
      <c r="B23357" s="5">
        <f>IFERROR(__xludf.DUMMYFUNCTION("""COMPUTED_VALUE"""),44792.0)</f>
        <v>44792</v>
      </c>
      <c r="C23357" s="6">
        <f>IFERROR(__xludf.DUMMYFUNCTION("""COMPUTED_VALUE"""),0.734548611111677)</f>
        <v>0.7345486111</v>
      </c>
      <c r="D23357" s="4">
        <f>IFERROR(__xludf.DUMMYFUNCTION("""COMPUTED_VALUE"""),12.94841)</f>
        <v>12.94841</v>
      </c>
      <c r="E23357" s="4">
        <f>IFERROR(__xludf.DUMMYFUNCTION("""COMPUTED_VALUE"""),80.209351)</f>
        <v>80.209351</v>
      </c>
      <c r="F23357" s="4">
        <f>IFERROR(__xludf.DUMMYFUNCTION("""COMPUTED_VALUE"""),3143.0)</f>
        <v>3143</v>
      </c>
      <c r="G23357" s="4">
        <f>IFERROR(__xludf.DUMMYFUNCTION("""COMPUTED_VALUE"""),31.0)</f>
        <v>31</v>
      </c>
      <c r="H23357" s="4"/>
      <c r="I23357" s="4"/>
    </row>
    <row r="23358">
      <c r="A23358" s="4" t="str">
        <f>IFERROR(__xludf.DUMMYFUNCTION("""COMPUTED_VALUE"""),"cas_hmw")</f>
        <v>cas_hmw</v>
      </c>
      <c r="B23358" s="5">
        <f>IFERROR(__xludf.DUMMYFUNCTION("""COMPUTED_VALUE"""),44792.0)</f>
        <v>44792</v>
      </c>
      <c r="C23358" s="6">
        <f>IFERROR(__xludf.DUMMYFUNCTION("""COMPUTED_VALUE"""),0.73458333333474)</f>
        <v>0.7345833333</v>
      </c>
      <c r="D23358" s="4">
        <f>IFERROR(__xludf.DUMMYFUNCTION("""COMPUTED_VALUE"""),12.94841)</f>
        <v>12.94841</v>
      </c>
      <c r="E23358" s="4">
        <f>IFERROR(__xludf.DUMMYFUNCTION("""COMPUTED_VALUE"""),80.209351)</f>
        <v>80.209351</v>
      </c>
      <c r="F23358" s="4">
        <f>IFERROR(__xludf.DUMMYFUNCTION("""COMPUTED_VALUE"""),3143.0)</f>
        <v>3143</v>
      </c>
      <c r="G23358" s="4">
        <f>IFERROR(__xludf.DUMMYFUNCTION("""COMPUTED_VALUE"""),31.0)</f>
        <v>31</v>
      </c>
      <c r="H23358" s="4"/>
      <c r="I23358" s="4"/>
    </row>
    <row r="23359">
      <c r="A23359" s="4" t="str">
        <f>IFERROR(__xludf.DUMMYFUNCTION("""COMPUTED_VALUE"""),"cas_hmw")</f>
        <v>cas_hmw</v>
      </c>
      <c r="B23359" s="5">
        <f>IFERROR(__xludf.DUMMYFUNCTION("""COMPUTED_VALUE"""),44792.0)</f>
        <v>44792</v>
      </c>
      <c r="C23359" s="6">
        <f>IFERROR(__xludf.DUMMYFUNCTION("""COMPUTED_VALUE"""),0.734618055554165)</f>
        <v>0.7346180556</v>
      </c>
      <c r="D23359" s="4">
        <f>IFERROR(__xludf.DUMMYFUNCTION("""COMPUTED_VALUE"""),12.948498)</f>
        <v>12.948498</v>
      </c>
      <c r="E23359" s="4">
        <f>IFERROR(__xludf.DUMMYFUNCTION("""COMPUTED_VALUE"""),80.208402)</f>
        <v>80.208402</v>
      </c>
      <c r="F23359" s="4">
        <f>IFERROR(__xludf.DUMMYFUNCTION("""COMPUTED_VALUE"""),3143.0)</f>
        <v>3143</v>
      </c>
      <c r="G23359" s="4">
        <f>IFERROR(__xludf.DUMMYFUNCTION("""COMPUTED_VALUE"""),39.0)</f>
        <v>39</v>
      </c>
      <c r="H23359" s="4"/>
      <c r="I23359" s="4"/>
    </row>
    <row r="23360">
      <c r="A23360" s="4" t="str">
        <f>IFERROR(__xludf.DUMMYFUNCTION("""COMPUTED_VALUE"""),"cas_hmw")</f>
        <v>cas_hmw</v>
      </c>
      <c r="B23360" s="5">
        <f>IFERROR(__xludf.DUMMYFUNCTION("""COMPUTED_VALUE"""),44792.0)</f>
        <v>44792</v>
      </c>
      <c r="C23360" s="6">
        <f>IFERROR(__xludf.DUMMYFUNCTION("""COMPUTED_VALUE"""),0.7346643518503697)</f>
        <v>0.7346643519</v>
      </c>
      <c r="D23360" s="4">
        <f>IFERROR(__xludf.DUMMYFUNCTION("""COMPUTED_VALUE"""),12.948498)</f>
        <v>12.948498</v>
      </c>
      <c r="E23360" s="4">
        <f>IFERROR(__xludf.DUMMYFUNCTION("""COMPUTED_VALUE"""),80.208402)</f>
        <v>80.208402</v>
      </c>
      <c r="F23360" s="4">
        <f>IFERROR(__xludf.DUMMYFUNCTION("""COMPUTED_VALUE"""),3143.0)</f>
        <v>3143</v>
      </c>
      <c r="G23360" s="4">
        <f>IFERROR(__xludf.DUMMYFUNCTION("""COMPUTED_VALUE"""),39.0)</f>
        <v>39</v>
      </c>
      <c r="H23360" s="4"/>
      <c r="I23360" s="4"/>
    </row>
    <row r="23361">
      <c r="A23361" s="4" t="str">
        <f>IFERROR(__xludf.DUMMYFUNCTION("""COMPUTED_VALUE"""),"cas_hmw")</f>
        <v>cas_hmw</v>
      </c>
      <c r="B23361" s="5">
        <f>IFERROR(__xludf.DUMMYFUNCTION("""COMPUTED_VALUE"""),44792.0)</f>
        <v>44792</v>
      </c>
      <c r="C23361" s="6">
        <f>IFERROR(__xludf.DUMMYFUNCTION("""COMPUTED_VALUE"""),0.736817129629344)</f>
        <v>0.7368171296</v>
      </c>
      <c r="D23361" s="4">
        <f>IFERROR(__xludf.DUMMYFUNCTION("""COMPUTED_VALUE"""),12.949535)</f>
        <v>12.949535</v>
      </c>
      <c r="E23361" s="4">
        <f>IFERROR(__xludf.DUMMYFUNCTION("""COMPUTED_VALUE"""),80.181608)</f>
        <v>80.181608</v>
      </c>
      <c r="F23361" s="4">
        <f>IFERROR(__xludf.DUMMYFUNCTION("""COMPUTED_VALUE"""),3143.0)</f>
        <v>3143</v>
      </c>
      <c r="G23361" s="4">
        <f>IFERROR(__xludf.DUMMYFUNCTION("""COMPUTED_VALUE"""),44.0)</f>
        <v>44</v>
      </c>
      <c r="H23361" s="4"/>
      <c r="I23361" s="4"/>
    </row>
    <row r="23362">
      <c r="A23362" s="4" t="str">
        <f>IFERROR(__xludf.DUMMYFUNCTION("""COMPUTED_VALUE"""),"cas_hmw")</f>
        <v>cas_hmw</v>
      </c>
      <c r="B23362" s="5">
        <f>IFERROR(__xludf.DUMMYFUNCTION("""COMPUTED_VALUE"""),44792.0)</f>
        <v>44792</v>
      </c>
      <c r="C23362" s="6">
        <f>IFERROR(__xludf.DUMMYFUNCTION("""COMPUTED_VALUE"""),0.7372916666681704)</f>
        <v>0.7372916667</v>
      </c>
      <c r="D23362" s="4">
        <f>IFERROR(__xludf.DUMMYFUNCTION("""COMPUTED_VALUE"""),12.950756)</f>
        <v>12.950756</v>
      </c>
      <c r="E23362" s="4">
        <f>IFERROR(__xludf.DUMMYFUNCTION("""COMPUTED_VALUE"""),80.176578)</f>
        <v>80.176578</v>
      </c>
      <c r="F23362" s="4">
        <f>IFERROR(__xludf.DUMMYFUNCTION("""COMPUTED_VALUE"""),3143.0)</f>
        <v>3143</v>
      </c>
      <c r="G23362" s="4">
        <f>IFERROR(__xludf.DUMMYFUNCTION("""COMPUTED_VALUE"""),43.0)</f>
        <v>43</v>
      </c>
      <c r="H23362" s="4"/>
      <c r="I23362" s="4"/>
    </row>
    <row r="23363">
      <c r="A23363" s="4" t="str">
        <f>IFERROR(__xludf.DUMMYFUNCTION("""COMPUTED_VALUE"""),"cas_hmw")</f>
        <v>cas_hmw</v>
      </c>
      <c r="B23363" s="5">
        <f>IFERROR(__xludf.DUMMYFUNCTION("""COMPUTED_VALUE"""),44792.0)</f>
        <v>44792</v>
      </c>
      <c r="C23363" s="6">
        <f>IFERROR(__xludf.DUMMYFUNCTION("""COMPUTED_VALUE"""),0.7374074074068631)</f>
        <v>0.7374074074</v>
      </c>
      <c r="D23363" s="4">
        <f>IFERROR(__xludf.DUMMYFUNCTION("""COMPUTED_VALUE"""),12.950756)</f>
        <v>12.950756</v>
      </c>
      <c r="E23363" s="4">
        <f>IFERROR(__xludf.DUMMYFUNCTION("""COMPUTED_VALUE"""),80.176578)</f>
        <v>80.176578</v>
      </c>
      <c r="F23363" s="4">
        <f>IFERROR(__xludf.DUMMYFUNCTION("""COMPUTED_VALUE"""),3143.0)</f>
        <v>3143</v>
      </c>
      <c r="G23363" s="4">
        <f>IFERROR(__xludf.DUMMYFUNCTION("""COMPUTED_VALUE"""),43.0)</f>
        <v>43</v>
      </c>
      <c r="H23363" s="4"/>
      <c r="I23363" s="4"/>
    </row>
    <row r="23364">
      <c r="A23364" s="4" t="str">
        <f>IFERROR(__xludf.DUMMYFUNCTION("""COMPUTED_VALUE"""),"cas_hmw")</f>
        <v>cas_hmw</v>
      </c>
      <c r="B23364" s="5">
        <f>IFERROR(__xludf.DUMMYFUNCTION("""COMPUTED_VALUE"""),44792.0)</f>
        <v>44792</v>
      </c>
      <c r="C23364" s="6">
        <f>IFERROR(__xludf.DUMMYFUNCTION("""COMPUTED_VALUE"""),0.739259259258688)</f>
        <v>0.7392592593</v>
      </c>
      <c r="D23364" s="4">
        <f>IFERROR(__xludf.DUMMYFUNCTION("""COMPUTED_VALUE"""),12.953051)</f>
        <v>12.953051</v>
      </c>
      <c r="E23364" s="4">
        <f>IFERROR(__xludf.DUMMYFUNCTION("""COMPUTED_VALUE"""),80.165389)</f>
        <v>80.165389</v>
      </c>
      <c r="F23364" s="4">
        <f>IFERROR(__xludf.DUMMYFUNCTION("""COMPUTED_VALUE"""),3143.0)</f>
        <v>3143</v>
      </c>
      <c r="G23364" s="4">
        <f>IFERROR(__xludf.DUMMYFUNCTION("""COMPUTED_VALUE"""),28.0)</f>
        <v>28</v>
      </c>
      <c r="H23364" s="4"/>
      <c r="I23364" s="4"/>
    </row>
    <row r="23365">
      <c r="A23365" s="4" t="str">
        <f>IFERROR(__xludf.DUMMYFUNCTION("""COMPUTED_VALUE"""),"cas_hmw")</f>
        <v>cas_hmw</v>
      </c>
      <c r="B23365" s="5">
        <f>IFERROR(__xludf.DUMMYFUNCTION("""COMPUTED_VALUE"""),44792.0)</f>
        <v>44792</v>
      </c>
      <c r="C23365" s="6">
        <f>IFERROR(__xludf.DUMMYFUNCTION("""COMPUTED_VALUE"""),0.739328703704814)</f>
        <v>0.7393287037</v>
      </c>
      <c r="D23365" s="4">
        <f>IFERROR(__xludf.DUMMYFUNCTION("""COMPUTED_VALUE"""),12.546921)</f>
        <v>12.546921</v>
      </c>
      <c r="E23365" s="4">
        <f>IFERROR(__xludf.DUMMYFUNCTION("""COMPUTED_VALUE"""),79.905619)</f>
        <v>79.905619</v>
      </c>
      <c r="F23365" s="4">
        <f>IFERROR(__xludf.DUMMYFUNCTION("""COMPUTED_VALUE"""),2846.0)</f>
        <v>2846</v>
      </c>
      <c r="G23365" s="4">
        <f>IFERROR(__xludf.DUMMYFUNCTION("""COMPUTED_VALUE"""),58.0)</f>
        <v>58</v>
      </c>
      <c r="H23365" s="4"/>
      <c r="I23365" s="4"/>
    </row>
    <row r="23366">
      <c r="A23366" s="4" t="str">
        <f>IFERROR(__xludf.DUMMYFUNCTION("""COMPUTED_VALUE"""),"cas_hmw")</f>
        <v>cas_hmw</v>
      </c>
      <c r="B23366" s="5">
        <f>IFERROR(__xludf.DUMMYFUNCTION("""COMPUTED_VALUE"""),44792.0)</f>
        <v>44792</v>
      </c>
      <c r="C23366" s="6">
        <f>IFERROR(__xludf.DUMMYFUNCTION("""COMPUTED_VALUE"""),0.7394444444435067)</f>
        <v>0.7394444444</v>
      </c>
      <c r="D23366" s="4">
        <f>IFERROR(__xludf.DUMMYFUNCTION("""COMPUTED_VALUE"""),12.953288)</f>
        <v>12.953288</v>
      </c>
      <c r="E23366" s="4">
        <f>IFERROR(__xludf.DUMMYFUNCTION("""COMPUTED_VALUE"""),80.164445)</f>
        <v>80.164445</v>
      </c>
      <c r="F23366" s="4">
        <f>IFERROR(__xludf.DUMMYFUNCTION("""COMPUTED_VALUE"""),3143.0)</f>
        <v>3143</v>
      </c>
      <c r="G23366" s="4">
        <f>IFERROR(__xludf.DUMMYFUNCTION("""COMPUTED_VALUE"""),44.0)</f>
        <v>44</v>
      </c>
      <c r="H23366" s="4"/>
      <c r="I23366" s="4"/>
    </row>
    <row r="23367">
      <c r="A23367" s="4" t="str">
        <f>IFERROR(__xludf.DUMMYFUNCTION("""COMPUTED_VALUE"""),"cas_hmw")</f>
        <v>cas_hmw</v>
      </c>
      <c r="B23367" s="5">
        <f>IFERROR(__xludf.DUMMYFUNCTION("""COMPUTED_VALUE"""),44792.0)</f>
        <v>44792</v>
      </c>
      <c r="C23367" s="6">
        <f>IFERROR(__xludf.DUMMYFUNCTION("""COMPUTED_VALUE"""),0.7395601851858373)</f>
        <v>0.7395601852</v>
      </c>
      <c r="D23367" s="4">
        <f>IFERROR(__xludf.DUMMYFUNCTION("""COMPUTED_VALUE"""),12.953546)</f>
        <v>12.953546</v>
      </c>
      <c r="E23367" s="4">
        <f>IFERROR(__xludf.DUMMYFUNCTION("""COMPUTED_VALUE"""),80.163282)</f>
        <v>80.163282</v>
      </c>
      <c r="F23367" s="4">
        <f>IFERROR(__xludf.DUMMYFUNCTION("""COMPUTED_VALUE"""),3143.0)</f>
        <v>3143</v>
      </c>
      <c r="G23367" s="4">
        <f>IFERROR(__xludf.DUMMYFUNCTION("""COMPUTED_VALUE"""),44.0)</f>
        <v>44</v>
      </c>
      <c r="H23367" s="4"/>
      <c r="I23367" s="4"/>
    </row>
    <row r="23368">
      <c r="A23368" s="4" t="str">
        <f>IFERROR(__xludf.DUMMYFUNCTION("""COMPUTED_VALUE"""),"cas_hmw")</f>
        <v>cas_hmw</v>
      </c>
      <c r="B23368" s="5">
        <f>IFERROR(__xludf.DUMMYFUNCTION("""COMPUTED_VALUE"""),44792.0)</f>
        <v>44792</v>
      </c>
      <c r="C23368" s="6">
        <f>IFERROR(__xludf.DUMMYFUNCTION("""COMPUTED_VALUE"""),0.73988425925927)</f>
        <v>0.7398842593</v>
      </c>
      <c r="D23368" s="4">
        <f>IFERROR(__xludf.DUMMYFUNCTION("""COMPUTED_VALUE"""),13.066911)</f>
        <v>13.066911</v>
      </c>
      <c r="E23368" s="4">
        <f>IFERROR(__xludf.DUMMYFUNCTION("""COMPUTED_VALUE"""),80.273544)</f>
        <v>80.273544</v>
      </c>
      <c r="F23368" s="4">
        <f>IFERROR(__xludf.DUMMYFUNCTION("""COMPUTED_VALUE"""),5339.0)</f>
        <v>5339</v>
      </c>
      <c r="G23368" s="4">
        <f>IFERROR(__xludf.DUMMYFUNCTION("""COMPUTED_VALUE"""),23.0)</f>
        <v>23</v>
      </c>
      <c r="H23368" s="4"/>
      <c r="I23368" s="4"/>
    </row>
    <row r="23369">
      <c r="A23369" s="4" t="str">
        <f>IFERROR(__xludf.DUMMYFUNCTION("""COMPUTED_VALUE"""),"cas_hmw")</f>
        <v>cas_hmw</v>
      </c>
      <c r="B23369" s="5">
        <f>IFERROR(__xludf.DUMMYFUNCTION("""COMPUTED_VALUE"""),44792.0)</f>
        <v>44792</v>
      </c>
      <c r="C23369" s="6">
        <f>IFERROR(__xludf.DUMMYFUNCTION("""COMPUTED_VALUE"""),0.7408333333332848)</f>
        <v>0.7408333333</v>
      </c>
      <c r="D23369" s="4">
        <f>IFERROR(__xludf.DUMMYFUNCTION("""COMPUTED_VALUE"""),12.955266)</f>
        <v>12.955266</v>
      </c>
      <c r="E23369" s="4">
        <f>IFERROR(__xludf.DUMMYFUNCTION("""COMPUTED_VALUE"""),80.15503)</f>
        <v>80.15503</v>
      </c>
      <c r="F23369" s="4">
        <f>IFERROR(__xludf.DUMMYFUNCTION("""COMPUTED_VALUE"""),3143.0)</f>
        <v>3143</v>
      </c>
      <c r="G23369" s="4">
        <f>IFERROR(__xludf.DUMMYFUNCTION("""COMPUTED_VALUE"""),52.0)</f>
        <v>52</v>
      </c>
      <c r="H23369" s="4"/>
      <c r="I23369" s="4"/>
    </row>
    <row r="23370">
      <c r="A23370" s="4" t="str">
        <f>IFERROR(__xludf.DUMMYFUNCTION("""COMPUTED_VALUE"""),"cas_hmw")</f>
        <v>cas_hmw</v>
      </c>
      <c r="B23370" s="5">
        <f>IFERROR(__xludf.DUMMYFUNCTION("""COMPUTED_VALUE"""),44792.0)</f>
        <v>44792</v>
      </c>
      <c r="C23370" s="6">
        <f>IFERROR(__xludf.DUMMYFUNCTION("""COMPUTED_VALUE"""),0.7408680555563478)</f>
        <v>0.7408680556</v>
      </c>
      <c r="D23370" s="4">
        <f>IFERROR(__xludf.DUMMYFUNCTION("""COMPUTED_VALUE"""),12.527226)</f>
        <v>12.527226</v>
      </c>
      <c r="E23370" s="4">
        <f>IFERROR(__xludf.DUMMYFUNCTION("""COMPUTED_VALUE"""),79.898178)</f>
        <v>79.898178</v>
      </c>
      <c r="F23370" s="4">
        <f>IFERROR(__xludf.DUMMYFUNCTION("""COMPUTED_VALUE"""),2846.0)</f>
        <v>2846</v>
      </c>
      <c r="G23370" s="4">
        <f>IFERROR(__xludf.DUMMYFUNCTION("""COMPUTED_VALUE"""),57.0)</f>
        <v>57</v>
      </c>
      <c r="H23370" s="4"/>
      <c r="I23370" s="4"/>
    </row>
    <row r="23371">
      <c r="A23371" s="4" t="str">
        <f>IFERROR(__xludf.DUMMYFUNCTION("""COMPUTED_VALUE"""),"cas_hmw")</f>
        <v>cas_hmw</v>
      </c>
      <c r="B23371" s="5">
        <f>IFERROR(__xludf.DUMMYFUNCTION("""COMPUTED_VALUE"""),44792.0)</f>
        <v>44792</v>
      </c>
      <c r="C23371" s="6">
        <f>IFERROR(__xludf.DUMMYFUNCTION("""COMPUTED_VALUE"""),0.7409837962950405)</f>
        <v>0.7409837963</v>
      </c>
      <c r="D23371" s="4">
        <f>IFERROR(__xludf.DUMMYFUNCTION("""COMPUTED_VALUE"""),12.956019)</f>
        <v>12.956019</v>
      </c>
      <c r="E23371" s="4">
        <f>IFERROR(__xludf.DUMMYFUNCTION("""COMPUTED_VALUE"""),80.152565)</f>
        <v>80.152565</v>
      </c>
      <c r="F23371" s="4">
        <f>IFERROR(__xludf.DUMMYFUNCTION("""COMPUTED_VALUE"""),3143.0)</f>
        <v>3143</v>
      </c>
      <c r="G23371" s="4">
        <f>IFERROR(__xludf.DUMMYFUNCTION("""COMPUTED_VALUE"""),50.0)</f>
        <v>50</v>
      </c>
      <c r="H23371" s="4"/>
      <c r="I23371" s="4"/>
    </row>
    <row r="23372">
      <c r="A23372" s="4" t="str">
        <f>IFERROR(__xludf.DUMMYFUNCTION("""COMPUTED_VALUE"""),"cas_hmw")</f>
        <v>cas_hmw</v>
      </c>
      <c r="B23372" s="5">
        <f>IFERROR(__xludf.DUMMYFUNCTION("""COMPUTED_VALUE"""),44792.0)</f>
        <v>44792</v>
      </c>
      <c r="C23372" s="6">
        <f>IFERROR(__xludf.DUMMYFUNCTION("""COMPUTED_VALUE"""),0.7410416666680248)</f>
        <v>0.7410416667</v>
      </c>
      <c r="D23372" s="4">
        <f>IFERROR(__xludf.DUMMYFUNCTION("""COMPUTED_VALUE"""),12.956019)</f>
        <v>12.956019</v>
      </c>
      <c r="E23372" s="4">
        <f>IFERROR(__xludf.DUMMYFUNCTION("""COMPUTED_VALUE"""),80.152565)</f>
        <v>80.152565</v>
      </c>
      <c r="F23372" s="4">
        <f>IFERROR(__xludf.DUMMYFUNCTION("""COMPUTED_VALUE"""),3143.0)</f>
        <v>3143</v>
      </c>
      <c r="G23372" s="4">
        <f>IFERROR(__xludf.DUMMYFUNCTION("""COMPUTED_VALUE"""),50.0)</f>
        <v>50</v>
      </c>
      <c r="H23372" s="4"/>
      <c r="I23372" s="4"/>
    </row>
    <row r="23373">
      <c r="A23373" s="4" t="str">
        <f>IFERROR(__xludf.DUMMYFUNCTION("""COMPUTED_VALUE"""),"cas_hmw")</f>
        <v>cas_hmw</v>
      </c>
      <c r="B23373" s="5">
        <f>IFERROR(__xludf.DUMMYFUNCTION("""COMPUTED_VALUE"""),44792.0)</f>
        <v>44792</v>
      </c>
      <c r="C23373" s="6">
        <f>IFERROR(__xludf.DUMMYFUNCTION("""COMPUTED_VALUE"""),0.7410995370373712)</f>
        <v>0.741099537</v>
      </c>
      <c r="D23373" s="4">
        <f>IFERROR(__xludf.DUMMYFUNCTION("""COMPUTED_VALUE"""),13.066673)</f>
        <v>13.066673</v>
      </c>
      <c r="E23373" s="4">
        <f>IFERROR(__xludf.DUMMYFUNCTION("""COMPUTED_VALUE"""),80.268412)</f>
        <v>80.268412</v>
      </c>
      <c r="F23373" s="4">
        <f>IFERROR(__xludf.DUMMYFUNCTION("""COMPUTED_VALUE"""),5339.0)</f>
        <v>5339</v>
      </c>
      <c r="G23373" s="4">
        <f>IFERROR(__xludf.DUMMYFUNCTION("""COMPUTED_VALUE"""),6.0)</f>
        <v>6</v>
      </c>
      <c r="H23373" s="4"/>
      <c r="I23373" s="4"/>
    </row>
    <row r="23374">
      <c r="A23374" s="4" t="str">
        <f>IFERROR(__xludf.DUMMYFUNCTION("""COMPUTED_VALUE"""),"cas_hmw")</f>
        <v>cas_hmw</v>
      </c>
      <c r="B23374" s="5">
        <f>IFERROR(__xludf.DUMMYFUNCTION("""COMPUTED_VALUE"""),44792.0)</f>
        <v>44792</v>
      </c>
      <c r="C23374" s="6">
        <f>IFERROR(__xludf.DUMMYFUNCTION("""COMPUTED_VALUE"""),0.7411226851836545)</f>
        <v>0.7411226852</v>
      </c>
      <c r="D23374" s="4">
        <f>IFERROR(__xludf.DUMMYFUNCTION("""COMPUTED_VALUE"""),13.067033)</f>
        <v>13.067033</v>
      </c>
      <c r="E23374" s="4">
        <f>IFERROR(__xludf.DUMMYFUNCTION("""COMPUTED_VALUE"""),80.268608)</f>
        <v>80.268608</v>
      </c>
      <c r="F23374" s="4">
        <f>IFERROR(__xludf.DUMMYFUNCTION("""COMPUTED_VALUE"""),5339.0)</f>
        <v>5339</v>
      </c>
      <c r="G23374" s="4">
        <f>IFERROR(__xludf.DUMMYFUNCTION("""COMPUTED_VALUE"""),27.0)</f>
        <v>27</v>
      </c>
      <c r="H23374" s="4"/>
      <c r="I23374" s="4"/>
    </row>
    <row r="23375">
      <c r="A23375" s="4" t="str">
        <f>IFERROR(__xludf.DUMMYFUNCTION("""COMPUTED_VALUE"""),"cas_hmw")</f>
        <v>cas_hmw</v>
      </c>
      <c r="B23375" s="5">
        <f>IFERROR(__xludf.DUMMYFUNCTION("""COMPUTED_VALUE"""),44792.0)</f>
        <v>44792</v>
      </c>
      <c r="C23375" s="6">
        <f>IFERROR(__xludf.DUMMYFUNCTION("""COMPUTED_VALUE"""),0.7411342592604342)</f>
        <v>0.7411342593</v>
      </c>
      <c r="D23375" s="4">
        <f>IFERROR(__xludf.DUMMYFUNCTION("""COMPUTED_VALUE"""),13.067033)</f>
        <v>13.067033</v>
      </c>
      <c r="E23375" s="4">
        <f>IFERROR(__xludf.DUMMYFUNCTION("""COMPUTED_VALUE"""),80.268608)</f>
        <v>80.268608</v>
      </c>
      <c r="F23375" s="4">
        <f>IFERROR(__xludf.DUMMYFUNCTION("""COMPUTED_VALUE"""),5339.0)</f>
        <v>5339</v>
      </c>
      <c r="G23375" s="4">
        <f>IFERROR(__xludf.DUMMYFUNCTION("""COMPUTED_VALUE"""),27.0)</f>
        <v>27</v>
      </c>
      <c r="H23375" s="4"/>
      <c r="I23375" s="4"/>
    </row>
    <row r="23376">
      <c r="A23376" s="4" t="str">
        <f>IFERROR(__xludf.DUMMYFUNCTION("""COMPUTED_VALUE"""),"cas_hmw")</f>
        <v>cas_hmw</v>
      </c>
      <c r="B23376" s="5">
        <f>IFERROR(__xludf.DUMMYFUNCTION("""COMPUTED_VALUE"""),44792.0)</f>
        <v>44792</v>
      </c>
      <c r="C23376" s="6">
        <f>IFERROR(__xludf.DUMMYFUNCTION("""COMPUTED_VALUE"""),0.7413541666683159)</f>
        <v>0.7413541667</v>
      </c>
      <c r="D23376" s="4">
        <f>IFERROR(__xludf.DUMMYFUNCTION("""COMPUTED_VALUE"""),12.95892)</f>
        <v>12.95892</v>
      </c>
      <c r="E23376" s="4">
        <f>IFERROR(__xludf.DUMMYFUNCTION("""COMPUTED_VALUE"""),80.15001)</f>
        <v>80.15001</v>
      </c>
      <c r="F23376" s="4">
        <f>IFERROR(__xludf.DUMMYFUNCTION("""COMPUTED_VALUE"""),3143.0)</f>
        <v>3143</v>
      </c>
      <c r="G23376" s="4">
        <f>IFERROR(__xludf.DUMMYFUNCTION("""COMPUTED_VALUE"""),46.0)</f>
        <v>46</v>
      </c>
      <c r="H23376" s="4"/>
      <c r="I23376" s="4"/>
    </row>
    <row r="23377">
      <c r="A23377" s="4" t="str">
        <f>IFERROR(__xludf.DUMMYFUNCTION("""COMPUTED_VALUE"""),"cas_hmw")</f>
        <v>cas_hmw</v>
      </c>
      <c r="B23377" s="5">
        <f>IFERROR(__xludf.DUMMYFUNCTION("""COMPUTED_VALUE"""),44792.0)</f>
        <v>44792</v>
      </c>
      <c r="C23377" s="6">
        <f>IFERROR(__xludf.DUMMYFUNCTION("""COMPUTED_VALUE"""),0.7429976851854008)</f>
        <v>0.7429976852</v>
      </c>
      <c r="D23377" s="4">
        <f>IFERROR(__xludf.DUMMYFUNCTION("""COMPUTED_VALUE"""),12.954936)</f>
        <v>12.954936</v>
      </c>
      <c r="E23377" s="4">
        <f>IFERROR(__xludf.DUMMYFUNCTION("""COMPUTED_VALUE"""),80.142596)</f>
        <v>80.142596</v>
      </c>
      <c r="F23377" s="4">
        <f>IFERROR(__xludf.DUMMYFUNCTION("""COMPUTED_VALUE"""),3143.0)</f>
        <v>3143</v>
      </c>
      <c r="G23377" s="4">
        <f>IFERROR(__xludf.DUMMYFUNCTION("""COMPUTED_VALUE"""),28.0)</f>
        <v>28</v>
      </c>
      <c r="H23377" s="4"/>
      <c r="I23377" s="4"/>
    </row>
    <row r="23378">
      <c r="A23378" s="4" t="str">
        <f>IFERROR(__xludf.DUMMYFUNCTION("""COMPUTED_VALUE"""),"cas_hmw")</f>
        <v>cas_hmw</v>
      </c>
      <c r="B23378" s="5">
        <f>IFERROR(__xludf.DUMMYFUNCTION("""COMPUTED_VALUE"""),44792.0)</f>
        <v>44792</v>
      </c>
      <c r="C23378" s="6">
        <f>IFERROR(__xludf.DUMMYFUNCTION("""COMPUTED_VALUE"""),0.7437847222208802)</f>
        <v>0.7437847222</v>
      </c>
      <c r="D23378" s="4">
        <f>IFERROR(__xludf.DUMMYFUNCTION("""COMPUTED_VALUE"""),13.07305)</f>
        <v>13.07305</v>
      </c>
      <c r="E23378" s="4">
        <f>IFERROR(__xludf.DUMMYFUNCTION("""COMPUTED_VALUE"""),80.261225)</f>
        <v>80.261225</v>
      </c>
      <c r="F23378" s="4">
        <f>IFERROR(__xludf.DUMMYFUNCTION("""COMPUTED_VALUE"""),5339.0)</f>
        <v>5339</v>
      </c>
      <c r="G23378" s="4">
        <f>IFERROR(__xludf.DUMMYFUNCTION("""COMPUTED_VALUE"""),21.0)</f>
        <v>21</v>
      </c>
      <c r="H23378" s="4"/>
      <c r="I23378" s="4"/>
    </row>
    <row r="23379">
      <c r="A23379" s="4" t="str">
        <f>IFERROR(__xludf.DUMMYFUNCTION("""COMPUTED_VALUE"""),"cas_hmw")</f>
        <v>cas_hmw</v>
      </c>
      <c r="B23379" s="5">
        <f>IFERROR(__xludf.DUMMYFUNCTION("""COMPUTED_VALUE"""),44792.0)</f>
        <v>44792</v>
      </c>
      <c r="C23379" s="6">
        <f>IFERROR(__xludf.DUMMYFUNCTION("""COMPUTED_VALUE"""),0.7439583333325572)</f>
        <v>0.7439583333</v>
      </c>
      <c r="D23379" s="4">
        <f>IFERROR(__xludf.DUMMYFUNCTION("""COMPUTED_VALUE"""),12.950456)</f>
        <v>12.950456</v>
      </c>
      <c r="E23379" s="4">
        <f>IFERROR(__xludf.DUMMYFUNCTION("""COMPUTED_VALUE"""),80.139696)</f>
        <v>80.139696</v>
      </c>
      <c r="F23379" s="4">
        <f>IFERROR(__xludf.DUMMYFUNCTION("""COMPUTED_VALUE"""),3143.0)</f>
        <v>3143</v>
      </c>
      <c r="G23379" s="4">
        <f>IFERROR(__xludf.DUMMYFUNCTION("""COMPUTED_VALUE"""),14.0)</f>
        <v>14</v>
      </c>
      <c r="H23379" s="4"/>
      <c r="I23379" s="4"/>
    </row>
    <row r="23380">
      <c r="A23380" s="4" t="str">
        <f>IFERROR(__xludf.DUMMYFUNCTION("""COMPUTED_VALUE"""),"cas_hmw")</f>
        <v>cas_hmw</v>
      </c>
      <c r="B23380" s="5">
        <f>IFERROR(__xludf.DUMMYFUNCTION("""COMPUTED_VALUE"""),44792.0)</f>
        <v>44792</v>
      </c>
      <c r="C23380" s="6">
        <f>IFERROR(__xludf.DUMMYFUNCTION("""COMPUTED_VALUE"""),0.7443171296290529)</f>
        <v>0.7443171296</v>
      </c>
      <c r="D23380" s="4">
        <f>IFERROR(__xludf.DUMMYFUNCTION("""COMPUTED_VALUE"""),12.94844)</f>
        <v>12.94844</v>
      </c>
      <c r="E23380" s="4">
        <f>IFERROR(__xludf.DUMMYFUNCTION("""COMPUTED_VALUE"""),80.137951)</f>
        <v>80.137951</v>
      </c>
      <c r="F23380" s="4">
        <f>IFERROR(__xludf.DUMMYFUNCTION("""COMPUTED_VALUE"""),3143.0)</f>
        <v>3143</v>
      </c>
      <c r="G23380" s="4">
        <f>IFERROR(__xludf.DUMMYFUNCTION("""COMPUTED_VALUE"""),46.0)</f>
        <v>46</v>
      </c>
      <c r="H23380" s="4"/>
      <c r="I23380" s="4"/>
    </row>
    <row r="23381">
      <c r="A23381" s="4" t="str">
        <f>IFERROR(__xludf.DUMMYFUNCTION("""COMPUTED_VALUE"""),"cas_hmw")</f>
        <v>cas_hmw</v>
      </c>
      <c r="B23381" s="5">
        <f>IFERROR(__xludf.DUMMYFUNCTION("""COMPUTED_VALUE"""),44792.0)</f>
        <v>44792</v>
      </c>
      <c r="C23381" s="6">
        <f>IFERROR(__xludf.DUMMYFUNCTION("""COMPUTED_VALUE"""),0.744664351852407)</f>
        <v>0.7446643519</v>
      </c>
      <c r="D23381" s="4">
        <f>IFERROR(__xludf.DUMMYFUNCTION("""COMPUTED_VALUE"""),12.945904)</f>
        <v>12.945904</v>
      </c>
      <c r="E23381" s="4">
        <f>IFERROR(__xludf.DUMMYFUNCTION("""COMPUTED_VALUE"""),80.136102)</f>
        <v>80.136102</v>
      </c>
      <c r="F23381" s="4">
        <f>IFERROR(__xludf.DUMMYFUNCTION("""COMPUTED_VALUE"""),3143.0)</f>
        <v>3143</v>
      </c>
      <c r="G23381" s="4">
        <f>IFERROR(__xludf.DUMMYFUNCTION("""COMPUTED_VALUE"""),46.0)</f>
        <v>46</v>
      </c>
      <c r="H23381" s="4"/>
      <c r="I23381" s="4"/>
    </row>
    <row r="23382">
      <c r="A23382" s="4" t="str">
        <f>IFERROR(__xludf.DUMMYFUNCTION("""COMPUTED_VALUE"""),"cas_hmw")</f>
        <v>cas_hmw</v>
      </c>
      <c r="B23382" s="5">
        <f>IFERROR(__xludf.DUMMYFUNCTION("""COMPUTED_VALUE"""),44792.0)</f>
        <v>44792</v>
      </c>
      <c r="C23382" s="6">
        <f>IFERROR(__xludf.DUMMYFUNCTION("""COMPUTED_VALUE"""),0.7448148148141627)</f>
        <v>0.7448148148</v>
      </c>
      <c r="D23382" s="4">
        <f>IFERROR(__xludf.DUMMYFUNCTION("""COMPUTED_VALUE"""),12.944055)</f>
        <v>12.944055</v>
      </c>
      <c r="E23382" s="4">
        <f>IFERROR(__xludf.DUMMYFUNCTION("""COMPUTED_VALUE"""),80.134655)</f>
        <v>80.134655</v>
      </c>
      <c r="F23382" s="4">
        <f>IFERROR(__xludf.DUMMYFUNCTION("""COMPUTED_VALUE"""),3143.0)</f>
        <v>3143</v>
      </c>
      <c r="G23382" s="4">
        <f>IFERROR(__xludf.DUMMYFUNCTION("""COMPUTED_VALUE"""),36.0)</f>
        <v>36</v>
      </c>
      <c r="H23382" s="4"/>
      <c r="I23382" s="4"/>
    </row>
    <row r="23383">
      <c r="A23383" s="4" t="str">
        <f>IFERROR(__xludf.DUMMYFUNCTION("""COMPUTED_VALUE"""),"cas_hmw")</f>
        <v>cas_hmw</v>
      </c>
      <c r="B23383" s="5">
        <f>IFERROR(__xludf.DUMMYFUNCTION("""COMPUTED_VALUE"""),44792.0)</f>
        <v>44792</v>
      </c>
      <c r="C23383" s="6">
        <f>IFERROR(__xludf.DUMMYFUNCTION("""COMPUTED_VALUE"""),0.7449305555564933)</f>
        <v>0.7449305556</v>
      </c>
      <c r="D23383" s="4">
        <f>IFERROR(__xludf.DUMMYFUNCTION("""COMPUTED_VALUE"""),13.069432)</f>
        <v>13.069432</v>
      </c>
      <c r="E23383" s="4">
        <f>IFERROR(__xludf.DUMMYFUNCTION("""COMPUTED_VALUE"""),80.256887)</f>
        <v>80.256887</v>
      </c>
      <c r="F23383" s="4">
        <f>IFERROR(__xludf.DUMMYFUNCTION("""COMPUTED_VALUE"""),5339.0)</f>
        <v>5339</v>
      </c>
      <c r="G23383" s="4">
        <f>IFERROR(__xludf.DUMMYFUNCTION("""COMPUTED_VALUE"""),21.0)</f>
        <v>21</v>
      </c>
      <c r="H23383" s="4"/>
      <c r="I23383" s="4"/>
    </row>
    <row r="23384">
      <c r="A23384" s="4" t="str">
        <f>IFERROR(__xludf.DUMMYFUNCTION("""COMPUTED_VALUE"""),"cas_hmw")</f>
        <v>cas_hmw</v>
      </c>
      <c r="B23384" s="5">
        <f>IFERROR(__xludf.DUMMYFUNCTION("""COMPUTED_VALUE"""),44792.0)</f>
        <v>44792</v>
      </c>
      <c r="C23384" s="6">
        <f>IFERROR(__xludf.DUMMYFUNCTION("""COMPUTED_VALUE"""),0.7450231481489027)</f>
        <v>0.7450231481</v>
      </c>
      <c r="D23384" s="4">
        <f>IFERROR(__xludf.DUMMYFUNCTION("""COMPUTED_VALUE"""),13.068959)</f>
        <v>13.068959</v>
      </c>
      <c r="E23384" s="4">
        <f>IFERROR(__xludf.DUMMYFUNCTION("""COMPUTED_VALUE"""),80.256407)</f>
        <v>80.256407</v>
      </c>
      <c r="F23384" s="4">
        <f>IFERROR(__xludf.DUMMYFUNCTION("""COMPUTED_VALUE"""),5339.0)</f>
        <v>5339</v>
      </c>
      <c r="G23384" s="4">
        <f>IFERROR(__xludf.DUMMYFUNCTION("""COMPUTED_VALUE"""),31.0)</f>
        <v>31</v>
      </c>
      <c r="H23384" s="4"/>
      <c r="I23384" s="4"/>
    </row>
    <row r="23385">
      <c r="A23385" s="4" t="str">
        <f>IFERROR(__xludf.DUMMYFUNCTION("""COMPUTED_VALUE"""),"cas_hmw")</f>
        <v>cas_hmw</v>
      </c>
      <c r="B23385" s="5">
        <f>IFERROR(__xludf.DUMMYFUNCTION("""COMPUTED_VALUE"""),44792.0)</f>
        <v>44792</v>
      </c>
      <c r="C23385" s="6">
        <f>IFERROR(__xludf.DUMMYFUNCTION("""COMPUTED_VALUE"""),0.7450347222220444)</f>
        <v>0.7450347222</v>
      </c>
      <c r="D23385" s="4">
        <f>IFERROR(__xludf.DUMMYFUNCTION("""COMPUTED_VALUE"""),13.068959)</f>
        <v>13.068959</v>
      </c>
      <c r="E23385" s="4">
        <f>IFERROR(__xludf.DUMMYFUNCTION("""COMPUTED_VALUE"""),80.256407)</f>
        <v>80.256407</v>
      </c>
      <c r="F23385" s="4">
        <f>IFERROR(__xludf.DUMMYFUNCTION("""COMPUTED_VALUE"""),5339.0)</f>
        <v>5339</v>
      </c>
      <c r="G23385" s="4">
        <f>IFERROR(__xludf.DUMMYFUNCTION("""COMPUTED_VALUE"""),31.0)</f>
        <v>31</v>
      </c>
      <c r="H23385" s="4"/>
      <c r="I23385" s="4"/>
    </row>
    <row r="23386">
      <c r="A23386" s="4" t="str">
        <f>IFERROR(__xludf.DUMMYFUNCTION("""COMPUTED_VALUE"""),"cas_hmw")</f>
        <v>cas_hmw</v>
      </c>
      <c r="B23386" s="5">
        <f>IFERROR(__xludf.DUMMYFUNCTION("""COMPUTED_VALUE"""),44792.0)</f>
        <v>44792</v>
      </c>
      <c r="C23386" s="6">
        <f>IFERROR(__xludf.DUMMYFUNCTION("""COMPUTED_VALUE"""),0.7450347222220444)</f>
        <v>0.7450347222</v>
      </c>
      <c r="D23386" s="4">
        <f>IFERROR(__xludf.DUMMYFUNCTION("""COMPUTED_VALUE"""),13.068959)</f>
        <v>13.068959</v>
      </c>
      <c r="E23386" s="4">
        <f>IFERROR(__xludf.DUMMYFUNCTION("""COMPUTED_VALUE"""),80.256407)</f>
        <v>80.256407</v>
      </c>
      <c r="F23386" s="4">
        <f>IFERROR(__xludf.DUMMYFUNCTION("""COMPUTED_VALUE"""),5339.0)</f>
        <v>5339</v>
      </c>
      <c r="G23386" s="4">
        <f>IFERROR(__xludf.DUMMYFUNCTION("""COMPUTED_VALUE"""),31.0)</f>
        <v>31</v>
      </c>
      <c r="H23386" s="4"/>
      <c r="I23386" s="4"/>
    </row>
    <row r="23387">
      <c r="A23387" s="4" t="str">
        <f>IFERROR(__xludf.DUMMYFUNCTION("""COMPUTED_VALUE"""),"cas_hmw")</f>
        <v>cas_hmw</v>
      </c>
      <c r="B23387" s="5">
        <f>IFERROR(__xludf.DUMMYFUNCTION("""COMPUTED_VALUE"""),44792.0)</f>
        <v>44792</v>
      </c>
      <c r="C23387" s="6">
        <f>IFERROR(__xludf.DUMMYFUNCTION("""COMPUTED_VALUE"""),0.7451273148144537)</f>
        <v>0.7451273148</v>
      </c>
      <c r="D23387" s="4">
        <f>IFERROR(__xludf.DUMMYFUNCTION("""COMPUTED_VALUE"""),12.503983)</f>
        <v>12.503983</v>
      </c>
      <c r="E23387" s="4">
        <f>IFERROR(__xludf.DUMMYFUNCTION("""COMPUTED_VALUE"""),79.878541)</f>
        <v>79.878541</v>
      </c>
      <c r="F23387" s="4">
        <f>IFERROR(__xludf.DUMMYFUNCTION("""COMPUTED_VALUE"""),2846.0)</f>
        <v>2846</v>
      </c>
      <c r="G23387" s="4">
        <f>IFERROR(__xludf.DUMMYFUNCTION("""COMPUTED_VALUE"""),52.0)</f>
        <v>52</v>
      </c>
      <c r="H23387" s="4"/>
      <c r="I23387" s="4"/>
    </row>
    <row r="23388">
      <c r="A23388" s="4" t="str">
        <f>IFERROR(__xludf.DUMMYFUNCTION("""COMPUTED_VALUE"""),"cas_hmw")</f>
        <v>cas_hmw</v>
      </c>
      <c r="B23388" s="5">
        <f>IFERROR(__xludf.DUMMYFUNCTION("""COMPUTED_VALUE"""),44792.0)</f>
        <v>44792</v>
      </c>
      <c r="C23388" s="6">
        <f>IFERROR(__xludf.DUMMYFUNCTION("""COMPUTED_VALUE"""),0.7455439814802958)</f>
        <v>0.7455439815</v>
      </c>
      <c r="D23388" s="4">
        <f>IFERROR(__xludf.DUMMYFUNCTION("""COMPUTED_VALUE"""),12.942029)</f>
        <v>12.942029</v>
      </c>
      <c r="E23388" s="4">
        <f>IFERROR(__xludf.DUMMYFUNCTION("""COMPUTED_VALUE"""),80.132667)</f>
        <v>80.132667</v>
      </c>
      <c r="F23388" s="4">
        <f>IFERROR(__xludf.DUMMYFUNCTION("""COMPUTED_VALUE"""),3143.0)</f>
        <v>3143</v>
      </c>
      <c r="G23388" s="4">
        <f>IFERROR(__xludf.DUMMYFUNCTION("""COMPUTED_VALUE"""),39.0)</f>
        <v>39</v>
      </c>
      <c r="H23388" s="4"/>
      <c r="I23388" s="4"/>
    </row>
    <row r="23389">
      <c r="A23389" s="4" t="str">
        <f>IFERROR(__xludf.DUMMYFUNCTION("""COMPUTED_VALUE"""),"cas_hmw")</f>
        <v>cas_hmw</v>
      </c>
      <c r="B23389" s="5">
        <f>IFERROR(__xludf.DUMMYFUNCTION("""COMPUTED_VALUE"""),44792.0)</f>
        <v>44792</v>
      </c>
      <c r="C23389" s="6">
        <f>IFERROR(__xludf.DUMMYFUNCTION("""COMPUTED_VALUE"""),0.7455555555570754)</f>
        <v>0.7455555556</v>
      </c>
      <c r="D23389" s="4">
        <f>IFERROR(__xludf.DUMMYFUNCTION("""COMPUTED_VALUE"""),12.942029)</f>
        <v>12.942029</v>
      </c>
      <c r="E23389" s="4">
        <f>IFERROR(__xludf.DUMMYFUNCTION("""COMPUTED_VALUE"""),80.132667)</f>
        <v>80.132667</v>
      </c>
      <c r="F23389" s="4">
        <f>IFERROR(__xludf.DUMMYFUNCTION("""COMPUTED_VALUE"""),3143.0)</f>
        <v>3143</v>
      </c>
      <c r="G23389" s="4">
        <f>IFERROR(__xludf.DUMMYFUNCTION("""COMPUTED_VALUE"""),39.0)</f>
        <v>39</v>
      </c>
      <c r="H23389" s="4"/>
      <c r="I23389" s="4"/>
    </row>
    <row r="23390">
      <c r="A23390" s="4" t="str">
        <f>IFERROR(__xludf.DUMMYFUNCTION("""COMPUTED_VALUE"""),"cas_hmw")</f>
        <v>cas_hmw</v>
      </c>
      <c r="B23390" s="5">
        <f>IFERROR(__xludf.DUMMYFUNCTION("""COMPUTED_VALUE"""),44792.0)</f>
        <v>44792</v>
      </c>
      <c r="C23390" s="6">
        <f>IFERROR(__xludf.DUMMYFUNCTION("""COMPUTED_VALUE"""),0.7456597222226264)</f>
        <v>0.7456597222</v>
      </c>
      <c r="D23390" s="4">
        <f>IFERROR(__xludf.DUMMYFUNCTION("""COMPUTED_VALUE"""),12.94123)</f>
        <v>12.94123</v>
      </c>
      <c r="E23390" s="4">
        <f>IFERROR(__xludf.DUMMYFUNCTION("""COMPUTED_VALUE"""),80.131852)</f>
        <v>80.131852</v>
      </c>
      <c r="F23390" s="4">
        <f>IFERROR(__xludf.DUMMYFUNCTION("""COMPUTED_VALUE"""),3143.0)</f>
        <v>3143</v>
      </c>
      <c r="G23390" s="4">
        <f>IFERROR(__xludf.DUMMYFUNCTION("""COMPUTED_VALUE"""),45.0)</f>
        <v>45</v>
      </c>
      <c r="H23390" s="4"/>
      <c r="I23390" s="4"/>
    </row>
    <row r="23391">
      <c r="A23391" s="4" t="str">
        <f>IFERROR(__xludf.DUMMYFUNCTION("""COMPUTED_VALUE"""),"cas_hmw")</f>
        <v>cas_hmw</v>
      </c>
      <c r="B23391" s="5">
        <f>IFERROR(__xludf.DUMMYFUNCTION("""COMPUTED_VALUE"""),44792.0)</f>
        <v>44792</v>
      </c>
      <c r="C23391" s="6">
        <f>IFERROR(__xludf.DUMMYFUNCTION("""COMPUTED_VALUE"""),0.7456944444456894)</f>
        <v>0.7456944444</v>
      </c>
      <c r="D23391" s="4">
        <f>IFERROR(__xludf.DUMMYFUNCTION("""COMPUTED_VALUE"""),12.94123)</f>
        <v>12.94123</v>
      </c>
      <c r="E23391" s="4">
        <f>IFERROR(__xludf.DUMMYFUNCTION("""COMPUTED_VALUE"""),80.131852)</f>
        <v>80.131852</v>
      </c>
      <c r="F23391" s="4">
        <f>IFERROR(__xludf.DUMMYFUNCTION("""COMPUTED_VALUE"""),3143.0)</f>
        <v>3143</v>
      </c>
      <c r="G23391" s="4">
        <f>IFERROR(__xludf.DUMMYFUNCTION("""COMPUTED_VALUE"""),45.0)</f>
        <v>45</v>
      </c>
      <c r="H23391" s="4"/>
      <c r="I23391" s="4"/>
    </row>
    <row r="23392">
      <c r="A23392" s="4" t="str">
        <f>IFERROR(__xludf.DUMMYFUNCTION("""COMPUTED_VALUE"""),"cas_hmw")</f>
        <v>cas_hmw</v>
      </c>
      <c r="B23392" s="5">
        <f>IFERROR(__xludf.DUMMYFUNCTION("""COMPUTED_VALUE"""),44792.0)</f>
        <v>44792</v>
      </c>
      <c r="C23392" s="6">
        <f>IFERROR(__xludf.DUMMYFUNCTION("""COMPUTED_VALUE"""),0.7458333333343035)</f>
        <v>0.7458333333</v>
      </c>
      <c r="D23392" s="4">
        <f>IFERROR(__xludf.DUMMYFUNCTION("""COMPUTED_VALUE"""),13.066844)</f>
        <v>13.066844</v>
      </c>
      <c r="E23392" s="4">
        <f>IFERROR(__xludf.DUMMYFUNCTION("""COMPUTED_VALUE"""),80.254036)</f>
        <v>80.254036</v>
      </c>
      <c r="F23392" s="4">
        <f>IFERROR(__xludf.DUMMYFUNCTION("""COMPUTED_VALUE"""),5339.0)</f>
        <v>5339</v>
      </c>
      <c r="G23392" s="4">
        <f>IFERROR(__xludf.DUMMYFUNCTION("""COMPUTED_VALUE"""),20.0)</f>
        <v>20</v>
      </c>
      <c r="H23392" s="4"/>
      <c r="I23392" s="4"/>
    </row>
    <row r="23393">
      <c r="A23393" s="4" t="str">
        <f>IFERROR(__xludf.DUMMYFUNCTION("""COMPUTED_VALUE"""),"cas_hmw")</f>
        <v>cas_hmw</v>
      </c>
      <c r="B23393" s="5">
        <f>IFERROR(__xludf.DUMMYFUNCTION("""COMPUTED_VALUE"""),44792.0)</f>
        <v>44792</v>
      </c>
      <c r="C23393" s="6">
        <f>IFERROR(__xludf.DUMMYFUNCTION("""COMPUTED_VALUE"""),0.7458680555573665)</f>
        <v>0.7458680556</v>
      </c>
      <c r="D23393" s="4">
        <f>IFERROR(__xludf.DUMMYFUNCTION("""COMPUTED_VALUE"""),13.066844)</f>
        <v>13.066844</v>
      </c>
      <c r="E23393" s="4">
        <f>IFERROR(__xludf.DUMMYFUNCTION("""COMPUTED_VALUE"""),80.254036)</f>
        <v>80.254036</v>
      </c>
      <c r="F23393" s="4">
        <f>IFERROR(__xludf.DUMMYFUNCTION("""COMPUTED_VALUE"""),5339.0)</f>
        <v>5339</v>
      </c>
      <c r="G23393" s="4">
        <f>IFERROR(__xludf.DUMMYFUNCTION("""COMPUTED_VALUE"""),20.0)</f>
        <v>20</v>
      </c>
      <c r="H23393" s="4"/>
      <c r="I23393" s="4"/>
    </row>
    <row r="23394">
      <c r="A23394" s="4" t="str">
        <f>IFERROR(__xludf.DUMMYFUNCTION("""COMPUTED_VALUE"""),"cas_hmw")</f>
        <v>cas_hmw</v>
      </c>
      <c r="B23394" s="5">
        <f>IFERROR(__xludf.DUMMYFUNCTION("""COMPUTED_VALUE"""),44792.0)</f>
        <v>44792</v>
      </c>
      <c r="C23394" s="6">
        <f>IFERROR(__xludf.DUMMYFUNCTION("""COMPUTED_VALUE"""),0.7464814814811689)</f>
        <v>0.7464814815</v>
      </c>
      <c r="D23394" s="4">
        <f>IFERROR(__xludf.DUMMYFUNCTION("""COMPUTED_VALUE"""),13.067317)</f>
        <v>13.067317</v>
      </c>
      <c r="E23394" s="4">
        <f>IFERROR(__xludf.DUMMYFUNCTION("""COMPUTED_VALUE"""),80.251369)</f>
        <v>80.251369</v>
      </c>
      <c r="F23394" s="4">
        <f>IFERROR(__xludf.DUMMYFUNCTION("""COMPUTED_VALUE"""),5339.0)</f>
        <v>5339</v>
      </c>
      <c r="G23394" s="4">
        <f>IFERROR(__xludf.DUMMYFUNCTION("""COMPUTED_VALUE"""),30.0)</f>
        <v>30</v>
      </c>
      <c r="H23394" s="4"/>
      <c r="I23394" s="4"/>
    </row>
    <row r="23395">
      <c r="A23395" s="4" t="str">
        <f>IFERROR(__xludf.DUMMYFUNCTION("""COMPUTED_VALUE"""),"cas_hmw")</f>
        <v>cas_hmw</v>
      </c>
      <c r="B23395" s="5">
        <f>IFERROR(__xludf.DUMMYFUNCTION("""COMPUTED_VALUE"""),44792.0)</f>
        <v>44792</v>
      </c>
      <c r="C23395" s="6">
        <f>IFERROR(__xludf.DUMMYFUNCTION("""COMPUTED_VALUE"""),0.7464930555543106)</f>
        <v>0.7464930556</v>
      </c>
      <c r="D23395" s="4">
        <f>IFERROR(__xludf.DUMMYFUNCTION("""COMPUTED_VALUE"""),13.067317)</f>
        <v>13.067317</v>
      </c>
      <c r="E23395" s="4">
        <f>IFERROR(__xludf.DUMMYFUNCTION("""COMPUTED_VALUE"""),80.251369)</f>
        <v>80.251369</v>
      </c>
      <c r="F23395" s="4">
        <f>IFERROR(__xludf.DUMMYFUNCTION("""COMPUTED_VALUE"""),5339.0)</f>
        <v>5339</v>
      </c>
      <c r="G23395" s="4">
        <f>IFERROR(__xludf.DUMMYFUNCTION("""COMPUTED_VALUE"""),30.0)</f>
        <v>30</v>
      </c>
      <c r="H23395" s="4"/>
      <c r="I23395" s="4"/>
    </row>
    <row r="23396">
      <c r="A23396" s="4" t="str">
        <f>IFERROR(__xludf.DUMMYFUNCTION("""COMPUTED_VALUE"""),"cas_hmw")</f>
        <v>cas_hmw</v>
      </c>
      <c r="B23396" s="5">
        <f>IFERROR(__xludf.DUMMYFUNCTION("""COMPUTED_VALUE"""),44792.0)</f>
        <v>44792</v>
      </c>
      <c r="C23396" s="6">
        <f>IFERROR(__xludf.DUMMYFUNCTION("""COMPUTED_VALUE"""),0.7464930555543106)</f>
        <v>0.7464930556</v>
      </c>
      <c r="D23396" s="4">
        <f>IFERROR(__xludf.DUMMYFUNCTION("""COMPUTED_VALUE"""),13.067317)</f>
        <v>13.067317</v>
      </c>
      <c r="E23396" s="4">
        <f>IFERROR(__xludf.DUMMYFUNCTION("""COMPUTED_VALUE"""),80.251369)</f>
        <v>80.251369</v>
      </c>
      <c r="F23396" s="4">
        <f>IFERROR(__xludf.DUMMYFUNCTION("""COMPUTED_VALUE"""),5339.0)</f>
        <v>5339</v>
      </c>
      <c r="G23396" s="4">
        <f>IFERROR(__xludf.DUMMYFUNCTION("""COMPUTED_VALUE"""),30.0)</f>
        <v>30</v>
      </c>
      <c r="H23396" s="4"/>
      <c r="I23396" s="4"/>
    </row>
    <row r="23397">
      <c r="A23397" s="4" t="str">
        <f>IFERROR(__xludf.DUMMYFUNCTION("""COMPUTED_VALUE"""),"cas_hmw")</f>
        <v>cas_hmw</v>
      </c>
      <c r="B23397" s="5">
        <f>IFERROR(__xludf.DUMMYFUNCTION("""COMPUTED_VALUE"""),44792.0)</f>
        <v>44792</v>
      </c>
      <c r="C23397" s="6">
        <f>IFERROR(__xludf.DUMMYFUNCTION("""COMPUTED_VALUE"""),0.7465046296310902)</f>
        <v>0.7465046296</v>
      </c>
      <c r="D23397" s="4">
        <f>IFERROR(__xludf.DUMMYFUNCTION("""COMPUTED_VALUE"""),13.06742)</f>
        <v>13.06742</v>
      </c>
      <c r="E23397" s="4">
        <f>IFERROR(__xludf.DUMMYFUNCTION("""COMPUTED_VALUE"""),80.250821)</f>
        <v>80.250821</v>
      </c>
      <c r="F23397" s="4">
        <f>IFERROR(__xludf.DUMMYFUNCTION("""COMPUTED_VALUE"""),5339.0)</f>
        <v>5339</v>
      </c>
      <c r="G23397" s="4">
        <f>IFERROR(__xludf.DUMMYFUNCTION("""COMPUTED_VALUE"""),20.0)</f>
        <v>20</v>
      </c>
      <c r="H23397" s="4"/>
      <c r="I23397" s="4"/>
    </row>
    <row r="23398">
      <c r="A23398" s="4" t="str">
        <f>IFERROR(__xludf.DUMMYFUNCTION("""COMPUTED_VALUE"""),"cas_hmw")</f>
        <v>cas_hmw</v>
      </c>
      <c r="B23398" s="5">
        <f>IFERROR(__xludf.DUMMYFUNCTION("""COMPUTED_VALUE"""),44792.0)</f>
        <v>44792</v>
      </c>
      <c r="C23398" s="6">
        <f>IFERROR(__xludf.DUMMYFUNCTION("""COMPUTED_VALUE"""),0.7465509259272949)</f>
        <v>0.7465509259</v>
      </c>
      <c r="D23398" s="4">
        <f>IFERROR(__xludf.DUMMYFUNCTION("""COMPUTED_VALUE"""),12.935594)</f>
        <v>12.935594</v>
      </c>
      <c r="E23398" s="4">
        <f>IFERROR(__xludf.DUMMYFUNCTION("""COMPUTED_VALUE"""),80.126797)</f>
        <v>80.126797</v>
      </c>
      <c r="F23398" s="4">
        <f>IFERROR(__xludf.DUMMYFUNCTION("""COMPUTED_VALUE"""),3143.0)</f>
        <v>3143</v>
      </c>
      <c r="G23398" s="4">
        <f>IFERROR(__xludf.DUMMYFUNCTION("""COMPUTED_VALUE"""),43.0)</f>
        <v>43</v>
      </c>
      <c r="H23398" s="4"/>
      <c r="I23398" s="4"/>
    </row>
    <row r="23399">
      <c r="A23399" s="4" t="str">
        <f>IFERROR(__xludf.DUMMYFUNCTION("""COMPUTED_VALUE"""),"cas_hmw")</f>
        <v>cas_hmw</v>
      </c>
      <c r="B23399" s="5">
        <f>IFERROR(__xludf.DUMMYFUNCTION("""COMPUTED_VALUE"""),44792.0)</f>
        <v>44792</v>
      </c>
      <c r="C23399" s="6">
        <f>IFERROR(__xludf.DUMMYFUNCTION("""COMPUTED_VALUE"""),0.7467361111121136)</f>
        <v>0.7467361111</v>
      </c>
      <c r="D23399" s="4">
        <f>IFERROR(__xludf.DUMMYFUNCTION("""COMPUTED_VALUE"""),12.934761)</f>
        <v>12.934761</v>
      </c>
      <c r="E23399" s="4">
        <f>IFERROR(__xludf.DUMMYFUNCTION("""COMPUTED_VALUE"""),80.125964)</f>
        <v>80.125964</v>
      </c>
      <c r="F23399" s="4">
        <f>IFERROR(__xludf.DUMMYFUNCTION("""COMPUTED_VALUE"""),3143.0)</f>
        <v>3143</v>
      </c>
      <c r="G23399" s="4">
        <f>IFERROR(__xludf.DUMMYFUNCTION("""COMPUTED_VALUE"""),50.0)</f>
        <v>50</v>
      </c>
      <c r="H23399" s="4"/>
      <c r="I23399" s="4"/>
    </row>
    <row r="23400">
      <c r="A23400" s="4" t="str">
        <f>IFERROR(__xludf.DUMMYFUNCTION("""COMPUTED_VALUE"""),"cas_hmw")</f>
        <v>cas_hmw</v>
      </c>
      <c r="B23400" s="5">
        <f>IFERROR(__xludf.DUMMYFUNCTION("""COMPUTED_VALUE"""),44792.0)</f>
        <v>44792</v>
      </c>
      <c r="C23400" s="6">
        <f>IFERROR(__xludf.DUMMYFUNCTION("""COMPUTED_VALUE"""),0.7470254629624833)</f>
        <v>0.747025463</v>
      </c>
      <c r="D23400" s="4">
        <f>IFERROR(__xludf.DUMMYFUNCTION("""COMPUTED_VALUE"""),13.067619)</f>
        <v>13.067619</v>
      </c>
      <c r="E23400" s="4">
        <f>IFERROR(__xludf.DUMMYFUNCTION("""COMPUTED_VALUE"""),80.24964)</f>
        <v>80.24964</v>
      </c>
      <c r="F23400" s="4">
        <f>IFERROR(__xludf.DUMMYFUNCTION("""COMPUTED_VALUE"""),5339.0)</f>
        <v>5339</v>
      </c>
      <c r="G23400" s="4">
        <f>IFERROR(__xludf.DUMMYFUNCTION("""COMPUTED_VALUE"""),18.0)</f>
        <v>18</v>
      </c>
      <c r="H23400" s="4"/>
      <c r="I23400" s="4"/>
    </row>
    <row r="23401">
      <c r="A23401" s="4" t="str">
        <f>IFERROR(__xludf.DUMMYFUNCTION("""COMPUTED_VALUE"""),"cas_hmw")</f>
        <v>cas_hmw</v>
      </c>
      <c r="B23401" s="5">
        <f>IFERROR(__xludf.DUMMYFUNCTION("""COMPUTED_VALUE"""),44792.0)</f>
        <v>44792</v>
      </c>
      <c r="C23401" s="6">
        <f>IFERROR(__xludf.DUMMYFUNCTION("""COMPUTED_VALUE"""),0.7471296296280343)</f>
        <v>0.7471296296</v>
      </c>
      <c r="D23401" s="4">
        <f>IFERROR(__xludf.DUMMYFUNCTION("""COMPUTED_VALUE"""),13.067805)</f>
        <v>13.067805</v>
      </c>
      <c r="E23401" s="4">
        <f>IFERROR(__xludf.DUMMYFUNCTION("""COMPUTED_VALUE"""),80.248459)</f>
        <v>80.248459</v>
      </c>
      <c r="F23401" s="4">
        <f>IFERROR(__xludf.DUMMYFUNCTION("""COMPUTED_VALUE"""),5339.0)</f>
        <v>5339</v>
      </c>
      <c r="G23401" s="4">
        <f>IFERROR(__xludf.DUMMYFUNCTION("""COMPUTED_VALUE"""),34.0)</f>
        <v>34</v>
      </c>
      <c r="H23401" s="4"/>
      <c r="I23401" s="4"/>
    </row>
    <row r="23402">
      <c r="A23402" s="4" t="str">
        <f>IFERROR(__xludf.DUMMYFUNCTION("""COMPUTED_VALUE"""),"cas_hmw")</f>
        <v>cas_hmw</v>
      </c>
      <c r="B23402" s="5">
        <f>IFERROR(__xludf.DUMMYFUNCTION("""COMPUTED_VALUE"""),44792.0)</f>
        <v>44792</v>
      </c>
      <c r="C23402" s="6">
        <f>IFERROR(__xludf.DUMMYFUNCTION("""COMPUTED_VALUE"""),0.7472569444435067)</f>
        <v>0.7472569444</v>
      </c>
      <c r="D23402" s="4">
        <f>IFERROR(__xludf.DUMMYFUNCTION("""COMPUTED_VALUE"""),13.066577)</f>
        <v>13.066577</v>
      </c>
      <c r="E23402" s="4">
        <f>IFERROR(__xludf.DUMMYFUNCTION("""COMPUTED_VALUE"""),80.247863)</f>
        <v>80.247863</v>
      </c>
      <c r="F23402" s="4">
        <f>IFERROR(__xludf.DUMMYFUNCTION("""COMPUTED_VALUE"""),5339.0)</f>
        <v>5339</v>
      </c>
      <c r="G23402" s="4">
        <f>IFERROR(__xludf.DUMMYFUNCTION("""COMPUTED_VALUE"""),32.0)</f>
        <v>32</v>
      </c>
      <c r="H23402" s="4"/>
      <c r="I23402" s="4"/>
    </row>
    <row r="23403">
      <c r="A23403" s="4" t="str">
        <f>IFERROR(__xludf.DUMMYFUNCTION("""COMPUTED_VALUE"""),"cas_hmw")</f>
        <v>cas_hmw</v>
      </c>
      <c r="B23403" s="5">
        <f>IFERROR(__xludf.DUMMYFUNCTION("""COMPUTED_VALUE"""),44792.0)</f>
        <v>44792</v>
      </c>
      <c r="C23403" s="6">
        <f>IFERROR(__xludf.DUMMYFUNCTION("""COMPUTED_VALUE"""),0.7473032407397113)</f>
        <v>0.7473032407</v>
      </c>
      <c r="D23403" s="4">
        <f>IFERROR(__xludf.DUMMYFUNCTION("""COMPUTED_VALUE"""),13.065899)</f>
        <v>13.065899</v>
      </c>
      <c r="E23403" s="4">
        <f>IFERROR(__xludf.DUMMYFUNCTION("""COMPUTED_VALUE"""),80.247857)</f>
        <v>80.247857</v>
      </c>
      <c r="F23403" s="4">
        <f>IFERROR(__xludf.DUMMYFUNCTION("""COMPUTED_VALUE"""),5339.0)</f>
        <v>5339</v>
      </c>
      <c r="G23403" s="4">
        <f>IFERROR(__xludf.DUMMYFUNCTION("""COMPUTED_VALUE"""),26.0)</f>
        <v>26</v>
      </c>
      <c r="H23403" s="4"/>
      <c r="I23403" s="4"/>
    </row>
    <row r="23404">
      <c r="A23404" s="4" t="str">
        <f>IFERROR(__xludf.DUMMYFUNCTION("""COMPUTED_VALUE"""),"cas_hmw")</f>
        <v>cas_hmw</v>
      </c>
      <c r="B23404" s="5">
        <f>IFERROR(__xludf.DUMMYFUNCTION("""COMPUTED_VALUE"""),44792.0)</f>
        <v>44792</v>
      </c>
      <c r="C23404" s="6">
        <f>IFERROR(__xludf.DUMMYFUNCTION("""COMPUTED_VALUE"""),0.7483101851867104)</f>
        <v>0.7483101852</v>
      </c>
      <c r="D23404" s="4">
        <f>IFERROR(__xludf.DUMMYFUNCTION("""COMPUTED_VALUE"""),12.930535)</f>
        <v>12.930535</v>
      </c>
      <c r="E23404" s="4">
        <f>IFERROR(__xludf.DUMMYFUNCTION("""COMPUTED_VALUE"""),80.12182)</f>
        <v>80.12182</v>
      </c>
      <c r="F23404" s="4">
        <f>IFERROR(__xludf.DUMMYFUNCTION("""COMPUTED_VALUE"""),3143.0)</f>
        <v>3143</v>
      </c>
      <c r="G23404" s="4">
        <f>IFERROR(__xludf.DUMMYFUNCTION("""COMPUTED_VALUE"""),41.0)</f>
        <v>41</v>
      </c>
      <c r="H23404" s="4"/>
      <c r="I23404" s="4"/>
    </row>
    <row r="23405">
      <c r="A23405" s="4" t="str">
        <f>IFERROR(__xludf.DUMMYFUNCTION("""COMPUTED_VALUE"""),"cas_hmw")</f>
        <v>cas_hmw</v>
      </c>
      <c r="B23405" s="5">
        <f>IFERROR(__xludf.DUMMYFUNCTION("""COMPUTED_VALUE"""),44792.0)</f>
        <v>44792</v>
      </c>
      <c r="C23405" s="6">
        <f>IFERROR(__xludf.DUMMYFUNCTION("""COMPUTED_VALUE"""),0.7486458333332848)</f>
        <v>0.7486458333</v>
      </c>
      <c r="D23405" s="4">
        <f>IFERROR(__xludf.DUMMYFUNCTION("""COMPUTED_VALUE"""),12.928217)</f>
        <v>12.928217</v>
      </c>
      <c r="E23405" s="4">
        <f>IFERROR(__xludf.DUMMYFUNCTION("""COMPUTED_VALUE"""),80.119429)</f>
        <v>80.119429</v>
      </c>
      <c r="F23405" s="4">
        <f>IFERROR(__xludf.DUMMYFUNCTION("""COMPUTED_VALUE"""),3143.0)</f>
        <v>3143</v>
      </c>
      <c r="G23405" s="4">
        <f>IFERROR(__xludf.DUMMYFUNCTION("""COMPUTED_VALUE"""),47.0)</f>
        <v>47</v>
      </c>
      <c r="H23405" s="4"/>
      <c r="I23405" s="4"/>
    </row>
    <row r="23406">
      <c r="A23406" s="4" t="str">
        <f>IFERROR(__xludf.DUMMYFUNCTION("""COMPUTED_VALUE"""),"cas_hmw")</f>
        <v>cas_hmw</v>
      </c>
      <c r="B23406" s="5">
        <f>IFERROR(__xludf.DUMMYFUNCTION("""COMPUTED_VALUE"""),44792.0)</f>
        <v>44792</v>
      </c>
      <c r="C23406" s="6">
        <f>IFERROR(__xludf.DUMMYFUNCTION("""COMPUTED_VALUE"""),0.7495601851842366)</f>
        <v>0.7495601852</v>
      </c>
      <c r="D23406" s="4">
        <f>IFERROR(__xludf.DUMMYFUNCTION("""COMPUTED_VALUE"""),12.925022)</f>
        <v>12.925022</v>
      </c>
      <c r="E23406" s="4">
        <f>IFERROR(__xludf.DUMMYFUNCTION("""COMPUTED_VALUE"""),80.116222)</f>
        <v>80.116222</v>
      </c>
      <c r="F23406" s="4">
        <f>IFERROR(__xludf.DUMMYFUNCTION("""COMPUTED_VALUE"""),3143.0)</f>
        <v>3143</v>
      </c>
      <c r="G23406" s="4">
        <f>IFERROR(__xludf.DUMMYFUNCTION("""COMPUTED_VALUE"""),45.0)</f>
        <v>45</v>
      </c>
      <c r="H23406" s="4"/>
      <c r="I23406" s="4"/>
    </row>
    <row r="23407">
      <c r="A23407" s="4" t="str">
        <f>IFERROR(__xludf.DUMMYFUNCTION("""COMPUTED_VALUE"""),"cas_hmw")</f>
        <v>cas_hmw</v>
      </c>
      <c r="B23407" s="5">
        <f>IFERROR(__xludf.DUMMYFUNCTION("""COMPUTED_VALUE"""),44792.0)</f>
        <v>44792</v>
      </c>
      <c r="C23407" s="6">
        <f>IFERROR(__xludf.DUMMYFUNCTION("""COMPUTED_VALUE"""),0.7517361111094942)</f>
        <v>0.7517361111</v>
      </c>
      <c r="D23407" s="4">
        <f>IFERROR(__xludf.DUMMYFUNCTION("""COMPUTED_VALUE"""),12.9135)</f>
        <v>12.9135</v>
      </c>
      <c r="E23407" s="4">
        <f>IFERROR(__xludf.DUMMYFUNCTION("""COMPUTED_VALUE"""),80.101698)</f>
        <v>80.101698</v>
      </c>
      <c r="F23407" s="4">
        <f>IFERROR(__xludf.DUMMYFUNCTION("""COMPUTED_VALUE"""),3143.0)</f>
        <v>3143</v>
      </c>
      <c r="G23407" s="4">
        <f>IFERROR(__xludf.DUMMYFUNCTION("""COMPUTED_VALUE"""),43.0)</f>
        <v>43</v>
      </c>
      <c r="H23407" s="4"/>
      <c r="I23407" s="4"/>
    </row>
    <row r="23408">
      <c r="A23408" s="4" t="str">
        <f>IFERROR(__xludf.DUMMYFUNCTION("""COMPUTED_VALUE"""),"cas_hmw")</f>
        <v>cas_hmw</v>
      </c>
      <c r="B23408" s="5">
        <f>IFERROR(__xludf.DUMMYFUNCTION("""COMPUTED_VALUE"""),44792.0)</f>
        <v>44792</v>
      </c>
      <c r="C23408" s="6">
        <f>IFERROR(__xludf.DUMMYFUNCTION("""COMPUTED_VALUE"""),0.7517824074056989)</f>
        <v>0.7517824074</v>
      </c>
      <c r="D23408" s="4">
        <f>IFERROR(__xludf.DUMMYFUNCTION("""COMPUTED_VALUE"""),12.912547)</f>
        <v>12.912547</v>
      </c>
      <c r="E23408" s="4">
        <f>IFERROR(__xludf.DUMMYFUNCTION("""COMPUTED_VALUE"""),80.101556)</f>
        <v>80.101556</v>
      </c>
      <c r="F23408" s="4">
        <f>IFERROR(__xludf.DUMMYFUNCTION("""COMPUTED_VALUE"""),3143.0)</f>
        <v>3143</v>
      </c>
      <c r="G23408" s="4">
        <f>IFERROR(__xludf.DUMMYFUNCTION("""COMPUTED_VALUE"""),0.0)</f>
        <v>0</v>
      </c>
      <c r="H23408" s="4"/>
      <c r="I23408" s="4"/>
    </row>
    <row r="23409">
      <c r="A23409" s="4" t="str">
        <f>IFERROR(__xludf.DUMMYFUNCTION("""COMPUTED_VALUE"""),"cas_hmw")</f>
        <v>cas_hmw</v>
      </c>
      <c r="B23409" s="5">
        <f>IFERROR(__xludf.DUMMYFUNCTION("""COMPUTED_VALUE"""),44792.0)</f>
        <v>44792</v>
      </c>
      <c r="C23409" s="6">
        <f>IFERROR(__xludf.DUMMYFUNCTION("""COMPUTED_VALUE"""),0.7520833333328483)</f>
        <v>0.7520833333</v>
      </c>
      <c r="D23409" s="4">
        <f>IFERROR(__xludf.DUMMYFUNCTION("""COMPUTED_VALUE"""),12.910668)</f>
        <v>12.910668</v>
      </c>
      <c r="E23409" s="4">
        <f>IFERROR(__xludf.DUMMYFUNCTION("""COMPUTED_VALUE"""),80.101209)</f>
        <v>80.101209</v>
      </c>
      <c r="F23409" s="4">
        <f>IFERROR(__xludf.DUMMYFUNCTION("""COMPUTED_VALUE"""),3143.0)</f>
        <v>3143</v>
      </c>
      <c r="G23409" s="4">
        <f>IFERROR(__xludf.DUMMYFUNCTION("""COMPUTED_VALUE"""),48.0)</f>
        <v>48</v>
      </c>
      <c r="H23409" s="4"/>
      <c r="I23409" s="4"/>
    </row>
    <row r="23410">
      <c r="A23410" s="4" t="str">
        <f>IFERROR(__xludf.DUMMYFUNCTION("""COMPUTED_VALUE"""),"cas_hmw")</f>
        <v>cas_hmw</v>
      </c>
      <c r="B23410" s="5">
        <f>IFERROR(__xludf.DUMMYFUNCTION("""COMPUTED_VALUE"""),44792.0)</f>
        <v>44792</v>
      </c>
      <c r="C23410" s="6">
        <f>IFERROR(__xludf.DUMMYFUNCTION("""COMPUTED_VALUE"""),0.7562384259254031)</f>
        <v>0.7562384259</v>
      </c>
      <c r="D23410" s="4">
        <f>IFERROR(__xludf.DUMMYFUNCTION("""COMPUTED_VALUE"""),12.901115)</f>
        <v>12.901115</v>
      </c>
      <c r="E23410" s="4">
        <f>IFERROR(__xludf.DUMMYFUNCTION("""COMPUTED_VALUE"""),80.092377)</f>
        <v>80.092377</v>
      </c>
      <c r="F23410" s="4">
        <f>IFERROR(__xludf.DUMMYFUNCTION("""COMPUTED_VALUE"""),3143.0)</f>
        <v>3143</v>
      </c>
      <c r="G23410" s="4">
        <f>IFERROR(__xludf.DUMMYFUNCTION("""COMPUTED_VALUE"""),40.0)</f>
        <v>40</v>
      </c>
      <c r="H23410" s="4"/>
      <c r="I23410" s="4"/>
    </row>
    <row r="23411">
      <c r="A23411" s="4" t="str">
        <f>IFERROR(__xludf.DUMMYFUNCTION("""COMPUTED_VALUE"""),"cas_hmw")</f>
        <v>cas_hmw</v>
      </c>
      <c r="B23411" s="5">
        <f>IFERROR(__xludf.DUMMYFUNCTION("""COMPUTED_VALUE"""),44792.0)</f>
        <v>44792</v>
      </c>
      <c r="C23411" s="6">
        <f>IFERROR(__xludf.DUMMYFUNCTION("""COMPUTED_VALUE"""),0.7565509259256942)</f>
        <v>0.7565509259</v>
      </c>
      <c r="D23411" s="4">
        <f>IFERROR(__xludf.DUMMYFUNCTION("""COMPUTED_VALUE"""),12.898384)</f>
        <v>12.898384</v>
      </c>
      <c r="E23411" s="4">
        <f>IFERROR(__xludf.DUMMYFUNCTION("""COMPUTED_VALUE"""),80.090312)</f>
        <v>80.090312</v>
      </c>
      <c r="F23411" s="4">
        <f>IFERROR(__xludf.DUMMYFUNCTION("""COMPUTED_VALUE"""),3143.0)</f>
        <v>3143</v>
      </c>
      <c r="G23411" s="4">
        <f>IFERROR(__xludf.DUMMYFUNCTION("""COMPUTED_VALUE"""),46.0)</f>
        <v>46</v>
      </c>
      <c r="H23411" s="4"/>
      <c r="I23411" s="4"/>
    </row>
    <row r="23412">
      <c r="A23412" s="4" t="str">
        <f>IFERROR(__xludf.DUMMYFUNCTION("""COMPUTED_VALUE"""),"cas_hmw")</f>
        <v>cas_hmw</v>
      </c>
      <c r="B23412" s="5">
        <f>IFERROR(__xludf.DUMMYFUNCTION("""COMPUTED_VALUE"""),44792.0)</f>
        <v>44792</v>
      </c>
      <c r="C23412" s="6">
        <f>IFERROR(__xludf.DUMMYFUNCTION("""COMPUTED_VALUE"""),0.7569212962953316)</f>
        <v>0.7569212963</v>
      </c>
      <c r="D23412" s="4">
        <f>IFERROR(__xludf.DUMMYFUNCTION("""COMPUTED_VALUE"""),12.896068)</f>
        <v>12.896068</v>
      </c>
      <c r="E23412" s="4">
        <f>IFERROR(__xludf.DUMMYFUNCTION("""COMPUTED_VALUE"""),80.088558)</f>
        <v>80.088558</v>
      </c>
      <c r="F23412" s="4">
        <f>IFERROR(__xludf.DUMMYFUNCTION("""COMPUTED_VALUE"""),3143.0)</f>
        <v>3143</v>
      </c>
      <c r="G23412" s="4">
        <f>IFERROR(__xludf.DUMMYFUNCTION("""COMPUTED_VALUE"""),38.0)</f>
        <v>38</v>
      </c>
      <c r="H23412" s="4"/>
      <c r="I23412" s="4"/>
    </row>
    <row r="23413">
      <c r="A23413" s="4" t="str">
        <f>IFERROR(__xludf.DUMMYFUNCTION("""COMPUTED_VALUE"""),"cas_hmw")</f>
        <v>cas_hmw</v>
      </c>
      <c r="B23413" s="5">
        <f>IFERROR(__xludf.DUMMYFUNCTION("""COMPUTED_VALUE"""),44792.0)</f>
        <v>44792</v>
      </c>
      <c r="C23413" s="6">
        <f>IFERROR(__xludf.DUMMYFUNCTION("""COMPUTED_VALUE"""),0.7571990740725596)</f>
        <v>0.7571990741</v>
      </c>
      <c r="D23413" s="4">
        <f>IFERROR(__xludf.DUMMYFUNCTION("""COMPUTED_VALUE"""),12.893301)</f>
        <v>12.893301</v>
      </c>
      <c r="E23413" s="4">
        <f>IFERROR(__xludf.DUMMYFUNCTION("""COMPUTED_VALUE"""),80.086512)</f>
        <v>80.086512</v>
      </c>
      <c r="F23413" s="4">
        <f>IFERROR(__xludf.DUMMYFUNCTION("""COMPUTED_VALUE"""),3143.0)</f>
        <v>3143</v>
      </c>
      <c r="G23413" s="4">
        <f>IFERROR(__xludf.DUMMYFUNCTION("""COMPUTED_VALUE"""),41.0)</f>
        <v>41</v>
      </c>
      <c r="H23413" s="4"/>
      <c r="I23413" s="4"/>
    </row>
    <row r="23414">
      <c r="A23414" s="4" t="str">
        <f>IFERROR(__xludf.DUMMYFUNCTION("""COMPUTED_VALUE"""),"cas_hmw")</f>
        <v>cas_hmw</v>
      </c>
      <c r="B23414" s="5">
        <f>IFERROR(__xludf.DUMMYFUNCTION("""COMPUTED_VALUE"""),44792.0)</f>
        <v>44792</v>
      </c>
      <c r="C23414" s="6">
        <f>IFERROR(__xludf.DUMMYFUNCTION("""COMPUTED_VALUE"""),0.7578935185192677)</f>
        <v>0.7578935185</v>
      </c>
      <c r="D23414" s="4">
        <f>IFERROR(__xludf.DUMMYFUNCTION("""COMPUTED_VALUE"""),12.886668)</f>
        <v>12.886668</v>
      </c>
      <c r="E23414" s="4">
        <f>IFERROR(__xludf.DUMMYFUNCTION("""COMPUTED_VALUE"""),80.083278)</f>
        <v>80.083278</v>
      </c>
      <c r="F23414" s="4">
        <f>IFERROR(__xludf.DUMMYFUNCTION("""COMPUTED_VALUE"""),3143.0)</f>
        <v>3143</v>
      </c>
      <c r="G23414" s="4">
        <f>IFERROR(__xludf.DUMMYFUNCTION("""COMPUTED_VALUE"""),53.0)</f>
        <v>53</v>
      </c>
      <c r="H23414" s="4"/>
      <c r="I23414" s="4"/>
    </row>
    <row r="23415">
      <c r="A23415" s="4" t="str">
        <f>IFERROR(__xludf.DUMMYFUNCTION("""COMPUTED_VALUE"""),"cas_hmw")</f>
        <v>cas_hmw</v>
      </c>
      <c r="B23415" s="5">
        <f>IFERROR(__xludf.DUMMYFUNCTION("""COMPUTED_VALUE"""),44792.0)</f>
        <v>44792</v>
      </c>
      <c r="C23415" s="6">
        <f>IFERROR(__xludf.DUMMYFUNCTION("""COMPUTED_VALUE"""),0.7581134259271494)</f>
        <v>0.7581134259</v>
      </c>
      <c r="D23415" s="4">
        <f>IFERROR(__xludf.DUMMYFUNCTION("""COMPUTED_VALUE"""),12.884465)</f>
        <v>12.884465</v>
      </c>
      <c r="E23415" s="4">
        <f>IFERROR(__xludf.DUMMYFUNCTION("""COMPUTED_VALUE"""),80.082388)</f>
        <v>80.082388</v>
      </c>
      <c r="F23415" s="4">
        <f>IFERROR(__xludf.DUMMYFUNCTION("""COMPUTED_VALUE"""),3143.0)</f>
        <v>3143</v>
      </c>
      <c r="G23415" s="4">
        <f>IFERROR(__xludf.DUMMYFUNCTION("""COMPUTED_VALUE"""),42.0)</f>
        <v>42</v>
      </c>
      <c r="H23415" s="4"/>
      <c r="I23415" s="4"/>
    </row>
    <row r="23416">
      <c r="A23416" s="4" t="str">
        <f>IFERROR(__xludf.DUMMYFUNCTION("""COMPUTED_VALUE"""),"cas_hmw")</f>
        <v>cas_hmw</v>
      </c>
      <c r="B23416" s="5">
        <f>IFERROR(__xludf.DUMMYFUNCTION("""COMPUTED_VALUE"""),44795.0)</f>
        <v>44795</v>
      </c>
      <c r="C23416" s="6">
        <f>IFERROR(__xludf.DUMMYFUNCTION("""COMPUTED_VALUE"""),0.2931250000001455)</f>
        <v>0.293125</v>
      </c>
      <c r="D23416" s="4">
        <f>IFERROR(__xludf.DUMMYFUNCTION("""COMPUTED_VALUE"""),12.505985)</f>
        <v>12.505985</v>
      </c>
      <c r="E23416" s="4">
        <f>IFERROR(__xludf.DUMMYFUNCTION("""COMPUTED_VALUE"""),79.879883)</f>
        <v>79.879883</v>
      </c>
      <c r="F23416" s="4">
        <f>IFERROR(__xludf.DUMMYFUNCTION("""COMPUTED_VALUE"""),2846.0)</f>
        <v>2846</v>
      </c>
      <c r="G23416" s="4">
        <f>IFERROR(__xludf.DUMMYFUNCTION("""COMPUTED_VALUE"""),55.0)</f>
        <v>55</v>
      </c>
      <c r="H23416" s="4"/>
      <c r="I23416" s="4"/>
    </row>
    <row r="23417">
      <c r="A23417" s="4" t="str">
        <f>IFERROR(__xludf.DUMMYFUNCTION("""COMPUTED_VALUE"""),"cas_hmw")</f>
        <v>cas_hmw</v>
      </c>
      <c r="B23417" s="5">
        <f>IFERROR(__xludf.DUMMYFUNCTION("""COMPUTED_VALUE"""),44795.0)</f>
        <v>44795</v>
      </c>
      <c r="C23417" s="6">
        <f>IFERROR(__xludf.DUMMYFUNCTION("""COMPUTED_VALUE"""),0.29951388888730435)</f>
        <v>0.2995138889</v>
      </c>
      <c r="D23417" s="4">
        <f>IFERROR(__xludf.DUMMYFUNCTION("""COMPUTED_VALUE"""),12.515335)</f>
        <v>12.515335</v>
      </c>
      <c r="E23417" s="4">
        <f>IFERROR(__xludf.DUMMYFUNCTION("""COMPUTED_VALUE"""),79.888598)</f>
        <v>79.888598</v>
      </c>
      <c r="F23417" s="4">
        <f>IFERROR(__xludf.DUMMYFUNCTION("""COMPUTED_VALUE"""),2846.0)</f>
        <v>2846</v>
      </c>
      <c r="G23417" s="4">
        <f>IFERROR(__xludf.DUMMYFUNCTION("""COMPUTED_VALUE"""),38.0)</f>
        <v>38</v>
      </c>
      <c r="H23417" s="4"/>
      <c r="I23417" s="4"/>
    </row>
    <row r="23418">
      <c r="A23418" s="4" t="str">
        <f>IFERROR(__xludf.DUMMYFUNCTION("""COMPUTED_VALUE"""),"cas_hmw")</f>
        <v>cas_hmw</v>
      </c>
      <c r="B23418" s="5">
        <f>IFERROR(__xludf.DUMMYFUNCTION("""COMPUTED_VALUE"""),44795.0)</f>
        <v>44795</v>
      </c>
      <c r="C23418" s="6">
        <f>IFERROR(__xludf.DUMMYFUNCTION("""COMPUTED_VALUE"""),0.3004745370380988)</f>
        <v>0.300474537</v>
      </c>
      <c r="D23418" s="4">
        <f>IFERROR(__xludf.DUMMYFUNCTION("""COMPUTED_VALUE"""),13.026994)</f>
        <v>13.026994</v>
      </c>
      <c r="E23418" s="4">
        <f>IFERROR(__xludf.DUMMYFUNCTION("""COMPUTED_VALUE"""),80.110803)</f>
        <v>80.110803</v>
      </c>
      <c r="F23418" s="4">
        <f>IFERROR(__xludf.DUMMYFUNCTION("""COMPUTED_VALUE"""),3143.0)</f>
        <v>3143</v>
      </c>
      <c r="G23418" s="4">
        <f>IFERROR(__xludf.DUMMYFUNCTION("""COMPUTED_VALUE"""),30.0)</f>
        <v>30</v>
      </c>
      <c r="H23418" s="4"/>
      <c r="I23418" s="4"/>
    </row>
    <row r="23419">
      <c r="A23419" s="4" t="str">
        <f>IFERROR(__xludf.DUMMYFUNCTION("""COMPUTED_VALUE"""),"cas_hmw")</f>
        <v>cas_hmw</v>
      </c>
      <c r="B23419" s="5">
        <f>IFERROR(__xludf.DUMMYFUNCTION("""COMPUTED_VALUE"""),44795.0)</f>
        <v>44795</v>
      </c>
      <c r="C23419" s="6">
        <f>IFERROR(__xludf.DUMMYFUNCTION("""COMPUTED_VALUE"""),0.3014236111121136)</f>
        <v>0.3014236111</v>
      </c>
      <c r="D23419" s="4">
        <f>IFERROR(__xludf.DUMMYFUNCTION("""COMPUTED_VALUE"""),13.020083)</f>
        <v>13.020083</v>
      </c>
      <c r="E23419" s="4">
        <f>IFERROR(__xludf.DUMMYFUNCTION("""COMPUTED_VALUE"""),80.104656)</f>
        <v>80.104656</v>
      </c>
      <c r="F23419" s="4">
        <f>IFERROR(__xludf.DUMMYFUNCTION("""COMPUTED_VALUE"""),3143.0)</f>
        <v>3143</v>
      </c>
      <c r="G23419" s="4">
        <f>IFERROR(__xludf.DUMMYFUNCTION("""COMPUTED_VALUE"""),35.0)</f>
        <v>35</v>
      </c>
      <c r="H23419" s="4"/>
      <c r="I23419" s="4"/>
    </row>
    <row r="23420">
      <c r="A23420" s="4" t="str">
        <f>IFERROR(__xludf.DUMMYFUNCTION("""COMPUTED_VALUE"""),"cas_hmw")</f>
        <v>cas_hmw</v>
      </c>
      <c r="B23420" s="5">
        <f>IFERROR(__xludf.DUMMYFUNCTION("""COMPUTED_VALUE"""),44795.0)</f>
        <v>44795</v>
      </c>
      <c r="C23420" s="6">
        <f>IFERROR(__xludf.DUMMYFUNCTION("""COMPUTED_VALUE"""),0.3017013888893416)</f>
        <v>0.3017013889</v>
      </c>
      <c r="D23420" s="4">
        <f>IFERROR(__xludf.DUMMYFUNCTION("""COMPUTED_VALUE"""),13.018882)</f>
        <v>13.018882</v>
      </c>
      <c r="E23420" s="4">
        <f>IFERROR(__xludf.DUMMYFUNCTION("""COMPUTED_VALUE"""),80.103564)</f>
        <v>80.103564</v>
      </c>
      <c r="F23420" s="4">
        <f>IFERROR(__xludf.DUMMYFUNCTION("""COMPUTED_VALUE"""),3143.0)</f>
        <v>3143</v>
      </c>
      <c r="G23420" s="4">
        <f>IFERROR(__xludf.DUMMYFUNCTION("""COMPUTED_VALUE"""),20.0)</f>
        <v>20</v>
      </c>
      <c r="H23420" s="4"/>
      <c r="I23420" s="4"/>
    </row>
    <row r="23421">
      <c r="A23421" s="4" t="str">
        <f>IFERROR(__xludf.DUMMYFUNCTION("""COMPUTED_VALUE"""),"cas_hmw")</f>
        <v>cas_hmw</v>
      </c>
      <c r="B23421" s="5">
        <f>IFERROR(__xludf.DUMMYFUNCTION("""COMPUTED_VALUE"""),44795.0)</f>
        <v>44795</v>
      </c>
      <c r="C23421" s="6">
        <f>IFERROR(__xludf.DUMMYFUNCTION("""COMPUTED_VALUE"""),0.30253472222102573)</f>
        <v>0.3025347222</v>
      </c>
      <c r="D23421" s="4">
        <f>IFERROR(__xludf.DUMMYFUNCTION("""COMPUTED_VALUE"""),13.015675)</f>
        <v>13.015675</v>
      </c>
      <c r="E23421" s="4">
        <f>IFERROR(__xludf.DUMMYFUNCTION("""COMPUTED_VALUE"""),80.102978)</f>
        <v>80.102978</v>
      </c>
      <c r="F23421" s="4">
        <f>IFERROR(__xludf.DUMMYFUNCTION("""COMPUTED_VALUE"""),3143.0)</f>
        <v>3143</v>
      </c>
      <c r="G23421" s="4">
        <f>IFERROR(__xludf.DUMMYFUNCTION("""COMPUTED_VALUE"""),34.0)</f>
        <v>34</v>
      </c>
      <c r="H23421" s="4"/>
      <c r="I23421" s="4"/>
    </row>
    <row r="23422">
      <c r="A23422" s="4" t="str">
        <f>IFERROR(__xludf.DUMMYFUNCTION("""COMPUTED_VALUE"""),"cas_hmw")</f>
        <v>cas_hmw</v>
      </c>
      <c r="B23422" s="5">
        <f>IFERROR(__xludf.DUMMYFUNCTION("""COMPUTED_VALUE"""),44795.0)</f>
        <v>44795</v>
      </c>
      <c r="C23422" s="6">
        <f>IFERROR(__xludf.DUMMYFUNCTION("""COMPUTED_VALUE"""),0.3073148148141627)</f>
        <v>0.3073148148</v>
      </c>
      <c r="D23422" s="4">
        <f>IFERROR(__xludf.DUMMYFUNCTION("""COMPUTED_VALUE"""),12.590604)</f>
        <v>12.590604</v>
      </c>
      <c r="E23422" s="4">
        <f>IFERROR(__xludf.DUMMYFUNCTION("""COMPUTED_VALUE"""),79.919217)</f>
        <v>79.919217</v>
      </c>
      <c r="F23422" s="4">
        <f>IFERROR(__xludf.DUMMYFUNCTION("""COMPUTED_VALUE"""),2846.0)</f>
        <v>2846</v>
      </c>
      <c r="G23422" s="4">
        <f>IFERROR(__xludf.DUMMYFUNCTION("""COMPUTED_VALUE"""),50.0)</f>
        <v>50</v>
      </c>
      <c r="H23422" s="4"/>
      <c r="I23422" s="4"/>
    </row>
    <row r="23423">
      <c r="A23423" s="4" t="str">
        <f>IFERROR(__xludf.DUMMYFUNCTION("""COMPUTED_VALUE"""),"cas_hmw")</f>
        <v>cas_hmw</v>
      </c>
      <c r="B23423" s="5">
        <f>IFERROR(__xludf.DUMMYFUNCTION("""COMPUTED_VALUE"""),44795.0)</f>
        <v>44795</v>
      </c>
      <c r="C23423" s="6">
        <f>IFERROR(__xludf.DUMMYFUNCTION("""COMPUTED_VALUE"""),0.3074884259258397)</f>
        <v>0.3074884259</v>
      </c>
      <c r="D23423" s="4">
        <f>IFERROR(__xludf.DUMMYFUNCTION("""COMPUTED_VALUE"""),12.997622)</f>
        <v>12.997622</v>
      </c>
      <c r="E23423" s="4">
        <f>IFERROR(__xludf.DUMMYFUNCTION("""COMPUTED_VALUE"""),80.105331)</f>
        <v>80.105331</v>
      </c>
      <c r="F23423" s="4">
        <f>IFERROR(__xludf.DUMMYFUNCTION("""COMPUTED_VALUE"""),3143.0)</f>
        <v>3143</v>
      </c>
      <c r="G23423" s="4">
        <f>IFERROR(__xludf.DUMMYFUNCTION("""COMPUTED_VALUE"""),45.0)</f>
        <v>45</v>
      </c>
      <c r="H23423" s="4"/>
      <c r="I23423" s="4"/>
    </row>
    <row r="23424">
      <c r="A23424" s="4" t="str">
        <f>IFERROR(__xludf.DUMMYFUNCTION("""COMPUTED_VALUE"""),"cas_hmw")</f>
        <v>cas_hmw</v>
      </c>
      <c r="B23424" s="5">
        <f>IFERROR(__xludf.DUMMYFUNCTION("""COMPUTED_VALUE"""),44795.0)</f>
        <v>44795</v>
      </c>
      <c r="C23424" s="6">
        <f>IFERROR(__xludf.DUMMYFUNCTION("""COMPUTED_VALUE"""),0.3095601851855463)</f>
        <v>0.3095601852</v>
      </c>
      <c r="D23424" s="4">
        <f>IFERROR(__xludf.DUMMYFUNCTION("""COMPUTED_VALUE"""),12.990468)</f>
        <v>12.990468</v>
      </c>
      <c r="E23424" s="4">
        <f>IFERROR(__xludf.DUMMYFUNCTION("""COMPUTED_VALUE"""),80.11641)</f>
        <v>80.11641</v>
      </c>
      <c r="F23424" s="4">
        <f>IFERROR(__xludf.DUMMYFUNCTION("""COMPUTED_VALUE"""),3143.0)</f>
        <v>3143</v>
      </c>
      <c r="G23424" s="4">
        <f>IFERROR(__xludf.DUMMYFUNCTION("""COMPUTED_VALUE"""),34.0)</f>
        <v>34</v>
      </c>
      <c r="H23424" s="4"/>
      <c r="I23424" s="4"/>
    </row>
    <row r="23425">
      <c r="A23425" s="4" t="str">
        <f>IFERROR(__xludf.DUMMYFUNCTION("""COMPUTED_VALUE"""),"cas_hmw")</f>
        <v>cas_hmw</v>
      </c>
      <c r="B23425" s="5">
        <f>IFERROR(__xludf.DUMMYFUNCTION("""COMPUTED_VALUE"""),44795.0)</f>
        <v>44795</v>
      </c>
      <c r="C23425" s="6">
        <f>IFERROR(__xludf.DUMMYFUNCTION("""COMPUTED_VALUE"""),0.31171296296452056)</f>
        <v>0.311712963</v>
      </c>
      <c r="D23425" s="4">
        <f>IFERROR(__xludf.DUMMYFUNCTION("""COMPUTED_VALUE"""),12.640497)</f>
        <v>12.640497</v>
      </c>
      <c r="E23425" s="4">
        <f>IFERROR(__xludf.DUMMYFUNCTION("""COMPUTED_VALUE"""),79.936536)</f>
        <v>79.936536</v>
      </c>
      <c r="F23425" s="4">
        <f>IFERROR(__xludf.DUMMYFUNCTION("""COMPUTED_VALUE"""),2846.0)</f>
        <v>2846</v>
      </c>
      <c r="G23425" s="4">
        <f>IFERROR(__xludf.DUMMYFUNCTION("""COMPUTED_VALUE"""),56.0)</f>
        <v>56</v>
      </c>
      <c r="H23425" s="4"/>
      <c r="I23425" s="4"/>
    </row>
    <row r="23426">
      <c r="A23426" s="4" t="str">
        <f>IFERROR(__xludf.DUMMYFUNCTION("""COMPUTED_VALUE"""),"cas_hmw")</f>
        <v>cas_hmw</v>
      </c>
      <c r="B23426" s="5">
        <f>IFERROR(__xludf.DUMMYFUNCTION("""COMPUTED_VALUE"""),44795.0)</f>
        <v>44795</v>
      </c>
      <c r="C23426" s="6">
        <f>IFERROR(__xludf.DUMMYFUNCTION("""COMPUTED_VALUE"""),0.31219907407285064)</f>
        <v>0.3121990741</v>
      </c>
      <c r="D23426" s="4">
        <f>IFERROR(__xludf.DUMMYFUNCTION("""COMPUTED_VALUE"""),12.645099)</f>
        <v>12.645099</v>
      </c>
      <c r="E23426" s="4">
        <f>IFERROR(__xludf.DUMMYFUNCTION("""COMPUTED_VALUE"""),79.939319)</f>
        <v>79.939319</v>
      </c>
      <c r="F23426" s="4">
        <f>IFERROR(__xludf.DUMMYFUNCTION("""COMPUTED_VALUE"""),2846.0)</f>
        <v>2846</v>
      </c>
      <c r="G23426" s="4">
        <f>IFERROR(__xludf.DUMMYFUNCTION("""COMPUTED_VALUE"""),53.0)</f>
        <v>53</v>
      </c>
      <c r="H23426" s="4"/>
      <c r="I23426" s="4"/>
    </row>
    <row r="23427">
      <c r="A23427" s="4" t="str">
        <f>IFERROR(__xludf.DUMMYFUNCTION("""COMPUTED_VALUE"""),"cas_hmw")</f>
        <v>cas_hmw</v>
      </c>
      <c r="B23427" s="5">
        <f>IFERROR(__xludf.DUMMYFUNCTION("""COMPUTED_VALUE"""),44795.0)</f>
        <v>44795</v>
      </c>
      <c r="C23427" s="6">
        <f>IFERROR(__xludf.DUMMYFUNCTION("""COMPUTED_VALUE"""),0.31349537037021946)</f>
        <v>0.3134953704</v>
      </c>
      <c r="D23427" s="4">
        <f>IFERROR(__xludf.DUMMYFUNCTION("""COMPUTED_VALUE"""),12.658209)</f>
        <v>12.658209</v>
      </c>
      <c r="E23427" s="4">
        <f>IFERROR(__xludf.DUMMYFUNCTION("""COMPUTED_VALUE"""),79.942232)</f>
        <v>79.942232</v>
      </c>
      <c r="F23427" s="4">
        <f>IFERROR(__xludf.DUMMYFUNCTION("""COMPUTED_VALUE"""),2846.0)</f>
        <v>2846</v>
      </c>
      <c r="G23427" s="4">
        <f>IFERROR(__xludf.DUMMYFUNCTION("""COMPUTED_VALUE"""),58.0)</f>
        <v>58</v>
      </c>
      <c r="H23427" s="4"/>
      <c r="I23427" s="4"/>
    </row>
    <row r="23428">
      <c r="A23428" s="4" t="str">
        <f>IFERROR(__xludf.DUMMYFUNCTION("""COMPUTED_VALUE"""),"cas_hmw")</f>
        <v>cas_hmw</v>
      </c>
      <c r="B23428" s="5">
        <f>IFERROR(__xludf.DUMMYFUNCTION("""COMPUTED_VALUE"""),44795.0)</f>
        <v>44795</v>
      </c>
      <c r="C23428" s="6">
        <f>IFERROR(__xludf.DUMMYFUNCTION("""COMPUTED_VALUE"""),0.3135185185201408)</f>
        <v>0.3135185185</v>
      </c>
      <c r="D23428" s="4">
        <f>IFERROR(__xludf.DUMMYFUNCTION("""COMPUTED_VALUE"""),12.658209)</f>
        <v>12.658209</v>
      </c>
      <c r="E23428" s="4">
        <f>IFERROR(__xludf.DUMMYFUNCTION("""COMPUTED_VALUE"""),79.942232)</f>
        <v>79.942232</v>
      </c>
      <c r="F23428" s="4">
        <f>IFERROR(__xludf.DUMMYFUNCTION("""COMPUTED_VALUE"""),2846.0)</f>
        <v>2846</v>
      </c>
      <c r="G23428" s="4">
        <f>IFERROR(__xludf.DUMMYFUNCTION("""COMPUTED_VALUE"""),58.0)</f>
        <v>58</v>
      </c>
      <c r="H23428" s="4"/>
      <c r="I23428" s="4"/>
    </row>
    <row r="23429">
      <c r="A23429" s="4" t="str">
        <f>IFERROR(__xludf.DUMMYFUNCTION("""COMPUTED_VALUE"""),"cas_hmw")</f>
        <v>cas_hmw</v>
      </c>
      <c r="B23429" s="5">
        <f>IFERROR(__xludf.DUMMYFUNCTION("""COMPUTED_VALUE"""),44795.0)</f>
        <v>44795</v>
      </c>
      <c r="C23429" s="6">
        <f>IFERROR(__xludf.DUMMYFUNCTION("""COMPUTED_VALUE"""),0.31403935185153387)</f>
        <v>0.3140393519</v>
      </c>
      <c r="D23429" s="4">
        <f>IFERROR(__xludf.DUMMYFUNCTION("""COMPUTED_VALUE"""),12.657258)</f>
        <v>12.657258</v>
      </c>
      <c r="E23429" s="4">
        <f>IFERROR(__xludf.DUMMYFUNCTION("""COMPUTED_VALUE"""),79.948017)</f>
        <v>79.948017</v>
      </c>
      <c r="F23429" s="4">
        <f>IFERROR(__xludf.DUMMYFUNCTION("""COMPUTED_VALUE"""),2846.0)</f>
        <v>2846</v>
      </c>
      <c r="G23429" s="4">
        <f>IFERROR(__xludf.DUMMYFUNCTION("""COMPUTED_VALUE"""),51.0)</f>
        <v>51</v>
      </c>
      <c r="H23429" s="4"/>
      <c r="I23429" s="4"/>
    </row>
    <row r="23430">
      <c r="A23430" s="4" t="str">
        <f>IFERROR(__xludf.DUMMYFUNCTION("""COMPUTED_VALUE"""),"cas_hmw")</f>
        <v>cas_hmw</v>
      </c>
      <c r="B23430" s="5">
        <f>IFERROR(__xludf.DUMMYFUNCTION("""COMPUTED_VALUE"""),44795.0)</f>
        <v>44795</v>
      </c>
      <c r="C23430" s="6">
        <f>IFERROR(__xludf.DUMMYFUNCTION("""COMPUTED_VALUE"""),0.31427083333255723)</f>
        <v>0.3142708333</v>
      </c>
      <c r="D23430" s="4">
        <f>IFERROR(__xludf.DUMMYFUNCTION("""COMPUTED_VALUE"""),12.656911)</f>
        <v>12.656911</v>
      </c>
      <c r="E23430" s="4">
        <f>IFERROR(__xludf.DUMMYFUNCTION("""COMPUTED_VALUE"""),79.949204)</f>
        <v>79.949204</v>
      </c>
      <c r="F23430" s="4">
        <f>IFERROR(__xludf.DUMMYFUNCTION("""COMPUTED_VALUE"""),2846.0)</f>
        <v>2846</v>
      </c>
      <c r="G23430" s="4">
        <f>IFERROR(__xludf.DUMMYFUNCTION("""COMPUTED_VALUE"""),45.0)</f>
        <v>45</v>
      </c>
      <c r="H23430" s="4"/>
      <c r="I23430" s="4"/>
    </row>
    <row r="23431">
      <c r="A23431" s="4" t="str">
        <f>IFERROR(__xludf.DUMMYFUNCTION("""COMPUTED_VALUE"""),"cas_hmw")</f>
        <v>cas_hmw</v>
      </c>
      <c r="B23431" s="5">
        <f>IFERROR(__xludf.DUMMYFUNCTION("""COMPUTED_VALUE"""),44795.0)</f>
        <v>44795</v>
      </c>
      <c r="C23431" s="6">
        <f>IFERROR(__xludf.DUMMYFUNCTION("""COMPUTED_VALUE"""),0.3144675925941556)</f>
        <v>0.3144675926</v>
      </c>
      <c r="D23431" s="4">
        <f>IFERROR(__xludf.DUMMYFUNCTION("""COMPUTED_VALUE"""),12.656234)</f>
        <v>12.656234</v>
      </c>
      <c r="E23431" s="4">
        <f>IFERROR(__xludf.DUMMYFUNCTION("""COMPUTED_VALUE"""),79.951501)</f>
        <v>79.951501</v>
      </c>
      <c r="F23431" s="4">
        <f>IFERROR(__xludf.DUMMYFUNCTION("""COMPUTED_VALUE"""),2846.0)</f>
        <v>2846</v>
      </c>
      <c r="G23431" s="4">
        <f>IFERROR(__xludf.DUMMYFUNCTION("""COMPUTED_VALUE"""),44.0)</f>
        <v>44</v>
      </c>
      <c r="H23431" s="4"/>
      <c r="I23431" s="4"/>
    </row>
    <row r="23432">
      <c r="A23432" s="4" t="str">
        <f>IFERROR(__xludf.DUMMYFUNCTION("""COMPUTED_VALUE"""),"cas_hmw")</f>
        <v>cas_hmw</v>
      </c>
      <c r="B23432" s="5">
        <f>IFERROR(__xludf.DUMMYFUNCTION("""COMPUTED_VALUE"""),44795.0)</f>
        <v>44795</v>
      </c>
      <c r="C23432" s="6">
        <f>IFERROR(__xludf.DUMMYFUNCTION("""COMPUTED_VALUE"""),0.31466435185211594)</f>
        <v>0.3146643519</v>
      </c>
      <c r="D23432" s="4">
        <f>IFERROR(__xludf.DUMMYFUNCTION("""COMPUTED_VALUE"""),12.656157)</f>
        <v>12.656157</v>
      </c>
      <c r="E23432" s="4">
        <f>IFERROR(__xludf.DUMMYFUNCTION("""COMPUTED_VALUE"""),79.953928)</f>
        <v>79.953928</v>
      </c>
      <c r="F23432" s="4">
        <f>IFERROR(__xludf.DUMMYFUNCTION("""COMPUTED_VALUE"""),2846.0)</f>
        <v>2846</v>
      </c>
      <c r="G23432" s="4">
        <f>IFERROR(__xludf.DUMMYFUNCTION("""COMPUTED_VALUE"""),46.0)</f>
        <v>46</v>
      </c>
      <c r="H23432" s="4"/>
      <c r="I23432" s="4"/>
    </row>
    <row r="23433">
      <c r="A23433" s="4" t="str">
        <f>IFERROR(__xludf.DUMMYFUNCTION("""COMPUTED_VALUE"""),"cas_hmw")</f>
        <v>cas_hmw</v>
      </c>
      <c r="B23433" s="5">
        <f>IFERROR(__xludf.DUMMYFUNCTION("""COMPUTED_VALUE"""),44795.0)</f>
        <v>44795</v>
      </c>
      <c r="C23433" s="6">
        <f>IFERROR(__xludf.DUMMYFUNCTION("""COMPUTED_VALUE"""),0.3149999999986903)</f>
        <v>0.315</v>
      </c>
      <c r="D23433" s="4">
        <f>IFERROR(__xludf.DUMMYFUNCTION("""COMPUTED_VALUE"""),12.657)</f>
        <v>12.657</v>
      </c>
      <c r="E23433" s="4">
        <f>IFERROR(__xludf.DUMMYFUNCTION("""COMPUTED_VALUE"""),79.956174)</f>
        <v>79.956174</v>
      </c>
      <c r="F23433" s="4">
        <f>IFERROR(__xludf.DUMMYFUNCTION("""COMPUTED_VALUE"""),2846.0)</f>
        <v>2846</v>
      </c>
      <c r="G23433" s="4">
        <f>IFERROR(__xludf.DUMMYFUNCTION("""COMPUTED_VALUE"""),47.0)</f>
        <v>47</v>
      </c>
      <c r="H23433" s="4"/>
      <c r="I23433" s="4"/>
    </row>
    <row r="23434">
      <c r="A23434" s="4" t="str">
        <f>IFERROR(__xludf.DUMMYFUNCTION("""COMPUTED_VALUE"""),"cas_hmw")</f>
        <v>cas_hmw</v>
      </c>
      <c r="B23434" s="5">
        <f>IFERROR(__xludf.DUMMYFUNCTION("""COMPUTED_VALUE"""),44795.0)</f>
        <v>44795</v>
      </c>
      <c r="C23434" s="6">
        <f>IFERROR(__xludf.DUMMYFUNCTION("""COMPUTED_VALUE"""),0.31684027777737356)</f>
        <v>0.3168402778</v>
      </c>
      <c r="D23434" s="4">
        <f>IFERROR(__xludf.DUMMYFUNCTION("""COMPUTED_VALUE"""),12.979952)</f>
        <v>12.979952</v>
      </c>
      <c r="E23434" s="4">
        <f>IFERROR(__xludf.DUMMYFUNCTION("""COMPUTED_VALUE"""),80.136568)</f>
        <v>80.136568</v>
      </c>
      <c r="F23434" s="4">
        <f>IFERROR(__xludf.DUMMYFUNCTION("""COMPUTED_VALUE"""),3143.0)</f>
        <v>3143</v>
      </c>
      <c r="G23434" s="4">
        <f>IFERROR(__xludf.DUMMYFUNCTION("""COMPUTED_VALUE"""),35.0)</f>
        <v>35</v>
      </c>
      <c r="H23434" s="4"/>
      <c r="I23434" s="4"/>
    </row>
    <row r="23435">
      <c r="A23435" s="4" t="str">
        <f>IFERROR(__xludf.DUMMYFUNCTION("""COMPUTED_VALUE"""),"cas_hmw")</f>
        <v>cas_hmw</v>
      </c>
      <c r="B23435" s="5">
        <f>IFERROR(__xludf.DUMMYFUNCTION("""COMPUTED_VALUE"""),44795.0)</f>
        <v>44795</v>
      </c>
      <c r="C23435" s="6">
        <f>IFERROR(__xludf.DUMMYFUNCTION("""COMPUTED_VALUE"""),0.3206018518503697)</f>
        <v>0.3206018519</v>
      </c>
      <c r="D23435" s="4">
        <f>IFERROR(__xludf.DUMMYFUNCTION("""COMPUTED_VALUE"""),12.684826)</f>
        <v>12.684826</v>
      </c>
      <c r="E23435" s="4">
        <f>IFERROR(__xludf.DUMMYFUNCTION("""COMPUTED_VALUE"""),79.983439)</f>
        <v>79.983439</v>
      </c>
      <c r="F23435" s="4">
        <f>IFERROR(__xludf.DUMMYFUNCTION("""COMPUTED_VALUE"""),2846.0)</f>
        <v>2846</v>
      </c>
      <c r="G23435" s="4">
        <f>IFERROR(__xludf.DUMMYFUNCTION("""COMPUTED_VALUE"""),32.0)</f>
        <v>32</v>
      </c>
      <c r="H23435" s="4"/>
      <c r="I23435" s="4"/>
    </row>
    <row r="23436">
      <c r="A23436" s="4" t="str">
        <f>IFERROR(__xludf.DUMMYFUNCTION("""COMPUTED_VALUE"""),"cas_hmw")</f>
        <v>cas_hmw</v>
      </c>
      <c r="B23436" s="5">
        <f>IFERROR(__xludf.DUMMYFUNCTION("""COMPUTED_VALUE"""),44795.0)</f>
        <v>44795</v>
      </c>
      <c r="C23436" s="6">
        <f>IFERROR(__xludf.DUMMYFUNCTION("""COMPUTED_VALUE"""),0.3304166666675883)</f>
        <v>0.3304166667</v>
      </c>
      <c r="D23436" s="4">
        <f>IFERROR(__xludf.DUMMYFUNCTION("""COMPUTED_VALUE"""),13.007787)</f>
        <v>13.007787</v>
      </c>
      <c r="E23436" s="4">
        <f>IFERROR(__xludf.DUMMYFUNCTION("""COMPUTED_VALUE"""),80.207464)</f>
        <v>80.207464</v>
      </c>
      <c r="F23436" s="4">
        <f>IFERROR(__xludf.DUMMYFUNCTION("""COMPUTED_VALUE"""),5339.0)</f>
        <v>5339</v>
      </c>
      <c r="G23436" s="4">
        <f>IFERROR(__xludf.DUMMYFUNCTION("""COMPUTED_VALUE"""),39.0)</f>
        <v>39</v>
      </c>
      <c r="H23436" s="4"/>
      <c r="I23436" s="4"/>
    </row>
    <row r="23437">
      <c r="A23437" s="4" t="str">
        <f>IFERROR(__xludf.DUMMYFUNCTION("""COMPUTED_VALUE"""),"cas_hmw")</f>
        <v>cas_hmw</v>
      </c>
      <c r="B23437" s="5">
        <f>IFERROR(__xludf.DUMMYFUNCTION("""COMPUTED_VALUE"""),44795.0)</f>
        <v>44795</v>
      </c>
      <c r="C23437" s="6">
        <f>IFERROR(__xludf.DUMMYFUNCTION("""COMPUTED_VALUE"""),0.330601851852407)</f>
        <v>0.3306018519</v>
      </c>
      <c r="D23437" s="4">
        <f>IFERROR(__xludf.DUMMYFUNCTION("""COMPUTED_VALUE"""),12.729091)</f>
        <v>12.729091</v>
      </c>
      <c r="E23437" s="4">
        <f>IFERROR(__xludf.DUMMYFUNCTION("""COMPUTED_VALUE"""),79.982654)</f>
        <v>79.982654</v>
      </c>
      <c r="F23437" s="4">
        <f>IFERROR(__xludf.DUMMYFUNCTION("""COMPUTED_VALUE"""),2846.0)</f>
        <v>2846</v>
      </c>
      <c r="G23437" s="4">
        <f>IFERROR(__xludf.DUMMYFUNCTION("""COMPUTED_VALUE"""),56.0)</f>
        <v>56</v>
      </c>
      <c r="H23437" s="4"/>
      <c r="I23437" s="4"/>
    </row>
    <row r="23438">
      <c r="A23438" s="4" t="str">
        <f>IFERROR(__xludf.DUMMYFUNCTION("""COMPUTED_VALUE"""),"cas_hmw")</f>
        <v>cas_hmw</v>
      </c>
      <c r="B23438" s="5">
        <f>IFERROR(__xludf.DUMMYFUNCTION("""COMPUTED_VALUE"""),44795.0)</f>
        <v>44795</v>
      </c>
      <c r="C23438" s="6">
        <f>IFERROR(__xludf.DUMMYFUNCTION("""COMPUTED_VALUE"""),0.3308217592602887)</f>
        <v>0.3308217593</v>
      </c>
      <c r="D23438" s="4">
        <f>IFERROR(__xludf.DUMMYFUNCTION("""COMPUTED_VALUE"""),12.733163)</f>
        <v>12.733163</v>
      </c>
      <c r="E23438" s="4">
        <f>IFERROR(__xludf.DUMMYFUNCTION("""COMPUTED_VALUE"""),79.983341)</f>
        <v>79.983341</v>
      </c>
      <c r="F23438" s="4">
        <f>IFERROR(__xludf.DUMMYFUNCTION("""COMPUTED_VALUE"""),2846.0)</f>
        <v>2846</v>
      </c>
      <c r="G23438" s="4">
        <f>IFERROR(__xludf.DUMMYFUNCTION("""COMPUTED_VALUE"""),50.0)</f>
        <v>50</v>
      </c>
      <c r="H23438" s="4"/>
      <c r="I23438" s="4"/>
    </row>
    <row r="23439">
      <c r="A23439" s="4" t="str">
        <f>IFERROR(__xludf.DUMMYFUNCTION("""COMPUTED_VALUE"""),"cas_hmw")</f>
        <v>cas_hmw</v>
      </c>
      <c r="B23439" s="5">
        <f>IFERROR(__xludf.DUMMYFUNCTION("""COMPUTED_VALUE"""),44795.0)</f>
        <v>44795</v>
      </c>
      <c r="C23439" s="6">
        <f>IFERROR(__xludf.DUMMYFUNCTION("""COMPUTED_VALUE"""),0.33130787036861875)</f>
        <v>0.3313078704</v>
      </c>
      <c r="D23439" s="4">
        <f>IFERROR(__xludf.DUMMYFUNCTION("""COMPUTED_VALUE"""),13.00487)</f>
        <v>13.00487</v>
      </c>
      <c r="E23439" s="4">
        <f>IFERROR(__xludf.DUMMYFUNCTION("""COMPUTED_VALUE"""),80.201458)</f>
        <v>80.201458</v>
      </c>
      <c r="F23439" s="4">
        <f>IFERROR(__xludf.DUMMYFUNCTION("""COMPUTED_VALUE"""),5339.0)</f>
        <v>5339</v>
      </c>
      <c r="G23439" s="4">
        <f>IFERROR(__xludf.DUMMYFUNCTION("""COMPUTED_VALUE"""),37.0)</f>
        <v>37</v>
      </c>
      <c r="H23439" s="4"/>
      <c r="I23439" s="4"/>
    </row>
    <row r="23440">
      <c r="A23440" s="4" t="str">
        <f>IFERROR(__xludf.DUMMYFUNCTION("""COMPUTED_VALUE"""),"cas_hmw")</f>
        <v>cas_hmw</v>
      </c>
      <c r="B23440" s="5">
        <f>IFERROR(__xludf.DUMMYFUNCTION("""COMPUTED_VALUE"""),44795.0)</f>
        <v>44795</v>
      </c>
      <c r="C23440" s="6">
        <f>IFERROR(__xludf.DUMMYFUNCTION("""COMPUTED_VALUE"""),0.33152777777650044)</f>
        <v>0.3315277778</v>
      </c>
      <c r="D23440" s="4">
        <f>IFERROR(__xludf.DUMMYFUNCTION("""COMPUTED_VALUE"""),13.003199)</f>
        <v>13.003199</v>
      </c>
      <c r="E23440" s="4">
        <f>IFERROR(__xludf.DUMMYFUNCTION("""COMPUTED_VALUE"""),80.200862)</f>
        <v>80.200862</v>
      </c>
      <c r="F23440" s="4">
        <f>IFERROR(__xludf.DUMMYFUNCTION("""COMPUTED_VALUE"""),5339.0)</f>
        <v>5339</v>
      </c>
      <c r="G23440" s="4">
        <f>IFERROR(__xludf.DUMMYFUNCTION("""COMPUTED_VALUE"""),34.0)</f>
        <v>34</v>
      </c>
      <c r="H23440" s="4"/>
      <c r="I23440" s="4"/>
    </row>
    <row r="23441">
      <c r="A23441" s="4" t="str">
        <f>IFERROR(__xludf.DUMMYFUNCTION("""COMPUTED_VALUE"""),"cas_hmw")</f>
        <v>cas_hmw</v>
      </c>
      <c r="B23441" s="5">
        <f>IFERROR(__xludf.DUMMYFUNCTION("""COMPUTED_VALUE"""),44795.0)</f>
        <v>44795</v>
      </c>
      <c r="C23441" s="6">
        <f>IFERROR(__xludf.DUMMYFUNCTION("""COMPUTED_VALUE"""),0.3316550925919728)</f>
        <v>0.3316550926</v>
      </c>
      <c r="D23441" s="4">
        <f>IFERROR(__xludf.DUMMYFUNCTION("""COMPUTED_VALUE"""),12.740171)</f>
        <v>12.740171</v>
      </c>
      <c r="E23441" s="4">
        <f>IFERROR(__xludf.DUMMYFUNCTION("""COMPUTED_VALUE"""),79.989856)</f>
        <v>79.989856</v>
      </c>
      <c r="F23441" s="4">
        <f>IFERROR(__xludf.DUMMYFUNCTION("""COMPUTED_VALUE"""),2846.0)</f>
        <v>2846</v>
      </c>
      <c r="G23441" s="4">
        <f>IFERROR(__xludf.DUMMYFUNCTION("""COMPUTED_VALUE"""),56.0)</f>
        <v>56</v>
      </c>
      <c r="H23441" s="4"/>
      <c r="I23441" s="4"/>
    </row>
    <row r="23442">
      <c r="A23442" s="4" t="str">
        <f>IFERROR(__xludf.DUMMYFUNCTION("""COMPUTED_VALUE"""),"cas_hmw")</f>
        <v>cas_hmw</v>
      </c>
      <c r="B23442" s="5">
        <f>IFERROR(__xludf.DUMMYFUNCTION("""COMPUTED_VALUE"""),44795.0)</f>
        <v>44795</v>
      </c>
      <c r="C23442" s="6">
        <f>IFERROR(__xludf.DUMMYFUNCTION("""COMPUTED_VALUE"""),0.3317592592575238)</f>
        <v>0.3317592593</v>
      </c>
      <c r="D23442" s="4">
        <f>IFERROR(__xludf.DUMMYFUNCTION("""COMPUTED_VALUE"""),13.00184)</f>
        <v>13.00184</v>
      </c>
      <c r="E23442" s="4">
        <f>IFERROR(__xludf.DUMMYFUNCTION("""COMPUTED_VALUE"""),80.199865)</f>
        <v>80.199865</v>
      </c>
      <c r="F23442" s="4">
        <f>IFERROR(__xludf.DUMMYFUNCTION("""COMPUTED_VALUE"""),5339.0)</f>
        <v>5339</v>
      </c>
      <c r="G23442" s="4">
        <f>IFERROR(__xludf.DUMMYFUNCTION("""COMPUTED_VALUE"""),41.0)</f>
        <v>41</v>
      </c>
      <c r="H23442" s="4"/>
      <c r="I23442" s="4"/>
    </row>
    <row r="23443">
      <c r="A23443" s="4" t="str">
        <f>IFERROR(__xludf.DUMMYFUNCTION("""COMPUTED_VALUE"""),"cas_hmw")</f>
        <v>cas_hmw</v>
      </c>
      <c r="B23443" s="5">
        <f>IFERROR(__xludf.DUMMYFUNCTION("""COMPUTED_VALUE"""),44795.0)</f>
        <v>44795</v>
      </c>
      <c r="C23443" s="6">
        <f>IFERROR(__xludf.DUMMYFUNCTION("""COMPUTED_VALUE"""),0.33207175925781485)</f>
        <v>0.3320717593</v>
      </c>
      <c r="D23443" s="4">
        <f>IFERROR(__xludf.DUMMYFUNCTION("""COMPUTED_VALUE"""),13.002006)</f>
        <v>13.002006</v>
      </c>
      <c r="E23443" s="4">
        <f>IFERROR(__xludf.DUMMYFUNCTION("""COMPUTED_VALUE"""),80.197705)</f>
        <v>80.197705</v>
      </c>
      <c r="F23443" s="4">
        <f>IFERROR(__xludf.DUMMYFUNCTION("""COMPUTED_VALUE"""),5339.0)</f>
        <v>5339</v>
      </c>
      <c r="G23443" s="4">
        <f>IFERROR(__xludf.DUMMYFUNCTION("""COMPUTED_VALUE"""),42.0)</f>
        <v>42</v>
      </c>
      <c r="H23443" s="4"/>
      <c r="I23443" s="4"/>
    </row>
    <row r="23444">
      <c r="A23444" s="4" t="str">
        <f>IFERROR(__xludf.DUMMYFUNCTION("""COMPUTED_VALUE"""),"cas_hmw")</f>
        <v>cas_hmw</v>
      </c>
      <c r="B23444" s="5">
        <f>IFERROR(__xludf.DUMMYFUNCTION("""COMPUTED_VALUE"""),44795.0)</f>
        <v>44795</v>
      </c>
      <c r="C23444" s="6">
        <f>IFERROR(__xludf.DUMMYFUNCTION("""COMPUTED_VALUE"""),0.3326967592583969)</f>
        <v>0.3326967593</v>
      </c>
      <c r="D23444" s="4">
        <f>IFERROR(__xludf.DUMMYFUNCTION("""COMPUTED_VALUE"""),12.74338)</f>
        <v>12.74338</v>
      </c>
      <c r="E23444" s="4">
        <f>IFERROR(__xludf.DUMMYFUNCTION("""COMPUTED_VALUE"""),79.992298)</f>
        <v>79.992298</v>
      </c>
      <c r="F23444" s="4">
        <f>IFERROR(__xludf.DUMMYFUNCTION("""COMPUTED_VALUE"""),2846.0)</f>
        <v>2846</v>
      </c>
      <c r="G23444" s="4">
        <f>IFERROR(__xludf.DUMMYFUNCTION("""COMPUTED_VALUE"""),0.0)</f>
        <v>0</v>
      </c>
      <c r="H23444" s="4"/>
      <c r="I23444" s="4"/>
    </row>
    <row r="23445">
      <c r="A23445" s="4" t="str">
        <f>IFERROR(__xludf.DUMMYFUNCTION("""COMPUTED_VALUE"""),"cas_hmw")</f>
        <v>cas_hmw</v>
      </c>
      <c r="B23445" s="5">
        <f>IFERROR(__xludf.DUMMYFUNCTION("""COMPUTED_VALUE"""),44795.0)</f>
        <v>44795</v>
      </c>
      <c r="C23445" s="6">
        <f>IFERROR(__xludf.DUMMYFUNCTION("""COMPUTED_VALUE"""),0.33329861111269565)</f>
        <v>0.3332986111</v>
      </c>
      <c r="D23445" s="4">
        <f>IFERROR(__xludf.DUMMYFUNCTION("""COMPUTED_VALUE"""),12.995587)</f>
        <v>12.995587</v>
      </c>
      <c r="E23445" s="4">
        <f>IFERROR(__xludf.DUMMYFUNCTION("""COMPUTED_VALUE"""),80.188663)</f>
        <v>80.188663</v>
      </c>
      <c r="F23445" s="4">
        <f>IFERROR(__xludf.DUMMYFUNCTION("""COMPUTED_VALUE"""),5339.0)</f>
        <v>5339</v>
      </c>
      <c r="G23445" s="4">
        <f>IFERROR(__xludf.DUMMYFUNCTION("""COMPUTED_VALUE"""),28.0)</f>
        <v>28</v>
      </c>
      <c r="H23445" s="4"/>
      <c r="I23445" s="4"/>
    </row>
    <row r="23446">
      <c r="A23446" s="4" t="str">
        <f>IFERROR(__xludf.DUMMYFUNCTION("""COMPUTED_VALUE"""),"cas_hmw")</f>
        <v>cas_hmw</v>
      </c>
      <c r="B23446" s="5">
        <f>IFERROR(__xludf.DUMMYFUNCTION("""COMPUTED_VALUE"""),44795.0)</f>
        <v>44795</v>
      </c>
      <c r="C23446" s="6">
        <f>IFERROR(__xludf.DUMMYFUNCTION("""COMPUTED_VALUE"""),0.33373842592482106)</f>
        <v>0.3337384259</v>
      </c>
      <c r="D23446" s="4">
        <f>IFERROR(__xludf.DUMMYFUNCTION("""COMPUTED_VALUE"""),12.746975)</f>
        <v>12.746975</v>
      </c>
      <c r="E23446" s="4">
        <f>IFERROR(__xludf.DUMMYFUNCTION("""COMPUTED_VALUE"""),79.995278)</f>
        <v>79.995278</v>
      </c>
      <c r="F23446" s="4">
        <f>IFERROR(__xludf.DUMMYFUNCTION("""COMPUTED_VALUE"""),2846.0)</f>
        <v>2846</v>
      </c>
      <c r="G23446" s="4">
        <f>IFERROR(__xludf.DUMMYFUNCTION("""COMPUTED_VALUE"""),60.0)</f>
        <v>60</v>
      </c>
      <c r="H23446" s="4"/>
      <c r="I23446" s="4"/>
    </row>
    <row r="23447">
      <c r="A23447" s="4" t="str">
        <f>IFERROR(__xludf.DUMMYFUNCTION("""COMPUTED_VALUE"""),"cas_hmw")</f>
        <v>cas_hmw</v>
      </c>
      <c r="B23447" s="5">
        <f>IFERROR(__xludf.DUMMYFUNCTION("""COMPUTED_VALUE"""),44795.0)</f>
        <v>44795</v>
      </c>
      <c r="C23447" s="6">
        <f>IFERROR(__xludf.DUMMYFUNCTION("""COMPUTED_VALUE"""),0.33519675926072523)</f>
        <v>0.3351967593</v>
      </c>
      <c r="D23447" s="4">
        <f>IFERROR(__xludf.DUMMYFUNCTION("""COMPUTED_VALUE"""),12.765435)</f>
        <v>12.765435</v>
      </c>
      <c r="E23447" s="4">
        <f>IFERROR(__xludf.DUMMYFUNCTION("""COMPUTED_VALUE"""),80.004976)</f>
        <v>80.004976</v>
      </c>
      <c r="F23447" s="4">
        <f>IFERROR(__xludf.DUMMYFUNCTION("""COMPUTED_VALUE"""),2846.0)</f>
        <v>2846</v>
      </c>
      <c r="G23447" s="4">
        <f>IFERROR(__xludf.DUMMYFUNCTION("""COMPUTED_VALUE"""),55.0)</f>
        <v>55</v>
      </c>
      <c r="H23447" s="4"/>
      <c r="I23447" s="4"/>
    </row>
    <row r="23448">
      <c r="A23448" s="4" t="str">
        <f>IFERROR(__xludf.DUMMYFUNCTION("""COMPUTED_VALUE"""),"cas_hmw")</f>
        <v>cas_hmw</v>
      </c>
      <c r="B23448" s="5">
        <f>IFERROR(__xludf.DUMMYFUNCTION("""COMPUTED_VALUE"""),44795.0)</f>
        <v>44795</v>
      </c>
      <c r="C23448" s="6">
        <f>IFERROR(__xludf.DUMMYFUNCTION("""COMPUTED_VALUE"""),0.335833333334449)</f>
        <v>0.3358333333</v>
      </c>
      <c r="D23448" s="4">
        <f>IFERROR(__xludf.DUMMYFUNCTION("""COMPUTED_VALUE"""),12.770838)</f>
        <v>12.770838</v>
      </c>
      <c r="E23448" s="4">
        <f>IFERROR(__xludf.DUMMYFUNCTION("""COMPUTED_VALUE"""),80.007432)</f>
        <v>80.007432</v>
      </c>
      <c r="F23448" s="4">
        <f>IFERROR(__xludf.DUMMYFUNCTION("""COMPUTED_VALUE"""),2846.0)</f>
        <v>2846</v>
      </c>
      <c r="G23448" s="4">
        <f>IFERROR(__xludf.DUMMYFUNCTION("""COMPUTED_VALUE"""),52.0)</f>
        <v>52</v>
      </c>
      <c r="H23448" s="4"/>
      <c r="I23448" s="4"/>
    </row>
    <row r="23449">
      <c r="A23449" s="4" t="str">
        <f>IFERROR(__xludf.DUMMYFUNCTION("""COMPUTED_VALUE"""),"cas_hmw")</f>
        <v>cas_hmw</v>
      </c>
      <c r="B23449" s="5">
        <f>IFERROR(__xludf.DUMMYFUNCTION("""COMPUTED_VALUE"""),44795.0)</f>
        <v>44795</v>
      </c>
      <c r="C23449" s="6">
        <f>IFERROR(__xludf.DUMMYFUNCTION("""COMPUTED_VALUE"""),0.33605324074233067)</f>
        <v>0.3360532407</v>
      </c>
      <c r="D23449" s="4">
        <f>IFERROR(__xludf.DUMMYFUNCTION("""COMPUTED_VALUE"""),12.965694)</f>
        <v>12.965694</v>
      </c>
      <c r="E23449" s="4">
        <f>IFERROR(__xludf.DUMMYFUNCTION("""COMPUTED_VALUE"""),80.148363)</f>
        <v>80.148363</v>
      </c>
      <c r="F23449" s="4">
        <f>IFERROR(__xludf.DUMMYFUNCTION("""COMPUTED_VALUE"""),3143.0)</f>
        <v>3143</v>
      </c>
      <c r="G23449" s="4">
        <f>IFERROR(__xludf.DUMMYFUNCTION("""COMPUTED_VALUE"""),31.0)</f>
        <v>31</v>
      </c>
      <c r="H23449" s="4"/>
      <c r="I23449" s="4"/>
    </row>
    <row r="23450">
      <c r="A23450" s="4" t="str">
        <f>IFERROR(__xludf.DUMMYFUNCTION("""COMPUTED_VALUE"""),"cas_hmw")</f>
        <v>cas_hmw</v>
      </c>
      <c r="B23450" s="5">
        <f>IFERROR(__xludf.DUMMYFUNCTION("""COMPUTED_VALUE"""),44795.0)</f>
        <v>44795</v>
      </c>
      <c r="C23450" s="6">
        <f>IFERROR(__xludf.DUMMYFUNCTION("""COMPUTED_VALUE"""),0.33643518518510973)</f>
        <v>0.3364351852</v>
      </c>
      <c r="D23450" s="4">
        <f>IFERROR(__xludf.DUMMYFUNCTION("""COMPUTED_VALUE"""),12.961434)</f>
        <v>12.961434</v>
      </c>
      <c r="E23450" s="4">
        <f>IFERROR(__xludf.DUMMYFUNCTION("""COMPUTED_VALUE"""),80.146016)</f>
        <v>80.146016</v>
      </c>
      <c r="F23450" s="4">
        <f>IFERROR(__xludf.DUMMYFUNCTION("""COMPUTED_VALUE"""),3143.0)</f>
        <v>3143</v>
      </c>
      <c r="G23450" s="4">
        <f>IFERROR(__xludf.DUMMYFUNCTION("""COMPUTED_VALUE"""),50.0)</f>
        <v>50</v>
      </c>
      <c r="H23450" s="4"/>
      <c r="I23450" s="4"/>
    </row>
    <row r="23451">
      <c r="A23451" s="4" t="str">
        <f>IFERROR(__xludf.DUMMYFUNCTION("""COMPUTED_VALUE"""),"cas_hmw")</f>
        <v>cas_hmw</v>
      </c>
      <c r="B23451" s="5">
        <f>IFERROR(__xludf.DUMMYFUNCTION("""COMPUTED_VALUE"""),44795.0)</f>
        <v>44795</v>
      </c>
      <c r="C23451" s="6">
        <f>IFERROR(__xludf.DUMMYFUNCTION("""COMPUTED_VALUE"""),0.3365509259274404)</f>
        <v>0.3365509259</v>
      </c>
      <c r="D23451" s="4">
        <f>IFERROR(__xludf.DUMMYFUNCTION("""COMPUTED_VALUE"""),12.961434)</f>
        <v>12.961434</v>
      </c>
      <c r="E23451" s="4">
        <f>IFERROR(__xludf.DUMMYFUNCTION("""COMPUTED_VALUE"""),80.146016)</f>
        <v>80.146016</v>
      </c>
      <c r="F23451" s="4">
        <f>IFERROR(__xludf.DUMMYFUNCTION("""COMPUTED_VALUE"""),3143.0)</f>
        <v>3143</v>
      </c>
      <c r="G23451" s="4">
        <f>IFERROR(__xludf.DUMMYFUNCTION("""COMPUTED_VALUE"""),50.0)</f>
        <v>50</v>
      </c>
      <c r="H23451" s="4"/>
      <c r="I23451" s="4"/>
    </row>
    <row r="23452">
      <c r="A23452" s="4" t="str">
        <f>IFERROR(__xludf.DUMMYFUNCTION("""COMPUTED_VALUE"""),"cas_hmw")</f>
        <v>cas_hmw</v>
      </c>
      <c r="B23452" s="5">
        <f>IFERROR(__xludf.DUMMYFUNCTION("""COMPUTED_VALUE"""),44795.0)</f>
        <v>44795</v>
      </c>
      <c r="C23452" s="6">
        <f>IFERROR(__xludf.DUMMYFUNCTION("""COMPUTED_VALUE"""),0.3366666666661331)</f>
        <v>0.3366666667</v>
      </c>
      <c r="D23452" s="4">
        <f>IFERROR(__xludf.DUMMYFUNCTION("""COMPUTED_VALUE"""),12.959916)</f>
        <v>12.959916</v>
      </c>
      <c r="E23452" s="4">
        <f>IFERROR(__xludf.DUMMYFUNCTION("""COMPUTED_VALUE"""),80.14523)</f>
        <v>80.14523</v>
      </c>
      <c r="F23452" s="4">
        <f>IFERROR(__xludf.DUMMYFUNCTION("""COMPUTED_VALUE"""),3143.0)</f>
        <v>3143</v>
      </c>
      <c r="G23452" s="4">
        <f>IFERROR(__xludf.DUMMYFUNCTION("""COMPUTED_VALUE"""),42.0)</f>
        <v>42</v>
      </c>
      <c r="H23452" s="4"/>
      <c r="I23452" s="4"/>
    </row>
    <row r="23453">
      <c r="A23453" s="4" t="str">
        <f>IFERROR(__xludf.DUMMYFUNCTION("""COMPUTED_VALUE"""),"cas_hmw")</f>
        <v>cas_hmw</v>
      </c>
      <c r="B23453" s="5">
        <f>IFERROR(__xludf.DUMMYFUNCTION("""COMPUTED_VALUE"""),44795.0)</f>
        <v>44795</v>
      </c>
      <c r="C23453" s="6">
        <f>IFERROR(__xludf.DUMMYFUNCTION("""COMPUTED_VALUE"""),0.3368750000008731)</f>
        <v>0.336875</v>
      </c>
      <c r="D23453" s="4">
        <f>IFERROR(__xludf.DUMMYFUNCTION("""COMPUTED_VALUE"""),12.958036)</f>
        <v>12.958036</v>
      </c>
      <c r="E23453" s="4">
        <f>IFERROR(__xludf.DUMMYFUNCTION("""COMPUTED_VALUE"""),80.144203)</f>
        <v>80.144203</v>
      </c>
      <c r="F23453" s="4">
        <f>IFERROR(__xludf.DUMMYFUNCTION("""COMPUTED_VALUE"""),3143.0)</f>
        <v>3143</v>
      </c>
      <c r="G23453" s="4">
        <f>IFERROR(__xludf.DUMMYFUNCTION("""COMPUTED_VALUE"""),25.0)</f>
        <v>25</v>
      </c>
      <c r="H23453" s="4"/>
      <c r="I23453" s="4"/>
    </row>
    <row r="23454">
      <c r="A23454" s="4" t="str">
        <f>IFERROR(__xludf.DUMMYFUNCTION("""COMPUTED_VALUE"""),"cas_hmw")</f>
        <v>cas_hmw</v>
      </c>
      <c r="B23454" s="5">
        <f>IFERROR(__xludf.DUMMYFUNCTION("""COMPUTED_VALUE"""),44795.0)</f>
        <v>44795</v>
      </c>
      <c r="C23454" s="6">
        <f>IFERROR(__xludf.DUMMYFUNCTION("""COMPUTED_VALUE"""),0.3368750000008731)</f>
        <v>0.336875</v>
      </c>
      <c r="D23454" s="4">
        <f>IFERROR(__xludf.DUMMYFUNCTION("""COMPUTED_VALUE"""),12.958036)</f>
        <v>12.958036</v>
      </c>
      <c r="E23454" s="4">
        <f>IFERROR(__xludf.DUMMYFUNCTION("""COMPUTED_VALUE"""),80.144203)</f>
        <v>80.144203</v>
      </c>
      <c r="F23454" s="4">
        <f>IFERROR(__xludf.DUMMYFUNCTION("""COMPUTED_VALUE"""),3143.0)</f>
        <v>3143</v>
      </c>
      <c r="G23454" s="4">
        <f>IFERROR(__xludf.DUMMYFUNCTION("""COMPUTED_VALUE"""),25.0)</f>
        <v>25</v>
      </c>
      <c r="H23454" s="4"/>
      <c r="I23454" s="4"/>
    </row>
    <row r="23455">
      <c r="A23455" s="4" t="str">
        <f>IFERROR(__xludf.DUMMYFUNCTION("""COMPUTED_VALUE"""),"cas_hmw")</f>
        <v>cas_hmw</v>
      </c>
      <c r="B23455" s="5">
        <f>IFERROR(__xludf.DUMMYFUNCTION("""COMPUTED_VALUE"""),44795.0)</f>
        <v>44795</v>
      </c>
      <c r="C23455" s="6">
        <f>IFERROR(__xludf.DUMMYFUNCTION("""COMPUTED_VALUE"""),0.33767361110949423)</f>
        <v>0.3376736111</v>
      </c>
      <c r="D23455" s="4">
        <f>IFERROR(__xludf.DUMMYFUNCTION("""COMPUTED_VALUE"""),12.955097)</f>
        <v>12.955097</v>
      </c>
      <c r="E23455" s="4">
        <f>IFERROR(__xludf.DUMMYFUNCTION("""COMPUTED_VALUE"""),80.142645)</f>
        <v>80.142645</v>
      </c>
      <c r="F23455" s="4">
        <f>IFERROR(__xludf.DUMMYFUNCTION("""COMPUTED_VALUE"""),3143.0)</f>
        <v>3143</v>
      </c>
      <c r="G23455" s="4">
        <f>IFERROR(__xludf.DUMMYFUNCTION("""COMPUTED_VALUE"""),29.0)</f>
        <v>29</v>
      </c>
      <c r="H23455" s="4"/>
      <c r="I23455" s="4"/>
    </row>
    <row r="23456">
      <c r="A23456" s="4" t="str">
        <f>IFERROR(__xludf.DUMMYFUNCTION("""COMPUTED_VALUE"""),"cas_hmw")</f>
        <v>cas_hmw</v>
      </c>
      <c r="B23456" s="5">
        <f>IFERROR(__xludf.DUMMYFUNCTION("""COMPUTED_VALUE"""),44795.0)</f>
        <v>44795</v>
      </c>
      <c r="C23456" s="6">
        <f>IFERROR(__xludf.DUMMYFUNCTION("""COMPUTED_VALUE"""),0.33784722222117125)</f>
        <v>0.3378472222</v>
      </c>
      <c r="D23456" s="4">
        <f>IFERROR(__xludf.DUMMYFUNCTION("""COMPUTED_VALUE"""),12.954463)</f>
        <v>12.954463</v>
      </c>
      <c r="E23456" s="4">
        <f>IFERROR(__xludf.DUMMYFUNCTION("""COMPUTED_VALUE"""),80.142286)</f>
        <v>80.142286</v>
      </c>
      <c r="F23456" s="4">
        <f>IFERROR(__xludf.DUMMYFUNCTION("""COMPUTED_VALUE"""),3143.0)</f>
        <v>3143</v>
      </c>
      <c r="G23456" s="4">
        <f>IFERROR(__xludf.DUMMYFUNCTION("""COMPUTED_VALUE"""),32.0)</f>
        <v>32</v>
      </c>
      <c r="H23456" s="4"/>
      <c r="I23456" s="4"/>
    </row>
    <row r="23457">
      <c r="A23457" s="4" t="str">
        <f>IFERROR(__xludf.DUMMYFUNCTION("""COMPUTED_VALUE"""),"cas_hmw")</f>
        <v>cas_hmw</v>
      </c>
      <c r="B23457" s="5">
        <f>IFERROR(__xludf.DUMMYFUNCTION("""COMPUTED_VALUE"""),44795.0)</f>
        <v>44795</v>
      </c>
      <c r="C23457" s="6">
        <f>IFERROR(__xludf.DUMMYFUNCTION("""COMPUTED_VALUE"""),0.3381249999983993)</f>
        <v>0.338125</v>
      </c>
      <c r="D23457" s="4">
        <f>IFERROR(__xludf.DUMMYFUNCTION("""COMPUTED_VALUE"""),12.952294)</f>
        <v>12.952294</v>
      </c>
      <c r="E23457" s="4">
        <f>IFERROR(__xludf.DUMMYFUNCTION("""COMPUTED_VALUE"""),80.140989)</f>
        <v>80.140989</v>
      </c>
      <c r="F23457" s="4">
        <f>IFERROR(__xludf.DUMMYFUNCTION("""COMPUTED_VALUE"""),3143.0)</f>
        <v>3143</v>
      </c>
      <c r="G23457" s="4">
        <f>IFERROR(__xludf.DUMMYFUNCTION("""COMPUTED_VALUE"""),0.0)</f>
        <v>0</v>
      </c>
      <c r="H23457" s="4"/>
      <c r="I23457" s="4"/>
    </row>
    <row r="23458">
      <c r="A23458" s="4" t="str">
        <f>IFERROR(__xludf.DUMMYFUNCTION("""COMPUTED_VALUE"""),"cas_hmw")</f>
        <v>cas_hmw</v>
      </c>
      <c r="B23458" s="5">
        <f>IFERROR(__xludf.DUMMYFUNCTION("""COMPUTED_VALUE"""),44795.0)</f>
        <v>44795</v>
      </c>
      <c r="C23458" s="6">
        <f>IFERROR(__xludf.DUMMYFUNCTION("""COMPUTED_VALUE"""),0.33813657407517894)</f>
        <v>0.3381365741</v>
      </c>
      <c r="D23458" s="4">
        <f>IFERROR(__xludf.DUMMYFUNCTION("""COMPUTED_VALUE"""),12.952294)</f>
        <v>12.952294</v>
      </c>
      <c r="E23458" s="4">
        <f>IFERROR(__xludf.DUMMYFUNCTION("""COMPUTED_VALUE"""),80.140989)</f>
        <v>80.140989</v>
      </c>
      <c r="F23458" s="4">
        <f>IFERROR(__xludf.DUMMYFUNCTION("""COMPUTED_VALUE"""),3143.0)</f>
        <v>3143</v>
      </c>
      <c r="G23458" s="4">
        <f>IFERROR(__xludf.DUMMYFUNCTION("""COMPUTED_VALUE"""),0.0)</f>
        <v>0</v>
      </c>
      <c r="H23458" s="4"/>
      <c r="I23458" s="4"/>
    </row>
    <row r="23459">
      <c r="A23459" s="4" t="str">
        <f>IFERROR(__xludf.DUMMYFUNCTION("""COMPUTED_VALUE"""),"cas_hmw")</f>
        <v>cas_hmw</v>
      </c>
      <c r="B23459" s="5">
        <f>IFERROR(__xludf.DUMMYFUNCTION("""COMPUTED_VALUE"""),44795.0)</f>
        <v>44795</v>
      </c>
      <c r="C23459" s="6">
        <f>IFERROR(__xludf.DUMMYFUNCTION("""COMPUTED_VALUE"""),0.33885416666817036)</f>
        <v>0.3388541667</v>
      </c>
      <c r="D23459" s="4">
        <f>IFERROR(__xludf.DUMMYFUNCTION("""COMPUTED_VALUE"""),12.805224)</f>
        <v>12.805224</v>
      </c>
      <c r="E23459" s="4">
        <f>IFERROR(__xludf.DUMMYFUNCTION("""COMPUTED_VALUE"""),80.026699)</f>
        <v>80.026699</v>
      </c>
      <c r="F23459" s="4">
        <f>IFERROR(__xludf.DUMMYFUNCTION("""COMPUTED_VALUE"""),2846.0)</f>
        <v>2846</v>
      </c>
      <c r="G23459" s="4">
        <f>IFERROR(__xludf.DUMMYFUNCTION("""COMPUTED_VALUE"""),58.0)</f>
        <v>58</v>
      </c>
      <c r="H23459" s="4"/>
      <c r="I23459" s="4"/>
    </row>
    <row r="23460">
      <c r="A23460" s="4" t="str">
        <f>IFERROR(__xludf.DUMMYFUNCTION("""COMPUTED_VALUE"""),"cas_hmw")</f>
        <v>cas_hmw</v>
      </c>
      <c r="B23460" s="5">
        <f>IFERROR(__xludf.DUMMYFUNCTION("""COMPUTED_VALUE"""),44795.0)</f>
        <v>44795</v>
      </c>
      <c r="C23460" s="6">
        <f>IFERROR(__xludf.DUMMYFUNCTION("""COMPUTED_VALUE"""),0.3407407407394203)</f>
        <v>0.3407407407</v>
      </c>
      <c r="D23460" s="4">
        <f>IFERROR(__xludf.DUMMYFUNCTION("""COMPUTED_VALUE"""),12.822187)</f>
        <v>12.822187</v>
      </c>
      <c r="E23460" s="4">
        <f>IFERROR(__xludf.DUMMYFUNCTION("""COMPUTED_VALUE"""),80.03804)</f>
        <v>80.03804</v>
      </c>
      <c r="F23460" s="4">
        <f>IFERROR(__xludf.DUMMYFUNCTION("""COMPUTED_VALUE"""),2846.0)</f>
        <v>2846</v>
      </c>
      <c r="G23460" s="4">
        <f>IFERROR(__xludf.DUMMYFUNCTION("""COMPUTED_VALUE"""),43.0)</f>
        <v>43</v>
      </c>
      <c r="H23460" s="4"/>
      <c r="I23460" s="4"/>
    </row>
    <row r="23461">
      <c r="A23461" s="4" t="str">
        <f>IFERROR(__xludf.DUMMYFUNCTION("""COMPUTED_VALUE"""),"cas_hmw")</f>
        <v>cas_hmw</v>
      </c>
      <c r="B23461" s="5">
        <f>IFERROR(__xludf.DUMMYFUNCTION("""COMPUTED_VALUE"""),44795.0)</f>
        <v>44795</v>
      </c>
      <c r="C23461" s="6">
        <f>IFERROR(__xludf.DUMMYFUNCTION("""COMPUTED_VALUE"""),0.3426504629642295)</f>
        <v>0.342650463</v>
      </c>
      <c r="D23461" s="4">
        <f>IFERROR(__xludf.DUMMYFUNCTION("""COMPUTED_VALUE"""),12.930289)</f>
        <v>12.930289</v>
      </c>
      <c r="E23461" s="4">
        <f>IFERROR(__xludf.DUMMYFUNCTION("""COMPUTED_VALUE"""),80.118909)</f>
        <v>80.118909</v>
      </c>
      <c r="F23461" s="4">
        <f>IFERROR(__xludf.DUMMYFUNCTION("""COMPUTED_VALUE"""),3143.0)</f>
        <v>3143</v>
      </c>
      <c r="G23461" s="4">
        <f>IFERROR(__xludf.DUMMYFUNCTION("""COMPUTED_VALUE"""),34.0)</f>
        <v>34</v>
      </c>
      <c r="H23461" s="4"/>
      <c r="I23461" s="4"/>
    </row>
    <row r="23462">
      <c r="A23462" s="4" t="str">
        <f>IFERROR(__xludf.DUMMYFUNCTION("""COMPUTED_VALUE"""),"cas_hmw")</f>
        <v>cas_hmw</v>
      </c>
      <c r="B23462" s="5">
        <f>IFERROR(__xludf.DUMMYFUNCTION("""COMPUTED_VALUE"""),44795.0)</f>
        <v>44795</v>
      </c>
      <c r="C23462" s="6">
        <f>IFERROR(__xludf.DUMMYFUNCTION("""COMPUTED_VALUE"""),0.34300925926072523)</f>
        <v>0.3430092593</v>
      </c>
      <c r="D23462" s="4">
        <f>IFERROR(__xludf.DUMMYFUNCTION("""COMPUTED_VALUE"""),12.93062)</f>
        <v>12.93062</v>
      </c>
      <c r="E23462" s="4">
        <f>IFERROR(__xludf.DUMMYFUNCTION("""COMPUTED_VALUE"""),80.11661)</f>
        <v>80.11661</v>
      </c>
      <c r="F23462" s="4">
        <f>IFERROR(__xludf.DUMMYFUNCTION("""COMPUTED_VALUE"""),3143.0)</f>
        <v>3143</v>
      </c>
      <c r="G23462" s="4">
        <f>IFERROR(__xludf.DUMMYFUNCTION("""COMPUTED_VALUE"""),37.0)</f>
        <v>37</v>
      </c>
      <c r="H23462" s="4"/>
      <c r="I23462" s="4"/>
    </row>
    <row r="23463">
      <c r="A23463" s="4" t="str">
        <f>IFERROR(__xludf.DUMMYFUNCTION("""COMPUTED_VALUE"""),"cas_hmw")</f>
        <v>cas_hmw</v>
      </c>
      <c r="B23463" s="5">
        <f>IFERROR(__xludf.DUMMYFUNCTION("""COMPUTED_VALUE"""),44795.0)</f>
        <v>44795</v>
      </c>
      <c r="C23463" s="6">
        <f>IFERROR(__xludf.DUMMYFUNCTION("""COMPUTED_VALUE"""),0.3473032407418941)</f>
        <v>0.3473032407</v>
      </c>
      <c r="D23463" s="4">
        <f>IFERROR(__xludf.DUMMYFUNCTION("""COMPUTED_VALUE"""),12.866633)</f>
        <v>12.866633</v>
      </c>
      <c r="E23463" s="4">
        <f>IFERROR(__xludf.DUMMYFUNCTION("""COMPUTED_VALUE"""),80.075159)</f>
        <v>80.075159</v>
      </c>
      <c r="F23463" s="4">
        <f>IFERROR(__xludf.DUMMYFUNCTION("""COMPUTED_VALUE"""),2846.0)</f>
        <v>2846</v>
      </c>
      <c r="G23463" s="4">
        <f>IFERROR(__xludf.DUMMYFUNCTION("""COMPUTED_VALUE"""),54.0)</f>
        <v>54</v>
      </c>
      <c r="H23463" s="4"/>
      <c r="I23463" s="4"/>
    </row>
    <row r="23464">
      <c r="A23464" s="4" t="str">
        <f>IFERROR(__xludf.DUMMYFUNCTION("""COMPUTED_VALUE"""),"cas_hmw")</f>
        <v>cas_hmw</v>
      </c>
      <c r="B23464" s="5">
        <f>IFERROR(__xludf.DUMMYFUNCTION("""COMPUTED_VALUE"""),44795.0)</f>
        <v>44795</v>
      </c>
      <c r="C23464" s="6">
        <f>IFERROR(__xludf.DUMMYFUNCTION("""COMPUTED_VALUE"""),0.3474189814805868)</f>
        <v>0.3474189815</v>
      </c>
      <c r="D23464" s="4">
        <f>IFERROR(__xludf.DUMMYFUNCTION("""COMPUTED_VALUE"""),12.866633)</f>
        <v>12.866633</v>
      </c>
      <c r="E23464" s="4">
        <f>IFERROR(__xludf.DUMMYFUNCTION("""COMPUTED_VALUE"""),80.075159)</f>
        <v>80.075159</v>
      </c>
      <c r="F23464" s="4">
        <f>IFERROR(__xludf.DUMMYFUNCTION("""COMPUTED_VALUE"""),2846.0)</f>
        <v>2846</v>
      </c>
      <c r="G23464" s="4">
        <f>IFERROR(__xludf.DUMMYFUNCTION("""COMPUTED_VALUE"""),54.0)</f>
        <v>54</v>
      </c>
      <c r="H23464" s="4"/>
      <c r="I23464" s="4"/>
    </row>
    <row r="23465">
      <c r="A23465" s="4" t="str">
        <f>IFERROR(__xludf.DUMMYFUNCTION("""COMPUTED_VALUE"""),"cas_hmw")</f>
        <v>cas_hmw</v>
      </c>
      <c r="B23465" s="5">
        <f>IFERROR(__xludf.DUMMYFUNCTION("""COMPUTED_VALUE"""),44795.0)</f>
        <v>44795</v>
      </c>
      <c r="C23465" s="6">
        <f>IFERROR(__xludf.DUMMYFUNCTION("""COMPUTED_VALUE"""),0.34788194444263354)</f>
        <v>0.3478819444</v>
      </c>
      <c r="D23465" s="4">
        <f>IFERROR(__xludf.DUMMYFUNCTION("""COMPUTED_VALUE"""),12.870651)</f>
        <v>12.870651</v>
      </c>
      <c r="E23465" s="4">
        <f>IFERROR(__xludf.DUMMYFUNCTION("""COMPUTED_VALUE"""),80.076702)</f>
        <v>80.076702</v>
      </c>
      <c r="F23465" s="4">
        <f>IFERROR(__xludf.DUMMYFUNCTION("""COMPUTED_VALUE"""),2846.0)</f>
        <v>2846</v>
      </c>
      <c r="G23465" s="4">
        <f>IFERROR(__xludf.DUMMYFUNCTION("""COMPUTED_VALUE"""),58.0)</f>
        <v>58</v>
      </c>
      <c r="H23465" s="4"/>
      <c r="I23465" s="4"/>
    </row>
    <row r="23466">
      <c r="A23466" s="4" t="str">
        <f>IFERROR(__xludf.DUMMYFUNCTION("""COMPUTED_VALUE"""),"cas_hmw")</f>
        <v>cas_hmw</v>
      </c>
      <c r="B23466" s="5">
        <f>IFERROR(__xludf.DUMMYFUNCTION("""COMPUTED_VALUE"""),44795.0)</f>
        <v>44795</v>
      </c>
      <c r="C23466" s="6">
        <f>IFERROR(__xludf.DUMMYFUNCTION("""COMPUTED_VALUE"""),0.3481828703697829)</f>
        <v>0.3481828704</v>
      </c>
      <c r="D23466" s="4">
        <f>IFERROR(__xludf.DUMMYFUNCTION("""COMPUTED_VALUE"""),12.875709)</f>
        <v>12.875709</v>
      </c>
      <c r="E23466" s="4">
        <f>IFERROR(__xludf.DUMMYFUNCTION("""COMPUTED_VALUE"""),80.078617)</f>
        <v>80.078617</v>
      </c>
      <c r="F23466" s="4">
        <f>IFERROR(__xludf.DUMMYFUNCTION("""COMPUTED_VALUE"""),2846.0)</f>
        <v>2846</v>
      </c>
      <c r="G23466" s="4">
        <f>IFERROR(__xludf.DUMMYFUNCTION("""COMPUTED_VALUE"""),58.0)</f>
        <v>58</v>
      </c>
      <c r="H23466" s="4"/>
      <c r="I23466" s="4"/>
    </row>
    <row r="23467">
      <c r="A23467" s="4" t="str">
        <f>IFERROR(__xludf.DUMMYFUNCTION("""COMPUTED_VALUE"""),"cas_hmw")</f>
        <v>cas_hmw</v>
      </c>
      <c r="B23467" s="5">
        <f>IFERROR(__xludf.DUMMYFUNCTION("""COMPUTED_VALUE"""),44795.0)</f>
        <v>44795</v>
      </c>
      <c r="C23467" s="6">
        <f>IFERROR(__xludf.DUMMYFUNCTION("""COMPUTED_VALUE"""),0.34844907407386927)</f>
        <v>0.3484490741</v>
      </c>
      <c r="D23467" s="4">
        <f>IFERROR(__xludf.DUMMYFUNCTION("""COMPUTED_VALUE"""),12.923419)</f>
        <v>12.923419</v>
      </c>
      <c r="E23467" s="4">
        <f>IFERROR(__xludf.DUMMYFUNCTION("""COMPUTED_VALUE"""),80.097326)</f>
        <v>80.097326</v>
      </c>
      <c r="F23467" s="4">
        <f>IFERROR(__xludf.DUMMYFUNCTION("""COMPUTED_VALUE"""),3143.0)</f>
        <v>3143</v>
      </c>
      <c r="G23467" s="4">
        <f>IFERROR(__xludf.DUMMYFUNCTION("""COMPUTED_VALUE"""),26.0)</f>
        <v>26</v>
      </c>
      <c r="H23467" s="4"/>
      <c r="I23467" s="4"/>
    </row>
    <row r="23468">
      <c r="A23468" s="4" t="str">
        <f>IFERROR(__xludf.DUMMYFUNCTION("""COMPUTED_VALUE"""),"cas_hmw")</f>
        <v>cas_hmw</v>
      </c>
      <c r="B23468" s="5">
        <f>IFERROR(__xludf.DUMMYFUNCTION("""COMPUTED_VALUE"""),44795.0)</f>
        <v>44795</v>
      </c>
      <c r="C23468" s="6">
        <f>IFERROR(__xludf.DUMMYFUNCTION("""COMPUTED_VALUE"""),0.34954861110963975)</f>
        <v>0.3495486111</v>
      </c>
      <c r="D23468" s="4">
        <f>IFERROR(__xludf.DUMMYFUNCTION("""COMPUTED_VALUE"""),12.878691)</f>
        <v>12.878691</v>
      </c>
      <c r="E23468" s="4">
        <f>IFERROR(__xludf.DUMMYFUNCTION("""COMPUTED_VALUE"""),80.081602)</f>
        <v>80.081602</v>
      </c>
      <c r="F23468" s="4">
        <f>IFERROR(__xludf.DUMMYFUNCTION("""COMPUTED_VALUE"""),2846.0)</f>
        <v>2846</v>
      </c>
      <c r="G23468" s="4">
        <f>IFERROR(__xludf.DUMMYFUNCTION("""COMPUTED_VALUE"""),28.0)</f>
        <v>28</v>
      </c>
      <c r="H23468" s="4"/>
      <c r="I23468" s="4"/>
    </row>
    <row r="23469">
      <c r="A23469" s="4" t="str">
        <f>IFERROR(__xludf.DUMMYFUNCTION("""COMPUTED_VALUE"""),"cas_hmw")</f>
        <v>cas_hmw</v>
      </c>
      <c r="B23469" s="5">
        <f>IFERROR(__xludf.DUMMYFUNCTION("""COMPUTED_VALUE"""),44795.0)</f>
        <v>44795</v>
      </c>
      <c r="C23469" s="6">
        <f>IFERROR(__xludf.DUMMYFUNCTION("""COMPUTED_VALUE"""),0.3505439814798592)</f>
        <v>0.3505439815</v>
      </c>
      <c r="D23469" s="4">
        <f>IFERROR(__xludf.DUMMYFUNCTION("""COMPUTED_VALUE"""),12.918957)</f>
        <v>12.918957</v>
      </c>
      <c r="E23469" s="4">
        <f>IFERROR(__xludf.DUMMYFUNCTION("""COMPUTED_VALUE"""),80.08345)</f>
        <v>80.08345</v>
      </c>
      <c r="F23469" s="4">
        <f>IFERROR(__xludf.DUMMYFUNCTION("""COMPUTED_VALUE"""),3143.0)</f>
        <v>3143</v>
      </c>
      <c r="G23469" s="4">
        <f>IFERROR(__xludf.DUMMYFUNCTION("""COMPUTED_VALUE"""),25.0)</f>
        <v>25</v>
      </c>
      <c r="H23469" s="4"/>
      <c r="I23469" s="4"/>
    </row>
    <row r="23470">
      <c r="A23470" s="4" t="str">
        <f>IFERROR(__xludf.DUMMYFUNCTION("""COMPUTED_VALUE"""),"cas_hmw")</f>
        <v>cas_hmw</v>
      </c>
      <c r="B23470" s="5">
        <f>IFERROR(__xludf.DUMMYFUNCTION("""COMPUTED_VALUE"""),44795.0)</f>
        <v>44795</v>
      </c>
      <c r="C23470" s="6">
        <f>IFERROR(__xludf.DUMMYFUNCTION("""COMPUTED_VALUE"""),0.3505439814798592)</f>
        <v>0.3505439815</v>
      </c>
      <c r="D23470" s="4">
        <f>IFERROR(__xludf.DUMMYFUNCTION("""COMPUTED_VALUE"""),12.918957)</f>
        <v>12.918957</v>
      </c>
      <c r="E23470" s="4">
        <f>IFERROR(__xludf.DUMMYFUNCTION("""COMPUTED_VALUE"""),80.08345)</f>
        <v>80.08345</v>
      </c>
      <c r="F23470" s="4">
        <f>IFERROR(__xludf.DUMMYFUNCTION("""COMPUTED_VALUE"""),3143.0)</f>
        <v>3143</v>
      </c>
      <c r="G23470" s="4">
        <f>IFERROR(__xludf.DUMMYFUNCTION("""COMPUTED_VALUE"""),25.0)</f>
        <v>25</v>
      </c>
      <c r="H23470" s="4"/>
      <c r="I23470" s="4"/>
    </row>
    <row r="23471">
      <c r="A23471" s="4" t="str">
        <f>IFERROR(__xludf.DUMMYFUNCTION("""COMPUTED_VALUE"""),"cas_hmw")</f>
        <v>cas_hmw</v>
      </c>
      <c r="B23471" s="5">
        <f>IFERROR(__xludf.DUMMYFUNCTION("""COMPUTED_VALUE"""),44795.0)</f>
        <v>44795</v>
      </c>
      <c r="C23471" s="6">
        <f>IFERROR(__xludf.DUMMYFUNCTION("""COMPUTED_VALUE"""),0.35107638888803194)</f>
        <v>0.3510763889</v>
      </c>
      <c r="D23471" s="4">
        <f>IFERROR(__xludf.DUMMYFUNCTION("""COMPUTED_VALUE"""),12.917857)</f>
        <v>12.917857</v>
      </c>
      <c r="E23471" s="4">
        <f>IFERROR(__xludf.DUMMYFUNCTION("""COMPUTED_VALUE"""),80.080752)</f>
        <v>80.080752</v>
      </c>
      <c r="F23471" s="4">
        <f>IFERROR(__xludf.DUMMYFUNCTION("""COMPUTED_VALUE"""),3143.0)</f>
        <v>3143</v>
      </c>
      <c r="G23471" s="4">
        <f>IFERROR(__xludf.DUMMYFUNCTION("""COMPUTED_VALUE"""),37.0)</f>
        <v>37</v>
      </c>
      <c r="H23471" s="4"/>
      <c r="I23471" s="4"/>
    </row>
    <row r="23472">
      <c r="A23472" s="4" t="str">
        <f>IFERROR(__xludf.DUMMYFUNCTION("""COMPUTED_VALUE"""),"cas_hmw")</f>
        <v>cas_hmw</v>
      </c>
      <c r="B23472" s="5">
        <f>IFERROR(__xludf.DUMMYFUNCTION("""COMPUTED_VALUE"""),44795.0)</f>
        <v>44795</v>
      </c>
      <c r="C23472" s="6">
        <f>IFERROR(__xludf.DUMMYFUNCTION("""COMPUTED_VALUE"""),0.35140046296146465)</f>
        <v>0.351400463</v>
      </c>
      <c r="D23472" s="4">
        <f>IFERROR(__xludf.DUMMYFUNCTION("""COMPUTED_VALUE"""),12.915816)</f>
        <v>12.915816</v>
      </c>
      <c r="E23472" s="4">
        <f>IFERROR(__xludf.DUMMYFUNCTION("""COMPUTED_VALUE"""),80.078789)</f>
        <v>80.078789</v>
      </c>
      <c r="F23472" s="4">
        <f>IFERROR(__xludf.DUMMYFUNCTION("""COMPUTED_VALUE"""),3143.0)</f>
        <v>3143</v>
      </c>
      <c r="G23472" s="4">
        <f>IFERROR(__xludf.DUMMYFUNCTION("""COMPUTED_VALUE"""),34.0)</f>
        <v>34</v>
      </c>
      <c r="H23472" s="4"/>
      <c r="I23472" s="4"/>
    </row>
    <row r="23473">
      <c r="A23473" s="4" t="str">
        <f>IFERROR(__xludf.DUMMYFUNCTION("""COMPUTED_VALUE"""),"cas_hmw")</f>
        <v>cas_hmw</v>
      </c>
      <c r="B23473" s="5">
        <f>IFERROR(__xludf.DUMMYFUNCTION("""COMPUTED_VALUE"""),44795.0)</f>
        <v>44795</v>
      </c>
      <c r="C23473" s="6">
        <f>IFERROR(__xludf.DUMMYFUNCTION("""COMPUTED_VALUE"""),0.35182870370408637)</f>
        <v>0.3518287037</v>
      </c>
      <c r="D23473" s="4">
        <f>IFERROR(__xludf.DUMMYFUNCTION("""COMPUTED_VALUE"""),12.915475)</f>
        <v>12.915475</v>
      </c>
      <c r="E23473" s="4">
        <f>IFERROR(__xludf.DUMMYFUNCTION("""COMPUTED_VALUE"""),80.077125)</f>
        <v>80.077125</v>
      </c>
      <c r="F23473" s="4">
        <f>IFERROR(__xludf.DUMMYFUNCTION("""COMPUTED_VALUE"""),3143.0)</f>
        <v>3143</v>
      </c>
      <c r="G23473" s="4">
        <f>IFERROR(__xludf.DUMMYFUNCTION("""COMPUTED_VALUE"""),16.0)</f>
        <v>16</v>
      </c>
      <c r="H23473" s="4"/>
      <c r="I23473" s="4"/>
    </row>
    <row r="23474">
      <c r="A23474" s="4" t="str">
        <f>IFERROR(__xludf.DUMMYFUNCTION("""COMPUTED_VALUE"""),"cas_hmw")</f>
        <v>cas_hmw</v>
      </c>
      <c r="B23474" s="5">
        <f>IFERROR(__xludf.DUMMYFUNCTION("""COMPUTED_VALUE"""),44795.0)</f>
        <v>44795</v>
      </c>
      <c r="C23474" s="6">
        <f>IFERROR(__xludf.DUMMYFUNCTION("""COMPUTED_VALUE"""),0.6925462962972233)</f>
        <v>0.6925462963</v>
      </c>
      <c r="D23474" s="4">
        <f>IFERROR(__xludf.DUMMYFUNCTION("""COMPUTED_VALUE"""),12.886862)</f>
        <v>12.886862</v>
      </c>
      <c r="E23474" s="4">
        <f>IFERROR(__xludf.DUMMYFUNCTION("""COMPUTED_VALUE"""),80.083186)</f>
        <v>80.083186</v>
      </c>
      <c r="F23474" s="4">
        <f>IFERROR(__xludf.DUMMYFUNCTION("""COMPUTED_VALUE"""),5339.0)</f>
        <v>5339</v>
      </c>
      <c r="G23474" s="4">
        <f>IFERROR(__xludf.DUMMYFUNCTION("""COMPUTED_VALUE"""),51.0)</f>
        <v>51</v>
      </c>
      <c r="H23474" s="4"/>
      <c r="I23474" s="4"/>
    </row>
    <row r="23475">
      <c r="A23475" s="4" t="str">
        <f>IFERROR(__xludf.DUMMYFUNCTION("""COMPUTED_VALUE"""),"cas_hmw")</f>
        <v>cas_hmw</v>
      </c>
      <c r="B23475" s="5">
        <f>IFERROR(__xludf.DUMMYFUNCTION("""COMPUTED_VALUE"""),44795.0)</f>
        <v>44795</v>
      </c>
      <c r="C23475" s="6">
        <f>IFERROR(__xludf.DUMMYFUNCTION("""COMPUTED_VALUE"""),0.6927893518513883)</f>
        <v>0.6927893519</v>
      </c>
      <c r="D23475" s="4">
        <f>IFERROR(__xludf.DUMMYFUNCTION("""COMPUTED_VALUE"""),12.889301)</f>
        <v>12.889301</v>
      </c>
      <c r="E23475" s="4">
        <f>IFERROR(__xludf.DUMMYFUNCTION("""COMPUTED_VALUE"""),80.084179)</f>
        <v>80.084179</v>
      </c>
      <c r="F23475" s="4">
        <f>IFERROR(__xludf.DUMMYFUNCTION("""COMPUTED_VALUE"""),5339.0)</f>
        <v>5339</v>
      </c>
      <c r="G23475" s="4">
        <f>IFERROR(__xludf.DUMMYFUNCTION("""COMPUTED_VALUE"""),54.0)</f>
        <v>54</v>
      </c>
      <c r="H23475" s="4"/>
      <c r="I23475" s="4"/>
    </row>
    <row r="23476">
      <c r="A23476" s="4" t="str">
        <f>IFERROR(__xludf.DUMMYFUNCTION("""COMPUTED_VALUE"""),"cas_hmw")</f>
        <v>cas_hmw</v>
      </c>
      <c r="B23476" s="5">
        <f>IFERROR(__xludf.DUMMYFUNCTION("""COMPUTED_VALUE"""),44795.0)</f>
        <v>44795</v>
      </c>
      <c r="C23476" s="6">
        <f>IFERROR(__xludf.DUMMYFUNCTION("""COMPUTED_VALUE"""),0.6940277777794108)</f>
        <v>0.6940277778</v>
      </c>
      <c r="D23476" s="4">
        <f>IFERROR(__xludf.DUMMYFUNCTION("""COMPUTED_VALUE"""),12.901216)</f>
        <v>12.901216</v>
      </c>
      <c r="E23476" s="4">
        <f>IFERROR(__xludf.DUMMYFUNCTION("""COMPUTED_VALUE"""),80.092303)</f>
        <v>80.092303</v>
      </c>
      <c r="F23476" s="4">
        <f>IFERROR(__xludf.DUMMYFUNCTION("""COMPUTED_VALUE"""),5339.0)</f>
        <v>5339</v>
      </c>
      <c r="G23476" s="4">
        <f>IFERROR(__xludf.DUMMYFUNCTION("""COMPUTED_VALUE"""),56.0)</f>
        <v>56</v>
      </c>
      <c r="H23476" s="4"/>
      <c r="I23476" s="4"/>
    </row>
    <row r="23477">
      <c r="A23477" s="4" t="str">
        <f>IFERROR(__xludf.DUMMYFUNCTION("""COMPUTED_VALUE"""),"cas_hmw")</f>
        <v>cas_hmw</v>
      </c>
      <c r="B23477" s="5">
        <f>IFERROR(__xludf.DUMMYFUNCTION("""COMPUTED_VALUE"""),44795.0)</f>
        <v>44795</v>
      </c>
      <c r="C23477" s="6">
        <f>IFERROR(__xludf.DUMMYFUNCTION("""COMPUTED_VALUE"""),0.6942592592604342)</f>
        <v>0.6942592593</v>
      </c>
      <c r="D23477" s="4">
        <f>IFERROR(__xludf.DUMMYFUNCTION("""COMPUTED_VALUE"""),12.903171)</f>
        <v>12.903171</v>
      </c>
      <c r="E23477" s="4">
        <f>IFERROR(__xludf.DUMMYFUNCTION("""COMPUTED_VALUE"""),80.093745)</f>
        <v>80.093745</v>
      </c>
      <c r="F23477" s="4">
        <f>IFERROR(__xludf.DUMMYFUNCTION("""COMPUTED_VALUE"""),5339.0)</f>
        <v>5339</v>
      </c>
      <c r="G23477" s="4">
        <f>IFERROR(__xludf.DUMMYFUNCTION("""COMPUTED_VALUE"""),46.0)</f>
        <v>46</v>
      </c>
      <c r="H23477" s="4"/>
      <c r="I23477" s="4"/>
    </row>
    <row r="23478">
      <c r="A23478" s="4" t="str">
        <f>IFERROR(__xludf.DUMMYFUNCTION("""COMPUTED_VALUE"""),"cas_hmw")</f>
        <v>cas_hmw</v>
      </c>
      <c r="B23478" s="5">
        <f>IFERROR(__xludf.DUMMYFUNCTION("""COMPUTED_VALUE"""),44795.0)</f>
        <v>44795</v>
      </c>
      <c r="C23478" s="6">
        <f>IFERROR(__xludf.DUMMYFUNCTION("""COMPUTED_VALUE"""),0.6951620370382443)</f>
        <v>0.695162037</v>
      </c>
      <c r="D23478" s="4">
        <f>IFERROR(__xludf.DUMMYFUNCTION("""COMPUTED_VALUE"""),12.909228)</f>
        <v>12.909228</v>
      </c>
      <c r="E23478" s="4">
        <f>IFERROR(__xludf.DUMMYFUNCTION("""COMPUTED_VALUE"""),80.098631)</f>
        <v>80.098631</v>
      </c>
      <c r="F23478" s="4">
        <f>IFERROR(__xludf.DUMMYFUNCTION("""COMPUTED_VALUE"""),5339.0)</f>
        <v>5339</v>
      </c>
      <c r="G23478" s="4">
        <f>IFERROR(__xludf.DUMMYFUNCTION("""COMPUTED_VALUE"""),22.0)</f>
        <v>22</v>
      </c>
      <c r="H23478" s="4"/>
      <c r="I23478" s="4"/>
    </row>
    <row r="23479">
      <c r="A23479" s="4" t="str">
        <f>IFERROR(__xludf.DUMMYFUNCTION("""COMPUTED_VALUE"""),"cas_hmw")</f>
        <v>cas_hmw</v>
      </c>
      <c r="B23479" s="5">
        <f>IFERROR(__xludf.DUMMYFUNCTION("""COMPUTED_VALUE"""),44795.0)</f>
        <v>44795</v>
      </c>
      <c r="C23479" s="6">
        <f>IFERROR(__xludf.DUMMYFUNCTION("""COMPUTED_VALUE"""),0.6955671296309447)</f>
        <v>0.6955671296</v>
      </c>
      <c r="D23479" s="4">
        <f>IFERROR(__xludf.DUMMYFUNCTION("""COMPUTED_VALUE"""),12.893662)</f>
        <v>12.893662</v>
      </c>
      <c r="E23479" s="4">
        <f>IFERROR(__xludf.DUMMYFUNCTION("""COMPUTED_VALUE"""),80.086586)</f>
        <v>80.086586</v>
      </c>
      <c r="F23479" s="4">
        <f>IFERROR(__xludf.DUMMYFUNCTION("""COMPUTED_VALUE"""),3143.0)</f>
        <v>3143</v>
      </c>
      <c r="G23479" s="4">
        <f>IFERROR(__xludf.DUMMYFUNCTION("""COMPUTED_VALUE"""),51.0)</f>
        <v>51</v>
      </c>
      <c r="H23479" s="4"/>
      <c r="I23479" s="4"/>
    </row>
    <row r="23480">
      <c r="A23480" s="4" t="str">
        <f>IFERROR(__xludf.DUMMYFUNCTION("""COMPUTED_VALUE"""),"cas_hmw")</f>
        <v>cas_hmw</v>
      </c>
      <c r="B23480" s="5">
        <f>IFERROR(__xludf.DUMMYFUNCTION("""COMPUTED_VALUE"""),44795.0)</f>
        <v>44795</v>
      </c>
      <c r="C23480" s="6">
        <f>IFERROR(__xludf.DUMMYFUNCTION("""COMPUTED_VALUE"""),0.695625000000291)</f>
        <v>0.695625</v>
      </c>
      <c r="D23480" s="4">
        <f>IFERROR(__xludf.DUMMYFUNCTION("""COMPUTED_VALUE"""),12.862948)</f>
        <v>12.862948</v>
      </c>
      <c r="E23480" s="4">
        <f>IFERROR(__xludf.DUMMYFUNCTION("""COMPUTED_VALUE"""),80.073921)</f>
        <v>80.073921</v>
      </c>
      <c r="F23480" s="4">
        <f>IFERROR(__xludf.DUMMYFUNCTION("""COMPUTED_VALUE"""),2846.0)</f>
        <v>2846</v>
      </c>
      <c r="G23480" s="4">
        <f>IFERROR(__xludf.DUMMYFUNCTION("""COMPUTED_VALUE"""),42.0)</f>
        <v>42</v>
      </c>
      <c r="H23480" s="4"/>
      <c r="I23480" s="4"/>
    </row>
    <row r="23481">
      <c r="A23481" s="4" t="str">
        <f>IFERROR(__xludf.DUMMYFUNCTION("""COMPUTED_VALUE"""),"cas_hmw")</f>
        <v>cas_hmw</v>
      </c>
      <c r="B23481" s="5">
        <f>IFERROR(__xludf.DUMMYFUNCTION("""COMPUTED_VALUE"""),44795.0)</f>
        <v>44795</v>
      </c>
      <c r="C23481" s="6">
        <f>IFERROR(__xludf.DUMMYFUNCTION("""COMPUTED_VALUE"""),0.6956944444427791)</f>
        <v>0.6956944444</v>
      </c>
      <c r="D23481" s="4">
        <f>IFERROR(__xludf.DUMMYFUNCTION("""COMPUTED_VALUE"""),12.895352)</f>
        <v>12.895352</v>
      </c>
      <c r="E23481" s="4">
        <f>IFERROR(__xludf.DUMMYFUNCTION("""COMPUTED_VALUE"""),80.087875)</f>
        <v>80.087875</v>
      </c>
      <c r="F23481" s="4">
        <f>IFERROR(__xludf.DUMMYFUNCTION("""COMPUTED_VALUE"""),3143.0)</f>
        <v>3143</v>
      </c>
      <c r="G23481" s="4">
        <f>IFERROR(__xludf.DUMMYFUNCTION("""COMPUTED_VALUE"""),58.0)</f>
        <v>58</v>
      </c>
      <c r="H23481" s="4"/>
      <c r="I23481" s="4"/>
    </row>
    <row r="23482">
      <c r="A23482" s="4" t="str">
        <f>IFERROR(__xludf.DUMMYFUNCTION("""COMPUTED_VALUE"""),"cas_hmw")</f>
        <v>cas_hmw</v>
      </c>
      <c r="B23482" s="5">
        <f>IFERROR(__xludf.DUMMYFUNCTION("""COMPUTED_VALUE"""),44795.0)</f>
        <v>44795</v>
      </c>
      <c r="C23482" s="6">
        <f>IFERROR(__xludf.DUMMYFUNCTION("""COMPUTED_VALUE"""),0.6958564814813144)</f>
        <v>0.6958564815</v>
      </c>
      <c r="D23482" s="4">
        <f>IFERROR(__xludf.DUMMYFUNCTION("""COMPUTED_VALUE"""),12.89697)</f>
        <v>12.89697</v>
      </c>
      <c r="E23482" s="4">
        <f>IFERROR(__xludf.DUMMYFUNCTION("""COMPUTED_VALUE"""),80.089089)</f>
        <v>80.089089</v>
      </c>
      <c r="F23482" s="4">
        <f>IFERROR(__xludf.DUMMYFUNCTION("""COMPUTED_VALUE"""),3143.0)</f>
        <v>3143</v>
      </c>
      <c r="G23482" s="4">
        <f>IFERROR(__xludf.DUMMYFUNCTION("""COMPUTED_VALUE"""),42.0)</f>
        <v>42</v>
      </c>
      <c r="H23482" s="4"/>
      <c r="I23482" s="4"/>
    </row>
    <row r="23483">
      <c r="A23483" s="4" t="str">
        <f>IFERROR(__xludf.DUMMYFUNCTION("""COMPUTED_VALUE"""),"cas_hmw")</f>
        <v>cas_hmw</v>
      </c>
      <c r="B23483" s="5">
        <f>IFERROR(__xludf.DUMMYFUNCTION("""COMPUTED_VALUE"""),44795.0)</f>
        <v>44795</v>
      </c>
      <c r="C23483" s="6">
        <f>IFERROR(__xludf.DUMMYFUNCTION("""COMPUTED_VALUE"""),0.6958680555544561)</f>
        <v>0.6958680556</v>
      </c>
      <c r="D23483" s="4">
        <f>IFERROR(__xludf.DUMMYFUNCTION("""COMPUTED_VALUE"""),12.89697)</f>
        <v>12.89697</v>
      </c>
      <c r="E23483" s="4">
        <f>IFERROR(__xludf.DUMMYFUNCTION("""COMPUTED_VALUE"""),80.089089)</f>
        <v>80.089089</v>
      </c>
      <c r="F23483" s="4">
        <f>IFERROR(__xludf.DUMMYFUNCTION("""COMPUTED_VALUE"""),3143.0)</f>
        <v>3143</v>
      </c>
      <c r="G23483" s="4">
        <f>IFERROR(__xludf.DUMMYFUNCTION("""COMPUTED_VALUE"""),42.0)</f>
        <v>42</v>
      </c>
      <c r="H23483" s="4"/>
      <c r="I23483" s="4"/>
    </row>
    <row r="23484">
      <c r="A23484" s="4" t="str">
        <f>IFERROR(__xludf.DUMMYFUNCTION("""COMPUTED_VALUE"""),"cas_hmw")</f>
        <v>cas_hmw</v>
      </c>
      <c r="B23484" s="5">
        <f>IFERROR(__xludf.DUMMYFUNCTION("""COMPUTED_VALUE"""),44795.0)</f>
        <v>44795</v>
      </c>
      <c r="C23484" s="6">
        <f>IFERROR(__xludf.DUMMYFUNCTION("""COMPUTED_VALUE"""),0.6959143518506608)</f>
        <v>0.6959143519</v>
      </c>
      <c r="D23484" s="4">
        <f>IFERROR(__xludf.DUMMYFUNCTION("""COMPUTED_VALUE"""),12.89697)</f>
        <v>12.89697</v>
      </c>
      <c r="E23484" s="4">
        <f>IFERROR(__xludf.DUMMYFUNCTION("""COMPUTED_VALUE"""),80.089089)</f>
        <v>80.089089</v>
      </c>
      <c r="F23484" s="4">
        <f>IFERROR(__xludf.DUMMYFUNCTION("""COMPUTED_VALUE"""),3143.0)</f>
        <v>3143</v>
      </c>
      <c r="G23484" s="4">
        <f>IFERROR(__xludf.DUMMYFUNCTION("""COMPUTED_VALUE"""),42.0)</f>
        <v>42</v>
      </c>
      <c r="H23484" s="4"/>
      <c r="I23484" s="4"/>
    </row>
    <row r="23485">
      <c r="A23485" s="4" t="str">
        <f>IFERROR(__xludf.DUMMYFUNCTION("""COMPUTED_VALUE"""),"cas_hmw")</f>
        <v>cas_hmw</v>
      </c>
      <c r="B23485" s="5">
        <f>IFERROR(__xludf.DUMMYFUNCTION("""COMPUTED_VALUE"""),44795.0)</f>
        <v>44795</v>
      </c>
      <c r="C23485" s="6">
        <f>IFERROR(__xludf.DUMMYFUNCTION("""COMPUTED_VALUE"""),0.6959259259274404)</f>
        <v>0.6959259259</v>
      </c>
      <c r="D23485" s="4">
        <f>IFERROR(__xludf.DUMMYFUNCTION("""COMPUTED_VALUE"""),12.858385)</f>
        <v>12.858385</v>
      </c>
      <c r="E23485" s="4">
        <f>IFERROR(__xludf.DUMMYFUNCTION("""COMPUTED_VALUE"""),80.071127)</f>
        <v>80.071127</v>
      </c>
      <c r="F23485" s="4">
        <f>IFERROR(__xludf.DUMMYFUNCTION("""COMPUTED_VALUE"""),2846.0)</f>
        <v>2846</v>
      </c>
      <c r="G23485" s="4">
        <f>IFERROR(__xludf.DUMMYFUNCTION("""COMPUTED_VALUE"""),47.0)</f>
        <v>47</v>
      </c>
      <c r="H23485" s="4"/>
      <c r="I23485" s="4"/>
    </row>
    <row r="23486">
      <c r="A23486" s="4" t="str">
        <f>IFERROR(__xludf.DUMMYFUNCTION("""COMPUTED_VALUE"""),"cas_hmw")</f>
        <v>cas_hmw</v>
      </c>
      <c r="B23486" s="5">
        <f>IFERROR(__xludf.DUMMYFUNCTION("""COMPUTED_VALUE"""),44795.0)</f>
        <v>44795</v>
      </c>
      <c r="C23486" s="6">
        <f>IFERROR(__xludf.DUMMYFUNCTION("""COMPUTED_VALUE"""),0.6960069444430701)</f>
        <v>0.6960069444</v>
      </c>
      <c r="D23486" s="4">
        <f>IFERROR(__xludf.DUMMYFUNCTION("""COMPUTED_VALUE"""),12.898443)</f>
        <v>12.898443</v>
      </c>
      <c r="E23486" s="4">
        <f>IFERROR(__xludf.DUMMYFUNCTION("""COMPUTED_VALUE"""),80.090171)</f>
        <v>80.090171</v>
      </c>
      <c r="F23486" s="4">
        <f>IFERROR(__xludf.DUMMYFUNCTION("""COMPUTED_VALUE"""),3143.0)</f>
        <v>3143</v>
      </c>
      <c r="G23486" s="4">
        <f>IFERROR(__xludf.DUMMYFUNCTION("""COMPUTED_VALUE"""),46.0)</f>
        <v>46</v>
      </c>
      <c r="H23486" s="4"/>
      <c r="I23486" s="4"/>
    </row>
    <row r="23487">
      <c r="A23487" s="4" t="str">
        <f>IFERROR(__xludf.DUMMYFUNCTION("""COMPUTED_VALUE"""),"cas_hmw")</f>
        <v>cas_hmw</v>
      </c>
      <c r="B23487" s="5">
        <f>IFERROR(__xludf.DUMMYFUNCTION("""COMPUTED_VALUE"""),44795.0)</f>
        <v>44795</v>
      </c>
      <c r="C23487" s="6">
        <f>IFERROR(__xludf.DUMMYFUNCTION("""COMPUTED_VALUE"""),0.6960069444430701)</f>
        <v>0.6960069444</v>
      </c>
      <c r="D23487" s="4">
        <f>IFERROR(__xludf.DUMMYFUNCTION("""COMPUTED_VALUE"""),12.913173)</f>
        <v>12.913173</v>
      </c>
      <c r="E23487" s="4">
        <f>IFERROR(__xludf.DUMMYFUNCTION("""COMPUTED_VALUE"""),80.101436)</f>
        <v>80.101436</v>
      </c>
      <c r="F23487" s="4">
        <f>IFERROR(__xludf.DUMMYFUNCTION("""COMPUTED_VALUE"""),5339.0)</f>
        <v>5339</v>
      </c>
      <c r="G23487" s="4">
        <f>IFERROR(__xludf.DUMMYFUNCTION("""COMPUTED_VALUE"""),46.0)</f>
        <v>46</v>
      </c>
      <c r="H23487" s="4"/>
      <c r="I23487" s="4"/>
    </row>
    <row r="23488">
      <c r="A23488" s="4" t="str">
        <f>IFERROR(__xludf.DUMMYFUNCTION("""COMPUTED_VALUE"""),"cas_hmw")</f>
        <v>cas_hmw</v>
      </c>
      <c r="B23488" s="5">
        <f>IFERROR(__xludf.DUMMYFUNCTION("""COMPUTED_VALUE"""),44795.0)</f>
        <v>44795</v>
      </c>
      <c r="C23488" s="6">
        <f>IFERROR(__xludf.DUMMYFUNCTION("""COMPUTED_VALUE"""),0.6962037037046684)</f>
        <v>0.6962037037</v>
      </c>
      <c r="D23488" s="4">
        <f>IFERROR(__xludf.DUMMYFUNCTION("""COMPUTED_VALUE"""),12.899966)</f>
        <v>12.899966</v>
      </c>
      <c r="E23488" s="4">
        <f>IFERROR(__xludf.DUMMYFUNCTION("""COMPUTED_VALUE"""),80.091319)</f>
        <v>80.091319</v>
      </c>
      <c r="F23488" s="4">
        <f>IFERROR(__xludf.DUMMYFUNCTION("""COMPUTED_VALUE"""),3143.0)</f>
        <v>3143</v>
      </c>
      <c r="G23488" s="4">
        <f>IFERROR(__xludf.DUMMYFUNCTION("""COMPUTED_VALUE"""),53.0)</f>
        <v>53</v>
      </c>
      <c r="H23488" s="4"/>
      <c r="I23488" s="4"/>
    </row>
    <row r="23489">
      <c r="A23489" s="4" t="str">
        <f>IFERROR(__xludf.DUMMYFUNCTION("""COMPUTED_VALUE"""),"cas_hmw")</f>
        <v>cas_hmw</v>
      </c>
      <c r="B23489" s="5">
        <f>IFERROR(__xludf.DUMMYFUNCTION("""COMPUTED_VALUE"""),44795.0)</f>
        <v>44795</v>
      </c>
      <c r="C23489" s="6">
        <f>IFERROR(__xludf.DUMMYFUNCTION("""COMPUTED_VALUE"""),0.6962268518509518)</f>
        <v>0.6962268519</v>
      </c>
      <c r="D23489" s="4">
        <f>IFERROR(__xludf.DUMMYFUNCTION("""COMPUTED_VALUE"""),12.856441)</f>
        <v>12.856441</v>
      </c>
      <c r="E23489" s="4">
        <f>IFERROR(__xludf.DUMMYFUNCTION("""COMPUTED_VALUE"""),80.069593)</f>
        <v>80.069593</v>
      </c>
      <c r="F23489" s="4">
        <f>IFERROR(__xludf.DUMMYFUNCTION("""COMPUTED_VALUE"""),2846.0)</f>
        <v>2846</v>
      </c>
      <c r="G23489" s="4">
        <f>IFERROR(__xludf.DUMMYFUNCTION("""COMPUTED_VALUE"""),49.0)</f>
        <v>49</v>
      </c>
      <c r="H23489" s="4"/>
      <c r="I23489" s="4"/>
    </row>
    <row r="23490">
      <c r="A23490" s="4" t="str">
        <f>IFERROR(__xludf.DUMMYFUNCTION("""COMPUTED_VALUE"""),"cas_hmw")</f>
        <v>cas_hmw</v>
      </c>
      <c r="B23490" s="5">
        <f>IFERROR(__xludf.DUMMYFUNCTION("""COMPUTED_VALUE"""),44795.0)</f>
        <v>44795</v>
      </c>
      <c r="C23490" s="6">
        <f>IFERROR(__xludf.DUMMYFUNCTION("""COMPUTED_VALUE"""),0.6963657407395658)</f>
        <v>0.6963657407</v>
      </c>
      <c r="D23490" s="4">
        <f>IFERROR(__xludf.DUMMYFUNCTION("""COMPUTED_VALUE"""),12.915711)</f>
        <v>12.915711</v>
      </c>
      <c r="E23490" s="4">
        <f>IFERROR(__xludf.DUMMYFUNCTION("""COMPUTED_VALUE"""),80.104012)</f>
        <v>80.104012</v>
      </c>
      <c r="F23490" s="4">
        <f>IFERROR(__xludf.DUMMYFUNCTION("""COMPUTED_VALUE"""),5339.0)</f>
        <v>5339</v>
      </c>
      <c r="G23490" s="4">
        <f>IFERROR(__xludf.DUMMYFUNCTION("""COMPUTED_VALUE"""),54.0)</f>
        <v>54</v>
      </c>
      <c r="H23490" s="4"/>
      <c r="I23490" s="4"/>
    </row>
    <row r="23491">
      <c r="A23491" s="4" t="str">
        <f>IFERROR(__xludf.DUMMYFUNCTION("""COMPUTED_VALUE"""),"cas_hmw")</f>
        <v>cas_hmw</v>
      </c>
      <c r="B23491" s="5">
        <f>IFERROR(__xludf.DUMMYFUNCTION("""COMPUTED_VALUE"""),44795.0)</f>
        <v>44795</v>
      </c>
      <c r="C23491" s="6">
        <f>IFERROR(__xludf.DUMMYFUNCTION("""COMPUTED_VALUE"""),0.6964236111125501)</f>
        <v>0.6964236111</v>
      </c>
      <c r="D23491" s="4">
        <f>IFERROR(__xludf.DUMMYFUNCTION("""COMPUTED_VALUE"""),12.915711)</f>
        <v>12.915711</v>
      </c>
      <c r="E23491" s="4">
        <f>IFERROR(__xludf.DUMMYFUNCTION("""COMPUTED_VALUE"""),80.104012)</f>
        <v>80.104012</v>
      </c>
      <c r="F23491" s="4">
        <f>IFERROR(__xludf.DUMMYFUNCTION("""COMPUTED_VALUE"""),5339.0)</f>
        <v>5339</v>
      </c>
      <c r="G23491" s="4">
        <f>IFERROR(__xludf.DUMMYFUNCTION("""COMPUTED_VALUE"""),54.0)</f>
        <v>54</v>
      </c>
      <c r="H23491" s="4"/>
      <c r="I23491" s="4"/>
    </row>
    <row r="23492">
      <c r="A23492" s="4" t="str">
        <f>IFERROR(__xludf.DUMMYFUNCTION("""COMPUTED_VALUE"""),"cas_hmw")</f>
        <v>cas_hmw</v>
      </c>
      <c r="B23492" s="5">
        <f>IFERROR(__xludf.DUMMYFUNCTION("""COMPUTED_VALUE"""),44795.0)</f>
        <v>44795</v>
      </c>
      <c r="C23492" s="6">
        <f>IFERROR(__xludf.DUMMYFUNCTION("""COMPUTED_VALUE"""),0.6964351851856918)</f>
        <v>0.6964351852</v>
      </c>
      <c r="D23492" s="4">
        <f>IFERROR(__xludf.DUMMYFUNCTION("""COMPUTED_VALUE"""),12.915711)</f>
        <v>12.915711</v>
      </c>
      <c r="E23492" s="4">
        <f>IFERROR(__xludf.DUMMYFUNCTION("""COMPUTED_VALUE"""),80.104012)</f>
        <v>80.104012</v>
      </c>
      <c r="F23492" s="4">
        <f>IFERROR(__xludf.DUMMYFUNCTION("""COMPUTED_VALUE"""),5339.0)</f>
        <v>5339</v>
      </c>
      <c r="G23492" s="4">
        <f>IFERROR(__xludf.DUMMYFUNCTION("""COMPUTED_VALUE"""),54.0)</f>
        <v>54</v>
      </c>
      <c r="H23492" s="4"/>
      <c r="I23492" s="4"/>
    </row>
    <row r="23493">
      <c r="A23493" s="4" t="str">
        <f>IFERROR(__xludf.DUMMYFUNCTION("""COMPUTED_VALUE"""),"cas_hmw")</f>
        <v>cas_hmw</v>
      </c>
      <c r="B23493" s="5">
        <f>IFERROR(__xludf.DUMMYFUNCTION("""COMPUTED_VALUE"""),44795.0)</f>
        <v>44795</v>
      </c>
      <c r="C23493" s="6">
        <f>IFERROR(__xludf.DUMMYFUNCTION("""COMPUTED_VALUE"""),0.6964699074087548)</f>
        <v>0.6964699074</v>
      </c>
      <c r="D23493" s="4">
        <f>IFERROR(__xludf.DUMMYFUNCTION("""COMPUTED_VALUE"""),12.901694)</f>
        <v>12.901694</v>
      </c>
      <c r="E23493" s="4">
        <f>IFERROR(__xludf.DUMMYFUNCTION("""COMPUTED_VALUE"""),80.092574)</f>
        <v>80.092574</v>
      </c>
      <c r="F23493" s="4">
        <f>IFERROR(__xludf.DUMMYFUNCTION("""COMPUTED_VALUE"""),3143.0)</f>
        <v>3143</v>
      </c>
      <c r="G23493" s="4">
        <f>IFERROR(__xludf.DUMMYFUNCTION("""COMPUTED_VALUE"""),42.0)</f>
        <v>42</v>
      </c>
      <c r="H23493" s="4"/>
      <c r="I23493" s="4"/>
    </row>
    <row r="23494">
      <c r="A23494" s="4" t="str">
        <f>IFERROR(__xludf.DUMMYFUNCTION("""COMPUTED_VALUE"""),"cas_hmw")</f>
        <v>cas_hmw</v>
      </c>
      <c r="B23494" s="5">
        <f>IFERROR(__xludf.DUMMYFUNCTION("""COMPUTED_VALUE"""),44795.0)</f>
        <v>44795</v>
      </c>
      <c r="C23494" s="6">
        <f>IFERROR(__xludf.DUMMYFUNCTION("""COMPUTED_VALUE"""),0.6971180555556202)</f>
        <v>0.6971180556</v>
      </c>
      <c r="D23494" s="4">
        <f>IFERROR(__xludf.DUMMYFUNCTION("""COMPUTED_VALUE"""),12.84794)</f>
        <v>12.84794</v>
      </c>
      <c r="E23494" s="4">
        <f>IFERROR(__xludf.DUMMYFUNCTION("""COMPUTED_VALUE"""),80.063435)</f>
        <v>80.063435</v>
      </c>
      <c r="F23494" s="4">
        <f>IFERROR(__xludf.DUMMYFUNCTION("""COMPUTED_VALUE"""),2846.0)</f>
        <v>2846</v>
      </c>
      <c r="G23494" s="4">
        <f>IFERROR(__xludf.DUMMYFUNCTION("""COMPUTED_VALUE"""),41.0)</f>
        <v>41</v>
      </c>
      <c r="H23494" s="4"/>
      <c r="I23494" s="4"/>
    </row>
    <row r="23495">
      <c r="A23495" s="4" t="str">
        <f>IFERROR(__xludf.DUMMYFUNCTION("""COMPUTED_VALUE"""),"cas_hmw")</f>
        <v>cas_hmw</v>
      </c>
      <c r="B23495" s="5">
        <f>IFERROR(__xludf.DUMMYFUNCTION("""COMPUTED_VALUE"""),44795.0)</f>
        <v>44795</v>
      </c>
      <c r="C23495" s="6">
        <f>IFERROR(__xludf.DUMMYFUNCTION("""COMPUTED_VALUE"""),0.6971990740748879)</f>
        <v>0.6971990741</v>
      </c>
      <c r="D23495" s="4">
        <f>IFERROR(__xludf.DUMMYFUNCTION("""COMPUTED_VALUE"""),12.905336)</f>
        <v>12.905336</v>
      </c>
      <c r="E23495" s="4">
        <f>IFERROR(__xludf.DUMMYFUNCTION("""COMPUTED_VALUE"""),80.095308)</f>
        <v>80.095308</v>
      </c>
      <c r="F23495" s="4">
        <f>IFERROR(__xludf.DUMMYFUNCTION("""COMPUTED_VALUE"""),3143.0)</f>
        <v>3143</v>
      </c>
      <c r="G23495" s="4">
        <f>IFERROR(__xludf.DUMMYFUNCTION("""COMPUTED_VALUE"""),35.0)</f>
        <v>35</v>
      </c>
      <c r="H23495" s="4"/>
      <c r="I23495" s="4"/>
    </row>
    <row r="23496">
      <c r="A23496" s="4" t="str">
        <f>IFERROR(__xludf.DUMMYFUNCTION("""COMPUTED_VALUE"""),"cas_hmw")</f>
        <v>cas_hmw</v>
      </c>
      <c r="B23496" s="5">
        <f>IFERROR(__xludf.DUMMYFUNCTION("""COMPUTED_VALUE"""),44795.0)</f>
        <v>44795</v>
      </c>
      <c r="C23496" s="6">
        <f>IFERROR(__xludf.DUMMYFUNCTION("""COMPUTED_VALUE"""),0.6973611111097853)</f>
        <v>0.6973611111</v>
      </c>
      <c r="D23496" s="4">
        <f>IFERROR(__xludf.DUMMYFUNCTION("""COMPUTED_VALUE"""),12.917792)</f>
        <v>12.917792</v>
      </c>
      <c r="E23496" s="4">
        <f>IFERROR(__xludf.DUMMYFUNCTION("""COMPUTED_VALUE"""),80.108233)</f>
        <v>80.108233</v>
      </c>
      <c r="F23496" s="4">
        <f>IFERROR(__xludf.DUMMYFUNCTION("""COMPUTED_VALUE"""),5339.0)</f>
        <v>5339</v>
      </c>
      <c r="G23496" s="4">
        <f>IFERROR(__xludf.DUMMYFUNCTION("""COMPUTED_VALUE"""),37.0)</f>
        <v>37</v>
      </c>
      <c r="H23496" s="4"/>
      <c r="I23496" s="4"/>
    </row>
    <row r="23497">
      <c r="A23497" s="4" t="str">
        <f>IFERROR(__xludf.DUMMYFUNCTION("""COMPUTED_VALUE"""),"cas_hmw")</f>
        <v>cas_hmw</v>
      </c>
      <c r="B23497" s="5">
        <f>IFERROR(__xludf.DUMMYFUNCTION("""COMPUTED_VALUE"""),44795.0)</f>
        <v>44795</v>
      </c>
      <c r="C23497" s="6">
        <f>IFERROR(__xludf.DUMMYFUNCTION("""COMPUTED_VALUE"""),0.6974884259252576)</f>
        <v>0.6974884259</v>
      </c>
      <c r="D23497" s="4">
        <f>IFERROR(__xludf.DUMMYFUNCTION("""COMPUTED_VALUE"""),12.907627)</f>
        <v>12.907627</v>
      </c>
      <c r="E23497" s="4">
        <f>IFERROR(__xludf.DUMMYFUNCTION("""COMPUTED_VALUE"""),80.097066)</f>
        <v>80.097066</v>
      </c>
      <c r="F23497" s="4">
        <f>IFERROR(__xludf.DUMMYFUNCTION("""COMPUTED_VALUE"""),3143.0)</f>
        <v>3143</v>
      </c>
      <c r="G23497" s="4">
        <f>IFERROR(__xludf.DUMMYFUNCTION("""COMPUTED_VALUE"""),46.0)</f>
        <v>46</v>
      </c>
      <c r="H23497" s="4"/>
      <c r="I23497" s="4"/>
    </row>
    <row r="23498">
      <c r="A23498" s="4" t="str">
        <f>IFERROR(__xludf.DUMMYFUNCTION("""COMPUTED_VALUE"""),"cas_hmw")</f>
        <v>cas_hmw</v>
      </c>
      <c r="B23498" s="5">
        <f>IFERROR(__xludf.DUMMYFUNCTION("""COMPUTED_VALUE"""),44795.0)</f>
        <v>44795</v>
      </c>
      <c r="C23498" s="6">
        <f>IFERROR(__xludf.DUMMYFUNCTION("""COMPUTED_VALUE"""),0.6975115740751789)</f>
        <v>0.6975115741</v>
      </c>
      <c r="D23498" s="4">
        <f>IFERROR(__xludf.DUMMYFUNCTION("""COMPUTED_VALUE"""),12.919111)</f>
        <v>12.919111</v>
      </c>
      <c r="E23498" s="4">
        <f>IFERROR(__xludf.DUMMYFUNCTION("""COMPUTED_VALUE"""),80.10985)</f>
        <v>80.10985</v>
      </c>
      <c r="F23498" s="4">
        <f>IFERROR(__xludf.DUMMYFUNCTION("""COMPUTED_VALUE"""),5339.0)</f>
        <v>5339</v>
      </c>
      <c r="G23498" s="4">
        <f>IFERROR(__xludf.DUMMYFUNCTION("""COMPUTED_VALUE"""),41.0)</f>
        <v>41</v>
      </c>
      <c r="H23498" s="4"/>
      <c r="I23498" s="4"/>
    </row>
    <row r="23499">
      <c r="A23499" s="4" t="str">
        <f>IFERROR(__xludf.DUMMYFUNCTION("""COMPUTED_VALUE"""),"cas_hmw")</f>
        <v>cas_hmw</v>
      </c>
      <c r="B23499" s="5">
        <f>IFERROR(__xludf.DUMMYFUNCTION("""COMPUTED_VALUE"""),44795.0)</f>
        <v>44795</v>
      </c>
      <c r="C23499" s="6">
        <f>IFERROR(__xludf.DUMMYFUNCTION("""COMPUTED_VALUE"""),0.697581018517667)</f>
        <v>0.6975810185</v>
      </c>
      <c r="D23499" s="4">
        <f>IFERROR(__xludf.DUMMYFUNCTION("""COMPUTED_VALUE"""),12.907627)</f>
        <v>12.907627</v>
      </c>
      <c r="E23499" s="4">
        <f>IFERROR(__xludf.DUMMYFUNCTION("""COMPUTED_VALUE"""),80.097066)</f>
        <v>80.097066</v>
      </c>
      <c r="F23499" s="4">
        <f>IFERROR(__xludf.DUMMYFUNCTION("""COMPUTED_VALUE"""),3143.0)</f>
        <v>3143</v>
      </c>
      <c r="G23499" s="4">
        <f>IFERROR(__xludf.DUMMYFUNCTION("""COMPUTED_VALUE"""),46.0)</f>
        <v>46</v>
      </c>
      <c r="H23499" s="4"/>
      <c r="I23499" s="4"/>
    </row>
    <row r="23500">
      <c r="A23500" s="4" t="str">
        <f>IFERROR(__xludf.DUMMYFUNCTION("""COMPUTED_VALUE"""),"cas_hmw")</f>
        <v>cas_hmw</v>
      </c>
      <c r="B23500" s="5">
        <f>IFERROR(__xludf.DUMMYFUNCTION("""COMPUTED_VALUE"""),44795.0)</f>
        <v>44795</v>
      </c>
      <c r="C23500" s="6">
        <f>IFERROR(__xludf.DUMMYFUNCTION("""COMPUTED_VALUE"""),0.6975925925908086)</f>
        <v>0.6975925926</v>
      </c>
      <c r="D23500" s="4">
        <f>IFERROR(__xludf.DUMMYFUNCTION("""COMPUTED_VALUE"""),12.907627)</f>
        <v>12.907627</v>
      </c>
      <c r="E23500" s="4">
        <f>IFERROR(__xludf.DUMMYFUNCTION("""COMPUTED_VALUE"""),80.097066)</f>
        <v>80.097066</v>
      </c>
      <c r="F23500" s="4">
        <f>IFERROR(__xludf.DUMMYFUNCTION("""COMPUTED_VALUE"""),3143.0)</f>
        <v>3143</v>
      </c>
      <c r="G23500" s="4">
        <f>IFERROR(__xludf.DUMMYFUNCTION("""COMPUTED_VALUE"""),46.0)</f>
        <v>46</v>
      </c>
      <c r="H23500" s="4"/>
      <c r="I23500" s="4"/>
    </row>
    <row r="23501">
      <c r="A23501" s="4" t="str">
        <f>IFERROR(__xludf.DUMMYFUNCTION("""COMPUTED_VALUE"""),"cas_hmw")</f>
        <v>cas_hmw</v>
      </c>
      <c r="B23501" s="5">
        <f>IFERROR(__xludf.DUMMYFUNCTION("""COMPUTED_VALUE"""),44795.0)</f>
        <v>44795</v>
      </c>
      <c r="C23501" s="6">
        <f>IFERROR(__xludf.DUMMYFUNCTION("""COMPUTED_VALUE"""),0.69761574074073)</f>
        <v>0.6976157407</v>
      </c>
      <c r="D23501" s="4">
        <f>IFERROR(__xludf.DUMMYFUNCTION("""COMPUTED_VALUE"""),12.907627)</f>
        <v>12.907627</v>
      </c>
      <c r="E23501" s="4">
        <f>IFERROR(__xludf.DUMMYFUNCTION("""COMPUTED_VALUE"""),80.097066)</f>
        <v>80.097066</v>
      </c>
      <c r="F23501" s="4">
        <f>IFERROR(__xludf.DUMMYFUNCTION("""COMPUTED_VALUE"""),3143.0)</f>
        <v>3143</v>
      </c>
      <c r="G23501" s="4">
        <f>IFERROR(__xludf.DUMMYFUNCTION("""COMPUTED_VALUE"""),46.0)</f>
        <v>46</v>
      </c>
      <c r="H23501" s="4"/>
      <c r="I23501" s="4"/>
    </row>
    <row r="23502">
      <c r="A23502" s="4" t="str">
        <f>IFERROR(__xludf.DUMMYFUNCTION("""COMPUTED_VALUE"""),"cas_hmw")</f>
        <v>cas_hmw</v>
      </c>
      <c r="B23502" s="5">
        <f>IFERROR(__xludf.DUMMYFUNCTION("""COMPUTED_VALUE"""),44795.0)</f>
        <v>44795</v>
      </c>
      <c r="C23502" s="6">
        <f>IFERROR(__xludf.DUMMYFUNCTION("""COMPUTED_VALUE"""),0.6980555555564933)</f>
        <v>0.6980555556</v>
      </c>
      <c r="D23502" s="4">
        <f>IFERROR(__xludf.DUMMYFUNCTION("""COMPUTED_VALUE"""),12.910685)</f>
        <v>12.910685</v>
      </c>
      <c r="E23502" s="4">
        <f>IFERROR(__xludf.DUMMYFUNCTION("""COMPUTED_VALUE"""),80.100853)</f>
        <v>80.100853</v>
      </c>
      <c r="F23502" s="4">
        <f>IFERROR(__xludf.DUMMYFUNCTION("""COMPUTED_VALUE"""),3143.0)</f>
        <v>3143</v>
      </c>
      <c r="G23502" s="4">
        <f>IFERROR(__xludf.DUMMYFUNCTION("""COMPUTED_VALUE"""),48.0)</f>
        <v>48</v>
      </c>
      <c r="H23502" s="4"/>
      <c r="I23502" s="4"/>
    </row>
    <row r="23503">
      <c r="A23503" s="4" t="str">
        <f>IFERROR(__xludf.DUMMYFUNCTION("""COMPUTED_VALUE"""),"cas_hmw")</f>
        <v>cas_hmw</v>
      </c>
      <c r="B23503" s="5">
        <f>IFERROR(__xludf.DUMMYFUNCTION("""COMPUTED_VALUE"""),44795.0)</f>
        <v>44795</v>
      </c>
      <c r="C23503" s="6">
        <f>IFERROR(__xludf.DUMMYFUNCTION("""COMPUTED_VALUE"""),0.6980555555564933)</f>
        <v>0.6980555556</v>
      </c>
      <c r="D23503" s="4">
        <f>IFERROR(__xludf.DUMMYFUNCTION("""COMPUTED_VALUE"""),12.910685)</f>
        <v>12.910685</v>
      </c>
      <c r="E23503" s="4">
        <f>IFERROR(__xludf.DUMMYFUNCTION("""COMPUTED_VALUE"""),80.100853)</f>
        <v>80.100853</v>
      </c>
      <c r="F23503" s="4">
        <f>IFERROR(__xludf.DUMMYFUNCTION("""COMPUTED_VALUE"""),3143.0)</f>
        <v>3143</v>
      </c>
      <c r="G23503" s="4">
        <f>IFERROR(__xludf.DUMMYFUNCTION("""COMPUTED_VALUE"""),48.0)</f>
        <v>48</v>
      </c>
      <c r="H23503" s="4"/>
      <c r="I23503" s="4"/>
    </row>
    <row r="23504">
      <c r="A23504" s="4" t="str">
        <f>IFERROR(__xludf.DUMMYFUNCTION("""COMPUTED_VALUE"""),"cas_hmw")</f>
        <v>cas_hmw</v>
      </c>
      <c r="B23504" s="5">
        <f>IFERROR(__xludf.DUMMYFUNCTION("""COMPUTED_VALUE"""),44795.0)</f>
        <v>44795</v>
      </c>
      <c r="C23504" s="6">
        <f>IFERROR(__xludf.DUMMYFUNCTION("""COMPUTED_VALUE"""),0.6980787037027767)</f>
        <v>0.6980787037</v>
      </c>
      <c r="D23504" s="4">
        <f>IFERROR(__xludf.DUMMYFUNCTION("""COMPUTED_VALUE"""),12.910685)</f>
        <v>12.910685</v>
      </c>
      <c r="E23504" s="4">
        <f>IFERROR(__xludf.DUMMYFUNCTION("""COMPUTED_VALUE"""),80.100853)</f>
        <v>80.100853</v>
      </c>
      <c r="F23504" s="4">
        <f>IFERROR(__xludf.DUMMYFUNCTION("""COMPUTED_VALUE"""),3143.0)</f>
        <v>3143</v>
      </c>
      <c r="G23504" s="4">
        <f>IFERROR(__xludf.DUMMYFUNCTION("""COMPUTED_VALUE"""),48.0)</f>
        <v>48</v>
      </c>
      <c r="H23504" s="4"/>
      <c r="I23504" s="4"/>
    </row>
    <row r="23505">
      <c r="A23505" s="4" t="str">
        <f>IFERROR(__xludf.DUMMYFUNCTION("""COMPUTED_VALUE"""),"cas_hmw")</f>
        <v>cas_hmw</v>
      </c>
      <c r="B23505" s="5">
        <f>IFERROR(__xludf.DUMMYFUNCTION("""COMPUTED_VALUE"""),44795.0)</f>
        <v>44795</v>
      </c>
      <c r="C23505" s="6">
        <f>IFERROR(__xludf.DUMMYFUNCTION("""COMPUTED_VALUE"""),0.6981134259258397)</f>
        <v>0.6981134259</v>
      </c>
      <c r="D23505" s="4">
        <f>IFERROR(__xludf.DUMMYFUNCTION("""COMPUTED_VALUE"""),12.923412)</f>
        <v>12.923412</v>
      </c>
      <c r="E23505" s="4">
        <f>IFERROR(__xludf.DUMMYFUNCTION("""COMPUTED_VALUE"""),80.114491)</f>
        <v>80.114491</v>
      </c>
      <c r="F23505" s="4">
        <f>IFERROR(__xludf.DUMMYFUNCTION("""COMPUTED_VALUE"""),5339.0)</f>
        <v>5339</v>
      </c>
      <c r="G23505" s="4">
        <f>IFERROR(__xludf.DUMMYFUNCTION("""COMPUTED_VALUE"""),36.0)</f>
        <v>36</v>
      </c>
      <c r="H23505" s="4"/>
      <c r="I23505" s="4"/>
    </row>
    <row r="23506">
      <c r="A23506" s="4" t="str">
        <f>IFERROR(__xludf.DUMMYFUNCTION("""COMPUTED_VALUE"""),"cas_hmw")</f>
        <v>cas_hmw</v>
      </c>
      <c r="B23506" s="5">
        <f>IFERROR(__xludf.DUMMYFUNCTION("""COMPUTED_VALUE"""),44795.0)</f>
        <v>44795</v>
      </c>
      <c r="C23506" s="6">
        <f>IFERROR(__xludf.DUMMYFUNCTION("""COMPUTED_VALUE"""),0.6982291666681704)</f>
        <v>0.6982291667</v>
      </c>
      <c r="D23506" s="4">
        <f>IFERROR(__xludf.DUMMYFUNCTION("""COMPUTED_VALUE"""),12.911767)</f>
        <v>12.911767</v>
      </c>
      <c r="E23506" s="4">
        <f>IFERROR(__xludf.DUMMYFUNCTION("""COMPUTED_VALUE"""),80.101318)</f>
        <v>80.101318</v>
      </c>
      <c r="F23506" s="4">
        <f>IFERROR(__xludf.DUMMYFUNCTION("""COMPUTED_VALUE"""),3143.0)</f>
        <v>3143</v>
      </c>
      <c r="G23506" s="4">
        <f>IFERROR(__xludf.DUMMYFUNCTION("""COMPUTED_VALUE"""),25.0)</f>
        <v>25</v>
      </c>
      <c r="H23506" s="4"/>
      <c r="I23506" s="4"/>
    </row>
    <row r="23507">
      <c r="A23507" s="4" t="str">
        <f>IFERROR(__xludf.DUMMYFUNCTION("""COMPUTED_VALUE"""),"cas_hmw")</f>
        <v>cas_hmw</v>
      </c>
      <c r="B23507" s="5">
        <f>IFERROR(__xludf.DUMMYFUNCTION("""COMPUTED_VALUE"""),44795.0)</f>
        <v>44795</v>
      </c>
      <c r="C23507" s="6">
        <f>IFERROR(__xludf.DUMMYFUNCTION("""COMPUTED_VALUE"""),0.698275462964375)</f>
        <v>0.698275463</v>
      </c>
      <c r="D23507" s="4">
        <f>IFERROR(__xludf.DUMMYFUNCTION("""COMPUTED_VALUE"""),12.924138)</f>
        <v>12.924138</v>
      </c>
      <c r="E23507" s="4">
        <f>IFERROR(__xludf.DUMMYFUNCTION("""COMPUTED_VALUE"""),80.115172)</f>
        <v>80.115172</v>
      </c>
      <c r="F23507" s="4">
        <f>IFERROR(__xludf.DUMMYFUNCTION("""COMPUTED_VALUE"""),5339.0)</f>
        <v>5339</v>
      </c>
      <c r="G23507" s="4">
        <f>IFERROR(__xludf.DUMMYFUNCTION("""COMPUTED_VALUE"""),41.0)</f>
        <v>41</v>
      </c>
      <c r="H23507" s="4"/>
      <c r="I23507" s="4"/>
    </row>
    <row r="23508">
      <c r="A23508" s="4" t="str">
        <f>IFERROR(__xludf.DUMMYFUNCTION("""COMPUTED_VALUE"""),"cas_hmw")</f>
        <v>cas_hmw</v>
      </c>
      <c r="B23508" s="5">
        <f>IFERROR(__xludf.DUMMYFUNCTION("""COMPUTED_VALUE"""),44795.0)</f>
        <v>44795</v>
      </c>
      <c r="C23508" s="6">
        <f>IFERROR(__xludf.DUMMYFUNCTION("""COMPUTED_VALUE"""),0.6984490740724141)</f>
        <v>0.6984490741</v>
      </c>
      <c r="D23508" s="4">
        <f>IFERROR(__xludf.DUMMYFUNCTION("""COMPUTED_VALUE"""),12.913066)</f>
        <v>12.913066</v>
      </c>
      <c r="E23508" s="4">
        <f>IFERROR(__xludf.DUMMYFUNCTION("""COMPUTED_VALUE"""),80.101475)</f>
        <v>80.101475</v>
      </c>
      <c r="F23508" s="4">
        <f>IFERROR(__xludf.DUMMYFUNCTION("""COMPUTED_VALUE"""),3143.0)</f>
        <v>3143</v>
      </c>
      <c r="G23508" s="4">
        <f>IFERROR(__xludf.DUMMYFUNCTION("""COMPUTED_VALUE"""),42.0)</f>
        <v>42</v>
      </c>
      <c r="H23508" s="4"/>
      <c r="I23508" s="4"/>
    </row>
    <row r="23509">
      <c r="A23509" s="4" t="str">
        <f>IFERROR(__xludf.DUMMYFUNCTION("""COMPUTED_VALUE"""),"cas_hmw")</f>
        <v>cas_hmw</v>
      </c>
      <c r="B23509" s="5">
        <f>IFERROR(__xludf.DUMMYFUNCTION("""COMPUTED_VALUE"""),44795.0)</f>
        <v>44795</v>
      </c>
      <c r="C23509" s="6">
        <f>IFERROR(__xludf.DUMMYFUNCTION("""COMPUTED_VALUE"""),0.6985879629646661)</f>
        <v>0.698587963</v>
      </c>
      <c r="D23509" s="4">
        <f>IFERROR(__xludf.DUMMYFUNCTION("""COMPUTED_VALUE"""),12.914778)</f>
        <v>12.914778</v>
      </c>
      <c r="E23509" s="4">
        <f>IFERROR(__xludf.DUMMYFUNCTION("""COMPUTED_VALUE"""),80.10186)</f>
        <v>80.10186</v>
      </c>
      <c r="F23509" s="4">
        <f>IFERROR(__xludf.DUMMYFUNCTION("""COMPUTED_VALUE"""),3143.0)</f>
        <v>3143</v>
      </c>
      <c r="G23509" s="4">
        <f>IFERROR(__xludf.DUMMYFUNCTION("""COMPUTED_VALUE"""),48.0)</f>
        <v>48</v>
      </c>
      <c r="H23509" s="4"/>
      <c r="I23509" s="4"/>
    </row>
    <row r="23510">
      <c r="A23510" s="4" t="str">
        <f>IFERROR(__xludf.DUMMYFUNCTION("""COMPUTED_VALUE"""),"cas_hmw")</f>
        <v>cas_hmw</v>
      </c>
      <c r="B23510" s="5">
        <f>IFERROR(__xludf.DUMMYFUNCTION("""COMPUTED_VALUE"""),44795.0)</f>
        <v>44795</v>
      </c>
      <c r="C23510" s="6">
        <f>IFERROR(__xludf.DUMMYFUNCTION("""COMPUTED_VALUE"""),0.6988773148150358)</f>
        <v>0.6988773148</v>
      </c>
      <c r="D23510" s="4">
        <f>IFERROR(__xludf.DUMMYFUNCTION("""COMPUTED_VALUE"""),12.842974)</f>
        <v>12.842974</v>
      </c>
      <c r="E23510" s="4">
        <f>IFERROR(__xludf.DUMMYFUNCTION("""COMPUTED_VALUE"""),80.058901)</f>
        <v>80.058901</v>
      </c>
      <c r="F23510" s="4">
        <f>IFERROR(__xludf.DUMMYFUNCTION("""COMPUTED_VALUE"""),2846.0)</f>
        <v>2846</v>
      </c>
      <c r="G23510" s="4">
        <f>IFERROR(__xludf.DUMMYFUNCTION("""COMPUTED_VALUE"""),36.0)</f>
        <v>36</v>
      </c>
      <c r="H23510" s="4"/>
      <c r="I23510" s="4"/>
    </row>
    <row r="23511">
      <c r="A23511" s="4" t="str">
        <f>IFERROR(__xludf.DUMMYFUNCTION("""COMPUTED_VALUE"""),"cas_hmw")</f>
        <v>cas_hmw</v>
      </c>
      <c r="B23511" s="5">
        <f>IFERROR(__xludf.DUMMYFUNCTION("""COMPUTED_VALUE"""),44795.0)</f>
        <v>44795</v>
      </c>
      <c r="C23511" s="6">
        <f>IFERROR(__xludf.DUMMYFUNCTION("""COMPUTED_VALUE"""),0.6993634259270038)</f>
        <v>0.6993634259</v>
      </c>
      <c r="D23511" s="4">
        <f>IFERROR(__xludf.DUMMYFUNCTION("""COMPUTED_VALUE"""),12.838912)</f>
        <v>12.838912</v>
      </c>
      <c r="E23511" s="4">
        <f>IFERROR(__xludf.DUMMYFUNCTION("""COMPUTED_VALUE"""),80.054528)</f>
        <v>80.054528</v>
      </c>
      <c r="F23511" s="4">
        <f>IFERROR(__xludf.DUMMYFUNCTION("""COMPUTED_VALUE"""),2846.0)</f>
        <v>2846</v>
      </c>
      <c r="G23511" s="4">
        <f>IFERROR(__xludf.DUMMYFUNCTION("""COMPUTED_VALUE"""),48.0)</f>
        <v>48</v>
      </c>
      <c r="H23511" s="4"/>
      <c r="I23511" s="4"/>
    </row>
    <row r="23512">
      <c r="A23512" s="4" t="str">
        <f>IFERROR(__xludf.DUMMYFUNCTION("""COMPUTED_VALUE"""),"cas_hmw")</f>
        <v>cas_hmw</v>
      </c>
      <c r="B23512" s="5">
        <f>IFERROR(__xludf.DUMMYFUNCTION("""COMPUTED_VALUE"""),44795.0)</f>
        <v>44795</v>
      </c>
      <c r="C23512" s="6">
        <f>IFERROR(__xludf.DUMMYFUNCTION("""COMPUTED_VALUE"""),0.6994444444426335)</f>
        <v>0.6994444444</v>
      </c>
      <c r="D23512" s="4">
        <f>IFERROR(__xludf.DUMMYFUNCTION("""COMPUTED_VALUE"""),12.916776)</f>
        <v>12.916776</v>
      </c>
      <c r="E23512" s="4">
        <f>IFERROR(__xludf.DUMMYFUNCTION("""COMPUTED_VALUE"""),80.106613)</f>
        <v>80.106613</v>
      </c>
      <c r="F23512" s="4">
        <f>IFERROR(__xludf.DUMMYFUNCTION("""COMPUTED_VALUE"""),3143.0)</f>
        <v>3143</v>
      </c>
      <c r="G23512" s="4">
        <f>IFERROR(__xludf.DUMMYFUNCTION("""COMPUTED_VALUE"""),4.0)</f>
        <v>4</v>
      </c>
      <c r="H23512" s="4"/>
      <c r="I23512" s="4"/>
    </row>
    <row r="23513">
      <c r="A23513" s="4" t="str">
        <f>IFERROR(__xludf.DUMMYFUNCTION("""COMPUTED_VALUE"""),"cas_hmw")</f>
        <v>cas_hmw</v>
      </c>
      <c r="B23513" s="5">
        <f>IFERROR(__xludf.DUMMYFUNCTION("""COMPUTED_VALUE"""),44795.0)</f>
        <v>44795</v>
      </c>
      <c r="C23513" s="6">
        <f>IFERROR(__xludf.DUMMYFUNCTION("""COMPUTED_VALUE"""),0.6998148148159089)</f>
        <v>0.6998148148</v>
      </c>
      <c r="D23513" s="4">
        <f>IFERROR(__xludf.DUMMYFUNCTION("""COMPUTED_VALUE"""),12.834507)</f>
        <v>12.834507</v>
      </c>
      <c r="E23513" s="4">
        <f>IFERROR(__xludf.DUMMYFUNCTION("""COMPUTED_VALUE"""),80.049965)</f>
        <v>80.049965</v>
      </c>
      <c r="F23513" s="4">
        <f>IFERROR(__xludf.DUMMYFUNCTION("""COMPUTED_VALUE"""),2846.0)</f>
        <v>2846</v>
      </c>
      <c r="G23513" s="4">
        <f>IFERROR(__xludf.DUMMYFUNCTION("""COMPUTED_VALUE"""),57.0)</f>
        <v>57</v>
      </c>
      <c r="H23513" s="4"/>
      <c r="I23513" s="4"/>
    </row>
    <row r="23514">
      <c r="A23514" s="4" t="str">
        <f>IFERROR(__xludf.DUMMYFUNCTION("""COMPUTED_VALUE"""),"cas_hmw")</f>
        <v>cas_hmw</v>
      </c>
      <c r="B23514" s="5">
        <f>IFERROR(__xludf.DUMMYFUNCTION("""COMPUTED_VALUE"""),44795.0)</f>
        <v>44795</v>
      </c>
      <c r="C23514" s="6">
        <f>IFERROR(__xludf.DUMMYFUNCTION("""COMPUTED_VALUE"""),0.6998263888890506)</f>
        <v>0.6998263889</v>
      </c>
      <c r="D23514" s="4">
        <f>IFERROR(__xludf.DUMMYFUNCTION("""COMPUTED_VALUE"""),12.917618)</f>
        <v>12.917618</v>
      </c>
      <c r="E23514" s="4">
        <f>IFERROR(__xludf.DUMMYFUNCTION("""COMPUTED_VALUE"""),80.108001)</f>
        <v>80.108001</v>
      </c>
      <c r="F23514" s="4">
        <f>IFERROR(__xludf.DUMMYFUNCTION("""COMPUTED_VALUE"""),3143.0)</f>
        <v>3143</v>
      </c>
      <c r="G23514" s="4">
        <f>IFERROR(__xludf.DUMMYFUNCTION("""COMPUTED_VALUE"""),37.0)</f>
        <v>37</v>
      </c>
      <c r="H23514" s="4"/>
      <c r="I23514" s="4"/>
    </row>
    <row r="23515">
      <c r="A23515" s="4" t="str">
        <f>IFERROR(__xludf.DUMMYFUNCTION("""COMPUTED_VALUE"""),"cas_hmw")</f>
        <v>cas_hmw</v>
      </c>
      <c r="B23515" s="5">
        <f>IFERROR(__xludf.DUMMYFUNCTION("""COMPUTED_VALUE"""),44795.0)</f>
        <v>44795</v>
      </c>
      <c r="C23515" s="6">
        <f>IFERROR(__xludf.DUMMYFUNCTION("""COMPUTED_VALUE"""),0.7006597222207347)</f>
        <v>0.7006597222</v>
      </c>
      <c r="D23515" s="4">
        <f>IFERROR(__xludf.DUMMYFUNCTION("""COMPUTED_VALUE"""),12.828279)</f>
        <v>12.828279</v>
      </c>
      <c r="E23515" s="4">
        <f>IFERROR(__xludf.DUMMYFUNCTION("""COMPUTED_VALUE"""),80.043408)</f>
        <v>80.043408</v>
      </c>
      <c r="F23515" s="4">
        <f>IFERROR(__xludf.DUMMYFUNCTION("""COMPUTED_VALUE"""),2846.0)</f>
        <v>2846</v>
      </c>
      <c r="G23515" s="4">
        <f>IFERROR(__xludf.DUMMYFUNCTION("""COMPUTED_VALUE"""),58.0)</f>
        <v>58</v>
      </c>
      <c r="H23515" s="4"/>
      <c r="I23515" s="4"/>
    </row>
    <row r="23516">
      <c r="A23516" s="4" t="str">
        <f>IFERROR(__xludf.DUMMYFUNCTION("""COMPUTED_VALUE"""),"cas_hmw")</f>
        <v>cas_hmw</v>
      </c>
      <c r="B23516" s="5">
        <f>IFERROR(__xludf.DUMMYFUNCTION("""COMPUTED_VALUE"""),44795.0)</f>
        <v>44795</v>
      </c>
      <c r="C23516" s="6">
        <f>IFERROR(__xludf.DUMMYFUNCTION("""COMPUTED_VALUE"""),0.7009143518516794)</f>
        <v>0.7009143519</v>
      </c>
      <c r="D23516" s="4">
        <f>IFERROR(__xludf.DUMMYFUNCTION("""COMPUTED_VALUE"""),12.826659)</f>
        <v>12.826659</v>
      </c>
      <c r="E23516" s="4">
        <f>IFERROR(__xludf.DUMMYFUNCTION("""COMPUTED_VALUE"""),80.041717)</f>
        <v>80.041717</v>
      </c>
      <c r="F23516" s="4">
        <f>IFERROR(__xludf.DUMMYFUNCTION("""COMPUTED_VALUE"""),2846.0)</f>
        <v>2846</v>
      </c>
      <c r="G23516" s="4">
        <f>IFERROR(__xludf.DUMMYFUNCTION("""COMPUTED_VALUE"""),56.0)</f>
        <v>56</v>
      </c>
      <c r="H23516" s="4"/>
      <c r="I23516" s="4"/>
    </row>
    <row r="23517">
      <c r="A23517" s="4" t="str">
        <f>IFERROR(__xludf.DUMMYFUNCTION("""COMPUTED_VALUE"""),"cas_hmw")</f>
        <v>cas_hmw</v>
      </c>
      <c r="B23517" s="5">
        <f>IFERROR(__xludf.DUMMYFUNCTION("""COMPUTED_VALUE"""),44795.0)</f>
        <v>44795</v>
      </c>
      <c r="C23517" s="6">
        <f>IFERROR(__xludf.DUMMYFUNCTION("""COMPUTED_VALUE"""),0.7009722222210257)</f>
        <v>0.7009722222</v>
      </c>
      <c r="D23517" s="4">
        <f>IFERROR(__xludf.DUMMYFUNCTION("""COMPUTED_VALUE"""),12.931406)</f>
        <v>12.931406</v>
      </c>
      <c r="E23517" s="4">
        <f>IFERROR(__xludf.DUMMYFUNCTION("""COMPUTED_VALUE"""),80.122494)</f>
        <v>80.122494</v>
      </c>
      <c r="F23517" s="4">
        <f>IFERROR(__xludf.DUMMYFUNCTION("""COMPUTED_VALUE"""),5339.0)</f>
        <v>5339</v>
      </c>
      <c r="G23517" s="4">
        <f>IFERROR(__xludf.DUMMYFUNCTION("""COMPUTED_VALUE"""),18.0)</f>
        <v>18</v>
      </c>
      <c r="H23517" s="4"/>
      <c r="I23517" s="4"/>
    </row>
    <row r="23518">
      <c r="A23518" s="4" t="str">
        <f>IFERROR(__xludf.DUMMYFUNCTION("""COMPUTED_VALUE"""),"cas_hmw")</f>
        <v>cas_hmw</v>
      </c>
      <c r="B23518" s="5">
        <f>IFERROR(__xludf.DUMMYFUNCTION("""COMPUTED_VALUE"""),44795.0)</f>
        <v>44795</v>
      </c>
      <c r="C23518" s="6">
        <f>IFERROR(__xludf.DUMMYFUNCTION("""COMPUTED_VALUE"""),0.7010416666671517)</f>
        <v>0.7010416667</v>
      </c>
      <c r="D23518" s="4">
        <f>IFERROR(__xludf.DUMMYFUNCTION("""COMPUTED_VALUE"""),12.82483)</f>
        <v>12.82483</v>
      </c>
      <c r="E23518" s="4">
        <f>IFERROR(__xludf.DUMMYFUNCTION("""COMPUTED_VALUE"""),80.040286)</f>
        <v>80.040286</v>
      </c>
      <c r="F23518" s="4">
        <f>IFERROR(__xludf.DUMMYFUNCTION("""COMPUTED_VALUE"""),2846.0)</f>
        <v>2846</v>
      </c>
      <c r="G23518" s="4">
        <f>IFERROR(__xludf.DUMMYFUNCTION("""COMPUTED_VALUE"""),59.0)</f>
        <v>59</v>
      </c>
      <c r="H23518" s="4"/>
      <c r="I23518" s="4"/>
    </row>
    <row r="23519">
      <c r="A23519" s="4" t="str">
        <f>IFERROR(__xludf.DUMMYFUNCTION("""COMPUTED_VALUE"""),"cas_hmw")</f>
        <v>cas_hmw</v>
      </c>
      <c r="B23519" s="5">
        <f>IFERROR(__xludf.DUMMYFUNCTION("""COMPUTED_VALUE"""),44795.0)</f>
        <v>44795</v>
      </c>
      <c r="C23519" s="6">
        <f>IFERROR(__xludf.DUMMYFUNCTION("""COMPUTED_VALUE"""),0.7011805555557657)</f>
        <v>0.7011805556</v>
      </c>
      <c r="D23519" s="4">
        <f>IFERROR(__xludf.DUMMYFUNCTION("""COMPUTED_VALUE"""),12.93186)</f>
        <v>12.93186</v>
      </c>
      <c r="E23519" s="4">
        <f>IFERROR(__xludf.DUMMYFUNCTION("""COMPUTED_VALUE"""),80.122956)</f>
        <v>80.122956</v>
      </c>
      <c r="F23519" s="4">
        <f>IFERROR(__xludf.DUMMYFUNCTION("""COMPUTED_VALUE"""),5339.0)</f>
        <v>5339</v>
      </c>
      <c r="G23519" s="4">
        <f>IFERROR(__xludf.DUMMYFUNCTION("""COMPUTED_VALUE"""),26.0)</f>
        <v>26</v>
      </c>
      <c r="H23519" s="4"/>
      <c r="I23519" s="4"/>
    </row>
    <row r="23520">
      <c r="A23520" s="4" t="str">
        <f>IFERROR(__xludf.DUMMYFUNCTION("""COMPUTED_VALUE"""),"cas_hmw")</f>
        <v>cas_hmw</v>
      </c>
      <c r="B23520" s="5">
        <f>IFERROR(__xludf.DUMMYFUNCTION("""COMPUTED_VALUE"""),44795.0)</f>
        <v>44795</v>
      </c>
      <c r="C23520" s="6">
        <f>IFERROR(__xludf.DUMMYFUNCTION("""COMPUTED_VALUE"""),0.7014583333329938)</f>
        <v>0.7014583333</v>
      </c>
      <c r="D23520" s="4">
        <f>IFERROR(__xludf.DUMMYFUNCTION("""COMPUTED_VALUE"""),12.93388)</f>
        <v>12.93388</v>
      </c>
      <c r="E23520" s="4">
        <f>IFERROR(__xludf.DUMMYFUNCTION("""COMPUTED_VALUE"""),80.125022)</f>
        <v>80.125022</v>
      </c>
      <c r="F23520" s="4">
        <f>IFERROR(__xludf.DUMMYFUNCTION("""COMPUTED_VALUE"""),5339.0)</f>
        <v>5339</v>
      </c>
      <c r="G23520" s="4">
        <f>IFERROR(__xludf.DUMMYFUNCTION("""COMPUTED_VALUE"""),38.0)</f>
        <v>38</v>
      </c>
      <c r="H23520" s="4"/>
      <c r="I23520" s="4"/>
    </row>
    <row r="23521">
      <c r="A23521" s="4" t="str">
        <f>IFERROR(__xludf.DUMMYFUNCTION("""COMPUTED_VALUE"""),"cas_hmw")</f>
        <v>cas_hmw</v>
      </c>
      <c r="B23521" s="5">
        <f>IFERROR(__xludf.DUMMYFUNCTION("""COMPUTED_VALUE"""),44795.0)</f>
        <v>44795</v>
      </c>
      <c r="C23521" s="6">
        <f>IFERROR(__xludf.DUMMYFUNCTION("""COMPUTED_VALUE"""),0.7014930555560568)</f>
        <v>0.7014930556</v>
      </c>
      <c r="D23521" s="4">
        <f>IFERROR(__xludf.DUMMYFUNCTION("""COMPUTED_VALUE"""),12.82483)</f>
        <v>12.82483</v>
      </c>
      <c r="E23521" s="4">
        <f>IFERROR(__xludf.DUMMYFUNCTION("""COMPUTED_VALUE"""),80.040286)</f>
        <v>80.040286</v>
      </c>
      <c r="F23521" s="4">
        <f>IFERROR(__xludf.DUMMYFUNCTION("""COMPUTED_VALUE"""),2846.0)</f>
        <v>2846</v>
      </c>
      <c r="G23521" s="4">
        <f>IFERROR(__xludf.DUMMYFUNCTION("""COMPUTED_VALUE"""),59.0)</f>
        <v>59</v>
      </c>
      <c r="H23521" s="4"/>
      <c r="I23521" s="4"/>
    </row>
    <row r="23522">
      <c r="A23522" s="4" t="str">
        <f>IFERROR(__xludf.DUMMYFUNCTION("""COMPUTED_VALUE"""),"cas_hmw")</f>
        <v>cas_hmw</v>
      </c>
      <c r="B23522" s="5">
        <f>IFERROR(__xludf.DUMMYFUNCTION("""COMPUTED_VALUE"""),44795.0)</f>
        <v>44795</v>
      </c>
      <c r="C23522" s="6">
        <f>IFERROR(__xludf.DUMMYFUNCTION("""COMPUTED_VALUE"""),0.7031712962962047)</f>
        <v>0.7031712963</v>
      </c>
      <c r="D23522" s="4">
        <f>IFERROR(__xludf.DUMMYFUNCTION("""COMPUTED_VALUE"""),12.805531)</f>
        <v>12.805531</v>
      </c>
      <c r="E23522" s="4">
        <f>IFERROR(__xludf.DUMMYFUNCTION("""COMPUTED_VALUE"""),80.027103)</f>
        <v>80.027103</v>
      </c>
      <c r="F23522" s="4">
        <f>IFERROR(__xludf.DUMMYFUNCTION("""COMPUTED_VALUE"""),2846.0)</f>
        <v>2846</v>
      </c>
      <c r="G23522" s="4">
        <f>IFERROR(__xludf.DUMMYFUNCTION("""COMPUTED_VALUE"""),57.0)</f>
        <v>57</v>
      </c>
      <c r="H23522" s="4"/>
      <c r="I23522" s="4"/>
    </row>
    <row r="23523">
      <c r="A23523" s="4" t="str">
        <f>IFERROR(__xludf.DUMMYFUNCTION("""COMPUTED_VALUE"""),"cas_hmw")</f>
        <v>cas_hmw</v>
      </c>
      <c r="B23523" s="5">
        <f>IFERROR(__xludf.DUMMYFUNCTION("""COMPUTED_VALUE"""),44795.0)</f>
        <v>44795</v>
      </c>
      <c r="C23523" s="6">
        <f>IFERROR(__xludf.DUMMYFUNCTION("""COMPUTED_VALUE"""),0.7033564814810234)</f>
        <v>0.7033564815</v>
      </c>
      <c r="D23523" s="4">
        <f>IFERROR(__xludf.DUMMYFUNCTION("""COMPUTED_VALUE"""),12.943082)</f>
        <v>12.943082</v>
      </c>
      <c r="E23523" s="4">
        <f>IFERROR(__xludf.DUMMYFUNCTION("""COMPUTED_VALUE"""),80.133662)</f>
        <v>80.133662</v>
      </c>
      <c r="F23523" s="4">
        <f>IFERROR(__xludf.DUMMYFUNCTION("""COMPUTED_VALUE"""),5339.0)</f>
        <v>5339</v>
      </c>
      <c r="G23523" s="4">
        <f>IFERROR(__xludf.DUMMYFUNCTION("""COMPUTED_VALUE"""),21.0)</f>
        <v>21</v>
      </c>
      <c r="H23523" s="4"/>
      <c r="I23523" s="4"/>
    </row>
    <row r="23524">
      <c r="A23524" s="4" t="str">
        <f>IFERROR(__xludf.DUMMYFUNCTION("""COMPUTED_VALUE"""),"cas_hmw")</f>
        <v>cas_hmw</v>
      </c>
      <c r="B23524" s="5">
        <f>IFERROR(__xludf.DUMMYFUNCTION("""COMPUTED_VALUE"""),44795.0)</f>
        <v>44795</v>
      </c>
      <c r="C23524" s="6">
        <f>IFERROR(__xludf.DUMMYFUNCTION("""COMPUTED_VALUE"""),0.703368055554165)</f>
        <v>0.7033680556</v>
      </c>
      <c r="D23524" s="4">
        <f>IFERROR(__xludf.DUMMYFUNCTION("""COMPUTED_VALUE"""),12.943082)</f>
        <v>12.943082</v>
      </c>
      <c r="E23524" s="4">
        <f>IFERROR(__xludf.DUMMYFUNCTION("""COMPUTED_VALUE"""),80.133662)</f>
        <v>80.133662</v>
      </c>
      <c r="F23524" s="4">
        <f>IFERROR(__xludf.DUMMYFUNCTION("""COMPUTED_VALUE"""),5339.0)</f>
        <v>5339</v>
      </c>
      <c r="G23524" s="4">
        <f>IFERROR(__xludf.DUMMYFUNCTION("""COMPUTED_VALUE"""),21.0)</f>
        <v>21</v>
      </c>
      <c r="H23524" s="4"/>
      <c r="I23524" s="4"/>
    </row>
    <row r="23525">
      <c r="A23525" s="4" t="str">
        <f>IFERROR(__xludf.DUMMYFUNCTION("""COMPUTED_VALUE"""),"cas_hmw")</f>
        <v>cas_hmw</v>
      </c>
      <c r="B23525" s="5">
        <f>IFERROR(__xludf.DUMMYFUNCTION("""COMPUTED_VALUE"""),44795.0)</f>
        <v>44795</v>
      </c>
      <c r="C23525" s="6">
        <f>IFERROR(__xludf.DUMMYFUNCTION("""COMPUTED_VALUE"""),0.7034143518503697)</f>
        <v>0.7034143519</v>
      </c>
      <c r="D23525" s="4">
        <f>IFERROR(__xludf.DUMMYFUNCTION("""COMPUTED_VALUE"""),12.944068)</f>
        <v>12.944068</v>
      </c>
      <c r="E23525" s="4">
        <f>IFERROR(__xludf.DUMMYFUNCTION("""COMPUTED_VALUE"""),80.134575)</f>
        <v>80.134575</v>
      </c>
      <c r="F23525" s="4">
        <f>IFERROR(__xludf.DUMMYFUNCTION("""COMPUTED_VALUE"""),5339.0)</f>
        <v>5339</v>
      </c>
      <c r="G23525" s="4">
        <f>IFERROR(__xludf.DUMMYFUNCTION("""COMPUTED_VALUE"""),44.0)</f>
        <v>44</v>
      </c>
      <c r="H23525" s="4"/>
      <c r="I23525" s="4"/>
    </row>
    <row r="23526">
      <c r="A23526" s="4" t="str">
        <f>IFERROR(__xludf.DUMMYFUNCTION("""COMPUTED_VALUE"""),"cas_hmw")</f>
        <v>cas_hmw</v>
      </c>
      <c r="B23526" s="5">
        <f>IFERROR(__xludf.DUMMYFUNCTION("""COMPUTED_VALUE"""),44795.0)</f>
        <v>44795</v>
      </c>
      <c r="C23526" s="6">
        <f>IFERROR(__xludf.DUMMYFUNCTION("""COMPUTED_VALUE"""),0.7035069444427791)</f>
        <v>0.7035069444</v>
      </c>
      <c r="D23526" s="4">
        <f>IFERROR(__xludf.DUMMYFUNCTION("""COMPUTED_VALUE"""),12.944068)</f>
        <v>12.944068</v>
      </c>
      <c r="E23526" s="4">
        <f>IFERROR(__xludf.DUMMYFUNCTION("""COMPUTED_VALUE"""),80.134575)</f>
        <v>80.134575</v>
      </c>
      <c r="F23526" s="4">
        <f>IFERROR(__xludf.DUMMYFUNCTION("""COMPUTED_VALUE"""),5339.0)</f>
        <v>5339</v>
      </c>
      <c r="G23526" s="4">
        <f>IFERROR(__xludf.DUMMYFUNCTION("""COMPUTED_VALUE"""),44.0)</f>
        <v>44</v>
      </c>
      <c r="H23526" s="4"/>
      <c r="I23526" s="4"/>
    </row>
    <row r="23527">
      <c r="A23527" s="4" t="str">
        <f>IFERROR(__xludf.DUMMYFUNCTION("""COMPUTED_VALUE"""),"cas_hmw")</f>
        <v>cas_hmw</v>
      </c>
      <c r="B23527" s="5">
        <f>IFERROR(__xludf.DUMMYFUNCTION("""COMPUTED_VALUE"""),44795.0)</f>
        <v>44795</v>
      </c>
      <c r="C23527" s="6">
        <f>IFERROR(__xludf.DUMMYFUNCTION("""COMPUTED_VALUE"""),0.7046759259246755)</f>
        <v>0.7046759259</v>
      </c>
      <c r="D23527" s="4">
        <f>IFERROR(__xludf.DUMMYFUNCTION("""COMPUTED_VALUE"""),12.950373)</f>
        <v>12.950373</v>
      </c>
      <c r="E23527" s="4">
        <f>IFERROR(__xludf.DUMMYFUNCTION("""COMPUTED_VALUE"""),80.139383)</f>
        <v>80.139383</v>
      </c>
      <c r="F23527" s="4">
        <f>IFERROR(__xludf.DUMMYFUNCTION("""COMPUTED_VALUE"""),5339.0)</f>
        <v>5339</v>
      </c>
      <c r="G23527" s="4">
        <f>IFERROR(__xludf.DUMMYFUNCTION("""COMPUTED_VALUE"""),0.0)</f>
        <v>0</v>
      </c>
      <c r="H23527" s="4"/>
      <c r="I23527" s="4"/>
    </row>
    <row r="23528">
      <c r="A23528" s="4" t="str">
        <f>IFERROR(__xludf.DUMMYFUNCTION("""COMPUTED_VALUE"""),"cas_hmw")</f>
        <v>cas_hmw</v>
      </c>
      <c r="B23528" s="5">
        <f>IFERROR(__xludf.DUMMYFUNCTION("""COMPUTED_VALUE"""),44795.0)</f>
        <v>44795</v>
      </c>
      <c r="C23528" s="6">
        <f>IFERROR(__xludf.DUMMYFUNCTION("""COMPUTED_VALUE"""),0.7058564814797137)</f>
        <v>0.7058564815</v>
      </c>
      <c r="D23528" s="4">
        <f>IFERROR(__xludf.DUMMYFUNCTION("""COMPUTED_VALUE"""),12.922548)</f>
        <v>12.922548</v>
      </c>
      <c r="E23528" s="4">
        <f>IFERROR(__xludf.DUMMYFUNCTION("""COMPUTED_VALUE"""),80.136879)</f>
        <v>80.136879</v>
      </c>
      <c r="F23528" s="4">
        <f>IFERROR(__xludf.DUMMYFUNCTION("""COMPUTED_VALUE"""),3143.0)</f>
        <v>3143</v>
      </c>
      <c r="G23528" s="4">
        <f>IFERROR(__xludf.DUMMYFUNCTION("""COMPUTED_VALUE"""),37.0)</f>
        <v>37</v>
      </c>
      <c r="H23528" s="4"/>
      <c r="I23528" s="4"/>
    </row>
    <row r="23529">
      <c r="A23529" s="4" t="str">
        <f>IFERROR(__xludf.DUMMYFUNCTION("""COMPUTED_VALUE"""),"cas_hmw")</f>
        <v>cas_hmw</v>
      </c>
      <c r="B23529" s="5">
        <f>IFERROR(__xludf.DUMMYFUNCTION("""COMPUTED_VALUE"""),44795.0)</f>
        <v>44795</v>
      </c>
      <c r="C23529" s="6">
        <f>IFERROR(__xludf.DUMMYFUNCTION("""COMPUTED_VALUE"""),0.7059027777795563)</f>
        <v>0.7059027778</v>
      </c>
      <c r="D23529" s="4">
        <f>IFERROR(__xludf.DUMMYFUNCTION("""COMPUTED_VALUE"""),12.922538)</f>
        <v>12.922538</v>
      </c>
      <c r="E23529" s="4">
        <f>IFERROR(__xludf.DUMMYFUNCTION("""COMPUTED_VALUE"""),80.137556)</f>
        <v>80.137556</v>
      </c>
      <c r="F23529" s="4">
        <f>IFERROR(__xludf.DUMMYFUNCTION("""COMPUTED_VALUE"""),3143.0)</f>
        <v>3143</v>
      </c>
      <c r="G23529" s="4">
        <f>IFERROR(__xludf.DUMMYFUNCTION("""COMPUTED_VALUE"""),0.0)</f>
        <v>0</v>
      </c>
      <c r="H23529" s="4"/>
      <c r="I23529" s="4"/>
    </row>
    <row r="23530">
      <c r="A23530" s="4" t="str">
        <f>IFERROR(__xludf.DUMMYFUNCTION("""COMPUTED_VALUE"""),"cas_hmw")</f>
        <v>cas_hmw</v>
      </c>
      <c r="B23530" s="5">
        <f>IFERROR(__xludf.DUMMYFUNCTION("""COMPUTED_VALUE"""),44795.0)</f>
        <v>44795</v>
      </c>
      <c r="C23530" s="6">
        <f>IFERROR(__xludf.DUMMYFUNCTION("""COMPUTED_VALUE"""),0.706087962964375)</f>
        <v>0.706087963</v>
      </c>
      <c r="D23530" s="4">
        <f>IFERROR(__xludf.DUMMYFUNCTION("""COMPUTED_VALUE"""),12.922535)</f>
        <v>12.922535</v>
      </c>
      <c r="E23530" s="4">
        <f>IFERROR(__xludf.DUMMYFUNCTION("""COMPUTED_VALUE"""),80.137584)</f>
        <v>80.137584</v>
      </c>
      <c r="F23530" s="4">
        <f>IFERROR(__xludf.DUMMYFUNCTION("""COMPUTED_VALUE"""),3143.0)</f>
        <v>3143</v>
      </c>
      <c r="G23530" s="4">
        <f>IFERROR(__xludf.DUMMYFUNCTION("""COMPUTED_VALUE"""),0.0)</f>
        <v>0</v>
      </c>
      <c r="H23530" s="4"/>
      <c r="I23530" s="4"/>
    </row>
    <row r="23531">
      <c r="A23531" s="4" t="str">
        <f>IFERROR(__xludf.DUMMYFUNCTION("""COMPUTED_VALUE"""),"cas_hmw")</f>
        <v>cas_hmw</v>
      </c>
      <c r="B23531" s="5">
        <f>IFERROR(__xludf.DUMMYFUNCTION("""COMPUTED_VALUE"""),44795.0)</f>
        <v>44795</v>
      </c>
      <c r="C23531" s="6">
        <f>IFERROR(__xludf.DUMMYFUNCTION("""COMPUTED_VALUE"""),0.7062731481491937)</f>
        <v>0.7062731481</v>
      </c>
      <c r="D23531" s="4">
        <f>IFERROR(__xludf.DUMMYFUNCTION("""COMPUTED_VALUE"""),12.957554)</f>
        <v>12.957554</v>
      </c>
      <c r="E23531" s="4">
        <f>IFERROR(__xludf.DUMMYFUNCTION("""COMPUTED_VALUE"""),80.143799)</f>
        <v>80.143799</v>
      </c>
      <c r="F23531" s="4">
        <f>IFERROR(__xludf.DUMMYFUNCTION("""COMPUTED_VALUE"""),5339.0)</f>
        <v>5339</v>
      </c>
      <c r="G23531" s="4">
        <f>IFERROR(__xludf.DUMMYFUNCTION("""COMPUTED_VALUE"""),27.0)</f>
        <v>27</v>
      </c>
      <c r="H23531" s="4"/>
      <c r="I23531" s="4"/>
    </row>
    <row r="23532">
      <c r="A23532" s="4" t="str">
        <f>IFERROR(__xludf.DUMMYFUNCTION("""COMPUTED_VALUE"""),"cas_hmw")</f>
        <v>cas_hmw</v>
      </c>
      <c r="B23532" s="5">
        <f>IFERROR(__xludf.DUMMYFUNCTION("""COMPUTED_VALUE"""),44795.0)</f>
        <v>44795</v>
      </c>
      <c r="C23532" s="6">
        <f>IFERROR(__xludf.DUMMYFUNCTION("""COMPUTED_VALUE"""),0.7069907407421852)</f>
        <v>0.7069907407</v>
      </c>
      <c r="D23532" s="4">
        <f>IFERROR(__xludf.DUMMYFUNCTION("""COMPUTED_VALUE"""),12.960727)</f>
        <v>12.960727</v>
      </c>
      <c r="E23532" s="4">
        <f>IFERROR(__xludf.DUMMYFUNCTION("""COMPUTED_VALUE"""),80.145355)</f>
        <v>80.145355</v>
      </c>
      <c r="F23532" s="4">
        <f>IFERROR(__xludf.DUMMYFUNCTION("""COMPUTED_VALUE"""),5339.0)</f>
        <v>5339</v>
      </c>
      <c r="G23532" s="4">
        <f>IFERROR(__xludf.DUMMYFUNCTION("""COMPUTED_VALUE"""),24.0)</f>
        <v>24</v>
      </c>
      <c r="H23532" s="4"/>
      <c r="I23532" s="4"/>
    </row>
    <row r="23533">
      <c r="A23533" s="4" t="str">
        <f>IFERROR(__xludf.DUMMYFUNCTION("""COMPUTED_VALUE"""),"cas_hmw")</f>
        <v>cas_hmw</v>
      </c>
      <c r="B23533" s="5">
        <f>IFERROR(__xludf.DUMMYFUNCTION("""COMPUTED_VALUE"""),44795.0)</f>
        <v>44795</v>
      </c>
      <c r="C23533" s="6">
        <f>IFERROR(__xludf.DUMMYFUNCTION("""COMPUTED_VALUE"""),0.7073611111118225)</f>
        <v>0.7073611111</v>
      </c>
      <c r="D23533" s="4">
        <f>IFERROR(__xludf.DUMMYFUNCTION("""COMPUTED_VALUE"""),12.763423)</f>
        <v>12.763423</v>
      </c>
      <c r="E23533" s="4">
        <f>IFERROR(__xludf.DUMMYFUNCTION("""COMPUTED_VALUE"""),80.004313)</f>
        <v>80.004313</v>
      </c>
      <c r="F23533" s="4">
        <f>IFERROR(__xludf.DUMMYFUNCTION("""COMPUTED_VALUE"""),2846.0)</f>
        <v>2846</v>
      </c>
      <c r="G23533" s="4">
        <f>IFERROR(__xludf.DUMMYFUNCTION("""COMPUTED_VALUE"""),57.0)</f>
        <v>57</v>
      </c>
      <c r="H23533" s="4"/>
      <c r="I23533" s="4"/>
    </row>
    <row r="23534">
      <c r="A23534" s="4" t="str">
        <f>IFERROR(__xludf.DUMMYFUNCTION("""COMPUTED_VALUE"""),"cas_hmw")</f>
        <v>cas_hmw</v>
      </c>
      <c r="B23534" s="5">
        <f>IFERROR(__xludf.DUMMYFUNCTION("""COMPUTED_VALUE"""),44795.0)</f>
        <v>44795</v>
      </c>
      <c r="C23534" s="6">
        <f>IFERROR(__xludf.DUMMYFUNCTION("""COMPUTED_VALUE"""),0.7088541666671517)</f>
        <v>0.7088541667</v>
      </c>
      <c r="D23534" s="4">
        <f>IFERROR(__xludf.DUMMYFUNCTION("""COMPUTED_VALUE"""),12.977188)</f>
        <v>12.977188</v>
      </c>
      <c r="E23534" s="4">
        <f>IFERROR(__xludf.DUMMYFUNCTION("""COMPUTED_VALUE"""),80.158796)</f>
        <v>80.158796</v>
      </c>
      <c r="F23534" s="4">
        <f>IFERROR(__xludf.DUMMYFUNCTION("""COMPUTED_VALUE"""),5339.0)</f>
        <v>5339</v>
      </c>
      <c r="G23534" s="4">
        <f>IFERROR(__xludf.DUMMYFUNCTION("""COMPUTED_VALUE"""),57.0)</f>
        <v>57</v>
      </c>
      <c r="H23534" s="4"/>
      <c r="I23534" s="4"/>
    </row>
    <row r="23535">
      <c r="A23535" s="4" t="str">
        <f>IFERROR(__xludf.DUMMYFUNCTION("""COMPUTED_VALUE"""),"cas_hmw")</f>
        <v>cas_hmw</v>
      </c>
      <c r="B23535" s="5">
        <f>IFERROR(__xludf.DUMMYFUNCTION("""COMPUTED_VALUE"""),44795.0)</f>
        <v>44795</v>
      </c>
      <c r="C23535" s="6">
        <f>IFERROR(__xludf.DUMMYFUNCTION("""COMPUTED_VALUE"""),0.7090509259251121)</f>
        <v>0.7090509259</v>
      </c>
      <c r="D23535" s="4">
        <f>IFERROR(__xludf.DUMMYFUNCTION("""COMPUTED_VALUE"""),12.979786)</f>
        <v>12.979786</v>
      </c>
      <c r="E23535" s="4">
        <f>IFERROR(__xludf.DUMMYFUNCTION("""COMPUTED_VALUE"""),80.162563)</f>
        <v>80.162563</v>
      </c>
      <c r="F23535" s="4">
        <f>IFERROR(__xludf.DUMMYFUNCTION("""COMPUTED_VALUE"""),5339.0)</f>
        <v>5339</v>
      </c>
      <c r="G23535" s="4">
        <f>IFERROR(__xludf.DUMMYFUNCTION("""COMPUTED_VALUE"""),49.0)</f>
        <v>49</v>
      </c>
      <c r="H23535" s="4"/>
      <c r="I23535" s="4"/>
    </row>
    <row r="23536">
      <c r="A23536" s="4" t="str">
        <f>IFERROR(__xludf.DUMMYFUNCTION("""COMPUTED_VALUE"""),"cas_hmw")</f>
        <v>cas_hmw</v>
      </c>
      <c r="B23536" s="5">
        <f>IFERROR(__xludf.DUMMYFUNCTION("""COMPUTED_VALUE"""),44795.0)</f>
        <v>44795</v>
      </c>
      <c r="C23536" s="6">
        <f>IFERROR(__xludf.DUMMYFUNCTION("""COMPUTED_VALUE"""),0.7095023148140172)</f>
        <v>0.7095023148</v>
      </c>
      <c r="D23536" s="4">
        <f>IFERROR(__xludf.DUMMYFUNCTION("""COMPUTED_VALUE"""),12.744431)</f>
        <v>12.744431</v>
      </c>
      <c r="E23536" s="4">
        <f>IFERROR(__xludf.DUMMYFUNCTION("""COMPUTED_VALUE"""),79.993526)</f>
        <v>79.993526</v>
      </c>
      <c r="F23536" s="4">
        <f>IFERROR(__xludf.DUMMYFUNCTION("""COMPUTED_VALUE"""),2846.0)</f>
        <v>2846</v>
      </c>
      <c r="G23536" s="4">
        <f>IFERROR(__xludf.DUMMYFUNCTION("""COMPUTED_VALUE"""),54.0)</f>
        <v>54</v>
      </c>
      <c r="H23536" s="4"/>
      <c r="I23536" s="4"/>
    </row>
    <row r="23537">
      <c r="A23537" s="4" t="str">
        <f>IFERROR(__xludf.DUMMYFUNCTION("""COMPUTED_VALUE"""),"cas_hmw")</f>
        <v>cas_hmw</v>
      </c>
      <c r="B23537" s="5">
        <f>IFERROR(__xludf.DUMMYFUNCTION("""COMPUTED_VALUE"""),44795.0)</f>
        <v>44795</v>
      </c>
      <c r="C23537" s="6">
        <f>IFERROR(__xludf.DUMMYFUNCTION("""COMPUTED_VALUE"""),0.7105439814804413)</f>
        <v>0.7105439815</v>
      </c>
      <c r="D23537" s="4">
        <f>IFERROR(__xludf.DUMMYFUNCTION("""COMPUTED_VALUE"""),12.985453)</f>
        <v>12.985453</v>
      </c>
      <c r="E23537" s="4">
        <f>IFERROR(__xludf.DUMMYFUNCTION("""COMPUTED_VALUE"""),80.173187)</f>
        <v>80.173187</v>
      </c>
      <c r="F23537" s="4">
        <f>IFERROR(__xludf.DUMMYFUNCTION("""COMPUTED_VALUE"""),5339.0)</f>
        <v>5339</v>
      </c>
      <c r="G23537" s="4">
        <f>IFERROR(__xludf.DUMMYFUNCTION("""COMPUTED_VALUE"""),17.0)</f>
        <v>17</v>
      </c>
      <c r="H23537" s="4"/>
      <c r="I23537" s="4"/>
    </row>
    <row r="23538">
      <c r="A23538" s="4" t="str">
        <f>IFERROR(__xludf.DUMMYFUNCTION("""COMPUTED_VALUE"""),"cas_hmw")</f>
        <v>cas_hmw</v>
      </c>
      <c r="B23538" s="5">
        <f>IFERROR(__xludf.DUMMYFUNCTION("""COMPUTED_VALUE"""),44795.0)</f>
        <v>44795</v>
      </c>
      <c r="C23538" s="6">
        <f>IFERROR(__xludf.DUMMYFUNCTION("""COMPUTED_VALUE"""),0.7111689814810234)</f>
        <v>0.7111689815</v>
      </c>
      <c r="D23538" s="4">
        <f>IFERROR(__xludf.DUMMYFUNCTION("""COMPUTED_VALUE"""),12.728657)</f>
        <v>12.728657</v>
      </c>
      <c r="E23538" s="4">
        <f>IFERROR(__xludf.DUMMYFUNCTION("""COMPUTED_VALUE"""),79.982823)</f>
        <v>79.982823</v>
      </c>
      <c r="F23538" s="4">
        <f>IFERROR(__xludf.DUMMYFUNCTION("""COMPUTED_VALUE"""),2846.0)</f>
        <v>2846</v>
      </c>
      <c r="G23538" s="4">
        <f>IFERROR(__xludf.DUMMYFUNCTION("""COMPUTED_VALUE"""),61.0)</f>
        <v>61</v>
      </c>
      <c r="H23538" s="4"/>
      <c r="I23538" s="4"/>
    </row>
    <row r="23539">
      <c r="A23539" s="4" t="str">
        <f>IFERROR(__xludf.DUMMYFUNCTION("""COMPUTED_VALUE"""),"cas_hmw")</f>
        <v>cas_hmw</v>
      </c>
      <c r="B23539" s="5">
        <f>IFERROR(__xludf.DUMMYFUNCTION("""COMPUTED_VALUE"""),44795.0)</f>
        <v>44795</v>
      </c>
      <c r="C23539" s="6">
        <f>IFERROR(__xludf.DUMMYFUNCTION("""COMPUTED_VALUE"""),0.7125925925938645)</f>
        <v>0.7125925926</v>
      </c>
      <c r="D23539" s="4">
        <f>IFERROR(__xludf.DUMMYFUNCTION("""COMPUTED_VALUE"""),12.989585)</f>
        <v>12.989585</v>
      </c>
      <c r="E23539" s="4">
        <f>IFERROR(__xludf.DUMMYFUNCTION("""COMPUTED_VALUE"""),80.178896)</f>
        <v>80.178896</v>
      </c>
      <c r="F23539" s="4">
        <f>IFERROR(__xludf.DUMMYFUNCTION("""COMPUTED_VALUE"""),5339.0)</f>
        <v>5339</v>
      </c>
      <c r="G23539" s="4">
        <f>IFERROR(__xludf.DUMMYFUNCTION("""COMPUTED_VALUE"""),24.0)</f>
        <v>24</v>
      </c>
      <c r="H23539" s="4"/>
      <c r="I23539" s="4"/>
    </row>
    <row r="23540">
      <c r="A23540" s="4" t="str">
        <f>IFERROR(__xludf.DUMMYFUNCTION("""COMPUTED_VALUE"""),"cas_hmw")</f>
        <v>cas_hmw</v>
      </c>
      <c r="B23540" s="5">
        <f>IFERROR(__xludf.DUMMYFUNCTION("""COMPUTED_VALUE"""),44795.0)</f>
        <v>44795</v>
      </c>
      <c r="C23540" s="6">
        <f>IFERROR(__xludf.DUMMYFUNCTION("""COMPUTED_VALUE"""),0.7127199074056989)</f>
        <v>0.7127199074</v>
      </c>
      <c r="D23540" s="4">
        <f>IFERROR(__xludf.DUMMYFUNCTION("""COMPUTED_VALUE"""),12.990491)</f>
        <v>12.990491</v>
      </c>
      <c r="E23540" s="4">
        <f>IFERROR(__xludf.DUMMYFUNCTION("""COMPUTED_VALUE"""),80.180091)</f>
        <v>80.180091</v>
      </c>
      <c r="F23540" s="4">
        <f>IFERROR(__xludf.DUMMYFUNCTION("""COMPUTED_VALUE"""),5339.0)</f>
        <v>5339</v>
      </c>
      <c r="G23540" s="4">
        <f>IFERROR(__xludf.DUMMYFUNCTION("""COMPUTED_VALUE"""),41.0)</f>
        <v>41</v>
      </c>
      <c r="H23540" s="4"/>
      <c r="I23540" s="4"/>
    </row>
    <row r="23541">
      <c r="A23541" s="4" t="str">
        <f>IFERROR(__xludf.DUMMYFUNCTION("""COMPUTED_VALUE"""),"cas_hmw")</f>
        <v>cas_hmw</v>
      </c>
      <c r="B23541" s="5">
        <f>IFERROR(__xludf.DUMMYFUNCTION("""COMPUTED_VALUE"""),44795.0)</f>
        <v>44795</v>
      </c>
      <c r="C23541" s="6">
        <f>IFERROR(__xludf.DUMMYFUNCTION("""COMPUTED_VALUE"""),0.7130671296290529)</f>
        <v>0.7130671296</v>
      </c>
      <c r="D23541" s="4">
        <f>IFERROR(__xludf.DUMMYFUNCTION("""COMPUTED_VALUE"""),12.918952)</f>
        <v>12.918952</v>
      </c>
      <c r="E23541" s="4">
        <f>IFERROR(__xludf.DUMMYFUNCTION("""COMPUTED_VALUE"""),80.178913)</f>
        <v>80.178913</v>
      </c>
      <c r="F23541" s="4">
        <f>IFERROR(__xludf.DUMMYFUNCTION("""COMPUTED_VALUE"""),3143.0)</f>
        <v>3143</v>
      </c>
      <c r="G23541" s="4">
        <f>IFERROR(__xludf.DUMMYFUNCTION("""COMPUTED_VALUE"""),29.0)</f>
        <v>29</v>
      </c>
      <c r="H23541" s="4"/>
      <c r="I23541" s="4"/>
    </row>
    <row r="23542">
      <c r="A23542" s="4" t="str">
        <f>IFERROR(__xludf.DUMMYFUNCTION("""COMPUTED_VALUE"""),"cas_hmw")</f>
        <v>cas_hmw</v>
      </c>
      <c r="B23542" s="5">
        <f>IFERROR(__xludf.DUMMYFUNCTION("""COMPUTED_VALUE"""),44795.0)</f>
        <v>44795</v>
      </c>
      <c r="C23542" s="6">
        <f>IFERROR(__xludf.DUMMYFUNCTION("""COMPUTED_VALUE"""),0.713761574075761)</f>
        <v>0.7137615741</v>
      </c>
      <c r="D23542" s="4">
        <f>IFERROR(__xludf.DUMMYFUNCTION("""COMPUTED_VALUE"""),12.71173)</f>
        <v>12.71173</v>
      </c>
      <c r="E23542" s="4">
        <f>IFERROR(__xludf.DUMMYFUNCTION("""COMPUTED_VALUE"""),79.979125)</f>
        <v>79.979125</v>
      </c>
      <c r="F23542" s="4">
        <f>IFERROR(__xludf.DUMMYFUNCTION("""COMPUTED_VALUE"""),2846.0)</f>
        <v>2846</v>
      </c>
      <c r="G23542" s="4">
        <f>IFERROR(__xludf.DUMMYFUNCTION("""COMPUTED_VALUE"""),49.0)</f>
        <v>49</v>
      </c>
      <c r="H23542" s="4"/>
      <c r="I23542" s="4"/>
    </row>
    <row r="23543">
      <c r="A23543" s="4" t="str">
        <f>IFERROR(__xludf.DUMMYFUNCTION("""COMPUTED_VALUE"""),"cas_hmw")</f>
        <v>cas_hmw</v>
      </c>
      <c r="B23543" s="5">
        <f>IFERROR(__xludf.DUMMYFUNCTION("""COMPUTED_VALUE"""),44795.0)</f>
        <v>44795</v>
      </c>
      <c r="C23543" s="6">
        <f>IFERROR(__xludf.DUMMYFUNCTION("""COMPUTED_VALUE"""),0.7139120370375167)</f>
        <v>0.713912037</v>
      </c>
      <c r="D23543" s="4">
        <f>IFERROR(__xludf.DUMMYFUNCTION("""COMPUTED_VALUE"""),12.71173)</f>
        <v>12.71173</v>
      </c>
      <c r="E23543" s="4">
        <f>IFERROR(__xludf.DUMMYFUNCTION("""COMPUTED_VALUE"""),79.979125)</f>
        <v>79.979125</v>
      </c>
      <c r="F23543" s="4">
        <f>IFERROR(__xludf.DUMMYFUNCTION("""COMPUTED_VALUE"""),2846.0)</f>
        <v>2846</v>
      </c>
      <c r="G23543" s="4">
        <f>IFERROR(__xludf.DUMMYFUNCTION("""COMPUTED_VALUE"""),49.0)</f>
        <v>49</v>
      </c>
      <c r="H23543" s="4"/>
      <c r="I23543" s="4"/>
    </row>
    <row r="23544">
      <c r="A23544" s="4" t="str">
        <f>IFERROR(__xludf.DUMMYFUNCTION("""COMPUTED_VALUE"""),"cas_hmw")</f>
        <v>cas_hmw</v>
      </c>
      <c r="B23544" s="5">
        <f>IFERROR(__xludf.DUMMYFUNCTION("""COMPUTED_VALUE"""),44795.0)</f>
        <v>44795</v>
      </c>
      <c r="C23544" s="6">
        <f>IFERROR(__xludf.DUMMYFUNCTION("""COMPUTED_VALUE"""),0.7139236111106584)</f>
        <v>0.7139236111</v>
      </c>
      <c r="D23544" s="4">
        <f>IFERROR(__xludf.DUMMYFUNCTION("""COMPUTED_VALUE"""),12.994553)</f>
        <v>12.994553</v>
      </c>
      <c r="E23544" s="4">
        <f>IFERROR(__xludf.DUMMYFUNCTION("""COMPUTED_VALUE"""),80.186488)</f>
        <v>80.186488</v>
      </c>
      <c r="F23544" s="4">
        <f>IFERROR(__xludf.DUMMYFUNCTION("""COMPUTED_VALUE"""),5339.0)</f>
        <v>5339</v>
      </c>
      <c r="G23544" s="4">
        <f>IFERROR(__xludf.DUMMYFUNCTION("""COMPUTED_VALUE"""),42.0)</f>
        <v>42</v>
      </c>
      <c r="H23544" s="4"/>
      <c r="I23544" s="4"/>
    </row>
    <row r="23545">
      <c r="A23545" s="4" t="str">
        <f>IFERROR(__xludf.DUMMYFUNCTION("""COMPUTED_VALUE"""),"cas_hmw")</f>
        <v>cas_hmw</v>
      </c>
      <c r="B23545" s="5">
        <f>IFERROR(__xludf.DUMMYFUNCTION("""COMPUTED_VALUE"""),44795.0)</f>
        <v>44795</v>
      </c>
      <c r="C23545" s="6">
        <f>IFERROR(__xludf.DUMMYFUNCTION("""COMPUTED_VALUE"""),0.7144328703689098)</f>
        <v>0.7144328704</v>
      </c>
      <c r="D23545" s="4">
        <f>IFERROR(__xludf.DUMMYFUNCTION("""COMPUTED_VALUE"""),12.996636)</f>
        <v>12.996636</v>
      </c>
      <c r="E23545" s="4">
        <f>IFERROR(__xludf.DUMMYFUNCTION("""COMPUTED_VALUE"""),80.189864)</f>
        <v>80.189864</v>
      </c>
      <c r="F23545" s="4">
        <f>IFERROR(__xludf.DUMMYFUNCTION("""COMPUTED_VALUE"""),5339.0)</f>
        <v>5339</v>
      </c>
      <c r="G23545" s="4">
        <f>IFERROR(__xludf.DUMMYFUNCTION("""COMPUTED_VALUE"""),37.0)</f>
        <v>37</v>
      </c>
      <c r="H23545" s="4"/>
      <c r="I23545" s="4"/>
    </row>
    <row r="23546">
      <c r="A23546" s="4" t="str">
        <f>IFERROR(__xludf.DUMMYFUNCTION("""COMPUTED_VALUE"""),"cas_hmw")</f>
        <v>cas_hmw</v>
      </c>
      <c r="B23546" s="5">
        <f>IFERROR(__xludf.DUMMYFUNCTION("""COMPUTED_VALUE"""),44795.0)</f>
        <v>44795</v>
      </c>
      <c r="C23546" s="6">
        <f>IFERROR(__xludf.DUMMYFUNCTION("""COMPUTED_VALUE"""),0.7152777777773736)</f>
        <v>0.7152777778</v>
      </c>
      <c r="D23546" s="4">
        <f>IFERROR(__xludf.DUMMYFUNCTION("""COMPUTED_VALUE"""),12.998931)</f>
        <v>12.998931</v>
      </c>
      <c r="E23546" s="4">
        <f>IFERROR(__xludf.DUMMYFUNCTION("""COMPUTED_VALUE"""),80.192689)</f>
        <v>80.192689</v>
      </c>
      <c r="F23546" s="4">
        <f>IFERROR(__xludf.DUMMYFUNCTION("""COMPUTED_VALUE"""),5339.0)</f>
        <v>5339</v>
      </c>
      <c r="G23546" s="4">
        <f>IFERROR(__xludf.DUMMYFUNCTION("""COMPUTED_VALUE"""),11.0)</f>
        <v>11</v>
      </c>
      <c r="H23546" s="4"/>
      <c r="I23546" s="4"/>
    </row>
    <row r="23547">
      <c r="A23547" s="4" t="str">
        <f>IFERROR(__xludf.DUMMYFUNCTION("""COMPUTED_VALUE"""),"cas_hmw")</f>
        <v>cas_hmw</v>
      </c>
      <c r="B23547" s="5">
        <f>IFERROR(__xludf.DUMMYFUNCTION("""COMPUTED_VALUE"""),44795.0)</f>
        <v>44795</v>
      </c>
      <c r="C23547" s="6">
        <f>IFERROR(__xludf.DUMMYFUNCTION("""COMPUTED_VALUE"""),0.7152777777773736)</f>
        <v>0.7152777778</v>
      </c>
      <c r="D23547" s="4">
        <f>IFERROR(__xludf.DUMMYFUNCTION("""COMPUTED_VALUE"""),12.998931)</f>
        <v>12.998931</v>
      </c>
      <c r="E23547" s="4">
        <f>IFERROR(__xludf.DUMMYFUNCTION("""COMPUTED_VALUE"""),80.192689)</f>
        <v>80.192689</v>
      </c>
      <c r="F23547" s="4">
        <f>IFERROR(__xludf.DUMMYFUNCTION("""COMPUTED_VALUE"""),5339.0)</f>
        <v>5339</v>
      </c>
      <c r="G23547" s="4">
        <f>IFERROR(__xludf.DUMMYFUNCTION("""COMPUTED_VALUE"""),11.0)</f>
        <v>11</v>
      </c>
      <c r="H23547" s="4"/>
      <c r="I23547" s="4"/>
    </row>
    <row r="23548">
      <c r="A23548" s="4" t="str">
        <f>IFERROR(__xludf.DUMMYFUNCTION("""COMPUTED_VALUE"""),"cas_hmw")</f>
        <v>cas_hmw</v>
      </c>
      <c r="B23548" s="5">
        <f>IFERROR(__xludf.DUMMYFUNCTION("""COMPUTED_VALUE"""),44795.0)</f>
        <v>44795</v>
      </c>
      <c r="C23548" s="6">
        <f>IFERROR(__xludf.DUMMYFUNCTION("""COMPUTED_VALUE"""),0.7157175925931369)</f>
        <v>0.7157175926</v>
      </c>
      <c r="D23548" s="4">
        <f>IFERROR(__xludf.DUMMYFUNCTION("""COMPUTED_VALUE"""),12.699376)</f>
        <v>12.699376</v>
      </c>
      <c r="E23548" s="4">
        <f>IFERROR(__xludf.DUMMYFUNCTION("""COMPUTED_VALUE"""),79.969286)</f>
        <v>79.969286</v>
      </c>
      <c r="F23548" s="4">
        <f>IFERROR(__xludf.DUMMYFUNCTION("""COMPUTED_VALUE"""),2846.0)</f>
        <v>2846</v>
      </c>
      <c r="G23548" s="4">
        <f>IFERROR(__xludf.DUMMYFUNCTION("""COMPUTED_VALUE"""),28.0)</f>
        <v>28</v>
      </c>
      <c r="H23548" s="4"/>
      <c r="I23548" s="4"/>
    </row>
    <row r="23549">
      <c r="A23549" s="4" t="str">
        <f>IFERROR(__xludf.DUMMYFUNCTION("""COMPUTED_VALUE"""),"cas_hmw")</f>
        <v>cas_hmw</v>
      </c>
      <c r="B23549" s="5">
        <f>IFERROR(__xludf.DUMMYFUNCTION("""COMPUTED_VALUE"""),44795.0)</f>
        <v>44795</v>
      </c>
      <c r="C23549" s="6">
        <f>IFERROR(__xludf.DUMMYFUNCTION("""COMPUTED_VALUE"""),0.7158796296280343)</f>
        <v>0.7158796296</v>
      </c>
      <c r="D23549" s="4">
        <f>IFERROR(__xludf.DUMMYFUNCTION("""COMPUTED_VALUE"""),12.697705)</f>
        <v>12.697705</v>
      </c>
      <c r="E23549" s="4">
        <f>IFERROR(__xludf.DUMMYFUNCTION("""COMPUTED_VALUE"""),79.971432)</f>
        <v>79.971432</v>
      </c>
      <c r="F23549" s="4">
        <f>IFERROR(__xludf.DUMMYFUNCTION("""COMPUTED_VALUE"""),2846.0)</f>
        <v>2846</v>
      </c>
      <c r="G23549" s="4">
        <f>IFERROR(__xludf.DUMMYFUNCTION("""COMPUTED_VALUE"""),25.0)</f>
        <v>25</v>
      </c>
      <c r="H23549" s="4"/>
      <c r="I23549" s="4"/>
    </row>
    <row r="23550">
      <c r="A23550" s="4" t="str">
        <f>IFERROR(__xludf.DUMMYFUNCTION("""COMPUTED_VALUE"""),"cas_hmw")</f>
        <v>cas_hmw</v>
      </c>
      <c r="B23550" s="5">
        <f>IFERROR(__xludf.DUMMYFUNCTION("""COMPUTED_VALUE"""),44795.0)</f>
        <v>44795</v>
      </c>
      <c r="C23550" s="6">
        <f>IFERROR(__xludf.DUMMYFUNCTION("""COMPUTED_VALUE"""),0.7164236111093487)</f>
        <v>0.7164236111</v>
      </c>
      <c r="D23550" s="4">
        <f>IFERROR(__xludf.DUMMYFUNCTION("""COMPUTED_VALUE"""),12.697705)</f>
        <v>12.697705</v>
      </c>
      <c r="E23550" s="4">
        <f>IFERROR(__xludf.DUMMYFUNCTION("""COMPUTED_VALUE"""),79.971432)</f>
        <v>79.971432</v>
      </c>
      <c r="F23550" s="4">
        <f>IFERROR(__xludf.DUMMYFUNCTION("""COMPUTED_VALUE"""),2846.0)</f>
        <v>2846</v>
      </c>
      <c r="G23550" s="4">
        <f>IFERROR(__xludf.DUMMYFUNCTION("""COMPUTED_VALUE"""),25.0)</f>
        <v>25</v>
      </c>
      <c r="H23550" s="4"/>
      <c r="I23550" s="4"/>
    </row>
    <row r="23551">
      <c r="A23551" s="4" t="str">
        <f>IFERROR(__xludf.DUMMYFUNCTION("""COMPUTED_VALUE"""),"cas_hmw")</f>
        <v>cas_hmw</v>
      </c>
      <c r="B23551" s="5">
        <f>IFERROR(__xludf.DUMMYFUNCTION("""COMPUTED_VALUE"""),44795.0)</f>
        <v>44795</v>
      </c>
      <c r="C23551" s="6">
        <f>IFERROR(__xludf.DUMMYFUNCTION("""COMPUTED_VALUE"""),0.7166319444440887)</f>
        <v>0.7166319444</v>
      </c>
      <c r="D23551" s="4">
        <f>IFERROR(__xludf.DUMMYFUNCTION("""COMPUTED_VALUE"""),12.697297)</f>
        <v>12.697297</v>
      </c>
      <c r="E23551" s="4">
        <f>IFERROR(__xludf.DUMMYFUNCTION("""COMPUTED_VALUE"""),79.973594)</f>
        <v>79.973594</v>
      </c>
      <c r="F23551" s="4">
        <f>IFERROR(__xludf.DUMMYFUNCTION("""COMPUTED_VALUE"""),2846.0)</f>
        <v>2846</v>
      </c>
      <c r="G23551" s="4">
        <f>IFERROR(__xludf.DUMMYFUNCTION("""COMPUTED_VALUE"""),33.0)</f>
        <v>33</v>
      </c>
      <c r="H23551" s="4"/>
      <c r="I23551" s="4"/>
    </row>
    <row r="23552">
      <c r="A23552" s="4" t="str">
        <f>IFERROR(__xludf.DUMMYFUNCTION("""COMPUTED_VALUE"""),"cas_hmw")</f>
        <v>cas_hmw</v>
      </c>
      <c r="B23552" s="5">
        <f>IFERROR(__xludf.DUMMYFUNCTION("""COMPUTED_VALUE"""),44795.0)</f>
        <v>44795</v>
      </c>
      <c r="C23552" s="6">
        <f>IFERROR(__xludf.DUMMYFUNCTION("""COMPUTED_VALUE"""),0.7174189814832062)</f>
        <v>0.7174189815</v>
      </c>
      <c r="D23552" s="4">
        <f>IFERROR(__xludf.DUMMYFUNCTION("""COMPUTED_VALUE"""),12.696928)</f>
        <v>12.696928</v>
      </c>
      <c r="E23552" s="4">
        <f>IFERROR(__xludf.DUMMYFUNCTION("""COMPUTED_VALUE"""),79.976824)</f>
        <v>79.976824</v>
      </c>
      <c r="F23552" s="4">
        <f>IFERROR(__xludf.DUMMYFUNCTION("""COMPUTED_VALUE"""),2846.0)</f>
        <v>2846</v>
      </c>
      <c r="G23552" s="4">
        <f>IFERROR(__xludf.DUMMYFUNCTION("""COMPUTED_VALUE"""),27.0)</f>
        <v>27</v>
      </c>
      <c r="H23552" s="4"/>
      <c r="I23552" s="4"/>
    </row>
    <row r="23553">
      <c r="A23553" s="4" t="str">
        <f>IFERROR(__xludf.DUMMYFUNCTION("""COMPUTED_VALUE"""),"cas_hmw")</f>
        <v>cas_hmw</v>
      </c>
      <c r="B23553" s="5">
        <f>IFERROR(__xludf.DUMMYFUNCTION("""COMPUTED_VALUE"""),44795.0)</f>
        <v>44795</v>
      </c>
      <c r="C23553" s="6">
        <f>IFERROR(__xludf.DUMMYFUNCTION("""COMPUTED_VALUE"""),0.7174999999988358)</f>
        <v>0.7175</v>
      </c>
      <c r="D23553" s="4">
        <f>IFERROR(__xludf.DUMMYFUNCTION("""COMPUTED_VALUE"""),13.006897)</f>
        <v>13.006897</v>
      </c>
      <c r="E23553" s="4">
        <f>IFERROR(__xludf.DUMMYFUNCTION("""COMPUTED_VALUE"""),80.203434)</f>
        <v>80.203434</v>
      </c>
      <c r="F23553" s="4">
        <f>IFERROR(__xludf.DUMMYFUNCTION("""COMPUTED_VALUE"""),5339.0)</f>
        <v>5339</v>
      </c>
      <c r="G23553" s="4">
        <f>IFERROR(__xludf.DUMMYFUNCTION("""COMPUTED_VALUE"""),48.0)</f>
        <v>48</v>
      </c>
      <c r="H23553" s="4"/>
      <c r="I23553" s="4"/>
    </row>
    <row r="23554">
      <c r="A23554" s="4" t="str">
        <f>IFERROR(__xludf.DUMMYFUNCTION("""COMPUTED_VALUE"""),"cas_hmw")</f>
        <v>cas_hmw</v>
      </c>
      <c r="B23554" s="5">
        <f>IFERROR(__xludf.DUMMYFUNCTION("""COMPUTED_VALUE"""),44795.0)</f>
        <v>44795</v>
      </c>
      <c r="C23554" s="6">
        <f>IFERROR(__xludf.DUMMYFUNCTION("""COMPUTED_VALUE"""),0.7181828703687643)</f>
        <v>0.7181828704</v>
      </c>
      <c r="D23554" s="4">
        <f>IFERROR(__xludf.DUMMYFUNCTION("""COMPUTED_VALUE"""),12.692487)</f>
        <v>12.692487</v>
      </c>
      <c r="E23554" s="4">
        <f>IFERROR(__xludf.DUMMYFUNCTION("""COMPUTED_VALUE"""),79.979865)</f>
        <v>79.979865</v>
      </c>
      <c r="F23554" s="4">
        <f>IFERROR(__xludf.DUMMYFUNCTION("""COMPUTED_VALUE"""),2846.0)</f>
        <v>2846</v>
      </c>
      <c r="G23554" s="4">
        <f>IFERROR(__xludf.DUMMYFUNCTION("""COMPUTED_VALUE"""),39.0)</f>
        <v>39</v>
      </c>
      <c r="H23554" s="4"/>
      <c r="I23554" s="4"/>
    </row>
    <row r="23555">
      <c r="A23555" s="4" t="str">
        <f>IFERROR(__xludf.DUMMYFUNCTION("""COMPUTED_VALUE"""),"cas_hmw")</f>
        <v>cas_hmw</v>
      </c>
      <c r="B23555" s="5">
        <f>IFERROR(__xludf.DUMMYFUNCTION("""COMPUTED_VALUE"""),44795.0)</f>
        <v>44795</v>
      </c>
      <c r="C23555" s="6">
        <f>IFERROR(__xludf.DUMMYFUNCTION("""COMPUTED_VALUE"""),0.7185532407420396)</f>
        <v>0.7185532407</v>
      </c>
      <c r="D23555" s="4">
        <f>IFERROR(__xludf.DUMMYFUNCTION("""COMPUTED_VALUE"""),13.008249)</f>
        <v>13.008249</v>
      </c>
      <c r="E23555" s="4">
        <f>IFERROR(__xludf.DUMMYFUNCTION("""COMPUTED_VALUE"""),80.209615)</f>
        <v>80.209615</v>
      </c>
      <c r="F23555" s="4">
        <f>IFERROR(__xludf.DUMMYFUNCTION("""COMPUTED_VALUE"""),5339.0)</f>
        <v>5339</v>
      </c>
      <c r="G23555" s="4">
        <f>IFERROR(__xludf.DUMMYFUNCTION("""COMPUTED_VALUE"""),40.0)</f>
        <v>40</v>
      </c>
      <c r="H23555" s="4"/>
      <c r="I23555" s="4"/>
    </row>
    <row r="23556">
      <c r="A23556" s="4" t="str">
        <f>IFERROR(__xludf.DUMMYFUNCTION("""COMPUTED_VALUE"""),"cas_hmw")</f>
        <v>cas_hmw</v>
      </c>
      <c r="B23556" s="5">
        <f>IFERROR(__xludf.DUMMYFUNCTION("""COMPUTED_VALUE"""),44795.0)</f>
        <v>44795</v>
      </c>
      <c r="C23556" s="6">
        <f>IFERROR(__xludf.DUMMYFUNCTION("""COMPUTED_VALUE"""),0.7186921296306537)</f>
        <v>0.7186921296</v>
      </c>
      <c r="D23556" s="4">
        <f>IFERROR(__xludf.DUMMYFUNCTION("""COMPUTED_VALUE"""),13.008821)</f>
        <v>13.008821</v>
      </c>
      <c r="E23556" s="4">
        <f>IFERROR(__xludf.DUMMYFUNCTION("""COMPUTED_VALUE"""),80.211249)</f>
        <v>80.211249</v>
      </c>
      <c r="F23556" s="4">
        <f>IFERROR(__xludf.DUMMYFUNCTION("""COMPUTED_VALUE"""),5339.0)</f>
        <v>5339</v>
      </c>
      <c r="G23556" s="4">
        <f>IFERROR(__xludf.DUMMYFUNCTION("""COMPUTED_VALUE"""),23.0)</f>
        <v>23</v>
      </c>
      <c r="H23556" s="4"/>
      <c r="I23556" s="4"/>
    </row>
    <row r="23557">
      <c r="A23557" s="4" t="str">
        <f>IFERROR(__xludf.DUMMYFUNCTION("""COMPUTED_VALUE"""),"cas_hmw")</f>
        <v>cas_hmw</v>
      </c>
      <c r="B23557" s="5">
        <f>IFERROR(__xludf.DUMMYFUNCTION("""COMPUTED_VALUE"""),44795.0)</f>
        <v>44795</v>
      </c>
      <c r="C23557" s="6">
        <f>IFERROR(__xludf.DUMMYFUNCTION("""COMPUTED_VALUE"""),0.7187037037037953)</f>
        <v>0.7187037037</v>
      </c>
      <c r="D23557" s="4">
        <f>IFERROR(__xludf.DUMMYFUNCTION("""COMPUTED_VALUE"""),13.008821)</f>
        <v>13.008821</v>
      </c>
      <c r="E23557" s="4">
        <f>IFERROR(__xludf.DUMMYFUNCTION("""COMPUTED_VALUE"""),80.211249)</f>
        <v>80.211249</v>
      </c>
      <c r="F23557" s="4">
        <f>IFERROR(__xludf.DUMMYFUNCTION("""COMPUTED_VALUE"""),5339.0)</f>
        <v>5339</v>
      </c>
      <c r="G23557" s="4">
        <f>IFERROR(__xludf.DUMMYFUNCTION("""COMPUTED_VALUE"""),23.0)</f>
        <v>23</v>
      </c>
      <c r="H23557" s="4"/>
      <c r="I23557" s="4"/>
    </row>
    <row r="23558">
      <c r="A23558" s="4" t="str">
        <f>IFERROR(__xludf.DUMMYFUNCTION("""COMPUTED_VALUE"""),"cas_hmw")</f>
        <v>cas_hmw</v>
      </c>
      <c r="B23558" s="5">
        <f>IFERROR(__xludf.DUMMYFUNCTION("""COMPUTED_VALUE"""),44795.0)</f>
        <v>44795</v>
      </c>
      <c r="C23558" s="6">
        <f>IFERROR(__xludf.DUMMYFUNCTION("""COMPUTED_VALUE"""),0.7188657407423307)</f>
        <v>0.7188657407</v>
      </c>
      <c r="D23558" s="4">
        <f>IFERROR(__xludf.DUMMYFUNCTION("""COMPUTED_VALUE"""),13.009093)</f>
        <v>13.009093</v>
      </c>
      <c r="E23558" s="4">
        <f>IFERROR(__xludf.DUMMYFUNCTION("""COMPUTED_VALUE"""),80.211992)</f>
        <v>80.211992</v>
      </c>
      <c r="F23558" s="4">
        <f>IFERROR(__xludf.DUMMYFUNCTION("""COMPUTED_VALUE"""),5339.0)</f>
        <v>5339</v>
      </c>
      <c r="G23558" s="4">
        <f>IFERROR(__xludf.DUMMYFUNCTION("""COMPUTED_VALUE"""),37.0)</f>
        <v>37</v>
      </c>
      <c r="H23558" s="4"/>
      <c r="I23558" s="4"/>
    </row>
    <row r="23559">
      <c r="A23559" s="4" t="str">
        <f>IFERROR(__xludf.DUMMYFUNCTION("""COMPUTED_VALUE"""),"cas_hmw")</f>
        <v>cas_hmw</v>
      </c>
      <c r="B23559" s="5">
        <f>IFERROR(__xludf.DUMMYFUNCTION("""COMPUTED_VALUE"""),44795.0)</f>
        <v>44795</v>
      </c>
      <c r="C23559" s="6">
        <f>IFERROR(__xludf.DUMMYFUNCTION("""COMPUTED_VALUE"""),0.719062500000291)</f>
        <v>0.7190625</v>
      </c>
      <c r="D23559" s="4">
        <f>IFERROR(__xludf.DUMMYFUNCTION("""COMPUTED_VALUE"""),12.689876)</f>
        <v>12.689876</v>
      </c>
      <c r="E23559" s="4">
        <f>IFERROR(__xludf.DUMMYFUNCTION("""COMPUTED_VALUE"""),79.982184)</f>
        <v>79.982184</v>
      </c>
      <c r="F23559" s="4">
        <f>IFERROR(__xludf.DUMMYFUNCTION("""COMPUTED_VALUE"""),2846.0)</f>
        <v>2846</v>
      </c>
      <c r="G23559" s="4">
        <f>IFERROR(__xludf.DUMMYFUNCTION("""COMPUTED_VALUE"""),25.0)</f>
        <v>25</v>
      </c>
      <c r="H23559" s="4"/>
      <c r="I23559" s="4"/>
    </row>
    <row r="23560">
      <c r="A23560" s="4" t="str">
        <f>IFERROR(__xludf.DUMMYFUNCTION("""COMPUTED_VALUE"""),"cas_hmw")</f>
        <v>cas_hmw</v>
      </c>
      <c r="B23560" s="5">
        <f>IFERROR(__xludf.DUMMYFUNCTION("""COMPUTED_VALUE"""),44795.0)</f>
        <v>44795</v>
      </c>
      <c r="C23560" s="6">
        <f>IFERROR(__xludf.DUMMYFUNCTION("""COMPUTED_VALUE"""),0.719097222223354)</f>
        <v>0.7190972222</v>
      </c>
      <c r="D23560" s="4">
        <f>IFERROR(__xludf.DUMMYFUNCTION("""COMPUTED_VALUE"""),13.009834)</f>
        <v>13.009834</v>
      </c>
      <c r="E23560" s="4">
        <f>IFERROR(__xludf.DUMMYFUNCTION("""COMPUTED_VALUE"""),80.213914)</f>
        <v>80.213914</v>
      </c>
      <c r="F23560" s="4">
        <f>IFERROR(__xludf.DUMMYFUNCTION("""COMPUTED_VALUE"""),5339.0)</f>
        <v>5339</v>
      </c>
      <c r="G23560" s="4">
        <f>IFERROR(__xludf.DUMMYFUNCTION("""COMPUTED_VALUE"""),40.0)</f>
        <v>40</v>
      </c>
      <c r="H23560" s="4"/>
      <c r="I23560" s="4"/>
    </row>
    <row r="23561">
      <c r="A23561" s="4" t="str">
        <f>IFERROR(__xludf.DUMMYFUNCTION("""COMPUTED_VALUE"""),"cas_hmw")</f>
        <v>cas_hmw</v>
      </c>
      <c r="B23561" s="5">
        <f>IFERROR(__xludf.DUMMYFUNCTION("""COMPUTED_VALUE"""),44795.0)</f>
        <v>44795</v>
      </c>
      <c r="C23561" s="6">
        <f>IFERROR(__xludf.DUMMYFUNCTION("""COMPUTED_VALUE"""),0.7193634259274404)</f>
        <v>0.7193634259</v>
      </c>
      <c r="D23561" s="4">
        <f>IFERROR(__xludf.DUMMYFUNCTION("""COMPUTED_VALUE"""),13.010348)</f>
        <v>13.010348</v>
      </c>
      <c r="E23561" s="4">
        <f>IFERROR(__xludf.DUMMYFUNCTION("""COMPUTED_VALUE"""),80.215879)</f>
        <v>80.215879</v>
      </c>
      <c r="F23561" s="4">
        <f>IFERROR(__xludf.DUMMYFUNCTION("""COMPUTED_VALUE"""),5339.0)</f>
        <v>5339</v>
      </c>
      <c r="G23561" s="4">
        <f>IFERROR(__xludf.DUMMYFUNCTION("""COMPUTED_VALUE"""),44.0)</f>
        <v>44</v>
      </c>
      <c r="H23561" s="4"/>
      <c r="I23561" s="4"/>
    </row>
    <row r="23562">
      <c r="A23562" s="4" t="str">
        <f>IFERROR(__xludf.DUMMYFUNCTION("""COMPUTED_VALUE"""),"cas_hmw")</f>
        <v>cas_hmw</v>
      </c>
      <c r="B23562" s="5">
        <f>IFERROR(__xludf.DUMMYFUNCTION("""COMPUTED_VALUE"""),44795.0)</f>
        <v>44795</v>
      </c>
      <c r="C23562" s="6">
        <f>IFERROR(__xludf.DUMMYFUNCTION("""COMPUTED_VALUE"""),0.7196759259277314)</f>
        <v>0.7196759259</v>
      </c>
      <c r="D23562" s="4">
        <f>IFERROR(__xludf.DUMMYFUNCTION("""COMPUTED_VALUE"""),13.01159)</f>
        <v>13.01159</v>
      </c>
      <c r="E23562" s="4">
        <f>IFERROR(__xludf.DUMMYFUNCTION("""COMPUTED_VALUE"""),80.218894)</f>
        <v>80.218894</v>
      </c>
      <c r="F23562" s="4">
        <f>IFERROR(__xludf.DUMMYFUNCTION("""COMPUTED_VALUE"""),5339.0)</f>
        <v>5339</v>
      </c>
      <c r="G23562" s="4">
        <f>IFERROR(__xludf.DUMMYFUNCTION("""COMPUTED_VALUE"""),43.0)</f>
        <v>43</v>
      </c>
      <c r="H23562" s="4"/>
      <c r="I23562" s="4"/>
    </row>
    <row r="23563">
      <c r="A23563" s="4" t="str">
        <f>IFERROR(__xludf.DUMMYFUNCTION("""COMPUTED_VALUE"""),"cas_hmw")</f>
        <v>cas_hmw</v>
      </c>
      <c r="B23563" s="5">
        <f>IFERROR(__xludf.DUMMYFUNCTION("""COMPUTED_VALUE"""),44795.0)</f>
        <v>44795</v>
      </c>
      <c r="C23563" s="6">
        <f>IFERROR(__xludf.DUMMYFUNCTION("""COMPUTED_VALUE"""),0.7204050925938645)</f>
        <v>0.7204050926</v>
      </c>
      <c r="D23563" s="4">
        <f>IFERROR(__xludf.DUMMYFUNCTION("""COMPUTED_VALUE"""),13.012955)</f>
        <v>13.012955</v>
      </c>
      <c r="E23563" s="4">
        <f>IFERROR(__xludf.DUMMYFUNCTION("""COMPUTED_VALUE"""),80.222025)</f>
        <v>80.222025</v>
      </c>
      <c r="F23563" s="4">
        <f>IFERROR(__xludf.DUMMYFUNCTION("""COMPUTED_VALUE"""),5339.0)</f>
        <v>5339</v>
      </c>
      <c r="G23563" s="4">
        <f>IFERROR(__xludf.DUMMYFUNCTION("""COMPUTED_VALUE"""),34.0)</f>
        <v>34</v>
      </c>
      <c r="H23563" s="4"/>
      <c r="I23563" s="4"/>
    </row>
    <row r="23564">
      <c r="A23564" s="4" t="str">
        <f>IFERROR(__xludf.DUMMYFUNCTION("""COMPUTED_VALUE"""),"cas_hmw")</f>
        <v>cas_hmw</v>
      </c>
      <c r="B23564" s="5">
        <f>IFERROR(__xludf.DUMMYFUNCTION("""COMPUTED_VALUE"""),44795.0)</f>
        <v>44795</v>
      </c>
      <c r="C23564" s="6">
        <f>IFERROR(__xludf.DUMMYFUNCTION("""COMPUTED_VALUE"""),0.7204050925938645)</f>
        <v>0.7204050926</v>
      </c>
      <c r="D23564" s="4">
        <f>IFERROR(__xludf.DUMMYFUNCTION("""COMPUTED_VALUE"""),13.012955)</f>
        <v>13.012955</v>
      </c>
      <c r="E23564" s="4">
        <f>IFERROR(__xludf.DUMMYFUNCTION("""COMPUTED_VALUE"""),80.222025)</f>
        <v>80.222025</v>
      </c>
      <c r="F23564" s="4">
        <f>IFERROR(__xludf.DUMMYFUNCTION("""COMPUTED_VALUE"""),5339.0)</f>
        <v>5339</v>
      </c>
      <c r="G23564" s="4">
        <f>IFERROR(__xludf.DUMMYFUNCTION("""COMPUTED_VALUE"""),34.0)</f>
        <v>34</v>
      </c>
      <c r="H23564" s="4"/>
      <c r="I23564" s="4"/>
    </row>
    <row r="23565">
      <c r="A23565" s="4" t="str">
        <f>IFERROR(__xludf.DUMMYFUNCTION("""COMPUTED_VALUE"""),"cas_hmw")</f>
        <v>cas_hmw</v>
      </c>
      <c r="B23565" s="5">
        <f>IFERROR(__xludf.DUMMYFUNCTION("""COMPUTED_VALUE"""),44795.0)</f>
        <v>44795</v>
      </c>
      <c r="C23565" s="6">
        <f>IFERROR(__xludf.DUMMYFUNCTION("""COMPUTED_VALUE"""),0.7204282407401479)</f>
        <v>0.7204282407</v>
      </c>
      <c r="D23565" s="4">
        <f>IFERROR(__xludf.DUMMYFUNCTION("""COMPUTED_VALUE"""),13.013516)</f>
        <v>13.013516</v>
      </c>
      <c r="E23565" s="4">
        <f>IFERROR(__xludf.DUMMYFUNCTION("""COMPUTED_VALUE"""),80.222686)</f>
        <v>80.222686</v>
      </c>
      <c r="F23565" s="4">
        <f>IFERROR(__xludf.DUMMYFUNCTION("""COMPUTED_VALUE"""),5339.0)</f>
        <v>5339</v>
      </c>
      <c r="G23565" s="4">
        <f>IFERROR(__xludf.DUMMYFUNCTION("""COMPUTED_VALUE"""),28.0)</f>
        <v>28</v>
      </c>
      <c r="H23565" s="4"/>
      <c r="I23565" s="4"/>
    </row>
    <row r="23566">
      <c r="A23566" s="4" t="str">
        <f>IFERROR(__xludf.DUMMYFUNCTION("""COMPUTED_VALUE"""),"cas_hmw")</f>
        <v>cas_hmw</v>
      </c>
      <c r="B23566" s="5">
        <f>IFERROR(__xludf.DUMMYFUNCTION("""COMPUTED_VALUE"""),44795.0)</f>
        <v>44795</v>
      </c>
      <c r="C23566" s="6">
        <f>IFERROR(__xludf.DUMMYFUNCTION("""COMPUTED_VALUE"""),0.7206597222211713)</f>
        <v>0.7206597222</v>
      </c>
      <c r="D23566" s="4">
        <f>IFERROR(__xludf.DUMMYFUNCTION("""COMPUTED_VALUE"""),13.014024)</f>
        <v>13.014024</v>
      </c>
      <c r="E23566" s="4">
        <f>IFERROR(__xludf.DUMMYFUNCTION("""COMPUTED_VALUE"""),80.223306)</f>
        <v>80.223306</v>
      </c>
      <c r="F23566" s="4">
        <f>IFERROR(__xludf.DUMMYFUNCTION("""COMPUTED_VALUE"""),5339.0)</f>
        <v>5339</v>
      </c>
      <c r="G23566" s="4">
        <f>IFERROR(__xludf.DUMMYFUNCTION("""COMPUTED_VALUE"""),35.0)</f>
        <v>35</v>
      </c>
      <c r="H23566" s="4"/>
      <c r="I23566" s="4"/>
    </row>
    <row r="23567">
      <c r="A23567" s="4" t="str">
        <f>IFERROR(__xludf.DUMMYFUNCTION("""COMPUTED_VALUE"""),"cas_hmw")</f>
        <v>cas_hmw</v>
      </c>
      <c r="B23567" s="5">
        <f>IFERROR(__xludf.DUMMYFUNCTION("""COMPUTED_VALUE"""),44795.0)</f>
        <v>44795</v>
      </c>
      <c r="C23567" s="6">
        <f>IFERROR(__xludf.DUMMYFUNCTION("""COMPUTED_VALUE"""),0.7209722222214623)</f>
        <v>0.7209722222</v>
      </c>
      <c r="D23567" s="4">
        <f>IFERROR(__xludf.DUMMYFUNCTION("""COMPUTED_VALUE"""),13.015891)</f>
        <v>13.015891</v>
      </c>
      <c r="E23567" s="4">
        <f>IFERROR(__xludf.DUMMYFUNCTION("""COMPUTED_VALUE"""),80.225324)</f>
        <v>80.225324</v>
      </c>
      <c r="F23567" s="4">
        <f>IFERROR(__xludf.DUMMYFUNCTION("""COMPUTED_VALUE"""),5339.0)</f>
        <v>5339</v>
      </c>
      <c r="G23567" s="4">
        <f>IFERROR(__xludf.DUMMYFUNCTION("""COMPUTED_VALUE"""),37.0)</f>
        <v>37</v>
      </c>
      <c r="H23567" s="4"/>
      <c r="I23567" s="4"/>
    </row>
    <row r="23568">
      <c r="A23568" s="4" t="str">
        <f>IFERROR(__xludf.DUMMYFUNCTION("""COMPUTED_VALUE"""),"cas_hmw")</f>
        <v>cas_hmw</v>
      </c>
      <c r="B23568" s="5">
        <f>IFERROR(__xludf.DUMMYFUNCTION("""COMPUTED_VALUE"""),44795.0)</f>
        <v>44795</v>
      </c>
      <c r="C23568" s="6">
        <f>IFERROR(__xludf.DUMMYFUNCTION("""COMPUTED_VALUE"""),0.7209722222214623)</f>
        <v>0.7209722222</v>
      </c>
      <c r="D23568" s="4">
        <f>IFERROR(__xludf.DUMMYFUNCTION("""COMPUTED_VALUE"""),13.015891)</f>
        <v>13.015891</v>
      </c>
      <c r="E23568" s="4">
        <f>IFERROR(__xludf.DUMMYFUNCTION("""COMPUTED_VALUE"""),80.225324)</f>
        <v>80.225324</v>
      </c>
      <c r="F23568" s="4">
        <f>IFERROR(__xludf.DUMMYFUNCTION("""COMPUTED_VALUE"""),5339.0)</f>
        <v>5339</v>
      </c>
      <c r="G23568" s="4">
        <f>IFERROR(__xludf.DUMMYFUNCTION("""COMPUTED_VALUE"""),37.0)</f>
        <v>37</v>
      </c>
      <c r="H23568" s="4"/>
      <c r="I23568" s="4"/>
    </row>
    <row r="23569">
      <c r="A23569" s="4" t="str">
        <f>IFERROR(__xludf.DUMMYFUNCTION("""COMPUTED_VALUE"""),"cas_hmw")</f>
        <v>cas_hmw</v>
      </c>
      <c r="B23569" s="5">
        <f>IFERROR(__xludf.DUMMYFUNCTION("""COMPUTED_VALUE"""),44795.0)</f>
        <v>44795</v>
      </c>
      <c r="C23569" s="6">
        <f>IFERROR(__xludf.DUMMYFUNCTION("""COMPUTED_VALUE"""),0.720983796294604)</f>
        <v>0.7209837963</v>
      </c>
      <c r="D23569" s="4">
        <f>IFERROR(__xludf.DUMMYFUNCTION("""COMPUTED_VALUE"""),13.015891)</f>
        <v>13.015891</v>
      </c>
      <c r="E23569" s="4">
        <f>IFERROR(__xludf.DUMMYFUNCTION("""COMPUTED_VALUE"""),80.225324)</f>
        <v>80.225324</v>
      </c>
      <c r="F23569" s="4">
        <f>IFERROR(__xludf.DUMMYFUNCTION("""COMPUTED_VALUE"""),5339.0)</f>
        <v>5339</v>
      </c>
      <c r="G23569" s="4">
        <f>IFERROR(__xludf.DUMMYFUNCTION("""COMPUTED_VALUE"""),37.0)</f>
        <v>37</v>
      </c>
      <c r="H23569" s="4"/>
      <c r="I23569" s="4"/>
    </row>
    <row r="23570">
      <c r="A23570" s="4" t="str">
        <f>IFERROR(__xludf.DUMMYFUNCTION("""COMPUTED_VALUE"""),"cas_hmw")</f>
        <v>cas_hmw</v>
      </c>
      <c r="B23570" s="5">
        <f>IFERROR(__xludf.DUMMYFUNCTION("""COMPUTED_VALUE"""),44795.0)</f>
        <v>44795</v>
      </c>
      <c r="C23570" s="6">
        <f>IFERROR(__xludf.DUMMYFUNCTION("""COMPUTED_VALUE"""),0.7210416666675883)</f>
        <v>0.7210416667</v>
      </c>
      <c r="D23570" s="4">
        <f>IFERROR(__xludf.DUMMYFUNCTION("""COMPUTED_VALUE"""),13.016656)</f>
        <v>13.016656</v>
      </c>
      <c r="E23570" s="4">
        <f>IFERROR(__xludf.DUMMYFUNCTION("""COMPUTED_VALUE"""),80.225308)</f>
        <v>80.225308</v>
      </c>
      <c r="F23570" s="4">
        <f>IFERROR(__xludf.DUMMYFUNCTION("""COMPUTED_VALUE"""),5339.0)</f>
        <v>5339</v>
      </c>
      <c r="G23570" s="4">
        <f>IFERROR(__xludf.DUMMYFUNCTION("""COMPUTED_VALUE"""),28.0)</f>
        <v>28</v>
      </c>
      <c r="H23570" s="4"/>
      <c r="I23570" s="4"/>
    </row>
    <row r="23571">
      <c r="A23571" s="4" t="str">
        <f>IFERROR(__xludf.DUMMYFUNCTION("""COMPUTED_VALUE"""),"cas_hmw")</f>
        <v>cas_hmw</v>
      </c>
      <c r="B23571" s="5">
        <f>IFERROR(__xludf.DUMMYFUNCTION("""COMPUTED_VALUE"""),44795.0)</f>
        <v>44795</v>
      </c>
      <c r="C23571" s="6">
        <f>IFERROR(__xludf.DUMMYFUNCTION("""COMPUTED_VALUE"""),0.72105324074073)</f>
        <v>0.7210532407</v>
      </c>
      <c r="D23571" s="4">
        <f>IFERROR(__xludf.DUMMYFUNCTION("""COMPUTED_VALUE"""),13.016656)</f>
        <v>13.016656</v>
      </c>
      <c r="E23571" s="4">
        <f>IFERROR(__xludf.DUMMYFUNCTION("""COMPUTED_VALUE"""),80.225308)</f>
        <v>80.225308</v>
      </c>
      <c r="F23571" s="4">
        <f>IFERROR(__xludf.DUMMYFUNCTION("""COMPUTED_VALUE"""),5339.0)</f>
        <v>5339</v>
      </c>
      <c r="G23571" s="4">
        <f>IFERROR(__xludf.DUMMYFUNCTION("""COMPUTED_VALUE"""),28.0)</f>
        <v>28</v>
      </c>
      <c r="H23571" s="4"/>
      <c r="I23571" s="4"/>
    </row>
    <row r="23572">
      <c r="A23572" s="4" t="str">
        <f>IFERROR(__xludf.DUMMYFUNCTION("""COMPUTED_VALUE"""),"cas_hmw")</f>
        <v>cas_hmw</v>
      </c>
      <c r="B23572" s="5">
        <f>IFERROR(__xludf.DUMMYFUNCTION("""COMPUTED_VALUE"""),44795.0)</f>
        <v>44795</v>
      </c>
      <c r="C23572" s="6">
        <f>IFERROR(__xludf.DUMMYFUNCTION("""COMPUTED_VALUE"""),0.7220138888878864)</f>
        <v>0.7220138889</v>
      </c>
      <c r="D23572" s="4">
        <f>IFERROR(__xludf.DUMMYFUNCTION("""COMPUTED_VALUE"""),13.02051)</f>
        <v>13.02051</v>
      </c>
      <c r="E23572" s="4">
        <f>IFERROR(__xludf.DUMMYFUNCTION("""COMPUTED_VALUE"""),80.225103)</f>
        <v>80.225103</v>
      </c>
      <c r="F23572" s="4">
        <f>IFERROR(__xludf.DUMMYFUNCTION("""COMPUTED_VALUE"""),5339.0)</f>
        <v>5339</v>
      </c>
      <c r="G23572" s="4">
        <f>IFERROR(__xludf.DUMMYFUNCTION("""COMPUTED_VALUE"""),31.0)</f>
        <v>31</v>
      </c>
      <c r="H23572" s="4"/>
      <c r="I23572" s="4"/>
    </row>
    <row r="23573">
      <c r="A23573" s="4" t="str">
        <f>IFERROR(__xludf.DUMMYFUNCTION("""COMPUTED_VALUE"""),"cas_hmw")</f>
        <v>cas_hmw</v>
      </c>
      <c r="B23573" s="5">
        <f>IFERROR(__xludf.DUMMYFUNCTION("""COMPUTED_VALUE"""),44795.0)</f>
        <v>44795</v>
      </c>
      <c r="C23573" s="6">
        <f>IFERROR(__xludf.DUMMYFUNCTION("""COMPUTED_VALUE"""),0.7221064814802958)</f>
        <v>0.7221064815</v>
      </c>
      <c r="D23573" s="4">
        <f>IFERROR(__xludf.DUMMYFUNCTION("""COMPUTED_VALUE"""),13.021186)</f>
        <v>13.021186</v>
      </c>
      <c r="E23573" s="4">
        <f>IFERROR(__xludf.DUMMYFUNCTION("""COMPUTED_VALUE"""),80.22561)</f>
        <v>80.22561</v>
      </c>
      <c r="F23573" s="4">
        <f>IFERROR(__xludf.DUMMYFUNCTION("""COMPUTED_VALUE"""),5339.0)</f>
        <v>5339</v>
      </c>
      <c r="G23573" s="4">
        <f>IFERROR(__xludf.DUMMYFUNCTION("""COMPUTED_VALUE"""),32.0)</f>
        <v>32</v>
      </c>
      <c r="H23573" s="4"/>
      <c r="I23573" s="4"/>
    </row>
    <row r="23574">
      <c r="A23574" s="4" t="str">
        <f>IFERROR(__xludf.DUMMYFUNCTION("""COMPUTED_VALUE"""),"cas_hmw")</f>
        <v>cas_hmw</v>
      </c>
      <c r="B23574" s="5">
        <f>IFERROR(__xludf.DUMMYFUNCTION("""COMPUTED_VALUE"""),44795.0)</f>
        <v>44795</v>
      </c>
      <c r="C23574" s="6">
        <f>IFERROR(__xludf.DUMMYFUNCTION("""COMPUTED_VALUE"""),0.7224768518535711)</f>
        <v>0.7224768519</v>
      </c>
      <c r="D23574" s="4">
        <f>IFERROR(__xludf.DUMMYFUNCTION("""COMPUTED_VALUE"""),12.676456)</f>
        <v>12.676456</v>
      </c>
      <c r="E23574" s="4">
        <f>IFERROR(__xludf.DUMMYFUNCTION("""COMPUTED_VALUE"""),79.978571)</f>
        <v>79.978571</v>
      </c>
      <c r="F23574" s="4">
        <f>IFERROR(__xludf.DUMMYFUNCTION("""COMPUTED_VALUE"""),2846.0)</f>
        <v>2846</v>
      </c>
      <c r="G23574" s="4">
        <f>IFERROR(__xludf.DUMMYFUNCTION("""COMPUTED_VALUE"""),47.0)</f>
        <v>47</v>
      </c>
      <c r="H23574" s="4"/>
      <c r="I23574" s="4"/>
    </row>
    <row r="23575">
      <c r="A23575" s="4" t="str">
        <f>IFERROR(__xludf.DUMMYFUNCTION("""COMPUTED_VALUE"""),"cas_hmw")</f>
        <v>cas_hmw</v>
      </c>
      <c r="B23575" s="5">
        <f>IFERROR(__xludf.DUMMYFUNCTION("""COMPUTED_VALUE"""),44795.0)</f>
        <v>44795</v>
      </c>
      <c r="C23575" s="6">
        <f>IFERROR(__xludf.DUMMYFUNCTION("""COMPUTED_VALUE"""),0.7226851851846732)</f>
        <v>0.7226851852</v>
      </c>
      <c r="D23575" s="4">
        <f>IFERROR(__xludf.DUMMYFUNCTION("""COMPUTED_VALUE"""),13.02419)</f>
        <v>13.02419</v>
      </c>
      <c r="E23575" s="4">
        <f>IFERROR(__xludf.DUMMYFUNCTION("""COMPUTED_VALUE"""),80.228282)</f>
        <v>80.228282</v>
      </c>
      <c r="F23575" s="4">
        <f>IFERROR(__xludf.DUMMYFUNCTION("""COMPUTED_VALUE"""),5339.0)</f>
        <v>5339</v>
      </c>
      <c r="G23575" s="4">
        <f>IFERROR(__xludf.DUMMYFUNCTION("""COMPUTED_VALUE"""),29.0)</f>
        <v>29</v>
      </c>
      <c r="H23575" s="4"/>
      <c r="I23575" s="4"/>
    </row>
    <row r="23576">
      <c r="A23576" s="4" t="str">
        <f>IFERROR(__xludf.DUMMYFUNCTION("""COMPUTED_VALUE"""),"cas_hmw")</f>
        <v>cas_hmw</v>
      </c>
      <c r="B23576" s="5">
        <f>IFERROR(__xludf.DUMMYFUNCTION("""COMPUTED_VALUE"""),44795.0)</f>
        <v>44795</v>
      </c>
      <c r="C23576" s="6">
        <f>IFERROR(__xludf.DUMMYFUNCTION("""COMPUTED_VALUE"""),0.7227199074077362)</f>
        <v>0.7227199074</v>
      </c>
      <c r="D23576" s="4">
        <f>IFERROR(__xludf.DUMMYFUNCTION("""COMPUTED_VALUE"""),13.02419)</f>
        <v>13.02419</v>
      </c>
      <c r="E23576" s="4">
        <f>IFERROR(__xludf.DUMMYFUNCTION("""COMPUTED_VALUE"""),80.228282)</f>
        <v>80.228282</v>
      </c>
      <c r="F23576" s="4">
        <f>IFERROR(__xludf.DUMMYFUNCTION("""COMPUTED_VALUE"""),5339.0)</f>
        <v>5339</v>
      </c>
      <c r="G23576" s="4">
        <f>IFERROR(__xludf.DUMMYFUNCTION("""COMPUTED_VALUE"""),29.0)</f>
        <v>29</v>
      </c>
      <c r="H23576" s="4"/>
      <c r="I23576" s="4"/>
    </row>
    <row r="23577">
      <c r="A23577" s="4" t="str">
        <f>IFERROR(__xludf.DUMMYFUNCTION("""COMPUTED_VALUE"""),"cas_hmw")</f>
        <v>cas_hmw</v>
      </c>
      <c r="B23577" s="5">
        <f>IFERROR(__xludf.DUMMYFUNCTION("""COMPUTED_VALUE"""),44795.0)</f>
        <v>44795</v>
      </c>
      <c r="C23577" s="6">
        <f>IFERROR(__xludf.DUMMYFUNCTION("""COMPUTED_VALUE"""),0.7234837962969323)</f>
        <v>0.7234837963</v>
      </c>
      <c r="D23577" s="4">
        <f>IFERROR(__xludf.DUMMYFUNCTION("""COMPUTED_VALUE"""),12.671648)</f>
        <v>12.671648</v>
      </c>
      <c r="E23577" s="4">
        <f>IFERROR(__xludf.DUMMYFUNCTION("""COMPUTED_VALUE"""),79.976193)</f>
        <v>79.976193</v>
      </c>
      <c r="F23577" s="4">
        <f>IFERROR(__xludf.DUMMYFUNCTION("""COMPUTED_VALUE"""),2846.0)</f>
        <v>2846</v>
      </c>
      <c r="G23577" s="4">
        <f>IFERROR(__xludf.DUMMYFUNCTION("""COMPUTED_VALUE"""),48.0)</f>
        <v>48</v>
      </c>
      <c r="H23577" s="4"/>
      <c r="I23577" s="4"/>
    </row>
    <row r="23578">
      <c r="A23578" s="4" t="str">
        <f>IFERROR(__xludf.DUMMYFUNCTION("""COMPUTED_VALUE"""),"cas_hmw")</f>
        <v>cas_hmw</v>
      </c>
      <c r="B23578" s="5">
        <f>IFERROR(__xludf.DUMMYFUNCTION("""COMPUTED_VALUE"""),44795.0)</f>
        <v>44795</v>
      </c>
      <c r="C23578" s="6">
        <f>IFERROR(__xludf.DUMMYFUNCTION("""COMPUTED_VALUE"""),0.7247106481481751)</f>
        <v>0.7247106481</v>
      </c>
      <c r="D23578" s="4">
        <f>IFERROR(__xludf.DUMMYFUNCTION("""COMPUTED_VALUE"""),13.027221)</f>
        <v>13.027221</v>
      </c>
      <c r="E23578" s="4">
        <f>IFERROR(__xludf.DUMMYFUNCTION("""COMPUTED_VALUE"""),80.233948)</f>
        <v>80.233948</v>
      </c>
      <c r="F23578" s="4">
        <f>IFERROR(__xludf.DUMMYFUNCTION("""COMPUTED_VALUE"""),5339.0)</f>
        <v>5339</v>
      </c>
      <c r="G23578" s="4">
        <f>IFERROR(__xludf.DUMMYFUNCTION("""COMPUTED_VALUE"""),30.0)</f>
        <v>30</v>
      </c>
      <c r="H23578" s="4"/>
      <c r="I23578" s="4"/>
    </row>
    <row r="23579">
      <c r="A23579" s="4" t="str">
        <f>IFERROR(__xludf.DUMMYFUNCTION("""COMPUTED_VALUE"""),"cas_hmw")</f>
        <v>cas_hmw</v>
      </c>
      <c r="B23579" s="5">
        <f>IFERROR(__xludf.DUMMYFUNCTION("""COMPUTED_VALUE"""),44795.0)</f>
        <v>44795</v>
      </c>
      <c r="C23579" s="6">
        <f>IFERROR(__xludf.DUMMYFUNCTION("""COMPUTED_VALUE"""),0.7247800925943011)</f>
        <v>0.7247800926</v>
      </c>
      <c r="D23579" s="4">
        <f>IFERROR(__xludf.DUMMYFUNCTION("""COMPUTED_VALUE"""),13.027221)</f>
        <v>13.027221</v>
      </c>
      <c r="E23579" s="4">
        <f>IFERROR(__xludf.DUMMYFUNCTION("""COMPUTED_VALUE"""),80.233948)</f>
        <v>80.233948</v>
      </c>
      <c r="F23579" s="4">
        <f>IFERROR(__xludf.DUMMYFUNCTION("""COMPUTED_VALUE"""),5339.0)</f>
        <v>5339</v>
      </c>
      <c r="G23579" s="4">
        <f>IFERROR(__xludf.DUMMYFUNCTION("""COMPUTED_VALUE"""),30.0)</f>
        <v>30</v>
      </c>
      <c r="H23579" s="4"/>
      <c r="I23579" s="4"/>
    </row>
    <row r="23580">
      <c r="A23580" s="4" t="str">
        <f>IFERROR(__xludf.DUMMYFUNCTION("""COMPUTED_VALUE"""),"cas_hmw")</f>
        <v>cas_hmw</v>
      </c>
      <c r="B23580" s="5">
        <f>IFERROR(__xludf.DUMMYFUNCTION("""COMPUTED_VALUE"""),44795.0)</f>
        <v>44795</v>
      </c>
      <c r="C23580" s="6">
        <f>IFERROR(__xludf.DUMMYFUNCTION("""COMPUTED_VALUE"""),0.7248611111099308)</f>
        <v>0.7248611111</v>
      </c>
      <c r="D23580" s="4">
        <f>IFERROR(__xludf.DUMMYFUNCTION("""COMPUTED_VALUE"""),13.027614)</f>
        <v>13.027614</v>
      </c>
      <c r="E23580" s="4">
        <f>IFERROR(__xludf.DUMMYFUNCTION("""COMPUTED_VALUE"""),80.23468)</f>
        <v>80.23468</v>
      </c>
      <c r="F23580" s="4">
        <f>IFERROR(__xludf.DUMMYFUNCTION("""COMPUTED_VALUE"""),5339.0)</f>
        <v>5339</v>
      </c>
      <c r="G23580" s="4">
        <f>IFERROR(__xludf.DUMMYFUNCTION("""COMPUTED_VALUE"""),34.0)</f>
        <v>34</v>
      </c>
      <c r="H23580" s="4"/>
      <c r="I23580" s="4"/>
    </row>
    <row r="23581">
      <c r="A23581" s="4" t="str">
        <f>IFERROR(__xludf.DUMMYFUNCTION("""COMPUTED_VALUE"""),"cas_hmw")</f>
        <v>cas_hmw</v>
      </c>
      <c r="B23581" s="5">
        <f>IFERROR(__xludf.DUMMYFUNCTION("""COMPUTED_VALUE"""),44795.0)</f>
        <v>44795</v>
      </c>
      <c r="C23581" s="6">
        <f>IFERROR(__xludf.DUMMYFUNCTION("""COMPUTED_VALUE"""),0.7251620370370802)</f>
        <v>0.725162037</v>
      </c>
      <c r="D23581" s="4">
        <f>IFERROR(__xludf.DUMMYFUNCTION("""COMPUTED_VALUE"""),13.028752)</f>
        <v>13.028752</v>
      </c>
      <c r="E23581" s="4">
        <f>IFERROR(__xludf.DUMMYFUNCTION("""COMPUTED_VALUE"""),80.236261)</f>
        <v>80.236261</v>
      </c>
      <c r="F23581" s="4">
        <f>IFERROR(__xludf.DUMMYFUNCTION("""COMPUTED_VALUE"""),5339.0)</f>
        <v>5339</v>
      </c>
      <c r="G23581" s="4">
        <f>IFERROR(__xludf.DUMMYFUNCTION("""COMPUTED_VALUE"""),42.0)</f>
        <v>42</v>
      </c>
      <c r="H23581" s="4"/>
      <c r="I23581" s="4"/>
    </row>
    <row r="23582">
      <c r="A23582" s="4" t="str">
        <f>IFERROR(__xludf.DUMMYFUNCTION("""COMPUTED_VALUE"""),"cas_hmw")</f>
        <v>cas_hmw</v>
      </c>
      <c r="B23582" s="5">
        <f>IFERROR(__xludf.DUMMYFUNCTION("""COMPUTED_VALUE"""),44795.0)</f>
        <v>44795</v>
      </c>
      <c r="C23582" s="6">
        <f>IFERROR(__xludf.DUMMYFUNCTION("""COMPUTED_VALUE"""),0.7253124999988358)</f>
        <v>0.7253125</v>
      </c>
      <c r="D23582" s="4">
        <f>IFERROR(__xludf.DUMMYFUNCTION("""COMPUTED_VALUE"""),13.030016)</f>
        <v>13.030016</v>
      </c>
      <c r="E23582" s="4">
        <f>IFERROR(__xludf.DUMMYFUNCTION("""COMPUTED_VALUE"""),80.237818)</f>
        <v>80.237818</v>
      </c>
      <c r="F23582" s="4">
        <f>IFERROR(__xludf.DUMMYFUNCTION("""COMPUTED_VALUE"""),5339.0)</f>
        <v>5339</v>
      </c>
      <c r="G23582" s="4">
        <f>IFERROR(__xludf.DUMMYFUNCTION("""COMPUTED_VALUE"""),31.0)</f>
        <v>31</v>
      </c>
      <c r="H23582" s="4"/>
      <c r="I23582" s="4"/>
    </row>
    <row r="23583">
      <c r="A23583" s="4" t="str">
        <f>IFERROR(__xludf.DUMMYFUNCTION("""COMPUTED_VALUE"""),"cas_hmw")</f>
        <v>cas_hmw</v>
      </c>
      <c r="B23583" s="5">
        <f>IFERROR(__xludf.DUMMYFUNCTION("""COMPUTED_VALUE"""),44795.0)</f>
        <v>44795</v>
      </c>
      <c r="C23583" s="6">
        <f>IFERROR(__xludf.DUMMYFUNCTION("""COMPUTED_VALUE"""),0.7264351851845277)</f>
        <v>0.7264351852</v>
      </c>
      <c r="D23583" s="4">
        <f>IFERROR(__xludf.DUMMYFUNCTION("""COMPUTED_VALUE"""),12.655741)</f>
        <v>12.655741</v>
      </c>
      <c r="E23583" s="4">
        <f>IFERROR(__xludf.DUMMYFUNCTION("""COMPUTED_VALUE"""),79.952452)</f>
        <v>79.952452</v>
      </c>
      <c r="F23583" s="4">
        <f>IFERROR(__xludf.DUMMYFUNCTION("""COMPUTED_VALUE"""),2846.0)</f>
        <v>2846</v>
      </c>
      <c r="G23583" s="4">
        <f>IFERROR(__xludf.DUMMYFUNCTION("""COMPUTED_VALUE"""),58.0)</f>
        <v>58</v>
      </c>
      <c r="H23583" s="4"/>
      <c r="I23583" s="4"/>
    </row>
    <row r="23584">
      <c r="A23584" s="4" t="str">
        <f>IFERROR(__xludf.DUMMYFUNCTION("""COMPUTED_VALUE"""),"cas_hmw")</f>
        <v>cas_hmw</v>
      </c>
      <c r="B23584" s="5">
        <f>IFERROR(__xludf.DUMMYFUNCTION("""COMPUTED_VALUE"""),44795.0)</f>
        <v>44795</v>
      </c>
      <c r="C23584" s="6">
        <f>IFERROR(__xludf.DUMMYFUNCTION("""COMPUTED_VALUE"""),0.7267939814810234)</f>
        <v>0.7267939815</v>
      </c>
      <c r="D23584" s="4">
        <f>IFERROR(__xludf.DUMMYFUNCTION("""COMPUTED_VALUE"""),13.031482)</f>
        <v>13.031482</v>
      </c>
      <c r="E23584" s="4">
        <f>IFERROR(__xludf.DUMMYFUNCTION("""COMPUTED_VALUE"""),80.240494)</f>
        <v>80.240494</v>
      </c>
      <c r="F23584" s="4">
        <f>IFERROR(__xludf.DUMMYFUNCTION("""COMPUTED_VALUE"""),5339.0)</f>
        <v>5339</v>
      </c>
      <c r="G23584" s="4">
        <f>IFERROR(__xludf.DUMMYFUNCTION("""COMPUTED_VALUE"""),32.0)</f>
        <v>32</v>
      </c>
      <c r="H23584" s="4"/>
      <c r="I23584" s="4"/>
    </row>
    <row r="23585">
      <c r="A23585" s="4" t="str">
        <f>IFERROR(__xludf.DUMMYFUNCTION("""COMPUTED_VALUE"""),"cas_hmw")</f>
        <v>cas_hmw</v>
      </c>
      <c r="B23585" s="5">
        <f>IFERROR(__xludf.DUMMYFUNCTION("""COMPUTED_VALUE"""),44795.0)</f>
        <v>44795</v>
      </c>
      <c r="C23585" s="6">
        <f>IFERROR(__xludf.DUMMYFUNCTION("""COMPUTED_VALUE"""),0.7271296296312357)</f>
        <v>0.7271296296</v>
      </c>
      <c r="D23585" s="4">
        <f>IFERROR(__xludf.DUMMYFUNCTION("""COMPUTED_VALUE"""),12.657431)</f>
        <v>12.657431</v>
      </c>
      <c r="E23585" s="4">
        <f>IFERROR(__xludf.DUMMYFUNCTION("""COMPUTED_VALUE"""),79.94642)</f>
        <v>79.94642</v>
      </c>
      <c r="F23585" s="4">
        <f>IFERROR(__xludf.DUMMYFUNCTION("""COMPUTED_VALUE"""),2846.0)</f>
        <v>2846</v>
      </c>
      <c r="G23585" s="4">
        <f>IFERROR(__xludf.DUMMYFUNCTION("""COMPUTED_VALUE"""),38.0)</f>
        <v>38</v>
      </c>
      <c r="H23585" s="4"/>
      <c r="I23585" s="4"/>
    </row>
    <row r="23586">
      <c r="A23586" s="4" t="str">
        <f>IFERROR(__xludf.DUMMYFUNCTION("""COMPUTED_VALUE"""),"cas_hmw")</f>
        <v>cas_hmw</v>
      </c>
      <c r="B23586" s="5">
        <f>IFERROR(__xludf.DUMMYFUNCTION("""COMPUTED_VALUE"""),44795.0)</f>
        <v>44795</v>
      </c>
      <c r="C23586" s="6">
        <f>IFERROR(__xludf.DUMMYFUNCTION("""COMPUTED_VALUE"""),0.7271759259274404)</f>
        <v>0.7271759259</v>
      </c>
      <c r="D23586" s="4">
        <f>IFERROR(__xludf.DUMMYFUNCTION("""COMPUTED_VALUE"""),13.032846)</f>
        <v>13.032846</v>
      </c>
      <c r="E23586" s="4">
        <f>IFERROR(__xludf.DUMMYFUNCTION("""COMPUTED_VALUE"""),80.243022)</f>
        <v>80.243022</v>
      </c>
      <c r="F23586" s="4">
        <f>IFERROR(__xludf.DUMMYFUNCTION("""COMPUTED_VALUE"""),5339.0)</f>
        <v>5339</v>
      </c>
      <c r="G23586" s="4">
        <f>IFERROR(__xludf.DUMMYFUNCTION("""COMPUTED_VALUE"""),40.0)</f>
        <v>40</v>
      </c>
      <c r="H23586" s="4"/>
      <c r="I23586" s="4"/>
    </row>
    <row r="23587">
      <c r="A23587" s="4" t="str">
        <f>IFERROR(__xludf.DUMMYFUNCTION("""COMPUTED_VALUE"""),"cas_hmw")</f>
        <v>cas_hmw</v>
      </c>
      <c r="B23587" s="5">
        <f>IFERROR(__xludf.DUMMYFUNCTION("""COMPUTED_VALUE"""),44795.0)</f>
        <v>44795</v>
      </c>
      <c r="C23587" s="6">
        <f>IFERROR(__xludf.DUMMYFUNCTION("""COMPUTED_VALUE"""),0.7273032407392748)</f>
        <v>0.7273032407</v>
      </c>
      <c r="D23587" s="4">
        <f>IFERROR(__xludf.DUMMYFUNCTION("""COMPUTED_VALUE"""),12.657682)</f>
        <v>12.657682</v>
      </c>
      <c r="E23587" s="4">
        <f>IFERROR(__xludf.DUMMYFUNCTION("""COMPUTED_VALUE"""),79.945564)</f>
        <v>79.945564</v>
      </c>
      <c r="F23587" s="4">
        <f>IFERROR(__xludf.DUMMYFUNCTION("""COMPUTED_VALUE"""),2846.0)</f>
        <v>2846</v>
      </c>
      <c r="G23587" s="4">
        <f>IFERROR(__xludf.DUMMYFUNCTION("""COMPUTED_VALUE"""),36.0)</f>
        <v>36</v>
      </c>
      <c r="H23587" s="4"/>
      <c r="I23587" s="4"/>
    </row>
    <row r="23588">
      <c r="A23588" s="4" t="str">
        <f>IFERROR(__xludf.DUMMYFUNCTION("""COMPUTED_VALUE"""),"cas_hmw")</f>
        <v>cas_hmw</v>
      </c>
      <c r="B23588" s="5">
        <f>IFERROR(__xludf.DUMMYFUNCTION("""COMPUTED_VALUE"""),44795.0)</f>
        <v>44795</v>
      </c>
      <c r="C23588" s="6">
        <f>IFERROR(__xludf.DUMMYFUNCTION("""COMPUTED_VALUE"""),0.7294328703719657)</f>
        <v>0.7294328704</v>
      </c>
      <c r="D23588" s="4">
        <f>IFERROR(__xludf.DUMMYFUNCTION("""COMPUTED_VALUE"""),12.640742)</f>
        <v>12.640742</v>
      </c>
      <c r="E23588" s="4">
        <f>IFERROR(__xludf.DUMMYFUNCTION("""COMPUTED_VALUE"""),79.9369)</f>
        <v>79.9369</v>
      </c>
      <c r="F23588" s="4">
        <f>IFERROR(__xludf.DUMMYFUNCTION("""COMPUTED_VALUE"""),2846.0)</f>
        <v>2846</v>
      </c>
      <c r="G23588" s="4">
        <f>IFERROR(__xludf.DUMMYFUNCTION("""COMPUTED_VALUE"""),59.0)</f>
        <v>59</v>
      </c>
      <c r="H23588" s="4"/>
      <c r="I23588" s="4"/>
    </row>
    <row r="23589">
      <c r="A23589" s="4" t="str">
        <f>IFERROR(__xludf.DUMMYFUNCTION("""COMPUTED_VALUE"""),"cas_hmw")</f>
        <v>cas_hmw</v>
      </c>
      <c r="B23589" s="5">
        <f>IFERROR(__xludf.DUMMYFUNCTION("""COMPUTED_VALUE"""),44795.0)</f>
        <v>44795</v>
      </c>
      <c r="C23589" s="6">
        <f>IFERROR(__xludf.DUMMYFUNCTION("""COMPUTED_VALUE"""),0.7295486111106584)</f>
        <v>0.7295486111</v>
      </c>
      <c r="D23589" s="4">
        <f>IFERROR(__xludf.DUMMYFUNCTION("""COMPUTED_VALUE"""),12.634572)</f>
        <v>12.634572</v>
      </c>
      <c r="E23589" s="4">
        <f>IFERROR(__xludf.DUMMYFUNCTION("""COMPUTED_VALUE"""),79.933216)</f>
        <v>79.933216</v>
      </c>
      <c r="F23589" s="4">
        <f>IFERROR(__xludf.DUMMYFUNCTION("""COMPUTED_VALUE"""),2846.0)</f>
        <v>2846</v>
      </c>
      <c r="G23589" s="4">
        <f>IFERROR(__xludf.DUMMYFUNCTION("""COMPUTED_VALUE"""),51.0)</f>
        <v>51</v>
      </c>
      <c r="H23589" s="4"/>
      <c r="I23589" s="4"/>
    </row>
    <row r="23590">
      <c r="A23590" s="4" t="str">
        <f>IFERROR(__xludf.DUMMYFUNCTION("""COMPUTED_VALUE"""),"cas_hmw")</f>
        <v>cas_hmw</v>
      </c>
      <c r="B23590" s="5">
        <f>IFERROR(__xludf.DUMMYFUNCTION("""COMPUTED_VALUE"""),44795.0)</f>
        <v>44795</v>
      </c>
      <c r="C23590" s="6">
        <f>IFERROR(__xludf.DUMMYFUNCTION("""COMPUTED_VALUE"""),0.7310185185197042)</f>
        <v>0.7310185185</v>
      </c>
      <c r="D23590" s="4">
        <f>IFERROR(__xludf.DUMMYFUNCTION("""COMPUTED_VALUE"""),13.0408)</f>
        <v>13.0408</v>
      </c>
      <c r="E23590" s="4">
        <f>IFERROR(__xludf.DUMMYFUNCTION("""COMPUTED_VALUE"""),80.2472)</f>
        <v>80.2472</v>
      </c>
      <c r="F23590" s="4">
        <f>IFERROR(__xludf.DUMMYFUNCTION("""COMPUTED_VALUE"""),5339.0)</f>
        <v>5339</v>
      </c>
      <c r="G23590" s="4">
        <f>IFERROR(__xludf.DUMMYFUNCTION("""COMPUTED_VALUE"""),32.0)</f>
        <v>32</v>
      </c>
      <c r="H23590" s="4"/>
      <c r="I23590" s="4"/>
    </row>
    <row r="23591">
      <c r="A23591" s="4" t="str">
        <f>IFERROR(__xludf.DUMMYFUNCTION("""COMPUTED_VALUE"""),"cas_hmw")</f>
        <v>cas_hmw</v>
      </c>
      <c r="B23591" s="5">
        <f>IFERROR(__xludf.DUMMYFUNCTION("""COMPUTED_VALUE"""),44795.0)</f>
        <v>44795</v>
      </c>
      <c r="C23591" s="6">
        <f>IFERROR(__xludf.DUMMYFUNCTION("""COMPUTED_VALUE"""),0.7311574074083182)</f>
        <v>0.7311574074</v>
      </c>
      <c r="D23591" s="4">
        <f>IFERROR(__xludf.DUMMYFUNCTION("""COMPUTED_VALUE"""),13.041494)</f>
        <v>13.041494</v>
      </c>
      <c r="E23591" s="4">
        <f>IFERROR(__xludf.DUMMYFUNCTION("""COMPUTED_VALUE"""),80.247334)</f>
        <v>80.247334</v>
      </c>
      <c r="F23591" s="4">
        <f>IFERROR(__xludf.DUMMYFUNCTION("""COMPUTED_VALUE"""),5339.0)</f>
        <v>5339</v>
      </c>
      <c r="G23591" s="4">
        <f>IFERROR(__xludf.DUMMYFUNCTION("""COMPUTED_VALUE"""),27.0)</f>
        <v>27</v>
      </c>
      <c r="H23591" s="4"/>
      <c r="I23591" s="4"/>
    </row>
    <row r="23592">
      <c r="A23592" s="4" t="str">
        <f>IFERROR(__xludf.DUMMYFUNCTION("""COMPUTED_VALUE"""),"cas_hmw")</f>
        <v>cas_hmw</v>
      </c>
      <c r="B23592" s="5">
        <f>IFERROR(__xludf.DUMMYFUNCTION("""COMPUTED_VALUE"""),44795.0)</f>
        <v>44795</v>
      </c>
      <c r="C23592" s="6">
        <f>IFERROR(__xludf.DUMMYFUNCTION("""COMPUTED_VALUE"""),0.7312384259275859)</f>
        <v>0.7312384259</v>
      </c>
      <c r="D23592" s="4">
        <f>IFERROR(__xludf.DUMMYFUNCTION("""COMPUTED_VALUE"""),13.042254)</f>
        <v>13.042254</v>
      </c>
      <c r="E23592" s="4">
        <f>IFERROR(__xludf.DUMMYFUNCTION("""COMPUTED_VALUE"""),80.247479)</f>
        <v>80.247479</v>
      </c>
      <c r="F23592" s="4">
        <f>IFERROR(__xludf.DUMMYFUNCTION("""COMPUTED_VALUE"""),5339.0)</f>
        <v>5339</v>
      </c>
      <c r="G23592" s="4">
        <f>IFERROR(__xludf.DUMMYFUNCTION("""COMPUTED_VALUE"""),31.0)</f>
        <v>31</v>
      </c>
      <c r="H23592" s="4"/>
      <c r="I23592" s="4"/>
    </row>
    <row r="23593">
      <c r="A23593" s="4" t="str">
        <f>IFERROR(__xludf.DUMMYFUNCTION("""COMPUTED_VALUE"""),"cas_hmw")</f>
        <v>cas_hmw</v>
      </c>
      <c r="B23593" s="5">
        <f>IFERROR(__xludf.DUMMYFUNCTION("""COMPUTED_VALUE"""),44795.0)</f>
        <v>44795</v>
      </c>
      <c r="C23593" s="6">
        <f>IFERROR(__xludf.DUMMYFUNCTION("""COMPUTED_VALUE"""),0.7312847222237906)</f>
        <v>0.7312847222</v>
      </c>
      <c r="D23593" s="4">
        <f>IFERROR(__xludf.DUMMYFUNCTION("""COMPUTED_VALUE"""),13.042254)</f>
        <v>13.042254</v>
      </c>
      <c r="E23593" s="4">
        <f>IFERROR(__xludf.DUMMYFUNCTION("""COMPUTED_VALUE"""),80.247479)</f>
        <v>80.247479</v>
      </c>
      <c r="F23593" s="4">
        <f>IFERROR(__xludf.DUMMYFUNCTION("""COMPUTED_VALUE"""),5339.0)</f>
        <v>5339</v>
      </c>
      <c r="G23593" s="4">
        <f>IFERROR(__xludf.DUMMYFUNCTION("""COMPUTED_VALUE"""),31.0)</f>
        <v>31</v>
      </c>
      <c r="H23593" s="4"/>
      <c r="I23593" s="4"/>
    </row>
    <row r="23594">
      <c r="A23594" s="4" t="str">
        <f>IFERROR(__xludf.DUMMYFUNCTION("""COMPUTED_VALUE"""),"cas_hmw")</f>
        <v>cas_hmw</v>
      </c>
      <c r="B23594" s="5">
        <f>IFERROR(__xludf.DUMMYFUNCTION("""COMPUTED_VALUE"""),44795.0)</f>
        <v>44795</v>
      </c>
      <c r="C23594" s="6">
        <f>IFERROR(__xludf.DUMMYFUNCTION("""COMPUTED_VALUE"""),0.7324537037020491)</f>
        <v>0.7324537037</v>
      </c>
      <c r="D23594" s="4">
        <f>IFERROR(__xludf.DUMMYFUNCTION("""COMPUTED_VALUE"""),13.047545)</f>
        <v>13.047545</v>
      </c>
      <c r="E23594" s="4">
        <f>IFERROR(__xludf.DUMMYFUNCTION("""COMPUTED_VALUE"""),80.248739)</f>
        <v>80.248739</v>
      </c>
      <c r="F23594" s="4">
        <f>IFERROR(__xludf.DUMMYFUNCTION("""COMPUTED_VALUE"""),5339.0)</f>
        <v>5339</v>
      </c>
      <c r="G23594" s="4">
        <f>IFERROR(__xludf.DUMMYFUNCTION("""COMPUTED_VALUE"""),33.0)</f>
        <v>33</v>
      </c>
      <c r="H23594" s="4"/>
      <c r="I23594" s="4"/>
    </row>
    <row r="23595">
      <c r="A23595" s="4" t="str">
        <f>IFERROR(__xludf.DUMMYFUNCTION("""COMPUTED_VALUE"""),"cas_hmw")</f>
        <v>cas_hmw</v>
      </c>
      <c r="B23595" s="5">
        <f>IFERROR(__xludf.DUMMYFUNCTION("""COMPUTED_VALUE"""),44795.0)</f>
        <v>44795</v>
      </c>
      <c r="C23595" s="6">
        <f>IFERROR(__xludf.DUMMYFUNCTION("""COMPUTED_VALUE"""),0.7327777777791198)</f>
        <v>0.7327777778</v>
      </c>
      <c r="D23595" s="4">
        <f>IFERROR(__xludf.DUMMYFUNCTION("""COMPUTED_VALUE"""),13.050123)</f>
        <v>13.050123</v>
      </c>
      <c r="E23595" s="4">
        <f>IFERROR(__xludf.DUMMYFUNCTION("""COMPUTED_VALUE"""),80.249827)</f>
        <v>80.249827</v>
      </c>
      <c r="F23595" s="4">
        <f>IFERROR(__xludf.DUMMYFUNCTION("""COMPUTED_VALUE"""),5339.0)</f>
        <v>5339</v>
      </c>
      <c r="G23595" s="4">
        <f>IFERROR(__xludf.DUMMYFUNCTION("""COMPUTED_VALUE"""),45.0)</f>
        <v>45</v>
      </c>
      <c r="H23595" s="4"/>
      <c r="I23595" s="4"/>
    </row>
    <row r="23596">
      <c r="A23596" s="4" t="str">
        <f>IFERROR(__xludf.DUMMYFUNCTION("""COMPUTED_VALUE"""),"cas_hmw")</f>
        <v>cas_hmw</v>
      </c>
      <c r="B23596" s="5">
        <f>IFERROR(__xludf.DUMMYFUNCTION("""COMPUTED_VALUE"""),44795.0)</f>
        <v>44795</v>
      </c>
      <c r="C23596" s="6">
        <f>IFERROR(__xludf.DUMMYFUNCTION("""COMPUTED_VALUE"""),0.7331828703718202)</f>
        <v>0.7331828704</v>
      </c>
      <c r="D23596" s="4">
        <f>IFERROR(__xludf.DUMMYFUNCTION("""COMPUTED_VALUE"""),13.053322)</f>
        <v>13.053322</v>
      </c>
      <c r="E23596" s="4">
        <f>IFERROR(__xludf.DUMMYFUNCTION("""COMPUTED_VALUE"""),80.252248)</f>
        <v>80.252248</v>
      </c>
      <c r="F23596" s="4">
        <f>IFERROR(__xludf.DUMMYFUNCTION("""COMPUTED_VALUE"""),5339.0)</f>
        <v>5339</v>
      </c>
      <c r="G23596" s="4">
        <f>IFERROR(__xludf.DUMMYFUNCTION("""COMPUTED_VALUE"""),42.0)</f>
        <v>42</v>
      </c>
      <c r="H23596" s="4"/>
      <c r="I23596" s="4"/>
    </row>
    <row r="23597">
      <c r="A23597" s="4" t="str">
        <f>IFERROR(__xludf.DUMMYFUNCTION("""COMPUTED_VALUE"""),"cas_hmw")</f>
        <v>cas_hmw</v>
      </c>
      <c r="B23597" s="5">
        <f>IFERROR(__xludf.DUMMYFUNCTION("""COMPUTED_VALUE"""),44795.0)</f>
        <v>44795</v>
      </c>
      <c r="C23597" s="6">
        <f>IFERROR(__xludf.DUMMYFUNCTION("""COMPUTED_VALUE"""),0.7340046296303626)</f>
        <v>0.7340046296</v>
      </c>
      <c r="D23597" s="4">
        <f>IFERROR(__xludf.DUMMYFUNCTION("""COMPUTED_VALUE"""),12.589712)</f>
        <v>12.589712</v>
      </c>
      <c r="E23597" s="4">
        <f>IFERROR(__xludf.DUMMYFUNCTION("""COMPUTED_VALUE"""),79.919397)</f>
        <v>79.919397</v>
      </c>
      <c r="F23597" s="4">
        <f>IFERROR(__xludf.DUMMYFUNCTION("""COMPUTED_VALUE"""),2846.0)</f>
        <v>2846</v>
      </c>
      <c r="G23597" s="4">
        <f>IFERROR(__xludf.DUMMYFUNCTION("""COMPUTED_VALUE"""),58.0)</f>
        <v>58</v>
      </c>
      <c r="H23597" s="4"/>
      <c r="I23597" s="4"/>
    </row>
    <row r="23598">
      <c r="A23598" s="4" t="str">
        <f>IFERROR(__xludf.DUMMYFUNCTION("""COMPUTED_VALUE"""),"cas_hmw")</f>
        <v>cas_hmw</v>
      </c>
      <c r="B23598" s="5">
        <f>IFERROR(__xludf.DUMMYFUNCTION("""COMPUTED_VALUE"""),44795.0)</f>
        <v>44795</v>
      </c>
      <c r="C23598" s="6">
        <f>IFERROR(__xludf.DUMMYFUNCTION("""COMPUTED_VALUE"""),0.7344560185192677)</f>
        <v>0.7344560185</v>
      </c>
      <c r="D23598" s="4">
        <f>IFERROR(__xludf.DUMMYFUNCTION("""COMPUTED_VALUE"""),12.968753)</f>
        <v>12.968753</v>
      </c>
      <c r="E23598" s="4">
        <f>IFERROR(__xludf.DUMMYFUNCTION("""COMPUTED_VALUE"""),80.21804)</f>
        <v>80.21804</v>
      </c>
      <c r="F23598" s="4">
        <f>IFERROR(__xludf.DUMMYFUNCTION("""COMPUTED_VALUE"""),3143.0)</f>
        <v>3143</v>
      </c>
      <c r="G23598" s="4">
        <f>IFERROR(__xludf.DUMMYFUNCTION("""COMPUTED_VALUE"""),50.0)</f>
        <v>50</v>
      </c>
      <c r="H23598" s="4"/>
      <c r="I23598" s="4"/>
    </row>
    <row r="23599">
      <c r="A23599" s="4" t="str">
        <f>IFERROR(__xludf.DUMMYFUNCTION("""COMPUTED_VALUE"""),"cas_hmw")</f>
        <v>cas_hmw</v>
      </c>
      <c r="B23599" s="5">
        <f>IFERROR(__xludf.DUMMYFUNCTION("""COMPUTED_VALUE"""),44795.0)</f>
        <v>44795</v>
      </c>
      <c r="C23599" s="6">
        <f>IFERROR(__xludf.DUMMYFUNCTION("""COMPUTED_VALUE"""),0.7394791666665697)</f>
        <v>0.7394791667</v>
      </c>
      <c r="D23599" s="4">
        <f>IFERROR(__xludf.DUMMYFUNCTION("""COMPUTED_VALUE"""),12.52375)</f>
        <v>12.52375</v>
      </c>
      <c r="E23599" s="4">
        <f>IFERROR(__xludf.DUMMYFUNCTION("""COMPUTED_VALUE"""),79.896545)</f>
        <v>79.896545</v>
      </c>
      <c r="F23599" s="4">
        <f>IFERROR(__xludf.DUMMYFUNCTION("""COMPUTED_VALUE"""),2846.0)</f>
        <v>2846</v>
      </c>
      <c r="G23599" s="4">
        <f>IFERROR(__xludf.DUMMYFUNCTION("""COMPUTED_VALUE"""),57.0)</f>
        <v>57</v>
      </c>
      <c r="H23599" s="4"/>
      <c r="I23599" s="4"/>
    </row>
    <row r="23600">
      <c r="A23600" s="4" t="str">
        <f>IFERROR(__xludf.DUMMYFUNCTION("""COMPUTED_VALUE"""),"cas_hmw")</f>
        <v>cas_hmw</v>
      </c>
      <c r="B23600" s="5">
        <f>IFERROR(__xludf.DUMMYFUNCTION("""COMPUTED_VALUE"""),44795.0)</f>
        <v>44795</v>
      </c>
      <c r="C23600" s="6">
        <f>IFERROR(__xludf.DUMMYFUNCTION("""COMPUTED_VALUE"""),0.7426967592582514)</f>
        <v>0.7426967593</v>
      </c>
      <c r="D23600" s="4">
        <f>IFERROR(__xludf.DUMMYFUNCTION("""COMPUTED_VALUE"""),12.953247)</f>
        <v>12.953247</v>
      </c>
      <c r="E23600" s="4">
        <f>IFERROR(__xludf.DUMMYFUNCTION("""COMPUTED_VALUE"""),80.21197)</f>
        <v>80.21197</v>
      </c>
      <c r="F23600" s="4">
        <f>IFERROR(__xludf.DUMMYFUNCTION("""COMPUTED_VALUE"""),3143.0)</f>
        <v>3143</v>
      </c>
      <c r="G23600" s="4">
        <f>IFERROR(__xludf.DUMMYFUNCTION("""COMPUTED_VALUE"""),20.0)</f>
        <v>20</v>
      </c>
      <c r="H23600" s="4"/>
      <c r="I23600" s="4"/>
    </row>
    <row r="23601">
      <c r="A23601" s="4" t="str">
        <f>IFERROR(__xludf.DUMMYFUNCTION("""COMPUTED_VALUE"""),"cas_hmw")</f>
        <v>cas_hmw</v>
      </c>
      <c r="B23601" s="5">
        <f>IFERROR(__xludf.DUMMYFUNCTION("""COMPUTED_VALUE"""),44795.0)</f>
        <v>44795</v>
      </c>
      <c r="C23601" s="6">
        <f>IFERROR(__xludf.DUMMYFUNCTION("""COMPUTED_VALUE"""),0.7446064814830606)</f>
        <v>0.7446064815</v>
      </c>
      <c r="D23601" s="4">
        <f>IFERROR(__xludf.DUMMYFUNCTION("""COMPUTED_VALUE"""),12.948521)</f>
        <v>12.948521</v>
      </c>
      <c r="E23601" s="4">
        <f>IFERROR(__xludf.DUMMYFUNCTION("""COMPUTED_VALUE"""),80.20883)</f>
        <v>80.20883</v>
      </c>
      <c r="F23601" s="4">
        <f>IFERROR(__xludf.DUMMYFUNCTION("""COMPUTED_VALUE"""),3143.0)</f>
        <v>3143</v>
      </c>
      <c r="G23601" s="4">
        <f>IFERROR(__xludf.DUMMYFUNCTION("""COMPUTED_VALUE"""),33.0)</f>
        <v>33</v>
      </c>
      <c r="H23601" s="4"/>
      <c r="I23601" s="4"/>
    </row>
    <row r="23602">
      <c r="A23602" s="4" t="str">
        <f>IFERROR(__xludf.DUMMYFUNCTION("""COMPUTED_VALUE"""),"cas_hmw")</f>
        <v>cas_hmw</v>
      </c>
      <c r="B23602" s="5">
        <f>IFERROR(__xludf.DUMMYFUNCTION("""COMPUTED_VALUE"""),44795.0)</f>
        <v>44795</v>
      </c>
      <c r="C23602" s="6">
        <f>IFERROR(__xludf.DUMMYFUNCTION("""COMPUTED_VALUE"""),0.744664351852407)</f>
        <v>0.7446643519</v>
      </c>
      <c r="D23602" s="4">
        <f>IFERROR(__xludf.DUMMYFUNCTION("""COMPUTED_VALUE"""),13.066632)</f>
        <v>13.066632</v>
      </c>
      <c r="E23602" s="4">
        <f>IFERROR(__xludf.DUMMYFUNCTION("""COMPUTED_VALUE"""),80.269731)</f>
        <v>80.269731</v>
      </c>
      <c r="F23602" s="4">
        <f>IFERROR(__xludf.DUMMYFUNCTION("""COMPUTED_VALUE"""),5339.0)</f>
        <v>5339</v>
      </c>
      <c r="G23602" s="4">
        <f>IFERROR(__xludf.DUMMYFUNCTION("""COMPUTED_VALUE"""),34.0)</f>
        <v>34</v>
      </c>
      <c r="H23602" s="4"/>
      <c r="I23602" s="4"/>
    </row>
    <row r="23603">
      <c r="A23603" s="4" t="str">
        <f>IFERROR(__xludf.DUMMYFUNCTION("""COMPUTED_VALUE"""),"cas_hmw")</f>
        <v>cas_hmw</v>
      </c>
      <c r="B23603" s="5">
        <f>IFERROR(__xludf.DUMMYFUNCTION("""COMPUTED_VALUE"""),44795.0)</f>
        <v>44795</v>
      </c>
      <c r="C23603" s="6">
        <f>IFERROR(__xludf.DUMMYFUNCTION("""COMPUTED_VALUE"""),0.7452893518529891)</f>
        <v>0.7452893519</v>
      </c>
      <c r="D23603" s="4">
        <f>IFERROR(__xludf.DUMMYFUNCTION("""COMPUTED_VALUE"""),12.948686)</f>
        <v>12.948686</v>
      </c>
      <c r="E23603" s="4">
        <f>IFERROR(__xludf.DUMMYFUNCTION("""COMPUTED_VALUE"""),80.203702)</f>
        <v>80.203702</v>
      </c>
      <c r="F23603" s="4">
        <f>IFERROR(__xludf.DUMMYFUNCTION("""COMPUTED_VALUE"""),3143.0)</f>
        <v>3143</v>
      </c>
      <c r="G23603" s="4">
        <f>IFERROR(__xludf.DUMMYFUNCTION("""COMPUTED_VALUE"""),39.0)</f>
        <v>39</v>
      </c>
      <c r="H23603" s="4"/>
      <c r="I23603" s="4"/>
    </row>
    <row r="23604">
      <c r="A23604" s="4" t="str">
        <f>IFERROR(__xludf.DUMMYFUNCTION("""COMPUTED_VALUE"""),"cas_hmw")</f>
        <v>cas_hmw</v>
      </c>
      <c r="B23604" s="5">
        <f>IFERROR(__xludf.DUMMYFUNCTION("""COMPUTED_VALUE"""),44795.0)</f>
        <v>44795</v>
      </c>
      <c r="C23604" s="6">
        <f>IFERROR(__xludf.DUMMYFUNCTION("""COMPUTED_VALUE"""),0.7455671296302171)</f>
        <v>0.7455671296</v>
      </c>
      <c r="D23604" s="4">
        <f>IFERROR(__xludf.DUMMYFUNCTION("""COMPUTED_VALUE"""),12.948612)</f>
        <v>12.948612</v>
      </c>
      <c r="E23604" s="4">
        <f>IFERROR(__xludf.DUMMYFUNCTION("""COMPUTED_VALUE"""),80.201709)</f>
        <v>80.201709</v>
      </c>
      <c r="F23604" s="4">
        <f>IFERROR(__xludf.DUMMYFUNCTION("""COMPUTED_VALUE"""),3143.0)</f>
        <v>3143</v>
      </c>
      <c r="G23604" s="4">
        <f>IFERROR(__xludf.DUMMYFUNCTION("""COMPUTED_VALUE"""),40.0)</f>
        <v>40</v>
      </c>
      <c r="H23604" s="4"/>
      <c r="I23604" s="4"/>
    </row>
    <row r="23605">
      <c r="A23605" s="4" t="str">
        <f>IFERROR(__xludf.DUMMYFUNCTION("""COMPUTED_VALUE"""),"cas_hmw")</f>
        <v>cas_hmw</v>
      </c>
      <c r="B23605" s="5">
        <f>IFERROR(__xludf.DUMMYFUNCTION("""COMPUTED_VALUE"""),44795.0)</f>
        <v>44795</v>
      </c>
      <c r="C23605" s="6">
        <f>IFERROR(__xludf.DUMMYFUNCTION("""COMPUTED_VALUE"""),0.7460532407421852)</f>
        <v>0.7460532407</v>
      </c>
      <c r="D23605" s="4">
        <f>IFERROR(__xludf.DUMMYFUNCTION("""COMPUTED_VALUE"""),12.948474)</f>
        <v>12.948474</v>
      </c>
      <c r="E23605" s="4">
        <f>IFERROR(__xludf.DUMMYFUNCTION("""COMPUTED_VALUE"""),80.198522)</f>
        <v>80.198522</v>
      </c>
      <c r="F23605" s="4">
        <f>IFERROR(__xludf.DUMMYFUNCTION("""COMPUTED_VALUE"""),3143.0)</f>
        <v>3143</v>
      </c>
      <c r="G23605" s="4">
        <f>IFERROR(__xludf.DUMMYFUNCTION("""COMPUTED_VALUE"""),31.0)</f>
        <v>31</v>
      </c>
      <c r="H23605" s="4"/>
      <c r="I23605" s="4"/>
    </row>
    <row r="23606">
      <c r="A23606" s="4" t="str">
        <f>IFERROR(__xludf.DUMMYFUNCTION("""COMPUTED_VALUE"""),"cas_hmw")</f>
        <v>cas_hmw</v>
      </c>
      <c r="B23606" s="5">
        <f>IFERROR(__xludf.DUMMYFUNCTION("""COMPUTED_VALUE"""),44795.0)</f>
        <v>44795</v>
      </c>
      <c r="C23606" s="6">
        <f>IFERROR(__xludf.DUMMYFUNCTION("""COMPUTED_VALUE"""),0.7470254629624833)</f>
        <v>0.747025463</v>
      </c>
      <c r="D23606" s="4">
        <f>IFERROR(__xludf.DUMMYFUNCTION("""COMPUTED_VALUE"""),12.948712)</f>
        <v>12.948712</v>
      </c>
      <c r="E23606" s="4">
        <f>IFERROR(__xludf.DUMMYFUNCTION("""COMPUTED_VALUE"""),80.190058)</f>
        <v>80.190058</v>
      </c>
      <c r="F23606" s="4">
        <f>IFERROR(__xludf.DUMMYFUNCTION("""COMPUTED_VALUE"""),3143.0)</f>
        <v>3143</v>
      </c>
      <c r="G23606" s="4">
        <f>IFERROR(__xludf.DUMMYFUNCTION("""COMPUTED_VALUE"""),40.0)</f>
        <v>40</v>
      </c>
      <c r="H23606" s="4"/>
      <c r="I23606" s="4"/>
    </row>
    <row r="23607">
      <c r="A23607" s="4" t="str">
        <f>IFERROR(__xludf.DUMMYFUNCTION("""COMPUTED_VALUE"""),"cas_hmw")</f>
        <v>cas_hmw</v>
      </c>
      <c r="B23607" s="5">
        <f>IFERROR(__xludf.DUMMYFUNCTION("""COMPUTED_VALUE"""),44795.0)</f>
        <v>44795</v>
      </c>
      <c r="C23607" s="6">
        <f>IFERROR(__xludf.DUMMYFUNCTION("""COMPUTED_VALUE"""),0.7478472222210257)</f>
        <v>0.7478472222</v>
      </c>
      <c r="D23607" s="4">
        <f>IFERROR(__xludf.DUMMYFUNCTION("""COMPUTED_VALUE"""),13.073013)</f>
        <v>13.073013</v>
      </c>
      <c r="E23607" s="4">
        <f>IFERROR(__xludf.DUMMYFUNCTION("""COMPUTED_VALUE"""),80.260762)</f>
        <v>80.260762</v>
      </c>
      <c r="F23607" s="4">
        <f>IFERROR(__xludf.DUMMYFUNCTION("""COMPUTED_VALUE"""),5339.0)</f>
        <v>5339</v>
      </c>
      <c r="G23607" s="4">
        <f>IFERROR(__xludf.DUMMYFUNCTION("""COMPUTED_VALUE"""),17.0)</f>
        <v>17</v>
      </c>
      <c r="H23607" s="4"/>
      <c r="I23607" s="4"/>
    </row>
    <row r="23608">
      <c r="A23608" s="4" t="str">
        <f>IFERROR(__xludf.DUMMYFUNCTION("""COMPUTED_VALUE"""),"cas_hmw")</f>
        <v>cas_hmw</v>
      </c>
      <c r="B23608" s="5">
        <f>IFERROR(__xludf.DUMMYFUNCTION("""COMPUTED_VALUE"""),44795.0)</f>
        <v>44795</v>
      </c>
      <c r="C23608" s="6">
        <f>IFERROR(__xludf.DUMMYFUNCTION("""COMPUTED_VALUE"""),0.7478819444440887)</f>
        <v>0.7478819444</v>
      </c>
      <c r="D23608" s="4">
        <f>IFERROR(__xludf.DUMMYFUNCTION("""COMPUTED_VALUE"""),13.072578)</f>
        <v>13.072578</v>
      </c>
      <c r="E23608" s="4">
        <f>IFERROR(__xludf.DUMMYFUNCTION("""COMPUTED_VALUE"""),80.26024)</f>
        <v>80.26024</v>
      </c>
      <c r="F23608" s="4">
        <f>IFERROR(__xludf.DUMMYFUNCTION("""COMPUTED_VALUE"""),5339.0)</f>
        <v>5339</v>
      </c>
      <c r="G23608" s="4">
        <f>IFERROR(__xludf.DUMMYFUNCTION("""COMPUTED_VALUE"""),29.0)</f>
        <v>29</v>
      </c>
      <c r="H23608" s="4"/>
      <c r="I23608" s="4"/>
    </row>
    <row r="23609">
      <c r="A23609" s="4" t="str">
        <f>IFERROR(__xludf.DUMMYFUNCTION("""COMPUTED_VALUE"""),"cas_hmw")</f>
        <v>cas_hmw</v>
      </c>
      <c r="B23609" s="5">
        <f>IFERROR(__xludf.DUMMYFUNCTION("""COMPUTED_VALUE"""),44795.0)</f>
        <v>44795</v>
      </c>
      <c r="C23609" s="6">
        <f>IFERROR(__xludf.DUMMYFUNCTION("""COMPUTED_VALUE"""),0.7478935185172304)</f>
        <v>0.7478935185</v>
      </c>
      <c r="D23609" s="4">
        <f>IFERROR(__xludf.DUMMYFUNCTION("""COMPUTED_VALUE"""),13.072578)</f>
        <v>13.072578</v>
      </c>
      <c r="E23609" s="4">
        <f>IFERROR(__xludf.DUMMYFUNCTION("""COMPUTED_VALUE"""),80.26024)</f>
        <v>80.26024</v>
      </c>
      <c r="F23609" s="4">
        <f>IFERROR(__xludf.DUMMYFUNCTION("""COMPUTED_VALUE"""),5339.0)</f>
        <v>5339</v>
      </c>
      <c r="G23609" s="4">
        <f>IFERROR(__xludf.DUMMYFUNCTION("""COMPUTED_VALUE"""),29.0)</f>
        <v>29</v>
      </c>
      <c r="H23609" s="4"/>
      <c r="I23609" s="4"/>
    </row>
    <row r="23610">
      <c r="A23610" s="4" t="str">
        <f>IFERROR(__xludf.DUMMYFUNCTION("""COMPUTED_VALUE"""),"cas_hmw")</f>
        <v>cas_hmw</v>
      </c>
      <c r="B23610" s="5">
        <f>IFERROR(__xludf.DUMMYFUNCTION("""COMPUTED_VALUE"""),44795.0)</f>
        <v>44795</v>
      </c>
      <c r="C23610" s="6">
        <f>IFERROR(__xludf.DUMMYFUNCTION("""COMPUTED_VALUE"""),0.7498495370382443)</f>
        <v>0.749849537</v>
      </c>
      <c r="D23610" s="4">
        <f>IFERROR(__xludf.DUMMYFUNCTION("""COMPUTED_VALUE"""),13.067415)</f>
        <v>13.067415</v>
      </c>
      <c r="E23610" s="4">
        <f>IFERROR(__xludf.DUMMYFUNCTION("""COMPUTED_VALUE"""),80.253592)</f>
        <v>80.253592</v>
      </c>
      <c r="F23610" s="4">
        <f>IFERROR(__xludf.DUMMYFUNCTION("""COMPUTED_VALUE"""),5339.0)</f>
        <v>5339</v>
      </c>
      <c r="G23610" s="4">
        <f>IFERROR(__xludf.DUMMYFUNCTION("""COMPUTED_VALUE"""),31.0)</f>
        <v>31</v>
      </c>
      <c r="H23610" s="4"/>
      <c r="I23610" s="4"/>
    </row>
    <row r="23611">
      <c r="A23611" s="4" t="str">
        <f>IFERROR(__xludf.DUMMYFUNCTION("""COMPUTED_VALUE"""),"cas_hmw")</f>
        <v>cas_hmw</v>
      </c>
      <c r="B23611" s="5">
        <f>IFERROR(__xludf.DUMMYFUNCTION("""COMPUTED_VALUE"""),44795.0)</f>
        <v>44795</v>
      </c>
      <c r="C23611" s="6">
        <f>IFERROR(__xludf.DUMMYFUNCTION("""COMPUTED_VALUE"""),0.7500810185192677)</f>
        <v>0.7500810185</v>
      </c>
      <c r="D23611" s="4">
        <f>IFERROR(__xludf.DUMMYFUNCTION("""COMPUTED_VALUE"""),13.068095)</f>
        <v>13.068095</v>
      </c>
      <c r="E23611" s="4">
        <f>IFERROR(__xludf.DUMMYFUNCTION("""COMPUTED_VALUE"""),80.252529)</f>
        <v>80.252529</v>
      </c>
      <c r="F23611" s="4">
        <f>IFERROR(__xludf.DUMMYFUNCTION("""COMPUTED_VALUE"""),5339.0)</f>
        <v>5339</v>
      </c>
      <c r="G23611" s="4">
        <f>IFERROR(__xludf.DUMMYFUNCTION("""COMPUTED_VALUE"""),28.0)</f>
        <v>28</v>
      </c>
      <c r="H23611" s="4"/>
      <c r="I23611" s="4"/>
    </row>
    <row r="23612">
      <c r="A23612" s="4" t="str">
        <f>IFERROR(__xludf.DUMMYFUNCTION("""COMPUTED_VALUE"""),"cas_hmw")</f>
        <v>cas_hmw</v>
      </c>
      <c r="B23612" s="5">
        <f>IFERROR(__xludf.DUMMYFUNCTION("""COMPUTED_VALUE"""),44795.0)</f>
        <v>44795</v>
      </c>
      <c r="C23612" s="6">
        <f>IFERROR(__xludf.DUMMYFUNCTION("""COMPUTED_VALUE"""),0.7515972222208802)</f>
        <v>0.7515972222</v>
      </c>
      <c r="D23612" s="4">
        <f>IFERROR(__xludf.DUMMYFUNCTION("""COMPUTED_VALUE"""),13.065796)</f>
        <v>13.065796</v>
      </c>
      <c r="E23612" s="4">
        <f>IFERROR(__xludf.DUMMYFUNCTION("""COMPUTED_VALUE"""),80.247859)</f>
        <v>80.247859</v>
      </c>
      <c r="F23612" s="4">
        <f>IFERROR(__xludf.DUMMYFUNCTION("""COMPUTED_VALUE"""),5339.0)</f>
        <v>5339</v>
      </c>
      <c r="G23612" s="4">
        <f>IFERROR(__xludf.DUMMYFUNCTION("""COMPUTED_VALUE"""),26.0)</f>
        <v>26</v>
      </c>
      <c r="H23612" s="4"/>
      <c r="I23612" s="4"/>
    </row>
    <row r="23613">
      <c r="A23613" s="4" t="str">
        <f>IFERROR(__xludf.DUMMYFUNCTION("""COMPUTED_VALUE"""),"cas_hmw")</f>
        <v>cas_hmw</v>
      </c>
      <c r="B23613" s="5">
        <f>IFERROR(__xludf.DUMMYFUNCTION("""COMPUTED_VALUE"""),44795.0)</f>
        <v>44795</v>
      </c>
      <c r="C23613" s="6">
        <f>IFERROR(__xludf.DUMMYFUNCTION("""COMPUTED_VALUE"""),0.7516319444439432)</f>
        <v>0.7516319444</v>
      </c>
      <c r="D23613" s="4">
        <f>IFERROR(__xludf.DUMMYFUNCTION("""COMPUTED_VALUE"""),13.065796)</f>
        <v>13.065796</v>
      </c>
      <c r="E23613" s="4">
        <f>IFERROR(__xludf.DUMMYFUNCTION("""COMPUTED_VALUE"""),80.247859)</f>
        <v>80.247859</v>
      </c>
      <c r="F23613" s="4">
        <f>IFERROR(__xludf.DUMMYFUNCTION("""COMPUTED_VALUE"""),5339.0)</f>
        <v>5339</v>
      </c>
      <c r="G23613" s="4">
        <f>IFERROR(__xludf.DUMMYFUNCTION("""COMPUTED_VALUE"""),26.0)</f>
        <v>26</v>
      </c>
      <c r="H23613" s="4"/>
      <c r="I23613" s="4"/>
    </row>
    <row r="23614">
      <c r="A23614" s="4" t="str">
        <f>IFERROR(__xludf.DUMMYFUNCTION("""COMPUTED_VALUE"""),"cas_hmw")</f>
        <v>cas_hmw</v>
      </c>
      <c r="B23614" s="5">
        <f>IFERROR(__xludf.DUMMYFUNCTION("""COMPUTED_VALUE"""),44795.0)</f>
        <v>44795</v>
      </c>
      <c r="C23614" s="6">
        <f>IFERROR(__xludf.DUMMYFUNCTION("""COMPUTED_VALUE"""),0.7516435185170849)</f>
        <v>0.7516435185</v>
      </c>
      <c r="D23614" s="4">
        <f>IFERROR(__xludf.DUMMYFUNCTION("""COMPUTED_VALUE"""),13.065796)</f>
        <v>13.065796</v>
      </c>
      <c r="E23614" s="4">
        <f>IFERROR(__xludf.DUMMYFUNCTION("""COMPUTED_VALUE"""),80.247859)</f>
        <v>80.247859</v>
      </c>
      <c r="F23614" s="4">
        <f>IFERROR(__xludf.DUMMYFUNCTION("""COMPUTED_VALUE"""),5339.0)</f>
        <v>5339</v>
      </c>
      <c r="G23614" s="4">
        <f>IFERROR(__xludf.DUMMYFUNCTION("""COMPUTED_VALUE"""),26.0)</f>
        <v>26</v>
      </c>
      <c r="H23614" s="4"/>
      <c r="I23614" s="4"/>
    </row>
    <row r="23615">
      <c r="A23615" s="4" t="str">
        <f>IFERROR(__xludf.DUMMYFUNCTION("""COMPUTED_VALUE"""),"cas_hmw")</f>
        <v>cas_hmw</v>
      </c>
      <c r="B23615" s="5">
        <f>IFERROR(__xludf.DUMMYFUNCTION("""COMPUTED_VALUE"""),44795.0)</f>
        <v>44795</v>
      </c>
      <c r="C23615" s="6">
        <f>IFERROR(__xludf.DUMMYFUNCTION("""COMPUTED_VALUE"""),0.7516550925938645)</f>
        <v>0.7516550926</v>
      </c>
      <c r="D23615" s="4">
        <f>IFERROR(__xludf.DUMMYFUNCTION("""COMPUTED_VALUE"""),13.065796)</f>
        <v>13.065796</v>
      </c>
      <c r="E23615" s="4">
        <f>IFERROR(__xludf.DUMMYFUNCTION("""COMPUTED_VALUE"""),80.247859)</f>
        <v>80.247859</v>
      </c>
      <c r="F23615" s="4">
        <f>IFERROR(__xludf.DUMMYFUNCTION("""COMPUTED_VALUE"""),5339.0)</f>
        <v>5339</v>
      </c>
      <c r="G23615" s="4">
        <f>IFERROR(__xludf.DUMMYFUNCTION("""COMPUTED_VALUE"""),26.0)</f>
        <v>26</v>
      </c>
      <c r="H23615" s="4"/>
      <c r="I23615" s="4"/>
    </row>
    <row r="23616">
      <c r="A23616" s="4" t="str">
        <f>IFERROR(__xludf.DUMMYFUNCTION("""COMPUTED_VALUE"""),"cas_hmw")</f>
        <v>cas_hmw</v>
      </c>
      <c r="B23616" s="5">
        <f>IFERROR(__xludf.DUMMYFUNCTION("""COMPUTED_VALUE"""),44795.0)</f>
        <v>44795</v>
      </c>
      <c r="C23616" s="6">
        <f>IFERROR(__xludf.DUMMYFUNCTION("""COMPUTED_VALUE"""),0.7516666666670062)</f>
        <v>0.7516666667</v>
      </c>
      <c r="D23616" s="4">
        <f>IFERROR(__xludf.DUMMYFUNCTION("""COMPUTED_VALUE"""),13.065796)</f>
        <v>13.065796</v>
      </c>
      <c r="E23616" s="4">
        <f>IFERROR(__xludf.DUMMYFUNCTION("""COMPUTED_VALUE"""),80.247859)</f>
        <v>80.247859</v>
      </c>
      <c r="F23616" s="4">
        <f>IFERROR(__xludf.DUMMYFUNCTION("""COMPUTED_VALUE"""),5339.0)</f>
        <v>5339</v>
      </c>
      <c r="G23616" s="4">
        <f>IFERROR(__xludf.DUMMYFUNCTION("""COMPUTED_VALUE"""),26.0)</f>
        <v>26</v>
      </c>
      <c r="H23616" s="4"/>
      <c r="I23616" s="4"/>
    </row>
    <row r="23617">
      <c r="A23617" s="4" t="str">
        <f>IFERROR(__xludf.DUMMYFUNCTION("""COMPUTED_VALUE"""),"cas_hmw")</f>
        <v>cas_hmw</v>
      </c>
      <c r="B23617" s="5">
        <f>IFERROR(__xludf.DUMMYFUNCTION("""COMPUTED_VALUE"""),44795.0)</f>
        <v>44795</v>
      </c>
      <c r="C23617" s="6">
        <f>IFERROR(__xludf.DUMMYFUNCTION("""COMPUTED_VALUE"""),0.7535300925919728)</f>
        <v>0.7535300926</v>
      </c>
      <c r="D23617" s="4">
        <f>IFERROR(__xludf.DUMMYFUNCTION("""COMPUTED_VALUE"""),12.953836)</f>
        <v>12.953836</v>
      </c>
      <c r="E23617" s="4">
        <f>IFERROR(__xludf.DUMMYFUNCTION("""COMPUTED_VALUE"""),80.161813)</f>
        <v>80.161813</v>
      </c>
      <c r="F23617" s="4">
        <f>IFERROR(__xludf.DUMMYFUNCTION("""COMPUTED_VALUE"""),3143.0)</f>
        <v>3143</v>
      </c>
      <c r="G23617" s="4">
        <f>IFERROR(__xludf.DUMMYFUNCTION("""COMPUTED_VALUE"""),41.0)</f>
        <v>41</v>
      </c>
      <c r="H23617" s="4"/>
      <c r="I23617" s="4"/>
    </row>
    <row r="23618">
      <c r="A23618" s="4" t="str">
        <f>IFERROR(__xludf.DUMMYFUNCTION("""COMPUTED_VALUE"""),"cas_hmw")</f>
        <v>cas_hmw</v>
      </c>
      <c r="B23618" s="5">
        <f>IFERROR(__xludf.DUMMYFUNCTION("""COMPUTED_VALUE"""),44795.0)</f>
        <v>44795</v>
      </c>
      <c r="C23618" s="6">
        <f>IFERROR(__xludf.DUMMYFUNCTION("""COMPUTED_VALUE"""),0.7541782407424762)</f>
        <v>0.7541782407</v>
      </c>
      <c r="D23618" s="4">
        <f>IFERROR(__xludf.DUMMYFUNCTION("""COMPUTED_VALUE"""),12.954629)</f>
        <v>12.954629</v>
      </c>
      <c r="E23618" s="4">
        <f>IFERROR(__xludf.DUMMYFUNCTION("""COMPUTED_VALUE"""),80.158106)</f>
        <v>80.158106</v>
      </c>
      <c r="F23618" s="4">
        <f>IFERROR(__xludf.DUMMYFUNCTION("""COMPUTED_VALUE"""),3143.0)</f>
        <v>3143</v>
      </c>
      <c r="G23618" s="4">
        <f>IFERROR(__xludf.DUMMYFUNCTION("""COMPUTED_VALUE"""),31.0)</f>
        <v>31</v>
      </c>
      <c r="H23618" s="4"/>
      <c r="I23618" s="4"/>
    </row>
    <row r="23619">
      <c r="A23619" s="4" t="str">
        <f>IFERROR(__xludf.DUMMYFUNCTION("""COMPUTED_VALUE"""),"cas_hmw")</f>
        <v>cas_hmw</v>
      </c>
      <c r="B23619" s="5">
        <f>IFERROR(__xludf.DUMMYFUNCTION("""COMPUTED_VALUE"""),44795.0)</f>
        <v>44795</v>
      </c>
      <c r="C23619" s="6">
        <f>IFERROR(__xludf.DUMMYFUNCTION("""COMPUTED_VALUE"""),0.7548148148161999)</f>
        <v>0.7548148148</v>
      </c>
      <c r="D23619" s="4">
        <f>IFERROR(__xludf.DUMMYFUNCTION("""COMPUTED_VALUE"""),12.955912)</f>
        <v>12.955912</v>
      </c>
      <c r="E23619" s="4">
        <f>IFERROR(__xludf.DUMMYFUNCTION("""COMPUTED_VALUE"""),80.152798)</f>
        <v>80.152798</v>
      </c>
      <c r="F23619" s="4">
        <f>IFERROR(__xludf.DUMMYFUNCTION("""COMPUTED_VALUE"""),3143.0)</f>
        <v>3143</v>
      </c>
      <c r="G23619" s="4">
        <f>IFERROR(__xludf.DUMMYFUNCTION("""COMPUTED_VALUE"""),46.0)</f>
        <v>46</v>
      </c>
      <c r="H23619" s="4"/>
      <c r="I23619" s="4"/>
    </row>
    <row r="23620">
      <c r="A23620" s="4" t="str">
        <f>IFERROR(__xludf.DUMMYFUNCTION("""COMPUTED_VALUE"""),"cas_hmw")</f>
        <v>cas_hmw</v>
      </c>
      <c r="B23620" s="5">
        <f>IFERROR(__xludf.DUMMYFUNCTION("""COMPUTED_VALUE"""),44795.0)</f>
        <v>44795</v>
      </c>
      <c r="C23620" s="6">
        <f>IFERROR(__xludf.DUMMYFUNCTION("""COMPUTED_VALUE"""),0.7590856481474475)</f>
        <v>0.7590856481</v>
      </c>
      <c r="D23620" s="4">
        <f>IFERROR(__xludf.DUMMYFUNCTION("""COMPUTED_VALUE"""),12.948357)</f>
        <v>12.948357</v>
      </c>
      <c r="E23620" s="4">
        <f>IFERROR(__xludf.DUMMYFUNCTION("""COMPUTED_VALUE"""),80.137874)</f>
        <v>80.137874</v>
      </c>
      <c r="F23620" s="4">
        <f>IFERROR(__xludf.DUMMYFUNCTION("""COMPUTED_VALUE"""),3143.0)</f>
        <v>3143</v>
      </c>
      <c r="G23620" s="4">
        <f>IFERROR(__xludf.DUMMYFUNCTION("""COMPUTED_VALUE"""),44.0)</f>
        <v>44</v>
      </c>
      <c r="H23620" s="4"/>
      <c r="I23620" s="4"/>
    </row>
    <row r="23621">
      <c r="A23621" s="4" t="str">
        <f>IFERROR(__xludf.DUMMYFUNCTION("""COMPUTED_VALUE"""),"cas_hmw")</f>
        <v>cas_hmw</v>
      </c>
      <c r="B23621" s="5">
        <f>IFERROR(__xludf.DUMMYFUNCTION("""COMPUTED_VALUE"""),44795.0)</f>
        <v>44795</v>
      </c>
      <c r="C23621" s="6">
        <f>IFERROR(__xludf.DUMMYFUNCTION("""COMPUTED_VALUE"""),0.7595601851862739)</f>
        <v>0.7595601852</v>
      </c>
      <c r="D23621" s="4">
        <f>IFERROR(__xludf.DUMMYFUNCTION("""COMPUTED_VALUE"""),12.945036)</f>
        <v>12.945036</v>
      </c>
      <c r="E23621" s="4">
        <f>IFERROR(__xludf.DUMMYFUNCTION("""COMPUTED_VALUE"""),80.135394)</f>
        <v>80.135394</v>
      </c>
      <c r="F23621" s="4">
        <f>IFERROR(__xludf.DUMMYFUNCTION("""COMPUTED_VALUE"""),3143.0)</f>
        <v>3143</v>
      </c>
      <c r="G23621" s="4">
        <f>IFERROR(__xludf.DUMMYFUNCTION("""COMPUTED_VALUE"""),44.0)</f>
        <v>44</v>
      </c>
      <c r="H23621" s="4"/>
      <c r="I23621" s="4"/>
    </row>
    <row r="23622">
      <c r="A23622" s="4" t="str">
        <f>IFERROR(__xludf.DUMMYFUNCTION("""COMPUTED_VALUE"""),"cas_hmw")</f>
        <v>cas_hmw</v>
      </c>
      <c r="B23622" s="5">
        <f>IFERROR(__xludf.DUMMYFUNCTION("""COMPUTED_VALUE"""),44795.0)</f>
        <v>44795</v>
      </c>
      <c r="C23622" s="6">
        <f>IFERROR(__xludf.DUMMYFUNCTION("""COMPUTED_VALUE"""),0.7625925925931369)</f>
        <v>0.7625925926</v>
      </c>
      <c r="D23622" s="4">
        <f>IFERROR(__xludf.DUMMYFUNCTION("""COMPUTED_VALUE"""),12.934907)</f>
        <v>12.934907</v>
      </c>
      <c r="E23622" s="4">
        <f>IFERROR(__xludf.DUMMYFUNCTION("""COMPUTED_VALUE"""),80.126117)</f>
        <v>80.126117</v>
      </c>
      <c r="F23622" s="4">
        <f>IFERROR(__xludf.DUMMYFUNCTION("""COMPUTED_VALUE"""),3143.0)</f>
        <v>3143</v>
      </c>
      <c r="G23622" s="4">
        <f>IFERROR(__xludf.DUMMYFUNCTION("""COMPUTED_VALUE"""),17.0)</f>
        <v>17</v>
      </c>
      <c r="H23622" s="4"/>
      <c r="I23622" s="4"/>
    </row>
    <row r="23623">
      <c r="A23623" s="4" t="str">
        <f>IFERROR(__xludf.DUMMYFUNCTION("""COMPUTED_VALUE"""),"cas_hmw")</f>
        <v>cas_hmw</v>
      </c>
      <c r="B23623" s="5">
        <f>IFERROR(__xludf.DUMMYFUNCTION("""COMPUTED_VALUE"""),44795.0)</f>
        <v>44795</v>
      </c>
      <c r="C23623" s="6">
        <f>IFERROR(__xludf.DUMMYFUNCTION("""COMPUTED_VALUE"""),0.7634143518516794)</f>
        <v>0.7634143519</v>
      </c>
      <c r="D23623" s="4">
        <f>IFERROR(__xludf.DUMMYFUNCTION("""COMPUTED_VALUE"""),12.931244)</f>
        <v>12.931244</v>
      </c>
      <c r="E23623" s="4">
        <f>IFERROR(__xludf.DUMMYFUNCTION("""COMPUTED_VALUE"""),80.122539)</f>
        <v>80.122539</v>
      </c>
      <c r="F23623" s="4">
        <f>IFERROR(__xludf.DUMMYFUNCTION("""COMPUTED_VALUE"""),3143.0)</f>
        <v>3143</v>
      </c>
      <c r="G23623" s="4">
        <f>IFERROR(__xludf.DUMMYFUNCTION("""COMPUTED_VALUE"""),21.0)</f>
        <v>21</v>
      </c>
      <c r="H23623" s="4"/>
      <c r="I23623" s="4"/>
    </row>
    <row r="23624">
      <c r="A23624" s="4" t="str">
        <f>IFERROR(__xludf.DUMMYFUNCTION("""COMPUTED_VALUE"""),"cas_hmw")</f>
        <v>cas_hmw</v>
      </c>
      <c r="B23624" s="5">
        <f>IFERROR(__xludf.DUMMYFUNCTION("""COMPUTED_VALUE"""),44795.0)</f>
        <v>44795</v>
      </c>
      <c r="C23624" s="6">
        <f>IFERROR(__xludf.DUMMYFUNCTION("""COMPUTED_VALUE"""),0.7635532407402934)</f>
        <v>0.7635532407</v>
      </c>
      <c r="D23624" s="4">
        <f>IFERROR(__xludf.DUMMYFUNCTION("""COMPUTED_VALUE"""),12.930174)</f>
        <v>12.930174</v>
      </c>
      <c r="E23624" s="4">
        <f>IFERROR(__xludf.DUMMYFUNCTION("""COMPUTED_VALUE"""),80.121488)</f>
        <v>80.121488</v>
      </c>
      <c r="F23624" s="4">
        <f>IFERROR(__xludf.DUMMYFUNCTION("""COMPUTED_VALUE"""),3143.0)</f>
        <v>3143</v>
      </c>
      <c r="G23624" s="4">
        <f>IFERROR(__xludf.DUMMYFUNCTION("""COMPUTED_VALUE"""),36.0)</f>
        <v>36</v>
      </c>
      <c r="H23624" s="4"/>
      <c r="I23624" s="4"/>
    </row>
    <row r="23625">
      <c r="A23625" s="4" t="str">
        <f>IFERROR(__xludf.DUMMYFUNCTION("""COMPUTED_VALUE"""),"cas_hmw")</f>
        <v>cas_hmw</v>
      </c>
      <c r="B23625" s="5">
        <f>IFERROR(__xludf.DUMMYFUNCTION("""COMPUTED_VALUE"""),44795.0)</f>
        <v>44795</v>
      </c>
      <c r="C23625" s="6">
        <f>IFERROR(__xludf.DUMMYFUNCTION("""COMPUTED_VALUE"""),0.7637037037020491)</f>
        <v>0.7637037037</v>
      </c>
      <c r="D23625" s="4">
        <f>IFERROR(__xludf.DUMMYFUNCTION("""COMPUTED_VALUE"""),12.929551)</f>
        <v>12.929551</v>
      </c>
      <c r="E23625" s="4">
        <f>IFERROR(__xludf.DUMMYFUNCTION("""COMPUTED_VALUE"""),80.12084)</f>
        <v>80.12084</v>
      </c>
      <c r="F23625" s="4">
        <f>IFERROR(__xludf.DUMMYFUNCTION("""COMPUTED_VALUE"""),3143.0)</f>
        <v>3143</v>
      </c>
      <c r="G23625" s="4">
        <f>IFERROR(__xludf.DUMMYFUNCTION("""COMPUTED_VALUE"""),37.0)</f>
        <v>37</v>
      </c>
      <c r="H23625" s="4"/>
      <c r="I23625" s="4"/>
    </row>
    <row r="23626">
      <c r="A23626" s="4" t="str">
        <f>IFERROR(__xludf.DUMMYFUNCTION("""COMPUTED_VALUE"""),"cas_hmw")</f>
        <v>cas_hmw</v>
      </c>
      <c r="B23626" s="5">
        <f>IFERROR(__xludf.DUMMYFUNCTION("""COMPUTED_VALUE"""),44795.0)</f>
        <v>44795</v>
      </c>
      <c r="C23626" s="6">
        <f>IFERROR(__xludf.DUMMYFUNCTION("""COMPUTED_VALUE"""),0.7637499999982538)</f>
        <v>0.76375</v>
      </c>
      <c r="D23626" s="4">
        <f>IFERROR(__xludf.DUMMYFUNCTION("""COMPUTED_VALUE"""),12.929551)</f>
        <v>12.929551</v>
      </c>
      <c r="E23626" s="4">
        <f>IFERROR(__xludf.DUMMYFUNCTION("""COMPUTED_VALUE"""),80.12084)</f>
        <v>80.12084</v>
      </c>
      <c r="F23626" s="4">
        <f>IFERROR(__xludf.DUMMYFUNCTION("""COMPUTED_VALUE"""),3143.0)</f>
        <v>3143</v>
      </c>
      <c r="G23626" s="4">
        <f>IFERROR(__xludf.DUMMYFUNCTION("""COMPUTED_VALUE"""),37.0)</f>
        <v>37</v>
      </c>
      <c r="H23626" s="4"/>
      <c r="I23626" s="4"/>
    </row>
    <row r="23627">
      <c r="A23627" s="4" t="str">
        <f>IFERROR(__xludf.DUMMYFUNCTION("""COMPUTED_VALUE"""),"cas_hmw")</f>
        <v>cas_hmw</v>
      </c>
      <c r="B23627" s="5">
        <f>IFERROR(__xludf.DUMMYFUNCTION("""COMPUTED_VALUE"""),44795.0)</f>
        <v>44795</v>
      </c>
      <c r="C23627" s="6">
        <f>IFERROR(__xludf.DUMMYFUNCTION("""COMPUTED_VALUE"""),0.7655671296306537)</f>
        <v>0.7655671296</v>
      </c>
      <c r="D23627" s="4">
        <f>IFERROR(__xludf.DUMMYFUNCTION("""COMPUTED_VALUE"""),12.921048)</f>
        <v>12.921048</v>
      </c>
      <c r="E23627" s="4">
        <f>IFERROR(__xludf.DUMMYFUNCTION("""COMPUTED_VALUE"""),80.112211)</f>
        <v>80.112211</v>
      </c>
      <c r="F23627" s="4">
        <f>IFERROR(__xludf.DUMMYFUNCTION("""COMPUTED_VALUE"""),3143.0)</f>
        <v>3143</v>
      </c>
      <c r="G23627" s="4">
        <f>IFERROR(__xludf.DUMMYFUNCTION("""COMPUTED_VALUE"""),26.0)</f>
        <v>26</v>
      </c>
      <c r="H23627" s="4"/>
      <c r="I23627" s="4"/>
    </row>
    <row r="23628">
      <c r="A23628" s="4" t="str">
        <f>IFERROR(__xludf.DUMMYFUNCTION("""COMPUTED_VALUE"""),"cas_hmw")</f>
        <v>cas_hmw</v>
      </c>
      <c r="B23628" s="5">
        <f>IFERROR(__xludf.DUMMYFUNCTION("""COMPUTED_VALUE"""),44795.0)</f>
        <v>44795</v>
      </c>
      <c r="C23628" s="6">
        <f>IFERROR(__xludf.DUMMYFUNCTION("""COMPUTED_VALUE"""),0.7670254629629198)</f>
        <v>0.767025463</v>
      </c>
      <c r="D23628" s="4">
        <f>IFERROR(__xludf.DUMMYFUNCTION("""COMPUTED_VALUE"""),12.914686)</f>
        <v>12.914686</v>
      </c>
      <c r="E23628" s="4">
        <f>IFERROR(__xludf.DUMMYFUNCTION("""COMPUTED_VALUE"""),80.102941)</f>
        <v>80.102941</v>
      </c>
      <c r="F23628" s="4">
        <f>IFERROR(__xludf.DUMMYFUNCTION("""COMPUTED_VALUE"""),3143.0)</f>
        <v>3143</v>
      </c>
      <c r="G23628" s="4">
        <f>IFERROR(__xludf.DUMMYFUNCTION("""COMPUTED_VALUE"""),45.0)</f>
        <v>45</v>
      </c>
      <c r="H23628" s="4"/>
      <c r="I23628" s="4"/>
    </row>
    <row r="23629">
      <c r="A23629" s="4" t="str">
        <f>IFERROR(__xludf.DUMMYFUNCTION("""COMPUTED_VALUE"""),"cas_hmw")</f>
        <v>cas_hmw</v>
      </c>
      <c r="B23629" s="5">
        <f>IFERROR(__xludf.DUMMYFUNCTION("""COMPUTED_VALUE"""),44795.0)</f>
        <v>44795</v>
      </c>
      <c r="C23629" s="6">
        <f>IFERROR(__xludf.DUMMYFUNCTION("""COMPUTED_VALUE"""),0.7673263888900692)</f>
        <v>0.7673263889</v>
      </c>
      <c r="D23629" s="4">
        <f>IFERROR(__xludf.DUMMYFUNCTION("""COMPUTED_VALUE"""),12.91341)</f>
        <v>12.91341</v>
      </c>
      <c r="E23629" s="4">
        <f>IFERROR(__xludf.DUMMYFUNCTION("""COMPUTED_VALUE"""),80.10163)</f>
        <v>80.10163</v>
      </c>
      <c r="F23629" s="4">
        <f>IFERROR(__xludf.DUMMYFUNCTION("""COMPUTED_VALUE"""),3143.0)</f>
        <v>3143</v>
      </c>
      <c r="G23629" s="4">
        <f>IFERROR(__xludf.DUMMYFUNCTION("""COMPUTED_VALUE"""),38.0)</f>
        <v>38</v>
      </c>
      <c r="H23629" s="4"/>
      <c r="I23629" s="4"/>
    </row>
    <row r="23630">
      <c r="A23630" s="4" t="str">
        <f>IFERROR(__xludf.DUMMYFUNCTION("""COMPUTED_VALUE"""),"cas_hmw")</f>
        <v>cas_hmw</v>
      </c>
      <c r="B23630" s="5">
        <f>IFERROR(__xludf.DUMMYFUNCTION("""COMPUTED_VALUE"""),44795.0)</f>
        <v>44795</v>
      </c>
      <c r="C23630" s="6">
        <f>IFERROR(__xludf.DUMMYFUNCTION("""COMPUTED_VALUE"""),0.7716782407405844)</f>
        <v>0.7716782407</v>
      </c>
      <c r="D23630" s="4">
        <f>IFERROR(__xludf.DUMMYFUNCTION("""COMPUTED_VALUE"""),12.888906)</f>
        <v>12.888906</v>
      </c>
      <c r="E23630" s="4">
        <f>IFERROR(__xludf.DUMMYFUNCTION("""COMPUTED_VALUE"""),80.084165)</f>
        <v>80.084165</v>
      </c>
      <c r="F23630" s="4">
        <f>IFERROR(__xludf.DUMMYFUNCTION("""COMPUTED_VALUE"""),3143.0)</f>
        <v>3143</v>
      </c>
      <c r="G23630" s="4">
        <f>IFERROR(__xludf.DUMMYFUNCTION("""COMPUTED_VALUE"""),50.0)</f>
        <v>50</v>
      </c>
      <c r="H23630" s="4"/>
      <c r="I23630" s="4"/>
    </row>
    <row r="23631">
      <c r="A23631" s="4" t="str">
        <f>IFERROR(__xludf.DUMMYFUNCTION("""COMPUTED_VALUE"""),"cas_hmw")</f>
        <v>cas_hmw</v>
      </c>
      <c r="B23631" s="5">
        <f>IFERROR(__xludf.DUMMYFUNCTION("""COMPUTED_VALUE"""),44795.0)</f>
        <v>44795</v>
      </c>
      <c r="C23631" s="6">
        <f>IFERROR(__xludf.DUMMYFUNCTION("""COMPUTED_VALUE"""),0.7718055555560568)</f>
        <v>0.7718055556</v>
      </c>
      <c r="D23631" s="4">
        <f>IFERROR(__xludf.DUMMYFUNCTION("""COMPUTED_VALUE"""),12.887753)</f>
        <v>12.887753</v>
      </c>
      <c r="E23631" s="4">
        <f>IFERROR(__xludf.DUMMYFUNCTION("""COMPUTED_VALUE"""),80.083696)</f>
        <v>80.083696</v>
      </c>
      <c r="F23631" s="4">
        <f>IFERROR(__xludf.DUMMYFUNCTION("""COMPUTED_VALUE"""),3143.0)</f>
        <v>3143</v>
      </c>
      <c r="G23631" s="4">
        <f>IFERROR(__xludf.DUMMYFUNCTION("""COMPUTED_VALUE"""),45.0)</f>
        <v>45</v>
      </c>
      <c r="H23631" s="4"/>
      <c r="I23631" s="4"/>
    </row>
    <row r="23632">
      <c r="A23632" s="4" t="str">
        <f>IFERROR(__xludf.DUMMYFUNCTION("""COMPUTED_VALUE"""),"cas_hmw")</f>
        <v>cas_hmw</v>
      </c>
      <c r="B23632" s="5">
        <f>IFERROR(__xludf.DUMMYFUNCTION("""COMPUTED_VALUE"""),44796.0)</f>
        <v>44796</v>
      </c>
      <c r="C23632" s="6">
        <f>IFERROR(__xludf.DUMMYFUNCTION("""COMPUTED_VALUE"""),0.28798611111051287)</f>
        <v>0.2879861111</v>
      </c>
      <c r="D23632" s="4">
        <f>IFERROR(__xludf.DUMMYFUNCTION("""COMPUTED_VALUE"""),12.446401)</f>
        <v>12.446401</v>
      </c>
      <c r="E23632" s="4">
        <f>IFERROR(__xludf.DUMMYFUNCTION("""COMPUTED_VALUE"""),79.838349)</f>
        <v>79.838349</v>
      </c>
      <c r="F23632" s="4">
        <f>IFERROR(__xludf.DUMMYFUNCTION("""COMPUTED_VALUE"""),2846.0)</f>
        <v>2846</v>
      </c>
      <c r="G23632" s="4">
        <f>IFERROR(__xludf.DUMMYFUNCTION("""COMPUTED_VALUE"""),57.0)</f>
        <v>57</v>
      </c>
      <c r="H23632" s="4"/>
      <c r="I23632" s="4"/>
    </row>
    <row r="23633">
      <c r="A23633" s="4" t="str">
        <f>IFERROR(__xludf.DUMMYFUNCTION("""COMPUTED_VALUE"""),"cas_hmw")</f>
        <v>cas_hmw</v>
      </c>
      <c r="B23633" s="5">
        <f>IFERROR(__xludf.DUMMYFUNCTION("""COMPUTED_VALUE"""),44796.0)</f>
        <v>44796</v>
      </c>
      <c r="C23633" s="6">
        <f>IFERROR(__xludf.DUMMYFUNCTION("""COMPUTED_VALUE"""),0.2883333333338669)</f>
        <v>0.2883333333</v>
      </c>
      <c r="D23633" s="4">
        <f>IFERROR(__xludf.DUMMYFUNCTION("""COMPUTED_VALUE"""),12.452797)</f>
        <v>12.452797</v>
      </c>
      <c r="E23633" s="4">
        <f>IFERROR(__xludf.DUMMYFUNCTION("""COMPUTED_VALUE"""),79.841169)</f>
        <v>79.841169</v>
      </c>
      <c r="F23633" s="4">
        <f>IFERROR(__xludf.DUMMYFUNCTION("""COMPUTED_VALUE"""),2846.0)</f>
        <v>2846</v>
      </c>
      <c r="G23633" s="4">
        <f>IFERROR(__xludf.DUMMYFUNCTION("""COMPUTED_VALUE"""),41.0)</f>
        <v>41</v>
      </c>
      <c r="H23633" s="4"/>
      <c r="I23633" s="4"/>
    </row>
    <row r="23634">
      <c r="A23634" s="4" t="str">
        <f>IFERROR(__xludf.DUMMYFUNCTION("""COMPUTED_VALUE"""),"cas_hmw")</f>
        <v>cas_hmw</v>
      </c>
      <c r="B23634" s="5">
        <f>IFERROR(__xludf.DUMMYFUNCTION("""COMPUTED_VALUE"""),44796.0)</f>
        <v>44796</v>
      </c>
      <c r="C23634" s="6">
        <f>IFERROR(__xludf.DUMMYFUNCTION("""COMPUTED_VALUE"""),0.2912847222214623)</f>
        <v>0.2912847222</v>
      </c>
      <c r="D23634" s="4">
        <f>IFERROR(__xludf.DUMMYFUNCTION("""COMPUTED_VALUE"""),12.481637)</f>
        <v>12.481637</v>
      </c>
      <c r="E23634" s="4">
        <f>IFERROR(__xludf.DUMMYFUNCTION("""COMPUTED_VALUE"""),79.860915)</f>
        <v>79.860915</v>
      </c>
      <c r="F23634" s="4">
        <f>IFERROR(__xludf.DUMMYFUNCTION("""COMPUTED_VALUE"""),2846.0)</f>
        <v>2846</v>
      </c>
      <c r="G23634" s="4">
        <f>IFERROR(__xludf.DUMMYFUNCTION("""COMPUTED_VALUE"""),55.0)</f>
        <v>55</v>
      </c>
      <c r="H23634" s="4"/>
      <c r="I23634" s="4"/>
    </row>
    <row r="23635">
      <c r="A23635" s="4" t="str">
        <f>IFERROR(__xludf.DUMMYFUNCTION("""COMPUTED_VALUE"""),"cas_hmw")</f>
        <v>cas_hmw</v>
      </c>
      <c r="B23635" s="5">
        <f>IFERROR(__xludf.DUMMYFUNCTION("""COMPUTED_VALUE"""),44796.0)</f>
        <v>44796</v>
      </c>
      <c r="C23635" s="6">
        <f>IFERROR(__xludf.DUMMYFUNCTION("""COMPUTED_VALUE"""),0.29579861111051287)</f>
        <v>0.2957986111</v>
      </c>
      <c r="D23635" s="4">
        <f>IFERROR(__xludf.DUMMYFUNCTION("""COMPUTED_VALUE"""),12.512715)</f>
        <v>12.512715</v>
      </c>
      <c r="E23635" s="4">
        <f>IFERROR(__xludf.DUMMYFUNCTION("""COMPUTED_VALUE"""),79.886506)</f>
        <v>79.886506</v>
      </c>
      <c r="F23635" s="4">
        <f>IFERROR(__xludf.DUMMYFUNCTION("""COMPUTED_VALUE"""),2846.0)</f>
        <v>2846</v>
      </c>
      <c r="G23635" s="4">
        <f>IFERROR(__xludf.DUMMYFUNCTION("""COMPUTED_VALUE"""),39.0)</f>
        <v>39</v>
      </c>
      <c r="H23635" s="4"/>
      <c r="I23635" s="4"/>
    </row>
    <row r="23636">
      <c r="A23636" s="4" t="str">
        <f>IFERROR(__xludf.DUMMYFUNCTION("""COMPUTED_VALUE"""),"cas_hmw")</f>
        <v>cas_hmw</v>
      </c>
      <c r="B23636" s="5">
        <f>IFERROR(__xludf.DUMMYFUNCTION("""COMPUTED_VALUE"""),44796.0)</f>
        <v>44796</v>
      </c>
      <c r="C23636" s="6">
        <f>IFERROR(__xludf.DUMMYFUNCTION("""COMPUTED_VALUE"""),0.299456018517958)</f>
        <v>0.2994560185</v>
      </c>
      <c r="D23636" s="4">
        <f>IFERROR(__xludf.DUMMYFUNCTION("""COMPUTED_VALUE"""),12.511431)</f>
        <v>12.511431</v>
      </c>
      <c r="E23636" s="4">
        <f>IFERROR(__xludf.DUMMYFUNCTION("""COMPUTED_VALUE"""),79.885344)</f>
        <v>79.885344</v>
      </c>
      <c r="F23636" s="4">
        <f>IFERROR(__xludf.DUMMYFUNCTION("""COMPUTED_VALUE"""),2846.0)</f>
        <v>2846</v>
      </c>
      <c r="G23636" s="4">
        <f>IFERROR(__xludf.DUMMYFUNCTION("""COMPUTED_VALUE"""),21.0)</f>
        <v>21</v>
      </c>
      <c r="H23636" s="4"/>
      <c r="I23636" s="4"/>
    </row>
    <row r="23637">
      <c r="A23637" s="4" t="str">
        <f>IFERROR(__xludf.DUMMYFUNCTION("""COMPUTED_VALUE"""),"cas_hmw")</f>
        <v>cas_hmw</v>
      </c>
      <c r="B23637" s="5">
        <f>IFERROR(__xludf.DUMMYFUNCTION("""COMPUTED_VALUE"""),44796.0)</f>
        <v>44796</v>
      </c>
      <c r="C23637" s="6">
        <f>IFERROR(__xludf.DUMMYFUNCTION("""COMPUTED_VALUE"""),0.31335648148160544)</f>
        <v>0.3133564815</v>
      </c>
      <c r="D23637" s="4">
        <f>IFERROR(__xludf.DUMMYFUNCTION("""COMPUTED_VALUE"""),13.054339)</f>
        <v>13.054339</v>
      </c>
      <c r="E23637" s="4">
        <f>IFERROR(__xludf.DUMMYFUNCTION("""COMPUTED_VALUE"""),80.258779)</f>
        <v>80.258779</v>
      </c>
      <c r="F23637" s="4">
        <f>IFERROR(__xludf.DUMMYFUNCTION("""COMPUTED_VALUE"""),5339.0)</f>
        <v>5339</v>
      </c>
      <c r="G23637" s="4">
        <f>IFERROR(__xludf.DUMMYFUNCTION("""COMPUTED_VALUE"""),28.0)</f>
        <v>28</v>
      </c>
      <c r="H23637" s="4"/>
      <c r="I23637" s="4"/>
    </row>
    <row r="23638">
      <c r="A23638" s="4" t="str">
        <f>IFERROR(__xludf.DUMMYFUNCTION("""COMPUTED_VALUE"""),"cas_hmw")</f>
        <v>cas_hmw</v>
      </c>
      <c r="B23638" s="5">
        <f>IFERROR(__xludf.DUMMYFUNCTION("""COMPUTED_VALUE"""),44796.0)</f>
        <v>44796</v>
      </c>
      <c r="C23638" s="6">
        <f>IFERROR(__xludf.DUMMYFUNCTION("""COMPUTED_VALUE"""),0.31335648148160544)</f>
        <v>0.3133564815</v>
      </c>
      <c r="D23638" s="4">
        <f>IFERROR(__xludf.DUMMYFUNCTION("""COMPUTED_VALUE"""),13.054339)</f>
        <v>13.054339</v>
      </c>
      <c r="E23638" s="4">
        <f>IFERROR(__xludf.DUMMYFUNCTION("""COMPUTED_VALUE"""),80.258779)</f>
        <v>80.258779</v>
      </c>
      <c r="F23638" s="4">
        <f>IFERROR(__xludf.DUMMYFUNCTION("""COMPUTED_VALUE"""),5339.0)</f>
        <v>5339</v>
      </c>
      <c r="G23638" s="4">
        <f>IFERROR(__xludf.DUMMYFUNCTION("""COMPUTED_VALUE"""),28.0)</f>
        <v>28</v>
      </c>
      <c r="H23638" s="4"/>
      <c r="I23638" s="4"/>
    </row>
    <row r="23639">
      <c r="A23639" s="4" t="str">
        <f>IFERROR(__xludf.DUMMYFUNCTION("""COMPUTED_VALUE"""),"cas_hmw")</f>
        <v>cas_hmw</v>
      </c>
      <c r="B23639" s="5">
        <f>IFERROR(__xludf.DUMMYFUNCTION("""COMPUTED_VALUE"""),44796.0)</f>
        <v>44796</v>
      </c>
      <c r="C23639" s="6">
        <f>IFERROR(__xludf.DUMMYFUNCTION("""COMPUTED_VALUE"""),0.31481481481387164)</f>
        <v>0.3148148148</v>
      </c>
      <c r="D23639" s="4">
        <f>IFERROR(__xludf.DUMMYFUNCTION("""COMPUTED_VALUE"""),13.049184)</f>
        <v>13.049184</v>
      </c>
      <c r="E23639" s="4">
        <f>IFERROR(__xludf.DUMMYFUNCTION("""COMPUTED_VALUE"""),80.249764)</f>
        <v>80.249764</v>
      </c>
      <c r="F23639" s="4">
        <f>IFERROR(__xludf.DUMMYFUNCTION("""COMPUTED_VALUE"""),5339.0)</f>
        <v>5339</v>
      </c>
      <c r="G23639" s="4">
        <f>IFERROR(__xludf.DUMMYFUNCTION("""COMPUTED_VALUE"""),40.0)</f>
        <v>40</v>
      </c>
      <c r="H23639" s="4"/>
      <c r="I23639" s="4"/>
    </row>
    <row r="23640">
      <c r="A23640" s="4" t="str">
        <f>IFERROR(__xludf.DUMMYFUNCTION("""COMPUTED_VALUE"""),"cas_hmw")</f>
        <v>cas_hmw</v>
      </c>
      <c r="B23640" s="5">
        <f>IFERROR(__xludf.DUMMYFUNCTION("""COMPUTED_VALUE"""),44796.0)</f>
        <v>44796</v>
      </c>
      <c r="C23640" s="6">
        <f>IFERROR(__xludf.DUMMYFUNCTION("""COMPUTED_VALUE"""),0.3149305555562023)</f>
        <v>0.3149305556</v>
      </c>
      <c r="D23640" s="4">
        <f>IFERROR(__xludf.DUMMYFUNCTION("""COMPUTED_VALUE"""),13.04828)</f>
        <v>13.04828</v>
      </c>
      <c r="E23640" s="4">
        <f>IFERROR(__xludf.DUMMYFUNCTION("""COMPUTED_VALUE"""),80.249524)</f>
        <v>80.249524</v>
      </c>
      <c r="F23640" s="4">
        <f>IFERROR(__xludf.DUMMYFUNCTION("""COMPUTED_VALUE"""),5339.0)</f>
        <v>5339</v>
      </c>
      <c r="G23640" s="4">
        <f>IFERROR(__xludf.DUMMYFUNCTION("""COMPUTED_VALUE"""),36.0)</f>
        <v>36</v>
      </c>
      <c r="H23640" s="4"/>
      <c r="I23640" s="4"/>
    </row>
    <row r="23641">
      <c r="A23641" s="4" t="str">
        <f>IFERROR(__xludf.DUMMYFUNCTION("""COMPUTED_VALUE"""),"cas_hmw")</f>
        <v>cas_hmw</v>
      </c>
      <c r="B23641" s="5">
        <f>IFERROR(__xludf.DUMMYFUNCTION("""COMPUTED_VALUE"""),44796.0)</f>
        <v>44796</v>
      </c>
      <c r="C23641" s="6">
        <f>IFERROR(__xludf.DUMMYFUNCTION("""COMPUTED_VALUE"""),0.31542824074131204)</f>
        <v>0.3154282407</v>
      </c>
      <c r="D23641" s="4">
        <f>IFERROR(__xludf.DUMMYFUNCTION("""COMPUTED_VALUE"""),13.045466)</f>
        <v>13.045466</v>
      </c>
      <c r="E23641" s="4">
        <f>IFERROR(__xludf.DUMMYFUNCTION("""COMPUTED_VALUE"""),80.248195)</f>
        <v>80.248195</v>
      </c>
      <c r="F23641" s="4">
        <f>IFERROR(__xludf.DUMMYFUNCTION("""COMPUTED_VALUE"""),5339.0)</f>
        <v>5339</v>
      </c>
      <c r="G23641" s="4">
        <f>IFERROR(__xludf.DUMMYFUNCTION("""COMPUTED_VALUE"""),20.0)</f>
        <v>20</v>
      </c>
      <c r="H23641" s="4"/>
      <c r="I23641" s="4"/>
    </row>
    <row r="23642">
      <c r="A23642" s="4" t="str">
        <f>IFERROR(__xludf.DUMMYFUNCTION("""COMPUTED_VALUE"""),"cas_hmw")</f>
        <v>cas_hmw</v>
      </c>
      <c r="B23642" s="5">
        <f>IFERROR(__xludf.DUMMYFUNCTION("""COMPUTED_VALUE"""),44796.0)</f>
        <v>44796</v>
      </c>
      <c r="C23642" s="6">
        <f>IFERROR(__xludf.DUMMYFUNCTION("""COMPUTED_VALUE"""),0.31542824074131204)</f>
        <v>0.3154282407</v>
      </c>
      <c r="D23642" s="4">
        <f>IFERROR(__xludf.DUMMYFUNCTION("""COMPUTED_VALUE"""),13.045466)</f>
        <v>13.045466</v>
      </c>
      <c r="E23642" s="4">
        <f>IFERROR(__xludf.DUMMYFUNCTION("""COMPUTED_VALUE"""),80.248195)</f>
        <v>80.248195</v>
      </c>
      <c r="F23642" s="4">
        <f>IFERROR(__xludf.DUMMYFUNCTION("""COMPUTED_VALUE"""),5339.0)</f>
        <v>5339</v>
      </c>
      <c r="G23642" s="4">
        <f>IFERROR(__xludf.DUMMYFUNCTION("""COMPUTED_VALUE"""),20.0)</f>
        <v>20</v>
      </c>
      <c r="H23642" s="4"/>
      <c r="I23642" s="4"/>
    </row>
    <row r="23643">
      <c r="A23643" s="4" t="str">
        <f>IFERROR(__xludf.DUMMYFUNCTION("""COMPUTED_VALUE"""),"cas_hmw")</f>
        <v>cas_hmw</v>
      </c>
      <c r="B23643" s="5">
        <f>IFERROR(__xludf.DUMMYFUNCTION("""COMPUTED_VALUE"""),44796.0)</f>
        <v>44796</v>
      </c>
      <c r="C23643" s="6">
        <f>IFERROR(__xludf.DUMMYFUNCTION("""COMPUTED_VALUE"""),0.31585648148029577)</f>
        <v>0.3158564815</v>
      </c>
      <c r="D23643" s="4">
        <f>IFERROR(__xludf.DUMMYFUNCTION("""COMPUTED_VALUE"""),13.042253)</f>
        <v>13.042253</v>
      </c>
      <c r="E23643" s="4">
        <f>IFERROR(__xludf.DUMMYFUNCTION("""COMPUTED_VALUE"""),80.247577)</f>
        <v>80.247577</v>
      </c>
      <c r="F23643" s="4">
        <f>IFERROR(__xludf.DUMMYFUNCTION("""COMPUTED_VALUE"""),5339.0)</f>
        <v>5339</v>
      </c>
      <c r="G23643" s="4">
        <f>IFERROR(__xludf.DUMMYFUNCTION("""COMPUTED_VALUE"""),36.0)</f>
        <v>36</v>
      </c>
      <c r="H23643" s="4"/>
      <c r="I23643" s="4"/>
    </row>
    <row r="23644">
      <c r="A23644" s="4" t="str">
        <f>IFERROR(__xludf.DUMMYFUNCTION("""COMPUTED_VALUE"""),"cas_hmw")</f>
        <v>cas_hmw</v>
      </c>
      <c r="B23644" s="5">
        <f>IFERROR(__xludf.DUMMYFUNCTION("""COMPUTED_VALUE"""),44796.0)</f>
        <v>44796</v>
      </c>
      <c r="C23644" s="6">
        <f>IFERROR(__xludf.DUMMYFUNCTION("""COMPUTED_VALUE"""),0.3170370370353339)</f>
        <v>0.317037037</v>
      </c>
      <c r="D23644" s="4">
        <f>IFERROR(__xludf.DUMMYFUNCTION("""COMPUTED_VALUE"""),13.038855)</f>
        <v>13.038855</v>
      </c>
      <c r="E23644" s="4">
        <f>IFERROR(__xludf.DUMMYFUNCTION("""COMPUTED_VALUE"""),80.246938)</f>
        <v>80.246938</v>
      </c>
      <c r="F23644" s="4">
        <f>IFERROR(__xludf.DUMMYFUNCTION("""COMPUTED_VALUE"""),5339.0)</f>
        <v>5339</v>
      </c>
      <c r="G23644" s="4">
        <f>IFERROR(__xludf.DUMMYFUNCTION("""COMPUTED_VALUE"""),26.0)</f>
        <v>26</v>
      </c>
      <c r="H23644" s="4"/>
      <c r="I23644" s="4"/>
    </row>
    <row r="23645">
      <c r="A23645" s="4" t="str">
        <f>IFERROR(__xludf.DUMMYFUNCTION("""COMPUTED_VALUE"""),"cas_hmw")</f>
        <v>cas_hmw</v>
      </c>
      <c r="B23645" s="5">
        <f>IFERROR(__xludf.DUMMYFUNCTION("""COMPUTED_VALUE"""),44796.0)</f>
        <v>44796</v>
      </c>
      <c r="C23645" s="6">
        <f>IFERROR(__xludf.DUMMYFUNCTION("""COMPUTED_VALUE"""),0.3171875000007276)</f>
        <v>0.3171875</v>
      </c>
      <c r="D23645" s="4">
        <f>IFERROR(__xludf.DUMMYFUNCTION("""COMPUTED_VALUE"""),13.038076)</f>
        <v>13.038076</v>
      </c>
      <c r="E23645" s="4">
        <f>IFERROR(__xludf.DUMMYFUNCTION("""COMPUTED_VALUE"""),80.246744)</f>
        <v>80.246744</v>
      </c>
      <c r="F23645" s="4">
        <f>IFERROR(__xludf.DUMMYFUNCTION("""COMPUTED_VALUE"""),5339.0)</f>
        <v>5339</v>
      </c>
      <c r="G23645" s="4">
        <f>IFERROR(__xludf.DUMMYFUNCTION("""COMPUTED_VALUE"""),33.0)</f>
        <v>33</v>
      </c>
      <c r="H23645" s="4"/>
      <c r="I23645" s="4"/>
    </row>
    <row r="23646">
      <c r="A23646" s="4" t="str">
        <f>IFERROR(__xludf.DUMMYFUNCTION("""COMPUTED_VALUE"""),"cas_hmw")</f>
        <v>cas_hmw</v>
      </c>
      <c r="B23646" s="5">
        <f>IFERROR(__xludf.DUMMYFUNCTION("""COMPUTED_VALUE"""),44796.0)</f>
        <v>44796</v>
      </c>
      <c r="C23646" s="6">
        <f>IFERROR(__xludf.DUMMYFUNCTION("""COMPUTED_VALUE"""),0.31836805555576575)</f>
        <v>0.3183680556</v>
      </c>
      <c r="D23646" s="4">
        <f>IFERROR(__xludf.DUMMYFUNCTION("""COMPUTED_VALUE"""),13.033528)</f>
        <v>13.033528</v>
      </c>
      <c r="E23646" s="4">
        <f>IFERROR(__xludf.DUMMYFUNCTION("""COMPUTED_VALUE"""),80.244104)</f>
        <v>80.244104</v>
      </c>
      <c r="F23646" s="4">
        <f>IFERROR(__xludf.DUMMYFUNCTION("""COMPUTED_VALUE"""),5339.0)</f>
        <v>5339</v>
      </c>
      <c r="G23646" s="4">
        <f>IFERROR(__xludf.DUMMYFUNCTION("""COMPUTED_VALUE"""),32.0)</f>
        <v>32</v>
      </c>
      <c r="H23646" s="4"/>
      <c r="I23646" s="4"/>
    </row>
    <row r="23647">
      <c r="A23647" s="4" t="str">
        <f>IFERROR(__xludf.DUMMYFUNCTION("""COMPUTED_VALUE"""),"cas_hmw")</f>
        <v>cas_hmw</v>
      </c>
      <c r="B23647" s="5">
        <f>IFERROR(__xludf.DUMMYFUNCTION("""COMPUTED_VALUE"""),44796.0)</f>
        <v>44796</v>
      </c>
      <c r="C23647" s="6">
        <f>IFERROR(__xludf.DUMMYFUNCTION("""COMPUTED_VALUE"""),0.3183796296289074)</f>
        <v>0.3183796296</v>
      </c>
      <c r="D23647" s="4">
        <f>IFERROR(__xludf.DUMMYFUNCTION("""COMPUTED_VALUE"""),13.033528)</f>
        <v>13.033528</v>
      </c>
      <c r="E23647" s="4">
        <f>IFERROR(__xludf.DUMMYFUNCTION("""COMPUTED_VALUE"""),80.244104)</f>
        <v>80.244104</v>
      </c>
      <c r="F23647" s="4">
        <f>IFERROR(__xludf.DUMMYFUNCTION("""COMPUTED_VALUE"""),5339.0)</f>
        <v>5339</v>
      </c>
      <c r="G23647" s="4">
        <f>IFERROR(__xludf.DUMMYFUNCTION("""COMPUTED_VALUE"""),32.0)</f>
        <v>32</v>
      </c>
      <c r="H23647" s="4"/>
      <c r="I23647" s="4"/>
    </row>
    <row r="23648">
      <c r="A23648" s="4" t="str">
        <f>IFERROR(__xludf.DUMMYFUNCTION("""COMPUTED_VALUE"""),"cas_hmw")</f>
        <v>cas_hmw</v>
      </c>
      <c r="B23648" s="5">
        <f>IFERROR(__xludf.DUMMYFUNCTION("""COMPUTED_VALUE"""),44796.0)</f>
        <v>44796</v>
      </c>
      <c r="C23648" s="6">
        <f>IFERROR(__xludf.DUMMYFUNCTION("""COMPUTED_VALUE"""),0.3204976851848187)</f>
        <v>0.3204976852</v>
      </c>
      <c r="D23648" s="4">
        <f>IFERROR(__xludf.DUMMYFUNCTION("""COMPUTED_VALUE"""),13.030907)</f>
        <v>13.030907</v>
      </c>
      <c r="E23648" s="4">
        <f>IFERROR(__xludf.DUMMYFUNCTION("""COMPUTED_VALUE"""),80.2396)</f>
        <v>80.2396</v>
      </c>
      <c r="F23648" s="4">
        <f>IFERROR(__xludf.DUMMYFUNCTION("""COMPUTED_VALUE"""),5339.0)</f>
        <v>5339</v>
      </c>
      <c r="G23648" s="4">
        <f>IFERROR(__xludf.DUMMYFUNCTION("""COMPUTED_VALUE"""),27.0)</f>
        <v>27</v>
      </c>
      <c r="H23648" s="4"/>
      <c r="I23648" s="4"/>
    </row>
    <row r="23649">
      <c r="A23649" s="4" t="str">
        <f>IFERROR(__xludf.DUMMYFUNCTION("""COMPUTED_VALUE"""),"cas_hmw")</f>
        <v>cas_hmw</v>
      </c>
      <c r="B23649" s="5">
        <f>IFERROR(__xludf.DUMMYFUNCTION("""COMPUTED_VALUE"""),44796.0)</f>
        <v>44796</v>
      </c>
      <c r="C23649" s="6">
        <f>IFERROR(__xludf.DUMMYFUNCTION("""COMPUTED_VALUE"""),0.32052083333474)</f>
        <v>0.3205208333</v>
      </c>
      <c r="D23649" s="4">
        <f>IFERROR(__xludf.DUMMYFUNCTION("""COMPUTED_VALUE"""),13.030907)</f>
        <v>13.030907</v>
      </c>
      <c r="E23649" s="4">
        <f>IFERROR(__xludf.DUMMYFUNCTION("""COMPUTED_VALUE"""),80.2396)</f>
        <v>80.2396</v>
      </c>
      <c r="F23649" s="4">
        <f>IFERROR(__xludf.DUMMYFUNCTION("""COMPUTED_VALUE"""),5339.0)</f>
        <v>5339</v>
      </c>
      <c r="G23649" s="4">
        <f>IFERROR(__xludf.DUMMYFUNCTION("""COMPUTED_VALUE"""),27.0)</f>
        <v>27</v>
      </c>
      <c r="H23649" s="4"/>
      <c r="I23649" s="4"/>
    </row>
    <row r="23650">
      <c r="A23650" s="4" t="str">
        <f>IFERROR(__xludf.DUMMYFUNCTION("""COMPUTED_VALUE"""),"cas_hmw")</f>
        <v>cas_hmw</v>
      </c>
      <c r="B23650" s="5">
        <f>IFERROR(__xludf.DUMMYFUNCTION("""COMPUTED_VALUE"""),44796.0)</f>
        <v>44796</v>
      </c>
      <c r="C23650" s="6">
        <f>IFERROR(__xludf.DUMMYFUNCTION("""COMPUTED_VALUE"""),0.3206365740734327)</f>
        <v>0.3206365741</v>
      </c>
      <c r="D23650" s="4">
        <f>IFERROR(__xludf.DUMMYFUNCTION("""COMPUTED_VALUE"""),13.030461)</f>
        <v>13.030461</v>
      </c>
      <c r="E23650" s="4">
        <f>IFERROR(__xludf.DUMMYFUNCTION("""COMPUTED_VALUE"""),80.238759)</f>
        <v>80.238759</v>
      </c>
      <c r="F23650" s="4">
        <f>IFERROR(__xludf.DUMMYFUNCTION("""COMPUTED_VALUE"""),5339.0)</f>
        <v>5339</v>
      </c>
      <c r="G23650" s="4">
        <f>IFERROR(__xludf.DUMMYFUNCTION("""COMPUTED_VALUE"""),43.0)</f>
        <v>43</v>
      </c>
      <c r="H23650" s="4"/>
      <c r="I23650" s="4"/>
    </row>
    <row r="23651">
      <c r="A23651" s="4" t="str">
        <f>IFERROR(__xludf.DUMMYFUNCTION("""COMPUTED_VALUE"""),"cas_hmw")</f>
        <v>cas_hmw</v>
      </c>
      <c r="B23651" s="5">
        <f>IFERROR(__xludf.DUMMYFUNCTION("""COMPUTED_VALUE"""),44796.0)</f>
        <v>44796</v>
      </c>
      <c r="C23651" s="6">
        <f>IFERROR(__xludf.DUMMYFUNCTION("""COMPUTED_VALUE"""),0.3210069444430701)</f>
        <v>0.3210069444</v>
      </c>
      <c r="D23651" s="4">
        <f>IFERROR(__xludf.DUMMYFUNCTION("""COMPUTED_VALUE"""),13.028334)</f>
        <v>13.028334</v>
      </c>
      <c r="E23651" s="4">
        <f>IFERROR(__xludf.DUMMYFUNCTION("""COMPUTED_VALUE"""),80.235847)</f>
        <v>80.235847</v>
      </c>
      <c r="F23651" s="4">
        <f>IFERROR(__xludf.DUMMYFUNCTION("""COMPUTED_VALUE"""),5339.0)</f>
        <v>5339</v>
      </c>
      <c r="G23651" s="4">
        <f>IFERROR(__xludf.DUMMYFUNCTION("""COMPUTED_VALUE"""),50.0)</f>
        <v>50</v>
      </c>
      <c r="H23651" s="4"/>
      <c r="I23651" s="4"/>
    </row>
    <row r="23652">
      <c r="A23652" s="4" t="str">
        <f>IFERROR(__xludf.DUMMYFUNCTION("""COMPUTED_VALUE"""),"cas_hmw")</f>
        <v>cas_hmw</v>
      </c>
      <c r="B23652" s="5">
        <f>IFERROR(__xludf.DUMMYFUNCTION("""COMPUTED_VALUE"""),44796.0)</f>
        <v>44796</v>
      </c>
      <c r="C23652" s="6">
        <f>IFERROR(__xludf.DUMMYFUNCTION("""COMPUTED_VALUE"""),0.32120370370466844)</f>
        <v>0.3212037037</v>
      </c>
      <c r="D23652" s="4">
        <f>IFERROR(__xludf.DUMMYFUNCTION("""COMPUTED_VALUE"""),13.026986)</f>
        <v>13.026986</v>
      </c>
      <c r="E23652" s="4">
        <f>IFERROR(__xludf.DUMMYFUNCTION("""COMPUTED_VALUE"""),80.233766)</f>
        <v>80.233766</v>
      </c>
      <c r="F23652" s="4">
        <f>IFERROR(__xludf.DUMMYFUNCTION("""COMPUTED_VALUE"""),5339.0)</f>
        <v>5339</v>
      </c>
      <c r="G23652" s="4">
        <f>IFERROR(__xludf.DUMMYFUNCTION("""COMPUTED_VALUE"""),45.0)</f>
        <v>45</v>
      </c>
      <c r="H23652" s="4"/>
      <c r="I23652" s="4"/>
    </row>
    <row r="23653">
      <c r="A23653" s="4" t="str">
        <f>IFERROR(__xludf.DUMMYFUNCTION("""COMPUTED_VALUE"""),"cas_hmw")</f>
        <v>cas_hmw</v>
      </c>
      <c r="B23653" s="5">
        <f>IFERROR(__xludf.DUMMYFUNCTION("""COMPUTED_VALUE"""),44796.0)</f>
        <v>44796</v>
      </c>
      <c r="C23653" s="6">
        <f>IFERROR(__xludf.DUMMYFUNCTION("""COMPUTED_VALUE"""),0.3212962962970778)</f>
        <v>0.3212962963</v>
      </c>
      <c r="D23653" s="4">
        <f>IFERROR(__xludf.DUMMYFUNCTION("""COMPUTED_VALUE"""),13.026399)</f>
        <v>13.026399</v>
      </c>
      <c r="E23653" s="4">
        <f>IFERROR(__xludf.DUMMYFUNCTION("""COMPUTED_VALUE"""),80.232711)</f>
        <v>80.232711</v>
      </c>
      <c r="F23653" s="4">
        <f>IFERROR(__xludf.DUMMYFUNCTION("""COMPUTED_VALUE"""),5339.0)</f>
        <v>5339</v>
      </c>
      <c r="G23653" s="4">
        <f>IFERROR(__xludf.DUMMYFUNCTION("""COMPUTED_VALUE"""),47.0)</f>
        <v>47</v>
      </c>
      <c r="H23653" s="4"/>
      <c r="I23653" s="4"/>
    </row>
    <row r="23654">
      <c r="A23654" s="4" t="str">
        <f>IFERROR(__xludf.DUMMYFUNCTION("""COMPUTED_VALUE"""),"cas_hmw")</f>
        <v>cas_hmw</v>
      </c>
      <c r="B23654" s="5">
        <f>IFERROR(__xludf.DUMMYFUNCTION("""COMPUTED_VALUE"""),44796.0)</f>
        <v>44796</v>
      </c>
      <c r="C23654" s="6">
        <f>IFERROR(__xludf.DUMMYFUNCTION("""COMPUTED_VALUE"""),0.3216550925935735)</f>
        <v>0.3216550926</v>
      </c>
      <c r="D23654" s="4">
        <f>IFERROR(__xludf.DUMMYFUNCTION("""COMPUTED_VALUE"""),13.024953)</f>
        <v>13.024953</v>
      </c>
      <c r="E23654" s="4">
        <f>IFERROR(__xludf.DUMMYFUNCTION("""COMPUTED_VALUE"""),80.229403)</f>
        <v>80.229403</v>
      </c>
      <c r="F23654" s="4">
        <f>IFERROR(__xludf.DUMMYFUNCTION("""COMPUTED_VALUE"""),5339.0)</f>
        <v>5339</v>
      </c>
      <c r="G23654" s="4">
        <f>IFERROR(__xludf.DUMMYFUNCTION("""COMPUTED_VALUE"""),48.0)</f>
        <v>48</v>
      </c>
      <c r="H23654" s="4"/>
      <c r="I23654" s="4"/>
    </row>
    <row r="23655">
      <c r="A23655" s="4" t="str">
        <f>IFERROR(__xludf.DUMMYFUNCTION("""COMPUTED_VALUE"""),"cas_hmw")</f>
        <v>cas_hmw</v>
      </c>
      <c r="B23655" s="5">
        <f>IFERROR(__xludf.DUMMYFUNCTION("""COMPUTED_VALUE"""),44796.0)</f>
        <v>44796</v>
      </c>
      <c r="C23655" s="6">
        <f>IFERROR(__xludf.DUMMYFUNCTION("""COMPUTED_VALUE"""),0.323136574075761)</f>
        <v>0.3231365741</v>
      </c>
      <c r="D23655" s="4">
        <f>IFERROR(__xludf.DUMMYFUNCTION("""COMPUTED_VALUE"""),13.013518)</f>
        <v>13.013518</v>
      </c>
      <c r="E23655" s="4">
        <f>IFERROR(__xludf.DUMMYFUNCTION("""COMPUTED_VALUE"""),80.226574)</f>
        <v>80.226574</v>
      </c>
      <c r="F23655" s="4">
        <f>IFERROR(__xludf.DUMMYFUNCTION("""COMPUTED_VALUE"""),5339.0)</f>
        <v>5339</v>
      </c>
      <c r="G23655" s="4">
        <f>IFERROR(__xludf.DUMMYFUNCTION("""COMPUTED_VALUE"""),47.0)</f>
        <v>47</v>
      </c>
      <c r="H23655" s="4"/>
      <c r="I23655" s="4"/>
    </row>
    <row r="23656">
      <c r="A23656" s="4" t="str">
        <f>IFERROR(__xludf.DUMMYFUNCTION("""COMPUTED_VALUE"""),"cas_hmw")</f>
        <v>cas_hmw</v>
      </c>
      <c r="B23656" s="5">
        <f>IFERROR(__xludf.DUMMYFUNCTION("""COMPUTED_VALUE"""),44796.0)</f>
        <v>44796</v>
      </c>
      <c r="C23656" s="6">
        <f>IFERROR(__xludf.DUMMYFUNCTION("""COMPUTED_VALUE"""),0.3243055555540195)</f>
        <v>0.3243055556</v>
      </c>
      <c r="D23656" s="4">
        <f>IFERROR(__xludf.DUMMYFUNCTION("""COMPUTED_VALUE"""),13.011754)</f>
        <v>13.011754</v>
      </c>
      <c r="E23656" s="4">
        <f>IFERROR(__xludf.DUMMYFUNCTION("""COMPUTED_VALUE"""),80.222376)</f>
        <v>80.222376</v>
      </c>
      <c r="F23656" s="4">
        <f>IFERROR(__xludf.DUMMYFUNCTION("""COMPUTED_VALUE"""),5339.0)</f>
        <v>5339</v>
      </c>
      <c r="G23656" s="4">
        <f>IFERROR(__xludf.DUMMYFUNCTION("""COMPUTED_VALUE"""),36.0)</f>
        <v>36</v>
      </c>
      <c r="H23656" s="4"/>
      <c r="I23656" s="4"/>
    </row>
    <row r="23657">
      <c r="A23657" s="4" t="str">
        <f>IFERROR(__xludf.DUMMYFUNCTION("""COMPUTED_VALUE"""),"cas_hmw")</f>
        <v>cas_hmw</v>
      </c>
      <c r="B23657" s="5">
        <f>IFERROR(__xludf.DUMMYFUNCTION("""COMPUTED_VALUE"""),44796.0)</f>
        <v>44796</v>
      </c>
      <c r="C23657" s="6">
        <f>IFERROR(__xludf.DUMMYFUNCTION("""COMPUTED_VALUE"""),0.32512731481619994)</f>
        <v>0.3251273148</v>
      </c>
      <c r="D23657" s="4">
        <f>IFERROR(__xludf.DUMMYFUNCTION("""COMPUTED_VALUE"""),12.535272)</f>
        <v>12.535272</v>
      </c>
      <c r="E23657" s="4">
        <f>IFERROR(__xludf.DUMMYFUNCTION("""COMPUTED_VALUE"""),79.90192)</f>
        <v>79.90192</v>
      </c>
      <c r="F23657" s="4">
        <f>IFERROR(__xludf.DUMMYFUNCTION("""COMPUTED_VALUE"""),2846.0)</f>
        <v>2846</v>
      </c>
      <c r="G23657" s="4">
        <f>IFERROR(__xludf.DUMMYFUNCTION("""COMPUTED_VALUE"""),43.0)</f>
        <v>43</v>
      </c>
      <c r="H23657" s="4"/>
      <c r="I23657" s="4"/>
    </row>
    <row r="23658">
      <c r="A23658" s="4" t="str">
        <f>IFERROR(__xludf.DUMMYFUNCTION("""COMPUTED_VALUE"""),"cas_hmw")</f>
        <v>cas_hmw</v>
      </c>
      <c r="B23658" s="5">
        <f>IFERROR(__xludf.DUMMYFUNCTION("""COMPUTED_VALUE"""),44796.0)</f>
        <v>44796</v>
      </c>
      <c r="C23658" s="6">
        <f>IFERROR(__xludf.DUMMYFUNCTION("""COMPUTED_VALUE"""),0.32597222222102573)</f>
        <v>0.3259722222</v>
      </c>
      <c r="D23658" s="4">
        <f>IFERROR(__xludf.DUMMYFUNCTION("""COMPUTED_VALUE"""),13.008356)</f>
        <v>13.008356</v>
      </c>
      <c r="E23658" s="4">
        <f>IFERROR(__xludf.DUMMYFUNCTION("""COMPUTED_VALUE"""),80.210154)</f>
        <v>80.210154</v>
      </c>
      <c r="F23658" s="4">
        <f>IFERROR(__xludf.DUMMYFUNCTION("""COMPUTED_VALUE"""),5339.0)</f>
        <v>5339</v>
      </c>
      <c r="G23658" s="4">
        <f>IFERROR(__xludf.DUMMYFUNCTION("""COMPUTED_VALUE"""),39.0)</f>
        <v>39</v>
      </c>
      <c r="H23658" s="4"/>
      <c r="I23658" s="4"/>
    </row>
    <row r="23659">
      <c r="A23659" s="4" t="str">
        <f>IFERROR(__xludf.DUMMYFUNCTION("""COMPUTED_VALUE"""),"cas_hmw")</f>
        <v>cas_hmw</v>
      </c>
      <c r="B23659" s="5">
        <f>IFERROR(__xludf.DUMMYFUNCTION("""COMPUTED_VALUE"""),44796.0)</f>
        <v>44796</v>
      </c>
      <c r="C23659" s="6">
        <f>IFERROR(__xludf.DUMMYFUNCTION("""COMPUTED_VALUE"""),0.3261574074058444)</f>
        <v>0.3261574074</v>
      </c>
      <c r="D23659" s="4">
        <f>IFERROR(__xludf.DUMMYFUNCTION("""COMPUTED_VALUE"""),13.007975)</f>
        <v>13.007975</v>
      </c>
      <c r="E23659" s="4">
        <f>IFERROR(__xludf.DUMMYFUNCTION("""COMPUTED_VALUE"""),80.208581)</f>
        <v>80.208581</v>
      </c>
      <c r="F23659" s="4">
        <f>IFERROR(__xludf.DUMMYFUNCTION("""COMPUTED_VALUE"""),5339.0)</f>
        <v>5339</v>
      </c>
      <c r="G23659" s="4">
        <f>IFERROR(__xludf.DUMMYFUNCTION("""COMPUTED_VALUE"""),24.0)</f>
        <v>24</v>
      </c>
      <c r="H23659" s="4"/>
      <c r="I23659" s="4"/>
    </row>
    <row r="23660">
      <c r="A23660" s="4" t="str">
        <f>IFERROR(__xludf.DUMMYFUNCTION("""COMPUTED_VALUE"""),"cas_hmw")</f>
        <v>cas_hmw</v>
      </c>
      <c r="B23660" s="5">
        <f>IFERROR(__xludf.DUMMYFUNCTION("""COMPUTED_VALUE"""),44796.0)</f>
        <v>44796</v>
      </c>
      <c r="C23660" s="6">
        <f>IFERROR(__xludf.DUMMYFUNCTION("""COMPUTED_VALUE"""),0.3262268518519704)</f>
        <v>0.3262268519</v>
      </c>
      <c r="D23660" s="4">
        <f>IFERROR(__xludf.DUMMYFUNCTION("""COMPUTED_VALUE"""),13.007975)</f>
        <v>13.007975</v>
      </c>
      <c r="E23660" s="4">
        <f>IFERROR(__xludf.DUMMYFUNCTION("""COMPUTED_VALUE"""),80.208581)</f>
        <v>80.208581</v>
      </c>
      <c r="F23660" s="4">
        <f>IFERROR(__xludf.DUMMYFUNCTION("""COMPUTED_VALUE"""),5339.0)</f>
        <v>5339</v>
      </c>
      <c r="G23660" s="4">
        <f>IFERROR(__xludf.DUMMYFUNCTION("""COMPUTED_VALUE"""),24.0)</f>
        <v>24</v>
      </c>
      <c r="H23660" s="4"/>
      <c r="I23660" s="4"/>
    </row>
    <row r="23661">
      <c r="A23661" s="4" t="str">
        <f>IFERROR(__xludf.DUMMYFUNCTION("""COMPUTED_VALUE"""),"cas_hmw")</f>
        <v>cas_hmw</v>
      </c>
      <c r="B23661" s="5">
        <f>IFERROR(__xludf.DUMMYFUNCTION("""COMPUTED_VALUE"""),44796.0)</f>
        <v>44796</v>
      </c>
      <c r="C23661" s="6">
        <f>IFERROR(__xludf.DUMMYFUNCTION("""COMPUTED_VALUE"""),0.32631944444437977)</f>
        <v>0.3263194444</v>
      </c>
      <c r="D23661" s="4">
        <f>IFERROR(__xludf.DUMMYFUNCTION("""COMPUTED_VALUE"""),13.007855)</f>
        <v>13.007855</v>
      </c>
      <c r="E23661" s="4">
        <f>IFERROR(__xludf.DUMMYFUNCTION("""COMPUTED_VALUE"""),80.207809)</f>
        <v>80.207809</v>
      </c>
      <c r="F23661" s="4">
        <f>IFERROR(__xludf.DUMMYFUNCTION("""COMPUTED_VALUE"""),5339.0)</f>
        <v>5339</v>
      </c>
      <c r="G23661" s="4">
        <f>IFERROR(__xludf.DUMMYFUNCTION("""COMPUTED_VALUE"""),32.0)</f>
        <v>32</v>
      </c>
      <c r="H23661" s="4"/>
      <c r="I23661" s="4"/>
    </row>
    <row r="23662">
      <c r="A23662" s="4" t="str">
        <f>IFERROR(__xludf.DUMMYFUNCTION("""COMPUTED_VALUE"""),"cas_hmw")</f>
        <v>cas_hmw</v>
      </c>
      <c r="B23662" s="5">
        <f>IFERROR(__xludf.DUMMYFUNCTION("""COMPUTED_VALUE"""),44796.0)</f>
        <v>44796</v>
      </c>
      <c r="C23662" s="6">
        <f>IFERROR(__xludf.DUMMYFUNCTION("""COMPUTED_VALUE"""),0.32825231481547235)</f>
        <v>0.3282523148</v>
      </c>
      <c r="D23662" s="4">
        <f>IFERROR(__xludf.DUMMYFUNCTION("""COMPUTED_VALUE"""),12.545948)</f>
        <v>12.545948</v>
      </c>
      <c r="E23662" s="4">
        <f>IFERROR(__xludf.DUMMYFUNCTION("""COMPUTED_VALUE"""),79.905288)</f>
        <v>79.905288</v>
      </c>
      <c r="F23662" s="4">
        <f>IFERROR(__xludf.DUMMYFUNCTION("""COMPUTED_VALUE"""),2846.0)</f>
        <v>2846</v>
      </c>
      <c r="G23662" s="4">
        <f>IFERROR(__xludf.DUMMYFUNCTION("""COMPUTED_VALUE"""),47.0)</f>
        <v>47</v>
      </c>
      <c r="H23662" s="4"/>
      <c r="I23662" s="4"/>
    </row>
    <row r="23663">
      <c r="A23663" s="4" t="str">
        <f>IFERROR(__xludf.DUMMYFUNCTION("""COMPUTED_VALUE"""),"cas_hmw")</f>
        <v>cas_hmw</v>
      </c>
      <c r="B23663" s="5">
        <f>IFERROR(__xludf.DUMMYFUNCTION("""COMPUTED_VALUE"""),44796.0)</f>
        <v>44796</v>
      </c>
      <c r="C23663" s="6">
        <f>IFERROR(__xludf.DUMMYFUNCTION("""COMPUTED_VALUE"""),0.32861111111196806)</f>
        <v>0.3286111111</v>
      </c>
      <c r="D23663" s="4">
        <f>IFERROR(__xludf.DUMMYFUNCTION("""COMPUTED_VALUE"""),12.999008)</f>
        <v>12.999008</v>
      </c>
      <c r="E23663" s="4">
        <f>IFERROR(__xludf.DUMMYFUNCTION("""COMPUTED_VALUE"""),80.192953)</f>
        <v>80.192953</v>
      </c>
      <c r="F23663" s="4">
        <f>IFERROR(__xludf.DUMMYFUNCTION("""COMPUTED_VALUE"""),5339.0)</f>
        <v>5339</v>
      </c>
      <c r="G23663" s="4">
        <f>IFERROR(__xludf.DUMMYFUNCTION("""COMPUTED_VALUE"""),40.0)</f>
        <v>40</v>
      </c>
      <c r="H23663" s="4"/>
      <c r="I23663" s="4"/>
    </row>
    <row r="23664">
      <c r="A23664" s="4" t="str">
        <f>IFERROR(__xludf.DUMMYFUNCTION("""COMPUTED_VALUE"""),"cas_hmw")</f>
        <v>cas_hmw</v>
      </c>
      <c r="B23664" s="5">
        <f>IFERROR(__xludf.DUMMYFUNCTION("""COMPUTED_VALUE"""),44796.0)</f>
        <v>44796</v>
      </c>
      <c r="C23664" s="6">
        <f>IFERROR(__xludf.DUMMYFUNCTION("""COMPUTED_VALUE"""),0.3288773148160544)</f>
        <v>0.3288773148</v>
      </c>
      <c r="D23664" s="4">
        <f>IFERROR(__xludf.DUMMYFUNCTION("""COMPUTED_VALUE"""),12.997644)</f>
        <v>12.997644</v>
      </c>
      <c r="E23664" s="4">
        <f>IFERROR(__xludf.DUMMYFUNCTION("""COMPUTED_VALUE"""),80.191288)</f>
        <v>80.191288</v>
      </c>
      <c r="F23664" s="4">
        <f>IFERROR(__xludf.DUMMYFUNCTION("""COMPUTED_VALUE"""),5339.0)</f>
        <v>5339</v>
      </c>
      <c r="G23664" s="4">
        <f>IFERROR(__xludf.DUMMYFUNCTION("""COMPUTED_VALUE"""),48.0)</f>
        <v>48</v>
      </c>
      <c r="H23664" s="4"/>
      <c r="I23664" s="4"/>
    </row>
    <row r="23665">
      <c r="A23665" s="4" t="str">
        <f>IFERROR(__xludf.DUMMYFUNCTION("""COMPUTED_VALUE"""),"cas_hmw")</f>
        <v>cas_hmw</v>
      </c>
      <c r="B23665" s="5">
        <f>IFERROR(__xludf.DUMMYFUNCTION("""COMPUTED_VALUE"""),44796.0)</f>
        <v>44796</v>
      </c>
      <c r="C23665" s="6">
        <f>IFERROR(__xludf.DUMMYFUNCTION("""COMPUTED_VALUE"""),0.3300231481480296)</f>
        <v>0.3300231481</v>
      </c>
      <c r="D23665" s="4">
        <f>IFERROR(__xludf.DUMMYFUNCTION("""COMPUTED_VALUE"""),12.565631)</f>
        <v>12.565631</v>
      </c>
      <c r="E23665" s="4">
        <f>IFERROR(__xludf.DUMMYFUNCTION("""COMPUTED_VALUE"""),79.914358)</f>
        <v>79.914358</v>
      </c>
      <c r="F23665" s="4">
        <f>IFERROR(__xludf.DUMMYFUNCTION("""COMPUTED_VALUE"""),2846.0)</f>
        <v>2846</v>
      </c>
      <c r="G23665" s="4">
        <f>IFERROR(__xludf.DUMMYFUNCTION("""COMPUTED_VALUE"""),50.0)</f>
        <v>50</v>
      </c>
      <c r="H23665" s="4"/>
      <c r="I23665" s="4"/>
    </row>
    <row r="23666">
      <c r="A23666" s="4" t="str">
        <f>IFERROR(__xludf.DUMMYFUNCTION("""COMPUTED_VALUE"""),"cas_hmw")</f>
        <v>cas_hmw</v>
      </c>
      <c r="B23666" s="5">
        <f>IFERROR(__xludf.DUMMYFUNCTION("""COMPUTED_VALUE"""),44796.0)</f>
        <v>44796</v>
      </c>
      <c r="C23666" s="6">
        <f>IFERROR(__xludf.DUMMYFUNCTION("""COMPUTED_VALUE"""),0.330671296294895)</f>
        <v>0.3306712963</v>
      </c>
      <c r="D23666" s="4">
        <f>IFERROR(__xludf.DUMMYFUNCTION("""COMPUTED_VALUE"""),12.571661)</f>
        <v>12.571661</v>
      </c>
      <c r="E23666" s="4">
        <f>IFERROR(__xludf.DUMMYFUNCTION("""COMPUTED_VALUE"""),79.916015)</f>
        <v>79.916015</v>
      </c>
      <c r="F23666" s="4">
        <f>IFERROR(__xludf.DUMMYFUNCTION("""COMPUTED_VALUE"""),2846.0)</f>
        <v>2846</v>
      </c>
      <c r="G23666" s="4">
        <f>IFERROR(__xludf.DUMMYFUNCTION("""COMPUTED_VALUE"""),39.0)</f>
        <v>39</v>
      </c>
      <c r="H23666" s="4"/>
      <c r="I23666" s="4"/>
    </row>
    <row r="23667">
      <c r="A23667" s="4" t="str">
        <f>IFERROR(__xludf.DUMMYFUNCTION("""COMPUTED_VALUE"""),"cas_hmw")</f>
        <v>cas_hmw</v>
      </c>
      <c r="B23667" s="5">
        <f>IFERROR(__xludf.DUMMYFUNCTION("""COMPUTED_VALUE"""),44796.0)</f>
        <v>44796</v>
      </c>
      <c r="C23667" s="6">
        <f>IFERROR(__xludf.DUMMYFUNCTION("""COMPUTED_VALUE"""),0.3309259259258397)</f>
        <v>0.3309259259</v>
      </c>
      <c r="D23667" s="4">
        <f>IFERROR(__xludf.DUMMYFUNCTION("""COMPUTED_VALUE"""),12.571661)</f>
        <v>12.571661</v>
      </c>
      <c r="E23667" s="4">
        <f>IFERROR(__xludf.DUMMYFUNCTION("""COMPUTED_VALUE"""),79.916015)</f>
        <v>79.916015</v>
      </c>
      <c r="F23667" s="4">
        <f>IFERROR(__xludf.DUMMYFUNCTION("""COMPUTED_VALUE"""),2846.0)</f>
        <v>2846</v>
      </c>
      <c r="G23667" s="4">
        <f>IFERROR(__xludf.DUMMYFUNCTION("""COMPUTED_VALUE"""),39.0)</f>
        <v>39</v>
      </c>
      <c r="H23667" s="4"/>
      <c r="I23667" s="4"/>
    </row>
    <row r="23668">
      <c r="A23668" s="4" t="str">
        <f>IFERROR(__xludf.DUMMYFUNCTION("""COMPUTED_VALUE"""),"cas_hmw")</f>
        <v>cas_hmw</v>
      </c>
      <c r="B23668" s="5">
        <f>IFERROR(__xludf.DUMMYFUNCTION("""COMPUTED_VALUE"""),44796.0)</f>
        <v>44796</v>
      </c>
      <c r="C23668" s="6">
        <f>IFERROR(__xludf.DUMMYFUNCTION("""COMPUTED_VALUE"""),0.33137731481474475)</f>
        <v>0.3313773148</v>
      </c>
      <c r="D23668" s="4">
        <f>IFERROR(__xludf.DUMMYFUNCTION("""COMPUTED_VALUE"""),12.989004)</f>
        <v>12.989004</v>
      </c>
      <c r="E23668" s="4">
        <f>IFERROR(__xludf.DUMMYFUNCTION("""COMPUTED_VALUE"""),80.178392)</f>
        <v>80.178392</v>
      </c>
      <c r="F23668" s="4">
        <f>IFERROR(__xludf.DUMMYFUNCTION("""COMPUTED_VALUE"""),5339.0)</f>
        <v>5339</v>
      </c>
      <c r="G23668" s="4">
        <f>IFERROR(__xludf.DUMMYFUNCTION("""COMPUTED_VALUE"""),32.0)</f>
        <v>32</v>
      </c>
      <c r="H23668" s="4"/>
      <c r="I23668" s="4"/>
    </row>
    <row r="23669">
      <c r="A23669" s="4" t="str">
        <f>IFERROR(__xludf.DUMMYFUNCTION("""COMPUTED_VALUE"""),"cas_hmw")</f>
        <v>cas_hmw</v>
      </c>
      <c r="B23669" s="5">
        <f>IFERROR(__xludf.DUMMYFUNCTION("""COMPUTED_VALUE"""),44796.0)</f>
        <v>44796</v>
      </c>
      <c r="C23669" s="6">
        <f>IFERROR(__xludf.DUMMYFUNCTION("""COMPUTED_VALUE"""),0.33151620370335877)</f>
        <v>0.3315162037</v>
      </c>
      <c r="D23669" s="4">
        <f>IFERROR(__xludf.DUMMYFUNCTION("""COMPUTED_VALUE"""),12.989004)</f>
        <v>12.989004</v>
      </c>
      <c r="E23669" s="4">
        <f>IFERROR(__xludf.DUMMYFUNCTION("""COMPUTED_VALUE"""),80.178392)</f>
        <v>80.178392</v>
      </c>
      <c r="F23669" s="4">
        <f>IFERROR(__xludf.DUMMYFUNCTION("""COMPUTED_VALUE"""),5339.0)</f>
        <v>5339</v>
      </c>
      <c r="G23669" s="4">
        <f>IFERROR(__xludf.DUMMYFUNCTION("""COMPUTED_VALUE"""),32.0)</f>
        <v>32</v>
      </c>
      <c r="H23669" s="4"/>
      <c r="I23669" s="4"/>
    </row>
    <row r="23670">
      <c r="A23670" s="4" t="str">
        <f>IFERROR(__xludf.DUMMYFUNCTION("""COMPUTED_VALUE"""),"cas_hmw")</f>
        <v>cas_hmw</v>
      </c>
      <c r="B23670" s="5">
        <f>IFERROR(__xludf.DUMMYFUNCTION("""COMPUTED_VALUE"""),44796.0)</f>
        <v>44796</v>
      </c>
      <c r="C23670" s="6">
        <f>IFERROR(__xludf.DUMMYFUNCTION("""COMPUTED_VALUE"""),0.3320486111115315)</f>
        <v>0.3320486111</v>
      </c>
      <c r="D23670" s="4">
        <f>IFERROR(__xludf.DUMMYFUNCTION("""COMPUTED_VALUE"""),12.98674)</f>
        <v>12.98674</v>
      </c>
      <c r="E23670" s="4">
        <f>IFERROR(__xludf.DUMMYFUNCTION("""COMPUTED_VALUE"""),80.175228)</f>
        <v>80.175228</v>
      </c>
      <c r="F23670" s="4">
        <f>IFERROR(__xludf.DUMMYFUNCTION("""COMPUTED_VALUE"""),5339.0)</f>
        <v>5339</v>
      </c>
      <c r="G23670" s="4">
        <f>IFERROR(__xludf.DUMMYFUNCTION("""COMPUTED_VALUE"""),26.0)</f>
        <v>26</v>
      </c>
      <c r="H23670" s="4"/>
      <c r="I23670" s="4"/>
    </row>
    <row r="23671">
      <c r="A23671" s="4" t="str">
        <f>IFERROR(__xludf.DUMMYFUNCTION("""COMPUTED_VALUE"""),"cas_hmw")</f>
        <v>cas_hmw</v>
      </c>
      <c r="B23671" s="5">
        <f>IFERROR(__xludf.DUMMYFUNCTION("""COMPUTED_VALUE"""),44796.0)</f>
        <v>44796</v>
      </c>
      <c r="C23671" s="6">
        <f>IFERROR(__xludf.DUMMYFUNCTION("""COMPUTED_VALUE"""),0.3320486111115315)</f>
        <v>0.3320486111</v>
      </c>
      <c r="D23671" s="4">
        <f>IFERROR(__xludf.DUMMYFUNCTION("""COMPUTED_VALUE"""),12.98674)</f>
        <v>12.98674</v>
      </c>
      <c r="E23671" s="4">
        <f>IFERROR(__xludf.DUMMYFUNCTION("""COMPUTED_VALUE"""),80.175228)</f>
        <v>80.175228</v>
      </c>
      <c r="F23671" s="4">
        <f>IFERROR(__xludf.DUMMYFUNCTION("""COMPUTED_VALUE"""),5339.0)</f>
        <v>5339</v>
      </c>
      <c r="G23671" s="4">
        <f>IFERROR(__xludf.DUMMYFUNCTION("""COMPUTED_VALUE"""),26.0)</f>
        <v>26</v>
      </c>
      <c r="H23671" s="4"/>
      <c r="I23671" s="4"/>
    </row>
    <row r="23672">
      <c r="A23672" s="4" t="str">
        <f>IFERROR(__xludf.DUMMYFUNCTION("""COMPUTED_VALUE"""),"cas_hmw")</f>
        <v>cas_hmw</v>
      </c>
      <c r="B23672" s="5">
        <f>IFERROR(__xludf.DUMMYFUNCTION("""COMPUTED_VALUE"""),44796.0)</f>
        <v>44796</v>
      </c>
      <c r="C23672" s="6">
        <f>IFERROR(__xludf.DUMMYFUNCTION("""COMPUTED_VALUE"""),0.3320601851846732)</f>
        <v>0.3320601852</v>
      </c>
      <c r="D23672" s="4">
        <f>IFERROR(__xludf.DUMMYFUNCTION("""COMPUTED_VALUE"""),12.98674)</f>
        <v>12.98674</v>
      </c>
      <c r="E23672" s="4">
        <f>IFERROR(__xludf.DUMMYFUNCTION("""COMPUTED_VALUE"""),80.175228)</f>
        <v>80.175228</v>
      </c>
      <c r="F23672" s="4">
        <f>IFERROR(__xludf.DUMMYFUNCTION("""COMPUTED_VALUE"""),5339.0)</f>
        <v>5339</v>
      </c>
      <c r="G23672" s="4">
        <f>IFERROR(__xludf.DUMMYFUNCTION("""COMPUTED_VALUE"""),26.0)</f>
        <v>26</v>
      </c>
      <c r="H23672" s="4"/>
      <c r="I23672" s="4"/>
    </row>
    <row r="23673">
      <c r="A23673" s="4" t="str">
        <f>IFERROR(__xludf.DUMMYFUNCTION("""COMPUTED_VALUE"""),"cas_hmw")</f>
        <v>cas_hmw</v>
      </c>
      <c r="B23673" s="5">
        <f>IFERROR(__xludf.DUMMYFUNCTION("""COMPUTED_VALUE"""),44796.0)</f>
        <v>44796</v>
      </c>
      <c r="C23673" s="6">
        <f>IFERROR(__xludf.DUMMYFUNCTION("""COMPUTED_VALUE"""),0.3320601851846732)</f>
        <v>0.3320601852</v>
      </c>
      <c r="D23673" s="4">
        <f>IFERROR(__xludf.DUMMYFUNCTION("""COMPUTED_VALUE"""),12.98674)</f>
        <v>12.98674</v>
      </c>
      <c r="E23673" s="4">
        <f>IFERROR(__xludf.DUMMYFUNCTION("""COMPUTED_VALUE"""),80.175228)</f>
        <v>80.175228</v>
      </c>
      <c r="F23673" s="4">
        <f>IFERROR(__xludf.DUMMYFUNCTION("""COMPUTED_VALUE"""),5339.0)</f>
        <v>5339</v>
      </c>
      <c r="G23673" s="4">
        <f>IFERROR(__xludf.DUMMYFUNCTION("""COMPUTED_VALUE"""),26.0)</f>
        <v>26</v>
      </c>
      <c r="H23673" s="4"/>
      <c r="I23673" s="4"/>
    </row>
    <row r="23674">
      <c r="A23674" s="4" t="str">
        <f>IFERROR(__xludf.DUMMYFUNCTION("""COMPUTED_VALUE"""),"cas_hmw")</f>
        <v>cas_hmw</v>
      </c>
      <c r="B23674" s="5">
        <f>IFERROR(__xludf.DUMMYFUNCTION("""COMPUTED_VALUE"""),44796.0)</f>
        <v>44796</v>
      </c>
      <c r="C23674" s="6">
        <f>IFERROR(__xludf.DUMMYFUNCTION("""COMPUTED_VALUE"""),0.3326967592583969)</f>
        <v>0.3326967593</v>
      </c>
      <c r="D23674" s="4">
        <f>IFERROR(__xludf.DUMMYFUNCTION("""COMPUTED_VALUE"""),12.984268)</f>
        <v>12.984268</v>
      </c>
      <c r="E23674" s="4">
        <f>IFERROR(__xludf.DUMMYFUNCTION("""COMPUTED_VALUE"""),80.171485)</f>
        <v>80.171485</v>
      </c>
      <c r="F23674" s="4">
        <f>IFERROR(__xludf.DUMMYFUNCTION("""COMPUTED_VALUE"""),5339.0)</f>
        <v>5339</v>
      </c>
      <c r="G23674" s="4">
        <f>IFERROR(__xludf.DUMMYFUNCTION("""COMPUTED_VALUE"""),40.0)</f>
        <v>40</v>
      </c>
      <c r="H23674" s="4"/>
      <c r="I23674" s="4"/>
    </row>
    <row r="23675">
      <c r="A23675" s="4" t="str">
        <f>IFERROR(__xludf.DUMMYFUNCTION("""COMPUTED_VALUE"""),"cas_hmw")</f>
        <v>cas_hmw</v>
      </c>
      <c r="B23675" s="5">
        <f>IFERROR(__xludf.DUMMYFUNCTION("""COMPUTED_VALUE"""),44796.0)</f>
        <v>44796</v>
      </c>
      <c r="C23675" s="6">
        <f>IFERROR(__xludf.DUMMYFUNCTION("""COMPUTED_VALUE"""),0.3328125000007276)</f>
        <v>0.3328125</v>
      </c>
      <c r="D23675" s="4">
        <f>IFERROR(__xludf.DUMMYFUNCTION("""COMPUTED_VALUE"""),12.592091)</f>
        <v>12.592091</v>
      </c>
      <c r="E23675" s="4">
        <f>IFERROR(__xludf.DUMMYFUNCTION("""COMPUTED_VALUE"""),79.919157)</f>
        <v>79.919157</v>
      </c>
      <c r="F23675" s="4">
        <f>IFERROR(__xludf.DUMMYFUNCTION("""COMPUTED_VALUE"""),2846.0)</f>
        <v>2846</v>
      </c>
      <c r="G23675" s="4">
        <f>IFERROR(__xludf.DUMMYFUNCTION("""COMPUTED_VALUE"""),41.0)</f>
        <v>41</v>
      </c>
      <c r="H23675" s="4"/>
      <c r="I23675" s="4"/>
    </row>
    <row r="23676">
      <c r="A23676" s="4" t="str">
        <f>IFERROR(__xludf.DUMMYFUNCTION("""COMPUTED_VALUE"""),"cas_hmw")</f>
        <v>cas_hmw</v>
      </c>
      <c r="B23676" s="5">
        <f>IFERROR(__xludf.DUMMYFUNCTION("""COMPUTED_VALUE"""),44796.0)</f>
        <v>44796</v>
      </c>
      <c r="C23676" s="6">
        <f>IFERROR(__xludf.DUMMYFUNCTION("""COMPUTED_VALUE"""),0.33302083333182964)</f>
        <v>0.3330208333</v>
      </c>
      <c r="D23676" s="4">
        <f>IFERROR(__xludf.DUMMYFUNCTION("""COMPUTED_VALUE"""),12.982534)</f>
        <v>12.982534</v>
      </c>
      <c r="E23676" s="4">
        <f>IFERROR(__xludf.DUMMYFUNCTION("""COMPUTED_VALUE"""),80.168631)</f>
        <v>80.168631</v>
      </c>
      <c r="F23676" s="4">
        <f>IFERROR(__xludf.DUMMYFUNCTION("""COMPUTED_VALUE"""),5339.0)</f>
        <v>5339</v>
      </c>
      <c r="G23676" s="4">
        <f>IFERROR(__xludf.DUMMYFUNCTION("""COMPUTED_VALUE"""),49.0)</f>
        <v>49</v>
      </c>
      <c r="H23676" s="4"/>
      <c r="I23676" s="4"/>
    </row>
    <row r="23677">
      <c r="A23677" s="4" t="str">
        <f>IFERROR(__xludf.DUMMYFUNCTION("""COMPUTED_VALUE"""),"cas_hmw")</f>
        <v>cas_hmw</v>
      </c>
      <c r="B23677" s="5">
        <f>IFERROR(__xludf.DUMMYFUNCTION("""COMPUTED_VALUE"""),44796.0)</f>
        <v>44796</v>
      </c>
      <c r="C23677" s="6">
        <f>IFERROR(__xludf.DUMMYFUNCTION("""COMPUTED_VALUE"""),0.3336458333324117)</f>
        <v>0.3336458333</v>
      </c>
      <c r="D23677" s="4">
        <f>IFERROR(__xludf.DUMMYFUNCTION("""COMPUTED_VALUE"""),12.602162)</f>
        <v>12.602162</v>
      </c>
      <c r="E23677" s="4">
        <f>IFERROR(__xludf.DUMMYFUNCTION("""COMPUTED_VALUE"""),79.920041)</f>
        <v>79.920041</v>
      </c>
      <c r="F23677" s="4">
        <f>IFERROR(__xludf.DUMMYFUNCTION("""COMPUTED_VALUE"""),2846.0)</f>
        <v>2846</v>
      </c>
      <c r="G23677" s="4">
        <f>IFERROR(__xludf.DUMMYFUNCTION("""COMPUTED_VALUE"""),23.0)</f>
        <v>23</v>
      </c>
      <c r="H23677" s="4"/>
      <c r="I23677" s="4"/>
    </row>
    <row r="23678">
      <c r="A23678" s="4" t="str">
        <f>IFERROR(__xludf.DUMMYFUNCTION("""COMPUTED_VALUE"""),"cas_hmw")</f>
        <v>cas_hmw</v>
      </c>
      <c r="B23678" s="5">
        <f>IFERROR(__xludf.DUMMYFUNCTION("""COMPUTED_VALUE"""),44796.0)</f>
        <v>44796</v>
      </c>
      <c r="C23678" s="6">
        <f>IFERROR(__xludf.DUMMYFUNCTION("""COMPUTED_VALUE"""),0.33365740740919136)</f>
        <v>0.3336574074</v>
      </c>
      <c r="D23678" s="4">
        <f>IFERROR(__xludf.DUMMYFUNCTION("""COMPUTED_VALUE"""),12.979181)</f>
        <v>12.979181</v>
      </c>
      <c r="E23678" s="4">
        <f>IFERROR(__xludf.DUMMYFUNCTION("""COMPUTED_VALUE"""),80.161772)</f>
        <v>80.161772</v>
      </c>
      <c r="F23678" s="4">
        <f>IFERROR(__xludf.DUMMYFUNCTION("""COMPUTED_VALUE"""),5339.0)</f>
        <v>5339</v>
      </c>
      <c r="G23678" s="4">
        <f>IFERROR(__xludf.DUMMYFUNCTION("""COMPUTED_VALUE"""),52.0)</f>
        <v>52</v>
      </c>
      <c r="H23678" s="4"/>
      <c r="I23678" s="4"/>
    </row>
    <row r="23679">
      <c r="A23679" s="4" t="str">
        <f>IFERROR(__xludf.DUMMYFUNCTION("""COMPUTED_VALUE"""),"cas_hmw")</f>
        <v>cas_hmw</v>
      </c>
      <c r="B23679" s="5">
        <f>IFERROR(__xludf.DUMMYFUNCTION("""COMPUTED_VALUE"""),44796.0)</f>
        <v>44796</v>
      </c>
      <c r="C23679" s="6">
        <f>IFERROR(__xludf.DUMMYFUNCTION("""COMPUTED_VALUE"""),0.3338657407402934)</f>
        <v>0.3338657407</v>
      </c>
      <c r="D23679" s="4">
        <f>IFERROR(__xludf.DUMMYFUNCTION("""COMPUTED_VALUE"""),12.602162)</f>
        <v>12.602162</v>
      </c>
      <c r="E23679" s="4">
        <f>IFERROR(__xludf.DUMMYFUNCTION("""COMPUTED_VALUE"""),79.920041)</f>
        <v>79.920041</v>
      </c>
      <c r="F23679" s="4">
        <f>IFERROR(__xludf.DUMMYFUNCTION("""COMPUTED_VALUE"""),2846.0)</f>
        <v>2846</v>
      </c>
      <c r="G23679" s="4">
        <f>IFERROR(__xludf.DUMMYFUNCTION("""COMPUTED_VALUE"""),23.0)</f>
        <v>23</v>
      </c>
      <c r="H23679" s="4"/>
      <c r="I23679" s="4"/>
    </row>
    <row r="23680">
      <c r="A23680" s="4" t="str">
        <f>IFERROR(__xludf.DUMMYFUNCTION("""COMPUTED_VALUE"""),"cas_hmw")</f>
        <v>cas_hmw</v>
      </c>
      <c r="B23680" s="5">
        <f>IFERROR(__xludf.DUMMYFUNCTION("""COMPUTED_VALUE"""),44796.0)</f>
        <v>44796</v>
      </c>
      <c r="C23680" s="6">
        <f>IFERROR(__xludf.DUMMYFUNCTION("""COMPUTED_VALUE"""),0.33395833333270275)</f>
        <v>0.3339583333</v>
      </c>
      <c r="D23680" s="4">
        <f>IFERROR(__xludf.DUMMYFUNCTION("""COMPUTED_VALUE"""),12.977731)</f>
        <v>12.977731</v>
      </c>
      <c r="E23680" s="4">
        <f>IFERROR(__xludf.DUMMYFUNCTION("""COMPUTED_VALUE"""),80.159692)</f>
        <v>80.159692</v>
      </c>
      <c r="F23680" s="4">
        <f>IFERROR(__xludf.DUMMYFUNCTION("""COMPUTED_VALUE"""),5339.0)</f>
        <v>5339</v>
      </c>
      <c r="G23680" s="4">
        <f>IFERROR(__xludf.DUMMYFUNCTION("""COMPUTED_VALUE"""),48.0)</f>
        <v>48</v>
      </c>
      <c r="H23680" s="4"/>
      <c r="I23680" s="4"/>
    </row>
    <row r="23681">
      <c r="A23681" s="4" t="str">
        <f>IFERROR(__xludf.DUMMYFUNCTION("""COMPUTED_VALUE"""),"cas_hmw")</f>
        <v>cas_hmw</v>
      </c>
      <c r="B23681" s="5">
        <f>IFERROR(__xludf.DUMMYFUNCTION("""COMPUTED_VALUE"""),44796.0)</f>
        <v>44796</v>
      </c>
      <c r="C23681" s="6">
        <f>IFERROR(__xludf.DUMMYFUNCTION("""COMPUTED_VALUE"""),0.3341087962980964)</f>
        <v>0.3341087963</v>
      </c>
      <c r="D23681" s="4">
        <f>IFERROR(__xludf.DUMMYFUNCTION("""COMPUTED_VALUE"""),12.977078)</f>
        <v>12.977078</v>
      </c>
      <c r="E23681" s="4">
        <f>IFERROR(__xludf.DUMMYFUNCTION("""COMPUTED_VALUE"""),80.15873)</f>
        <v>80.15873</v>
      </c>
      <c r="F23681" s="4">
        <f>IFERROR(__xludf.DUMMYFUNCTION("""COMPUTED_VALUE"""),5339.0)</f>
        <v>5339</v>
      </c>
      <c r="G23681" s="4">
        <f>IFERROR(__xludf.DUMMYFUNCTION("""COMPUTED_VALUE"""),40.0)</f>
        <v>40</v>
      </c>
      <c r="H23681" s="4"/>
      <c r="I23681" s="4"/>
    </row>
    <row r="23682">
      <c r="A23682" s="4" t="str">
        <f>IFERROR(__xludf.DUMMYFUNCTION("""COMPUTED_VALUE"""),"cas_hmw")</f>
        <v>cas_hmw</v>
      </c>
      <c r="B23682" s="5">
        <f>IFERROR(__xludf.DUMMYFUNCTION("""COMPUTED_VALUE"""),44796.0)</f>
        <v>44796</v>
      </c>
      <c r="C23682" s="6">
        <f>IFERROR(__xludf.DUMMYFUNCTION("""COMPUTED_VALUE"""),0.3349652777760639)</f>
        <v>0.3349652778</v>
      </c>
      <c r="D23682" s="4">
        <f>IFERROR(__xludf.DUMMYFUNCTION("""COMPUTED_VALUE"""),12.972768)</f>
        <v>12.972768</v>
      </c>
      <c r="E23682" s="4">
        <f>IFERROR(__xludf.DUMMYFUNCTION("""COMPUTED_VALUE"""),80.152358)</f>
        <v>80.152358</v>
      </c>
      <c r="F23682" s="4">
        <f>IFERROR(__xludf.DUMMYFUNCTION("""COMPUTED_VALUE"""),5339.0)</f>
        <v>5339</v>
      </c>
      <c r="G23682" s="4">
        <f>IFERROR(__xludf.DUMMYFUNCTION("""COMPUTED_VALUE"""),49.0)</f>
        <v>49</v>
      </c>
      <c r="H23682" s="4"/>
      <c r="I23682" s="4"/>
    </row>
    <row r="23683">
      <c r="A23683" s="4" t="str">
        <f>IFERROR(__xludf.DUMMYFUNCTION("""COMPUTED_VALUE"""),"cas_hmw")</f>
        <v>cas_hmw</v>
      </c>
      <c r="B23683" s="5">
        <f>IFERROR(__xludf.DUMMYFUNCTION("""COMPUTED_VALUE"""),44796.0)</f>
        <v>44796</v>
      </c>
      <c r="C23683" s="6">
        <f>IFERROR(__xludf.DUMMYFUNCTION("""COMPUTED_VALUE"""),0.3349884259259852)</f>
        <v>0.3349884259</v>
      </c>
      <c r="D23683" s="4">
        <f>IFERROR(__xludf.DUMMYFUNCTION("""COMPUTED_VALUE"""),12.972768)</f>
        <v>12.972768</v>
      </c>
      <c r="E23683" s="4">
        <f>IFERROR(__xludf.DUMMYFUNCTION("""COMPUTED_VALUE"""),80.152358)</f>
        <v>80.152358</v>
      </c>
      <c r="F23683" s="4">
        <f>IFERROR(__xludf.DUMMYFUNCTION("""COMPUTED_VALUE"""),5339.0)</f>
        <v>5339</v>
      </c>
      <c r="G23683" s="4">
        <f>IFERROR(__xludf.DUMMYFUNCTION("""COMPUTED_VALUE"""),49.0)</f>
        <v>49</v>
      </c>
      <c r="H23683" s="4"/>
      <c r="I23683" s="4"/>
    </row>
    <row r="23684">
      <c r="A23684" s="4" t="str">
        <f>IFERROR(__xludf.DUMMYFUNCTION("""COMPUTED_VALUE"""),"cas_hmw")</f>
        <v>cas_hmw</v>
      </c>
      <c r="B23684" s="5">
        <f>IFERROR(__xludf.DUMMYFUNCTION("""COMPUTED_VALUE"""),44796.0)</f>
        <v>44796</v>
      </c>
      <c r="C23684" s="6">
        <f>IFERROR(__xludf.DUMMYFUNCTION("""COMPUTED_VALUE"""),0.3366319444430701)</f>
        <v>0.3366319444</v>
      </c>
      <c r="D23684" s="4">
        <f>IFERROR(__xludf.DUMMYFUNCTION("""COMPUTED_VALUE"""),12.966259)</f>
        <v>12.966259</v>
      </c>
      <c r="E23684" s="4">
        <f>IFERROR(__xludf.DUMMYFUNCTION("""COMPUTED_VALUE"""),80.148678)</f>
        <v>80.148678</v>
      </c>
      <c r="F23684" s="4">
        <f>IFERROR(__xludf.DUMMYFUNCTION("""COMPUTED_VALUE"""),5339.0)</f>
        <v>5339</v>
      </c>
      <c r="G23684" s="4">
        <f>IFERROR(__xludf.DUMMYFUNCTION("""COMPUTED_VALUE"""),15.0)</f>
        <v>15</v>
      </c>
      <c r="H23684" s="4"/>
      <c r="I23684" s="4"/>
    </row>
    <row r="23685">
      <c r="A23685" s="4" t="str">
        <f>IFERROR(__xludf.DUMMYFUNCTION("""COMPUTED_VALUE"""),"cas_hmw")</f>
        <v>cas_hmw</v>
      </c>
      <c r="B23685" s="5">
        <f>IFERROR(__xludf.DUMMYFUNCTION("""COMPUTED_VALUE"""),44796.0)</f>
        <v>44796</v>
      </c>
      <c r="C23685" s="6">
        <f>IFERROR(__xludf.DUMMYFUNCTION("""COMPUTED_VALUE"""),0.33671296296233777)</f>
        <v>0.336712963</v>
      </c>
      <c r="D23685" s="4">
        <f>IFERROR(__xludf.DUMMYFUNCTION("""COMPUTED_VALUE"""),12.965738)</f>
        <v>12.965738</v>
      </c>
      <c r="E23685" s="4">
        <f>IFERROR(__xludf.DUMMYFUNCTION("""COMPUTED_VALUE"""),80.148397)</f>
        <v>80.148397</v>
      </c>
      <c r="F23685" s="4">
        <f>IFERROR(__xludf.DUMMYFUNCTION("""COMPUTED_VALUE"""),5339.0)</f>
        <v>5339</v>
      </c>
      <c r="G23685" s="4">
        <f>IFERROR(__xludf.DUMMYFUNCTION("""COMPUTED_VALUE"""),28.0)</f>
        <v>28</v>
      </c>
      <c r="H23685" s="4"/>
      <c r="I23685" s="4"/>
    </row>
    <row r="23686">
      <c r="A23686" s="4" t="str">
        <f>IFERROR(__xludf.DUMMYFUNCTION("""COMPUTED_VALUE"""),"cas_hmw")</f>
        <v>cas_hmw</v>
      </c>
      <c r="B23686" s="5">
        <f>IFERROR(__xludf.DUMMYFUNCTION("""COMPUTED_VALUE"""),44796.0)</f>
        <v>44796</v>
      </c>
      <c r="C23686" s="6">
        <f>IFERROR(__xludf.DUMMYFUNCTION("""COMPUTED_VALUE"""),0.33671296296233777)</f>
        <v>0.336712963</v>
      </c>
      <c r="D23686" s="4">
        <f>IFERROR(__xludf.DUMMYFUNCTION("""COMPUTED_VALUE"""),12.965738)</f>
        <v>12.965738</v>
      </c>
      <c r="E23686" s="4">
        <f>IFERROR(__xludf.DUMMYFUNCTION("""COMPUTED_VALUE"""),80.148397)</f>
        <v>80.148397</v>
      </c>
      <c r="F23686" s="4">
        <f>IFERROR(__xludf.DUMMYFUNCTION("""COMPUTED_VALUE"""),5339.0)</f>
        <v>5339</v>
      </c>
      <c r="G23686" s="4">
        <f>IFERROR(__xludf.DUMMYFUNCTION("""COMPUTED_VALUE"""),28.0)</f>
        <v>28</v>
      </c>
      <c r="H23686" s="4"/>
      <c r="I23686" s="4"/>
    </row>
    <row r="23687">
      <c r="A23687" s="4" t="str">
        <f>IFERROR(__xludf.DUMMYFUNCTION("""COMPUTED_VALUE"""),"cas_hmw")</f>
        <v>cas_hmw</v>
      </c>
      <c r="B23687" s="5">
        <f>IFERROR(__xludf.DUMMYFUNCTION("""COMPUTED_VALUE"""),44796.0)</f>
        <v>44796</v>
      </c>
      <c r="C23687" s="6">
        <f>IFERROR(__xludf.DUMMYFUNCTION("""COMPUTED_VALUE"""),0.3377546296287619)</f>
        <v>0.3377546296</v>
      </c>
      <c r="D23687" s="4">
        <f>IFERROR(__xludf.DUMMYFUNCTION("""COMPUTED_VALUE"""),12.957823)</f>
        <v>12.957823</v>
      </c>
      <c r="E23687" s="4">
        <f>IFERROR(__xludf.DUMMYFUNCTION("""COMPUTED_VALUE"""),80.14408)</f>
        <v>80.14408</v>
      </c>
      <c r="F23687" s="4">
        <f>IFERROR(__xludf.DUMMYFUNCTION("""COMPUTED_VALUE"""),5339.0)</f>
        <v>5339</v>
      </c>
      <c r="G23687" s="4">
        <f>IFERROR(__xludf.DUMMYFUNCTION("""COMPUTED_VALUE"""),51.0)</f>
        <v>51</v>
      </c>
      <c r="H23687" s="4"/>
      <c r="I23687" s="4"/>
    </row>
    <row r="23688">
      <c r="A23688" s="4" t="str">
        <f>IFERROR(__xludf.DUMMYFUNCTION("""COMPUTED_VALUE"""),"cas_hmw")</f>
        <v>cas_hmw</v>
      </c>
      <c r="B23688" s="5">
        <f>IFERROR(__xludf.DUMMYFUNCTION("""COMPUTED_VALUE"""),44796.0)</f>
        <v>44796</v>
      </c>
      <c r="C23688" s="6">
        <f>IFERROR(__xludf.DUMMYFUNCTION("""COMPUTED_VALUE"""),0.3377893518518249)</f>
        <v>0.3377893519</v>
      </c>
      <c r="D23688" s="4">
        <f>IFERROR(__xludf.DUMMYFUNCTION("""COMPUTED_VALUE"""),12.957823)</f>
        <v>12.957823</v>
      </c>
      <c r="E23688" s="4">
        <f>IFERROR(__xludf.DUMMYFUNCTION("""COMPUTED_VALUE"""),80.14408)</f>
        <v>80.14408</v>
      </c>
      <c r="F23688" s="4">
        <f>IFERROR(__xludf.DUMMYFUNCTION("""COMPUTED_VALUE"""),5339.0)</f>
        <v>5339</v>
      </c>
      <c r="G23688" s="4">
        <f>IFERROR(__xludf.DUMMYFUNCTION("""COMPUTED_VALUE"""),51.0)</f>
        <v>51</v>
      </c>
      <c r="H23688" s="4"/>
      <c r="I23688" s="4"/>
    </row>
    <row r="23689">
      <c r="A23689" s="4" t="str">
        <f>IFERROR(__xludf.DUMMYFUNCTION("""COMPUTED_VALUE"""),"cas_hmw")</f>
        <v>cas_hmw</v>
      </c>
      <c r="B23689" s="5">
        <f>IFERROR(__xludf.DUMMYFUNCTION("""COMPUTED_VALUE"""),44796.0)</f>
        <v>44796</v>
      </c>
      <c r="C23689" s="6">
        <f>IFERROR(__xludf.DUMMYFUNCTION("""COMPUTED_VALUE"""),0.33849537037167465)</f>
        <v>0.3384953704</v>
      </c>
      <c r="D23689" s="4">
        <f>IFERROR(__xludf.DUMMYFUNCTION("""COMPUTED_VALUE"""),12.647417)</f>
        <v>12.647417</v>
      </c>
      <c r="E23689" s="4">
        <f>IFERROR(__xludf.DUMMYFUNCTION("""COMPUTED_VALUE"""),79.940405)</f>
        <v>79.940405</v>
      </c>
      <c r="F23689" s="4">
        <f>IFERROR(__xludf.DUMMYFUNCTION("""COMPUTED_VALUE"""),2846.0)</f>
        <v>2846</v>
      </c>
      <c r="G23689" s="4">
        <f>IFERROR(__xludf.DUMMYFUNCTION("""COMPUTED_VALUE"""),58.0)</f>
        <v>58</v>
      </c>
      <c r="H23689" s="4"/>
      <c r="I23689" s="4"/>
    </row>
    <row r="23690">
      <c r="A23690" s="4" t="str">
        <f>IFERROR(__xludf.DUMMYFUNCTION("""COMPUTED_VALUE"""),"cas_hmw")</f>
        <v>cas_hmw</v>
      </c>
      <c r="B23690" s="5">
        <f>IFERROR(__xludf.DUMMYFUNCTION("""COMPUTED_VALUE"""),44796.0)</f>
        <v>44796</v>
      </c>
      <c r="C23690" s="6">
        <f>IFERROR(__xludf.DUMMYFUNCTION("""COMPUTED_VALUE"""),0.33879629629518604)</f>
        <v>0.3387962963</v>
      </c>
      <c r="D23690" s="4">
        <f>IFERROR(__xludf.DUMMYFUNCTION("""COMPUTED_VALUE"""),12.651949)</f>
        <v>12.651949</v>
      </c>
      <c r="E23690" s="4">
        <f>IFERROR(__xludf.DUMMYFUNCTION("""COMPUTED_VALUE"""),79.940256)</f>
        <v>79.940256</v>
      </c>
      <c r="F23690" s="4">
        <f>IFERROR(__xludf.DUMMYFUNCTION("""COMPUTED_VALUE"""),2846.0)</f>
        <v>2846</v>
      </c>
      <c r="G23690" s="4">
        <f>IFERROR(__xludf.DUMMYFUNCTION("""COMPUTED_VALUE"""),33.0)</f>
        <v>33</v>
      </c>
      <c r="H23690" s="4"/>
      <c r="I23690" s="4"/>
    </row>
    <row r="23691">
      <c r="A23691" s="4" t="str">
        <f>IFERROR(__xludf.DUMMYFUNCTION("""COMPUTED_VALUE"""),"cas_hmw")</f>
        <v>cas_hmw</v>
      </c>
      <c r="B23691" s="5">
        <f>IFERROR(__xludf.DUMMYFUNCTION("""COMPUTED_VALUE"""),44796.0)</f>
        <v>44796</v>
      </c>
      <c r="C23691" s="6">
        <f>IFERROR(__xludf.DUMMYFUNCTION("""COMPUTED_VALUE"""),0.3392824074071541)</f>
        <v>0.3392824074</v>
      </c>
      <c r="D23691" s="4">
        <f>IFERROR(__xludf.DUMMYFUNCTION("""COMPUTED_VALUE"""),12.952179)</f>
        <v>12.952179</v>
      </c>
      <c r="E23691" s="4">
        <f>IFERROR(__xludf.DUMMYFUNCTION("""COMPUTED_VALUE"""),80.140878)</f>
        <v>80.140878</v>
      </c>
      <c r="F23691" s="4">
        <f>IFERROR(__xludf.DUMMYFUNCTION("""COMPUTED_VALUE"""),5339.0)</f>
        <v>5339</v>
      </c>
      <c r="G23691" s="4">
        <f>IFERROR(__xludf.DUMMYFUNCTION("""COMPUTED_VALUE"""),32.0)</f>
        <v>32</v>
      </c>
      <c r="H23691" s="4"/>
      <c r="I23691" s="4"/>
    </row>
    <row r="23692">
      <c r="A23692" s="4" t="str">
        <f>IFERROR(__xludf.DUMMYFUNCTION("""COMPUTED_VALUE"""),"cas_hmw")</f>
        <v>cas_hmw</v>
      </c>
      <c r="B23692" s="5">
        <f>IFERROR(__xludf.DUMMYFUNCTION("""COMPUTED_VALUE"""),44796.0)</f>
        <v>44796</v>
      </c>
      <c r="C23692" s="6">
        <f>IFERROR(__xludf.DUMMYFUNCTION("""COMPUTED_VALUE"""),0.3397800925922638)</f>
        <v>0.3397800926</v>
      </c>
      <c r="D23692" s="4">
        <f>IFERROR(__xludf.DUMMYFUNCTION("""COMPUTED_VALUE"""),12.658422)</f>
        <v>12.658422</v>
      </c>
      <c r="E23692" s="4">
        <f>IFERROR(__xludf.DUMMYFUNCTION("""COMPUTED_VALUE"""),79.943519)</f>
        <v>79.943519</v>
      </c>
      <c r="F23692" s="4">
        <f>IFERROR(__xludf.DUMMYFUNCTION("""COMPUTED_VALUE"""),2846.0)</f>
        <v>2846</v>
      </c>
      <c r="G23692" s="4">
        <f>IFERROR(__xludf.DUMMYFUNCTION("""COMPUTED_VALUE"""),58.0)</f>
        <v>58</v>
      </c>
      <c r="H23692" s="4"/>
      <c r="I23692" s="4"/>
    </row>
    <row r="23693">
      <c r="A23693" s="4" t="str">
        <f>IFERROR(__xludf.DUMMYFUNCTION("""COMPUTED_VALUE"""),"cas_hmw")</f>
        <v>cas_hmw</v>
      </c>
      <c r="B23693" s="5">
        <f>IFERROR(__xludf.DUMMYFUNCTION("""COMPUTED_VALUE"""),44796.0)</f>
        <v>44796</v>
      </c>
      <c r="C23693" s="6">
        <f>IFERROR(__xludf.DUMMYFUNCTION("""COMPUTED_VALUE"""),0.3405555555546016)</f>
        <v>0.3405555556</v>
      </c>
      <c r="D23693" s="4">
        <f>IFERROR(__xludf.DUMMYFUNCTION("""COMPUTED_VALUE"""),12.655975)</f>
        <v>12.655975</v>
      </c>
      <c r="E23693" s="4">
        <f>IFERROR(__xludf.DUMMYFUNCTION("""COMPUTED_VALUE"""),79.952658)</f>
        <v>79.952658</v>
      </c>
      <c r="F23693" s="4">
        <f>IFERROR(__xludf.DUMMYFUNCTION("""COMPUTED_VALUE"""),2846.0)</f>
        <v>2846</v>
      </c>
      <c r="G23693" s="4">
        <f>IFERROR(__xludf.DUMMYFUNCTION("""COMPUTED_VALUE"""),52.0)</f>
        <v>52</v>
      </c>
      <c r="H23693" s="4"/>
      <c r="I23693" s="4"/>
    </row>
    <row r="23694">
      <c r="A23694" s="4" t="str">
        <f>IFERROR(__xludf.DUMMYFUNCTION("""COMPUTED_VALUE"""),"cas_hmw")</f>
        <v>cas_hmw</v>
      </c>
      <c r="B23694" s="5">
        <f>IFERROR(__xludf.DUMMYFUNCTION("""COMPUTED_VALUE"""),44796.0)</f>
        <v>44796</v>
      </c>
      <c r="C23694" s="6">
        <f>IFERROR(__xludf.DUMMYFUNCTION("""COMPUTED_VALUE"""),0.3419675925943011)</f>
        <v>0.3419675926</v>
      </c>
      <c r="D23694" s="4">
        <f>IFERROR(__xludf.DUMMYFUNCTION("""COMPUTED_VALUE"""),12.932734)</f>
        <v>12.932734</v>
      </c>
      <c r="E23694" s="4">
        <f>IFERROR(__xludf.DUMMYFUNCTION("""COMPUTED_VALUE"""),80.124021)</f>
        <v>80.124021</v>
      </c>
      <c r="F23694" s="4">
        <f>IFERROR(__xludf.DUMMYFUNCTION("""COMPUTED_VALUE"""),5339.0)</f>
        <v>5339</v>
      </c>
      <c r="G23694" s="4">
        <f>IFERROR(__xludf.DUMMYFUNCTION("""COMPUTED_VALUE"""),49.0)</f>
        <v>49</v>
      </c>
      <c r="H23694" s="4"/>
      <c r="I23694" s="4"/>
    </row>
    <row r="23695">
      <c r="A23695" s="4" t="str">
        <f>IFERROR(__xludf.DUMMYFUNCTION("""COMPUTED_VALUE"""),"cas_hmw")</f>
        <v>cas_hmw</v>
      </c>
      <c r="B23695" s="5">
        <f>IFERROR(__xludf.DUMMYFUNCTION("""COMPUTED_VALUE"""),44796.0)</f>
        <v>44796</v>
      </c>
      <c r="C23695" s="6">
        <f>IFERROR(__xludf.DUMMYFUNCTION("""COMPUTED_VALUE"""),0.3420486111099308)</f>
        <v>0.3420486111</v>
      </c>
      <c r="D23695" s="4">
        <f>IFERROR(__xludf.DUMMYFUNCTION("""COMPUTED_VALUE"""),12.660199)</f>
        <v>12.660199</v>
      </c>
      <c r="E23695" s="4">
        <f>IFERROR(__xludf.DUMMYFUNCTION("""COMPUTED_VALUE"""),79.964918)</f>
        <v>79.964918</v>
      </c>
      <c r="F23695" s="4">
        <f>IFERROR(__xludf.DUMMYFUNCTION("""COMPUTED_VALUE"""),2846.0)</f>
        <v>2846</v>
      </c>
      <c r="G23695" s="4">
        <f>IFERROR(__xludf.DUMMYFUNCTION("""COMPUTED_VALUE"""),58.0)</f>
        <v>58</v>
      </c>
      <c r="H23695" s="4"/>
      <c r="I23695" s="4"/>
    </row>
    <row r="23696">
      <c r="A23696" s="4" t="str">
        <f>IFERROR(__xludf.DUMMYFUNCTION("""COMPUTED_VALUE"""),"cas_hmw")</f>
        <v>cas_hmw</v>
      </c>
      <c r="B23696" s="5">
        <f>IFERROR(__xludf.DUMMYFUNCTION("""COMPUTED_VALUE"""),44796.0)</f>
        <v>44796</v>
      </c>
      <c r="C23696" s="6">
        <f>IFERROR(__xludf.DUMMYFUNCTION("""COMPUTED_VALUE"""),0.34256944444496185)</f>
        <v>0.3425694444</v>
      </c>
      <c r="D23696" s="4">
        <f>IFERROR(__xludf.DUMMYFUNCTION("""COMPUTED_VALUE"""),12.929344)</f>
        <v>12.929344</v>
      </c>
      <c r="E23696" s="4">
        <f>IFERROR(__xludf.DUMMYFUNCTION("""COMPUTED_VALUE"""),80.120602)</f>
        <v>80.120602</v>
      </c>
      <c r="F23696" s="4">
        <f>IFERROR(__xludf.DUMMYFUNCTION("""COMPUTED_VALUE"""),5339.0)</f>
        <v>5339</v>
      </c>
      <c r="G23696" s="4">
        <f>IFERROR(__xludf.DUMMYFUNCTION("""COMPUTED_VALUE"""),46.0)</f>
        <v>46</v>
      </c>
      <c r="H23696" s="4"/>
      <c r="I23696" s="4"/>
    </row>
    <row r="23697">
      <c r="A23697" s="4" t="str">
        <f>IFERROR(__xludf.DUMMYFUNCTION("""COMPUTED_VALUE"""),"cas_hmw")</f>
        <v>cas_hmw</v>
      </c>
      <c r="B23697" s="5">
        <f>IFERROR(__xludf.DUMMYFUNCTION("""COMPUTED_VALUE"""),44796.0)</f>
        <v>44796</v>
      </c>
      <c r="C23697" s="6">
        <f>IFERROR(__xludf.DUMMYFUNCTION("""COMPUTED_VALUE"""),0.34293981481459923)</f>
        <v>0.3429398148</v>
      </c>
      <c r="D23697" s="4">
        <f>IFERROR(__xludf.DUMMYFUNCTION("""COMPUTED_VALUE"""),12.926834)</f>
        <v>12.926834</v>
      </c>
      <c r="E23697" s="4">
        <f>IFERROR(__xludf.DUMMYFUNCTION("""COMPUTED_VALUE"""),80.118047)</f>
        <v>80.118047</v>
      </c>
      <c r="F23697" s="4">
        <f>IFERROR(__xludf.DUMMYFUNCTION("""COMPUTED_VALUE"""),5339.0)</f>
        <v>5339</v>
      </c>
      <c r="G23697" s="4">
        <f>IFERROR(__xludf.DUMMYFUNCTION("""COMPUTED_VALUE"""),43.0)</f>
        <v>43</v>
      </c>
      <c r="H23697" s="4"/>
      <c r="I23697" s="4"/>
    </row>
    <row r="23698">
      <c r="A23698" s="4" t="str">
        <f>IFERROR(__xludf.DUMMYFUNCTION("""COMPUTED_VALUE"""),"cas_hmw")</f>
        <v>cas_hmw</v>
      </c>
      <c r="B23698" s="5">
        <f>IFERROR(__xludf.DUMMYFUNCTION("""COMPUTED_VALUE"""),44796.0)</f>
        <v>44796</v>
      </c>
      <c r="C23698" s="6">
        <f>IFERROR(__xludf.DUMMYFUNCTION("""COMPUTED_VALUE"""),0.3447685185201408)</f>
        <v>0.3447685185</v>
      </c>
      <c r="D23698" s="4">
        <f>IFERROR(__xludf.DUMMYFUNCTION("""COMPUTED_VALUE"""),12.678412)</f>
        <v>12.678412</v>
      </c>
      <c r="E23698" s="4">
        <f>IFERROR(__xludf.DUMMYFUNCTION("""COMPUTED_VALUE"""),79.979866)</f>
        <v>79.979866</v>
      </c>
      <c r="F23698" s="4">
        <f>IFERROR(__xludf.DUMMYFUNCTION("""COMPUTED_VALUE"""),2846.0)</f>
        <v>2846</v>
      </c>
      <c r="G23698" s="4">
        <f>IFERROR(__xludf.DUMMYFUNCTION("""COMPUTED_VALUE"""),24.0)</f>
        <v>24</v>
      </c>
      <c r="H23698" s="4"/>
      <c r="I23698" s="4"/>
    </row>
    <row r="23699">
      <c r="A23699" s="4" t="str">
        <f>IFERROR(__xludf.DUMMYFUNCTION("""COMPUTED_VALUE"""),"cas_hmw")</f>
        <v>cas_hmw</v>
      </c>
      <c r="B23699" s="5">
        <f>IFERROR(__xludf.DUMMYFUNCTION("""COMPUTED_VALUE"""),44796.0)</f>
        <v>44796</v>
      </c>
      <c r="C23699" s="6">
        <f>IFERROR(__xludf.DUMMYFUNCTION("""COMPUTED_VALUE"""),0.3448495370357705)</f>
        <v>0.344849537</v>
      </c>
      <c r="D23699" s="4">
        <f>IFERROR(__xludf.DUMMYFUNCTION("""COMPUTED_VALUE"""),12.679066)</f>
        <v>12.679066</v>
      </c>
      <c r="E23699" s="4">
        <f>IFERROR(__xludf.DUMMYFUNCTION("""COMPUTED_VALUE"""),79.980296)</f>
        <v>79.980296</v>
      </c>
      <c r="F23699" s="4">
        <f>IFERROR(__xludf.DUMMYFUNCTION("""COMPUTED_VALUE"""),2846.0)</f>
        <v>2846</v>
      </c>
      <c r="G23699" s="4">
        <f>IFERROR(__xludf.DUMMYFUNCTION("""COMPUTED_VALUE"""),36.0)</f>
        <v>36</v>
      </c>
      <c r="H23699" s="4"/>
      <c r="I23699" s="4"/>
    </row>
    <row r="23700">
      <c r="A23700" s="4" t="str">
        <f>IFERROR(__xludf.DUMMYFUNCTION("""COMPUTED_VALUE"""),"cas_hmw")</f>
        <v>cas_hmw</v>
      </c>
      <c r="B23700" s="5">
        <f>IFERROR(__xludf.DUMMYFUNCTION("""COMPUTED_VALUE"""),44796.0)</f>
        <v>44796</v>
      </c>
      <c r="C23700" s="6">
        <f>IFERROR(__xludf.DUMMYFUNCTION("""COMPUTED_VALUE"""),0.3451620370360615)</f>
        <v>0.345162037</v>
      </c>
      <c r="D23700" s="4">
        <f>IFERROR(__xludf.DUMMYFUNCTION("""COMPUTED_VALUE"""),12.916092)</f>
        <v>12.916092</v>
      </c>
      <c r="E23700" s="4">
        <f>IFERROR(__xludf.DUMMYFUNCTION("""COMPUTED_VALUE"""),80.105543)</f>
        <v>80.105543</v>
      </c>
      <c r="F23700" s="4">
        <f>IFERROR(__xludf.DUMMYFUNCTION("""COMPUTED_VALUE"""),5339.0)</f>
        <v>5339</v>
      </c>
      <c r="G23700" s="4">
        <f>IFERROR(__xludf.DUMMYFUNCTION("""COMPUTED_VALUE"""),48.0)</f>
        <v>48</v>
      </c>
      <c r="H23700" s="4"/>
      <c r="I23700" s="4"/>
    </row>
    <row r="23701">
      <c r="A23701" s="4" t="str">
        <f>IFERROR(__xludf.DUMMYFUNCTION("""COMPUTED_VALUE"""),"cas_hmw")</f>
        <v>cas_hmw</v>
      </c>
      <c r="B23701" s="5">
        <f>IFERROR(__xludf.DUMMYFUNCTION("""COMPUTED_VALUE"""),44796.0)</f>
        <v>44796</v>
      </c>
      <c r="C23701" s="6">
        <f>IFERROR(__xludf.DUMMYFUNCTION("""COMPUTED_VALUE"""),0.3456365740748879)</f>
        <v>0.3456365741</v>
      </c>
      <c r="D23701" s="4">
        <f>IFERROR(__xludf.DUMMYFUNCTION("""COMPUTED_VALUE"""),12.912784)</f>
        <v>12.912784</v>
      </c>
      <c r="E23701" s="4">
        <f>IFERROR(__xludf.DUMMYFUNCTION("""COMPUTED_VALUE"""),80.101576)</f>
        <v>80.101576</v>
      </c>
      <c r="F23701" s="4">
        <f>IFERROR(__xludf.DUMMYFUNCTION("""COMPUTED_VALUE"""),5339.0)</f>
        <v>5339</v>
      </c>
      <c r="G23701" s="4">
        <f>IFERROR(__xludf.DUMMYFUNCTION("""COMPUTED_VALUE"""),49.0)</f>
        <v>49</v>
      </c>
      <c r="H23701" s="4"/>
      <c r="I23701" s="4"/>
    </row>
    <row r="23702">
      <c r="A23702" s="4" t="str">
        <f>IFERROR(__xludf.DUMMYFUNCTION("""COMPUTED_VALUE"""),"cas_hmw")</f>
        <v>cas_hmw</v>
      </c>
      <c r="B23702" s="5">
        <f>IFERROR(__xludf.DUMMYFUNCTION("""COMPUTED_VALUE"""),44796.0)</f>
        <v>44796</v>
      </c>
      <c r="C23702" s="6">
        <f>IFERROR(__xludf.DUMMYFUNCTION("""COMPUTED_VALUE"""),0.346296296294895)</f>
        <v>0.3462962963</v>
      </c>
      <c r="D23702" s="4">
        <f>IFERROR(__xludf.DUMMYFUNCTION("""COMPUTED_VALUE"""),12.686006)</f>
        <v>12.686006</v>
      </c>
      <c r="E23702" s="4">
        <f>IFERROR(__xludf.DUMMYFUNCTION("""COMPUTED_VALUE"""),79.983468)</f>
        <v>79.983468</v>
      </c>
      <c r="F23702" s="4">
        <f>IFERROR(__xludf.DUMMYFUNCTION("""COMPUTED_VALUE"""),2846.0)</f>
        <v>2846</v>
      </c>
      <c r="G23702" s="4">
        <f>IFERROR(__xludf.DUMMYFUNCTION("""COMPUTED_VALUE"""),45.0)</f>
        <v>45</v>
      </c>
      <c r="H23702" s="4"/>
      <c r="I23702" s="4"/>
    </row>
    <row r="23703">
      <c r="A23703" s="4" t="str">
        <f>IFERROR(__xludf.DUMMYFUNCTION("""COMPUTED_VALUE"""),"cas_hmw")</f>
        <v>cas_hmw</v>
      </c>
      <c r="B23703" s="5">
        <f>IFERROR(__xludf.DUMMYFUNCTION("""COMPUTED_VALUE"""),44796.0)</f>
        <v>44796</v>
      </c>
      <c r="C23703" s="6">
        <f>IFERROR(__xludf.DUMMYFUNCTION("""COMPUTED_VALUE"""),0.3477893518502242)</f>
        <v>0.3477893519</v>
      </c>
      <c r="D23703" s="4">
        <f>IFERROR(__xludf.DUMMYFUNCTION("""COMPUTED_VALUE"""),12.692647)</f>
        <v>12.692647</v>
      </c>
      <c r="E23703" s="4">
        <f>IFERROR(__xludf.DUMMYFUNCTION("""COMPUTED_VALUE"""),79.97969)</f>
        <v>79.97969</v>
      </c>
      <c r="F23703" s="4">
        <f>IFERROR(__xludf.DUMMYFUNCTION("""COMPUTED_VALUE"""),2846.0)</f>
        <v>2846</v>
      </c>
      <c r="G23703" s="4">
        <f>IFERROR(__xludf.DUMMYFUNCTION("""COMPUTED_VALUE"""),44.0)</f>
        <v>44</v>
      </c>
      <c r="H23703" s="4"/>
      <c r="I23703" s="4"/>
    </row>
    <row r="23704">
      <c r="A23704" s="4" t="str">
        <f>IFERROR(__xludf.DUMMYFUNCTION("""COMPUTED_VALUE"""),"cas_hmw")</f>
        <v>cas_hmw</v>
      </c>
      <c r="B23704" s="5">
        <f>IFERROR(__xludf.DUMMYFUNCTION("""COMPUTED_VALUE"""),44796.0)</f>
        <v>44796</v>
      </c>
      <c r="C23704" s="6">
        <f>IFERROR(__xludf.DUMMYFUNCTION("""COMPUTED_VALUE"""),0.34841435185080627)</f>
        <v>0.3484143519</v>
      </c>
      <c r="D23704" s="4">
        <f>IFERROR(__xludf.DUMMYFUNCTION("""COMPUTED_VALUE"""),12.696419)</f>
        <v>12.696419</v>
      </c>
      <c r="E23704" s="4">
        <f>IFERROR(__xludf.DUMMYFUNCTION("""COMPUTED_VALUE"""),79.977133)</f>
        <v>79.977133</v>
      </c>
      <c r="F23704" s="4">
        <f>IFERROR(__xludf.DUMMYFUNCTION("""COMPUTED_VALUE"""),2846.0)</f>
        <v>2846</v>
      </c>
      <c r="G23704" s="4">
        <f>IFERROR(__xludf.DUMMYFUNCTION("""COMPUTED_VALUE"""),27.0)</f>
        <v>27</v>
      </c>
      <c r="H23704" s="4"/>
      <c r="I23704" s="4"/>
    </row>
    <row r="23705">
      <c r="A23705" s="4" t="str">
        <f>IFERROR(__xludf.DUMMYFUNCTION("""COMPUTED_VALUE"""),"cas_hmw")</f>
        <v>cas_hmw</v>
      </c>
      <c r="B23705" s="5">
        <f>IFERROR(__xludf.DUMMYFUNCTION("""COMPUTED_VALUE"""),44796.0)</f>
        <v>44796</v>
      </c>
      <c r="C23705" s="6">
        <f>IFERROR(__xludf.DUMMYFUNCTION("""COMPUTED_VALUE"""),0.3496759259251121)</f>
        <v>0.3496759259</v>
      </c>
      <c r="D23705" s="4">
        <f>IFERROR(__xludf.DUMMYFUNCTION("""COMPUTED_VALUE"""),12.905019)</f>
        <v>12.905019</v>
      </c>
      <c r="E23705" s="4">
        <f>IFERROR(__xludf.DUMMYFUNCTION("""COMPUTED_VALUE"""),80.095457)</f>
        <v>80.095457</v>
      </c>
      <c r="F23705" s="4">
        <f>IFERROR(__xludf.DUMMYFUNCTION("""COMPUTED_VALUE"""),5339.0)</f>
        <v>5339</v>
      </c>
      <c r="G23705" s="4">
        <f>IFERROR(__xludf.DUMMYFUNCTION("""COMPUTED_VALUE"""),14.0)</f>
        <v>14</v>
      </c>
      <c r="H23705" s="4"/>
      <c r="I23705" s="4"/>
    </row>
    <row r="23706">
      <c r="A23706" s="4" t="str">
        <f>IFERROR(__xludf.DUMMYFUNCTION("""COMPUTED_VALUE"""),"cas_hmw")</f>
        <v>cas_hmw</v>
      </c>
      <c r="B23706" s="5">
        <f>IFERROR(__xludf.DUMMYFUNCTION("""COMPUTED_VALUE"""),44796.0)</f>
        <v>44796</v>
      </c>
      <c r="C23706" s="6">
        <f>IFERROR(__xludf.DUMMYFUNCTION("""COMPUTED_VALUE"""),0.34968749999825377)</f>
        <v>0.3496875</v>
      </c>
      <c r="D23706" s="4">
        <f>IFERROR(__xludf.DUMMYFUNCTION("""COMPUTED_VALUE"""),12.905019)</f>
        <v>12.905019</v>
      </c>
      <c r="E23706" s="4">
        <f>IFERROR(__xludf.DUMMYFUNCTION("""COMPUTED_VALUE"""),80.095457)</f>
        <v>80.095457</v>
      </c>
      <c r="F23706" s="4">
        <f>IFERROR(__xludf.DUMMYFUNCTION("""COMPUTED_VALUE"""),5339.0)</f>
        <v>5339</v>
      </c>
      <c r="G23706" s="4">
        <f>IFERROR(__xludf.DUMMYFUNCTION("""COMPUTED_VALUE"""),14.0)</f>
        <v>14</v>
      </c>
      <c r="H23706" s="4"/>
      <c r="I23706" s="4"/>
    </row>
    <row r="23707">
      <c r="A23707" s="4" t="str">
        <f>IFERROR(__xludf.DUMMYFUNCTION("""COMPUTED_VALUE"""),"cas_hmw")</f>
        <v>cas_hmw</v>
      </c>
      <c r="B23707" s="5">
        <f>IFERROR(__xludf.DUMMYFUNCTION("""COMPUTED_VALUE"""),44796.0)</f>
        <v>44796</v>
      </c>
      <c r="C23707" s="6">
        <f>IFERROR(__xludf.DUMMYFUNCTION("""COMPUTED_VALUE"""),0.3498842592598521)</f>
        <v>0.3498842593</v>
      </c>
      <c r="D23707" s="4">
        <f>IFERROR(__xludf.DUMMYFUNCTION("""COMPUTED_VALUE"""),12.903877)</f>
        <v>12.903877</v>
      </c>
      <c r="E23707" s="4">
        <f>IFERROR(__xludf.DUMMYFUNCTION("""COMPUTED_VALUE"""),80.094587)</f>
        <v>80.094587</v>
      </c>
      <c r="F23707" s="4">
        <f>IFERROR(__xludf.DUMMYFUNCTION("""COMPUTED_VALUE"""),5339.0)</f>
        <v>5339</v>
      </c>
      <c r="G23707" s="4">
        <f>IFERROR(__xludf.DUMMYFUNCTION("""COMPUTED_VALUE"""),38.0)</f>
        <v>38</v>
      </c>
      <c r="H23707" s="4"/>
      <c r="I23707" s="4"/>
    </row>
    <row r="23708">
      <c r="A23708" s="4" t="str">
        <f>IFERROR(__xludf.DUMMYFUNCTION("""COMPUTED_VALUE"""),"cas_hmw")</f>
        <v>cas_hmw</v>
      </c>
      <c r="B23708" s="5">
        <f>IFERROR(__xludf.DUMMYFUNCTION("""COMPUTED_VALUE"""),44796.0)</f>
        <v>44796</v>
      </c>
      <c r="C23708" s="6">
        <f>IFERROR(__xludf.DUMMYFUNCTION("""COMPUTED_VALUE"""),0.3513425925921183)</f>
        <v>0.3513425926</v>
      </c>
      <c r="D23708" s="4">
        <f>IFERROR(__xludf.DUMMYFUNCTION("""COMPUTED_VALUE"""),12.895689)</f>
        <v>12.895689</v>
      </c>
      <c r="E23708" s="4">
        <f>IFERROR(__xludf.DUMMYFUNCTION("""COMPUTED_VALUE"""),80.088267)</f>
        <v>80.088267</v>
      </c>
      <c r="F23708" s="4">
        <f>IFERROR(__xludf.DUMMYFUNCTION("""COMPUTED_VALUE"""),5339.0)</f>
        <v>5339</v>
      </c>
      <c r="G23708" s="4">
        <f>IFERROR(__xludf.DUMMYFUNCTION("""COMPUTED_VALUE"""),40.0)</f>
        <v>40</v>
      </c>
      <c r="H23708" s="4"/>
      <c r="I23708" s="4"/>
    </row>
    <row r="23709">
      <c r="A23709" s="4" t="str">
        <f>IFERROR(__xludf.DUMMYFUNCTION("""COMPUTED_VALUE"""),"cas_hmw")</f>
        <v>cas_hmw</v>
      </c>
      <c r="B23709" s="5">
        <f>IFERROR(__xludf.DUMMYFUNCTION("""COMPUTED_VALUE"""),44796.0)</f>
        <v>44796</v>
      </c>
      <c r="C23709" s="6">
        <f>IFERROR(__xludf.DUMMYFUNCTION("""COMPUTED_VALUE"""),0.35187500000029104)</f>
        <v>0.351875</v>
      </c>
      <c r="D23709" s="4">
        <f>IFERROR(__xludf.DUMMYFUNCTION("""COMPUTED_VALUE"""),12.703617)</f>
        <v>12.703617</v>
      </c>
      <c r="E23709" s="4">
        <f>IFERROR(__xludf.DUMMYFUNCTION("""COMPUTED_VALUE"""),79.971774)</f>
        <v>79.971774</v>
      </c>
      <c r="F23709" s="4">
        <f>IFERROR(__xludf.DUMMYFUNCTION("""COMPUTED_VALUE"""),2846.0)</f>
        <v>2846</v>
      </c>
      <c r="G23709" s="4">
        <f>IFERROR(__xludf.DUMMYFUNCTION("""COMPUTED_VALUE"""),22.0)</f>
        <v>22</v>
      </c>
      <c r="H23709" s="4"/>
      <c r="I23709" s="4"/>
    </row>
    <row r="23710">
      <c r="A23710" s="4" t="str">
        <f>IFERROR(__xludf.DUMMYFUNCTION("""COMPUTED_VALUE"""),"cas_hmw")</f>
        <v>cas_hmw</v>
      </c>
      <c r="B23710" s="5">
        <f>IFERROR(__xludf.DUMMYFUNCTION("""COMPUTED_VALUE"""),44796.0)</f>
        <v>44796</v>
      </c>
      <c r="C23710" s="6">
        <f>IFERROR(__xludf.DUMMYFUNCTION("""COMPUTED_VALUE"""),0.3518981481465744)</f>
        <v>0.3518981481</v>
      </c>
      <c r="D23710" s="4">
        <f>IFERROR(__xludf.DUMMYFUNCTION("""COMPUTED_VALUE"""),12.706961)</f>
        <v>12.706961</v>
      </c>
      <c r="E23710" s="4">
        <f>IFERROR(__xludf.DUMMYFUNCTION("""COMPUTED_VALUE"""),79.975982)</f>
        <v>79.975982</v>
      </c>
      <c r="F23710" s="4">
        <f>IFERROR(__xludf.DUMMYFUNCTION("""COMPUTED_VALUE"""),2846.0)</f>
        <v>2846</v>
      </c>
      <c r="G23710" s="4">
        <f>IFERROR(__xludf.DUMMYFUNCTION("""COMPUTED_VALUE"""),58.0)</f>
        <v>58</v>
      </c>
      <c r="H23710" s="4"/>
      <c r="I23710" s="4"/>
    </row>
    <row r="23711">
      <c r="A23711" s="4" t="str">
        <f>IFERROR(__xludf.DUMMYFUNCTION("""COMPUTED_VALUE"""),"cas_hmw")</f>
        <v>cas_hmw</v>
      </c>
      <c r="B23711" s="5">
        <f>IFERROR(__xludf.DUMMYFUNCTION("""COMPUTED_VALUE"""),44796.0)</f>
        <v>44796</v>
      </c>
      <c r="C23711" s="6">
        <f>IFERROR(__xludf.DUMMYFUNCTION("""COMPUTED_VALUE"""),0.35256944444336114)</f>
        <v>0.3525694444</v>
      </c>
      <c r="D23711" s="4">
        <f>IFERROR(__xludf.DUMMYFUNCTION("""COMPUTED_VALUE"""),12.883838)</f>
        <v>12.883838</v>
      </c>
      <c r="E23711" s="4">
        <f>IFERROR(__xludf.DUMMYFUNCTION("""COMPUTED_VALUE"""),80.082194)</f>
        <v>80.082194</v>
      </c>
      <c r="F23711" s="4">
        <f>IFERROR(__xludf.DUMMYFUNCTION("""COMPUTED_VALUE"""),5339.0)</f>
        <v>5339</v>
      </c>
      <c r="G23711" s="4">
        <f>IFERROR(__xludf.DUMMYFUNCTION("""COMPUTED_VALUE"""),30.0)</f>
        <v>30</v>
      </c>
      <c r="H23711" s="4"/>
      <c r="I23711" s="4"/>
    </row>
    <row r="23712">
      <c r="A23712" s="4" t="str">
        <f>IFERROR(__xludf.DUMMYFUNCTION("""COMPUTED_VALUE"""),"cas_hmw")</f>
        <v>cas_hmw</v>
      </c>
      <c r="B23712" s="5">
        <f>IFERROR(__xludf.DUMMYFUNCTION("""COMPUTED_VALUE"""),44796.0)</f>
        <v>44796</v>
      </c>
      <c r="C23712" s="6">
        <f>IFERROR(__xludf.DUMMYFUNCTION("""COMPUTED_VALUE"""),0.3525810185201408)</f>
        <v>0.3525810185</v>
      </c>
      <c r="D23712" s="4">
        <f>IFERROR(__xludf.DUMMYFUNCTION("""COMPUTED_VALUE"""),12.883838)</f>
        <v>12.883838</v>
      </c>
      <c r="E23712" s="4">
        <f>IFERROR(__xludf.DUMMYFUNCTION("""COMPUTED_VALUE"""),80.082194)</f>
        <v>80.082194</v>
      </c>
      <c r="F23712" s="4">
        <f>IFERROR(__xludf.DUMMYFUNCTION("""COMPUTED_VALUE"""),5339.0)</f>
        <v>5339</v>
      </c>
      <c r="G23712" s="4">
        <f>IFERROR(__xludf.DUMMYFUNCTION("""COMPUTED_VALUE"""),30.0)</f>
        <v>30</v>
      </c>
      <c r="H23712" s="4"/>
      <c r="I23712" s="4"/>
    </row>
    <row r="23713">
      <c r="A23713" s="4" t="str">
        <f>IFERROR(__xludf.DUMMYFUNCTION("""COMPUTED_VALUE"""),"cas_hmw")</f>
        <v>cas_hmw</v>
      </c>
      <c r="B23713" s="5">
        <f>IFERROR(__xludf.DUMMYFUNCTION("""COMPUTED_VALUE"""),44796.0)</f>
        <v>44796</v>
      </c>
      <c r="C23713" s="6">
        <f>IFERROR(__xludf.DUMMYFUNCTION("""COMPUTED_VALUE"""),0.35259259259328246)</f>
        <v>0.3525925926</v>
      </c>
      <c r="D23713" s="4">
        <f>IFERROR(__xludf.DUMMYFUNCTION("""COMPUTED_VALUE"""),12.883838)</f>
        <v>12.883838</v>
      </c>
      <c r="E23713" s="4">
        <f>IFERROR(__xludf.DUMMYFUNCTION("""COMPUTED_VALUE"""),80.082194)</f>
        <v>80.082194</v>
      </c>
      <c r="F23713" s="4">
        <f>IFERROR(__xludf.DUMMYFUNCTION("""COMPUTED_VALUE"""),5339.0)</f>
        <v>5339</v>
      </c>
      <c r="G23713" s="4">
        <f>IFERROR(__xludf.DUMMYFUNCTION("""COMPUTED_VALUE"""),30.0)</f>
        <v>30</v>
      </c>
      <c r="H23713" s="4"/>
      <c r="I23713" s="4"/>
    </row>
    <row r="23714">
      <c r="A23714" s="4" t="str">
        <f>IFERROR(__xludf.DUMMYFUNCTION("""COMPUTED_VALUE"""),"cas_hmw")</f>
        <v>cas_hmw</v>
      </c>
      <c r="B23714" s="5">
        <f>IFERROR(__xludf.DUMMYFUNCTION("""COMPUTED_VALUE"""),44796.0)</f>
        <v>44796</v>
      </c>
      <c r="C23714" s="6">
        <f>IFERROR(__xludf.DUMMYFUNCTION("""COMPUTED_VALUE"""),0.3529513888897782)</f>
        <v>0.3529513889</v>
      </c>
      <c r="D23714" s="4">
        <f>IFERROR(__xludf.DUMMYFUNCTION("""COMPUTED_VALUE"""),12.709456)</f>
        <v>12.709456</v>
      </c>
      <c r="E23714" s="4">
        <f>IFERROR(__xludf.DUMMYFUNCTION("""COMPUTED_VALUE"""),79.977512)</f>
        <v>79.977512</v>
      </c>
      <c r="F23714" s="4">
        <f>IFERROR(__xludf.DUMMYFUNCTION("""COMPUTED_VALUE"""),2846.0)</f>
        <v>2846</v>
      </c>
      <c r="G23714" s="4">
        <f>IFERROR(__xludf.DUMMYFUNCTION("""COMPUTED_VALUE"""),6.0)</f>
        <v>6</v>
      </c>
      <c r="H23714" s="4"/>
      <c r="I23714" s="4"/>
    </row>
    <row r="23715">
      <c r="A23715" s="4" t="str">
        <f>IFERROR(__xludf.DUMMYFUNCTION("""COMPUTED_VALUE"""),"cas_hmw")</f>
        <v>cas_hmw</v>
      </c>
      <c r="B23715" s="5">
        <f>IFERROR(__xludf.DUMMYFUNCTION("""COMPUTED_VALUE"""),44796.0)</f>
        <v>44796</v>
      </c>
      <c r="C23715" s="6">
        <f>IFERROR(__xludf.DUMMYFUNCTION("""COMPUTED_VALUE"""),0.35298611111284117)</f>
        <v>0.3529861111</v>
      </c>
      <c r="D23715" s="4">
        <f>IFERROR(__xludf.DUMMYFUNCTION("""COMPUTED_VALUE"""),12.881323)</f>
        <v>12.881323</v>
      </c>
      <c r="E23715" s="4">
        <f>IFERROR(__xludf.DUMMYFUNCTION("""COMPUTED_VALUE"""),80.081191)</f>
        <v>80.081191</v>
      </c>
      <c r="F23715" s="4">
        <f>IFERROR(__xludf.DUMMYFUNCTION("""COMPUTED_VALUE"""),5339.0)</f>
        <v>5339</v>
      </c>
      <c r="G23715" s="4">
        <f>IFERROR(__xludf.DUMMYFUNCTION("""COMPUTED_VALUE"""),32.0)</f>
        <v>32</v>
      </c>
      <c r="H23715" s="4"/>
      <c r="I23715" s="4"/>
    </row>
    <row r="23716">
      <c r="A23716" s="4" t="str">
        <f>IFERROR(__xludf.DUMMYFUNCTION("""COMPUTED_VALUE"""),"cas_hmw")</f>
        <v>cas_hmw</v>
      </c>
      <c r="B23716" s="5">
        <f>IFERROR(__xludf.DUMMYFUNCTION("""COMPUTED_VALUE"""),44796.0)</f>
        <v>44796</v>
      </c>
      <c r="C23716" s="6">
        <f>IFERROR(__xludf.DUMMYFUNCTION("""COMPUTED_VALUE"""),0.3530092592591245)</f>
        <v>0.3530092593</v>
      </c>
      <c r="D23716" s="4">
        <f>IFERROR(__xludf.DUMMYFUNCTION("""COMPUTED_VALUE"""),12.710646)</f>
        <v>12.710646</v>
      </c>
      <c r="E23716" s="4">
        <f>IFERROR(__xludf.DUMMYFUNCTION("""COMPUTED_VALUE"""),79.978208)</f>
        <v>79.978208</v>
      </c>
      <c r="F23716" s="4">
        <f>IFERROR(__xludf.DUMMYFUNCTION("""COMPUTED_VALUE"""),2846.0)</f>
        <v>2846</v>
      </c>
      <c r="G23716" s="4">
        <f>IFERROR(__xludf.DUMMYFUNCTION("""COMPUTED_VALUE"""),27.0)</f>
        <v>27</v>
      </c>
      <c r="H23716" s="4"/>
      <c r="I23716" s="4"/>
    </row>
    <row r="23717">
      <c r="A23717" s="4" t="str">
        <f>IFERROR(__xludf.DUMMYFUNCTION("""COMPUTED_VALUE"""),"cas_hmw")</f>
        <v>cas_hmw</v>
      </c>
      <c r="B23717" s="5">
        <f>IFERROR(__xludf.DUMMYFUNCTION("""COMPUTED_VALUE"""),44796.0)</f>
        <v>44796</v>
      </c>
      <c r="C23717" s="6">
        <f>IFERROR(__xludf.DUMMYFUNCTION("""COMPUTED_VALUE"""),0.3530787037052505)</f>
        <v>0.3530787037</v>
      </c>
      <c r="D23717" s="4">
        <f>IFERROR(__xludf.DUMMYFUNCTION("""COMPUTED_VALUE"""),12.881323)</f>
        <v>12.881323</v>
      </c>
      <c r="E23717" s="4">
        <f>IFERROR(__xludf.DUMMYFUNCTION("""COMPUTED_VALUE"""),80.081191)</f>
        <v>80.081191</v>
      </c>
      <c r="F23717" s="4">
        <f>IFERROR(__xludf.DUMMYFUNCTION("""COMPUTED_VALUE"""),5339.0)</f>
        <v>5339</v>
      </c>
      <c r="G23717" s="4">
        <f>IFERROR(__xludf.DUMMYFUNCTION("""COMPUTED_VALUE"""),32.0)</f>
        <v>32</v>
      </c>
      <c r="H23717" s="4"/>
      <c r="I23717" s="4"/>
    </row>
    <row r="23718">
      <c r="A23718" s="4" t="str">
        <f>IFERROR(__xludf.DUMMYFUNCTION("""COMPUTED_VALUE"""),"cas_hmw")</f>
        <v>cas_hmw</v>
      </c>
      <c r="B23718" s="5">
        <f>IFERROR(__xludf.DUMMYFUNCTION("""COMPUTED_VALUE"""),44796.0)</f>
        <v>44796</v>
      </c>
      <c r="C23718" s="6">
        <f>IFERROR(__xludf.DUMMYFUNCTION("""COMPUTED_VALUE"""),0.35350694444423425)</f>
        <v>0.3535069444</v>
      </c>
      <c r="D23718" s="4">
        <f>IFERROR(__xludf.DUMMYFUNCTION("""COMPUTED_VALUE"""),12.712241)</f>
        <v>12.712241</v>
      </c>
      <c r="E23718" s="4">
        <f>IFERROR(__xludf.DUMMYFUNCTION("""COMPUTED_VALUE"""),79.979305)</f>
        <v>79.979305</v>
      </c>
      <c r="F23718" s="4">
        <f>IFERROR(__xludf.DUMMYFUNCTION("""COMPUTED_VALUE"""),2846.0)</f>
        <v>2846</v>
      </c>
      <c r="G23718" s="4">
        <f>IFERROR(__xludf.DUMMYFUNCTION("""COMPUTED_VALUE"""),45.0)</f>
        <v>45</v>
      </c>
      <c r="H23718" s="4"/>
      <c r="I23718" s="4"/>
    </row>
    <row r="23719">
      <c r="A23719" s="4" t="str">
        <f>IFERROR(__xludf.DUMMYFUNCTION("""COMPUTED_VALUE"""),"cas_hmw")</f>
        <v>cas_hmw</v>
      </c>
      <c r="B23719" s="5">
        <f>IFERROR(__xludf.DUMMYFUNCTION("""COMPUTED_VALUE"""),44796.0)</f>
        <v>44796</v>
      </c>
      <c r="C23719" s="6">
        <f>IFERROR(__xludf.DUMMYFUNCTION("""COMPUTED_VALUE"""),0.35836805555663886)</f>
        <v>0.3583680556</v>
      </c>
      <c r="D23719" s="4">
        <f>IFERROR(__xludf.DUMMYFUNCTION("""COMPUTED_VALUE"""),12.749945)</f>
        <v>12.749945</v>
      </c>
      <c r="E23719" s="4">
        <f>IFERROR(__xludf.DUMMYFUNCTION("""COMPUTED_VALUE"""),79.997732)</f>
        <v>79.997732</v>
      </c>
      <c r="F23719" s="4">
        <f>IFERROR(__xludf.DUMMYFUNCTION("""COMPUTED_VALUE"""),2846.0)</f>
        <v>2846</v>
      </c>
      <c r="G23719" s="4">
        <f>IFERROR(__xludf.DUMMYFUNCTION("""COMPUTED_VALUE"""),57.0)</f>
        <v>57</v>
      </c>
      <c r="H23719" s="4"/>
      <c r="I23719" s="4"/>
    </row>
    <row r="23720">
      <c r="A23720" s="4" t="str">
        <f>IFERROR(__xludf.DUMMYFUNCTION("""COMPUTED_VALUE"""),"cas_hmw")</f>
        <v>cas_hmw</v>
      </c>
      <c r="B23720" s="5">
        <f>IFERROR(__xludf.DUMMYFUNCTION("""COMPUTED_VALUE"""),44796.0)</f>
        <v>44796</v>
      </c>
      <c r="C23720" s="6">
        <f>IFERROR(__xludf.DUMMYFUNCTION("""COMPUTED_VALUE"""),0.35858796296452056)</f>
        <v>0.358587963</v>
      </c>
      <c r="D23720" s="4">
        <f>IFERROR(__xludf.DUMMYFUNCTION("""COMPUTED_VALUE"""),12.753555)</f>
        <v>12.753555</v>
      </c>
      <c r="E23720" s="4">
        <f>IFERROR(__xludf.DUMMYFUNCTION("""COMPUTED_VALUE"""),80.000212)</f>
        <v>80.000212</v>
      </c>
      <c r="F23720" s="4">
        <f>IFERROR(__xludf.DUMMYFUNCTION("""COMPUTED_VALUE"""),2846.0)</f>
        <v>2846</v>
      </c>
      <c r="G23720" s="4">
        <f>IFERROR(__xludf.DUMMYFUNCTION("""COMPUTED_VALUE"""),55.0)</f>
        <v>55</v>
      </c>
      <c r="H23720" s="4"/>
      <c r="I23720" s="4"/>
    </row>
    <row r="23721">
      <c r="A23721" s="4" t="str">
        <f>IFERROR(__xludf.DUMMYFUNCTION("""COMPUTED_VALUE"""),"cas_hmw")</f>
        <v>cas_hmw</v>
      </c>
      <c r="B23721" s="5">
        <f>IFERROR(__xludf.DUMMYFUNCTION("""COMPUTED_VALUE"""),44796.0)</f>
        <v>44796</v>
      </c>
      <c r="C23721" s="6">
        <f>IFERROR(__xludf.DUMMYFUNCTION("""COMPUTED_VALUE"""),0.3589351851842366)</f>
        <v>0.3589351852</v>
      </c>
      <c r="D23721" s="4">
        <f>IFERROR(__xludf.DUMMYFUNCTION("""COMPUTED_VALUE"""),12.755564)</f>
        <v>12.755564</v>
      </c>
      <c r="E23721" s="4">
        <f>IFERROR(__xludf.DUMMYFUNCTION("""COMPUTED_VALUE"""),80.001512)</f>
        <v>80.001512</v>
      </c>
      <c r="F23721" s="4">
        <f>IFERROR(__xludf.DUMMYFUNCTION("""COMPUTED_VALUE"""),2846.0)</f>
        <v>2846</v>
      </c>
      <c r="G23721" s="4">
        <f>IFERROR(__xludf.DUMMYFUNCTION("""COMPUTED_VALUE"""),24.0)</f>
        <v>24</v>
      </c>
      <c r="H23721" s="4"/>
      <c r="I23721" s="4"/>
    </row>
    <row r="23722">
      <c r="A23722" s="4" t="str">
        <f>IFERROR(__xludf.DUMMYFUNCTION("""COMPUTED_VALUE"""),"cas_hmw")</f>
        <v>cas_hmw</v>
      </c>
      <c r="B23722" s="5">
        <f>IFERROR(__xludf.DUMMYFUNCTION("""COMPUTED_VALUE"""),44796.0)</f>
        <v>44796</v>
      </c>
      <c r="C23722" s="6">
        <f>IFERROR(__xludf.DUMMYFUNCTION("""COMPUTED_VALUE"""),0.3600231481468654)</f>
        <v>0.3600231481</v>
      </c>
      <c r="D23722" s="4">
        <f>IFERROR(__xludf.DUMMYFUNCTION("""COMPUTED_VALUE"""),12.765265)</f>
        <v>12.765265</v>
      </c>
      <c r="E23722" s="4">
        <f>IFERROR(__xludf.DUMMYFUNCTION("""COMPUTED_VALUE"""),80.00484)</f>
        <v>80.00484</v>
      </c>
      <c r="F23722" s="4">
        <f>IFERROR(__xludf.DUMMYFUNCTION("""COMPUTED_VALUE"""),2846.0)</f>
        <v>2846</v>
      </c>
      <c r="G23722" s="4">
        <f>IFERROR(__xludf.DUMMYFUNCTION("""COMPUTED_VALUE"""),57.0)</f>
        <v>57</v>
      </c>
      <c r="H23722" s="4"/>
      <c r="I23722" s="4"/>
    </row>
    <row r="23723">
      <c r="A23723" s="4" t="str">
        <f>IFERROR(__xludf.DUMMYFUNCTION("""COMPUTED_VALUE"""),"cas_hmw")</f>
        <v>cas_hmw</v>
      </c>
      <c r="B23723" s="5">
        <f>IFERROR(__xludf.DUMMYFUNCTION("""COMPUTED_VALUE"""),44796.0)</f>
        <v>44796</v>
      </c>
      <c r="C23723" s="6">
        <f>IFERROR(__xludf.DUMMYFUNCTION("""COMPUTED_VALUE"""),0.36386574073912925)</f>
        <v>0.3638657407</v>
      </c>
      <c r="D23723" s="4">
        <f>IFERROR(__xludf.DUMMYFUNCTION("""COMPUTED_VALUE"""),12.803907)</f>
        <v>12.803907</v>
      </c>
      <c r="E23723" s="4">
        <f>IFERROR(__xludf.DUMMYFUNCTION("""COMPUTED_VALUE"""),80.025856)</f>
        <v>80.025856</v>
      </c>
      <c r="F23723" s="4">
        <f>IFERROR(__xludf.DUMMYFUNCTION("""COMPUTED_VALUE"""),2846.0)</f>
        <v>2846</v>
      </c>
      <c r="G23723" s="4">
        <f>IFERROR(__xludf.DUMMYFUNCTION("""COMPUTED_VALUE"""),57.0)</f>
        <v>57</v>
      </c>
      <c r="H23723" s="4"/>
      <c r="I23723" s="4"/>
    </row>
    <row r="23724">
      <c r="A23724" s="4" t="str">
        <f>IFERROR(__xludf.DUMMYFUNCTION("""COMPUTED_VALUE"""),"cas_hmw")</f>
        <v>cas_hmw</v>
      </c>
      <c r="B23724" s="5">
        <f>IFERROR(__xludf.DUMMYFUNCTION("""COMPUTED_VALUE"""),44796.0)</f>
        <v>44796</v>
      </c>
      <c r="C23724" s="6">
        <f>IFERROR(__xludf.DUMMYFUNCTION("""COMPUTED_VALUE"""),0.3639467592583969)</f>
        <v>0.3639467593</v>
      </c>
      <c r="D23724" s="4">
        <f>IFERROR(__xludf.DUMMYFUNCTION("""COMPUTED_VALUE"""),12.794845)</f>
        <v>12.794845</v>
      </c>
      <c r="E23724" s="4">
        <f>IFERROR(__xludf.DUMMYFUNCTION("""COMPUTED_VALUE"""),80.019848)</f>
        <v>80.019848</v>
      </c>
      <c r="F23724" s="4">
        <f>IFERROR(__xludf.DUMMYFUNCTION("""COMPUTED_VALUE"""),2846.0)</f>
        <v>2846</v>
      </c>
      <c r="G23724" s="4">
        <f>IFERROR(__xludf.DUMMYFUNCTION("""COMPUTED_VALUE"""),40.0)</f>
        <v>40</v>
      </c>
      <c r="H23724" s="4"/>
      <c r="I23724" s="4"/>
    </row>
    <row r="23725">
      <c r="A23725" s="4" t="str">
        <f>IFERROR(__xludf.DUMMYFUNCTION("""COMPUTED_VALUE"""),"cas_hmw")</f>
        <v>cas_hmw</v>
      </c>
      <c r="B23725" s="5">
        <f>IFERROR(__xludf.DUMMYFUNCTION("""COMPUTED_VALUE"""),44796.0)</f>
        <v>44796</v>
      </c>
      <c r="C23725" s="6">
        <f>IFERROR(__xludf.DUMMYFUNCTION("""COMPUTED_VALUE"""),0.36778935185066075)</f>
        <v>0.3677893519</v>
      </c>
      <c r="D23725" s="4">
        <f>IFERROR(__xludf.DUMMYFUNCTION("""COMPUTED_VALUE"""),12.840572)</f>
        <v>12.840572</v>
      </c>
      <c r="E23725" s="4">
        <f>IFERROR(__xludf.DUMMYFUNCTION("""COMPUTED_VALUE"""),80.055911)</f>
        <v>80.055911</v>
      </c>
      <c r="F23725" s="4">
        <f>IFERROR(__xludf.DUMMYFUNCTION("""COMPUTED_VALUE"""),2846.0)</f>
        <v>2846</v>
      </c>
      <c r="G23725" s="4">
        <f>IFERROR(__xludf.DUMMYFUNCTION("""COMPUTED_VALUE"""),17.0)</f>
        <v>17</v>
      </c>
      <c r="H23725" s="4"/>
      <c r="I23725" s="4"/>
    </row>
    <row r="23726">
      <c r="A23726" s="4" t="str">
        <f>IFERROR(__xludf.DUMMYFUNCTION("""COMPUTED_VALUE"""),"cas_hmw")</f>
        <v>cas_hmw</v>
      </c>
      <c r="B23726" s="5">
        <f>IFERROR(__xludf.DUMMYFUNCTION("""COMPUTED_VALUE"""),44796.0)</f>
        <v>44796</v>
      </c>
      <c r="C23726" s="6">
        <f>IFERROR(__xludf.DUMMYFUNCTION("""COMPUTED_VALUE"""),0.36927083333284827)</f>
        <v>0.3692708333</v>
      </c>
      <c r="D23726" s="4">
        <f>IFERROR(__xludf.DUMMYFUNCTION("""COMPUTED_VALUE"""),12.845678)</f>
        <v>12.845678</v>
      </c>
      <c r="E23726" s="4">
        <f>IFERROR(__xludf.DUMMYFUNCTION("""COMPUTED_VALUE"""),80.061292)</f>
        <v>80.061292</v>
      </c>
      <c r="F23726" s="4">
        <f>IFERROR(__xludf.DUMMYFUNCTION("""COMPUTED_VALUE"""),2846.0)</f>
        <v>2846</v>
      </c>
      <c r="G23726" s="4">
        <f>IFERROR(__xludf.DUMMYFUNCTION("""COMPUTED_VALUE"""),42.0)</f>
        <v>42</v>
      </c>
      <c r="H23726" s="4"/>
      <c r="I23726" s="4"/>
    </row>
    <row r="23727">
      <c r="A23727" s="4" t="str">
        <f>IFERROR(__xludf.DUMMYFUNCTION("""COMPUTED_VALUE"""),"cas_hmw")</f>
        <v>cas_hmw</v>
      </c>
      <c r="B23727" s="5">
        <f>IFERROR(__xludf.DUMMYFUNCTION("""COMPUTED_VALUE"""),44796.0)</f>
        <v>44796</v>
      </c>
      <c r="C23727" s="6">
        <f>IFERROR(__xludf.DUMMYFUNCTION("""COMPUTED_VALUE"""),0.36934027777897427)</f>
        <v>0.3693402778</v>
      </c>
      <c r="D23727" s="4">
        <f>IFERROR(__xludf.DUMMYFUNCTION("""COMPUTED_VALUE"""),12.84653)</f>
        <v>12.84653</v>
      </c>
      <c r="E23727" s="4">
        <f>IFERROR(__xludf.DUMMYFUNCTION("""COMPUTED_VALUE"""),80.062044)</f>
        <v>80.062044</v>
      </c>
      <c r="F23727" s="4">
        <f>IFERROR(__xludf.DUMMYFUNCTION("""COMPUTED_VALUE"""),2846.0)</f>
        <v>2846</v>
      </c>
      <c r="G23727" s="4">
        <f>IFERROR(__xludf.DUMMYFUNCTION("""COMPUTED_VALUE"""),49.0)</f>
        <v>49</v>
      </c>
      <c r="H23727" s="4"/>
      <c r="I23727" s="4"/>
    </row>
    <row r="23728">
      <c r="A23728" s="4" t="str">
        <f>IFERROR(__xludf.DUMMYFUNCTION("""COMPUTED_VALUE"""),"cas_hmw")</f>
        <v>cas_hmw</v>
      </c>
      <c r="B23728" s="5">
        <f>IFERROR(__xludf.DUMMYFUNCTION("""COMPUTED_VALUE"""),44796.0)</f>
        <v>44796</v>
      </c>
      <c r="C23728" s="6">
        <f>IFERROR(__xludf.DUMMYFUNCTION("""COMPUTED_VALUE"""),0.36942129629460396)</f>
        <v>0.3694212963</v>
      </c>
      <c r="D23728" s="4">
        <f>IFERROR(__xludf.DUMMYFUNCTION("""COMPUTED_VALUE"""),12.847621)</f>
        <v>12.847621</v>
      </c>
      <c r="E23728" s="4">
        <f>IFERROR(__xludf.DUMMYFUNCTION("""COMPUTED_VALUE"""),80.062872)</f>
        <v>80.062872</v>
      </c>
      <c r="F23728" s="4">
        <f>IFERROR(__xludf.DUMMYFUNCTION("""COMPUTED_VALUE"""),2846.0)</f>
        <v>2846</v>
      </c>
      <c r="G23728" s="4">
        <f>IFERROR(__xludf.DUMMYFUNCTION("""COMPUTED_VALUE"""),54.0)</f>
        <v>54</v>
      </c>
      <c r="H23728" s="4"/>
      <c r="I23728" s="4"/>
    </row>
    <row r="23729">
      <c r="A23729" s="4" t="str">
        <f>IFERROR(__xludf.DUMMYFUNCTION("""COMPUTED_VALUE"""),"cas_hmw")</f>
        <v>cas_hmw</v>
      </c>
      <c r="B23729" s="5">
        <f>IFERROR(__xludf.DUMMYFUNCTION("""COMPUTED_VALUE"""),44796.0)</f>
        <v>44796</v>
      </c>
      <c r="C23729" s="6">
        <f>IFERROR(__xludf.DUMMYFUNCTION("""COMPUTED_VALUE"""),0.36999999999898137)</f>
        <v>0.37</v>
      </c>
      <c r="D23729" s="4">
        <f>IFERROR(__xludf.DUMMYFUNCTION("""COMPUTED_VALUE"""),12.850766)</f>
        <v>12.850766</v>
      </c>
      <c r="E23729" s="4">
        <f>IFERROR(__xludf.DUMMYFUNCTION("""COMPUTED_VALUE"""),80.065145)</f>
        <v>80.065145</v>
      </c>
      <c r="F23729" s="4">
        <f>IFERROR(__xludf.DUMMYFUNCTION("""COMPUTED_VALUE"""),2846.0)</f>
        <v>2846</v>
      </c>
      <c r="G23729" s="4">
        <f>IFERROR(__xludf.DUMMYFUNCTION("""COMPUTED_VALUE"""),32.0)</f>
        <v>32</v>
      </c>
      <c r="H23729" s="4"/>
      <c r="I23729" s="4"/>
    </row>
    <row r="23730">
      <c r="A23730" s="4" t="str">
        <f>IFERROR(__xludf.DUMMYFUNCTION("""COMPUTED_VALUE"""),"cas_hmw")</f>
        <v>cas_hmw</v>
      </c>
      <c r="B23730" s="5">
        <f>IFERROR(__xludf.DUMMYFUNCTION("""COMPUTED_VALUE"""),44796.0)</f>
        <v>44796</v>
      </c>
      <c r="C23730" s="6">
        <f>IFERROR(__xludf.DUMMYFUNCTION("""COMPUTED_VALUE"""),0.37004629629518604)</f>
        <v>0.3700462963</v>
      </c>
      <c r="D23730" s="4">
        <f>IFERROR(__xludf.DUMMYFUNCTION("""COMPUTED_VALUE"""),12.850766)</f>
        <v>12.850766</v>
      </c>
      <c r="E23730" s="4">
        <f>IFERROR(__xludf.DUMMYFUNCTION("""COMPUTED_VALUE"""),80.065145)</f>
        <v>80.065145</v>
      </c>
      <c r="F23730" s="4">
        <f>IFERROR(__xludf.DUMMYFUNCTION("""COMPUTED_VALUE"""),2846.0)</f>
        <v>2846</v>
      </c>
      <c r="G23730" s="4">
        <f>IFERROR(__xludf.DUMMYFUNCTION("""COMPUTED_VALUE"""),32.0)</f>
        <v>32</v>
      </c>
      <c r="H23730" s="4"/>
      <c r="I23730" s="4"/>
    </row>
    <row r="23731">
      <c r="A23731" s="4" t="str">
        <f>IFERROR(__xludf.DUMMYFUNCTION("""COMPUTED_VALUE"""),"cas_hmw")</f>
        <v>cas_hmw</v>
      </c>
      <c r="B23731" s="5">
        <f>IFERROR(__xludf.DUMMYFUNCTION("""COMPUTED_VALUE"""),44796.0)</f>
        <v>44796</v>
      </c>
      <c r="C23731" s="6">
        <f>IFERROR(__xludf.DUMMYFUNCTION("""COMPUTED_VALUE"""),0.37011574074131204)</f>
        <v>0.3701157407</v>
      </c>
      <c r="D23731" s="4">
        <f>IFERROR(__xludf.DUMMYFUNCTION("""COMPUTED_VALUE"""),12.850766)</f>
        <v>12.850766</v>
      </c>
      <c r="E23731" s="4">
        <f>IFERROR(__xludf.DUMMYFUNCTION("""COMPUTED_VALUE"""),80.065145)</f>
        <v>80.065145</v>
      </c>
      <c r="F23731" s="4">
        <f>IFERROR(__xludf.DUMMYFUNCTION("""COMPUTED_VALUE"""),2846.0)</f>
        <v>2846</v>
      </c>
      <c r="G23731" s="4">
        <f>IFERROR(__xludf.DUMMYFUNCTION("""COMPUTED_VALUE"""),32.0)</f>
        <v>32</v>
      </c>
      <c r="H23731" s="4"/>
      <c r="I23731" s="4"/>
    </row>
    <row r="23732">
      <c r="A23732" s="4" t="str">
        <f>IFERROR(__xludf.DUMMYFUNCTION("""COMPUTED_VALUE"""),"cas_hmw")</f>
        <v>cas_hmw</v>
      </c>
      <c r="B23732" s="5">
        <f>IFERROR(__xludf.DUMMYFUNCTION("""COMPUTED_VALUE"""),44796.0)</f>
        <v>44796</v>
      </c>
      <c r="C23732" s="6">
        <f>IFERROR(__xludf.DUMMYFUNCTION("""COMPUTED_VALUE"""),0.3705671296302171)</f>
        <v>0.3705671296</v>
      </c>
      <c r="D23732" s="4">
        <f>IFERROR(__xludf.DUMMYFUNCTION("""COMPUTED_VALUE"""),12.853146)</f>
        <v>12.853146</v>
      </c>
      <c r="E23732" s="4">
        <f>IFERROR(__xludf.DUMMYFUNCTION("""COMPUTED_VALUE"""),80.066881)</f>
        <v>80.066881</v>
      </c>
      <c r="F23732" s="4">
        <f>IFERROR(__xludf.DUMMYFUNCTION("""COMPUTED_VALUE"""),2846.0)</f>
        <v>2846</v>
      </c>
      <c r="G23732" s="4">
        <f>IFERROR(__xludf.DUMMYFUNCTION("""COMPUTED_VALUE"""),47.0)</f>
        <v>47</v>
      </c>
      <c r="H23732" s="4"/>
      <c r="I23732" s="4"/>
    </row>
    <row r="23733">
      <c r="A23733" s="4" t="str">
        <f>IFERROR(__xludf.DUMMYFUNCTION("""COMPUTED_VALUE"""),"cas_hmw")</f>
        <v>cas_hmw</v>
      </c>
      <c r="B23733" s="5">
        <f>IFERROR(__xludf.DUMMYFUNCTION("""COMPUTED_VALUE"""),44796.0)</f>
        <v>44796</v>
      </c>
      <c r="C23733" s="6">
        <f>IFERROR(__xludf.DUMMYFUNCTION("""COMPUTED_VALUE"""),0.3716550925928459)</f>
        <v>0.3716550926</v>
      </c>
      <c r="D23733" s="4">
        <f>IFERROR(__xludf.DUMMYFUNCTION("""COMPUTED_VALUE"""),12.866329)</f>
        <v>12.866329</v>
      </c>
      <c r="E23733" s="4">
        <f>IFERROR(__xludf.DUMMYFUNCTION("""COMPUTED_VALUE"""),80.074933)</f>
        <v>80.074933</v>
      </c>
      <c r="F23733" s="4">
        <f>IFERROR(__xludf.DUMMYFUNCTION("""COMPUTED_VALUE"""),2846.0)</f>
        <v>2846</v>
      </c>
      <c r="G23733" s="4">
        <f>IFERROR(__xludf.DUMMYFUNCTION("""COMPUTED_VALUE"""),29.0)</f>
        <v>29</v>
      </c>
      <c r="H23733" s="4"/>
      <c r="I23733" s="4"/>
    </row>
    <row r="23734">
      <c r="A23734" s="4" t="str">
        <f>IFERROR(__xludf.DUMMYFUNCTION("""COMPUTED_VALUE"""),"cas_hmw")</f>
        <v>cas_hmw</v>
      </c>
      <c r="B23734" s="5">
        <f>IFERROR(__xludf.DUMMYFUNCTION("""COMPUTED_VALUE"""),44796.0)</f>
        <v>44796</v>
      </c>
      <c r="C23734" s="6">
        <f>IFERROR(__xludf.DUMMYFUNCTION("""COMPUTED_VALUE"""),0.3716550925928459)</f>
        <v>0.3716550926</v>
      </c>
      <c r="D23734" s="4">
        <f>IFERROR(__xludf.DUMMYFUNCTION("""COMPUTED_VALUE"""),12.862588)</f>
        <v>12.862588</v>
      </c>
      <c r="E23734" s="4">
        <f>IFERROR(__xludf.DUMMYFUNCTION("""COMPUTED_VALUE"""),80.07359)</f>
        <v>80.07359</v>
      </c>
      <c r="F23734" s="4">
        <f>IFERROR(__xludf.DUMMYFUNCTION("""COMPUTED_VALUE"""),2846.0)</f>
        <v>2846</v>
      </c>
      <c r="G23734" s="4">
        <f>IFERROR(__xludf.DUMMYFUNCTION("""COMPUTED_VALUE"""),58.0)</f>
        <v>58</v>
      </c>
      <c r="H23734" s="4"/>
      <c r="I23734" s="4"/>
    </row>
    <row r="23735">
      <c r="A23735" s="4" t="str">
        <f>IFERROR(__xludf.DUMMYFUNCTION("""COMPUTED_VALUE"""),"cas_hmw")</f>
        <v>cas_hmw</v>
      </c>
      <c r="B23735" s="5">
        <f>IFERROR(__xludf.DUMMYFUNCTION("""COMPUTED_VALUE"""),44796.0)</f>
        <v>44796</v>
      </c>
      <c r="C23735" s="6">
        <f>IFERROR(__xludf.DUMMYFUNCTION("""COMPUTED_VALUE"""),0.3720254629624833)</f>
        <v>0.372025463</v>
      </c>
      <c r="D23735" s="4">
        <f>IFERROR(__xludf.DUMMYFUNCTION("""COMPUTED_VALUE"""),12.86697)</f>
        <v>12.86697</v>
      </c>
      <c r="E23735" s="4">
        <f>IFERROR(__xludf.DUMMYFUNCTION("""COMPUTED_VALUE"""),80.075198)</f>
        <v>80.075198</v>
      </c>
      <c r="F23735" s="4">
        <f>IFERROR(__xludf.DUMMYFUNCTION("""COMPUTED_VALUE"""),2846.0)</f>
        <v>2846</v>
      </c>
      <c r="G23735" s="4">
        <f>IFERROR(__xludf.DUMMYFUNCTION("""COMPUTED_VALUE"""),27.0)</f>
        <v>27</v>
      </c>
      <c r="H23735" s="4"/>
      <c r="I23735" s="4"/>
    </row>
    <row r="23736">
      <c r="A23736" s="4" t="str">
        <f>IFERROR(__xludf.DUMMYFUNCTION("""COMPUTED_VALUE"""),"cas_hmw")</f>
        <v>cas_hmw</v>
      </c>
      <c r="B23736" s="5">
        <f>IFERROR(__xludf.DUMMYFUNCTION("""COMPUTED_VALUE"""),44796.0)</f>
        <v>44796</v>
      </c>
      <c r="C23736" s="6">
        <f>IFERROR(__xludf.DUMMYFUNCTION("""COMPUTED_VALUE"""),0.3720601851855463)</f>
        <v>0.3720601852</v>
      </c>
      <c r="D23736" s="4">
        <f>IFERROR(__xludf.DUMMYFUNCTION("""COMPUTED_VALUE"""),12.869663)</f>
        <v>12.869663</v>
      </c>
      <c r="E23736" s="4">
        <f>IFERROR(__xludf.DUMMYFUNCTION("""COMPUTED_VALUE"""),80.076246)</f>
        <v>80.076246</v>
      </c>
      <c r="F23736" s="4">
        <f>IFERROR(__xludf.DUMMYFUNCTION("""COMPUTED_VALUE"""),2846.0)</f>
        <v>2846</v>
      </c>
      <c r="G23736" s="4">
        <f>IFERROR(__xludf.DUMMYFUNCTION("""COMPUTED_VALUE"""),48.0)</f>
        <v>48</v>
      </c>
      <c r="H23736" s="4"/>
      <c r="I23736" s="4"/>
    </row>
    <row r="23737">
      <c r="A23737" s="4" t="str">
        <f>IFERROR(__xludf.DUMMYFUNCTION("""COMPUTED_VALUE"""),"cas_hmw")</f>
        <v>cas_hmw</v>
      </c>
      <c r="B23737" s="5">
        <f>IFERROR(__xludf.DUMMYFUNCTION("""COMPUTED_VALUE"""),44796.0)</f>
        <v>44796</v>
      </c>
      <c r="C23737" s="6">
        <f>IFERROR(__xludf.DUMMYFUNCTION("""COMPUTED_VALUE"""),0.37215277777795563)</f>
        <v>0.3721527778</v>
      </c>
      <c r="D23737" s="4">
        <f>IFERROR(__xludf.DUMMYFUNCTION("""COMPUTED_VALUE"""),12.870862)</f>
        <v>12.870862</v>
      </c>
      <c r="E23737" s="4">
        <f>IFERROR(__xludf.DUMMYFUNCTION("""COMPUTED_VALUE"""),80.076722)</f>
        <v>80.076722</v>
      </c>
      <c r="F23737" s="4">
        <f>IFERROR(__xludf.DUMMYFUNCTION("""COMPUTED_VALUE"""),2846.0)</f>
        <v>2846</v>
      </c>
      <c r="G23737" s="4">
        <f>IFERROR(__xludf.DUMMYFUNCTION("""COMPUTED_VALUE"""),52.0)</f>
        <v>52</v>
      </c>
      <c r="H23737" s="4"/>
      <c r="I23737" s="4"/>
    </row>
    <row r="23738">
      <c r="A23738" s="4" t="str">
        <f>IFERROR(__xludf.DUMMYFUNCTION("""COMPUTED_VALUE"""),"cas_hmw")</f>
        <v>cas_hmw</v>
      </c>
      <c r="B23738" s="5">
        <f>IFERROR(__xludf.DUMMYFUNCTION("""COMPUTED_VALUE"""),44796.0)</f>
        <v>44796</v>
      </c>
      <c r="C23738" s="6">
        <f>IFERROR(__xludf.DUMMYFUNCTION("""COMPUTED_VALUE"""),0.6921527777776646)</f>
        <v>0.6921527778</v>
      </c>
      <c r="D23738" s="4">
        <f>IFERROR(__xludf.DUMMYFUNCTION("""COMPUTED_VALUE"""),12.884622)</f>
        <v>12.884622</v>
      </c>
      <c r="E23738" s="4">
        <f>IFERROR(__xludf.DUMMYFUNCTION("""COMPUTED_VALUE"""),80.081958)</f>
        <v>80.081958</v>
      </c>
      <c r="F23738" s="4">
        <f>IFERROR(__xludf.DUMMYFUNCTION("""COMPUTED_VALUE"""),5339.0)</f>
        <v>5339</v>
      </c>
      <c r="G23738" s="4">
        <f>IFERROR(__xludf.DUMMYFUNCTION("""COMPUTED_VALUE"""),43.0)</f>
        <v>43</v>
      </c>
      <c r="H23738" s="4"/>
      <c r="I23738" s="4"/>
    </row>
    <row r="23739">
      <c r="A23739" s="4" t="str">
        <f>IFERROR(__xludf.DUMMYFUNCTION("""COMPUTED_VALUE"""),"cas_hmw")</f>
        <v>cas_hmw</v>
      </c>
      <c r="B23739" s="5">
        <f>IFERROR(__xludf.DUMMYFUNCTION("""COMPUTED_VALUE"""),44796.0)</f>
        <v>44796</v>
      </c>
      <c r="C23739" s="6">
        <f>IFERROR(__xludf.DUMMYFUNCTION("""COMPUTED_VALUE"""),0.692418981481751)</f>
        <v>0.6924189815</v>
      </c>
      <c r="D23739" s="4">
        <f>IFERROR(__xludf.DUMMYFUNCTION("""COMPUTED_VALUE"""),12.885288)</f>
        <v>12.885288</v>
      </c>
      <c r="E23739" s="4">
        <f>IFERROR(__xludf.DUMMYFUNCTION("""COMPUTED_VALUE"""),80.082413)</f>
        <v>80.082413</v>
      </c>
      <c r="F23739" s="4">
        <f>IFERROR(__xludf.DUMMYFUNCTION("""COMPUTED_VALUE"""),3143.0)</f>
        <v>3143</v>
      </c>
      <c r="G23739" s="4">
        <f>IFERROR(__xludf.DUMMYFUNCTION("""COMPUTED_VALUE"""),40.0)</f>
        <v>40</v>
      </c>
      <c r="H23739" s="4"/>
      <c r="I23739" s="4"/>
    </row>
    <row r="23740">
      <c r="A23740" s="4" t="str">
        <f>IFERROR(__xludf.DUMMYFUNCTION("""COMPUTED_VALUE"""),"cas_hmw")</f>
        <v>cas_hmw</v>
      </c>
      <c r="B23740" s="5">
        <f>IFERROR(__xludf.DUMMYFUNCTION("""COMPUTED_VALUE"""),44796.0)</f>
        <v>44796</v>
      </c>
      <c r="C23740" s="6">
        <f>IFERROR(__xludf.DUMMYFUNCTION("""COMPUTED_VALUE"""),0.692627314816491)</f>
        <v>0.6926273148</v>
      </c>
      <c r="D23740" s="4">
        <f>IFERROR(__xludf.DUMMYFUNCTION("""COMPUTED_VALUE"""),12.887365)</f>
        <v>12.887365</v>
      </c>
      <c r="E23740" s="4">
        <f>IFERROR(__xludf.DUMMYFUNCTION("""COMPUTED_VALUE"""),80.083398)</f>
        <v>80.083398</v>
      </c>
      <c r="F23740" s="4">
        <f>IFERROR(__xludf.DUMMYFUNCTION("""COMPUTED_VALUE"""),3143.0)</f>
        <v>3143</v>
      </c>
      <c r="G23740" s="4">
        <f>IFERROR(__xludf.DUMMYFUNCTION("""COMPUTED_VALUE"""),48.0)</f>
        <v>48</v>
      </c>
      <c r="H23740" s="4"/>
      <c r="I23740" s="4"/>
    </row>
    <row r="23741">
      <c r="A23741" s="4" t="str">
        <f>IFERROR(__xludf.DUMMYFUNCTION("""COMPUTED_VALUE"""),"cas_hmw")</f>
        <v>cas_hmw</v>
      </c>
      <c r="B23741" s="5">
        <f>IFERROR(__xludf.DUMMYFUNCTION("""COMPUTED_VALUE"""),44796.0)</f>
        <v>44796</v>
      </c>
      <c r="C23741" s="6">
        <f>IFERROR(__xludf.DUMMYFUNCTION("""COMPUTED_VALUE"""),0.6926504629627743)</f>
        <v>0.692650463</v>
      </c>
      <c r="D23741" s="4">
        <f>IFERROR(__xludf.DUMMYFUNCTION("""COMPUTED_VALUE"""),12.887365)</f>
        <v>12.887365</v>
      </c>
      <c r="E23741" s="4">
        <f>IFERROR(__xludf.DUMMYFUNCTION("""COMPUTED_VALUE"""),80.083398)</f>
        <v>80.083398</v>
      </c>
      <c r="F23741" s="4">
        <f>IFERROR(__xludf.DUMMYFUNCTION("""COMPUTED_VALUE"""),3143.0)</f>
        <v>3143</v>
      </c>
      <c r="G23741" s="4">
        <f>IFERROR(__xludf.DUMMYFUNCTION("""COMPUTED_VALUE"""),48.0)</f>
        <v>48</v>
      </c>
      <c r="H23741" s="4"/>
      <c r="I23741" s="4"/>
    </row>
    <row r="23742">
      <c r="A23742" s="4" t="str">
        <f>IFERROR(__xludf.DUMMYFUNCTION("""COMPUTED_VALUE"""),"cas_hmw")</f>
        <v>cas_hmw</v>
      </c>
      <c r="B23742" s="5">
        <f>IFERROR(__xludf.DUMMYFUNCTION("""COMPUTED_VALUE"""),44796.0)</f>
        <v>44796</v>
      </c>
      <c r="C23742" s="6">
        <f>IFERROR(__xludf.DUMMYFUNCTION("""COMPUTED_VALUE"""),0.6926736111126957)</f>
        <v>0.6926736111</v>
      </c>
      <c r="D23742" s="4">
        <f>IFERROR(__xludf.DUMMYFUNCTION("""COMPUTED_VALUE"""),12.889286)</f>
        <v>12.889286</v>
      </c>
      <c r="E23742" s="4">
        <f>IFERROR(__xludf.DUMMYFUNCTION("""COMPUTED_VALUE"""),80.084205)</f>
        <v>80.084205</v>
      </c>
      <c r="F23742" s="4">
        <f>IFERROR(__xludf.DUMMYFUNCTION("""COMPUTED_VALUE"""),5339.0)</f>
        <v>5339</v>
      </c>
      <c r="G23742" s="4">
        <f>IFERROR(__xludf.DUMMYFUNCTION("""COMPUTED_VALUE"""),57.0)</f>
        <v>57</v>
      </c>
      <c r="H23742" s="4"/>
      <c r="I23742" s="4"/>
    </row>
    <row r="23743">
      <c r="A23743" s="4" t="str">
        <f>IFERROR(__xludf.DUMMYFUNCTION("""COMPUTED_VALUE"""),"cas_hmw")</f>
        <v>cas_hmw</v>
      </c>
      <c r="B23743" s="5">
        <f>IFERROR(__xludf.DUMMYFUNCTION("""COMPUTED_VALUE"""),44796.0)</f>
        <v>44796</v>
      </c>
      <c r="C23743" s="6">
        <f>IFERROR(__xludf.DUMMYFUNCTION("""COMPUTED_VALUE"""),0.6930671296286164)</f>
        <v>0.6930671296</v>
      </c>
      <c r="D23743" s="4">
        <f>IFERROR(__xludf.DUMMYFUNCTION("""COMPUTED_VALUE"""),12.892242)</f>
        <v>12.892242</v>
      </c>
      <c r="E23743" s="4">
        <f>IFERROR(__xludf.DUMMYFUNCTION("""COMPUTED_VALUE"""),80.085567)</f>
        <v>80.085567</v>
      </c>
      <c r="F23743" s="4">
        <f>IFERROR(__xludf.DUMMYFUNCTION("""COMPUTED_VALUE"""),3143.0)</f>
        <v>3143</v>
      </c>
      <c r="G23743" s="4">
        <f>IFERROR(__xludf.DUMMYFUNCTION("""COMPUTED_VALUE"""),53.0)</f>
        <v>53</v>
      </c>
      <c r="H23743" s="4"/>
      <c r="I23743" s="4"/>
    </row>
    <row r="23744">
      <c r="A23744" s="4" t="str">
        <f>IFERROR(__xludf.DUMMYFUNCTION("""COMPUTED_VALUE"""),"cas_hmw")</f>
        <v>cas_hmw</v>
      </c>
      <c r="B23744" s="5">
        <f>IFERROR(__xludf.DUMMYFUNCTION("""COMPUTED_VALUE"""),44796.0)</f>
        <v>44796</v>
      </c>
      <c r="C23744" s="6">
        <f>IFERROR(__xludf.DUMMYFUNCTION("""COMPUTED_VALUE"""),0.6932870370364981)</f>
        <v>0.693287037</v>
      </c>
      <c r="D23744" s="4">
        <f>IFERROR(__xludf.DUMMYFUNCTION("""COMPUTED_VALUE"""),12.894416)</f>
        <v>12.894416</v>
      </c>
      <c r="E23744" s="4">
        <f>IFERROR(__xludf.DUMMYFUNCTION("""COMPUTED_VALUE"""),80.087199)</f>
        <v>80.087199</v>
      </c>
      <c r="F23744" s="4">
        <f>IFERROR(__xludf.DUMMYFUNCTION("""COMPUTED_VALUE"""),3143.0)</f>
        <v>3143</v>
      </c>
      <c r="G23744" s="4">
        <f>IFERROR(__xludf.DUMMYFUNCTION("""COMPUTED_VALUE"""),55.0)</f>
        <v>55</v>
      </c>
      <c r="H23744" s="4"/>
      <c r="I23744" s="4"/>
    </row>
    <row r="23745">
      <c r="A23745" s="4" t="str">
        <f>IFERROR(__xludf.DUMMYFUNCTION("""COMPUTED_VALUE"""),"cas_hmw")</f>
        <v>cas_hmw</v>
      </c>
      <c r="B23745" s="5">
        <f>IFERROR(__xludf.DUMMYFUNCTION("""COMPUTED_VALUE"""),44796.0)</f>
        <v>44796</v>
      </c>
      <c r="C23745" s="6">
        <f>IFERROR(__xludf.DUMMYFUNCTION("""COMPUTED_VALUE"""),0.6939467592601432)</f>
        <v>0.6939467593</v>
      </c>
      <c r="D23745" s="4">
        <f>IFERROR(__xludf.DUMMYFUNCTION("""COMPUTED_VALUE"""),12.901373)</f>
        <v>12.901373</v>
      </c>
      <c r="E23745" s="4">
        <f>IFERROR(__xludf.DUMMYFUNCTION("""COMPUTED_VALUE"""),80.092399)</f>
        <v>80.092399</v>
      </c>
      <c r="F23745" s="4">
        <f>IFERROR(__xludf.DUMMYFUNCTION("""COMPUTED_VALUE"""),3143.0)</f>
        <v>3143</v>
      </c>
      <c r="G23745" s="4">
        <f>IFERROR(__xludf.DUMMYFUNCTION("""COMPUTED_VALUE"""),55.0)</f>
        <v>55</v>
      </c>
      <c r="H23745" s="4"/>
      <c r="I23745" s="4"/>
    </row>
    <row r="23746">
      <c r="A23746" s="4" t="str">
        <f>IFERROR(__xludf.DUMMYFUNCTION("""COMPUTED_VALUE"""),"cas_hmw")</f>
        <v>cas_hmw</v>
      </c>
      <c r="B23746" s="5">
        <f>IFERROR(__xludf.DUMMYFUNCTION("""COMPUTED_VALUE"""),44796.0)</f>
        <v>44796</v>
      </c>
      <c r="C23746" s="6">
        <f>IFERROR(__xludf.DUMMYFUNCTION("""COMPUTED_VALUE"""),0.6954745370385353)</f>
        <v>0.695474537</v>
      </c>
      <c r="D23746" s="4">
        <f>IFERROR(__xludf.DUMMYFUNCTION("""COMPUTED_VALUE"""),12.909929)</f>
        <v>12.909929</v>
      </c>
      <c r="E23746" s="4">
        <f>IFERROR(__xludf.DUMMYFUNCTION("""COMPUTED_VALUE"""),80.099938)</f>
        <v>80.099938</v>
      </c>
      <c r="F23746" s="4">
        <f>IFERROR(__xludf.DUMMYFUNCTION("""COMPUTED_VALUE"""),5339.0)</f>
        <v>5339</v>
      </c>
      <c r="G23746" s="4">
        <f>IFERROR(__xludf.DUMMYFUNCTION("""COMPUTED_VALUE"""),39.0)</f>
        <v>39</v>
      </c>
      <c r="H23746" s="4"/>
      <c r="I23746" s="4"/>
    </row>
    <row r="23747">
      <c r="A23747" s="4" t="str">
        <f>IFERROR(__xludf.DUMMYFUNCTION("""COMPUTED_VALUE"""),"cas_hmw")</f>
        <v>cas_hmw</v>
      </c>
      <c r="B23747" s="5">
        <f>IFERROR(__xludf.DUMMYFUNCTION("""COMPUTED_VALUE"""),44796.0)</f>
        <v>44796</v>
      </c>
      <c r="C23747" s="6">
        <f>IFERROR(__xludf.DUMMYFUNCTION("""COMPUTED_VALUE"""),0.6956365740734327)</f>
        <v>0.6956365741</v>
      </c>
      <c r="D23747" s="4">
        <f>IFERROR(__xludf.DUMMYFUNCTION("""COMPUTED_VALUE"""),12.911215)</f>
        <v>12.911215</v>
      </c>
      <c r="E23747" s="4">
        <f>IFERROR(__xludf.DUMMYFUNCTION("""COMPUTED_VALUE"""),80.101231)</f>
        <v>80.101231</v>
      </c>
      <c r="F23747" s="4">
        <f>IFERROR(__xludf.DUMMYFUNCTION("""COMPUTED_VALUE"""),5339.0)</f>
        <v>5339</v>
      </c>
      <c r="G23747" s="4">
        <f>IFERROR(__xludf.DUMMYFUNCTION("""COMPUTED_VALUE"""),32.0)</f>
        <v>32</v>
      </c>
      <c r="H23747" s="4"/>
      <c r="I23747" s="4"/>
    </row>
    <row r="23748">
      <c r="A23748" s="4" t="str">
        <f>IFERROR(__xludf.DUMMYFUNCTION("""COMPUTED_VALUE"""),"cas_hmw")</f>
        <v>cas_hmw</v>
      </c>
      <c r="B23748" s="5">
        <f>IFERROR(__xludf.DUMMYFUNCTION("""COMPUTED_VALUE"""),44796.0)</f>
        <v>44796</v>
      </c>
      <c r="C23748" s="6">
        <f>IFERROR(__xludf.DUMMYFUNCTION("""COMPUTED_VALUE"""),0.6956481481465744)</f>
        <v>0.6956481481</v>
      </c>
      <c r="D23748" s="4">
        <f>IFERROR(__xludf.DUMMYFUNCTION("""COMPUTED_VALUE"""),12.911215)</f>
        <v>12.911215</v>
      </c>
      <c r="E23748" s="4">
        <f>IFERROR(__xludf.DUMMYFUNCTION("""COMPUTED_VALUE"""),80.101231)</f>
        <v>80.101231</v>
      </c>
      <c r="F23748" s="4">
        <f>IFERROR(__xludf.DUMMYFUNCTION("""COMPUTED_VALUE"""),5339.0)</f>
        <v>5339</v>
      </c>
      <c r="G23748" s="4">
        <f>IFERROR(__xludf.DUMMYFUNCTION("""COMPUTED_VALUE"""),32.0)</f>
        <v>32</v>
      </c>
      <c r="H23748" s="4"/>
      <c r="I23748" s="4"/>
    </row>
    <row r="23749">
      <c r="A23749" s="4" t="str">
        <f>IFERROR(__xludf.DUMMYFUNCTION("""COMPUTED_VALUE"""),"cas_hmw")</f>
        <v>cas_hmw</v>
      </c>
      <c r="B23749" s="5">
        <f>IFERROR(__xludf.DUMMYFUNCTION("""COMPUTED_VALUE"""),44796.0)</f>
        <v>44796</v>
      </c>
      <c r="C23749" s="6">
        <f>IFERROR(__xludf.DUMMYFUNCTION("""COMPUTED_VALUE"""),0.695659722223354)</f>
        <v>0.6956597222</v>
      </c>
      <c r="D23749" s="4">
        <f>IFERROR(__xludf.DUMMYFUNCTION("""COMPUTED_VALUE"""),12.911215)</f>
        <v>12.911215</v>
      </c>
      <c r="E23749" s="4">
        <f>IFERROR(__xludf.DUMMYFUNCTION("""COMPUTED_VALUE"""),80.101231)</f>
        <v>80.101231</v>
      </c>
      <c r="F23749" s="4">
        <f>IFERROR(__xludf.DUMMYFUNCTION("""COMPUTED_VALUE"""),5339.0)</f>
        <v>5339</v>
      </c>
      <c r="G23749" s="4">
        <f>IFERROR(__xludf.DUMMYFUNCTION("""COMPUTED_VALUE"""),32.0)</f>
        <v>32</v>
      </c>
      <c r="H23749" s="4"/>
      <c r="I23749" s="4"/>
    </row>
    <row r="23750">
      <c r="A23750" s="4" t="str">
        <f>IFERROR(__xludf.DUMMYFUNCTION("""COMPUTED_VALUE"""),"cas_hmw")</f>
        <v>cas_hmw</v>
      </c>
      <c r="B23750" s="5">
        <f>IFERROR(__xludf.DUMMYFUNCTION("""COMPUTED_VALUE"""),44796.0)</f>
        <v>44796</v>
      </c>
      <c r="C23750" s="6">
        <f>IFERROR(__xludf.DUMMYFUNCTION("""COMPUTED_VALUE"""),0.6957175925927004)</f>
        <v>0.6957175926</v>
      </c>
      <c r="D23750" s="4">
        <f>IFERROR(__xludf.DUMMYFUNCTION("""COMPUTED_VALUE"""),12.911743)</f>
        <v>12.911743</v>
      </c>
      <c r="E23750" s="4">
        <f>IFERROR(__xludf.DUMMYFUNCTION("""COMPUTED_VALUE"""),80.101359)</f>
        <v>80.101359</v>
      </c>
      <c r="F23750" s="4">
        <f>IFERROR(__xludf.DUMMYFUNCTION("""COMPUTED_VALUE"""),3143.0)</f>
        <v>3143</v>
      </c>
      <c r="G23750" s="4">
        <f>IFERROR(__xludf.DUMMYFUNCTION("""COMPUTED_VALUE"""),31.0)</f>
        <v>31</v>
      </c>
      <c r="H23750" s="4"/>
      <c r="I23750" s="4"/>
    </row>
    <row r="23751">
      <c r="A23751" s="4" t="str">
        <f>IFERROR(__xludf.DUMMYFUNCTION("""COMPUTED_VALUE"""),"cas_hmw")</f>
        <v>cas_hmw</v>
      </c>
      <c r="B23751" s="5">
        <f>IFERROR(__xludf.DUMMYFUNCTION("""COMPUTED_VALUE"""),44796.0)</f>
        <v>44796</v>
      </c>
      <c r="C23751" s="6">
        <f>IFERROR(__xludf.DUMMYFUNCTION("""COMPUTED_VALUE"""),0.6964120370357705)</f>
        <v>0.696412037</v>
      </c>
      <c r="D23751" s="4">
        <f>IFERROR(__xludf.DUMMYFUNCTION("""COMPUTED_VALUE"""),12.916028)</f>
        <v>12.916028</v>
      </c>
      <c r="E23751" s="4">
        <f>IFERROR(__xludf.DUMMYFUNCTION("""COMPUTED_VALUE"""),80.105331)</f>
        <v>80.105331</v>
      </c>
      <c r="F23751" s="4">
        <f>IFERROR(__xludf.DUMMYFUNCTION("""COMPUTED_VALUE"""),5339.0)</f>
        <v>5339</v>
      </c>
      <c r="G23751" s="4">
        <f>IFERROR(__xludf.DUMMYFUNCTION("""COMPUTED_VALUE"""),53.0)</f>
        <v>53</v>
      </c>
      <c r="H23751" s="4"/>
      <c r="I23751" s="4"/>
    </row>
    <row r="23752">
      <c r="A23752" s="4" t="str">
        <f>IFERROR(__xludf.DUMMYFUNCTION("""COMPUTED_VALUE"""),"cas_hmw")</f>
        <v>cas_hmw</v>
      </c>
      <c r="B23752" s="5">
        <f>IFERROR(__xludf.DUMMYFUNCTION("""COMPUTED_VALUE"""),44796.0)</f>
        <v>44796</v>
      </c>
      <c r="C23752" s="6">
        <f>IFERROR(__xludf.DUMMYFUNCTION("""COMPUTED_VALUE"""),0.6969675925938645)</f>
        <v>0.6969675926</v>
      </c>
      <c r="D23752" s="4">
        <f>IFERROR(__xludf.DUMMYFUNCTION("""COMPUTED_VALUE"""),12.917826)</f>
        <v>12.917826</v>
      </c>
      <c r="E23752" s="4">
        <f>IFERROR(__xludf.DUMMYFUNCTION("""COMPUTED_VALUE"""),80.108298)</f>
        <v>80.108298</v>
      </c>
      <c r="F23752" s="4">
        <f>IFERROR(__xludf.DUMMYFUNCTION("""COMPUTED_VALUE"""),3143.0)</f>
        <v>3143</v>
      </c>
      <c r="G23752" s="4">
        <f>IFERROR(__xludf.DUMMYFUNCTION("""COMPUTED_VALUE"""),45.0)</f>
        <v>45</v>
      </c>
      <c r="H23752" s="4"/>
      <c r="I23752" s="4"/>
    </row>
    <row r="23753">
      <c r="A23753" s="4" t="str">
        <f>IFERROR(__xludf.DUMMYFUNCTION("""COMPUTED_VALUE"""),"cas_hmw")</f>
        <v>cas_hmw</v>
      </c>
      <c r="B23753" s="5">
        <f>IFERROR(__xludf.DUMMYFUNCTION("""COMPUTED_VALUE"""),44796.0)</f>
        <v>44796</v>
      </c>
      <c r="C23753" s="6">
        <f>IFERROR(__xludf.DUMMYFUNCTION("""COMPUTED_VALUE"""),0.6987731481494848)</f>
        <v>0.6987731481</v>
      </c>
      <c r="D23753" s="4">
        <f>IFERROR(__xludf.DUMMYFUNCTION("""COMPUTED_VALUE"""),12.927214)</f>
        <v>12.927214</v>
      </c>
      <c r="E23753" s="4">
        <f>IFERROR(__xludf.DUMMYFUNCTION("""COMPUTED_VALUE"""),80.118326)</f>
        <v>80.118326</v>
      </c>
      <c r="F23753" s="4">
        <f>IFERROR(__xludf.DUMMYFUNCTION("""COMPUTED_VALUE"""),3143.0)</f>
        <v>3143</v>
      </c>
      <c r="G23753" s="4">
        <f>IFERROR(__xludf.DUMMYFUNCTION("""COMPUTED_VALUE"""),24.0)</f>
        <v>24</v>
      </c>
      <c r="H23753" s="4"/>
      <c r="I23753" s="4"/>
    </row>
    <row r="23754">
      <c r="A23754" s="4" t="str">
        <f>IFERROR(__xludf.DUMMYFUNCTION("""COMPUTED_VALUE"""),"cas_hmw")</f>
        <v>cas_hmw</v>
      </c>
      <c r="B23754" s="5">
        <f>IFERROR(__xludf.DUMMYFUNCTION("""COMPUTED_VALUE"""),44796.0)</f>
        <v>44796</v>
      </c>
      <c r="C23754" s="6">
        <f>IFERROR(__xludf.DUMMYFUNCTION("""COMPUTED_VALUE"""),0.6989699074074451)</f>
        <v>0.6989699074</v>
      </c>
      <c r="D23754" s="4">
        <f>IFERROR(__xludf.DUMMYFUNCTION("""COMPUTED_VALUE"""),12.928494)</f>
        <v>12.928494</v>
      </c>
      <c r="E23754" s="4">
        <f>IFERROR(__xludf.DUMMYFUNCTION("""COMPUTED_VALUE"""),80.119574)</f>
        <v>80.119574</v>
      </c>
      <c r="F23754" s="4">
        <f>IFERROR(__xludf.DUMMYFUNCTION("""COMPUTED_VALUE"""),3143.0)</f>
        <v>3143</v>
      </c>
      <c r="G23754" s="4">
        <f>IFERROR(__xludf.DUMMYFUNCTION("""COMPUTED_VALUE"""),39.0)</f>
        <v>39</v>
      </c>
      <c r="H23754" s="4"/>
      <c r="I23754" s="4"/>
    </row>
    <row r="23755">
      <c r="A23755" s="4" t="str">
        <f>IFERROR(__xludf.DUMMYFUNCTION("""COMPUTED_VALUE"""),"cas_hmw")</f>
        <v>cas_hmw</v>
      </c>
      <c r="B23755" s="5">
        <f>IFERROR(__xludf.DUMMYFUNCTION("""COMPUTED_VALUE"""),44796.0)</f>
        <v>44796</v>
      </c>
      <c r="C23755" s="6">
        <f>IFERROR(__xludf.DUMMYFUNCTION("""COMPUTED_VALUE"""),0.6989930555573665)</f>
        <v>0.6989930556</v>
      </c>
      <c r="D23755" s="4">
        <f>IFERROR(__xludf.DUMMYFUNCTION("""COMPUTED_VALUE"""),12.927945)</f>
        <v>12.927945</v>
      </c>
      <c r="E23755" s="4">
        <f>IFERROR(__xludf.DUMMYFUNCTION("""COMPUTED_VALUE"""),80.119084)</f>
        <v>80.119084</v>
      </c>
      <c r="F23755" s="4">
        <f>IFERROR(__xludf.DUMMYFUNCTION("""COMPUTED_VALUE"""),5339.0)</f>
        <v>5339</v>
      </c>
      <c r="G23755" s="4">
        <f>IFERROR(__xludf.DUMMYFUNCTION("""COMPUTED_VALUE"""),41.0)</f>
        <v>41</v>
      </c>
      <c r="H23755" s="4"/>
      <c r="I23755" s="4"/>
    </row>
    <row r="23756">
      <c r="A23756" s="4" t="str">
        <f>IFERROR(__xludf.DUMMYFUNCTION("""COMPUTED_VALUE"""),"cas_hmw")</f>
        <v>cas_hmw</v>
      </c>
      <c r="B23756" s="5">
        <f>IFERROR(__xludf.DUMMYFUNCTION("""COMPUTED_VALUE"""),44796.0)</f>
        <v>44796</v>
      </c>
      <c r="C23756" s="6">
        <f>IFERROR(__xludf.DUMMYFUNCTION("""COMPUTED_VALUE"""),0.700196759258688)</f>
        <v>0.7001967593</v>
      </c>
      <c r="D23756" s="4">
        <f>IFERROR(__xludf.DUMMYFUNCTION("""COMPUTED_VALUE"""),12.932937)</f>
        <v>12.932937</v>
      </c>
      <c r="E23756" s="4">
        <f>IFERROR(__xludf.DUMMYFUNCTION("""COMPUTED_VALUE"""),80.124074)</f>
        <v>80.124074</v>
      </c>
      <c r="F23756" s="4">
        <f>IFERROR(__xludf.DUMMYFUNCTION("""COMPUTED_VALUE"""),3143.0)</f>
        <v>3143</v>
      </c>
      <c r="G23756" s="4">
        <f>IFERROR(__xludf.DUMMYFUNCTION("""COMPUTED_VALUE"""),49.0)</f>
        <v>49</v>
      </c>
      <c r="H23756" s="4"/>
      <c r="I23756" s="4"/>
    </row>
    <row r="23757">
      <c r="A23757" s="4" t="str">
        <f>IFERROR(__xludf.DUMMYFUNCTION("""COMPUTED_VALUE"""),"cas_hmw")</f>
        <v>cas_hmw</v>
      </c>
      <c r="B23757" s="5">
        <f>IFERROR(__xludf.DUMMYFUNCTION("""COMPUTED_VALUE"""),44796.0)</f>
        <v>44796</v>
      </c>
      <c r="C23757" s="6">
        <f>IFERROR(__xludf.DUMMYFUNCTION("""COMPUTED_VALUE"""),0.7023495370376622)</f>
        <v>0.702349537</v>
      </c>
      <c r="D23757" s="4">
        <f>IFERROR(__xludf.DUMMYFUNCTION("""COMPUTED_VALUE"""),12.942722)</f>
        <v>12.942722</v>
      </c>
      <c r="E23757" s="4">
        <f>IFERROR(__xludf.DUMMYFUNCTION("""COMPUTED_VALUE"""),80.133311)</f>
        <v>80.133311</v>
      </c>
      <c r="F23757" s="4">
        <f>IFERROR(__xludf.DUMMYFUNCTION("""COMPUTED_VALUE"""),5339.0)</f>
        <v>5339</v>
      </c>
      <c r="G23757" s="4">
        <f>IFERROR(__xludf.DUMMYFUNCTION("""COMPUTED_VALUE"""),24.0)</f>
        <v>24</v>
      </c>
      <c r="H23757" s="4"/>
      <c r="I23757" s="4"/>
    </row>
    <row r="23758">
      <c r="A23758" s="4" t="str">
        <f>IFERROR(__xludf.DUMMYFUNCTION("""COMPUTED_VALUE"""),"cas_hmw")</f>
        <v>cas_hmw</v>
      </c>
      <c r="B23758" s="5">
        <f>IFERROR(__xludf.DUMMYFUNCTION("""COMPUTED_VALUE"""),44796.0)</f>
        <v>44796</v>
      </c>
      <c r="C23758" s="6">
        <f>IFERROR(__xludf.DUMMYFUNCTION("""COMPUTED_VALUE"""),0.7023611111108039)</f>
        <v>0.7023611111</v>
      </c>
      <c r="D23758" s="4">
        <f>IFERROR(__xludf.DUMMYFUNCTION("""COMPUTED_VALUE"""),12.942722)</f>
        <v>12.942722</v>
      </c>
      <c r="E23758" s="4">
        <f>IFERROR(__xludf.DUMMYFUNCTION("""COMPUTED_VALUE"""),80.133311)</f>
        <v>80.133311</v>
      </c>
      <c r="F23758" s="4">
        <f>IFERROR(__xludf.DUMMYFUNCTION("""COMPUTED_VALUE"""),5339.0)</f>
        <v>5339</v>
      </c>
      <c r="G23758" s="4">
        <f>IFERROR(__xludf.DUMMYFUNCTION("""COMPUTED_VALUE"""),24.0)</f>
        <v>24</v>
      </c>
      <c r="H23758" s="4"/>
      <c r="I23758" s="4"/>
    </row>
    <row r="23759">
      <c r="A23759" s="4" t="str">
        <f>IFERROR(__xludf.DUMMYFUNCTION("""COMPUTED_VALUE"""),"cas_hmw")</f>
        <v>cas_hmw</v>
      </c>
      <c r="B23759" s="5">
        <f>IFERROR(__xludf.DUMMYFUNCTION("""COMPUTED_VALUE"""),44796.0)</f>
        <v>44796</v>
      </c>
      <c r="C23759" s="6">
        <f>IFERROR(__xludf.DUMMYFUNCTION("""COMPUTED_VALUE"""),0.7023611111108039)</f>
        <v>0.7023611111</v>
      </c>
      <c r="D23759" s="4">
        <f>IFERROR(__xludf.DUMMYFUNCTION("""COMPUTED_VALUE"""),12.942722)</f>
        <v>12.942722</v>
      </c>
      <c r="E23759" s="4">
        <f>IFERROR(__xludf.DUMMYFUNCTION("""COMPUTED_VALUE"""),80.133311)</f>
        <v>80.133311</v>
      </c>
      <c r="F23759" s="4">
        <f>IFERROR(__xludf.DUMMYFUNCTION("""COMPUTED_VALUE"""),5339.0)</f>
        <v>5339</v>
      </c>
      <c r="G23759" s="4">
        <f>IFERROR(__xludf.DUMMYFUNCTION("""COMPUTED_VALUE"""),24.0)</f>
        <v>24</v>
      </c>
      <c r="H23759" s="4"/>
      <c r="I23759" s="4"/>
    </row>
    <row r="23760">
      <c r="A23760" s="4" t="str">
        <f>IFERROR(__xludf.DUMMYFUNCTION("""COMPUTED_VALUE"""),"cas_hmw")</f>
        <v>cas_hmw</v>
      </c>
      <c r="B23760" s="5">
        <f>IFERROR(__xludf.DUMMYFUNCTION("""COMPUTED_VALUE"""),44796.0)</f>
        <v>44796</v>
      </c>
      <c r="C23760" s="6">
        <f>IFERROR(__xludf.DUMMYFUNCTION("""COMPUTED_VALUE"""),0.7023726851839456)</f>
        <v>0.7023726852</v>
      </c>
      <c r="D23760" s="4">
        <f>IFERROR(__xludf.DUMMYFUNCTION("""COMPUTED_VALUE"""),12.942722)</f>
        <v>12.942722</v>
      </c>
      <c r="E23760" s="4">
        <f>IFERROR(__xludf.DUMMYFUNCTION("""COMPUTED_VALUE"""),80.133311)</f>
        <v>80.133311</v>
      </c>
      <c r="F23760" s="4">
        <f>IFERROR(__xludf.DUMMYFUNCTION("""COMPUTED_VALUE"""),5339.0)</f>
        <v>5339</v>
      </c>
      <c r="G23760" s="4">
        <f>IFERROR(__xludf.DUMMYFUNCTION("""COMPUTED_VALUE"""),24.0)</f>
        <v>24</v>
      </c>
      <c r="H23760" s="4"/>
      <c r="I23760" s="4"/>
    </row>
    <row r="23761">
      <c r="A23761" s="4" t="str">
        <f>IFERROR(__xludf.DUMMYFUNCTION("""COMPUTED_VALUE"""),"cas_hmw")</f>
        <v>cas_hmw</v>
      </c>
      <c r="B23761" s="5">
        <f>IFERROR(__xludf.DUMMYFUNCTION("""COMPUTED_VALUE"""),44796.0)</f>
        <v>44796</v>
      </c>
      <c r="C23761" s="6">
        <f>IFERROR(__xludf.DUMMYFUNCTION("""COMPUTED_VALUE"""),0.7023842592607252)</f>
        <v>0.7023842593</v>
      </c>
      <c r="D23761" s="4">
        <f>IFERROR(__xludf.DUMMYFUNCTION("""COMPUTED_VALUE"""),12.942722)</f>
        <v>12.942722</v>
      </c>
      <c r="E23761" s="4">
        <f>IFERROR(__xludf.DUMMYFUNCTION("""COMPUTED_VALUE"""),80.133311)</f>
        <v>80.133311</v>
      </c>
      <c r="F23761" s="4">
        <f>IFERROR(__xludf.DUMMYFUNCTION("""COMPUTED_VALUE"""),5339.0)</f>
        <v>5339</v>
      </c>
      <c r="G23761" s="4">
        <f>IFERROR(__xludf.DUMMYFUNCTION("""COMPUTED_VALUE"""),24.0)</f>
        <v>24</v>
      </c>
      <c r="H23761" s="4"/>
      <c r="I23761" s="4"/>
    </row>
    <row r="23762">
      <c r="A23762" s="4" t="str">
        <f>IFERROR(__xludf.DUMMYFUNCTION("""COMPUTED_VALUE"""),"cas_hmw")</f>
        <v>cas_hmw</v>
      </c>
      <c r="B23762" s="5">
        <f>IFERROR(__xludf.DUMMYFUNCTION("""COMPUTED_VALUE"""),44796.0)</f>
        <v>44796</v>
      </c>
      <c r="C23762" s="6">
        <f>IFERROR(__xludf.DUMMYFUNCTION("""COMPUTED_VALUE"""),0.7024074074070086)</f>
        <v>0.7024074074</v>
      </c>
      <c r="D23762" s="4">
        <f>IFERROR(__xludf.DUMMYFUNCTION("""COMPUTED_VALUE"""),12.943761)</f>
        <v>12.943761</v>
      </c>
      <c r="E23762" s="4">
        <f>IFERROR(__xludf.DUMMYFUNCTION("""COMPUTED_VALUE"""),80.134333)</f>
        <v>80.134333</v>
      </c>
      <c r="F23762" s="4">
        <f>IFERROR(__xludf.DUMMYFUNCTION("""COMPUTED_VALUE"""),3143.0)</f>
        <v>3143</v>
      </c>
      <c r="G23762" s="4">
        <f>IFERROR(__xludf.DUMMYFUNCTION("""COMPUTED_VALUE"""),41.0)</f>
        <v>41</v>
      </c>
      <c r="H23762" s="4"/>
      <c r="I23762" s="4"/>
    </row>
    <row r="23763">
      <c r="A23763" s="4" t="str">
        <f>IFERROR(__xludf.DUMMYFUNCTION("""COMPUTED_VALUE"""),"cas_hmw")</f>
        <v>cas_hmw</v>
      </c>
      <c r="B23763" s="5">
        <f>IFERROR(__xludf.DUMMYFUNCTION("""COMPUTED_VALUE"""),44796.0)</f>
        <v>44796</v>
      </c>
      <c r="C23763" s="6">
        <f>IFERROR(__xludf.DUMMYFUNCTION("""COMPUTED_VALUE"""),0.7026273148148903)</f>
        <v>0.7026273148</v>
      </c>
      <c r="D23763" s="4">
        <f>IFERROR(__xludf.DUMMYFUNCTION("""COMPUTED_VALUE"""),12.943687)</f>
        <v>12.943687</v>
      </c>
      <c r="E23763" s="4">
        <f>IFERROR(__xludf.DUMMYFUNCTION("""COMPUTED_VALUE"""),80.13427)</f>
        <v>80.13427</v>
      </c>
      <c r="F23763" s="4">
        <f>IFERROR(__xludf.DUMMYFUNCTION("""COMPUTED_VALUE"""),5339.0)</f>
        <v>5339</v>
      </c>
      <c r="G23763" s="4">
        <f>IFERROR(__xludf.DUMMYFUNCTION("""COMPUTED_VALUE"""),30.0)</f>
        <v>30</v>
      </c>
      <c r="H23763" s="4"/>
      <c r="I23763" s="4"/>
    </row>
    <row r="23764">
      <c r="A23764" s="4" t="str">
        <f>IFERROR(__xludf.DUMMYFUNCTION("""COMPUTED_VALUE"""),"cas_hmw")</f>
        <v>cas_hmw</v>
      </c>
      <c r="B23764" s="5">
        <f>IFERROR(__xludf.DUMMYFUNCTION("""COMPUTED_VALUE"""),44796.0)</f>
        <v>44796</v>
      </c>
      <c r="C23764" s="6">
        <f>IFERROR(__xludf.DUMMYFUNCTION("""COMPUTED_VALUE"""),0.7026736111110949)</f>
        <v>0.7026736111</v>
      </c>
      <c r="D23764" s="4">
        <f>IFERROR(__xludf.DUMMYFUNCTION("""COMPUTED_VALUE"""),12.945892)</f>
        <v>12.945892</v>
      </c>
      <c r="E23764" s="4">
        <f>IFERROR(__xludf.DUMMYFUNCTION("""COMPUTED_VALUE"""),80.135963)</f>
        <v>80.135963</v>
      </c>
      <c r="F23764" s="4">
        <f>IFERROR(__xludf.DUMMYFUNCTION("""COMPUTED_VALUE"""),3143.0)</f>
        <v>3143</v>
      </c>
      <c r="G23764" s="4">
        <f>IFERROR(__xludf.DUMMYFUNCTION("""COMPUTED_VALUE"""),55.0)</f>
        <v>55</v>
      </c>
      <c r="H23764" s="4"/>
      <c r="I23764" s="4"/>
    </row>
    <row r="23765">
      <c r="A23765" s="4" t="str">
        <f>IFERROR(__xludf.DUMMYFUNCTION("""COMPUTED_VALUE"""),"cas_hmw")</f>
        <v>cas_hmw</v>
      </c>
      <c r="B23765" s="5">
        <f>IFERROR(__xludf.DUMMYFUNCTION("""COMPUTED_VALUE"""),44796.0)</f>
        <v>44796</v>
      </c>
      <c r="C23765" s="6">
        <f>IFERROR(__xludf.DUMMYFUNCTION("""COMPUTED_VALUE"""),0.702812499999709)</f>
        <v>0.7028125</v>
      </c>
      <c r="D23765" s="4">
        <f>IFERROR(__xludf.DUMMYFUNCTION("""COMPUTED_VALUE"""),12.945082)</f>
        <v>12.945082</v>
      </c>
      <c r="E23765" s="4">
        <f>IFERROR(__xludf.DUMMYFUNCTION("""COMPUTED_VALUE"""),80.135359)</f>
        <v>80.135359</v>
      </c>
      <c r="F23765" s="4">
        <f>IFERROR(__xludf.DUMMYFUNCTION("""COMPUTED_VALUE"""),5339.0)</f>
        <v>5339</v>
      </c>
      <c r="G23765" s="4">
        <f>IFERROR(__xludf.DUMMYFUNCTION("""COMPUTED_VALUE"""),41.0)</f>
        <v>41</v>
      </c>
      <c r="H23765" s="4"/>
      <c r="I23765" s="4"/>
    </row>
    <row r="23766">
      <c r="A23766" s="4" t="str">
        <f>IFERROR(__xludf.DUMMYFUNCTION("""COMPUTED_VALUE"""),"cas_hmw")</f>
        <v>cas_hmw</v>
      </c>
      <c r="B23766" s="5">
        <f>IFERROR(__xludf.DUMMYFUNCTION("""COMPUTED_VALUE"""),44796.0)</f>
        <v>44796</v>
      </c>
      <c r="C23766" s="6">
        <f>IFERROR(__xludf.DUMMYFUNCTION("""COMPUTED_VALUE"""),0.7037037037043774)</f>
        <v>0.7037037037</v>
      </c>
      <c r="D23766" s="4">
        <f>IFERROR(__xludf.DUMMYFUNCTION("""COMPUTED_VALUE"""),12.951787)</f>
        <v>12.951787</v>
      </c>
      <c r="E23766" s="4">
        <f>IFERROR(__xludf.DUMMYFUNCTION("""COMPUTED_VALUE"""),80.140495)</f>
        <v>80.140495</v>
      </c>
      <c r="F23766" s="4">
        <f>IFERROR(__xludf.DUMMYFUNCTION("""COMPUTED_VALUE"""),5339.0)</f>
        <v>5339</v>
      </c>
      <c r="G23766" s="4">
        <f>IFERROR(__xludf.DUMMYFUNCTION("""COMPUTED_VALUE"""),47.0)</f>
        <v>47</v>
      </c>
      <c r="H23766" s="4"/>
      <c r="I23766" s="4"/>
    </row>
    <row r="23767">
      <c r="A23767" s="4" t="str">
        <f>IFERROR(__xludf.DUMMYFUNCTION("""COMPUTED_VALUE"""),"cas_hmw")</f>
        <v>cas_hmw</v>
      </c>
      <c r="B23767" s="5">
        <f>IFERROR(__xludf.DUMMYFUNCTION("""COMPUTED_VALUE"""),44796.0)</f>
        <v>44796</v>
      </c>
      <c r="C23767" s="6">
        <f>IFERROR(__xludf.DUMMYFUNCTION("""COMPUTED_VALUE"""),0.7037500000005821)</f>
        <v>0.70375</v>
      </c>
      <c r="D23767" s="4">
        <f>IFERROR(__xludf.DUMMYFUNCTION("""COMPUTED_VALUE"""),12.953142)</f>
        <v>12.953142</v>
      </c>
      <c r="E23767" s="4">
        <f>IFERROR(__xludf.DUMMYFUNCTION("""COMPUTED_VALUE"""),80.141469)</f>
        <v>80.141469</v>
      </c>
      <c r="F23767" s="4">
        <f>IFERROR(__xludf.DUMMYFUNCTION("""COMPUTED_VALUE"""),3143.0)</f>
        <v>3143</v>
      </c>
      <c r="G23767" s="4">
        <f>IFERROR(__xludf.DUMMYFUNCTION("""COMPUTED_VALUE"""),43.0)</f>
        <v>43</v>
      </c>
      <c r="H23767" s="4"/>
      <c r="I23767" s="4"/>
    </row>
    <row r="23768">
      <c r="A23768" s="4" t="str">
        <f>IFERROR(__xludf.DUMMYFUNCTION("""COMPUTED_VALUE"""),"cas_hmw")</f>
        <v>cas_hmw</v>
      </c>
      <c r="B23768" s="5">
        <f>IFERROR(__xludf.DUMMYFUNCTION("""COMPUTED_VALUE"""),44796.0)</f>
        <v>44796</v>
      </c>
      <c r="C23768" s="6">
        <f>IFERROR(__xludf.DUMMYFUNCTION("""COMPUTED_VALUE"""),0.7037615740737238)</f>
        <v>0.7037615741</v>
      </c>
      <c r="D23768" s="4">
        <f>IFERROR(__xludf.DUMMYFUNCTION("""COMPUTED_VALUE"""),12.953142)</f>
        <v>12.953142</v>
      </c>
      <c r="E23768" s="4">
        <f>IFERROR(__xludf.DUMMYFUNCTION("""COMPUTED_VALUE"""),80.141469)</f>
        <v>80.141469</v>
      </c>
      <c r="F23768" s="4">
        <f>IFERROR(__xludf.DUMMYFUNCTION("""COMPUTED_VALUE"""),3143.0)</f>
        <v>3143</v>
      </c>
      <c r="G23768" s="4">
        <f>IFERROR(__xludf.DUMMYFUNCTION("""COMPUTED_VALUE"""),43.0)</f>
        <v>43</v>
      </c>
      <c r="H23768" s="4"/>
      <c r="I23768" s="4"/>
    </row>
    <row r="23769">
      <c r="A23769" s="4" t="str">
        <f>IFERROR(__xludf.DUMMYFUNCTION("""COMPUTED_VALUE"""),"cas_hmw")</f>
        <v>cas_hmw</v>
      </c>
      <c r="B23769" s="5">
        <f>IFERROR(__xludf.DUMMYFUNCTION("""COMPUTED_VALUE"""),44796.0)</f>
        <v>44796</v>
      </c>
      <c r="C23769" s="6">
        <f>IFERROR(__xludf.DUMMYFUNCTION("""COMPUTED_VALUE"""),0.7039120370354794)</f>
        <v>0.703912037</v>
      </c>
      <c r="D23769" s="4">
        <f>IFERROR(__xludf.DUMMYFUNCTION("""COMPUTED_VALUE"""),12.953607)</f>
        <v>12.953607</v>
      </c>
      <c r="E23769" s="4">
        <f>IFERROR(__xludf.DUMMYFUNCTION("""COMPUTED_VALUE"""),80.141735)</f>
        <v>80.141735</v>
      </c>
      <c r="F23769" s="4">
        <f>IFERROR(__xludf.DUMMYFUNCTION("""COMPUTED_VALUE"""),5339.0)</f>
        <v>5339</v>
      </c>
      <c r="G23769" s="4">
        <f>IFERROR(__xludf.DUMMYFUNCTION("""COMPUTED_VALUE"""),43.0)</f>
        <v>43</v>
      </c>
      <c r="H23769" s="4"/>
      <c r="I23769" s="4"/>
    </row>
    <row r="23770">
      <c r="A23770" s="4" t="str">
        <f>IFERROR(__xludf.DUMMYFUNCTION("""COMPUTED_VALUE"""),"cas_hmw")</f>
        <v>cas_hmw</v>
      </c>
      <c r="B23770" s="5">
        <f>IFERROR(__xludf.DUMMYFUNCTION("""COMPUTED_VALUE"""),44796.0)</f>
        <v>44796</v>
      </c>
      <c r="C23770" s="6">
        <f>IFERROR(__xludf.DUMMYFUNCTION("""COMPUTED_VALUE"""),0.7040972222239361)</f>
        <v>0.7040972222</v>
      </c>
      <c r="D23770" s="4">
        <f>IFERROR(__xludf.DUMMYFUNCTION("""COMPUTED_VALUE"""),12.955542)</f>
        <v>12.955542</v>
      </c>
      <c r="E23770" s="4">
        <f>IFERROR(__xludf.DUMMYFUNCTION("""COMPUTED_VALUE"""),80.142712)</f>
        <v>80.142712</v>
      </c>
      <c r="F23770" s="4">
        <f>IFERROR(__xludf.DUMMYFUNCTION("""COMPUTED_VALUE"""),5339.0)</f>
        <v>5339</v>
      </c>
      <c r="G23770" s="4">
        <f>IFERROR(__xludf.DUMMYFUNCTION("""COMPUTED_VALUE"""),35.0)</f>
        <v>35</v>
      </c>
      <c r="H23770" s="4"/>
      <c r="I23770" s="4"/>
    </row>
    <row r="23771">
      <c r="A23771" s="4" t="str">
        <f>IFERROR(__xludf.DUMMYFUNCTION("""COMPUTED_VALUE"""),"cas_hmw")</f>
        <v>cas_hmw</v>
      </c>
      <c r="B23771" s="5">
        <f>IFERROR(__xludf.DUMMYFUNCTION("""COMPUTED_VALUE"""),44796.0)</f>
        <v>44796</v>
      </c>
      <c r="C23771" s="6">
        <f>IFERROR(__xludf.DUMMYFUNCTION("""COMPUTED_VALUE"""),0.7041087962970778)</f>
        <v>0.7041087963</v>
      </c>
      <c r="D23771" s="4">
        <f>IFERROR(__xludf.DUMMYFUNCTION("""COMPUTED_VALUE"""),12.955542)</f>
        <v>12.955542</v>
      </c>
      <c r="E23771" s="4">
        <f>IFERROR(__xludf.DUMMYFUNCTION("""COMPUTED_VALUE"""),80.142712)</f>
        <v>80.142712</v>
      </c>
      <c r="F23771" s="4">
        <f>IFERROR(__xludf.DUMMYFUNCTION("""COMPUTED_VALUE"""),5339.0)</f>
        <v>5339</v>
      </c>
      <c r="G23771" s="4">
        <f>IFERROR(__xludf.DUMMYFUNCTION("""COMPUTED_VALUE"""),35.0)</f>
        <v>35</v>
      </c>
      <c r="H23771" s="4"/>
      <c r="I23771" s="4"/>
    </row>
    <row r="23772">
      <c r="A23772" s="4" t="str">
        <f>IFERROR(__xludf.DUMMYFUNCTION("""COMPUTED_VALUE"""),"cas_hmw")</f>
        <v>cas_hmw</v>
      </c>
      <c r="B23772" s="5">
        <f>IFERROR(__xludf.DUMMYFUNCTION("""COMPUTED_VALUE"""),44796.0)</f>
        <v>44796</v>
      </c>
      <c r="C23772" s="6">
        <f>IFERROR(__xludf.DUMMYFUNCTION("""COMPUTED_VALUE"""),0.7043287037049595)</f>
        <v>0.7043287037</v>
      </c>
      <c r="D23772" s="4">
        <f>IFERROR(__xludf.DUMMYFUNCTION("""COMPUTED_VALUE"""),12.95675)</f>
        <v>12.95675</v>
      </c>
      <c r="E23772" s="4">
        <f>IFERROR(__xludf.DUMMYFUNCTION("""COMPUTED_VALUE"""),80.143354)</f>
        <v>80.143354</v>
      </c>
      <c r="F23772" s="4">
        <f>IFERROR(__xludf.DUMMYFUNCTION("""COMPUTED_VALUE"""),5339.0)</f>
        <v>5339</v>
      </c>
      <c r="G23772" s="4">
        <f>IFERROR(__xludf.DUMMYFUNCTION("""COMPUTED_VALUE"""),27.0)</f>
        <v>27</v>
      </c>
      <c r="H23772" s="4"/>
      <c r="I23772" s="4"/>
    </row>
    <row r="23773">
      <c r="A23773" s="4" t="str">
        <f>IFERROR(__xludf.DUMMYFUNCTION("""COMPUTED_VALUE"""),"cas_hmw")</f>
        <v>cas_hmw</v>
      </c>
      <c r="B23773" s="5">
        <f>IFERROR(__xludf.DUMMYFUNCTION("""COMPUTED_VALUE"""),44796.0)</f>
        <v>44796</v>
      </c>
      <c r="C23773" s="6">
        <f>IFERROR(__xludf.DUMMYFUNCTION("""COMPUTED_VALUE"""),0.7043402777781012)</f>
        <v>0.7043402778</v>
      </c>
      <c r="D23773" s="4">
        <f>IFERROR(__xludf.DUMMYFUNCTION("""COMPUTED_VALUE"""),12.95675)</f>
        <v>12.95675</v>
      </c>
      <c r="E23773" s="4">
        <f>IFERROR(__xludf.DUMMYFUNCTION("""COMPUTED_VALUE"""),80.143354)</f>
        <v>80.143354</v>
      </c>
      <c r="F23773" s="4">
        <f>IFERROR(__xludf.DUMMYFUNCTION("""COMPUTED_VALUE"""),5339.0)</f>
        <v>5339</v>
      </c>
      <c r="G23773" s="4">
        <f>IFERROR(__xludf.DUMMYFUNCTION("""COMPUTED_VALUE"""),27.0)</f>
        <v>27</v>
      </c>
      <c r="H23773" s="4"/>
      <c r="I23773" s="4"/>
    </row>
    <row r="23774">
      <c r="A23774" s="4" t="str">
        <f>IFERROR(__xludf.DUMMYFUNCTION("""COMPUTED_VALUE"""),"cas_hmw")</f>
        <v>cas_hmw</v>
      </c>
      <c r="B23774" s="5">
        <f>IFERROR(__xludf.DUMMYFUNCTION("""COMPUTED_VALUE"""),44796.0)</f>
        <v>44796</v>
      </c>
      <c r="C23774" s="6">
        <f>IFERROR(__xludf.DUMMYFUNCTION("""COMPUTED_VALUE"""),0.7054513888906513)</f>
        <v>0.7054513889</v>
      </c>
      <c r="D23774" s="4">
        <f>IFERROR(__xludf.DUMMYFUNCTION("""COMPUTED_VALUE"""),12.960858)</f>
        <v>12.960858</v>
      </c>
      <c r="E23774" s="4">
        <f>IFERROR(__xludf.DUMMYFUNCTION("""COMPUTED_VALUE"""),80.145446)</f>
        <v>80.145446</v>
      </c>
      <c r="F23774" s="4">
        <f>IFERROR(__xludf.DUMMYFUNCTION("""COMPUTED_VALUE"""),5339.0)</f>
        <v>5339</v>
      </c>
      <c r="G23774" s="4">
        <f>IFERROR(__xludf.DUMMYFUNCTION("""COMPUTED_VALUE"""),25.0)</f>
        <v>25</v>
      </c>
      <c r="H23774" s="4"/>
      <c r="I23774" s="4"/>
    </row>
    <row r="23775">
      <c r="A23775" s="4" t="str">
        <f>IFERROR(__xludf.DUMMYFUNCTION("""COMPUTED_VALUE"""),"cas_hmw")</f>
        <v>cas_hmw</v>
      </c>
      <c r="B23775" s="5">
        <f>IFERROR(__xludf.DUMMYFUNCTION("""COMPUTED_VALUE"""),44796.0)</f>
        <v>44796</v>
      </c>
      <c r="C23775" s="6">
        <f>IFERROR(__xludf.DUMMYFUNCTION("""COMPUTED_VALUE"""),0.7060648148144537)</f>
        <v>0.7060648148</v>
      </c>
      <c r="D23775" s="4">
        <f>IFERROR(__xludf.DUMMYFUNCTION("""COMPUTED_VALUE"""),12.968496)</f>
        <v>12.968496</v>
      </c>
      <c r="E23775" s="4">
        <f>IFERROR(__xludf.DUMMYFUNCTION("""COMPUTED_VALUE"""),80.149645)</f>
        <v>80.149645</v>
      </c>
      <c r="F23775" s="4">
        <f>IFERROR(__xludf.DUMMYFUNCTION("""COMPUTED_VALUE"""),3143.0)</f>
        <v>3143</v>
      </c>
      <c r="G23775" s="4">
        <f>IFERROR(__xludf.DUMMYFUNCTION("""COMPUTED_VALUE"""),52.0)</f>
        <v>52</v>
      </c>
      <c r="H23775" s="4"/>
      <c r="I23775" s="4"/>
    </row>
    <row r="23776">
      <c r="A23776" s="4" t="str">
        <f>IFERROR(__xludf.DUMMYFUNCTION("""COMPUTED_VALUE"""),"cas_hmw")</f>
        <v>cas_hmw</v>
      </c>
      <c r="B23776" s="5">
        <f>IFERROR(__xludf.DUMMYFUNCTION("""COMPUTED_VALUE"""),44796.0)</f>
        <v>44796</v>
      </c>
      <c r="C23776" s="6">
        <f>IFERROR(__xludf.DUMMYFUNCTION("""COMPUTED_VALUE"""),0.7061689814800047)</f>
        <v>0.7061689815</v>
      </c>
      <c r="D23776" s="4">
        <f>IFERROR(__xludf.DUMMYFUNCTION("""COMPUTED_VALUE"""),12.969776)</f>
        <v>12.969776</v>
      </c>
      <c r="E23776" s="4">
        <f>IFERROR(__xludf.DUMMYFUNCTION("""COMPUTED_VALUE"""),80.150235)</f>
        <v>80.150235</v>
      </c>
      <c r="F23776" s="4">
        <f>IFERROR(__xludf.DUMMYFUNCTION("""COMPUTED_VALUE"""),3143.0)</f>
        <v>3143</v>
      </c>
      <c r="G23776" s="4">
        <f>IFERROR(__xludf.DUMMYFUNCTION("""COMPUTED_VALUE"""),56.0)</f>
        <v>56</v>
      </c>
      <c r="H23776" s="4"/>
      <c r="I23776" s="4"/>
    </row>
    <row r="23777">
      <c r="A23777" s="4" t="str">
        <f>IFERROR(__xludf.DUMMYFUNCTION("""COMPUTED_VALUE"""),"cas_hmw")</f>
        <v>cas_hmw</v>
      </c>
      <c r="B23777" s="5">
        <f>IFERROR(__xludf.DUMMYFUNCTION("""COMPUTED_VALUE"""),44796.0)</f>
        <v>44796</v>
      </c>
      <c r="C23777" s="6">
        <f>IFERROR(__xludf.DUMMYFUNCTION("""COMPUTED_VALUE"""),0.7062615740724141)</f>
        <v>0.7062615741</v>
      </c>
      <c r="D23777" s="4">
        <f>IFERROR(__xludf.DUMMYFUNCTION("""COMPUTED_VALUE"""),12.966199)</f>
        <v>12.966199</v>
      </c>
      <c r="E23777" s="4">
        <f>IFERROR(__xludf.DUMMYFUNCTION("""COMPUTED_VALUE"""),80.148502)</f>
        <v>80.148502</v>
      </c>
      <c r="F23777" s="4">
        <f>IFERROR(__xludf.DUMMYFUNCTION("""COMPUTED_VALUE"""),5339.0)</f>
        <v>5339</v>
      </c>
      <c r="G23777" s="4">
        <f>IFERROR(__xludf.DUMMYFUNCTION("""COMPUTED_VALUE"""),39.0)</f>
        <v>39</v>
      </c>
      <c r="H23777" s="4"/>
      <c r="I23777" s="4"/>
    </row>
    <row r="23778">
      <c r="A23778" s="4" t="str">
        <f>IFERROR(__xludf.DUMMYFUNCTION("""COMPUTED_VALUE"""),"cas_hmw")</f>
        <v>cas_hmw</v>
      </c>
      <c r="B23778" s="5">
        <f>IFERROR(__xludf.DUMMYFUNCTION("""COMPUTED_VALUE"""),44796.0)</f>
        <v>44796</v>
      </c>
      <c r="C23778" s="6">
        <f>IFERROR(__xludf.DUMMYFUNCTION("""COMPUTED_VALUE"""),0.7063425925916818)</f>
        <v>0.7063425926</v>
      </c>
      <c r="D23778" s="4">
        <f>IFERROR(__xludf.DUMMYFUNCTION("""COMPUTED_VALUE"""),12.966199)</f>
        <v>12.966199</v>
      </c>
      <c r="E23778" s="4">
        <f>IFERROR(__xludf.DUMMYFUNCTION("""COMPUTED_VALUE"""),80.148502)</f>
        <v>80.148502</v>
      </c>
      <c r="F23778" s="4">
        <f>IFERROR(__xludf.DUMMYFUNCTION("""COMPUTED_VALUE"""),5339.0)</f>
        <v>5339</v>
      </c>
      <c r="G23778" s="4">
        <f>IFERROR(__xludf.DUMMYFUNCTION("""COMPUTED_VALUE"""),39.0)</f>
        <v>39</v>
      </c>
      <c r="H23778" s="4"/>
      <c r="I23778" s="4"/>
    </row>
    <row r="23779">
      <c r="A23779" s="4" t="str">
        <f>IFERROR(__xludf.DUMMYFUNCTION("""COMPUTED_VALUE"""),"cas_hmw")</f>
        <v>cas_hmw</v>
      </c>
      <c r="B23779" s="5">
        <f>IFERROR(__xludf.DUMMYFUNCTION("""COMPUTED_VALUE"""),44796.0)</f>
        <v>44796</v>
      </c>
      <c r="C23779" s="6">
        <f>IFERROR(__xludf.DUMMYFUNCTION("""COMPUTED_VALUE"""),0.7065509259264218)</f>
        <v>0.7065509259</v>
      </c>
      <c r="D23779" s="4">
        <f>IFERROR(__xludf.DUMMYFUNCTION("""COMPUTED_VALUE"""),12.972839)</f>
        <v>12.972839</v>
      </c>
      <c r="E23779" s="4">
        <f>IFERROR(__xludf.DUMMYFUNCTION("""COMPUTED_VALUE"""),80.152354)</f>
        <v>80.152354</v>
      </c>
      <c r="F23779" s="4">
        <f>IFERROR(__xludf.DUMMYFUNCTION("""COMPUTED_VALUE"""),3143.0)</f>
        <v>3143</v>
      </c>
      <c r="G23779" s="4">
        <f>IFERROR(__xludf.DUMMYFUNCTION("""COMPUTED_VALUE"""),52.0)</f>
        <v>52</v>
      </c>
      <c r="H23779" s="4"/>
      <c r="I23779" s="4"/>
    </row>
    <row r="23780">
      <c r="A23780" s="4" t="str">
        <f>IFERROR(__xludf.DUMMYFUNCTION("""COMPUTED_VALUE"""),"cas_hmw")</f>
        <v>cas_hmw</v>
      </c>
      <c r="B23780" s="5">
        <f>IFERROR(__xludf.DUMMYFUNCTION("""COMPUTED_VALUE"""),44796.0)</f>
        <v>44796</v>
      </c>
      <c r="C23780" s="6">
        <f>IFERROR(__xludf.DUMMYFUNCTION("""COMPUTED_VALUE"""),0.7068749999998545)</f>
        <v>0.706875</v>
      </c>
      <c r="D23780" s="4">
        <f>IFERROR(__xludf.DUMMYFUNCTION("""COMPUTED_VALUE"""),12.974914)</f>
        <v>12.974914</v>
      </c>
      <c r="E23780" s="4">
        <f>IFERROR(__xludf.DUMMYFUNCTION("""COMPUTED_VALUE"""),80.155445)</f>
        <v>80.155445</v>
      </c>
      <c r="F23780" s="4">
        <f>IFERROR(__xludf.DUMMYFUNCTION("""COMPUTED_VALUE"""),3143.0)</f>
        <v>3143</v>
      </c>
      <c r="G23780" s="4">
        <f>IFERROR(__xludf.DUMMYFUNCTION("""COMPUTED_VALUE"""),43.0)</f>
        <v>43</v>
      </c>
      <c r="H23780" s="4"/>
      <c r="I23780" s="4"/>
    </row>
    <row r="23781">
      <c r="A23781" s="4" t="str">
        <f>IFERROR(__xludf.DUMMYFUNCTION("""COMPUTED_VALUE"""),"cas_hmw")</f>
        <v>cas_hmw</v>
      </c>
      <c r="B23781" s="5">
        <f>IFERROR(__xludf.DUMMYFUNCTION("""COMPUTED_VALUE"""),44796.0)</f>
        <v>44796</v>
      </c>
      <c r="C23781" s="6">
        <f>IFERROR(__xludf.DUMMYFUNCTION("""COMPUTED_VALUE"""),0.7072685185194132)</f>
        <v>0.7072685185</v>
      </c>
      <c r="D23781" s="4">
        <f>IFERROR(__xludf.DUMMYFUNCTION("""COMPUTED_VALUE"""),12.974112)</f>
        <v>12.974112</v>
      </c>
      <c r="E23781" s="4">
        <f>IFERROR(__xludf.DUMMYFUNCTION("""COMPUTED_VALUE"""),80.154319)</f>
        <v>80.154319</v>
      </c>
      <c r="F23781" s="4">
        <f>IFERROR(__xludf.DUMMYFUNCTION("""COMPUTED_VALUE"""),5339.0)</f>
        <v>5339</v>
      </c>
      <c r="G23781" s="4">
        <f>IFERROR(__xludf.DUMMYFUNCTION("""COMPUTED_VALUE"""),53.0)</f>
        <v>53</v>
      </c>
      <c r="H23781" s="4"/>
      <c r="I23781" s="4"/>
    </row>
    <row r="23782">
      <c r="A23782" s="4" t="str">
        <f>IFERROR(__xludf.DUMMYFUNCTION("""COMPUTED_VALUE"""),"cas_hmw")</f>
        <v>cas_hmw</v>
      </c>
      <c r="B23782" s="5">
        <f>IFERROR(__xludf.DUMMYFUNCTION("""COMPUTED_VALUE"""),44796.0)</f>
        <v>44796</v>
      </c>
      <c r="C23782" s="6">
        <f>IFERROR(__xludf.DUMMYFUNCTION("""COMPUTED_VALUE"""),0.7072916666656965)</f>
        <v>0.7072916667</v>
      </c>
      <c r="D23782" s="4">
        <f>IFERROR(__xludf.DUMMYFUNCTION("""COMPUTED_VALUE"""),12.974112)</f>
        <v>12.974112</v>
      </c>
      <c r="E23782" s="4">
        <f>IFERROR(__xludf.DUMMYFUNCTION("""COMPUTED_VALUE"""),80.154319)</f>
        <v>80.154319</v>
      </c>
      <c r="F23782" s="4">
        <f>IFERROR(__xludf.DUMMYFUNCTION("""COMPUTED_VALUE"""),5339.0)</f>
        <v>5339</v>
      </c>
      <c r="G23782" s="4">
        <f>IFERROR(__xludf.DUMMYFUNCTION("""COMPUTED_VALUE"""),53.0)</f>
        <v>53</v>
      </c>
      <c r="H23782" s="4"/>
      <c r="I23782" s="4"/>
    </row>
    <row r="23783">
      <c r="A23783" s="4" t="str">
        <f>IFERROR(__xludf.DUMMYFUNCTION("""COMPUTED_VALUE"""),"cas_hmw")</f>
        <v>cas_hmw</v>
      </c>
      <c r="B23783" s="5">
        <f>IFERROR(__xludf.DUMMYFUNCTION("""COMPUTED_VALUE"""),44796.0)</f>
        <v>44796</v>
      </c>
      <c r="C23783" s="6">
        <f>IFERROR(__xludf.DUMMYFUNCTION("""COMPUTED_VALUE"""),0.7073611111118225)</f>
        <v>0.7073611111</v>
      </c>
      <c r="D23783" s="4">
        <f>IFERROR(__xludf.DUMMYFUNCTION("""COMPUTED_VALUE"""),12.974826)</f>
        <v>12.974826</v>
      </c>
      <c r="E23783" s="4">
        <f>IFERROR(__xludf.DUMMYFUNCTION("""COMPUTED_VALUE"""),80.155338)</f>
        <v>80.155338</v>
      </c>
      <c r="F23783" s="4">
        <f>IFERROR(__xludf.DUMMYFUNCTION("""COMPUTED_VALUE"""),5339.0)</f>
        <v>5339</v>
      </c>
      <c r="G23783" s="4">
        <f>IFERROR(__xludf.DUMMYFUNCTION("""COMPUTED_VALUE"""),42.0)</f>
        <v>42</v>
      </c>
      <c r="H23783" s="4"/>
      <c r="I23783" s="4"/>
    </row>
    <row r="23784">
      <c r="A23784" s="4" t="str">
        <f>IFERROR(__xludf.DUMMYFUNCTION("""COMPUTED_VALUE"""),"cas_hmw")</f>
        <v>cas_hmw</v>
      </c>
      <c r="B23784" s="5">
        <f>IFERROR(__xludf.DUMMYFUNCTION("""COMPUTED_VALUE"""),44796.0)</f>
        <v>44796</v>
      </c>
      <c r="C23784" s="6">
        <f>IFERROR(__xludf.DUMMYFUNCTION("""COMPUTED_VALUE"""),0.7077314814814599)</f>
        <v>0.7077314815</v>
      </c>
      <c r="D23784" s="4">
        <f>IFERROR(__xludf.DUMMYFUNCTION("""COMPUTED_VALUE"""),12.98047)</f>
        <v>12.98047</v>
      </c>
      <c r="E23784" s="4">
        <f>IFERROR(__xludf.DUMMYFUNCTION("""COMPUTED_VALUE"""),80.164778)</f>
        <v>80.164778</v>
      </c>
      <c r="F23784" s="4">
        <f>IFERROR(__xludf.DUMMYFUNCTION("""COMPUTED_VALUE"""),3143.0)</f>
        <v>3143</v>
      </c>
      <c r="G23784" s="4">
        <f>IFERROR(__xludf.DUMMYFUNCTION("""COMPUTED_VALUE"""),50.0)</f>
        <v>50</v>
      </c>
      <c r="H23784" s="4"/>
      <c r="I23784" s="4"/>
    </row>
    <row r="23785">
      <c r="A23785" s="4" t="str">
        <f>IFERROR(__xludf.DUMMYFUNCTION("""COMPUTED_VALUE"""),"cas_hmw")</f>
        <v>cas_hmw</v>
      </c>
      <c r="B23785" s="5">
        <f>IFERROR(__xludf.DUMMYFUNCTION("""COMPUTED_VALUE"""),44796.0)</f>
        <v>44796</v>
      </c>
      <c r="C23785" s="6">
        <f>IFERROR(__xludf.DUMMYFUNCTION("""COMPUTED_VALUE"""),0.708043981481751)</f>
        <v>0.7080439815</v>
      </c>
      <c r="D23785" s="4">
        <f>IFERROR(__xludf.DUMMYFUNCTION("""COMPUTED_VALUE"""),12.981732)</f>
        <v>12.981732</v>
      </c>
      <c r="E23785" s="4">
        <f>IFERROR(__xludf.DUMMYFUNCTION("""COMPUTED_VALUE"""),80.167141)</f>
        <v>80.167141</v>
      </c>
      <c r="F23785" s="4">
        <f>IFERROR(__xludf.DUMMYFUNCTION("""COMPUTED_VALUE"""),3143.0)</f>
        <v>3143</v>
      </c>
      <c r="G23785" s="4">
        <f>IFERROR(__xludf.DUMMYFUNCTION("""COMPUTED_VALUE"""),52.0)</f>
        <v>52</v>
      </c>
      <c r="H23785" s="4"/>
      <c r="I23785" s="4"/>
    </row>
    <row r="23786">
      <c r="A23786" s="4" t="str">
        <f>IFERROR(__xludf.DUMMYFUNCTION("""COMPUTED_VALUE"""),"cas_hmw")</f>
        <v>cas_hmw</v>
      </c>
      <c r="B23786" s="5">
        <f>IFERROR(__xludf.DUMMYFUNCTION("""COMPUTED_VALUE"""),44796.0)</f>
        <v>44796</v>
      </c>
      <c r="C23786" s="6">
        <f>IFERROR(__xludf.DUMMYFUNCTION("""COMPUTED_VALUE"""),0.7083449074089003)</f>
        <v>0.7083449074</v>
      </c>
      <c r="D23786" s="4">
        <f>IFERROR(__xludf.DUMMYFUNCTION("""COMPUTED_VALUE"""),12.979882)</f>
        <v>12.979882</v>
      </c>
      <c r="E23786" s="4">
        <f>IFERROR(__xludf.DUMMYFUNCTION("""COMPUTED_VALUE"""),80.16284)</f>
        <v>80.16284</v>
      </c>
      <c r="F23786" s="4">
        <f>IFERROR(__xludf.DUMMYFUNCTION("""COMPUTED_VALUE"""),5339.0)</f>
        <v>5339</v>
      </c>
      <c r="G23786" s="4">
        <f>IFERROR(__xludf.DUMMYFUNCTION("""COMPUTED_VALUE"""),43.0)</f>
        <v>43</v>
      </c>
      <c r="H23786" s="4"/>
      <c r="I23786" s="4"/>
    </row>
    <row r="23787">
      <c r="A23787" s="4" t="str">
        <f>IFERROR(__xludf.DUMMYFUNCTION("""COMPUTED_VALUE"""),"cas_hmw")</f>
        <v>cas_hmw</v>
      </c>
      <c r="B23787" s="5">
        <f>IFERROR(__xludf.DUMMYFUNCTION("""COMPUTED_VALUE"""),44796.0)</f>
        <v>44796</v>
      </c>
      <c r="C23787" s="6">
        <f>IFERROR(__xludf.DUMMYFUNCTION("""COMPUTED_VALUE"""),0.7085532407400024)</f>
        <v>0.7085532407</v>
      </c>
      <c r="D23787" s="4">
        <f>IFERROR(__xludf.DUMMYFUNCTION("""COMPUTED_VALUE"""),12.980592)</f>
        <v>12.980592</v>
      </c>
      <c r="E23787" s="4">
        <f>IFERROR(__xludf.DUMMYFUNCTION("""COMPUTED_VALUE"""),80.165088)</f>
        <v>80.165088</v>
      </c>
      <c r="F23787" s="4">
        <f>IFERROR(__xludf.DUMMYFUNCTION("""COMPUTED_VALUE"""),5339.0)</f>
        <v>5339</v>
      </c>
      <c r="G23787" s="4">
        <f>IFERROR(__xludf.DUMMYFUNCTION("""COMPUTED_VALUE"""),44.0)</f>
        <v>44</v>
      </c>
      <c r="H23787" s="4"/>
      <c r="I23787" s="4"/>
    </row>
    <row r="23788">
      <c r="A23788" s="4" t="str">
        <f>IFERROR(__xludf.DUMMYFUNCTION("""COMPUTED_VALUE"""),"cas_hmw")</f>
        <v>cas_hmw</v>
      </c>
      <c r="B23788" s="5">
        <f>IFERROR(__xludf.DUMMYFUNCTION("""COMPUTED_VALUE"""),44796.0)</f>
        <v>44796</v>
      </c>
      <c r="C23788" s="6">
        <f>IFERROR(__xludf.DUMMYFUNCTION("""COMPUTED_VALUE"""),0.7087615740747424)</f>
        <v>0.7087615741</v>
      </c>
      <c r="D23788" s="4">
        <f>IFERROR(__xludf.DUMMYFUNCTION("""COMPUTED_VALUE"""),12.981872)</f>
        <v>12.981872</v>
      </c>
      <c r="E23788" s="4">
        <f>IFERROR(__xludf.DUMMYFUNCTION("""COMPUTED_VALUE"""),80.167296)</f>
        <v>80.167296</v>
      </c>
      <c r="F23788" s="4">
        <f>IFERROR(__xludf.DUMMYFUNCTION("""COMPUTED_VALUE"""),5339.0)</f>
        <v>5339</v>
      </c>
      <c r="G23788" s="4">
        <f>IFERROR(__xludf.DUMMYFUNCTION("""COMPUTED_VALUE"""),56.0)</f>
        <v>56</v>
      </c>
      <c r="H23788" s="4"/>
      <c r="I23788" s="4"/>
    </row>
    <row r="23789">
      <c r="A23789" s="4" t="str">
        <f>IFERROR(__xludf.DUMMYFUNCTION("""COMPUTED_VALUE"""),"cas_hmw")</f>
        <v>cas_hmw</v>
      </c>
      <c r="B23789" s="5">
        <f>IFERROR(__xludf.DUMMYFUNCTION("""COMPUTED_VALUE"""),44796.0)</f>
        <v>44796</v>
      </c>
      <c r="C23789" s="6">
        <f>IFERROR(__xludf.DUMMYFUNCTION("""COMPUTED_VALUE"""),0.7094560185178125)</f>
        <v>0.7094560185</v>
      </c>
      <c r="D23789" s="4">
        <f>IFERROR(__xludf.DUMMYFUNCTION("""COMPUTED_VALUE"""),12.986548)</f>
        <v>12.986548</v>
      </c>
      <c r="E23789" s="4">
        <f>IFERROR(__xludf.DUMMYFUNCTION("""COMPUTED_VALUE"""),80.174816)</f>
        <v>80.174816</v>
      </c>
      <c r="F23789" s="4">
        <f>IFERROR(__xludf.DUMMYFUNCTION("""COMPUTED_VALUE"""),3143.0)</f>
        <v>3143</v>
      </c>
      <c r="G23789" s="4">
        <f>IFERROR(__xludf.DUMMYFUNCTION("""COMPUTED_VALUE"""),33.0)</f>
        <v>33</v>
      </c>
      <c r="H23789" s="4"/>
      <c r="I23789" s="4"/>
    </row>
    <row r="23790">
      <c r="A23790" s="4" t="str">
        <f>IFERROR(__xludf.DUMMYFUNCTION("""COMPUTED_VALUE"""),"cas_hmw")</f>
        <v>cas_hmw</v>
      </c>
      <c r="B23790" s="5">
        <f>IFERROR(__xludf.DUMMYFUNCTION("""COMPUTED_VALUE"""),44796.0)</f>
        <v>44796</v>
      </c>
      <c r="C23790" s="6">
        <f>IFERROR(__xludf.DUMMYFUNCTION("""COMPUTED_VALUE"""),0.7095486111102218)</f>
        <v>0.7095486111</v>
      </c>
      <c r="D23790" s="4">
        <f>IFERROR(__xludf.DUMMYFUNCTION("""COMPUTED_VALUE"""),12.986548)</f>
        <v>12.986548</v>
      </c>
      <c r="E23790" s="4">
        <f>IFERROR(__xludf.DUMMYFUNCTION("""COMPUTED_VALUE"""),80.174816)</f>
        <v>80.174816</v>
      </c>
      <c r="F23790" s="4">
        <f>IFERROR(__xludf.DUMMYFUNCTION("""COMPUTED_VALUE"""),3143.0)</f>
        <v>3143</v>
      </c>
      <c r="G23790" s="4">
        <f>IFERROR(__xludf.DUMMYFUNCTION("""COMPUTED_VALUE"""),33.0)</f>
        <v>33</v>
      </c>
      <c r="H23790" s="4"/>
      <c r="I23790" s="4"/>
    </row>
    <row r="23791">
      <c r="A23791" s="4" t="str">
        <f>IFERROR(__xludf.DUMMYFUNCTION("""COMPUTED_VALUE"""),"cas_hmw")</f>
        <v>cas_hmw</v>
      </c>
      <c r="B23791" s="5">
        <f>IFERROR(__xludf.DUMMYFUNCTION("""COMPUTED_VALUE"""),44796.0)</f>
        <v>44796</v>
      </c>
      <c r="C23791" s="6">
        <f>IFERROR(__xludf.DUMMYFUNCTION("""COMPUTED_VALUE"""),0.7098032407411665)</f>
        <v>0.7098032407</v>
      </c>
      <c r="D23791" s="4">
        <f>IFERROR(__xludf.DUMMYFUNCTION("""COMPUTED_VALUE"""),12.987845)</f>
        <v>12.987845</v>
      </c>
      <c r="E23791" s="4">
        <f>IFERROR(__xludf.DUMMYFUNCTION("""COMPUTED_VALUE"""),80.176584)</f>
        <v>80.176584</v>
      </c>
      <c r="F23791" s="4">
        <f>IFERROR(__xludf.DUMMYFUNCTION("""COMPUTED_VALUE"""),3143.0)</f>
        <v>3143</v>
      </c>
      <c r="G23791" s="4">
        <f>IFERROR(__xludf.DUMMYFUNCTION("""COMPUTED_VALUE"""),35.0)</f>
        <v>35</v>
      </c>
      <c r="H23791" s="4"/>
      <c r="I23791" s="4"/>
    </row>
    <row r="23792">
      <c r="A23792" s="4" t="str">
        <f>IFERROR(__xludf.DUMMYFUNCTION("""COMPUTED_VALUE"""),"cas_hmw")</f>
        <v>cas_hmw</v>
      </c>
      <c r="B23792" s="5">
        <f>IFERROR(__xludf.DUMMYFUNCTION("""COMPUTED_VALUE"""),44796.0)</f>
        <v>44796</v>
      </c>
      <c r="C23792" s="6">
        <f>IFERROR(__xludf.DUMMYFUNCTION("""COMPUTED_VALUE"""),0.7107523148151813)</f>
        <v>0.7107523148</v>
      </c>
      <c r="D23792" s="4">
        <f>IFERROR(__xludf.DUMMYFUNCTION("""COMPUTED_VALUE"""),12.990029)</f>
        <v>12.990029</v>
      </c>
      <c r="E23792" s="4">
        <f>IFERROR(__xludf.DUMMYFUNCTION("""COMPUTED_VALUE"""),80.179501)</f>
        <v>80.179501</v>
      </c>
      <c r="F23792" s="4">
        <f>IFERROR(__xludf.DUMMYFUNCTION("""COMPUTED_VALUE"""),3143.0)</f>
        <v>3143</v>
      </c>
      <c r="G23792" s="4">
        <f>IFERROR(__xludf.DUMMYFUNCTION("""COMPUTED_VALUE"""),41.0)</f>
        <v>41</v>
      </c>
      <c r="H23792" s="4"/>
      <c r="I23792" s="4"/>
    </row>
    <row r="23793">
      <c r="A23793" s="4" t="str">
        <f>IFERROR(__xludf.DUMMYFUNCTION("""COMPUTED_VALUE"""),"cas_hmw")</f>
        <v>cas_hmw</v>
      </c>
      <c r="B23793" s="5">
        <f>IFERROR(__xludf.DUMMYFUNCTION("""COMPUTED_VALUE"""),44796.0)</f>
        <v>44796</v>
      </c>
      <c r="C23793" s="6">
        <f>IFERROR(__xludf.DUMMYFUNCTION("""COMPUTED_VALUE"""),0.7109143518500787)</f>
        <v>0.7109143519</v>
      </c>
      <c r="D23793" s="4">
        <f>IFERROR(__xludf.DUMMYFUNCTION("""COMPUTED_VALUE"""),12.987587)</f>
        <v>12.987587</v>
      </c>
      <c r="E23793" s="4">
        <f>IFERROR(__xludf.DUMMYFUNCTION("""COMPUTED_VALUE"""),80.176297)</f>
        <v>80.176297</v>
      </c>
      <c r="F23793" s="4">
        <f>IFERROR(__xludf.DUMMYFUNCTION("""COMPUTED_VALUE"""),5339.0)</f>
        <v>5339</v>
      </c>
      <c r="G23793" s="4">
        <f>IFERROR(__xludf.DUMMYFUNCTION("""COMPUTED_VALUE"""),32.0)</f>
        <v>32</v>
      </c>
      <c r="H23793" s="4"/>
      <c r="I23793" s="4"/>
    </row>
    <row r="23794">
      <c r="A23794" s="4" t="str">
        <f>IFERROR(__xludf.DUMMYFUNCTION("""COMPUTED_VALUE"""),"cas_hmw")</f>
        <v>cas_hmw</v>
      </c>
      <c r="B23794" s="5">
        <f>IFERROR(__xludf.DUMMYFUNCTION("""COMPUTED_VALUE"""),44796.0)</f>
        <v>44796</v>
      </c>
      <c r="C23794" s="6">
        <f>IFERROR(__xludf.DUMMYFUNCTION("""COMPUTED_VALUE"""),0.7109837962962047)</f>
        <v>0.7109837963</v>
      </c>
      <c r="D23794" s="4">
        <f>IFERROR(__xludf.DUMMYFUNCTION("""COMPUTED_VALUE"""),12.991482)</f>
        <v>12.991482</v>
      </c>
      <c r="E23794" s="4">
        <f>IFERROR(__xludf.DUMMYFUNCTION("""COMPUTED_VALUE"""),80.18138)</f>
        <v>80.18138</v>
      </c>
      <c r="F23794" s="4">
        <f>IFERROR(__xludf.DUMMYFUNCTION("""COMPUTED_VALUE"""),3143.0)</f>
        <v>3143</v>
      </c>
      <c r="G23794" s="4">
        <f>IFERROR(__xludf.DUMMYFUNCTION("""COMPUTED_VALUE"""),45.0)</f>
        <v>45</v>
      </c>
      <c r="H23794" s="4"/>
      <c r="I23794" s="4"/>
    </row>
    <row r="23795">
      <c r="A23795" s="4" t="str">
        <f>IFERROR(__xludf.DUMMYFUNCTION("""COMPUTED_VALUE"""),"cas_hmw")</f>
        <v>cas_hmw</v>
      </c>
      <c r="B23795" s="5">
        <f>IFERROR(__xludf.DUMMYFUNCTION("""COMPUTED_VALUE"""),44796.0)</f>
        <v>44796</v>
      </c>
      <c r="C23795" s="6">
        <f>IFERROR(__xludf.DUMMYFUNCTION("""COMPUTED_VALUE"""),0.7111342592579604)</f>
        <v>0.7111342593</v>
      </c>
      <c r="D23795" s="4">
        <f>IFERROR(__xludf.DUMMYFUNCTION("""COMPUTED_VALUE"""),12.992219)</f>
        <v>12.992219</v>
      </c>
      <c r="E23795" s="4">
        <f>IFERROR(__xludf.DUMMYFUNCTION("""COMPUTED_VALUE"""),80.182346)</f>
        <v>80.182346</v>
      </c>
      <c r="F23795" s="4">
        <f>IFERROR(__xludf.DUMMYFUNCTION("""COMPUTED_VALUE"""),3143.0)</f>
        <v>3143</v>
      </c>
      <c r="G23795" s="4">
        <f>IFERROR(__xludf.DUMMYFUNCTION("""COMPUTED_VALUE"""),46.0)</f>
        <v>46</v>
      </c>
      <c r="H23795" s="4"/>
      <c r="I23795" s="4"/>
    </row>
    <row r="23796">
      <c r="A23796" s="4" t="str">
        <f>IFERROR(__xludf.DUMMYFUNCTION("""COMPUTED_VALUE"""),"cas_hmw")</f>
        <v>cas_hmw</v>
      </c>
      <c r="B23796" s="5">
        <f>IFERROR(__xludf.DUMMYFUNCTION("""COMPUTED_VALUE"""),44796.0)</f>
        <v>44796</v>
      </c>
      <c r="C23796" s="6">
        <f>IFERROR(__xludf.DUMMYFUNCTION("""COMPUTED_VALUE"""),0.7112962962964957)</f>
        <v>0.7112962963</v>
      </c>
      <c r="D23796" s="4">
        <f>IFERROR(__xludf.DUMMYFUNCTION("""COMPUTED_VALUE"""),12.993417)</f>
        <v>12.993417</v>
      </c>
      <c r="E23796" s="4">
        <f>IFERROR(__xludf.DUMMYFUNCTION("""COMPUTED_VALUE"""),80.184287)</f>
        <v>80.184287</v>
      </c>
      <c r="F23796" s="4">
        <f>IFERROR(__xludf.DUMMYFUNCTION("""COMPUTED_VALUE"""),3143.0)</f>
        <v>3143</v>
      </c>
      <c r="G23796" s="4">
        <f>IFERROR(__xludf.DUMMYFUNCTION("""COMPUTED_VALUE"""),35.0)</f>
        <v>35</v>
      </c>
      <c r="H23796" s="4"/>
      <c r="I23796" s="4"/>
    </row>
    <row r="23797">
      <c r="A23797" s="4" t="str">
        <f>IFERROR(__xludf.DUMMYFUNCTION("""COMPUTED_VALUE"""),"cas_hmw")</f>
        <v>cas_hmw</v>
      </c>
      <c r="B23797" s="5">
        <f>IFERROR(__xludf.DUMMYFUNCTION("""COMPUTED_VALUE"""),44796.0)</f>
        <v>44796</v>
      </c>
      <c r="C23797" s="6">
        <f>IFERROR(__xludf.DUMMYFUNCTION("""COMPUTED_VALUE"""),0.7116203703699284)</f>
        <v>0.7116203704</v>
      </c>
      <c r="D23797" s="4">
        <f>IFERROR(__xludf.DUMMYFUNCTION("""COMPUTED_VALUE"""),12.989556)</f>
        <v>12.989556</v>
      </c>
      <c r="E23797" s="4">
        <f>IFERROR(__xludf.DUMMYFUNCTION("""COMPUTED_VALUE"""),80.178946)</f>
        <v>80.178946</v>
      </c>
      <c r="F23797" s="4">
        <f>IFERROR(__xludf.DUMMYFUNCTION("""COMPUTED_VALUE"""),5339.0)</f>
        <v>5339</v>
      </c>
      <c r="G23797" s="4">
        <f>IFERROR(__xludf.DUMMYFUNCTION("""COMPUTED_VALUE"""),24.0)</f>
        <v>24</v>
      </c>
      <c r="H23797" s="4"/>
      <c r="I23797" s="4"/>
    </row>
    <row r="23798">
      <c r="A23798" s="4" t="str">
        <f>IFERROR(__xludf.DUMMYFUNCTION("""COMPUTED_VALUE"""),"cas_hmw")</f>
        <v>cas_hmw</v>
      </c>
      <c r="B23798" s="5">
        <f>IFERROR(__xludf.DUMMYFUNCTION("""COMPUTED_VALUE"""),44796.0)</f>
        <v>44796</v>
      </c>
      <c r="C23798" s="6">
        <f>IFERROR(__xludf.DUMMYFUNCTION("""COMPUTED_VALUE"""),0.7116319444430701)</f>
        <v>0.7116319444</v>
      </c>
      <c r="D23798" s="4">
        <f>IFERROR(__xludf.DUMMYFUNCTION("""COMPUTED_VALUE"""),12.989556)</f>
        <v>12.989556</v>
      </c>
      <c r="E23798" s="4">
        <f>IFERROR(__xludf.DUMMYFUNCTION("""COMPUTED_VALUE"""),80.178946)</f>
        <v>80.178946</v>
      </c>
      <c r="F23798" s="4">
        <f>IFERROR(__xludf.DUMMYFUNCTION("""COMPUTED_VALUE"""),5339.0)</f>
        <v>5339</v>
      </c>
      <c r="G23798" s="4">
        <f>IFERROR(__xludf.DUMMYFUNCTION("""COMPUTED_VALUE"""),24.0)</f>
        <v>24</v>
      </c>
      <c r="H23798" s="4"/>
      <c r="I23798" s="4"/>
    </row>
    <row r="23799">
      <c r="A23799" s="4" t="str">
        <f>IFERROR(__xludf.DUMMYFUNCTION("""COMPUTED_VALUE"""),"cas_hmw")</f>
        <v>cas_hmw</v>
      </c>
      <c r="B23799" s="5">
        <f>IFERROR(__xludf.DUMMYFUNCTION("""COMPUTED_VALUE"""),44796.0)</f>
        <v>44796</v>
      </c>
      <c r="C23799" s="6">
        <f>IFERROR(__xludf.DUMMYFUNCTION("""COMPUTED_VALUE"""),0.7121643518512428)</f>
        <v>0.7121643519</v>
      </c>
      <c r="D23799" s="4">
        <f>IFERROR(__xludf.DUMMYFUNCTION("""COMPUTED_VALUE"""),12.996896)</f>
        <v>12.996896</v>
      </c>
      <c r="E23799" s="4">
        <f>IFERROR(__xludf.DUMMYFUNCTION("""COMPUTED_VALUE"""),80.190224)</f>
        <v>80.190224</v>
      </c>
      <c r="F23799" s="4">
        <f>IFERROR(__xludf.DUMMYFUNCTION("""COMPUTED_VALUE"""),3143.0)</f>
        <v>3143</v>
      </c>
      <c r="G23799" s="4">
        <f>IFERROR(__xludf.DUMMYFUNCTION("""COMPUTED_VALUE"""),47.0)</f>
        <v>47</v>
      </c>
      <c r="H23799" s="4"/>
      <c r="I23799" s="4"/>
    </row>
    <row r="23800">
      <c r="A23800" s="4" t="str">
        <f>IFERROR(__xludf.DUMMYFUNCTION("""COMPUTED_VALUE"""),"cas_hmw")</f>
        <v>cas_hmw</v>
      </c>
      <c r="B23800" s="5">
        <f>IFERROR(__xludf.DUMMYFUNCTION("""COMPUTED_VALUE"""),44796.0)</f>
        <v>44796</v>
      </c>
      <c r="C23800" s="6">
        <f>IFERROR(__xludf.DUMMYFUNCTION("""COMPUTED_VALUE"""),0.7143634259264218)</f>
        <v>0.7143634259</v>
      </c>
      <c r="D23800" s="4">
        <f>IFERROR(__xludf.DUMMYFUNCTION("""COMPUTED_VALUE"""),13.004104)</f>
        <v>13.004104</v>
      </c>
      <c r="E23800" s="4">
        <f>IFERROR(__xludf.DUMMYFUNCTION("""COMPUTED_VALUE"""),80.200996)</f>
        <v>80.200996</v>
      </c>
      <c r="F23800" s="4">
        <f>IFERROR(__xludf.DUMMYFUNCTION("""COMPUTED_VALUE"""),3143.0)</f>
        <v>3143</v>
      </c>
      <c r="G23800" s="4">
        <f>IFERROR(__xludf.DUMMYFUNCTION("""COMPUTED_VALUE"""),58.0)</f>
        <v>58</v>
      </c>
      <c r="H23800" s="4"/>
      <c r="I23800" s="4"/>
    </row>
    <row r="23801">
      <c r="A23801" s="4" t="str">
        <f>IFERROR(__xludf.DUMMYFUNCTION("""COMPUTED_VALUE"""),"cas_hmw")</f>
        <v>cas_hmw</v>
      </c>
      <c r="B23801" s="5">
        <f>IFERROR(__xludf.DUMMYFUNCTION("""COMPUTED_VALUE"""),44796.0)</f>
        <v>44796</v>
      </c>
      <c r="C23801" s="6">
        <f>IFERROR(__xludf.DUMMYFUNCTION("""COMPUTED_VALUE"""),0.7144560185188311)</f>
        <v>0.7144560185</v>
      </c>
      <c r="D23801" s="4">
        <f>IFERROR(__xludf.DUMMYFUNCTION("""COMPUTED_VALUE"""),13.005289)</f>
        <v>13.005289</v>
      </c>
      <c r="E23801" s="4">
        <f>IFERROR(__xludf.DUMMYFUNCTION("""COMPUTED_VALUE"""),80.201514)</f>
        <v>80.201514</v>
      </c>
      <c r="F23801" s="4">
        <f>IFERROR(__xludf.DUMMYFUNCTION("""COMPUTED_VALUE"""),3143.0)</f>
        <v>3143</v>
      </c>
      <c r="G23801" s="4">
        <f>IFERROR(__xludf.DUMMYFUNCTION("""COMPUTED_VALUE"""),39.0)</f>
        <v>39</v>
      </c>
      <c r="H23801" s="4"/>
      <c r="I23801" s="4"/>
    </row>
    <row r="23802">
      <c r="A23802" s="4" t="str">
        <f>IFERROR(__xludf.DUMMYFUNCTION("""COMPUTED_VALUE"""),"cas_hmw")</f>
        <v>cas_hmw</v>
      </c>
      <c r="B23802" s="5">
        <f>IFERROR(__xludf.DUMMYFUNCTION("""COMPUTED_VALUE"""),44796.0)</f>
        <v>44796</v>
      </c>
      <c r="C23802" s="6">
        <f>IFERROR(__xludf.DUMMYFUNCTION("""COMPUTED_VALUE"""),0.7145601851843821)</f>
        <v>0.7145601852</v>
      </c>
      <c r="D23802" s="4">
        <f>IFERROR(__xludf.DUMMYFUNCTION("""COMPUTED_VALUE"""),13.005289)</f>
        <v>13.005289</v>
      </c>
      <c r="E23802" s="4">
        <f>IFERROR(__xludf.DUMMYFUNCTION("""COMPUTED_VALUE"""),80.201514)</f>
        <v>80.201514</v>
      </c>
      <c r="F23802" s="4">
        <f>IFERROR(__xludf.DUMMYFUNCTION("""COMPUTED_VALUE"""),3143.0)</f>
        <v>3143</v>
      </c>
      <c r="G23802" s="4">
        <f>IFERROR(__xludf.DUMMYFUNCTION("""COMPUTED_VALUE"""),39.0)</f>
        <v>39</v>
      </c>
      <c r="H23802" s="4"/>
      <c r="I23802" s="4"/>
    </row>
    <row r="23803">
      <c r="A23803" s="4" t="str">
        <f>IFERROR(__xludf.DUMMYFUNCTION("""COMPUTED_VALUE"""),"cas_hmw")</f>
        <v>cas_hmw</v>
      </c>
      <c r="B23803" s="5">
        <f>IFERROR(__xludf.DUMMYFUNCTION("""COMPUTED_VALUE"""),44796.0)</f>
        <v>44796</v>
      </c>
      <c r="C23803" s="6">
        <f>IFERROR(__xludf.DUMMYFUNCTION("""COMPUTED_VALUE"""),0.7149074074077362)</f>
        <v>0.7149074074</v>
      </c>
      <c r="D23803" s="4">
        <f>IFERROR(__xludf.DUMMYFUNCTION("""COMPUTED_VALUE"""),13.008184)</f>
        <v>13.008184</v>
      </c>
      <c r="E23803" s="4">
        <f>IFERROR(__xludf.DUMMYFUNCTION("""COMPUTED_VALUE"""),80.203661)</f>
        <v>80.203661</v>
      </c>
      <c r="F23803" s="4">
        <f>IFERROR(__xludf.DUMMYFUNCTION("""COMPUTED_VALUE"""),3143.0)</f>
        <v>3143</v>
      </c>
      <c r="G23803" s="4">
        <f>IFERROR(__xludf.DUMMYFUNCTION("""COMPUTED_VALUE"""),34.0)</f>
        <v>34</v>
      </c>
      <c r="H23803" s="4"/>
      <c r="I23803" s="4"/>
    </row>
    <row r="23804">
      <c r="A23804" s="4" t="str">
        <f>IFERROR(__xludf.DUMMYFUNCTION("""COMPUTED_VALUE"""),"cas_hmw")</f>
        <v>cas_hmw</v>
      </c>
      <c r="B23804" s="5">
        <f>IFERROR(__xludf.DUMMYFUNCTION("""COMPUTED_VALUE"""),44796.0)</f>
        <v>44796</v>
      </c>
      <c r="C23804" s="6">
        <f>IFERROR(__xludf.DUMMYFUNCTION("""COMPUTED_VALUE"""),0.7152662037042319)</f>
        <v>0.7152662037</v>
      </c>
      <c r="D23804" s="4">
        <f>IFERROR(__xludf.DUMMYFUNCTION("""COMPUTED_VALUE"""),13.007622)</f>
        <v>13.007622</v>
      </c>
      <c r="E23804" s="4">
        <f>IFERROR(__xludf.DUMMYFUNCTION("""COMPUTED_VALUE"""),80.204213)</f>
        <v>80.204213</v>
      </c>
      <c r="F23804" s="4">
        <f>IFERROR(__xludf.DUMMYFUNCTION("""COMPUTED_VALUE"""),3143.0)</f>
        <v>3143</v>
      </c>
      <c r="G23804" s="4">
        <f>IFERROR(__xludf.DUMMYFUNCTION("""COMPUTED_VALUE"""),47.0)</f>
        <v>47</v>
      </c>
      <c r="H23804" s="4"/>
      <c r="I23804" s="4"/>
    </row>
    <row r="23805">
      <c r="A23805" s="4" t="str">
        <f>IFERROR(__xludf.DUMMYFUNCTION("""COMPUTED_VALUE"""),"cas_hmw")</f>
        <v>cas_hmw</v>
      </c>
      <c r="B23805" s="5">
        <f>IFERROR(__xludf.DUMMYFUNCTION("""COMPUTED_VALUE"""),44796.0)</f>
        <v>44796</v>
      </c>
      <c r="C23805" s="6">
        <f>IFERROR(__xludf.DUMMYFUNCTION("""COMPUTED_VALUE"""),0.7154745370353339)</f>
        <v>0.715474537</v>
      </c>
      <c r="D23805" s="4">
        <f>IFERROR(__xludf.DUMMYFUNCTION("""COMPUTED_VALUE"""),13.007821)</f>
        <v>13.007821</v>
      </c>
      <c r="E23805" s="4">
        <f>IFERROR(__xludf.DUMMYFUNCTION("""COMPUTED_VALUE"""),80.206897)</f>
        <v>80.206897</v>
      </c>
      <c r="F23805" s="4">
        <f>IFERROR(__xludf.DUMMYFUNCTION("""COMPUTED_VALUE"""),3143.0)</f>
        <v>3143</v>
      </c>
      <c r="G23805" s="4">
        <f>IFERROR(__xludf.DUMMYFUNCTION("""COMPUTED_VALUE"""),49.0)</f>
        <v>49</v>
      </c>
      <c r="H23805" s="4"/>
      <c r="I23805" s="4"/>
    </row>
    <row r="23806">
      <c r="A23806" s="4" t="str">
        <f>IFERROR(__xludf.DUMMYFUNCTION("""COMPUTED_VALUE"""),"cas_hmw")</f>
        <v>cas_hmw</v>
      </c>
      <c r="B23806" s="5">
        <f>IFERROR(__xludf.DUMMYFUNCTION("""COMPUTED_VALUE"""),44796.0)</f>
        <v>44796</v>
      </c>
      <c r="C23806" s="6">
        <f>IFERROR(__xludf.DUMMYFUNCTION("""COMPUTED_VALUE"""),0.7155671296313812)</f>
        <v>0.7155671296</v>
      </c>
      <c r="D23806" s="4">
        <f>IFERROR(__xludf.DUMMYFUNCTION("""COMPUTED_VALUE"""),13.007821)</f>
        <v>13.007821</v>
      </c>
      <c r="E23806" s="4">
        <f>IFERROR(__xludf.DUMMYFUNCTION("""COMPUTED_VALUE"""),80.206897)</f>
        <v>80.206897</v>
      </c>
      <c r="F23806" s="4">
        <f>IFERROR(__xludf.DUMMYFUNCTION("""COMPUTED_VALUE"""),3143.0)</f>
        <v>3143</v>
      </c>
      <c r="G23806" s="4">
        <f>IFERROR(__xludf.DUMMYFUNCTION("""COMPUTED_VALUE"""),49.0)</f>
        <v>49</v>
      </c>
      <c r="H23806" s="4"/>
      <c r="I23806" s="4"/>
    </row>
    <row r="23807">
      <c r="A23807" s="4" t="str">
        <f>IFERROR(__xludf.DUMMYFUNCTION("""COMPUTED_VALUE"""),"cas_hmw")</f>
        <v>cas_hmw</v>
      </c>
      <c r="B23807" s="5">
        <f>IFERROR(__xludf.DUMMYFUNCTION("""COMPUTED_VALUE"""),44796.0)</f>
        <v>44796</v>
      </c>
      <c r="C23807" s="6">
        <f>IFERROR(__xludf.DUMMYFUNCTION("""COMPUTED_VALUE"""),0.7156597222237906)</f>
        <v>0.7156597222</v>
      </c>
      <c r="D23807" s="4">
        <f>IFERROR(__xludf.DUMMYFUNCTION("""COMPUTED_VALUE"""),13.007955)</f>
        <v>13.007955</v>
      </c>
      <c r="E23807" s="4">
        <f>IFERROR(__xludf.DUMMYFUNCTION("""COMPUTED_VALUE"""),80.20794)</f>
        <v>80.20794</v>
      </c>
      <c r="F23807" s="4">
        <f>IFERROR(__xludf.DUMMYFUNCTION("""COMPUTED_VALUE"""),3143.0)</f>
        <v>3143</v>
      </c>
      <c r="G23807" s="4">
        <f>IFERROR(__xludf.DUMMYFUNCTION("""COMPUTED_VALUE"""),39.0)</f>
        <v>39</v>
      </c>
      <c r="H23807" s="4"/>
      <c r="I23807" s="4"/>
    </row>
    <row r="23808">
      <c r="A23808" s="4" t="str">
        <f>IFERROR(__xludf.DUMMYFUNCTION("""COMPUTED_VALUE"""),"cas_hmw")</f>
        <v>cas_hmw</v>
      </c>
      <c r="B23808" s="5">
        <f>IFERROR(__xludf.DUMMYFUNCTION("""COMPUTED_VALUE"""),44796.0)</f>
        <v>44796</v>
      </c>
      <c r="C23808" s="6">
        <f>IFERROR(__xludf.DUMMYFUNCTION("""COMPUTED_VALUE"""),0.716273148147593)</f>
        <v>0.7162731481</v>
      </c>
      <c r="D23808" s="4">
        <f>IFERROR(__xludf.DUMMYFUNCTION("""COMPUTED_VALUE"""),13.009563)</f>
        <v>13.009563</v>
      </c>
      <c r="E23808" s="4">
        <f>IFERROR(__xludf.DUMMYFUNCTION("""COMPUTED_VALUE"""),80.213258)</f>
        <v>80.213258</v>
      </c>
      <c r="F23808" s="4">
        <f>IFERROR(__xludf.DUMMYFUNCTION("""COMPUTED_VALUE"""),3143.0)</f>
        <v>3143</v>
      </c>
      <c r="G23808" s="4">
        <f>IFERROR(__xludf.DUMMYFUNCTION("""COMPUTED_VALUE"""),36.0)</f>
        <v>36</v>
      </c>
      <c r="H23808" s="4"/>
      <c r="I23808" s="4"/>
    </row>
    <row r="23809">
      <c r="A23809" s="4" t="str">
        <f>IFERROR(__xludf.DUMMYFUNCTION("""COMPUTED_VALUE"""),"cas_hmw")</f>
        <v>cas_hmw</v>
      </c>
      <c r="B23809" s="5">
        <f>IFERROR(__xludf.DUMMYFUNCTION("""COMPUTED_VALUE"""),44796.0)</f>
        <v>44796</v>
      </c>
      <c r="C23809" s="6">
        <f>IFERROR(__xludf.DUMMYFUNCTION("""COMPUTED_VALUE"""),0.7163310185169394)</f>
        <v>0.7163310185</v>
      </c>
      <c r="D23809" s="4">
        <f>IFERROR(__xludf.DUMMYFUNCTION("""COMPUTED_VALUE"""),13.009914)</f>
        <v>13.009914</v>
      </c>
      <c r="E23809" s="4">
        <f>IFERROR(__xludf.DUMMYFUNCTION("""COMPUTED_VALUE"""),80.214118)</f>
        <v>80.214118</v>
      </c>
      <c r="F23809" s="4">
        <f>IFERROR(__xludf.DUMMYFUNCTION("""COMPUTED_VALUE"""),3143.0)</f>
        <v>3143</v>
      </c>
      <c r="G23809" s="4">
        <f>IFERROR(__xludf.DUMMYFUNCTION("""COMPUTED_VALUE"""),41.0)</f>
        <v>41</v>
      </c>
      <c r="H23809" s="4"/>
      <c r="I23809" s="4"/>
    </row>
    <row r="23810">
      <c r="A23810" s="4" t="str">
        <f>IFERROR(__xludf.DUMMYFUNCTION("""COMPUTED_VALUE"""),"cas_hmw")</f>
        <v>cas_hmw</v>
      </c>
      <c r="B23810" s="5">
        <f>IFERROR(__xludf.DUMMYFUNCTION("""COMPUTED_VALUE"""),44796.0)</f>
        <v>44796</v>
      </c>
      <c r="C23810" s="6">
        <f>IFERROR(__xludf.DUMMYFUNCTION("""COMPUTED_VALUE"""),0.7164351851861284)</f>
        <v>0.7164351852</v>
      </c>
      <c r="D23810" s="4">
        <f>IFERROR(__xludf.DUMMYFUNCTION("""COMPUTED_VALUE"""),13.010175)</f>
        <v>13.010175</v>
      </c>
      <c r="E23810" s="4">
        <f>IFERROR(__xludf.DUMMYFUNCTION("""COMPUTED_VALUE"""),80.21504)</f>
        <v>80.21504</v>
      </c>
      <c r="F23810" s="4">
        <f>IFERROR(__xludf.DUMMYFUNCTION("""COMPUTED_VALUE"""),3143.0)</f>
        <v>3143</v>
      </c>
      <c r="G23810" s="4">
        <f>IFERROR(__xludf.DUMMYFUNCTION("""COMPUTED_VALUE"""),31.0)</f>
        <v>31</v>
      </c>
      <c r="H23810" s="4"/>
      <c r="I23810" s="4"/>
    </row>
    <row r="23811">
      <c r="A23811" s="4" t="str">
        <f>IFERROR(__xludf.DUMMYFUNCTION("""COMPUTED_VALUE"""),"cas_hmw")</f>
        <v>cas_hmw</v>
      </c>
      <c r="B23811" s="5">
        <f>IFERROR(__xludf.DUMMYFUNCTION("""COMPUTED_VALUE"""),44796.0)</f>
        <v>44796</v>
      </c>
      <c r="C23811" s="6">
        <f>IFERROR(__xludf.DUMMYFUNCTION("""COMPUTED_VALUE"""),0.7170717592598521)</f>
        <v>0.7170717593</v>
      </c>
      <c r="D23811" s="4">
        <f>IFERROR(__xludf.DUMMYFUNCTION("""COMPUTED_VALUE"""),13.011291)</f>
        <v>13.011291</v>
      </c>
      <c r="E23811" s="4">
        <f>IFERROR(__xludf.DUMMYFUNCTION("""COMPUTED_VALUE"""),80.217976)</f>
        <v>80.217976</v>
      </c>
      <c r="F23811" s="4">
        <f>IFERROR(__xludf.DUMMYFUNCTION("""COMPUTED_VALUE"""),3143.0)</f>
        <v>3143</v>
      </c>
      <c r="G23811" s="4">
        <f>IFERROR(__xludf.DUMMYFUNCTION("""COMPUTED_VALUE"""),16.0)</f>
        <v>16</v>
      </c>
      <c r="H23811" s="4"/>
      <c r="I23811" s="4"/>
    </row>
    <row r="23812">
      <c r="A23812" s="4" t="str">
        <f>IFERROR(__xludf.DUMMYFUNCTION("""COMPUTED_VALUE"""),"cas_hmw")</f>
        <v>cas_hmw</v>
      </c>
      <c r="B23812" s="5">
        <f>IFERROR(__xludf.DUMMYFUNCTION("""COMPUTED_VALUE"""),44796.0)</f>
        <v>44796</v>
      </c>
      <c r="C23812" s="6">
        <f>IFERROR(__xludf.DUMMYFUNCTION("""COMPUTED_VALUE"""),0.7174074074064265)</f>
        <v>0.7174074074</v>
      </c>
      <c r="D23812" s="4">
        <f>IFERROR(__xludf.DUMMYFUNCTION("""COMPUTED_VALUE"""),13.012093)</f>
        <v>13.012093</v>
      </c>
      <c r="E23812" s="4">
        <f>IFERROR(__xludf.DUMMYFUNCTION("""COMPUTED_VALUE"""),80.220509)</f>
        <v>80.220509</v>
      </c>
      <c r="F23812" s="4">
        <f>IFERROR(__xludf.DUMMYFUNCTION("""COMPUTED_VALUE"""),3143.0)</f>
        <v>3143</v>
      </c>
      <c r="G23812" s="4">
        <f>IFERROR(__xludf.DUMMYFUNCTION("""COMPUTED_VALUE"""),43.0)</f>
        <v>43</v>
      </c>
      <c r="H23812" s="4"/>
      <c r="I23812" s="4"/>
    </row>
    <row r="23813">
      <c r="A23813" s="4" t="str">
        <f>IFERROR(__xludf.DUMMYFUNCTION("""COMPUTED_VALUE"""),"cas_hmw")</f>
        <v>cas_hmw</v>
      </c>
      <c r="B23813" s="5">
        <f>IFERROR(__xludf.DUMMYFUNCTION("""COMPUTED_VALUE"""),44796.0)</f>
        <v>44796</v>
      </c>
      <c r="C23813" s="6">
        <f>IFERROR(__xludf.DUMMYFUNCTION("""COMPUTED_VALUE"""),0.7185648148151813)</f>
        <v>0.7185648148</v>
      </c>
      <c r="D23813" s="4">
        <f>IFERROR(__xludf.DUMMYFUNCTION("""COMPUTED_VALUE"""),13.014848)</f>
        <v>13.014848</v>
      </c>
      <c r="E23813" s="4">
        <f>IFERROR(__xludf.DUMMYFUNCTION("""COMPUTED_VALUE"""),80.225958)</f>
        <v>80.225958</v>
      </c>
      <c r="F23813" s="4">
        <f>IFERROR(__xludf.DUMMYFUNCTION("""COMPUTED_VALUE"""),3143.0)</f>
        <v>3143</v>
      </c>
      <c r="G23813" s="4">
        <f>IFERROR(__xludf.DUMMYFUNCTION("""COMPUTED_VALUE"""),30.0)</f>
        <v>30</v>
      </c>
      <c r="H23813" s="4"/>
      <c r="I23813" s="4"/>
    </row>
    <row r="23814">
      <c r="A23814" s="4" t="str">
        <f>IFERROR(__xludf.DUMMYFUNCTION("""COMPUTED_VALUE"""),"cas_hmw")</f>
        <v>cas_hmw</v>
      </c>
      <c r="B23814" s="5">
        <f>IFERROR(__xludf.DUMMYFUNCTION("""COMPUTED_VALUE"""),44796.0)</f>
        <v>44796</v>
      </c>
      <c r="C23814" s="6">
        <f>IFERROR(__xludf.DUMMYFUNCTION("""COMPUTED_VALUE"""),0.7186689814807323)</f>
        <v>0.7186689815</v>
      </c>
      <c r="D23814" s="4">
        <f>IFERROR(__xludf.DUMMYFUNCTION("""COMPUTED_VALUE"""),13.014033)</f>
        <v>13.014033</v>
      </c>
      <c r="E23814" s="4">
        <f>IFERROR(__xludf.DUMMYFUNCTION("""COMPUTED_VALUE"""),80.226334)</f>
        <v>80.226334</v>
      </c>
      <c r="F23814" s="4">
        <f>IFERROR(__xludf.DUMMYFUNCTION("""COMPUTED_VALUE"""),3143.0)</f>
        <v>3143</v>
      </c>
      <c r="G23814" s="4">
        <f>IFERROR(__xludf.DUMMYFUNCTION("""COMPUTED_VALUE"""),38.0)</f>
        <v>38</v>
      </c>
      <c r="H23814" s="4"/>
      <c r="I23814" s="4"/>
    </row>
    <row r="23815">
      <c r="A23815" s="4" t="str">
        <f>IFERROR(__xludf.DUMMYFUNCTION("""COMPUTED_VALUE"""),"cas_hmw")</f>
        <v>cas_hmw</v>
      </c>
      <c r="B23815" s="5">
        <f>IFERROR(__xludf.DUMMYFUNCTION("""COMPUTED_VALUE"""),44796.0)</f>
        <v>44796</v>
      </c>
      <c r="C23815" s="6">
        <f>IFERROR(__xludf.DUMMYFUNCTION("""COMPUTED_VALUE"""),0.7189467592579604)</f>
        <v>0.7189467593</v>
      </c>
      <c r="D23815" s="4">
        <f>IFERROR(__xludf.DUMMYFUNCTION("""COMPUTED_VALUE"""),13.01098)</f>
        <v>13.01098</v>
      </c>
      <c r="E23815" s="4">
        <f>IFERROR(__xludf.DUMMYFUNCTION("""COMPUTED_VALUE"""),80.227552)</f>
        <v>80.227552</v>
      </c>
      <c r="F23815" s="4">
        <f>IFERROR(__xludf.DUMMYFUNCTION("""COMPUTED_VALUE"""),3143.0)</f>
        <v>3143</v>
      </c>
      <c r="G23815" s="4">
        <f>IFERROR(__xludf.DUMMYFUNCTION("""COMPUTED_VALUE"""),48.0)</f>
        <v>48</v>
      </c>
      <c r="H23815" s="4"/>
      <c r="I23815" s="4"/>
    </row>
    <row r="23816">
      <c r="A23816" s="4" t="str">
        <f>IFERROR(__xludf.DUMMYFUNCTION("""COMPUTED_VALUE"""),"cas_hmw")</f>
        <v>cas_hmw</v>
      </c>
      <c r="B23816" s="5">
        <f>IFERROR(__xludf.DUMMYFUNCTION("""COMPUTED_VALUE"""),44796.0)</f>
        <v>44796</v>
      </c>
      <c r="C23816" s="6">
        <f>IFERROR(__xludf.DUMMYFUNCTION("""COMPUTED_VALUE"""),0.7192939814813144)</f>
        <v>0.7192939815</v>
      </c>
      <c r="D23816" s="4">
        <f>IFERROR(__xludf.DUMMYFUNCTION("""COMPUTED_VALUE"""),13.008918)</f>
        <v>13.008918</v>
      </c>
      <c r="E23816" s="4">
        <f>IFERROR(__xludf.DUMMYFUNCTION("""COMPUTED_VALUE"""),80.229634)</f>
        <v>80.229634</v>
      </c>
      <c r="F23816" s="4">
        <f>IFERROR(__xludf.DUMMYFUNCTION("""COMPUTED_VALUE"""),3143.0)</f>
        <v>3143</v>
      </c>
      <c r="G23816" s="4">
        <f>IFERROR(__xludf.DUMMYFUNCTION("""COMPUTED_VALUE"""),40.0)</f>
        <v>40</v>
      </c>
      <c r="H23816" s="4"/>
      <c r="I23816" s="4"/>
    </row>
    <row r="23817">
      <c r="A23817" s="4" t="str">
        <f>IFERROR(__xludf.DUMMYFUNCTION("""COMPUTED_VALUE"""),"cas_hmw")</f>
        <v>cas_hmw</v>
      </c>
      <c r="B23817" s="5">
        <f>IFERROR(__xludf.DUMMYFUNCTION("""COMPUTED_VALUE"""),44796.0)</f>
        <v>44796</v>
      </c>
      <c r="C23817" s="6">
        <f>IFERROR(__xludf.DUMMYFUNCTION("""COMPUTED_VALUE"""),0.7205324074056989)</f>
        <v>0.7205324074</v>
      </c>
      <c r="D23817" s="4">
        <f>IFERROR(__xludf.DUMMYFUNCTION("""COMPUTED_VALUE"""),13.007732)</f>
        <v>13.007732</v>
      </c>
      <c r="E23817" s="4">
        <f>IFERROR(__xludf.DUMMYFUNCTION("""COMPUTED_VALUE"""),80.235766)</f>
        <v>80.235766</v>
      </c>
      <c r="F23817" s="4">
        <f>IFERROR(__xludf.DUMMYFUNCTION("""COMPUTED_VALUE"""),3143.0)</f>
        <v>3143</v>
      </c>
      <c r="G23817" s="4">
        <f>IFERROR(__xludf.DUMMYFUNCTION("""COMPUTED_VALUE"""),26.0)</f>
        <v>26</v>
      </c>
      <c r="H23817" s="4"/>
      <c r="I23817" s="4"/>
    </row>
    <row r="23818">
      <c r="A23818" s="4" t="str">
        <f>IFERROR(__xludf.DUMMYFUNCTION("""COMPUTED_VALUE"""),"cas_hmw")</f>
        <v>cas_hmw</v>
      </c>
      <c r="B23818" s="5">
        <f>IFERROR(__xludf.DUMMYFUNCTION("""COMPUTED_VALUE"""),44796.0)</f>
        <v>44796</v>
      </c>
      <c r="C23818" s="6">
        <f>IFERROR(__xludf.DUMMYFUNCTION("""COMPUTED_VALUE"""),0.7300231481494848)</f>
        <v>0.7300231481</v>
      </c>
      <c r="D23818" s="4">
        <f>IFERROR(__xludf.DUMMYFUNCTION("""COMPUTED_VALUE"""),13.017304)</f>
        <v>13.017304</v>
      </c>
      <c r="E23818" s="4">
        <f>IFERROR(__xludf.DUMMYFUNCTION("""COMPUTED_VALUE"""),80.260302)</f>
        <v>80.260302</v>
      </c>
      <c r="F23818" s="4">
        <f>IFERROR(__xludf.DUMMYFUNCTION("""COMPUTED_VALUE"""),3143.0)</f>
        <v>3143</v>
      </c>
      <c r="G23818" s="4">
        <f>IFERROR(__xludf.DUMMYFUNCTION("""COMPUTED_VALUE"""),41.0)</f>
        <v>41</v>
      </c>
      <c r="H23818" s="4"/>
      <c r="I23818" s="4"/>
    </row>
    <row r="23819">
      <c r="A23819" s="4" t="str">
        <f>IFERROR(__xludf.DUMMYFUNCTION("""COMPUTED_VALUE"""),"cas_hmw")</f>
        <v>cas_hmw</v>
      </c>
      <c r="B23819" s="5">
        <f>IFERROR(__xludf.DUMMYFUNCTION("""COMPUTED_VALUE"""),44796.0)</f>
        <v>44796</v>
      </c>
      <c r="C23819" s="6">
        <f>IFERROR(__xludf.DUMMYFUNCTION("""COMPUTED_VALUE"""),0.739259259258688)</f>
        <v>0.7392592593</v>
      </c>
      <c r="D23819" s="4">
        <f>IFERROR(__xludf.DUMMYFUNCTION("""COMPUTED_VALUE"""),13.041877)</f>
        <v>13.041877</v>
      </c>
      <c r="E23819" s="4">
        <f>IFERROR(__xludf.DUMMYFUNCTION("""COMPUTED_VALUE"""),80.268145)</f>
        <v>80.268145</v>
      </c>
      <c r="F23819" s="4">
        <f>IFERROR(__xludf.DUMMYFUNCTION("""COMPUTED_VALUE"""),3143.0)</f>
        <v>3143</v>
      </c>
      <c r="G23819" s="4">
        <f>IFERROR(__xludf.DUMMYFUNCTION("""COMPUTED_VALUE"""),36.0)</f>
        <v>36</v>
      </c>
      <c r="H23819" s="4"/>
      <c r="I23819" s="4"/>
    </row>
    <row r="23820">
      <c r="A23820" s="4" t="str">
        <f>IFERROR(__xludf.DUMMYFUNCTION("""COMPUTED_VALUE"""),"cas_hmw")</f>
        <v>cas_hmw</v>
      </c>
      <c r="B23820" s="5">
        <f>IFERROR(__xludf.DUMMYFUNCTION("""COMPUTED_VALUE"""),44796.0)</f>
        <v>44796</v>
      </c>
      <c r="C23820" s="6">
        <f>IFERROR(__xludf.DUMMYFUNCTION("""COMPUTED_VALUE"""),0.7393171296280343)</f>
        <v>0.7393171296</v>
      </c>
      <c r="D23820" s="4">
        <f>IFERROR(__xludf.DUMMYFUNCTION("""COMPUTED_VALUE"""),13.045132)</f>
        <v>13.045132</v>
      </c>
      <c r="E23820" s="4">
        <f>IFERROR(__xludf.DUMMYFUNCTION("""COMPUTED_VALUE"""),80.266653)</f>
        <v>80.266653</v>
      </c>
      <c r="F23820" s="4">
        <f>IFERROR(__xludf.DUMMYFUNCTION("""COMPUTED_VALUE"""),3143.0)</f>
        <v>3143</v>
      </c>
      <c r="G23820" s="4">
        <f>IFERROR(__xludf.DUMMYFUNCTION("""COMPUTED_VALUE"""),34.0)</f>
        <v>34</v>
      </c>
      <c r="H23820" s="4"/>
      <c r="I23820" s="4"/>
    </row>
    <row r="23821">
      <c r="A23821" s="4" t="str">
        <f>IFERROR(__xludf.DUMMYFUNCTION("""COMPUTED_VALUE"""),"cas_hmw")</f>
        <v>cas_hmw</v>
      </c>
      <c r="B23821" s="5">
        <f>IFERROR(__xludf.DUMMYFUNCTION("""COMPUTED_VALUE"""),44796.0)</f>
        <v>44796</v>
      </c>
      <c r="C23821" s="6">
        <f>IFERROR(__xludf.DUMMYFUNCTION("""COMPUTED_VALUE"""),0.7499421296306537)</f>
        <v>0.7499421296</v>
      </c>
      <c r="D23821" s="4">
        <f>IFERROR(__xludf.DUMMYFUNCTION("""COMPUTED_VALUE"""),13.072764)</f>
        <v>13.072764</v>
      </c>
      <c r="E23821" s="4">
        <f>IFERROR(__xludf.DUMMYFUNCTION("""COMPUTED_VALUE"""),80.262526)</f>
        <v>80.262526</v>
      </c>
      <c r="F23821" s="4">
        <f>IFERROR(__xludf.DUMMYFUNCTION("""COMPUTED_VALUE"""),5339.0)</f>
        <v>5339</v>
      </c>
      <c r="G23821" s="4">
        <f>IFERROR(__xludf.DUMMYFUNCTION("""COMPUTED_VALUE"""),30.0)</f>
        <v>30</v>
      </c>
      <c r="H23821" s="4"/>
      <c r="I23821" s="4"/>
    </row>
    <row r="23822">
      <c r="A23822" s="4" t="str">
        <f>IFERROR(__xludf.DUMMYFUNCTION("""COMPUTED_VALUE"""),"cas_hmw")</f>
        <v>cas_hmw</v>
      </c>
      <c r="B23822" s="5">
        <f>IFERROR(__xludf.DUMMYFUNCTION("""COMPUTED_VALUE"""),44796.0)</f>
        <v>44796</v>
      </c>
      <c r="C23822" s="6">
        <f>IFERROR(__xludf.DUMMYFUNCTION("""COMPUTED_VALUE"""),0.7544675925928459)</f>
        <v>0.7544675926</v>
      </c>
      <c r="D23822" s="4">
        <f>IFERROR(__xludf.DUMMYFUNCTION("""COMPUTED_VALUE"""),13.066149)</f>
        <v>13.066149</v>
      </c>
      <c r="E23822" s="4">
        <f>IFERROR(__xludf.DUMMYFUNCTION("""COMPUTED_VALUE"""),80.24793)</f>
        <v>80.24793</v>
      </c>
      <c r="F23822" s="4">
        <f>IFERROR(__xludf.DUMMYFUNCTION("""COMPUTED_VALUE"""),5339.0)</f>
        <v>5339</v>
      </c>
      <c r="G23822" s="4">
        <f>IFERROR(__xludf.DUMMYFUNCTION("""COMPUTED_VALUE"""),13.0)</f>
        <v>13</v>
      </c>
      <c r="H23822" s="4"/>
      <c r="I23822" s="4"/>
    </row>
    <row r="23823">
      <c r="A23823" s="4" t="str">
        <f>IFERROR(__xludf.DUMMYFUNCTION("""COMPUTED_VALUE"""),"cas_hmw")</f>
        <v>cas_hmw</v>
      </c>
      <c r="B23823" s="5">
        <f>IFERROR(__xludf.DUMMYFUNCTION("""COMPUTED_VALUE"""),44796.0)</f>
        <v>44796</v>
      </c>
      <c r="C23823" s="6">
        <f>IFERROR(__xludf.DUMMYFUNCTION("""COMPUTED_VALUE"""),0.7579398148154723)</f>
        <v>0.7579398148</v>
      </c>
      <c r="D23823" s="4">
        <f>IFERROR(__xludf.DUMMYFUNCTION("""COMPUTED_VALUE"""),13.06618)</f>
        <v>13.06618</v>
      </c>
      <c r="E23823" s="4">
        <f>IFERROR(__xludf.DUMMYFUNCTION("""COMPUTED_VALUE"""),80.247881)</f>
        <v>80.247881</v>
      </c>
      <c r="F23823" s="4">
        <f>IFERROR(__xludf.DUMMYFUNCTION("""COMPUTED_VALUE"""),3143.0)</f>
        <v>3143</v>
      </c>
      <c r="G23823" s="4">
        <f>IFERROR(__xludf.DUMMYFUNCTION("""COMPUTED_VALUE"""),29.0)</f>
        <v>29</v>
      </c>
      <c r="H23823" s="4"/>
      <c r="I23823" s="4"/>
    </row>
    <row r="23824">
      <c r="A23824" s="4" t="str">
        <f>IFERROR(__xludf.DUMMYFUNCTION("""COMPUTED_VALUE"""),"cas_hmw")</f>
        <v>cas_hmw</v>
      </c>
      <c r="B23824" s="5">
        <f>IFERROR(__xludf.DUMMYFUNCTION("""COMPUTED_VALUE"""),44796.0)</f>
        <v>44796</v>
      </c>
      <c r="C23824" s="6">
        <f>IFERROR(__xludf.DUMMYFUNCTION("""COMPUTED_VALUE"""),0.7579629629617557)</f>
        <v>0.757962963</v>
      </c>
      <c r="D23824" s="4">
        <f>IFERROR(__xludf.DUMMYFUNCTION("""COMPUTED_VALUE"""),13.06618)</f>
        <v>13.06618</v>
      </c>
      <c r="E23824" s="4">
        <f>IFERROR(__xludf.DUMMYFUNCTION("""COMPUTED_VALUE"""),80.247881)</f>
        <v>80.247881</v>
      </c>
      <c r="F23824" s="4">
        <f>IFERROR(__xludf.DUMMYFUNCTION("""COMPUTED_VALUE"""),3143.0)</f>
        <v>3143</v>
      </c>
      <c r="G23824" s="4">
        <f>IFERROR(__xludf.DUMMYFUNCTION("""COMPUTED_VALUE"""),29.0)</f>
        <v>29</v>
      </c>
      <c r="H23824" s="4"/>
      <c r="I23824" s="4"/>
    </row>
    <row r="23825">
      <c r="A23825" s="4" t="str">
        <f>IFERROR(__xludf.DUMMYFUNCTION("""COMPUTED_VALUE"""),"cas_hmw")</f>
        <v>cas_hmw</v>
      </c>
      <c r="B23825" s="5">
        <f>IFERROR(__xludf.DUMMYFUNCTION("""COMPUTED_VALUE"""),44797.0)</f>
        <v>44797</v>
      </c>
      <c r="C23825" s="6">
        <f>IFERROR(__xludf.DUMMYFUNCTION("""COMPUTED_VALUE"""),0.2975925925929914)</f>
        <v>0.2975925926</v>
      </c>
      <c r="D23825" s="4">
        <f>IFERROR(__xludf.DUMMYFUNCTION("""COMPUTED_VALUE"""),13.067644)</f>
        <v>13.067644</v>
      </c>
      <c r="E23825" s="4">
        <f>IFERROR(__xludf.DUMMYFUNCTION("""COMPUTED_VALUE"""),80.246471)</f>
        <v>80.246471</v>
      </c>
      <c r="F23825" s="4">
        <f>IFERROR(__xludf.DUMMYFUNCTION("""COMPUTED_VALUE"""),3143.0)</f>
        <v>3143</v>
      </c>
      <c r="G23825" s="4">
        <f>IFERROR(__xludf.DUMMYFUNCTION("""COMPUTED_VALUE"""),37.0)</f>
        <v>37</v>
      </c>
      <c r="H23825" s="4"/>
      <c r="I23825" s="4"/>
    </row>
    <row r="23826">
      <c r="A23826" s="4" t="str">
        <f>IFERROR(__xludf.DUMMYFUNCTION("""COMPUTED_VALUE"""),"cas_hmw")</f>
        <v>cas_hmw</v>
      </c>
      <c r="B23826" s="5">
        <f>IFERROR(__xludf.DUMMYFUNCTION("""COMPUTED_VALUE"""),44797.0)</f>
        <v>44797</v>
      </c>
      <c r="C23826" s="6">
        <f>IFERROR(__xludf.DUMMYFUNCTION("""COMPUTED_VALUE"""),0.29761574073927477)</f>
        <v>0.2976157407</v>
      </c>
      <c r="D23826" s="4">
        <f>IFERROR(__xludf.DUMMYFUNCTION("""COMPUTED_VALUE"""),13.067644)</f>
        <v>13.067644</v>
      </c>
      <c r="E23826" s="4">
        <f>IFERROR(__xludf.DUMMYFUNCTION("""COMPUTED_VALUE"""),80.246471)</f>
        <v>80.246471</v>
      </c>
      <c r="F23826" s="4">
        <f>IFERROR(__xludf.DUMMYFUNCTION("""COMPUTED_VALUE"""),3143.0)</f>
        <v>3143</v>
      </c>
      <c r="G23826" s="4">
        <f>IFERROR(__xludf.DUMMYFUNCTION("""COMPUTED_VALUE"""),37.0)</f>
        <v>37</v>
      </c>
      <c r="H23826" s="4"/>
      <c r="I23826" s="4"/>
    </row>
    <row r="23827">
      <c r="A23827" s="4" t="str">
        <f>IFERROR(__xludf.DUMMYFUNCTION("""COMPUTED_VALUE"""),"cas_hmw")</f>
        <v>cas_hmw</v>
      </c>
      <c r="B23827" s="5">
        <f>IFERROR(__xludf.DUMMYFUNCTION("""COMPUTED_VALUE"""),44797.0)</f>
        <v>44797</v>
      </c>
      <c r="C23827" s="6">
        <f>IFERROR(__xludf.DUMMYFUNCTION("""COMPUTED_VALUE"""),0.2988773148135806)</f>
        <v>0.2988773148</v>
      </c>
      <c r="D23827" s="4">
        <f>IFERROR(__xludf.DUMMYFUNCTION("""COMPUTED_VALUE"""),13.068668)</f>
        <v>13.068668</v>
      </c>
      <c r="E23827" s="4">
        <f>IFERROR(__xludf.DUMMYFUNCTION("""COMPUTED_VALUE"""),80.256011)</f>
        <v>80.256011</v>
      </c>
      <c r="F23827" s="4">
        <f>IFERROR(__xludf.DUMMYFUNCTION("""COMPUTED_VALUE"""),5339.0)</f>
        <v>5339</v>
      </c>
      <c r="G23827" s="4">
        <f>IFERROR(__xludf.DUMMYFUNCTION("""COMPUTED_VALUE"""),38.0)</f>
        <v>38</v>
      </c>
      <c r="H23827" s="4"/>
      <c r="I23827" s="4"/>
    </row>
    <row r="23828">
      <c r="A23828" s="4" t="str">
        <f>IFERROR(__xludf.DUMMYFUNCTION("""COMPUTED_VALUE"""),"cas_hmw")</f>
        <v>cas_hmw</v>
      </c>
      <c r="B23828" s="5">
        <f>IFERROR(__xludf.DUMMYFUNCTION("""COMPUTED_VALUE"""),44797.0)</f>
        <v>44797</v>
      </c>
      <c r="C23828" s="6">
        <f>IFERROR(__xludf.DUMMYFUNCTION("""COMPUTED_VALUE"""),0.30938657407386927)</f>
        <v>0.3093865741</v>
      </c>
      <c r="D23828" s="4">
        <f>IFERROR(__xludf.DUMMYFUNCTION("""COMPUTED_VALUE"""),13.054869)</f>
        <v>13.054869</v>
      </c>
      <c r="E23828" s="4">
        <f>IFERROR(__xludf.DUMMYFUNCTION("""COMPUTED_VALUE"""),80.264329)</f>
        <v>80.264329</v>
      </c>
      <c r="F23828" s="4">
        <f>IFERROR(__xludf.DUMMYFUNCTION("""COMPUTED_VALUE"""),3143.0)</f>
        <v>3143</v>
      </c>
      <c r="G23828" s="4">
        <f>IFERROR(__xludf.DUMMYFUNCTION("""COMPUTED_VALUE"""),29.0)</f>
        <v>29</v>
      </c>
      <c r="H23828" s="4"/>
      <c r="I23828" s="4"/>
    </row>
    <row r="23829">
      <c r="A23829" s="4" t="str">
        <f>IFERROR(__xludf.DUMMYFUNCTION("""COMPUTED_VALUE"""),"cas_hmw")</f>
        <v>cas_hmw</v>
      </c>
      <c r="B23829" s="5">
        <f>IFERROR(__xludf.DUMMYFUNCTION("""COMPUTED_VALUE"""),44797.0)</f>
        <v>44797</v>
      </c>
      <c r="C23829" s="6">
        <f>IFERROR(__xludf.DUMMYFUNCTION("""COMPUTED_VALUE"""),0.31131944444496185)</f>
        <v>0.3113194444</v>
      </c>
      <c r="D23829" s="4">
        <f>IFERROR(__xludf.DUMMYFUNCTION("""COMPUTED_VALUE"""),13.052704)</f>
        <v>13.052704</v>
      </c>
      <c r="E23829" s="4">
        <f>IFERROR(__xludf.DUMMYFUNCTION("""COMPUTED_VALUE"""),80.251509)</f>
        <v>80.251509</v>
      </c>
      <c r="F23829" s="4">
        <f>IFERROR(__xludf.DUMMYFUNCTION("""COMPUTED_VALUE"""),5339.0)</f>
        <v>5339</v>
      </c>
      <c r="G23829" s="4">
        <f>IFERROR(__xludf.DUMMYFUNCTION("""COMPUTED_VALUE"""),51.0)</f>
        <v>51</v>
      </c>
      <c r="H23829" s="4"/>
      <c r="I23829" s="4"/>
    </row>
    <row r="23830">
      <c r="A23830" s="4" t="str">
        <f>IFERROR(__xludf.DUMMYFUNCTION("""COMPUTED_VALUE"""),"cas_hmw")</f>
        <v>cas_hmw</v>
      </c>
      <c r="B23830" s="5">
        <f>IFERROR(__xludf.DUMMYFUNCTION("""COMPUTED_VALUE"""),44797.0)</f>
        <v>44797</v>
      </c>
      <c r="C23830" s="6">
        <f>IFERROR(__xludf.DUMMYFUNCTION("""COMPUTED_VALUE"""),0.3116319444452529)</f>
        <v>0.3116319444</v>
      </c>
      <c r="D23830" s="4">
        <f>IFERROR(__xludf.DUMMYFUNCTION("""COMPUTED_VALUE"""),13.049378)</f>
        <v>13.049378</v>
      </c>
      <c r="E23830" s="4">
        <f>IFERROR(__xludf.DUMMYFUNCTION("""COMPUTED_VALUE"""),80.249803)</f>
        <v>80.249803</v>
      </c>
      <c r="F23830" s="4">
        <f>IFERROR(__xludf.DUMMYFUNCTION("""COMPUTED_VALUE"""),5339.0)</f>
        <v>5339</v>
      </c>
      <c r="G23830" s="4">
        <f>IFERROR(__xludf.DUMMYFUNCTION("""COMPUTED_VALUE"""),48.0)</f>
        <v>48</v>
      </c>
      <c r="H23830" s="4"/>
      <c r="I23830" s="4"/>
    </row>
    <row r="23831">
      <c r="A23831" s="4" t="str">
        <f>IFERROR(__xludf.DUMMYFUNCTION("""COMPUTED_VALUE"""),"cas_hmw")</f>
        <v>cas_hmw</v>
      </c>
      <c r="B23831" s="5">
        <f>IFERROR(__xludf.DUMMYFUNCTION("""COMPUTED_VALUE"""),44797.0)</f>
        <v>44797</v>
      </c>
      <c r="C23831" s="6">
        <f>IFERROR(__xludf.DUMMYFUNCTION("""COMPUTED_VALUE"""),0.314976851852407)</f>
        <v>0.3149768519</v>
      </c>
      <c r="D23831" s="4">
        <f>IFERROR(__xludf.DUMMYFUNCTION("""COMPUTED_VALUE"""),13.034418)</f>
        <v>13.034418</v>
      </c>
      <c r="E23831" s="4">
        <f>IFERROR(__xludf.DUMMYFUNCTION("""COMPUTED_VALUE"""),80.245221)</f>
        <v>80.245221</v>
      </c>
      <c r="F23831" s="4">
        <f>IFERROR(__xludf.DUMMYFUNCTION("""COMPUTED_VALUE"""),5339.0)</f>
        <v>5339</v>
      </c>
      <c r="G23831" s="4">
        <f>IFERROR(__xludf.DUMMYFUNCTION("""COMPUTED_VALUE"""),34.0)</f>
        <v>34</v>
      </c>
      <c r="H23831" s="4"/>
      <c r="I23831" s="4"/>
    </row>
    <row r="23832">
      <c r="A23832" s="4" t="str">
        <f>IFERROR(__xludf.DUMMYFUNCTION("""COMPUTED_VALUE"""),"cas_hmw")</f>
        <v>cas_hmw</v>
      </c>
      <c r="B23832" s="5">
        <f>IFERROR(__xludf.DUMMYFUNCTION("""COMPUTED_VALUE"""),44797.0)</f>
        <v>44797</v>
      </c>
      <c r="C23832" s="6">
        <f>IFERROR(__xludf.DUMMYFUNCTION("""COMPUTED_VALUE"""),0.3150925925910997)</f>
        <v>0.3150925926</v>
      </c>
      <c r="D23832" s="4">
        <f>IFERROR(__xludf.DUMMYFUNCTION("""COMPUTED_VALUE"""),13.033832)</f>
        <v>13.033832</v>
      </c>
      <c r="E23832" s="4">
        <f>IFERROR(__xludf.DUMMYFUNCTION("""COMPUTED_VALUE"""),80.244454)</f>
        <v>80.244454</v>
      </c>
      <c r="F23832" s="4">
        <f>IFERROR(__xludf.DUMMYFUNCTION("""COMPUTED_VALUE"""),5339.0)</f>
        <v>5339</v>
      </c>
      <c r="G23832" s="4">
        <f>IFERROR(__xludf.DUMMYFUNCTION("""COMPUTED_VALUE"""),39.0)</f>
        <v>39</v>
      </c>
      <c r="H23832" s="4"/>
      <c r="I23832" s="4"/>
    </row>
    <row r="23833">
      <c r="A23833" s="4" t="str">
        <f>IFERROR(__xludf.DUMMYFUNCTION("""COMPUTED_VALUE"""),"cas_hmw")</f>
        <v>cas_hmw</v>
      </c>
      <c r="B23833" s="5">
        <f>IFERROR(__xludf.DUMMYFUNCTION("""COMPUTED_VALUE"""),44797.0)</f>
        <v>44797</v>
      </c>
      <c r="C23833" s="6">
        <f>IFERROR(__xludf.DUMMYFUNCTION("""COMPUTED_VALUE"""),0.31596064814948477)</f>
        <v>0.3159606481</v>
      </c>
      <c r="D23833" s="4">
        <f>IFERROR(__xludf.DUMMYFUNCTION("""COMPUTED_VALUE"""),13.03086)</f>
        <v>13.03086</v>
      </c>
      <c r="E23833" s="4">
        <f>IFERROR(__xludf.DUMMYFUNCTION("""COMPUTED_VALUE"""),80.239422)</f>
        <v>80.239422</v>
      </c>
      <c r="F23833" s="4">
        <f>IFERROR(__xludf.DUMMYFUNCTION("""COMPUTED_VALUE"""),5339.0)</f>
        <v>5339</v>
      </c>
      <c r="G23833" s="4">
        <f>IFERROR(__xludf.DUMMYFUNCTION("""COMPUTED_VALUE"""),32.0)</f>
        <v>32</v>
      </c>
      <c r="H23833" s="4"/>
      <c r="I23833" s="4"/>
    </row>
    <row r="23834">
      <c r="A23834" s="4" t="str">
        <f>IFERROR(__xludf.DUMMYFUNCTION("""COMPUTED_VALUE"""),"cas_hmw")</f>
        <v>cas_hmw</v>
      </c>
      <c r="B23834" s="5">
        <f>IFERROR(__xludf.DUMMYFUNCTION("""COMPUTED_VALUE"""),44797.0)</f>
        <v>44797</v>
      </c>
      <c r="C23834" s="6">
        <f>IFERROR(__xludf.DUMMYFUNCTION("""COMPUTED_VALUE"""),0.3188310185178125)</f>
        <v>0.3188310185</v>
      </c>
      <c r="D23834" s="4">
        <f>IFERROR(__xludf.DUMMYFUNCTION("""COMPUTED_VALUE"""),13.014933)</f>
        <v>13.014933</v>
      </c>
      <c r="E23834" s="4">
        <f>IFERROR(__xludf.DUMMYFUNCTION("""COMPUTED_VALUE"""),80.226051)</f>
        <v>80.226051</v>
      </c>
      <c r="F23834" s="4">
        <f>IFERROR(__xludf.DUMMYFUNCTION("""COMPUTED_VALUE"""),5339.0)</f>
        <v>5339</v>
      </c>
      <c r="G23834" s="4">
        <f>IFERROR(__xludf.DUMMYFUNCTION("""COMPUTED_VALUE"""),45.0)</f>
        <v>45</v>
      </c>
      <c r="H23834" s="4"/>
      <c r="I23834" s="4"/>
    </row>
    <row r="23835">
      <c r="A23835" s="4" t="str">
        <f>IFERROR(__xludf.DUMMYFUNCTION("""COMPUTED_VALUE"""),"cas_hmw")</f>
        <v>cas_hmw</v>
      </c>
      <c r="B23835" s="5">
        <f>IFERROR(__xludf.DUMMYFUNCTION("""COMPUTED_VALUE"""),44797.0)</f>
        <v>44797</v>
      </c>
      <c r="C23835" s="6">
        <f>IFERROR(__xludf.DUMMYFUNCTION("""COMPUTED_VALUE"""),0.3193981481490482)</f>
        <v>0.3193981481</v>
      </c>
      <c r="D23835" s="4">
        <f>IFERROR(__xludf.DUMMYFUNCTION("""COMPUTED_VALUE"""),13.009462)</f>
        <v>13.009462</v>
      </c>
      <c r="E23835" s="4">
        <f>IFERROR(__xludf.DUMMYFUNCTION("""COMPUTED_VALUE"""),80.227698)</f>
        <v>80.227698</v>
      </c>
      <c r="F23835" s="4">
        <f>IFERROR(__xludf.DUMMYFUNCTION("""COMPUTED_VALUE"""),5339.0)</f>
        <v>5339</v>
      </c>
      <c r="G23835" s="4">
        <f>IFERROR(__xludf.DUMMYFUNCTION("""COMPUTED_VALUE"""),25.0)</f>
        <v>25</v>
      </c>
      <c r="H23835" s="4"/>
      <c r="I23835" s="4"/>
    </row>
    <row r="23836">
      <c r="A23836" s="4" t="str">
        <f>IFERROR(__xludf.DUMMYFUNCTION("""COMPUTED_VALUE"""),"cas_hmw")</f>
        <v>cas_hmw</v>
      </c>
      <c r="B23836" s="5">
        <f>IFERROR(__xludf.DUMMYFUNCTION("""COMPUTED_VALUE"""),44797.0)</f>
        <v>44797</v>
      </c>
      <c r="C23836" s="6">
        <f>IFERROR(__xludf.DUMMYFUNCTION("""COMPUTED_VALUE"""),0.3196643518531346)</f>
        <v>0.3196643519</v>
      </c>
      <c r="D23836" s="4">
        <f>IFERROR(__xludf.DUMMYFUNCTION("""COMPUTED_VALUE"""),13.010699)</f>
        <v>13.010699</v>
      </c>
      <c r="E23836" s="4">
        <f>IFERROR(__xludf.DUMMYFUNCTION("""COMPUTED_VALUE"""),80.225005)</f>
        <v>80.225005</v>
      </c>
      <c r="F23836" s="4">
        <f>IFERROR(__xludf.DUMMYFUNCTION("""COMPUTED_VALUE"""),5339.0)</f>
        <v>5339</v>
      </c>
      <c r="G23836" s="4">
        <f>IFERROR(__xludf.DUMMYFUNCTION("""COMPUTED_VALUE"""),42.0)</f>
        <v>42</v>
      </c>
      <c r="H23836" s="4"/>
      <c r="I23836" s="4"/>
    </row>
    <row r="23837">
      <c r="A23837" s="4" t="str">
        <f>IFERROR(__xludf.DUMMYFUNCTION("""COMPUTED_VALUE"""),"cas_hmw")</f>
        <v>cas_hmw</v>
      </c>
      <c r="B23837" s="5">
        <f>IFERROR(__xludf.DUMMYFUNCTION("""COMPUTED_VALUE"""),44797.0)</f>
        <v>44797</v>
      </c>
      <c r="C23837" s="6">
        <f>IFERROR(__xludf.DUMMYFUNCTION("""COMPUTED_VALUE"""),0.3200578703690553)</f>
        <v>0.3200578704</v>
      </c>
      <c r="D23837" s="4">
        <f>IFERROR(__xludf.DUMMYFUNCTION("""COMPUTED_VALUE"""),13.011884)</f>
        <v>13.011884</v>
      </c>
      <c r="E23837" s="4">
        <f>IFERROR(__xludf.DUMMYFUNCTION("""COMPUTED_VALUE"""),80.222067)</f>
        <v>80.222067</v>
      </c>
      <c r="F23837" s="4">
        <f>IFERROR(__xludf.DUMMYFUNCTION("""COMPUTED_VALUE"""),5339.0)</f>
        <v>5339</v>
      </c>
      <c r="G23837" s="4">
        <f>IFERROR(__xludf.DUMMYFUNCTION("""COMPUTED_VALUE"""),35.0)</f>
        <v>35</v>
      </c>
      <c r="H23837" s="4"/>
      <c r="I23837" s="4"/>
    </row>
    <row r="23838">
      <c r="A23838" s="4" t="str">
        <f>IFERROR(__xludf.DUMMYFUNCTION("""COMPUTED_VALUE"""),"cas_hmw")</f>
        <v>cas_hmw</v>
      </c>
      <c r="B23838" s="5">
        <f>IFERROR(__xludf.DUMMYFUNCTION("""COMPUTED_VALUE"""),44797.0)</f>
        <v>44797</v>
      </c>
      <c r="C23838" s="6">
        <f>IFERROR(__xludf.DUMMYFUNCTION("""COMPUTED_VALUE"""),0.320347222223063)</f>
        <v>0.3203472222</v>
      </c>
      <c r="D23838" s="4">
        <f>IFERROR(__xludf.DUMMYFUNCTION("""COMPUTED_VALUE"""),13.019687)</f>
        <v>13.019687</v>
      </c>
      <c r="E23838" s="4">
        <f>IFERROR(__xludf.DUMMYFUNCTION("""COMPUTED_VALUE"""),80.26298)</f>
        <v>80.26298</v>
      </c>
      <c r="F23838" s="4">
        <f>IFERROR(__xludf.DUMMYFUNCTION("""COMPUTED_VALUE"""),3143.0)</f>
        <v>3143</v>
      </c>
      <c r="G23838" s="4">
        <f>IFERROR(__xludf.DUMMYFUNCTION("""COMPUTED_VALUE"""),32.0)</f>
        <v>32</v>
      </c>
      <c r="H23838" s="4"/>
      <c r="I23838" s="4"/>
    </row>
    <row r="23839">
      <c r="A23839" s="4" t="str">
        <f>IFERROR(__xludf.DUMMYFUNCTION("""COMPUTED_VALUE"""),"cas_hmw")</f>
        <v>cas_hmw</v>
      </c>
      <c r="B23839" s="5">
        <f>IFERROR(__xludf.DUMMYFUNCTION("""COMPUTED_VALUE"""),44797.0)</f>
        <v>44797</v>
      </c>
      <c r="C23839" s="6">
        <f>IFERROR(__xludf.DUMMYFUNCTION("""COMPUTED_VALUE"""),0.32040509259240935)</f>
        <v>0.3204050926</v>
      </c>
      <c r="D23839" s="4">
        <f>IFERROR(__xludf.DUMMYFUNCTION("""COMPUTED_VALUE"""),13.011884)</f>
        <v>13.011884</v>
      </c>
      <c r="E23839" s="4">
        <f>IFERROR(__xludf.DUMMYFUNCTION("""COMPUTED_VALUE"""),80.222067)</f>
        <v>80.222067</v>
      </c>
      <c r="F23839" s="4">
        <f>IFERROR(__xludf.DUMMYFUNCTION("""COMPUTED_VALUE"""),5339.0)</f>
        <v>5339</v>
      </c>
      <c r="G23839" s="4">
        <f>IFERROR(__xludf.DUMMYFUNCTION("""COMPUTED_VALUE"""),35.0)</f>
        <v>35</v>
      </c>
      <c r="H23839" s="4"/>
      <c r="I23839" s="4"/>
    </row>
    <row r="23840">
      <c r="A23840" s="4" t="str">
        <f>IFERROR(__xludf.DUMMYFUNCTION("""COMPUTED_VALUE"""),"cas_hmw")</f>
        <v>cas_hmw</v>
      </c>
      <c r="B23840" s="5">
        <f>IFERROR(__xludf.DUMMYFUNCTION("""COMPUTED_VALUE"""),44797.0)</f>
        <v>44797</v>
      </c>
      <c r="C23840" s="6">
        <f>IFERROR(__xludf.DUMMYFUNCTION("""COMPUTED_VALUE"""),0.3207175925927004)</f>
        <v>0.3207175926</v>
      </c>
      <c r="D23840" s="4">
        <f>IFERROR(__xludf.DUMMYFUNCTION("""COMPUTED_VALUE"""),13.011374)</f>
        <v>13.011374</v>
      </c>
      <c r="E23840" s="4">
        <f>IFERROR(__xludf.DUMMYFUNCTION("""COMPUTED_VALUE"""),80.218607)</f>
        <v>80.218607</v>
      </c>
      <c r="F23840" s="4">
        <f>IFERROR(__xludf.DUMMYFUNCTION("""COMPUTED_VALUE"""),5339.0)</f>
        <v>5339</v>
      </c>
      <c r="G23840" s="4">
        <f>IFERROR(__xludf.DUMMYFUNCTION("""COMPUTED_VALUE"""),48.0)</f>
        <v>48</v>
      </c>
      <c r="H23840" s="4"/>
      <c r="I23840" s="4"/>
    </row>
    <row r="23841">
      <c r="A23841" s="4" t="str">
        <f>IFERROR(__xludf.DUMMYFUNCTION("""COMPUTED_VALUE"""),"cas_hmw")</f>
        <v>cas_hmw</v>
      </c>
      <c r="B23841" s="5">
        <f>IFERROR(__xludf.DUMMYFUNCTION("""COMPUTED_VALUE"""),44797.0)</f>
        <v>44797</v>
      </c>
      <c r="C23841" s="6">
        <f>IFERROR(__xludf.DUMMYFUNCTION("""COMPUTED_VALUE"""),0.3207523148157634)</f>
        <v>0.3207523148</v>
      </c>
      <c r="D23841" s="4">
        <f>IFERROR(__xludf.DUMMYFUNCTION("""COMPUTED_VALUE"""),13.011374)</f>
        <v>13.011374</v>
      </c>
      <c r="E23841" s="4">
        <f>IFERROR(__xludf.DUMMYFUNCTION("""COMPUTED_VALUE"""),80.218607)</f>
        <v>80.218607</v>
      </c>
      <c r="F23841" s="4">
        <f>IFERROR(__xludf.DUMMYFUNCTION("""COMPUTED_VALUE"""),5339.0)</f>
        <v>5339</v>
      </c>
      <c r="G23841" s="4">
        <f>IFERROR(__xludf.DUMMYFUNCTION("""COMPUTED_VALUE"""),48.0)</f>
        <v>48</v>
      </c>
      <c r="H23841" s="4"/>
      <c r="I23841" s="4"/>
    </row>
    <row r="23842">
      <c r="A23842" s="4" t="str">
        <f>IFERROR(__xludf.DUMMYFUNCTION("""COMPUTED_VALUE"""),"cas_hmw")</f>
        <v>cas_hmw</v>
      </c>
      <c r="B23842" s="5">
        <f>IFERROR(__xludf.DUMMYFUNCTION("""COMPUTED_VALUE"""),44797.0)</f>
        <v>44797</v>
      </c>
      <c r="C23842" s="6">
        <f>IFERROR(__xludf.DUMMYFUNCTION("""COMPUTED_VALUE"""),0.32083333333503106)</f>
        <v>0.3208333333</v>
      </c>
      <c r="D23842" s="4">
        <f>IFERROR(__xludf.DUMMYFUNCTION("""COMPUTED_VALUE"""),13.010109)</f>
        <v>13.010109</v>
      </c>
      <c r="E23842" s="4">
        <f>IFERROR(__xludf.DUMMYFUNCTION("""COMPUTED_VALUE"""),80.215166)</f>
        <v>80.215166</v>
      </c>
      <c r="F23842" s="4">
        <f>IFERROR(__xludf.DUMMYFUNCTION("""COMPUTED_VALUE"""),5339.0)</f>
        <v>5339</v>
      </c>
      <c r="G23842" s="4">
        <f>IFERROR(__xludf.DUMMYFUNCTION("""COMPUTED_VALUE"""),41.0)</f>
        <v>41</v>
      </c>
      <c r="H23842" s="4"/>
      <c r="I23842" s="4"/>
    </row>
    <row r="23843">
      <c r="A23843" s="4" t="str">
        <f>IFERROR(__xludf.DUMMYFUNCTION("""COMPUTED_VALUE"""),"cas_hmw")</f>
        <v>cas_hmw</v>
      </c>
      <c r="B23843" s="5">
        <f>IFERROR(__xludf.DUMMYFUNCTION("""COMPUTED_VALUE"""),44797.0)</f>
        <v>44797</v>
      </c>
      <c r="C23843" s="6">
        <f>IFERROR(__xludf.DUMMYFUNCTION("""COMPUTED_VALUE"""),0.32138888888948713)</f>
        <v>0.3213888889</v>
      </c>
      <c r="D23843" s="4">
        <f>IFERROR(__xludf.DUMMYFUNCTION("""COMPUTED_VALUE"""),13.008797)</f>
        <v>13.008797</v>
      </c>
      <c r="E23843" s="4">
        <f>IFERROR(__xludf.DUMMYFUNCTION("""COMPUTED_VALUE"""),80.211465)</f>
        <v>80.211465</v>
      </c>
      <c r="F23843" s="4">
        <f>IFERROR(__xludf.DUMMYFUNCTION("""COMPUTED_VALUE"""),5339.0)</f>
        <v>5339</v>
      </c>
      <c r="G23843" s="4">
        <f>IFERROR(__xludf.DUMMYFUNCTION("""COMPUTED_VALUE"""),31.0)</f>
        <v>31</v>
      </c>
      <c r="H23843" s="4"/>
      <c r="I23843" s="4"/>
    </row>
    <row r="23844">
      <c r="A23844" s="4" t="str">
        <f>IFERROR(__xludf.DUMMYFUNCTION("""COMPUTED_VALUE"""),"cas_hmw")</f>
        <v>cas_hmw</v>
      </c>
      <c r="B23844" s="5">
        <f>IFERROR(__xludf.DUMMYFUNCTION("""COMPUTED_VALUE"""),44797.0)</f>
        <v>44797</v>
      </c>
      <c r="C23844" s="6">
        <f>IFERROR(__xludf.DUMMYFUNCTION("""COMPUTED_VALUE"""),0.32142361111255013)</f>
        <v>0.3214236111</v>
      </c>
      <c r="D23844" s="4">
        <f>IFERROR(__xludf.DUMMYFUNCTION("""COMPUTED_VALUE"""),13.008482)</f>
        <v>13.008482</v>
      </c>
      <c r="E23844" s="4">
        <f>IFERROR(__xludf.DUMMYFUNCTION("""COMPUTED_VALUE"""),80.210609)</f>
        <v>80.210609</v>
      </c>
      <c r="F23844" s="4">
        <f>IFERROR(__xludf.DUMMYFUNCTION("""COMPUTED_VALUE"""),5339.0)</f>
        <v>5339</v>
      </c>
      <c r="G23844" s="4">
        <f>IFERROR(__xludf.DUMMYFUNCTION("""COMPUTED_VALUE"""),37.0)</f>
        <v>37</v>
      </c>
      <c r="H23844" s="4"/>
      <c r="I23844" s="4"/>
    </row>
    <row r="23845">
      <c r="A23845" s="4" t="str">
        <f>IFERROR(__xludf.DUMMYFUNCTION("""COMPUTED_VALUE"""),"cas_hmw")</f>
        <v>cas_hmw</v>
      </c>
      <c r="B23845" s="5">
        <f>IFERROR(__xludf.DUMMYFUNCTION("""COMPUTED_VALUE"""),44797.0)</f>
        <v>44797</v>
      </c>
      <c r="C23845" s="6">
        <f>IFERROR(__xludf.DUMMYFUNCTION("""COMPUTED_VALUE"""),0.32192129629765986)</f>
        <v>0.3219212963</v>
      </c>
      <c r="D23845" s="4">
        <f>IFERROR(__xludf.DUMMYFUNCTION("""COMPUTED_VALUE"""),13.013924)</f>
        <v>13.013924</v>
      </c>
      <c r="E23845" s="4">
        <f>IFERROR(__xludf.DUMMYFUNCTION("""COMPUTED_VALUE"""),80.259315)</f>
        <v>80.259315</v>
      </c>
      <c r="F23845" s="4">
        <f>IFERROR(__xludf.DUMMYFUNCTION("""COMPUTED_VALUE"""),3143.0)</f>
        <v>3143</v>
      </c>
      <c r="G23845" s="4">
        <f>IFERROR(__xludf.DUMMYFUNCTION("""COMPUTED_VALUE"""),35.0)</f>
        <v>35</v>
      </c>
      <c r="H23845" s="4"/>
      <c r="I23845" s="4"/>
    </row>
    <row r="23846">
      <c r="A23846" s="4" t="str">
        <f>IFERROR(__xludf.DUMMYFUNCTION("""COMPUTED_VALUE"""),"cas_hmw")</f>
        <v>cas_hmw</v>
      </c>
      <c r="B23846" s="5">
        <f>IFERROR(__xludf.DUMMYFUNCTION("""COMPUTED_VALUE"""),44797.0)</f>
        <v>44797</v>
      </c>
      <c r="C23846" s="6">
        <f>IFERROR(__xludf.DUMMYFUNCTION("""COMPUTED_VALUE"""),0.3219560185170849)</f>
        <v>0.3219560185</v>
      </c>
      <c r="D23846" s="4">
        <f>IFERROR(__xludf.DUMMYFUNCTION("""COMPUTED_VALUE"""),13.013008)</f>
        <v>13.013008</v>
      </c>
      <c r="E23846" s="4">
        <f>IFERROR(__xludf.DUMMYFUNCTION("""COMPUTED_VALUE"""),80.259283)</f>
        <v>80.259283</v>
      </c>
      <c r="F23846" s="4">
        <f>IFERROR(__xludf.DUMMYFUNCTION("""COMPUTED_VALUE"""),3143.0)</f>
        <v>3143</v>
      </c>
      <c r="G23846" s="4">
        <f>IFERROR(__xludf.DUMMYFUNCTION("""COMPUTED_VALUE"""),36.0)</f>
        <v>36</v>
      </c>
      <c r="H23846" s="4"/>
      <c r="I23846" s="4"/>
    </row>
    <row r="23847">
      <c r="A23847" s="4" t="str">
        <f>IFERROR(__xludf.DUMMYFUNCTION("""COMPUTED_VALUE"""),"cas_hmw")</f>
        <v>cas_hmw</v>
      </c>
      <c r="B23847" s="5">
        <f>IFERROR(__xludf.DUMMYFUNCTION("""COMPUTED_VALUE"""),44797.0)</f>
        <v>44797</v>
      </c>
      <c r="C23847" s="6">
        <f>IFERROR(__xludf.DUMMYFUNCTION("""COMPUTED_VALUE"""),0.3240624999998545)</f>
        <v>0.3240625</v>
      </c>
      <c r="D23847" s="4">
        <f>IFERROR(__xludf.DUMMYFUNCTION("""COMPUTED_VALUE"""),12.998823)</f>
        <v>12.998823</v>
      </c>
      <c r="E23847" s="4">
        <f>IFERROR(__xludf.DUMMYFUNCTION("""COMPUTED_VALUE"""),80.19283)</f>
        <v>80.19283</v>
      </c>
      <c r="F23847" s="4">
        <f>IFERROR(__xludf.DUMMYFUNCTION("""COMPUTED_VALUE"""),5339.0)</f>
        <v>5339</v>
      </c>
      <c r="G23847" s="4">
        <f>IFERROR(__xludf.DUMMYFUNCTION("""COMPUTED_VALUE"""),26.0)</f>
        <v>26</v>
      </c>
      <c r="H23847" s="4"/>
      <c r="I23847" s="4"/>
    </row>
    <row r="23848">
      <c r="A23848" s="4" t="str">
        <f>IFERROR(__xludf.DUMMYFUNCTION("""COMPUTED_VALUE"""),"cas_hmw")</f>
        <v>cas_hmw</v>
      </c>
      <c r="B23848" s="5">
        <f>IFERROR(__xludf.DUMMYFUNCTION("""COMPUTED_VALUE"""),44797.0)</f>
        <v>44797</v>
      </c>
      <c r="C23848" s="6">
        <f>IFERROR(__xludf.DUMMYFUNCTION("""COMPUTED_VALUE"""),0.3240624999998545)</f>
        <v>0.3240625</v>
      </c>
      <c r="D23848" s="4">
        <f>IFERROR(__xludf.DUMMYFUNCTION("""COMPUTED_VALUE"""),12.998823)</f>
        <v>12.998823</v>
      </c>
      <c r="E23848" s="4">
        <f>IFERROR(__xludf.DUMMYFUNCTION("""COMPUTED_VALUE"""),80.19283)</f>
        <v>80.19283</v>
      </c>
      <c r="F23848" s="4">
        <f>IFERROR(__xludf.DUMMYFUNCTION("""COMPUTED_VALUE"""),5339.0)</f>
        <v>5339</v>
      </c>
      <c r="G23848" s="4">
        <f>IFERROR(__xludf.DUMMYFUNCTION("""COMPUTED_VALUE"""),26.0)</f>
        <v>26</v>
      </c>
      <c r="H23848" s="4"/>
      <c r="I23848" s="4"/>
    </row>
    <row r="23849">
      <c r="A23849" s="4" t="str">
        <f>IFERROR(__xludf.DUMMYFUNCTION("""COMPUTED_VALUE"""),"cas_hmw")</f>
        <v>cas_hmw</v>
      </c>
      <c r="B23849" s="5">
        <f>IFERROR(__xludf.DUMMYFUNCTION("""COMPUTED_VALUE"""),44797.0)</f>
        <v>44797</v>
      </c>
      <c r="C23849" s="6">
        <f>IFERROR(__xludf.DUMMYFUNCTION("""COMPUTED_VALUE"""),0.3240856481497758)</f>
        <v>0.3240856481</v>
      </c>
      <c r="D23849" s="4">
        <f>IFERROR(__xludf.DUMMYFUNCTION("""COMPUTED_VALUE"""),12.998823)</f>
        <v>12.998823</v>
      </c>
      <c r="E23849" s="4">
        <f>IFERROR(__xludf.DUMMYFUNCTION("""COMPUTED_VALUE"""),80.19283)</f>
        <v>80.19283</v>
      </c>
      <c r="F23849" s="4">
        <f>IFERROR(__xludf.DUMMYFUNCTION("""COMPUTED_VALUE"""),5339.0)</f>
        <v>5339</v>
      </c>
      <c r="G23849" s="4">
        <f>IFERROR(__xludf.DUMMYFUNCTION("""COMPUTED_VALUE"""),26.0)</f>
        <v>26</v>
      </c>
      <c r="H23849" s="4"/>
      <c r="I23849" s="4"/>
    </row>
    <row r="23850">
      <c r="A23850" s="4" t="str">
        <f>IFERROR(__xludf.DUMMYFUNCTION("""COMPUTED_VALUE"""),"cas_hmw")</f>
        <v>cas_hmw</v>
      </c>
      <c r="B23850" s="5">
        <f>IFERROR(__xludf.DUMMYFUNCTION("""COMPUTED_VALUE"""),44797.0)</f>
        <v>44797</v>
      </c>
      <c r="C23850" s="6">
        <f>IFERROR(__xludf.DUMMYFUNCTION("""COMPUTED_VALUE"""),0.32451388888875954)</f>
        <v>0.3245138889</v>
      </c>
      <c r="D23850" s="4">
        <f>IFERROR(__xludf.DUMMYFUNCTION("""COMPUTED_VALUE"""),12.997788)</f>
        <v>12.997788</v>
      </c>
      <c r="E23850" s="4">
        <f>IFERROR(__xludf.DUMMYFUNCTION("""COMPUTED_VALUE"""),80.191554)</f>
        <v>80.191554</v>
      </c>
      <c r="F23850" s="4">
        <f>IFERROR(__xludf.DUMMYFUNCTION("""COMPUTED_VALUE"""),5339.0)</f>
        <v>5339</v>
      </c>
      <c r="G23850" s="4">
        <f>IFERROR(__xludf.DUMMYFUNCTION("""COMPUTED_VALUE"""),39.0)</f>
        <v>39</v>
      </c>
      <c r="H23850" s="4"/>
      <c r="I23850" s="4"/>
    </row>
    <row r="23851">
      <c r="A23851" s="4" t="str">
        <f>IFERROR(__xludf.DUMMYFUNCTION("""COMPUTED_VALUE"""),"cas_hmw")</f>
        <v>cas_hmw</v>
      </c>
      <c r="B23851" s="5">
        <f>IFERROR(__xludf.DUMMYFUNCTION("""COMPUTED_VALUE"""),44797.0)</f>
        <v>44797</v>
      </c>
      <c r="C23851" s="6">
        <f>IFERROR(__xludf.DUMMYFUNCTION("""COMPUTED_VALUE"""),0.3247569444429246)</f>
        <v>0.3247569444</v>
      </c>
      <c r="D23851" s="4">
        <f>IFERROR(__xludf.DUMMYFUNCTION("""COMPUTED_VALUE"""),12.997137)</f>
        <v>12.997137</v>
      </c>
      <c r="E23851" s="4">
        <f>IFERROR(__xludf.DUMMYFUNCTION("""COMPUTED_VALUE"""),80.190664)</f>
        <v>80.190664</v>
      </c>
      <c r="F23851" s="4">
        <f>IFERROR(__xludf.DUMMYFUNCTION("""COMPUTED_VALUE"""),5339.0)</f>
        <v>5339</v>
      </c>
      <c r="G23851" s="4">
        <f>IFERROR(__xludf.DUMMYFUNCTION("""COMPUTED_VALUE"""),45.0)</f>
        <v>45</v>
      </c>
      <c r="H23851" s="4"/>
      <c r="I23851" s="4"/>
    </row>
    <row r="23852">
      <c r="A23852" s="4" t="str">
        <f>IFERROR(__xludf.DUMMYFUNCTION("""COMPUTED_VALUE"""),"cas_hmw")</f>
        <v>cas_hmw</v>
      </c>
      <c r="B23852" s="5">
        <f>IFERROR(__xludf.DUMMYFUNCTION("""COMPUTED_VALUE"""),44797.0)</f>
        <v>44797</v>
      </c>
      <c r="C23852" s="6">
        <f>IFERROR(__xludf.DUMMYFUNCTION("""COMPUTED_VALUE"""),0.32577546296306537)</f>
        <v>0.325775463</v>
      </c>
      <c r="D23852" s="4">
        <f>IFERROR(__xludf.DUMMYFUNCTION("""COMPUTED_VALUE"""),13.006734)</f>
        <v>13.006734</v>
      </c>
      <c r="E23852" s="4">
        <f>IFERROR(__xludf.DUMMYFUNCTION("""COMPUTED_VALUE"""),80.250196)</f>
        <v>80.250196</v>
      </c>
      <c r="F23852" s="4">
        <f>IFERROR(__xludf.DUMMYFUNCTION("""COMPUTED_VALUE"""),3143.0)</f>
        <v>3143</v>
      </c>
      <c r="G23852" s="4">
        <f>IFERROR(__xludf.DUMMYFUNCTION("""COMPUTED_VALUE"""),41.0)</f>
        <v>41</v>
      </c>
      <c r="H23852" s="4"/>
      <c r="I23852" s="4"/>
    </row>
    <row r="23853">
      <c r="A23853" s="4" t="str">
        <f>IFERROR(__xludf.DUMMYFUNCTION("""COMPUTED_VALUE"""),"cas_hmw")</f>
        <v>cas_hmw</v>
      </c>
      <c r="B23853" s="5">
        <f>IFERROR(__xludf.DUMMYFUNCTION("""COMPUTED_VALUE"""),44797.0)</f>
        <v>44797</v>
      </c>
      <c r="C23853" s="6">
        <f>IFERROR(__xludf.DUMMYFUNCTION("""COMPUTED_VALUE"""),0.3257986111093487)</f>
        <v>0.3257986111</v>
      </c>
      <c r="D23853" s="4">
        <f>IFERROR(__xludf.DUMMYFUNCTION("""COMPUTED_VALUE"""),12.993397)</f>
        <v>12.993397</v>
      </c>
      <c r="E23853" s="4">
        <f>IFERROR(__xludf.DUMMYFUNCTION("""COMPUTED_VALUE"""),80.184475)</f>
        <v>80.184475</v>
      </c>
      <c r="F23853" s="4">
        <f>IFERROR(__xludf.DUMMYFUNCTION("""COMPUTED_VALUE"""),5339.0)</f>
        <v>5339</v>
      </c>
      <c r="G23853" s="4">
        <f>IFERROR(__xludf.DUMMYFUNCTION("""COMPUTED_VALUE"""),33.0)</f>
        <v>33</v>
      </c>
      <c r="H23853" s="4"/>
      <c r="I23853" s="4"/>
    </row>
    <row r="23854">
      <c r="A23854" s="4" t="str">
        <f>IFERROR(__xludf.DUMMYFUNCTION("""COMPUTED_VALUE"""),"cas_hmw")</f>
        <v>cas_hmw</v>
      </c>
      <c r="B23854" s="5">
        <f>IFERROR(__xludf.DUMMYFUNCTION("""COMPUTED_VALUE"""),44797.0)</f>
        <v>44797</v>
      </c>
      <c r="C23854" s="6">
        <f>IFERROR(__xludf.DUMMYFUNCTION("""COMPUTED_VALUE"""),0.3259837962978054)</f>
        <v>0.3259837963</v>
      </c>
      <c r="D23854" s="4">
        <f>IFERROR(__xludf.DUMMYFUNCTION("""COMPUTED_VALUE"""),12.992976)</f>
        <v>12.992976</v>
      </c>
      <c r="E23854" s="4">
        <f>IFERROR(__xludf.DUMMYFUNCTION("""COMPUTED_VALUE"""),80.183705)</f>
        <v>80.183705</v>
      </c>
      <c r="F23854" s="4">
        <f>IFERROR(__xludf.DUMMYFUNCTION("""COMPUTED_VALUE"""),5339.0)</f>
        <v>5339</v>
      </c>
      <c r="G23854" s="4">
        <f>IFERROR(__xludf.DUMMYFUNCTION("""COMPUTED_VALUE"""),36.0)</f>
        <v>36</v>
      </c>
      <c r="H23854" s="4"/>
      <c r="I23854" s="4"/>
    </row>
    <row r="23855">
      <c r="A23855" s="4" t="str">
        <f>IFERROR(__xludf.DUMMYFUNCTION("""COMPUTED_VALUE"""),"cas_hmw")</f>
        <v>cas_hmw</v>
      </c>
      <c r="B23855" s="5">
        <f>IFERROR(__xludf.DUMMYFUNCTION("""COMPUTED_VALUE"""),44797.0)</f>
        <v>44797</v>
      </c>
      <c r="C23855" s="6">
        <f>IFERROR(__xludf.DUMMYFUNCTION("""COMPUTED_VALUE"""),0.32611111110963975)</f>
        <v>0.3261111111</v>
      </c>
      <c r="D23855" s="4">
        <f>IFERROR(__xludf.DUMMYFUNCTION("""COMPUTED_VALUE"""),12.992499)</f>
        <v>12.992499</v>
      </c>
      <c r="E23855" s="4">
        <f>IFERROR(__xludf.DUMMYFUNCTION("""COMPUTED_VALUE"""),80.182902)</f>
        <v>80.182902</v>
      </c>
      <c r="F23855" s="4">
        <f>IFERROR(__xludf.DUMMYFUNCTION("""COMPUTED_VALUE"""),5339.0)</f>
        <v>5339</v>
      </c>
      <c r="G23855" s="4">
        <f>IFERROR(__xludf.DUMMYFUNCTION("""COMPUTED_VALUE"""),36.0)</f>
        <v>36</v>
      </c>
      <c r="H23855" s="4"/>
      <c r="I23855" s="4"/>
    </row>
    <row r="23856">
      <c r="A23856" s="4" t="str">
        <f>IFERROR(__xludf.DUMMYFUNCTION("""COMPUTED_VALUE"""),"cas_hmw")</f>
        <v>cas_hmw</v>
      </c>
      <c r="B23856" s="5">
        <f>IFERROR(__xludf.DUMMYFUNCTION("""COMPUTED_VALUE"""),44797.0)</f>
        <v>44797</v>
      </c>
      <c r="C23856" s="6">
        <f>IFERROR(__xludf.DUMMYFUNCTION("""COMPUTED_VALUE"""),0.32653935185226146)</f>
        <v>0.3265393519</v>
      </c>
      <c r="D23856" s="4">
        <f>IFERROR(__xludf.DUMMYFUNCTION("""COMPUTED_VALUE"""),12.99068)</f>
        <v>12.99068</v>
      </c>
      <c r="E23856" s="4">
        <f>IFERROR(__xludf.DUMMYFUNCTION("""COMPUTED_VALUE"""),80.180483)</f>
        <v>80.180483</v>
      </c>
      <c r="F23856" s="4">
        <f>IFERROR(__xludf.DUMMYFUNCTION("""COMPUTED_VALUE"""),5339.0)</f>
        <v>5339</v>
      </c>
      <c r="G23856" s="4">
        <f>IFERROR(__xludf.DUMMYFUNCTION("""COMPUTED_VALUE"""),43.0)</f>
        <v>43</v>
      </c>
      <c r="H23856" s="4"/>
      <c r="I23856" s="4"/>
    </row>
    <row r="23857">
      <c r="A23857" s="4" t="str">
        <f>IFERROR(__xludf.DUMMYFUNCTION("""COMPUTED_VALUE"""),"cas_hmw")</f>
        <v>cas_hmw</v>
      </c>
      <c r="B23857" s="5">
        <f>IFERROR(__xludf.DUMMYFUNCTION("""COMPUTED_VALUE"""),44797.0)</f>
        <v>44797</v>
      </c>
      <c r="C23857" s="6">
        <f>IFERROR(__xludf.DUMMYFUNCTION("""COMPUTED_VALUE"""),0.3269907407411665)</f>
        <v>0.3269907407</v>
      </c>
      <c r="D23857" s="4">
        <f>IFERROR(__xludf.DUMMYFUNCTION("""COMPUTED_VALUE"""),13.006681)</f>
        <v>13.006681</v>
      </c>
      <c r="E23857" s="4">
        <f>IFERROR(__xludf.DUMMYFUNCTION("""COMPUTED_VALUE"""),80.245805)</f>
        <v>80.245805</v>
      </c>
      <c r="F23857" s="4">
        <f>IFERROR(__xludf.DUMMYFUNCTION("""COMPUTED_VALUE"""),3143.0)</f>
        <v>3143</v>
      </c>
      <c r="G23857" s="4">
        <f>IFERROR(__xludf.DUMMYFUNCTION("""COMPUTED_VALUE"""),26.0)</f>
        <v>26</v>
      </c>
      <c r="H23857" s="4"/>
      <c r="I23857" s="4"/>
    </row>
    <row r="23858">
      <c r="A23858" s="4" t="str">
        <f>IFERROR(__xludf.DUMMYFUNCTION("""COMPUTED_VALUE"""),"cas_hmw")</f>
        <v>cas_hmw</v>
      </c>
      <c r="B23858" s="5">
        <f>IFERROR(__xludf.DUMMYFUNCTION("""COMPUTED_VALUE"""),44797.0)</f>
        <v>44797</v>
      </c>
      <c r="C23858" s="6">
        <f>IFERROR(__xludf.DUMMYFUNCTION("""COMPUTED_VALUE"""),0.3271759259259852)</f>
        <v>0.3271759259</v>
      </c>
      <c r="D23858" s="4">
        <f>IFERROR(__xludf.DUMMYFUNCTION("""COMPUTED_VALUE"""),13.006673)</f>
        <v>13.006673</v>
      </c>
      <c r="E23858" s="4">
        <f>IFERROR(__xludf.DUMMYFUNCTION("""COMPUTED_VALUE"""),80.245078)</f>
        <v>80.245078</v>
      </c>
      <c r="F23858" s="4">
        <f>IFERROR(__xludf.DUMMYFUNCTION("""COMPUTED_VALUE"""),3143.0)</f>
        <v>3143</v>
      </c>
      <c r="G23858" s="4">
        <f>IFERROR(__xludf.DUMMYFUNCTION("""COMPUTED_VALUE"""),29.0)</f>
        <v>29</v>
      </c>
      <c r="H23858" s="4"/>
      <c r="I23858" s="4"/>
    </row>
    <row r="23859">
      <c r="A23859" s="4" t="str">
        <f>IFERROR(__xludf.DUMMYFUNCTION("""COMPUTED_VALUE"""),"cas_hmw")</f>
        <v>cas_hmw</v>
      </c>
      <c r="B23859" s="5">
        <f>IFERROR(__xludf.DUMMYFUNCTION("""COMPUTED_VALUE"""),44797.0)</f>
        <v>44797</v>
      </c>
      <c r="C23859" s="6">
        <f>IFERROR(__xludf.DUMMYFUNCTION("""COMPUTED_VALUE"""),0.32726851851839456)</f>
        <v>0.3272685185</v>
      </c>
      <c r="D23859" s="4">
        <f>IFERROR(__xludf.DUMMYFUNCTION("""COMPUTED_VALUE"""),13.00667)</f>
        <v>13.00667</v>
      </c>
      <c r="E23859" s="4">
        <f>IFERROR(__xludf.DUMMYFUNCTION("""COMPUTED_VALUE"""),80.244373)</f>
        <v>80.244373</v>
      </c>
      <c r="F23859" s="4">
        <f>IFERROR(__xludf.DUMMYFUNCTION("""COMPUTED_VALUE"""),3143.0)</f>
        <v>3143</v>
      </c>
      <c r="G23859" s="4">
        <f>IFERROR(__xludf.DUMMYFUNCTION("""COMPUTED_VALUE"""),28.0)</f>
        <v>28</v>
      </c>
      <c r="H23859" s="4"/>
      <c r="I23859" s="4"/>
    </row>
    <row r="23860">
      <c r="A23860" s="4" t="str">
        <f>IFERROR(__xludf.DUMMYFUNCTION("""COMPUTED_VALUE"""),"cas_hmw")</f>
        <v>cas_hmw</v>
      </c>
      <c r="B23860" s="5">
        <f>IFERROR(__xludf.DUMMYFUNCTION("""COMPUTED_VALUE"""),44797.0)</f>
        <v>44797</v>
      </c>
      <c r="C23860" s="6">
        <f>IFERROR(__xludf.DUMMYFUNCTION("""COMPUTED_VALUE"""),0.3275115740725596)</f>
        <v>0.3275115741</v>
      </c>
      <c r="D23860" s="4">
        <f>IFERROR(__xludf.DUMMYFUNCTION("""COMPUTED_VALUE"""),13.006591)</f>
        <v>13.006591</v>
      </c>
      <c r="E23860" s="4">
        <f>IFERROR(__xludf.DUMMYFUNCTION("""COMPUTED_VALUE"""),80.24288)</f>
        <v>80.24288</v>
      </c>
      <c r="F23860" s="4">
        <f>IFERROR(__xludf.DUMMYFUNCTION("""COMPUTED_VALUE"""),3143.0)</f>
        <v>3143</v>
      </c>
      <c r="G23860" s="4">
        <f>IFERROR(__xludf.DUMMYFUNCTION("""COMPUTED_VALUE"""),37.0)</f>
        <v>37</v>
      </c>
      <c r="H23860" s="4"/>
      <c r="I23860" s="4"/>
    </row>
    <row r="23861">
      <c r="A23861" s="4" t="str">
        <f>IFERROR(__xludf.DUMMYFUNCTION("""COMPUTED_VALUE"""),"cas_hmw")</f>
        <v>cas_hmw</v>
      </c>
      <c r="B23861" s="5">
        <f>IFERROR(__xludf.DUMMYFUNCTION("""COMPUTED_VALUE"""),44797.0)</f>
        <v>44797</v>
      </c>
      <c r="C23861" s="6">
        <f>IFERROR(__xludf.DUMMYFUNCTION("""COMPUTED_VALUE"""),0.3275115740725596)</f>
        <v>0.3275115741</v>
      </c>
      <c r="D23861" s="4">
        <f>IFERROR(__xludf.DUMMYFUNCTION("""COMPUTED_VALUE"""),12.986254)</f>
        <v>12.986254</v>
      </c>
      <c r="E23861" s="4">
        <f>IFERROR(__xludf.DUMMYFUNCTION("""COMPUTED_VALUE"""),80.174549)</f>
        <v>80.174549</v>
      </c>
      <c r="F23861" s="4">
        <f>IFERROR(__xludf.DUMMYFUNCTION("""COMPUTED_VALUE"""),5339.0)</f>
        <v>5339</v>
      </c>
      <c r="G23861" s="4">
        <f>IFERROR(__xludf.DUMMYFUNCTION("""COMPUTED_VALUE"""),25.0)</f>
        <v>25</v>
      </c>
      <c r="H23861" s="4"/>
      <c r="I23861" s="4"/>
    </row>
    <row r="23862">
      <c r="A23862" s="4" t="str">
        <f>IFERROR(__xludf.DUMMYFUNCTION("""COMPUTED_VALUE"""),"cas_hmw")</f>
        <v>cas_hmw</v>
      </c>
      <c r="B23862" s="5">
        <f>IFERROR(__xludf.DUMMYFUNCTION("""COMPUTED_VALUE"""),44797.0)</f>
        <v>44797</v>
      </c>
      <c r="C23862" s="6">
        <f>IFERROR(__xludf.DUMMYFUNCTION("""COMPUTED_VALUE"""),0.32782407407285064)</f>
        <v>0.3278240741</v>
      </c>
      <c r="D23862" s="4">
        <f>IFERROR(__xludf.DUMMYFUNCTION("""COMPUTED_VALUE"""),12.984678)</f>
        <v>12.984678</v>
      </c>
      <c r="E23862" s="4">
        <f>IFERROR(__xludf.DUMMYFUNCTION("""COMPUTED_VALUE"""),80.172171)</f>
        <v>80.172171</v>
      </c>
      <c r="F23862" s="4">
        <f>IFERROR(__xludf.DUMMYFUNCTION("""COMPUTED_VALUE"""),5339.0)</f>
        <v>5339</v>
      </c>
      <c r="G23862" s="4">
        <f>IFERROR(__xludf.DUMMYFUNCTION("""COMPUTED_VALUE"""),27.0)</f>
        <v>27</v>
      </c>
      <c r="H23862" s="4"/>
      <c r="I23862" s="4"/>
    </row>
    <row r="23863">
      <c r="A23863" s="4" t="str">
        <f>IFERROR(__xludf.DUMMYFUNCTION("""COMPUTED_VALUE"""),"cas_hmw")</f>
        <v>cas_hmw</v>
      </c>
      <c r="B23863" s="5">
        <f>IFERROR(__xludf.DUMMYFUNCTION("""COMPUTED_VALUE"""),44797.0)</f>
        <v>44797</v>
      </c>
      <c r="C23863" s="6">
        <f>IFERROR(__xludf.DUMMYFUNCTION("""COMPUTED_VALUE"""),0.32840277777722804)</f>
        <v>0.3284027778</v>
      </c>
      <c r="D23863" s="4">
        <f>IFERROR(__xludf.DUMMYFUNCTION("""COMPUTED_VALUE"""),12.982515)</f>
        <v>12.982515</v>
      </c>
      <c r="E23863" s="4">
        <f>IFERROR(__xludf.DUMMYFUNCTION("""COMPUTED_VALUE"""),80.168569)</f>
        <v>80.168569</v>
      </c>
      <c r="F23863" s="4">
        <f>IFERROR(__xludf.DUMMYFUNCTION("""COMPUTED_VALUE"""),5339.0)</f>
        <v>5339</v>
      </c>
      <c r="G23863" s="4">
        <f>IFERROR(__xludf.DUMMYFUNCTION("""COMPUTED_VALUE"""),42.0)</f>
        <v>42</v>
      </c>
      <c r="H23863" s="4"/>
      <c r="I23863" s="4"/>
    </row>
    <row r="23864">
      <c r="A23864" s="4" t="str">
        <f>IFERROR(__xludf.DUMMYFUNCTION("""COMPUTED_VALUE"""),"cas_hmw")</f>
        <v>cas_hmw</v>
      </c>
      <c r="B23864" s="5">
        <f>IFERROR(__xludf.DUMMYFUNCTION("""COMPUTED_VALUE"""),44797.0)</f>
        <v>44797</v>
      </c>
      <c r="C23864" s="6">
        <f>IFERROR(__xludf.DUMMYFUNCTION("""COMPUTED_VALUE"""),0.3287384259274404)</f>
        <v>0.3287384259</v>
      </c>
      <c r="D23864" s="4">
        <f>IFERROR(__xludf.DUMMYFUNCTION("""COMPUTED_VALUE"""),12.981454)</f>
        <v>12.981454</v>
      </c>
      <c r="E23864" s="4">
        <f>IFERROR(__xludf.DUMMYFUNCTION("""COMPUTED_VALUE"""),80.166882)</f>
        <v>80.166882</v>
      </c>
      <c r="F23864" s="4">
        <f>IFERROR(__xludf.DUMMYFUNCTION("""COMPUTED_VALUE"""),5339.0)</f>
        <v>5339</v>
      </c>
      <c r="G23864" s="4">
        <f>IFERROR(__xludf.DUMMYFUNCTION("""COMPUTED_VALUE"""),23.0)</f>
        <v>23</v>
      </c>
      <c r="H23864" s="4"/>
      <c r="I23864" s="4"/>
    </row>
    <row r="23865">
      <c r="A23865" s="4" t="str">
        <f>IFERROR(__xludf.DUMMYFUNCTION("""COMPUTED_VALUE"""),"cas_hmw")</f>
        <v>cas_hmw</v>
      </c>
      <c r="B23865" s="5">
        <f>IFERROR(__xludf.DUMMYFUNCTION("""COMPUTED_VALUE"""),44797.0)</f>
        <v>44797</v>
      </c>
      <c r="C23865" s="6">
        <f>IFERROR(__xludf.DUMMYFUNCTION("""COMPUTED_VALUE"""),0.32898148148160544)</f>
        <v>0.3289814815</v>
      </c>
      <c r="D23865" s="4">
        <f>IFERROR(__xludf.DUMMYFUNCTION("""COMPUTED_VALUE"""),13.008143)</f>
        <v>13.008143</v>
      </c>
      <c r="E23865" s="4">
        <f>IFERROR(__xludf.DUMMYFUNCTION("""COMPUTED_VALUE"""),80.233602)</f>
        <v>80.233602</v>
      </c>
      <c r="F23865" s="4">
        <f>IFERROR(__xludf.DUMMYFUNCTION("""COMPUTED_VALUE"""),3143.0)</f>
        <v>3143</v>
      </c>
      <c r="G23865" s="4">
        <f>IFERROR(__xludf.DUMMYFUNCTION("""COMPUTED_VALUE"""),55.0)</f>
        <v>55</v>
      </c>
      <c r="H23865" s="4"/>
      <c r="I23865" s="4"/>
    </row>
    <row r="23866">
      <c r="A23866" s="4" t="str">
        <f>IFERROR(__xludf.DUMMYFUNCTION("""COMPUTED_VALUE"""),"cas_hmw")</f>
        <v>cas_hmw</v>
      </c>
      <c r="B23866" s="5">
        <f>IFERROR(__xludf.DUMMYFUNCTION("""COMPUTED_VALUE"""),44797.0)</f>
        <v>44797</v>
      </c>
      <c r="C23866" s="6">
        <f>IFERROR(__xludf.DUMMYFUNCTION("""COMPUTED_VALUE"""),0.3290972222239361)</f>
        <v>0.3290972222</v>
      </c>
      <c r="D23866" s="4">
        <f>IFERROR(__xludf.DUMMYFUNCTION("""COMPUTED_VALUE"""),13.00839)</f>
        <v>13.00839</v>
      </c>
      <c r="E23866" s="4">
        <f>IFERROR(__xludf.DUMMYFUNCTION("""COMPUTED_VALUE"""),80.232196)</f>
        <v>80.232196</v>
      </c>
      <c r="F23866" s="4">
        <f>IFERROR(__xludf.DUMMYFUNCTION("""COMPUTED_VALUE"""),3143.0)</f>
        <v>3143</v>
      </c>
      <c r="G23866" s="4">
        <f>IFERROR(__xludf.DUMMYFUNCTION("""COMPUTED_VALUE"""),55.0)</f>
        <v>55</v>
      </c>
      <c r="H23866" s="4"/>
      <c r="I23866" s="4"/>
    </row>
    <row r="23867">
      <c r="A23867" s="4" t="str">
        <f>IFERROR(__xludf.DUMMYFUNCTION("""COMPUTED_VALUE"""),"cas_hmw")</f>
        <v>cas_hmw</v>
      </c>
      <c r="B23867" s="5">
        <f>IFERROR(__xludf.DUMMYFUNCTION("""COMPUTED_VALUE"""),44797.0)</f>
        <v>44797</v>
      </c>
      <c r="C23867" s="6">
        <f>IFERROR(__xludf.DUMMYFUNCTION("""COMPUTED_VALUE"""),0.32916666666642413)</f>
        <v>0.3291666667</v>
      </c>
      <c r="D23867" s="4">
        <f>IFERROR(__xludf.DUMMYFUNCTION("""COMPUTED_VALUE"""),13.008659)</f>
        <v>13.008659</v>
      </c>
      <c r="E23867" s="4">
        <f>IFERROR(__xludf.DUMMYFUNCTION("""COMPUTED_VALUE"""),80.230885)</f>
        <v>80.230885</v>
      </c>
      <c r="F23867" s="4">
        <f>IFERROR(__xludf.DUMMYFUNCTION("""COMPUTED_VALUE"""),3143.0)</f>
        <v>3143</v>
      </c>
      <c r="G23867" s="4">
        <f>IFERROR(__xludf.DUMMYFUNCTION("""COMPUTED_VALUE"""),44.0)</f>
        <v>44</v>
      </c>
      <c r="H23867" s="4"/>
      <c r="I23867" s="4"/>
    </row>
    <row r="23868">
      <c r="A23868" s="4" t="str">
        <f>IFERROR(__xludf.DUMMYFUNCTION("""COMPUTED_VALUE"""),"cas_hmw")</f>
        <v>cas_hmw</v>
      </c>
      <c r="B23868" s="5">
        <f>IFERROR(__xludf.DUMMYFUNCTION("""COMPUTED_VALUE"""),44797.0)</f>
        <v>44797</v>
      </c>
      <c r="C23868" s="6">
        <f>IFERROR(__xludf.DUMMYFUNCTION("""COMPUTED_VALUE"""),0.3291782407395658)</f>
        <v>0.3291782407</v>
      </c>
      <c r="D23868" s="4">
        <f>IFERROR(__xludf.DUMMYFUNCTION("""COMPUTED_VALUE"""),12.979916)</f>
        <v>12.979916</v>
      </c>
      <c r="E23868" s="4">
        <f>IFERROR(__xludf.DUMMYFUNCTION("""COMPUTED_VALUE"""),80.16317)</f>
        <v>80.16317</v>
      </c>
      <c r="F23868" s="4">
        <f>IFERROR(__xludf.DUMMYFUNCTION("""COMPUTED_VALUE"""),5339.0)</f>
        <v>5339</v>
      </c>
      <c r="G23868" s="4">
        <f>IFERROR(__xludf.DUMMYFUNCTION("""COMPUTED_VALUE"""),50.0)</f>
        <v>50</v>
      </c>
      <c r="H23868" s="4"/>
      <c r="I23868" s="4"/>
    </row>
    <row r="23869">
      <c r="A23869" s="4" t="str">
        <f>IFERROR(__xludf.DUMMYFUNCTION("""COMPUTED_VALUE"""),"cas_hmw")</f>
        <v>cas_hmw</v>
      </c>
      <c r="B23869" s="5">
        <f>IFERROR(__xludf.DUMMYFUNCTION("""COMPUTED_VALUE"""),44797.0)</f>
        <v>44797</v>
      </c>
      <c r="C23869" s="6">
        <f>IFERROR(__xludf.DUMMYFUNCTION("""COMPUTED_VALUE"""),0.3299884259249666)</f>
        <v>0.3299884259</v>
      </c>
      <c r="D23869" s="4">
        <f>IFERROR(__xludf.DUMMYFUNCTION("""COMPUTED_VALUE"""),13.011149)</f>
        <v>13.011149</v>
      </c>
      <c r="E23869" s="4">
        <f>IFERROR(__xludf.DUMMYFUNCTION("""COMPUTED_VALUE"""),80.223894)</f>
        <v>80.223894</v>
      </c>
      <c r="F23869" s="4">
        <f>IFERROR(__xludf.DUMMYFUNCTION("""COMPUTED_VALUE"""),3143.0)</f>
        <v>3143</v>
      </c>
      <c r="G23869" s="4">
        <f>IFERROR(__xludf.DUMMYFUNCTION("""COMPUTED_VALUE"""),47.0)</f>
        <v>47</v>
      </c>
      <c r="H23869" s="4"/>
      <c r="I23869" s="4"/>
    </row>
    <row r="23870">
      <c r="A23870" s="4" t="str">
        <f>IFERROR(__xludf.DUMMYFUNCTION("""COMPUTED_VALUE"""),"cas_hmw")</f>
        <v>cas_hmw</v>
      </c>
      <c r="B23870" s="5">
        <f>IFERROR(__xludf.DUMMYFUNCTION("""COMPUTED_VALUE"""),44797.0)</f>
        <v>44797</v>
      </c>
      <c r="C23870" s="6">
        <f>IFERROR(__xludf.DUMMYFUNCTION("""COMPUTED_VALUE"""),0.33054398148306063)</f>
        <v>0.3305439815</v>
      </c>
      <c r="D23870" s="4">
        <f>IFERROR(__xludf.DUMMYFUNCTION("""COMPUTED_VALUE"""),12.973796)</f>
        <v>12.973796</v>
      </c>
      <c r="E23870" s="4">
        <f>IFERROR(__xludf.DUMMYFUNCTION("""COMPUTED_VALUE"""),80.153938)</f>
        <v>80.153938</v>
      </c>
      <c r="F23870" s="4">
        <f>IFERROR(__xludf.DUMMYFUNCTION("""COMPUTED_VALUE"""),5339.0)</f>
        <v>5339</v>
      </c>
      <c r="G23870" s="4">
        <f>IFERROR(__xludf.DUMMYFUNCTION("""COMPUTED_VALUE"""),33.0)</f>
        <v>33</v>
      </c>
      <c r="H23870" s="4"/>
      <c r="I23870" s="4"/>
    </row>
    <row r="23871">
      <c r="A23871" s="4" t="str">
        <f>IFERROR(__xludf.DUMMYFUNCTION("""COMPUTED_VALUE"""),"cas_hmw")</f>
        <v>cas_hmw</v>
      </c>
      <c r="B23871" s="5">
        <f>IFERROR(__xludf.DUMMYFUNCTION("""COMPUTED_VALUE"""),44797.0)</f>
        <v>44797</v>
      </c>
      <c r="C23871" s="6">
        <f>IFERROR(__xludf.DUMMYFUNCTION("""COMPUTED_VALUE"""),0.3307870370372257)</f>
        <v>0.330787037</v>
      </c>
      <c r="D23871" s="4">
        <f>IFERROR(__xludf.DUMMYFUNCTION("""COMPUTED_VALUE"""),13.010696)</f>
        <v>13.010696</v>
      </c>
      <c r="E23871" s="4">
        <f>IFERROR(__xludf.DUMMYFUNCTION("""COMPUTED_VALUE"""),80.216836)</f>
        <v>80.216836</v>
      </c>
      <c r="F23871" s="4">
        <f>IFERROR(__xludf.DUMMYFUNCTION("""COMPUTED_VALUE"""),3143.0)</f>
        <v>3143</v>
      </c>
      <c r="G23871" s="4">
        <f>IFERROR(__xludf.DUMMYFUNCTION("""COMPUTED_VALUE"""),44.0)</f>
        <v>44</v>
      </c>
      <c r="H23871" s="4"/>
      <c r="I23871" s="4"/>
    </row>
    <row r="23872">
      <c r="A23872" s="4" t="str">
        <f>IFERROR(__xludf.DUMMYFUNCTION("""COMPUTED_VALUE"""),"cas_hmw")</f>
        <v>cas_hmw</v>
      </c>
      <c r="B23872" s="5">
        <f>IFERROR(__xludf.DUMMYFUNCTION("""COMPUTED_VALUE"""),44797.0)</f>
        <v>44797</v>
      </c>
      <c r="C23872" s="6">
        <f>IFERROR(__xludf.DUMMYFUNCTION("""COMPUTED_VALUE"""),0.33108796296437504)</f>
        <v>0.331087963</v>
      </c>
      <c r="D23872" s="4">
        <f>IFERROR(__xludf.DUMMYFUNCTION("""COMPUTED_VALUE"""),13.009457)</f>
        <v>13.009457</v>
      </c>
      <c r="E23872" s="4">
        <f>IFERROR(__xludf.DUMMYFUNCTION("""COMPUTED_VALUE"""),80.213128)</f>
        <v>80.213128</v>
      </c>
      <c r="F23872" s="4">
        <f>IFERROR(__xludf.DUMMYFUNCTION("""COMPUTED_VALUE"""),3143.0)</f>
        <v>3143</v>
      </c>
      <c r="G23872" s="4">
        <f>IFERROR(__xludf.DUMMYFUNCTION("""COMPUTED_VALUE"""),48.0)</f>
        <v>48</v>
      </c>
      <c r="H23872" s="4"/>
      <c r="I23872" s="4"/>
    </row>
    <row r="23873">
      <c r="A23873" s="4" t="str">
        <f>IFERROR(__xludf.DUMMYFUNCTION("""COMPUTED_VALUE"""),"cas_hmw")</f>
        <v>cas_hmw</v>
      </c>
      <c r="B23873" s="5">
        <f>IFERROR(__xludf.DUMMYFUNCTION("""COMPUTED_VALUE"""),44797.0)</f>
        <v>44797</v>
      </c>
      <c r="C23873" s="6">
        <f>IFERROR(__xludf.DUMMYFUNCTION("""COMPUTED_VALUE"""),0.3314699074071541)</f>
        <v>0.3314699074</v>
      </c>
      <c r="D23873" s="4">
        <f>IFERROR(__xludf.DUMMYFUNCTION("""COMPUTED_VALUE"""),13.008252)</f>
        <v>13.008252</v>
      </c>
      <c r="E23873" s="4">
        <f>IFERROR(__xludf.DUMMYFUNCTION("""COMPUTED_VALUE"""),80.209834)</f>
        <v>80.209834</v>
      </c>
      <c r="F23873" s="4">
        <f>IFERROR(__xludf.DUMMYFUNCTION("""COMPUTED_VALUE"""),3143.0)</f>
        <v>3143</v>
      </c>
      <c r="G23873" s="4">
        <f>IFERROR(__xludf.DUMMYFUNCTION("""COMPUTED_VALUE"""),46.0)</f>
        <v>46</v>
      </c>
      <c r="H23873" s="4"/>
      <c r="I23873" s="4"/>
    </row>
    <row r="23874">
      <c r="A23874" s="4" t="str">
        <f>IFERROR(__xludf.DUMMYFUNCTION("""COMPUTED_VALUE"""),"cas_hmw")</f>
        <v>cas_hmw</v>
      </c>
      <c r="B23874" s="5">
        <f>IFERROR(__xludf.DUMMYFUNCTION("""COMPUTED_VALUE"""),44797.0)</f>
        <v>44797</v>
      </c>
      <c r="C23874" s="6">
        <f>IFERROR(__xludf.DUMMYFUNCTION("""COMPUTED_VALUE"""),0.3317245370380988)</f>
        <v>0.331724537</v>
      </c>
      <c r="D23874" s="4">
        <f>IFERROR(__xludf.DUMMYFUNCTION("""COMPUTED_VALUE"""),13.00782)</f>
        <v>13.00782</v>
      </c>
      <c r="E23874" s="4">
        <f>IFERROR(__xludf.DUMMYFUNCTION("""COMPUTED_VALUE"""),80.207602)</f>
        <v>80.207602</v>
      </c>
      <c r="F23874" s="4">
        <f>IFERROR(__xludf.DUMMYFUNCTION("""COMPUTED_VALUE"""),3143.0)</f>
        <v>3143</v>
      </c>
      <c r="G23874" s="4">
        <f>IFERROR(__xludf.DUMMYFUNCTION("""COMPUTED_VALUE"""),52.0)</f>
        <v>52</v>
      </c>
      <c r="H23874" s="4"/>
      <c r="I23874" s="4"/>
    </row>
    <row r="23875">
      <c r="A23875" s="4" t="str">
        <f>IFERROR(__xludf.DUMMYFUNCTION("""COMPUTED_VALUE"""),"cas_hmw")</f>
        <v>cas_hmw</v>
      </c>
      <c r="B23875" s="5">
        <f>IFERROR(__xludf.DUMMYFUNCTION("""COMPUTED_VALUE"""),44797.0)</f>
        <v>44797</v>
      </c>
      <c r="C23875" s="6">
        <f>IFERROR(__xludf.DUMMYFUNCTION("""COMPUTED_VALUE"""),0.3320601851846732)</f>
        <v>0.3320601852</v>
      </c>
      <c r="D23875" s="4">
        <f>IFERROR(__xludf.DUMMYFUNCTION("""COMPUTED_VALUE"""),13.006838)</f>
        <v>13.006838</v>
      </c>
      <c r="E23875" s="4">
        <f>IFERROR(__xludf.DUMMYFUNCTION("""COMPUTED_VALUE"""),80.204196)</f>
        <v>80.204196</v>
      </c>
      <c r="F23875" s="4">
        <f>IFERROR(__xludf.DUMMYFUNCTION("""COMPUTED_VALUE"""),3143.0)</f>
        <v>3143</v>
      </c>
      <c r="G23875" s="4">
        <f>IFERROR(__xludf.DUMMYFUNCTION("""COMPUTED_VALUE"""),56.0)</f>
        <v>56</v>
      </c>
      <c r="H23875" s="4"/>
      <c r="I23875" s="4"/>
    </row>
    <row r="23876">
      <c r="A23876" s="4" t="str">
        <f>IFERROR(__xludf.DUMMYFUNCTION("""COMPUTED_VALUE"""),"cas_hmw")</f>
        <v>cas_hmw</v>
      </c>
      <c r="B23876" s="5">
        <f>IFERROR(__xludf.DUMMYFUNCTION("""COMPUTED_VALUE"""),44797.0)</f>
        <v>44797</v>
      </c>
      <c r="C23876" s="6">
        <f>IFERROR(__xludf.DUMMYFUNCTION("""COMPUTED_VALUE"""),0.3326967592583969)</f>
        <v>0.3326967593</v>
      </c>
      <c r="D23876" s="4">
        <f>IFERROR(__xludf.DUMMYFUNCTION("""COMPUTED_VALUE"""),13.002125)</f>
        <v>13.002125</v>
      </c>
      <c r="E23876" s="4">
        <f>IFERROR(__xludf.DUMMYFUNCTION("""COMPUTED_VALUE"""),80.200432)</f>
        <v>80.200432</v>
      </c>
      <c r="F23876" s="4">
        <f>IFERROR(__xludf.DUMMYFUNCTION("""COMPUTED_VALUE"""),3143.0)</f>
        <v>3143</v>
      </c>
      <c r="G23876" s="4">
        <f>IFERROR(__xludf.DUMMYFUNCTION("""COMPUTED_VALUE"""),58.0)</f>
        <v>58</v>
      </c>
      <c r="H23876" s="4"/>
      <c r="I23876" s="4"/>
    </row>
    <row r="23877">
      <c r="A23877" s="4" t="str">
        <f>IFERROR(__xludf.DUMMYFUNCTION("""COMPUTED_VALUE"""),"cas_hmw")</f>
        <v>cas_hmw</v>
      </c>
      <c r="B23877" s="5">
        <f>IFERROR(__xludf.DUMMYFUNCTION("""COMPUTED_VALUE"""),44797.0)</f>
        <v>44797</v>
      </c>
      <c r="C23877" s="6">
        <f>IFERROR(__xludf.DUMMYFUNCTION("""COMPUTED_VALUE"""),0.33287037037007394)</f>
        <v>0.3328703704</v>
      </c>
      <c r="D23877" s="4">
        <f>IFERROR(__xludf.DUMMYFUNCTION("""COMPUTED_VALUE"""),13.001965)</f>
        <v>13.001965</v>
      </c>
      <c r="E23877" s="4">
        <f>IFERROR(__xludf.DUMMYFUNCTION("""COMPUTED_VALUE"""),80.197406)</f>
        <v>80.197406</v>
      </c>
      <c r="F23877" s="4">
        <f>IFERROR(__xludf.DUMMYFUNCTION("""COMPUTED_VALUE"""),3143.0)</f>
        <v>3143</v>
      </c>
      <c r="G23877" s="4">
        <f>IFERROR(__xludf.DUMMYFUNCTION("""COMPUTED_VALUE"""),50.0)</f>
        <v>50</v>
      </c>
      <c r="H23877" s="4"/>
      <c r="I23877" s="4"/>
    </row>
    <row r="23878">
      <c r="A23878" s="4" t="str">
        <f>IFERROR(__xludf.DUMMYFUNCTION("""COMPUTED_VALUE"""),"cas_hmw")</f>
        <v>cas_hmw</v>
      </c>
      <c r="B23878" s="5">
        <f>IFERROR(__xludf.DUMMYFUNCTION("""COMPUTED_VALUE"""),44797.0)</f>
        <v>44797</v>
      </c>
      <c r="C23878" s="6">
        <f>IFERROR(__xludf.DUMMYFUNCTION("""COMPUTED_VALUE"""),0.33302083333182964)</f>
        <v>0.3330208333</v>
      </c>
      <c r="D23878" s="4">
        <f>IFERROR(__xludf.DUMMYFUNCTION("""COMPUTED_VALUE"""),13.001633)</f>
        <v>13.001633</v>
      </c>
      <c r="E23878" s="4">
        <f>IFERROR(__xludf.DUMMYFUNCTION("""COMPUTED_VALUE"""),80.196338)</f>
        <v>80.196338</v>
      </c>
      <c r="F23878" s="4">
        <f>IFERROR(__xludf.DUMMYFUNCTION("""COMPUTED_VALUE"""),3143.0)</f>
        <v>3143</v>
      </c>
      <c r="G23878" s="4">
        <f>IFERROR(__xludf.DUMMYFUNCTION("""COMPUTED_VALUE"""),37.0)</f>
        <v>37</v>
      </c>
      <c r="H23878" s="4"/>
      <c r="I23878" s="4"/>
    </row>
    <row r="23879">
      <c r="A23879" s="4" t="str">
        <f>IFERROR(__xludf.DUMMYFUNCTION("""COMPUTED_VALUE"""),"cas_hmw")</f>
        <v>cas_hmw</v>
      </c>
      <c r="B23879" s="5">
        <f>IFERROR(__xludf.DUMMYFUNCTION("""COMPUTED_VALUE"""),44797.0)</f>
        <v>44797</v>
      </c>
      <c r="C23879" s="6">
        <f>IFERROR(__xludf.DUMMYFUNCTION("""COMPUTED_VALUE"""),0.33307870370481396)</f>
        <v>0.3330787037</v>
      </c>
      <c r="D23879" s="4">
        <f>IFERROR(__xludf.DUMMYFUNCTION("""COMPUTED_VALUE"""),12.958627)</f>
        <v>12.958627</v>
      </c>
      <c r="E23879" s="4">
        <f>IFERROR(__xludf.DUMMYFUNCTION("""COMPUTED_VALUE"""),80.144545)</f>
        <v>80.144545</v>
      </c>
      <c r="F23879" s="4">
        <f>IFERROR(__xludf.DUMMYFUNCTION("""COMPUTED_VALUE"""),5339.0)</f>
        <v>5339</v>
      </c>
      <c r="G23879" s="4">
        <f>IFERROR(__xludf.DUMMYFUNCTION("""COMPUTED_VALUE"""),57.0)</f>
        <v>57</v>
      </c>
      <c r="H23879" s="4"/>
      <c r="I23879" s="4"/>
    </row>
    <row r="23880">
      <c r="A23880" s="4" t="str">
        <f>IFERROR(__xludf.DUMMYFUNCTION("""COMPUTED_VALUE"""),"cas_hmw")</f>
        <v>cas_hmw</v>
      </c>
      <c r="B23880" s="5">
        <f>IFERROR(__xludf.DUMMYFUNCTION("""COMPUTED_VALUE"""),44797.0)</f>
        <v>44797</v>
      </c>
      <c r="C23880" s="6">
        <f>IFERROR(__xludf.DUMMYFUNCTION("""COMPUTED_VALUE"""),0.3331365740741603)</f>
        <v>0.3331365741</v>
      </c>
      <c r="D23880" s="4">
        <f>IFERROR(__xludf.DUMMYFUNCTION("""COMPUTED_VALUE"""),13.000985)</f>
        <v>13.000985</v>
      </c>
      <c r="E23880" s="4">
        <f>IFERROR(__xludf.DUMMYFUNCTION("""COMPUTED_VALUE"""),80.19549)</f>
        <v>80.19549</v>
      </c>
      <c r="F23880" s="4">
        <f>IFERROR(__xludf.DUMMYFUNCTION("""COMPUTED_VALUE"""),3143.0)</f>
        <v>3143</v>
      </c>
      <c r="G23880" s="4">
        <f>IFERROR(__xludf.DUMMYFUNCTION("""COMPUTED_VALUE"""),45.0)</f>
        <v>45</v>
      </c>
      <c r="H23880" s="4"/>
      <c r="I23880" s="4"/>
    </row>
    <row r="23881">
      <c r="A23881" s="4" t="str">
        <f>IFERROR(__xludf.DUMMYFUNCTION("""COMPUTED_VALUE"""),"cas_hmw")</f>
        <v>cas_hmw</v>
      </c>
      <c r="B23881" s="5">
        <f>IFERROR(__xludf.DUMMYFUNCTION("""COMPUTED_VALUE"""),44797.0)</f>
        <v>44797</v>
      </c>
      <c r="C23881" s="6">
        <f>IFERROR(__xludf.DUMMYFUNCTION("""COMPUTED_VALUE"""),0.333182870370365)</f>
        <v>0.3331828704</v>
      </c>
      <c r="D23881" s="4">
        <f>IFERROR(__xludf.DUMMYFUNCTION("""COMPUTED_VALUE"""),12.957469)</f>
        <v>12.957469</v>
      </c>
      <c r="E23881" s="4">
        <f>IFERROR(__xludf.DUMMYFUNCTION("""COMPUTED_VALUE"""),80.143928)</f>
        <v>80.143928</v>
      </c>
      <c r="F23881" s="4">
        <f>IFERROR(__xludf.DUMMYFUNCTION("""COMPUTED_VALUE"""),5339.0)</f>
        <v>5339</v>
      </c>
      <c r="G23881" s="4">
        <f>IFERROR(__xludf.DUMMYFUNCTION("""COMPUTED_VALUE"""),44.0)</f>
        <v>44</v>
      </c>
      <c r="H23881" s="4"/>
      <c r="I23881" s="4"/>
    </row>
    <row r="23882">
      <c r="A23882" s="4" t="str">
        <f>IFERROR(__xludf.DUMMYFUNCTION("""COMPUTED_VALUE"""),"cas_hmw")</f>
        <v>cas_hmw</v>
      </c>
      <c r="B23882" s="5">
        <f>IFERROR(__xludf.DUMMYFUNCTION("""COMPUTED_VALUE"""),44797.0)</f>
        <v>44797</v>
      </c>
      <c r="C23882" s="6">
        <f>IFERROR(__xludf.DUMMYFUNCTION("""COMPUTED_VALUE"""),0.333391203705105)</f>
        <v>0.3333912037</v>
      </c>
      <c r="D23882" s="4">
        <f>IFERROR(__xludf.DUMMYFUNCTION("""COMPUTED_VALUE"""),12.999374)</f>
        <v>12.999374</v>
      </c>
      <c r="E23882" s="4">
        <f>IFERROR(__xludf.DUMMYFUNCTION("""COMPUTED_VALUE"""),80.193406)</f>
        <v>80.193406</v>
      </c>
      <c r="F23882" s="4">
        <f>IFERROR(__xludf.DUMMYFUNCTION("""COMPUTED_VALUE"""),3143.0)</f>
        <v>3143</v>
      </c>
      <c r="G23882" s="4">
        <f>IFERROR(__xludf.DUMMYFUNCTION("""COMPUTED_VALUE"""),52.0)</f>
        <v>52</v>
      </c>
      <c r="H23882" s="4"/>
      <c r="I23882" s="4"/>
    </row>
    <row r="23883">
      <c r="A23883" s="4" t="str">
        <f>IFERROR(__xludf.DUMMYFUNCTION("""COMPUTED_VALUE"""),"cas_hmw")</f>
        <v>cas_hmw</v>
      </c>
      <c r="B23883" s="5">
        <f>IFERROR(__xludf.DUMMYFUNCTION("""COMPUTED_VALUE"""),44797.0)</f>
        <v>44797</v>
      </c>
      <c r="C23883" s="6">
        <f>IFERROR(__xludf.DUMMYFUNCTION("""COMPUTED_VALUE"""),0.33355324074000237)</f>
        <v>0.3335532407</v>
      </c>
      <c r="D23883" s="4">
        <f>IFERROR(__xludf.DUMMYFUNCTION("""COMPUTED_VALUE"""),12.998535)</f>
        <v>12.998535</v>
      </c>
      <c r="E23883" s="4">
        <f>IFERROR(__xludf.DUMMYFUNCTION("""COMPUTED_VALUE"""),80.192394)</f>
        <v>80.192394</v>
      </c>
      <c r="F23883" s="4">
        <f>IFERROR(__xludf.DUMMYFUNCTION("""COMPUTED_VALUE"""),3143.0)</f>
        <v>3143</v>
      </c>
      <c r="G23883" s="4">
        <f>IFERROR(__xludf.DUMMYFUNCTION("""COMPUTED_VALUE"""),47.0)</f>
        <v>47</v>
      </c>
      <c r="H23883" s="4"/>
      <c r="I23883" s="4"/>
    </row>
    <row r="23884">
      <c r="A23884" s="4" t="str">
        <f>IFERROR(__xludf.DUMMYFUNCTION("""COMPUTED_VALUE"""),"cas_hmw")</f>
        <v>cas_hmw</v>
      </c>
      <c r="B23884" s="5">
        <f>IFERROR(__xludf.DUMMYFUNCTION("""COMPUTED_VALUE"""),44797.0)</f>
        <v>44797</v>
      </c>
      <c r="C23884" s="6">
        <f>IFERROR(__xludf.DUMMYFUNCTION("""COMPUTED_VALUE"""),0.3351736111108039)</f>
        <v>0.3351736111</v>
      </c>
      <c r="D23884" s="4">
        <f>IFERROR(__xludf.DUMMYFUNCTION("""COMPUTED_VALUE"""),12.99391)</f>
        <v>12.99391</v>
      </c>
      <c r="E23884" s="4">
        <f>IFERROR(__xludf.DUMMYFUNCTION("""COMPUTED_VALUE"""),80.185391)</f>
        <v>80.185391</v>
      </c>
      <c r="F23884" s="4">
        <f>IFERROR(__xludf.DUMMYFUNCTION("""COMPUTED_VALUE"""),3143.0)</f>
        <v>3143</v>
      </c>
      <c r="G23884" s="4">
        <f>IFERROR(__xludf.DUMMYFUNCTION("""COMPUTED_VALUE"""),28.0)</f>
        <v>28</v>
      </c>
      <c r="H23884" s="4"/>
      <c r="I23884" s="4"/>
    </row>
    <row r="23885">
      <c r="A23885" s="4" t="str">
        <f>IFERROR(__xludf.DUMMYFUNCTION("""COMPUTED_VALUE"""),"cas_hmw")</f>
        <v>cas_hmw</v>
      </c>
      <c r="B23885" s="5">
        <f>IFERROR(__xludf.DUMMYFUNCTION("""COMPUTED_VALUE"""),44797.0)</f>
        <v>44797</v>
      </c>
      <c r="C23885" s="6">
        <f>IFERROR(__xludf.DUMMYFUNCTION("""COMPUTED_VALUE"""),0.33582175925766933)</f>
        <v>0.3358217593</v>
      </c>
      <c r="D23885" s="4">
        <f>IFERROR(__xludf.DUMMYFUNCTION("""COMPUTED_VALUE"""),12.989095)</f>
        <v>12.989095</v>
      </c>
      <c r="E23885" s="4">
        <f>IFERROR(__xludf.DUMMYFUNCTION("""COMPUTED_VALUE"""),80.178513)</f>
        <v>80.178513</v>
      </c>
      <c r="F23885" s="4">
        <f>IFERROR(__xludf.DUMMYFUNCTION("""COMPUTED_VALUE"""),3143.0)</f>
        <v>3143</v>
      </c>
      <c r="G23885" s="4">
        <f>IFERROR(__xludf.DUMMYFUNCTION("""COMPUTED_VALUE"""),50.0)</f>
        <v>50</v>
      </c>
      <c r="H23885" s="4"/>
      <c r="I23885" s="4"/>
    </row>
    <row r="23886">
      <c r="A23886" s="4" t="str">
        <f>IFERROR(__xludf.DUMMYFUNCTION("""COMPUTED_VALUE"""),"cas_hmw")</f>
        <v>cas_hmw</v>
      </c>
      <c r="B23886" s="5">
        <f>IFERROR(__xludf.DUMMYFUNCTION("""COMPUTED_VALUE"""),44797.0)</f>
        <v>44797</v>
      </c>
      <c r="C23886" s="6">
        <f>IFERROR(__xludf.DUMMYFUNCTION("""COMPUTED_VALUE"""),0.3363425925927004)</f>
        <v>0.3363425926</v>
      </c>
      <c r="D23886" s="4">
        <f>IFERROR(__xludf.DUMMYFUNCTION("""COMPUTED_VALUE"""),12.986485)</f>
        <v>12.986485</v>
      </c>
      <c r="E23886" s="4">
        <f>IFERROR(__xludf.DUMMYFUNCTION("""COMPUTED_VALUE"""),80.17485)</f>
        <v>80.17485</v>
      </c>
      <c r="F23886" s="4">
        <f>IFERROR(__xludf.DUMMYFUNCTION("""COMPUTED_VALUE"""),3143.0)</f>
        <v>3143</v>
      </c>
      <c r="G23886" s="4">
        <f>IFERROR(__xludf.DUMMYFUNCTION("""COMPUTED_VALUE"""),32.0)</f>
        <v>32</v>
      </c>
      <c r="H23886" s="4"/>
      <c r="I23886" s="4"/>
    </row>
    <row r="23887">
      <c r="A23887" s="4" t="str">
        <f>IFERROR(__xludf.DUMMYFUNCTION("""COMPUTED_VALUE"""),"cas_hmw")</f>
        <v>cas_hmw</v>
      </c>
      <c r="B23887" s="5">
        <f>IFERROR(__xludf.DUMMYFUNCTION("""COMPUTED_VALUE"""),44797.0)</f>
        <v>44797</v>
      </c>
      <c r="C23887" s="6">
        <f>IFERROR(__xludf.DUMMYFUNCTION("""COMPUTED_VALUE"""),0.3365162037043774)</f>
        <v>0.3365162037</v>
      </c>
      <c r="D23887" s="4">
        <f>IFERROR(__xludf.DUMMYFUNCTION("""COMPUTED_VALUE"""),12.985348)</f>
        <v>12.985348</v>
      </c>
      <c r="E23887" s="4">
        <f>IFERROR(__xludf.DUMMYFUNCTION("""COMPUTED_VALUE"""),80.173191)</f>
        <v>80.173191</v>
      </c>
      <c r="F23887" s="4">
        <f>IFERROR(__xludf.DUMMYFUNCTION("""COMPUTED_VALUE"""),3143.0)</f>
        <v>3143</v>
      </c>
      <c r="G23887" s="4">
        <f>IFERROR(__xludf.DUMMYFUNCTION("""COMPUTED_VALUE"""),36.0)</f>
        <v>36</v>
      </c>
      <c r="H23887" s="4"/>
      <c r="I23887" s="4"/>
    </row>
    <row r="23888">
      <c r="A23888" s="4" t="str">
        <f>IFERROR(__xludf.DUMMYFUNCTION("""COMPUTED_VALUE"""),"cas_hmw")</f>
        <v>cas_hmw</v>
      </c>
      <c r="B23888" s="5">
        <f>IFERROR(__xludf.DUMMYFUNCTION("""COMPUTED_VALUE"""),44797.0)</f>
        <v>44797</v>
      </c>
      <c r="C23888" s="6">
        <f>IFERROR(__xludf.DUMMYFUNCTION("""COMPUTED_VALUE"""),0.3365162037043774)</f>
        <v>0.3365162037</v>
      </c>
      <c r="D23888" s="4">
        <f>IFERROR(__xludf.DUMMYFUNCTION("""COMPUTED_VALUE"""),12.938029)</f>
        <v>12.938029</v>
      </c>
      <c r="E23888" s="4">
        <f>IFERROR(__xludf.DUMMYFUNCTION("""COMPUTED_VALUE"""),80.128859)</f>
        <v>80.128859</v>
      </c>
      <c r="F23888" s="4">
        <f>IFERROR(__xludf.DUMMYFUNCTION("""COMPUTED_VALUE"""),5339.0)</f>
        <v>5339</v>
      </c>
      <c r="G23888" s="4">
        <f>IFERROR(__xludf.DUMMYFUNCTION("""COMPUTED_VALUE"""),31.0)</f>
        <v>31</v>
      </c>
      <c r="H23888" s="4"/>
      <c r="I23888" s="4"/>
    </row>
    <row r="23889">
      <c r="A23889" s="4" t="str">
        <f>IFERROR(__xludf.DUMMYFUNCTION("""COMPUTED_VALUE"""),"cas_hmw")</f>
        <v>cas_hmw</v>
      </c>
      <c r="B23889" s="5">
        <f>IFERROR(__xludf.DUMMYFUNCTION("""COMPUTED_VALUE"""),44797.0)</f>
        <v>44797</v>
      </c>
      <c r="C23889" s="6">
        <f>IFERROR(__xludf.DUMMYFUNCTION("""COMPUTED_VALUE"""),0.33674768518540077)</f>
        <v>0.3367476852</v>
      </c>
      <c r="D23889" s="4">
        <f>IFERROR(__xludf.DUMMYFUNCTION("""COMPUTED_VALUE"""),12.984391)</f>
        <v>12.984391</v>
      </c>
      <c r="E23889" s="4">
        <f>IFERROR(__xludf.DUMMYFUNCTION("""COMPUTED_VALUE"""),80.171696)</f>
        <v>80.171696</v>
      </c>
      <c r="F23889" s="4">
        <f>IFERROR(__xludf.DUMMYFUNCTION("""COMPUTED_VALUE"""),3143.0)</f>
        <v>3143</v>
      </c>
      <c r="G23889" s="4">
        <f>IFERROR(__xludf.DUMMYFUNCTION("""COMPUTED_VALUE"""),41.0)</f>
        <v>41</v>
      </c>
      <c r="H23889" s="4"/>
      <c r="I23889" s="4"/>
    </row>
    <row r="23890">
      <c r="A23890" s="4" t="str">
        <f>IFERROR(__xludf.DUMMYFUNCTION("""COMPUTED_VALUE"""),"cas_hmw")</f>
        <v>cas_hmw</v>
      </c>
      <c r="B23890" s="5">
        <f>IFERROR(__xludf.DUMMYFUNCTION("""COMPUTED_VALUE"""),44797.0)</f>
        <v>44797</v>
      </c>
      <c r="C23890" s="6">
        <f>IFERROR(__xludf.DUMMYFUNCTION("""COMPUTED_VALUE"""),0.33694444444336114)</f>
        <v>0.3369444444</v>
      </c>
      <c r="D23890" s="4">
        <f>IFERROR(__xludf.DUMMYFUNCTION("""COMPUTED_VALUE"""),12.983846)</f>
        <v>12.983846</v>
      </c>
      <c r="E23890" s="4">
        <f>IFERROR(__xludf.DUMMYFUNCTION("""COMPUTED_VALUE"""),80.170816)</f>
        <v>80.170816</v>
      </c>
      <c r="F23890" s="4">
        <f>IFERROR(__xludf.DUMMYFUNCTION("""COMPUTED_VALUE"""),3143.0)</f>
        <v>3143</v>
      </c>
      <c r="G23890" s="4">
        <f>IFERROR(__xludf.DUMMYFUNCTION("""COMPUTED_VALUE"""),38.0)</f>
        <v>38</v>
      </c>
      <c r="H23890" s="4"/>
      <c r="I23890" s="4"/>
    </row>
    <row r="23891">
      <c r="A23891" s="4" t="str">
        <f>IFERROR(__xludf.DUMMYFUNCTION("""COMPUTED_VALUE"""),"cas_hmw")</f>
        <v>cas_hmw</v>
      </c>
      <c r="B23891" s="5">
        <f>IFERROR(__xludf.DUMMYFUNCTION("""COMPUTED_VALUE"""),44797.0)</f>
        <v>44797</v>
      </c>
      <c r="C23891" s="6">
        <f>IFERROR(__xludf.DUMMYFUNCTION("""COMPUTED_VALUE"""),0.3369907407395658)</f>
        <v>0.3369907407</v>
      </c>
      <c r="D23891" s="4">
        <f>IFERROR(__xludf.DUMMYFUNCTION("""COMPUTED_VALUE"""),12.983249)</f>
        <v>12.983249</v>
      </c>
      <c r="E23891" s="4">
        <f>IFERROR(__xludf.DUMMYFUNCTION("""COMPUTED_VALUE"""),80.16984)</f>
        <v>80.16984</v>
      </c>
      <c r="F23891" s="4">
        <f>IFERROR(__xludf.DUMMYFUNCTION("""COMPUTED_VALUE"""),3143.0)</f>
        <v>3143</v>
      </c>
      <c r="G23891" s="4">
        <f>IFERROR(__xludf.DUMMYFUNCTION("""COMPUTED_VALUE"""),46.0)</f>
        <v>46</v>
      </c>
      <c r="H23891" s="4"/>
      <c r="I23891" s="4"/>
    </row>
    <row r="23892">
      <c r="A23892" s="4" t="str">
        <f>IFERROR(__xludf.DUMMYFUNCTION("""COMPUTED_VALUE"""),"cas_hmw")</f>
        <v>cas_hmw</v>
      </c>
      <c r="B23892" s="5">
        <f>IFERROR(__xludf.DUMMYFUNCTION("""COMPUTED_VALUE"""),44797.0)</f>
        <v>44797</v>
      </c>
      <c r="C23892" s="6">
        <f>IFERROR(__xludf.DUMMYFUNCTION("""COMPUTED_VALUE"""),0.3381944444445253)</f>
        <v>0.3381944444</v>
      </c>
      <c r="D23892" s="4">
        <f>IFERROR(__xludf.DUMMYFUNCTION("""COMPUTED_VALUE"""),12.931097)</f>
        <v>12.931097</v>
      </c>
      <c r="E23892" s="4">
        <f>IFERROR(__xludf.DUMMYFUNCTION("""COMPUTED_VALUE"""),80.12239)</f>
        <v>80.12239</v>
      </c>
      <c r="F23892" s="4">
        <f>IFERROR(__xludf.DUMMYFUNCTION("""COMPUTED_VALUE"""),5339.0)</f>
        <v>5339</v>
      </c>
      <c r="G23892" s="4">
        <f>IFERROR(__xludf.DUMMYFUNCTION("""COMPUTED_VALUE"""),28.0)</f>
        <v>28</v>
      </c>
      <c r="H23892" s="4"/>
      <c r="I23892" s="4"/>
    </row>
    <row r="23893">
      <c r="A23893" s="4" t="str">
        <f>IFERROR(__xludf.DUMMYFUNCTION("""COMPUTED_VALUE"""),"cas_hmw")</f>
        <v>cas_hmw</v>
      </c>
      <c r="B23893" s="5">
        <f>IFERROR(__xludf.DUMMYFUNCTION("""COMPUTED_VALUE"""),44797.0)</f>
        <v>44797</v>
      </c>
      <c r="C23893" s="6">
        <f>IFERROR(__xludf.DUMMYFUNCTION("""COMPUTED_VALUE"""),0.33825231481387164)</f>
        <v>0.3382523148</v>
      </c>
      <c r="D23893" s="4">
        <f>IFERROR(__xludf.DUMMYFUNCTION("""COMPUTED_VALUE"""),12.930528)</f>
        <v>12.930528</v>
      </c>
      <c r="E23893" s="4">
        <f>IFERROR(__xludf.DUMMYFUNCTION("""COMPUTED_VALUE"""),80.12184)</f>
        <v>80.12184</v>
      </c>
      <c r="F23893" s="4">
        <f>IFERROR(__xludf.DUMMYFUNCTION("""COMPUTED_VALUE"""),5339.0)</f>
        <v>5339</v>
      </c>
      <c r="G23893" s="4">
        <f>IFERROR(__xludf.DUMMYFUNCTION("""COMPUTED_VALUE"""),28.0)</f>
        <v>28</v>
      </c>
      <c r="H23893" s="4"/>
      <c r="I23893" s="4"/>
    </row>
    <row r="23894">
      <c r="A23894" s="4" t="str">
        <f>IFERROR(__xludf.DUMMYFUNCTION("""COMPUTED_VALUE"""),"cas_hmw")</f>
        <v>cas_hmw</v>
      </c>
      <c r="B23894" s="5">
        <f>IFERROR(__xludf.DUMMYFUNCTION("""COMPUTED_VALUE"""),44797.0)</f>
        <v>44797</v>
      </c>
      <c r="C23894" s="6">
        <f>IFERROR(__xludf.DUMMYFUNCTION("""COMPUTED_VALUE"""),0.3382986111100763)</f>
        <v>0.3382986111</v>
      </c>
      <c r="D23894" s="4">
        <f>IFERROR(__xludf.DUMMYFUNCTION("""COMPUTED_VALUE"""),12.980814)</f>
        <v>12.980814</v>
      </c>
      <c r="E23894" s="4">
        <f>IFERROR(__xludf.DUMMYFUNCTION("""COMPUTED_VALUE"""),80.165684)</f>
        <v>80.165684</v>
      </c>
      <c r="F23894" s="4">
        <f>IFERROR(__xludf.DUMMYFUNCTION("""COMPUTED_VALUE"""),3143.0)</f>
        <v>3143</v>
      </c>
      <c r="G23894" s="4">
        <f>IFERROR(__xludf.DUMMYFUNCTION("""COMPUTED_VALUE"""),41.0)</f>
        <v>41</v>
      </c>
      <c r="H23894" s="4"/>
      <c r="I23894" s="4"/>
    </row>
    <row r="23895">
      <c r="A23895" s="4" t="str">
        <f>IFERROR(__xludf.DUMMYFUNCTION("""COMPUTED_VALUE"""),"cas_hmw")</f>
        <v>cas_hmw</v>
      </c>
      <c r="B23895" s="5">
        <f>IFERROR(__xludf.DUMMYFUNCTION("""COMPUTED_VALUE"""),44797.0)</f>
        <v>44797</v>
      </c>
      <c r="C23895" s="6">
        <f>IFERROR(__xludf.DUMMYFUNCTION("""COMPUTED_VALUE"""),0.33861111111036735)</f>
        <v>0.3386111111</v>
      </c>
      <c r="D23895" s="4">
        <f>IFERROR(__xludf.DUMMYFUNCTION("""COMPUTED_VALUE"""),12.97633)</f>
        <v>12.97633</v>
      </c>
      <c r="E23895" s="4">
        <f>IFERROR(__xludf.DUMMYFUNCTION("""COMPUTED_VALUE"""),80.157574)</f>
        <v>80.157574</v>
      </c>
      <c r="F23895" s="4">
        <f>IFERROR(__xludf.DUMMYFUNCTION("""COMPUTED_VALUE"""),3143.0)</f>
        <v>3143</v>
      </c>
      <c r="G23895" s="4">
        <f>IFERROR(__xludf.DUMMYFUNCTION("""COMPUTED_VALUE"""),48.0)</f>
        <v>48</v>
      </c>
      <c r="H23895" s="4"/>
      <c r="I23895" s="4"/>
    </row>
    <row r="23896">
      <c r="A23896" s="4" t="str">
        <f>IFERROR(__xludf.DUMMYFUNCTION("""COMPUTED_VALUE"""),"cas_hmw")</f>
        <v>cas_hmw</v>
      </c>
      <c r="B23896" s="5">
        <f>IFERROR(__xludf.DUMMYFUNCTION("""COMPUTED_VALUE"""),44797.0)</f>
        <v>44797</v>
      </c>
      <c r="C23896" s="6">
        <f>IFERROR(__xludf.DUMMYFUNCTION("""COMPUTED_VALUE"""),0.33864583333343035)</f>
        <v>0.3386458333</v>
      </c>
      <c r="D23896" s="4">
        <f>IFERROR(__xludf.DUMMYFUNCTION("""COMPUTED_VALUE"""),12.928143)</f>
        <v>12.928143</v>
      </c>
      <c r="E23896" s="4">
        <f>IFERROR(__xludf.DUMMYFUNCTION("""COMPUTED_VALUE"""),80.119368)</f>
        <v>80.119368</v>
      </c>
      <c r="F23896" s="4">
        <f>IFERROR(__xludf.DUMMYFUNCTION("""COMPUTED_VALUE"""),5339.0)</f>
        <v>5339</v>
      </c>
      <c r="G23896" s="4">
        <f>IFERROR(__xludf.DUMMYFUNCTION("""COMPUTED_VALUE"""),48.0)</f>
        <v>48</v>
      </c>
      <c r="H23896" s="4"/>
      <c r="I23896" s="4"/>
    </row>
    <row r="23897">
      <c r="A23897" s="4" t="str">
        <f>IFERROR(__xludf.DUMMYFUNCTION("""COMPUTED_VALUE"""),"cas_hmw")</f>
        <v>cas_hmw</v>
      </c>
      <c r="B23897" s="5">
        <f>IFERROR(__xludf.DUMMYFUNCTION("""COMPUTED_VALUE"""),44797.0)</f>
        <v>44797</v>
      </c>
      <c r="C23897" s="6">
        <f>IFERROR(__xludf.DUMMYFUNCTION("""COMPUTED_VALUE"""),0.3391087962954771)</f>
        <v>0.3391087963</v>
      </c>
      <c r="D23897" s="4">
        <f>IFERROR(__xludf.DUMMYFUNCTION("""COMPUTED_VALUE"""),12.925715)</f>
        <v>12.925715</v>
      </c>
      <c r="E23897" s="4">
        <f>IFERROR(__xludf.DUMMYFUNCTION("""COMPUTED_VALUE"""),80.116927)</f>
        <v>80.116927</v>
      </c>
      <c r="F23897" s="4">
        <f>IFERROR(__xludf.DUMMYFUNCTION("""COMPUTED_VALUE"""),5339.0)</f>
        <v>5339</v>
      </c>
      <c r="G23897" s="4">
        <f>IFERROR(__xludf.DUMMYFUNCTION("""COMPUTED_VALUE"""),48.0)</f>
        <v>48</v>
      </c>
      <c r="H23897" s="4"/>
      <c r="I23897" s="4"/>
    </row>
    <row r="23898">
      <c r="A23898" s="4" t="str">
        <f>IFERROR(__xludf.DUMMYFUNCTION("""COMPUTED_VALUE"""),"cas_hmw")</f>
        <v>cas_hmw</v>
      </c>
      <c r="B23898" s="5">
        <f>IFERROR(__xludf.DUMMYFUNCTION("""COMPUTED_VALUE"""),44797.0)</f>
        <v>44797</v>
      </c>
      <c r="C23898" s="6">
        <f>IFERROR(__xludf.DUMMYFUNCTION("""COMPUTED_VALUE"""),0.3392708333340124)</f>
        <v>0.3392708333</v>
      </c>
      <c r="D23898" s="4">
        <f>IFERROR(__xludf.DUMMYFUNCTION("""COMPUTED_VALUE"""),12.974318)</f>
        <v>12.974318</v>
      </c>
      <c r="E23898" s="4">
        <f>IFERROR(__xludf.DUMMYFUNCTION("""COMPUTED_VALUE"""),80.154749)</f>
        <v>80.154749</v>
      </c>
      <c r="F23898" s="4">
        <f>IFERROR(__xludf.DUMMYFUNCTION("""COMPUTED_VALUE"""),3143.0)</f>
        <v>3143</v>
      </c>
      <c r="G23898" s="4">
        <f>IFERROR(__xludf.DUMMYFUNCTION("""COMPUTED_VALUE"""),15.0)</f>
        <v>15</v>
      </c>
      <c r="H23898" s="4"/>
      <c r="I23898" s="4"/>
    </row>
    <row r="23899">
      <c r="A23899" s="4" t="str">
        <f>IFERROR(__xludf.DUMMYFUNCTION("""COMPUTED_VALUE"""),"cas_hmw")</f>
        <v>cas_hmw</v>
      </c>
      <c r="B23899" s="5">
        <f>IFERROR(__xludf.DUMMYFUNCTION("""COMPUTED_VALUE"""),44797.0)</f>
        <v>44797</v>
      </c>
      <c r="C23899" s="6">
        <f>IFERROR(__xludf.DUMMYFUNCTION("""COMPUTED_VALUE"""),0.3396064814805868)</f>
        <v>0.3396064815</v>
      </c>
      <c r="D23899" s="4">
        <f>IFERROR(__xludf.DUMMYFUNCTION("""COMPUTED_VALUE"""),12.972767)</f>
        <v>12.972767</v>
      </c>
      <c r="E23899" s="4">
        <f>IFERROR(__xludf.DUMMYFUNCTION("""COMPUTED_VALUE"""),80.15239)</f>
        <v>80.15239</v>
      </c>
      <c r="F23899" s="4">
        <f>IFERROR(__xludf.DUMMYFUNCTION("""COMPUTED_VALUE"""),3143.0)</f>
        <v>3143</v>
      </c>
      <c r="G23899" s="4">
        <f>IFERROR(__xludf.DUMMYFUNCTION("""COMPUTED_VALUE"""),52.0)</f>
        <v>52</v>
      </c>
      <c r="H23899" s="4"/>
      <c r="I23899" s="4"/>
    </row>
    <row r="23900">
      <c r="A23900" s="4" t="str">
        <f>IFERROR(__xludf.DUMMYFUNCTION("""COMPUTED_VALUE"""),"cas_hmw")</f>
        <v>cas_hmw</v>
      </c>
      <c r="B23900" s="5">
        <f>IFERROR(__xludf.DUMMYFUNCTION("""COMPUTED_VALUE"""),44797.0)</f>
        <v>44797</v>
      </c>
      <c r="C23900" s="6">
        <f>IFERROR(__xludf.DUMMYFUNCTION("""COMPUTED_VALUE"""),0.3398726851846732)</f>
        <v>0.3398726852</v>
      </c>
      <c r="D23900" s="4">
        <f>IFERROR(__xludf.DUMMYFUNCTION("""COMPUTED_VALUE"""),12.920148)</f>
        <v>12.920148</v>
      </c>
      <c r="E23900" s="4">
        <f>IFERROR(__xludf.DUMMYFUNCTION("""COMPUTED_VALUE"""),80.111317)</f>
        <v>80.111317</v>
      </c>
      <c r="F23900" s="4">
        <f>IFERROR(__xludf.DUMMYFUNCTION("""COMPUTED_VALUE"""),5339.0)</f>
        <v>5339</v>
      </c>
      <c r="G23900" s="4">
        <f>IFERROR(__xludf.DUMMYFUNCTION("""COMPUTED_VALUE"""),0.0)</f>
        <v>0</v>
      </c>
      <c r="H23900" s="4"/>
      <c r="I23900" s="4"/>
    </row>
    <row r="23901">
      <c r="A23901" s="4" t="str">
        <f>IFERROR(__xludf.DUMMYFUNCTION("""COMPUTED_VALUE"""),"cas_hmw")</f>
        <v>cas_hmw</v>
      </c>
      <c r="B23901" s="5">
        <f>IFERROR(__xludf.DUMMYFUNCTION("""COMPUTED_VALUE"""),44797.0)</f>
        <v>44797</v>
      </c>
      <c r="C23901" s="6">
        <f>IFERROR(__xludf.DUMMYFUNCTION("""COMPUTED_VALUE"""),0.3413888888899237)</f>
        <v>0.3413888889</v>
      </c>
      <c r="D23901" s="4">
        <f>IFERROR(__xludf.DUMMYFUNCTION("""COMPUTED_VALUE"""),12.912986)</f>
        <v>12.912986</v>
      </c>
      <c r="E23901" s="4">
        <f>IFERROR(__xludf.DUMMYFUNCTION("""COMPUTED_VALUE"""),80.101603)</f>
        <v>80.101603</v>
      </c>
      <c r="F23901" s="4">
        <f>IFERROR(__xludf.DUMMYFUNCTION("""COMPUTED_VALUE"""),5339.0)</f>
        <v>5339</v>
      </c>
      <c r="G23901" s="4">
        <f>IFERROR(__xludf.DUMMYFUNCTION("""COMPUTED_VALUE"""),44.0)</f>
        <v>44</v>
      </c>
      <c r="H23901" s="4"/>
      <c r="I23901" s="4"/>
    </row>
    <row r="23902">
      <c r="A23902" s="4" t="str">
        <f>IFERROR(__xludf.DUMMYFUNCTION("""COMPUTED_VALUE"""),"cas_hmw")</f>
        <v>cas_hmw</v>
      </c>
      <c r="B23902" s="5">
        <f>IFERROR(__xludf.DUMMYFUNCTION("""COMPUTED_VALUE"""),44797.0)</f>
        <v>44797</v>
      </c>
      <c r="C23902" s="6">
        <f>IFERROR(__xludf.DUMMYFUNCTION("""COMPUTED_VALUE"""),0.34194444444437977)</f>
        <v>0.3419444444</v>
      </c>
      <c r="D23902" s="4">
        <f>IFERROR(__xludf.DUMMYFUNCTION("""COMPUTED_VALUE"""),12.964893)</f>
        <v>12.964893</v>
      </c>
      <c r="E23902" s="4">
        <f>IFERROR(__xludf.DUMMYFUNCTION("""COMPUTED_VALUE"""),80.147952)</f>
        <v>80.147952</v>
      </c>
      <c r="F23902" s="4">
        <f>IFERROR(__xludf.DUMMYFUNCTION("""COMPUTED_VALUE"""),3143.0)</f>
        <v>3143</v>
      </c>
      <c r="G23902" s="4">
        <f>IFERROR(__xludf.DUMMYFUNCTION("""COMPUTED_VALUE"""),39.0)</f>
        <v>39</v>
      </c>
      <c r="H23902" s="4"/>
      <c r="I23902" s="4"/>
    </row>
    <row r="23903">
      <c r="A23903" s="4" t="str">
        <f>IFERROR(__xludf.DUMMYFUNCTION("""COMPUTED_VALUE"""),"cas_hmw")</f>
        <v>cas_hmw</v>
      </c>
      <c r="B23903" s="5">
        <f>IFERROR(__xludf.DUMMYFUNCTION("""COMPUTED_VALUE"""),44797.0)</f>
        <v>44797</v>
      </c>
      <c r="C23903" s="6">
        <f>IFERROR(__xludf.DUMMYFUNCTION("""COMPUTED_VALUE"""),0.3421180555560568)</f>
        <v>0.3421180556</v>
      </c>
      <c r="D23903" s="4">
        <f>IFERROR(__xludf.DUMMYFUNCTION("""COMPUTED_VALUE"""),12.96386)</f>
        <v>12.96386</v>
      </c>
      <c r="E23903" s="4">
        <f>IFERROR(__xludf.DUMMYFUNCTION("""COMPUTED_VALUE"""),80.14735)</f>
        <v>80.14735</v>
      </c>
      <c r="F23903" s="4">
        <f>IFERROR(__xludf.DUMMYFUNCTION("""COMPUTED_VALUE"""),3143.0)</f>
        <v>3143</v>
      </c>
      <c r="G23903" s="4">
        <f>IFERROR(__xludf.DUMMYFUNCTION("""COMPUTED_VALUE"""),42.0)</f>
        <v>42</v>
      </c>
      <c r="H23903" s="4"/>
      <c r="I23903" s="4"/>
    </row>
    <row r="23904">
      <c r="A23904" s="4" t="str">
        <f>IFERROR(__xludf.DUMMYFUNCTION("""COMPUTED_VALUE"""),"cas_hmw")</f>
        <v>cas_hmw</v>
      </c>
      <c r="B23904" s="5">
        <f>IFERROR(__xludf.DUMMYFUNCTION("""COMPUTED_VALUE"""),44797.0)</f>
        <v>44797</v>
      </c>
      <c r="C23904" s="6">
        <f>IFERROR(__xludf.DUMMYFUNCTION("""COMPUTED_VALUE"""),0.3421874999985448)</f>
        <v>0.3421875</v>
      </c>
      <c r="D23904" s="4">
        <f>IFERROR(__xludf.DUMMYFUNCTION("""COMPUTED_VALUE"""),12.962947)</f>
        <v>12.962947</v>
      </c>
      <c r="E23904" s="4">
        <f>IFERROR(__xludf.DUMMYFUNCTION("""COMPUTED_VALUE"""),80.146837)</f>
        <v>80.146837</v>
      </c>
      <c r="F23904" s="4">
        <f>IFERROR(__xludf.DUMMYFUNCTION("""COMPUTED_VALUE"""),3143.0)</f>
        <v>3143</v>
      </c>
      <c r="G23904" s="4">
        <f>IFERROR(__xludf.DUMMYFUNCTION("""COMPUTED_VALUE"""),0.0)</f>
        <v>0</v>
      </c>
      <c r="H23904" s="4"/>
      <c r="I23904" s="4"/>
    </row>
    <row r="23905">
      <c r="A23905" s="4" t="str">
        <f>IFERROR(__xludf.DUMMYFUNCTION("""COMPUTED_VALUE"""),"cas_hmw")</f>
        <v>cas_hmw</v>
      </c>
      <c r="B23905" s="5">
        <f>IFERROR(__xludf.DUMMYFUNCTION("""COMPUTED_VALUE"""),44797.0)</f>
        <v>44797</v>
      </c>
      <c r="C23905" s="6">
        <f>IFERROR(__xludf.DUMMYFUNCTION("""COMPUTED_VALUE"""),0.3427314814798592)</f>
        <v>0.3427314815</v>
      </c>
      <c r="D23905" s="4">
        <f>IFERROR(__xludf.DUMMYFUNCTION("""COMPUTED_VALUE"""),12.961442)</f>
        <v>12.961442</v>
      </c>
      <c r="E23905" s="4">
        <f>IFERROR(__xludf.DUMMYFUNCTION("""COMPUTED_VALUE"""),80.146053)</f>
        <v>80.146053</v>
      </c>
      <c r="F23905" s="4">
        <f>IFERROR(__xludf.DUMMYFUNCTION("""COMPUTED_VALUE"""),3143.0)</f>
        <v>3143</v>
      </c>
      <c r="G23905" s="4">
        <f>IFERROR(__xludf.DUMMYFUNCTION("""COMPUTED_VALUE"""),5.0)</f>
        <v>5</v>
      </c>
      <c r="H23905" s="4"/>
      <c r="I23905" s="4"/>
    </row>
    <row r="23906">
      <c r="A23906" s="4" t="str">
        <f>IFERROR(__xludf.DUMMYFUNCTION("""COMPUTED_VALUE"""),"cas_hmw")</f>
        <v>cas_hmw</v>
      </c>
      <c r="B23906" s="5">
        <f>IFERROR(__xludf.DUMMYFUNCTION("""COMPUTED_VALUE"""),44797.0)</f>
        <v>44797</v>
      </c>
      <c r="C23906" s="6">
        <f>IFERROR(__xludf.DUMMYFUNCTION("""COMPUTED_VALUE"""),0.34282407407226856)</f>
        <v>0.3428240741</v>
      </c>
      <c r="D23906" s="4">
        <f>IFERROR(__xludf.DUMMYFUNCTION("""COMPUTED_VALUE"""),12.960677)</f>
        <v>12.960677</v>
      </c>
      <c r="E23906" s="4">
        <f>IFERROR(__xludf.DUMMYFUNCTION("""COMPUTED_VALUE"""),80.14562)</f>
        <v>80.14562</v>
      </c>
      <c r="F23906" s="4">
        <f>IFERROR(__xludf.DUMMYFUNCTION("""COMPUTED_VALUE"""),3143.0)</f>
        <v>3143</v>
      </c>
      <c r="G23906" s="4">
        <f>IFERROR(__xludf.DUMMYFUNCTION("""COMPUTED_VALUE"""),33.0)</f>
        <v>33</v>
      </c>
      <c r="H23906" s="4"/>
      <c r="I23906" s="4"/>
    </row>
    <row r="23907">
      <c r="A23907" s="4" t="str">
        <f>IFERROR(__xludf.DUMMYFUNCTION("""COMPUTED_VALUE"""),"cas_hmw")</f>
        <v>cas_hmw</v>
      </c>
      <c r="B23907" s="5">
        <f>IFERROR(__xludf.DUMMYFUNCTION("""COMPUTED_VALUE"""),44797.0)</f>
        <v>44797</v>
      </c>
      <c r="C23907" s="6">
        <f>IFERROR(__xludf.DUMMYFUNCTION("""COMPUTED_VALUE"""),0.34318287036876427)</f>
        <v>0.3431828704</v>
      </c>
      <c r="D23907" s="4">
        <f>IFERROR(__xludf.DUMMYFUNCTION("""COMPUTED_VALUE"""),12.958043)</f>
        <v>12.958043</v>
      </c>
      <c r="E23907" s="4">
        <f>IFERROR(__xludf.DUMMYFUNCTION("""COMPUTED_VALUE"""),80.144168)</f>
        <v>80.144168</v>
      </c>
      <c r="F23907" s="4">
        <f>IFERROR(__xludf.DUMMYFUNCTION("""COMPUTED_VALUE"""),3143.0)</f>
        <v>3143</v>
      </c>
      <c r="G23907" s="4">
        <f>IFERROR(__xludf.DUMMYFUNCTION("""COMPUTED_VALUE"""),57.0)</f>
        <v>57</v>
      </c>
      <c r="H23907" s="4"/>
      <c r="I23907" s="4"/>
    </row>
    <row r="23908">
      <c r="A23908" s="4" t="str">
        <f>IFERROR(__xludf.DUMMYFUNCTION("""COMPUTED_VALUE"""),"cas_hmw")</f>
        <v>cas_hmw</v>
      </c>
      <c r="B23908" s="5">
        <f>IFERROR(__xludf.DUMMYFUNCTION("""COMPUTED_VALUE"""),44797.0)</f>
        <v>44797</v>
      </c>
      <c r="C23908" s="6">
        <f>IFERROR(__xludf.DUMMYFUNCTION("""COMPUTED_VALUE"""),0.3433564814804413)</f>
        <v>0.3433564815</v>
      </c>
      <c r="D23908" s="4">
        <f>IFERROR(__xludf.DUMMYFUNCTION("""COMPUTED_VALUE"""),12.95677)</f>
        <v>12.95677</v>
      </c>
      <c r="E23908" s="4">
        <f>IFERROR(__xludf.DUMMYFUNCTION("""COMPUTED_VALUE"""),80.143532)</f>
        <v>80.143532</v>
      </c>
      <c r="F23908" s="4">
        <f>IFERROR(__xludf.DUMMYFUNCTION("""COMPUTED_VALUE"""),3143.0)</f>
        <v>3143</v>
      </c>
      <c r="G23908" s="4">
        <f>IFERROR(__xludf.DUMMYFUNCTION("""COMPUTED_VALUE"""),20.0)</f>
        <v>20</v>
      </c>
      <c r="H23908" s="4"/>
      <c r="I23908" s="4"/>
    </row>
    <row r="23909">
      <c r="A23909" s="4" t="str">
        <f>IFERROR(__xludf.DUMMYFUNCTION("""COMPUTED_VALUE"""),"cas_hmw")</f>
        <v>cas_hmw</v>
      </c>
      <c r="B23909" s="5">
        <f>IFERROR(__xludf.DUMMYFUNCTION("""COMPUTED_VALUE"""),44797.0)</f>
        <v>44797</v>
      </c>
      <c r="C23909" s="6">
        <f>IFERROR(__xludf.DUMMYFUNCTION("""COMPUTED_VALUE"""),0.3433912037035043)</f>
        <v>0.3433912037</v>
      </c>
      <c r="D23909" s="4">
        <f>IFERROR(__xludf.DUMMYFUNCTION("""COMPUTED_VALUE"""),12.95677)</f>
        <v>12.95677</v>
      </c>
      <c r="E23909" s="4">
        <f>IFERROR(__xludf.DUMMYFUNCTION("""COMPUTED_VALUE"""),80.143532)</f>
        <v>80.143532</v>
      </c>
      <c r="F23909" s="4">
        <f>IFERROR(__xludf.DUMMYFUNCTION("""COMPUTED_VALUE"""),3143.0)</f>
        <v>3143</v>
      </c>
      <c r="G23909" s="4">
        <f>IFERROR(__xludf.DUMMYFUNCTION("""COMPUTED_VALUE"""),20.0)</f>
        <v>20</v>
      </c>
      <c r="H23909" s="4"/>
      <c r="I23909" s="4"/>
    </row>
    <row r="23910">
      <c r="A23910" s="4" t="str">
        <f>IFERROR(__xludf.DUMMYFUNCTION("""COMPUTED_VALUE"""),"cas_hmw")</f>
        <v>cas_hmw</v>
      </c>
      <c r="B23910" s="5">
        <f>IFERROR(__xludf.DUMMYFUNCTION("""COMPUTED_VALUE"""),44797.0)</f>
        <v>44797</v>
      </c>
      <c r="C23910" s="6">
        <f>IFERROR(__xludf.DUMMYFUNCTION("""COMPUTED_VALUE"""),0.34398148148102337)</f>
        <v>0.3439814815</v>
      </c>
      <c r="D23910" s="4">
        <f>IFERROR(__xludf.DUMMYFUNCTION("""COMPUTED_VALUE"""),12.953539)</f>
        <v>12.953539</v>
      </c>
      <c r="E23910" s="4">
        <f>IFERROR(__xludf.DUMMYFUNCTION("""COMPUTED_VALUE"""),80.141791)</f>
        <v>80.141791</v>
      </c>
      <c r="F23910" s="4">
        <f>IFERROR(__xludf.DUMMYFUNCTION("""COMPUTED_VALUE"""),3143.0)</f>
        <v>3143</v>
      </c>
      <c r="G23910" s="4">
        <f>IFERROR(__xludf.DUMMYFUNCTION("""COMPUTED_VALUE"""),35.0)</f>
        <v>35</v>
      </c>
      <c r="H23910" s="4"/>
      <c r="I23910" s="4"/>
    </row>
    <row r="23911">
      <c r="A23911" s="4" t="str">
        <f>IFERROR(__xludf.DUMMYFUNCTION("""COMPUTED_VALUE"""),"cas_hmw")</f>
        <v>cas_hmw</v>
      </c>
      <c r="B23911" s="5">
        <f>IFERROR(__xludf.DUMMYFUNCTION("""COMPUTED_VALUE"""),44797.0)</f>
        <v>44797</v>
      </c>
      <c r="C23911" s="6">
        <f>IFERROR(__xludf.DUMMYFUNCTION("""COMPUTED_VALUE"""),0.3445138888891961)</f>
        <v>0.3445138889</v>
      </c>
      <c r="D23911" s="4">
        <f>IFERROR(__xludf.DUMMYFUNCTION("""COMPUTED_VALUE"""),12.95076)</f>
        <v>12.95076</v>
      </c>
      <c r="E23911" s="4">
        <f>IFERROR(__xludf.DUMMYFUNCTION("""COMPUTED_VALUE"""),80.139803)</f>
        <v>80.139803</v>
      </c>
      <c r="F23911" s="4">
        <f>IFERROR(__xludf.DUMMYFUNCTION("""COMPUTED_VALUE"""),3143.0)</f>
        <v>3143</v>
      </c>
      <c r="G23911" s="4">
        <f>IFERROR(__xludf.DUMMYFUNCTION("""COMPUTED_VALUE"""),30.0)</f>
        <v>30</v>
      </c>
      <c r="H23911" s="4"/>
      <c r="I23911" s="4"/>
    </row>
    <row r="23912">
      <c r="A23912" s="4" t="str">
        <f>IFERROR(__xludf.DUMMYFUNCTION("""COMPUTED_VALUE"""),"cas_hmw")</f>
        <v>cas_hmw</v>
      </c>
      <c r="B23912" s="5">
        <f>IFERROR(__xludf.DUMMYFUNCTION("""COMPUTED_VALUE"""),44797.0)</f>
        <v>44797</v>
      </c>
      <c r="C23912" s="6">
        <f>IFERROR(__xludf.DUMMYFUNCTION("""COMPUTED_VALUE"""),0.3449421296281798)</f>
        <v>0.3449421296</v>
      </c>
      <c r="D23912" s="4">
        <f>IFERROR(__xludf.DUMMYFUNCTION("""COMPUTED_VALUE"""),12.946866)</f>
        <v>12.946866</v>
      </c>
      <c r="E23912" s="4">
        <f>IFERROR(__xludf.DUMMYFUNCTION("""COMPUTED_VALUE"""),80.136858)</f>
        <v>80.136858</v>
      </c>
      <c r="F23912" s="4">
        <f>IFERROR(__xludf.DUMMYFUNCTION("""COMPUTED_VALUE"""),3143.0)</f>
        <v>3143</v>
      </c>
      <c r="G23912" s="4">
        <f>IFERROR(__xludf.DUMMYFUNCTION("""COMPUTED_VALUE"""),44.0)</f>
        <v>44</v>
      </c>
      <c r="H23912" s="4"/>
      <c r="I23912" s="4"/>
    </row>
    <row r="23913">
      <c r="A23913" s="4" t="str">
        <f>IFERROR(__xludf.DUMMYFUNCTION("""COMPUTED_VALUE"""),"cas_hmw")</f>
        <v>cas_hmw</v>
      </c>
      <c r="B23913" s="5">
        <f>IFERROR(__xludf.DUMMYFUNCTION("""COMPUTED_VALUE"""),44797.0)</f>
        <v>44797</v>
      </c>
      <c r="C23913" s="6">
        <f>IFERROR(__xludf.DUMMYFUNCTION("""COMPUTED_VALUE"""),0.3450925925935735)</f>
        <v>0.3450925926</v>
      </c>
      <c r="D23913" s="4">
        <f>IFERROR(__xludf.DUMMYFUNCTION("""COMPUTED_VALUE"""),12.904909)</f>
        <v>12.904909</v>
      </c>
      <c r="E23913" s="4">
        <f>IFERROR(__xludf.DUMMYFUNCTION("""COMPUTED_VALUE"""),80.095407)</f>
        <v>80.095407</v>
      </c>
      <c r="F23913" s="4">
        <f>IFERROR(__xludf.DUMMYFUNCTION("""COMPUTED_VALUE"""),5339.0)</f>
        <v>5339</v>
      </c>
      <c r="G23913" s="4">
        <f>IFERROR(__xludf.DUMMYFUNCTION("""COMPUTED_VALUE"""),28.0)</f>
        <v>28</v>
      </c>
      <c r="H23913" s="4"/>
      <c r="I23913" s="4"/>
    </row>
    <row r="23914">
      <c r="A23914" s="4" t="str">
        <f>IFERROR(__xludf.DUMMYFUNCTION("""COMPUTED_VALUE"""),"cas_hmw")</f>
        <v>cas_hmw</v>
      </c>
      <c r="B23914" s="5">
        <f>IFERROR(__xludf.DUMMYFUNCTION("""COMPUTED_VALUE"""),44797.0)</f>
        <v>44797</v>
      </c>
      <c r="C23914" s="6">
        <f>IFERROR(__xludf.DUMMYFUNCTION("""COMPUTED_VALUE"""),0.3450925925935735)</f>
        <v>0.3450925926</v>
      </c>
      <c r="D23914" s="4">
        <f>IFERROR(__xludf.DUMMYFUNCTION("""COMPUTED_VALUE"""),12.946866)</f>
        <v>12.946866</v>
      </c>
      <c r="E23914" s="4">
        <f>IFERROR(__xludf.DUMMYFUNCTION("""COMPUTED_VALUE"""),80.136858)</f>
        <v>80.136858</v>
      </c>
      <c r="F23914" s="4">
        <f>IFERROR(__xludf.DUMMYFUNCTION("""COMPUTED_VALUE"""),3143.0)</f>
        <v>3143</v>
      </c>
      <c r="G23914" s="4">
        <f>IFERROR(__xludf.DUMMYFUNCTION("""COMPUTED_VALUE"""),44.0)</f>
        <v>44</v>
      </c>
      <c r="H23914" s="4"/>
      <c r="I23914" s="4"/>
    </row>
    <row r="23915">
      <c r="A23915" s="4" t="str">
        <f>IFERROR(__xludf.DUMMYFUNCTION("""COMPUTED_VALUE"""),"cas_hmw")</f>
        <v>cas_hmw</v>
      </c>
      <c r="B23915" s="5">
        <f>IFERROR(__xludf.DUMMYFUNCTION("""COMPUTED_VALUE"""),44797.0)</f>
        <v>44797</v>
      </c>
      <c r="C23915" s="6">
        <f>IFERROR(__xludf.DUMMYFUNCTION("""COMPUTED_VALUE"""),0.3452314814821875)</f>
        <v>0.3452314815</v>
      </c>
      <c r="D23915" s="4">
        <f>IFERROR(__xludf.DUMMYFUNCTION("""COMPUTED_VALUE"""),12.94535)</f>
        <v>12.94535</v>
      </c>
      <c r="E23915" s="4">
        <f>IFERROR(__xludf.DUMMYFUNCTION("""COMPUTED_VALUE"""),80.135691)</f>
        <v>80.135691</v>
      </c>
      <c r="F23915" s="4">
        <f>IFERROR(__xludf.DUMMYFUNCTION("""COMPUTED_VALUE"""),3143.0)</f>
        <v>3143</v>
      </c>
      <c r="G23915" s="4">
        <f>IFERROR(__xludf.DUMMYFUNCTION("""COMPUTED_VALUE"""),50.0)</f>
        <v>50</v>
      </c>
      <c r="H23915" s="4"/>
      <c r="I23915" s="4"/>
    </row>
    <row r="23916">
      <c r="A23916" s="4" t="str">
        <f>IFERROR(__xludf.DUMMYFUNCTION("""COMPUTED_VALUE"""),"cas_hmw")</f>
        <v>cas_hmw</v>
      </c>
      <c r="B23916" s="5">
        <f>IFERROR(__xludf.DUMMYFUNCTION("""COMPUTED_VALUE"""),44797.0)</f>
        <v>44797</v>
      </c>
      <c r="C23916" s="6">
        <f>IFERROR(__xludf.DUMMYFUNCTION("""COMPUTED_VALUE"""),0.34547453703635256)</f>
        <v>0.345474537</v>
      </c>
      <c r="D23916" s="4">
        <f>IFERROR(__xludf.DUMMYFUNCTION("""COMPUTED_VALUE"""),12.902829)</f>
        <v>12.902829</v>
      </c>
      <c r="E23916" s="4">
        <f>IFERROR(__xludf.DUMMYFUNCTION("""COMPUTED_VALUE"""),80.093693)</f>
        <v>80.093693</v>
      </c>
      <c r="F23916" s="4">
        <f>IFERROR(__xludf.DUMMYFUNCTION("""COMPUTED_VALUE"""),5339.0)</f>
        <v>5339</v>
      </c>
      <c r="G23916" s="4">
        <f>IFERROR(__xludf.DUMMYFUNCTION("""COMPUTED_VALUE"""),33.0)</f>
        <v>33</v>
      </c>
      <c r="H23916" s="4"/>
      <c r="I23916" s="4"/>
    </row>
    <row r="23917">
      <c r="A23917" s="4" t="str">
        <f>IFERROR(__xludf.DUMMYFUNCTION("""COMPUTED_VALUE"""),"cas_hmw")</f>
        <v>cas_hmw</v>
      </c>
      <c r="B23917" s="5">
        <f>IFERROR(__xludf.DUMMYFUNCTION("""COMPUTED_VALUE"""),44797.0)</f>
        <v>44797</v>
      </c>
      <c r="C23917" s="6">
        <f>IFERROR(__xludf.DUMMYFUNCTION("""COMPUTED_VALUE"""),0.3454976851862739)</f>
        <v>0.3454976852</v>
      </c>
      <c r="D23917" s="4">
        <f>IFERROR(__xludf.DUMMYFUNCTION("""COMPUTED_VALUE"""),12.942635)</f>
        <v>12.942635</v>
      </c>
      <c r="E23917" s="4">
        <f>IFERROR(__xludf.DUMMYFUNCTION("""COMPUTED_VALUE"""),80.133403)</f>
        <v>80.133403</v>
      </c>
      <c r="F23917" s="4">
        <f>IFERROR(__xludf.DUMMYFUNCTION("""COMPUTED_VALUE"""),3143.0)</f>
        <v>3143</v>
      </c>
      <c r="G23917" s="4">
        <f>IFERROR(__xludf.DUMMYFUNCTION("""COMPUTED_VALUE"""),44.0)</f>
        <v>44</v>
      </c>
      <c r="H23917" s="4"/>
      <c r="I23917" s="4"/>
    </row>
    <row r="23918">
      <c r="A23918" s="4" t="str">
        <f>IFERROR(__xludf.DUMMYFUNCTION("""COMPUTED_VALUE"""),"cas_hmw")</f>
        <v>cas_hmw</v>
      </c>
      <c r="B23918" s="5">
        <f>IFERROR(__xludf.DUMMYFUNCTION("""COMPUTED_VALUE"""),44797.0)</f>
        <v>44797</v>
      </c>
      <c r="C23918" s="6">
        <f>IFERROR(__xludf.DUMMYFUNCTION("""COMPUTED_VALUE"""),0.3457870370366436)</f>
        <v>0.345787037</v>
      </c>
      <c r="D23918" s="4">
        <f>IFERROR(__xludf.DUMMYFUNCTION("""COMPUTED_VALUE"""),12.941361)</f>
        <v>12.941361</v>
      </c>
      <c r="E23918" s="4">
        <f>IFERROR(__xludf.DUMMYFUNCTION("""COMPUTED_VALUE"""),80.131998)</f>
        <v>80.131998</v>
      </c>
      <c r="F23918" s="4">
        <f>IFERROR(__xludf.DUMMYFUNCTION("""COMPUTED_VALUE"""),3143.0)</f>
        <v>3143</v>
      </c>
      <c r="G23918" s="4">
        <f>IFERROR(__xludf.DUMMYFUNCTION("""COMPUTED_VALUE"""),41.0)</f>
        <v>41</v>
      </c>
      <c r="H23918" s="4"/>
      <c r="I23918" s="4"/>
    </row>
    <row r="23919">
      <c r="A23919" s="4" t="str">
        <f>IFERROR(__xludf.DUMMYFUNCTION("""COMPUTED_VALUE"""),"cas_hmw")</f>
        <v>cas_hmw</v>
      </c>
      <c r="B23919" s="5">
        <f>IFERROR(__xludf.DUMMYFUNCTION("""COMPUTED_VALUE"""),44797.0)</f>
        <v>44797</v>
      </c>
      <c r="C23919" s="6">
        <f>IFERROR(__xludf.DUMMYFUNCTION("""COMPUTED_VALUE"""),0.3459953703713836)</f>
        <v>0.3459953704</v>
      </c>
      <c r="D23919" s="4">
        <f>IFERROR(__xludf.DUMMYFUNCTION("""COMPUTED_VALUE"""),12.940146)</f>
        <v>12.940146</v>
      </c>
      <c r="E23919" s="4">
        <f>IFERROR(__xludf.DUMMYFUNCTION("""COMPUTED_VALUE"""),80.130769)</f>
        <v>80.130769</v>
      </c>
      <c r="F23919" s="4">
        <f>IFERROR(__xludf.DUMMYFUNCTION("""COMPUTED_VALUE"""),3143.0)</f>
        <v>3143</v>
      </c>
      <c r="G23919" s="4">
        <f>IFERROR(__xludf.DUMMYFUNCTION("""COMPUTED_VALUE"""),43.0)</f>
        <v>43</v>
      </c>
      <c r="H23919" s="4"/>
      <c r="I23919" s="4"/>
    </row>
    <row r="23920">
      <c r="A23920" s="4" t="str">
        <f>IFERROR(__xludf.DUMMYFUNCTION("""COMPUTED_VALUE"""),"cas_hmw")</f>
        <v>cas_hmw</v>
      </c>
      <c r="B23920" s="5">
        <f>IFERROR(__xludf.DUMMYFUNCTION("""COMPUTED_VALUE"""),44797.0)</f>
        <v>44797</v>
      </c>
      <c r="C23920" s="6">
        <f>IFERROR(__xludf.DUMMYFUNCTION("""COMPUTED_VALUE"""),0.3463773148141627)</f>
        <v>0.3463773148</v>
      </c>
      <c r="D23920" s="4">
        <f>IFERROR(__xludf.DUMMYFUNCTION("""COMPUTED_VALUE"""),12.937981)</f>
        <v>12.937981</v>
      </c>
      <c r="E23920" s="4">
        <f>IFERROR(__xludf.DUMMYFUNCTION("""COMPUTED_VALUE"""),80.128811)</f>
        <v>80.128811</v>
      </c>
      <c r="F23920" s="4">
        <f>IFERROR(__xludf.DUMMYFUNCTION("""COMPUTED_VALUE"""),3143.0)</f>
        <v>3143</v>
      </c>
      <c r="G23920" s="4">
        <f>IFERROR(__xludf.DUMMYFUNCTION("""COMPUTED_VALUE"""),26.0)</f>
        <v>26</v>
      </c>
      <c r="H23920" s="4"/>
      <c r="I23920" s="4"/>
    </row>
    <row r="23921">
      <c r="A23921" s="4" t="str">
        <f>IFERROR(__xludf.DUMMYFUNCTION("""COMPUTED_VALUE"""),"cas_hmw")</f>
        <v>cas_hmw</v>
      </c>
      <c r="B23921" s="5">
        <f>IFERROR(__xludf.DUMMYFUNCTION("""COMPUTED_VALUE"""),44797.0)</f>
        <v>44797</v>
      </c>
      <c r="C23921" s="6">
        <f>IFERROR(__xludf.DUMMYFUNCTION("""COMPUTED_VALUE"""),0.34638888888730435)</f>
        <v>0.3463888889</v>
      </c>
      <c r="D23921" s="4">
        <f>IFERROR(__xludf.DUMMYFUNCTION("""COMPUTED_VALUE"""),12.937981)</f>
        <v>12.937981</v>
      </c>
      <c r="E23921" s="4">
        <f>IFERROR(__xludf.DUMMYFUNCTION("""COMPUTED_VALUE"""),80.128811)</f>
        <v>80.128811</v>
      </c>
      <c r="F23921" s="4">
        <f>IFERROR(__xludf.DUMMYFUNCTION("""COMPUTED_VALUE"""),3143.0)</f>
        <v>3143</v>
      </c>
      <c r="G23921" s="4">
        <f>IFERROR(__xludf.DUMMYFUNCTION("""COMPUTED_VALUE"""),26.0)</f>
        <v>26</v>
      </c>
      <c r="H23921" s="4"/>
      <c r="I23921" s="4"/>
    </row>
    <row r="23922">
      <c r="A23922" s="4" t="str">
        <f>IFERROR(__xludf.DUMMYFUNCTION("""COMPUTED_VALUE"""),"cas_hmw")</f>
        <v>cas_hmw</v>
      </c>
      <c r="B23922" s="5">
        <f>IFERROR(__xludf.DUMMYFUNCTION("""COMPUTED_VALUE"""),44797.0)</f>
        <v>44797</v>
      </c>
      <c r="C23922" s="6">
        <f>IFERROR(__xludf.DUMMYFUNCTION("""COMPUTED_VALUE"""),0.34682870370306773)</f>
        <v>0.3468287037</v>
      </c>
      <c r="D23922" s="4">
        <f>IFERROR(__xludf.DUMMYFUNCTION("""COMPUTED_VALUE"""),12.936067)</f>
        <v>12.936067</v>
      </c>
      <c r="E23922" s="4">
        <f>IFERROR(__xludf.DUMMYFUNCTION("""COMPUTED_VALUE"""),80.127196)</f>
        <v>80.127196</v>
      </c>
      <c r="F23922" s="4">
        <f>IFERROR(__xludf.DUMMYFUNCTION("""COMPUTED_VALUE"""),3143.0)</f>
        <v>3143</v>
      </c>
      <c r="G23922" s="4">
        <f>IFERROR(__xludf.DUMMYFUNCTION("""COMPUTED_VALUE"""),24.0)</f>
        <v>24</v>
      </c>
      <c r="H23922" s="4"/>
      <c r="I23922" s="4"/>
    </row>
    <row r="23923">
      <c r="A23923" s="4" t="str">
        <f>IFERROR(__xludf.DUMMYFUNCTION("""COMPUTED_VALUE"""),"cas_hmw")</f>
        <v>cas_hmw</v>
      </c>
      <c r="B23923" s="5">
        <f>IFERROR(__xludf.DUMMYFUNCTION("""COMPUTED_VALUE"""),44797.0)</f>
        <v>44797</v>
      </c>
      <c r="C23923" s="6">
        <f>IFERROR(__xludf.DUMMYFUNCTION("""COMPUTED_VALUE"""),0.3472337962957681)</f>
        <v>0.3472337963</v>
      </c>
      <c r="D23923" s="4">
        <f>IFERROR(__xludf.DUMMYFUNCTION("""COMPUTED_VALUE"""),12.933727)</f>
        <v>12.933727</v>
      </c>
      <c r="E23923" s="4">
        <f>IFERROR(__xludf.DUMMYFUNCTION("""COMPUTED_VALUE"""),80.124964)</f>
        <v>80.124964</v>
      </c>
      <c r="F23923" s="4">
        <f>IFERROR(__xludf.DUMMYFUNCTION("""COMPUTED_VALUE"""),3143.0)</f>
        <v>3143</v>
      </c>
      <c r="G23923" s="4">
        <f>IFERROR(__xludf.DUMMYFUNCTION("""COMPUTED_VALUE"""),43.0)</f>
        <v>43</v>
      </c>
      <c r="H23923" s="4"/>
      <c r="I23923" s="4"/>
    </row>
    <row r="23924">
      <c r="A23924" s="4" t="str">
        <f>IFERROR(__xludf.DUMMYFUNCTION("""COMPUTED_VALUE"""),"cas_hmw")</f>
        <v>cas_hmw</v>
      </c>
      <c r="B23924" s="5">
        <f>IFERROR(__xludf.DUMMYFUNCTION("""COMPUTED_VALUE"""),44797.0)</f>
        <v>44797</v>
      </c>
      <c r="C23924" s="6">
        <f>IFERROR(__xludf.DUMMYFUNCTION("""COMPUTED_VALUE"""),0.3481944444429246)</f>
        <v>0.3481944444</v>
      </c>
      <c r="D23924" s="4">
        <f>IFERROR(__xludf.DUMMYFUNCTION("""COMPUTED_VALUE"""),12.930006)</f>
        <v>12.930006</v>
      </c>
      <c r="E23924" s="4">
        <f>IFERROR(__xludf.DUMMYFUNCTION("""COMPUTED_VALUE"""),80.121309)</f>
        <v>80.121309</v>
      </c>
      <c r="F23924" s="4">
        <f>IFERROR(__xludf.DUMMYFUNCTION("""COMPUTED_VALUE"""),3143.0)</f>
        <v>3143</v>
      </c>
      <c r="G23924" s="4">
        <f>IFERROR(__xludf.DUMMYFUNCTION("""COMPUTED_VALUE"""),34.0)</f>
        <v>34</v>
      </c>
      <c r="H23924" s="4"/>
      <c r="I23924" s="4"/>
    </row>
    <row r="23925">
      <c r="A23925" s="4" t="str">
        <f>IFERROR(__xludf.DUMMYFUNCTION("""COMPUTED_VALUE"""),"cas_hmw")</f>
        <v>cas_hmw</v>
      </c>
      <c r="B23925" s="5">
        <f>IFERROR(__xludf.DUMMYFUNCTION("""COMPUTED_VALUE"""),44797.0)</f>
        <v>44797</v>
      </c>
      <c r="C23925" s="6">
        <f>IFERROR(__xludf.DUMMYFUNCTION("""COMPUTED_VALUE"""),0.34827546296219225)</f>
        <v>0.348275463</v>
      </c>
      <c r="D23925" s="4">
        <f>IFERROR(__xludf.DUMMYFUNCTION("""COMPUTED_VALUE"""),12.928957)</f>
        <v>12.928957</v>
      </c>
      <c r="E23925" s="4">
        <f>IFERROR(__xludf.DUMMYFUNCTION("""COMPUTED_VALUE"""),80.120187)</f>
        <v>80.120187</v>
      </c>
      <c r="F23925" s="4">
        <f>IFERROR(__xludf.DUMMYFUNCTION("""COMPUTED_VALUE"""),3143.0)</f>
        <v>3143</v>
      </c>
      <c r="G23925" s="4">
        <f>IFERROR(__xludf.DUMMYFUNCTION("""COMPUTED_VALUE"""),42.0)</f>
        <v>42</v>
      </c>
      <c r="H23925" s="4"/>
      <c r="I23925" s="4"/>
    </row>
    <row r="23926">
      <c r="A23926" s="4" t="str">
        <f>IFERROR(__xludf.DUMMYFUNCTION("""COMPUTED_VALUE"""),"cas_hmw")</f>
        <v>cas_hmw</v>
      </c>
      <c r="B23926" s="5">
        <f>IFERROR(__xludf.DUMMYFUNCTION("""COMPUTED_VALUE"""),44797.0)</f>
        <v>44797</v>
      </c>
      <c r="C23926" s="6">
        <f>IFERROR(__xludf.DUMMYFUNCTION("""COMPUTED_VALUE"""),0.3483912037045229)</f>
        <v>0.3483912037</v>
      </c>
      <c r="D23926" s="4">
        <f>IFERROR(__xludf.DUMMYFUNCTION("""COMPUTED_VALUE"""),12.927858)</f>
        <v>12.927858</v>
      </c>
      <c r="E23926" s="4">
        <f>IFERROR(__xludf.DUMMYFUNCTION("""COMPUTED_VALUE"""),80.119047)</f>
        <v>80.119047</v>
      </c>
      <c r="F23926" s="4">
        <f>IFERROR(__xludf.DUMMYFUNCTION("""COMPUTED_VALUE"""),3143.0)</f>
        <v>3143</v>
      </c>
      <c r="G23926" s="4">
        <f>IFERROR(__xludf.DUMMYFUNCTION("""COMPUTED_VALUE"""),40.0)</f>
        <v>40</v>
      </c>
      <c r="H23926" s="4"/>
      <c r="I23926" s="4"/>
    </row>
    <row r="23927">
      <c r="A23927" s="4" t="str">
        <f>IFERROR(__xludf.DUMMYFUNCTION("""COMPUTED_VALUE"""),"cas_hmw")</f>
        <v>cas_hmw</v>
      </c>
      <c r="B23927" s="5">
        <f>IFERROR(__xludf.DUMMYFUNCTION("""COMPUTED_VALUE"""),44797.0)</f>
        <v>44797</v>
      </c>
      <c r="C23927" s="6">
        <f>IFERROR(__xludf.DUMMYFUNCTION("""COMPUTED_VALUE"""),0.3495601851864194)</f>
        <v>0.3495601852</v>
      </c>
      <c r="D23927" s="4">
        <f>IFERROR(__xludf.DUMMYFUNCTION("""COMPUTED_VALUE"""),12.919333)</f>
        <v>12.919333</v>
      </c>
      <c r="E23927" s="4">
        <f>IFERROR(__xludf.DUMMYFUNCTION("""COMPUTED_VALUE"""),80.11025)</f>
        <v>80.11025</v>
      </c>
      <c r="F23927" s="4">
        <f>IFERROR(__xludf.DUMMYFUNCTION("""COMPUTED_VALUE"""),3143.0)</f>
        <v>3143</v>
      </c>
      <c r="G23927" s="4">
        <f>IFERROR(__xludf.DUMMYFUNCTION("""COMPUTED_VALUE"""),58.0)</f>
        <v>58</v>
      </c>
      <c r="H23927" s="4"/>
      <c r="I23927" s="4"/>
    </row>
    <row r="23928">
      <c r="A23928" s="4" t="str">
        <f>IFERROR(__xludf.DUMMYFUNCTION("""COMPUTED_VALUE"""),"cas_hmw")</f>
        <v>cas_hmw</v>
      </c>
      <c r="B23928" s="5">
        <f>IFERROR(__xludf.DUMMYFUNCTION("""COMPUTED_VALUE"""),44797.0)</f>
        <v>44797</v>
      </c>
      <c r="C23928" s="6">
        <f>IFERROR(__xludf.DUMMYFUNCTION("""COMPUTED_VALUE"""),0.3500810185178125)</f>
        <v>0.3500810185</v>
      </c>
      <c r="D23928" s="4">
        <f>IFERROR(__xludf.DUMMYFUNCTION("""COMPUTED_VALUE"""),12.915805)</f>
        <v>12.915805</v>
      </c>
      <c r="E23928" s="4">
        <f>IFERROR(__xludf.DUMMYFUNCTION("""COMPUTED_VALUE"""),80.105001)</f>
        <v>80.105001</v>
      </c>
      <c r="F23928" s="4">
        <f>IFERROR(__xludf.DUMMYFUNCTION("""COMPUTED_VALUE"""),3143.0)</f>
        <v>3143</v>
      </c>
      <c r="G23928" s="4">
        <f>IFERROR(__xludf.DUMMYFUNCTION("""COMPUTED_VALUE"""),48.0)</f>
        <v>48</v>
      </c>
      <c r="H23928" s="4"/>
      <c r="I23928" s="4"/>
    </row>
    <row r="23929">
      <c r="A23929" s="4" t="str">
        <f>IFERROR(__xludf.DUMMYFUNCTION("""COMPUTED_VALUE"""),"cas_hmw")</f>
        <v>cas_hmw</v>
      </c>
      <c r="B23929" s="5">
        <f>IFERROR(__xludf.DUMMYFUNCTION("""COMPUTED_VALUE"""),44797.0)</f>
        <v>44797</v>
      </c>
      <c r="C23929" s="6">
        <f>IFERROR(__xludf.DUMMYFUNCTION("""COMPUTED_VALUE"""),0.35391203703693463)</f>
        <v>0.353912037</v>
      </c>
      <c r="D23929" s="4">
        <f>IFERROR(__xludf.DUMMYFUNCTION("""COMPUTED_VALUE"""),12.905102)</f>
        <v>12.905102</v>
      </c>
      <c r="E23929" s="4">
        <f>IFERROR(__xludf.DUMMYFUNCTION("""COMPUTED_VALUE"""),80.095534)</f>
        <v>80.095534</v>
      </c>
      <c r="F23929" s="4">
        <f>IFERROR(__xludf.DUMMYFUNCTION("""COMPUTED_VALUE"""),3143.0)</f>
        <v>3143</v>
      </c>
      <c r="G23929" s="4">
        <f>IFERROR(__xludf.DUMMYFUNCTION("""COMPUTED_VALUE"""),18.0)</f>
        <v>18</v>
      </c>
      <c r="H23929" s="4"/>
      <c r="I23929" s="4"/>
    </row>
    <row r="23930">
      <c r="A23930" s="4" t="str">
        <f>IFERROR(__xludf.DUMMYFUNCTION("""COMPUTED_VALUE"""),"cas_hmw")</f>
        <v>cas_hmw</v>
      </c>
      <c r="B23930" s="5">
        <f>IFERROR(__xludf.DUMMYFUNCTION("""COMPUTED_VALUE"""),44797.0)</f>
        <v>44797</v>
      </c>
      <c r="C23930" s="6">
        <f>IFERROR(__xludf.DUMMYFUNCTION("""COMPUTED_VALUE"""),0.35394675925999763)</f>
        <v>0.3539467593</v>
      </c>
      <c r="D23930" s="4">
        <f>IFERROR(__xludf.DUMMYFUNCTION("""COMPUTED_VALUE"""),12.904298)</f>
        <v>12.904298</v>
      </c>
      <c r="E23930" s="4">
        <f>IFERROR(__xludf.DUMMYFUNCTION("""COMPUTED_VALUE"""),80.094945)</f>
        <v>80.094945</v>
      </c>
      <c r="F23930" s="4">
        <f>IFERROR(__xludf.DUMMYFUNCTION("""COMPUTED_VALUE"""),3143.0)</f>
        <v>3143</v>
      </c>
      <c r="G23930" s="4">
        <f>IFERROR(__xludf.DUMMYFUNCTION("""COMPUTED_VALUE"""),29.0)</f>
        <v>29</v>
      </c>
      <c r="H23930" s="4"/>
      <c r="I23930" s="4"/>
    </row>
    <row r="23931">
      <c r="A23931" s="4" t="str">
        <f>IFERROR(__xludf.DUMMYFUNCTION("""COMPUTED_VALUE"""),"cas_hmw")</f>
        <v>cas_hmw</v>
      </c>
      <c r="B23931" s="5">
        <f>IFERROR(__xludf.DUMMYFUNCTION("""COMPUTED_VALUE"""),44797.0)</f>
        <v>44797</v>
      </c>
      <c r="C23931" s="6">
        <f>IFERROR(__xludf.DUMMYFUNCTION("""COMPUTED_VALUE"""),0.3540277777792653)</f>
        <v>0.3540277778</v>
      </c>
      <c r="D23931" s="4">
        <f>IFERROR(__xludf.DUMMYFUNCTION("""COMPUTED_VALUE"""),12.904298)</f>
        <v>12.904298</v>
      </c>
      <c r="E23931" s="4">
        <f>IFERROR(__xludf.DUMMYFUNCTION("""COMPUTED_VALUE"""),80.094945)</f>
        <v>80.094945</v>
      </c>
      <c r="F23931" s="4">
        <f>IFERROR(__xludf.DUMMYFUNCTION("""COMPUTED_VALUE"""),3143.0)</f>
        <v>3143</v>
      </c>
      <c r="G23931" s="4">
        <f>IFERROR(__xludf.DUMMYFUNCTION("""COMPUTED_VALUE"""),29.0)</f>
        <v>29</v>
      </c>
      <c r="H23931" s="4"/>
      <c r="I23931" s="4"/>
    </row>
    <row r="23932">
      <c r="A23932" s="4" t="str">
        <f>IFERROR(__xludf.DUMMYFUNCTION("""COMPUTED_VALUE"""),"cas_hmw")</f>
        <v>cas_hmw</v>
      </c>
      <c r="B23932" s="5">
        <f>IFERROR(__xludf.DUMMYFUNCTION("""COMPUTED_VALUE"""),44797.0)</f>
        <v>44797</v>
      </c>
      <c r="C23932" s="6">
        <f>IFERROR(__xludf.DUMMYFUNCTION("""COMPUTED_VALUE"""),0.3542592592602887)</f>
        <v>0.3542592593</v>
      </c>
      <c r="D23932" s="4">
        <f>IFERROR(__xludf.DUMMYFUNCTION("""COMPUTED_VALUE"""),12.903477)</f>
        <v>12.903477</v>
      </c>
      <c r="E23932" s="4">
        <f>IFERROR(__xludf.DUMMYFUNCTION("""COMPUTED_VALUE"""),80.094257)</f>
        <v>80.094257</v>
      </c>
      <c r="F23932" s="4">
        <f>IFERROR(__xludf.DUMMYFUNCTION("""COMPUTED_VALUE"""),3143.0)</f>
        <v>3143</v>
      </c>
      <c r="G23932" s="4">
        <f>IFERROR(__xludf.DUMMYFUNCTION("""COMPUTED_VALUE"""),25.0)</f>
        <v>25</v>
      </c>
      <c r="H23932" s="4"/>
      <c r="I23932" s="4"/>
    </row>
    <row r="23933">
      <c r="A23933" s="4" t="str">
        <f>IFERROR(__xludf.DUMMYFUNCTION("""COMPUTED_VALUE"""),"cas_hmw")</f>
        <v>cas_hmw</v>
      </c>
      <c r="B23933" s="5">
        <f>IFERROR(__xludf.DUMMYFUNCTION("""COMPUTED_VALUE"""),44797.0)</f>
        <v>44797</v>
      </c>
      <c r="C23933" s="6">
        <f>IFERROR(__xludf.DUMMYFUNCTION("""COMPUTED_VALUE"""),0.35612268518525525)</f>
        <v>0.3561226852</v>
      </c>
      <c r="D23933" s="4">
        <f>IFERROR(__xludf.DUMMYFUNCTION("""COMPUTED_VALUE"""),12.896605)</f>
        <v>12.896605</v>
      </c>
      <c r="E23933" s="4">
        <f>IFERROR(__xludf.DUMMYFUNCTION("""COMPUTED_VALUE"""),80.088967)</f>
        <v>80.088967</v>
      </c>
      <c r="F23933" s="4">
        <f>IFERROR(__xludf.DUMMYFUNCTION("""COMPUTED_VALUE"""),3143.0)</f>
        <v>3143</v>
      </c>
      <c r="G23933" s="4">
        <f>IFERROR(__xludf.DUMMYFUNCTION("""COMPUTED_VALUE"""),21.0)</f>
        <v>21</v>
      </c>
      <c r="H23933" s="4"/>
      <c r="I23933" s="4"/>
    </row>
    <row r="23934">
      <c r="A23934" s="4" t="str">
        <f>IFERROR(__xludf.DUMMYFUNCTION("""COMPUTED_VALUE"""),"cas_hmw")</f>
        <v>cas_hmw</v>
      </c>
      <c r="B23934" s="5">
        <f>IFERROR(__xludf.DUMMYFUNCTION("""COMPUTED_VALUE"""),44797.0)</f>
        <v>44797</v>
      </c>
      <c r="C23934" s="6">
        <f>IFERROR(__xludf.DUMMYFUNCTION("""COMPUTED_VALUE"""),0.6905324074068631)</f>
        <v>0.6905324074</v>
      </c>
      <c r="D23934" s="4">
        <f>IFERROR(__xludf.DUMMYFUNCTION("""COMPUTED_VALUE"""),12.8804)</f>
        <v>12.8804</v>
      </c>
      <c r="E23934" s="4">
        <f>IFERROR(__xludf.DUMMYFUNCTION("""COMPUTED_VALUE"""),80.080458)</f>
        <v>80.080458</v>
      </c>
      <c r="F23934" s="4">
        <f>IFERROR(__xludf.DUMMYFUNCTION("""COMPUTED_VALUE"""),5339.0)</f>
        <v>5339</v>
      </c>
      <c r="G23934" s="4">
        <f>IFERROR(__xludf.DUMMYFUNCTION("""COMPUTED_VALUE"""),36.0)</f>
        <v>36</v>
      </c>
      <c r="H23934" s="4"/>
      <c r="I23934" s="4"/>
    </row>
    <row r="23935">
      <c r="A23935" s="4" t="str">
        <f>IFERROR(__xludf.DUMMYFUNCTION("""COMPUTED_VALUE"""),"cas_hmw")</f>
        <v>cas_hmw</v>
      </c>
      <c r="B23935" s="5">
        <f>IFERROR(__xludf.DUMMYFUNCTION("""COMPUTED_VALUE"""),44797.0)</f>
        <v>44797</v>
      </c>
      <c r="C23935" s="6">
        <f>IFERROR(__xludf.DUMMYFUNCTION("""COMPUTED_VALUE"""),0.6911111111112405)</f>
        <v>0.6911111111</v>
      </c>
      <c r="D23935" s="4">
        <f>IFERROR(__xludf.DUMMYFUNCTION("""COMPUTED_VALUE"""),12.88454)</f>
        <v>12.88454</v>
      </c>
      <c r="E23935" s="4">
        <f>IFERROR(__xludf.DUMMYFUNCTION("""COMPUTED_VALUE"""),80.081935)</f>
        <v>80.081935</v>
      </c>
      <c r="F23935" s="4">
        <f>IFERROR(__xludf.DUMMYFUNCTION("""COMPUTED_VALUE"""),5339.0)</f>
        <v>5339</v>
      </c>
      <c r="G23935" s="4">
        <f>IFERROR(__xludf.DUMMYFUNCTION("""COMPUTED_VALUE"""),41.0)</f>
        <v>41</v>
      </c>
      <c r="H23935" s="4"/>
      <c r="I23935" s="4"/>
    </row>
    <row r="23936">
      <c r="A23936" s="4" t="str">
        <f>IFERROR(__xludf.DUMMYFUNCTION("""COMPUTED_VALUE"""),"cas_hmw")</f>
        <v>cas_hmw</v>
      </c>
      <c r="B23936" s="5">
        <f>IFERROR(__xludf.DUMMYFUNCTION("""COMPUTED_VALUE"""),44797.0)</f>
        <v>44797</v>
      </c>
      <c r="C23936" s="6">
        <f>IFERROR(__xludf.DUMMYFUNCTION("""COMPUTED_VALUE"""),0.6932523148134351)</f>
        <v>0.6932523148</v>
      </c>
      <c r="D23936" s="4">
        <f>IFERROR(__xludf.DUMMYFUNCTION("""COMPUTED_VALUE"""),12.905401)</f>
        <v>12.905401</v>
      </c>
      <c r="E23936" s="4">
        <f>IFERROR(__xludf.DUMMYFUNCTION("""COMPUTED_VALUE"""),80.095417)</f>
        <v>80.095417</v>
      </c>
      <c r="F23936" s="4">
        <f>IFERROR(__xludf.DUMMYFUNCTION("""COMPUTED_VALUE"""),5339.0)</f>
        <v>5339</v>
      </c>
      <c r="G23936" s="4">
        <f>IFERROR(__xludf.DUMMYFUNCTION("""COMPUTED_VALUE"""),47.0)</f>
        <v>47</v>
      </c>
      <c r="H23936" s="4"/>
      <c r="I23936" s="4"/>
    </row>
    <row r="23937">
      <c r="A23937" s="4" t="str">
        <f>IFERROR(__xludf.DUMMYFUNCTION("""COMPUTED_VALUE"""),"cas_hmw")</f>
        <v>cas_hmw</v>
      </c>
      <c r="B23937" s="5">
        <f>IFERROR(__xludf.DUMMYFUNCTION("""COMPUTED_VALUE"""),44797.0)</f>
        <v>44797</v>
      </c>
      <c r="C23937" s="6">
        <f>IFERROR(__xludf.DUMMYFUNCTION("""COMPUTED_VALUE"""),0.6943171296297805)</f>
        <v>0.6943171296</v>
      </c>
      <c r="D23937" s="4">
        <f>IFERROR(__xludf.DUMMYFUNCTION("""COMPUTED_VALUE"""),12.911806)</f>
        <v>12.911806</v>
      </c>
      <c r="E23937" s="4">
        <f>IFERROR(__xludf.DUMMYFUNCTION("""COMPUTED_VALUE"""),80.10132)</f>
        <v>80.10132</v>
      </c>
      <c r="F23937" s="4">
        <f>IFERROR(__xludf.DUMMYFUNCTION("""COMPUTED_VALUE"""),5339.0)</f>
        <v>5339</v>
      </c>
      <c r="G23937" s="4">
        <f>IFERROR(__xludf.DUMMYFUNCTION("""COMPUTED_VALUE"""),24.0)</f>
        <v>24</v>
      </c>
      <c r="H23937" s="4"/>
      <c r="I23937" s="4"/>
    </row>
    <row r="23938">
      <c r="A23938" s="4" t="str">
        <f>IFERROR(__xludf.DUMMYFUNCTION("""COMPUTED_VALUE"""),"cas_hmw")</f>
        <v>cas_hmw</v>
      </c>
      <c r="B23938" s="5">
        <f>IFERROR(__xludf.DUMMYFUNCTION("""COMPUTED_VALUE"""),44797.0)</f>
        <v>44797</v>
      </c>
      <c r="C23938" s="6">
        <f>IFERROR(__xludf.DUMMYFUNCTION("""COMPUTED_VALUE"""),0.6947916666649689)</f>
        <v>0.6947916667</v>
      </c>
      <c r="D23938" s="4">
        <f>IFERROR(__xludf.DUMMYFUNCTION("""COMPUTED_VALUE"""),12.915664)</f>
        <v>12.915664</v>
      </c>
      <c r="E23938" s="4">
        <f>IFERROR(__xludf.DUMMYFUNCTION("""COMPUTED_VALUE"""),80.103355)</f>
        <v>80.103355</v>
      </c>
      <c r="F23938" s="4">
        <f>IFERROR(__xludf.DUMMYFUNCTION("""COMPUTED_VALUE"""),5339.0)</f>
        <v>5339</v>
      </c>
      <c r="G23938" s="4">
        <f>IFERROR(__xludf.DUMMYFUNCTION("""COMPUTED_VALUE"""),55.0)</f>
        <v>55</v>
      </c>
      <c r="H23938" s="4"/>
      <c r="I23938" s="4"/>
    </row>
    <row r="23939">
      <c r="A23939" s="4" t="str">
        <f>IFERROR(__xludf.DUMMYFUNCTION("""COMPUTED_VALUE"""),"cas_hmw")</f>
        <v>cas_hmw</v>
      </c>
      <c r="B23939" s="5">
        <f>IFERROR(__xludf.DUMMYFUNCTION("""COMPUTED_VALUE"""),44797.0)</f>
        <v>44797</v>
      </c>
      <c r="C23939" s="6">
        <f>IFERROR(__xludf.DUMMYFUNCTION("""COMPUTED_VALUE"""),0.6948726851842366)</f>
        <v>0.6948726852</v>
      </c>
      <c r="D23939" s="4">
        <f>IFERROR(__xludf.DUMMYFUNCTION("""COMPUTED_VALUE"""),12.915664)</f>
        <v>12.915664</v>
      </c>
      <c r="E23939" s="4">
        <f>IFERROR(__xludf.DUMMYFUNCTION("""COMPUTED_VALUE"""),80.103355)</f>
        <v>80.103355</v>
      </c>
      <c r="F23939" s="4">
        <f>IFERROR(__xludf.DUMMYFUNCTION("""COMPUTED_VALUE"""),5339.0)</f>
        <v>5339</v>
      </c>
      <c r="G23939" s="4">
        <f>IFERROR(__xludf.DUMMYFUNCTION("""COMPUTED_VALUE"""),55.0)</f>
        <v>55</v>
      </c>
      <c r="H23939" s="4"/>
      <c r="I23939" s="4"/>
    </row>
    <row r="23940">
      <c r="A23940" s="4" t="str">
        <f>IFERROR(__xludf.DUMMYFUNCTION("""COMPUTED_VALUE"""),"cas_hmw")</f>
        <v>cas_hmw</v>
      </c>
      <c r="B23940" s="5">
        <f>IFERROR(__xludf.DUMMYFUNCTION("""COMPUTED_VALUE"""),44797.0)</f>
        <v>44797</v>
      </c>
      <c r="C23940" s="6">
        <f>IFERROR(__xludf.DUMMYFUNCTION("""COMPUTED_VALUE"""),0.6962500000008731)</f>
        <v>0.69625</v>
      </c>
      <c r="D23940" s="4">
        <f>IFERROR(__xludf.DUMMYFUNCTION("""COMPUTED_VALUE"""),12.918347)</f>
        <v>12.918347</v>
      </c>
      <c r="E23940" s="4">
        <f>IFERROR(__xludf.DUMMYFUNCTION("""COMPUTED_VALUE"""),80.108895)</f>
        <v>80.108895</v>
      </c>
      <c r="F23940" s="4">
        <f>IFERROR(__xludf.DUMMYFUNCTION("""COMPUTED_VALUE"""),5339.0)</f>
        <v>5339</v>
      </c>
      <c r="G23940" s="4">
        <f>IFERROR(__xludf.DUMMYFUNCTION("""COMPUTED_VALUE"""),49.0)</f>
        <v>49</v>
      </c>
      <c r="H23940" s="4"/>
      <c r="I23940" s="4"/>
    </row>
    <row r="23941">
      <c r="A23941" s="4" t="str">
        <f>IFERROR(__xludf.DUMMYFUNCTION("""COMPUTED_VALUE"""),"cas_hmw")</f>
        <v>cas_hmw</v>
      </c>
      <c r="B23941" s="5">
        <f>IFERROR(__xludf.DUMMYFUNCTION("""COMPUTED_VALUE"""),44797.0)</f>
        <v>44797</v>
      </c>
      <c r="C23941" s="6">
        <f>IFERROR(__xludf.DUMMYFUNCTION("""COMPUTED_VALUE"""),0.6963078703702195)</f>
        <v>0.6963078704</v>
      </c>
      <c r="D23941" s="4">
        <f>IFERROR(__xludf.DUMMYFUNCTION("""COMPUTED_VALUE"""),12.919146)</f>
        <v>12.919146</v>
      </c>
      <c r="E23941" s="4">
        <f>IFERROR(__xludf.DUMMYFUNCTION("""COMPUTED_VALUE"""),80.109885)</f>
        <v>80.109885</v>
      </c>
      <c r="F23941" s="4">
        <f>IFERROR(__xludf.DUMMYFUNCTION("""COMPUTED_VALUE"""),5339.0)</f>
        <v>5339</v>
      </c>
      <c r="G23941" s="4">
        <f>IFERROR(__xludf.DUMMYFUNCTION("""COMPUTED_VALUE"""),47.0)</f>
        <v>47</v>
      </c>
      <c r="H23941" s="4"/>
      <c r="I23941" s="4"/>
    </row>
    <row r="23942">
      <c r="A23942" s="4" t="str">
        <f>IFERROR(__xludf.DUMMYFUNCTION("""COMPUTED_VALUE"""),"cas_hmw")</f>
        <v>cas_hmw</v>
      </c>
      <c r="B23942" s="5">
        <f>IFERROR(__xludf.DUMMYFUNCTION("""COMPUTED_VALUE"""),44797.0)</f>
        <v>44797</v>
      </c>
      <c r="C23942" s="6">
        <f>IFERROR(__xludf.DUMMYFUNCTION("""COMPUTED_VALUE"""),0.6972453703710926)</f>
        <v>0.6972453704</v>
      </c>
      <c r="D23942" s="4">
        <f>IFERROR(__xludf.DUMMYFUNCTION("""COMPUTED_VALUE"""),12.924762)</f>
        <v>12.924762</v>
      </c>
      <c r="E23942" s="4">
        <f>IFERROR(__xludf.DUMMYFUNCTION("""COMPUTED_VALUE"""),80.115898)</f>
        <v>80.115898</v>
      </c>
      <c r="F23942" s="4">
        <f>IFERROR(__xludf.DUMMYFUNCTION("""COMPUTED_VALUE"""),5339.0)</f>
        <v>5339</v>
      </c>
      <c r="G23942" s="4">
        <f>IFERROR(__xludf.DUMMYFUNCTION("""COMPUTED_VALUE"""),50.0)</f>
        <v>50</v>
      </c>
      <c r="H23942" s="4"/>
      <c r="I23942" s="4"/>
    </row>
    <row r="23943">
      <c r="A23943" s="4" t="str">
        <f>IFERROR(__xludf.DUMMYFUNCTION("""COMPUTED_VALUE"""),"cas_hmw")</f>
        <v>cas_hmw</v>
      </c>
      <c r="B23943" s="5">
        <f>IFERROR(__xludf.DUMMYFUNCTION("""COMPUTED_VALUE"""),44797.0)</f>
        <v>44797</v>
      </c>
      <c r="C23943" s="6">
        <f>IFERROR(__xludf.DUMMYFUNCTION("""COMPUTED_VALUE"""),0.6984722222223354)</f>
        <v>0.6984722222</v>
      </c>
      <c r="D23943" s="4">
        <f>IFERROR(__xludf.DUMMYFUNCTION("""COMPUTED_VALUE"""),12.928335)</f>
        <v>12.928335</v>
      </c>
      <c r="E23943" s="4">
        <f>IFERROR(__xludf.DUMMYFUNCTION("""COMPUTED_VALUE"""),80.119486)</f>
        <v>80.119486</v>
      </c>
      <c r="F23943" s="4">
        <f>IFERROR(__xludf.DUMMYFUNCTION("""COMPUTED_VALUE"""),5339.0)</f>
        <v>5339</v>
      </c>
      <c r="G23943" s="4">
        <f>IFERROR(__xludf.DUMMYFUNCTION("""COMPUTED_VALUE"""),31.0)</f>
        <v>31</v>
      </c>
      <c r="H23943" s="4"/>
      <c r="I23943" s="4"/>
    </row>
    <row r="23944">
      <c r="A23944" s="4" t="str">
        <f>IFERROR(__xludf.DUMMYFUNCTION("""COMPUTED_VALUE"""),"cas_hmw")</f>
        <v>cas_hmw</v>
      </c>
      <c r="B23944" s="5">
        <f>IFERROR(__xludf.DUMMYFUNCTION("""COMPUTED_VALUE"""),44797.0)</f>
        <v>44797</v>
      </c>
      <c r="C23944" s="6">
        <f>IFERROR(__xludf.DUMMYFUNCTION("""COMPUTED_VALUE"""),0.6991898148153268)</f>
        <v>0.6991898148</v>
      </c>
      <c r="D23944" s="4">
        <f>IFERROR(__xludf.DUMMYFUNCTION("""COMPUTED_VALUE"""),12.927855)</f>
        <v>12.927855</v>
      </c>
      <c r="E23944" s="4">
        <f>IFERROR(__xludf.DUMMYFUNCTION("""COMPUTED_VALUE"""),80.119004)</f>
        <v>80.119004</v>
      </c>
      <c r="F23944" s="4">
        <f>IFERROR(__xludf.DUMMYFUNCTION("""COMPUTED_VALUE"""),5339.0)</f>
        <v>5339</v>
      </c>
      <c r="G23944" s="4">
        <f>IFERROR(__xludf.DUMMYFUNCTION("""COMPUTED_VALUE"""),24.0)</f>
        <v>24</v>
      </c>
      <c r="H23944" s="4"/>
      <c r="I23944" s="4"/>
    </row>
    <row r="23945">
      <c r="A23945" s="4" t="str">
        <f>IFERROR(__xludf.DUMMYFUNCTION("""COMPUTED_VALUE"""),"cas_hmw")</f>
        <v>cas_hmw</v>
      </c>
      <c r="B23945" s="5">
        <f>IFERROR(__xludf.DUMMYFUNCTION("""COMPUTED_VALUE"""),44797.0)</f>
        <v>44797</v>
      </c>
      <c r="C23945" s="6">
        <f>IFERROR(__xludf.DUMMYFUNCTION("""COMPUTED_VALUE"""),0.7019097222218988)</f>
        <v>0.7019097222</v>
      </c>
      <c r="D23945" s="4">
        <f>IFERROR(__xludf.DUMMYFUNCTION("""COMPUTED_VALUE"""),12.943313)</f>
        <v>12.943313</v>
      </c>
      <c r="E23945" s="4">
        <f>IFERROR(__xludf.DUMMYFUNCTION("""COMPUTED_VALUE"""),80.133927)</f>
        <v>80.133927</v>
      </c>
      <c r="F23945" s="4">
        <f>IFERROR(__xludf.DUMMYFUNCTION("""COMPUTED_VALUE"""),5339.0)</f>
        <v>5339</v>
      </c>
      <c r="G23945" s="4">
        <f>IFERROR(__xludf.DUMMYFUNCTION("""COMPUTED_VALUE"""),50.0)</f>
        <v>50</v>
      </c>
      <c r="H23945" s="4"/>
      <c r="I23945" s="4"/>
    </row>
    <row r="23946">
      <c r="A23946" s="4" t="str">
        <f>IFERROR(__xludf.DUMMYFUNCTION("""COMPUTED_VALUE"""),"cas_hmw")</f>
        <v>cas_hmw</v>
      </c>
      <c r="B23946" s="5">
        <f>IFERROR(__xludf.DUMMYFUNCTION("""COMPUTED_VALUE"""),44797.0)</f>
        <v>44797</v>
      </c>
      <c r="C23946" s="6">
        <f>IFERROR(__xludf.DUMMYFUNCTION("""COMPUTED_VALUE"""),0.7022569444452529)</f>
        <v>0.7022569444</v>
      </c>
      <c r="D23946" s="4">
        <f>IFERROR(__xludf.DUMMYFUNCTION("""COMPUTED_VALUE"""),12.945977)</f>
        <v>12.945977</v>
      </c>
      <c r="E23946" s="4">
        <f>IFERROR(__xludf.DUMMYFUNCTION("""COMPUTED_VALUE"""),80.136025)</f>
        <v>80.136025</v>
      </c>
      <c r="F23946" s="4">
        <f>IFERROR(__xludf.DUMMYFUNCTION("""COMPUTED_VALUE"""),5339.0)</f>
        <v>5339</v>
      </c>
      <c r="G23946" s="4">
        <f>IFERROR(__xludf.DUMMYFUNCTION("""COMPUTED_VALUE"""),45.0)</f>
        <v>45</v>
      </c>
      <c r="H23946" s="4"/>
      <c r="I23946" s="4"/>
    </row>
    <row r="23947">
      <c r="A23947" s="4" t="str">
        <f>IFERROR(__xludf.DUMMYFUNCTION("""COMPUTED_VALUE"""),"cas_hmw")</f>
        <v>cas_hmw</v>
      </c>
      <c r="B23947" s="5">
        <f>IFERROR(__xludf.DUMMYFUNCTION("""COMPUTED_VALUE"""),44797.0)</f>
        <v>44797</v>
      </c>
      <c r="C23947" s="6">
        <f>IFERROR(__xludf.DUMMYFUNCTION("""COMPUTED_VALUE"""),0.7025462962956226)</f>
        <v>0.7025462963</v>
      </c>
      <c r="D23947" s="4">
        <f>IFERROR(__xludf.DUMMYFUNCTION("""COMPUTED_VALUE"""),12.949184)</f>
        <v>12.949184</v>
      </c>
      <c r="E23947" s="4">
        <f>IFERROR(__xludf.DUMMYFUNCTION("""COMPUTED_VALUE"""),80.138422)</f>
        <v>80.138422</v>
      </c>
      <c r="F23947" s="4">
        <f>IFERROR(__xludf.DUMMYFUNCTION("""COMPUTED_VALUE"""),5339.0)</f>
        <v>5339</v>
      </c>
      <c r="G23947" s="4">
        <f>IFERROR(__xludf.DUMMYFUNCTION("""COMPUTED_VALUE"""),55.0)</f>
        <v>55</v>
      </c>
      <c r="H23947" s="4"/>
      <c r="I23947" s="4"/>
    </row>
    <row r="23948">
      <c r="A23948" s="4" t="str">
        <f>IFERROR(__xludf.DUMMYFUNCTION("""COMPUTED_VALUE"""),"cas_hmw")</f>
        <v>cas_hmw</v>
      </c>
      <c r="B23948" s="5">
        <f>IFERROR(__xludf.DUMMYFUNCTION("""COMPUTED_VALUE"""),44797.0)</f>
        <v>44797</v>
      </c>
      <c r="C23948" s="6">
        <f>IFERROR(__xludf.DUMMYFUNCTION("""COMPUTED_VALUE"""),0.7032754629617557)</f>
        <v>0.703275463</v>
      </c>
      <c r="D23948" s="4">
        <f>IFERROR(__xludf.DUMMYFUNCTION("""COMPUTED_VALUE"""),12.952239)</f>
        <v>12.952239</v>
      </c>
      <c r="E23948" s="4">
        <f>IFERROR(__xludf.DUMMYFUNCTION("""COMPUTED_VALUE"""),80.14084)</f>
        <v>80.14084</v>
      </c>
      <c r="F23948" s="4">
        <f>IFERROR(__xludf.DUMMYFUNCTION("""COMPUTED_VALUE"""),5339.0)</f>
        <v>5339</v>
      </c>
      <c r="G23948" s="4">
        <f>IFERROR(__xludf.DUMMYFUNCTION("""COMPUTED_VALUE"""),43.0)</f>
        <v>43</v>
      </c>
      <c r="H23948" s="4"/>
      <c r="I23948" s="4"/>
    </row>
    <row r="23949">
      <c r="A23949" s="4" t="str">
        <f>IFERROR(__xludf.DUMMYFUNCTION("""COMPUTED_VALUE"""),"cas_hmw")</f>
        <v>cas_hmw</v>
      </c>
      <c r="B23949" s="5">
        <f>IFERROR(__xludf.DUMMYFUNCTION("""COMPUTED_VALUE"""),44797.0)</f>
        <v>44797</v>
      </c>
      <c r="C23949" s="6">
        <f>IFERROR(__xludf.DUMMYFUNCTION("""COMPUTED_VALUE"""),0.7034143518503697)</f>
        <v>0.7034143519</v>
      </c>
      <c r="D23949" s="4">
        <f>IFERROR(__xludf.DUMMYFUNCTION("""COMPUTED_VALUE"""),12.953114)</f>
        <v>12.953114</v>
      </c>
      <c r="E23949" s="4">
        <f>IFERROR(__xludf.DUMMYFUNCTION("""COMPUTED_VALUE"""),80.141457)</f>
        <v>80.141457</v>
      </c>
      <c r="F23949" s="4">
        <f>IFERROR(__xludf.DUMMYFUNCTION("""COMPUTED_VALUE"""),5339.0)</f>
        <v>5339</v>
      </c>
      <c r="G23949" s="4">
        <f>IFERROR(__xludf.DUMMYFUNCTION("""COMPUTED_VALUE"""),38.0)</f>
        <v>38</v>
      </c>
      <c r="H23949" s="4"/>
      <c r="I23949" s="4"/>
    </row>
    <row r="23950">
      <c r="A23950" s="4" t="str">
        <f>IFERROR(__xludf.DUMMYFUNCTION("""COMPUTED_VALUE"""),"cas_hmw")</f>
        <v>cas_hmw</v>
      </c>
      <c r="B23950" s="5">
        <f>IFERROR(__xludf.DUMMYFUNCTION("""COMPUTED_VALUE"""),44797.0)</f>
        <v>44797</v>
      </c>
      <c r="C23950" s="6">
        <f>IFERROR(__xludf.DUMMYFUNCTION("""COMPUTED_VALUE"""),0.7036342592582514)</f>
        <v>0.7036342593</v>
      </c>
      <c r="D23950" s="4">
        <f>IFERROR(__xludf.DUMMYFUNCTION("""COMPUTED_VALUE"""),12.954752)</f>
        <v>12.954752</v>
      </c>
      <c r="E23950" s="4">
        <f>IFERROR(__xludf.DUMMYFUNCTION("""COMPUTED_VALUE"""),80.142335)</f>
        <v>80.142335</v>
      </c>
      <c r="F23950" s="4">
        <f>IFERROR(__xludf.DUMMYFUNCTION("""COMPUTED_VALUE"""),5339.0)</f>
        <v>5339</v>
      </c>
      <c r="G23950" s="4">
        <f>IFERROR(__xludf.DUMMYFUNCTION("""COMPUTED_VALUE"""),35.0)</f>
        <v>35</v>
      </c>
      <c r="H23950" s="4"/>
      <c r="I23950" s="4"/>
    </row>
    <row r="23951">
      <c r="A23951" s="4" t="str">
        <f>IFERROR(__xludf.DUMMYFUNCTION("""COMPUTED_VALUE"""),"cas_hmw")</f>
        <v>cas_hmw</v>
      </c>
      <c r="B23951" s="5">
        <f>IFERROR(__xludf.DUMMYFUNCTION("""COMPUTED_VALUE"""),44797.0)</f>
        <v>44797</v>
      </c>
      <c r="C23951" s="6">
        <f>IFERROR(__xludf.DUMMYFUNCTION("""COMPUTED_VALUE"""),0.7036342592582514)</f>
        <v>0.7036342593</v>
      </c>
      <c r="D23951" s="4">
        <f>IFERROR(__xludf.DUMMYFUNCTION("""COMPUTED_VALUE"""),12.954752)</f>
        <v>12.954752</v>
      </c>
      <c r="E23951" s="4">
        <f>IFERROR(__xludf.DUMMYFUNCTION("""COMPUTED_VALUE"""),80.142335)</f>
        <v>80.142335</v>
      </c>
      <c r="F23951" s="4">
        <f>IFERROR(__xludf.DUMMYFUNCTION("""COMPUTED_VALUE"""),5339.0)</f>
        <v>5339</v>
      </c>
      <c r="G23951" s="4">
        <f>IFERROR(__xludf.DUMMYFUNCTION("""COMPUTED_VALUE"""),35.0)</f>
        <v>35</v>
      </c>
      <c r="H23951" s="4"/>
      <c r="I23951" s="4"/>
    </row>
    <row r="23952">
      <c r="A23952" s="4" t="str">
        <f>IFERROR(__xludf.DUMMYFUNCTION("""COMPUTED_VALUE"""),"cas_hmw")</f>
        <v>cas_hmw</v>
      </c>
      <c r="B23952" s="5">
        <f>IFERROR(__xludf.DUMMYFUNCTION("""COMPUTED_VALUE"""),44797.0)</f>
        <v>44797</v>
      </c>
      <c r="C23952" s="6">
        <f>IFERROR(__xludf.DUMMYFUNCTION("""COMPUTED_VALUE"""),0.7036458333350311)</f>
        <v>0.7036458333</v>
      </c>
      <c r="D23952" s="4">
        <f>IFERROR(__xludf.DUMMYFUNCTION("""COMPUTED_VALUE"""),12.954752)</f>
        <v>12.954752</v>
      </c>
      <c r="E23952" s="4">
        <f>IFERROR(__xludf.DUMMYFUNCTION("""COMPUTED_VALUE"""),80.142335)</f>
        <v>80.142335</v>
      </c>
      <c r="F23952" s="4">
        <f>IFERROR(__xludf.DUMMYFUNCTION("""COMPUTED_VALUE"""),5339.0)</f>
        <v>5339</v>
      </c>
      <c r="G23952" s="4">
        <f>IFERROR(__xludf.DUMMYFUNCTION("""COMPUTED_VALUE"""),35.0)</f>
        <v>35</v>
      </c>
      <c r="H23952" s="4"/>
      <c r="I23952" s="4"/>
    </row>
    <row r="23953">
      <c r="A23953" s="4" t="str">
        <f>IFERROR(__xludf.DUMMYFUNCTION("""COMPUTED_VALUE"""),"cas_hmw")</f>
        <v>cas_hmw</v>
      </c>
      <c r="B23953" s="5">
        <f>IFERROR(__xludf.DUMMYFUNCTION("""COMPUTED_VALUE"""),44797.0)</f>
        <v>44797</v>
      </c>
      <c r="C23953" s="6">
        <f>IFERROR(__xludf.DUMMYFUNCTION("""COMPUTED_VALUE"""),0.7049189814824786)</f>
        <v>0.7049189815</v>
      </c>
      <c r="D23953" s="4">
        <f>IFERROR(__xludf.DUMMYFUNCTION("""COMPUTED_VALUE"""),12.957306)</f>
        <v>12.957306</v>
      </c>
      <c r="E23953" s="4">
        <f>IFERROR(__xludf.DUMMYFUNCTION("""COMPUTED_VALUE"""),80.143674)</f>
        <v>80.143674</v>
      </c>
      <c r="F23953" s="4">
        <f>IFERROR(__xludf.DUMMYFUNCTION("""COMPUTED_VALUE"""),5339.0)</f>
        <v>5339</v>
      </c>
      <c r="G23953" s="4">
        <f>IFERROR(__xludf.DUMMYFUNCTION("""COMPUTED_VALUE"""),27.0)</f>
        <v>27</v>
      </c>
      <c r="H23953" s="4"/>
      <c r="I23953" s="4"/>
    </row>
    <row r="23954">
      <c r="A23954" s="4" t="str">
        <f>IFERROR(__xludf.DUMMYFUNCTION("""COMPUTED_VALUE"""),"cas_hmw")</f>
        <v>cas_hmw</v>
      </c>
      <c r="B23954" s="5">
        <f>IFERROR(__xludf.DUMMYFUNCTION("""COMPUTED_VALUE"""),44797.0)</f>
        <v>44797</v>
      </c>
      <c r="C23954" s="6">
        <f>IFERROR(__xludf.DUMMYFUNCTION("""COMPUTED_VALUE"""),0.7049537037019036)</f>
        <v>0.7049537037</v>
      </c>
      <c r="D23954" s="4">
        <f>IFERROR(__xludf.DUMMYFUNCTION("""COMPUTED_VALUE"""),12.957306)</f>
        <v>12.957306</v>
      </c>
      <c r="E23954" s="4">
        <f>IFERROR(__xludf.DUMMYFUNCTION("""COMPUTED_VALUE"""),80.143674)</f>
        <v>80.143674</v>
      </c>
      <c r="F23954" s="4">
        <f>IFERROR(__xludf.DUMMYFUNCTION("""COMPUTED_VALUE"""),5339.0)</f>
        <v>5339</v>
      </c>
      <c r="G23954" s="4">
        <f>IFERROR(__xludf.DUMMYFUNCTION("""COMPUTED_VALUE"""),27.0)</f>
        <v>27</v>
      </c>
      <c r="H23954" s="4"/>
      <c r="I23954" s="4"/>
    </row>
    <row r="23955">
      <c r="A23955" s="4" t="str">
        <f>IFERROR(__xludf.DUMMYFUNCTION("""COMPUTED_VALUE"""),"cas_hmw")</f>
        <v>cas_hmw</v>
      </c>
      <c r="B23955" s="5">
        <f>IFERROR(__xludf.DUMMYFUNCTION("""COMPUTED_VALUE"""),44797.0)</f>
        <v>44797</v>
      </c>
      <c r="C23955" s="6">
        <f>IFERROR(__xludf.DUMMYFUNCTION("""COMPUTED_VALUE"""),0.7050462962979509)</f>
        <v>0.7050462963</v>
      </c>
      <c r="D23955" s="4">
        <f>IFERROR(__xludf.DUMMYFUNCTION("""COMPUTED_VALUE"""),12.958055)</f>
        <v>12.958055</v>
      </c>
      <c r="E23955" s="4">
        <f>IFERROR(__xludf.DUMMYFUNCTION("""COMPUTED_VALUE"""),80.144016)</f>
        <v>80.144016</v>
      </c>
      <c r="F23955" s="4">
        <f>IFERROR(__xludf.DUMMYFUNCTION("""COMPUTED_VALUE"""),5339.0)</f>
        <v>5339</v>
      </c>
      <c r="G23955" s="4">
        <f>IFERROR(__xludf.DUMMYFUNCTION("""COMPUTED_VALUE"""),27.0)</f>
        <v>27</v>
      </c>
      <c r="H23955" s="4"/>
      <c r="I23955" s="4"/>
    </row>
    <row r="23956">
      <c r="A23956" s="4" t="str">
        <f>IFERROR(__xludf.DUMMYFUNCTION("""COMPUTED_VALUE"""),"cas_hmw")</f>
        <v>cas_hmw</v>
      </c>
      <c r="B23956" s="5">
        <f>IFERROR(__xludf.DUMMYFUNCTION("""COMPUTED_VALUE"""),44797.0)</f>
        <v>44797</v>
      </c>
      <c r="C23956" s="6">
        <f>IFERROR(__xludf.DUMMYFUNCTION("""COMPUTED_VALUE"""),0.7051157407404389)</f>
        <v>0.7051157407</v>
      </c>
      <c r="D23956" s="4">
        <f>IFERROR(__xludf.DUMMYFUNCTION("""COMPUTED_VALUE"""),12.958805)</f>
        <v>12.958805</v>
      </c>
      <c r="E23956" s="4">
        <f>IFERROR(__xludf.DUMMYFUNCTION("""COMPUTED_VALUE"""),80.144359)</f>
        <v>80.144359</v>
      </c>
      <c r="F23956" s="4">
        <f>IFERROR(__xludf.DUMMYFUNCTION("""COMPUTED_VALUE"""),5339.0)</f>
        <v>5339</v>
      </c>
      <c r="G23956" s="4">
        <f>IFERROR(__xludf.DUMMYFUNCTION("""COMPUTED_VALUE"""),35.0)</f>
        <v>35</v>
      </c>
      <c r="H23956" s="4"/>
      <c r="I23956" s="4"/>
    </row>
    <row r="23957">
      <c r="A23957" s="4" t="str">
        <f>IFERROR(__xludf.DUMMYFUNCTION("""COMPUTED_VALUE"""),"cas_hmw")</f>
        <v>cas_hmw</v>
      </c>
      <c r="B23957" s="5">
        <f>IFERROR(__xludf.DUMMYFUNCTION("""COMPUTED_VALUE"""),44797.0)</f>
        <v>44797</v>
      </c>
      <c r="C23957" s="6">
        <f>IFERROR(__xludf.DUMMYFUNCTION("""COMPUTED_VALUE"""),0.7058217592602887)</f>
        <v>0.7058217593</v>
      </c>
      <c r="D23957" s="4">
        <f>IFERROR(__xludf.DUMMYFUNCTION("""COMPUTED_VALUE"""),12.962769)</f>
        <v>12.962769</v>
      </c>
      <c r="E23957" s="4">
        <f>IFERROR(__xludf.DUMMYFUNCTION("""COMPUTED_VALUE"""),80.146506)</f>
        <v>80.146506</v>
      </c>
      <c r="F23957" s="4">
        <f>IFERROR(__xludf.DUMMYFUNCTION("""COMPUTED_VALUE"""),5339.0)</f>
        <v>5339</v>
      </c>
      <c r="G23957" s="4">
        <f>IFERROR(__xludf.DUMMYFUNCTION("""COMPUTED_VALUE"""),46.0)</f>
        <v>46</v>
      </c>
      <c r="H23957" s="4"/>
      <c r="I23957" s="4"/>
    </row>
    <row r="23958">
      <c r="A23958" s="4" t="str">
        <f>IFERROR(__xludf.DUMMYFUNCTION("""COMPUTED_VALUE"""),"cas_hmw")</f>
        <v>cas_hmw</v>
      </c>
      <c r="B23958" s="5">
        <f>IFERROR(__xludf.DUMMYFUNCTION("""COMPUTED_VALUE"""),44797.0)</f>
        <v>44797</v>
      </c>
      <c r="C23958" s="6">
        <f>IFERROR(__xludf.DUMMYFUNCTION("""COMPUTED_VALUE"""),0.7059374999989814)</f>
        <v>0.7059375</v>
      </c>
      <c r="D23958" s="4">
        <f>IFERROR(__xludf.DUMMYFUNCTION("""COMPUTED_VALUE"""),12.963678)</f>
        <v>12.963678</v>
      </c>
      <c r="E23958" s="4">
        <f>IFERROR(__xludf.DUMMYFUNCTION("""COMPUTED_VALUE"""),80.147054)</f>
        <v>80.147054</v>
      </c>
      <c r="F23958" s="4">
        <f>IFERROR(__xludf.DUMMYFUNCTION("""COMPUTED_VALUE"""),5339.0)</f>
        <v>5339</v>
      </c>
      <c r="G23958" s="4">
        <f>IFERROR(__xludf.DUMMYFUNCTION("""COMPUTED_VALUE"""),39.0)</f>
        <v>39</v>
      </c>
      <c r="H23958" s="4"/>
      <c r="I23958" s="4"/>
    </row>
    <row r="23959">
      <c r="A23959" s="4" t="str">
        <f>IFERROR(__xludf.DUMMYFUNCTION("""COMPUTED_VALUE"""),"cas_hmw")</f>
        <v>cas_hmw</v>
      </c>
      <c r="B23959" s="5">
        <f>IFERROR(__xludf.DUMMYFUNCTION("""COMPUTED_VALUE"""),44797.0)</f>
        <v>44797</v>
      </c>
      <c r="C23959" s="6">
        <f>IFERROR(__xludf.DUMMYFUNCTION("""COMPUTED_VALUE"""),0.7073495370386809)</f>
        <v>0.707349537</v>
      </c>
      <c r="D23959" s="4">
        <f>IFERROR(__xludf.DUMMYFUNCTION("""COMPUTED_VALUE"""),12.975269)</f>
        <v>12.975269</v>
      </c>
      <c r="E23959" s="4">
        <f>IFERROR(__xludf.DUMMYFUNCTION("""COMPUTED_VALUE"""),80.155902)</f>
        <v>80.155902</v>
      </c>
      <c r="F23959" s="4">
        <f>IFERROR(__xludf.DUMMYFUNCTION("""COMPUTED_VALUE"""),5339.0)</f>
        <v>5339</v>
      </c>
      <c r="G23959" s="4">
        <f>IFERROR(__xludf.DUMMYFUNCTION("""COMPUTED_VALUE"""),24.0)</f>
        <v>24</v>
      </c>
      <c r="H23959" s="4"/>
      <c r="I23959" s="4"/>
    </row>
    <row r="23960">
      <c r="A23960" s="4" t="str">
        <f>IFERROR(__xludf.DUMMYFUNCTION("""COMPUTED_VALUE"""),"cas_hmw")</f>
        <v>cas_hmw</v>
      </c>
      <c r="B23960" s="5">
        <f>IFERROR(__xludf.DUMMYFUNCTION("""COMPUTED_VALUE"""),44797.0)</f>
        <v>44797</v>
      </c>
      <c r="C23960" s="6">
        <f>IFERROR(__xludf.DUMMYFUNCTION("""COMPUTED_VALUE"""),0.7075000000004366)</f>
        <v>0.7075</v>
      </c>
      <c r="D23960" s="4">
        <f>IFERROR(__xludf.DUMMYFUNCTION("""COMPUTED_VALUE"""),12.975718)</f>
        <v>12.975718</v>
      </c>
      <c r="E23960" s="4">
        <f>IFERROR(__xludf.DUMMYFUNCTION("""COMPUTED_VALUE"""),80.156557)</f>
        <v>80.156557</v>
      </c>
      <c r="F23960" s="4">
        <f>IFERROR(__xludf.DUMMYFUNCTION("""COMPUTED_VALUE"""),5339.0)</f>
        <v>5339</v>
      </c>
      <c r="G23960" s="4">
        <f>IFERROR(__xludf.DUMMYFUNCTION("""COMPUTED_VALUE"""),35.0)</f>
        <v>35</v>
      </c>
      <c r="H23960" s="4"/>
      <c r="I23960" s="4"/>
    </row>
    <row r="23961">
      <c r="A23961" s="4" t="str">
        <f>IFERROR(__xludf.DUMMYFUNCTION("""COMPUTED_VALUE"""),"cas_hmw")</f>
        <v>cas_hmw</v>
      </c>
      <c r="B23961" s="5">
        <f>IFERROR(__xludf.DUMMYFUNCTION("""COMPUTED_VALUE"""),44797.0)</f>
        <v>44797</v>
      </c>
      <c r="C23961" s="6">
        <f>IFERROR(__xludf.DUMMYFUNCTION("""COMPUTED_VALUE"""),0.7078240740738693)</f>
        <v>0.7078240741</v>
      </c>
      <c r="D23961" s="4">
        <f>IFERROR(__xludf.DUMMYFUNCTION("""COMPUTED_VALUE"""),12.9777)</f>
        <v>12.9777</v>
      </c>
      <c r="E23961" s="4">
        <f>IFERROR(__xludf.DUMMYFUNCTION("""COMPUTED_VALUE"""),80.159551)</f>
        <v>80.159551</v>
      </c>
      <c r="F23961" s="4">
        <f>IFERROR(__xludf.DUMMYFUNCTION("""COMPUTED_VALUE"""),5339.0)</f>
        <v>5339</v>
      </c>
      <c r="G23961" s="4">
        <f>IFERROR(__xludf.DUMMYFUNCTION("""COMPUTED_VALUE"""),51.0)</f>
        <v>51</v>
      </c>
      <c r="H23961" s="4"/>
      <c r="I23961" s="4"/>
    </row>
    <row r="23962">
      <c r="A23962" s="4" t="str">
        <f>IFERROR(__xludf.DUMMYFUNCTION("""COMPUTED_VALUE"""),"cas_hmw")</f>
        <v>cas_hmw</v>
      </c>
      <c r="B23962" s="5">
        <f>IFERROR(__xludf.DUMMYFUNCTION("""COMPUTED_VALUE"""),44797.0)</f>
        <v>44797</v>
      </c>
      <c r="C23962" s="6">
        <f>IFERROR(__xludf.DUMMYFUNCTION("""COMPUTED_VALUE"""),0.7083333333321207)</f>
        <v>0.7083333333</v>
      </c>
      <c r="D23962" s="4">
        <f>IFERROR(__xludf.DUMMYFUNCTION("""COMPUTED_VALUE"""),12.980913)</f>
        <v>12.980913</v>
      </c>
      <c r="E23962" s="4">
        <f>IFERROR(__xludf.DUMMYFUNCTION("""COMPUTED_VALUE"""),80.165764)</f>
        <v>80.165764</v>
      </c>
      <c r="F23962" s="4">
        <f>IFERROR(__xludf.DUMMYFUNCTION("""COMPUTED_VALUE"""),5339.0)</f>
        <v>5339</v>
      </c>
      <c r="G23962" s="4">
        <f>IFERROR(__xludf.DUMMYFUNCTION("""COMPUTED_VALUE"""),57.0)</f>
        <v>57</v>
      </c>
      <c r="H23962" s="4"/>
      <c r="I23962" s="4"/>
    </row>
    <row r="23963">
      <c r="A23963" s="4" t="str">
        <f>IFERROR(__xludf.DUMMYFUNCTION("""COMPUTED_VALUE"""),"cas_hmw")</f>
        <v>cas_hmw</v>
      </c>
      <c r="B23963" s="5">
        <f>IFERROR(__xludf.DUMMYFUNCTION("""COMPUTED_VALUE"""),44797.0)</f>
        <v>44797</v>
      </c>
      <c r="C23963" s="6">
        <f>IFERROR(__xludf.DUMMYFUNCTION("""COMPUTED_VALUE"""),0.7083796296283253)</f>
        <v>0.7083796296</v>
      </c>
      <c r="D23963" s="4">
        <f>IFERROR(__xludf.DUMMYFUNCTION("""COMPUTED_VALUE"""),12.980913)</f>
        <v>12.980913</v>
      </c>
      <c r="E23963" s="4">
        <f>IFERROR(__xludf.DUMMYFUNCTION("""COMPUTED_VALUE"""),80.165764)</f>
        <v>80.165764</v>
      </c>
      <c r="F23963" s="4">
        <f>IFERROR(__xludf.DUMMYFUNCTION("""COMPUTED_VALUE"""),5339.0)</f>
        <v>5339</v>
      </c>
      <c r="G23963" s="4">
        <f>IFERROR(__xludf.DUMMYFUNCTION("""COMPUTED_VALUE"""),57.0)</f>
        <v>57</v>
      </c>
      <c r="H23963" s="4"/>
      <c r="I23963" s="4"/>
    </row>
    <row r="23964">
      <c r="A23964" s="4" t="str">
        <f>IFERROR(__xludf.DUMMYFUNCTION("""COMPUTED_VALUE"""),"cas_hmw")</f>
        <v>cas_hmw</v>
      </c>
      <c r="B23964" s="5">
        <f>IFERROR(__xludf.DUMMYFUNCTION("""COMPUTED_VALUE"""),44797.0)</f>
        <v>44797</v>
      </c>
      <c r="C23964" s="6">
        <f>IFERROR(__xludf.DUMMYFUNCTION("""COMPUTED_VALUE"""),0.7101851851839456)</f>
        <v>0.7101851852</v>
      </c>
      <c r="D23964" s="4">
        <f>IFERROR(__xludf.DUMMYFUNCTION("""COMPUTED_VALUE"""),12.988091)</f>
        <v>12.988091</v>
      </c>
      <c r="E23964" s="4">
        <f>IFERROR(__xludf.DUMMYFUNCTION("""COMPUTED_VALUE"""),80.177037)</f>
        <v>80.177037</v>
      </c>
      <c r="F23964" s="4">
        <f>IFERROR(__xludf.DUMMYFUNCTION("""COMPUTED_VALUE"""),5339.0)</f>
        <v>5339</v>
      </c>
      <c r="G23964" s="4">
        <f>IFERROR(__xludf.DUMMYFUNCTION("""COMPUTED_VALUE"""),60.0)</f>
        <v>60</v>
      </c>
      <c r="H23964" s="4"/>
      <c r="I23964" s="4"/>
    </row>
    <row r="23965">
      <c r="A23965" s="4" t="str">
        <f>IFERROR(__xludf.DUMMYFUNCTION("""COMPUTED_VALUE"""),"cas_hmw")</f>
        <v>cas_hmw</v>
      </c>
      <c r="B23965" s="5">
        <f>IFERROR(__xludf.DUMMYFUNCTION("""COMPUTED_VALUE"""),44797.0)</f>
        <v>44797</v>
      </c>
      <c r="C23965" s="6">
        <f>IFERROR(__xludf.DUMMYFUNCTION("""COMPUTED_VALUE"""),0.7103124999994179)</f>
        <v>0.7103125</v>
      </c>
      <c r="D23965" s="4">
        <f>IFERROR(__xludf.DUMMYFUNCTION("""COMPUTED_VALUE"""),12.988834)</f>
        <v>12.988834</v>
      </c>
      <c r="E23965" s="4">
        <f>IFERROR(__xludf.DUMMYFUNCTION("""COMPUTED_VALUE"""),80.177983)</f>
        <v>80.177983</v>
      </c>
      <c r="F23965" s="4">
        <f>IFERROR(__xludf.DUMMYFUNCTION("""COMPUTED_VALUE"""),5339.0)</f>
        <v>5339</v>
      </c>
      <c r="G23965" s="4">
        <f>IFERROR(__xludf.DUMMYFUNCTION("""COMPUTED_VALUE"""),38.0)</f>
        <v>38</v>
      </c>
      <c r="H23965" s="4"/>
      <c r="I23965" s="4"/>
    </row>
    <row r="23966">
      <c r="A23966" s="4" t="str">
        <f>IFERROR(__xludf.DUMMYFUNCTION("""COMPUTED_VALUE"""),"cas_hmw")</f>
        <v>cas_hmw</v>
      </c>
      <c r="B23966" s="5">
        <f>IFERROR(__xludf.DUMMYFUNCTION("""COMPUTED_VALUE"""),44797.0)</f>
        <v>44797</v>
      </c>
      <c r="C23966" s="6">
        <f>IFERROR(__xludf.DUMMYFUNCTION("""COMPUTED_VALUE"""),0.7107870370382443)</f>
        <v>0.710787037</v>
      </c>
      <c r="D23966" s="4">
        <f>IFERROR(__xludf.DUMMYFUNCTION("""COMPUTED_VALUE"""),12.989948)</f>
        <v>12.989948</v>
      </c>
      <c r="E23966" s="4">
        <f>IFERROR(__xludf.DUMMYFUNCTION("""COMPUTED_VALUE"""),80.179388)</f>
        <v>80.179388</v>
      </c>
      <c r="F23966" s="4">
        <f>IFERROR(__xludf.DUMMYFUNCTION("""COMPUTED_VALUE"""),5339.0)</f>
        <v>5339</v>
      </c>
      <c r="G23966" s="4">
        <f>IFERROR(__xludf.DUMMYFUNCTION("""COMPUTED_VALUE"""),29.0)</f>
        <v>29</v>
      </c>
      <c r="H23966" s="4"/>
      <c r="I23966" s="4"/>
    </row>
    <row r="23967">
      <c r="A23967" s="4" t="str">
        <f>IFERROR(__xludf.DUMMYFUNCTION("""COMPUTED_VALUE"""),"cas_hmw")</f>
        <v>cas_hmw</v>
      </c>
      <c r="B23967" s="5">
        <f>IFERROR(__xludf.DUMMYFUNCTION("""COMPUTED_VALUE"""),44797.0)</f>
        <v>44797</v>
      </c>
      <c r="C23967" s="6">
        <f>IFERROR(__xludf.DUMMYFUNCTION("""COMPUTED_VALUE"""),0.7108564814807323)</f>
        <v>0.7108564815</v>
      </c>
      <c r="D23967" s="4">
        <f>IFERROR(__xludf.DUMMYFUNCTION("""COMPUTED_VALUE"""),12.989948)</f>
        <v>12.989948</v>
      </c>
      <c r="E23967" s="4">
        <f>IFERROR(__xludf.DUMMYFUNCTION("""COMPUTED_VALUE"""),80.179388)</f>
        <v>80.179388</v>
      </c>
      <c r="F23967" s="4">
        <f>IFERROR(__xludf.DUMMYFUNCTION("""COMPUTED_VALUE"""),5339.0)</f>
        <v>5339</v>
      </c>
      <c r="G23967" s="4">
        <f>IFERROR(__xludf.DUMMYFUNCTION("""COMPUTED_VALUE"""),29.0)</f>
        <v>29</v>
      </c>
      <c r="H23967" s="4"/>
      <c r="I23967" s="4"/>
    </row>
    <row r="23968">
      <c r="A23968" s="4" t="str">
        <f>IFERROR(__xludf.DUMMYFUNCTION("""COMPUTED_VALUE"""),"cas_hmw")</f>
        <v>cas_hmw</v>
      </c>
      <c r="B23968" s="5">
        <f>IFERROR(__xludf.DUMMYFUNCTION("""COMPUTED_VALUE"""),44797.0)</f>
        <v>44797</v>
      </c>
      <c r="C23968" s="6">
        <f>IFERROR(__xludf.DUMMYFUNCTION("""COMPUTED_VALUE"""),0.7109953703693463)</f>
        <v>0.7109953704</v>
      </c>
      <c r="D23968" s="4">
        <f>IFERROR(__xludf.DUMMYFUNCTION("""COMPUTED_VALUE"""),12.990491)</f>
        <v>12.990491</v>
      </c>
      <c r="E23968" s="4">
        <f>IFERROR(__xludf.DUMMYFUNCTION("""COMPUTED_VALUE"""),80.180113)</f>
        <v>80.180113</v>
      </c>
      <c r="F23968" s="4">
        <f>IFERROR(__xludf.DUMMYFUNCTION("""COMPUTED_VALUE"""),5339.0)</f>
        <v>5339</v>
      </c>
      <c r="G23968" s="4">
        <f>IFERROR(__xludf.DUMMYFUNCTION("""COMPUTED_VALUE"""),40.0)</f>
        <v>40</v>
      </c>
      <c r="H23968" s="4"/>
      <c r="I23968" s="4"/>
    </row>
    <row r="23969">
      <c r="A23969" s="4" t="str">
        <f>IFERROR(__xludf.DUMMYFUNCTION("""COMPUTED_VALUE"""),"cas_hmw")</f>
        <v>cas_hmw</v>
      </c>
      <c r="B23969" s="5">
        <f>IFERROR(__xludf.DUMMYFUNCTION("""COMPUTED_VALUE"""),44797.0)</f>
        <v>44797</v>
      </c>
      <c r="C23969" s="6">
        <f>IFERROR(__xludf.DUMMYFUNCTION("""COMPUTED_VALUE"""),0.7111342592579604)</f>
        <v>0.7111342593</v>
      </c>
      <c r="D23969" s="4">
        <f>IFERROR(__xludf.DUMMYFUNCTION("""COMPUTED_VALUE"""),12.991813)</f>
        <v>12.991813</v>
      </c>
      <c r="E23969" s="4">
        <f>IFERROR(__xludf.DUMMYFUNCTION("""COMPUTED_VALUE"""),80.181886)</f>
        <v>80.181886</v>
      </c>
      <c r="F23969" s="4">
        <f>IFERROR(__xludf.DUMMYFUNCTION("""COMPUTED_VALUE"""),5339.0)</f>
        <v>5339</v>
      </c>
      <c r="G23969" s="4">
        <f>IFERROR(__xludf.DUMMYFUNCTION("""COMPUTED_VALUE"""),47.0)</f>
        <v>47</v>
      </c>
      <c r="H23969" s="4"/>
      <c r="I23969" s="4"/>
    </row>
    <row r="23970">
      <c r="A23970" s="4" t="str">
        <f>IFERROR(__xludf.DUMMYFUNCTION("""COMPUTED_VALUE"""),"cas_hmw")</f>
        <v>cas_hmw</v>
      </c>
      <c r="B23970" s="5">
        <f>IFERROR(__xludf.DUMMYFUNCTION("""COMPUTED_VALUE"""),44797.0)</f>
        <v>44797</v>
      </c>
      <c r="C23970" s="6">
        <f>IFERROR(__xludf.DUMMYFUNCTION("""COMPUTED_VALUE"""),0.7132291666675883)</f>
        <v>0.7132291667</v>
      </c>
      <c r="D23970" s="4">
        <f>IFERROR(__xludf.DUMMYFUNCTION("""COMPUTED_VALUE"""),12.996647)</f>
        <v>12.996647</v>
      </c>
      <c r="E23970" s="4">
        <f>IFERROR(__xludf.DUMMYFUNCTION("""COMPUTED_VALUE"""),80.189957)</f>
        <v>80.189957</v>
      </c>
      <c r="F23970" s="4">
        <f>IFERROR(__xludf.DUMMYFUNCTION("""COMPUTED_VALUE"""),5339.0)</f>
        <v>5339</v>
      </c>
      <c r="G23970" s="4">
        <f>IFERROR(__xludf.DUMMYFUNCTION("""COMPUTED_VALUE"""),39.0)</f>
        <v>39</v>
      </c>
      <c r="H23970" s="4"/>
      <c r="I23970" s="4"/>
    </row>
    <row r="23971">
      <c r="A23971" s="4" t="str">
        <f>IFERROR(__xludf.DUMMYFUNCTION("""COMPUTED_VALUE"""),"cas_hmw")</f>
        <v>cas_hmw</v>
      </c>
      <c r="B23971" s="5">
        <f>IFERROR(__xludf.DUMMYFUNCTION("""COMPUTED_VALUE"""),44797.0)</f>
        <v>44797</v>
      </c>
      <c r="C23971" s="6">
        <f>IFERROR(__xludf.DUMMYFUNCTION("""COMPUTED_VALUE"""),0.713310185186856)</f>
        <v>0.7133101852</v>
      </c>
      <c r="D23971" s="4">
        <f>IFERROR(__xludf.DUMMYFUNCTION("""COMPUTED_VALUE"""),12.99727)</f>
        <v>12.99727</v>
      </c>
      <c r="E23971" s="4">
        <f>IFERROR(__xludf.DUMMYFUNCTION("""COMPUTED_VALUE"""),80.190698)</f>
        <v>80.190698</v>
      </c>
      <c r="F23971" s="4">
        <f>IFERROR(__xludf.DUMMYFUNCTION("""COMPUTED_VALUE"""),5339.0)</f>
        <v>5339</v>
      </c>
      <c r="G23971" s="4">
        <f>IFERROR(__xludf.DUMMYFUNCTION("""COMPUTED_VALUE"""),35.0)</f>
        <v>35</v>
      </c>
      <c r="H23971" s="4"/>
      <c r="I23971" s="4"/>
    </row>
    <row r="23972">
      <c r="A23972" s="4" t="str">
        <f>IFERROR(__xludf.DUMMYFUNCTION("""COMPUTED_VALUE"""),"cas_hmw")</f>
        <v>cas_hmw</v>
      </c>
      <c r="B23972" s="5">
        <f>IFERROR(__xludf.DUMMYFUNCTION("""COMPUTED_VALUE"""),44797.0)</f>
        <v>44797</v>
      </c>
      <c r="C23972" s="6">
        <f>IFERROR(__xludf.DUMMYFUNCTION("""COMPUTED_VALUE"""),0.7143518518532801)</f>
        <v>0.7143518519</v>
      </c>
      <c r="D23972" s="4">
        <f>IFERROR(__xludf.DUMMYFUNCTION("""COMPUTED_VALUE"""),12.999494)</f>
        <v>12.999494</v>
      </c>
      <c r="E23972" s="4">
        <f>IFERROR(__xludf.DUMMYFUNCTION("""COMPUTED_VALUE"""),80.193492)</f>
        <v>80.193492</v>
      </c>
      <c r="F23972" s="4">
        <f>IFERROR(__xludf.DUMMYFUNCTION("""COMPUTED_VALUE"""),5339.0)</f>
        <v>5339</v>
      </c>
      <c r="G23972" s="4">
        <f>IFERROR(__xludf.DUMMYFUNCTION("""COMPUTED_VALUE"""),26.0)</f>
        <v>26</v>
      </c>
      <c r="H23972" s="4"/>
      <c r="I23972" s="4"/>
    </row>
    <row r="23973">
      <c r="A23973" s="4" t="str">
        <f>IFERROR(__xludf.DUMMYFUNCTION("""COMPUTED_VALUE"""),"cas_hmw")</f>
        <v>cas_hmw</v>
      </c>
      <c r="B23973" s="5">
        <f>IFERROR(__xludf.DUMMYFUNCTION("""COMPUTED_VALUE"""),44797.0)</f>
        <v>44797</v>
      </c>
      <c r="C23973" s="6">
        <f>IFERROR(__xludf.DUMMYFUNCTION("""COMPUTED_VALUE"""),0.7143518518532801)</f>
        <v>0.7143518519</v>
      </c>
      <c r="D23973" s="4">
        <f>IFERROR(__xludf.DUMMYFUNCTION("""COMPUTED_VALUE"""),12.999494)</f>
        <v>12.999494</v>
      </c>
      <c r="E23973" s="4">
        <f>IFERROR(__xludf.DUMMYFUNCTION("""COMPUTED_VALUE"""),80.193492)</f>
        <v>80.193492</v>
      </c>
      <c r="F23973" s="4">
        <f>IFERROR(__xludf.DUMMYFUNCTION("""COMPUTED_VALUE"""),5339.0)</f>
        <v>5339</v>
      </c>
      <c r="G23973" s="4">
        <f>IFERROR(__xludf.DUMMYFUNCTION("""COMPUTED_VALUE"""),26.0)</f>
        <v>26</v>
      </c>
      <c r="H23973" s="4"/>
      <c r="I23973" s="4"/>
    </row>
    <row r="23974">
      <c r="A23974" s="4" t="str">
        <f>IFERROR(__xludf.DUMMYFUNCTION("""COMPUTED_VALUE"""),"cas_hmw")</f>
        <v>cas_hmw</v>
      </c>
      <c r="B23974" s="5">
        <f>IFERROR(__xludf.DUMMYFUNCTION("""COMPUTED_VALUE"""),44797.0)</f>
        <v>44797</v>
      </c>
      <c r="C23974" s="6">
        <f>IFERROR(__xludf.DUMMYFUNCTION("""COMPUTED_VALUE"""),0.7145254629613191)</f>
        <v>0.714525463</v>
      </c>
      <c r="D23974" s="4">
        <f>IFERROR(__xludf.DUMMYFUNCTION("""COMPUTED_VALUE"""),12.999932)</f>
        <v>12.999932</v>
      </c>
      <c r="E23974" s="4">
        <f>IFERROR(__xludf.DUMMYFUNCTION("""COMPUTED_VALUE"""),80.19401)</f>
        <v>80.19401</v>
      </c>
      <c r="F23974" s="4">
        <f>IFERROR(__xludf.DUMMYFUNCTION("""COMPUTED_VALUE"""),5339.0)</f>
        <v>5339</v>
      </c>
      <c r="G23974" s="4">
        <f>IFERROR(__xludf.DUMMYFUNCTION("""COMPUTED_VALUE"""),25.0)</f>
        <v>25</v>
      </c>
      <c r="H23974" s="4"/>
      <c r="I23974" s="4"/>
    </row>
    <row r="23975">
      <c r="A23975" s="4" t="str">
        <f>IFERROR(__xludf.DUMMYFUNCTION("""COMPUTED_VALUE"""),"cas_hmw")</f>
        <v>cas_hmw</v>
      </c>
      <c r="B23975" s="5">
        <f>IFERROR(__xludf.DUMMYFUNCTION("""COMPUTED_VALUE"""),44797.0)</f>
        <v>44797</v>
      </c>
      <c r="C23975" s="6">
        <f>IFERROR(__xludf.DUMMYFUNCTION("""COMPUTED_VALUE"""),0.7152314814811689)</f>
        <v>0.7152314815</v>
      </c>
      <c r="D23975" s="4">
        <f>IFERROR(__xludf.DUMMYFUNCTION("""COMPUTED_VALUE"""),13.002065)</f>
        <v>13.002065</v>
      </c>
      <c r="E23975" s="4">
        <f>IFERROR(__xludf.DUMMYFUNCTION("""COMPUTED_VALUE"""),80.197519)</f>
        <v>80.197519</v>
      </c>
      <c r="F23975" s="4">
        <f>IFERROR(__xludf.DUMMYFUNCTION("""COMPUTED_VALUE"""),5339.0)</f>
        <v>5339</v>
      </c>
      <c r="G23975" s="4">
        <f>IFERROR(__xludf.DUMMYFUNCTION("""COMPUTED_VALUE"""),36.0)</f>
        <v>36</v>
      </c>
      <c r="H23975" s="4"/>
      <c r="I23975" s="4"/>
    </row>
    <row r="23976">
      <c r="A23976" s="4" t="str">
        <f>IFERROR(__xludf.DUMMYFUNCTION("""COMPUTED_VALUE"""),"cas_hmw")</f>
        <v>cas_hmw</v>
      </c>
      <c r="B23976" s="5">
        <f>IFERROR(__xludf.DUMMYFUNCTION("""COMPUTED_VALUE"""),44797.0)</f>
        <v>44797</v>
      </c>
      <c r="C23976" s="6">
        <f>IFERROR(__xludf.DUMMYFUNCTION("""COMPUTED_VALUE"""),0.7155555555546016)</f>
        <v>0.7155555556</v>
      </c>
      <c r="D23976" s="4">
        <f>IFERROR(__xludf.DUMMYFUNCTION("""COMPUTED_VALUE"""),13.002255)</f>
        <v>13.002255</v>
      </c>
      <c r="E23976" s="4">
        <f>IFERROR(__xludf.DUMMYFUNCTION("""COMPUTED_VALUE"""),80.20038)</f>
        <v>80.20038</v>
      </c>
      <c r="F23976" s="4">
        <f>IFERROR(__xludf.DUMMYFUNCTION("""COMPUTED_VALUE"""),5339.0)</f>
        <v>5339</v>
      </c>
      <c r="G23976" s="4">
        <f>IFERROR(__xludf.DUMMYFUNCTION("""COMPUTED_VALUE"""),42.0)</f>
        <v>42</v>
      </c>
      <c r="H23976" s="4"/>
      <c r="I23976" s="4"/>
    </row>
    <row r="23977">
      <c r="A23977" s="4" t="str">
        <f>IFERROR(__xludf.DUMMYFUNCTION("""COMPUTED_VALUE"""),"cas_hmw")</f>
        <v>cas_hmw</v>
      </c>
      <c r="B23977" s="5">
        <f>IFERROR(__xludf.DUMMYFUNCTION("""COMPUTED_VALUE"""),44797.0)</f>
        <v>44797</v>
      </c>
      <c r="C23977" s="6">
        <f>IFERROR(__xludf.DUMMYFUNCTION("""COMPUTED_VALUE"""),0.715787037035625)</f>
        <v>0.715787037</v>
      </c>
      <c r="D23977" s="4">
        <f>IFERROR(__xludf.DUMMYFUNCTION("""COMPUTED_VALUE"""),13.004402)</f>
        <v>13.004402</v>
      </c>
      <c r="E23977" s="4">
        <f>IFERROR(__xludf.DUMMYFUNCTION("""COMPUTED_VALUE"""),80.201055)</f>
        <v>80.201055</v>
      </c>
      <c r="F23977" s="4">
        <f>IFERROR(__xludf.DUMMYFUNCTION("""COMPUTED_VALUE"""),5339.0)</f>
        <v>5339</v>
      </c>
      <c r="G23977" s="4">
        <f>IFERROR(__xludf.DUMMYFUNCTION("""COMPUTED_VALUE"""),38.0)</f>
        <v>38</v>
      </c>
      <c r="H23977" s="4"/>
      <c r="I23977" s="4"/>
    </row>
    <row r="23978">
      <c r="A23978" s="4" t="str">
        <f>IFERROR(__xludf.DUMMYFUNCTION("""COMPUTED_VALUE"""),"cas_hmw")</f>
        <v>cas_hmw</v>
      </c>
      <c r="B23978" s="5">
        <f>IFERROR(__xludf.DUMMYFUNCTION("""COMPUTED_VALUE"""),44797.0)</f>
        <v>44797</v>
      </c>
      <c r="C23978" s="6">
        <f>IFERROR(__xludf.DUMMYFUNCTION("""COMPUTED_VALUE"""),0.7170833333329938)</f>
        <v>0.7170833333</v>
      </c>
      <c r="D23978" s="4">
        <f>IFERROR(__xludf.DUMMYFUNCTION("""COMPUTED_VALUE"""),13.007829)</f>
        <v>13.007829</v>
      </c>
      <c r="E23978" s="4">
        <f>IFERROR(__xludf.DUMMYFUNCTION("""COMPUTED_VALUE"""),80.207212)</f>
        <v>80.207212</v>
      </c>
      <c r="F23978" s="4">
        <f>IFERROR(__xludf.DUMMYFUNCTION("""COMPUTED_VALUE"""),5339.0)</f>
        <v>5339</v>
      </c>
      <c r="G23978" s="4">
        <f>IFERROR(__xludf.DUMMYFUNCTION("""COMPUTED_VALUE"""),54.0)</f>
        <v>54</v>
      </c>
      <c r="H23978" s="4"/>
      <c r="I23978" s="4"/>
    </row>
    <row r="23979">
      <c r="A23979" s="4" t="str">
        <f>IFERROR(__xludf.DUMMYFUNCTION("""COMPUTED_VALUE"""),"cas_hmw")</f>
        <v>cas_hmw</v>
      </c>
      <c r="B23979" s="5">
        <f>IFERROR(__xludf.DUMMYFUNCTION("""COMPUTED_VALUE"""),44797.0)</f>
        <v>44797</v>
      </c>
      <c r="C23979" s="6">
        <f>IFERROR(__xludf.DUMMYFUNCTION("""COMPUTED_VALUE"""),0.7176504629642295)</f>
        <v>0.717650463</v>
      </c>
      <c r="D23979" s="4">
        <f>IFERROR(__xludf.DUMMYFUNCTION("""COMPUTED_VALUE"""),13.009362)</f>
        <v>13.009362</v>
      </c>
      <c r="E23979" s="4">
        <f>IFERROR(__xludf.DUMMYFUNCTION("""COMPUTED_VALUE"""),80.212816)</f>
        <v>80.212816</v>
      </c>
      <c r="F23979" s="4">
        <f>IFERROR(__xludf.DUMMYFUNCTION("""COMPUTED_VALUE"""),5339.0)</f>
        <v>5339</v>
      </c>
      <c r="G23979" s="4">
        <f>IFERROR(__xludf.DUMMYFUNCTION("""COMPUTED_VALUE"""),44.0)</f>
        <v>44</v>
      </c>
      <c r="H23979" s="4"/>
      <c r="I23979" s="4"/>
    </row>
    <row r="23980">
      <c r="A23980" s="4" t="str">
        <f>IFERROR(__xludf.DUMMYFUNCTION("""COMPUTED_VALUE"""),"cas_hmw")</f>
        <v>cas_hmw</v>
      </c>
      <c r="B23980" s="5">
        <f>IFERROR(__xludf.DUMMYFUNCTION("""COMPUTED_VALUE"""),44797.0)</f>
        <v>44797</v>
      </c>
      <c r="C23980" s="6">
        <f>IFERROR(__xludf.DUMMYFUNCTION("""COMPUTED_VALUE"""),0.7177893518528435)</f>
        <v>0.7177893519</v>
      </c>
      <c r="D23980" s="4">
        <f>IFERROR(__xludf.DUMMYFUNCTION("""COMPUTED_VALUE"""),13.009774)</f>
        <v>13.009774</v>
      </c>
      <c r="E23980" s="4">
        <f>IFERROR(__xludf.DUMMYFUNCTION("""COMPUTED_VALUE"""),80.213796)</f>
        <v>80.213796</v>
      </c>
      <c r="F23980" s="4">
        <f>IFERROR(__xludf.DUMMYFUNCTION("""COMPUTED_VALUE"""),5339.0)</f>
        <v>5339</v>
      </c>
      <c r="G23980" s="4">
        <f>IFERROR(__xludf.DUMMYFUNCTION("""COMPUTED_VALUE"""),41.0)</f>
        <v>41</v>
      </c>
      <c r="H23980" s="4"/>
      <c r="I23980" s="4"/>
    </row>
    <row r="23981">
      <c r="A23981" s="4" t="str">
        <f>IFERROR(__xludf.DUMMYFUNCTION("""COMPUTED_VALUE"""),"cas_hmw")</f>
        <v>cas_hmw</v>
      </c>
      <c r="B23981" s="5">
        <f>IFERROR(__xludf.DUMMYFUNCTION("""COMPUTED_VALUE"""),44797.0)</f>
        <v>44797</v>
      </c>
      <c r="C23981" s="6">
        <f>IFERROR(__xludf.DUMMYFUNCTION("""COMPUTED_VALUE"""),0.7180324074070086)</f>
        <v>0.7180324074</v>
      </c>
      <c r="D23981" s="4">
        <f>IFERROR(__xludf.DUMMYFUNCTION("""COMPUTED_VALUE"""),13.010407)</f>
        <v>13.010407</v>
      </c>
      <c r="E23981" s="4">
        <f>IFERROR(__xludf.DUMMYFUNCTION("""COMPUTED_VALUE"""),80.216074)</f>
        <v>80.216074</v>
      </c>
      <c r="F23981" s="4">
        <f>IFERROR(__xludf.DUMMYFUNCTION("""COMPUTED_VALUE"""),5339.0)</f>
        <v>5339</v>
      </c>
      <c r="G23981" s="4">
        <f>IFERROR(__xludf.DUMMYFUNCTION("""COMPUTED_VALUE"""),51.0)</f>
        <v>51</v>
      </c>
      <c r="H23981" s="4"/>
      <c r="I23981" s="4"/>
    </row>
    <row r="23982">
      <c r="A23982" s="4" t="str">
        <f>IFERROR(__xludf.DUMMYFUNCTION("""COMPUTED_VALUE"""),"cas_hmw")</f>
        <v>cas_hmw</v>
      </c>
      <c r="B23982" s="5">
        <f>IFERROR(__xludf.DUMMYFUNCTION("""COMPUTED_VALUE"""),44797.0)</f>
        <v>44797</v>
      </c>
      <c r="C23982" s="6">
        <f>IFERROR(__xludf.DUMMYFUNCTION("""COMPUTED_VALUE"""),0.7181134259262762)</f>
        <v>0.7181134259</v>
      </c>
      <c r="D23982" s="4">
        <f>IFERROR(__xludf.DUMMYFUNCTION("""COMPUTED_VALUE"""),13.010928)</f>
        <v>13.010928</v>
      </c>
      <c r="E23982" s="4">
        <f>IFERROR(__xludf.DUMMYFUNCTION("""COMPUTED_VALUE"""),80.217189)</f>
        <v>80.217189</v>
      </c>
      <c r="F23982" s="4">
        <f>IFERROR(__xludf.DUMMYFUNCTION("""COMPUTED_VALUE"""),5339.0)</f>
        <v>5339</v>
      </c>
      <c r="G23982" s="4">
        <f>IFERROR(__xludf.DUMMYFUNCTION("""COMPUTED_VALUE"""),43.0)</f>
        <v>43</v>
      </c>
      <c r="H23982" s="4"/>
      <c r="I23982" s="4"/>
    </row>
    <row r="23983">
      <c r="A23983" s="4" t="str">
        <f>IFERROR(__xludf.DUMMYFUNCTION("""COMPUTED_VALUE"""),"cas_hmw")</f>
        <v>cas_hmw</v>
      </c>
      <c r="B23983" s="5">
        <f>IFERROR(__xludf.DUMMYFUNCTION("""COMPUTED_VALUE"""),44797.0)</f>
        <v>44797</v>
      </c>
      <c r="C23983" s="6">
        <f>IFERROR(__xludf.DUMMYFUNCTION("""COMPUTED_VALUE"""),0.718993055554165)</f>
        <v>0.7189930556</v>
      </c>
      <c r="D23983" s="4">
        <f>IFERROR(__xludf.DUMMYFUNCTION("""COMPUTED_VALUE"""),13.013198)</f>
        <v>13.013198</v>
      </c>
      <c r="E23983" s="4">
        <f>IFERROR(__xludf.DUMMYFUNCTION("""COMPUTED_VALUE"""),80.222336)</f>
        <v>80.222336</v>
      </c>
      <c r="F23983" s="4">
        <f>IFERROR(__xludf.DUMMYFUNCTION("""COMPUTED_VALUE"""),5339.0)</f>
        <v>5339</v>
      </c>
      <c r="G23983" s="4">
        <f>IFERROR(__xludf.DUMMYFUNCTION("""COMPUTED_VALUE"""),35.0)</f>
        <v>35</v>
      </c>
      <c r="H23983" s="4"/>
      <c r="I23983" s="4"/>
    </row>
    <row r="23984">
      <c r="A23984" s="4" t="str">
        <f>IFERROR(__xludf.DUMMYFUNCTION("""COMPUTED_VALUE"""),"cas_hmw")</f>
        <v>cas_hmw</v>
      </c>
      <c r="B23984" s="5">
        <f>IFERROR(__xludf.DUMMYFUNCTION("""COMPUTED_VALUE"""),44797.0)</f>
        <v>44797</v>
      </c>
      <c r="C23984" s="6">
        <f>IFERROR(__xludf.DUMMYFUNCTION("""COMPUTED_VALUE"""),0.7197800925932825)</f>
        <v>0.7197800926</v>
      </c>
      <c r="D23984" s="4">
        <f>IFERROR(__xludf.DUMMYFUNCTION("""COMPUTED_VALUE"""),13.015882)</f>
        <v>13.015882</v>
      </c>
      <c r="E23984" s="4">
        <f>IFERROR(__xludf.DUMMYFUNCTION("""COMPUTED_VALUE"""),80.225326)</f>
        <v>80.225326</v>
      </c>
      <c r="F23984" s="4">
        <f>IFERROR(__xludf.DUMMYFUNCTION("""COMPUTED_VALUE"""),5339.0)</f>
        <v>5339</v>
      </c>
      <c r="G23984" s="4">
        <f>IFERROR(__xludf.DUMMYFUNCTION("""COMPUTED_VALUE"""),30.0)</f>
        <v>30</v>
      </c>
      <c r="H23984" s="4"/>
      <c r="I23984" s="4"/>
    </row>
    <row r="23985">
      <c r="A23985" s="4" t="str">
        <f>IFERROR(__xludf.DUMMYFUNCTION("""COMPUTED_VALUE"""),"cas_hmw")</f>
        <v>cas_hmw</v>
      </c>
      <c r="B23985" s="5">
        <f>IFERROR(__xludf.DUMMYFUNCTION("""COMPUTED_VALUE"""),44797.0)</f>
        <v>44797</v>
      </c>
      <c r="C23985" s="6">
        <f>IFERROR(__xludf.DUMMYFUNCTION("""COMPUTED_VALUE"""),0.7217592592605797)</f>
        <v>0.7217592593</v>
      </c>
      <c r="D23985" s="4">
        <f>IFERROR(__xludf.DUMMYFUNCTION("""COMPUTED_VALUE"""),13.024449)</f>
        <v>13.024449</v>
      </c>
      <c r="E23985" s="4">
        <f>IFERROR(__xludf.DUMMYFUNCTION("""COMPUTED_VALUE"""),80.228657)</f>
        <v>80.228657</v>
      </c>
      <c r="F23985" s="4">
        <f>IFERROR(__xludf.DUMMYFUNCTION("""COMPUTED_VALUE"""),5339.0)</f>
        <v>5339</v>
      </c>
      <c r="G23985" s="4">
        <f>IFERROR(__xludf.DUMMYFUNCTION("""COMPUTED_VALUE"""),24.0)</f>
        <v>24</v>
      </c>
      <c r="H23985" s="4"/>
      <c r="I23985" s="4"/>
    </row>
    <row r="23986">
      <c r="A23986" s="4" t="str">
        <f>IFERROR(__xludf.DUMMYFUNCTION("""COMPUTED_VALUE"""),"cas_hmw")</f>
        <v>cas_hmw</v>
      </c>
      <c r="B23986" s="5">
        <f>IFERROR(__xludf.DUMMYFUNCTION("""COMPUTED_VALUE"""),44797.0)</f>
        <v>44797</v>
      </c>
      <c r="C23986" s="6">
        <f>IFERROR(__xludf.DUMMYFUNCTION("""COMPUTED_VALUE"""),0.7217708333337214)</f>
        <v>0.7217708333</v>
      </c>
      <c r="D23986" s="4">
        <f>IFERROR(__xludf.DUMMYFUNCTION("""COMPUTED_VALUE"""),13.024449)</f>
        <v>13.024449</v>
      </c>
      <c r="E23986" s="4">
        <f>IFERROR(__xludf.DUMMYFUNCTION("""COMPUTED_VALUE"""),80.228657)</f>
        <v>80.228657</v>
      </c>
      <c r="F23986" s="4">
        <f>IFERROR(__xludf.DUMMYFUNCTION("""COMPUTED_VALUE"""),5339.0)</f>
        <v>5339</v>
      </c>
      <c r="G23986" s="4">
        <f>IFERROR(__xludf.DUMMYFUNCTION("""COMPUTED_VALUE"""),24.0)</f>
        <v>24</v>
      </c>
      <c r="H23986" s="4"/>
      <c r="I23986" s="4"/>
    </row>
    <row r="23987">
      <c r="A23987" s="4" t="str">
        <f>IFERROR(__xludf.DUMMYFUNCTION("""COMPUTED_VALUE"""),"cas_hmw")</f>
        <v>cas_hmw</v>
      </c>
      <c r="B23987" s="5">
        <f>IFERROR(__xludf.DUMMYFUNCTION("""COMPUTED_VALUE"""),44797.0)</f>
        <v>44797</v>
      </c>
      <c r="C23987" s="6">
        <f>IFERROR(__xludf.DUMMYFUNCTION("""COMPUTED_VALUE"""),0.7231365740735782)</f>
        <v>0.7231365741</v>
      </c>
      <c r="D23987" s="4">
        <f>IFERROR(__xludf.DUMMYFUNCTION("""COMPUTED_VALUE"""),13.026523)</f>
        <v>13.026523</v>
      </c>
      <c r="E23987" s="4">
        <f>IFERROR(__xludf.DUMMYFUNCTION("""COMPUTED_VALUE"""),80.232828)</f>
        <v>80.232828</v>
      </c>
      <c r="F23987" s="4">
        <f>IFERROR(__xludf.DUMMYFUNCTION("""COMPUTED_VALUE"""),5339.0)</f>
        <v>5339</v>
      </c>
      <c r="G23987" s="4">
        <f>IFERROR(__xludf.DUMMYFUNCTION("""COMPUTED_VALUE"""),21.0)</f>
        <v>21</v>
      </c>
      <c r="H23987" s="4"/>
      <c r="I23987" s="4"/>
    </row>
    <row r="23988">
      <c r="A23988" s="4" t="str">
        <f>IFERROR(__xludf.DUMMYFUNCTION("""COMPUTED_VALUE"""),"cas_hmw")</f>
        <v>cas_hmw</v>
      </c>
      <c r="B23988" s="5">
        <f>IFERROR(__xludf.DUMMYFUNCTION("""COMPUTED_VALUE"""),44797.0)</f>
        <v>44797</v>
      </c>
      <c r="C23988" s="6">
        <f>IFERROR(__xludf.DUMMYFUNCTION("""COMPUTED_VALUE"""),0.7231365740735782)</f>
        <v>0.7231365741</v>
      </c>
      <c r="D23988" s="4">
        <f>IFERROR(__xludf.DUMMYFUNCTION("""COMPUTED_VALUE"""),13.026523)</f>
        <v>13.026523</v>
      </c>
      <c r="E23988" s="4">
        <f>IFERROR(__xludf.DUMMYFUNCTION("""COMPUTED_VALUE"""),80.232828)</f>
        <v>80.232828</v>
      </c>
      <c r="F23988" s="4">
        <f>IFERROR(__xludf.DUMMYFUNCTION("""COMPUTED_VALUE"""),5339.0)</f>
        <v>5339</v>
      </c>
      <c r="G23988" s="4">
        <f>IFERROR(__xludf.DUMMYFUNCTION("""COMPUTED_VALUE"""),21.0)</f>
        <v>21</v>
      </c>
      <c r="H23988" s="4"/>
      <c r="I23988" s="4"/>
    </row>
    <row r="23989">
      <c r="A23989" s="4" t="str">
        <f>IFERROR(__xludf.DUMMYFUNCTION("""COMPUTED_VALUE"""),"cas_hmw")</f>
        <v>cas_hmw</v>
      </c>
      <c r="B23989" s="5">
        <f>IFERROR(__xludf.DUMMYFUNCTION("""COMPUTED_VALUE"""),44797.0)</f>
        <v>44797</v>
      </c>
      <c r="C23989" s="6">
        <f>IFERROR(__xludf.DUMMYFUNCTION("""COMPUTED_VALUE"""),0.7235879629624833)</f>
        <v>0.723587963</v>
      </c>
      <c r="D23989" s="4">
        <f>IFERROR(__xludf.DUMMYFUNCTION("""COMPUTED_VALUE"""),13.027928)</f>
        <v>13.027928</v>
      </c>
      <c r="E23989" s="4">
        <f>IFERROR(__xludf.DUMMYFUNCTION("""COMPUTED_VALUE"""),80.235266)</f>
        <v>80.235266</v>
      </c>
      <c r="F23989" s="4">
        <f>IFERROR(__xludf.DUMMYFUNCTION("""COMPUTED_VALUE"""),5339.0)</f>
        <v>5339</v>
      </c>
      <c r="G23989" s="4">
        <f>IFERROR(__xludf.DUMMYFUNCTION("""COMPUTED_VALUE"""),27.0)</f>
        <v>27</v>
      </c>
      <c r="H23989" s="4"/>
      <c r="I23989" s="4"/>
    </row>
    <row r="23990">
      <c r="A23990" s="4" t="str">
        <f>IFERROR(__xludf.DUMMYFUNCTION("""COMPUTED_VALUE"""),"cas_hmw")</f>
        <v>cas_hmw</v>
      </c>
      <c r="B23990" s="5">
        <f>IFERROR(__xludf.DUMMYFUNCTION("""COMPUTED_VALUE"""),44797.0)</f>
        <v>44797</v>
      </c>
      <c r="C23990" s="6">
        <f>IFERROR(__xludf.DUMMYFUNCTION("""COMPUTED_VALUE"""),0.7236921296280343)</f>
        <v>0.7236921296</v>
      </c>
      <c r="D23990" s="4">
        <f>IFERROR(__xludf.DUMMYFUNCTION("""COMPUTED_VALUE"""),13.028477)</f>
        <v>13.028477</v>
      </c>
      <c r="E23990" s="4">
        <f>IFERROR(__xludf.DUMMYFUNCTION("""COMPUTED_VALUE"""),80.235939)</f>
        <v>80.235939</v>
      </c>
      <c r="F23990" s="4">
        <f>IFERROR(__xludf.DUMMYFUNCTION("""COMPUTED_VALUE"""),5339.0)</f>
        <v>5339</v>
      </c>
      <c r="G23990" s="4">
        <f>IFERROR(__xludf.DUMMYFUNCTION("""COMPUTED_VALUE"""),38.0)</f>
        <v>38</v>
      </c>
      <c r="H23990" s="4"/>
      <c r="I23990" s="4"/>
    </row>
    <row r="23991">
      <c r="A23991" s="4" t="str">
        <f>IFERROR(__xludf.DUMMYFUNCTION("""COMPUTED_VALUE"""),"cas_hmw")</f>
        <v>cas_hmw</v>
      </c>
      <c r="B23991" s="5">
        <f>IFERROR(__xludf.DUMMYFUNCTION("""COMPUTED_VALUE"""),44797.0)</f>
        <v>44797</v>
      </c>
      <c r="C23991" s="6">
        <f>IFERROR(__xludf.DUMMYFUNCTION("""COMPUTED_VALUE"""),0.7237268518510973)</f>
        <v>0.7237268519</v>
      </c>
      <c r="D23991" s="4">
        <f>IFERROR(__xludf.DUMMYFUNCTION("""COMPUTED_VALUE"""),13.02909)</f>
        <v>13.02909</v>
      </c>
      <c r="E23991" s="4">
        <f>IFERROR(__xludf.DUMMYFUNCTION("""COMPUTED_VALUE"""),80.236613)</f>
        <v>80.236613</v>
      </c>
      <c r="F23991" s="4">
        <f>IFERROR(__xludf.DUMMYFUNCTION("""COMPUTED_VALUE"""),5339.0)</f>
        <v>5339</v>
      </c>
      <c r="G23991" s="4">
        <f>IFERROR(__xludf.DUMMYFUNCTION("""COMPUTED_VALUE"""),34.0)</f>
        <v>34</v>
      </c>
      <c r="H23991" s="4"/>
      <c r="I23991" s="4"/>
    </row>
    <row r="23992">
      <c r="A23992" s="4" t="str">
        <f>IFERROR(__xludf.DUMMYFUNCTION("""COMPUTED_VALUE"""),"cas_hmw")</f>
        <v>cas_hmw</v>
      </c>
      <c r="B23992" s="5">
        <f>IFERROR(__xludf.DUMMYFUNCTION("""COMPUTED_VALUE"""),44797.0)</f>
        <v>44797</v>
      </c>
      <c r="C23992" s="6">
        <f>IFERROR(__xludf.DUMMYFUNCTION("""COMPUTED_VALUE"""),0.723842592593428)</f>
        <v>0.7238425926</v>
      </c>
      <c r="D23992" s="4">
        <f>IFERROR(__xludf.DUMMYFUNCTION("""COMPUTED_VALUE"""),13.02909)</f>
        <v>13.02909</v>
      </c>
      <c r="E23992" s="4">
        <f>IFERROR(__xludf.DUMMYFUNCTION("""COMPUTED_VALUE"""),80.236613)</f>
        <v>80.236613</v>
      </c>
      <c r="F23992" s="4">
        <f>IFERROR(__xludf.DUMMYFUNCTION("""COMPUTED_VALUE"""),5339.0)</f>
        <v>5339</v>
      </c>
      <c r="G23992" s="4">
        <f>IFERROR(__xludf.DUMMYFUNCTION("""COMPUTED_VALUE"""),34.0)</f>
        <v>34</v>
      </c>
      <c r="H23992" s="4"/>
      <c r="I23992" s="4"/>
    </row>
    <row r="23993">
      <c r="A23993" s="4" t="str">
        <f>IFERROR(__xludf.DUMMYFUNCTION("""COMPUTED_VALUE"""),"cas_hmw")</f>
        <v>cas_hmw</v>
      </c>
      <c r="B23993" s="5">
        <f>IFERROR(__xludf.DUMMYFUNCTION("""COMPUTED_VALUE"""),44797.0)</f>
        <v>44797</v>
      </c>
      <c r="C23993" s="6">
        <f>IFERROR(__xludf.DUMMYFUNCTION("""COMPUTED_VALUE"""),0.7238888888896327)</f>
        <v>0.7238888889</v>
      </c>
      <c r="D23993" s="4">
        <f>IFERROR(__xludf.DUMMYFUNCTION("""COMPUTED_VALUE"""),13.029668)</f>
        <v>13.029668</v>
      </c>
      <c r="E23993" s="4">
        <f>IFERROR(__xludf.DUMMYFUNCTION("""COMPUTED_VALUE"""),80.23723)</f>
        <v>80.23723</v>
      </c>
      <c r="F23993" s="4">
        <f>IFERROR(__xludf.DUMMYFUNCTION("""COMPUTED_VALUE"""),5339.0)</f>
        <v>5339</v>
      </c>
      <c r="G23993" s="4">
        <f>IFERROR(__xludf.DUMMYFUNCTION("""COMPUTED_VALUE"""),35.0)</f>
        <v>35</v>
      </c>
      <c r="H23993" s="4"/>
      <c r="I23993" s="4"/>
    </row>
    <row r="23994">
      <c r="A23994" s="4" t="str">
        <f>IFERROR(__xludf.DUMMYFUNCTION("""COMPUTED_VALUE"""),"cas_hmw")</f>
        <v>cas_hmw</v>
      </c>
      <c r="B23994" s="5">
        <f>IFERROR(__xludf.DUMMYFUNCTION("""COMPUTED_VALUE"""),44797.0)</f>
        <v>44797</v>
      </c>
      <c r="C23994" s="6">
        <f>IFERROR(__xludf.DUMMYFUNCTION("""COMPUTED_VALUE"""),0.7253703703718202)</f>
        <v>0.7253703704</v>
      </c>
      <c r="D23994" s="4">
        <f>IFERROR(__xludf.DUMMYFUNCTION("""COMPUTED_VALUE"""),13.030928)</f>
        <v>13.030928</v>
      </c>
      <c r="E23994" s="4">
        <f>IFERROR(__xludf.DUMMYFUNCTION("""COMPUTED_VALUE"""),80.239324)</f>
        <v>80.239324</v>
      </c>
      <c r="F23994" s="4">
        <f>IFERROR(__xludf.DUMMYFUNCTION("""COMPUTED_VALUE"""),5339.0)</f>
        <v>5339</v>
      </c>
      <c r="G23994" s="4">
        <f>IFERROR(__xludf.DUMMYFUNCTION("""COMPUTED_VALUE"""),25.0)</f>
        <v>25</v>
      </c>
      <c r="H23994" s="4"/>
      <c r="I23994" s="4"/>
    </row>
    <row r="23995">
      <c r="A23995" s="4" t="str">
        <f>IFERROR(__xludf.DUMMYFUNCTION("""COMPUTED_VALUE"""),"cas_hmw")</f>
        <v>cas_hmw</v>
      </c>
      <c r="B23995" s="5">
        <f>IFERROR(__xludf.DUMMYFUNCTION("""COMPUTED_VALUE"""),44797.0)</f>
        <v>44797</v>
      </c>
      <c r="C23995" s="6">
        <f>IFERROR(__xludf.DUMMYFUNCTION("""COMPUTED_VALUE"""),0.7257986111108039)</f>
        <v>0.7257986111</v>
      </c>
      <c r="D23995" s="4">
        <f>IFERROR(__xludf.DUMMYFUNCTION("""COMPUTED_VALUE"""),13.031848)</f>
        <v>13.031848</v>
      </c>
      <c r="E23995" s="4">
        <f>IFERROR(__xludf.DUMMYFUNCTION("""COMPUTED_VALUE"""),80.241247)</f>
        <v>80.241247</v>
      </c>
      <c r="F23995" s="4">
        <f>IFERROR(__xludf.DUMMYFUNCTION("""COMPUTED_VALUE"""),5339.0)</f>
        <v>5339</v>
      </c>
      <c r="G23995" s="4">
        <f>IFERROR(__xludf.DUMMYFUNCTION("""COMPUTED_VALUE"""),9.0)</f>
        <v>9</v>
      </c>
      <c r="H23995" s="4"/>
      <c r="I23995" s="4"/>
    </row>
    <row r="23996">
      <c r="A23996" s="4" t="str">
        <f>IFERROR(__xludf.DUMMYFUNCTION("""COMPUTED_VALUE"""),"cas_hmw")</f>
        <v>cas_hmw</v>
      </c>
      <c r="B23996" s="5">
        <f>IFERROR(__xludf.DUMMYFUNCTION("""COMPUTED_VALUE"""),44797.0)</f>
        <v>44797</v>
      </c>
      <c r="C23996" s="6">
        <f>IFERROR(__xludf.DUMMYFUNCTION("""COMPUTED_VALUE"""),0.7258217592607252)</f>
        <v>0.7258217593</v>
      </c>
      <c r="D23996" s="4">
        <f>IFERROR(__xludf.DUMMYFUNCTION("""COMPUTED_VALUE"""),13.03207)</f>
        <v>13.03207</v>
      </c>
      <c r="E23996" s="4">
        <f>IFERROR(__xludf.DUMMYFUNCTION("""COMPUTED_VALUE"""),80.241725)</f>
        <v>80.241725</v>
      </c>
      <c r="F23996" s="4">
        <f>IFERROR(__xludf.DUMMYFUNCTION("""COMPUTED_VALUE"""),5339.0)</f>
        <v>5339</v>
      </c>
      <c r="G23996" s="4">
        <f>IFERROR(__xludf.DUMMYFUNCTION("""COMPUTED_VALUE"""),27.0)</f>
        <v>27</v>
      </c>
      <c r="H23996" s="4"/>
      <c r="I23996" s="4"/>
    </row>
    <row r="23997">
      <c r="A23997" s="4" t="str">
        <f>IFERROR(__xludf.DUMMYFUNCTION("""COMPUTED_VALUE"""),"cas_hmw")</f>
        <v>cas_hmw</v>
      </c>
      <c r="B23997" s="5">
        <f>IFERROR(__xludf.DUMMYFUNCTION("""COMPUTED_VALUE"""),44797.0)</f>
        <v>44797</v>
      </c>
      <c r="C23997" s="6">
        <f>IFERROR(__xludf.DUMMYFUNCTION("""COMPUTED_VALUE"""),0.7259027777763549)</f>
        <v>0.7259027778</v>
      </c>
      <c r="D23997" s="4">
        <f>IFERROR(__xludf.DUMMYFUNCTION("""COMPUTED_VALUE"""),13.03207)</f>
        <v>13.03207</v>
      </c>
      <c r="E23997" s="4">
        <f>IFERROR(__xludf.DUMMYFUNCTION("""COMPUTED_VALUE"""),80.241725)</f>
        <v>80.241725</v>
      </c>
      <c r="F23997" s="4">
        <f>IFERROR(__xludf.DUMMYFUNCTION("""COMPUTED_VALUE"""),5339.0)</f>
        <v>5339</v>
      </c>
      <c r="G23997" s="4">
        <f>IFERROR(__xludf.DUMMYFUNCTION("""COMPUTED_VALUE"""),27.0)</f>
        <v>27</v>
      </c>
      <c r="H23997" s="4"/>
      <c r="I23997" s="4"/>
    </row>
    <row r="23998">
      <c r="A23998" s="4" t="str">
        <f>IFERROR(__xludf.DUMMYFUNCTION("""COMPUTED_VALUE"""),"cas_hmw")</f>
        <v>cas_hmw</v>
      </c>
      <c r="B23998" s="5">
        <f>IFERROR(__xludf.DUMMYFUNCTION("""COMPUTED_VALUE"""),44797.0)</f>
        <v>44797</v>
      </c>
      <c r="C23998" s="6">
        <f>IFERROR(__xludf.DUMMYFUNCTION("""COMPUTED_VALUE"""),0.7266550925924093)</f>
        <v>0.7266550926</v>
      </c>
      <c r="D23998" s="4">
        <f>IFERROR(__xludf.DUMMYFUNCTION("""COMPUTED_VALUE"""),13.033849)</f>
        <v>13.033849</v>
      </c>
      <c r="E23998" s="4">
        <f>IFERROR(__xludf.DUMMYFUNCTION("""COMPUTED_VALUE"""),80.244255)</f>
        <v>80.244255</v>
      </c>
      <c r="F23998" s="4">
        <f>IFERROR(__xludf.DUMMYFUNCTION("""COMPUTED_VALUE"""),5339.0)</f>
        <v>5339</v>
      </c>
      <c r="G23998" s="4">
        <f>IFERROR(__xludf.DUMMYFUNCTION("""COMPUTED_VALUE"""),37.0)</f>
        <v>37</v>
      </c>
      <c r="H23998" s="4"/>
      <c r="I23998" s="4"/>
    </row>
    <row r="23999">
      <c r="A23999" s="4" t="str">
        <f>IFERROR(__xludf.DUMMYFUNCTION("""COMPUTED_VALUE"""),"cas_hmw")</f>
        <v>cas_hmw</v>
      </c>
      <c r="B23999" s="5">
        <f>IFERROR(__xludf.DUMMYFUNCTION("""COMPUTED_VALUE"""),44797.0)</f>
        <v>44797</v>
      </c>
      <c r="C23999" s="6">
        <f>IFERROR(__xludf.DUMMYFUNCTION("""COMPUTED_VALUE"""),0.7323032407402934)</f>
        <v>0.7323032407</v>
      </c>
      <c r="D23999" s="4">
        <f>IFERROR(__xludf.DUMMYFUNCTION("""COMPUTED_VALUE"""),13.048024)</f>
        <v>13.048024</v>
      </c>
      <c r="E23999" s="4">
        <f>IFERROR(__xludf.DUMMYFUNCTION("""COMPUTED_VALUE"""),80.249213)</f>
        <v>80.249213</v>
      </c>
      <c r="F23999" s="4">
        <f>IFERROR(__xludf.DUMMYFUNCTION("""COMPUTED_VALUE"""),5339.0)</f>
        <v>5339</v>
      </c>
      <c r="G23999" s="4">
        <f>IFERROR(__xludf.DUMMYFUNCTION("""COMPUTED_VALUE"""),34.0)</f>
        <v>34</v>
      </c>
      <c r="H23999" s="4"/>
      <c r="I23999" s="4"/>
    </row>
    <row r="24000">
      <c r="A24000" s="4" t="str">
        <f>IFERROR(__xludf.DUMMYFUNCTION("""COMPUTED_VALUE"""),"cas_hmw")</f>
        <v>cas_hmw</v>
      </c>
      <c r="B24000" s="5">
        <f>IFERROR(__xludf.DUMMYFUNCTION("""COMPUTED_VALUE"""),44797.0)</f>
        <v>44797</v>
      </c>
      <c r="C24000" s="6">
        <f>IFERROR(__xludf.DUMMYFUNCTION("""COMPUTED_VALUE"""),0.7324537037020491)</f>
        <v>0.7324537037</v>
      </c>
      <c r="D24000" s="4">
        <f>IFERROR(__xludf.DUMMYFUNCTION("""COMPUTED_VALUE"""),13.048751)</f>
        <v>13.048751</v>
      </c>
      <c r="E24000" s="4">
        <f>IFERROR(__xludf.DUMMYFUNCTION("""COMPUTED_VALUE"""),80.249651)</f>
        <v>80.249651</v>
      </c>
      <c r="F24000" s="4">
        <f>IFERROR(__xludf.DUMMYFUNCTION("""COMPUTED_VALUE"""),5339.0)</f>
        <v>5339</v>
      </c>
      <c r="G24000" s="4">
        <f>IFERROR(__xludf.DUMMYFUNCTION("""COMPUTED_VALUE"""),35.0)</f>
        <v>35</v>
      </c>
      <c r="H24000" s="4"/>
      <c r="I24000" s="4"/>
    </row>
    <row r="24001">
      <c r="A24001" s="4" t="str">
        <f>IFERROR(__xludf.DUMMYFUNCTION("""COMPUTED_VALUE"""),"cas_hmw")</f>
        <v>cas_hmw</v>
      </c>
      <c r="B24001" s="5">
        <f>IFERROR(__xludf.DUMMYFUNCTION("""COMPUTED_VALUE"""),44797.0)</f>
        <v>44797</v>
      </c>
      <c r="C24001" s="6">
        <f>IFERROR(__xludf.DUMMYFUNCTION("""COMPUTED_VALUE"""),0.7325231481481751)</f>
        <v>0.7325231481</v>
      </c>
      <c r="D24001" s="4">
        <f>IFERROR(__xludf.DUMMYFUNCTION("""COMPUTED_VALUE"""),13.049639)</f>
        <v>13.049639</v>
      </c>
      <c r="E24001" s="4">
        <f>IFERROR(__xludf.DUMMYFUNCTION("""COMPUTED_VALUE"""),80.249765)</f>
        <v>80.249765</v>
      </c>
      <c r="F24001" s="4">
        <f>IFERROR(__xludf.DUMMYFUNCTION("""COMPUTED_VALUE"""),5339.0)</f>
        <v>5339</v>
      </c>
      <c r="G24001" s="4">
        <f>IFERROR(__xludf.DUMMYFUNCTION("""COMPUTED_VALUE"""),37.0)</f>
        <v>37</v>
      </c>
      <c r="H24001" s="4"/>
      <c r="I24001" s="4"/>
    </row>
    <row r="24002">
      <c r="A24002" s="4" t="str">
        <f>IFERROR(__xludf.DUMMYFUNCTION("""COMPUTED_VALUE"""),"cas_hmw")</f>
        <v>cas_hmw</v>
      </c>
      <c r="B24002" s="5">
        <f>IFERROR(__xludf.DUMMYFUNCTION("""COMPUTED_VALUE"""),44797.0)</f>
        <v>44797</v>
      </c>
      <c r="C24002" s="6">
        <f>IFERROR(__xludf.DUMMYFUNCTION("""COMPUTED_VALUE"""),0.7332060185181035)</f>
        <v>0.7332060185</v>
      </c>
      <c r="D24002" s="4">
        <f>IFERROR(__xludf.DUMMYFUNCTION("""COMPUTED_VALUE"""),13.0536)</f>
        <v>13.0536</v>
      </c>
      <c r="E24002" s="4">
        <f>IFERROR(__xludf.DUMMYFUNCTION("""COMPUTED_VALUE"""),80.252693)</f>
        <v>80.252693</v>
      </c>
      <c r="F24002" s="4">
        <f>IFERROR(__xludf.DUMMYFUNCTION("""COMPUTED_VALUE"""),5339.0)</f>
        <v>5339</v>
      </c>
      <c r="G24002" s="4">
        <f>IFERROR(__xludf.DUMMYFUNCTION("""COMPUTED_VALUE"""),16.0)</f>
        <v>16</v>
      </c>
      <c r="H24002" s="4"/>
      <c r="I24002" s="4"/>
    </row>
    <row r="24003">
      <c r="A24003" s="4" t="str">
        <f>IFERROR(__xludf.DUMMYFUNCTION("""COMPUTED_VALUE"""),"cas_hmw")</f>
        <v>cas_hmw</v>
      </c>
      <c r="B24003" s="5">
        <f>IFERROR(__xludf.DUMMYFUNCTION("""COMPUTED_VALUE"""),44797.0)</f>
        <v>44797</v>
      </c>
      <c r="C24003" s="6">
        <f>IFERROR(__xludf.DUMMYFUNCTION("""COMPUTED_VALUE"""),0.7332060185181035)</f>
        <v>0.7332060185</v>
      </c>
      <c r="D24003" s="4">
        <f>IFERROR(__xludf.DUMMYFUNCTION("""COMPUTED_VALUE"""),13.0536)</f>
        <v>13.0536</v>
      </c>
      <c r="E24003" s="4">
        <f>IFERROR(__xludf.DUMMYFUNCTION("""COMPUTED_VALUE"""),80.252693)</f>
        <v>80.252693</v>
      </c>
      <c r="F24003" s="4">
        <f>IFERROR(__xludf.DUMMYFUNCTION("""COMPUTED_VALUE"""),5339.0)</f>
        <v>5339</v>
      </c>
      <c r="G24003" s="4">
        <f>IFERROR(__xludf.DUMMYFUNCTION("""COMPUTED_VALUE"""),16.0)</f>
        <v>16</v>
      </c>
      <c r="H24003" s="4"/>
      <c r="I24003" s="4"/>
    </row>
    <row r="24004">
      <c r="A24004" s="4" t="str">
        <f>IFERROR(__xludf.DUMMYFUNCTION("""COMPUTED_VALUE"""),"cas_hmw")</f>
        <v>cas_hmw</v>
      </c>
      <c r="B24004" s="5">
        <f>IFERROR(__xludf.DUMMYFUNCTION("""COMPUTED_VALUE"""),44797.0)</f>
        <v>44797</v>
      </c>
      <c r="C24004" s="6">
        <f>IFERROR(__xludf.DUMMYFUNCTION("""COMPUTED_VALUE"""),0.7332175925912452)</f>
        <v>0.7332175926</v>
      </c>
      <c r="D24004" s="4">
        <f>IFERROR(__xludf.DUMMYFUNCTION("""COMPUTED_VALUE"""),13.05395)</f>
        <v>13.05395</v>
      </c>
      <c r="E24004" s="4">
        <f>IFERROR(__xludf.DUMMYFUNCTION("""COMPUTED_VALUE"""),80.253176)</f>
        <v>80.253176</v>
      </c>
      <c r="F24004" s="4">
        <f>IFERROR(__xludf.DUMMYFUNCTION("""COMPUTED_VALUE"""),5339.0)</f>
        <v>5339</v>
      </c>
      <c r="G24004" s="4">
        <f>IFERROR(__xludf.DUMMYFUNCTION("""COMPUTED_VALUE"""),27.0)</f>
        <v>27</v>
      </c>
      <c r="H24004" s="4"/>
      <c r="I24004" s="4"/>
    </row>
    <row r="24005">
      <c r="A24005" s="4" t="str">
        <f>IFERROR(__xludf.DUMMYFUNCTION("""COMPUTED_VALUE"""),"cas_hmw")</f>
        <v>cas_hmw</v>
      </c>
      <c r="B24005" s="5">
        <f>IFERROR(__xludf.DUMMYFUNCTION("""COMPUTED_VALUE"""),44797.0)</f>
        <v>44797</v>
      </c>
      <c r="C24005" s="6">
        <f>IFERROR(__xludf.DUMMYFUNCTION("""COMPUTED_VALUE"""),0.7332870370373712)</f>
        <v>0.733287037</v>
      </c>
      <c r="D24005" s="4">
        <f>IFERROR(__xludf.DUMMYFUNCTION("""COMPUTED_VALUE"""),13.05395)</f>
        <v>13.05395</v>
      </c>
      <c r="E24005" s="4">
        <f>IFERROR(__xludf.DUMMYFUNCTION("""COMPUTED_VALUE"""),80.253176)</f>
        <v>80.253176</v>
      </c>
      <c r="F24005" s="4">
        <f>IFERROR(__xludf.DUMMYFUNCTION("""COMPUTED_VALUE"""),5339.0)</f>
        <v>5339</v>
      </c>
      <c r="G24005" s="4">
        <f>IFERROR(__xludf.DUMMYFUNCTION("""COMPUTED_VALUE"""),27.0)</f>
        <v>27</v>
      </c>
      <c r="H24005" s="4"/>
      <c r="I24005" s="4"/>
    </row>
    <row r="24006">
      <c r="A24006" s="4" t="str">
        <f>IFERROR(__xludf.DUMMYFUNCTION("""COMPUTED_VALUE"""),"cas_hmw")</f>
        <v>cas_hmw</v>
      </c>
      <c r="B24006" s="5">
        <f>IFERROR(__xludf.DUMMYFUNCTION("""COMPUTED_VALUE"""),44797.0)</f>
        <v>44797</v>
      </c>
      <c r="C24006" s="6">
        <f>IFERROR(__xludf.DUMMYFUNCTION("""COMPUTED_VALUE"""),0.7333680555566389)</f>
        <v>0.7333680556</v>
      </c>
      <c r="D24006" s="4">
        <f>IFERROR(__xludf.DUMMYFUNCTION("""COMPUTED_VALUE"""),13.054402)</f>
        <v>13.054402</v>
      </c>
      <c r="E24006" s="4">
        <f>IFERROR(__xludf.DUMMYFUNCTION("""COMPUTED_VALUE"""),80.25378)</f>
        <v>80.25378</v>
      </c>
      <c r="F24006" s="4">
        <f>IFERROR(__xludf.DUMMYFUNCTION("""COMPUTED_VALUE"""),5339.0)</f>
        <v>5339</v>
      </c>
      <c r="G24006" s="4">
        <f>IFERROR(__xludf.DUMMYFUNCTION("""COMPUTED_VALUE"""),31.0)</f>
        <v>31</v>
      </c>
      <c r="H24006" s="4"/>
      <c r="I24006" s="4"/>
    </row>
    <row r="24007">
      <c r="A24007" s="4" t="str">
        <f>IFERROR(__xludf.DUMMYFUNCTION("""COMPUTED_VALUE"""),"cas_hmw")</f>
        <v>cas_hmw</v>
      </c>
      <c r="B24007" s="5">
        <f>IFERROR(__xludf.DUMMYFUNCTION("""COMPUTED_VALUE"""),44797.0)</f>
        <v>44797</v>
      </c>
      <c r="C24007" s="6">
        <f>IFERROR(__xludf.DUMMYFUNCTION("""COMPUTED_VALUE"""),0.7338425925918273)</f>
        <v>0.7338425926</v>
      </c>
      <c r="D24007" s="4">
        <f>IFERROR(__xludf.DUMMYFUNCTION("""COMPUTED_VALUE"""),13.055843)</f>
        <v>13.055843</v>
      </c>
      <c r="E24007" s="4">
        <f>IFERROR(__xludf.DUMMYFUNCTION("""COMPUTED_VALUE"""),80.255716)</f>
        <v>80.255716</v>
      </c>
      <c r="F24007" s="4">
        <f>IFERROR(__xludf.DUMMYFUNCTION("""COMPUTED_VALUE"""),5339.0)</f>
        <v>5339</v>
      </c>
      <c r="G24007" s="4">
        <f>IFERROR(__xludf.DUMMYFUNCTION("""COMPUTED_VALUE"""),29.0)</f>
        <v>29</v>
      </c>
      <c r="H24007" s="4"/>
      <c r="I24007" s="4"/>
    </row>
    <row r="24008">
      <c r="A24008" s="4" t="str">
        <f>IFERROR(__xludf.DUMMYFUNCTION("""COMPUTED_VALUE"""),"cas_hmw")</f>
        <v>cas_hmw</v>
      </c>
      <c r="B24008" s="5">
        <f>IFERROR(__xludf.DUMMYFUNCTION("""COMPUTED_VALUE"""),44797.0)</f>
        <v>44797</v>
      </c>
      <c r="C24008" s="6">
        <f>IFERROR(__xludf.DUMMYFUNCTION("""COMPUTED_VALUE"""),0.7338541666649689)</f>
        <v>0.7338541667</v>
      </c>
      <c r="D24008" s="4">
        <f>IFERROR(__xludf.DUMMYFUNCTION("""COMPUTED_VALUE"""),13.055843)</f>
        <v>13.055843</v>
      </c>
      <c r="E24008" s="4">
        <f>IFERROR(__xludf.DUMMYFUNCTION("""COMPUTED_VALUE"""),80.255716)</f>
        <v>80.255716</v>
      </c>
      <c r="F24008" s="4">
        <f>IFERROR(__xludf.DUMMYFUNCTION("""COMPUTED_VALUE"""),5339.0)</f>
        <v>5339</v>
      </c>
      <c r="G24008" s="4">
        <f>IFERROR(__xludf.DUMMYFUNCTION("""COMPUTED_VALUE"""),29.0)</f>
        <v>29</v>
      </c>
      <c r="H24008" s="4"/>
      <c r="I24008" s="4"/>
    </row>
    <row r="24009">
      <c r="A24009" s="4" t="str">
        <f>IFERROR(__xludf.DUMMYFUNCTION("""COMPUTED_VALUE"""),"cas_hmw")</f>
        <v>cas_hmw</v>
      </c>
      <c r="B24009" s="5">
        <f>IFERROR(__xludf.DUMMYFUNCTION("""COMPUTED_VALUE"""),44797.0)</f>
        <v>44797</v>
      </c>
      <c r="C24009" s="6">
        <f>IFERROR(__xludf.DUMMYFUNCTION("""COMPUTED_VALUE"""),0.7339814814804413)</f>
        <v>0.7339814815</v>
      </c>
      <c r="D24009" s="4">
        <f>IFERROR(__xludf.DUMMYFUNCTION("""COMPUTED_VALUE"""),13.056267)</f>
        <v>13.056267</v>
      </c>
      <c r="E24009" s="4">
        <f>IFERROR(__xludf.DUMMYFUNCTION("""COMPUTED_VALUE"""),80.256294)</f>
        <v>80.256294</v>
      </c>
      <c r="F24009" s="4">
        <f>IFERROR(__xludf.DUMMYFUNCTION("""COMPUTED_VALUE"""),5339.0)</f>
        <v>5339</v>
      </c>
      <c r="G24009" s="4">
        <f>IFERROR(__xludf.DUMMYFUNCTION("""COMPUTED_VALUE"""),31.0)</f>
        <v>31</v>
      </c>
      <c r="H24009" s="4"/>
      <c r="I24009" s="4"/>
    </row>
    <row r="24010">
      <c r="A24010" s="4" t="str">
        <f>IFERROR(__xludf.DUMMYFUNCTION("""COMPUTED_VALUE"""),"cas_hmw")</f>
        <v>cas_hmw</v>
      </c>
      <c r="B24010" s="5">
        <f>IFERROR(__xludf.DUMMYFUNCTION("""COMPUTED_VALUE"""),44797.0)</f>
        <v>44797</v>
      </c>
      <c r="C24010" s="6">
        <f>IFERROR(__xludf.DUMMYFUNCTION("""COMPUTED_VALUE"""),0.7340393518534256)</f>
        <v>0.7340393519</v>
      </c>
      <c r="D24010" s="4">
        <f>IFERROR(__xludf.DUMMYFUNCTION("""COMPUTED_VALUE"""),13.056849)</f>
        <v>13.056849</v>
      </c>
      <c r="E24010" s="4">
        <f>IFERROR(__xludf.DUMMYFUNCTION("""COMPUTED_VALUE"""),80.256827)</f>
        <v>80.256827</v>
      </c>
      <c r="F24010" s="4">
        <f>IFERROR(__xludf.DUMMYFUNCTION("""COMPUTED_VALUE"""),5339.0)</f>
        <v>5339</v>
      </c>
      <c r="G24010" s="4">
        <f>IFERROR(__xludf.DUMMYFUNCTION("""COMPUTED_VALUE"""),26.0)</f>
        <v>26</v>
      </c>
      <c r="H24010" s="4"/>
      <c r="I24010" s="4"/>
    </row>
    <row r="24011">
      <c r="A24011" s="4" t="str">
        <f>IFERROR(__xludf.DUMMYFUNCTION("""COMPUTED_VALUE"""),"cas_hmw")</f>
        <v>cas_hmw</v>
      </c>
      <c r="B24011" s="5">
        <f>IFERROR(__xludf.DUMMYFUNCTION("""COMPUTED_VALUE"""),44797.0)</f>
        <v>44797</v>
      </c>
      <c r="C24011" s="6">
        <f>IFERROR(__xludf.DUMMYFUNCTION("""COMPUTED_VALUE"""),0.736747685186856)</f>
        <v>0.7367476852</v>
      </c>
      <c r="D24011" s="4">
        <f>IFERROR(__xludf.DUMMYFUNCTION("""COMPUTED_VALUE"""),13.053871)</f>
        <v>13.053871</v>
      </c>
      <c r="E24011" s="4">
        <f>IFERROR(__xludf.DUMMYFUNCTION("""COMPUTED_VALUE"""),80.264186)</f>
        <v>80.264186</v>
      </c>
      <c r="F24011" s="4">
        <f>IFERROR(__xludf.DUMMYFUNCTION("""COMPUTED_VALUE"""),5339.0)</f>
        <v>5339</v>
      </c>
      <c r="G24011" s="4">
        <f>IFERROR(__xludf.DUMMYFUNCTION("""COMPUTED_VALUE"""),29.0)</f>
        <v>29</v>
      </c>
      <c r="H24011" s="4"/>
      <c r="I24011" s="4"/>
    </row>
    <row r="24012">
      <c r="A24012" s="4" t="str">
        <f>IFERROR(__xludf.DUMMYFUNCTION("""COMPUTED_VALUE"""),"cas_hmw")</f>
        <v>cas_hmw</v>
      </c>
      <c r="B24012" s="5">
        <f>IFERROR(__xludf.DUMMYFUNCTION("""COMPUTED_VALUE"""),44797.0)</f>
        <v>44797</v>
      </c>
      <c r="C24012" s="6">
        <f>IFERROR(__xludf.DUMMYFUNCTION("""COMPUTED_VALUE"""),0.7469675925931369)</f>
        <v>0.7469675926</v>
      </c>
      <c r="D24012" s="4">
        <f>IFERROR(__xludf.DUMMYFUNCTION("""COMPUTED_VALUE"""),13.06766)</f>
        <v>13.06766</v>
      </c>
      <c r="E24012" s="4">
        <f>IFERROR(__xludf.DUMMYFUNCTION("""COMPUTED_VALUE"""),80.270833)</f>
        <v>80.270833</v>
      </c>
      <c r="F24012" s="4">
        <f>IFERROR(__xludf.DUMMYFUNCTION("""COMPUTED_VALUE"""),5339.0)</f>
        <v>5339</v>
      </c>
      <c r="G24012" s="4">
        <f>IFERROR(__xludf.DUMMYFUNCTION("""COMPUTED_VALUE"""),38.0)</f>
        <v>38</v>
      </c>
      <c r="H24012" s="4"/>
      <c r="I24012" s="4"/>
    </row>
    <row r="24013">
      <c r="A24013" s="4" t="str">
        <f>IFERROR(__xludf.DUMMYFUNCTION("""COMPUTED_VALUE"""),"cas_hmw")</f>
        <v>cas_hmw</v>
      </c>
      <c r="B24013" s="5">
        <f>IFERROR(__xludf.DUMMYFUNCTION("""COMPUTED_VALUE"""),44797.0)</f>
        <v>44797</v>
      </c>
      <c r="C24013" s="6">
        <f>IFERROR(__xludf.DUMMYFUNCTION("""COMPUTED_VALUE"""),0.749687499999709)</f>
        <v>0.7496875</v>
      </c>
      <c r="D24013" s="4">
        <f>IFERROR(__xludf.DUMMYFUNCTION("""COMPUTED_VALUE"""),13.071954)</f>
        <v>13.071954</v>
      </c>
      <c r="E24013" s="4">
        <f>IFERROR(__xludf.DUMMYFUNCTION("""COMPUTED_VALUE"""),80.26415)</f>
        <v>80.26415</v>
      </c>
      <c r="F24013" s="4">
        <f>IFERROR(__xludf.DUMMYFUNCTION("""COMPUTED_VALUE"""),5339.0)</f>
        <v>5339</v>
      </c>
      <c r="G24013" s="4">
        <f>IFERROR(__xludf.DUMMYFUNCTION("""COMPUTED_VALUE"""),24.0)</f>
        <v>24</v>
      </c>
      <c r="H24013" s="4"/>
      <c r="I24013" s="4"/>
    </row>
    <row r="24014">
      <c r="A24014" s="4" t="str">
        <f>IFERROR(__xludf.DUMMYFUNCTION("""COMPUTED_VALUE"""),"cas_hmw")</f>
        <v>cas_hmw</v>
      </c>
      <c r="B24014" s="5">
        <f>IFERROR(__xludf.DUMMYFUNCTION("""COMPUTED_VALUE"""),44797.0)</f>
        <v>44797</v>
      </c>
      <c r="C24014" s="6">
        <f>IFERROR(__xludf.DUMMYFUNCTION("""COMPUTED_VALUE"""),0.7496990740728506)</f>
        <v>0.7496990741</v>
      </c>
      <c r="D24014" s="4">
        <f>IFERROR(__xludf.DUMMYFUNCTION("""COMPUTED_VALUE"""),13.071954)</f>
        <v>13.071954</v>
      </c>
      <c r="E24014" s="4">
        <f>IFERROR(__xludf.DUMMYFUNCTION("""COMPUTED_VALUE"""),80.26415)</f>
        <v>80.26415</v>
      </c>
      <c r="F24014" s="4">
        <f>IFERROR(__xludf.DUMMYFUNCTION("""COMPUTED_VALUE"""),5339.0)</f>
        <v>5339</v>
      </c>
      <c r="G24014" s="4">
        <f>IFERROR(__xludf.DUMMYFUNCTION("""COMPUTED_VALUE"""),24.0)</f>
        <v>24</v>
      </c>
      <c r="H24014" s="4"/>
      <c r="I24014" s="4"/>
    </row>
    <row r="24015">
      <c r="A24015" s="4" t="str">
        <f>IFERROR(__xludf.DUMMYFUNCTION("""COMPUTED_VALUE"""),"cas_hmw")</f>
        <v>cas_hmw</v>
      </c>
      <c r="B24015" s="5">
        <f>IFERROR(__xludf.DUMMYFUNCTION("""COMPUTED_VALUE"""),44797.0)</f>
        <v>44797</v>
      </c>
      <c r="C24015" s="6">
        <f>IFERROR(__xludf.DUMMYFUNCTION("""COMPUTED_VALUE"""),0.7515972222208802)</f>
        <v>0.7515972222</v>
      </c>
      <c r="D24015" s="4">
        <f>IFERROR(__xludf.DUMMYFUNCTION("""COMPUTED_VALUE"""),13.069195)</f>
        <v>13.069195</v>
      </c>
      <c r="E24015" s="4">
        <f>IFERROR(__xludf.DUMMYFUNCTION("""COMPUTED_VALUE"""),80.256617)</f>
        <v>80.256617</v>
      </c>
      <c r="F24015" s="4">
        <f>IFERROR(__xludf.DUMMYFUNCTION("""COMPUTED_VALUE"""),5339.0)</f>
        <v>5339</v>
      </c>
      <c r="G24015" s="4">
        <f>IFERROR(__xludf.DUMMYFUNCTION("""COMPUTED_VALUE"""),26.0)</f>
        <v>26</v>
      </c>
      <c r="H24015" s="4"/>
      <c r="I24015" s="4"/>
    </row>
    <row r="24016">
      <c r="A24016" s="4" t="str">
        <f>IFERROR(__xludf.DUMMYFUNCTION("""COMPUTED_VALUE"""),"cas_hmw")</f>
        <v>cas_hmw</v>
      </c>
      <c r="B24016" s="5">
        <f>IFERROR(__xludf.DUMMYFUNCTION("""COMPUTED_VALUE"""),44797.0)</f>
        <v>44797</v>
      </c>
      <c r="C24016" s="6">
        <f>IFERROR(__xludf.DUMMYFUNCTION("""COMPUTED_VALUE"""),0.7516087962976599)</f>
        <v>0.7516087963</v>
      </c>
      <c r="D24016" s="4">
        <f>IFERROR(__xludf.DUMMYFUNCTION("""COMPUTED_VALUE"""),13.069195)</f>
        <v>13.069195</v>
      </c>
      <c r="E24016" s="4">
        <f>IFERROR(__xludf.DUMMYFUNCTION("""COMPUTED_VALUE"""),80.256617)</f>
        <v>80.256617</v>
      </c>
      <c r="F24016" s="4">
        <f>IFERROR(__xludf.DUMMYFUNCTION("""COMPUTED_VALUE"""),5339.0)</f>
        <v>5339</v>
      </c>
      <c r="G24016" s="4">
        <f>IFERROR(__xludf.DUMMYFUNCTION("""COMPUTED_VALUE"""),26.0)</f>
        <v>26</v>
      </c>
      <c r="H24016" s="4"/>
      <c r="I24016" s="4"/>
    </row>
    <row r="24017">
      <c r="A24017" s="4" t="str">
        <f>IFERROR(__xludf.DUMMYFUNCTION("""COMPUTED_VALUE"""),"cas_hmw")</f>
        <v>cas_hmw</v>
      </c>
      <c r="B24017" s="5">
        <f>IFERROR(__xludf.DUMMYFUNCTION("""COMPUTED_VALUE"""),44797.0)</f>
        <v>44797</v>
      </c>
      <c r="C24017" s="6">
        <f>IFERROR(__xludf.DUMMYFUNCTION("""COMPUTED_VALUE"""),0.7530208333337214)</f>
        <v>0.7530208333</v>
      </c>
      <c r="D24017" s="4">
        <f>IFERROR(__xludf.DUMMYFUNCTION("""COMPUTED_VALUE"""),13.068114)</f>
        <v>13.068114</v>
      </c>
      <c r="E24017" s="4">
        <f>IFERROR(__xludf.DUMMYFUNCTION("""COMPUTED_VALUE"""),80.253006)</f>
        <v>80.253006</v>
      </c>
      <c r="F24017" s="4">
        <f>IFERROR(__xludf.DUMMYFUNCTION("""COMPUTED_VALUE"""),5339.0)</f>
        <v>5339</v>
      </c>
      <c r="G24017" s="4">
        <f>IFERROR(__xludf.DUMMYFUNCTION("""COMPUTED_VALUE"""),23.0)</f>
        <v>23</v>
      </c>
      <c r="H24017" s="4"/>
      <c r="I24017" s="4"/>
    </row>
    <row r="24018">
      <c r="A24018" s="4" t="str">
        <f>IFERROR(__xludf.DUMMYFUNCTION("""COMPUTED_VALUE"""),"cas_hmw")</f>
        <v>cas_hmw</v>
      </c>
      <c r="B24018" s="5">
        <f>IFERROR(__xludf.DUMMYFUNCTION("""COMPUTED_VALUE"""),44797.0)</f>
        <v>44797</v>
      </c>
      <c r="C24018" s="6">
        <f>IFERROR(__xludf.DUMMYFUNCTION("""COMPUTED_VALUE"""),0.7530324074068631)</f>
        <v>0.7530324074</v>
      </c>
      <c r="D24018" s="4">
        <f>IFERROR(__xludf.DUMMYFUNCTION("""COMPUTED_VALUE"""),13.068114)</f>
        <v>13.068114</v>
      </c>
      <c r="E24018" s="4">
        <f>IFERROR(__xludf.DUMMYFUNCTION("""COMPUTED_VALUE"""),80.253006)</f>
        <v>80.253006</v>
      </c>
      <c r="F24018" s="4">
        <f>IFERROR(__xludf.DUMMYFUNCTION("""COMPUTED_VALUE"""),5339.0)</f>
        <v>5339</v>
      </c>
      <c r="G24018" s="4">
        <f>IFERROR(__xludf.DUMMYFUNCTION("""COMPUTED_VALUE"""),23.0)</f>
        <v>23</v>
      </c>
      <c r="H24018" s="4"/>
      <c r="I24018" s="4"/>
    </row>
    <row r="24019">
      <c r="A24019" s="4" t="str">
        <f>IFERROR(__xludf.DUMMYFUNCTION("""COMPUTED_VALUE"""),"cas_hmw")</f>
        <v>cas_hmw</v>
      </c>
      <c r="B24019" s="5">
        <f>IFERROR(__xludf.DUMMYFUNCTION("""COMPUTED_VALUE"""),44797.0)</f>
        <v>44797</v>
      </c>
      <c r="C24019" s="6">
        <f>IFERROR(__xludf.DUMMYFUNCTION("""COMPUTED_VALUE"""),0.7544444444429246)</f>
        <v>0.7544444444</v>
      </c>
      <c r="D24019" s="4">
        <f>IFERROR(__xludf.DUMMYFUNCTION("""COMPUTED_VALUE"""),13.067263)</f>
        <v>13.067263</v>
      </c>
      <c r="E24019" s="4">
        <f>IFERROR(__xludf.DUMMYFUNCTION("""COMPUTED_VALUE"""),80.247875)</f>
        <v>80.247875</v>
      </c>
      <c r="F24019" s="4">
        <f>IFERROR(__xludf.DUMMYFUNCTION("""COMPUTED_VALUE"""),5339.0)</f>
        <v>5339</v>
      </c>
      <c r="G24019" s="4">
        <f>IFERROR(__xludf.DUMMYFUNCTION("""COMPUTED_VALUE"""),35.0)</f>
        <v>35</v>
      </c>
      <c r="H24019" s="4"/>
      <c r="I24019" s="4"/>
    </row>
    <row r="24020">
      <c r="A24020" s="4" t="str">
        <f>IFERROR(__xludf.DUMMYFUNCTION("""COMPUTED_VALUE"""),"cas_hmw")</f>
        <v>cas_hmw</v>
      </c>
      <c r="B24020" s="5">
        <f>IFERROR(__xludf.DUMMYFUNCTION("""COMPUTED_VALUE"""),44797.0)</f>
        <v>44797</v>
      </c>
      <c r="C24020" s="6">
        <f>IFERROR(__xludf.DUMMYFUNCTION("""COMPUTED_VALUE"""),0.7545138888890506)</f>
        <v>0.7545138889</v>
      </c>
      <c r="D24020" s="4">
        <f>IFERROR(__xludf.DUMMYFUNCTION("""COMPUTED_VALUE"""),13.066318)</f>
        <v>13.066318</v>
      </c>
      <c r="E24020" s="4">
        <f>IFERROR(__xludf.DUMMYFUNCTION("""COMPUTED_VALUE"""),80.247812)</f>
        <v>80.247812</v>
      </c>
      <c r="F24020" s="4">
        <f>IFERROR(__xludf.DUMMYFUNCTION("""COMPUTED_VALUE"""),5339.0)</f>
        <v>5339</v>
      </c>
      <c r="G24020" s="4">
        <f>IFERROR(__xludf.DUMMYFUNCTION("""COMPUTED_VALUE"""),35.0)</f>
        <v>35</v>
      </c>
      <c r="H24020" s="4"/>
      <c r="I24020" s="4"/>
    </row>
    <row r="24021">
      <c r="A24021" s="4" t="str">
        <f>IFERROR(__xludf.DUMMYFUNCTION("""COMPUTED_VALUE"""),"cas_hmw")</f>
        <v>cas_hmw</v>
      </c>
      <c r="B24021" s="5">
        <f>IFERROR(__xludf.DUMMYFUNCTION("""COMPUTED_VALUE"""),44798.0)</f>
        <v>44798</v>
      </c>
      <c r="C24021" s="6">
        <f>IFERROR(__xludf.DUMMYFUNCTION("""COMPUTED_VALUE"""),0.27999999999883585)</f>
        <v>0.28</v>
      </c>
      <c r="D24021" s="4">
        <f>IFERROR(__xludf.DUMMYFUNCTION("""COMPUTED_VALUE"""),12.956305)</f>
        <v>12.956305</v>
      </c>
      <c r="E24021" s="4">
        <f>IFERROR(__xludf.DUMMYFUNCTION("""COMPUTED_VALUE"""),80.143157)</f>
        <v>80.143157</v>
      </c>
      <c r="F24021" s="4">
        <f>IFERROR(__xludf.DUMMYFUNCTION("""COMPUTED_VALUE"""),3143.0)</f>
        <v>3143</v>
      </c>
      <c r="G24021" s="4">
        <f>IFERROR(__xludf.DUMMYFUNCTION("""COMPUTED_VALUE"""),34.0)</f>
        <v>34</v>
      </c>
      <c r="H24021" s="4"/>
      <c r="I24021" s="4"/>
    </row>
    <row r="24022">
      <c r="A24022" s="4" t="str">
        <f>IFERROR(__xludf.DUMMYFUNCTION("""COMPUTED_VALUE"""),"cas_hmw")</f>
        <v>cas_hmw</v>
      </c>
      <c r="B24022" s="5">
        <f>IFERROR(__xludf.DUMMYFUNCTION("""COMPUTED_VALUE"""),44798.0)</f>
        <v>44798</v>
      </c>
      <c r="C24022" s="6">
        <f>IFERROR(__xludf.DUMMYFUNCTION("""COMPUTED_VALUE"""),0.2803472222221899)</f>
        <v>0.2803472222</v>
      </c>
      <c r="D24022" s="4">
        <f>IFERROR(__xludf.DUMMYFUNCTION("""COMPUTED_VALUE"""),12.956305)</f>
        <v>12.956305</v>
      </c>
      <c r="E24022" s="4">
        <f>IFERROR(__xludf.DUMMYFUNCTION("""COMPUTED_VALUE"""),80.143157)</f>
        <v>80.143157</v>
      </c>
      <c r="F24022" s="4">
        <f>IFERROR(__xludf.DUMMYFUNCTION("""COMPUTED_VALUE"""),3143.0)</f>
        <v>3143</v>
      </c>
      <c r="G24022" s="4">
        <f>IFERROR(__xludf.DUMMYFUNCTION("""COMPUTED_VALUE"""),34.0)</f>
        <v>34</v>
      </c>
      <c r="H24022" s="4"/>
      <c r="I24022" s="4"/>
    </row>
    <row r="24023">
      <c r="A24023" s="4" t="str">
        <f>IFERROR(__xludf.DUMMYFUNCTION("""COMPUTED_VALUE"""),"cas_hmw")</f>
        <v>cas_hmw</v>
      </c>
      <c r="B24023" s="5">
        <f>IFERROR(__xludf.DUMMYFUNCTION("""COMPUTED_VALUE"""),44798.0)</f>
        <v>44798</v>
      </c>
      <c r="C24023" s="6">
        <f>IFERROR(__xludf.DUMMYFUNCTION("""COMPUTED_VALUE"""),0.2897106481468654)</f>
        <v>0.2897106481</v>
      </c>
      <c r="D24023" s="4">
        <f>IFERROR(__xludf.DUMMYFUNCTION("""COMPUTED_VALUE"""),12.960764)</f>
        <v>12.960764</v>
      </c>
      <c r="E24023" s="4">
        <f>IFERROR(__xludf.DUMMYFUNCTION("""COMPUTED_VALUE"""),80.214854)</f>
        <v>80.214854</v>
      </c>
      <c r="F24023" s="4">
        <f>IFERROR(__xludf.DUMMYFUNCTION("""COMPUTED_VALUE"""),3143.0)</f>
        <v>3143</v>
      </c>
      <c r="G24023" s="4">
        <f>IFERROR(__xludf.DUMMYFUNCTION("""COMPUTED_VALUE"""),45.0)</f>
        <v>45</v>
      </c>
      <c r="H24023" s="4"/>
      <c r="I24023" s="4"/>
    </row>
    <row r="24024">
      <c r="A24024" s="4" t="str">
        <f>IFERROR(__xludf.DUMMYFUNCTION("""COMPUTED_VALUE"""),"cas_hmw")</f>
        <v>cas_hmw</v>
      </c>
      <c r="B24024" s="5">
        <f>IFERROR(__xludf.DUMMYFUNCTION("""COMPUTED_VALUE"""),44798.0)</f>
        <v>44798</v>
      </c>
      <c r="C24024" s="6">
        <f>IFERROR(__xludf.DUMMYFUNCTION("""COMPUTED_VALUE"""),0.29071759259386454)</f>
        <v>0.2907175926</v>
      </c>
      <c r="D24024" s="4">
        <f>IFERROR(__xludf.DUMMYFUNCTION("""COMPUTED_VALUE"""),12.967938)</f>
        <v>12.967938</v>
      </c>
      <c r="E24024" s="4">
        <f>IFERROR(__xludf.DUMMYFUNCTION("""COMPUTED_VALUE"""),80.217721)</f>
        <v>80.217721</v>
      </c>
      <c r="F24024" s="4">
        <f>IFERROR(__xludf.DUMMYFUNCTION("""COMPUTED_VALUE"""),3143.0)</f>
        <v>3143</v>
      </c>
      <c r="G24024" s="4">
        <f>IFERROR(__xludf.DUMMYFUNCTION("""COMPUTED_VALUE"""),33.0)</f>
        <v>33</v>
      </c>
      <c r="H24024" s="4"/>
      <c r="I24024" s="4"/>
    </row>
    <row r="24025">
      <c r="A24025" s="4" t="str">
        <f>IFERROR(__xludf.DUMMYFUNCTION("""COMPUTED_VALUE"""),"cas_hmw")</f>
        <v>cas_hmw</v>
      </c>
      <c r="B24025" s="5">
        <f>IFERROR(__xludf.DUMMYFUNCTION("""COMPUTED_VALUE"""),44798.0)</f>
        <v>44798</v>
      </c>
      <c r="C24025" s="6">
        <f>IFERROR(__xludf.DUMMYFUNCTION("""COMPUTED_VALUE"""),0.29895833333284827)</f>
        <v>0.2989583333</v>
      </c>
      <c r="D24025" s="4">
        <f>IFERROR(__xludf.DUMMYFUNCTION("""COMPUTED_VALUE"""),13.066311)</f>
        <v>13.066311</v>
      </c>
      <c r="E24025" s="4">
        <f>IFERROR(__xludf.DUMMYFUNCTION("""COMPUTED_VALUE"""),80.245234)</f>
        <v>80.245234</v>
      </c>
      <c r="F24025" s="4">
        <f>IFERROR(__xludf.DUMMYFUNCTION("""COMPUTED_VALUE"""),5339.0)</f>
        <v>5339</v>
      </c>
      <c r="G24025" s="4">
        <f>IFERROR(__xludf.DUMMYFUNCTION("""COMPUTED_VALUE"""),44.0)</f>
        <v>44</v>
      </c>
      <c r="H24025" s="4"/>
      <c r="I24025" s="4"/>
    </row>
    <row r="24026">
      <c r="A24026" s="4" t="str">
        <f>IFERROR(__xludf.DUMMYFUNCTION("""COMPUTED_VALUE"""),"cas_hmw")</f>
        <v>cas_hmw</v>
      </c>
      <c r="B24026" s="5">
        <f>IFERROR(__xludf.DUMMYFUNCTION("""COMPUTED_VALUE"""),44798.0)</f>
        <v>44798</v>
      </c>
      <c r="C24026" s="6">
        <f>IFERROR(__xludf.DUMMYFUNCTION("""COMPUTED_VALUE"""),0.29958333333343035)</f>
        <v>0.2995833333</v>
      </c>
      <c r="D24026" s="4">
        <f>IFERROR(__xludf.DUMMYFUNCTION("""COMPUTED_VALUE"""),13.067588)</f>
        <v>13.067588</v>
      </c>
      <c r="E24026" s="4">
        <f>IFERROR(__xludf.DUMMYFUNCTION("""COMPUTED_VALUE"""),80.250408)</f>
        <v>80.250408</v>
      </c>
      <c r="F24026" s="4">
        <f>IFERROR(__xludf.DUMMYFUNCTION("""COMPUTED_VALUE"""),5339.0)</f>
        <v>5339</v>
      </c>
      <c r="G24026" s="4">
        <f>IFERROR(__xludf.DUMMYFUNCTION("""COMPUTED_VALUE"""),44.0)</f>
        <v>44</v>
      </c>
      <c r="H24026" s="4"/>
      <c r="I24026" s="4"/>
    </row>
    <row r="24027">
      <c r="A24027" s="4" t="str">
        <f>IFERROR(__xludf.DUMMYFUNCTION("""COMPUTED_VALUE"""),"cas_hmw")</f>
        <v>cas_hmw</v>
      </c>
      <c r="B24027" s="5">
        <f>IFERROR(__xludf.DUMMYFUNCTION("""COMPUTED_VALUE"""),44798.0)</f>
        <v>44798</v>
      </c>
      <c r="C24027" s="6">
        <f>IFERROR(__xludf.DUMMYFUNCTION("""COMPUTED_VALUE"""),0.3010879629619012)</f>
        <v>0.301087963</v>
      </c>
      <c r="D24027" s="4">
        <f>IFERROR(__xludf.DUMMYFUNCTION("""COMPUTED_VALUE"""),13.070996)</f>
        <v>13.070996</v>
      </c>
      <c r="E24027" s="4">
        <f>IFERROR(__xludf.DUMMYFUNCTION("""COMPUTED_VALUE"""),80.258405)</f>
        <v>80.258405</v>
      </c>
      <c r="F24027" s="4">
        <f>IFERROR(__xludf.DUMMYFUNCTION("""COMPUTED_VALUE"""),5339.0)</f>
        <v>5339</v>
      </c>
      <c r="G24027" s="4">
        <f>IFERROR(__xludf.DUMMYFUNCTION("""COMPUTED_VALUE"""),40.0)</f>
        <v>40</v>
      </c>
      <c r="H24027" s="4"/>
      <c r="I24027" s="4"/>
    </row>
    <row r="24028">
      <c r="A24028" s="4" t="str">
        <f>IFERROR(__xludf.DUMMYFUNCTION("""COMPUTED_VALUE"""),"cas_hmw")</f>
        <v>cas_hmw</v>
      </c>
      <c r="B24028" s="5">
        <f>IFERROR(__xludf.DUMMYFUNCTION("""COMPUTED_VALUE"""),44798.0)</f>
        <v>44798</v>
      </c>
      <c r="C24028" s="6">
        <f>IFERROR(__xludf.DUMMYFUNCTION("""COMPUTED_VALUE"""),0.3034953703718202)</f>
        <v>0.3034953704</v>
      </c>
      <c r="D24028" s="4">
        <f>IFERROR(__xludf.DUMMYFUNCTION("""COMPUTED_VALUE"""),13.068427)</f>
        <v>13.068427</v>
      </c>
      <c r="E24028" s="4">
        <f>IFERROR(__xludf.DUMMYFUNCTION("""COMPUTED_VALUE"""),80.269227)</f>
        <v>80.269227</v>
      </c>
      <c r="F24028" s="4">
        <f>IFERROR(__xludf.DUMMYFUNCTION("""COMPUTED_VALUE"""),5339.0)</f>
        <v>5339</v>
      </c>
      <c r="G24028" s="4">
        <f>IFERROR(__xludf.DUMMYFUNCTION("""COMPUTED_VALUE"""),32.0)</f>
        <v>32</v>
      </c>
      <c r="H24028" s="4"/>
      <c r="I24028" s="4"/>
    </row>
    <row r="24029">
      <c r="A24029" s="4" t="str">
        <f>IFERROR(__xludf.DUMMYFUNCTION("""COMPUTED_VALUE"""),"cas_hmw")</f>
        <v>cas_hmw</v>
      </c>
      <c r="B24029" s="5">
        <f>IFERROR(__xludf.DUMMYFUNCTION("""COMPUTED_VALUE"""),44798.0)</f>
        <v>44798</v>
      </c>
      <c r="C24029" s="6">
        <f>IFERROR(__xludf.DUMMYFUNCTION("""COMPUTED_VALUE"""),0.3035995370373712)</f>
        <v>0.303599537</v>
      </c>
      <c r="D24029" s="4">
        <f>IFERROR(__xludf.DUMMYFUNCTION("""COMPUTED_VALUE"""),13.068427)</f>
        <v>13.068427</v>
      </c>
      <c r="E24029" s="4">
        <f>IFERROR(__xludf.DUMMYFUNCTION("""COMPUTED_VALUE"""),80.269227)</f>
        <v>80.269227</v>
      </c>
      <c r="F24029" s="4">
        <f>IFERROR(__xludf.DUMMYFUNCTION("""COMPUTED_VALUE"""),5339.0)</f>
        <v>5339</v>
      </c>
      <c r="G24029" s="4">
        <f>IFERROR(__xludf.DUMMYFUNCTION("""COMPUTED_VALUE"""),32.0)</f>
        <v>32</v>
      </c>
      <c r="H24029" s="4"/>
      <c r="I24029" s="4"/>
    </row>
    <row r="24030">
      <c r="A24030" s="4" t="str">
        <f>IFERROR(__xludf.DUMMYFUNCTION("""COMPUTED_VALUE"""),"cas_hmw")</f>
        <v>cas_hmw</v>
      </c>
      <c r="B24030" s="5">
        <f>IFERROR(__xludf.DUMMYFUNCTION("""COMPUTED_VALUE"""),44798.0)</f>
        <v>44798</v>
      </c>
      <c r="C24030" s="6">
        <f>IFERROR(__xludf.DUMMYFUNCTION("""COMPUTED_VALUE"""),0.30398148148015025)</f>
        <v>0.3039814815</v>
      </c>
      <c r="D24030" s="4">
        <f>IFERROR(__xludf.DUMMYFUNCTION("""COMPUTED_VALUE"""),13.068207)</f>
        <v>13.068207</v>
      </c>
      <c r="E24030" s="4">
        <f>IFERROR(__xludf.DUMMYFUNCTION("""COMPUTED_VALUE"""),80.27211)</f>
        <v>80.27211</v>
      </c>
      <c r="F24030" s="4">
        <f>IFERROR(__xludf.DUMMYFUNCTION("""COMPUTED_VALUE"""),5339.0)</f>
        <v>5339</v>
      </c>
      <c r="G24030" s="4">
        <f>IFERROR(__xludf.DUMMYFUNCTION("""COMPUTED_VALUE"""),26.0)</f>
        <v>26</v>
      </c>
      <c r="H24030" s="4"/>
      <c r="I24030" s="4"/>
    </row>
    <row r="24031">
      <c r="A24031" s="4" t="str">
        <f>IFERROR(__xludf.DUMMYFUNCTION("""COMPUTED_VALUE"""),"cas_hmw")</f>
        <v>cas_hmw</v>
      </c>
      <c r="B24031" s="5">
        <f>IFERROR(__xludf.DUMMYFUNCTION("""COMPUTED_VALUE"""),44798.0)</f>
        <v>44798</v>
      </c>
      <c r="C24031" s="6">
        <f>IFERROR(__xludf.DUMMYFUNCTION("""COMPUTED_VALUE"""),0.3039930555569299)</f>
        <v>0.3039930556</v>
      </c>
      <c r="D24031" s="4">
        <f>IFERROR(__xludf.DUMMYFUNCTION("""COMPUTED_VALUE"""),13.068207)</f>
        <v>13.068207</v>
      </c>
      <c r="E24031" s="4">
        <f>IFERROR(__xludf.DUMMYFUNCTION("""COMPUTED_VALUE"""),80.27211)</f>
        <v>80.27211</v>
      </c>
      <c r="F24031" s="4">
        <f>IFERROR(__xludf.DUMMYFUNCTION("""COMPUTED_VALUE"""),5339.0)</f>
        <v>5339</v>
      </c>
      <c r="G24031" s="4">
        <f>IFERROR(__xludf.DUMMYFUNCTION("""COMPUTED_VALUE"""),26.0)</f>
        <v>26</v>
      </c>
      <c r="H24031" s="4"/>
      <c r="I24031" s="4"/>
    </row>
    <row r="24032">
      <c r="A24032" s="4" t="str">
        <f>IFERROR(__xludf.DUMMYFUNCTION("""COMPUTED_VALUE"""),"cas_hmw")</f>
        <v>cas_hmw</v>
      </c>
      <c r="B24032" s="5">
        <f>IFERROR(__xludf.DUMMYFUNCTION("""COMPUTED_VALUE"""),44798.0)</f>
        <v>44798</v>
      </c>
      <c r="C24032" s="6">
        <f>IFERROR(__xludf.DUMMYFUNCTION("""COMPUTED_VALUE"""),0.3040046296300716)</f>
        <v>0.3040046296</v>
      </c>
      <c r="D24032" s="4">
        <f>IFERROR(__xludf.DUMMYFUNCTION("""COMPUTED_VALUE"""),13.068207)</f>
        <v>13.068207</v>
      </c>
      <c r="E24032" s="4">
        <f>IFERROR(__xludf.DUMMYFUNCTION("""COMPUTED_VALUE"""),80.27211)</f>
        <v>80.27211</v>
      </c>
      <c r="F24032" s="4">
        <f>IFERROR(__xludf.DUMMYFUNCTION("""COMPUTED_VALUE"""),5339.0)</f>
        <v>5339</v>
      </c>
      <c r="G24032" s="4">
        <f>IFERROR(__xludf.DUMMYFUNCTION("""COMPUTED_VALUE"""),26.0)</f>
        <v>26</v>
      </c>
      <c r="H24032" s="4"/>
      <c r="I24032" s="4"/>
    </row>
    <row r="24033">
      <c r="A24033" s="4" t="str">
        <f>IFERROR(__xludf.DUMMYFUNCTION("""COMPUTED_VALUE"""),"cas_hmw")</f>
        <v>cas_hmw</v>
      </c>
      <c r="B24033" s="5">
        <f>IFERROR(__xludf.DUMMYFUNCTION("""COMPUTED_VALUE"""),44798.0)</f>
        <v>44798</v>
      </c>
      <c r="C24033" s="6">
        <f>IFERROR(__xludf.DUMMYFUNCTION("""COMPUTED_VALUE"""),0.3040624999994179)</f>
        <v>0.3040625</v>
      </c>
      <c r="D24033" s="4">
        <f>IFERROR(__xludf.DUMMYFUNCTION("""COMPUTED_VALUE"""),13.068207)</f>
        <v>13.068207</v>
      </c>
      <c r="E24033" s="4">
        <f>IFERROR(__xludf.DUMMYFUNCTION("""COMPUTED_VALUE"""),80.27211)</f>
        <v>80.27211</v>
      </c>
      <c r="F24033" s="4">
        <f>IFERROR(__xludf.DUMMYFUNCTION("""COMPUTED_VALUE"""),5339.0)</f>
        <v>5339</v>
      </c>
      <c r="G24033" s="4">
        <f>IFERROR(__xludf.DUMMYFUNCTION("""COMPUTED_VALUE"""),26.0)</f>
        <v>26</v>
      </c>
      <c r="H24033" s="4"/>
      <c r="I24033" s="4"/>
    </row>
    <row r="24034">
      <c r="A24034" s="4" t="str">
        <f>IFERROR(__xludf.DUMMYFUNCTION("""COMPUTED_VALUE"""),"cas_hmw")</f>
        <v>cas_hmw</v>
      </c>
      <c r="B24034" s="5">
        <f>IFERROR(__xludf.DUMMYFUNCTION("""COMPUTED_VALUE"""),44798.0)</f>
        <v>44798</v>
      </c>
      <c r="C24034" s="6">
        <f>IFERROR(__xludf.DUMMYFUNCTION("""COMPUTED_VALUE"""),0.3117013888877409)</f>
        <v>0.3117013889</v>
      </c>
      <c r="D24034" s="4">
        <f>IFERROR(__xludf.DUMMYFUNCTION("""COMPUTED_VALUE"""),13.054516)</f>
        <v>13.054516</v>
      </c>
      <c r="E24034" s="4">
        <f>IFERROR(__xludf.DUMMYFUNCTION("""COMPUTED_VALUE"""),80.257045)</f>
        <v>80.257045</v>
      </c>
      <c r="F24034" s="4">
        <f>IFERROR(__xludf.DUMMYFUNCTION("""COMPUTED_VALUE"""),5339.0)</f>
        <v>5339</v>
      </c>
      <c r="G24034" s="4">
        <f>IFERROR(__xludf.DUMMYFUNCTION("""COMPUTED_VALUE"""),49.0)</f>
        <v>49</v>
      </c>
      <c r="H24034" s="4"/>
      <c r="I24034" s="4"/>
    </row>
    <row r="24035">
      <c r="A24035" s="4" t="str">
        <f>IFERROR(__xludf.DUMMYFUNCTION("""COMPUTED_VALUE"""),"cas_hmw")</f>
        <v>cas_hmw</v>
      </c>
      <c r="B24035" s="5">
        <f>IFERROR(__xludf.DUMMYFUNCTION("""COMPUTED_VALUE"""),44798.0)</f>
        <v>44798</v>
      </c>
      <c r="C24035" s="6">
        <f>IFERROR(__xludf.DUMMYFUNCTION("""COMPUTED_VALUE"""),0.3121064814804413)</f>
        <v>0.3121064815</v>
      </c>
      <c r="D24035" s="4">
        <f>IFERROR(__xludf.DUMMYFUNCTION("""COMPUTED_VALUE"""),13.054189)</f>
        <v>13.054189</v>
      </c>
      <c r="E24035" s="4">
        <f>IFERROR(__xludf.DUMMYFUNCTION("""COMPUTED_VALUE"""),80.253583)</f>
        <v>80.253583</v>
      </c>
      <c r="F24035" s="4">
        <f>IFERROR(__xludf.DUMMYFUNCTION("""COMPUTED_VALUE"""),5339.0)</f>
        <v>5339</v>
      </c>
      <c r="G24035" s="4">
        <f>IFERROR(__xludf.DUMMYFUNCTION("""COMPUTED_VALUE"""),35.0)</f>
        <v>35</v>
      </c>
      <c r="H24035" s="4"/>
      <c r="I24035" s="4"/>
    </row>
    <row r="24036">
      <c r="A24036" s="4" t="str">
        <f>IFERROR(__xludf.DUMMYFUNCTION("""COMPUTED_VALUE"""),"cas_hmw")</f>
        <v>cas_hmw</v>
      </c>
      <c r="B24036" s="5">
        <f>IFERROR(__xludf.DUMMYFUNCTION("""COMPUTED_VALUE"""),44798.0)</f>
        <v>44798</v>
      </c>
      <c r="C24036" s="6">
        <f>IFERROR(__xludf.DUMMYFUNCTION("""COMPUTED_VALUE"""),0.312326388888323)</f>
        <v>0.3123263889</v>
      </c>
      <c r="D24036" s="4">
        <f>IFERROR(__xludf.DUMMYFUNCTION("""COMPUTED_VALUE"""),13.053008)</f>
        <v>13.053008</v>
      </c>
      <c r="E24036" s="4">
        <f>IFERROR(__xludf.DUMMYFUNCTION("""COMPUTED_VALUE"""),80.251923)</f>
        <v>80.251923</v>
      </c>
      <c r="F24036" s="4">
        <f>IFERROR(__xludf.DUMMYFUNCTION("""COMPUTED_VALUE"""),5339.0)</f>
        <v>5339</v>
      </c>
      <c r="G24036" s="4">
        <f>IFERROR(__xludf.DUMMYFUNCTION("""COMPUTED_VALUE"""),43.0)</f>
        <v>43</v>
      </c>
      <c r="H24036" s="4"/>
      <c r="I24036" s="4"/>
    </row>
    <row r="24037">
      <c r="A24037" s="4" t="str">
        <f>IFERROR(__xludf.DUMMYFUNCTION("""COMPUTED_VALUE"""),"cas_hmw")</f>
        <v>cas_hmw</v>
      </c>
      <c r="B24037" s="5">
        <f>IFERROR(__xludf.DUMMYFUNCTION("""COMPUTED_VALUE"""),44798.0)</f>
        <v>44798</v>
      </c>
      <c r="C24037" s="6">
        <f>IFERROR(__xludf.DUMMYFUNCTION("""COMPUTED_VALUE"""),0.3125)</f>
        <v>0.3125</v>
      </c>
      <c r="D24037" s="4">
        <f>IFERROR(__xludf.DUMMYFUNCTION("""COMPUTED_VALUE"""),13.052422)</f>
        <v>13.052422</v>
      </c>
      <c r="E24037" s="4">
        <f>IFERROR(__xludf.DUMMYFUNCTION("""COMPUTED_VALUE"""),80.251129)</f>
        <v>80.251129</v>
      </c>
      <c r="F24037" s="4">
        <f>IFERROR(__xludf.DUMMYFUNCTION("""COMPUTED_VALUE"""),5339.0)</f>
        <v>5339</v>
      </c>
      <c r="G24037" s="4">
        <f>IFERROR(__xludf.DUMMYFUNCTION("""COMPUTED_VALUE"""),34.0)</f>
        <v>34</v>
      </c>
      <c r="H24037" s="4"/>
      <c r="I24037" s="4"/>
    </row>
    <row r="24038">
      <c r="A24038" s="4" t="str">
        <f>IFERROR(__xludf.DUMMYFUNCTION("""COMPUTED_VALUE"""),"cas_hmw")</f>
        <v>cas_hmw</v>
      </c>
      <c r="B24038" s="5">
        <f>IFERROR(__xludf.DUMMYFUNCTION("""COMPUTED_VALUE"""),44798.0)</f>
        <v>44798</v>
      </c>
      <c r="C24038" s="6">
        <f>IFERROR(__xludf.DUMMYFUNCTION("""COMPUTED_VALUE"""),0.312534722223063)</f>
        <v>0.3125347222</v>
      </c>
      <c r="D24038" s="4">
        <f>IFERROR(__xludf.DUMMYFUNCTION("""COMPUTED_VALUE"""),13.051743)</f>
        <v>13.051743</v>
      </c>
      <c r="E24038" s="4">
        <f>IFERROR(__xludf.DUMMYFUNCTION("""COMPUTED_VALUE"""),80.2504)</f>
        <v>80.2504</v>
      </c>
      <c r="F24038" s="4">
        <f>IFERROR(__xludf.DUMMYFUNCTION("""COMPUTED_VALUE"""),5339.0)</f>
        <v>5339</v>
      </c>
      <c r="G24038" s="4">
        <f>IFERROR(__xludf.DUMMYFUNCTION("""COMPUTED_VALUE"""),41.0)</f>
        <v>41</v>
      </c>
      <c r="H24038" s="4"/>
      <c r="I24038" s="4"/>
    </row>
    <row r="24039">
      <c r="A24039" s="4" t="str">
        <f>IFERROR(__xludf.DUMMYFUNCTION("""COMPUTED_VALUE"""),"cas_hmw")</f>
        <v>cas_hmw</v>
      </c>
      <c r="B24039" s="5">
        <f>IFERROR(__xludf.DUMMYFUNCTION("""COMPUTED_VALUE"""),44798.0)</f>
        <v>44798</v>
      </c>
      <c r="C24039" s="6">
        <f>IFERROR(__xludf.DUMMYFUNCTION("""COMPUTED_VALUE"""),0.3141435185170849)</f>
        <v>0.3141435185</v>
      </c>
      <c r="D24039" s="4">
        <f>IFERROR(__xludf.DUMMYFUNCTION("""COMPUTED_VALUE"""),13.044273)</f>
        <v>13.044273</v>
      </c>
      <c r="E24039" s="4">
        <f>IFERROR(__xludf.DUMMYFUNCTION("""COMPUTED_VALUE"""),80.247938)</f>
        <v>80.247938</v>
      </c>
      <c r="F24039" s="4">
        <f>IFERROR(__xludf.DUMMYFUNCTION("""COMPUTED_VALUE"""),5339.0)</f>
        <v>5339</v>
      </c>
      <c r="G24039" s="4">
        <f>IFERROR(__xludf.DUMMYFUNCTION("""COMPUTED_VALUE"""),50.0)</f>
        <v>50</v>
      </c>
      <c r="H24039" s="4"/>
      <c r="I24039" s="4"/>
    </row>
    <row r="24040">
      <c r="A24040" s="4" t="str">
        <f>IFERROR(__xludf.DUMMYFUNCTION("""COMPUTED_VALUE"""),"cas_hmw")</f>
        <v>cas_hmw</v>
      </c>
      <c r="B24040" s="5">
        <f>IFERROR(__xludf.DUMMYFUNCTION("""COMPUTED_VALUE"""),44798.0)</f>
        <v>44798</v>
      </c>
      <c r="C24040" s="6">
        <f>IFERROR(__xludf.DUMMYFUNCTION("""COMPUTED_VALUE"""),0.3151620370372257)</f>
        <v>0.315162037</v>
      </c>
      <c r="D24040" s="4">
        <f>IFERROR(__xludf.DUMMYFUNCTION("""COMPUTED_VALUE"""),13.034546)</f>
        <v>13.034546</v>
      </c>
      <c r="E24040" s="4">
        <f>IFERROR(__xludf.DUMMYFUNCTION("""COMPUTED_VALUE"""),80.245384)</f>
        <v>80.245384</v>
      </c>
      <c r="F24040" s="4">
        <f>IFERROR(__xludf.DUMMYFUNCTION("""COMPUTED_VALUE"""),5339.0)</f>
        <v>5339</v>
      </c>
      <c r="G24040" s="4">
        <f>IFERROR(__xludf.DUMMYFUNCTION("""COMPUTED_VALUE"""),37.0)</f>
        <v>37</v>
      </c>
      <c r="H24040" s="4"/>
      <c r="I24040" s="4"/>
    </row>
    <row r="24041">
      <c r="A24041" s="4" t="str">
        <f>IFERROR(__xludf.DUMMYFUNCTION("""COMPUTED_VALUE"""),"cas_hmw")</f>
        <v>cas_hmw</v>
      </c>
      <c r="B24041" s="5">
        <f>IFERROR(__xludf.DUMMYFUNCTION("""COMPUTED_VALUE"""),44798.0)</f>
        <v>44798</v>
      </c>
      <c r="C24041" s="6">
        <f>IFERROR(__xludf.DUMMYFUNCTION("""COMPUTED_VALUE"""),0.31539351851824904)</f>
        <v>0.3153935185</v>
      </c>
      <c r="D24041" s="4">
        <f>IFERROR(__xludf.DUMMYFUNCTION("""COMPUTED_VALUE"""),13.033168)</f>
        <v>13.033168</v>
      </c>
      <c r="E24041" s="4">
        <f>IFERROR(__xludf.DUMMYFUNCTION("""COMPUTED_VALUE"""),80.243591)</f>
        <v>80.243591</v>
      </c>
      <c r="F24041" s="4">
        <f>IFERROR(__xludf.DUMMYFUNCTION("""COMPUTED_VALUE"""),5339.0)</f>
        <v>5339</v>
      </c>
      <c r="G24041" s="4">
        <f>IFERROR(__xludf.DUMMYFUNCTION("""COMPUTED_VALUE"""),47.0)</f>
        <v>47</v>
      </c>
      <c r="H24041" s="4"/>
      <c r="I24041" s="4"/>
    </row>
    <row r="24042">
      <c r="A24042" s="4" t="str">
        <f>IFERROR(__xludf.DUMMYFUNCTION("""COMPUTED_VALUE"""),"cas_hmw")</f>
        <v>cas_hmw</v>
      </c>
      <c r="B24042" s="5">
        <f>IFERROR(__xludf.DUMMYFUNCTION("""COMPUTED_VALUE"""),44798.0)</f>
        <v>44798</v>
      </c>
      <c r="C24042" s="6">
        <f>IFERROR(__xludf.DUMMYFUNCTION("""COMPUTED_VALUE"""),0.31615740740744513)</f>
        <v>0.3161574074</v>
      </c>
      <c r="D24042" s="4">
        <f>IFERROR(__xludf.DUMMYFUNCTION("""COMPUTED_VALUE"""),13.030699)</f>
        <v>13.030699</v>
      </c>
      <c r="E24042" s="4">
        <f>IFERROR(__xludf.DUMMYFUNCTION("""COMPUTED_VALUE"""),80.23919)</f>
        <v>80.23919</v>
      </c>
      <c r="F24042" s="4">
        <f>IFERROR(__xludf.DUMMYFUNCTION("""COMPUTED_VALUE"""),5339.0)</f>
        <v>5339</v>
      </c>
      <c r="G24042" s="4">
        <f>IFERROR(__xludf.DUMMYFUNCTION("""COMPUTED_VALUE"""),30.0)</f>
        <v>30</v>
      </c>
      <c r="H24042" s="4"/>
      <c r="I24042" s="4"/>
    </row>
    <row r="24043">
      <c r="A24043" s="4" t="str">
        <f>IFERROR(__xludf.DUMMYFUNCTION("""COMPUTED_VALUE"""),"cas_hmw")</f>
        <v>cas_hmw</v>
      </c>
      <c r="B24043" s="5">
        <f>IFERROR(__xludf.DUMMYFUNCTION("""COMPUTED_VALUE"""),44798.0)</f>
        <v>44798</v>
      </c>
      <c r="C24043" s="6">
        <f>IFERROR(__xludf.DUMMYFUNCTION("""COMPUTED_VALUE"""),0.3162731481497758)</f>
        <v>0.3162731481</v>
      </c>
      <c r="D24043" s="4">
        <f>IFERROR(__xludf.DUMMYFUNCTION("""COMPUTED_VALUE"""),13.030699)</f>
        <v>13.030699</v>
      </c>
      <c r="E24043" s="4">
        <f>IFERROR(__xludf.DUMMYFUNCTION("""COMPUTED_VALUE"""),80.23919)</f>
        <v>80.23919</v>
      </c>
      <c r="F24043" s="4">
        <f>IFERROR(__xludf.DUMMYFUNCTION("""COMPUTED_VALUE"""),5339.0)</f>
        <v>5339</v>
      </c>
      <c r="G24043" s="4">
        <f>IFERROR(__xludf.DUMMYFUNCTION("""COMPUTED_VALUE"""),30.0)</f>
        <v>30</v>
      </c>
      <c r="H24043" s="4"/>
      <c r="I24043" s="4"/>
    </row>
    <row r="24044">
      <c r="A24044" s="4" t="str">
        <f>IFERROR(__xludf.DUMMYFUNCTION("""COMPUTED_VALUE"""),"cas_hmw")</f>
        <v>cas_hmw</v>
      </c>
      <c r="B24044" s="5">
        <f>IFERROR(__xludf.DUMMYFUNCTION("""COMPUTED_VALUE"""),44798.0)</f>
        <v>44798</v>
      </c>
      <c r="C24044" s="6">
        <f>IFERROR(__xludf.DUMMYFUNCTION("""COMPUTED_VALUE"""),0.3163194444459805)</f>
        <v>0.3163194444</v>
      </c>
      <c r="D24044" s="4">
        <f>IFERROR(__xludf.DUMMYFUNCTION("""COMPUTED_VALUE"""),13.030306)</f>
        <v>13.030306</v>
      </c>
      <c r="E24044" s="4">
        <f>IFERROR(__xludf.DUMMYFUNCTION("""COMPUTED_VALUE"""),80.23848)</f>
        <v>80.23848</v>
      </c>
      <c r="F24044" s="4">
        <f>IFERROR(__xludf.DUMMYFUNCTION("""COMPUTED_VALUE"""),5339.0)</f>
        <v>5339</v>
      </c>
      <c r="G24044" s="4">
        <f>IFERROR(__xludf.DUMMYFUNCTION("""COMPUTED_VALUE"""),30.0)</f>
        <v>30</v>
      </c>
      <c r="H24044" s="4"/>
      <c r="I24044" s="4"/>
    </row>
    <row r="24045">
      <c r="A24045" s="4" t="str">
        <f>IFERROR(__xludf.DUMMYFUNCTION("""COMPUTED_VALUE"""),"cas_hmw")</f>
        <v>cas_hmw</v>
      </c>
      <c r="B24045" s="5">
        <f>IFERROR(__xludf.DUMMYFUNCTION("""COMPUTED_VALUE"""),44798.0)</f>
        <v>44798</v>
      </c>
      <c r="C24045" s="6">
        <f>IFERROR(__xludf.DUMMYFUNCTION("""COMPUTED_VALUE"""),0.31663194444263354)</f>
        <v>0.3166319444</v>
      </c>
      <c r="D24045" s="4">
        <f>IFERROR(__xludf.DUMMYFUNCTION("""COMPUTED_VALUE"""),13.028787)</f>
        <v>13.028787</v>
      </c>
      <c r="E24045" s="4">
        <f>IFERROR(__xludf.DUMMYFUNCTION("""COMPUTED_VALUE"""),80.23635)</f>
        <v>80.23635</v>
      </c>
      <c r="F24045" s="4">
        <f>IFERROR(__xludf.DUMMYFUNCTION("""COMPUTED_VALUE"""),5339.0)</f>
        <v>5339</v>
      </c>
      <c r="G24045" s="4">
        <f>IFERROR(__xludf.DUMMYFUNCTION("""COMPUTED_VALUE"""),51.0)</f>
        <v>51</v>
      </c>
      <c r="H24045" s="4"/>
      <c r="I24045" s="4"/>
    </row>
    <row r="24046">
      <c r="A24046" s="4" t="str">
        <f>IFERROR(__xludf.DUMMYFUNCTION("""COMPUTED_VALUE"""),"cas_hmw")</f>
        <v>cas_hmw</v>
      </c>
      <c r="B24046" s="5">
        <f>IFERROR(__xludf.DUMMYFUNCTION("""COMPUTED_VALUE"""),44798.0)</f>
        <v>44798</v>
      </c>
      <c r="C24046" s="6">
        <f>IFERROR(__xludf.DUMMYFUNCTION("""COMPUTED_VALUE"""),0.3168287037042319)</f>
        <v>0.3168287037</v>
      </c>
      <c r="D24046" s="4">
        <f>IFERROR(__xludf.DUMMYFUNCTION("""COMPUTED_VALUE"""),13.027266)</f>
        <v>13.027266</v>
      </c>
      <c r="E24046" s="4">
        <f>IFERROR(__xludf.DUMMYFUNCTION("""COMPUTED_VALUE"""),80.234152)</f>
        <v>80.234152</v>
      </c>
      <c r="F24046" s="4">
        <f>IFERROR(__xludf.DUMMYFUNCTION("""COMPUTED_VALUE"""),5339.0)</f>
        <v>5339</v>
      </c>
      <c r="G24046" s="4">
        <f>IFERROR(__xludf.DUMMYFUNCTION("""COMPUTED_VALUE"""),48.0)</f>
        <v>48</v>
      </c>
      <c r="H24046" s="4"/>
      <c r="I24046" s="4"/>
    </row>
    <row r="24047">
      <c r="A24047" s="4" t="str">
        <f>IFERROR(__xludf.DUMMYFUNCTION("""COMPUTED_VALUE"""),"cas_hmw")</f>
        <v>cas_hmw</v>
      </c>
      <c r="B24047" s="5">
        <f>IFERROR(__xludf.DUMMYFUNCTION("""COMPUTED_VALUE"""),44798.0)</f>
        <v>44798</v>
      </c>
      <c r="C24047" s="6">
        <f>IFERROR(__xludf.DUMMYFUNCTION("""COMPUTED_VALUE"""),0.3175462962972233)</f>
        <v>0.3175462963</v>
      </c>
      <c r="D24047" s="4">
        <f>IFERROR(__xludf.DUMMYFUNCTION("""COMPUTED_VALUE"""),13.025976)</f>
        <v>13.025976</v>
      </c>
      <c r="E24047" s="4">
        <f>IFERROR(__xludf.DUMMYFUNCTION("""COMPUTED_VALUE"""),80.231296)</f>
        <v>80.231296</v>
      </c>
      <c r="F24047" s="4">
        <f>IFERROR(__xludf.DUMMYFUNCTION("""COMPUTED_VALUE"""),5339.0)</f>
        <v>5339</v>
      </c>
      <c r="G24047" s="4">
        <f>IFERROR(__xludf.DUMMYFUNCTION("""COMPUTED_VALUE"""),28.0)</f>
        <v>28</v>
      </c>
      <c r="H24047" s="4"/>
      <c r="I24047" s="4"/>
    </row>
    <row r="24048">
      <c r="A24048" s="4" t="str">
        <f>IFERROR(__xludf.DUMMYFUNCTION("""COMPUTED_VALUE"""),"cas_hmw")</f>
        <v>cas_hmw</v>
      </c>
      <c r="B24048" s="5">
        <f>IFERROR(__xludf.DUMMYFUNCTION("""COMPUTED_VALUE"""),44798.0)</f>
        <v>44798</v>
      </c>
      <c r="C24048" s="6">
        <f>IFERROR(__xludf.DUMMYFUNCTION("""COMPUTED_VALUE"""),0.3183796296289074)</f>
        <v>0.3183796296</v>
      </c>
      <c r="D24048" s="4">
        <f>IFERROR(__xludf.DUMMYFUNCTION("""COMPUTED_VALUE"""),13.02472)</f>
        <v>13.02472</v>
      </c>
      <c r="E24048" s="4">
        <f>IFERROR(__xludf.DUMMYFUNCTION("""COMPUTED_VALUE"""),80.22915)</f>
        <v>80.22915</v>
      </c>
      <c r="F24048" s="4">
        <f>IFERROR(__xludf.DUMMYFUNCTION("""COMPUTED_VALUE"""),5339.0)</f>
        <v>5339</v>
      </c>
      <c r="G24048" s="4">
        <f>IFERROR(__xludf.DUMMYFUNCTION("""COMPUTED_VALUE"""),0.0)</f>
        <v>0</v>
      </c>
      <c r="H24048" s="4"/>
      <c r="I24048" s="4"/>
    </row>
    <row r="24049">
      <c r="A24049" s="4" t="str">
        <f>IFERROR(__xludf.DUMMYFUNCTION("""COMPUTED_VALUE"""),"cas_hmw")</f>
        <v>cas_hmw</v>
      </c>
      <c r="B24049" s="5">
        <f>IFERROR(__xludf.DUMMYFUNCTION("""COMPUTED_VALUE"""),44798.0)</f>
        <v>44798</v>
      </c>
      <c r="C24049" s="6">
        <f>IFERROR(__xludf.DUMMYFUNCTION("""COMPUTED_VALUE"""),0.3183796296289074)</f>
        <v>0.3183796296</v>
      </c>
      <c r="D24049" s="4">
        <f>IFERROR(__xludf.DUMMYFUNCTION("""COMPUTED_VALUE"""),13.02472)</f>
        <v>13.02472</v>
      </c>
      <c r="E24049" s="4">
        <f>IFERROR(__xludf.DUMMYFUNCTION("""COMPUTED_VALUE"""),80.22915)</f>
        <v>80.22915</v>
      </c>
      <c r="F24049" s="4">
        <f>IFERROR(__xludf.DUMMYFUNCTION("""COMPUTED_VALUE"""),5339.0)</f>
        <v>5339</v>
      </c>
      <c r="G24049" s="4">
        <f>IFERROR(__xludf.DUMMYFUNCTION("""COMPUTED_VALUE"""),0.0)</f>
        <v>0</v>
      </c>
      <c r="H24049" s="4"/>
      <c r="I24049" s="4"/>
    </row>
    <row r="24050">
      <c r="A24050" s="4" t="str">
        <f>IFERROR(__xludf.DUMMYFUNCTION("""COMPUTED_VALUE"""),"cas_hmw")</f>
        <v>cas_hmw</v>
      </c>
      <c r="B24050" s="5">
        <f>IFERROR(__xludf.DUMMYFUNCTION("""COMPUTED_VALUE"""),44798.0)</f>
        <v>44798</v>
      </c>
      <c r="C24050" s="6">
        <f>IFERROR(__xludf.DUMMYFUNCTION("""COMPUTED_VALUE"""),0.3187499999985448)</f>
        <v>0.31875</v>
      </c>
      <c r="D24050" s="4">
        <f>IFERROR(__xludf.DUMMYFUNCTION("""COMPUTED_VALUE"""),13.022888)</f>
        <v>13.022888</v>
      </c>
      <c r="E24050" s="4">
        <f>IFERROR(__xludf.DUMMYFUNCTION("""COMPUTED_VALUE"""),80.227108)</f>
        <v>80.227108</v>
      </c>
      <c r="F24050" s="4">
        <f>IFERROR(__xludf.DUMMYFUNCTION("""COMPUTED_VALUE"""),5339.0)</f>
        <v>5339</v>
      </c>
      <c r="G24050" s="4">
        <f>IFERROR(__xludf.DUMMYFUNCTION("""COMPUTED_VALUE"""),51.0)</f>
        <v>51</v>
      </c>
      <c r="H24050" s="4"/>
      <c r="I24050" s="4"/>
    </row>
    <row r="24051">
      <c r="A24051" s="4" t="str">
        <f>IFERROR(__xludf.DUMMYFUNCTION("""COMPUTED_VALUE"""),"cas_hmw")</f>
        <v>cas_hmw</v>
      </c>
      <c r="B24051" s="5">
        <f>IFERROR(__xludf.DUMMYFUNCTION("""COMPUTED_VALUE"""),44798.0)</f>
        <v>44798</v>
      </c>
      <c r="C24051" s="6">
        <f>IFERROR(__xludf.DUMMYFUNCTION("""COMPUTED_VALUE"""),0.3203009259268583)</f>
        <v>0.3203009259</v>
      </c>
      <c r="D24051" s="4">
        <f>IFERROR(__xludf.DUMMYFUNCTION("""COMPUTED_VALUE"""),13.01196)</f>
        <v>13.01196</v>
      </c>
      <c r="E24051" s="4">
        <f>IFERROR(__xludf.DUMMYFUNCTION("""COMPUTED_VALUE"""),80.22724)</f>
        <v>80.22724</v>
      </c>
      <c r="F24051" s="4">
        <f>IFERROR(__xludf.DUMMYFUNCTION("""COMPUTED_VALUE"""),5339.0)</f>
        <v>5339</v>
      </c>
      <c r="G24051" s="4">
        <f>IFERROR(__xludf.DUMMYFUNCTION("""COMPUTED_VALUE"""),26.0)</f>
        <v>26</v>
      </c>
      <c r="H24051" s="4"/>
      <c r="I24051" s="4"/>
    </row>
    <row r="24052">
      <c r="A24052" s="4" t="str">
        <f>IFERROR(__xludf.DUMMYFUNCTION("""COMPUTED_VALUE"""),"cas_hmw")</f>
        <v>cas_hmw</v>
      </c>
      <c r="B24052" s="5">
        <f>IFERROR(__xludf.DUMMYFUNCTION("""COMPUTED_VALUE"""),44798.0)</f>
        <v>44798</v>
      </c>
      <c r="C24052" s="6">
        <f>IFERROR(__xludf.DUMMYFUNCTION("""COMPUTED_VALUE"""),0.32105324073927477)</f>
        <v>0.3210532407</v>
      </c>
      <c r="D24052" s="4">
        <f>IFERROR(__xludf.DUMMYFUNCTION("""COMPUTED_VALUE"""),13.010623)</f>
        <v>13.010623</v>
      </c>
      <c r="E24052" s="4">
        <f>IFERROR(__xludf.DUMMYFUNCTION("""COMPUTED_VALUE"""),80.225166)</f>
        <v>80.225166</v>
      </c>
      <c r="F24052" s="4">
        <f>IFERROR(__xludf.DUMMYFUNCTION("""COMPUTED_VALUE"""),5339.0)</f>
        <v>5339</v>
      </c>
      <c r="G24052" s="4">
        <f>IFERROR(__xludf.DUMMYFUNCTION("""COMPUTED_VALUE"""),39.0)</f>
        <v>39</v>
      </c>
      <c r="H24052" s="4"/>
      <c r="I24052" s="4"/>
    </row>
    <row r="24053">
      <c r="A24053" s="4" t="str">
        <f>IFERROR(__xludf.DUMMYFUNCTION("""COMPUTED_VALUE"""),"cas_hmw")</f>
        <v>cas_hmw</v>
      </c>
      <c r="B24053" s="5">
        <f>IFERROR(__xludf.DUMMYFUNCTION("""COMPUTED_VALUE"""),44798.0)</f>
        <v>44798</v>
      </c>
      <c r="C24053" s="6">
        <f>IFERROR(__xludf.DUMMYFUNCTION("""COMPUTED_VALUE"""),0.32407407407299615)</f>
        <v>0.3240740741</v>
      </c>
      <c r="D24053" s="4">
        <f>IFERROR(__xludf.DUMMYFUNCTION("""COMPUTED_VALUE"""),13.004912)</f>
        <v>13.004912</v>
      </c>
      <c r="E24053" s="4">
        <f>IFERROR(__xludf.DUMMYFUNCTION("""COMPUTED_VALUE"""),80.201447)</f>
        <v>80.201447</v>
      </c>
      <c r="F24053" s="4">
        <f>IFERROR(__xludf.DUMMYFUNCTION("""COMPUTED_VALUE"""),5339.0)</f>
        <v>5339</v>
      </c>
      <c r="G24053" s="4">
        <f>IFERROR(__xludf.DUMMYFUNCTION("""COMPUTED_VALUE"""),43.0)</f>
        <v>43</v>
      </c>
      <c r="H24053" s="4"/>
      <c r="I24053" s="4"/>
    </row>
    <row r="24054">
      <c r="A24054" s="4" t="str">
        <f>IFERROR(__xludf.DUMMYFUNCTION("""COMPUTED_VALUE"""),"cas_hmw")</f>
        <v>cas_hmw</v>
      </c>
      <c r="B24054" s="5">
        <f>IFERROR(__xludf.DUMMYFUNCTION("""COMPUTED_VALUE"""),44798.0)</f>
        <v>44798</v>
      </c>
      <c r="C24054" s="6">
        <f>IFERROR(__xludf.DUMMYFUNCTION("""COMPUTED_VALUE"""),0.32541666666656965)</f>
        <v>0.3254166667</v>
      </c>
      <c r="D24054" s="4">
        <f>IFERROR(__xludf.DUMMYFUNCTION("""COMPUTED_VALUE"""),13.000835)</f>
        <v>13.000835</v>
      </c>
      <c r="E24054" s="4">
        <f>IFERROR(__xludf.DUMMYFUNCTION("""COMPUTED_VALUE"""),80.195326)</f>
        <v>80.195326</v>
      </c>
      <c r="F24054" s="4">
        <f>IFERROR(__xludf.DUMMYFUNCTION("""COMPUTED_VALUE"""),5339.0)</f>
        <v>5339</v>
      </c>
      <c r="G24054" s="4">
        <f>IFERROR(__xludf.DUMMYFUNCTION("""COMPUTED_VALUE"""),45.0)</f>
        <v>45</v>
      </c>
      <c r="H24054" s="4"/>
      <c r="I24054" s="4"/>
    </row>
    <row r="24055">
      <c r="A24055" s="4" t="str">
        <f>IFERROR(__xludf.DUMMYFUNCTION("""COMPUTED_VALUE"""),"cas_hmw")</f>
        <v>cas_hmw</v>
      </c>
      <c r="B24055" s="5">
        <f>IFERROR(__xludf.DUMMYFUNCTION("""COMPUTED_VALUE"""),44798.0)</f>
        <v>44798</v>
      </c>
      <c r="C24055" s="6">
        <f>IFERROR(__xludf.DUMMYFUNCTION("""COMPUTED_VALUE"""),0.32668981481401715)</f>
        <v>0.3266898148</v>
      </c>
      <c r="D24055" s="4">
        <f>IFERROR(__xludf.DUMMYFUNCTION("""COMPUTED_VALUE"""),12.995206)</f>
        <v>12.995206</v>
      </c>
      <c r="E24055" s="4">
        <f>IFERROR(__xludf.DUMMYFUNCTION("""COMPUTED_VALUE"""),80.187932)</f>
        <v>80.187932</v>
      </c>
      <c r="F24055" s="4">
        <f>IFERROR(__xludf.DUMMYFUNCTION("""COMPUTED_VALUE"""),5339.0)</f>
        <v>5339</v>
      </c>
      <c r="G24055" s="4">
        <f>IFERROR(__xludf.DUMMYFUNCTION("""COMPUTED_VALUE"""),53.0)</f>
        <v>53</v>
      </c>
      <c r="H24055" s="4"/>
      <c r="I24055" s="4"/>
    </row>
    <row r="24056">
      <c r="A24056" s="4" t="str">
        <f>IFERROR(__xludf.DUMMYFUNCTION("""COMPUTED_VALUE"""),"cas_hmw")</f>
        <v>cas_hmw</v>
      </c>
      <c r="B24056" s="5">
        <f>IFERROR(__xludf.DUMMYFUNCTION("""COMPUTED_VALUE"""),44798.0)</f>
        <v>44798</v>
      </c>
      <c r="C24056" s="6">
        <f>IFERROR(__xludf.DUMMYFUNCTION("""COMPUTED_VALUE"""),0.3272222222221899)</f>
        <v>0.3272222222</v>
      </c>
      <c r="D24056" s="4">
        <f>IFERROR(__xludf.DUMMYFUNCTION("""COMPUTED_VALUE"""),12.993996)</f>
        <v>12.993996</v>
      </c>
      <c r="E24056" s="4">
        <f>IFERROR(__xludf.DUMMYFUNCTION("""COMPUTED_VALUE"""),80.18555)</f>
        <v>80.18555</v>
      </c>
      <c r="F24056" s="4">
        <f>IFERROR(__xludf.DUMMYFUNCTION("""COMPUTED_VALUE"""),5339.0)</f>
        <v>5339</v>
      </c>
      <c r="G24056" s="4">
        <f>IFERROR(__xludf.DUMMYFUNCTION("""COMPUTED_VALUE"""),0.0)</f>
        <v>0</v>
      </c>
      <c r="H24056" s="4"/>
      <c r="I24056" s="4"/>
    </row>
    <row r="24057">
      <c r="A24057" s="4" t="str">
        <f>IFERROR(__xludf.DUMMYFUNCTION("""COMPUTED_VALUE"""),"cas_hmw")</f>
        <v>cas_hmw</v>
      </c>
      <c r="B24057" s="5">
        <f>IFERROR(__xludf.DUMMYFUNCTION("""COMPUTED_VALUE"""),44798.0)</f>
        <v>44798</v>
      </c>
      <c r="C24057" s="6">
        <f>IFERROR(__xludf.DUMMYFUNCTION("""COMPUTED_VALUE"""),0.3279398148151813)</f>
        <v>0.3279398148</v>
      </c>
      <c r="D24057" s="4">
        <f>IFERROR(__xludf.DUMMYFUNCTION("""COMPUTED_VALUE"""),12.988612)</f>
        <v>12.988612</v>
      </c>
      <c r="E24057" s="4">
        <f>IFERROR(__xludf.DUMMYFUNCTION("""COMPUTED_VALUE"""),80.177886)</f>
        <v>80.177886</v>
      </c>
      <c r="F24057" s="4">
        <f>IFERROR(__xludf.DUMMYFUNCTION("""COMPUTED_VALUE"""),5339.0)</f>
        <v>5339</v>
      </c>
      <c r="G24057" s="4">
        <f>IFERROR(__xludf.DUMMYFUNCTION("""COMPUTED_VALUE"""),44.0)</f>
        <v>44</v>
      </c>
      <c r="H24057" s="4"/>
      <c r="I24057" s="4"/>
    </row>
    <row r="24058">
      <c r="A24058" s="4" t="str">
        <f>IFERROR(__xludf.DUMMYFUNCTION("""COMPUTED_VALUE"""),"cas_hmw")</f>
        <v>cas_hmw</v>
      </c>
      <c r="B24058" s="5">
        <f>IFERROR(__xludf.DUMMYFUNCTION("""COMPUTED_VALUE"""),44798.0)</f>
        <v>44798</v>
      </c>
      <c r="C24058" s="6">
        <f>IFERROR(__xludf.DUMMYFUNCTION("""COMPUTED_VALUE"""),0.3279745370382443)</f>
        <v>0.327974537</v>
      </c>
      <c r="D24058" s="4">
        <f>IFERROR(__xludf.DUMMYFUNCTION("""COMPUTED_VALUE"""),12.988612)</f>
        <v>12.988612</v>
      </c>
      <c r="E24058" s="4">
        <f>IFERROR(__xludf.DUMMYFUNCTION("""COMPUTED_VALUE"""),80.177886)</f>
        <v>80.177886</v>
      </c>
      <c r="F24058" s="4">
        <f>IFERROR(__xludf.DUMMYFUNCTION("""COMPUTED_VALUE"""),5339.0)</f>
        <v>5339</v>
      </c>
      <c r="G24058" s="4">
        <f>IFERROR(__xludf.DUMMYFUNCTION("""COMPUTED_VALUE"""),44.0)</f>
        <v>44</v>
      </c>
      <c r="H24058" s="4"/>
      <c r="I24058" s="4"/>
    </row>
    <row r="24059">
      <c r="A24059" s="4" t="str">
        <f>IFERROR(__xludf.DUMMYFUNCTION("""COMPUTED_VALUE"""),"cas_hmw")</f>
        <v>cas_hmw</v>
      </c>
      <c r="B24059" s="5">
        <f>IFERROR(__xludf.DUMMYFUNCTION("""COMPUTED_VALUE"""),44798.0)</f>
        <v>44798</v>
      </c>
      <c r="C24059" s="6">
        <f>IFERROR(__xludf.DUMMYFUNCTION("""COMPUTED_VALUE"""),0.32799768518452765)</f>
        <v>0.3279976852</v>
      </c>
      <c r="D24059" s="4">
        <f>IFERROR(__xludf.DUMMYFUNCTION("""COMPUTED_VALUE"""),12.988612)</f>
        <v>12.988612</v>
      </c>
      <c r="E24059" s="4">
        <f>IFERROR(__xludf.DUMMYFUNCTION("""COMPUTED_VALUE"""),80.177886)</f>
        <v>80.177886</v>
      </c>
      <c r="F24059" s="4">
        <f>IFERROR(__xludf.DUMMYFUNCTION("""COMPUTED_VALUE"""),5339.0)</f>
        <v>5339</v>
      </c>
      <c r="G24059" s="4">
        <f>IFERROR(__xludf.DUMMYFUNCTION("""COMPUTED_VALUE"""),44.0)</f>
        <v>44</v>
      </c>
      <c r="H24059" s="4"/>
      <c r="I24059" s="4"/>
    </row>
    <row r="24060">
      <c r="A24060" s="4" t="str">
        <f>IFERROR(__xludf.DUMMYFUNCTION("""COMPUTED_VALUE"""),"cas_hmw")</f>
        <v>cas_hmw</v>
      </c>
      <c r="B24060" s="5">
        <f>IFERROR(__xludf.DUMMYFUNCTION("""COMPUTED_VALUE"""),44798.0)</f>
        <v>44798</v>
      </c>
      <c r="C24060" s="6">
        <f>IFERROR(__xludf.DUMMYFUNCTION("""COMPUTED_VALUE"""),0.3297916666670062)</f>
        <v>0.3297916667</v>
      </c>
      <c r="D24060" s="4">
        <f>IFERROR(__xludf.DUMMYFUNCTION("""COMPUTED_VALUE"""),12.983864)</f>
        <v>12.983864</v>
      </c>
      <c r="E24060" s="4">
        <f>IFERROR(__xludf.DUMMYFUNCTION("""COMPUTED_VALUE"""),80.170862)</f>
        <v>80.170862</v>
      </c>
      <c r="F24060" s="4">
        <f>IFERROR(__xludf.DUMMYFUNCTION("""COMPUTED_VALUE"""),5339.0)</f>
        <v>5339</v>
      </c>
      <c r="G24060" s="4">
        <f>IFERROR(__xludf.DUMMYFUNCTION("""COMPUTED_VALUE"""),60.0)</f>
        <v>60</v>
      </c>
      <c r="H24060" s="4"/>
      <c r="I24060" s="4"/>
    </row>
    <row r="24061">
      <c r="A24061" s="4" t="str">
        <f>IFERROR(__xludf.DUMMYFUNCTION("""COMPUTED_VALUE"""),"cas_hmw")</f>
        <v>cas_hmw</v>
      </c>
      <c r="B24061" s="5">
        <f>IFERROR(__xludf.DUMMYFUNCTION("""COMPUTED_VALUE"""),44798.0)</f>
        <v>44798</v>
      </c>
      <c r="C24061" s="6">
        <f>IFERROR(__xludf.DUMMYFUNCTION("""COMPUTED_VALUE"""),0.33035879629460396)</f>
        <v>0.3303587963</v>
      </c>
      <c r="D24061" s="4">
        <f>IFERROR(__xludf.DUMMYFUNCTION("""COMPUTED_VALUE"""),12.9804)</f>
        <v>12.9804</v>
      </c>
      <c r="E24061" s="4">
        <f>IFERROR(__xludf.DUMMYFUNCTION("""COMPUTED_VALUE"""),80.164789)</f>
        <v>80.164789</v>
      </c>
      <c r="F24061" s="4">
        <f>IFERROR(__xludf.DUMMYFUNCTION("""COMPUTED_VALUE"""),5339.0)</f>
        <v>5339</v>
      </c>
      <c r="G24061" s="4">
        <f>IFERROR(__xludf.DUMMYFUNCTION("""COMPUTED_VALUE"""),54.0)</f>
        <v>54</v>
      </c>
      <c r="H24061" s="4"/>
      <c r="I24061" s="4"/>
    </row>
    <row r="24062">
      <c r="A24062" s="4" t="str">
        <f>IFERROR(__xludf.DUMMYFUNCTION("""COMPUTED_VALUE"""),"cas_hmw")</f>
        <v>cas_hmw</v>
      </c>
      <c r="B24062" s="5">
        <f>IFERROR(__xludf.DUMMYFUNCTION("""COMPUTED_VALUE"""),44798.0)</f>
        <v>44798</v>
      </c>
      <c r="C24062" s="6">
        <f>IFERROR(__xludf.DUMMYFUNCTION("""COMPUTED_VALUE"""),0.3325925925928459)</f>
        <v>0.3325925926</v>
      </c>
      <c r="D24062" s="4">
        <f>IFERROR(__xludf.DUMMYFUNCTION("""COMPUTED_VALUE"""),12.971786)</f>
        <v>12.971786</v>
      </c>
      <c r="E24062" s="4">
        <f>IFERROR(__xludf.DUMMYFUNCTION("""COMPUTED_VALUE"""),80.151272)</f>
        <v>80.151272</v>
      </c>
      <c r="F24062" s="4">
        <f>IFERROR(__xludf.DUMMYFUNCTION("""COMPUTED_VALUE"""),5339.0)</f>
        <v>5339</v>
      </c>
      <c r="G24062" s="4">
        <f>IFERROR(__xludf.DUMMYFUNCTION("""COMPUTED_VALUE"""),21.0)</f>
        <v>21</v>
      </c>
      <c r="H24062" s="4"/>
      <c r="I24062" s="4"/>
    </row>
    <row r="24063">
      <c r="A24063" s="4" t="str">
        <f>IFERROR(__xludf.DUMMYFUNCTION("""COMPUTED_VALUE"""),"cas_hmw")</f>
        <v>cas_hmw</v>
      </c>
      <c r="B24063" s="5">
        <f>IFERROR(__xludf.DUMMYFUNCTION("""COMPUTED_VALUE"""),44798.0)</f>
        <v>44798</v>
      </c>
      <c r="C24063" s="6">
        <f>IFERROR(__xludf.DUMMYFUNCTION("""COMPUTED_VALUE"""),0.33297453703562496)</f>
        <v>0.332974537</v>
      </c>
      <c r="D24063" s="4">
        <f>IFERROR(__xludf.DUMMYFUNCTION("""COMPUTED_VALUE"""),12.968347)</f>
        <v>12.968347</v>
      </c>
      <c r="E24063" s="4">
        <f>IFERROR(__xludf.DUMMYFUNCTION("""COMPUTED_VALUE"""),80.149593)</f>
        <v>80.149593</v>
      </c>
      <c r="F24063" s="4">
        <f>IFERROR(__xludf.DUMMYFUNCTION("""COMPUTED_VALUE"""),5339.0)</f>
        <v>5339</v>
      </c>
      <c r="G24063" s="4">
        <f>IFERROR(__xludf.DUMMYFUNCTION("""COMPUTED_VALUE"""),46.0)</f>
        <v>46</v>
      </c>
      <c r="H24063" s="4"/>
      <c r="I24063" s="4"/>
    </row>
    <row r="24064">
      <c r="A24064" s="4" t="str">
        <f>IFERROR(__xludf.DUMMYFUNCTION("""COMPUTED_VALUE"""),"cas_hmw")</f>
        <v>cas_hmw</v>
      </c>
      <c r="B24064" s="5">
        <f>IFERROR(__xludf.DUMMYFUNCTION("""COMPUTED_VALUE"""),44798.0)</f>
        <v>44798</v>
      </c>
      <c r="C24064" s="6">
        <f>IFERROR(__xludf.DUMMYFUNCTION("""COMPUTED_VALUE"""),0.333356481482042)</f>
        <v>0.3333564815</v>
      </c>
      <c r="D24064" s="4">
        <f>IFERROR(__xludf.DUMMYFUNCTION("""COMPUTED_VALUE"""),12.966655)</f>
        <v>12.966655</v>
      </c>
      <c r="E24064" s="4">
        <f>IFERROR(__xludf.DUMMYFUNCTION("""COMPUTED_VALUE"""),80.14887)</f>
        <v>80.14887</v>
      </c>
      <c r="F24064" s="4">
        <f>IFERROR(__xludf.DUMMYFUNCTION("""COMPUTED_VALUE"""),5339.0)</f>
        <v>5339</v>
      </c>
      <c r="G24064" s="4">
        <f>IFERROR(__xludf.DUMMYFUNCTION("""COMPUTED_VALUE"""),34.0)</f>
        <v>34</v>
      </c>
      <c r="H24064" s="4"/>
      <c r="I24064" s="4"/>
    </row>
    <row r="24065">
      <c r="A24065" s="4" t="str">
        <f>IFERROR(__xludf.DUMMYFUNCTION("""COMPUTED_VALUE"""),"cas_hmw")</f>
        <v>cas_hmw</v>
      </c>
      <c r="B24065" s="5">
        <f>IFERROR(__xludf.DUMMYFUNCTION("""COMPUTED_VALUE"""),44798.0)</f>
        <v>44798</v>
      </c>
      <c r="C24065" s="6">
        <f>IFERROR(__xludf.DUMMYFUNCTION("""COMPUTED_VALUE"""),0.33381944444408873)</f>
        <v>0.3338194444</v>
      </c>
      <c r="D24065" s="4">
        <f>IFERROR(__xludf.DUMMYFUNCTION("""COMPUTED_VALUE"""),12.963218)</f>
        <v>12.963218</v>
      </c>
      <c r="E24065" s="4">
        <f>IFERROR(__xludf.DUMMYFUNCTION("""COMPUTED_VALUE"""),80.147007)</f>
        <v>80.147007</v>
      </c>
      <c r="F24065" s="4">
        <f>IFERROR(__xludf.DUMMYFUNCTION("""COMPUTED_VALUE"""),5339.0)</f>
        <v>5339</v>
      </c>
      <c r="G24065" s="4">
        <f>IFERROR(__xludf.DUMMYFUNCTION("""COMPUTED_VALUE"""),43.0)</f>
        <v>43</v>
      </c>
      <c r="H24065" s="4"/>
      <c r="I24065" s="4"/>
    </row>
    <row r="24066">
      <c r="A24066" s="4" t="str">
        <f>IFERROR(__xludf.DUMMYFUNCTION("""COMPUTED_VALUE"""),"cas_hmw")</f>
        <v>cas_hmw</v>
      </c>
      <c r="B24066" s="5">
        <f>IFERROR(__xludf.DUMMYFUNCTION("""COMPUTED_VALUE"""),44798.0)</f>
        <v>44798</v>
      </c>
      <c r="C24066" s="6">
        <f>IFERROR(__xludf.DUMMYFUNCTION("""COMPUTED_VALUE"""),0.3341087962980964)</f>
        <v>0.3341087963</v>
      </c>
      <c r="D24066" s="4">
        <f>IFERROR(__xludf.DUMMYFUNCTION("""COMPUTED_VALUE"""),12.961722)</f>
        <v>12.961722</v>
      </c>
      <c r="E24066" s="4">
        <f>IFERROR(__xludf.DUMMYFUNCTION("""COMPUTED_VALUE"""),80.146198)</f>
        <v>80.146198</v>
      </c>
      <c r="F24066" s="4">
        <f>IFERROR(__xludf.DUMMYFUNCTION("""COMPUTED_VALUE"""),5339.0)</f>
        <v>5339</v>
      </c>
      <c r="G24066" s="4">
        <f>IFERROR(__xludf.DUMMYFUNCTION("""COMPUTED_VALUE"""),31.0)</f>
        <v>31</v>
      </c>
      <c r="H24066" s="4"/>
      <c r="I24066" s="4"/>
    </row>
    <row r="24067">
      <c r="A24067" s="4" t="str">
        <f>IFERROR(__xludf.DUMMYFUNCTION("""COMPUTED_VALUE"""),"cas_hmw")</f>
        <v>cas_hmw</v>
      </c>
      <c r="B24067" s="5">
        <f>IFERROR(__xludf.DUMMYFUNCTION("""COMPUTED_VALUE"""),44798.0)</f>
        <v>44798</v>
      </c>
      <c r="C24067" s="6">
        <f>IFERROR(__xludf.DUMMYFUNCTION("""COMPUTED_VALUE"""),0.3341087962980964)</f>
        <v>0.3341087963</v>
      </c>
      <c r="D24067" s="4">
        <f>IFERROR(__xludf.DUMMYFUNCTION("""COMPUTED_VALUE"""),12.961019)</f>
        <v>12.961019</v>
      </c>
      <c r="E24067" s="4">
        <f>IFERROR(__xludf.DUMMYFUNCTION("""COMPUTED_VALUE"""),80.145828)</f>
        <v>80.145828</v>
      </c>
      <c r="F24067" s="4">
        <f>IFERROR(__xludf.DUMMYFUNCTION("""COMPUTED_VALUE"""),5339.0)</f>
        <v>5339</v>
      </c>
      <c r="G24067" s="4">
        <f>IFERROR(__xludf.DUMMYFUNCTION("""COMPUTED_VALUE"""),26.0)</f>
        <v>26</v>
      </c>
      <c r="H24067" s="4"/>
      <c r="I24067" s="4"/>
    </row>
    <row r="24068">
      <c r="A24068" s="4" t="str">
        <f>IFERROR(__xludf.DUMMYFUNCTION("""COMPUTED_VALUE"""),"cas_hmw")</f>
        <v>cas_hmw</v>
      </c>
      <c r="B24068" s="5">
        <f>IFERROR(__xludf.DUMMYFUNCTION("""COMPUTED_VALUE"""),44798.0)</f>
        <v>44798</v>
      </c>
      <c r="C24068" s="6">
        <f>IFERROR(__xludf.DUMMYFUNCTION("""COMPUTED_VALUE"""),0.3341203703712381)</f>
        <v>0.3341203704</v>
      </c>
      <c r="D24068" s="4">
        <f>IFERROR(__xludf.DUMMYFUNCTION("""COMPUTED_VALUE"""),12.961019)</f>
        <v>12.961019</v>
      </c>
      <c r="E24068" s="4">
        <f>IFERROR(__xludf.DUMMYFUNCTION("""COMPUTED_VALUE"""),80.145828)</f>
        <v>80.145828</v>
      </c>
      <c r="F24068" s="4">
        <f>IFERROR(__xludf.DUMMYFUNCTION("""COMPUTED_VALUE"""),5339.0)</f>
        <v>5339</v>
      </c>
      <c r="G24068" s="4">
        <f>IFERROR(__xludf.DUMMYFUNCTION("""COMPUTED_VALUE"""),26.0)</f>
        <v>26</v>
      </c>
      <c r="H24068" s="4"/>
      <c r="I24068" s="4"/>
    </row>
    <row r="24069">
      <c r="A24069" s="4" t="str">
        <f>IFERROR(__xludf.DUMMYFUNCTION("""COMPUTED_VALUE"""),"cas_hmw")</f>
        <v>cas_hmw</v>
      </c>
      <c r="B24069" s="5">
        <f>IFERROR(__xludf.DUMMYFUNCTION("""COMPUTED_VALUE"""),44798.0)</f>
        <v>44798</v>
      </c>
      <c r="C24069" s="6">
        <f>IFERROR(__xludf.DUMMYFUNCTION("""COMPUTED_VALUE"""),0.33439814814846613)</f>
        <v>0.3343981481</v>
      </c>
      <c r="D24069" s="4">
        <f>IFERROR(__xludf.DUMMYFUNCTION("""COMPUTED_VALUE"""),12.959577)</f>
        <v>12.959577</v>
      </c>
      <c r="E24069" s="4">
        <f>IFERROR(__xludf.DUMMYFUNCTION("""COMPUTED_VALUE"""),80.145048)</f>
        <v>80.145048</v>
      </c>
      <c r="F24069" s="4">
        <f>IFERROR(__xludf.DUMMYFUNCTION("""COMPUTED_VALUE"""),5339.0)</f>
        <v>5339</v>
      </c>
      <c r="G24069" s="4">
        <f>IFERROR(__xludf.DUMMYFUNCTION("""COMPUTED_VALUE"""),35.0)</f>
        <v>35</v>
      </c>
      <c r="H24069" s="4"/>
      <c r="I24069" s="4"/>
    </row>
    <row r="24070">
      <c r="A24070" s="4" t="str">
        <f>IFERROR(__xludf.DUMMYFUNCTION("""COMPUTED_VALUE"""),"cas_hmw")</f>
        <v>cas_hmw</v>
      </c>
      <c r="B24070" s="5">
        <f>IFERROR(__xludf.DUMMYFUNCTION("""COMPUTED_VALUE"""),44798.0)</f>
        <v>44798</v>
      </c>
      <c r="C24070" s="6">
        <f>IFERROR(__xludf.DUMMYFUNCTION("""COMPUTED_VALUE"""),0.33511574074145756)</f>
        <v>0.3351157407</v>
      </c>
      <c r="D24070" s="4">
        <f>IFERROR(__xludf.DUMMYFUNCTION("""COMPUTED_VALUE"""),12.956008)</f>
        <v>12.956008</v>
      </c>
      <c r="E24070" s="4">
        <f>IFERROR(__xludf.DUMMYFUNCTION("""COMPUTED_VALUE"""),80.143191)</f>
        <v>80.143191</v>
      </c>
      <c r="F24070" s="4">
        <f>IFERROR(__xludf.DUMMYFUNCTION("""COMPUTED_VALUE"""),5339.0)</f>
        <v>5339</v>
      </c>
      <c r="G24070" s="4">
        <f>IFERROR(__xludf.DUMMYFUNCTION("""COMPUTED_VALUE"""),27.0)</f>
        <v>27</v>
      </c>
      <c r="H24070" s="4"/>
      <c r="I24070" s="4"/>
    </row>
    <row r="24071">
      <c r="A24071" s="4" t="str">
        <f>IFERROR(__xludf.DUMMYFUNCTION("""COMPUTED_VALUE"""),"cas_hmw")</f>
        <v>cas_hmw</v>
      </c>
      <c r="B24071" s="5">
        <f>IFERROR(__xludf.DUMMYFUNCTION("""COMPUTED_VALUE"""),44798.0)</f>
        <v>44798</v>
      </c>
      <c r="C24071" s="6">
        <f>IFERROR(__xludf.DUMMYFUNCTION("""COMPUTED_VALUE"""),0.3353124999994179)</f>
        <v>0.3353125</v>
      </c>
      <c r="D24071" s="4">
        <f>IFERROR(__xludf.DUMMYFUNCTION("""COMPUTED_VALUE"""),12.953787)</f>
        <v>12.953787</v>
      </c>
      <c r="E24071" s="4">
        <f>IFERROR(__xludf.DUMMYFUNCTION("""COMPUTED_VALUE"""),80.186665)</f>
        <v>80.186665</v>
      </c>
      <c r="F24071" s="4">
        <f>IFERROR(__xludf.DUMMYFUNCTION("""COMPUTED_VALUE"""),3143.0)</f>
        <v>3143</v>
      </c>
      <c r="G24071" s="4">
        <f>IFERROR(__xludf.DUMMYFUNCTION("""COMPUTED_VALUE"""),30.0)</f>
        <v>30</v>
      </c>
      <c r="H24071" s="4"/>
      <c r="I24071" s="4"/>
    </row>
    <row r="24072">
      <c r="A24072" s="4" t="str">
        <f>IFERROR(__xludf.DUMMYFUNCTION("""COMPUTED_VALUE"""),"cas_hmw")</f>
        <v>cas_hmw</v>
      </c>
      <c r="B24072" s="5">
        <f>IFERROR(__xludf.DUMMYFUNCTION("""COMPUTED_VALUE"""),44798.0)</f>
        <v>44798</v>
      </c>
      <c r="C24072" s="6">
        <f>IFERROR(__xludf.DUMMYFUNCTION("""COMPUTED_VALUE"""),0.3358564814807323)</f>
        <v>0.3358564815</v>
      </c>
      <c r="D24072" s="4">
        <f>IFERROR(__xludf.DUMMYFUNCTION("""COMPUTED_VALUE"""),12.951137)</f>
        <v>12.951137</v>
      </c>
      <c r="E24072" s="4">
        <f>IFERROR(__xludf.DUMMYFUNCTION("""COMPUTED_VALUE"""),80.140161)</f>
        <v>80.140161</v>
      </c>
      <c r="F24072" s="4">
        <f>IFERROR(__xludf.DUMMYFUNCTION("""COMPUTED_VALUE"""),5339.0)</f>
        <v>5339</v>
      </c>
      <c r="G24072" s="4">
        <f>IFERROR(__xludf.DUMMYFUNCTION("""COMPUTED_VALUE"""),35.0)</f>
        <v>35</v>
      </c>
      <c r="H24072" s="4"/>
      <c r="I24072" s="4"/>
    </row>
    <row r="24073">
      <c r="A24073" s="4" t="str">
        <f>IFERROR(__xludf.DUMMYFUNCTION("""COMPUTED_VALUE"""),"cas_hmw")</f>
        <v>cas_hmw</v>
      </c>
      <c r="B24073" s="5">
        <f>IFERROR(__xludf.DUMMYFUNCTION("""COMPUTED_VALUE"""),44798.0)</f>
        <v>44798</v>
      </c>
      <c r="C24073" s="6">
        <f>IFERROR(__xludf.DUMMYFUNCTION("""COMPUTED_VALUE"""),0.335972222223063)</f>
        <v>0.3359722222</v>
      </c>
      <c r="D24073" s="4">
        <f>IFERROR(__xludf.DUMMYFUNCTION("""COMPUTED_VALUE"""),12.950331)</f>
        <v>12.950331</v>
      </c>
      <c r="E24073" s="4">
        <f>IFERROR(__xludf.DUMMYFUNCTION("""COMPUTED_VALUE"""),80.139566)</f>
        <v>80.139566</v>
      </c>
      <c r="F24073" s="4">
        <f>IFERROR(__xludf.DUMMYFUNCTION("""COMPUTED_VALUE"""),5339.0)</f>
        <v>5339</v>
      </c>
      <c r="G24073" s="4">
        <f>IFERROR(__xludf.DUMMYFUNCTION("""COMPUTED_VALUE"""),42.0)</f>
        <v>42</v>
      </c>
      <c r="H24073" s="4"/>
      <c r="I24073" s="4"/>
    </row>
    <row r="24074">
      <c r="A24074" s="4" t="str">
        <f>IFERROR(__xludf.DUMMYFUNCTION("""COMPUTED_VALUE"""),"cas_hmw")</f>
        <v>cas_hmw</v>
      </c>
      <c r="B24074" s="5">
        <f>IFERROR(__xludf.DUMMYFUNCTION("""COMPUTED_VALUE"""),44798.0)</f>
        <v>44798</v>
      </c>
      <c r="C24074" s="6">
        <f>IFERROR(__xludf.DUMMYFUNCTION("""COMPUTED_VALUE"""),0.3374305555553292)</f>
        <v>0.3374305556</v>
      </c>
      <c r="D24074" s="4">
        <f>IFERROR(__xludf.DUMMYFUNCTION("""COMPUTED_VALUE"""),12.946362)</f>
        <v>12.946362</v>
      </c>
      <c r="E24074" s="4">
        <f>IFERROR(__xludf.DUMMYFUNCTION("""COMPUTED_VALUE"""),80.183759)</f>
        <v>80.183759</v>
      </c>
      <c r="F24074" s="4">
        <f>IFERROR(__xludf.DUMMYFUNCTION("""COMPUTED_VALUE"""),3143.0)</f>
        <v>3143</v>
      </c>
      <c r="G24074" s="4">
        <f>IFERROR(__xludf.DUMMYFUNCTION("""COMPUTED_VALUE"""),34.0)</f>
        <v>34</v>
      </c>
      <c r="H24074" s="4"/>
      <c r="I24074" s="4"/>
    </row>
    <row r="24075">
      <c r="A24075" s="4" t="str">
        <f>IFERROR(__xludf.DUMMYFUNCTION("""COMPUTED_VALUE"""),"cas_hmw")</f>
        <v>cas_hmw</v>
      </c>
      <c r="B24075" s="5">
        <f>IFERROR(__xludf.DUMMYFUNCTION("""COMPUTED_VALUE"""),44798.0)</f>
        <v>44798</v>
      </c>
      <c r="C24075" s="6">
        <f>IFERROR(__xludf.DUMMYFUNCTION("""COMPUTED_VALUE"""),0.33751157407459687)</f>
        <v>0.3375115741</v>
      </c>
      <c r="D24075" s="4">
        <f>IFERROR(__xludf.DUMMYFUNCTION("""COMPUTED_VALUE"""),12.942478)</f>
        <v>12.942478</v>
      </c>
      <c r="E24075" s="4">
        <f>IFERROR(__xludf.DUMMYFUNCTION("""COMPUTED_VALUE"""),80.133193)</f>
        <v>80.133193</v>
      </c>
      <c r="F24075" s="4">
        <f>IFERROR(__xludf.DUMMYFUNCTION("""COMPUTED_VALUE"""),5339.0)</f>
        <v>5339</v>
      </c>
      <c r="G24075" s="4">
        <f>IFERROR(__xludf.DUMMYFUNCTION("""COMPUTED_VALUE"""),26.0)</f>
        <v>26</v>
      </c>
      <c r="H24075" s="4"/>
      <c r="I24075" s="4"/>
    </row>
    <row r="24076">
      <c r="A24076" s="4" t="str">
        <f>IFERROR(__xludf.DUMMYFUNCTION("""COMPUTED_VALUE"""),"cas_hmw")</f>
        <v>cas_hmw</v>
      </c>
      <c r="B24076" s="5">
        <f>IFERROR(__xludf.DUMMYFUNCTION("""COMPUTED_VALUE"""),44798.0)</f>
        <v>44798</v>
      </c>
      <c r="C24076" s="6">
        <f>IFERROR(__xludf.DUMMYFUNCTION("""COMPUTED_VALUE"""),0.3375347222208802)</f>
        <v>0.3375347222</v>
      </c>
      <c r="D24076" s="4">
        <f>IFERROR(__xludf.DUMMYFUNCTION("""COMPUTED_VALUE"""),12.942478)</f>
        <v>12.942478</v>
      </c>
      <c r="E24076" s="4">
        <f>IFERROR(__xludf.DUMMYFUNCTION("""COMPUTED_VALUE"""),80.133193)</f>
        <v>80.133193</v>
      </c>
      <c r="F24076" s="4">
        <f>IFERROR(__xludf.DUMMYFUNCTION("""COMPUTED_VALUE"""),5339.0)</f>
        <v>5339</v>
      </c>
      <c r="G24076" s="4">
        <f>IFERROR(__xludf.DUMMYFUNCTION("""COMPUTED_VALUE"""),26.0)</f>
        <v>26</v>
      </c>
      <c r="H24076" s="4"/>
      <c r="I24076" s="4"/>
    </row>
    <row r="24077">
      <c r="A24077" s="4" t="str">
        <f>IFERROR(__xludf.DUMMYFUNCTION("""COMPUTED_VALUE"""),"cas_hmw")</f>
        <v>cas_hmw</v>
      </c>
      <c r="B24077" s="5">
        <f>IFERROR(__xludf.DUMMYFUNCTION("""COMPUTED_VALUE"""),44798.0)</f>
        <v>44798</v>
      </c>
      <c r="C24077" s="6">
        <f>IFERROR(__xludf.DUMMYFUNCTION("""COMPUTED_VALUE"""),0.33795138889036025)</f>
        <v>0.3379513889</v>
      </c>
      <c r="D24077" s="4">
        <f>IFERROR(__xludf.DUMMYFUNCTION("""COMPUTED_VALUE"""),12.939774)</f>
        <v>12.939774</v>
      </c>
      <c r="E24077" s="4">
        <f>IFERROR(__xludf.DUMMYFUNCTION("""COMPUTED_VALUE"""),80.130411)</f>
        <v>80.130411</v>
      </c>
      <c r="F24077" s="4">
        <f>IFERROR(__xludf.DUMMYFUNCTION("""COMPUTED_VALUE"""),5339.0)</f>
        <v>5339</v>
      </c>
      <c r="G24077" s="4">
        <f>IFERROR(__xludf.DUMMYFUNCTION("""COMPUTED_VALUE"""),40.0)</f>
        <v>40</v>
      </c>
      <c r="H24077" s="4"/>
      <c r="I24077" s="4"/>
    </row>
    <row r="24078">
      <c r="A24078" s="4" t="str">
        <f>IFERROR(__xludf.DUMMYFUNCTION("""COMPUTED_VALUE"""),"cas_hmw")</f>
        <v>cas_hmw</v>
      </c>
      <c r="B24078" s="5">
        <f>IFERROR(__xludf.DUMMYFUNCTION("""COMPUTED_VALUE"""),44798.0)</f>
        <v>44798</v>
      </c>
      <c r="C24078" s="6">
        <f>IFERROR(__xludf.DUMMYFUNCTION("""COMPUTED_VALUE"""),0.33810185185211594)</f>
        <v>0.3381018519</v>
      </c>
      <c r="D24078" s="4">
        <f>IFERROR(__xludf.DUMMYFUNCTION("""COMPUTED_VALUE"""),12.938985)</f>
        <v>12.938985</v>
      </c>
      <c r="E24078" s="4">
        <f>IFERROR(__xludf.DUMMYFUNCTION("""COMPUTED_VALUE"""),80.12968)</f>
        <v>80.12968</v>
      </c>
      <c r="F24078" s="4">
        <f>IFERROR(__xludf.DUMMYFUNCTION("""COMPUTED_VALUE"""),5339.0)</f>
        <v>5339</v>
      </c>
      <c r="G24078" s="4">
        <f>IFERROR(__xludf.DUMMYFUNCTION("""COMPUTED_VALUE"""),42.0)</f>
        <v>42</v>
      </c>
      <c r="H24078" s="4"/>
      <c r="I24078" s="4"/>
    </row>
    <row r="24079">
      <c r="A24079" s="4" t="str">
        <f>IFERROR(__xludf.DUMMYFUNCTION("""COMPUTED_VALUE"""),"cas_hmw")</f>
        <v>cas_hmw</v>
      </c>
      <c r="B24079" s="5">
        <f>IFERROR(__xludf.DUMMYFUNCTION("""COMPUTED_VALUE"""),44798.0)</f>
        <v>44798</v>
      </c>
      <c r="C24079" s="6">
        <f>IFERROR(__xludf.DUMMYFUNCTION("""COMPUTED_VALUE"""),0.3381597222214623)</f>
        <v>0.3381597222</v>
      </c>
      <c r="D24079" s="4">
        <f>IFERROR(__xludf.DUMMYFUNCTION("""COMPUTED_VALUE"""),12.938119)</f>
        <v>12.938119</v>
      </c>
      <c r="E24079" s="4">
        <f>IFERROR(__xludf.DUMMYFUNCTION("""COMPUTED_VALUE"""),80.128941)</f>
        <v>80.128941</v>
      </c>
      <c r="F24079" s="4">
        <f>IFERROR(__xludf.DUMMYFUNCTION("""COMPUTED_VALUE"""),5339.0)</f>
        <v>5339</v>
      </c>
      <c r="G24079" s="4">
        <f>IFERROR(__xludf.DUMMYFUNCTION("""COMPUTED_VALUE"""),44.0)</f>
        <v>44</v>
      </c>
      <c r="H24079" s="4"/>
      <c r="I24079" s="4"/>
    </row>
    <row r="24080">
      <c r="A24080" s="4" t="str">
        <f>IFERROR(__xludf.DUMMYFUNCTION("""COMPUTED_VALUE"""),"cas_hmw")</f>
        <v>cas_hmw</v>
      </c>
      <c r="B24080" s="5">
        <f>IFERROR(__xludf.DUMMYFUNCTION("""COMPUTED_VALUE"""),44798.0)</f>
        <v>44798</v>
      </c>
      <c r="C24080" s="6">
        <f>IFERROR(__xludf.DUMMYFUNCTION("""COMPUTED_VALUE"""),0.33868055555649335)</f>
        <v>0.3386805556</v>
      </c>
      <c r="D24080" s="4">
        <f>IFERROR(__xludf.DUMMYFUNCTION("""COMPUTED_VALUE"""),12.935006)</f>
        <v>12.935006</v>
      </c>
      <c r="E24080" s="4">
        <f>IFERROR(__xludf.DUMMYFUNCTION("""COMPUTED_VALUE"""),80.126209)</f>
        <v>80.126209</v>
      </c>
      <c r="F24080" s="4">
        <f>IFERROR(__xludf.DUMMYFUNCTION("""COMPUTED_VALUE"""),5339.0)</f>
        <v>5339</v>
      </c>
      <c r="G24080" s="4">
        <f>IFERROR(__xludf.DUMMYFUNCTION("""COMPUTED_VALUE"""),44.0)</f>
        <v>44</v>
      </c>
      <c r="H24080" s="4"/>
      <c r="I24080" s="4"/>
    </row>
    <row r="24081">
      <c r="A24081" s="4" t="str">
        <f>IFERROR(__xludf.DUMMYFUNCTION("""COMPUTED_VALUE"""),"cas_hmw")</f>
        <v>cas_hmw</v>
      </c>
      <c r="B24081" s="5">
        <f>IFERROR(__xludf.DUMMYFUNCTION("""COMPUTED_VALUE"""),44798.0)</f>
        <v>44798</v>
      </c>
      <c r="C24081" s="6">
        <f>IFERROR(__xludf.DUMMYFUNCTION("""COMPUTED_VALUE"""),0.3393055555570754)</f>
        <v>0.3393055556</v>
      </c>
      <c r="D24081" s="4">
        <f>IFERROR(__xludf.DUMMYFUNCTION("""COMPUTED_VALUE"""),12.931292)</f>
        <v>12.931292</v>
      </c>
      <c r="E24081" s="4">
        <f>IFERROR(__xludf.DUMMYFUNCTION("""COMPUTED_VALUE"""),80.122601)</f>
        <v>80.122601</v>
      </c>
      <c r="F24081" s="4">
        <f>IFERROR(__xludf.DUMMYFUNCTION("""COMPUTED_VALUE"""),5339.0)</f>
        <v>5339</v>
      </c>
      <c r="G24081" s="4">
        <f>IFERROR(__xludf.DUMMYFUNCTION("""COMPUTED_VALUE"""),24.0)</f>
        <v>24</v>
      </c>
      <c r="H24081" s="4"/>
      <c r="I24081" s="4"/>
    </row>
    <row r="24082">
      <c r="A24082" s="4" t="str">
        <f>IFERROR(__xludf.DUMMYFUNCTION("""COMPUTED_VALUE"""),"cas_hmw")</f>
        <v>cas_hmw</v>
      </c>
      <c r="B24082" s="5">
        <f>IFERROR(__xludf.DUMMYFUNCTION("""COMPUTED_VALUE"""),44798.0)</f>
        <v>44798</v>
      </c>
      <c r="C24082" s="6">
        <f>IFERROR(__xludf.DUMMYFUNCTION("""COMPUTED_VALUE"""),0.3398495370383898)</f>
        <v>0.339849537</v>
      </c>
      <c r="D24082" s="4">
        <f>IFERROR(__xludf.DUMMYFUNCTION("""COMPUTED_VALUE"""),12.927528)</f>
        <v>12.927528</v>
      </c>
      <c r="E24082" s="4">
        <f>IFERROR(__xludf.DUMMYFUNCTION("""COMPUTED_VALUE"""),80.118748)</f>
        <v>80.118748</v>
      </c>
      <c r="F24082" s="4">
        <f>IFERROR(__xludf.DUMMYFUNCTION("""COMPUTED_VALUE"""),5339.0)</f>
        <v>5339</v>
      </c>
      <c r="G24082" s="4">
        <f>IFERROR(__xludf.DUMMYFUNCTION("""COMPUTED_VALUE"""),48.0)</f>
        <v>48</v>
      </c>
      <c r="H24082" s="4"/>
      <c r="I24082" s="4"/>
    </row>
    <row r="24083">
      <c r="A24083" s="4" t="str">
        <f>IFERROR(__xludf.DUMMYFUNCTION("""COMPUTED_VALUE"""),"cas_hmw")</f>
        <v>cas_hmw</v>
      </c>
      <c r="B24083" s="5">
        <f>IFERROR(__xludf.DUMMYFUNCTION("""COMPUTED_VALUE"""),44798.0)</f>
        <v>44798</v>
      </c>
      <c r="C24083" s="6">
        <f>IFERROR(__xludf.DUMMYFUNCTION("""COMPUTED_VALUE"""),0.3420717592598521)</f>
        <v>0.3420717593</v>
      </c>
      <c r="D24083" s="4">
        <f>IFERROR(__xludf.DUMMYFUNCTION("""COMPUTED_VALUE"""),12.917098)</f>
        <v>12.917098</v>
      </c>
      <c r="E24083" s="4">
        <f>IFERROR(__xludf.DUMMYFUNCTION("""COMPUTED_VALUE"""),80.107442)</f>
        <v>80.107442</v>
      </c>
      <c r="F24083" s="4">
        <f>IFERROR(__xludf.DUMMYFUNCTION("""COMPUTED_VALUE"""),5339.0)</f>
        <v>5339</v>
      </c>
      <c r="G24083" s="4">
        <f>IFERROR(__xludf.DUMMYFUNCTION("""COMPUTED_VALUE"""),0.0)</f>
        <v>0</v>
      </c>
      <c r="H24083" s="4"/>
      <c r="I24083" s="4"/>
    </row>
    <row r="24084">
      <c r="A24084" s="4" t="str">
        <f>IFERROR(__xludf.DUMMYFUNCTION("""COMPUTED_VALUE"""),"cas_hmw")</f>
        <v>cas_hmw</v>
      </c>
      <c r="B24084" s="5">
        <f>IFERROR(__xludf.DUMMYFUNCTION("""COMPUTED_VALUE"""),44798.0)</f>
        <v>44798</v>
      </c>
      <c r="C24084" s="6">
        <f>IFERROR(__xludf.DUMMYFUNCTION("""COMPUTED_VALUE"""),0.34209490740613546)</f>
        <v>0.3420949074</v>
      </c>
      <c r="D24084" s="4">
        <f>IFERROR(__xludf.DUMMYFUNCTION("""COMPUTED_VALUE"""),12.917098)</f>
        <v>12.917098</v>
      </c>
      <c r="E24084" s="4">
        <f>IFERROR(__xludf.DUMMYFUNCTION("""COMPUTED_VALUE"""),80.107442)</f>
        <v>80.107442</v>
      </c>
      <c r="F24084" s="4">
        <f>IFERROR(__xludf.DUMMYFUNCTION("""COMPUTED_VALUE"""),5339.0)</f>
        <v>5339</v>
      </c>
      <c r="G24084" s="4">
        <f>IFERROR(__xludf.DUMMYFUNCTION("""COMPUTED_VALUE"""),0.0)</f>
        <v>0</v>
      </c>
      <c r="H24084" s="4"/>
      <c r="I24084" s="4"/>
    </row>
    <row r="24085">
      <c r="A24085" s="4" t="str">
        <f>IFERROR(__xludf.DUMMYFUNCTION("""COMPUTED_VALUE"""),"cas_hmw")</f>
        <v>cas_hmw</v>
      </c>
      <c r="B24085" s="5">
        <f>IFERROR(__xludf.DUMMYFUNCTION("""COMPUTED_VALUE"""),44798.0)</f>
        <v>44798</v>
      </c>
      <c r="C24085" s="6">
        <f>IFERROR(__xludf.DUMMYFUNCTION("""COMPUTED_VALUE"""),0.3450115740743058)</f>
        <v>0.3450115741</v>
      </c>
      <c r="D24085" s="4">
        <f>IFERROR(__xludf.DUMMYFUNCTION("""COMPUTED_VALUE"""),12.905336)</f>
        <v>12.905336</v>
      </c>
      <c r="E24085" s="4">
        <f>IFERROR(__xludf.DUMMYFUNCTION("""COMPUTED_VALUE"""),80.095699)</f>
        <v>80.095699</v>
      </c>
      <c r="F24085" s="4">
        <f>IFERROR(__xludf.DUMMYFUNCTION("""COMPUTED_VALUE"""),5339.0)</f>
        <v>5339</v>
      </c>
      <c r="G24085" s="4">
        <f>IFERROR(__xludf.DUMMYFUNCTION("""COMPUTED_VALUE"""),0.0)</f>
        <v>0</v>
      </c>
      <c r="H24085" s="4"/>
      <c r="I24085" s="4"/>
    </row>
    <row r="24086">
      <c r="A24086" s="4" t="str">
        <f>IFERROR(__xludf.DUMMYFUNCTION("""COMPUTED_VALUE"""),"cas_hmw")</f>
        <v>cas_hmw</v>
      </c>
      <c r="B24086" s="5">
        <f>IFERROR(__xludf.DUMMYFUNCTION("""COMPUTED_VALUE"""),44798.0)</f>
        <v>44798</v>
      </c>
      <c r="C24086" s="6">
        <f>IFERROR(__xludf.DUMMYFUNCTION("""COMPUTED_VALUE"""),0.3450115740743058)</f>
        <v>0.3450115741</v>
      </c>
      <c r="D24086" s="4">
        <f>IFERROR(__xludf.DUMMYFUNCTION("""COMPUTED_VALUE"""),12.905336)</f>
        <v>12.905336</v>
      </c>
      <c r="E24086" s="4">
        <f>IFERROR(__xludf.DUMMYFUNCTION("""COMPUTED_VALUE"""),80.095699)</f>
        <v>80.095699</v>
      </c>
      <c r="F24086" s="4">
        <f>IFERROR(__xludf.DUMMYFUNCTION("""COMPUTED_VALUE"""),5339.0)</f>
        <v>5339</v>
      </c>
      <c r="G24086" s="4">
        <f>IFERROR(__xludf.DUMMYFUNCTION("""COMPUTED_VALUE"""),0.0)</f>
        <v>0</v>
      </c>
      <c r="H24086" s="4"/>
      <c r="I24086" s="4"/>
    </row>
    <row r="24087">
      <c r="A24087" s="4" t="str">
        <f>IFERROR(__xludf.DUMMYFUNCTION("""COMPUTED_VALUE"""),"cas_hmw")</f>
        <v>cas_hmw</v>
      </c>
      <c r="B24087" s="5">
        <f>IFERROR(__xludf.DUMMYFUNCTION("""COMPUTED_VALUE"""),44798.0)</f>
        <v>44798</v>
      </c>
      <c r="C24087" s="6">
        <f>IFERROR(__xludf.DUMMYFUNCTION("""COMPUTED_VALUE"""),0.3450231481474475)</f>
        <v>0.3450231481</v>
      </c>
      <c r="D24087" s="4">
        <f>IFERROR(__xludf.DUMMYFUNCTION("""COMPUTED_VALUE"""),12.905336)</f>
        <v>12.905336</v>
      </c>
      <c r="E24087" s="4">
        <f>IFERROR(__xludf.DUMMYFUNCTION("""COMPUTED_VALUE"""),80.095699)</f>
        <v>80.095699</v>
      </c>
      <c r="F24087" s="4">
        <f>IFERROR(__xludf.DUMMYFUNCTION("""COMPUTED_VALUE"""),5339.0)</f>
        <v>5339</v>
      </c>
      <c r="G24087" s="4">
        <f>IFERROR(__xludf.DUMMYFUNCTION("""COMPUTED_VALUE"""),0.0)</f>
        <v>0</v>
      </c>
      <c r="H24087" s="4"/>
      <c r="I24087" s="4"/>
    </row>
    <row r="24088">
      <c r="A24088" s="4" t="str">
        <f>IFERROR(__xludf.DUMMYFUNCTION("""COMPUTED_VALUE"""),"cas_hmw")</f>
        <v>cas_hmw</v>
      </c>
      <c r="B24088" s="5">
        <f>IFERROR(__xludf.DUMMYFUNCTION("""COMPUTED_VALUE"""),44798.0)</f>
        <v>44798</v>
      </c>
      <c r="C24088" s="6">
        <f>IFERROR(__xludf.DUMMYFUNCTION("""COMPUTED_VALUE"""),0.3450231481474475)</f>
        <v>0.3450231481</v>
      </c>
      <c r="D24088" s="4">
        <f>IFERROR(__xludf.DUMMYFUNCTION("""COMPUTED_VALUE"""),12.905336)</f>
        <v>12.905336</v>
      </c>
      <c r="E24088" s="4">
        <f>IFERROR(__xludf.DUMMYFUNCTION("""COMPUTED_VALUE"""),80.095699)</f>
        <v>80.095699</v>
      </c>
      <c r="F24088" s="4">
        <f>IFERROR(__xludf.DUMMYFUNCTION("""COMPUTED_VALUE"""),5339.0)</f>
        <v>5339</v>
      </c>
      <c r="G24088" s="4">
        <f>IFERROR(__xludf.DUMMYFUNCTION("""COMPUTED_VALUE"""),0.0)</f>
        <v>0</v>
      </c>
      <c r="H24088" s="4"/>
      <c r="I24088" s="4"/>
    </row>
    <row r="24089">
      <c r="A24089" s="4" t="str">
        <f>IFERROR(__xludf.DUMMYFUNCTION("""COMPUTED_VALUE"""),"cas_hmw")</f>
        <v>cas_hmw</v>
      </c>
      <c r="B24089" s="5">
        <f>IFERROR(__xludf.DUMMYFUNCTION("""COMPUTED_VALUE"""),44798.0)</f>
        <v>44798</v>
      </c>
      <c r="C24089" s="6">
        <f>IFERROR(__xludf.DUMMYFUNCTION("""COMPUTED_VALUE"""),0.3450347222205892)</f>
        <v>0.3450347222</v>
      </c>
      <c r="D24089" s="4">
        <f>IFERROR(__xludf.DUMMYFUNCTION("""COMPUTED_VALUE"""),12.905336)</f>
        <v>12.905336</v>
      </c>
      <c r="E24089" s="4">
        <f>IFERROR(__xludf.DUMMYFUNCTION("""COMPUTED_VALUE"""),80.095699)</f>
        <v>80.095699</v>
      </c>
      <c r="F24089" s="4">
        <f>IFERROR(__xludf.DUMMYFUNCTION("""COMPUTED_VALUE"""),5339.0)</f>
        <v>5339</v>
      </c>
      <c r="G24089" s="4">
        <f>IFERROR(__xludf.DUMMYFUNCTION("""COMPUTED_VALUE"""),0.0)</f>
        <v>0</v>
      </c>
      <c r="H24089" s="4"/>
      <c r="I24089" s="4"/>
    </row>
    <row r="24090">
      <c r="A24090" s="4" t="str">
        <f>IFERROR(__xludf.DUMMYFUNCTION("""COMPUTED_VALUE"""),"cas_hmw")</f>
        <v>cas_hmw</v>
      </c>
      <c r="B24090" s="5">
        <f>IFERROR(__xludf.DUMMYFUNCTION("""COMPUTED_VALUE"""),44798.0)</f>
        <v>44798</v>
      </c>
      <c r="C24090" s="6">
        <f>IFERROR(__xludf.DUMMYFUNCTION("""COMPUTED_VALUE"""),0.34521990740904585)</f>
        <v>0.3452199074</v>
      </c>
      <c r="D24090" s="4">
        <f>IFERROR(__xludf.DUMMYFUNCTION("""COMPUTED_VALUE"""),12.904184)</f>
        <v>12.904184</v>
      </c>
      <c r="E24090" s="4">
        <f>IFERROR(__xludf.DUMMYFUNCTION("""COMPUTED_VALUE"""),80.094851)</f>
        <v>80.094851</v>
      </c>
      <c r="F24090" s="4">
        <f>IFERROR(__xludf.DUMMYFUNCTION("""COMPUTED_VALUE"""),5339.0)</f>
        <v>5339</v>
      </c>
      <c r="G24090" s="4">
        <f>IFERROR(__xludf.DUMMYFUNCTION("""COMPUTED_VALUE"""),34.0)</f>
        <v>34</v>
      </c>
      <c r="H24090" s="4"/>
      <c r="I24090" s="4"/>
    </row>
    <row r="24091">
      <c r="A24091" s="4" t="str">
        <f>IFERROR(__xludf.DUMMYFUNCTION("""COMPUTED_VALUE"""),"cas_hmw")</f>
        <v>cas_hmw</v>
      </c>
      <c r="B24091" s="5">
        <f>IFERROR(__xludf.DUMMYFUNCTION("""COMPUTED_VALUE"""),44798.0)</f>
        <v>44798</v>
      </c>
      <c r="C24091" s="6">
        <f>IFERROR(__xludf.DUMMYFUNCTION("""COMPUTED_VALUE"""),0.34530092592467554)</f>
        <v>0.3453009259</v>
      </c>
      <c r="D24091" s="4">
        <f>IFERROR(__xludf.DUMMYFUNCTION("""COMPUTED_VALUE"""),12.903488)</f>
        <v>12.903488</v>
      </c>
      <c r="E24091" s="4">
        <f>IFERROR(__xludf.DUMMYFUNCTION("""COMPUTED_VALUE"""),80.094247)</f>
        <v>80.094247</v>
      </c>
      <c r="F24091" s="4">
        <f>IFERROR(__xludf.DUMMYFUNCTION("""COMPUTED_VALUE"""),5339.0)</f>
        <v>5339</v>
      </c>
      <c r="G24091" s="4">
        <f>IFERROR(__xludf.DUMMYFUNCTION("""COMPUTED_VALUE"""),37.0)</f>
        <v>37</v>
      </c>
      <c r="H24091" s="4"/>
      <c r="I24091" s="4"/>
    </row>
    <row r="24092">
      <c r="A24092" s="4" t="str">
        <f>IFERROR(__xludf.DUMMYFUNCTION("""COMPUTED_VALUE"""),"cas_hmw")</f>
        <v>cas_hmw</v>
      </c>
      <c r="B24092" s="5">
        <f>IFERROR(__xludf.DUMMYFUNCTION("""COMPUTED_VALUE"""),44798.0)</f>
        <v>44798</v>
      </c>
      <c r="C24092" s="6">
        <f>IFERROR(__xludf.DUMMYFUNCTION("""COMPUTED_VALUE"""),0.3457523148135806)</f>
        <v>0.3457523148</v>
      </c>
      <c r="D24092" s="4">
        <f>IFERROR(__xludf.DUMMYFUNCTION("""COMPUTED_VALUE"""),12.899414)</f>
        <v>12.899414</v>
      </c>
      <c r="E24092" s="4">
        <f>IFERROR(__xludf.DUMMYFUNCTION("""COMPUTED_VALUE"""),80.091084)</f>
        <v>80.091084</v>
      </c>
      <c r="F24092" s="4">
        <f>IFERROR(__xludf.DUMMYFUNCTION("""COMPUTED_VALUE"""),5339.0)</f>
        <v>5339</v>
      </c>
      <c r="G24092" s="4">
        <f>IFERROR(__xludf.DUMMYFUNCTION("""COMPUTED_VALUE"""),40.0)</f>
        <v>40</v>
      </c>
      <c r="H24092" s="4"/>
      <c r="I24092" s="4"/>
    </row>
    <row r="24093">
      <c r="A24093" s="4" t="str">
        <f>IFERROR(__xludf.DUMMYFUNCTION("""COMPUTED_VALUE"""),"cas_hmw")</f>
        <v>cas_hmw</v>
      </c>
      <c r="B24093" s="5">
        <f>IFERROR(__xludf.DUMMYFUNCTION("""COMPUTED_VALUE"""),44798.0)</f>
        <v>44798</v>
      </c>
      <c r="C24093" s="6">
        <f>IFERROR(__xludf.DUMMYFUNCTION("""COMPUTED_VALUE"""),0.3475694444459805)</f>
        <v>0.3475694444</v>
      </c>
      <c r="D24093" s="4">
        <f>IFERROR(__xludf.DUMMYFUNCTION("""COMPUTED_VALUE"""),12.897265)</f>
        <v>12.897265</v>
      </c>
      <c r="E24093" s="4">
        <f>IFERROR(__xludf.DUMMYFUNCTION("""COMPUTED_VALUE"""),80.08944)</f>
        <v>80.08944</v>
      </c>
      <c r="F24093" s="4">
        <f>IFERROR(__xludf.DUMMYFUNCTION("""COMPUTED_VALUE"""),5339.0)</f>
        <v>5339</v>
      </c>
      <c r="G24093" s="4">
        <f>IFERROR(__xludf.DUMMYFUNCTION("""COMPUTED_VALUE"""),18.0)</f>
        <v>18</v>
      </c>
      <c r="H24093" s="4"/>
      <c r="I24093" s="4"/>
    </row>
    <row r="24094">
      <c r="A24094" s="4" t="str">
        <f>IFERROR(__xludf.DUMMYFUNCTION("""COMPUTED_VALUE"""),"cas_hmw")</f>
        <v>cas_hmw</v>
      </c>
      <c r="B24094" s="5">
        <f>IFERROR(__xludf.DUMMYFUNCTION("""COMPUTED_VALUE"""),44798.0)</f>
        <v>44798</v>
      </c>
      <c r="C24094" s="6">
        <f>IFERROR(__xludf.DUMMYFUNCTION("""COMPUTED_VALUE"""),0.3477083333345945)</f>
        <v>0.3477083333</v>
      </c>
      <c r="D24094" s="4">
        <f>IFERROR(__xludf.DUMMYFUNCTION("""COMPUTED_VALUE"""),12.922615)</f>
        <v>12.922615</v>
      </c>
      <c r="E24094" s="4">
        <f>IFERROR(__xludf.DUMMYFUNCTION("""COMPUTED_VALUE"""),80.150109)</f>
        <v>80.150109</v>
      </c>
      <c r="F24094" s="4">
        <f>IFERROR(__xludf.DUMMYFUNCTION("""COMPUTED_VALUE"""),3143.0)</f>
        <v>3143</v>
      </c>
      <c r="G24094" s="4">
        <f>IFERROR(__xludf.DUMMYFUNCTION("""COMPUTED_VALUE"""),50.0)</f>
        <v>50</v>
      </c>
      <c r="H24094" s="4"/>
      <c r="I24094" s="4"/>
    </row>
    <row r="24095">
      <c r="A24095" s="4" t="str">
        <f>IFERROR(__xludf.DUMMYFUNCTION("""COMPUTED_VALUE"""),"cas_hmw")</f>
        <v>cas_hmw</v>
      </c>
      <c r="B24095" s="5">
        <f>IFERROR(__xludf.DUMMYFUNCTION("""COMPUTED_VALUE"""),44798.0)</f>
        <v>44798</v>
      </c>
      <c r="C24095" s="6">
        <f>IFERROR(__xludf.DUMMYFUNCTION("""COMPUTED_VALUE"""),0.3477777777770825)</f>
        <v>0.3477777778</v>
      </c>
      <c r="D24095" s="4">
        <f>IFERROR(__xludf.DUMMYFUNCTION("""COMPUTED_VALUE"""),12.922615)</f>
        <v>12.922615</v>
      </c>
      <c r="E24095" s="4">
        <f>IFERROR(__xludf.DUMMYFUNCTION("""COMPUTED_VALUE"""),80.150109)</f>
        <v>80.150109</v>
      </c>
      <c r="F24095" s="4">
        <f>IFERROR(__xludf.DUMMYFUNCTION("""COMPUTED_VALUE"""),3143.0)</f>
        <v>3143</v>
      </c>
      <c r="G24095" s="4">
        <f>IFERROR(__xludf.DUMMYFUNCTION("""COMPUTED_VALUE"""),50.0)</f>
        <v>50</v>
      </c>
      <c r="H24095" s="4"/>
      <c r="I24095" s="4"/>
    </row>
    <row r="24096">
      <c r="A24096" s="4" t="str">
        <f>IFERROR(__xludf.DUMMYFUNCTION("""COMPUTED_VALUE"""),"cas_hmw")</f>
        <v>cas_hmw</v>
      </c>
      <c r="B24096" s="5">
        <f>IFERROR(__xludf.DUMMYFUNCTION("""COMPUTED_VALUE"""),44798.0)</f>
        <v>44798</v>
      </c>
      <c r="C24096" s="6">
        <f>IFERROR(__xludf.DUMMYFUNCTION("""COMPUTED_VALUE"""),0.3481481481467199)</f>
        <v>0.3481481481</v>
      </c>
      <c r="D24096" s="4">
        <f>IFERROR(__xludf.DUMMYFUNCTION("""COMPUTED_VALUE"""),12.892941)</f>
        <v>12.892941</v>
      </c>
      <c r="E24096" s="4">
        <f>IFERROR(__xludf.DUMMYFUNCTION("""COMPUTED_VALUE"""),80.086201)</f>
        <v>80.086201</v>
      </c>
      <c r="F24096" s="4">
        <f>IFERROR(__xludf.DUMMYFUNCTION("""COMPUTED_VALUE"""),5339.0)</f>
        <v>5339</v>
      </c>
      <c r="G24096" s="4">
        <f>IFERROR(__xludf.DUMMYFUNCTION("""COMPUTED_VALUE"""),56.0)</f>
        <v>56</v>
      </c>
      <c r="H24096" s="4"/>
      <c r="I24096" s="4"/>
    </row>
    <row r="24097">
      <c r="A24097" s="4" t="str">
        <f>IFERROR(__xludf.DUMMYFUNCTION("""COMPUTED_VALUE"""),"cas_hmw")</f>
        <v>cas_hmw</v>
      </c>
      <c r="B24097" s="5">
        <f>IFERROR(__xludf.DUMMYFUNCTION("""COMPUTED_VALUE"""),44798.0)</f>
        <v>44798</v>
      </c>
      <c r="C24097" s="6">
        <f>IFERROR(__xludf.DUMMYFUNCTION("""COMPUTED_VALUE"""),0.3485416666662786)</f>
        <v>0.3485416667</v>
      </c>
      <c r="D24097" s="4">
        <f>IFERROR(__xludf.DUMMYFUNCTION("""COMPUTED_VALUE"""),12.888468)</f>
        <v>12.888468</v>
      </c>
      <c r="E24097" s="4">
        <f>IFERROR(__xludf.DUMMYFUNCTION("""COMPUTED_VALUE"""),80.083994)</f>
        <v>80.083994</v>
      </c>
      <c r="F24097" s="4">
        <f>IFERROR(__xludf.DUMMYFUNCTION("""COMPUTED_VALUE"""),5339.0)</f>
        <v>5339</v>
      </c>
      <c r="G24097" s="4">
        <f>IFERROR(__xludf.DUMMYFUNCTION("""COMPUTED_VALUE"""),47.0)</f>
        <v>47</v>
      </c>
      <c r="H24097" s="4"/>
      <c r="I24097" s="4"/>
    </row>
    <row r="24098">
      <c r="A24098" s="4" t="str">
        <f>IFERROR(__xludf.DUMMYFUNCTION("""COMPUTED_VALUE"""),"cas_hmw")</f>
        <v>cas_hmw</v>
      </c>
      <c r="B24098" s="5">
        <f>IFERROR(__xludf.DUMMYFUNCTION("""COMPUTED_VALUE"""),44798.0)</f>
        <v>44798</v>
      </c>
      <c r="C24098" s="6">
        <f>IFERROR(__xludf.DUMMYFUNCTION("""COMPUTED_VALUE"""),0.3486111111124046)</f>
        <v>0.3486111111</v>
      </c>
      <c r="D24098" s="4">
        <f>IFERROR(__xludf.DUMMYFUNCTION("""COMPUTED_VALUE"""),12.888468)</f>
        <v>12.888468</v>
      </c>
      <c r="E24098" s="4">
        <f>IFERROR(__xludf.DUMMYFUNCTION("""COMPUTED_VALUE"""),80.083994)</f>
        <v>80.083994</v>
      </c>
      <c r="F24098" s="4">
        <f>IFERROR(__xludf.DUMMYFUNCTION("""COMPUTED_VALUE"""),5339.0)</f>
        <v>5339</v>
      </c>
      <c r="G24098" s="4">
        <f>IFERROR(__xludf.DUMMYFUNCTION("""COMPUTED_VALUE"""),47.0)</f>
        <v>47</v>
      </c>
      <c r="H24098" s="4"/>
      <c r="I24098" s="4"/>
    </row>
    <row r="24099">
      <c r="A24099" s="4" t="str">
        <f>IFERROR(__xludf.DUMMYFUNCTION("""COMPUTED_VALUE"""),"cas_hmw")</f>
        <v>cas_hmw</v>
      </c>
      <c r="B24099" s="5">
        <f>IFERROR(__xludf.DUMMYFUNCTION("""COMPUTED_VALUE"""),44798.0)</f>
        <v>44798</v>
      </c>
      <c r="C24099" s="6">
        <f>IFERROR(__xludf.DUMMYFUNCTION("""COMPUTED_VALUE"""),0.3497453703712381)</f>
        <v>0.3497453704</v>
      </c>
      <c r="D24099" s="4">
        <f>IFERROR(__xludf.DUMMYFUNCTION("""COMPUTED_VALUE"""),12.922339)</f>
        <v>12.922339</v>
      </c>
      <c r="E24099" s="4">
        <f>IFERROR(__xludf.DUMMYFUNCTION("""COMPUTED_VALUE"""),80.140085)</f>
        <v>80.140085</v>
      </c>
      <c r="F24099" s="4">
        <f>IFERROR(__xludf.DUMMYFUNCTION("""COMPUTED_VALUE"""),3143.0)</f>
        <v>3143</v>
      </c>
      <c r="G24099" s="4">
        <f>IFERROR(__xludf.DUMMYFUNCTION("""COMPUTED_VALUE"""),26.0)</f>
        <v>26</v>
      </c>
      <c r="H24099" s="4"/>
      <c r="I24099" s="4"/>
    </row>
    <row r="24100">
      <c r="A24100" s="4" t="str">
        <f>IFERROR(__xludf.DUMMYFUNCTION("""COMPUTED_VALUE"""),"cas_hmw")</f>
        <v>cas_hmw</v>
      </c>
      <c r="B24100" s="5">
        <f>IFERROR(__xludf.DUMMYFUNCTION("""COMPUTED_VALUE"""),44798.0)</f>
        <v>44798</v>
      </c>
      <c r="C24100" s="6">
        <f>IFERROR(__xludf.DUMMYFUNCTION("""COMPUTED_VALUE"""),0.351423611111386)</f>
        <v>0.3514236111</v>
      </c>
      <c r="D24100" s="4">
        <f>IFERROR(__xludf.DUMMYFUNCTION("""COMPUTED_VALUE"""),12.922714)</f>
        <v>12.922714</v>
      </c>
      <c r="E24100" s="4">
        <f>IFERROR(__xludf.DUMMYFUNCTION("""COMPUTED_VALUE"""),80.131186)</f>
        <v>80.131186</v>
      </c>
      <c r="F24100" s="4">
        <f>IFERROR(__xludf.DUMMYFUNCTION("""COMPUTED_VALUE"""),3143.0)</f>
        <v>3143</v>
      </c>
      <c r="G24100" s="4">
        <f>IFERROR(__xludf.DUMMYFUNCTION("""COMPUTED_VALUE"""),43.0)</f>
        <v>43</v>
      </c>
      <c r="H24100" s="4"/>
      <c r="I24100" s="4"/>
    </row>
    <row r="24101">
      <c r="A24101" s="4" t="str">
        <f>IFERROR(__xludf.DUMMYFUNCTION("""COMPUTED_VALUE"""),"cas_hmw")</f>
        <v>cas_hmw</v>
      </c>
      <c r="B24101" s="5">
        <f>IFERROR(__xludf.DUMMYFUNCTION("""COMPUTED_VALUE"""),44798.0)</f>
        <v>44798</v>
      </c>
      <c r="C24101" s="6">
        <f>IFERROR(__xludf.DUMMYFUNCTION("""COMPUTED_VALUE"""),0.3553124999998545)</f>
        <v>0.3553125</v>
      </c>
      <c r="D24101" s="4">
        <f>IFERROR(__xludf.DUMMYFUNCTION("""COMPUTED_VALUE"""),12.91746)</f>
        <v>12.91746</v>
      </c>
      <c r="E24101" s="4">
        <f>IFERROR(__xludf.DUMMYFUNCTION("""COMPUTED_VALUE"""),80.107923)</f>
        <v>80.107923</v>
      </c>
      <c r="F24101" s="4">
        <f>IFERROR(__xludf.DUMMYFUNCTION("""COMPUTED_VALUE"""),3143.0)</f>
        <v>3143</v>
      </c>
      <c r="G24101" s="4">
        <f>IFERROR(__xludf.DUMMYFUNCTION("""COMPUTED_VALUE"""),48.0)</f>
        <v>48</v>
      </c>
      <c r="H24101" s="4"/>
      <c r="I24101" s="4"/>
    </row>
    <row r="24102">
      <c r="A24102" s="4" t="str">
        <f>IFERROR(__xludf.DUMMYFUNCTION("""COMPUTED_VALUE"""),"cas_hmw")</f>
        <v>cas_hmw</v>
      </c>
      <c r="B24102" s="5">
        <f>IFERROR(__xludf.DUMMYFUNCTION("""COMPUTED_VALUE"""),44798.0)</f>
        <v>44798</v>
      </c>
      <c r="C24102" s="6">
        <f>IFERROR(__xludf.DUMMYFUNCTION("""COMPUTED_VALUE"""),0.3556365740732872)</f>
        <v>0.3556365741</v>
      </c>
      <c r="D24102" s="4">
        <f>IFERROR(__xludf.DUMMYFUNCTION("""COMPUTED_VALUE"""),12.916011)</f>
        <v>12.916011</v>
      </c>
      <c r="E24102" s="4">
        <f>IFERROR(__xludf.DUMMYFUNCTION("""COMPUTED_VALUE"""),80.105368)</f>
        <v>80.105368</v>
      </c>
      <c r="F24102" s="4">
        <f>IFERROR(__xludf.DUMMYFUNCTION("""COMPUTED_VALUE"""),3143.0)</f>
        <v>3143</v>
      </c>
      <c r="G24102" s="4">
        <f>IFERROR(__xludf.DUMMYFUNCTION("""COMPUTED_VALUE"""),49.0)</f>
        <v>49</v>
      </c>
      <c r="H24102" s="4"/>
      <c r="I24102" s="4"/>
    </row>
    <row r="24103">
      <c r="A24103" s="4" t="str">
        <f>IFERROR(__xludf.DUMMYFUNCTION("""COMPUTED_VALUE"""),"cas_hmw")</f>
        <v>cas_hmw</v>
      </c>
      <c r="B24103" s="5">
        <f>IFERROR(__xludf.DUMMYFUNCTION("""COMPUTED_VALUE"""),44798.0)</f>
        <v>44798</v>
      </c>
      <c r="C24103" s="6">
        <f>IFERROR(__xludf.DUMMYFUNCTION("""COMPUTED_VALUE"""),0.35594907407357823)</f>
        <v>0.3559490741</v>
      </c>
      <c r="D24103" s="4">
        <f>IFERROR(__xludf.DUMMYFUNCTION("""COMPUTED_VALUE"""),12.913946)</f>
        <v>12.913946</v>
      </c>
      <c r="E24103" s="4">
        <f>IFERROR(__xludf.DUMMYFUNCTION("""COMPUTED_VALUE"""),80.101944)</f>
        <v>80.101944</v>
      </c>
      <c r="F24103" s="4">
        <f>IFERROR(__xludf.DUMMYFUNCTION("""COMPUTED_VALUE"""),3143.0)</f>
        <v>3143</v>
      </c>
      <c r="G24103" s="4">
        <f>IFERROR(__xludf.DUMMYFUNCTION("""COMPUTED_VALUE"""),47.0)</f>
        <v>47</v>
      </c>
      <c r="H24103" s="4"/>
      <c r="I24103" s="4"/>
    </row>
    <row r="24104">
      <c r="A24104" s="4" t="str">
        <f>IFERROR(__xludf.DUMMYFUNCTION("""COMPUTED_VALUE"""),"cas_hmw")</f>
        <v>cas_hmw</v>
      </c>
      <c r="B24104" s="5">
        <f>IFERROR(__xludf.DUMMYFUNCTION("""COMPUTED_VALUE"""),44798.0)</f>
        <v>44798</v>
      </c>
      <c r="C24104" s="6">
        <f>IFERROR(__xludf.DUMMYFUNCTION("""COMPUTED_VALUE"""),0.3582407407411665)</f>
        <v>0.3582407407</v>
      </c>
      <c r="D24104" s="4">
        <f>IFERROR(__xludf.DUMMYFUNCTION("""COMPUTED_VALUE"""),12.904835)</f>
        <v>12.904835</v>
      </c>
      <c r="E24104" s="4">
        <f>IFERROR(__xludf.DUMMYFUNCTION("""COMPUTED_VALUE"""),80.095344)</f>
        <v>80.095344</v>
      </c>
      <c r="F24104" s="4">
        <f>IFERROR(__xludf.DUMMYFUNCTION("""COMPUTED_VALUE"""),3143.0)</f>
        <v>3143</v>
      </c>
      <c r="G24104" s="4">
        <f>IFERROR(__xludf.DUMMYFUNCTION("""COMPUTED_VALUE"""),19.0)</f>
        <v>19</v>
      </c>
      <c r="H24104" s="4"/>
      <c r="I24104" s="4"/>
    </row>
    <row r="24105">
      <c r="A24105" s="4" t="str">
        <f>IFERROR(__xludf.DUMMYFUNCTION("""COMPUTED_VALUE"""),"cas_hmw")</f>
        <v>cas_hmw</v>
      </c>
      <c r="B24105" s="5">
        <f>IFERROR(__xludf.DUMMYFUNCTION("""COMPUTED_VALUE"""),44798.0)</f>
        <v>44798</v>
      </c>
      <c r="C24105" s="6">
        <f>IFERROR(__xludf.DUMMYFUNCTION("""COMPUTED_VALUE"""),0.3589699074072996)</f>
        <v>0.3589699074</v>
      </c>
      <c r="D24105" s="4">
        <f>IFERROR(__xludf.DUMMYFUNCTION("""COMPUTED_VALUE"""),12.89925)</f>
        <v>12.89925</v>
      </c>
      <c r="E24105" s="4">
        <f>IFERROR(__xludf.DUMMYFUNCTION("""COMPUTED_VALUE"""),80.091022)</f>
        <v>80.091022</v>
      </c>
      <c r="F24105" s="4">
        <f>IFERROR(__xludf.DUMMYFUNCTION("""COMPUTED_VALUE"""),3143.0)</f>
        <v>3143</v>
      </c>
      <c r="G24105" s="4">
        <f>IFERROR(__xludf.DUMMYFUNCTION("""COMPUTED_VALUE"""),57.0)</f>
        <v>57</v>
      </c>
      <c r="H24105" s="4"/>
      <c r="I24105" s="4"/>
    </row>
    <row r="24106">
      <c r="A24106" s="4" t="str">
        <f>IFERROR(__xludf.DUMMYFUNCTION("""COMPUTED_VALUE"""),"cas_hmw")</f>
        <v>cas_hmw</v>
      </c>
      <c r="B24106" s="5">
        <f>IFERROR(__xludf.DUMMYFUNCTION("""COMPUTED_VALUE"""),44798.0)</f>
        <v>44798</v>
      </c>
      <c r="C24106" s="6">
        <f>IFERROR(__xludf.DUMMYFUNCTION("""COMPUTED_VALUE"""),0.3601388888891961)</f>
        <v>0.3601388889</v>
      </c>
      <c r="D24106" s="4">
        <f>IFERROR(__xludf.DUMMYFUNCTION("""COMPUTED_VALUE"""),12.893526)</f>
        <v>12.893526</v>
      </c>
      <c r="E24106" s="4">
        <f>IFERROR(__xludf.DUMMYFUNCTION("""COMPUTED_VALUE"""),80.08667)</f>
        <v>80.08667</v>
      </c>
      <c r="F24106" s="4">
        <f>IFERROR(__xludf.DUMMYFUNCTION("""COMPUTED_VALUE"""),3143.0)</f>
        <v>3143</v>
      </c>
      <c r="G24106" s="4">
        <f>IFERROR(__xludf.DUMMYFUNCTION("""COMPUTED_VALUE"""),59.0)</f>
        <v>59</v>
      </c>
      <c r="H24106" s="4"/>
      <c r="I24106" s="4"/>
    </row>
    <row r="24107">
      <c r="A24107" s="4" t="str">
        <f>IFERROR(__xludf.DUMMYFUNCTION("""COMPUTED_VALUE"""),"cas_hmw")</f>
        <v>cas_hmw</v>
      </c>
      <c r="B24107" s="5">
        <f>IFERROR(__xludf.DUMMYFUNCTION("""COMPUTED_VALUE"""),44798.0)</f>
        <v>44798</v>
      </c>
      <c r="C24107" s="6">
        <f>IFERROR(__xludf.DUMMYFUNCTION("""COMPUTED_VALUE"""),0.36038194444336114)</f>
        <v>0.3603819444</v>
      </c>
      <c r="D24107" s="4">
        <f>IFERROR(__xludf.DUMMYFUNCTION("""COMPUTED_VALUE"""),12.891748)</f>
        <v>12.891748</v>
      </c>
      <c r="E24107" s="4">
        <f>IFERROR(__xludf.DUMMYFUNCTION("""COMPUTED_VALUE"""),80.085386)</f>
        <v>80.085386</v>
      </c>
      <c r="F24107" s="4">
        <f>IFERROR(__xludf.DUMMYFUNCTION("""COMPUTED_VALUE"""),3143.0)</f>
        <v>3143</v>
      </c>
      <c r="G24107" s="4">
        <f>IFERROR(__xludf.DUMMYFUNCTION("""COMPUTED_VALUE"""),40.0)</f>
        <v>40</v>
      </c>
      <c r="H24107" s="4"/>
      <c r="I24107" s="4"/>
    </row>
    <row r="24108">
      <c r="A24108" s="4" t="str">
        <f>IFERROR(__xludf.DUMMYFUNCTION("""COMPUTED_VALUE"""),"cas_hmw")</f>
        <v>cas_hmw</v>
      </c>
      <c r="B24108" s="5">
        <f>IFERROR(__xludf.DUMMYFUNCTION("""COMPUTED_VALUE"""),44798.0)</f>
        <v>44798</v>
      </c>
      <c r="C24108" s="6">
        <f>IFERROR(__xludf.DUMMYFUNCTION("""COMPUTED_VALUE"""),0.36266203703780775)</f>
        <v>0.362662037</v>
      </c>
      <c r="D24108" s="4">
        <f>IFERROR(__xludf.DUMMYFUNCTION("""COMPUTED_VALUE"""),12.8783)</f>
        <v>12.8783</v>
      </c>
      <c r="E24108" s="4">
        <f>IFERROR(__xludf.DUMMYFUNCTION("""COMPUTED_VALUE"""),80.082591)</f>
        <v>80.082591</v>
      </c>
      <c r="F24108" s="4">
        <f>IFERROR(__xludf.DUMMYFUNCTION("""COMPUTED_VALUE"""),3143.0)</f>
        <v>3143</v>
      </c>
      <c r="G24108" s="4">
        <f>IFERROR(__xludf.DUMMYFUNCTION("""COMPUTED_VALUE"""),37.0)</f>
        <v>37</v>
      </c>
      <c r="H24108" s="4"/>
      <c r="I24108" s="4"/>
    </row>
    <row r="24109">
      <c r="A24109" s="4" t="str">
        <f>IFERROR(__xludf.DUMMYFUNCTION("""COMPUTED_VALUE"""),"cas_hmw")</f>
        <v>cas_hmw</v>
      </c>
      <c r="B24109" s="5">
        <f>IFERROR(__xludf.DUMMYFUNCTION("""COMPUTED_VALUE"""),44798.0)</f>
        <v>44798</v>
      </c>
      <c r="C24109" s="6">
        <f>IFERROR(__xludf.DUMMYFUNCTION("""COMPUTED_VALUE"""),0.5500231481491937)</f>
        <v>0.5500231481</v>
      </c>
      <c r="D24109" s="4">
        <f>IFERROR(__xludf.DUMMYFUNCTION("""COMPUTED_VALUE"""),12.905725)</f>
        <v>12.905725</v>
      </c>
      <c r="E24109" s="4">
        <f>IFERROR(__xludf.DUMMYFUNCTION("""COMPUTED_VALUE"""),80.09564)</f>
        <v>80.09564</v>
      </c>
      <c r="F24109" s="4">
        <f>IFERROR(__xludf.DUMMYFUNCTION("""COMPUTED_VALUE"""),3143.0)</f>
        <v>3143</v>
      </c>
      <c r="G24109" s="4">
        <f>IFERROR(__xludf.DUMMYFUNCTION("""COMPUTED_VALUE"""),51.0)</f>
        <v>51</v>
      </c>
      <c r="H24109" s="4"/>
      <c r="I24109" s="4"/>
    </row>
    <row r="24110">
      <c r="A24110" s="4" t="str">
        <f>IFERROR(__xludf.DUMMYFUNCTION("""COMPUTED_VALUE"""),"cas_hmw")</f>
        <v>cas_hmw</v>
      </c>
      <c r="B24110" s="5">
        <f>IFERROR(__xludf.DUMMYFUNCTION("""COMPUTED_VALUE"""),44798.0)</f>
        <v>44798</v>
      </c>
      <c r="C24110" s="6">
        <f>IFERROR(__xludf.DUMMYFUNCTION("""COMPUTED_VALUE"""),0.5511689814811689)</f>
        <v>0.5511689815</v>
      </c>
      <c r="D24110" s="4">
        <f>IFERROR(__xludf.DUMMYFUNCTION("""COMPUTED_VALUE"""),12.914641)</f>
        <v>12.914641</v>
      </c>
      <c r="E24110" s="4">
        <f>IFERROR(__xludf.DUMMYFUNCTION("""COMPUTED_VALUE"""),80.101815)</f>
        <v>80.101815</v>
      </c>
      <c r="F24110" s="4">
        <f>IFERROR(__xludf.DUMMYFUNCTION("""COMPUTED_VALUE"""),3143.0)</f>
        <v>3143</v>
      </c>
      <c r="G24110" s="4">
        <f>IFERROR(__xludf.DUMMYFUNCTION("""COMPUTED_VALUE"""),59.0)</f>
        <v>59</v>
      </c>
      <c r="H24110" s="4"/>
      <c r="I24110" s="4"/>
    </row>
    <row r="24111">
      <c r="A24111" s="4" t="str">
        <f>IFERROR(__xludf.DUMMYFUNCTION("""COMPUTED_VALUE"""),"cas_hmw")</f>
        <v>cas_hmw</v>
      </c>
      <c r="B24111" s="5">
        <f>IFERROR(__xludf.DUMMYFUNCTION("""COMPUTED_VALUE"""),44798.0)</f>
        <v>44798</v>
      </c>
      <c r="C24111" s="6">
        <f>IFERROR(__xludf.DUMMYFUNCTION("""COMPUTED_VALUE"""),0.5559259259243845)</f>
        <v>0.5559259259</v>
      </c>
      <c r="D24111" s="4">
        <f>IFERROR(__xludf.DUMMYFUNCTION("""COMPUTED_VALUE"""),12.922787)</f>
        <v>12.922787</v>
      </c>
      <c r="E24111" s="4">
        <f>IFERROR(__xludf.DUMMYFUNCTION("""COMPUTED_VALUE"""),80.1328)</f>
        <v>80.1328</v>
      </c>
      <c r="F24111" s="4">
        <f>IFERROR(__xludf.DUMMYFUNCTION("""COMPUTED_VALUE"""),3143.0)</f>
        <v>3143</v>
      </c>
      <c r="G24111" s="4">
        <f>IFERROR(__xludf.DUMMYFUNCTION("""COMPUTED_VALUE"""),10.0)</f>
        <v>10</v>
      </c>
      <c r="H24111" s="4"/>
      <c r="I24111" s="4"/>
    </row>
    <row r="24112">
      <c r="A24112" s="4" t="str">
        <f>IFERROR(__xludf.DUMMYFUNCTION("""COMPUTED_VALUE"""),"cas_hmw")</f>
        <v>cas_hmw</v>
      </c>
      <c r="B24112" s="5">
        <f>IFERROR(__xludf.DUMMYFUNCTION("""COMPUTED_VALUE"""),44798.0)</f>
        <v>44798</v>
      </c>
      <c r="C24112" s="6">
        <f>IFERROR(__xludf.DUMMYFUNCTION("""COMPUTED_VALUE"""),0.5611921296294895)</f>
        <v>0.5611921296</v>
      </c>
      <c r="D24112" s="4">
        <f>IFERROR(__xludf.DUMMYFUNCTION("""COMPUTED_VALUE"""),12.922604)</f>
        <v>12.922604</v>
      </c>
      <c r="E24112" s="4">
        <f>IFERROR(__xludf.DUMMYFUNCTION("""COMPUTED_VALUE"""),80.162558)</f>
        <v>80.162558</v>
      </c>
      <c r="F24112" s="4">
        <f>IFERROR(__xludf.DUMMYFUNCTION("""COMPUTED_VALUE"""),3143.0)</f>
        <v>3143</v>
      </c>
      <c r="G24112" s="4">
        <f>IFERROR(__xludf.DUMMYFUNCTION("""COMPUTED_VALUE"""),45.0)</f>
        <v>45</v>
      </c>
      <c r="H24112" s="4"/>
      <c r="I24112" s="4"/>
    </row>
    <row r="24113">
      <c r="A24113" s="4" t="str">
        <f>IFERROR(__xludf.DUMMYFUNCTION("""COMPUTED_VALUE"""),"cas_hmw")</f>
        <v>cas_hmw</v>
      </c>
      <c r="B24113" s="5">
        <f>IFERROR(__xludf.DUMMYFUNCTION("""COMPUTED_VALUE"""),44798.0)</f>
        <v>44798</v>
      </c>
      <c r="C24113" s="6">
        <f>IFERROR(__xludf.DUMMYFUNCTION("""COMPUTED_VALUE"""),0.562569444446126)</f>
        <v>0.5625694444</v>
      </c>
      <c r="D24113" s="4">
        <f>IFERROR(__xludf.DUMMYFUNCTION("""COMPUTED_VALUE"""),12.918958)</f>
        <v>12.918958</v>
      </c>
      <c r="E24113" s="4">
        <f>IFERROR(__xludf.DUMMYFUNCTION("""COMPUTED_VALUE"""),80.174392)</f>
        <v>80.174392</v>
      </c>
      <c r="F24113" s="4">
        <f>IFERROR(__xludf.DUMMYFUNCTION("""COMPUTED_VALUE"""),3143.0)</f>
        <v>3143</v>
      </c>
      <c r="G24113" s="4">
        <f>IFERROR(__xludf.DUMMYFUNCTION("""COMPUTED_VALUE"""),54.0)</f>
        <v>54</v>
      </c>
      <c r="H24113" s="4"/>
      <c r="I24113" s="4"/>
    </row>
    <row r="24114">
      <c r="A24114" s="4" t="str">
        <f>IFERROR(__xludf.DUMMYFUNCTION("""COMPUTED_VALUE"""),"cas_hmw")</f>
        <v>cas_hmw</v>
      </c>
      <c r="B24114" s="5">
        <f>IFERROR(__xludf.DUMMYFUNCTION("""COMPUTED_VALUE"""),44798.0)</f>
        <v>44798</v>
      </c>
      <c r="C24114" s="6">
        <f>IFERROR(__xludf.DUMMYFUNCTION("""COMPUTED_VALUE"""),0.5626620370385353)</f>
        <v>0.562662037</v>
      </c>
      <c r="D24114" s="4">
        <f>IFERROR(__xludf.DUMMYFUNCTION("""COMPUTED_VALUE"""),12.918958)</f>
        <v>12.918958</v>
      </c>
      <c r="E24114" s="4">
        <f>IFERROR(__xludf.DUMMYFUNCTION("""COMPUTED_VALUE"""),80.174392)</f>
        <v>80.174392</v>
      </c>
      <c r="F24114" s="4">
        <f>IFERROR(__xludf.DUMMYFUNCTION("""COMPUTED_VALUE"""),3143.0)</f>
        <v>3143</v>
      </c>
      <c r="G24114" s="4">
        <f>IFERROR(__xludf.DUMMYFUNCTION("""COMPUTED_VALUE"""),54.0)</f>
        <v>54</v>
      </c>
      <c r="H24114" s="4"/>
      <c r="I24114" s="4"/>
    </row>
    <row r="24115">
      <c r="A24115" s="4" t="str">
        <f>IFERROR(__xludf.DUMMYFUNCTION("""COMPUTED_VALUE"""),"cas_hmw")</f>
        <v>cas_hmw</v>
      </c>
      <c r="B24115" s="5">
        <f>IFERROR(__xludf.DUMMYFUNCTION("""COMPUTED_VALUE"""),44798.0)</f>
        <v>44798</v>
      </c>
      <c r="C24115" s="6">
        <f>IFERROR(__xludf.DUMMYFUNCTION("""COMPUTED_VALUE"""),0.5633449074084638)</f>
        <v>0.5633449074</v>
      </c>
      <c r="D24115" s="4">
        <f>IFERROR(__xludf.DUMMYFUNCTION("""COMPUTED_VALUE"""),12.919389)</f>
        <v>12.919389</v>
      </c>
      <c r="E24115" s="4">
        <f>IFERROR(__xludf.DUMMYFUNCTION("""COMPUTED_VALUE"""),80.180307)</f>
        <v>80.180307</v>
      </c>
      <c r="F24115" s="4">
        <f>IFERROR(__xludf.DUMMYFUNCTION("""COMPUTED_VALUE"""),3143.0)</f>
        <v>3143</v>
      </c>
      <c r="G24115" s="4">
        <f>IFERROR(__xludf.DUMMYFUNCTION("""COMPUTED_VALUE"""),39.0)</f>
        <v>39</v>
      </c>
      <c r="H24115" s="4"/>
      <c r="I24115" s="4"/>
    </row>
    <row r="24116">
      <c r="A24116" s="4" t="str">
        <f>IFERROR(__xludf.DUMMYFUNCTION("""COMPUTED_VALUE"""),"cas_hmw")</f>
        <v>cas_hmw</v>
      </c>
      <c r="B24116" s="5">
        <f>IFERROR(__xludf.DUMMYFUNCTION("""COMPUTED_VALUE"""),44798.0)</f>
        <v>44798</v>
      </c>
      <c r="C24116" s="6">
        <f>IFERROR(__xludf.DUMMYFUNCTION("""COMPUTED_VALUE"""),0.5635648148163455)</f>
        <v>0.5635648148</v>
      </c>
      <c r="D24116" s="4">
        <f>IFERROR(__xludf.DUMMYFUNCTION("""COMPUTED_VALUE"""),12.919704)</f>
        <v>12.919704</v>
      </c>
      <c r="E24116" s="4">
        <f>IFERROR(__xludf.DUMMYFUNCTION("""COMPUTED_VALUE"""),80.181747)</f>
        <v>80.181747</v>
      </c>
      <c r="F24116" s="4">
        <f>IFERROR(__xludf.DUMMYFUNCTION("""COMPUTED_VALUE"""),3143.0)</f>
        <v>3143</v>
      </c>
      <c r="G24116" s="4">
        <f>IFERROR(__xludf.DUMMYFUNCTION("""COMPUTED_VALUE"""),36.0)</f>
        <v>36</v>
      </c>
      <c r="H24116" s="4"/>
      <c r="I24116" s="4"/>
    </row>
    <row r="24117">
      <c r="A24117" s="4" t="str">
        <f>IFERROR(__xludf.DUMMYFUNCTION("""COMPUTED_VALUE"""),"cas_hmw")</f>
        <v>cas_hmw</v>
      </c>
      <c r="B24117" s="5">
        <f>IFERROR(__xludf.DUMMYFUNCTION("""COMPUTED_VALUE"""),44798.0)</f>
        <v>44798</v>
      </c>
      <c r="C24117" s="6">
        <f>IFERROR(__xludf.DUMMYFUNCTION("""COMPUTED_VALUE"""),0.577812499999709)</f>
        <v>0.5778125</v>
      </c>
      <c r="D24117" s="4">
        <f>IFERROR(__xludf.DUMMYFUNCTION("""COMPUTED_VALUE"""),12.965817)</f>
        <v>12.965817</v>
      </c>
      <c r="E24117" s="4">
        <f>IFERROR(__xludf.DUMMYFUNCTION("""COMPUTED_VALUE"""),80.202328)</f>
        <v>80.202328</v>
      </c>
      <c r="F24117" s="4">
        <f>IFERROR(__xludf.DUMMYFUNCTION("""COMPUTED_VALUE"""),3143.0)</f>
        <v>3143</v>
      </c>
      <c r="G24117" s="4">
        <f>IFERROR(__xludf.DUMMYFUNCTION("""COMPUTED_VALUE"""),28.0)</f>
        <v>28</v>
      </c>
      <c r="H24117" s="4"/>
      <c r="I24117" s="4"/>
    </row>
    <row r="24118">
      <c r="A24118" s="4" t="str">
        <f>IFERROR(__xludf.DUMMYFUNCTION("""COMPUTED_VALUE"""),"cas_hmw")</f>
        <v>cas_hmw</v>
      </c>
      <c r="B24118" s="5">
        <f>IFERROR(__xludf.DUMMYFUNCTION("""COMPUTED_VALUE"""),44798.0)</f>
        <v>44798</v>
      </c>
      <c r="C24118" s="6">
        <f>IFERROR(__xludf.DUMMYFUNCTION("""COMPUTED_VALUE"""),0.5779745370382443)</f>
        <v>0.577974537</v>
      </c>
      <c r="D24118" s="4">
        <f>IFERROR(__xludf.DUMMYFUNCTION("""COMPUTED_VALUE"""),12.965719)</f>
        <v>12.965719</v>
      </c>
      <c r="E24118" s="4">
        <f>IFERROR(__xludf.DUMMYFUNCTION("""COMPUTED_VALUE"""),80.203905)</f>
        <v>80.203905</v>
      </c>
      <c r="F24118" s="4">
        <f>IFERROR(__xludf.DUMMYFUNCTION("""COMPUTED_VALUE"""),3143.0)</f>
        <v>3143</v>
      </c>
      <c r="G24118" s="4">
        <f>IFERROR(__xludf.DUMMYFUNCTION("""COMPUTED_VALUE"""),30.0)</f>
        <v>30</v>
      </c>
      <c r="H24118" s="4"/>
      <c r="I24118" s="4"/>
    </row>
    <row r="24119">
      <c r="A24119" s="4" t="str">
        <f>IFERROR(__xludf.DUMMYFUNCTION("""COMPUTED_VALUE"""),"cas_hmw")</f>
        <v>cas_hmw</v>
      </c>
      <c r="B24119" s="5">
        <f>IFERROR(__xludf.DUMMYFUNCTION("""COMPUTED_VALUE"""),44798.0)</f>
        <v>44798</v>
      </c>
      <c r="C24119" s="6">
        <f>IFERROR(__xludf.DUMMYFUNCTION("""COMPUTED_VALUE"""),0.5782060185192677)</f>
        <v>0.5782060185</v>
      </c>
      <c r="D24119" s="4">
        <f>IFERROR(__xludf.DUMMYFUNCTION("""COMPUTED_VALUE"""),12.965452)</f>
        <v>12.965452</v>
      </c>
      <c r="E24119" s="4">
        <f>IFERROR(__xludf.DUMMYFUNCTION("""COMPUTED_VALUE"""),80.205319)</f>
        <v>80.205319</v>
      </c>
      <c r="F24119" s="4">
        <f>IFERROR(__xludf.DUMMYFUNCTION("""COMPUTED_VALUE"""),3143.0)</f>
        <v>3143</v>
      </c>
      <c r="G24119" s="4">
        <f>IFERROR(__xludf.DUMMYFUNCTION("""COMPUTED_VALUE"""),29.0)</f>
        <v>29</v>
      </c>
      <c r="H24119" s="4"/>
      <c r="I24119" s="4"/>
    </row>
    <row r="24120">
      <c r="A24120" s="4" t="str">
        <f>IFERROR(__xludf.DUMMYFUNCTION("""COMPUTED_VALUE"""),"cas_hmw")</f>
        <v>cas_hmw</v>
      </c>
      <c r="B24120" s="5">
        <f>IFERROR(__xludf.DUMMYFUNCTION("""COMPUTED_VALUE"""),44798.0)</f>
        <v>44798</v>
      </c>
      <c r="C24120" s="6">
        <f>IFERROR(__xludf.DUMMYFUNCTION("""COMPUTED_VALUE"""),0.5782175925924093)</f>
        <v>0.5782175926</v>
      </c>
      <c r="D24120" s="4">
        <f>IFERROR(__xludf.DUMMYFUNCTION("""COMPUTED_VALUE"""),12.965452)</f>
        <v>12.965452</v>
      </c>
      <c r="E24120" s="4">
        <f>IFERROR(__xludf.DUMMYFUNCTION("""COMPUTED_VALUE"""),80.205319)</f>
        <v>80.205319</v>
      </c>
      <c r="F24120" s="4">
        <f>IFERROR(__xludf.DUMMYFUNCTION("""COMPUTED_VALUE"""),3143.0)</f>
        <v>3143</v>
      </c>
      <c r="G24120" s="4">
        <f>IFERROR(__xludf.DUMMYFUNCTION("""COMPUTED_VALUE"""),29.0)</f>
        <v>29</v>
      </c>
      <c r="H24120" s="4"/>
      <c r="I24120" s="4"/>
    </row>
    <row r="24121">
      <c r="A24121" s="4" t="str">
        <f>IFERROR(__xludf.DUMMYFUNCTION("""COMPUTED_VALUE"""),"cas_hmw")</f>
        <v>cas_hmw</v>
      </c>
      <c r="B24121" s="5">
        <f>IFERROR(__xludf.DUMMYFUNCTION("""COMPUTED_VALUE"""),44798.0)</f>
        <v>44798</v>
      </c>
      <c r="C24121" s="6">
        <f>IFERROR(__xludf.DUMMYFUNCTION("""COMPUTED_VALUE"""),0.5791319444433611)</f>
        <v>0.5791319444</v>
      </c>
      <c r="D24121" s="4">
        <f>IFERROR(__xludf.DUMMYFUNCTION("""COMPUTED_VALUE"""),12.964782)</f>
        <v>12.964782</v>
      </c>
      <c r="E24121" s="4">
        <f>IFERROR(__xludf.DUMMYFUNCTION("""COMPUTED_VALUE"""),80.210092)</f>
        <v>80.210092</v>
      </c>
      <c r="F24121" s="4">
        <f>IFERROR(__xludf.DUMMYFUNCTION("""COMPUTED_VALUE"""),3143.0)</f>
        <v>3143</v>
      </c>
      <c r="G24121" s="4">
        <f>IFERROR(__xludf.DUMMYFUNCTION("""COMPUTED_VALUE"""),0.0)</f>
        <v>0</v>
      </c>
      <c r="H24121" s="4"/>
      <c r="I24121" s="4"/>
    </row>
    <row r="24122">
      <c r="A24122" s="4" t="str">
        <f>IFERROR(__xludf.DUMMYFUNCTION("""COMPUTED_VALUE"""),"cas_hmw")</f>
        <v>cas_hmw</v>
      </c>
      <c r="B24122" s="5">
        <f>IFERROR(__xludf.DUMMYFUNCTION("""COMPUTED_VALUE"""),44798.0)</f>
        <v>44798</v>
      </c>
      <c r="C24122" s="6">
        <f>IFERROR(__xludf.DUMMYFUNCTION("""COMPUTED_VALUE"""),0.5842708333329938)</f>
        <v>0.5842708333</v>
      </c>
      <c r="D24122" s="4">
        <f>IFERROR(__xludf.DUMMYFUNCTION("""COMPUTED_VALUE"""),12.980272)</f>
        <v>12.980272</v>
      </c>
      <c r="E24122" s="4">
        <f>IFERROR(__xludf.DUMMYFUNCTION("""COMPUTED_VALUE"""),80.228222)</f>
        <v>80.228222</v>
      </c>
      <c r="F24122" s="4">
        <f>IFERROR(__xludf.DUMMYFUNCTION("""COMPUTED_VALUE"""),3143.0)</f>
        <v>3143</v>
      </c>
      <c r="G24122" s="4">
        <f>IFERROR(__xludf.DUMMYFUNCTION("""COMPUTED_VALUE"""),40.0)</f>
        <v>40</v>
      </c>
      <c r="H24122" s="4"/>
      <c r="I24122" s="4"/>
    </row>
    <row r="24123">
      <c r="A24123" s="4" t="str">
        <f>IFERROR(__xludf.DUMMYFUNCTION("""COMPUTED_VALUE"""),"cas_hmw")</f>
        <v>cas_hmw</v>
      </c>
      <c r="B24123" s="5">
        <f>IFERROR(__xludf.DUMMYFUNCTION("""COMPUTED_VALUE"""),44798.0)</f>
        <v>44798</v>
      </c>
      <c r="C24123" s="6">
        <f>IFERROR(__xludf.DUMMYFUNCTION("""COMPUTED_VALUE"""),0.5850578703721112)</f>
        <v>0.5850578704</v>
      </c>
      <c r="D24123" s="4">
        <f>IFERROR(__xludf.DUMMYFUNCTION("""COMPUTED_VALUE"""),12.98146)</f>
        <v>12.98146</v>
      </c>
      <c r="E24123" s="4">
        <f>IFERROR(__xludf.DUMMYFUNCTION("""COMPUTED_VALUE"""),80.233766)</f>
        <v>80.233766</v>
      </c>
      <c r="F24123" s="4">
        <f>IFERROR(__xludf.DUMMYFUNCTION("""COMPUTED_VALUE"""),3143.0)</f>
        <v>3143</v>
      </c>
      <c r="G24123" s="4">
        <f>IFERROR(__xludf.DUMMYFUNCTION("""COMPUTED_VALUE"""),50.0)</f>
        <v>50</v>
      </c>
      <c r="H24123" s="4"/>
      <c r="I24123" s="4"/>
    </row>
    <row r="24124">
      <c r="A24124" s="4" t="str">
        <f>IFERROR(__xludf.DUMMYFUNCTION("""COMPUTED_VALUE"""),"cas_hmw")</f>
        <v>cas_hmw</v>
      </c>
      <c r="B24124" s="5">
        <f>IFERROR(__xludf.DUMMYFUNCTION("""COMPUTED_VALUE"""),44798.0)</f>
        <v>44798</v>
      </c>
      <c r="C24124" s="6">
        <f>IFERROR(__xludf.DUMMYFUNCTION("""COMPUTED_VALUE"""),0.5851041666683159)</f>
        <v>0.5851041667</v>
      </c>
      <c r="D24124" s="4">
        <f>IFERROR(__xludf.DUMMYFUNCTION("""COMPUTED_VALUE"""),12.981212)</f>
        <v>12.981212</v>
      </c>
      <c r="E24124" s="4">
        <f>IFERROR(__xludf.DUMMYFUNCTION("""COMPUTED_VALUE"""),80.235477)</f>
        <v>80.235477</v>
      </c>
      <c r="F24124" s="4">
        <f>IFERROR(__xludf.DUMMYFUNCTION("""COMPUTED_VALUE"""),3143.0)</f>
        <v>3143</v>
      </c>
      <c r="G24124" s="4">
        <f>IFERROR(__xludf.DUMMYFUNCTION("""COMPUTED_VALUE"""),50.0)</f>
        <v>50</v>
      </c>
      <c r="H24124" s="4"/>
      <c r="I24124" s="4"/>
    </row>
    <row r="24125">
      <c r="A24125" s="4" t="str">
        <f>IFERROR(__xludf.DUMMYFUNCTION("""COMPUTED_VALUE"""),"cas_hmw")</f>
        <v>cas_hmw</v>
      </c>
      <c r="B24125" s="5">
        <f>IFERROR(__xludf.DUMMYFUNCTION("""COMPUTED_VALUE"""),44798.0)</f>
        <v>44798</v>
      </c>
      <c r="C24125" s="6">
        <f>IFERROR(__xludf.DUMMYFUNCTION("""COMPUTED_VALUE"""),0.5911574074089003)</f>
        <v>0.5911574074</v>
      </c>
      <c r="D24125" s="4">
        <f>IFERROR(__xludf.DUMMYFUNCTION("""COMPUTED_VALUE"""),12.987726)</f>
        <v>12.987726</v>
      </c>
      <c r="E24125" s="4">
        <f>IFERROR(__xludf.DUMMYFUNCTION("""COMPUTED_VALUE"""),80.25568)</f>
        <v>80.25568</v>
      </c>
      <c r="F24125" s="4">
        <f>IFERROR(__xludf.DUMMYFUNCTION("""COMPUTED_VALUE"""),3143.0)</f>
        <v>3143</v>
      </c>
      <c r="G24125" s="4">
        <f>IFERROR(__xludf.DUMMYFUNCTION("""COMPUTED_VALUE"""),0.0)</f>
        <v>0</v>
      </c>
      <c r="H24125" s="4"/>
      <c r="I24125" s="4"/>
    </row>
    <row r="24126">
      <c r="A24126" s="4" t="str">
        <f>IFERROR(__xludf.DUMMYFUNCTION("""COMPUTED_VALUE"""),"cas_hmw")</f>
        <v>cas_hmw</v>
      </c>
      <c r="B24126" s="5">
        <f>IFERROR(__xludf.DUMMYFUNCTION("""COMPUTED_VALUE"""),44798.0)</f>
        <v>44798</v>
      </c>
      <c r="C24126" s="6">
        <f>IFERROR(__xludf.DUMMYFUNCTION("""COMPUTED_VALUE"""),0.5929166666683159)</f>
        <v>0.5929166667</v>
      </c>
      <c r="D24126" s="4">
        <f>IFERROR(__xludf.DUMMYFUNCTION("""COMPUTED_VALUE"""),12.983032)</f>
        <v>12.983032</v>
      </c>
      <c r="E24126" s="4">
        <f>IFERROR(__xludf.DUMMYFUNCTION("""COMPUTED_VALUE"""),80.259465)</f>
        <v>80.259465</v>
      </c>
      <c r="F24126" s="4">
        <f>IFERROR(__xludf.DUMMYFUNCTION("""COMPUTED_VALUE"""),3143.0)</f>
        <v>3143</v>
      </c>
      <c r="G24126" s="4">
        <f>IFERROR(__xludf.DUMMYFUNCTION("""COMPUTED_VALUE"""),17.0)</f>
        <v>17</v>
      </c>
      <c r="H24126" s="4"/>
      <c r="I24126" s="4"/>
    </row>
    <row r="24127">
      <c r="A24127" s="4" t="str">
        <f>IFERROR(__xludf.DUMMYFUNCTION("""COMPUTED_VALUE"""),"cas_hmw")</f>
        <v>cas_hmw</v>
      </c>
      <c r="B24127" s="5">
        <f>IFERROR(__xludf.DUMMYFUNCTION("""COMPUTED_VALUE"""),44798.0)</f>
        <v>44798</v>
      </c>
      <c r="C24127" s="6">
        <f>IFERROR(__xludf.DUMMYFUNCTION("""COMPUTED_VALUE"""),0.5929745370376622)</f>
        <v>0.592974537</v>
      </c>
      <c r="D24127" s="4">
        <f>IFERROR(__xludf.DUMMYFUNCTION("""COMPUTED_VALUE"""),12.983032)</f>
        <v>12.983032</v>
      </c>
      <c r="E24127" s="4">
        <f>IFERROR(__xludf.DUMMYFUNCTION("""COMPUTED_VALUE"""),80.259465)</f>
        <v>80.259465</v>
      </c>
      <c r="F24127" s="4">
        <f>IFERROR(__xludf.DUMMYFUNCTION("""COMPUTED_VALUE"""),3143.0)</f>
        <v>3143</v>
      </c>
      <c r="G24127" s="4">
        <f>IFERROR(__xludf.DUMMYFUNCTION("""COMPUTED_VALUE"""),17.0)</f>
        <v>17</v>
      </c>
      <c r="H24127" s="4"/>
      <c r="I24127" s="4"/>
    </row>
    <row r="24128">
      <c r="A24128" s="4" t="str">
        <f>IFERROR(__xludf.DUMMYFUNCTION("""COMPUTED_VALUE"""),"cas_hmw")</f>
        <v>cas_hmw</v>
      </c>
      <c r="B24128" s="5">
        <f>IFERROR(__xludf.DUMMYFUNCTION("""COMPUTED_VALUE"""),44798.0)</f>
        <v>44798</v>
      </c>
      <c r="C24128" s="6">
        <f>IFERROR(__xludf.DUMMYFUNCTION("""COMPUTED_VALUE"""),0.6026851851856918)</f>
        <v>0.6026851852</v>
      </c>
      <c r="D24128" s="4">
        <f>IFERROR(__xludf.DUMMYFUNCTION("""COMPUTED_VALUE"""),12.935798)</f>
        <v>12.935798</v>
      </c>
      <c r="E24128" s="4">
        <f>IFERROR(__xludf.DUMMYFUNCTION("""COMPUTED_VALUE"""),80.252382)</f>
        <v>80.252382</v>
      </c>
      <c r="F24128" s="4">
        <f>IFERROR(__xludf.DUMMYFUNCTION("""COMPUTED_VALUE"""),3143.0)</f>
        <v>3143</v>
      </c>
      <c r="G24128" s="4">
        <f>IFERROR(__xludf.DUMMYFUNCTION("""COMPUTED_VALUE"""),36.0)</f>
        <v>36</v>
      </c>
      <c r="H24128" s="4"/>
      <c r="I24128" s="4"/>
    </row>
    <row r="24129">
      <c r="A24129" s="4" t="str">
        <f>IFERROR(__xludf.DUMMYFUNCTION("""COMPUTED_VALUE"""),"cas_hmw")</f>
        <v>cas_hmw</v>
      </c>
      <c r="B24129" s="5">
        <f>IFERROR(__xludf.DUMMYFUNCTION("""COMPUTED_VALUE"""),44798.0)</f>
        <v>44798</v>
      </c>
      <c r="C24129" s="6">
        <f>IFERROR(__xludf.DUMMYFUNCTION("""COMPUTED_VALUE"""),0.609687500000291)</f>
        <v>0.6096875</v>
      </c>
      <c r="D24129" s="4">
        <f>IFERROR(__xludf.DUMMYFUNCTION("""COMPUTED_VALUE"""),12.900797)</f>
        <v>12.900797</v>
      </c>
      <c r="E24129" s="4">
        <f>IFERROR(__xludf.DUMMYFUNCTION("""COMPUTED_VALUE"""),80.228086)</f>
        <v>80.228086</v>
      </c>
      <c r="F24129" s="4">
        <f>IFERROR(__xludf.DUMMYFUNCTION("""COMPUTED_VALUE"""),3143.0)</f>
        <v>3143</v>
      </c>
      <c r="G24129" s="4">
        <f>IFERROR(__xludf.DUMMYFUNCTION("""COMPUTED_VALUE"""),19.0)</f>
        <v>19</v>
      </c>
      <c r="H24129" s="4"/>
      <c r="I24129" s="4"/>
    </row>
    <row r="24130">
      <c r="A24130" s="4" t="str">
        <f>IFERROR(__xludf.DUMMYFUNCTION("""COMPUTED_VALUE"""),"cas_hmw")</f>
        <v>cas_hmw</v>
      </c>
      <c r="B24130" s="5">
        <f>IFERROR(__xludf.DUMMYFUNCTION("""COMPUTED_VALUE"""),44798.0)</f>
        <v>44798</v>
      </c>
      <c r="C24130" s="6">
        <f>IFERROR(__xludf.DUMMYFUNCTION("""COMPUTED_VALUE"""),0.6100347222236451)</f>
        <v>0.6100347222</v>
      </c>
      <c r="D24130" s="4">
        <f>IFERROR(__xludf.DUMMYFUNCTION("""COMPUTED_VALUE"""),12.900117)</f>
        <v>12.900117</v>
      </c>
      <c r="E24130" s="4">
        <f>IFERROR(__xludf.DUMMYFUNCTION("""COMPUTED_VALUE"""),80.227948)</f>
        <v>80.227948</v>
      </c>
      <c r="F24130" s="4">
        <f>IFERROR(__xludf.DUMMYFUNCTION("""COMPUTED_VALUE"""),3143.0)</f>
        <v>3143</v>
      </c>
      <c r="G24130" s="4">
        <f>IFERROR(__xludf.DUMMYFUNCTION("""COMPUTED_VALUE"""),20.0)</f>
        <v>20</v>
      </c>
      <c r="H24130" s="4"/>
      <c r="I24130" s="4"/>
    </row>
    <row r="24131">
      <c r="A24131" s="4" t="str">
        <f>IFERROR(__xludf.DUMMYFUNCTION("""COMPUTED_VALUE"""),"cas_hmw")</f>
        <v>cas_hmw</v>
      </c>
      <c r="B24131" s="5">
        <f>IFERROR(__xludf.DUMMYFUNCTION("""COMPUTED_VALUE"""),44798.0)</f>
        <v>44798</v>
      </c>
      <c r="C24131" s="6">
        <f>IFERROR(__xludf.DUMMYFUNCTION("""COMPUTED_VALUE"""),0.6116666666675883)</f>
        <v>0.6116666667</v>
      </c>
      <c r="D24131" s="4">
        <f>IFERROR(__xludf.DUMMYFUNCTION("""COMPUTED_VALUE"""),12.890197)</f>
        <v>12.890197</v>
      </c>
      <c r="E24131" s="4">
        <f>IFERROR(__xludf.DUMMYFUNCTION("""COMPUTED_VALUE"""),80.227384)</f>
        <v>80.227384</v>
      </c>
      <c r="F24131" s="4">
        <f>IFERROR(__xludf.DUMMYFUNCTION("""COMPUTED_VALUE"""),3143.0)</f>
        <v>3143</v>
      </c>
      <c r="G24131" s="4">
        <f>IFERROR(__xludf.DUMMYFUNCTION("""COMPUTED_VALUE"""),47.0)</f>
        <v>47</v>
      </c>
      <c r="H24131" s="4"/>
      <c r="I24131" s="4"/>
    </row>
    <row r="24132">
      <c r="A24132" s="4" t="str">
        <f>IFERROR(__xludf.DUMMYFUNCTION("""COMPUTED_VALUE"""),"cas_hmw")</f>
        <v>cas_hmw</v>
      </c>
      <c r="B24132" s="5">
        <f>IFERROR(__xludf.DUMMYFUNCTION("""COMPUTED_VALUE"""),44798.0)</f>
        <v>44798</v>
      </c>
      <c r="C24132" s="6">
        <f>IFERROR(__xludf.DUMMYFUNCTION("""COMPUTED_VALUE"""),0.6124999999992724)</f>
        <v>0.6125</v>
      </c>
      <c r="D24132" s="4">
        <f>IFERROR(__xludf.DUMMYFUNCTION("""COMPUTED_VALUE"""),12.879518)</f>
        <v>12.879518</v>
      </c>
      <c r="E24132" s="4">
        <f>IFERROR(__xludf.DUMMYFUNCTION("""COMPUTED_VALUE"""),80.226762)</f>
        <v>80.226762</v>
      </c>
      <c r="F24132" s="4">
        <f>IFERROR(__xludf.DUMMYFUNCTION("""COMPUTED_VALUE"""),3143.0)</f>
        <v>3143</v>
      </c>
      <c r="G24132" s="4">
        <f>IFERROR(__xludf.DUMMYFUNCTION("""COMPUTED_VALUE"""),58.0)</f>
        <v>58</v>
      </c>
      <c r="H24132" s="4"/>
      <c r="I24132" s="4"/>
    </row>
    <row r="24133">
      <c r="A24133" s="4" t="str">
        <f>IFERROR(__xludf.DUMMYFUNCTION("""COMPUTED_VALUE"""),"cas_hmw")</f>
        <v>cas_hmw</v>
      </c>
      <c r="B24133" s="5">
        <f>IFERROR(__xludf.DUMMYFUNCTION("""COMPUTED_VALUE"""),44798.0)</f>
        <v>44798</v>
      </c>
      <c r="C24133" s="6">
        <f>IFERROR(__xludf.DUMMYFUNCTION("""COMPUTED_VALUE"""),0.6152662037020491)</f>
        <v>0.6152662037</v>
      </c>
      <c r="D24133" s="4">
        <f>IFERROR(__xludf.DUMMYFUNCTION("""COMPUTED_VALUE"""),12.854984)</f>
        <v>12.854984</v>
      </c>
      <c r="E24133" s="4">
        <f>IFERROR(__xludf.DUMMYFUNCTION("""COMPUTED_VALUE"""),80.226533)</f>
        <v>80.226533</v>
      </c>
      <c r="F24133" s="4">
        <f>IFERROR(__xludf.DUMMYFUNCTION("""COMPUTED_VALUE"""),3143.0)</f>
        <v>3143</v>
      </c>
      <c r="G24133" s="4">
        <f>IFERROR(__xludf.DUMMYFUNCTION("""COMPUTED_VALUE"""),51.0)</f>
        <v>51</v>
      </c>
      <c r="H24133" s="4"/>
      <c r="I24133" s="4"/>
    </row>
    <row r="24134">
      <c r="A24134" s="4" t="str">
        <f>IFERROR(__xludf.DUMMYFUNCTION("""COMPUTED_VALUE"""),"cas_hmw")</f>
        <v>cas_hmw</v>
      </c>
      <c r="B24134" s="5">
        <f>IFERROR(__xludf.DUMMYFUNCTION("""COMPUTED_VALUE"""),44798.0)</f>
        <v>44798</v>
      </c>
      <c r="C24134" s="6">
        <f>IFERROR(__xludf.DUMMYFUNCTION("""COMPUTED_VALUE"""),0.6264583333322662)</f>
        <v>0.6264583333</v>
      </c>
      <c r="D24134" s="4">
        <f>IFERROR(__xludf.DUMMYFUNCTION("""COMPUTED_VALUE"""),12.792016)</f>
        <v>12.792016</v>
      </c>
      <c r="E24134" s="4">
        <f>IFERROR(__xludf.DUMMYFUNCTION("""COMPUTED_VALUE"""),80.217527)</f>
        <v>80.217527</v>
      </c>
      <c r="F24134" s="4">
        <f>IFERROR(__xludf.DUMMYFUNCTION("""COMPUTED_VALUE"""),3143.0)</f>
        <v>3143</v>
      </c>
      <c r="G24134" s="4">
        <f>IFERROR(__xludf.DUMMYFUNCTION("""COMPUTED_VALUE"""),26.0)</f>
        <v>26</v>
      </c>
      <c r="H24134" s="4"/>
      <c r="I24134" s="4"/>
    </row>
    <row r="24135">
      <c r="A24135" s="4" t="str">
        <f>IFERROR(__xludf.DUMMYFUNCTION("""COMPUTED_VALUE"""),"cas_hmw")</f>
        <v>cas_hmw</v>
      </c>
      <c r="B24135" s="5">
        <f>IFERROR(__xludf.DUMMYFUNCTION("""COMPUTED_VALUE"""),44798.0)</f>
        <v>44798</v>
      </c>
      <c r="C24135" s="6">
        <f>IFERROR(__xludf.DUMMYFUNCTION("""COMPUTED_VALUE"""),0.6270023148135806)</f>
        <v>0.6270023148</v>
      </c>
      <c r="D24135" s="4">
        <f>IFERROR(__xludf.DUMMYFUNCTION("""COMPUTED_VALUE"""),12.792891)</f>
        <v>12.792891</v>
      </c>
      <c r="E24135" s="4">
        <f>IFERROR(__xludf.DUMMYFUNCTION("""COMPUTED_VALUE"""),80.214336)</f>
        <v>80.214336</v>
      </c>
      <c r="F24135" s="4">
        <f>IFERROR(__xludf.DUMMYFUNCTION("""COMPUTED_VALUE"""),3143.0)</f>
        <v>3143</v>
      </c>
      <c r="G24135" s="4">
        <f>IFERROR(__xludf.DUMMYFUNCTION("""COMPUTED_VALUE"""),33.0)</f>
        <v>33</v>
      </c>
      <c r="H24135" s="4"/>
      <c r="I24135" s="4"/>
    </row>
    <row r="24136">
      <c r="A24136" s="4" t="str">
        <f>IFERROR(__xludf.DUMMYFUNCTION("""COMPUTED_VALUE"""),"cas_hmw")</f>
        <v>cas_hmw</v>
      </c>
      <c r="B24136" s="5">
        <f>IFERROR(__xludf.DUMMYFUNCTION("""COMPUTED_VALUE"""),44798.0)</f>
        <v>44798</v>
      </c>
      <c r="C24136" s="6">
        <f>IFERROR(__xludf.DUMMYFUNCTION("""COMPUTED_VALUE"""),0.6316666666680248)</f>
        <v>0.6316666667</v>
      </c>
      <c r="D24136" s="4">
        <f>IFERROR(__xludf.DUMMYFUNCTION("""COMPUTED_VALUE"""),12.823915)</f>
        <v>12.823915</v>
      </c>
      <c r="E24136" s="4">
        <f>IFERROR(__xludf.DUMMYFUNCTION("""COMPUTED_VALUE"""),80.169061)</f>
        <v>80.169061</v>
      </c>
      <c r="F24136" s="4">
        <f>IFERROR(__xludf.DUMMYFUNCTION("""COMPUTED_VALUE"""),3143.0)</f>
        <v>3143</v>
      </c>
      <c r="G24136" s="4">
        <f>IFERROR(__xludf.DUMMYFUNCTION("""COMPUTED_VALUE"""),48.0)</f>
        <v>48</v>
      </c>
      <c r="H24136" s="4"/>
      <c r="I24136" s="4"/>
    </row>
    <row r="24137">
      <c r="A24137" s="4" t="str">
        <f>IFERROR(__xludf.DUMMYFUNCTION("""COMPUTED_VALUE"""),"cas_hmw")</f>
        <v>cas_hmw</v>
      </c>
      <c r="B24137" s="5">
        <f>IFERROR(__xludf.DUMMYFUNCTION("""COMPUTED_VALUE"""),44798.0)</f>
        <v>44798</v>
      </c>
      <c r="C24137" s="6">
        <f>IFERROR(__xludf.DUMMYFUNCTION("""COMPUTED_VALUE"""),0.6320486111108039)</f>
        <v>0.6320486111</v>
      </c>
      <c r="D24137" s="4">
        <f>IFERROR(__xludf.DUMMYFUNCTION("""COMPUTED_VALUE"""),12.826141)</f>
        <v>12.826141</v>
      </c>
      <c r="E24137" s="4">
        <f>IFERROR(__xludf.DUMMYFUNCTION("""COMPUTED_VALUE"""),80.166604)</f>
        <v>80.166604</v>
      </c>
      <c r="F24137" s="4">
        <f>IFERROR(__xludf.DUMMYFUNCTION("""COMPUTED_VALUE"""),3143.0)</f>
        <v>3143</v>
      </c>
      <c r="G24137" s="4">
        <f>IFERROR(__xludf.DUMMYFUNCTION("""COMPUTED_VALUE"""),37.0)</f>
        <v>37</v>
      </c>
      <c r="H24137" s="4"/>
      <c r="I24137" s="4"/>
    </row>
    <row r="24138">
      <c r="A24138" s="4" t="str">
        <f>IFERROR(__xludf.DUMMYFUNCTION("""COMPUTED_VALUE"""),"cas_hmw")</f>
        <v>cas_hmw</v>
      </c>
      <c r="B24138" s="5">
        <f>IFERROR(__xludf.DUMMYFUNCTION("""COMPUTED_VALUE"""),44798.0)</f>
        <v>44798</v>
      </c>
      <c r="C24138" s="6">
        <f>IFERROR(__xludf.DUMMYFUNCTION("""COMPUTED_VALUE"""),0.6364467592575238)</f>
        <v>0.6364467593</v>
      </c>
      <c r="D24138" s="4">
        <f>IFERROR(__xludf.DUMMYFUNCTION("""COMPUTED_VALUE"""),12.849724)</f>
        <v>12.849724</v>
      </c>
      <c r="E24138" s="4">
        <f>IFERROR(__xludf.DUMMYFUNCTION("""COMPUTED_VALUE"""),80.141588)</f>
        <v>80.141588</v>
      </c>
      <c r="F24138" s="4">
        <f>IFERROR(__xludf.DUMMYFUNCTION("""COMPUTED_VALUE"""),3143.0)</f>
        <v>3143</v>
      </c>
      <c r="G24138" s="4">
        <f>IFERROR(__xludf.DUMMYFUNCTION("""COMPUTED_VALUE"""),29.0)</f>
        <v>29</v>
      </c>
      <c r="H24138" s="4"/>
      <c r="I24138" s="4"/>
    </row>
    <row r="24139">
      <c r="A24139" s="4" t="str">
        <f>IFERROR(__xludf.DUMMYFUNCTION("""COMPUTED_VALUE"""),"cas_hmw")</f>
        <v>cas_hmw</v>
      </c>
      <c r="B24139" s="5">
        <f>IFERROR(__xludf.DUMMYFUNCTION("""COMPUTED_VALUE"""),44798.0)</f>
        <v>44798</v>
      </c>
      <c r="C24139" s="6">
        <f>IFERROR(__xludf.DUMMYFUNCTION("""COMPUTED_VALUE"""),0.6365393518535711)</f>
        <v>0.6365393519</v>
      </c>
      <c r="D24139" s="4">
        <f>IFERROR(__xludf.DUMMYFUNCTION("""COMPUTED_VALUE"""),12.850536)</f>
        <v>12.850536</v>
      </c>
      <c r="E24139" s="4">
        <f>IFERROR(__xludf.DUMMYFUNCTION("""COMPUTED_VALUE"""),80.140777)</f>
        <v>80.140777</v>
      </c>
      <c r="F24139" s="4">
        <f>IFERROR(__xludf.DUMMYFUNCTION("""COMPUTED_VALUE"""),3143.0)</f>
        <v>3143</v>
      </c>
      <c r="G24139" s="4">
        <f>IFERROR(__xludf.DUMMYFUNCTION("""COMPUTED_VALUE"""),27.0)</f>
        <v>27</v>
      </c>
      <c r="H24139" s="4"/>
      <c r="I24139" s="4"/>
    </row>
    <row r="24140">
      <c r="A24140" s="4" t="str">
        <f>IFERROR(__xludf.DUMMYFUNCTION("""COMPUTED_VALUE"""),"cas_hmw")</f>
        <v>cas_hmw</v>
      </c>
      <c r="B24140" s="5">
        <f>IFERROR(__xludf.DUMMYFUNCTION("""COMPUTED_VALUE"""),44798.0)</f>
        <v>44798</v>
      </c>
      <c r="C24140" s="6">
        <f>IFERROR(__xludf.DUMMYFUNCTION("""COMPUTED_VALUE"""),0.7390972222237906)</f>
        <v>0.7390972222</v>
      </c>
      <c r="D24140" s="4">
        <f>IFERROR(__xludf.DUMMYFUNCTION("""COMPUTED_VALUE"""),12.899437)</f>
        <v>12.899437</v>
      </c>
      <c r="E24140" s="4">
        <f>IFERROR(__xludf.DUMMYFUNCTION("""COMPUTED_VALUE"""),80.090864)</f>
        <v>80.090864</v>
      </c>
      <c r="F24140" s="4">
        <f>IFERROR(__xludf.DUMMYFUNCTION("""COMPUTED_VALUE"""),3143.0)</f>
        <v>3143</v>
      </c>
      <c r="G24140" s="4">
        <f>IFERROR(__xludf.DUMMYFUNCTION("""COMPUTED_VALUE"""),27.0)</f>
        <v>27</v>
      </c>
      <c r="H24140" s="4"/>
      <c r="I24140" s="4"/>
    </row>
    <row r="24141">
      <c r="A24141" s="4" t="str">
        <f>IFERROR(__xludf.DUMMYFUNCTION("""COMPUTED_VALUE"""),"cas_hmw")</f>
        <v>cas_hmw</v>
      </c>
      <c r="B24141" s="5">
        <f>IFERROR(__xludf.DUMMYFUNCTION("""COMPUTED_VALUE"""),44798.0)</f>
        <v>44798</v>
      </c>
      <c r="C24141" s="6">
        <f>IFERROR(__xludf.DUMMYFUNCTION("""COMPUTED_VALUE"""),0.7456828703689098)</f>
        <v>0.7456828704</v>
      </c>
      <c r="D24141" s="4">
        <f>IFERROR(__xludf.DUMMYFUNCTION("""COMPUTED_VALUE"""),12.913738)</f>
        <v>12.913738</v>
      </c>
      <c r="E24141" s="4">
        <f>IFERROR(__xludf.DUMMYFUNCTION("""COMPUTED_VALUE"""),80.101551)</f>
        <v>80.101551</v>
      </c>
      <c r="F24141" s="4">
        <f>IFERROR(__xludf.DUMMYFUNCTION("""COMPUTED_VALUE"""),3143.0)</f>
        <v>3143</v>
      </c>
      <c r="G24141" s="4">
        <f>IFERROR(__xludf.DUMMYFUNCTION("""COMPUTED_VALUE"""),29.0)</f>
        <v>29</v>
      </c>
      <c r="H24141" s="4"/>
      <c r="I24141" s="4"/>
    </row>
    <row r="24142">
      <c r="A24142" s="4" t="str">
        <f>IFERROR(__xludf.DUMMYFUNCTION("""COMPUTED_VALUE"""),"cas_hmw")</f>
        <v>cas_hmw</v>
      </c>
      <c r="B24142" s="5">
        <f>IFERROR(__xludf.DUMMYFUNCTION("""COMPUTED_VALUE"""),44798.0)</f>
        <v>44798</v>
      </c>
      <c r="C24142" s="6">
        <f>IFERROR(__xludf.DUMMYFUNCTION("""COMPUTED_VALUE"""),0.7464583333348855)</f>
        <v>0.7464583333</v>
      </c>
      <c r="D24142" s="4">
        <f>IFERROR(__xludf.DUMMYFUNCTION("""COMPUTED_VALUE"""),12.916892)</f>
        <v>12.916892</v>
      </c>
      <c r="E24142" s="4">
        <f>IFERROR(__xludf.DUMMYFUNCTION("""COMPUTED_VALUE"""),80.106819)</f>
        <v>80.106819</v>
      </c>
      <c r="F24142" s="4">
        <f>IFERROR(__xludf.DUMMYFUNCTION("""COMPUTED_VALUE"""),3143.0)</f>
        <v>3143</v>
      </c>
      <c r="G24142" s="4">
        <f>IFERROR(__xludf.DUMMYFUNCTION("""COMPUTED_VALUE"""),46.0)</f>
        <v>46</v>
      </c>
      <c r="H24142" s="4"/>
      <c r="I24142" s="4"/>
    </row>
    <row r="24143">
      <c r="A24143" s="4" t="str">
        <f>IFERROR(__xludf.DUMMYFUNCTION("""COMPUTED_VALUE"""),"cas_hmw")</f>
        <v>cas_hmw</v>
      </c>
      <c r="B24143" s="5">
        <f>IFERROR(__xludf.DUMMYFUNCTION("""COMPUTED_VALUE"""),44798.0)</f>
        <v>44798</v>
      </c>
      <c r="C24143" s="6">
        <f>IFERROR(__xludf.DUMMYFUNCTION("""COMPUTED_VALUE"""),0.7468750000007276)</f>
        <v>0.746875</v>
      </c>
      <c r="D24143" s="4">
        <f>IFERROR(__xludf.DUMMYFUNCTION("""COMPUTED_VALUE"""),12.919348)</f>
        <v>12.919348</v>
      </c>
      <c r="E24143" s="4">
        <f>IFERROR(__xludf.DUMMYFUNCTION("""COMPUTED_VALUE"""),80.110119)</f>
        <v>80.110119</v>
      </c>
      <c r="F24143" s="4">
        <f>IFERROR(__xludf.DUMMYFUNCTION("""COMPUTED_VALUE"""),3143.0)</f>
        <v>3143</v>
      </c>
      <c r="G24143" s="4">
        <f>IFERROR(__xludf.DUMMYFUNCTION("""COMPUTED_VALUE"""),43.0)</f>
        <v>43</v>
      </c>
      <c r="H24143" s="4"/>
      <c r="I24143" s="4"/>
    </row>
    <row r="24144">
      <c r="A24144" s="4" t="str">
        <f>IFERROR(__xludf.DUMMYFUNCTION("""COMPUTED_VALUE"""),"cas_hmw")</f>
        <v>cas_hmw</v>
      </c>
      <c r="B24144" s="5">
        <f>IFERROR(__xludf.DUMMYFUNCTION("""COMPUTED_VALUE"""),44798.0)</f>
        <v>44798</v>
      </c>
      <c r="C24144" s="6">
        <f>IFERROR(__xludf.DUMMYFUNCTION("""COMPUTED_VALUE"""),0.7472916666665697)</f>
        <v>0.7472916667</v>
      </c>
      <c r="D24144" s="4">
        <f>IFERROR(__xludf.DUMMYFUNCTION("""COMPUTED_VALUE"""),12.921864)</f>
        <v>12.921864</v>
      </c>
      <c r="E24144" s="4">
        <f>IFERROR(__xludf.DUMMYFUNCTION("""COMPUTED_VALUE"""),80.112744)</f>
        <v>80.112744</v>
      </c>
      <c r="F24144" s="4">
        <f>IFERROR(__xludf.DUMMYFUNCTION("""COMPUTED_VALUE"""),3143.0)</f>
        <v>3143</v>
      </c>
      <c r="G24144" s="4">
        <f>IFERROR(__xludf.DUMMYFUNCTION("""COMPUTED_VALUE"""),35.0)</f>
        <v>35</v>
      </c>
      <c r="H24144" s="4"/>
      <c r="I24144" s="4"/>
    </row>
    <row r="24145">
      <c r="A24145" s="4" t="str">
        <f>IFERROR(__xludf.DUMMYFUNCTION("""COMPUTED_VALUE"""),"cas_hmw")</f>
        <v>cas_hmw</v>
      </c>
      <c r="B24145" s="5">
        <f>IFERROR(__xludf.DUMMYFUNCTION("""COMPUTED_VALUE"""),44798.0)</f>
        <v>44798</v>
      </c>
      <c r="C24145" s="6">
        <f>IFERROR(__xludf.DUMMYFUNCTION("""COMPUTED_VALUE"""),0.7491319444452529)</f>
        <v>0.7491319444</v>
      </c>
      <c r="D24145" s="4">
        <f>IFERROR(__xludf.DUMMYFUNCTION("""COMPUTED_VALUE"""),12.923484)</f>
        <v>12.923484</v>
      </c>
      <c r="E24145" s="4">
        <f>IFERROR(__xludf.DUMMYFUNCTION("""COMPUTED_VALUE"""),80.118581)</f>
        <v>80.118581</v>
      </c>
      <c r="F24145" s="4">
        <f>IFERROR(__xludf.DUMMYFUNCTION("""COMPUTED_VALUE"""),3143.0)</f>
        <v>3143</v>
      </c>
      <c r="G24145" s="4">
        <f>IFERROR(__xludf.DUMMYFUNCTION("""COMPUTED_VALUE"""),7.0)</f>
        <v>7</v>
      </c>
      <c r="H24145" s="4"/>
      <c r="I24145" s="4"/>
    </row>
    <row r="24146">
      <c r="A24146" s="4" t="str">
        <f>IFERROR(__xludf.DUMMYFUNCTION("""COMPUTED_VALUE"""),"cas_hmw")</f>
        <v>cas_hmw</v>
      </c>
      <c r="B24146" s="5">
        <f>IFERROR(__xludf.DUMMYFUNCTION("""COMPUTED_VALUE"""),44798.0)</f>
        <v>44798</v>
      </c>
      <c r="C24146" s="6">
        <f>IFERROR(__xludf.DUMMYFUNCTION("""COMPUTED_VALUE"""),0.7496412037035043)</f>
        <v>0.7496412037</v>
      </c>
      <c r="D24146" s="4">
        <f>IFERROR(__xludf.DUMMYFUNCTION("""COMPUTED_VALUE"""),12.923299)</f>
        <v>12.923299</v>
      </c>
      <c r="E24146" s="4">
        <f>IFERROR(__xludf.DUMMYFUNCTION("""COMPUTED_VALUE"""),80.120587)</f>
        <v>80.120587</v>
      </c>
      <c r="F24146" s="4">
        <f>IFERROR(__xludf.DUMMYFUNCTION("""COMPUTED_VALUE"""),3143.0)</f>
        <v>3143</v>
      </c>
      <c r="G24146" s="4">
        <f>IFERROR(__xludf.DUMMYFUNCTION("""COMPUTED_VALUE"""),20.0)</f>
        <v>20</v>
      </c>
      <c r="H24146" s="4"/>
      <c r="I24146" s="4"/>
    </row>
    <row r="24147">
      <c r="A24147" s="4" t="str">
        <f>IFERROR(__xludf.DUMMYFUNCTION("""COMPUTED_VALUE"""),"cas_hmw")</f>
        <v>cas_hmw</v>
      </c>
      <c r="B24147" s="5">
        <f>IFERROR(__xludf.DUMMYFUNCTION("""COMPUTED_VALUE"""),44798.0)</f>
        <v>44798</v>
      </c>
      <c r="C24147" s="6">
        <f>IFERROR(__xludf.DUMMYFUNCTION("""COMPUTED_VALUE"""),0.752372685186856)</f>
        <v>0.7523726852</v>
      </c>
      <c r="D24147" s="4">
        <f>IFERROR(__xludf.DUMMYFUNCTION("""COMPUTED_VALUE"""),12.922826)</f>
        <v>12.922826</v>
      </c>
      <c r="E24147" s="4">
        <f>IFERROR(__xludf.DUMMYFUNCTION("""COMPUTED_VALUE"""),80.130302)</f>
        <v>80.130302</v>
      </c>
      <c r="F24147" s="4">
        <f>IFERROR(__xludf.DUMMYFUNCTION("""COMPUTED_VALUE"""),3143.0)</f>
        <v>3143</v>
      </c>
      <c r="G24147" s="4">
        <f>IFERROR(__xludf.DUMMYFUNCTION("""COMPUTED_VALUE"""),29.0)</f>
        <v>29</v>
      </c>
      <c r="H24147" s="4"/>
      <c r="I24147" s="4"/>
    </row>
    <row r="24148">
      <c r="A24148" s="4" t="str">
        <f>IFERROR(__xludf.DUMMYFUNCTION("""COMPUTED_VALUE"""),"cas_hmw")</f>
        <v>cas_hmw</v>
      </c>
      <c r="B24148" s="5">
        <f>IFERROR(__xludf.DUMMYFUNCTION("""COMPUTED_VALUE"""),44798.0)</f>
        <v>44798</v>
      </c>
      <c r="C24148" s="6">
        <f>IFERROR(__xludf.DUMMYFUNCTION("""COMPUTED_VALUE"""),0.7533796296302171)</f>
        <v>0.7533796296</v>
      </c>
      <c r="D24148" s="4">
        <f>IFERROR(__xludf.DUMMYFUNCTION("""COMPUTED_VALUE"""),12.922607)</f>
        <v>12.922607</v>
      </c>
      <c r="E24148" s="4">
        <f>IFERROR(__xludf.DUMMYFUNCTION("""COMPUTED_VALUE"""),80.136027)</f>
        <v>80.136027</v>
      </c>
      <c r="F24148" s="4">
        <f>IFERROR(__xludf.DUMMYFUNCTION("""COMPUTED_VALUE"""),3143.0)</f>
        <v>3143</v>
      </c>
      <c r="G24148" s="4">
        <f>IFERROR(__xludf.DUMMYFUNCTION("""COMPUTED_VALUE"""),23.0)</f>
        <v>23</v>
      </c>
      <c r="H24148" s="4"/>
      <c r="I24148" s="4"/>
    </row>
    <row r="24149">
      <c r="A24149" s="4" t="str">
        <f>IFERROR(__xludf.DUMMYFUNCTION("""COMPUTED_VALUE"""),"cas_hmw")</f>
        <v>cas_hmw</v>
      </c>
      <c r="B24149" s="5">
        <f>IFERROR(__xludf.DUMMYFUNCTION("""COMPUTED_VALUE"""),44798.0)</f>
        <v>44798</v>
      </c>
      <c r="C24149" s="6">
        <f>IFERROR(__xludf.DUMMYFUNCTION("""COMPUTED_VALUE"""),0.7557407407402934)</f>
        <v>0.7557407407</v>
      </c>
      <c r="D24149" s="4">
        <f>IFERROR(__xludf.DUMMYFUNCTION("""COMPUTED_VALUE"""),12.9226)</f>
        <v>12.9226</v>
      </c>
      <c r="E24149" s="4">
        <f>IFERROR(__xludf.DUMMYFUNCTION("""COMPUTED_VALUE"""),80.145228)</f>
        <v>80.145228</v>
      </c>
      <c r="F24149" s="4">
        <f>IFERROR(__xludf.DUMMYFUNCTION("""COMPUTED_VALUE"""),3143.0)</f>
        <v>3143</v>
      </c>
      <c r="G24149" s="4">
        <f>IFERROR(__xludf.DUMMYFUNCTION("""COMPUTED_VALUE"""),39.0)</f>
        <v>39</v>
      </c>
      <c r="H24149" s="4"/>
      <c r="I24149" s="4"/>
    </row>
    <row r="24150">
      <c r="A24150" s="4" t="str">
        <f>IFERROR(__xludf.DUMMYFUNCTION("""COMPUTED_VALUE"""),"cas_hmw")</f>
        <v>cas_hmw</v>
      </c>
      <c r="B24150" s="5">
        <f>IFERROR(__xludf.DUMMYFUNCTION("""COMPUTED_VALUE"""),44798.0)</f>
        <v>44798</v>
      </c>
      <c r="C24150" s="6">
        <f>IFERROR(__xludf.DUMMYFUNCTION("""COMPUTED_VALUE"""),0.7571527777763549)</f>
        <v>0.7571527778</v>
      </c>
      <c r="D24150" s="4">
        <f>IFERROR(__xludf.DUMMYFUNCTION("""COMPUTED_VALUE"""),12.92273)</f>
        <v>12.92273</v>
      </c>
      <c r="E24150" s="4">
        <f>IFERROR(__xludf.DUMMYFUNCTION("""COMPUTED_VALUE"""),80.149535)</f>
        <v>80.149535</v>
      </c>
      <c r="F24150" s="4">
        <f>IFERROR(__xludf.DUMMYFUNCTION("""COMPUTED_VALUE"""),3143.0)</f>
        <v>3143</v>
      </c>
      <c r="G24150" s="4">
        <f>IFERROR(__xludf.DUMMYFUNCTION("""COMPUTED_VALUE"""),28.0)</f>
        <v>28</v>
      </c>
      <c r="H24150" s="4"/>
      <c r="I24150" s="4"/>
    </row>
    <row r="24151">
      <c r="A24151" s="4" t="str">
        <f>IFERROR(__xludf.DUMMYFUNCTION("""COMPUTED_VALUE"""),"cas_hmw")</f>
        <v>cas_hmw</v>
      </c>
      <c r="B24151" s="5">
        <f>IFERROR(__xludf.DUMMYFUNCTION("""COMPUTED_VALUE"""),44798.0)</f>
        <v>44798</v>
      </c>
      <c r="C24151" s="6">
        <f>IFERROR(__xludf.DUMMYFUNCTION("""COMPUTED_VALUE"""),0.7571643518531346)</f>
        <v>0.7571643519</v>
      </c>
      <c r="D24151" s="4">
        <f>IFERROR(__xludf.DUMMYFUNCTION("""COMPUTED_VALUE"""),12.92273)</f>
        <v>12.92273</v>
      </c>
      <c r="E24151" s="4">
        <f>IFERROR(__xludf.DUMMYFUNCTION("""COMPUTED_VALUE"""),80.149535)</f>
        <v>80.149535</v>
      </c>
      <c r="F24151" s="4">
        <f>IFERROR(__xludf.DUMMYFUNCTION("""COMPUTED_VALUE"""),3143.0)</f>
        <v>3143</v>
      </c>
      <c r="G24151" s="4">
        <f>IFERROR(__xludf.DUMMYFUNCTION("""COMPUTED_VALUE"""),28.0)</f>
        <v>28</v>
      </c>
      <c r="H24151" s="4"/>
      <c r="I24151" s="4"/>
    </row>
    <row r="24152">
      <c r="A24152" s="4" t="str">
        <f>IFERROR(__xludf.DUMMYFUNCTION("""COMPUTED_VALUE"""),"cas_hmw")</f>
        <v>cas_hmw</v>
      </c>
      <c r="B24152" s="5">
        <f>IFERROR(__xludf.DUMMYFUNCTION("""COMPUTED_VALUE"""),44798.0)</f>
        <v>44798</v>
      </c>
      <c r="C24152" s="6">
        <f>IFERROR(__xludf.DUMMYFUNCTION("""COMPUTED_VALUE"""),0.7571759259262762)</f>
        <v>0.7571759259</v>
      </c>
      <c r="D24152" s="4">
        <f>IFERROR(__xludf.DUMMYFUNCTION("""COMPUTED_VALUE"""),12.92273)</f>
        <v>12.92273</v>
      </c>
      <c r="E24152" s="4">
        <f>IFERROR(__xludf.DUMMYFUNCTION("""COMPUTED_VALUE"""),80.149535)</f>
        <v>80.149535</v>
      </c>
      <c r="F24152" s="4">
        <f>IFERROR(__xludf.DUMMYFUNCTION("""COMPUTED_VALUE"""),3143.0)</f>
        <v>3143</v>
      </c>
      <c r="G24152" s="4">
        <f>IFERROR(__xludf.DUMMYFUNCTION("""COMPUTED_VALUE"""),28.0)</f>
        <v>28</v>
      </c>
      <c r="H24152" s="4"/>
      <c r="I24152" s="4"/>
    </row>
    <row r="24153">
      <c r="A24153" s="4" t="str">
        <f>IFERROR(__xludf.DUMMYFUNCTION("""COMPUTED_VALUE"""),"cas_hmw")</f>
        <v>cas_hmw</v>
      </c>
      <c r="B24153" s="5">
        <f>IFERROR(__xludf.DUMMYFUNCTION("""COMPUTED_VALUE"""),44798.0)</f>
        <v>44798</v>
      </c>
      <c r="C24153" s="6">
        <f>IFERROR(__xludf.DUMMYFUNCTION("""COMPUTED_VALUE"""),0.7573263888880319)</f>
        <v>0.7573263889</v>
      </c>
      <c r="D24153" s="4">
        <f>IFERROR(__xludf.DUMMYFUNCTION("""COMPUTED_VALUE"""),12.922756)</f>
        <v>12.922756</v>
      </c>
      <c r="E24153" s="4">
        <f>IFERROR(__xludf.DUMMYFUNCTION("""COMPUTED_VALUE"""),80.150278)</f>
        <v>80.150278</v>
      </c>
      <c r="F24153" s="4">
        <f>IFERROR(__xludf.DUMMYFUNCTION("""COMPUTED_VALUE"""),3143.0)</f>
        <v>3143</v>
      </c>
      <c r="G24153" s="4">
        <f>IFERROR(__xludf.DUMMYFUNCTION("""COMPUTED_VALUE"""),30.0)</f>
        <v>30</v>
      </c>
      <c r="H24153" s="4"/>
      <c r="I24153" s="4"/>
    </row>
    <row r="24154">
      <c r="A24154" s="4" t="str">
        <f>IFERROR(__xludf.DUMMYFUNCTION("""COMPUTED_VALUE"""),"cas_hmw")</f>
        <v>cas_hmw</v>
      </c>
      <c r="B24154" s="5">
        <f>IFERROR(__xludf.DUMMYFUNCTION("""COMPUTED_VALUE"""),44798.0)</f>
        <v>44798</v>
      </c>
      <c r="C24154" s="6">
        <f>IFERROR(__xludf.DUMMYFUNCTION("""COMPUTED_VALUE"""),0.7588541666664241)</f>
        <v>0.7588541667</v>
      </c>
      <c r="D24154" s="4">
        <f>IFERROR(__xludf.DUMMYFUNCTION("""COMPUTED_VALUE"""),12.923626)</f>
        <v>12.923626</v>
      </c>
      <c r="E24154" s="4">
        <f>IFERROR(__xludf.DUMMYFUNCTION("""COMPUTED_VALUE"""),80.157516)</f>
        <v>80.157516</v>
      </c>
      <c r="F24154" s="4">
        <f>IFERROR(__xludf.DUMMYFUNCTION("""COMPUTED_VALUE"""),3143.0)</f>
        <v>3143</v>
      </c>
      <c r="G24154" s="4">
        <f>IFERROR(__xludf.DUMMYFUNCTION("""COMPUTED_VALUE"""),37.0)</f>
        <v>37</v>
      </c>
      <c r="H24154" s="4"/>
      <c r="I24154" s="4"/>
    </row>
    <row r="24155">
      <c r="A24155" s="4" t="str">
        <f>IFERROR(__xludf.DUMMYFUNCTION("""COMPUTED_VALUE"""),"cas_hmw")</f>
        <v>cas_hmw</v>
      </c>
      <c r="B24155" s="5">
        <f>IFERROR(__xludf.DUMMYFUNCTION("""COMPUTED_VALUE"""),44798.0)</f>
        <v>44798</v>
      </c>
      <c r="C24155" s="6">
        <f>IFERROR(__xludf.DUMMYFUNCTION("""COMPUTED_VALUE"""),0.7605555555564933)</f>
        <v>0.7605555556</v>
      </c>
      <c r="D24155" s="4">
        <f>IFERROR(__xludf.DUMMYFUNCTION("""COMPUTED_VALUE"""),12.920209)</f>
        <v>12.920209</v>
      </c>
      <c r="E24155" s="4">
        <f>IFERROR(__xludf.DUMMYFUNCTION("""COMPUTED_VALUE"""),80.170106)</f>
        <v>80.170106</v>
      </c>
      <c r="F24155" s="4">
        <f>IFERROR(__xludf.DUMMYFUNCTION("""COMPUTED_VALUE"""),3143.0)</f>
        <v>3143</v>
      </c>
      <c r="G24155" s="4">
        <f>IFERROR(__xludf.DUMMYFUNCTION("""COMPUTED_VALUE"""),32.0)</f>
        <v>32</v>
      </c>
      <c r="H24155" s="4"/>
      <c r="I24155" s="4"/>
    </row>
    <row r="24156">
      <c r="A24156" s="4" t="str">
        <f>IFERROR(__xludf.DUMMYFUNCTION("""COMPUTED_VALUE"""),"cas_hmw")</f>
        <v>cas_hmw</v>
      </c>
      <c r="B24156" s="5">
        <f>IFERROR(__xludf.DUMMYFUNCTION("""COMPUTED_VALUE"""),44798.0)</f>
        <v>44798</v>
      </c>
      <c r="C24156" s="6">
        <f>IFERROR(__xludf.DUMMYFUNCTION("""COMPUTED_VALUE"""),0.7862615740741603)</f>
        <v>0.7862615741</v>
      </c>
      <c r="D24156" s="4">
        <f>IFERROR(__xludf.DUMMYFUNCTION("""COMPUTED_VALUE"""),12.957816)</f>
        <v>12.957816</v>
      </c>
      <c r="E24156" s="4">
        <f>IFERROR(__xludf.DUMMYFUNCTION("""COMPUTED_VALUE"""),80.213749)</f>
        <v>80.213749</v>
      </c>
      <c r="F24156" s="4">
        <f>IFERROR(__xludf.DUMMYFUNCTION("""COMPUTED_VALUE"""),3143.0)</f>
        <v>3143</v>
      </c>
      <c r="G24156" s="4">
        <f>IFERROR(__xludf.DUMMYFUNCTION("""COMPUTED_VALUE"""),47.0)</f>
        <v>47</v>
      </c>
      <c r="H24156" s="4"/>
      <c r="I24156" s="4"/>
    </row>
    <row r="24157">
      <c r="A24157" s="4" t="str">
        <f>IFERROR(__xludf.DUMMYFUNCTION("""COMPUTED_VALUE"""),"cas_hmw")</f>
        <v>cas_hmw</v>
      </c>
      <c r="B24157" s="5">
        <f>IFERROR(__xludf.DUMMYFUNCTION("""COMPUTED_VALUE"""),44798.0)</f>
        <v>44798</v>
      </c>
      <c r="C24157" s="6">
        <f>IFERROR(__xludf.DUMMYFUNCTION("""COMPUTED_VALUE"""),0.7871412037020491)</f>
        <v>0.7871412037</v>
      </c>
      <c r="D24157" s="4">
        <f>IFERROR(__xludf.DUMMYFUNCTION("""COMPUTED_VALUE"""),12.952725)</f>
        <v>12.952725</v>
      </c>
      <c r="E24157" s="4">
        <f>IFERROR(__xludf.DUMMYFUNCTION("""COMPUTED_VALUE"""),80.21178)</f>
        <v>80.21178</v>
      </c>
      <c r="F24157" s="4">
        <f>IFERROR(__xludf.DUMMYFUNCTION("""COMPUTED_VALUE"""),3143.0)</f>
        <v>3143</v>
      </c>
      <c r="G24157" s="4">
        <f>IFERROR(__xludf.DUMMYFUNCTION("""COMPUTED_VALUE"""),34.0)</f>
        <v>34</v>
      </c>
      <c r="H24157" s="4"/>
      <c r="I24157" s="4"/>
    </row>
    <row r="24158">
      <c r="A24158" s="4" t="str">
        <f>IFERROR(__xludf.DUMMYFUNCTION("""COMPUTED_VALUE"""),"cas_hmw")</f>
        <v>cas_hmw</v>
      </c>
      <c r="B24158" s="5">
        <f>IFERROR(__xludf.DUMMYFUNCTION("""COMPUTED_VALUE"""),44798.0)</f>
        <v>44798</v>
      </c>
      <c r="C24158" s="6">
        <f>IFERROR(__xludf.DUMMYFUNCTION("""COMPUTED_VALUE"""),0.7925115740727051)</f>
        <v>0.7925115741</v>
      </c>
      <c r="D24158" s="4">
        <f>IFERROR(__xludf.DUMMYFUNCTION("""COMPUTED_VALUE"""),12.948493)</f>
        <v>12.948493</v>
      </c>
      <c r="E24158" s="4">
        <f>IFERROR(__xludf.DUMMYFUNCTION("""COMPUTED_VALUE"""),80.208717)</f>
        <v>80.208717</v>
      </c>
      <c r="F24158" s="4">
        <f>IFERROR(__xludf.DUMMYFUNCTION("""COMPUTED_VALUE"""),3143.0)</f>
        <v>3143</v>
      </c>
      <c r="G24158" s="4">
        <f>IFERROR(__xludf.DUMMYFUNCTION("""COMPUTED_VALUE"""),35.0)</f>
        <v>35</v>
      </c>
      <c r="H24158" s="4"/>
      <c r="I24158" s="4"/>
    </row>
    <row r="24159">
      <c r="A24159" s="4" t="str">
        <f>IFERROR(__xludf.DUMMYFUNCTION("""COMPUTED_VALUE"""),"cas_hmw")</f>
        <v>cas_hmw</v>
      </c>
      <c r="B24159" s="5">
        <f>IFERROR(__xludf.DUMMYFUNCTION("""COMPUTED_VALUE"""),44798.0)</f>
        <v>44798</v>
      </c>
      <c r="C24159" s="6">
        <f>IFERROR(__xludf.DUMMYFUNCTION("""COMPUTED_VALUE"""),0.7929282407421852)</f>
        <v>0.7929282407</v>
      </c>
      <c r="D24159" s="4">
        <f>IFERROR(__xludf.DUMMYFUNCTION("""COMPUTED_VALUE"""),12.948704)</f>
        <v>12.948704</v>
      </c>
      <c r="E24159" s="4">
        <f>IFERROR(__xludf.DUMMYFUNCTION("""COMPUTED_VALUE"""),80.205583)</f>
        <v>80.205583</v>
      </c>
      <c r="F24159" s="4">
        <f>IFERROR(__xludf.DUMMYFUNCTION("""COMPUTED_VALUE"""),3143.0)</f>
        <v>3143</v>
      </c>
      <c r="G24159" s="4">
        <f>IFERROR(__xludf.DUMMYFUNCTION("""COMPUTED_VALUE"""),39.0)</f>
        <v>39</v>
      </c>
      <c r="H24159" s="4"/>
      <c r="I24159" s="4"/>
    </row>
    <row r="24160">
      <c r="A24160" s="4" t="str">
        <f>IFERROR(__xludf.DUMMYFUNCTION("""COMPUTED_VALUE"""),"cas_hmw")</f>
        <v>cas_hmw</v>
      </c>
      <c r="B24160" s="5">
        <f>IFERROR(__xludf.DUMMYFUNCTION("""COMPUTED_VALUE"""),44798.0)</f>
        <v>44798</v>
      </c>
      <c r="C24160" s="6">
        <f>IFERROR(__xludf.DUMMYFUNCTION("""COMPUTED_VALUE"""),0.7935416666659876)</f>
        <v>0.7935416667</v>
      </c>
      <c r="D24160" s="4">
        <f>IFERROR(__xludf.DUMMYFUNCTION("""COMPUTED_VALUE"""),12.94856)</f>
        <v>12.94856</v>
      </c>
      <c r="E24160" s="4">
        <f>IFERROR(__xludf.DUMMYFUNCTION("""COMPUTED_VALUE"""),80.200473)</f>
        <v>80.200473</v>
      </c>
      <c r="F24160" s="4">
        <f>IFERROR(__xludf.DUMMYFUNCTION("""COMPUTED_VALUE"""),3143.0)</f>
        <v>3143</v>
      </c>
      <c r="G24160" s="4">
        <f>IFERROR(__xludf.DUMMYFUNCTION("""COMPUTED_VALUE"""),37.0)</f>
        <v>37</v>
      </c>
      <c r="H24160" s="4"/>
      <c r="I24160" s="4"/>
    </row>
    <row r="24161">
      <c r="A24161" s="4" t="str">
        <f>IFERROR(__xludf.DUMMYFUNCTION("""COMPUTED_VALUE"""),"cas_hmw")</f>
        <v>cas_hmw</v>
      </c>
      <c r="B24161" s="5">
        <f>IFERROR(__xludf.DUMMYFUNCTION("""COMPUTED_VALUE"""),44798.0)</f>
        <v>44798</v>
      </c>
      <c r="C24161" s="6">
        <f>IFERROR(__xludf.DUMMYFUNCTION("""COMPUTED_VALUE"""),0.7940740740741603)</f>
        <v>0.7940740741</v>
      </c>
      <c r="D24161" s="4">
        <f>IFERROR(__xludf.DUMMYFUNCTION("""COMPUTED_VALUE"""),12.948523)</f>
        <v>12.948523</v>
      </c>
      <c r="E24161" s="4">
        <f>IFERROR(__xludf.DUMMYFUNCTION("""COMPUTED_VALUE"""),80.195323)</f>
        <v>80.195323</v>
      </c>
      <c r="F24161" s="4">
        <f>IFERROR(__xludf.DUMMYFUNCTION("""COMPUTED_VALUE"""),3143.0)</f>
        <v>3143</v>
      </c>
      <c r="G24161" s="4">
        <f>IFERROR(__xludf.DUMMYFUNCTION("""COMPUTED_VALUE"""),44.0)</f>
        <v>44</v>
      </c>
      <c r="H24161" s="4"/>
      <c r="I24161" s="4"/>
    </row>
    <row r="24162">
      <c r="A24162" s="4" t="str">
        <f>IFERROR(__xludf.DUMMYFUNCTION("""COMPUTED_VALUE"""),"cas_hmw")</f>
        <v>cas_hmw</v>
      </c>
      <c r="B24162" s="5">
        <f>IFERROR(__xludf.DUMMYFUNCTION("""COMPUTED_VALUE"""),44798.0)</f>
        <v>44798</v>
      </c>
      <c r="C24162" s="6">
        <f>IFERROR(__xludf.DUMMYFUNCTION("""COMPUTED_VALUE"""),0.7946296296286164)</f>
        <v>0.7946296296</v>
      </c>
      <c r="D24162" s="4">
        <f>IFERROR(__xludf.DUMMYFUNCTION("""COMPUTED_VALUE"""),12.948716)</f>
        <v>12.948716</v>
      </c>
      <c r="E24162" s="4">
        <f>IFERROR(__xludf.DUMMYFUNCTION("""COMPUTED_VALUE"""),80.190001)</f>
        <v>80.190001</v>
      </c>
      <c r="F24162" s="4">
        <f>IFERROR(__xludf.DUMMYFUNCTION("""COMPUTED_VALUE"""),3143.0)</f>
        <v>3143</v>
      </c>
      <c r="G24162" s="4">
        <f>IFERROR(__xludf.DUMMYFUNCTION("""COMPUTED_VALUE"""),45.0)</f>
        <v>45</v>
      </c>
      <c r="H24162" s="4"/>
      <c r="I24162" s="4"/>
    </row>
    <row r="24163">
      <c r="A24163" s="4" t="str">
        <f>IFERROR(__xludf.DUMMYFUNCTION("""COMPUTED_VALUE"""),"cas_hmw")</f>
        <v>cas_hmw</v>
      </c>
      <c r="B24163" s="5">
        <f>IFERROR(__xludf.DUMMYFUNCTION("""COMPUTED_VALUE"""),44798.0)</f>
        <v>44798</v>
      </c>
      <c r="C24163" s="6">
        <f>IFERROR(__xludf.DUMMYFUNCTION("""COMPUTED_VALUE"""),0.7956365740756155)</f>
        <v>0.7956365741</v>
      </c>
      <c r="D24163" s="4">
        <f>IFERROR(__xludf.DUMMYFUNCTION("""COMPUTED_VALUE"""),12.947256)</f>
        <v>12.947256</v>
      </c>
      <c r="E24163" s="4">
        <f>IFERROR(__xludf.DUMMYFUNCTION("""COMPUTED_VALUE"""),80.184478)</f>
        <v>80.184478</v>
      </c>
      <c r="F24163" s="4">
        <f>IFERROR(__xludf.DUMMYFUNCTION("""COMPUTED_VALUE"""),3143.0)</f>
        <v>3143</v>
      </c>
      <c r="G24163" s="4">
        <f>IFERROR(__xludf.DUMMYFUNCTION("""COMPUTED_VALUE"""),31.0)</f>
        <v>31</v>
      </c>
      <c r="H24163" s="4"/>
      <c r="I24163" s="4"/>
    </row>
    <row r="24164">
      <c r="A24164" s="4" t="str">
        <f>IFERROR(__xludf.DUMMYFUNCTION("""COMPUTED_VALUE"""),"cas_hmw")</f>
        <v>cas_hmw</v>
      </c>
      <c r="B24164" s="5">
        <f>IFERROR(__xludf.DUMMYFUNCTION("""COMPUTED_VALUE"""),44798.0)</f>
        <v>44798</v>
      </c>
      <c r="C24164" s="6">
        <f>IFERROR(__xludf.DUMMYFUNCTION("""COMPUTED_VALUE"""),0.8057407407395658)</f>
        <v>0.8057407407</v>
      </c>
      <c r="D24164" s="4">
        <f>IFERROR(__xludf.DUMMYFUNCTION("""COMPUTED_VALUE"""),12.918349)</f>
        <v>12.918349</v>
      </c>
      <c r="E24164" s="4">
        <f>IFERROR(__xludf.DUMMYFUNCTION("""COMPUTED_VALUE"""),80.178216)</f>
        <v>80.178216</v>
      </c>
      <c r="F24164" s="4">
        <f>IFERROR(__xludf.DUMMYFUNCTION("""COMPUTED_VALUE"""),3143.0)</f>
        <v>3143</v>
      </c>
      <c r="G24164" s="4">
        <f>IFERROR(__xludf.DUMMYFUNCTION("""COMPUTED_VALUE"""),28.0)</f>
        <v>28</v>
      </c>
      <c r="H24164" s="4"/>
      <c r="I24164" s="4"/>
    </row>
    <row r="24165">
      <c r="A24165" s="4" t="str">
        <f>IFERROR(__xludf.DUMMYFUNCTION("""COMPUTED_VALUE"""),"cas_hmw")</f>
        <v>cas_hmw</v>
      </c>
      <c r="B24165" s="5">
        <f>IFERROR(__xludf.DUMMYFUNCTION("""COMPUTED_VALUE"""),44798.0)</f>
        <v>44798</v>
      </c>
      <c r="C24165" s="6">
        <f>IFERROR(__xludf.DUMMYFUNCTION("""COMPUTED_VALUE"""),0.806956018517667)</f>
        <v>0.8069560185</v>
      </c>
      <c r="D24165" s="4">
        <f>IFERROR(__xludf.DUMMYFUNCTION("""COMPUTED_VALUE"""),12.920045)</f>
        <v>12.920045</v>
      </c>
      <c r="E24165" s="4">
        <f>IFERROR(__xludf.DUMMYFUNCTION("""COMPUTED_VALUE"""),80.170194)</f>
        <v>80.170194</v>
      </c>
      <c r="F24165" s="4">
        <f>IFERROR(__xludf.DUMMYFUNCTION("""COMPUTED_VALUE"""),3143.0)</f>
        <v>3143</v>
      </c>
      <c r="G24165" s="4">
        <f>IFERROR(__xludf.DUMMYFUNCTION("""COMPUTED_VALUE"""),34.0)</f>
        <v>34</v>
      </c>
      <c r="H24165" s="4"/>
      <c r="I24165" s="4"/>
    </row>
    <row r="24166">
      <c r="A24166" s="4" t="str">
        <f>IFERROR(__xludf.DUMMYFUNCTION("""COMPUTED_VALUE"""),"cas_hmw")</f>
        <v>cas_hmw</v>
      </c>
      <c r="B24166" s="5">
        <f>IFERROR(__xludf.DUMMYFUNCTION("""COMPUTED_VALUE"""),44798.0)</f>
        <v>44798</v>
      </c>
      <c r="C24166" s="6">
        <f>IFERROR(__xludf.DUMMYFUNCTION("""COMPUTED_VALUE"""),0.8154745370375167)</f>
        <v>0.815474537</v>
      </c>
      <c r="D24166" s="4">
        <f>IFERROR(__xludf.DUMMYFUNCTION("""COMPUTED_VALUE"""),12.916787)</f>
        <v>12.916787</v>
      </c>
      <c r="E24166" s="4">
        <f>IFERROR(__xludf.DUMMYFUNCTION("""COMPUTED_VALUE"""),80.144984)</f>
        <v>80.144984</v>
      </c>
      <c r="F24166" s="4">
        <f>IFERROR(__xludf.DUMMYFUNCTION("""COMPUTED_VALUE"""),3143.0)</f>
        <v>3143</v>
      </c>
      <c r="G24166" s="4">
        <f>IFERROR(__xludf.DUMMYFUNCTION("""COMPUTED_VALUE"""),45.0)</f>
        <v>45</v>
      </c>
      <c r="H24166" s="4"/>
      <c r="I24166" s="4"/>
    </row>
    <row r="24167">
      <c r="A24167" s="4" t="str">
        <f>IFERROR(__xludf.DUMMYFUNCTION("""COMPUTED_VALUE"""),"cas_hmw")</f>
        <v>cas_hmw</v>
      </c>
      <c r="B24167" s="5">
        <f>IFERROR(__xludf.DUMMYFUNCTION("""COMPUTED_VALUE"""),44798.0)</f>
        <v>44798</v>
      </c>
      <c r="C24167" s="6">
        <f>IFERROR(__xludf.DUMMYFUNCTION("""COMPUTED_VALUE"""),0.8271296296297805)</f>
        <v>0.8271296296</v>
      </c>
      <c r="D24167" s="4">
        <f>IFERROR(__xludf.DUMMYFUNCTION("""COMPUTED_VALUE"""),12.863372)</f>
        <v>12.863372</v>
      </c>
      <c r="E24167" s="4">
        <f>IFERROR(__xludf.DUMMYFUNCTION("""COMPUTED_VALUE"""),80.12726)</f>
        <v>80.12726</v>
      </c>
      <c r="F24167" s="4">
        <f>IFERROR(__xludf.DUMMYFUNCTION("""COMPUTED_VALUE"""),3143.0)</f>
        <v>3143</v>
      </c>
      <c r="G24167" s="4">
        <f>IFERROR(__xludf.DUMMYFUNCTION("""COMPUTED_VALUE"""),16.0)</f>
        <v>16</v>
      </c>
      <c r="H24167" s="4"/>
      <c r="I24167" s="4"/>
    </row>
    <row r="24168">
      <c r="A24168" s="4" t="str">
        <f>IFERROR(__xludf.DUMMYFUNCTION("""COMPUTED_VALUE"""),"cas_hmw")</f>
        <v>cas_hmw</v>
      </c>
      <c r="B24168" s="5">
        <f>IFERROR(__xludf.DUMMYFUNCTION("""COMPUTED_VALUE"""),44798.0)</f>
        <v>44798</v>
      </c>
      <c r="C24168" s="6">
        <f>IFERROR(__xludf.DUMMYFUNCTION("""COMPUTED_VALUE"""),0.8272106481490482)</f>
        <v>0.8272106481</v>
      </c>
      <c r="D24168" s="4">
        <f>IFERROR(__xludf.DUMMYFUNCTION("""COMPUTED_VALUE"""),12.862942)</f>
        <v>12.862942</v>
      </c>
      <c r="E24168" s="4">
        <f>IFERROR(__xludf.DUMMYFUNCTION("""COMPUTED_VALUE"""),80.12707)</f>
        <v>80.12707</v>
      </c>
      <c r="F24168" s="4">
        <f>IFERROR(__xludf.DUMMYFUNCTION("""COMPUTED_VALUE"""),3143.0)</f>
        <v>3143</v>
      </c>
      <c r="G24168" s="4">
        <f>IFERROR(__xludf.DUMMYFUNCTION("""COMPUTED_VALUE"""),4.0)</f>
        <v>4</v>
      </c>
      <c r="H24168" s="4"/>
      <c r="I24168" s="4"/>
    </row>
    <row r="24169">
      <c r="A24169" s="4" t="str">
        <f>IFERROR(__xludf.DUMMYFUNCTION("""COMPUTED_VALUE"""),"cas_hmw")</f>
        <v>cas_hmw</v>
      </c>
      <c r="B24169" s="5">
        <f>IFERROR(__xludf.DUMMYFUNCTION("""COMPUTED_VALUE"""),44798.0)</f>
        <v>44798</v>
      </c>
      <c r="C24169" s="6">
        <f>IFERROR(__xludf.DUMMYFUNCTION("""COMPUTED_VALUE"""),0.828020833334449)</f>
        <v>0.8280208333</v>
      </c>
      <c r="D24169" s="4">
        <f>IFERROR(__xludf.DUMMYFUNCTION("""COMPUTED_VALUE"""),12.864065)</f>
        <v>12.864065</v>
      </c>
      <c r="E24169" s="4">
        <f>IFERROR(__xludf.DUMMYFUNCTION("""COMPUTED_VALUE"""),80.123405)</f>
        <v>80.123405</v>
      </c>
      <c r="F24169" s="4">
        <f>IFERROR(__xludf.DUMMYFUNCTION("""COMPUTED_VALUE"""),3143.0)</f>
        <v>3143</v>
      </c>
      <c r="G24169" s="4">
        <f>IFERROR(__xludf.DUMMYFUNCTION("""COMPUTED_VALUE"""),48.0)</f>
        <v>48</v>
      </c>
      <c r="H24169" s="4"/>
      <c r="I24169" s="4"/>
    </row>
    <row r="24170">
      <c r="A24170" s="4" t="str">
        <f>IFERROR(__xludf.DUMMYFUNCTION("""COMPUTED_VALUE"""),"cas_hmw")</f>
        <v>cas_hmw</v>
      </c>
      <c r="B24170" s="5">
        <f>IFERROR(__xludf.DUMMYFUNCTION("""COMPUTED_VALUE"""),44798.0)</f>
        <v>44798</v>
      </c>
      <c r="C24170" s="6">
        <f>IFERROR(__xludf.DUMMYFUNCTION("""COMPUTED_VALUE"""),0.830358796294604)</f>
        <v>0.8303587963</v>
      </c>
      <c r="D24170" s="4">
        <f>IFERROR(__xludf.DUMMYFUNCTION("""COMPUTED_VALUE"""),12.871212)</f>
        <v>12.871212</v>
      </c>
      <c r="E24170" s="4">
        <f>IFERROR(__xludf.DUMMYFUNCTION("""COMPUTED_VALUE"""),80.102885)</f>
        <v>80.102885</v>
      </c>
      <c r="F24170" s="4">
        <f>IFERROR(__xludf.DUMMYFUNCTION("""COMPUTED_VALUE"""),3143.0)</f>
        <v>3143</v>
      </c>
      <c r="G24170" s="4">
        <f>IFERROR(__xludf.DUMMYFUNCTION("""COMPUTED_VALUE"""),44.0)</f>
        <v>44</v>
      </c>
      <c r="H24170" s="4"/>
      <c r="I24170" s="4"/>
    </row>
    <row r="24171">
      <c r="A24171" s="4" t="str">
        <f>IFERROR(__xludf.DUMMYFUNCTION("""COMPUTED_VALUE"""),"cas_hmw")</f>
        <v>cas_hmw</v>
      </c>
      <c r="B24171" s="5">
        <f>IFERROR(__xludf.DUMMYFUNCTION("""COMPUTED_VALUE"""),44799.0)</f>
        <v>44799</v>
      </c>
      <c r="C24171" s="6">
        <f>IFERROR(__xludf.DUMMYFUNCTION("""COMPUTED_VALUE"""),0.24921296296452056)</f>
        <v>0.249212963</v>
      </c>
      <c r="D24171" s="4">
        <f>IFERROR(__xludf.DUMMYFUNCTION("""COMPUTED_VALUE"""),12.906076)</f>
        <v>12.906076</v>
      </c>
      <c r="E24171" s="4">
        <f>IFERROR(__xludf.DUMMYFUNCTION("""COMPUTED_VALUE"""),80.095882)</f>
        <v>80.095882</v>
      </c>
      <c r="F24171" s="4">
        <f>IFERROR(__xludf.DUMMYFUNCTION("""COMPUTED_VALUE"""),5339.0)</f>
        <v>5339</v>
      </c>
      <c r="G24171" s="4">
        <f>IFERROR(__xludf.DUMMYFUNCTION("""COMPUTED_VALUE"""),57.0)</f>
        <v>57</v>
      </c>
      <c r="H24171" s="4"/>
      <c r="I24171" s="4"/>
    </row>
    <row r="24172">
      <c r="A24172" s="4" t="str">
        <f>IFERROR(__xludf.DUMMYFUNCTION("""COMPUTED_VALUE"""),"cas_hmw")</f>
        <v>cas_hmw</v>
      </c>
      <c r="B24172" s="5">
        <f>IFERROR(__xludf.DUMMYFUNCTION("""COMPUTED_VALUE"""),44799.0)</f>
        <v>44799</v>
      </c>
      <c r="C24172" s="6">
        <f>IFERROR(__xludf.DUMMYFUNCTION("""COMPUTED_VALUE"""),0.24982638888832298)</f>
        <v>0.2498263889</v>
      </c>
      <c r="D24172" s="4">
        <f>IFERROR(__xludf.DUMMYFUNCTION("""COMPUTED_VALUE"""),12.910324)</f>
        <v>12.910324</v>
      </c>
      <c r="E24172" s="4">
        <f>IFERROR(__xludf.DUMMYFUNCTION("""COMPUTED_VALUE"""),80.100473)</f>
        <v>80.100473</v>
      </c>
      <c r="F24172" s="4">
        <f>IFERROR(__xludf.DUMMYFUNCTION("""COMPUTED_VALUE"""),5339.0)</f>
        <v>5339</v>
      </c>
      <c r="G24172" s="4">
        <f>IFERROR(__xludf.DUMMYFUNCTION("""COMPUTED_VALUE"""),36.0)</f>
        <v>36</v>
      </c>
      <c r="H24172" s="4"/>
      <c r="I24172" s="4"/>
    </row>
    <row r="24173">
      <c r="A24173" s="4" t="str">
        <f>IFERROR(__xludf.DUMMYFUNCTION("""COMPUTED_VALUE"""),"cas_hmw")</f>
        <v>cas_hmw</v>
      </c>
      <c r="B24173" s="5">
        <f>IFERROR(__xludf.DUMMYFUNCTION("""COMPUTED_VALUE"""),44799.0)</f>
        <v>44799</v>
      </c>
      <c r="C24173" s="6">
        <f>IFERROR(__xludf.DUMMYFUNCTION("""COMPUTED_VALUE"""),0.25019675925796037)</f>
        <v>0.2501967593</v>
      </c>
      <c r="D24173" s="4">
        <f>IFERROR(__xludf.DUMMYFUNCTION("""COMPUTED_VALUE"""),12.913315)</f>
        <v>12.913315</v>
      </c>
      <c r="E24173" s="4">
        <f>IFERROR(__xludf.DUMMYFUNCTION("""COMPUTED_VALUE"""),80.10154)</f>
        <v>80.10154</v>
      </c>
      <c r="F24173" s="4">
        <f>IFERROR(__xludf.DUMMYFUNCTION("""COMPUTED_VALUE"""),5339.0)</f>
        <v>5339</v>
      </c>
      <c r="G24173" s="4">
        <f>IFERROR(__xludf.DUMMYFUNCTION("""COMPUTED_VALUE"""),45.0)</f>
        <v>45</v>
      </c>
      <c r="H24173" s="4"/>
      <c r="I24173" s="4"/>
    </row>
    <row r="24174">
      <c r="A24174" s="4" t="str">
        <f>IFERROR(__xludf.DUMMYFUNCTION("""COMPUTED_VALUE"""),"cas_hmw")</f>
        <v>cas_hmw</v>
      </c>
      <c r="B24174" s="5">
        <f>IFERROR(__xludf.DUMMYFUNCTION("""COMPUTED_VALUE"""),44799.0)</f>
        <v>44799</v>
      </c>
      <c r="C24174" s="6">
        <f>IFERROR(__xludf.DUMMYFUNCTION("""COMPUTED_VALUE"""),0.25081018518540077)</f>
        <v>0.2508101852</v>
      </c>
      <c r="D24174" s="4">
        <f>IFERROR(__xludf.DUMMYFUNCTION("""COMPUTED_VALUE"""),12.916906)</f>
        <v>12.916906</v>
      </c>
      <c r="E24174" s="4">
        <f>IFERROR(__xludf.DUMMYFUNCTION("""COMPUTED_VALUE"""),80.106783)</f>
        <v>80.106783</v>
      </c>
      <c r="F24174" s="4">
        <f>IFERROR(__xludf.DUMMYFUNCTION("""COMPUTED_VALUE"""),5339.0)</f>
        <v>5339</v>
      </c>
      <c r="G24174" s="4">
        <f>IFERROR(__xludf.DUMMYFUNCTION("""COMPUTED_VALUE"""),46.0)</f>
        <v>46</v>
      </c>
      <c r="H24174" s="4"/>
      <c r="I24174" s="4"/>
    </row>
    <row r="24175">
      <c r="A24175" s="4" t="str">
        <f>IFERROR(__xludf.DUMMYFUNCTION("""COMPUTED_VALUE"""),"cas_hmw")</f>
        <v>cas_hmw</v>
      </c>
      <c r="B24175" s="5">
        <f>IFERROR(__xludf.DUMMYFUNCTION("""COMPUTED_VALUE"""),44799.0)</f>
        <v>44799</v>
      </c>
      <c r="C24175" s="6">
        <f>IFERROR(__xludf.DUMMYFUNCTION("""COMPUTED_VALUE"""),0.25121527777810115)</f>
        <v>0.2512152778</v>
      </c>
      <c r="D24175" s="4">
        <f>IFERROR(__xludf.DUMMYFUNCTION("""COMPUTED_VALUE"""),12.919732)</f>
        <v>12.919732</v>
      </c>
      <c r="E24175" s="4">
        <f>IFERROR(__xludf.DUMMYFUNCTION("""COMPUTED_VALUE"""),80.110611)</f>
        <v>80.110611</v>
      </c>
      <c r="F24175" s="4">
        <f>IFERROR(__xludf.DUMMYFUNCTION("""COMPUTED_VALUE"""),5339.0)</f>
        <v>5339</v>
      </c>
      <c r="G24175" s="4">
        <f>IFERROR(__xludf.DUMMYFUNCTION("""COMPUTED_VALUE"""),46.0)</f>
        <v>46</v>
      </c>
      <c r="H24175" s="4"/>
      <c r="I24175" s="4"/>
    </row>
    <row r="24176">
      <c r="A24176" s="4" t="str">
        <f>IFERROR(__xludf.DUMMYFUNCTION("""COMPUTED_VALUE"""),"cas_hmw")</f>
        <v>cas_hmw</v>
      </c>
      <c r="B24176" s="5">
        <f>IFERROR(__xludf.DUMMYFUNCTION("""COMPUTED_VALUE"""),44799.0)</f>
        <v>44799</v>
      </c>
      <c r="C24176" s="6">
        <f>IFERROR(__xludf.DUMMYFUNCTION("""COMPUTED_VALUE"""),0.25125000000116415)</f>
        <v>0.25125</v>
      </c>
      <c r="D24176" s="4">
        <f>IFERROR(__xludf.DUMMYFUNCTION("""COMPUTED_VALUE"""),12.919732)</f>
        <v>12.919732</v>
      </c>
      <c r="E24176" s="4">
        <f>IFERROR(__xludf.DUMMYFUNCTION("""COMPUTED_VALUE"""),80.110611)</f>
        <v>80.110611</v>
      </c>
      <c r="F24176" s="4">
        <f>IFERROR(__xludf.DUMMYFUNCTION("""COMPUTED_VALUE"""),5339.0)</f>
        <v>5339</v>
      </c>
      <c r="G24176" s="4">
        <f>IFERROR(__xludf.DUMMYFUNCTION("""COMPUTED_VALUE"""),46.0)</f>
        <v>46</v>
      </c>
      <c r="H24176" s="4"/>
      <c r="I24176" s="4"/>
    </row>
    <row r="24177">
      <c r="A24177" s="4" t="str">
        <f>IFERROR(__xludf.DUMMYFUNCTION("""COMPUTED_VALUE"""),"cas_hmw")</f>
        <v>cas_hmw</v>
      </c>
      <c r="B24177" s="5">
        <f>IFERROR(__xludf.DUMMYFUNCTION("""COMPUTED_VALUE"""),44799.0)</f>
        <v>44799</v>
      </c>
      <c r="C24177" s="6">
        <f>IFERROR(__xludf.DUMMYFUNCTION("""COMPUTED_VALUE"""),0.2512731481474475)</f>
        <v>0.2512731481</v>
      </c>
      <c r="D24177" s="4">
        <f>IFERROR(__xludf.DUMMYFUNCTION("""COMPUTED_VALUE"""),12.919732)</f>
        <v>12.919732</v>
      </c>
      <c r="E24177" s="4">
        <f>IFERROR(__xludf.DUMMYFUNCTION("""COMPUTED_VALUE"""),80.110611)</f>
        <v>80.110611</v>
      </c>
      <c r="F24177" s="4">
        <f>IFERROR(__xludf.DUMMYFUNCTION("""COMPUTED_VALUE"""),5339.0)</f>
        <v>5339</v>
      </c>
      <c r="G24177" s="4">
        <f>IFERROR(__xludf.DUMMYFUNCTION("""COMPUTED_VALUE"""),46.0)</f>
        <v>46</v>
      </c>
      <c r="H24177" s="4"/>
      <c r="I24177" s="4"/>
    </row>
    <row r="24178">
      <c r="A24178" s="4" t="str">
        <f>IFERROR(__xludf.DUMMYFUNCTION("""COMPUTED_VALUE"""),"cas_hmw")</f>
        <v>cas_hmw</v>
      </c>
      <c r="B24178" s="5">
        <f>IFERROR(__xludf.DUMMYFUNCTION("""COMPUTED_VALUE"""),44799.0)</f>
        <v>44799</v>
      </c>
      <c r="C24178" s="6">
        <f>IFERROR(__xludf.DUMMYFUNCTION("""COMPUTED_VALUE"""),0.2580671296309447)</f>
        <v>0.2580671296</v>
      </c>
      <c r="D24178" s="4">
        <f>IFERROR(__xludf.DUMMYFUNCTION("""COMPUTED_VALUE"""),12.950002)</f>
        <v>12.950002</v>
      </c>
      <c r="E24178" s="4">
        <f>IFERROR(__xludf.DUMMYFUNCTION("""COMPUTED_VALUE"""),80.139088)</f>
        <v>80.139088</v>
      </c>
      <c r="F24178" s="4">
        <f>IFERROR(__xludf.DUMMYFUNCTION("""COMPUTED_VALUE"""),5339.0)</f>
        <v>5339</v>
      </c>
      <c r="G24178" s="4">
        <f>IFERROR(__xludf.DUMMYFUNCTION("""COMPUTED_VALUE"""),58.0)</f>
        <v>58</v>
      </c>
      <c r="H24178" s="4"/>
      <c r="I24178" s="4"/>
    </row>
    <row r="24179">
      <c r="A24179" s="4" t="str">
        <f>IFERROR(__xludf.DUMMYFUNCTION("""COMPUTED_VALUE"""),"cas_hmw")</f>
        <v>cas_hmw</v>
      </c>
      <c r="B24179" s="5">
        <f>IFERROR(__xludf.DUMMYFUNCTION("""COMPUTED_VALUE"""),44799.0)</f>
        <v>44799</v>
      </c>
      <c r="C24179" s="6">
        <f>IFERROR(__xludf.DUMMYFUNCTION("""COMPUTED_VALUE"""),0.2619560185194132)</f>
        <v>0.2619560185</v>
      </c>
      <c r="D24179" s="4">
        <f>IFERROR(__xludf.DUMMYFUNCTION("""COMPUTED_VALUE"""),12.961773)</f>
        <v>12.961773</v>
      </c>
      <c r="E24179" s="4">
        <f>IFERROR(__xludf.DUMMYFUNCTION("""COMPUTED_VALUE"""),80.146065)</f>
        <v>80.146065</v>
      </c>
      <c r="F24179" s="4">
        <f>IFERROR(__xludf.DUMMYFUNCTION("""COMPUTED_VALUE"""),5339.0)</f>
        <v>5339</v>
      </c>
      <c r="G24179" s="4">
        <f>IFERROR(__xludf.DUMMYFUNCTION("""COMPUTED_VALUE"""),38.0)</f>
        <v>38</v>
      </c>
      <c r="H24179" s="4"/>
      <c r="I24179" s="4"/>
    </row>
    <row r="24180">
      <c r="A24180" s="4" t="str">
        <f>IFERROR(__xludf.DUMMYFUNCTION("""COMPUTED_VALUE"""),"cas_hmw")</f>
        <v>cas_hmw</v>
      </c>
      <c r="B24180" s="5">
        <f>IFERROR(__xludf.DUMMYFUNCTION("""COMPUTED_VALUE"""),44799.0)</f>
        <v>44799</v>
      </c>
      <c r="C24180" s="6">
        <f>IFERROR(__xludf.DUMMYFUNCTION("""COMPUTED_VALUE"""),0.2643402777794108)</f>
        <v>0.2643402778</v>
      </c>
      <c r="D24180" s="4">
        <f>IFERROR(__xludf.DUMMYFUNCTION("""COMPUTED_VALUE"""),12.98076)</f>
        <v>12.98076</v>
      </c>
      <c r="E24180" s="4">
        <f>IFERROR(__xludf.DUMMYFUNCTION("""COMPUTED_VALUE"""),80.165401)</f>
        <v>80.165401</v>
      </c>
      <c r="F24180" s="4">
        <f>IFERROR(__xludf.DUMMYFUNCTION("""COMPUTED_VALUE"""),5339.0)</f>
        <v>5339</v>
      </c>
      <c r="G24180" s="4">
        <f>IFERROR(__xludf.DUMMYFUNCTION("""COMPUTED_VALUE"""),56.0)</f>
        <v>56</v>
      </c>
      <c r="H24180" s="4"/>
      <c r="I24180" s="4"/>
    </row>
    <row r="24181">
      <c r="A24181" s="4" t="str">
        <f>IFERROR(__xludf.DUMMYFUNCTION("""COMPUTED_VALUE"""),"cas_hmw")</f>
        <v>cas_hmw</v>
      </c>
      <c r="B24181" s="5">
        <f>IFERROR(__xludf.DUMMYFUNCTION("""COMPUTED_VALUE"""),44799.0)</f>
        <v>44799</v>
      </c>
      <c r="C24181" s="6">
        <f>IFERROR(__xludf.DUMMYFUNCTION("""COMPUTED_VALUE"""),0.26774305555591127)</f>
        <v>0.2677430556</v>
      </c>
      <c r="D24181" s="4">
        <f>IFERROR(__xludf.DUMMYFUNCTION("""COMPUTED_VALUE"""),13.000019)</f>
        <v>13.000019</v>
      </c>
      <c r="E24181" s="4">
        <f>IFERROR(__xludf.DUMMYFUNCTION("""COMPUTED_VALUE"""),80.194185)</f>
        <v>80.194185</v>
      </c>
      <c r="F24181" s="4">
        <f>IFERROR(__xludf.DUMMYFUNCTION("""COMPUTED_VALUE"""),5339.0)</f>
        <v>5339</v>
      </c>
      <c r="G24181" s="4">
        <f>IFERROR(__xludf.DUMMYFUNCTION("""COMPUTED_VALUE"""),40.0)</f>
        <v>40</v>
      </c>
      <c r="H24181" s="4"/>
      <c r="I24181" s="4"/>
    </row>
    <row r="24182">
      <c r="A24182" s="4" t="str">
        <f>IFERROR(__xludf.DUMMYFUNCTION("""COMPUTED_VALUE"""),"cas_hmw")</f>
        <v>cas_hmw</v>
      </c>
      <c r="B24182" s="5">
        <f>IFERROR(__xludf.DUMMYFUNCTION("""COMPUTED_VALUE"""),44799.0)</f>
        <v>44799</v>
      </c>
      <c r="C24182" s="6">
        <f>IFERROR(__xludf.DUMMYFUNCTION("""COMPUTED_VALUE"""),0.2678356481483206)</f>
        <v>0.2678356481</v>
      </c>
      <c r="D24182" s="4">
        <f>IFERROR(__xludf.DUMMYFUNCTION("""COMPUTED_VALUE"""),13.000729)</f>
        <v>13.000729</v>
      </c>
      <c r="E24182" s="4">
        <f>IFERROR(__xludf.DUMMYFUNCTION("""COMPUTED_VALUE"""),80.195056)</f>
        <v>80.195056</v>
      </c>
      <c r="F24182" s="4">
        <f>IFERROR(__xludf.DUMMYFUNCTION("""COMPUTED_VALUE"""),5339.0)</f>
        <v>5339</v>
      </c>
      <c r="G24182" s="4">
        <f>IFERROR(__xludf.DUMMYFUNCTION("""COMPUTED_VALUE"""),41.0)</f>
        <v>41</v>
      </c>
      <c r="H24182" s="4"/>
      <c r="I24182" s="4"/>
    </row>
    <row r="24183">
      <c r="A24183" s="4" t="str">
        <f>IFERROR(__xludf.DUMMYFUNCTION("""COMPUTED_VALUE"""),"cas_hmw")</f>
        <v>cas_hmw</v>
      </c>
      <c r="B24183" s="5">
        <f>IFERROR(__xludf.DUMMYFUNCTION("""COMPUTED_VALUE"""),44799.0)</f>
        <v>44799</v>
      </c>
      <c r="C24183" s="6">
        <f>IFERROR(__xludf.DUMMYFUNCTION("""COMPUTED_VALUE"""),0.268101851852407)</f>
        <v>0.2681018519</v>
      </c>
      <c r="D24183" s="4">
        <f>IFERROR(__xludf.DUMMYFUNCTION("""COMPUTED_VALUE"""),13.001934)</f>
        <v>13.001934</v>
      </c>
      <c r="E24183" s="4">
        <f>IFERROR(__xludf.DUMMYFUNCTION("""COMPUTED_VALUE"""),80.196593)</f>
        <v>80.196593</v>
      </c>
      <c r="F24183" s="4">
        <f>IFERROR(__xludf.DUMMYFUNCTION("""COMPUTED_VALUE"""),5339.0)</f>
        <v>5339</v>
      </c>
      <c r="G24183" s="4">
        <f>IFERROR(__xludf.DUMMYFUNCTION("""COMPUTED_VALUE"""),45.0)</f>
        <v>45</v>
      </c>
      <c r="H24183" s="4"/>
      <c r="I24183" s="4"/>
    </row>
    <row r="24184">
      <c r="A24184" s="4" t="str">
        <f>IFERROR(__xludf.DUMMYFUNCTION("""COMPUTED_VALUE"""),"cas_hmw")</f>
        <v>cas_hmw</v>
      </c>
      <c r="B24184" s="5">
        <f>IFERROR(__xludf.DUMMYFUNCTION("""COMPUTED_VALUE"""),44799.0)</f>
        <v>44799</v>
      </c>
      <c r="C24184" s="6">
        <f>IFERROR(__xludf.DUMMYFUNCTION("""COMPUTED_VALUE"""),0.2719791666677338)</f>
        <v>0.2719791667</v>
      </c>
      <c r="D24184" s="4">
        <f>IFERROR(__xludf.DUMMYFUNCTION("""COMPUTED_VALUE"""),13.008074)</f>
        <v>13.008074</v>
      </c>
      <c r="E24184" s="4">
        <f>IFERROR(__xludf.DUMMYFUNCTION("""COMPUTED_VALUE"""),80.208309)</f>
        <v>80.208309</v>
      </c>
      <c r="F24184" s="4">
        <f>IFERROR(__xludf.DUMMYFUNCTION("""COMPUTED_VALUE"""),5339.0)</f>
        <v>5339</v>
      </c>
      <c r="G24184" s="4">
        <f>IFERROR(__xludf.DUMMYFUNCTION("""COMPUTED_VALUE"""),45.0)</f>
        <v>45</v>
      </c>
      <c r="H24184" s="4"/>
      <c r="I24184" s="4"/>
    </row>
    <row r="24185">
      <c r="A24185" s="4" t="str">
        <f>IFERROR(__xludf.DUMMYFUNCTION("""COMPUTED_VALUE"""),"cas_hmw")</f>
        <v>cas_hmw</v>
      </c>
      <c r="B24185" s="5">
        <f>IFERROR(__xludf.DUMMYFUNCTION("""COMPUTED_VALUE"""),44799.0)</f>
        <v>44799</v>
      </c>
      <c r="C24185" s="6">
        <f>IFERROR(__xludf.DUMMYFUNCTION("""COMPUTED_VALUE"""),0.2721296296294895)</f>
        <v>0.2721296296</v>
      </c>
      <c r="D24185" s="4">
        <f>IFERROR(__xludf.DUMMYFUNCTION("""COMPUTED_VALUE"""),13.008226)</f>
        <v>13.008226</v>
      </c>
      <c r="E24185" s="4">
        <f>IFERROR(__xludf.DUMMYFUNCTION("""COMPUTED_VALUE"""),80.209468)</f>
        <v>80.209468</v>
      </c>
      <c r="F24185" s="4">
        <f>IFERROR(__xludf.DUMMYFUNCTION("""COMPUTED_VALUE"""),5339.0)</f>
        <v>5339</v>
      </c>
      <c r="G24185" s="4">
        <f>IFERROR(__xludf.DUMMYFUNCTION("""COMPUTED_VALUE"""),42.0)</f>
        <v>42</v>
      </c>
      <c r="H24185" s="4"/>
      <c r="I24185" s="4"/>
    </row>
    <row r="24186">
      <c r="A24186" s="4" t="str">
        <f>IFERROR(__xludf.DUMMYFUNCTION("""COMPUTED_VALUE"""),"cas_hmw")</f>
        <v>cas_hmw</v>
      </c>
      <c r="B24186" s="5">
        <f>IFERROR(__xludf.DUMMYFUNCTION("""COMPUTED_VALUE"""),44799.0)</f>
        <v>44799</v>
      </c>
      <c r="C24186" s="6">
        <f>IFERROR(__xludf.DUMMYFUNCTION("""COMPUTED_VALUE"""),0.27392361111196806)</f>
        <v>0.2739236111</v>
      </c>
      <c r="D24186" s="4">
        <f>IFERROR(__xludf.DUMMYFUNCTION("""COMPUTED_VALUE"""),13.018612)</f>
        <v>13.018612</v>
      </c>
      <c r="E24186" s="4">
        <f>IFERROR(__xludf.DUMMYFUNCTION("""COMPUTED_VALUE"""),80.224527)</f>
        <v>80.224527</v>
      </c>
      <c r="F24186" s="4">
        <f>IFERROR(__xludf.DUMMYFUNCTION("""COMPUTED_VALUE"""),5339.0)</f>
        <v>5339</v>
      </c>
      <c r="G24186" s="4">
        <f>IFERROR(__xludf.DUMMYFUNCTION("""COMPUTED_VALUE"""),44.0)</f>
        <v>44</v>
      </c>
      <c r="H24186" s="4"/>
      <c r="I24186" s="4"/>
    </row>
    <row r="24187">
      <c r="A24187" s="4" t="str">
        <f>IFERROR(__xludf.DUMMYFUNCTION("""COMPUTED_VALUE"""),"cas_hmw")</f>
        <v>cas_hmw</v>
      </c>
      <c r="B24187" s="5">
        <f>IFERROR(__xludf.DUMMYFUNCTION("""COMPUTED_VALUE"""),44799.0)</f>
        <v>44799</v>
      </c>
      <c r="C24187" s="6">
        <f>IFERROR(__xludf.DUMMYFUNCTION("""COMPUTED_VALUE"""),0.2744560185201408)</f>
        <v>0.2744560185</v>
      </c>
      <c r="D24187" s="4">
        <f>IFERROR(__xludf.DUMMYFUNCTION("""COMPUTED_VALUE"""),13.021537)</f>
        <v>13.021537</v>
      </c>
      <c r="E24187" s="4">
        <f>IFERROR(__xludf.DUMMYFUNCTION("""COMPUTED_VALUE"""),80.225883)</f>
        <v>80.225883</v>
      </c>
      <c r="F24187" s="4">
        <f>IFERROR(__xludf.DUMMYFUNCTION("""COMPUTED_VALUE"""),5339.0)</f>
        <v>5339</v>
      </c>
      <c r="G24187" s="4">
        <f>IFERROR(__xludf.DUMMYFUNCTION("""COMPUTED_VALUE"""),46.0)</f>
        <v>46</v>
      </c>
      <c r="H24187" s="4"/>
      <c r="I24187" s="4"/>
    </row>
    <row r="24188">
      <c r="A24188" s="4" t="str">
        <f>IFERROR(__xludf.DUMMYFUNCTION("""COMPUTED_VALUE"""),"cas_hmw")</f>
        <v>cas_hmw</v>
      </c>
      <c r="B24188" s="5">
        <f>IFERROR(__xludf.DUMMYFUNCTION("""COMPUTED_VALUE"""),44799.0)</f>
        <v>44799</v>
      </c>
      <c r="C24188" s="6">
        <f>IFERROR(__xludf.DUMMYFUNCTION("""COMPUTED_VALUE"""),0.2757638888906513)</f>
        <v>0.2757638889</v>
      </c>
      <c r="D24188" s="4">
        <f>IFERROR(__xludf.DUMMYFUNCTION("""COMPUTED_VALUE"""),13.026588)</f>
        <v>13.026588</v>
      </c>
      <c r="E24188" s="4">
        <f>IFERROR(__xludf.DUMMYFUNCTION("""COMPUTED_VALUE"""),80.232956)</f>
        <v>80.232956</v>
      </c>
      <c r="F24188" s="4">
        <f>IFERROR(__xludf.DUMMYFUNCTION("""COMPUTED_VALUE"""),5339.0)</f>
        <v>5339</v>
      </c>
      <c r="G24188" s="4">
        <f>IFERROR(__xludf.DUMMYFUNCTION("""COMPUTED_VALUE"""),48.0)</f>
        <v>48</v>
      </c>
      <c r="H24188" s="4"/>
      <c r="I24188" s="4"/>
    </row>
    <row r="24189">
      <c r="A24189" s="4" t="str">
        <f>IFERROR(__xludf.DUMMYFUNCTION("""COMPUTED_VALUE"""),"cas_hmw")</f>
        <v>cas_hmw</v>
      </c>
      <c r="B24189" s="5">
        <f>IFERROR(__xludf.DUMMYFUNCTION("""COMPUTED_VALUE"""),44799.0)</f>
        <v>44799</v>
      </c>
      <c r="C24189" s="6">
        <f>IFERROR(__xludf.DUMMYFUNCTION("""COMPUTED_VALUE"""),0.27589120370248565)</f>
        <v>0.2758912037</v>
      </c>
      <c r="D24189" s="4">
        <f>IFERROR(__xludf.DUMMYFUNCTION("""COMPUTED_VALUE"""),13.027907)</f>
        <v>13.027907</v>
      </c>
      <c r="E24189" s="4">
        <f>IFERROR(__xludf.DUMMYFUNCTION("""COMPUTED_VALUE"""),80.235251)</f>
        <v>80.235251</v>
      </c>
      <c r="F24189" s="4">
        <f>IFERROR(__xludf.DUMMYFUNCTION("""COMPUTED_VALUE"""),5339.0)</f>
        <v>5339</v>
      </c>
      <c r="G24189" s="4">
        <f>IFERROR(__xludf.DUMMYFUNCTION("""COMPUTED_VALUE"""),53.0)</f>
        <v>53</v>
      </c>
      <c r="H24189" s="4"/>
      <c r="I24189" s="4"/>
    </row>
    <row r="24190">
      <c r="A24190" s="4" t="str">
        <f>IFERROR(__xludf.DUMMYFUNCTION("""COMPUTED_VALUE"""),"cas_hmw")</f>
        <v>cas_hmw</v>
      </c>
      <c r="B24190" s="5">
        <f>IFERROR(__xludf.DUMMYFUNCTION("""COMPUTED_VALUE"""),44799.0)</f>
        <v>44799</v>
      </c>
      <c r="C24190" s="6">
        <f>IFERROR(__xludf.DUMMYFUNCTION("""COMPUTED_VALUE"""),0.27599537037167465)</f>
        <v>0.2759953704</v>
      </c>
      <c r="D24190" s="4">
        <f>IFERROR(__xludf.DUMMYFUNCTION("""COMPUTED_VALUE"""),13.027907)</f>
        <v>13.027907</v>
      </c>
      <c r="E24190" s="4">
        <f>IFERROR(__xludf.DUMMYFUNCTION("""COMPUTED_VALUE"""),80.235251)</f>
        <v>80.235251</v>
      </c>
      <c r="F24190" s="4">
        <f>IFERROR(__xludf.DUMMYFUNCTION("""COMPUTED_VALUE"""),5339.0)</f>
        <v>5339</v>
      </c>
      <c r="G24190" s="4">
        <f>IFERROR(__xludf.DUMMYFUNCTION("""COMPUTED_VALUE"""),53.0)</f>
        <v>53</v>
      </c>
      <c r="H24190" s="4"/>
      <c r="I24190" s="4"/>
    </row>
    <row r="24191">
      <c r="A24191" s="4" t="str">
        <f>IFERROR(__xludf.DUMMYFUNCTION("""COMPUTED_VALUE"""),"cas_hmw")</f>
        <v>cas_hmw</v>
      </c>
      <c r="B24191" s="5">
        <f>IFERROR(__xludf.DUMMYFUNCTION("""COMPUTED_VALUE"""),44799.0)</f>
        <v>44799</v>
      </c>
      <c r="C24191" s="6">
        <f>IFERROR(__xludf.DUMMYFUNCTION("""COMPUTED_VALUE"""),0.288888888888323)</f>
        <v>0.2888888889</v>
      </c>
      <c r="D24191" s="4">
        <f>IFERROR(__xludf.DUMMYFUNCTION("""COMPUTED_VALUE"""),13.06615)</f>
        <v>13.06615</v>
      </c>
      <c r="E24191" s="4">
        <f>IFERROR(__xludf.DUMMYFUNCTION("""COMPUTED_VALUE"""),80.244228)</f>
        <v>80.244228</v>
      </c>
      <c r="F24191" s="4">
        <f>IFERROR(__xludf.DUMMYFUNCTION("""COMPUTED_VALUE"""),5339.0)</f>
        <v>5339</v>
      </c>
      <c r="G24191" s="4">
        <f>IFERROR(__xludf.DUMMYFUNCTION("""COMPUTED_VALUE"""),30.0)</f>
        <v>30</v>
      </c>
      <c r="H24191" s="4"/>
      <c r="I24191" s="4"/>
    </row>
    <row r="24192">
      <c r="A24192" s="4" t="str">
        <f>IFERROR(__xludf.DUMMYFUNCTION("""COMPUTED_VALUE"""),"cas_hmw")</f>
        <v>cas_hmw</v>
      </c>
      <c r="B24192" s="5">
        <f>IFERROR(__xludf.DUMMYFUNCTION("""COMPUTED_VALUE"""),44799.0)</f>
        <v>44799</v>
      </c>
      <c r="C24192" s="6">
        <f>IFERROR(__xludf.DUMMYFUNCTION("""COMPUTED_VALUE"""),0.2889814814807323)</f>
        <v>0.2889814815</v>
      </c>
      <c r="D24192" s="4">
        <f>IFERROR(__xludf.DUMMYFUNCTION("""COMPUTED_VALUE"""),13.06615)</f>
        <v>13.06615</v>
      </c>
      <c r="E24192" s="4">
        <f>IFERROR(__xludf.DUMMYFUNCTION("""COMPUTED_VALUE"""),80.244228)</f>
        <v>80.244228</v>
      </c>
      <c r="F24192" s="4">
        <f>IFERROR(__xludf.DUMMYFUNCTION("""COMPUTED_VALUE"""),5339.0)</f>
        <v>5339</v>
      </c>
      <c r="G24192" s="4">
        <f>IFERROR(__xludf.DUMMYFUNCTION("""COMPUTED_VALUE"""),30.0)</f>
        <v>30</v>
      </c>
      <c r="H24192" s="4"/>
      <c r="I24192" s="4"/>
    </row>
    <row r="24193">
      <c r="A24193" s="4" t="str">
        <f>IFERROR(__xludf.DUMMYFUNCTION("""COMPUTED_VALUE"""),"cas_hmw")</f>
        <v>cas_hmw</v>
      </c>
      <c r="B24193" s="5">
        <f>IFERROR(__xludf.DUMMYFUNCTION("""COMPUTED_VALUE"""),44799.0)</f>
        <v>44799</v>
      </c>
      <c r="C24193" s="6">
        <f>IFERROR(__xludf.DUMMYFUNCTION("""COMPUTED_VALUE"""),0.3084953703692008)</f>
        <v>0.3084953704</v>
      </c>
      <c r="D24193" s="4">
        <f>IFERROR(__xludf.DUMMYFUNCTION("""COMPUTED_VALUE"""),13.063594)</f>
        <v>13.063594</v>
      </c>
      <c r="E24193" s="4">
        <f>IFERROR(__xludf.DUMMYFUNCTION("""COMPUTED_VALUE"""),80.274099)</f>
        <v>80.274099</v>
      </c>
      <c r="F24193" s="4">
        <f>IFERROR(__xludf.DUMMYFUNCTION("""COMPUTED_VALUE"""),5339.0)</f>
        <v>5339</v>
      </c>
      <c r="G24193" s="4">
        <f>IFERROR(__xludf.DUMMYFUNCTION("""COMPUTED_VALUE"""),23.0)</f>
        <v>23</v>
      </c>
      <c r="H24193" s="4"/>
      <c r="I24193" s="4"/>
    </row>
    <row r="24194">
      <c r="A24194" s="4" t="str">
        <f>IFERROR(__xludf.DUMMYFUNCTION("""COMPUTED_VALUE"""),"cas_hmw")</f>
        <v>cas_hmw</v>
      </c>
      <c r="B24194" s="5">
        <f>IFERROR(__xludf.DUMMYFUNCTION("""COMPUTED_VALUE"""),44799.0)</f>
        <v>44799</v>
      </c>
      <c r="C24194" s="6">
        <f>IFERROR(__xludf.DUMMYFUNCTION("""COMPUTED_VALUE"""),0.3084953703692008)</f>
        <v>0.3084953704</v>
      </c>
      <c r="D24194" s="4">
        <f>IFERROR(__xludf.DUMMYFUNCTION("""COMPUTED_VALUE"""),13.061906)</f>
        <v>13.061906</v>
      </c>
      <c r="E24194" s="4">
        <f>IFERROR(__xludf.DUMMYFUNCTION("""COMPUTED_VALUE"""),80.274314)</f>
        <v>80.274314</v>
      </c>
      <c r="F24194" s="4">
        <f>IFERROR(__xludf.DUMMYFUNCTION("""COMPUTED_VALUE"""),5339.0)</f>
        <v>5339</v>
      </c>
      <c r="G24194" s="4">
        <f>IFERROR(__xludf.DUMMYFUNCTION("""COMPUTED_VALUE"""),27.0)</f>
        <v>27</v>
      </c>
      <c r="H24194" s="4"/>
      <c r="I24194" s="4"/>
    </row>
    <row r="24195">
      <c r="A24195" s="4" t="str">
        <f>IFERROR(__xludf.DUMMYFUNCTION("""COMPUTED_VALUE"""),"cas_hmw")</f>
        <v>cas_hmw</v>
      </c>
      <c r="B24195" s="5">
        <f>IFERROR(__xludf.DUMMYFUNCTION("""COMPUTED_VALUE"""),44799.0)</f>
        <v>44799</v>
      </c>
      <c r="C24195" s="6">
        <f>IFERROR(__xludf.DUMMYFUNCTION("""COMPUTED_VALUE"""),0.7458217592575238)</f>
        <v>0.7458217593</v>
      </c>
      <c r="D24195" s="4">
        <f>IFERROR(__xludf.DUMMYFUNCTION("""COMPUTED_VALUE"""),12.887068)</f>
        <v>12.887068</v>
      </c>
      <c r="E24195" s="4">
        <f>IFERROR(__xludf.DUMMYFUNCTION("""COMPUTED_VALUE"""),80.083287)</f>
        <v>80.083287</v>
      </c>
      <c r="F24195" s="4">
        <f>IFERROR(__xludf.DUMMYFUNCTION("""COMPUTED_VALUE"""),5339.0)</f>
        <v>5339</v>
      </c>
      <c r="G24195" s="4">
        <f>IFERROR(__xludf.DUMMYFUNCTION("""COMPUTED_VALUE"""),54.0)</f>
        <v>54</v>
      </c>
      <c r="H24195" s="4"/>
      <c r="I24195" s="4"/>
    </row>
    <row r="24196">
      <c r="A24196" s="4" t="str">
        <f>IFERROR(__xludf.DUMMYFUNCTION("""COMPUTED_VALUE"""),"cas_hmw")</f>
        <v>cas_hmw</v>
      </c>
      <c r="B24196" s="5">
        <f>IFERROR(__xludf.DUMMYFUNCTION("""COMPUTED_VALUE"""),44799.0)</f>
        <v>44799</v>
      </c>
      <c r="C24196" s="6">
        <f>IFERROR(__xludf.DUMMYFUNCTION("""COMPUTED_VALUE"""),0.7458217592575238)</f>
        <v>0.7458217593</v>
      </c>
      <c r="D24196" s="4">
        <f>IFERROR(__xludf.DUMMYFUNCTION("""COMPUTED_VALUE"""),12.887068)</f>
        <v>12.887068</v>
      </c>
      <c r="E24196" s="4">
        <f>IFERROR(__xludf.DUMMYFUNCTION("""COMPUTED_VALUE"""),80.083287)</f>
        <v>80.083287</v>
      </c>
      <c r="F24196" s="4">
        <f>IFERROR(__xludf.DUMMYFUNCTION("""COMPUTED_VALUE"""),5339.0)</f>
        <v>5339</v>
      </c>
      <c r="G24196" s="4">
        <f>IFERROR(__xludf.DUMMYFUNCTION("""COMPUTED_VALUE"""),54.0)</f>
        <v>54</v>
      </c>
      <c r="H24196" s="4"/>
      <c r="I24196" s="4"/>
    </row>
    <row r="24197">
      <c r="A24197" s="4" t="str">
        <f>IFERROR(__xludf.DUMMYFUNCTION("""COMPUTED_VALUE"""),"cas_hmw")</f>
        <v>cas_hmw</v>
      </c>
      <c r="B24197" s="5">
        <f>IFERROR(__xludf.DUMMYFUNCTION("""COMPUTED_VALUE"""),44799.0)</f>
        <v>44799</v>
      </c>
      <c r="C24197" s="6">
        <f>IFERROR(__xludf.DUMMYFUNCTION("""COMPUTED_VALUE"""),0.7458333333343035)</f>
        <v>0.7458333333</v>
      </c>
      <c r="D24197" s="4">
        <f>IFERROR(__xludf.DUMMYFUNCTION("""COMPUTED_VALUE"""),12.887068)</f>
        <v>12.887068</v>
      </c>
      <c r="E24197" s="4">
        <f>IFERROR(__xludf.DUMMYFUNCTION("""COMPUTED_VALUE"""),80.083287)</f>
        <v>80.083287</v>
      </c>
      <c r="F24197" s="4">
        <f>IFERROR(__xludf.DUMMYFUNCTION("""COMPUTED_VALUE"""),5339.0)</f>
        <v>5339</v>
      </c>
      <c r="G24197" s="4">
        <f>IFERROR(__xludf.DUMMYFUNCTION("""COMPUTED_VALUE"""),54.0)</f>
        <v>54</v>
      </c>
      <c r="H24197" s="4"/>
      <c r="I24197" s="4"/>
    </row>
    <row r="24198">
      <c r="A24198" s="4" t="str">
        <f>IFERROR(__xludf.DUMMYFUNCTION("""COMPUTED_VALUE"""),"cas_hmw")</f>
        <v>cas_hmw</v>
      </c>
      <c r="B24198" s="5">
        <f>IFERROR(__xludf.DUMMYFUNCTION("""COMPUTED_VALUE"""),44799.0)</f>
        <v>44799</v>
      </c>
      <c r="C24198" s="6">
        <f>IFERROR(__xludf.DUMMYFUNCTION("""COMPUTED_VALUE"""),0.7458564814805868)</f>
        <v>0.7458564815</v>
      </c>
      <c r="D24198" s="4">
        <f>IFERROR(__xludf.DUMMYFUNCTION("""COMPUTED_VALUE"""),12.887068)</f>
        <v>12.887068</v>
      </c>
      <c r="E24198" s="4">
        <f>IFERROR(__xludf.DUMMYFUNCTION("""COMPUTED_VALUE"""),80.083287)</f>
        <v>80.083287</v>
      </c>
      <c r="F24198" s="4">
        <f>IFERROR(__xludf.DUMMYFUNCTION("""COMPUTED_VALUE"""),5339.0)</f>
        <v>5339</v>
      </c>
      <c r="G24198" s="4">
        <f>IFERROR(__xludf.DUMMYFUNCTION("""COMPUTED_VALUE"""),54.0)</f>
        <v>54</v>
      </c>
      <c r="H24198" s="4"/>
      <c r="I24198" s="4"/>
    </row>
    <row r="24199">
      <c r="A24199" s="4" t="str">
        <f>IFERROR(__xludf.DUMMYFUNCTION("""COMPUTED_VALUE"""),"cas_hmw")</f>
        <v>cas_hmw</v>
      </c>
      <c r="B24199" s="5">
        <f>IFERROR(__xludf.DUMMYFUNCTION("""COMPUTED_VALUE"""),44802.0)</f>
        <v>44802</v>
      </c>
      <c r="C24199" s="6">
        <f>IFERROR(__xludf.DUMMYFUNCTION("""COMPUTED_VALUE"""),0.2808796296303626)</f>
        <v>0.2808796296</v>
      </c>
      <c r="D24199" s="4">
        <f>IFERROR(__xludf.DUMMYFUNCTION("""COMPUTED_VALUE"""),12.919069)</f>
        <v>12.919069</v>
      </c>
      <c r="E24199" s="4">
        <f>IFERROR(__xludf.DUMMYFUNCTION("""COMPUTED_VALUE"""),80.109783)</f>
        <v>80.109783</v>
      </c>
      <c r="F24199" s="4">
        <f>IFERROR(__xludf.DUMMYFUNCTION("""COMPUTED_VALUE"""),3143.0)</f>
        <v>3143</v>
      </c>
      <c r="G24199" s="4">
        <f>IFERROR(__xludf.DUMMYFUNCTION("""COMPUTED_VALUE"""),55.0)</f>
        <v>55</v>
      </c>
      <c r="H24199" s="4"/>
      <c r="I24199" s="4"/>
    </row>
    <row r="24200">
      <c r="A24200" s="4" t="str">
        <f>IFERROR(__xludf.DUMMYFUNCTION("""COMPUTED_VALUE"""),"cas_hmw")</f>
        <v>cas_hmw</v>
      </c>
      <c r="B24200" s="5">
        <f>IFERROR(__xludf.DUMMYFUNCTION("""COMPUTED_VALUE"""),44802.0)</f>
        <v>44802</v>
      </c>
      <c r="C24200" s="6">
        <f>IFERROR(__xludf.DUMMYFUNCTION("""COMPUTED_VALUE"""),0.2912731481483206)</f>
        <v>0.2912731481</v>
      </c>
      <c r="D24200" s="4">
        <f>IFERROR(__xludf.DUMMYFUNCTION("""COMPUTED_VALUE"""),12.954528)</f>
        <v>12.954528</v>
      </c>
      <c r="E24200" s="4">
        <f>IFERROR(__xludf.DUMMYFUNCTION("""COMPUTED_VALUE"""),80.142218)</f>
        <v>80.142218</v>
      </c>
      <c r="F24200" s="4">
        <f>IFERROR(__xludf.DUMMYFUNCTION("""COMPUTED_VALUE"""),3143.0)</f>
        <v>3143</v>
      </c>
      <c r="G24200" s="4">
        <f>IFERROR(__xludf.DUMMYFUNCTION("""COMPUTED_VALUE"""),46.0)</f>
        <v>46</v>
      </c>
      <c r="H24200" s="4"/>
      <c r="I24200" s="4"/>
    </row>
    <row r="24201">
      <c r="A24201" s="4" t="str">
        <f>IFERROR(__xludf.DUMMYFUNCTION("""COMPUTED_VALUE"""),"cas_hmw")</f>
        <v>cas_hmw</v>
      </c>
      <c r="B24201" s="5">
        <f>IFERROR(__xludf.DUMMYFUNCTION("""COMPUTED_VALUE"""),44802.0)</f>
        <v>44802</v>
      </c>
      <c r="C24201" s="6">
        <f>IFERROR(__xludf.DUMMYFUNCTION("""COMPUTED_VALUE"""),0.29274305555736646)</f>
        <v>0.2927430556</v>
      </c>
      <c r="D24201" s="4">
        <f>IFERROR(__xludf.DUMMYFUNCTION("""COMPUTED_VALUE"""),12.960401)</f>
        <v>12.960401</v>
      </c>
      <c r="E24201" s="4">
        <f>IFERROR(__xludf.DUMMYFUNCTION("""COMPUTED_VALUE"""),80.145714)</f>
        <v>80.145714</v>
      </c>
      <c r="F24201" s="4">
        <f>IFERROR(__xludf.DUMMYFUNCTION("""COMPUTED_VALUE"""),3143.0)</f>
        <v>3143</v>
      </c>
      <c r="G24201" s="4">
        <f>IFERROR(__xludf.DUMMYFUNCTION("""COMPUTED_VALUE"""),20.0)</f>
        <v>20</v>
      </c>
      <c r="H24201" s="4"/>
      <c r="I24201" s="4"/>
    </row>
    <row r="24202">
      <c r="A24202" s="4" t="str">
        <f>IFERROR(__xludf.DUMMYFUNCTION("""COMPUTED_VALUE"""),"cas_hmw")</f>
        <v>cas_hmw</v>
      </c>
      <c r="B24202" s="5">
        <f>IFERROR(__xludf.DUMMYFUNCTION("""COMPUTED_VALUE"""),44802.0)</f>
        <v>44802</v>
      </c>
      <c r="C24202" s="6">
        <f>IFERROR(__xludf.DUMMYFUNCTION("""COMPUTED_VALUE"""),0.29932870370248565)</f>
        <v>0.2993287037</v>
      </c>
      <c r="D24202" s="4">
        <f>IFERROR(__xludf.DUMMYFUNCTION("""COMPUTED_VALUE"""),13.066953)</f>
        <v>13.066953</v>
      </c>
      <c r="E24202" s="4">
        <f>IFERROR(__xludf.DUMMYFUNCTION("""COMPUTED_VALUE"""),80.246145)</f>
        <v>80.246145</v>
      </c>
      <c r="F24202" s="4">
        <f>IFERROR(__xludf.DUMMYFUNCTION("""COMPUTED_VALUE"""),5339.0)</f>
        <v>5339</v>
      </c>
      <c r="G24202" s="4">
        <f>IFERROR(__xludf.DUMMYFUNCTION("""COMPUTED_VALUE"""),41.0)</f>
        <v>41</v>
      </c>
      <c r="H24202" s="4"/>
      <c r="I24202" s="4"/>
    </row>
    <row r="24203">
      <c r="A24203" s="4" t="str">
        <f>IFERROR(__xludf.DUMMYFUNCTION("""COMPUTED_VALUE"""),"cas_hmw")</f>
        <v>cas_hmw</v>
      </c>
      <c r="B24203" s="5">
        <f>IFERROR(__xludf.DUMMYFUNCTION("""COMPUTED_VALUE"""),44802.0)</f>
        <v>44802</v>
      </c>
      <c r="C24203" s="6">
        <f>IFERROR(__xludf.DUMMYFUNCTION("""COMPUTED_VALUE"""),0.312638888888614)</f>
        <v>0.3126388889</v>
      </c>
      <c r="D24203" s="4">
        <f>IFERROR(__xludf.DUMMYFUNCTION("""COMPUTED_VALUE"""),13.054034)</f>
        <v>13.054034</v>
      </c>
      <c r="E24203" s="4">
        <f>IFERROR(__xludf.DUMMYFUNCTION("""COMPUTED_VALUE"""),80.253381)</f>
        <v>80.253381</v>
      </c>
      <c r="F24203" s="4">
        <f>IFERROR(__xludf.DUMMYFUNCTION("""COMPUTED_VALUE"""),5339.0)</f>
        <v>5339</v>
      </c>
      <c r="G24203" s="4">
        <f>IFERROR(__xludf.DUMMYFUNCTION("""COMPUTED_VALUE"""),45.0)</f>
        <v>45</v>
      </c>
      <c r="H24203" s="4"/>
      <c r="I24203" s="4"/>
    </row>
    <row r="24204">
      <c r="A24204" s="4" t="str">
        <f>IFERROR(__xludf.DUMMYFUNCTION("""COMPUTED_VALUE"""),"cas_hmw")</f>
        <v>cas_hmw</v>
      </c>
      <c r="B24204" s="5">
        <f>IFERROR(__xludf.DUMMYFUNCTION("""COMPUTED_VALUE"""),44802.0)</f>
        <v>44802</v>
      </c>
      <c r="C24204" s="6">
        <f>IFERROR(__xludf.DUMMYFUNCTION("""COMPUTED_VALUE"""),0.31276620370408637)</f>
        <v>0.3127662037</v>
      </c>
      <c r="D24204" s="4">
        <f>IFERROR(__xludf.DUMMYFUNCTION("""COMPUTED_VALUE"""),13.053381)</f>
        <v>13.053381</v>
      </c>
      <c r="E24204" s="4">
        <f>IFERROR(__xludf.DUMMYFUNCTION("""COMPUTED_VALUE"""),80.252436)</f>
        <v>80.252436</v>
      </c>
      <c r="F24204" s="4">
        <f>IFERROR(__xludf.DUMMYFUNCTION("""COMPUTED_VALUE"""),5339.0)</f>
        <v>5339</v>
      </c>
      <c r="G24204" s="4">
        <f>IFERROR(__xludf.DUMMYFUNCTION("""COMPUTED_VALUE"""),45.0)</f>
        <v>45</v>
      </c>
      <c r="H24204" s="4"/>
      <c r="I24204" s="4"/>
    </row>
    <row r="24205">
      <c r="A24205" s="4" t="str">
        <f>IFERROR(__xludf.DUMMYFUNCTION("""COMPUTED_VALUE"""),"cas_hmw")</f>
        <v>cas_hmw</v>
      </c>
      <c r="B24205" s="5">
        <f>IFERROR(__xludf.DUMMYFUNCTION("""COMPUTED_VALUE"""),44802.0)</f>
        <v>44802</v>
      </c>
      <c r="C24205" s="6">
        <f>IFERROR(__xludf.DUMMYFUNCTION("""COMPUTED_VALUE"""),0.3132175925929914)</f>
        <v>0.3132175926</v>
      </c>
      <c r="D24205" s="4">
        <f>IFERROR(__xludf.DUMMYFUNCTION("""COMPUTED_VALUE"""),13.051998)</f>
        <v>13.051998</v>
      </c>
      <c r="E24205" s="4">
        <f>IFERROR(__xludf.DUMMYFUNCTION("""COMPUTED_VALUE"""),80.250639)</f>
        <v>80.250639</v>
      </c>
      <c r="F24205" s="4">
        <f>IFERROR(__xludf.DUMMYFUNCTION("""COMPUTED_VALUE"""),5339.0)</f>
        <v>5339</v>
      </c>
      <c r="G24205" s="4">
        <f>IFERROR(__xludf.DUMMYFUNCTION("""COMPUTED_VALUE"""),45.0)</f>
        <v>45</v>
      </c>
      <c r="H24205" s="4"/>
      <c r="I24205" s="4"/>
    </row>
    <row r="24206">
      <c r="A24206" s="4" t="str">
        <f>IFERROR(__xludf.DUMMYFUNCTION("""COMPUTED_VALUE"""),"cas_hmw")</f>
        <v>cas_hmw</v>
      </c>
      <c r="B24206" s="5">
        <f>IFERROR(__xludf.DUMMYFUNCTION("""COMPUTED_VALUE"""),44802.0)</f>
        <v>44802</v>
      </c>
      <c r="C24206" s="6">
        <f>IFERROR(__xludf.DUMMYFUNCTION("""COMPUTED_VALUE"""),0.31454861110978527)</f>
        <v>0.3145486111</v>
      </c>
      <c r="D24206" s="4">
        <f>IFERROR(__xludf.DUMMYFUNCTION("""COMPUTED_VALUE"""),13.040678)</f>
        <v>13.040678</v>
      </c>
      <c r="E24206" s="4">
        <f>IFERROR(__xludf.DUMMYFUNCTION("""COMPUTED_VALUE"""),80.247239)</f>
        <v>80.247239</v>
      </c>
      <c r="F24206" s="4">
        <f>IFERROR(__xludf.DUMMYFUNCTION("""COMPUTED_VALUE"""),5339.0)</f>
        <v>5339</v>
      </c>
      <c r="G24206" s="4">
        <f>IFERROR(__xludf.DUMMYFUNCTION("""COMPUTED_VALUE"""),51.0)</f>
        <v>51</v>
      </c>
      <c r="H24206" s="4"/>
      <c r="I24206" s="4"/>
    </row>
    <row r="24207">
      <c r="A24207" s="4" t="str">
        <f>IFERROR(__xludf.DUMMYFUNCTION("""COMPUTED_VALUE"""),"cas_hmw")</f>
        <v>cas_hmw</v>
      </c>
      <c r="B24207" s="5">
        <f>IFERROR(__xludf.DUMMYFUNCTION("""COMPUTED_VALUE"""),44802.0)</f>
        <v>44802</v>
      </c>
      <c r="C24207" s="6">
        <f>IFERROR(__xludf.DUMMYFUNCTION("""COMPUTED_VALUE"""),0.3154050925913907)</f>
        <v>0.3154050926</v>
      </c>
      <c r="D24207" s="4">
        <f>IFERROR(__xludf.DUMMYFUNCTION("""COMPUTED_VALUE"""),13.033574)</f>
        <v>13.033574</v>
      </c>
      <c r="E24207" s="4">
        <f>IFERROR(__xludf.DUMMYFUNCTION("""COMPUTED_VALUE"""),80.244072)</f>
        <v>80.244072</v>
      </c>
      <c r="F24207" s="4">
        <f>IFERROR(__xludf.DUMMYFUNCTION("""COMPUTED_VALUE"""),5339.0)</f>
        <v>5339</v>
      </c>
      <c r="G24207" s="4">
        <f>IFERROR(__xludf.DUMMYFUNCTION("""COMPUTED_VALUE"""),38.0)</f>
        <v>38</v>
      </c>
      <c r="H24207" s="4"/>
      <c r="I24207" s="4"/>
    </row>
    <row r="24208">
      <c r="A24208" s="4" t="str">
        <f>IFERROR(__xludf.DUMMYFUNCTION("""COMPUTED_VALUE"""),"cas_hmw")</f>
        <v>cas_hmw</v>
      </c>
      <c r="B24208" s="5">
        <f>IFERROR(__xludf.DUMMYFUNCTION("""COMPUTED_VALUE"""),44802.0)</f>
        <v>44802</v>
      </c>
      <c r="C24208" s="6">
        <f>IFERROR(__xludf.DUMMYFUNCTION("""COMPUTED_VALUE"""),0.3167592592581059)</f>
        <v>0.3167592593</v>
      </c>
      <c r="D24208" s="4">
        <f>IFERROR(__xludf.DUMMYFUNCTION("""COMPUTED_VALUE"""),13.027454)</f>
        <v>13.027454</v>
      </c>
      <c r="E24208" s="4">
        <f>IFERROR(__xludf.DUMMYFUNCTION("""COMPUTED_VALUE"""),80.234563)</f>
        <v>80.234563</v>
      </c>
      <c r="F24208" s="4">
        <f>IFERROR(__xludf.DUMMYFUNCTION("""COMPUTED_VALUE"""),5339.0)</f>
        <v>5339</v>
      </c>
      <c r="G24208" s="4">
        <f>IFERROR(__xludf.DUMMYFUNCTION("""COMPUTED_VALUE"""),41.0)</f>
        <v>41</v>
      </c>
      <c r="H24208" s="4"/>
      <c r="I24208" s="4"/>
    </row>
    <row r="24209">
      <c r="A24209" s="4" t="str">
        <f>IFERROR(__xludf.DUMMYFUNCTION("""COMPUTED_VALUE"""),"cas_hmw")</f>
        <v>cas_hmw</v>
      </c>
      <c r="B24209" s="5">
        <f>IFERROR(__xludf.DUMMYFUNCTION("""COMPUTED_VALUE"""),44802.0)</f>
        <v>44802</v>
      </c>
      <c r="C24209" s="6">
        <f>IFERROR(__xludf.DUMMYFUNCTION("""COMPUTED_VALUE"""),0.3170023148159089)</f>
        <v>0.3170023148</v>
      </c>
      <c r="D24209" s="4">
        <f>IFERROR(__xludf.DUMMYFUNCTION("""COMPUTED_VALUE"""),13.02643)</f>
        <v>13.02643</v>
      </c>
      <c r="E24209" s="4">
        <f>IFERROR(__xludf.DUMMYFUNCTION("""COMPUTED_VALUE"""),80.232807)</f>
        <v>80.232807</v>
      </c>
      <c r="F24209" s="4">
        <f>IFERROR(__xludf.DUMMYFUNCTION("""COMPUTED_VALUE"""),5339.0)</f>
        <v>5339</v>
      </c>
      <c r="G24209" s="4">
        <f>IFERROR(__xludf.DUMMYFUNCTION("""COMPUTED_VALUE"""),40.0)</f>
        <v>40</v>
      </c>
      <c r="H24209" s="4"/>
      <c r="I24209" s="4"/>
    </row>
    <row r="24210">
      <c r="A24210" s="4" t="str">
        <f>IFERROR(__xludf.DUMMYFUNCTION("""COMPUTED_VALUE"""),"cas_hmw")</f>
        <v>cas_hmw</v>
      </c>
      <c r="B24210" s="5">
        <f>IFERROR(__xludf.DUMMYFUNCTION("""COMPUTED_VALUE"""),44802.0)</f>
        <v>44802</v>
      </c>
      <c r="C24210" s="6">
        <f>IFERROR(__xludf.DUMMYFUNCTION("""COMPUTED_VALUE"""),0.3170370370353339)</f>
        <v>0.317037037</v>
      </c>
      <c r="D24210" s="4">
        <f>IFERROR(__xludf.DUMMYFUNCTION("""COMPUTED_VALUE"""),13.02643)</f>
        <v>13.02643</v>
      </c>
      <c r="E24210" s="4">
        <f>IFERROR(__xludf.DUMMYFUNCTION("""COMPUTED_VALUE"""),80.232807)</f>
        <v>80.232807</v>
      </c>
      <c r="F24210" s="4">
        <f>IFERROR(__xludf.DUMMYFUNCTION("""COMPUTED_VALUE"""),5339.0)</f>
        <v>5339</v>
      </c>
      <c r="G24210" s="4">
        <f>IFERROR(__xludf.DUMMYFUNCTION("""COMPUTED_VALUE"""),40.0)</f>
        <v>40</v>
      </c>
      <c r="H24210" s="4"/>
      <c r="I24210" s="4"/>
    </row>
    <row r="24211">
      <c r="A24211" s="4" t="str">
        <f>IFERROR(__xludf.DUMMYFUNCTION("""COMPUTED_VALUE"""),"cas_hmw")</f>
        <v>cas_hmw</v>
      </c>
      <c r="B24211" s="5">
        <f>IFERROR(__xludf.DUMMYFUNCTION("""COMPUTED_VALUE"""),44802.0)</f>
        <v>44802</v>
      </c>
      <c r="C24211" s="6">
        <f>IFERROR(__xludf.DUMMYFUNCTION("""COMPUTED_VALUE"""),0.31804398148233304)</f>
        <v>0.3180439815</v>
      </c>
      <c r="D24211" s="4">
        <f>IFERROR(__xludf.DUMMYFUNCTION("""COMPUTED_VALUE"""),13.024306)</f>
        <v>13.024306</v>
      </c>
      <c r="E24211" s="4">
        <f>IFERROR(__xludf.DUMMYFUNCTION("""COMPUTED_VALUE"""),80.228631)</f>
        <v>80.228631</v>
      </c>
      <c r="F24211" s="4">
        <f>IFERROR(__xludf.DUMMYFUNCTION("""COMPUTED_VALUE"""),5339.0)</f>
        <v>5339</v>
      </c>
      <c r="G24211" s="4">
        <f>IFERROR(__xludf.DUMMYFUNCTION("""COMPUTED_VALUE"""),29.0)</f>
        <v>29</v>
      </c>
      <c r="H24211" s="4"/>
      <c r="I24211" s="4"/>
    </row>
    <row r="24212">
      <c r="A24212" s="4" t="str">
        <f>IFERROR(__xludf.DUMMYFUNCTION("""COMPUTED_VALUE"""),"cas_hmw")</f>
        <v>cas_hmw</v>
      </c>
      <c r="B24212" s="5">
        <f>IFERROR(__xludf.DUMMYFUNCTION("""COMPUTED_VALUE"""),44802.0)</f>
        <v>44802</v>
      </c>
      <c r="C24212" s="6">
        <f>IFERROR(__xludf.DUMMYFUNCTION("""COMPUTED_VALUE"""),0.31880787037152913)</f>
        <v>0.3188078704</v>
      </c>
      <c r="D24212" s="4">
        <f>IFERROR(__xludf.DUMMYFUNCTION("""COMPUTED_VALUE"""),13.020151)</f>
        <v>13.020151</v>
      </c>
      <c r="E24212" s="4">
        <f>IFERROR(__xludf.DUMMYFUNCTION("""COMPUTED_VALUE"""),80.224922)</f>
        <v>80.224922</v>
      </c>
      <c r="F24212" s="4">
        <f>IFERROR(__xludf.DUMMYFUNCTION("""COMPUTED_VALUE"""),5339.0)</f>
        <v>5339</v>
      </c>
      <c r="G24212" s="4">
        <f>IFERROR(__xludf.DUMMYFUNCTION("""COMPUTED_VALUE"""),22.0)</f>
        <v>22</v>
      </c>
      <c r="H24212" s="4"/>
      <c r="I24212" s="4"/>
    </row>
    <row r="24213">
      <c r="A24213" s="4" t="str">
        <f>IFERROR(__xludf.DUMMYFUNCTION("""COMPUTED_VALUE"""),"cas_hmw")</f>
        <v>cas_hmw</v>
      </c>
      <c r="B24213" s="5">
        <f>IFERROR(__xludf.DUMMYFUNCTION("""COMPUTED_VALUE"""),44802.0)</f>
        <v>44802</v>
      </c>
      <c r="C24213" s="6">
        <f>IFERROR(__xludf.DUMMYFUNCTION("""COMPUTED_VALUE"""),0.3188194444446708)</f>
        <v>0.3188194444</v>
      </c>
      <c r="D24213" s="4">
        <f>IFERROR(__xludf.DUMMYFUNCTION("""COMPUTED_VALUE"""),13.020151)</f>
        <v>13.020151</v>
      </c>
      <c r="E24213" s="4">
        <f>IFERROR(__xludf.DUMMYFUNCTION("""COMPUTED_VALUE"""),80.224922)</f>
        <v>80.224922</v>
      </c>
      <c r="F24213" s="4">
        <f>IFERROR(__xludf.DUMMYFUNCTION("""COMPUTED_VALUE"""),5339.0)</f>
        <v>5339</v>
      </c>
      <c r="G24213" s="4">
        <f>IFERROR(__xludf.DUMMYFUNCTION("""COMPUTED_VALUE"""),22.0)</f>
        <v>22</v>
      </c>
      <c r="H24213" s="4"/>
      <c r="I24213" s="4"/>
    </row>
    <row r="24214">
      <c r="A24214" s="4" t="str">
        <f>IFERROR(__xludf.DUMMYFUNCTION("""COMPUTED_VALUE"""),"cas_hmw")</f>
        <v>cas_hmw</v>
      </c>
      <c r="B24214" s="5">
        <f>IFERROR(__xludf.DUMMYFUNCTION("""COMPUTED_VALUE"""),44802.0)</f>
        <v>44802</v>
      </c>
      <c r="C24214" s="6">
        <f>IFERROR(__xludf.DUMMYFUNCTION("""COMPUTED_VALUE"""),0.3189930555563478)</f>
        <v>0.3189930556</v>
      </c>
      <c r="D24214" s="4">
        <f>IFERROR(__xludf.DUMMYFUNCTION("""COMPUTED_VALUE"""),13.018805)</f>
        <v>13.018805</v>
      </c>
      <c r="E24214" s="4">
        <f>IFERROR(__xludf.DUMMYFUNCTION("""COMPUTED_VALUE"""),80.224508)</f>
        <v>80.224508</v>
      </c>
      <c r="F24214" s="4">
        <f>IFERROR(__xludf.DUMMYFUNCTION("""COMPUTED_VALUE"""),5339.0)</f>
        <v>5339</v>
      </c>
      <c r="G24214" s="4">
        <f>IFERROR(__xludf.DUMMYFUNCTION("""COMPUTED_VALUE"""),35.0)</f>
        <v>35</v>
      </c>
      <c r="H24214" s="4"/>
      <c r="I24214" s="4"/>
    </row>
    <row r="24215">
      <c r="A24215" s="4" t="str">
        <f>IFERROR(__xludf.DUMMYFUNCTION("""COMPUTED_VALUE"""),"cas_hmw")</f>
        <v>cas_hmw</v>
      </c>
      <c r="B24215" s="5">
        <f>IFERROR(__xludf.DUMMYFUNCTION("""COMPUTED_VALUE"""),44802.0)</f>
        <v>44802</v>
      </c>
      <c r="C24215" s="6">
        <f>IFERROR(__xludf.DUMMYFUNCTION("""COMPUTED_VALUE"""),0.31916666666802485)</f>
        <v>0.3191666667</v>
      </c>
      <c r="D24215" s="4">
        <f>IFERROR(__xludf.DUMMYFUNCTION("""COMPUTED_VALUE"""),13.017881)</f>
        <v>13.017881</v>
      </c>
      <c r="E24215" s="4">
        <f>IFERROR(__xludf.DUMMYFUNCTION("""COMPUTED_VALUE"""),80.224878)</f>
        <v>80.224878</v>
      </c>
      <c r="F24215" s="4">
        <f>IFERROR(__xludf.DUMMYFUNCTION("""COMPUTED_VALUE"""),5339.0)</f>
        <v>5339</v>
      </c>
      <c r="G24215" s="4">
        <f>IFERROR(__xludf.DUMMYFUNCTION("""COMPUTED_VALUE"""),38.0)</f>
        <v>38</v>
      </c>
      <c r="H24215" s="4"/>
      <c r="I24215" s="4"/>
    </row>
    <row r="24216">
      <c r="A24216" s="4" t="str">
        <f>IFERROR(__xludf.DUMMYFUNCTION("""COMPUTED_VALUE"""),"cas_hmw")</f>
        <v>cas_hmw</v>
      </c>
      <c r="B24216" s="5">
        <f>IFERROR(__xludf.DUMMYFUNCTION("""COMPUTED_VALUE"""),44802.0)</f>
        <v>44802</v>
      </c>
      <c r="C24216" s="6">
        <f>IFERROR(__xludf.DUMMYFUNCTION("""COMPUTED_VALUE"""),0.31923611111051287)</f>
        <v>0.3192361111</v>
      </c>
      <c r="D24216" s="4">
        <f>IFERROR(__xludf.DUMMYFUNCTION("""COMPUTED_VALUE"""),12.967462)</f>
        <v>12.967462</v>
      </c>
      <c r="E24216" s="4">
        <f>IFERROR(__xludf.DUMMYFUNCTION("""COMPUTED_VALUE"""),80.217628)</f>
        <v>80.217628</v>
      </c>
      <c r="F24216" s="4">
        <f>IFERROR(__xludf.DUMMYFUNCTION("""COMPUTED_VALUE"""),3143.0)</f>
        <v>3143</v>
      </c>
      <c r="G24216" s="4">
        <f>IFERROR(__xludf.DUMMYFUNCTION("""COMPUTED_VALUE"""),47.0)</f>
        <v>47</v>
      </c>
      <c r="H24216" s="4"/>
      <c r="I24216" s="4"/>
    </row>
    <row r="24217">
      <c r="A24217" s="4" t="str">
        <f>IFERROR(__xludf.DUMMYFUNCTION("""COMPUTED_VALUE"""),"cas_hmw")</f>
        <v>cas_hmw</v>
      </c>
      <c r="B24217" s="5">
        <f>IFERROR(__xludf.DUMMYFUNCTION("""COMPUTED_VALUE"""),44802.0)</f>
        <v>44802</v>
      </c>
      <c r="C24217" s="6">
        <f>IFERROR(__xludf.DUMMYFUNCTION("""COMPUTED_VALUE"""),0.32008101851897663)</f>
        <v>0.3200810185</v>
      </c>
      <c r="D24217" s="4">
        <f>IFERROR(__xludf.DUMMYFUNCTION("""COMPUTED_VALUE"""),13.011063)</f>
        <v>13.011063</v>
      </c>
      <c r="E24217" s="4">
        <f>IFERROR(__xludf.DUMMYFUNCTION("""COMPUTED_VALUE"""),80.227528)</f>
        <v>80.227528</v>
      </c>
      <c r="F24217" s="4">
        <f>IFERROR(__xludf.DUMMYFUNCTION("""COMPUTED_VALUE"""),5339.0)</f>
        <v>5339</v>
      </c>
      <c r="G24217" s="4">
        <f>IFERROR(__xludf.DUMMYFUNCTION("""COMPUTED_VALUE"""),40.0)</f>
        <v>40</v>
      </c>
      <c r="H24217" s="4"/>
      <c r="I24217" s="4"/>
    </row>
    <row r="24218">
      <c r="A24218" s="4" t="str">
        <f>IFERROR(__xludf.DUMMYFUNCTION("""COMPUTED_VALUE"""),"cas_hmw")</f>
        <v>cas_hmw</v>
      </c>
      <c r="B24218" s="5">
        <f>IFERROR(__xludf.DUMMYFUNCTION("""COMPUTED_VALUE"""),44802.0)</f>
        <v>44802</v>
      </c>
      <c r="C24218" s="6">
        <f>IFERROR(__xludf.DUMMYFUNCTION("""COMPUTED_VALUE"""),0.320451388888614)</f>
        <v>0.3204513889</v>
      </c>
      <c r="D24218" s="4">
        <f>IFERROR(__xludf.DUMMYFUNCTION("""COMPUTED_VALUE"""),13.009681)</f>
        <v>13.009681</v>
      </c>
      <c r="E24218" s="4">
        <f>IFERROR(__xludf.DUMMYFUNCTION("""COMPUTED_VALUE"""),80.227218)</f>
        <v>80.227218</v>
      </c>
      <c r="F24218" s="4">
        <f>IFERROR(__xludf.DUMMYFUNCTION("""COMPUTED_VALUE"""),5339.0)</f>
        <v>5339</v>
      </c>
      <c r="G24218" s="4">
        <f>IFERROR(__xludf.DUMMYFUNCTION("""COMPUTED_VALUE"""),26.0)</f>
        <v>26</v>
      </c>
      <c r="H24218" s="4"/>
      <c r="I24218" s="4"/>
    </row>
    <row r="24219">
      <c r="A24219" s="4" t="str">
        <f>IFERROR(__xludf.DUMMYFUNCTION("""COMPUTED_VALUE"""),"cas_hmw")</f>
        <v>cas_hmw</v>
      </c>
      <c r="B24219" s="5">
        <f>IFERROR(__xludf.DUMMYFUNCTION("""COMPUTED_VALUE"""),44802.0)</f>
        <v>44802</v>
      </c>
      <c r="C24219" s="6">
        <f>IFERROR(__xludf.DUMMYFUNCTION("""COMPUTED_VALUE"""),0.32120370370466844)</f>
        <v>0.3212037037</v>
      </c>
      <c r="D24219" s="4">
        <f>IFERROR(__xludf.DUMMYFUNCTION("""COMPUTED_VALUE"""),13.011439)</f>
        <v>13.011439</v>
      </c>
      <c r="E24219" s="4">
        <f>IFERROR(__xludf.DUMMYFUNCTION("""COMPUTED_VALUE"""),80.22315)</f>
        <v>80.22315</v>
      </c>
      <c r="F24219" s="4">
        <f>IFERROR(__xludf.DUMMYFUNCTION("""COMPUTED_VALUE"""),5339.0)</f>
        <v>5339</v>
      </c>
      <c r="G24219" s="4">
        <f>IFERROR(__xludf.DUMMYFUNCTION("""COMPUTED_VALUE"""),24.0)</f>
        <v>24</v>
      </c>
      <c r="H24219" s="4"/>
      <c r="I24219" s="4"/>
    </row>
    <row r="24220">
      <c r="A24220" s="4" t="str">
        <f>IFERROR(__xludf.DUMMYFUNCTION("""COMPUTED_VALUE"""),"cas_hmw")</f>
        <v>cas_hmw</v>
      </c>
      <c r="B24220" s="5">
        <f>IFERROR(__xludf.DUMMYFUNCTION("""COMPUTED_VALUE"""),44802.0)</f>
        <v>44802</v>
      </c>
      <c r="C24220" s="6">
        <f>IFERROR(__xludf.DUMMYFUNCTION("""COMPUTED_VALUE"""),0.32262731481387164)</f>
        <v>0.3226273148</v>
      </c>
      <c r="D24220" s="4">
        <f>IFERROR(__xludf.DUMMYFUNCTION("""COMPUTED_VALUE"""),13.009291)</f>
        <v>13.009291</v>
      </c>
      <c r="E24220" s="4">
        <f>IFERROR(__xludf.DUMMYFUNCTION("""COMPUTED_VALUE"""),80.212652)</f>
        <v>80.212652</v>
      </c>
      <c r="F24220" s="4">
        <f>IFERROR(__xludf.DUMMYFUNCTION("""COMPUTED_VALUE"""),5339.0)</f>
        <v>5339</v>
      </c>
      <c r="G24220" s="4">
        <f>IFERROR(__xludf.DUMMYFUNCTION("""COMPUTED_VALUE"""),56.0)</f>
        <v>56</v>
      </c>
      <c r="H24220" s="4"/>
      <c r="I24220" s="4"/>
    </row>
    <row r="24221">
      <c r="A24221" s="4" t="str">
        <f>IFERROR(__xludf.DUMMYFUNCTION("""COMPUTED_VALUE"""),"cas_hmw")</f>
        <v>cas_hmw</v>
      </c>
      <c r="B24221" s="5">
        <f>IFERROR(__xludf.DUMMYFUNCTION("""COMPUTED_VALUE"""),44802.0)</f>
        <v>44802</v>
      </c>
      <c r="C24221" s="6">
        <f>IFERROR(__xludf.DUMMYFUNCTION("""COMPUTED_VALUE"""),0.32319444444510737)</f>
        <v>0.3231944444</v>
      </c>
      <c r="D24221" s="4">
        <f>IFERROR(__xludf.DUMMYFUNCTION("""COMPUTED_VALUE"""),13.00766)</f>
        <v>13.00766</v>
      </c>
      <c r="E24221" s="4">
        <f>IFERROR(__xludf.DUMMYFUNCTION("""COMPUTED_VALUE"""),80.206938)</f>
        <v>80.206938</v>
      </c>
      <c r="F24221" s="4">
        <f>IFERROR(__xludf.DUMMYFUNCTION("""COMPUTED_VALUE"""),5339.0)</f>
        <v>5339</v>
      </c>
      <c r="G24221" s="4">
        <f>IFERROR(__xludf.DUMMYFUNCTION("""COMPUTED_VALUE"""),51.0)</f>
        <v>51</v>
      </c>
      <c r="H24221" s="4"/>
      <c r="I24221" s="4"/>
    </row>
    <row r="24222">
      <c r="A24222" s="4" t="str">
        <f>IFERROR(__xludf.DUMMYFUNCTION("""COMPUTED_VALUE"""),"cas_hmw")</f>
        <v>cas_hmw</v>
      </c>
      <c r="B24222" s="5">
        <f>IFERROR(__xludf.DUMMYFUNCTION("""COMPUTED_VALUE"""),44802.0)</f>
        <v>44802</v>
      </c>
      <c r="C24222" s="6">
        <f>IFERROR(__xludf.DUMMYFUNCTION("""COMPUTED_VALUE"""),0.32378472222262644)</f>
        <v>0.3237847222</v>
      </c>
      <c r="D24222" s="4">
        <f>IFERROR(__xludf.DUMMYFUNCTION("""COMPUTED_VALUE"""),13.005442)</f>
        <v>13.005442</v>
      </c>
      <c r="E24222" s="4">
        <f>IFERROR(__xludf.DUMMYFUNCTION("""COMPUTED_VALUE"""),80.201974)</f>
        <v>80.201974</v>
      </c>
      <c r="F24222" s="4">
        <f>IFERROR(__xludf.DUMMYFUNCTION("""COMPUTED_VALUE"""),5339.0)</f>
        <v>5339</v>
      </c>
      <c r="G24222" s="4">
        <f>IFERROR(__xludf.DUMMYFUNCTION("""COMPUTED_VALUE"""),44.0)</f>
        <v>44</v>
      </c>
      <c r="H24222" s="4"/>
      <c r="I24222" s="4"/>
    </row>
    <row r="24223">
      <c r="A24223" s="4" t="str">
        <f>IFERROR(__xludf.DUMMYFUNCTION("""COMPUTED_VALUE"""),"cas_hmw")</f>
        <v>cas_hmw</v>
      </c>
      <c r="B24223" s="5">
        <f>IFERROR(__xludf.DUMMYFUNCTION("""COMPUTED_VALUE"""),44802.0)</f>
        <v>44802</v>
      </c>
      <c r="C24223" s="6">
        <f>IFERROR(__xludf.DUMMYFUNCTION("""COMPUTED_VALUE"""),0.32381944444568944)</f>
        <v>0.3238194444</v>
      </c>
      <c r="D24223" s="4">
        <f>IFERROR(__xludf.DUMMYFUNCTION("""COMPUTED_VALUE"""),13.005442)</f>
        <v>13.005442</v>
      </c>
      <c r="E24223" s="4">
        <f>IFERROR(__xludf.DUMMYFUNCTION("""COMPUTED_VALUE"""),80.201974)</f>
        <v>80.201974</v>
      </c>
      <c r="F24223" s="4">
        <f>IFERROR(__xludf.DUMMYFUNCTION("""COMPUTED_VALUE"""),5339.0)</f>
        <v>5339</v>
      </c>
      <c r="G24223" s="4">
        <f>IFERROR(__xludf.DUMMYFUNCTION("""COMPUTED_VALUE"""),44.0)</f>
        <v>44</v>
      </c>
      <c r="H24223" s="4"/>
      <c r="I24223" s="4"/>
    </row>
    <row r="24224">
      <c r="A24224" s="4" t="str">
        <f>IFERROR(__xludf.DUMMYFUNCTION("""COMPUTED_VALUE"""),"cas_hmw")</f>
        <v>cas_hmw</v>
      </c>
      <c r="B24224" s="5">
        <f>IFERROR(__xludf.DUMMYFUNCTION("""COMPUTED_VALUE"""),44802.0)</f>
        <v>44802</v>
      </c>
      <c r="C24224" s="6">
        <f>IFERROR(__xludf.DUMMYFUNCTION("""COMPUTED_VALUE"""),0.32403935185357113)</f>
        <v>0.3240393519</v>
      </c>
      <c r="D24224" s="4">
        <f>IFERROR(__xludf.DUMMYFUNCTION("""COMPUTED_VALUE"""),13.002225)</f>
        <v>13.002225</v>
      </c>
      <c r="E24224" s="4">
        <f>IFERROR(__xludf.DUMMYFUNCTION("""COMPUTED_VALUE"""),80.200457)</f>
        <v>80.200457</v>
      </c>
      <c r="F24224" s="4">
        <f>IFERROR(__xludf.DUMMYFUNCTION("""COMPUTED_VALUE"""),5339.0)</f>
        <v>5339</v>
      </c>
      <c r="G24224" s="4">
        <f>IFERROR(__xludf.DUMMYFUNCTION("""COMPUTED_VALUE"""),45.0)</f>
        <v>45</v>
      </c>
      <c r="H24224" s="4"/>
      <c r="I24224" s="4"/>
    </row>
    <row r="24225">
      <c r="A24225" s="4" t="str">
        <f>IFERROR(__xludf.DUMMYFUNCTION("""COMPUTED_VALUE"""),"cas_hmw")</f>
        <v>cas_hmw</v>
      </c>
      <c r="B24225" s="5">
        <f>IFERROR(__xludf.DUMMYFUNCTION("""COMPUTED_VALUE"""),44802.0)</f>
        <v>44802</v>
      </c>
      <c r="C24225" s="6">
        <f>IFERROR(__xludf.DUMMYFUNCTION("""COMPUTED_VALUE"""),0.3241898148153268)</f>
        <v>0.3241898148</v>
      </c>
      <c r="D24225" s="4">
        <f>IFERROR(__xludf.DUMMYFUNCTION("""COMPUTED_VALUE"""),13.00173)</f>
        <v>13.00173</v>
      </c>
      <c r="E24225" s="4">
        <f>IFERROR(__xludf.DUMMYFUNCTION("""COMPUTED_VALUE"""),80.199534)</f>
        <v>80.199534</v>
      </c>
      <c r="F24225" s="4">
        <f>IFERROR(__xludf.DUMMYFUNCTION("""COMPUTED_VALUE"""),5339.0)</f>
        <v>5339</v>
      </c>
      <c r="G24225" s="4">
        <f>IFERROR(__xludf.DUMMYFUNCTION("""COMPUTED_VALUE"""),42.0)</f>
        <v>42</v>
      </c>
      <c r="H24225" s="4"/>
      <c r="I24225" s="4"/>
    </row>
    <row r="24226">
      <c r="A24226" s="4" t="str">
        <f>IFERROR(__xludf.DUMMYFUNCTION("""COMPUTED_VALUE"""),"cas_hmw")</f>
        <v>cas_hmw</v>
      </c>
      <c r="B24226" s="5">
        <f>IFERROR(__xludf.DUMMYFUNCTION("""COMPUTED_VALUE"""),44802.0)</f>
        <v>44802</v>
      </c>
      <c r="C24226" s="6">
        <f>IFERROR(__xludf.DUMMYFUNCTION("""COMPUTED_VALUE"""),0.32432870370394085)</f>
        <v>0.3243287037</v>
      </c>
      <c r="D24226" s="4">
        <f>IFERROR(__xludf.DUMMYFUNCTION("""COMPUTED_VALUE"""),13.001808)</f>
        <v>13.001808</v>
      </c>
      <c r="E24226" s="4">
        <f>IFERROR(__xludf.DUMMYFUNCTION("""COMPUTED_VALUE"""),80.198552)</f>
        <v>80.198552</v>
      </c>
      <c r="F24226" s="4">
        <f>IFERROR(__xludf.DUMMYFUNCTION("""COMPUTED_VALUE"""),5339.0)</f>
        <v>5339</v>
      </c>
      <c r="G24226" s="4">
        <f>IFERROR(__xludf.DUMMYFUNCTION("""COMPUTED_VALUE"""),35.0)</f>
        <v>35</v>
      </c>
      <c r="H24226" s="4"/>
      <c r="I24226" s="4"/>
    </row>
    <row r="24227">
      <c r="A24227" s="4" t="str">
        <f>IFERROR(__xludf.DUMMYFUNCTION("""COMPUTED_VALUE"""),"cas_hmw")</f>
        <v>cas_hmw</v>
      </c>
      <c r="B24227" s="5">
        <f>IFERROR(__xludf.DUMMYFUNCTION("""COMPUTED_VALUE"""),44802.0)</f>
        <v>44802</v>
      </c>
      <c r="C24227" s="6">
        <f>IFERROR(__xludf.DUMMYFUNCTION("""COMPUTED_VALUE"""),0.32447916666569654)</f>
        <v>0.3244791667</v>
      </c>
      <c r="D24227" s="4">
        <f>IFERROR(__xludf.DUMMYFUNCTION("""COMPUTED_VALUE"""),13.001957)</f>
        <v>13.001957</v>
      </c>
      <c r="E24227" s="4">
        <f>IFERROR(__xludf.DUMMYFUNCTION("""COMPUTED_VALUE"""),80.197577)</f>
        <v>80.197577</v>
      </c>
      <c r="F24227" s="4">
        <f>IFERROR(__xludf.DUMMYFUNCTION("""COMPUTED_VALUE"""),5339.0)</f>
        <v>5339</v>
      </c>
      <c r="G24227" s="4">
        <f>IFERROR(__xludf.DUMMYFUNCTION("""COMPUTED_VALUE"""),43.0)</f>
        <v>43</v>
      </c>
      <c r="H24227" s="4"/>
      <c r="I24227" s="4"/>
    </row>
    <row r="24228">
      <c r="A24228" s="4" t="str">
        <f>IFERROR(__xludf.DUMMYFUNCTION("""COMPUTED_VALUE"""),"cas_hmw")</f>
        <v>cas_hmw</v>
      </c>
      <c r="B24228" s="5">
        <f>IFERROR(__xludf.DUMMYFUNCTION("""COMPUTED_VALUE"""),44802.0)</f>
        <v>44802</v>
      </c>
      <c r="C24228" s="6">
        <f>IFERROR(__xludf.DUMMYFUNCTION("""COMPUTED_VALUE"""),0.32799768518452765)</f>
        <v>0.3279976852</v>
      </c>
      <c r="D24228" s="4">
        <f>IFERROR(__xludf.DUMMYFUNCTION("""COMPUTED_VALUE"""),12.989275)</f>
        <v>12.989275</v>
      </c>
      <c r="E24228" s="4">
        <f>IFERROR(__xludf.DUMMYFUNCTION("""COMPUTED_VALUE"""),80.178721)</f>
        <v>80.178721</v>
      </c>
      <c r="F24228" s="4">
        <f>IFERROR(__xludf.DUMMYFUNCTION("""COMPUTED_VALUE"""),5339.0)</f>
        <v>5339</v>
      </c>
      <c r="G24228" s="4">
        <f>IFERROR(__xludf.DUMMYFUNCTION("""COMPUTED_VALUE"""),30.0)</f>
        <v>30</v>
      </c>
      <c r="H24228" s="4"/>
      <c r="I24228" s="4"/>
    </row>
    <row r="24229">
      <c r="A24229" s="4" t="str">
        <f>IFERROR(__xludf.DUMMYFUNCTION("""COMPUTED_VALUE"""),"cas_hmw")</f>
        <v>cas_hmw</v>
      </c>
      <c r="B24229" s="5">
        <f>IFERROR(__xludf.DUMMYFUNCTION("""COMPUTED_VALUE"""),44802.0)</f>
        <v>44802</v>
      </c>
      <c r="C24229" s="6">
        <f>IFERROR(__xludf.DUMMYFUNCTION("""COMPUTED_VALUE"""),0.32908564814715646)</f>
        <v>0.3290856481</v>
      </c>
      <c r="D24229" s="4">
        <f>IFERROR(__xludf.DUMMYFUNCTION("""COMPUTED_VALUE"""),12.984753)</f>
        <v>12.984753</v>
      </c>
      <c r="E24229" s="4">
        <f>IFERROR(__xludf.DUMMYFUNCTION("""COMPUTED_VALUE"""),80.172362)</f>
        <v>80.172362</v>
      </c>
      <c r="F24229" s="4">
        <f>IFERROR(__xludf.DUMMYFUNCTION("""COMPUTED_VALUE"""),5339.0)</f>
        <v>5339</v>
      </c>
      <c r="G24229" s="4">
        <f>IFERROR(__xludf.DUMMYFUNCTION("""COMPUTED_VALUE"""),46.0)</f>
        <v>46</v>
      </c>
      <c r="H24229" s="4"/>
      <c r="I24229" s="4"/>
    </row>
    <row r="24230">
      <c r="A24230" s="4" t="str">
        <f>IFERROR(__xludf.DUMMYFUNCTION("""COMPUTED_VALUE"""),"cas_hmw")</f>
        <v>cas_hmw</v>
      </c>
      <c r="B24230" s="5">
        <f>IFERROR(__xludf.DUMMYFUNCTION("""COMPUTED_VALUE"""),44802.0)</f>
        <v>44802</v>
      </c>
      <c r="C24230" s="6">
        <f>IFERROR(__xludf.DUMMYFUNCTION("""COMPUTED_VALUE"""),0.32952546296291985)</f>
        <v>0.329525463</v>
      </c>
      <c r="D24230" s="4">
        <f>IFERROR(__xludf.DUMMYFUNCTION("""COMPUTED_VALUE"""),12.982561)</f>
        <v>12.982561</v>
      </c>
      <c r="E24230" s="4">
        <f>IFERROR(__xludf.DUMMYFUNCTION("""COMPUTED_VALUE"""),80.168679)</f>
        <v>80.168679</v>
      </c>
      <c r="F24230" s="4">
        <f>IFERROR(__xludf.DUMMYFUNCTION("""COMPUTED_VALUE"""),5339.0)</f>
        <v>5339</v>
      </c>
      <c r="G24230" s="4">
        <f>IFERROR(__xludf.DUMMYFUNCTION("""COMPUTED_VALUE"""),45.0)</f>
        <v>45</v>
      </c>
      <c r="H24230" s="4"/>
      <c r="I24230" s="4"/>
    </row>
    <row r="24231">
      <c r="A24231" s="4" t="str">
        <f>IFERROR(__xludf.DUMMYFUNCTION("""COMPUTED_VALUE"""),"cas_hmw")</f>
        <v>cas_hmw</v>
      </c>
      <c r="B24231" s="5">
        <f>IFERROR(__xludf.DUMMYFUNCTION("""COMPUTED_VALUE"""),44802.0)</f>
        <v>44802</v>
      </c>
      <c r="C24231" s="6">
        <f>IFERROR(__xludf.DUMMYFUNCTION("""COMPUTED_VALUE"""),0.33050925925999763)</f>
        <v>0.3305092593</v>
      </c>
      <c r="D24231" s="4">
        <f>IFERROR(__xludf.DUMMYFUNCTION("""COMPUTED_VALUE"""),12.979365)</f>
        <v>12.979365</v>
      </c>
      <c r="E24231" s="4">
        <f>IFERROR(__xludf.DUMMYFUNCTION("""COMPUTED_VALUE"""),80.162131)</f>
        <v>80.162131</v>
      </c>
      <c r="F24231" s="4">
        <f>IFERROR(__xludf.DUMMYFUNCTION("""COMPUTED_VALUE"""),5339.0)</f>
        <v>5339</v>
      </c>
      <c r="G24231" s="4">
        <f>IFERROR(__xludf.DUMMYFUNCTION("""COMPUTED_VALUE"""),34.0)</f>
        <v>34</v>
      </c>
      <c r="H24231" s="4"/>
      <c r="I24231" s="4"/>
    </row>
    <row r="24232">
      <c r="A24232" s="4" t="str">
        <f>IFERROR(__xludf.DUMMYFUNCTION("""COMPUTED_VALUE"""),"cas_hmw")</f>
        <v>cas_hmw</v>
      </c>
      <c r="B24232" s="5">
        <f>IFERROR(__xludf.DUMMYFUNCTION("""COMPUTED_VALUE"""),44802.0)</f>
        <v>44802</v>
      </c>
      <c r="C24232" s="6">
        <f>IFERROR(__xludf.DUMMYFUNCTION("""COMPUTED_VALUE"""),0.330775462964084)</f>
        <v>0.330775463</v>
      </c>
      <c r="D24232" s="4">
        <f>IFERROR(__xludf.DUMMYFUNCTION("""COMPUTED_VALUE"""),12.977506)</f>
        <v>12.977506</v>
      </c>
      <c r="E24232" s="4">
        <f>IFERROR(__xludf.DUMMYFUNCTION("""COMPUTED_VALUE"""),80.159416)</f>
        <v>80.159416</v>
      </c>
      <c r="F24232" s="4">
        <f>IFERROR(__xludf.DUMMYFUNCTION("""COMPUTED_VALUE"""),5339.0)</f>
        <v>5339</v>
      </c>
      <c r="G24232" s="4">
        <f>IFERROR(__xludf.DUMMYFUNCTION("""COMPUTED_VALUE"""),43.0)</f>
        <v>43</v>
      </c>
      <c r="H24232" s="4"/>
      <c r="I24232" s="4"/>
    </row>
    <row r="24233">
      <c r="A24233" s="4" t="str">
        <f>IFERROR(__xludf.DUMMYFUNCTION("""COMPUTED_VALUE"""),"cas_hmw")</f>
        <v>cas_hmw</v>
      </c>
      <c r="B24233" s="5">
        <f>IFERROR(__xludf.DUMMYFUNCTION("""COMPUTED_VALUE"""),44802.0)</f>
        <v>44802</v>
      </c>
      <c r="C24233" s="6">
        <f>IFERROR(__xludf.DUMMYFUNCTION("""COMPUTED_VALUE"""),0.3310995370375167)</f>
        <v>0.331099537</v>
      </c>
      <c r="D24233" s="4">
        <f>IFERROR(__xludf.DUMMYFUNCTION("""COMPUTED_VALUE"""),12.975318)</f>
        <v>12.975318</v>
      </c>
      <c r="E24233" s="4">
        <f>IFERROR(__xludf.DUMMYFUNCTION("""COMPUTED_VALUE"""),80.156152)</f>
        <v>80.156152</v>
      </c>
      <c r="F24233" s="4">
        <f>IFERROR(__xludf.DUMMYFUNCTION("""COMPUTED_VALUE"""),5339.0)</f>
        <v>5339</v>
      </c>
      <c r="G24233" s="4">
        <f>IFERROR(__xludf.DUMMYFUNCTION("""COMPUTED_VALUE"""),48.0)</f>
        <v>48</v>
      </c>
      <c r="H24233" s="4"/>
      <c r="I24233" s="4"/>
    </row>
    <row r="24234">
      <c r="A24234" s="4" t="str">
        <f>IFERROR(__xludf.DUMMYFUNCTION("""COMPUTED_VALUE"""),"cas_hmw")</f>
        <v>cas_hmw</v>
      </c>
      <c r="B24234" s="5">
        <f>IFERROR(__xludf.DUMMYFUNCTION("""COMPUTED_VALUE"""),44802.0)</f>
        <v>44802</v>
      </c>
      <c r="C24234" s="6">
        <f>IFERROR(__xludf.DUMMYFUNCTION("""COMPUTED_VALUE"""),0.33173611111124046)</f>
        <v>0.3317361111</v>
      </c>
      <c r="D24234" s="4">
        <f>IFERROR(__xludf.DUMMYFUNCTION("""COMPUTED_VALUE"""),12.947405)</f>
        <v>12.947405</v>
      </c>
      <c r="E24234" s="4">
        <f>IFERROR(__xludf.DUMMYFUNCTION("""COMPUTED_VALUE"""),80.184601)</f>
        <v>80.184601</v>
      </c>
      <c r="F24234" s="4">
        <f>IFERROR(__xludf.DUMMYFUNCTION("""COMPUTED_VALUE"""),3143.0)</f>
        <v>3143</v>
      </c>
      <c r="G24234" s="4">
        <f>IFERROR(__xludf.DUMMYFUNCTION("""COMPUTED_VALUE"""),33.0)</f>
        <v>33</v>
      </c>
      <c r="H24234" s="4"/>
      <c r="I24234" s="4"/>
    </row>
    <row r="24235">
      <c r="A24235" s="4" t="str">
        <f>IFERROR(__xludf.DUMMYFUNCTION("""COMPUTED_VALUE"""),"cas_hmw")</f>
        <v>cas_hmw</v>
      </c>
      <c r="B24235" s="5">
        <f>IFERROR(__xludf.DUMMYFUNCTION("""COMPUTED_VALUE"""),44802.0)</f>
        <v>44802</v>
      </c>
      <c r="C24235" s="6">
        <f>IFERROR(__xludf.DUMMYFUNCTION("""COMPUTED_VALUE"""),0.33185185185357113)</f>
        <v>0.3318518519</v>
      </c>
      <c r="D24235" s="4">
        <f>IFERROR(__xludf.DUMMYFUNCTION("""COMPUTED_VALUE"""),12.971829)</f>
        <v>12.971829</v>
      </c>
      <c r="E24235" s="4">
        <f>IFERROR(__xludf.DUMMYFUNCTION("""COMPUTED_VALUE"""),80.151324)</f>
        <v>80.151324</v>
      </c>
      <c r="F24235" s="4">
        <f>IFERROR(__xludf.DUMMYFUNCTION("""COMPUTED_VALUE"""),5339.0)</f>
        <v>5339</v>
      </c>
      <c r="G24235" s="4">
        <f>IFERROR(__xludf.DUMMYFUNCTION("""COMPUTED_VALUE"""),33.0)</f>
        <v>33</v>
      </c>
      <c r="H24235" s="4"/>
      <c r="I24235" s="4"/>
    </row>
    <row r="24236">
      <c r="A24236" s="4" t="str">
        <f>IFERROR(__xludf.DUMMYFUNCTION("""COMPUTED_VALUE"""),"cas_hmw")</f>
        <v>cas_hmw</v>
      </c>
      <c r="B24236" s="5">
        <f>IFERROR(__xludf.DUMMYFUNCTION("""COMPUTED_VALUE"""),44802.0)</f>
        <v>44802</v>
      </c>
      <c r="C24236" s="6">
        <f>IFERROR(__xludf.DUMMYFUNCTION("""COMPUTED_VALUE"""),0.33232638888875954)</f>
        <v>0.3323263889</v>
      </c>
      <c r="D24236" s="4">
        <f>IFERROR(__xludf.DUMMYFUNCTION("""COMPUTED_VALUE"""),12.968472)</f>
        <v>12.968472</v>
      </c>
      <c r="E24236" s="4">
        <f>IFERROR(__xludf.DUMMYFUNCTION("""COMPUTED_VALUE"""),80.149636)</f>
        <v>80.149636</v>
      </c>
      <c r="F24236" s="4">
        <f>IFERROR(__xludf.DUMMYFUNCTION("""COMPUTED_VALUE"""),5339.0)</f>
        <v>5339</v>
      </c>
      <c r="G24236" s="4">
        <f>IFERROR(__xludf.DUMMYFUNCTION("""COMPUTED_VALUE"""),36.0)</f>
        <v>36</v>
      </c>
      <c r="H24236" s="4"/>
      <c r="I24236" s="4"/>
    </row>
    <row r="24237">
      <c r="A24237" s="4" t="str">
        <f>IFERROR(__xludf.DUMMYFUNCTION("""COMPUTED_VALUE"""),"cas_hmw")</f>
        <v>cas_hmw</v>
      </c>
      <c r="B24237" s="5">
        <f>IFERROR(__xludf.DUMMYFUNCTION("""COMPUTED_VALUE"""),44802.0)</f>
        <v>44802</v>
      </c>
      <c r="C24237" s="6">
        <f>IFERROR(__xludf.DUMMYFUNCTION("""COMPUTED_VALUE"""),0.33236111111182254)</f>
        <v>0.3323611111</v>
      </c>
      <c r="D24237" s="4">
        <f>IFERROR(__xludf.DUMMYFUNCTION("""COMPUTED_VALUE"""),12.968472)</f>
        <v>12.968472</v>
      </c>
      <c r="E24237" s="4">
        <f>IFERROR(__xludf.DUMMYFUNCTION("""COMPUTED_VALUE"""),80.149636)</f>
        <v>80.149636</v>
      </c>
      <c r="F24237" s="4">
        <f>IFERROR(__xludf.DUMMYFUNCTION("""COMPUTED_VALUE"""),5339.0)</f>
        <v>5339</v>
      </c>
      <c r="G24237" s="4">
        <f>IFERROR(__xludf.DUMMYFUNCTION("""COMPUTED_VALUE"""),36.0)</f>
        <v>36</v>
      </c>
      <c r="H24237" s="4"/>
      <c r="I24237" s="4"/>
    </row>
    <row r="24238">
      <c r="A24238" s="4" t="str">
        <f>IFERROR(__xludf.DUMMYFUNCTION("""COMPUTED_VALUE"""),"cas_hmw")</f>
        <v>cas_hmw</v>
      </c>
      <c r="B24238" s="5">
        <f>IFERROR(__xludf.DUMMYFUNCTION("""COMPUTED_VALUE"""),44802.0)</f>
        <v>44802</v>
      </c>
      <c r="C24238" s="6">
        <f>IFERROR(__xludf.DUMMYFUNCTION("""COMPUTED_VALUE"""),0.3324074074080272)</f>
        <v>0.3324074074</v>
      </c>
      <c r="D24238" s="4">
        <f>IFERROR(__xludf.DUMMYFUNCTION("""COMPUTED_VALUE"""),12.967726)</f>
        <v>12.967726</v>
      </c>
      <c r="E24238" s="4">
        <f>IFERROR(__xludf.DUMMYFUNCTION("""COMPUTED_VALUE"""),80.149308)</f>
        <v>80.149308</v>
      </c>
      <c r="F24238" s="4">
        <f>IFERROR(__xludf.DUMMYFUNCTION("""COMPUTED_VALUE"""),5339.0)</f>
        <v>5339</v>
      </c>
      <c r="G24238" s="4">
        <f>IFERROR(__xludf.DUMMYFUNCTION("""COMPUTED_VALUE"""),30.0)</f>
        <v>30</v>
      </c>
      <c r="H24238" s="4"/>
      <c r="I24238" s="4"/>
    </row>
    <row r="24239">
      <c r="A24239" s="4" t="str">
        <f>IFERROR(__xludf.DUMMYFUNCTION("""COMPUTED_VALUE"""),"cas_hmw")</f>
        <v>cas_hmw</v>
      </c>
      <c r="B24239" s="5">
        <f>IFERROR(__xludf.DUMMYFUNCTION("""COMPUTED_VALUE"""),44802.0)</f>
        <v>44802</v>
      </c>
      <c r="C24239" s="6">
        <f>IFERROR(__xludf.DUMMYFUNCTION("""COMPUTED_VALUE"""),0.3337962962978054)</f>
        <v>0.3337962963</v>
      </c>
      <c r="D24239" s="4">
        <f>IFERROR(__xludf.DUMMYFUNCTION("""COMPUTED_VALUE"""),12.960722)</f>
        <v>12.960722</v>
      </c>
      <c r="E24239" s="4">
        <f>IFERROR(__xludf.DUMMYFUNCTION("""COMPUTED_VALUE"""),80.145658)</f>
        <v>80.145658</v>
      </c>
      <c r="F24239" s="4">
        <f>IFERROR(__xludf.DUMMYFUNCTION("""COMPUTED_VALUE"""),5339.0)</f>
        <v>5339</v>
      </c>
      <c r="G24239" s="4">
        <f>IFERROR(__xludf.DUMMYFUNCTION("""COMPUTED_VALUE"""),36.0)</f>
        <v>36</v>
      </c>
      <c r="H24239" s="4"/>
      <c r="I24239" s="4"/>
    </row>
    <row r="24240">
      <c r="A24240" s="4" t="str">
        <f>IFERROR(__xludf.DUMMYFUNCTION("""COMPUTED_VALUE"""),"cas_hmw")</f>
        <v>cas_hmw</v>
      </c>
      <c r="B24240" s="5">
        <f>IFERROR(__xludf.DUMMYFUNCTION("""COMPUTED_VALUE"""),44802.0)</f>
        <v>44802</v>
      </c>
      <c r="C24240" s="6">
        <f>IFERROR(__xludf.DUMMYFUNCTION("""COMPUTED_VALUE"""),0.3341087962980964)</f>
        <v>0.3341087963</v>
      </c>
      <c r="D24240" s="4">
        <f>IFERROR(__xludf.DUMMYFUNCTION("""COMPUTED_VALUE"""),12.95739)</f>
        <v>12.95739</v>
      </c>
      <c r="E24240" s="4">
        <f>IFERROR(__xludf.DUMMYFUNCTION("""COMPUTED_VALUE"""),80.143831)</f>
        <v>80.143831</v>
      </c>
      <c r="F24240" s="4">
        <f>IFERROR(__xludf.DUMMYFUNCTION("""COMPUTED_VALUE"""),5339.0)</f>
        <v>5339</v>
      </c>
      <c r="G24240" s="4">
        <f>IFERROR(__xludf.DUMMYFUNCTION("""COMPUTED_VALUE"""),57.0)</f>
        <v>57</v>
      </c>
      <c r="H24240" s="4"/>
      <c r="I24240" s="4"/>
    </row>
    <row r="24241">
      <c r="A24241" s="4" t="str">
        <f>IFERROR(__xludf.DUMMYFUNCTION("""COMPUTED_VALUE"""),"cas_hmw")</f>
        <v>cas_hmw</v>
      </c>
      <c r="B24241" s="5">
        <f>IFERROR(__xludf.DUMMYFUNCTION("""COMPUTED_VALUE"""),44802.0)</f>
        <v>44802</v>
      </c>
      <c r="C24241" s="6">
        <f>IFERROR(__xludf.DUMMYFUNCTION("""COMPUTED_VALUE"""),0.3369560185201408)</f>
        <v>0.3369560185</v>
      </c>
      <c r="D24241" s="4">
        <f>IFERROR(__xludf.DUMMYFUNCTION("""COMPUTED_VALUE"""),12.942527)</f>
        <v>12.942527</v>
      </c>
      <c r="E24241" s="4">
        <f>IFERROR(__xludf.DUMMYFUNCTION("""COMPUTED_VALUE"""),80.133317)</f>
        <v>80.133317</v>
      </c>
      <c r="F24241" s="4">
        <f>IFERROR(__xludf.DUMMYFUNCTION("""COMPUTED_VALUE"""),5339.0)</f>
        <v>5339</v>
      </c>
      <c r="G24241" s="4">
        <f>IFERROR(__xludf.DUMMYFUNCTION("""COMPUTED_VALUE"""),14.0)</f>
        <v>14</v>
      </c>
      <c r="H24241" s="4"/>
      <c r="I24241" s="4"/>
    </row>
    <row r="24242">
      <c r="A24242" s="4" t="str">
        <f>IFERROR(__xludf.DUMMYFUNCTION("""COMPUTED_VALUE"""),"cas_hmw")</f>
        <v>cas_hmw</v>
      </c>
      <c r="B24242" s="5">
        <f>IFERROR(__xludf.DUMMYFUNCTION("""COMPUTED_VALUE"""),44802.0)</f>
        <v>44802</v>
      </c>
      <c r="C24242" s="6">
        <f>IFERROR(__xludf.DUMMYFUNCTION("""COMPUTED_VALUE"""),0.3371412037049595)</f>
        <v>0.3371412037</v>
      </c>
      <c r="D24242" s="4">
        <f>IFERROR(__xludf.DUMMYFUNCTION("""COMPUTED_VALUE"""),12.94162)</f>
        <v>12.94162</v>
      </c>
      <c r="E24242" s="4">
        <f>IFERROR(__xludf.DUMMYFUNCTION("""COMPUTED_VALUE"""),80.132333)</f>
        <v>80.132333</v>
      </c>
      <c r="F24242" s="4">
        <f>IFERROR(__xludf.DUMMYFUNCTION("""COMPUTED_VALUE"""),5339.0)</f>
        <v>5339</v>
      </c>
      <c r="G24242" s="4">
        <f>IFERROR(__xludf.DUMMYFUNCTION("""COMPUTED_VALUE"""),32.0)</f>
        <v>32</v>
      </c>
      <c r="H24242" s="4"/>
      <c r="I24242" s="4"/>
    </row>
    <row r="24243">
      <c r="A24243" s="4" t="str">
        <f>IFERROR(__xludf.DUMMYFUNCTION("""COMPUTED_VALUE"""),"cas_hmw")</f>
        <v>cas_hmw</v>
      </c>
      <c r="B24243" s="5">
        <f>IFERROR(__xludf.DUMMYFUNCTION("""COMPUTED_VALUE"""),44802.0)</f>
        <v>44802</v>
      </c>
      <c r="C24243" s="6">
        <f>IFERROR(__xludf.DUMMYFUNCTION("""COMPUTED_VALUE"""),0.3374189814821875)</f>
        <v>0.3374189815</v>
      </c>
      <c r="D24243" s="4">
        <f>IFERROR(__xludf.DUMMYFUNCTION("""COMPUTED_VALUE"""),12.940334)</f>
        <v>12.940334</v>
      </c>
      <c r="E24243" s="4">
        <f>IFERROR(__xludf.DUMMYFUNCTION("""COMPUTED_VALUE"""),80.130962)</f>
        <v>80.130962</v>
      </c>
      <c r="F24243" s="4">
        <f>IFERROR(__xludf.DUMMYFUNCTION("""COMPUTED_VALUE"""),5339.0)</f>
        <v>5339</v>
      </c>
      <c r="G24243" s="4">
        <f>IFERROR(__xludf.DUMMYFUNCTION("""COMPUTED_VALUE"""),40.0)</f>
        <v>40</v>
      </c>
      <c r="H24243" s="4"/>
      <c r="I24243" s="4"/>
    </row>
    <row r="24244">
      <c r="A24244" s="4" t="str">
        <f>IFERROR(__xludf.DUMMYFUNCTION("""COMPUTED_VALUE"""),"cas_hmw")</f>
        <v>cas_hmw</v>
      </c>
      <c r="B24244" s="5">
        <f>IFERROR(__xludf.DUMMYFUNCTION("""COMPUTED_VALUE"""),44802.0)</f>
        <v>44802</v>
      </c>
      <c r="C24244" s="6">
        <f>IFERROR(__xludf.DUMMYFUNCTION("""COMPUTED_VALUE"""),0.3376388888900692)</f>
        <v>0.3376388889</v>
      </c>
      <c r="D24244" s="4">
        <f>IFERROR(__xludf.DUMMYFUNCTION("""COMPUTED_VALUE"""),12.939023)</f>
        <v>12.939023</v>
      </c>
      <c r="E24244" s="4">
        <f>IFERROR(__xludf.DUMMYFUNCTION("""COMPUTED_VALUE"""),80.129677)</f>
        <v>80.129677</v>
      </c>
      <c r="F24244" s="4">
        <f>IFERROR(__xludf.DUMMYFUNCTION("""COMPUTED_VALUE"""),5339.0)</f>
        <v>5339</v>
      </c>
      <c r="G24244" s="4">
        <f>IFERROR(__xludf.DUMMYFUNCTION("""COMPUTED_VALUE"""),43.0)</f>
        <v>43</v>
      </c>
      <c r="H24244" s="4"/>
      <c r="I24244" s="4"/>
    </row>
    <row r="24245">
      <c r="A24245" s="4" t="str">
        <f>IFERROR(__xludf.DUMMYFUNCTION("""COMPUTED_VALUE"""),"cas_hmw")</f>
        <v>cas_hmw</v>
      </c>
      <c r="B24245" s="5">
        <f>IFERROR(__xludf.DUMMYFUNCTION("""COMPUTED_VALUE"""),44802.0)</f>
        <v>44802</v>
      </c>
      <c r="C24245" s="6">
        <f>IFERROR(__xludf.DUMMYFUNCTION("""COMPUTED_VALUE"""),0.33767361110949423)</f>
        <v>0.3376736111</v>
      </c>
      <c r="D24245" s="4">
        <f>IFERROR(__xludf.DUMMYFUNCTION("""COMPUTED_VALUE"""),12.939023)</f>
        <v>12.939023</v>
      </c>
      <c r="E24245" s="4">
        <f>IFERROR(__xludf.DUMMYFUNCTION("""COMPUTED_VALUE"""),80.129677)</f>
        <v>80.129677</v>
      </c>
      <c r="F24245" s="4">
        <f>IFERROR(__xludf.DUMMYFUNCTION("""COMPUTED_VALUE"""),5339.0)</f>
        <v>5339</v>
      </c>
      <c r="G24245" s="4">
        <f>IFERROR(__xludf.DUMMYFUNCTION("""COMPUTED_VALUE"""),43.0)</f>
        <v>43</v>
      </c>
      <c r="H24245" s="4"/>
      <c r="I24245" s="4"/>
    </row>
    <row r="24246">
      <c r="A24246" s="4" t="str">
        <f>IFERROR(__xludf.DUMMYFUNCTION("""COMPUTED_VALUE"""),"cas_hmw")</f>
        <v>cas_hmw</v>
      </c>
      <c r="B24246" s="5">
        <f>IFERROR(__xludf.DUMMYFUNCTION("""COMPUTED_VALUE"""),44802.0)</f>
        <v>44802</v>
      </c>
      <c r="C24246" s="6">
        <f>IFERROR(__xludf.DUMMYFUNCTION("""COMPUTED_VALUE"""),0.3379976851865649)</f>
        <v>0.3379976852</v>
      </c>
      <c r="D24246" s="4">
        <f>IFERROR(__xludf.DUMMYFUNCTION("""COMPUTED_VALUE"""),12.936613)</f>
        <v>12.936613</v>
      </c>
      <c r="E24246" s="4">
        <f>IFERROR(__xludf.DUMMYFUNCTION("""COMPUTED_VALUE"""),80.12761)</f>
        <v>80.12761</v>
      </c>
      <c r="F24246" s="4">
        <f>IFERROR(__xludf.DUMMYFUNCTION("""COMPUTED_VALUE"""),5339.0)</f>
        <v>5339</v>
      </c>
      <c r="G24246" s="4">
        <f>IFERROR(__xludf.DUMMYFUNCTION("""COMPUTED_VALUE"""),16.0)</f>
        <v>16</v>
      </c>
      <c r="H24246" s="4"/>
      <c r="I24246" s="4"/>
    </row>
    <row r="24247">
      <c r="A24247" s="4" t="str">
        <f>IFERROR(__xludf.DUMMYFUNCTION("""COMPUTED_VALUE"""),"cas_hmw")</f>
        <v>cas_hmw</v>
      </c>
      <c r="B24247" s="5">
        <f>IFERROR(__xludf.DUMMYFUNCTION("""COMPUTED_VALUE"""),44802.0)</f>
        <v>44802</v>
      </c>
      <c r="C24247" s="6">
        <f>IFERROR(__xludf.DUMMYFUNCTION("""COMPUTED_VALUE"""),0.33803240740598994)</f>
        <v>0.3380324074</v>
      </c>
      <c r="D24247" s="4">
        <f>IFERROR(__xludf.DUMMYFUNCTION("""COMPUTED_VALUE"""),12.936613)</f>
        <v>12.936613</v>
      </c>
      <c r="E24247" s="4">
        <f>IFERROR(__xludf.DUMMYFUNCTION("""COMPUTED_VALUE"""),80.12761)</f>
        <v>80.12761</v>
      </c>
      <c r="F24247" s="4">
        <f>IFERROR(__xludf.DUMMYFUNCTION("""COMPUTED_VALUE"""),5339.0)</f>
        <v>5339</v>
      </c>
      <c r="G24247" s="4">
        <f>IFERROR(__xludf.DUMMYFUNCTION("""COMPUTED_VALUE"""),16.0)</f>
        <v>16</v>
      </c>
      <c r="H24247" s="4"/>
      <c r="I24247" s="4"/>
    </row>
    <row r="24248">
      <c r="A24248" s="4" t="str">
        <f>IFERROR(__xludf.DUMMYFUNCTION("""COMPUTED_VALUE"""),"cas_hmw")</f>
        <v>cas_hmw</v>
      </c>
      <c r="B24248" s="5">
        <f>IFERROR(__xludf.DUMMYFUNCTION("""COMPUTED_VALUE"""),44802.0)</f>
        <v>44802</v>
      </c>
      <c r="C24248" s="6">
        <f>IFERROR(__xludf.DUMMYFUNCTION("""COMPUTED_VALUE"""),0.3382986111100763)</f>
        <v>0.3382986111</v>
      </c>
      <c r="D24248" s="4">
        <f>IFERROR(__xludf.DUMMYFUNCTION("""COMPUTED_VALUE"""),12.935154)</f>
        <v>12.935154</v>
      </c>
      <c r="E24248" s="4">
        <f>IFERROR(__xludf.DUMMYFUNCTION("""COMPUTED_VALUE"""),80.126276)</f>
        <v>80.126276</v>
      </c>
      <c r="F24248" s="4">
        <f>IFERROR(__xludf.DUMMYFUNCTION("""COMPUTED_VALUE"""),5339.0)</f>
        <v>5339</v>
      </c>
      <c r="G24248" s="4">
        <f>IFERROR(__xludf.DUMMYFUNCTION("""COMPUTED_VALUE"""),37.0)</f>
        <v>37</v>
      </c>
      <c r="H24248" s="4"/>
      <c r="I24248" s="4"/>
    </row>
    <row r="24249">
      <c r="A24249" s="4" t="str">
        <f>IFERROR(__xludf.DUMMYFUNCTION("""COMPUTED_VALUE"""),"cas_hmw")</f>
        <v>cas_hmw</v>
      </c>
      <c r="B24249" s="5">
        <f>IFERROR(__xludf.DUMMYFUNCTION("""COMPUTED_VALUE"""),44802.0)</f>
        <v>44802</v>
      </c>
      <c r="C24249" s="6">
        <f>IFERROR(__xludf.DUMMYFUNCTION("""COMPUTED_VALUE"""),0.3392476851840911)</f>
        <v>0.3392476852</v>
      </c>
      <c r="D24249" s="4">
        <f>IFERROR(__xludf.DUMMYFUNCTION("""COMPUTED_VALUE"""),12.931488)</f>
        <v>12.931488</v>
      </c>
      <c r="E24249" s="4">
        <f>IFERROR(__xludf.DUMMYFUNCTION("""COMPUTED_VALUE"""),80.122743)</f>
        <v>80.122743</v>
      </c>
      <c r="F24249" s="4">
        <f>IFERROR(__xludf.DUMMYFUNCTION("""COMPUTED_VALUE"""),5339.0)</f>
        <v>5339</v>
      </c>
      <c r="G24249" s="4">
        <f>IFERROR(__xludf.DUMMYFUNCTION("""COMPUTED_VALUE"""),15.0)</f>
        <v>15</v>
      </c>
      <c r="H24249" s="4"/>
      <c r="I24249" s="4"/>
    </row>
    <row r="24250">
      <c r="A24250" s="4" t="str">
        <f>IFERROR(__xludf.DUMMYFUNCTION("""COMPUTED_VALUE"""),"cas_hmw")</f>
        <v>cas_hmw</v>
      </c>
      <c r="B24250" s="5">
        <f>IFERROR(__xludf.DUMMYFUNCTION("""COMPUTED_VALUE"""),44802.0)</f>
        <v>44802</v>
      </c>
      <c r="C24250" s="6">
        <f>IFERROR(__xludf.DUMMYFUNCTION("""COMPUTED_VALUE"""),0.33925925926087075)</f>
        <v>0.3392592593</v>
      </c>
      <c r="D24250" s="4">
        <f>IFERROR(__xludf.DUMMYFUNCTION("""COMPUTED_VALUE"""),12.931488)</f>
        <v>12.931488</v>
      </c>
      <c r="E24250" s="4">
        <f>IFERROR(__xludf.DUMMYFUNCTION("""COMPUTED_VALUE"""),80.122743)</f>
        <v>80.122743</v>
      </c>
      <c r="F24250" s="4">
        <f>IFERROR(__xludf.DUMMYFUNCTION("""COMPUTED_VALUE"""),5339.0)</f>
        <v>5339</v>
      </c>
      <c r="G24250" s="4">
        <f>IFERROR(__xludf.DUMMYFUNCTION("""COMPUTED_VALUE"""),15.0)</f>
        <v>15</v>
      </c>
      <c r="H24250" s="4"/>
      <c r="I24250" s="4"/>
    </row>
    <row r="24251">
      <c r="A24251" s="4" t="str">
        <f>IFERROR(__xludf.DUMMYFUNCTION("""COMPUTED_VALUE"""),"cas_hmw")</f>
        <v>cas_hmw</v>
      </c>
      <c r="B24251" s="5">
        <f>IFERROR(__xludf.DUMMYFUNCTION("""COMPUTED_VALUE"""),44802.0)</f>
        <v>44802</v>
      </c>
      <c r="C24251" s="6">
        <f>IFERROR(__xludf.DUMMYFUNCTION("""COMPUTED_VALUE"""),0.33937499999956344)</f>
        <v>0.339375</v>
      </c>
      <c r="D24251" s="4">
        <f>IFERROR(__xludf.DUMMYFUNCTION("""COMPUTED_VALUE"""),12.931056)</f>
        <v>12.931056</v>
      </c>
      <c r="E24251" s="4">
        <f>IFERROR(__xludf.DUMMYFUNCTION("""COMPUTED_VALUE"""),80.122302)</f>
        <v>80.122302</v>
      </c>
      <c r="F24251" s="4">
        <f>IFERROR(__xludf.DUMMYFUNCTION("""COMPUTED_VALUE"""),5339.0)</f>
        <v>5339</v>
      </c>
      <c r="G24251" s="4">
        <f>IFERROR(__xludf.DUMMYFUNCTION("""COMPUTED_VALUE"""),29.0)</f>
        <v>29</v>
      </c>
      <c r="H24251" s="4"/>
      <c r="I24251" s="4"/>
    </row>
    <row r="24252">
      <c r="A24252" s="4" t="str">
        <f>IFERROR(__xludf.DUMMYFUNCTION("""COMPUTED_VALUE"""),"cas_hmw")</f>
        <v>cas_hmw</v>
      </c>
      <c r="B24252" s="5">
        <f>IFERROR(__xludf.DUMMYFUNCTION("""COMPUTED_VALUE"""),44802.0)</f>
        <v>44802</v>
      </c>
      <c r="C24252" s="6">
        <f>IFERROR(__xludf.DUMMYFUNCTION("""COMPUTED_VALUE"""),0.3394675925919728)</f>
        <v>0.3394675926</v>
      </c>
      <c r="D24252" s="4">
        <f>IFERROR(__xludf.DUMMYFUNCTION("""COMPUTED_VALUE"""),12.930472)</f>
        <v>12.930472</v>
      </c>
      <c r="E24252" s="4">
        <f>IFERROR(__xludf.DUMMYFUNCTION("""COMPUTED_VALUE"""),80.121754)</f>
        <v>80.121754</v>
      </c>
      <c r="F24252" s="4">
        <f>IFERROR(__xludf.DUMMYFUNCTION("""COMPUTED_VALUE"""),5339.0)</f>
        <v>5339</v>
      </c>
      <c r="G24252" s="4">
        <f>IFERROR(__xludf.DUMMYFUNCTION("""COMPUTED_VALUE"""),33.0)</f>
        <v>33</v>
      </c>
      <c r="H24252" s="4"/>
      <c r="I24252" s="4"/>
    </row>
    <row r="24253">
      <c r="A24253" s="4" t="str">
        <f>IFERROR(__xludf.DUMMYFUNCTION("""COMPUTED_VALUE"""),"cas_hmw")</f>
        <v>cas_hmw</v>
      </c>
      <c r="B24253" s="5">
        <f>IFERROR(__xludf.DUMMYFUNCTION("""COMPUTED_VALUE"""),44802.0)</f>
        <v>44802</v>
      </c>
      <c r="C24253" s="6">
        <f>IFERROR(__xludf.DUMMYFUNCTION("""COMPUTED_VALUE"""),0.33956018518438214)</f>
        <v>0.3395601852</v>
      </c>
      <c r="D24253" s="4">
        <f>IFERROR(__xludf.DUMMYFUNCTION("""COMPUTED_VALUE"""),12.929792)</f>
        <v>12.929792</v>
      </c>
      <c r="E24253" s="4">
        <f>IFERROR(__xludf.DUMMYFUNCTION("""COMPUTED_VALUE"""),80.121093)</f>
        <v>80.121093</v>
      </c>
      <c r="F24253" s="4">
        <f>IFERROR(__xludf.DUMMYFUNCTION("""COMPUTED_VALUE"""),5339.0)</f>
        <v>5339</v>
      </c>
      <c r="G24253" s="4">
        <f>IFERROR(__xludf.DUMMYFUNCTION("""COMPUTED_VALUE"""),39.0)</f>
        <v>39</v>
      </c>
      <c r="H24253" s="4"/>
      <c r="I24253" s="4"/>
    </row>
    <row r="24254">
      <c r="A24254" s="4" t="str">
        <f>IFERROR(__xludf.DUMMYFUNCTION("""COMPUTED_VALUE"""),"cas_hmw")</f>
        <v>cas_hmw</v>
      </c>
      <c r="B24254" s="5">
        <f>IFERROR(__xludf.DUMMYFUNCTION("""COMPUTED_VALUE"""),44802.0)</f>
        <v>44802</v>
      </c>
      <c r="C24254" s="6">
        <f>IFERROR(__xludf.DUMMYFUNCTION("""COMPUTED_VALUE"""),0.3397569444459805)</f>
        <v>0.3397569444</v>
      </c>
      <c r="D24254" s="4">
        <f>IFERROR(__xludf.DUMMYFUNCTION("""COMPUTED_VALUE"""),12.929004)</f>
        <v>12.929004</v>
      </c>
      <c r="E24254" s="4">
        <f>IFERROR(__xludf.DUMMYFUNCTION("""COMPUTED_VALUE"""),80.120242)</f>
        <v>80.120242</v>
      </c>
      <c r="F24254" s="4">
        <f>IFERROR(__xludf.DUMMYFUNCTION("""COMPUTED_VALUE"""),5339.0)</f>
        <v>5339</v>
      </c>
      <c r="G24254" s="4">
        <f>IFERROR(__xludf.DUMMYFUNCTION("""COMPUTED_VALUE"""),51.0)</f>
        <v>51</v>
      </c>
      <c r="H24254" s="4"/>
      <c r="I24254" s="4"/>
    </row>
    <row r="24255">
      <c r="A24255" s="4" t="str">
        <f>IFERROR(__xludf.DUMMYFUNCTION("""COMPUTED_VALUE"""),"cas_hmw")</f>
        <v>cas_hmw</v>
      </c>
      <c r="B24255" s="5">
        <f>IFERROR(__xludf.DUMMYFUNCTION("""COMPUTED_VALUE"""),44802.0)</f>
        <v>44802</v>
      </c>
      <c r="C24255" s="6">
        <f>IFERROR(__xludf.DUMMYFUNCTION("""COMPUTED_VALUE"""),0.3399768518502242)</f>
        <v>0.3399768519</v>
      </c>
      <c r="D24255" s="4">
        <f>IFERROR(__xludf.DUMMYFUNCTION("""COMPUTED_VALUE"""),12.927327)</f>
        <v>12.927327</v>
      </c>
      <c r="E24255" s="4">
        <f>IFERROR(__xludf.DUMMYFUNCTION("""COMPUTED_VALUE"""),80.118502)</f>
        <v>80.118502</v>
      </c>
      <c r="F24255" s="4">
        <f>IFERROR(__xludf.DUMMYFUNCTION("""COMPUTED_VALUE"""),5339.0)</f>
        <v>5339</v>
      </c>
      <c r="G24255" s="4">
        <f>IFERROR(__xludf.DUMMYFUNCTION("""COMPUTED_VALUE"""),41.0)</f>
        <v>41</v>
      </c>
      <c r="H24255" s="4"/>
      <c r="I24255" s="4"/>
    </row>
    <row r="24256">
      <c r="A24256" s="4" t="str">
        <f>IFERROR(__xludf.DUMMYFUNCTION("""COMPUTED_VALUE"""),"cas_hmw")</f>
        <v>cas_hmw</v>
      </c>
      <c r="B24256" s="5">
        <f>IFERROR(__xludf.DUMMYFUNCTION("""COMPUTED_VALUE"""),44802.0)</f>
        <v>44802</v>
      </c>
      <c r="C24256" s="6">
        <f>IFERROR(__xludf.DUMMYFUNCTION("""COMPUTED_VALUE"""),0.3402314814811689)</f>
        <v>0.3402314815</v>
      </c>
      <c r="D24256" s="4">
        <f>IFERROR(__xludf.DUMMYFUNCTION("""COMPUTED_VALUE"""),12.925873)</f>
        <v>12.925873</v>
      </c>
      <c r="E24256" s="4">
        <f>IFERROR(__xludf.DUMMYFUNCTION("""COMPUTED_VALUE"""),80.117029)</f>
        <v>80.117029</v>
      </c>
      <c r="F24256" s="4">
        <f>IFERROR(__xludf.DUMMYFUNCTION("""COMPUTED_VALUE"""),5339.0)</f>
        <v>5339</v>
      </c>
      <c r="G24256" s="4">
        <f>IFERROR(__xludf.DUMMYFUNCTION("""COMPUTED_VALUE"""),50.0)</f>
        <v>50</v>
      </c>
      <c r="H24256" s="4"/>
      <c r="I24256" s="4"/>
    </row>
    <row r="24257">
      <c r="A24257" s="4" t="str">
        <f>IFERROR(__xludf.DUMMYFUNCTION("""COMPUTED_VALUE"""),"cas_hmw")</f>
        <v>cas_hmw</v>
      </c>
      <c r="B24257" s="5">
        <f>IFERROR(__xludf.DUMMYFUNCTION("""COMPUTED_VALUE"""),44802.0)</f>
        <v>44802</v>
      </c>
      <c r="C24257" s="6">
        <f>IFERROR(__xludf.DUMMYFUNCTION("""COMPUTED_VALUE"""),0.34234953703708015)</f>
        <v>0.342349537</v>
      </c>
      <c r="D24257" s="4">
        <f>IFERROR(__xludf.DUMMYFUNCTION("""COMPUTED_VALUE"""),12.914849)</f>
        <v>12.914849</v>
      </c>
      <c r="E24257" s="4">
        <f>IFERROR(__xludf.DUMMYFUNCTION("""COMPUTED_VALUE"""),80.103222)</f>
        <v>80.103222</v>
      </c>
      <c r="F24257" s="4">
        <f>IFERROR(__xludf.DUMMYFUNCTION("""COMPUTED_VALUE"""),5339.0)</f>
        <v>5339</v>
      </c>
      <c r="G24257" s="4">
        <f>IFERROR(__xludf.DUMMYFUNCTION("""COMPUTED_VALUE"""),51.0)</f>
        <v>51</v>
      </c>
      <c r="H24257" s="4"/>
      <c r="I24257" s="4"/>
    </row>
    <row r="24258">
      <c r="A24258" s="4" t="str">
        <f>IFERROR(__xludf.DUMMYFUNCTION("""COMPUTED_VALUE"""),"cas_hmw")</f>
        <v>cas_hmw</v>
      </c>
      <c r="B24258" s="5">
        <f>IFERROR(__xludf.DUMMYFUNCTION("""COMPUTED_VALUE"""),44802.0)</f>
        <v>44802</v>
      </c>
      <c r="C24258" s="6">
        <f>IFERROR(__xludf.DUMMYFUNCTION("""COMPUTED_VALUE"""),0.3437037037037953)</f>
        <v>0.3437037037</v>
      </c>
      <c r="D24258" s="4">
        <f>IFERROR(__xludf.DUMMYFUNCTION("""COMPUTED_VALUE"""),12.922594)</f>
        <v>12.922594</v>
      </c>
      <c r="E24258" s="4">
        <f>IFERROR(__xludf.DUMMYFUNCTION("""COMPUTED_VALUE"""),80.149357)</f>
        <v>80.149357</v>
      </c>
      <c r="F24258" s="4">
        <f>IFERROR(__xludf.DUMMYFUNCTION("""COMPUTED_VALUE"""),3143.0)</f>
        <v>3143</v>
      </c>
      <c r="G24258" s="4">
        <f>IFERROR(__xludf.DUMMYFUNCTION("""COMPUTED_VALUE"""),48.0)</f>
        <v>48</v>
      </c>
      <c r="H24258" s="4"/>
      <c r="I24258" s="4"/>
    </row>
    <row r="24259">
      <c r="A24259" s="4" t="str">
        <f>IFERROR(__xludf.DUMMYFUNCTION("""COMPUTED_VALUE"""),"cas_hmw")</f>
        <v>cas_hmw</v>
      </c>
      <c r="B24259" s="5">
        <f>IFERROR(__xludf.DUMMYFUNCTION("""COMPUTED_VALUE"""),44802.0)</f>
        <v>44802</v>
      </c>
      <c r="C24259" s="6">
        <f>IFERROR(__xludf.DUMMYFUNCTION("""COMPUTED_VALUE"""),0.3443750000005821)</f>
        <v>0.344375</v>
      </c>
      <c r="D24259" s="4">
        <f>IFERROR(__xludf.DUMMYFUNCTION("""COMPUTED_VALUE"""),12.922541)</f>
        <v>12.922541</v>
      </c>
      <c r="E24259" s="4">
        <f>IFERROR(__xludf.DUMMYFUNCTION("""COMPUTED_VALUE"""),80.146238)</f>
        <v>80.146238</v>
      </c>
      <c r="F24259" s="4">
        <f>IFERROR(__xludf.DUMMYFUNCTION("""COMPUTED_VALUE"""),3143.0)</f>
        <v>3143</v>
      </c>
      <c r="G24259" s="4">
        <f>IFERROR(__xludf.DUMMYFUNCTION("""COMPUTED_VALUE"""),35.0)</f>
        <v>35</v>
      </c>
      <c r="H24259" s="4"/>
      <c r="I24259" s="4"/>
    </row>
    <row r="24260">
      <c r="A24260" s="4" t="str">
        <f>IFERROR(__xludf.DUMMYFUNCTION("""COMPUTED_VALUE"""),"cas_hmw")</f>
        <v>cas_hmw</v>
      </c>
      <c r="B24260" s="5">
        <f>IFERROR(__xludf.DUMMYFUNCTION("""COMPUTED_VALUE"""),44802.0)</f>
        <v>44802</v>
      </c>
      <c r="C24260" s="6">
        <f>IFERROR(__xludf.DUMMYFUNCTION("""COMPUTED_VALUE"""),0.34565972222117125)</f>
        <v>0.3456597222</v>
      </c>
      <c r="D24260" s="4">
        <f>IFERROR(__xludf.DUMMYFUNCTION("""COMPUTED_VALUE"""),12.904716)</f>
        <v>12.904716</v>
      </c>
      <c r="E24260" s="4">
        <f>IFERROR(__xludf.DUMMYFUNCTION("""COMPUTED_VALUE"""),80.095276)</f>
        <v>80.095276</v>
      </c>
      <c r="F24260" s="4">
        <f>IFERROR(__xludf.DUMMYFUNCTION("""COMPUTED_VALUE"""),5339.0)</f>
        <v>5339</v>
      </c>
      <c r="G24260" s="4">
        <f>IFERROR(__xludf.DUMMYFUNCTION("""COMPUTED_VALUE"""),28.0)</f>
        <v>28</v>
      </c>
      <c r="H24260" s="4"/>
      <c r="I24260" s="4"/>
    </row>
    <row r="24261">
      <c r="A24261" s="4" t="str">
        <f>IFERROR(__xludf.DUMMYFUNCTION("""COMPUTED_VALUE"""),"cas_hmw")</f>
        <v>cas_hmw</v>
      </c>
      <c r="B24261" s="5">
        <f>IFERROR(__xludf.DUMMYFUNCTION("""COMPUTED_VALUE"""),44802.0)</f>
        <v>44802</v>
      </c>
      <c r="C24261" s="6">
        <f>IFERROR(__xludf.DUMMYFUNCTION("""COMPUTED_VALUE"""),0.34569444444423425)</f>
        <v>0.3456944444</v>
      </c>
      <c r="D24261" s="4">
        <f>IFERROR(__xludf.DUMMYFUNCTION("""COMPUTED_VALUE"""),12.904211)</f>
        <v>12.904211</v>
      </c>
      <c r="E24261" s="4">
        <f>IFERROR(__xludf.DUMMYFUNCTION("""COMPUTED_VALUE"""),80.09485)</f>
        <v>80.09485</v>
      </c>
      <c r="F24261" s="4">
        <f>IFERROR(__xludf.DUMMYFUNCTION("""COMPUTED_VALUE"""),5339.0)</f>
        <v>5339</v>
      </c>
      <c r="G24261" s="4">
        <f>IFERROR(__xludf.DUMMYFUNCTION("""COMPUTED_VALUE"""),26.0)</f>
        <v>26</v>
      </c>
      <c r="H24261" s="4"/>
      <c r="I24261" s="4"/>
    </row>
    <row r="24262">
      <c r="A24262" s="4" t="str">
        <f>IFERROR(__xludf.DUMMYFUNCTION("""COMPUTED_VALUE"""),"cas_hmw")</f>
        <v>cas_hmw</v>
      </c>
      <c r="B24262" s="5">
        <f>IFERROR(__xludf.DUMMYFUNCTION("""COMPUTED_VALUE"""),44802.0)</f>
        <v>44802</v>
      </c>
      <c r="C24262" s="6">
        <f>IFERROR(__xludf.DUMMYFUNCTION("""COMPUTED_VALUE"""),0.3457060185173759)</f>
        <v>0.3457060185</v>
      </c>
      <c r="D24262" s="4">
        <f>IFERROR(__xludf.DUMMYFUNCTION("""COMPUTED_VALUE"""),12.904211)</f>
        <v>12.904211</v>
      </c>
      <c r="E24262" s="4">
        <f>IFERROR(__xludf.DUMMYFUNCTION("""COMPUTED_VALUE"""),80.09485)</f>
        <v>80.09485</v>
      </c>
      <c r="F24262" s="4">
        <f>IFERROR(__xludf.DUMMYFUNCTION("""COMPUTED_VALUE"""),5339.0)</f>
        <v>5339</v>
      </c>
      <c r="G24262" s="4">
        <f>IFERROR(__xludf.DUMMYFUNCTION("""COMPUTED_VALUE"""),26.0)</f>
        <v>26</v>
      </c>
      <c r="H24262" s="4"/>
      <c r="I24262" s="4"/>
    </row>
    <row r="24263">
      <c r="A24263" s="4" t="str">
        <f>IFERROR(__xludf.DUMMYFUNCTION("""COMPUTED_VALUE"""),"cas_hmw")</f>
        <v>cas_hmw</v>
      </c>
      <c r="B24263" s="5">
        <f>IFERROR(__xludf.DUMMYFUNCTION("""COMPUTED_VALUE"""),44802.0)</f>
        <v>44802</v>
      </c>
      <c r="C24263" s="6">
        <f>IFERROR(__xludf.DUMMYFUNCTION("""COMPUTED_VALUE"""),0.3457175925941556)</f>
        <v>0.3457175926</v>
      </c>
      <c r="D24263" s="4">
        <f>IFERROR(__xludf.DUMMYFUNCTION("""COMPUTED_VALUE"""),12.904211)</f>
        <v>12.904211</v>
      </c>
      <c r="E24263" s="4">
        <f>IFERROR(__xludf.DUMMYFUNCTION("""COMPUTED_VALUE"""),80.09485)</f>
        <v>80.09485</v>
      </c>
      <c r="F24263" s="4">
        <f>IFERROR(__xludf.DUMMYFUNCTION("""COMPUTED_VALUE"""),5339.0)</f>
        <v>5339</v>
      </c>
      <c r="G24263" s="4">
        <f>IFERROR(__xludf.DUMMYFUNCTION("""COMPUTED_VALUE"""),26.0)</f>
        <v>26</v>
      </c>
      <c r="H24263" s="4"/>
      <c r="I24263" s="4"/>
    </row>
    <row r="24264">
      <c r="A24264" s="4" t="str">
        <f>IFERROR(__xludf.DUMMYFUNCTION("""COMPUTED_VALUE"""),"cas_hmw")</f>
        <v>cas_hmw</v>
      </c>
      <c r="B24264" s="5">
        <f>IFERROR(__xludf.DUMMYFUNCTION("""COMPUTED_VALUE"""),44802.0)</f>
        <v>44802</v>
      </c>
      <c r="C24264" s="6">
        <f>IFERROR(__xludf.DUMMYFUNCTION("""COMPUTED_VALUE"""),0.34579861110978527)</f>
        <v>0.3457986111</v>
      </c>
      <c r="D24264" s="4">
        <f>IFERROR(__xludf.DUMMYFUNCTION("""COMPUTED_VALUE"""),12.903576)</f>
        <v>12.903576</v>
      </c>
      <c r="E24264" s="4">
        <f>IFERROR(__xludf.DUMMYFUNCTION("""COMPUTED_VALUE"""),80.094341)</f>
        <v>80.094341</v>
      </c>
      <c r="F24264" s="4">
        <f>IFERROR(__xludf.DUMMYFUNCTION("""COMPUTED_VALUE"""),5339.0)</f>
        <v>5339</v>
      </c>
      <c r="G24264" s="4">
        <f>IFERROR(__xludf.DUMMYFUNCTION("""COMPUTED_VALUE"""),33.0)</f>
        <v>33</v>
      </c>
      <c r="H24264" s="4"/>
      <c r="I24264" s="4"/>
    </row>
    <row r="24265">
      <c r="A24265" s="4" t="str">
        <f>IFERROR(__xludf.DUMMYFUNCTION("""COMPUTED_VALUE"""),"cas_hmw")</f>
        <v>cas_hmw</v>
      </c>
      <c r="B24265" s="5">
        <f>IFERROR(__xludf.DUMMYFUNCTION("""COMPUTED_VALUE"""),44802.0)</f>
        <v>44802</v>
      </c>
      <c r="C24265" s="6">
        <f>IFERROR(__xludf.DUMMYFUNCTION("""COMPUTED_VALUE"""),0.3483680555546016)</f>
        <v>0.3483680556</v>
      </c>
      <c r="D24265" s="4">
        <f>IFERROR(__xludf.DUMMYFUNCTION("""COMPUTED_VALUE"""),12.885616)</f>
        <v>12.885616</v>
      </c>
      <c r="E24265" s="4">
        <f>IFERROR(__xludf.DUMMYFUNCTION("""COMPUTED_VALUE"""),80.082824)</f>
        <v>80.082824</v>
      </c>
      <c r="F24265" s="4">
        <f>IFERROR(__xludf.DUMMYFUNCTION("""COMPUTED_VALUE"""),5339.0)</f>
        <v>5339</v>
      </c>
      <c r="G24265" s="4">
        <f>IFERROR(__xludf.DUMMYFUNCTION("""COMPUTED_VALUE"""),33.0)</f>
        <v>33</v>
      </c>
      <c r="H24265" s="4"/>
      <c r="I24265" s="4"/>
    </row>
    <row r="24266">
      <c r="A24266" s="4" t="str">
        <f>IFERROR(__xludf.DUMMYFUNCTION("""COMPUTED_VALUE"""),"cas_hmw")</f>
        <v>cas_hmw</v>
      </c>
      <c r="B24266" s="5">
        <f>IFERROR(__xludf.DUMMYFUNCTION("""COMPUTED_VALUE"""),44802.0)</f>
        <v>44802</v>
      </c>
      <c r="C24266" s="6">
        <f>IFERROR(__xludf.DUMMYFUNCTION("""COMPUTED_VALUE"""),0.34864583333182964)</f>
        <v>0.3486458333</v>
      </c>
      <c r="D24266" s="4">
        <f>IFERROR(__xludf.DUMMYFUNCTION("""COMPUTED_VALUE"""),12.922646)</f>
        <v>12.922646</v>
      </c>
      <c r="E24266" s="4">
        <f>IFERROR(__xludf.DUMMYFUNCTION("""COMPUTED_VALUE"""),80.132248)</f>
        <v>80.132248</v>
      </c>
      <c r="F24266" s="4">
        <f>IFERROR(__xludf.DUMMYFUNCTION("""COMPUTED_VALUE"""),3143.0)</f>
        <v>3143</v>
      </c>
      <c r="G24266" s="4">
        <f>IFERROR(__xludf.DUMMYFUNCTION("""COMPUTED_VALUE"""),31.0)</f>
        <v>31</v>
      </c>
      <c r="H24266" s="4"/>
      <c r="I24266" s="4"/>
    </row>
    <row r="24267">
      <c r="A24267" s="4" t="str">
        <f>IFERROR(__xludf.DUMMYFUNCTION("""COMPUTED_VALUE"""),"cas_hmw")</f>
        <v>cas_hmw</v>
      </c>
      <c r="B24267" s="5">
        <f>IFERROR(__xludf.DUMMYFUNCTION("""COMPUTED_VALUE"""),44802.0)</f>
        <v>44802</v>
      </c>
      <c r="C24267" s="6">
        <f>IFERROR(__xludf.DUMMYFUNCTION("""COMPUTED_VALUE"""),0.3506134259259852)</f>
        <v>0.3506134259</v>
      </c>
      <c r="D24267" s="4">
        <f>IFERROR(__xludf.DUMMYFUNCTION("""COMPUTED_VALUE"""),12.923151)</f>
        <v>12.923151</v>
      </c>
      <c r="E24267" s="4">
        <f>IFERROR(__xludf.DUMMYFUNCTION("""COMPUTED_VALUE"""),80.121804)</f>
        <v>80.121804</v>
      </c>
      <c r="F24267" s="4">
        <f>IFERROR(__xludf.DUMMYFUNCTION("""COMPUTED_VALUE"""),3143.0)</f>
        <v>3143</v>
      </c>
      <c r="G24267" s="4">
        <f>IFERROR(__xludf.DUMMYFUNCTION("""COMPUTED_VALUE"""),51.0)</f>
        <v>51</v>
      </c>
      <c r="H24267" s="4"/>
      <c r="I24267" s="4"/>
    </row>
    <row r="24268">
      <c r="A24268" s="4" t="str">
        <f>IFERROR(__xludf.DUMMYFUNCTION("""COMPUTED_VALUE"""),"cas_hmw")</f>
        <v>cas_hmw</v>
      </c>
      <c r="B24268" s="5">
        <f>IFERROR(__xludf.DUMMYFUNCTION("""COMPUTED_VALUE"""),44802.0)</f>
        <v>44802</v>
      </c>
      <c r="C24268" s="6">
        <f>IFERROR(__xludf.DUMMYFUNCTION("""COMPUTED_VALUE"""),0.3509143518531346)</f>
        <v>0.3509143519</v>
      </c>
      <c r="D24268" s="4">
        <f>IFERROR(__xludf.DUMMYFUNCTION("""COMPUTED_VALUE"""),12.923331)</f>
        <v>12.923331</v>
      </c>
      <c r="E24268" s="4">
        <f>IFERROR(__xludf.DUMMYFUNCTION("""COMPUTED_VALUE"""),80.1195)</f>
        <v>80.1195</v>
      </c>
      <c r="F24268" s="4">
        <f>IFERROR(__xludf.DUMMYFUNCTION("""COMPUTED_VALUE"""),3143.0)</f>
        <v>3143</v>
      </c>
      <c r="G24268" s="4">
        <f>IFERROR(__xludf.DUMMYFUNCTION("""COMPUTED_VALUE"""),48.0)</f>
        <v>48</v>
      </c>
      <c r="H24268" s="4"/>
      <c r="I24268" s="4"/>
    </row>
    <row r="24269">
      <c r="A24269" s="4" t="str">
        <f>IFERROR(__xludf.DUMMYFUNCTION("""COMPUTED_VALUE"""),"cas_hmw")</f>
        <v>cas_hmw</v>
      </c>
      <c r="B24269" s="5">
        <f>IFERROR(__xludf.DUMMYFUNCTION("""COMPUTED_VALUE"""),44802.0)</f>
        <v>44802</v>
      </c>
      <c r="C24269" s="6">
        <f>IFERROR(__xludf.DUMMYFUNCTION("""COMPUTED_VALUE"""),0.35238425925854244)</f>
        <v>0.3523842593</v>
      </c>
      <c r="D24269" s="4">
        <f>IFERROR(__xludf.DUMMYFUNCTION("""COMPUTED_VALUE"""),12.919402)</f>
        <v>12.919402</v>
      </c>
      <c r="E24269" s="4">
        <f>IFERROR(__xludf.DUMMYFUNCTION("""COMPUTED_VALUE"""),80.110395)</f>
        <v>80.110395</v>
      </c>
      <c r="F24269" s="4">
        <f>IFERROR(__xludf.DUMMYFUNCTION("""COMPUTED_VALUE"""),3143.0)</f>
        <v>3143</v>
      </c>
      <c r="G24269" s="4">
        <f>IFERROR(__xludf.DUMMYFUNCTION("""COMPUTED_VALUE"""),46.0)</f>
        <v>46</v>
      </c>
      <c r="H24269" s="4"/>
      <c r="I24269" s="4"/>
    </row>
    <row r="24270">
      <c r="A24270" s="4" t="str">
        <f>IFERROR(__xludf.DUMMYFUNCTION("""COMPUTED_VALUE"""),"cas_hmw")</f>
        <v>cas_hmw</v>
      </c>
      <c r="B24270" s="5">
        <f>IFERROR(__xludf.DUMMYFUNCTION("""COMPUTED_VALUE"""),44802.0)</f>
        <v>44802</v>
      </c>
      <c r="C24270" s="6">
        <f>IFERROR(__xludf.DUMMYFUNCTION("""COMPUTED_VALUE"""),0.35256944444336114)</f>
        <v>0.3525694444</v>
      </c>
      <c r="D24270" s="4">
        <f>IFERROR(__xludf.DUMMYFUNCTION("""COMPUTED_VALUE"""),12.917774)</f>
        <v>12.917774</v>
      </c>
      <c r="E24270" s="4">
        <f>IFERROR(__xludf.DUMMYFUNCTION("""COMPUTED_VALUE"""),80.108419)</f>
        <v>80.108419</v>
      </c>
      <c r="F24270" s="4">
        <f>IFERROR(__xludf.DUMMYFUNCTION("""COMPUTED_VALUE"""),3143.0)</f>
        <v>3143</v>
      </c>
      <c r="G24270" s="4">
        <f>IFERROR(__xludf.DUMMYFUNCTION("""COMPUTED_VALUE"""),55.0)</f>
        <v>55</v>
      </c>
      <c r="H24270" s="4"/>
      <c r="I24270" s="4"/>
    </row>
    <row r="24271">
      <c r="A24271" s="4" t="str">
        <f>IFERROR(__xludf.DUMMYFUNCTION("""COMPUTED_VALUE"""),"cas_hmw")</f>
        <v>cas_hmw</v>
      </c>
      <c r="B24271" s="5">
        <f>IFERROR(__xludf.DUMMYFUNCTION("""COMPUTED_VALUE"""),44802.0)</f>
        <v>44802</v>
      </c>
      <c r="C24271" s="6">
        <f>IFERROR(__xludf.DUMMYFUNCTION("""COMPUTED_VALUE"""),0.35292824073985685)</f>
        <v>0.3529282407</v>
      </c>
      <c r="D24271" s="4">
        <f>IFERROR(__xludf.DUMMYFUNCTION("""COMPUTED_VALUE"""),12.916924)</f>
        <v>12.916924</v>
      </c>
      <c r="E24271" s="4">
        <f>IFERROR(__xludf.DUMMYFUNCTION("""COMPUTED_VALUE"""),80.107147)</f>
        <v>80.107147</v>
      </c>
      <c r="F24271" s="4">
        <f>IFERROR(__xludf.DUMMYFUNCTION("""COMPUTED_VALUE"""),3143.0)</f>
        <v>3143</v>
      </c>
      <c r="G24271" s="4">
        <f>IFERROR(__xludf.DUMMYFUNCTION("""COMPUTED_VALUE"""),27.0)</f>
        <v>27</v>
      </c>
      <c r="H24271" s="4"/>
      <c r="I24271" s="4"/>
    </row>
    <row r="24272">
      <c r="A24272" s="4" t="str">
        <f>IFERROR(__xludf.DUMMYFUNCTION("""COMPUTED_VALUE"""),"cas_hmw")</f>
        <v>cas_hmw</v>
      </c>
      <c r="B24272" s="5">
        <f>IFERROR(__xludf.DUMMYFUNCTION("""COMPUTED_VALUE"""),44802.0)</f>
        <v>44802</v>
      </c>
      <c r="C24272" s="6">
        <f>IFERROR(__xludf.DUMMYFUNCTION("""COMPUTED_VALUE"""),0.3534143518518249)</f>
        <v>0.3534143519</v>
      </c>
      <c r="D24272" s="4">
        <f>IFERROR(__xludf.DUMMYFUNCTION("""COMPUTED_VALUE"""),12.914852)</f>
        <v>12.914852</v>
      </c>
      <c r="E24272" s="4">
        <f>IFERROR(__xludf.DUMMYFUNCTION("""COMPUTED_VALUE"""),80.103225)</f>
        <v>80.103225</v>
      </c>
      <c r="F24272" s="4">
        <f>IFERROR(__xludf.DUMMYFUNCTION("""COMPUTED_VALUE"""),3143.0)</f>
        <v>3143</v>
      </c>
      <c r="G24272" s="4">
        <f>IFERROR(__xludf.DUMMYFUNCTION("""COMPUTED_VALUE"""),47.0)</f>
        <v>47</v>
      </c>
      <c r="H24272" s="4"/>
      <c r="I24272" s="4"/>
    </row>
    <row r="24273">
      <c r="A24273" s="4" t="str">
        <f>IFERROR(__xludf.DUMMYFUNCTION("""COMPUTED_VALUE"""),"cas_hmw")</f>
        <v>cas_hmw</v>
      </c>
      <c r="B24273" s="5">
        <f>IFERROR(__xludf.DUMMYFUNCTION("""COMPUTED_VALUE"""),44802.0)</f>
        <v>44802</v>
      </c>
      <c r="C24273" s="6">
        <f>IFERROR(__xludf.DUMMYFUNCTION("""COMPUTED_VALUE"""),0.3544328703719657)</f>
        <v>0.3544328704</v>
      </c>
      <c r="D24273" s="4">
        <f>IFERROR(__xludf.DUMMYFUNCTION("""COMPUTED_VALUE"""),12.908498)</f>
        <v>12.908498</v>
      </c>
      <c r="E24273" s="4">
        <f>IFERROR(__xludf.DUMMYFUNCTION("""COMPUTED_VALUE"""),80.098194)</f>
        <v>80.098194</v>
      </c>
      <c r="F24273" s="4">
        <f>IFERROR(__xludf.DUMMYFUNCTION("""COMPUTED_VALUE"""),3143.0)</f>
        <v>3143</v>
      </c>
      <c r="G24273" s="4">
        <f>IFERROR(__xludf.DUMMYFUNCTION("""COMPUTED_VALUE"""),30.0)</f>
        <v>30</v>
      </c>
      <c r="H24273" s="4"/>
      <c r="I24273" s="4"/>
    </row>
    <row r="24274">
      <c r="A24274" s="4" t="str">
        <f>IFERROR(__xludf.DUMMYFUNCTION("""COMPUTED_VALUE"""),"cas_hmw")</f>
        <v>cas_hmw</v>
      </c>
      <c r="B24274" s="5">
        <f>IFERROR(__xludf.DUMMYFUNCTION("""COMPUTED_VALUE"""),44802.0)</f>
        <v>44802</v>
      </c>
      <c r="C24274" s="6">
        <f>IFERROR(__xludf.DUMMYFUNCTION("""COMPUTED_VALUE"""),0.35605324073912925)</f>
        <v>0.3560532407</v>
      </c>
      <c r="D24274" s="4">
        <f>IFERROR(__xludf.DUMMYFUNCTION("""COMPUTED_VALUE"""),12.904102)</f>
        <v>12.904102</v>
      </c>
      <c r="E24274" s="4">
        <f>IFERROR(__xludf.DUMMYFUNCTION("""COMPUTED_VALUE"""),80.094743)</f>
        <v>80.094743</v>
      </c>
      <c r="F24274" s="4">
        <f>IFERROR(__xludf.DUMMYFUNCTION("""COMPUTED_VALUE"""),3143.0)</f>
        <v>3143</v>
      </c>
      <c r="G24274" s="4">
        <f>IFERROR(__xludf.DUMMYFUNCTION("""COMPUTED_VALUE"""),29.0)</f>
        <v>29</v>
      </c>
      <c r="H24274" s="4"/>
      <c r="I24274" s="4"/>
    </row>
    <row r="24275">
      <c r="A24275" s="4" t="str">
        <f>IFERROR(__xludf.DUMMYFUNCTION("""COMPUTED_VALUE"""),"cas_hmw")</f>
        <v>cas_hmw</v>
      </c>
      <c r="B24275" s="5">
        <f>IFERROR(__xludf.DUMMYFUNCTION("""COMPUTED_VALUE"""),44802.0)</f>
        <v>44802</v>
      </c>
      <c r="C24275" s="6">
        <f>IFERROR(__xludf.DUMMYFUNCTION("""COMPUTED_VALUE"""),0.3564004629624833)</f>
        <v>0.356400463</v>
      </c>
      <c r="D24275" s="4">
        <f>IFERROR(__xludf.DUMMYFUNCTION("""COMPUTED_VALUE"""),12.901306)</f>
        <v>12.901306</v>
      </c>
      <c r="E24275" s="4">
        <f>IFERROR(__xludf.DUMMYFUNCTION("""COMPUTED_VALUE"""),80.092487)</f>
        <v>80.092487</v>
      </c>
      <c r="F24275" s="4">
        <f>IFERROR(__xludf.DUMMYFUNCTION("""COMPUTED_VALUE"""),3143.0)</f>
        <v>3143</v>
      </c>
      <c r="G24275" s="4">
        <f>IFERROR(__xludf.DUMMYFUNCTION("""COMPUTED_VALUE"""),56.0)</f>
        <v>56</v>
      </c>
      <c r="H24275" s="4"/>
      <c r="I24275" s="4"/>
    </row>
    <row r="24276">
      <c r="A24276" s="4" t="str">
        <f>IFERROR(__xludf.DUMMYFUNCTION("""COMPUTED_VALUE"""),"cas_hmw")</f>
        <v>cas_hmw</v>
      </c>
      <c r="B24276" s="5">
        <f>IFERROR(__xludf.DUMMYFUNCTION("""COMPUTED_VALUE"""),44802.0)</f>
        <v>44802</v>
      </c>
      <c r="C24276" s="6">
        <f>IFERROR(__xludf.DUMMYFUNCTION("""COMPUTED_VALUE"""),0.35644675925868796)</f>
        <v>0.3564467593</v>
      </c>
      <c r="D24276" s="4">
        <f>IFERROR(__xludf.DUMMYFUNCTION("""COMPUTED_VALUE"""),12.901306)</f>
        <v>12.901306</v>
      </c>
      <c r="E24276" s="4">
        <f>IFERROR(__xludf.DUMMYFUNCTION("""COMPUTED_VALUE"""),80.092487)</f>
        <v>80.092487</v>
      </c>
      <c r="F24276" s="4">
        <f>IFERROR(__xludf.DUMMYFUNCTION("""COMPUTED_VALUE"""),3143.0)</f>
        <v>3143</v>
      </c>
      <c r="G24276" s="4">
        <f>IFERROR(__xludf.DUMMYFUNCTION("""COMPUTED_VALUE"""),56.0)</f>
        <v>56</v>
      </c>
      <c r="H24276" s="4"/>
      <c r="I24276" s="4"/>
    </row>
    <row r="24277">
      <c r="A24277" s="4" t="str">
        <f>IFERROR(__xludf.DUMMYFUNCTION("""COMPUTED_VALUE"""),"cas_hmw")</f>
        <v>cas_hmw</v>
      </c>
      <c r="B24277" s="5">
        <f>IFERROR(__xludf.DUMMYFUNCTION("""COMPUTED_VALUE"""),44802.0)</f>
        <v>44802</v>
      </c>
      <c r="C24277" s="6">
        <f>IFERROR(__xludf.DUMMYFUNCTION("""COMPUTED_VALUE"""),0.3565046296280343)</f>
        <v>0.3565046296</v>
      </c>
      <c r="D24277" s="4">
        <f>IFERROR(__xludf.DUMMYFUNCTION("""COMPUTED_VALUE"""),12.900122)</f>
        <v>12.900122</v>
      </c>
      <c r="E24277" s="4">
        <f>IFERROR(__xludf.DUMMYFUNCTION("""COMPUTED_VALUE"""),80.09163)</f>
        <v>80.09163</v>
      </c>
      <c r="F24277" s="4">
        <f>IFERROR(__xludf.DUMMYFUNCTION("""COMPUTED_VALUE"""),3143.0)</f>
        <v>3143</v>
      </c>
      <c r="G24277" s="4">
        <f>IFERROR(__xludf.DUMMYFUNCTION("""COMPUTED_VALUE"""),55.0)</f>
        <v>55</v>
      </c>
      <c r="H24277" s="4"/>
      <c r="I24277" s="4"/>
    </row>
    <row r="24278">
      <c r="A24278" s="4" t="str">
        <f>IFERROR(__xludf.DUMMYFUNCTION("""COMPUTED_VALUE"""),"cas_hmw")</f>
        <v>cas_hmw</v>
      </c>
      <c r="B24278" s="5">
        <f>IFERROR(__xludf.DUMMYFUNCTION("""COMPUTED_VALUE"""),44802.0)</f>
        <v>44802</v>
      </c>
      <c r="C24278" s="6">
        <f>IFERROR(__xludf.DUMMYFUNCTION("""COMPUTED_VALUE"""),0.35758101851752144)</f>
        <v>0.3575810185</v>
      </c>
      <c r="D24278" s="4">
        <f>IFERROR(__xludf.DUMMYFUNCTION("""COMPUTED_VALUE"""),12.890741)</f>
        <v>12.890741</v>
      </c>
      <c r="E24278" s="4">
        <f>IFERROR(__xludf.DUMMYFUNCTION("""COMPUTED_VALUE"""),80.084917)</f>
        <v>80.084917</v>
      </c>
      <c r="F24278" s="4">
        <f>IFERROR(__xludf.DUMMYFUNCTION("""COMPUTED_VALUE"""),3143.0)</f>
        <v>3143</v>
      </c>
      <c r="G24278" s="4">
        <f>IFERROR(__xludf.DUMMYFUNCTION("""COMPUTED_VALUE"""),58.0)</f>
        <v>58</v>
      </c>
      <c r="H24278" s="4"/>
      <c r="I24278" s="4"/>
    </row>
    <row r="24279">
      <c r="A24279" s="4" t="str">
        <f>IFERROR(__xludf.DUMMYFUNCTION("""COMPUTED_VALUE"""),"cas_hmw")</f>
        <v>cas_hmw</v>
      </c>
      <c r="B24279" s="5">
        <f>IFERROR(__xludf.DUMMYFUNCTION("""COMPUTED_VALUE"""),44802.0)</f>
        <v>44802</v>
      </c>
      <c r="C24279" s="6">
        <f>IFERROR(__xludf.DUMMYFUNCTION("""COMPUTED_VALUE"""),0.3576736111099308)</f>
        <v>0.3576736111</v>
      </c>
      <c r="D24279" s="4">
        <f>IFERROR(__xludf.DUMMYFUNCTION("""COMPUTED_VALUE"""),12.889427)</f>
        <v>12.889427</v>
      </c>
      <c r="E24279" s="4">
        <f>IFERROR(__xludf.DUMMYFUNCTION("""COMPUTED_VALUE"""),80.084366)</f>
        <v>80.084366</v>
      </c>
      <c r="F24279" s="4">
        <f>IFERROR(__xludf.DUMMYFUNCTION("""COMPUTED_VALUE"""),3143.0)</f>
        <v>3143</v>
      </c>
      <c r="G24279" s="4">
        <f>IFERROR(__xludf.DUMMYFUNCTION("""COMPUTED_VALUE"""),53.0)</f>
        <v>53</v>
      </c>
      <c r="H24279" s="4"/>
      <c r="I24279" s="4"/>
    </row>
    <row r="24280">
      <c r="A24280" s="4" t="str">
        <f>IFERROR(__xludf.DUMMYFUNCTION("""COMPUTED_VALUE"""),"cas_hmw")</f>
        <v>cas_hmw</v>
      </c>
      <c r="B24280" s="5">
        <f>IFERROR(__xludf.DUMMYFUNCTION("""COMPUTED_VALUE"""),44802.0)</f>
        <v>44802</v>
      </c>
      <c r="C24280" s="6">
        <f>IFERROR(__xludf.DUMMYFUNCTION("""COMPUTED_VALUE"""),0.3577430555560568)</f>
        <v>0.3577430556</v>
      </c>
      <c r="D24280" s="4">
        <f>IFERROR(__xludf.DUMMYFUNCTION("""COMPUTED_VALUE"""),12.889427)</f>
        <v>12.889427</v>
      </c>
      <c r="E24280" s="4">
        <f>IFERROR(__xludf.DUMMYFUNCTION("""COMPUTED_VALUE"""),80.084366)</f>
        <v>80.084366</v>
      </c>
      <c r="F24280" s="4">
        <f>IFERROR(__xludf.DUMMYFUNCTION("""COMPUTED_VALUE"""),3143.0)</f>
        <v>3143</v>
      </c>
      <c r="G24280" s="4">
        <f>IFERROR(__xludf.DUMMYFUNCTION("""COMPUTED_VALUE"""),53.0)</f>
        <v>53</v>
      </c>
      <c r="H24280" s="4"/>
      <c r="I24280" s="4"/>
    </row>
    <row r="24281">
      <c r="A24281" s="4" t="str">
        <f>IFERROR(__xludf.DUMMYFUNCTION("""COMPUTED_VALUE"""),"cas_hmw")</f>
        <v>cas_hmw</v>
      </c>
      <c r="B24281" s="5">
        <f>IFERROR(__xludf.DUMMYFUNCTION("""COMPUTED_VALUE"""),44802.0)</f>
        <v>44802</v>
      </c>
      <c r="C24281" s="6">
        <f>IFERROR(__xludf.DUMMYFUNCTION("""COMPUTED_VALUE"""),0.3579282407408755)</f>
        <v>0.3579282407</v>
      </c>
      <c r="D24281" s="4">
        <f>IFERROR(__xludf.DUMMYFUNCTION("""COMPUTED_VALUE"""),12.887336)</f>
        <v>12.887336</v>
      </c>
      <c r="E24281" s="4">
        <f>IFERROR(__xludf.DUMMYFUNCTION("""COMPUTED_VALUE"""),80.083547)</f>
        <v>80.083547</v>
      </c>
      <c r="F24281" s="4">
        <f>IFERROR(__xludf.DUMMYFUNCTION("""COMPUTED_VALUE"""),3143.0)</f>
        <v>3143</v>
      </c>
      <c r="G24281" s="4">
        <f>IFERROR(__xludf.DUMMYFUNCTION("""COMPUTED_VALUE"""),47.0)</f>
        <v>47</v>
      </c>
      <c r="H24281" s="4"/>
      <c r="I24281" s="4"/>
    </row>
    <row r="24282">
      <c r="A24282" s="4" t="str">
        <f>IFERROR(__xludf.DUMMYFUNCTION("""COMPUTED_VALUE"""),"cas_hmw")</f>
        <v>cas_hmw</v>
      </c>
      <c r="B24282" s="5">
        <f>IFERROR(__xludf.DUMMYFUNCTION("""COMPUTED_VALUE"""),44802.0)</f>
        <v>44802</v>
      </c>
      <c r="C24282" s="6">
        <f>IFERROR(__xludf.DUMMYFUNCTION("""COMPUTED_VALUE"""),0.3581365740756155)</f>
        <v>0.3581365741</v>
      </c>
      <c r="D24282" s="4">
        <f>IFERROR(__xludf.DUMMYFUNCTION("""COMPUTED_VALUE"""),12.885179)</f>
        <v>12.885179</v>
      </c>
      <c r="E24282" s="4">
        <f>IFERROR(__xludf.DUMMYFUNCTION("""COMPUTED_VALUE"""),80.08265)</f>
        <v>80.08265</v>
      </c>
      <c r="F24282" s="4">
        <f>IFERROR(__xludf.DUMMYFUNCTION("""COMPUTED_VALUE"""),3143.0)</f>
        <v>3143</v>
      </c>
      <c r="G24282" s="4">
        <f>IFERROR(__xludf.DUMMYFUNCTION("""COMPUTED_VALUE"""),45.0)</f>
        <v>45</v>
      </c>
      <c r="H24282" s="4"/>
      <c r="I24282" s="4"/>
    </row>
    <row r="24283">
      <c r="A24283" s="4" t="str">
        <f>IFERROR(__xludf.DUMMYFUNCTION("""COMPUTED_VALUE"""),"cas_hmw")</f>
        <v>cas_hmw</v>
      </c>
      <c r="B24283" s="5">
        <f>IFERROR(__xludf.DUMMYFUNCTION("""COMPUTED_VALUE"""),44802.0)</f>
        <v>44802</v>
      </c>
      <c r="C24283" s="6">
        <f>IFERROR(__xludf.DUMMYFUNCTION("""COMPUTED_VALUE"""),0.7301157407418941)</f>
        <v>0.7301157407</v>
      </c>
      <c r="D24283" s="4">
        <f>IFERROR(__xludf.DUMMYFUNCTION("""COMPUTED_VALUE"""),12.893521)</f>
        <v>12.893521</v>
      </c>
      <c r="E24283" s="4">
        <f>IFERROR(__xludf.DUMMYFUNCTION("""COMPUTED_VALUE"""),80.086498)</f>
        <v>80.086498</v>
      </c>
      <c r="F24283" s="4">
        <f>IFERROR(__xludf.DUMMYFUNCTION("""COMPUTED_VALUE"""),3143.0)</f>
        <v>3143</v>
      </c>
      <c r="G24283" s="4">
        <f>IFERROR(__xludf.DUMMYFUNCTION("""COMPUTED_VALUE"""),57.0)</f>
        <v>57</v>
      </c>
      <c r="H24283" s="4"/>
      <c r="I24283" s="4"/>
    </row>
    <row r="24284">
      <c r="A24284" s="4" t="str">
        <f>IFERROR(__xludf.DUMMYFUNCTION("""COMPUTED_VALUE"""),"cas_hmw")</f>
        <v>cas_hmw</v>
      </c>
      <c r="B24284" s="5">
        <f>IFERROR(__xludf.DUMMYFUNCTION("""COMPUTED_VALUE"""),44802.0)</f>
        <v>44802</v>
      </c>
      <c r="C24284" s="6">
        <f>IFERROR(__xludf.DUMMYFUNCTION("""COMPUTED_VALUE"""),0.7303703703692008)</f>
        <v>0.7303703704</v>
      </c>
      <c r="D24284" s="4">
        <f>IFERROR(__xludf.DUMMYFUNCTION("""COMPUTED_VALUE"""),12.89576)</f>
        <v>12.89576</v>
      </c>
      <c r="E24284" s="4">
        <f>IFERROR(__xludf.DUMMYFUNCTION("""COMPUTED_VALUE"""),80.088195)</f>
        <v>80.088195</v>
      </c>
      <c r="F24284" s="4">
        <f>IFERROR(__xludf.DUMMYFUNCTION("""COMPUTED_VALUE"""),3143.0)</f>
        <v>3143</v>
      </c>
      <c r="G24284" s="4">
        <f>IFERROR(__xludf.DUMMYFUNCTION("""COMPUTED_VALUE"""),52.0)</f>
        <v>52</v>
      </c>
      <c r="H24284" s="4"/>
      <c r="I24284" s="4"/>
    </row>
    <row r="24285">
      <c r="A24285" s="4" t="str">
        <f>IFERROR(__xludf.DUMMYFUNCTION("""COMPUTED_VALUE"""),"cas_hmw")</f>
        <v>cas_hmw</v>
      </c>
      <c r="B24285" s="5">
        <f>IFERROR(__xludf.DUMMYFUNCTION("""COMPUTED_VALUE"""),44802.0)</f>
        <v>44802</v>
      </c>
      <c r="C24285" s="6">
        <f>IFERROR(__xludf.DUMMYFUNCTION("""COMPUTED_VALUE"""),0.7306365740732872)</f>
        <v>0.7306365741</v>
      </c>
      <c r="D24285" s="4">
        <f>IFERROR(__xludf.DUMMYFUNCTION("""COMPUTED_VALUE"""),12.898768)</f>
        <v>12.898768</v>
      </c>
      <c r="E24285" s="4">
        <f>IFERROR(__xludf.DUMMYFUNCTION("""COMPUTED_VALUE"""),80.090403)</f>
        <v>80.090403</v>
      </c>
      <c r="F24285" s="4">
        <f>IFERROR(__xludf.DUMMYFUNCTION("""COMPUTED_VALUE"""),3143.0)</f>
        <v>3143</v>
      </c>
      <c r="G24285" s="4">
        <f>IFERROR(__xludf.DUMMYFUNCTION("""COMPUTED_VALUE"""),46.0)</f>
        <v>46</v>
      </c>
      <c r="H24285" s="4"/>
      <c r="I24285" s="4"/>
    </row>
    <row r="24286">
      <c r="A24286" s="4" t="str">
        <f>IFERROR(__xludf.DUMMYFUNCTION("""COMPUTED_VALUE"""),"cas_hmw")</f>
        <v>cas_hmw</v>
      </c>
      <c r="B24286" s="5">
        <f>IFERROR(__xludf.DUMMYFUNCTION("""COMPUTED_VALUE"""),44802.0)</f>
        <v>44802</v>
      </c>
      <c r="C24286" s="6">
        <f>IFERROR(__xludf.DUMMYFUNCTION("""COMPUTED_VALUE"""),0.7312268518508063)</f>
        <v>0.7312268519</v>
      </c>
      <c r="D24286" s="4">
        <f>IFERROR(__xludf.DUMMYFUNCTION("""COMPUTED_VALUE"""),12.890586)</f>
        <v>12.890586</v>
      </c>
      <c r="E24286" s="4">
        <f>IFERROR(__xludf.DUMMYFUNCTION("""COMPUTED_VALUE"""),80.084753)</f>
        <v>80.084753</v>
      </c>
      <c r="F24286" s="4">
        <f>IFERROR(__xludf.DUMMYFUNCTION("""COMPUTED_VALUE"""),5339.0)</f>
        <v>5339</v>
      </c>
      <c r="G24286" s="4">
        <f>IFERROR(__xludf.DUMMYFUNCTION("""COMPUTED_VALUE"""),51.0)</f>
        <v>51</v>
      </c>
      <c r="H24286" s="4"/>
      <c r="I24286" s="4"/>
    </row>
    <row r="24287">
      <c r="A24287" s="4" t="str">
        <f>IFERROR(__xludf.DUMMYFUNCTION("""COMPUTED_VALUE"""),"cas_hmw")</f>
        <v>cas_hmw</v>
      </c>
      <c r="B24287" s="5">
        <f>IFERROR(__xludf.DUMMYFUNCTION("""COMPUTED_VALUE"""),44802.0)</f>
        <v>44802</v>
      </c>
      <c r="C24287" s="6">
        <f>IFERROR(__xludf.DUMMYFUNCTION("""COMPUTED_VALUE"""),0.7349652777775191)</f>
        <v>0.7349652778</v>
      </c>
      <c r="D24287" s="4">
        <f>IFERROR(__xludf.DUMMYFUNCTION("""COMPUTED_VALUE"""),12.918325)</f>
        <v>12.918325</v>
      </c>
      <c r="E24287" s="4">
        <f>IFERROR(__xludf.DUMMYFUNCTION("""COMPUTED_VALUE"""),80.108835)</f>
        <v>80.108835</v>
      </c>
      <c r="F24287" s="4">
        <f>IFERROR(__xludf.DUMMYFUNCTION("""COMPUTED_VALUE"""),3143.0)</f>
        <v>3143</v>
      </c>
      <c r="G24287" s="4">
        <f>IFERROR(__xludf.DUMMYFUNCTION("""COMPUTED_VALUE"""),37.0)</f>
        <v>37</v>
      </c>
      <c r="H24287" s="4"/>
      <c r="I24287" s="4"/>
    </row>
    <row r="24288">
      <c r="A24288" s="4" t="str">
        <f>IFERROR(__xludf.DUMMYFUNCTION("""COMPUTED_VALUE"""),"cas_hmw")</f>
        <v>cas_hmw</v>
      </c>
      <c r="B24288" s="5">
        <f>IFERROR(__xludf.DUMMYFUNCTION("""COMPUTED_VALUE"""),44802.0)</f>
        <v>44802</v>
      </c>
      <c r="C24288" s="6">
        <f>IFERROR(__xludf.DUMMYFUNCTION("""COMPUTED_VALUE"""),0.7357291666667152)</f>
        <v>0.7357291667</v>
      </c>
      <c r="D24288" s="4">
        <f>IFERROR(__xludf.DUMMYFUNCTION("""COMPUTED_VALUE"""),12.922909)</f>
        <v>12.922909</v>
      </c>
      <c r="E24288" s="4">
        <f>IFERROR(__xludf.DUMMYFUNCTION("""COMPUTED_VALUE"""),80.113782)</f>
        <v>80.113782</v>
      </c>
      <c r="F24288" s="4">
        <f>IFERROR(__xludf.DUMMYFUNCTION("""COMPUTED_VALUE"""),3143.0)</f>
        <v>3143</v>
      </c>
      <c r="G24288" s="4">
        <f>IFERROR(__xludf.DUMMYFUNCTION("""COMPUTED_VALUE"""),37.0)</f>
        <v>37</v>
      </c>
      <c r="H24288" s="4"/>
      <c r="I24288" s="4"/>
    </row>
    <row r="24289">
      <c r="A24289" s="4" t="str">
        <f>IFERROR(__xludf.DUMMYFUNCTION("""COMPUTED_VALUE"""),"cas_hmw")</f>
        <v>cas_hmw</v>
      </c>
      <c r="B24289" s="5">
        <f>IFERROR(__xludf.DUMMYFUNCTION("""COMPUTED_VALUE"""),44802.0)</f>
        <v>44802</v>
      </c>
      <c r="C24289" s="6">
        <f>IFERROR(__xludf.DUMMYFUNCTION("""COMPUTED_VALUE"""),0.7364699074059899)</f>
        <v>0.7364699074</v>
      </c>
      <c r="D24289" s="4">
        <f>IFERROR(__xludf.DUMMYFUNCTION("""COMPUTED_VALUE"""),12.919223)</f>
        <v>12.919223</v>
      </c>
      <c r="E24289" s="4">
        <f>IFERROR(__xludf.DUMMYFUNCTION("""COMPUTED_VALUE"""),80.110015)</f>
        <v>80.110015</v>
      </c>
      <c r="F24289" s="4">
        <f>IFERROR(__xludf.DUMMYFUNCTION("""COMPUTED_VALUE"""),5339.0)</f>
        <v>5339</v>
      </c>
      <c r="G24289" s="4">
        <f>IFERROR(__xludf.DUMMYFUNCTION("""COMPUTED_VALUE"""),34.0)</f>
        <v>34</v>
      </c>
      <c r="H24289" s="4"/>
      <c r="I24289" s="4"/>
    </row>
    <row r="24290">
      <c r="A24290" s="4" t="str">
        <f>IFERROR(__xludf.DUMMYFUNCTION("""COMPUTED_VALUE"""),"cas_hmw")</f>
        <v>cas_hmw</v>
      </c>
      <c r="B24290" s="5">
        <f>IFERROR(__xludf.DUMMYFUNCTION("""COMPUTED_VALUE"""),44802.0)</f>
        <v>44802</v>
      </c>
      <c r="C24290" s="6">
        <f>IFERROR(__xludf.DUMMYFUNCTION("""COMPUTED_VALUE"""),0.7394444444435067)</f>
        <v>0.7394444444</v>
      </c>
      <c r="D24290" s="4">
        <f>IFERROR(__xludf.DUMMYFUNCTION("""COMPUTED_VALUE"""),12.922828)</f>
        <v>12.922828</v>
      </c>
      <c r="E24290" s="4">
        <f>IFERROR(__xludf.DUMMYFUNCTION("""COMPUTED_VALUE"""),80.129677)</f>
        <v>80.129677</v>
      </c>
      <c r="F24290" s="4">
        <f>IFERROR(__xludf.DUMMYFUNCTION("""COMPUTED_VALUE"""),3143.0)</f>
        <v>3143</v>
      </c>
      <c r="G24290" s="4">
        <f>IFERROR(__xludf.DUMMYFUNCTION("""COMPUTED_VALUE"""),24.0)</f>
        <v>24</v>
      </c>
      <c r="H24290" s="4"/>
      <c r="I24290" s="4"/>
    </row>
    <row r="24291">
      <c r="A24291" s="4" t="str">
        <f>IFERROR(__xludf.DUMMYFUNCTION("""COMPUTED_VALUE"""),"cas_hmw")</f>
        <v>cas_hmw</v>
      </c>
      <c r="B24291" s="5">
        <f>IFERROR(__xludf.DUMMYFUNCTION("""COMPUTED_VALUE"""),44802.0)</f>
        <v>44802</v>
      </c>
      <c r="C24291" s="6">
        <f>IFERROR(__xludf.DUMMYFUNCTION("""COMPUTED_VALUE"""),0.7413078703721112)</f>
        <v>0.7413078704</v>
      </c>
      <c r="D24291" s="4">
        <f>IFERROR(__xludf.DUMMYFUNCTION("""COMPUTED_VALUE"""),12.922409)</f>
        <v>12.922409</v>
      </c>
      <c r="E24291" s="4">
        <f>IFERROR(__xludf.DUMMYFUNCTION("""COMPUTED_VALUE"""),80.138977)</f>
        <v>80.138977</v>
      </c>
      <c r="F24291" s="4">
        <f>IFERROR(__xludf.DUMMYFUNCTION("""COMPUTED_VALUE"""),3143.0)</f>
        <v>3143</v>
      </c>
      <c r="G24291" s="4">
        <f>IFERROR(__xludf.DUMMYFUNCTION("""COMPUTED_VALUE"""),29.0)</f>
        <v>29</v>
      </c>
      <c r="H24291" s="4"/>
      <c r="I24291" s="4"/>
    </row>
    <row r="24292">
      <c r="A24292" s="4" t="str">
        <f>IFERROR(__xludf.DUMMYFUNCTION("""COMPUTED_VALUE"""),"cas_hmw")</f>
        <v>cas_hmw</v>
      </c>
      <c r="B24292" s="5">
        <f>IFERROR(__xludf.DUMMYFUNCTION("""COMPUTED_VALUE"""),44802.0)</f>
        <v>44802</v>
      </c>
      <c r="C24292" s="6">
        <f>IFERROR(__xludf.DUMMYFUNCTION("""COMPUTED_VALUE"""),0.7489236111105129)</f>
        <v>0.7489236111</v>
      </c>
      <c r="D24292" s="4">
        <f>IFERROR(__xludf.DUMMYFUNCTION("""COMPUTED_VALUE"""),12.932616)</f>
        <v>12.932616</v>
      </c>
      <c r="E24292" s="4">
        <f>IFERROR(__xludf.DUMMYFUNCTION("""COMPUTED_VALUE"""),80.123741)</f>
        <v>80.123741</v>
      </c>
      <c r="F24292" s="4">
        <f>IFERROR(__xludf.DUMMYFUNCTION("""COMPUTED_VALUE"""),5339.0)</f>
        <v>5339</v>
      </c>
      <c r="G24292" s="4">
        <f>IFERROR(__xludf.DUMMYFUNCTION("""COMPUTED_VALUE"""),32.0)</f>
        <v>32</v>
      </c>
      <c r="H24292" s="4"/>
      <c r="I24292" s="4"/>
    </row>
    <row r="24293">
      <c r="A24293" s="4" t="str">
        <f>IFERROR(__xludf.DUMMYFUNCTION("""COMPUTED_VALUE"""),"cas_hmw")</f>
        <v>cas_hmw</v>
      </c>
      <c r="B24293" s="5">
        <f>IFERROR(__xludf.DUMMYFUNCTION("""COMPUTED_VALUE"""),44802.0)</f>
        <v>44802</v>
      </c>
      <c r="C24293" s="6">
        <f>IFERROR(__xludf.DUMMYFUNCTION("""COMPUTED_VALUE"""),0.7491319444452529)</f>
        <v>0.7491319444</v>
      </c>
      <c r="D24293" s="4">
        <f>IFERROR(__xludf.DUMMYFUNCTION("""COMPUTED_VALUE"""),12.933226)</f>
        <v>12.933226</v>
      </c>
      <c r="E24293" s="4">
        <f>IFERROR(__xludf.DUMMYFUNCTION("""COMPUTED_VALUE"""),80.124357)</f>
        <v>80.124357</v>
      </c>
      <c r="F24293" s="4">
        <f>IFERROR(__xludf.DUMMYFUNCTION("""COMPUTED_VALUE"""),5339.0)</f>
        <v>5339</v>
      </c>
      <c r="G24293" s="4">
        <f>IFERROR(__xludf.DUMMYFUNCTION("""COMPUTED_VALUE"""),34.0)</f>
        <v>34</v>
      </c>
      <c r="H24293" s="4"/>
      <c r="I24293" s="4"/>
    </row>
    <row r="24294">
      <c r="A24294" s="4" t="str">
        <f>IFERROR(__xludf.DUMMYFUNCTION("""COMPUTED_VALUE"""),"cas_hmw")</f>
        <v>cas_hmw</v>
      </c>
      <c r="B24294" s="5">
        <f>IFERROR(__xludf.DUMMYFUNCTION("""COMPUTED_VALUE"""),44802.0)</f>
        <v>44802</v>
      </c>
      <c r="C24294" s="6">
        <f>IFERROR(__xludf.DUMMYFUNCTION("""COMPUTED_VALUE"""),0.7509837962970778)</f>
        <v>0.7509837963</v>
      </c>
      <c r="D24294" s="4">
        <f>IFERROR(__xludf.DUMMYFUNCTION("""COMPUTED_VALUE"""),12.936084)</f>
        <v>12.936084</v>
      </c>
      <c r="E24294" s="4">
        <f>IFERROR(__xludf.DUMMYFUNCTION("""COMPUTED_VALUE"""),80.127025)</f>
        <v>80.127025</v>
      </c>
      <c r="F24294" s="4">
        <f>IFERROR(__xludf.DUMMYFUNCTION("""COMPUTED_VALUE"""),5339.0)</f>
        <v>5339</v>
      </c>
      <c r="G24294" s="4">
        <f>IFERROR(__xludf.DUMMYFUNCTION("""COMPUTED_VALUE"""),17.0)</f>
        <v>17</v>
      </c>
      <c r="H24294" s="4"/>
      <c r="I24294" s="4"/>
    </row>
    <row r="24295">
      <c r="A24295" s="4" t="str">
        <f>IFERROR(__xludf.DUMMYFUNCTION("""COMPUTED_VALUE"""),"cas_hmw")</f>
        <v>cas_hmw</v>
      </c>
      <c r="B24295" s="5">
        <f>IFERROR(__xludf.DUMMYFUNCTION("""COMPUTED_VALUE"""),44802.0)</f>
        <v>44802</v>
      </c>
      <c r="C24295" s="6">
        <f>IFERROR(__xludf.DUMMYFUNCTION("""COMPUTED_VALUE"""),0.7509953703702195)</f>
        <v>0.7509953704</v>
      </c>
      <c r="D24295" s="4">
        <f>IFERROR(__xludf.DUMMYFUNCTION("""COMPUTED_VALUE"""),12.936084)</f>
        <v>12.936084</v>
      </c>
      <c r="E24295" s="4">
        <f>IFERROR(__xludf.DUMMYFUNCTION("""COMPUTED_VALUE"""),80.127025)</f>
        <v>80.127025</v>
      </c>
      <c r="F24295" s="4">
        <f>IFERROR(__xludf.DUMMYFUNCTION("""COMPUTED_VALUE"""),5339.0)</f>
        <v>5339</v>
      </c>
      <c r="G24295" s="4">
        <f>IFERROR(__xludf.DUMMYFUNCTION("""COMPUTED_VALUE"""),17.0)</f>
        <v>17</v>
      </c>
      <c r="H24295" s="4"/>
      <c r="I24295" s="4"/>
    </row>
    <row r="24296">
      <c r="A24296" s="4" t="str">
        <f>IFERROR(__xludf.DUMMYFUNCTION("""COMPUTED_VALUE"""),"cas_hmw")</f>
        <v>cas_hmw</v>
      </c>
      <c r="B24296" s="5">
        <f>IFERROR(__xludf.DUMMYFUNCTION("""COMPUTED_VALUE"""),44802.0)</f>
        <v>44802</v>
      </c>
      <c r="C24296" s="6">
        <f>IFERROR(__xludf.DUMMYFUNCTION("""COMPUTED_VALUE"""),0.7511921296281798)</f>
        <v>0.7511921296</v>
      </c>
      <c r="D24296" s="4">
        <f>IFERROR(__xludf.DUMMYFUNCTION("""COMPUTED_VALUE"""),12.937033)</f>
        <v>12.937033</v>
      </c>
      <c r="E24296" s="4">
        <f>IFERROR(__xludf.DUMMYFUNCTION("""COMPUTED_VALUE"""),80.127863)</f>
        <v>80.127863</v>
      </c>
      <c r="F24296" s="4">
        <f>IFERROR(__xludf.DUMMYFUNCTION("""COMPUTED_VALUE"""),5339.0)</f>
        <v>5339</v>
      </c>
      <c r="G24296" s="4">
        <f>IFERROR(__xludf.DUMMYFUNCTION("""COMPUTED_VALUE"""),35.0)</f>
        <v>35</v>
      </c>
      <c r="H24296" s="4"/>
      <c r="I24296" s="4"/>
    </row>
    <row r="24297">
      <c r="A24297" s="4" t="str">
        <f>IFERROR(__xludf.DUMMYFUNCTION("""COMPUTED_VALUE"""),"cas_hmw")</f>
        <v>cas_hmw</v>
      </c>
      <c r="B24297" s="5">
        <f>IFERROR(__xludf.DUMMYFUNCTION("""COMPUTED_VALUE"""),44802.0)</f>
        <v>44802</v>
      </c>
      <c r="C24297" s="6">
        <f>IFERROR(__xludf.DUMMYFUNCTION("""COMPUTED_VALUE"""),0.7520833333328483)</f>
        <v>0.7520833333</v>
      </c>
      <c r="D24297" s="4">
        <f>IFERROR(__xludf.DUMMYFUNCTION("""COMPUTED_VALUE"""),12.943555)</f>
        <v>12.943555</v>
      </c>
      <c r="E24297" s="4">
        <f>IFERROR(__xludf.DUMMYFUNCTION("""COMPUTED_VALUE"""),80.134131)</f>
        <v>80.134131</v>
      </c>
      <c r="F24297" s="4">
        <f>IFERROR(__xludf.DUMMYFUNCTION("""COMPUTED_VALUE"""),5339.0)</f>
        <v>5339</v>
      </c>
      <c r="G24297" s="4">
        <f>IFERROR(__xludf.DUMMYFUNCTION("""COMPUTED_VALUE"""),41.0)</f>
        <v>41</v>
      </c>
      <c r="H24297" s="4"/>
      <c r="I24297" s="4"/>
    </row>
    <row r="24298">
      <c r="A24298" s="4" t="str">
        <f>IFERROR(__xludf.DUMMYFUNCTION("""COMPUTED_VALUE"""),"cas_hmw")</f>
        <v>cas_hmw</v>
      </c>
      <c r="B24298" s="5">
        <f>IFERROR(__xludf.DUMMYFUNCTION("""COMPUTED_VALUE"""),44802.0)</f>
        <v>44802</v>
      </c>
      <c r="C24298" s="6">
        <f>IFERROR(__xludf.DUMMYFUNCTION("""COMPUTED_VALUE"""),0.7524537037024857)</f>
        <v>0.7524537037</v>
      </c>
      <c r="D24298" s="4">
        <f>IFERROR(__xludf.DUMMYFUNCTION("""COMPUTED_VALUE"""),12.94647)</f>
        <v>12.94647</v>
      </c>
      <c r="E24298" s="4">
        <f>IFERROR(__xludf.DUMMYFUNCTION("""COMPUTED_VALUE"""),80.136401)</f>
        <v>80.136401</v>
      </c>
      <c r="F24298" s="4">
        <f>IFERROR(__xludf.DUMMYFUNCTION("""COMPUTED_VALUE"""),5339.0)</f>
        <v>5339</v>
      </c>
      <c r="G24298" s="4">
        <f>IFERROR(__xludf.DUMMYFUNCTION("""COMPUTED_VALUE"""),53.0)</f>
        <v>53</v>
      </c>
      <c r="H24298" s="4"/>
      <c r="I24298" s="4"/>
    </row>
    <row r="24299">
      <c r="A24299" s="4" t="str">
        <f>IFERROR(__xludf.DUMMYFUNCTION("""COMPUTED_VALUE"""),"cas_hmw")</f>
        <v>cas_hmw</v>
      </c>
      <c r="B24299" s="5">
        <f>IFERROR(__xludf.DUMMYFUNCTION("""COMPUTED_VALUE"""),44802.0)</f>
        <v>44802</v>
      </c>
      <c r="C24299" s="6">
        <f>IFERROR(__xludf.DUMMYFUNCTION("""COMPUTED_VALUE"""),0.7537037037036498)</f>
        <v>0.7537037037</v>
      </c>
      <c r="D24299" s="4">
        <f>IFERROR(__xludf.DUMMYFUNCTION("""COMPUTED_VALUE"""),12.952387)</f>
        <v>12.952387</v>
      </c>
      <c r="E24299" s="4">
        <f>IFERROR(__xludf.DUMMYFUNCTION("""COMPUTED_VALUE"""),80.14095)</f>
        <v>80.14095</v>
      </c>
      <c r="F24299" s="4">
        <f>IFERROR(__xludf.DUMMYFUNCTION("""COMPUTED_VALUE"""),5339.0)</f>
        <v>5339</v>
      </c>
      <c r="G24299" s="4">
        <f>IFERROR(__xludf.DUMMYFUNCTION("""COMPUTED_VALUE"""),31.0)</f>
        <v>31</v>
      </c>
      <c r="H24299" s="4"/>
      <c r="I24299" s="4"/>
    </row>
    <row r="24300">
      <c r="A24300" s="4" t="str">
        <f>IFERROR(__xludf.DUMMYFUNCTION("""COMPUTED_VALUE"""),"cas_hmw")</f>
        <v>cas_hmw</v>
      </c>
      <c r="B24300" s="5">
        <f>IFERROR(__xludf.DUMMYFUNCTION("""COMPUTED_VALUE"""),44802.0)</f>
        <v>44802</v>
      </c>
      <c r="C24300" s="6">
        <f>IFERROR(__xludf.DUMMYFUNCTION("""COMPUTED_VALUE"""),0.7537615740729962)</f>
        <v>0.7537615741</v>
      </c>
      <c r="D24300" s="4">
        <f>IFERROR(__xludf.DUMMYFUNCTION("""COMPUTED_VALUE"""),12.952387)</f>
        <v>12.952387</v>
      </c>
      <c r="E24300" s="4">
        <f>IFERROR(__xludf.DUMMYFUNCTION("""COMPUTED_VALUE"""),80.14095)</f>
        <v>80.14095</v>
      </c>
      <c r="F24300" s="4">
        <f>IFERROR(__xludf.DUMMYFUNCTION("""COMPUTED_VALUE"""),5339.0)</f>
        <v>5339</v>
      </c>
      <c r="G24300" s="4">
        <f>IFERROR(__xludf.DUMMYFUNCTION("""COMPUTED_VALUE"""),31.0)</f>
        <v>31</v>
      </c>
      <c r="H24300" s="4"/>
      <c r="I24300" s="4"/>
    </row>
    <row r="24301">
      <c r="A24301" s="4" t="str">
        <f>IFERROR(__xludf.DUMMYFUNCTION("""COMPUTED_VALUE"""),"cas_hmw")</f>
        <v>cas_hmw</v>
      </c>
      <c r="B24301" s="5">
        <f>IFERROR(__xludf.DUMMYFUNCTION("""COMPUTED_VALUE"""),44802.0)</f>
        <v>44802</v>
      </c>
      <c r="C24301" s="6">
        <f>IFERROR(__xludf.DUMMYFUNCTION("""COMPUTED_VALUE"""),0.7537731481497758)</f>
        <v>0.7537731481</v>
      </c>
      <c r="D24301" s="4">
        <f>IFERROR(__xludf.DUMMYFUNCTION("""COMPUTED_VALUE"""),12.952387)</f>
        <v>12.952387</v>
      </c>
      <c r="E24301" s="4">
        <f>IFERROR(__xludf.DUMMYFUNCTION("""COMPUTED_VALUE"""),80.14095)</f>
        <v>80.14095</v>
      </c>
      <c r="F24301" s="4">
        <f>IFERROR(__xludf.DUMMYFUNCTION("""COMPUTED_VALUE"""),5339.0)</f>
        <v>5339</v>
      </c>
      <c r="G24301" s="4">
        <f>IFERROR(__xludf.DUMMYFUNCTION("""COMPUTED_VALUE"""),31.0)</f>
        <v>31</v>
      </c>
      <c r="H24301" s="4"/>
      <c r="I24301" s="4"/>
    </row>
    <row r="24302">
      <c r="A24302" s="4" t="str">
        <f>IFERROR(__xludf.DUMMYFUNCTION("""COMPUTED_VALUE"""),"cas_hmw")</f>
        <v>cas_hmw</v>
      </c>
      <c r="B24302" s="5">
        <f>IFERROR(__xludf.DUMMYFUNCTION("""COMPUTED_VALUE"""),44802.0)</f>
        <v>44802</v>
      </c>
      <c r="C24302" s="6">
        <f>IFERROR(__xludf.DUMMYFUNCTION("""COMPUTED_VALUE"""),0.7537731481497758)</f>
        <v>0.7537731481</v>
      </c>
      <c r="D24302" s="4">
        <f>IFERROR(__xludf.DUMMYFUNCTION("""COMPUTED_VALUE"""),12.952387)</f>
        <v>12.952387</v>
      </c>
      <c r="E24302" s="4">
        <f>IFERROR(__xludf.DUMMYFUNCTION("""COMPUTED_VALUE"""),80.14095)</f>
        <v>80.14095</v>
      </c>
      <c r="F24302" s="4">
        <f>IFERROR(__xludf.DUMMYFUNCTION("""COMPUTED_VALUE"""),5339.0)</f>
        <v>5339</v>
      </c>
      <c r="G24302" s="4">
        <f>IFERROR(__xludf.DUMMYFUNCTION("""COMPUTED_VALUE"""),31.0)</f>
        <v>31</v>
      </c>
      <c r="H24302" s="4"/>
      <c r="I24302" s="4"/>
    </row>
    <row r="24303">
      <c r="A24303" s="4" t="str">
        <f>IFERROR(__xludf.DUMMYFUNCTION("""COMPUTED_VALUE"""),"cas_hmw")</f>
        <v>cas_hmw</v>
      </c>
      <c r="B24303" s="5">
        <f>IFERROR(__xludf.DUMMYFUNCTION("""COMPUTED_VALUE"""),44802.0)</f>
        <v>44802</v>
      </c>
      <c r="C24303" s="6">
        <f>IFERROR(__xludf.DUMMYFUNCTION("""COMPUTED_VALUE"""),0.7538888888884685)</f>
        <v>0.7538888889</v>
      </c>
      <c r="D24303" s="4">
        <f>IFERROR(__xludf.DUMMYFUNCTION("""COMPUTED_VALUE"""),12.952972)</f>
        <v>12.952972</v>
      </c>
      <c r="E24303" s="4">
        <f>IFERROR(__xludf.DUMMYFUNCTION("""COMPUTED_VALUE"""),80.141378)</f>
        <v>80.141378</v>
      </c>
      <c r="F24303" s="4">
        <f>IFERROR(__xludf.DUMMYFUNCTION("""COMPUTED_VALUE"""),5339.0)</f>
        <v>5339</v>
      </c>
      <c r="G24303" s="4">
        <f>IFERROR(__xludf.DUMMYFUNCTION("""COMPUTED_VALUE"""),27.0)</f>
        <v>27</v>
      </c>
      <c r="H24303" s="4"/>
      <c r="I24303" s="4"/>
    </row>
    <row r="24304">
      <c r="A24304" s="4" t="str">
        <f>IFERROR(__xludf.DUMMYFUNCTION("""COMPUTED_VALUE"""),"cas_hmw")</f>
        <v>cas_hmw</v>
      </c>
      <c r="B24304" s="5">
        <f>IFERROR(__xludf.DUMMYFUNCTION("""COMPUTED_VALUE"""),44802.0)</f>
        <v>44802</v>
      </c>
      <c r="C24304" s="6">
        <f>IFERROR(__xludf.DUMMYFUNCTION("""COMPUTED_VALUE"""),0.7539004629616102)</f>
        <v>0.753900463</v>
      </c>
      <c r="D24304" s="4">
        <f>IFERROR(__xludf.DUMMYFUNCTION("""COMPUTED_VALUE"""),12.953617)</f>
        <v>12.953617</v>
      </c>
      <c r="E24304" s="4">
        <f>IFERROR(__xludf.DUMMYFUNCTION("""COMPUTED_VALUE"""),80.14176)</f>
        <v>80.14176</v>
      </c>
      <c r="F24304" s="4">
        <f>IFERROR(__xludf.DUMMYFUNCTION("""COMPUTED_VALUE"""),5339.0)</f>
        <v>5339</v>
      </c>
      <c r="G24304" s="4">
        <f>IFERROR(__xludf.DUMMYFUNCTION("""COMPUTED_VALUE"""),28.0)</f>
        <v>28</v>
      </c>
      <c r="H24304" s="4"/>
      <c r="I24304" s="4"/>
    </row>
    <row r="24305">
      <c r="A24305" s="4" t="str">
        <f>IFERROR(__xludf.DUMMYFUNCTION("""COMPUTED_VALUE"""),"cas_hmw")</f>
        <v>cas_hmw</v>
      </c>
      <c r="B24305" s="5">
        <f>IFERROR(__xludf.DUMMYFUNCTION("""COMPUTED_VALUE"""),44802.0)</f>
        <v>44802</v>
      </c>
      <c r="C24305" s="6">
        <f>IFERROR(__xludf.DUMMYFUNCTION("""COMPUTED_VALUE"""),0.7539120370383898)</f>
        <v>0.753912037</v>
      </c>
      <c r="D24305" s="4">
        <f>IFERROR(__xludf.DUMMYFUNCTION("""COMPUTED_VALUE"""),12.953617)</f>
        <v>12.953617</v>
      </c>
      <c r="E24305" s="4">
        <f>IFERROR(__xludf.DUMMYFUNCTION("""COMPUTED_VALUE"""),80.14176)</f>
        <v>80.14176</v>
      </c>
      <c r="F24305" s="4">
        <f>IFERROR(__xludf.DUMMYFUNCTION("""COMPUTED_VALUE"""),5339.0)</f>
        <v>5339</v>
      </c>
      <c r="G24305" s="4">
        <f>IFERROR(__xludf.DUMMYFUNCTION("""COMPUTED_VALUE"""),28.0)</f>
        <v>28</v>
      </c>
      <c r="H24305" s="4"/>
      <c r="I24305" s="4"/>
    </row>
    <row r="24306">
      <c r="A24306" s="4" t="str">
        <f>IFERROR(__xludf.DUMMYFUNCTION("""COMPUTED_VALUE"""),"cas_hmw")</f>
        <v>cas_hmw</v>
      </c>
      <c r="B24306" s="5">
        <f>IFERROR(__xludf.DUMMYFUNCTION("""COMPUTED_VALUE"""),44802.0)</f>
        <v>44802</v>
      </c>
      <c r="C24306" s="6">
        <f>IFERROR(__xludf.DUMMYFUNCTION("""COMPUTED_VALUE"""),0.7540509259270038)</f>
        <v>0.7540509259</v>
      </c>
      <c r="D24306" s="4">
        <f>IFERROR(__xludf.DUMMYFUNCTION("""COMPUTED_VALUE"""),12.954257)</f>
        <v>12.954257</v>
      </c>
      <c r="E24306" s="4">
        <f>IFERROR(__xludf.DUMMYFUNCTION("""COMPUTED_VALUE"""),80.142104)</f>
        <v>80.142104</v>
      </c>
      <c r="F24306" s="4">
        <f>IFERROR(__xludf.DUMMYFUNCTION("""COMPUTED_VALUE"""),5339.0)</f>
        <v>5339</v>
      </c>
      <c r="G24306" s="4">
        <f>IFERROR(__xludf.DUMMYFUNCTION("""COMPUTED_VALUE"""),24.0)</f>
        <v>24</v>
      </c>
      <c r="H24306" s="4"/>
      <c r="I24306" s="4"/>
    </row>
    <row r="24307">
      <c r="A24307" s="4" t="str">
        <f>IFERROR(__xludf.DUMMYFUNCTION("""COMPUTED_VALUE"""),"cas_hmw")</f>
        <v>cas_hmw</v>
      </c>
      <c r="B24307" s="5">
        <f>IFERROR(__xludf.DUMMYFUNCTION("""COMPUTED_VALUE"""),44802.0)</f>
        <v>44802</v>
      </c>
      <c r="C24307" s="6">
        <f>IFERROR(__xludf.DUMMYFUNCTION("""COMPUTED_VALUE"""),0.7562384259254031)</f>
        <v>0.7562384259</v>
      </c>
      <c r="D24307" s="4">
        <f>IFERROR(__xludf.DUMMYFUNCTION("""COMPUTED_VALUE"""),12.962854)</f>
        <v>12.962854</v>
      </c>
      <c r="E24307" s="4">
        <f>IFERROR(__xludf.DUMMYFUNCTION("""COMPUTED_VALUE"""),80.146688)</f>
        <v>80.146688</v>
      </c>
      <c r="F24307" s="4">
        <f>IFERROR(__xludf.DUMMYFUNCTION("""COMPUTED_VALUE"""),5339.0)</f>
        <v>5339</v>
      </c>
      <c r="G24307" s="4">
        <f>IFERROR(__xludf.DUMMYFUNCTION("""COMPUTED_VALUE"""),42.0)</f>
        <v>42</v>
      </c>
      <c r="H24307" s="4"/>
      <c r="I24307" s="4"/>
    </row>
    <row r="24308">
      <c r="A24308" s="4" t="str">
        <f>IFERROR(__xludf.DUMMYFUNCTION("""COMPUTED_VALUE"""),"cas_hmw")</f>
        <v>cas_hmw</v>
      </c>
      <c r="B24308" s="5">
        <f>IFERROR(__xludf.DUMMYFUNCTION("""COMPUTED_VALUE"""),44802.0)</f>
        <v>44802</v>
      </c>
      <c r="C24308" s="6">
        <f>IFERROR(__xludf.DUMMYFUNCTION("""COMPUTED_VALUE"""),0.7573263888880319)</f>
        <v>0.7573263889</v>
      </c>
      <c r="D24308" s="4">
        <f>IFERROR(__xludf.DUMMYFUNCTION("""COMPUTED_VALUE"""),12.970915)</f>
        <v>12.970915</v>
      </c>
      <c r="E24308" s="4">
        <f>IFERROR(__xludf.DUMMYFUNCTION("""COMPUTED_VALUE"""),80.150797)</f>
        <v>80.150797</v>
      </c>
      <c r="F24308" s="4">
        <f>IFERROR(__xludf.DUMMYFUNCTION("""COMPUTED_VALUE"""),5339.0)</f>
        <v>5339</v>
      </c>
      <c r="G24308" s="4">
        <f>IFERROR(__xludf.DUMMYFUNCTION("""COMPUTED_VALUE"""),48.0)</f>
        <v>48</v>
      </c>
      <c r="H24308" s="4"/>
      <c r="I24308" s="4"/>
    </row>
    <row r="24309">
      <c r="A24309" s="4" t="str">
        <f>IFERROR(__xludf.DUMMYFUNCTION("""COMPUTED_VALUE"""),"cas_hmw")</f>
        <v>cas_hmw</v>
      </c>
      <c r="B24309" s="5">
        <f>IFERROR(__xludf.DUMMYFUNCTION("""COMPUTED_VALUE"""),44802.0)</f>
        <v>44802</v>
      </c>
      <c r="C24309" s="6">
        <f>IFERROR(__xludf.DUMMYFUNCTION("""COMPUTED_VALUE"""),0.7573263888880319)</f>
        <v>0.7573263889</v>
      </c>
      <c r="D24309" s="4">
        <f>IFERROR(__xludf.DUMMYFUNCTION("""COMPUTED_VALUE"""),12.970915)</f>
        <v>12.970915</v>
      </c>
      <c r="E24309" s="4">
        <f>IFERROR(__xludf.DUMMYFUNCTION("""COMPUTED_VALUE"""),80.150797)</f>
        <v>80.150797</v>
      </c>
      <c r="F24309" s="4">
        <f>IFERROR(__xludf.DUMMYFUNCTION("""COMPUTED_VALUE"""),5339.0)</f>
        <v>5339</v>
      </c>
      <c r="G24309" s="4">
        <f>IFERROR(__xludf.DUMMYFUNCTION("""COMPUTED_VALUE"""),48.0)</f>
        <v>48</v>
      </c>
      <c r="H24309" s="4"/>
      <c r="I24309" s="4"/>
    </row>
    <row r="24310">
      <c r="A24310" s="4" t="str">
        <f>IFERROR(__xludf.DUMMYFUNCTION("""COMPUTED_VALUE"""),"cas_hmw")</f>
        <v>cas_hmw</v>
      </c>
      <c r="B24310" s="5">
        <f>IFERROR(__xludf.DUMMYFUNCTION("""COMPUTED_VALUE"""),44802.0)</f>
        <v>44802</v>
      </c>
      <c r="C24310" s="6">
        <f>IFERROR(__xludf.DUMMYFUNCTION("""COMPUTED_VALUE"""),0.7578356481499213)</f>
        <v>0.7578356481</v>
      </c>
      <c r="D24310" s="4">
        <f>IFERROR(__xludf.DUMMYFUNCTION("""COMPUTED_VALUE"""),12.974287)</f>
        <v>12.974287</v>
      </c>
      <c r="E24310" s="4">
        <f>IFERROR(__xludf.DUMMYFUNCTION("""COMPUTED_VALUE"""),80.154496)</f>
        <v>80.154496</v>
      </c>
      <c r="F24310" s="4">
        <f>IFERROR(__xludf.DUMMYFUNCTION("""COMPUTED_VALUE"""),5339.0)</f>
        <v>5339</v>
      </c>
      <c r="G24310" s="4">
        <f>IFERROR(__xludf.DUMMYFUNCTION("""COMPUTED_VALUE"""),51.0)</f>
        <v>51</v>
      </c>
      <c r="H24310" s="4"/>
      <c r="I24310" s="4"/>
    </row>
    <row r="24311">
      <c r="A24311" s="4" t="str">
        <f>IFERROR(__xludf.DUMMYFUNCTION("""COMPUTED_VALUE"""),"cas_hmw")</f>
        <v>cas_hmw</v>
      </c>
      <c r="B24311" s="5">
        <f>IFERROR(__xludf.DUMMYFUNCTION("""COMPUTED_VALUE"""),44802.0)</f>
        <v>44802</v>
      </c>
      <c r="C24311" s="6">
        <f>IFERROR(__xludf.DUMMYFUNCTION("""COMPUTED_VALUE"""),0.7606597222220444)</f>
        <v>0.7606597222</v>
      </c>
      <c r="D24311" s="4">
        <f>IFERROR(__xludf.DUMMYFUNCTION("""COMPUTED_VALUE"""),12.987338)</f>
        <v>12.987338</v>
      </c>
      <c r="E24311" s="4">
        <f>IFERROR(__xludf.DUMMYFUNCTION("""COMPUTED_VALUE"""),80.175881)</f>
        <v>80.175881</v>
      </c>
      <c r="F24311" s="4">
        <f>IFERROR(__xludf.DUMMYFUNCTION("""COMPUTED_VALUE"""),5339.0)</f>
        <v>5339</v>
      </c>
      <c r="G24311" s="4">
        <f>IFERROR(__xludf.DUMMYFUNCTION("""COMPUTED_VALUE"""),28.0)</f>
        <v>28</v>
      </c>
      <c r="H24311" s="4"/>
      <c r="I24311" s="4"/>
    </row>
    <row r="24312">
      <c r="A24312" s="4" t="str">
        <f>IFERROR(__xludf.DUMMYFUNCTION("""COMPUTED_VALUE"""),"cas_hmw")</f>
        <v>cas_hmw</v>
      </c>
      <c r="B24312" s="5">
        <f>IFERROR(__xludf.DUMMYFUNCTION("""COMPUTED_VALUE"""),44802.0)</f>
        <v>44802</v>
      </c>
      <c r="C24312" s="6">
        <f>IFERROR(__xludf.DUMMYFUNCTION("""COMPUTED_VALUE"""),0.7613078703689098)</f>
        <v>0.7613078704</v>
      </c>
      <c r="D24312" s="4">
        <f>IFERROR(__xludf.DUMMYFUNCTION("""COMPUTED_VALUE"""),12.989051)</f>
        <v>12.989051</v>
      </c>
      <c r="E24312" s="4">
        <f>IFERROR(__xludf.DUMMYFUNCTION("""COMPUTED_VALUE"""),80.178265)</f>
        <v>80.178265</v>
      </c>
      <c r="F24312" s="4">
        <f>IFERROR(__xludf.DUMMYFUNCTION("""COMPUTED_VALUE"""),5339.0)</f>
        <v>5339</v>
      </c>
      <c r="G24312" s="4">
        <f>IFERROR(__xludf.DUMMYFUNCTION("""COMPUTED_VALUE"""),23.0)</f>
        <v>23</v>
      </c>
      <c r="H24312" s="4"/>
      <c r="I24312" s="4"/>
    </row>
    <row r="24313">
      <c r="A24313" s="4" t="str">
        <f>IFERROR(__xludf.DUMMYFUNCTION("""COMPUTED_VALUE"""),"cas_hmw")</f>
        <v>cas_hmw</v>
      </c>
      <c r="B24313" s="5">
        <f>IFERROR(__xludf.DUMMYFUNCTION("""COMPUTED_VALUE"""),44802.0)</f>
        <v>44802</v>
      </c>
      <c r="C24313" s="6">
        <f>IFERROR(__xludf.DUMMYFUNCTION("""COMPUTED_VALUE"""),0.7619444444426335)</f>
        <v>0.7619444444</v>
      </c>
      <c r="D24313" s="4">
        <f>IFERROR(__xludf.DUMMYFUNCTION("""COMPUTED_VALUE"""),12.992736)</f>
        <v>12.992736</v>
      </c>
      <c r="E24313" s="4">
        <f>IFERROR(__xludf.DUMMYFUNCTION("""COMPUTED_VALUE"""),80.183132)</f>
        <v>80.183132</v>
      </c>
      <c r="F24313" s="4">
        <f>IFERROR(__xludf.DUMMYFUNCTION("""COMPUTED_VALUE"""),5339.0)</f>
        <v>5339</v>
      </c>
      <c r="G24313" s="4">
        <f>IFERROR(__xludf.DUMMYFUNCTION("""COMPUTED_VALUE"""),46.0)</f>
        <v>46</v>
      </c>
      <c r="H24313" s="4"/>
      <c r="I24313" s="4"/>
    </row>
    <row r="24314">
      <c r="A24314" s="4" t="str">
        <f>IFERROR(__xludf.DUMMYFUNCTION("""COMPUTED_VALUE"""),"cas_hmw")</f>
        <v>cas_hmw</v>
      </c>
      <c r="B24314" s="5">
        <f>IFERROR(__xludf.DUMMYFUNCTION("""COMPUTED_VALUE"""),44802.0)</f>
        <v>44802</v>
      </c>
      <c r="C24314" s="6">
        <f>IFERROR(__xludf.DUMMYFUNCTION("""COMPUTED_VALUE"""),0.763182870370656)</f>
        <v>0.7631828704</v>
      </c>
      <c r="D24314" s="4">
        <f>IFERROR(__xludf.DUMMYFUNCTION("""COMPUTED_VALUE"""),12.996503)</f>
        <v>12.996503</v>
      </c>
      <c r="E24314" s="4">
        <f>IFERROR(__xludf.DUMMYFUNCTION("""COMPUTED_VALUE"""),80.189713)</f>
        <v>80.189713</v>
      </c>
      <c r="F24314" s="4">
        <f>IFERROR(__xludf.DUMMYFUNCTION("""COMPUTED_VALUE"""),5339.0)</f>
        <v>5339</v>
      </c>
      <c r="G24314" s="4">
        <f>IFERROR(__xludf.DUMMYFUNCTION("""COMPUTED_VALUE"""),41.0)</f>
        <v>41</v>
      </c>
      <c r="H24314" s="4"/>
      <c r="I24314" s="4"/>
    </row>
    <row r="24315">
      <c r="A24315" s="4" t="str">
        <f>IFERROR(__xludf.DUMMYFUNCTION("""COMPUTED_VALUE"""),"cas_hmw")</f>
        <v>cas_hmw</v>
      </c>
      <c r="B24315" s="5">
        <f>IFERROR(__xludf.DUMMYFUNCTION("""COMPUTED_VALUE"""),44802.0)</f>
        <v>44802</v>
      </c>
      <c r="C24315" s="6">
        <f>IFERROR(__xludf.DUMMYFUNCTION("""COMPUTED_VALUE"""),0.7632754629630654)</f>
        <v>0.763275463</v>
      </c>
      <c r="D24315" s="4">
        <f>IFERROR(__xludf.DUMMYFUNCTION("""COMPUTED_VALUE"""),12.996503)</f>
        <v>12.996503</v>
      </c>
      <c r="E24315" s="4">
        <f>IFERROR(__xludf.DUMMYFUNCTION("""COMPUTED_VALUE"""),80.189713)</f>
        <v>80.189713</v>
      </c>
      <c r="F24315" s="4">
        <f>IFERROR(__xludf.DUMMYFUNCTION("""COMPUTED_VALUE"""),5339.0)</f>
        <v>5339</v>
      </c>
      <c r="G24315" s="4">
        <f>IFERROR(__xludf.DUMMYFUNCTION("""COMPUTED_VALUE"""),41.0)</f>
        <v>41</v>
      </c>
      <c r="H24315" s="4"/>
      <c r="I24315" s="4"/>
    </row>
    <row r="24316">
      <c r="A24316" s="4" t="str">
        <f>IFERROR(__xludf.DUMMYFUNCTION("""COMPUTED_VALUE"""),"cas_hmw")</f>
        <v>cas_hmw</v>
      </c>
      <c r="B24316" s="5">
        <f>IFERROR(__xludf.DUMMYFUNCTION("""COMPUTED_VALUE"""),44802.0)</f>
        <v>44802</v>
      </c>
      <c r="C24316" s="6">
        <f>IFERROR(__xludf.DUMMYFUNCTION("""COMPUTED_VALUE"""),0.7635879629633564)</f>
        <v>0.763587963</v>
      </c>
      <c r="D24316" s="4">
        <f>IFERROR(__xludf.DUMMYFUNCTION("""COMPUTED_VALUE"""),12.998258)</f>
        <v>12.998258</v>
      </c>
      <c r="E24316" s="4">
        <f>IFERROR(__xludf.DUMMYFUNCTION("""COMPUTED_VALUE"""),80.191858)</f>
        <v>80.191858</v>
      </c>
      <c r="F24316" s="4">
        <f>IFERROR(__xludf.DUMMYFUNCTION("""COMPUTED_VALUE"""),5339.0)</f>
        <v>5339</v>
      </c>
      <c r="G24316" s="4">
        <f>IFERROR(__xludf.DUMMYFUNCTION("""COMPUTED_VALUE"""),27.0)</f>
        <v>27</v>
      </c>
      <c r="H24316" s="4"/>
      <c r="I24316" s="4"/>
    </row>
    <row r="24317">
      <c r="A24317" s="4" t="str">
        <f>IFERROR(__xludf.DUMMYFUNCTION("""COMPUTED_VALUE"""),"cas_hmw")</f>
        <v>cas_hmw</v>
      </c>
      <c r="B24317" s="5">
        <f>IFERROR(__xludf.DUMMYFUNCTION("""COMPUTED_VALUE"""),44802.0)</f>
        <v>44802</v>
      </c>
      <c r="C24317" s="6">
        <f>IFERROR(__xludf.DUMMYFUNCTION("""COMPUTED_VALUE"""),0.7636342592595611)</f>
        <v>0.7636342593</v>
      </c>
      <c r="D24317" s="4">
        <f>IFERROR(__xludf.DUMMYFUNCTION("""COMPUTED_VALUE"""),12.998752)</f>
        <v>12.998752</v>
      </c>
      <c r="E24317" s="4">
        <f>IFERROR(__xludf.DUMMYFUNCTION("""COMPUTED_VALUE"""),80.192494)</f>
        <v>80.192494</v>
      </c>
      <c r="F24317" s="4">
        <f>IFERROR(__xludf.DUMMYFUNCTION("""COMPUTED_VALUE"""),5339.0)</f>
        <v>5339</v>
      </c>
      <c r="G24317" s="4">
        <f>IFERROR(__xludf.DUMMYFUNCTION("""COMPUTED_VALUE"""),34.0)</f>
        <v>34</v>
      </c>
      <c r="H24317" s="4"/>
      <c r="I24317" s="4"/>
    </row>
    <row r="24318">
      <c r="A24318" s="4" t="str">
        <f>IFERROR(__xludf.DUMMYFUNCTION("""COMPUTED_VALUE"""),"cas_hmw")</f>
        <v>cas_hmw</v>
      </c>
      <c r="B24318" s="5">
        <f>IFERROR(__xludf.DUMMYFUNCTION("""COMPUTED_VALUE"""),44802.0)</f>
        <v>44802</v>
      </c>
      <c r="C24318" s="6">
        <f>IFERROR(__xludf.DUMMYFUNCTION("""COMPUTED_VALUE"""),0.7639351851867104)</f>
        <v>0.7639351852</v>
      </c>
      <c r="D24318" s="4">
        <f>IFERROR(__xludf.DUMMYFUNCTION("""COMPUTED_VALUE"""),12.999681)</f>
        <v>12.999681</v>
      </c>
      <c r="E24318" s="4">
        <f>IFERROR(__xludf.DUMMYFUNCTION("""COMPUTED_VALUE"""),80.19366)</f>
        <v>80.19366</v>
      </c>
      <c r="F24318" s="4">
        <f>IFERROR(__xludf.DUMMYFUNCTION("""COMPUTED_VALUE"""),5339.0)</f>
        <v>5339</v>
      </c>
      <c r="G24318" s="4">
        <f>IFERROR(__xludf.DUMMYFUNCTION("""COMPUTED_VALUE"""),31.0)</f>
        <v>31</v>
      </c>
      <c r="H24318" s="4"/>
      <c r="I24318" s="4"/>
    </row>
    <row r="24319">
      <c r="A24319" s="4" t="str">
        <f>IFERROR(__xludf.DUMMYFUNCTION("""COMPUTED_VALUE"""),"cas_hmw")</f>
        <v>cas_hmw</v>
      </c>
      <c r="B24319" s="5">
        <f>IFERROR(__xludf.DUMMYFUNCTION("""COMPUTED_VALUE"""),44802.0)</f>
        <v>44802</v>
      </c>
      <c r="C24319" s="6">
        <f>IFERROR(__xludf.DUMMYFUNCTION("""COMPUTED_VALUE"""),0.7640162037023401)</f>
        <v>0.7640162037</v>
      </c>
      <c r="D24319" s="4">
        <f>IFERROR(__xludf.DUMMYFUNCTION("""COMPUTED_VALUE"""),13.000213)</f>
        <v>13.000213</v>
      </c>
      <c r="E24319" s="4">
        <f>IFERROR(__xludf.DUMMYFUNCTION("""COMPUTED_VALUE"""),80.194375)</f>
        <v>80.194375</v>
      </c>
      <c r="F24319" s="4">
        <f>IFERROR(__xludf.DUMMYFUNCTION("""COMPUTED_VALUE"""),5339.0)</f>
        <v>5339</v>
      </c>
      <c r="G24319" s="4">
        <f>IFERROR(__xludf.DUMMYFUNCTION("""COMPUTED_VALUE"""),32.0)</f>
        <v>32</v>
      </c>
      <c r="H24319" s="4"/>
      <c r="I24319" s="4"/>
    </row>
    <row r="24320">
      <c r="A24320" s="4" t="str">
        <f>IFERROR(__xludf.DUMMYFUNCTION("""COMPUTED_VALUE"""),"cas_hmw")</f>
        <v>cas_hmw</v>
      </c>
      <c r="B24320" s="5">
        <f>IFERROR(__xludf.DUMMYFUNCTION("""COMPUTED_VALUE"""),44802.0)</f>
        <v>44802</v>
      </c>
      <c r="C24320" s="6">
        <f>IFERROR(__xludf.DUMMYFUNCTION("""COMPUTED_VALUE"""),0.7645486111105129)</f>
        <v>0.7645486111</v>
      </c>
      <c r="D24320" s="4">
        <f>IFERROR(__xludf.DUMMYFUNCTION("""COMPUTED_VALUE"""),13.001956)</f>
        <v>13.001956</v>
      </c>
      <c r="E24320" s="4">
        <f>IFERROR(__xludf.DUMMYFUNCTION("""COMPUTED_VALUE"""),80.196525)</f>
        <v>80.196525</v>
      </c>
      <c r="F24320" s="4">
        <f>IFERROR(__xludf.DUMMYFUNCTION("""COMPUTED_VALUE"""),5339.0)</f>
        <v>5339</v>
      </c>
      <c r="G24320" s="4">
        <f>IFERROR(__xludf.DUMMYFUNCTION("""COMPUTED_VALUE"""),33.0)</f>
        <v>33</v>
      </c>
      <c r="H24320" s="4"/>
      <c r="I24320" s="4"/>
    </row>
    <row r="24321">
      <c r="A24321" s="4" t="str">
        <f>IFERROR(__xludf.DUMMYFUNCTION("""COMPUTED_VALUE"""),"cas_hmw")</f>
        <v>cas_hmw</v>
      </c>
      <c r="B24321" s="5">
        <f>IFERROR(__xludf.DUMMYFUNCTION("""COMPUTED_VALUE"""),44802.0)</f>
        <v>44802</v>
      </c>
      <c r="C24321" s="6">
        <f>IFERROR(__xludf.DUMMYFUNCTION("""COMPUTED_VALUE"""),0.7647106481490482)</f>
        <v>0.7647106481</v>
      </c>
      <c r="D24321" s="4">
        <f>IFERROR(__xludf.DUMMYFUNCTION("""COMPUTED_VALUE"""),13.001993)</f>
        <v>13.001993</v>
      </c>
      <c r="E24321" s="4">
        <f>IFERROR(__xludf.DUMMYFUNCTION("""COMPUTED_VALUE"""),80.198518)</f>
        <v>80.198518</v>
      </c>
      <c r="F24321" s="4">
        <f>IFERROR(__xludf.DUMMYFUNCTION("""COMPUTED_VALUE"""),5339.0)</f>
        <v>5339</v>
      </c>
      <c r="G24321" s="4">
        <f>IFERROR(__xludf.DUMMYFUNCTION("""COMPUTED_VALUE"""),40.0)</f>
        <v>40</v>
      </c>
      <c r="H24321" s="4"/>
      <c r="I24321" s="4"/>
    </row>
    <row r="24322">
      <c r="A24322" s="4" t="str">
        <f>IFERROR(__xludf.DUMMYFUNCTION("""COMPUTED_VALUE"""),"cas_hmw")</f>
        <v>cas_hmw</v>
      </c>
      <c r="B24322" s="5">
        <f>IFERROR(__xludf.DUMMYFUNCTION("""COMPUTED_VALUE"""),44802.0)</f>
        <v>44802</v>
      </c>
      <c r="C24322" s="6">
        <f>IFERROR(__xludf.DUMMYFUNCTION("""COMPUTED_VALUE"""),0.765902777777228)</f>
        <v>0.7659027778</v>
      </c>
      <c r="D24322" s="4">
        <f>IFERROR(__xludf.DUMMYFUNCTION("""COMPUTED_VALUE"""),13.006409)</f>
        <v>13.006409</v>
      </c>
      <c r="E24322" s="4">
        <f>IFERROR(__xludf.DUMMYFUNCTION("""COMPUTED_VALUE"""),80.203058)</f>
        <v>80.203058</v>
      </c>
      <c r="F24322" s="4">
        <f>IFERROR(__xludf.DUMMYFUNCTION("""COMPUTED_VALUE"""),5339.0)</f>
        <v>5339</v>
      </c>
      <c r="G24322" s="4">
        <f>IFERROR(__xludf.DUMMYFUNCTION("""COMPUTED_VALUE"""),31.0)</f>
        <v>31</v>
      </c>
      <c r="H24322" s="4"/>
      <c r="I24322" s="4"/>
    </row>
    <row r="24323">
      <c r="A24323" s="4" t="str">
        <f>IFERROR(__xludf.DUMMYFUNCTION("""COMPUTED_VALUE"""),"cas_hmw")</f>
        <v>cas_hmw</v>
      </c>
      <c r="B24323" s="5">
        <f>IFERROR(__xludf.DUMMYFUNCTION("""COMPUTED_VALUE"""),44802.0)</f>
        <v>44802</v>
      </c>
      <c r="C24323" s="6">
        <f>IFERROR(__xludf.DUMMYFUNCTION("""COMPUTED_VALUE"""),0.7675231481480296)</f>
        <v>0.7675231481</v>
      </c>
      <c r="D24323" s="4">
        <f>IFERROR(__xludf.DUMMYFUNCTION("""COMPUTED_VALUE"""),13.009154)</f>
        <v>13.009154</v>
      </c>
      <c r="E24323" s="4">
        <f>IFERROR(__xludf.DUMMYFUNCTION("""COMPUTED_VALUE"""),80.212085)</f>
        <v>80.212085</v>
      </c>
      <c r="F24323" s="4">
        <f>IFERROR(__xludf.DUMMYFUNCTION("""COMPUTED_VALUE"""),5339.0)</f>
        <v>5339</v>
      </c>
      <c r="G24323" s="4">
        <f>IFERROR(__xludf.DUMMYFUNCTION("""COMPUTED_VALUE"""),39.0)</f>
        <v>39</v>
      </c>
      <c r="H24323" s="4"/>
      <c r="I24323" s="4"/>
    </row>
    <row r="24324">
      <c r="A24324" s="4" t="str">
        <f>IFERROR(__xludf.DUMMYFUNCTION("""COMPUTED_VALUE"""),"cas_hmw")</f>
        <v>cas_hmw</v>
      </c>
      <c r="B24324" s="5">
        <f>IFERROR(__xludf.DUMMYFUNCTION("""COMPUTED_VALUE"""),44802.0)</f>
        <v>44802</v>
      </c>
      <c r="C24324" s="6">
        <f>IFERROR(__xludf.DUMMYFUNCTION("""COMPUTED_VALUE"""),0.7678240740751789)</f>
        <v>0.7678240741</v>
      </c>
      <c r="D24324" s="4">
        <f>IFERROR(__xludf.DUMMYFUNCTION("""COMPUTED_VALUE"""),13.010104)</f>
        <v>13.010104</v>
      </c>
      <c r="E24324" s="4">
        <f>IFERROR(__xludf.DUMMYFUNCTION("""COMPUTED_VALUE"""),80.214488)</f>
        <v>80.214488</v>
      </c>
      <c r="F24324" s="4">
        <f>IFERROR(__xludf.DUMMYFUNCTION("""COMPUTED_VALUE"""),5339.0)</f>
        <v>5339</v>
      </c>
      <c r="G24324" s="4">
        <f>IFERROR(__xludf.DUMMYFUNCTION("""COMPUTED_VALUE"""),32.0)</f>
        <v>32</v>
      </c>
      <c r="H24324" s="4"/>
      <c r="I24324" s="4"/>
    </row>
    <row r="24325">
      <c r="A24325" s="4" t="str">
        <f>IFERROR(__xludf.DUMMYFUNCTION("""COMPUTED_VALUE"""),"cas_hmw")</f>
        <v>cas_hmw</v>
      </c>
      <c r="B24325" s="5">
        <f>IFERROR(__xludf.DUMMYFUNCTION("""COMPUTED_VALUE"""),44802.0)</f>
        <v>44802</v>
      </c>
      <c r="C24325" s="6">
        <f>IFERROR(__xludf.DUMMYFUNCTION("""COMPUTED_VALUE"""),0.7719328703715291)</f>
        <v>0.7719328704</v>
      </c>
      <c r="D24325" s="4">
        <f>IFERROR(__xludf.DUMMYFUNCTION("""COMPUTED_VALUE"""),12.956162)</f>
        <v>12.956162</v>
      </c>
      <c r="E24325" s="4">
        <f>IFERROR(__xludf.DUMMYFUNCTION("""COMPUTED_VALUE"""),80.213056)</f>
        <v>80.213056</v>
      </c>
      <c r="F24325" s="4">
        <f>IFERROR(__xludf.DUMMYFUNCTION("""COMPUTED_VALUE"""),3143.0)</f>
        <v>3143</v>
      </c>
      <c r="G24325" s="4">
        <f>IFERROR(__xludf.DUMMYFUNCTION("""COMPUTED_VALUE"""),45.0)</f>
        <v>45</v>
      </c>
      <c r="H24325" s="4"/>
      <c r="I24325" s="4"/>
    </row>
    <row r="24326">
      <c r="A24326" s="4" t="str">
        <f>IFERROR(__xludf.DUMMYFUNCTION("""COMPUTED_VALUE"""),"cas_hmw")</f>
        <v>cas_hmw</v>
      </c>
      <c r="B24326" s="5">
        <f>IFERROR(__xludf.DUMMYFUNCTION("""COMPUTED_VALUE"""),44802.0)</f>
        <v>44802</v>
      </c>
      <c r="C24326" s="6">
        <f>IFERROR(__xludf.DUMMYFUNCTION("""COMPUTED_VALUE"""),0.7719907407408755)</f>
        <v>0.7719907407</v>
      </c>
      <c r="D24326" s="4">
        <f>IFERROR(__xludf.DUMMYFUNCTION("""COMPUTED_VALUE"""),12.956162)</f>
        <v>12.956162</v>
      </c>
      <c r="E24326" s="4">
        <f>IFERROR(__xludf.DUMMYFUNCTION("""COMPUTED_VALUE"""),80.213056)</f>
        <v>80.213056</v>
      </c>
      <c r="F24326" s="4">
        <f>IFERROR(__xludf.DUMMYFUNCTION("""COMPUTED_VALUE"""),3143.0)</f>
        <v>3143</v>
      </c>
      <c r="G24326" s="4">
        <f>IFERROR(__xludf.DUMMYFUNCTION("""COMPUTED_VALUE"""),45.0)</f>
        <v>45</v>
      </c>
      <c r="H24326" s="4"/>
      <c r="I24326" s="4"/>
    </row>
    <row r="24327">
      <c r="A24327" s="4" t="str">
        <f>IFERROR(__xludf.DUMMYFUNCTION("""COMPUTED_VALUE"""),"cas_hmw")</f>
        <v>cas_hmw</v>
      </c>
      <c r="B24327" s="5">
        <f>IFERROR(__xludf.DUMMYFUNCTION("""COMPUTED_VALUE"""),44802.0)</f>
        <v>44802</v>
      </c>
      <c r="C24327" s="6">
        <f>IFERROR(__xludf.DUMMYFUNCTION("""COMPUTED_VALUE"""),0.7721759259256942)</f>
        <v>0.7721759259</v>
      </c>
      <c r="D24327" s="4">
        <f>IFERROR(__xludf.DUMMYFUNCTION("""COMPUTED_VALUE"""),12.95444)</f>
        <v>12.95444</v>
      </c>
      <c r="E24327" s="4">
        <f>IFERROR(__xludf.DUMMYFUNCTION("""COMPUTED_VALUE"""),80.212393)</f>
        <v>80.212393</v>
      </c>
      <c r="F24327" s="4">
        <f>IFERROR(__xludf.DUMMYFUNCTION("""COMPUTED_VALUE"""),3143.0)</f>
        <v>3143</v>
      </c>
      <c r="G24327" s="4">
        <f>IFERROR(__xludf.DUMMYFUNCTION("""COMPUTED_VALUE"""),30.0)</f>
        <v>30</v>
      </c>
      <c r="H24327" s="4"/>
      <c r="I24327" s="4"/>
    </row>
    <row r="24328">
      <c r="A24328" s="4" t="str">
        <f>IFERROR(__xludf.DUMMYFUNCTION("""COMPUTED_VALUE"""),"cas_hmw")</f>
        <v>cas_hmw</v>
      </c>
      <c r="B24328" s="5">
        <f>IFERROR(__xludf.DUMMYFUNCTION("""COMPUTED_VALUE"""),44802.0)</f>
        <v>44802</v>
      </c>
      <c r="C24328" s="6">
        <f>IFERROR(__xludf.DUMMYFUNCTION("""COMPUTED_VALUE"""),0.776296296295186)</f>
        <v>0.7762962963</v>
      </c>
      <c r="D24328" s="4">
        <f>IFERROR(__xludf.DUMMYFUNCTION("""COMPUTED_VALUE"""),12.948563)</f>
        <v>12.948563</v>
      </c>
      <c r="E24328" s="4">
        <f>IFERROR(__xludf.DUMMYFUNCTION("""COMPUTED_VALUE"""),80.207525)</f>
        <v>80.207525</v>
      </c>
      <c r="F24328" s="4">
        <f>IFERROR(__xludf.DUMMYFUNCTION("""COMPUTED_VALUE"""),3143.0)</f>
        <v>3143</v>
      </c>
      <c r="G24328" s="4">
        <f>IFERROR(__xludf.DUMMYFUNCTION("""COMPUTED_VALUE"""),31.0)</f>
        <v>31</v>
      </c>
      <c r="H24328" s="4"/>
      <c r="I24328" s="4"/>
    </row>
    <row r="24329">
      <c r="A24329" s="4" t="str">
        <f>IFERROR(__xludf.DUMMYFUNCTION("""COMPUTED_VALUE"""),"cas_hmw")</f>
        <v>cas_hmw</v>
      </c>
      <c r="B24329" s="5">
        <f>IFERROR(__xludf.DUMMYFUNCTION("""COMPUTED_VALUE"""),44802.0)</f>
        <v>44802</v>
      </c>
      <c r="C24329" s="6">
        <f>IFERROR(__xludf.DUMMYFUNCTION("""COMPUTED_VALUE"""),0.7765509259261307)</f>
        <v>0.7765509259</v>
      </c>
      <c r="D24329" s="4">
        <f>IFERROR(__xludf.DUMMYFUNCTION("""COMPUTED_VALUE"""),12.948655)</f>
        <v>12.948655</v>
      </c>
      <c r="E24329" s="4">
        <f>IFERROR(__xludf.DUMMYFUNCTION("""COMPUTED_VALUE"""),80.206225)</f>
        <v>80.206225</v>
      </c>
      <c r="F24329" s="4">
        <f>IFERROR(__xludf.DUMMYFUNCTION("""COMPUTED_VALUE"""),3143.0)</f>
        <v>3143</v>
      </c>
      <c r="G24329" s="4">
        <f>IFERROR(__xludf.DUMMYFUNCTION("""COMPUTED_VALUE"""),19.0)</f>
        <v>19</v>
      </c>
      <c r="H24329" s="4"/>
      <c r="I24329" s="4"/>
    </row>
    <row r="24330">
      <c r="A24330" s="4" t="str">
        <f>IFERROR(__xludf.DUMMYFUNCTION("""COMPUTED_VALUE"""),"cas_hmw")</f>
        <v>cas_hmw</v>
      </c>
      <c r="B24330" s="5">
        <f>IFERROR(__xludf.DUMMYFUNCTION("""COMPUTED_VALUE"""),44802.0)</f>
        <v>44802</v>
      </c>
      <c r="C24330" s="6">
        <f>IFERROR(__xludf.DUMMYFUNCTION("""COMPUTED_VALUE"""),0.7765624999992724)</f>
        <v>0.7765625</v>
      </c>
      <c r="D24330" s="4">
        <f>IFERROR(__xludf.DUMMYFUNCTION("""COMPUTED_VALUE"""),12.948686)</f>
        <v>12.948686</v>
      </c>
      <c r="E24330" s="4">
        <f>IFERROR(__xludf.DUMMYFUNCTION("""COMPUTED_VALUE"""),80.205634)</f>
        <v>80.205634</v>
      </c>
      <c r="F24330" s="4">
        <f>IFERROR(__xludf.DUMMYFUNCTION("""COMPUTED_VALUE"""),3143.0)</f>
        <v>3143</v>
      </c>
      <c r="G24330" s="4">
        <f>IFERROR(__xludf.DUMMYFUNCTION("""COMPUTED_VALUE"""),27.0)</f>
        <v>27</v>
      </c>
      <c r="H24330" s="4"/>
      <c r="I24330" s="4"/>
    </row>
    <row r="24331">
      <c r="A24331" s="4" t="str">
        <f>IFERROR(__xludf.DUMMYFUNCTION("""COMPUTED_VALUE"""),"cas_hmw")</f>
        <v>cas_hmw</v>
      </c>
      <c r="B24331" s="5">
        <f>IFERROR(__xludf.DUMMYFUNCTION("""COMPUTED_VALUE"""),44802.0)</f>
        <v>44802</v>
      </c>
      <c r="C24331" s="6">
        <f>IFERROR(__xludf.DUMMYFUNCTION("""COMPUTED_VALUE"""),0.7767939814802958)</f>
        <v>0.7767939815</v>
      </c>
      <c r="D24331" s="4">
        <f>IFERROR(__xludf.DUMMYFUNCTION("""COMPUTED_VALUE"""),12.948656)</f>
        <v>12.948656</v>
      </c>
      <c r="E24331" s="4">
        <f>IFERROR(__xludf.DUMMYFUNCTION("""COMPUTED_VALUE"""),80.204144)</f>
        <v>80.204144</v>
      </c>
      <c r="F24331" s="4">
        <f>IFERROR(__xludf.DUMMYFUNCTION("""COMPUTED_VALUE"""),3143.0)</f>
        <v>3143</v>
      </c>
      <c r="G24331" s="4">
        <f>IFERROR(__xludf.DUMMYFUNCTION("""COMPUTED_VALUE"""),28.0)</f>
        <v>28</v>
      </c>
      <c r="H24331" s="4"/>
      <c r="I24331" s="4"/>
    </row>
    <row r="24332">
      <c r="A24332" s="4" t="str">
        <f>IFERROR(__xludf.DUMMYFUNCTION("""COMPUTED_VALUE"""),"cas_hmw")</f>
        <v>cas_hmw</v>
      </c>
      <c r="B24332" s="5">
        <f>IFERROR(__xludf.DUMMYFUNCTION("""COMPUTED_VALUE"""),44802.0)</f>
        <v>44802</v>
      </c>
      <c r="C24332" s="6">
        <f>IFERROR(__xludf.DUMMYFUNCTION("""COMPUTED_VALUE"""),0.7768287037033588)</f>
        <v>0.7768287037</v>
      </c>
      <c r="D24332" s="4">
        <f>IFERROR(__xludf.DUMMYFUNCTION("""COMPUTED_VALUE"""),12.948656)</f>
        <v>12.948656</v>
      </c>
      <c r="E24332" s="4">
        <f>IFERROR(__xludf.DUMMYFUNCTION("""COMPUTED_VALUE"""),80.204144)</f>
        <v>80.204144</v>
      </c>
      <c r="F24332" s="4">
        <f>IFERROR(__xludf.DUMMYFUNCTION("""COMPUTED_VALUE"""),3143.0)</f>
        <v>3143</v>
      </c>
      <c r="G24332" s="4">
        <f>IFERROR(__xludf.DUMMYFUNCTION("""COMPUTED_VALUE"""),28.0)</f>
        <v>28</v>
      </c>
      <c r="H24332" s="4"/>
      <c r="I24332" s="4"/>
    </row>
    <row r="24333">
      <c r="A24333" s="4" t="str">
        <f>IFERROR(__xludf.DUMMYFUNCTION("""COMPUTED_VALUE"""),"cas_hmw")</f>
        <v>cas_hmw</v>
      </c>
      <c r="B24333" s="5">
        <f>IFERROR(__xludf.DUMMYFUNCTION("""COMPUTED_VALUE"""),44802.0)</f>
        <v>44802</v>
      </c>
      <c r="C24333" s="6">
        <f>IFERROR(__xludf.DUMMYFUNCTION("""COMPUTED_VALUE"""),0.7781250000007276)</f>
        <v>0.778125</v>
      </c>
      <c r="D24333" s="4">
        <f>IFERROR(__xludf.DUMMYFUNCTION("""COMPUTED_VALUE"""),12.9485)</f>
        <v>12.9485</v>
      </c>
      <c r="E24333" s="4">
        <f>IFERROR(__xludf.DUMMYFUNCTION("""COMPUTED_VALUE"""),80.195135)</f>
        <v>80.195135</v>
      </c>
      <c r="F24333" s="4">
        <f>IFERROR(__xludf.DUMMYFUNCTION("""COMPUTED_VALUE"""),3143.0)</f>
        <v>3143</v>
      </c>
      <c r="G24333" s="4">
        <f>IFERROR(__xludf.DUMMYFUNCTION("""COMPUTED_VALUE"""),31.0)</f>
        <v>31</v>
      </c>
      <c r="H24333" s="4"/>
      <c r="I24333" s="4"/>
    </row>
    <row r="24334">
      <c r="A24334" s="4" t="str">
        <f>IFERROR(__xludf.DUMMYFUNCTION("""COMPUTED_VALUE"""),"cas_hmw")</f>
        <v>cas_hmw</v>
      </c>
      <c r="B24334" s="5">
        <f>IFERROR(__xludf.DUMMYFUNCTION("""COMPUTED_VALUE"""),44802.0)</f>
        <v>44802</v>
      </c>
      <c r="C24334" s="6">
        <f>IFERROR(__xludf.DUMMYFUNCTION("""COMPUTED_VALUE"""),0.7781365740738693)</f>
        <v>0.7781365741</v>
      </c>
      <c r="D24334" s="4">
        <f>IFERROR(__xludf.DUMMYFUNCTION("""COMPUTED_VALUE"""),12.9485)</f>
        <v>12.9485</v>
      </c>
      <c r="E24334" s="4">
        <f>IFERROR(__xludf.DUMMYFUNCTION("""COMPUTED_VALUE"""),80.195135)</f>
        <v>80.195135</v>
      </c>
      <c r="F24334" s="4">
        <f>IFERROR(__xludf.DUMMYFUNCTION("""COMPUTED_VALUE"""),3143.0)</f>
        <v>3143</v>
      </c>
      <c r="G24334" s="4">
        <f>IFERROR(__xludf.DUMMYFUNCTION("""COMPUTED_VALUE"""),31.0)</f>
        <v>31</v>
      </c>
      <c r="H24334" s="4"/>
      <c r="I24334" s="4"/>
    </row>
    <row r="24335">
      <c r="A24335" s="4" t="str">
        <f>IFERROR(__xludf.DUMMYFUNCTION("""COMPUTED_VALUE"""),"cas_hmw")</f>
        <v>cas_hmw</v>
      </c>
      <c r="B24335" s="5">
        <f>IFERROR(__xludf.DUMMYFUNCTION("""COMPUTED_VALUE"""),44802.0)</f>
        <v>44802</v>
      </c>
      <c r="C24335" s="6">
        <f>IFERROR(__xludf.DUMMYFUNCTION("""COMPUTED_VALUE"""),0.7781365740738693)</f>
        <v>0.7781365741</v>
      </c>
      <c r="D24335" s="4">
        <f>IFERROR(__xludf.DUMMYFUNCTION("""COMPUTED_VALUE"""),12.9485)</f>
        <v>12.9485</v>
      </c>
      <c r="E24335" s="4">
        <f>IFERROR(__xludf.DUMMYFUNCTION("""COMPUTED_VALUE"""),80.195135)</f>
        <v>80.195135</v>
      </c>
      <c r="F24335" s="4">
        <f>IFERROR(__xludf.DUMMYFUNCTION("""COMPUTED_VALUE"""),3143.0)</f>
        <v>3143</v>
      </c>
      <c r="G24335" s="4">
        <f>IFERROR(__xludf.DUMMYFUNCTION("""COMPUTED_VALUE"""),31.0)</f>
        <v>31</v>
      </c>
      <c r="H24335" s="4"/>
      <c r="I24335" s="4"/>
    </row>
    <row r="24336">
      <c r="A24336" s="4" t="str">
        <f>IFERROR(__xludf.DUMMYFUNCTION("""COMPUTED_VALUE"""),"cas_hmw")</f>
        <v>cas_hmw</v>
      </c>
      <c r="B24336" s="5">
        <f>IFERROR(__xludf.DUMMYFUNCTION("""COMPUTED_VALUE"""),44802.0)</f>
        <v>44802</v>
      </c>
      <c r="C24336" s="6">
        <f>IFERROR(__xludf.DUMMYFUNCTION("""COMPUTED_VALUE"""),0.7793055555557657)</f>
        <v>0.7793055556</v>
      </c>
      <c r="D24336" s="4">
        <f>IFERROR(__xludf.DUMMYFUNCTION("""COMPUTED_VALUE"""),12.949)</f>
        <v>12.949</v>
      </c>
      <c r="E24336" s="4">
        <f>IFERROR(__xludf.DUMMYFUNCTION("""COMPUTED_VALUE"""),80.185418)</f>
        <v>80.185418</v>
      </c>
      <c r="F24336" s="4">
        <f>IFERROR(__xludf.DUMMYFUNCTION("""COMPUTED_VALUE"""),3143.0)</f>
        <v>3143</v>
      </c>
      <c r="G24336" s="4">
        <f>IFERROR(__xludf.DUMMYFUNCTION("""COMPUTED_VALUE"""),49.0)</f>
        <v>49</v>
      </c>
      <c r="H24336" s="4"/>
      <c r="I24336" s="4"/>
    </row>
    <row r="24337">
      <c r="A24337" s="4" t="str">
        <f>IFERROR(__xludf.DUMMYFUNCTION("""COMPUTED_VALUE"""),"cas_hmw")</f>
        <v>cas_hmw</v>
      </c>
      <c r="B24337" s="5">
        <f>IFERROR(__xludf.DUMMYFUNCTION("""COMPUTED_VALUE"""),44802.0)</f>
        <v>44802</v>
      </c>
      <c r="C24337" s="6">
        <f>IFERROR(__xludf.DUMMYFUNCTION("""COMPUTED_VALUE"""),0.7800231481487572)</f>
        <v>0.7800231481</v>
      </c>
      <c r="D24337" s="4">
        <f>IFERROR(__xludf.DUMMYFUNCTION("""COMPUTED_VALUE"""),12.950043)</f>
        <v>12.950043</v>
      </c>
      <c r="E24337" s="4">
        <f>IFERROR(__xludf.DUMMYFUNCTION("""COMPUTED_VALUE"""),80.179318)</f>
        <v>80.179318</v>
      </c>
      <c r="F24337" s="4">
        <f>IFERROR(__xludf.DUMMYFUNCTION("""COMPUTED_VALUE"""),3143.0)</f>
        <v>3143</v>
      </c>
      <c r="G24337" s="4">
        <f>IFERROR(__xludf.DUMMYFUNCTION("""COMPUTED_VALUE"""),41.0)</f>
        <v>41</v>
      </c>
      <c r="H24337" s="4"/>
      <c r="I24337" s="4"/>
    </row>
    <row r="24338">
      <c r="A24338" s="4" t="str">
        <f>IFERROR(__xludf.DUMMYFUNCTION("""COMPUTED_VALUE"""),"cas_hmw")</f>
        <v>cas_hmw</v>
      </c>
      <c r="B24338" s="5">
        <f>IFERROR(__xludf.DUMMYFUNCTION("""COMPUTED_VALUE"""),44802.0)</f>
        <v>44802</v>
      </c>
      <c r="C24338" s="6">
        <f>IFERROR(__xludf.DUMMYFUNCTION("""COMPUTED_VALUE"""),0.7801273148143082)</f>
        <v>0.7801273148</v>
      </c>
      <c r="D24338" s="4">
        <f>IFERROR(__xludf.DUMMYFUNCTION("""COMPUTED_VALUE"""),12.9503)</f>
        <v>12.9503</v>
      </c>
      <c r="E24338" s="4">
        <f>IFERROR(__xludf.DUMMYFUNCTION("""COMPUTED_VALUE"""),80.178314)</f>
        <v>80.178314</v>
      </c>
      <c r="F24338" s="4">
        <f>IFERROR(__xludf.DUMMYFUNCTION("""COMPUTED_VALUE"""),3143.0)</f>
        <v>3143</v>
      </c>
      <c r="G24338" s="4">
        <f>IFERROR(__xludf.DUMMYFUNCTION("""COMPUTED_VALUE"""),42.0)</f>
        <v>42</v>
      </c>
      <c r="H24338" s="4"/>
      <c r="I24338" s="4"/>
    </row>
    <row r="24339">
      <c r="A24339" s="4" t="str">
        <f>IFERROR(__xludf.DUMMYFUNCTION("""COMPUTED_VALUE"""),"cas_hmw")</f>
        <v>cas_hmw</v>
      </c>
      <c r="B24339" s="5">
        <f>IFERROR(__xludf.DUMMYFUNCTION("""COMPUTED_VALUE"""),44802.0)</f>
        <v>44802</v>
      </c>
      <c r="C24339" s="6">
        <f>IFERROR(__xludf.DUMMYFUNCTION("""COMPUTED_VALUE"""),0.7801620370373712)</f>
        <v>0.780162037</v>
      </c>
      <c r="D24339" s="4">
        <f>IFERROR(__xludf.DUMMYFUNCTION("""COMPUTED_VALUE"""),12.950568)</f>
        <v>12.950568</v>
      </c>
      <c r="E24339" s="4">
        <f>IFERROR(__xludf.DUMMYFUNCTION("""COMPUTED_VALUE"""),80.177326)</f>
        <v>80.177326</v>
      </c>
      <c r="F24339" s="4">
        <f>IFERROR(__xludf.DUMMYFUNCTION("""COMPUTED_VALUE"""),3143.0)</f>
        <v>3143</v>
      </c>
      <c r="G24339" s="4">
        <f>IFERROR(__xludf.DUMMYFUNCTION("""COMPUTED_VALUE"""),41.0)</f>
        <v>41</v>
      </c>
      <c r="H24339" s="4"/>
      <c r="I24339" s="4"/>
    </row>
    <row r="24340">
      <c r="A24340" s="4" t="str">
        <f>IFERROR(__xludf.DUMMYFUNCTION("""COMPUTED_VALUE"""),"cas_hmw")</f>
        <v>cas_hmw</v>
      </c>
      <c r="B24340" s="5">
        <f>IFERROR(__xludf.DUMMYFUNCTION("""COMPUTED_VALUE"""),44802.0)</f>
        <v>44802</v>
      </c>
      <c r="C24340" s="6">
        <f>IFERROR(__xludf.DUMMYFUNCTION("""COMPUTED_VALUE"""),0.781354166665551)</f>
        <v>0.7813541667</v>
      </c>
      <c r="D24340" s="4">
        <f>IFERROR(__xludf.DUMMYFUNCTION("""COMPUTED_VALUE"""),12.952263)</f>
        <v>12.952263</v>
      </c>
      <c r="E24340" s="4">
        <f>IFERROR(__xludf.DUMMYFUNCTION("""COMPUTED_VALUE"""),80.168688)</f>
        <v>80.168688</v>
      </c>
      <c r="F24340" s="4">
        <f>IFERROR(__xludf.DUMMYFUNCTION("""COMPUTED_VALUE"""),3143.0)</f>
        <v>3143</v>
      </c>
      <c r="G24340" s="4">
        <f>IFERROR(__xludf.DUMMYFUNCTION("""COMPUTED_VALUE"""),47.0)</f>
        <v>47</v>
      </c>
      <c r="H24340" s="4"/>
      <c r="I24340" s="4"/>
    </row>
    <row r="24341">
      <c r="A24341" s="4" t="str">
        <f>IFERROR(__xludf.DUMMYFUNCTION("""COMPUTED_VALUE"""),"cas_hmw")</f>
        <v>cas_hmw</v>
      </c>
      <c r="B24341" s="5">
        <f>IFERROR(__xludf.DUMMYFUNCTION("""COMPUTED_VALUE"""),44802.0)</f>
        <v>44802</v>
      </c>
      <c r="C24341" s="6">
        <f>IFERROR(__xludf.DUMMYFUNCTION("""COMPUTED_VALUE"""),0.7814699074078817)</f>
        <v>0.7814699074</v>
      </c>
      <c r="D24341" s="4">
        <f>IFERROR(__xludf.DUMMYFUNCTION("""COMPUTED_VALUE"""),12.952579)</f>
        <v>12.952579</v>
      </c>
      <c r="E24341" s="4">
        <f>IFERROR(__xludf.DUMMYFUNCTION("""COMPUTED_VALUE"""),80.167448)</f>
        <v>80.167448</v>
      </c>
      <c r="F24341" s="4">
        <f>IFERROR(__xludf.DUMMYFUNCTION("""COMPUTED_VALUE"""),3143.0)</f>
        <v>3143</v>
      </c>
      <c r="G24341" s="4">
        <f>IFERROR(__xludf.DUMMYFUNCTION("""COMPUTED_VALUE"""),51.0)</f>
        <v>51</v>
      </c>
      <c r="H24341" s="4"/>
      <c r="I24341" s="4"/>
    </row>
    <row r="24342">
      <c r="A24342" s="4" t="str">
        <f>IFERROR(__xludf.DUMMYFUNCTION("""COMPUTED_VALUE"""),"cas_hmw")</f>
        <v>cas_hmw</v>
      </c>
      <c r="B24342" s="5">
        <f>IFERROR(__xludf.DUMMYFUNCTION("""COMPUTED_VALUE"""),44802.0)</f>
        <v>44802</v>
      </c>
      <c r="C24342" s="6">
        <f>IFERROR(__xludf.DUMMYFUNCTION("""COMPUTED_VALUE"""),0.7828703703708015)</f>
        <v>0.7828703704</v>
      </c>
      <c r="D24342" s="4">
        <f>IFERROR(__xludf.DUMMYFUNCTION("""COMPUTED_VALUE"""),12.954223)</f>
        <v>12.954223</v>
      </c>
      <c r="E24342" s="4">
        <f>IFERROR(__xludf.DUMMYFUNCTION("""COMPUTED_VALUE"""),80.160062)</f>
        <v>80.160062</v>
      </c>
      <c r="F24342" s="4">
        <f>IFERROR(__xludf.DUMMYFUNCTION("""COMPUTED_VALUE"""),3143.0)</f>
        <v>3143</v>
      </c>
      <c r="G24342" s="4">
        <f>IFERROR(__xludf.DUMMYFUNCTION("""COMPUTED_VALUE"""),56.0)</f>
        <v>56</v>
      </c>
      <c r="H24342" s="4"/>
      <c r="I24342" s="4"/>
    </row>
    <row r="24343">
      <c r="A24343" s="4" t="str">
        <f>IFERROR(__xludf.DUMMYFUNCTION("""COMPUTED_VALUE"""),"cas_hmw")</f>
        <v>cas_hmw</v>
      </c>
      <c r="B24343" s="5">
        <f>IFERROR(__xludf.DUMMYFUNCTION("""COMPUTED_VALUE"""),44802.0)</f>
        <v>44802</v>
      </c>
      <c r="C24343" s="6">
        <f>IFERROR(__xludf.DUMMYFUNCTION("""COMPUTED_VALUE"""),0.7834953703713836)</f>
        <v>0.7834953704</v>
      </c>
      <c r="D24343" s="4">
        <f>IFERROR(__xludf.DUMMYFUNCTION("""COMPUTED_VALUE"""),12.955272)</f>
        <v>12.955272</v>
      </c>
      <c r="E24343" s="4">
        <f>IFERROR(__xludf.DUMMYFUNCTION("""COMPUTED_VALUE"""),80.155026)</f>
        <v>80.155026</v>
      </c>
      <c r="F24343" s="4">
        <f>IFERROR(__xludf.DUMMYFUNCTION("""COMPUTED_VALUE"""),3143.0)</f>
        <v>3143</v>
      </c>
      <c r="G24343" s="4">
        <f>IFERROR(__xludf.DUMMYFUNCTION("""COMPUTED_VALUE"""),45.0)</f>
        <v>45</v>
      </c>
      <c r="H24343" s="4"/>
      <c r="I24343" s="4"/>
    </row>
    <row r="24344">
      <c r="A24344" s="4" t="str">
        <f>IFERROR(__xludf.DUMMYFUNCTION("""COMPUTED_VALUE"""),"cas_hmw")</f>
        <v>cas_hmw</v>
      </c>
      <c r="B24344" s="5">
        <f>IFERROR(__xludf.DUMMYFUNCTION("""COMPUTED_VALUE"""),44802.0)</f>
        <v>44802</v>
      </c>
      <c r="C24344" s="6">
        <f>IFERROR(__xludf.DUMMYFUNCTION("""COMPUTED_VALUE"""),0.7836805555562023)</f>
        <v>0.7836805556</v>
      </c>
      <c r="D24344" s="4">
        <f>IFERROR(__xludf.DUMMYFUNCTION("""COMPUTED_VALUE"""),12.955686)</f>
        <v>12.955686</v>
      </c>
      <c r="E24344" s="4">
        <f>IFERROR(__xludf.DUMMYFUNCTION("""COMPUTED_VALUE"""),80.153411)</f>
        <v>80.153411</v>
      </c>
      <c r="F24344" s="4">
        <f>IFERROR(__xludf.DUMMYFUNCTION("""COMPUTED_VALUE"""),3143.0)</f>
        <v>3143</v>
      </c>
      <c r="G24344" s="4">
        <f>IFERROR(__xludf.DUMMYFUNCTION("""COMPUTED_VALUE"""),30.0)</f>
        <v>30</v>
      </c>
      <c r="H24344" s="4"/>
      <c r="I24344" s="4"/>
    </row>
    <row r="24345">
      <c r="A24345" s="4" t="str">
        <f>IFERROR(__xludf.DUMMYFUNCTION("""COMPUTED_VALUE"""),"cas_hmw")</f>
        <v>cas_hmw</v>
      </c>
      <c r="B24345" s="5">
        <f>IFERROR(__xludf.DUMMYFUNCTION("""COMPUTED_VALUE"""),44802.0)</f>
        <v>44802</v>
      </c>
      <c r="C24345" s="6">
        <f>IFERROR(__xludf.DUMMYFUNCTION("""COMPUTED_VALUE"""),0.7842013888875954)</f>
        <v>0.7842013889</v>
      </c>
      <c r="D24345" s="4">
        <f>IFERROR(__xludf.DUMMYFUNCTION("""COMPUTED_VALUE"""),12.95883)</f>
        <v>12.95883</v>
      </c>
      <c r="E24345" s="4">
        <f>IFERROR(__xludf.DUMMYFUNCTION("""COMPUTED_VALUE"""),80.15006)</f>
        <v>80.15006</v>
      </c>
      <c r="F24345" s="4">
        <f>IFERROR(__xludf.DUMMYFUNCTION("""COMPUTED_VALUE"""),3143.0)</f>
        <v>3143</v>
      </c>
      <c r="G24345" s="4">
        <f>IFERROR(__xludf.DUMMYFUNCTION("""COMPUTED_VALUE"""),33.0)</f>
        <v>33</v>
      </c>
      <c r="H24345" s="4"/>
      <c r="I24345" s="4"/>
    </row>
    <row r="24346">
      <c r="A24346" s="4" t="str">
        <f>IFERROR(__xludf.DUMMYFUNCTION("""COMPUTED_VALUE"""),"cas_hmw")</f>
        <v>cas_hmw</v>
      </c>
      <c r="B24346" s="5">
        <f>IFERROR(__xludf.DUMMYFUNCTION("""COMPUTED_VALUE"""),44802.0)</f>
        <v>44802</v>
      </c>
      <c r="C24346" s="6">
        <f>IFERROR(__xludf.DUMMYFUNCTION("""COMPUTED_VALUE"""),0.789375000000291)</f>
        <v>0.789375</v>
      </c>
      <c r="D24346" s="4">
        <f>IFERROR(__xludf.DUMMYFUNCTION("""COMPUTED_VALUE"""),12.950354)</f>
        <v>12.950354</v>
      </c>
      <c r="E24346" s="4">
        <f>IFERROR(__xludf.DUMMYFUNCTION("""COMPUTED_VALUE"""),80.139619)</f>
        <v>80.139619</v>
      </c>
      <c r="F24346" s="4">
        <f>IFERROR(__xludf.DUMMYFUNCTION("""COMPUTED_VALUE"""),3143.0)</f>
        <v>3143</v>
      </c>
      <c r="G24346" s="4">
        <f>IFERROR(__xludf.DUMMYFUNCTION("""COMPUTED_VALUE"""),20.0)</f>
        <v>20</v>
      </c>
      <c r="H24346" s="4"/>
      <c r="I24346" s="4"/>
    </row>
    <row r="24347">
      <c r="A24347" s="4" t="str">
        <f>IFERROR(__xludf.DUMMYFUNCTION("""COMPUTED_VALUE"""),"cas_hmw")</f>
        <v>cas_hmw</v>
      </c>
      <c r="B24347" s="5">
        <f>IFERROR(__xludf.DUMMYFUNCTION("""COMPUTED_VALUE"""),44802.0)</f>
        <v>44802</v>
      </c>
      <c r="C24347" s="6">
        <f>IFERROR(__xludf.DUMMYFUNCTION("""COMPUTED_VALUE"""),0.7898032407392748)</f>
        <v>0.7898032407</v>
      </c>
      <c r="D24347" s="4">
        <f>IFERROR(__xludf.DUMMYFUNCTION("""COMPUTED_VALUE"""),12.947025)</f>
        <v>12.947025</v>
      </c>
      <c r="E24347" s="4">
        <f>IFERROR(__xludf.DUMMYFUNCTION("""COMPUTED_VALUE"""),80.136981)</f>
        <v>80.136981</v>
      </c>
      <c r="F24347" s="4">
        <f>IFERROR(__xludf.DUMMYFUNCTION("""COMPUTED_VALUE"""),3143.0)</f>
        <v>3143</v>
      </c>
      <c r="G24347" s="4">
        <f>IFERROR(__xludf.DUMMYFUNCTION("""COMPUTED_VALUE"""),43.0)</f>
        <v>43</v>
      </c>
      <c r="H24347" s="4"/>
      <c r="I24347" s="4"/>
    </row>
    <row r="24348">
      <c r="A24348" s="4" t="str">
        <f>IFERROR(__xludf.DUMMYFUNCTION("""COMPUTED_VALUE"""),"cas_hmw")</f>
        <v>cas_hmw</v>
      </c>
      <c r="B24348" s="5">
        <f>IFERROR(__xludf.DUMMYFUNCTION("""COMPUTED_VALUE"""),44802.0)</f>
        <v>44802</v>
      </c>
      <c r="C24348" s="6">
        <f>IFERROR(__xludf.DUMMYFUNCTION("""COMPUTED_VALUE"""),0.7909143518518249)</f>
        <v>0.7909143519</v>
      </c>
      <c r="D24348" s="4">
        <f>IFERROR(__xludf.DUMMYFUNCTION("""COMPUTED_VALUE"""),12.939693)</f>
        <v>12.939693</v>
      </c>
      <c r="E24348" s="4">
        <f>IFERROR(__xludf.DUMMYFUNCTION("""COMPUTED_VALUE"""),80.130354)</f>
        <v>80.130354</v>
      </c>
      <c r="F24348" s="4">
        <f>IFERROR(__xludf.DUMMYFUNCTION("""COMPUTED_VALUE"""),3143.0)</f>
        <v>3143</v>
      </c>
      <c r="G24348" s="4">
        <f>IFERROR(__xludf.DUMMYFUNCTION("""COMPUTED_VALUE"""),42.0)</f>
        <v>42</v>
      </c>
      <c r="H24348" s="4"/>
      <c r="I24348" s="4"/>
    </row>
    <row r="24349">
      <c r="A24349" s="4" t="str">
        <f>IFERROR(__xludf.DUMMYFUNCTION("""COMPUTED_VALUE"""),"cas_hmw")</f>
        <v>cas_hmw</v>
      </c>
      <c r="B24349" s="5">
        <f>IFERROR(__xludf.DUMMYFUNCTION("""COMPUTED_VALUE"""),44802.0)</f>
        <v>44802</v>
      </c>
      <c r="C24349" s="6">
        <f>IFERROR(__xludf.DUMMYFUNCTION("""COMPUTED_VALUE"""),0.7912384259252576)</f>
        <v>0.7912384259</v>
      </c>
      <c r="D24349" s="4">
        <f>IFERROR(__xludf.DUMMYFUNCTION("""COMPUTED_VALUE"""),12.938261)</f>
        <v>12.938261</v>
      </c>
      <c r="E24349" s="4">
        <f>IFERROR(__xludf.DUMMYFUNCTION("""COMPUTED_VALUE"""),80.129055)</f>
        <v>80.129055</v>
      </c>
      <c r="F24349" s="4">
        <f>IFERROR(__xludf.DUMMYFUNCTION("""COMPUTED_VALUE"""),3143.0)</f>
        <v>3143</v>
      </c>
      <c r="G24349" s="4">
        <f>IFERROR(__xludf.DUMMYFUNCTION("""COMPUTED_VALUE"""),31.0)</f>
        <v>31</v>
      </c>
      <c r="H24349" s="4"/>
      <c r="I24349" s="4"/>
    </row>
    <row r="24350">
      <c r="A24350" s="4" t="str">
        <f>IFERROR(__xludf.DUMMYFUNCTION("""COMPUTED_VALUE"""),"cas_hmw")</f>
        <v>cas_hmw</v>
      </c>
      <c r="B24350" s="5">
        <f>IFERROR(__xludf.DUMMYFUNCTION("""COMPUTED_VALUE"""),44802.0)</f>
        <v>44802</v>
      </c>
      <c r="C24350" s="6">
        <f>IFERROR(__xludf.DUMMYFUNCTION("""COMPUTED_VALUE"""),0.8020486111126957)</f>
        <v>0.8020486111</v>
      </c>
      <c r="D24350" s="4">
        <f>IFERROR(__xludf.DUMMYFUNCTION("""COMPUTED_VALUE"""),12.921018)</f>
        <v>12.921018</v>
      </c>
      <c r="E24350" s="4">
        <f>IFERROR(__xludf.DUMMYFUNCTION("""COMPUTED_VALUE"""),80.112222)</f>
        <v>80.112222</v>
      </c>
      <c r="F24350" s="4">
        <f>IFERROR(__xludf.DUMMYFUNCTION("""COMPUTED_VALUE"""),3143.0)</f>
        <v>3143</v>
      </c>
      <c r="G24350" s="4">
        <f>IFERROR(__xludf.DUMMYFUNCTION("""COMPUTED_VALUE"""),33.0)</f>
        <v>33</v>
      </c>
      <c r="H24350" s="4"/>
      <c r="I24350" s="4"/>
    </row>
    <row r="24351">
      <c r="A24351" s="4" t="str">
        <f>IFERROR(__xludf.DUMMYFUNCTION("""COMPUTED_VALUE"""),"cas_hmw")</f>
        <v>cas_hmw</v>
      </c>
      <c r="B24351" s="5">
        <f>IFERROR(__xludf.DUMMYFUNCTION("""COMPUTED_VALUE"""),44802.0)</f>
        <v>44802</v>
      </c>
      <c r="C24351" s="6">
        <f>IFERROR(__xludf.DUMMYFUNCTION("""COMPUTED_VALUE"""),0.8032175925909542)</f>
        <v>0.8032175926</v>
      </c>
      <c r="D24351" s="4">
        <f>IFERROR(__xludf.DUMMYFUNCTION("""COMPUTED_VALUE"""),12.915147)</f>
        <v>12.915147</v>
      </c>
      <c r="E24351" s="4">
        <f>IFERROR(__xludf.DUMMYFUNCTION("""COMPUTED_VALUE"""),80.103788)</f>
        <v>80.103788</v>
      </c>
      <c r="F24351" s="4">
        <f>IFERROR(__xludf.DUMMYFUNCTION("""COMPUTED_VALUE"""),3143.0)</f>
        <v>3143</v>
      </c>
      <c r="G24351" s="4">
        <f>IFERROR(__xludf.DUMMYFUNCTION("""COMPUTED_VALUE"""),46.0)</f>
        <v>46</v>
      </c>
      <c r="H24351" s="4"/>
      <c r="I24351" s="4"/>
    </row>
    <row r="24352">
      <c r="A24352" s="4" t="str">
        <f>IFERROR(__xludf.DUMMYFUNCTION("""COMPUTED_VALUE"""),"cas_hmw")</f>
        <v>cas_hmw</v>
      </c>
      <c r="B24352" s="5">
        <f>IFERROR(__xludf.DUMMYFUNCTION("""COMPUTED_VALUE"""),44802.0)</f>
        <v>44802</v>
      </c>
      <c r="C24352" s="6">
        <f>IFERROR(__xludf.DUMMYFUNCTION("""COMPUTED_VALUE"""),0.8037847222221899)</f>
        <v>0.8037847222</v>
      </c>
      <c r="D24352" s="4">
        <f>IFERROR(__xludf.DUMMYFUNCTION("""COMPUTED_VALUE"""),12.912778)</f>
        <v>12.912778</v>
      </c>
      <c r="E24352" s="4">
        <f>IFERROR(__xludf.DUMMYFUNCTION("""COMPUTED_VALUE"""),80.101573)</f>
        <v>80.101573</v>
      </c>
      <c r="F24352" s="4">
        <f>IFERROR(__xludf.DUMMYFUNCTION("""COMPUTED_VALUE"""),3143.0)</f>
        <v>3143</v>
      </c>
      <c r="G24352" s="4">
        <f>IFERROR(__xludf.DUMMYFUNCTION("""COMPUTED_VALUE"""),29.0)</f>
        <v>29</v>
      </c>
      <c r="H24352" s="4"/>
      <c r="I24352" s="4"/>
    </row>
    <row r="24353">
      <c r="A24353" s="4" t="str">
        <f>IFERROR(__xludf.DUMMYFUNCTION("""COMPUTED_VALUE"""),"cas_hmw")</f>
        <v>cas_hmw</v>
      </c>
      <c r="B24353" s="5">
        <f>IFERROR(__xludf.DUMMYFUNCTION("""COMPUTED_VALUE"""),44802.0)</f>
        <v>44802</v>
      </c>
      <c r="C24353" s="6">
        <f>IFERROR(__xludf.DUMMYFUNCTION("""COMPUTED_VALUE"""),0.8081249999995634)</f>
        <v>0.808125</v>
      </c>
      <c r="D24353" s="4">
        <f>IFERROR(__xludf.DUMMYFUNCTION("""COMPUTED_VALUE"""),12.886117)</f>
        <v>12.886117</v>
      </c>
      <c r="E24353" s="4">
        <f>IFERROR(__xludf.DUMMYFUNCTION("""COMPUTED_VALUE"""),80.08305)</f>
        <v>80.08305</v>
      </c>
      <c r="F24353" s="4">
        <f>IFERROR(__xludf.DUMMYFUNCTION("""COMPUTED_VALUE"""),3143.0)</f>
        <v>3143</v>
      </c>
      <c r="G24353" s="4">
        <f>IFERROR(__xludf.DUMMYFUNCTION("""COMPUTED_VALUE"""),46.0)</f>
        <v>46</v>
      </c>
      <c r="H24353" s="4"/>
      <c r="I24353" s="4"/>
    </row>
    <row r="24354">
      <c r="A24354" s="4" t="str">
        <f>IFERROR(__xludf.DUMMYFUNCTION("""COMPUTED_VALUE"""),"cas_hmw")</f>
        <v>cas_hmw</v>
      </c>
      <c r="B24354" s="5">
        <f>IFERROR(__xludf.DUMMYFUNCTION("""COMPUTED_VALUE"""),44802.0)</f>
        <v>44802</v>
      </c>
      <c r="C24354" s="6">
        <f>IFERROR(__xludf.DUMMYFUNCTION("""COMPUTED_VALUE"""),0.8084027777767915)</f>
        <v>0.8084027778</v>
      </c>
      <c r="D24354" s="4">
        <f>IFERROR(__xludf.DUMMYFUNCTION("""COMPUTED_VALUE"""),13.068156)</f>
        <v>13.068156</v>
      </c>
      <c r="E24354" s="4">
        <f>IFERROR(__xludf.DUMMYFUNCTION("""COMPUTED_VALUE"""),80.271554)</f>
        <v>80.271554</v>
      </c>
      <c r="F24354" s="4">
        <f>IFERROR(__xludf.DUMMYFUNCTION("""COMPUTED_VALUE"""),5339.0)</f>
        <v>5339</v>
      </c>
      <c r="G24354" s="4">
        <f>IFERROR(__xludf.DUMMYFUNCTION("""COMPUTED_VALUE"""),13.0)</f>
        <v>13</v>
      </c>
      <c r="H24354" s="4"/>
      <c r="I24354" s="4"/>
    </row>
    <row r="24355">
      <c r="A24355" s="4" t="str">
        <f>IFERROR(__xludf.DUMMYFUNCTION("""COMPUTED_VALUE"""),"cas_hmw")</f>
        <v>cas_hmw</v>
      </c>
      <c r="B24355" s="5">
        <f>IFERROR(__xludf.DUMMYFUNCTION("""COMPUTED_VALUE"""),44802.0)</f>
        <v>44802</v>
      </c>
      <c r="C24355" s="6">
        <f>IFERROR(__xludf.DUMMYFUNCTION("""COMPUTED_VALUE"""),0.8084837962960592)</f>
        <v>0.8084837963</v>
      </c>
      <c r="D24355" s="4">
        <f>IFERROR(__xludf.DUMMYFUNCTION("""COMPUTED_VALUE"""),13.067044)</f>
        <v>13.067044</v>
      </c>
      <c r="E24355" s="4">
        <f>IFERROR(__xludf.DUMMYFUNCTION("""COMPUTED_VALUE"""),80.270231)</f>
        <v>80.270231</v>
      </c>
      <c r="F24355" s="4">
        <f>IFERROR(__xludf.DUMMYFUNCTION("""COMPUTED_VALUE"""),5339.0)</f>
        <v>5339</v>
      </c>
      <c r="G24355" s="4">
        <f>IFERROR(__xludf.DUMMYFUNCTION("""COMPUTED_VALUE"""),33.0)</f>
        <v>33</v>
      </c>
      <c r="H24355" s="4"/>
      <c r="I24355" s="4"/>
    </row>
    <row r="24356">
      <c r="A24356" s="4" t="str">
        <f>IFERROR(__xludf.DUMMYFUNCTION("""COMPUTED_VALUE"""),"cas_hmw")</f>
        <v>cas_hmw</v>
      </c>
      <c r="B24356" s="5">
        <f>IFERROR(__xludf.DUMMYFUNCTION("""COMPUTED_VALUE"""),44802.0)</f>
        <v>44802</v>
      </c>
      <c r="C24356" s="6">
        <f>IFERROR(__xludf.DUMMYFUNCTION("""COMPUTED_VALUE"""),0.8085300925922638)</f>
        <v>0.8085300926</v>
      </c>
      <c r="D24356" s="4">
        <f>IFERROR(__xludf.DUMMYFUNCTION("""COMPUTED_VALUE"""),13.067044)</f>
        <v>13.067044</v>
      </c>
      <c r="E24356" s="4">
        <f>IFERROR(__xludf.DUMMYFUNCTION("""COMPUTED_VALUE"""),80.270231)</f>
        <v>80.270231</v>
      </c>
      <c r="F24356" s="4">
        <f>IFERROR(__xludf.DUMMYFUNCTION("""COMPUTED_VALUE"""),5339.0)</f>
        <v>5339</v>
      </c>
      <c r="G24356" s="4">
        <f>IFERROR(__xludf.DUMMYFUNCTION("""COMPUTED_VALUE"""),33.0)</f>
        <v>33</v>
      </c>
      <c r="H24356" s="4"/>
      <c r="I24356" s="4"/>
    </row>
    <row r="24357">
      <c r="A24357" s="4" t="str">
        <f>IFERROR(__xludf.DUMMYFUNCTION("""COMPUTED_VALUE"""),"cas_hmw")</f>
        <v>cas_hmw</v>
      </c>
      <c r="B24357" s="5">
        <f>IFERROR(__xludf.DUMMYFUNCTION("""COMPUTED_VALUE"""),44802.0)</f>
        <v>44802</v>
      </c>
      <c r="C24357" s="6">
        <f>IFERROR(__xludf.DUMMYFUNCTION("""COMPUTED_VALUE"""),0.8085416666654055)</f>
        <v>0.8085416667</v>
      </c>
      <c r="D24357" s="4">
        <f>IFERROR(__xludf.DUMMYFUNCTION("""COMPUTED_VALUE"""),13.067044)</f>
        <v>13.067044</v>
      </c>
      <c r="E24357" s="4">
        <f>IFERROR(__xludf.DUMMYFUNCTION("""COMPUTED_VALUE"""),80.270231)</f>
        <v>80.270231</v>
      </c>
      <c r="F24357" s="4">
        <f>IFERROR(__xludf.DUMMYFUNCTION("""COMPUTED_VALUE"""),5339.0)</f>
        <v>5339</v>
      </c>
      <c r="G24357" s="4">
        <f>IFERROR(__xludf.DUMMYFUNCTION("""COMPUTED_VALUE"""),33.0)</f>
        <v>33</v>
      </c>
      <c r="H24357" s="4"/>
      <c r="I24357" s="4"/>
    </row>
    <row r="24358">
      <c r="A24358" s="4" t="str">
        <f>IFERROR(__xludf.DUMMYFUNCTION("""COMPUTED_VALUE"""),"cas_hmw")</f>
        <v>cas_hmw</v>
      </c>
      <c r="B24358" s="5">
        <f>IFERROR(__xludf.DUMMYFUNCTION("""COMPUTED_VALUE"""),44802.0)</f>
        <v>44802</v>
      </c>
      <c r="C24358" s="6">
        <f>IFERROR(__xludf.DUMMYFUNCTION("""COMPUTED_VALUE"""),0.8085763888884685)</f>
        <v>0.8085763889</v>
      </c>
      <c r="D24358" s="4">
        <f>IFERROR(__xludf.DUMMYFUNCTION("""COMPUTED_VALUE"""),13.067044)</f>
        <v>13.067044</v>
      </c>
      <c r="E24358" s="4">
        <f>IFERROR(__xludf.DUMMYFUNCTION("""COMPUTED_VALUE"""),80.270231)</f>
        <v>80.270231</v>
      </c>
      <c r="F24358" s="4">
        <f>IFERROR(__xludf.DUMMYFUNCTION("""COMPUTED_VALUE"""),5339.0)</f>
        <v>5339</v>
      </c>
      <c r="G24358" s="4">
        <f>IFERROR(__xludf.DUMMYFUNCTION("""COMPUTED_VALUE"""),33.0)</f>
        <v>33</v>
      </c>
      <c r="H24358" s="4"/>
      <c r="I24358" s="4"/>
    </row>
    <row r="24359">
      <c r="A24359" s="4" t="str">
        <f>IFERROR(__xludf.DUMMYFUNCTION("""COMPUTED_VALUE"""),"cas_hmw")</f>
        <v>cas_hmw</v>
      </c>
      <c r="B24359" s="5">
        <f>IFERROR(__xludf.DUMMYFUNCTION("""COMPUTED_VALUE"""),44802.0)</f>
        <v>44802</v>
      </c>
      <c r="C24359" s="6">
        <f>IFERROR(__xludf.DUMMYFUNCTION("""COMPUTED_VALUE"""),0.8159490740727051)</f>
        <v>0.8159490741</v>
      </c>
      <c r="D24359" s="4">
        <f>IFERROR(__xludf.DUMMYFUNCTION("""COMPUTED_VALUE"""),13.067416)</f>
        <v>13.067416</v>
      </c>
      <c r="E24359" s="4">
        <f>IFERROR(__xludf.DUMMYFUNCTION("""COMPUTED_VALUE"""),80.2536)</f>
        <v>80.2536</v>
      </c>
      <c r="F24359" s="4">
        <f>IFERROR(__xludf.DUMMYFUNCTION("""COMPUTED_VALUE"""),5339.0)</f>
        <v>5339</v>
      </c>
      <c r="G24359" s="4">
        <f>IFERROR(__xludf.DUMMYFUNCTION("""COMPUTED_VALUE"""),27.0)</f>
        <v>27</v>
      </c>
      <c r="H24359" s="4"/>
      <c r="I24359" s="4"/>
    </row>
    <row r="24360">
      <c r="A24360" s="4" t="str">
        <f>IFERROR(__xludf.DUMMYFUNCTION("""COMPUTED_VALUE"""),"cas_hmw")</f>
        <v>cas_hmw</v>
      </c>
      <c r="B24360" s="5">
        <f>IFERROR(__xludf.DUMMYFUNCTION("""COMPUTED_VALUE"""),44803.0)</f>
        <v>44803</v>
      </c>
      <c r="C24360" s="6">
        <f>IFERROR(__xludf.DUMMYFUNCTION("""COMPUTED_VALUE"""),0.278530092593428)</f>
        <v>0.2785300926</v>
      </c>
      <c r="D24360" s="4">
        <f>IFERROR(__xludf.DUMMYFUNCTION("""COMPUTED_VALUE"""),12.894135)</f>
        <v>12.894135</v>
      </c>
      <c r="E24360" s="4">
        <f>IFERROR(__xludf.DUMMYFUNCTION("""COMPUTED_VALUE"""),80.086983)</f>
        <v>80.086983</v>
      </c>
      <c r="F24360" s="4">
        <f>IFERROR(__xludf.DUMMYFUNCTION("""COMPUTED_VALUE"""),3143.0)</f>
        <v>3143</v>
      </c>
      <c r="G24360" s="4">
        <f>IFERROR(__xludf.DUMMYFUNCTION("""COMPUTED_VALUE"""),55.0)</f>
        <v>55</v>
      </c>
      <c r="H24360" s="4"/>
      <c r="I24360" s="4"/>
    </row>
    <row r="24361">
      <c r="A24361" s="4" t="str">
        <f>IFERROR(__xludf.DUMMYFUNCTION("""COMPUTED_VALUE"""),"cas_hmw")</f>
        <v>cas_hmw</v>
      </c>
      <c r="B24361" s="5">
        <f>IFERROR(__xludf.DUMMYFUNCTION("""COMPUTED_VALUE"""),44803.0)</f>
        <v>44803</v>
      </c>
      <c r="C24361" s="6">
        <f>IFERROR(__xludf.DUMMYFUNCTION("""COMPUTED_VALUE"""),0.2786805555551837)</f>
        <v>0.2786805556</v>
      </c>
      <c r="D24361" s="4">
        <f>IFERROR(__xludf.DUMMYFUNCTION("""COMPUTED_VALUE"""),12.895246)</f>
        <v>12.895246</v>
      </c>
      <c r="E24361" s="4">
        <f>IFERROR(__xludf.DUMMYFUNCTION("""COMPUTED_VALUE"""),80.087822)</f>
        <v>80.087822</v>
      </c>
      <c r="F24361" s="4">
        <f>IFERROR(__xludf.DUMMYFUNCTION("""COMPUTED_VALUE"""),3143.0)</f>
        <v>3143</v>
      </c>
      <c r="G24361" s="4">
        <f>IFERROR(__xludf.DUMMYFUNCTION("""COMPUTED_VALUE"""),52.0)</f>
        <v>52</v>
      </c>
      <c r="H24361" s="4"/>
      <c r="I24361" s="4"/>
    </row>
    <row r="24362">
      <c r="A24362" s="4" t="str">
        <f>IFERROR(__xludf.DUMMYFUNCTION("""COMPUTED_VALUE"""),"cas_hmw")</f>
        <v>cas_hmw</v>
      </c>
      <c r="B24362" s="5">
        <f>IFERROR(__xludf.DUMMYFUNCTION("""COMPUTED_VALUE"""),44803.0)</f>
        <v>44803</v>
      </c>
      <c r="C24362" s="6">
        <f>IFERROR(__xludf.DUMMYFUNCTION("""COMPUTED_VALUE"""),0.28064814814933925)</f>
        <v>0.2806481481</v>
      </c>
      <c r="D24362" s="4">
        <f>IFERROR(__xludf.DUMMYFUNCTION("""COMPUTED_VALUE"""),12.910748)</f>
        <v>12.910748</v>
      </c>
      <c r="E24362" s="4">
        <f>IFERROR(__xludf.DUMMYFUNCTION("""COMPUTED_VALUE"""),80.100894)</f>
        <v>80.100894</v>
      </c>
      <c r="F24362" s="4">
        <f>IFERROR(__xludf.DUMMYFUNCTION("""COMPUTED_VALUE"""),3143.0)</f>
        <v>3143</v>
      </c>
      <c r="G24362" s="4">
        <f>IFERROR(__xludf.DUMMYFUNCTION("""COMPUTED_VALUE"""),35.0)</f>
        <v>35</v>
      </c>
      <c r="H24362" s="4"/>
      <c r="I24362" s="4"/>
    </row>
    <row r="24363">
      <c r="A24363" s="4" t="str">
        <f>IFERROR(__xludf.DUMMYFUNCTION("""COMPUTED_VALUE"""),"cas_hmw")</f>
        <v>cas_hmw</v>
      </c>
      <c r="B24363" s="5">
        <f>IFERROR(__xludf.DUMMYFUNCTION("""COMPUTED_VALUE"""),44803.0)</f>
        <v>44803</v>
      </c>
      <c r="C24363" s="6">
        <f>IFERROR(__xludf.DUMMYFUNCTION("""COMPUTED_VALUE"""),0.2808101851842366)</f>
        <v>0.2808101852</v>
      </c>
      <c r="D24363" s="4">
        <f>IFERROR(__xludf.DUMMYFUNCTION("""COMPUTED_VALUE"""),12.912347)</f>
        <v>12.912347</v>
      </c>
      <c r="E24363" s="4">
        <f>IFERROR(__xludf.DUMMYFUNCTION("""COMPUTED_VALUE"""),80.101407)</f>
        <v>80.101407</v>
      </c>
      <c r="F24363" s="4">
        <f>IFERROR(__xludf.DUMMYFUNCTION("""COMPUTED_VALUE"""),3143.0)</f>
        <v>3143</v>
      </c>
      <c r="G24363" s="4">
        <f>IFERROR(__xludf.DUMMYFUNCTION("""COMPUTED_VALUE"""),40.0)</f>
        <v>40</v>
      </c>
      <c r="H24363" s="4"/>
      <c r="I24363" s="4"/>
    </row>
    <row r="24364">
      <c r="A24364" s="4" t="str">
        <f>IFERROR(__xludf.DUMMYFUNCTION("""COMPUTED_VALUE"""),"cas_hmw")</f>
        <v>cas_hmw</v>
      </c>
      <c r="B24364" s="5">
        <f>IFERROR(__xludf.DUMMYFUNCTION("""COMPUTED_VALUE"""),44803.0)</f>
        <v>44803</v>
      </c>
      <c r="C24364" s="6">
        <f>IFERROR(__xludf.DUMMYFUNCTION("""COMPUTED_VALUE"""),0.28587962963138125)</f>
        <v>0.2858796296</v>
      </c>
      <c r="D24364" s="4">
        <f>IFERROR(__xludf.DUMMYFUNCTION("""COMPUTED_VALUE"""),12.922419)</f>
        <v>12.922419</v>
      </c>
      <c r="E24364" s="4">
        <f>IFERROR(__xludf.DUMMYFUNCTION("""COMPUTED_VALUE"""),80.138934)</f>
        <v>80.138934</v>
      </c>
      <c r="F24364" s="4">
        <f>IFERROR(__xludf.DUMMYFUNCTION("""COMPUTED_VALUE"""),3143.0)</f>
        <v>3143</v>
      </c>
      <c r="G24364" s="4">
        <f>IFERROR(__xludf.DUMMYFUNCTION("""COMPUTED_VALUE"""),35.0)</f>
        <v>35</v>
      </c>
      <c r="H24364" s="4"/>
      <c r="I24364" s="4"/>
    </row>
    <row r="24365">
      <c r="A24365" s="4" t="str">
        <f>IFERROR(__xludf.DUMMYFUNCTION("""COMPUTED_VALUE"""),"cas_hmw")</f>
        <v>cas_hmw</v>
      </c>
      <c r="B24365" s="5">
        <f>IFERROR(__xludf.DUMMYFUNCTION("""COMPUTED_VALUE"""),44803.0)</f>
        <v>44803</v>
      </c>
      <c r="C24365" s="6">
        <f>IFERROR(__xludf.DUMMYFUNCTION("""COMPUTED_VALUE"""),0.286481481482042)</f>
        <v>0.2864814815</v>
      </c>
      <c r="D24365" s="4">
        <f>IFERROR(__xludf.DUMMYFUNCTION("""COMPUTED_VALUE"""),12.922533)</f>
        <v>12.922533</v>
      </c>
      <c r="E24365" s="4">
        <f>IFERROR(__xludf.DUMMYFUNCTION("""COMPUTED_VALUE"""),80.144018)</f>
        <v>80.144018</v>
      </c>
      <c r="F24365" s="4">
        <f>IFERROR(__xludf.DUMMYFUNCTION("""COMPUTED_VALUE"""),3143.0)</f>
        <v>3143</v>
      </c>
      <c r="G24365" s="4">
        <f>IFERROR(__xludf.DUMMYFUNCTION("""COMPUTED_VALUE"""),37.0)</f>
        <v>37</v>
      </c>
      <c r="H24365" s="4"/>
      <c r="I24365" s="4"/>
    </row>
    <row r="24366">
      <c r="A24366" s="4" t="str">
        <f>IFERROR(__xludf.DUMMYFUNCTION("""COMPUTED_VALUE"""),"cas_hmw")</f>
        <v>cas_hmw</v>
      </c>
      <c r="B24366" s="5">
        <f>IFERROR(__xludf.DUMMYFUNCTION("""COMPUTED_VALUE"""),44803.0)</f>
        <v>44803</v>
      </c>
      <c r="C24366" s="6">
        <f>IFERROR(__xludf.DUMMYFUNCTION("""COMPUTED_VALUE"""),0.2978935185201408)</f>
        <v>0.2978935185</v>
      </c>
      <c r="D24366" s="4">
        <f>IFERROR(__xludf.DUMMYFUNCTION("""COMPUTED_VALUE"""),12.957632)</f>
        <v>12.957632</v>
      </c>
      <c r="E24366" s="4">
        <f>IFERROR(__xludf.DUMMYFUNCTION("""COMPUTED_VALUE"""),80.213564)</f>
        <v>80.213564</v>
      </c>
      <c r="F24366" s="4">
        <f>IFERROR(__xludf.DUMMYFUNCTION("""COMPUTED_VALUE"""),3143.0)</f>
        <v>3143</v>
      </c>
      <c r="G24366" s="4">
        <f>IFERROR(__xludf.DUMMYFUNCTION("""COMPUTED_VALUE"""),45.0)</f>
        <v>45</v>
      </c>
      <c r="H24366" s="4"/>
      <c r="I24366" s="4"/>
    </row>
    <row r="24367">
      <c r="A24367" s="4" t="str">
        <f>IFERROR(__xludf.DUMMYFUNCTION("""COMPUTED_VALUE"""),"cas_hmw")</f>
        <v>cas_hmw</v>
      </c>
      <c r="B24367" s="5">
        <f>IFERROR(__xludf.DUMMYFUNCTION("""COMPUTED_VALUE"""),44803.0)</f>
        <v>44803</v>
      </c>
      <c r="C24367" s="6">
        <f>IFERROR(__xludf.DUMMYFUNCTION("""COMPUTED_VALUE"""),0.31412037037080154)</f>
        <v>0.3141203704</v>
      </c>
      <c r="D24367" s="4">
        <f>IFERROR(__xludf.DUMMYFUNCTION("""COMPUTED_VALUE"""),13.053914)</f>
        <v>13.053914</v>
      </c>
      <c r="E24367" s="4">
        <f>IFERROR(__xludf.DUMMYFUNCTION("""COMPUTED_VALUE"""),80.263459)</f>
        <v>80.263459</v>
      </c>
      <c r="F24367" s="4">
        <f>IFERROR(__xludf.DUMMYFUNCTION("""COMPUTED_VALUE"""),5339.0)</f>
        <v>5339</v>
      </c>
      <c r="G24367" s="4">
        <f>IFERROR(__xludf.DUMMYFUNCTION("""COMPUTED_VALUE"""),52.0)</f>
        <v>52</v>
      </c>
      <c r="H24367" s="4"/>
      <c r="I24367" s="4"/>
    </row>
    <row r="24368">
      <c r="A24368" s="4" t="str">
        <f>IFERROR(__xludf.DUMMYFUNCTION("""COMPUTED_VALUE"""),"cas_hmw")</f>
        <v>cas_hmw</v>
      </c>
      <c r="B24368" s="5">
        <f>IFERROR(__xludf.DUMMYFUNCTION("""COMPUTED_VALUE"""),44803.0)</f>
        <v>44803</v>
      </c>
      <c r="C24368" s="6">
        <f>IFERROR(__xludf.DUMMYFUNCTION("""COMPUTED_VALUE"""),0.3142013888900692)</f>
        <v>0.3142013889</v>
      </c>
      <c r="D24368" s="4">
        <f>IFERROR(__xludf.DUMMYFUNCTION("""COMPUTED_VALUE"""),13.054012)</f>
        <v>13.054012</v>
      </c>
      <c r="E24368" s="4">
        <f>IFERROR(__xludf.DUMMYFUNCTION("""COMPUTED_VALUE"""),80.262394)</f>
        <v>80.262394</v>
      </c>
      <c r="F24368" s="4">
        <f>IFERROR(__xludf.DUMMYFUNCTION("""COMPUTED_VALUE"""),5339.0)</f>
        <v>5339</v>
      </c>
      <c r="G24368" s="4">
        <f>IFERROR(__xludf.DUMMYFUNCTION("""COMPUTED_VALUE"""),34.0)</f>
        <v>34</v>
      </c>
      <c r="H24368" s="4"/>
      <c r="I24368" s="4"/>
    </row>
    <row r="24369">
      <c r="A24369" s="4" t="str">
        <f>IFERROR(__xludf.DUMMYFUNCTION("""COMPUTED_VALUE"""),"cas_hmw")</f>
        <v>cas_hmw</v>
      </c>
      <c r="B24369" s="5">
        <f>IFERROR(__xludf.DUMMYFUNCTION("""COMPUTED_VALUE"""),44803.0)</f>
        <v>44803</v>
      </c>
      <c r="C24369" s="6">
        <f>IFERROR(__xludf.DUMMYFUNCTION("""COMPUTED_VALUE"""),0.3148263888906513)</f>
        <v>0.3148263889</v>
      </c>
      <c r="D24369" s="4">
        <f>IFERROR(__xludf.DUMMYFUNCTION("""COMPUTED_VALUE"""),13.05445)</f>
        <v>13.05445</v>
      </c>
      <c r="E24369" s="4">
        <f>IFERROR(__xludf.DUMMYFUNCTION("""COMPUTED_VALUE"""),80.257695)</f>
        <v>80.257695</v>
      </c>
      <c r="F24369" s="4">
        <f>IFERROR(__xludf.DUMMYFUNCTION("""COMPUTED_VALUE"""),5339.0)</f>
        <v>5339</v>
      </c>
      <c r="G24369" s="4">
        <f>IFERROR(__xludf.DUMMYFUNCTION("""COMPUTED_VALUE"""),39.0)</f>
        <v>39</v>
      </c>
      <c r="H24369" s="4"/>
      <c r="I24369" s="4"/>
    </row>
    <row r="24370">
      <c r="A24370" s="4" t="str">
        <f>IFERROR(__xludf.DUMMYFUNCTION("""COMPUTED_VALUE"""),"cas_hmw")</f>
        <v>cas_hmw</v>
      </c>
      <c r="B24370" s="5">
        <f>IFERROR(__xludf.DUMMYFUNCTION("""COMPUTED_VALUE"""),44803.0)</f>
        <v>44803</v>
      </c>
      <c r="C24370" s="6">
        <f>IFERROR(__xludf.DUMMYFUNCTION("""COMPUTED_VALUE"""),0.3209259259274404)</f>
        <v>0.3209259259</v>
      </c>
      <c r="D24370" s="4">
        <f>IFERROR(__xludf.DUMMYFUNCTION("""COMPUTED_VALUE"""),13.027712)</f>
        <v>13.027712</v>
      </c>
      <c r="E24370" s="4">
        <f>IFERROR(__xludf.DUMMYFUNCTION("""COMPUTED_VALUE"""),80.235042)</f>
        <v>80.235042</v>
      </c>
      <c r="F24370" s="4">
        <f>IFERROR(__xludf.DUMMYFUNCTION("""COMPUTED_VALUE"""),5339.0)</f>
        <v>5339</v>
      </c>
      <c r="G24370" s="4">
        <f>IFERROR(__xludf.DUMMYFUNCTION("""COMPUTED_VALUE"""),59.0)</f>
        <v>59</v>
      </c>
      <c r="H24370" s="4"/>
      <c r="I24370" s="4"/>
    </row>
    <row r="24371">
      <c r="A24371" s="4" t="str">
        <f>IFERROR(__xludf.DUMMYFUNCTION("""COMPUTED_VALUE"""),"cas_hmw")</f>
        <v>cas_hmw</v>
      </c>
      <c r="B24371" s="5">
        <f>IFERROR(__xludf.DUMMYFUNCTION("""COMPUTED_VALUE"""),44803.0)</f>
        <v>44803</v>
      </c>
      <c r="C24371" s="6">
        <f>IFERROR(__xludf.DUMMYFUNCTION("""COMPUTED_VALUE"""),0.32193287037080154)</f>
        <v>0.3219328704</v>
      </c>
      <c r="D24371" s="4">
        <f>IFERROR(__xludf.DUMMYFUNCTION("""COMPUTED_VALUE"""),13.021048)</f>
        <v>13.021048</v>
      </c>
      <c r="E24371" s="4">
        <f>IFERROR(__xludf.DUMMYFUNCTION("""COMPUTED_VALUE"""),80.225638)</f>
        <v>80.225638</v>
      </c>
      <c r="F24371" s="4">
        <f>IFERROR(__xludf.DUMMYFUNCTION("""COMPUTED_VALUE"""),5339.0)</f>
        <v>5339</v>
      </c>
      <c r="G24371" s="4">
        <f>IFERROR(__xludf.DUMMYFUNCTION("""COMPUTED_VALUE"""),48.0)</f>
        <v>48</v>
      </c>
      <c r="H24371" s="4"/>
      <c r="I24371" s="4"/>
    </row>
    <row r="24372">
      <c r="A24372" s="4" t="str">
        <f>IFERROR(__xludf.DUMMYFUNCTION("""COMPUTED_VALUE"""),"cas_hmw")</f>
        <v>cas_hmw</v>
      </c>
      <c r="B24372" s="5">
        <f>IFERROR(__xludf.DUMMYFUNCTION("""COMPUTED_VALUE"""),44803.0)</f>
        <v>44803</v>
      </c>
      <c r="C24372" s="6">
        <f>IFERROR(__xludf.DUMMYFUNCTION("""COMPUTED_VALUE"""),0.3221759259249666)</f>
        <v>0.3221759259</v>
      </c>
      <c r="D24372" s="4">
        <f>IFERROR(__xludf.DUMMYFUNCTION("""COMPUTED_VALUE"""),13.01909)</f>
        <v>13.01909</v>
      </c>
      <c r="E24372" s="4">
        <f>IFERROR(__xludf.DUMMYFUNCTION("""COMPUTED_VALUE"""),80.224458)</f>
        <v>80.224458</v>
      </c>
      <c r="F24372" s="4">
        <f>IFERROR(__xludf.DUMMYFUNCTION("""COMPUTED_VALUE"""),5339.0)</f>
        <v>5339</v>
      </c>
      <c r="G24372" s="4">
        <f>IFERROR(__xludf.DUMMYFUNCTION("""COMPUTED_VALUE"""),46.0)</f>
        <v>46</v>
      </c>
      <c r="H24372" s="4"/>
      <c r="I24372" s="4"/>
    </row>
    <row r="24373">
      <c r="A24373" s="4" t="str">
        <f>IFERROR(__xludf.DUMMYFUNCTION("""COMPUTED_VALUE"""),"cas_hmw")</f>
        <v>cas_hmw</v>
      </c>
      <c r="B24373" s="5">
        <f>IFERROR(__xludf.DUMMYFUNCTION("""COMPUTED_VALUE"""),44803.0)</f>
        <v>44803</v>
      </c>
      <c r="C24373" s="6">
        <f>IFERROR(__xludf.DUMMYFUNCTION("""COMPUTED_VALUE"""),0.32315972222204437)</f>
        <v>0.3231597222</v>
      </c>
      <c r="D24373" s="4">
        <f>IFERROR(__xludf.DUMMYFUNCTION("""COMPUTED_VALUE"""),13.012667)</f>
        <v>13.012667</v>
      </c>
      <c r="E24373" s="4">
        <f>IFERROR(__xludf.DUMMYFUNCTION("""COMPUTED_VALUE"""),80.226874)</f>
        <v>80.226874</v>
      </c>
      <c r="F24373" s="4">
        <f>IFERROR(__xludf.DUMMYFUNCTION("""COMPUTED_VALUE"""),5339.0)</f>
        <v>5339</v>
      </c>
      <c r="G24373" s="4">
        <f>IFERROR(__xludf.DUMMYFUNCTION("""COMPUTED_VALUE"""),43.0)</f>
        <v>43</v>
      </c>
      <c r="H24373" s="4"/>
      <c r="I24373" s="4"/>
    </row>
    <row r="24374">
      <c r="A24374" s="4" t="str">
        <f>IFERROR(__xludf.DUMMYFUNCTION("""COMPUTED_VALUE"""),"cas_hmw")</f>
        <v>cas_hmw</v>
      </c>
      <c r="B24374" s="5">
        <f>IFERROR(__xludf.DUMMYFUNCTION("""COMPUTED_VALUE"""),44803.0)</f>
        <v>44803</v>
      </c>
      <c r="C24374" s="6">
        <f>IFERROR(__xludf.DUMMYFUNCTION("""COMPUTED_VALUE"""),0.32377314814948477)</f>
        <v>0.3237731481</v>
      </c>
      <c r="D24374" s="4">
        <f>IFERROR(__xludf.DUMMYFUNCTION("""COMPUTED_VALUE"""),13.009894)</f>
        <v>13.009894</v>
      </c>
      <c r="E24374" s="4">
        <f>IFERROR(__xludf.DUMMYFUNCTION("""COMPUTED_VALUE"""),80.226783)</f>
        <v>80.226783</v>
      </c>
      <c r="F24374" s="4">
        <f>IFERROR(__xludf.DUMMYFUNCTION("""COMPUTED_VALUE"""),5339.0)</f>
        <v>5339</v>
      </c>
      <c r="G24374" s="4">
        <f>IFERROR(__xludf.DUMMYFUNCTION("""COMPUTED_VALUE"""),37.0)</f>
        <v>37</v>
      </c>
      <c r="H24374" s="4"/>
      <c r="I24374" s="4"/>
    </row>
    <row r="24375">
      <c r="A24375" s="4" t="str">
        <f>IFERROR(__xludf.DUMMYFUNCTION("""COMPUTED_VALUE"""),"cas_hmw")</f>
        <v>cas_hmw</v>
      </c>
      <c r="B24375" s="5">
        <f>IFERROR(__xludf.DUMMYFUNCTION("""COMPUTED_VALUE"""),44803.0)</f>
        <v>44803</v>
      </c>
      <c r="C24375" s="6">
        <f>IFERROR(__xludf.DUMMYFUNCTION("""COMPUTED_VALUE"""),0.32417824074218515)</f>
        <v>0.3241782407</v>
      </c>
      <c r="D24375" s="4">
        <f>IFERROR(__xludf.DUMMYFUNCTION("""COMPUTED_VALUE"""),13.011482)</f>
        <v>13.011482</v>
      </c>
      <c r="E24375" s="4">
        <f>IFERROR(__xludf.DUMMYFUNCTION("""COMPUTED_VALUE"""),80.223127)</f>
        <v>80.223127</v>
      </c>
      <c r="F24375" s="4">
        <f>IFERROR(__xludf.DUMMYFUNCTION("""COMPUTED_VALUE"""),5339.0)</f>
        <v>5339</v>
      </c>
      <c r="G24375" s="4">
        <f>IFERROR(__xludf.DUMMYFUNCTION("""COMPUTED_VALUE"""),40.0)</f>
        <v>40</v>
      </c>
      <c r="H24375" s="4"/>
      <c r="I24375" s="4"/>
    </row>
    <row r="24376">
      <c r="A24376" s="4" t="str">
        <f>IFERROR(__xludf.DUMMYFUNCTION("""COMPUTED_VALUE"""),"cas_hmw")</f>
        <v>cas_hmw</v>
      </c>
      <c r="B24376" s="5">
        <f>IFERROR(__xludf.DUMMYFUNCTION("""COMPUTED_VALUE"""),44803.0)</f>
        <v>44803</v>
      </c>
      <c r="C24376" s="6">
        <f>IFERROR(__xludf.DUMMYFUNCTION("""COMPUTED_VALUE"""),0.3269328703718202)</f>
        <v>0.3269328704</v>
      </c>
      <c r="D24376" s="4">
        <f>IFERROR(__xludf.DUMMYFUNCTION("""COMPUTED_VALUE"""),13.004788)</f>
        <v>13.004788</v>
      </c>
      <c r="E24376" s="4">
        <f>IFERROR(__xludf.DUMMYFUNCTION("""COMPUTED_VALUE"""),80.20138)</f>
        <v>80.20138</v>
      </c>
      <c r="F24376" s="4">
        <f>IFERROR(__xludf.DUMMYFUNCTION("""COMPUTED_VALUE"""),5339.0)</f>
        <v>5339</v>
      </c>
      <c r="G24376" s="4">
        <f>IFERROR(__xludf.DUMMYFUNCTION("""COMPUTED_VALUE"""),45.0)</f>
        <v>45</v>
      </c>
      <c r="H24376" s="4"/>
      <c r="I24376" s="4"/>
    </row>
    <row r="24377">
      <c r="A24377" s="4" t="str">
        <f>IFERROR(__xludf.DUMMYFUNCTION("""COMPUTED_VALUE"""),"cas_hmw")</f>
        <v>cas_hmw</v>
      </c>
      <c r="B24377" s="5">
        <f>IFERROR(__xludf.DUMMYFUNCTION("""COMPUTED_VALUE"""),44803.0)</f>
        <v>44803</v>
      </c>
      <c r="C24377" s="6">
        <f>IFERROR(__xludf.DUMMYFUNCTION("""COMPUTED_VALUE"""),0.32712962962978054)</f>
        <v>0.3271296296</v>
      </c>
      <c r="D24377" s="4">
        <f>IFERROR(__xludf.DUMMYFUNCTION("""COMPUTED_VALUE"""),13.003904)</f>
        <v>13.003904</v>
      </c>
      <c r="E24377" s="4">
        <f>IFERROR(__xludf.DUMMYFUNCTION("""COMPUTED_VALUE"""),80.201016)</f>
        <v>80.201016</v>
      </c>
      <c r="F24377" s="4">
        <f>IFERROR(__xludf.DUMMYFUNCTION("""COMPUTED_VALUE"""),5339.0)</f>
        <v>5339</v>
      </c>
      <c r="G24377" s="4">
        <f>IFERROR(__xludf.DUMMYFUNCTION("""COMPUTED_VALUE"""),30.0)</f>
        <v>30</v>
      </c>
      <c r="H24377" s="4"/>
      <c r="I24377" s="4"/>
    </row>
    <row r="24378">
      <c r="A24378" s="4" t="str">
        <f>IFERROR(__xludf.DUMMYFUNCTION("""COMPUTED_VALUE"""),"cas_hmw")</f>
        <v>cas_hmw</v>
      </c>
      <c r="B24378" s="5">
        <f>IFERROR(__xludf.DUMMYFUNCTION("""COMPUTED_VALUE"""),44803.0)</f>
        <v>44803</v>
      </c>
      <c r="C24378" s="6">
        <f>IFERROR(__xludf.DUMMYFUNCTION("""COMPUTED_VALUE"""),0.32825231481547235)</f>
        <v>0.3282523148</v>
      </c>
      <c r="D24378" s="4">
        <f>IFERROR(__xludf.DUMMYFUNCTION("""COMPUTED_VALUE"""),13.00001)</f>
        <v>13.00001</v>
      </c>
      <c r="E24378" s="4">
        <f>IFERROR(__xludf.DUMMYFUNCTION("""COMPUTED_VALUE"""),80.194248)</f>
        <v>80.194248</v>
      </c>
      <c r="F24378" s="4">
        <f>IFERROR(__xludf.DUMMYFUNCTION("""COMPUTED_VALUE"""),5339.0)</f>
        <v>5339</v>
      </c>
      <c r="G24378" s="4">
        <f>IFERROR(__xludf.DUMMYFUNCTION("""COMPUTED_VALUE"""),42.0)</f>
        <v>42</v>
      </c>
      <c r="H24378" s="4"/>
      <c r="I24378" s="4"/>
    </row>
    <row r="24379">
      <c r="A24379" s="4" t="str">
        <f>IFERROR(__xludf.DUMMYFUNCTION("""COMPUTED_VALUE"""),"cas_hmw")</f>
        <v>cas_hmw</v>
      </c>
      <c r="B24379" s="5">
        <f>IFERROR(__xludf.DUMMYFUNCTION("""COMPUTED_VALUE"""),44803.0)</f>
        <v>44803</v>
      </c>
      <c r="C24379" s="6">
        <f>IFERROR(__xludf.DUMMYFUNCTION("""COMPUTED_VALUE"""),0.3293865740743058)</f>
        <v>0.3293865741</v>
      </c>
      <c r="D24379" s="4">
        <f>IFERROR(__xludf.DUMMYFUNCTION("""COMPUTED_VALUE"""),12.996021)</f>
        <v>12.996021</v>
      </c>
      <c r="E24379" s="4">
        <f>IFERROR(__xludf.DUMMYFUNCTION("""COMPUTED_VALUE"""),80.189332)</f>
        <v>80.189332</v>
      </c>
      <c r="F24379" s="4">
        <f>IFERROR(__xludf.DUMMYFUNCTION("""COMPUTED_VALUE"""),5339.0)</f>
        <v>5339</v>
      </c>
      <c r="G24379" s="4">
        <f>IFERROR(__xludf.DUMMYFUNCTION("""COMPUTED_VALUE"""),19.0)</f>
        <v>19</v>
      </c>
      <c r="H24379" s="4"/>
      <c r="I24379" s="4"/>
    </row>
    <row r="24380">
      <c r="A24380" s="4" t="str">
        <f>IFERROR(__xludf.DUMMYFUNCTION("""COMPUTED_VALUE"""),"cas_hmw")</f>
        <v>cas_hmw</v>
      </c>
      <c r="B24380" s="5">
        <f>IFERROR(__xludf.DUMMYFUNCTION("""COMPUTED_VALUE"""),44803.0)</f>
        <v>44803</v>
      </c>
      <c r="C24380" s="6">
        <f>IFERROR(__xludf.DUMMYFUNCTION("""COMPUTED_VALUE"""),0.3319328703692008)</f>
        <v>0.3319328704</v>
      </c>
      <c r="D24380" s="4">
        <f>IFERROR(__xludf.DUMMYFUNCTION("""COMPUTED_VALUE"""),12.987768)</f>
        <v>12.987768</v>
      </c>
      <c r="E24380" s="4">
        <f>IFERROR(__xludf.DUMMYFUNCTION("""COMPUTED_VALUE"""),80.176739)</f>
        <v>80.176739</v>
      </c>
      <c r="F24380" s="4">
        <f>IFERROR(__xludf.DUMMYFUNCTION("""COMPUTED_VALUE"""),5339.0)</f>
        <v>5339</v>
      </c>
      <c r="G24380" s="4">
        <f>IFERROR(__xludf.DUMMYFUNCTION("""COMPUTED_VALUE"""),44.0)</f>
        <v>44</v>
      </c>
      <c r="H24380" s="4"/>
      <c r="I24380" s="4"/>
    </row>
    <row r="24381">
      <c r="A24381" s="4" t="str">
        <f>IFERROR(__xludf.DUMMYFUNCTION("""COMPUTED_VALUE"""),"cas_hmw")</f>
        <v>cas_hmw</v>
      </c>
      <c r="B24381" s="5">
        <f>IFERROR(__xludf.DUMMYFUNCTION("""COMPUTED_VALUE"""),44803.0)</f>
        <v>44803</v>
      </c>
      <c r="C24381" s="6">
        <f>IFERROR(__xludf.DUMMYFUNCTION("""COMPUTED_VALUE"""),0.3320138888884685)</f>
        <v>0.3320138889</v>
      </c>
      <c r="D24381" s="4">
        <f>IFERROR(__xludf.DUMMYFUNCTION("""COMPUTED_VALUE"""),12.987037)</f>
        <v>12.987037</v>
      </c>
      <c r="E24381" s="4">
        <f>IFERROR(__xludf.DUMMYFUNCTION("""COMPUTED_VALUE"""),80.175633)</f>
        <v>80.175633</v>
      </c>
      <c r="F24381" s="4">
        <f>IFERROR(__xludf.DUMMYFUNCTION("""COMPUTED_VALUE"""),5339.0)</f>
        <v>5339</v>
      </c>
      <c r="G24381" s="4">
        <f>IFERROR(__xludf.DUMMYFUNCTION("""COMPUTED_VALUE"""),52.0)</f>
        <v>52</v>
      </c>
      <c r="H24381" s="4"/>
      <c r="I24381" s="4"/>
    </row>
    <row r="24382">
      <c r="A24382" s="4" t="str">
        <f>IFERROR(__xludf.DUMMYFUNCTION("""COMPUTED_VALUE"""),"cas_hmw")</f>
        <v>cas_hmw</v>
      </c>
      <c r="B24382" s="5">
        <f>IFERROR(__xludf.DUMMYFUNCTION("""COMPUTED_VALUE"""),44803.0)</f>
        <v>44803</v>
      </c>
      <c r="C24382" s="6">
        <f>IFERROR(__xludf.DUMMYFUNCTION("""COMPUTED_VALUE"""),0.33232638888875954)</f>
        <v>0.3323263889</v>
      </c>
      <c r="D24382" s="4">
        <f>IFERROR(__xludf.DUMMYFUNCTION("""COMPUTED_VALUE"""),12.985425)</f>
        <v>12.985425</v>
      </c>
      <c r="E24382" s="4">
        <f>IFERROR(__xludf.DUMMYFUNCTION("""COMPUTED_VALUE"""),80.173325)</f>
        <v>80.173325</v>
      </c>
      <c r="F24382" s="4">
        <f>IFERROR(__xludf.DUMMYFUNCTION("""COMPUTED_VALUE"""),5339.0)</f>
        <v>5339</v>
      </c>
      <c r="G24382" s="4">
        <f>IFERROR(__xludf.DUMMYFUNCTION("""COMPUTED_VALUE"""),51.0)</f>
        <v>51</v>
      </c>
      <c r="H24382" s="4"/>
      <c r="I24382" s="4"/>
    </row>
    <row r="24383">
      <c r="A24383" s="4" t="str">
        <f>IFERROR(__xludf.DUMMYFUNCTION("""COMPUTED_VALUE"""),"cas_hmw")</f>
        <v>cas_hmw</v>
      </c>
      <c r="B24383" s="5">
        <f>IFERROR(__xludf.DUMMYFUNCTION("""COMPUTED_VALUE"""),44803.0)</f>
        <v>44803</v>
      </c>
      <c r="C24383" s="6">
        <f>IFERROR(__xludf.DUMMYFUNCTION("""COMPUTED_VALUE"""),0.3326967592583969)</f>
        <v>0.3326967593</v>
      </c>
      <c r="D24383" s="4">
        <f>IFERROR(__xludf.DUMMYFUNCTION("""COMPUTED_VALUE"""),12.983768)</f>
        <v>12.983768</v>
      </c>
      <c r="E24383" s="4">
        <f>IFERROR(__xludf.DUMMYFUNCTION("""COMPUTED_VALUE"""),80.170708)</f>
        <v>80.170708</v>
      </c>
      <c r="F24383" s="4">
        <f>IFERROR(__xludf.DUMMYFUNCTION("""COMPUTED_VALUE"""),5339.0)</f>
        <v>5339</v>
      </c>
      <c r="G24383" s="4">
        <f>IFERROR(__xludf.DUMMYFUNCTION("""COMPUTED_VALUE"""),42.0)</f>
        <v>42</v>
      </c>
      <c r="H24383" s="4"/>
      <c r="I24383" s="4"/>
    </row>
    <row r="24384">
      <c r="A24384" s="4" t="str">
        <f>IFERROR(__xludf.DUMMYFUNCTION("""COMPUTED_VALUE"""),"cas_hmw")</f>
        <v>cas_hmw</v>
      </c>
      <c r="B24384" s="5">
        <f>IFERROR(__xludf.DUMMYFUNCTION("""COMPUTED_VALUE"""),44803.0)</f>
        <v>44803</v>
      </c>
      <c r="C24384" s="6">
        <f>IFERROR(__xludf.DUMMYFUNCTION("""COMPUTED_VALUE"""),0.3327314814814599)</f>
        <v>0.3327314815</v>
      </c>
      <c r="D24384" s="4">
        <f>IFERROR(__xludf.DUMMYFUNCTION("""COMPUTED_VALUE"""),12.983221)</f>
        <v>12.983221</v>
      </c>
      <c r="E24384" s="4">
        <f>IFERROR(__xludf.DUMMYFUNCTION("""COMPUTED_VALUE"""),80.169761)</f>
        <v>80.169761</v>
      </c>
      <c r="F24384" s="4">
        <f>IFERROR(__xludf.DUMMYFUNCTION("""COMPUTED_VALUE"""),5339.0)</f>
        <v>5339</v>
      </c>
      <c r="G24384" s="4">
        <f>IFERROR(__xludf.DUMMYFUNCTION("""COMPUTED_VALUE"""),44.0)</f>
        <v>44</v>
      </c>
      <c r="H24384" s="4"/>
      <c r="I24384" s="4"/>
    </row>
    <row r="24385">
      <c r="A24385" s="4" t="str">
        <f>IFERROR(__xludf.DUMMYFUNCTION("""COMPUTED_VALUE"""),"cas_hmw")</f>
        <v>cas_hmw</v>
      </c>
      <c r="B24385" s="5">
        <f>IFERROR(__xludf.DUMMYFUNCTION("""COMPUTED_VALUE"""),44803.0)</f>
        <v>44803</v>
      </c>
      <c r="C24385" s="6">
        <f>IFERROR(__xludf.DUMMYFUNCTION("""COMPUTED_VALUE"""),0.3369097222239361)</f>
        <v>0.3369097222</v>
      </c>
      <c r="D24385" s="4">
        <f>IFERROR(__xludf.DUMMYFUNCTION("""COMPUTED_VALUE"""),12.959844)</f>
        <v>12.959844</v>
      </c>
      <c r="E24385" s="4">
        <f>IFERROR(__xludf.DUMMYFUNCTION("""COMPUTED_VALUE"""),80.145149)</f>
        <v>80.145149</v>
      </c>
      <c r="F24385" s="4">
        <f>IFERROR(__xludf.DUMMYFUNCTION("""COMPUTED_VALUE"""),5339.0)</f>
        <v>5339</v>
      </c>
      <c r="G24385" s="4">
        <f>IFERROR(__xludf.DUMMYFUNCTION("""COMPUTED_VALUE"""),46.0)</f>
        <v>46</v>
      </c>
      <c r="H24385" s="4"/>
      <c r="I24385" s="4"/>
    </row>
    <row r="24386">
      <c r="A24386" s="4" t="str">
        <f>IFERROR(__xludf.DUMMYFUNCTION("""COMPUTED_VALUE"""),"cas_hmw")</f>
        <v>cas_hmw</v>
      </c>
      <c r="B24386" s="5">
        <f>IFERROR(__xludf.DUMMYFUNCTION("""COMPUTED_VALUE"""),44803.0)</f>
        <v>44803</v>
      </c>
      <c r="C24386" s="6">
        <f>IFERROR(__xludf.DUMMYFUNCTION("""COMPUTED_VALUE"""),0.3370949074087548)</f>
        <v>0.3370949074</v>
      </c>
      <c r="D24386" s="4">
        <f>IFERROR(__xludf.DUMMYFUNCTION("""COMPUTED_VALUE"""),12.957672)</f>
        <v>12.957672</v>
      </c>
      <c r="E24386" s="4">
        <f>IFERROR(__xludf.DUMMYFUNCTION("""COMPUTED_VALUE"""),80.14399)</f>
        <v>80.14399</v>
      </c>
      <c r="F24386" s="4">
        <f>IFERROR(__xludf.DUMMYFUNCTION("""COMPUTED_VALUE"""),5339.0)</f>
        <v>5339</v>
      </c>
      <c r="G24386" s="4">
        <f>IFERROR(__xludf.DUMMYFUNCTION("""COMPUTED_VALUE"""),44.0)</f>
        <v>44</v>
      </c>
      <c r="H24386" s="4"/>
      <c r="I24386" s="4"/>
    </row>
    <row r="24387">
      <c r="A24387" s="4" t="str">
        <f>IFERROR(__xludf.DUMMYFUNCTION("""COMPUTED_VALUE"""),"cas_hmw")</f>
        <v>cas_hmw</v>
      </c>
      <c r="B24387" s="5">
        <f>IFERROR(__xludf.DUMMYFUNCTION("""COMPUTED_VALUE"""),44803.0)</f>
        <v>44803</v>
      </c>
      <c r="C24387" s="6">
        <f>IFERROR(__xludf.DUMMYFUNCTION("""COMPUTED_VALUE"""),0.3378009259249666)</f>
        <v>0.3378009259</v>
      </c>
      <c r="D24387" s="4">
        <f>IFERROR(__xludf.DUMMYFUNCTION("""COMPUTED_VALUE"""),12.952122)</f>
        <v>12.952122</v>
      </c>
      <c r="E24387" s="4">
        <f>IFERROR(__xludf.DUMMYFUNCTION("""COMPUTED_VALUE"""),80.14083)</f>
        <v>80.14083</v>
      </c>
      <c r="F24387" s="4">
        <f>IFERROR(__xludf.DUMMYFUNCTION("""COMPUTED_VALUE"""),5339.0)</f>
        <v>5339</v>
      </c>
      <c r="G24387" s="4">
        <f>IFERROR(__xludf.DUMMYFUNCTION("""COMPUTED_VALUE"""),29.0)</f>
        <v>29</v>
      </c>
      <c r="H24387" s="4"/>
      <c r="I24387" s="4"/>
    </row>
    <row r="24388">
      <c r="A24388" s="4" t="str">
        <f>IFERROR(__xludf.DUMMYFUNCTION("""COMPUTED_VALUE"""),"cas_hmw")</f>
        <v>cas_hmw</v>
      </c>
      <c r="B24388" s="5">
        <f>IFERROR(__xludf.DUMMYFUNCTION("""COMPUTED_VALUE"""),44803.0)</f>
        <v>44803</v>
      </c>
      <c r="C24388" s="6">
        <f>IFERROR(__xludf.DUMMYFUNCTION("""COMPUTED_VALUE"""),0.33912037036861875)</f>
        <v>0.3391203704</v>
      </c>
      <c r="D24388" s="4">
        <f>IFERROR(__xludf.DUMMYFUNCTION("""COMPUTED_VALUE"""),12.945609)</f>
        <v>12.945609</v>
      </c>
      <c r="E24388" s="4">
        <f>IFERROR(__xludf.DUMMYFUNCTION("""COMPUTED_VALUE"""),80.135864)</f>
        <v>80.135864</v>
      </c>
      <c r="F24388" s="4">
        <f>IFERROR(__xludf.DUMMYFUNCTION("""COMPUTED_VALUE"""),5339.0)</f>
        <v>5339</v>
      </c>
      <c r="G24388" s="4">
        <f>IFERROR(__xludf.DUMMYFUNCTION("""COMPUTED_VALUE"""),47.0)</f>
        <v>47</v>
      </c>
      <c r="H24388" s="4"/>
      <c r="I24388" s="4"/>
    </row>
    <row r="24389">
      <c r="A24389" s="4" t="str">
        <f>IFERROR(__xludf.DUMMYFUNCTION("""COMPUTED_VALUE"""),"cas_hmw")</f>
        <v>cas_hmw</v>
      </c>
      <c r="B24389" s="5">
        <f>IFERROR(__xludf.DUMMYFUNCTION("""COMPUTED_VALUE"""),44803.0)</f>
        <v>44803</v>
      </c>
      <c r="C24389" s="6">
        <f>IFERROR(__xludf.DUMMYFUNCTION("""COMPUTED_VALUE"""),0.3397106481497758)</f>
        <v>0.3397106481</v>
      </c>
      <c r="D24389" s="4">
        <f>IFERROR(__xludf.DUMMYFUNCTION("""COMPUTED_VALUE"""),12.94254)</f>
        <v>12.94254</v>
      </c>
      <c r="E24389" s="4">
        <f>IFERROR(__xludf.DUMMYFUNCTION("""COMPUTED_VALUE"""),80.133207)</f>
        <v>80.133207</v>
      </c>
      <c r="F24389" s="4">
        <f>IFERROR(__xludf.DUMMYFUNCTION("""COMPUTED_VALUE"""),5339.0)</f>
        <v>5339</v>
      </c>
      <c r="G24389" s="4">
        <f>IFERROR(__xludf.DUMMYFUNCTION("""COMPUTED_VALUE"""),30.0)</f>
        <v>30</v>
      </c>
      <c r="H24389" s="4"/>
      <c r="I24389" s="4"/>
    </row>
    <row r="24390">
      <c r="A24390" s="4" t="str">
        <f>IFERROR(__xludf.DUMMYFUNCTION("""COMPUTED_VALUE"""),"cas_hmw")</f>
        <v>cas_hmw</v>
      </c>
      <c r="B24390" s="5">
        <f>IFERROR(__xludf.DUMMYFUNCTION("""COMPUTED_VALUE"""),44803.0)</f>
        <v>44803</v>
      </c>
      <c r="C24390" s="6">
        <f>IFERROR(__xludf.DUMMYFUNCTION("""COMPUTED_VALUE"""),0.3397569444459805)</f>
        <v>0.3397569444</v>
      </c>
      <c r="D24390" s="4">
        <f>IFERROR(__xludf.DUMMYFUNCTION("""COMPUTED_VALUE"""),12.941932)</f>
        <v>12.941932</v>
      </c>
      <c r="E24390" s="4">
        <f>IFERROR(__xludf.DUMMYFUNCTION("""COMPUTED_VALUE"""),80.132571)</f>
        <v>80.132571</v>
      </c>
      <c r="F24390" s="4">
        <f>IFERROR(__xludf.DUMMYFUNCTION("""COMPUTED_VALUE"""),5339.0)</f>
        <v>5339</v>
      </c>
      <c r="G24390" s="4">
        <f>IFERROR(__xludf.DUMMYFUNCTION("""COMPUTED_VALUE"""),40.0)</f>
        <v>40</v>
      </c>
      <c r="H24390" s="4"/>
      <c r="I24390" s="4"/>
    </row>
    <row r="24391">
      <c r="A24391" s="4" t="str">
        <f>IFERROR(__xludf.DUMMYFUNCTION("""COMPUTED_VALUE"""),"cas_hmw")</f>
        <v>cas_hmw</v>
      </c>
      <c r="B24391" s="5">
        <f>IFERROR(__xludf.DUMMYFUNCTION("""COMPUTED_VALUE"""),44803.0)</f>
        <v>44803</v>
      </c>
      <c r="C24391" s="6">
        <f>IFERROR(__xludf.DUMMYFUNCTION("""COMPUTED_VALUE"""),0.34016203703868086)</f>
        <v>0.340162037</v>
      </c>
      <c r="D24391" s="4">
        <f>IFERROR(__xludf.DUMMYFUNCTION("""COMPUTED_VALUE"""),12.939657)</f>
        <v>12.939657</v>
      </c>
      <c r="E24391" s="4">
        <f>IFERROR(__xludf.DUMMYFUNCTION("""COMPUTED_VALUE"""),80.130268)</f>
        <v>80.130268</v>
      </c>
      <c r="F24391" s="4">
        <f>IFERROR(__xludf.DUMMYFUNCTION("""COMPUTED_VALUE"""),5339.0)</f>
        <v>5339</v>
      </c>
      <c r="G24391" s="4">
        <f>IFERROR(__xludf.DUMMYFUNCTION("""COMPUTED_VALUE"""),40.0)</f>
        <v>40</v>
      </c>
      <c r="H24391" s="4"/>
      <c r="I24391" s="4"/>
    </row>
    <row r="24392">
      <c r="A24392" s="4" t="str">
        <f>IFERROR(__xludf.DUMMYFUNCTION("""COMPUTED_VALUE"""),"cas_hmw")</f>
        <v>cas_hmw</v>
      </c>
      <c r="B24392" s="5">
        <f>IFERROR(__xludf.DUMMYFUNCTION("""COMPUTED_VALUE"""),44803.0)</f>
        <v>44803</v>
      </c>
      <c r="C24392" s="6">
        <f>IFERROR(__xludf.DUMMYFUNCTION("""COMPUTED_VALUE"""),0.34184027777882875)</f>
        <v>0.3418402778</v>
      </c>
      <c r="D24392" s="4">
        <f>IFERROR(__xludf.DUMMYFUNCTION("""COMPUTED_VALUE"""),12.930261)</f>
        <v>12.930261</v>
      </c>
      <c r="E24392" s="4">
        <f>IFERROR(__xludf.DUMMYFUNCTION("""COMPUTED_VALUE"""),80.121569)</f>
        <v>80.121569</v>
      </c>
      <c r="F24392" s="4">
        <f>IFERROR(__xludf.DUMMYFUNCTION("""COMPUTED_VALUE"""),5339.0)</f>
        <v>5339</v>
      </c>
      <c r="G24392" s="4">
        <f>IFERROR(__xludf.DUMMYFUNCTION("""COMPUTED_VALUE"""),30.0)</f>
        <v>30</v>
      </c>
      <c r="H24392" s="4"/>
      <c r="I24392" s="4"/>
    </row>
    <row r="24393">
      <c r="A24393" s="4" t="str">
        <f>IFERROR(__xludf.DUMMYFUNCTION("""COMPUTED_VALUE"""),"cas_hmw")</f>
        <v>cas_hmw</v>
      </c>
      <c r="B24393" s="5">
        <f>IFERROR(__xludf.DUMMYFUNCTION("""COMPUTED_VALUE"""),44803.0)</f>
        <v>44803</v>
      </c>
      <c r="C24393" s="6">
        <f>IFERROR(__xludf.DUMMYFUNCTION("""COMPUTED_VALUE"""),0.3422685185178125)</f>
        <v>0.3422685185</v>
      </c>
      <c r="D24393" s="4">
        <f>IFERROR(__xludf.DUMMYFUNCTION("""COMPUTED_VALUE"""),12.922029)</f>
        <v>12.922029</v>
      </c>
      <c r="E24393" s="4">
        <f>IFERROR(__xludf.DUMMYFUNCTION("""COMPUTED_VALUE"""),80.164096)</f>
        <v>80.164096</v>
      </c>
      <c r="F24393" s="4">
        <f>IFERROR(__xludf.DUMMYFUNCTION("""COMPUTED_VALUE"""),3143.0)</f>
        <v>3143</v>
      </c>
      <c r="G24393" s="4">
        <f>IFERROR(__xludf.DUMMYFUNCTION("""COMPUTED_VALUE"""),34.0)</f>
        <v>34</v>
      </c>
      <c r="H24393" s="4"/>
      <c r="I24393" s="4"/>
    </row>
    <row r="24394">
      <c r="A24394" s="4" t="str">
        <f>IFERROR(__xludf.DUMMYFUNCTION("""COMPUTED_VALUE"""),"cas_hmw")</f>
        <v>cas_hmw</v>
      </c>
      <c r="B24394" s="5">
        <f>IFERROR(__xludf.DUMMYFUNCTION("""COMPUTED_VALUE"""),44803.0)</f>
        <v>44803</v>
      </c>
      <c r="C24394" s="6">
        <f>IFERROR(__xludf.DUMMYFUNCTION("""COMPUTED_VALUE"""),0.3449884259243845)</f>
        <v>0.3449884259</v>
      </c>
      <c r="D24394" s="4">
        <f>IFERROR(__xludf.DUMMYFUNCTION("""COMPUTED_VALUE"""),12.912196)</f>
        <v>12.912196</v>
      </c>
      <c r="E24394" s="4">
        <f>IFERROR(__xludf.DUMMYFUNCTION("""COMPUTED_VALUE"""),80.101525)</f>
        <v>80.101525</v>
      </c>
      <c r="F24394" s="4">
        <f>IFERROR(__xludf.DUMMYFUNCTION("""COMPUTED_VALUE"""),5339.0)</f>
        <v>5339</v>
      </c>
      <c r="G24394" s="4">
        <f>IFERROR(__xludf.DUMMYFUNCTION("""COMPUTED_VALUE"""),35.0)</f>
        <v>35</v>
      </c>
      <c r="H24394" s="4"/>
      <c r="I24394" s="4"/>
    </row>
    <row r="24395">
      <c r="A24395" s="4" t="str">
        <f>IFERROR(__xludf.DUMMYFUNCTION("""COMPUTED_VALUE"""),"cas_hmw")</f>
        <v>cas_hmw</v>
      </c>
      <c r="B24395" s="5">
        <f>IFERROR(__xludf.DUMMYFUNCTION("""COMPUTED_VALUE"""),44803.0)</f>
        <v>44803</v>
      </c>
      <c r="C24395" s="6">
        <f>IFERROR(__xludf.DUMMYFUNCTION("""COMPUTED_VALUE"""),0.3456712962979509)</f>
        <v>0.3456712963</v>
      </c>
      <c r="D24395" s="4">
        <f>IFERROR(__xludf.DUMMYFUNCTION("""COMPUTED_VALUE"""),12.90969)</f>
        <v>12.90969</v>
      </c>
      <c r="E24395" s="4">
        <f>IFERROR(__xludf.DUMMYFUNCTION("""COMPUTED_VALUE"""),80.100178)</f>
        <v>80.100178</v>
      </c>
      <c r="F24395" s="4">
        <f>IFERROR(__xludf.DUMMYFUNCTION("""COMPUTED_VALUE"""),5339.0)</f>
        <v>5339</v>
      </c>
      <c r="G24395" s="4">
        <f>IFERROR(__xludf.DUMMYFUNCTION("""COMPUTED_VALUE"""),45.0)</f>
        <v>45</v>
      </c>
      <c r="H24395" s="4"/>
      <c r="I24395" s="4"/>
    </row>
    <row r="24396">
      <c r="A24396" s="4" t="str">
        <f>IFERROR(__xludf.DUMMYFUNCTION("""COMPUTED_VALUE"""),"cas_hmw")</f>
        <v>cas_hmw</v>
      </c>
      <c r="B24396" s="5">
        <f>IFERROR(__xludf.DUMMYFUNCTION("""COMPUTED_VALUE"""),44803.0)</f>
        <v>44803</v>
      </c>
      <c r="C24396" s="6">
        <f>IFERROR(__xludf.DUMMYFUNCTION("""COMPUTED_VALUE"""),0.34569444444423425)</f>
        <v>0.3456944444</v>
      </c>
      <c r="D24396" s="4">
        <f>IFERROR(__xludf.DUMMYFUNCTION("""COMPUTED_VALUE"""),12.908466)</f>
        <v>12.908466</v>
      </c>
      <c r="E24396" s="4">
        <f>IFERROR(__xludf.DUMMYFUNCTION("""COMPUTED_VALUE"""),80.098193)</f>
        <v>80.098193</v>
      </c>
      <c r="F24396" s="4">
        <f>IFERROR(__xludf.DUMMYFUNCTION("""COMPUTED_VALUE"""),5339.0)</f>
        <v>5339</v>
      </c>
      <c r="G24396" s="4">
        <f>IFERROR(__xludf.DUMMYFUNCTION("""COMPUTED_VALUE"""),27.0)</f>
        <v>27</v>
      </c>
      <c r="H24396" s="4"/>
      <c r="I24396" s="4"/>
    </row>
    <row r="24397">
      <c r="A24397" s="4" t="str">
        <f>IFERROR(__xludf.DUMMYFUNCTION("""COMPUTED_VALUE"""),"cas_hmw")</f>
        <v>cas_hmw</v>
      </c>
      <c r="B24397" s="5">
        <f>IFERROR(__xludf.DUMMYFUNCTION("""COMPUTED_VALUE"""),44803.0)</f>
        <v>44803</v>
      </c>
      <c r="C24397" s="6">
        <f>IFERROR(__xludf.DUMMYFUNCTION("""COMPUTED_VALUE"""),0.3457060185173759)</f>
        <v>0.3457060185</v>
      </c>
      <c r="D24397" s="4">
        <f>IFERROR(__xludf.DUMMYFUNCTION("""COMPUTED_VALUE"""),12.908466)</f>
        <v>12.908466</v>
      </c>
      <c r="E24397" s="4">
        <f>IFERROR(__xludf.DUMMYFUNCTION("""COMPUTED_VALUE"""),80.098193)</f>
        <v>80.098193</v>
      </c>
      <c r="F24397" s="4">
        <f>IFERROR(__xludf.DUMMYFUNCTION("""COMPUTED_VALUE"""),5339.0)</f>
        <v>5339</v>
      </c>
      <c r="G24397" s="4">
        <f>IFERROR(__xludf.DUMMYFUNCTION("""COMPUTED_VALUE"""),27.0)</f>
        <v>27</v>
      </c>
      <c r="H24397" s="4"/>
      <c r="I24397" s="4"/>
    </row>
    <row r="24398">
      <c r="A24398" s="4" t="str">
        <f>IFERROR(__xludf.DUMMYFUNCTION("""COMPUTED_VALUE"""),"cas_hmw")</f>
        <v>cas_hmw</v>
      </c>
      <c r="B24398" s="5">
        <f>IFERROR(__xludf.DUMMYFUNCTION("""COMPUTED_VALUE"""),44803.0)</f>
        <v>44803</v>
      </c>
      <c r="C24398" s="6">
        <f>IFERROR(__xludf.DUMMYFUNCTION("""COMPUTED_VALUE"""),0.3457060185173759)</f>
        <v>0.3457060185</v>
      </c>
      <c r="D24398" s="4">
        <f>IFERROR(__xludf.DUMMYFUNCTION("""COMPUTED_VALUE"""),12.908466)</f>
        <v>12.908466</v>
      </c>
      <c r="E24398" s="4">
        <f>IFERROR(__xludf.DUMMYFUNCTION("""COMPUTED_VALUE"""),80.098193)</f>
        <v>80.098193</v>
      </c>
      <c r="F24398" s="4">
        <f>IFERROR(__xludf.DUMMYFUNCTION("""COMPUTED_VALUE"""),5339.0)</f>
        <v>5339</v>
      </c>
      <c r="G24398" s="4">
        <f>IFERROR(__xludf.DUMMYFUNCTION("""COMPUTED_VALUE"""),27.0)</f>
        <v>27</v>
      </c>
      <c r="H24398" s="4"/>
      <c r="I24398" s="4"/>
    </row>
    <row r="24399">
      <c r="A24399" s="4" t="str">
        <f>IFERROR(__xludf.DUMMYFUNCTION("""COMPUTED_VALUE"""),"cas_hmw")</f>
        <v>cas_hmw</v>
      </c>
      <c r="B24399" s="5">
        <f>IFERROR(__xludf.DUMMYFUNCTION("""COMPUTED_VALUE"""),44803.0)</f>
        <v>44803</v>
      </c>
      <c r="C24399" s="6">
        <f>IFERROR(__xludf.DUMMYFUNCTION("""COMPUTED_VALUE"""),0.3457175925941556)</f>
        <v>0.3457175926</v>
      </c>
      <c r="D24399" s="4">
        <f>IFERROR(__xludf.DUMMYFUNCTION("""COMPUTED_VALUE"""),12.908466)</f>
        <v>12.908466</v>
      </c>
      <c r="E24399" s="4">
        <f>IFERROR(__xludf.DUMMYFUNCTION("""COMPUTED_VALUE"""),80.098193)</f>
        <v>80.098193</v>
      </c>
      <c r="F24399" s="4">
        <f>IFERROR(__xludf.DUMMYFUNCTION("""COMPUTED_VALUE"""),5339.0)</f>
        <v>5339</v>
      </c>
      <c r="G24399" s="4">
        <f>IFERROR(__xludf.DUMMYFUNCTION("""COMPUTED_VALUE"""),27.0)</f>
        <v>27</v>
      </c>
      <c r="H24399" s="4"/>
      <c r="I24399" s="4"/>
    </row>
    <row r="24400">
      <c r="A24400" s="4" t="str">
        <f>IFERROR(__xludf.DUMMYFUNCTION("""COMPUTED_VALUE"""),"cas_hmw")</f>
        <v>cas_hmw</v>
      </c>
      <c r="B24400" s="5">
        <f>IFERROR(__xludf.DUMMYFUNCTION("""COMPUTED_VALUE"""),44803.0)</f>
        <v>44803</v>
      </c>
      <c r="C24400" s="6">
        <f>IFERROR(__xludf.DUMMYFUNCTION("""COMPUTED_VALUE"""),0.3462847222217533)</f>
        <v>0.3462847222</v>
      </c>
      <c r="D24400" s="4">
        <f>IFERROR(__xludf.DUMMYFUNCTION("""COMPUTED_VALUE"""),12.92239)</f>
        <v>12.92239</v>
      </c>
      <c r="E24400" s="4">
        <f>IFERROR(__xludf.DUMMYFUNCTION("""COMPUTED_VALUE"""),80.14153)</f>
        <v>80.14153</v>
      </c>
      <c r="F24400" s="4">
        <f>IFERROR(__xludf.DUMMYFUNCTION("""COMPUTED_VALUE"""),3143.0)</f>
        <v>3143</v>
      </c>
      <c r="G24400" s="4">
        <f>IFERROR(__xludf.DUMMYFUNCTION("""COMPUTED_VALUE"""),24.0)</f>
        <v>24</v>
      </c>
      <c r="H24400" s="4"/>
      <c r="I24400" s="4"/>
    </row>
    <row r="24401">
      <c r="A24401" s="4" t="str">
        <f>IFERROR(__xludf.DUMMYFUNCTION("""COMPUTED_VALUE"""),"cas_hmw")</f>
        <v>cas_hmw</v>
      </c>
      <c r="B24401" s="5">
        <f>IFERROR(__xludf.DUMMYFUNCTION("""COMPUTED_VALUE"""),44803.0)</f>
        <v>44803</v>
      </c>
      <c r="C24401" s="6">
        <f>IFERROR(__xludf.DUMMYFUNCTION("""COMPUTED_VALUE"""),0.346331018517958)</f>
        <v>0.3463310185</v>
      </c>
      <c r="D24401" s="4">
        <f>IFERROR(__xludf.DUMMYFUNCTION("""COMPUTED_VALUE"""),12.92239)</f>
        <v>12.92239</v>
      </c>
      <c r="E24401" s="4">
        <f>IFERROR(__xludf.DUMMYFUNCTION("""COMPUTED_VALUE"""),80.14153)</f>
        <v>80.14153</v>
      </c>
      <c r="F24401" s="4">
        <f>IFERROR(__xludf.DUMMYFUNCTION("""COMPUTED_VALUE"""),3143.0)</f>
        <v>3143</v>
      </c>
      <c r="G24401" s="4">
        <f>IFERROR(__xludf.DUMMYFUNCTION("""COMPUTED_VALUE"""),24.0)</f>
        <v>24</v>
      </c>
      <c r="H24401" s="4"/>
      <c r="I24401" s="4"/>
    </row>
    <row r="24402">
      <c r="A24402" s="4" t="str">
        <f>IFERROR(__xludf.DUMMYFUNCTION("""COMPUTED_VALUE"""),"cas_hmw")</f>
        <v>cas_hmw</v>
      </c>
      <c r="B24402" s="5">
        <f>IFERROR(__xludf.DUMMYFUNCTION("""COMPUTED_VALUE"""),44803.0)</f>
        <v>44803</v>
      </c>
      <c r="C24402" s="6">
        <f>IFERROR(__xludf.DUMMYFUNCTION("""COMPUTED_VALUE"""),0.34846064814701094)</f>
        <v>0.3484606481</v>
      </c>
      <c r="D24402" s="4">
        <f>IFERROR(__xludf.DUMMYFUNCTION("""COMPUTED_VALUE"""),12.891936)</f>
        <v>12.891936</v>
      </c>
      <c r="E24402" s="4">
        <f>IFERROR(__xludf.DUMMYFUNCTION("""COMPUTED_VALUE"""),80.085544)</f>
        <v>80.085544</v>
      </c>
      <c r="F24402" s="4">
        <f>IFERROR(__xludf.DUMMYFUNCTION("""COMPUTED_VALUE"""),5339.0)</f>
        <v>5339</v>
      </c>
      <c r="G24402" s="4">
        <f>IFERROR(__xludf.DUMMYFUNCTION("""COMPUTED_VALUE"""),48.0)</f>
        <v>48</v>
      </c>
      <c r="H24402" s="4"/>
      <c r="I24402" s="4"/>
    </row>
    <row r="24403">
      <c r="A24403" s="4" t="str">
        <f>IFERROR(__xludf.DUMMYFUNCTION("""COMPUTED_VALUE"""),"cas_hmw")</f>
        <v>cas_hmw</v>
      </c>
      <c r="B24403" s="5">
        <f>IFERROR(__xludf.DUMMYFUNCTION("""COMPUTED_VALUE"""),44803.0)</f>
        <v>44803</v>
      </c>
      <c r="C24403" s="6">
        <f>IFERROR(__xludf.DUMMYFUNCTION("""COMPUTED_VALUE"""),0.34851851851999527)</f>
        <v>0.3485185185</v>
      </c>
      <c r="D24403" s="4">
        <f>IFERROR(__xludf.DUMMYFUNCTION("""COMPUTED_VALUE"""),12.891936)</f>
        <v>12.891936</v>
      </c>
      <c r="E24403" s="4">
        <f>IFERROR(__xludf.DUMMYFUNCTION("""COMPUTED_VALUE"""),80.085544)</f>
        <v>80.085544</v>
      </c>
      <c r="F24403" s="4">
        <f>IFERROR(__xludf.DUMMYFUNCTION("""COMPUTED_VALUE"""),5339.0)</f>
        <v>5339</v>
      </c>
      <c r="G24403" s="4">
        <f>IFERROR(__xludf.DUMMYFUNCTION("""COMPUTED_VALUE"""),48.0)</f>
        <v>48</v>
      </c>
      <c r="H24403" s="4"/>
      <c r="I24403" s="4"/>
    </row>
    <row r="24404">
      <c r="A24404" s="4" t="str">
        <f>IFERROR(__xludf.DUMMYFUNCTION("""COMPUTED_VALUE"""),"cas_hmw")</f>
        <v>cas_hmw</v>
      </c>
      <c r="B24404" s="5">
        <f>IFERROR(__xludf.DUMMYFUNCTION("""COMPUTED_VALUE"""),44803.0)</f>
        <v>44803</v>
      </c>
      <c r="C24404" s="6">
        <f>IFERROR(__xludf.DUMMYFUNCTION("""COMPUTED_VALUE"""),0.3489699074089003)</f>
        <v>0.3489699074</v>
      </c>
      <c r="D24404" s="4">
        <f>IFERROR(__xludf.DUMMYFUNCTION("""COMPUTED_VALUE"""),12.887047)</f>
        <v>12.887047</v>
      </c>
      <c r="E24404" s="4">
        <f>IFERROR(__xludf.DUMMYFUNCTION("""COMPUTED_VALUE"""),80.083422)</f>
        <v>80.083422</v>
      </c>
      <c r="F24404" s="4">
        <f>IFERROR(__xludf.DUMMYFUNCTION("""COMPUTED_VALUE"""),5339.0)</f>
        <v>5339</v>
      </c>
      <c r="G24404" s="4">
        <f>IFERROR(__xludf.DUMMYFUNCTION("""COMPUTED_VALUE"""),56.0)</f>
        <v>56</v>
      </c>
      <c r="H24404" s="4"/>
      <c r="I24404" s="4"/>
    </row>
    <row r="24405">
      <c r="A24405" s="4" t="str">
        <f>IFERROR(__xludf.DUMMYFUNCTION("""COMPUTED_VALUE"""),"cas_hmw")</f>
        <v>cas_hmw</v>
      </c>
      <c r="B24405" s="5">
        <f>IFERROR(__xludf.DUMMYFUNCTION("""COMPUTED_VALUE"""),44803.0)</f>
        <v>44803</v>
      </c>
      <c r="C24405" s="6">
        <f>IFERROR(__xludf.DUMMYFUNCTION("""COMPUTED_VALUE"""),0.35074074074145756)</f>
        <v>0.3507407407</v>
      </c>
      <c r="D24405" s="4">
        <f>IFERROR(__xludf.DUMMYFUNCTION("""COMPUTED_VALUE"""),12.878954)</f>
        <v>12.878954</v>
      </c>
      <c r="E24405" s="4">
        <f>IFERROR(__xludf.DUMMYFUNCTION("""COMPUTED_VALUE"""),80.0808)</f>
        <v>80.0808</v>
      </c>
      <c r="F24405" s="4">
        <f>IFERROR(__xludf.DUMMYFUNCTION("""COMPUTED_VALUE"""),5339.0)</f>
        <v>5339</v>
      </c>
      <c r="G24405" s="4">
        <f>IFERROR(__xludf.DUMMYFUNCTION("""COMPUTED_VALUE"""),21.0)</f>
        <v>21</v>
      </c>
      <c r="H24405" s="4"/>
      <c r="I24405" s="4"/>
    </row>
    <row r="24406">
      <c r="A24406" s="4" t="str">
        <f>IFERROR(__xludf.DUMMYFUNCTION("""COMPUTED_VALUE"""),"cas_hmw")</f>
        <v>cas_hmw</v>
      </c>
      <c r="B24406" s="5">
        <f>IFERROR(__xludf.DUMMYFUNCTION("""COMPUTED_VALUE"""),44803.0)</f>
        <v>44803</v>
      </c>
      <c r="C24406" s="6">
        <f>IFERROR(__xludf.DUMMYFUNCTION("""COMPUTED_VALUE"""),0.35075231481459923)</f>
        <v>0.3507523148</v>
      </c>
      <c r="D24406" s="4">
        <f>IFERROR(__xludf.DUMMYFUNCTION("""COMPUTED_VALUE"""),12.878748)</f>
        <v>12.878748</v>
      </c>
      <c r="E24406" s="4">
        <f>IFERROR(__xludf.DUMMYFUNCTION("""COMPUTED_VALUE"""),80.08142)</f>
        <v>80.08142</v>
      </c>
      <c r="F24406" s="4">
        <f>IFERROR(__xludf.DUMMYFUNCTION("""COMPUTED_VALUE"""),5339.0)</f>
        <v>5339</v>
      </c>
      <c r="G24406" s="4">
        <f>IFERROR(__xludf.DUMMYFUNCTION("""COMPUTED_VALUE"""),27.0)</f>
        <v>27</v>
      </c>
      <c r="H24406" s="4"/>
      <c r="I24406" s="4"/>
    </row>
    <row r="24407">
      <c r="A24407" s="4" t="str">
        <f>IFERROR(__xludf.DUMMYFUNCTION("""COMPUTED_VALUE"""),"cas_hmw")</f>
        <v>cas_hmw</v>
      </c>
      <c r="B24407" s="5">
        <f>IFERROR(__xludf.DUMMYFUNCTION("""COMPUTED_VALUE"""),44803.0)</f>
        <v>44803</v>
      </c>
      <c r="C24407" s="6">
        <f>IFERROR(__xludf.DUMMYFUNCTION("""COMPUTED_VALUE"""),0.35075231481459923)</f>
        <v>0.3507523148</v>
      </c>
      <c r="D24407" s="4">
        <f>IFERROR(__xludf.DUMMYFUNCTION("""COMPUTED_VALUE"""),12.878748)</f>
        <v>12.878748</v>
      </c>
      <c r="E24407" s="4">
        <f>IFERROR(__xludf.DUMMYFUNCTION("""COMPUTED_VALUE"""),80.08142)</f>
        <v>80.08142</v>
      </c>
      <c r="F24407" s="4">
        <f>IFERROR(__xludf.DUMMYFUNCTION("""COMPUTED_VALUE"""),5339.0)</f>
        <v>5339</v>
      </c>
      <c r="G24407" s="4">
        <f>IFERROR(__xludf.DUMMYFUNCTION("""COMPUTED_VALUE"""),27.0)</f>
        <v>27</v>
      </c>
      <c r="H24407" s="4"/>
      <c r="I24407" s="4"/>
    </row>
    <row r="24408">
      <c r="A24408" s="4" t="str">
        <f>IFERROR(__xludf.DUMMYFUNCTION("""COMPUTED_VALUE"""),"cas_hmw")</f>
        <v>cas_hmw</v>
      </c>
      <c r="B24408" s="5">
        <f>IFERROR(__xludf.DUMMYFUNCTION("""COMPUTED_VALUE"""),44803.0)</f>
        <v>44803</v>
      </c>
      <c r="C24408" s="6">
        <f>IFERROR(__xludf.DUMMYFUNCTION("""COMPUTED_VALUE"""),0.35077546296452056)</f>
        <v>0.350775463</v>
      </c>
      <c r="D24408" s="4">
        <f>IFERROR(__xludf.DUMMYFUNCTION("""COMPUTED_VALUE"""),12.878748)</f>
        <v>12.878748</v>
      </c>
      <c r="E24408" s="4">
        <f>IFERROR(__xludf.DUMMYFUNCTION("""COMPUTED_VALUE"""),80.08142)</f>
        <v>80.08142</v>
      </c>
      <c r="F24408" s="4">
        <f>IFERROR(__xludf.DUMMYFUNCTION("""COMPUTED_VALUE"""),5339.0)</f>
        <v>5339</v>
      </c>
      <c r="G24408" s="4">
        <f>IFERROR(__xludf.DUMMYFUNCTION("""COMPUTED_VALUE"""),27.0)</f>
        <v>27</v>
      </c>
      <c r="H24408" s="4"/>
      <c r="I24408" s="4"/>
    </row>
    <row r="24409">
      <c r="A24409" s="4" t="str">
        <f>IFERROR(__xludf.DUMMYFUNCTION("""COMPUTED_VALUE"""),"cas_hmw")</f>
        <v>cas_hmw</v>
      </c>
      <c r="B24409" s="5">
        <f>IFERROR(__xludf.DUMMYFUNCTION("""COMPUTED_VALUE"""),44803.0)</f>
        <v>44803</v>
      </c>
      <c r="C24409" s="6">
        <f>IFERROR(__xludf.DUMMYFUNCTION("""COMPUTED_VALUE"""),0.3519675925927004)</f>
        <v>0.3519675926</v>
      </c>
      <c r="D24409" s="4">
        <f>IFERROR(__xludf.DUMMYFUNCTION("""COMPUTED_VALUE"""),12.9205)</f>
        <v>12.9205</v>
      </c>
      <c r="E24409" s="4">
        <f>IFERROR(__xludf.DUMMYFUNCTION("""COMPUTED_VALUE"""),80.111708)</f>
        <v>80.111708</v>
      </c>
      <c r="F24409" s="4">
        <f>IFERROR(__xludf.DUMMYFUNCTION("""COMPUTED_VALUE"""),3143.0)</f>
        <v>3143</v>
      </c>
      <c r="G24409" s="4">
        <f>IFERROR(__xludf.DUMMYFUNCTION("""COMPUTED_VALUE"""),51.0)</f>
        <v>51</v>
      </c>
      <c r="H24409" s="4"/>
      <c r="I24409" s="4"/>
    </row>
    <row r="24410">
      <c r="A24410" s="4" t="str">
        <f>IFERROR(__xludf.DUMMYFUNCTION("""COMPUTED_VALUE"""),"cas_hmw")</f>
        <v>cas_hmw</v>
      </c>
      <c r="B24410" s="5">
        <f>IFERROR(__xludf.DUMMYFUNCTION("""COMPUTED_VALUE"""),44803.0)</f>
        <v>44803</v>
      </c>
      <c r="C24410" s="6">
        <f>IFERROR(__xludf.DUMMYFUNCTION("""COMPUTED_VALUE"""),0.35328703703635256)</f>
        <v>0.353287037</v>
      </c>
      <c r="D24410" s="4">
        <f>IFERROR(__xludf.DUMMYFUNCTION("""COMPUTED_VALUE"""),12.914286)</f>
        <v>12.914286</v>
      </c>
      <c r="E24410" s="4">
        <f>IFERROR(__xludf.DUMMYFUNCTION("""COMPUTED_VALUE"""),80.102428)</f>
        <v>80.102428</v>
      </c>
      <c r="F24410" s="4">
        <f>IFERROR(__xludf.DUMMYFUNCTION("""COMPUTED_VALUE"""),3143.0)</f>
        <v>3143</v>
      </c>
      <c r="G24410" s="4">
        <f>IFERROR(__xludf.DUMMYFUNCTION("""COMPUTED_VALUE"""),55.0)</f>
        <v>55</v>
      </c>
      <c r="H24410" s="4"/>
      <c r="I24410" s="4"/>
    </row>
    <row r="24411">
      <c r="A24411" s="4" t="str">
        <f>IFERROR(__xludf.DUMMYFUNCTION("""COMPUTED_VALUE"""),"cas_hmw")</f>
        <v>cas_hmw</v>
      </c>
      <c r="B24411" s="5">
        <f>IFERROR(__xludf.DUMMYFUNCTION("""COMPUTED_VALUE"""),44803.0)</f>
        <v>44803</v>
      </c>
      <c r="C24411" s="6">
        <f>IFERROR(__xludf.DUMMYFUNCTION("""COMPUTED_VALUE"""),0.3537847222214623)</f>
        <v>0.3537847222</v>
      </c>
      <c r="D24411" s="4">
        <f>IFERROR(__xludf.DUMMYFUNCTION("""COMPUTED_VALUE"""),12.909271)</f>
        <v>12.909271</v>
      </c>
      <c r="E24411" s="4">
        <f>IFERROR(__xludf.DUMMYFUNCTION("""COMPUTED_VALUE"""),80.099212)</f>
        <v>80.099212</v>
      </c>
      <c r="F24411" s="4">
        <f>IFERROR(__xludf.DUMMYFUNCTION("""COMPUTED_VALUE"""),3143.0)</f>
        <v>3143</v>
      </c>
      <c r="G24411" s="4">
        <f>IFERROR(__xludf.DUMMYFUNCTION("""COMPUTED_VALUE"""),45.0)</f>
        <v>45</v>
      </c>
      <c r="H24411" s="4"/>
      <c r="I24411" s="4"/>
    </row>
    <row r="24412">
      <c r="A24412" s="4" t="str">
        <f>IFERROR(__xludf.DUMMYFUNCTION("""COMPUTED_VALUE"""),"cas_hmw")</f>
        <v>cas_hmw</v>
      </c>
      <c r="B24412" s="5">
        <f>IFERROR(__xludf.DUMMYFUNCTION("""COMPUTED_VALUE"""),44803.0)</f>
        <v>44803</v>
      </c>
      <c r="C24412" s="6">
        <f>IFERROR(__xludf.DUMMYFUNCTION("""COMPUTED_VALUE"""),0.354143518517958)</f>
        <v>0.3541435185</v>
      </c>
      <c r="D24412" s="4">
        <f>IFERROR(__xludf.DUMMYFUNCTION("""COMPUTED_VALUE"""),12.907395)</f>
        <v>12.907395</v>
      </c>
      <c r="E24412" s="4">
        <f>IFERROR(__xludf.DUMMYFUNCTION("""COMPUTED_VALUE"""),80.097267)</f>
        <v>80.097267</v>
      </c>
      <c r="F24412" s="4">
        <f>IFERROR(__xludf.DUMMYFUNCTION("""COMPUTED_VALUE"""),3143.0)</f>
        <v>3143</v>
      </c>
      <c r="G24412" s="4">
        <f>IFERROR(__xludf.DUMMYFUNCTION("""COMPUTED_VALUE"""),33.0)</f>
        <v>33</v>
      </c>
      <c r="H24412" s="4"/>
      <c r="I24412" s="4"/>
    </row>
    <row r="24413">
      <c r="A24413" s="4" t="str">
        <f>IFERROR(__xludf.DUMMYFUNCTION("""COMPUTED_VALUE"""),"cas_hmw")</f>
        <v>cas_hmw</v>
      </c>
      <c r="B24413" s="5">
        <f>IFERROR(__xludf.DUMMYFUNCTION("""COMPUTED_VALUE"""),44803.0)</f>
        <v>44803</v>
      </c>
      <c r="C24413" s="6">
        <f>IFERROR(__xludf.DUMMYFUNCTION("""COMPUTED_VALUE"""),0.35576388888875954)</f>
        <v>0.3557638889</v>
      </c>
      <c r="D24413" s="4">
        <f>IFERROR(__xludf.DUMMYFUNCTION("""COMPUTED_VALUE"""),12.899474)</f>
        <v>12.899474</v>
      </c>
      <c r="E24413" s="4">
        <f>IFERROR(__xludf.DUMMYFUNCTION("""COMPUTED_VALUE"""),80.091168)</f>
        <v>80.091168</v>
      </c>
      <c r="F24413" s="4">
        <f>IFERROR(__xludf.DUMMYFUNCTION("""COMPUTED_VALUE"""),3143.0)</f>
        <v>3143</v>
      </c>
      <c r="G24413" s="4">
        <f>IFERROR(__xludf.DUMMYFUNCTION("""COMPUTED_VALUE"""),57.0)</f>
        <v>57</v>
      </c>
      <c r="H24413" s="4"/>
      <c r="I24413" s="4"/>
    </row>
    <row r="24414">
      <c r="A24414" s="4" t="str">
        <f>IFERROR(__xludf.DUMMYFUNCTION("""COMPUTED_VALUE"""),"cas_hmw")</f>
        <v>cas_hmw</v>
      </c>
      <c r="B24414" s="5">
        <f>IFERROR(__xludf.DUMMYFUNCTION("""COMPUTED_VALUE"""),44803.0)</f>
        <v>44803</v>
      </c>
      <c r="C24414" s="6">
        <f>IFERROR(__xludf.DUMMYFUNCTION("""COMPUTED_VALUE"""),0.3559259259272949)</f>
        <v>0.3559259259</v>
      </c>
      <c r="D24414" s="4">
        <f>IFERROR(__xludf.DUMMYFUNCTION("""COMPUTED_VALUE"""),12.89832)</f>
        <v>12.89832</v>
      </c>
      <c r="E24414" s="4">
        <f>IFERROR(__xludf.DUMMYFUNCTION("""COMPUTED_VALUE"""),80.090271)</f>
        <v>80.090271</v>
      </c>
      <c r="F24414" s="4">
        <f>IFERROR(__xludf.DUMMYFUNCTION("""COMPUTED_VALUE"""),3143.0)</f>
        <v>3143</v>
      </c>
      <c r="G24414" s="4">
        <f>IFERROR(__xludf.DUMMYFUNCTION("""COMPUTED_VALUE"""),55.0)</f>
        <v>55</v>
      </c>
      <c r="H24414" s="4"/>
      <c r="I24414" s="4"/>
    </row>
    <row r="24415">
      <c r="A24415" s="4" t="str">
        <f>IFERROR(__xludf.DUMMYFUNCTION("""COMPUTED_VALUE"""),"cas_hmw")</f>
        <v>cas_hmw</v>
      </c>
      <c r="B24415" s="5">
        <f>IFERROR(__xludf.DUMMYFUNCTION("""COMPUTED_VALUE"""),44803.0)</f>
        <v>44803</v>
      </c>
      <c r="C24415" s="6">
        <f>IFERROR(__xludf.DUMMYFUNCTION("""COMPUTED_VALUE"""),0.356828703705105)</f>
        <v>0.3568287037</v>
      </c>
      <c r="D24415" s="4">
        <f>IFERROR(__xludf.DUMMYFUNCTION("""COMPUTED_VALUE"""),12.891555)</f>
        <v>12.891555</v>
      </c>
      <c r="E24415" s="4">
        <f>IFERROR(__xludf.DUMMYFUNCTION("""COMPUTED_VALUE"""),80.085328)</f>
        <v>80.085328</v>
      </c>
      <c r="F24415" s="4">
        <f>IFERROR(__xludf.DUMMYFUNCTION("""COMPUTED_VALUE"""),3143.0)</f>
        <v>3143</v>
      </c>
      <c r="G24415" s="4">
        <f>IFERROR(__xludf.DUMMYFUNCTION("""COMPUTED_VALUE"""),41.0)</f>
        <v>41</v>
      </c>
      <c r="H24415" s="4"/>
      <c r="I24415" s="4"/>
    </row>
    <row r="24416">
      <c r="A24416" s="4" t="str">
        <f>IFERROR(__xludf.DUMMYFUNCTION("""COMPUTED_VALUE"""),"cas_hmw")</f>
        <v>cas_hmw</v>
      </c>
      <c r="B24416" s="5">
        <f>IFERROR(__xludf.DUMMYFUNCTION("""COMPUTED_VALUE"""),44803.0)</f>
        <v>44803</v>
      </c>
      <c r="C24416" s="6">
        <f>IFERROR(__xludf.DUMMYFUNCTION("""COMPUTED_VALUE"""),0.3568402777782467)</f>
        <v>0.3568402778</v>
      </c>
      <c r="D24416" s="4">
        <f>IFERROR(__xludf.DUMMYFUNCTION("""COMPUTED_VALUE"""),12.891555)</f>
        <v>12.891555</v>
      </c>
      <c r="E24416" s="4">
        <f>IFERROR(__xludf.DUMMYFUNCTION("""COMPUTED_VALUE"""),80.085328)</f>
        <v>80.085328</v>
      </c>
      <c r="F24416" s="4">
        <f>IFERROR(__xludf.DUMMYFUNCTION("""COMPUTED_VALUE"""),3143.0)</f>
        <v>3143</v>
      </c>
      <c r="G24416" s="4">
        <f>IFERROR(__xludf.DUMMYFUNCTION("""COMPUTED_VALUE"""),41.0)</f>
        <v>41</v>
      </c>
      <c r="H24416" s="4"/>
      <c r="I24416" s="4"/>
    </row>
    <row r="24417">
      <c r="A24417" s="4" t="str">
        <f>IFERROR(__xludf.DUMMYFUNCTION("""COMPUTED_VALUE"""),"cas_hmw")</f>
        <v>cas_hmw</v>
      </c>
      <c r="B24417" s="5">
        <f>IFERROR(__xludf.DUMMYFUNCTION("""COMPUTED_VALUE"""),44803.0)</f>
        <v>44803</v>
      </c>
      <c r="C24417" s="6">
        <f>IFERROR(__xludf.DUMMYFUNCTION("""COMPUTED_VALUE"""),0.35688657407445135)</f>
        <v>0.3568865741</v>
      </c>
      <c r="D24417" s="4">
        <f>IFERROR(__xludf.DUMMYFUNCTION("""COMPUTED_VALUE"""),12.891555)</f>
        <v>12.891555</v>
      </c>
      <c r="E24417" s="4">
        <f>IFERROR(__xludf.DUMMYFUNCTION("""COMPUTED_VALUE"""),80.085328)</f>
        <v>80.085328</v>
      </c>
      <c r="F24417" s="4">
        <f>IFERROR(__xludf.DUMMYFUNCTION("""COMPUTED_VALUE"""),3143.0)</f>
        <v>3143</v>
      </c>
      <c r="G24417" s="4">
        <f>IFERROR(__xludf.DUMMYFUNCTION("""COMPUTED_VALUE"""),41.0)</f>
        <v>41</v>
      </c>
      <c r="H24417" s="4"/>
      <c r="I24417" s="4"/>
    </row>
    <row r="24418">
      <c r="A24418" s="4" t="str">
        <f>IFERROR(__xludf.DUMMYFUNCTION("""COMPUTED_VALUE"""),"cas_hmw")</f>
        <v>cas_hmw</v>
      </c>
      <c r="B24418" s="5">
        <f>IFERROR(__xludf.DUMMYFUNCTION("""COMPUTED_VALUE"""),44803.0)</f>
        <v>44803</v>
      </c>
      <c r="C24418" s="6">
        <f>IFERROR(__xludf.DUMMYFUNCTION("""COMPUTED_VALUE"""),0.3572685185172304)</f>
        <v>0.3572685185</v>
      </c>
      <c r="D24418" s="4">
        <f>IFERROR(__xludf.DUMMYFUNCTION("""COMPUTED_VALUE"""),12.887264)</f>
        <v>12.887264</v>
      </c>
      <c r="E24418" s="4">
        <f>IFERROR(__xludf.DUMMYFUNCTION("""COMPUTED_VALUE"""),80.083526)</f>
        <v>80.083526</v>
      </c>
      <c r="F24418" s="4">
        <f>IFERROR(__xludf.DUMMYFUNCTION("""COMPUTED_VALUE"""),3143.0)</f>
        <v>3143</v>
      </c>
      <c r="G24418" s="4">
        <f>IFERROR(__xludf.DUMMYFUNCTION("""COMPUTED_VALUE"""),48.0)</f>
        <v>48</v>
      </c>
      <c r="H24418" s="4"/>
      <c r="I24418" s="4"/>
    </row>
    <row r="24419">
      <c r="A24419" s="4" t="str">
        <f>IFERROR(__xludf.DUMMYFUNCTION("""COMPUTED_VALUE"""),"cas_hmw")</f>
        <v>cas_hmw</v>
      </c>
      <c r="B24419" s="5">
        <f>IFERROR(__xludf.DUMMYFUNCTION("""COMPUTED_VALUE"""),44803.0)</f>
        <v>44803</v>
      </c>
      <c r="C24419" s="6">
        <f>IFERROR(__xludf.DUMMYFUNCTION("""COMPUTED_VALUE"""),0.3573148148134351)</f>
        <v>0.3573148148</v>
      </c>
      <c r="D24419" s="4">
        <f>IFERROR(__xludf.DUMMYFUNCTION("""COMPUTED_VALUE"""),12.887264)</f>
        <v>12.887264</v>
      </c>
      <c r="E24419" s="4">
        <f>IFERROR(__xludf.DUMMYFUNCTION("""COMPUTED_VALUE"""),80.083526)</f>
        <v>80.083526</v>
      </c>
      <c r="F24419" s="4">
        <f>IFERROR(__xludf.DUMMYFUNCTION("""COMPUTED_VALUE"""),3143.0)</f>
        <v>3143</v>
      </c>
      <c r="G24419" s="4">
        <f>IFERROR(__xludf.DUMMYFUNCTION("""COMPUTED_VALUE"""),48.0)</f>
        <v>48</v>
      </c>
      <c r="H24419" s="4"/>
      <c r="I24419" s="4"/>
    </row>
    <row r="24420">
      <c r="A24420" s="4" t="str">
        <f>IFERROR(__xludf.DUMMYFUNCTION("""COMPUTED_VALUE"""),"cas_hmw")</f>
        <v>cas_hmw</v>
      </c>
      <c r="B24420" s="5">
        <f>IFERROR(__xludf.DUMMYFUNCTION("""COMPUTED_VALUE"""),44803.0)</f>
        <v>44803</v>
      </c>
      <c r="C24420" s="6">
        <f>IFERROR(__xludf.DUMMYFUNCTION("""COMPUTED_VALUE"""),0.35739583333270275)</f>
        <v>0.3573958333</v>
      </c>
      <c r="D24420" s="4">
        <f>IFERROR(__xludf.DUMMYFUNCTION("""COMPUTED_VALUE"""),12.886142)</f>
        <v>12.886142</v>
      </c>
      <c r="E24420" s="4">
        <f>IFERROR(__xludf.DUMMYFUNCTION("""COMPUTED_VALUE"""),80.083052)</f>
        <v>80.083052</v>
      </c>
      <c r="F24420" s="4">
        <f>IFERROR(__xludf.DUMMYFUNCTION("""COMPUTED_VALUE"""),3143.0)</f>
        <v>3143</v>
      </c>
      <c r="G24420" s="4">
        <f>IFERROR(__xludf.DUMMYFUNCTION("""COMPUTED_VALUE"""),45.0)</f>
        <v>45</v>
      </c>
      <c r="H24420" s="4"/>
      <c r="I24420" s="4"/>
    </row>
    <row r="24421">
      <c r="A24421" s="4" t="str">
        <f>IFERROR(__xludf.DUMMYFUNCTION("""COMPUTED_VALUE"""),"cas_hmw")</f>
        <v>cas_hmw</v>
      </c>
      <c r="B24421" s="5">
        <f>IFERROR(__xludf.DUMMYFUNCTION("""COMPUTED_VALUE"""),44803.0)</f>
        <v>44803</v>
      </c>
      <c r="C24421" s="6">
        <f>IFERROR(__xludf.DUMMYFUNCTION("""COMPUTED_VALUE"""),0.7306481481464289)</f>
        <v>0.7306481481</v>
      </c>
      <c r="D24421" s="4">
        <f>IFERROR(__xludf.DUMMYFUNCTION("""COMPUTED_VALUE"""),12.883352)</f>
        <v>12.883352</v>
      </c>
      <c r="E24421" s="4">
        <f>IFERROR(__xludf.DUMMYFUNCTION("""COMPUTED_VALUE"""),80.081437)</f>
        <v>80.081437</v>
      </c>
      <c r="F24421" s="4">
        <f>IFERROR(__xludf.DUMMYFUNCTION("""COMPUTED_VALUE"""),3143.0)</f>
        <v>3143</v>
      </c>
      <c r="G24421" s="4">
        <f>IFERROR(__xludf.DUMMYFUNCTION("""COMPUTED_VALUE"""),35.0)</f>
        <v>35</v>
      </c>
      <c r="H24421" s="4"/>
      <c r="I24421" s="4"/>
    </row>
    <row r="24422">
      <c r="A24422" s="4" t="str">
        <f>IFERROR(__xludf.DUMMYFUNCTION("""COMPUTED_VALUE"""),"cas_hmw")</f>
        <v>cas_hmw</v>
      </c>
      <c r="B24422" s="5">
        <f>IFERROR(__xludf.DUMMYFUNCTION("""COMPUTED_VALUE"""),44803.0)</f>
        <v>44803</v>
      </c>
      <c r="C24422" s="6">
        <f>IFERROR(__xludf.DUMMYFUNCTION("""COMPUTED_VALUE"""),0.7317708333321207)</f>
        <v>0.7317708333</v>
      </c>
      <c r="D24422" s="4">
        <f>IFERROR(__xludf.DUMMYFUNCTION("""COMPUTED_VALUE"""),12.894013)</f>
        <v>12.894013</v>
      </c>
      <c r="E24422" s="4">
        <f>IFERROR(__xludf.DUMMYFUNCTION("""COMPUTED_VALUE"""),80.086861)</f>
        <v>80.086861</v>
      </c>
      <c r="F24422" s="4">
        <f>IFERROR(__xludf.DUMMYFUNCTION("""COMPUTED_VALUE"""),3143.0)</f>
        <v>3143</v>
      </c>
      <c r="G24422" s="4">
        <f>IFERROR(__xludf.DUMMYFUNCTION("""COMPUTED_VALUE"""),46.0)</f>
        <v>46</v>
      </c>
      <c r="H24422" s="4"/>
      <c r="I24422" s="4"/>
    </row>
    <row r="24423">
      <c r="A24423" s="4" t="str">
        <f>IFERROR(__xludf.DUMMYFUNCTION("""COMPUTED_VALUE"""),"cas_hmw")</f>
        <v>cas_hmw</v>
      </c>
      <c r="B24423" s="5">
        <f>IFERROR(__xludf.DUMMYFUNCTION("""COMPUTED_VALUE"""),44803.0)</f>
        <v>44803</v>
      </c>
      <c r="C24423" s="6">
        <f>IFERROR(__xludf.DUMMYFUNCTION("""COMPUTED_VALUE"""),0.73186342592453)</f>
        <v>0.7318634259</v>
      </c>
      <c r="D24423" s="4">
        <f>IFERROR(__xludf.DUMMYFUNCTION("""COMPUTED_VALUE"""),12.895049)</f>
        <v>12.895049</v>
      </c>
      <c r="E24423" s="4">
        <f>IFERROR(__xludf.DUMMYFUNCTION("""COMPUTED_VALUE"""),80.087643)</f>
        <v>80.087643</v>
      </c>
      <c r="F24423" s="4">
        <f>IFERROR(__xludf.DUMMYFUNCTION("""COMPUTED_VALUE"""),3143.0)</f>
        <v>3143</v>
      </c>
      <c r="G24423" s="4">
        <f>IFERROR(__xludf.DUMMYFUNCTION("""COMPUTED_VALUE"""),55.0)</f>
        <v>55</v>
      </c>
      <c r="H24423" s="4"/>
      <c r="I24423" s="4"/>
    </row>
    <row r="24424">
      <c r="A24424" s="4" t="str">
        <f>IFERROR(__xludf.DUMMYFUNCTION("""COMPUTED_VALUE"""),"cas_hmw")</f>
        <v>cas_hmw</v>
      </c>
      <c r="B24424" s="5">
        <f>IFERROR(__xludf.DUMMYFUNCTION("""COMPUTED_VALUE"""),44803.0)</f>
        <v>44803</v>
      </c>
      <c r="C24424" s="6">
        <f>IFERROR(__xludf.DUMMYFUNCTION("""COMPUTED_VALUE"""),0.7320601851861284)</f>
        <v>0.7320601852</v>
      </c>
      <c r="D24424" s="4">
        <f>IFERROR(__xludf.DUMMYFUNCTION("""COMPUTED_VALUE"""),12.896027)</f>
        <v>12.896027</v>
      </c>
      <c r="E24424" s="4">
        <f>IFERROR(__xludf.DUMMYFUNCTION("""COMPUTED_VALUE"""),80.088376)</f>
        <v>80.088376</v>
      </c>
      <c r="F24424" s="4">
        <f>IFERROR(__xludf.DUMMYFUNCTION("""COMPUTED_VALUE"""),3143.0)</f>
        <v>3143</v>
      </c>
      <c r="G24424" s="4">
        <f>IFERROR(__xludf.DUMMYFUNCTION("""COMPUTED_VALUE"""),43.0)</f>
        <v>43</v>
      </c>
      <c r="H24424" s="4"/>
      <c r="I24424" s="4"/>
    </row>
    <row r="24425">
      <c r="A24425" s="4" t="str">
        <f>IFERROR(__xludf.DUMMYFUNCTION("""COMPUTED_VALUE"""),"cas_hmw")</f>
        <v>cas_hmw</v>
      </c>
      <c r="B24425" s="5">
        <f>IFERROR(__xludf.DUMMYFUNCTION("""COMPUTED_VALUE"""),44803.0)</f>
        <v>44803</v>
      </c>
      <c r="C24425" s="6">
        <f>IFERROR(__xludf.DUMMYFUNCTION("""COMPUTED_VALUE"""),0.7329166666677338)</f>
        <v>0.7329166667</v>
      </c>
      <c r="D24425" s="4">
        <f>IFERROR(__xludf.DUMMYFUNCTION("""COMPUTED_VALUE"""),12.904468)</f>
        <v>12.904468</v>
      </c>
      <c r="E24425" s="4">
        <f>IFERROR(__xludf.DUMMYFUNCTION("""COMPUTED_VALUE"""),80.0947)</f>
        <v>80.0947</v>
      </c>
      <c r="F24425" s="4">
        <f>IFERROR(__xludf.DUMMYFUNCTION("""COMPUTED_VALUE"""),3143.0)</f>
        <v>3143</v>
      </c>
      <c r="G24425" s="4">
        <f>IFERROR(__xludf.DUMMYFUNCTION("""COMPUTED_VALUE"""),40.0)</f>
        <v>40</v>
      </c>
      <c r="H24425" s="4"/>
      <c r="I24425" s="4"/>
    </row>
    <row r="24426">
      <c r="A24426" s="4" t="str">
        <f>IFERROR(__xludf.DUMMYFUNCTION("""COMPUTED_VALUE"""),"cas_hmw")</f>
        <v>cas_hmw</v>
      </c>
      <c r="B24426" s="5">
        <f>IFERROR(__xludf.DUMMYFUNCTION("""COMPUTED_VALUE"""),44803.0)</f>
        <v>44803</v>
      </c>
      <c r="C24426" s="6">
        <f>IFERROR(__xludf.DUMMYFUNCTION("""COMPUTED_VALUE"""),0.7359027777783922)</f>
        <v>0.7359027778</v>
      </c>
      <c r="D24426" s="4">
        <f>IFERROR(__xludf.DUMMYFUNCTION("""COMPUTED_VALUE"""),12.909473)</f>
        <v>12.909473</v>
      </c>
      <c r="E24426" s="4">
        <f>IFERROR(__xludf.DUMMYFUNCTION("""COMPUTED_VALUE"""),80.09904)</f>
        <v>80.09904</v>
      </c>
      <c r="F24426" s="4">
        <f>IFERROR(__xludf.DUMMYFUNCTION("""COMPUTED_VALUE"""),3143.0)</f>
        <v>3143</v>
      </c>
      <c r="G24426" s="4">
        <f>IFERROR(__xludf.DUMMYFUNCTION("""COMPUTED_VALUE"""),23.0)</f>
        <v>23</v>
      </c>
      <c r="H24426" s="4"/>
      <c r="I24426" s="4"/>
    </row>
    <row r="24427">
      <c r="A24427" s="4" t="str">
        <f>IFERROR(__xludf.DUMMYFUNCTION("""COMPUTED_VALUE"""),"cas_hmw")</f>
        <v>cas_hmw</v>
      </c>
      <c r="B24427" s="5">
        <f>IFERROR(__xludf.DUMMYFUNCTION("""COMPUTED_VALUE"""),44803.0)</f>
        <v>44803</v>
      </c>
      <c r="C24427" s="6">
        <f>IFERROR(__xludf.DUMMYFUNCTION("""COMPUTED_VALUE"""),0.7367013888906513)</f>
        <v>0.7367013889</v>
      </c>
      <c r="D24427" s="4">
        <f>IFERROR(__xludf.DUMMYFUNCTION("""COMPUTED_VALUE"""),12.911604)</f>
        <v>12.911604</v>
      </c>
      <c r="E24427" s="4">
        <f>IFERROR(__xludf.DUMMYFUNCTION("""COMPUTED_VALUE"""),80.101288)</f>
        <v>80.101288</v>
      </c>
      <c r="F24427" s="4">
        <f>IFERROR(__xludf.DUMMYFUNCTION("""COMPUTED_VALUE"""),3143.0)</f>
        <v>3143</v>
      </c>
      <c r="G24427" s="4">
        <f>IFERROR(__xludf.DUMMYFUNCTION("""COMPUTED_VALUE"""),17.0)</f>
        <v>17</v>
      </c>
      <c r="H24427" s="4"/>
      <c r="I24427" s="4"/>
    </row>
    <row r="24428">
      <c r="A24428" s="4" t="str">
        <f>IFERROR(__xludf.DUMMYFUNCTION("""COMPUTED_VALUE"""),"cas_hmw")</f>
        <v>cas_hmw</v>
      </c>
      <c r="B24428" s="5">
        <f>IFERROR(__xludf.DUMMYFUNCTION("""COMPUTED_VALUE"""),44803.0)</f>
        <v>44803</v>
      </c>
      <c r="C24428" s="6">
        <f>IFERROR(__xludf.DUMMYFUNCTION("""COMPUTED_VALUE"""),0.736851851852407)</f>
        <v>0.7368518519</v>
      </c>
      <c r="D24428" s="4">
        <f>IFERROR(__xludf.DUMMYFUNCTION("""COMPUTED_VALUE"""),12.913401)</f>
        <v>12.913401</v>
      </c>
      <c r="E24428" s="4">
        <f>IFERROR(__xludf.DUMMYFUNCTION("""COMPUTED_VALUE"""),80.101542)</f>
        <v>80.101542</v>
      </c>
      <c r="F24428" s="4">
        <f>IFERROR(__xludf.DUMMYFUNCTION("""COMPUTED_VALUE"""),3143.0)</f>
        <v>3143</v>
      </c>
      <c r="G24428" s="4">
        <f>IFERROR(__xludf.DUMMYFUNCTION("""COMPUTED_VALUE"""),48.0)</f>
        <v>48</v>
      </c>
      <c r="H24428" s="4"/>
      <c r="I24428" s="4"/>
    </row>
    <row r="24429">
      <c r="A24429" s="4" t="str">
        <f>IFERROR(__xludf.DUMMYFUNCTION("""COMPUTED_VALUE"""),"cas_hmw")</f>
        <v>cas_hmw</v>
      </c>
      <c r="B24429" s="5">
        <f>IFERROR(__xludf.DUMMYFUNCTION("""COMPUTED_VALUE"""),44803.0)</f>
        <v>44803</v>
      </c>
      <c r="C24429" s="6">
        <f>IFERROR(__xludf.DUMMYFUNCTION("""COMPUTED_VALUE"""),0.7374189814800047)</f>
        <v>0.7374189815</v>
      </c>
      <c r="D24429" s="4">
        <f>IFERROR(__xludf.DUMMYFUNCTION("""COMPUTED_VALUE"""),12.916708)</f>
        <v>12.916708</v>
      </c>
      <c r="E24429" s="4">
        <f>IFERROR(__xludf.DUMMYFUNCTION("""COMPUTED_VALUE"""),80.106449)</f>
        <v>80.106449</v>
      </c>
      <c r="F24429" s="4">
        <f>IFERROR(__xludf.DUMMYFUNCTION("""COMPUTED_VALUE"""),3143.0)</f>
        <v>3143</v>
      </c>
      <c r="G24429" s="4">
        <f>IFERROR(__xludf.DUMMYFUNCTION("""COMPUTED_VALUE"""),33.0)</f>
        <v>33</v>
      </c>
      <c r="H24429" s="4"/>
      <c r="I24429" s="4"/>
    </row>
    <row r="24430">
      <c r="A24430" s="4" t="str">
        <f>IFERROR(__xludf.DUMMYFUNCTION("""COMPUTED_VALUE"""),"cas_hmw")</f>
        <v>cas_hmw</v>
      </c>
      <c r="B24430" s="5">
        <f>IFERROR(__xludf.DUMMYFUNCTION("""COMPUTED_VALUE"""),44803.0)</f>
        <v>44803</v>
      </c>
      <c r="C24430" s="6">
        <f>IFERROR(__xludf.DUMMYFUNCTION("""COMPUTED_VALUE"""),0.7382175925922638)</f>
        <v>0.7382175926</v>
      </c>
      <c r="D24430" s="4">
        <f>IFERROR(__xludf.DUMMYFUNCTION("""COMPUTED_VALUE"""),12.919224)</f>
        <v>12.919224</v>
      </c>
      <c r="E24430" s="4">
        <f>IFERROR(__xludf.DUMMYFUNCTION("""COMPUTED_VALUE"""),80.109973)</f>
        <v>80.109973</v>
      </c>
      <c r="F24430" s="4">
        <f>IFERROR(__xludf.DUMMYFUNCTION("""COMPUTED_VALUE"""),3143.0)</f>
        <v>3143</v>
      </c>
      <c r="G24430" s="4">
        <f>IFERROR(__xludf.DUMMYFUNCTION("""COMPUTED_VALUE"""),45.0)</f>
        <v>45</v>
      </c>
      <c r="H24430" s="4"/>
      <c r="I24430" s="4"/>
    </row>
    <row r="24431">
      <c r="A24431" s="4" t="str">
        <f>IFERROR(__xludf.DUMMYFUNCTION("""COMPUTED_VALUE"""),"cas_hmw")</f>
        <v>cas_hmw</v>
      </c>
      <c r="B24431" s="5">
        <f>IFERROR(__xludf.DUMMYFUNCTION("""COMPUTED_VALUE"""),44803.0)</f>
        <v>44803</v>
      </c>
      <c r="C24431" s="6">
        <f>IFERROR(__xludf.DUMMYFUNCTION("""COMPUTED_VALUE"""),0.739710648147593)</f>
        <v>0.7397106481</v>
      </c>
      <c r="D24431" s="4">
        <f>IFERROR(__xludf.DUMMYFUNCTION("""COMPUTED_VALUE"""),12.923836)</f>
        <v>12.923836</v>
      </c>
      <c r="E24431" s="4">
        <f>IFERROR(__xludf.DUMMYFUNCTION("""COMPUTED_VALUE"""),80.116928)</f>
        <v>80.116928</v>
      </c>
      <c r="F24431" s="4">
        <f>IFERROR(__xludf.DUMMYFUNCTION("""COMPUTED_VALUE"""),3143.0)</f>
        <v>3143</v>
      </c>
      <c r="G24431" s="4">
        <f>IFERROR(__xludf.DUMMYFUNCTION("""COMPUTED_VALUE"""),36.0)</f>
        <v>36</v>
      </c>
      <c r="H24431" s="4"/>
      <c r="I24431" s="4"/>
    </row>
    <row r="24432">
      <c r="A24432" s="4" t="str">
        <f>IFERROR(__xludf.DUMMYFUNCTION("""COMPUTED_VALUE"""),"cas_hmw")</f>
        <v>cas_hmw</v>
      </c>
      <c r="B24432" s="5">
        <f>IFERROR(__xludf.DUMMYFUNCTION("""COMPUTED_VALUE"""),44803.0)</f>
        <v>44803</v>
      </c>
      <c r="C24432" s="6">
        <f>IFERROR(__xludf.DUMMYFUNCTION("""COMPUTED_VALUE"""),0.7406249999985448)</f>
        <v>0.740625</v>
      </c>
      <c r="D24432" s="4">
        <f>IFERROR(__xludf.DUMMYFUNCTION("""COMPUTED_VALUE"""),12.92324)</f>
        <v>12.92324</v>
      </c>
      <c r="E24432" s="4">
        <f>IFERROR(__xludf.DUMMYFUNCTION("""COMPUTED_VALUE"""),80.12153)</f>
        <v>80.12153</v>
      </c>
      <c r="F24432" s="4">
        <f>IFERROR(__xludf.DUMMYFUNCTION("""COMPUTED_VALUE"""),3143.0)</f>
        <v>3143</v>
      </c>
      <c r="G24432" s="4">
        <f>IFERROR(__xludf.DUMMYFUNCTION("""COMPUTED_VALUE"""),42.0)</f>
        <v>42</v>
      </c>
      <c r="H24432" s="4"/>
      <c r="I24432" s="4"/>
    </row>
    <row r="24433">
      <c r="A24433" s="4" t="str">
        <f>IFERROR(__xludf.DUMMYFUNCTION("""COMPUTED_VALUE"""),"cas_hmw")</f>
        <v>cas_hmw</v>
      </c>
      <c r="B24433" s="5">
        <f>IFERROR(__xludf.DUMMYFUNCTION("""COMPUTED_VALUE"""),44803.0)</f>
        <v>44803</v>
      </c>
      <c r="C24433" s="6">
        <f>IFERROR(__xludf.DUMMYFUNCTION("""COMPUTED_VALUE"""),0.7407870370370802)</f>
        <v>0.740787037</v>
      </c>
      <c r="D24433" s="4">
        <f>IFERROR(__xludf.DUMMYFUNCTION("""COMPUTED_VALUE"""),12.923134)</f>
        <v>12.923134</v>
      </c>
      <c r="E24433" s="4">
        <f>IFERROR(__xludf.DUMMYFUNCTION("""COMPUTED_VALUE"""),80.123937)</f>
        <v>80.123937</v>
      </c>
      <c r="F24433" s="4">
        <f>IFERROR(__xludf.DUMMYFUNCTION("""COMPUTED_VALUE"""),3143.0)</f>
        <v>3143</v>
      </c>
      <c r="G24433" s="4">
        <f>IFERROR(__xludf.DUMMYFUNCTION("""COMPUTED_VALUE"""),50.0)</f>
        <v>50</v>
      </c>
      <c r="H24433" s="4"/>
      <c r="I24433" s="4"/>
    </row>
    <row r="24434">
      <c r="A24434" s="4" t="str">
        <f>IFERROR(__xludf.DUMMYFUNCTION("""COMPUTED_VALUE"""),"cas_hmw")</f>
        <v>cas_hmw</v>
      </c>
      <c r="B24434" s="5">
        <f>IFERROR(__xludf.DUMMYFUNCTION("""COMPUTED_VALUE"""),44803.0)</f>
        <v>44803</v>
      </c>
      <c r="C24434" s="6">
        <f>IFERROR(__xludf.DUMMYFUNCTION("""COMPUTED_VALUE"""),0.7425694444427791)</f>
        <v>0.7425694444</v>
      </c>
      <c r="D24434" s="4">
        <f>IFERROR(__xludf.DUMMYFUNCTION("""COMPUTED_VALUE"""),12.9228)</f>
        <v>12.9228</v>
      </c>
      <c r="E24434" s="4">
        <f>IFERROR(__xludf.DUMMYFUNCTION("""COMPUTED_VALUE"""),80.131543)</f>
        <v>80.131543</v>
      </c>
      <c r="F24434" s="4">
        <f>IFERROR(__xludf.DUMMYFUNCTION("""COMPUTED_VALUE"""),3143.0)</f>
        <v>3143</v>
      </c>
      <c r="G24434" s="4">
        <f>IFERROR(__xludf.DUMMYFUNCTION("""COMPUTED_VALUE"""),27.0)</f>
        <v>27</v>
      </c>
      <c r="H24434" s="4"/>
      <c r="I24434" s="4"/>
    </row>
    <row r="24435">
      <c r="A24435" s="4" t="str">
        <f>IFERROR(__xludf.DUMMYFUNCTION("""COMPUTED_VALUE"""),"cas_hmw")</f>
        <v>cas_hmw</v>
      </c>
      <c r="B24435" s="5">
        <f>IFERROR(__xludf.DUMMYFUNCTION("""COMPUTED_VALUE"""),44803.0)</f>
        <v>44803</v>
      </c>
      <c r="C24435" s="6">
        <f>IFERROR(__xludf.DUMMYFUNCTION("""COMPUTED_VALUE"""),0.7428125000005821)</f>
        <v>0.7428125</v>
      </c>
      <c r="D24435" s="4">
        <f>IFERROR(__xludf.DUMMYFUNCTION("""COMPUTED_VALUE"""),12.922734)</f>
        <v>12.922734</v>
      </c>
      <c r="E24435" s="4">
        <f>IFERROR(__xludf.DUMMYFUNCTION("""COMPUTED_VALUE"""),80.133029)</f>
        <v>80.133029</v>
      </c>
      <c r="F24435" s="4">
        <f>IFERROR(__xludf.DUMMYFUNCTION("""COMPUTED_VALUE"""),3143.0)</f>
        <v>3143</v>
      </c>
      <c r="G24435" s="4">
        <f>IFERROR(__xludf.DUMMYFUNCTION("""COMPUTED_VALUE"""),33.0)</f>
        <v>33</v>
      </c>
      <c r="H24435" s="4"/>
      <c r="I24435" s="4"/>
    </row>
    <row r="24436">
      <c r="A24436" s="4" t="str">
        <f>IFERROR(__xludf.DUMMYFUNCTION("""COMPUTED_VALUE"""),"cas_hmw")</f>
        <v>cas_hmw</v>
      </c>
      <c r="B24436" s="5">
        <f>IFERROR(__xludf.DUMMYFUNCTION("""COMPUTED_VALUE"""),44803.0)</f>
        <v>44803</v>
      </c>
      <c r="C24436" s="6">
        <f>IFERROR(__xludf.DUMMYFUNCTION("""COMPUTED_VALUE"""),0.7435185185167938)</f>
        <v>0.7435185185</v>
      </c>
      <c r="D24436" s="4">
        <f>IFERROR(__xludf.DUMMYFUNCTION("""COMPUTED_VALUE"""),12.922486)</f>
        <v>12.922486</v>
      </c>
      <c r="E24436" s="4">
        <f>IFERROR(__xludf.DUMMYFUNCTION("""COMPUTED_VALUE"""),80.137986)</f>
        <v>80.137986</v>
      </c>
      <c r="F24436" s="4">
        <f>IFERROR(__xludf.DUMMYFUNCTION("""COMPUTED_VALUE"""),3143.0)</f>
        <v>3143</v>
      </c>
      <c r="G24436" s="4">
        <f>IFERROR(__xludf.DUMMYFUNCTION("""COMPUTED_VALUE"""),23.0)</f>
        <v>23</v>
      </c>
      <c r="H24436" s="4"/>
      <c r="I24436" s="4"/>
    </row>
    <row r="24437">
      <c r="A24437" s="4" t="str">
        <f>IFERROR(__xludf.DUMMYFUNCTION("""COMPUTED_VALUE"""),"cas_hmw")</f>
        <v>cas_hmw</v>
      </c>
      <c r="B24437" s="5">
        <f>IFERROR(__xludf.DUMMYFUNCTION("""COMPUTED_VALUE"""),44803.0)</f>
        <v>44803</v>
      </c>
      <c r="C24437" s="6">
        <f>IFERROR(__xludf.DUMMYFUNCTION("""COMPUTED_VALUE"""),0.7452662037030677)</f>
        <v>0.7452662037</v>
      </c>
      <c r="D24437" s="4">
        <f>IFERROR(__xludf.DUMMYFUNCTION("""COMPUTED_VALUE"""),12.92267)</f>
        <v>12.92267</v>
      </c>
      <c r="E24437" s="4">
        <f>IFERROR(__xludf.DUMMYFUNCTION("""COMPUTED_VALUE"""),80.148837)</f>
        <v>80.148837</v>
      </c>
      <c r="F24437" s="4">
        <f>IFERROR(__xludf.DUMMYFUNCTION("""COMPUTED_VALUE"""),3143.0)</f>
        <v>3143</v>
      </c>
      <c r="G24437" s="4">
        <f>IFERROR(__xludf.DUMMYFUNCTION("""COMPUTED_VALUE"""),38.0)</f>
        <v>38</v>
      </c>
      <c r="H24437" s="4"/>
      <c r="I24437" s="4"/>
    </row>
    <row r="24438">
      <c r="A24438" s="4" t="str">
        <f>IFERROR(__xludf.DUMMYFUNCTION("""COMPUTED_VALUE"""),"cas_hmw")</f>
        <v>cas_hmw</v>
      </c>
      <c r="B24438" s="5">
        <f>IFERROR(__xludf.DUMMYFUNCTION("""COMPUTED_VALUE"""),44803.0)</f>
        <v>44803</v>
      </c>
      <c r="C24438" s="6">
        <f>IFERROR(__xludf.DUMMYFUNCTION("""COMPUTED_VALUE"""),0.7476041666668607)</f>
        <v>0.7476041667</v>
      </c>
      <c r="D24438" s="4">
        <f>IFERROR(__xludf.DUMMYFUNCTION("""COMPUTED_VALUE"""),12.921846)</f>
        <v>12.921846</v>
      </c>
      <c r="E24438" s="4">
        <f>IFERROR(__xludf.DUMMYFUNCTION("""COMPUTED_VALUE"""),80.164888)</f>
        <v>80.164888</v>
      </c>
      <c r="F24438" s="4">
        <f>IFERROR(__xludf.DUMMYFUNCTION("""COMPUTED_VALUE"""),3143.0)</f>
        <v>3143</v>
      </c>
      <c r="G24438" s="4">
        <f>IFERROR(__xludf.DUMMYFUNCTION("""COMPUTED_VALUE"""),37.0)</f>
        <v>37</v>
      </c>
      <c r="H24438" s="4"/>
      <c r="I24438" s="4"/>
    </row>
    <row r="24439">
      <c r="A24439" s="4" t="str">
        <f>IFERROR(__xludf.DUMMYFUNCTION("""COMPUTED_VALUE"""),"cas_hmw")</f>
        <v>cas_hmw</v>
      </c>
      <c r="B24439" s="5">
        <f>IFERROR(__xludf.DUMMYFUNCTION("""COMPUTED_VALUE"""),44803.0)</f>
        <v>44803</v>
      </c>
      <c r="C24439" s="6">
        <f>IFERROR(__xludf.DUMMYFUNCTION("""COMPUTED_VALUE"""),0.7478587962978054)</f>
        <v>0.7478587963</v>
      </c>
      <c r="D24439" s="4">
        <f>IFERROR(__xludf.DUMMYFUNCTION("""COMPUTED_VALUE"""),12.921173)</f>
        <v>12.921173</v>
      </c>
      <c r="E24439" s="4">
        <f>IFERROR(__xludf.DUMMYFUNCTION("""COMPUTED_VALUE"""),80.166937)</f>
        <v>80.166937</v>
      </c>
      <c r="F24439" s="4">
        <f>IFERROR(__xludf.DUMMYFUNCTION("""COMPUTED_VALUE"""),3143.0)</f>
        <v>3143</v>
      </c>
      <c r="G24439" s="4">
        <f>IFERROR(__xludf.DUMMYFUNCTION("""COMPUTED_VALUE"""),43.0)</f>
        <v>43</v>
      </c>
      <c r="H24439" s="4"/>
      <c r="I24439" s="4"/>
    </row>
    <row r="24440">
      <c r="A24440" s="4" t="str">
        <f>IFERROR(__xludf.DUMMYFUNCTION("""COMPUTED_VALUE"""),"cas_hmw")</f>
        <v>cas_hmw</v>
      </c>
      <c r="B24440" s="5">
        <f>IFERROR(__xludf.DUMMYFUNCTION("""COMPUTED_VALUE"""),44803.0)</f>
        <v>44803</v>
      </c>
      <c r="C24440" s="6">
        <f>IFERROR(__xludf.DUMMYFUNCTION("""COMPUTED_VALUE"""),0.7478935185172304)</f>
        <v>0.7478935185</v>
      </c>
      <c r="D24440" s="4">
        <f>IFERROR(__xludf.DUMMYFUNCTION("""COMPUTED_VALUE"""),12.921173)</f>
        <v>12.921173</v>
      </c>
      <c r="E24440" s="4">
        <f>IFERROR(__xludf.DUMMYFUNCTION("""COMPUTED_VALUE"""),80.166937)</f>
        <v>80.166937</v>
      </c>
      <c r="F24440" s="4">
        <f>IFERROR(__xludf.DUMMYFUNCTION("""COMPUTED_VALUE"""),3143.0)</f>
        <v>3143</v>
      </c>
      <c r="G24440" s="4">
        <f>IFERROR(__xludf.DUMMYFUNCTION("""COMPUTED_VALUE"""),43.0)</f>
        <v>43</v>
      </c>
      <c r="H24440" s="4"/>
      <c r="I24440" s="4"/>
    </row>
    <row r="24441">
      <c r="A24441" s="4" t="str">
        <f>IFERROR(__xludf.DUMMYFUNCTION("""COMPUTED_VALUE"""),"cas_hmw")</f>
        <v>cas_hmw</v>
      </c>
      <c r="B24441" s="5">
        <f>IFERROR(__xludf.DUMMYFUNCTION("""COMPUTED_VALUE"""),44803.0)</f>
        <v>44803</v>
      </c>
      <c r="C24441" s="6">
        <f>IFERROR(__xludf.DUMMYFUNCTION("""COMPUTED_VALUE"""),0.7478935185172304)</f>
        <v>0.7478935185</v>
      </c>
      <c r="D24441" s="4">
        <f>IFERROR(__xludf.DUMMYFUNCTION("""COMPUTED_VALUE"""),12.921173)</f>
        <v>12.921173</v>
      </c>
      <c r="E24441" s="4">
        <f>IFERROR(__xludf.DUMMYFUNCTION("""COMPUTED_VALUE"""),80.166937)</f>
        <v>80.166937</v>
      </c>
      <c r="F24441" s="4">
        <f>IFERROR(__xludf.DUMMYFUNCTION("""COMPUTED_VALUE"""),3143.0)</f>
        <v>3143</v>
      </c>
      <c r="G24441" s="4">
        <f>IFERROR(__xludf.DUMMYFUNCTION("""COMPUTED_VALUE"""),43.0)</f>
        <v>43</v>
      </c>
      <c r="H24441" s="4"/>
      <c r="I24441" s="4"/>
    </row>
    <row r="24442">
      <c r="A24442" s="4" t="str">
        <f>IFERROR(__xludf.DUMMYFUNCTION("""COMPUTED_VALUE"""),"cas_hmw")</f>
        <v>cas_hmw</v>
      </c>
      <c r="B24442" s="5">
        <f>IFERROR(__xludf.DUMMYFUNCTION("""COMPUTED_VALUE"""),44803.0)</f>
        <v>44803</v>
      </c>
      <c r="C24442" s="6">
        <f>IFERROR(__xludf.DUMMYFUNCTION("""COMPUTED_VALUE"""),0.7479282407402934)</f>
        <v>0.7479282407</v>
      </c>
      <c r="D24442" s="4">
        <f>IFERROR(__xludf.DUMMYFUNCTION("""COMPUTED_VALUE"""),12.921173)</f>
        <v>12.921173</v>
      </c>
      <c r="E24442" s="4">
        <f>IFERROR(__xludf.DUMMYFUNCTION("""COMPUTED_VALUE"""),80.166937)</f>
        <v>80.166937</v>
      </c>
      <c r="F24442" s="4">
        <f>IFERROR(__xludf.DUMMYFUNCTION("""COMPUTED_VALUE"""),3143.0)</f>
        <v>3143</v>
      </c>
      <c r="G24442" s="4">
        <f>IFERROR(__xludf.DUMMYFUNCTION("""COMPUTED_VALUE"""),43.0)</f>
        <v>43</v>
      </c>
      <c r="H24442" s="4"/>
      <c r="I24442" s="4"/>
    </row>
    <row r="24443">
      <c r="A24443" s="4" t="str">
        <f>IFERROR(__xludf.DUMMYFUNCTION("""COMPUTED_VALUE"""),"cas_hmw")</f>
        <v>cas_hmw</v>
      </c>
      <c r="B24443" s="5">
        <f>IFERROR(__xludf.DUMMYFUNCTION("""COMPUTED_VALUE"""),44803.0)</f>
        <v>44803</v>
      </c>
      <c r="C24443" s="6">
        <f>IFERROR(__xludf.DUMMYFUNCTION("""COMPUTED_VALUE"""),0.7479282407402934)</f>
        <v>0.7479282407</v>
      </c>
      <c r="D24443" s="4">
        <f>IFERROR(__xludf.DUMMYFUNCTION("""COMPUTED_VALUE"""),12.921173)</f>
        <v>12.921173</v>
      </c>
      <c r="E24443" s="4">
        <f>IFERROR(__xludf.DUMMYFUNCTION("""COMPUTED_VALUE"""),80.166937)</f>
        <v>80.166937</v>
      </c>
      <c r="F24443" s="4">
        <f>IFERROR(__xludf.DUMMYFUNCTION("""COMPUTED_VALUE"""),3143.0)</f>
        <v>3143</v>
      </c>
      <c r="G24443" s="4">
        <f>IFERROR(__xludf.DUMMYFUNCTION("""COMPUTED_VALUE"""),43.0)</f>
        <v>43</v>
      </c>
      <c r="H24443" s="4"/>
      <c r="I24443" s="4"/>
    </row>
    <row r="24444">
      <c r="A24444" s="4" t="str">
        <f>IFERROR(__xludf.DUMMYFUNCTION("""COMPUTED_VALUE"""),"cas_hmw")</f>
        <v>cas_hmw</v>
      </c>
      <c r="B24444" s="5">
        <f>IFERROR(__xludf.DUMMYFUNCTION("""COMPUTED_VALUE"""),44803.0)</f>
        <v>44803</v>
      </c>
      <c r="C24444" s="6">
        <f>IFERROR(__xludf.DUMMYFUNCTION("""COMPUTED_VALUE"""),0.7584953703699284)</f>
        <v>0.7584953704</v>
      </c>
      <c r="D24444" s="4">
        <f>IFERROR(__xludf.DUMMYFUNCTION("""COMPUTED_VALUE"""),12.948296)</f>
        <v>12.948296</v>
      </c>
      <c r="E24444" s="4">
        <f>IFERROR(__xludf.DUMMYFUNCTION("""COMPUTED_VALUE"""),80.184936)</f>
        <v>80.184936</v>
      </c>
      <c r="F24444" s="4">
        <f>IFERROR(__xludf.DUMMYFUNCTION("""COMPUTED_VALUE"""),3143.0)</f>
        <v>3143</v>
      </c>
      <c r="G24444" s="4">
        <f>IFERROR(__xludf.DUMMYFUNCTION("""COMPUTED_VALUE"""),34.0)</f>
        <v>34</v>
      </c>
      <c r="H24444" s="4"/>
      <c r="I24444" s="4"/>
    </row>
    <row r="24445">
      <c r="A24445" s="4" t="str">
        <f>IFERROR(__xludf.DUMMYFUNCTION("""COMPUTED_VALUE"""),"cas_hmw")</f>
        <v>cas_hmw</v>
      </c>
      <c r="B24445" s="5">
        <f>IFERROR(__xludf.DUMMYFUNCTION("""COMPUTED_VALUE"""),44803.0)</f>
        <v>44803</v>
      </c>
      <c r="C24445" s="6">
        <f>IFERROR(__xludf.DUMMYFUNCTION("""COMPUTED_VALUE"""),0.7753472222211713)</f>
        <v>0.7753472222</v>
      </c>
      <c r="D24445" s="4">
        <f>IFERROR(__xludf.DUMMYFUNCTION("""COMPUTED_VALUE"""),12.972474)</f>
        <v>12.972474</v>
      </c>
      <c r="E24445" s="4">
        <f>IFERROR(__xludf.DUMMYFUNCTION("""COMPUTED_VALUE"""),80.219482)</f>
        <v>80.219482</v>
      </c>
      <c r="F24445" s="4">
        <f>IFERROR(__xludf.DUMMYFUNCTION("""COMPUTED_VALUE"""),3143.0)</f>
        <v>3143</v>
      </c>
      <c r="G24445" s="4">
        <f>IFERROR(__xludf.DUMMYFUNCTION("""COMPUTED_VALUE"""),39.0)</f>
        <v>39</v>
      </c>
      <c r="H24445" s="4"/>
      <c r="I24445" s="4"/>
    </row>
    <row r="24446">
      <c r="A24446" s="4" t="str">
        <f>IFERROR(__xludf.DUMMYFUNCTION("""COMPUTED_VALUE"""),"cas_hmw")</f>
        <v>cas_hmw</v>
      </c>
      <c r="B24446" s="5">
        <f>IFERROR(__xludf.DUMMYFUNCTION("""COMPUTED_VALUE"""),44803.0)</f>
        <v>44803</v>
      </c>
      <c r="C24446" s="6">
        <f>IFERROR(__xludf.DUMMYFUNCTION("""COMPUTED_VALUE"""),0.7753703703710926)</f>
        <v>0.7753703704</v>
      </c>
      <c r="D24446" s="4">
        <f>IFERROR(__xludf.DUMMYFUNCTION("""COMPUTED_VALUE"""),12.972474)</f>
        <v>12.972474</v>
      </c>
      <c r="E24446" s="4">
        <f>IFERROR(__xludf.DUMMYFUNCTION("""COMPUTED_VALUE"""),80.219482)</f>
        <v>80.219482</v>
      </c>
      <c r="F24446" s="4">
        <f>IFERROR(__xludf.DUMMYFUNCTION("""COMPUTED_VALUE"""),3143.0)</f>
        <v>3143</v>
      </c>
      <c r="G24446" s="4">
        <f>IFERROR(__xludf.DUMMYFUNCTION("""COMPUTED_VALUE"""),39.0)</f>
        <v>39</v>
      </c>
      <c r="H24446" s="4"/>
      <c r="I24446" s="4"/>
    </row>
    <row r="24447">
      <c r="A24447" s="4" t="str">
        <f>IFERROR(__xludf.DUMMYFUNCTION("""COMPUTED_VALUE"""),"cas_hmw")</f>
        <v>cas_hmw</v>
      </c>
      <c r="B24447" s="5">
        <f>IFERROR(__xludf.DUMMYFUNCTION("""COMPUTED_VALUE"""),44803.0)</f>
        <v>44803</v>
      </c>
      <c r="C24447" s="6">
        <f>IFERROR(__xludf.DUMMYFUNCTION("""COMPUTED_VALUE"""),0.7771643518535711)</f>
        <v>0.7771643519</v>
      </c>
      <c r="D24447" s="4">
        <f>IFERROR(__xludf.DUMMYFUNCTION("""COMPUTED_VALUE"""),12.966733)</f>
        <v>12.966733</v>
      </c>
      <c r="E24447" s="4">
        <f>IFERROR(__xludf.DUMMYFUNCTION("""COMPUTED_VALUE"""),80.217344)</f>
        <v>80.217344</v>
      </c>
      <c r="F24447" s="4">
        <f>IFERROR(__xludf.DUMMYFUNCTION("""COMPUTED_VALUE"""),3143.0)</f>
        <v>3143</v>
      </c>
      <c r="G24447" s="4">
        <f>IFERROR(__xludf.DUMMYFUNCTION("""COMPUTED_VALUE"""),42.0)</f>
        <v>42</v>
      </c>
      <c r="H24447" s="4"/>
      <c r="I24447" s="4"/>
    </row>
    <row r="24448">
      <c r="A24448" s="4" t="str">
        <f>IFERROR(__xludf.DUMMYFUNCTION("""COMPUTED_VALUE"""),"cas_hmw")</f>
        <v>cas_hmw</v>
      </c>
      <c r="B24448" s="5">
        <f>IFERROR(__xludf.DUMMYFUNCTION("""COMPUTED_VALUE"""),44803.0)</f>
        <v>44803</v>
      </c>
      <c r="C24448" s="6">
        <f>IFERROR(__xludf.DUMMYFUNCTION("""COMPUTED_VALUE"""),0.7781597222237906)</f>
        <v>0.7781597222</v>
      </c>
      <c r="D24448" s="4">
        <f>IFERROR(__xludf.DUMMYFUNCTION("""COMPUTED_VALUE"""),12.963)</f>
        <v>12.963</v>
      </c>
      <c r="E24448" s="4">
        <f>IFERROR(__xludf.DUMMYFUNCTION("""COMPUTED_VALUE"""),80.215785)</f>
        <v>80.215785</v>
      </c>
      <c r="F24448" s="4">
        <f>IFERROR(__xludf.DUMMYFUNCTION("""COMPUTED_VALUE"""),3143.0)</f>
        <v>3143</v>
      </c>
      <c r="G24448" s="4">
        <f>IFERROR(__xludf.DUMMYFUNCTION("""COMPUTED_VALUE"""),30.0)</f>
        <v>30</v>
      </c>
      <c r="H24448" s="4"/>
      <c r="I24448" s="4"/>
    </row>
    <row r="24449">
      <c r="A24449" s="4" t="str">
        <f>IFERROR(__xludf.DUMMYFUNCTION("""COMPUTED_VALUE"""),"cas_hmw")</f>
        <v>cas_hmw</v>
      </c>
      <c r="B24449" s="5">
        <f>IFERROR(__xludf.DUMMYFUNCTION("""COMPUTED_VALUE"""),44803.0)</f>
        <v>44803</v>
      </c>
      <c r="C24449" s="6">
        <f>IFERROR(__xludf.DUMMYFUNCTION("""COMPUTED_VALUE"""),0.7782638888893416)</f>
        <v>0.7782638889</v>
      </c>
      <c r="D24449" s="4">
        <f>IFERROR(__xludf.DUMMYFUNCTION("""COMPUTED_VALUE"""),12.963)</f>
        <v>12.963</v>
      </c>
      <c r="E24449" s="4">
        <f>IFERROR(__xludf.DUMMYFUNCTION("""COMPUTED_VALUE"""),80.215785)</f>
        <v>80.215785</v>
      </c>
      <c r="F24449" s="4">
        <f>IFERROR(__xludf.DUMMYFUNCTION("""COMPUTED_VALUE"""),3143.0)</f>
        <v>3143</v>
      </c>
      <c r="G24449" s="4">
        <f>IFERROR(__xludf.DUMMYFUNCTION("""COMPUTED_VALUE"""),30.0)</f>
        <v>30</v>
      </c>
      <c r="H24449" s="4"/>
      <c r="I24449" s="4"/>
    </row>
    <row r="24450">
      <c r="A24450" s="4" t="str">
        <f>IFERROR(__xludf.DUMMYFUNCTION("""COMPUTED_VALUE"""),"cas_hmw")</f>
        <v>cas_hmw</v>
      </c>
      <c r="B24450" s="5">
        <f>IFERROR(__xludf.DUMMYFUNCTION("""COMPUTED_VALUE"""),44803.0)</f>
        <v>44803</v>
      </c>
      <c r="C24450" s="6">
        <f>IFERROR(__xludf.DUMMYFUNCTION("""COMPUTED_VALUE"""),0.7784837962972233)</f>
        <v>0.7784837963</v>
      </c>
      <c r="D24450" s="4">
        <f>IFERROR(__xludf.DUMMYFUNCTION("""COMPUTED_VALUE"""),12.961347)</f>
        <v>12.961347</v>
      </c>
      <c r="E24450" s="4">
        <f>IFERROR(__xludf.DUMMYFUNCTION("""COMPUTED_VALUE"""),80.215127)</f>
        <v>80.215127</v>
      </c>
      <c r="F24450" s="4">
        <f>IFERROR(__xludf.DUMMYFUNCTION("""COMPUTED_VALUE"""),3143.0)</f>
        <v>3143</v>
      </c>
      <c r="G24450" s="4">
        <f>IFERROR(__xludf.DUMMYFUNCTION("""COMPUTED_VALUE"""),35.0)</f>
        <v>35</v>
      </c>
      <c r="H24450" s="4"/>
      <c r="I24450" s="4"/>
    </row>
    <row r="24451">
      <c r="A24451" s="4" t="str">
        <f>IFERROR(__xludf.DUMMYFUNCTION("""COMPUTED_VALUE"""),"cas_hmw")</f>
        <v>cas_hmw</v>
      </c>
      <c r="B24451" s="5">
        <f>IFERROR(__xludf.DUMMYFUNCTION("""COMPUTED_VALUE"""),44803.0)</f>
        <v>44803</v>
      </c>
      <c r="C24451" s="6">
        <f>IFERROR(__xludf.DUMMYFUNCTION("""COMPUTED_VALUE"""),0.7787847222207347)</f>
        <v>0.7787847222</v>
      </c>
      <c r="D24451" s="4">
        <f>IFERROR(__xludf.DUMMYFUNCTION("""COMPUTED_VALUE"""),12.958726)</f>
        <v>12.958726</v>
      </c>
      <c r="E24451" s="4">
        <f>IFERROR(__xludf.DUMMYFUNCTION("""COMPUTED_VALUE"""),80.214088)</f>
        <v>80.214088</v>
      </c>
      <c r="F24451" s="4">
        <f>IFERROR(__xludf.DUMMYFUNCTION("""COMPUTED_VALUE"""),3143.0)</f>
        <v>3143</v>
      </c>
      <c r="G24451" s="4">
        <f>IFERROR(__xludf.DUMMYFUNCTION("""COMPUTED_VALUE"""),44.0)</f>
        <v>44</v>
      </c>
      <c r="H24451" s="4"/>
      <c r="I24451" s="4"/>
    </row>
    <row r="24452">
      <c r="A24452" s="4" t="str">
        <f>IFERROR(__xludf.DUMMYFUNCTION("""COMPUTED_VALUE"""),"cas_hmw")</f>
        <v>cas_hmw</v>
      </c>
      <c r="B24452" s="5">
        <f>IFERROR(__xludf.DUMMYFUNCTION("""COMPUTED_VALUE"""),44803.0)</f>
        <v>44803</v>
      </c>
      <c r="C24452" s="6">
        <f>IFERROR(__xludf.DUMMYFUNCTION("""COMPUTED_VALUE"""),0.7788310185169394)</f>
        <v>0.7788310185</v>
      </c>
      <c r="D24452" s="4">
        <f>IFERROR(__xludf.DUMMYFUNCTION("""COMPUTED_VALUE"""),12.958726)</f>
        <v>12.958726</v>
      </c>
      <c r="E24452" s="4">
        <f>IFERROR(__xludf.DUMMYFUNCTION("""COMPUTED_VALUE"""),80.214088)</f>
        <v>80.214088</v>
      </c>
      <c r="F24452" s="4">
        <f>IFERROR(__xludf.DUMMYFUNCTION("""COMPUTED_VALUE"""),3143.0)</f>
        <v>3143</v>
      </c>
      <c r="G24452" s="4">
        <f>IFERROR(__xludf.DUMMYFUNCTION("""COMPUTED_VALUE"""),44.0)</f>
        <v>44</v>
      </c>
      <c r="H24452" s="4"/>
      <c r="I24452" s="4"/>
    </row>
    <row r="24453">
      <c r="A24453" s="4" t="str">
        <f>IFERROR(__xludf.DUMMYFUNCTION("""COMPUTED_VALUE"""),"cas_hmw")</f>
        <v>cas_hmw</v>
      </c>
      <c r="B24453" s="5">
        <f>IFERROR(__xludf.DUMMYFUNCTION("""COMPUTED_VALUE"""),44803.0)</f>
        <v>44803</v>
      </c>
      <c r="C24453" s="6">
        <f>IFERROR(__xludf.DUMMYFUNCTION("""COMPUTED_VALUE"""),0.7790972222210257)</f>
        <v>0.7790972222</v>
      </c>
      <c r="D24453" s="4">
        <f>IFERROR(__xludf.DUMMYFUNCTION("""COMPUTED_VALUE"""),12.956307)</f>
        <v>12.956307</v>
      </c>
      <c r="E24453" s="4">
        <f>IFERROR(__xludf.DUMMYFUNCTION("""COMPUTED_VALUE"""),80.21313)</f>
        <v>80.21313</v>
      </c>
      <c r="F24453" s="4">
        <f>IFERROR(__xludf.DUMMYFUNCTION("""COMPUTED_VALUE"""),3143.0)</f>
        <v>3143</v>
      </c>
      <c r="G24453" s="4">
        <f>IFERROR(__xludf.DUMMYFUNCTION("""COMPUTED_VALUE"""),41.0)</f>
        <v>41</v>
      </c>
      <c r="H24453" s="4"/>
      <c r="I24453" s="4"/>
    </row>
    <row r="24454">
      <c r="A24454" s="4" t="str">
        <f>IFERROR(__xludf.DUMMYFUNCTION("""COMPUTED_VALUE"""),"cas_hmw")</f>
        <v>cas_hmw</v>
      </c>
      <c r="B24454" s="5">
        <f>IFERROR(__xludf.DUMMYFUNCTION("""COMPUTED_VALUE"""),44803.0)</f>
        <v>44803</v>
      </c>
      <c r="C24454" s="6">
        <f>IFERROR(__xludf.DUMMYFUNCTION("""COMPUTED_VALUE"""),0.7792476851864194)</f>
        <v>0.7792476852</v>
      </c>
      <c r="D24454" s="4">
        <f>IFERROR(__xludf.DUMMYFUNCTION("""COMPUTED_VALUE"""),12.955423)</f>
        <v>12.955423</v>
      </c>
      <c r="E24454" s="4">
        <f>IFERROR(__xludf.DUMMYFUNCTION("""COMPUTED_VALUE"""),80.212799)</f>
        <v>80.212799</v>
      </c>
      <c r="F24454" s="4">
        <f>IFERROR(__xludf.DUMMYFUNCTION("""COMPUTED_VALUE"""),3143.0)</f>
        <v>3143</v>
      </c>
      <c r="G24454" s="4">
        <f>IFERROR(__xludf.DUMMYFUNCTION("""COMPUTED_VALUE"""),35.0)</f>
        <v>35</v>
      </c>
      <c r="H24454" s="4"/>
      <c r="I24454" s="4"/>
    </row>
    <row r="24455">
      <c r="A24455" s="4" t="str">
        <f>IFERROR(__xludf.DUMMYFUNCTION("""COMPUTED_VALUE"""),"cas_hmw")</f>
        <v>cas_hmw</v>
      </c>
      <c r="B24455" s="5">
        <f>IFERROR(__xludf.DUMMYFUNCTION("""COMPUTED_VALUE"""),44803.0)</f>
        <v>44803</v>
      </c>
      <c r="C24455" s="6">
        <f>IFERROR(__xludf.DUMMYFUNCTION("""COMPUTED_VALUE"""),0.7793055555557657)</f>
        <v>0.7793055556</v>
      </c>
      <c r="D24455" s="4">
        <f>IFERROR(__xludf.DUMMYFUNCTION("""COMPUTED_VALUE"""),12.955423)</f>
        <v>12.955423</v>
      </c>
      <c r="E24455" s="4">
        <f>IFERROR(__xludf.DUMMYFUNCTION("""COMPUTED_VALUE"""),80.212799)</f>
        <v>80.212799</v>
      </c>
      <c r="F24455" s="4">
        <f>IFERROR(__xludf.DUMMYFUNCTION("""COMPUTED_VALUE"""),3143.0)</f>
        <v>3143</v>
      </c>
      <c r="G24455" s="4">
        <f>IFERROR(__xludf.DUMMYFUNCTION("""COMPUTED_VALUE"""),35.0)</f>
        <v>35</v>
      </c>
      <c r="H24455" s="4"/>
      <c r="I24455" s="4"/>
    </row>
    <row r="24456">
      <c r="A24456" s="4" t="str">
        <f>IFERROR(__xludf.DUMMYFUNCTION("""COMPUTED_VALUE"""),"cas_hmw")</f>
        <v>cas_hmw</v>
      </c>
      <c r="B24456" s="5">
        <f>IFERROR(__xludf.DUMMYFUNCTION("""COMPUTED_VALUE"""),44803.0)</f>
        <v>44803</v>
      </c>
      <c r="C24456" s="6">
        <f>IFERROR(__xludf.DUMMYFUNCTION("""COMPUTED_VALUE"""),0.7795949074061355)</f>
        <v>0.7795949074</v>
      </c>
      <c r="D24456" s="4">
        <f>IFERROR(__xludf.DUMMYFUNCTION("""COMPUTED_VALUE"""),12.953547)</f>
        <v>12.953547</v>
      </c>
      <c r="E24456" s="4">
        <f>IFERROR(__xludf.DUMMYFUNCTION("""COMPUTED_VALUE"""),80.212103)</f>
        <v>80.212103</v>
      </c>
      <c r="F24456" s="4">
        <f>IFERROR(__xludf.DUMMYFUNCTION("""COMPUTED_VALUE"""),3143.0)</f>
        <v>3143</v>
      </c>
      <c r="G24456" s="4">
        <f>IFERROR(__xludf.DUMMYFUNCTION("""COMPUTED_VALUE"""),17.0)</f>
        <v>17</v>
      </c>
      <c r="H24456" s="4"/>
      <c r="I24456" s="4"/>
    </row>
    <row r="24457">
      <c r="A24457" s="4" t="str">
        <f>IFERROR(__xludf.DUMMYFUNCTION("""COMPUTED_VALUE"""),"cas_hmw")</f>
        <v>cas_hmw</v>
      </c>
      <c r="B24457" s="5">
        <f>IFERROR(__xludf.DUMMYFUNCTION("""COMPUTED_VALUE"""),44803.0)</f>
        <v>44803</v>
      </c>
      <c r="C24457" s="6">
        <f>IFERROR(__xludf.DUMMYFUNCTION("""COMPUTED_VALUE"""),0.7795949074061355)</f>
        <v>0.7795949074</v>
      </c>
      <c r="D24457" s="4">
        <f>IFERROR(__xludf.DUMMYFUNCTION("""COMPUTED_VALUE"""),12.953547)</f>
        <v>12.953547</v>
      </c>
      <c r="E24457" s="4">
        <f>IFERROR(__xludf.DUMMYFUNCTION("""COMPUTED_VALUE"""),80.212103)</f>
        <v>80.212103</v>
      </c>
      <c r="F24457" s="4">
        <f>IFERROR(__xludf.DUMMYFUNCTION("""COMPUTED_VALUE"""),3143.0)</f>
        <v>3143</v>
      </c>
      <c r="G24457" s="4">
        <f>IFERROR(__xludf.DUMMYFUNCTION("""COMPUTED_VALUE"""),17.0)</f>
        <v>17</v>
      </c>
      <c r="H24457" s="4"/>
      <c r="I24457" s="4"/>
    </row>
    <row r="24458">
      <c r="A24458" s="4" t="str">
        <f>IFERROR(__xludf.DUMMYFUNCTION("""COMPUTED_VALUE"""),"cas_hmw")</f>
        <v>cas_hmw</v>
      </c>
      <c r="B24458" s="5">
        <f>IFERROR(__xludf.DUMMYFUNCTION("""COMPUTED_VALUE"""),44803.0)</f>
        <v>44803</v>
      </c>
      <c r="C24458" s="6">
        <f>IFERROR(__xludf.DUMMYFUNCTION("""COMPUTED_VALUE"""),0.7798379629639385)</f>
        <v>0.779837963</v>
      </c>
      <c r="D24458" s="4">
        <f>IFERROR(__xludf.DUMMYFUNCTION("""COMPUTED_VALUE"""),12.952027)</f>
        <v>12.952027</v>
      </c>
      <c r="E24458" s="4">
        <f>IFERROR(__xludf.DUMMYFUNCTION("""COMPUTED_VALUE"""),80.211459)</f>
        <v>80.211459</v>
      </c>
      <c r="F24458" s="4">
        <f>IFERROR(__xludf.DUMMYFUNCTION("""COMPUTED_VALUE"""),3143.0)</f>
        <v>3143</v>
      </c>
      <c r="G24458" s="4">
        <f>IFERROR(__xludf.DUMMYFUNCTION("""COMPUTED_VALUE"""),42.0)</f>
        <v>42</v>
      </c>
      <c r="H24458" s="4"/>
      <c r="I24458" s="4"/>
    </row>
    <row r="24459">
      <c r="A24459" s="4" t="str">
        <f>IFERROR(__xludf.DUMMYFUNCTION("""COMPUTED_VALUE"""),"cas_hmw")</f>
        <v>cas_hmw</v>
      </c>
      <c r="B24459" s="5">
        <f>IFERROR(__xludf.DUMMYFUNCTION("""COMPUTED_VALUE"""),44803.0)</f>
        <v>44803</v>
      </c>
      <c r="C24459" s="6">
        <f>IFERROR(__xludf.DUMMYFUNCTION("""COMPUTED_VALUE"""),0.7934143518505152)</f>
        <v>0.7934143519</v>
      </c>
      <c r="D24459" s="4">
        <f>IFERROR(__xludf.DUMMYFUNCTION("""COMPUTED_VALUE"""),12.918801)</f>
        <v>12.918801</v>
      </c>
      <c r="E24459" s="4">
        <f>IFERROR(__xludf.DUMMYFUNCTION("""COMPUTED_VALUE"""),80.174829)</f>
        <v>80.174829</v>
      </c>
      <c r="F24459" s="4">
        <f>IFERROR(__xludf.DUMMYFUNCTION("""COMPUTED_VALUE"""),3143.0)</f>
        <v>3143</v>
      </c>
      <c r="G24459" s="4">
        <f>IFERROR(__xludf.DUMMYFUNCTION("""COMPUTED_VALUE"""),44.0)</f>
        <v>44</v>
      </c>
      <c r="H24459" s="4"/>
      <c r="I24459" s="4"/>
    </row>
    <row r="24460">
      <c r="A24460" s="4" t="str">
        <f>IFERROR(__xludf.DUMMYFUNCTION("""COMPUTED_VALUE"""),"cas_hmw")</f>
        <v>cas_hmw</v>
      </c>
      <c r="B24460" s="5">
        <f>IFERROR(__xludf.DUMMYFUNCTION("""COMPUTED_VALUE"""),44803.0)</f>
        <v>44803</v>
      </c>
      <c r="C24460" s="6">
        <f>IFERROR(__xludf.DUMMYFUNCTION("""COMPUTED_VALUE"""),0.7956365740756155)</f>
        <v>0.7956365741</v>
      </c>
      <c r="D24460" s="4">
        <f>IFERROR(__xludf.DUMMYFUNCTION("""COMPUTED_VALUE"""),12.922841)</f>
        <v>12.922841</v>
      </c>
      <c r="E24460" s="4">
        <f>IFERROR(__xludf.DUMMYFUNCTION("""COMPUTED_VALUE"""),80.161283)</f>
        <v>80.161283</v>
      </c>
      <c r="F24460" s="4">
        <f>IFERROR(__xludf.DUMMYFUNCTION("""COMPUTED_VALUE"""),3143.0)</f>
        <v>3143</v>
      </c>
      <c r="G24460" s="4">
        <f>IFERROR(__xludf.DUMMYFUNCTION("""COMPUTED_VALUE"""),33.0)</f>
        <v>33</v>
      </c>
      <c r="H24460" s="4"/>
      <c r="I24460" s="4"/>
    </row>
    <row r="24461">
      <c r="A24461" s="4" t="str">
        <f>IFERROR(__xludf.DUMMYFUNCTION("""COMPUTED_VALUE"""),"cas_hmw")</f>
        <v>cas_hmw</v>
      </c>
      <c r="B24461" s="5">
        <f>IFERROR(__xludf.DUMMYFUNCTION("""COMPUTED_VALUE"""),44803.0)</f>
        <v>44803</v>
      </c>
      <c r="C24461" s="6">
        <f>IFERROR(__xludf.DUMMYFUNCTION("""COMPUTED_VALUE"""),0.7971412037040864)</f>
        <v>0.7971412037</v>
      </c>
      <c r="D24461" s="4">
        <f>IFERROR(__xludf.DUMMYFUNCTION("""COMPUTED_VALUE"""),12.923096)</f>
        <v>12.923096</v>
      </c>
      <c r="E24461" s="4">
        <f>IFERROR(__xludf.DUMMYFUNCTION("""COMPUTED_VALUE"""),80.15363)</f>
        <v>80.15363</v>
      </c>
      <c r="F24461" s="4">
        <f>IFERROR(__xludf.DUMMYFUNCTION("""COMPUTED_VALUE"""),3143.0)</f>
        <v>3143</v>
      </c>
      <c r="G24461" s="4">
        <f>IFERROR(__xludf.DUMMYFUNCTION("""COMPUTED_VALUE"""),30.0)</f>
        <v>30</v>
      </c>
      <c r="H24461" s="4"/>
      <c r="I24461" s="4"/>
    </row>
    <row r="24462">
      <c r="A24462" s="4" t="str">
        <f>IFERROR(__xludf.DUMMYFUNCTION("""COMPUTED_VALUE"""),"cas_hmw")</f>
        <v>cas_hmw</v>
      </c>
      <c r="B24462" s="5">
        <f>IFERROR(__xludf.DUMMYFUNCTION("""COMPUTED_VALUE"""),44803.0)</f>
        <v>44803</v>
      </c>
      <c r="C24462" s="6">
        <f>IFERROR(__xludf.DUMMYFUNCTION("""COMPUTED_VALUE"""),0.8006249999998545)</f>
        <v>0.800625</v>
      </c>
      <c r="D24462" s="4">
        <f>IFERROR(__xludf.DUMMYFUNCTION("""COMPUTED_VALUE"""),12.922524)</f>
        <v>12.922524</v>
      </c>
      <c r="E24462" s="4">
        <f>IFERROR(__xludf.DUMMYFUNCTION("""COMPUTED_VALUE"""),80.145502)</f>
        <v>80.145502</v>
      </c>
      <c r="F24462" s="4">
        <f>IFERROR(__xludf.DUMMYFUNCTION("""COMPUTED_VALUE"""),3143.0)</f>
        <v>3143</v>
      </c>
      <c r="G24462" s="4">
        <f>IFERROR(__xludf.DUMMYFUNCTION("""COMPUTED_VALUE"""),43.0)</f>
        <v>43</v>
      </c>
      <c r="H24462" s="4"/>
      <c r="I24462" s="4"/>
    </row>
    <row r="24463">
      <c r="A24463" s="4" t="str">
        <f>IFERROR(__xludf.DUMMYFUNCTION("""COMPUTED_VALUE"""),"cas_hmw")</f>
        <v>cas_hmw</v>
      </c>
      <c r="B24463" s="5">
        <f>IFERROR(__xludf.DUMMYFUNCTION("""COMPUTED_VALUE"""),44803.0)</f>
        <v>44803</v>
      </c>
      <c r="C24463" s="6">
        <f>IFERROR(__xludf.DUMMYFUNCTION("""COMPUTED_VALUE"""),0.8007060185191222)</f>
        <v>0.8007060185</v>
      </c>
      <c r="D24463" s="4">
        <f>IFERROR(__xludf.DUMMYFUNCTION("""COMPUTED_VALUE"""),12.922383)</f>
        <v>12.922383</v>
      </c>
      <c r="E24463" s="4">
        <f>IFERROR(__xludf.DUMMYFUNCTION("""COMPUTED_VALUE"""),80.142228)</f>
        <v>80.142228</v>
      </c>
      <c r="F24463" s="4">
        <f>IFERROR(__xludf.DUMMYFUNCTION("""COMPUTED_VALUE"""),3143.0)</f>
        <v>3143</v>
      </c>
      <c r="G24463" s="4">
        <f>IFERROR(__xludf.DUMMYFUNCTION("""COMPUTED_VALUE"""),20.0)</f>
        <v>20</v>
      </c>
      <c r="H24463" s="4"/>
      <c r="I24463" s="4"/>
    </row>
    <row r="24464">
      <c r="A24464" s="4" t="str">
        <f>IFERROR(__xludf.DUMMYFUNCTION("""COMPUTED_VALUE"""),"cas_hmw")</f>
        <v>cas_hmw</v>
      </c>
      <c r="B24464" s="5">
        <f>IFERROR(__xludf.DUMMYFUNCTION("""COMPUTED_VALUE"""),44803.0)</f>
        <v>44803</v>
      </c>
      <c r="C24464" s="6">
        <f>IFERROR(__xludf.DUMMYFUNCTION("""COMPUTED_VALUE"""),0.8009837962963502)</f>
        <v>0.8009837963</v>
      </c>
      <c r="D24464" s="4">
        <f>IFERROR(__xludf.DUMMYFUNCTION("""COMPUTED_VALUE"""),12.922341)</f>
        <v>12.922341</v>
      </c>
      <c r="E24464" s="4">
        <f>IFERROR(__xludf.DUMMYFUNCTION("""COMPUTED_VALUE"""),80.140152)</f>
        <v>80.140152</v>
      </c>
      <c r="F24464" s="4">
        <f>IFERROR(__xludf.DUMMYFUNCTION("""COMPUTED_VALUE"""),3143.0)</f>
        <v>3143</v>
      </c>
      <c r="G24464" s="4">
        <f>IFERROR(__xludf.DUMMYFUNCTION("""COMPUTED_VALUE"""),30.0)</f>
        <v>30</v>
      </c>
      <c r="H24464" s="4"/>
      <c r="I24464" s="4"/>
    </row>
    <row r="24465">
      <c r="A24465" s="4" t="str">
        <f>IFERROR(__xludf.DUMMYFUNCTION("""COMPUTED_VALUE"""),"cas_hmw")</f>
        <v>cas_hmw</v>
      </c>
      <c r="B24465" s="5">
        <f>IFERROR(__xludf.DUMMYFUNCTION("""COMPUTED_VALUE"""),44803.0)</f>
        <v>44803</v>
      </c>
      <c r="C24465" s="6">
        <f>IFERROR(__xludf.DUMMYFUNCTION("""COMPUTED_VALUE"""),0.8023958333324117)</f>
        <v>0.8023958333</v>
      </c>
      <c r="D24465" s="4">
        <f>IFERROR(__xludf.DUMMYFUNCTION("""COMPUTED_VALUE"""),12.922628)</f>
        <v>12.922628</v>
      </c>
      <c r="E24465" s="4">
        <f>IFERROR(__xludf.DUMMYFUNCTION("""COMPUTED_VALUE"""),80.133607)</f>
        <v>80.133607</v>
      </c>
      <c r="F24465" s="4">
        <f>IFERROR(__xludf.DUMMYFUNCTION("""COMPUTED_VALUE"""),3143.0)</f>
        <v>3143</v>
      </c>
      <c r="G24465" s="4">
        <f>IFERROR(__xludf.DUMMYFUNCTION("""COMPUTED_VALUE"""),41.0)</f>
        <v>41</v>
      </c>
      <c r="H24465" s="4"/>
      <c r="I24465" s="4"/>
    </row>
    <row r="24466">
      <c r="A24466" s="4" t="str">
        <f>IFERROR(__xludf.DUMMYFUNCTION("""COMPUTED_VALUE"""),"cas_hmw")</f>
        <v>cas_hmw</v>
      </c>
      <c r="B24466" s="5">
        <f>IFERROR(__xludf.DUMMYFUNCTION("""COMPUTED_VALUE"""),44803.0)</f>
        <v>44803</v>
      </c>
      <c r="C24466" s="6">
        <f>IFERROR(__xludf.DUMMYFUNCTION("""COMPUTED_VALUE"""),0.8048379629617557)</f>
        <v>0.804837963</v>
      </c>
      <c r="D24466" s="4">
        <f>IFERROR(__xludf.DUMMYFUNCTION("""COMPUTED_VALUE"""),12.923341)</f>
        <v>12.923341</v>
      </c>
      <c r="E24466" s="4">
        <f>IFERROR(__xludf.DUMMYFUNCTION("""COMPUTED_VALUE"""),80.11955)</f>
        <v>80.11955</v>
      </c>
      <c r="F24466" s="4">
        <f>IFERROR(__xludf.DUMMYFUNCTION("""COMPUTED_VALUE"""),3143.0)</f>
        <v>3143</v>
      </c>
      <c r="G24466" s="4">
        <f>IFERROR(__xludf.DUMMYFUNCTION("""COMPUTED_VALUE"""),35.0)</f>
        <v>35</v>
      </c>
      <c r="H24466" s="4"/>
      <c r="I24466" s="4"/>
    </row>
    <row r="24467">
      <c r="A24467" s="4" t="str">
        <f>IFERROR(__xludf.DUMMYFUNCTION("""COMPUTED_VALUE"""),"cas_hmw")</f>
        <v>cas_hmw</v>
      </c>
      <c r="B24467" s="5">
        <f>IFERROR(__xludf.DUMMYFUNCTION("""COMPUTED_VALUE"""),44803.0)</f>
        <v>44803</v>
      </c>
      <c r="C24467" s="6">
        <f>IFERROR(__xludf.DUMMYFUNCTION("""COMPUTED_VALUE"""),0.8057754629626288)</f>
        <v>0.805775463</v>
      </c>
      <c r="D24467" s="4">
        <f>IFERROR(__xludf.DUMMYFUNCTION("""COMPUTED_VALUE"""),12.921022)</f>
        <v>12.921022</v>
      </c>
      <c r="E24467" s="4">
        <f>IFERROR(__xludf.DUMMYFUNCTION("""COMPUTED_VALUE"""),80.112333)</f>
        <v>80.112333</v>
      </c>
      <c r="F24467" s="4">
        <f>IFERROR(__xludf.DUMMYFUNCTION("""COMPUTED_VALUE"""),3143.0)</f>
        <v>3143</v>
      </c>
      <c r="G24467" s="4">
        <f>IFERROR(__xludf.DUMMYFUNCTION("""COMPUTED_VALUE"""),44.0)</f>
        <v>44</v>
      </c>
      <c r="H24467" s="4"/>
      <c r="I24467" s="4"/>
    </row>
    <row r="24468">
      <c r="A24468" s="4" t="str">
        <f>IFERROR(__xludf.DUMMYFUNCTION("""COMPUTED_VALUE"""),"cas_hmw")</f>
        <v>cas_hmw</v>
      </c>
      <c r="B24468" s="5">
        <f>IFERROR(__xludf.DUMMYFUNCTION("""COMPUTED_VALUE"""),44803.0)</f>
        <v>44803</v>
      </c>
      <c r="C24468" s="6">
        <f>IFERROR(__xludf.DUMMYFUNCTION("""COMPUTED_VALUE"""),0.8063425925938645)</f>
        <v>0.8063425926</v>
      </c>
      <c r="D24468" s="4">
        <f>IFERROR(__xludf.DUMMYFUNCTION("""COMPUTED_VALUE"""),12.917078)</f>
        <v>12.917078</v>
      </c>
      <c r="E24468" s="4">
        <f>IFERROR(__xludf.DUMMYFUNCTION("""COMPUTED_VALUE"""),80.107421)</f>
        <v>80.107421</v>
      </c>
      <c r="F24468" s="4">
        <f>IFERROR(__xludf.DUMMYFUNCTION("""COMPUTED_VALUE"""),3143.0)</f>
        <v>3143</v>
      </c>
      <c r="G24468" s="4">
        <f>IFERROR(__xludf.DUMMYFUNCTION("""COMPUTED_VALUE"""),26.0)</f>
        <v>26</v>
      </c>
      <c r="H24468" s="4"/>
      <c r="I24468" s="4"/>
    </row>
    <row r="24469">
      <c r="A24469" s="4" t="str">
        <f>IFERROR(__xludf.DUMMYFUNCTION("""COMPUTED_VALUE"""),"cas_hmw")</f>
        <v>cas_hmw</v>
      </c>
      <c r="B24469" s="5">
        <f>IFERROR(__xludf.DUMMYFUNCTION("""COMPUTED_VALUE"""),44803.0)</f>
        <v>44803</v>
      </c>
      <c r="C24469" s="6">
        <f>IFERROR(__xludf.DUMMYFUNCTION("""COMPUTED_VALUE"""),0.8063541666670062)</f>
        <v>0.8063541667</v>
      </c>
      <c r="D24469" s="4">
        <f>IFERROR(__xludf.DUMMYFUNCTION("""COMPUTED_VALUE"""),12.917078)</f>
        <v>12.917078</v>
      </c>
      <c r="E24469" s="4">
        <f>IFERROR(__xludf.DUMMYFUNCTION("""COMPUTED_VALUE"""),80.107421)</f>
        <v>80.107421</v>
      </c>
      <c r="F24469" s="4">
        <f>IFERROR(__xludf.DUMMYFUNCTION("""COMPUTED_VALUE"""),3143.0)</f>
        <v>3143</v>
      </c>
      <c r="G24469" s="4">
        <f>IFERROR(__xludf.DUMMYFUNCTION("""COMPUTED_VALUE"""),26.0)</f>
        <v>26</v>
      </c>
      <c r="H24469" s="4"/>
      <c r="I24469" s="4"/>
    </row>
    <row r="24470">
      <c r="A24470" s="4" t="str">
        <f>IFERROR(__xludf.DUMMYFUNCTION("""COMPUTED_VALUE"""),"cas_hmw")</f>
        <v>cas_hmw</v>
      </c>
      <c r="B24470" s="5">
        <f>IFERROR(__xludf.DUMMYFUNCTION("""COMPUTED_VALUE"""),44803.0)</f>
        <v>44803</v>
      </c>
      <c r="C24470" s="6">
        <f>IFERROR(__xludf.DUMMYFUNCTION("""COMPUTED_VALUE"""),0.8069675925908086)</f>
        <v>0.8069675926</v>
      </c>
      <c r="D24470" s="4">
        <f>IFERROR(__xludf.DUMMYFUNCTION("""COMPUTED_VALUE"""),12.913981)</f>
        <v>12.913981</v>
      </c>
      <c r="E24470" s="4">
        <f>IFERROR(__xludf.DUMMYFUNCTION("""COMPUTED_VALUE"""),80.102027)</f>
        <v>80.102027</v>
      </c>
      <c r="F24470" s="4">
        <f>IFERROR(__xludf.DUMMYFUNCTION("""COMPUTED_VALUE"""),3143.0)</f>
        <v>3143</v>
      </c>
      <c r="G24470" s="4">
        <f>IFERROR(__xludf.DUMMYFUNCTION("""COMPUTED_VALUE"""),56.0)</f>
        <v>56</v>
      </c>
      <c r="H24470" s="4"/>
      <c r="I24470" s="4"/>
    </row>
    <row r="24471">
      <c r="A24471" s="4" t="str">
        <f>IFERROR(__xludf.DUMMYFUNCTION("""COMPUTED_VALUE"""),"cas_hmw")</f>
        <v>cas_hmw</v>
      </c>
      <c r="B24471" s="5">
        <f>IFERROR(__xludf.DUMMYFUNCTION("""COMPUTED_VALUE"""),44803.0)</f>
        <v>44803</v>
      </c>
      <c r="C24471" s="6">
        <f>IFERROR(__xludf.DUMMYFUNCTION("""COMPUTED_VALUE"""),0.8099768518513883)</f>
        <v>0.8099768519</v>
      </c>
      <c r="D24471" s="4">
        <f>IFERROR(__xludf.DUMMYFUNCTION("""COMPUTED_VALUE"""),12.903561)</f>
        <v>12.903561</v>
      </c>
      <c r="E24471" s="4">
        <f>IFERROR(__xludf.DUMMYFUNCTION("""COMPUTED_VALUE"""),80.09434)</f>
        <v>80.09434</v>
      </c>
      <c r="F24471" s="4">
        <f>IFERROR(__xludf.DUMMYFUNCTION("""COMPUTED_VALUE"""),3143.0)</f>
        <v>3143</v>
      </c>
      <c r="G24471" s="4">
        <f>IFERROR(__xludf.DUMMYFUNCTION("""COMPUTED_VALUE"""),30.0)</f>
        <v>30</v>
      </c>
      <c r="H24471" s="4"/>
      <c r="I24471" s="4"/>
    </row>
    <row r="24472">
      <c r="A24472" s="4" t="str">
        <f>IFERROR(__xludf.DUMMYFUNCTION("""COMPUTED_VALUE"""),"cas_hmw")</f>
        <v>cas_hmw</v>
      </c>
      <c r="B24472" s="5">
        <f>IFERROR(__xludf.DUMMYFUNCTION("""COMPUTED_VALUE"""),44803.0)</f>
        <v>44803</v>
      </c>
      <c r="C24472" s="6">
        <f>IFERROR(__xludf.DUMMYFUNCTION("""COMPUTED_VALUE"""),0.8100000000013097)</f>
        <v>0.81</v>
      </c>
      <c r="D24472" s="4">
        <f>IFERROR(__xludf.DUMMYFUNCTION("""COMPUTED_VALUE"""),12.903561)</f>
        <v>12.903561</v>
      </c>
      <c r="E24472" s="4">
        <f>IFERROR(__xludf.DUMMYFUNCTION("""COMPUTED_VALUE"""),80.09434)</f>
        <v>80.09434</v>
      </c>
      <c r="F24472" s="4">
        <f>IFERROR(__xludf.DUMMYFUNCTION("""COMPUTED_VALUE"""),3143.0)</f>
        <v>3143</v>
      </c>
      <c r="G24472" s="4">
        <f>IFERROR(__xludf.DUMMYFUNCTION("""COMPUTED_VALUE"""),30.0)</f>
        <v>30</v>
      </c>
      <c r="H24472" s="4"/>
      <c r="I24472" s="4"/>
    </row>
    <row r="24473">
      <c r="A24473" s="4" t="str">
        <f>IFERROR(__xludf.DUMMYFUNCTION("""COMPUTED_VALUE"""),"cas_hmw")</f>
        <v>cas_hmw</v>
      </c>
      <c r="B24473" s="5">
        <f>IFERROR(__xludf.DUMMYFUNCTION("""COMPUTED_VALUE"""),44803.0)</f>
        <v>44803</v>
      </c>
      <c r="C24473" s="6">
        <f>IFERROR(__xludf.DUMMYFUNCTION("""COMPUTED_VALUE"""),0.8101157407400024)</f>
        <v>0.8101157407</v>
      </c>
      <c r="D24473" s="4">
        <f>IFERROR(__xludf.DUMMYFUNCTION("""COMPUTED_VALUE"""),12.902658)</f>
        <v>12.902658</v>
      </c>
      <c r="E24473" s="4">
        <f>IFERROR(__xludf.DUMMYFUNCTION("""COMPUTED_VALUE"""),80.093602)</f>
        <v>80.093602</v>
      </c>
      <c r="F24473" s="4">
        <f>IFERROR(__xludf.DUMMYFUNCTION("""COMPUTED_VALUE"""),3143.0)</f>
        <v>3143</v>
      </c>
      <c r="G24473" s="4">
        <f>IFERROR(__xludf.DUMMYFUNCTION("""COMPUTED_VALUE"""),29.0)</f>
        <v>29</v>
      </c>
      <c r="H24473" s="4"/>
      <c r="I24473" s="4"/>
    </row>
    <row r="24474">
      <c r="A24474" s="4" t="str">
        <f>IFERROR(__xludf.DUMMYFUNCTION("""COMPUTED_VALUE"""),"cas_hmw")</f>
        <v>cas_hmw</v>
      </c>
      <c r="B24474" s="5">
        <f>IFERROR(__xludf.DUMMYFUNCTION("""COMPUTED_VALUE"""),44803.0)</f>
        <v>44803</v>
      </c>
      <c r="C24474" s="6">
        <f>IFERROR(__xludf.DUMMYFUNCTION("""COMPUTED_VALUE"""),0.8106597222213168)</f>
        <v>0.8106597222</v>
      </c>
      <c r="D24474" s="4">
        <f>IFERROR(__xludf.DUMMYFUNCTION("""COMPUTED_VALUE"""),12.89845)</f>
        <v>12.89845</v>
      </c>
      <c r="E24474" s="4">
        <f>IFERROR(__xludf.DUMMYFUNCTION("""COMPUTED_VALUE"""),80.090392)</f>
        <v>80.090392</v>
      </c>
      <c r="F24474" s="4">
        <f>IFERROR(__xludf.DUMMYFUNCTION("""COMPUTED_VALUE"""),3143.0)</f>
        <v>3143</v>
      </c>
      <c r="G24474" s="4">
        <f>IFERROR(__xludf.DUMMYFUNCTION("""COMPUTED_VALUE"""),56.0)</f>
        <v>56</v>
      </c>
      <c r="H24474" s="4"/>
      <c r="I24474" s="4"/>
    </row>
    <row r="24475">
      <c r="A24475" s="4" t="str">
        <f>IFERROR(__xludf.DUMMYFUNCTION("""COMPUTED_VALUE"""),"cas_hmw")</f>
        <v>cas_hmw</v>
      </c>
      <c r="B24475" s="5">
        <f>IFERROR(__xludf.DUMMYFUNCTION("""COMPUTED_VALUE"""),44803.0)</f>
        <v>44803</v>
      </c>
      <c r="C24475" s="6">
        <f>IFERROR(__xludf.DUMMYFUNCTION("""COMPUTED_VALUE"""),0.8108680555560568)</f>
        <v>0.8108680556</v>
      </c>
      <c r="D24475" s="4">
        <f>IFERROR(__xludf.DUMMYFUNCTION("""COMPUTED_VALUE"""),12.897058)</f>
        <v>12.897058</v>
      </c>
      <c r="E24475" s="4">
        <f>IFERROR(__xludf.DUMMYFUNCTION("""COMPUTED_VALUE"""),80.089338)</f>
        <v>80.089338</v>
      </c>
      <c r="F24475" s="4">
        <f>IFERROR(__xludf.DUMMYFUNCTION("""COMPUTED_VALUE"""),3143.0)</f>
        <v>3143</v>
      </c>
      <c r="G24475" s="4">
        <f>IFERROR(__xludf.DUMMYFUNCTION("""COMPUTED_VALUE"""),28.0)</f>
        <v>28</v>
      </c>
      <c r="H24475" s="4"/>
      <c r="I24475" s="4"/>
    </row>
    <row r="24476">
      <c r="A24476" s="4" t="str">
        <f>IFERROR(__xludf.DUMMYFUNCTION("""COMPUTED_VALUE"""),"cas_hmw")</f>
        <v>cas_hmw</v>
      </c>
      <c r="B24476" s="5">
        <f>IFERROR(__xludf.DUMMYFUNCTION("""COMPUTED_VALUE"""),44803.0)</f>
        <v>44803</v>
      </c>
      <c r="C24476" s="6">
        <f>IFERROR(__xludf.DUMMYFUNCTION("""COMPUTED_VALUE"""),0.8109722222216078)</f>
        <v>0.8109722222</v>
      </c>
      <c r="D24476" s="4">
        <f>IFERROR(__xludf.DUMMYFUNCTION("""COMPUTED_VALUE"""),12.896309)</f>
        <v>12.896309</v>
      </c>
      <c r="E24476" s="4">
        <f>IFERROR(__xludf.DUMMYFUNCTION("""COMPUTED_VALUE"""),80.088779)</f>
        <v>80.088779</v>
      </c>
      <c r="F24476" s="4">
        <f>IFERROR(__xludf.DUMMYFUNCTION("""COMPUTED_VALUE"""),3143.0)</f>
        <v>3143</v>
      </c>
      <c r="G24476" s="4">
        <f>IFERROR(__xludf.DUMMYFUNCTION("""COMPUTED_VALUE"""),36.0)</f>
        <v>36</v>
      </c>
      <c r="H24476" s="4"/>
      <c r="I24476" s="4"/>
    </row>
    <row r="24477">
      <c r="A24477" s="4" t="str">
        <f>IFERROR(__xludf.DUMMYFUNCTION("""COMPUTED_VALUE"""),"cas_hmw")</f>
        <v>cas_hmw</v>
      </c>
      <c r="B24477" s="5">
        <f>IFERROR(__xludf.DUMMYFUNCTION("""COMPUTED_VALUE"""),44803.0)</f>
        <v>44803</v>
      </c>
      <c r="C24477" s="6">
        <f>IFERROR(__xludf.DUMMYFUNCTION("""COMPUTED_VALUE"""),0.8110185185178125)</f>
        <v>0.8110185185</v>
      </c>
      <c r="D24477" s="4">
        <f>IFERROR(__xludf.DUMMYFUNCTION("""COMPUTED_VALUE"""),12.895495)</f>
        <v>12.895495</v>
      </c>
      <c r="E24477" s="4">
        <f>IFERROR(__xludf.DUMMYFUNCTION("""COMPUTED_VALUE"""),80.088151)</f>
        <v>80.088151</v>
      </c>
      <c r="F24477" s="4">
        <f>IFERROR(__xludf.DUMMYFUNCTION("""COMPUTED_VALUE"""),3143.0)</f>
        <v>3143</v>
      </c>
      <c r="G24477" s="4">
        <f>IFERROR(__xludf.DUMMYFUNCTION("""COMPUTED_VALUE"""),45.0)</f>
        <v>45</v>
      </c>
      <c r="H24477" s="4"/>
      <c r="I24477" s="4"/>
    </row>
    <row r="24478">
      <c r="A24478" s="4" t="str">
        <f>IFERROR(__xludf.DUMMYFUNCTION("""COMPUTED_VALUE"""),"cas_hmw")</f>
        <v>cas_hmw</v>
      </c>
      <c r="B24478" s="5">
        <f>IFERROR(__xludf.DUMMYFUNCTION("""COMPUTED_VALUE"""),44803.0)</f>
        <v>44803</v>
      </c>
      <c r="C24478" s="6">
        <f>IFERROR(__xludf.DUMMYFUNCTION("""COMPUTED_VALUE"""),0.8117245370376622)</f>
        <v>0.811724537</v>
      </c>
      <c r="D24478" s="4">
        <f>IFERROR(__xludf.DUMMYFUNCTION("""COMPUTED_VALUE"""),12.888856)</f>
        <v>12.888856</v>
      </c>
      <c r="E24478" s="4">
        <f>IFERROR(__xludf.DUMMYFUNCTION("""COMPUTED_VALUE"""),80.084165)</f>
        <v>80.084165</v>
      </c>
      <c r="F24478" s="4">
        <f>IFERROR(__xludf.DUMMYFUNCTION("""COMPUTED_VALUE"""),3143.0)</f>
        <v>3143</v>
      </c>
      <c r="G24478" s="4">
        <f>IFERROR(__xludf.DUMMYFUNCTION("""COMPUTED_VALUE"""),53.0)</f>
        <v>53</v>
      </c>
      <c r="H24478" s="4"/>
      <c r="I24478" s="4"/>
    </row>
    <row r="24479">
      <c r="A24479" s="4" t="str">
        <f>IFERROR(__xludf.DUMMYFUNCTION("""COMPUTED_VALUE"""),"cas_hmw")</f>
        <v>cas_hmw</v>
      </c>
      <c r="B24479" s="5">
        <f>IFERROR(__xludf.DUMMYFUNCTION("""COMPUTED_VALUE"""),44804.0)</f>
        <v>44804</v>
      </c>
      <c r="C24479" s="6">
        <f>IFERROR(__xludf.DUMMYFUNCTION("""COMPUTED_VALUE"""),0.24439814814832062)</f>
        <v>0.2443981481</v>
      </c>
      <c r="D24479" s="4">
        <f>IFERROR(__xludf.DUMMYFUNCTION("""COMPUTED_VALUE"""),12.886808)</f>
        <v>12.886808</v>
      </c>
      <c r="E24479" s="4">
        <f>IFERROR(__xludf.DUMMYFUNCTION("""COMPUTED_VALUE"""),80.083132)</f>
        <v>80.083132</v>
      </c>
      <c r="F24479" s="4">
        <f>IFERROR(__xludf.DUMMYFUNCTION("""COMPUTED_VALUE"""),5339.0)</f>
        <v>5339</v>
      </c>
      <c r="G24479" s="4">
        <f>IFERROR(__xludf.DUMMYFUNCTION("""COMPUTED_VALUE"""),52.0)</f>
        <v>52</v>
      </c>
      <c r="H24479" s="4"/>
      <c r="I24479" s="4"/>
    </row>
    <row r="24480">
      <c r="A24480" s="4" t="str">
        <f>IFERROR(__xludf.DUMMYFUNCTION("""COMPUTED_VALUE"""),"cas_hmw")</f>
        <v>cas_hmw</v>
      </c>
      <c r="B24480" s="5">
        <f>IFERROR(__xludf.DUMMYFUNCTION("""COMPUTED_VALUE"""),44804.0)</f>
        <v>44804</v>
      </c>
      <c r="C24480" s="6">
        <f>IFERROR(__xludf.DUMMYFUNCTION("""COMPUTED_VALUE"""),0.2445138888906513)</f>
        <v>0.2445138889</v>
      </c>
      <c r="D24480" s="4">
        <f>IFERROR(__xludf.DUMMYFUNCTION("""COMPUTED_VALUE"""),12.88803)</f>
        <v>12.88803</v>
      </c>
      <c r="E24480" s="4">
        <f>IFERROR(__xludf.DUMMYFUNCTION("""COMPUTED_VALUE"""),80.083656)</f>
        <v>80.083656</v>
      </c>
      <c r="F24480" s="4">
        <f>IFERROR(__xludf.DUMMYFUNCTION("""COMPUTED_VALUE"""),5339.0)</f>
        <v>5339</v>
      </c>
      <c r="G24480" s="4">
        <f>IFERROR(__xludf.DUMMYFUNCTION("""COMPUTED_VALUE"""),46.0)</f>
        <v>46</v>
      </c>
      <c r="H24480" s="4"/>
      <c r="I24480" s="4"/>
    </row>
    <row r="24481">
      <c r="A24481" s="4" t="str">
        <f>IFERROR(__xludf.DUMMYFUNCTION("""COMPUTED_VALUE"""),"cas_hmw")</f>
        <v>cas_hmw</v>
      </c>
      <c r="B24481" s="5">
        <f>IFERROR(__xludf.DUMMYFUNCTION("""COMPUTED_VALUE"""),44804.0)</f>
        <v>44804</v>
      </c>
      <c r="C24481" s="6">
        <f>IFERROR(__xludf.DUMMYFUNCTION("""COMPUTED_VALUE"""),0.24628472222320852)</f>
        <v>0.2462847222</v>
      </c>
      <c r="D24481" s="4">
        <f>IFERROR(__xludf.DUMMYFUNCTION("""COMPUTED_VALUE"""),12.905268)</f>
        <v>12.905268</v>
      </c>
      <c r="E24481" s="4">
        <f>IFERROR(__xludf.DUMMYFUNCTION("""COMPUTED_VALUE"""),80.09551)</f>
        <v>80.09551</v>
      </c>
      <c r="F24481" s="4">
        <f>IFERROR(__xludf.DUMMYFUNCTION("""COMPUTED_VALUE"""),5339.0)</f>
        <v>5339</v>
      </c>
      <c r="G24481" s="4">
        <f>IFERROR(__xludf.DUMMYFUNCTION("""COMPUTED_VALUE"""),21.0)</f>
        <v>21</v>
      </c>
      <c r="H24481" s="4"/>
      <c r="I24481" s="4"/>
    </row>
    <row r="24482">
      <c r="A24482" s="4" t="str">
        <f>IFERROR(__xludf.DUMMYFUNCTION("""COMPUTED_VALUE"""),"cas_hmw")</f>
        <v>cas_hmw</v>
      </c>
      <c r="B24482" s="5">
        <f>IFERROR(__xludf.DUMMYFUNCTION("""COMPUTED_VALUE"""),44804.0)</f>
        <v>44804</v>
      </c>
      <c r="C24482" s="6">
        <f>IFERROR(__xludf.DUMMYFUNCTION("""COMPUTED_VALUE"""),0.247349537035916)</f>
        <v>0.247349537</v>
      </c>
      <c r="D24482" s="4">
        <f>IFERROR(__xludf.DUMMYFUNCTION("""COMPUTED_VALUE"""),12.914792)</f>
        <v>12.914792</v>
      </c>
      <c r="E24482" s="4">
        <f>IFERROR(__xludf.DUMMYFUNCTION("""COMPUTED_VALUE"""),80.101865)</f>
        <v>80.101865</v>
      </c>
      <c r="F24482" s="4">
        <f>IFERROR(__xludf.DUMMYFUNCTION("""COMPUTED_VALUE"""),5339.0)</f>
        <v>5339</v>
      </c>
      <c r="G24482" s="4">
        <f>IFERROR(__xludf.DUMMYFUNCTION("""COMPUTED_VALUE"""),55.0)</f>
        <v>55</v>
      </c>
      <c r="H24482" s="4"/>
      <c r="I24482" s="4"/>
    </row>
    <row r="24483">
      <c r="A24483" s="4" t="str">
        <f>IFERROR(__xludf.DUMMYFUNCTION("""COMPUTED_VALUE"""),"cas_hmw")</f>
        <v>cas_hmw</v>
      </c>
      <c r="B24483" s="5">
        <f>IFERROR(__xludf.DUMMYFUNCTION("""COMPUTED_VALUE"""),44804.0)</f>
        <v>44804</v>
      </c>
      <c r="C24483" s="6">
        <f>IFERROR(__xludf.DUMMYFUNCTION("""COMPUTED_VALUE"""),0.2477083333324117)</f>
        <v>0.2477083333</v>
      </c>
      <c r="D24483" s="4">
        <f>IFERROR(__xludf.DUMMYFUNCTION("""COMPUTED_VALUE"""),12.916345)</f>
        <v>12.916345</v>
      </c>
      <c r="E24483" s="4">
        <f>IFERROR(__xludf.DUMMYFUNCTION("""COMPUTED_VALUE"""),80.105865)</f>
        <v>80.105865</v>
      </c>
      <c r="F24483" s="4">
        <f>IFERROR(__xludf.DUMMYFUNCTION("""COMPUTED_VALUE"""),5339.0)</f>
        <v>5339</v>
      </c>
      <c r="G24483" s="4">
        <f>IFERROR(__xludf.DUMMYFUNCTION("""COMPUTED_VALUE"""),47.0)</f>
        <v>47</v>
      </c>
      <c r="H24483" s="4"/>
      <c r="I24483" s="4"/>
    </row>
    <row r="24484">
      <c r="A24484" s="4" t="str">
        <f>IFERROR(__xludf.DUMMYFUNCTION("""COMPUTED_VALUE"""),"cas_hmw")</f>
        <v>cas_hmw</v>
      </c>
      <c r="B24484" s="5">
        <f>IFERROR(__xludf.DUMMYFUNCTION("""COMPUTED_VALUE"""),44804.0)</f>
        <v>44804</v>
      </c>
      <c r="C24484" s="6">
        <f>IFERROR(__xludf.DUMMYFUNCTION("""COMPUTED_VALUE"""),0.2489814814798592)</f>
        <v>0.2489814815</v>
      </c>
      <c r="D24484" s="4">
        <f>IFERROR(__xludf.DUMMYFUNCTION("""COMPUTED_VALUE"""),12.923505)</f>
        <v>12.923505</v>
      </c>
      <c r="E24484" s="4">
        <f>IFERROR(__xludf.DUMMYFUNCTION("""COMPUTED_VALUE"""),80.114396)</f>
        <v>80.114396</v>
      </c>
      <c r="F24484" s="4">
        <f>IFERROR(__xludf.DUMMYFUNCTION("""COMPUTED_VALUE"""),5339.0)</f>
        <v>5339</v>
      </c>
      <c r="G24484" s="4">
        <f>IFERROR(__xludf.DUMMYFUNCTION("""COMPUTED_VALUE"""),39.0)</f>
        <v>39</v>
      </c>
      <c r="H24484" s="4"/>
      <c r="I24484" s="4"/>
    </row>
    <row r="24485">
      <c r="A24485" s="4" t="str">
        <f>IFERROR(__xludf.DUMMYFUNCTION("""COMPUTED_VALUE"""),"cas_hmw")</f>
        <v>cas_hmw</v>
      </c>
      <c r="B24485" s="5">
        <f>IFERROR(__xludf.DUMMYFUNCTION("""COMPUTED_VALUE"""),44804.0)</f>
        <v>44804</v>
      </c>
      <c r="C24485" s="6">
        <f>IFERROR(__xludf.DUMMYFUNCTION("""COMPUTED_VALUE"""),0.24952546296117362)</f>
        <v>0.249525463</v>
      </c>
      <c r="D24485" s="4">
        <f>IFERROR(__xludf.DUMMYFUNCTION("""COMPUTED_VALUE"""),12.925335)</f>
        <v>12.925335</v>
      </c>
      <c r="E24485" s="4">
        <f>IFERROR(__xludf.DUMMYFUNCTION("""COMPUTED_VALUE"""),80.116234)</f>
        <v>80.116234</v>
      </c>
      <c r="F24485" s="4">
        <f>IFERROR(__xludf.DUMMYFUNCTION("""COMPUTED_VALUE"""),5339.0)</f>
        <v>5339</v>
      </c>
      <c r="G24485" s="4">
        <f>IFERROR(__xludf.DUMMYFUNCTION("""COMPUTED_VALUE"""),38.0)</f>
        <v>38</v>
      </c>
      <c r="H24485" s="4"/>
      <c r="I24485" s="4"/>
    </row>
    <row r="24486">
      <c r="A24486" s="4" t="str">
        <f>IFERROR(__xludf.DUMMYFUNCTION("""COMPUTED_VALUE"""),"cas_hmw")</f>
        <v>cas_hmw</v>
      </c>
      <c r="B24486" s="5">
        <f>IFERROR(__xludf.DUMMYFUNCTION("""COMPUTED_VALUE"""),44804.0)</f>
        <v>44804</v>
      </c>
      <c r="C24486" s="6">
        <f>IFERROR(__xludf.DUMMYFUNCTION("""COMPUTED_VALUE"""),0.2507175925929914)</f>
        <v>0.2507175926</v>
      </c>
      <c r="D24486" s="4">
        <f>IFERROR(__xludf.DUMMYFUNCTION("""COMPUTED_VALUE"""),12.928269)</f>
        <v>12.928269</v>
      </c>
      <c r="E24486" s="4">
        <f>IFERROR(__xludf.DUMMYFUNCTION("""COMPUTED_VALUE"""),80.119388)</f>
        <v>80.119388</v>
      </c>
      <c r="F24486" s="4">
        <f>IFERROR(__xludf.DUMMYFUNCTION("""COMPUTED_VALUE"""),5339.0)</f>
        <v>5339</v>
      </c>
      <c r="G24486" s="4">
        <f>IFERROR(__xludf.DUMMYFUNCTION("""COMPUTED_VALUE"""),24.0)</f>
        <v>24</v>
      </c>
      <c r="H24486" s="4"/>
      <c r="I24486" s="4"/>
    </row>
    <row r="24487">
      <c r="A24487" s="4" t="str">
        <f>IFERROR(__xludf.DUMMYFUNCTION("""COMPUTED_VALUE"""),"cas_hmw")</f>
        <v>cas_hmw</v>
      </c>
      <c r="B24487" s="5">
        <f>IFERROR(__xludf.DUMMYFUNCTION("""COMPUTED_VALUE"""),44804.0)</f>
        <v>44804</v>
      </c>
      <c r="C24487" s="6">
        <f>IFERROR(__xludf.DUMMYFUNCTION("""COMPUTED_VALUE"""),0.25125000000116415)</f>
        <v>0.25125</v>
      </c>
      <c r="D24487" s="4">
        <f>IFERROR(__xludf.DUMMYFUNCTION("""COMPUTED_VALUE"""),12.931186)</f>
        <v>12.931186</v>
      </c>
      <c r="E24487" s="4">
        <f>IFERROR(__xludf.DUMMYFUNCTION("""COMPUTED_VALUE"""),80.122297)</f>
        <v>80.122297</v>
      </c>
      <c r="F24487" s="4">
        <f>IFERROR(__xludf.DUMMYFUNCTION("""COMPUTED_VALUE"""),5339.0)</f>
        <v>5339</v>
      </c>
      <c r="G24487" s="4">
        <f>IFERROR(__xludf.DUMMYFUNCTION("""COMPUTED_VALUE"""),44.0)</f>
        <v>44</v>
      </c>
      <c r="H24487" s="4"/>
      <c r="I24487" s="4"/>
    </row>
    <row r="24488">
      <c r="A24488" s="4" t="str">
        <f>IFERROR(__xludf.DUMMYFUNCTION("""COMPUTED_VALUE"""),"cas_hmw")</f>
        <v>cas_hmw</v>
      </c>
      <c r="B24488" s="5">
        <f>IFERROR(__xludf.DUMMYFUNCTION("""COMPUTED_VALUE"""),44804.0)</f>
        <v>44804</v>
      </c>
      <c r="C24488" s="6">
        <f>IFERROR(__xludf.DUMMYFUNCTION("""COMPUTED_VALUE"""),0.25162037037080154)</f>
        <v>0.2516203704</v>
      </c>
      <c r="D24488" s="4">
        <f>IFERROR(__xludf.DUMMYFUNCTION("""COMPUTED_VALUE"""),12.934792)</f>
        <v>12.934792</v>
      </c>
      <c r="E24488" s="4">
        <f>IFERROR(__xludf.DUMMYFUNCTION("""COMPUTED_VALUE"""),80.125892)</f>
        <v>80.125892</v>
      </c>
      <c r="F24488" s="4">
        <f>IFERROR(__xludf.DUMMYFUNCTION("""COMPUTED_VALUE"""),5339.0)</f>
        <v>5339</v>
      </c>
      <c r="G24488" s="4">
        <f>IFERROR(__xludf.DUMMYFUNCTION("""COMPUTED_VALUE"""),51.0)</f>
        <v>51</v>
      </c>
      <c r="H24488" s="4"/>
      <c r="I24488" s="4"/>
    </row>
    <row r="24489">
      <c r="A24489" s="4" t="str">
        <f>IFERROR(__xludf.DUMMYFUNCTION("""COMPUTED_VALUE"""),"cas_hmw")</f>
        <v>cas_hmw</v>
      </c>
      <c r="B24489" s="5">
        <f>IFERROR(__xludf.DUMMYFUNCTION("""COMPUTED_VALUE"""),44804.0)</f>
        <v>44804</v>
      </c>
      <c r="C24489" s="6">
        <f>IFERROR(__xludf.DUMMYFUNCTION("""COMPUTED_VALUE"""),0.2559953703712381)</f>
        <v>0.2559953704</v>
      </c>
      <c r="D24489" s="4">
        <f>IFERROR(__xludf.DUMMYFUNCTION("""COMPUTED_VALUE"""),12.952306)</f>
        <v>12.952306</v>
      </c>
      <c r="E24489" s="4">
        <f>IFERROR(__xludf.DUMMYFUNCTION("""COMPUTED_VALUE"""),80.1408)</f>
        <v>80.1408</v>
      </c>
      <c r="F24489" s="4">
        <f>IFERROR(__xludf.DUMMYFUNCTION("""COMPUTED_VALUE"""),5339.0)</f>
        <v>5339</v>
      </c>
      <c r="G24489" s="4">
        <f>IFERROR(__xludf.DUMMYFUNCTION("""COMPUTED_VALUE"""),10.0)</f>
        <v>10</v>
      </c>
      <c r="H24489" s="4"/>
      <c r="I24489" s="4"/>
    </row>
    <row r="24490">
      <c r="A24490" s="4" t="str">
        <f>IFERROR(__xludf.DUMMYFUNCTION("""COMPUTED_VALUE"""),"cas_hmw")</f>
        <v>cas_hmw</v>
      </c>
      <c r="B24490" s="5">
        <f>IFERROR(__xludf.DUMMYFUNCTION("""COMPUTED_VALUE"""),44804.0)</f>
        <v>44804</v>
      </c>
      <c r="C24490" s="6">
        <f>IFERROR(__xludf.DUMMYFUNCTION("""COMPUTED_VALUE"""),0.25604166666744277)</f>
        <v>0.2560416667</v>
      </c>
      <c r="D24490" s="4">
        <f>IFERROR(__xludf.DUMMYFUNCTION("""COMPUTED_VALUE"""),12.952306)</f>
        <v>12.952306</v>
      </c>
      <c r="E24490" s="4">
        <f>IFERROR(__xludf.DUMMYFUNCTION("""COMPUTED_VALUE"""),80.1408)</f>
        <v>80.1408</v>
      </c>
      <c r="F24490" s="4">
        <f>IFERROR(__xludf.DUMMYFUNCTION("""COMPUTED_VALUE"""),5339.0)</f>
        <v>5339</v>
      </c>
      <c r="G24490" s="4">
        <f>IFERROR(__xludf.DUMMYFUNCTION("""COMPUTED_VALUE"""),10.0)</f>
        <v>10</v>
      </c>
      <c r="H24490" s="4"/>
      <c r="I24490" s="4"/>
    </row>
    <row r="24491">
      <c r="A24491" s="4" t="str">
        <f>IFERROR(__xludf.DUMMYFUNCTION("""COMPUTED_VALUE"""),"cas_hmw")</f>
        <v>cas_hmw</v>
      </c>
      <c r="B24491" s="5">
        <f>IFERROR(__xludf.DUMMYFUNCTION("""COMPUTED_VALUE"""),44804.0)</f>
        <v>44804</v>
      </c>
      <c r="C24491" s="6">
        <f>IFERROR(__xludf.DUMMYFUNCTION("""COMPUTED_VALUE"""),0.2571874999994179)</f>
        <v>0.2571875</v>
      </c>
      <c r="D24491" s="4">
        <f>IFERROR(__xludf.DUMMYFUNCTION("""COMPUTED_VALUE"""),12.960052)</f>
        <v>12.960052</v>
      </c>
      <c r="E24491" s="4">
        <f>IFERROR(__xludf.DUMMYFUNCTION("""COMPUTED_VALUE"""),80.145143)</f>
        <v>80.145143</v>
      </c>
      <c r="F24491" s="4">
        <f>IFERROR(__xludf.DUMMYFUNCTION("""COMPUTED_VALUE"""),5339.0)</f>
        <v>5339</v>
      </c>
      <c r="G24491" s="4">
        <f>IFERROR(__xludf.DUMMYFUNCTION("""COMPUTED_VALUE"""),42.0)</f>
        <v>42</v>
      </c>
      <c r="H24491" s="4"/>
      <c r="I24491" s="4"/>
    </row>
    <row r="24492">
      <c r="A24492" s="4" t="str">
        <f>IFERROR(__xludf.DUMMYFUNCTION("""COMPUTED_VALUE"""),"cas_hmw")</f>
        <v>cas_hmw</v>
      </c>
      <c r="B24492" s="5">
        <f>IFERROR(__xludf.DUMMYFUNCTION("""COMPUTED_VALUE"""),44804.0)</f>
        <v>44804</v>
      </c>
      <c r="C24492" s="6">
        <f>IFERROR(__xludf.DUMMYFUNCTION("""COMPUTED_VALUE"""),0.25834490740817273)</f>
        <v>0.2583449074</v>
      </c>
      <c r="D24492" s="4">
        <f>IFERROR(__xludf.DUMMYFUNCTION("""COMPUTED_VALUE"""),12.969716)</f>
        <v>12.969716</v>
      </c>
      <c r="E24492" s="4">
        <f>IFERROR(__xludf.DUMMYFUNCTION("""COMPUTED_VALUE"""),80.150196)</f>
        <v>80.150196</v>
      </c>
      <c r="F24492" s="4">
        <f>IFERROR(__xludf.DUMMYFUNCTION("""COMPUTED_VALUE"""),5339.0)</f>
        <v>5339</v>
      </c>
      <c r="G24492" s="4">
        <f>IFERROR(__xludf.DUMMYFUNCTION("""COMPUTED_VALUE"""),58.0)</f>
        <v>58</v>
      </c>
      <c r="H24492" s="4"/>
      <c r="I24492" s="4"/>
    </row>
    <row r="24493">
      <c r="A24493" s="4" t="str">
        <f>IFERROR(__xludf.DUMMYFUNCTION("""COMPUTED_VALUE"""),"cas_hmw")</f>
        <v>cas_hmw</v>
      </c>
      <c r="B24493" s="5">
        <f>IFERROR(__xludf.DUMMYFUNCTION("""COMPUTED_VALUE"""),44804.0)</f>
        <v>44804</v>
      </c>
      <c r="C24493" s="6">
        <f>IFERROR(__xludf.DUMMYFUNCTION("""COMPUTED_VALUE"""),0.25994212962905294)</f>
        <v>0.2599421296</v>
      </c>
      <c r="D24493" s="4">
        <f>IFERROR(__xludf.DUMMYFUNCTION("""COMPUTED_VALUE"""),12.981529)</f>
        <v>12.981529</v>
      </c>
      <c r="E24493" s="4">
        <f>IFERROR(__xludf.DUMMYFUNCTION("""COMPUTED_VALUE"""),80.166691)</f>
        <v>80.166691</v>
      </c>
      <c r="F24493" s="4">
        <f>IFERROR(__xludf.DUMMYFUNCTION("""COMPUTED_VALUE"""),5339.0)</f>
        <v>5339</v>
      </c>
      <c r="G24493" s="4">
        <f>IFERROR(__xludf.DUMMYFUNCTION("""COMPUTED_VALUE"""),57.0)</f>
        <v>57</v>
      </c>
      <c r="H24493" s="4"/>
      <c r="I24493" s="4"/>
    </row>
    <row r="24494">
      <c r="A24494" s="4" t="str">
        <f>IFERROR(__xludf.DUMMYFUNCTION("""COMPUTED_VALUE"""),"cas_hmw")</f>
        <v>cas_hmw</v>
      </c>
      <c r="B24494" s="5">
        <f>IFERROR(__xludf.DUMMYFUNCTION("""COMPUTED_VALUE"""),44804.0)</f>
        <v>44804</v>
      </c>
      <c r="C24494" s="6">
        <f>IFERROR(__xludf.DUMMYFUNCTION("""COMPUTED_VALUE"""),0.26385416666744277)</f>
        <v>0.2638541667</v>
      </c>
      <c r="D24494" s="4">
        <f>IFERROR(__xludf.DUMMYFUNCTION("""COMPUTED_VALUE"""),12.990066)</f>
        <v>12.990066</v>
      </c>
      <c r="E24494" s="4">
        <f>IFERROR(__xludf.DUMMYFUNCTION("""COMPUTED_VALUE"""),80.179554)</f>
        <v>80.179554</v>
      </c>
      <c r="F24494" s="4">
        <f>IFERROR(__xludf.DUMMYFUNCTION("""COMPUTED_VALUE"""),5339.0)</f>
        <v>5339</v>
      </c>
      <c r="G24494" s="4">
        <f>IFERROR(__xludf.DUMMYFUNCTION("""COMPUTED_VALUE"""),33.0)</f>
        <v>33</v>
      </c>
      <c r="H24494" s="4"/>
      <c r="I24494" s="4"/>
    </row>
    <row r="24495">
      <c r="A24495" s="4" t="str">
        <f>IFERROR(__xludf.DUMMYFUNCTION("""COMPUTED_VALUE"""),"cas_hmw")</f>
        <v>cas_hmw</v>
      </c>
      <c r="B24495" s="5">
        <f>IFERROR(__xludf.DUMMYFUNCTION("""COMPUTED_VALUE"""),44804.0)</f>
        <v>44804</v>
      </c>
      <c r="C24495" s="6">
        <f>IFERROR(__xludf.DUMMYFUNCTION("""COMPUTED_VALUE"""),0.2713310185172304)</f>
        <v>0.2713310185</v>
      </c>
      <c r="D24495" s="4">
        <f>IFERROR(__xludf.DUMMYFUNCTION("""COMPUTED_VALUE"""),13.018697)</f>
        <v>13.018697</v>
      </c>
      <c r="E24495" s="4">
        <f>IFERROR(__xludf.DUMMYFUNCTION("""COMPUTED_VALUE"""),80.224488)</f>
        <v>80.224488</v>
      </c>
      <c r="F24495" s="4">
        <f>IFERROR(__xludf.DUMMYFUNCTION("""COMPUTED_VALUE"""),5339.0)</f>
        <v>5339</v>
      </c>
      <c r="G24495" s="4">
        <f>IFERROR(__xludf.DUMMYFUNCTION("""COMPUTED_VALUE"""),39.0)</f>
        <v>39</v>
      </c>
      <c r="H24495" s="4"/>
      <c r="I24495" s="4"/>
    </row>
    <row r="24496">
      <c r="A24496" s="4" t="str">
        <f>IFERROR(__xludf.DUMMYFUNCTION("""COMPUTED_VALUE"""),"cas_hmw")</f>
        <v>cas_hmw</v>
      </c>
      <c r="B24496" s="5">
        <f>IFERROR(__xludf.DUMMYFUNCTION("""COMPUTED_VALUE"""),44804.0)</f>
        <v>44804</v>
      </c>
      <c r="C24496" s="6">
        <f>IFERROR(__xludf.DUMMYFUNCTION("""COMPUTED_VALUE"""),0.2714351851864194)</f>
        <v>0.2714351852</v>
      </c>
      <c r="D24496" s="4">
        <f>IFERROR(__xludf.DUMMYFUNCTION("""COMPUTED_VALUE"""),13.020096)</f>
        <v>13.020096</v>
      </c>
      <c r="E24496" s="4">
        <f>IFERROR(__xludf.DUMMYFUNCTION("""COMPUTED_VALUE"""),80.224811)</f>
        <v>80.224811</v>
      </c>
      <c r="F24496" s="4">
        <f>IFERROR(__xludf.DUMMYFUNCTION("""COMPUTED_VALUE"""),5339.0)</f>
        <v>5339</v>
      </c>
      <c r="G24496" s="4">
        <f>IFERROR(__xludf.DUMMYFUNCTION("""COMPUTED_VALUE"""),34.0)</f>
        <v>34</v>
      </c>
      <c r="H24496" s="4"/>
      <c r="I24496" s="4"/>
    </row>
    <row r="24497">
      <c r="A24497" s="4" t="str">
        <f>IFERROR(__xludf.DUMMYFUNCTION("""COMPUTED_VALUE"""),"cas_hmw")</f>
        <v>cas_hmw</v>
      </c>
      <c r="B24497" s="5">
        <f>IFERROR(__xludf.DUMMYFUNCTION("""COMPUTED_VALUE"""),44804.0)</f>
        <v>44804</v>
      </c>
      <c r="C24497" s="6">
        <f>IFERROR(__xludf.DUMMYFUNCTION("""COMPUTED_VALUE"""),0.27159722222131677)</f>
        <v>0.2715972222</v>
      </c>
      <c r="D24497" s="4">
        <f>IFERROR(__xludf.DUMMYFUNCTION("""COMPUTED_VALUE"""),13.021074)</f>
        <v>13.021074</v>
      </c>
      <c r="E24497" s="4">
        <f>IFERROR(__xludf.DUMMYFUNCTION("""COMPUTED_VALUE"""),80.225554)</f>
        <v>80.225554</v>
      </c>
      <c r="F24497" s="4">
        <f>IFERROR(__xludf.DUMMYFUNCTION("""COMPUTED_VALUE"""),5339.0)</f>
        <v>5339</v>
      </c>
      <c r="G24497" s="4">
        <f>IFERROR(__xludf.DUMMYFUNCTION("""COMPUTED_VALUE"""),32.0)</f>
        <v>32</v>
      </c>
      <c r="H24497" s="4"/>
      <c r="I24497" s="4"/>
    </row>
    <row r="24498">
      <c r="A24498" s="4" t="str">
        <f>IFERROR(__xludf.DUMMYFUNCTION("""COMPUTED_VALUE"""),"cas_hmw")</f>
        <v>cas_hmw</v>
      </c>
      <c r="B24498" s="5">
        <f>IFERROR(__xludf.DUMMYFUNCTION("""COMPUTED_VALUE"""),44804.0)</f>
        <v>44804</v>
      </c>
      <c r="C24498" s="6">
        <f>IFERROR(__xludf.DUMMYFUNCTION("""COMPUTED_VALUE"""),0.2717361111099308)</f>
        <v>0.2717361111</v>
      </c>
      <c r="D24498" s="4">
        <f>IFERROR(__xludf.DUMMYFUNCTION("""COMPUTED_VALUE"""),13.021074)</f>
        <v>13.021074</v>
      </c>
      <c r="E24498" s="4">
        <f>IFERROR(__xludf.DUMMYFUNCTION("""COMPUTED_VALUE"""),80.225554)</f>
        <v>80.225554</v>
      </c>
      <c r="F24498" s="4">
        <f>IFERROR(__xludf.DUMMYFUNCTION("""COMPUTED_VALUE"""),5339.0)</f>
        <v>5339</v>
      </c>
      <c r="G24498" s="4">
        <f>IFERROR(__xludf.DUMMYFUNCTION("""COMPUTED_VALUE"""),32.0)</f>
        <v>32</v>
      </c>
      <c r="H24498" s="4"/>
      <c r="I24498" s="4"/>
    </row>
    <row r="24499">
      <c r="A24499" s="4" t="str">
        <f>IFERROR(__xludf.DUMMYFUNCTION("""COMPUTED_VALUE"""),"cas_hmw")</f>
        <v>cas_hmw</v>
      </c>
      <c r="B24499" s="5">
        <f>IFERROR(__xludf.DUMMYFUNCTION("""COMPUTED_VALUE"""),44804.0)</f>
        <v>44804</v>
      </c>
      <c r="C24499" s="6">
        <f>IFERROR(__xludf.DUMMYFUNCTION("""COMPUTED_VALUE"""),0.27188657407532446)</f>
        <v>0.2718865741</v>
      </c>
      <c r="D24499" s="4">
        <f>IFERROR(__xludf.DUMMYFUNCTION("""COMPUTED_VALUE"""),13.022228)</f>
        <v>13.022228</v>
      </c>
      <c r="E24499" s="4">
        <f>IFERROR(__xludf.DUMMYFUNCTION("""COMPUTED_VALUE"""),80.226401)</f>
        <v>80.226401</v>
      </c>
      <c r="F24499" s="4">
        <f>IFERROR(__xludf.DUMMYFUNCTION("""COMPUTED_VALUE"""),5339.0)</f>
        <v>5339</v>
      </c>
      <c r="G24499" s="4">
        <f>IFERROR(__xludf.DUMMYFUNCTION("""COMPUTED_VALUE"""),39.0)</f>
        <v>39</v>
      </c>
      <c r="H24499" s="4"/>
      <c r="I24499" s="4"/>
    </row>
    <row r="24500">
      <c r="A24500" s="4" t="str">
        <f>IFERROR(__xludf.DUMMYFUNCTION("""COMPUTED_VALUE"""),"cas_hmw")</f>
        <v>cas_hmw</v>
      </c>
      <c r="B24500" s="5">
        <f>IFERROR(__xludf.DUMMYFUNCTION("""COMPUTED_VALUE"""),44804.0)</f>
        <v>44804</v>
      </c>
      <c r="C24500" s="6">
        <f>IFERROR(__xludf.DUMMYFUNCTION("""COMPUTED_VALUE"""),0.27189814814846613)</f>
        <v>0.2718981481</v>
      </c>
      <c r="D24500" s="4">
        <f>IFERROR(__xludf.DUMMYFUNCTION("""COMPUTED_VALUE"""),13.022228)</f>
        <v>13.022228</v>
      </c>
      <c r="E24500" s="4">
        <f>IFERROR(__xludf.DUMMYFUNCTION("""COMPUTED_VALUE"""),80.226401)</f>
        <v>80.226401</v>
      </c>
      <c r="F24500" s="4">
        <f>IFERROR(__xludf.DUMMYFUNCTION("""COMPUTED_VALUE"""),5339.0)</f>
        <v>5339</v>
      </c>
      <c r="G24500" s="4">
        <f>IFERROR(__xludf.DUMMYFUNCTION("""COMPUTED_VALUE"""),39.0)</f>
        <v>39</v>
      </c>
      <c r="H24500" s="4"/>
      <c r="I24500" s="4"/>
    </row>
    <row r="24501">
      <c r="A24501" s="4" t="str">
        <f>IFERROR(__xludf.DUMMYFUNCTION("""COMPUTED_VALUE"""),"cas_hmw")</f>
        <v>cas_hmw</v>
      </c>
      <c r="B24501" s="5">
        <f>IFERROR(__xludf.DUMMYFUNCTION("""COMPUTED_VALUE"""),44804.0)</f>
        <v>44804</v>
      </c>
      <c r="C24501" s="6">
        <f>IFERROR(__xludf.DUMMYFUNCTION("""COMPUTED_VALUE"""),0.2719444444446708)</f>
        <v>0.2719444444</v>
      </c>
      <c r="D24501" s="4">
        <f>IFERROR(__xludf.DUMMYFUNCTION("""COMPUTED_VALUE"""),13.022228)</f>
        <v>13.022228</v>
      </c>
      <c r="E24501" s="4">
        <f>IFERROR(__xludf.DUMMYFUNCTION("""COMPUTED_VALUE"""),80.226401)</f>
        <v>80.226401</v>
      </c>
      <c r="F24501" s="4">
        <f>IFERROR(__xludf.DUMMYFUNCTION("""COMPUTED_VALUE"""),5339.0)</f>
        <v>5339</v>
      </c>
      <c r="G24501" s="4">
        <f>IFERROR(__xludf.DUMMYFUNCTION("""COMPUTED_VALUE"""),39.0)</f>
        <v>39</v>
      </c>
      <c r="H24501" s="4"/>
      <c r="I24501" s="4"/>
    </row>
    <row r="24502">
      <c r="A24502" s="4" t="str">
        <f>IFERROR(__xludf.DUMMYFUNCTION("""COMPUTED_VALUE"""),"cas_hmw")</f>
        <v>cas_hmw</v>
      </c>
      <c r="B24502" s="5">
        <f>IFERROR(__xludf.DUMMYFUNCTION("""COMPUTED_VALUE"""),44804.0)</f>
        <v>44804</v>
      </c>
      <c r="C24502" s="6">
        <f>IFERROR(__xludf.DUMMYFUNCTION("""COMPUTED_VALUE"""),0.2719444444446708)</f>
        <v>0.2719444444</v>
      </c>
      <c r="D24502" s="4">
        <f>IFERROR(__xludf.DUMMYFUNCTION("""COMPUTED_VALUE"""),13.022228)</f>
        <v>13.022228</v>
      </c>
      <c r="E24502" s="4">
        <f>IFERROR(__xludf.DUMMYFUNCTION("""COMPUTED_VALUE"""),80.226401)</f>
        <v>80.226401</v>
      </c>
      <c r="F24502" s="4">
        <f>IFERROR(__xludf.DUMMYFUNCTION("""COMPUTED_VALUE"""),5339.0)</f>
        <v>5339</v>
      </c>
      <c r="G24502" s="4">
        <f>IFERROR(__xludf.DUMMYFUNCTION("""COMPUTED_VALUE"""),39.0)</f>
        <v>39</v>
      </c>
      <c r="H24502" s="4"/>
      <c r="I24502" s="4"/>
    </row>
    <row r="24503">
      <c r="A24503" s="4" t="str">
        <f>IFERROR(__xludf.DUMMYFUNCTION("""COMPUTED_VALUE"""),"cas_hmw")</f>
        <v>cas_hmw</v>
      </c>
      <c r="B24503" s="5">
        <f>IFERROR(__xludf.DUMMYFUNCTION("""COMPUTED_VALUE"""),44804.0)</f>
        <v>44804</v>
      </c>
      <c r="C24503" s="6">
        <f>IFERROR(__xludf.DUMMYFUNCTION("""COMPUTED_VALUE"""),0.2719791666677338)</f>
        <v>0.2719791667</v>
      </c>
      <c r="D24503" s="4">
        <f>IFERROR(__xludf.DUMMYFUNCTION("""COMPUTED_VALUE"""),13.023699)</f>
        <v>13.023699</v>
      </c>
      <c r="E24503" s="4">
        <f>IFERROR(__xludf.DUMMYFUNCTION("""COMPUTED_VALUE"""),80.227754)</f>
        <v>80.227754</v>
      </c>
      <c r="F24503" s="4">
        <f>IFERROR(__xludf.DUMMYFUNCTION("""COMPUTED_VALUE"""),5339.0)</f>
        <v>5339</v>
      </c>
      <c r="G24503" s="4">
        <f>IFERROR(__xludf.DUMMYFUNCTION("""COMPUTED_VALUE"""),45.0)</f>
        <v>45</v>
      </c>
      <c r="H24503" s="4"/>
      <c r="I24503" s="4"/>
    </row>
    <row r="24504">
      <c r="A24504" s="4" t="str">
        <f>IFERROR(__xludf.DUMMYFUNCTION("""COMPUTED_VALUE"""),"cas_hmw")</f>
        <v>cas_hmw</v>
      </c>
      <c r="B24504" s="5">
        <f>IFERROR(__xludf.DUMMYFUNCTION("""COMPUTED_VALUE"""),44804.0)</f>
        <v>44804</v>
      </c>
      <c r="C24504" s="6">
        <f>IFERROR(__xludf.DUMMYFUNCTION("""COMPUTED_VALUE"""),0.27236111111051287)</f>
        <v>0.2723611111</v>
      </c>
      <c r="D24504" s="4">
        <f>IFERROR(__xludf.DUMMYFUNCTION("""COMPUTED_VALUE"""),13.023699)</f>
        <v>13.023699</v>
      </c>
      <c r="E24504" s="4">
        <f>IFERROR(__xludf.DUMMYFUNCTION("""COMPUTED_VALUE"""),80.227754)</f>
        <v>80.227754</v>
      </c>
      <c r="F24504" s="4">
        <f>IFERROR(__xludf.DUMMYFUNCTION("""COMPUTED_VALUE"""),5339.0)</f>
        <v>5339</v>
      </c>
      <c r="G24504" s="4">
        <f>IFERROR(__xludf.DUMMYFUNCTION("""COMPUTED_VALUE"""),45.0)</f>
        <v>45</v>
      </c>
      <c r="H24504" s="4"/>
      <c r="I24504" s="4"/>
    </row>
    <row r="24505">
      <c r="A24505" s="4" t="str">
        <f>IFERROR(__xludf.DUMMYFUNCTION("""COMPUTED_VALUE"""),"cas_hmw")</f>
        <v>cas_hmw</v>
      </c>
      <c r="B24505" s="5">
        <f>IFERROR(__xludf.DUMMYFUNCTION("""COMPUTED_VALUE"""),44804.0)</f>
        <v>44804</v>
      </c>
      <c r="C24505" s="6">
        <f>IFERROR(__xludf.DUMMYFUNCTION("""COMPUTED_VALUE"""),0.27266203703766223)</f>
        <v>0.272662037</v>
      </c>
      <c r="D24505" s="4">
        <f>IFERROR(__xludf.DUMMYFUNCTION("""COMPUTED_VALUE"""),13.026007)</f>
        <v>13.026007</v>
      </c>
      <c r="E24505" s="4">
        <f>IFERROR(__xludf.DUMMYFUNCTION("""COMPUTED_VALUE"""),80.231215)</f>
        <v>80.231215</v>
      </c>
      <c r="F24505" s="4">
        <f>IFERROR(__xludf.DUMMYFUNCTION("""COMPUTED_VALUE"""),5339.0)</f>
        <v>5339</v>
      </c>
      <c r="G24505" s="4">
        <f>IFERROR(__xludf.DUMMYFUNCTION("""COMPUTED_VALUE"""),26.0)</f>
        <v>26</v>
      </c>
      <c r="H24505" s="4"/>
      <c r="I24505" s="4"/>
    </row>
    <row r="24506">
      <c r="A24506" s="4" t="str">
        <f>IFERROR(__xludf.DUMMYFUNCTION("""COMPUTED_VALUE"""),"cas_hmw")</f>
        <v>cas_hmw</v>
      </c>
      <c r="B24506" s="5">
        <f>IFERROR(__xludf.DUMMYFUNCTION("""COMPUTED_VALUE"""),44804.0)</f>
        <v>44804</v>
      </c>
      <c r="C24506" s="6">
        <f>IFERROR(__xludf.DUMMYFUNCTION("""COMPUTED_VALUE"""),0.27269675926072523)</f>
        <v>0.2726967593</v>
      </c>
      <c r="D24506" s="4">
        <f>IFERROR(__xludf.DUMMYFUNCTION("""COMPUTED_VALUE"""),13.026007)</f>
        <v>13.026007</v>
      </c>
      <c r="E24506" s="4">
        <f>IFERROR(__xludf.DUMMYFUNCTION("""COMPUTED_VALUE"""),80.231215)</f>
        <v>80.231215</v>
      </c>
      <c r="F24506" s="4">
        <f>IFERROR(__xludf.DUMMYFUNCTION("""COMPUTED_VALUE"""),5339.0)</f>
        <v>5339</v>
      </c>
      <c r="G24506" s="4">
        <f>IFERROR(__xludf.DUMMYFUNCTION("""COMPUTED_VALUE"""),26.0)</f>
        <v>26</v>
      </c>
      <c r="H24506" s="4"/>
      <c r="I24506" s="4"/>
    </row>
    <row r="24507">
      <c r="A24507" s="4" t="str">
        <f>IFERROR(__xludf.DUMMYFUNCTION("""COMPUTED_VALUE"""),"cas_hmw")</f>
        <v>cas_hmw</v>
      </c>
      <c r="B24507" s="5">
        <f>IFERROR(__xludf.DUMMYFUNCTION("""COMPUTED_VALUE"""),44804.0)</f>
        <v>44804</v>
      </c>
      <c r="C24507" s="6">
        <f>IFERROR(__xludf.DUMMYFUNCTION("""COMPUTED_VALUE"""),0.27290509259182727)</f>
        <v>0.2729050926</v>
      </c>
      <c r="D24507" s="4">
        <f>IFERROR(__xludf.DUMMYFUNCTION("""COMPUTED_VALUE"""),13.026306)</f>
        <v>13.026306</v>
      </c>
      <c r="E24507" s="4">
        <f>IFERROR(__xludf.DUMMYFUNCTION("""COMPUTED_VALUE"""),80.232357)</f>
        <v>80.232357</v>
      </c>
      <c r="F24507" s="4">
        <f>IFERROR(__xludf.DUMMYFUNCTION("""COMPUTED_VALUE"""),5339.0)</f>
        <v>5339</v>
      </c>
      <c r="G24507" s="4">
        <f>IFERROR(__xludf.DUMMYFUNCTION("""COMPUTED_VALUE"""),36.0)</f>
        <v>36</v>
      </c>
      <c r="H24507" s="4"/>
      <c r="I24507" s="4"/>
    </row>
    <row r="24508">
      <c r="A24508" s="4" t="str">
        <f>IFERROR(__xludf.DUMMYFUNCTION("""COMPUTED_VALUE"""),"cas_hmw")</f>
        <v>cas_hmw</v>
      </c>
      <c r="B24508" s="5">
        <f>IFERROR(__xludf.DUMMYFUNCTION("""COMPUTED_VALUE"""),44804.0)</f>
        <v>44804</v>
      </c>
      <c r="C24508" s="6">
        <f>IFERROR(__xludf.DUMMYFUNCTION("""COMPUTED_VALUE"""),0.273402777776937)</f>
        <v>0.2734027778</v>
      </c>
      <c r="D24508" s="4">
        <f>IFERROR(__xludf.DUMMYFUNCTION("""COMPUTED_VALUE"""),13.029832)</f>
        <v>13.029832</v>
      </c>
      <c r="E24508" s="4">
        <f>IFERROR(__xludf.DUMMYFUNCTION("""COMPUTED_VALUE"""),80.237528)</f>
        <v>80.237528</v>
      </c>
      <c r="F24508" s="4">
        <f>IFERROR(__xludf.DUMMYFUNCTION("""COMPUTED_VALUE"""),5339.0)</f>
        <v>5339</v>
      </c>
      <c r="G24508" s="4">
        <f>IFERROR(__xludf.DUMMYFUNCTION("""COMPUTED_VALUE"""),50.0)</f>
        <v>50</v>
      </c>
      <c r="H24508" s="4"/>
      <c r="I24508" s="4"/>
    </row>
    <row r="24509">
      <c r="A24509" s="4" t="str">
        <f>IFERROR(__xludf.DUMMYFUNCTION("""COMPUTED_VALUE"""),"cas_hmw")</f>
        <v>cas_hmw</v>
      </c>
      <c r="B24509" s="5">
        <f>IFERROR(__xludf.DUMMYFUNCTION("""COMPUTED_VALUE"""),44804.0)</f>
        <v>44804</v>
      </c>
      <c r="C24509" s="6">
        <f>IFERROR(__xludf.DUMMYFUNCTION("""COMPUTED_VALUE"""),0.27599537037167465)</f>
        <v>0.2759953704</v>
      </c>
      <c r="D24509" s="4">
        <f>IFERROR(__xludf.DUMMYFUNCTION("""COMPUTED_VALUE"""),13.038911)</f>
        <v>13.038911</v>
      </c>
      <c r="E24509" s="4">
        <f>IFERROR(__xludf.DUMMYFUNCTION("""COMPUTED_VALUE"""),80.246775)</f>
        <v>80.246775</v>
      </c>
      <c r="F24509" s="4">
        <f>IFERROR(__xludf.DUMMYFUNCTION("""COMPUTED_VALUE"""),5339.0)</f>
        <v>5339</v>
      </c>
      <c r="G24509" s="4">
        <f>IFERROR(__xludf.DUMMYFUNCTION("""COMPUTED_VALUE"""),0.0)</f>
        <v>0</v>
      </c>
      <c r="H24509" s="4"/>
      <c r="I24509" s="4"/>
    </row>
    <row r="24510">
      <c r="A24510" s="4" t="str">
        <f>IFERROR(__xludf.DUMMYFUNCTION("""COMPUTED_VALUE"""),"cas_hmw")</f>
        <v>cas_hmw</v>
      </c>
      <c r="B24510" s="5">
        <f>IFERROR(__xludf.DUMMYFUNCTION("""COMPUTED_VALUE"""),44804.0)</f>
        <v>44804</v>
      </c>
      <c r="C24510" s="6">
        <f>IFERROR(__xludf.DUMMYFUNCTION("""COMPUTED_VALUE"""),0.2760300925910997)</f>
        <v>0.2760300926</v>
      </c>
      <c r="D24510" s="4">
        <f>IFERROR(__xludf.DUMMYFUNCTION("""COMPUTED_VALUE"""),13.038911)</f>
        <v>13.038911</v>
      </c>
      <c r="E24510" s="4">
        <f>IFERROR(__xludf.DUMMYFUNCTION("""COMPUTED_VALUE"""),80.246775)</f>
        <v>80.246775</v>
      </c>
      <c r="F24510" s="4">
        <f>IFERROR(__xludf.DUMMYFUNCTION("""COMPUTED_VALUE"""),5339.0)</f>
        <v>5339</v>
      </c>
      <c r="G24510" s="4">
        <f>IFERROR(__xludf.DUMMYFUNCTION("""COMPUTED_VALUE"""),0.0)</f>
        <v>0</v>
      </c>
      <c r="H24510" s="4"/>
      <c r="I24510" s="4"/>
    </row>
    <row r="24511">
      <c r="A24511" s="4" t="str">
        <f>IFERROR(__xludf.DUMMYFUNCTION("""COMPUTED_VALUE"""),"cas_hmw")</f>
        <v>cas_hmw</v>
      </c>
      <c r="B24511" s="5">
        <f>IFERROR(__xludf.DUMMYFUNCTION("""COMPUTED_VALUE"""),44804.0)</f>
        <v>44804</v>
      </c>
      <c r="C24511" s="6">
        <f>IFERROR(__xludf.DUMMYFUNCTION("""COMPUTED_VALUE"""),0.276157407406572)</f>
        <v>0.2761574074</v>
      </c>
      <c r="D24511" s="4">
        <f>IFERROR(__xludf.DUMMYFUNCTION("""COMPUTED_VALUE"""),13.038911)</f>
        <v>13.038911</v>
      </c>
      <c r="E24511" s="4">
        <f>IFERROR(__xludf.DUMMYFUNCTION("""COMPUTED_VALUE"""),80.246775)</f>
        <v>80.246775</v>
      </c>
      <c r="F24511" s="4">
        <f>IFERROR(__xludf.DUMMYFUNCTION("""COMPUTED_VALUE"""),5339.0)</f>
        <v>5339</v>
      </c>
      <c r="G24511" s="4">
        <f>IFERROR(__xludf.DUMMYFUNCTION("""COMPUTED_VALUE"""),0.0)</f>
        <v>0</v>
      </c>
      <c r="H24511" s="4"/>
      <c r="I24511" s="4"/>
    </row>
    <row r="24512">
      <c r="A24512" s="4" t="str">
        <f>IFERROR(__xludf.DUMMYFUNCTION("""COMPUTED_VALUE"""),"cas_hmw")</f>
        <v>cas_hmw</v>
      </c>
      <c r="B24512" s="5">
        <f>IFERROR(__xludf.DUMMYFUNCTION("""COMPUTED_VALUE"""),44804.0)</f>
        <v>44804</v>
      </c>
      <c r="C24512" s="6">
        <f>IFERROR(__xludf.DUMMYFUNCTION("""COMPUTED_VALUE"""),0.276192129629635)</f>
        <v>0.2761921296</v>
      </c>
      <c r="D24512" s="4">
        <f>IFERROR(__xludf.DUMMYFUNCTION("""COMPUTED_VALUE"""),13.038943)</f>
        <v>13.038943</v>
      </c>
      <c r="E24512" s="4">
        <f>IFERROR(__xludf.DUMMYFUNCTION("""COMPUTED_VALUE"""),80.246828)</f>
        <v>80.246828</v>
      </c>
      <c r="F24512" s="4">
        <f>IFERROR(__xludf.DUMMYFUNCTION("""COMPUTED_VALUE"""),5339.0)</f>
        <v>5339</v>
      </c>
      <c r="G24512" s="4">
        <f>IFERROR(__xludf.DUMMYFUNCTION("""COMPUTED_VALUE"""),0.0)</f>
        <v>0</v>
      </c>
      <c r="H24512" s="4"/>
      <c r="I24512" s="4"/>
    </row>
    <row r="24513">
      <c r="A24513" s="4" t="str">
        <f>IFERROR(__xludf.DUMMYFUNCTION("""COMPUTED_VALUE"""),"cas_hmw")</f>
        <v>cas_hmw</v>
      </c>
      <c r="B24513" s="5">
        <f>IFERROR(__xludf.DUMMYFUNCTION("""COMPUTED_VALUE"""),44804.0)</f>
        <v>44804</v>
      </c>
      <c r="C24513" s="6">
        <f>IFERROR(__xludf.DUMMYFUNCTION("""COMPUTED_VALUE"""),0.27633101851824904)</f>
        <v>0.2763310185</v>
      </c>
      <c r="D24513" s="4">
        <f>IFERROR(__xludf.DUMMYFUNCTION("""COMPUTED_VALUE"""),13.038943)</f>
        <v>13.038943</v>
      </c>
      <c r="E24513" s="4">
        <f>IFERROR(__xludf.DUMMYFUNCTION("""COMPUTED_VALUE"""),80.246828)</f>
        <v>80.246828</v>
      </c>
      <c r="F24513" s="4">
        <f>IFERROR(__xludf.DUMMYFUNCTION("""COMPUTED_VALUE"""),5339.0)</f>
        <v>5339</v>
      </c>
      <c r="G24513" s="4">
        <f>IFERROR(__xludf.DUMMYFUNCTION("""COMPUTED_VALUE"""),0.0)</f>
        <v>0</v>
      </c>
      <c r="H24513" s="4"/>
      <c r="I24513" s="4"/>
    </row>
    <row r="24514">
      <c r="A24514" s="4" t="str">
        <f>IFERROR(__xludf.DUMMYFUNCTION("""COMPUTED_VALUE"""),"cas_hmw")</f>
        <v>cas_hmw</v>
      </c>
      <c r="B24514" s="5">
        <f>IFERROR(__xludf.DUMMYFUNCTION("""COMPUTED_VALUE"""),44804.0)</f>
        <v>44804</v>
      </c>
      <c r="C24514" s="6">
        <f>IFERROR(__xludf.DUMMYFUNCTION("""COMPUTED_VALUE"""),0.27646990740686306)</f>
        <v>0.2764699074</v>
      </c>
      <c r="D24514" s="4">
        <f>IFERROR(__xludf.DUMMYFUNCTION("""COMPUTED_VALUE"""),13.039409)</f>
        <v>13.039409</v>
      </c>
      <c r="E24514" s="4">
        <f>IFERROR(__xludf.DUMMYFUNCTION("""COMPUTED_VALUE"""),80.246957)</f>
        <v>80.246957</v>
      </c>
      <c r="F24514" s="4">
        <f>IFERROR(__xludf.DUMMYFUNCTION("""COMPUTED_VALUE"""),5339.0)</f>
        <v>5339</v>
      </c>
      <c r="G24514" s="4">
        <f>IFERROR(__xludf.DUMMYFUNCTION("""COMPUTED_VALUE"""),26.0)</f>
        <v>26</v>
      </c>
      <c r="H24514" s="4"/>
      <c r="I24514" s="4"/>
    </row>
    <row r="24515">
      <c r="A24515" s="4" t="str">
        <f>IFERROR(__xludf.DUMMYFUNCTION("""COMPUTED_VALUE"""),"cas_hmw")</f>
        <v>cas_hmw</v>
      </c>
      <c r="B24515" s="5">
        <f>IFERROR(__xludf.DUMMYFUNCTION("""COMPUTED_VALUE"""),44804.0)</f>
        <v>44804</v>
      </c>
      <c r="C24515" s="6">
        <f>IFERROR(__xludf.DUMMYFUNCTION("""COMPUTED_VALUE"""),0.2765624999992724)</f>
        <v>0.2765625</v>
      </c>
      <c r="D24515" s="4">
        <f>IFERROR(__xludf.DUMMYFUNCTION("""COMPUTED_VALUE"""),13.039409)</f>
        <v>13.039409</v>
      </c>
      <c r="E24515" s="4">
        <f>IFERROR(__xludf.DUMMYFUNCTION("""COMPUTED_VALUE"""),80.246957)</f>
        <v>80.246957</v>
      </c>
      <c r="F24515" s="4">
        <f>IFERROR(__xludf.DUMMYFUNCTION("""COMPUTED_VALUE"""),5339.0)</f>
        <v>5339</v>
      </c>
      <c r="G24515" s="4">
        <f>IFERROR(__xludf.DUMMYFUNCTION("""COMPUTED_VALUE"""),26.0)</f>
        <v>26</v>
      </c>
      <c r="H24515" s="4"/>
      <c r="I24515" s="4"/>
    </row>
    <row r="24516">
      <c r="A24516" s="4" t="str">
        <f>IFERROR(__xludf.DUMMYFUNCTION("""COMPUTED_VALUE"""),"cas_hmw")</f>
        <v>cas_hmw</v>
      </c>
      <c r="B24516" s="5">
        <f>IFERROR(__xludf.DUMMYFUNCTION("""COMPUTED_VALUE"""),44804.0)</f>
        <v>44804</v>
      </c>
      <c r="C24516" s="6">
        <f>IFERROR(__xludf.DUMMYFUNCTION("""COMPUTED_VALUE"""),0.27665509259168175)</f>
        <v>0.2766550926</v>
      </c>
      <c r="D24516" s="4">
        <f>IFERROR(__xludf.DUMMYFUNCTION("""COMPUTED_VALUE"""),13.04095)</f>
        <v>13.04095</v>
      </c>
      <c r="E24516" s="4">
        <f>IFERROR(__xludf.DUMMYFUNCTION("""COMPUTED_VALUE"""),80.247236)</f>
        <v>80.247236</v>
      </c>
      <c r="F24516" s="4">
        <f>IFERROR(__xludf.DUMMYFUNCTION("""COMPUTED_VALUE"""),5339.0)</f>
        <v>5339</v>
      </c>
      <c r="G24516" s="4">
        <f>IFERROR(__xludf.DUMMYFUNCTION("""COMPUTED_VALUE"""),42.0)</f>
        <v>42</v>
      </c>
      <c r="H24516" s="4"/>
      <c r="I24516" s="4"/>
    </row>
    <row r="24517">
      <c r="A24517" s="4" t="str">
        <f>IFERROR(__xludf.DUMMYFUNCTION("""COMPUTED_VALUE"""),"cas_hmw")</f>
        <v>cas_hmw</v>
      </c>
      <c r="B24517" s="5">
        <f>IFERROR(__xludf.DUMMYFUNCTION("""COMPUTED_VALUE"""),44804.0)</f>
        <v>44804</v>
      </c>
      <c r="C24517" s="6">
        <f>IFERROR(__xludf.DUMMYFUNCTION("""COMPUTED_VALUE"""),0.2770023148150358)</f>
        <v>0.2770023148</v>
      </c>
      <c r="D24517" s="4">
        <f>IFERROR(__xludf.DUMMYFUNCTION("""COMPUTED_VALUE"""),13.044593)</f>
        <v>13.044593</v>
      </c>
      <c r="E24517" s="4">
        <f>IFERROR(__xludf.DUMMYFUNCTION("""COMPUTED_VALUE"""),80.24796)</f>
        <v>80.24796</v>
      </c>
      <c r="F24517" s="4">
        <f>IFERROR(__xludf.DUMMYFUNCTION("""COMPUTED_VALUE"""),5339.0)</f>
        <v>5339</v>
      </c>
      <c r="G24517" s="4">
        <f>IFERROR(__xludf.DUMMYFUNCTION("""COMPUTED_VALUE"""),52.0)</f>
        <v>52</v>
      </c>
      <c r="H24517" s="4"/>
      <c r="I24517" s="4"/>
    </row>
    <row r="24518">
      <c r="A24518" s="4" t="str">
        <f>IFERROR(__xludf.DUMMYFUNCTION("""COMPUTED_VALUE"""),"cas_hmw")</f>
        <v>cas_hmw</v>
      </c>
      <c r="B24518" s="5">
        <f>IFERROR(__xludf.DUMMYFUNCTION("""COMPUTED_VALUE"""),44804.0)</f>
        <v>44804</v>
      </c>
      <c r="C24518" s="6">
        <f>IFERROR(__xludf.DUMMYFUNCTION("""COMPUTED_VALUE"""),0.2771759259267128)</f>
        <v>0.2771759259</v>
      </c>
      <c r="D24518" s="4">
        <f>IFERROR(__xludf.DUMMYFUNCTION("""COMPUTED_VALUE"""),13.044593)</f>
        <v>13.044593</v>
      </c>
      <c r="E24518" s="4">
        <f>IFERROR(__xludf.DUMMYFUNCTION("""COMPUTED_VALUE"""),80.24796)</f>
        <v>80.24796</v>
      </c>
      <c r="F24518" s="4">
        <f>IFERROR(__xludf.DUMMYFUNCTION("""COMPUTED_VALUE"""),5339.0)</f>
        <v>5339</v>
      </c>
      <c r="G24518" s="4">
        <f>IFERROR(__xludf.DUMMYFUNCTION("""COMPUTED_VALUE"""),52.0)</f>
        <v>52</v>
      </c>
      <c r="H24518" s="4"/>
      <c r="I24518" s="4"/>
    </row>
    <row r="24519">
      <c r="A24519" s="4" t="str">
        <f>IFERROR(__xludf.DUMMYFUNCTION("""COMPUTED_VALUE"""),"cas_hmw")</f>
        <v>cas_hmw</v>
      </c>
      <c r="B24519" s="5">
        <f>IFERROR(__xludf.DUMMYFUNCTION("""COMPUTED_VALUE"""),44804.0)</f>
        <v>44804</v>
      </c>
      <c r="C24519" s="6">
        <f>IFERROR(__xludf.DUMMYFUNCTION("""COMPUTED_VALUE"""),0.2776967592581059)</f>
        <v>0.2776967593</v>
      </c>
      <c r="D24519" s="4">
        <f>IFERROR(__xludf.DUMMYFUNCTION("""COMPUTED_VALUE"""),13.050707)</f>
        <v>13.050707</v>
      </c>
      <c r="E24519" s="4">
        <f>IFERROR(__xludf.DUMMYFUNCTION("""COMPUTED_VALUE"""),80.249982)</f>
        <v>80.249982</v>
      </c>
      <c r="F24519" s="4">
        <f>IFERROR(__xludf.DUMMYFUNCTION("""COMPUTED_VALUE"""),5339.0)</f>
        <v>5339</v>
      </c>
      <c r="G24519" s="4">
        <f>IFERROR(__xludf.DUMMYFUNCTION("""COMPUTED_VALUE"""),55.0)</f>
        <v>55</v>
      </c>
      <c r="H24519" s="4"/>
      <c r="I24519" s="4"/>
    </row>
    <row r="24520">
      <c r="A24520" s="4" t="str">
        <f>IFERROR(__xludf.DUMMYFUNCTION("""COMPUTED_VALUE"""),"cas_hmw")</f>
        <v>cas_hmw</v>
      </c>
      <c r="B24520" s="5">
        <f>IFERROR(__xludf.DUMMYFUNCTION("""COMPUTED_VALUE"""),44804.0)</f>
        <v>44804</v>
      </c>
      <c r="C24520" s="6">
        <f>IFERROR(__xludf.DUMMYFUNCTION("""COMPUTED_VALUE"""),0.2785185185202863)</f>
        <v>0.2785185185</v>
      </c>
      <c r="D24520" s="4">
        <f>IFERROR(__xludf.DUMMYFUNCTION("""COMPUTED_VALUE"""),13.057498)</f>
        <v>13.057498</v>
      </c>
      <c r="E24520" s="4">
        <f>IFERROR(__xludf.DUMMYFUNCTION("""COMPUTED_VALUE"""),80.254947)</f>
        <v>80.254947</v>
      </c>
      <c r="F24520" s="4">
        <f>IFERROR(__xludf.DUMMYFUNCTION("""COMPUTED_VALUE"""),5339.0)</f>
        <v>5339</v>
      </c>
      <c r="G24520" s="4">
        <f>IFERROR(__xludf.DUMMYFUNCTION("""COMPUTED_VALUE"""),38.0)</f>
        <v>38</v>
      </c>
      <c r="H24520" s="4"/>
      <c r="I24520" s="4"/>
    </row>
    <row r="24521">
      <c r="A24521" s="4" t="str">
        <f>IFERROR(__xludf.DUMMYFUNCTION("""COMPUTED_VALUE"""),"cas_hmw")</f>
        <v>cas_hmw</v>
      </c>
      <c r="B24521" s="5">
        <f>IFERROR(__xludf.DUMMYFUNCTION("""COMPUTED_VALUE"""),44804.0)</f>
        <v>44804</v>
      </c>
      <c r="C24521" s="6">
        <f>IFERROR(__xludf.DUMMYFUNCTION("""COMPUTED_VALUE"""),0.27876157407445135)</f>
        <v>0.2787615741</v>
      </c>
      <c r="D24521" s="4">
        <f>IFERROR(__xludf.DUMMYFUNCTION("""COMPUTED_VALUE"""),13.058844)</f>
        <v>13.058844</v>
      </c>
      <c r="E24521" s="4">
        <f>IFERROR(__xludf.DUMMYFUNCTION("""COMPUTED_VALUE"""),80.254134)</f>
        <v>80.254134</v>
      </c>
      <c r="F24521" s="4">
        <f>IFERROR(__xludf.DUMMYFUNCTION("""COMPUTED_VALUE"""),5339.0)</f>
        <v>5339</v>
      </c>
      <c r="G24521" s="4">
        <f>IFERROR(__xludf.DUMMYFUNCTION("""COMPUTED_VALUE"""),38.0)</f>
        <v>38</v>
      </c>
      <c r="H24521" s="4"/>
      <c r="I24521" s="4"/>
    </row>
    <row r="24522">
      <c r="A24522" s="4" t="str">
        <f>IFERROR(__xludf.DUMMYFUNCTION("""COMPUTED_VALUE"""),"cas_hmw")</f>
        <v>cas_hmw</v>
      </c>
      <c r="B24522" s="5">
        <f>IFERROR(__xludf.DUMMYFUNCTION("""COMPUTED_VALUE"""),44804.0)</f>
        <v>44804</v>
      </c>
      <c r="C24522" s="6">
        <f>IFERROR(__xludf.DUMMYFUNCTION("""COMPUTED_VALUE"""),0.27898148148233304)</f>
        <v>0.2789814815</v>
      </c>
      <c r="D24522" s="4">
        <f>IFERROR(__xludf.DUMMYFUNCTION("""COMPUTED_VALUE"""),13.060479)</f>
        <v>13.060479</v>
      </c>
      <c r="E24522" s="4">
        <f>IFERROR(__xludf.DUMMYFUNCTION("""COMPUTED_VALUE"""),80.25434)</f>
        <v>80.25434</v>
      </c>
      <c r="F24522" s="4">
        <f>IFERROR(__xludf.DUMMYFUNCTION("""COMPUTED_VALUE"""),5339.0)</f>
        <v>5339</v>
      </c>
      <c r="G24522" s="4">
        <f>IFERROR(__xludf.DUMMYFUNCTION("""COMPUTED_VALUE"""),31.0)</f>
        <v>31</v>
      </c>
      <c r="H24522" s="4"/>
      <c r="I24522" s="4"/>
    </row>
    <row r="24523">
      <c r="A24523" s="4" t="str">
        <f>IFERROR(__xludf.DUMMYFUNCTION("""COMPUTED_VALUE"""),"cas_hmw")</f>
        <v>cas_hmw</v>
      </c>
      <c r="B24523" s="5">
        <f>IFERROR(__xludf.DUMMYFUNCTION("""COMPUTED_VALUE"""),44804.0)</f>
        <v>44804</v>
      </c>
      <c r="C24523" s="6">
        <f>IFERROR(__xludf.DUMMYFUNCTION("""COMPUTED_VALUE"""),0.27988425926014315)</f>
        <v>0.2798842593</v>
      </c>
      <c r="D24523" s="4">
        <f>IFERROR(__xludf.DUMMYFUNCTION("""COMPUTED_VALUE"""),13.067598)</f>
        <v>13.067598</v>
      </c>
      <c r="E24523" s="4">
        <f>IFERROR(__xludf.DUMMYFUNCTION("""COMPUTED_VALUE"""),80.25347)</f>
        <v>80.25347</v>
      </c>
      <c r="F24523" s="4">
        <f>IFERROR(__xludf.DUMMYFUNCTION("""COMPUTED_VALUE"""),5339.0)</f>
        <v>5339</v>
      </c>
      <c r="G24523" s="4">
        <f>IFERROR(__xludf.DUMMYFUNCTION("""COMPUTED_VALUE"""),40.0)</f>
        <v>40</v>
      </c>
      <c r="H24523" s="4"/>
      <c r="I24523" s="4"/>
    </row>
    <row r="24524">
      <c r="A24524" s="4" t="str">
        <f>IFERROR(__xludf.DUMMYFUNCTION("""COMPUTED_VALUE"""),"cas_hmw")</f>
        <v>cas_hmw</v>
      </c>
      <c r="B24524" s="5">
        <f>IFERROR(__xludf.DUMMYFUNCTION("""COMPUTED_VALUE"""),44804.0)</f>
        <v>44804</v>
      </c>
      <c r="C24524" s="6">
        <f>IFERROR(__xludf.DUMMYFUNCTION("""COMPUTED_VALUE"""),0.28043981481459923)</f>
        <v>0.2804398148</v>
      </c>
      <c r="D24524" s="4">
        <f>IFERROR(__xludf.DUMMYFUNCTION("""COMPUTED_VALUE"""),13.067304)</f>
        <v>13.067304</v>
      </c>
      <c r="E24524" s="4">
        <f>IFERROR(__xludf.DUMMYFUNCTION("""COMPUTED_VALUE"""),80.251458)</f>
        <v>80.251458</v>
      </c>
      <c r="F24524" s="4">
        <f>IFERROR(__xludf.DUMMYFUNCTION("""COMPUTED_VALUE"""),5339.0)</f>
        <v>5339</v>
      </c>
      <c r="G24524" s="4">
        <f>IFERROR(__xludf.DUMMYFUNCTION("""COMPUTED_VALUE"""),29.0)</f>
        <v>29</v>
      </c>
      <c r="H24524" s="4"/>
      <c r="I24524" s="4"/>
    </row>
    <row r="24525">
      <c r="A24525" s="4" t="str">
        <f>IFERROR(__xludf.DUMMYFUNCTION("""COMPUTED_VALUE"""),"cas_hmw")</f>
        <v>cas_hmw</v>
      </c>
      <c r="B24525" s="5">
        <f>IFERROR(__xludf.DUMMYFUNCTION("""COMPUTED_VALUE"""),44804.0)</f>
        <v>44804</v>
      </c>
      <c r="C24525" s="6">
        <f>IFERROR(__xludf.DUMMYFUNCTION("""COMPUTED_VALUE"""),0.28043981481459923)</f>
        <v>0.2804398148</v>
      </c>
      <c r="D24525" s="4">
        <f>IFERROR(__xludf.DUMMYFUNCTION("""COMPUTED_VALUE"""),13.067304)</f>
        <v>13.067304</v>
      </c>
      <c r="E24525" s="4">
        <f>IFERROR(__xludf.DUMMYFUNCTION("""COMPUTED_VALUE"""),80.251458)</f>
        <v>80.251458</v>
      </c>
      <c r="F24525" s="4">
        <f>IFERROR(__xludf.DUMMYFUNCTION("""COMPUTED_VALUE"""),5339.0)</f>
        <v>5339</v>
      </c>
      <c r="G24525" s="4">
        <f>IFERROR(__xludf.DUMMYFUNCTION("""COMPUTED_VALUE"""),29.0)</f>
        <v>29</v>
      </c>
      <c r="H24525" s="4"/>
      <c r="I24525" s="4"/>
    </row>
    <row r="24526">
      <c r="A24526" s="4" t="str">
        <f>IFERROR(__xludf.DUMMYFUNCTION("""COMPUTED_VALUE"""),"cas_hmw")</f>
        <v>cas_hmw</v>
      </c>
      <c r="B24526" s="5">
        <f>IFERROR(__xludf.DUMMYFUNCTION("""COMPUTED_VALUE"""),44804.0)</f>
        <v>44804</v>
      </c>
      <c r="C24526" s="6">
        <f>IFERROR(__xludf.DUMMYFUNCTION("""COMPUTED_VALUE"""),0.2804513888877409)</f>
        <v>0.2804513889</v>
      </c>
      <c r="D24526" s="4">
        <f>IFERROR(__xludf.DUMMYFUNCTION("""COMPUTED_VALUE"""),13.067495)</f>
        <v>13.067495</v>
      </c>
      <c r="E24526" s="4">
        <f>IFERROR(__xludf.DUMMYFUNCTION("""COMPUTED_VALUE"""),80.250305)</f>
        <v>80.250305</v>
      </c>
      <c r="F24526" s="4">
        <f>IFERROR(__xludf.DUMMYFUNCTION("""COMPUTED_VALUE"""),5339.0)</f>
        <v>5339</v>
      </c>
      <c r="G24526" s="4">
        <f>IFERROR(__xludf.DUMMYFUNCTION("""COMPUTED_VALUE"""),28.0)</f>
        <v>28</v>
      </c>
      <c r="H24526" s="4"/>
      <c r="I24526" s="4"/>
    </row>
    <row r="24527">
      <c r="A24527" s="4" t="str">
        <f>IFERROR(__xludf.DUMMYFUNCTION("""COMPUTED_VALUE"""),"cas_hmw")</f>
        <v>cas_hmw</v>
      </c>
      <c r="B24527" s="5">
        <f>IFERROR(__xludf.DUMMYFUNCTION("""COMPUTED_VALUE"""),44804.0)</f>
        <v>44804</v>
      </c>
      <c r="C24527" s="6">
        <f>IFERROR(__xludf.DUMMYFUNCTION("""COMPUTED_VALUE"""),0.2806018518531346)</f>
        <v>0.2806018519</v>
      </c>
      <c r="D24527" s="4">
        <f>IFERROR(__xludf.DUMMYFUNCTION("""COMPUTED_VALUE"""),13.067648)</f>
        <v>13.067648</v>
      </c>
      <c r="E24527" s="4">
        <f>IFERROR(__xludf.DUMMYFUNCTION("""COMPUTED_VALUE"""),80.249356)</f>
        <v>80.249356</v>
      </c>
      <c r="F24527" s="4">
        <f>IFERROR(__xludf.DUMMYFUNCTION("""COMPUTED_VALUE"""),5339.0)</f>
        <v>5339</v>
      </c>
      <c r="G24527" s="4">
        <f>IFERROR(__xludf.DUMMYFUNCTION("""COMPUTED_VALUE"""),19.0)</f>
        <v>19</v>
      </c>
      <c r="H24527" s="4"/>
      <c r="I24527" s="4"/>
    </row>
    <row r="24528">
      <c r="A24528" s="4" t="str">
        <f>IFERROR(__xludf.DUMMYFUNCTION("""COMPUTED_VALUE"""),"cas_hmw")</f>
        <v>cas_hmw</v>
      </c>
      <c r="B24528" s="5">
        <f>IFERROR(__xludf.DUMMYFUNCTION("""COMPUTED_VALUE"""),44804.0)</f>
        <v>44804</v>
      </c>
      <c r="C24528" s="6">
        <f>IFERROR(__xludf.DUMMYFUNCTION("""COMPUTED_VALUE"""),0.2810648148151813)</f>
        <v>0.2810648148</v>
      </c>
      <c r="D24528" s="4">
        <f>IFERROR(__xludf.DUMMYFUNCTION("""COMPUTED_VALUE"""),12.916922)</f>
        <v>12.916922</v>
      </c>
      <c r="E24528" s="4">
        <f>IFERROR(__xludf.DUMMYFUNCTION("""COMPUTED_VALUE"""),80.106912)</f>
        <v>80.106912</v>
      </c>
      <c r="F24528" s="4">
        <f>IFERROR(__xludf.DUMMYFUNCTION("""COMPUTED_VALUE"""),3143.0)</f>
        <v>3143</v>
      </c>
      <c r="G24528" s="4">
        <f>IFERROR(__xludf.DUMMYFUNCTION("""COMPUTED_VALUE"""),47.0)</f>
        <v>47</v>
      </c>
      <c r="H24528" s="4"/>
      <c r="I24528" s="4"/>
    </row>
    <row r="24529">
      <c r="A24529" s="4" t="str">
        <f>IFERROR(__xludf.DUMMYFUNCTION("""COMPUTED_VALUE"""),"cas_hmw")</f>
        <v>cas_hmw</v>
      </c>
      <c r="B24529" s="5">
        <f>IFERROR(__xludf.DUMMYFUNCTION("""COMPUTED_VALUE"""),44804.0)</f>
        <v>44804</v>
      </c>
      <c r="C24529" s="6">
        <f>IFERROR(__xludf.DUMMYFUNCTION("""COMPUTED_VALUE"""),0.28137731481547235)</f>
        <v>0.2813773148</v>
      </c>
      <c r="D24529" s="4">
        <f>IFERROR(__xludf.DUMMYFUNCTION("""COMPUTED_VALUE"""),12.91908)</f>
        <v>12.91908</v>
      </c>
      <c r="E24529" s="4">
        <f>IFERROR(__xludf.DUMMYFUNCTION("""COMPUTED_VALUE"""),80.109778)</f>
        <v>80.109778</v>
      </c>
      <c r="F24529" s="4">
        <f>IFERROR(__xludf.DUMMYFUNCTION("""COMPUTED_VALUE"""),3143.0)</f>
        <v>3143</v>
      </c>
      <c r="G24529" s="4">
        <f>IFERROR(__xludf.DUMMYFUNCTION("""COMPUTED_VALUE"""),42.0)</f>
        <v>42</v>
      </c>
      <c r="H24529" s="4"/>
      <c r="I24529" s="4"/>
    </row>
    <row r="24530">
      <c r="A24530" s="4" t="str">
        <f>IFERROR(__xludf.DUMMYFUNCTION("""COMPUTED_VALUE"""),"cas_hmw")</f>
        <v>cas_hmw</v>
      </c>
      <c r="B24530" s="5">
        <f>IFERROR(__xludf.DUMMYFUNCTION("""COMPUTED_VALUE"""),44804.0)</f>
        <v>44804</v>
      </c>
      <c r="C24530" s="6">
        <f>IFERROR(__xludf.DUMMYFUNCTION("""COMPUTED_VALUE"""),0.28497685185357113)</f>
        <v>0.2849768519</v>
      </c>
      <c r="D24530" s="4">
        <f>IFERROR(__xludf.DUMMYFUNCTION("""COMPUTED_VALUE"""),12.92269)</f>
        <v>12.92269</v>
      </c>
      <c r="E24530" s="4">
        <f>IFERROR(__xludf.DUMMYFUNCTION("""COMPUTED_VALUE"""),80.133956)</f>
        <v>80.133956</v>
      </c>
      <c r="F24530" s="4">
        <f>IFERROR(__xludf.DUMMYFUNCTION("""COMPUTED_VALUE"""),3143.0)</f>
        <v>3143</v>
      </c>
      <c r="G24530" s="4">
        <f>IFERROR(__xludf.DUMMYFUNCTION("""COMPUTED_VALUE"""),52.0)</f>
        <v>52</v>
      </c>
      <c r="H24530" s="4"/>
      <c r="I24530" s="4"/>
    </row>
    <row r="24531">
      <c r="A24531" s="4" t="str">
        <f>IFERROR(__xludf.DUMMYFUNCTION("""COMPUTED_VALUE"""),"cas_hmw")</f>
        <v>cas_hmw</v>
      </c>
      <c r="B24531" s="5">
        <f>IFERROR(__xludf.DUMMYFUNCTION("""COMPUTED_VALUE"""),44804.0)</f>
        <v>44804</v>
      </c>
      <c r="C24531" s="6">
        <f>IFERROR(__xludf.DUMMYFUNCTION("""COMPUTED_VALUE"""),0.2851388888884685)</f>
        <v>0.2851388889</v>
      </c>
      <c r="D24531" s="4">
        <f>IFERROR(__xludf.DUMMYFUNCTION("""COMPUTED_VALUE"""),12.922596)</f>
        <v>12.922596</v>
      </c>
      <c r="E24531" s="4">
        <f>IFERROR(__xludf.DUMMYFUNCTION("""COMPUTED_VALUE"""),80.135821)</f>
        <v>80.135821</v>
      </c>
      <c r="F24531" s="4">
        <f>IFERROR(__xludf.DUMMYFUNCTION("""COMPUTED_VALUE"""),3143.0)</f>
        <v>3143</v>
      </c>
      <c r="G24531" s="4">
        <f>IFERROR(__xludf.DUMMYFUNCTION("""COMPUTED_VALUE"""),40.0)</f>
        <v>40</v>
      </c>
      <c r="H24531" s="4"/>
      <c r="I24531" s="4"/>
    </row>
    <row r="24532">
      <c r="A24532" s="4" t="str">
        <f>IFERROR(__xludf.DUMMYFUNCTION("""COMPUTED_VALUE"""),"cas_hmw")</f>
        <v>cas_hmw</v>
      </c>
      <c r="B24532" s="5">
        <f>IFERROR(__xludf.DUMMYFUNCTION("""COMPUTED_VALUE"""),44804.0)</f>
        <v>44804</v>
      </c>
      <c r="C24532" s="6">
        <f>IFERROR(__xludf.DUMMYFUNCTION("""COMPUTED_VALUE"""),0.29545138888715883)</f>
        <v>0.2954513889</v>
      </c>
      <c r="D24532" s="4">
        <f>IFERROR(__xludf.DUMMYFUNCTION("""COMPUTED_VALUE"""),12.940454)</f>
        <v>12.940454</v>
      </c>
      <c r="E24532" s="4">
        <f>IFERROR(__xludf.DUMMYFUNCTION("""COMPUTED_VALUE"""),80.205726)</f>
        <v>80.205726</v>
      </c>
      <c r="F24532" s="4">
        <f>IFERROR(__xludf.DUMMYFUNCTION("""COMPUTED_VALUE"""),3143.0)</f>
        <v>3143</v>
      </c>
      <c r="G24532" s="4">
        <f>IFERROR(__xludf.DUMMYFUNCTION("""COMPUTED_VALUE"""),34.0)</f>
        <v>34</v>
      </c>
      <c r="H24532" s="4"/>
      <c r="I24532" s="4"/>
    </row>
    <row r="24533">
      <c r="A24533" s="4" t="str">
        <f>IFERROR(__xludf.DUMMYFUNCTION("""COMPUTED_VALUE"""),"cas_hmw")</f>
        <v>cas_hmw</v>
      </c>
      <c r="B24533" s="5">
        <f>IFERROR(__xludf.DUMMYFUNCTION("""COMPUTED_VALUE"""),44804.0)</f>
        <v>44804</v>
      </c>
      <c r="C24533" s="6">
        <f>IFERROR(__xludf.DUMMYFUNCTION("""COMPUTED_VALUE"""),0.31451388889036025)</f>
        <v>0.3145138889</v>
      </c>
      <c r="D24533" s="4">
        <f>IFERROR(__xludf.DUMMYFUNCTION("""COMPUTED_VALUE"""),13.054349)</f>
        <v>13.054349</v>
      </c>
      <c r="E24533" s="4">
        <f>IFERROR(__xludf.DUMMYFUNCTION("""COMPUTED_VALUE"""),80.253848)</f>
        <v>80.253848</v>
      </c>
      <c r="F24533" s="4">
        <f>IFERROR(__xludf.DUMMYFUNCTION("""COMPUTED_VALUE"""),5339.0)</f>
        <v>5339</v>
      </c>
      <c r="G24533" s="4">
        <f>IFERROR(__xludf.DUMMYFUNCTION("""COMPUTED_VALUE"""),34.0)</f>
        <v>34</v>
      </c>
      <c r="H24533" s="4"/>
      <c r="I24533" s="4"/>
    </row>
    <row r="24534">
      <c r="A24534" s="4" t="str">
        <f>IFERROR(__xludf.DUMMYFUNCTION("""COMPUTED_VALUE"""),"cas_hmw")</f>
        <v>cas_hmw</v>
      </c>
      <c r="B24534" s="5">
        <f>IFERROR(__xludf.DUMMYFUNCTION("""COMPUTED_VALUE"""),44804.0)</f>
        <v>44804</v>
      </c>
      <c r="C24534" s="6">
        <f>IFERROR(__xludf.DUMMYFUNCTION("""COMPUTED_VALUE"""),0.31454861110978527)</f>
        <v>0.3145486111</v>
      </c>
      <c r="D24534" s="4">
        <f>IFERROR(__xludf.DUMMYFUNCTION("""COMPUTED_VALUE"""),13.054349)</f>
        <v>13.054349</v>
      </c>
      <c r="E24534" s="4">
        <f>IFERROR(__xludf.DUMMYFUNCTION("""COMPUTED_VALUE"""),80.253848)</f>
        <v>80.253848</v>
      </c>
      <c r="F24534" s="4">
        <f>IFERROR(__xludf.DUMMYFUNCTION("""COMPUTED_VALUE"""),5339.0)</f>
        <v>5339</v>
      </c>
      <c r="G24534" s="4">
        <f>IFERROR(__xludf.DUMMYFUNCTION("""COMPUTED_VALUE"""),34.0)</f>
        <v>34</v>
      </c>
      <c r="H24534" s="4"/>
      <c r="I24534" s="4"/>
    </row>
    <row r="24535">
      <c r="A24535" s="4" t="str">
        <f>IFERROR(__xludf.DUMMYFUNCTION("""COMPUTED_VALUE"""),"cas_hmw")</f>
        <v>cas_hmw</v>
      </c>
      <c r="B24535" s="5">
        <f>IFERROR(__xludf.DUMMYFUNCTION("""COMPUTED_VALUE"""),44804.0)</f>
        <v>44804</v>
      </c>
      <c r="C24535" s="6">
        <f>IFERROR(__xludf.DUMMYFUNCTION("""COMPUTED_VALUE"""),0.31626157407299615)</f>
        <v>0.3162615741</v>
      </c>
      <c r="D24535" s="4">
        <f>IFERROR(__xludf.DUMMYFUNCTION("""COMPUTED_VALUE"""),13.039659)</f>
        <v>13.039659</v>
      </c>
      <c r="E24535" s="4">
        <f>IFERROR(__xludf.DUMMYFUNCTION("""COMPUTED_VALUE"""),80.247033)</f>
        <v>80.247033</v>
      </c>
      <c r="F24535" s="4">
        <f>IFERROR(__xludf.DUMMYFUNCTION("""COMPUTED_VALUE"""),5339.0)</f>
        <v>5339</v>
      </c>
      <c r="G24535" s="4">
        <f>IFERROR(__xludf.DUMMYFUNCTION("""COMPUTED_VALUE"""),43.0)</f>
        <v>43</v>
      </c>
      <c r="H24535" s="4"/>
      <c r="I24535" s="4"/>
    </row>
    <row r="24536">
      <c r="A24536" s="4" t="str">
        <f>IFERROR(__xludf.DUMMYFUNCTION("""COMPUTED_VALUE"""),"cas_hmw")</f>
        <v>cas_hmw</v>
      </c>
      <c r="B24536" s="5">
        <f>IFERROR(__xludf.DUMMYFUNCTION("""COMPUTED_VALUE"""),44804.0)</f>
        <v>44804</v>
      </c>
      <c r="C24536" s="6">
        <f>IFERROR(__xludf.DUMMYFUNCTION("""COMPUTED_VALUE"""),0.3173032407394203)</f>
        <v>0.3173032407</v>
      </c>
      <c r="D24536" s="4">
        <f>IFERROR(__xludf.DUMMYFUNCTION("""COMPUTED_VALUE"""),13.033632)</f>
        <v>13.033632</v>
      </c>
      <c r="E24536" s="4">
        <f>IFERROR(__xludf.DUMMYFUNCTION("""COMPUTED_VALUE"""),80.24421)</f>
        <v>80.24421</v>
      </c>
      <c r="F24536" s="4">
        <f>IFERROR(__xludf.DUMMYFUNCTION("""COMPUTED_VALUE"""),5339.0)</f>
        <v>5339</v>
      </c>
      <c r="G24536" s="4">
        <f>IFERROR(__xludf.DUMMYFUNCTION("""COMPUTED_VALUE"""),45.0)</f>
        <v>45</v>
      </c>
      <c r="H24536" s="4"/>
      <c r="I24536" s="4"/>
    </row>
    <row r="24537">
      <c r="A24537" s="4" t="str">
        <f>IFERROR(__xludf.DUMMYFUNCTION("""COMPUTED_VALUE"""),"cas_hmw")</f>
        <v>cas_hmw</v>
      </c>
      <c r="B24537" s="5">
        <f>IFERROR(__xludf.DUMMYFUNCTION("""COMPUTED_VALUE"""),44804.0)</f>
        <v>44804</v>
      </c>
      <c r="C24537" s="6">
        <f>IFERROR(__xludf.DUMMYFUNCTION("""COMPUTED_VALUE"""),0.31876157407532446)</f>
        <v>0.3187615741</v>
      </c>
      <c r="D24537" s="4">
        <f>IFERROR(__xludf.DUMMYFUNCTION("""COMPUTED_VALUE"""),13.029243)</f>
        <v>13.029243</v>
      </c>
      <c r="E24537" s="4">
        <f>IFERROR(__xludf.DUMMYFUNCTION("""COMPUTED_VALUE"""),80.236882)</f>
        <v>80.236882</v>
      </c>
      <c r="F24537" s="4">
        <f>IFERROR(__xludf.DUMMYFUNCTION("""COMPUTED_VALUE"""),5339.0)</f>
        <v>5339</v>
      </c>
      <c r="G24537" s="4">
        <f>IFERROR(__xludf.DUMMYFUNCTION("""COMPUTED_VALUE"""),38.0)</f>
        <v>38</v>
      </c>
      <c r="H24537" s="4"/>
      <c r="I24537" s="4"/>
    </row>
    <row r="24538">
      <c r="A24538" s="4" t="str">
        <f>IFERROR(__xludf.DUMMYFUNCTION("""COMPUTED_VALUE"""),"cas_hmw")</f>
        <v>cas_hmw</v>
      </c>
      <c r="B24538" s="5">
        <f>IFERROR(__xludf.DUMMYFUNCTION("""COMPUTED_VALUE"""),44804.0)</f>
        <v>44804</v>
      </c>
      <c r="C24538" s="6">
        <f>IFERROR(__xludf.DUMMYFUNCTION("""COMPUTED_VALUE"""),0.3211921296278888)</f>
        <v>0.3211921296</v>
      </c>
      <c r="D24538" s="4">
        <f>IFERROR(__xludf.DUMMYFUNCTION("""COMPUTED_VALUE"""),13.01899)</f>
        <v>13.01899</v>
      </c>
      <c r="E24538" s="4">
        <f>IFERROR(__xludf.DUMMYFUNCTION("""COMPUTED_VALUE"""),80.22447)</f>
        <v>80.22447</v>
      </c>
      <c r="F24538" s="4">
        <f>IFERROR(__xludf.DUMMYFUNCTION("""COMPUTED_VALUE"""),5339.0)</f>
        <v>5339</v>
      </c>
      <c r="G24538" s="4">
        <f>IFERROR(__xludf.DUMMYFUNCTION("""COMPUTED_VALUE"""),38.0)</f>
        <v>38</v>
      </c>
      <c r="H24538" s="4"/>
      <c r="I24538" s="4"/>
    </row>
    <row r="24539">
      <c r="A24539" s="4" t="str">
        <f>IFERROR(__xludf.DUMMYFUNCTION("""COMPUTED_VALUE"""),"cas_hmw")</f>
        <v>cas_hmw</v>
      </c>
      <c r="B24539" s="5">
        <f>IFERROR(__xludf.DUMMYFUNCTION("""COMPUTED_VALUE"""),44804.0)</f>
        <v>44804</v>
      </c>
      <c r="C24539" s="6">
        <f>IFERROR(__xludf.DUMMYFUNCTION("""COMPUTED_VALUE"""),0.3214814814818965)</f>
        <v>0.3214814815</v>
      </c>
      <c r="D24539" s="4">
        <f>IFERROR(__xludf.DUMMYFUNCTION("""COMPUTED_VALUE"""),13.016741)</f>
        <v>13.016741</v>
      </c>
      <c r="E24539" s="4">
        <f>IFERROR(__xludf.DUMMYFUNCTION("""COMPUTED_VALUE"""),80.225322)</f>
        <v>80.225322</v>
      </c>
      <c r="F24539" s="4">
        <f>IFERROR(__xludf.DUMMYFUNCTION("""COMPUTED_VALUE"""),5339.0)</f>
        <v>5339</v>
      </c>
      <c r="G24539" s="4">
        <f>IFERROR(__xludf.DUMMYFUNCTION("""COMPUTED_VALUE"""),49.0)</f>
        <v>49</v>
      </c>
      <c r="H24539" s="4"/>
      <c r="I24539" s="4"/>
    </row>
    <row r="24540">
      <c r="A24540" s="4" t="str">
        <f>IFERROR(__xludf.DUMMYFUNCTION("""COMPUTED_VALUE"""),"cas_hmw")</f>
        <v>cas_hmw</v>
      </c>
      <c r="B24540" s="5">
        <f>IFERROR(__xludf.DUMMYFUNCTION("""COMPUTED_VALUE"""),44804.0)</f>
        <v>44804</v>
      </c>
      <c r="C24540" s="6">
        <f>IFERROR(__xludf.DUMMYFUNCTION("""COMPUTED_VALUE"""),0.32185185185153387)</f>
        <v>0.3218518519</v>
      </c>
      <c r="D24540" s="4">
        <f>IFERROR(__xludf.DUMMYFUNCTION("""COMPUTED_VALUE"""),13.012602)</f>
        <v>13.012602</v>
      </c>
      <c r="E24540" s="4">
        <f>IFERROR(__xludf.DUMMYFUNCTION("""COMPUTED_VALUE"""),80.226912)</f>
        <v>80.226912</v>
      </c>
      <c r="F24540" s="4">
        <f>IFERROR(__xludf.DUMMYFUNCTION("""COMPUTED_VALUE"""),5339.0)</f>
        <v>5339</v>
      </c>
      <c r="G24540" s="4">
        <f>IFERROR(__xludf.DUMMYFUNCTION("""COMPUTED_VALUE"""),51.0)</f>
        <v>51</v>
      </c>
      <c r="H24540" s="4"/>
      <c r="I24540" s="4"/>
    </row>
    <row r="24541">
      <c r="A24541" s="4" t="str">
        <f>IFERROR(__xludf.DUMMYFUNCTION("""COMPUTED_VALUE"""),"cas_hmw")</f>
        <v>cas_hmw</v>
      </c>
      <c r="B24541" s="5">
        <f>IFERROR(__xludf.DUMMYFUNCTION("""COMPUTED_VALUE"""),44804.0)</f>
        <v>44804</v>
      </c>
      <c r="C24541" s="6">
        <f>IFERROR(__xludf.DUMMYFUNCTION("""COMPUTED_VALUE"""),0.3221759259249666)</f>
        <v>0.3221759259</v>
      </c>
      <c r="D24541" s="4">
        <f>IFERROR(__xludf.DUMMYFUNCTION("""COMPUTED_VALUE"""),13.010007)</f>
        <v>13.010007</v>
      </c>
      <c r="E24541" s="4">
        <f>IFERROR(__xludf.DUMMYFUNCTION("""COMPUTED_VALUE"""),80.227904)</f>
        <v>80.227904</v>
      </c>
      <c r="F24541" s="4">
        <f>IFERROR(__xludf.DUMMYFUNCTION("""COMPUTED_VALUE"""),5339.0)</f>
        <v>5339</v>
      </c>
      <c r="G24541" s="4">
        <f>IFERROR(__xludf.DUMMYFUNCTION("""COMPUTED_VALUE"""),49.0)</f>
        <v>49</v>
      </c>
      <c r="H24541" s="4"/>
      <c r="I24541" s="4"/>
    </row>
    <row r="24542">
      <c r="A24542" s="4" t="str">
        <f>IFERROR(__xludf.DUMMYFUNCTION("""COMPUTED_VALUE"""),"cas_hmw")</f>
        <v>cas_hmw</v>
      </c>
      <c r="B24542" s="5">
        <f>IFERROR(__xludf.DUMMYFUNCTION("""COMPUTED_VALUE"""),44804.0)</f>
        <v>44804</v>
      </c>
      <c r="C24542" s="6">
        <f>IFERROR(__xludf.DUMMYFUNCTION("""COMPUTED_VALUE"""),0.323101851852698)</f>
        <v>0.3231018519</v>
      </c>
      <c r="D24542" s="4">
        <f>IFERROR(__xludf.DUMMYFUNCTION("""COMPUTED_VALUE"""),13.01141)</f>
        <v>13.01141</v>
      </c>
      <c r="E24542" s="4">
        <f>IFERROR(__xludf.DUMMYFUNCTION("""COMPUTED_VALUE"""),80.223277)</f>
        <v>80.223277</v>
      </c>
      <c r="F24542" s="4">
        <f>IFERROR(__xludf.DUMMYFUNCTION("""COMPUTED_VALUE"""),5339.0)</f>
        <v>5339</v>
      </c>
      <c r="G24542" s="4">
        <f>IFERROR(__xludf.DUMMYFUNCTION("""COMPUTED_VALUE"""),13.0)</f>
        <v>13</v>
      </c>
      <c r="H24542" s="4"/>
      <c r="I24542" s="4"/>
    </row>
    <row r="24543">
      <c r="A24543" s="4" t="str">
        <f>IFERROR(__xludf.DUMMYFUNCTION("""COMPUTED_VALUE"""),"cas_hmw")</f>
        <v>cas_hmw</v>
      </c>
      <c r="B24543" s="5">
        <f>IFERROR(__xludf.DUMMYFUNCTION("""COMPUTED_VALUE"""),44804.0)</f>
        <v>44804</v>
      </c>
      <c r="C24543" s="6">
        <f>IFERROR(__xludf.DUMMYFUNCTION("""COMPUTED_VALUE"""),0.3251851851855463)</f>
        <v>0.3251851852</v>
      </c>
      <c r="D24543" s="4">
        <f>IFERROR(__xludf.DUMMYFUNCTION("""COMPUTED_VALUE"""),13.005028)</f>
        <v>13.005028</v>
      </c>
      <c r="E24543" s="4">
        <f>IFERROR(__xludf.DUMMYFUNCTION("""COMPUTED_VALUE"""),80.201529)</f>
        <v>80.201529</v>
      </c>
      <c r="F24543" s="4">
        <f>IFERROR(__xludf.DUMMYFUNCTION("""COMPUTED_VALUE"""),5339.0)</f>
        <v>5339</v>
      </c>
      <c r="G24543" s="4">
        <f>IFERROR(__xludf.DUMMYFUNCTION("""COMPUTED_VALUE"""),51.0)</f>
        <v>51</v>
      </c>
      <c r="H24543" s="4"/>
      <c r="I24543" s="4"/>
    </row>
    <row r="24544">
      <c r="A24544" s="4" t="str">
        <f>IFERROR(__xludf.DUMMYFUNCTION("""COMPUTED_VALUE"""),"cas_hmw")</f>
        <v>cas_hmw</v>
      </c>
      <c r="B24544" s="5">
        <f>IFERROR(__xludf.DUMMYFUNCTION("""COMPUTED_VALUE"""),44804.0)</f>
        <v>44804</v>
      </c>
      <c r="C24544" s="6">
        <f>IFERROR(__xludf.DUMMYFUNCTION("""COMPUTED_VALUE"""),0.32531250000101863)</f>
        <v>0.3253125</v>
      </c>
      <c r="D24544" s="4">
        <f>IFERROR(__xludf.DUMMYFUNCTION("""COMPUTED_VALUE"""),13.003871)</f>
        <v>13.003871</v>
      </c>
      <c r="E24544" s="4">
        <f>IFERROR(__xludf.DUMMYFUNCTION("""COMPUTED_VALUE"""),80.200994)</f>
        <v>80.200994</v>
      </c>
      <c r="F24544" s="4">
        <f>IFERROR(__xludf.DUMMYFUNCTION("""COMPUTED_VALUE"""),5339.0)</f>
        <v>5339</v>
      </c>
      <c r="G24544" s="4">
        <f>IFERROR(__xludf.DUMMYFUNCTION("""COMPUTED_VALUE"""),42.0)</f>
        <v>42</v>
      </c>
      <c r="H24544" s="4"/>
      <c r="I24544" s="4"/>
    </row>
    <row r="24545">
      <c r="A24545" s="4" t="str">
        <f>IFERROR(__xludf.DUMMYFUNCTION("""COMPUTED_VALUE"""),"cas_hmw")</f>
        <v>cas_hmw</v>
      </c>
      <c r="B24545" s="5">
        <f>IFERROR(__xludf.DUMMYFUNCTION("""COMPUTED_VALUE"""),44804.0)</f>
        <v>44804</v>
      </c>
      <c r="C24545" s="6">
        <f>IFERROR(__xludf.DUMMYFUNCTION("""COMPUTED_VALUE"""),0.32574074074000237)</f>
        <v>0.3257407407</v>
      </c>
      <c r="D24545" s="4">
        <f>IFERROR(__xludf.DUMMYFUNCTION("""COMPUTED_VALUE"""),13.001911)</f>
        <v>13.001911</v>
      </c>
      <c r="E24545" s="4">
        <f>IFERROR(__xludf.DUMMYFUNCTION("""COMPUTED_VALUE"""),80.197958)</f>
        <v>80.197958</v>
      </c>
      <c r="F24545" s="4">
        <f>IFERROR(__xludf.DUMMYFUNCTION("""COMPUTED_VALUE"""),5339.0)</f>
        <v>5339</v>
      </c>
      <c r="G24545" s="4">
        <f>IFERROR(__xludf.DUMMYFUNCTION("""COMPUTED_VALUE"""),54.0)</f>
        <v>54</v>
      </c>
      <c r="H24545" s="4"/>
      <c r="I24545" s="4"/>
    </row>
    <row r="24546">
      <c r="A24546" s="4" t="str">
        <f>IFERROR(__xludf.DUMMYFUNCTION("""COMPUTED_VALUE"""),"cas_hmw")</f>
        <v>cas_hmw</v>
      </c>
      <c r="B24546" s="5">
        <f>IFERROR(__xludf.DUMMYFUNCTION("""COMPUTED_VALUE"""),44804.0)</f>
        <v>44804</v>
      </c>
      <c r="C24546" s="6">
        <f>IFERROR(__xludf.DUMMYFUNCTION("""COMPUTED_VALUE"""),0.32633101851752144)</f>
        <v>0.3263310185</v>
      </c>
      <c r="D24546" s="4">
        <f>IFERROR(__xludf.DUMMYFUNCTION("""COMPUTED_VALUE"""),13.000441)</f>
        <v>13.000441</v>
      </c>
      <c r="E24546" s="4">
        <f>IFERROR(__xludf.DUMMYFUNCTION("""COMPUTED_VALUE"""),80.194883)</f>
        <v>80.194883</v>
      </c>
      <c r="F24546" s="4">
        <f>IFERROR(__xludf.DUMMYFUNCTION("""COMPUTED_VALUE"""),5339.0)</f>
        <v>5339</v>
      </c>
      <c r="G24546" s="4">
        <f>IFERROR(__xludf.DUMMYFUNCTION("""COMPUTED_VALUE"""),38.0)</f>
        <v>38</v>
      </c>
      <c r="H24546" s="4"/>
      <c r="I24546" s="4"/>
    </row>
    <row r="24547">
      <c r="A24547" s="4" t="str">
        <f>IFERROR(__xludf.DUMMYFUNCTION("""COMPUTED_VALUE"""),"cas_hmw")</f>
        <v>cas_hmw</v>
      </c>
      <c r="B24547" s="5">
        <f>IFERROR(__xludf.DUMMYFUNCTION("""COMPUTED_VALUE"""),44804.0)</f>
        <v>44804</v>
      </c>
      <c r="C24547" s="6">
        <f>IFERROR(__xludf.DUMMYFUNCTION("""COMPUTED_VALUE"""),0.3263773148137261)</f>
        <v>0.3263773148</v>
      </c>
      <c r="D24547" s="4">
        <f>IFERROR(__xludf.DUMMYFUNCTION("""COMPUTED_VALUE"""),12.999786)</f>
        <v>12.999786</v>
      </c>
      <c r="E24547" s="4">
        <f>IFERROR(__xludf.DUMMYFUNCTION("""COMPUTED_VALUE"""),80.194057)</f>
        <v>80.194057</v>
      </c>
      <c r="F24547" s="4">
        <f>IFERROR(__xludf.DUMMYFUNCTION("""COMPUTED_VALUE"""),5339.0)</f>
        <v>5339</v>
      </c>
      <c r="G24547" s="4">
        <f>IFERROR(__xludf.DUMMYFUNCTION("""COMPUTED_VALUE"""),35.0)</f>
        <v>35</v>
      </c>
      <c r="H24547" s="4"/>
      <c r="I24547" s="4"/>
    </row>
    <row r="24548">
      <c r="A24548" s="4" t="str">
        <f>IFERROR(__xludf.DUMMYFUNCTION("""COMPUTED_VALUE"""),"cas_hmw")</f>
        <v>cas_hmw</v>
      </c>
      <c r="B24548" s="5">
        <f>IFERROR(__xludf.DUMMYFUNCTION("""COMPUTED_VALUE"""),44804.0)</f>
        <v>44804</v>
      </c>
      <c r="C24548" s="6">
        <f>IFERROR(__xludf.DUMMYFUNCTION("""COMPUTED_VALUE"""),0.3264930555560568)</f>
        <v>0.3264930556</v>
      </c>
      <c r="D24548" s="4">
        <f>IFERROR(__xludf.DUMMYFUNCTION("""COMPUTED_VALUE"""),12.999786)</f>
        <v>12.999786</v>
      </c>
      <c r="E24548" s="4">
        <f>IFERROR(__xludf.DUMMYFUNCTION("""COMPUTED_VALUE"""),80.194057)</f>
        <v>80.194057</v>
      </c>
      <c r="F24548" s="4">
        <f>IFERROR(__xludf.DUMMYFUNCTION("""COMPUTED_VALUE"""),5339.0)</f>
        <v>5339</v>
      </c>
      <c r="G24548" s="4">
        <f>IFERROR(__xludf.DUMMYFUNCTION("""COMPUTED_VALUE"""),35.0)</f>
        <v>35</v>
      </c>
      <c r="H24548" s="4"/>
      <c r="I24548" s="4"/>
    </row>
    <row r="24549">
      <c r="A24549" s="4" t="str">
        <f>IFERROR(__xludf.DUMMYFUNCTION("""COMPUTED_VALUE"""),"cas_hmw")</f>
        <v>cas_hmw</v>
      </c>
      <c r="B24549" s="5">
        <f>IFERROR(__xludf.DUMMYFUNCTION("""COMPUTED_VALUE"""),44804.0)</f>
        <v>44804</v>
      </c>
      <c r="C24549" s="6">
        <f>IFERROR(__xludf.DUMMYFUNCTION("""COMPUTED_VALUE"""),0.32653935185226146)</f>
        <v>0.3265393519</v>
      </c>
      <c r="D24549" s="4">
        <f>IFERROR(__xludf.DUMMYFUNCTION("""COMPUTED_VALUE"""),12.999786)</f>
        <v>12.999786</v>
      </c>
      <c r="E24549" s="4">
        <f>IFERROR(__xludf.DUMMYFUNCTION("""COMPUTED_VALUE"""),80.194057)</f>
        <v>80.194057</v>
      </c>
      <c r="F24549" s="4">
        <f>IFERROR(__xludf.DUMMYFUNCTION("""COMPUTED_VALUE"""),5339.0)</f>
        <v>5339</v>
      </c>
      <c r="G24549" s="4">
        <f>IFERROR(__xludf.DUMMYFUNCTION("""COMPUTED_VALUE"""),35.0)</f>
        <v>35</v>
      </c>
      <c r="H24549" s="4"/>
      <c r="I24549" s="4"/>
    </row>
    <row r="24550">
      <c r="A24550" s="4" t="str">
        <f>IFERROR(__xludf.DUMMYFUNCTION("""COMPUTED_VALUE"""),"cas_hmw")</f>
        <v>cas_hmw</v>
      </c>
      <c r="B24550" s="5">
        <f>IFERROR(__xludf.DUMMYFUNCTION("""COMPUTED_VALUE"""),44804.0)</f>
        <v>44804</v>
      </c>
      <c r="C24550" s="6">
        <f>IFERROR(__xludf.DUMMYFUNCTION("""COMPUTED_VALUE"""),0.3265624999985448)</f>
        <v>0.3265625</v>
      </c>
      <c r="D24550" s="4">
        <f>IFERROR(__xludf.DUMMYFUNCTION("""COMPUTED_VALUE"""),12.999238)</f>
        <v>12.999238</v>
      </c>
      <c r="E24550" s="4">
        <f>IFERROR(__xludf.DUMMYFUNCTION("""COMPUTED_VALUE"""),80.193414)</f>
        <v>80.193414</v>
      </c>
      <c r="F24550" s="4">
        <f>IFERROR(__xludf.DUMMYFUNCTION("""COMPUTED_VALUE"""),5339.0)</f>
        <v>5339</v>
      </c>
      <c r="G24550" s="4">
        <f>IFERROR(__xludf.DUMMYFUNCTION("""COMPUTED_VALUE"""),38.0)</f>
        <v>38</v>
      </c>
      <c r="H24550" s="4"/>
      <c r="I24550" s="4"/>
    </row>
    <row r="24551">
      <c r="A24551" s="4" t="str">
        <f>IFERROR(__xludf.DUMMYFUNCTION("""COMPUTED_VALUE"""),"cas_hmw")</f>
        <v>cas_hmw</v>
      </c>
      <c r="B24551" s="5">
        <f>IFERROR(__xludf.DUMMYFUNCTION("""COMPUTED_VALUE"""),44804.0)</f>
        <v>44804</v>
      </c>
      <c r="C24551" s="6">
        <f>IFERROR(__xludf.DUMMYFUNCTION("""COMPUTED_VALUE"""),0.3267476851870015)</f>
        <v>0.3267476852</v>
      </c>
      <c r="D24551" s="4">
        <f>IFERROR(__xludf.DUMMYFUNCTION("""COMPUTED_VALUE"""),12.998055)</f>
        <v>12.998055</v>
      </c>
      <c r="E24551" s="4">
        <f>IFERROR(__xludf.DUMMYFUNCTION("""COMPUTED_VALUE"""),80.191866)</f>
        <v>80.191866</v>
      </c>
      <c r="F24551" s="4">
        <f>IFERROR(__xludf.DUMMYFUNCTION("""COMPUTED_VALUE"""),5339.0)</f>
        <v>5339</v>
      </c>
      <c r="G24551" s="4">
        <f>IFERROR(__xludf.DUMMYFUNCTION("""COMPUTED_VALUE"""),37.0)</f>
        <v>37</v>
      </c>
      <c r="H24551" s="4"/>
      <c r="I24551" s="4"/>
    </row>
    <row r="24552">
      <c r="A24552" s="4" t="str">
        <f>IFERROR(__xludf.DUMMYFUNCTION("""COMPUTED_VALUE"""),"cas_hmw")</f>
        <v>cas_hmw</v>
      </c>
      <c r="B24552" s="5">
        <f>IFERROR(__xludf.DUMMYFUNCTION("""COMPUTED_VALUE"""),44804.0)</f>
        <v>44804</v>
      </c>
      <c r="C24552" s="6">
        <f>IFERROR(__xludf.DUMMYFUNCTION("""COMPUTED_VALUE"""),0.3267708333332848)</f>
        <v>0.3267708333</v>
      </c>
      <c r="D24552" s="4">
        <f>IFERROR(__xludf.DUMMYFUNCTION("""COMPUTED_VALUE"""),12.998055)</f>
        <v>12.998055</v>
      </c>
      <c r="E24552" s="4">
        <f>IFERROR(__xludf.DUMMYFUNCTION("""COMPUTED_VALUE"""),80.191866)</f>
        <v>80.191866</v>
      </c>
      <c r="F24552" s="4">
        <f>IFERROR(__xludf.DUMMYFUNCTION("""COMPUTED_VALUE"""),5339.0)</f>
        <v>5339</v>
      </c>
      <c r="G24552" s="4">
        <f>IFERROR(__xludf.DUMMYFUNCTION("""COMPUTED_VALUE"""),37.0)</f>
        <v>37</v>
      </c>
      <c r="H24552" s="4"/>
      <c r="I24552" s="4"/>
    </row>
    <row r="24553">
      <c r="A24553" s="4" t="str">
        <f>IFERROR(__xludf.DUMMYFUNCTION("""COMPUTED_VALUE"""),"cas_hmw")</f>
        <v>cas_hmw</v>
      </c>
      <c r="B24553" s="5">
        <f>IFERROR(__xludf.DUMMYFUNCTION("""COMPUTED_VALUE"""),44804.0)</f>
        <v>44804</v>
      </c>
      <c r="C24553" s="6">
        <f>IFERROR(__xludf.DUMMYFUNCTION("""COMPUTED_VALUE"""),0.32687499999883585)</f>
        <v>0.326875</v>
      </c>
      <c r="D24553" s="4">
        <f>IFERROR(__xludf.DUMMYFUNCTION("""COMPUTED_VALUE"""),12.997341)</f>
        <v>12.997341</v>
      </c>
      <c r="E24553" s="4">
        <f>IFERROR(__xludf.DUMMYFUNCTION("""COMPUTED_VALUE"""),80.190926)</f>
        <v>80.190926</v>
      </c>
      <c r="F24553" s="4">
        <f>IFERROR(__xludf.DUMMYFUNCTION("""COMPUTED_VALUE"""),5339.0)</f>
        <v>5339</v>
      </c>
      <c r="G24553" s="4">
        <f>IFERROR(__xludf.DUMMYFUNCTION("""COMPUTED_VALUE"""),49.0)</f>
        <v>49</v>
      </c>
      <c r="H24553" s="4"/>
      <c r="I24553" s="4"/>
    </row>
    <row r="24554">
      <c r="A24554" s="4" t="str">
        <f>IFERROR(__xludf.DUMMYFUNCTION("""COMPUTED_VALUE"""),"cas_hmw")</f>
        <v>cas_hmw</v>
      </c>
      <c r="B24554" s="5">
        <f>IFERROR(__xludf.DUMMYFUNCTION("""COMPUTED_VALUE"""),44804.0)</f>
        <v>44804</v>
      </c>
      <c r="C24554" s="6">
        <f>IFERROR(__xludf.DUMMYFUNCTION("""COMPUTED_VALUE"""),0.3270254629642295)</f>
        <v>0.327025463</v>
      </c>
      <c r="D24554" s="4">
        <f>IFERROR(__xludf.DUMMYFUNCTION("""COMPUTED_VALUE"""),12.996587)</f>
        <v>12.996587</v>
      </c>
      <c r="E24554" s="4">
        <f>IFERROR(__xludf.DUMMYFUNCTION("""COMPUTED_VALUE"""),80.189976)</f>
        <v>80.189976</v>
      </c>
      <c r="F24554" s="4">
        <f>IFERROR(__xludf.DUMMYFUNCTION("""COMPUTED_VALUE"""),5339.0)</f>
        <v>5339</v>
      </c>
      <c r="G24554" s="4">
        <f>IFERROR(__xludf.DUMMYFUNCTION("""COMPUTED_VALUE"""),46.0)</f>
        <v>46</v>
      </c>
      <c r="H24554" s="4"/>
      <c r="I24554" s="4"/>
    </row>
    <row r="24555">
      <c r="A24555" s="4" t="str">
        <f>IFERROR(__xludf.DUMMYFUNCTION("""COMPUTED_VALUE"""),"cas_hmw")</f>
        <v>cas_hmw</v>
      </c>
      <c r="B24555" s="5">
        <f>IFERROR(__xludf.DUMMYFUNCTION("""COMPUTED_VALUE"""),44804.0)</f>
        <v>44804</v>
      </c>
      <c r="C24555" s="6">
        <f>IFERROR(__xludf.DUMMYFUNCTION("""COMPUTED_VALUE"""),0.3284953703696374)</f>
        <v>0.3284953704</v>
      </c>
      <c r="D24555" s="4">
        <f>IFERROR(__xludf.DUMMYFUNCTION("""COMPUTED_VALUE"""),12.992255)</f>
        <v>12.992255</v>
      </c>
      <c r="E24555" s="4">
        <f>IFERROR(__xludf.DUMMYFUNCTION("""COMPUTED_VALUE"""),80.182553)</f>
        <v>80.182553</v>
      </c>
      <c r="F24555" s="4">
        <f>IFERROR(__xludf.DUMMYFUNCTION("""COMPUTED_VALUE"""),5339.0)</f>
        <v>5339</v>
      </c>
      <c r="G24555" s="4">
        <f>IFERROR(__xludf.DUMMYFUNCTION("""COMPUTED_VALUE"""),47.0)</f>
        <v>47</v>
      </c>
      <c r="H24555" s="4"/>
      <c r="I24555" s="4"/>
    </row>
    <row r="24556">
      <c r="A24556" s="4" t="str">
        <f>IFERROR(__xludf.DUMMYFUNCTION("""COMPUTED_VALUE"""),"cas_hmw")</f>
        <v>cas_hmw</v>
      </c>
      <c r="B24556" s="5">
        <f>IFERROR(__xludf.DUMMYFUNCTION("""COMPUTED_VALUE"""),44804.0)</f>
        <v>44804</v>
      </c>
      <c r="C24556" s="6">
        <f>IFERROR(__xludf.DUMMYFUNCTION("""COMPUTED_VALUE"""),0.32857638888890506)</f>
        <v>0.3285763889</v>
      </c>
      <c r="D24556" s="4">
        <f>IFERROR(__xludf.DUMMYFUNCTION("""COMPUTED_VALUE"""),12.991582)</f>
        <v>12.991582</v>
      </c>
      <c r="E24556" s="4">
        <f>IFERROR(__xludf.DUMMYFUNCTION("""COMPUTED_VALUE"""),80.181679)</f>
        <v>80.181679</v>
      </c>
      <c r="F24556" s="4">
        <f>IFERROR(__xludf.DUMMYFUNCTION("""COMPUTED_VALUE"""),5339.0)</f>
        <v>5339</v>
      </c>
      <c r="G24556" s="4">
        <f>IFERROR(__xludf.DUMMYFUNCTION("""COMPUTED_VALUE"""),41.0)</f>
        <v>41</v>
      </c>
      <c r="H24556" s="4"/>
      <c r="I24556" s="4"/>
    </row>
    <row r="24557">
      <c r="A24557" s="4" t="str">
        <f>IFERROR(__xludf.DUMMYFUNCTION("""COMPUTED_VALUE"""),"cas_hmw")</f>
        <v>cas_hmw</v>
      </c>
      <c r="B24557" s="5">
        <f>IFERROR(__xludf.DUMMYFUNCTION("""COMPUTED_VALUE"""),44804.0)</f>
        <v>44804</v>
      </c>
      <c r="C24557" s="6">
        <f>IFERROR(__xludf.DUMMYFUNCTION("""COMPUTED_VALUE"""),0.32971064814773854)</f>
        <v>0.3297106481</v>
      </c>
      <c r="D24557" s="4">
        <f>IFERROR(__xludf.DUMMYFUNCTION("""COMPUTED_VALUE"""),12.989397)</f>
        <v>12.989397</v>
      </c>
      <c r="E24557" s="4">
        <f>IFERROR(__xludf.DUMMYFUNCTION("""COMPUTED_VALUE"""),80.178929)</f>
        <v>80.178929</v>
      </c>
      <c r="F24557" s="4">
        <f>IFERROR(__xludf.DUMMYFUNCTION("""COMPUTED_VALUE"""),5339.0)</f>
        <v>5339</v>
      </c>
      <c r="G24557" s="4">
        <f>IFERROR(__xludf.DUMMYFUNCTION("""COMPUTED_VALUE"""),20.0)</f>
        <v>20</v>
      </c>
      <c r="H24557" s="4"/>
      <c r="I24557" s="4"/>
    </row>
    <row r="24558">
      <c r="A24558" s="4" t="str">
        <f>IFERROR(__xludf.DUMMYFUNCTION("""COMPUTED_VALUE"""),"cas_hmw")</f>
        <v>cas_hmw</v>
      </c>
      <c r="B24558" s="5">
        <f>IFERROR(__xludf.DUMMYFUNCTION("""COMPUTED_VALUE"""),44804.0)</f>
        <v>44804</v>
      </c>
      <c r="C24558" s="6">
        <f>IFERROR(__xludf.DUMMYFUNCTION("""COMPUTED_VALUE"""),0.3300462962979509)</f>
        <v>0.3300462963</v>
      </c>
      <c r="D24558" s="4">
        <f>IFERROR(__xludf.DUMMYFUNCTION("""COMPUTED_VALUE"""),12.987389)</f>
        <v>12.987389</v>
      </c>
      <c r="E24558" s="4">
        <f>IFERROR(__xludf.DUMMYFUNCTION("""COMPUTED_VALUE"""),80.176088)</f>
        <v>80.176088</v>
      </c>
      <c r="F24558" s="4">
        <f>IFERROR(__xludf.DUMMYFUNCTION("""COMPUTED_VALUE"""),5339.0)</f>
        <v>5339</v>
      </c>
      <c r="G24558" s="4">
        <f>IFERROR(__xludf.DUMMYFUNCTION("""COMPUTED_VALUE"""),59.0)</f>
        <v>59</v>
      </c>
      <c r="H24558" s="4"/>
      <c r="I24558" s="4"/>
    </row>
    <row r="24559">
      <c r="A24559" s="4" t="str">
        <f>IFERROR(__xludf.DUMMYFUNCTION("""COMPUTED_VALUE"""),"cas_hmw")</f>
        <v>cas_hmw</v>
      </c>
      <c r="B24559" s="5">
        <f>IFERROR(__xludf.DUMMYFUNCTION("""COMPUTED_VALUE"""),44804.0)</f>
        <v>44804</v>
      </c>
      <c r="C24559" s="6">
        <f>IFERROR(__xludf.DUMMYFUNCTION("""COMPUTED_VALUE"""),0.3301620370366436)</f>
        <v>0.330162037</v>
      </c>
      <c r="D24559" s="4">
        <f>IFERROR(__xludf.DUMMYFUNCTION("""COMPUTED_VALUE"""),12.986485)</f>
        <v>12.986485</v>
      </c>
      <c r="E24559" s="4">
        <f>IFERROR(__xludf.DUMMYFUNCTION("""COMPUTED_VALUE"""),80.174882)</f>
        <v>80.174882</v>
      </c>
      <c r="F24559" s="4">
        <f>IFERROR(__xludf.DUMMYFUNCTION("""COMPUTED_VALUE"""),5339.0)</f>
        <v>5339</v>
      </c>
      <c r="G24559" s="4">
        <f>IFERROR(__xludf.DUMMYFUNCTION("""COMPUTED_VALUE"""),57.0)</f>
        <v>57</v>
      </c>
      <c r="H24559" s="4"/>
      <c r="I24559" s="4"/>
    </row>
    <row r="24560">
      <c r="A24560" s="4" t="str">
        <f>IFERROR(__xludf.DUMMYFUNCTION("""COMPUTED_VALUE"""),"cas_hmw")</f>
        <v>cas_hmw</v>
      </c>
      <c r="B24560" s="5">
        <f>IFERROR(__xludf.DUMMYFUNCTION("""COMPUTED_VALUE"""),44804.0)</f>
        <v>44804</v>
      </c>
      <c r="C24560" s="6">
        <f>IFERROR(__xludf.DUMMYFUNCTION("""COMPUTED_VALUE"""),0.3308564814797137)</f>
        <v>0.3308564815</v>
      </c>
      <c r="D24560" s="4">
        <f>IFERROR(__xludf.DUMMYFUNCTION("""COMPUTED_VALUE"""),12.982897)</f>
        <v>12.982897</v>
      </c>
      <c r="E24560" s="4">
        <f>IFERROR(__xludf.DUMMYFUNCTION("""COMPUTED_VALUE"""),80.169257)</f>
        <v>80.169257</v>
      </c>
      <c r="F24560" s="4">
        <f>IFERROR(__xludf.DUMMYFUNCTION("""COMPUTED_VALUE"""),5339.0)</f>
        <v>5339</v>
      </c>
      <c r="G24560" s="4">
        <f>IFERROR(__xludf.DUMMYFUNCTION("""COMPUTED_VALUE"""),52.0)</f>
        <v>52</v>
      </c>
      <c r="H24560" s="4"/>
      <c r="I24560" s="4"/>
    </row>
    <row r="24561">
      <c r="A24561" s="4" t="str">
        <f>IFERROR(__xludf.DUMMYFUNCTION("""COMPUTED_VALUE"""),"cas_hmw")</f>
        <v>cas_hmw</v>
      </c>
      <c r="B24561" s="5">
        <f>IFERROR(__xludf.DUMMYFUNCTION("""COMPUTED_VALUE"""),44804.0)</f>
        <v>44804</v>
      </c>
      <c r="C24561" s="6">
        <f>IFERROR(__xludf.DUMMYFUNCTION("""COMPUTED_VALUE"""),0.33119212962992606)</f>
        <v>0.3311921296</v>
      </c>
      <c r="D24561" s="4">
        <f>IFERROR(__xludf.DUMMYFUNCTION("""COMPUTED_VALUE"""),12.980864)</f>
        <v>12.980864</v>
      </c>
      <c r="E24561" s="4">
        <f>IFERROR(__xludf.DUMMYFUNCTION("""COMPUTED_VALUE"""),80.165831)</f>
        <v>80.165831</v>
      </c>
      <c r="F24561" s="4">
        <f>IFERROR(__xludf.DUMMYFUNCTION("""COMPUTED_VALUE"""),5339.0)</f>
        <v>5339</v>
      </c>
      <c r="G24561" s="4">
        <f>IFERROR(__xludf.DUMMYFUNCTION("""COMPUTED_VALUE"""),50.0)</f>
        <v>50</v>
      </c>
      <c r="H24561" s="4"/>
      <c r="I24561" s="4"/>
    </row>
    <row r="24562">
      <c r="A24562" s="4" t="str">
        <f>IFERROR(__xludf.DUMMYFUNCTION("""COMPUTED_VALUE"""),"cas_hmw")</f>
        <v>cas_hmw</v>
      </c>
      <c r="B24562" s="5">
        <f>IFERROR(__xludf.DUMMYFUNCTION("""COMPUTED_VALUE"""),44804.0)</f>
        <v>44804</v>
      </c>
      <c r="C24562" s="6">
        <f>IFERROR(__xludf.DUMMYFUNCTION("""COMPUTED_VALUE"""),0.33207175925781485)</f>
        <v>0.3320717593</v>
      </c>
      <c r="D24562" s="4">
        <f>IFERROR(__xludf.DUMMYFUNCTION("""COMPUTED_VALUE"""),12.978092)</f>
        <v>12.978092</v>
      </c>
      <c r="E24562" s="4">
        <f>IFERROR(__xludf.DUMMYFUNCTION("""COMPUTED_VALUE"""),80.160323)</f>
        <v>80.160323</v>
      </c>
      <c r="F24562" s="4">
        <f>IFERROR(__xludf.DUMMYFUNCTION("""COMPUTED_VALUE"""),5339.0)</f>
        <v>5339</v>
      </c>
      <c r="G24562" s="4">
        <f>IFERROR(__xludf.DUMMYFUNCTION("""COMPUTED_VALUE"""),49.0)</f>
        <v>49</v>
      </c>
      <c r="H24562" s="4"/>
      <c r="I24562" s="4"/>
    </row>
    <row r="24563">
      <c r="A24563" s="4" t="str">
        <f>IFERROR(__xludf.DUMMYFUNCTION("""COMPUTED_VALUE"""),"cas_hmw")</f>
        <v>cas_hmw</v>
      </c>
      <c r="B24563" s="5">
        <f>IFERROR(__xludf.DUMMYFUNCTION("""COMPUTED_VALUE"""),44804.0)</f>
        <v>44804</v>
      </c>
      <c r="C24563" s="6">
        <f>IFERROR(__xludf.DUMMYFUNCTION("""COMPUTED_VALUE"""),0.33251157407357823)</f>
        <v>0.3325115741</v>
      </c>
      <c r="D24563" s="4">
        <f>IFERROR(__xludf.DUMMYFUNCTION("""COMPUTED_VALUE"""),12.975714)</f>
        <v>12.975714</v>
      </c>
      <c r="E24563" s="4">
        <f>IFERROR(__xludf.DUMMYFUNCTION("""COMPUTED_VALUE"""),80.156702)</f>
        <v>80.156702</v>
      </c>
      <c r="F24563" s="4">
        <f>IFERROR(__xludf.DUMMYFUNCTION("""COMPUTED_VALUE"""),5339.0)</f>
        <v>5339</v>
      </c>
      <c r="G24563" s="4">
        <f>IFERROR(__xludf.DUMMYFUNCTION("""COMPUTED_VALUE"""),58.0)</f>
        <v>58</v>
      </c>
      <c r="H24563" s="4"/>
      <c r="I24563" s="4"/>
    </row>
    <row r="24564">
      <c r="A24564" s="4" t="str">
        <f>IFERROR(__xludf.DUMMYFUNCTION("""COMPUTED_VALUE"""),"cas_hmw")</f>
        <v>cas_hmw</v>
      </c>
      <c r="B24564" s="5">
        <f>IFERROR(__xludf.DUMMYFUNCTION("""COMPUTED_VALUE"""),44804.0)</f>
        <v>44804</v>
      </c>
      <c r="C24564" s="6">
        <f>IFERROR(__xludf.DUMMYFUNCTION("""COMPUTED_VALUE"""),0.33342592592453)</f>
        <v>0.3334259259</v>
      </c>
      <c r="D24564" s="4">
        <f>IFERROR(__xludf.DUMMYFUNCTION("""COMPUTED_VALUE"""),12.967132)</f>
        <v>12.967132</v>
      </c>
      <c r="E24564" s="4">
        <f>IFERROR(__xludf.DUMMYFUNCTION("""COMPUTED_VALUE"""),80.149023)</f>
        <v>80.149023</v>
      </c>
      <c r="F24564" s="4">
        <f>IFERROR(__xludf.DUMMYFUNCTION("""COMPUTED_VALUE"""),5339.0)</f>
        <v>5339</v>
      </c>
      <c r="G24564" s="4">
        <f>IFERROR(__xludf.DUMMYFUNCTION("""COMPUTED_VALUE"""),34.0)</f>
        <v>34</v>
      </c>
      <c r="H24564" s="4"/>
      <c r="I24564" s="4"/>
    </row>
    <row r="24565">
      <c r="A24565" s="4" t="str">
        <f>IFERROR(__xludf.DUMMYFUNCTION("""COMPUTED_VALUE"""),"cas_hmw")</f>
        <v>cas_hmw</v>
      </c>
      <c r="B24565" s="5">
        <f>IFERROR(__xludf.DUMMYFUNCTION("""COMPUTED_VALUE"""),44804.0)</f>
        <v>44804</v>
      </c>
      <c r="C24565" s="6">
        <f>IFERROR(__xludf.DUMMYFUNCTION("""COMPUTED_VALUE"""),0.33587962963065365)</f>
        <v>0.3358796296</v>
      </c>
      <c r="D24565" s="4">
        <f>IFERROR(__xludf.DUMMYFUNCTION("""COMPUTED_VALUE"""),12.953387)</f>
        <v>12.953387</v>
      </c>
      <c r="E24565" s="4">
        <f>IFERROR(__xludf.DUMMYFUNCTION("""COMPUTED_VALUE"""),80.141708)</f>
        <v>80.141708</v>
      </c>
      <c r="F24565" s="4">
        <f>IFERROR(__xludf.DUMMYFUNCTION("""COMPUTED_VALUE"""),5339.0)</f>
        <v>5339</v>
      </c>
      <c r="G24565" s="4">
        <f>IFERROR(__xludf.DUMMYFUNCTION("""COMPUTED_VALUE"""),46.0)</f>
        <v>46</v>
      </c>
      <c r="H24565" s="4"/>
      <c r="I24565" s="4"/>
    </row>
    <row r="24566">
      <c r="A24566" s="4" t="str">
        <f>IFERROR(__xludf.DUMMYFUNCTION("""COMPUTED_VALUE"""),"cas_hmw")</f>
        <v>cas_hmw</v>
      </c>
      <c r="B24566" s="5">
        <f>IFERROR(__xludf.DUMMYFUNCTION("""COMPUTED_VALUE"""),44804.0)</f>
        <v>44804</v>
      </c>
      <c r="C24566" s="6">
        <f>IFERROR(__xludf.DUMMYFUNCTION("""COMPUTED_VALUE"""),0.3368750000008731)</f>
        <v>0.336875</v>
      </c>
      <c r="D24566" s="4">
        <f>IFERROR(__xludf.DUMMYFUNCTION("""COMPUTED_VALUE"""),12.948943)</f>
        <v>12.948943</v>
      </c>
      <c r="E24566" s="4">
        <f>IFERROR(__xludf.DUMMYFUNCTION("""COMPUTED_VALUE"""),80.138285)</f>
        <v>80.138285</v>
      </c>
      <c r="F24566" s="4">
        <f>IFERROR(__xludf.DUMMYFUNCTION("""COMPUTED_VALUE"""),5339.0)</f>
        <v>5339</v>
      </c>
      <c r="G24566" s="4">
        <f>IFERROR(__xludf.DUMMYFUNCTION("""COMPUTED_VALUE"""),45.0)</f>
        <v>45</v>
      </c>
      <c r="H24566" s="4"/>
      <c r="I24566" s="4"/>
    </row>
    <row r="24567">
      <c r="A24567" s="4" t="str">
        <f>IFERROR(__xludf.DUMMYFUNCTION("""COMPUTED_VALUE"""),"cas_hmw")</f>
        <v>cas_hmw</v>
      </c>
      <c r="B24567" s="5">
        <f>IFERROR(__xludf.DUMMYFUNCTION("""COMPUTED_VALUE"""),44804.0)</f>
        <v>44804</v>
      </c>
      <c r="C24567" s="6">
        <f>IFERROR(__xludf.DUMMYFUNCTION("""COMPUTED_VALUE"""),0.3370601851856918)</f>
        <v>0.3370601852</v>
      </c>
      <c r="D24567" s="4">
        <f>IFERROR(__xludf.DUMMYFUNCTION("""COMPUTED_VALUE"""),12.948009)</f>
        <v>12.948009</v>
      </c>
      <c r="E24567" s="4">
        <f>IFERROR(__xludf.DUMMYFUNCTION("""COMPUTED_VALUE"""),80.137619)</f>
        <v>80.137619</v>
      </c>
      <c r="F24567" s="4">
        <f>IFERROR(__xludf.DUMMYFUNCTION("""COMPUTED_VALUE"""),5339.0)</f>
        <v>5339</v>
      </c>
      <c r="G24567" s="4">
        <f>IFERROR(__xludf.DUMMYFUNCTION("""COMPUTED_VALUE"""),43.0)</f>
        <v>43</v>
      </c>
      <c r="H24567" s="4"/>
      <c r="I24567" s="4"/>
    </row>
    <row r="24568">
      <c r="A24568" s="4" t="str">
        <f>IFERROR(__xludf.DUMMYFUNCTION("""COMPUTED_VALUE"""),"cas_hmw")</f>
        <v>cas_hmw</v>
      </c>
      <c r="B24568" s="5">
        <f>IFERROR(__xludf.DUMMYFUNCTION("""COMPUTED_VALUE"""),44804.0)</f>
        <v>44804</v>
      </c>
      <c r="C24568" s="6">
        <f>IFERROR(__xludf.DUMMYFUNCTION("""COMPUTED_VALUE"""),0.33747685185153387)</f>
        <v>0.3374768519</v>
      </c>
      <c r="D24568" s="4">
        <f>IFERROR(__xludf.DUMMYFUNCTION("""COMPUTED_VALUE"""),12.944619)</f>
        <v>12.944619</v>
      </c>
      <c r="E24568" s="4">
        <f>IFERROR(__xludf.DUMMYFUNCTION("""COMPUTED_VALUE"""),80.135094)</f>
        <v>80.135094</v>
      </c>
      <c r="F24568" s="4">
        <f>IFERROR(__xludf.DUMMYFUNCTION("""COMPUTED_VALUE"""),5339.0)</f>
        <v>5339</v>
      </c>
      <c r="G24568" s="4">
        <f>IFERROR(__xludf.DUMMYFUNCTION("""COMPUTED_VALUE"""),50.0)</f>
        <v>50</v>
      </c>
      <c r="H24568" s="4"/>
      <c r="I24568" s="4"/>
    </row>
    <row r="24569">
      <c r="A24569" s="4" t="str">
        <f>IFERROR(__xludf.DUMMYFUNCTION("""COMPUTED_VALUE"""),"cas_hmw")</f>
        <v>cas_hmw</v>
      </c>
      <c r="B24569" s="5">
        <f>IFERROR(__xludf.DUMMYFUNCTION("""COMPUTED_VALUE"""),44804.0)</f>
        <v>44804</v>
      </c>
      <c r="C24569" s="6">
        <f>IFERROR(__xludf.DUMMYFUNCTION("""COMPUTED_VALUE"""),0.3383680555562023)</f>
        <v>0.3383680556</v>
      </c>
      <c r="D24569" s="4">
        <f>IFERROR(__xludf.DUMMYFUNCTION("""COMPUTED_VALUE"""),12.940385)</f>
        <v>12.940385</v>
      </c>
      <c r="E24569" s="4">
        <f>IFERROR(__xludf.DUMMYFUNCTION("""COMPUTED_VALUE"""),80.130957)</f>
        <v>80.130957</v>
      </c>
      <c r="F24569" s="4">
        <f>IFERROR(__xludf.DUMMYFUNCTION("""COMPUTED_VALUE"""),5339.0)</f>
        <v>5339</v>
      </c>
      <c r="G24569" s="4">
        <f>IFERROR(__xludf.DUMMYFUNCTION("""COMPUTED_VALUE"""),52.0)</f>
        <v>52</v>
      </c>
      <c r="H24569" s="4"/>
      <c r="I24569" s="4"/>
    </row>
    <row r="24570">
      <c r="A24570" s="4" t="str">
        <f>IFERROR(__xludf.DUMMYFUNCTION("""COMPUTED_VALUE"""),"cas_hmw")</f>
        <v>cas_hmw</v>
      </c>
      <c r="B24570" s="5">
        <f>IFERROR(__xludf.DUMMYFUNCTION("""COMPUTED_VALUE"""),44804.0)</f>
        <v>44804</v>
      </c>
      <c r="C24570" s="6">
        <f>IFERROR(__xludf.DUMMYFUNCTION("""COMPUTED_VALUE"""),0.3391435185185401)</f>
        <v>0.3391435185</v>
      </c>
      <c r="D24570" s="4">
        <f>IFERROR(__xludf.DUMMYFUNCTION("""COMPUTED_VALUE"""),12.93566)</f>
        <v>12.93566</v>
      </c>
      <c r="E24570" s="4">
        <f>IFERROR(__xludf.DUMMYFUNCTION("""COMPUTED_VALUE"""),80.12678)</f>
        <v>80.12678</v>
      </c>
      <c r="F24570" s="4">
        <f>IFERROR(__xludf.DUMMYFUNCTION("""COMPUTED_VALUE"""),5339.0)</f>
        <v>5339</v>
      </c>
      <c r="G24570" s="4">
        <f>IFERROR(__xludf.DUMMYFUNCTION("""COMPUTED_VALUE"""),33.0)</f>
        <v>33</v>
      </c>
      <c r="H24570" s="4"/>
      <c r="I24570" s="4"/>
    </row>
    <row r="24571">
      <c r="A24571" s="4" t="str">
        <f>IFERROR(__xludf.DUMMYFUNCTION("""COMPUTED_VALUE"""),"cas_hmw")</f>
        <v>cas_hmw</v>
      </c>
      <c r="B24571" s="5">
        <f>IFERROR(__xludf.DUMMYFUNCTION("""COMPUTED_VALUE"""),44804.0)</f>
        <v>44804</v>
      </c>
      <c r="C24571" s="6">
        <f>IFERROR(__xludf.DUMMYFUNCTION("""COMPUTED_VALUE"""),0.3404398148159089)</f>
        <v>0.3404398148</v>
      </c>
      <c r="D24571" s="4">
        <f>IFERROR(__xludf.DUMMYFUNCTION("""COMPUTED_VALUE"""),12.919266)</f>
        <v>12.919266</v>
      </c>
      <c r="E24571" s="4">
        <f>IFERROR(__xludf.DUMMYFUNCTION("""COMPUTED_VALUE"""),80.179916)</f>
        <v>80.179916</v>
      </c>
      <c r="F24571" s="4">
        <f>IFERROR(__xludf.DUMMYFUNCTION("""COMPUTED_VALUE"""),3143.0)</f>
        <v>3143</v>
      </c>
      <c r="G24571" s="4">
        <f>IFERROR(__xludf.DUMMYFUNCTION("""COMPUTED_VALUE"""),40.0)</f>
        <v>40</v>
      </c>
      <c r="H24571" s="4"/>
      <c r="I24571" s="4"/>
    </row>
    <row r="24572">
      <c r="A24572" s="4" t="str">
        <f>IFERROR(__xludf.DUMMYFUNCTION("""COMPUTED_VALUE"""),"cas_hmw")</f>
        <v>cas_hmw</v>
      </c>
      <c r="B24572" s="5">
        <f>IFERROR(__xludf.DUMMYFUNCTION("""COMPUTED_VALUE"""),44804.0)</f>
        <v>44804</v>
      </c>
      <c r="C24572" s="6">
        <f>IFERROR(__xludf.DUMMYFUNCTION("""COMPUTED_VALUE"""),0.3405208333315386)</f>
        <v>0.3405208333</v>
      </c>
      <c r="D24572" s="4">
        <f>IFERROR(__xludf.DUMMYFUNCTION("""COMPUTED_VALUE"""),12.929742)</f>
        <v>12.929742</v>
      </c>
      <c r="E24572" s="4">
        <f>IFERROR(__xludf.DUMMYFUNCTION("""COMPUTED_VALUE"""),80.120948)</f>
        <v>80.120948</v>
      </c>
      <c r="F24572" s="4">
        <f>IFERROR(__xludf.DUMMYFUNCTION("""COMPUTED_VALUE"""),5339.0)</f>
        <v>5339</v>
      </c>
      <c r="G24572" s="4">
        <f>IFERROR(__xludf.DUMMYFUNCTION("""COMPUTED_VALUE"""),52.0)</f>
        <v>52</v>
      </c>
      <c r="H24572" s="4"/>
      <c r="I24572" s="4"/>
    </row>
    <row r="24573">
      <c r="A24573" s="4" t="str">
        <f>IFERROR(__xludf.DUMMYFUNCTION("""COMPUTED_VALUE"""),"cas_hmw")</f>
        <v>cas_hmw</v>
      </c>
      <c r="B24573" s="5">
        <f>IFERROR(__xludf.DUMMYFUNCTION("""COMPUTED_VALUE"""),44804.0)</f>
        <v>44804</v>
      </c>
      <c r="C24573" s="6">
        <f>IFERROR(__xludf.DUMMYFUNCTION("""COMPUTED_VALUE"""),0.34082175925868796)</f>
        <v>0.3408217593</v>
      </c>
      <c r="D24573" s="4">
        <f>IFERROR(__xludf.DUMMYFUNCTION("""COMPUTED_VALUE"""),12.91836)</f>
        <v>12.91836</v>
      </c>
      <c r="E24573" s="4">
        <f>IFERROR(__xludf.DUMMYFUNCTION("""COMPUTED_VALUE"""),80.176733)</f>
        <v>80.176733</v>
      </c>
      <c r="F24573" s="4">
        <f>IFERROR(__xludf.DUMMYFUNCTION("""COMPUTED_VALUE"""),3143.0)</f>
        <v>3143</v>
      </c>
      <c r="G24573" s="4">
        <f>IFERROR(__xludf.DUMMYFUNCTION("""COMPUTED_VALUE"""),40.0)</f>
        <v>40</v>
      </c>
      <c r="H24573" s="4"/>
      <c r="I24573" s="4"/>
    </row>
    <row r="24574">
      <c r="A24574" s="4" t="str">
        <f>IFERROR(__xludf.DUMMYFUNCTION("""COMPUTED_VALUE"""),"cas_hmw")</f>
        <v>cas_hmw</v>
      </c>
      <c r="B24574" s="5">
        <f>IFERROR(__xludf.DUMMYFUNCTION("""COMPUTED_VALUE"""),44804.0)</f>
        <v>44804</v>
      </c>
      <c r="C24574" s="6">
        <f>IFERROR(__xludf.DUMMYFUNCTION("""COMPUTED_VALUE"""),0.3413194444437977)</f>
        <v>0.3413194444</v>
      </c>
      <c r="D24574" s="4">
        <f>IFERROR(__xludf.DUMMYFUNCTION("""COMPUTED_VALUE"""),12.919573)</f>
        <v>12.919573</v>
      </c>
      <c r="E24574" s="4">
        <f>IFERROR(__xludf.DUMMYFUNCTION("""COMPUTED_VALUE"""),80.171908)</f>
        <v>80.171908</v>
      </c>
      <c r="F24574" s="4">
        <f>IFERROR(__xludf.DUMMYFUNCTION("""COMPUTED_VALUE"""),3143.0)</f>
        <v>3143</v>
      </c>
      <c r="G24574" s="4">
        <f>IFERROR(__xludf.DUMMYFUNCTION("""COMPUTED_VALUE"""),25.0)</f>
        <v>25</v>
      </c>
      <c r="H24574" s="4"/>
      <c r="I24574" s="4"/>
    </row>
    <row r="24575">
      <c r="A24575" s="4" t="str">
        <f>IFERROR(__xludf.DUMMYFUNCTION("""COMPUTED_VALUE"""),"cas_hmw")</f>
        <v>cas_hmw</v>
      </c>
      <c r="B24575" s="5">
        <f>IFERROR(__xludf.DUMMYFUNCTION("""COMPUTED_VALUE"""),44804.0)</f>
        <v>44804</v>
      </c>
      <c r="C24575" s="6">
        <f>IFERROR(__xludf.DUMMYFUNCTION("""COMPUTED_VALUE"""),0.341342592593719)</f>
        <v>0.3413425926</v>
      </c>
      <c r="D24575" s="4">
        <f>IFERROR(__xludf.DUMMYFUNCTION("""COMPUTED_VALUE"""),12.919573)</f>
        <v>12.919573</v>
      </c>
      <c r="E24575" s="4">
        <f>IFERROR(__xludf.DUMMYFUNCTION("""COMPUTED_VALUE"""),80.171908)</f>
        <v>80.171908</v>
      </c>
      <c r="F24575" s="4">
        <f>IFERROR(__xludf.DUMMYFUNCTION("""COMPUTED_VALUE"""),3143.0)</f>
        <v>3143</v>
      </c>
      <c r="G24575" s="4">
        <f>IFERROR(__xludf.DUMMYFUNCTION("""COMPUTED_VALUE"""),25.0)</f>
        <v>25</v>
      </c>
      <c r="H24575" s="4"/>
      <c r="I24575" s="4"/>
    </row>
    <row r="24576">
      <c r="A24576" s="4" t="str">
        <f>IFERROR(__xludf.DUMMYFUNCTION("""COMPUTED_VALUE"""),"cas_hmw")</f>
        <v>cas_hmw</v>
      </c>
      <c r="B24576" s="5">
        <f>IFERROR(__xludf.DUMMYFUNCTION("""COMPUTED_VALUE"""),44804.0)</f>
        <v>44804</v>
      </c>
      <c r="C24576" s="6">
        <f>IFERROR(__xludf.DUMMYFUNCTION("""COMPUTED_VALUE"""),0.3416435185172304)</f>
        <v>0.3416435185</v>
      </c>
      <c r="D24576" s="4">
        <f>IFERROR(__xludf.DUMMYFUNCTION("""COMPUTED_VALUE"""),12.920047)</f>
        <v>12.920047</v>
      </c>
      <c r="E24576" s="4">
        <f>IFERROR(__xludf.DUMMYFUNCTION("""COMPUTED_VALUE"""),80.170302)</f>
        <v>80.170302</v>
      </c>
      <c r="F24576" s="4">
        <f>IFERROR(__xludf.DUMMYFUNCTION("""COMPUTED_VALUE"""),3143.0)</f>
        <v>3143</v>
      </c>
      <c r="G24576" s="4">
        <f>IFERROR(__xludf.DUMMYFUNCTION("""COMPUTED_VALUE"""),31.0)</f>
        <v>31</v>
      </c>
      <c r="H24576" s="4"/>
      <c r="I24576" s="4"/>
    </row>
    <row r="24577">
      <c r="A24577" s="4" t="str">
        <f>IFERROR(__xludf.DUMMYFUNCTION("""COMPUTED_VALUE"""),"cas_hmw")</f>
        <v>cas_hmw</v>
      </c>
      <c r="B24577" s="5">
        <f>IFERROR(__xludf.DUMMYFUNCTION("""COMPUTED_VALUE"""),44804.0)</f>
        <v>44804</v>
      </c>
      <c r="C24577" s="6">
        <f>IFERROR(__xludf.DUMMYFUNCTION("""COMPUTED_VALUE"""),0.34231481481401715)</f>
        <v>0.3423148148</v>
      </c>
      <c r="D24577" s="4">
        <f>IFERROR(__xludf.DUMMYFUNCTION("""COMPUTED_VALUE"""),12.917135)</f>
        <v>12.917135</v>
      </c>
      <c r="E24577" s="4">
        <f>IFERROR(__xludf.DUMMYFUNCTION("""COMPUTED_VALUE"""),80.107428)</f>
        <v>80.107428</v>
      </c>
      <c r="F24577" s="4">
        <f>IFERROR(__xludf.DUMMYFUNCTION("""COMPUTED_VALUE"""),5339.0)</f>
        <v>5339</v>
      </c>
      <c r="G24577" s="4">
        <f>IFERROR(__xludf.DUMMYFUNCTION("""COMPUTED_VALUE"""),20.0)</f>
        <v>20</v>
      </c>
      <c r="H24577" s="4"/>
      <c r="I24577" s="4"/>
    </row>
    <row r="24578">
      <c r="A24578" s="4" t="str">
        <f>IFERROR(__xludf.DUMMYFUNCTION("""COMPUTED_VALUE"""),"cas_hmw")</f>
        <v>cas_hmw</v>
      </c>
      <c r="B24578" s="5">
        <f>IFERROR(__xludf.DUMMYFUNCTION("""COMPUTED_VALUE"""),44804.0)</f>
        <v>44804</v>
      </c>
      <c r="C24578" s="6">
        <f>IFERROR(__xludf.DUMMYFUNCTION("""COMPUTED_VALUE"""),0.3424884259256942)</f>
        <v>0.3424884259</v>
      </c>
      <c r="D24578" s="4">
        <f>IFERROR(__xludf.DUMMYFUNCTION("""COMPUTED_VALUE"""),12.916378)</f>
        <v>12.916378</v>
      </c>
      <c r="E24578" s="4">
        <f>IFERROR(__xludf.DUMMYFUNCTION("""COMPUTED_VALUE"""),80.106036)</f>
        <v>80.106036</v>
      </c>
      <c r="F24578" s="4">
        <f>IFERROR(__xludf.DUMMYFUNCTION("""COMPUTED_VALUE"""),5339.0)</f>
        <v>5339</v>
      </c>
      <c r="G24578" s="4">
        <f>IFERROR(__xludf.DUMMYFUNCTION("""COMPUTED_VALUE"""),47.0)</f>
        <v>47</v>
      </c>
      <c r="H24578" s="4"/>
      <c r="I24578" s="4"/>
    </row>
    <row r="24579">
      <c r="A24579" s="4" t="str">
        <f>IFERROR(__xludf.DUMMYFUNCTION("""COMPUTED_VALUE"""),"cas_hmw")</f>
        <v>cas_hmw</v>
      </c>
      <c r="B24579" s="5">
        <f>IFERROR(__xludf.DUMMYFUNCTION("""COMPUTED_VALUE"""),44804.0)</f>
        <v>44804</v>
      </c>
      <c r="C24579" s="6">
        <f>IFERROR(__xludf.DUMMYFUNCTION("""COMPUTED_VALUE"""),0.34289351851839456)</f>
        <v>0.3428935185</v>
      </c>
      <c r="D24579" s="4">
        <f>IFERROR(__xludf.DUMMYFUNCTION("""COMPUTED_VALUE"""),12.914682)</f>
        <v>12.914682</v>
      </c>
      <c r="E24579" s="4">
        <f>IFERROR(__xludf.DUMMYFUNCTION("""COMPUTED_VALUE"""),80.102933)</f>
        <v>80.102933</v>
      </c>
      <c r="F24579" s="4">
        <f>IFERROR(__xludf.DUMMYFUNCTION("""COMPUTED_VALUE"""),5339.0)</f>
        <v>5339</v>
      </c>
      <c r="G24579" s="4">
        <f>IFERROR(__xludf.DUMMYFUNCTION("""COMPUTED_VALUE"""),42.0)</f>
        <v>42</v>
      </c>
      <c r="H24579" s="4"/>
      <c r="I24579" s="4"/>
    </row>
    <row r="24580">
      <c r="A24580" s="4" t="str">
        <f>IFERROR(__xludf.DUMMYFUNCTION("""COMPUTED_VALUE"""),"cas_hmw")</f>
        <v>cas_hmw</v>
      </c>
      <c r="B24580" s="5">
        <f>IFERROR(__xludf.DUMMYFUNCTION("""COMPUTED_VALUE"""),44804.0)</f>
        <v>44804</v>
      </c>
      <c r="C24580" s="6">
        <f>IFERROR(__xludf.DUMMYFUNCTION("""COMPUTED_VALUE"""),0.34326388888803194)</f>
        <v>0.3432638889</v>
      </c>
      <c r="D24580" s="4">
        <f>IFERROR(__xludf.DUMMYFUNCTION("""COMPUTED_VALUE"""),12.911857)</f>
        <v>12.911857</v>
      </c>
      <c r="E24580" s="4">
        <f>IFERROR(__xludf.DUMMYFUNCTION("""COMPUTED_VALUE"""),80.101441)</f>
        <v>80.101441</v>
      </c>
      <c r="F24580" s="4">
        <f>IFERROR(__xludf.DUMMYFUNCTION("""COMPUTED_VALUE"""),5339.0)</f>
        <v>5339</v>
      </c>
      <c r="G24580" s="4">
        <f>IFERROR(__xludf.DUMMYFUNCTION("""COMPUTED_VALUE"""),26.0)</f>
        <v>26</v>
      </c>
      <c r="H24580" s="4"/>
      <c r="I24580" s="4"/>
    </row>
    <row r="24581">
      <c r="A24581" s="4" t="str">
        <f>IFERROR(__xludf.DUMMYFUNCTION("""COMPUTED_VALUE"""),"cas_hmw")</f>
        <v>cas_hmw</v>
      </c>
      <c r="B24581" s="5">
        <f>IFERROR(__xludf.DUMMYFUNCTION("""COMPUTED_VALUE"""),44804.0)</f>
        <v>44804</v>
      </c>
      <c r="C24581" s="6">
        <f>IFERROR(__xludf.DUMMYFUNCTION("""COMPUTED_VALUE"""),0.34613425925999763)</f>
        <v>0.3461342593</v>
      </c>
      <c r="D24581" s="4">
        <f>IFERROR(__xludf.DUMMYFUNCTION("""COMPUTED_VALUE"""),12.922413)</f>
        <v>12.922413</v>
      </c>
      <c r="E24581" s="4">
        <f>IFERROR(__xludf.DUMMYFUNCTION("""COMPUTED_VALUE"""),80.142564)</f>
        <v>80.142564</v>
      </c>
      <c r="F24581" s="4">
        <f>IFERROR(__xludf.DUMMYFUNCTION("""COMPUTED_VALUE"""),3143.0)</f>
        <v>3143</v>
      </c>
      <c r="G24581" s="4">
        <f>IFERROR(__xludf.DUMMYFUNCTION("""COMPUTED_VALUE"""),22.0)</f>
        <v>22</v>
      </c>
      <c r="H24581" s="4"/>
      <c r="I24581" s="4"/>
    </row>
    <row r="24582">
      <c r="A24582" s="4" t="str">
        <f>IFERROR(__xludf.DUMMYFUNCTION("""COMPUTED_VALUE"""),"cas_hmw")</f>
        <v>cas_hmw</v>
      </c>
      <c r="B24582" s="5">
        <f>IFERROR(__xludf.DUMMYFUNCTION("""COMPUTED_VALUE"""),44804.0)</f>
        <v>44804</v>
      </c>
      <c r="C24582" s="6">
        <f>IFERROR(__xludf.DUMMYFUNCTION("""COMPUTED_VALUE"""),0.34848379629693227)</f>
        <v>0.3484837963</v>
      </c>
      <c r="D24582" s="4">
        <f>IFERROR(__xludf.DUMMYFUNCTION("""COMPUTED_VALUE"""),12.887948)</f>
        <v>12.887948</v>
      </c>
      <c r="E24582" s="4">
        <f>IFERROR(__xludf.DUMMYFUNCTION("""COMPUTED_VALUE"""),80.083753)</f>
        <v>80.083753</v>
      </c>
      <c r="F24582" s="4">
        <f>IFERROR(__xludf.DUMMYFUNCTION("""COMPUTED_VALUE"""),5339.0)</f>
        <v>5339</v>
      </c>
      <c r="G24582" s="4">
        <f>IFERROR(__xludf.DUMMYFUNCTION("""COMPUTED_VALUE"""),58.0)</f>
        <v>58</v>
      </c>
      <c r="H24582" s="4"/>
      <c r="I24582" s="4"/>
    </row>
    <row r="24583">
      <c r="A24583" s="4" t="str">
        <f>IFERROR(__xludf.DUMMYFUNCTION("""COMPUTED_VALUE"""),"cas_hmw")</f>
        <v>cas_hmw</v>
      </c>
      <c r="B24583" s="5">
        <f>IFERROR(__xludf.DUMMYFUNCTION("""COMPUTED_VALUE"""),44804.0)</f>
        <v>44804</v>
      </c>
      <c r="C24583" s="6">
        <f>IFERROR(__xludf.DUMMYFUNCTION("""COMPUTED_VALUE"""),0.34871527777795563)</f>
        <v>0.3487152778</v>
      </c>
      <c r="D24583" s="4">
        <f>IFERROR(__xludf.DUMMYFUNCTION("""COMPUTED_VALUE"""),12.885248)</f>
        <v>12.885248</v>
      </c>
      <c r="E24583" s="4">
        <f>IFERROR(__xludf.DUMMYFUNCTION("""COMPUTED_VALUE"""),80.082653)</f>
        <v>80.082653</v>
      </c>
      <c r="F24583" s="4">
        <f>IFERROR(__xludf.DUMMYFUNCTION("""COMPUTED_VALUE"""),5339.0)</f>
        <v>5339</v>
      </c>
      <c r="G24583" s="4">
        <f>IFERROR(__xludf.DUMMYFUNCTION("""COMPUTED_VALUE"""),56.0)</f>
        <v>56</v>
      </c>
      <c r="H24583" s="4"/>
      <c r="I24583" s="4"/>
    </row>
    <row r="24584">
      <c r="A24584" s="4" t="str">
        <f>IFERROR(__xludf.DUMMYFUNCTION("""COMPUTED_VALUE"""),"cas_hmw")</f>
        <v>cas_hmw</v>
      </c>
      <c r="B24584" s="5">
        <f>IFERROR(__xludf.DUMMYFUNCTION("""COMPUTED_VALUE"""),44804.0)</f>
        <v>44804</v>
      </c>
      <c r="C24584" s="6">
        <f>IFERROR(__xludf.DUMMYFUNCTION("""COMPUTED_VALUE"""),0.34910879629751435)</f>
        <v>0.3491087963</v>
      </c>
      <c r="D24584" s="4">
        <f>IFERROR(__xludf.DUMMYFUNCTION("""COMPUTED_VALUE"""),12.881679)</f>
        <v>12.881679</v>
      </c>
      <c r="E24584" s="4">
        <f>IFERROR(__xludf.DUMMYFUNCTION("""COMPUTED_VALUE"""),80.081306)</f>
        <v>80.081306</v>
      </c>
      <c r="F24584" s="4">
        <f>IFERROR(__xludf.DUMMYFUNCTION("""COMPUTED_VALUE"""),5339.0)</f>
        <v>5339</v>
      </c>
      <c r="G24584" s="4">
        <f>IFERROR(__xludf.DUMMYFUNCTION("""COMPUTED_VALUE"""),46.0)</f>
        <v>46</v>
      </c>
      <c r="H24584" s="4"/>
      <c r="I24584" s="4"/>
    </row>
    <row r="24585">
      <c r="A24585" s="4" t="str">
        <f>IFERROR(__xludf.DUMMYFUNCTION("""COMPUTED_VALUE"""),"cas_hmw")</f>
        <v>cas_hmw</v>
      </c>
      <c r="B24585" s="5">
        <f>IFERROR(__xludf.DUMMYFUNCTION("""COMPUTED_VALUE"""),44804.0)</f>
        <v>44804</v>
      </c>
      <c r="C24585" s="6">
        <f>IFERROR(__xludf.DUMMYFUNCTION("""COMPUTED_VALUE"""),0.34924768518612836)</f>
        <v>0.3492476852</v>
      </c>
      <c r="D24585" s="4">
        <f>IFERROR(__xludf.DUMMYFUNCTION("""COMPUTED_VALUE"""),12.880541)</f>
        <v>12.880541</v>
      </c>
      <c r="E24585" s="4">
        <f>IFERROR(__xludf.DUMMYFUNCTION("""COMPUTED_VALUE"""),80.080817)</f>
        <v>80.080817</v>
      </c>
      <c r="F24585" s="4">
        <f>IFERROR(__xludf.DUMMYFUNCTION("""COMPUTED_VALUE"""),5339.0)</f>
        <v>5339</v>
      </c>
      <c r="G24585" s="4">
        <f>IFERROR(__xludf.DUMMYFUNCTION("""COMPUTED_VALUE"""),51.0)</f>
        <v>51</v>
      </c>
      <c r="H24585" s="4"/>
      <c r="I24585" s="4"/>
    </row>
    <row r="24586">
      <c r="A24586" s="4" t="str">
        <f>IFERROR(__xludf.DUMMYFUNCTION("""COMPUTED_VALUE"""),"cas_hmw")</f>
        <v>cas_hmw</v>
      </c>
      <c r="B24586" s="5">
        <f>IFERROR(__xludf.DUMMYFUNCTION("""COMPUTED_VALUE"""),44804.0)</f>
        <v>44804</v>
      </c>
      <c r="C24586" s="6">
        <f>IFERROR(__xludf.DUMMYFUNCTION("""COMPUTED_VALUE"""),0.34975694444437977)</f>
        <v>0.3497569444</v>
      </c>
      <c r="D24586" s="4">
        <f>IFERROR(__xludf.DUMMYFUNCTION("""COMPUTED_VALUE"""),12.878434)</f>
        <v>12.878434</v>
      </c>
      <c r="E24586" s="4">
        <f>IFERROR(__xludf.DUMMYFUNCTION("""COMPUTED_VALUE"""),80.082275)</f>
        <v>80.082275</v>
      </c>
      <c r="F24586" s="4">
        <f>IFERROR(__xludf.DUMMYFUNCTION("""COMPUTED_VALUE"""),5339.0)</f>
        <v>5339</v>
      </c>
      <c r="G24586" s="4">
        <f>IFERROR(__xludf.DUMMYFUNCTION("""COMPUTED_VALUE"""),44.0)</f>
        <v>44</v>
      </c>
      <c r="H24586" s="4"/>
      <c r="I24586" s="4"/>
    </row>
    <row r="24587">
      <c r="A24587" s="4" t="str">
        <f>IFERROR(__xludf.DUMMYFUNCTION("""COMPUTED_VALUE"""),"cas_hmw")</f>
        <v>cas_hmw</v>
      </c>
      <c r="B24587" s="5">
        <f>IFERROR(__xludf.DUMMYFUNCTION("""COMPUTED_VALUE"""),44804.0)</f>
        <v>44804</v>
      </c>
      <c r="C24587" s="6">
        <f>IFERROR(__xludf.DUMMYFUNCTION("""COMPUTED_VALUE"""),0.3511689814804413)</f>
        <v>0.3511689815</v>
      </c>
      <c r="D24587" s="4">
        <f>IFERROR(__xludf.DUMMYFUNCTION("""COMPUTED_VALUE"""),12.920379)</f>
        <v>12.920379</v>
      </c>
      <c r="E24587" s="4">
        <f>IFERROR(__xludf.DUMMYFUNCTION("""COMPUTED_VALUE"""),80.111605)</f>
        <v>80.111605</v>
      </c>
      <c r="F24587" s="4">
        <f>IFERROR(__xludf.DUMMYFUNCTION("""COMPUTED_VALUE"""),3143.0)</f>
        <v>3143</v>
      </c>
      <c r="G24587" s="4">
        <f>IFERROR(__xludf.DUMMYFUNCTION("""COMPUTED_VALUE"""),58.0)</f>
        <v>58</v>
      </c>
      <c r="H24587" s="4"/>
      <c r="I24587" s="4"/>
    </row>
    <row r="24588">
      <c r="A24588" s="4" t="str">
        <f>IFERROR(__xludf.DUMMYFUNCTION("""COMPUTED_VALUE"""),"cas_hmw")</f>
        <v>cas_hmw</v>
      </c>
      <c r="B24588" s="5">
        <f>IFERROR(__xludf.DUMMYFUNCTION("""COMPUTED_VALUE"""),44804.0)</f>
        <v>44804</v>
      </c>
      <c r="C24588" s="6">
        <f>IFERROR(__xludf.DUMMYFUNCTION("""COMPUTED_VALUE"""),0.3524421296278888)</f>
        <v>0.3524421296</v>
      </c>
      <c r="D24588" s="4">
        <f>IFERROR(__xludf.DUMMYFUNCTION("""COMPUTED_VALUE"""),12.915679)</f>
        <v>12.915679</v>
      </c>
      <c r="E24588" s="4">
        <f>IFERROR(__xludf.DUMMYFUNCTION("""COMPUTED_VALUE"""),80.104792)</f>
        <v>80.104792</v>
      </c>
      <c r="F24588" s="4">
        <f>IFERROR(__xludf.DUMMYFUNCTION("""COMPUTED_VALUE"""),3143.0)</f>
        <v>3143</v>
      </c>
      <c r="G24588" s="4">
        <f>IFERROR(__xludf.DUMMYFUNCTION("""COMPUTED_VALUE"""),55.0)</f>
        <v>55</v>
      </c>
      <c r="H24588" s="4"/>
      <c r="I24588" s="4"/>
    </row>
    <row r="24589">
      <c r="A24589" s="4" t="str">
        <f>IFERROR(__xludf.DUMMYFUNCTION("""COMPUTED_VALUE"""),"cas_hmw")</f>
        <v>cas_hmw</v>
      </c>
      <c r="B24589" s="5">
        <f>IFERROR(__xludf.DUMMYFUNCTION("""COMPUTED_VALUE"""),44804.0)</f>
        <v>44804</v>
      </c>
      <c r="C24589" s="6">
        <f>IFERROR(__xludf.DUMMYFUNCTION("""COMPUTED_VALUE"""),0.3534143518518249)</f>
        <v>0.3534143519</v>
      </c>
      <c r="D24589" s="4">
        <f>IFERROR(__xludf.DUMMYFUNCTION("""COMPUTED_VALUE"""),12.909345)</f>
        <v>12.909345</v>
      </c>
      <c r="E24589" s="4">
        <f>IFERROR(__xludf.DUMMYFUNCTION("""COMPUTED_VALUE"""),80.099412)</f>
        <v>80.099412</v>
      </c>
      <c r="F24589" s="4">
        <f>IFERROR(__xludf.DUMMYFUNCTION("""COMPUTED_VALUE"""),3143.0)</f>
        <v>3143</v>
      </c>
      <c r="G24589" s="4">
        <f>IFERROR(__xludf.DUMMYFUNCTION("""COMPUTED_VALUE"""),0.0)</f>
        <v>0</v>
      </c>
      <c r="H24589" s="4"/>
      <c r="I24589" s="4"/>
    </row>
    <row r="24590">
      <c r="A24590" s="4" t="str">
        <f>IFERROR(__xludf.DUMMYFUNCTION("""COMPUTED_VALUE"""),"cas_hmw")</f>
        <v>cas_hmw</v>
      </c>
      <c r="B24590" s="5">
        <f>IFERROR(__xludf.DUMMYFUNCTION("""COMPUTED_VALUE"""),44804.0)</f>
        <v>44804</v>
      </c>
      <c r="C24590" s="6">
        <f>IFERROR(__xludf.DUMMYFUNCTION("""COMPUTED_VALUE"""),0.35369212962905294)</f>
        <v>0.3536921296</v>
      </c>
      <c r="D24590" s="4">
        <f>IFERROR(__xludf.DUMMYFUNCTION("""COMPUTED_VALUE"""),12.908258)</f>
        <v>12.908258</v>
      </c>
      <c r="E24590" s="4">
        <f>IFERROR(__xludf.DUMMYFUNCTION("""COMPUTED_VALUE"""),80.097924)</f>
        <v>80.097924</v>
      </c>
      <c r="F24590" s="4">
        <f>IFERROR(__xludf.DUMMYFUNCTION("""COMPUTED_VALUE"""),3143.0)</f>
        <v>3143</v>
      </c>
      <c r="G24590" s="4">
        <f>IFERROR(__xludf.DUMMYFUNCTION("""COMPUTED_VALUE"""),32.0)</f>
        <v>32</v>
      </c>
      <c r="H24590" s="4"/>
      <c r="I24590" s="4"/>
    </row>
    <row r="24591">
      <c r="A24591" s="4" t="str">
        <f>IFERROR(__xludf.DUMMYFUNCTION("""COMPUTED_VALUE"""),"cas_hmw")</f>
        <v>cas_hmw</v>
      </c>
      <c r="B24591" s="5">
        <f>IFERROR(__xludf.DUMMYFUNCTION("""COMPUTED_VALUE"""),44804.0)</f>
        <v>44804</v>
      </c>
      <c r="C24591" s="6">
        <f>IFERROR(__xludf.DUMMYFUNCTION("""COMPUTED_VALUE"""),0.35513888888817746)</f>
        <v>0.3551388889</v>
      </c>
      <c r="D24591" s="4">
        <f>IFERROR(__xludf.DUMMYFUNCTION("""COMPUTED_VALUE"""),12.902948)</f>
        <v>12.902948</v>
      </c>
      <c r="E24591" s="4">
        <f>IFERROR(__xludf.DUMMYFUNCTION("""COMPUTED_VALUE"""),80.093785)</f>
        <v>80.093785</v>
      </c>
      <c r="F24591" s="4">
        <f>IFERROR(__xludf.DUMMYFUNCTION("""COMPUTED_VALUE"""),3143.0)</f>
        <v>3143</v>
      </c>
      <c r="G24591" s="4">
        <f>IFERROR(__xludf.DUMMYFUNCTION("""COMPUTED_VALUE"""),46.0)</f>
        <v>46</v>
      </c>
      <c r="H24591" s="4"/>
      <c r="I24591" s="4"/>
    </row>
    <row r="24592">
      <c r="A24592" s="4" t="str">
        <f>IFERROR(__xludf.DUMMYFUNCTION("""COMPUTED_VALUE"""),"cas_hmw")</f>
        <v>cas_hmw</v>
      </c>
      <c r="B24592" s="5">
        <f>IFERROR(__xludf.DUMMYFUNCTION("""COMPUTED_VALUE"""),44804.0)</f>
        <v>44804</v>
      </c>
      <c r="C24592" s="6">
        <f>IFERROR(__xludf.DUMMYFUNCTION("""COMPUTED_VALUE"""),0.35539351851912215)</f>
        <v>0.3553935185</v>
      </c>
      <c r="D24592" s="4">
        <f>IFERROR(__xludf.DUMMYFUNCTION("""COMPUTED_VALUE"""),12.901463)</f>
        <v>12.901463</v>
      </c>
      <c r="E24592" s="4">
        <f>IFERROR(__xludf.DUMMYFUNCTION("""COMPUTED_VALUE"""),80.092644)</f>
        <v>80.092644</v>
      </c>
      <c r="F24592" s="4">
        <f>IFERROR(__xludf.DUMMYFUNCTION("""COMPUTED_VALUE"""),3143.0)</f>
        <v>3143</v>
      </c>
      <c r="G24592" s="4">
        <f>IFERROR(__xludf.DUMMYFUNCTION("""COMPUTED_VALUE"""),44.0)</f>
        <v>44</v>
      </c>
      <c r="H24592" s="4"/>
      <c r="I24592" s="4"/>
    </row>
    <row r="24593">
      <c r="A24593" s="4" t="str">
        <f>IFERROR(__xludf.DUMMYFUNCTION("""COMPUTED_VALUE"""),"cas_hmw")</f>
        <v>cas_hmw</v>
      </c>
      <c r="B24593" s="5">
        <f>IFERROR(__xludf.DUMMYFUNCTION("""COMPUTED_VALUE"""),44804.0)</f>
        <v>44804</v>
      </c>
      <c r="C24593" s="6">
        <f>IFERROR(__xludf.DUMMYFUNCTION("""COMPUTED_VALUE"""),0.356828703705105)</f>
        <v>0.3568287037</v>
      </c>
      <c r="D24593" s="4">
        <f>IFERROR(__xludf.DUMMYFUNCTION("""COMPUTED_VALUE"""),12.897559)</f>
        <v>12.897559</v>
      </c>
      <c r="E24593" s="4">
        <f>IFERROR(__xludf.DUMMYFUNCTION("""COMPUTED_VALUE"""),80.089692)</f>
        <v>80.089692</v>
      </c>
      <c r="F24593" s="4">
        <f>IFERROR(__xludf.DUMMYFUNCTION("""COMPUTED_VALUE"""),3143.0)</f>
        <v>3143</v>
      </c>
      <c r="G24593" s="4">
        <f>IFERROR(__xludf.DUMMYFUNCTION("""COMPUTED_VALUE"""),8.0)</f>
        <v>8</v>
      </c>
      <c r="H24593" s="4"/>
      <c r="I24593" s="4"/>
    </row>
    <row r="24594">
      <c r="A24594" s="4" t="str">
        <f>IFERROR(__xludf.DUMMYFUNCTION("""COMPUTED_VALUE"""),"cas_hmw")</f>
        <v>cas_hmw</v>
      </c>
      <c r="B24594" s="5">
        <f>IFERROR(__xludf.DUMMYFUNCTION("""COMPUTED_VALUE"""),44804.0)</f>
        <v>44804</v>
      </c>
      <c r="C24594" s="6">
        <f>IFERROR(__xludf.DUMMYFUNCTION("""COMPUTED_VALUE"""),0.35692129629751435)</f>
        <v>0.3569212963</v>
      </c>
      <c r="D24594" s="4">
        <f>IFERROR(__xludf.DUMMYFUNCTION("""COMPUTED_VALUE"""),12.896947)</f>
        <v>12.896947</v>
      </c>
      <c r="E24594" s="4">
        <f>IFERROR(__xludf.DUMMYFUNCTION("""COMPUTED_VALUE"""),80.089232)</f>
        <v>80.089232</v>
      </c>
      <c r="F24594" s="4">
        <f>IFERROR(__xludf.DUMMYFUNCTION("""COMPUTED_VALUE"""),3143.0)</f>
        <v>3143</v>
      </c>
      <c r="G24594" s="4">
        <f>IFERROR(__xludf.DUMMYFUNCTION("""COMPUTED_VALUE"""),29.0)</f>
        <v>29</v>
      </c>
      <c r="H24594" s="4"/>
      <c r="I24594" s="4"/>
    </row>
    <row r="24595">
      <c r="A24595" s="4" t="str">
        <f>IFERROR(__xludf.DUMMYFUNCTION("""COMPUTED_VALUE"""),"cas_hmw")</f>
        <v>cas_hmw</v>
      </c>
      <c r="B24595" s="5">
        <f>IFERROR(__xludf.DUMMYFUNCTION("""COMPUTED_VALUE"""),44804.0)</f>
        <v>44804</v>
      </c>
      <c r="C24595" s="6">
        <f>IFERROR(__xludf.DUMMYFUNCTION("""COMPUTED_VALUE"""),0.3573726851864194)</f>
        <v>0.3573726852</v>
      </c>
      <c r="D24595" s="4">
        <f>IFERROR(__xludf.DUMMYFUNCTION("""COMPUTED_VALUE"""),12.894391)</f>
        <v>12.894391</v>
      </c>
      <c r="E24595" s="4">
        <f>IFERROR(__xludf.DUMMYFUNCTION("""COMPUTED_VALUE"""),80.087305)</f>
        <v>80.087305</v>
      </c>
      <c r="F24595" s="4">
        <f>IFERROR(__xludf.DUMMYFUNCTION("""COMPUTED_VALUE"""),3143.0)</f>
        <v>3143</v>
      </c>
      <c r="G24595" s="4">
        <f>IFERROR(__xludf.DUMMYFUNCTION("""COMPUTED_VALUE"""),52.0)</f>
        <v>52</v>
      </c>
      <c r="H24595" s="4"/>
      <c r="I24595" s="4"/>
    </row>
    <row r="24596">
      <c r="A24596" s="4" t="str">
        <f>IFERROR(__xludf.DUMMYFUNCTION("""COMPUTED_VALUE"""),"cas_hmw")</f>
        <v>cas_hmw</v>
      </c>
      <c r="B24596" s="5">
        <f>IFERROR(__xludf.DUMMYFUNCTION("""COMPUTED_VALUE"""),44804.0)</f>
        <v>44804</v>
      </c>
      <c r="C24596" s="6">
        <f>IFERROR(__xludf.DUMMYFUNCTION("""COMPUTED_VALUE"""),0.3581481481487572)</f>
        <v>0.3581481481</v>
      </c>
      <c r="D24596" s="4">
        <f>IFERROR(__xludf.DUMMYFUNCTION("""COMPUTED_VALUE"""),12.886458)</f>
        <v>12.886458</v>
      </c>
      <c r="E24596" s="4">
        <f>IFERROR(__xludf.DUMMYFUNCTION("""COMPUTED_VALUE"""),80.083178)</f>
        <v>80.083178</v>
      </c>
      <c r="F24596" s="4">
        <f>IFERROR(__xludf.DUMMYFUNCTION("""COMPUTED_VALUE"""),3143.0)</f>
        <v>3143</v>
      </c>
      <c r="G24596" s="4">
        <f>IFERROR(__xludf.DUMMYFUNCTION("""COMPUTED_VALUE"""),56.0)</f>
        <v>56</v>
      </c>
      <c r="H24596" s="4"/>
      <c r="I24596" s="4"/>
    </row>
    <row r="24597">
      <c r="A24597" s="4" t="str">
        <f>IFERROR(__xludf.DUMMYFUNCTION("""COMPUTED_VALUE"""),"cas_hmw")</f>
        <v>cas_hmw</v>
      </c>
      <c r="B24597" s="5">
        <f>IFERROR(__xludf.DUMMYFUNCTION("""COMPUTED_VALUE"""),44804.0)</f>
        <v>44804</v>
      </c>
      <c r="C24597" s="6">
        <f>IFERROR(__xludf.DUMMYFUNCTION("""COMPUTED_VALUE"""),0.359375)</f>
        <v>0.359375</v>
      </c>
      <c r="D24597" s="4">
        <f>IFERROR(__xludf.DUMMYFUNCTION("""COMPUTED_VALUE"""),12.879078)</f>
        <v>12.879078</v>
      </c>
      <c r="E24597" s="4">
        <f>IFERROR(__xludf.DUMMYFUNCTION("""COMPUTED_VALUE"""),80.080399)</f>
        <v>80.080399</v>
      </c>
      <c r="F24597" s="4">
        <f>IFERROR(__xludf.DUMMYFUNCTION("""COMPUTED_VALUE"""),3143.0)</f>
        <v>3143</v>
      </c>
      <c r="G24597" s="4">
        <f>IFERROR(__xludf.DUMMYFUNCTION("""COMPUTED_VALUE"""),3.0)</f>
        <v>3</v>
      </c>
      <c r="H24597" s="4"/>
      <c r="I24597" s="4"/>
    </row>
    <row r="24598">
      <c r="A24598" s="4" t="str">
        <f>IFERROR(__xludf.DUMMYFUNCTION("""COMPUTED_VALUE"""),"cas_hmw")</f>
        <v>cas_hmw</v>
      </c>
      <c r="B24598" s="5">
        <f>IFERROR(__xludf.DUMMYFUNCTION("""COMPUTED_VALUE"""),44804.0)</f>
        <v>44804</v>
      </c>
      <c r="C24598" s="6">
        <f>IFERROR(__xludf.DUMMYFUNCTION("""COMPUTED_VALUE"""),0.359409722223063)</f>
        <v>0.3594097222</v>
      </c>
      <c r="D24598" s="4">
        <f>IFERROR(__xludf.DUMMYFUNCTION("""COMPUTED_VALUE"""),12.879078)</f>
        <v>12.879078</v>
      </c>
      <c r="E24598" s="4">
        <f>IFERROR(__xludf.DUMMYFUNCTION("""COMPUTED_VALUE"""),80.080399)</f>
        <v>80.080399</v>
      </c>
      <c r="F24598" s="4">
        <f>IFERROR(__xludf.DUMMYFUNCTION("""COMPUTED_VALUE"""),3143.0)</f>
        <v>3143</v>
      </c>
      <c r="G24598" s="4">
        <f>IFERROR(__xludf.DUMMYFUNCTION("""COMPUTED_VALUE"""),3.0)</f>
        <v>3</v>
      </c>
      <c r="H24598" s="4"/>
      <c r="I24598" s="4"/>
    </row>
    <row r="24599">
      <c r="A24599" s="4" t="str">
        <f>IFERROR(__xludf.DUMMYFUNCTION("""COMPUTED_VALUE"""),"cas_hmw")</f>
        <v>cas_hmw</v>
      </c>
      <c r="B24599" s="5">
        <f>IFERROR(__xludf.DUMMYFUNCTION("""COMPUTED_VALUE"""),44804.0)</f>
        <v>44804</v>
      </c>
      <c r="C24599" s="6">
        <f>IFERROR(__xludf.DUMMYFUNCTION("""COMPUTED_VALUE"""),0.6923379629624833)</f>
        <v>0.692337963</v>
      </c>
      <c r="D24599" s="4">
        <f>IFERROR(__xludf.DUMMYFUNCTION("""COMPUTED_VALUE"""),12.888512)</f>
        <v>12.888512</v>
      </c>
      <c r="E24599" s="4">
        <f>IFERROR(__xludf.DUMMYFUNCTION("""COMPUTED_VALUE"""),80.083829)</f>
        <v>80.083829</v>
      </c>
      <c r="F24599" s="4">
        <f>IFERROR(__xludf.DUMMYFUNCTION("""COMPUTED_VALUE"""),5339.0)</f>
        <v>5339</v>
      </c>
      <c r="G24599" s="4">
        <f>IFERROR(__xludf.DUMMYFUNCTION("""COMPUTED_VALUE"""),47.0)</f>
        <v>47</v>
      </c>
      <c r="H24599" s="4"/>
      <c r="I24599" s="4"/>
    </row>
    <row r="24600">
      <c r="A24600" s="4" t="str">
        <f>IFERROR(__xludf.DUMMYFUNCTION("""COMPUTED_VALUE"""),"cas_hmw")</f>
        <v>cas_hmw</v>
      </c>
      <c r="B24600" s="5">
        <f>IFERROR(__xludf.DUMMYFUNCTION("""COMPUTED_VALUE"""),44804.0)</f>
        <v>44804</v>
      </c>
      <c r="C24600" s="6">
        <f>IFERROR(__xludf.DUMMYFUNCTION("""COMPUTED_VALUE"""),0.692488425924239)</f>
        <v>0.6924884259</v>
      </c>
      <c r="D24600" s="4">
        <f>IFERROR(__xludf.DUMMYFUNCTION("""COMPUTED_VALUE"""),12.889664)</f>
        <v>12.889664</v>
      </c>
      <c r="E24600" s="4">
        <f>IFERROR(__xludf.DUMMYFUNCTION("""COMPUTED_VALUE"""),80.084294)</f>
        <v>80.084294</v>
      </c>
      <c r="F24600" s="4">
        <f>IFERROR(__xludf.DUMMYFUNCTION("""COMPUTED_VALUE"""),5339.0)</f>
        <v>5339</v>
      </c>
      <c r="G24600" s="4">
        <f>IFERROR(__xludf.DUMMYFUNCTION("""COMPUTED_VALUE"""),49.0)</f>
        <v>49</v>
      </c>
      <c r="H24600" s="4"/>
      <c r="I24600" s="4"/>
    </row>
    <row r="24601">
      <c r="A24601" s="4" t="str">
        <f>IFERROR(__xludf.DUMMYFUNCTION("""COMPUTED_VALUE"""),"cas_hmw")</f>
        <v>cas_hmw</v>
      </c>
      <c r="B24601" s="5">
        <f>IFERROR(__xludf.DUMMYFUNCTION("""COMPUTED_VALUE"""),44804.0)</f>
        <v>44804</v>
      </c>
      <c r="C24601" s="6">
        <f>IFERROR(__xludf.DUMMYFUNCTION("""COMPUTED_VALUE"""),0.6929513888899237)</f>
        <v>0.6929513889</v>
      </c>
      <c r="D24601" s="4">
        <f>IFERROR(__xludf.DUMMYFUNCTION("""COMPUTED_VALUE"""),12.892988)</f>
        <v>12.892988</v>
      </c>
      <c r="E24601" s="4">
        <f>IFERROR(__xludf.DUMMYFUNCTION("""COMPUTED_VALUE"""),80.08607)</f>
        <v>80.08607</v>
      </c>
      <c r="F24601" s="4">
        <f>IFERROR(__xludf.DUMMYFUNCTION("""COMPUTED_VALUE"""),5339.0)</f>
        <v>5339</v>
      </c>
      <c r="G24601" s="4">
        <f>IFERROR(__xludf.DUMMYFUNCTION("""COMPUTED_VALUE"""),43.0)</f>
        <v>43</v>
      </c>
      <c r="H24601" s="4"/>
      <c r="I24601" s="4"/>
    </row>
    <row r="24602">
      <c r="A24602" s="4" t="str">
        <f>IFERROR(__xludf.DUMMYFUNCTION("""COMPUTED_VALUE"""),"cas_hmw")</f>
        <v>cas_hmw</v>
      </c>
      <c r="B24602" s="5">
        <f>IFERROR(__xludf.DUMMYFUNCTION("""COMPUTED_VALUE"""),44804.0)</f>
        <v>44804</v>
      </c>
      <c r="C24602" s="6">
        <f>IFERROR(__xludf.DUMMYFUNCTION("""COMPUTED_VALUE"""),0.6934259259251121)</f>
        <v>0.6934259259</v>
      </c>
      <c r="D24602" s="4">
        <f>IFERROR(__xludf.DUMMYFUNCTION("""COMPUTED_VALUE"""),12.896976)</f>
        <v>12.896976</v>
      </c>
      <c r="E24602" s="4">
        <f>IFERROR(__xludf.DUMMYFUNCTION("""COMPUTED_VALUE"""),80.08909)</f>
        <v>80.08909</v>
      </c>
      <c r="F24602" s="4">
        <f>IFERROR(__xludf.DUMMYFUNCTION("""COMPUTED_VALUE"""),5339.0)</f>
        <v>5339</v>
      </c>
      <c r="G24602" s="4">
        <f>IFERROR(__xludf.DUMMYFUNCTION("""COMPUTED_VALUE"""),48.0)</f>
        <v>48</v>
      </c>
      <c r="H24602" s="4"/>
      <c r="I24602" s="4"/>
    </row>
    <row r="24603">
      <c r="A24603" s="4" t="str">
        <f>IFERROR(__xludf.DUMMYFUNCTION("""COMPUTED_VALUE"""),"cas_hmw")</f>
        <v>cas_hmw</v>
      </c>
      <c r="B24603" s="5">
        <f>IFERROR(__xludf.DUMMYFUNCTION("""COMPUTED_VALUE"""),44804.0)</f>
        <v>44804</v>
      </c>
      <c r="C24603" s="6">
        <f>IFERROR(__xludf.DUMMYFUNCTION("""COMPUTED_VALUE"""),0.6940277777794108)</f>
        <v>0.6940277778</v>
      </c>
      <c r="D24603" s="4">
        <f>IFERROR(__xludf.DUMMYFUNCTION("""COMPUTED_VALUE"""),12.902216)</f>
        <v>12.902216</v>
      </c>
      <c r="E24603" s="4">
        <f>IFERROR(__xludf.DUMMYFUNCTION("""COMPUTED_VALUE"""),80.093013)</f>
        <v>80.093013</v>
      </c>
      <c r="F24603" s="4">
        <f>IFERROR(__xludf.DUMMYFUNCTION("""COMPUTED_VALUE"""),5339.0)</f>
        <v>5339</v>
      </c>
      <c r="G24603" s="4">
        <f>IFERROR(__xludf.DUMMYFUNCTION("""COMPUTED_VALUE"""),52.0)</f>
        <v>52</v>
      </c>
      <c r="H24603" s="4"/>
      <c r="I24603" s="4"/>
    </row>
    <row r="24604">
      <c r="A24604" s="4" t="str">
        <f>IFERROR(__xludf.DUMMYFUNCTION("""COMPUTED_VALUE"""),"cas_hmw")</f>
        <v>cas_hmw</v>
      </c>
      <c r="B24604" s="5">
        <f>IFERROR(__xludf.DUMMYFUNCTION("""COMPUTED_VALUE"""),44804.0)</f>
        <v>44804</v>
      </c>
      <c r="C24604" s="6">
        <f>IFERROR(__xludf.DUMMYFUNCTION("""COMPUTED_VALUE"""),0.6967361111128412)</f>
        <v>0.6967361111</v>
      </c>
      <c r="D24604" s="4">
        <f>IFERROR(__xludf.DUMMYFUNCTION("""COMPUTED_VALUE"""),12.915744)</f>
        <v>12.915744</v>
      </c>
      <c r="E24604" s="4">
        <f>IFERROR(__xludf.DUMMYFUNCTION("""COMPUTED_VALUE"""),80.103714)</f>
        <v>80.103714</v>
      </c>
      <c r="F24604" s="4">
        <f>IFERROR(__xludf.DUMMYFUNCTION("""COMPUTED_VALUE"""),5339.0)</f>
        <v>5339</v>
      </c>
      <c r="G24604" s="4">
        <f>IFERROR(__xludf.DUMMYFUNCTION("""COMPUTED_VALUE"""),45.0)</f>
        <v>45</v>
      </c>
      <c r="H24604" s="4"/>
      <c r="I24604" s="4"/>
    </row>
    <row r="24605">
      <c r="A24605" s="4" t="str">
        <f>IFERROR(__xludf.DUMMYFUNCTION("""COMPUTED_VALUE"""),"cas_hmw")</f>
        <v>cas_hmw</v>
      </c>
      <c r="B24605" s="5">
        <f>IFERROR(__xludf.DUMMYFUNCTION("""COMPUTED_VALUE"""),44804.0)</f>
        <v>44804</v>
      </c>
      <c r="C24605" s="6">
        <f>IFERROR(__xludf.DUMMYFUNCTION("""COMPUTED_VALUE"""),0.6969560185170849)</f>
        <v>0.6969560185</v>
      </c>
      <c r="D24605" s="4">
        <f>IFERROR(__xludf.DUMMYFUNCTION("""COMPUTED_VALUE"""),12.916402)</f>
        <v>12.916402</v>
      </c>
      <c r="E24605" s="4">
        <f>IFERROR(__xludf.DUMMYFUNCTION("""COMPUTED_VALUE"""),80.105901)</f>
        <v>80.105901</v>
      </c>
      <c r="F24605" s="4">
        <f>IFERROR(__xludf.DUMMYFUNCTION("""COMPUTED_VALUE"""),5339.0)</f>
        <v>5339</v>
      </c>
      <c r="G24605" s="4">
        <f>IFERROR(__xludf.DUMMYFUNCTION("""COMPUTED_VALUE"""),44.0)</f>
        <v>44</v>
      </c>
      <c r="H24605" s="4"/>
      <c r="I24605" s="4"/>
    </row>
    <row r="24606">
      <c r="A24606" s="4" t="str">
        <f>IFERROR(__xludf.DUMMYFUNCTION("""COMPUTED_VALUE"""),"cas_hmw")</f>
        <v>cas_hmw</v>
      </c>
      <c r="B24606" s="5">
        <f>IFERROR(__xludf.DUMMYFUNCTION("""COMPUTED_VALUE"""),44804.0)</f>
        <v>44804</v>
      </c>
      <c r="C24606" s="6">
        <f>IFERROR(__xludf.DUMMYFUNCTION("""COMPUTED_VALUE"""),0.6977430555562023)</f>
        <v>0.6977430556</v>
      </c>
      <c r="D24606" s="4">
        <f>IFERROR(__xludf.DUMMYFUNCTION("""COMPUTED_VALUE"""),12.918323)</f>
        <v>12.918323</v>
      </c>
      <c r="E24606" s="4">
        <f>IFERROR(__xludf.DUMMYFUNCTION("""COMPUTED_VALUE"""),80.108865)</f>
        <v>80.108865</v>
      </c>
      <c r="F24606" s="4">
        <f>IFERROR(__xludf.DUMMYFUNCTION("""COMPUTED_VALUE"""),5339.0)</f>
        <v>5339</v>
      </c>
      <c r="G24606" s="4">
        <f>IFERROR(__xludf.DUMMYFUNCTION("""COMPUTED_VALUE"""),42.0)</f>
        <v>42</v>
      </c>
      <c r="H24606" s="4"/>
      <c r="I24606" s="4"/>
    </row>
    <row r="24607">
      <c r="A24607" s="4" t="str">
        <f>IFERROR(__xludf.DUMMYFUNCTION("""COMPUTED_VALUE"""),"cas_hmw")</f>
        <v>cas_hmw</v>
      </c>
      <c r="B24607" s="5">
        <f>IFERROR(__xludf.DUMMYFUNCTION("""COMPUTED_VALUE"""),44804.0)</f>
        <v>44804</v>
      </c>
      <c r="C24607" s="6">
        <f>IFERROR(__xludf.DUMMYFUNCTION("""COMPUTED_VALUE"""),0.7029050925921183)</f>
        <v>0.7029050926</v>
      </c>
      <c r="D24607" s="4">
        <f>IFERROR(__xludf.DUMMYFUNCTION("""COMPUTED_VALUE"""),12.939495)</f>
        <v>12.939495</v>
      </c>
      <c r="E24607" s="4">
        <f>IFERROR(__xludf.DUMMYFUNCTION("""COMPUTED_VALUE"""),80.12997)</f>
        <v>80.12997</v>
      </c>
      <c r="F24607" s="4">
        <f>IFERROR(__xludf.DUMMYFUNCTION("""COMPUTED_VALUE"""),5339.0)</f>
        <v>5339</v>
      </c>
      <c r="G24607" s="4">
        <f>IFERROR(__xludf.DUMMYFUNCTION("""COMPUTED_VALUE"""),51.0)</f>
        <v>51</v>
      </c>
      <c r="H24607" s="4"/>
      <c r="I24607" s="4"/>
    </row>
    <row r="24608">
      <c r="A24608" s="4" t="str">
        <f>IFERROR(__xludf.DUMMYFUNCTION("""COMPUTED_VALUE"""),"cas_hmw")</f>
        <v>cas_hmw</v>
      </c>
      <c r="B24608" s="5">
        <f>IFERROR(__xludf.DUMMYFUNCTION("""COMPUTED_VALUE"""),44804.0)</f>
        <v>44804</v>
      </c>
      <c r="C24608" s="6">
        <f>IFERROR(__xludf.DUMMYFUNCTION("""COMPUTED_VALUE"""),0.703194444446126)</f>
        <v>0.7031944444</v>
      </c>
      <c r="D24608" s="4">
        <f>IFERROR(__xludf.DUMMYFUNCTION("""COMPUTED_VALUE"""),12.9424)</f>
        <v>12.9424</v>
      </c>
      <c r="E24608" s="4">
        <f>IFERROR(__xludf.DUMMYFUNCTION("""COMPUTED_VALUE"""),80.132897)</f>
        <v>80.132897</v>
      </c>
      <c r="F24608" s="4">
        <f>IFERROR(__xludf.DUMMYFUNCTION("""COMPUTED_VALUE"""),5339.0)</f>
        <v>5339</v>
      </c>
      <c r="G24608" s="4">
        <f>IFERROR(__xludf.DUMMYFUNCTION("""COMPUTED_VALUE"""),49.0)</f>
        <v>49</v>
      </c>
      <c r="H24608" s="4"/>
      <c r="I24608" s="4"/>
    </row>
    <row r="24609">
      <c r="A24609" s="4" t="str">
        <f>IFERROR(__xludf.DUMMYFUNCTION("""COMPUTED_VALUE"""),"cas_hmw")</f>
        <v>cas_hmw</v>
      </c>
      <c r="B24609" s="5">
        <f>IFERROR(__xludf.DUMMYFUNCTION("""COMPUTED_VALUE"""),44804.0)</f>
        <v>44804</v>
      </c>
      <c r="C24609" s="6">
        <f>IFERROR(__xludf.DUMMYFUNCTION("""COMPUTED_VALUE"""),0.7033101851848187)</f>
        <v>0.7033101852</v>
      </c>
      <c r="D24609" s="4">
        <f>IFERROR(__xludf.DUMMYFUNCTION("""COMPUTED_VALUE"""),12.942935)</f>
        <v>12.942935</v>
      </c>
      <c r="E24609" s="4">
        <f>IFERROR(__xludf.DUMMYFUNCTION("""COMPUTED_VALUE"""),80.133481)</f>
        <v>80.133481</v>
      </c>
      <c r="F24609" s="4">
        <f>IFERROR(__xludf.DUMMYFUNCTION("""COMPUTED_VALUE"""),5339.0)</f>
        <v>5339</v>
      </c>
      <c r="G24609" s="4">
        <f>IFERROR(__xludf.DUMMYFUNCTION("""COMPUTED_VALUE"""),26.0)</f>
        <v>26</v>
      </c>
      <c r="H24609" s="4"/>
      <c r="I24609" s="4"/>
    </row>
    <row r="24610">
      <c r="A24610" s="4" t="str">
        <f>IFERROR(__xludf.DUMMYFUNCTION("""COMPUTED_VALUE"""),"cas_hmw")</f>
        <v>cas_hmw</v>
      </c>
      <c r="B24610" s="5">
        <f>IFERROR(__xludf.DUMMYFUNCTION("""COMPUTED_VALUE"""),44804.0)</f>
        <v>44804</v>
      </c>
      <c r="C24610" s="6">
        <f>IFERROR(__xludf.DUMMYFUNCTION("""COMPUTED_VALUE"""),0.7033217592579604)</f>
        <v>0.7033217593</v>
      </c>
      <c r="D24610" s="4">
        <f>IFERROR(__xludf.DUMMYFUNCTION("""COMPUTED_VALUE"""),12.942935)</f>
        <v>12.942935</v>
      </c>
      <c r="E24610" s="4">
        <f>IFERROR(__xludf.DUMMYFUNCTION("""COMPUTED_VALUE"""),80.133481)</f>
        <v>80.133481</v>
      </c>
      <c r="F24610" s="4">
        <f>IFERROR(__xludf.DUMMYFUNCTION("""COMPUTED_VALUE"""),5339.0)</f>
        <v>5339</v>
      </c>
      <c r="G24610" s="4">
        <f>IFERROR(__xludf.DUMMYFUNCTION("""COMPUTED_VALUE"""),26.0)</f>
        <v>26</v>
      </c>
      <c r="H24610" s="4"/>
      <c r="I24610" s="4"/>
    </row>
    <row r="24611">
      <c r="A24611" s="4" t="str">
        <f>IFERROR(__xludf.DUMMYFUNCTION("""COMPUTED_VALUE"""),"cas_hmw")</f>
        <v>cas_hmw</v>
      </c>
      <c r="B24611" s="5">
        <f>IFERROR(__xludf.DUMMYFUNCTION("""COMPUTED_VALUE"""),44804.0)</f>
        <v>44804</v>
      </c>
      <c r="C24611" s="6">
        <f>IFERROR(__xludf.DUMMYFUNCTION("""COMPUTED_VALUE"""),0.7043634259243845)</f>
        <v>0.7043634259</v>
      </c>
      <c r="D24611" s="4">
        <f>IFERROR(__xludf.DUMMYFUNCTION("""COMPUTED_VALUE"""),12.950273)</f>
        <v>12.950273</v>
      </c>
      <c r="E24611" s="4">
        <f>IFERROR(__xludf.DUMMYFUNCTION("""COMPUTED_VALUE"""),80.139306)</f>
        <v>80.139306</v>
      </c>
      <c r="F24611" s="4">
        <f>IFERROR(__xludf.DUMMYFUNCTION("""COMPUTED_VALUE"""),5339.0)</f>
        <v>5339</v>
      </c>
      <c r="G24611" s="4">
        <f>IFERROR(__xludf.DUMMYFUNCTION("""COMPUTED_VALUE"""),36.0)</f>
        <v>36</v>
      </c>
      <c r="H24611" s="4"/>
      <c r="I24611" s="4"/>
    </row>
    <row r="24612">
      <c r="A24612" s="4" t="str">
        <f>IFERROR(__xludf.DUMMYFUNCTION("""COMPUTED_VALUE"""),"cas_hmw")</f>
        <v>cas_hmw</v>
      </c>
      <c r="B24612" s="5">
        <f>IFERROR(__xludf.DUMMYFUNCTION("""COMPUTED_VALUE"""),44804.0)</f>
        <v>44804</v>
      </c>
      <c r="C24612" s="6">
        <f>IFERROR(__xludf.DUMMYFUNCTION("""COMPUTED_VALUE"""),0.7049884259249666)</f>
        <v>0.7049884259</v>
      </c>
      <c r="D24612" s="4">
        <f>IFERROR(__xludf.DUMMYFUNCTION("""COMPUTED_VALUE"""),12.953182)</f>
        <v>12.953182</v>
      </c>
      <c r="E24612" s="4">
        <f>IFERROR(__xludf.DUMMYFUNCTION("""COMPUTED_VALUE"""),80.141496)</f>
        <v>80.141496</v>
      </c>
      <c r="F24612" s="4">
        <f>IFERROR(__xludf.DUMMYFUNCTION("""COMPUTED_VALUE"""),5339.0)</f>
        <v>5339</v>
      </c>
      <c r="G24612" s="4">
        <f>IFERROR(__xludf.DUMMYFUNCTION("""COMPUTED_VALUE"""),36.0)</f>
        <v>36</v>
      </c>
      <c r="H24612" s="4"/>
      <c r="I24612" s="4"/>
    </row>
    <row r="24613">
      <c r="A24613" s="4" t="str">
        <f>IFERROR(__xludf.DUMMYFUNCTION("""COMPUTED_VALUE"""),"cas_hmw")</f>
        <v>cas_hmw</v>
      </c>
      <c r="B24613" s="5">
        <f>IFERROR(__xludf.DUMMYFUNCTION("""COMPUTED_VALUE"""),44804.0)</f>
        <v>44804</v>
      </c>
      <c r="C24613" s="6">
        <f>IFERROR(__xludf.DUMMYFUNCTION("""COMPUTED_VALUE"""),0.7056249999986903)</f>
        <v>0.705625</v>
      </c>
      <c r="D24613" s="4">
        <f>IFERROR(__xludf.DUMMYFUNCTION("""COMPUTED_VALUE"""),12.956718)</f>
        <v>12.956718</v>
      </c>
      <c r="E24613" s="4">
        <f>IFERROR(__xludf.DUMMYFUNCTION("""COMPUTED_VALUE"""),80.143394)</f>
        <v>80.143394</v>
      </c>
      <c r="F24613" s="4">
        <f>IFERROR(__xludf.DUMMYFUNCTION("""COMPUTED_VALUE"""),5339.0)</f>
        <v>5339</v>
      </c>
      <c r="G24613" s="4">
        <f>IFERROR(__xludf.DUMMYFUNCTION("""COMPUTED_VALUE"""),26.0)</f>
        <v>26</v>
      </c>
      <c r="H24613" s="4"/>
      <c r="I24613" s="4"/>
    </row>
    <row r="24614">
      <c r="A24614" s="4" t="str">
        <f>IFERROR(__xludf.DUMMYFUNCTION("""COMPUTED_VALUE"""),"cas_hmw")</f>
        <v>cas_hmw</v>
      </c>
      <c r="B24614" s="5">
        <f>IFERROR(__xludf.DUMMYFUNCTION("""COMPUTED_VALUE"""),44804.0)</f>
        <v>44804</v>
      </c>
      <c r="C24614" s="6">
        <f>IFERROR(__xludf.DUMMYFUNCTION("""COMPUTED_VALUE"""),0.70563657407547)</f>
        <v>0.7056365741</v>
      </c>
      <c r="D24614" s="4">
        <f>IFERROR(__xludf.DUMMYFUNCTION("""COMPUTED_VALUE"""),12.956718)</f>
        <v>12.956718</v>
      </c>
      <c r="E24614" s="4">
        <f>IFERROR(__xludf.DUMMYFUNCTION("""COMPUTED_VALUE"""),80.143394)</f>
        <v>80.143394</v>
      </c>
      <c r="F24614" s="4">
        <f>IFERROR(__xludf.DUMMYFUNCTION("""COMPUTED_VALUE"""),5339.0)</f>
        <v>5339</v>
      </c>
      <c r="G24614" s="4">
        <f>IFERROR(__xludf.DUMMYFUNCTION("""COMPUTED_VALUE"""),26.0)</f>
        <v>26</v>
      </c>
      <c r="H24614" s="4"/>
      <c r="I24614" s="4"/>
    </row>
    <row r="24615">
      <c r="A24615" s="4" t="str">
        <f>IFERROR(__xludf.DUMMYFUNCTION("""COMPUTED_VALUE"""),"cas_hmw")</f>
        <v>cas_hmw</v>
      </c>
      <c r="B24615" s="5">
        <f>IFERROR(__xludf.DUMMYFUNCTION("""COMPUTED_VALUE"""),44804.0)</f>
        <v>44804</v>
      </c>
      <c r="C24615" s="6">
        <f>IFERROR(__xludf.DUMMYFUNCTION("""COMPUTED_VALUE"""),0.7071643518502242)</f>
        <v>0.7071643519</v>
      </c>
      <c r="D24615" s="4">
        <f>IFERROR(__xludf.DUMMYFUNCTION("""COMPUTED_VALUE"""),12.962504)</f>
        <v>12.962504</v>
      </c>
      <c r="E24615" s="4">
        <f>IFERROR(__xludf.DUMMYFUNCTION("""COMPUTED_VALUE"""),80.146471)</f>
        <v>80.146471</v>
      </c>
      <c r="F24615" s="4">
        <f>IFERROR(__xludf.DUMMYFUNCTION("""COMPUTED_VALUE"""),5339.0)</f>
        <v>5339</v>
      </c>
      <c r="G24615" s="4">
        <f>IFERROR(__xludf.DUMMYFUNCTION("""COMPUTED_VALUE"""),32.0)</f>
        <v>32</v>
      </c>
      <c r="H24615" s="4"/>
      <c r="I24615" s="4"/>
    </row>
    <row r="24616">
      <c r="A24616" s="4" t="str">
        <f>IFERROR(__xludf.DUMMYFUNCTION("""COMPUTED_VALUE"""),"cas_hmw")</f>
        <v>cas_hmw</v>
      </c>
      <c r="B24616" s="5">
        <f>IFERROR(__xludf.DUMMYFUNCTION("""COMPUTED_VALUE"""),44804.0)</f>
        <v>44804</v>
      </c>
      <c r="C24616" s="6">
        <f>IFERROR(__xludf.DUMMYFUNCTION("""COMPUTED_VALUE"""),0.7073263888887595)</f>
        <v>0.7073263889</v>
      </c>
      <c r="D24616" s="4">
        <f>IFERROR(__xludf.DUMMYFUNCTION("""COMPUTED_VALUE"""),12.963251)</f>
        <v>12.963251</v>
      </c>
      <c r="E24616" s="4">
        <f>IFERROR(__xludf.DUMMYFUNCTION("""COMPUTED_VALUE"""),80.146874)</f>
        <v>80.146874</v>
      </c>
      <c r="F24616" s="4">
        <f>IFERROR(__xludf.DUMMYFUNCTION("""COMPUTED_VALUE"""),5339.0)</f>
        <v>5339</v>
      </c>
      <c r="G24616" s="4">
        <f>IFERROR(__xludf.DUMMYFUNCTION("""COMPUTED_VALUE"""),33.0)</f>
        <v>33</v>
      </c>
      <c r="H24616" s="4"/>
      <c r="I24616" s="4"/>
    </row>
    <row r="24617">
      <c r="A24617" s="4" t="str">
        <f>IFERROR(__xludf.DUMMYFUNCTION("""COMPUTED_VALUE"""),"cas_hmw")</f>
        <v>cas_hmw</v>
      </c>
      <c r="B24617" s="5">
        <f>IFERROR(__xludf.DUMMYFUNCTION("""COMPUTED_VALUE"""),44804.0)</f>
        <v>44804</v>
      </c>
      <c r="C24617" s="6">
        <f>IFERROR(__xludf.DUMMYFUNCTION("""COMPUTED_VALUE"""),0.7073958333348855)</f>
        <v>0.7073958333</v>
      </c>
      <c r="D24617" s="4">
        <f>IFERROR(__xludf.DUMMYFUNCTION("""COMPUTED_VALUE"""),12.964026)</f>
        <v>12.964026</v>
      </c>
      <c r="E24617" s="4">
        <f>IFERROR(__xludf.DUMMYFUNCTION("""COMPUTED_VALUE"""),80.147308)</f>
        <v>80.147308</v>
      </c>
      <c r="F24617" s="4">
        <f>IFERROR(__xludf.DUMMYFUNCTION("""COMPUTED_VALUE"""),5339.0)</f>
        <v>5339</v>
      </c>
      <c r="G24617" s="4">
        <f>IFERROR(__xludf.DUMMYFUNCTION("""COMPUTED_VALUE"""),34.0)</f>
        <v>34</v>
      </c>
      <c r="H24617" s="4"/>
      <c r="I24617" s="4"/>
    </row>
    <row r="24618">
      <c r="A24618" s="4" t="str">
        <f>IFERROR(__xludf.DUMMYFUNCTION("""COMPUTED_VALUE"""),"cas_hmw")</f>
        <v>cas_hmw</v>
      </c>
      <c r="B24618" s="5">
        <f>IFERROR(__xludf.DUMMYFUNCTION("""COMPUTED_VALUE"""),44804.0)</f>
        <v>44804</v>
      </c>
      <c r="C24618" s="6">
        <f>IFERROR(__xludf.DUMMYFUNCTION("""COMPUTED_VALUE"""),0.7075462962966412)</f>
        <v>0.7075462963</v>
      </c>
      <c r="D24618" s="4">
        <f>IFERROR(__xludf.DUMMYFUNCTION("""COMPUTED_VALUE"""),12.964684)</f>
        <v>12.964684</v>
      </c>
      <c r="E24618" s="4">
        <f>IFERROR(__xludf.DUMMYFUNCTION("""COMPUTED_VALUE"""),80.147689)</f>
        <v>80.147689</v>
      </c>
      <c r="F24618" s="4">
        <f>IFERROR(__xludf.DUMMYFUNCTION("""COMPUTED_VALUE"""),5339.0)</f>
        <v>5339</v>
      </c>
      <c r="G24618" s="4">
        <f>IFERROR(__xludf.DUMMYFUNCTION("""COMPUTED_VALUE"""),26.0)</f>
        <v>26</v>
      </c>
      <c r="H24618" s="4"/>
      <c r="I24618" s="4"/>
    </row>
    <row r="24619">
      <c r="A24619" s="4" t="str">
        <f>IFERROR(__xludf.DUMMYFUNCTION("""COMPUTED_VALUE"""),"cas_hmw")</f>
        <v>cas_hmw</v>
      </c>
      <c r="B24619" s="5">
        <f>IFERROR(__xludf.DUMMYFUNCTION("""COMPUTED_VALUE"""),44804.0)</f>
        <v>44804</v>
      </c>
      <c r="C24619" s="6">
        <f>IFERROR(__xludf.DUMMYFUNCTION("""COMPUTED_VALUE"""),0.7080671296280343)</f>
        <v>0.7080671296</v>
      </c>
      <c r="D24619" s="4">
        <f>IFERROR(__xludf.DUMMYFUNCTION("""COMPUTED_VALUE"""),12.969178)</f>
        <v>12.969178</v>
      </c>
      <c r="E24619" s="4">
        <f>IFERROR(__xludf.DUMMYFUNCTION("""COMPUTED_VALUE"""),80.149989)</f>
        <v>80.149989</v>
      </c>
      <c r="F24619" s="4">
        <f>IFERROR(__xludf.DUMMYFUNCTION("""COMPUTED_VALUE"""),5339.0)</f>
        <v>5339</v>
      </c>
      <c r="G24619" s="4">
        <f>IFERROR(__xludf.DUMMYFUNCTION("""COMPUTED_VALUE"""),56.0)</f>
        <v>56</v>
      </c>
      <c r="H24619" s="4"/>
      <c r="I24619" s="4"/>
    </row>
    <row r="24620">
      <c r="A24620" s="4" t="str">
        <f>IFERROR(__xludf.DUMMYFUNCTION("""COMPUTED_VALUE"""),"cas_hmw")</f>
        <v>cas_hmw</v>
      </c>
      <c r="B24620" s="5">
        <f>IFERROR(__xludf.DUMMYFUNCTION("""COMPUTED_VALUE"""),44804.0)</f>
        <v>44804</v>
      </c>
      <c r="C24620" s="6">
        <f>IFERROR(__xludf.DUMMYFUNCTION("""COMPUTED_VALUE"""),0.7084722222207347)</f>
        <v>0.7084722222</v>
      </c>
      <c r="D24620" s="4">
        <f>IFERROR(__xludf.DUMMYFUNCTION("""COMPUTED_VALUE"""),12.972824)</f>
        <v>12.972824</v>
      </c>
      <c r="E24620" s="4">
        <f>IFERROR(__xludf.DUMMYFUNCTION("""COMPUTED_VALUE"""),80.152337)</f>
        <v>80.152337</v>
      </c>
      <c r="F24620" s="4">
        <f>IFERROR(__xludf.DUMMYFUNCTION("""COMPUTED_VALUE"""),5339.0)</f>
        <v>5339</v>
      </c>
      <c r="G24620" s="4">
        <f>IFERROR(__xludf.DUMMYFUNCTION("""COMPUTED_VALUE"""),58.0)</f>
        <v>58</v>
      </c>
      <c r="H24620" s="4"/>
      <c r="I24620" s="4"/>
    </row>
    <row r="24621">
      <c r="A24621" s="4" t="str">
        <f>IFERROR(__xludf.DUMMYFUNCTION("""COMPUTED_VALUE"""),"cas_hmw")</f>
        <v>cas_hmw</v>
      </c>
      <c r="B24621" s="5">
        <f>IFERROR(__xludf.DUMMYFUNCTION("""COMPUTED_VALUE"""),44804.0)</f>
        <v>44804</v>
      </c>
      <c r="C24621" s="6">
        <f>IFERROR(__xludf.DUMMYFUNCTION("""COMPUTED_VALUE"""),0.7087152777785377)</f>
        <v>0.7087152778</v>
      </c>
      <c r="D24621" s="4">
        <f>IFERROR(__xludf.DUMMYFUNCTION("""COMPUTED_VALUE"""),12.974508)</f>
        <v>12.974508</v>
      </c>
      <c r="E24621" s="4">
        <f>IFERROR(__xludf.DUMMYFUNCTION("""COMPUTED_VALUE"""),80.154793)</f>
        <v>80.154793</v>
      </c>
      <c r="F24621" s="4">
        <f>IFERROR(__xludf.DUMMYFUNCTION("""COMPUTED_VALUE"""),5339.0)</f>
        <v>5339</v>
      </c>
      <c r="G24621" s="4">
        <f>IFERROR(__xludf.DUMMYFUNCTION("""COMPUTED_VALUE"""),61.0)</f>
        <v>61</v>
      </c>
      <c r="H24621" s="4"/>
      <c r="I24621" s="4"/>
    </row>
    <row r="24622">
      <c r="A24622" s="4" t="str">
        <f>IFERROR(__xludf.DUMMYFUNCTION("""COMPUTED_VALUE"""),"cas_hmw")</f>
        <v>cas_hmw</v>
      </c>
      <c r="B24622" s="5">
        <f>IFERROR(__xludf.DUMMYFUNCTION("""COMPUTED_VALUE"""),44804.0)</f>
        <v>44804</v>
      </c>
      <c r="C24622" s="6">
        <f>IFERROR(__xludf.DUMMYFUNCTION("""COMPUTED_VALUE"""),0.7089120370364981)</f>
        <v>0.708912037</v>
      </c>
      <c r="D24622" s="4">
        <f>IFERROR(__xludf.DUMMYFUNCTION("""COMPUTED_VALUE"""),12.976128)</f>
        <v>12.976128</v>
      </c>
      <c r="E24622" s="4">
        <f>IFERROR(__xludf.DUMMYFUNCTION("""COMPUTED_VALUE"""),80.157134)</f>
        <v>80.157134</v>
      </c>
      <c r="F24622" s="4">
        <f>IFERROR(__xludf.DUMMYFUNCTION("""COMPUTED_VALUE"""),5339.0)</f>
        <v>5339</v>
      </c>
      <c r="G24622" s="4">
        <f>IFERROR(__xludf.DUMMYFUNCTION("""COMPUTED_VALUE"""),44.0)</f>
        <v>44</v>
      </c>
      <c r="H24622" s="4"/>
      <c r="I24622" s="4"/>
    </row>
    <row r="24623">
      <c r="A24623" s="4" t="str">
        <f>IFERROR(__xludf.DUMMYFUNCTION("""COMPUTED_VALUE"""),"cas_hmw")</f>
        <v>cas_hmw</v>
      </c>
      <c r="B24623" s="5">
        <f>IFERROR(__xludf.DUMMYFUNCTION("""COMPUTED_VALUE"""),44804.0)</f>
        <v>44804</v>
      </c>
      <c r="C24623" s="6">
        <f>IFERROR(__xludf.DUMMYFUNCTION("""COMPUTED_VALUE"""),0.7095833333332848)</f>
        <v>0.7095833333</v>
      </c>
      <c r="D24623" s="4">
        <f>IFERROR(__xludf.DUMMYFUNCTION("""COMPUTED_VALUE"""),12.980235)</f>
        <v>12.980235</v>
      </c>
      <c r="E24623" s="4">
        <f>IFERROR(__xludf.DUMMYFUNCTION("""COMPUTED_VALUE"""),80.1638)</f>
        <v>80.1638</v>
      </c>
      <c r="F24623" s="4">
        <f>IFERROR(__xludf.DUMMYFUNCTION("""COMPUTED_VALUE"""),5339.0)</f>
        <v>5339</v>
      </c>
      <c r="G24623" s="4">
        <f>IFERROR(__xludf.DUMMYFUNCTION("""COMPUTED_VALUE"""),53.0)</f>
        <v>53</v>
      </c>
      <c r="H24623" s="4"/>
      <c r="I24623" s="4"/>
    </row>
    <row r="24624">
      <c r="A24624" s="4" t="str">
        <f>IFERROR(__xludf.DUMMYFUNCTION("""COMPUTED_VALUE"""),"cas_hmw")</f>
        <v>cas_hmw</v>
      </c>
      <c r="B24624" s="5">
        <f>IFERROR(__xludf.DUMMYFUNCTION("""COMPUTED_VALUE"""),44804.0)</f>
        <v>44804</v>
      </c>
      <c r="C24624" s="6">
        <f>IFERROR(__xludf.DUMMYFUNCTION("""COMPUTED_VALUE"""),0.7103124999994179)</f>
        <v>0.7103125</v>
      </c>
      <c r="D24624" s="4">
        <f>IFERROR(__xludf.DUMMYFUNCTION("""COMPUTED_VALUE"""),12.984005)</f>
        <v>12.984005</v>
      </c>
      <c r="E24624" s="4">
        <f>IFERROR(__xludf.DUMMYFUNCTION("""COMPUTED_VALUE"""),80.170928)</f>
        <v>80.170928</v>
      </c>
      <c r="F24624" s="4">
        <f>IFERROR(__xludf.DUMMYFUNCTION("""COMPUTED_VALUE"""),5339.0)</f>
        <v>5339</v>
      </c>
      <c r="G24624" s="4">
        <f>IFERROR(__xludf.DUMMYFUNCTION("""COMPUTED_VALUE"""),47.0)</f>
        <v>47</v>
      </c>
      <c r="H24624" s="4"/>
      <c r="I24624" s="4"/>
    </row>
    <row r="24625">
      <c r="A24625" s="4" t="str">
        <f>IFERROR(__xludf.DUMMYFUNCTION("""COMPUTED_VALUE"""),"cas_hmw")</f>
        <v>cas_hmw</v>
      </c>
      <c r="B24625" s="5">
        <f>IFERROR(__xludf.DUMMYFUNCTION("""COMPUTED_VALUE"""),44804.0)</f>
        <v>44804</v>
      </c>
      <c r="C24625" s="6">
        <f>IFERROR(__xludf.DUMMYFUNCTION("""COMPUTED_VALUE"""),0.7105555555572209)</f>
        <v>0.7105555556</v>
      </c>
      <c r="D24625" s="4">
        <f>IFERROR(__xludf.DUMMYFUNCTION("""COMPUTED_VALUE"""),12.985141)</f>
        <v>12.985141</v>
      </c>
      <c r="E24625" s="4">
        <f>IFERROR(__xludf.DUMMYFUNCTION("""COMPUTED_VALUE"""),80.172706)</f>
        <v>80.172706</v>
      </c>
      <c r="F24625" s="4">
        <f>IFERROR(__xludf.DUMMYFUNCTION("""COMPUTED_VALUE"""),5339.0)</f>
        <v>5339</v>
      </c>
      <c r="G24625" s="4">
        <f>IFERROR(__xludf.DUMMYFUNCTION("""COMPUTED_VALUE"""),43.0)</f>
        <v>43</v>
      </c>
      <c r="H24625" s="4"/>
      <c r="I24625" s="4"/>
    </row>
    <row r="24626">
      <c r="A24626" s="4" t="str">
        <f>IFERROR(__xludf.DUMMYFUNCTION("""COMPUTED_VALUE"""),"cas_hmw")</f>
        <v>cas_hmw</v>
      </c>
      <c r="B24626" s="5">
        <f>IFERROR(__xludf.DUMMYFUNCTION("""COMPUTED_VALUE"""),44804.0)</f>
        <v>44804</v>
      </c>
      <c r="C24626" s="6">
        <f>IFERROR(__xludf.DUMMYFUNCTION("""COMPUTED_VALUE"""),0.711215277777228)</f>
        <v>0.7112152778</v>
      </c>
      <c r="D24626" s="4">
        <f>IFERROR(__xludf.DUMMYFUNCTION("""COMPUTED_VALUE"""),12.986809)</f>
        <v>12.986809</v>
      </c>
      <c r="E24626" s="4">
        <f>IFERROR(__xludf.DUMMYFUNCTION("""COMPUTED_VALUE"""),80.175138)</f>
        <v>80.175138</v>
      </c>
      <c r="F24626" s="4">
        <f>IFERROR(__xludf.DUMMYFUNCTION("""COMPUTED_VALUE"""),5339.0)</f>
        <v>5339</v>
      </c>
      <c r="G24626" s="4">
        <f>IFERROR(__xludf.DUMMYFUNCTION("""COMPUTED_VALUE"""),29.0)</f>
        <v>29</v>
      </c>
      <c r="H24626" s="4"/>
      <c r="I24626" s="4"/>
    </row>
    <row r="24627">
      <c r="A24627" s="4" t="str">
        <f>IFERROR(__xludf.DUMMYFUNCTION("""COMPUTED_VALUE"""),"cas_hmw")</f>
        <v>cas_hmw</v>
      </c>
      <c r="B24627" s="5">
        <f>IFERROR(__xludf.DUMMYFUNCTION("""COMPUTED_VALUE"""),44804.0)</f>
        <v>44804</v>
      </c>
      <c r="C24627" s="6">
        <f>IFERROR(__xludf.DUMMYFUNCTION("""COMPUTED_VALUE"""),0.711250000000291)</f>
        <v>0.71125</v>
      </c>
      <c r="D24627" s="4">
        <f>IFERROR(__xludf.DUMMYFUNCTION("""COMPUTED_VALUE"""),12.986809)</f>
        <v>12.986809</v>
      </c>
      <c r="E24627" s="4">
        <f>IFERROR(__xludf.DUMMYFUNCTION("""COMPUTED_VALUE"""),80.175138)</f>
        <v>80.175138</v>
      </c>
      <c r="F24627" s="4">
        <f>IFERROR(__xludf.DUMMYFUNCTION("""COMPUTED_VALUE"""),5339.0)</f>
        <v>5339</v>
      </c>
      <c r="G24627" s="4">
        <f>IFERROR(__xludf.DUMMYFUNCTION("""COMPUTED_VALUE"""),29.0)</f>
        <v>29</v>
      </c>
      <c r="H24627" s="4"/>
      <c r="I24627" s="4"/>
    </row>
    <row r="24628">
      <c r="A24628" s="4" t="str">
        <f>IFERROR(__xludf.DUMMYFUNCTION("""COMPUTED_VALUE"""),"cas_hmw")</f>
        <v>cas_hmw</v>
      </c>
      <c r="B24628" s="5">
        <f>IFERROR(__xludf.DUMMYFUNCTION("""COMPUTED_VALUE"""),44804.0)</f>
        <v>44804</v>
      </c>
      <c r="C24628" s="6">
        <f>IFERROR(__xludf.DUMMYFUNCTION("""COMPUTED_VALUE"""),0.7145601851843821)</f>
        <v>0.7145601852</v>
      </c>
      <c r="D24628" s="4">
        <f>IFERROR(__xludf.DUMMYFUNCTION("""COMPUTED_VALUE"""),12.998899)</f>
        <v>12.998899</v>
      </c>
      <c r="E24628" s="4">
        <f>IFERROR(__xludf.DUMMYFUNCTION("""COMPUTED_VALUE"""),80.192683)</f>
        <v>80.192683</v>
      </c>
      <c r="F24628" s="4">
        <f>IFERROR(__xludf.DUMMYFUNCTION("""COMPUTED_VALUE"""),5339.0)</f>
        <v>5339</v>
      </c>
      <c r="G24628" s="4">
        <f>IFERROR(__xludf.DUMMYFUNCTION("""COMPUTED_VALUE"""),27.0)</f>
        <v>27</v>
      </c>
      <c r="H24628" s="4"/>
      <c r="I24628" s="4"/>
    </row>
    <row r="24629">
      <c r="A24629" s="4" t="str">
        <f>IFERROR(__xludf.DUMMYFUNCTION("""COMPUTED_VALUE"""),"cas_hmw")</f>
        <v>cas_hmw</v>
      </c>
      <c r="B24629" s="5">
        <f>IFERROR(__xludf.DUMMYFUNCTION("""COMPUTED_VALUE"""),44804.0)</f>
        <v>44804</v>
      </c>
      <c r="C24629" s="6">
        <f>IFERROR(__xludf.DUMMYFUNCTION("""COMPUTED_VALUE"""),0.7145717592575238)</f>
        <v>0.7145717593</v>
      </c>
      <c r="D24629" s="4">
        <f>IFERROR(__xludf.DUMMYFUNCTION("""COMPUTED_VALUE"""),12.998899)</f>
        <v>12.998899</v>
      </c>
      <c r="E24629" s="4">
        <f>IFERROR(__xludf.DUMMYFUNCTION("""COMPUTED_VALUE"""),80.192683)</f>
        <v>80.192683</v>
      </c>
      <c r="F24629" s="4">
        <f>IFERROR(__xludf.DUMMYFUNCTION("""COMPUTED_VALUE"""),5339.0)</f>
        <v>5339</v>
      </c>
      <c r="G24629" s="4">
        <f>IFERROR(__xludf.DUMMYFUNCTION("""COMPUTED_VALUE"""),27.0)</f>
        <v>27</v>
      </c>
      <c r="H24629" s="4"/>
      <c r="I24629" s="4"/>
    </row>
    <row r="24630">
      <c r="A24630" s="4" t="str">
        <f>IFERROR(__xludf.DUMMYFUNCTION("""COMPUTED_VALUE"""),"cas_hmw")</f>
        <v>cas_hmw</v>
      </c>
      <c r="B24630" s="5">
        <f>IFERROR(__xludf.DUMMYFUNCTION("""COMPUTED_VALUE"""),44804.0)</f>
        <v>44804</v>
      </c>
      <c r="C24630" s="6">
        <f>IFERROR(__xludf.DUMMYFUNCTION("""COMPUTED_VALUE"""),0.7146180555573665)</f>
        <v>0.7146180556</v>
      </c>
      <c r="D24630" s="4">
        <f>IFERROR(__xludf.DUMMYFUNCTION("""COMPUTED_VALUE"""),12.998899)</f>
        <v>12.998899</v>
      </c>
      <c r="E24630" s="4">
        <f>IFERROR(__xludf.DUMMYFUNCTION("""COMPUTED_VALUE"""),80.192683)</f>
        <v>80.192683</v>
      </c>
      <c r="F24630" s="4">
        <f>IFERROR(__xludf.DUMMYFUNCTION("""COMPUTED_VALUE"""),5339.0)</f>
        <v>5339</v>
      </c>
      <c r="G24630" s="4">
        <f>IFERROR(__xludf.DUMMYFUNCTION("""COMPUTED_VALUE"""),27.0)</f>
        <v>27</v>
      </c>
      <c r="H24630" s="4"/>
      <c r="I24630" s="4"/>
    </row>
    <row r="24631">
      <c r="A24631" s="4" t="str">
        <f>IFERROR(__xludf.DUMMYFUNCTION("""COMPUTED_VALUE"""),"cas_hmw")</f>
        <v>cas_hmw</v>
      </c>
      <c r="B24631" s="5">
        <f>IFERROR(__xludf.DUMMYFUNCTION("""COMPUTED_VALUE"""),44804.0)</f>
        <v>44804</v>
      </c>
      <c r="C24631" s="6">
        <f>IFERROR(__xludf.DUMMYFUNCTION("""COMPUTED_VALUE"""),0.715960648147302)</f>
        <v>0.7159606481</v>
      </c>
      <c r="D24631" s="4">
        <f>IFERROR(__xludf.DUMMYFUNCTION("""COMPUTED_VALUE"""),13.002094)</f>
        <v>13.002094</v>
      </c>
      <c r="E24631" s="4">
        <f>IFERROR(__xludf.DUMMYFUNCTION("""COMPUTED_VALUE"""),80.197001)</f>
        <v>80.197001</v>
      </c>
      <c r="F24631" s="4">
        <f>IFERROR(__xludf.DUMMYFUNCTION("""COMPUTED_VALUE"""),5339.0)</f>
        <v>5339</v>
      </c>
      <c r="G24631" s="4">
        <f>IFERROR(__xludf.DUMMYFUNCTION("""COMPUTED_VALUE"""),40.0)</f>
        <v>40</v>
      </c>
      <c r="H24631" s="4"/>
      <c r="I24631" s="4"/>
    </row>
    <row r="24632">
      <c r="A24632" s="4" t="str">
        <f>IFERROR(__xludf.DUMMYFUNCTION("""COMPUTED_VALUE"""),"cas_hmw")</f>
        <v>cas_hmw</v>
      </c>
      <c r="B24632" s="5">
        <f>IFERROR(__xludf.DUMMYFUNCTION("""COMPUTED_VALUE"""),44804.0)</f>
        <v>44804</v>
      </c>
      <c r="C24632" s="6">
        <f>IFERROR(__xludf.DUMMYFUNCTION("""COMPUTED_VALUE"""),0.716134259258979)</f>
        <v>0.7161342593</v>
      </c>
      <c r="D24632" s="4">
        <f>IFERROR(__xludf.DUMMYFUNCTION("""COMPUTED_VALUE"""),13.001972)</f>
        <v>13.001972</v>
      </c>
      <c r="E24632" s="4">
        <f>IFERROR(__xludf.DUMMYFUNCTION("""COMPUTED_VALUE"""),80.198172)</f>
        <v>80.198172</v>
      </c>
      <c r="F24632" s="4">
        <f>IFERROR(__xludf.DUMMYFUNCTION("""COMPUTED_VALUE"""),5339.0)</f>
        <v>5339</v>
      </c>
      <c r="G24632" s="4">
        <f>IFERROR(__xludf.DUMMYFUNCTION("""COMPUTED_VALUE"""),47.0)</f>
        <v>47</v>
      </c>
      <c r="H24632" s="4"/>
      <c r="I24632" s="4"/>
    </row>
    <row r="24633">
      <c r="A24633" s="4" t="str">
        <f>IFERROR(__xludf.DUMMYFUNCTION("""COMPUTED_VALUE"""),"cas_hmw")</f>
        <v>cas_hmw</v>
      </c>
      <c r="B24633" s="5">
        <f>IFERROR(__xludf.DUMMYFUNCTION("""COMPUTED_VALUE"""),44804.0)</f>
        <v>44804</v>
      </c>
      <c r="C24633" s="6">
        <f>IFERROR(__xludf.DUMMYFUNCTION("""COMPUTED_VALUE"""),0.716168981482042)</f>
        <v>0.7161689815</v>
      </c>
      <c r="D24633" s="4">
        <f>IFERROR(__xludf.DUMMYFUNCTION("""COMPUTED_VALUE"""),13.001825)</f>
        <v>13.001825</v>
      </c>
      <c r="E24633" s="4">
        <f>IFERROR(__xludf.DUMMYFUNCTION("""COMPUTED_VALUE"""),80.199327)</f>
        <v>80.199327</v>
      </c>
      <c r="F24633" s="4">
        <f>IFERROR(__xludf.DUMMYFUNCTION("""COMPUTED_VALUE"""),5339.0)</f>
        <v>5339</v>
      </c>
      <c r="G24633" s="4">
        <f>IFERROR(__xludf.DUMMYFUNCTION("""COMPUTED_VALUE"""),42.0)</f>
        <v>42</v>
      </c>
      <c r="H24633" s="4"/>
      <c r="I24633" s="4"/>
    </row>
    <row r="24634">
      <c r="A24634" s="4" t="str">
        <f>IFERROR(__xludf.DUMMYFUNCTION("""COMPUTED_VALUE"""),"cas_hmw")</f>
        <v>cas_hmw</v>
      </c>
      <c r="B24634" s="5">
        <f>IFERROR(__xludf.DUMMYFUNCTION("""COMPUTED_VALUE"""),44804.0)</f>
        <v>44804</v>
      </c>
      <c r="C24634" s="6">
        <f>IFERROR(__xludf.DUMMYFUNCTION("""COMPUTED_VALUE"""),0.7174189814832062)</f>
        <v>0.7174189815</v>
      </c>
      <c r="D24634" s="4">
        <f>IFERROR(__xludf.DUMMYFUNCTION("""COMPUTED_VALUE"""),13.00799)</f>
        <v>13.00799</v>
      </c>
      <c r="E24634" s="4">
        <f>IFERROR(__xludf.DUMMYFUNCTION("""COMPUTED_VALUE"""),80.203669)</f>
        <v>80.203669</v>
      </c>
      <c r="F24634" s="4">
        <f>IFERROR(__xludf.DUMMYFUNCTION("""COMPUTED_VALUE"""),5339.0)</f>
        <v>5339</v>
      </c>
      <c r="G24634" s="4">
        <f>IFERROR(__xludf.DUMMYFUNCTION("""COMPUTED_VALUE"""),31.0)</f>
        <v>31</v>
      </c>
      <c r="H24634" s="4"/>
      <c r="I24634" s="4"/>
    </row>
    <row r="24635">
      <c r="A24635" s="4" t="str">
        <f>IFERROR(__xludf.DUMMYFUNCTION("""COMPUTED_VALUE"""),"cas_hmw")</f>
        <v>cas_hmw</v>
      </c>
      <c r="B24635" s="5">
        <f>IFERROR(__xludf.DUMMYFUNCTION("""COMPUTED_VALUE"""),44804.0)</f>
        <v>44804</v>
      </c>
      <c r="C24635" s="6">
        <f>IFERROR(__xludf.DUMMYFUNCTION("""COMPUTED_VALUE"""),0.7181365740725596)</f>
        <v>0.7181365741</v>
      </c>
      <c r="D24635" s="4">
        <f>IFERROR(__xludf.DUMMYFUNCTION("""COMPUTED_VALUE"""),13.007976)</f>
        <v>13.007976</v>
      </c>
      <c r="E24635" s="4">
        <f>IFERROR(__xludf.DUMMYFUNCTION("""COMPUTED_VALUE"""),80.207939)</f>
        <v>80.207939</v>
      </c>
      <c r="F24635" s="4">
        <f>IFERROR(__xludf.DUMMYFUNCTION("""COMPUTED_VALUE"""),5339.0)</f>
        <v>5339</v>
      </c>
      <c r="G24635" s="4">
        <f>IFERROR(__xludf.DUMMYFUNCTION("""COMPUTED_VALUE"""),48.0)</f>
        <v>48</v>
      </c>
      <c r="H24635" s="4"/>
      <c r="I24635" s="4"/>
    </row>
    <row r="24636">
      <c r="A24636" s="4" t="str">
        <f>IFERROR(__xludf.DUMMYFUNCTION("""COMPUTED_VALUE"""),"cas_hmw")</f>
        <v>cas_hmw</v>
      </c>
      <c r="B24636" s="5">
        <f>IFERROR(__xludf.DUMMYFUNCTION("""COMPUTED_VALUE"""),44804.0)</f>
        <v>44804</v>
      </c>
      <c r="C24636" s="6">
        <f>IFERROR(__xludf.DUMMYFUNCTION("""COMPUTED_VALUE"""),0.7182870370379533)</f>
        <v>0.718287037</v>
      </c>
      <c r="D24636" s="4">
        <f>IFERROR(__xludf.DUMMYFUNCTION("""COMPUTED_VALUE"""),13.008126)</f>
        <v>13.008126</v>
      </c>
      <c r="E24636" s="4">
        <f>IFERROR(__xludf.DUMMYFUNCTION("""COMPUTED_VALUE"""),80.208994)</f>
        <v>80.208994</v>
      </c>
      <c r="F24636" s="4">
        <f>IFERROR(__xludf.DUMMYFUNCTION("""COMPUTED_VALUE"""),5339.0)</f>
        <v>5339</v>
      </c>
      <c r="G24636" s="4">
        <f>IFERROR(__xludf.DUMMYFUNCTION("""COMPUTED_VALUE"""),36.0)</f>
        <v>36</v>
      </c>
      <c r="H24636" s="4"/>
      <c r="I24636" s="4"/>
    </row>
    <row r="24637">
      <c r="A24637" s="4" t="str">
        <f>IFERROR(__xludf.DUMMYFUNCTION("""COMPUTED_VALUE"""),"cas_hmw")</f>
        <v>cas_hmw</v>
      </c>
      <c r="B24637" s="5">
        <f>IFERROR(__xludf.DUMMYFUNCTION("""COMPUTED_VALUE"""),44804.0)</f>
        <v>44804</v>
      </c>
      <c r="C24637" s="6">
        <f>IFERROR(__xludf.DUMMYFUNCTION("""COMPUTED_VALUE"""),0.7183333333341579)</f>
        <v>0.7183333333</v>
      </c>
      <c r="D24637" s="4">
        <f>IFERROR(__xludf.DUMMYFUNCTION("""COMPUTED_VALUE"""),13.008126)</f>
        <v>13.008126</v>
      </c>
      <c r="E24637" s="4">
        <f>IFERROR(__xludf.DUMMYFUNCTION("""COMPUTED_VALUE"""),80.208994)</f>
        <v>80.208994</v>
      </c>
      <c r="F24637" s="4">
        <f>IFERROR(__xludf.DUMMYFUNCTION("""COMPUTED_VALUE"""),5339.0)</f>
        <v>5339</v>
      </c>
      <c r="G24637" s="4">
        <f>IFERROR(__xludf.DUMMYFUNCTION("""COMPUTED_VALUE"""),36.0)</f>
        <v>36</v>
      </c>
      <c r="H24637" s="4"/>
      <c r="I24637" s="4"/>
    </row>
    <row r="24638">
      <c r="A24638" s="4" t="str">
        <f>IFERROR(__xludf.DUMMYFUNCTION("""COMPUTED_VALUE"""),"cas_hmw")</f>
        <v>cas_hmw</v>
      </c>
      <c r="B24638" s="5">
        <f>IFERROR(__xludf.DUMMYFUNCTION("""COMPUTED_VALUE"""),44804.0)</f>
        <v>44804</v>
      </c>
      <c r="C24638" s="6">
        <f>IFERROR(__xludf.DUMMYFUNCTION("""COMPUTED_VALUE"""),0.718472222222772)</f>
        <v>0.7184722222</v>
      </c>
      <c r="D24638" s="4">
        <f>IFERROR(__xludf.DUMMYFUNCTION("""COMPUTED_VALUE"""),13.008759)</f>
        <v>13.008759</v>
      </c>
      <c r="E24638" s="4">
        <f>IFERROR(__xludf.DUMMYFUNCTION("""COMPUTED_VALUE"""),80.210946)</f>
        <v>80.210946</v>
      </c>
      <c r="F24638" s="4">
        <f>IFERROR(__xludf.DUMMYFUNCTION("""COMPUTED_VALUE"""),5339.0)</f>
        <v>5339</v>
      </c>
      <c r="G24638" s="4">
        <f>IFERROR(__xludf.DUMMYFUNCTION("""COMPUTED_VALUE"""),39.0)</f>
        <v>39</v>
      </c>
      <c r="H24638" s="4"/>
      <c r="I24638" s="4"/>
    </row>
    <row r="24639">
      <c r="A24639" s="4" t="str">
        <f>IFERROR(__xludf.DUMMYFUNCTION("""COMPUTED_VALUE"""),"cas_hmw")</f>
        <v>cas_hmw</v>
      </c>
      <c r="B24639" s="5">
        <f>IFERROR(__xludf.DUMMYFUNCTION("""COMPUTED_VALUE"""),44804.0)</f>
        <v>44804</v>
      </c>
      <c r="C24639" s="6">
        <f>IFERROR(__xludf.DUMMYFUNCTION("""COMPUTED_VALUE"""),0.7205439814824786)</f>
        <v>0.7205439815</v>
      </c>
      <c r="D24639" s="4">
        <f>IFERROR(__xludf.DUMMYFUNCTION("""COMPUTED_VALUE"""),13.014028)</f>
        <v>13.014028</v>
      </c>
      <c r="E24639" s="4">
        <f>IFERROR(__xludf.DUMMYFUNCTION("""COMPUTED_VALUE"""),80.223466)</f>
        <v>80.223466</v>
      </c>
      <c r="F24639" s="4">
        <f>IFERROR(__xludf.DUMMYFUNCTION("""COMPUTED_VALUE"""),5339.0)</f>
        <v>5339</v>
      </c>
      <c r="G24639" s="4">
        <f>IFERROR(__xludf.DUMMYFUNCTION("""COMPUTED_VALUE"""),35.0)</f>
        <v>35</v>
      </c>
      <c r="H24639" s="4"/>
      <c r="I24639" s="4"/>
    </row>
    <row r="24640">
      <c r="A24640" s="4" t="str">
        <f>IFERROR(__xludf.DUMMYFUNCTION("""COMPUTED_VALUE"""),"cas_hmw")</f>
        <v>cas_hmw</v>
      </c>
      <c r="B24640" s="5">
        <f>IFERROR(__xludf.DUMMYFUNCTION("""COMPUTED_VALUE"""),44804.0)</f>
        <v>44804</v>
      </c>
      <c r="C24640" s="6">
        <f>IFERROR(__xludf.DUMMYFUNCTION("""COMPUTED_VALUE"""),0.7220370370378077)</f>
        <v>0.722037037</v>
      </c>
      <c r="D24640" s="4">
        <f>IFERROR(__xludf.DUMMYFUNCTION("""COMPUTED_VALUE"""),13.013234)</f>
        <v>13.013234</v>
      </c>
      <c r="E24640" s="4">
        <f>IFERROR(__xludf.DUMMYFUNCTION("""COMPUTED_VALUE"""),80.226687)</f>
        <v>80.226687</v>
      </c>
      <c r="F24640" s="4">
        <f>IFERROR(__xludf.DUMMYFUNCTION("""COMPUTED_VALUE"""),5339.0)</f>
        <v>5339</v>
      </c>
      <c r="G24640" s="4">
        <f>IFERROR(__xludf.DUMMYFUNCTION("""COMPUTED_VALUE"""),40.0)</f>
        <v>40</v>
      </c>
      <c r="H24640" s="4"/>
      <c r="I24640" s="4"/>
    </row>
    <row r="24641">
      <c r="A24641" s="4" t="str">
        <f>IFERROR(__xludf.DUMMYFUNCTION("""COMPUTED_VALUE"""),"cas_hmw")</f>
        <v>cas_hmw</v>
      </c>
      <c r="B24641" s="5">
        <f>IFERROR(__xludf.DUMMYFUNCTION("""COMPUTED_VALUE"""),44804.0)</f>
        <v>44804</v>
      </c>
      <c r="C24641" s="6">
        <f>IFERROR(__xludf.DUMMYFUNCTION("""COMPUTED_VALUE"""),0.7285300925941556)</f>
        <v>0.7285300926</v>
      </c>
      <c r="D24641" s="4">
        <f>IFERROR(__xludf.DUMMYFUNCTION("""COMPUTED_VALUE"""),13.006838)</f>
        <v>13.006838</v>
      </c>
      <c r="E24641" s="4">
        <f>IFERROR(__xludf.DUMMYFUNCTION("""COMPUTED_VALUE"""),80.249972)</f>
        <v>80.249972</v>
      </c>
      <c r="F24641" s="4">
        <f>IFERROR(__xludf.DUMMYFUNCTION("""COMPUTED_VALUE"""),5339.0)</f>
        <v>5339</v>
      </c>
      <c r="G24641" s="4">
        <f>IFERROR(__xludf.DUMMYFUNCTION("""COMPUTED_VALUE"""),42.0)</f>
        <v>42</v>
      </c>
      <c r="H24641" s="4"/>
      <c r="I24641" s="4"/>
    </row>
    <row r="24642">
      <c r="A24642" s="4" t="str">
        <f>IFERROR(__xludf.DUMMYFUNCTION("""COMPUTED_VALUE"""),"cas_hmw")</f>
        <v>cas_hmw</v>
      </c>
      <c r="B24642" s="5">
        <f>IFERROR(__xludf.DUMMYFUNCTION("""COMPUTED_VALUE"""),44804.0)</f>
        <v>44804</v>
      </c>
      <c r="C24642" s="6">
        <f>IFERROR(__xludf.DUMMYFUNCTION("""COMPUTED_VALUE"""),0.7297569444453984)</f>
        <v>0.7297569444</v>
      </c>
      <c r="D24642" s="4">
        <f>IFERROR(__xludf.DUMMYFUNCTION("""COMPUTED_VALUE"""),13.006608)</f>
        <v>13.006608</v>
      </c>
      <c r="E24642" s="4">
        <f>IFERROR(__xludf.DUMMYFUNCTION("""COMPUTED_VALUE"""),80.25253)</f>
        <v>80.25253</v>
      </c>
      <c r="F24642" s="4">
        <f>IFERROR(__xludf.DUMMYFUNCTION("""COMPUTED_VALUE"""),5339.0)</f>
        <v>5339</v>
      </c>
      <c r="G24642" s="4">
        <f>IFERROR(__xludf.DUMMYFUNCTION("""COMPUTED_VALUE"""),37.0)</f>
        <v>37</v>
      </c>
      <c r="H24642" s="4"/>
      <c r="I24642" s="4"/>
    </row>
    <row r="24643">
      <c r="A24643" s="4" t="str">
        <f>IFERROR(__xludf.DUMMYFUNCTION("""COMPUTED_VALUE"""),"cas_hmw")</f>
        <v>cas_hmw</v>
      </c>
      <c r="B24643" s="5">
        <f>IFERROR(__xludf.DUMMYFUNCTION("""COMPUTED_VALUE"""),44804.0)</f>
        <v>44804</v>
      </c>
      <c r="C24643" s="6">
        <f>IFERROR(__xludf.DUMMYFUNCTION("""COMPUTED_VALUE"""),0.731550925924239)</f>
        <v>0.7315509259</v>
      </c>
      <c r="D24643" s="4">
        <f>IFERROR(__xludf.DUMMYFUNCTION("""COMPUTED_VALUE"""),13.007044)</f>
        <v>13.007044</v>
      </c>
      <c r="E24643" s="4">
        <f>IFERROR(__xludf.DUMMYFUNCTION("""COMPUTED_VALUE"""),80.25811)</f>
        <v>80.25811</v>
      </c>
      <c r="F24643" s="4">
        <f>IFERROR(__xludf.DUMMYFUNCTION("""COMPUTED_VALUE"""),5339.0)</f>
        <v>5339</v>
      </c>
      <c r="G24643" s="4">
        <f>IFERROR(__xludf.DUMMYFUNCTION("""COMPUTED_VALUE"""),28.0)</f>
        <v>28</v>
      </c>
      <c r="H24643" s="4"/>
      <c r="I24643" s="4"/>
    </row>
    <row r="24644">
      <c r="A24644" s="4" t="str">
        <f>IFERROR(__xludf.DUMMYFUNCTION("""COMPUTED_VALUE"""),"cas_hmw")</f>
        <v>cas_hmw</v>
      </c>
      <c r="B24644" s="5">
        <f>IFERROR(__xludf.DUMMYFUNCTION("""COMPUTED_VALUE"""),44804.0)</f>
        <v>44804</v>
      </c>
      <c r="C24644" s="6">
        <f>IFERROR(__xludf.DUMMYFUNCTION("""COMPUTED_VALUE"""),0.7326157407405844)</f>
        <v>0.7326157407</v>
      </c>
      <c r="D24644" s="4">
        <f>IFERROR(__xludf.DUMMYFUNCTION("""COMPUTED_VALUE"""),13.011897)</f>
        <v>13.011897</v>
      </c>
      <c r="E24644" s="4">
        <f>IFERROR(__xludf.DUMMYFUNCTION("""COMPUTED_VALUE"""),80.259085)</f>
        <v>80.259085</v>
      </c>
      <c r="F24644" s="4">
        <f>IFERROR(__xludf.DUMMYFUNCTION("""COMPUTED_VALUE"""),5339.0)</f>
        <v>5339</v>
      </c>
      <c r="G24644" s="4">
        <f>IFERROR(__xludf.DUMMYFUNCTION("""COMPUTED_VALUE"""),45.0)</f>
        <v>45</v>
      </c>
      <c r="H24644" s="4"/>
      <c r="I24644" s="4"/>
    </row>
    <row r="24645">
      <c r="A24645" s="4" t="str">
        <f>IFERROR(__xludf.DUMMYFUNCTION("""COMPUTED_VALUE"""),"cas_hmw")</f>
        <v>cas_hmw</v>
      </c>
      <c r="B24645" s="5">
        <f>IFERROR(__xludf.DUMMYFUNCTION("""COMPUTED_VALUE"""),44804.0)</f>
        <v>44804</v>
      </c>
      <c r="C24645" s="6">
        <f>IFERROR(__xludf.DUMMYFUNCTION("""COMPUTED_VALUE"""),0.7334143518528435)</f>
        <v>0.7334143519</v>
      </c>
      <c r="D24645" s="4">
        <f>IFERROR(__xludf.DUMMYFUNCTION("""COMPUTED_VALUE"""),13.017504)</f>
        <v>13.017504</v>
      </c>
      <c r="E24645" s="4">
        <f>IFERROR(__xludf.DUMMYFUNCTION("""COMPUTED_VALUE"""),80.260434)</f>
        <v>80.260434</v>
      </c>
      <c r="F24645" s="4">
        <f>IFERROR(__xludf.DUMMYFUNCTION("""COMPUTED_VALUE"""),5339.0)</f>
        <v>5339</v>
      </c>
      <c r="G24645" s="4">
        <f>IFERROR(__xludf.DUMMYFUNCTION("""COMPUTED_VALUE"""),23.0)</f>
        <v>23</v>
      </c>
      <c r="H24645" s="4"/>
      <c r="I24645" s="4"/>
    </row>
    <row r="24646">
      <c r="A24646" s="4" t="str">
        <f>IFERROR(__xludf.DUMMYFUNCTION("""COMPUTED_VALUE"""),"cas_hmw")</f>
        <v>cas_hmw</v>
      </c>
      <c r="B24646" s="5">
        <f>IFERROR(__xludf.DUMMYFUNCTION("""COMPUTED_VALUE"""),44804.0)</f>
        <v>44804</v>
      </c>
      <c r="C24646" s="6">
        <f>IFERROR(__xludf.DUMMYFUNCTION("""COMPUTED_VALUE"""),0.7334143518528435)</f>
        <v>0.7334143519</v>
      </c>
      <c r="D24646" s="4">
        <f>IFERROR(__xludf.DUMMYFUNCTION("""COMPUTED_VALUE"""),13.017504)</f>
        <v>13.017504</v>
      </c>
      <c r="E24646" s="4">
        <f>IFERROR(__xludf.DUMMYFUNCTION("""COMPUTED_VALUE"""),80.260434)</f>
        <v>80.260434</v>
      </c>
      <c r="F24646" s="4">
        <f>IFERROR(__xludf.DUMMYFUNCTION("""COMPUTED_VALUE"""),5339.0)</f>
        <v>5339</v>
      </c>
      <c r="G24646" s="4">
        <f>IFERROR(__xludf.DUMMYFUNCTION("""COMPUTED_VALUE"""),23.0)</f>
        <v>23</v>
      </c>
      <c r="H24646" s="4"/>
      <c r="I24646" s="4"/>
    </row>
    <row r="24647">
      <c r="A24647" s="4" t="str">
        <f>IFERROR(__xludf.DUMMYFUNCTION("""COMPUTED_VALUE"""),"cas_hmw")</f>
        <v>cas_hmw</v>
      </c>
      <c r="B24647" s="5">
        <f>IFERROR(__xludf.DUMMYFUNCTION("""COMPUTED_VALUE"""),44804.0)</f>
        <v>44804</v>
      </c>
      <c r="C24647" s="6">
        <f>IFERROR(__xludf.DUMMYFUNCTION("""COMPUTED_VALUE"""),0.7334259259259852)</f>
        <v>0.7334259259</v>
      </c>
      <c r="D24647" s="4">
        <f>IFERROR(__xludf.DUMMYFUNCTION("""COMPUTED_VALUE"""),13.017504)</f>
        <v>13.017504</v>
      </c>
      <c r="E24647" s="4">
        <f>IFERROR(__xludf.DUMMYFUNCTION("""COMPUTED_VALUE"""),80.260434)</f>
        <v>80.260434</v>
      </c>
      <c r="F24647" s="4">
        <f>IFERROR(__xludf.DUMMYFUNCTION("""COMPUTED_VALUE"""),5339.0)</f>
        <v>5339</v>
      </c>
      <c r="G24647" s="4">
        <f>IFERROR(__xludf.DUMMYFUNCTION("""COMPUTED_VALUE"""),23.0)</f>
        <v>23</v>
      </c>
      <c r="H24647" s="4"/>
      <c r="I24647" s="4"/>
    </row>
    <row r="24648">
      <c r="A24648" s="4" t="str">
        <f>IFERROR(__xludf.DUMMYFUNCTION("""COMPUTED_VALUE"""),"cas_hmw")</f>
        <v>cas_hmw</v>
      </c>
      <c r="B24648" s="5">
        <f>IFERROR(__xludf.DUMMYFUNCTION("""COMPUTED_VALUE"""),44804.0)</f>
        <v>44804</v>
      </c>
      <c r="C24648" s="6">
        <f>IFERROR(__xludf.DUMMYFUNCTION("""COMPUTED_VALUE"""),0.7334606481490482)</f>
        <v>0.7334606481</v>
      </c>
      <c r="D24648" s="4">
        <f>IFERROR(__xludf.DUMMYFUNCTION("""COMPUTED_VALUE"""),13.017504)</f>
        <v>13.017504</v>
      </c>
      <c r="E24648" s="4">
        <f>IFERROR(__xludf.DUMMYFUNCTION("""COMPUTED_VALUE"""),80.260434)</f>
        <v>80.260434</v>
      </c>
      <c r="F24648" s="4">
        <f>IFERROR(__xludf.DUMMYFUNCTION("""COMPUTED_VALUE"""),5339.0)</f>
        <v>5339</v>
      </c>
      <c r="G24648" s="4">
        <f>IFERROR(__xludf.DUMMYFUNCTION("""COMPUTED_VALUE"""),23.0)</f>
        <v>23</v>
      </c>
      <c r="H24648" s="4"/>
      <c r="I24648" s="4"/>
    </row>
    <row r="24649">
      <c r="A24649" s="4" t="str">
        <f>IFERROR(__xludf.DUMMYFUNCTION("""COMPUTED_VALUE"""),"cas_hmw")</f>
        <v>cas_hmw</v>
      </c>
      <c r="B24649" s="5">
        <f>IFERROR(__xludf.DUMMYFUNCTION("""COMPUTED_VALUE"""),44804.0)</f>
        <v>44804</v>
      </c>
      <c r="C24649" s="6">
        <f>IFERROR(__xludf.DUMMYFUNCTION("""COMPUTED_VALUE"""),0.7347337962964957)</f>
        <v>0.7347337963</v>
      </c>
      <c r="D24649" s="4">
        <f>IFERROR(__xludf.DUMMYFUNCTION("""COMPUTED_VALUE"""),13.022494)</f>
        <v>13.022494</v>
      </c>
      <c r="E24649" s="4">
        <f>IFERROR(__xludf.DUMMYFUNCTION("""COMPUTED_VALUE"""),80.263552)</f>
        <v>80.263552</v>
      </c>
      <c r="F24649" s="4">
        <f>IFERROR(__xludf.DUMMYFUNCTION("""COMPUTED_VALUE"""),5339.0)</f>
        <v>5339</v>
      </c>
      <c r="G24649" s="4">
        <f>IFERROR(__xludf.DUMMYFUNCTION("""COMPUTED_VALUE"""),37.0)</f>
        <v>37</v>
      </c>
      <c r="H24649" s="4"/>
      <c r="I24649" s="4"/>
    </row>
    <row r="24650">
      <c r="A24650" s="4" t="str">
        <f>IFERROR(__xludf.DUMMYFUNCTION("""COMPUTED_VALUE"""),"cas_hmw")</f>
        <v>cas_hmw</v>
      </c>
      <c r="B24650" s="5">
        <f>IFERROR(__xludf.DUMMYFUNCTION("""COMPUTED_VALUE"""),44804.0)</f>
        <v>44804</v>
      </c>
      <c r="C24650" s="6">
        <f>IFERROR(__xludf.DUMMYFUNCTION("""COMPUTED_VALUE"""),0.7347453703696374)</f>
        <v>0.7347453704</v>
      </c>
      <c r="D24650" s="4">
        <f>IFERROR(__xludf.DUMMYFUNCTION("""COMPUTED_VALUE"""),13.022494)</f>
        <v>13.022494</v>
      </c>
      <c r="E24650" s="4">
        <f>IFERROR(__xludf.DUMMYFUNCTION("""COMPUTED_VALUE"""),80.263552)</f>
        <v>80.263552</v>
      </c>
      <c r="F24650" s="4">
        <f>IFERROR(__xludf.DUMMYFUNCTION("""COMPUTED_VALUE"""),5339.0)</f>
        <v>5339</v>
      </c>
      <c r="G24650" s="4">
        <f>IFERROR(__xludf.DUMMYFUNCTION("""COMPUTED_VALUE"""),37.0)</f>
        <v>37</v>
      </c>
      <c r="H24650" s="4"/>
      <c r="I24650" s="4"/>
    </row>
    <row r="24651">
      <c r="A24651" s="4" t="str">
        <f>IFERROR(__xludf.DUMMYFUNCTION("""COMPUTED_VALUE"""),"cas_hmw")</f>
        <v>cas_hmw</v>
      </c>
      <c r="B24651" s="5">
        <f>IFERROR(__xludf.DUMMYFUNCTION("""COMPUTED_VALUE"""),44804.0)</f>
        <v>44804</v>
      </c>
      <c r="C24651" s="6">
        <f>IFERROR(__xludf.DUMMYFUNCTION("""COMPUTED_VALUE"""),0.7349074074081727)</f>
        <v>0.7349074074</v>
      </c>
      <c r="D24651" s="4">
        <f>IFERROR(__xludf.DUMMYFUNCTION("""COMPUTED_VALUE"""),13.023839)</f>
        <v>13.023839</v>
      </c>
      <c r="E24651" s="4">
        <f>IFERROR(__xludf.DUMMYFUNCTION("""COMPUTED_VALUE"""),80.264262)</f>
        <v>80.264262</v>
      </c>
      <c r="F24651" s="4">
        <f>IFERROR(__xludf.DUMMYFUNCTION("""COMPUTED_VALUE"""),5339.0)</f>
        <v>5339</v>
      </c>
      <c r="G24651" s="4">
        <f>IFERROR(__xludf.DUMMYFUNCTION("""COMPUTED_VALUE"""),30.0)</f>
        <v>30</v>
      </c>
      <c r="H24651" s="4"/>
      <c r="I24651" s="4"/>
    </row>
    <row r="24652">
      <c r="A24652" s="4" t="str">
        <f>IFERROR(__xludf.DUMMYFUNCTION("""COMPUTED_VALUE"""),"cas_hmw")</f>
        <v>cas_hmw</v>
      </c>
      <c r="B24652" s="5">
        <f>IFERROR(__xludf.DUMMYFUNCTION("""COMPUTED_VALUE"""),44804.0)</f>
        <v>44804</v>
      </c>
      <c r="C24652" s="6">
        <f>IFERROR(__xludf.DUMMYFUNCTION("""COMPUTED_VALUE"""),0.7349074074081727)</f>
        <v>0.7349074074</v>
      </c>
      <c r="D24652" s="4">
        <f>IFERROR(__xludf.DUMMYFUNCTION("""COMPUTED_VALUE"""),13.023839)</f>
        <v>13.023839</v>
      </c>
      <c r="E24652" s="4">
        <f>IFERROR(__xludf.DUMMYFUNCTION("""COMPUTED_VALUE"""),80.264262)</f>
        <v>80.264262</v>
      </c>
      <c r="F24652" s="4">
        <f>IFERROR(__xludf.DUMMYFUNCTION("""COMPUTED_VALUE"""),5339.0)</f>
        <v>5339</v>
      </c>
      <c r="G24652" s="4">
        <f>IFERROR(__xludf.DUMMYFUNCTION("""COMPUTED_VALUE"""),30.0)</f>
        <v>30</v>
      </c>
      <c r="H24652" s="4"/>
      <c r="I24652" s="4"/>
    </row>
    <row r="24653">
      <c r="A24653" s="4" t="str">
        <f>IFERROR(__xludf.DUMMYFUNCTION("""COMPUTED_VALUE"""),"cas_hmw")</f>
        <v>cas_hmw</v>
      </c>
      <c r="B24653" s="5">
        <f>IFERROR(__xludf.DUMMYFUNCTION("""COMPUTED_VALUE"""),44804.0)</f>
        <v>44804</v>
      </c>
      <c r="C24653" s="6">
        <f>IFERROR(__xludf.DUMMYFUNCTION("""COMPUTED_VALUE"""),0.7349189814813144)</f>
        <v>0.7349189815</v>
      </c>
      <c r="D24653" s="4">
        <f>IFERROR(__xludf.DUMMYFUNCTION("""COMPUTED_VALUE"""),13.023839)</f>
        <v>13.023839</v>
      </c>
      <c r="E24653" s="4">
        <f>IFERROR(__xludf.DUMMYFUNCTION("""COMPUTED_VALUE"""),80.264262)</f>
        <v>80.264262</v>
      </c>
      <c r="F24653" s="4">
        <f>IFERROR(__xludf.DUMMYFUNCTION("""COMPUTED_VALUE"""),5339.0)</f>
        <v>5339</v>
      </c>
      <c r="G24653" s="4">
        <f>IFERROR(__xludf.DUMMYFUNCTION("""COMPUTED_VALUE"""),30.0)</f>
        <v>30</v>
      </c>
      <c r="H24653" s="4"/>
      <c r="I24653" s="4"/>
    </row>
    <row r="24654">
      <c r="A24654" s="4" t="str">
        <f>IFERROR(__xludf.DUMMYFUNCTION("""COMPUTED_VALUE"""),"cas_hmw")</f>
        <v>cas_hmw</v>
      </c>
      <c r="B24654" s="5">
        <f>IFERROR(__xludf.DUMMYFUNCTION("""COMPUTED_VALUE"""),44804.0)</f>
        <v>44804</v>
      </c>
      <c r="C24654" s="6">
        <f>IFERROR(__xludf.DUMMYFUNCTION("""COMPUTED_VALUE"""),0.7566435185181035)</f>
        <v>0.7566435185</v>
      </c>
      <c r="D24654" s="4">
        <f>IFERROR(__xludf.DUMMYFUNCTION("""COMPUTED_VALUE"""),13.067242)</f>
        <v>13.067242</v>
      </c>
      <c r="E24654" s="4">
        <f>IFERROR(__xludf.DUMMYFUNCTION("""COMPUTED_VALUE"""),80.270387)</f>
        <v>80.270387</v>
      </c>
      <c r="F24654" s="4">
        <f>IFERROR(__xludf.DUMMYFUNCTION("""COMPUTED_VALUE"""),5339.0)</f>
        <v>5339</v>
      </c>
      <c r="G24654" s="4">
        <f>IFERROR(__xludf.DUMMYFUNCTION("""COMPUTED_VALUE"""),25.0)</f>
        <v>25</v>
      </c>
      <c r="H24654" s="4"/>
      <c r="I24654" s="4"/>
    </row>
    <row r="24655">
      <c r="A24655" s="4" t="str">
        <f>IFERROR(__xludf.DUMMYFUNCTION("""COMPUTED_VALUE"""),"cas_hmw")</f>
        <v>cas_hmw</v>
      </c>
      <c r="B24655" s="5">
        <f>IFERROR(__xludf.DUMMYFUNCTION("""COMPUTED_VALUE"""),44804.0)</f>
        <v>44804</v>
      </c>
      <c r="C24655" s="6">
        <f>IFERROR(__xludf.DUMMYFUNCTION("""COMPUTED_VALUE"""),0.7574189814804413)</f>
        <v>0.7574189815</v>
      </c>
      <c r="D24655" s="4">
        <f>IFERROR(__xludf.DUMMYFUNCTION("""COMPUTED_VALUE"""),13.067022)</f>
        <v>13.067022</v>
      </c>
      <c r="E24655" s="4">
        <f>IFERROR(__xludf.DUMMYFUNCTION("""COMPUTED_VALUE"""),80.268574)</f>
        <v>80.268574</v>
      </c>
      <c r="F24655" s="4">
        <f>IFERROR(__xludf.DUMMYFUNCTION("""COMPUTED_VALUE"""),5339.0)</f>
        <v>5339</v>
      </c>
      <c r="G24655" s="4">
        <f>IFERROR(__xludf.DUMMYFUNCTION("""COMPUTED_VALUE"""),26.0)</f>
        <v>26</v>
      </c>
      <c r="H24655" s="4"/>
      <c r="I24655" s="4"/>
    </row>
    <row r="24656">
      <c r="A24656" s="4" t="str">
        <f>IFERROR(__xludf.DUMMYFUNCTION("""COMPUTED_VALUE"""),"cas_hmw")</f>
        <v>cas_hmw</v>
      </c>
      <c r="B24656" s="5">
        <f>IFERROR(__xludf.DUMMYFUNCTION("""COMPUTED_VALUE"""),44804.0)</f>
        <v>44804</v>
      </c>
      <c r="C24656" s="6">
        <f>IFERROR(__xludf.DUMMYFUNCTION("""COMPUTED_VALUE"""),0.7604745370372257)</f>
        <v>0.760474537</v>
      </c>
      <c r="D24656" s="4">
        <f>IFERROR(__xludf.DUMMYFUNCTION("""COMPUTED_VALUE"""),13.071181)</f>
        <v>13.071181</v>
      </c>
      <c r="E24656" s="4">
        <f>IFERROR(__xludf.DUMMYFUNCTION("""COMPUTED_VALUE"""),80.258729)</f>
        <v>80.258729</v>
      </c>
      <c r="F24656" s="4">
        <f>IFERROR(__xludf.DUMMYFUNCTION("""COMPUTED_VALUE"""),5339.0)</f>
        <v>5339</v>
      </c>
      <c r="G24656" s="4">
        <f>IFERROR(__xludf.DUMMYFUNCTION("""COMPUTED_VALUE"""),24.0)</f>
        <v>24</v>
      </c>
      <c r="H24656" s="4"/>
      <c r="I24656" s="4"/>
    </row>
    <row r="24657">
      <c r="A24657" s="4" t="str">
        <f>IFERROR(__xludf.DUMMYFUNCTION("""COMPUTED_VALUE"""),"cas_hmw")</f>
        <v>cas_hmw</v>
      </c>
      <c r="B24657" s="5">
        <f>IFERROR(__xludf.DUMMYFUNCTION("""COMPUTED_VALUE"""),44804.0)</f>
        <v>44804</v>
      </c>
      <c r="C24657" s="6">
        <f>IFERROR(__xludf.DUMMYFUNCTION("""COMPUTED_VALUE"""),0.7634606481478841)</f>
        <v>0.7634606481</v>
      </c>
      <c r="D24657" s="4">
        <f>IFERROR(__xludf.DUMMYFUNCTION("""COMPUTED_VALUE"""),13.065917)</f>
        <v>13.065917</v>
      </c>
      <c r="E24657" s="4">
        <f>IFERROR(__xludf.DUMMYFUNCTION("""COMPUTED_VALUE"""),80.247777)</f>
        <v>80.247777</v>
      </c>
      <c r="F24657" s="4">
        <f>IFERROR(__xludf.DUMMYFUNCTION("""COMPUTED_VALUE"""),5339.0)</f>
        <v>5339</v>
      </c>
      <c r="G24657" s="4">
        <f>IFERROR(__xludf.DUMMYFUNCTION("""COMPUTED_VALUE"""),22.0)</f>
        <v>22</v>
      </c>
      <c r="H24657" s="4"/>
      <c r="I24657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4" t="s">
        <v>8</v>
      </c>
      <c r="B2" s="5">
        <v>44719.0</v>
      </c>
      <c r="C2" s="6">
        <v>0.7204976851862739</v>
      </c>
      <c r="D2" s="4">
        <v>13.025699</v>
      </c>
      <c r="E2" s="4">
        <v>80.230298</v>
      </c>
      <c r="F2" s="4">
        <v>805.0</v>
      </c>
      <c r="G2" s="4">
        <v>17.0</v>
      </c>
    </row>
    <row r="3">
      <c r="A3" s="4" t="s">
        <v>8</v>
      </c>
      <c r="B3" s="5">
        <v>44719.0</v>
      </c>
      <c r="C3" s="6">
        <v>0.7206597222211713</v>
      </c>
      <c r="D3" s="4">
        <v>13.025699</v>
      </c>
      <c r="E3" s="4">
        <v>80.230298</v>
      </c>
      <c r="F3" s="4">
        <v>805.0</v>
      </c>
      <c r="G3" s="4">
        <v>17.0</v>
      </c>
    </row>
    <row r="4">
      <c r="A4" s="4" t="s">
        <v>8</v>
      </c>
      <c r="B4" s="5">
        <v>44719.0</v>
      </c>
      <c r="C4" s="6">
        <v>0.7209259259252576</v>
      </c>
      <c r="D4" s="4">
        <v>13.025699</v>
      </c>
      <c r="E4" s="4">
        <v>80.230298</v>
      </c>
      <c r="F4" s="4">
        <v>805.0</v>
      </c>
      <c r="G4" s="4">
        <v>17.0</v>
      </c>
    </row>
    <row r="5">
      <c r="A5" s="4" t="s">
        <v>8</v>
      </c>
      <c r="B5" s="5">
        <v>44719.0</v>
      </c>
      <c r="C5" s="6">
        <v>0.7210069444445253</v>
      </c>
      <c r="D5" s="4">
        <v>13.025699</v>
      </c>
      <c r="E5" s="4">
        <v>80.230298</v>
      </c>
      <c r="F5" s="4">
        <v>805.0</v>
      </c>
      <c r="G5" s="4">
        <v>17.0</v>
      </c>
    </row>
    <row r="6">
      <c r="A6" s="4" t="s">
        <v>8</v>
      </c>
      <c r="B6" s="5">
        <v>44719.0</v>
      </c>
      <c r="C6" s="6">
        <v>0.721018518517667</v>
      </c>
      <c r="D6" s="4">
        <v>13.025699</v>
      </c>
      <c r="E6" s="4">
        <v>80.230298</v>
      </c>
      <c r="F6" s="4">
        <v>805.0</v>
      </c>
      <c r="G6" s="4">
        <v>17.0</v>
      </c>
    </row>
    <row r="7">
      <c r="A7" s="4" t="s">
        <v>8</v>
      </c>
      <c r="B7" s="5">
        <v>44719.0</v>
      </c>
      <c r="C7" s="6">
        <v>0.7210416666675883</v>
      </c>
      <c r="D7" s="4">
        <v>13.025699</v>
      </c>
      <c r="E7" s="4">
        <v>80.230298</v>
      </c>
      <c r="F7" s="4">
        <v>805.0</v>
      </c>
      <c r="G7" s="4">
        <v>17.0</v>
      </c>
    </row>
    <row r="8">
      <c r="A8" s="4" t="s">
        <v>8</v>
      </c>
      <c r="B8" s="5">
        <v>44719.0</v>
      </c>
      <c r="C8" s="6">
        <v>0.7210763888906513</v>
      </c>
      <c r="D8" s="4">
        <v>13.025699</v>
      </c>
      <c r="E8" s="4">
        <v>80.230298</v>
      </c>
      <c r="F8" s="4">
        <v>805.0</v>
      </c>
      <c r="G8" s="4">
        <v>17.0</v>
      </c>
    </row>
    <row r="9">
      <c r="A9" s="4" t="s">
        <v>8</v>
      </c>
      <c r="B9" s="5">
        <v>44719.0</v>
      </c>
      <c r="C9" s="6">
        <v>0.721087962963793</v>
      </c>
      <c r="D9" s="4">
        <v>13.025699</v>
      </c>
      <c r="E9" s="4">
        <v>80.230298</v>
      </c>
      <c r="F9" s="4">
        <v>805.0</v>
      </c>
      <c r="G9" s="4">
        <v>17.0</v>
      </c>
    </row>
    <row r="10">
      <c r="A10" s="4" t="s">
        <v>8</v>
      </c>
      <c r="B10" s="5">
        <v>44719.0</v>
      </c>
      <c r="C10" s="6">
        <v>0.7210995370369346</v>
      </c>
      <c r="D10" s="4">
        <v>13.025699</v>
      </c>
      <c r="E10" s="4">
        <v>80.230298</v>
      </c>
      <c r="F10" s="4">
        <v>805.0</v>
      </c>
      <c r="G10" s="4">
        <v>17.0</v>
      </c>
    </row>
    <row r="11">
      <c r="A11" s="4" t="s">
        <v>8</v>
      </c>
      <c r="B11" s="5">
        <v>44719.0</v>
      </c>
      <c r="C11" s="6">
        <v>0.7212384259255487</v>
      </c>
      <c r="D11" s="4">
        <v>13.025699</v>
      </c>
      <c r="E11" s="4">
        <v>80.230298</v>
      </c>
      <c r="F11" s="4">
        <v>805.0</v>
      </c>
      <c r="G11" s="4">
        <v>17.0</v>
      </c>
    </row>
    <row r="12">
      <c r="A12" s="4" t="s">
        <v>8</v>
      </c>
      <c r="B12" s="5">
        <v>44721.0</v>
      </c>
      <c r="C12" s="6">
        <v>0.3232986111106584</v>
      </c>
      <c r="D12" s="4">
        <v>13.063796</v>
      </c>
      <c r="E12" s="4">
        <v>80.250747</v>
      </c>
      <c r="F12" s="4">
        <v>805.0</v>
      </c>
      <c r="G12" s="4">
        <v>0.0</v>
      </c>
    </row>
    <row r="13">
      <c r="A13" s="4" t="s">
        <v>8</v>
      </c>
      <c r="B13" s="5">
        <v>44721.0</v>
      </c>
      <c r="C13" s="6">
        <v>0.3236226851840911</v>
      </c>
      <c r="D13" s="4">
        <v>13.063796</v>
      </c>
      <c r="E13" s="4">
        <v>80.250747</v>
      </c>
      <c r="F13" s="4">
        <v>805.0</v>
      </c>
      <c r="G13" s="4">
        <v>0.0</v>
      </c>
    </row>
    <row r="14">
      <c r="A14" s="4" t="s">
        <v>8</v>
      </c>
      <c r="B14" s="5">
        <v>44721.0</v>
      </c>
      <c r="C14" s="6">
        <v>0.3236574074071541</v>
      </c>
      <c r="D14" s="4">
        <v>13.063796</v>
      </c>
      <c r="E14" s="4">
        <v>80.250747</v>
      </c>
      <c r="F14" s="4">
        <v>805.0</v>
      </c>
      <c r="G14" s="4">
        <v>0.0</v>
      </c>
    </row>
    <row r="15">
      <c r="A15" s="4" t="s">
        <v>8</v>
      </c>
      <c r="B15" s="5">
        <v>44721.0</v>
      </c>
      <c r="C15" s="6">
        <v>0.3236921296302171</v>
      </c>
      <c r="D15" s="4">
        <v>13.063796</v>
      </c>
      <c r="E15" s="4">
        <v>80.250747</v>
      </c>
      <c r="F15" s="4">
        <v>805.0</v>
      </c>
      <c r="G15" s="4">
        <v>0.0</v>
      </c>
    </row>
    <row r="16">
      <c r="A16" s="4" t="s">
        <v>8</v>
      </c>
      <c r="B16" s="5">
        <v>44721.0</v>
      </c>
      <c r="C16" s="6">
        <v>0.32439814814642887</v>
      </c>
      <c r="D16" s="4">
        <v>13.063796</v>
      </c>
      <c r="E16" s="4">
        <v>80.250747</v>
      </c>
      <c r="F16" s="4">
        <v>805.0</v>
      </c>
      <c r="G16" s="4">
        <v>0.0</v>
      </c>
    </row>
    <row r="17">
      <c r="A17" s="4" t="s">
        <v>8</v>
      </c>
      <c r="B17" s="5">
        <v>44721.0</v>
      </c>
      <c r="C17" s="6">
        <v>0.32788194444583496</v>
      </c>
      <c r="D17" s="4">
        <v>13.063749</v>
      </c>
      <c r="E17" s="4">
        <v>80.250823</v>
      </c>
      <c r="F17" s="4">
        <v>805.0</v>
      </c>
      <c r="G17" s="4">
        <v>0.0</v>
      </c>
    </row>
    <row r="18">
      <c r="A18" s="4" t="s">
        <v>8</v>
      </c>
      <c r="B18" s="5">
        <v>44721.0</v>
      </c>
      <c r="C18" s="6">
        <v>0.328125</v>
      </c>
      <c r="D18" s="4">
        <v>13.063749</v>
      </c>
      <c r="E18" s="4">
        <v>80.250823</v>
      </c>
      <c r="F18" s="4">
        <v>805.0</v>
      </c>
      <c r="G18" s="4">
        <v>0.0</v>
      </c>
    </row>
    <row r="19">
      <c r="A19" s="4" t="s">
        <v>8</v>
      </c>
      <c r="B19" s="5">
        <v>44721.0</v>
      </c>
      <c r="C19" s="6">
        <v>0.32879629629678675</v>
      </c>
      <c r="D19" s="4">
        <v>13.063749</v>
      </c>
      <c r="E19" s="4">
        <v>80.250823</v>
      </c>
      <c r="F19" s="4">
        <v>805.0</v>
      </c>
      <c r="G19" s="4">
        <v>0.0</v>
      </c>
    </row>
    <row r="20">
      <c r="A20" s="4" t="s">
        <v>8</v>
      </c>
      <c r="B20" s="5">
        <v>44721.0</v>
      </c>
      <c r="C20" s="6">
        <v>0.3295370370360615</v>
      </c>
      <c r="D20" s="4">
        <v>13.063779</v>
      </c>
      <c r="E20" s="4">
        <v>80.250857</v>
      </c>
      <c r="F20" s="4">
        <v>805.0</v>
      </c>
      <c r="G20" s="4">
        <v>0.0</v>
      </c>
    </row>
    <row r="21">
      <c r="A21" s="4" t="s">
        <v>8</v>
      </c>
      <c r="B21" s="5">
        <v>44721.0</v>
      </c>
      <c r="C21" s="6">
        <v>0.32954861111284117</v>
      </c>
      <c r="D21" s="4">
        <v>13.063779</v>
      </c>
      <c r="E21" s="4">
        <v>80.250857</v>
      </c>
      <c r="F21" s="4">
        <v>805.0</v>
      </c>
      <c r="G21" s="4">
        <v>0.0</v>
      </c>
    </row>
    <row r="22">
      <c r="A22" s="4" t="s">
        <v>8</v>
      </c>
      <c r="B22" s="5">
        <v>44721.0</v>
      </c>
      <c r="C22" s="6">
        <v>0.32954861111284117</v>
      </c>
      <c r="D22" s="4">
        <v>13.063779</v>
      </c>
      <c r="E22" s="4">
        <v>80.250857</v>
      </c>
      <c r="F22" s="4">
        <v>805.0</v>
      </c>
      <c r="G22" s="4">
        <v>0.0</v>
      </c>
    </row>
    <row r="23">
      <c r="A23" s="4" t="s">
        <v>8</v>
      </c>
      <c r="B23" s="5">
        <v>44721.0</v>
      </c>
      <c r="C23" s="6">
        <v>0.3297222222208802</v>
      </c>
      <c r="D23" s="4">
        <v>13.063779</v>
      </c>
      <c r="E23" s="4">
        <v>80.250857</v>
      </c>
      <c r="F23" s="4">
        <v>805.0</v>
      </c>
      <c r="G23" s="4">
        <v>0.0</v>
      </c>
    </row>
    <row r="24">
      <c r="A24" s="4" t="s">
        <v>8</v>
      </c>
      <c r="B24" s="5">
        <v>44721.0</v>
      </c>
      <c r="C24" s="6">
        <v>0.3305902777792653</v>
      </c>
      <c r="D24" s="4">
        <v>13.063779</v>
      </c>
      <c r="E24" s="4">
        <v>80.250857</v>
      </c>
      <c r="F24" s="4">
        <v>805.0</v>
      </c>
      <c r="G24" s="4">
        <v>0.0</v>
      </c>
    </row>
    <row r="25">
      <c r="A25" s="4" t="s">
        <v>8</v>
      </c>
      <c r="B25" s="5">
        <v>44721.0</v>
      </c>
      <c r="C25" s="6">
        <v>0.33155092592642177</v>
      </c>
      <c r="D25" s="4">
        <v>13.063771</v>
      </c>
      <c r="E25" s="4">
        <v>80.250819</v>
      </c>
      <c r="F25" s="4">
        <v>805.0</v>
      </c>
      <c r="G25" s="4">
        <v>0.0</v>
      </c>
    </row>
    <row r="26">
      <c r="A26" s="4" t="s">
        <v>8</v>
      </c>
      <c r="B26" s="5">
        <v>44721.0</v>
      </c>
      <c r="C26" s="6">
        <v>0.33177083333430346</v>
      </c>
      <c r="D26" s="4">
        <v>13.063771</v>
      </c>
      <c r="E26" s="4">
        <v>80.250819</v>
      </c>
      <c r="F26" s="4">
        <v>805.0</v>
      </c>
      <c r="G26" s="4">
        <v>0.0</v>
      </c>
    </row>
    <row r="27">
      <c r="A27" s="4" t="s">
        <v>8</v>
      </c>
      <c r="B27" s="5">
        <v>44721.0</v>
      </c>
      <c r="C27" s="6">
        <v>0.33181712963050813</v>
      </c>
      <c r="D27" s="4">
        <v>13.063771</v>
      </c>
      <c r="E27" s="4">
        <v>80.250819</v>
      </c>
      <c r="F27" s="4">
        <v>805.0</v>
      </c>
      <c r="G27" s="4">
        <v>0.0</v>
      </c>
    </row>
    <row r="28">
      <c r="A28" s="4" t="s">
        <v>8</v>
      </c>
      <c r="B28" s="5">
        <v>44721.0</v>
      </c>
      <c r="C28" s="6">
        <v>0.3385069444448163</v>
      </c>
      <c r="D28" s="4">
        <v>12.87563</v>
      </c>
      <c r="E28" s="4">
        <v>80.082909</v>
      </c>
      <c r="F28" s="4">
        <v>2846.0</v>
      </c>
      <c r="G28" s="4">
        <v>0.0</v>
      </c>
    </row>
    <row r="29">
      <c r="A29" s="4" t="s">
        <v>8</v>
      </c>
      <c r="B29" s="5">
        <v>44721.0</v>
      </c>
      <c r="C29" s="6">
        <v>0.3385069444448163</v>
      </c>
      <c r="D29" s="4">
        <v>12.87563</v>
      </c>
      <c r="E29" s="4">
        <v>80.082909</v>
      </c>
      <c r="F29" s="4">
        <v>2846.0</v>
      </c>
      <c r="G29" s="4">
        <v>0.0</v>
      </c>
    </row>
    <row r="30">
      <c r="A30" s="4" t="s">
        <v>8</v>
      </c>
      <c r="B30" s="5">
        <v>44721.0</v>
      </c>
      <c r="C30" s="6">
        <v>0.3385069444448163</v>
      </c>
      <c r="D30" s="4">
        <v>12.87563</v>
      </c>
      <c r="E30" s="4">
        <v>80.082909</v>
      </c>
      <c r="F30" s="4">
        <v>2846.0</v>
      </c>
      <c r="G30" s="4">
        <v>0.0</v>
      </c>
    </row>
    <row r="31">
      <c r="A31" s="4" t="s">
        <v>8</v>
      </c>
      <c r="B31" s="5">
        <v>44721.0</v>
      </c>
      <c r="C31" s="6">
        <v>0.338518518517958</v>
      </c>
      <c r="D31" s="4">
        <v>12.87563</v>
      </c>
      <c r="E31" s="4">
        <v>80.082909</v>
      </c>
      <c r="F31" s="4">
        <v>2846.0</v>
      </c>
      <c r="G31" s="4">
        <v>0.0</v>
      </c>
      <c r="O31" s="10"/>
    </row>
    <row r="32">
      <c r="A32" s="4" t="s">
        <v>8</v>
      </c>
      <c r="B32" s="5">
        <v>44721.0</v>
      </c>
      <c r="C32" s="6">
        <v>0.3385648148141627</v>
      </c>
      <c r="D32" s="4">
        <v>12.87563</v>
      </c>
      <c r="E32" s="4">
        <v>80.082909</v>
      </c>
      <c r="F32" s="4">
        <v>2846.0</v>
      </c>
      <c r="G32" s="4">
        <v>0.0</v>
      </c>
    </row>
    <row r="33">
      <c r="A33" s="4" t="s">
        <v>8</v>
      </c>
      <c r="B33" s="5">
        <v>44721.0</v>
      </c>
      <c r="C33" s="6">
        <v>0.3385995370372257</v>
      </c>
      <c r="D33" s="4">
        <v>12.87563</v>
      </c>
      <c r="E33" s="4">
        <v>80.082909</v>
      </c>
      <c r="F33" s="4">
        <v>2846.0</v>
      </c>
      <c r="G33" s="4">
        <v>0.0</v>
      </c>
    </row>
    <row r="34">
      <c r="A34" s="4" t="s">
        <v>8</v>
      </c>
      <c r="B34" s="5">
        <v>44721.0</v>
      </c>
      <c r="C34" s="6">
        <v>0.3424305555563478</v>
      </c>
      <c r="D34" s="4">
        <v>12.875633</v>
      </c>
      <c r="E34" s="4">
        <v>80.082917</v>
      </c>
      <c r="F34" s="4">
        <v>2846.0</v>
      </c>
      <c r="G34" s="4">
        <v>0.0</v>
      </c>
    </row>
    <row r="35">
      <c r="A35" s="4" t="s">
        <v>8</v>
      </c>
      <c r="B35" s="5">
        <v>44721.0</v>
      </c>
      <c r="C35" s="6">
        <v>0.3425925925912452</v>
      </c>
      <c r="D35" s="4">
        <v>12.875633</v>
      </c>
      <c r="E35" s="4">
        <v>80.082917</v>
      </c>
      <c r="F35" s="4">
        <v>2846.0</v>
      </c>
      <c r="G35" s="4">
        <v>0.0</v>
      </c>
    </row>
    <row r="36">
      <c r="A36" s="4" t="s">
        <v>8</v>
      </c>
      <c r="B36" s="5">
        <v>44721.0</v>
      </c>
      <c r="C36" s="6">
        <v>0.35299768518598285</v>
      </c>
      <c r="D36" s="4">
        <v>12.979753</v>
      </c>
      <c r="E36" s="4">
        <v>80.22725</v>
      </c>
      <c r="F36" s="4">
        <v>2846.0</v>
      </c>
      <c r="G36" s="4">
        <v>0.0</v>
      </c>
    </row>
    <row r="37">
      <c r="A37" s="4" t="s">
        <v>8</v>
      </c>
      <c r="B37" s="5">
        <v>44721.0</v>
      </c>
      <c r="C37" s="6">
        <v>0.35317129629765986</v>
      </c>
      <c r="D37" s="4">
        <v>12.979753</v>
      </c>
      <c r="E37" s="4">
        <v>80.22725</v>
      </c>
      <c r="F37" s="4">
        <v>2846.0</v>
      </c>
      <c r="G37" s="4">
        <v>0.0</v>
      </c>
    </row>
    <row r="38">
      <c r="A38" s="4" t="s">
        <v>8</v>
      </c>
      <c r="B38" s="5">
        <v>44721.0</v>
      </c>
      <c r="C38" s="6">
        <v>0.35329861110949423</v>
      </c>
      <c r="D38" s="4">
        <v>12.979753</v>
      </c>
      <c r="E38" s="4">
        <v>80.22725</v>
      </c>
      <c r="F38" s="4">
        <v>2846.0</v>
      </c>
      <c r="G38" s="4">
        <v>0.0</v>
      </c>
    </row>
    <row r="39">
      <c r="A39" s="4" t="s">
        <v>8</v>
      </c>
      <c r="B39" s="5">
        <v>44721.0</v>
      </c>
      <c r="C39" s="6">
        <v>0.35407407407547</v>
      </c>
      <c r="D39" s="4">
        <v>12.979753</v>
      </c>
      <c r="E39" s="4">
        <v>80.22725</v>
      </c>
      <c r="F39" s="4">
        <v>2846.0</v>
      </c>
      <c r="G39" s="4">
        <v>0.0</v>
      </c>
    </row>
    <row r="40">
      <c r="A40" s="4" t="s">
        <v>8</v>
      </c>
      <c r="B40" s="5">
        <v>44721.0</v>
      </c>
      <c r="C40" s="6">
        <v>0.3540972222217533</v>
      </c>
      <c r="D40" s="4">
        <v>12.979753</v>
      </c>
      <c r="E40" s="4">
        <v>80.22725</v>
      </c>
      <c r="F40" s="4">
        <v>2846.0</v>
      </c>
      <c r="G40" s="4">
        <v>0.0</v>
      </c>
    </row>
    <row r="41">
      <c r="A41" s="4" t="s">
        <v>8</v>
      </c>
      <c r="B41" s="5">
        <v>44721.0</v>
      </c>
      <c r="C41" s="6">
        <v>0.354108796294895</v>
      </c>
      <c r="D41" s="4">
        <v>12.979753</v>
      </c>
      <c r="E41" s="4">
        <v>80.22725</v>
      </c>
      <c r="F41" s="4">
        <v>2846.0</v>
      </c>
      <c r="G41" s="4">
        <v>0.0</v>
      </c>
    </row>
    <row r="42">
      <c r="A42" s="4" t="s">
        <v>8</v>
      </c>
      <c r="B42" s="5">
        <v>44721.0</v>
      </c>
      <c r="C42" s="6">
        <v>0.354108796294895</v>
      </c>
      <c r="D42" s="4">
        <v>12.979753</v>
      </c>
      <c r="E42" s="4">
        <v>80.22725</v>
      </c>
      <c r="F42" s="4">
        <v>2846.0</v>
      </c>
      <c r="G42" s="4">
        <v>0.0</v>
      </c>
    </row>
    <row r="43">
      <c r="A43" s="4" t="s">
        <v>8</v>
      </c>
      <c r="B43" s="5">
        <v>44721.0</v>
      </c>
      <c r="C43" s="6">
        <v>0.3555671296307992</v>
      </c>
      <c r="D43" s="4">
        <v>12.979071</v>
      </c>
      <c r="E43" s="4">
        <v>80.226517</v>
      </c>
      <c r="F43" s="4">
        <v>2846.0</v>
      </c>
      <c r="G43" s="4">
        <v>0.0</v>
      </c>
    </row>
    <row r="44">
      <c r="A44" s="4" t="s">
        <v>8</v>
      </c>
      <c r="B44" s="5">
        <v>44721.0</v>
      </c>
      <c r="C44" s="6">
        <v>0.3558796296310902</v>
      </c>
      <c r="D44" s="4">
        <v>12.979071</v>
      </c>
      <c r="E44" s="4">
        <v>80.226517</v>
      </c>
      <c r="F44" s="4">
        <v>2846.0</v>
      </c>
      <c r="G44" s="4">
        <v>0.0</v>
      </c>
    </row>
    <row r="45">
      <c r="A45" s="4" t="s">
        <v>8</v>
      </c>
      <c r="B45" s="5">
        <v>44721.0</v>
      </c>
      <c r="C45" s="6">
        <v>0.7128587962979509</v>
      </c>
      <c r="D45" s="4">
        <v>12.920921</v>
      </c>
      <c r="E45" s="4">
        <v>80.16773</v>
      </c>
      <c r="F45" s="4">
        <v>2846.0</v>
      </c>
      <c r="G45" s="4">
        <v>19.0</v>
      </c>
    </row>
    <row r="46">
      <c r="A46" s="4" t="s">
        <v>8</v>
      </c>
      <c r="B46" s="5">
        <v>44721.0</v>
      </c>
      <c r="C46" s="6">
        <v>0.7128819444442343</v>
      </c>
      <c r="D46" s="4">
        <v>12.920921</v>
      </c>
      <c r="E46" s="4">
        <v>80.16773</v>
      </c>
      <c r="F46" s="4">
        <v>2846.0</v>
      </c>
      <c r="G46" s="4">
        <v>19.0</v>
      </c>
    </row>
    <row r="47">
      <c r="A47" s="4" t="s">
        <v>8</v>
      </c>
      <c r="B47" s="5">
        <v>44721.0</v>
      </c>
      <c r="C47" s="6">
        <v>0.7128935185173759</v>
      </c>
      <c r="D47" s="4">
        <v>12.920921</v>
      </c>
      <c r="E47" s="4">
        <v>80.16773</v>
      </c>
      <c r="F47" s="4">
        <v>2846.0</v>
      </c>
      <c r="G47" s="4">
        <v>19.0</v>
      </c>
    </row>
    <row r="48">
      <c r="A48" s="4" t="s">
        <v>8</v>
      </c>
      <c r="B48" s="5">
        <v>44721.0</v>
      </c>
      <c r="C48" s="6">
        <v>0.7139583333337214</v>
      </c>
      <c r="D48" s="4">
        <v>12.993605</v>
      </c>
      <c r="E48" s="4">
        <v>80.184572</v>
      </c>
      <c r="F48" s="4">
        <v>805.0</v>
      </c>
      <c r="G48" s="4">
        <v>18.0</v>
      </c>
    </row>
    <row r="49">
      <c r="A49" s="4" t="s">
        <v>8</v>
      </c>
      <c r="B49" s="5">
        <v>44721.0</v>
      </c>
      <c r="C49" s="6">
        <v>0.7140972222223354</v>
      </c>
      <c r="D49" s="4">
        <v>12.993605</v>
      </c>
      <c r="E49" s="4">
        <v>80.184572</v>
      </c>
      <c r="F49" s="4">
        <v>805.0</v>
      </c>
      <c r="G49" s="4">
        <v>18.0</v>
      </c>
    </row>
    <row r="50">
      <c r="A50" s="4" t="s">
        <v>8</v>
      </c>
      <c r="B50" s="5">
        <v>44721.0</v>
      </c>
      <c r="C50" s="6">
        <v>0.724016203705105</v>
      </c>
      <c r="D50" s="4">
        <v>13.025998</v>
      </c>
      <c r="E50" s="4">
        <v>80.231045</v>
      </c>
      <c r="F50" s="4">
        <v>805.0</v>
      </c>
      <c r="G50" s="4">
        <v>15.0</v>
      </c>
    </row>
    <row r="51">
      <c r="A51" s="4" t="s">
        <v>8</v>
      </c>
      <c r="B51" s="5">
        <v>44721.0</v>
      </c>
      <c r="C51" s="6">
        <v>0.7241087962975143</v>
      </c>
      <c r="D51" s="4">
        <v>13.025998</v>
      </c>
      <c r="E51" s="4">
        <v>80.231045</v>
      </c>
      <c r="F51" s="4">
        <v>805.0</v>
      </c>
      <c r="G51" s="4">
        <v>15.0</v>
      </c>
    </row>
    <row r="52">
      <c r="A52" s="4" t="s">
        <v>8</v>
      </c>
      <c r="B52" s="5">
        <v>44721.0</v>
      </c>
      <c r="C52" s="6">
        <v>0.7391550925931369</v>
      </c>
      <c r="D52" s="4">
        <v>12.976067</v>
      </c>
      <c r="E52" s="4">
        <v>80.221228</v>
      </c>
      <c r="F52" s="4">
        <v>2846.0</v>
      </c>
      <c r="G52" s="4">
        <v>14.0</v>
      </c>
    </row>
    <row r="53">
      <c r="A53" s="4" t="s">
        <v>8</v>
      </c>
      <c r="B53" s="5">
        <v>44721.0</v>
      </c>
      <c r="C53" s="6">
        <v>0.7391550925931369</v>
      </c>
      <c r="D53" s="4">
        <v>12.976067</v>
      </c>
      <c r="E53" s="4">
        <v>80.221228</v>
      </c>
      <c r="F53" s="4">
        <v>2846.0</v>
      </c>
      <c r="G53" s="4">
        <v>14.0</v>
      </c>
    </row>
    <row r="54">
      <c r="A54" s="4" t="s">
        <v>8</v>
      </c>
      <c r="B54" s="5">
        <v>44721.0</v>
      </c>
      <c r="C54" s="6">
        <v>0.7392013888893416</v>
      </c>
      <c r="D54" s="4">
        <v>12.976067</v>
      </c>
      <c r="E54" s="4">
        <v>80.221228</v>
      </c>
      <c r="F54" s="4">
        <v>2846.0</v>
      </c>
      <c r="G54" s="4">
        <v>14.0</v>
      </c>
    </row>
    <row r="55">
      <c r="A55" s="4" t="s">
        <v>8</v>
      </c>
      <c r="B55" s="5">
        <v>44721.0</v>
      </c>
      <c r="C55" s="6">
        <v>0.7445023148138716</v>
      </c>
      <c r="D55" s="4">
        <v>12.964014</v>
      </c>
      <c r="E55" s="4">
        <v>80.216318</v>
      </c>
      <c r="F55" s="4">
        <v>2846.0</v>
      </c>
      <c r="G55" s="4">
        <v>0.0</v>
      </c>
    </row>
    <row r="56">
      <c r="A56" s="4" t="s">
        <v>8</v>
      </c>
      <c r="B56" s="5">
        <v>44721.0</v>
      </c>
      <c r="C56" s="6">
        <v>0.7445138888906513</v>
      </c>
      <c r="D56" s="4">
        <v>12.964014</v>
      </c>
      <c r="E56" s="4">
        <v>80.216318</v>
      </c>
      <c r="F56" s="4">
        <v>2846.0</v>
      </c>
      <c r="G56" s="4">
        <v>0.0</v>
      </c>
    </row>
    <row r="57">
      <c r="A57" s="4" t="s">
        <v>8</v>
      </c>
      <c r="B57" s="5">
        <v>44721.0</v>
      </c>
      <c r="C57" s="6">
        <v>0.7523495370369346</v>
      </c>
      <c r="D57" s="4">
        <v>12.948449</v>
      </c>
      <c r="E57" s="4">
        <v>80.199359</v>
      </c>
      <c r="F57" s="4">
        <v>2846.0</v>
      </c>
      <c r="G57" s="4">
        <v>4.0</v>
      </c>
    </row>
    <row r="58">
      <c r="A58" s="4" t="s">
        <v>8</v>
      </c>
      <c r="B58" s="5">
        <v>44721.0</v>
      </c>
      <c r="C58" s="6">
        <v>0.752372685186856</v>
      </c>
      <c r="D58" s="4">
        <v>12.948449</v>
      </c>
      <c r="E58" s="4">
        <v>80.199359</v>
      </c>
      <c r="F58" s="4">
        <v>2846.0</v>
      </c>
      <c r="G58" s="4">
        <v>4.0</v>
      </c>
    </row>
    <row r="59">
      <c r="A59" s="4" t="s">
        <v>8</v>
      </c>
      <c r="B59" s="5">
        <v>44721.0</v>
      </c>
      <c r="C59" s="6">
        <v>0.752442129629344</v>
      </c>
      <c r="D59" s="4">
        <v>12.948449</v>
      </c>
      <c r="E59" s="4">
        <v>80.199359</v>
      </c>
      <c r="F59" s="4">
        <v>2846.0</v>
      </c>
      <c r="G59" s="4">
        <v>4.0</v>
      </c>
    </row>
    <row r="60">
      <c r="A60" s="4" t="s">
        <v>8</v>
      </c>
      <c r="B60" s="5">
        <v>44721.0</v>
      </c>
      <c r="C60" s="6">
        <v>0.7528472222220444</v>
      </c>
      <c r="D60" s="4">
        <v>13.067596</v>
      </c>
      <c r="E60" s="4">
        <v>80.249655</v>
      </c>
      <c r="F60" s="4">
        <v>805.0</v>
      </c>
      <c r="G60" s="4">
        <v>19.0</v>
      </c>
    </row>
    <row r="61">
      <c r="A61" s="4" t="s">
        <v>8</v>
      </c>
      <c r="B61" s="5">
        <v>44721.0</v>
      </c>
      <c r="C61" s="6">
        <v>0.7528703703719657</v>
      </c>
      <c r="D61" s="4">
        <v>13.067596</v>
      </c>
      <c r="E61" s="4">
        <v>80.249655</v>
      </c>
      <c r="F61" s="4">
        <v>805.0</v>
      </c>
      <c r="G61" s="4">
        <v>19.0</v>
      </c>
    </row>
    <row r="62">
      <c r="A62" s="4" t="s">
        <v>8</v>
      </c>
      <c r="B62" s="5">
        <v>44722.0</v>
      </c>
      <c r="C62" s="6">
        <v>0.31557870370306773</v>
      </c>
      <c r="D62" s="4">
        <v>13.061161</v>
      </c>
      <c r="E62" s="4">
        <v>80.274346</v>
      </c>
      <c r="F62" s="4">
        <v>805.0</v>
      </c>
      <c r="G62" s="4">
        <v>0.0</v>
      </c>
    </row>
    <row r="63">
      <c r="A63" s="4" t="s">
        <v>8</v>
      </c>
      <c r="B63" s="5">
        <v>44722.0</v>
      </c>
      <c r="C63" s="6">
        <v>0.3155902777762094</v>
      </c>
      <c r="D63" s="4">
        <v>13.061161</v>
      </c>
      <c r="E63" s="4">
        <v>80.274346</v>
      </c>
      <c r="F63" s="4">
        <v>805.0</v>
      </c>
      <c r="G63" s="4">
        <v>0.0</v>
      </c>
    </row>
    <row r="64">
      <c r="A64" s="4" t="s">
        <v>8</v>
      </c>
      <c r="B64" s="5">
        <v>44722.0</v>
      </c>
      <c r="C64" s="6">
        <v>0.31560185185298906</v>
      </c>
      <c r="D64" s="4">
        <v>13.062563</v>
      </c>
      <c r="E64" s="4">
        <v>80.274207</v>
      </c>
      <c r="F64" s="4">
        <v>805.0</v>
      </c>
      <c r="G64" s="4">
        <v>0.0</v>
      </c>
    </row>
    <row r="65">
      <c r="A65" s="4" t="s">
        <v>8</v>
      </c>
      <c r="B65" s="5">
        <v>44722.0</v>
      </c>
      <c r="C65" s="6">
        <v>0.3178125000013097</v>
      </c>
      <c r="D65" s="4">
        <v>12.979733</v>
      </c>
      <c r="E65" s="4">
        <v>80.227179</v>
      </c>
      <c r="F65" s="4">
        <v>2846.0</v>
      </c>
      <c r="G65" s="4">
        <v>0.0</v>
      </c>
    </row>
    <row r="66">
      <c r="A66" s="4" t="s">
        <v>8</v>
      </c>
      <c r="B66" s="5">
        <v>44722.0</v>
      </c>
      <c r="C66" s="6">
        <v>0.3181250000016007</v>
      </c>
      <c r="D66" s="4">
        <v>12.979733</v>
      </c>
      <c r="E66" s="4">
        <v>80.227179</v>
      </c>
      <c r="F66" s="4">
        <v>2846.0</v>
      </c>
      <c r="G66" s="4">
        <v>0.0</v>
      </c>
    </row>
    <row r="67">
      <c r="A67" s="4" t="s">
        <v>8</v>
      </c>
      <c r="B67" s="5">
        <v>44722.0</v>
      </c>
      <c r="C67" s="6">
        <v>0.31850694444437977</v>
      </c>
      <c r="D67" s="4">
        <v>13.052898</v>
      </c>
      <c r="E67" s="4">
        <v>80.273683</v>
      </c>
      <c r="F67" s="4">
        <v>805.0</v>
      </c>
      <c r="G67" s="4">
        <v>7.0</v>
      </c>
    </row>
    <row r="68">
      <c r="A68" s="4" t="s">
        <v>8</v>
      </c>
      <c r="B68" s="5">
        <v>44722.0</v>
      </c>
      <c r="C68" s="6">
        <v>0.3185648148137261</v>
      </c>
      <c r="D68" s="4">
        <v>13.052898</v>
      </c>
      <c r="E68" s="4">
        <v>80.273683</v>
      </c>
      <c r="F68" s="4">
        <v>805.0</v>
      </c>
      <c r="G68" s="4">
        <v>7.0</v>
      </c>
    </row>
    <row r="69">
      <c r="A69" s="4" t="s">
        <v>8</v>
      </c>
      <c r="B69" s="5">
        <v>44722.0</v>
      </c>
      <c r="C69" s="6">
        <v>0.3191435185181035</v>
      </c>
      <c r="D69" s="4">
        <v>13.053232</v>
      </c>
      <c r="E69" s="4">
        <v>80.270792</v>
      </c>
      <c r="F69" s="4">
        <v>805.0</v>
      </c>
      <c r="G69" s="4">
        <v>0.0</v>
      </c>
    </row>
    <row r="70">
      <c r="A70" s="4" t="s">
        <v>8</v>
      </c>
      <c r="B70" s="5">
        <v>44722.0</v>
      </c>
      <c r="C70" s="6">
        <v>0.31950231481459923</v>
      </c>
      <c r="D70" s="4">
        <v>13.053232</v>
      </c>
      <c r="E70" s="4">
        <v>80.270792</v>
      </c>
      <c r="F70" s="4">
        <v>805.0</v>
      </c>
      <c r="G70" s="4">
        <v>0.0</v>
      </c>
    </row>
    <row r="71">
      <c r="A71" s="4" t="s">
        <v>8</v>
      </c>
      <c r="B71" s="5">
        <v>44722.0</v>
      </c>
      <c r="C71" s="6">
        <v>0.32042824074233067</v>
      </c>
      <c r="D71" s="4">
        <v>13.053232</v>
      </c>
      <c r="E71" s="4">
        <v>80.270792</v>
      </c>
      <c r="F71" s="4">
        <v>805.0</v>
      </c>
      <c r="G71" s="4">
        <v>0.0</v>
      </c>
    </row>
    <row r="72">
      <c r="A72" s="4" t="s">
        <v>8</v>
      </c>
      <c r="B72" s="5">
        <v>44722.0</v>
      </c>
      <c r="C72" s="6">
        <v>0.3287152777775191</v>
      </c>
      <c r="D72" s="4">
        <v>13.035046</v>
      </c>
      <c r="E72" s="4">
        <v>80.246017</v>
      </c>
      <c r="F72" s="4">
        <v>805.0</v>
      </c>
      <c r="G72" s="4">
        <v>19.0</v>
      </c>
    </row>
    <row r="73">
      <c r="A73" s="4" t="s">
        <v>8</v>
      </c>
      <c r="B73" s="5">
        <v>44722.0</v>
      </c>
      <c r="C73" s="6">
        <v>0.3287384259274404</v>
      </c>
      <c r="D73" s="4">
        <v>13.035046</v>
      </c>
      <c r="E73" s="4">
        <v>80.246017</v>
      </c>
      <c r="F73" s="4">
        <v>805.0</v>
      </c>
      <c r="G73" s="4">
        <v>19.0</v>
      </c>
    </row>
    <row r="74">
      <c r="A74" s="4" t="s">
        <v>8</v>
      </c>
      <c r="B74" s="5">
        <v>44722.0</v>
      </c>
      <c r="C74" s="6">
        <v>0.35012731481401715</v>
      </c>
      <c r="D74" s="4">
        <v>12.945427</v>
      </c>
      <c r="E74" s="4">
        <v>80.183226</v>
      </c>
      <c r="F74" s="4">
        <v>2846.0</v>
      </c>
      <c r="G74" s="4">
        <v>0.0</v>
      </c>
    </row>
    <row r="75">
      <c r="A75" s="4" t="s">
        <v>8</v>
      </c>
      <c r="B75" s="5">
        <v>44722.0</v>
      </c>
      <c r="C75" s="6">
        <v>0.3502199074064265</v>
      </c>
      <c r="D75" s="4">
        <v>12.945427</v>
      </c>
      <c r="E75" s="4">
        <v>80.183226</v>
      </c>
      <c r="F75" s="4">
        <v>2846.0</v>
      </c>
      <c r="G75" s="4">
        <v>0.0</v>
      </c>
    </row>
    <row r="76">
      <c r="A76" s="4" t="s">
        <v>8</v>
      </c>
      <c r="B76" s="5">
        <v>44722.0</v>
      </c>
      <c r="C76" s="6">
        <v>0.3503240740756155</v>
      </c>
      <c r="D76" s="4">
        <v>12.945427</v>
      </c>
      <c r="E76" s="4">
        <v>80.183226</v>
      </c>
      <c r="F76" s="4">
        <v>2846.0</v>
      </c>
      <c r="G76" s="4">
        <v>0.0</v>
      </c>
    </row>
    <row r="77">
      <c r="A77" s="4" t="s">
        <v>8</v>
      </c>
      <c r="B77" s="5">
        <v>44722.0</v>
      </c>
      <c r="C77" s="6">
        <v>0.3503587962950405</v>
      </c>
      <c r="D77" s="4">
        <v>12.945427</v>
      </c>
      <c r="E77" s="4">
        <v>80.183226</v>
      </c>
      <c r="F77" s="4">
        <v>2846.0</v>
      </c>
      <c r="G77" s="4">
        <v>0.0</v>
      </c>
    </row>
    <row r="78">
      <c r="A78" s="4" t="s">
        <v>8</v>
      </c>
      <c r="B78" s="5">
        <v>44722.0</v>
      </c>
      <c r="C78" s="6">
        <v>0.3503703703718202</v>
      </c>
      <c r="D78" s="4">
        <v>12.945427</v>
      </c>
      <c r="E78" s="4">
        <v>80.183226</v>
      </c>
      <c r="F78" s="4">
        <v>2846.0</v>
      </c>
      <c r="G78" s="4">
        <v>0.0</v>
      </c>
    </row>
    <row r="79">
      <c r="A79" s="4" t="s">
        <v>8</v>
      </c>
      <c r="B79" s="5">
        <v>44722.0</v>
      </c>
      <c r="C79" s="6">
        <v>0.715891203704814</v>
      </c>
      <c r="D79" s="4">
        <v>13.001312</v>
      </c>
      <c r="E79" s="4">
        <v>80.195715</v>
      </c>
      <c r="F79" s="4">
        <v>805.0</v>
      </c>
      <c r="G79" s="4">
        <v>13.0</v>
      </c>
    </row>
    <row r="80">
      <c r="A80" s="4" t="s">
        <v>8</v>
      </c>
      <c r="B80" s="5">
        <v>44722.0</v>
      </c>
      <c r="C80" s="6">
        <v>0.7159490740741603</v>
      </c>
      <c r="D80" s="4">
        <v>13.001312</v>
      </c>
      <c r="E80" s="4">
        <v>80.195715</v>
      </c>
      <c r="F80" s="4">
        <v>805.0</v>
      </c>
      <c r="G80" s="4">
        <v>13.0</v>
      </c>
    </row>
    <row r="81">
      <c r="A81" s="4" t="s">
        <v>8</v>
      </c>
      <c r="B81" s="5">
        <v>44722.0</v>
      </c>
      <c r="C81" s="6">
        <v>0.721504629629635</v>
      </c>
      <c r="D81" s="4">
        <v>13.015014</v>
      </c>
      <c r="E81" s="4">
        <v>80.224672</v>
      </c>
      <c r="F81" s="4">
        <v>805.0</v>
      </c>
      <c r="G81" s="4">
        <v>16.0</v>
      </c>
    </row>
    <row r="82">
      <c r="A82" s="4" t="s">
        <v>8</v>
      </c>
      <c r="B82" s="5">
        <v>44722.0</v>
      </c>
      <c r="C82" s="6">
        <v>0.7215856481489027</v>
      </c>
      <c r="D82" s="4">
        <v>13.015014</v>
      </c>
      <c r="E82" s="4">
        <v>80.224672</v>
      </c>
      <c r="F82" s="4">
        <v>805.0</v>
      </c>
      <c r="G82" s="4">
        <v>16.0</v>
      </c>
    </row>
    <row r="83">
      <c r="A83" s="4" t="s">
        <v>8</v>
      </c>
      <c r="B83" s="5">
        <v>44722.0</v>
      </c>
      <c r="C83" s="6">
        <v>0.7234027777776646</v>
      </c>
      <c r="D83" s="4">
        <v>13.007921</v>
      </c>
      <c r="E83" s="4">
        <v>80.234943</v>
      </c>
      <c r="F83" s="4">
        <v>805.0</v>
      </c>
      <c r="G83" s="4">
        <v>0.0</v>
      </c>
    </row>
    <row r="84">
      <c r="A84" s="4" t="s">
        <v>8</v>
      </c>
      <c r="B84" s="5">
        <v>44722.0</v>
      </c>
      <c r="C84" s="6">
        <v>0.7234606481470109</v>
      </c>
      <c r="D84" s="4">
        <v>13.007921</v>
      </c>
      <c r="E84" s="4">
        <v>80.234943</v>
      </c>
      <c r="F84" s="4">
        <v>805.0</v>
      </c>
      <c r="G84" s="4">
        <v>0.0</v>
      </c>
    </row>
    <row r="85">
      <c r="A85" s="4" t="s">
        <v>8</v>
      </c>
      <c r="B85" s="5">
        <v>44722.0</v>
      </c>
      <c r="C85" s="6">
        <v>0.7235185185199953</v>
      </c>
      <c r="D85" s="4">
        <v>13.007921</v>
      </c>
      <c r="E85" s="4">
        <v>80.234943</v>
      </c>
      <c r="F85" s="4">
        <v>805.0</v>
      </c>
      <c r="G85" s="4">
        <v>0.0</v>
      </c>
    </row>
    <row r="86">
      <c r="A86" s="4" t="s">
        <v>8</v>
      </c>
      <c r="B86" s="5">
        <v>44722.0</v>
      </c>
      <c r="C86" s="6">
        <v>0.7235879629624833</v>
      </c>
      <c r="D86" s="4">
        <v>13.007921</v>
      </c>
      <c r="E86" s="4">
        <v>80.234943</v>
      </c>
      <c r="F86" s="4">
        <v>805.0</v>
      </c>
      <c r="G86" s="4">
        <v>0.0</v>
      </c>
    </row>
    <row r="87">
      <c r="A87" s="4" t="s">
        <v>8</v>
      </c>
      <c r="B87" s="5">
        <v>44722.0</v>
      </c>
      <c r="C87" s="6">
        <v>0.7247685185175214</v>
      </c>
      <c r="D87" s="4">
        <v>13.006694</v>
      </c>
      <c r="E87" s="4">
        <v>80.24345</v>
      </c>
      <c r="F87" s="4">
        <v>805.0</v>
      </c>
      <c r="G87" s="4">
        <v>0.0</v>
      </c>
    </row>
    <row r="88">
      <c r="A88" s="4" t="s">
        <v>8</v>
      </c>
      <c r="B88" s="5">
        <v>44722.0</v>
      </c>
      <c r="C88" s="6">
        <v>0.7247685185175214</v>
      </c>
      <c r="D88" s="4">
        <v>13.006694</v>
      </c>
      <c r="E88" s="4">
        <v>80.24345</v>
      </c>
      <c r="F88" s="4">
        <v>805.0</v>
      </c>
      <c r="G88" s="4">
        <v>0.0</v>
      </c>
    </row>
    <row r="89">
      <c r="A89" s="4" t="s">
        <v>8</v>
      </c>
      <c r="B89" s="5">
        <v>44722.0</v>
      </c>
      <c r="C89" s="6">
        <v>0.7266898148154723</v>
      </c>
      <c r="D89" s="4">
        <v>13.006898</v>
      </c>
      <c r="E89" s="4">
        <v>80.251098</v>
      </c>
      <c r="F89" s="4">
        <v>805.0</v>
      </c>
      <c r="G89" s="4">
        <v>0.0</v>
      </c>
    </row>
    <row r="90">
      <c r="A90" s="4" t="s">
        <v>8</v>
      </c>
      <c r="B90" s="5">
        <v>44722.0</v>
      </c>
      <c r="C90" s="6">
        <v>0.726736111111677</v>
      </c>
      <c r="D90" s="4">
        <v>13.006898</v>
      </c>
      <c r="E90" s="4">
        <v>80.251098</v>
      </c>
      <c r="F90" s="4">
        <v>805.0</v>
      </c>
      <c r="G90" s="4">
        <v>0.0</v>
      </c>
    </row>
    <row r="91">
      <c r="A91" s="4" t="s">
        <v>8</v>
      </c>
      <c r="B91" s="5">
        <v>44722.0</v>
      </c>
      <c r="C91" s="6">
        <v>0.7315740740741603</v>
      </c>
      <c r="D91" s="4">
        <v>13.022385</v>
      </c>
      <c r="E91" s="4">
        <v>80.263431</v>
      </c>
      <c r="F91" s="4">
        <v>805.0</v>
      </c>
      <c r="G91" s="4">
        <v>14.0</v>
      </c>
    </row>
    <row r="92">
      <c r="A92" s="4" t="s">
        <v>8</v>
      </c>
      <c r="B92" s="5">
        <v>44722.0</v>
      </c>
      <c r="C92" s="6">
        <v>0.731585648147302</v>
      </c>
      <c r="D92" s="4">
        <v>13.022385</v>
      </c>
      <c r="E92" s="4">
        <v>80.263431</v>
      </c>
      <c r="F92" s="4">
        <v>805.0</v>
      </c>
      <c r="G92" s="4">
        <v>14.0</v>
      </c>
    </row>
    <row r="93">
      <c r="A93" s="4" t="s">
        <v>8</v>
      </c>
      <c r="B93" s="5">
        <v>44722.0</v>
      </c>
      <c r="C93" s="6">
        <v>0.7316087962972233</v>
      </c>
      <c r="D93" s="4">
        <v>13.022385</v>
      </c>
      <c r="E93" s="4">
        <v>80.263431</v>
      </c>
      <c r="F93" s="4">
        <v>805.0</v>
      </c>
      <c r="G93" s="4">
        <v>14.0</v>
      </c>
    </row>
    <row r="94">
      <c r="A94" s="4" t="s">
        <v>8</v>
      </c>
      <c r="B94" s="5">
        <v>44722.0</v>
      </c>
      <c r="C94" s="6">
        <v>0.7316319444435067</v>
      </c>
      <c r="D94" s="4">
        <v>13.022385</v>
      </c>
      <c r="E94" s="4">
        <v>80.263431</v>
      </c>
      <c r="F94" s="4">
        <v>805.0</v>
      </c>
      <c r="G94" s="4">
        <v>14.0</v>
      </c>
    </row>
    <row r="95">
      <c r="A95" s="4" t="s">
        <v>8</v>
      </c>
      <c r="B95" s="5">
        <v>44722.0</v>
      </c>
      <c r="C95" s="6">
        <v>0.7438657407401479</v>
      </c>
      <c r="D95" s="4">
        <v>13.05835</v>
      </c>
      <c r="E95" s="4">
        <v>80.265333</v>
      </c>
      <c r="F95" s="4">
        <v>805.0</v>
      </c>
      <c r="G95" s="4">
        <v>16.0</v>
      </c>
    </row>
    <row r="96">
      <c r="A96" s="4" t="s">
        <v>8</v>
      </c>
      <c r="B96" s="5">
        <v>44722.0</v>
      </c>
      <c r="C96" s="6">
        <v>0.7438888888900692</v>
      </c>
      <c r="D96" s="4">
        <v>13.05835</v>
      </c>
      <c r="E96" s="4">
        <v>80.265333</v>
      </c>
      <c r="F96" s="4">
        <v>805.0</v>
      </c>
      <c r="G96" s="4">
        <v>16.0</v>
      </c>
    </row>
    <row r="97">
      <c r="A97" s="4" t="s">
        <v>8</v>
      </c>
      <c r="B97" s="5">
        <v>44722.0</v>
      </c>
      <c r="C97" s="6">
        <v>0.7439351851862739</v>
      </c>
      <c r="D97" s="4">
        <v>13.05835</v>
      </c>
      <c r="E97" s="4">
        <v>80.265333</v>
      </c>
      <c r="F97" s="4">
        <v>805.0</v>
      </c>
      <c r="G97" s="4">
        <v>16.0</v>
      </c>
    </row>
    <row r="98">
      <c r="A98" s="4" t="s">
        <v>8</v>
      </c>
      <c r="B98" s="5">
        <v>44722.0</v>
      </c>
      <c r="C98" s="6">
        <v>0.7439351851862739</v>
      </c>
      <c r="D98" s="4">
        <v>13.05835</v>
      </c>
      <c r="E98" s="4">
        <v>80.265333</v>
      </c>
      <c r="F98" s="4">
        <v>805.0</v>
      </c>
      <c r="G98" s="4">
        <v>16.0</v>
      </c>
    </row>
    <row r="99">
      <c r="A99" s="4" t="s">
        <v>8</v>
      </c>
      <c r="B99" s="5">
        <v>44723.0</v>
      </c>
      <c r="C99" s="6">
        <v>0.3509837962956226</v>
      </c>
      <c r="D99" s="4">
        <v>12.917088</v>
      </c>
      <c r="E99" s="4">
        <v>80.107312</v>
      </c>
      <c r="F99" s="4">
        <v>2846.0</v>
      </c>
      <c r="G99" s="4">
        <v>12.0</v>
      </c>
    </row>
    <row r="100">
      <c r="A100" s="4" t="s">
        <v>8</v>
      </c>
      <c r="B100" s="5">
        <v>44723.0</v>
      </c>
      <c r="C100" s="6">
        <v>0.35113425926101627</v>
      </c>
      <c r="D100" s="4">
        <v>12.917088</v>
      </c>
      <c r="E100" s="4">
        <v>80.107312</v>
      </c>
      <c r="F100" s="4">
        <v>2846.0</v>
      </c>
      <c r="G100" s="4">
        <v>12.0</v>
      </c>
    </row>
    <row r="101">
      <c r="A101" s="4" t="s">
        <v>8</v>
      </c>
      <c r="B101" s="5">
        <v>44723.0</v>
      </c>
      <c r="C101" s="6">
        <v>0.7108564814807323</v>
      </c>
      <c r="D101" s="4">
        <v>12.985647</v>
      </c>
      <c r="E101" s="4">
        <v>80.173439</v>
      </c>
      <c r="F101" s="4">
        <v>805.0</v>
      </c>
      <c r="G101" s="4">
        <v>4.0</v>
      </c>
    </row>
    <row r="102">
      <c r="A102" s="4" t="s">
        <v>8</v>
      </c>
      <c r="B102" s="5">
        <v>44723.0</v>
      </c>
      <c r="C102" s="6">
        <v>0.7108564814807323</v>
      </c>
      <c r="D102" s="4">
        <v>12.985647</v>
      </c>
      <c r="E102" s="4">
        <v>80.173439</v>
      </c>
      <c r="F102" s="4">
        <v>805.0</v>
      </c>
      <c r="G102" s="4">
        <v>4.0</v>
      </c>
    </row>
    <row r="103">
      <c r="A103" s="4" t="s">
        <v>8</v>
      </c>
      <c r="B103" s="5">
        <v>44723.0</v>
      </c>
      <c r="C103" s="6">
        <v>0.7286458333328483</v>
      </c>
      <c r="D103" s="4">
        <v>13.006773</v>
      </c>
      <c r="E103" s="4">
        <v>80.247857</v>
      </c>
      <c r="F103" s="4">
        <v>805.0</v>
      </c>
      <c r="G103" s="4">
        <v>0.0</v>
      </c>
    </row>
    <row r="104">
      <c r="A104" s="4" t="s">
        <v>8</v>
      </c>
      <c r="B104" s="5">
        <v>44723.0</v>
      </c>
      <c r="C104" s="6">
        <v>0.7286689814827696</v>
      </c>
      <c r="D104" s="4">
        <v>13.006773</v>
      </c>
      <c r="E104" s="4">
        <v>80.247857</v>
      </c>
      <c r="F104" s="4">
        <v>805.0</v>
      </c>
      <c r="G104" s="4">
        <v>0.0</v>
      </c>
    </row>
    <row r="105">
      <c r="A105" s="4" t="s">
        <v>8</v>
      </c>
      <c r="B105" s="5">
        <v>44723.0</v>
      </c>
      <c r="C105" s="6">
        <v>0.7335763888877409</v>
      </c>
      <c r="D105" s="4">
        <v>13.085338</v>
      </c>
      <c r="E105" s="4">
        <v>80.200331</v>
      </c>
      <c r="F105" s="4">
        <v>2846.0</v>
      </c>
      <c r="G105" s="4">
        <v>11.0</v>
      </c>
    </row>
    <row r="106">
      <c r="A106" s="4" t="s">
        <v>8</v>
      </c>
      <c r="B106" s="5">
        <v>44723.0</v>
      </c>
      <c r="C106" s="6">
        <v>0.7335763888877409</v>
      </c>
      <c r="D106" s="4">
        <v>13.085338</v>
      </c>
      <c r="E106" s="4">
        <v>80.200331</v>
      </c>
      <c r="F106" s="4">
        <v>2846.0</v>
      </c>
      <c r="G106" s="4">
        <v>11.0</v>
      </c>
    </row>
    <row r="107">
      <c r="A107" s="4" t="s">
        <v>8</v>
      </c>
      <c r="B107" s="5">
        <v>44723.0</v>
      </c>
      <c r="C107" s="6">
        <v>0.7594907407401479</v>
      </c>
      <c r="D107" s="4">
        <v>13.067613</v>
      </c>
      <c r="E107" s="4">
        <v>80.24942</v>
      </c>
      <c r="F107" s="4">
        <v>805.0</v>
      </c>
      <c r="G107" s="4">
        <v>16.0</v>
      </c>
    </row>
    <row r="108">
      <c r="A108" s="4" t="s">
        <v>8</v>
      </c>
      <c r="B108" s="5">
        <v>44723.0</v>
      </c>
      <c r="C108" s="6">
        <v>0.7595601851862739</v>
      </c>
      <c r="D108" s="4">
        <v>13.067613</v>
      </c>
      <c r="E108" s="4">
        <v>80.24942</v>
      </c>
      <c r="F108" s="4">
        <v>805.0</v>
      </c>
      <c r="G108" s="4">
        <v>16.0</v>
      </c>
    </row>
    <row r="109">
      <c r="A109" s="4" t="s">
        <v>8</v>
      </c>
      <c r="B109" s="5">
        <v>44723.0</v>
      </c>
      <c r="C109" s="6">
        <v>0.7613425925919728</v>
      </c>
      <c r="D109" s="4">
        <v>13.074554</v>
      </c>
      <c r="E109" s="4">
        <v>80.194871</v>
      </c>
      <c r="F109" s="4">
        <v>2846.0</v>
      </c>
      <c r="G109" s="4">
        <v>9.0</v>
      </c>
    </row>
    <row r="110">
      <c r="A110" s="4" t="s">
        <v>8</v>
      </c>
      <c r="B110" s="5">
        <v>44723.0</v>
      </c>
      <c r="C110" s="6">
        <v>0.7613657407418941</v>
      </c>
      <c r="D110" s="4">
        <v>13.074554</v>
      </c>
      <c r="E110" s="4">
        <v>80.194871</v>
      </c>
      <c r="F110" s="4">
        <v>2846.0</v>
      </c>
      <c r="G110" s="4">
        <v>9.0</v>
      </c>
    </row>
    <row r="111">
      <c r="A111" s="4" t="s">
        <v>8</v>
      </c>
      <c r="B111" s="5">
        <v>44726.0</v>
      </c>
      <c r="C111" s="6">
        <v>0.7090162037020491</v>
      </c>
      <c r="D111" s="4">
        <v>12.98613</v>
      </c>
      <c r="E111" s="4">
        <v>80.174122</v>
      </c>
      <c r="F111" s="4">
        <v>805.0</v>
      </c>
      <c r="G111" s="4">
        <v>17.0</v>
      </c>
    </row>
    <row r="112">
      <c r="A112" s="4" t="s">
        <v>8</v>
      </c>
      <c r="B112" s="5">
        <v>44726.0</v>
      </c>
      <c r="C112" s="6">
        <v>0.7090277777788287</v>
      </c>
      <c r="D112" s="4">
        <v>12.98613</v>
      </c>
      <c r="E112" s="4">
        <v>80.174122</v>
      </c>
      <c r="F112" s="4">
        <v>805.0</v>
      </c>
      <c r="G112" s="4">
        <v>17.0</v>
      </c>
    </row>
    <row r="113">
      <c r="A113" s="4" t="s">
        <v>8</v>
      </c>
      <c r="B113" s="5">
        <v>44726.0</v>
      </c>
      <c r="C113" s="6">
        <v>0.7090624999982538</v>
      </c>
      <c r="D113" s="4">
        <v>12.98613</v>
      </c>
      <c r="E113" s="4">
        <v>80.174122</v>
      </c>
      <c r="F113" s="4">
        <v>805.0</v>
      </c>
      <c r="G113" s="4">
        <v>17.0</v>
      </c>
    </row>
    <row r="114">
      <c r="A114" s="4" t="s">
        <v>8</v>
      </c>
      <c r="B114" s="5">
        <v>44726.0</v>
      </c>
      <c r="C114" s="6">
        <v>0.7378935185188311</v>
      </c>
      <c r="D114" s="4">
        <v>12.606152</v>
      </c>
      <c r="E114" s="4">
        <v>79.920946</v>
      </c>
      <c r="F114" s="4">
        <v>2846.0</v>
      </c>
      <c r="G114" s="4">
        <v>0.0</v>
      </c>
    </row>
    <row r="115">
      <c r="A115" s="4" t="s">
        <v>8</v>
      </c>
      <c r="B115" s="5">
        <v>44726.0</v>
      </c>
      <c r="C115" s="6">
        <v>0.7379166666651145</v>
      </c>
      <c r="D115" s="4">
        <v>12.606152</v>
      </c>
      <c r="E115" s="4">
        <v>79.920946</v>
      </c>
      <c r="F115" s="4">
        <v>2846.0</v>
      </c>
      <c r="G115" s="4">
        <v>0.0</v>
      </c>
    </row>
    <row r="116">
      <c r="A116" s="4" t="s">
        <v>8</v>
      </c>
      <c r="B116" s="5">
        <v>44727.0</v>
      </c>
      <c r="C116" s="6">
        <v>0.6973958333328483</v>
      </c>
      <c r="D116" s="4">
        <v>12.916682</v>
      </c>
      <c r="E116" s="4">
        <v>80.106364</v>
      </c>
      <c r="F116" s="4">
        <v>805.0</v>
      </c>
      <c r="G116" s="4">
        <v>20.0</v>
      </c>
    </row>
    <row r="117">
      <c r="A117" s="4" t="s">
        <v>8</v>
      </c>
      <c r="B117" s="5">
        <v>44727.0</v>
      </c>
      <c r="C117" s="6">
        <v>0.6974074074059899</v>
      </c>
      <c r="D117" s="4">
        <v>12.916682</v>
      </c>
      <c r="E117" s="4">
        <v>80.106364</v>
      </c>
      <c r="F117" s="4">
        <v>805.0</v>
      </c>
      <c r="G117" s="4">
        <v>20.0</v>
      </c>
    </row>
    <row r="118">
      <c r="A118" s="4" t="s">
        <v>8</v>
      </c>
      <c r="B118" s="5">
        <v>44727.0</v>
      </c>
      <c r="C118" s="6">
        <v>0.6974305555559113</v>
      </c>
      <c r="D118" s="4">
        <v>12.916682</v>
      </c>
      <c r="E118" s="4">
        <v>80.106364</v>
      </c>
      <c r="F118" s="4">
        <v>805.0</v>
      </c>
      <c r="G118" s="4">
        <v>20.0</v>
      </c>
    </row>
    <row r="119">
      <c r="A119" s="4" t="s">
        <v>8</v>
      </c>
      <c r="B119" s="5">
        <v>44727.0</v>
      </c>
      <c r="C119" s="6">
        <v>0.7127083333325572</v>
      </c>
      <c r="D119" s="4">
        <v>12.99594</v>
      </c>
      <c r="E119" s="4">
        <v>80.188996</v>
      </c>
      <c r="F119" s="4">
        <v>805.0</v>
      </c>
      <c r="G119" s="4">
        <v>0.0</v>
      </c>
    </row>
    <row r="120">
      <c r="A120" s="4" t="s">
        <v>8</v>
      </c>
      <c r="B120" s="5">
        <v>44727.0</v>
      </c>
      <c r="C120" s="6">
        <v>0.7127083333325572</v>
      </c>
      <c r="D120" s="4">
        <v>12.99594</v>
      </c>
      <c r="E120" s="4">
        <v>80.188996</v>
      </c>
      <c r="F120" s="4">
        <v>805.0</v>
      </c>
      <c r="G120" s="4">
        <v>0.0</v>
      </c>
    </row>
    <row r="121">
      <c r="A121" s="4" t="s">
        <v>8</v>
      </c>
      <c r="B121" s="5">
        <v>44727.0</v>
      </c>
      <c r="C121" s="6">
        <v>0.7127893518518249</v>
      </c>
      <c r="D121" s="4">
        <v>12.99594</v>
      </c>
      <c r="E121" s="4">
        <v>80.188996</v>
      </c>
      <c r="F121" s="4">
        <v>805.0</v>
      </c>
      <c r="G121" s="4">
        <v>0.0</v>
      </c>
    </row>
    <row r="122">
      <c r="A122" s="4" t="s">
        <v>8</v>
      </c>
      <c r="B122" s="5">
        <v>44727.0</v>
      </c>
      <c r="C122" s="6">
        <v>0.7201851851859828</v>
      </c>
      <c r="D122" s="4">
        <v>13.019862</v>
      </c>
      <c r="E122" s="4">
        <v>80.224556</v>
      </c>
      <c r="F122" s="4">
        <v>5339.0</v>
      </c>
      <c r="G122" s="4">
        <v>20.0</v>
      </c>
    </row>
    <row r="123">
      <c r="A123" s="4" t="s">
        <v>8</v>
      </c>
      <c r="B123" s="5">
        <v>44727.0</v>
      </c>
      <c r="C123" s="6">
        <v>0.7201851851859828</v>
      </c>
      <c r="D123" s="4">
        <v>13.019862</v>
      </c>
      <c r="E123" s="4">
        <v>80.224556</v>
      </c>
      <c r="F123" s="4">
        <v>5339.0</v>
      </c>
      <c r="G123" s="4">
        <v>20.0</v>
      </c>
    </row>
    <row r="124">
      <c r="A124" s="4" t="s">
        <v>8</v>
      </c>
      <c r="B124" s="5">
        <v>44727.0</v>
      </c>
      <c r="C124" s="6">
        <v>0.7264467592576693</v>
      </c>
      <c r="D124" s="4">
        <v>13.016094</v>
      </c>
      <c r="E124" s="4">
        <v>80.259456</v>
      </c>
      <c r="F124" s="4">
        <v>805.0</v>
      </c>
      <c r="G124" s="4">
        <v>20.0</v>
      </c>
    </row>
    <row r="125">
      <c r="A125" s="4" t="s">
        <v>8</v>
      </c>
      <c r="B125" s="5">
        <v>44727.0</v>
      </c>
      <c r="C125" s="6">
        <v>0.7264467592576693</v>
      </c>
      <c r="D125" s="4">
        <v>13.016094</v>
      </c>
      <c r="E125" s="4">
        <v>80.259456</v>
      </c>
      <c r="F125" s="4">
        <v>805.0</v>
      </c>
      <c r="G125" s="4">
        <v>20.0</v>
      </c>
    </row>
    <row r="126">
      <c r="A126" s="4" t="s">
        <v>8</v>
      </c>
      <c r="B126" s="5">
        <v>44727.0</v>
      </c>
      <c r="C126" s="6">
        <v>0.7265393518500787</v>
      </c>
      <c r="D126" s="4">
        <v>13.016094</v>
      </c>
      <c r="E126" s="4">
        <v>80.259456</v>
      </c>
      <c r="F126" s="4">
        <v>805.0</v>
      </c>
      <c r="G126" s="4">
        <v>20.0</v>
      </c>
    </row>
    <row r="127">
      <c r="A127" s="4" t="s">
        <v>8</v>
      </c>
      <c r="B127" s="5">
        <v>44727.0</v>
      </c>
      <c r="C127" s="6">
        <v>0.726597222223063</v>
      </c>
      <c r="D127" s="4">
        <v>13.016094</v>
      </c>
      <c r="E127" s="4">
        <v>80.259456</v>
      </c>
      <c r="F127" s="4">
        <v>805.0</v>
      </c>
      <c r="G127" s="4">
        <v>20.0</v>
      </c>
    </row>
    <row r="128">
      <c r="A128" s="4" t="s">
        <v>8</v>
      </c>
      <c r="B128" s="5">
        <v>44727.0</v>
      </c>
      <c r="C128" s="6">
        <v>0.726597222223063</v>
      </c>
      <c r="D128" s="4">
        <v>13.016094</v>
      </c>
      <c r="E128" s="4">
        <v>80.259456</v>
      </c>
      <c r="F128" s="4">
        <v>805.0</v>
      </c>
      <c r="G128" s="4">
        <v>20.0</v>
      </c>
    </row>
    <row r="129">
      <c r="A129" s="4" t="s">
        <v>8</v>
      </c>
      <c r="B129" s="5">
        <v>44727.0</v>
      </c>
      <c r="C129" s="6">
        <v>0.731516203704814</v>
      </c>
      <c r="D129" s="4">
        <v>13.054968</v>
      </c>
      <c r="E129" s="4">
        <v>80.25442</v>
      </c>
      <c r="F129" s="4">
        <v>5339.0</v>
      </c>
      <c r="G129" s="4">
        <v>14.0</v>
      </c>
    </row>
    <row r="130">
      <c r="A130" s="4" t="s">
        <v>8</v>
      </c>
      <c r="B130" s="5">
        <v>44727.0</v>
      </c>
      <c r="C130" s="6">
        <v>0.731516203704814</v>
      </c>
      <c r="D130" s="4">
        <v>13.054968</v>
      </c>
      <c r="E130" s="4">
        <v>80.25442</v>
      </c>
      <c r="F130" s="4">
        <v>5339.0</v>
      </c>
      <c r="G130" s="4">
        <v>14.0</v>
      </c>
    </row>
    <row r="131">
      <c r="A131" s="4" t="s">
        <v>8</v>
      </c>
      <c r="B131" s="5">
        <v>44727.0</v>
      </c>
      <c r="C131" s="6">
        <v>0.7493518518531346</v>
      </c>
      <c r="D131" s="4">
        <v>13.071156</v>
      </c>
      <c r="E131" s="4">
        <v>80.265045</v>
      </c>
      <c r="F131" s="4">
        <v>5339.0</v>
      </c>
      <c r="G131" s="4">
        <v>18.0</v>
      </c>
    </row>
    <row r="132">
      <c r="A132" s="4" t="s">
        <v>8</v>
      </c>
      <c r="B132" s="5">
        <v>44727.0</v>
      </c>
      <c r="C132" s="6">
        <v>0.7493981481493392</v>
      </c>
      <c r="D132" s="4">
        <v>13.071156</v>
      </c>
      <c r="E132" s="4">
        <v>80.265045</v>
      </c>
      <c r="F132" s="4">
        <v>5339.0</v>
      </c>
      <c r="G132" s="4">
        <v>18.0</v>
      </c>
    </row>
    <row r="133">
      <c r="A133" s="4" t="s">
        <v>8</v>
      </c>
      <c r="B133" s="5">
        <v>44727.0</v>
      </c>
      <c r="C133" s="6">
        <v>0.7494097222224809</v>
      </c>
      <c r="D133" s="4">
        <v>13.071156</v>
      </c>
      <c r="E133" s="4">
        <v>80.265045</v>
      </c>
      <c r="F133" s="4">
        <v>5339.0</v>
      </c>
      <c r="G133" s="4">
        <v>18.0</v>
      </c>
    </row>
    <row r="134">
      <c r="A134" s="4" t="s">
        <v>8</v>
      </c>
      <c r="B134" s="5">
        <v>44728.0</v>
      </c>
      <c r="C134" s="6">
        <v>0.3365277777775191</v>
      </c>
      <c r="D134" s="4">
        <v>12.951175</v>
      </c>
      <c r="E134" s="4">
        <v>80.140103</v>
      </c>
      <c r="F134" s="4">
        <v>5339.0</v>
      </c>
      <c r="G134" s="4">
        <v>20.0</v>
      </c>
    </row>
    <row r="135">
      <c r="A135" s="4" t="s">
        <v>8</v>
      </c>
      <c r="B135" s="5">
        <v>44728.0</v>
      </c>
      <c r="C135" s="6">
        <v>0.33653935185066075</v>
      </c>
      <c r="D135" s="4">
        <v>12.951175</v>
      </c>
      <c r="E135" s="4">
        <v>80.140103</v>
      </c>
      <c r="F135" s="4">
        <v>5339.0</v>
      </c>
      <c r="G135" s="4">
        <v>20.0</v>
      </c>
    </row>
    <row r="136">
      <c r="A136" s="4" t="s">
        <v>8</v>
      </c>
      <c r="B136" s="5">
        <v>44728.0</v>
      </c>
      <c r="C136" s="6">
        <v>0.3480092592581059</v>
      </c>
      <c r="D136" s="4">
        <v>12.917117</v>
      </c>
      <c r="E136" s="4">
        <v>80.107387</v>
      </c>
      <c r="F136" s="4">
        <v>805.0</v>
      </c>
      <c r="G136" s="4">
        <v>0.0</v>
      </c>
    </row>
    <row r="137">
      <c r="A137" s="4" t="s">
        <v>8</v>
      </c>
      <c r="B137" s="5">
        <v>44728.0</v>
      </c>
      <c r="C137" s="6">
        <v>0.34802083333488554</v>
      </c>
      <c r="D137" s="4">
        <v>12.917117</v>
      </c>
      <c r="E137" s="4">
        <v>80.107387</v>
      </c>
      <c r="F137" s="4">
        <v>805.0</v>
      </c>
      <c r="G137" s="4">
        <v>0.0</v>
      </c>
    </row>
    <row r="138">
      <c r="A138" s="4" t="s">
        <v>8</v>
      </c>
      <c r="B138" s="5">
        <v>44728.0</v>
      </c>
      <c r="C138" s="6">
        <v>0.6420717592591245</v>
      </c>
      <c r="D138" s="4">
        <v>12.869901</v>
      </c>
      <c r="E138" s="4">
        <v>80.108554</v>
      </c>
      <c r="F138" s="4">
        <v>805.0</v>
      </c>
      <c r="G138" s="4">
        <v>6.0</v>
      </c>
    </row>
    <row r="139">
      <c r="A139" s="4" t="s">
        <v>8</v>
      </c>
      <c r="B139" s="5">
        <v>44728.0</v>
      </c>
      <c r="C139" s="6">
        <v>0.6420717592591245</v>
      </c>
      <c r="D139" s="4">
        <v>12.869901</v>
      </c>
      <c r="E139" s="4">
        <v>80.108554</v>
      </c>
      <c r="F139" s="4">
        <v>805.0</v>
      </c>
      <c r="G139" s="4">
        <v>6.0</v>
      </c>
    </row>
    <row r="140">
      <c r="A140" s="4" t="s">
        <v>8</v>
      </c>
      <c r="B140" s="5">
        <v>44728.0</v>
      </c>
      <c r="C140" s="6">
        <v>0.6999305555546016</v>
      </c>
      <c r="D140" s="4">
        <v>12.93572</v>
      </c>
      <c r="E140" s="4">
        <v>80.126531</v>
      </c>
      <c r="F140" s="4">
        <v>805.0</v>
      </c>
      <c r="G140" s="4">
        <v>14.0</v>
      </c>
    </row>
    <row r="141">
      <c r="A141" s="4" t="s">
        <v>8</v>
      </c>
      <c r="B141" s="5">
        <v>44728.0</v>
      </c>
      <c r="C141" s="6">
        <v>0.6999768518508063</v>
      </c>
      <c r="D141" s="4">
        <v>12.93572</v>
      </c>
      <c r="E141" s="4">
        <v>80.126531</v>
      </c>
      <c r="F141" s="4">
        <v>805.0</v>
      </c>
      <c r="G141" s="4">
        <v>14.0</v>
      </c>
    </row>
    <row r="142">
      <c r="A142" s="4" t="s">
        <v>8</v>
      </c>
      <c r="B142" s="5">
        <v>44728.0</v>
      </c>
      <c r="C142" s="6">
        <v>0.6999768518508063</v>
      </c>
      <c r="D142" s="4">
        <v>12.93572</v>
      </c>
      <c r="E142" s="4">
        <v>80.126531</v>
      </c>
      <c r="F142" s="4">
        <v>805.0</v>
      </c>
      <c r="G142" s="4">
        <v>14.0</v>
      </c>
    </row>
    <row r="143">
      <c r="A143" s="4" t="s">
        <v>8</v>
      </c>
      <c r="B143" s="5">
        <v>44728.0</v>
      </c>
      <c r="C143" s="6">
        <v>0.7033217592579604</v>
      </c>
      <c r="D143" s="4">
        <v>12.955946</v>
      </c>
      <c r="E143" s="4">
        <v>80.142952</v>
      </c>
      <c r="F143" s="4">
        <v>805.0</v>
      </c>
      <c r="G143" s="4">
        <v>0.0</v>
      </c>
    </row>
    <row r="144">
      <c r="A144" s="4" t="s">
        <v>8</v>
      </c>
      <c r="B144" s="5">
        <v>44728.0</v>
      </c>
      <c r="C144" s="6">
        <v>0.7033449074078817</v>
      </c>
      <c r="D144" s="4">
        <v>12.955946</v>
      </c>
      <c r="E144" s="4">
        <v>80.142952</v>
      </c>
      <c r="F144" s="4">
        <v>805.0</v>
      </c>
      <c r="G144" s="4">
        <v>0.0</v>
      </c>
    </row>
    <row r="145">
      <c r="A145" s="4" t="s">
        <v>8</v>
      </c>
      <c r="B145" s="5">
        <v>44728.0</v>
      </c>
      <c r="C145" s="6">
        <v>0.7033449074078817</v>
      </c>
      <c r="D145" s="4">
        <v>12.955946</v>
      </c>
      <c r="E145" s="4">
        <v>80.142952</v>
      </c>
      <c r="F145" s="4">
        <v>805.0</v>
      </c>
      <c r="G145" s="4">
        <v>0.0</v>
      </c>
    </row>
    <row r="146">
      <c r="A146" s="4" t="s">
        <v>8</v>
      </c>
      <c r="B146" s="5">
        <v>44728.0</v>
      </c>
      <c r="C146" s="6">
        <v>0.7178009259259852</v>
      </c>
      <c r="D146" s="4">
        <v>13.015462</v>
      </c>
      <c r="E146" s="4">
        <v>80.225258</v>
      </c>
      <c r="F146" s="4">
        <v>805.0</v>
      </c>
      <c r="G146" s="4">
        <v>14.0</v>
      </c>
    </row>
    <row r="147">
      <c r="A147" s="4" t="s">
        <v>8</v>
      </c>
      <c r="B147" s="5">
        <v>44728.0</v>
      </c>
      <c r="C147" s="6">
        <v>0.7178124999991269</v>
      </c>
      <c r="D147" s="4">
        <v>13.015462</v>
      </c>
      <c r="E147" s="4">
        <v>80.225258</v>
      </c>
      <c r="F147" s="4">
        <v>805.0</v>
      </c>
      <c r="G147" s="4">
        <v>14.0</v>
      </c>
    </row>
    <row r="148">
      <c r="A148" s="4" t="s">
        <v>8</v>
      </c>
      <c r="B148" s="5">
        <v>44728.0</v>
      </c>
      <c r="C148" s="6">
        <v>0.7179050925915362</v>
      </c>
      <c r="D148" s="4">
        <v>13.01544</v>
      </c>
      <c r="E148" s="4">
        <v>80.22559</v>
      </c>
      <c r="F148" s="4">
        <v>805.0</v>
      </c>
      <c r="G148" s="4">
        <v>8.0</v>
      </c>
    </row>
    <row r="149">
      <c r="A149" s="4" t="s">
        <v>8</v>
      </c>
      <c r="B149" s="5">
        <v>44728.0</v>
      </c>
      <c r="C149" s="6">
        <v>0.7180208333338669</v>
      </c>
      <c r="D149" s="4">
        <v>13.01544</v>
      </c>
      <c r="E149" s="4">
        <v>80.22559</v>
      </c>
      <c r="F149" s="4">
        <v>805.0</v>
      </c>
      <c r="G149" s="4">
        <v>8.0</v>
      </c>
    </row>
    <row r="150">
      <c r="A150" s="4" t="s">
        <v>8</v>
      </c>
      <c r="B150" s="5">
        <v>44728.0</v>
      </c>
      <c r="C150" s="6">
        <v>0.7253009259256942</v>
      </c>
      <c r="D150" s="4">
        <v>13.00756</v>
      </c>
      <c r="E150" s="4">
        <v>80.258626</v>
      </c>
      <c r="F150" s="4">
        <v>805.0</v>
      </c>
      <c r="G150" s="4">
        <v>10.0</v>
      </c>
    </row>
    <row r="151">
      <c r="A151" s="4" t="s">
        <v>8</v>
      </c>
      <c r="B151" s="5">
        <v>44728.0</v>
      </c>
      <c r="C151" s="6">
        <v>0.7253009259256942</v>
      </c>
      <c r="D151" s="4">
        <v>13.00756</v>
      </c>
      <c r="E151" s="4">
        <v>80.258626</v>
      </c>
      <c r="F151" s="4">
        <v>805.0</v>
      </c>
      <c r="G151" s="4">
        <v>10.0</v>
      </c>
    </row>
    <row r="152">
      <c r="A152" s="4" t="s">
        <v>8</v>
      </c>
      <c r="B152" s="5">
        <v>44729.0</v>
      </c>
      <c r="C152" s="6">
        <v>0.31865740740613546</v>
      </c>
      <c r="D152" s="4">
        <v>13.020252</v>
      </c>
      <c r="E152" s="4">
        <v>80.262991</v>
      </c>
      <c r="F152" s="4">
        <v>805.0</v>
      </c>
      <c r="G152" s="4">
        <v>8.0</v>
      </c>
    </row>
    <row r="153">
      <c r="A153" s="4" t="s">
        <v>8</v>
      </c>
      <c r="B153" s="5">
        <v>44729.0</v>
      </c>
      <c r="C153" s="6">
        <v>0.3186689814829151</v>
      </c>
      <c r="D153" s="4">
        <v>13.020252</v>
      </c>
      <c r="E153" s="4">
        <v>80.262991</v>
      </c>
      <c r="F153" s="4">
        <v>805.0</v>
      </c>
      <c r="G153" s="4">
        <v>8.0</v>
      </c>
    </row>
    <row r="154">
      <c r="A154" s="4" t="s">
        <v>8</v>
      </c>
      <c r="B154" s="5">
        <v>44729.0</v>
      </c>
      <c r="C154" s="6">
        <v>0.3445833333316841</v>
      </c>
      <c r="D154" s="4">
        <v>12.909041</v>
      </c>
      <c r="E154" s="4">
        <v>80.098866</v>
      </c>
      <c r="F154" s="4">
        <v>5339.0</v>
      </c>
      <c r="G154" s="4">
        <v>19.0</v>
      </c>
    </row>
    <row r="155">
      <c r="A155" s="4" t="s">
        <v>8</v>
      </c>
      <c r="B155" s="5">
        <v>44729.0</v>
      </c>
      <c r="C155" s="6">
        <v>0.34459490740846377</v>
      </c>
      <c r="D155" s="4">
        <v>12.909041</v>
      </c>
      <c r="E155" s="4">
        <v>80.098866</v>
      </c>
      <c r="F155" s="4">
        <v>5339.0</v>
      </c>
      <c r="G155" s="4">
        <v>19.0</v>
      </c>
    </row>
    <row r="156">
      <c r="A156" s="4" t="s">
        <v>8</v>
      </c>
      <c r="B156" s="5">
        <v>44729.0</v>
      </c>
      <c r="C156" s="6">
        <v>0.3456828703710926</v>
      </c>
      <c r="D156" s="4">
        <v>12.9052</v>
      </c>
      <c r="E156" s="4">
        <v>80.095582</v>
      </c>
      <c r="F156" s="4">
        <v>5339.0</v>
      </c>
      <c r="G156" s="4">
        <v>18.0</v>
      </c>
    </row>
    <row r="157">
      <c r="A157" s="4" t="s">
        <v>8</v>
      </c>
      <c r="B157" s="5">
        <v>44729.0</v>
      </c>
      <c r="C157" s="6">
        <v>0.34569444444423425</v>
      </c>
      <c r="D157" s="4">
        <v>12.9052</v>
      </c>
      <c r="E157" s="4">
        <v>80.095582</v>
      </c>
      <c r="F157" s="4">
        <v>5339.0</v>
      </c>
      <c r="G157" s="4">
        <v>18.0</v>
      </c>
    </row>
    <row r="158">
      <c r="A158" s="4" t="s">
        <v>8</v>
      </c>
      <c r="B158" s="5">
        <v>44729.0</v>
      </c>
      <c r="C158" s="6">
        <v>0.7200694444436522</v>
      </c>
      <c r="D158" s="4">
        <v>12.929319</v>
      </c>
      <c r="E158" s="4">
        <v>80.120411</v>
      </c>
      <c r="F158" s="4">
        <v>805.0</v>
      </c>
      <c r="G158" s="4">
        <v>0.0</v>
      </c>
    </row>
    <row r="159">
      <c r="A159" s="4" t="s">
        <v>8</v>
      </c>
      <c r="B159" s="5">
        <v>44729.0</v>
      </c>
      <c r="C159" s="6">
        <v>0.7200694444436522</v>
      </c>
      <c r="D159" s="4">
        <v>12.929319</v>
      </c>
      <c r="E159" s="4">
        <v>80.120411</v>
      </c>
      <c r="F159" s="4">
        <v>805.0</v>
      </c>
      <c r="G159" s="4">
        <v>0.0</v>
      </c>
    </row>
    <row r="160">
      <c r="A160" s="4" t="s">
        <v>8</v>
      </c>
      <c r="B160" s="5">
        <v>44729.0</v>
      </c>
      <c r="C160" s="6">
        <v>0.7201041666667152</v>
      </c>
      <c r="D160" s="4">
        <v>12.929319</v>
      </c>
      <c r="E160" s="4">
        <v>80.120411</v>
      </c>
      <c r="F160" s="4">
        <v>805.0</v>
      </c>
      <c r="G160" s="4">
        <v>0.0</v>
      </c>
    </row>
    <row r="161">
      <c r="A161" s="4" t="s">
        <v>8</v>
      </c>
      <c r="B161" s="5">
        <v>44729.0</v>
      </c>
      <c r="C161" s="6">
        <v>0.734618055554165</v>
      </c>
      <c r="D161" s="4">
        <v>12.995673</v>
      </c>
      <c r="E161" s="4">
        <v>80.188704</v>
      </c>
      <c r="F161" s="4">
        <v>5339.0</v>
      </c>
      <c r="G161" s="4">
        <v>12.0</v>
      </c>
    </row>
    <row r="162">
      <c r="A162" s="4" t="s">
        <v>8</v>
      </c>
      <c r="B162" s="5">
        <v>44729.0</v>
      </c>
      <c r="C162" s="6">
        <v>0.734618055554165</v>
      </c>
      <c r="D162" s="4">
        <v>12.995673</v>
      </c>
      <c r="E162" s="4">
        <v>80.188704</v>
      </c>
      <c r="F162" s="4">
        <v>5339.0</v>
      </c>
      <c r="G162" s="4">
        <v>12.0</v>
      </c>
    </row>
    <row r="163">
      <c r="A163" s="4" t="s">
        <v>8</v>
      </c>
      <c r="B163" s="5">
        <v>44729.0</v>
      </c>
      <c r="C163" s="6">
        <v>0.7346412037040864</v>
      </c>
      <c r="D163" s="4">
        <v>12.995673</v>
      </c>
      <c r="E163" s="4">
        <v>80.188704</v>
      </c>
      <c r="F163" s="4">
        <v>5339.0</v>
      </c>
      <c r="G163" s="4">
        <v>12.0</v>
      </c>
    </row>
    <row r="164">
      <c r="A164" s="4" t="s">
        <v>8</v>
      </c>
      <c r="B164" s="5">
        <v>44729.0</v>
      </c>
      <c r="C164" s="6">
        <v>0.734652777777228</v>
      </c>
      <c r="D164" s="4">
        <v>12.995673</v>
      </c>
      <c r="E164" s="4">
        <v>80.188704</v>
      </c>
      <c r="F164" s="4">
        <v>5339.0</v>
      </c>
      <c r="G164" s="4">
        <v>12.0</v>
      </c>
    </row>
    <row r="165">
      <c r="A165" s="4" t="s">
        <v>8</v>
      </c>
      <c r="B165" s="5">
        <v>44729.0</v>
      </c>
      <c r="C165" s="6">
        <v>0.7451620370375167</v>
      </c>
      <c r="D165" s="4">
        <v>13.024167</v>
      </c>
      <c r="E165" s="4">
        <v>80.228306</v>
      </c>
      <c r="F165" s="4">
        <v>5339.0</v>
      </c>
      <c r="G165" s="4">
        <v>0.0</v>
      </c>
    </row>
    <row r="166">
      <c r="A166" s="4" t="s">
        <v>8</v>
      </c>
      <c r="B166" s="5">
        <v>44729.0</v>
      </c>
      <c r="C166" s="6">
        <v>0.7451736111106584</v>
      </c>
      <c r="D166" s="4">
        <v>13.024167</v>
      </c>
      <c r="E166" s="4">
        <v>80.228306</v>
      </c>
      <c r="F166" s="4">
        <v>5339.0</v>
      </c>
      <c r="G166" s="4">
        <v>0.0</v>
      </c>
    </row>
    <row r="167">
      <c r="A167" s="4" t="s">
        <v>8</v>
      </c>
      <c r="B167" s="5">
        <v>44729.0</v>
      </c>
      <c r="C167" s="6">
        <v>0.7462962962963502</v>
      </c>
      <c r="D167" s="4">
        <v>13.025887</v>
      </c>
      <c r="E167" s="4">
        <v>80.23084</v>
      </c>
      <c r="F167" s="4">
        <v>5339.0</v>
      </c>
      <c r="G167" s="4">
        <v>0.0</v>
      </c>
    </row>
    <row r="168">
      <c r="A168" s="4" t="s">
        <v>8</v>
      </c>
      <c r="B168" s="5">
        <v>44729.0</v>
      </c>
      <c r="C168" s="6">
        <v>0.7463194444426335</v>
      </c>
      <c r="D168" s="4">
        <v>13.025887</v>
      </c>
      <c r="E168" s="4">
        <v>80.23084</v>
      </c>
      <c r="F168" s="4">
        <v>5339.0</v>
      </c>
      <c r="G168" s="4">
        <v>0.0</v>
      </c>
    </row>
    <row r="169">
      <c r="A169" s="4" t="s">
        <v>8</v>
      </c>
      <c r="B169" s="5">
        <v>44729.0</v>
      </c>
      <c r="C169" s="6">
        <v>0.7464930555543106</v>
      </c>
      <c r="D169" s="4">
        <v>13.025887</v>
      </c>
      <c r="E169" s="4">
        <v>80.23084</v>
      </c>
      <c r="F169" s="4">
        <v>5339.0</v>
      </c>
      <c r="G169" s="4">
        <v>0.0</v>
      </c>
    </row>
    <row r="170">
      <c r="A170" s="4" t="s">
        <v>8</v>
      </c>
      <c r="B170" s="5">
        <v>44729.0</v>
      </c>
      <c r="C170" s="6">
        <v>0.7465393518505152</v>
      </c>
      <c r="D170" s="4">
        <v>13.025887</v>
      </c>
      <c r="E170" s="4">
        <v>80.23084</v>
      </c>
      <c r="F170" s="4">
        <v>5339.0</v>
      </c>
      <c r="G170" s="4">
        <v>0.0</v>
      </c>
    </row>
    <row r="171">
      <c r="A171" s="4" t="s">
        <v>8</v>
      </c>
      <c r="B171" s="5">
        <v>44729.0</v>
      </c>
      <c r="C171" s="6">
        <v>0.828125</v>
      </c>
      <c r="D171" s="4">
        <v>13.067021</v>
      </c>
      <c r="E171" s="4">
        <v>80.175539</v>
      </c>
      <c r="F171" s="4">
        <v>805.0</v>
      </c>
      <c r="G171" s="4">
        <v>0.0</v>
      </c>
    </row>
    <row r="172">
      <c r="A172" s="4" t="s">
        <v>8</v>
      </c>
      <c r="B172" s="5">
        <v>44729.0</v>
      </c>
      <c r="C172" s="6">
        <v>0.828125</v>
      </c>
      <c r="D172" s="4">
        <v>13.067021</v>
      </c>
      <c r="E172" s="4">
        <v>80.175539</v>
      </c>
      <c r="F172" s="4">
        <v>805.0</v>
      </c>
      <c r="G172" s="4">
        <v>0.0</v>
      </c>
    </row>
    <row r="173">
      <c r="A173" s="4" t="s">
        <v>8</v>
      </c>
      <c r="B173" s="5">
        <v>44729.0</v>
      </c>
      <c r="C173" s="6">
        <v>0.8281481481499213</v>
      </c>
      <c r="D173" s="4">
        <v>13.067021</v>
      </c>
      <c r="E173" s="4">
        <v>80.175539</v>
      </c>
      <c r="F173" s="4">
        <v>805.0</v>
      </c>
      <c r="G173" s="4">
        <v>0.0</v>
      </c>
    </row>
    <row r="174">
      <c r="A174" s="4" t="s">
        <v>8</v>
      </c>
      <c r="B174" s="5">
        <v>44729.0</v>
      </c>
      <c r="C174" s="6">
        <v>0.8282870370385353</v>
      </c>
      <c r="D174" s="4">
        <v>13.067021</v>
      </c>
      <c r="E174" s="4">
        <v>80.175539</v>
      </c>
      <c r="F174" s="4">
        <v>805.0</v>
      </c>
      <c r="G174" s="4">
        <v>0.0</v>
      </c>
    </row>
    <row r="175">
      <c r="A175" s="4" t="s">
        <v>8</v>
      </c>
      <c r="B175" s="5">
        <v>44729.0</v>
      </c>
      <c r="C175" s="6">
        <v>0.8203125</v>
      </c>
      <c r="D175" s="4">
        <v>13.077018</v>
      </c>
      <c r="E175" s="4">
        <v>80.208071</v>
      </c>
      <c r="F175" s="4">
        <v>805.0</v>
      </c>
      <c r="G175" s="4">
        <v>18.0</v>
      </c>
    </row>
    <row r="176">
      <c r="A176" s="4" t="s">
        <v>8</v>
      </c>
      <c r="B176" s="5">
        <v>44729.0</v>
      </c>
      <c r="C176" s="6">
        <v>0.8203125</v>
      </c>
      <c r="D176" s="4">
        <v>13.077018</v>
      </c>
      <c r="E176" s="4">
        <v>80.208071</v>
      </c>
      <c r="F176" s="4">
        <v>805.0</v>
      </c>
      <c r="G176" s="4">
        <v>18.0</v>
      </c>
    </row>
    <row r="177">
      <c r="A177" s="4" t="s">
        <v>8</v>
      </c>
      <c r="B177" s="5">
        <v>44729.0</v>
      </c>
      <c r="C177" s="6">
        <v>0.820347222223063</v>
      </c>
      <c r="D177" s="4">
        <v>13.077018</v>
      </c>
      <c r="E177" s="4">
        <v>80.208071</v>
      </c>
      <c r="F177" s="4">
        <v>805.0</v>
      </c>
      <c r="G177" s="4">
        <v>18.0</v>
      </c>
    </row>
    <row r="178">
      <c r="A178" s="4" t="s">
        <v>8</v>
      </c>
      <c r="B178" s="5">
        <v>44729.0</v>
      </c>
      <c r="C178" s="6">
        <v>0.8203703703693463</v>
      </c>
      <c r="D178" s="4">
        <v>13.077018</v>
      </c>
      <c r="E178" s="4">
        <v>80.208071</v>
      </c>
      <c r="F178" s="4">
        <v>805.0</v>
      </c>
      <c r="G178" s="4">
        <v>18.0</v>
      </c>
    </row>
    <row r="179">
      <c r="A179" s="4" t="s">
        <v>8</v>
      </c>
      <c r="B179" s="5">
        <v>44729.0</v>
      </c>
      <c r="C179" s="6">
        <v>0.8266782407408755</v>
      </c>
      <c r="D179" s="4">
        <v>13.070423</v>
      </c>
      <c r="E179" s="4">
        <v>80.182929</v>
      </c>
      <c r="F179" s="4">
        <v>805.0</v>
      </c>
      <c r="G179" s="4">
        <v>8.0</v>
      </c>
    </row>
    <row r="180">
      <c r="A180" s="4" t="s">
        <v>8</v>
      </c>
      <c r="B180" s="5">
        <v>44729.0</v>
      </c>
      <c r="C180" s="6">
        <v>0.8266898148140172</v>
      </c>
      <c r="D180" s="4">
        <v>13.070423</v>
      </c>
      <c r="E180" s="4">
        <v>80.182929</v>
      </c>
      <c r="F180" s="4">
        <v>805.0</v>
      </c>
      <c r="G180" s="4">
        <v>8.0</v>
      </c>
    </row>
    <row r="181">
      <c r="A181" s="4" t="s">
        <v>8</v>
      </c>
      <c r="B181" s="5">
        <v>44729.0</v>
      </c>
      <c r="C181" s="6">
        <v>0.8612731481480296</v>
      </c>
      <c r="D181" s="4">
        <v>12.903333</v>
      </c>
      <c r="E181" s="4">
        <v>80.09411</v>
      </c>
      <c r="F181" s="4">
        <v>805.0</v>
      </c>
      <c r="G181" s="4">
        <v>20.0</v>
      </c>
    </row>
    <row r="182">
      <c r="A182" s="4" t="s">
        <v>8</v>
      </c>
      <c r="B182" s="5">
        <v>44729.0</v>
      </c>
      <c r="C182" s="6">
        <v>0.8612847222211713</v>
      </c>
      <c r="D182" s="4">
        <v>12.903333</v>
      </c>
      <c r="E182" s="4">
        <v>80.09411</v>
      </c>
      <c r="F182" s="4">
        <v>805.0</v>
      </c>
      <c r="G182" s="4">
        <v>20.0</v>
      </c>
    </row>
    <row r="183">
      <c r="A183" s="4" t="s">
        <v>8</v>
      </c>
      <c r="B183" s="5">
        <v>44732.0</v>
      </c>
      <c r="C183" s="6">
        <v>0.27709490740744513</v>
      </c>
      <c r="D183" s="4">
        <v>13.002962</v>
      </c>
      <c r="E183" s="4">
        <v>80.200716</v>
      </c>
      <c r="F183" s="4">
        <v>805.0</v>
      </c>
      <c r="G183" s="4">
        <v>7.0</v>
      </c>
    </row>
    <row r="184">
      <c r="A184" s="4" t="s">
        <v>8</v>
      </c>
      <c r="B184" s="5">
        <v>44732.0</v>
      </c>
      <c r="C184" s="6">
        <v>0.27712962963050813</v>
      </c>
      <c r="D184" s="4">
        <v>13.002962</v>
      </c>
      <c r="E184" s="4">
        <v>80.200716</v>
      </c>
      <c r="F184" s="4">
        <v>805.0</v>
      </c>
      <c r="G184" s="4">
        <v>7.0</v>
      </c>
    </row>
    <row r="185">
      <c r="A185" s="4" t="s">
        <v>8</v>
      </c>
      <c r="B185" s="5">
        <v>44732.0</v>
      </c>
      <c r="C185" s="6">
        <v>0.27712962963050813</v>
      </c>
      <c r="D185" s="4">
        <v>13.002962</v>
      </c>
      <c r="E185" s="4">
        <v>80.200716</v>
      </c>
      <c r="F185" s="4">
        <v>805.0</v>
      </c>
      <c r="G185" s="4">
        <v>7.0</v>
      </c>
    </row>
    <row r="186">
      <c r="A186" s="4" t="s">
        <v>8</v>
      </c>
      <c r="B186" s="5">
        <v>44732.0</v>
      </c>
      <c r="C186" s="6">
        <v>0.3191550925912452</v>
      </c>
      <c r="D186" s="4">
        <v>13.022206</v>
      </c>
      <c r="E186" s="4">
        <v>80.263488</v>
      </c>
      <c r="F186" s="4">
        <v>805.0</v>
      </c>
      <c r="G186" s="4">
        <v>15.0</v>
      </c>
    </row>
    <row r="187">
      <c r="A187" s="4" t="s">
        <v>8</v>
      </c>
      <c r="B187" s="5">
        <v>44732.0</v>
      </c>
      <c r="C187" s="6">
        <v>0.3191550925912452</v>
      </c>
      <c r="D187" s="4">
        <v>13.022206</v>
      </c>
      <c r="E187" s="4">
        <v>80.263488</v>
      </c>
      <c r="F187" s="4">
        <v>805.0</v>
      </c>
      <c r="G187" s="4">
        <v>15.0</v>
      </c>
    </row>
    <row r="188">
      <c r="A188" s="4" t="s">
        <v>8</v>
      </c>
      <c r="B188" s="5">
        <v>44732.0</v>
      </c>
      <c r="C188" s="6">
        <v>0.31916666666802485</v>
      </c>
      <c r="D188" s="4">
        <v>13.022206</v>
      </c>
      <c r="E188" s="4">
        <v>80.263488</v>
      </c>
      <c r="F188" s="4">
        <v>805.0</v>
      </c>
      <c r="G188" s="4">
        <v>15.0</v>
      </c>
    </row>
    <row r="189">
      <c r="A189" s="4" t="s">
        <v>8</v>
      </c>
      <c r="B189" s="5">
        <v>44732.0</v>
      </c>
      <c r="C189" s="6">
        <v>0.3191782407411665</v>
      </c>
      <c r="D189" s="4">
        <v>13.022206</v>
      </c>
      <c r="E189" s="4">
        <v>80.263488</v>
      </c>
      <c r="F189" s="4">
        <v>805.0</v>
      </c>
      <c r="G189" s="4">
        <v>15.0</v>
      </c>
    </row>
    <row r="190">
      <c r="A190" s="4" t="s">
        <v>8</v>
      </c>
      <c r="B190" s="5">
        <v>44732.0</v>
      </c>
      <c r="C190" s="6">
        <v>0.32748842592627625</v>
      </c>
      <c r="D190" s="4">
        <v>13.006582</v>
      </c>
      <c r="E190" s="4">
        <v>80.242986</v>
      </c>
      <c r="F190" s="4">
        <v>805.0</v>
      </c>
      <c r="G190" s="4">
        <v>17.0</v>
      </c>
    </row>
    <row r="191">
      <c r="A191" s="4" t="s">
        <v>8</v>
      </c>
      <c r="B191" s="5">
        <v>44732.0</v>
      </c>
      <c r="C191" s="6">
        <v>0.3274999999994179</v>
      </c>
      <c r="D191" s="4">
        <v>13.006582</v>
      </c>
      <c r="E191" s="4">
        <v>80.242986</v>
      </c>
      <c r="F191" s="4">
        <v>805.0</v>
      </c>
      <c r="G191" s="4">
        <v>17.0</v>
      </c>
    </row>
    <row r="192">
      <c r="A192" s="4" t="s">
        <v>8</v>
      </c>
      <c r="B192" s="5">
        <v>44732.0</v>
      </c>
      <c r="C192" s="6">
        <v>0.3328819444432156</v>
      </c>
      <c r="D192" s="4">
        <v>12.962035</v>
      </c>
      <c r="E192" s="4">
        <v>80.146373</v>
      </c>
      <c r="F192" s="4">
        <v>5339.0</v>
      </c>
      <c r="G192" s="4">
        <v>16.0</v>
      </c>
    </row>
    <row r="193">
      <c r="A193" s="4" t="s">
        <v>8</v>
      </c>
      <c r="B193" s="5">
        <v>44732.0</v>
      </c>
      <c r="C193" s="6">
        <v>0.3328819444432156</v>
      </c>
      <c r="D193" s="4">
        <v>12.962035</v>
      </c>
      <c r="E193" s="4">
        <v>80.146373</v>
      </c>
      <c r="F193" s="4">
        <v>5339.0</v>
      </c>
      <c r="G193" s="4">
        <v>16.0</v>
      </c>
    </row>
    <row r="194">
      <c r="A194" s="4" t="s">
        <v>8</v>
      </c>
      <c r="B194" s="5">
        <v>44732.0</v>
      </c>
      <c r="C194" s="6">
        <v>0.33694444444336114</v>
      </c>
      <c r="D194" s="4">
        <v>13.001967</v>
      </c>
      <c r="E194" s="4">
        <v>80.197192</v>
      </c>
      <c r="F194" s="4">
        <v>805.0</v>
      </c>
      <c r="G194" s="4">
        <v>0.0</v>
      </c>
    </row>
    <row r="195">
      <c r="A195" s="4" t="s">
        <v>8</v>
      </c>
      <c r="B195" s="5">
        <v>44732.0</v>
      </c>
      <c r="C195" s="6">
        <v>0.33701388888948713</v>
      </c>
      <c r="D195" s="4">
        <v>13.001967</v>
      </c>
      <c r="E195" s="4">
        <v>80.197192</v>
      </c>
      <c r="F195" s="4">
        <v>805.0</v>
      </c>
      <c r="G195" s="4">
        <v>0.0</v>
      </c>
    </row>
    <row r="196">
      <c r="A196" s="4" t="s">
        <v>8</v>
      </c>
      <c r="B196" s="5">
        <v>44733.0</v>
      </c>
      <c r="C196" s="6">
        <v>0.2999652777762094</v>
      </c>
      <c r="D196" s="4">
        <v>13.072528</v>
      </c>
      <c r="E196" s="4">
        <v>80.263296</v>
      </c>
      <c r="F196" s="4">
        <v>5339.0</v>
      </c>
      <c r="G196" s="4">
        <v>16.0</v>
      </c>
    </row>
    <row r="197">
      <c r="A197" s="4" t="s">
        <v>8</v>
      </c>
      <c r="B197" s="5">
        <v>44733.0</v>
      </c>
      <c r="C197" s="6">
        <v>0.2999652777762094</v>
      </c>
      <c r="D197" s="4">
        <v>13.072528</v>
      </c>
      <c r="E197" s="4">
        <v>80.263296</v>
      </c>
      <c r="F197" s="4">
        <v>5339.0</v>
      </c>
      <c r="G197" s="4">
        <v>16.0</v>
      </c>
    </row>
    <row r="198">
      <c r="A198" s="4" t="s">
        <v>8</v>
      </c>
      <c r="B198" s="5">
        <v>44733.0</v>
      </c>
      <c r="C198" s="6">
        <v>0.29997685185298906</v>
      </c>
      <c r="D198" s="4">
        <v>13.072528</v>
      </c>
      <c r="E198" s="4">
        <v>80.263296</v>
      </c>
      <c r="F198" s="4">
        <v>5339.0</v>
      </c>
      <c r="G198" s="4">
        <v>16.0</v>
      </c>
    </row>
    <row r="199">
      <c r="A199" s="4" t="s">
        <v>8</v>
      </c>
      <c r="B199" s="5">
        <v>44733.0</v>
      </c>
      <c r="C199" s="6">
        <v>0.3131828703699284</v>
      </c>
      <c r="D199" s="4">
        <v>13.039154</v>
      </c>
      <c r="E199" s="4">
        <v>80.246972</v>
      </c>
      <c r="F199" s="4">
        <v>5339.0</v>
      </c>
      <c r="G199" s="4">
        <v>18.0</v>
      </c>
    </row>
    <row r="200">
      <c r="A200" s="4" t="s">
        <v>8</v>
      </c>
      <c r="B200" s="5">
        <v>44733.0</v>
      </c>
      <c r="C200" s="6">
        <v>0.3131944444430701</v>
      </c>
      <c r="D200" s="4">
        <v>13.039154</v>
      </c>
      <c r="E200" s="4">
        <v>80.246972</v>
      </c>
      <c r="F200" s="4">
        <v>5339.0</v>
      </c>
      <c r="G200" s="4">
        <v>18.0</v>
      </c>
    </row>
    <row r="201">
      <c r="A201" s="4" t="s">
        <v>8</v>
      </c>
      <c r="B201" s="5">
        <v>44733.0</v>
      </c>
      <c r="C201" s="6">
        <v>0.3341898148137261</v>
      </c>
      <c r="D201" s="4">
        <v>12.951209</v>
      </c>
      <c r="E201" s="4">
        <v>80.140152</v>
      </c>
      <c r="F201" s="4">
        <v>5339.0</v>
      </c>
      <c r="G201" s="4">
        <v>0.0</v>
      </c>
    </row>
    <row r="202">
      <c r="A202" s="4" t="s">
        <v>8</v>
      </c>
      <c r="B202" s="5">
        <v>44733.0</v>
      </c>
      <c r="C202" s="6">
        <v>0.33421296296364744</v>
      </c>
      <c r="D202" s="4">
        <v>12.951209</v>
      </c>
      <c r="E202" s="4">
        <v>80.140152</v>
      </c>
      <c r="F202" s="4">
        <v>5339.0</v>
      </c>
      <c r="G202" s="4">
        <v>0.0</v>
      </c>
    </row>
    <row r="203">
      <c r="A203" s="4" t="s">
        <v>8</v>
      </c>
      <c r="B203" s="5">
        <v>44733.0</v>
      </c>
      <c r="C203" s="6">
        <v>0.35129629629591363</v>
      </c>
      <c r="D203" s="4">
        <v>12.909049</v>
      </c>
      <c r="E203" s="4">
        <v>80.098858</v>
      </c>
      <c r="F203" s="4">
        <v>805.0</v>
      </c>
      <c r="G203" s="4">
        <v>4.0</v>
      </c>
    </row>
    <row r="204">
      <c r="A204" s="4" t="s">
        <v>8</v>
      </c>
      <c r="B204" s="5">
        <v>44733.0</v>
      </c>
      <c r="C204" s="6">
        <v>0.3513078703690553</v>
      </c>
      <c r="D204" s="4">
        <v>12.909049</v>
      </c>
      <c r="E204" s="4">
        <v>80.098858</v>
      </c>
      <c r="F204" s="4">
        <v>805.0</v>
      </c>
      <c r="G204" s="4">
        <v>4.0</v>
      </c>
    </row>
    <row r="205">
      <c r="A205" s="4" t="s">
        <v>8</v>
      </c>
      <c r="B205" s="5">
        <v>44733.0</v>
      </c>
      <c r="C205" s="6">
        <v>0.3513078703690553</v>
      </c>
      <c r="D205" s="4">
        <v>12.909049</v>
      </c>
      <c r="E205" s="4">
        <v>80.098858</v>
      </c>
      <c r="F205" s="4">
        <v>805.0</v>
      </c>
      <c r="G205" s="4">
        <v>4.0</v>
      </c>
    </row>
    <row r="206">
      <c r="A206" s="4" t="s">
        <v>8</v>
      </c>
      <c r="B206" s="5">
        <v>44733.0</v>
      </c>
      <c r="C206" s="6">
        <v>0.3522222222236451</v>
      </c>
      <c r="D206" s="4">
        <v>12.905617</v>
      </c>
      <c r="E206" s="4">
        <v>80.095878</v>
      </c>
      <c r="F206" s="4">
        <v>805.0</v>
      </c>
      <c r="G206" s="4">
        <v>0.0</v>
      </c>
    </row>
    <row r="207">
      <c r="A207" s="4" t="s">
        <v>8</v>
      </c>
      <c r="B207" s="5">
        <v>44733.0</v>
      </c>
      <c r="C207" s="6">
        <v>0.3524305555547471</v>
      </c>
      <c r="D207" s="4">
        <v>12.905613</v>
      </c>
      <c r="E207" s="4">
        <v>80.095878</v>
      </c>
      <c r="F207" s="4">
        <v>805.0</v>
      </c>
      <c r="G207" s="4">
        <v>0.0</v>
      </c>
    </row>
    <row r="208">
      <c r="A208" s="4" t="s">
        <v>8</v>
      </c>
      <c r="B208" s="5">
        <v>44733.0</v>
      </c>
      <c r="C208" s="6">
        <v>0.35768518518671044</v>
      </c>
      <c r="D208" s="4">
        <v>12.878942</v>
      </c>
      <c r="E208" s="4">
        <v>80.080833</v>
      </c>
      <c r="F208" s="4">
        <v>805.0</v>
      </c>
      <c r="G208" s="4">
        <v>0.0</v>
      </c>
    </row>
    <row r="209">
      <c r="A209" s="4" t="s">
        <v>8</v>
      </c>
      <c r="B209" s="5">
        <v>44733.0</v>
      </c>
      <c r="C209" s="6">
        <v>0.3577314814829151</v>
      </c>
      <c r="D209" s="4">
        <v>12.878942</v>
      </c>
      <c r="E209" s="4">
        <v>80.080833</v>
      </c>
      <c r="F209" s="4">
        <v>805.0</v>
      </c>
      <c r="G209" s="4">
        <v>0.0</v>
      </c>
    </row>
    <row r="210">
      <c r="A210" s="4" t="s">
        <v>8</v>
      </c>
      <c r="B210" s="5">
        <v>44733.0</v>
      </c>
      <c r="C210" s="6">
        <v>0.7112037037040864</v>
      </c>
      <c r="D210" s="4">
        <v>12.986568</v>
      </c>
      <c r="E210" s="4">
        <v>80.174902</v>
      </c>
      <c r="F210" s="4">
        <v>5339.0</v>
      </c>
      <c r="G210" s="4">
        <v>20.0</v>
      </c>
    </row>
    <row r="211">
      <c r="A211" s="4" t="s">
        <v>8</v>
      </c>
      <c r="B211" s="5">
        <v>44733.0</v>
      </c>
      <c r="C211" s="6">
        <v>0.7112731481465744</v>
      </c>
      <c r="D211" s="4">
        <v>12.986568</v>
      </c>
      <c r="E211" s="4">
        <v>80.174902</v>
      </c>
      <c r="F211" s="4">
        <v>5339.0</v>
      </c>
      <c r="G211" s="4">
        <v>20.0</v>
      </c>
    </row>
    <row r="212">
      <c r="A212" s="4" t="s">
        <v>8</v>
      </c>
      <c r="B212" s="5">
        <v>44733.0</v>
      </c>
      <c r="C212" s="6">
        <v>0.7152199074080272</v>
      </c>
      <c r="D212" s="4">
        <v>12.998356</v>
      </c>
      <c r="E212" s="4">
        <v>80.192035</v>
      </c>
      <c r="F212" s="4">
        <v>5339.0</v>
      </c>
      <c r="G212" s="4">
        <v>6.0</v>
      </c>
    </row>
    <row r="213">
      <c r="A213" s="4" t="s">
        <v>8</v>
      </c>
      <c r="B213" s="5">
        <v>44733.0</v>
      </c>
      <c r="C213" s="6">
        <v>0.7152199074080272</v>
      </c>
      <c r="D213" s="4">
        <v>12.998356</v>
      </c>
      <c r="E213" s="4">
        <v>80.192035</v>
      </c>
      <c r="F213" s="4">
        <v>5339.0</v>
      </c>
      <c r="G213" s="4">
        <v>6.0</v>
      </c>
    </row>
    <row r="214">
      <c r="A214" s="4" t="s">
        <v>8</v>
      </c>
      <c r="B214" s="5">
        <v>44733.0</v>
      </c>
      <c r="C214" s="6">
        <v>0.7152199074080272</v>
      </c>
      <c r="D214" s="4">
        <v>12.998356</v>
      </c>
      <c r="E214" s="4">
        <v>80.192035</v>
      </c>
      <c r="F214" s="4">
        <v>5339.0</v>
      </c>
      <c r="G214" s="4">
        <v>6.0</v>
      </c>
    </row>
    <row r="215">
      <c r="A215" s="4" t="s">
        <v>8</v>
      </c>
      <c r="B215" s="5">
        <v>44733.0</v>
      </c>
      <c r="C215" s="6">
        <v>0.7232638888890506</v>
      </c>
      <c r="D215" s="4">
        <v>13.024587</v>
      </c>
      <c r="E215" s="4">
        <v>80.228834</v>
      </c>
      <c r="F215" s="4">
        <v>5339.0</v>
      </c>
      <c r="G215" s="4">
        <v>0.0</v>
      </c>
    </row>
    <row r="216">
      <c r="A216" s="4" t="s">
        <v>8</v>
      </c>
      <c r="B216" s="5">
        <v>44733.0</v>
      </c>
      <c r="C216" s="6">
        <v>0.7233101851852552</v>
      </c>
      <c r="D216" s="4">
        <v>13.024587</v>
      </c>
      <c r="E216" s="4">
        <v>80.228834</v>
      </c>
      <c r="F216" s="4">
        <v>5339.0</v>
      </c>
      <c r="G216" s="4">
        <v>0.0</v>
      </c>
    </row>
    <row r="217">
      <c r="A217" s="4" t="s">
        <v>8</v>
      </c>
      <c r="B217" s="5">
        <v>44733.0</v>
      </c>
      <c r="C217" s="6">
        <v>0.7233796296313812</v>
      </c>
      <c r="D217" s="4">
        <v>13.024587</v>
      </c>
      <c r="E217" s="4">
        <v>80.228834</v>
      </c>
      <c r="F217" s="4">
        <v>5339.0</v>
      </c>
      <c r="G217" s="4">
        <v>0.0</v>
      </c>
    </row>
    <row r="218">
      <c r="A218" s="4" t="s">
        <v>8</v>
      </c>
      <c r="B218" s="5">
        <v>44733.0</v>
      </c>
      <c r="C218" s="6">
        <v>0.7248148148137261</v>
      </c>
      <c r="D218" s="4">
        <v>13.02656</v>
      </c>
      <c r="E218" s="4">
        <v>80.232808</v>
      </c>
      <c r="F218" s="4">
        <v>5339.0</v>
      </c>
      <c r="G218" s="4">
        <v>0.0</v>
      </c>
    </row>
    <row r="219">
      <c r="A219" s="4" t="s">
        <v>8</v>
      </c>
      <c r="B219" s="5">
        <v>44733.0</v>
      </c>
      <c r="C219" s="6">
        <v>0.7248379629636474</v>
      </c>
      <c r="D219" s="4">
        <v>13.02656</v>
      </c>
      <c r="E219" s="4">
        <v>80.232808</v>
      </c>
      <c r="F219" s="4">
        <v>5339.0</v>
      </c>
      <c r="G219" s="4">
        <v>0.0</v>
      </c>
    </row>
    <row r="220">
      <c r="A220" s="4" t="s">
        <v>8</v>
      </c>
      <c r="B220" s="5">
        <v>44733.0</v>
      </c>
      <c r="C220" s="6">
        <v>0.7302777777767915</v>
      </c>
      <c r="D220" s="4">
        <v>13.04234</v>
      </c>
      <c r="E220" s="4">
        <v>80.24742</v>
      </c>
      <c r="F220" s="4">
        <v>5339.0</v>
      </c>
      <c r="G220" s="4">
        <v>16.0</v>
      </c>
    </row>
    <row r="221">
      <c r="A221" s="4" t="s">
        <v>8</v>
      </c>
      <c r="B221" s="5">
        <v>44733.0</v>
      </c>
      <c r="C221" s="6">
        <v>0.7302777777767915</v>
      </c>
      <c r="D221" s="4">
        <v>13.04234</v>
      </c>
      <c r="E221" s="4">
        <v>80.24742</v>
      </c>
      <c r="F221" s="4">
        <v>5339.0</v>
      </c>
      <c r="G221" s="4">
        <v>16.0</v>
      </c>
    </row>
    <row r="222">
      <c r="A222" s="4" t="s">
        <v>8</v>
      </c>
      <c r="B222" s="5">
        <v>44733.0</v>
      </c>
      <c r="C222" s="6">
        <v>0.7521296296290529</v>
      </c>
      <c r="D222" s="4">
        <v>13.067681</v>
      </c>
      <c r="E222" s="4">
        <v>80.249184</v>
      </c>
      <c r="F222" s="4">
        <v>5339.0</v>
      </c>
      <c r="G222" s="4">
        <v>20.0</v>
      </c>
    </row>
    <row r="223">
      <c r="A223" s="4" t="s">
        <v>8</v>
      </c>
      <c r="B223" s="5">
        <v>44733.0</v>
      </c>
      <c r="C223" s="6">
        <v>0.7522453703713836</v>
      </c>
      <c r="D223" s="4">
        <v>13.067681</v>
      </c>
      <c r="E223" s="4">
        <v>80.249184</v>
      </c>
      <c r="F223" s="4">
        <v>5339.0</v>
      </c>
      <c r="G223" s="4">
        <v>20.0</v>
      </c>
    </row>
    <row r="224">
      <c r="A224" s="4" t="s">
        <v>8</v>
      </c>
      <c r="B224" s="5">
        <v>44733.0</v>
      </c>
      <c r="C224" s="6">
        <v>0.752268518517667</v>
      </c>
      <c r="D224" s="4">
        <v>13.067681</v>
      </c>
      <c r="E224" s="4">
        <v>80.249184</v>
      </c>
      <c r="F224" s="4">
        <v>5339.0</v>
      </c>
      <c r="G224" s="4">
        <v>20.0</v>
      </c>
    </row>
    <row r="225">
      <c r="A225" s="4" t="s">
        <v>8</v>
      </c>
      <c r="B225" s="5">
        <v>44733.0</v>
      </c>
      <c r="C225" s="6">
        <v>0.752268518517667</v>
      </c>
      <c r="D225" s="4">
        <v>13.067681</v>
      </c>
      <c r="E225" s="4">
        <v>80.249184</v>
      </c>
      <c r="F225" s="4">
        <v>5339.0</v>
      </c>
      <c r="G225" s="4">
        <v>20.0</v>
      </c>
    </row>
    <row r="226">
      <c r="A226" s="4" t="s">
        <v>8</v>
      </c>
      <c r="B226" s="5">
        <v>44735.0</v>
      </c>
      <c r="C226" s="6">
        <v>0.32473379629664123</v>
      </c>
      <c r="D226" s="4">
        <v>12.698852</v>
      </c>
      <c r="E226" s="4">
        <v>79.969922</v>
      </c>
      <c r="F226" s="4">
        <v>2846.0</v>
      </c>
      <c r="G226" s="4">
        <v>18.0</v>
      </c>
    </row>
    <row r="227">
      <c r="A227" s="4" t="s">
        <v>8</v>
      </c>
      <c r="B227" s="5">
        <v>44735.0</v>
      </c>
      <c r="C227" s="6">
        <v>0.3247800925928459</v>
      </c>
      <c r="D227" s="4">
        <v>12.698852</v>
      </c>
      <c r="E227" s="4">
        <v>79.969922</v>
      </c>
      <c r="F227" s="4">
        <v>2846.0</v>
      </c>
      <c r="G227" s="4">
        <v>18.0</v>
      </c>
    </row>
    <row r="228">
      <c r="A228" s="4" t="s">
        <v>8</v>
      </c>
      <c r="B228" s="5">
        <v>44735.0</v>
      </c>
      <c r="C228" s="6">
        <v>0.7093055555560568</v>
      </c>
      <c r="D228" s="4">
        <v>12.950315</v>
      </c>
      <c r="E228" s="4">
        <v>80.139338</v>
      </c>
      <c r="F228" s="4">
        <v>5339.0</v>
      </c>
      <c r="G228" s="4">
        <v>8.0</v>
      </c>
    </row>
    <row r="229">
      <c r="A229" s="4" t="s">
        <v>8</v>
      </c>
      <c r="B229" s="5">
        <v>44735.0</v>
      </c>
      <c r="C229" s="6">
        <v>0.7093171296291985</v>
      </c>
      <c r="D229" s="4">
        <v>12.950315</v>
      </c>
      <c r="E229" s="4">
        <v>80.139338</v>
      </c>
      <c r="F229" s="4">
        <v>5339.0</v>
      </c>
      <c r="G229" s="4">
        <v>8.0</v>
      </c>
    </row>
    <row r="230">
      <c r="A230" s="4" t="s">
        <v>8</v>
      </c>
      <c r="B230" s="5">
        <v>44735.0</v>
      </c>
      <c r="C230" s="6">
        <v>0.7179745370376622</v>
      </c>
      <c r="D230" s="4">
        <v>12.802769</v>
      </c>
      <c r="E230" s="4">
        <v>80.025392</v>
      </c>
      <c r="F230" s="4">
        <v>2846.0</v>
      </c>
      <c r="G230" s="4">
        <v>20.0</v>
      </c>
    </row>
    <row r="231">
      <c r="A231" s="4" t="s">
        <v>8</v>
      </c>
      <c r="B231" s="5">
        <v>44735.0</v>
      </c>
      <c r="C231" s="6">
        <v>0.7179745370376622</v>
      </c>
      <c r="D231" s="4">
        <v>12.802769</v>
      </c>
      <c r="E231" s="4">
        <v>80.025392</v>
      </c>
      <c r="F231" s="4">
        <v>2846.0</v>
      </c>
      <c r="G231" s="4">
        <v>20.0</v>
      </c>
    </row>
    <row r="232">
      <c r="A232" s="4" t="s">
        <v>8</v>
      </c>
      <c r="B232" s="5">
        <v>44735.0</v>
      </c>
      <c r="C232" s="6">
        <v>0.7182754629611736</v>
      </c>
      <c r="D232" s="4">
        <v>12.986506</v>
      </c>
      <c r="E232" s="4">
        <v>80.174684</v>
      </c>
      <c r="F232" s="4">
        <v>805.0</v>
      </c>
      <c r="G232" s="4">
        <v>0.0</v>
      </c>
    </row>
    <row r="233">
      <c r="A233" s="4" t="s">
        <v>8</v>
      </c>
      <c r="B233" s="5">
        <v>44735.0</v>
      </c>
      <c r="C233" s="6">
        <v>0.7182986111110949</v>
      </c>
      <c r="D233" s="4">
        <v>12.986506</v>
      </c>
      <c r="E233" s="4">
        <v>80.174684</v>
      </c>
      <c r="F233" s="4">
        <v>805.0</v>
      </c>
      <c r="G233" s="4">
        <v>0.0</v>
      </c>
    </row>
    <row r="234">
      <c r="A234" s="4" t="s">
        <v>8</v>
      </c>
      <c r="B234" s="5">
        <v>44735.0</v>
      </c>
      <c r="C234" s="6">
        <v>0.7185879629614647</v>
      </c>
      <c r="D234" s="4">
        <v>12.987451</v>
      </c>
      <c r="E234" s="4">
        <v>80.175983</v>
      </c>
      <c r="F234" s="4">
        <v>805.0</v>
      </c>
      <c r="G234" s="4">
        <v>0.0</v>
      </c>
    </row>
    <row r="235">
      <c r="A235" s="4" t="s">
        <v>8</v>
      </c>
      <c r="B235" s="5">
        <v>44735.0</v>
      </c>
      <c r="C235" s="6">
        <v>0.723773148147302</v>
      </c>
      <c r="D235" s="4">
        <v>13.00797</v>
      </c>
      <c r="E235" s="4">
        <v>80.208004</v>
      </c>
      <c r="F235" s="4">
        <v>5339.0</v>
      </c>
      <c r="G235" s="4">
        <v>19.0</v>
      </c>
    </row>
    <row r="236">
      <c r="A236" s="4" t="s">
        <v>8</v>
      </c>
      <c r="B236" s="5">
        <v>44735.0</v>
      </c>
      <c r="C236" s="6">
        <v>0.723773148147302</v>
      </c>
      <c r="D236" s="4">
        <v>13.00797</v>
      </c>
      <c r="E236" s="4">
        <v>80.208004</v>
      </c>
      <c r="F236" s="4">
        <v>5339.0</v>
      </c>
      <c r="G236" s="4">
        <v>19.0</v>
      </c>
    </row>
    <row r="237">
      <c r="A237" s="4" t="s">
        <v>8</v>
      </c>
      <c r="B237" s="5">
        <v>44735.0</v>
      </c>
      <c r="C237" s="6">
        <v>0.7310069444429246</v>
      </c>
      <c r="D237" s="4">
        <v>13.026365</v>
      </c>
      <c r="E237" s="4">
        <v>80.232409</v>
      </c>
      <c r="F237" s="4">
        <v>5339.0</v>
      </c>
      <c r="G237" s="4">
        <v>9.0</v>
      </c>
    </row>
    <row r="238">
      <c r="A238" s="4" t="s">
        <v>8</v>
      </c>
      <c r="B238" s="5">
        <v>44735.0</v>
      </c>
      <c r="C238" s="6">
        <v>0.7310069444429246</v>
      </c>
      <c r="D238" s="4">
        <v>13.026365</v>
      </c>
      <c r="E238" s="4">
        <v>80.232409</v>
      </c>
      <c r="F238" s="4">
        <v>5339.0</v>
      </c>
      <c r="G238" s="4">
        <v>9.0</v>
      </c>
    </row>
    <row r="239">
      <c r="A239" s="4" t="s">
        <v>8</v>
      </c>
      <c r="B239" s="5">
        <v>44735.0</v>
      </c>
      <c r="C239" s="6">
        <v>0.7310185185197042</v>
      </c>
      <c r="D239" s="4">
        <v>13.026365</v>
      </c>
      <c r="E239" s="4">
        <v>80.232409</v>
      </c>
      <c r="F239" s="4">
        <v>5339.0</v>
      </c>
      <c r="G239" s="4">
        <v>9.0</v>
      </c>
    </row>
    <row r="240">
      <c r="A240" s="4" t="s">
        <v>8</v>
      </c>
      <c r="B240" s="5">
        <v>44735.0</v>
      </c>
      <c r="C240" s="6">
        <v>0.7319791666668607</v>
      </c>
      <c r="D240" s="4">
        <v>13.006695</v>
      </c>
      <c r="E240" s="4">
        <v>80.243545</v>
      </c>
      <c r="F240" s="4">
        <v>805.0</v>
      </c>
      <c r="G240" s="4">
        <v>7.0</v>
      </c>
    </row>
    <row r="241">
      <c r="A241" s="4" t="s">
        <v>8</v>
      </c>
      <c r="B241" s="5">
        <v>44735.0</v>
      </c>
      <c r="C241" s="6">
        <v>0.7320254629630654</v>
      </c>
      <c r="D241" s="4">
        <v>13.006695</v>
      </c>
      <c r="E241" s="4">
        <v>80.243545</v>
      </c>
      <c r="F241" s="4">
        <v>805.0</v>
      </c>
      <c r="G241" s="4">
        <v>7.0</v>
      </c>
    </row>
    <row r="242">
      <c r="A242" s="4" t="s">
        <v>8</v>
      </c>
      <c r="B242" s="5">
        <v>44735.0</v>
      </c>
      <c r="C242" s="6">
        <v>0.732106481482333</v>
      </c>
      <c r="D242" s="4">
        <v>13.006695</v>
      </c>
      <c r="E242" s="4">
        <v>80.243545</v>
      </c>
      <c r="F242" s="4">
        <v>805.0</v>
      </c>
      <c r="G242" s="4">
        <v>7.0</v>
      </c>
    </row>
    <row r="243">
      <c r="A243" s="4" t="s">
        <v>8</v>
      </c>
      <c r="B243" s="5">
        <v>44735.0</v>
      </c>
      <c r="C243" s="6">
        <v>0.7516666666670062</v>
      </c>
      <c r="D243" s="4">
        <v>13.054171</v>
      </c>
      <c r="E243" s="4">
        <v>80.264012</v>
      </c>
      <c r="F243" s="4">
        <v>805.0</v>
      </c>
      <c r="G243" s="4">
        <v>12.0</v>
      </c>
    </row>
    <row r="244">
      <c r="A244" s="4" t="s">
        <v>8</v>
      </c>
      <c r="B244" s="5">
        <v>44735.0</v>
      </c>
      <c r="C244" s="6">
        <v>0.7516666666670062</v>
      </c>
      <c r="D244" s="4">
        <v>13.054171</v>
      </c>
      <c r="E244" s="4">
        <v>80.264012</v>
      </c>
      <c r="F244" s="4">
        <v>805.0</v>
      </c>
      <c r="G244" s="4">
        <v>12.0</v>
      </c>
    </row>
    <row r="245">
      <c r="A245" s="4" t="s">
        <v>8</v>
      </c>
      <c r="B245" s="5">
        <v>44736.0</v>
      </c>
      <c r="C245" s="6">
        <v>0.7191898148157634</v>
      </c>
      <c r="D245" s="4">
        <v>13.024307</v>
      </c>
      <c r="E245" s="4">
        <v>80.228358</v>
      </c>
      <c r="F245" s="4">
        <v>5339.0</v>
      </c>
      <c r="G245" s="4">
        <v>20.0</v>
      </c>
    </row>
    <row r="246">
      <c r="A246" s="4" t="s">
        <v>8</v>
      </c>
      <c r="B246" s="5">
        <v>44736.0</v>
      </c>
      <c r="C246" s="6">
        <v>0.7192361111119681</v>
      </c>
      <c r="D246" s="4">
        <v>13.024307</v>
      </c>
      <c r="E246" s="4">
        <v>80.228358</v>
      </c>
      <c r="F246" s="4">
        <v>5339.0</v>
      </c>
      <c r="G246" s="4">
        <v>20.0</v>
      </c>
    </row>
    <row r="247">
      <c r="A247" s="4" t="s">
        <v>8</v>
      </c>
      <c r="B247" s="5">
        <v>44736.0</v>
      </c>
      <c r="C247" s="6">
        <v>0.7523148148138716</v>
      </c>
      <c r="D247" s="4">
        <v>13.071527</v>
      </c>
      <c r="E247" s="4">
        <v>80.259128</v>
      </c>
      <c r="F247" s="4">
        <v>5339.0</v>
      </c>
      <c r="G247" s="4">
        <v>16.0</v>
      </c>
    </row>
    <row r="248">
      <c r="A248" s="4" t="s">
        <v>8</v>
      </c>
      <c r="B248" s="5">
        <v>44736.0</v>
      </c>
      <c r="C248" s="6">
        <v>0.752337962963793</v>
      </c>
      <c r="D248" s="4">
        <v>13.071527</v>
      </c>
      <c r="E248" s="4">
        <v>80.259128</v>
      </c>
      <c r="F248" s="4">
        <v>5339.0</v>
      </c>
      <c r="G248" s="4">
        <v>16.0</v>
      </c>
    </row>
    <row r="249">
      <c r="A249" s="4" t="s">
        <v>8</v>
      </c>
      <c r="B249" s="5">
        <v>44736.0</v>
      </c>
      <c r="C249" s="6">
        <v>0.7523495370369346</v>
      </c>
      <c r="D249" s="4">
        <v>13.071527</v>
      </c>
      <c r="E249" s="4">
        <v>80.259128</v>
      </c>
      <c r="F249" s="4">
        <v>5339.0</v>
      </c>
      <c r="G249" s="4">
        <v>16.0</v>
      </c>
    </row>
    <row r="250">
      <c r="A250" s="4" t="s">
        <v>8</v>
      </c>
      <c r="B250" s="5">
        <v>44736.0</v>
      </c>
      <c r="C250" s="6">
        <v>0.7523611111100763</v>
      </c>
      <c r="D250" s="4">
        <v>13.071527</v>
      </c>
      <c r="E250" s="4">
        <v>80.259128</v>
      </c>
      <c r="F250" s="4">
        <v>5339.0</v>
      </c>
      <c r="G250" s="4">
        <v>16.0</v>
      </c>
    </row>
    <row r="251">
      <c r="A251" s="4" t="s">
        <v>8</v>
      </c>
      <c r="B251" s="5">
        <v>44737.0</v>
      </c>
      <c r="C251" s="6">
        <v>0.6825578703719657</v>
      </c>
      <c r="D251" s="4">
        <v>12.942172</v>
      </c>
      <c r="E251" s="4">
        <v>80.132672</v>
      </c>
      <c r="F251" s="4">
        <v>5339.0</v>
      </c>
      <c r="G251" s="4">
        <v>16.0</v>
      </c>
    </row>
    <row r="252">
      <c r="A252" s="4" t="s">
        <v>8</v>
      </c>
      <c r="B252" s="5">
        <v>44737.0</v>
      </c>
      <c r="C252" s="6">
        <v>0.6825578703719657</v>
      </c>
      <c r="D252" s="4">
        <v>12.942172</v>
      </c>
      <c r="E252" s="4">
        <v>80.132672</v>
      </c>
      <c r="F252" s="4">
        <v>5339.0</v>
      </c>
      <c r="G252" s="4">
        <v>16.0</v>
      </c>
    </row>
    <row r="253">
      <c r="A253" s="4" t="s">
        <v>8</v>
      </c>
      <c r="B253" s="5">
        <v>44737.0</v>
      </c>
      <c r="C253" s="6">
        <v>0.6827083333337214</v>
      </c>
      <c r="D253" s="4">
        <v>12.942172</v>
      </c>
      <c r="E253" s="4">
        <v>80.132672</v>
      </c>
      <c r="F253" s="4">
        <v>5339.0</v>
      </c>
      <c r="G253" s="4">
        <v>16.0</v>
      </c>
    </row>
    <row r="254">
      <c r="A254" s="4" t="s">
        <v>8</v>
      </c>
      <c r="B254" s="5">
        <v>44737.0</v>
      </c>
      <c r="C254" s="6">
        <v>0.6833912037036498</v>
      </c>
      <c r="D254" s="4">
        <v>12.926725</v>
      </c>
      <c r="E254" s="4">
        <v>80.11779</v>
      </c>
      <c r="F254" s="4">
        <v>805.0</v>
      </c>
      <c r="G254" s="4">
        <v>20.0</v>
      </c>
    </row>
    <row r="255">
      <c r="A255" s="4" t="s">
        <v>8</v>
      </c>
      <c r="B255" s="5">
        <v>44737.0</v>
      </c>
      <c r="C255" s="6">
        <v>0.6834143518535711</v>
      </c>
      <c r="D255" s="4">
        <v>12.926725</v>
      </c>
      <c r="E255" s="4">
        <v>80.11779</v>
      </c>
      <c r="F255" s="4">
        <v>805.0</v>
      </c>
      <c r="G255" s="4">
        <v>20.0</v>
      </c>
    </row>
    <row r="256">
      <c r="A256" s="4" t="s">
        <v>8</v>
      </c>
      <c r="B256" s="5">
        <v>44737.0</v>
      </c>
      <c r="C256" s="6">
        <v>0.6834374999998545</v>
      </c>
      <c r="D256" s="4">
        <v>12.926725</v>
      </c>
      <c r="E256" s="4">
        <v>80.11779</v>
      </c>
      <c r="F256" s="4">
        <v>805.0</v>
      </c>
      <c r="G256" s="4">
        <v>20.0</v>
      </c>
    </row>
    <row r="257">
      <c r="A257" s="4" t="s">
        <v>8</v>
      </c>
      <c r="B257" s="5">
        <v>44737.0</v>
      </c>
      <c r="C257" s="6">
        <v>0.6840856481467199</v>
      </c>
      <c r="D257" s="4">
        <v>12.929776</v>
      </c>
      <c r="E257" s="4">
        <v>80.120782</v>
      </c>
      <c r="F257" s="4">
        <v>805.0</v>
      </c>
      <c r="G257" s="4">
        <v>20.0</v>
      </c>
    </row>
    <row r="258">
      <c r="A258" s="4" t="s">
        <v>8</v>
      </c>
      <c r="B258" s="5">
        <v>44737.0</v>
      </c>
      <c r="C258" s="6">
        <v>0.6840856481467199</v>
      </c>
      <c r="D258" s="4">
        <v>12.929776</v>
      </c>
      <c r="E258" s="4">
        <v>80.120782</v>
      </c>
      <c r="F258" s="4">
        <v>805.0</v>
      </c>
      <c r="G258" s="4">
        <v>20.0</v>
      </c>
    </row>
    <row r="259">
      <c r="A259" s="4" t="s">
        <v>8</v>
      </c>
      <c r="B259" s="5">
        <v>44737.0</v>
      </c>
      <c r="C259" s="6">
        <v>0.6841435185197042</v>
      </c>
      <c r="D259" s="4">
        <v>12.929776</v>
      </c>
      <c r="E259" s="4">
        <v>80.120782</v>
      </c>
      <c r="F259" s="4">
        <v>805.0</v>
      </c>
      <c r="G259" s="4">
        <v>20.0</v>
      </c>
    </row>
    <row r="260">
      <c r="A260" s="4" t="s">
        <v>8</v>
      </c>
      <c r="B260" s="5">
        <v>44737.0</v>
      </c>
      <c r="C260" s="6">
        <v>0.6940277777794108</v>
      </c>
      <c r="D260" s="4">
        <v>13.00154</v>
      </c>
      <c r="E260" s="4">
        <v>80.195995</v>
      </c>
      <c r="F260" s="4">
        <v>5339.0</v>
      </c>
      <c r="G260" s="4">
        <v>20.0</v>
      </c>
    </row>
    <row r="261">
      <c r="A261" s="4" t="s">
        <v>8</v>
      </c>
      <c r="B261" s="5">
        <v>44737.0</v>
      </c>
      <c r="C261" s="6">
        <v>0.6941203703718202</v>
      </c>
      <c r="D261" s="4">
        <v>13.00154</v>
      </c>
      <c r="E261" s="4">
        <v>80.195995</v>
      </c>
      <c r="F261" s="4">
        <v>5339.0</v>
      </c>
      <c r="G261" s="4">
        <v>20.0</v>
      </c>
    </row>
    <row r="262">
      <c r="A262" s="4" t="s">
        <v>8</v>
      </c>
      <c r="B262" s="5">
        <v>44737.0</v>
      </c>
      <c r="C262" s="6">
        <v>0.6976388888906513</v>
      </c>
      <c r="D262" s="4">
        <v>12.99595</v>
      </c>
      <c r="E262" s="4">
        <v>80.189112</v>
      </c>
      <c r="F262" s="4">
        <v>805.0</v>
      </c>
      <c r="G262" s="4">
        <v>0.0</v>
      </c>
    </row>
    <row r="263">
      <c r="A263" s="4" t="s">
        <v>8</v>
      </c>
      <c r="B263" s="5">
        <v>44737.0</v>
      </c>
      <c r="C263" s="6">
        <v>0.6977083333331393</v>
      </c>
      <c r="D263" s="4">
        <v>12.99595</v>
      </c>
      <c r="E263" s="4">
        <v>80.189112</v>
      </c>
      <c r="F263" s="4">
        <v>805.0</v>
      </c>
      <c r="G263" s="4">
        <v>0.0</v>
      </c>
    </row>
    <row r="264">
      <c r="A264" s="4" t="s">
        <v>8</v>
      </c>
      <c r="B264" s="5">
        <v>44737.0</v>
      </c>
      <c r="C264" s="6">
        <v>0.7038310185198497</v>
      </c>
      <c r="D264" s="4">
        <v>13.015451</v>
      </c>
      <c r="E264" s="4">
        <v>80.225226</v>
      </c>
      <c r="F264" s="4">
        <v>805.0</v>
      </c>
      <c r="G264" s="4">
        <v>0.0</v>
      </c>
    </row>
    <row r="265">
      <c r="A265" s="4" t="s">
        <v>8</v>
      </c>
      <c r="B265" s="5">
        <v>44737.0</v>
      </c>
      <c r="C265" s="6">
        <v>0.7039699074084638</v>
      </c>
      <c r="D265" s="4">
        <v>13.015451</v>
      </c>
      <c r="E265" s="4">
        <v>80.225226</v>
      </c>
      <c r="F265" s="4">
        <v>805.0</v>
      </c>
      <c r="G265" s="4">
        <v>0.0</v>
      </c>
    </row>
    <row r="266">
      <c r="A266" s="4" t="s">
        <v>8</v>
      </c>
      <c r="B266" s="5">
        <v>44737.0</v>
      </c>
      <c r="C266" s="6">
        <v>0.7038310185198497</v>
      </c>
      <c r="D266" s="4">
        <v>13.015451</v>
      </c>
      <c r="E266" s="4">
        <v>80.225226</v>
      </c>
      <c r="F266" s="4">
        <v>805.0</v>
      </c>
      <c r="G266" s="4">
        <v>0.0</v>
      </c>
    </row>
    <row r="267">
      <c r="A267" s="4" t="s">
        <v>8</v>
      </c>
      <c r="B267" s="5">
        <v>44737.0</v>
      </c>
      <c r="C267" s="6">
        <v>0.7039699074084638</v>
      </c>
      <c r="D267" s="4">
        <v>13.015451</v>
      </c>
      <c r="E267" s="4">
        <v>80.225226</v>
      </c>
      <c r="F267" s="4">
        <v>805.0</v>
      </c>
      <c r="G267" s="4">
        <v>0.0</v>
      </c>
    </row>
    <row r="268">
      <c r="A268" s="4" t="s">
        <v>8</v>
      </c>
      <c r="B268" s="5">
        <v>44737.0</v>
      </c>
      <c r="C268" s="6">
        <v>0.7122800925935735</v>
      </c>
      <c r="D268" s="4">
        <v>13.045133</v>
      </c>
      <c r="E268" s="4">
        <v>80.248006</v>
      </c>
      <c r="F268" s="4">
        <v>5339.0</v>
      </c>
      <c r="G268" s="4">
        <v>16.0</v>
      </c>
    </row>
    <row r="269">
      <c r="A269" s="4" t="s">
        <v>8</v>
      </c>
      <c r="B269" s="5">
        <v>44737.0</v>
      </c>
      <c r="C269" s="6">
        <v>0.7123611111128412</v>
      </c>
      <c r="D269" s="4">
        <v>13.045133</v>
      </c>
      <c r="E269" s="4">
        <v>80.248006</v>
      </c>
      <c r="F269" s="4">
        <v>5339.0</v>
      </c>
      <c r="G269" s="4">
        <v>16.0</v>
      </c>
    </row>
    <row r="270">
      <c r="A270" s="4" t="s">
        <v>8</v>
      </c>
      <c r="B270" s="5">
        <v>44737.0</v>
      </c>
      <c r="C270" s="6">
        <v>0.72425925925927</v>
      </c>
      <c r="D270" s="4">
        <v>13.065509</v>
      </c>
      <c r="E270" s="4">
        <v>80.273797</v>
      </c>
      <c r="F270" s="4">
        <v>5339.0</v>
      </c>
      <c r="G270" s="4">
        <v>12.0</v>
      </c>
    </row>
    <row r="271">
      <c r="A271" s="4" t="s">
        <v>8</v>
      </c>
      <c r="B271" s="5">
        <v>44737.0</v>
      </c>
      <c r="C271" s="6">
        <v>0.7242824074091914</v>
      </c>
      <c r="D271" s="4">
        <v>13.065509</v>
      </c>
      <c r="E271" s="4">
        <v>80.273797</v>
      </c>
      <c r="F271" s="4">
        <v>5339.0</v>
      </c>
      <c r="G271" s="4">
        <v>12.0</v>
      </c>
    </row>
    <row r="272">
      <c r="A272" s="4" t="s">
        <v>8</v>
      </c>
      <c r="B272" s="5">
        <v>44737.0</v>
      </c>
      <c r="C272" s="6">
        <v>0.7243750000016007</v>
      </c>
      <c r="D272" s="4">
        <v>13.065509</v>
      </c>
      <c r="E272" s="4">
        <v>80.273797</v>
      </c>
      <c r="F272" s="4">
        <v>5339.0</v>
      </c>
      <c r="G272" s="4">
        <v>12.0</v>
      </c>
    </row>
    <row r="273">
      <c r="A273" s="4" t="s">
        <v>8</v>
      </c>
      <c r="B273" s="5">
        <v>44737.0</v>
      </c>
      <c r="C273" s="6">
        <v>0.7313657407394203</v>
      </c>
      <c r="D273" s="4">
        <v>13.047975</v>
      </c>
      <c r="E273" s="4">
        <v>80.265972</v>
      </c>
      <c r="F273" s="4">
        <v>805.0</v>
      </c>
      <c r="G273" s="4">
        <v>18.0</v>
      </c>
    </row>
    <row r="274">
      <c r="A274" s="4" t="s">
        <v>8</v>
      </c>
      <c r="B274" s="5">
        <v>44737.0</v>
      </c>
      <c r="C274" s="6">
        <v>0.7313657407394203</v>
      </c>
      <c r="D274" s="4">
        <v>13.047975</v>
      </c>
      <c r="E274" s="4">
        <v>80.265972</v>
      </c>
      <c r="F274" s="4">
        <v>805.0</v>
      </c>
      <c r="G274" s="4">
        <v>18.0</v>
      </c>
    </row>
    <row r="275">
      <c r="A275" s="4" t="s">
        <v>8</v>
      </c>
      <c r="B275" s="5">
        <v>44737.0</v>
      </c>
      <c r="C275" s="6">
        <v>0.7313888888893416</v>
      </c>
      <c r="D275" s="4">
        <v>13.047975</v>
      </c>
      <c r="E275" s="4">
        <v>80.265972</v>
      </c>
      <c r="F275" s="4">
        <v>805.0</v>
      </c>
      <c r="G275" s="4">
        <v>18.0</v>
      </c>
    </row>
    <row r="276">
      <c r="A276" s="4" t="s">
        <v>8</v>
      </c>
      <c r="B276" s="5">
        <v>44737.0</v>
      </c>
      <c r="C276" s="6">
        <v>0.7439583333325572</v>
      </c>
      <c r="D276" s="4">
        <v>13.080579</v>
      </c>
      <c r="E276" s="4">
        <v>80.265064</v>
      </c>
      <c r="F276" s="4">
        <v>5339.0</v>
      </c>
      <c r="G276" s="4">
        <v>14.0</v>
      </c>
    </row>
    <row r="277">
      <c r="A277" s="4" t="s">
        <v>8</v>
      </c>
      <c r="B277" s="5">
        <v>44737.0</v>
      </c>
      <c r="C277" s="6">
        <v>0.7439814814824786</v>
      </c>
      <c r="D277" s="4">
        <v>13.080579</v>
      </c>
      <c r="E277" s="4">
        <v>80.265064</v>
      </c>
      <c r="F277" s="4">
        <v>5339.0</v>
      </c>
      <c r="G277" s="4">
        <v>14.0</v>
      </c>
    </row>
    <row r="278">
      <c r="A278" s="4" t="s">
        <v>8</v>
      </c>
      <c r="B278" s="5">
        <v>44737.0</v>
      </c>
      <c r="C278" s="6">
        <v>0.7439814814824786</v>
      </c>
      <c r="D278" s="4">
        <v>13.080579</v>
      </c>
      <c r="E278" s="4">
        <v>80.265064</v>
      </c>
      <c r="F278" s="4">
        <v>5339.0</v>
      </c>
      <c r="G278" s="4">
        <v>14.0</v>
      </c>
    </row>
    <row r="279">
      <c r="A279" s="4" t="s">
        <v>8</v>
      </c>
      <c r="B279" s="5">
        <v>44737.0</v>
      </c>
      <c r="C279" s="6">
        <v>0.8168287037042319</v>
      </c>
      <c r="D279" s="4">
        <v>13.133742</v>
      </c>
      <c r="E279" s="4">
        <v>80.297142</v>
      </c>
      <c r="F279" s="4">
        <v>5339.0</v>
      </c>
      <c r="G279" s="4">
        <v>14.0</v>
      </c>
    </row>
    <row r="280">
      <c r="A280" s="4" t="s">
        <v>8</v>
      </c>
      <c r="B280" s="5">
        <v>44737.0</v>
      </c>
      <c r="C280" s="6">
        <v>0.8168634259272949</v>
      </c>
      <c r="D280" s="4">
        <v>13.133742</v>
      </c>
      <c r="E280" s="4">
        <v>80.297142</v>
      </c>
      <c r="F280" s="4">
        <v>5339.0</v>
      </c>
      <c r="G280" s="4">
        <v>14.0</v>
      </c>
    </row>
    <row r="281">
      <c r="A281" s="4" t="s">
        <v>8</v>
      </c>
      <c r="B281" s="5">
        <v>44737.0</v>
      </c>
      <c r="C281" s="6">
        <v>0.8184606481481751</v>
      </c>
      <c r="D281" s="4">
        <v>13.125258</v>
      </c>
      <c r="E281" s="4">
        <v>80.2947</v>
      </c>
      <c r="F281" s="4">
        <v>5339.0</v>
      </c>
      <c r="G281" s="4">
        <v>15.0</v>
      </c>
    </row>
    <row r="282">
      <c r="A282" s="4" t="s">
        <v>8</v>
      </c>
      <c r="B282" s="5">
        <v>44737.0</v>
      </c>
      <c r="C282" s="6">
        <v>0.8184722222213168</v>
      </c>
      <c r="D282" s="4">
        <v>13.125258</v>
      </c>
      <c r="E282" s="4">
        <v>80.2947</v>
      </c>
      <c r="F282" s="4">
        <v>5339.0</v>
      </c>
      <c r="G282" s="4">
        <v>15.0</v>
      </c>
    </row>
    <row r="283">
      <c r="A283" s="4" t="s">
        <v>8</v>
      </c>
      <c r="B283" s="5">
        <v>44737.0</v>
      </c>
      <c r="C283" s="6">
        <v>0.822685185186856</v>
      </c>
      <c r="D283" s="4">
        <v>13.114736</v>
      </c>
      <c r="E283" s="4">
        <v>80.29257</v>
      </c>
      <c r="F283" s="4">
        <v>5339.0</v>
      </c>
      <c r="G283" s="4">
        <v>8.0</v>
      </c>
    </row>
    <row r="284">
      <c r="A284" s="4" t="s">
        <v>8</v>
      </c>
      <c r="B284" s="5">
        <v>44737.0</v>
      </c>
      <c r="C284" s="6">
        <v>0.8226967592599976</v>
      </c>
      <c r="D284" s="4">
        <v>13.114736</v>
      </c>
      <c r="E284" s="4">
        <v>80.29257</v>
      </c>
      <c r="F284" s="4">
        <v>5339.0</v>
      </c>
      <c r="G284" s="4">
        <v>8.0</v>
      </c>
    </row>
    <row r="285">
      <c r="A285" s="4" t="s">
        <v>8</v>
      </c>
      <c r="B285" s="5">
        <v>44739.0</v>
      </c>
      <c r="C285" s="6">
        <v>0.35048611111051287</v>
      </c>
      <c r="D285" s="4">
        <v>12.927749</v>
      </c>
      <c r="E285" s="4">
        <v>80.118917</v>
      </c>
      <c r="F285" s="4">
        <v>805.0</v>
      </c>
      <c r="G285" s="4">
        <v>0.0</v>
      </c>
    </row>
    <row r="286">
      <c r="A286" s="4" t="s">
        <v>8</v>
      </c>
      <c r="B286" s="5">
        <v>44739.0</v>
      </c>
      <c r="C286" s="6">
        <v>0.35048611111051287</v>
      </c>
      <c r="D286" s="4">
        <v>12.927749</v>
      </c>
      <c r="E286" s="4">
        <v>80.118917</v>
      </c>
      <c r="F286" s="4">
        <v>805.0</v>
      </c>
      <c r="G286" s="4">
        <v>0.0</v>
      </c>
    </row>
    <row r="287">
      <c r="A287" s="4" t="s">
        <v>8</v>
      </c>
      <c r="B287" s="5">
        <v>44739.0</v>
      </c>
      <c r="C287" s="6">
        <v>0.3561805555546016</v>
      </c>
      <c r="D287" s="4">
        <v>12.906518</v>
      </c>
      <c r="E287" s="4">
        <v>80.096614</v>
      </c>
      <c r="F287" s="4">
        <v>805.0</v>
      </c>
      <c r="G287" s="4">
        <v>16.0</v>
      </c>
    </row>
    <row r="288">
      <c r="A288" s="4" t="s">
        <v>8</v>
      </c>
      <c r="B288" s="5">
        <v>44739.0</v>
      </c>
      <c r="C288" s="6">
        <v>0.3561805555546016</v>
      </c>
      <c r="D288" s="4">
        <v>12.906518</v>
      </c>
      <c r="E288" s="4">
        <v>80.096614</v>
      </c>
      <c r="F288" s="4">
        <v>805.0</v>
      </c>
      <c r="G288" s="4">
        <v>16.0</v>
      </c>
    </row>
    <row r="289">
      <c r="A289" s="4" t="s">
        <v>8</v>
      </c>
      <c r="B289" s="5">
        <v>44739.0</v>
      </c>
      <c r="C289" s="6">
        <v>0.35619212963138125</v>
      </c>
      <c r="D289" s="4">
        <v>12.906518</v>
      </c>
      <c r="E289" s="4">
        <v>80.096614</v>
      </c>
      <c r="F289" s="4">
        <v>805.0</v>
      </c>
      <c r="G289" s="4">
        <v>16.0</v>
      </c>
    </row>
    <row r="290">
      <c r="A290" s="4" t="s">
        <v>8</v>
      </c>
      <c r="B290" s="5">
        <v>44739.0</v>
      </c>
      <c r="C290" s="6">
        <v>0.3562152777776646</v>
      </c>
      <c r="D290" s="4">
        <v>12.906518</v>
      </c>
      <c r="E290" s="4">
        <v>80.096614</v>
      </c>
      <c r="F290" s="4">
        <v>805.0</v>
      </c>
      <c r="G290" s="4">
        <v>16.0</v>
      </c>
    </row>
    <row r="291">
      <c r="A291" s="4" t="s">
        <v>8</v>
      </c>
      <c r="B291" s="5">
        <v>44739.0</v>
      </c>
      <c r="C291" s="6">
        <v>0.6783101851870015</v>
      </c>
      <c r="D291" s="4">
        <v>12.916831</v>
      </c>
      <c r="E291" s="4">
        <v>80.106779</v>
      </c>
      <c r="F291" s="4">
        <v>805.0</v>
      </c>
      <c r="G291" s="4">
        <v>3.0</v>
      </c>
    </row>
    <row r="292">
      <c r="A292" s="4" t="s">
        <v>8</v>
      </c>
      <c r="B292" s="5">
        <v>44739.0</v>
      </c>
      <c r="C292" s="6">
        <v>0.6783796296294895</v>
      </c>
      <c r="D292" s="4">
        <v>12.916831</v>
      </c>
      <c r="E292" s="4">
        <v>80.106779</v>
      </c>
      <c r="F292" s="4">
        <v>805.0</v>
      </c>
      <c r="G292" s="4">
        <v>3.0</v>
      </c>
    </row>
    <row r="293">
      <c r="A293" s="4" t="s">
        <v>8</v>
      </c>
      <c r="B293" s="5">
        <v>44739.0</v>
      </c>
      <c r="C293" s="6">
        <v>0.6865393518528435</v>
      </c>
      <c r="D293" s="4">
        <v>12.95626</v>
      </c>
      <c r="E293" s="4">
        <v>80.143063</v>
      </c>
      <c r="F293" s="4">
        <v>5339.0</v>
      </c>
      <c r="G293" s="4">
        <v>14.0</v>
      </c>
    </row>
    <row r="294">
      <c r="A294" s="4" t="s">
        <v>8</v>
      </c>
      <c r="B294" s="5">
        <v>44739.0</v>
      </c>
      <c r="C294" s="6">
        <v>0.6865509259259852</v>
      </c>
      <c r="D294" s="4">
        <v>12.95626</v>
      </c>
      <c r="E294" s="4">
        <v>80.143063</v>
      </c>
      <c r="F294" s="4">
        <v>5339.0</v>
      </c>
      <c r="G294" s="4">
        <v>14.0</v>
      </c>
    </row>
    <row r="295">
      <c r="A295" s="4" t="s">
        <v>8</v>
      </c>
      <c r="B295" s="5">
        <v>44739.0</v>
      </c>
      <c r="C295" s="6">
        <v>0.6869675925918273</v>
      </c>
      <c r="D295" s="4">
        <v>12.958031</v>
      </c>
      <c r="E295" s="4">
        <v>80.14399</v>
      </c>
      <c r="F295" s="4">
        <v>5339.0</v>
      </c>
      <c r="G295" s="4">
        <v>20.0</v>
      </c>
    </row>
    <row r="296">
      <c r="A296" s="4" t="s">
        <v>8</v>
      </c>
      <c r="B296" s="5">
        <v>44739.0</v>
      </c>
      <c r="C296" s="6">
        <v>0.6869907407417486</v>
      </c>
      <c r="D296" s="4">
        <v>12.958031</v>
      </c>
      <c r="E296" s="4">
        <v>80.14399</v>
      </c>
      <c r="F296" s="4">
        <v>5339.0</v>
      </c>
      <c r="G296" s="4">
        <v>20.0</v>
      </c>
    </row>
    <row r="297">
      <c r="A297" s="4" t="s">
        <v>8</v>
      </c>
      <c r="B297" s="5">
        <v>44739.0</v>
      </c>
      <c r="C297" s="6">
        <v>0.6935995370367891</v>
      </c>
      <c r="D297" s="4">
        <v>12.993559</v>
      </c>
      <c r="E297" s="4">
        <v>80.184609</v>
      </c>
      <c r="F297" s="4">
        <v>5339.0</v>
      </c>
      <c r="G297" s="4">
        <v>7.0</v>
      </c>
    </row>
    <row r="298">
      <c r="A298" s="4" t="s">
        <v>8</v>
      </c>
      <c r="B298" s="5">
        <v>44739.0</v>
      </c>
      <c r="C298" s="6">
        <v>0.6993518518502242</v>
      </c>
      <c r="D298" s="4">
        <v>13.013332</v>
      </c>
      <c r="E298" s="4">
        <v>80.222463</v>
      </c>
      <c r="F298" s="4">
        <v>5339.0</v>
      </c>
      <c r="G298" s="4">
        <v>8.0</v>
      </c>
    </row>
    <row r="299">
      <c r="A299" s="4" t="s">
        <v>8</v>
      </c>
      <c r="B299" s="5">
        <v>44739.0</v>
      </c>
      <c r="C299" s="6">
        <v>0.6993865740732872</v>
      </c>
      <c r="D299" s="4">
        <v>13.013332</v>
      </c>
      <c r="E299" s="4">
        <v>80.222463</v>
      </c>
      <c r="F299" s="4">
        <v>5339.0</v>
      </c>
      <c r="G299" s="4">
        <v>8.0</v>
      </c>
    </row>
    <row r="300">
      <c r="A300" s="4" t="s">
        <v>8</v>
      </c>
      <c r="B300" s="5">
        <v>44739.0</v>
      </c>
      <c r="C300" s="6">
        <v>0.6993981481464289</v>
      </c>
      <c r="D300" s="4">
        <v>13.013332</v>
      </c>
      <c r="E300" s="4">
        <v>80.222463</v>
      </c>
      <c r="F300" s="4">
        <v>5339.0</v>
      </c>
      <c r="G300" s="4">
        <v>8.0</v>
      </c>
    </row>
    <row r="301">
      <c r="A301" s="4" t="s">
        <v>8</v>
      </c>
      <c r="B301" s="5">
        <v>44739.0</v>
      </c>
      <c r="C301" s="6">
        <v>0.7109490740731417</v>
      </c>
      <c r="D301" s="4">
        <v>13.022941</v>
      </c>
      <c r="E301" s="4">
        <v>80.263797</v>
      </c>
      <c r="F301" s="4">
        <v>805.0</v>
      </c>
      <c r="G301" s="4">
        <v>19.0</v>
      </c>
    </row>
    <row r="302">
      <c r="A302" s="4" t="s">
        <v>8</v>
      </c>
      <c r="B302" s="5">
        <v>44739.0</v>
      </c>
      <c r="C302" s="6">
        <v>0.7109490740731417</v>
      </c>
      <c r="D302" s="4">
        <v>13.022941</v>
      </c>
      <c r="E302" s="4">
        <v>80.263797</v>
      </c>
      <c r="F302" s="4">
        <v>805.0</v>
      </c>
      <c r="G302" s="4">
        <v>19.0</v>
      </c>
    </row>
    <row r="303">
      <c r="A303" s="4" t="s">
        <v>8</v>
      </c>
      <c r="B303" s="5">
        <v>44739.0</v>
      </c>
      <c r="C303" s="6">
        <v>0.7192824074081727</v>
      </c>
      <c r="D303" s="4">
        <v>13.041006</v>
      </c>
      <c r="E303" s="4">
        <v>80.268134</v>
      </c>
      <c r="F303" s="4">
        <v>805.0</v>
      </c>
      <c r="G303" s="4">
        <v>16.0</v>
      </c>
    </row>
    <row r="304">
      <c r="A304" s="4" t="s">
        <v>8</v>
      </c>
      <c r="B304" s="5">
        <v>44739.0</v>
      </c>
      <c r="C304" s="6">
        <v>0.7193402777775191</v>
      </c>
      <c r="D304" s="4">
        <v>13.041006</v>
      </c>
      <c r="E304" s="4">
        <v>80.268134</v>
      </c>
      <c r="F304" s="4">
        <v>805.0</v>
      </c>
      <c r="G304" s="4">
        <v>16.0</v>
      </c>
    </row>
    <row r="305">
      <c r="A305" s="4" t="s">
        <v>8</v>
      </c>
      <c r="B305" s="5">
        <v>44739.0</v>
      </c>
      <c r="C305" s="6">
        <v>0.7193750000005821</v>
      </c>
      <c r="D305" s="4">
        <v>13.041006</v>
      </c>
      <c r="E305" s="4">
        <v>80.268134</v>
      </c>
      <c r="F305" s="4">
        <v>805.0</v>
      </c>
      <c r="G305" s="4">
        <v>16.0</v>
      </c>
    </row>
    <row r="306">
      <c r="A306" s="4" t="s">
        <v>8</v>
      </c>
      <c r="B306" s="5">
        <v>44739.0</v>
      </c>
      <c r="C306" s="6">
        <v>0.7195717592585424</v>
      </c>
      <c r="D306" s="4">
        <v>13.041006</v>
      </c>
      <c r="E306" s="4">
        <v>80.268134</v>
      </c>
      <c r="F306" s="4">
        <v>805.0</v>
      </c>
      <c r="G306" s="4">
        <v>16.0</v>
      </c>
    </row>
    <row r="307">
      <c r="A307" s="4" t="s">
        <v>8</v>
      </c>
      <c r="B307" s="5">
        <v>44739.0</v>
      </c>
      <c r="C307" s="6">
        <v>0.7271180555544561</v>
      </c>
      <c r="D307" s="4">
        <v>13.072452</v>
      </c>
      <c r="E307" s="4">
        <v>80.263179</v>
      </c>
      <c r="F307" s="4">
        <v>5339.0</v>
      </c>
      <c r="G307" s="4">
        <v>12.0</v>
      </c>
    </row>
    <row r="308">
      <c r="A308" s="4" t="s">
        <v>8</v>
      </c>
      <c r="B308" s="5">
        <v>44739.0</v>
      </c>
      <c r="C308" s="6">
        <v>0.7271412037043774</v>
      </c>
      <c r="D308" s="4">
        <v>13.072452</v>
      </c>
      <c r="E308" s="4">
        <v>80.263179</v>
      </c>
      <c r="F308" s="4">
        <v>5339.0</v>
      </c>
      <c r="G308" s="4">
        <v>12.0</v>
      </c>
    </row>
    <row r="309">
      <c r="A309" s="4" t="s">
        <v>8</v>
      </c>
      <c r="B309" s="5">
        <v>44739.0</v>
      </c>
      <c r="C309" s="6">
        <v>0.7271875000005821</v>
      </c>
      <c r="D309" s="4">
        <v>13.072452</v>
      </c>
      <c r="E309" s="4">
        <v>80.263179</v>
      </c>
      <c r="F309" s="4">
        <v>5339.0</v>
      </c>
      <c r="G309" s="4">
        <v>12.0</v>
      </c>
    </row>
    <row r="310">
      <c r="A310" s="4" t="s">
        <v>8</v>
      </c>
      <c r="B310" s="5">
        <v>44739.0</v>
      </c>
      <c r="C310" s="6">
        <v>0.7324189814826241</v>
      </c>
      <c r="D310" s="4">
        <v>13.06766</v>
      </c>
      <c r="E310" s="4">
        <v>80.255134</v>
      </c>
      <c r="F310" s="4">
        <v>805.0</v>
      </c>
      <c r="G310" s="4">
        <v>0.0</v>
      </c>
    </row>
    <row r="311">
      <c r="A311" s="4" t="s">
        <v>8</v>
      </c>
      <c r="B311" s="5">
        <v>44739.0</v>
      </c>
      <c r="C311" s="6">
        <v>0.7324421296289074</v>
      </c>
      <c r="D311" s="4">
        <v>13.06766</v>
      </c>
      <c r="E311" s="4">
        <v>80.255134</v>
      </c>
      <c r="F311" s="4">
        <v>805.0</v>
      </c>
      <c r="G311" s="4">
        <v>0.0</v>
      </c>
    </row>
    <row r="312">
      <c r="A312" s="4" t="s">
        <v>8</v>
      </c>
      <c r="B312" s="5">
        <v>44740.0</v>
      </c>
      <c r="C312" s="6">
        <v>0.684953703705105</v>
      </c>
      <c r="D312" s="4">
        <v>12.955808</v>
      </c>
      <c r="E312" s="4">
        <v>80.142908</v>
      </c>
      <c r="F312" s="4">
        <v>805.0</v>
      </c>
      <c r="G312" s="4">
        <v>0.0</v>
      </c>
    </row>
    <row r="313">
      <c r="A313" s="4" t="s">
        <v>8</v>
      </c>
      <c r="B313" s="5">
        <v>44740.0</v>
      </c>
      <c r="C313" s="6">
        <v>0.6849768518513883</v>
      </c>
      <c r="D313" s="4">
        <v>12.955808</v>
      </c>
      <c r="E313" s="4">
        <v>80.142908</v>
      </c>
      <c r="F313" s="4">
        <v>805.0</v>
      </c>
      <c r="G313" s="4">
        <v>0.0</v>
      </c>
    </row>
    <row r="314">
      <c r="A314" s="4" t="s">
        <v>8</v>
      </c>
      <c r="B314" s="5">
        <v>44740.0</v>
      </c>
      <c r="C314" s="6">
        <v>0.6849768518513883</v>
      </c>
      <c r="D314" s="4">
        <v>12.955808</v>
      </c>
      <c r="E314" s="4">
        <v>80.142908</v>
      </c>
      <c r="F314" s="4">
        <v>805.0</v>
      </c>
      <c r="G314" s="4">
        <v>0.0</v>
      </c>
    </row>
    <row r="315">
      <c r="A315" s="4" t="s">
        <v>8</v>
      </c>
      <c r="B315" s="5">
        <v>44740.0</v>
      </c>
      <c r="C315" s="6">
        <v>0.68498842592453</v>
      </c>
      <c r="D315" s="4">
        <v>12.955808</v>
      </c>
      <c r="E315" s="4">
        <v>80.142908</v>
      </c>
      <c r="F315" s="4">
        <v>805.0</v>
      </c>
      <c r="G315" s="4">
        <v>0.0</v>
      </c>
    </row>
    <row r="316">
      <c r="A316" s="4" t="s">
        <v>8</v>
      </c>
      <c r="B316" s="5">
        <v>44740.0</v>
      </c>
      <c r="C316" s="6">
        <v>0.6850115740744513</v>
      </c>
      <c r="D316" s="4">
        <v>12.955808</v>
      </c>
      <c r="E316" s="4">
        <v>80.142908</v>
      </c>
      <c r="F316" s="4">
        <v>805.0</v>
      </c>
      <c r="G316" s="4">
        <v>0.0</v>
      </c>
    </row>
    <row r="317">
      <c r="A317" s="4" t="s">
        <v>8</v>
      </c>
      <c r="B317" s="5">
        <v>44740.0</v>
      </c>
      <c r="C317" s="6">
        <v>0.703368055554165</v>
      </c>
      <c r="D317" s="4">
        <v>13.006842</v>
      </c>
      <c r="E317" s="4">
        <v>80.250909</v>
      </c>
      <c r="F317" s="4">
        <v>805.0</v>
      </c>
      <c r="G317" s="4">
        <v>17.0</v>
      </c>
    </row>
    <row r="318">
      <c r="A318" s="4" t="s">
        <v>8</v>
      </c>
      <c r="B318" s="5">
        <v>44740.0</v>
      </c>
      <c r="C318" s="6">
        <v>0.703368055554165</v>
      </c>
      <c r="D318" s="4">
        <v>13.006842</v>
      </c>
      <c r="E318" s="4">
        <v>80.250909</v>
      </c>
      <c r="F318" s="4">
        <v>805.0</v>
      </c>
      <c r="G318" s="4">
        <v>17.0</v>
      </c>
    </row>
    <row r="319">
      <c r="A319" s="4" t="s">
        <v>8</v>
      </c>
      <c r="B319" s="5">
        <v>44740.0</v>
      </c>
      <c r="C319" s="6">
        <v>0.7033796296309447</v>
      </c>
      <c r="D319" s="4">
        <v>13.006842</v>
      </c>
      <c r="E319" s="4">
        <v>80.250909</v>
      </c>
      <c r="F319" s="4">
        <v>805.0</v>
      </c>
      <c r="G319" s="4">
        <v>17.0</v>
      </c>
    </row>
    <row r="320">
      <c r="A320" s="4" t="s">
        <v>8</v>
      </c>
      <c r="B320" s="5">
        <v>44740.0</v>
      </c>
      <c r="C320" s="6">
        <v>0.705844907406572</v>
      </c>
      <c r="D320" s="4">
        <v>13.030601</v>
      </c>
      <c r="E320" s="4">
        <v>80.238815</v>
      </c>
      <c r="F320" s="4">
        <v>5339.0</v>
      </c>
      <c r="G320" s="4">
        <v>0.0</v>
      </c>
    </row>
    <row r="321">
      <c r="A321" s="4" t="s">
        <v>8</v>
      </c>
      <c r="B321" s="5">
        <v>44740.0</v>
      </c>
      <c r="C321" s="6">
        <v>0.705844907406572</v>
      </c>
      <c r="D321" s="4">
        <v>13.030601</v>
      </c>
      <c r="E321" s="4">
        <v>80.238815</v>
      </c>
      <c r="F321" s="4">
        <v>5339.0</v>
      </c>
      <c r="G321" s="4">
        <v>0.0</v>
      </c>
    </row>
    <row r="322">
      <c r="A322" s="4" t="s">
        <v>8</v>
      </c>
      <c r="B322" s="5">
        <v>44740.0</v>
      </c>
      <c r="C322" s="6">
        <v>0.7148032407421852</v>
      </c>
      <c r="D322" s="4">
        <v>13.053973</v>
      </c>
      <c r="E322" s="4">
        <v>80.253133</v>
      </c>
      <c r="F322" s="4">
        <v>5339.0</v>
      </c>
      <c r="G322" s="4">
        <v>0.0</v>
      </c>
    </row>
    <row r="323">
      <c r="A323" s="4" t="s">
        <v>8</v>
      </c>
      <c r="B323" s="5">
        <v>44740.0</v>
      </c>
      <c r="C323" s="6">
        <v>0.7148148148153268</v>
      </c>
      <c r="D323" s="4">
        <v>13.053973</v>
      </c>
      <c r="E323" s="4">
        <v>80.253133</v>
      </c>
      <c r="F323" s="4">
        <v>5339.0</v>
      </c>
      <c r="G323" s="4">
        <v>0.0</v>
      </c>
    </row>
    <row r="324">
      <c r="A324" s="4" t="s">
        <v>8</v>
      </c>
      <c r="B324" s="5">
        <v>44740.0</v>
      </c>
      <c r="C324" s="6">
        <v>0.7209606481483206</v>
      </c>
      <c r="D324" s="4">
        <v>13.055159</v>
      </c>
      <c r="E324" s="4">
        <v>80.264319</v>
      </c>
      <c r="F324" s="4">
        <v>805.0</v>
      </c>
      <c r="G324" s="4">
        <v>16.0</v>
      </c>
    </row>
    <row r="325">
      <c r="A325" s="4" t="s">
        <v>8</v>
      </c>
      <c r="B325" s="5">
        <v>44740.0</v>
      </c>
      <c r="C325" s="6">
        <v>0.7209953703713836</v>
      </c>
      <c r="D325" s="4">
        <v>13.055159</v>
      </c>
      <c r="E325" s="4">
        <v>80.264319</v>
      </c>
      <c r="F325" s="4">
        <v>805.0</v>
      </c>
      <c r="G325" s="4">
        <v>16.0</v>
      </c>
    </row>
    <row r="326">
      <c r="A326" s="4" t="s">
        <v>8</v>
      </c>
      <c r="B326" s="5">
        <v>44740.0</v>
      </c>
      <c r="C326" s="6">
        <v>0.7209953703713836</v>
      </c>
      <c r="D326" s="4">
        <v>13.055159</v>
      </c>
      <c r="E326" s="4">
        <v>80.264319</v>
      </c>
      <c r="F326" s="4">
        <v>805.0</v>
      </c>
      <c r="G326" s="4">
        <v>16.0</v>
      </c>
    </row>
    <row r="327">
      <c r="A327" s="4" t="s">
        <v>8</v>
      </c>
      <c r="B327" s="5">
        <v>44740.0</v>
      </c>
      <c r="C327" s="6">
        <v>0.721018518517667</v>
      </c>
      <c r="D327" s="4">
        <v>13.055159</v>
      </c>
      <c r="E327" s="4">
        <v>80.264319</v>
      </c>
      <c r="F327" s="4">
        <v>805.0</v>
      </c>
      <c r="G327" s="4">
        <v>16.0</v>
      </c>
    </row>
    <row r="328">
      <c r="A328" s="4" t="s">
        <v>8</v>
      </c>
      <c r="B328" s="5">
        <v>44740.0</v>
      </c>
      <c r="C328" s="6">
        <v>0.721018518517667</v>
      </c>
      <c r="D328" s="4">
        <v>13.055159</v>
      </c>
      <c r="E328" s="4">
        <v>80.264319</v>
      </c>
      <c r="F328" s="4">
        <v>805.0</v>
      </c>
      <c r="G328" s="4">
        <v>16.0</v>
      </c>
    </row>
    <row r="329">
      <c r="A329" s="4" t="s">
        <v>8</v>
      </c>
      <c r="B329" s="5">
        <v>44740.0</v>
      </c>
      <c r="C329" s="6">
        <v>0.7357407407398568</v>
      </c>
      <c r="D329" s="4">
        <v>13.067655</v>
      </c>
      <c r="E329" s="4">
        <v>80.255068</v>
      </c>
      <c r="F329" s="4">
        <v>5339.0</v>
      </c>
      <c r="G329" s="4">
        <v>9.0</v>
      </c>
    </row>
    <row r="330">
      <c r="A330" s="4" t="s">
        <v>8</v>
      </c>
      <c r="B330" s="5">
        <v>44740.0</v>
      </c>
      <c r="C330" s="6">
        <v>0.7357407407398568</v>
      </c>
      <c r="D330" s="4">
        <v>13.067655</v>
      </c>
      <c r="E330" s="4">
        <v>80.255068</v>
      </c>
      <c r="F330" s="4">
        <v>5339.0</v>
      </c>
      <c r="G330" s="4">
        <v>9.0</v>
      </c>
    </row>
    <row r="331">
      <c r="A331" s="4" t="s">
        <v>8</v>
      </c>
      <c r="B331" s="5">
        <v>44741.0</v>
      </c>
      <c r="C331" s="6">
        <v>0.34802083333488554</v>
      </c>
      <c r="D331" s="4">
        <v>12.917104</v>
      </c>
      <c r="E331" s="4">
        <v>80.107378</v>
      </c>
      <c r="F331" s="4">
        <v>805.0</v>
      </c>
      <c r="G331" s="4">
        <v>16.0</v>
      </c>
    </row>
    <row r="332">
      <c r="A332" s="4" t="s">
        <v>8</v>
      </c>
      <c r="B332" s="5">
        <v>44741.0</v>
      </c>
      <c r="C332" s="6">
        <v>0.3480324074080272</v>
      </c>
      <c r="D332" s="4">
        <v>12.917104</v>
      </c>
      <c r="E332" s="4">
        <v>80.107378</v>
      </c>
      <c r="F332" s="4">
        <v>805.0</v>
      </c>
      <c r="G332" s="4">
        <v>16.0</v>
      </c>
    </row>
    <row r="333">
      <c r="A333" s="4" t="s">
        <v>8</v>
      </c>
      <c r="B333" s="5">
        <v>44741.0</v>
      </c>
      <c r="C333" s="6">
        <v>0.3495949074058444</v>
      </c>
      <c r="D333" s="4">
        <v>12.907094</v>
      </c>
      <c r="E333" s="4">
        <v>80.097003</v>
      </c>
      <c r="F333" s="4">
        <v>805.0</v>
      </c>
      <c r="G333" s="4">
        <v>14.0</v>
      </c>
    </row>
    <row r="334">
      <c r="A334" s="4" t="s">
        <v>8</v>
      </c>
      <c r="B334" s="5">
        <v>44741.0</v>
      </c>
      <c r="C334" s="6">
        <v>0.3495949074058444</v>
      </c>
      <c r="D334" s="4">
        <v>12.907094</v>
      </c>
      <c r="E334" s="4">
        <v>80.097003</v>
      </c>
      <c r="F334" s="4">
        <v>805.0</v>
      </c>
      <c r="G334" s="4">
        <v>14.0</v>
      </c>
    </row>
    <row r="335">
      <c r="A335" s="4" t="s">
        <v>8</v>
      </c>
      <c r="B335" s="5">
        <v>44741.0</v>
      </c>
      <c r="C335" s="6">
        <v>0.6838657407424762</v>
      </c>
      <c r="D335" s="4">
        <v>12.936165</v>
      </c>
      <c r="E335" s="4">
        <v>80.127044</v>
      </c>
      <c r="F335" s="4">
        <v>805.0</v>
      </c>
      <c r="G335" s="4">
        <v>15.0</v>
      </c>
    </row>
    <row r="336">
      <c r="A336" s="4" t="s">
        <v>8</v>
      </c>
      <c r="B336" s="5">
        <v>44741.0</v>
      </c>
      <c r="C336" s="6">
        <v>0.6839004629619012</v>
      </c>
      <c r="D336" s="4">
        <v>12.936165</v>
      </c>
      <c r="E336" s="4">
        <v>80.127044</v>
      </c>
      <c r="F336" s="4">
        <v>805.0</v>
      </c>
      <c r="G336" s="4">
        <v>15.0</v>
      </c>
    </row>
    <row r="337">
      <c r="A337" s="4" t="s">
        <v>8</v>
      </c>
      <c r="B337" s="5">
        <v>44741.0</v>
      </c>
      <c r="C337" s="6">
        <v>0.6839004629619012</v>
      </c>
      <c r="D337" s="4">
        <v>12.936165</v>
      </c>
      <c r="E337" s="4">
        <v>80.127044</v>
      </c>
      <c r="F337" s="4">
        <v>805.0</v>
      </c>
      <c r="G337" s="4">
        <v>15.0</v>
      </c>
    </row>
    <row r="338">
      <c r="A338" s="4" t="s">
        <v>8</v>
      </c>
      <c r="B338" s="5">
        <v>44741.0</v>
      </c>
      <c r="C338" s="6">
        <v>0.6846527777779556</v>
      </c>
      <c r="D338" s="4">
        <v>12.942248</v>
      </c>
      <c r="E338" s="4">
        <v>80.132698</v>
      </c>
      <c r="F338" s="4">
        <v>805.0</v>
      </c>
      <c r="G338" s="4">
        <v>7.0</v>
      </c>
    </row>
    <row r="339">
      <c r="A339" s="4" t="s">
        <v>8</v>
      </c>
      <c r="B339" s="5">
        <v>44741.0</v>
      </c>
      <c r="C339" s="6">
        <v>0.6847222222204437</v>
      </c>
      <c r="D339" s="4">
        <v>12.942248</v>
      </c>
      <c r="E339" s="4">
        <v>80.132698</v>
      </c>
      <c r="F339" s="4">
        <v>805.0</v>
      </c>
      <c r="G339" s="4">
        <v>7.0</v>
      </c>
    </row>
    <row r="340">
      <c r="A340" s="4" t="s">
        <v>8</v>
      </c>
      <c r="B340" s="5">
        <v>44741.0</v>
      </c>
      <c r="C340" s="6">
        <v>0.684780092593428</v>
      </c>
      <c r="D340" s="4">
        <v>12.942248</v>
      </c>
      <c r="E340" s="4">
        <v>80.132698</v>
      </c>
      <c r="F340" s="4">
        <v>805.0</v>
      </c>
      <c r="G340" s="4">
        <v>7.0</v>
      </c>
    </row>
    <row r="341">
      <c r="A341" s="4" t="s">
        <v>8</v>
      </c>
      <c r="B341" s="5">
        <v>44741.0</v>
      </c>
      <c r="C341" s="6">
        <v>0.684814814816491</v>
      </c>
      <c r="D341" s="4">
        <v>12.942248</v>
      </c>
      <c r="E341" s="4">
        <v>80.132698</v>
      </c>
      <c r="F341" s="4">
        <v>805.0</v>
      </c>
      <c r="G341" s="4">
        <v>7.0</v>
      </c>
    </row>
    <row r="342">
      <c r="A342" s="4" t="s">
        <v>8</v>
      </c>
      <c r="B342" s="5">
        <v>44741.0</v>
      </c>
      <c r="C342" s="6">
        <v>0.6946296296300716</v>
      </c>
      <c r="D342" s="4">
        <v>12.995806</v>
      </c>
      <c r="E342" s="4">
        <v>80.188903</v>
      </c>
      <c r="F342" s="4">
        <v>805.0</v>
      </c>
      <c r="G342" s="4">
        <v>0.0</v>
      </c>
    </row>
    <row r="343">
      <c r="A343" s="4" t="s">
        <v>8</v>
      </c>
      <c r="B343" s="5">
        <v>44741.0</v>
      </c>
      <c r="C343" s="6">
        <v>0.6947453703687643</v>
      </c>
      <c r="D343" s="4">
        <v>12.995806</v>
      </c>
      <c r="E343" s="4">
        <v>80.188903</v>
      </c>
      <c r="F343" s="4">
        <v>805.0</v>
      </c>
      <c r="G343" s="4">
        <v>0.0</v>
      </c>
    </row>
    <row r="344">
      <c r="A344" s="4" t="s">
        <v>8</v>
      </c>
      <c r="B344" s="5">
        <v>44741.0</v>
      </c>
      <c r="C344" s="6">
        <v>0.6948611111110949</v>
      </c>
      <c r="D344" s="4">
        <v>12.995806</v>
      </c>
      <c r="E344" s="4">
        <v>80.188903</v>
      </c>
      <c r="F344" s="4">
        <v>805.0</v>
      </c>
      <c r="G344" s="4">
        <v>0.0</v>
      </c>
    </row>
    <row r="345">
      <c r="A345" s="4" t="s">
        <v>8</v>
      </c>
      <c r="B345" s="5">
        <v>44741.0</v>
      </c>
      <c r="C345" s="6">
        <v>0.7018402777794108</v>
      </c>
      <c r="D345" s="4">
        <v>13.015016</v>
      </c>
      <c r="E345" s="4">
        <v>80.225891</v>
      </c>
      <c r="F345" s="4">
        <v>805.0</v>
      </c>
      <c r="G345" s="4">
        <v>0.0</v>
      </c>
    </row>
    <row r="346">
      <c r="A346" s="4" t="s">
        <v>8</v>
      </c>
      <c r="B346" s="5">
        <v>44741.0</v>
      </c>
      <c r="C346" s="6">
        <v>0.7021064814798592</v>
      </c>
      <c r="D346" s="4">
        <v>13.015016</v>
      </c>
      <c r="E346" s="4">
        <v>80.225891</v>
      </c>
      <c r="F346" s="4">
        <v>805.0</v>
      </c>
      <c r="G346" s="4">
        <v>0.0</v>
      </c>
    </row>
    <row r="347">
      <c r="A347" s="4" t="s">
        <v>8</v>
      </c>
      <c r="B347" s="5">
        <v>44741.0</v>
      </c>
      <c r="C347" s="6">
        <v>0.7068171296305081</v>
      </c>
      <c r="D347" s="4">
        <v>13.00677</v>
      </c>
      <c r="E347" s="4">
        <v>80.247851</v>
      </c>
      <c r="F347" s="4">
        <v>805.0</v>
      </c>
      <c r="G347" s="4">
        <v>0.0</v>
      </c>
    </row>
    <row r="348">
      <c r="A348" s="4" t="s">
        <v>8</v>
      </c>
      <c r="B348" s="5">
        <v>44742.0</v>
      </c>
      <c r="C348" s="6">
        <v>0.6816435185173759</v>
      </c>
      <c r="D348" s="4">
        <v>12.821544</v>
      </c>
      <c r="E348" s="4">
        <v>80.037975</v>
      </c>
      <c r="F348" s="4">
        <v>2846.0</v>
      </c>
      <c r="G348" s="4">
        <v>16.0</v>
      </c>
    </row>
    <row r="349">
      <c r="A349" s="4" t="s">
        <v>8</v>
      </c>
      <c r="B349" s="5">
        <v>44742.0</v>
      </c>
      <c r="C349" s="6">
        <v>0.6816782407404389</v>
      </c>
      <c r="D349" s="4">
        <v>12.821544</v>
      </c>
      <c r="E349" s="4">
        <v>80.037975</v>
      </c>
      <c r="F349" s="4">
        <v>2846.0</v>
      </c>
      <c r="G349" s="4">
        <v>16.0</v>
      </c>
    </row>
    <row r="350">
      <c r="A350" s="4" t="s">
        <v>8</v>
      </c>
      <c r="B350" s="5">
        <v>44742.0</v>
      </c>
      <c r="C350" s="6">
        <v>0.6914930555540195</v>
      </c>
      <c r="D350" s="4">
        <v>12.995841</v>
      </c>
      <c r="E350" s="4">
        <v>80.188971</v>
      </c>
      <c r="F350" s="4">
        <v>805.0</v>
      </c>
      <c r="G350" s="4">
        <v>11.0</v>
      </c>
    </row>
    <row r="351">
      <c r="A351" s="4" t="s">
        <v>8</v>
      </c>
      <c r="B351" s="5">
        <v>44742.0</v>
      </c>
      <c r="C351" s="6">
        <v>0.6915046296307992</v>
      </c>
      <c r="D351" s="4">
        <v>12.995841</v>
      </c>
      <c r="E351" s="4">
        <v>80.188971</v>
      </c>
      <c r="F351" s="4">
        <v>805.0</v>
      </c>
      <c r="G351" s="4">
        <v>11.0</v>
      </c>
    </row>
    <row r="352">
      <c r="A352" s="4" t="s">
        <v>8</v>
      </c>
      <c r="B352" s="5">
        <v>44742.0</v>
      </c>
      <c r="C352" s="6">
        <v>0.6915046296307992</v>
      </c>
      <c r="D352" s="4">
        <v>12.995841</v>
      </c>
      <c r="E352" s="4">
        <v>80.188971</v>
      </c>
      <c r="F352" s="4">
        <v>805.0</v>
      </c>
      <c r="G352" s="4">
        <v>11.0</v>
      </c>
    </row>
    <row r="353">
      <c r="A353" s="4" t="s">
        <v>8</v>
      </c>
      <c r="B353" s="5">
        <v>44742.0</v>
      </c>
      <c r="C353" s="6">
        <v>0.6915046296307992</v>
      </c>
      <c r="D353" s="4">
        <v>12.995841</v>
      </c>
      <c r="E353" s="4">
        <v>80.188971</v>
      </c>
      <c r="F353" s="4">
        <v>805.0</v>
      </c>
      <c r="G353" s="4">
        <v>11.0</v>
      </c>
    </row>
    <row r="354">
      <c r="A354" s="4" t="s">
        <v>8</v>
      </c>
      <c r="B354" s="5">
        <v>44742.0</v>
      </c>
      <c r="C354" s="6">
        <v>0.6975347222214623</v>
      </c>
      <c r="D354" s="4">
        <v>13.014918</v>
      </c>
      <c r="E354" s="4">
        <v>80.225962</v>
      </c>
      <c r="F354" s="4">
        <v>805.0</v>
      </c>
      <c r="G354" s="4">
        <v>0.0</v>
      </c>
    </row>
    <row r="355">
      <c r="A355" s="4" t="s">
        <v>8</v>
      </c>
      <c r="B355" s="5">
        <v>44742.0</v>
      </c>
      <c r="C355" s="6">
        <v>0.6976041666675883</v>
      </c>
      <c r="D355" s="4">
        <v>13.014918</v>
      </c>
      <c r="E355" s="4">
        <v>80.225962</v>
      </c>
      <c r="F355" s="4">
        <v>805.0</v>
      </c>
      <c r="G355" s="4">
        <v>0.0</v>
      </c>
    </row>
    <row r="356">
      <c r="A356" s="4" t="s">
        <v>8</v>
      </c>
      <c r="B356" s="5">
        <v>44742.0</v>
      </c>
      <c r="C356" s="6">
        <v>0.6988078703689098</v>
      </c>
      <c r="D356" s="4">
        <v>13.008064</v>
      </c>
      <c r="E356" s="4">
        <v>80.234098</v>
      </c>
      <c r="F356" s="4">
        <v>805.0</v>
      </c>
      <c r="G356" s="4">
        <v>0.0</v>
      </c>
    </row>
    <row r="357">
      <c r="A357" s="4" t="s">
        <v>8</v>
      </c>
      <c r="B357" s="5">
        <v>44742.0</v>
      </c>
      <c r="C357" s="6">
        <v>0.6988194444456894</v>
      </c>
      <c r="D357" s="4">
        <v>13.008064</v>
      </c>
      <c r="E357" s="4">
        <v>80.234098</v>
      </c>
      <c r="F357" s="4">
        <v>805.0</v>
      </c>
      <c r="G357" s="4">
        <v>0.0</v>
      </c>
    </row>
    <row r="358">
      <c r="A358" s="4" t="s">
        <v>8</v>
      </c>
      <c r="B358" s="5">
        <v>44742.0</v>
      </c>
      <c r="C358" s="6">
        <v>0.7083333333321207</v>
      </c>
      <c r="D358" s="4">
        <v>13.055609</v>
      </c>
      <c r="E358" s="4">
        <v>80.255331</v>
      </c>
      <c r="F358" s="4">
        <v>5339.0</v>
      </c>
      <c r="G358" s="4">
        <v>20.0</v>
      </c>
    </row>
    <row r="359">
      <c r="A359" s="4" t="s">
        <v>8</v>
      </c>
      <c r="B359" s="5">
        <v>44742.0</v>
      </c>
      <c r="C359" s="6">
        <v>0.708356481482042</v>
      </c>
      <c r="D359" s="4">
        <v>13.055609</v>
      </c>
      <c r="E359" s="4">
        <v>80.255331</v>
      </c>
      <c r="F359" s="4">
        <v>5339.0</v>
      </c>
      <c r="G359" s="4">
        <v>20.0</v>
      </c>
    </row>
    <row r="360">
      <c r="A360" s="4" t="s">
        <v>8</v>
      </c>
      <c r="B360" s="5">
        <v>44742.0</v>
      </c>
      <c r="C360" s="6">
        <v>0.7102314814801503</v>
      </c>
      <c r="D360" s="4">
        <v>13.054271</v>
      </c>
      <c r="E360" s="4">
        <v>80.260392</v>
      </c>
      <c r="F360" s="4">
        <v>5339.0</v>
      </c>
      <c r="G360" s="4">
        <v>19.0</v>
      </c>
    </row>
    <row r="361">
      <c r="A361" s="4" t="s">
        <v>8</v>
      </c>
      <c r="B361" s="5">
        <v>44742.0</v>
      </c>
      <c r="C361" s="6">
        <v>0.7103472222224809</v>
      </c>
      <c r="D361" s="4">
        <v>13.054271</v>
      </c>
      <c r="E361" s="4">
        <v>80.260392</v>
      </c>
      <c r="F361" s="4">
        <v>5339.0</v>
      </c>
      <c r="G361" s="4">
        <v>19.0</v>
      </c>
    </row>
    <row r="362">
      <c r="A362" s="4" t="s">
        <v>8</v>
      </c>
      <c r="B362" s="5">
        <v>44742.0</v>
      </c>
      <c r="C362" s="6">
        <v>0.7199768518512428</v>
      </c>
      <c r="D362" s="4">
        <v>13.040018</v>
      </c>
      <c r="E362" s="4">
        <v>80.267878</v>
      </c>
      <c r="F362" s="4">
        <v>805.0</v>
      </c>
      <c r="G362" s="4">
        <v>12.0</v>
      </c>
    </row>
    <row r="363">
      <c r="A363" s="4" t="s">
        <v>8</v>
      </c>
      <c r="B363" s="5">
        <v>44742.0</v>
      </c>
      <c r="C363" s="6">
        <v>0.7201157407398568</v>
      </c>
      <c r="D363" s="4">
        <v>13.040018</v>
      </c>
      <c r="E363" s="4">
        <v>80.267878</v>
      </c>
      <c r="F363" s="4">
        <v>805.0</v>
      </c>
      <c r="G363" s="4">
        <v>12.0</v>
      </c>
    </row>
    <row r="364">
      <c r="A364" s="4" t="s">
        <v>8</v>
      </c>
      <c r="B364" s="5">
        <v>44742.0</v>
      </c>
      <c r="C364" s="6">
        <v>0.7201157407398568</v>
      </c>
      <c r="D364" s="4">
        <v>13.040018</v>
      </c>
      <c r="E364" s="4">
        <v>80.267878</v>
      </c>
      <c r="F364" s="4">
        <v>805.0</v>
      </c>
      <c r="G364" s="4">
        <v>12.0</v>
      </c>
    </row>
    <row r="365">
      <c r="A365" s="4" t="s">
        <v>8</v>
      </c>
      <c r="B365" s="5">
        <v>44742.0</v>
      </c>
      <c r="C365" s="6">
        <v>0.7366666666675883</v>
      </c>
      <c r="D365" s="4">
        <v>13.066758</v>
      </c>
      <c r="E365" s="4">
        <v>80.254233</v>
      </c>
      <c r="F365" s="4">
        <v>805.0</v>
      </c>
      <c r="G365" s="4">
        <v>19.0</v>
      </c>
    </row>
    <row r="366">
      <c r="A366" s="4" t="s">
        <v>8</v>
      </c>
      <c r="B366" s="5">
        <v>44742.0</v>
      </c>
      <c r="C366" s="6">
        <v>0.7366898148138716</v>
      </c>
      <c r="D366" s="4">
        <v>13.066758</v>
      </c>
      <c r="E366" s="4">
        <v>80.254233</v>
      </c>
      <c r="F366" s="4">
        <v>805.0</v>
      </c>
      <c r="G366" s="4">
        <v>19.0</v>
      </c>
    </row>
    <row r="367">
      <c r="A367" s="4" t="s">
        <v>8</v>
      </c>
      <c r="B367" s="5">
        <v>44742.0</v>
      </c>
      <c r="C367" s="6">
        <v>0.7366898148138716</v>
      </c>
      <c r="D367" s="4">
        <v>13.066758</v>
      </c>
      <c r="E367" s="4">
        <v>80.254233</v>
      </c>
      <c r="F367" s="4">
        <v>805.0</v>
      </c>
      <c r="G367" s="4">
        <v>19.0</v>
      </c>
    </row>
    <row r="368">
      <c r="A368" s="4" t="s">
        <v>8</v>
      </c>
      <c r="B368" s="5">
        <v>44743.0</v>
      </c>
      <c r="C368" s="6">
        <v>0.33104166666817036</v>
      </c>
      <c r="D368" s="4">
        <v>13.011127</v>
      </c>
      <c r="E368" s="4">
        <v>80.223868</v>
      </c>
      <c r="F368" s="4">
        <v>805.0</v>
      </c>
      <c r="G368" s="4">
        <v>17.0</v>
      </c>
    </row>
    <row r="369">
      <c r="A369" s="4" t="s">
        <v>8</v>
      </c>
      <c r="B369" s="5">
        <v>44743.0</v>
      </c>
      <c r="C369" s="6">
        <v>0.3310648148144537</v>
      </c>
      <c r="D369" s="4">
        <v>13.011127</v>
      </c>
      <c r="E369" s="4">
        <v>80.223868</v>
      </c>
      <c r="F369" s="4">
        <v>805.0</v>
      </c>
      <c r="G369" s="4">
        <v>17.0</v>
      </c>
    </row>
    <row r="370">
      <c r="A370" s="4" t="s">
        <v>8</v>
      </c>
      <c r="B370" s="5">
        <v>44743.0</v>
      </c>
      <c r="C370" s="6">
        <v>0.3310648148144537</v>
      </c>
      <c r="D370" s="4">
        <v>13.011127</v>
      </c>
      <c r="E370" s="4">
        <v>80.223868</v>
      </c>
      <c r="F370" s="4">
        <v>805.0</v>
      </c>
      <c r="G370" s="4">
        <v>17.0</v>
      </c>
    </row>
    <row r="371">
      <c r="A371" s="4" t="s">
        <v>8</v>
      </c>
      <c r="B371" s="5">
        <v>44743.0</v>
      </c>
      <c r="C371" s="6">
        <v>0.3310763888875954</v>
      </c>
      <c r="D371" s="4">
        <v>13.011127</v>
      </c>
      <c r="E371" s="4">
        <v>80.223868</v>
      </c>
      <c r="F371" s="4">
        <v>805.0</v>
      </c>
      <c r="G371" s="4">
        <v>17.0</v>
      </c>
    </row>
    <row r="372">
      <c r="A372" s="4" t="s">
        <v>8</v>
      </c>
      <c r="B372" s="5">
        <v>44743.0</v>
      </c>
      <c r="C372" s="6">
        <v>0.3389583333337214</v>
      </c>
      <c r="D372" s="4">
        <v>12.923229</v>
      </c>
      <c r="E372" s="4">
        <v>80.11439</v>
      </c>
      <c r="F372" s="4">
        <v>5339.0</v>
      </c>
      <c r="G372" s="4">
        <v>13.0</v>
      </c>
    </row>
    <row r="373">
      <c r="A373" s="4" t="s">
        <v>8</v>
      </c>
      <c r="B373" s="5">
        <v>44743.0</v>
      </c>
      <c r="C373" s="6">
        <v>0.33896990740686306</v>
      </c>
      <c r="D373" s="4">
        <v>12.923229</v>
      </c>
      <c r="E373" s="4">
        <v>80.11439</v>
      </c>
      <c r="F373" s="4">
        <v>5339.0</v>
      </c>
      <c r="G373" s="4">
        <v>13.0</v>
      </c>
    </row>
    <row r="374">
      <c r="A374" s="4" t="s">
        <v>8</v>
      </c>
      <c r="B374" s="5">
        <v>44743.0</v>
      </c>
      <c r="C374" s="6">
        <v>0.33898148148000473</v>
      </c>
      <c r="D374" s="4">
        <v>12.923229</v>
      </c>
      <c r="E374" s="4">
        <v>80.11439</v>
      </c>
      <c r="F374" s="4">
        <v>5339.0</v>
      </c>
      <c r="G374" s="4">
        <v>13.0</v>
      </c>
    </row>
    <row r="375">
      <c r="A375" s="4" t="s">
        <v>8</v>
      </c>
      <c r="B375" s="5">
        <v>44743.0</v>
      </c>
      <c r="C375" s="6">
        <v>0.3441435185195587</v>
      </c>
      <c r="D375" s="4">
        <v>12.961874</v>
      </c>
      <c r="E375" s="4">
        <v>80.146294</v>
      </c>
      <c r="F375" s="4">
        <v>805.0</v>
      </c>
      <c r="G375" s="4">
        <v>17.0</v>
      </c>
    </row>
    <row r="376">
      <c r="A376" s="4" t="s">
        <v>8</v>
      </c>
      <c r="B376" s="5">
        <v>44743.0</v>
      </c>
      <c r="C376" s="6">
        <v>0.34428240740817273</v>
      </c>
      <c r="D376" s="4">
        <v>12.961874</v>
      </c>
      <c r="E376" s="4">
        <v>80.146294</v>
      </c>
      <c r="F376" s="4">
        <v>805.0</v>
      </c>
      <c r="G376" s="4">
        <v>17.0</v>
      </c>
    </row>
    <row r="377">
      <c r="A377" s="4" t="s">
        <v>8</v>
      </c>
      <c r="B377" s="5">
        <v>44743.0</v>
      </c>
      <c r="C377" s="6">
        <v>0.34543981481328956</v>
      </c>
      <c r="D377" s="4">
        <v>12.86694</v>
      </c>
      <c r="E377" s="4">
        <v>80.075167</v>
      </c>
      <c r="F377" s="4">
        <v>2846.0</v>
      </c>
      <c r="G377" s="4">
        <v>16.0</v>
      </c>
    </row>
    <row r="378">
      <c r="A378" s="4" t="s">
        <v>8</v>
      </c>
      <c r="B378" s="5">
        <v>44743.0</v>
      </c>
      <c r="C378" s="6">
        <v>0.34552083333255723</v>
      </c>
      <c r="D378" s="4">
        <v>12.86694</v>
      </c>
      <c r="E378" s="4">
        <v>80.075167</v>
      </c>
      <c r="F378" s="4">
        <v>2846.0</v>
      </c>
      <c r="G378" s="4">
        <v>16.0</v>
      </c>
    </row>
    <row r="379">
      <c r="A379" s="4" t="s">
        <v>8</v>
      </c>
      <c r="B379" s="5">
        <v>44743.0</v>
      </c>
      <c r="C379" s="6">
        <v>0.35055555555663886</v>
      </c>
      <c r="D379" s="4">
        <v>12.923254</v>
      </c>
      <c r="E379" s="4">
        <v>80.114477</v>
      </c>
      <c r="F379" s="4">
        <v>805.0</v>
      </c>
      <c r="G379" s="4">
        <v>14.0</v>
      </c>
    </row>
    <row r="380">
      <c r="A380" s="4" t="s">
        <v>8</v>
      </c>
      <c r="B380" s="5">
        <v>44743.0</v>
      </c>
      <c r="C380" s="6">
        <v>0.3506249999991269</v>
      </c>
      <c r="D380" s="4">
        <v>12.923254</v>
      </c>
      <c r="E380" s="4">
        <v>80.114477</v>
      </c>
      <c r="F380" s="4">
        <v>805.0</v>
      </c>
      <c r="G380" s="4">
        <v>14.0</v>
      </c>
    </row>
    <row r="381">
      <c r="A381" s="4" t="s">
        <v>8</v>
      </c>
      <c r="B381" s="5">
        <v>44743.0</v>
      </c>
      <c r="C381" s="6">
        <v>0.3519675925927004</v>
      </c>
      <c r="D381" s="4">
        <v>12.91705</v>
      </c>
      <c r="E381" s="4">
        <v>80.107304</v>
      </c>
      <c r="F381" s="4">
        <v>805.0</v>
      </c>
      <c r="G381" s="4">
        <v>5.0</v>
      </c>
    </row>
    <row r="382">
      <c r="A382" s="4" t="s">
        <v>8</v>
      </c>
      <c r="B382" s="5">
        <v>44743.0</v>
      </c>
      <c r="C382" s="6">
        <v>0.3520370370388264</v>
      </c>
      <c r="D382" s="4">
        <v>12.91705</v>
      </c>
      <c r="E382" s="4">
        <v>80.107304</v>
      </c>
      <c r="F382" s="4">
        <v>805.0</v>
      </c>
      <c r="G382" s="4">
        <v>5.0</v>
      </c>
    </row>
    <row r="383">
      <c r="A383" s="4" t="s">
        <v>8</v>
      </c>
      <c r="B383" s="5">
        <v>44743.0</v>
      </c>
      <c r="C383" s="6">
        <v>0.6729745370357705</v>
      </c>
      <c r="D383" s="4">
        <v>12.875854</v>
      </c>
      <c r="E383" s="4">
        <v>80.083766</v>
      </c>
      <c r="F383" s="4">
        <v>805.0</v>
      </c>
      <c r="G383" s="4">
        <v>0.0</v>
      </c>
    </row>
    <row r="384">
      <c r="A384" s="4" t="s">
        <v>8</v>
      </c>
      <c r="B384" s="5">
        <v>44743.0</v>
      </c>
      <c r="C384" s="6">
        <v>0.6729745370357705</v>
      </c>
      <c r="D384" s="4">
        <v>12.875854</v>
      </c>
      <c r="E384" s="4">
        <v>80.083766</v>
      </c>
      <c r="F384" s="4">
        <v>805.0</v>
      </c>
      <c r="G384" s="4">
        <v>0.0</v>
      </c>
    </row>
    <row r="385">
      <c r="A385" s="4" t="s">
        <v>8</v>
      </c>
      <c r="B385" s="5">
        <v>44743.0</v>
      </c>
      <c r="C385" s="6">
        <v>0.6729976851856918</v>
      </c>
      <c r="D385" s="4">
        <v>12.875854</v>
      </c>
      <c r="E385" s="4">
        <v>80.083766</v>
      </c>
      <c r="F385" s="4">
        <v>805.0</v>
      </c>
      <c r="G385" s="4">
        <v>0.0</v>
      </c>
    </row>
    <row r="386">
      <c r="A386" s="4" t="s">
        <v>8</v>
      </c>
      <c r="B386" s="5">
        <v>44743.0</v>
      </c>
      <c r="C386" s="6">
        <v>0.6730092592588335</v>
      </c>
      <c r="D386" s="4">
        <v>12.875854</v>
      </c>
      <c r="E386" s="4">
        <v>80.083766</v>
      </c>
      <c r="F386" s="4">
        <v>805.0</v>
      </c>
      <c r="G386" s="4">
        <v>0.0</v>
      </c>
    </row>
    <row r="387">
      <c r="A387" s="4" t="s">
        <v>8</v>
      </c>
      <c r="B387" s="5">
        <v>44743.0</v>
      </c>
      <c r="C387" s="6">
        <v>0.6730208333319752</v>
      </c>
      <c r="D387" s="4">
        <v>12.875854</v>
      </c>
      <c r="E387" s="4">
        <v>80.083766</v>
      </c>
      <c r="F387" s="4">
        <v>805.0</v>
      </c>
      <c r="G387" s="4">
        <v>0.0</v>
      </c>
    </row>
    <row r="388">
      <c r="A388" s="4" t="s">
        <v>8</v>
      </c>
      <c r="B388" s="5">
        <v>44743.0</v>
      </c>
      <c r="C388" s="6">
        <v>0.6842939814814599</v>
      </c>
      <c r="D388" s="4">
        <v>12.950236</v>
      </c>
      <c r="E388" s="4">
        <v>80.139258</v>
      </c>
      <c r="F388" s="4">
        <v>805.0</v>
      </c>
      <c r="G388" s="4">
        <v>8.0</v>
      </c>
    </row>
    <row r="389">
      <c r="A389" s="4" t="s">
        <v>8</v>
      </c>
      <c r="B389" s="5">
        <v>44743.0</v>
      </c>
      <c r="C389" s="6">
        <v>0.6842939814814599</v>
      </c>
      <c r="D389" s="4">
        <v>12.950236</v>
      </c>
      <c r="E389" s="4">
        <v>80.139258</v>
      </c>
      <c r="F389" s="4">
        <v>805.0</v>
      </c>
      <c r="G389" s="4">
        <v>8.0</v>
      </c>
    </row>
    <row r="390">
      <c r="A390" s="4" t="s">
        <v>8</v>
      </c>
      <c r="B390" s="5">
        <v>44743.0</v>
      </c>
      <c r="C390" s="6">
        <v>0.6906018518529891</v>
      </c>
      <c r="D390" s="4">
        <v>12.988779</v>
      </c>
      <c r="E390" s="4">
        <v>80.177934</v>
      </c>
      <c r="F390" s="4">
        <v>805.0</v>
      </c>
      <c r="G390" s="4">
        <v>16.0</v>
      </c>
    </row>
    <row r="391">
      <c r="A391" s="4" t="s">
        <v>8</v>
      </c>
      <c r="B391" s="5">
        <v>44743.0</v>
      </c>
      <c r="C391" s="6">
        <v>0.6907754629646661</v>
      </c>
      <c r="D391" s="4">
        <v>12.988779</v>
      </c>
      <c r="E391" s="4">
        <v>80.177934</v>
      </c>
      <c r="F391" s="4">
        <v>805.0</v>
      </c>
      <c r="G391" s="4">
        <v>16.0</v>
      </c>
    </row>
    <row r="392">
      <c r="A392" s="4" t="s">
        <v>8</v>
      </c>
      <c r="B392" s="5">
        <v>44743.0</v>
      </c>
      <c r="C392" s="6">
        <v>0.6988310185188311</v>
      </c>
      <c r="D392" s="4">
        <v>13.015064</v>
      </c>
      <c r="E392" s="4">
        <v>80.225942</v>
      </c>
      <c r="F392" s="4">
        <v>805.0</v>
      </c>
      <c r="G392" s="4">
        <v>0.0</v>
      </c>
    </row>
    <row r="393">
      <c r="A393" s="4" t="s">
        <v>8</v>
      </c>
      <c r="B393" s="5">
        <v>44743.0</v>
      </c>
      <c r="C393" s="6">
        <v>0.6989236111112405</v>
      </c>
      <c r="D393" s="4">
        <v>13.015064</v>
      </c>
      <c r="E393" s="4">
        <v>80.225942</v>
      </c>
      <c r="F393" s="4">
        <v>805.0</v>
      </c>
      <c r="G393" s="4">
        <v>0.0</v>
      </c>
    </row>
    <row r="394">
      <c r="A394" s="4" t="s">
        <v>8</v>
      </c>
      <c r="B394" s="5">
        <v>44743.0</v>
      </c>
      <c r="C394" s="6">
        <v>0.7052546296290529</v>
      </c>
      <c r="D394" s="4">
        <v>13.006647</v>
      </c>
      <c r="E394" s="4">
        <v>80.252135</v>
      </c>
      <c r="F394" s="4">
        <v>805.0</v>
      </c>
      <c r="G394" s="4">
        <v>8.0</v>
      </c>
    </row>
    <row r="395">
      <c r="A395" s="4" t="s">
        <v>8</v>
      </c>
      <c r="B395" s="5">
        <v>44743.0</v>
      </c>
      <c r="C395" s="6">
        <v>0.7052777777789743</v>
      </c>
      <c r="D395" s="4">
        <v>13.006647</v>
      </c>
      <c r="E395" s="4">
        <v>80.252135</v>
      </c>
      <c r="F395" s="4">
        <v>805.0</v>
      </c>
      <c r="G395" s="4">
        <v>8.0</v>
      </c>
    </row>
    <row r="396">
      <c r="A396" s="4" t="s">
        <v>8</v>
      </c>
      <c r="B396" s="5">
        <v>44743.0</v>
      </c>
      <c r="C396" s="6">
        <v>0.7141319444453984</v>
      </c>
      <c r="D396" s="4">
        <v>13.02925</v>
      </c>
      <c r="E396" s="4">
        <v>80.266478</v>
      </c>
      <c r="F396" s="4">
        <v>805.0</v>
      </c>
      <c r="G396" s="4">
        <v>1.0</v>
      </c>
    </row>
    <row r="397">
      <c r="A397" s="4" t="s">
        <v>8</v>
      </c>
      <c r="B397" s="5">
        <v>44743.0</v>
      </c>
      <c r="C397" s="6">
        <v>0.7141435185185401</v>
      </c>
      <c r="D397" s="4">
        <v>13.02925</v>
      </c>
      <c r="E397" s="4">
        <v>80.266478</v>
      </c>
      <c r="F397" s="4">
        <v>805.0</v>
      </c>
      <c r="G397" s="4">
        <v>1.0</v>
      </c>
    </row>
    <row r="398">
      <c r="A398" s="4" t="s">
        <v>8</v>
      </c>
      <c r="B398" s="5">
        <v>44743.0</v>
      </c>
      <c r="C398" s="6">
        <v>0.7142013888878864</v>
      </c>
      <c r="D398" s="4">
        <v>13.02925</v>
      </c>
      <c r="E398" s="4">
        <v>80.266478</v>
      </c>
      <c r="F398" s="4">
        <v>805.0</v>
      </c>
      <c r="G398" s="4">
        <v>1.0</v>
      </c>
    </row>
    <row r="399">
      <c r="A399" s="4" t="s">
        <v>8</v>
      </c>
      <c r="B399" s="5">
        <v>44743.0</v>
      </c>
      <c r="C399" s="6">
        <v>0.7142013888878864</v>
      </c>
      <c r="D399" s="4">
        <v>13.02925</v>
      </c>
      <c r="E399" s="4">
        <v>80.266478</v>
      </c>
      <c r="F399" s="4">
        <v>805.0</v>
      </c>
      <c r="G399" s="4">
        <v>1.0</v>
      </c>
    </row>
    <row r="400">
      <c r="A400" s="4" t="s">
        <v>8</v>
      </c>
      <c r="B400" s="5">
        <v>44743.0</v>
      </c>
      <c r="C400" s="6">
        <v>0.7142245370378077</v>
      </c>
      <c r="D400" s="4">
        <v>13.02925</v>
      </c>
      <c r="E400" s="4">
        <v>80.266478</v>
      </c>
      <c r="F400" s="4">
        <v>805.0</v>
      </c>
      <c r="G400" s="4">
        <v>1.0</v>
      </c>
    </row>
    <row r="401">
      <c r="A401" s="4" t="s">
        <v>8</v>
      </c>
      <c r="B401" s="5">
        <v>44743.0</v>
      </c>
      <c r="C401" s="6">
        <v>0.7142361111109494</v>
      </c>
      <c r="D401" s="4">
        <v>13.02925</v>
      </c>
      <c r="E401" s="4">
        <v>80.266478</v>
      </c>
      <c r="F401" s="4">
        <v>805.0</v>
      </c>
      <c r="G401" s="4">
        <v>1.0</v>
      </c>
    </row>
    <row r="402">
      <c r="A402" s="4" t="s">
        <v>8</v>
      </c>
      <c r="B402" s="5">
        <v>44743.0</v>
      </c>
      <c r="C402" s="6">
        <v>0.7177314814798592</v>
      </c>
      <c r="D402" s="4">
        <v>13.036378</v>
      </c>
      <c r="E402" s="4">
        <v>80.267669</v>
      </c>
      <c r="F402" s="4">
        <v>805.0</v>
      </c>
      <c r="G402" s="4">
        <v>0.0</v>
      </c>
    </row>
    <row r="403">
      <c r="A403" s="4" t="s">
        <v>8</v>
      </c>
      <c r="B403" s="5">
        <v>44743.0</v>
      </c>
      <c r="C403" s="6">
        <v>0.7177430555566389</v>
      </c>
      <c r="D403" s="4">
        <v>13.036378</v>
      </c>
      <c r="E403" s="4">
        <v>80.267669</v>
      </c>
      <c r="F403" s="4">
        <v>805.0</v>
      </c>
      <c r="G403" s="4">
        <v>0.0</v>
      </c>
    </row>
    <row r="404">
      <c r="A404" s="4" t="s">
        <v>8</v>
      </c>
      <c r="B404" s="5">
        <v>44743.0</v>
      </c>
      <c r="C404" s="6">
        <v>0.7185995370382443</v>
      </c>
      <c r="D404" s="4">
        <v>13.039862</v>
      </c>
      <c r="E404" s="4">
        <v>80.267819</v>
      </c>
      <c r="F404" s="4">
        <v>805.0</v>
      </c>
      <c r="G404" s="4">
        <v>16.0</v>
      </c>
    </row>
    <row r="405">
      <c r="A405" s="4" t="s">
        <v>8</v>
      </c>
      <c r="B405" s="5">
        <v>44743.0</v>
      </c>
      <c r="C405" s="6">
        <v>0.718611111111386</v>
      </c>
      <c r="D405" s="4">
        <v>13.039862</v>
      </c>
      <c r="E405" s="4">
        <v>80.267819</v>
      </c>
      <c r="F405" s="4">
        <v>805.0</v>
      </c>
      <c r="G405" s="4">
        <v>16.0</v>
      </c>
    </row>
    <row r="406">
      <c r="A406" s="4" t="s">
        <v>8</v>
      </c>
      <c r="B406" s="5">
        <v>44743.0</v>
      </c>
      <c r="C406" s="6">
        <v>0.7349884259274404</v>
      </c>
      <c r="D406" s="4">
        <v>13.067585</v>
      </c>
      <c r="E406" s="4">
        <v>80.249678</v>
      </c>
      <c r="F406" s="4">
        <v>805.0</v>
      </c>
      <c r="G406" s="4">
        <v>11.0</v>
      </c>
    </row>
    <row r="407">
      <c r="A407" s="4" t="s">
        <v>8</v>
      </c>
      <c r="B407" s="5">
        <v>44743.0</v>
      </c>
      <c r="C407" s="6">
        <v>0.7350462962967867</v>
      </c>
      <c r="D407" s="4">
        <v>13.067585</v>
      </c>
      <c r="E407" s="4">
        <v>80.249678</v>
      </c>
      <c r="F407" s="4">
        <v>805.0</v>
      </c>
      <c r="G407" s="4">
        <v>11.0</v>
      </c>
    </row>
    <row r="408">
      <c r="A408" s="4" t="s">
        <v>8</v>
      </c>
      <c r="B408" s="5">
        <v>44743.0</v>
      </c>
      <c r="C408" s="6">
        <v>0.7350462962967867</v>
      </c>
      <c r="D408" s="4">
        <v>13.067585</v>
      </c>
      <c r="E408" s="4">
        <v>80.249678</v>
      </c>
      <c r="F408" s="4">
        <v>805.0</v>
      </c>
      <c r="G408" s="4">
        <v>11.0</v>
      </c>
    </row>
    <row r="409">
      <c r="A409" s="4" t="s">
        <v>8</v>
      </c>
      <c r="B409" s="5">
        <v>44743.0</v>
      </c>
      <c r="C409" s="6">
        <v>0.7437615740745969</v>
      </c>
      <c r="D409" s="4">
        <v>13.085483</v>
      </c>
      <c r="E409" s="4">
        <v>80.284532</v>
      </c>
      <c r="F409" s="4">
        <v>5339.0</v>
      </c>
      <c r="G409" s="4">
        <v>0.0</v>
      </c>
    </row>
    <row r="410">
      <c r="A410" s="4" t="s">
        <v>8</v>
      </c>
      <c r="B410" s="5">
        <v>44743.0</v>
      </c>
      <c r="C410" s="6">
        <v>0.7437615740745969</v>
      </c>
      <c r="D410" s="4">
        <v>13.085483</v>
      </c>
      <c r="E410" s="4">
        <v>80.284532</v>
      </c>
      <c r="F410" s="4">
        <v>5339.0</v>
      </c>
      <c r="G410" s="4">
        <v>0.0</v>
      </c>
    </row>
    <row r="411">
      <c r="A411" s="4" t="s">
        <v>8</v>
      </c>
      <c r="B411" s="5">
        <v>44743.0</v>
      </c>
      <c r="C411" s="6">
        <v>0.843715277776937</v>
      </c>
      <c r="D411" s="4">
        <v>13.085287</v>
      </c>
      <c r="E411" s="4">
        <v>80.284974</v>
      </c>
      <c r="F411" s="4">
        <v>5339.0</v>
      </c>
      <c r="G411" s="4">
        <v>20.0</v>
      </c>
    </row>
    <row r="412">
      <c r="A412" s="4" t="s">
        <v>8</v>
      </c>
      <c r="B412" s="5">
        <v>44743.0</v>
      </c>
      <c r="C412" s="6">
        <v>0.8437268518500787</v>
      </c>
      <c r="D412" s="4">
        <v>13.085287</v>
      </c>
      <c r="E412" s="4">
        <v>80.284974</v>
      </c>
      <c r="F412" s="4">
        <v>5339.0</v>
      </c>
      <c r="G412" s="4">
        <v>20.0</v>
      </c>
    </row>
    <row r="413">
      <c r="A413" s="4" t="s">
        <v>8</v>
      </c>
      <c r="B413" s="5">
        <v>44775.0</v>
      </c>
      <c r="C413" s="6">
        <v>0.29703703703853535</v>
      </c>
      <c r="D413" s="4">
        <v>13.063793</v>
      </c>
      <c r="E413" s="4">
        <v>80.250789</v>
      </c>
      <c r="F413" s="4">
        <v>5339.0</v>
      </c>
      <c r="G413" s="4">
        <v>10.0</v>
      </c>
    </row>
    <row r="414">
      <c r="A414" s="4" t="s">
        <v>8</v>
      </c>
      <c r="B414" s="5">
        <v>44775.0</v>
      </c>
      <c r="C414" s="6">
        <v>0.3004050925919728</v>
      </c>
      <c r="D414" s="4">
        <v>13.063793</v>
      </c>
      <c r="E414" s="4">
        <v>80.250789</v>
      </c>
      <c r="F414" s="4">
        <v>5339.0</v>
      </c>
      <c r="G414" s="4">
        <v>10.0</v>
      </c>
    </row>
    <row r="415">
      <c r="A415" s="4" t="s">
        <v>8</v>
      </c>
      <c r="B415" s="5">
        <v>44775.0</v>
      </c>
      <c r="C415" s="6">
        <v>0.30052083333430346</v>
      </c>
      <c r="D415" s="4">
        <v>13.063793</v>
      </c>
      <c r="E415" s="4">
        <v>80.250789</v>
      </c>
      <c r="F415" s="4">
        <v>5339.0</v>
      </c>
      <c r="G415" s="4">
        <v>10.0</v>
      </c>
    </row>
    <row r="416">
      <c r="A416" s="4" t="s">
        <v>8</v>
      </c>
      <c r="B416" s="5">
        <v>44775.0</v>
      </c>
      <c r="C416" s="6">
        <v>0.3005439814805868</v>
      </c>
      <c r="D416" s="4">
        <v>13.063793</v>
      </c>
      <c r="E416" s="4">
        <v>80.250789</v>
      </c>
      <c r="F416" s="4">
        <v>5339.0</v>
      </c>
      <c r="G416" s="4">
        <v>10.0</v>
      </c>
    </row>
    <row r="417">
      <c r="A417" s="4" t="s">
        <v>8</v>
      </c>
      <c r="B417" s="5">
        <v>44775.0</v>
      </c>
      <c r="C417" s="6">
        <v>0.33570601851897663</v>
      </c>
      <c r="D417" s="4">
        <v>12.724495</v>
      </c>
      <c r="E417" s="4">
        <v>79.981725</v>
      </c>
      <c r="F417" s="4">
        <v>2846.0</v>
      </c>
      <c r="G417" s="4">
        <v>12.0</v>
      </c>
    </row>
    <row r="418">
      <c r="A418" s="4" t="s">
        <v>8</v>
      </c>
      <c r="B418" s="5">
        <v>44775.0</v>
      </c>
      <c r="C418" s="6">
        <v>0.33581018518452765</v>
      </c>
      <c r="D418" s="4">
        <v>12.724495</v>
      </c>
      <c r="E418" s="4">
        <v>79.981725</v>
      </c>
      <c r="F418" s="4">
        <v>2846.0</v>
      </c>
      <c r="G418" s="4">
        <v>12.0</v>
      </c>
    </row>
    <row r="419">
      <c r="A419" s="4" t="s">
        <v>8</v>
      </c>
      <c r="B419" s="5">
        <v>44775.0</v>
      </c>
      <c r="C419" s="6">
        <v>0.33606481481547235</v>
      </c>
      <c r="D419" s="4">
        <v>12.724495</v>
      </c>
      <c r="E419" s="4">
        <v>79.981725</v>
      </c>
      <c r="F419" s="4">
        <v>2846.0</v>
      </c>
      <c r="G419" s="4">
        <v>12.0</v>
      </c>
    </row>
    <row r="420">
      <c r="A420" s="4" t="s">
        <v>8</v>
      </c>
      <c r="B420" s="5">
        <v>44775.0</v>
      </c>
      <c r="C420" s="6">
        <v>0.6984490740724141</v>
      </c>
      <c r="D420" s="4">
        <v>12.881101</v>
      </c>
      <c r="E420" s="4">
        <v>80.080585</v>
      </c>
      <c r="F420" s="4">
        <v>805.0</v>
      </c>
      <c r="G420" s="4">
        <v>10.0</v>
      </c>
    </row>
    <row r="421">
      <c r="A421" s="4" t="s">
        <v>8</v>
      </c>
      <c r="B421" s="5">
        <v>44775.0</v>
      </c>
      <c r="C421" s="6">
        <v>0.6985300925916818</v>
      </c>
      <c r="D421" s="4">
        <v>12.881101</v>
      </c>
      <c r="E421" s="4">
        <v>80.080585</v>
      </c>
      <c r="F421" s="4">
        <v>805.0</v>
      </c>
      <c r="G421" s="4">
        <v>10.0</v>
      </c>
    </row>
    <row r="422">
      <c r="A422" s="4" t="s">
        <v>8</v>
      </c>
      <c r="B422" s="5">
        <v>44775.0</v>
      </c>
      <c r="C422" s="6">
        <v>0.6985879629646661</v>
      </c>
      <c r="D422" s="4">
        <v>12.881101</v>
      </c>
      <c r="E422" s="4">
        <v>80.080585</v>
      </c>
      <c r="F422" s="4">
        <v>805.0</v>
      </c>
      <c r="G422" s="4">
        <v>10.0</v>
      </c>
    </row>
    <row r="423">
      <c r="A423" s="4" t="s">
        <v>8</v>
      </c>
      <c r="B423" s="5">
        <v>44775.0</v>
      </c>
      <c r="C423" s="6">
        <v>0.7060995370375167</v>
      </c>
      <c r="D423" s="4">
        <v>12.931245</v>
      </c>
      <c r="E423" s="4">
        <v>80.122316</v>
      </c>
      <c r="F423" s="4">
        <v>805.0</v>
      </c>
      <c r="G423" s="4">
        <v>4.0</v>
      </c>
    </row>
    <row r="424">
      <c r="A424" s="4" t="s">
        <v>8</v>
      </c>
      <c r="B424" s="5">
        <v>44775.0</v>
      </c>
      <c r="C424" s="6">
        <v>0.7062037037030677</v>
      </c>
      <c r="D424" s="4">
        <v>12.931245</v>
      </c>
      <c r="E424" s="4">
        <v>80.122316</v>
      </c>
      <c r="F424" s="4">
        <v>805.0</v>
      </c>
      <c r="G424" s="4">
        <v>4.0</v>
      </c>
    </row>
    <row r="425">
      <c r="A425" s="4" t="s">
        <v>8</v>
      </c>
      <c r="B425" s="5">
        <v>44775.0</v>
      </c>
      <c r="C425" s="6">
        <v>0.7087962962978054</v>
      </c>
      <c r="D425" s="4">
        <v>12.93662</v>
      </c>
      <c r="E425" s="4">
        <v>80.127437</v>
      </c>
      <c r="F425" s="4">
        <v>3143.0</v>
      </c>
      <c r="G425" s="4">
        <v>20.0</v>
      </c>
    </row>
    <row r="426">
      <c r="A426" s="4" t="s">
        <v>8</v>
      </c>
      <c r="B426" s="5">
        <v>44775.0</v>
      </c>
      <c r="C426" s="6">
        <v>0.7088310185172304</v>
      </c>
      <c r="D426" s="4">
        <v>12.93662</v>
      </c>
      <c r="E426" s="4">
        <v>80.127437</v>
      </c>
      <c r="F426" s="4">
        <v>3143.0</v>
      </c>
      <c r="G426" s="4">
        <v>20.0</v>
      </c>
    </row>
    <row r="427">
      <c r="A427" s="4" t="s">
        <v>8</v>
      </c>
      <c r="B427" s="5">
        <v>44775.0</v>
      </c>
      <c r="C427" s="6">
        <v>0.7088310185172304</v>
      </c>
      <c r="D427" s="4">
        <v>12.93662</v>
      </c>
      <c r="E427" s="4">
        <v>80.127437</v>
      </c>
      <c r="F427" s="4">
        <v>3143.0</v>
      </c>
      <c r="G427" s="4">
        <v>20.0</v>
      </c>
    </row>
    <row r="428">
      <c r="A428" s="4" t="s">
        <v>8</v>
      </c>
      <c r="B428" s="5">
        <v>44775.0</v>
      </c>
      <c r="C428" s="6">
        <v>0.7187615740731417</v>
      </c>
      <c r="D428" s="4">
        <v>12.995836</v>
      </c>
      <c r="E428" s="4">
        <v>80.188995</v>
      </c>
      <c r="F428" s="4">
        <v>805.0</v>
      </c>
      <c r="G428" s="4">
        <v>0.0</v>
      </c>
    </row>
    <row r="429">
      <c r="A429" s="4" t="s">
        <v>8</v>
      </c>
      <c r="B429" s="5">
        <v>44775.0</v>
      </c>
      <c r="C429" s="6">
        <v>0.7188078703693463</v>
      </c>
      <c r="D429" s="4">
        <v>12.995836</v>
      </c>
      <c r="E429" s="4">
        <v>80.188995</v>
      </c>
      <c r="F429" s="4">
        <v>805.0</v>
      </c>
      <c r="G429" s="4">
        <v>0.0</v>
      </c>
    </row>
    <row r="430">
      <c r="A430" s="4" t="s">
        <v>8</v>
      </c>
      <c r="B430" s="5">
        <v>44775.0</v>
      </c>
      <c r="C430" s="6">
        <v>0.718854166665551</v>
      </c>
      <c r="D430" s="4">
        <v>12.995836</v>
      </c>
      <c r="E430" s="4">
        <v>80.188995</v>
      </c>
      <c r="F430" s="4">
        <v>805.0</v>
      </c>
      <c r="G430" s="4">
        <v>0.0</v>
      </c>
    </row>
    <row r="431">
      <c r="A431" s="4" t="s">
        <v>8</v>
      </c>
      <c r="B431" s="5">
        <v>44775.0</v>
      </c>
      <c r="C431" s="6">
        <v>0.7420601851845277</v>
      </c>
      <c r="D431" s="4">
        <v>13.036681</v>
      </c>
      <c r="E431" s="4">
        <v>80.267572</v>
      </c>
      <c r="F431" s="4">
        <v>805.0</v>
      </c>
      <c r="G431" s="4">
        <v>9.0</v>
      </c>
    </row>
    <row r="432">
      <c r="A432" s="4" t="s">
        <v>8</v>
      </c>
      <c r="B432" s="5">
        <v>44775.0</v>
      </c>
      <c r="C432" s="6">
        <v>0.7420717592576693</v>
      </c>
      <c r="D432" s="4">
        <v>13.036681</v>
      </c>
      <c r="E432" s="4">
        <v>80.267572</v>
      </c>
      <c r="F432" s="4">
        <v>805.0</v>
      </c>
      <c r="G432" s="4">
        <v>9.0</v>
      </c>
    </row>
    <row r="433">
      <c r="A433" s="4" t="s">
        <v>8</v>
      </c>
      <c r="B433" s="5">
        <v>44775.0</v>
      </c>
      <c r="C433" s="6">
        <v>0.7420717592576693</v>
      </c>
      <c r="D433" s="4">
        <v>13.036681</v>
      </c>
      <c r="E433" s="4">
        <v>80.267572</v>
      </c>
      <c r="F433" s="4">
        <v>805.0</v>
      </c>
      <c r="G433" s="4">
        <v>9.0</v>
      </c>
    </row>
    <row r="434">
      <c r="A434" s="4" t="s">
        <v>8</v>
      </c>
      <c r="B434" s="5">
        <v>44775.0</v>
      </c>
      <c r="C434" s="6">
        <v>0.7496296296303626</v>
      </c>
      <c r="D434" s="4">
        <v>13.059791</v>
      </c>
      <c r="E434" s="4">
        <v>80.265487</v>
      </c>
      <c r="F434" s="4">
        <v>805.0</v>
      </c>
      <c r="G434" s="4">
        <v>16.0</v>
      </c>
    </row>
    <row r="435">
      <c r="A435" s="4" t="s">
        <v>8</v>
      </c>
      <c r="B435" s="5">
        <v>44775.0</v>
      </c>
      <c r="C435" s="6">
        <v>0.7496296296303626</v>
      </c>
      <c r="D435" s="4">
        <v>13.059791</v>
      </c>
      <c r="E435" s="4">
        <v>80.265487</v>
      </c>
      <c r="F435" s="4">
        <v>805.0</v>
      </c>
      <c r="G435" s="4">
        <v>16.0</v>
      </c>
    </row>
    <row r="436">
      <c r="A436" s="4" t="s">
        <v>8</v>
      </c>
      <c r="B436" s="5">
        <v>44775.0</v>
      </c>
      <c r="C436" s="6">
        <v>0.76541666666526</v>
      </c>
      <c r="D436" s="4">
        <v>13.066792</v>
      </c>
      <c r="E436" s="4">
        <v>80.254196</v>
      </c>
      <c r="F436" s="4">
        <v>805.0</v>
      </c>
      <c r="G436" s="4">
        <v>0.0</v>
      </c>
    </row>
    <row r="437">
      <c r="A437" s="4" t="s">
        <v>8</v>
      </c>
      <c r="B437" s="5">
        <v>44775.0</v>
      </c>
      <c r="C437" s="6">
        <v>0.7654282407420396</v>
      </c>
      <c r="D437" s="4">
        <v>13.066792</v>
      </c>
      <c r="E437" s="4">
        <v>80.254196</v>
      </c>
      <c r="F437" s="4">
        <v>805.0</v>
      </c>
      <c r="G437" s="4">
        <v>0.0</v>
      </c>
    </row>
    <row r="438">
      <c r="A438" s="4" t="s">
        <v>8</v>
      </c>
      <c r="B438" s="5">
        <v>44775.0</v>
      </c>
      <c r="C438" s="6">
        <v>0.7654282407420396</v>
      </c>
      <c r="D438" s="4">
        <v>13.066792</v>
      </c>
      <c r="E438" s="4">
        <v>80.254196</v>
      </c>
      <c r="F438" s="4">
        <v>805.0</v>
      </c>
      <c r="G438" s="4">
        <v>0.0</v>
      </c>
    </row>
    <row r="439">
      <c r="A439" s="4" t="s">
        <v>8</v>
      </c>
      <c r="B439" s="5">
        <v>44776.0</v>
      </c>
      <c r="C439" s="6">
        <v>0.2834722222214623</v>
      </c>
      <c r="D439" s="4">
        <v>13.056582</v>
      </c>
      <c r="E439" s="4">
        <v>80.097428</v>
      </c>
      <c r="F439" s="4">
        <v>3143.0</v>
      </c>
      <c r="G439" s="4">
        <v>10.0</v>
      </c>
    </row>
    <row r="440">
      <c r="A440" s="4" t="s">
        <v>8</v>
      </c>
      <c r="B440" s="5">
        <v>44776.0</v>
      </c>
      <c r="C440" s="6">
        <v>0.2835416666675883</v>
      </c>
      <c r="D440" s="4">
        <v>13.056582</v>
      </c>
      <c r="E440" s="4">
        <v>80.097428</v>
      </c>
      <c r="F440" s="4">
        <v>3143.0</v>
      </c>
      <c r="G440" s="4">
        <v>10.0</v>
      </c>
    </row>
    <row r="441">
      <c r="A441" s="4" t="s">
        <v>8</v>
      </c>
      <c r="B441" s="5">
        <v>44776.0</v>
      </c>
      <c r="C441" s="6">
        <v>0.29482638889021473</v>
      </c>
      <c r="D441" s="4">
        <v>12.510209</v>
      </c>
      <c r="E441" s="4">
        <v>79.885114</v>
      </c>
      <c r="F441" s="4">
        <v>2846.0</v>
      </c>
      <c r="G441" s="4">
        <v>14.0</v>
      </c>
    </row>
    <row r="442">
      <c r="A442" s="4" t="s">
        <v>8</v>
      </c>
      <c r="B442" s="5">
        <v>44776.0</v>
      </c>
      <c r="C442" s="6">
        <v>0.2949768518519704</v>
      </c>
      <c r="D442" s="4">
        <v>12.510209</v>
      </c>
      <c r="E442" s="4">
        <v>79.885114</v>
      </c>
      <c r="F442" s="4">
        <v>2846.0</v>
      </c>
      <c r="G442" s="4">
        <v>14.0</v>
      </c>
    </row>
    <row r="443">
      <c r="A443" s="4" t="s">
        <v>8</v>
      </c>
      <c r="B443" s="5">
        <v>44776.0</v>
      </c>
      <c r="C443" s="6">
        <v>0.3222453703710926</v>
      </c>
      <c r="D443" s="4">
        <v>13.01534</v>
      </c>
      <c r="E443" s="4">
        <v>80.225855</v>
      </c>
      <c r="F443" s="4">
        <v>5339.0</v>
      </c>
      <c r="G443" s="4">
        <v>12.0</v>
      </c>
    </row>
    <row r="444">
      <c r="A444" s="4" t="s">
        <v>8</v>
      </c>
      <c r="B444" s="5">
        <v>44776.0</v>
      </c>
      <c r="C444" s="6">
        <v>0.32225694444423425</v>
      </c>
      <c r="D444" s="4">
        <v>13.01534</v>
      </c>
      <c r="E444" s="4">
        <v>80.225855</v>
      </c>
      <c r="F444" s="4">
        <v>5339.0</v>
      </c>
      <c r="G444" s="4">
        <v>12.0</v>
      </c>
    </row>
    <row r="445">
      <c r="A445" s="4" t="s">
        <v>8</v>
      </c>
      <c r="B445" s="5">
        <v>44776.0</v>
      </c>
      <c r="C445" s="6">
        <v>0.34630787037167465</v>
      </c>
      <c r="D445" s="4">
        <v>12.925546</v>
      </c>
      <c r="E445" s="4">
        <v>80.104398</v>
      </c>
      <c r="F445" s="4">
        <v>3143.0</v>
      </c>
      <c r="G445" s="4">
        <v>9.0</v>
      </c>
    </row>
    <row r="446">
      <c r="A446" s="4" t="s">
        <v>8</v>
      </c>
      <c r="B446" s="5">
        <v>44776.0</v>
      </c>
      <c r="C446" s="6">
        <v>0.34630787037167465</v>
      </c>
      <c r="D446" s="4">
        <v>12.925546</v>
      </c>
      <c r="E446" s="4">
        <v>80.104398</v>
      </c>
      <c r="F446" s="4">
        <v>3143.0</v>
      </c>
      <c r="G446" s="4">
        <v>9.0</v>
      </c>
    </row>
    <row r="447">
      <c r="A447" s="4" t="s">
        <v>8</v>
      </c>
      <c r="B447" s="5">
        <v>44776.0</v>
      </c>
      <c r="C447" s="6">
        <v>0.35521990740744513</v>
      </c>
      <c r="D447" s="4">
        <v>12.878925</v>
      </c>
      <c r="E447" s="4">
        <v>80.08085</v>
      </c>
      <c r="F447" s="4">
        <v>805.0</v>
      </c>
      <c r="G447" s="4">
        <v>13.0</v>
      </c>
    </row>
    <row r="448">
      <c r="A448" s="4" t="s">
        <v>8</v>
      </c>
      <c r="B448" s="5">
        <v>44776.0</v>
      </c>
      <c r="C448" s="6">
        <v>0.35521990740744513</v>
      </c>
      <c r="D448" s="4">
        <v>12.878925</v>
      </c>
      <c r="E448" s="4">
        <v>80.08085</v>
      </c>
      <c r="F448" s="4">
        <v>805.0</v>
      </c>
      <c r="G448" s="4">
        <v>13.0</v>
      </c>
    </row>
    <row r="449">
      <c r="A449" s="4" t="s">
        <v>8</v>
      </c>
      <c r="B449" s="5">
        <v>44776.0</v>
      </c>
      <c r="C449" s="6">
        <v>0.35521990740744513</v>
      </c>
      <c r="D449" s="4">
        <v>12.878925</v>
      </c>
      <c r="E449" s="4">
        <v>80.08085</v>
      </c>
      <c r="F449" s="4">
        <v>805.0</v>
      </c>
      <c r="G449" s="4">
        <v>13.0</v>
      </c>
    </row>
    <row r="450">
      <c r="A450" s="4" t="s">
        <v>8</v>
      </c>
      <c r="B450" s="5">
        <v>44776.0</v>
      </c>
      <c r="C450" s="6">
        <v>0.35524305555736646</v>
      </c>
      <c r="D450" s="4">
        <v>12.878925</v>
      </c>
      <c r="E450" s="4">
        <v>80.08085</v>
      </c>
      <c r="F450" s="4">
        <v>805.0</v>
      </c>
      <c r="G450" s="4">
        <v>13.0</v>
      </c>
    </row>
    <row r="451">
      <c r="A451" s="4" t="s">
        <v>8</v>
      </c>
      <c r="B451" s="5">
        <v>44776.0</v>
      </c>
      <c r="C451" s="6">
        <v>0.35524305555736646</v>
      </c>
      <c r="D451" s="4">
        <v>12.878925</v>
      </c>
      <c r="E451" s="4">
        <v>80.08085</v>
      </c>
      <c r="F451" s="4">
        <v>805.0</v>
      </c>
      <c r="G451" s="4">
        <v>13.0</v>
      </c>
    </row>
    <row r="452">
      <c r="A452" s="4" t="s">
        <v>8</v>
      </c>
      <c r="B452" s="5">
        <v>44776.0</v>
      </c>
      <c r="C452" s="6">
        <v>0.7067824074074451</v>
      </c>
      <c r="D452" s="4">
        <v>12.763166</v>
      </c>
      <c r="E452" s="4">
        <v>80.004264</v>
      </c>
      <c r="F452" s="4">
        <v>2846.0</v>
      </c>
      <c r="G452" s="4">
        <v>7.0</v>
      </c>
    </row>
    <row r="453">
      <c r="A453" s="4" t="s">
        <v>8</v>
      </c>
      <c r="B453" s="5">
        <v>44776.0</v>
      </c>
      <c r="C453" s="6">
        <v>0.7067824074074451</v>
      </c>
      <c r="D453" s="4">
        <v>12.763166</v>
      </c>
      <c r="E453" s="4">
        <v>80.004264</v>
      </c>
      <c r="F453" s="4">
        <v>2846.0</v>
      </c>
      <c r="G453" s="4">
        <v>7.0</v>
      </c>
    </row>
    <row r="454">
      <c r="A454" s="4" t="s">
        <v>8</v>
      </c>
      <c r="B454" s="5">
        <v>44776.0</v>
      </c>
      <c r="C454" s="6">
        <v>0.7124305555553292</v>
      </c>
      <c r="D454" s="4">
        <v>12.72412</v>
      </c>
      <c r="E454" s="4">
        <v>79.982157</v>
      </c>
      <c r="F454" s="4">
        <v>2846.0</v>
      </c>
      <c r="G454" s="4">
        <v>5.0</v>
      </c>
    </row>
    <row r="455">
      <c r="A455" s="4" t="s">
        <v>8</v>
      </c>
      <c r="B455" s="5">
        <v>44776.0</v>
      </c>
      <c r="C455" s="6">
        <v>0.7127893518518249</v>
      </c>
      <c r="D455" s="4">
        <v>12.72412</v>
      </c>
      <c r="E455" s="4">
        <v>79.982157</v>
      </c>
      <c r="F455" s="4">
        <v>2846.0</v>
      </c>
      <c r="G455" s="4">
        <v>5.0</v>
      </c>
    </row>
    <row r="456">
      <c r="A456" s="4" t="s">
        <v>8</v>
      </c>
      <c r="B456" s="5">
        <v>44776.0</v>
      </c>
      <c r="C456" s="6">
        <v>0.7167129629633564</v>
      </c>
      <c r="D456" s="4">
        <v>12.699975</v>
      </c>
      <c r="E456" s="4">
        <v>79.968773</v>
      </c>
      <c r="F456" s="4">
        <v>2846.0</v>
      </c>
      <c r="G456" s="4">
        <v>0.0</v>
      </c>
    </row>
    <row r="457">
      <c r="A457" s="4" t="s">
        <v>8</v>
      </c>
      <c r="B457" s="5">
        <v>44776.0</v>
      </c>
      <c r="C457" s="6">
        <v>0.7175810185181035</v>
      </c>
      <c r="D457" s="4">
        <v>12.699975</v>
      </c>
      <c r="E457" s="4">
        <v>79.968773</v>
      </c>
      <c r="F457" s="4">
        <v>2846.0</v>
      </c>
      <c r="G457" s="4">
        <v>0.0</v>
      </c>
    </row>
    <row r="458">
      <c r="A458" s="4" t="s">
        <v>8</v>
      </c>
      <c r="B458" s="5">
        <v>44777.0</v>
      </c>
      <c r="C458" s="6">
        <v>0.2793865740750334</v>
      </c>
      <c r="D458" s="4">
        <v>13.056546</v>
      </c>
      <c r="E458" s="4">
        <v>80.097259</v>
      </c>
      <c r="F458" s="4">
        <v>3143.0</v>
      </c>
      <c r="G458" s="4">
        <v>13.0</v>
      </c>
    </row>
    <row r="459">
      <c r="A459" s="4" t="s">
        <v>8</v>
      </c>
      <c r="B459" s="5">
        <v>44777.0</v>
      </c>
      <c r="C459" s="6">
        <v>0.2793865740750334</v>
      </c>
      <c r="D459" s="4">
        <v>13.056546</v>
      </c>
      <c r="E459" s="4">
        <v>80.097259</v>
      </c>
      <c r="F459" s="4">
        <v>3143.0</v>
      </c>
      <c r="G459" s="4">
        <v>13.0</v>
      </c>
    </row>
    <row r="460">
      <c r="A460" s="4" t="s">
        <v>8</v>
      </c>
      <c r="B460" s="5">
        <v>44777.0</v>
      </c>
      <c r="C460" s="6">
        <v>0.2793981481481751</v>
      </c>
      <c r="D460" s="4">
        <v>13.056546</v>
      </c>
      <c r="E460" s="4">
        <v>80.097259</v>
      </c>
      <c r="F460" s="4">
        <v>3143.0</v>
      </c>
      <c r="G460" s="4">
        <v>13.0</v>
      </c>
    </row>
    <row r="461">
      <c r="A461" s="4" t="s">
        <v>8</v>
      </c>
      <c r="B461" s="5">
        <v>44777.0</v>
      </c>
      <c r="C461" s="6">
        <v>0.33803240740598994</v>
      </c>
      <c r="D461" s="4">
        <v>12.973124</v>
      </c>
      <c r="E461" s="4">
        <v>80.152921</v>
      </c>
      <c r="F461" s="4">
        <v>805.0</v>
      </c>
      <c r="G461" s="4">
        <v>0.0</v>
      </c>
    </row>
    <row r="462">
      <c r="A462" s="4" t="s">
        <v>8</v>
      </c>
      <c r="B462" s="5">
        <v>44777.0</v>
      </c>
      <c r="C462" s="6">
        <v>0.3380787037021946</v>
      </c>
      <c r="D462" s="4">
        <v>12.973124</v>
      </c>
      <c r="E462" s="4">
        <v>80.152921</v>
      </c>
      <c r="F462" s="4">
        <v>805.0</v>
      </c>
      <c r="G462" s="4">
        <v>0.0</v>
      </c>
    </row>
    <row r="463">
      <c r="A463" s="4" t="s">
        <v>8</v>
      </c>
      <c r="B463" s="5">
        <v>44777.0</v>
      </c>
      <c r="C463" s="6">
        <v>0.3409143518510973</v>
      </c>
      <c r="D463" s="4">
        <v>12.931769</v>
      </c>
      <c r="E463" s="4">
        <v>80.123</v>
      </c>
      <c r="F463" s="4">
        <v>3143.0</v>
      </c>
      <c r="G463" s="4">
        <v>17.0</v>
      </c>
    </row>
    <row r="464">
      <c r="A464" s="4" t="s">
        <v>8</v>
      </c>
      <c r="B464" s="5">
        <v>44777.0</v>
      </c>
      <c r="C464" s="6">
        <v>0.340925925924239</v>
      </c>
      <c r="D464" s="4">
        <v>12.931769</v>
      </c>
      <c r="E464" s="4">
        <v>80.123</v>
      </c>
      <c r="F464" s="4">
        <v>3143.0</v>
      </c>
      <c r="G464" s="4">
        <v>17.0</v>
      </c>
    </row>
    <row r="465">
      <c r="A465" s="4" t="s">
        <v>8</v>
      </c>
      <c r="B465" s="5">
        <v>44777.0</v>
      </c>
      <c r="C465" s="6">
        <v>0.34093750000101863</v>
      </c>
      <c r="D465" s="4">
        <v>12.931769</v>
      </c>
      <c r="E465" s="4">
        <v>80.123</v>
      </c>
      <c r="F465" s="4">
        <v>3143.0</v>
      </c>
      <c r="G465" s="4">
        <v>17.0</v>
      </c>
    </row>
    <row r="466">
      <c r="A466" s="4" t="s">
        <v>8</v>
      </c>
      <c r="B466" s="5">
        <v>44777.0</v>
      </c>
      <c r="C466" s="6">
        <v>0.34093750000101863</v>
      </c>
      <c r="D466" s="4">
        <v>12.931769</v>
      </c>
      <c r="E466" s="4">
        <v>80.123</v>
      </c>
      <c r="F466" s="4">
        <v>3143.0</v>
      </c>
      <c r="G466" s="4">
        <v>17.0</v>
      </c>
    </row>
    <row r="467">
      <c r="A467" s="4" t="s">
        <v>8</v>
      </c>
      <c r="B467" s="5">
        <v>44777.0</v>
      </c>
      <c r="C467" s="6">
        <v>0.3409490740741603</v>
      </c>
      <c r="D467" s="4">
        <v>12.931769</v>
      </c>
      <c r="E467" s="4">
        <v>80.123</v>
      </c>
      <c r="F467" s="4">
        <v>3143.0</v>
      </c>
      <c r="G467" s="4">
        <v>17.0</v>
      </c>
    </row>
    <row r="468">
      <c r="A468" s="4" t="s">
        <v>8</v>
      </c>
      <c r="B468" s="5">
        <v>44777.0</v>
      </c>
      <c r="C468" s="6">
        <v>0.713206018517667</v>
      </c>
      <c r="D468" s="4">
        <v>12.955969</v>
      </c>
      <c r="E468" s="4">
        <v>80.142984</v>
      </c>
      <c r="F468" s="4">
        <v>3143.0</v>
      </c>
      <c r="G468" s="4">
        <v>5.0</v>
      </c>
    </row>
    <row r="469">
      <c r="A469" s="4" t="s">
        <v>8</v>
      </c>
      <c r="B469" s="5">
        <v>44777.0</v>
      </c>
      <c r="C469" s="6">
        <v>0.7132175925908086</v>
      </c>
      <c r="D469" s="4">
        <v>12.955969</v>
      </c>
      <c r="E469" s="4">
        <v>80.142984</v>
      </c>
      <c r="F469" s="4">
        <v>3143.0</v>
      </c>
      <c r="G469" s="4">
        <v>5.0</v>
      </c>
    </row>
    <row r="470">
      <c r="A470" s="4" t="s">
        <v>8</v>
      </c>
      <c r="B470" s="5">
        <v>44777.0</v>
      </c>
      <c r="C470" s="6">
        <v>0.7136342592602887</v>
      </c>
      <c r="D470" s="4">
        <v>12.993881</v>
      </c>
      <c r="E470" s="4">
        <v>80.185168</v>
      </c>
      <c r="F470" s="4">
        <v>5339.0</v>
      </c>
      <c r="G470" s="4">
        <v>14.0</v>
      </c>
    </row>
    <row r="471">
      <c r="A471" s="4" t="s">
        <v>8</v>
      </c>
      <c r="B471" s="5">
        <v>44777.0</v>
      </c>
      <c r="C471" s="6">
        <v>0.7136458333334303</v>
      </c>
      <c r="D471" s="4">
        <v>12.993881</v>
      </c>
      <c r="E471" s="4">
        <v>80.185168</v>
      </c>
      <c r="F471" s="4">
        <v>5339.0</v>
      </c>
      <c r="G471" s="4">
        <v>14.0</v>
      </c>
    </row>
    <row r="472">
      <c r="A472" s="4" t="s">
        <v>8</v>
      </c>
      <c r="B472" s="5">
        <v>44777.0</v>
      </c>
      <c r="C472" s="6">
        <v>0.7206944444442343</v>
      </c>
      <c r="D472" s="4">
        <v>13.001128</v>
      </c>
      <c r="E472" s="4">
        <v>80.195471</v>
      </c>
      <c r="F472" s="4">
        <v>805.0</v>
      </c>
      <c r="G472" s="4">
        <v>17.0</v>
      </c>
    </row>
    <row r="473">
      <c r="A473" s="4" t="s">
        <v>8</v>
      </c>
      <c r="B473" s="5">
        <v>44777.0</v>
      </c>
      <c r="C473" s="6">
        <v>0.7207754629635019</v>
      </c>
      <c r="D473" s="4">
        <v>13.001128</v>
      </c>
      <c r="E473" s="4">
        <v>80.195471</v>
      </c>
      <c r="F473" s="4">
        <v>805.0</v>
      </c>
      <c r="G473" s="4">
        <v>17.0</v>
      </c>
    </row>
    <row r="474">
      <c r="A474" s="4" t="s">
        <v>8</v>
      </c>
      <c r="B474" s="5">
        <v>44777.0</v>
      </c>
      <c r="C474" s="6">
        <v>0.7246064814826241</v>
      </c>
      <c r="D474" s="4">
        <v>13.025932</v>
      </c>
      <c r="E474" s="4">
        <v>80.231026</v>
      </c>
      <c r="F474" s="4">
        <v>5339.0</v>
      </c>
      <c r="G474" s="4">
        <v>0.0</v>
      </c>
    </row>
    <row r="475">
      <c r="A475" s="4" t="s">
        <v>8</v>
      </c>
      <c r="B475" s="5">
        <v>44777.0</v>
      </c>
      <c r="C475" s="6">
        <v>0.7249999999985448</v>
      </c>
      <c r="D475" s="4">
        <v>13.025932</v>
      </c>
      <c r="E475" s="4">
        <v>80.231026</v>
      </c>
      <c r="F475" s="4">
        <v>5339.0</v>
      </c>
      <c r="G475" s="4">
        <v>0.0</v>
      </c>
    </row>
    <row r="476">
      <c r="A476" s="4" t="s">
        <v>8</v>
      </c>
      <c r="B476" s="5">
        <v>44777.0</v>
      </c>
      <c r="C476" s="6">
        <v>0.7250231481484661</v>
      </c>
      <c r="D476" s="4">
        <v>13.025932</v>
      </c>
      <c r="E476" s="4">
        <v>80.231026</v>
      </c>
      <c r="F476" s="4">
        <v>5339.0</v>
      </c>
      <c r="G476" s="4">
        <v>0.0</v>
      </c>
    </row>
    <row r="477">
      <c r="A477" s="4" t="s">
        <v>8</v>
      </c>
      <c r="B477" s="5">
        <v>44777.0</v>
      </c>
      <c r="C477" s="6">
        <v>0.7252314814832062</v>
      </c>
      <c r="D477" s="4">
        <v>13.015462</v>
      </c>
      <c r="E477" s="4">
        <v>80.225492</v>
      </c>
      <c r="F477" s="4">
        <v>805.0</v>
      </c>
      <c r="G477" s="4">
        <v>8.0</v>
      </c>
    </row>
    <row r="478">
      <c r="A478" s="4" t="s">
        <v>8</v>
      </c>
      <c r="B478" s="5">
        <v>44777.0</v>
      </c>
      <c r="C478" s="6">
        <v>0.7328356481484661</v>
      </c>
      <c r="D478" s="4">
        <v>12.98313</v>
      </c>
      <c r="E478" s="4">
        <v>80.128249</v>
      </c>
      <c r="F478" s="4">
        <v>3143.0</v>
      </c>
      <c r="G478" s="4">
        <v>17.0</v>
      </c>
    </row>
    <row r="479">
      <c r="A479" s="4" t="s">
        <v>8</v>
      </c>
      <c r="B479" s="5">
        <v>44777.0</v>
      </c>
      <c r="C479" s="6">
        <v>0.7328587962947495</v>
      </c>
      <c r="D479" s="4">
        <v>12.98313</v>
      </c>
      <c r="E479" s="4">
        <v>80.128249</v>
      </c>
      <c r="F479" s="4">
        <v>3143.0</v>
      </c>
      <c r="G479" s="4">
        <v>17.0</v>
      </c>
    </row>
    <row r="480">
      <c r="A480" s="4" t="s">
        <v>8</v>
      </c>
      <c r="B480" s="5">
        <v>44777.0</v>
      </c>
      <c r="C480" s="6">
        <v>0.7328587962947495</v>
      </c>
      <c r="D480" s="4">
        <v>12.98313</v>
      </c>
      <c r="E480" s="4">
        <v>80.128249</v>
      </c>
      <c r="F480" s="4">
        <v>3143.0</v>
      </c>
      <c r="G480" s="4">
        <v>17.0</v>
      </c>
    </row>
    <row r="481">
      <c r="A481" s="4" t="s">
        <v>8</v>
      </c>
      <c r="B481" s="5">
        <v>44777.0</v>
      </c>
      <c r="C481" s="6">
        <v>0.7373842592605797</v>
      </c>
      <c r="D481" s="4">
        <v>13.018797</v>
      </c>
      <c r="E481" s="4">
        <v>80.261258</v>
      </c>
      <c r="F481" s="4">
        <v>805.0</v>
      </c>
      <c r="G481" s="4">
        <v>2.0</v>
      </c>
    </row>
    <row r="482">
      <c r="A482" s="4" t="s">
        <v>8</v>
      </c>
      <c r="B482" s="5">
        <v>44777.0</v>
      </c>
      <c r="C482" s="6">
        <v>0.7373842592605797</v>
      </c>
      <c r="D482" s="4">
        <v>13.018797</v>
      </c>
      <c r="E482" s="4">
        <v>80.261258</v>
      </c>
      <c r="F482" s="4">
        <v>805.0</v>
      </c>
      <c r="G482" s="4">
        <v>2.0</v>
      </c>
    </row>
    <row r="483">
      <c r="A483" s="4" t="s">
        <v>8</v>
      </c>
      <c r="B483" s="5">
        <v>44777.0</v>
      </c>
      <c r="C483" s="6">
        <v>0.7568981481490482</v>
      </c>
      <c r="D483" s="4">
        <v>13.062136</v>
      </c>
      <c r="E483" s="4">
        <v>80.263221</v>
      </c>
      <c r="F483" s="4">
        <v>805.0</v>
      </c>
      <c r="G483" s="4">
        <v>0.0</v>
      </c>
    </row>
    <row r="484">
      <c r="A484" s="4" t="s">
        <v>8</v>
      </c>
      <c r="B484" s="5">
        <v>44777.0</v>
      </c>
      <c r="C484" s="6">
        <v>0.7569212962953316</v>
      </c>
      <c r="D484" s="4">
        <v>13.062136</v>
      </c>
      <c r="E484" s="4">
        <v>80.263221</v>
      </c>
      <c r="F484" s="4">
        <v>805.0</v>
      </c>
      <c r="G484" s="4">
        <v>0.0</v>
      </c>
    </row>
    <row r="485">
      <c r="A485" s="4" t="s">
        <v>8</v>
      </c>
      <c r="B485" s="5">
        <v>44777.0</v>
      </c>
      <c r="C485" s="6">
        <v>0.7569212962953316</v>
      </c>
      <c r="D485" s="4">
        <v>13.062136</v>
      </c>
      <c r="E485" s="4">
        <v>80.263221</v>
      </c>
      <c r="F485" s="4">
        <v>805.0</v>
      </c>
      <c r="G485" s="4">
        <v>0.0</v>
      </c>
    </row>
    <row r="486">
      <c r="A486" s="4" t="s">
        <v>8</v>
      </c>
      <c r="B486" s="5">
        <v>44777.0</v>
      </c>
      <c r="C486" s="6">
        <v>0.7569212962953316</v>
      </c>
      <c r="D486" s="4">
        <v>13.062136</v>
      </c>
      <c r="E486" s="4">
        <v>80.263221</v>
      </c>
      <c r="F486" s="4">
        <v>805.0</v>
      </c>
      <c r="G486" s="4">
        <v>0.0</v>
      </c>
    </row>
    <row r="487">
      <c r="A487" s="4" t="s">
        <v>8</v>
      </c>
      <c r="B487" s="5">
        <v>44777.0</v>
      </c>
      <c r="C487" s="6">
        <v>0.7569444444452529</v>
      </c>
      <c r="D487" s="4">
        <v>13.062136</v>
      </c>
      <c r="E487" s="4">
        <v>80.263221</v>
      </c>
      <c r="F487" s="4">
        <v>805.0</v>
      </c>
      <c r="G487" s="4">
        <v>0.0</v>
      </c>
    </row>
    <row r="488">
      <c r="A488" s="4" t="s">
        <v>8</v>
      </c>
      <c r="B488" s="5">
        <v>44777.0</v>
      </c>
      <c r="C488" s="6">
        <v>0.7570486111108039</v>
      </c>
      <c r="D488" s="4">
        <v>13.062136</v>
      </c>
      <c r="E488" s="4">
        <v>80.263221</v>
      </c>
      <c r="F488" s="4">
        <v>805.0</v>
      </c>
      <c r="G488" s="4">
        <v>0.0</v>
      </c>
    </row>
    <row r="489">
      <c r="A489" s="4" t="s">
        <v>8</v>
      </c>
      <c r="B489" s="5">
        <v>44777.0</v>
      </c>
      <c r="C489" s="6">
        <v>0.7570833333338669</v>
      </c>
      <c r="D489" s="4">
        <v>13.062136</v>
      </c>
      <c r="E489" s="4">
        <v>80.263221</v>
      </c>
      <c r="F489" s="4">
        <v>805.0</v>
      </c>
      <c r="G489" s="4">
        <v>0.0</v>
      </c>
    </row>
    <row r="490">
      <c r="A490" s="4" t="s">
        <v>8</v>
      </c>
      <c r="B490" s="5">
        <v>44778.0</v>
      </c>
      <c r="C490" s="6">
        <v>0.3008449074077362</v>
      </c>
      <c r="D490" s="4">
        <v>13.063737</v>
      </c>
      <c r="E490" s="4">
        <v>80.250966</v>
      </c>
      <c r="F490" s="4">
        <v>5339.0</v>
      </c>
      <c r="G490" s="4">
        <v>0.0</v>
      </c>
    </row>
    <row r="491">
      <c r="A491" s="4" t="s">
        <v>8</v>
      </c>
      <c r="B491" s="5">
        <v>44778.0</v>
      </c>
      <c r="C491" s="6">
        <v>0.30085648148087785</v>
      </c>
      <c r="D491" s="4">
        <v>13.063737</v>
      </c>
      <c r="E491" s="4">
        <v>80.250966</v>
      </c>
      <c r="F491" s="4">
        <v>5339.0</v>
      </c>
      <c r="G491" s="4">
        <v>0.0</v>
      </c>
    </row>
    <row r="492">
      <c r="A492" s="4" t="s">
        <v>8</v>
      </c>
      <c r="B492" s="5">
        <v>44778.0</v>
      </c>
      <c r="C492" s="6">
        <v>0.3008680555540195</v>
      </c>
      <c r="D492" s="4">
        <v>13.063737</v>
      </c>
      <c r="E492" s="4">
        <v>80.250966</v>
      </c>
      <c r="F492" s="4">
        <v>5339.0</v>
      </c>
      <c r="G492" s="4">
        <v>0.0</v>
      </c>
    </row>
    <row r="493">
      <c r="A493" s="4" t="s">
        <v>8</v>
      </c>
      <c r="B493" s="5">
        <v>44778.0</v>
      </c>
      <c r="C493" s="6">
        <v>0.30092592592700385</v>
      </c>
      <c r="D493" s="4">
        <v>13.063737</v>
      </c>
      <c r="E493" s="4">
        <v>80.250966</v>
      </c>
      <c r="F493" s="4">
        <v>5339.0</v>
      </c>
      <c r="G493" s="4">
        <v>0.0</v>
      </c>
    </row>
    <row r="494">
      <c r="A494" s="4" t="s">
        <v>8</v>
      </c>
      <c r="B494" s="5">
        <v>44778.0</v>
      </c>
      <c r="C494" s="6">
        <v>0.3009375000001455</v>
      </c>
      <c r="D494" s="4">
        <v>13.063737</v>
      </c>
      <c r="E494" s="4">
        <v>80.250966</v>
      </c>
      <c r="F494" s="4">
        <v>5339.0</v>
      </c>
      <c r="G494" s="4">
        <v>0.0</v>
      </c>
    </row>
    <row r="495">
      <c r="A495" s="4" t="s">
        <v>8</v>
      </c>
      <c r="B495" s="5">
        <v>44778.0</v>
      </c>
      <c r="C495" s="6">
        <v>0.3009490740732872</v>
      </c>
      <c r="D495" s="4">
        <v>13.063737</v>
      </c>
      <c r="E495" s="4">
        <v>80.250966</v>
      </c>
      <c r="F495" s="4">
        <v>5339.0</v>
      </c>
      <c r="G495" s="4">
        <v>0.0</v>
      </c>
    </row>
    <row r="496">
      <c r="A496" s="4" t="s">
        <v>8</v>
      </c>
      <c r="B496" s="5">
        <v>44778.0</v>
      </c>
      <c r="C496" s="6">
        <v>0.3353587962956226</v>
      </c>
      <c r="D496" s="4">
        <v>12.956371</v>
      </c>
      <c r="E496" s="4">
        <v>80.143427</v>
      </c>
      <c r="F496" s="4">
        <v>3143.0</v>
      </c>
      <c r="G496" s="4">
        <v>10.0</v>
      </c>
    </row>
    <row r="497">
      <c r="A497" s="4" t="s">
        <v>8</v>
      </c>
      <c r="B497" s="5">
        <v>44778.0</v>
      </c>
      <c r="C497" s="6">
        <v>0.3353935185186856</v>
      </c>
      <c r="D497" s="4">
        <v>12.956371</v>
      </c>
      <c r="E497" s="4">
        <v>80.143427</v>
      </c>
      <c r="F497" s="4">
        <v>3143.0</v>
      </c>
      <c r="G497" s="4">
        <v>10.0</v>
      </c>
    </row>
    <row r="498">
      <c r="A498" s="4" t="s">
        <v>8</v>
      </c>
      <c r="B498" s="5">
        <v>44778.0</v>
      </c>
      <c r="C498" s="6">
        <v>0.3364120370388264</v>
      </c>
      <c r="D498" s="4">
        <v>12.951264</v>
      </c>
      <c r="E498" s="4">
        <v>80.140234</v>
      </c>
      <c r="F498" s="4">
        <v>3143.0</v>
      </c>
      <c r="G498" s="4">
        <v>6.0</v>
      </c>
    </row>
    <row r="499">
      <c r="A499" s="4" t="s">
        <v>8</v>
      </c>
      <c r="B499" s="5">
        <v>44778.0</v>
      </c>
      <c r="C499" s="6">
        <v>0.33642361111196806</v>
      </c>
      <c r="D499" s="4">
        <v>12.951264</v>
      </c>
      <c r="E499" s="4">
        <v>80.140234</v>
      </c>
      <c r="F499" s="4">
        <v>3143.0</v>
      </c>
      <c r="G499" s="4">
        <v>6.0</v>
      </c>
    </row>
    <row r="500">
      <c r="A500" s="4" t="s">
        <v>8</v>
      </c>
      <c r="B500" s="5">
        <v>44778.0</v>
      </c>
      <c r="C500" s="6">
        <v>0.33645833333503106</v>
      </c>
      <c r="D500" s="4">
        <v>12.951264</v>
      </c>
      <c r="E500" s="4">
        <v>80.140234</v>
      </c>
      <c r="F500" s="4">
        <v>3143.0</v>
      </c>
      <c r="G500" s="4">
        <v>6.0</v>
      </c>
    </row>
    <row r="501">
      <c r="A501" s="4" t="s">
        <v>8</v>
      </c>
      <c r="B501" s="5">
        <v>44778.0</v>
      </c>
      <c r="C501" s="6">
        <v>0.33944444444568944</v>
      </c>
      <c r="D501" s="4">
        <v>12.97188</v>
      </c>
      <c r="E501" s="4">
        <v>80.151377</v>
      </c>
      <c r="F501" s="4">
        <v>805.0</v>
      </c>
      <c r="G501" s="4">
        <v>10.0</v>
      </c>
    </row>
    <row r="502">
      <c r="A502" s="4" t="s">
        <v>8</v>
      </c>
      <c r="B502" s="5">
        <v>44778.0</v>
      </c>
      <c r="C502" s="6">
        <v>0.3394560185188311</v>
      </c>
      <c r="D502" s="4">
        <v>12.97188</v>
      </c>
      <c r="E502" s="4">
        <v>80.151377</v>
      </c>
      <c r="F502" s="4">
        <v>805.0</v>
      </c>
      <c r="G502" s="4">
        <v>10.0</v>
      </c>
    </row>
    <row r="503">
      <c r="A503" s="4" t="s">
        <v>8</v>
      </c>
      <c r="B503" s="5">
        <v>44778.0</v>
      </c>
      <c r="C503" s="6">
        <v>0.3406944444432156</v>
      </c>
      <c r="D503" s="4">
        <v>12.965679</v>
      </c>
      <c r="E503" s="4">
        <v>80.148424</v>
      </c>
      <c r="F503" s="4">
        <v>805.0</v>
      </c>
      <c r="G503" s="4">
        <v>20.0</v>
      </c>
    </row>
    <row r="504">
      <c r="A504" s="4" t="s">
        <v>8</v>
      </c>
      <c r="B504" s="5">
        <v>44778.0</v>
      </c>
      <c r="C504" s="6">
        <v>0.34071759259313694</v>
      </c>
      <c r="D504" s="4">
        <v>12.965679</v>
      </c>
      <c r="E504" s="4">
        <v>80.148424</v>
      </c>
      <c r="F504" s="4">
        <v>805.0</v>
      </c>
      <c r="G504" s="4">
        <v>20.0</v>
      </c>
    </row>
    <row r="505">
      <c r="A505" s="4" t="s">
        <v>8</v>
      </c>
      <c r="B505" s="5">
        <v>44778.0</v>
      </c>
      <c r="C505" s="6">
        <v>0.7036574074081727</v>
      </c>
      <c r="D505" s="4">
        <v>12.950204</v>
      </c>
      <c r="E505" s="4">
        <v>80.139272</v>
      </c>
      <c r="F505" s="4">
        <v>5339.0</v>
      </c>
      <c r="G505" s="4">
        <v>0.0</v>
      </c>
    </row>
    <row r="506">
      <c r="A506" s="4" t="s">
        <v>8</v>
      </c>
      <c r="B506" s="5">
        <v>44778.0</v>
      </c>
      <c r="C506" s="6">
        <v>0.7036574074081727</v>
      </c>
      <c r="D506" s="4">
        <v>12.950204</v>
      </c>
      <c r="E506" s="4">
        <v>80.139272</v>
      </c>
      <c r="F506" s="4">
        <v>5339.0</v>
      </c>
      <c r="G506" s="4">
        <v>0.0</v>
      </c>
    </row>
    <row r="507">
      <c r="A507" s="4" t="s">
        <v>8</v>
      </c>
      <c r="B507" s="5">
        <v>44778.0</v>
      </c>
      <c r="C507" s="6">
        <v>0.7052777777789743</v>
      </c>
      <c r="D507" s="4">
        <v>12.955911</v>
      </c>
      <c r="E507" s="4">
        <v>80.142907</v>
      </c>
      <c r="F507" s="4">
        <v>5339.0</v>
      </c>
      <c r="G507" s="4">
        <v>15.0</v>
      </c>
    </row>
    <row r="508">
      <c r="A508" s="4" t="s">
        <v>8</v>
      </c>
      <c r="B508" s="5">
        <v>44778.0</v>
      </c>
      <c r="C508" s="6">
        <v>0.7053703703713836</v>
      </c>
      <c r="D508" s="4">
        <v>12.955911</v>
      </c>
      <c r="E508" s="4">
        <v>80.142907</v>
      </c>
      <c r="F508" s="4">
        <v>5339.0</v>
      </c>
      <c r="G508" s="4">
        <v>15.0</v>
      </c>
    </row>
    <row r="509">
      <c r="A509" s="4" t="s">
        <v>8</v>
      </c>
      <c r="B509" s="5">
        <v>44778.0</v>
      </c>
      <c r="C509" s="6">
        <v>0.7101851851839456</v>
      </c>
      <c r="D509" s="4">
        <v>12.987078</v>
      </c>
      <c r="E509" s="4">
        <v>80.17552</v>
      </c>
      <c r="F509" s="4">
        <v>5339.0</v>
      </c>
      <c r="G509" s="4">
        <v>13.0</v>
      </c>
    </row>
    <row r="510">
      <c r="A510" s="4" t="s">
        <v>8</v>
      </c>
      <c r="B510" s="5">
        <v>44778.0</v>
      </c>
      <c r="C510" s="6">
        <v>0.7101851851839456</v>
      </c>
      <c r="D510" s="4">
        <v>12.987078</v>
      </c>
      <c r="E510" s="4">
        <v>80.17552</v>
      </c>
      <c r="F510" s="4">
        <v>5339.0</v>
      </c>
      <c r="G510" s="4">
        <v>13.0</v>
      </c>
    </row>
    <row r="511">
      <c r="A511" s="4" t="s">
        <v>8</v>
      </c>
      <c r="B511" s="5">
        <v>44778.0</v>
      </c>
      <c r="C511" s="6">
        <v>0.7114004629620467</v>
      </c>
      <c r="D511" s="4">
        <v>12.989213</v>
      </c>
      <c r="E511" s="4">
        <v>80.178333</v>
      </c>
      <c r="F511" s="4">
        <v>5339.0</v>
      </c>
      <c r="G511" s="4">
        <v>0.0</v>
      </c>
    </row>
    <row r="512">
      <c r="A512" s="4" t="s">
        <v>8</v>
      </c>
      <c r="B512" s="5">
        <v>44778.0</v>
      </c>
      <c r="C512" s="6">
        <v>0.7115046296312357</v>
      </c>
      <c r="D512" s="4">
        <v>12.989213</v>
      </c>
      <c r="E512" s="4">
        <v>80.178333</v>
      </c>
      <c r="F512" s="4">
        <v>5339.0</v>
      </c>
      <c r="G512" s="4">
        <v>0.0</v>
      </c>
    </row>
    <row r="513">
      <c r="A513" s="4" t="s">
        <v>8</v>
      </c>
      <c r="B513" s="5">
        <v>44778.0</v>
      </c>
      <c r="C513" s="6">
        <v>0.7117361111122591</v>
      </c>
      <c r="D513" s="4">
        <v>12.989213</v>
      </c>
      <c r="E513" s="4">
        <v>80.178333</v>
      </c>
      <c r="F513" s="4">
        <v>5339.0</v>
      </c>
      <c r="G513" s="4">
        <v>0.0</v>
      </c>
    </row>
    <row r="514">
      <c r="A514" s="4" t="s">
        <v>8</v>
      </c>
      <c r="B514" s="5">
        <v>44778.0</v>
      </c>
      <c r="C514" s="6">
        <v>0.7144212962957681</v>
      </c>
      <c r="D514" s="4">
        <v>13.000572</v>
      </c>
      <c r="E514" s="4">
        <v>80.194806</v>
      </c>
      <c r="F514" s="4">
        <v>5339.0</v>
      </c>
      <c r="G514" s="4">
        <v>12.0</v>
      </c>
    </row>
    <row r="515">
      <c r="A515" s="4" t="s">
        <v>8</v>
      </c>
      <c r="B515" s="5">
        <v>44778.0</v>
      </c>
      <c r="C515" s="6">
        <v>0.7144212962957681</v>
      </c>
      <c r="D515" s="4">
        <v>13.000572</v>
      </c>
      <c r="E515" s="4">
        <v>80.194806</v>
      </c>
      <c r="F515" s="4">
        <v>5339.0</v>
      </c>
      <c r="G515" s="4">
        <v>12.0</v>
      </c>
    </row>
    <row r="516">
      <c r="A516" s="4" t="s">
        <v>8</v>
      </c>
      <c r="B516" s="5">
        <v>44778.0</v>
      </c>
      <c r="C516" s="6">
        <v>0.7207986111097853</v>
      </c>
      <c r="D516" s="4">
        <v>13.007958</v>
      </c>
      <c r="E516" s="4">
        <v>80.234738</v>
      </c>
      <c r="F516" s="4">
        <v>805.0</v>
      </c>
      <c r="G516" s="4">
        <v>2.0</v>
      </c>
    </row>
    <row r="517">
      <c r="A517" s="4" t="s">
        <v>8</v>
      </c>
      <c r="B517" s="5">
        <v>44778.0</v>
      </c>
      <c r="C517" s="6">
        <v>0.7208680555559113</v>
      </c>
      <c r="D517" s="4">
        <v>13.007958</v>
      </c>
      <c r="E517" s="4">
        <v>80.234738</v>
      </c>
      <c r="F517" s="4">
        <v>805.0</v>
      </c>
      <c r="G517" s="4">
        <v>2.0</v>
      </c>
    </row>
    <row r="518">
      <c r="A518" s="4" t="s">
        <v>8</v>
      </c>
      <c r="B518" s="5">
        <v>44778.0</v>
      </c>
      <c r="C518" s="6">
        <v>0.7208796296290529</v>
      </c>
      <c r="D518" s="4">
        <v>13.007958</v>
      </c>
      <c r="E518" s="4">
        <v>80.234738</v>
      </c>
      <c r="F518" s="4">
        <v>805.0</v>
      </c>
      <c r="G518" s="4">
        <v>2.0</v>
      </c>
    </row>
    <row r="519">
      <c r="A519" s="4" t="s">
        <v>8</v>
      </c>
      <c r="B519" s="5">
        <v>44778.0</v>
      </c>
      <c r="C519" s="6">
        <v>0.7218518518529891</v>
      </c>
      <c r="D519" s="4">
        <v>13.007242</v>
      </c>
      <c r="E519" s="4">
        <v>80.23828</v>
      </c>
      <c r="F519" s="4">
        <v>805.0</v>
      </c>
      <c r="G519" s="4">
        <v>7.0</v>
      </c>
    </row>
    <row r="520">
      <c r="A520" s="4" t="s">
        <v>8</v>
      </c>
      <c r="B520" s="5">
        <v>44778.0</v>
      </c>
      <c r="C520" s="6">
        <v>0.7218518518529891</v>
      </c>
      <c r="D520" s="4">
        <v>13.007242</v>
      </c>
      <c r="E520" s="4">
        <v>80.23828</v>
      </c>
      <c r="F520" s="4">
        <v>805.0</v>
      </c>
      <c r="G520" s="4">
        <v>7.0</v>
      </c>
    </row>
    <row r="521">
      <c r="A521" s="4" t="s">
        <v>8</v>
      </c>
      <c r="B521" s="5">
        <v>44778.0</v>
      </c>
      <c r="C521" s="6">
        <v>0.7466666666659876</v>
      </c>
      <c r="D521" s="4">
        <v>13.072347</v>
      </c>
      <c r="E521" s="4">
        <v>80.263547</v>
      </c>
      <c r="F521" s="4">
        <v>5339.0</v>
      </c>
      <c r="G521" s="4">
        <v>20.0</v>
      </c>
    </row>
    <row r="522">
      <c r="A522" s="4" t="s">
        <v>8</v>
      </c>
      <c r="B522" s="5">
        <v>44778.0</v>
      </c>
      <c r="C522" s="6">
        <v>0.7467013888890506</v>
      </c>
      <c r="D522" s="4">
        <v>13.072347</v>
      </c>
      <c r="E522" s="4">
        <v>80.263547</v>
      </c>
      <c r="F522" s="4">
        <v>5339.0</v>
      </c>
      <c r="G522" s="4">
        <v>20.0</v>
      </c>
    </row>
    <row r="523">
      <c r="A523" s="4" t="s">
        <v>8</v>
      </c>
      <c r="B523" s="5">
        <v>44778.0</v>
      </c>
      <c r="C523" s="6">
        <v>0.7488425925912452</v>
      </c>
      <c r="D523" s="4">
        <v>13.062154</v>
      </c>
      <c r="E523" s="4">
        <v>80.263191</v>
      </c>
      <c r="F523" s="4">
        <v>805.0</v>
      </c>
      <c r="G523" s="4">
        <v>6.0</v>
      </c>
    </row>
    <row r="524">
      <c r="A524" s="4" t="s">
        <v>8</v>
      </c>
      <c r="B524" s="5">
        <v>44778.0</v>
      </c>
      <c r="C524" s="6">
        <v>0.7488541666680248</v>
      </c>
      <c r="D524" s="4">
        <v>13.062154</v>
      </c>
      <c r="E524" s="4">
        <v>80.263191</v>
      </c>
      <c r="F524" s="4">
        <v>805.0</v>
      </c>
      <c r="G524" s="4">
        <v>6.0</v>
      </c>
    </row>
    <row r="525">
      <c r="A525" s="4" t="s">
        <v>8</v>
      </c>
      <c r="B525" s="5">
        <v>44778.0</v>
      </c>
      <c r="C525" s="6">
        <v>0.7490393518528435</v>
      </c>
      <c r="D525" s="4">
        <v>13.062132</v>
      </c>
      <c r="E525" s="4">
        <v>80.26281</v>
      </c>
      <c r="F525" s="4">
        <v>805.0</v>
      </c>
      <c r="G525" s="4">
        <v>13.0</v>
      </c>
    </row>
    <row r="526">
      <c r="A526" s="4" t="s">
        <v>8</v>
      </c>
      <c r="B526" s="5">
        <v>44778.0</v>
      </c>
      <c r="C526" s="6">
        <v>0.7490509259259852</v>
      </c>
      <c r="D526" s="4">
        <v>13.062132</v>
      </c>
      <c r="E526" s="4">
        <v>80.26281</v>
      </c>
      <c r="F526" s="4">
        <v>805.0</v>
      </c>
      <c r="G526" s="4">
        <v>13.0</v>
      </c>
    </row>
    <row r="527">
      <c r="A527" s="4" t="s">
        <v>8</v>
      </c>
      <c r="B527" s="5">
        <v>44778.0</v>
      </c>
      <c r="C527" s="6">
        <v>0.7490624999991269</v>
      </c>
      <c r="D527" s="4">
        <v>13.062132</v>
      </c>
      <c r="E527" s="4">
        <v>80.26281</v>
      </c>
      <c r="F527" s="4">
        <v>805.0</v>
      </c>
      <c r="G527" s="4">
        <v>13.0</v>
      </c>
    </row>
    <row r="528">
      <c r="A528" s="4" t="s">
        <v>8</v>
      </c>
      <c r="B528" s="5">
        <v>44778.0</v>
      </c>
      <c r="C528" s="6">
        <v>0.7516203703708015</v>
      </c>
      <c r="D528" s="4">
        <v>13.067096</v>
      </c>
      <c r="E528" s="4">
        <v>80.254571</v>
      </c>
      <c r="F528" s="4">
        <v>805.0</v>
      </c>
      <c r="G528" s="4">
        <v>18.0</v>
      </c>
    </row>
    <row r="529">
      <c r="A529" s="4" t="s">
        <v>8</v>
      </c>
      <c r="B529" s="5">
        <v>44778.0</v>
      </c>
      <c r="C529" s="6">
        <v>0.7516319444439432</v>
      </c>
      <c r="D529" s="4">
        <v>13.067096</v>
      </c>
      <c r="E529" s="4">
        <v>80.254571</v>
      </c>
      <c r="F529" s="4">
        <v>805.0</v>
      </c>
      <c r="G529" s="4">
        <v>18.0</v>
      </c>
    </row>
    <row r="530">
      <c r="A530" s="4" t="s">
        <v>8</v>
      </c>
      <c r="B530" s="5">
        <v>44778.0</v>
      </c>
      <c r="C530" s="6">
        <v>0.7516319444439432</v>
      </c>
      <c r="D530" s="4">
        <v>13.067096</v>
      </c>
      <c r="E530" s="4">
        <v>80.254571</v>
      </c>
      <c r="F530" s="4">
        <v>805.0</v>
      </c>
      <c r="G530" s="4">
        <v>18.0</v>
      </c>
    </row>
    <row r="531">
      <c r="A531" s="4" t="s">
        <v>8</v>
      </c>
      <c r="B531" s="5">
        <v>44778.0</v>
      </c>
      <c r="C531" s="6">
        <v>0.7516435185170849</v>
      </c>
      <c r="D531" s="4">
        <v>13.067096</v>
      </c>
      <c r="E531" s="4">
        <v>80.254571</v>
      </c>
      <c r="F531" s="4">
        <v>805.0</v>
      </c>
      <c r="G531" s="4">
        <v>18.0</v>
      </c>
    </row>
    <row r="532">
      <c r="A532" s="4" t="s">
        <v>8</v>
      </c>
      <c r="B532" s="5">
        <v>44778.0</v>
      </c>
      <c r="C532" s="6">
        <v>0.7518981481480296</v>
      </c>
      <c r="D532" s="4">
        <v>13.066804</v>
      </c>
      <c r="E532" s="4">
        <v>80.254248</v>
      </c>
      <c r="F532" s="4">
        <v>805.0</v>
      </c>
      <c r="G532" s="4">
        <v>14.0</v>
      </c>
    </row>
    <row r="533">
      <c r="A533" s="4" t="s">
        <v>8</v>
      </c>
      <c r="B533" s="5">
        <v>44778.0</v>
      </c>
      <c r="C533" s="6">
        <v>0.7518981481480296</v>
      </c>
      <c r="D533" s="4">
        <v>13.066804</v>
      </c>
      <c r="E533" s="4">
        <v>80.254248</v>
      </c>
      <c r="F533" s="4">
        <v>805.0</v>
      </c>
      <c r="G533" s="4">
        <v>14.0</v>
      </c>
    </row>
    <row r="534">
      <c r="A534" s="4" t="s">
        <v>8</v>
      </c>
      <c r="B534" s="5">
        <v>44781.0</v>
      </c>
      <c r="C534" s="6">
        <v>0.3091550925928459</v>
      </c>
      <c r="D534" s="4">
        <v>13.053986</v>
      </c>
      <c r="E534" s="4">
        <v>80.26405</v>
      </c>
      <c r="F534" s="4">
        <v>805.0</v>
      </c>
      <c r="G534" s="4">
        <v>9.0</v>
      </c>
    </row>
    <row r="535">
      <c r="A535" s="4" t="s">
        <v>8</v>
      </c>
      <c r="B535" s="5">
        <v>44781.0</v>
      </c>
      <c r="C535" s="6">
        <v>0.3091666666659876</v>
      </c>
      <c r="D535" s="4">
        <v>13.053986</v>
      </c>
      <c r="E535" s="4">
        <v>80.26405</v>
      </c>
      <c r="F535" s="4">
        <v>805.0</v>
      </c>
      <c r="G535" s="4">
        <v>9.0</v>
      </c>
    </row>
    <row r="536">
      <c r="A536" s="4" t="s">
        <v>8</v>
      </c>
      <c r="B536" s="5">
        <v>44781.0</v>
      </c>
      <c r="C536" s="6">
        <v>0.31971064814933925</v>
      </c>
      <c r="D536" s="4">
        <v>13.015085</v>
      </c>
      <c r="E536" s="4">
        <v>80.225984</v>
      </c>
      <c r="F536" s="4">
        <v>5339.0</v>
      </c>
      <c r="G536" s="4">
        <v>14.0</v>
      </c>
    </row>
    <row r="537">
      <c r="A537" s="4" t="s">
        <v>8</v>
      </c>
      <c r="B537" s="5">
        <v>44781.0</v>
      </c>
      <c r="C537" s="6">
        <v>0.31971064814933925</v>
      </c>
      <c r="D537" s="4">
        <v>13.015085</v>
      </c>
      <c r="E537" s="4">
        <v>80.225984</v>
      </c>
      <c r="F537" s="4">
        <v>5339.0</v>
      </c>
      <c r="G537" s="4">
        <v>14.0</v>
      </c>
    </row>
    <row r="538">
      <c r="A538" s="4" t="s">
        <v>8</v>
      </c>
      <c r="B538" s="5">
        <v>44781.0</v>
      </c>
      <c r="C538" s="6">
        <v>0.3357523148151813</v>
      </c>
      <c r="D538" s="4">
        <v>12.986804</v>
      </c>
      <c r="E538" s="4">
        <v>80.175382</v>
      </c>
      <c r="F538" s="4">
        <v>805.0</v>
      </c>
      <c r="G538" s="4">
        <v>0.0</v>
      </c>
    </row>
    <row r="539">
      <c r="A539" s="4" t="s">
        <v>8</v>
      </c>
      <c r="B539" s="5">
        <v>44781.0</v>
      </c>
      <c r="C539" s="6">
        <v>0.3357523148151813</v>
      </c>
      <c r="D539" s="4">
        <v>12.986804</v>
      </c>
      <c r="E539" s="4">
        <v>80.175382</v>
      </c>
      <c r="F539" s="4">
        <v>805.0</v>
      </c>
      <c r="G539" s="4">
        <v>0.0</v>
      </c>
    </row>
    <row r="540">
      <c r="A540" s="4" t="s">
        <v>8</v>
      </c>
      <c r="B540" s="5">
        <v>44781.0</v>
      </c>
      <c r="C540" s="6">
        <v>0.33616898148102337</v>
      </c>
      <c r="D540" s="4">
        <v>12.953111</v>
      </c>
      <c r="E540" s="4">
        <v>80.141586</v>
      </c>
      <c r="F540" s="4">
        <v>3143.0</v>
      </c>
      <c r="G540" s="4">
        <v>20.0</v>
      </c>
    </row>
    <row r="541">
      <c r="A541" s="4" t="s">
        <v>8</v>
      </c>
      <c r="B541" s="5">
        <v>44781.0</v>
      </c>
      <c r="C541" s="6">
        <v>0.3361921296309447</v>
      </c>
      <c r="D541" s="4">
        <v>12.953111</v>
      </c>
      <c r="E541" s="4">
        <v>80.141586</v>
      </c>
      <c r="F541" s="4">
        <v>3143.0</v>
      </c>
      <c r="G541" s="4">
        <v>20.0</v>
      </c>
    </row>
    <row r="542">
      <c r="A542" s="4" t="s">
        <v>8</v>
      </c>
      <c r="B542" s="5">
        <v>44781.0</v>
      </c>
      <c r="C542" s="6">
        <v>0.33620370370408637</v>
      </c>
      <c r="D542" s="4">
        <v>12.953111</v>
      </c>
      <c r="E542" s="4">
        <v>80.141586</v>
      </c>
      <c r="F542" s="4">
        <v>3143.0</v>
      </c>
      <c r="G542" s="4">
        <v>20.0</v>
      </c>
    </row>
    <row r="543">
      <c r="A543" s="4" t="s">
        <v>8</v>
      </c>
      <c r="B543" s="5">
        <v>44781.0</v>
      </c>
      <c r="C543" s="6">
        <v>0.33620370370408637</v>
      </c>
      <c r="D543" s="4">
        <v>12.953111</v>
      </c>
      <c r="E543" s="4">
        <v>80.141586</v>
      </c>
      <c r="F543" s="4">
        <v>3143.0</v>
      </c>
      <c r="G543" s="4">
        <v>20.0</v>
      </c>
    </row>
    <row r="544">
      <c r="A544" s="4" t="s">
        <v>8</v>
      </c>
      <c r="B544" s="5">
        <v>44781.0</v>
      </c>
      <c r="C544" s="6">
        <v>0.34209490740613546</v>
      </c>
      <c r="D544" s="4">
        <v>12.952934</v>
      </c>
      <c r="E544" s="4">
        <v>80.141473</v>
      </c>
      <c r="F544" s="4">
        <v>805.0</v>
      </c>
      <c r="G544" s="4">
        <v>20.0</v>
      </c>
    </row>
    <row r="545">
      <c r="A545" s="4" t="s">
        <v>8</v>
      </c>
      <c r="B545" s="5">
        <v>44781.0</v>
      </c>
      <c r="C545" s="6">
        <v>0.3421064814829151</v>
      </c>
      <c r="D545" s="4">
        <v>12.952934</v>
      </c>
      <c r="E545" s="4">
        <v>80.141473</v>
      </c>
      <c r="F545" s="4">
        <v>805.0</v>
      </c>
      <c r="G545" s="4">
        <v>20.0</v>
      </c>
    </row>
    <row r="546">
      <c r="A546" s="4" t="s">
        <v>8</v>
      </c>
      <c r="B546" s="5">
        <v>44781.0</v>
      </c>
      <c r="C546" s="6">
        <v>0.34221064814846613</v>
      </c>
      <c r="D546" s="4">
        <v>12.952934</v>
      </c>
      <c r="E546" s="4">
        <v>80.141473</v>
      </c>
      <c r="F546" s="4">
        <v>805.0</v>
      </c>
      <c r="G546" s="4">
        <v>20.0</v>
      </c>
    </row>
    <row r="547">
      <c r="A547" s="4" t="s">
        <v>8</v>
      </c>
      <c r="B547" s="5">
        <v>44781.0</v>
      </c>
      <c r="C547" s="6">
        <v>0.34224537037152913</v>
      </c>
      <c r="D547" s="4">
        <v>12.952934</v>
      </c>
      <c r="E547" s="4">
        <v>80.141473</v>
      </c>
      <c r="F547" s="4">
        <v>805.0</v>
      </c>
      <c r="G547" s="4">
        <v>20.0</v>
      </c>
    </row>
    <row r="548">
      <c r="A548" s="4" t="s">
        <v>8</v>
      </c>
      <c r="B548" s="5">
        <v>44781.0</v>
      </c>
      <c r="C548" s="6">
        <v>0.34481481481634546</v>
      </c>
      <c r="D548" s="4">
        <v>12.93634</v>
      </c>
      <c r="E548" s="4">
        <v>80.127405</v>
      </c>
      <c r="F548" s="4">
        <v>805.0</v>
      </c>
      <c r="G548" s="4">
        <v>0.0</v>
      </c>
    </row>
    <row r="549">
      <c r="A549" s="4" t="s">
        <v>8</v>
      </c>
      <c r="B549" s="5">
        <v>44781.0</v>
      </c>
      <c r="C549" s="6">
        <v>0.34496527777810115</v>
      </c>
      <c r="D549" s="4">
        <v>12.93634</v>
      </c>
      <c r="E549" s="4">
        <v>80.127405</v>
      </c>
      <c r="F549" s="4">
        <v>805.0</v>
      </c>
      <c r="G549" s="4">
        <v>0.0</v>
      </c>
    </row>
    <row r="550">
      <c r="A550" s="4" t="s">
        <v>8</v>
      </c>
      <c r="B550" s="5">
        <v>44781.0</v>
      </c>
      <c r="C550" s="6">
        <v>0.7010648148134351</v>
      </c>
      <c r="D550" s="4">
        <v>12.931117</v>
      </c>
      <c r="E550" s="4">
        <v>80.122232</v>
      </c>
      <c r="F550" s="4">
        <v>805.0</v>
      </c>
      <c r="G550" s="4">
        <v>11.0</v>
      </c>
    </row>
    <row r="551">
      <c r="A551" s="4" t="s">
        <v>8</v>
      </c>
      <c r="B551" s="5">
        <v>44781.0</v>
      </c>
      <c r="C551" s="6">
        <v>0.7010879629633564</v>
      </c>
      <c r="D551" s="4">
        <v>12.931117</v>
      </c>
      <c r="E551" s="4">
        <v>80.122232</v>
      </c>
      <c r="F551" s="4">
        <v>805.0</v>
      </c>
      <c r="G551" s="4">
        <v>11.0</v>
      </c>
    </row>
    <row r="552">
      <c r="A552" s="4" t="s">
        <v>8</v>
      </c>
      <c r="B552" s="5">
        <v>44781.0</v>
      </c>
      <c r="C552" s="6">
        <v>0.7010879629633564</v>
      </c>
      <c r="D552" s="4">
        <v>12.931117</v>
      </c>
      <c r="E552" s="4">
        <v>80.122232</v>
      </c>
      <c r="F552" s="4">
        <v>805.0</v>
      </c>
      <c r="G552" s="4">
        <v>11.0</v>
      </c>
    </row>
    <row r="553">
      <c r="A553" s="4" t="s">
        <v>8</v>
      </c>
      <c r="B553" s="5">
        <v>44781.0</v>
      </c>
      <c r="C553" s="6">
        <v>0.7011111111096398</v>
      </c>
      <c r="D553" s="4">
        <v>12.931117</v>
      </c>
      <c r="E553" s="4">
        <v>80.122232</v>
      </c>
      <c r="F553" s="4">
        <v>805.0</v>
      </c>
      <c r="G553" s="4">
        <v>11.0</v>
      </c>
    </row>
    <row r="554">
      <c r="A554" s="4" t="s">
        <v>8</v>
      </c>
      <c r="B554" s="5">
        <v>44781.0</v>
      </c>
      <c r="C554" s="6">
        <v>0.7020717592604342</v>
      </c>
      <c r="D554" s="4">
        <v>12.935669</v>
      </c>
      <c r="E554" s="4">
        <v>80.126641</v>
      </c>
      <c r="F554" s="4">
        <v>805.0</v>
      </c>
      <c r="G554" s="4">
        <v>16.0</v>
      </c>
    </row>
    <row r="555">
      <c r="A555" s="4" t="s">
        <v>8</v>
      </c>
      <c r="B555" s="5">
        <v>44781.0</v>
      </c>
      <c r="C555" s="6">
        <v>0.7020949074067175</v>
      </c>
      <c r="D555" s="4">
        <v>12.935669</v>
      </c>
      <c r="E555" s="4">
        <v>80.126641</v>
      </c>
      <c r="F555" s="4">
        <v>805.0</v>
      </c>
      <c r="G555" s="4">
        <v>16.0</v>
      </c>
    </row>
    <row r="556">
      <c r="A556" s="4" t="s">
        <v>8</v>
      </c>
      <c r="B556" s="5">
        <v>44781.0</v>
      </c>
      <c r="C556" s="6">
        <v>0.7021759259259852</v>
      </c>
      <c r="D556" s="4">
        <v>12.935669</v>
      </c>
      <c r="E556" s="4">
        <v>80.126641</v>
      </c>
      <c r="F556" s="4">
        <v>805.0</v>
      </c>
      <c r="G556" s="4">
        <v>16.0</v>
      </c>
    </row>
    <row r="557">
      <c r="A557" s="4" t="s">
        <v>8</v>
      </c>
      <c r="B557" s="5">
        <v>44781.0</v>
      </c>
      <c r="C557" s="6">
        <v>0.706018518518249</v>
      </c>
      <c r="D557" s="4">
        <v>12.950122</v>
      </c>
      <c r="E557" s="4">
        <v>80.139194</v>
      </c>
      <c r="F557" s="4">
        <v>805.0</v>
      </c>
      <c r="G557" s="4">
        <v>0.0</v>
      </c>
    </row>
    <row r="558">
      <c r="A558" s="4" t="s">
        <v>8</v>
      </c>
      <c r="B558" s="5">
        <v>44781.0</v>
      </c>
      <c r="C558" s="6">
        <v>0.7061689814800047</v>
      </c>
      <c r="D558" s="4">
        <v>12.950213</v>
      </c>
      <c r="E558" s="4">
        <v>80.139274</v>
      </c>
      <c r="F558" s="4">
        <v>805.0</v>
      </c>
      <c r="G558" s="4">
        <v>11.0</v>
      </c>
    </row>
    <row r="559">
      <c r="A559" s="4" t="s">
        <v>8</v>
      </c>
      <c r="B559" s="5">
        <v>44781.0</v>
      </c>
      <c r="C559" s="6">
        <v>0.7062037037030677</v>
      </c>
      <c r="D559" s="4">
        <v>12.950213</v>
      </c>
      <c r="E559" s="4">
        <v>80.139274</v>
      </c>
      <c r="F559" s="4">
        <v>805.0</v>
      </c>
      <c r="G559" s="4">
        <v>11.0</v>
      </c>
    </row>
    <row r="560">
      <c r="A560" s="4" t="s">
        <v>8</v>
      </c>
      <c r="B560" s="5">
        <v>44781.0</v>
      </c>
      <c r="C560" s="6">
        <v>0.7062847222223354</v>
      </c>
      <c r="D560" s="4">
        <v>12.950213</v>
      </c>
      <c r="E560" s="4">
        <v>80.139274</v>
      </c>
      <c r="F560" s="4">
        <v>805.0</v>
      </c>
      <c r="G560" s="4">
        <v>11.0</v>
      </c>
    </row>
    <row r="561">
      <c r="A561" s="4" t="s">
        <v>8</v>
      </c>
      <c r="B561" s="5">
        <v>44781.0</v>
      </c>
      <c r="C561" s="6">
        <v>0.7075810185197042</v>
      </c>
      <c r="D561" s="4">
        <v>12.950101</v>
      </c>
      <c r="E561" s="4">
        <v>80.13922</v>
      </c>
      <c r="F561" s="4">
        <v>5339.0</v>
      </c>
      <c r="G561" s="4">
        <v>0.0</v>
      </c>
    </row>
    <row r="562">
      <c r="A562" s="4" t="s">
        <v>8</v>
      </c>
      <c r="B562" s="5">
        <v>44781.0</v>
      </c>
      <c r="C562" s="6">
        <v>0.7075810185197042</v>
      </c>
      <c r="D562" s="4">
        <v>12.950101</v>
      </c>
      <c r="E562" s="4">
        <v>80.13922</v>
      </c>
      <c r="F562" s="4">
        <v>5339.0</v>
      </c>
      <c r="G562" s="4">
        <v>0.0</v>
      </c>
    </row>
    <row r="563">
      <c r="A563" s="4" t="s">
        <v>8</v>
      </c>
      <c r="B563" s="5">
        <v>44781.0</v>
      </c>
      <c r="C563" s="6">
        <v>0.7075810185197042</v>
      </c>
      <c r="D563" s="4">
        <v>12.950101</v>
      </c>
      <c r="E563" s="4">
        <v>80.13922</v>
      </c>
      <c r="F563" s="4">
        <v>5339.0</v>
      </c>
      <c r="G563" s="4">
        <v>0.0</v>
      </c>
    </row>
    <row r="564">
      <c r="A564" s="4" t="s">
        <v>8</v>
      </c>
      <c r="B564" s="5">
        <v>44781.0</v>
      </c>
      <c r="C564" s="6">
        <v>0.708217592593428</v>
      </c>
      <c r="D564" s="4">
        <v>12.960176</v>
      </c>
      <c r="E564" s="4">
        <v>80.145069</v>
      </c>
      <c r="F564" s="4">
        <v>805.0</v>
      </c>
      <c r="G564" s="4">
        <v>6.0</v>
      </c>
    </row>
    <row r="565">
      <c r="A565" s="4" t="s">
        <v>8</v>
      </c>
      <c r="B565" s="5">
        <v>44781.0</v>
      </c>
      <c r="C565" s="6">
        <v>0.7083333333321207</v>
      </c>
      <c r="D565" s="4">
        <v>12.960176</v>
      </c>
      <c r="E565" s="4">
        <v>80.145069</v>
      </c>
      <c r="F565" s="4">
        <v>805.0</v>
      </c>
      <c r="G565" s="4">
        <v>6.0</v>
      </c>
    </row>
    <row r="566">
      <c r="A566" s="4" t="s">
        <v>8</v>
      </c>
      <c r="B566" s="5">
        <v>44781.0</v>
      </c>
      <c r="C566" s="6">
        <v>0.7083333333321207</v>
      </c>
      <c r="D566" s="4">
        <v>12.960176</v>
      </c>
      <c r="E566" s="4">
        <v>80.145069</v>
      </c>
      <c r="F566" s="4">
        <v>805.0</v>
      </c>
      <c r="G566" s="4">
        <v>6.0</v>
      </c>
    </row>
    <row r="567">
      <c r="A567" s="4" t="s">
        <v>8</v>
      </c>
      <c r="B567" s="5">
        <v>44781.0</v>
      </c>
      <c r="C567" s="6">
        <v>0.7095254629639385</v>
      </c>
      <c r="D567" s="4">
        <v>12.956223</v>
      </c>
      <c r="E567" s="4">
        <v>80.14311</v>
      </c>
      <c r="F567" s="4">
        <v>5339.0</v>
      </c>
      <c r="G567" s="4">
        <v>11.0</v>
      </c>
    </row>
    <row r="568">
      <c r="A568" s="4" t="s">
        <v>8</v>
      </c>
      <c r="B568" s="5">
        <v>44781.0</v>
      </c>
      <c r="C568" s="6">
        <v>0.7095254629639385</v>
      </c>
      <c r="D568" s="4">
        <v>12.956223</v>
      </c>
      <c r="E568" s="4">
        <v>80.14311</v>
      </c>
      <c r="F568" s="4">
        <v>5339.0</v>
      </c>
      <c r="G568" s="4">
        <v>11.0</v>
      </c>
    </row>
    <row r="569">
      <c r="A569" s="4" t="s">
        <v>8</v>
      </c>
      <c r="B569" s="5">
        <v>44781.0</v>
      </c>
      <c r="C569" s="6">
        <v>0.7122685185167938</v>
      </c>
      <c r="D569" s="4">
        <v>12.950382</v>
      </c>
      <c r="E569" s="4">
        <v>80.139422</v>
      </c>
      <c r="F569" s="4">
        <v>3143.0</v>
      </c>
      <c r="G569" s="4">
        <v>18.0</v>
      </c>
    </row>
    <row r="570">
      <c r="A570" s="4" t="s">
        <v>8</v>
      </c>
      <c r="B570" s="5">
        <v>44781.0</v>
      </c>
      <c r="C570" s="6">
        <v>0.7122800925935735</v>
      </c>
      <c r="D570" s="4">
        <v>12.950382</v>
      </c>
      <c r="E570" s="4">
        <v>80.139422</v>
      </c>
      <c r="F570" s="4">
        <v>3143.0</v>
      </c>
      <c r="G570" s="4">
        <v>18.0</v>
      </c>
    </row>
    <row r="571">
      <c r="A571" s="4" t="s">
        <v>8</v>
      </c>
      <c r="B571" s="5">
        <v>44781.0</v>
      </c>
      <c r="C571" s="6">
        <v>0.7167245370364981</v>
      </c>
      <c r="D571" s="4">
        <v>12.961075</v>
      </c>
      <c r="E571" s="4">
        <v>80.145703</v>
      </c>
      <c r="F571" s="4">
        <v>3143.0</v>
      </c>
      <c r="G571" s="4">
        <v>6.0</v>
      </c>
    </row>
    <row r="572">
      <c r="A572" s="4" t="s">
        <v>8</v>
      </c>
      <c r="B572" s="5">
        <v>44781.0</v>
      </c>
      <c r="C572" s="6">
        <v>0.7168518518519704</v>
      </c>
      <c r="D572" s="4">
        <v>12.961075</v>
      </c>
      <c r="E572" s="4">
        <v>80.145703</v>
      </c>
      <c r="F572" s="4">
        <v>3143.0</v>
      </c>
      <c r="G572" s="4">
        <v>6.0</v>
      </c>
    </row>
    <row r="573">
      <c r="A573" s="4" t="s">
        <v>8</v>
      </c>
      <c r="B573" s="5">
        <v>44781.0</v>
      </c>
      <c r="C573" s="6">
        <v>0.724155092593719</v>
      </c>
      <c r="D573" s="4">
        <v>13.006738</v>
      </c>
      <c r="E573" s="4">
        <v>80.240867</v>
      </c>
      <c r="F573" s="4">
        <v>805.0</v>
      </c>
      <c r="G573" s="4">
        <v>16.0</v>
      </c>
    </row>
    <row r="574">
      <c r="A574" s="4" t="s">
        <v>8</v>
      </c>
      <c r="B574" s="5">
        <v>44781.0</v>
      </c>
      <c r="C574" s="6">
        <v>0.7241666666668607</v>
      </c>
      <c r="D574" s="4">
        <v>13.006738</v>
      </c>
      <c r="E574" s="4">
        <v>80.240867</v>
      </c>
      <c r="F574" s="4">
        <v>805.0</v>
      </c>
      <c r="G574" s="4">
        <v>16.0</v>
      </c>
    </row>
    <row r="575">
      <c r="A575" s="4" t="s">
        <v>8</v>
      </c>
      <c r="B575" s="5">
        <v>44781.0</v>
      </c>
      <c r="C575" s="6">
        <v>0.724189814813144</v>
      </c>
      <c r="D575" s="4">
        <v>13.006738</v>
      </c>
      <c r="E575" s="4">
        <v>80.240867</v>
      </c>
      <c r="F575" s="4">
        <v>805.0</v>
      </c>
      <c r="G575" s="4">
        <v>16.0</v>
      </c>
    </row>
    <row r="576">
      <c r="A576" s="4" t="s">
        <v>8</v>
      </c>
      <c r="B576" s="5">
        <v>44781.0</v>
      </c>
      <c r="C576" s="6">
        <v>0.7260069444455439</v>
      </c>
      <c r="D576" s="4">
        <v>13.026296</v>
      </c>
      <c r="E576" s="4">
        <v>80.232222</v>
      </c>
      <c r="F576" s="4">
        <v>5339.0</v>
      </c>
      <c r="G576" s="4">
        <v>0.0</v>
      </c>
    </row>
    <row r="577">
      <c r="A577" s="4" t="s">
        <v>8</v>
      </c>
      <c r="B577" s="5">
        <v>44781.0</v>
      </c>
      <c r="C577" s="6">
        <v>0.7260069444455439</v>
      </c>
      <c r="D577" s="4">
        <v>13.026296</v>
      </c>
      <c r="E577" s="4">
        <v>80.232222</v>
      </c>
      <c r="F577" s="4">
        <v>5339.0</v>
      </c>
      <c r="G577" s="4">
        <v>0.0</v>
      </c>
    </row>
    <row r="578">
      <c r="A578" s="4" t="s">
        <v>8</v>
      </c>
      <c r="B578" s="5">
        <v>44781.0</v>
      </c>
      <c r="C578" s="6">
        <v>0.7260185185186856</v>
      </c>
      <c r="D578" s="4">
        <v>13.026296</v>
      </c>
      <c r="E578" s="4">
        <v>80.232222</v>
      </c>
      <c r="F578" s="4">
        <v>5339.0</v>
      </c>
      <c r="G578" s="4">
        <v>0.0</v>
      </c>
    </row>
    <row r="579">
      <c r="A579" s="4" t="s">
        <v>8</v>
      </c>
      <c r="B579" s="5">
        <v>44781.0</v>
      </c>
      <c r="C579" s="6">
        <v>0.7272222222236451</v>
      </c>
      <c r="D579" s="4">
        <v>13.006864</v>
      </c>
      <c r="E579" s="4">
        <v>80.251404</v>
      </c>
      <c r="F579" s="4">
        <v>805.0</v>
      </c>
      <c r="G579" s="4">
        <v>0.0</v>
      </c>
    </row>
    <row r="580">
      <c r="A580" s="4" t="s">
        <v>8</v>
      </c>
      <c r="B580" s="5">
        <v>44781.0</v>
      </c>
      <c r="C580" s="6">
        <v>0.7275347222239361</v>
      </c>
      <c r="D580" s="4">
        <v>13.006864</v>
      </c>
      <c r="E580" s="4">
        <v>80.251404</v>
      </c>
      <c r="F580" s="4">
        <v>805.0</v>
      </c>
      <c r="G580" s="4">
        <v>0.0</v>
      </c>
    </row>
    <row r="581">
      <c r="A581" s="4" t="s">
        <v>8</v>
      </c>
      <c r="B581" s="5">
        <v>44781.0</v>
      </c>
      <c r="C581" s="6">
        <v>0.7284375000017462</v>
      </c>
      <c r="D581" s="4">
        <v>13.006659</v>
      </c>
      <c r="E581" s="4">
        <v>80.256791</v>
      </c>
      <c r="F581" s="4">
        <v>805.0</v>
      </c>
      <c r="G581" s="4">
        <v>0.0</v>
      </c>
    </row>
    <row r="582">
      <c r="A582" s="4" t="s">
        <v>8</v>
      </c>
      <c r="B582" s="5">
        <v>44781.0</v>
      </c>
      <c r="C582" s="6">
        <v>0.7285532407404389</v>
      </c>
      <c r="D582" s="4">
        <v>13.006659</v>
      </c>
      <c r="E582" s="4">
        <v>80.256791</v>
      </c>
      <c r="F582" s="4">
        <v>805.0</v>
      </c>
      <c r="G582" s="4">
        <v>0.0</v>
      </c>
    </row>
    <row r="583">
      <c r="A583" s="4" t="s">
        <v>8</v>
      </c>
      <c r="B583" s="5">
        <v>44781.0</v>
      </c>
      <c r="C583" s="6">
        <v>0.7285532407404389</v>
      </c>
      <c r="D583" s="4">
        <v>13.006659</v>
      </c>
      <c r="E583" s="4">
        <v>80.256791</v>
      </c>
      <c r="F583" s="4">
        <v>805.0</v>
      </c>
      <c r="G583" s="4">
        <v>0.0</v>
      </c>
    </row>
    <row r="584">
      <c r="A584" s="4" t="s">
        <v>8</v>
      </c>
      <c r="B584" s="5">
        <v>44781.0</v>
      </c>
      <c r="C584" s="6">
        <v>0.7285763888903602</v>
      </c>
      <c r="D584" s="4">
        <v>13.006659</v>
      </c>
      <c r="E584" s="4">
        <v>80.256791</v>
      </c>
      <c r="F584" s="4">
        <v>805.0</v>
      </c>
      <c r="G584" s="4">
        <v>0.0</v>
      </c>
    </row>
    <row r="585">
      <c r="A585" s="4" t="s">
        <v>8</v>
      </c>
      <c r="B585" s="5">
        <v>44781.0</v>
      </c>
      <c r="C585" s="6">
        <v>0.7285763888903602</v>
      </c>
      <c r="D585" s="4">
        <v>13.006659</v>
      </c>
      <c r="E585" s="4">
        <v>80.256791</v>
      </c>
      <c r="F585" s="4">
        <v>805.0</v>
      </c>
      <c r="G585" s="4">
        <v>0.0</v>
      </c>
    </row>
    <row r="586">
      <c r="A586" s="4" t="s">
        <v>8</v>
      </c>
      <c r="B586" s="5">
        <v>44781.0</v>
      </c>
      <c r="C586" s="6">
        <v>0.7409259259256942</v>
      </c>
      <c r="D586" s="4">
        <v>13.044476</v>
      </c>
      <c r="E586" s="4">
        <v>80.2668</v>
      </c>
      <c r="F586" s="4">
        <v>805.0</v>
      </c>
      <c r="G586" s="4">
        <v>20.0</v>
      </c>
    </row>
    <row r="587">
      <c r="A587" s="4" t="s">
        <v>8</v>
      </c>
      <c r="B587" s="5">
        <v>44781.0</v>
      </c>
      <c r="C587" s="6">
        <v>0.7409259259256942</v>
      </c>
      <c r="D587" s="4">
        <v>13.044476</v>
      </c>
      <c r="E587" s="4">
        <v>80.2668</v>
      </c>
      <c r="F587" s="4">
        <v>805.0</v>
      </c>
      <c r="G587" s="4">
        <v>20.0</v>
      </c>
    </row>
    <row r="588">
      <c r="A588" s="4" t="s">
        <v>8</v>
      </c>
      <c r="B588" s="5">
        <v>44781.0</v>
      </c>
      <c r="C588" s="6">
        <v>0.7409490740756155</v>
      </c>
      <c r="D588" s="4">
        <v>13.044476</v>
      </c>
      <c r="E588" s="4">
        <v>80.2668</v>
      </c>
      <c r="F588" s="4">
        <v>805.0</v>
      </c>
      <c r="G588" s="4">
        <v>20.0</v>
      </c>
    </row>
    <row r="589">
      <c r="A589" s="4" t="s">
        <v>8</v>
      </c>
      <c r="B589" s="5">
        <v>44781.0</v>
      </c>
      <c r="C589" s="6">
        <v>0.7409837962950405</v>
      </c>
      <c r="D589" s="4">
        <v>13.044476</v>
      </c>
      <c r="E589" s="4">
        <v>80.2668</v>
      </c>
      <c r="F589" s="4">
        <v>805.0</v>
      </c>
      <c r="G589" s="4">
        <v>20.0</v>
      </c>
    </row>
    <row r="590">
      <c r="A590" s="4" t="s">
        <v>8</v>
      </c>
      <c r="B590" s="5">
        <v>44781.0</v>
      </c>
      <c r="C590" s="6">
        <v>0.7409837962950405</v>
      </c>
      <c r="D590" s="4">
        <v>13.044476</v>
      </c>
      <c r="E590" s="4">
        <v>80.2668</v>
      </c>
      <c r="F590" s="4">
        <v>805.0</v>
      </c>
      <c r="G590" s="4">
        <v>20.0</v>
      </c>
    </row>
    <row r="591">
      <c r="A591" s="4" t="s">
        <v>8</v>
      </c>
      <c r="B591" s="5">
        <v>44781.0</v>
      </c>
      <c r="C591" s="6">
        <v>0.7409953703718202</v>
      </c>
      <c r="D591" s="4">
        <v>13.044476</v>
      </c>
      <c r="E591" s="4">
        <v>80.2668</v>
      </c>
      <c r="F591" s="4">
        <v>805.0</v>
      </c>
      <c r="G591" s="4">
        <v>20.0</v>
      </c>
    </row>
    <row r="592">
      <c r="A592" s="4" t="s">
        <v>8</v>
      </c>
      <c r="B592" s="5">
        <v>44782.0</v>
      </c>
      <c r="C592" s="6">
        <v>0.33337962962832535</v>
      </c>
      <c r="D592" s="4">
        <v>12.967775</v>
      </c>
      <c r="E592" s="4">
        <v>80.149378</v>
      </c>
      <c r="F592" s="4">
        <v>3143.0</v>
      </c>
      <c r="G592" s="4">
        <v>0.0</v>
      </c>
    </row>
    <row r="593">
      <c r="A593" s="4" t="s">
        <v>8</v>
      </c>
      <c r="B593" s="5">
        <v>44782.0</v>
      </c>
      <c r="C593" s="6">
        <v>0.33344907407445135</v>
      </c>
      <c r="D593" s="4">
        <v>12.967775</v>
      </c>
      <c r="E593" s="4">
        <v>80.149378</v>
      </c>
      <c r="F593" s="4">
        <v>3143.0</v>
      </c>
      <c r="G593" s="4">
        <v>0.0</v>
      </c>
    </row>
    <row r="594">
      <c r="A594" s="4" t="s">
        <v>8</v>
      </c>
      <c r="B594" s="5">
        <v>44782.0</v>
      </c>
      <c r="C594" s="6">
        <v>0.333460648147593</v>
      </c>
      <c r="D594" s="4">
        <v>12.967775</v>
      </c>
      <c r="E594" s="4">
        <v>80.149378</v>
      </c>
      <c r="F594" s="4">
        <v>3143.0</v>
      </c>
      <c r="G594" s="4">
        <v>0.0</v>
      </c>
    </row>
    <row r="595">
      <c r="A595" s="4" t="s">
        <v>8</v>
      </c>
      <c r="B595" s="5">
        <v>44782.0</v>
      </c>
      <c r="C595" s="6">
        <v>0.333460648147593</v>
      </c>
      <c r="D595" s="4">
        <v>12.967775</v>
      </c>
      <c r="E595" s="4">
        <v>80.149378</v>
      </c>
      <c r="F595" s="4">
        <v>3143.0</v>
      </c>
      <c r="G595" s="4">
        <v>0.0</v>
      </c>
    </row>
    <row r="596">
      <c r="A596" s="4" t="s">
        <v>8</v>
      </c>
      <c r="B596" s="5">
        <v>44782.0</v>
      </c>
      <c r="C596" s="6">
        <v>0.3420023148137261</v>
      </c>
      <c r="D596" s="4">
        <v>12.844048</v>
      </c>
      <c r="E596" s="4">
        <v>80.059645</v>
      </c>
      <c r="F596" s="4">
        <v>2846.0</v>
      </c>
      <c r="G596" s="4">
        <v>11.0</v>
      </c>
    </row>
    <row r="597">
      <c r="A597" s="4" t="s">
        <v>8</v>
      </c>
      <c r="B597" s="5">
        <v>44782.0</v>
      </c>
      <c r="C597" s="6">
        <v>0.34217592592540313</v>
      </c>
      <c r="D597" s="4">
        <v>12.844048</v>
      </c>
      <c r="E597" s="4">
        <v>80.059645</v>
      </c>
      <c r="F597" s="4">
        <v>2846.0</v>
      </c>
      <c r="G597" s="4">
        <v>11.0</v>
      </c>
    </row>
    <row r="598">
      <c r="A598" s="4" t="s">
        <v>8</v>
      </c>
      <c r="B598" s="5">
        <v>44782.0</v>
      </c>
      <c r="C598" s="6">
        <v>0.3477777777770825</v>
      </c>
      <c r="D598" s="4">
        <v>12.923098</v>
      </c>
      <c r="E598" s="4">
        <v>80.114291</v>
      </c>
      <c r="F598" s="4">
        <v>805.0</v>
      </c>
      <c r="G598" s="4">
        <v>15.0</v>
      </c>
    </row>
    <row r="599">
      <c r="A599" s="4" t="s">
        <v>8</v>
      </c>
      <c r="B599" s="5">
        <v>44782.0</v>
      </c>
      <c r="C599" s="6">
        <v>0.3477893518502242</v>
      </c>
      <c r="D599" s="4">
        <v>12.923098</v>
      </c>
      <c r="E599" s="4">
        <v>80.114291</v>
      </c>
      <c r="F599" s="4">
        <v>805.0</v>
      </c>
      <c r="G599" s="4">
        <v>15.0</v>
      </c>
    </row>
    <row r="600">
      <c r="A600" s="4" t="s">
        <v>8</v>
      </c>
      <c r="B600" s="5">
        <v>44782.0</v>
      </c>
      <c r="C600" s="6">
        <v>0.70563657407547</v>
      </c>
      <c r="D600" s="4">
        <v>12.925584</v>
      </c>
      <c r="E600" s="4">
        <v>80.104311</v>
      </c>
      <c r="F600" s="4">
        <v>3143.0</v>
      </c>
      <c r="G600" s="4">
        <v>0.0</v>
      </c>
    </row>
    <row r="601">
      <c r="A601" s="4" t="s">
        <v>8</v>
      </c>
      <c r="B601" s="5">
        <v>44782.0</v>
      </c>
      <c r="C601" s="6">
        <v>0.70563657407547</v>
      </c>
      <c r="D601" s="4">
        <v>12.925584</v>
      </c>
      <c r="E601" s="4">
        <v>80.104311</v>
      </c>
      <c r="F601" s="4">
        <v>3143.0</v>
      </c>
      <c r="G601" s="4">
        <v>0.0</v>
      </c>
    </row>
    <row r="602">
      <c r="A602" s="4" t="s">
        <v>8</v>
      </c>
      <c r="B602" s="5">
        <v>44782.0</v>
      </c>
      <c r="C602" s="6">
        <v>0.7059027777795563</v>
      </c>
      <c r="D602" s="4">
        <v>12.95066</v>
      </c>
      <c r="E602" s="4">
        <v>80.139523</v>
      </c>
      <c r="F602" s="4">
        <v>805.0</v>
      </c>
      <c r="G602" s="4">
        <v>19.0</v>
      </c>
    </row>
    <row r="603">
      <c r="A603" s="4" t="s">
        <v>8</v>
      </c>
      <c r="B603" s="5">
        <v>44782.0</v>
      </c>
      <c r="C603" s="6">
        <v>0.7059027777795563</v>
      </c>
      <c r="D603" s="4">
        <v>12.95066</v>
      </c>
      <c r="E603" s="4">
        <v>80.139523</v>
      </c>
      <c r="F603" s="4">
        <v>805.0</v>
      </c>
      <c r="G603" s="4">
        <v>19.0</v>
      </c>
    </row>
    <row r="604">
      <c r="A604" s="4" t="s">
        <v>8</v>
      </c>
      <c r="B604" s="5">
        <v>44782.0</v>
      </c>
      <c r="C604" s="6">
        <v>0.7059259259258397</v>
      </c>
      <c r="D604" s="4">
        <v>12.95066</v>
      </c>
      <c r="E604" s="4">
        <v>80.139523</v>
      </c>
      <c r="F604" s="4">
        <v>805.0</v>
      </c>
      <c r="G604" s="4">
        <v>19.0</v>
      </c>
    </row>
    <row r="605">
      <c r="A605" s="4" t="s">
        <v>8</v>
      </c>
      <c r="B605" s="5">
        <v>44782.0</v>
      </c>
      <c r="C605" s="6">
        <v>0.7107870370382443</v>
      </c>
      <c r="D605" s="4">
        <v>12.930771</v>
      </c>
      <c r="E605" s="4">
        <v>80.121794</v>
      </c>
      <c r="F605" s="4">
        <v>3143.0</v>
      </c>
      <c r="G605" s="4">
        <v>0.0</v>
      </c>
    </row>
    <row r="606">
      <c r="A606" s="4" t="s">
        <v>8</v>
      </c>
      <c r="B606" s="5">
        <v>44782.0</v>
      </c>
      <c r="C606" s="6">
        <v>0.7108101851845277</v>
      </c>
      <c r="D606" s="4">
        <v>12.930771</v>
      </c>
      <c r="E606" s="4">
        <v>80.121794</v>
      </c>
      <c r="F606" s="4">
        <v>3143.0</v>
      </c>
      <c r="G606" s="4">
        <v>0.0</v>
      </c>
    </row>
    <row r="607">
      <c r="A607" s="4" t="s">
        <v>8</v>
      </c>
      <c r="B607" s="5">
        <v>44782.0</v>
      </c>
      <c r="C607" s="6">
        <v>0.7122453703705105</v>
      </c>
      <c r="D607" s="4">
        <v>12.935746</v>
      </c>
      <c r="E607" s="4">
        <v>80.126576</v>
      </c>
      <c r="F607" s="4">
        <v>3143.0</v>
      </c>
      <c r="G607" s="4">
        <v>0.0</v>
      </c>
    </row>
    <row r="608">
      <c r="A608" s="4" t="s">
        <v>8</v>
      </c>
      <c r="B608" s="5">
        <v>44782.0</v>
      </c>
      <c r="C608" s="6">
        <v>0.7123032407398568</v>
      </c>
      <c r="D608" s="4">
        <v>12.935746</v>
      </c>
      <c r="E608" s="4">
        <v>80.126576</v>
      </c>
      <c r="F608" s="4">
        <v>3143.0</v>
      </c>
      <c r="G608" s="4">
        <v>0.0</v>
      </c>
    </row>
    <row r="609">
      <c r="A609" s="4" t="s">
        <v>8</v>
      </c>
      <c r="B609" s="5">
        <v>44782.0</v>
      </c>
      <c r="C609" s="6">
        <v>0.7148495370383898</v>
      </c>
      <c r="D609" s="4">
        <v>13.000896</v>
      </c>
      <c r="E609" s="4">
        <v>80.195154</v>
      </c>
      <c r="F609" s="4">
        <v>805.0</v>
      </c>
      <c r="G609" s="4">
        <v>15.0</v>
      </c>
    </row>
    <row r="610">
      <c r="A610" s="4" t="s">
        <v>8</v>
      </c>
      <c r="B610" s="5">
        <v>44782.0</v>
      </c>
      <c r="C610" s="6">
        <v>0.7148611111115315</v>
      </c>
      <c r="D610" s="4">
        <v>13.000896</v>
      </c>
      <c r="E610" s="4">
        <v>80.195154</v>
      </c>
      <c r="F610" s="4">
        <v>805.0</v>
      </c>
      <c r="G610" s="4">
        <v>15.0</v>
      </c>
    </row>
    <row r="611">
      <c r="A611" s="4" t="s">
        <v>8</v>
      </c>
      <c r="B611" s="5">
        <v>44782.0</v>
      </c>
      <c r="C611" s="6">
        <v>0.7148958333345945</v>
      </c>
      <c r="D611" s="4">
        <v>13.000896</v>
      </c>
      <c r="E611" s="4">
        <v>80.195154</v>
      </c>
      <c r="F611" s="4">
        <v>805.0</v>
      </c>
      <c r="G611" s="4">
        <v>15.0</v>
      </c>
    </row>
    <row r="612">
      <c r="A612" s="4" t="s">
        <v>8</v>
      </c>
      <c r="B612" s="5">
        <v>44782.0</v>
      </c>
      <c r="C612" s="6">
        <v>0.7158796296280343</v>
      </c>
      <c r="D612" s="4">
        <v>12.956047</v>
      </c>
      <c r="E612" s="4">
        <v>80.142923</v>
      </c>
      <c r="F612" s="4">
        <v>3143.0</v>
      </c>
      <c r="G612" s="4">
        <v>0.0</v>
      </c>
    </row>
    <row r="613">
      <c r="A613" s="4" t="s">
        <v>8</v>
      </c>
      <c r="B613" s="5">
        <v>44782.0</v>
      </c>
      <c r="C613" s="6">
        <v>0.7160185185202863</v>
      </c>
      <c r="D613" s="4">
        <v>12.956047</v>
      </c>
      <c r="E613" s="4">
        <v>80.142923</v>
      </c>
      <c r="F613" s="4">
        <v>3143.0</v>
      </c>
      <c r="G613" s="4">
        <v>0.0</v>
      </c>
    </row>
    <row r="614">
      <c r="A614" s="4" t="s">
        <v>8</v>
      </c>
      <c r="B614" s="5">
        <v>44782.0</v>
      </c>
      <c r="C614" s="6">
        <v>0.7170717592598521</v>
      </c>
      <c r="D614" s="4">
        <v>12.960399</v>
      </c>
      <c r="E614" s="4">
        <v>80.145307</v>
      </c>
      <c r="F614" s="4">
        <v>3143.0</v>
      </c>
      <c r="G614" s="4">
        <v>15.0</v>
      </c>
    </row>
    <row r="615">
      <c r="A615" s="4" t="s">
        <v>8</v>
      </c>
      <c r="B615" s="5">
        <v>44782.0</v>
      </c>
      <c r="C615" s="6">
        <v>0.7171874999985448</v>
      </c>
      <c r="D615" s="4">
        <v>12.960399</v>
      </c>
      <c r="E615" s="4">
        <v>80.145307</v>
      </c>
      <c r="F615" s="4">
        <v>3143.0</v>
      </c>
      <c r="G615" s="4">
        <v>15.0</v>
      </c>
    </row>
    <row r="616">
      <c r="A616" s="4" t="s">
        <v>8</v>
      </c>
      <c r="B616" s="5">
        <v>44782.0</v>
      </c>
      <c r="C616" s="6">
        <v>0.7172106481484661</v>
      </c>
      <c r="D616" s="4">
        <v>12.960399</v>
      </c>
      <c r="E616" s="4">
        <v>80.145307</v>
      </c>
      <c r="F616" s="4">
        <v>3143.0</v>
      </c>
      <c r="G616" s="4">
        <v>15.0</v>
      </c>
    </row>
    <row r="617">
      <c r="A617" s="4" t="s">
        <v>8</v>
      </c>
      <c r="B617" s="5">
        <v>44782.0</v>
      </c>
      <c r="C617" s="6">
        <v>0.7172106481484661</v>
      </c>
      <c r="D617" s="4">
        <v>12.960399</v>
      </c>
      <c r="E617" s="4">
        <v>80.145307</v>
      </c>
      <c r="F617" s="4">
        <v>3143.0</v>
      </c>
      <c r="G617" s="4">
        <v>15.0</v>
      </c>
    </row>
    <row r="618">
      <c r="A618" s="4" t="s">
        <v>8</v>
      </c>
      <c r="B618" s="5">
        <v>44782.0</v>
      </c>
      <c r="C618" s="6">
        <v>0.7497800925921183</v>
      </c>
      <c r="D618" s="4">
        <v>13.005531</v>
      </c>
      <c r="E618" s="4">
        <v>80.100312</v>
      </c>
      <c r="F618" s="4">
        <v>3143.0</v>
      </c>
      <c r="G618" s="4">
        <v>20.0</v>
      </c>
    </row>
    <row r="619">
      <c r="A619" s="4" t="s">
        <v>8</v>
      </c>
      <c r="B619" s="5">
        <v>44782.0</v>
      </c>
      <c r="C619" s="6">
        <v>0.7497800925921183</v>
      </c>
      <c r="D619" s="4">
        <v>13.005531</v>
      </c>
      <c r="E619" s="4">
        <v>80.100312</v>
      </c>
      <c r="F619" s="4">
        <v>3143.0</v>
      </c>
      <c r="G619" s="4">
        <v>20.0</v>
      </c>
    </row>
    <row r="620">
      <c r="A620" s="4" t="s">
        <v>8</v>
      </c>
      <c r="B620" s="5">
        <v>44782.0</v>
      </c>
      <c r="C620" s="6">
        <v>0.7499074074075907</v>
      </c>
      <c r="D620" s="4">
        <v>13.006615</v>
      </c>
      <c r="E620" s="4">
        <v>80.100375</v>
      </c>
      <c r="F620" s="4">
        <v>3143.0</v>
      </c>
      <c r="G620" s="4">
        <v>6.0</v>
      </c>
    </row>
    <row r="621">
      <c r="A621" s="4" t="s">
        <v>8</v>
      </c>
      <c r="B621" s="5">
        <v>44782.0</v>
      </c>
      <c r="C621" s="6">
        <v>0.7499421296306537</v>
      </c>
      <c r="D621" s="4">
        <v>13.006615</v>
      </c>
      <c r="E621" s="4">
        <v>80.100375</v>
      </c>
      <c r="F621" s="4">
        <v>3143.0</v>
      </c>
      <c r="G621" s="4">
        <v>6.0</v>
      </c>
    </row>
    <row r="622">
      <c r="A622" s="4" t="s">
        <v>8</v>
      </c>
      <c r="B622" s="5">
        <v>44782.0</v>
      </c>
      <c r="C622" s="6">
        <v>0.75251157407547</v>
      </c>
      <c r="D622" s="4">
        <v>13.018952</v>
      </c>
      <c r="E622" s="4">
        <v>80.103553</v>
      </c>
      <c r="F622" s="4">
        <v>3143.0</v>
      </c>
      <c r="G622" s="4">
        <v>13.0</v>
      </c>
    </row>
    <row r="623">
      <c r="A623" s="4" t="s">
        <v>8</v>
      </c>
      <c r="B623" s="5">
        <v>44782.0</v>
      </c>
      <c r="C623" s="6">
        <v>0.7525231481486117</v>
      </c>
      <c r="D623" s="4">
        <v>13.018952</v>
      </c>
      <c r="E623" s="4">
        <v>80.103553</v>
      </c>
      <c r="F623" s="4">
        <v>3143.0</v>
      </c>
      <c r="G623" s="4">
        <v>13.0</v>
      </c>
    </row>
    <row r="624">
      <c r="A624" s="4" t="s">
        <v>8</v>
      </c>
      <c r="B624" s="5">
        <v>44782.0</v>
      </c>
      <c r="C624" s="6">
        <v>0.752650462964084</v>
      </c>
      <c r="D624" s="4">
        <v>13.018952</v>
      </c>
      <c r="E624" s="4">
        <v>80.103553</v>
      </c>
      <c r="F624" s="4">
        <v>3143.0</v>
      </c>
      <c r="G624" s="4">
        <v>13.0</v>
      </c>
    </row>
    <row r="625">
      <c r="A625" s="4" t="s">
        <v>8</v>
      </c>
      <c r="B625" s="5">
        <v>44782.0</v>
      </c>
      <c r="C625" s="6">
        <v>0.7556134259248211</v>
      </c>
      <c r="D625" s="4">
        <v>13.031006</v>
      </c>
      <c r="E625" s="4">
        <v>80.111183</v>
      </c>
      <c r="F625" s="4">
        <v>3143.0</v>
      </c>
      <c r="G625" s="4">
        <v>10.0</v>
      </c>
    </row>
    <row r="626">
      <c r="A626" s="4" t="s">
        <v>8</v>
      </c>
      <c r="B626" s="5">
        <v>44782.0</v>
      </c>
      <c r="C626" s="6">
        <v>0.7556134259248211</v>
      </c>
      <c r="D626" s="4">
        <v>13.031006</v>
      </c>
      <c r="E626" s="4">
        <v>80.111183</v>
      </c>
      <c r="F626" s="4">
        <v>3143.0</v>
      </c>
      <c r="G626" s="4">
        <v>10.0</v>
      </c>
    </row>
    <row r="627">
      <c r="A627" s="4" t="s">
        <v>8</v>
      </c>
      <c r="B627" s="5">
        <v>44782.0</v>
      </c>
      <c r="C627" s="6">
        <v>0.7556481481478841</v>
      </c>
      <c r="D627" s="4">
        <v>13.031006</v>
      </c>
      <c r="E627" s="4">
        <v>80.111183</v>
      </c>
      <c r="F627" s="4">
        <v>3143.0</v>
      </c>
      <c r="G627" s="4">
        <v>10.0</v>
      </c>
    </row>
    <row r="628">
      <c r="A628" s="4" t="s">
        <v>8</v>
      </c>
      <c r="B628" s="5">
        <v>44782.0</v>
      </c>
      <c r="C628" s="6">
        <v>0.7556828703709471</v>
      </c>
      <c r="D628" s="4">
        <v>13.031438</v>
      </c>
      <c r="E628" s="4">
        <v>80.111128</v>
      </c>
      <c r="F628" s="4">
        <v>3143.0</v>
      </c>
      <c r="G628" s="4">
        <v>0.0</v>
      </c>
    </row>
    <row r="629">
      <c r="A629" s="4" t="s">
        <v>8</v>
      </c>
      <c r="B629" s="5">
        <v>44782.0</v>
      </c>
      <c r="C629" s="6">
        <v>0.7556944444440887</v>
      </c>
      <c r="D629" s="4">
        <v>13.031438</v>
      </c>
      <c r="E629" s="4">
        <v>80.111128</v>
      </c>
      <c r="F629" s="4">
        <v>3143.0</v>
      </c>
      <c r="G629" s="4">
        <v>0.0</v>
      </c>
    </row>
    <row r="630">
      <c r="A630" s="4" t="s">
        <v>8</v>
      </c>
      <c r="B630" s="5">
        <v>44783.0</v>
      </c>
      <c r="C630" s="6">
        <v>0.7404513888905058</v>
      </c>
      <c r="D630" s="4">
        <v>12.976958</v>
      </c>
      <c r="E630" s="4">
        <v>80.222769</v>
      </c>
      <c r="F630" s="4">
        <v>3143.0</v>
      </c>
      <c r="G630" s="4">
        <v>0.0</v>
      </c>
    </row>
    <row r="631">
      <c r="A631" s="4" t="s">
        <v>8</v>
      </c>
      <c r="B631" s="5">
        <v>44783.0</v>
      </c>
      <c r="C631" s="6">
        <v>0.7404513888905058</v>
      </c>
      <c r="D631" s="4">
        <v>12.976958</v>
      </c>
      <c r="E631" s="4">
        <v>80.222769</v>
      </c>
      <c r="F631" s="4">
        <v>3143.0</v>
      </c>
      <c r="G631" s="4">
        <v>0.0</v>
      </c>
    </row>
    <row r="632">
      <c r="A632" s="4" t="s">
        <v>8</v>
      </c>
      <c r="B632" s="5">
        <v>44783.0</v>
      </c>
      <c r="C632" s="6">
        <v>0.7605555555564933</v>
      </c>
      <c r="D632" s="4">
        <v>13.066782</v>
      </c>
      <c r="E632" s="4">
        <v>80.254074</v>
      </c>
      <c r="F632" s="4">
        <v>5339.0</v>
      </c>
      <c r="G632" s="4">
        <v>16.0</v>
      </c>
    </row>
    <row r="633">
      <c r="A633" s="4" t="s">
        <v>8</v>
      </c>
      <c r="B633" s="5">
        <v>44783.0</v>
      </c>
      <c r="C633" s="6">
        <v>0.7605787037027767</v>
      </c>
      <c r="D633" s="4">
        <v>13.066782</v>
      </c>
      <c r="E633" s="4">
        <v>80.254074</v>
      </c>
      <c r="F633" s="4">
        <v>5339.0</v>
      </c>
      <c r="G633" s="4">
        <v>16.0</v>
      </c>
    </row>
    <row r="634">
      <c r="A634" s="4" t="s">
        <v>8</v>
      </c>
      <c r="B634" s="5">
        <v>44784.0</v>
      </c>
      <c r="C634" s="6">
        <v>0.3022916666668607</v>
      </c>
      <c r="D634" s="4">
        <v>13.069418</v>
      </c>
      <c r="E634" s="4">
        <v>80.256759</v>
      </c>
      <c r="F634" s="4">
        <v>5339.0</v>
      </c>
      <c r="G634" s="4">
        <v>19.0</v>
      </c>
    </row>
    <row r="635">
      <c r="A635" s="4" t="s">
        <v>8</v>
      </c>
      <c r="B635" s="5">
        <v>44784.0</v>
      </c>
      <c r="C635" s="6">
        <v>0.30230324074000237</v>
      </c>
      <c r="D635" s="4">
        <v>13.069418</v>
      </c>
      <c r="E635" s="4">
        <v>80.256759</v>
      </c>
      <c r="F635" s="4">
        <v>5339.0</v>
      </c>
      <c r="G635" s="4">
        <v>19.0</v>
      </c>
    </row>
    <row r="636">
      <c r="A636" s="4" t="s">
        <v>8</v>
      </c>
      <c r="B636" s="5">
        <v>44784.0</v>
      </c>
      <c r="C636" s="6">
        <v>0.30231481481314404</v>
      </c>
      <c r="D636" s="4">
        <v>13.069418</v>
      </c>
      <c r="E636" s="4">
        <v>80.256759</v>
      </c>
      <c r="F636" s="4">
        <v>5339.0</v>
      </c>
      <c r="G636" s="4">
        <v>19.0</v>
      </c>
    </row>
    <row r="637">
      <c r="A637" s="4" t="s">
        <v>8</v>
      </c>
      <c r="B637" s="5">
        <v>44784.0</v>
      </c>
      <c r="C637" s="6">
        <v>0.34555555555562023</v>
      </c>
      <c r="D637" s="4">
        <v>12.922485</v>
      </c>
      <c r="E637" s="4">
        <v>80.143365</v>
      </c>
      <c r="F637" s="4">
        <v>3143.0</v>
      </c>
      <c r="G637" s="4">
        <v>0.0</v>
      </c>
    </row>
    <row r="638">
      <c r="A638" s="4" t="s">
        <v>8</v>
      </c>
      <c r="B638" s="5">
        <v>44784.0</v>
      </c>
      <c r="C638" s="6">
        <v>0.34559027777868323</v>
      </c>
      <c r="D638" s="4">
        <v>12.922485</v>
      </c>
      <c r="E638" s="4">
        <v>80.143365</v>
      </c>
      <c r="F638" s="4">
        <v>3143.0</v>
      </c>
      <c r="G638" s="4">
        <v>0.0</v>
      </c>
    </row>
    <row r="639">
      <c r="A639" s="4" t="s">
        <v>8</v>
      </c>
      <c r="B639" s="5">
        <v>44784.0</v>
      </c>
      <c r="C639" s="6">
        <v>0.6999074074083182</v>
      </c>
      <c r="D639" s="4">
        <v>12.909082</v>
      </c>
      <c r="E639" s="4">
        <v>80.09855</v>
      </c>
      <c r="F639" s="4">
        <v>5339.0</v>
      </c>
      <c r="G639" s="4">
        <v>14.0</v>
      </c>
    </row>
    <row r="640">
      <c r="A640" s="4" t="s">
        <v>8</v>
      </c>
      <c r="B640" s="5">
        <v>44784.0</v>
      </c>
      <c r="C640" s="6">
        <v>0.6999189814814599</v>
      </c>
      <c r="D640" s="4">
        <v>12.909082</v>
      </c>
      <c r="E640" s="4">
        <v>80.09855</v>
      </c>
      <c r="F640" s="4">
        <v>5339.0</v>
      </c>
      <c r="G640" s="4">
        <v>14.0</v>
      </c>
    </row>
    <row r="641">
      <c r="A641" s="4" t="s">
        <v>8</v>
      </c>
      <c r="B641" s="5">
        <v>44784.0</v>
      </c>
      <c r="C641" s="6">
        <v>0.7067476851843821</v>
      </c>
      <c r="D641" s="4">
        <v>12.931197</v>
      </c>
      <c r="E641" s="4">
        <v>80.122281</v>
      </c>
      <c r="F641" s="4">
        <v>805.0</v>
      </c>
      <c r="G641" s="4">
        <v>13.0</v>
      </c>
    </row>
    <row r="642">
      <c r="A642" s="4" t="s">
        <v>8</v>
      </c>
      <c r="B642" s="5">
        <v>44784.0</v>
      </c>
      <c r="C642" s="6">
        <v>0.7067592592575238</v>
      </c>
      <c r="D642" s="4">
        <v>12.931197</v>
      </c>
      <c r="E642" s="4">
        <v>80.122281</v>
      </c>
      <c r="F642" s="4">
        <v>805.0</v>
      </c>
      <c r="G642" s="4">
        <v>13.0</v>
      </c>
    </row>
    <row r="643">
      <c r="A643" s="4" t="s">
        <v>8</v>
      </c>
      <c r="B643" s="5">
        <v>44785.0</v>
      </c>
      <c r="C643" s="6">
        <v>0.6957754629620467</v>
      </c>
      <c r="D643" s="4">
        <v>12.908917</v>
      </c>
      <c r="E643" s="4">
        <v>80.098256</v>
      </c>
      <c r="F643" s="4">
        <v>3143.0</v>
      </c>
      <c r="G643" s="4">
        <v>0.0</v>
      </c>
    </row>
    <row r="644">
      <c r="A644" s="4" t="s">
        <v>8</v>
      </c>
      <c r="B644" s="5">
        <v>44785.0</v>
      </c>
      <c r="C644" s="6">
        <v>0.6959259259274404</v>
      </c>
      <c r="D644" s="4">
        <v>12.908917</v>
      </c>
      <c r="E644" s="4">
        <v>80.098256</v>
      </c>
      <c r="F644" s="4">
        <v>3143.0</v>
      </c>
      <c r="G644" s="4">
        <v>0.0</v>
      </c>
    </row>
    <row r="645">
      <c r="A645" s="4" t="s">
        <v>8</v>
      </c>
      <c r="B645" s="5">
        <v>44785.0</v>
      </c>
      <c r="C645" s="6">
        <v>0.6995138888887595</v>
      </c>
      <c r="D645" s="4">
        <v>12.929134</v>
      </c>
      <c r="E645" s="4">
        <v>80.12022</v>
      </c>
      <c r="F645" s="4">
        <v>805.0</v>
      </c>
      <c r="G645" s="4">
        <v>17.0</v>
      </c>
    </row>
    <row r="646">
      <c r="A646" s="4" t="s">
        <v>8</v>
      </c>
      <c r="B646" s="5">
        <v>44785.0</v>
      </c>
      <c r="C646" s="6">
        <v>0.6995254629619012</v>
      </c>
      <c r="D646" s="4">
        <v>12.929134</v>
      </c>
      <c r="E646" s="4">
        <v>80.12022</v>
      </c>
      <c r="F646" s="4">
        <v>805.0</v>
      </c>
      <c r="G646" s="4">
        <v>17.0</v>
      </c>
    </row>
    <row r="647">
      <c r="A647" s="4" t="s">
        <v>8</v>
      </c>
      <c r="B647" s="5">
        <v>44785.0</v>
      </c>
      <c r="C647" s="6">
        <v>0.7086574074091914</v>
      </c>
      <c r="D647" s="4">
        <v>12.919919</v>
      </c>
      <c r="E647" s="4">
        <v>80.171036</v>
      </c>
      <c r="F647" s="4">
        <v>3143.0</v>
      </c>
      <c r="G647" s="4">
        <v>13.0</v>
      </c>
    </row>
    <row r="648">
      <c r="A648" s="4" t="s">
        <v>8</v>
      </c>
      <c r="B648" s="5">
        <v>44785.0</v>
      </c>
      <c r="C648" s="6">
        <v>0.7087731481478841</v>
      </c>
      <c r="D648" s="4">
        <v>12.919919</v>
      </c>
      <c r="E648" s="4">
        <v>80.171036</v>
      </c>
      <c r="F648" s="4">
        <v>3143.0</v>
      </c>
      <c r="G648" s="4">
        <v>13.0</v>
      </c>
    </row>
    <row r="649">
      <c r="A649" s="4" t="s">
        <v>8</v>
      </c>
      <c r="B649" s="5">
        <v>44785.0</v>
      </c>
      <c r="C649" s="6">
        <v>0.7189120370385353</v>
      </c>
      <c r="D649" s="4">
        <v>13.014871</v>
      </c>
      <c r="E649" s="4">
        <v>80.225973</v>
      </c>
      <c r="F649" s="4">
        <v>805.0</v>
      </c>
      <c r="G649" s="4">
        <v>19.0</v>
      </c>
    </row>
    <row r="650">
      <c r="A650" s="4" t="s">
        <v>8</v>
      </c>
      <c r="B650" s="5">
        <v>44785.0</v>
      </c>
      <c r="C650" s="6">
        <v>0.7189120370385353</v>
      </c>
      <c r="D650" s="4">
        <v>13.014871</v>
      </c>
      <c r="E650" s="4">
        <v>80.225973</v>
      </c>
      <c r="F650" s="4">
        <v>805.0</v>
      </c>
      <c r="G650" s="4">
        <v>19.0</v>
      </c>
    </row>
    <row r="651">
      <c r="A651" s="4" t="s">
        <v>8</v>
      </c>
      <c r="B651" s="5">
        <v>44785.0</v>
      </c>
      <c r="C651" s="6">
        <v>0.7496296296303626</v>
      </c>
      <c r="D651" s="4">
        <v>12.956382</v>
      </c>
      <c r="E651" s="4">
        <v>80.143426</v>
      </c>
      <c r="F651" s="4">
        <v>3143.0</v>
      </c>
      <c r="G651" s="4">
        <v>7.0</v>
      </c>
    </row>
    <row r="652">
      <c r="A652" s="4" t="s">
        <v>8</v>
      </c>
      <c r="B652" s="5">
        <v>44785.0</v>
      </c>
      <c r="C652" s="6">
        <v>0.7496296296303626</v>
      </c>
      <c r="D652" s="4">
        <v>12.956382</v>
      </c>
      <c r="E652" s="4">
        <v>80.143426</v>
      </c>
      <c r="F652" s="4">
        <v>3143.0</v>
      </c>
      <c r="G652" s="4">
        <v>7.0</v>
      </c>
    </row>
    <row r="653">
      <c r="A653" s="4" t="s">
        <v>8</v>
      </c>
      <c r="B653" s="5">
        <v>44785.0</v>
      </c>
      <c r="C653" s="6">
        <v>0.749652777776646</v>
      </c>
      <c r="D653" s="4">
        <v>12.956382</v>
      </c>
      <c r="E653" s="4">
        <v>80.143426</v>
      </c>
      <c r="F653" s="4">
        <v>3143.0</v>
      </c>
      <c r="G653" s="4">
        <v>7.0</v>
      </c>
    </row>
    <row r="654">
      <c r="A654" s="4" t="s">
        <v>8</v>
      </c>
      <c r="B654" s="5">
        <v>44785.0</v>
      </c>
      <c r="C654" s="6">
        <v>0.749652777776646</v>
      </c>
      <c r="D654" s="4">
        <v>12.956382</v>
      </c>
      <c r="E654" s="4">
        <v>80.143426</v>
      </c>
      <c r="F654" s="4">
        <v>3143.0</v>
      </c>
      <c r="G654" s="4">
        <v>7.0</v>
      </c>
    </row>
    <row r="655">
      <c r="A655" s="4" t="s">
        <v>8</v>
      </c>
      <c r="B655" s="5">
        <v>44785.0</v>
      </c>
      <c r="C655" s="6">
        <v>0.7510532407395658</v>
      </c>
      <c r="D655" s="4">
        <v>12.950772</v>
      </c>
      <c r="E655" s="4">
        <v>80.139885</v>
      </c>
      <c r="F655" s="4">
        <v>3143.0</v>
      </c>
      <c r="G655" s="4">
        <v>12.0</v>
      </c>
    </row>
    <row r="656">
      <c r="A656" s="4" t="s">
        <v>8</v>
      </c>
      <c r="B656" s="5">
        <v>44785.0</v>
      </c>
      <c r="C656" s="6">
        <v>0.7511689814818965</v>
      </c>
      <c r="D656" s="4">
        <v>12.950772</v>
      </c>
      <c r="E656" s="4">
        <v>80.139885</v>
      </c>
      <c r="F656" s="4">
        <v>3143.0</v>
      </c>
      <c r="G656" s="4">
        <v>12.0</v>
      </c>
    </row>
    <row r="657">
      <c r="A657" s="4" t="s">
        <v>8</v>
      </c>
      <c r="B657" s="5">
        <v>44785.0</v>
      </c>
      <c r="C657" s="6">
        <v>0.7514236111128412</v>
      </c>
      <c r="D657" s="4">
        <v>13.065849</v>
      </c>
      <c r="E657" s="4">
        <v>80.267575</v>
      </c>
      <c r="F657" s="4">
        <v>805.0</v>
      </c>
      <c r="G657" s="4">
        <v>13.0</v>
      </c>
    </row>
    <row r="658">
      <c r="A658" s="4" t="s">
        <v>8</v>
      </c>
      <c r="B658" s="5">
        <v>44785.0</v>
      </c>
      <c r="C658" s="6">
        <v>0.7514814814821875</v>
      </c>
      <c r="D658" s="4">
        <v>13.065849</v>
      </c>
      <c r="E658" s="4">
        <v>80.267575</v>
      </c>
      <c r="F658" s="4">
        <v>805.0</v>
      </c>
      <c r="G658" s="4">
        <v>13.0</v>
      </c>
    </row>
    <row r="659">
      <c r="A659" s="4" t="s">
        <v>8</v>
      </c>
      <c r="B659" s="5">
        <v>44785.0</v>
      </c>
      <c r="C659" s="6">
        <v>0.7534722222226264</v>
      </c>
      <c r="D659" s="4">
        <v>12.936551</v>
      </c>
      <c r="E659" s="4">
        <v>80.127635</v>
      </c>
      <c r="F659" s="4">
        <v>3143.0</v>
      </c>
      <c r="G659" s="4">
        <v>12.0</v>
      </c>
    </row>
    <row r="660">
      <c r="A660" s="4" t="s">
        <v>8</v>
      </c>
      <c r="B660" s="5">
        <v>44785.0</v>
      </c>
      <c r="C660" s="6">
        <v>0.7535416666651145</v>
      </c>
      <c r="D660" s="4">
        <v>12.935981</v>
      </c>
      <c r="E660" s="4">
        <v>80.127162</v>
      </c>
      <c r="F660" s="4">
        <v>3143.0</v>
      </c>
      <c r="G660" s="4">
        <v>16.0</v>
      </c>
    </row>
    <row r="661">
      <c r="A661" s="4" t="s">
        <v>8</v>
      </c>
      <c r="B661" s="5">
        <v>44785.0</v>
      </c>
      <c r="C661" s="6">
        <v>0.7535995370380988</v>
      </c>
      <c r="D661" s="4">
        <v>12.935981</v>
      </c>
      <c r="E661" s="4">
        <v>80.127162</v>
      </c>
      <c r="F661" s="4">
        <v>3143.0</v>
      </c>
      <c r="G661" s="4">
        <v>16.0</v>
      </c>
    </row>
    <row r="662">
      <c r="A662" s="4" t="s">
        <v>8</v>
      </c>
      <c r="B662" s="5">
        <v>44787.0</v>
      </c>
      <c r="C662" s="6">
        <v>0.4961921296307992</v>
      </c>
      <c r="D662" s="4">
        <v>13.006516</v>
      </c>
      <c r="E662" s="4">
        <v>80.251955</v>
      </c>
      <c r="F662" s="4">
        <v>5339.0</v>
      </c>
      <c r="G662" s="4">
        <v>12.0</v>
      </c>
    </row>
    <row r="663">
      <c r="A663" s="4" t="s">
        <v>8</v>
      </c>
      <c r="B663" s="5">
        <v>44787.0</v>
      </c>
      <c r="C663" s="6">
        <v>0.4961921296307992</v>
      </c>
      <c r="D663" s="4">
        <v>13.006516</v>
      </c>
      <c r="E663" s="4">
        <v>80.251955</v>
      </c>
      <c r="F663" s="4">
        <v>5339.0</v>
      </c>
      <c r="G663" s="4">
        <v>12.0</v>
      </c>
    </row>
    <row r="664">
      <c r="A664" s="4" t="s">
        <v>8</v>
      </c>
      <c r="B664" s="5">
        <v>44787.0</v>
      </c>
      <c r="C664" s="6">
        <v>0.49620370370394085</v>
      </c>
      <c r="D664" s="4">
        <v>13.006516</v>
      </c>
      <c r="E664" s="4">
        <v>80.251955</v>
      </c>
      <c r="F664" s="4">
        <v>5339.0</v>
      </c>
      <c r="G664" s="4">
        <v>12.0</v>
      </c>
    </row>
    <row r="665">
      <c r="A665" s="4" t="s">
        <v>8</v>
      </c>
      <c r="B665" s="5">
        <v>44788.0</v>
      </c>
      <c r="C665" s="6">
        <v>0.2581712962964957</v>
      </c>
      <c r="D665" s="4">
        <v>12.955986</v>
      </c>
      <c r="E665" s="4">
        <v>80.142971</v>
      </c>
      <c r="F665" s="4">
        <v>5339.0</v>
      </c>
      <c r="G665" s="4">
        <v>15.0</v>
      </c>
    </row>
    <row r="666">
      <c r="A666" s="4" t="s">
        <v>8</v>
      </c>
      <c r="B666" s="5">
        <v>44788.0</v>
      </c>
      <c r="C666" s="6">
        <v>0.2581828703696374</v>
      </c>
      <c r="D666" s="4">
        <v>12.955986</v>
      </c>
      <c r="E666" s="4">
        <v>80.142971</v>
      </c>
      <c r="F666" s="4">
        <v>5339.0</v>
      </c>
      <c r="G666" s="4">
        <v>15.0</v>
      </c>
    </row>
    <row r="667">
      <c r="A667" s="4" t="s">
        <v>8</v>
      </c>
      <c r="B667" s="5">
        <v>44788.0</v>
      </c>
      <c r="C667" s="6">
        <v>0.32079861111196806</v>
      </c>
      <c r="D667" s="4">
        <v>13.017802</v>
      </c>
      <c r="E667" s="4">
        <v>80.260788</v>
      </c>
      <c r="F667" s="4">
        <v>805.0</v>
      </c>
      <c r="G667" s="4">
        <v>0.0</v>
      </c>
    </row>
    <row r="668">
      <c r="A668" s="4" t="s">
        <v>8</v>
      </c>
      <c r="B668" s="5">
        <v>44788.0</v>
      </c>
      <c r="C668" s="6">
        <v>0.32081018518510973</v>
      </c>
      <c r="D668" s="4">
        <v>13.017802</v>
      </c>
      <c r="E668" s="4">
        <v>80.260788</v>
      </c>
      <c r="F668" s="4">
        <v>805.0</v>
      </c>
      <c r="G668" s="4">
        <v>0.0</v>
      </c>
    </row>
    <row r="669">
      <c r="A669" s="4" t="s">
        <v>8</v>
      </c>
      <c r="B669" s="5">
        <v>44788.0</v>
      </c>
      <c r="C669" s="6">
        <v>0.3224537037021946</v>
      </c>
      <c r="D669" s="4">
        <v>13.007232</v>
      </c>
      <c r="E669" s="4">
        <v>80.258862</v>
      </c>
      <c r="F669" s="4">
        <v>805.0</v>
      </c>
      <c r="G669" s="4">
        <v>4.0</v>
      </c>
    </row>
    <row r="670">
      <c r="A670" s="4" t="s">
        <v>8</v>
      </c>
      <c r="B670" s="5">
        <v>44788.0</v>
      </c>
      <c r="C670" s="6">
        <v>0.32246527777897427</v>
      </c>
      <c r="D670" s="4">
        <v>13.007232</v>
      </c>
      <c r="E670" s="4">
        <v>80.258862</v>
      </c>
      <c r="F670" s="4">
        <v>805.0</v>
      </c>
      <c r="G670" s="4">
        <v>4.0</v>
      </c>
    </row>
    <row r="671">
      <c r="A671" s="4" t="s">
        <v>8</v>
      </c>
      <c r="B671" s="5">
        <v>44788.0</v>
      </c>
      <c r="C671" s="6">
        <v>0.351493055553874</v>
      </c>
      <c r="D671" s="4">
        <v>12.909081</v>
      </c>
      <c r="E671" s="4">
        <v>80.09889</v>
      </c>
      <c r="F671" s="4">
        <v>805.0</v>
      </c>
      <c r="G671" s="4">
        <v>0.0</v>
      </c>
    </row>
    <row r="672">
      <c r="A672" s="4" t="s">
        <v>8</v>
      </c>
      <c r="B672" s="5">
        <v>44788.0</v>
      </c>
      <c r="C672" s="6">
        <v>0.351666666665551</v>
      </c>
      <c r="D672" s="4">
        <v>12.909018</v>
      </c>
      <c r="E672" s="4">
        <v>80.0988</v>
      </c>
      <c r="F672" s="4">
        <v>805.0</v>
      </c>
      <c r="G672" s="4">
        <v>9.0</v>
      </c>
    </row>
    <row r="673">
      <c r="A673" s="4" t="s">
        <v>8</v>
      </c>
      <c r="B673" s="5">
        <v>44788.0</v>
      </c>
      <c r="C673" s="6">
        <v>0.35168981481547235</v>
      </c>
      <c r="D673" s="4">
        <v>12.909018</v>
      </c>
      <c r="E673" s="4">
        <v>80.0988</v>
      </c>
      <c r="F673" s="4">
        <v>805.0</v>
      </c>
      <c r="G673" s="4">
        <v>9.0</v>
      </c>
    </row>
    <row r="674">
      <c r="A674" s="4" t="s">
        <v>8</v>
      </c>
      <c r="B674" s="5">
        <v>44788.0</v>
      </c>
      <c r="C674" s="6">
        <v>0.3534606481480296</v>
      </c>
      <c r="D674" s="4">
        <v>12.897847</v>
      </c>
      <c r="E674" s="4">
        <v>80.090023</v>
      </c>
      <c r="F674" s="4">
        <v>805.0</v>
      </c>
      <c r="G674" s="4">
        <v>11.0</v>
      </c>
    </row>
    <row r="675">
      <c r="A675" s="4" t="s">
        <v>8</v>
      </c>
      <c r="B675" s="5">
        <v>44788.0</v>
      </c>
      <c r="C675" s="6">
        <v>0.3534606481480296</v>
      </c>
      <c r="D675" s="4">
        <v>12.897847</v>
      </c>
      <c r="E675" s="4">
        <v>80.090023</v>
      </c>
      <c r="F675" s="4">
        <v>805.0</v>
      </c>
      <c r="G675" s="4">
        <v>11.0</v>
      </c>
    </row>
    <row r="676">
      <c r="A676" s="4" t="s">
        <v>8</v>
      </c>
      <c r="B676" s="5">
        <v>44788.0</v>
      </c>
      <c r="C676" s="6">
        <v>0.3534837962979509</v>
      </c>
      <c r="D676" s="4">
        <v>12.897847</v>
      </c>
      <c r="E676" s="4">
        <v>80.090023</v>
      </c>
      <c r="F676" s="4">
        <v>805.0</v>
      </c>
      <c r="G676" s="4">
        <v>11.0</v>
      </c>
    </row>
    <row r="677">
      <c r="A677" s="4" t="s">
        <v>8</v>
      </c>
      <c r="B677" s="5">
        <v>44788.0</v>
      </c>
      <c r="C677" s="6">
        <v>0.3534837962979509</v>
      </c>
      <c r="D677" s="4">
        <v>12.897847</v>
      </c>
      <c r="E677" s="4">
        <v>80.090023</v>
      </c>
      <c r="F677" s="4">
        <v>805.0</v>
      </c>
      <c r="G677" s="4">
        <v>11.0</v>
      </c>
    </row>
    <row r="678">
      <c r="A678" s="4" t="s">
        <v>8</v>
      </c>
      <c r="B678" s="5">
        <v>44788.0</v>
      </c>
      <c r="C678" s="6">
        <v>0.3534953703710926</v>
      </c>
      <c r="D678" s="4">
        <v>12.897847</v>
      </c>
      <c r="E678" s="4">
        <v>80.090023</v>
      </c>
      <c r="F678" s="4">
        <v>805.0</v>
      </c>
      <c r="G678" s="4">
        <v>11.0</v>
      </c>
    </row>
    <row r="679">
      <c r="A679" s="4" t="s">
        <v>8</v>
      </c>
      <c r="B679" s="5">
        <v>44788.0</v>
      </c>
      <c r="C679" s="6">
        <v>0.6939814814832062</v>
      </c>
      <c r="D679" s="4">
        <v>12.908901</v>
      </c>
      <c r="E679" s="4">
        <v>80.098274</v>
      </c>
      <c r="F679" s="4">
        <v>805.0</v>
      </c>
      <c r="G679" s="4">
        <v>0.0</v>
      </c>
    </row>
    <row r="680">
      <c r="A680" s="4" t="s">
        <v>8</v>
      </c>
      <c r="B680" s="5">
        <v>44788.0</v>
      </c>
      <c r="C680" s="6">
        <v>0.6939814814832062</v>
      </c>
      <c r="D680" s="4">
        <v>12.908901</v>
      </c>
      <c r="E680" s="4">
        <v>80.098274</v>
      </c>
      <c r="F680" s="4">
        <v>805.0</v>
      </c>
      <c r="G680" s="4">
        <v>0.0</v>
      </c>
    </row>
    <row r="681">
      <c r="A681" s="4" t="s">
        <v>8</v>
      </c>
      <c r="B681" s="5">
        <v>44788.0</v>
      </c>
      <c r="C681" s="6">
        <v>0.6952199074075907</v>
      </c>
      <c r="D681" s="4">
        <v>12.911555</v>
      </c>
      <c r="E681" s="4">
        <v>80.101312</v>
      </c>
      <c r="F681" s="4">
        <v>5339.0</v>
      </c>
      <c r="G681" s="4">
        <v>17.0</v>
      </c>
    </row>
    <row r="682">
      <c r="A682" s="4" t="s">
        <v>8</v>
      </c>
      <c r="B682" s="5">
        <v>44788.0</v>
      </c>
      <c r="C682" s="6">
        <v>0.6952314814807323</v>
      </c>
      <c r="D682" s="4">
        <v>12.911555</v>
      </c>
      <c r="E682" s="4">
        <v>80.101312</v>
      </c>
      <c r="F682" s="4">
        <v>5339.0</v>
      </c>
      <c r="G682" s="4">
        <v>17.0</v>
      </c>
    </row>
    <row r="683">
      <c r="A683" s="4" t="s">
        <v>8</v>
      </c>
      <c r="B683" s="5">
        <v>44788.0</v>
      </c>
      <c r="C683" s="6">
        <v>0.6952314814807323</v>
      </c>
      <c r="D683" s="4">
        <v>12.911555</v>
      </c>
      <c r="E683" s="4">
        <v>80.101312</v>
      </c>
      <c r="F683" s="4">
        <v>5339.0</v>
      </c>
      <c r="G683" s="4">
        <v>17.0</v>
      </c>
    </row>
    <row r="684">
      <c r="A684" s="4" t="s">
        <v>8</v>
      </c>
      <c r="B684" s="5">
        <v>44788.0</v>
      </c>
      <c r="C684" s="6">
        <v>0.6983564814800047</v>
      </c>
      <c r="D684" s="4">
        <v>12.929756</v>
      </c>
      <c r="E684" s="4">
        <v>80.120827</v>
      </c>
      <c r="F684" s="4">
        <v>805.0</v>
      </c>
      <c r="G684" s="4">
        <v>1.0</v>
      </c>
    </row>
    <row r="685">
      <c r="A685" s="4" t="s">
        <v>8</v>
      </c>
      <c r="B685" s="5">
        <v>44788.0</v>
      </c>
      <c r="C685" s="6">
        <v>0.6983564814800047</v>
      </c>
      <c r="D685" s="4">
        <v>12.929756</v>
      </c>
      <c r="E685" s="4">
        <v>80.120827</v>
      </c>
      <c r="F685" s="4">
        <v>805.0</v>
      </c>
      <c r="G685" s="4">
        <v>1.0</v>
      </c>
    </row>
    <row r="686">
      <c r="A686" s="4" t="s">
        <v>8</v>
      </c>
      <c r="B686" s="5">
        <v>44788.0</v>
      </c>
      <c r="C686" s="6">
        <v>0.7097569444449618</v>
      </c>
      <c r="D686" s="4">
        <v>12.993626</v>
      </c>
      <c r="E686" s="4">
        <v>80.184733</v>
      </c>
      <c r="F686" s="4">
        <v>805.0</v>
      </c>
      <c r="G686" s="4">
        <v>16.0</v>
      </c>
    </row>
    <row r="687">
      <c r="A687" s="4" t="s">
        <v>8</v>
      </c>
      <c r="B687" s="5">
        <v>44788.0</v>
      </c>
      <c r="C687" s="6">
        <v>0.7097569444449618</v>
      </c>
      <c r="D687" s="4">
        <v>12.993626</v>
      </c>
      <c r="E687" s="4">
        <v>80.184733</v>
      </c>
      <c r="F687" s="4">
        <v>805.0</v>
      </c>
      <c r="G687" s="4">
        <v>16.0</v>
      </c>
    </row>
    <row r="688">
      <c r="A688" s="4" t="s">
        <v>8</v>
      </c>
      <c r="B688" s="5">
        <v>44788.0</v>
      </c>
      <c r="C688" s="6">
        <v>0.7097569444449618</v>
      </c>
      <c r="D688" s="4">
        <v>12.993626</v>
      </c>
      <c r="E688" s="4">
        <v>80.184733</v>
      </c>
      <c r="F688" s="4">
        <v>805.0</v>
      </c>
      <c r="G688" s="4">
        <v>16.0</v>
      </c>
    </row>
    <row r="689">
      <c r="A689" s="4" t="s">
        <v>8</v>
      </c>
      <c r="B689" s="5">
        <v>44788.0</v>
      </c>
      <c r="C689" s="6">
        <v>0.7284837962979509</v>
      </c>
      <c r="D689" s="4">
        <v>13.042022</v>
      </c>
      <c r="E689" s="4">
        <v>80.247382</v>
      </c>
      <c r="F689" s="4">
        <v>5339.0</v>
      </c>
      <c r="G689" s="4">
        <v>19.0</v>
      </c>
    </row>
    <row r="690">
      <c r="A690" s="4" t="s">
        <v>8</v>
      </c>
      <c r="B690" s="5">
        <v>44788.0</v>
      </c>
      <c r="C690" s="6">
        <v>0.7285300925941556</v>
      </c>
      <c r="D690" s="4">
        <v>13.042022</v>
      </c>
      <c r="E690" s="4">
        <v>80.247382</v>
      </c>
      <c r="F690" s="4">
        <v>5339.0</v>
      </c>
      <c r="G690" s="4">
        <v>19.0</v>
      </c>
    </row>
    <row r="691">
      <c r="A691" s="4" t="s">
        <v>8</v>
      </c>
      <c r="B691" s="5">
        <v>44788.0</v>
      </c>
      <c r="C691" s="6">
        <v>0.7310879629621923</v>
      </c>
      <c r="D691" s="4">
        <v>13.05487</v>
      </c>
      <c r="E691" s="4">
        <v>80.25435</v>
      </c>
      <c r="F691" s="4">
        <v>5339.0</v>
      </c>
      <c r="G691" s="4">
        <v>18.0</v>
      </c>
    </row>
    <row r="692">
      <c r="A692" s="4" t="s">
        <v>8</v>
      </c>
      <c r="B692" s="5">
        <v>44788.0</v>
      </c>
      <c r="C692" s="6">
        <v>0.7311805555546016</v>
      </c>
      <c r="D692" s="4">
        <v>13.05487</v>
      </c>
      <c r="E692" s="4">
        <v>80.25435</v>
      </c>
      <c r="F692" s="4">
        <v>5339.0</v>
      </c>
      <c r="G692" s="4">
        <v>18.0</v>
      </c>
    </row>
    <row r="693">
      <c r="A693" s="4" t="s">
        <v>8</v>
      </c>
      <c r="B693" s="5">
        <v>44789.0</v>
      </c>
      <c r="C693" s="6">
        <v>0.3167592592581059</v>
      </c>
      <c r="D693" s="4">
        <v>13.035514</v>
      </c>
      <c r="E693" s="4">
        <v>80.246204</v>
      </c>
      <c r="F693" s="4">
        <v>5339.0</v>
      </c>
      <c r="G693" s="4">
        <v>20.0</v>
      </c>
    </row>
    <row r="694">
      <c r="A694" s="4" t="s">
        <v>8</v>
      </c>
      <c r="B694" s="5">
        <v>44789.0</v>
      </c>
      <c r="C694" s="6">
        <v>0.31677083333488554</v>
      </c>
      <c r="D694" s="4">
        <v>13.035514</v>
      </c>
      <c r="E694" s="4">
        <v>80.246204</v>
      </c>
      <c r="F694" s="4">
        <v>5339.0</v>
      </c>
      <c r="G694" s="4">
        <v>20.0</v>
      </c>
    </row>
    <row r="695">
      <c r="A695" s="4" t="s">
        <v>8</v>
      </c>
      <c r="B695" s="5">
        <v>44789.0</v>
      </c>
      <c r="C695" s="6">
        <v>0.3202893518500787</v>
      </c>
      <c r="D695" s="4">
        <v>12.679827</v>
      </c>
      <c r="E695" s="4">
        <v>79.980758</v>
      </c>
      <c r="F695" s="4">
        <v>2846.0</v>
      </c>
      <c r="G695" s="4">
        <v>10.0</v>
      </c>
    </row>
    <row r="696">
      <c r="A696" s="4" t="s">
        <v>8</v>
      </c>
      <c r="B696" s="5">
        <v>44789.0</v>
      </c>
      <c r="C696" s="6">
        <v>0.3203009259268583</v>
      </c>
      <c r="D696" s="4">
        <v>12.679827</v>
      </c>
      <c r="E696" s="4">
        <v>79.980758</v>
      </c>
      <c r="F696" s="4">
        <v>2846.0</v>
      </c>
      <c r="G696" s="4">
        <v>10.0</v>
      </c>
    </row>
    <row r="697">
      <c r="A697" s="4" t="s">
        <v>8</v>
      </c>
      <c r="B697" s="5">
        <v>44789.0</v>
      </c>
      <c r="C697" s="6">
        <v>0.3356134259265673</v>
      </c>
      <c r="D697" s="4">
        <v>12.950465</v>
      </c>
      <c r="E697" s="4">
        <v>80.139678</v>
      </c>
      <c r="F697" s="4">
        <v>5339.0</v>
      </c>
      <c r="G697" s="4">
        <v>20.0</v>
      </c>
    </row>
    <row r="698">
      <c r="A698" s="4" t="s">
        <v>8</v>
      </c>
      <c r="B698" s="5">
        <v>44789.0</v>
      </c>
      <c r="C698" s="6">
        <v>0.33562499999970896</v>
      </c>
      <c r="D698" s="4">
        <v>12.950465</v>
      </c>
      <c r="E698" s="4">
        <v>80.139678</v>
      </c>
      <c r="F698" s="4">
        <v>5339.0</v>
      </c>
      <c r="G698" s="4">
        <v>20.0</v>
      </c>
    </row>
    <row r="699">
      <c r="A699" s="4" t="s">
        <v>8</v>
      </c>
      <c r="B699" s="5">
        <v>44789.0</v>
      </c>
      <c r="C699" s="6">
        <v>0.695451388888614</v>
      </c>
      <c r="D699" s="4">
        <v>12.916874</v>
      </c>
      <c r="E699" s="4">
        <v>80.106834</v>
      </c>
      <c r="F699" s="4">
        <v>3143.0</v>
      </c>
      <c r="G699" s="4">
        <v>18.0</v>
      </c>
    </row>
    <row r="700">
      <c r="A700" s="4" t="s">
        <v>8</v>
      </c>
      <c r="B700" s="5">
        <v>44789.0</v>
      </c>
      <c r="C700" s="6">
        <v>0.6954745370385353</v>
      </c>
      <c r="D700" s="4">
        <v>12.916874</v>
      </c>
      <c r="E700" s="4">
        <v>80.106834</v>
      </c>
      <c r="F700" s="4">
        <v>3143.0</v>
      </c>
      <c r="G700" s="4">
        <v>18.0</v>
      </c>
    </row>
    <row r="701">
      <c r="A701" s="4" t="s">
        <v>8</v>
      </c>
      <c r="B701" s="5">
        <v>44789.0</v>
      </c>
      <c r="C701" s="6">
        <v>0.6972800925941556</v>
      </c>
      <c r="D701" s="4">
        <v>12.929924</v>
      </c>
      <c r="E701" s="4">
        <v>80.120988</v>
      </c>
      <c r="F701" s="4">
        <v>805.0</v>
      </c>
      <c r="G701" s="4">
        <v>20.0</v>
      </c>
    </row>
    <row r="702">
      <c r="A702" s="4" t="s">
        <v>8</v>
      </c>
      <c r="B702" s="5">
        <v>44789.0</v>
      </c>
      <c r="C702" s="6">
        <v>0.6972916666672972</v>
      </c>
      <c r="D702" s="4">
        <v>12.929924</v>
      </c>
      <c r="E702" s="4">
        <v>80.120988</v>
      </c>
      <c r="F702" s="4">
        <v>805.0</v>
      </c>
      <c r="G702" s="4">
        <v>20.0</v>
      </c>
    </row>
    <row r="703">
      <c r="A703" s="4" t="s">
        <v>8</v>
      </c>
      <c r="B703" s="5">
        <v>44789.0</v>
      </c>
      <c r="C703" s="6">
        <v>0.7077199074083182</v>
      </c>
      <c r="D703" s="4">
        <v>12.987631</v>
      </c>
      <c r="E703" s="4">
        <v>80.176378</v>
      </c>
      <c r="F703" s="4">
        <v>805.0</v>
      </c>
      <c r="G703" s="4">
        <v>13.0</v>
      </c>
    </row>
    <row r="704">
      <c r="A704" s="4" t="s">
        <v>8</v>
      </c>
      <c r="B704" s="5">
        <v>44789.0</v>
      </c>
      <c r="C704" s="6">
        <v>0.7077199074083182</v>
      </c>
      <c r="D704" s="4">
        <v>12.987631</v>
      </c>
      <c r="E704" s="4">
        <v>80.176378</v>
      </c>
      <c r="F704" s="4">
        <v>805.0</v>
      </c>
      <c r="G704" s="4">
        <v>13.0</v>
      </c>
    </row>
    <row r="705">
      <c r="A705" s="4" t="s">
        <v>8</v>
      </c>
      <c r="B705" s="5">
        <v>44789.0</v>
      </c>
      <c r="C705" s="6">
        <v>0.7124074074090458</v>
      </c>
      <c r="D705" s="4">
        <v>12.724146</v>
      </c>
      <c r="E705" s="4">
        <v>79.982066</v>
      </c>
      <c r="F705" s="4">
        <v>2846.0</v>
      </c>
      <c r="G705" s="4">
        <v>12.0</v>
      </c>
    </row>
    <row r="706">
      <c r="A706" s="4" t="s">
        <v>8</v>
      </c>
      <c r="B706" s="5">
        <v>44789.0</v>
      </c>
      <c r="C706" s="6">
        <v>0.7125231481477385</v>
      </c>
      <c r="D706" s="4">
        <v>12.724146</v>
      </c>
      <c r="E706" s="4">
        <v>79.982066</v>
      </c>
      <c r="F706" s="4">
        <v>2846.0</v>
      </c>
      <c r="G706" s="4">
        <v>12.0</v>
      </c>
    </row>
    <row r="707">
      <c r="A707" s="4" t="s">
        <v>8</v>
      </c>
      <c r="B707" s="5">
        <v>44789.0</v>
      </c>
      <c r="C707" s="6">
        <v>0.7285416666672972</v>
      </c>
      <c r="D707" s="4">
        <v>12.97846</v>
      </c>
      <c r="E707" s="4">
        <v>80.225131</v>
      </c>
      <c r="F707" s="4">
        <v>3143.0</v>
      </c>
      <c r="G707" s="4">
        <v>17.0</v>
      </c>
    </row>
    <row r="708">
      <c r="A708" s="4" t="s">
        <v>8</v>
      </c>
      <c r="B708" s="5">
        <v>44789.0</v>
      </c>
      <c r="C708" s="6">
        <v>0.7285532407404389</v>
      </c>
      <c r="D708" s="4">
        <v>12.97846</v>
      </c>
      <c r="E708" s="4">
        <v>80.225131</v>
      </c>
      <c r="F708" s="4">
        <v>3143.0</v>
      </c>
      <c r="G708" s="4">
        <v>17.0</v>
      </c>
    </row>
    <row r="709">
      <c r="A709" s="4" t="s">
        <v>8</v>
      </c>
      <c r="B709" s="5">
        <v>44789.0</v>
      </c>
      <c r="C709" s="6">
        <v>0.7299189814802958</v>
      </c>
      <c r="D709" s="4">
        <v>13.044619</v>
      </c>
      <c r="E709" s="4">
        <v>80.247905</v>
      </c>
      <c r="F709" s="4">
        <v>5339.0</v>
      </c>
      <c r="G709" s="4">
        <v>8.0</v>
      </c>
    </row>
    <row r="710">
      <c r="A710" s="4" t="s">
        <v>8</v>
      </c>
      <c r="B710" s="5">
        <v>44789.0</v>
      </c>
      <c r="C710" s="6">
        <v>0.7300347222226264</v>
      </c>
      <c r="D710" s="4">
        <v>13.044619</v>
      </c>
      <c r="E710" s="4">
        <v>80.247905</v>
      </c>
      <c r="F710" s="4">
        <v>5339.0</v>
      </c>
      <c r="G710" s="4">
        <v>8.0</v>
      </c>
    </row>
    <row r="711">
      <c r="A711" s="4" t="s">
        <v>8</v>
      </c>
      <c r="B711" s="5">
        <v>44790.0</v>
      </c>
      <c r="C711" s="6">
        <v>0.3229745370372257</v>
      </c>
      <c r="D711" s="4">
        <v>13.007216</v>
      </c>
      <c r="E711" s="4">
        <v>80.258839</v>
      </c>
      <c r="F711" s="4">
        <v>805.0</v>
      </c>
      <c r="G711" s="4">
        <v>16.0</v>
      </c>
    </row>
    <row r="712">
      <c r="A712" s="4" t="s">
        <v>8</v>
      </c>
      <c r="B712" s="5">
        <v>44790.0</v>
      </c>
      <c r="C712" s="6">
        <v>0.3229745370372257</v>
      </c>
      <c r="D712" s="4">
        <v>13.007216</v>
      </c>
      <c r="E712" s="4">
        <v>80.258839</v>
      </c>
      <c r="F712" s="4">
        <v>805.0</v>
      </c>
      <c r="G712" s="4">
        <v>16.0</v>
      </c>
    </row>
    <row r="713">
      <c r="A713" s="4" t="s">
        <v>8</v>
      </c>
      <c r="B713" s="5">
        <v>44790.0</v>
      </c>
      <c r="C713" s="6">
        <v>0.7019097222218988</v>
      </c>
      <c r="D713" s="4">
        <v>12.929968</v>
      </c>
      <c r="E713" s="4">
        <v>80.121074</v>
      </c>
      <c r="F713" s="4">
        <v>805.0</v>
      </c>
      <c r="G713" s="4">
        <v>20.0</v>
      </c>
    </row>
    <row r="714">
      <c r="A714" s="4" t="s">
        <v>8</v>
      </c>
      <c r="B714" s="5">
        <v>44790.0</v>
      </c>
      <c r="C714" s="6">
        <v>0.7019212962950405</v>
      </c>
      <c r="D714" s="4">
        <v>12.929968</v>
      </c>
      <c r="E714" s="4">
        <v>80.121074</v>
      </c>
      <c r="F714" s="4">
        <v>805.0</v>
      </c>
      <c r="G714" s="4">
        <v>20.0</v>
      </c>
    </row>
    <row r="715">
      <c r="A715" s="4" t="s">
        <v>8</v>
      </c>
      <c r="B715" s="5">
        <v>44790.0</v>
      </c>
      <c r="C715" s="6">
        <v>0.7154976851852552</v>
      </c>
      <c r="D715" s="4">
        <v>12.995792</v>
      </c>
      <c r="E715" s="4">
        <v>80.188697</v>
      </c>
      <c r="F715" s="4">
        <v>805.0</v>
      </c>
      <c r="G715" s="4">
        <v>18.0</v>
      </c>
    </row>
    <row r="716">
      <c r="A716" s="4" t="s">
        <v>8</v>
      </c>
      <c r="B716" s="5">
        <v>44790.0</v>
      </c>
      <c r="C716" s="6">
        <v>0.7155092592583969</v>
      </c>
      <c r="D716" s="4">
        <v>12.995792</v>
      </c>
      <c r="E716" s="4">
        <v>80.188697</v>
      </c>
      <c r="F716" s="4">
        <v>805.0</v>
      </c>
      <c r="G716" s="4">
        <v>18.0</v>
      </c>
    </row>
    <row r="717">
      <c r="A717" s="4" t="s">
        <v>8</v>
      </c>
      <c r="B717" s="5">
        <v>44790.0</v>
      </c>
      <c r="C717" s="6">
        <v>0.7155208333315386</v>
      </c>
      <c r="D717" s="4">
        <v>12.995792</v>
      </c>
      <c r="E717" s="4">
        <v>80.188697</v>
      </c>
      <c r="F717" s="4">
        <v>805.0</v>
      </c>
      <c r="G717" s="4">
        <v>18.0</v>
      </c>
    </row>
    <row r="718">
      <c r="A718" s="4" t="s">
        <v>8</v>
      </c>
      <c r="B718" s="5">
        <v>44790.0</v>
      </c>
      <c r="C718" s="6">
        <v>0.7155208333315386</v>
      </c>
      <c r="D718" s="4">
        <v>12.995792</v>
      </c>
      <c r="E718" s="4">
        <v>80.188697</v>
      </c>
      <c r="F718" s="4">
        <v>805.0</v>
      </c>
      <c r="G718" s="4">
        <v>18.0</v>
      </c>
    </row>
    <row r="719">
      <c r="A719" s="4" t="s">
        <v>8</v>
      </c>
      <c r="B719" s="5">
        <v>44790.0</v>
      </c>
      <c r="C719" s="6">
        <v>0.7177546296297805</v>
      </c>
      <c r="D719" s="4">
        <v>13.006991</v>
      </c>
      <c r="E719" s="4">
        <v>80.203461</v>
      </c>
      <c r="F719" s="4">
        <v>805.0</v>
      </c>
      <c r="G719" s="4">
        <v>0.0</v>
      </c>
    </row>
    <row r="720">
      <c r="A720" s="4" t="s">
        <v>8</v>
      </c>
      <c r="B720" s="5">
        <v>44790.0</v>
      </c>
      <c r="C720" s="6">
        <v>0.7178356481490482</v>
      </c>
      <c r="D720" s="4">
        <v>13.006991</v>
      </c>
      <c r="E720" s="4">
        <v>80.203461</v>
      </c>
      <c r="F720" s="4">
        <v>805.0</v>
      </c>
      <c r="G720" s="4">
        <v>0.0</v>
      </c>
    </row>
    <row r="721">
      <c r="A721" s="4" t="s">
        <v>8</v>
      </c>
      <c r="B721" s="5">
        <v>44790.0</v>
      </c>
      <c r="C721" s="6">
        <v>0.7178472222221899</v>
      </c>
      <c r="D721" s="4">
        <v>13.006991</v>
      </c>
      <c r="E721" s="4">
        <v>80.203461</v>
      </c>
      <c r="F721" s="4">
        <v>805.0</v>
      </c>
      <c r="G721" s="4">
        <v>0.0</v>
      </c>
    </row>
    <row r="722">
      <c r="A722" s="4" t="s">
        <v>8</v>
      </c>
      <c r="B722" s="5">
        <v>44790.0</v>
      </c>
      <c r="C722" s="6">
        <v>0.7178587962953316</v>
      </c>
      <c r="D722" s="4">
        <v>13.006991</v>
      </c>
      <c r="E722" s="4">
        <v>80.203461</v>
      </c>
      <c r="F722" s="4">
        <v>805.0</v>
      </c>
      <c r="G722" s="4">
        <v>0.0</v>
      </c>
    </row>
    <row r="723">
      <c r="A723" s="4" t="s">
        <v>8</v>
      </c>
      <c r="B723" s="5">
        <v>44790.0</v>
      </c>
      <c r="C723" s="6">
        <v>0.7317708333321207</v>
      </c>
      <c r="D723" s="4">
        <v>13.042376</v>
      </c>
      <c r="E723" s="4">
        <v>80.247433</v>
      </c>
      <c r="F723" s="4">
        <v>5339.0</v>
      </c>
      <c r="G723" s="4">
        <v>13.0</v>
      </c>
    </row>
    <row r="724">
      <c r="A724" s="4" t="s">
        <v>8</v>
      </c>
      <c r="B724" s="5">
        <v>44790.0</v>
      </c>
      <c r="C724" s="6">
        <v>0.7317824074089003</v>
      </c>
      <c r="D724" s="4">
        <v>13.042376</v>
      </c>
      <c r="E724" s="4">
        <v>80.247433</v>
      </c>
      <c r="F724" s="4">
        <v>5339.0</v>
      </c>
      <c r="G724" s="4">
        <v>13.0</v>
      </c>
    </row>
    <row r="725">
      <c r="A725" s="4" t="s">
        <v>8</v>
      </c>
      <c r="B725" s="5">
        <v>44790.0</v>
      </c>
      <c r="C725" s="6">
        <v>0.7317824074089003</v>
      </c>
      <c r="D725" s="4">
        <v>13.042376</v>
      </c>
      <c r="E725" s="4">
        <v>80.247433</v>
      </c>
      <c r="F725" s="4">
        <v>5339.0</v>
      </c>
      <c r="G725" s="4">
        <v>13.0</v>
      </c>
    </row>
    <row r="726">
      <c r="A726" s="4" t="s">
        <v>8</v>
      </c>
      <c r="B726" s="5">
        <v>44790.0</v>
      </c>
      <c r="C726" s="6">
        <v>0.7318171296283253</v>
      </c>
      <c r="D726" s="4">
        <v>13.042376</v>
      </c>
      <c r="E726" s="4">
        <v>80.247433</v>
      </c>
      <c r="F726" s="4">
        <v>5339.0</v>
      </c>
      <c r="G726" s="4">
        <v>13.0</v>
      </c>
    </row>
    <row r="727">
      <c r="A727" s="4" t="s">
        <v>8</v>
      </c>
      <c r="B727" s="5">
        <v>44790.0</v>
      </c>
      <c r="C727" s="6">
        <v>0.7324999999982538</v>
      </c>
      <c r="D727" s="4">
        <v>13.046513</v>
      </c>
      <c r="E727" s="4">
        <v>80.248303</v>
      </c>
      <c r="F727" s="4">
        <v>5339.0</v>
      </c>
      <c r="G727" s="4">
        <v>12.0</v>
      </c>
    </row>
    <row r="728">
      <c r="A728" s="4" t="s">
        <v>8</v>
      </c>
      <c r="B728" s="5">
        <v>44790.0</v>
      </c>
      <c r="C728" s="6">
        <v>0.7325115740750334</v>
      </c>
      <c r="D728" s="4">
        <v>13.046513</v>
      </c>
      <c r="E728" s="4">
        <v>80.248303</v>
      </c>
      <c r="F728" s="4">
        <v>5339.0</v>
      </c>
      <c r="G728" s="4">
        <v>12.0</v>
      </c>
    </row>
    <row r="729">
      <c r="A729" s="4" t="s">
        <v>8</v>
      </c>
      <c r="B729" s="5">
        <v>44790.0</v>
      </c>
      <c r="C729" s="6">
        <v>0.7353819444433611</v>
      </c>
      <c r="D729" s="4">
        <v>13.055417</v>
      </c>
      <c r="E729" s="4">
        <v>80.255073</v>
      </c>
      <c r="F729" s="4">
        <v>5339.0</v>
      </c>
      <c r="G729" s="4">
        <v>18.0</v>
      </c>
    </row>
    <row r="730">
      <c r="A730" s="4" t="s">
        <v>8</v>
      </c>
      <c r="B730" s="5">
        <v>44790.0</v>
      </c>
      <c r="C730" s="6">
        <v>0.7353935185201408</v>
      </c>
      <c r="D730" s="4">
        <v>13.055417</v>
      </c>
      <c r="E730" s="4">
        <v>80.255073</v>
      </c>
      <c r="F730" s="4">
        <v>5339.0</v>
      </c>
      <c r="G730" s="4">
        <v>18.0</v>
      </c>
    </row>
    <row r="731">
      <c r="A731" s="4" t="s">
        <v>8</v>
      </c>
      <c r="B731" s="5">
        <v>44790.0</v>
      </c>
      <c r="C731" s="6">
        <v>0.742256944446126</v>
      </c>
      <c r="D731" s="4">
        <v>12.948665</v>
      </c>
      <c r="E731" s="4">
        <v>80.206339</v>
      </c>
      <c r="F731" s="4">
        <v>3143.0</v>
      </c>
      <c r="G731" s="4">
        <v>13.0</v>
      </c>
    </row>
    <row r="732">
      <c r="A732" s="4" t="s">
        <v>8</v>
      </c>
      <c r="B732" s="5">
        <v>44790.0</v>
      </c>
      <c r="C732" s="6">
        <v>0.7422685185192677</v>
      </c>
      <c r="D732" s="4">
        <v>12.948665</v>
      </c>
      <c r="E732" s="4">
        <v>80.206339</v>
      </c>
      <c r="F732" s="4">
        <v>3143.0</v>
      </c>
      <c r="G732" s="4">
        <v>13.0</v>
      </c>
    </row>
    <row r="733">
      <c r="A733" s="4" t="s">
        <v>8</v>
      </c>
      <c r="B733" s="5">
        <v>44790.0</v>
      </c>
      <c r="C733" s="6">
        <v>0.7517129629632109</v>
      </c>
      <c r="D733" s="4">
        <v>13.066872</v>
      </c>
      <c r="E733" s="4">
        <v>80.254355</v>
      </c>
      <c r="F733" s="4">
        <v>5339.0</v>
      </c>
      <c r="G733" s="4">
        <v>17.0</v>
      </c>
    </row>
    <row r="734">
      <c r="A734" s="4" t="s">
        <v>8</v>
      </c>
      <c r="B734" s="5">
        <v>44790.0</v>
      </c>
      <c r="C734" s="6">
        <v>0.7517245370363526</v>
      </c>
      <c r="D734" s="4">
        <v>13.066872</v>
      </c>
      <c r="E734" s="4">
        <v>80.254355</v>
      </c>
      <c r="F734" s="4">
        <v>5339.0</v>
      </c>
      <c r="G734" s="4">
        <v>17.0</v>
      </c>
    </row>
    <row r="735">
      <c r="A735" s="4" t="s">
        <v>8</v>
      </c>
      <c r="B735" s="5">
        <v>44791.0</v>
      </c>
      <c r="C735" s="6">
        <v>0.2924421296302171</v>
      </c>
      <c r="D735" s="4">
        <v>12.975931</v>
      </c>
      <c r="E735" s="4">
        <v>80.221132</v>
      </c>
      <c r="F735" s="4">
        <v>3143.0</v>
      </c>
      <c r="G735" s="4">
        <v>15.0</v>
      </c>
    </row>
    <row r="736">
      <c r="A736" s="4" t="s">
        <v>8</v>
      </c>
      <c r="B736" s="5">
        <v>44791.0</v>
      </c>
      <c r="C736" s="6">
        <v>0.29252314814948477</v>
      </c>
      <c r="D736" s="4">
        <v>12.975931</v>
      </c>
      <c r="E736" s="4">
        <v>80.221132</v>
      </c>
      <c r="F736" s="4">
        <v>3143.0</v>
      </c>
      <c r="G736" s="4">
        <v>15.0</v>
      </c>
    </row>
    <row r="737">
      <c r="A737" s="4" t="s">
        <v>8</v>
      </c>
      <c r="B737" s="5">
        <v>44791.0</v>
      </c>
      <c r="C737" s="6">
        <v>0.32116898148160544</v>
      </c>
      <c r="D737" s="4">
        <v>13.011279</v>
      </c>
      <c r="E737" s="4">
        <v>80.22363</v>
      </c>
      <c r="F737" s="4">
        <v>5339.0</v>
      </c>
      <c r="G737" s="4">
        <v>11.0</v>
      </c>
    </row>
    <row r="738">
      <c r="A738" s="4" t="s">
        <v>8</v>
      </c>
      <c r="B738" s="5">
        <v>44791.0</v>
      </c>
      <c r="C738" s="6">
        <v>0.3211805555547471</v>
      </c>
      <c r="D738" s="4">
        <v>13.011279</v>
      </c>
      <c r="E738" s="4">
        <v>80.22363</v>
      </c>
      <c r="F738" s="4">
        <v>5339.0</v>
      </c>
      <c r="G738" s="4">
        <v>11.0</v>
      </c>
    </row>
    <row r="739">
      <c r="A739" s="4" t="s">
        <v>8</v>
      </c>
      <c r="B739" s="5">
        <v>44791.0</v>
      </c>
      <c r="C739" s="6">
        <v>0.3353935185186856</v>
      </c>
      <c r="D739" s="4">
        <v>12.952812</v>
      </c>
      <c r="E739" s="4">
        <v>80.141369</v>
      </c>
      <c r="F739" s="4">
        <v>5339.0</v>
      </c>
      <c r="G739" s="4">
        <v>14.0</v>
      </c>
    </row>
    <row r="740">
      <c r="A740" s="4" t="s">
        <v>8</v>
      </c>
      <c r="B740" s="5">
        <v>44791.0</v>
      </c>
      <c r="C740" s="6">
        <v>0.33540509259182727</v>
      </c>
      <c r="D740" s="4">
        <v>12.952812</v>
      </c>
      <c r="E740" s="4">
        <v>80.141369</v>
      </c>
      <c r="F740" s="4">
        <v>5339.0</v>
      </c>
      <c r="G740" s="4">
        <v>14.0</v>
      </c>
    </row>
    <row r="741">
      <c r="A741" s="4" t="s">
        <v>8</v>
      </c>
      <c r="B741" s="5">
        <v>44791.0</v>
      </c>
      <c r="C741" s="6">
        <v>0.3371296296281798</v>
      </c>
      <c r="D741" s="4">
        <v>12.942579</v>
      </c>
      <c r="E741" s="4">
        <v>80.133398</v>
      </c>
      <c r="F741" s="4">
        <v>5339.0</v>
      </c>
      <c r="G741" s="4">
        <v>11.0</v>
      </c>
    </row>
    <row r="742">
      <c r="A742" s="4" t="s">
        <v>8</v>
      </c>
      <c r="B742" s="5">
        <v>44791.0</v>
      </c>
      <c r="C742" s="6">
        <v>0.3371412037049595</v>
      </c>
      <c r="D742" s="4">
        <v>12.942579</v>
      </c>
      <c r="E742" s="4">
        <v>80.133398</v>
      </c>
      <c r="F742" s="4">
        <v>5339.0</v>
      </c>
      <c r="G742" s="4">
        <v>11.0</v>
      </c>
    </row>
    <row r="743">
      <c r="A743" s="4" t="s">
        <v>8</v>
      </c>
      <c r="B743" s="5">
        <v>44791.0</v>
      </c>
      <c r="C743" s="6">
        <v>0.3371412037049595</v>
      </c>
      <c r="D743" s="4">
        <v>12.942579</v>
      </c>
      <c r="E743" s="4">
        <v>80.133398</v>
      </c>
      <c r="F743" s="4">
        <v>5339.0</v>
      </c>
      <c r="G743" s="4">
        <v>11.0</v>
      </c>
    </row>
    <row r="744">
      <c r="A744" s="4" t="s">
        <v>8</v>
      </c>
      <c r="B744" s="5">
        <v>44791.0</v>
      </c>
      <c r="C744" s="6">
        <v>0.33715277777810115</v>
      </c>
      <c r="D744" s="4">
        <v>12.942579</v>
      </c>
      <c r="E744" s="4">
        <v>80.133398</v>
      </c>
      <c r="F744" s="4">
        <v>5339.0</v>
      </c>
      <c r="G744" s="4">
        <v>11.0</v>
      </c>
    </row>
    <row r="745">
      <c r="A745" s="4" t="s">
        <v>8</v>
      </c>
      <c r="B745" s="5">
        <v>44791.0</v>
      </c>
      <c r="C745" s="6">
        <v>0.3371643518512428</v>
      </c>
      <c r="D745" s="4">
        <v>12.942579</v>
      </c>
      <c r="E745" s="4">
        <v>80.133398</v>
      </c>
      <c r="F745" s="4">
        <v>5339.0</v>
      </c>
      <c r="G745" s="4">
        <v>11.0</v>
      </c>
    </row>
    <row r="746">
      <c r="A746" s="4" t="s">
        <v>8</v>
      </c>
      <c r="B746" s="5">
        <v>44791.0</v>
      </c>
      <c r="C746" s="6">
        <v>0.34325231481489027</v>
      </c>
      <c r="D746" s="4">
        <v>12.906603</v>
      </c>
      <c r="E746" s="4">
        <v>80.096666</v>
      </c>
      <c r="F746" s="4">
        <v>5339.0</v>
      </c>
      <c r="G746" s="4">
        <v>19.0</v>
      </c>
    </row>
    <row r="747">
      <c r="A747" s="4" t="s">
        <v>8</v>
      </c>
      <c r="B747" s="5">
        <v>44791.0</v>
      </c>
      <c r="C747" s="6">
        <v>0.34326388888803194</v>
      </c>
      <c r="D747" s="4">
        <v>12.906603</v>
      </c>
      <c r="E747" s="4">
        <v>80.096666</v>
      </c>
      <c r="F747" s="4">
        <v>5339.0</v>
      </c>
      <c r="G747" s="4">
        <v>19.0</v>
      </c>
    </row>
    <row r="748">
      <c r="A748" s="4" t="s">
        <v>8</v>
      </c>
      <c r="B748" s="5">
        <v>44792.0</v>
      </c>
      <c r="C748" s="6">
        <v>0.7008333333324117</v>
      </c>
      <c r="D748" s="4">
        <v>12.936326</v>
      </c>
      <c r="E748" s="4">
        <v>80.127223</v>
      </c>
      <c r="F748" s="4">
        <v>5339.0</v>
      </c>
      <c r="G748" s="4">
        <v>17.0</v>
      </c>
    </row>
    <row r="749">
      <c r="A749" s="4" t="s">
        <v>8</v>
      </c>
      <c r="B749" s="5">
        <v>44792.0</v>
      </c>
      <c r="C749" s="6">
        <v>0.700856481482333</v>
      </c>
      <c r="D749" s="4">
        <v>12.936326</v>
      </c>
      <c r="E749" s="4">
        <v>80.127223</v>
      </c>
      <c r="F749" s="4">
        <v>5339.0</v>
      </c>
      <c r="G749" s="4">
        <v>17.0</v>
      </c>
    </row>
    <row r="750">
      <c r="A750" s="4" t="s">
        <v>8</v>
      </c>
      <c r="B750" s="5">
        <v>44792.0</v>
      </c>
      <c r="C750" s="6">
        <v>0.7033449074078817</v>
      </c>
      <c r="D750" s="4">
        <v>12.922438</v>
      </c>
      <c r="E750" s="4">
        <v>80.140246</v>
      </c>
      <c r="F750" s="4">
        <v>3143.0</v>
      </c>
      <c r="G750" s="4">
        <v>20.0</v>
      </c>
    </row>
    <row r="751">
      <c r="A751" s="4" t="s">
        <v>8</v>
      </c>
      <c r="B751" s="5">
        <v>44792.0</v>
      </c>
      <c r="C751" s="6">
        <v>0.7033564814810234</v>
      </c>
      <c r="D751" s="4">
        <v>12.922438</v>
      </c>
      <c r="E751" s="4">
        <v>80.140246</v>
      </c>
      <c r="F751" s="4">
        <v>3143.0</v>
      </c>
      <c r="G751" s="4">
        <v>20.0</v>
      </c>
    </row>
    <row r="752">
      <c r="A752" s="4" t="s">
        <v>8</v>
      </c>
      <c r="B752" s="5">
        <v>44792.0</v>
      </c>
      <c r="C752" s="6">
        <v>0.7293634259258397</v>
      </c>
      <c r="D752" s="4">
        <v>12.960614</v>
      </c>
      <c r="E752" s="4">
        <v>80.214839</v>
      </c>
      <c r="F752" s="4">
        <v>3143.0</v>
      </c>
      <c r="G752" s="4">
        <v>0.0</v>
      </c>
    </row>
    <row r="753">
      <c r="A753" s="4" t="s">
        <v>8</v>
      </c>
      <c r="B753" s="5">
        <v>44792.0</v>
      </c>
      <c r="C753" s="6">
        <v>0.729386574075761</v>
      </c>
      <c r="D753" s="4">
        <v>12.95934</v>
      </c>
      <c r="E753" s="4">
        <v>80.214328</v>
      </c>
      <c r="F753" s="4">
        <v>3143.0</v>
      </c>
      <c r="G753" s="4">
        <v>0.0</v>
      </c>
    </row>
    <row r="754">
      <c r="A754" s="4" t="s">
        <v>8</v>
      </c>
      <c r="B754" s="5">
        <v>44792.0</v>
      </c>
      <c r="C754" s="6">
        <v>0.7295138888875954</v>
      </c>
      <c r="D754" s="4">
        <v>12.95934</v>
      </c>
      <c r="E754" s="4">
        <v>80.214328</v>
      </c>
      <c r="F754" s="4">
        <v>3143.0</v>
      </c>
      <c r="G754" s="4">
        <v>0.0</v>
      </c>
    </row>
    <row r="755">
      <c r="A755" s="4" t="s">
        <v>8</v>
      </c>
      <c r="B755" s="5">
        <v>44792.0</v>
      </c>
      <c r="C755" s="6">
        <v>0.7458333333343035</v>
      </c>
      <c r="D755" s="4">
        <v>13.066844</v>
      </c>
      <c r="E755" s="4">
        <v>80.254036</v>
      </c>
      <c r="F755" s="4">
        <v>5339.0</v>
      </c>
      <c r="G755" s="4">
        <v>20.0</v>
      </c>
    </row>
    <row r="756">
      <c r="A756" s="4" t="s">
        <v>8</v>
      </c>
      <c r="B756" s="5">
        <v>44792.0</v>
      </c>
      <c r="C756" s="6">
        <v>0.7458680555573665</v>
      </c>
      <c r="D756" s="4">
        <v>13.066844</v>
      </c>
      <c r="E756" s="4">
        <v>80.254036</v>
      </c>
      <c r="F756" s="4">
        <v>5339.0</v>
      </c>
      <c r="G756" s="4">
        <v>20.0</v>
      </c>
    </row>
    <row r="757">
      <c r="A757" s="4" t="s">
        <v>8</v>
      </c>
      <c r="B757" s="5">
        <v>44795.0</v>
      </c>
      <c r="C757" s="6">
        <v>0.3381249999983993</v>
      </c>
      <c r="D757" s="4">
        <v>12.952294</v>
      </c>
      <c r="E757" s="4">
        <v>80.140989</v>
      </c>
      <c r="F757" s="4">
        <v>3143.0</v>
      </c>
      <c r="G757" s="4">
        <v>0.0</v>
      </c>
    </row>
    <row r="758">
      <c r="A758" s="4" t="s">
        <v>8</v>
      </c>
      <c r="B758" s="5">
        <v>44795.0</v>
      </c>
      <c r="C758" s="6">
        <v>0.33813657407517894</v>
      </c>
      <c r="D758" s="4">
        <v>12.952294</v>
      </c>
      <c r="E758" s="4">
        <v>80.140989</v>
      </c>
      <c r="F758" s="4">
        <v>3143.0</v>
      </c>
      <c r="G758" s="4">
        <v>0.0</v>
      </c>
    </row>
    <row r="759">
      <c r="A759" s="4" t="s">
        <v>8</v>
      </c>
      <c r="B759" s="5">
        <v>44795.0</v>
      </c>
      <c r="C759" s="6">
        <v>0.7152777777773736</v>
      </c>
      <c r="D759" s="4">
        <v>12.998931</v>
      </c>
      <c r="E759" s="4">
        <v>80.192689</v>
      </c>
      <c r="F759" s="4">
        <v>5339.0</v>
      </c>
      <c r="G759" s="4">
        <v>11.0</v>
      </c>
    </row>
    <row r="760">
      <c r="A760" s="4" t="s">
        <v>8</v>
      </c>
      <c r="B760" s="5">
        <v>44795.0</v>
      </c>
      <c r="C760" s="6">
        <v>0.7152777777773736</v>
      </c>
      <c r="D760" s="4">
        <v>12.998931</v>
      </c>
      <c r="E760" s="4">
        <v>80.192689</v>
      </c>
      <c r="F760" s="4">
        <v>5339.0</v>
      </c>
      <c r="G760" s="4">
        <v>11.0</v>
      </c>
    </row>
    <row r="761">
      <c r="A761" s="4" t="s">
        <v>8</v>
      </c>
      <c r="B761" s="5">
        <v>44796.0</v>
      </c>
      <c r="C761" s="6">
        <v>0.31542824074131204</v>
      </c>
      <c r="D761" s="4">
        <v>13.045466</v>
      </c>
      <c r="E761" s="4">
        <v>80.248195</v>
      </c>
      <c r="F761" s="4">
        <v>5339.0</v>
      </c>
      <c r="G761" s="4">
        <v>20.0</v>
      </c>
    </row>
    <row r="762">
      <c r="A762" s="4" t="s">
        <v>8</v>
      </c>
      <c r="B762" s="5">
        <v>44796.0</v>
      </c>
      <c r="C762" s="6">
        <v>0.31542824074131204</v>
      </c>
      <c r="D762" s="4">
        <v>13.045466</v>
      </c>
      <c r="E762" s="4">
        <v>80.248195</v>
      </c>
      <c r="F762" s="4">
        <v>5339.0</v>
      </c>
      <c r="G762" s="4">
        <v>20.0</v>
      </c>
    </row>
    <row r="763">
      <c r="A763" s="4" t="s">
        <v>8</v>
      </c>
      <c r="B763" s="5">
        <v>44796.0</v>
      </c>
      <c r="C763" s="6">
        <v>0.3496759259251121</v>
      </c>
      <c r="D763" s="4">
        <v>12.905019</v>
      </c>
      <c r="E763" s="4">
        <v>80.095457</v>
      </c>
      <c r="F763" s="4">
        <v>5339.0</v>
      </c>
      <c r="G763" s="4">
        <v>14.0</v>
      </c>
    </row>
    <row r="764">
      <c r="A764" s="4" t="s">
        <v>8</v>
      </c>
      <c r="B764" s="5">
        <v>44796.0</v>
      </c>
      <c r="C764" s="6">
        <v>0.34968749999825377</v>
      </c>
      <c r="D764" s="4">
        <v>12.905019</v>
      </c>
      <c r="E764" s="4">
        <v>80.095457</v>
      </c>
      <c r="F764" s="4">
        <v>5339.0</v>
      </c>
      <c r="G764" s="4">
        <v>14.0</v>
      </c>
    </row>
    <row r="765">
      <c r="A765" s="4" t="s">
        <v>8</v>
      </c>
      <c r="B765" s="5">
        <v>44797.0</v>
      </c>
      <c r="C765" s="6">
        <v>0.3433564814804413</v>
      </c>
      <c r="D765" s="4">
        <v>12.95677</v>
      </c>
      <c r="E765" s="4">
        <v>80.143532</v>
      </c>
      <c r="F765" s="4">
        <v>3143.0</v>
      </c>
      <c r="G765" s="4">
        <v>20.0</v>
      </c>
    </row>
    <row r="766">
      <c r="A766" s="4" t="s">
        <v>8</v>
      </c>
      <c r="B766" s="5">
        <v>44797.0</v>
      </c>
      <c r="C766" s="6">
        <v>0.3433912037035043</v>
      </c>
      <c r="D766" s="4">
        <v>12.95677</v>
      </c>
      <c r="E766" s="4">
        <v>80.143532</v>
      </c>
      <c r="F766" s="4">
        <v>3143.0</v>
      </c>
      <c r="G766" s="4">
        <v>20.0</v>
      </c>
    </row>
    <row r="767">
      <c r="A767" s="4" t="s">
        <v>8</v>
      </c>
      <c r="B767" s="5">
        <v>44797.0</v>
      </c>
      <c r="C767" s="6">
        <v>0.7332060185181035</v>
      </c>
      <c r="D767" s="4">
        <v>13.0536</v>
      </c>
      <c r="E767" s="4">
        <v>80.252693</v>
      </c>
      <c r="F767" s="4">
        <v>5339.0</v>
      </c>
      <c r="G767" s="4">
        <v>16.0</v>
      </c>
    </row>
    <row r="768">
      <c r="A768" s="4" t="s">
        <v>8</v>
      </c>
      <c r="B768" s="5">
        <v>44797.0</v>
      </c>
      <c r="C768" s="6">
        <v>0.7332060185181035</v>
      </c>
      <c r="D768" s="4">
        <v>13.0536</v>
      </c>
      <c r="E768" s="4">
        <v>80.252693</v>
      </c>
      <c r="F768" s="4">
        <v>5339.0</v>
      </c>
      <c r="G768" s="4">
        <v>16.0</v>
      </c>
    </row>
    <row r="769">
      <c r="A769" s="4" t="s">
        <v>8</v>
      </c>
      <c r="B769" s="5">
        <v>44798.0</v>
      </c>
      <c r="C769" s="6">
        <v>0.3183796296289074</v>
      </c>
      <c r="D769" s="4">
        <v>13.02472</v>
      </c>
      <c r="E769" s="4">
        <v>80.22915</v>
      </c>
      <c r="F769" s="4">
        <v>5339.0</v>
      </c>
      <c r="G769" s="4">
        <v>0.0</v>
      </c>
    </row>
    <row r="770">
      <c r="A770" s="4" t="s">
        <v>8</v>
      </c>
      <c r="B770" s="5">
        <v>44798.0</v>
      </c>
      <c r="C770" s="6">
        <v>0.3183796296289074</v>
      </c>
      <c r="D770" s="4">
        <v>13.02472</v>
      </c>
      <c r="E770" s="4">
        <v>80.22915</v>
      </c>
      <c r="F770" s="4">
        <v>5339.0</v>
      </c>
      <c r="G770" s="4">
        <v>0.0</v>
      </c>
    </row>
    <row r="771">
      <c r="A771" s="4" t="s">
        <v>8</v>
      </c>
      <c r="B771" s="5">
        <v>44798.0</v>
      </c>
      <c r="C771" s="6">
        <v>0.3420717592598521</v>
      </c>
      <c r="D771" s="4">
        <v>12.917098</v>
      </c>
      <c r="E771" s="4">
        <v>80.107442</v>
      </c>
      <c r="F771" s="4">
        <v>5339.0</v>
      </c>
      <c r="G771" s="4">
        <v>0.0</v>
      </c>
    </row>
    <row r="772">
      <c r="A772" s="4" t="s">
        <v>8</v>
      </c>
      <c r="B772" s="5">
        <v>44798.0</v>
      </c>
      <c r="C772" s="6">
        <v>0.34209490740613546</v>
      </c>
      <c r="D772" s="4">
        <v>12.917098</v>
      </c>
      <c r="E772" s="4">
        <v>80.107442</v>
      </c>
      <c r="F772" s="4">
        <v>5339.0</v>
      </c>
      <c r="G772" s="4">
        <v>0.0</v>
      </c>
    </row>
    <row r="773">
      <c r="A773" s="4" t="s">
        <v>8</v>
      </c>
      <c r="B773" s="5">
        <v>44798.0</v>
      </c>
      <c r="C773" s="6">
        <v>0.3450115740743058</v>
      </c>
      <c r="D773" s="4">
        <v>12.905336</v>
      </c>
      <c r="E773" s="4">
        <v>80.095699</v>
      </c>
      <c r="F773" s="4">
        <v>5339.0</v>
      </c>
      <c r="G773" s="4">
        <v>0.0</v>
      </c>
    </row>
    <row r="774">
      <c r="A774" s="4" t="s">
        <v>8</v>
      </c>
      <c r="B774" s="5">
        <v>44798.0</v>
      </c>
      <c r="C774" s="6">
        <v>0.3450115740743058</v>
      </c>
      <c r="D774" s="4">
        <v>12.905336</v>
      </c>
      <c r="E774" s="4">
        <v>80.095699</v>
      </c>
      <c r="F774" s="4">
        <v>5339.0</v>
      </c>
      <c r="G774" s="4">
        <v>0.0</v>
      </c>
    </row>
    <row r="775">
      <c r="A775" s="4" t="s">
        <v>8</v>
      </c>
      <c r="B775" s="5">
        <v>44798.0</v>
      </c>
      <c r="C775" s="6">
        <v>0.3450231481474475</v>
      </c>
      <c r="D775" s="4">
        <v>12.905336</v>
      </c>
      <c r="E775" s="4">
        <v>80.095699</v>
      </c>
      <c r="F775" s="4">
        <v>5339.0</v>
      </c>
      <c r="G775" s="4">
        <v>0.0</v>
      </c>
    </row>
    <row r="776">
      <c r="A776" s="4" t="s">
        <v>8</v>
      </c>
      <c r="B776" s="5">
        <v>44798.0</v>
      </c>
      <c r="C776" s="6">
        <v>0.3450231481474475</v>
      </c>
      <c r="D776" s="4">
        <v>12.905336</v>
      </c>
      <c r="E776" s="4">
        <v>80.095699</v>
      </c>
      <c r="F776" s="4">
        <v>5339.0</v>
      </c>
      <c r="G776" s="4">
        <v>0.0</v>
      </c>
    </row>
    <row r="777">
      <c r="A777" s="4" t="s">
        <v>8</v>
      </c>
      <c r="B777" s="5">
        <v>44798.0</v>
      </c>
      <c r="C777" s="6">
        <v>0.3450347222205892</v>
      </c>
      <c r="D777" s="4">
        <v>12.905336</v>
      </c>
      <c r="E777" s="4">
        <v>80.095699</v>
      </c>
      <c r="F777" s="4">
        <v>5339.0</v>
      </c>
      <c r="G777" s="4">
        <v>0.0</v>
      </c>
    </row>
    <row r="778">
      <c r="A778" s="4" t="s">
        <v>8</v>
      </c>
      <c r="B778" s="5">
        <v>44798.0</v>
      </c>
      <c r="C778" s="6">
        <v>0.3475694444459805</v>
      </c>
      <c r="D778" s="4">
        <v>12.897265</v>
      </c>
      <c r="E778" s="4">
        <v>80.08944</v>
      </c>
      <c r="F778" s="4">
        <v>5339.0</v>
      </c>
      <c r="G778" s="4">
        <v>18.0</v>
      </c>
    </row>
    <row r="779">
      <c r="A779" s="4" t="s">
        <v>8</v>
      </c>
      <c r="B779" s="5">
        <v>44798.0</v>
      </c>
      <c r="C779" s="6">
        <v>0.3582407407411665</v>
      </c>
      <c r="D779" s="4">
        <v>12.904835</v>
      </c>
      <c r="E779" s="4">
        <v>80.095344</v>
      </c>
      <c r="F779" s="4">
        <v>3143.0</v>
      </c>
      <c r="G779" s="4">
        <v>19.0</v>
      </c>
    </row>
    <row r="780">
      <c r="A780" s="4" t="s">
        <v>8</v>
      </c>
      <c r="B780" s="5">
        <v>44798.0</v>
      </c>
      <c r="C780" s="6">
        <v>0.5929166666683159</v>
      </c>
      <c r="D780" s="4">
        <v>12.983032</v>
      </c>
      <c r="E780" s="4">
        <v>80.259465</v>
      </c>
      <c r="F780" s="4">
        <v>3143.0</v>
      </c>
      <c r="G780" s="4">
        <v>17.0</v>
      </c>
    </row>
    <row r="781">
      <c r="A781" s="4" t="s">
        <v>8</v>
      </c>
      <c r="B781" s="5">
        <v>44798.0</v>
      </c>
      <c r="C781" s="6">
        <v>0.5929745370376622</v>
      </c>
      <c r="D781" s="4">
        <v>12.983032</v>
      </c>
      <c r="E781" s="4">
        <v>80.259465</v>
      </c>
      <c r="F781" s="4">
        <v>3143.0</v>
      </c>
      <c r="G781" s="4">
        <v>17.0</v>
      </c>
    </row>
    <row r="782">
      <c r="A782" s="4" t="s">
        <v>8</v>
      </c>
      <c r="B782" s="5">
        <v>44802.0</v>
      </c>
      <c r="C782" s="6">
        <v>0.3379976851865649</v>
      </c>
      <c r="D782" s="4">
        <v>12.936613</v>
      </c>
      <c r="E782" s="4">
        <v>80.12761</v>
      </c>
      <c r="F782" s="4">
        <v>5339.0</v>
      </c>
      <c r="G782" s="4">
        <v>16.0</v>
      </c>
    </row>
    <row r="783">
      <c r="A783" s="4" t="s">
        <v>8</v>
      </c>
      <c r="B783" s="5">
        <v>44802.0</v>
      </c>
      <c r="C783" s="6">
        <v>0.33803240740598994</v>
      </c>
      <c r="D783" s="4">
        <v>12.936613</v>
      </c>
      <c r="E783" s="4">
        <v>80.12761</v>
      </c>
      <c r="F783" s="4">
        <v>5339.0</v>
      </c>
      <c r="G783" s="4">
        <v>16.0</v>
      </c>
    </row>
    <row r="784">
      <c r="A784" s="4" t="s">
        <v>8</v>
      </c>
      <c r="B784" s="5">
        <v>44802.0</v>
      </c>
      <c r="C784" s="6">
        <v>0.3392476851840911</v>
      </c>
      <c r="D784" s="4">
        <v>12.931488</v>
      </c>
      <c r="E784" s="4">
        <v>80.122743</v>
      </c>
      <c r="F784" s="4">
        <v>5339.0</v>
      </c>
      <c r="G784" s="4">
        <v>15.0</v>
      </c>
    </row>
    <row r="785">
      <c r="A785" s="4" t="s">
        <v>8</v>
      </c>
      <c r="B785" s="5">
        <v>44802.0</v>
      </c>
      <c r="C785" s="6">
        <v>0.33925925926087075</v>
      </c>
      <c r="D785" s="4">
        <v>12.931488</v>
      </c>
      <c r="E785" s="4">
        <v>80.122743</v>
      </c>
      <c r="F785" s="4">
        <v>5339.0</v>
      </c>
      <c r="G785" s="4">
        <v>15.0</v>
      </c>
    </row>
    <row r="786">
      <c r="A786" s="4" t="s">
        <v>8</v>
      </c>
      <c r="B786" s="5">
        <v>44802.0</v>
      </c>
      <c r="C786" s="6">
        <v>0.7509837962970778</v>
      </c>
      <c r="D786" s="4">
        <v>12.936084</v>
      </c>
      <c r="E786" s="4">
        <v>80.127025</v>
      </c>
      <c r="F786" s="4">
        <v>5339.0</v>
      </c>
      <c r="G786" s="4">
        <v>17.0</v>
      </c>
    </row>
    <row r="787">
      <c r="A787" s="4" t="s">
        <v>8</v>
      </c>
      <c r="B787" s="5">
        <v>44802.0</v>
      </c>
      <c r="C787" s="6">
        <v>0.7509953703702195</v>
      </c>
      <c r="D787" s="4">
        <v>12.936084</v>
      </c>
      <c r="E787" s="4">
        <v>80.127025</v>
      </c>
      <c r="F787" s="4">
        <v>5339.0</v>
      </c>
      <c r="G787" s="4">
        <v>17.0</v>
      </c>
    </row>
    <row r="788">
      <c r="A788" s="4" t="s">
        <v>8</v>
      </c>
      <c r="B788" s="5">
        <v>44803.0</v>
      </c>
      <c r="C788" s="6">
        <v>0.7795949074061355</v>
      </c>
      <c r="D788" s="4">
        <v>12.953547</v>
      </c>
      <c r="E788" s="4">
        <v>80.212103</v>
      </c>
      <c r="F788" s="4">
        <v>3143.0</v>
      </c>
      <c r="G788" s="4">
        <v>17.0</v>
      </c>
    </row>
    <row r="789">
      <c r="A789" s="4" t="s">
        <v>8</v>
      </c>
      <c r="B789" s="5">
        <v>44803.0</v>
      </c>
      <c r="C789" s="6">
        <v>0.7795949074061355</v>
      </c>
      <c r="D789" s="4">
        <v>12.953547</v>
      </c>
      <c r="E789" s="4">
        <v>80.212103</v>
      </c>
      <c r="F789" s="4">
        <v>3143.0</v>
      </c>
      <c r="G789" s="4">
        <v>17.0</v>
      </c>
    </row>
    <row r="790">
      <c r="A790" s="4" t="s">
        <v>8</v>
      </c>
      <c r="B790" s="5">
        <v>44804.0</v>
      </c>
      <c r="C790" s="6">
        <v>0.2559953703712381</v>
      </c>
      <c r="D790" s="4">
        <v>12.952306</v>
      </c>
      <c r="E790" s="4">
        <v>80.1408</v>
      </c>
      <c r="F790" s="4">
        <v>5339.0</v>
      </c>
      <c r="G790" s="4">
        <v>10.0</v>
      </c>
    </row>
    <row r="791">
      <c r="A791" s="4" t="s">
        <v>8</v>
      </c>
      <c r="B791" s="5">
        <v>44804.0</v>
      </c>
      <c r="C791" s="6">
        <v>0.25604166666744277</v>
      </c>
      <c r="D791" s="4">
        <v>12.952306</v>
      </c>
      <c r="E791" s="4">
        <v>80.1408</v>
      </c>
      <c r="F791" s="4">
        <v>5339.0</v>
      </c>
      <c r="G791" s="4">
        <v>10.0</v>
      </c>
    </row>
    <row r="792">
      <c r="A792" s="4" t="s">
        <v>8</v>
      </c>
      <c r="B792" s="5">
        <v>44804.0</v>
      </c>
      <c r="C792" s="6">
        <v>0.27599537037167465</v>
      </c>
      <c r="D792" s="4">
        <v>13.038911</v>
      </c>
      <c r="E792" s="4">
        <v>80.246775</v>
      </c>
      <c r="F792" s="4">
        <v>5339.0</v>
      </c>
      <c r="G792" s="4">
        <v>0.0</v>
      </c>
    </row>
    <row r="793">
      <c r="A793" s="4" t="s">
        <v>8</v>
      </c>
      <c r="B793" s="5">
        <v>44804.0</v>
      </c>
      <c r="C793" s="6">
        <v>0.2760300925910997</v>
      </c>
      <c r="D793" s="4">
        <v>13.038911</v>
      </c>
      <c r="E793" s="4">
        <v>80.246775</v>
      </c>
      <c r="F793" s="4">
        <v>5339.0</v>
      </c>
      <c r="G793" s="4">
        <v>0.0</v>
      </c>
    </row>
    <row r="794">
      <c r="A794" s="4" t="s">
        <v>8</v>
      </c>
      <c r="B794" s="5">
        <v>44804.0</v>
      </c>
      <c r="C794" s="6">
        <v>0.276157407406572</v>
      </c>
      <c r="D794" s="4">
        <v>13.038911</v>
      </c>
      <c r="E794" s="4">
        <v>80.246775</v>
      </c>
      <c r="F794" s="4">
        <v>5339.0</v>
      </c>
      <c r="G794" s="4">
        <v>0.0</v>
      </c>
    </row>
    <row r="795">
      <c r="A795" s="4" t="s">
        <v>8</v>
      </c>
      <c r="B795" s="5">
        <v>44804.0</v>
      </c>
      <c r="C795" s="6">
        <v>0.276192129629635</v>
      </c>
      <c r="D795" s="4">
        <v>13.038943</v>
      </c>
      <c r="E795" s="4">
        <v>80.246828</v>
      </c>
      <c r="F795" s="4">
        <v>5339.0</v>
      </c>
      <c r="G795" s="4">
        <v>0.0</v>
      </c>
    </row>
    <row r="796">
      <c r="A796" s="4" t="s">
        <v>8</v>
      </c>
      <c r="B796" s="5">
        <v>44804.0</v>
      </c>
      <c r="C796" s="6">
        <v>0.27633101851824904</v>
      </c>
      <c r="D796" s="4">
        <v>13.038943</v>
      </c>
      <c r="E796" s="4">
        <v>80.246828</v>
      </c>
      <c r="F796" s="4">
        <v>5339.0</v>
      </c>
      <c r="G796" s="4">
        <v>0.0</v>
      </c>
    </row>
    <row r="797">
      <c r="A797" s="4" t="s">
        <v>8</v>
      </c>
      <c r="B797" s="5">
        <v>44804.0</v>
      </c>
      <c r="C797" s="6">
        <v>0.359375</v>
      </c>
      <c r="D797" s="4">
        <v>12.879078</v>
      </c>
      <c r="E797" s="4">
        <v>80.080399</v>
      </c>
      <c r="F797" s="4">
        <v>3143.0</v>
      </c>
      <c r="G797" s="4">
        <v>3.0</v>
      </c>
    </row>
    <row r="798">
      <c r="A798" s="4" t="s">
        <v>8</v>
      </c>
      <c r="B798" s="5">
        <v>44804.0</v>
      </c>
      <c r="C798" s="6">
        <v>0.359409722223063</v>
      </c>
      <c r="D798" s="4">
        <v>12.879078</v>
      </c>
      <c r="E798" s="4">
        <v>80.080399</v>
      </c>
      <c r="F798" s="4">
        <v>3143.0</v>
      </c>
      <c r="G798" s="4">
        <v>3.0</v>
      </c>
    </row>
  </sheetData>
  <drawing r:id="rId1"/>
</worksheet>
</file>